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colliers-my.sharepoint.com/personal/grace_horak_colliers_com/Documents/Desktop/Colliers Mortgage/Channahon, IL/"/>
    </mc:Choice>
  </mc:AlternateContent>
  <xr:revisionPtr revIDLastSave="111" documentId="13_ncr:1_{98500C05-AC53-49F1-B07D-3ECDD7125412}" xr6:coauthVersionLast="47" xr6:coauthVersionMax="47" xr10:uidLastSave="{8A1A569E-919E-4890-B645-0CDAB3D9BC0B}"/>
  <bookViews>
    <workbookView xWindow="-120" yWindow="-120" windowWidth="29040" windowHeight="15720" tabRatio="783" firstSheet="6" activeTab="6" xr2:uid="{86D7D23A-AF1C-40E8-A483-1F676223A9C2}"/>
  </bookViews>
  <sheets>
    <sheet name="Summary Sheet" sheetId="55" r:id="rId1"/>
    <sheet name="Construction Budget" sheetId="25" r:id="rId2"/>
    <sheet name="Unit Mix" sheetId="14" r:id="rId3"/>
    <sheet name="Operating Assumptions" sheetId="15" r:id="rId4"/>
    <sheet name="Financing Assumptions" sheetId="26" r:id="rId5"/>
    <sheet name="Monthly CF" sheetId="24" r:id="rId6"/>
    <sheet name="Operating Proforma" sheetId="22" r:id="rId7"/>
    <sheet name="Equity Waterfall - Annual (3)" sheetId="57" state="hidden" r:id="rId8"/>
    <sheet name="ROI" sheetId="27" r:id="rId9"/>
    <sheet name="Waterfall" sheetId="59" r:id="rId10"/>
    <sheet name="Sale - Refinance" sheetId="28" r:id="rId11"/>
    <sheet name="Annual Waterfall" sheetId="58" r:id="rId12"/>
    <sheet name="Taxes - TIF" sheetId="32" state="hidden" r:id="rId13"/>
    <sheet name="AMI" sheetId="16" state="hidden" r:id="rId14"/>
    <sheet name="Senior Loan Amortization1" sheetId="44" r:id="rId15"/>
    <sheet name="Senior Perm Amortization1" sheetId="45" r:id="rId16"/>
    <sheet name="Senior Refinance Amortization1" sheetId="46" r:id="rId17"/>
    <sheet name="Mezz 1 Amortization" sheetId="53" r:id="rId18"/>
    <sheet name="Mezz 2 Amortization" sheetId="54" r:id="rId19"/>
    <sheet name="TIF Loan Amortization" sheetId="39" state="hidden" r:id="rId20"/>
  </sheets>
  <definedNames>
    <definedName name="_Order1" hidden="1">0</definedName>
    <definedName name="DATA_01" localSheetId="1" hidden="1">#REF!</definedName>
    <definedName name="DATA_01" localSheetId="4" hidden="1">#REF!</definedName>
    <definedName name="DATA_01" localSheetId="17" hidden="1">'Mezz 1 Amortization'!#REF!</definedName>
    <definedName name="DATA_01" localSheetId="18" hidden="1">'Mezz 2 Amortization'!#REF!</definedName>
    <definedName name="DATA_01" localSheetId="8" hidden="1">#REF!</definedName>
    <definedName name="DATA_01" localSheetId="10" hidden="1">#REF!</definedName>
    <definedName name="DATA_01" localSheetId="14" hidden="1">'Senior Loan Amortization1'!#REF!</definedName>
    <definedName name="DATA_01" localSheetId="15" hidden="1">'Senior Perm Amortization1'!#REF!</definedName>
    <definedName name="DATA_01" localSheetId="16" hidden="1">'Senior Refinance Amortization1'!#REF!</definedName>
    <definedName name="DATA_01" localSheetId="12" hidden="1">#REF!</definedName>
    <definedName name="DATA_01" localSheetId="19" hidden="1">'TIF Loan Amortization'!$H$4:$H$11</definedName>
    <definedName name="DATA_01" hidden="1">#REF!</definedName>
    <definedName name="IntroPrintArea" localSheetId="17" hidden="1">#REF!</definedName>
    <definedName name="IntroPrintArea" localSheetId="18" hidden="1">#REF!</definedName>
    <definedName name="IntroPrintArea" localSheetId="14" hidden="1">#REF!</definedName>
    <definedName name="IntroPrintArea" localSheetId="15" hidden="1">#REF!</definedName>
    <definedName name="IntroPrintArea" localSheetId="16" hidden="1">#REF!</definedName>
    <definedName name="IntroPrintArea" localSheetId="19" hidden="1">#REF!</definedName>
    <definedName name="IntroPrintArea" hidden="1">#REF!</definedName>
    <definedName name="LIST" localSheetId="14">'Senior Loan Amortization1'!$BO$24:$BR$88</definedName>
    <definedName name="_xlnm.Print_Area" localSheetId="6">'Operating Proforma'!$D$3:$S$132</definedName>
    <definedName name="wrn.Proposal." localSheetId="1" hidden="1">{"Bid",#N/A,FALSE,"Estimate";"Breakdowm",#N/A,FALSE,"Estimate"}</definedName>
    <definedName name="wrn.Proposal." localSheetId="4" hidden="1">{"Bid",#N/A,FALSE,"Estimate";"Breakdowm",#N/A,FALSE,"Estimate"}</definedName>
    <definedName name="wrn.Proposal." localSheetId="17" hidden="1">{"Bid",#N/A,FALSE,"Estimate";"Breakdowm",#N/A,FALSE,"Estimate"}</definedName>
    <definedName name="wrn.Proposal." localSheetId="18" hidden="1">{"Bid",#N/A,FALSE,"Estimate";"Breakdowm",#N/A,FALSE,"Estimate"}</definedName>
    <definedName name="wrn.Proposal." localSheetId="8" hidden="1">{"Bid",#N/A,FALSE,"Estimate";"Breakdowm",#N/A,FALSE,"Estimate"}</definedName>
    <definedName name="wrn.Proposal." localSheetId="10" hidden="1">{"Bid",#N/A,FALSE,"Estimate";"Breakdowm",#N/A,FALSE,"Estimate"}</definedName>
    <definedName name="wrn.Proposal." localSheetId="14" hidden="1">{"Bid",#N/A,FALSE,"Estimate";"Breakdowm",#N/A,FALSE,"Estimate"}</definedName>
    <definedName name="wrn.Proposal." localSheetId="15" hidden="1">{"Bid",#N/A,FALSE,"Estimate";"Breakdowm",#N/A,FALSE,"Estimate"}</definedName>
    <definedName name="wrn.Proposal." localSheetId="16" hidden="1">{"Bid",#N/A,FALSE,"Estimate";"Breakdowm",#N/A,FALSE,"Estimate"}</definedName>
    <definedName name="wrn.Proposal." localSheetId="12" hidden="1">{"Bid",#N/A,FALSE,"Estimate";"Breakdowm",#N/A,FALSE,"Estimate"}</definedName>
    <definedName name="wrn.Proposal." localSheetId="19" hidden="1">{"Bid",#N/A,FALSE,"Estimate";"Breakdowm",#N/A,FALSE,"Estimate"}</definedName>
    <definedName name="wrn.Proposal." hidden="1">{"Bid",#N/A,FALSE,"Estimate";"Breakdowm",#N/A,FALSE,"Estimate"}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71" i="22" l="1"/>
  <c r="J71" i="22"/>
  <c r="K68" i="22"/>
  <c r="J68" i="22"/>
  <c r="J62" i="22"/>
  <c r="K62" i="22"/>
  <c r="J63" i="22"/>
  <c r="K63" i="22"/>
  <c r="K61" i="22"/>
  <c r="J61" i="22"/>
  <c r="J47" i="22"/>
  <c r="K47" i="22"/>
  <c r="J48" i="22"/>
  <c r="K48" i="22"/>
  <c r="J49" i="22"/>
  <c r="K49" i="22"/>
  <c r="J50" i="22"/>
  <c r="K50" i="22"/>
  <c r="J51" i="22"/>
  <c r="K51" i="22"/>
  <c r="K46" i="22"/>
  <c r="J46" i="22"/>
  <c r="K43" i="22"/>
  <c r="J43" i="22"/>
  <c r="K35" i="22"/>
  <c r="J35" i="22"/>
  <c r="K32" i="22"/>
  <c r="J32" i="22"/>
  <c r="J17" i="22"/>
  <c r="K17" i="22"/>
  <c r="J18" i="22"/>
  <c r="K18" i="22"/>
  <c r="J19" i="22"/>
  <c r="K19" i="22"/>
  <c r="J20" i="22"/>
  <c r="K20" i="22"/>
  <c r="J21" i="22"/>
  <c r="K21" i="22"/>
  <c r="J22" i="22"/>
  <c r="K22" i="22"/>
  <c r="J23" i="22"/>
  <c r="K23" i="22"/>
  <c r="J24" i="22"/>
  <c r="K24" i="22"/>
  <c r="K16" i="22"/>
  <c r="J16" i="22"/>
  <c r="L28" i="55"/>
  <c r="L22" i="55"/>
  <c r="L23" i="55"/>
  <c r="L24" i="55"/>
  <c r="L25" i="55"/>
  <c r="L26" i="55"/>
  <c r="L27" i="55"/>
  <c r="L21" i="55"/>
  <c r="O8" i="55"/>
  <c r="P7" i="55"/>
  <c r="O7" i="55"/>
  <c r="N11" i="55"/>
  <c r="O10" i="55"/>
  <c r="P10" i="55"/>
  <c r="P9" i="55"/>
  <c r="O9" i="55"/>
  <c r="P8" i="55"/>
  <c r="D14" i="59"/>
  <c r="A16" i="59"/>
  <c r="A17" i="59" s="1"/>
  <c r="A18" i="59" s="1"/>
  <c r="A15" i="59"/>
  <c r="E22" i="59"/>
  <c r="E23" i="59" s="1"/>
  <c r="C31" i="28"/>
  <c r="P11" i="55" l="1"/>
  <c r="O11" i="55"/>
  <c r="E24" i="59"/>
  <c r="E25" i="59" l="1"/>
  <c r="E26" i="59" l="1"/>
  <c r="E27" i="59" l="1"/>
  <c r="E28" i="59" l="1"/>
  <c r="E29" i="59" l="1"/>
  <c r="E30" i="59" l="1"/>
  <c r="E31" i="59" l="1"/>
  <c r="E32" i="59" l="1"/>
  <c r="E33" i="59" l="1"/>
  <c r="E34" i="59" l="1"/>
  <c r="E35" i="59" l="1"/>
  <c r="G100" i="58" l="1"/>
  <c r="AZ162" i="24"/>
  <c r="BA162" i="24"/>
  <c r="BB162" i="24"/>
  <c r="BC162" i="24"/>
  <c r="BD162" i="24"/>
  <c r="BE162" i="24"/>
  <c r="AQ162" i="24"/>
  <c r="AR162" i="24"/>
  <c r="AS162" i="24"/>
  <c r="AT162" i="24"/>
  <c r="AU162" i="24"/>
  <c r="AV162" i="24"/>
  <c r="AW162" i="24"/>
  <c r="AX162" i="24"/>
  <c r="AY162" i="24"/>
  <c r="I162" i="24"/>
  <c r="H162" i="24"/>
  <c r="O18" i="27"/>
  <c r="D33" i="15" l="1"/>
  <c r="C33" i="15"/>
  <c r="L18" i="58"/>
  <c r="M35" i="25"/>
  <c r="M36" i="25"/>
  <c r="G35" i="25"/>
  <c r="H35" i="25" s="1"/>
  <c r="G36" i="25"/>
  <c r="H36" i="25" s="1"/>
  <c r="H48" i="27"/>
  <c r="H49" i="27" s="1"/>
  <c r="H50" i="27" s="1"/>
  <c r="H51" i="27" s="1"/>
  <c r="H52" i="27" s="1"/>
  <c r="H53" i="27" s="1"/>
  <c r="H54" i="27" s="1"/>
  <c r="H55" i="27" s="1"/>
  <c r="H56" i="27" s="1"/>
  <c r="H57" i="27" s="1"/>
  <c r="H58" i="27" s="1"/>
  <c r="K19" i="58"/>
  <c r="I36" i="25" l="1"/>
  <c r="I35" i="25"/>
  <c r="J147" i="24"/>
  <c r="K147" i="24"/>
  <c r="L147" i="24"/>
  <c r="M147" i="24"/>
  <c r="N147" i="24"/>
  <c r="O147" i="24"/>
  <c r="P147" i="24"/>
  <c r="Q147" i="24"/>
  <c r="R147" i="24"/>
  <c r="S147" i="24"/>
  <c r="T147" i="24"/>
  <c r="U147" i="24"/>
  <c r="V147" i="24"/>
  <c r="W147" i="24"/>
  <c r="X147" i="24"/>
  <c r="Y147" i="24"/>
  <c r="Z147" i="24"/>
  <c r="AA147" i="24"/>
  <c r="AB147" i="24"/>
  <c r="AC147" i="24"/>
  <c r="AD147" i="24"/>
  <c r="AE147" i="24"/>
  <c r="AF147" i="24"/>
  <c r="AG147" i="24"/>
  <c r="AH147" i="24"/>
  <c r="AI147" i="24"/>
  <c r="AJ147" i="24"/>
  <c r="AK147" i="24"/>
  <c r="AL147" i="24"/>
  <c r="AM147" i="24"/>
  <c r="AN147" i="24"/>
  <c r="AO147" i="24"/>
  <c r="AP147" i="24"/>
  <c r="AQ147" i="24"/>
  <c r="AR147" i="24"/>
  <c r="AS147" i="24"/>
  <c r="AT147" i="24"/>
  <c r="AU147" i="24"/>
  <c r="AV147" i="24"/>
  <c r="AW147" i="24"/>
  <c r="AX147" i="24"/>
  <c r="AY147" i="24"/>
  <c r="AZ147" i="24"/>
  <c r="BA147" i="24"/>
  <c r="BB147" i="24"/>
  <c r="BC147" i="24"/>
  <c r="BD147" i="24"/>
  <c r="BE147" i="24"/>
  <c r="BF147" i="24"/>
  <c r="BG147" i="24"/>
  <c r="BH147" i="24"/>
  <c r="BI147" i="24"/>
  <c r="BJ147" i="24"/>
  <c r="BK147" i="24"/>
  <c r="BL147" i="24"/>
  <c r="BM147" i="24"/>
  <c r="BN147" i="24"/>
  <c r="BO147" i="24"/>
  <c r="BP147" i="24"/>
  <c r="BQ147" i="24"/>
  <c r="BR147" i="24"/>
  <c r="BS147" i="24"/>
  <c r="BT147" i="24"/>
  <c r="BU147" i="24"/>
  <c r="BV147" i="24"/>
  <c r="BW147" i="24"/>
  <c r="BX147" i="24"/>
  <c r="BY147" i="24"/>
  <c r="BZ147" i="24"/>
  <c r="CA147" i="24"/>
  <c r="CB147" i="24"/>
  <c r="CC147" i="24"/>
  <c r="CD147" i="24"/>
  <c r="CE147" i="24"/>
  <c r="CF147" i="24"/>
  <c r="CG147" i="24"/>
  <c r="CH147" i="24"/>
  <c r="CI147" i="24"/>
  <c r="CJ147" i="24"/>
  <c r="CK147" i="24"/>
  <c r="CL147" i="24"/>
  <c r="CM147" i="24"/>
  <c r="CN147" i="24"/>
  <c r="CO147" i="24"/>
  <c r="CP147" i="24"/>
  <c r="CQ147" i="24"/>
  <c r="CR147" i="24"/>
  <c r="CS147" i="24"/>
  <c r="CT147" i="24"/>
  <c r="CU147" i="24"/>
  <c r="CV147" i="24"/>
  <c r="CW147" i="24"/>
  <c r="CX147" i="24"/>
  <c r="CY147" i="24"/>
  <c r="CZ147" i="24"/>
  <c r="DA147" i="24"/>
  <c r="DB147" i="24"/>
  <c r="DC147" i="24"/>
  <c r="DD147" i="24"/>
  <c r="DE147" i="24"/>
  <c r="DF147" i="24"/>
  <c r="DG147" i="24"/>
  <c r="DH147" i="24"/>
  <c r="DI147" i="24"/>
  <c r="DJ147" i="24"/>
  <c r="DK147" i="24"/>
  <c r="DL147" i="24"/>
  <c r="DM147" i="24"/>
  <c r="DN147" i="24"/>
  <c r="DO147" i="24"/>
  <c r="DP147" i="24"/>
  <c r="DQ147" i="24"/>
  <c r="DR147" i="24"/>
  <c r="DS147" i="24"/>
  <c r="DT147" i="24"/>
  <c r="DU147" i="24"/>
  <c r="DV147" i="24"/>
  <c r="DW147" i="24"/>
  <c r="DX147" i="24"/>
  <c r="DY147" i="24"/>
  <c r="DZ147" i="24"/>
  <c r="EA147" i="24"/>
  <c r="EB147" i="24"/>
  <c r="EC147" i="24"/>
  <c r="ED147" i="24"/>
  <c r="EE147" i="24"/>
  <c r="EF147" i="24"/>
  <c r="EG147" i="24"/>
  <c r="EH147" i="24"/>
  <c r="EI147" i="24"/>
  <c r="EJ147" i="24"/>
  <c r="EK147" i="24"/>
  <c r="EL147" i="24"/>
  <c r="EM147" i="24"/>
  <c r="EN147" i="24"/>
  <c r="EO147" i="24"/>
  <c r="EP147" i="24"/>
  <c r="EQ147" i="24"/>
  <c r="ER147" i="24"/>
  <c r="ES147" i="24"/>
  <c r="ET147" i="24"/>
  <c r="EU147" i="24"/>
  <c r="EV147" i="24"/>
  <c r="EW147" i="24"/>
  <c r="EX147" i="24"/>
  <c r="EY147" i="24"/>
  <c r="EZ147" i="24"/>
  <c r="FA147" i="24"/>
  <c r="FB147" i="24"/>
  <c r="FC147" i="24"/>
  <c r="FD147" i="24"/>
  <c r="FE147" i="24"/>
  <c r="FF147" i="24"/>
  <c r="FG147" i="24"/>
  <c r="FH147" i="24"/>
  <c r="FI147" i="24"/>
  <c r="FJ147" i="24"/>
  <c r="FK147" i="24"/>
  <c r="FL147" i="24"/>
  <c r="FM147" i="24"/>
  <c r="FN147" i="24"/>
  <c r="FO147" i="24"/>
  <c r="FP147" i="24"/>
  <c r="FQ147" i="24"/>
  <c r="FR147" i="24"/>
  <c r="FS147" i="24"/>
  <c r="FT147" i="24"/>
  <c r="I147" i="24"/>
  <c r="H147" i="24"/>
  <c r="J140" i="24"/>
  <c r="K140" i="24"/>
  <c r="L140" i="24"/>
  <c r="M140" i="24"/>
  <c r="N140" i="24"/>
  <c r="O140" i="24"/>
  <c r="P140" i="24"/>
  <c r="Q140" i="24"/>
  <c r="R140" i="24"/>
  <c r="S140" i="24"/>
  <c r="T140" i="24"/>
  <c r="U140" i="24"/>
  <c r="V140" i="24"/>
  <c r="W140" i="24"/>
  <c r="X140" i="24"/>
  <c r="Y140" i="24"/>
  <c r="Z140" i="24"/>
  <c r="AA140" i="24"/>
  <c r="AB140" i="24"/>
  <c r="AC140" i="24"/>
  <c r="AD140" i="24"/>
  <c r="AE140" i="24"/>
  <c r="AF140" i="24"/>
  <c r="AG140" i="24"/>
  <c r="AH140" i="24"/>
  <c r="AI140" i="24"/>
  <c r="AJ140" i="24"/>
  <c r="AK140" i="24"/>
  <c r="AL140" i="24"/>
  <c r="AM140" i="24"/>
  <c r="AN140" i="24"/>
  <c r="AO140" i="24"/>
  <c r="AP140" i="24"/>
  <c r="AQ140" i="24"/>
  <c r="AR140" i="24"/>
  <c r="AS140" i="24"/>
  <c r="AT140" i="24"/>
  <c r="AU140" i="24"/>
  <c r="AV140" i="24"/>
  <c r="AW140" i="24"/>
  <c r="AX140" i="24"/>
  <c r="AY140" i="24"/>
  <c r="AZ140" i="24"/>
  <c r="BA140" i="24"/>
  <c r="BB140" i="24"/>
  <c r="BC140" i="24"/>
  <c r="BD140" i="24"/>
  <c r="BE140" i="24"/>
  <c r="BF140" i="24"/>
  <c r="BG140" i="24"/>
  <c r="BH140" i="24"/>
  <c r="BI140" i="24"/>
  <c r="BJ140" i="24"/>
  <c r="BK140" i="24"/>
  <c r="BL140" i="24"/>
  <c r="BM140" i="24"/>
  <c r="BN140" i="24"/>
  <c r="BO140" i="24"/>
  <c r="BP140" i="24"/>
  <c r="BQ140" i="24"/>
  <c r="BR140" i="24"/>
  <c r="BS140" i="24"/>
  <c r="BT140" i="24"/>
  <c r="BU140" i="24"/>
  <c r="BV140" i="24"/>
  <c r="BW140" i="24"/>
  <c r="BX140" i="24"/>
  <c r="BY140" i="24"/>
  <c r="BZ140" i="24"/>
  <c r="CA140" i="24"/>
  <c r="CB140" i="24"/>
  <c r="CC140" i="24"/>
  <c r="CD140" i="24"/>
  <c r="CE140" i="24"/>
  <c r="CF140" i="24"/>
  <c r="CG140" i="24"/>
  <c r="CH140" i="24"/>
  <c r="CI140" i="24"/>
  <c r="CJ140" i="24"/>
  <c r="CK140" i="24"/>
  <c r="CL140" i="24"/>
  <c r="CM140" i="24"/>
  <c r="CN140" i="24"/>
  <c r="CO140" i="24"/>
  <c r="CP140" i="24"/>
  <c r="CQ140" i="24"/>
  <c r="CR140" i="24"/>
  <c r="CS140" i="24"/>
  <c r="CT140" i="24"/>
  <c r="CU140" i="24"/>
  <c r="CV140" i="24"/>
  <c r="CW140" i="24"/>
  <c r="CX140" i="24"/>
  <c r="CY140" i="24"/>
  <c r="CZ140" i="24"/>
  <c r="DA140" i="24"/>
  <c r="DB140" i="24"/>
  <c r="DC140" i="24"/>
  <c r="DD140" i="24"/>
  <c r="DE140" i="24"/>
  <c r="DF140" i="24"/>
  <c r="DG140" i="24"/>
  <c r="DH140" i="24"/>
  <c r="DI140" i="24"/>
  <c r="DJ140" i="24"/>
  <c r="DK140" i="24"/>
  <c r="DL140" i="24"/>
  <c r="DM140" i="24"/>
  <c r="DN140" i="24"/>
  <c r="DO140" i="24"/>
  <c r="DP140" i="24"/>
  <c r="DQ140" i="24"/>
  <c r="DR140" i="24"/>
  <c r="DS140" i="24"/>
  <c r="DT140" i="24"/>
  <c r="DU140" i="24"/>
  <c r="DV140" i="24"/>
  <c r="DW140" i="24"/>
  <c r="DX140" i="24"/>
  <c r="DY140" i="24"/>
  <c r="DZ140" i="24"/>
  <c r="EA140" i="24"/>
  <c r="EB140" i="24"/>
  <c r="EC140" i="24"/>
  <c r="ED140" i="24"/>
  <c r="EE140" i="24"/>
  <c r="EF140" i="24"/>
  <c r="EG140" i="24"/>
  <c r="EH140" i="24"/>
  <c r="EI140" i="24"/>
  <c r="EJ140" i="24"/>
  <c r="EK140" i="24"/>
  <c r="EL140" i="24"/>
  <c r="EM140" i="24"/>
  <c r="EN140" i="24"/>
  <c r="EO140" i="24"/>
  <c r="EP140" i="24"/>
  <c r="EQ140" i="24"/>
  <c r="ER140" i="24"/>
  <c r="ES140" i="24"/>
  <c r="ET140" i="24"/>
  <c r="EU140" i="24"/>
  <c r="EV140" i="24"/>
  <c r="EW140" i="24"/>
  <c r="EX140" i="24"/>
  <c r="EY140" i="24"/>
  <c r="EZ140" i="24"/>
  <c r="FA140" i="24"/>
  <c r="FB140" i="24"/>
  <c r="FC140" i="24"/>
  <c r="FD140" i="24"/>
  <c r="FE140" i="24"/>
  <c r="FF140" i="24"/>
  <c r="FG140" i="24"/>
  <c r="FH140" i="24"/>
  <c r="FI140" i="24"/>
  <c r="FJ140" i="24"/>
  <c r="FK140" i="24"/>
  <c r="FL140" i="24"/>
  <c r="FM140" i="24"/>
  <c r="FN140" i="24"/>
  <c r="FO140" i="24"/>
  <c r="FP140" i="24"/>
  <c r="FQ140" i="24"/>
  <c r="FR140" i="24"/>
  <c r="FS140" i="24"/>
  <c r="FT140" i="24"/>
  <c r="I140" i="24"/>
  <c r="H140" i="24"/>
  <c r="D41" i="15"/>
  <c r="G81" i="25" l="1"/>
  <c r="G80" i="25"/>
  <c r="D15" i="15" l="1"/>
  <c r="S13" i="54" l="1"/>
  <c r="T12" i="54"/>
  <c r="T11" i="54"/>
  <c r="T12" i="53"/>
  <c r="T11" i="53"/>
  <c r="M6" i="54"/>
  <c r="T7" i="54"/>
  <c r="D386" i="54"/>
  <c r="F386" i="54"/>
  <c r="H386" i="54"/>
  <c r="D387" i="54"/>
  <c r="H387" i="54"/>
  <c r="H388" i="54"/>
  <c r="H389" i="54"/>
  <c r="H390" i="54"/>
  <c r="H391" i="54"/>
  <c r="H392" i="54"/>
  <c r="H393" i="54"/>
  <c r="H394" i="54"/>
  <c r="H395" i="54"/>
  <c r="H396" i="54"/>
  <c r="H397" i="54"/>
  <c r="H398" i="54"/>
  <c r="H399" i="54"/>
  <c r="H400" i="54"/>
  <c r="H401" i="54"/>
  <c r="H402" i="54"/>
  <c r="H403" i="54"/>
  <c r="H404" i="54"/>
  <c r="H405" i="54"/>
  <c r="H406" i="54"/>
  <c r="H407" i="54"/>
  <c r="H408" i="54"/>
  <c r="H409" i="54"/>
  <c r="H410" i="54"/>
  <c r="H411" i="54"/>
  <c r="H412" i="54"/>
  <c r="H413" i="54"/>
  <c r="H414" i="54"/>
  <c r="H415" i="54"/>
  <c r="H416" i="54"/>
  <c r="H417" i="54"/>
  <c r="H418" i="54"/>
  <c r="H419" i="54"/>
  <c r="H420" i="54"/>
  <c r="H421" i="54"/>
  <c r="H422" i="54"/>
  <c r="H423" i="54"/>
  <c r="H424" i="54"/>
  <c r="H425" i="54"/>
  <c r="H426" i="54"/>
  <c r="H427" i="54"/>
  <c r="H428" i="54"/>
  <c r="H429" i="54"/>
  <c r="H430" i="54"/>
  <c r="H431" i="54"/>
  <c r="H432" i="54"/>
  <c r="H433" i="54"/>
  <c r="H434" i="54"/>
  <c r="H435" i="54"/>
  <c r="H436" i="54"/>
  <c r="H437" i="54"/>
  <c r="H438" i="54"/>
  <c r="H439" i="54"/>
  <c r="H440" i="54"/>
  <c r="D379" i="54"/>
  <c r="F379" i="54"/>
  <c r="H379" i="54"/>
  <c r="H380" i="54"/>
  <c r="H381" i="54"/>
  <c r="H382" i="54"/>
  <c r="H383" i="54"/>
  <c r="H384" i="54"/>
  <c r="H385" i="54"/>
  <c r="J379" i="54"/>
  <c r="K379" i="54"/>
  <c r="L379" i="54"/>
  <c r="O379" i="54"/>
  <c r="V379" i="54"/>
  <c r="J380" i="54"/>
  <c r="K380" i="54"/>
  <c r="K381" i="54" s="1"/>
  <c r="O380" i="54"/>
  <c r="V380" i="54"/>
  <c r="J381" i="54"/>
  <c r="O381" i="54"/>
  <c r="J382" i="54"/>
  <c r="K382" i="54"/>
  <c r="K383" i="54" s="1"/>
  <c r="O382" i="54"/>
  <c r="V382" i="54"/>
  <c r="J383" i="54"/>
  <c r="O383" i="54"/>
  <c r="J384" i="54"/>
  <c r="K384" i="54"/>
  <c r="K385" i="54" s="1"/>
  <c r="O384" i="54"/>
  <c r="V384" i="54"/>
  <c r="J385" i="54"/>
  <c r="O385" i="54"/>
  <c r="J386" i="54"/>
  <c r="K386" i="54"/>
  <c r="K387" i="54" s="1"/>
  <c r="O386" i="54"/>
  <c r="J387" i="54"/>
  <c r="L387" i="54"/>
  <c r="F387" i="54" s="1"/>
  <c r="I386" i="54" s="1"/>
  <c r="O387" i="54"/>
  <c r="J388" i="54"/>
  <c r="L388" i="54"/>
  <c r="O388" i="54"/>
  <c r="J389" i="54"/>
  <c r="O389" i="54"/>
  <c r="J390" i="54"/>
  <c r="O390" i="54"/>
  <c r="J391" i="54"/>
  <c r="O391" i="54"/>
  <c r="J392" i="54"/>
  <c r="O392" i="54"/>
  <c r="J393" i="54"/>
  <c r="O393" i="54"/>
  <c r="J394" i="54"/>
  <c r="O394" i="54"/>
  <c r="J395" i="54"/>
  <c r="O395" i="54"/>
  <c r="J396" i="54"/>
  <c r="O396" i="54"/>
  <c r="J397" i="54"/>
  <c r="O397" i="54"/>
  <c r="J398" i="54"/>
  <c r="O398" i="54"/>
  <c r="J399" i="54"/>
  <c r="O399" i="54"/>
  <c r="J400" i="54"/>
  <c r="O400" i="54"/>
  <c r="J401" i="54"/>
  <c r="O401" i="54"/>
  <c r="J402" i="54"/>
  <c r="O402" i="54"/>
  <c r="J403" i="54"/>
  <c r="O403" i="54"/>
  <c r="J404" i="54"/>
  <c r="O404" i="54"/>
  <c r="J405" i="54"/>
  <c r="O405" i="54"/>
  <c r="J406" i="54"/>
  <c r="O406" i="54"/>
  <c r="J407" i="54"/>
  <c r="O407" i="54"/>
  <c r="J408" i="54"/>
  <c r="O408" i="54"/>
  <c r="J409" i="54"/>
  <c r="O409" i="54"/>
  <c r="J410" i="54"/>
  <c r="O410" i="54"/>
  <c r="J411" i="54"/>
  <c r="O411" i="54"/>
  <c r="J412" i="54"/>
  <c r="O412" i="54"/>
  <c r="J413" i="54"/>
  <c r="O413" i="54"/>
  <c r="J414" i="54"/>
  <c r="O414" i="54"/>
  <c r="J415" i="54"/>
  <c r="O415" i="54"/>
  <c r="J416" i="54"/>
  <c r="O416" i="54"/>
  <c r="J417" i="54"/>
  <c r="O417" i="54"/>
  <c r="J418" i="54"/>
  <c r="O418" i="54"/>
  <c r="J419" i="54"/>
  <c r="O419" i="54"/>
  <c r="J420" i="54"/>
  <c r="O420" i="54"/>
  <c r="J421" i="54"/>
  <c r="O421" i="54"/>
  <c r="J422" i="54"/>
  <c r="O422" i="54"/>
  <c r="J423" i="54"/>
  <c r="O423" i="54"/>
  <c r="J424" i="54"/>
  <c r="O424" i="54"/>
  <c r="J425" i="54"/>
  <c r="O425" i="54"/>
  <c r="J426" i="54"/>
  <c r="O426" i="54"/>
  <c r="J427" i="54"/>
  <c r="O427" i="54"/>
  <c r="J428" i="54"/>
  <c r="O428" i="54"/>
  <c r="J429" i="54"/>
  <c r="O429" i="54"/>
  <c r="J430" i="54"/>
  <c r="O430" i="54"/>
  <c r="J431" i="54"/>
  <c r="O431" i="54"/>
  <c r="J432" i="54"/>
  <c r="O432" i="54"/>
  <c r="J433" i="54"/>
  <c r="O433" i="54"/>
  <c r="J434" i="54"/>
  <c r="O434" i="54"/>
  <c r="J435" i="54"/>
  <c r="O435" i="54"/>
  <c r="J436" i="54"/>
  <c r="O436" i="54"/>
  <c r="J437" i="54"/>
  <c r="O437" i="54"/>
  <c r="J438" i="54"/>
  <c r="O438" i="54"/>
  <c r="J439" i="54"/>
  <c r="O439" i="54"/>
  <c r="J440" i="54"/>
  <c r="O440" i="54"/>
  <c r="I379" i="53"/>
  <c r="J379" i="53"/>
  <c r="L379" i="53"/>
  <c r="F379" i="53" s="1"/>
  <c r="D380" i="53"/>
  <c r="I380" i="53"/>
  <c r="J380" i="53"/>
  <c r="L380" i="53"/>
  <c r="F380" i="53" s="1"/>
  <c r="D381" i="53"/>
  <c r="I381" i="53"/>
  <c r="J381" i="53"/>
  <c r="L381" i="53"/>
  <c r="F381" i="53" s="1"/>
  <c r="D382" i="53"/>
  <c r="I382" i="53"/>
  <c r="J382" i="53"/>
  <c r="L382" i="53"/>
  <c r="F382" i="53" s="1"/>
  <c r="D383" i="53"/>
  <c r="I383" i="53"/>
  <c r="J383" i="53"/>
  <c r="L383" i="53"/>
  <c r="F383" i="53" s="1"/>
  <c r="D384" i="53"/>
  <c r="I384" i="53"/>
  <c r="J384" i="53"/>
  <c r="L384" i="53"/>
  <c r="F384" i="53" s="1"/>
  <c r="D385" i="53"/>
  <c r="I385" i="53"/>
  <c r="J385" i="53"/>
  <c r="L385" i="53"/>
  <c r="F385" i="53" s="1"/>
  <c r="D386" i="53"/>
  <c r="I386" i="53"/>
  <c r="J386" i="53"/>
  <c r="L386" i="53"/>
  <c r="F386" i="53" s="1"/>
  <c r="D387" i="53"/>
  <c r="J387" i="53"/>
  <c r="L387" i="53"/>
  <c r="F387" i="53" s="1"/>
  <c r="J388" i="53"/>
  <c r="L388" i="53"/>
  <c r="J389" i="53"/>
  <c r="J390" i="53"/>
  <c r="J391" i="53"/>
  <c r="J392" i="53"/>
  <c r="J393" i="53"/>
  <c r="J394" i="53"/>
  <c r="J395" i="53"/>
  <c r="J396" i="53"/>
  <c r="J397" i="53"/>
  <c r="J398" i="53"/>
  <c r="J399" i="53"/>
  <c r="J400" i="53"/>
  <c r="J401" i="53"/>
  <c r="J402" i="53"/>
  <c r="J403" i="53"/>
  <c r="J404" i="53"/>
  <c r="J405" i="53"/>
  <c r="J406" i="53"/>
  <c r="J407" i="53"/>
  <c r="J408" i="53"/>
  <c r="J409" i="53"/>
  <c r="J410" i="53"/>
  <c r="J411" i="53"/>
  <c r="J412" i="53"/>
  <c r="J413" i="53"/>
  <c r="J414" i="53"/>
  <c r="J415" i="53"/>
  <c r="J416" i="53"/>
  <c r="J417" i="53"/>
  <c r="J418" i="53"/>
  <c r="J419" i="53"/>
  <c r="J420" i="53"/>
  <c r="J421" i="53"/>
  <c r="J422" i="53"/>
  <c r="J423" i="53"/>
  <c r="J424" i="53"/>
  <c r="J425" i="53"/>
  <c r="J426" i="53"/>
  <c r="J427" i="53"/>
  <c r="J428" i="53"/>
  <c r="J429" i="53"/>
  <c r="J430" i="53"/>
  <c r="J431" i="53"/>
  <c r="J432" i="53"/>
  <c r="J433" i="53"/>
  <c r="J434" i="53"/>
  <c r="J435" i="53"/>
  <c r="J436" i="53"/>
  <c r="J437" i="53"/>
  <c r="J438" i="53"/>
  <c r="J439" i="53"/>
  <c r="J440" i="53"/>
  <c r="L12" i="45"/>
  <c r="I379" i="46"/>
  <c r="AR39" i="45"/>
  <c r="I379" i="45"/>
  <c r="I380" i="45"/>
  <c r="J380" i="44"/>
  <c r="J381" i="44"/>
  <c r="F388" i="54" l="1"/>
  <c r="D388" i="54"/>
  <c r="V385" i="54"/>
  <c r="V387" i="54"/>
  <c r="V383" i="54"/>
  <c r="V381" i="54"/>
  <c r="K388" i="54"/>
  <c r="V386" i="54"/>
  <c r="F388" i="53"/>
  <c r="H388" i="53"/>
  <c r="D388" i="53"/>
  <c r="H387" i="53"/>
  <c r="H386" i="53"/>
  <c r="H385" i="53"/>
  <c r="H384" i="53"/>
  <c r="H383" i="53"/>
  <c r="H382" i="53"/>
  <c r="H381" i="53"/>
  <c r="H380" i="53"/>
  <c r="H379" i="53"/>
  <c r="D379" i="53"/>
  <c r="I380" i="46"/>
  <c r="I381" i="45"/>
  <c r="J382" i="44"/>
  <c r="D290" i="58"/>
  <c r="G24" i="58"/>
  <c r="S43" i="58"/>
  <c r="S92" i="58"/>
  <c r="S93" i="58"/>
  <c r="S202" i="58"/>
  <c r="S211" i="58"/>
  <c r="S212" i="58"/>
  <c r="I387" i="54" l="1"/>
  <c r="L389" i="54"/>
  <c r="K389" i="54"/>
  <c r="V388" i="54"/>
  <c r="I387" i="53"/>
  <c r="L389" i="53"/>
  <c r="I381" i="46"/>
  <c r="I382" i="45"/>
  <c r="J383" i="44"/>
  <c r="S83" i="58"/>
  <c r="D389" i="54" l="1"/>
  <c r="F389" i="54"/>
  <c r="V389" i="54"/>
  <c r="K390" i="54"/>
  <c r="F389" i="53"/>
  <c r="H389" i="53"/>
  <c r="D389" i="53"/>
  <c r="I382" i="46"/>
  <c r="I383" i="45"/>
  <c r="J384" i="44"/>
  <c r="G43" i="58"/>
  <c r="H43" i="58"/>
  <c r="R43" i="58"/>
  <c r="I43" i="58"/>
  <c r="J43" i="58"/>
  <c r="K43" i="58"/>
  <c r="L43" i="58"/>
  <c r="M43" i="58"/>
  <c r="N43" i="58"/>
  <c r="O43" i="58"/>
  <c r="P43" i="58"/>
  <c r="Q43" i="58"/>
  <c r="G48" i="58"/>
  <c r="F189" i="58"/>
  <c r="F70" i="58"/>
  <c r="E68" i="58"/>
  <c r="F67" i="58" s="1"/>
  <c r="E69" i="58"/>
  <c r="F68" i="58" s="1"/>
  <c r="E70" i="58"/>
  <c r="F69" i="58" s="1"/>
  <c r="E67" i="58"/>
  <c r="F66" i="58" s="1"/>
  <c r="J183" i="58"/>
  <c r="J185" i="58"/>
  <c r="K184" i="58"/>
  <c r="J184" i="58"/>
  <c r="H187" i="58"/>
  <c r="H188" i="58"/>
  <c r="H189" i="58"/>
  <c r="H186" i="58"/>
  <c r="H184" i="58"/>
  <c r="D189" i="58"/>
  <c r="D188" i="58"/>
  <c r="D187" i="58"/>
  <c r="D186" i="58"/>
  <c r="D219" i="58"/>
  <c r="D273" i="58" s="1"/>
  <c r="C186" i="58"/>
  <c r="C241" i="58" s="1"/>
  <c r="C185" i="58"/>
  <c r="C67" i="58"/>
  <c r="C66" i="58"/>
  <c r="R212" i="58"/>
  <c r="Q212" i="58"/>
  <c r="P212" i="58"/>
  <c r="O212" i="58"/>
  <c r="N212" i="58"/>
  <c r="M212" i="58"/>
  <c r="L212" i="58"/>
  <c r="K212" i="58"/>
  <c r="J212" i="58"/>
  <c r="I212" i="58"/>
  <c r="H212" i="58"/>
  <c r="G212" i="58"/>
  <c r="R211" i="58"/>
  <c r="R202" i="58" s="1"/>
  <c r="Q211" i="58"/>
  <c r="Q202" i="58" s="1"/>
  <c r="P211" i="58"/>
  <c r="P202" i="58" s="1"/>
  <c r="O211" i="58"/>
  <c r="O202" i="58" s="1"/>
  <c r="N211" i="58"/>
  <c r="N202" i="58" s="1"/>
  <c r="M211" i="58"/>
  <c r="M202" i="58" s="1"/>
  <c r="L211" i="58"/>
  <c r="L202" i="58" s="1"/>
  <c r="K211" i="58"/>
  <c r="K202" i="58" s="1"/>
  <c r="J211" i="58"/>
  <c r="J202" i="58" s="1"/>
  <c r="I211" i="58"/>
  <c r="I202" i="58" s="1"/>
  <c r="H211" i="58"/>
  <c r="H202" i="58" s="1"/>
  <c r="G211" i="58"/>
  <c r="G202" i="58" s="1"/>
  <c r="H92" i="58"/>
  <c r="I92" i="58"/>
  <c r="J92" i="58"/>
  <c r="K92" i="58"/>
  <c r="L92" i="58"/>
  <c r="M92" i="58"/>
  <c r="N92" i="58"/>
  <c r="O92" i="58"/>
  <c r="P92" i="58"/>
  <c r="Q92" i="58"/>
  <c r="R92" i="58"/>
  <c r="H93" i="58"/>
  <c r="I93" i="58"/>
  <c r="J93" i="58"/>
  <c r="K93" i="58"/>
  <c r="L93" i="58"/>
  <c r="M93" i="58"/>
  <c r="N93" i="58"/>
  <c r="O93" i="58"/>
  <c r="P93" i="58"/>
  <c r="Q93" i="58"/>
  <c r="R93" i="58"/>
  <c r="G93" i="58"/>
  <c r="G92" i="58"/>
  <c r="G209" i="58"/>
  <c r="G220" i="58" s="1"/>
  <c r="G242" i="58" s="1"/>
  <c r="G258" i="58" s="1"/>
  <c r="G274" i="58" s="1"/>
  <c r="G290" i="58" s="1"/>
  <c r="G191" i="58"/>
  <c r="G276" i="58"/>
  <c r="G260" i="58"/>
  <c r="G247" i="58"/>
  <c r="G244" i="58"/>
  <c r="G238" i="58"/>
  <c r="C183" i="58"/>
  <c r="D100" i="58"/>
  <c r="D170" i="58" s="1"/>
  <c r="L390" i="54" l="1"/>
  <c r="I388" i="54"/>
  <c r="K391" i="54"/>
  <c r="V390" i="54"/>
  <c r="L390" i="53"/>
  <c r="I388" i="53"/>
  <c r="I383" i="46"/>
  <c r="I384" i="45"/>
  <c r="J385" i="44"/>
  <c r="H48" i="58"/>
  <c r="G23" i="58"/>
  <c r="E43" i="58"/>
  <c r="D122" i="58"/>
  <c r="D138" i="58"/>
  <c r="D154" i="58"/>
  <c r="D241" i="58"/>
  <c r="D289" i="58"/>
  <c r="D257" i="58"/>
  <c r="F188" i="58"/>
  <c r="D274" i="58" s="1"/>
  <c r="E202" i="58"/>
  <c r="G18" i="58"/>
  <c r="F185" i="58" s="1"/>
  <c r="D220" i="58" s="1"/>
  <c r="G21" i="58"/>
  <c r="G20" i="58"/>
  <c r="F187" i="58" s="1"/>
  <c r="D258" i="58" s="1"/>
  <c r="G19" i="58"/>
  <c r="F186" i="58" s="1"/>
  <c r="D242" i="58" s="1"/>
  <c r="G17" i="58"/>
  <c r="E17" i="58"/>
  <c r="F17" i="58"/>
  <c r="G72" i="58"/>
  <c r="G90" i="58"/>
  <c r="G157" i="58"/>
  <c r="G141" i="58"/>
  <c r="G128" i="58"/>
  <c r="G125" i="58"/>
  <c r="F390" i="54" l="1"/>
  <c r="D390" i="54"/>
  <c r="V391" i="54"/>
  <c r="K392" i="54"/>
  <c r="F390" i="53"/>
  <c r="H390" i="53"/>
  <c r="D390" i="53"/>
  <c r="I384" i="46"/>
  <c r="I385" i="45"/>
  <c r="J386" i="44"/>
  <c r="H23" i="58"/>
  <c r="I48" i="58"/>
  <c r="K20" i="58"/>
  <c r="J187" i="58" s="1"/>
  <c r="K21" i="58"/>
  <c r="J188" i="58" s="1"/>
  <c r="K22" i="58"/>
  <c r="L22" i="58" s="1"/>
  <c r="J186" i="58"/>
  <c r="G119" i="58"/>
  <c r="H3" i="58"/>
  <c r="I83" i="58"/>
  <c r="J83" i="58"/>
  <c r="M83" i="58"/>
  <c r="N83" i="58"/>
  <c r="Q83" i="58"/>
  <c r="R83" i="58"/>
  <c r="G83" i="58"/>
  <c r="G101" i="58"/>
  <c r="G123" i="58" s="1"/>
  <c r="G139" i="58" s="1"/>
  <c r="G155" i="58" s="1"/>
  <c r="G171" i="58" s="1"/>
  <c r="C64" i="58"/>
  <c r="J64" i="58"/>
  <c r="H65" i="58"/>
  <c r="J65" i="58"/>
  <c r="K65" i="58"/>
  <c r="J66" i="58"/>
  <c r="H67" i="58"/>
  <c r="H68" i="58"/>
  <c r="H69" i="58"/>
  <c r="D171" i="58"/>
  <c r="H70" i="58"/>
  <c r="C122" i="58"/>
  <c r="F4" i="58"/>
  <c r="D155" i="58"/>
  <c r="E65" i="58"/>
  <c r="L391" i="54" l="1"/>
  <c r="I389" i="54"/>
  <c r="K393" i="54"/>
  <c r="V392" i="54"/>
  <c r="L391" i="53"/>
  <c r="I389" i="53"/>
  <c r="I385" i="46"/>
  <c r="I386" i="45"/>
  <c r="J387" i="44"/>
  <c r="J48" i="58"/>
  <c r="I23" i="58"/>
  <c r="J189" i="58"/>
  <c r="P83" i="58"/>
  <c r="L83" i="58"/>
  <c r="H83" i="58"/>
  <c r="E83" i="58" s="1"/>
  <c r="O83" i="58"/>
  <c r="K83" i="58"/>
  <c r="C22" i="58"/>
  <c r="C21" i="58"/>
  <c r="C20" i="58"/>
  <c r="J70" i="58"/>
  <c r="D391" i="54" l="1"/>
  <c r="F391" i="54"/>
  <c r="V393" i="54"/>
  <c r="K394" i="54"/>
  <c r="F391" i="53"/>
  <c r="H391" i="53"/>
  <c r="D391" i="53"/>
  <c r="I386" i="46"/>
  <c r="I387" i="45"/>
  <c r="J388" i="44"/>
  <c r="K48" i="58"/>
  <c r="J23" i="58"/>
  <c r="C189" i="58"/>
  <c r="C289" i="58" s="1"/>
  <c r="C70" i="58"/>
  <c r="C170" i="58" s="1"/>
  <c r="C68" i="58"/>
  <c r="C138" i="58" s="1"/>
  <c r="C187" i="58"/>
  <c r="C188" i="58"/>
  <c r="C273" i="58" s="1"/>
  <c r="C69" i="58"/>
  <c r="C154" i="58" s="1"/>
  <c r="K70" i="58"/>
  <c r="K189" i="58"/>
  <c r="D139" i="58"/>
  <c r="D123" i="58"/>
  <c r="D101" i="58"/>
  <c r="F14" i="58"/>
  <c r="D14" i="58"/>
  <c r="E11" i="58"/>
  <c r="E12" i="57"/>
  <c r="D11" i="58"/>
  <c r="D12" i="57"/>
  <c r="C81" i="57"/>
  <c r="E70" i="57"/>
  <c r="D70" i="57"/>
  <c r="C70" i="57"/>
  <c r="F70" i="57" s="1"/>
  <c r="E69" i="57"/>
  <c r="D69" i="57"/>
  <c r="C69" i="57"/>
  <c r="F69" i="57" s="1"/>
  <c r="D68" i="57"/>
  <c r="C68" i="57"/>
  <c r="F68" i="57" s="1"/>
  <c r="D67" i="57"/>
  <c r="C67" i="57"/>
  <c r="F67" i="57" s="1"/>
  <c r="I64" i="57"/>
  <c r="F61" i="57"/>
  <c r="C60" i="57"/>
  <c r="C59" i="57"/>
  <c r="C58" i="57"/>
  <c r="C57" i="57"/>
  <c r="C49" i="57"/>
  <c r="C48" i="57"/>
  <c r="C47" i="57"/>
  <c r="C46" i="57"/>
  <c r="F50" i="57" s="1"/>
  <c r="D43" i="57"/>
  <c r="D54" i="57" s="1"/>
  <c r="C52" i="57" s="1"/>
  <c r="C38" i="57"/>
  <c r="C37" i="57"/>
  <c r="C36" i="57"/>
  <c r="C35" i="57"/>
  <c r="F39" i="57" s="1"/>
  <c r="C30" i="57"/>
  <c r="F28" i="57"/>
  <c r="C27" i="57"/>
  <c r="C26" i="57"/>
  <c r="C25" i="57"/>
  <c r="C24" i="57"/>
  <c r="F17" i="57"/>
  <c r="D17" i="57"/>
  <c r="C4" i="57"/>
  <c r="L392" i="54" l="1"/>
  <c r="I390" i="54"/>
  <c r="K395" i="54"/>
  <c r="V394" i="54"/>
  <c r="L392" i="53"/>
  <c r="I390" i="53"/>
  <c r="I387" i="46"/>
  <c r="I388" i="45"/>
  <c r="J389" i="44"/>
  <c r="L48" i="58"/>
  <c r="K23" i="58"/>
  <c r="C257" i="58"/>
  <c r="K66" i="58"/>
  <c r="K185" i="58"/>
  <c r="G208" i="58"/>
  <c r="G219" i="58" s="1"/>
  <c r="G241" i="58" s="1"/>
  <c r="G257" i="58" s="1"/>
  <c r="G273" i="58" s="1"/>
  <c r="G289" i="58" s="1"/>
  <c r="G190" i="58"/>
  <c r="G89" i="58"/>
  <c r="G122" i="58" s="1"/>
  <c r="G138" i="58" s="1"/>
  <c r="G154" i="58" s="1"/>
  <c r="G170" i="58" s="1"/>
  <c r="G71" i="58"/>
  <c r="L21" i="58"/>
  <c r="J69" i="58"/>
  <c r="L20" i="58"/>
  <c r="J68" i="58"/>
  <c r="L19" i="58"/>
  <c r="J67" i="58"/>
  <c r="T70" i="57"/>
  <c r="R70" i="57"/>
  <c r="J70" i="57"/>
  <c r="Q70" i="57"/>
  <c r="I70" i="57"/>
  <c r="N70" i="57"/>
  <c r="M70" i="57"/>
  <c r="T69" i="57"/>
  <c r="N69" i="57"/>
  <c r="M69" i="57"/>
  <c r="R69" i="57"/>
  <c r="J69" i="57"/>
  <c r="Q69" i="57"/>
  <c r="I69" i="57"/>
  <c r="D71" i="57"/>
  <c r="C41" i="57"/>
  <c r="K69" i="57"/>
  <c r="O69" i="57"/>
  <c r="S69" i="57"/>
  <c r="K70" i="57"/>
  <c r="O70" i="57"/>
  <c r="S70" i="57"/>
  <c r="L69" i="57"/>
  <c r="P69" i="57"/>
  <c r="L70" i="57"/>
  <c r="P70" i="57"/>
  <c r="F392" i="54" l="1"/>
  <c r="D392" i="54"/>
  <c r="V395" i="54"/>
  <c r="K396" i="54"/>
  <c r="F392" i="53"/>
  <c r="H392" i="53"/>
  <c r="D392" i="53"/>
  <c r="I388" i="46"/>
  <c r="I389" i="45"/>
  <c r="J390" i="44"/>
  <c r="M48" i="58"/>
  <c r="L23" i="58"/>
  <c r="K67" i="58"/>
  <c r="K186" i="58"/>
  <c r="K69" i="58"/>
  <c r="K188" i="58"/>
  <c r="K68" i="58"/>
  <c r="K187" i="58"/>
  <c r="L393" i="54" l="1"/>
  <c r="I391" i="54"/>
  <c r="K397" i="54"/>
  <c r="V396" i="54"/>
  <c r="L393" i="53"/>
  <c r="I391" i="53"/>
  <c r="I389" i="46"/>
  <c r="I390" i="45"/>
  <c r="J391" i="44"/>
  <c r="N48" i="58"/>
  <c r="M23" i="58"/>
  <c r="J379" i="44"/>
  <c r="I15" i="55"/>
  <c r="H7" i="55"/>
  <c r="D393" i="54" l="1"/>
  <c r="F393" i="54"/>
  <c r="V397" i="54"/>
  <c r="K398" i="54"/>
  <c r="F393" i="53"/>
  <c r="H393" i="53"/>
  <c r="D393" i="53"/>
  <c r="I390" i="46"/>
  <c r="I391" i="45"/>
  <c r="J392" i="44"/>
  <c r="O48" i="58"/>
  <c r="N23" i="58"/>
  <c r="G12" i="28"/>
  <c r="G11" i="28"/>
  <c r="D47" i="15"/>
  <c r="H31" i="55" s="1"/>
  <c r="H112" i="22"/>
  <c r="I112" i="22"/>
  <c r="L112" i="22"/>
  <c r="M112" i="22"/>
  <c r="N112" i="22"/>
  <c r="O112" i="22"/>
  <c r="P112" i="22"/>
  <c r="Q112" i="22"/>
  <c r="R112" i="22"/>
  <c r="S112" i="22"/>
  <c r="H113" i="22"/>
  <c r="I113" i="22"/>
  <c r="L113" i="22"/>
  <c r="M113" i="22"/>
  <c r="N113" i="22"/>
  <c r="O113" i="22"/>
  <c r="P113" i="22"/>
  <c r="Q113" i="22"/>
  <c r="R113" i="22"/>
  <c r="S113" i="22"/>
  <c r="G113" i="22"/>
  <c r="G112" i="22"/>
  <c r="E111" i="22"/>
  <c r="BL27" i="44"/>
  <c r="BI27" i="44"/>
  <c r="BF27" i="44"/>
  <c r="BC27" i="44"/>
  <c r="H120" i="22"/>
  <c r="I120" i="22"/>
  <c r="L120" i="22"/>
  <c r="M120" i="22"/>
  <c r="N120" i="22"/>
  <c r="O120" i="22"/>
  <c r="P120" i="22"/>
  <c r="Q120" i="22"/>
  <c r="R120" i="22"/>
  <c r="S120" i="22"/>
  <c r="H121" i="22"/>
  <c r="I121" i="22"/>
  <c r="L121" i="22"/>
  <c r="M121" i="22"/>
  <c r="N121" i="22"/>
  <c r="O121" i="22"/>
  <c r="P121" i="22"/>
  <c r="Q121" i="22"/>
  <c r="R121" i="22"/>
  <c r="S121" i="22"/>
  <c r="G121" i="22"/>
  <c r="G120" i="22"/>
  <c r="E119" i="22"/>
  <c r="M20" i="54"/>
  <c r="M20" i="53"/>
  <c r="L394" i="54" l="1"/>
  <c r="I392" i="54"/>
  <c r="K399" i="54"/>
  <c r="V398" i="54"/>
  <c r="L394" i="53"/>
  <c r="I392" i="53"/>
  <c r="I391" i="46"/>
  <c r="I392" i="45"/>
  <c r="J393" i="44"/>
  <c r="P48" i="58"/>
  <c r="O23" i="58"/>
  <c r="P19" i="26"/>
  <c r="P17" i="26" s="1"/>
  <c r="F394" i="54" l="1"/>
  <c r="D394" i="54"/>
  <c r="V399" i="54"/>
  <c r="K400" i="54"/>
  <c r="F394" i="53"/>
  <c r="H394" i="53"/>
  <c r="D394" i="53"/>
  <c r="I392" i="46"/>
  <c r="I393" i="45"/>
  <c r="J394" i="44"/>
  <c r="Q48" i="58"/>
  <c r="P23" i="58"/>
  <c r="AR45" i="54"/>
  <c r="AR44" i="54"/>
  <c r="AR43" i="54"/>
  <c r="L13" i="54"/>
  <c r="M12" i="54"/>
  <c r="L12" i="54" s="1"/>
  <c r="M11" i="54"/>
  <c r="M10" i="54"/>
  <c r="M5" i="54"/>
  <c r="M4" i="54"/>
  <c r="N20" i="54" s="1"/>
  <c r="J1" i="54"/>
  <c r="J1" i="53"/>
  <c r="AR45" i="53"/>
  <c r="AR44" i="53"/>
  <c r="AR43" i="53"/>
  <c r="M13" i="53"/>
  <c r="M12" i="53"/>
  <c r="L12" i="53" s="1"/>
  <c r="M6" i="53"/>
  <c r="M7" i="53" s="1"/>
  <c r="M5" i="53"/>
  <c r="M4" i="53"/>
  <c r="H378" i="54"/>
  <c r="H377" i="54"/>
  <c r="H376" i="54"/>
  <c r="H375" i="54"/>
  <c r="H374" i="54"/>
  <c r="H373" i="54"/>
  <c r="H372" i="54"/>
  <c r="H371" i="54"/>
  <c r="H370" i="54"/>
  <c r="H369" i="54"/>
  <c r="H368" i="54"/>
  <c r="H367" i="54"/>
  <c r="H366" i="54"/>
  <c r="H365" i="54"/>
  <c r="H364" i="54"/>
  <c r="H363" i="54"/>
  <c r="H362" i="54"/>
  <c r="H361" i="54"/>
  <c r="H360" i="54"/>
  <c r="H359" i="54"/>
  <c r="H358" i="54"/>
  <c r="H357" i="54"/>
  <c r="H356" i="54"/>
  <c r="H355" i="54"/>
  <c r="H354" i="54"/>
  <c r="H353" i="54"/>
  <c r="H352" i="54"/>
  <c r="H351" i="54"/>
  <c r="H350" i="54"/>
  <c r="H349" i="54"/>
  <c r="H348" i="54"/>
  <c r="H347" i="54"/>
  <c r="H346" i="54"/>
  <c r="H345" i="54"/>
  <c r="H344" i="54"/>
  <c r="H343" i="54"/>
  <c r="H342" i="54"/>
  <c r="H341" i="54"/>
  <c r="H340" i="54"/>
  <c r="H339" i="54"/>
  <c r="H338" i="54"/>
  <c r="H337" i="54"/>
  <c r="H336" i="54"/>
  <c r="H335" i="54"/>
  <c r="H334" i="54"/>
  <c r="H333" i="54"/>
  <c r="H332" i="54"/>
  <c r="H331" i="54"/>
  <c r="H330" i="54"/>
  <c r="H329" i="54"/>
  <c r="H328" i="54"/>
  <c r="H327" i="54"/>
  <c r="H326" i="54"/>
  <c r="H325" i="54"/>
  <c r="H324" i="54"/>
  <c r="H323" i="54"/>
  <c r="H322" i="54"/>
  <c r="H321" i="54"/>
  <c r="H320" i="54"/>
  <c r="H319" i="54"/>
  <c r="H318" i="54"/>
  <c r="H317" i="54"/>
  <c r="H316" i="54"/>
  <c r="H315" i="54"/>
  <c r="H314" i="54"/>
  <c r="H313" i="54"/>
  <c r="H312" i="54"/>
  <c r="H311" i="54"/>
  <c r="H310" i="54"/>
  <c r="H309" i="54"/>
  <c r="H308" i="54"/>
  <c r="H307" i="54"/>
  <c r="H306" i="54"/>
  <c r="H305" i="54"/>
  <c r="H304" i="54"/>
  <c r="H303" i="54"/>
  <c r="H302" i="54"/>
  <c r="H301" i="54"/>
  <c r="H300" i="54"/>
  <c r="H299" i="54"/>
  <c r="H298" i="54"/>
  <c r="H297" i="54"/>
  <c r="H296" i="54"/>
  <c r="H295" i="54"/>
  <c r="H294" i="54"/>
  <c r="H293" i="54"/>
  <c r="H292" i="54"/>
  <c r="H291" i="54"/>
  <c r="H290" i="54"/>
  <c r="H289" i="54"/>
  <c r="H288" i="54"/>
  <c r="H287" i="54"/>
  <c r="H286" i="54"/>
  <c r="H285" i="54"/>
  <c r="H284" i="54"/>
  <c r="H283" i="54"/>
  <c r="H282" i="54"/>
  <c r="H281" i="54"/>
  <c r="H280" i="54"/>
  <c r="H279" i="54"/>
  <c r="H278" i="54"/>
  <c r="H277" i="54"/>
  <c r="H276" i="54"/>
  <c r="H275" i="54"/>
  <c r="H274" i="54"/>
  <c r="H273" i="54"/>
  <c r="H272" i="54"/>
  <c r="H271" i="54"/>
  <c r="H270" i="54"/>
  <c r="H269" i="54"/>
  <c r="H268" i="54"/>
  <c r="H267" i="54"/>
  <c r="H266" i="54"/>
  <c r="H265" i="54"/>
  <c r="H264" i="54"/>
  <c r="H263" i="54"/>
  <c r="H262" i="54"/>
  <c r="H261" i="54"/>
  <c r="H260" i="54"/>
  <c r="H259" i="54"/>
  <c r="H258" i="54"/>
  <c r="H257" i="54"/>
  <c r="H256" i="54"/>
  <c r="H255" i="54"/>
  <c r="H254" i="54"/>
  <c r="H253" i="54"/>
  <c r="H252" i="54"/>
  <c r="H251" i="54"/>
  <c r="H250" i="54"/>
  <c r="H249" i="54"/>
  <c r="H248" i="54"/>
  <c r="H247" i="54"/>
  <c r="H246" i="54"/>
  <c r="H245" i="54"/>
  <c r="H244" i="54"/>
  <c r="H243" i="54"/>
  <c r="H242" i="54"/>
  <c r="H241" i="54"/>
  <c r="H240" i="54"/>
  <c r="H239" i="54"/>
  <c r="H238" i="54"/>
  <c r="H237" i="54"/>
  <c r="H236" i="54"/>
  <c r="H235" i="54"/>
  <c r="H234" i="54"/>
  <c r="H233" i="54"/>
  <c r="H232" i="54"/>
  <c r="H231" i="54"/>
  <c r="H230" i="54"/>
  <c r="H229" i="54"/>
  <c r="H228" i="54"/>
  <c r="H227" i="54"/>
  <c r="H226" i="54"/>
  <c r="H225" i="54"/>
  <c r="H224" i="54"/>
  <c r="H223" i="54"/>
  <c r="H222" i="54"/>
  <c r="H221" i="54"/>
  <c r="H220" i="54"/>
  <c r="H219" i="54"/>
  <c r="H218" i="54"/>
  <c r="H217" i="54"/>
  <c r="H216" i="54"/>
  <c r="H215" i="54"/>
  <c r="H214" i="54"/>
  <c r="H213" i="54"/>
  <c r="H212" i="54"/>
  <c r="H211" i="54"/>
  <c r="H210" i="54"/>
  <c r="H209" i="54"/>
  <c r="H208" i="54"/>
  <c r="H207" i="54"/>
  <c r="H206" i="54"/>
  <c r="H205" i="54"/>
  <c r="H204" i="54"/>
  <c r="H203" i="54"/>
  <c r="H202" i="54"/>
  <c r="H201" i="54"/>
  <c r="H200" i="54"/>
  <c r="H199" i="54"/>
  <c r="H198" i="54"/>
  <c r="H197" i="54"/>
  <c r="H196" i="54"/>
  <c r="H195" i="54"/>
  <c r="H194" i="54"/>
  <c r="H193" i="54"/>
  <c r="H192" i="54"/>
  <c r="H191" i="54"/>
  <c r="H190" i="54"/>
  <c r="H189" i="54"/>
  <c r="H188" i="54"/>
  <c r="H187" i="54"/>
  <c r="H186" i="54"/>
  <c r="H185" i="54"/>
  <c r="H184" i="54"/>
  <c r="H183" i="54"/>
  <c r="H182" i="54"/>
  <c r="H181" i="54"/>
  <c r="H180" i="54"/>
  <c r="H179" i="54"/>
  <c r="H178" i="54"/>
  <c r="H177" i="54"/>
  <c r="H176" i="54"/>
  <c r="H175" i="54"/>
  <c r="H174" i="54"/>
  <c r="H173" i="54"/>
  <c r="H172" i="54"/>
  <c r="H171" i="54"/>
  <c r="H170" i="54"/>
  <c r="H169" i="54"/>
  <c r="H168" i="54"/>
  <c r="H167" i="54"/>
  <c r="H166" i="54"/>
  <c r="H165" i="54"/>
  <c r="H164" i="54"/>
  <c r="H163" i="54"/>
  <c r="H162" i="54"/>
  <c r="H161" i="54"/>
  <c r="H160" i="54"/>
  <c r="H159" i="54"/>
  <c r="H158" i="54"/>
  <c r="H157" i="54"/>
  <c r="H156" i="54"/>
  <c r="H155" i="54"/>
  <c r="H154" i="54"/>
  <c r="H153" i="54"/>
  <c r="H152" i="54"/>
  <c r="H151" i="54"/>
  <c r="H150" i="54"/>
  <c r="H149" i="54"/>
  <c r="H148" i="54"/>
  <c r="H147" i="54"/>
  <c r="H146" i="54"/>
  <c r="H145" i="54"/>
  <c r="H144" i="54"/>
  <c r="H143" i="54"/>
  <c r="H142" i="54"/>
  <c r="H141" i="54"/>
  <c r="H140" i="54"/>
  <c r="H139" i="54"/>
  <c r="H138" i="54"/>
  <c r="H137" i="54"/>
  <c r="H136" i="54"/>
  <c r="H135" i="54"/>
  <c r="H134" i="54"/>
  <c r="H133" i="54"/>
  <c r="H132" i="54"/>
  <c r="H131" i="54"/>
  <c r="H130" i="54"/>
  <c r="H129" i="54"/>
  <c r="H128" i="54"/>
  <c r="H127" i="54"/>
  <c r="H126" i="54"/>
  <c r="H125" i="54"/>
  <c r="H124" i="54"/>
  <c r="H123" i="54"/>
  <c r="H122" i="54"/>
  <c r="H121" i="54"/>
  <c r="H120" i="54"/>
  <c r="H119" i="54"/>
  <c r="H118" i="54"/>
  <c r="H117" i="54"/>
  <c r="H116" i="54"/>
  <c r="H115" i="54"/>
  <c r="H114" i="54"/>
  <c r="H113" i="54"/>
  <c r="H112" i="54"/>
  <c r="H111" i="54"/>
  <c r="H110" i="54"/>
  <c r="H109" i="54"/>
  <c r="H108" i="54"/>
  <c r="H107" i="54"/>
  <c r="H106" i="54"/>
  <c r="H105" i="54"/>
  <c r="H104" i="54"/>
  <c r="H103" i="54"/>
  <c r="H102" i="54"/>
  <c r="H101" i="54"/>
  <c r="H100" i="54"/>
  <c r="H99" i="54"/>
  <c r="H98" i="54"/>
  <c r="H97" i="54"/>
  <c r="H96" i="54"/>
  <c r="H95" i="54"/>
  <c r="H94" i="54"/>
  <c r="H93" i="54"/>
  <c r="H92" i="54"/>
  <c r="H91" i="54"/>
  <c r="H90" i="54"/>
  <c r="H89" i="54"/>
  <c r="H88" i="54"/>
  <c r="H87" i="54"/>
  <c r="H86" i="54"/>
  <c r="H85" i="54"/>
  <c r="H84" i="54"/>
  <c r="H83" i="54"/>
  <c r="H82" i="54"/>
  <c r="H81" i="54"/>
  <c r="H80" i="54"/>
  <c r="H79" i="54"/>
  <c r="H78" i="54"/>
  <c r="H77" i="54"/>
  <c r="H76" i="54"/>
  <c r="H75" i="54"/>
  <c r="H74" i="54"/>
  <c r="H73" i="54"/>
  <c r="H72" i="54"/>
  <c r="H71" i="54"/>
  <c r="H70" i="54"/>
  <c r="H69" i="54"/>
  <c r="H68" i="54"/>
  <c r="H67" i="54"/>
  <c r="H66" i="54"/>
  <c r="H65" i="54"/>
  <c r="H64" i="54"/>
  <c r="H63" i="54"/>
  <c r="H62" i="54"/>
  <c r="H61" i="54"/>
  <c r="H60" i="54"/>
  <c r="H59" i="54"/>
  <c r="H58" i="54"/>
  <c r="H57" i="54"/>
  <c r="H56" i="54"/>
  <c r="H55" i="54"/>
  <c r="H54" i="54"/>
  <c r="H53" i="54"/>
  <c r="H52" i="54"/>
  <c r="H51" i="54"/>
  <c r="H50" i="54"/>
  <c r="H49" i="54"/>
  <c r="H48" i="54"/>
  <c r="H47" i="54"/>
  <c r="H46" i="54"/>
  <c r="AS45" i="54"/>
  <c r="H45" i="54"/>
  <c r="H44" i="54"/>
  <c r="H43" i="54"/>
  <c r="H42" i="54"/>
  <c r="H41" i="54"/>
  <c r="H40" i="54"/>
  <c r="H39" i="54"/>
  <c r="H38" i="54"/>
  <c r="H37" i="54"/>
  <c r="H36" i="54"/>
  <c r="H35" i="54"/>
  <c r="AV34" i="54"/>
  <c r="H34" i="54"/>
  <c r="AV33" i="54"/>
  <c r="H33" i="54"/>
  <c r="AV32" i="54"/>
  <c r="H32" i="54"/>
  <c r="AV31" i="54"/>
  <c r="H31" i="54"/>
  <c r="AV30" i="54"/>
  <c r="H30" i="54"/>
  <c r="AV29" i="54"/>
  <c r="H29" i="54"/>
  <c r="AV28" i="54"/>
  <c r="H28" i="54"/>
  <c r="AV27" i="54"/>
  <c r="H27" i="54"/>
  <c r="AV26" i="54"/>
  <c r="H26" i="54"/>
  <c r="AV25" i="54"/>
  <c r="H25" i="54"/>
  <c r="AV24" i="54"/>
  <c r="H24" i="54"/>
  <c r="AV23" i="54"/>
  <c r="AR23" i="54"/>
  <c r="AS23" i="54" s="1"/>
  <c r="H23" i="54"/>
  <c r="AR22" i="54"/>
  <c r="AR24" i="54" s="1"/>
  <c r="L11" i="54" s="1"/>
  <c r="J22" i="54"/>
  <c r="H22" i="54"/>
  <c r="J21" i="54"/>
  <c r="H21" i="54"/>
  <c r="H20" i="54"/>
  <c r="Z19" i="54"/>
  <c r="Y19" i="54"/>
  <c r="X19" i="54"/>
  <c r="AR28" i="54"/>
  <c r="AR26" i="54"/>
  <c r="AR27" i="54" s="1"/>
  <c r="X10" i="54"/>
  <c r="X9" i="54"/>
  <c r="X8" i="54"/>
  <c r="M7" i="54"/>
  <c r="T5" i="54"/>
  <c r="Q5" i="54"/>
  <c r="S4" i="54"/>
  <c r="R4" i="54"/>
  <c r="AS45" i="53"/>
  <c r="AV34" i="53"/>
  <c r="AV33" i="53"/>
  <c r="AV32" i="53"/>
  <c r="AV31" i="53"/>
  <c r="AV30" i="53"/>
  <c r="AV29" i="53"/>
  <c r="AV28" i="53"/>
  <c r="AV27" i="53"/>
  <c r="AV26" i="53"/>
  <c r="AV25" i="53"/>
  <c r="AV24" i="53"/>
  <c r="AV23" i="53"/>
  <c r="J21" i="53"/>
  <c r="Z19" i="53"/>
  <c r="Y19" i="53"/>
  <c r="X19" i="53"/>
  <c r="X10" i="53"/>
  <c r="X9" i="53"/>
  <c r="X8" i="53"/>
  <c r="Q5" i="53"/>
  <c r="S4" i="53"/>
  <c r="R4" i="53"/>
  <c r="AR46" i="54" l="1"/>
  <c r="AR46" i="53"/>
  <c r="L395" i="54"/>
  <c r="I393" i="54"/>
  <c r="K401" i="54"/>
  <c r="V400" i="54"/>
  <c r="L395" i="53"/>
  <c r="I393" i="53"/>
  <c r="I393" i="46"/>
  <c r="I394" i="45"/>
  <c r="J395" i="44"/>
  <c r="R48" i="58"/>
  <c r="Q23" i="58"/>
  <c r="R20" i="54"/>
  <c r="N20" i="53"/>
  <c r="AR37" i="54"/>
  <c r="AR35" i="54" s="1"/>
  <c r="L20" i="54"/>
  <c r="S6" i="54"/>
  <c r="X21" i="54" s="1"/>
  <c r="T13" i="54"/>
  <c r="J23" i="54"/>
  <c r="S7" i="54"/>
  <c r="AR33" i="54"/>
  <c r="AR29" i="54"/>
  <c r="T8" i="54" s="1"/>
  <c r="T9" i="54" s="1"/>
  <c r="T23" i="26" s="1"/>
  <c r="L13" i="53"/>
  <c r="AR28" i="53"/>
  <c r="AR26" i="53"/>
  <c r="AR27" i="53" s="1"/>
  <c r="S7" i="53" s="1"/>
  <c r="S6" i="53"/>
  <c r="J22" i="53"/>
  <c r="D395" i="54" l="1"/>
  <c r="F395" i="54"/>
  <c r="V401" i="54"/>
  <c r="K402" i="54"/>
  <c r="F395" i="53"/>
  <c r="H395" i="53"/>
  <c r="D395" i="53"/>
  <c r="I394" i="46"/>
  <c r="I395" i="45"/>
  <c r="J396" i="44"/>
  <c r="S48" i="58"/>
  <c r="R23" i="58"/>
  <c r="AR36" i="54"/>
  <c r="Z21" i="53"/>
  <c r="K20" i="54"/>
  <c r="K21" i="54" s="1"/>
  <c r="K22" i="54" s="1"/>
  <c r="K23" i="54" s="1"/>
  <c r="X20" i="54"/>
  <c r="Z20" i="54"/>
  <c r="Z21" i="54"/>
  <c r="Y20" i="54"/>
  <c r="T20" i="54"/>
  <c r="O20" i="54"/>
  <c r="Y22" i="54"/>
  <c r="D20" i="54"/>
  <c r="F20" i="54"/>
  <c r="J24" i="54"/>
  <c r="O23" i="54"/>
  <c r="Y21" i="54"/>
  <c r="Z22" i="54"/>
  <c r="X22" i="54"/>
  <c r="AR31" i="54"/>
  <c r="AR32" i="54"/>
  <c r="AR41" i="54"/>
  <c r="AS39" i="54"/>
  <c r="AR39" i="54"/>
  <c r="AR40" i="54"/>
  <c r="AS40" i="54" s="1"/>
  <c r="AC20" i="54"/>
  <c r="AC21" i="54" s="1"/>
  <c r="AC22" i="54" s="1"/>
  <c r="AC23" i="54" s="1"/>
  <c r="AC24" i="54" s="1"/>
  <c r="AC25" i="54" s="1"/>
  <c r="AC26" i="54" s="1"/>
  <c r="AC27" i="54" s="1"/>
  <c r="AC28" i="54" s="1"/>
  <c r="AC29" i="54" s="1"/>
  <c r="AC30" i="54" s="1"/>
  <c r="AC31" i="54" s="1"/>
  <c r="AC32" i="54" s="1"/>
  <c r="AC33" i="54" s="1"/>
  <c r="AC34" i="54" s="1"/>
  <c r="AC35" i="54" s="1"/>
  <c r="AC36" i="54" s="1"/>
  <c r="AC37" i="54" s="1"/>
  <c r="AC38" i="54" s="1"/>
  <c r="AC39" i="54" s="1"/>
  <c r="AC40" i="54" s="1"/>
  <c r="AC41" i="54" s="1"/>
  <c r="AC42" i="54" s="1"/>
  <c r="AC43" i="54" s="1"/>
  <c r="AC44" i="54" s="1"/>
  <c r="AC45" i="54" s="1"/>
  <c r="AC46" i="54" s="1"/>
  <c r="AC47" i="54" s="1"/>
  <c r="AC48" i="54" s="1"/>
  <c r="AC49" i="54" s="1"/>
  <c r="AD20" i="54"/>
  <c r="AR29" i="53"/>
  <c r="Z20" i="53"/>
  <c r="Y20" i="53"/>
  <c r="Y21" i="53"/>
  <c r="X20" i="53"/>
  <c r="X21" i="53"/>
  <c r="Y22" i="53"/>
  <c r="J23" i="53"/>
  <c r="X22" i="53"/>
  <c r="Z22" i="53"/>
  <c r="T8" i="53" l="1"/>
  <c r="T9" i="53" s="1"/>
  <c r="P23" i="26" s="1"/>
  <c r="L396" i="54"/>
  <c r="I394" i="54"/>
  <c r="K403" i="54"/>
  <c r="V402" i="54"/>
  <c r="L396" i="53"/>
  <c r="I394" i="53"/>
  <c r="I395" i="46"/>
  <c r="I396" i="45"/>
  <c r="J397" i="44"/>
  <c r="S23" i="58"/>
  <c r="S190" i="58"/>
  <c r="S89" i="58"/>
  <c r="S100" i="58" s="1"/>
  <c r="S122" i="58" s="1"/>
  <c r="S138" i="58" s="1"/>
  <c r="S154" i="58" s="1"/>
  <c r="S170" i="58" s="1"/>
  <c r="S208" i="58"/>
  <c r="S219" i="58" s="1"/>
  <c r="S241" i="58" s="1"/>
  <c r="S257" i="58" s="1"/>
  <c r="S273" i="58" s="1"/>
  <c r="S289" i="58" s="1"/>
  <c r="S71" i="58"/>
  <c r="AD21" i="54"/>
  <c r="AE20" i="54"/>
  <c r="C20" i="54"/>
  <c r="E20" i="54" s="1"/>
  <c r="J25" i="54"/>
  <c r="K24" i="54"/>
  <c r="AA20" i="54"/>
  <c r="V20" i="54"/>
  <c r="L21" i="54"/>
  <c r="J24" i="53"/>
  <c r="K20" i="53"/>
  <c r="K21" i="53" s="1"/>
  <c r="K22" i="53" s="1"/>
  <c r="K23" i="53" s="1"/>
  <c r="T7" i="53"/>
  <c r="F396" i="54" l="1"/>
  <c r="D396" i="54"/>
  <c r="V403" i="54"/>
  <c r="K404" i="54"/>
  <c r="F396" i="53"/>
  <c r="D396" i="53"/>
  <c r="H396" i="53"/>
  <c r="I396" i="46"/>
  <c r="I397" i="45"/>
  <c r="J398" i="44"/>
  <c r="G20" i="54"/>
  <c r="F21" i="54"/>
  <c r="D21" i="54"/>
  <c r="K25" i="54"/>
  <c r="J26" i="54"/>
  <c r="AD22" i="54"/>
  <c r="J25" i="53"/>
  <c r="K24" i="53"/>
  <c r="V20" i="53"/>
  <c r="L397" i="54" l="1"/>
  <c r="I395" i="54"/>
  <c r="K405" i="54"/>
  <c r="V404" i="54"/>
  <c r="L397" i="53"/>
  <c r="I395" i="53"/>
  <c r="I397" i="46"/>
  <c r="I398" i="45"/>
  <c r="J399" i="44"/>
  <c r="J27" i="54"/>
  <c r="K26" i="54"/>
  <c r="L22" i="54"/>
  <c r="I20" i="54"/>
  <c r="M21" i="54" s="1"/>
  <c r="AD23" i="54"/>
  <c r="K25" i="53"/>
  <c r="J26" i="53"/>
  <c r="D397" i="54" l="1"/>
  <c r="F397" i="54"/>
  <c r="V405" i="54"/>
  <c r="K406" i="54"/>
  <c r="F397" i="53"/>
  <c r="D397" i="53"/>
  <c r="H397" i="53"/>
  <c r="I398" i="46"/>
  <c r="I399" i="45"/>
  <c r="J400" i="44"/>
  <c r="C21" i="54"/>
  <c r="E21" i="54" s="1"/>
  <c r="AD24" i="54"/>
  <c r="D22" i="54"/>
  <c r="F22" i="54"/>
  <c r="J28" i="54"/>
  <c r="K27" i="54"/>
  <c r="J27" i="53"/>
  <c r="K26" i="53"/>
  <c r="L398" i="54" l="1"/>
  <c r="I396" i="54"/>
  <c r="K407" i="54"/>
  <c r="V406" i="54"/>
  <c r="L398" i="53"/>
  <c r="I396" i="53"/>
  <c r="I399" i="46"/>
  <c r="I400" i="45"/>
  <c r="J401" i="44"/>
  <c r="G21" i="54"/>
  <c r="J29" i="54"/>
  <c r="K28" i="54"/>
  <c r="L23" i="54"/>
  <c r="I21" i="54"/>
  <c r="M22" i="54" s="1"/>
  <c r="AD25" i="54"/>
  <c r="J28" i="53"/>
  <c r="K27" i="53"/>
  <c r="F398" i="54" l="1"/>
  <c r="D398" i="54"/>
  <c r="V407" i="54"/>
  <c r="K408" i="54"/>
  <c r="F398" i="53"/>
  <c r="H398" i="53"/>
  <c r="D398" i="53"/>
  <c r="I400" i="46"/>
  <c r="I401" i="45"/>
  <c r="J402" i="44"/>
  <c r="D23" i="54"/>
  <c r="F23" i="54"/>
  <c r="J30" i="54"/>
  <c r="K29" i="54"/>
  <c r="O29" i="54" s="1"/>
  <c r="AD26" i="54"/>
  <c r="C22" i="54"/>
  <c r="E22" i="54" s="1"/>
  <c r="J29" i="53"/>
  <c r="K28" i="53"/>
  <c r="L399" i="54" l="1"/>
  <c r="I397" i="54"/>
  <c r="K409" i="54"/>
  <c r="V408" i="54"/>
  <c r="L399" i="53"/>
  <c r="I397" i="53"/>
  <c r="I401" i="46"/>
  <c r="I402" i="45"/>
  <c r="J403" i="44"/>
  <c r="G22" i="54"/>
  <c r="AD27" i="54"/>
  <c r="L24" i="54"/>
  <c r="I22" i="54"/>
  <c r="M23" i="54" s="1"/>
  <c r="K30" i="54"/>
  <c r="O30" i="54" s="1"/>
  <c r="J31" i="54"/>
  <c r="J30" i="53"/>
  <c r="K29" i="53"/>
  <c r="D399" i="54" l="1"/>
  <c r="F399" i="54"/>
  <c r="V409" i="54"/>
  <c r="K410" i="54"/>
  <c r="F399" i="53"/>
  <c r="D399" i="53"/>
  <c r="H399" i="53"/>
  <c r="I402" i="46"/>
  <c r="I403" i="45"/>
  <c r="J404" i="44"/>
  <c r="J32" i="54"/>
  <c r="K31" i="54"/>
  <c r="F24" i="54"/>
  <c r="D24" i="54"/>
  <c r="C23" i="54"/>
  <c r="E23" i="54" s="1"/>
  <c r="AD28" i="54"/>
  <c r="K30" i="53"/>
  <c r="J31" i="53"/>
  <c r="L400" i="54" l="1"/>
  <c r="I398" i="54"/>
  <c r="K411" i="54"/>
  <c r="V410" i="54"/>
  <c r="L400" i="53"/>
  <c r="I398" i="53"/>
  <c r="I403" i="46"/>
  <c r="I404" i="45"/>
  <c r="J405" i="44"/>
  <c r="AD29" i="54"/>
  <c r="G23" i="54"/>
  <c r="J33" i="54"/>
  <c r="K32" i="54"/>
  <c r="L25" i="54"/>
  <c r="I23" i="54"/>
  <c r="M24" i="54" s="1"/>
  <c r="O31" i="54"/>
  <c r="J32" i="53"/>
  <c r="K31" i="53"/>
  <c r="F400" i="54" l="1"/>
  <c r="D400" i="54"/>
  <c r="V411" i="54"/>
  <c r="K412" i="54"/>
  <c r="F400" i="53"/>
  <c r="H400" i="53"/>
  <c r="D400" i="53"/>
  <c r="I404" i="46"/>
  <c r="I405" i="45"/>
  <c r="J406" i="44"/>
  <c r="D25" i="54"/>
  <c r="F25" i="54"/>
  <c r="C24" i="54"/>
  <c r="E24" i="54" s="1"/>
  <c r="G24" i="54" s="1"/>
  <c r="J34" i="54"/>
  <c r="K33" i="54"/>
  <c r="O32" i="54"/>
  <c r="AD30" i="54"/>
  <c r="J33" i="53"/>
  <c r="K32" i="53"/>
  <c r="L401" i="54" l="1"/>
  <c r="I399" i="54"/>
  <c r="K413" i="54"/>
  <c r="V412" i="54"/>
  <c r="L401" i="53"/>
  <c r="I399" i="53"/>
  <c r="I405" i="46"/>
  <c r="I406" i="45"/>
  <c r="J407" i="44"/>
  <c r="AD31" i="54"/>
  <c r="O33" i="54"/>
  <c r="L26" i="54"/>
  <c r="I24" i="54"/>
  <c r="M25" i="54" s="1"/>
  <c r="K34" i="54"/>
  <c r="J35" i="54"/>
  <c r="K33" i="53"/>
  <c r="J34" i="53"/>
  <c r="D401" i="54" l="1"/>
  <c r="F401" i="54"/>
  <c r="K414" i="54"/>
  <c r="V413" i="54"/>
  <c r="F401" i="53"/>
  <c r="D401" i="53"/>
  <c r="H401" i="53"/>
  <c r="I406" i="46"/>
  <c r="I407" i="45"/>
  <c r="J408" i="44"/>
  <c r="C25" i="54"/>
  <c r="E25" i="54" s="1"/>
  <c r="G25" i="54" s="1"/>
  <c r="AD32" i="54"/>
  <c r="D26" i="54"/>
  <c r="F26" i="54"/>
  <c r="K35" i="54"/>
  <c r="J36" i="54"/>
  <c r="O34" i="54"/>
  <c r="K34" i="53"/>
  <c r="J35" i="53"/>
  <c r="L402" i="54" l="1"/>
  <c r="I400" i="54"/>
  <c r="V414" i="54"/>
  <c r="K415" i="54"/>
  <c r="L402" i="53"/>
  <c r="I400" i="53"/>
  <c r="I407" i="46"/>
  <c r="I408" i="45"/>
  <c r="J409" i="44"/>
  <c r="K36" i="54"/>
  <c r="J37" i="54"/>
  <c r="O35" i="54"/>
  <c r="L27" i="54"/>
  <c r="I25" i="54"/>
  <c r="M26" i="54" s="1"/>
  <c r="AD33" i="54"/>
  <c r="K35" i="53"/>
  <c r="J36" i="53"/>
  <c r="F402" i="54" l="1"/>
  <c r="D402" i="54"/>
  <c r="K416" i="54"/>
  <c r="V415" i="54"/>
  <c r="F402" i="53"/>
  <c r="H402" i="53"/>
  <c r="D402" i="53"/>
  <c r="I408" i="46"/>
  <c r="I409" i="45"/>
  <c r="J410" i="44"/>
  <c r="D27" i="54"/>
  <c r="F27" i="54"/>
  <c r="O36" i="54"/>
  <c r="AD34" i="54"/>
  <c r="C26" i="54"/>
  <c r="E26" i="54" s="1"/>
  <c r="G26" i="54" s="1"/>
  <c r="K37" i="54"/>
  <c r="J38" i="54"/>
  <c r="K36" i="53"/>
  <c r="J37" i="53"/>
  <c r="L403" i="54" l="1"/>
  <c r="I401" i="54"/>
  <c r="V416" i="54"/>
  <c r="K417" i="54"/>
  <c r="L403" i="53"/>
  <c r="I401" i="53"/>
  <c r="I409" i="46"/>
  <c r="I410" i="45"/>
  <c r="J411" i="44"/>
  <c r="O37" i="54"/>
  <c r="AD35" i="54"/>
  <c r="L28" i="54"/>
  <c r="I26" i="54"/>
  <c r="M27" i="54" s="1"/>
  <c r="K38" i="54"/>
  <c r="J39" i="54"/>
  <c r="K37" i="53"/>
  <c r="J38" i="53"/>
  <c r="D403" i="54" l="1"/>
  <c r="F403" i="54"/>
  <c r="K418" i="54"/>
  <c r="V417" i="54"/>
  <c r="F403" i="53"/>
  <c r="D403" i="53"/>
  <c r="H403" i="53"/>
  <c r="I410" i="46"/>
  <c r="I411" i="45"/>
  <c r="J412" i="44"/>
  <c r="O38" i="54"/>
  <c r="F28" i="54"/>
  <c r="D28" i="54"/>
  <c r="C27" i="54"/>
  <c r="E27" i="54" s="1"/>
  <c r="G27" i="54" s="1"/>
  <c r="AD36" i="54"/>
  <c r="J40" i="54"/>
  <c r="K39" i="54"/>
  <c r="J39" i="53"/>
  <c r="K38" i="53"/>
  <c r="L404" i="54" l="1"/>
  <c r="I402" i="54"/>
  <c r="V418" i="54"/>
  <c r="K419" i="54"/>
  <c r="L404" i="53"/>
  <c r="I402" i="53"/>
  <c r="I411" i="46"/>
  <c r="I412" i="45"/>
  <c r="J413" i="44"/>
  <c r="O39" i="54"/>
  <c r="J41" i="54"/>
  <c r="K40" i="54"/>
  <c r="O40" i="54" s="1"/>
  <c r="AD37" i="54"/>
  <c r="L29" i="54"/>
  <c r="I27" i="54"/>
  <c r="M28" i="54" s="1"/>
  <c r="J40" i="53"/>
  <c r="K39" i="53"/>
  <c r="F404" i="54" l="1"/>
  <c r="D404" i="54"/>
  <c r="K420" i="54"/>
  <c r="V419" i="54"/>
  <c r="F404" i="53"/>
  <c r="D404" i="53"/>
  <c r="H404" i="53"/>
  <c r="I412" i="46"/>
  <c r="I413" i="45"/>
  <c r="J414" i="44"/>
  <c r="C28" i="54"/>
  <c r="E28" i="54" s="1"/>
  <c r="G28" i="54" s="1"/>
  <c r="AD38" i="54"/>
  <c r="J42" i="54"/>
  <c r="K41" i="54"/>
  <c r="F29" i="54"/>
  <c r="D29" i="54"/>
  <c r="J41" i="53"/>
  <c r="K40" i="53"/>
  <c r="L405" i="54" l="1"/>
  <c r="I403" i="54"/>
  <c r="V420" i="54"/>
  <c r="K421" i="54"/>
  <c r="L405" i="53"/>
  <c r="I403" i="53"/>
  <c r="I413" i="46"/>
  <c r="I414" i="45"/>
  <c r="J415" i="44"/>
  <c r="L30" i="54"/>
  <c r="I28" i="54"/>
  <c r="M29" i="54" s="1"/>
  <c r="J43" i="54"/>
  <c r="K42" i="54"/>
  <c r="AD39" i="54"/>
  <c r="O41" i="54"/>
  <c r="K41" i="53"/>
  <c r="J42" i="53"/>
  <c r="D405" i="54" l="1"/>
  <c r="F405" i="54"/>
  <c r="V421" i="54"/>
  <c r="K422" i="54"/>
  <c r="F405" i="53"/>
  <c r="H405" i="53"/>
  <c r="D405" i="53"/>
  <c r="I414" i="46"/>
  <c r="I415" i="45"/>
  <c r="J416" i="44"/>
  <c r="C29" i="54"/>
  <c r="E29" i="54" s="1"/>
  <c r="G29" i="54" s="1"/>
  <c r="AD40" i="54"/>
  <c r="O42" i="54"/>
  <c r="K43" i="54"/>
  <c r="O43" i="54" s="1"/>
  <c r="J44" i="54"/>
  <c r="F30" i="54"/>
  <c r="D30" i="54"/>
  <c r="K42" i="53"/>
  <c r="J43" i="53"/>
  <c r="L406" i="54" l="1"/>
  <c r="I404" i="54"/>
  <c r="V422" i="54"/>
  <c r="K423" i="54"/>
  <c r="L406" i="53"/>
  <c r="I404" i="53"/>
  <c r="I415" i="46"/>
  <c r="I416" i="45"/>
  <c r="J417" i="44"/>
  <c r="AD41" i="54"/>
  <c r="L31" i="54"/>
  <c r="I29" i="54"/>
  <c r="M30" i="54" s="1"/>
  <c r="K44" i="54"/>
  <c r="J45" i="54"/>
  <c r="K43" i="53"/>
  <c r="J44" i="53"/>
  <c r="F406" i="54" l="1"/>
  <c r="D406" i="54"/>
  <c r="V423" i="54"/>
  <c r="K424" i="54"/>
  <c r="F406" i="53"/>
  <c r="H406" i="53"/>
  <c r="D406" i="53"/>
  <c r="I416" i="46"/>
  <c r="I417" i="45"/>
  <c r="J418" i="44"/>
  <c r="D31" i="54"/>
  <c r="F31" i="54"/>
  <c r="AD42" i="54"/>
  <c r="O44" i="54"/>
  <c r="J46" i="54"/>
  <c r="K45" i="54"/>
  <c r="C30" i="54"/>
  <c r="E30" i="54" s="1"/>
  <c r="G30" i="54" s="1"/>
  <c r="K44" i="53"/>
  <c r="J45" i="53"/>
  <c r="L407" i="54" l="1"/>
  <c r="I405" i="54"/>
  <c r="V424" i="54"/>
  <c r="K425" i="54"/>
  <c r="L407" i="53"/>
  <c r="I405" i="53"/>
  <c r="I417" i="46"/>
  <c r="I418" i="45"/>
  <c r="J419" i="44"/>
  <c r="L32" i="54"/>
  <c r="I30" i="54"/>
  <c r="M31" i="54" s="1"/>
  <c r="J47" i="54"/>
  <c r="K46" i="54"/>
  <c r="O46" i="54" s="1"/>
  <c r="AD43" i="54"/>
  <c r="O45" i="54"/>
  <c r="J46" i="53"/>
  <c r="K45" i="53"/>
  <c r="D407" i="54" l="1"/>
  <c r="F407" i="54"/>
  <c r="V425" i="54"/>
  <c r="K426" i="54"/>
  <c r="F407" i="53"/>
  <c r="H407" i="53"/>
  <c r="D407" i="53"/>
  <c r="I418" i="46"/>
  <c r="I419" i="45"/>
  <c r="J420" i="44"/>
  <c r="J48" i="54"/>
  <c r="K47" i="54"/>
  <c r="C31" i="54"/>
  <c r="E31" i="54" s="1"/>
  <c r="G31" i="54" s="1"/>
  <c r="AD44" i="54"/>
  <c r="D32" i="54"/>
  <c r="F32" i="54"/>
  <c r="K46" i="53"/>
  <c r="J47" i="53"/>
  <c r="L408" i="54" l="1"/>
  <c r="I406" i="54"/>
  <c r="V426" i="54"/>
  <c r="K427" i="54"/>
  <c r="L408" i="53"/>
  <c r="I406" i="53"/>
  <c r="I419" i="46"/>
  <c r="I420" i="45"/>
  <c r="J421" i="44"/>
  <c r="L33" i="54"/>
  <c r="I31" i="54"/>
  <c r="M32" i="54" s="1"/>
  <c r="AD45" i="54"/>
  <c r="K48" i="54"/>
  <c r="J49" i="54"/>
  <c r="O47" i="54"/>
  <c r="K47" i="53"/>
  <c r="J48" i="53"/>
  <c r="F408" i="54" l="1"/>
  <c r="D408" i="54"/>
  <c r="V427" i="54"/>
  <c r="K428" i="54"/>
  <c r="F408" i="53"/>
  <c r="D408" i="53"/>
  <c r="H408" i="53"/>
  <c r="I420" i="46"/>
  <c r="I421" i="45"/>
  <c r="J422" i="44"/>
  <c r="AD46" i="54"/>
  <c r="O48" i="54"/>
  <c r="C32" i="54"/>
  <c r="E32" i="54" s="1"/>
  <c r="G32" i="54" s="1"/>
  <c r="K49" i="54"/>
  <c r="J50" i="54"/>
  <c r="D33" i="54"/>
  <c r="F33" i="54"/>
  <c r="K48" i="53"/>
  <c r="J49" i="53"/>
  <c r="L409" i="54" l="1"/>
  <c r="I407" i="54"/>
  <c r="V428" i="54"/>
  <c r="K429" i="54"/>
  <c r="L409" i="53"/>
  <c r="I407" i="53"/>
  <c r="I421" i="46"/>
  <c r="I422" i="45"/>
  <c r="J423" i="44"/>
  <c r="K50" i="54"/>
  <c r="O50" i="54" s="1"/>
  <c r="J51" i="54"/>
  <c r="L34" i="54"/>
  <c r="I32" i="54"/>
  <c r="M33" i="54" s="1"/>
  <c r="O49" i="54"/>
  <c r="AD47" i="54"/>
  <c r="K49" i="53"/>
  <c r="J50" i="53"/>
  <c r="D409" i="54" l="1"/>
  <c r="F409" i="54"/>
  <c r="V429" i="54"/>
  <c r="K430" i="54"/>
  <c r="F409" i="53"/>
  <c r="H409" i="53"/>
  <c r="D409" i="53"/>
  <c r="I422" i="46"/>
  <c r="I423" i="45"/>
  <c r="J424" i="44"/>
  <c r="D34" i="54"/>
  <c r="F34" i="54"/>
  <c r="K51" i="54"/>
  <c r="O51" i="54" s="1"/>
  <c r="J52" i="54"/>
  <c r="C33" i="54"/>
  <c r="E33" i="54" s="1"/>
  <c r="G33" i="54" s="1"/>
  <c r="AD48" i="54"/>
  <c r="K50" i="53"/>
  <c r="J51" i="53"/>
  <c r="L410" i="54" l="1"/>
  <c r="I408" i="54"/>
  <c r="V430" i="54"/>
  <c r="K431" i="54"/>
  <c r="L410" i="53"/>
  <c r="I408" i="53"/>
  <c r="I423" i="46"/>
  <c r="I424" i="45"/>
  <c r="J425" i="44"/>
  <c r="AD49" i="54"/>
  <c r="K52" i="54"/>
  <c r="J53" i="54"/>
  <c r="L35" i="54"/>
  <c r="I33" i="54"/>
  <c r="M34" i="54" s="1"/>
  <c r="K51" i="53"/>
  <c r="J52" i="53"/>
  <c r="F410" i="54" l="1"/>
  <c r="D410" i="54"/>
  <c r="V431" i="54"/>
  <c r="K432" i="54"/>
  <c r="F410" i="53"/>
  <c r="H410" i="53"/>
  <c r="D410" i="53"/>
  <c r="I424" i="46"/>
  <c r="I425" i="45"/>
  <c r="J426" i="44"/>
  <c r="C34" i="54"/>
  <c r="E34" i="54" s="1"/>
  <c r="G34" i="54" s="1"/>
  <c r="O52" i="54"/>
  <c r="D35" i="54"/>
  <c r="F35" i="54"/>
  <c r="K53" i="54"/>
  <c r="J54" i="54"/>
  <c r="K52" i="53"/>
  <c r="J53" i="53"/>
  <c r="L411" i="54" l="1"/>
  <c r="I409" i="54"/>
  <c r="V432" i="54"/>
  <c r="K433" i="54"/>
  <c r="L411" i="53"/>
  <c r="I409" i="53"/>
  <c r="I425" i="46"/>
  <c r="I426" i="45"/>
  <c r="J427" i="44"/>
  <c r="O53" i="54"/>
  <c r="K54" i="54"/>
  <c r="J55" i="54"/>
  <c r="L36" i="54"/>
  <c r="I34" i="54"/>
  <c r="M35" i="54" s="1"/>
  <c r="K53" i="53"/>
  <c r="J54" i="53"/>
  <c r="D411" i="54" l="1"/>
  <c r="F411" i="54"/>
  <c r="V433" i="54"/>
  <c r="K434" i="54"/>
  <c r="F411" i="53"/>
  <c r="H411" i="53"/>
  <c r="D411" i="53"/>
  <c r="I426" i="46"/>
  <c r="I427" i="45"/>
  <c r="J428" i="44"/>
  <c r="F36" i="54"/>
  <c r="D36" i="54"/>
  <c r="K55" i="54"/>
  <c r="O55" i="54" s="1"/>
  <c r="J56" i="54"/>
  <c r="C35" i="54"/>
  <c r="E35" i="54" s="1"/>
  <c r="G35" i="54" s="1"/>
  <c r="O54" i="54"/>
  <c r="K54" i="53"/>
  <c r="J55" i="53"/>
  <c r="L412" i="54" l="1"/>
  <c r="I410" i="54"/>
  <c r="V434" i="54"/>
  <c r="K435" i="54"/>
  <c r="L412" i="53"/>
  <c r="I410" i="53"/>
  <c r="I427" i="46"/>
  <c r="I428" i="45"/>
  <c r="J429" i="44"/>
  <c r="K56" i="54"/>
  <c r="J57" i="54"/>
  <c r="L37" i="54"/>
  <c r="I35" i="54"/>
  <c r="M36" i="54" s="1"/>
  <c r="K55" i="53"/>
  <c r="J56" i="53"/>
  <c r="F412" i="54" l="1"/>
  <c r="D412" i="54"/>
  <c r="V435" i="54"/>
  <c r="K436" i="54"/>
  <c r="F412" i="53"/>
  <c r="D412" i="53"/>
  <c r="H412" i="53"/>
  <c r="I428" i="46"/>
  <c r="I429" i="45"/>
  <c r="J430" i="44"/>
  <c r="O56" i="54"/>
  <c r="C36" i="54"/>
  <c r="E36" i="54" s="1"/>
  <c r="G36" i="54" s="1"/>
  <c r="K57" i="54"/>
  <c r="O57" i="54" s="1"/>
  <c r="J58" i="54"/>
  <c r="F37" i="54"/>
  <c r="D37" i="54"/>
  <c r="K56" i="53"/>
  <c r="J57" i="53"/>
  <c r="L413" i="54" l="1"/>
  <c r="I411" i="54"/>
  <c r="V436" i="54"/>
  <c r="K437" i="54"/>
  <c r="L413" i="53"/>
  <c r="I411" i="53"/>
  <c r="I429" i="46"/>
  <c r="I430" i="45"/>
  <c r="J431" i="44"/>
  <c r="L38" i="54"/>
  <c r="I36" i="54"/>
  <c r="M37" i="54" s="1"/>
  <c r="K58" i="54"/>
  <c r="J59" i="54"/>
  <c r="K57" i="53"/>
  <c r="J58" i="53"/>
  <c r="D413" i="54" l="1"/>
  <c r="F413" i="54"/>
  <c r="V437" i="54"/>
  <c r="K438" i="54"/>
  <c r="F413" i="53"/>
  <c r="H413" i="53"/>
  <c r="D413" i="53"/>
  <c r="I430" i="46"/>
  <c r="I431" i="45"/>
  <c r="J432" i="44"/>
  <c r="C37" i="54"/>
  <c r="E37" i="54" s="1"/>
  <c r="G37" i="54" s="1"/>
  <c r="F38" i="54"/>
  <c r="D38" i="54"/>
  <c r="K59" i="54"/>
  <c r="J60" i="54"/>
  <c r="O58" i="54"/>
  <c r="K58" i="53"/>
  <c r="J59" i="53"/>
  <c r="L414" i="54" l="1"/>
  <c r="I412" i="54"/>
  <c r="V438" i="54"/>
  <c r="K439" i="54"/>
  <c r="L414" i="53"/>
  <c r="I412" i="53"/>
  <c r="I431" i="46"/>
  <c r="I432" i="45"/>
  <c r="J433" i="44"/>
  <c r="L39" i="54"/>
  <c r="I37" i="54"/>
  <c r="M38" i="54" s="1"/>
  <c r="O59" i="54"/>
  <c r="K60" i="54"/>
  <c r="O60" i="54" s="1"/>
  <c r="J61" i="54"/>
  <c r="K59" i="53"/>
  <c r="J60" i="53"/>
  <c r="F414" i="54" l="1"/>
  <c r="D414" i="54"/>
  <c r="V439" i="54"/>
  <c r="K440" i="54"/>
  <c r="F414" i="53"/>
  <c r="H414" i="53"/>
  <c r="D414" i="53"/>
  <c r="I432" i="46"/>
  <c r="I433" i="45"/>
  <c r="J434" i="44"/>
  <c r="C38" i="54"/>
  <c r="E38" i="54" s="1"/>
  <c r="G38" i="54" s="1"/>
  <c r="K61" i="54"/>
  <c r="O61" i="54" s="1"/>
  <c r="J62" i="54"/>
  <c r="D39" i="54"/>
  <c r="F39" i="54"/>
  <c r="K60" i="53"/>
  <c r="J61" i="53"/>
  <c r="L415" i="54" l="1"/>
  <c r="I413" i="54"/>
  <c r="V440" i="54"/>
  <c r="L415" i="53"/>
  <c r="I413" i="53"/>
  <c r="I433" i="46"/>
  <c r="I434" i="45"/>
  <c r="J435" i="44"/>
  <c r="K62" i="54"/>
  <c r="O62" i="54" s="1"/>
  <c r="J63" i="54"/>
  <c r="L40" i="54"/>
  <c r="I38" i="54"/>
  <c r="M39" i="54" s="1"/>
  <c r="K61" i="53"/>
  <c r="J62" i="53"/>
  <c r="D415" i="54" l="1"/>
  <c r="F415" i="54"/>
  <c r="F415" i="53"/>
  <c r="H415" i="53"/>
  <c r="D415" i="53"/>
  <c r="I434" i="46"/>
  <c r="I435" i="45"/>
  <c r="J436" i="44"/>
  <c r="C39" i="54"/>
  <c r="E39" i="54" s="1"/>
  <c r="G39" i="54" s="1"/>
  <c r="F40" i="54"/>
  <c r="D40" i="54"/>
  <c r="K63" i="54"/>
  <c r="J64" i="54"/>
  <c r="K62" i="53"/>
  <c r="J63" i="53"/>
  <c r="L416" i="54" l="1"/>
  <c r="I414" i="54"/>
  <c r="L416" i="53"/>
  <c r="I414" i="53"/>
  <c r="I435" i="46"/>
  <c r="I436" i="45"/>
  <c r="J437" i="44"/>
  <c r="K64" i="54"/>
  <c r="J65" i="54"/>
  <c r="L41" i="54"/>
  <c r="I39" i="54"/>
  <c r="M40" i="54" s="1"/>
  <c r="O63" i="54"/>
  <c r="K63" i="53"/>
  <c r="J64" i="53"/>
  <c r="F416" i="54" l="1"/>
  <c r="D416" i="54"/>
  <c r="F416" i="53"/>
  <c r="H416" i="53"/>
  <c r="D416" i="53"/>
  <c r="I436" i="46"/>
  <c r="I437" i="45"/>
  <c r="J438" i="44"/>
  <c r="C40" i="54"/>
  <c r="E40" i="54" s="1"/>
  <c r="G40" i="54" s="1"/>
  <c r="K65" i="54"/>
  <c r="J66" i="54"/>
  <c r="F41" i="54"/>
  <c r="D41" i="54"/>
  <c r="O64" i="54"/>
  <c r="K64" i="53"/>
  <c r="J65" i="53"/>
  <c r="L417" i="54" l="1"/>
  <c r="I415" i="54"/>
  <c r="L417" i="53"/>
  <c r="I415" i="53"/>
  <c r="I437" i="46"/>
  <c r="I438" i="45"/>
  <c r="J439" i="44"/>
  <c r="K66" i="54"/>
  <c r="O66" i="54" s="1"/>
  <c r="J67" i="54"/>
  <c r="L42" i="54"/>
  <c r="I40" i="54"/>
  <c r="M41" i="54" s="1"/>
  <c r="O65" i="54"/>
  <c r="K65" i="53"/>
  <c r="J66" i="53"/>
  <c r="D417" i="54" l="1"/>
  <c r="F417" i="54"/>
  <c r="F417" i="53"/>
  <c r="H417" i="53"/>
  <c r="D417" i="53"/>
  <c r="I438" i="46"/>
  <c r="I439" i="45"/>
  <c r="J440" i="44"/>
  <c r="F42" i="54"/>
  <c r="D42" i="54"/>
  <c r="C41" i="54"/>
  <c r="E41" i="54" s="1"/>
  <c r="G41" i="54" s="1"/>
  <c r="K67" i="54"/>
  <c r="J68" i="54"/>
  <c r="K66" i="53"/>
  <c r="J67" i="53"/>
  <c r="L418" i="54" l="1"/>
  <c r="I416" i="54"/>
  <c r="L418" i="53"/>
  <c r="I416" i="53"/>
  <c r="I439" i="46"/>
  <c r="I440" i="45"/>
  <c r="K68" i="54"/>
  <c r="J69" i="54"/>
  <c r="O67" i="54"/>
  <c r="L43" i="54"/>
  <c r="I41" i="54"/>
  <c r="M42" i="54" s="1"/>
  <c r="K67" i="53"/>
  <c r="J68" i="53"/>
  <c r="F418" i="54" l="1"/>
  <c r="D418" i="54"/>
  <c r="F418" i="53"/>
  <c r="D418" i="53"/>
  <c r="H418" i="53"/>
  <c r="I440" i="46"/>
  <c r="K69" i="54"/>
  <c r="J70" i="54"/>
  <c r="F43" i="54"/>
  <c r="D43" i="54"/>
  <c r="C42" i="54"/>
  <c r="E42" i="54" s="1"/>
  <c r="G42" i="54" s="1"/>
  <c r="K68" i="53"/>
  <c r="J69" i="53"/>
  <c r="L419" i="54" l="1"/>
  <c r="I417" i="54"/>
  <c r="L419" i="53"/>
  <c r="I417" i="53"/>
  <c r="L44" i="54"/>
  <c r="I42" i="54"/>
  <c r="M43" i="54" s="1"/>
  <c r="V69" i="54"/>
  <c r="O69" i="54"/>
  <c r="Y70" i="54"/>
  <c r="O70" i="54"/>
  <c r="K70" i="54"/>
  <c r="J71" i="54"/>
  <c r="X70" i="54"/>
  <c r="Z70" i="54"/>
  <c r="K69" i="53"/>
  <c r="J70" i="53"/>
  <c r="D419" i="54" l="1"/>
  <c r="F419" i="54"/>
  <c r="F419" i="53"/>
  <c r="H419" i="53"/>
  <c r="D419" i="53"/>
  <c r="AA70" i="54"/>
  <c r="C43" i="54"/>
  <c r="E43" i="54" s="1"/>
  <c r="G43" i="54" s="1"/>
  <c r="V70" i="54"/>
  <c r="Y71" i="54"/>
  <c r="O71" i="54"/>
  <c r="K71" i="54"/>
  <c r="J72" i="54"/>
  <c r="X71" i="54"/>
  <c r="Z71" i="54"/>
  <c r="F44" i="54"/>
  <c r="D44" i="54"/>
  <c r="K70" i="53"/>
  <c r="J71" i="53"/>
  <c r="L420" i="54" l="1"/>
  <c r="I418" i="54"/>
  <c r="L420" i="53"/>
  <c r="I418" i="53"/>
  <c r="AA71" i="54"/>
  <c r="Y72" i="54"/>
  <c r="O72" i="54"/>
  <c r="K72" i="54"/>
  <c r="J73" i="54"/>
  <c r="X72" i="54"/>
  <c r="Z72" i="54"/>
  <c r="L45" i="54"/>
  <c r="I43" i="54"/>
  <c r="M44" i="54" s="1"/>
  <c r="V71" i="54"/>
  <c r="K71" i="53"/>
  <c r="J72" i="53"/>
  <c r="F420" i="54" l="1"/>
  <c r="D420" i="54"/>
  <c r="F420" i="53"/>
  <c r="H420" i="53"/>
  <c r="D420" i="53"/>
  <c r="V72" i="54"/>
  <c r="C44" i="54"/>
  <c r="E44" i="54" s="1"/>
  <c r="G44" i="54" s="1"/>
  <c r="AA72" i="54"/>
  <c r="F45" i="54"/>
  <c r="D45" i="54"/>
  <c r="Y73" i="54"/>
  <c r="O73" i="54"/>
  <c r="K73" i="54"/>
  <c r="J74" i="54"/>
  <c r="X73" i="54"/>
  <c r="Z73" i="54"/>
  <c r="K72" i="53"/>
  <c r="J73" i="53"/>
  <c r="L421" i="54" l="1"/>
  <c r="I419" i="54"/>
  <c r="L421" i="53"/>
  <c r="I419" i="53"/>
  <c r="AA73" i="54"/>
  <c r="V73" i="54"/>
  <c r="L46" i="54"/>
  <c r="I44" i="54"/>
  <c r="M45" i="54" s="1"/>
  <c r="Y74" i="54"/>
  <c r="O74" i="54"/>
  <c r="K74" i="54"/>
  <c r="J75" i="54"/>
  <c r="X74" i="54"/>
  <c r="Z74" i="54"/>
  <c r="K73" i="53"/>
  <c r="J74" i="53"/>
  <c r="D421" i="54" l="1"/>
  <c r="F421" i="54"/>
  <c r="F421" i="53"/>
  <c r="D421" i="53"/>
  <c r="H421" i="53"/>
  <c r="F46" i="54"/>
  <c r="D46" i="54"/>
  <c r="V74" i="54"/>
  <c r="AA74" i="54"/>
  <c r="Y75" i="54"/>
  <c r="O75" i="54"/>
  <c r="K75" i="54"/>
  <c r="J76" i="54"/>
  <c r="X75" i="54"/>
  <c r="Z75" i="54"/>
  <c r="C45" i="54"/>
  <c r="E45" i="54" s="1"/>
  <c r="G45" i="54" s="1"/>
  <c r="K74" i="53"/>
  <c r="J75" i="53"/>
  <c r="L422" i="54" l="1"/>
  <c r="I420" i="54"/>
  <c r="L422" i="53"/>
  <c r="I420" i="53"/>
  <c r="V75" i="54"/>
  <c r="AA75" i="54"/>
  <c r="Y76" i="54"/>
  <c r="O76" i="54"/>
  <c r="K76" i="54"/>
  <c r="J77" i="54"/>
  <c r="X76" i="54"/>
  <c r="Z76" i="54"/>
  <c r="L47" i="54"/>
  <c r="I45" i="54"/>
  <c r="M46" i="54" s="1"/>
  <c r="K75" i="53"/>
  <c r="J76" i="53"/>
  <c r="F422" i="54" l="1"/>
  <c r="D422" i="54"/>
  <c r="F422" i="53"/>
  <c r="D422" i="53"/>
  <c r="H422" i="53"/>
  <c r="Y77" i="54"/>
  <c r="O77" i="54"/>
  <c r="K77" i="54"/>
  <c r="J78" i="54"/>
  <c r="X77" i="54"/>
  <c r="Z77" i="54"/>
  <c r="F47" i="54"/>
  <c r="D47" i="54"/>
  <c r="V76" i="54"/>
  <c r="C46" i="54"/>
  <c r="E46" i="54" s="1"/>
  <c r="G46" i="54" s="1"/>
  <c r="AA76" i="54"/>
  <c r="K76" i="53"/>
  <c r="J77" i="53"/>
  <c r="L423" i="54" l="1"/>
  <c r="I421" i="54"/>
  <c r="L423" i="53"/>
  <c r="I421" i="53"/>
  <c r="Y78" i="54"/>
  <c r="O78" i="54"/>
  <c r="K78" i="54"/>
  <c r="J79" i="54"/>
  <c r="X78" i="54"/>
  <c r="Z78" i="54"/>
  <c r="V77" i="54"/>
  <c r="AA77" i="54"/>
  <c r="L48" i="54"/>
  <c r="I46" i="54"/>
  <c r="M47" i="54" s="1"/>
  <c r="K77" i="53"/>
  <c r="J78" i="53"/>
  <c r="D423" i="54" l="1"/>
  <c r="F423" i="54"/>
  <c r="F423" i="53"/>
  <c r="H423" i="53"/>
  <c r="D423" i="53"/>
  <c r="V78" i="54"/>
  <c r="AA78" i="54"/>
  <c r="F48" i="54"/>
  <c r="D48" i="54"/>
  <c r="Y79" i="54"/>
  <c r="O79" i="54"/>
  <c r="K79" i="54"/>
  <c r="J80" i="54"/>
  <c r="X79" i="54"/>
  <c r="Z79" i="54"/>
  <c r="C47" i="54"/>
  <c r="E47" i="54" s="1"/>
  <c r="G47" i="54" s="1"/>
  <c r="K78" i="53"/>
  <c r="J79" i="53"/>
  <c r="L424" i="54" l="1"/>
  <c r="I422" i="54"/>
  <c r="L424" i="53"/>
  <c r="I422" i="53"/>
  <c r="AA79" i="54"/>
  <c r="V79" i="54"/>
  <c r="L49" i="54"/>
  <c r="I47" i="54"/>
  <c r="M48" i="54" s="1"/>
  <c r="Y80" i="54"/>
  <c r="O80" i="54"/>
  <c r="K80" i="54"/>
  <c r="J81" i="54"/>
  <c r="X80" i="54"/>
  <c r="Z80" i="54"/>
  <c r="K79" i="53"/>
  <c r="J80" i="53"/>
  <c r="F424" i="54" l="1"/>
  <c r="D424" i="54"/>
  <c r="F424" i="53"/>
  <c r="H424" i="53"/>
  <c r="D424" i="53"/>
  <c r="AA80" i="54"/>
  <c r="Y81" i="54"/>
  <c r="O81" i="54"/>
  <c r="K81" i="54"/>
  <c r="J82" i="54"/>
  <c r="X81" i="54"/>
  <c r="Z81" i="54"/>
  <c r="C48" i="54"/>
  <c r="E48" i="54" s="1"/>
  <c r="G48" i="54" s="1"/>
  <c r="V80" i="54"/>
  <c r="F49" i="54"/>
  <c r="D49" i="54"/>
  <c r="J81" i="53"/>
  <c r="K80" i="53"/>
  <c r="L425" i="54" l="1"/>
  <c r="I423" i="54"/>
  <c r="L425" i="53"/>
  <c r="I423" i="53"/>
  <c r="Y82" i="54"/>
  <c r="O82" i="54"/>
  <c r="K82" i="54"/>
  <c r="J83" i="54"/>
  <c r="X82" i="54"/>
  <c r="Z82" i="54"/>
  <c r="V81" i="54"/>
  <c r="AA81" i="54"/>
  <c r="L50" i="54"/>
  <c r="I48" i="54"/>
  <c r="M49" i="54" s="1"/>
  <c r="J82" i="53"/>
  <c r="K81" i="53"/>
  <c r="D425" i="54" l="1"/>
  <c r="F425" i="54"/>
  <c r="F425" i="53"/>
  <c r="D425" i="53"/>
  <c r="H425" i="53"/>
  <c r="F50" i="54"/>
  <c r="D50" i="54"/>
  <c r="V82" i="54"/>
  <c r="Y83" i="54"/>
  <c r="O83" i="54"/>
  <c r="K83" i="54"/>
  <c r="J84" i="54"/>
  <c r="X83" i="54"/>
  <c r="Z83" i="54"/>
  <c r="AA82" i="54"/>
  <c r="C49" i="54"/>
  <c r="E49" i="54" s="1"/>
  <c r="G49" i="54" s="1"/>
  <c r="K82" i="53"/>
  <c r="J83" i="53"/>
  <c r="L426" i="54" l="1"/>
  <c r="I424" i="54"/>
  <c r="L426" i="53"/>
  <c r="I424" i="53"/>
  <c r="V83" i="54"/>
  <c r="AA83" i="54"/>
  <c r="Y84" i="54"/>
  <c r="O84" i="54"/>
  <c r="K84" i="54"/>
  <c r="J85" i="54"/>
  <c r="X84" i="54"/>
  <c r="Z84" i="54"/>
  <c r="L51" i="54"/>
  <c r="I49" i="54"/>
  <c r="M50" i="54" s="1"/>
  <c r="K83" i="53"/>
  <c r="J84" i="53"/>
  <c r="F426" i="54" l="1"/>
  <c r="D426" i="54"/>
  <c r="F426" i="53"/>
  <c r="D426" i="53"/>
  <c r="H426" i="53"/>
  <c r="Y85" i="54"/>
  <c r="O85" i="54"/>
  <c r="K85" i="54"/>
  <c r="J86" i="54"/>
  <c r="X85" i="54"/>
  <c r="Z85" i="54"/>
  <c r="V84" i="54"/>
  <c r="F51" i="54"/>
  <c r="D51" i="54"/>
  <c r="C50" i="54"/>
  <c r="E50" i="54" s="1"/>
  <c r="G50" i="54" s="1"/>
  <c r="AA84" i="54"/>
  <c r="K84" i="53"/>
  <c r="J85" i="53"/>
  <c r="L427" i="54" l="1"/>
  <c r="I425" i="54"/>
  <c r="L427" i="53"/>
  <c r="I425" i="53"/>
  <c r="V85" i="54"/>
  <c r="Y86" i="54"/>
  <c r="O86" i="54"/>
  <c r="K86" i="54"/>
  <c r="J87" i="54"/>
  <c r="X86" i="54"/>
  <c r="Z86" i="54"/>
  <c r="L52" i="54"/>
  <c r="I50" i="54"/>
  <c r="M51" i="54" s="1"/>
  <c r="AA85" i="54"/>
  <c r="K85" i="53"/>
  <c r="J86" i="53"/>
  <c r="D427" i="54" l="1"/>
  <c r="F427" i="54"/>
  <c r="F427" i="53"/>
  <c r="H427" i="53"/>
  <c r="D427" i="53"/>
  <c r="F52" i="54"/>
  <c r="D52" i="54"/>
  <c r="Y87" i="54"/>
  <c r="O87" i="54"/>
  <c r="K87" i="54"/>
  <c r="J88" i="54"/>
  <c r="X87" i="54"/>
  <c r="Z87" i="54"/>
  <c r="C51" i="54"/>
  <c r="E51" i="54" s="1"/>
  <c r="G51" i="54" s="1"/>
  <c r="AA86" i="54"/>
  <c r="V86" i="54"/>
  <c r="K86" i="53"/>
  <c r="J87" i="53"/>
  <c r="L428" i="54" l="1"/>
  <c r="I426" i="54"/>
  <c r="L428" i="53"/>
  <c r="I426" i="53"/>
  <c r="AA87" i="54"/>
  <c r="Y88" i="54"/>
  <c r="O88" i="54"/>
  <c r="K88" i="54"/>
  <c r="J89" i="54"/>
  <c r="X88" i="54"/>
  <c r="Z88" i="54"/>
  <c r="V87" i="54"/>
  <c r="L53" i="54"/>
  <c r="I51" i="54"/>
  <c r="M52" i="54" s="1"/>
  <c r="K87" i="53"/>
  <c r="J88" i="53"/>
  <c r="F428" i="54" l="1"/>
  <c r="D428" i="54"/>
  <c r="F428" i="53"/>
  <c r="H428" i="53"/>
  <c r="D428" i="53"/>
  <c r="C52" i="54"/>
  <c r="E52" i="54" s="1"/>
  <c r="G52" i="54" s="1"/>
  <c r="Y89" i="54"/>
  <c r="O89" i="54"/>
  <c r="K89" i="54"/>
  <c r="J90" i="54"/>
  <c r="X89" i="54"/>
  <c r="Z89" i="54"/>
  <c r="V88" i="54"/>
  <c r="F53" i="54"/>
  <c r="D53" i="54"/>
  <c r="AA88" i="54"/>
  <c r="K88" i="53"/>
  <c r="J89" i="53"/>
  <c r="L429" i="54" l="1"/>
  <c r="I427" i="54"/>
  <c r="L429" i="53"/>
  <c r="I427" i="53"/>
  <c r="Y90" i="54"/>
  <c r="O90" i="54"/>
  <c r="K90" i="54"/>
  <c r="J91" i="54"/>
  <c r="X90" i="54"/>
  <c r="Z90" i="54"/>
  <c r="V89" i="54"/>
  <c r="L54" i="54"/>
  <c r="I52" i="54"/>
  <c r="M53" i="54" s="1"/>
  <c r="AA89" i="54"/>
  <c r="K89" i="53"/>
  <c r="J90" i="53"/>
  <c r="F429" i="54" l="1"/>
  <c r="D429" i="54"/>
  <c r="F429" i="53"/>
  <c r="D429" i="53"/>
  <c r="H429" i="53"/>
  <c r="AA90" i="54"/>
  <c r="C53" i="54"/>
  <c r="E53" i="54" s="1"/>
  <c r="G53" i="54" s="1"/>
  <c r="Y91" i="54"/>
  <c r="O91" i="54"/>
  <c r="K91" i="54"/>
  <c r="J92" i="54"/>
  <c r="X91" i="54"/>
  <c r="Z91" i="54"/>
  <c r="V90" i="54"/>
  <c r="F54" i="54"/>
  <c r="D54" i="54"/>
  <c r="K90" i="53"/>
  <c r="J91" i="53"/>
  <c r="L430" i="54" l="1"/>
  <c r="I428" i="54"/>
  <c r="L430" i="53"/>
  <c r="I428" i="53"/>
  <c r="V91" i="54"/>
  <c r="Y92" i="54"/>
  <c r="O92" i="54"/>
  <c r="K92" i="54"/>
  <c r="J93" i="54"/>
  <c r="X92" i="54"/>
  <c r="Z92" i="54"/>
  <c r="L55" i="54"/>
  <c r="I53" i="54"/>
  <c r="M54" i="54" s="1"/>
  <c r="AA91" i="54"/>
  <c r="J92" i="53"/>
  <c r="K91" i="53"/>
  <c r="F430" i="54" l="1"/>
  <c r="D430" i="54"/>
  <c r="F430" i="53"/>
  <c r="D430" i="53"/>
  <c r="H430" i="53"/>
  <c r="C54" i="54"/>
  <c r="E54" i="54" s="1"/>
  <c r="G54" i="54" s="1"/>
  <c r="AA92" i="54"/>
  <c r="Y93" i="54"/>
  <c r="O93" i="54"/>
  <c r="K93" i="54"/>
  <c r="J94" i="54"/>
  <c r="X93" i="54"/>
  <c r="Z93" i="54"/>
  <c r="F55" i="54"/>
  <c r="D55" i="54"/>
  <c r="V92" i="54"/>
  <c r="K92" i="53"/>
  <c r="J93" i="53"/>
  <c r="L431" i="54" l="1"/>
  <c r="I429" i="54"/>
  <c r="L431" i="53"/>
  <c r="I429" i="53"/>
  <c r="L56" i="54"/>
  <c r="I54" i="54"/>
  <c r="M55" i="54" s="1"/>
  <c r="V93" i="54"/>
  <c r="AA93" i="54"/>
  <c r="Y94" i="54"/>
  <c r="O94" i="54"/>
  <c r="K94" i="54"/>
  <c r="J95" i="54"/>
  <c r="X94" i="54"/>
  <c r="Z94" i="54"/>
  <c r="K93" i="53"/>
  <c r="J94" i="53"/>
  <c r="F431" i="54" l="1"/>
  <c r="D431" i="54"/>
  <c r="F431" i="53"/>
  <c r="H431" i="53"/>
  <c r="D431" i="53"/>
  <c r="AA94" i="54"/>
  <c r="C55" i="54"/>
  <c r="E55" i="54" s="1"/>
  <c r="G55" i="54" s="1"/>
  <c r="Y95" i="54"/>
  <c r="O95" i="54"/>
  <c r="K95" i="54"/>
  <c r="J96" i="54"/>
  <c r="X95" i="54"/>
  <c r="Z95" i="54"/>
  <c r="V94" i="54"/>
  <c r="F56" i="54"/>
  <c r="D56" i="54"/>
  <c r="K94" i="53"/>
  <c r="J95" i="53"/>
  <c r="L432" i="54" l="1"/>
  <c r="I430" i="54"/>
  <c r="L432" i="53"/>
  <c r="I430" i="53"/>
  <c r="V95" i="54"/>
  <c r="Y96" i="54"/>
  <c r="O96" i="54"/>
  <c r="K96" i="54"/>
  <c r="J97" i="54"/>
  <c r="X96" i="54"/>
  <c r="Z96" i="54"/>
  <c r="L57" i="54"/>
  <c r="I55" i="54"/>
  <c r="M56" i="54" s="1"/>
  <c r="AA95" i="54"/>
  <c r="K95" i="53"/>
  <c r="J96" i="53"/>
  <c r="F432" i="54" l="1"/>
  <c r="D432" i="54"/>
  <c r="F432" i="53"/>
  <c r="H432" i="53"/>
  <c r="D432" i="53"/>
  <c r="F57" i="54"/>
  <c r="D57" i="54"/>
  <c r="Y97" i="54"/>
  <c r="O97" i="54"/>
  <c r="K97" i="54"/>
  <c r="J98" i="54"/>
  <c r="X97" i="54"/>
  <c r="Z97" i="54"/>
  <c r="C56" i="54"/>
  <c r="E56" i="54" s="1"/>
  <c r="G56" i="54" s="1"/>
  <c r="AA96" i="54"/>
  <c r="V96" i="54"/>
  <c r="K96" i="53"/>
  <c r="J97" i="53"/>
  <c r="L433" i="54" l="1"/>
  <c r="I431" i="54"/>
  <c r="L433" i="53"/>
  <c r="I431" i="53"/>
  <c r="Y98" i="54"/>
  <c r="O98" i="54"/>
  <c r="K98" i="54"/>
  <c r="J99" i="54"/>
  <c r="X98" i="54"/>
  <c r="Z98" i="54"/>
  <c r="AA97" i="54"/>
  <c r="V97" i="54"/>
  <c r="L58" i="54"/>
  <c r="I56" i="54"/>
  <c r="M57" i="54" s="1"/>
  <c r="J98" i="53"/>
  <c r="K97" i="53"/>
  <c r="F433" i="54" l="1"/>
  <c r="D433" i="54"/>
  <c r="F433" i="53"/>
  <c r="D433" i="53"/>
  <c r="H433" i="53"/>
  <c r="F58" i="54"/>
  <c r="D58" i="54"/>
  <c r="V98" i="54"/>
  <c r="AA98" i="54"/>
  <c r="Y99" i="54"/>
  <c r="O99" i="54"/>
  <c r="K99" i="54"/>
  <c r="J100" i="54"/>
  <c r="X99" i="54"/>
  <c r="Z99" i="54"/>
  <c r="C57" i="54"/>
  <c r="E57" i="54" s="1"/>
  <c r="G57" i="54" s="1"/>
  <c r="J99" i="53"/>
  <c r="K98" i="53"/>
  <c r="L434" i="54" l="1"/>
  <c r="I432" i="54"/>
  <c r="L434" i="53"/>
  <c r="I432" i="53"/>
  <c r="V99" i="54"/>
  <c r="AA99" i="54"/>
  <c r="Y100" i="54"/>
  <c r="O100" i="54"/>
  <c r="K100" i="54"/>
  <c r="J101" i="54"/>
  <c r="X100" i="54"/>
  <c r="Z100" i="54"/>
  <c r="L59" i="54"/>
  <c r="I57" i="54"/>
  <c r="M58" i="54" s="1"/>
  <c r="K99" i="53"/>
  <c r="J100" i="53"/>
  <c r="F434" i="54" l="1"/>
  <c r="D434" i="54"/>
  <c r="F434" i="53"/>
  <c r="D434" i="53"/>
  <c r="H434" i="53"/>
  <c r="F59" i="54"/>
  <c r="D59" i="54"/>
  <c r="Y101" i="54"/>
  <c r="O101" i="54"/>
  <c r="K101" i="54"/>
  <c r="J102" i="54"/>
  <c r="X101" i="54"/>
  <c r="Z101" i="54"/>
  <c r="V100" i="54"/>
  <c r="C58" i="54"/>
  <c r="E58" i="54" s="1"/>
  <c r="G58" i="54" s="1"/>
  <c r="AA100" i="54"/>
  <c r="J101" i="53"/>
  <c r="K100" i="53"/>
  <c r="L435" i="54" l="1"/>
  <c r="I433" i="54"/>
  <c r="L435" i="53"/>
  <c r="I433" i="53"/>
  <c r="AA101" i="54"/>
  <c r="Y102" i="54"/>
  <c r="O102" i="54"/>
  <c r="K102" i="54"/>
  <c r="J103" i="54"/>
  <c r="X102" i="54"/>
  <c r="Z102" i="54"/>
  <c r="V101" i="54"/>
  <c r="L60" i="54"/>
  <c r="I58" i="54"/>
  <c r="M59" i="54" s="1"/>
  <c r="J102" i="53"/>
  <c r="K101" i="53"/>
  <c r="F435" i="54" l="1"/>
  <c r="D435" i="54"/>
  <c r="F435" i="53"/>
  <c r="H435" i="53"/>
  <c r="D435" i="53"/>
  <c r="Y103" i="54"/>
  <c r="O103" i="54"/>
  <c r="K103" i="54"/>
  <c r="J104" i="54"/>
  <c r="X103" i="54"/>
  <c r="Z103" i="54"/>
  <c r="V102" i="54"/>
  <c r="C59" i="54"/>
  <c r="E59" i="54" s="1"/>
  <c r="G59" i="54" s="1"/>
  <c r="AA102" i="54"/>
  <c r="F60" i="54"/>
  <c r="D60" i="54"/>
  <c r="K102" i="53"/>
  <c r="J103" i="53"/>
  <c r="L436" i="54" l="1"/>
  <c r="I434" i="54"/>
  <c r="L436" i="53"/>
  <c r="I434" i="53"/>
  <c r="Y104" i="54"/>
  <c r="O104" i="54"/>
  <c r="K104" i="54"/>
  <c r="J105" i="54"/>
  <c r="X104" i="54"/>
  <c r="Z104" i="54"/>
  <c r="V103" i="54"/>
  <c r="AA103" i="54"/>
  <c r="L61" i="54"/>
  <c r="I59" i="54"/>
  <c r="M60" i="54" s="1"/>
  <c r="K103" i="53"/>
  <c r="J104" i="53"/>
  <c r="F436" i="54" l="1"/>
  <c r="D436" i="54"/>
  <c r="F436" i="53"/>
  <c r="H436" i="53"/>
  <c r="D436" i="53"/>
  <c r="F61" i="54"/>
  <c r="D61" i="54"/>
  <c r="V104" i="54"/>
  <c r="Y105" i="54"/>
  <c r="O105" i="54"/>
  <c r="K105" i="54"/>
  <c r="J106" i="54"/>
  <c r="X105" i="54"/>
  <c r="Z105" i="54"/>
  <c r="AA104" i="54"/>
  <c r="C60" i="54"/>
  <c r="E60" i="54" s="1"/>
  <c r="G60" i="54" s="1"/>
  <c r="K104" i="53"/>
  <c r="J105" i="53"/>
  <c r="L437" i="54" l="1"/>
  <c r="I435" i="54"/>
  <c r="L437" i="53"/>
  <c r="I435" i="53"/>
  <c r="V105" i="54"/>
  <c r="Y106" i="54"/>
  <c r="O106" i="54"/>
  <c r="K106" i="54"/>
  <c r="J107" i="54"/>
  <c r="X106" i="54"/>
  <c r="Z106" i="54"/>
  <c r="AA105" i="54"/>
  <c r="L62" i="54"/>
  <c r="I60" i="54"/>
  <c r="M61" i="54" s="1"/>
  <c r="J106" i="53"/>
  <c r="K105" i="53"/>
  <c r="F437" i="54" l="1"/>
  <c r="D437" i="54"/>
  <c r="F437" i="53"/>
  <c r="H437" i="53"/>
  <c r="D437" i="53"/>
  <c r="AA106" i="54"/>
  <c r="F62" i="54"/>
  <c r="D62" i="54"/>
  <c r="Y107" i="54"/>
  <c r="O107" i="54"/>
  <c r="K107" i="54"/>
  <c r="J108" i="54"/>
  <c r="X107" i="54"/>
  <c r="Z107" i="54"/>
  <c r="C61" i="54"/>
  <c r="E61" i="54" s="1"/>
  <c r="G61" i="54" s="1"/>
  <c r="V106" i="54"/>
  <c r="J107" i="53"/>
  <c r="K106" i="53"/>
  <c r="L438" i="54" l="1"/>
  <c r="I436" i="54"/>
  <c r="L438" i="53"/>
  <c r="I436" i="53"/>
  <c r="AA107" i="54"/>
  <c r="Y108" i="54"/>
  <c r="O108" i="54"/>
  <c r="K108" i="54"/>
  <c r="J109" i="54"/>
  <c r="X108" i="54"/>
  <c r="Z108" i="54"/>
  <c r="V107" i="54"/>
  <c r="L63" i="54"/>
  <c r="I61" i="54"/>
  <c r="M62" i="54" s="1"/>
  <c r="K107" i="53"/>
  <c r="J108" i="53"/>
  <c r="F438" i="54" l="1"/>
  <c r="D438" i="54"/>
  <c r="F438" i="53"/>
  <c r="H438" i="53"/>
  <c r="D438" i="53"/>
  <c r="F63" i="54"/>
  <c r="D63" i="54"/>
  <c r="AA108" i="54"/>
  <c r="V108" i="54"/>
  <c r="C62" i="54"/>
  <c r="E62" i="54" s="1"/>
  <c r="G62" i="54" s="1"/>
  <c r="Y109" i="54"/>
  <c r="O109" i="54"/>
  <c r="K109" i="54"/>
  <c r="J110" i="54"/>
  <c r="X109" i="54"/>
  <c r="Z109" i="54"/>
  <c r="K108" i="53"/>
  <c r="J109" i="53"/>
  <c r="L439" i="54" l="1"/>
  <c r="I437" i="54"/>
  <c r="L439" i="53"/>
  <c r="I437" i="53"/>
  <c r="V109" i="54"/>
  <c r="AA109" i="54"/>
  <c r="Y110" i="54"/>
  <c r="O110" i="54"/>
  <c r="K110" i="54"/>
  <c r="J111" i="54"/>
  <c r="X110" i="54"/>
  <c r="Z110" i="54"/>
  <c r="L64" i="54"/>
  <c r="I62" i="54"/>
  <c r="M63" i="54" s="1"/>
  <c r="J110" i="53"/>
  <c r="K109" i="53"/>
  <c r="F439" i="54" l="1"/>
  <c r="D439" i="54"/>
  <c r="F439" i="53"/>
  <c r="D439" i="53"/>
  <c r="H439" i="53"/>
  <c r="Y111" i="54"/>
  <c r="O111" i="54"/>
  <c r="K111" i="54"/>
  <c r="J112" i="54"/>
  <c r="X111" i="54"/>
  <c r="Z111" i="54"/>
  <c r="F64" i="54"/>
  <c r="D64" i="54"/>
  <c r="V110" i="54"/>
  <c r="C63" i="54"/>
  <c r="E63" i="54" s="1"/>
  <c r="G63" i="54" s="1"/>
  <c r="AA110" i="54"/>
  <c r="J111" i="53"/>
  <c r="K110" i="53"/>
  <c r="L440" i="54" l="1"/>
  <c r="I438" i="54"/>
  <c r="L440" i="53"/>
  <c r="I438" i="53"/>
  <c r="V111" i="54"/>
  <c r="AA111" i="54"/>
  <c r="L65" i="54"/>
  <c r="I63" i="54"/>
  <c r="M64" i="54" s="1"/>
  <c r="Y112" i="54"/>
  <c r="O112" i="54"/>
  <c r="K112" i="54"/>
  <c r="J113" i="54"/>
  <c r="X112" i="54"/>
  <c r="Z112" i="54"/>
  <c r="K111" i="53"/>
  <c r="J112" i="53"/>
  <c r="F440" i="54" l="1"/>
  <c r="D440" i="54"/>
  <c r="F440" i="53"/>
  <c r="D440" i="53"/>
  <c r="H440" i="53"/>
  <c r="AA112" i="54"/>
  <c r="Y113" i="54"/>
  <c r="O113" i="54"/>
  <c r="K113" i="54"/>
  <c r="J114" i="54"/>
  <c r="X113" i="54"/>
  <c r="Z113" i="54"/>
  <c r="C64" i="54"/>
  <c r="E64" i="54" s="1"/>
  <c r="G64" i="54" s="1"/>
  <c r="F65" i="54"/>
  <c r="D65" i="54"/>
  <c r="V112" i="54"/>
  <c r="K112" i="53"/>
  <c r="J113" i="53"/>
  <c r="I440" i="54" l="1"/>
  <c r="I439" i="54"/>
  <c r="I440" i="53"/>
  <c r="I439" i="53"/>
  <c r="L66" i="54"/>
  <c r="I64" i="54"/>
  <c r="M65" i="54" s="1"/>
  <c r="V113" i="54"/>
  <c r="AA113" i="54"/>
  <c r="Y114" i="54"/>
  <c r="O114" i="54"/>
  <c r="K114" i="54"/>
  <c r="J115" i="54"/>
  <c r="X114" i="54"/>
  <c r="Z114" i="54"/>
  <c r="J114" i="53"/>
  <c r="K113" i="53"/>
  <c r="AA114" i="54" l="1"/>
  <c r="C65" i="54"/>
  <c r="E65" i="54" s="1"/>
  <c r="G65" i="54" s="1"/>
  <c r="Z115" i="54"/>
  <c r="J116" i="54"/>
  <c r="O115" i="54"/>
  <c r="K115" i="54"/>
  <c r="Y115" i="54"/>
  <c r="X115" i="54"/>
  <c r="V114" i="54"/>
  <c r="F66" i="54"/>
  <c r="D66" i="54"/>
  <c r="J115" i="53"/>
  <c r="K114" i="53"/>
  <c r="AA115" i="54" l="1"/>
  <c r="V115" i="54"/>
  <c r="L67" i="54"/>
  <c r="I65" i="54"/>
  <c r="M66" i="54" s="1"/>
  <c r="Z116" i="54"/>
  <c r="O116" i="54"/>
  <c r="J117" i="54"/>
  <c r="Y116" i="54"/>
  <c r="X116" i="54"/>
  <c r="K116" i="54"/>
  <c r="K115" i="53"/>
  <c r="J116" i="53"/>
  <c r="AA116" i="54" l="1"/>
  <c r="F67" i="54"/>
  <c r="D67" i="54"/>
  <c r="C66" i="54"/>
  <c r="E66" i="54" s="1"/>
  <c r="G66" i="54" s="1"/>
  <c r="V116" i="54"/>
  <c r="Z117" i="54"/>
  <c r="X117" i="54"/>
  <c r="K117" i="54"/>
  <c r="O117" i="54"/>
  <c r="Y117" i="54"/>
  <c r="J118" i="54"/>
  <c r="J117" i="53"/>
  <c r="K116" i="53"/>
  <c r="AA117" i="54" l="1"/>
  <c r="V117" i="54"/>
  <c r="Z118" i="54"/>
  <c r="Y118" i="54"/>
  <c r="X118" i="54"/>
  <c r="K118" i="54"/>
  <c r="J119" i="54"/>
  <c r="O118" i="54"/>
  <c r="L68" i="54"/>
  <c r="I66" i="54"/>
  <c r="M67" i="54" s="1"/>
  <c r="J118" i="53"/>
  <c r="K117" i="53"/>
  <c r="F68" i="54" l="1"/>
  <c r="D68" i="54"/>
  <c r="V118" i="54"/>
  <c r="Z119" i="54"/>
  <c r="J120" i="54"/>
  <c r="Y119" i="54"/>
  <c r="K119" i="54"/>
  <c r="X119" i="54"/>
  <c r="O119" i="54"/>
  <c r="C67" i="54"/>
  <c r="E67" i="54" s="1"/>
  <c r="G67" i="54" s="1"/>
  <c r="AA118" i="54"/>
  <c r="J119" i="53"/>
  <c r="K118" i="53"/>
  <c r="AA119" i="54" l="1"/>
  <c r="V119" i="54"/>
  <c r="Z120" i="54"/>
  <c r="O120" i="54"/>
  <c r="J121" i="54"/>
  <c r="Y120" i="54"/>
  <c r="X120" i="54"/>
  <c r="K120" i="54"/>
  <c r="L69" i="54"/>
  <c r="I67" i="54"/>
  <c r="M68" i="54" s="1"/>
  <c r="J120" i="53"/>
  <c r="K119" i="53"/>
  <c r="AA120" i="54" l="1"/>
  <c r="C68" i="54"/>
  <c r="E68" i="54" s="1"/>
  <c r="G68" i="54" s="1"/>
  <c r="V120" i="54"/>
  <c r="F69" i="54"/>
  <c r="D69" i="54"/>
  <c r="Z121" i="54"/>
  <c r="X121" i="54"/>
  <c r="K121" i="54"/>
  <c r="O121" i="54"/>
  <c r="Y121" i="54"/>
  <c r="J122" i="54"/>
  <c r="J121" i="53"/>
  <c r="K120" i="53"/>
  <c r="AA121" i="54" l="1"/>
  <c r="V121" i="54"/>
  <c r="L70" i="54"/>
  <c r="I68" i="54"/>
  <c r="M69" i="54" s="1"/>
  <c r="Z122" i="54"/>
  <c r="Y122" i="54"/>
  <c r="X122" i="54"/>
  <c r="K122" i="54"/>
  <c r="J123" i="54"/>
  <c r="O122" i="54"/>
  <c r="J122" i="53"/>
  <c r="K121" i="53"/>
  <c r="AA122" i="54" l="1"/>
  <c r="F70" i="54"/>
  <c r="D70" i="54"/>
  <c r="Z123" i="54"/>
  <c r="J124" i="54"/>
  <c r="Y123" i="54"/>
  <c r="X123" i="54"/>
  <c r="O123" i="54"/>
  <c r="K123" i="54"/>
  <c r="V122" i="54"/>
  <c r="C69" i="54"/>
  <c r="E69" i="54" s="1"/>
  <c r="G69" i="54" s="1"/>
  <c r="J123" i="53"/>
  <c r="K122" i="53"/>
  <c r="V123" i="54" l="1"/>
  <c r="Z124" i="54"/>
  <c r="O124" i="54"/>
  <c r="J125" i="54"/>
  <c r="Y124" i="54"/>
  <c r="K124" i="54"/>
  <c r="X124" i="54"/>
  <c r="AA123" i="54"/>
  <c r="L71" i="54"/>
  <c r="I69" i="54"/>
  <c r="M70" i="54" s="1"/>
  <c r="J124" i="53"/>
  <c r="K123" i="53"/>
  <c r="AA124" i="54" l="1"/>
  <c r="F71" i="54"/>
  <c r="D71" i="54"/>
  <c r="V124" i="54"/>
  <c r="C70" i="54"/>
  <c r="E70" i="54" s="1"/>
  <c r="G70" i="54" s="1"/>
  <c r="Z125" i="54"/>
  <c r="X125" i="54"/>
  <c r="K125" i="54"/>
  <c r="O125" i="54"/>
  <c r="Y125" i="54"/>
  <c r="J126" i="54"/>
  <c r="J125" i="53"/>
  <c r="K124" i="53"/>
  <c r="AA125" i="54" l="1"/>
  <c r="V125" i="54"/>
  <c r="L72" i="54"/>
  <c r="I70" i="54"/>
  <c r="M71" i="54" s="1"/>
  <c r="Z126" i="54"/>
  <c r="Y126" i="54"/>
  <c r="X126" i="54"/>
  <c r="K126" i="54"/>
  <c r="J127" i="54"/>
  <c r="O126" i="54"/>
  <c r="J126" i="53"/>
  <c r="K125" i="53"/>
  <c r="AA126" i="54" l="1"/>
  <c r="F72" i="54"/>
  <c r="D72" i="54"/>
  <c r="Z127" i="54"/>
  <c r="Y127" i="54"/>
  <c r="K127" i="54"/>
  <c r="X127" i="54"/>
  <c r="J128" i="54"/>
  <c r="O127" i="54"/>
  <c r="V126" i="54"/>
  <c r="C71" i="54"/>
  <c r="E71" i="54" s="1"/>
  <c r="G71" i="54" s="1"/>
  <c r="J127" i="53"/>
  <c r="K126" i="53"/>
  <c r="AA127" i="54" l="1"/>
  <c r="Z128" i="54"/>
  <c r="Y128" i="54"/>
  <c r="O128" i="54"/>
  <c r="X128" i="54"/>
  <c r="J129" i="54"/>
  <c r="K128" i="54"/>
  <c r="V127" i="54"/>
  <c r="L73" i="54"/>
  <c r="I71" i="54"/>
  <c r="M72" i="54" s="1"/>
  <c r="J128" i="53"/>
  <c r="K127" i="53"/>
  <c r="C72" i="54" l="1"/>
  <c r="E72" i="54" s="1"/>
  <c r="G72" i="54" s="1"/>
  <c r="AA128" i="54"/>
  <c r="F73" i="54"/>
  <c r="D73" i="54"/>
  <c r="V128" i="54"/>
  <c r="Z129" i="54"/>
  <c r="X129" i="54"/>
  <c r="J130" i="54"/>
  <c r="K129" i="54"/>
  <c r="Y129" i="54"/>
  <c r="O129" i="54"/>
  <c r="J129" i="53"/>
  <c r="K128" i="53"/>
  <c r="AA129" i="54" l="1"/>
  <c r="V129" i="54"/>
  <c r="Z130" i="54"/>
  <c r="J131" i="54"/>
  <c r="K130" i="54"/>
  <c r="O130" i="54"/>
  <c r="Y130" i="54"/>
  <c r="X130" i="54"/>
  <c r="L74" i="54"/>
  <c r="I72" i="54"/>
  <c r="M73" i="54" s="1"/>
  <c r="J130" i="53"/>
  <c r="K129" i="53"/>
  <c r="AA130" i="54" l="1"/>
  <c r="C73" i="54"/>
  <c r="E73" i="54" s="1"/>
  <c r="G73" i="54" s="1"/>
  <c r="Z131" i="54"/>
  <c r="Y131" i="54"/>
  <c r="O131" i="54"/>
  <c r="X131" i="54"/>
  <c r="K131" i="54"/>
  <c r="J132" i="54"/>
  <c r="F74" i="54"/>
  <c r="D74" i="54"/>
  <c r="V130" i="54"/>
  <c r="J131" i="53"/>
  <c r="K130" i="53"/>
  <c r="V131" i="54" l="1"/>
  <c r="L75" i="54"/>
  <c r="I73" i="54"/>
  <c r="M74" i="54" s="1"/>
  <c r="AA131" i="54"/>
  <c r="Z132" i="54"/>
  <c r="Y132" i="54"/>
  <c r="O132" i="54"/>
  <c r="X132" i="54"/>
  <c r="J133" i="54"/>
  <c r="K132" i="54"/>
  <c r="J132" i="53"/>
  <c r="K131" i="53"/>
  <c r="F75" i="54" l="1"/>
  <c r="D75" i="54"/>
  <c r="V132" i="54"/>
  <c r="Z133" i="54"/>
  <c r="X133" i="54"/>
  <c r="J134" i="54"/>
  <c r="K133" i="54"/>
  <c r="Y133" i="54"/>
  <c r="O133" i="54"/>
  <c r="AA132" i="54"/>
  <c r="C74" i="54"/>
  <c r="E74" i="54" s="1"/>
  <c r="G74" i="54" s="1"/>
  <c r="J133" i="53"/>
  <c r="K132" i="53"/>
  <c r="AA133" i="54" l="1"/>
  <c r="V133" i="54"/>
  <c r="Z134" i="54"/>
  <c r="J135" i="54"/>
  <c r="K134" i="54"/>
  <c r="O134" i="54"/>
  <c r="Y134" i="54"/>
  <c r="X134" i="54"/>
  <c r="L76" i="54"/>
  <c r="I74" i="54"/>
  <c r="M75" i="54" s="1"/>
  <c r="J134" i="53"/>
  <c r="K133" i="53"/>
  <c r="C75" i="54" l="1"/>
  <c r="E75" i="54" s="1"/>
  <c r="G75" i="54" s="1"/>
  <c r="Z135" i="54"/>
  <c r="Y135" i="54"/>
  <c r="O135" i="54"/>
  <c r="X135" i="54"/>
  <c r="J136" i="54"/>
  <c r="K135" i="54"/>
  <c r="F76" i="54"/>
  <c r="D76" i="54"/>
  <c r="AA134" i="54"/>
  <c r="V134" i="54"/>
  <c r="J135" i="53"/>
  <c r="K134" i="53"/>
  <c r="AA135" i="54" l="1"/>
  <c r="Z136" i="54"/>
  <c r="Y136" i="54"/>
  <c r="O136" i="54"/>
  <c r="X136" i="54"/>
  <c r="J137" i="54"/>
  <c r="K136" i="54"/>
  <c r="L77" i="54"/>
  <c r="I75" i="54"/>
  <c r="M76" i="54" s="1"/>
  <c r="V135" i="54"/>
  <c r="J136" i="53"/>
  <c r="K135" i="53"/>
  <c r="AA136" i="54" l="1"/>
  <c r="V136" i="54"/>
  <c r="F77" i="54"/>
  <c r="D77" i="54"/>
  <c r="C76" i="54"/>
  <c r="E76" i="54" s="1"/>
  <c r="G76" i="54" s="1"/>
  <c r="Z137" i="54"/>
  <c r="X137" i="54"/>
  <c r="J138" i="54"/>
  <c r="K137" i="54"/>
  <c r="Y137" i="54"/>
  <c r="O137" i="54"/>
  <c r="J137" i="53"/>
  <c r="K136" i="53"/>
  <c r="AA137" i="54" l="1"/>
  <c r="V137" i="54"/>
  <c r="L78" i="54"/>
  <c r="I76" i="54"/>
  <c r="M77" i="54" s="1"/>
  <c r="Z138" i="54"/>
  <c r="J139" i="54"/>
  <c r="K138" i="54"/>
  <c r="O138" i="54"/>
  <c r="Y138" i="54"/>
  <c r="X138" i="54"/>
  <c r="J138" i="53"/>
  <c r="K137" i="53"/>
  <c r="AA138" i="54" l="1"/>
  <c r="F78" i="54"/>
  <c r="D78" i="54"/>
  <c r="V138" i="54"/>
  <c r="Z139" i="54"/>
  <c r="Y139" i="54"/>
  <c r="O139" i="54"/>
  <c r="X139" i="54"/>
  <c r="K139" i="54"/>
  <c r="J140" i="54"/>
  <c r="C77" i="54"/>
  <c r="E77" i="54" s="1"/>
  <c r="G77" i="54" s="1"/>
  <c r="J139" i="53"/>
  <c r="K138" i="53"/>
  <c r="AA139" i="54" l="1"/>
  <c r="Z140" i="54"/>
  <c r="Y140" i="54"/>
  <c r="O140" i="54"/>
  <c r="X140" i="54"/>
  <c r="J141" i="54"/>
  <c r="K140" i="54"/>
  <c r="V139" i="54"/>
  <c r="L79" i="54"/>
  <c r="I77" i="54"/>
  <c r="M78" i="54" s="1"/>
  <c r="J140" i="53"/>
  <c r="K139" i="53"/>
  <c r="AA140" i="54" l="1"/>
  <c r="C78" i="54"/>
  <c r="E78" i="54" s="1"/>
  <c r="G78" i="54" s="1"/>
  <c r="F79" i="54"/>
  <c r="D79" i="54"/>
  <c r="V140" i="54"/>
  <c r="Z141" i="54"/>
  <c r="X141" i="54"/>
  <c r="J142" i="54"/>
  <c r="K141" i="54"/>
  <c r="Y141" i="54"/>
  <c r="O141" i="54"/>
  <c r="J141" i="53"/>
  <c r="K140" i="53"/>
  <c r="AA141" i="54" l="1"/>
  <c r="L80" i="54"/>
  <c r="I78" i="54"/>
  <c r="M79" i="54" s="1"/>
  <c r="V141" i="54"/>
  <c r="Z142" i="54"/>
  <c r="J143" i="54"/>
  <c r="K142" i="54"/>
  <c r="X142" i="54"/>
  <c r="O142" i="54"/>
  <c r="Y142" i="54"/>
  <c r="J142" i="53"/>
  <c r="K141" i="53"/>
  <c r="V142" i="54" l="1"/>
  <c r="Z143" i="54"/>
  <c r="Y143" i="54"/>
  <c r="O143" i="54"/>
  <c r="J144" i="54"/>
  <c r="X143" i="54"/>
  <c r="K143" i="54"/>
  <c r="C79" i="54"/>
  <c r="E79" i="54" s="1"/>
  <c r="G79" i="54" s="1"/>
  <c r="AA142" i="54"/>
  <c r="F80" i="54"/>
  <c r="D80" i="54"/>
  <c r="J143" i="53"/>
  <c r="K142" i="53"/>
  <c r="V143" i="54" l="1"/>
  <c r="L81" i="54"/>
  <c r="I79" i="54"/>
  <c r="M80" i="54" s="1"/>
  <c r="Z144" i="54"/>
  <c r="Y144" i="54"/>
  <c r="O144" i="54"/>
  <c r="X144" i="54"/>
  <c r="J145" i="54"/>
  <c r="K144" i="54"/>
  <c r="AA143" i="54"/>
  <c r="J144" i="53"/>
  <c r="K143" i="53"/>
  <c r="AA144" i="54" l="1"/>
  <c r="F81" i="54"/>
  <c r="D81" i="54"/>
  <c r="V144" i="54"/>
  <c r="Z145" i="54"/>
  <c r="X145" i="54"/>
  <c r="J146" i="54"/>
  <c r="K145" i="54"/>
  <c r="O145" i="54"/>
  <c r="Y145" i="54"/>
  <c r="C80" i="54"/>
  <c r="E80" i="54" s="1"/>
  <c r="G80" i="54" s="1"/>
  <c r="J145" i="53"/>
  <c r="K144" i="53"/>
  <c r="AA145" i="54" l="1"/>
  <c r="V145" i="54"/>
  <c r="Z146" i="54"/>
  <c r="J147" i="54"/>
  <c r="K146" i="54"/>
  <c r="X146" i="54"/>
  <c r="O146" i="54"/>
  <c r="Y146" i="54"/>
  <c r="L82" i="54"/>
  <c r="I80" i="54"/>
  <c r="M81" i="54" s="1"/>
  <c r="J146" i="53"/>
  <c r="K145" i="53"/>
  <c r="Z147" i="54" l="1"/>
  <c r="Y147" i="54"/>
  <c r="O147" i="54"/>
  <c r="J148" i="54"/>
  <c r="X147" i="54"/>
  <c r="K147" i="54"/>
  <c r="AA146" i="54"/>
  <c r="F82" i="54"/>
  <c r="D82" i="54"/>
  <c r="C81" i="54"/>
  <c r="E81" i="54" s="1"/>
  <c r="G81" i="54" s="1"/>
  <c r="V146" i="54"/>
  <c r="J147" i="53"/>
  <c r="K146" i="53"/>
  <c r="AA147" i="54" l="1"/>
  <c r="Z148" i="54"/>
  <c r="Y148" i="54"/>
  <c r="O148" i="54"/>
  <c r="X148" i="54"/>
  <c r="J149" i="54"/>
  <c r="K148" i="54"/>
  <c r="V147" i="54"/>
  <c r="L83" i="54"/>
  <c r="I81" i="54"/>
  <c r="M82" i="54" s="1"/>
  <c r="J148" i="53"/>
  <c r="K147" i="53"/>
  <c r="AA148" i="54" l="1"/>
  <c r="F83" i="54"/>
  <c r="D83" i="54"/>
  <c r="V148" i="54"/>
  <c r="C82" i="54"/>
  <c r="E82" i="54" s="1"/>
  <c r="G82" i="54" s="1"/>
  <c r="Z149" i="54"/>
  <c r="X149" i="54"/>
  <c r="J150" i="54"/>
  <c r="K149" i="54"/>
  <c r="O149" i="54"/>
  <c r="Y149" i="54"/>
  <c r="J149" i="53"/>
  <c r="K148" i="53"/>
  <c r="V149" i="54" l="1"/>
  <c r="Z150" i="54"/>
  <c r="J151" i="54"/>
  <c r="K150" i="54"/>
  <c r="X150" i="54"/>
  <c r="O150" i="54"/>
  <c r="Y150" i="54"/>
  <c r="L84" i="54"/>
  <c r="I82" i="54"/>
  <c r="M83" i="54" s="1"/>
  <c r="AA149" i="54"/>
  <c r="J150" i="53"/>
  <c r="K149" i="53"/>
  <c r="AA150" i="54" l="1"/>
  <c r="C83" i="54"/>
  <c r="E83" i="54" s="1"/>
  <c r="G83" i="54" s="1"/>
  <c r="Z151" i="54"/>
  <c r="Y151" i="54"/>
  <c r="O151" i="54"/>
  <c r="J152" i="54"/>
  <c r="X151" i="54"/>
  <c r="K151" i="54"/>
  <c r="F84" i="54"/>
  <c r="D84" i="54"/>
  <c r="V150" i="54"/>
  <c r="J151" i="53"/>
  <c r="K150" i="53"/>
  <c r="L85" i="54" l="1"/>
  <c r="I83" i="54"/>
  <c r="M84" i="54" s="1"/>
  <c r="Z152" i="54"/>
  <c r="Y152" i="54"/>
  <c r="O152" i="54"/>
  <c r="X152" i="54"/>
  <c r="J153" i="54"/>
  <c r="K152" i="54"/>
  <c r="AA151" i="54"/>
  <c r="V151" i="54"/>
  <c r="J152" i="53"/>
  <c r="K151" i="53"/>
  <c r="AA152" i="54" l="1"/>
  <c r="Z153" i="54"/>
  <c r="X153" i="54"/>
  <c r="J154" i="54"/>
  <c r="K153" i="54"/>
  <c r="O153" i="54"/>
  <c r="Y153" i="54"/>
  <c r="C84" i="54"/>
  <c r="E84" i="54" s="1"/>
  <c r="G84" i="54" s="1"/>
  <c r="V152" i="54"/>
  <c r="F85" i="54"/>
  <c r="D85" i="54"/>
  <c r="J153" i="53"/>
  <c r="K152" i="53"/>
  <c r="AA153" i="54" l="1"/>
  <c r="V153" i="54"/>
  <c r="Z154" i="54"/>
  <c r="J155" i="54"/>
  <c r="K154" i="54"/>
  <c r="X154" i="54"/>
  <c r="O154" i="54"/>
  <c r="Y154" i="54"/>
  <c r="L86" i="54"/>
  <c r="I84" i="54"/>
  <c r="M85" i="54" s="1"/>
  <c r="J154" i="53"/>
  <c r="K153" i="53"/>
  <c r="C85" i="54" l="1"/>
  <c r="E85" i="54"/>
  <c r="G85" i="54" s="1"/>
  <c r="Z155" i="54"/>
  <c r="Y155" i="54"/>
  <c r="O155" i="54"/>
  <c r="J156" i="54"/>
  <c r="X155" i="54"/>
  <c r="K155" i="54"/>
  <c r="AA154" i="54"/>
  <c r="F86" i="54"/>
  <c r="D86" i="54"/>
  <c r="V154" i="54"/>
  <c r="J155" i="53"/>
  <c r="K154" i="53"/>
  <c r="AA155" i="54" l="1"/>
  <c r="L87" i="54"/>
  <c r="I85" i="54"/>
  <c r="M86" i="54" s="1"/>
  <c r="Z156" i="54"/>
  <c r="Y156" i="54"/>
  <c r="O156" i="54"/>
  <c r="X156" i="54"/>
  <c r="J157" i="54"/>
  <c r="K156" i="54"/>
  <c r="V155" i="54"/>
  <c r="J156" i="53"/>
  <c r="K155" i="53"/>
  <c r="Z157" i="54" l="1"/>
  <c r="X157" i="54"/>
  <c r="J158" i="54"/>
  <c r="K157" i="54"/>
  <c r="O157" i="54"/>
  <c r="Y157" i="54"/>
  <c r="C86" i="54"/>
  <c r="E86" i="54" s="1"/>
  <c r="G86" i="54" s="1"/>
  <c r="V156" i="54"/>
  <c r="AA156" i="54"/>
  <c r="F87" i="54"/>
  <c r="D87" i="54"/>
  <c r="J157" i="53"/>
  <c r="K156" i="53"/>
  <c r="V157" i="54" l="1"/>
  <c r="Z158" i="54"/>
  <c r="J159" i="54"/>
  <c r="K158" i="54"/>
  <c r="X158" i="54"/>
  <c r="O158" i="54"/>
  <c r="Y158" i="54"/>
  <c r="L88" i="54"/>
  <c r="I86" i="54"/>
  <c r="M87" i="54" s="1"/>
  <c r="AA157" i="54"/>
  <c r="J158" i="53"/>
  <c r="K157" i="53"/>
  <c r="AA158" i="54" l="1"/>
  <c r="C87" i="54"/>
  <c r="E87" i="54" s="1"/>
  <c r="G87" i="54" s="1"/>
  <c r="Z159" i="54"/>
  <c r="Y159" i="54"/>
  <c r="O159" i="54"/>
  <c r="J160" i="54"/>
  <c r="X159" i="54"/>
  <c r="K159" i="54"/>
  <c r="F88" i="54"/>
  <c r="D88" i="54"/>
  <c r="V158" i="54"/>
  <c r="J159" i="53"/>
  <c r="K158" i="53"/>
  <c r="AA159" i="54" l="1"/>
  <c r="L89" i="54"/>
  <c r="I87" i="54"/>
  <c r="M88" i="54" s="1"/>
  <c r="Z160" i="54"/>
  <c r="Y160" i="54"/>
  <c r="O160" i="54"/>
  <c r="X160" i="54"/>
  <c r="J161" i="54"/>
  <c r="K160" i="54"/>
  <c r="V159" i="54"/>
  <c r="J160" i="53"/>
  <c r="K159" i="53"/>
  <c r="Z161" i="54" l="1"/>
  <c r="X161" i="54"/>
  <c r="J162" i="54"/>
  <c r="K161" i="54"/>
  <c r="O161" i="54"/>
  <c r="Y161" i="54"/>
  <c r="C88" i="54"/>
  <c r="E88" i="54" s="1"/>
  <c r="G88" i="54" s="1"/>
  <c r="AA160" i="54"/>
  <c r="V160" i="54"/>
  <c r="F89" i="54"/>
  <c r="D89" i="54"/>
  <c r="J161" i="53"/>
  <c r="K160" i="53"/>
  <c r="V161" i="54" l="1"/>
  <c r="Z162" i="54"/>
  <c r="J163" i="54"/>
  <c r="K162" i="54"/>
  <c r="X162" i="54"/>
  <c r="O162" i="54"/>
  <c r="Y162" i="54"/>
  <c r="L90" i="54"/>
  <c r="I88" i="54"/>
  <c r="M89" i="54" s="1"/>
  <c r="AA161" i="54"/>
  <c r="J162" i="53"/>
  <c r="K161" i="53"/>
  <c r="C89" i="54" l="1"/>
  <c r="E89" i="54" s="1"/>
  <c r="G89" i="54" s="1"/>
  <c r="Z163" i="54"/>
  <c r="Y163" i="54"/>
  <c r="O163" i="54"/>
  <c r="J164" i="54"/>
  <c r="X163" i="54"/>
  <c r="K163" i="54"/>
  <c r="AA162" i="54"/>
  <c r="F90" i="54"/>
  <c r="D90" i="54"/>
  <c r="V162" i="54"/>
  <c r="J163" i="53"/>
  <c r="K162" i="53"/>
  <c r="Z164" i="54" l="1"/>
  <c r="Y164" i="54"/>
  <c r="O164" i="54"/>
  <c r="X164" i="54"/>
  <c r="J165" i="54"/>
  <c r="K164" i="54"/>
  <c r="L91" i="54"/>
  <c r="I89" i="54"/>
  <c r="M90" i="54" s="1"/>
  <c r="AA163" i="54"/>
  <c r="V163" i="54"/>
  <c r="J164" i="53"/>
  <c r="K163" i="53"/>
  <c r="F91" i="54" l="1"/>
  <c r="D91" i="54"/>
  <c r="AA164" i="54"/>
  <c r="C90" i="54"/>
  <c r="E90" i="54" s="1"/>
  <c r="G90" i="54" s="1"/>
  <c r="V164" i="54"/>
  <c r="Z165" i="54"/>
  <c r="X165" i="54"/>
  <c r="J166" i="54"/>
  <c r="K165" i="54"/>
  <c r="O165" i="54"/>
  <c r="Y165" i="54"/>
  <c r="J165" i="53"/>
  <c r="K164" i="53"/>
  <c r="AA165" i="54" l="1"/>
  <c r="Z166" i="54"/>
  <c r="J167" i="54"/>
  <c r="K166" i="54"/>
  <c r="X166" i="54"/>
  <c r="O166" i="54"/>
  <c r="Y166" i="54"/>
  <c r="V165" i="54"/>
  <c r="L92" i="54"/>
  <c r="I90" i="54"/>
  <c r="M91" i="54" s="1"/>
  <c r="J166" i="53"/>
  <c r="K165" i="53"/>
  <c r="C91" i="54" l="1"/>
  <c r="E91" i="54" s="1"/>
  <c r="G91" i="54" s="1"/>
  <c r="V166" i="54"/>
  <c r="F92" i="54"/>
  <c r="D92" i="54"/>
  <c r="Z167" i="54"/>
  <c r="Y167" i="54"/>
  <c r="O167" i="54"/>
  <c r="J168" i="54"/>
  <c r="X167" i="54"/>
  <c r="K167" i="54"/>
  <c r="AA166" i="54"/>
  <c r="J167" i="53"/>
  <c r="K166" i="53"/>
  <c r="Z168" i="54" l="1"/>
  <c r="Y168" i="54"/>
  <c r="O168" i="54"/>
  <c r="X168" i="54"/>
  <c r="J169" i="54"/>
  <c r="K168" i="54"/>
  <c r="AA167" i="54"/>
  <c r="L93" i="54"/>
  <c r="I91" i="54"/>
  <c r="M92" i="54" s="1"/>
  <c r="V167" i="54"/>
  <c r="J168" i="53"/>
  <c r="K167" i="53"/>
  <c r="AA168" i="54" l="1"/>
  <c r="C92" i="54"/>
  <c r="E92" i="54" s="1"/>
  <c r="G92" i="54" s="1"/>
  <c r="V168" i="54"/>
  <c r="F93" i="54"/>
  <c r="D93" i="54"/>
  <c r="Z169" i="54"/>
  <c r="X169" i="54"/>
  <c r="J170" i="54"/>
  <c r="K169" i="54"/>
  <c r="O169" i="54"/>
  <c r="Y169" i="54"/>
  <c r="J169" i="53"/>
  <c r="K168" i="53"/>
  <c r="Z170" i="54" l="1"/>
  <c r="J171" i="54"/>
  <c r="K170" i="54"/>
  <c r="X170" i="54"/>
  <c r="O170" i="54"/>
  <c r="Y170" i="54"/>
  <c r="V169" i="54"/>
  <c r="L94" i="54"/>
  <c r="I92" i="54"/>
  <c r="M93" i="54" s="1"/>
  <c r="AA169" i="54"/>
  <c r="J170" i="53"/>
  <c r="K169" i="53"/>
  <c r="C93" i="54" l="1"/>
  <c r="E93" i="54" s="1"/>
  <c r="G93" i="54" s="1"/>
  <c r="V170" i="54"/>
  <c r="Z171" i="54"/>
  <c r="Y171" i="54"/>
  <c r="X171" i="54"/>
  <c r="J172" i="54"/>
  <c r="O171" i="54"/>
  <c r="K171" i="54"/>
  <c r="F94" i="54"/>
  <c r="D94" i="54"/>
  <c r="AA170" i="54"/>
  <c r="J171" i="53"/>
  <c r="K170" i="53"/>
  <c r="V171" i="54" l="1"/>
  <c r="AA171" i="54"/>
  <c r="L95" i="54"/>
  <c r="I93" i="54"/>
  <c r="M94" i="54" s="1"/>
  <c r="Z172" i="54"/>
  <c r="J173" i="54"/>
  <c r="Y172" i="54"/>
  <c r="X172" i="54"/>
  <c r="K172" i="54"/>
  <c r="O172" i="54"/>
  <c r="J172" i="53"/>
  <c r="K171" i="53"/>
  <c r="AA172" i="54" l="1"/>
  <c r="F95" i="54"/>
  <c r="D95" i="54"/>
  <c r="Z173" i="54"/>
  <c r="O173" i="54"/>
  <c r="J174" i="54"/>
  <c r="K173" i="54"/>
  <c r="Y173" i="54"/>
  <c r="X173" i="54"/>
  <c r="V172" i="54"/>
  <c r="C94" i="54"/>
  <c r="E94" i="54" s="1"/>
  <c r="G94" i="54" s="1"/>
  <c r="J173" i="53"/>
  <c r="K172" i="53"/>
  <c r="AA173" i="54" l="1"/>
  <c r="V173" i="54"/>
  <c r="Z174" i="54"/>
  <c r="X174" i="54"/>
  <c r="K174" i="54"/>
  <c r="O174" i="54"/>
  <c r="Y174" i="54"/>
  <c r="J175" i="54"/>
  <c r="L96" i="54"/>
  <c r="I94" i="54"/>
  <c r="M95" i="54" s="1"/>
  <c r="J174" i="53"/>
  <c r="K173" i="53"/>
  <c r="AA174" i="54" l="1"/>
  <c r="V174" i="54"/>
  <c r="F96" i="54"/>
  <c r="D96" i="54"/>
  <c r="C95" i="54"/>
  <c r="E95" i="54" s="1"/>
  <c r="G95" i="54" s="1"/>
  <c r="Z175" i="54"/>
  <c r="Y175" i="54"/>
  <c r="X175" i="54"/>
  <c r="K175" i="54"/>
  <c r="J176" i="54"/>
  <c r="O175" i="54"/>
  <c r="J175" i="53"/>
  <c r="K174" i="53"/>
  <c r="V175" i="54" l="1"/>
  <c r="L97" i="54"/>
  <c r="I95" i="54"/>
  <c r="M96" i="54" s="1"/>
  <c r="AA175" i="54"/>
  <c r="Z176" i="54"/>
  <c r="J177" i="54"/>
  <c r="Y176" i="54"/>
  <c r="X176" i="54"/>
  <c r="K176" i="54"/>
  <c r="O176" i="54"/>
  <c r="J176" i="53"/>
  <c r="K175" i="53"/>
  <c r="AA176" i="54" l="1"/>
  <c r="Z177" i="54"/>
  <c r="O177" i="54"/>
  <c r="J178" i="54"/>
  <c r="X177" i="54"/>
  <c r="K177" i="54"/>
  <c r="Y177" i="54"/>
  <c r="F97" i="54"/>
  <c r="D97" i="54"/>
  <c r="V176" i="54"/>
  <c r="C96" i="54"/>
  <c r="E96" i="54" s="1"/>
  <c r="G96" i="54" s="1"/>
  <c r="J177" i="53"/>
  <c r="K176" i="53"/>
  <c r="L98" i="54" l="1"/>
  <c r="I96" i="54"/>
  <c r="M97" i="54" s="1"/>
  <c r="Z178" i="54"/>
  <c r="X178" i="54"/>
  <c r="K178" i="54"/>
  <c r="O178" i="54"/>
  <c r="Y178" i="54"/>
  <c r="J179" i="54"/>
  <c r="AA177" i="54"/>
  <c r="V177" i="54"/>
  <c r="J178" i="53"/>
  <c r="K177" i="53"/>
  <c r="C97" i="54" l="1"/>
  <c r="E97" i="54" s="1"/>
  <c r="G97" i="54" s="1"/>
  <c r="AA178" i="54"/>
  <c r="V178" i="54"/>
  <c r="Z179" i="54"/>
  <c r="Y179" i="54"/>
  <c r="X179" i="54"/>
  <c r="K179" i="54"/>
  <c r="J180" i="54"/>
  <c r="O179" i="54"/>
  <c r="F98" i="54"/>
  <c r="D98" i="54"/>
  <c r="J179" i="53"/>
  <c r="K178" i="53"/>
  <c r="AA179" i="54" l="1"/>
  <c r="Z180" i="54"/>
  <c r="J181" i="54"/>
  <c r="Y180" i="54"/>
  <c r="X180" i="54"/>
  <c r="K180" i="54"/>
  <c r="O180" i="54"/>
  <c r="L99" i="54"/>
  <c r="I97" i="54"/>
  <c r="M98" i="54" s="1"/>
  <c r="V179" i="54"/>
  <c r="J180" i="53"/>
  <c r="K179" i="53"/>
  <c r="AA180" i="54" l="1"/>
  <c r="C98" i="54"/>
  <c r="E98" i="54" s="1"/>
  <c r="G98" i="54" s="1"/>
  <c r="Z181" i="54"/>
  <c r="O181" i="54"/>
  <c r="J182" i="54"/>
  <c r="K181" i="54"/>
  <c r="Y181" i="54"/>
  <c r="X181" i="54"/>
  <c r="V180" i="54"/>
  <c r="F99" i="54"/>
  <c r="D99" i="54"/>
  <c r="J181" i="53"/>
  <c r="K180" i="53"/>
  <c r="V181" i="54" l="1"/>
  <c r="Z182" i="54"/>
  <c r="X182" i="54"/>
  <c r="K182" i="54"/>
  <c r="O182" i="54"/>
  <c r="Y182" i="54"/>
  <c r="J183" i="54"/>
  <c r="L100" i="54"/>
  <c r="I98" i="54"/>
  <c r="M99" i="54" s="1"/>
  <c r="AA181" i="54"/>
  <c r="J182" i="53"/>
  <c r="K181" i="53"/>
  <c r="F100" i="54" l="1"/>
  <c r="D100" i="54"/>
  <c r="C99" i="54"/>
  <c r="E99" i="54" s="1"/>
  <c r="G99" i="54" s="1"/>
  <c r="Z183" i="54"/>
  <c r="Y183" i="54"/>
  <c r="X183" i="54"/>
  <c r="K183" i="54"/>
  <c r="J184" i="54"/>
  <c r="O183" i="54"/>
  <c r="AA182" i="54"/>
  <c r="V182" i="54"/>
  <c r="J183" i="53"/>
  <c r="K182" i="53"/>
  <c r="AA183" i="54" l="1"/>
  <c r="Z184" i="54"/>
  <c r="X184" i="54"/>
  <c r="J185" i="54"/>
  <c r="K184" i="54"/>
  <c r="Y184" i="54"/>
  <c r="O184" i="54"/>
  <c r="V183" i="54"/>
  <c r="L101" i="54"/>
  <c r="I99" i="54"/>
  <c r="M100" i="54" s="1"/>
  <c r="J184" i="53"/>
  <c r="K183" i="53"/>
  <c r="AA184" i="54" l="1"/>
  <c r="F101" i="54"/>
  <c r="D101" i="54"/>
  <c r="Z185" i="54"/>
  <c r="J186" i="54"/>
  <c r="K185" i="54"/>
  <c r="O185" i="54"/>
  <c r="Y185" i="54"/>
  <c r="X185" i="54"/>
  <c r="C100" i="54"/>
  <c r="E100" i="54" s="1"/>
  <c r="G100" i="54" s="1"/>
  <c r="V184" i="54"/>
  <c r="J185" i="53"/>
  <c r="K184" i="53"/>
  <c r="Z186" i="54" l="1"/>
  <c r="Y186" i="54"/>
  <c r="O186" i="54"/>
  <c r="J187" i="54"/>
  <c r="K186" i="54"/>
  <c r="X186" i="54"/>
  <c r="AA185" i="54"/>
  <c r="V185" i="54"/>
  <c r="L102" i="54"/>
  <c r="I100" i="54"/>
  <c r="M101" i="54" s="1"/>
  <c r="J186" i="53"/>
  <c r="K185" i="53"/>
  <c r="AA186" i="54" l="1"/>
  <c r="Z187" i="54"/>
  <c r="Y187" i="54"/>
  <c r="O187" i="54"/>
  <c r="X187" i="54"/>
  <c r="J188" i="54"/>
  <c r="K187" i="54"/>
  <c r="F102" i="54"/>
  <c r="D102" i="54"/>
  <c r="C101" i="54"/>
  <c r="E101" i="54" s="1"/>
  <c r="G101" i="54" s="1"/>
  <c r="V186" i="54"/>
  <c r="K186" i="53"/>
  <c r="J187" i="53"/>
  <c r="AA187" i="54" l="1"/>
  <c r="V187" i="54"/>
  <c r="L103" i="54"/>
  <c r="I101" i="54"/>
  <c r="M102" i="54" s="1"/>
  <c r="Z188" i="54"/>
  <c r="X188" i="54"/>
  <c r="J189" i="54"/>
  <c r="K188" i="54"/>
  <c r="Y188" i="54"/>
  <c r="O188" i="54"/>
  <c r="J188" i="53"/>
  <c r="K187" i="53"/>
  <c r="AA188" i="54" l="1"/>
  <c r="V188" i="54"/>
  <c r="C102" i="54"/>
  <c r="E102" i="54" s="1"/>
  <c r="G102" i="54" s="1"/>
  <c r="F103" i="54"/>
  <c r="D103" i="54"/>
  <c r="Z189" i="54"/>
  <c r="J190" i="54"/>
  <c r="K189" i="54"/>
  <c r="O189" i="54"/>
  <c r="Y189" i="54"/>
  <c r="X189" i="54"/>
  <c r="K188" i="53"/>
  <c r="J189" i="53"/>
  <c r="V189" i="54" l="1"/>
  <c r="L104" i="54"/>
  <c r="I102" i="54"/>
  <c r="M103" i="54" s="1"/>
  <c r="AA189" i="54"/>
  <c r="Z190" i="54"/>
  <c r="Y190" i="54"/>
  <c r="O190" i="54"/>
  <c r="J191" i="54"/>
  <c r="K190" i="54"/>
  <c r="X190" i="54"/>
  <c r="J190" i="53"/>
  <c r="K189" i="53"/>
  <c r="F104" i="54" l="1"/>
  <c r="D104" i="54"/>
  <c r="V190" i="54"/>
  <c r="Z191" i="54"/>
  <c r="Y191" i="54"/>
  <c r="O191" i="54"/>
  <c r="X191" i="54"/>
  <c r="J192" i="54"/>
  <c r="K191" i="54"/>
  <c r="AA190" i="54"/>
  <c r="C103" i="54"/>
  <c r="E103" i="54" s="1"/>
  <c r="G103" i="54" s="1"/>
  <c r="J191" i="53"/>
  <c r="K190" i="53"/>
  <c r="AA191" i="54" l="1"/>
  <c r="V191" i="54"/>
  <c r="Z192" i="54"/>
  <c r="X192" i="54"/>
  <c r="J193" i="54"/>
  <c r="K192" i="54"/>
  <c r="Y192" i="54"/>
  <c r="O192" i="54"/>
  <c r="L105" i="54"/>
  <c r="I103" i="54"/>
  <c r="M104" i="54" s="1"/>
  <c r="J192" i="53"/>
  <c r="K191" i="53"/>
  <c r="F105" i="54" l="1"/>
  <c r="D105" i="54"/>
  <c r="V192" i="54"/>
  <c r="Z193" i="54"/>
  <c r="J194" i="54"/>
  <c r="K193" i="54"/>
  <c r="O193" i="54"/>
  <c r="Y193" i="54"/>
  <c r="X193" i="54"/>
  <c r="C104" i="54"/>
  <c r="E104" i="54" s="1"/>
  <c r="G104" i="54" s="1"/>
  <c r="AA192" i="54"/>
  <c r="J193" i="53"/>
  <c r="K192" i="53"/>
  <c r="AA193" i="54" l="1"/>
  <c r="V193" i="54"/>
  <c r="Z194" i="54"/>
  <c r="Y194" i="54"/>
  <c r="O194" i="54"/>
  <c r="J195" i="54"/>
  <c r="K194" i="54"/>
  <c r="X194" i="54"/>
  <c r="L106" i="54"/>
  <c r="I104" i="54"/>
  <c r="M105" i="54" s="1"/>
  <c r="J194" i="53"/>
  <c r="K193" i="53"/>
  <c r="V194" i="54" l="1"/>
  <c r="F106" i="54"/>
  <c r="D106" i="54"/>
  <c r="Z195" i="54"/>
  <c r="Y195" i="54"/>
  <c r="O195" i="54"/>
  <c r="X195" i="54"/>
  <c r="J196" i="54"/>
  <c r="K195" i="54"/>
  <c r="C105" i="54"/>
  <c r="E105" i="54" s="1"/>
  <c r="G105" i="54" s="1"/>
  <c r="AA194" i="54"/>
  <c r="J195" i="53"/>
  <c r="K194" i="53"/>
  <c r="L107" i="54" l="1"/>
  <c r="I105" i="54"/>
  <c r="M106" i="54" s="1"/>
  <c r="AA195" i="54"/>
  <c r="V195" i="54"/>
  <c r="Z196" i="54"/>
  <c r="X196" i="54"/>
  <c r="J197" i="54"/>
  <c r="K196" i="54"/>
  <c r="Y196" i="54"/>
  <c r="O196" i="54"/>
  <c r="J196" i="53"/>
  <c r="K195" i="53"/>
  <c r="AA196" i="54" l="1"/>
  <c r="C106" i="54"/>
  <c r="E106" i="54" s="1"/>
  <c r="G106" i="54" s="1"/>
  <c r="V196" i="54"/>
  <c r="Z197" i="54"/>
  <c r="J198" i="54"/>
  <c r="K197" i="54"/>
  <c r="O197" i="54"/>
  <c r="Y197" i="54"/>
  <c r="X197" i="54"/>
  <c r="F107" i="54"/>
  <c r="D107" i="54"/>
  <c r="K196" i="53"/>
  <c r="J197" i="53"/>
  <c r="V197" i="54" l="1"/>
  <c r="Z198" i="54"/>
  <c r="Y198" i="54"/>
  <c r="O198" i="54"/>
  <c r="J199" i="54"/>
  <c r="K198" i="54"/>
  <c r="X198" i="54"/>
  <c r="L108" i="54"/>
  <c r="I106" i="54"/>
  <c r="M107" i="54" s="1"/>
  <c r="AA197" i="54"/>
  <c r="J198" i="53"/>
  <c r="K197" i="53"/>
  <c r="C107" i="54" l="1"/>
  <c r="E107" i="54" s="1"/>
  <c r="G107" i="54" s="1"/>
  <c r="V198" i="54"/>
  <c r="F108" i="54"/>
  <c r="D108" i="54"/>
  <c r="Z199" i="54"/>
  <c r="Y199" i="54"/>
  <c r="O199" i="54"/>
  <c r="X199" i="54"/>
  <c r="J200" i="54"/>
  <c r="K199" i="54"/>
  <c r="AA198" i="54"/>
  <c r="J199" i="53"/>
  <c r="K198" i="53"/>
  <c r="AA199" i="54" l="1"/>
  <c r="Z200" i="54"/>
  <c r="X200" i="54"/>
  <c r="J201" i="54"/>
  <c r="K200" i="54"/>
  <c r="Y200" i="54"/>
  <c r="O200" i="54"/>
  <c r="L109" i="54"/>
  <c r="I107" i="54"/>
  <c r="M108" i="54" s="1"/>
  <c r="V199" i="54"/>
  <c r="J200" i="53"/>
  <c r="K199" i="53"/>
  <c r="AA200" i="54" l="1"/>
  <c r="Z201" i="54"/>
  <c r="J202" i="54"/>
  <c r="K201" i="54"/>
  <c r="O201" i="54"/>
  <c r="Y201" i="54"/>
  <c r="X201" i="54"/>
  <c r="C108" i="54"/>
  <c r="E108" i="54" s="1"/>
  <c r="G108" i="54" s="1"/>
  <c r="F109" i="54"/>
  <c r="D109" i="54"/>
  <c r="V200" i="54"/>
  <c r="J201" i="53"/>
  <c r="K200" i="53"/>
  <c r="AA201" i="54" l="1"/>
  <c r="L110" i="54"/>
  <c r="I108" i="54"/>
  <c r="M109" i="54" s="1"/>
  <c r="V201" i="54"/>
  <c r="Z202" i="54"/>
  <c r="Y202" i="54"/>
  <c r="O202" i="54"/>
  <c r="J203" i="54"/>
  <c r="K202" i="54"/>
  <c r="X202" i="54"/>
  <c r="J202" i="53"/>
  <c r="K201" i="53"/>
  <c r="AA202" i="54" l="1"/>
  <c r="C109" i="54"/>
  <c r="E109" i="54" s="1"/>
  <c r="G109" i="54" s="1"/>
  <c r="V202" i="54"/>
  <c r="Z203" i="54"/>
  <c r="Y203" i="54"/>
  <c r="O203" i="54"/>
  <c r="X203" i="54"/>
  <c r="J204" i="54"/>
  <c r="K203" i="54"/>
  <c r="F110" i="54"/>
  <c r="D110" i="54"/>
  <c r="J203" i="53"/>
  <c r="K202" i="53"/>
  <c r="AA203" i="54" l="1"/>
  <c r="V203" i="54"/>
  <c r="Z204" i="54"/>
  <c r="X204" i="54"/>
  <c r="J205" i="54"/>
  <c r="K204" i="54"/>
  <c r="Y204" i="54"/>
  <c r="O204" i="54"/>
  <c r="L111" i="54"/>
  <c r="I109" i="54"/>
  <c r="M110" i="54" s="1"/>
  <c r="J204" i="53"/>
  <c r="K203" i="53"/>
  <c r="AA204" i="54" l="1"/>
  <c r="F111" i="54"/>
  <c r="D111" i="54"/>
  <c r="V204" i="54"/>
  <c r="C110" i="54"/>
  <c r="E110" i="54" s="1"/>
  <c r="G110" i="54" s="1"/>
  <c r="Z205" i="54"/>
  <c r="J206" i="54"/>
  <c r="K205" i="54"/>
  <c r="O205" i="54"/>
  <c r="Y205" i="54"/>
  <c r="X205" i="54"/>
  <c r="K204" i="53"/>
  <c r="J205" i="53"/>
  <c r="AA205" i="54" l="1"/>
  <c r="Z206" i="54"/>
  <c r="Y206" i="54"/>
  <c r="O206" i="54"/>
  <c r="J207" i="54"/>
  <c r="K206" i="54"/>
  <c r="X206" i="54"/>
  <c r="V205" i="54"/>
  <c r="L112" i="54"/>
  <c r="I110" i="54"/>
  <c r="M111" i="54" s="1"/>
  <c r="J206" i="53"/>
  <c r="K205" i="53"/>
  <c r="AA206" i="54" l="1"/>
  <c r="F112" i="54"/>
  <c r="D112" i="54"/>
  <c r="V206" i="54"/>
  <c r="C111" i="54"/>
  <c r="E111" i="54" s="1"/>
  <c r="G111" i="54" s="1"/>
  <c r="Z207" i="54"/>
  <c r="Y207" i="54"/>
  <c r="O207" i="54"/>
  <c r="X207" i="54"/>
  <c r="J208" i="54"/>
  <c r="K207" i="54"/>
  <c r="J207" i="53"/>
  <c r="K206" i="53"/>
  <c r="AA207" i="54" l="1"/>
  <c r="Z208" i="54"/>
  <c r="X208" i="54"/>
  <c r="J209" i="54"/>
  <c r="K208" i="54"/>
  <c r="Y208" i="54"/>
  <c r="O208" i="54"/>
  <c r="V207" i="54"/>
  <c r="L113" i="54"/>
  <c r="I111" i="54"/>
  <c r="M112" i="54" s="1"/>
  <c r="J208" i="53"/>
  <c r="K207" i="53"/>
  <c r="AA208" i="54" l="1"/>
  <c r="Z209" i="54"/>
  <c r="J210" i="54"/>
  <c r="K209" i="54"/>
  <c r="O209" i="54"/>
  <c r="Y209" i="54"/>
  <c r="X209" i="54"/>
  <c r="F113" i="54"/>
  <c r="D113" i="54"/>
  <c r="C112" i="54"/>
  <c r="E112" i="54" s="1"/>
  <c r="G112" i="54" s="1"/>
  <c r="V208" i="54"/>
  <c r="J209" i="53"/>
  <c r="K208" i="53"/>
  <c r="AA209" i="54" l="1"/>
  <c r="L114" i="54"/>
  <c r="I112" i="54"/>
  <c r="M113" i="54" s="1"/>
  <c r="V209" i="54"/>
  <c r="Z210" i="54"/>
  <c r="Y210" i="54"/>
  <c r="O210" i="54"/>
  <c r="J211" i="54"/>
  <c r="K210" i="54"/>
  <c r="X210" i="54"/>
  <c r="J210" i="53"/>
  <c r="K209" i="53"/>
  <c r="AA210" i="54" l="1"/>
  <c r="C113" i="54"/>
  <c r="E113" i="54" s="1"/>
  <c r="G113" i="54" s="1"/>
  <c r="V210" i="54"/>
  <c r="Z211" i="54"/>
  <c r="Y211" i="54"/>
  <c r="O211" i="54"/>
  <c r="X211" i="54"/>
  <c r="J212" i="54"/>
  <c r="K211" i="54"/>
  <c r="F114" i="54"/>
  <c r="D114" i="54"/>
  <c r="J211" i="53"/>
  <c r="K210" i="53"/>
  <c r="V211" i="54" l="1"/>
  <c r="Z212" i="54"/>
  <c r="X212" i="54"/>
  <c r="J213" i="54"/>
  <c r="K212" i="54"/>
  <c r="Y212" i="54"/>
  <c r="O212" i="54"/>
  <c r="L115" i="54"/>
  <c r="I113" i="54"/>
  <c r="M114" i="54" s="1"/>
  <c r="AA211" i="54"/>
  <c r="J212" i="53"/>
  <c r="K211" i="53"/>
  <c r="AA212" i="54" l="1"/>
  <c r="C114" i="54"/>
  <c r="E114" i="54" s="1"/>
  <c r="G114" i="54" s="1"/>
  <c r="F115" i="54"/>
  <c r="D115" i="54"/>
  <c r="V212" i="54"/>
  <c r="Z213" i="54"/>
  <c r="J214" i="54"/>
  <c r="K213" i="54"/>
  <c r="O213" i="54"/>
  <c r="Y213" i="54"/>
  <c r="X213" i="54"/>
  <c r="K212" i="53"/>
  <c r="J213" i="53"/>
  <c r="L116" i="54" l="1"/>
  <c r="I114" i="54"/>
  <c r="M115" i="54" s="1"/>
  <c r="AA213" i="54"/>
  <c r="V213" i="54"/>
  <c r="Z214" i="54"/>
  <c r="Y214" i="54"/>
  <c r="O214" i="54"/>
  <c r="J215" i="54"/>
  <c r="K214" i="54"/>
  <c r="X214" i="54"/>
  <c r="J214" i="53"/>
  <c r="K213" i="53"/>
  <c r="AA214" i="54" l="1"/>
  <c r="V214" i="54"/>
  <c r="C115" i="54"/>
  <c r="E115" i="54" s="1"/>
  <c r="G115" i="54" s="1"/>
  <c r="Z215" i="54"/>
  <c r="Y215" i="54"/>
  <c r="O215" i="54"/>
  <c r="X215" i="54"/>
  <c r="J216" i="54"/>
  <c r="K215" i="54"/>
  <c r="D116" i="54"/>
  <c r="F116" i="54"/>
  <c r="J215" i="53"/>
  <c r="K214" i="53"/>
  <c r="AA215" i="54" l="1"/>
  <c r="L117" i="54"/>
  <c r="I115" i="54"/>
  <c r="M116" i="54" s="1"/>
  <c r="Z216" i="54"/>
  <c r="X216" i="54"/>
  <c r="J217" i="54"/>
  <c r="K216" i="54"/>
  <c r="Y216" i="54"/>
  <c r="O216" i="54"/>
  <c r="V215" i="54"/>
  <c r="J216" i="53"/>
  <c r="K215" i="53"/>
  <c r="AA216" i="54" l="1"/>
  <c r="V216" i="54"/>
  <c r="Z217" i="54"/>
  <c r="J218" i="54"/>
  <c r="K217" i="54"/>
  <c r="O217" i="54"/>
  <c r="Y217" i="54"/>
  <c r="X217" i="54"/>
  <c r="D117" i="54"/>
  <c r="F117" i="54"/>
  <c r="C116" i="54"/>
  <c r="E116" i="54" s="1"/>
  <c r="G116" i="54" s="1"/>
  <c r="J217" i="53"/>
  <c r="K216" i="53"/>
  <c r="AA217" i="54" l="1"/>
  <c r="Z218" i="54"/>
  <c r="Y218" i="54"/>
  <c r="O218" i="54"/>
  <c r="J219" i="54"/>
  <c r="K218" i="54"/>
  <c r="X218" i="54"/>
  <c r="L118" i="54"/>
  <c r="I116" i="54"/>
  <c r="M117" i="54" s="1"/>
  <c r="V217" i="54"/>
  <c r="J218" i="53"/>
  <c r="K217" i="53"/>
  <c r="AA218" i="54" l="1"/>
  <c r="D118" i="54"/>
  <c r="F118" i="54"/>
  <c r="Z219" i="54"/>
  <c r="Y219" i="54"/>
  <c r="O219" i="54"/>
  <c r="X219" i="54"/>
  <c r="J220" i="54"/>
  <c r="K219" i="54"/>
  <c r="C117" i="54"/>
  <c r="E117" i="54" s="1"/>
  <c r="G117" i="54" s="1"/>
  <c r="V218" i="54"/>
  <c r="J219" i="53"/>
  <c r="K218" i="53"/>
  <c r="AA219" i="54" l="1"/>
  <c r="V219" i="54"/>
  <c r="Z220" i="54"/>
  <c r="X220" i="54"/>
  <c r="J221" i="54"/>
  <c r="K220" i="54"/>
  <c r="Y220" i="54"/>
  <c r="O220" i="54"/>
  <c r="L119" i="54"/>
  <c r="I117" i="54"/>
  <c r="M118" i="54" s="1"/>
  <c r="J220" i="53"/>
  <c r="K219" i="53"/>
  <c r="AA220" i="54" l="1"/>
  <c r="C118" i="54"/>
  <c r="E118" i="54" s="1"/>
  <c r="G118" i="54" s="1"/>
  <c r="V220" i="54"/>
  <c r="D119" i="54"/>
  <c r="F119" i="54"/>
  <c r="Z221" i="54"/>
  <c r="J222" i="54"/>
  <c r="K221" i="54"/>
  <c r="O221" i="54"/>
  <c r="Y221" i="54"/>
  <c r="X221" i="54"/>
  <c r="J221" i="53"/>
  <c r="K220" i="53"/>
  <c r="AA221" i="54" l="1"/>
  <c r="L120" i="54"/>
  <c r="I118" i="54"/>
  <c r="M119" i="54" s="1"/>
  <c r="V221" i="54"/>
  <c r="Z222" i="54"/>
  <c r="Y222" i="54"/>
  <c r="O222" i="54"/>
  <c r="J223" i="54"/>
  <c r="K222" i="54"/>
  <c r="X222" i="54"/>
  <c r="J222" i="53"/>
  <c r="K221" i="53"/>
  <c r="AA222" i="54" l="1"/>
  <c r="Z223" i="54"/>
  <c r="Y223" i="54"/>
  <c r="O223" i="54"/>
  <c r="X223" i="54"/>
  <c r="J224" i="54"/>
  <c r="K223" i="54"/>
  <c r="C119" i="54"/>
  <c r="E119" i="54" s="1"/>
  <c r="G119" i="54" s="1"/>
  <c r="V222" i="54"/>
  <c r="D120" i="54"/>
  <c r="F120" i="54"/>
  <c r="J223" i="53"/>
  <c r="K222" i="53"/>
  <c r="AA223" i="54" l="1"/>
  <c r="L121" i="54"/>
  <c r="I119" i="54"/>
  <c r="M120" i="54" s="1"/>
  <c r="V223" i="54"/>
  <c r="Z224" i="54"/>
  <c r="X224" i="54"/>
  <c r="J225" i="54"/>
  <c r="K224" i="54"/>
  <c r="Y224" i="54"/>
  <c r="O224" i="54"/>
  <c r="J224" i="53"/>
  <c r="K223" i="53"/>
  <c r="AA224" i="54" l="1"/>
  <c r="Z225" i="54"/>
  <c r="J226" i="54"/>
  <c r="K225" i="54"/>
  <c r="O225" i="54"/>
  <c r="Y225" i="54"/>
  <c r="X225" i="54"/>
  <c r="C120" i="54"/>
  <c r="E120" i="54" s="1"/>
  <c r="G120" i="54" s="1"/>
  <c r="V224" i="54"/>
  <c r="D121" i="54"/>
  <c r="F121" i="54"/>
  <c r="J225" i="53"/>
  <c r="K224" i="53"/>
  <c r="AA225" i="54" l="1"/>
  <c r="V225" i="54"/>
  <c r="L122" i="54"/>
  <c r="I120" i="54"/>
  <c r="M121" i="54" s="1"/>
  <c r="Z226" i="54"/>
  <c r="Y226" i="54"/>
  <c r="O226" i="54"/>
  <c r="J227" i="54"/>
  <c r="K226" i="54"/>
  <c r="X226" i="54"/>
  <c r="J226" i="53"/>
  <c r="K225" i="53"/>
  <c r="AA226" i="54" l="1"/>
  <c r="D122" i="54"/>
  <c r="F122" i="54"/>
  <c r="V226" i="54"/>
  <c r="Z227" i="54"/>
  <c r="Y227" i="54"/>
  <c r="O227" i="54"/>
  <c r="X227" i="54"/>
  <c r="J228" i="54"/>
  <c r="K227" i="54"/>
  <c r="C121" i="54"/>
  <c r="E121" i="54"/>
  <c r="G121" i="54" s="1"/>
  <c r="J227" i="53"/>
  <c r="K226" i="53"/>
  <c r="L123" i="54" l="1"/>
  <c r="I121" i="54"/>
  <c r="M122" i="54" s="1"/>
  <c r="AA227" i="54"/>
  <c r="V227" i="54"/>
  <c r="Z228" i="54"/>
  <c r="X228" i="54"/>
  <c r="J229" i="54"/>
  <c r="K228" i="54"/>
  <c r="Y228" i="54"/>
  <c r="O228" i="54"/>
  <c r="J228" i="53"/>
  <c r="K227" i="53"/>
  <c r="AA228" i="54" l="1"/>
  <c r="C122" i="54"/>
  <c r="E122" i="54" s="1"/>
  <c r="G122" i="54" s="1"/>
  <c r="V228" i="54"/>
  <c r="Z229" i="54"/>
  <c r="J230" i="54"/>
  <c r="K229" i="54"/>
  <c r="O229" i="54"/>
  <c r="Y229" i="54"/>
  <c r="X229" i="54"/>
  <c r="D123" i="54"/>
  <c r="F123" i="54"/>
  <c r="J229" i="53"/>
  <c r="K228" i="53"/>
  <c r="Z230" i="54" l="1"/>
  <c r="Y230" i="54"/>
  <c r="O230" i="54"/>
  <c r="J231" i="54"/>
  <c r="K230" i="54"/>
  <c r="X230" i="54"/>
  <c r="V229" i="54"/>
  <c r="L124" i="54"/>
  <c r="I122" i="54"/>
  <c r="M123" i="54" s="1"/>
  <c r="AA229" i="54"/>
  <c r="J230" i="53"/>
  <c r="K229" i="53"/>
  <c r="AA230" i="54" l="1"/>
  <c r="C123" i="54"/>
  <c r="E123" i="54" s="1"/>
  <c r="G123" i="54" s="1"/>
  <c r="D124" i="54"/>
  <c r="F124" i="54"/>
  <c r="Z231" i="54"/>
  <c r="Y231" i="54"/>
  <c r="O231" i="54"/>
  <c r="X231" i="54"/>
  <c r="J232" i="54"/>
  <c r="K231" i="54"/>
  <c r="V230" i="54"/>
  <c r="J231" i="53"/>
  <c r="K230" i="53"/>
  <c r="AA231" i="54" l="1"/>
  <c r="V231" i="54"/>
  <c r="Z232" i="54"/>
  <c r="X232" i="54"/>
  <c r="J233" i="54"/>
  <c r="K232" i="54"/>
  <c r="Y232" i="54"/>
  <c r="O232" i="54"/>
  <c r="L125" i="54"/>
  <c r="I123" i="54"/>
  <c r="M124" i="54" s="1"/>
  <c r="J232" i="53"/>
  <c r="K231" i="53"/>
  <c r="AA232" i="54" l="1"/>
  <c r="C124" i="54"/>
  <c r="E124" i="54" s="1"/>
  <c r="G124" i="54" s="1"/>
  <c r="D125" i="54"/>
  <c r="F125" i="54"/>
  <c r="V232" i="54"/>
  <c r="Z233" i="54"/>
  <c r="J234" i="54"/>
  <c r="K233" i="54"/>
  <c r="O233" i="54"/>
  <c r="Y233" i="54"/>
  <c r="X233" i="54"/>
  <c r="J233" i="53"/>
  <c r="K232" i="53"/>
  <c r="AA233" i="54" l="1"/>
  <c r="V233" i="54"/>
  <c r="Z234" i="54"/>
  <c r="Y234" i="54"/>
  <c r="O234" i="54"/>
  <c r="J235" i="54"/>
  <c r="K234" i="54"/>
  <c r="X234" i="54"/>
  <c r="L126" i="54"/>
  <c r="I124" i="54"/>
  <c r="M125" i="54" s="1"/>
  <c r="J234" i="53"/>
  <c r="K233" i="53"/>
  <c r="C125" i="54" l="1"/>
  <c r="E125" i="54" s="1"/>
  <c r="G125" i="54" s="1"/>
  <c r="V234" i="54"/>
  <c r="D126" i="54"/>
  <c r="F126" i="54"/>
  <c r="Z235" i="54"/>
  <c r="Y235" i="54"/>
  <c r="O235" i="54"/>
  <c r="X235" i="54"/>
  <c r="J236" i="54"/>
  <c r="K235" i="54"/>
  <c r="AA234" i="54"/>
  <c r="J235" i="53"/>
  <c r="K234" i="53"/>
  <c r="Z236" i="54" l="1"/>
  <c r="X236" i="54"/>
  <c r="J237" i="54"/>
  <c r="K236" i="54"/>
  <c r="Y236" i="54"/>
  <c r="O236" i="54"/>
  <c r="L127" i="54"/>
  <c r="I125" i="54"/>
  <c r="M126" i="54" s="1"/>
  <c r="AA235" i="54"/>
  <c r="V235" i="54"/>
  <c r="J236" i="53"/>
  <c r="K235" i="53"/>
  <c r="AA236" i="54" l="1"/>
  <c r="D127" i="54"/>
  <c r="F127" i="54"/>
  <c r="V236" i="54"/>
  <c r="Z237" i="54"/>
  <c r="J238" i="54"/>
  <c r="K237" i="54"/>
  <c r="O237" i="54"/>
  <c r="Y237" i="54"/>
  <c r="X237" i="54"/>
  <c r="C126" i="54"/>
  <c r="E126" i="54" s="1"/>
  <c r="G126" i="54" s="1"/>
  <c r="J237" i="53"/>
  <c r="K236" i="53"/>
  <c r="AA237" i="54" l="1"/>
  <c r="V237" i="54"/>
  <c r="Z238" i="54"/>
  <c r="Y238" i="54"/>
  <c r="O238" i="54"/>
  <c r="K238" i="54"/>
  <c r="J239" i="54"/>
  <c r="X238" i="54"/>
  <c r="L128" i="54"/>
  <c r="I126" i="54"/>
  <c r="M127" i="54" s="1"/>
  <c r="J238" i="53"/>
  <c r="K237" i="53"/>
  <c r="AA238" i="54" l="1"/>
  <c r="Z239" i="54"/>
  <c r="Y239" i="54"/>
  <c r="O239" i="54"/>
  <c r="X239" i="54"/>
  <c r="J240" i="54"/>
  <c r="K239" i="54"/>
  <c r="D128" i="54"/>
  <c r="F128" i="54"/>
  <c r="V238" i="54"/>
  <c r="C127" i="54"/>
  <c r="E127" i="54" s="1"/>
  <c r="G127" i="54" s="1"/>
  <c r="J239" i="53"/>
  <c r="K238" i="53"/>
  <c r="AA239" i="54" l="1"/>
  <c r="V239" i="54"/>
  <c r="L129" i="54"/>
  <c r="I127" i="54"/>
  <c r="M128" i="54" s="1"/>
  <c r="Z240" i="54"/>
  <c r="X240" i="54"/>
  <c r="J241" i="54"/>
  <c r="K240" i="54"/>
  <c r="Y240" i="54"/>
  <c r="O240" i="54"/>
  <c r="J240" i="53"/>
  <c r="K239" i="53"/>
  <c r="AA240" i="54" l="1"/>
  <c r="Z241" i="54"/>
  <c r="J242" i="54"/>
  <c r="K241" i="54"/>
  <c r="O241" i="54"/>
  <c r="Y241" i="54"/>
  <c r="X241" i="54"/>
  <c r="D129" i="54"/>
  <c r="F129" i="54"/>
  <c r="V240" i="54"/>
  <c r="C128" i="54"/>
  <c r="E128" i="54" s="1"/>
  <c r="G128" i="54" s="1"/>
  <c r="J241" i="53"/>
  <c r="K240" i="53"/>
  <c r="AA241" i="54" l="1"/>
  <c r="V241" i="54"/>
  <c r="Z242" i="54"/>
  <c r="Y242" i="54"/>
  <c r="O242" i="54"/>
  <c r="K242" i="54"/>
  <c r="X242" i="54"/>
  <c r="J243" i="54"/>
  <c r="L130" i="54"/>
  <c r="I128" i="54"/>
  <c r="M129" i="54" s="1"/>
  <c r="J242" i="53"/>
  <c r="K241" i="53"/>
  <c r="Z243" i="54" l="1"/>
  <c r="Y243" i="54"/>
  <c r="O243" i="54"/>
  <c r="X243" i="54"/>
  <c r="J244" i="54"/>
  <c r="K243" i="54"/>
  <c r="D130" i="54"/>
  <c r="F130" i="54"/>
  <c r="V242" i="54"/>
  <c r="C129" i="54"/>
  <c r="E129" i="54" s="1"/>
  <c r="G129" i="54" s="1"/>
  <c r="AA242" i="54"/>
  <c r="J243" i="53"/>
  <c r="K242" i="53"/>
  <c r="AA243" i="54" l="1"/>
  <c r="V243" i="54"/>
  <c r="L131" i="54"/>
  <c r="I129" i="54"/>
  <c r="M130" i="54" s="1"/>
  <c r="Z244" i="54"/>
  <c r="X244" i="54"/>
  <c r="J245" i="54"/>
  <c r="K244" i="54"/>
  <c r="Y244" i="54"/>
  <c r="O244" i="54"/>
  <c r="J244" i="53"/>
  <c r="K243" i="53"/>
  <c r="AA244" i="54" l="1"/>
  <c r="D131" i="54"/>
  <c r="F131" i="54"/>
  <c r="Z245" i="54"/>
  <c r="J246" i="54"/>
  <c r="K245" i="54"/>
  <c r="O245" i="54"/>
  <c r="Y245" i="54"/>
  <c r="X245" i="54"/>
  <c r="V244" i="54"/>
  <c r="C130" i="54"/>
  <c r="E130" i="54" s="1"/>
  <c r="G130" i="54" s="1"/>
  <c r="J245" i="53"/>
  <c r="K244" i="53"/>
  <c r="AA245" i="54" l="1"/>
  <c r="Z246" i="54"/>
  <c r="Y246" i="54"/>
  <c r="O246" i="54"/>
  <c r="K246" i="54"/>
  <c r="J247" i="54"/>
  <c r="X246" i="54"/>
  <c r="L132" i="54"/>
  <c r="I130" i="54"/>
  <c r="M131" i="54" s="1"/>
  <c r="V245" i="54"/>
  <c r="J246" i="53"/>
  <c r="K245" i="53"/>
  <c r="AA246" i="54" l="1"/>
  <c r="V246" i="54"/>
  <c r="C131" i="54"/>
  <c r="E131" i="54" s="1"/>
  <c r="G131" i="54" s="1"/>
  <c r="D132" i="54"/>
  <c r="F132" i="54"/>
  <c r="Z247" i="54"/>
  <c r="Y247" i="54"/>
  <c r="O247" i="54"/>
  <c r="X247" i="54"/>
  <c r="J248" i="54"/>
  <c r="K247" i="54"/>
  <c r="J247" i="53"/>
  <c r="K246" i="53"/>
  <c r="Z248" i="54" l="1"/>
  <c r="X248" i="54"/>
  <c r="J249" i="54"/>
  <c r="K248" i="54"/>
  <c r="Y248" i="54"/>
  <c r="O248" i="54"/>
  <c r="L133" i="54"/>
  <c r="I131" i="54"/>
  <c r="M132" i="54" s="1"/>
  <c r="AA247" i="54"/>
  <c r="V247" i="54"/>
  <c r="J248" i="53"/>
  <c r="K247" i="53"/>
  <c r="AA248" i="54" l="1"/>
  <c r="V248" i="54"/>
  <c r="Z249" i="54"/>
  <c r="J250" i="54"/>
  <c r="K249" i="54"/>
  <c r="O249" i="54"/>
  <c r="Y249" i="54"/>
  <c r="X249" i="54"/>
  <c r="C132" i="54"/>
  <c r="E132" i="54" s="1"/>
  <c r="G132" i="54" s="1"/>
  <c r="D133" i="54"/>
  <c r="F133" i="54"/>
  <c r="J249" i="53"/>
  <c r="K248" i="53"/>
  <c r="AA249" i="54" l="1"/>
  <c r="Z250" i="54"/>
  <c r="Y250" i="54"/>
  <c r="O250" i="54"/>
  <c r="K250" i="54"/>
  <c r="X250" i="54"/>
  <c r="J251" i="54"/>
  <c r="L134" i="54"/>
  <c r="I132" i="54"/>
  <c r="M133" i="54" s="1"/>
  <c r="V249" i="54"/>
  <c r="J250" i="53"/>
  <c r="K249" i="53"/>
  <c r="AA250" i="54" l="1"/>
  <c r="V250" i="54"/>
  <c r="C133" i="54"/>
  <c r="E133" i="54" s="1"/>
  <c r="G133" i="54" s="1"/>
  <c r="Z251" i="54"/>
  <c r="Y251" i="54"/>
  <c r="O251" i="54"/>
  <c r="X251" i="54"/>
  <c r="J252" i="54"/>
  <c r="K251" i="54"/>
  <c r="D134" i="54"/>
  <c r="F134" i="54"/>
  <c r="J251" i="53"/>
  <c r="K250" i="53"/>
  <c r="AA251" i="54" l="1"/>
  <c r="V251" i="54"/>
  <c r="L135" i="54"/>
  <c r="I133" i="54"/>
  <c r="M134" i="54" s="1"/>
  <c r="Z252" i="54"/>
  <c r="X252" i="54"/>
  <c r="J253" i="54"/>
  <c r="K252" i="54"/>
  <c r="Y252" i="54"/>
  <c r="O252" i="54"/>
  <c r="J252" i="53"/>
  <c r="K251" i="53"/>
  <c r="AA252" i="54" l="1"/>
  <c r="D135" i="54"/>
  <c r="F135" i="54"/>
  <c r="Z253" i="54"/>
  <c r="J254" i="54"/>
  <c r="K253" i="54"/>
  <c r="O253" i="54"/>
  <c r="Y253" i="54"/>
  <c r="X253" i="54"/>
  <c r="V252" i="54"/>
  <c r="C134" i="54"/>
  <c r="E134" i="54" s="1"/>
  <c r="G134" i="54" s="1"/>
  <c r="J253" i="53"/>
  <c r="K252" i="53"/>
  <c r="AA253" i="54" l="1"/>
  <c r="Z254" i="54"/>
  <c r="Y254" i="54"/>
  <c r="O254" i="54"/>
  <c r="K254" i="54"/>
  <c r="J255" i="54"/>
  <c r="X254" i="54"/>
  <c r="L136" i="54"/>
  <c r="I134" i="54"/>
  <c r="M135" i="54" s="1"/>
  <c r="V253" i="54"/>
  <c r="J254" i="53"/>
  <c r="K253" i="53"/>
  <c r="AA254" i="54" l="1"/>
  <c r="V254" i="54"/>
  <c r="C135" i="54"/>
  <c r="E135" i="54" s="1"/>
  <c r="G135" i="54" s="1"/>
  <c r="D136" i="54"/>
  <c r="F136" i="54"/>
  <c r="Z255" i="54"/>
  <c r="Y255" i="54"/>
  <c r="O255" i="54"/>
  <c r="X255" i="54"/>
  <c r="J256" i="54"/>
  <c r="K255" i="54"/>
  <c r="J255" i="53"/>
  <c r="K254" i="53"/>
  <c r="L137" i="54" l="1"/>
  <c r="I135" i="54"/>
  <c r="M136" i="54" s="1"/>
  <c r="Z256" i="54"/>
  <c r="X256" i="54"/>
  <c r="J257" i="54"/>
  <c r="K256" i="54"/>
  <c r="Y256" i="54"/>
  <c r="O256" i="54"/>
  <c r="AA255" i="54"/>
  <c r="V255" i="54"/>
  <c r="J256" i="53"/>
  <c r="K255" i="53"/>
  <c r="V256" i="54" l="1"/>
  <c r="C136" i="54"/>
  <c r="E136" i="54" s="1"/>
  <c r="G136" i="54" s="1"/>
  <c r="D137" i="54"/>
  <c r="F137" i="54"/>
  <c r="Z257" i="54"/>
  <c r="J258" i="54"/>
  <c r="K257" i="54"/>
  <c r="O257" i="54"/>
  <c r="Y257" i="54"/>
  <c r="X257" i="54"/>
  <c r="AA256" i="54"/>
  <c r="J257" i="53"/>
  <c r="K256" i="53"/>
  <c r="L138" i="54" l="1"/>
  <c r="I136" i="54"/>
  <c r="M137" i="54" s="1"/>
  <c r="V257" i="54"/>
  <c r="AA257" i="54"/>
  <c r="Z258" i="54"/>
  <c r="Y258" i="54"/>
  <c r="O258" i="54"/>
  <c r="K258" i="54"/>
  <c r="X258" i="54"/>
  <c r="J259" i="54"/>
  <c r="J258" i="53"/>
  <c r="K257" i="53"/>
  <c r="C137" i="54" l="1"/>
  <c r="E137" i="54" s="1"/>
  <c r="G137" i="54" s="1"/>
  <c r="Z259" i="54"/>
  <c r="Y259" i="54"/>
  <c r="O259" i="54"/>
  <c r="X259" i="54"/>
  <c r="J260" i="54"/>
  <c r="K259" i="54"/>
  <c r="D138" i="54"/>
  <c r="F138" i="54"/>
  <c r="V258" i="54"/>
  <c r="AA258" i="54"/>
  <c r="J259" i="53"/>
  <c r="K258" i="53"/>
  <c r="L139" i="54" l="1"/>
  <c r="I137" i="54"/>
  <c r="M138" i="54" s="1"/>
  <c r="Z260" i="54"/>
  <c r="X260" i="54"/>
  <c r="J261" i="54"/>
  <c r="K260" i="54"/>
  <c r="Y260" i="54"/>
  <c r="O260" i="54"/>
  <c r="AA259" i="54"/>
  <c r="V259" i="54"/>
  <c r="J260" i="53"/>
  <c r="K259" i="53"/>
  <c r="V260" i="54" l="1"/>
  <c r="C138" i="54"/>
  <c r="E138" i="54" s="1"/>
  <c r="G138" i="54" s="1"/>
  <c r="D139" i="54"/>
  <c r="F139" i="54"/>
  <c r="Z261" i="54"/>
  <c r="J262" i="54"/>
  <c r="K261" i="54"/>
  <c r="O261" i="54"/>
  <c r="Y261" i="54"/>
  <c r="X261" i="54"/>
  <c r="AA260" i="54"/>
  <c r="J261" i="53"/>
  <c r="K260" i="53"/>
  <c r="L140" i="54" l="1"/>
  <c r="I138" i="54"/>
  <c r="M139" i="54" s="1"/>
  <c r="AA261" i="54"/>
  <c r="V261" i="54"/>
  <c r="Z262" i="54"/>
  <c r="Y262" i="54"/>
  <c r="O262" i="54"/>
  <c r="K262" i="54"/>
  <c r="J263" i="54"/>
  <c r="X262" i="54"/>
  <c r="J262" i="53"/>
  <c r="K261" i="53"/>
  <c r="Z263" i="54" l="1"/>
  <c r="Y263" i="54"/>
  <c r="O263" i="54"/>
  <c r="X263" i="54"/>
  <c r="J264" i="54"/>
  <c r="K263" i="54"/>
  <c r="C139" i="54"/>
  <c r="E139" i="54" s="1"/>
  <c r="G139" i="54" s="1"/>
  <c r="D140" i="54"/>
  <c r="F140" i="54"/>
  <c r="V262" i="54"/>
  <c r="AA262" i="54"/>
  <c r="J263" i="53"/>
  <c r="K262" i="53"/>
  <c r="AA263" i="54" l="1"/>
  <c r="L141" i="54"/>
  <c r="I139" i="54"/>
  <c r="M140" i="54" s="1"/>
  <c r="V263" i="54"/>
  <c r="J265" i="54"/>
  <c r="Z264" i="54"/>
  <c r="X264" i="54"/>
  <c r="K264" i="54"/>
  <c r="Y264" i="54"/>
  <c r="O264" i="54"/>
  <c r="K263" i="53"/>
  <c r="J264" i="53"/>
  <c r="AA264" i="54" l="1"/>
  <c r="D141" i="54"/>
  <c r="F141" i="54"/>
  <c r="V264" i="54"/>
  <c r="C140" i="54"/>
  <c r="E140" i="54" s="1"/>
  <c r="G140" i="54" s="1"/>
  <c r="Z265" i="54"/>
  <c r="O265" i="54"/>
  <c r="J266" i="54"/>
  <c r="Y265" i="54"/>
  <c r="X265" i="54"/>
  <c r="K265" i="54"/>
  <c r="K264" i="53"/>
  <c r="J265" i="53"/>
  <c r="Z266" i="54" l="1"/>
  <c r="X266" i="54"/>
  <c r="K266" i="54"/>
  <c r="O266" i="54"/>
  <c r="Y266" i="54"/>
  <c r="J267" i="54"/>
  <c r="L142" i="54"/>
  <c r="I140" i="54"/>
  <c r="M141" i="54" s="1"/>
  <c r="V265" i="54"/>
  <c r="AA265" i="54"/>
  <c r="J266" i="53"/>
  <c r="K265" i="53"/>
  <c r="AA266" i="54" l="1"/>
  <c r="V266" i="54"/>
  <c r="C141" i="54"/>
  <c r="E141" i="54" s="1"/>
  <c r="G141" i="54" s="1"/>
  <c r="Z267" i="54"/>
  <c r="Y267" i="54"/>
  <c r="X267" i="54"/>
  <c r="K267" i="54"/>
  <c r="J268" i="54"/>
  <c r="O267" i="54"/>
  <c r="D142" i="54"/>
  <c r="F142" i="54"/>
  <c r="J267" i="53"/>
  <c r="K266" i="53"/>
  <c r="AA267" i="54" l="1"/>
  <c r="L143" i="54"/>
  <c r="I141" i="54"/>
  <c r="M142" i="54" s="1"/>
  <c r="Z268" i="54"/>
  <c r="J269" i="54"/>
  <c r="Y268" i="54"/>
  <c r="O268" i="54"/>
  <c r="K268" i="54"/>
  <c r="X268" i="54"/>
  <c r="V267" i="54"/>
  <c r="K267" i="53"/>
  <c r="J268" i="53"/>
  <c r="AA268" i="54" l="1"/>
  <c r="D143" i="54"/>
  <c r="F143" i="54"/>
  <c r="C142" i="54"/>
  <c r="E142" i="54" s="1"/>
  <c r="G142" i="54" s="1"/>
  <c r="Z269" i="54"/>
  <c r="O269" i="54"/>
  <c r="J270" i="54"/>
  <c r="Y269" i="54"/>
  <c r="K269" i="54"/>
  <c r="X269" i="54"/>
  <c r="V268" i="54"/>
  <c r="K268" i="53"/>
  <c r="J269" i="53"/>
  <c r="AA269" i="54" l="1"/>
  <c r="Z270" i="54"/>
  <c r="X270" i="54"/>
  <c r="K270" i="54"/>
  <c r="O270" i="54"/>
  <c r="Y270" i="54"/>
  <c r="J271" i="54"/>
  <c r="V269" i="54"/>
  <c r="L144" i="54"/>
  <c r="I142" i="54"/>
  <c r="M143" i="54" s="1"/>
  <c r="J270" i="53"/>
  <c r="K269" i="53"/>
  <c r="D144" i="54" l="1"/>
  <c r="F144" i="54"/>
  <c r="Z271" i="54"/>
  <c r="Y271" i="54"/>
  <c r="K271" i="54"/>
  <c r="O271" i="54"/>
  <c r="J272" i="54"/>
  <c r="X271" i="54"/>
  <c r="V270" i="54"/>
  <c r="C143" i="54"/>
  <c r="E143" i="54" s="1"/>
  <c r="G143" i="54" s="1"/>
  <c r="AA270" i="54"/>
  <c r="J271" i="53"/>
  <c r="K270" i="53"/>
  <c r="Z272" i="54" l="1"/>
  <c r="Y272" i="54"/>
  <c r="O272" i="54"/>
  <c r="X272" i="54"/>
  <c r="K272" i="54"/>
  <c r="J273" i="54"/>
  <c r="AA271" i="54"/>
  <c r="L145" i="54"/>
  <c r="I143" i="54"/>
  <c r="M144" i="54" s="1"/>
  <c r="V271" i="54"/>
  <c r="K271" i="53"/>
  <c r="J272" i="53"/>
  <c r="C144" i="54" l="1"/>
  <c r="E144" i="54" s="1"/>
  <c r="G144" i="54" s="1"/>
  <c r="AA272" i="54"/>
  <c r="D145" i="54"/>
  <c r="F145" i="54"/>
  <c r="Z273" i="54"/>
  <c r="X273" i="54"/>
  <c r="J274" i="54"/>
  <c r="K273" i="54"/>
  <c r="Y273" i="54"/>
  <c r="O273" i="54"/>
  <c r="V272" i="54"/>
  <c r="K272" i="53"/>
  <c r="J273" i="53"/>
  <c r="AA273" i="54" l="1"/>
  <c r="V273" i="54"/>
  <c r="L146" i="54"/>
  <c r="I144" i="54"/>
  <c r="M145" i="54" s="1"/>
  <c r="Z274" i="54"/>
  <c r="J275" i="54"/>
  <c r="K274" i="54"/>
  <c r="Y274" i="54"/>
  <c r="O274" i="54"/>
  <c r="X274" i="54"/>
  <c r="J274" i="53"/>
  <c r="K273" i="53"/>
  <c r="V274" i="54" l="1"/>
  <c r="D146" i="54"/>
  <c r="F146" i="54"/>
  <c r="Z275" i="54"/>
  <c r="Y275" i="54"/>
  <c r="O275" i="54"/>
  <c r="K275" i="54"/>
  <c r="J276" i="54"/>
  <c r="X275" i="54"/>
  <c r="AA274" i="54"/>
  <c r="C145" i="54"/>
  <c r="E145" i="54" s="1"/>
  <c r="G145" i="54" s="1"/>
  <c r="J275" i="53"/>
  <c r="K274" i="53"/>
  <c r="AA275" i="54" l="1"/>
  <c r="L147" i="54"/>
  <c r="I145" i="54"/>
  <c r="M146" i="54" s="1"/>
  <c r="V275" i="54"/>
  <c r="Z276" i="54"/>
  <c r="Y276" i="54"/>
  <c r="O276" i="54"/>
  <c r="X276" i="54"/>
  <c r="K276" i="54"/>
  <c r="J277" i="54"/>
  <c r="J276" i="53"/>
  <c r="K275" i="53"/>
  <c r="AA276" i="54" l="1"/>
  <c r="Z277" i="54"/>
  <c r="X277" i="54"/>
  <c r="J278" i="54"/>
  <c r="K277" i="54"/>
  <c r="Y277" i="54"/>
  <c r="O277" i="54"/>
  <c r="C146" i="54"/>
  <c r="E146" i="54" s="1"/>
  <c r="G146" i="54" s="1"/>
  <c r="V276" i="54"/>
  <c r="D147" i="54"/>
  <c r="F147" i="54"/>
  <c r="J277" i="53"/>
  <c r="K276" i="53"/>
  <c r="AA277" i="54" l="1"/>
  <c r="V277" i="54"/>
  <c r="Z278" i="54"/>
  <c r="J279" i="54"/>
  <c r="K278" i="54"/>
  <c r="Y278" i="54"/>
  <c r="O278" i="54"/>
  <c r="X278" i="54"/>
  <c r="L148" i="54"/>
  <c r="I146" i="54"/>
  <c r="M147" i="54" s="1"/>
  <c r="J278" i="53"/>
  <c r="K277" i="53"/>
  <c r="D148" i="54" l="1"/>
  <c r="F148" i="54"/>
  <c r="AA278" i="54"/>
  <c r="C147" i="54"/>
  <c r="E147" i="54" s="1"/>
  <c r="G147" i="54" s="1"/>
  <c r="Z279" i="54"/>
  <c r="Y279" i="54"/>
  <c r="O279" i="54"/>
  <c r="K279" i="54"/>
  <c r="J280" i="54"/>
  <c r="X279" i="54"/>
  <c r="V278" i="54"/>
  <c r="J279" i="53"/>
  <c r="K278" i="53"/>
  <c r="Z280" i="54" l="1"/>
  <c r="Y280" i="54"/>
  <c r="O280" i="54"/>
  <c r="X280" i="54"/>
  <c r="K280" i="54"/>
  <c r="J281" i="54"/>
  <c r="L149" i="54"/>
  <c r="I147" i="54"/>
  <c r="M148" i="54" s="1"/>
  <c r="V279" i="54"/>
  <c r="AA279" i="54"/>
  <c r="J280" i="53"/>
  <c r="K279" i="53"/>
  <c r="AA280" i="54" l="1"/>
  <c r="C148" i="54"/>
  <c r="E148" i="54" s="1"/>
  <c r="G148" i="54" s="1"/>
  <c r="Z281" i="54"/>
  <c r="X281" i="54"/>
  <c r="J282" i="54"/>
  <c r="K281" i="54"/>
  <c r="Y281" i="54"/>
  <c r="O281" i="54"/>
  <c r="D149" i="54"/>
  <c r="F149" i="54"/>
  <c r="V280" i="54"/>
  <c r="J281" i="53"/>
  <c r="K280" i="53"/>
  <c r="AA281" i="54" l="1"/>
  <c r="V281" i="54"/>
  <c r="Z282" i="54"/>
  <c r="J283" i="54"/>
  <c r="K282" i="54"/>
  <c r="Y282" i="54"/>
  <c r="O282" i="54"/>
  <c r="X282" i="54"/>
  <c r="L150" i="54"/>
  <c r="I148" i="54"/>
  <c r="M149" i="54" s="1"/>
  <c r="J282" i="53"/>
  <c r="K281" i="53"/>
  <c r="C149" i="54" l="1"/>
  <c r="E149" i="54" s="1"/>
  <c r="G149" i="54" s="1"/>
  <c r="Z283" i="54"/>
  <c r="Y283" i="54"/>
  <c r="O283" i="54"/>
  <c r="K283" i="54"/>
  <c r="J284" i="54"/>
  <c r="X283" i="54"/>
  <c r="AA282" i="54"/>
  <c r="D150" i="54"/>
  <c r="F150" i="54"/>
  <c r="V282" i="54"/>
  <c r="J283" i="53"/>
  <c r="K282" i="53"/>
  <c r="Z284" i="54" l="1"/>
  <c r="Y284" i="54"/>
  <c r="O284" i="54"/>
  <c r="X284" i="54"/>
  <c r="K284" i="54"/>
  <c r="J285" i="54"/>
  <c r="V283" i="54"/>
  <c r="AA283" i="54"/>
  <c r="L151" i="54"/>
  <c r="I149" i="54"/>
  <c r="M150" i="54" s="1"/>
  <c r="J284" i="53"/>
  <c r="K283" i="53"/>
  <c r="AA284" i="54" l="1"/>
  <c r="D151" i="54"/>
  <c r="F151" i="54"/>
  <c r="Z285" i="54"/>
  <c r="X285" i="54"/>
  <c r="J286" i="54"/>
  <c r="K285" i="54"/>
  <c r="Y285" i="54"/>
  <c r="O285" i="54"/>
  <c r="C150" i="54"/>
  <c r="E150" i="54" s="1"/>
  <c r="G150" i="54" s="1"/>
  <c r="V284" i="54"/>
  <c r="J285" i="53"/>
  <c r="K284" i="53"/>
  <c r="AA285" i="54" l="1"/>
  <c r="V285" i="54"/>
  <c r="L152" i="54"/>
  <c r="I150" i="54"/>
  <c r="M151" i="54" s="1"/>
  <c r="Z286" i="54"/>
  <c r="J287" i="54"/>
  <c r="K286" i="54"/>
  <c r="Y286" i="54"/>
  <c r="O286" i="54"/>
  <c r="X286" i="54"/>
  <c r="J286" i="53"/>
  <c r="K285" i="53"/>
  <c r="D152" i="54" l="1"/>
  <c r="F152" i="54"/>
  <c r="Z287" i="54"/>
  <c r="Y287" i="54"/>
  <c r="O287" i="54"/>
  <c r="K287" i="54"/>
  <c r="J288" i="54"/>
  <c r="X287" i="54"/>
  <c r="V286" i="54"/>
  <c r="AA286" i="54"/>
  <c r="C151" i="54"/>
  <c r="E151" i="54" s="1"/>
  <c r="G151" i="54" s="1"/>
  <c r="J287" i="53"/>
  <c r="K286" i="53"/>
  <c r="AA287" i="54" l="1"/>
  <c r="Z288" i="54"/>
  <c r="Y288" i="54"/>
  <c r="O288" i="54"/>
  <c r="X288" i="54"/>
  <c r="K288" i="54"/>
  <c r="J289" i="54"/>
  <c r="V287" i="54"/>
  <c r="L153" i="54"/>
  <c r="I151" i="54"/>
  <c r="M152" i="54" s="1"/>
  <c r="J288" i="53"/>
  <c r="K287" i="53"/>
  <c r="C152" i="54" l="1"/>
  <c r="E152" i="54" s="1"/>
  <c r="G152" i="54" s="1"/>
  <c r="D153" i="54"/>
  <c r="F153" i="54"/>
  <c r="AA288" i="54"/>
  <c r="Z289" i="54"/>
  <c r="X289" i="54"/>
  <c r="J290" i="54"/>
  <c r="K289" i="54"/>
  <c r="Y289" i="54"/>
  <c r="O289" i="54"/>
  <c r="V288" i="54"/>
  <c r="J289" i="53"/>
  <c r="K288" i="53"/>
  <c r="AA289" i="54" l="1"/>
  <c r="V289" i="54"/>
  <c r="Z290" i="54"/>
  <c r="J291" i="54"/>
  <c r="K290" i="54"/>
  <c r="Y290" i="54"/>
  <c r="O290" i="54"/>
  <c r="X290" i="54"/>
  <c r="L154" i="54"/>
  <c r="I152" i="54"/>
  <c r="M153" i="54" s="1"/>
  <c r="J290" i="53"/>
  <c r="K289" i="53"/>
  <c r="D154" i="54" l="1"/>
  <c r="F154" i="54"/>
  <c r="AA290" i="54"/>
  <c r="C153" i="54"/>
  <c r="E153" i="54" s="1"/>
  <c r="G153" i="54" s="1"/>
  <c r="Z291" i="54"/>
  <c r="Y291" i="54"/>
  <c r="O291" i="54"/>
  <c r="K291" i="54"/>
  <c r="J292" i="54"/>
  <c r="X291" i="54"/>
  <c r="V290" i="54"/>
  <c r="J291" i="53"/>
  <c r="K290" i="53"/>
  <c r="Z292" i="54" l="1"/>
  <c r="Y292" i="54"/>
  <c r="O292" i="54"/>
  <c r="X292" i="54"/>
  <c r="K292" i="54"/>
  <c r="J293" i="54"/>
  <c r="V291" i="54"/>
  <c r="L155" i="54"/>
  <c r="I153" i="54"/>
  <c r="M154" i="54" s="1"/>
  <c r="AA291" i="54"/>
  <c r="J292" i="53"/>
  <c r="K291" i="53"/>
  <c r="D155" i="54" l="1"/>
  <c r="F155" i="54"/>
  <c r="AA292" i="54"/>
  <c r="V292" i="54"/>
  <c r="C154" i="54"/>
  <c r="E154" i="54" s="1"/>
  <c r="G154" i="54" s="1"/>
  <c r="Z293" i="54"/>
  <c r="X293" i="54"/>
  <c r="J294" i="54"/>
  <c r="K293" i="54"/>
  <c r="Y293" i="54"/>
  <c r="O293" i="54"/>
  <c r="J293" i="53"/>
  <c r="K292" i="53"/>
  <c r="AA293" i="54" l="1"/>
  <c r="Z294" i="54"/>
  <c r="J295" i="54"/>
  <c r="K294" i="54"/>
  <c r="Y294" i="54"/>
  <c r="O294" i="54"/>
  <c r="X294" i="54"/>
  <c r="V293" i="54"/>
  <c r="L156" i="54"/>
  <c r="I154" i="54"/>
  <c r="M155" i="54" s="1"/>
  <c r="J294" i="53"/>
  <c r="K293" i="53"/>
  <c r="D156" i="54" l="1"/>
  <c r="F156" i="54"/>
  <c r="V294" i="54"/>
  <c r="Z295" i="54"/>
  <c r="Y295" i="54"/>
  <c r="O295" i="54"/>
  <c r="K295" i="54"/>
  <c r="J296" i="54"/>
  <c r="X295" i="54"/>
  <c r="C155" i="54"/>
  <c r="E155" i="54" s="1"/>
  <c r="G155" i="54" s="1"/>
  <c r="AA294" i="54"/>
  <c r="J295" i="53"/>
  <c r="K294" i="53"/>
  <c r="AA295" i="54" l="1"/>
  <c r="V295" i="54"/>
  <c r="L157" i="54"/>
  <c r="I155" i="54"/>
  <c r="M156" i="54" s="1"/>
  <c r="Z296" i="54"/>
  <c r="Y296" i="54"/>
  <c r="O296" i="54"/>
  <c r="X296" i="54"/>
  <c r="K296" i="54"/>
  <c r="J297" i="54"/>
  <c r="J296" i="53"/>
  <c r="K295" i="53"/>
  <c r="AA296" i="54" l="1"/>
  <c r="Z297" i="54"/>
  <c r="X297" i="54"/>
  <c r="J298" i="54"/>
  <c r="K297" i="54"/>
  <c r="Y297" i="54"/>
  <c r="O297" i="54"/>
  <c r="D157" i="54"/>
  <c r="F157" i="54"/>
  <c r="V296" i="54"/>
  <c r="C156" i="54"/>
  <c r="E156" i="54" s="1"/>
  <c r="G156" i="54" s="1"/>
  <c r="J297" i="53"/>
  <c r="K296" i="53"/>
  <c r="AA297" i="54" l="1"/>
  <c r="V297" i="54"/>
  <c r="Z298" i="54"/>
  <c r="J299" i="54"/>
  <c r="K298" i="54"/>
  <c r="Y298" i="54"/>
  <c r="O298" i="54"/>
  <c r="X298" i="54"/>
  <c r="L158" i="54"/>
  <c r="I156" i="54"/>
  <c r="M157" i="54" s="1"/>
  <c r="J298" i="53"/>
  <c r="K297" i="53"/>
  <c r="C157" i="54" l="1"/>
  <c r="E157" i="54" s="1"/>
  <c r="G157" i="54" s="1"/>
  <c r="Z299" i="54"/>
  <c r="Y299" i="54"/>
  <c r="O299" i="54"/>
  <c r="K299" i="54"/>
  <c r="J300" i="54"/>
  <c r="X299" i="54"/>
  <c r="AA298" i="54"/>
  <c r="D158" i="54"/>
  <c r="F158" i="54"/>
  <c r="V298" i="54"/>
  <c r="J299" i="53"/>
  <c r="K298" i="53"/>
  <c r="V299" i="54" l="1"/>
  <c r="AA299" i="54"/>
  <c r="J301" i="54"/>
  <c r="Y300" i="54"/>
  <c r="X300" i="54"/>
  <c r="O300" i="54"/>
  <c r="Z300" i="54"/>
  <c r="K300" i="54"/>
  <c r="L159" i="54"/>
  <c r="I157" i="54"/>
  <c r="M158" i="54" s="1"/>
  <c r="J300" i="53"/>
  <c r="K299" i="53"/>
  <c r="O301" i="54" l="1"/>
  <c r="Z301" i="54"/>
  <c r="X301" i="54"/>
  <c r="K301" i="54"/>
  <c r="Y301" i="54"/>
  <c r="J302" i="54"/>
  <c r="AA300" i="54"/>
  <c r="D159" i="54"/>
  <c r="F159" i="54"/>
  <c r="C158" i="54"/>
  <c r="E158" i="54" s="1"/>
  <c r="G158" i="54" s="1"/>
  <c r="V300" i="54"/>
  <c r="J301" i="53"/>
  <c r="K300" i="53"/>
  <c r="V301" i="54" l="1"/>
  <c r="L160" i="54"/>
  <c r="I158" i="54"/>
  <c r="M159" i="54" s="1"/>
  <c r="J303" i="54"/>
  <c r="Y302" i="54"/>
  <c r="X302" i="54"/>
  <c r="K302" i="54"/>
  <c r="O302" i="54"/>
  <c r="Z302" i="54"/>
  <c r="AA301" i="54"/>
  <c r="J302" i="53"/>
  <c r="K301" i="53"/>
  <c r="D160" i="54" l="1"/>
  <c r="F160" i="54"/>
  <c r="AA302" i="54"/>
  <c r="O303" i="54"/>
  <c r="Z303" i="54"/>
  <c r="J304" i="54"/>
  <c r="Y303" i="54"/>
  <c r="X303" i="54"/>
  <c r="K303" i="54"/>
  <c r="V302" i="54"/>
  <c r="C159" i="54"/>
  <c r="E159" i="54" s="1"/>
  <c r="G159" i="54" s="1"/>
  <c r="J303" i="53"/>
  <c r="K302" i="53"/>
  <c r="AA303" i="54" l="1"/>
  <c r="J305" i="54"/>
  <c r="Y304" i="54"/>
  <c r="X304" i="54"/>
  <c r="K304" i="54"/>
  <c r="Z304" i="54"/>
  <c r="O304" i="54"/>
  <c r="L161" i="54"/>
  <c r="I159" i="54"/>
  <c r="M160" i="54" s="1"/>
  <c r="V303" i="54"/>
  <c r="J304" i="53"/>
  <c r="K303" i="53"/>
  <c r="V304" i="54" l="1"/>
  <c r="C160" i="54"/>
  <c r="E160" i="54" s="1"/>
  <c r="G160" i="54" s="1"/>
  <c r="AA304" i="54"/>
  <c r="D161" i="54"/>
  <c r="F161" i="54"/>
  <c r="O305" i="54"/>
  <c r="Z305" i="54"/>
  <c r="J306" i="54"/>
  <c r="Y305" i="54"/>
  <c r="X305" i="54"/>
  <c r="K305" i="54"/>
  <c r="J305" i="53"/>
  <c r="K304" i="53"/>
  <c r="J307" i="54" l="1"/>
  <c r="Y306" i="54"/>
  <c r="X306" i="54"/>
  <c r="K306" i="54"/>
  <c r="Z306" i="54"/>
  <c r="O306" i="54"/>
  <c r="L162" i="54"/>
  <c r="I160" i="54"/>
  <c r="M161" i="54" s="1"/>
  <c r="V305" i="54"/>
  <c r="AA305" i="54"/>
  <c r="J306" i="53"/>
  <c r="K305" i="53"/>
  <c r="V306" i="54" l="1"/>
  <c r="C161" i="54"/>
  <c r="E161" i="54" s="1"/>
  <c r="G161" i="54" s="1"/>
  <c r="AA306" i="54"/>
  <c r="D162" i="54"/>
  <c r="F162" i="54"/>
  <c r="O307" i="54"/>
  <c r="Z307" i="54"/>
  <c r="K307" i="54"/>
  <c r="Y307" i="54"/>
  <c r="X307" i="54"/>
  <c r="J308" i="54"/>
  <c r="J307" i="53"/>
  <c r="K306" i="53"/>
  <c r="L163" i="54" l="1"/>
  <c r="I161" i="54"/>
  <c r="M162" i="54" s="1"/>
  <c r="V307" i="54"/>
  <c r="J309" i="54"/>
  <c r="Y308" i="54"/>
  <c r="X308" i="54"/>
  <c r="K308" i="54"/>
  <c r="O308" i="54"/>
  <c r="Z308" i="54"/>
  <c r="AA307" i="54"/>
  <c r="J308" i="53"/>
  <c r="K307" i="53"/>
  <c r="C162" i="54" l="1"/>
  <c r="E162" i="54" s="1"/>
  <c r="G162" i="54" s="1"/>
  <c r="D163" i="54"/>
  <c r="F163" i="54"/>
  <c r="AA308" i="54"/>
  <c r="O309" i="54"/>
  <c r="Z309" i="54"/>
  <c r="X309" i="54"/>
  <c r="K309" i="54"/>
  <c r="J310" i="54"/>
  <c r="Y309" i="54"/>
  <c r="V308" i="54"/>
  <c r="J309" i="53"/>
  <c r="K308" i="53"/>
  <c r="J311" i="54" l="1"/>
  <c r="Y310" i="54"/>
  <c r="X310" i="54"/>
  <c r="K310" i="54"/>
  <c r="O310" i="54"/>
  <c r="Z310" i="54"/>
  <c r="AA309" i="54"/>
  <c r="V309" i="54"/>
  <c r="L164" i="54"/>
  <c r="I162" i="54"/>
  <c r="M163" i="54" s="1"/>
  <c r="J310" i="53"/>
  <c r="K309" i="53"/>
  <c r="D164" i="54" l="1"/>
  <c r="F164" i="54"/>
  <c r="V310" i="54"/>
  <c r="C163" i="54"/>
  <c r="E163" i="54" s="1"/>
  <c r="G163" i="54" s="1"/>
  <c r="AA310" i="54"/>
  <c r="O311" i="54"/>
  <c r="Z311" i="54"/>
  <c r="J312" i="54"/>
  <c r="Y311" i="54"/>
  <c r="X311" i="54"/>
  <c r="K311" i="54"/>
  <c r="J311" i="53"/>
  <c r="K310" i="53"/>
  <c r="J313" i="54" l="1"/>
  <c r="Y312" i="54"/>
  <c r="X312" i="54"/>
  <c r="K312" i="54"/>
  <c r="O312" i="54"/>
  <c r="Z312" i="54"/>
  <c r="V311" i="54"/>
  <c r="L165" i="54"/>
  <c r="I163" i="54"/>
  <c r="M164" i="54" s="1"/>
  <c r="AA311" i="54"/>
  <c r="J312" i="53"/>
  <c r="K311" i="53"/>
  <c r="D165" i="54" l="1"/>
  <c r="F165" i="54"/>
  <c r="C164" i="54"/>
  <c r="E164" i="54" s="1"/>
  <c r="G164" i="54" s="1"/>
  <c r="V312" i="54"/>
  <c r="AA312" i="54"/>
  <c r="O313" i="54"/>
  <c r="Z313" i="54"/>
  <c r="J314" i="54"/>
  <c r="Y313" i="54"/>
  <c r="K313" i="54"/>
  <c r="X313" i="54"/>
  <c r="J313" i="53"/>
  <c r="K312" i="53"/>
  <c r="L166" i="54" l="1"/>
  <c r="I164" i="54"/>
  <c r="M165" i="54" s="1"/>
  <c r="J315" i="54"/>
  <c r="Y314" i="54"/>
  <c r="X314" i="54"/>
  <c r="K314" i="54"/>
  <c r="Z314" i="54"/>
  <c r="O314" i="54"/>
  <c r="V313" i="54"/>
  <c r="AA313" i="54"/>
  <c r="J314" i="53"/>
  <c r="K313" i="53"/>
  <c r="O315" i="54" l="1"/>
  <c r="Z315" i="54"/>
  <c r="X315" i="54"/>
  <c r="J316" i="54"/>
  <c r="Y315" i="54"/>
  <c r="K315" i="54"/>
  <c r="D166" i="54"/>
  <c r="F166" i="54"/>
  <c r="V314" i="54"/>
  <c r="C165" i="54"/>
  <c r="E165" i="54" s="1"/>
  <c r="G165" i="54" s="1"/>
  <c r="AA314" i="54"/>
  <c r="J315" i="53"/>
  <c r="K314" i="53"/>
  <c r="J317" i="54" l="1"/>
  <c r="Y316" i="54"/>
  <c r="X316" i="54"/>
  <c r="K316" i="54"/>
  <c r="O316" i="54"/>
  <c r="Z316" i="54"/>
  <c r="V315" i="54"/>
  <c r="L167" i="54"/>
  <c r="I165" i="54"/>
  <c r="M166" i="54" s="1"/>
  <c r="AA315" i="54"/>
  <c r="J316" i="53"/>
  <c r="K315" i="53"/>
  <c r="C166" i="54" l="1"/>
  <c r="E166" i="54" s="1"/>
  <c r="G166" i="54" s="1"/>
  <c r="D167" i="54"/>
  <c r="F167" i="54"/>
  <c r="V316" i="54"/>
  <c r="AA316" i="54"/>
  <c r="O317" i="54"/>
  <c r="Z317" i="54"/>
  <c r="X317" i="54"/>
  <c r="K317" i="54"/>
  <c r="Y317" i="54"/>
  <c r="J318" i="54"/>
  <c r="J317" i="53"/>
  <c r="K316" i="53"/>
  <c r="AA317" i="54" l="1"/>
  <c r="V317" i="54"/>
  <c r="J319" i="54"/>
  <c r="Y318" i="54"/>
  <c r="X318" i="54"/>
  <c r="K318" i="54"/>
  <c r="O318" i="54"/>
  <c r="Z318" i="54"/>
  <c r="L168" i="54"/>
  <c r="I166" i="54"/>
  <c r="M167" i="54" s="1"/>
  <c r="J318" i="53"/>
  <c r="K317" i="53"/>
  <c r="C167" i="54" l="1"/>
  <c r="E167" i="54" s="1"/>
  <c r="G167" i="54" s="1"/>
  <c r="D168" i="54"/>
  <c r="F168" i="54"/>
  <c r="AA318" i="54"/>
  <c r="O319" i="54"/>
  <c r="Z319" i="54"/>
  <c r="J320" i="54"/>
  <c r="Y319" i="54"/>
  <c r="X319" i="54"/>
  <c r="K319" i="54"/>
  <c r="V318" i="54"/>
  <c r="J319" i="53"/>
  <c r="K318" i="53"/>
  <c r="V319" i="54" l="1"/>
  <c r="AA319" i="54"/>
  <c r="J321" i="54"/>
  <c r="Y320" i="54"/>
  <c r="X320" i="54"/>
  <c r="K320" i="54"/>
  <c r="Z320" i="54"/>
  <c r="O320" i="54"/>
  <c r="L169" i="54"/>
  <c r="I167" i="54"/>
  <c r="M168" i="54" s="1"/>
  <c r="J320" i="53"/>
  <c r="K319" i="53"/>
  <c r="AA320" i="54" l="1"/>
  <c r="D169" i="54"/>
  <c r="F169" i="54"/>
  <c r="Z321" i="54"/>
  <c r="J322" i="54"/>
  <c r="Y321" i="54"/>
  <c r="X321" i="54"/>
  <c r="O321" i="54"/>
  <c r="K321" i="54"/>
  <c r="V320" i="54"/>
  <c r="C168" i="54"/>
  <c r="E168" i="54" s="1"/>
  <c r="G168" i="54" s="1"/>
  <c r="J321" i="53"/>
  <c r="X320" i="53"/>
  <c r="Z320" i="53"/>
  <c r="Y320" i="53"/>
  <c r="K320" i="53"/>
  <c r="V321" i="54" l="1"/>
  <c r="X322" i="54"/>
  <c r="K322" i="54"/>
  <c r="O322" i="54"/>
  <c r="Y322" i="54"/>
  <c r="Z322" i="54"/>
  <c r="J323" i="54"/>
  <c r="AA321" i="54"/>
  <c r="L170" i="54"/>
  <c r="I168" i="54"/>
  <c r="M169" i="54" s="1"/>
  <c r="J322" i="53"/>
  <c r="X321" i="53"/>
  <c r="Z321" i="53"/>
  <c r="Y321" i="53"/>
  <c r="K321" i="53"/>
  <c r="D170" i="54" l="1"/>
  <c r="F170" i="54"/>
  <c r="Z323" i="54"/>
  <c r="J324" i="54"/>
  <c r="Y323" i="54"/>
  <c r="O323" i="54"/>
  <c r="K323" i="54"/>
  <c r="X323" i="54"/>
  <c r="V322" i="54"/>
  <c r="C169" i="54"/>
  <c r="E169" i="54" s="1"/>
  <c r="G169" i="54" s="1"/>
  <c r="AA322" i="54"/>
  <c r="J323" i="53"/>
  <c r="X322" i="53"/>
  <c r="Z322" i="53"/>
  <c r="Y322" i="53"/>
  <c r="K322" i="53"/>
  <c r="X324" i="54" l="1"/>
  <c r="K324" i="54"/>
  <c r="O324" i="54"/>
  <c r="J325" i="54"/>
  <c r="Z324" i="54"/>
  <c r="Y324" i="54"/>
  <c r="V323" i="54"/>
  <c r="AA323" i="54"/>
  <c r="L171" i="54"/>
  <c r="I169" i="54"/>
  <c r="M170" i="54" s="1"/>
  <c r="J324" i="53"/>
  <c r="X323" i="53"/>
  <c r="Z323" i="53"/>
  <c r="Y323" i="53"/>
  <c r="K323" i="53"/>
  <c r="C170" i="54" l="1"/>
  <c r="E170" i="54" s="1"/>
  <c r="G170" i="54" s="1"/>
  <c r="Z325" i="54"/>
  <c r="J326" i="54"/>
  <c r="Y325" i="54"/>
  <c r="X325" i="54"/>
  <c r="K325" i="54"/>
  <c r="O325" i="54"/>
  <c r="AA324" i="54"/>
  <c r="D171" i="54"/>
  <c r="F171" i="54"/>
  <c r="V324" i="54"/>
  <c r="J325" i="53"/>
  <c r="X324" i="53"/>
  <c r="Z324" i="53"/>
  <c r="Y324" i="53"/>
  <c r="K324" i="53"/>
  <c r="V325" i="54" l="1"/>
  <c r="L172" i="54"/>
  <c r="I170" i="54"/>
  <c r="M171" i="54" s="1"/>
  <c r="AA325" i="54"/>
  <c r="X326" i="54"/>
  <c r="K326" i="54"/>
  <c r="O326" i="54"/>
  <c r="J327" i="54"/>
  <c r="Z326" i="54"/>
  <c r="Y326" i="54"/>
  <c r="J326" i="53"/>
  <c r="X325" i="53"/>
  <c r="Z325" i="53"/>
  <c r="Y325" i="53"/>
  <c r="K325" i="53"/>
  <c r="V326" i="54" l="1"/>
  <c r="D172" i="54"/>
  <c r="F172" i="54"/>
  <c r="Z327" i="54"/>
  <c r="J328" i="54"/>
  <c r="Y327" i="54"/>
  <c r="X327" i="54"/>
  <c r="K327" i="54"/>
  <c r="O327" i="54"/>
  <c r="AA326" i="54"/>
  <c r="C171" i="54"/>
  <c r="E171" i="54" s="1"/>
  <c r="G171" i="54" s="1"/>
  <c r="J327" i="53"/>
  <c r="X326" i="53"/>
  <c r="Z326" i="53"/>
  <c r="Y326" i="53"/>
  <c r="K326" i="53"/>
  <c r="L173" i="54" l="1"/>
  <c r="I171" i="54"/>
  <c r="M172" i="54" s="1"/>
  <c r="AA327" i="54"/>
  <c r="X328" i="54"/>
  <c r="K328" i="54"/>
  <c r="O328" i="54"/>
  <c r="Z328" i="54"/>
  <c r="J329" i="54"/>
  <c r="Y328" i="54"/>
  <c r="V327" i="54"/>
  <c r="J328" i="53"/>
  <c r="X327" i="53"/>
  <c r="Z327" i="53"/>
  <c r="Y327" i="53"/>
  <c r="K327" i="53"/>
  <c r="C172" i="54" l="1"/>
  <c r="E172" i="54" s="1"/>
  <c r="G172" i="54" s="1"/>
  <c r="Z329" i="54"/>
  <c r="J330" i="54"/>
  <c r="Y329" i="54"/>
  <c r="O329" i="54"/>
  <c r="X329" i="54"/>
  <c r="K329" i="54"/>
  <c r="AA328" i="54"/>
  <c r="V328" i="54"/>
  <c r="D173" i="54"/>
  <c r="F173" i="54"/>
  <c r="J329" i="53"/>
  <c r="X328" i="53"/>
  <c r="Z328" i="53"/>
  <c r="Y328" i="53"/>
  <c r="K328" i="53"/>
  <c r="AA329" i="54" l="1"/>
  <c r="L174" i="54"/>
  <c r="I172" i="54"/>
  <c r="M173" i="54" s="1"/>
  <c r="V329" i="54"/>
  <c r="X330" i="54"/>
  <c r="K330" i="54"/>
  <c r="O330" i="54"/>
  <c r="Y330" i="54"/>
  <c r="J331" i="54"/>
  <c r="Z330" i="54"/>
  <c r="J330" i="53"/>
  <c r="X329" i="53"/>
  <c r="Z329" i="53"/>
  <c r="Y329" i="53"/>
  <c r="K329" i="53"/>
  <c r="C173" i="54" l="1"/>
  <c r="E173" i="54" s="1"/>
  <c r="G173" i="54" s="1"/>
  <c r="Z331" i="54"/>
  <c r="J332" i="54"/>
  <c r="Y331" i="54"/>
  <c r="O331" i="54"/>
  <c r="X331" i="54"/>
  <c r="K331" i="54"/>
  <c r="D174" i="54"/>
  <c r="F174" i="54"/>
  <c r="V330" i="54"/>
  <c r="AA330" i="54"/>
  <c r="J331" i="53"/>
  <c r="X330" i="53"/>
  <c r="Z330" i="53"/>
  <c r="Y330" i="53"/>
  <c r="K330" i="53"/>
  <c r="L175" i="54" l="1"/>
  <c r="I173" i="54"/>
  <c r="M174" i="54" s="1"/>
  <c r="AA331" i="54"/>
  <c r="V331" i="54"/>
  <c r="X332" i="54"/>
  <c r="K332" i="54"/>
  <c r="O332" i="54"/>
  <c r="J333" i="54"/>
  <c r="Z332" i="54"/>
  <c r="Y332" i="54"/>
  <c r="J332" i="53"/>
  <c r="X331" i="53"/>
  <c r="Z331" i="53"/>
  <c r="Y331" i="53"/>
  <c r="K331" i="53"/>
  <c r="AA332" i="54" l="1"/>
  <c r="V332" i="54"/>
  <c r="C174" i="54"/>
  <c r="E174" i="54" s="1"/>
  <c r="G174" i="54" s="1"/>
  <c r="D175" i="54"/>
  <c r="F175" i="54"/>
  <c r="Z333" i="54"/>
  <c r="J334" i="54"/>
  <c r="Y333" i="54"/>
  <c r="O333" i="54"/>
  <c r="K333" i="54"/>
  <c r="X333" i="54"/>
  <c r="J333" i="53"/>
  <c r="X332" i="53"/>
  <c r="Z332" i="53"/>
  <c r="Y332" i="53"/>
  <c r="K332" i="53"/>
  <c r="L176" i="54" l="1"/>
  <c r="I174" i="54"/>
  <c r="M175" i="54" s="1"/>
  <c r="V333" i="54"/>
  <c r="AA333" i="54"/>
  <c r="X334" i="54"/>
  <c r="K334" i="54"/>
  <c r="O334" i="54"/>
  <c r="J335" i="54"/>
  <c r="Z334" i="54"/>
  <c r="Y334" i="54"/>
  <c r="J334" i="53"/>
  <c r="X333" i="53"/>
  <c r="Z333" i="53"/>
  <c r="Y333" i="53"/>
  <c r="K333" i="53"/>
  <c r="C175" i="54" l="1"/>
  <c r="E175" i="54"/>
  <c r="G175" i="54" s="1"/>
  <c r="Z335" i="54"/>
  <c r="J336" i="54"/>
  <c r="Y335" i="54"/>
  <c r="X335" i="54"/>
  <c r="K335" i="54"/>
  <c r="O335" i="54"/>
  <c r="V334" i="54"/>
  <c r="AA334" i="54"/>
  <c r="D176" i="54"/>
  <c r="F176" i="54"/>
  <c r="X334" i="53"/>
  <c r="J335" i="53"/>
  <c r="Z334" i="53"/>
  <c r="Y334" i="53"/>
  <c r="K334" i="53"/>
  <c r="L177" i="54" l="1"/>
  <c r="I175" i="54"/>
  <c r="M176" i="54" s="1"/>
  <c r="V335" i="54"/>
  <c r="AA335" i="54"/>
  <c r="X336" i="54"/>
  <c r="K336" i="54"/>
  <c r="O336" i="54"/>
  <c r="Y336" i="54"/>
  <c r="J337" i="54"/>
  <c r="Z336" i="54"/>
  <c r="Z335" i="53"/>
  <c r="Y335" i="53"/>
  <c r="X335" i="53"/>
  <c r="J336" i="53"/>
  <c r="K335" i="53"/>
  <c r="AA336" i="54" l="1"/>
  <c r="V336" i="54"/>
  <c r="Y337" i="54"/>
  <c r="O337" i="54"/>
  <c r="J338" i="54"/>
  <c r="Z337" i="54"/>
  <c r="K337" i="54"/>
  <c r="X337" i="54"/>
  <c r="C176" i="54"/>
  <c r="E176" i="54" s="1"/>
  <c r="G176" i="54" s="1"/>
  <c r="D177" i="54"/>
  <c r="F177" i="54"/>
  <c r="Z336" i="53"/>
  <c r="X336" i="53"/>
  <c r="J337" i="53"/>
  <c r="K336" i="53"/>
  <c r="Y336" i="53"/>
  <c r="AA337" i="54" l="1"/>
  <c r="V337" i="54"/>
  <c r="L178" i="54"/>
  <c r="I176" i="54"/>
  <c r="M177" i="54" s="1"/>
  <c r="Y338" i="54"/>
  <c r="O338" i="54"/>
  <c r="K338" i="54"/>
  <c r="Z338" i="54"/>
  <c r="J339" i="54"/>
  <c r="X338" i="54"/>
  <c r="Z337" i="53"/>
  <c r="J338" i="53"/>
  <c r="K337" i="53"/>
  <c r="Y337" i="53"/>
  <c r="X337" i="53"/>
  <c r="D178" i="54" l="1"/>
  <c r="F178" i="54"/>
  <c r="Y339" i="54"/>
  <c r="O339" i="54"/>
  <c r="K339" i="54"/>
  <c r="J340" i="54"/>
  <c r="Z339" i="54"/>
  <c r="X339" i="54"/>
  <c r="C177" i="54"/>
  <c r="E177" i="54" s="1"/>
  <c r="G177" i="54" s="1"/>
  <c r="AA338" i="54"/>
  <c r="V338" i="54"/>
  <c r="Z338" i="53"/>
  <c r="Y338" i="53"/>
  <c r="K338" i="53"/>
  <c r="X338" i="53"/>
  <c r="J339" i="53"/>
  <c r="AA339" i="54" l="1"/>
  <c r="L179" i="54"/>
  <c r="I177" i="54"/>
  <c r="M178" i="54" s="1"/>
  <c r="Y340" i="54"/>
  <c r="O340" i="54"/>
  <c r="K340" i="54"/>
  <c r="Z340" i="54"/>
  <c r="X340" i="54"/>
  <c r="J341" i="54"/>
  <c r="V339" i="54"/>
  <c r="Z339" i="53"/>
  <c r="Y339" i="53"/>
  <c r="X339" i="53"/>
  <c r="K339" i="53"/>
  <c r="J340" i="53"/>
  <c r="AA340" i="54" l="1"/>
  <c r="C178" i="54"/>
  <c r="E178" i="54" s="1"/>
  <c r="G178" i="54" s="1"/>
  <c r="V340" i="54"/>
  <c r="Y341" i="54"/>
  <c r="O341" i="54"/>
  <c r="K341" i="54"/>
  <c r="J342" i="54"/>
  <c r="Z341" i="54"/>
  <c r="X341" i="54"/>
  <c r="D179" i="54"/>
  <c r="F179" i="54"/>
  <c r="Z340" i="53"/>
  <c r="X340" i="53"/>
  <c r="J341" i="53"/>
  <c r="K340" i="53"/>
  <c r="Y340" i="53"/>
  <c r="AA341" i="54" l="1"/>
  <c r="V341" i="54"/>
  <c r="L180" i="54"/>
  <c r="I178" i="54"/>
  <c r="M179" i="54" s="1"/>
  <c r="Y342" i="54"/>
  <c r="O342" i="54"/>
  <c r="K342" i="54"/>
  <c r="Z342" i="54"/>
  <c r="J343" i="54"/>
  <c r="X342" i="54"/>
  <c r="Z341" i="53"/>
  <c r="J342" i="53"/>
  <c r="K341" i="53"/>
  <c r="Y341" i="53"/>
  <c r="X341" i="53"/>
  <c r="AA342" i="54" l="1"/>
  <c r="D180" i="54"/>
  <c r="F180" i="54"/>
  <c r="Y343" i="54"/>
  <c r="O343" i="54"/>
  <c r="K343" i="54"/>
  <c r="J344" i="54"/>
  <c r="Z343" i="54"/>
  <c r="X343" i="54"/>
  <c r="C179" i="54"/>
  <c r="E179" i="54" s="1"/>
  <c r="G179" i="54" s="1"/>
  <c r="V342" i="54"/>
  <c r="Z342" i="53"/>
  <c r="Y342" i="53"/>
  <c r="K342" i="53"/>
  <c r="X342" i="53"/>
  <c r="J343" i="53"/>
  <c r="AA343" i="54" l="1"/>
  <c r="Y344" i="54"/>
  <c r="O344" i="54"/>
  <c r="K344" i="54"/>
  <c r="Z344" i="54"/>
  <c r="J345" i="54"/>
  <c r="X344" i="54"/>
  <c r="L181" i="54"/>
  <c r="I179" i="54"/>
  <c r="M180" i="54" s="1"/>
  <c r="V343" i="54"/>
  <c r="Y343" i="53"/>
  <c r="Z343" i="53"/>
  <c r="X343" i="53"/>
  <c r="K343" i="53"/>
  <c r="J344" i="53"/>
  <c r="D181" i="54" l="1"/>
  <c r="F181" i="54"/>
  <c r="V344" i="54"/>
  <c r="AA344" i="54"/>
  <c r="C180" i="54"/>
  <c r="E180" i="54" s="1"/>
  <c r="G180" i="54" s="1"/>
  <c r="Y345" i="54"/>
  <c r="O345" i="54"/>
  <c r="K345" i="54"/>
  <c r="J346" i="54"/>
  <c r="Z345" i="54"/>
  <c r="X345" i="54"/>
  <c r="Y344" i="53"/>
  <c r="K344" i="53"/>
  <c r="J345" i="53"/>
  <c r="Z344" i="53"/>
  <c r="X344" i="53"/>
  <c r="Y346" i="54" l="1"/>
  <c r="O346" i="54"/>
  <c r="K346" i="54"/>
  <c r="Z346" i="54"/>
  <c r="X346" i="54"/>
  <c r="J347" i="54"/>
  <c r="AA345" i="54"/>
  <c r="L182" i="54"/>
  <c r="I180" i="54"/>
  <c r="M181" i="54" s="1"/>
  <c r="V345" i="54"/>
  <c r="Y345" i="53"/>
  <c r="K345" i="53"/>
  <c r="J346" i="53"/>
  <c r="Z345" i="53"/>
  <c r="X345" i="53"/>
  <c r="C181" i="54" l="1"/>
  <c r="E181" i="54" s="1"/>
  <c r="G181" i="54" s="1"/>
  <c r="V346" i="54"/>
  <c r="Y347" i="54"/>
  <c r="O347" i="54"/>
  <c r="K347" i="54"/>
  <c r="J348" i="54"/>
  <c r="Z347" i="54"/>
  <c r="X347" i="54"/>
  <c r="AA346" i="54"/>
  <c r="D182" i="54"/>
  <c r="F182" i="54"/>
  <c r="Y346" i="53"/>
  <c r="K346" i="53"/>
  <c r="J347" i="53"/>
  <c r="Z346" i="53"/>
  <c r="X346" i="53"/>
  <c r="V347" i="54" l="1"/>
  <c r="L183" i="54"/>
  <c r="I181" i="54"/>
  <c r="M182" i="54" s="1"/>
  <c r="AA347" i="54"/>
  <c r="Y348" i="54"/>
  <c r="O348" i="54"/>
  <c r="K348" i="54"/>
  <c r="Z348" i="54"/>
  <c r="X348" i="54"/>
  <c r="J349" i="54"/>
  <c r="Y347" i="53"/>
  <c r="K347" i="53"/>
  <c r="J348" i="53"/>
  <c r="Z347" i="53"/>
  <c r="X347" i="53"/>
  <c r="AA348" i="54" l="1"/>
  <c r="D183" i="54"/>
  <c r="F183" i="54"/>
  <c r="Y349" i="54"/>
  <c r="O349" i="54"/>
  <c r="K349" i="54"/>
  <c r="J350" i="54"/>
  <c r="Z349" i="54"/>
  <c r="X349" i="54"/>
  <c r="V348" i="54"/>
  <c r="C182" i="54"/>
  <c r="E182" i="54" s="1"/>
  <c r="G182" i="54" s="1"/>
  <c r="Y348" i="53"/>
  <c r="K348" i="53"/>
  <c r="J349" i="53"/>
  <c r="Z348" i="53"/>
  <c r="X348" i="53"/>
  <c r="AA349" i="54" l="1"/>
  <c r="Y350" i="54"/>
  <c r="O350" i="54"/>
  <c r="K350" i="54"/>
  <c r="Z350" i="54"/>
  <c r="J351" i="54"/>
  <c r="X350" i="54"/>
  <c r="L184" i="54"/>
  <c r="I182" i="54"/>
  <c r="M183" i="54" s="1"/>
  <c r="V349" i="54"/>
  <c r="Y349" i="53"/>
  <c r="K349" i="53"/>
  <c r="X349" i="53"/>
  <c r="J350" i="53"/>
  <c r="Z349" i="53"/>
  <c r="V350" i="54" l="1"/>
  <c r="D184" i="54"/>
  <c r="F184" i="54"/>
  <c r="C183" i="54"/>
  <c r="E183" i="54" s="1"/>
  <c r="G183" i="54" s="1"/>
  <c r="AA350" i="54"/>
  <c r="Y351" i="54"/>
  <c r="O351" i="54"/>
  <c r="K351" i="54"/>
  <c r="J352" i="54"/>
  <c r="Z351" i="54"/>
  <c r="X351" i="54"/>
  <c r="Y350" i="53"/>
  <c r="K350" i="53"/>
  <c r="J351" i="53"/>
  <c r="Z350" i="53"/>
  <c r="X350" i="53"/>
  <c r="AA351" i="54" l="1"/>
  <c r="Y352" i="54"/>
  <c r="O352" i="54"/>
  <c r="K352" i="54"/>
  <c r="Z352" i="54"/>
  <c r="J353" i="54"/>
  <c r="X352" i="54"/>
  <c r="V351" i="54"/>
  <c r="L185" i="54"/>
  <c r="I183" i="54"/>
  <c r="M184" i="54" s="1"/>
  <c r="Y351" i="53"/>
  <c r="K351" i="53"/>
  <c r="Z351" i="53"/>
  <c r="X351" i="53"/>
  <c r="J352" i="53"/>
  <c r="C184" i="54" l="1"/>
  <c r="E184" i="54" s="1"/>
  <c r="G184" i="54" s="1"/>
  <c r="V352" i="54"/>
  <c r="AA352" i="54"/>
  <c r="D185" i="54"/>
  <c r="F185" i="54"/>
  <c r="Y353" i="54"/>
  <c r="O353" i="54"/>
  <c r="K353" i="54"/>
  <c r="J354" i="54"/>
  <c r="Z353" i="54"/>
  <c r="X353" i="54"/>
  <c r="Y352" i="53"/>
  <c r="K352" i="53"/>
  <c r="J353" i="53"/>
  <c r="Z352" i="53"/>
  <c r="X352" i="53"/>
  <c r="Y354" i="54" l="1"/>
  <c r="O354" i="54"/>
  <c r="K354" i="54"/>
  <c r="Z354" i="54"/>
  <c r="J355" i="54"/>
  <c r="X354" i="54"/>
  <c r="L186" i="54"/>
  <c r="I184" i="54"/>
  <c r="M185" i="54" s="1"/>
  <c r="V353" i="54"/>
  <c r="AA353" i="54"/>
  <c r="Y353" i="53"/>
  <c r="K353" i="53"/>
  <c r="J354" i="53"/>
  <c r="Z353" i="53"/>
  <c r="X353" i="53"/>
  <c r="C185" i="54" l="1"/>
  <c r="E185" i="54" s="1"/>
  <c r="G185" i="54" s="1"/>
  <c r="AA354" i="54"/>
  <c r="V354" i="54"/>
  <c r="D186" i="54"/>
  <c r="F186" i="54"/>
  <c r="Y355" i="54"/>
  <c r="O355" i="54"/>
  <c r="K355" i="54"/>
  <c r="J356" i="54"/>
  <c r="Z355" i="54"/>
  <c r="X355" i="54"/>
  <c r="Y354" i="53"/>
  <c r="K354" i="53"/>
  <c r="J355" i="53"/>
  <c r="Z354" i="53"/>
  <c r="X354" i="53"/>
  <c r="AA355" i="54" l="1"/>
  <c r="Y356" i="54"/>
  <c r="O356" i="54"/>
  <c r="K356" i="54"/>
  <c r="Z356" i="54"/>
  <c r="X356" i="54"/>
  <c r="J357" i="54"/>
  <c r="L187" i="54"/>
  <c r="I185" i="54"/>
  <c r="M186" i="54" s="1"/>
  <c r="V355" i="54"/>
  <c r="Y355" i="53"/>
  <c r="K355" i="53"/>
  <c r="J356" i="53"/>
  <c r="X355" i="53"/>
  <c r="Z355" i="53"/>
  <c r="V356" i="54" l="1"/>
  <c r="Y357" i="54"/>
  <c r="O357" i="54"/>
  <c r="K357" i="54"/>
  <c r="J358" i="54"/>
  <c r="Z357" i="54"/>
  <c r="X357" i="54"/>
  <c r="AA356" i="54"/>
  <c r="C186" i="54"/>
  <c r="E186" i="54" s="1"/>
  <c r="G186" i="54" s="1"/>
  <c r="D187" i="54"/>
  <c r="F187" i="54"/>
  <c r="Y356" i="53"/>
  <c r="K356" i="53"/>
  <c r="J357" i="53"/>
  <c r="Z356" i="53"/>
  <c r="X356" i="53"/>
  <c r="AA357" i="54" l="1"/>
  <c r="Y358" i="54"/>
  <c r="O358" i="54"/>
  <c r="J359" i="54"/>
  <c r="K358" i="54"/>
  <c r="Z358" i="54"/>
  <c r="X358" i="54"/>
  <c r="L188" i="54"/>
  <c r="I186" i="54"/>
  <c r="M187" i="54" s="1"/>
  <c r="V357" i="54"/>
  <c r="Y357" i="53"/>
  <c r="K357" i="53"/>
  <c r="X357" i="53"/>
  <c r="J358" i="53"/>
  <c r="Z357" i="53"/>
  <c r="C187" i="54" l="1"/>
  <c r="E187" i="54" s="1"/>
  <c r="G187" i="54" s="1"/>
  <c r="AA358" i="54"/>
  <c r="Y359" i="54"/>
  <c r="O359" i="54"/>
  <c r="K359" i="54"/>
  <c r="J360" i="54"/>
  <c r="X359" i="54"/>
  <c r="Z359" i="54"/>
  <c r="D188" i="54"/>
  <c r="F188" i="54"/>
  <c r="V358" i="54"/>
  <c r="Y358" i="53"/>
  <c r="K358" i="53"/>
  <c r="J359" i="53"/>
  <c r="Z358" i="53"/>
  <c r="X358" i="53"/>
  <c r="Y360" i="54" l="1"/>
  <c r="O360" i="54"/>
  <c r="K360" i="54"/>
  <c r="J361" i="54"/>
  <c r="X360" i="54"/>
  <c r="Z360" i="54"/>
  <c r="AA359" i="54"/>
  <c r="V359" i="54"/>
  <c r="L189" i="54"/>
  <c r="I187" i="54"/>
  <c r="M188" i="54" s="1"/>
  <c r="Y359" i="53"/>
  <c r="K359" i="53"/>
  <c r="Z359" i="53"/>
  <c r="X359" i="53"/>
  <c r="J360" i="53"/>
  <c r="D189" i="54" l="1"/>
  <c r="F189" i="54"/>
  <c r="V360" i="54"/>
  <c r="Y361" i="54"/>
  <c r="O361" i="54"/>
  <c r="K361" i="54"/>
  <c r="J362" i="54"/>
  <c r="X361" i="54"/>
  <c r="Z361" i="54"/>
  <c r="AA360" i="54"/>
  <c r="C188" i="54"/>
  <c r="E188" i="54" s="1"/>
  <c r="G188" i="54" s="1"/>
  <c r="Y360" i="53"/>
  <c r="K360" i="53"/>
  <c r="J361" i="53"/>
  <c r="Z360" i="53"/>
  <c r="X360" i="53"/>
  <c r="Y362" i="54" l="1"/>
  <c r="O362" i="54"/>
  <c r="K362" i="54"/>
  <c r="X362" i="54"/>
  <c r="J363" i="54"/>
  <c r="Z362" i="54"/>
  <c r="V361" i="54"/>
  <c r="AA361" i="54"/>
  <c r="L190" i="54"/>
  <c r="I188" i="54"/>
  <c r="M189" i="54" s="1"/>
  <c r="Y361" i="53"/>
  <c r="K361" i="53"/>
  <c r="J362" i="53"/>
  <c r="Z361" i="53"/>
  <c r="X361" i="53"/>
  <c r="D190" i="54" l="1"/>
  <c r="F190" i="54"/>
  <c r="V362" i="54"/>
  <c r="AA362" i="54"/>
  <c r="C189" i="54"/>
  <c r="E189" i="54" s="1"/>
  <c r="G189" i="54" s="1"/>
  <c r="Z363" i="54"/>
  <c r="Y363" i="54"/>
  <c r="X363" i="54"/>
  <c r="K363" i="54"/>
  <c r="J364" i="54"/>
  <c r="O363" i="54"/>
  <c r="Y362" i="53"/>
  <c r="K362" i="53"/>
  <c r="J363" i="53"/>
  <c r="Z362" i="53"/>
  <c r="X362" i="53"/>
  <c r="V363" i="54" l="1"/>
  <c r="AA363" i="54"/>
  <c r="L191" i="54"/>
  <c r="I189" i="54"/>
  <c r="M190" i="54" s="1"/>
  <c r="Z364" i="54"/>
  <c r="J365" i="54"/>
  <c r="Y364" i="54"/>
  <c r="O364" i="54"/>
  <c r="X364" i="54"/>
  <c r="K364" i="54"/>
  <c r="Z363" i="53"/>
  <c r="Y363" i="53"/>
  <c r="X363" i="53"/>
  <c r="J364" i="53"/>
  <c r="K363" i="53"/>
  <c r="Z365" i="54" l="1"/>
  <c r="O365" i="54"/>
  <c r="J366" i="54"/>
  <c r="X365" i="54"/>
  <c r="K365" i="54"/>
  <c r="Y365" i="54"/>
  <c r="AA364" i="54"/>
  <c r="C190" i="54"/>
  <c r="E190" i="54" s="1"/>
  <c r="G190" i="54" s="1"/>
  <c r="V364" i="54"/>
  <c r="D191" i="54"/>
  <c r="F191" i="54"/>
  <c r="Z364" i="53"/>
  <c r="J365" i="53"/>
  <c r="K364" i="53"/>
  <c r="Y364" i="53"/>
  <c r="X364" i="53"/>
  <c r="L192" i="54" l="1"/>
  <c r="I190" i="54"/>
  <c r="M191" i="54" s="1"/>
  <c r="Z366" i="54"/>
  <c r="X366" i="54"/>
  <c r="K366" i="54"/>
  <c r="O366" i="54"/>
  <c r="J367" i="54"/>
  <c r="Y366" i="54"/>
  <c r="AA365" i="54"/>
  <c r="V365" i="54"/>
  <c r="Z365" i="53"/>
  <c r="J366" i="53"/>
  <c r="Y365" i="53"/>
  <c r="X365" i="53"/>
  <c r="K365" i="53"/>
  <c r="AA366" i="54" l="1"/>
  <c r="V366" i="54"/>
  <c r="Z367" i="54"/>
  <c r="Y367" i="54"/>
  <c r="X367" i="54"/>
  <c r="K367" i="54"/>
  <c r="J368" i="54"/>
  <c r="O367" i="54"/>
  <c r="C191" i="54"/>
  <c r="E191" i="54" s="1"/>
  <c r="G191" i="54" s="1"/>
  <c r="D192" i="54"/>
  <c r="F192" i="54"/>
  <c r="Z366" i="53"/>
  <c r="J367" i="53"/>
  <c r="K366" i="53"/>
  <c r="Y366" i="53"/>
  <c r="X366" i="53"/>
  <c r="AA367" i="54" l="1"/>
  <c r="L193" i="54"/>
  <c r="I191" i="54"/>
  <c r="M192" i="54" s="1"/>
  <c r="Z368" i="54"/>
  <c r="X368" i="54"/>
  <c r="J369" i="54"/>
  <c r="K368" i="54"/>
  <c r="Y368" i="54"/>
  <c r="O368" i="54"/>
  <c r="V367" i="54"/>
  <c r="Z367" i="53"/>
  <c r="Y367" i="53"/>
  <c r="X367" i="53"/>
  <c r="K367" i="53"/>
  <c r="J368" i="53"/>
  <c r="AA368" i="54" l="1"/>
  <c r="V368" i="54"/>
  <c r="C192" i="54"/>
  <c r="E192" i="54" s="1"/>
  <c r="G192" i="54" s="1"/>
  <c r="D193" i="54"/>
  <c r="F193" i="54"/>
  <c r="Z369" i="54"/>
  <c r="J370" i="54"/>
  <c r="K369" i="54"/>
  <c r="O369" i="54"/>
  <c r="X369" i="54"/>
  <c r="Y369" i="54"/>
  <c r="Z368" i="53"/>
  <c r="X368" i="53"/>
  <c r="J369" i="53"/>
  <c r="K368" i="53"/>
  <c r="Y368" i="53"/>
  <c r="AA369" i="54" l="1"/>
  <c r="L194" i="54"/>
  <c r="I192" i="54"/>
  <c r="M193" i="54" s="1"/>
  <c r="V369" i="54"/>
  <c r="Z370" i="54"/>
  <c r="Y370" i="54"/>
  <c r="O370" i="54"/>
  <c r="K370" i="54"/>
  <c r="J371" i="54"/>
  <c r="X370" i="54"/>
  <c r="Z369" i="53"/>
  <c r="J370" i="53"/>
  <c r="K369" i="53"/>
  <c r="Y369" i="53"/>
  <c r="X369" i="53"/>
  <c r="AA370" i="54" l="1"/>
  <c r="C193" i="54"/>
  <c r="E193" i="54" s="1"/>
  <c r="G193" i="54" s="1"/>
  <c r="D194" i="54"/>
  <c r="F194" i="54"/>
  <c r="Z371" i="54"/>
  <c r="Y371" i="54"/>
  <c r="O371" i="54"/>
  <c r="X371" i="54"/>
  <c r="J372" i="54"/>
  <c r="K371" i="54"/>
  <c r="V370" i="54"/>
  <c r="Z370" i="53"/>
  <c r="J371" i="53"/>
  <c r="Y370" i="53"/>
  <c r="X370" i="53"/>
  <c r="K370" i="53"/>
  <c r="AA371" i="54" l="1"/>
  <c r="V371" i="54"/>
  <c r="Z372" i="54"/>
  <c r="X372" i="54"/>
  <c r="J373" i="54"/>
  <c r="K372" i="54"/>
  <c r="O372" i="54"/>
  <c r="Y372" i="54"/>
  <c r="L195" i="54"/>
  <c r="I193" i="54"/>
  <c r="M194" i="54" s="1"/>
  <c r="Z371" i="53"/>
  <c r="Y371" i="53"/>
  <c r="X371" i="53"/>
  <c r="K371" i="53"/>
  <c r="J372" i="53"/>
  <c r="C194" i="54" l="1"/>
  <c r="E194" i="54" s="1"/>
  <c r="G194" i="54" s="1"/>
  <c r="D195" i="54"/>
  <c r="F195" i="54"/>
  <c r="AA372" i="54"/>
  <c r="V372" i="54"/>
  <c r="Z373" i="54"/>
  <c r="J374" i="54"/>
  <c r="K373" i="54"/>
  <c r="O373" i="54"/>
  <c r="Y373" i="54"/>
  <c r="X373" i="54"/>
  <c r="Z372" i="53"/>
  <c r="X372" i="53"/>
  <c r="J373" i="53"/>
  <c r="Y372" i="53"/>
  <c r="K372" i="53"/>
  <c r="AA373" i="54" l="1"/>
  <c r="V373" i="54"/>
  <c r="Z374" i="54"/>
  <c r="Y374" i="54"/>
  <c r="O374" i="54"/>
  <c r="J375" i="54"/>
  <c r="X374" i="54"/>
  <c r="K374" i="54"/>
  <c r="L196" i="54"/>
  <c r="I194" i="54"/>
  <c r="M195" i="54" s="1"/>
  <c r="Z373" i="53"/>
  <c r="J374" i="53"/>
  <c r="K373" i="53"/>
  <c r="Y373" i="53"/>
  <c r="X373" i="53"/>
  <c r="C195" i="54" l="1"/>
  <c r="E195" i="54" s="1"/>
  <c r="G195" i="54" s="1"/>
  <c r="V374" i="54"/>
  <c r="D196" i="54"/>
  <c r="F196" i="54"/>
  <c r="Z375" i="54"/>
  <c r="Y375" i="54"/>
  <c r="O375" i="54"/>
  <c r="X375" i="54"/>
  <c r="J376" i="54"/>
  <c r="K375" i="54"/>
  <c r="AA374" i="54"/>
  <c r="Z374" i="53"/>
  <c r="J375" i="53"/>
  <c r="K374" i="53"/>
  <c r="X374" i="53"/>
  <c r="Y374" i="53"/>
  <c r="AA375" i="54" l="1"/>
  <c r="Z376" i="54"/>
  <c r="X376" i="54"/>
  <c r="J377" i="54"/>
  <c r="K376" i="54"/>
  <c r="Y376" i="54"/>
  <c r="O376" i="54"/>
  <c r="L197" i="54"/>
  <c r="I195" i="54"/>
  <c r="M196" i="54" s="1"/>
  <c r="V375" i="54"/>
  <c r="Z375" i="53"/>
  <c r="Y375" i="53"/>
  <c r="X375" i="53"/>
  <c r="K375" i="53"/>
  <c r="J376" i="53"/>
  <c r="AA376" i="54" l="1"/>
  <c r="V376" i="54"/>
  <c r="Z377" i="54"/>
  <c r="J378" i="54"/>
  <c r="K377" i="54"/>
  <c r="O377" i="54"/>
  <c r="X377" i="54"/>
  <c r="Y377" i="54"/>
  <c r="C196" i="54"/>
  <c r="E196" i="54" s="1"/>
  <c r="G196" i="54" s="1"/>
  <c r="D197" i="54"/>
  <c r="F197" i="54"/>
  <c r="Z376" i="53"/>
  <c r="X376" i="53"/>
  <c r="J377" i="53"/>
  <c r="K376" i="53"/>
  <c r="Y376" i="53"/>
  <c r="Z378" i="54" l="1"/>
  <c r="Y378" i="54"/>
  <c r="O378" i="54"/>
  <c r="K378" i="54"/>
  <c r="X378" i="54"/>
  <c r="L198" i="54"/>
  <c r="I196" i="54"/>
  <c r="M197" i="54" s="1"/>
  <c r="AA377" i="54"/>
  <c r="V377" i="54"/>
  <c r="Z377" i="53"/>
  <c r="J378" i="53"/>
  <c r="K377" i="53"/>
  <c r="Y377" i="53"/>
  <c r="X377" i="53"/>
  <c r="AA378" i="54" l="1"/>
  <c r="V378" i="54"/>
  <c r="C197" i="54"/>
  <c r="E197" i="54" s="1"/>
  <c r="G197" i="54" s="1"/>
  <c r="Z379" i="54"/>
  <c r="Y379" i="54"/>
  <c r="X379" i="54"/>
  <c r="D198" i="54"/>
  <c r="F198" i="54"/>
  <c r="Z378" i="53"/>
  <c r="Y378" i="53"/>
  <c r="X378" i="53"/>
  <c r="K378" i="53"/>
  <c r="K379" i="53" s="1"/>
  <c r="K380" i="53" s="1"/>
  <c r="K381" i="53" s="1"/>
  <c r="K382" i="53" s="1"/>
  <c r="K383" i="53" s="1"/>
  <c r="K384" i="53" s="1"/>
  <c r="K385" i="53" s="1"/>
  <c r="K386" i="53" s="1"/>
  <c r="K387" i="53" s="1"/>
  <c r="K388" i="53" s="1"/>
  <c r="K389" i="53" s="1"/>
  <c r="K390" i="53" s="1"/>
  <c r="K391" i="53" s="1"/>
  <c r="K392" i="53" s="1"/>
  <c r="K393" i="53" s="1"/>
  <c r="K394" i="53" s="1"/>
  <c r="K395" i="53" s="1"/>
  <c r="K396" i="53" s="1"/>
  <c r="K397" i="53" s="1"/>
  <c r="K398" i="53" s="1"/>
  <c r="K399" i="53" s="1"/>
  <c r="K400" i="53" s="1"/>
  <c r="K401" i="53" s="1"/>
  <c r="K402" i="53" s="1"/>
  <c r="K403" i="53" s="1"/>
  <c r="K404" i="53" s="1"/>
  <c r="K405" i="53" s="1"/>
  <c r="K406" i="53" s="1"/>
  <c r="K407" i="53" s="1"/>
  <c r="K408" i="53" s="1"/>
  <c r="K409" i="53" s="1"/>
  <c r="K410" i="53" s="1"/>
  <c r="K411" i="53" s="1"/>
  <c r="K412" i="53" s="1"/>
  <c r="K413" i="53" s="1"/>
  <c r="K414" i="53" s="1"/>
  <c r="K415" i="53" s="1"/>
  <c r="K416" i="53" s="1"/>
  <c r="K417" i="53" s="1"/>
  <c r="K418" i="53" s="1"/>
  <c r="K419" i="53" s="1"/>
  <c r="K420" i="53" s="1"/>
  <c r="K421" i="53" s="1"/>
  <c r="K422" i="53" s="1"/>
  <c r="K423" i="53" s="1"/>
  <c r="K424" i="53" s="1"/>
  <c r="K425" i="53" s="1"/>
  <c r="K426" i="53" s="1"/>
  <c r="K427" i="53" s="1"/>
  <c r="K428" i="53" s="1"/>
  <c r="K429" i="53" s="1"/>
  <c r="K430" i="53" s="1"/>
  <c r="K431" i="53" s="1"/>
  <c r="K432" i="53" s="1"/>
  <c r="K433" i="53" s="1"/>
  <c r="K434" i="53" s="1"/>
  <c r="K435" i="53" s="1"/>
  <c r="K436" i="53" s="1"/>
  <c r="K437" i="53" s="1"/>
  <c r="K438" i="53" s="1"/>
  <c r="K439" i="53" s="1"/>
  <c r="K440" i="53" s="1"/>
  <c r="AA379" i="54" l="1"/>
  <c r="L199" i="54"/>
  <c r="I197" i="54"/>
  <c r="M198" i="54" s="1"/>
  <c r="Z379" i="53"/>
  <c r="Y379" i="53"/>
  <c r="X379" i="53"/>
  <c r="C198" i="54" l="1"/>
  <c r="E198" i="54" s="1"/>
  <c r="G198" i="54" s="1"/>
  <c r="D199" i="54"/>
  <c r="F199" i="54"/>
  <c r="L200" i="54" l="1"/>
  <c r="I198" i="54"/>
  <c r="M199" i="54" s="1"/>
  <c r="C199" i="54" l="1"/>
  <c r="E199" i="54" s="1"/>
  <c r="G199" i="54" s="1"/>
  <c r="D200" i="54"/>
  <c r="F200" i="54"/>
  <c r="L201" i="54" l="1"/>
  <c r="I199" i="54"/>
  <c r="M200" i="54" s="1"/>
  <c r="C200" i="54" l="1"/>
  <c r="E200" i="54" s="1"/>
  <c r="G200" i="54" s="1"/>
  <c r="D201" i="54"/>
  <c r="F201" i="54"/>
  <c r="L202" i="54" l="1"/>
  <c r="I200" i="54"/>
  <c r="M201" i="54" s="1"/>
  <c r="C201" i="54" l="1"/>
  <c r="E201" i="54" s="1"/>
  <c r="G201" i="54" s="1"/>
  <c r="D202" i="54"/>
  <c r="F202" i="54"/>
  <c r="L203" i="54" l="1"/>
  <c r="I201" i="54"/>
  <c r="M202" i="54" s="1"/>
  <c r="C202" i="54" l="1"/>
  <c r="E202" i="54" s="1"/>
  <c r="G202" i="54" s="1"/>
  <c r="D203" i="54"/>
  <c r="F203" i="54"/>
  <c r="L204" i="54" l="1"/>
  <c r="I202" i="54"/>
  <c r="M203" i="54" s="1"/>
  <c r="C203" i="54" l="1"/>
  <c r="E203" i="54" s="1"/>
  <c r="G203" i="54" s="1"/>
  <c r="D204" i="54"/>
  <c r="F204" i="54"/>
  <c r="L205" i="54" l="1"/>
  <c r="I203" i="54"/>
  <c r="M204" i="54" s="1"/>
  <c r="C204" i="54" l="1"/>
  <c r="E204" i="54" s="1"/>
  <c r="G204" i="54" s="1"/>
  <c r="D205" i="54"/>
  <c r="F205" i="54"/>
  <c r="L206" i="54" l="1"/>
  <c r="I204" i="54"/>
  <c r="M205" i="54" s="1"/>
  <c r="C205" i="54" l="1"/>
  <c r="E205" i="54" s="1"/>
  <c r="G205" i="54" s="1"/>
  <c r="D206" i="54"/>
  <c r="F206" i="54"/>
  <c r="L207" i="54" l="1"/>
  <c r="I205" i="54"/>
  <c r="M206" i="54" s="1"/>
  <c r="C206" i="54" l="1"/>
  <c r="E206" i="54" s="1"/>
  <c r="G206" i="54" s="1"/>
  <c r="D207" i="54"/>
  <c r="F207" i="54"/>
  <c r="L208" i="54" l="1"/>
  <c r="I206" i="54"/>
  <c r="M207" i="54" s="1"/>
  <c r="C207" i="54" l="1"/>
  <c r="E207" i="54" s="1"/>
  <c r="G207" i="54" s="1"/>
  <c r="D208" i="54"/>
  <c r="F208" i="54"/>
  <c r="L209" i="54" l="1"/>
  <c r="I207" i="54"/>
  <c r="M208" i="54" s="1"/>
  <c r="D209" i="54" l="1"/>
  <c r="F209" i="54"/>
  <c r="C208" i="54"/>
  <c r="E208" i="54" s="1"/>
  <c r="G208" i="54" s="1"/>
  <c r="L210" i="54" l="1"/>
  <c r="I208" i="54"/>
  <c r="M209" i="54" s="1"/>
  <c r="D210" i="54" l="1"/>
  <c r="F210" i="54"/>
  <c r="C209" i="54"/>
  <c r="E209" i="54" s="1"/>
  <c r="G209" i="54" s="1"/>
  <c r="L211" i="54" l="1"/>
  <c r="I209" i="54"/>
  <c r="M210" i="54" s="1"/>
  <c r="C210" i="54" l="1"/>
  <c r="E210" i="54" s="1"/>
  <c r="G210" i="54" s="1"/>
  <c r="D211" i="54"/>
  <c r="F211" i="54"/>
  <c r="L212" i="54" l="1"/>
  <c r="I210" i="54"/>
  <c r="M211" i="54" s="1"/>
  <c r="D212" i="54" l="1"/>
  <c r="F212" i="54"/>
  <c r="C211" i="54"/>
  <c r="E211" i="54" s="1"/>
  <c r="G211" i="54" s="1"/>
  <c r="L213" i="54" l="1"/>
  <c r="I211" i="54"/>
  <c r="M212" i="54" s="1"/>
  <c r="C212" i="54" l="1"/>
  <c r="E212" i="54" s="1"/>
  <c r="G212" i="54" s="1"/>
  <c r="D213" i="54"/>
  <c r="F213" i="54"/>
  <c r="L214" i="54" l="1"/>
  <c r="I212" i="54"/>
  <c r="M213" i="54" s="1"/>
  <c r="D214" i="54" l="1"/>
  <c r="F214" i="54"/>
  <c r="C213" i="54"/>
  <c r="E213" i="54" s="1"/>
  <c r="G213" i="54" s="1"/>
  <c r="L215" i="54" l="1"/>
  <c r="I213" i="54"/>
  <c r="M214" i="54" s="1"/>
  <c r="D215" i="54" l="1"/>
  <c r="F215" i="54"/>
  <c r="C214" i="54"/>
  <c r="E214" i="54" s="1"/>
  <c r="G214" i="54" s="1"/>
  <c r="L216" i="54" l="1"/>
  <c r="I214" i="54"/>
  <c r="M215" i="54" s="1"/>
  <c r="C215" i="54" l="1"/>
  <c r="E215" i="54" s="1"/>
  <c r="G215" i="54" s="1"/>
  <c r="D216" i="54"/>
  <c r="F216" i="54"/>
  <c r="L217" i="54" l="1"/>
  <c r="I215" i="54"/>
  <c r="M216" i="54" s="1"/>
  <c r="D217" i="54" l="1"/>
  <c r="F217" i="54"/>
  <c r="C216" i="54"/>
  <c r="E216" i="54" s="1"/>
  <c r="G216" i="54" s="1"/>
  <c r="L218" i="54" l="1"/>
  <c r="I216" i="54"/>
  <c r="M217" i="54" s="1"/>
  <c r="D218" i="54" l="1"/>
  <c r="F218" i="54"/>
  <c r="C217" i="54"/>
  <c r="E217" i="54" s="1"/>
  <c r="G217" i="54" s="1"/>
  <c r="L219" i="54" l="1"/>
  <c r="I217" i="54"/>
  <c r="M218" i="54" s="1"/>
  <c r="C218" i="54" l="1"/>
  <c r="E218" i="54" s="1"/>
  <c r="G218" i="54" s="1"/>
  <c r="D219" i="54"/>
  <c r="F219" i="54"/>
  <c r="L220" i="54" l="1"/>
  <c r="I218" i="54"/>
  <c r="M219" i="54" s="1"/>
  <c r="D220" i="54" l="1"/>
  <c r="F220" i="54"/>
  <c r="C219" i="54"/>
  <c r="E219" i="54" s="1"/>
  <c r="G219" i="54" s="1"/>
  <c r="L221" i="54" l="1"/>
  <c r="I219" i="54"/>
  <c r="M220" i="54" s="1"/>
  <c r="D221" i="54" l="1"/>
  <c r="F221" i="54"/>
  <c r="C220" i="54"/>
  <c r="E220" i="54" s="1"/>
  <c r="G220" i="54" s="1"/>
  <c r="L222" i="54" l="1"/>
  <c r="I220" i="54"/>
  <c r="M221" i="54" s="1"/>
  <c r="D222" i="54" l="1"/>
  <c r="F222" i="54"/>
  <c r="C221" i="54"/>
  <c r="E221" i="54" s="1"/>
  <c r="G221" i="54" s="1"/>
  <c r="L223" i="54" l="1"/>
  <c r="I221" i="54"/>
  <c r="M222" i="54" s="1"/>
  <c r="C222" i="54" l="1"/>
  <c r="E222" i="54" s="1"/>
  <c r="G222" i="54" s="1"/>
  <c r="D223" i="54"/>
  <c r="F223" i="54"/>
  <c r="L224" i="54" l="1"/>
  <c r="I222" i="54"/>
  <c r="M223" i="54" s="1"/>
  <c r="C223" i="54" l="1"/>
  <c r="E223" i="54" s="1"/>
  <c r="G223" i="54" s="1"/>
  <c r="D224" i="54"/>
  <c r="F224" i="54"/>
  <c r="L225" i="54" l="1"/>
  <c r="I223" i="54"/>
  <c r="M224" i="54" s="1"/>
  <c r="C224" i="54" l="1"/>
  <c r="E224" i="54" s="1"/>
  <c r="G224" i="54" s="1"/>
  <c r="D225" i="54"/>
  <c r="F225" i="54"/>
  <c r="L226" i="54" l="1"/>
  <c r="I224" i="54"/>
  <c r="M225" i="54" s="1"/>
  <c r="C225" i="54" l="1"/>
  <c r="E225" i="54" s="1"/>
  <c r="G225" i="54" s="1"/>
  <c r="D226" i="54"/>
  <c r="F226" i="54"/>
  <c r="L227" i="54" l="1"/>
  <c r="I225" i="54"/>
  <c r="M226" i="54" s="1"/>
  <c r="C226" i="54" l="1"/>
  <c r="E226" i="54" s="1"/>
  <c r="G226" i="54" s="1"/>
  <c r="D227" i="54"/>
  <c r="F227" i="54"/>
  <c r="L228" i="54" l="1"/>
  <c r="I226" i="54"/>
  <c r="M227" i="54" s="1"/>
  <c r="D228" i="54" l="1"/>
  <c r="F228" i="54"/>
  <c r="C227" i="54"/>
  <c r="E227" i="54" s="1"/>
  <c r="G227" i="54" s="1"/>
  <c r="L229" i="54" l="1"/>
  <c r="I227" i="54"/>
  <c r="M228" i="54" s="1"/>
  <c r="C228" i="54" l="1"/>
  <c r="E228" i="54" s="1"/>
  <c r="G228" i="54" s="1"/>
  <c r="D229" i="54"/>
  <c r="F229" i="54"/>
  <c r="L230" i="54" l="1"/>
  <c r="I228" i="54"/>
  <c r="M229" i="54" s="1"/>
  <c r="D230" i="54" l="1"/>
  <c r="F230" i="54"/>
  <c r="C229" i="54"/>
  <c r="E229" i="54" s="1"/>
  <c r="G229" i="54" s="1"/>
  <c r="L231" i="54" l="1"/>
  <c r="I229" i="54"/>
  <c r="M230" i="54" s="1"/>
  <c r="D231" i="54" l="1"/>
  <c r="F231" i="54"/>
  <c r="C230" i="54"/>
  <c r="E230" i="54" s="1"/>
  <c r="G230" i="54" s="1"/>
  <c r="L232" i="54" l="1"/>
  <c r="I230" i="54"/>
  <c r="M231" i="54" s="1"/>
  <c r="D232" i="54" l="1"/>
  <c r="F232" i="54"/>
  <c r="C231" i="54"/>
  <c r="E231" i="54" s="1"/>
  <c r="G231" i="54" s="1"/>
  <c r="L233" i="54" l="1"/>
  <c r="I231" i="54"/>
  <c r="M232" i="54" s="1"/>
  <c r="C232" i="54" l="1"/>
  <c r="E232" i="54" s="1"/>
  <c r="G232" i="54" s="1"/>
  <c r="D233" i="54"/>
  <c r="F233" i="54"/>
  <c r="L234" i="54" l="1"/>
  <c r="I232" i="54"/>
  <c r="M233" i="54" s="1"/>
  <c r="C233" i="54" l="1"/>
  <c r="E233" i="54" s="1"/>
  <c r="G233" i="54" s="1"/>
  <c r="D234" i="54"/>
  <c r="F234" i="54"/>
  <c r="L235" i="54" l="1"/>
  <c r="I233" i="54"/>
  <c r="M234" i="54" s="1"/>
  <c r="C234" i="54" l="1"/>
  <c r="E234" i="54" s="1"/>
  <c r="G234" i="54" s="1"/>
  <c r="D235" i="54"/>
  <c r="F235" i="54"/>
  <c r="L236" i="54" l="1"/>
  <c r="I234" i="54"/>
  <c r="M235" i="54" s="1"/>
  <c r="C235" i="54" l="1"/>
  <c r="E235" i="54" s="1"/>
  <c r="G235" i="54" s="1"/>
  <c r="D236" i="54"/>
  <c r="F236" i="54"/>
  <c r="L237" i="54" l="1"/>
  <c r="I235" i="54"/>
  <c r="M236" i="54" s="1"/>
  <c r="C236" i="54" l="1"/>
  <c r="E236" i="54" s="1"/>
  <c r="G236" i="54" s="1"/>
  <c r="D237" i="54"/>
  <c r="F237" i="54"/>
  <c r="L238" i="54" l="1"/>
  <c r="I236" i="54"/>
  <c r="M237" i="54" s="1"/>
  <c r="C237" i="54" l="1"/>
  <c r="E237" i="54" s="1"/>
  <c r="G237" i="54" s="1"/>
  <c r="D238" i="54"/>
  <c r="F238" i="54"/>
  <c r="L239" i="54" l="1"/>
  <c r="I237" i="54"/>
  <c r="M238" i="54" s="1"/>
  <c r="D239" i="54" l="1"/>
  <c r="F239" i="54"/>
  <c r="C238" i="54"/>
  <c r="E238" i="54" s="1"/>
  <c r="G238" i="54" s="1"/>
  <c r="L240" i="54" l="1"/>
  <c r="I238" i="54"/>
  <c r="M239" i="54" s="1"/>
  <c r="D240" i="54" l="1"/>
  <c r="F240" i="54"/>
  <c r="C239" i="54"/>
  <c r="E239" i="54" s="1"/>
  <c r="G239" i="54" s="1"/>
  <c r="L241" i="54" l="1"/>
  <c r="I239" i="54"/>
  <c r="M240" i="54" s="1"/>
  <c r="C240" i="54" l="1"/>
  <c r="E240" i="54" s="1"/>
  <c r="G240" i="54" s="1"/>
  <c r="D241" i="54"/>
  <c r="F241" i="54"/>
  <c r="L242" i="54" l="1"/>
  <c r="I240" i="54"/>
  <c r="M241" i="54" s="1"/>
  <c r="D242" i="54" l="1"/>
  <c r="F242" i="54"/>
  <c r="C241" i="54"/>
  <c r="E241" i="54" s="1"/>
  <c r="G241" i="54" s="1"/>
  <c r="L243" i="54" l="1"/>
  <c r="I241" i="54"/>
  <c r="M242" i="54" s="1"/>
  <c r="D243" i="54" l="1"/>
  <c r="F243" i="54"/>
  <c r="C242" i="54"/>
  <c r="E242" i="54" s="1"/>
  <c r="G242" i="54" s="1"/>
  <c r="L244" i="54" l="1"/>
  <c r="I242" i="54"/>
  <c r="M243" i="54" s="1"/>
  <c r="D244" i="54" l="1"/>
  <c r="F244" i="54"/>
  <c r="C243" i="54"/>
  <c r="E243" i="54" s="1"/>
  <c r="G243" i="54" s="1"/>
  <c r="L245" i="54" l="1"/>
  <c r="I243" i="54"/>
  <c r="M244" i="54" s="1"/>
  <c r="C244" i="54" l="1"/>
  <c r="E244" i="54" s="1"/>
  <c r="G244" i="54" s="1"/>
  <c r="D245" i="54"/>
  <c r="F245" i="54"/>
  <c r="L246" i="54" l="1"/>
  <c r="I244" i="54"/>
  <c r="M245" i="54" s="1"/>
  <c r="C245" i="54" l="1"/>
  <c r="E245" i="54" s="1"/>
  <c r="G245" i="54" s="1"/>
  <c r="D246" i="54"/>
  <c r="F246" i="54"/>
  <c r="L247" i="54" l="1"/>
  <c r="I245" i="54"/>
  <c r="M246" i="54" s="1"/>
  <c r="C246" i="54" l="1"/>
  <c r="E246" i="54" s="1"/>
  <c r="G246" i="54" s="1"/>
  <c r="D247" i="54"/>
  <c r="F247" i="54"/>
  <c r="L248" i="54" l="1"/>
  <c r="I246" i="54"/>
  <c r="M247" i="54" s="1"/>
  <c r="C247" i="54" l="1"/>
  <c r="E247" i="54" s="1"/>
  <c r="G247" i="54" s="1"/>
  <c r="D248" i="54"/>
  <c r="F248" i="54"/>
  <c r="L249" i="54" l="1"/>
  <c r="I247" i="54"/>
  <c r="M248" i="54" s="1"/>
  <c r="C248" i="54" l="1"/>
  <c r="E248" i="54" s="1"/>
  <c r="G248" i="54" s="1"/>
  <c r="D249" i="54"/>
  <c r="F249" i="54"/>
  <c r="L250" i="54" l="1"/>
  <c r="I248" i="54"/>
  <c r="M249" i="54" s="1"/>
  <c r="C249" i="54" l="1"/>
  <c r="E249" i="54" s="1"/>
  <c r="G249" i="54" s="1"/>
  <c r="D250" i="54"/>
  <c r="F250" i="54"/>
  <c r="L251" i="54" l="1"/>
  <c r="I249" i="54"/>
  <c r="M250" i="54" s="1"/>
  <c r="C250" i="54" l="1"/>
  <c r="E250" i="54" s="1"/>
  <c r="G250" i="54" s="1"/>
  <c r="D251" i="54"/>
  <c r="F251" i="54"/>
  <c r="L252" i="54" l="1"/>
  <c r="I250" i="54"/>
  <c r="M251" i="54" s="1"/>
  <c r="C251" i="54" l="1"/>
  <c r="E251" i="54" s="1"/>
  <c r="G251" i="54" s="1"/>
  <c r="D252" i="54"/>
  <c r="F252" i="54"/>
  <c r="L253" i="54" l="1"/>
  <c r="I251" i="54"/>
  <c r="M252" i="54" s="1"/>
  <c r="C252" i="54" l="1"/>
  <c r="E252" i="54" s="1"/>
  <c r="G252" i="54" s="1"/>
  <c r="D253" i="54"/>
  <c r="F253" i="54"/>
  <c r="L254" i="54" l="1"/>
  <c r="I252" i="54"/>
  <c r="M253" i="54" s="1"/>
  <c r="C253" i="54" l="1"/>
  <c r="E253" i="54" s="1"/>
  <c r="G253" i="54" s="1"/>
  <c r="D254" i="54"/>
  <c r="F254" i="54"/>
  <c r="L255" i="54" l="1"/>
  <c r="I253" i="54"/>
  <c r="M254" i="54" s="1"/>
  <c r="C254" i="54" l="1"/>
  <c r="E254" i="54" s="1"/>
  <c r="G254" i="54" s="1"/>
  <c r="D255" i="54"/>
  <c r="F255" i="54"/>
  <c r="L256" i="54" l="1"/>
  <c r="I254" i="54"/>
  <c r="M255" i="54" s="1"/>
  <c r="C255" i="54" l="1"/>
  <c r="E255" i="54" s="1"/>
  <c r="G255" i="54" s="1"/>
  <c r="D256" i="54"/>
  <c r="F256" i="54"/>
  <c r="L257" i="54" l="1"/>
  <c r="I255" i="54"/>
  <c r="M256" i="54" s="1"/>
  <c r="C256" i="54" l="1"/>
  <c r="E256" i="54" s="1"/>
  <c r="G256" i="54" s="1"/>
  <c r="D257" i="54"/>
  <c r="F257" i="54"/>
  <c r="L258" i="54" l="1"/>
  <c r="I256" i="54"/>
  <c r="M257" i="54" s="1"/>
  <c r="C257" i="54" l="1"/>
  <c r="E257" i="54" s="1"/>
  <c r="G257" i="54" s="1"/>
  <c r="D258" i="54"/>
  <c r="F258" i="54"/>
  <c r="L259" i="54" l="1"/>
  <c r="I257" i="54"/>
  <c r="M258" i="54" s="1"/>
  <c r="C258" i="54" l="1"/>
  <c r="E258" i="54" s="1"/>
  <c r="G258" i="54" s="1"/>
  <c r="D259" i="54"/>
  <c r="F259" i="54"/>
  <c r="L260" i="54" l="1"/>
  <c r="I258" i="54"/>
  <c r="M259" i="54" s="1"/>
  <c r="C259" i="54" l="1"/>
  <c r="E259" i="54" s="1"/>
  <c r="G259" i="54" s="1"/>
  <c r="D260" i="54"/>
  <c r="F260" i="54"/>
  <c r="L261" i="54" l="1"/>
  <c r="I259" i="54"/>
  <c r="M260" i="54" s="1"/>
  <c r="C260" i="54" l="1"/>
  <c r="E260" i="54" s="1"/>
  <c r="G260" i="54" s="1"/>
  <c r="D261" i="54"/>
  <c r="F261" i="54"/>
  <c r="L262" i="54" l="1"/>
  <c r="I260" i="54"/>
  <c r="M261" i="54" s="1"/>
  <c r="C261" i="54" l="1"/>
  <c r="E261" i="54" s="1"/>
  <c r="G261" i="54" s="1"/>
  <c r="D262" i="54"/>
  <c r="F262" i="54"/>
  <c r="L263" i="54" l="1"/>
  <c r="I261" i="54"/>
  <c r="M262" i="54" s="1"/>
  <c r="C262" i="54" l="1"/>
  <c r="E262" i="54" s="1"/>
  <c r="G262" i="54" s="1"/>
  <c r="D263" i="54"/>
  <c r="F263" i="54"/>
  <c r="L264" i="54" l="1"/>
  <c r="I262" i="54"/>
  <c r="M263" i="54" s="1"/>
  <c r="C263" i="54" l="1"/>
  <c r="E263" i="54" s="1"/>
  <c r="G263" i="54" s="1"/>
  <c r="D264" i="54"/>
  <c r="F264" i="54"/>
  <c r="L265" i="54" l="1"/>
  <c r="I263" i="54"/>
  <c r="M264" i="54" s="1"/>
  <c r="C264" i="54" l="1"/>
  <c r="E264" i="54" s="1"/>
  <c r="G264" i="54" s="1"/>
  <c r="D265" i="54"/>
  <c r="F265" i="54"/>
  <c r="L266" i="54" l="1"/>
  <c r="I264" i="54"/>
  <c r="M265" i="54" s="1"/>
  <c r="C265" i="54" l="1"/>
  <c r="E265" i="54" s="1"/>
  <c r="G265" i="54" s="1"/>
  <c r="D266" i="54"/>
  <c r="F266" i="54"/>
  <c r="L267" i="54" l="1"/>
  <c r="I265" i="54"/>
  <c r="M266" i="54" s="1"/>
  <c r="C266" i="54" l="1"/>
  <c r="E266" i="54" s="1"/>
  <c r="G266" i="54" s="1"/>
  <c r="D267" i="54"/>
  <c r="F267" i="54"/>
  <c r="L268" i="54" l="1"/>
  <c r="I266" i="54"/>
  <c r="M267" i="54" s="1"/>
  <c r="C267" i="54" l="1"/>
  <c r="E267" i="54" s="1"/>
  <c r="G267" i="54" s="1"/>
  <c r="D268" i="54"/>
  <c r="F268" i="54"/>
  <c r="L269" i="54" l="1"/>
  <c r="I267" i="54"/>
  <c r="M268" i="54" s="1"/>
  <c r="C268" i="54" l="1"/>
  <c r="E268" i="54" s="1"/>
  <c r="G268" i="54" s="1"/>
  <c r="D269" i="54"/>
  <c r="F269" i="54"/>
  <c r="L270" i="54" l="1"/>
  <c r="I268" i="54"/>
  <c r="M269" i="54" s="1"/>
  <c r="C269" i="54" l="1"/>
  <c r="E269" i="54" s="1"/>
  <c r="G269" i="54" s="1"/>
  <c r="D270" i="54"/>
  <c r="F270" i="54"/>
  <c r="L271" i="54" l="1"/>
  <c r="I269" i="54"/>
  <c r="M270" i="54" s="1"/>
  <c r="C270" i="54" l="1"/>
  <c r="E270" i="54" s="1"/>
  <c r="G270" i="54" s="1"/>
  <c r="D271" i="54"/>
  <c r="F271" i="54"/>
  <c r="L272" i="54" l="1"/>
  <c r="I270" i="54"/>
  <c r="M271" i="54" s="1"/>
  <c r="C271" i="54" l="1"/>
  <c r="E271" i="54" s="1"/>
  <c r="G271" i="54" s="1"/>
  <c r="D272" i="54"/>
  <c r="F272" i="54"/>
  <c r="L273" i="54" l="1"/>
  <c r="I271" i="54"/>
  <c r="M272" i="54" s="1"/>
  <c r="C272" i="54" l="1"/>
  <c r="E272" i="54" s="1"/>
  <c r="G272" i="54" s="1"/>
  <c r="D273" i="54"/>
  <c r="F273" i="54"/>
  <c r="L274" i="54" l="1"/>
  <c r="I272" i="54"/>
  <c r="M273" i="54" s="1"/>
  <c r="D274" i="54" l="1"/>
  <c r="F274" i="54"/>
  <c r="C273" i="54"/>
  <c r="E273" i="54" s="1"/>
  <c r="G273" i="54" s="1"/>
  <c r="L275" i="54" l="1"/>
  <c r="I273" i="54"/>
  <c r="M274" i="54" s="1"/>
  <c r="C274" i="54" l="1"/>
  <c r="E274" i="54" s="1"/>
  <c r="G274" i="54" s="1"/>
  <c r="D275" i="54"/>
  <c r="F275" i="54"/>
  <c r="L276" i="54" l="1"/>
  <c r="I274" i="54"/>
  <c r="M275" i="54" s="1"/>
  <c r="C275" i="54" l="1"/>
  <c r="E275" i="54" s="1"/>
  <c r="G275" i="54" s="1"/>
  <c r="D276" i="54"/>
  <c r="F276" i="54"/>
  <c r="L277" i="54" l="1"/>
  <c r="I275" i="54"/>
  <c r="M276" i="54" s="1"/>
  <c r="C276" i="54" l="1"/>
  <c r="E276" i="54" s="1"/>
  <c r="G276" i="54" s="1"/>
  <c r="D277" i="54"/>
  <c r="F277" i="54"/>
  <c r="L278" i="54" l="1"/>
  <c r="I276" i="54"/>
  <c r="M277" i="54" s="1"/>
  <c r="C277" i="54" l="1"/>
  <c r="E277" i="54" s="1"/>
  <c r="G277" i="54" s="1"/>
  <c r="D278" i="54"/>
  <c r="F278" i="54"/>
  <c r="L279" i="54" l="1"/>
  <c r="I277" i="54"/>
  <c r="M278" i="54" s="1"/>
  <c r="D279" i="54" l="1"/>
  <c r="F279" i="54"/>
  <c r="C278" i="54"/>
  <c r="E278" i="54" s="1"/>
  <c r="G278" i="54" s="1"/>
  <c r="L280" i="54" l="1"/>
  <c r="I278" i="54"/>
  <c r="M279" i="54" s="1"/>
  <c r="C279" i="54" l="1"/>
  <c r="E279" i="54" s="1"/>
  <c r="G279" i="54" s="1"/>
  <c r="D280" i="54"/>
  <c r="F280" i="54"/>
  <c r="L281" i="54" l="1"/>
  <c r="I279" i="54"/>
  <c r="M280" i="54" s="1"/>
  <c r="C280" i="54" l="1"/>
  <c r="E280" i="54" s="1"/>
  <c r="G280" i="54" s="1"/>
  <c r="D281" i="54"/>
  <c r="F281" i="54"/>
  <c r="L282" i="54" l="1"/>
  <c r="I280" i="54"/>
  <c r="M281" i="54" s="1"/>
  <c r="C281" i="54" l="1"/>
  <c r="E281" i="54" s="1"/>
  <c r="G281" i="54" s="1"/>
  <c r="D282" i="54"/>
  <c r="F282" i="54"/>
  <c r="L283" i="54" l="1"/>
  <c r="I281" i="54"/>
  <c r="M282" i="54" s="1"/>
  <c r="C282" i="54" l="1"/>
  <c r="E282" i="54" s="1"/>
  <c r="G282" i="54" s="1"/>
  <c r="D283" i="54"/>
  <c r="F283" i="54"/>
  <c r="L284" i="54" l="1"/>
  <c r="I282" i="54"/>
  <c r="M283" i="54" s="1"/>
  <c r="C283" i="54" l="1"/>
  <c r="E283" i="54" s="1"/>
  <c r="G283" i="54" s="1"/>
  <c r="D284" i="54"/>
  <c r="F284" i="54"/>
  <c r="L285" i="54" l="1"/>
  <c r="I283" i="54"/>
  <c r="M284" i="54" s="1"/>
  <c r="C284" i="54" l="1"/>
  <c r="E284" i="54" s="1"/>
  <c r="G284" i="54" s="1"/>
  <c r="D285" i="54"/>
  <c r="F285" i="54"/>
  <c r="L286" i="54" l="1"/>
  <c r="I284" i="54"/>
  <c r="M285" i="54" s="1"/>
  <c r="D286" i="54" l="1"/>
  <c r="F286" i="54"/>
  <c r="C285" i="54"/>
  <c r="E285" i="54" s="1"/>
  <c r="G285" i="54" s="1"/>
  <c r="L287" i="54" l="1"/>
  <c r="I285" i="54"/>
  <c r="M286" i="54" s="1"/>
  <c r="C286" i="54" l="1"/>
  <c r="E286" i="54" s="1"/>
  <c r="G286" i="54" s="1"/>
  <c r="D287" i="54"/>
  <c r="F287" i="54"/>
  <c r="L288" i="54" l="1"/>
  <c r="I286" i="54"/>
  <c r="M287" i="54" s="1"/>
  <c r="D288" i="54" l="1"/>
  <c r="F288" i="54"/>
  <c r="C287" i="54"/>
  <c r="E287" i="54" s="1"/>
  <c r="G287" i="54" s="1"/>
  <c r="L289" i="54" l="1"/>
  <c r="I287" i="54"/>
  <c r="M288" i="54" s="1"/>
  <c r="D289" i="54" l="1"/>
  <c r="F289" i="54"/>
  <c r="C288" i="54"/>
  <c r="E288" i="54" s="1"/>
  <c r="G288" i="54" s="1"/>
  <c r="L290" i="54" l="1"/>
  <c r="I288" i="54"/>
  <c r="M289" i="54" s="1"/>
  <c r="D290" i="54" l="1"/>
  <c r="F290" i="54"/>
  <c r="C289" i="54"/>
  <c r="E289" i="54" s="1"/>
  <c r="G289" i="54" s="1"/>
  <c r="L291" i="54" l="1"/>
  <c r="I289" i="54"/>
  <c r="M290" i="54" s="1"/>
  <c r="C290" i="54" l="1"/>
  <c r="E290" i="54" s="1"/>
  <c r="G290" i="54" s="1"/>
  <c r="D291" i="54"/>
  <c r="F291" i="54"/>
  <c r="L292" i="54" l="1"/>
  <c r="I290" i="54"/>
  <c r="M291" i="54" s="1"/>
  <c r="D292" i="54" l="1"/>
  <c r="F292" i="54"/>
  <c r="C291" i="54"/>
  <c r="E291" i="54" s="1"/>
  <c r="G291" i="54" s="1"/>
  <c r="L293" i="54" l="1"/>
  <c r="I291" i="54"/>
  <c r="M292" i="54" s="1"/>
  <c r="C292" i="54" l="1"/>
  <c r="E292" i="54" s="1"/>
  <c r="G292" i="54" s="1"/>
  <c r="D293" i="54"/>
  <c r="F293" i="54"/>
  <c r="L294" i="54" l="1"/>
  <c r="I292" i="54"/>
  <c r="M293" i="54" s="1"/>
  <c r="D294" i="54" l="1"/>
  <c r="F294" i="54"/>
  <c r="C293" i="54"/>
  <c r="E293" i="54" s="1"/>
  <c r="G293" i="54" s="1"/>
  <c r="L295" i="54" l="1"/>
  <c r="I293" i="54"/>
  <c r="M294" i="54" s="1"/>
  <c r="D295" i="54" l="1"/>
  <c r="F295" i="54"/>
  <c r="C294" i="54"/>
  <c r="E294" i="54" s="1"/>
  <c r="G294" i="54" s="1"/>
  <c r="L296" i="54" l="1"/>
  <c r="I294" i="54"/>
  <c r="M295" i="54" s="1"/>
  <c r="C295" i="54" l="1"/>
  <c r="E295" i="54" s="1"/>
  <c r="G295" i="54" s="1"/>
  <c r="D296" i="54"/>
  <c r="F296" i="54"/>
  <c r="L297" i="54" l="1"/>
  <c r="I295" i="54"/>
  <c r="M296" i="54" s="1"/>
  <c r="C296" i="54" l="1"/>
  <c r="E296" i="54" s="1"/>
  <c r="G296" i="54" s="1"/>
  <c r="D297" i="54"/>
  <c r="F297" i="54"/>
  <c r="L298" i="54" l="1"/>
  <c r="I296" i="54"/>
  <c r="M297" i="54" s="1"/>
  <c r="C297" i="54" l="1"/>
  <c r="E297" i="54" s="1"/>
  <c r="G297" i="54" s="1"/>
  <c r="D298" i="54"/>
  <c r="F298" i="54"/>
  <c r="L299" i="54" l="1"/>
  <c r="I297" i="54"/>
  <c r="M298" i="54" s="1"/>
  <c r="D299" i="54" l="1"/>
  <c r="F299" i="54"/>
  <c r="C298" i="54"/>
  <c r="E298" i="54" s="1"/>
  <c r="G298" i="54" s="1"/>
  <c r="L300" i="54" l="1"/>
  <c r="I298" i="54"/>
  <c r="M299" i="54" s="1"/>
  <c r="C299" i="54" l="1"/>
  <c r="E299" i="54" s="1"/>
  <c r="G299" i="54" s="1"/>
  <c r="D300" i="54"/>
  <c r="F300" i="54"/>
  <c r="L301" i="54" l="1"/>
  <c r="I299" i="54"/>
  <c r="M300" i="54" s="1"/>
  <c r="C300" i="54" l="1"/>
  <c r="E300" i="54" s="1"/>
  <c r="G300" i="54" s="1"/>
  <c r="D301" i="54"/>
  <c r="F301" i="54"/>
  <c r="L302" i="54" l="1"/>
  <c r="I300" i="54"/>
  <c r="M301" i="54" s="1"/>
  <c r="C301" i="54" l="1"/>
  <c r="E301" i="54" s="1"/>
  <c r="G301" i="54" s="1"/>
  <c r="F302" i="54"/>
  <c r="D302" i="54"/>
  <c r="L303" i="54" l="1"/>
  <c r="I301" i="54"/>
  <c r="M302" i="54" s="1"/>
  <c r="C302" i="54" l="1"/>
  <c r="E302" i="54" s="1"/>
  <c r="G302" i="54" s="1"/>
  <c r="D303" i="54"/>
  <c r="F303" i="54"/>
  <c r="L304" i="54" l="1"/>
  <c r="I302" i="54"/>
  <c r="M303" i="54" s="1"/>
  <c r="C303" i="54" l="1"/>
  <c r="E303" i="54" s="1"/>
  <c r="G303" i="54" s="1"/>
  <c r="F304" i="54"/>
  <c r="D304" i="54"/>
  <c r="L305" i="54" l="1"/>
  <c r="I303" i="54"/>
  <c r="M304" i="54" s="1"/>
  <c r="C304" i="54" l="1"/>
  <c r="E304" i="54" s="1"/>
  <c r="G304" i="54" s="1"/>
  <c r="D305" i="54"/>
  <c r="F305" i="54"/>
  <c r="L306" i="54" l="1"/>
  <c r="I304" i="54"/>
  <c r="M305" i="54" s="1"/>
  <c r="C305" i="54" l="1"/>
  <c r="E305" i="54" s="1"/>
  <c r="G305" i="54" s="1"/>
  <c r="F306" i="54"/>
  <c r="D306" i="54"/>
  <c r="L307" i="54" l="1"/>
  <c r="I305" i="54"/>
  <c r="M306" i="54" s="1"/>
  <c r="D307" i="54" l="1"/>
  <c r="F307" i="54"/>
  <c r="C306" i="54"/>
  <c r="E306" i="54" s="1"/>
  <c r="G306" i="54" s="1"/>
  <c r="L308" i="54" l="1"/>
  <c r="I306" i="54"/>
  <c r="M307" i="54" s="1"/>
  <c r="C307" i="54" l="1"/>
  <c r="E307" i="54" s="1"/>
  <c r="G307" i="54" s="1"/>
  <c r="F308" i="54"/>
  <c r="D308" i="54"/>
  <c r="L309" i="54" l="1"/>
  <c r="I307" i="54"/>
  <c r="M308" i="54" s="1"/>
  <c r="C308" i="54" l="1"/>
  <c r="E308" i="54" s="1"/>
  <c r="G308" i="54" s="1"/>
  <c r="D309" i="54"/>
  <c r="F309" i="54"/>
  <c r="L310" i="54" l="1"/>
  <c r="I308" i="54"/>
  <c r="M309" i="54" s="1"/>
  <c r="F310" i="54" l="1"/>
  <c r="D310" i="54"/>
  <c r="C309" i="54"/>
  <c r="E309" i="54" s="1"/>
  <c r="G309" i="54" s="1"/>
  <c r="L311" i="54" l="1"/>
  <c r="I309" i="54"/>
  <c r="M310" i="54" s="1"/>
  <c r="D311" i="54" l="1"/>
  <c r="F311" i="54"/>
  <c r="C310" i="54"/>
  <c r="E310" i="54" s="1"/>
  <c r="G310" i="54" s="1"/>
  <c r="L312" i="54" l="1"/>
  <c r="I310" i="54"/>
  <c r="M311" i="54" s="1"/>
  <c r="F312" i="54" l="1"/>
  <c r="D312" i="54"/>
  <c r="C311" i="54"/>
  <c r="E311" i="54" s="1"/>
  <c r="G311" i="54" s="1"/>
  <c r="L313" i="54" l="1"/>
  <c r="I311" i="54"/>
  <c r="M312" i="54" s="1"/>
  <c r="D313" i="54" l="1"/>
  <c r="F313" i="54"/>
  <c r="C312" i="54"/>
  <c r="E312" i="54" s="1"/>
  <c r="G312" i="54" s="1"/>
  <c r="L314" i="54" l="1"/>
  <c r="I312" i="54"/>
  <c r="M313" i="54" s="1"/>
  <c r="C313" i="54" l="1"/>
  <c r="E313" i="54" s="1"/>
  <c r="G313" i="54" s="1"/>
  <c r="F314" i="54"/>
  <c r="D314" i="54"/>
  <c r="L315" i="54" l="1"/>
  <c r="I313" i="54"/>
  <c r="M314" i="54" s="1"/>
  <c r="C314" i="54" l="1"/>
  <c r="E314" i="54" s="1"/>
  <c r="G314" i="54" s="1"/>
  <c r="D315" i="54"/>
  <c r="F315" i="54"/>
  <c r="L316" i="54" l="1"/>
  <c r="I314" i="54"/>
  <c r="M315" i="54" s="1"/>
  <c r="F316" i="54" l="1"/>
  <c r="D316" i="54"/>
  <c r="C315" i="54"/>
  <c r="E315" i="54" s="1"/>
  <c r="G315" i="54" s="1"/>
  <c r="L317" i="54" l="1"/>
  <c r="I315" i="54"/>
  <c r="M316" i="54" s="1"/>
  <c r="D317" i="54" l="1"/>
  <c r="F317" i="54"/>
  <c r="C316" i="54"/>
  <c r="E316" i="54" s="1"/>
  <c r="G316" i="54" s="1"/>
  <c r="L318" i="54" l="1"/>
  <c r="I316" i="54"/>
  <c r="M317" i="54" s="1"/>
  <c r="C317" i="54" l="1"/>
  <c r="E317" i="54" s="1"/>
  <c r="G317" i="54" s="1"/>
  <c r="F318" i="54"/>
  <c r="D318" i="54"/>
  <c r="L319" i="54" l="1"/>
  <c r="I317" i="54"/>
  <c r="M318" i="54" s="1"/>
  <c r="D319" i="54" l="1"/>
  <c r="F319" i="54"/>
  <c r="C318" i="54"/>
  <c r="E318" i="54" s="1"/>
  <c r="G318" i="54" s="1"/>
  <c r="L320" i="54" l="1"/>
  <c r="I318" i="54"/>
  <c r="M319" i="54" s="1"/>
  <c r="C319" i="54" l="1"/>
  <c r="E319" i="54" s="1"/>
  <c r="G319" i="54" s="1"/>
  <c r="F320" i="54"/>
  <c r="D320" i="54"/>
  <c r="L321" i="54" l="1"/>
  <c r="I319" i="54"/>
  <c r="M320" i="54" s="1"/>
  <c r="D321" i="54" l="1"/>
  <c r="F321" i="54"/>
  <c r="C320" i="54"/>
  <c r="E320" i="54" s="1"/>
  <c r="G320" i="54" s="1"/>
  <c r="L322" i="54" l="1"/>
  <c r="I320" i="54"/>
  <c r="M321" i="54" s="1"/>
  <c r="F322" i="54" l="1"/>
  <c r="D322" i="54"/>
  <c r="C321" i="54"/>
  <c r="E321" i="54" s="1"/>
  <c r="G321" i="54" s="1"/>
  <c r="L323" i="54" l="1"/>
  <c r="I321" i="54"/>
  <c r="M322" i="54" s="1"/>
  <c r="C322" i="54" l="1"/>
  <c r="E322" i="54" s="1"/>
  <c r="G322" i="54" s="1"/>
  <c r="F323" i="54"/>
  <c r="D323" i="54"/>
  <c r="L324" i="54" l="1"/>
  <c r="I322" i="54"/>
  <c r="M323" i="54" s="1"/>
  <c r="C323" i="54" l="1"/>
  <c r="E323" i="54" s="1"/>
  <c r="G323" i="54" s="1"/>
  <c r="F324" i="54"/>
  <c r="D324" i="54"/>
  <c r="L325" i="54" l="1"/>
  <c r="I323" i="54"/>
  <c r="M324" i="54" s="1"/>
  <c r="C324" i="54" l="1"/>
  <c r="E324" i="54" s="1"/>
  <c r="G324" i="54" s="1"/>
  <c r="F325" i="54"/>
  <c r="D325" i="54"/>
  <c r="L326" i="54" l="1"/>
  <c r="I324" i="54"/>
  <c r="M325" i="54" s="1"/>
  <c r="F326" i="54" l="1"/>
  <c r="D326" i="54"/>
  <c r="C325" i="54"/>
  <c r="E325" i="54" s="1"/>
  <c r="G325" i="54" s="1"/>
  <c r="L327" i="54" l="1"/>
  <c r="I325" i="54"/>
  <c r="M326" i="54" s="1"/>
  <c r="D327" i="54" l="1"/>
  <c r="F327" i="54"/>
  <c r="C326" i="54"/>
  <c r="E326" i="54" s="1"/>
  <c r="G326" i="54" s="1"/>
  <c r="L328" i="54" l="1"/>
  <c r="I326" i="54"/>
  <c r="M327" i="54" s="1"/>
  <c r="C327" i="54" l="1"/>
  <c r="E327" i="54" s="1"/>
  <c r="G327" i="54" s="1"/>
  <c r="F328" i="54"/>
  <c r="D328" i="54"/>
  <c r="L329" i="54" l="1"/>
  <c r="I327" i="54"/>
  <c r="M328" i="54" s="1"/>
  <c r="F329" i="54" l="1"/>
  <c r="D329" i="54"/>
  <c r="C328" i="54"/>
  <c r="E328" i="54" s="1"/>
  <c r="G328" i="54" s="1"/>
  <c r="L330" i="54" l="1"/>
  <c r="I328" i="54"/>
  <c r="M329" i="54" s="1"/>
  <c r="F330" i="54" l="1"/>
  <c r="D330" i="54"/>
  <c r="C329" i="54"/>
  <c r="E329" i="54" s="1"/>
  <c r="G329" i="54" s="1"/>
  <c r="L331" i="54" l="1"/>
  <c r="I329" i="54"/>
  <c r="M330" i="54" s="1"/>
  <c r="C330" i="54" l="1"/>
  <c r="E330" i="54" s="1"/>
  <c r="G330" i="54" s="1"/>
  <c r="F331" i="54"/>
  <c r="D331" i="54"/>
  <c r="L332" i="54" l="1"/>
  <c r="I330" i="54"/>
  <c r="M331" i="54" s="1"/>
  <c r="C331" i="54" l="1"/>
  <c r="E331" i="54" s="1"/>
  <c r="G331" i="54" s="1"/>
  <c r="F332" i="54"/>
  <c r="D332" i="54"/>
  <c r="L333" i="54" l="1"/>
  <c r="I331" i="54"/>
  <c r="M332" i="54" s="1"/>
  <c r="C332" i="54" l="1"/>
  <c r="E332" i="54" s="1"/>
  <c r="G332" i="54" s="1"/>
  <c r="D333" i="54"/>
  <c r="F333" i="54"/>
  <c r="L334" i="54" l="1"/>
  <c r="I332" i="54"/>
  <c r="M333" i="54" s="1"/>
  <c r="C333" i="54" l="1"/>
  <c r="E333" i="54" s="1"/>
  <c r="G333" i="54" s="1"/>
  <c r="F334" i="54"/>
  <c r="D334" i="54"/>
  <c r="L335" i="54" l="1"/>
  <c r="I333" i="54"/>
  <c r="M334" i="54" s="1"/>
  <c r="C334" i="54" l="1"/>
  <c r="E334" i="54" s="1"/>
  <c r="G334" i="54" s="1"/>
  <c r="D335" i="54"/>
  <c r="F335" i="54"/>
  <c r="L336" i="54" l="1"/>
  <c r="I334" i="54"/>
  <c r="M335" i="54" s="1"/>
  <c r="F336" i="54" l="1"/>
  <c r="D336" i="54"/>
  <c r="C335" i="54"/>
  <c r="E335" i="54" s="1"/>
  <c r="G335" i="54" s="1"/>
  <c r="L337" i="54" l="1"/>
  <c r="I335" i="54"/>
  <c r="M336" i="54" s="1"/>
  <c r="F337" i="54" l="1"/>
  <c r="D337" i="54"/>
  <c r="C336" i="54"/>
  <c r="E336" i="54" s="1"/>
  <c r="G336" i="54" s="1"/>
  <c r="L338" i="54" l="1"/>
  <c r="I336" i="54"/>
  <c r="M337" i="54" s="1"/>
  <c r="D338" i="54" l="1"/>
  <c r="F338" i="54"/>
  <c r="C337" i="54"/>
  <c r="E337" i="54" s="1"/>
  <c r="G337" i="54" s="1"/>
  <c r="L339" i="54" l="1"/>
  <c r="I337" i="54"/>
  <c r="M338" i="54" s="1"/>
  <c r="C338" i="54" l="1"/>
  <c r="E338" i="54" s="1"/>
  <c r="G338" i="54" s="1"/>
  <c r="F339" i="54"/>
  <c r="D339" i="54"/>
  <c r="L340" i="54" l="1"/>
  <c r="I338" i="54"/>
  <c r="M339" i="54" s="1"/>
  <c r="C339" i="54" l="1"/>
  <c r="E339" i="54" s="1"/>
  <c r="G339" i="54" s="1"/>
  <c r="D340" i="54"/>
  <c r="F340" i="54"/>
  <c r="L341" i="54" l="1"/>
  <c r="I339" i="54"/>
  <c r="M340" i="54" s="1"/>
  <c r="C340" i="54" l="1"/>
  <c r="E340" i="54" s="1"/>
  <c r="G340" i="54" s="1"/>
  <c r="F341" i="54"/>
  <c r="D341" i="54"/>
  <c r="L342" i="54" l="1"/>
  <c r="I340" i="54"/>
  <c r="M341" i="54" s="1"/>
  <c r="C341" i="54" l="1"/>
  <c r="E341" i="54" s="1"/>
  <c r="G341" i="54" s="1"/>
  <c r="D342" i="54"/>
  <c r="F342" i="54"/>
  <c r="L343" i="54" l="1"/>
  <c r="I341" i="54"/>
  <c r="M342" i="54" s="1"/>
  <c r="C342" i="54" l="1"/>
  <c r="E342" i="54" s="1"/>
  <c r="G342" i="54" s="1"/>
  <c r="F343" i="54"/>
  <c r="D343" i="54"/>
  <c r="L344" i="54" l="1"/>
  <c r="I342" i="54"/>
  <c r="M343" i="54" s="1"/>
  <c r="C343" i="54" l="1"/>
  <c r="E343" i="54" s="1"/>
  <c r="G343" i="54" s="1"/>
  <c r="D344" i="54"/>
  <c r="F344" i="54"/>
  <c r="L345" i="54" l="1"/>
  <c r="I343" i="54"/>
  <c r="M344" i="54" s="1"/>
  <c r="C344" i="54" l="1"/>
  <c r="E344" i="54" s="1"/>
  <c r="G344" i="54" s="1"/>
  <c r="F345" i="54"/>
  <c r="D345" i="54"/>
  <c r="L346" i="54" l="1"/>
  <c r="I344" i="54"/>
  <c r="M345" i="54" s="1"/>
  <c r="C345" i="54" l="1"/>
  <c r="E345" i="54" s="1"/>
  <c r="G345" i="54" s="1"/>
  <c r="D346" i="54"/>
  <c r="F346" i="54"/>
  <c r="L347" i="54" l="1"/>
  <c r="I345" i="54"/>
  <c r="M346" i="54" s="1"/>
  <c r="C346" i="54" l="1"/>
  <c r="E346" i="54" s="1"/>
  <c r="G346" i="54" s="1"/>
  <c r="F347" i="54"/>
  <c r="D347" i="54"/>
  <c r="L348" i="54" l="1"/>
  <c r="I346" i="54"/>
  <c r="M347" i="54" s="1"/>
  <c r="C347" i="54" l="1"/>
  <c r="E347" i="54" s="1"/>
  <c r="G347" i="54" s="1"/>
  <c r="D348" i="54"/>
  <c r="F348" i="54"/>
  <c r="L349" i="54" l="1"/>
  <c r="I347" i="54"/>
  <c r="M348" i="54" s="1"/>
  <c r="C348" i="54" l="1"/>
  <c r="E348" i="54" s="1"/>
  <c r="G348" i="54" s="1"/>
  <c r="F349" i="54"/>
  <c r="D349" i="54"/>
  <c r="L350" i="54" l="1"/>
  <c r="I348" i="54"/>
  <c r="M349" i="54" s="1"/>
  <c r="C349" i="54" l="1"/>
  <c r="E349" i="54" s="1"/>
  <c r="G349" i="54" s="1"/>
  <c r="D350" i="54"/>
  <c r="F350" i="54"/>
  <c r="L351" i="54" l="1"/>
  <c r="I349" i="54"/>
  <c r="M350" i="54" s="1"/>
  <c r="C350" i="54" l="1"/>
  <c r="E350" i="54" s="1"/>
  <c r="G350" i="54" s="1"/>
  <c r="F351" i="54"/>
  <c r="D351" i="54"/>
  <c r="L352" i="54" l="1"/>
  <c r="I350" i="54"/>
  <c r="M351" i="54" s="1"/>
  <c r="C351" i="54" l="1"/>
  <c r="E351" i="54" s="1"/>
  <c r="G351" i="54" s="1"/>
  <c r="D352" i="54"/>
  <c r="F352" i="54"/>
  <c r="L353" i="54" l="1"/>
  <c r="I351" i="54"/>
  <c r="M352" i="54" s="1"/>
  <c r="C352" i="54" l="1"/>
  <c r="E352" i="54" s="1"/>
  <c r="G352" i="54" s="1"/>
  <c r="F353" i="54"/>
  <c r="D353" i="54"/>
  <c r="L354" i="54" l="1"/>
  <c r="I352" i="54"/>
  <c r="M353" i="54" s="1"/>
  <c r="C353" i="54" l="1"/>
  <c r="E353" i="54" s="1"/>
  <c r="G353" i="54" s="1"/>
  <c r="D354" i="54"/>
  <c r="F354" i="54"/>
  <c r="L355" i="54" l="1"/>
  <c r="I353" i="54"/>
  <c r="M354" i="54" s="1"/>
  <c r="C354" i="54" l="1"/>
  <c r="E354" i="54" s="1"/>
  <c r="G354" i="54" s="1"/>
  <c r="F355" i="54"/>
  <c r="D355" i="54"/>
  <c r="L356" i="54" l="1"/>
  <c r="I354" i="54"/>
  <c r="M355" i="54" s="1"/>
  <c r="C355" i="54" l="1"/>
  <c r="E355" i="54" s="1"/>
  <c r="G355" i="54" s="1"/>
  <c r="D356" i="54"/>
  <c r="F356" i="54"/>
  <c r="L357" i="54" l="1"/>
  <c r="I355" i="54"/>
  <c r="M356" i="54" s="1"/>
  <c r="C356" i="54" l="1"/>
  <c r="E356" i="54" s="1"/>
  <c r="G356" i="54" s="1"/>
  <c r="F357" i="54"/>
  <c r="D357" i="54"/>
  <c r="L358" i="54" l="1"/>
  <c r="I356" i="54"/>
  <c r="M357" i="54" s="1"/>
  <c r="C357" i="54" l="1"/>
  <c r="E357" i="54" s="1"/>
  <c r="G357" i="54" s="1"/>
  <c r="D358" i="54"/>
  <c r="F358" i="54"/>
  <c r="L359" i="54" l="1"/>
  <c r="I357" i="54"/>
  <c r="M358" i="54" s="1"/>
  <c r="C358" i="54" l="1"/>
  <c r="E358" i="54" s="1"/>
  <c r="G358" i="54" s="1"/>
  <c r="F359" i="54"/>
  <c r="D359" i="54"/>
  <c r="L360" i="54" l="1"/>
  <c r="I358" i="54"/>
  <c r="M359" i="54" s="1"/>
  <c r="C359" i="54" l="1"/>
  <c r="E359" i="54" s="1"/>
  <c r="G359" i="54" s="1"/>
  <c r="F360" i="54"/>
  <c r="D360" i="54"/>
  <c r="L361" i="54" l="1"/>
  <c r="I359" i="54"/>
  <c r="M360" i="54" s="1"/>
  <c r="C360" i="54" l="1"/>
  <c r="E360" i="54" s="1"/>
  <c r="G360" i="54" s="1"/>
  <c r="F361" i="54"/>
  <c r="D361" i="54"/>
  <c r="L362" i="54" l="1"/>
  <c r="I360" i="54"/>
  <c r="M361" i="54" s="1"/>
  <c r="C361" i="54" l="1"/>
  <c r="E361" i="54" s="1"/>
  <c r="G361" i="54" s="1"/>
  <c r="F362" i="54"/>
  <c r="D362" i="54"/>
  <c r="L363" i="54" l="1"/>
  <c r="I361" i="54"/>
  <c r="M362" i="54" s="1"/>
  <c r="C362" i="54" l="1"/>
  <c r="E362" i="54" s="1"/>
  <c r="G362" i="54" s="1"/>
  <c r="D363" i="54"/>
  <c r="F363" i="54"/>
  <c r="L364" i="54" l="1"/>
  <c r="I362" i="54"/>
  <c r="M363" i="54" s="1"/>
  <c r="C363" i="54" l="1"/>
  <c r="E363" i="54" s="1"/>
  <c r="G363" i="54" s="1"/>
  <c r="D364" i="54"/>
  <c r="F364" i="54"/>
  <c r="L365" i="54" l="1"/>
  <c r="I363" i="54"/>
  <c r="M364" i="54" s="1"/>
  <c r="C364" i="54" l="1"/>
  <c r="E364" i="54" s="1"/>
  <c r="G364" i="54" s="1"/>
  <c r="D365" i="54"/>
  <c r="F365" i="54"/>
  <c r="L366" i="54" l="1"/>
  <c r="I364" i="54"/>
  <c r="M365" i="54" s="1"/>
  <c r="C365" i="54" l="1"/>
  <c r="E365" i="54" s="1"/>
  <c r="G365" i="54" s="1"/>
  <c r="D366" i="54"/>
  <c r="F366" i="54"/>
  <c r="L367" i="54" l="1"/>
  <c r="I365" i="54"/>
  <c r="M366" i="54" s="1"/>
  <c r="C366" i="54" l="1"/>
  <c r="E366" i="54" s="1"/>
  <c r="G366" i="54" s="1"/>
  <c r="D367" i="54"/>
  <c r="F367" i="54"/>
  <c r="L368" i="54" l="1"/>
  <c r="I366" i="54"/>
  <c r="M367" i="54" s="1"/>
  <c r="C367" i="54" l="1"/>
  <c r="E367" i="54" s="1"/>
  <c r="G367" i="54" s="1"/>
  <c r="D368" i="54"/>
  <c r="F368" i="54"/>
  <c r="L369" i="54" l="1"/>
  <c r="I367" i="54"/>
  <c r="M368" i="54" s="1"/>
  <c r="D369" i="54" l="1"/>
  <c r="F369" i="54"/>
  <c r="C368" i="54"/>
  <c r="E368" i="54" s="1"/>
  <c r="G368" i="54" s="1"/>
  <c r="L370" i="54" l="1"/>
  <c r="I368" i="54"/>
  <c r="M369" i="54" s="1"/>
  <c r="C369" i="54" l="1"/>
  <c r="E369" i="54" s="1"/>
  <c r="G369" i="54" s="1"/>
  <c r="D370" i="54"/>
  <c r="F370" i="54"/>
  <c r="L371" i="54" l="1"/>
  <c r="I369" i="54"/>
  <c r="M370" i="54" s="1"/>
  <c r="D371" i="54" l="1"/>
  <c r="F371" i="54"/>
  <c r="C370" i="54"/>
  <c r="E370" i="54" s="1"/>
  <c r="G370" i="54" s="1"/>
  <c r="L372" i="54" l="1"/>
  <c r="I370" i="54"/>
  <c r="M371" i="54" s="1"/>
  <c r="C371" i="54" l="1"/>
  <c r="E371" i="54" s="1"/>
  <c r="G371" i="54" s="1"/>
  <c r="D372" i="54"/>
  <c r="F372" i="54"/>
  <c r="L373" i="54" l="1"/>
  <c r="I371" i="54"/>
  <c r="M372" i="54" s="1"/>
  <c r="D373" i="54" l="1"/>
  <c r="F373" i="54"/>
  <c r="C372" i="54"/>
  <c r="E372" i="54" s="1"/>
  <c r="G372" i="54" s="1"/>
  <c r="L374" i="54" l="1"/>
  <c r="I372" i="54"/>
  <c r="M373" i="54" s="1"/>
  <c r="D374" i="54" l="1"/>
  <c r="F374" i="54"/>
  <c r="C373" i="54"/>
  <c r="E373" i="54" s="1"/>
  <c r="G373" i="54" s="1"/>
  <c r="L375" i="54" l="1"/>
  <c r="I373" i="54"/>
  <c r="M374" i="54" s="1"/>
  <c r="D375" i="54" l="1"/>
  <c r="F375" i="54"/>
  <c r="C374" i="54"/>
  <c r="E374" i="54" s="1"/>
  <c r="G374" i="54" s="1"/>
  <c r="L376" i="54" l="1"/>
  <c r="I374" i="54"/>
  <c r="M375" i="54" s="1"/>
  <c r="D376" i="54" l="1"/>
  <c r="F376" i="54"/>
  <c r="C375" i="54"/>
  <c r="E375" i="54" s="1"/>
  <c r="G375" i="54" s="1"/>
  <c r="L377" i="54" l="1"/>
  <c r="I375" i="54"/>
  <c r="M376" i="54" s="1"/>
  <c r="D377" i="54" l="1"/>
  <c r="F377" i="54"/>
  <c r="C376" i="54"/>
  <c r="E376" i="54" s="1"/>
  <c r="G376" i="54" s="1"/>
  <c r="L378" i="54" l="1"/>
  <c r="I376" i="54"/>
  <c r="M377" i="54" s="1"/>
  <c r="D378" i="54" l="1"/>
  <c r="F378" i="54"/>
  <c r="C377" i="54"/>
  <c r="E377" i="54" s="1"/>
  <c r="G377" i="54" s="1"/>
  <c r="I377" i="54" l="1"/>
  <c r="M378" i="54" s="1"/>
  <c r="L380" i="54" l="1"/>
  <c r="C378" i="54"/>
  <c r="E378" i="54" s="1"/>
  <c r="G378" i="54" s="1"/>
  <c r="F380" i="54" l="1"/>
  <c r="D380" i="54"/>
  <c r="I378" i="54"/>
  <c r="M379" i="54" s="1"/>
  <c r="C379" i="54" l="1"/>
  <c r="E379" i="54" s="1"/>
  <c r="G379" i="54" s="1"/>
  <c r="L381" i="54"/>
  <c r="I379" i="54"/>
  <c r="M380" i="54" s="1"/>
  <c r="AI21" i="54"/>
  <c r="AF20" i="54"/>
  <c r="AI20" i="54"/>
  <c r="AF46" i="54"/>
  <c r="AI46" i="54"/>
  <c r="AI47" i="54"/>
  <c r="AF48" i="54"/>
  <c r="AF47" i="54"/>
  <c r="AI49" i="54"/>
  <c r="AI48" i="54"/>
  <c r="AF49" i="54"/>
  <c r="C380" i="54" l="1"/>
  <c r="E380" i="54" s="1"/>
  <c r="G380" i="54" s="1"/>
  <c r="F381" i="54"/>
  <c r="D381" i="54"/>
  <c r="AL21" i="54"/>
  <c r="AL20" i="54"/>
  <c r="L382" i="54" l="1"/>
  <c r="I380" i="54"/>
  <c r="M381" i="54" s="1"/>
  <c r="AR48" i="54"/>
  <c r="AR49" i="54" s="1"/>
  <c r="N379" i="54"/>
  <c r="S379" i="54"/>
  <c r="N380" i="54"/>
  <c r="S380" i="54"/>
  <c r="N381" i="54"/>
  <c r="S381" i="54"/>
  <c r="N382" i="54"/>
  <c r="S382" i="54"/>
  <c r="N383" i="54"/>
  <c r="S383" i="54"/>
  <c r="N384" i="54"/>
  <c r="S384" i="54"/>
  <c r="N385" i="54"/>
  <c r="S385" i="54"/>
  <c r="N386" i="54"/>
  <c r="S386" i="54"/>
  <c r="N387" i="54"/>
  <c r="S387" i="54"/>
  <c r="N388" i="54"/>
  <c r="S388" i="54"/>
  <c r="N389" i="54"/>
  <c r="S389" i="54"/>
  <c r="N390" i="54"/>
  <c r="S390" i="54"/>
  <c r="N391" i="54"/>
  <c r="S391" i="54"/>
  <c r="N392" i="54"/>
  <c r="S392" i="54"/>
  <c r="N393" i="54"/>
  <c r="S393" i="54"/>
  <c r="N394" i="54"/>
  <c r="S394" i="54"/>
  <c r="N395" i="54"/>
  <c r="S395" i="54"/>
  <c r="N396" i="54"/>
  <c r="S396" i="54"/>
  <c r="N397" i="54"/>
  <c r="S397" i="54"/>
  <c r="N398" i="54"/>
  <c r="S398" i="54"/>
  <c r="N399" i="54"/>
  <c r="S399" i="54"/>
  <c r="N400" i="54"/>
  <c r="S400" i="54"/>
  <c r="N401" i="54"/>
  <c r="S401" i="54"/>
  <c r="N402" i="54"/>
  <c r="S402" i="54"/>
  <c r="N403" i="54"/>
  <c r="S403" i="54"/>
  <c r="N404" i="54"/>
  <c r="S404" i="54"/>
  <c r="N405" i="54"/>
  <c r="S405" i="54"/>
  <c r="N406" i="54"/>
  <c r="S406" i="54"/>
  <c r="N407" i="54"/>
  <c r="S407" i="54"/>
  <c r="N408" i="54"/>
  <c r="S408" i="54"/>
  <c r="N409" i="54"/>
  <c r="S409" i="54"/>
  <c r="N410" i="54"/>
  <c r="S410" i="54"/>
  <c r="N411" i="54"/>
  <c r="S411" i="54"/>
  <c r="N412" i="54"/>
  <c r="S412" i="54"/>
  <c r="N413" i="54"/>
  <c r="S413" i="54"/>
  <c r="N414" i="54"/>
  <c r="S414" i="54"/>
  <c r="N415" i="54"/>
  <c r="S415" i="54"/>
  <c r="N416" i="54"/>
  <c r="S416" i="54"/>
  <c r="N417" i="54"/>
  <c r="S417" i="54"/>
  <c r="N418" i="54"/>
  <c r="S418" i="54"/>
  <c r="N419" i="54"/>
  <c r="S419" i="54"/>
  <c r="N420" i="54"/>
  <c r="S420" i="54"/>
  <c r="N421" i="54"/>
  <c r="Q379" i="54"/>
  <c r="T380" i="54"/>
  <c r="Q381" i="54"/>
  <c r="T382" i="54"/>
  <c r="Q383" i="54"/>
  <c r="T384" i="54"/>
  <c r="Q385" i="54"/>
  <c r="T386" i="54"/>
  <c r="Q387" i="54"/>
  <c r="T388" i="54"/>
  <c r="Q389" i="54"/>
  <c r="T390" i="54"/>
  <c r="Q391" i="54"/>
  <c r="T392" i="54"/>
  <c r="Q393" i="54"/>
  <c r="T394" i="54"/>
  <c r="Q395" i="54"/>
  <c r="T396" i="54"/>
  <c r="Q397" i="54"/>
  <c r="T398" i="54"/>
  <c r="Q399" i="54"/>
  <c r="T400" i="54"/>
  <c r="Q401" i="54"/>
  <c r="T402" i="54"/>
  <c r="Q403" i="54"/>
  <c r="T404" i="54"/>
  <c r="Q405" i="54"/>
  <c r="T406" i="54"/>
  <c r="Q407" i="54"/>
  <c r="T408" i="54"/>
  <c r="Q409" i="54"/>
  <c r="T410" i="54"/>
  <c r="Q411" i="54"/>
  <c r="T412" i="54"/>
  <c r="Q413" i="54"/>
  <c r="Q382" i="54"/>
  <c r="T383" i="54"/>
  <c r="Q390" i="54"/>
  <c r="T391" i="54"/>
  <c r="Q398" i="54"/>
  <c r="T399" i="54"/>
  <c r="Q404" i="54"/>
  <c r="T407" i="54"/>
  <c r="Q412" i="54"/>
  <c r="Q380" i="54"/>
  <c r="T381" i="54"/>
  <c r="T401" i="54"/>
  <c r="Q406" i="54"/>
  <c r="U382" i="54"/>
  <c r="R383" i="54" s="1"/>
  <c r="Q384" i="54"/>
  <c r="T385" i="54"/>
  <c r="Q392" i="54"/>
  <c r="T393" i="54"/>
  <c r="Q402" i="54"/>
  <c r="T405" i="54"/>
  <c r="Q410" i="54"/>
  <c r="T413" i="54"/>
  <c r="Q414" i="54"/>
  <c r="T415" i="54"/>
  <c r="Q416" i="54"/>
  <c r="T417" i="54"/>
  <c r="Q418" i="54"/>
  <c r="T419" i="54"/>
  <c r="Q420" i="54"/>
  <c r="S421" i="54"/>
  <c r="N422" i="54"/>
  <c r="S422" i="54"/>
  <c r="N423" i="54"/>
  <c r="S423" i="54"/>
  <c r="N424" i="54"/>
  <c r="S424" i="54"/>
  <c r="N425" i="54"/>
  <c r="S425" i="54"/>
  <c r="N426" i="54"/>
  <c r="S426" i="54"/>
  <c r="N427" i="54"/>
  <c r="S427" i="54"/>
  <c r="N428" i="54"/>
  <c r="S428" i="54"/>
  <c r="N429" i="54"/>
  <c r="S429" i="54"/>
  <c r="N430" i="54"/>
  <c r="S430" i="54"/>
  <c r="N431" i="54"/>
  <c r="S431" i="54"/>
  <c r="N432" i="54"/>
  <c r="S432" i="54"/>
  <c r="N433" i="54"/>
  <c r="S433" i="54"/>
  <c r="N434" i="54"/>
  <c r="S434" i="54"/>
  <c r="N435" i="54"/>
  <c r="S435" i="54"/>
  <c r="N436" i="54"/>
  <c r="S436" i="54"/>
  <c r="N437" i="54"/>
  <c r="S437" i="54"/>
  <c r="N438" i="54"/>
  <c r="S438" i="54"/>
  <c r="N439" i="54"/>
  <c r="S439" i="54"/>
  <c r="N440" i="54"/>
  <c r="S440" i="54"/>
  <c r="U386" i="54"/>
  <c r="R387" i="54" s="1"/>
  <c r="Q388" i="54"/>
  <c r="T389" i="54"/>
  <c r="Q396" i="54"/>
  <c r="T379" i="54"/>
  <c r="U384" i="54"/>
  <c r="R385" i="54" s="1"/>
  <c r="Q386" i="54"/>
  <c r="T387" i="54"/>
  <c r="Q394" i="54"/>
  <c r="T395" i="54"/>
  <c r="Q400" i="54"/>
  <c r="T403" i="54"/>
  <c r="Q408" i="54"/>
  <c r="T411" i="54"/>
  <c r="T421" i="54"/>
  <c r="T422" i="54"/>
  <c r="T423" i="54"/>
  <c r="T424" i="54"/>
  <c r="T425" i="54"/>
  <c r="T426" i="54"/>
  <c r="T427" i="54"/>
  <c r="T428" i="54"/>
  <c r="T429" i="54"/>
  <c r="T430" i="54"/>
  <c r="T431" i="54"/>
  <c r="T432" i="54"/>
  <c r="T433" i="54"/>
  <c r="T434" i="54"/>
  <c r="T435" i="54"/>
  <c r="T436" i="54"/>
  <c r="T437" i="54"/>
  <c r="T438" i="54"/>
  <c r="T439" i="54"/>
  <c r="T440" i="54"/>
  <c r="T397" i="54"/>
  <c r="T409" i="54"/>
  <c r="T418" i="54"/>
  <c r="Q421" i="54"/>
  <c r="Q425" i="54"/>
  <c r="Q429" i="54"/>
  <c r="Q433" i="54"/>
  <c r="Q437" i="54"/>
  <c r="Q428" i="54"/>
  <c r="T416" i="54"/>
  <c r="Q419" i="54"/>
  <c r="Q422" i="54"/>
  <c r="Q426" i="54"/>
  <c r="Q430" i="54"/>
  <c r="Q434" i="54"/>
  <c r="Q438" i="54"/>
  <c r="T420" i="54"/>
  <c r="Q424" i="54"/>
  <c r="Q432" i="54"/>
  <c r="Q436" i="54"/>
  <c r="T414" i="54"/>
  <c r="Q417" i="54"/>
  <c r="Q423" i="54"/>
  <c r="Q427" i="54"/>
  <c r="Q431" i="54"/>
  <c r="Q435" i="54"/>
  <c r="Q439" i="54"/>
  <c r="Q415" i="54"/>
  <c r="Q440" i="54"/>
  <c r="U385" i="54"/>
  <c r="R386" i="54" s="1"/>
  <c r="U383" i="54"/>
  <c r="R384" i="54" s="1"/>
  <c r="U379" i="54"/>
  <c r="R380" i="54" s="1"/>
  <c r="U380" i="54"/>
  <c r="R381" i="54" s="1"/>
  <c r="U387" i="54"/>
  <c r="R388" i="54" s="1"/>
  <c r="U381" i="54"/>
  <c r="R382" i="54" s="1"/>
  <c r="U388" i="54"/>
  <c r="R389" i="54" s="1"/>
  <c r="U389" i="54"/>
  <c r="R390" i="54" s="1"/>
  <c r="U390" i="54"/>
  <c r="R391" i="54" s="1"/>
  <c r="U391" i="54"/>
  <c r="R392" i="54" s="1"/>
  <c r="U392" i="54"/>
  <c r="R393" i="54" s="1"/>
  <c r="U393" i="54"/>
  <c r="R394" i="54" s="1"/>
  <c r="U394" i="54"/>
  <c r="R395" i="54" s="1"/>
  <c r="U395" i="54"/>
  <c r="R396" i="54" s="1"/>
  <c r="U396" i="54"/>
  <c r="R397" i="54" s="1"/>
  <c r="U397" i="54"/>
  <c r="R398" i="54" s="1"/>
  <c r="U398" i="54"/>
  <c r="R399" i="54" s="1"/>
  <c r="U399" i="54"/>
  <c r="R400" i="54" s="1"/>
  <c r="U400" i="54"/>
  <c r="R401" i="54" s="1"/>
  <c r="U401" i="54"/>
  <c r="R402" i="54" s="1"/>
  <c r="U402" i="54"/>
  <c r="R403" i="54" s="1"/>
  <c r="U403" i="54"/>
  <c r="R404" i="54" s="1"/>
  <c r="U404" i="54"/>
  <c r="R405" i="54" s="1"/>
  <c r="U405" i="54"/>
  <c r="R406" i="54" s="1"/>
  <c r="U406" i="54"/>
  <c r="R407" i="54" s="1"/>
  <c r="U407" i="54"/>
  <c r="R408" i="54" s="1"/>
  <c r="U408" i="54"/>
  <c r="R409" i="54" s="1"/>
  <c r="U409" i="54"/>
  <c r="R410" i="54" s="1"/>
  <c r="U410" i="54"/>
  <c r="R411" i="54" s="1"/>
  <c r="U411" i="54"/>
  <c r="R412" i="54" s="1"/>
  <c r="U412" i="54"/>
  <c r="R413" i="54" s="1"/>
  <c r="U413" i="54"/>
  <c r="R414" i="54" s="1"/>
  <c r="U414" i="54"/>
  <c r="R415" i="54" s="1"/>
  <c r="U415" i="54"/>
  <c r="R416" i="54" s="1"/>
  <c r="U416" i="54"/>
  <c r="R417" i="54" s="1"/>
  <c r="U417" i="54"/>
  <c r="R418" i="54" s="1"/>
  <c r="U418" i="54"/>
  <c r="R419" i="54" s="1"/>
  <c r="U419" i="54"/>
  <c r="R420" i="54" s="1"/>
  <c r="U420" i="54"/>
  <c r="R421" i="54" s="1"/>
  <c r="U421" i="54"/>
  <c r="R422" i="54" s="1"/>
  <c r="U422" i="54"/>
  <c r="R423" i="54" s="1"/>
  <c r="U423" i="54"/>
  <c r="R424" i="54" s="1"/>
  <c r="U424" i="54"/>
  <c r="R425" i="54" s="1"/>
  <c r="U425" i="54"/>
  <c r="R426" i="54" s="1"/>
  <c r="U426" i="54"/>
  <c r="R427" i="54" s="1"/>
  <c r="U427" i="54"/>
  <c r="R428" i="54" s="1"/>
  <c r="U428" i="54"/>
  <c r="R429" i="54" s="1"/>
  <c r="U429" i="54"/>
  <c r="R430" i="54" s="1"/>
  <c r="U430" i="54"/>
  <c r="R431" i="54" s="1"/>
  <c r="U431" i="54"/>
  <c r="R432" i="54" s="1"/>
  <c r="U432" i="54"/>
  <c r="R433" i="54" s="1"/>
  <c r="U433" i="54"/>
  <c r="R434" i="54" s="1"/>
  <c r="U434" i="54"/>
  <c r="R435" i="54" s="1"/>
  <c r="U435" i="54"/>
  <c r="R436" i="54" s="1"/>
  <c r="U436" i="54"/>
  <c r="R437" i="54" s="1"/>
  <c r="U437" i="54"/>
  <c r="R438" i="54" s="1"/>
  <c r="U438" i="54"/>
  <c r="R439" i="54" s="1"/>
  <c r="U439" i="54"/>
  <c r="R440" i="54" s="1"/>
  <c r="U440" i="54"/>
  <c r="Q20" i="54"/>
  <c r="U20" i="54" s="1"/>
  <c r="R21" i="54" s="1"/>
  <c r="O21" i="54" s="1"/>
  <c r="S14" i="54"/>
  <c r="T14" i="54" s="1"/>
  <c r="Q70" i="54"/>
  <c r="S70" i="54"/>
  <c r="N70" i="54"/>
  <c r="T70" i="54"/>
  <c r="T71" i="54"/>
  <c r="Q71" i="54"/>
  <c r="S71" i="54"/>
  <c r="N71" i="54"/>
  <c r="N72" i="54"/>
  <c r="T72" i="54"/>
  <c r="S72" i="54"/>
  <c r="Q72" i="54"/>
  <c r="Q73" i="54"/>
  <c r="N73" i="54"/>
  <c r="U73" i="54" s="1"/>
  <c r="R74" i="54" s="1"/>
  <c r="S73" i="54"/>
  <c r="T73" i="54"/>
  <c r="T74" i="54"/>
  <c r="S74" i="54"/>
  <c r="N74" i="54"/>
  <c r="Q74" i="54"/>
  <c r="S75" i="54"/>
  <c r="T75" i="54"/>
  <c r="N75" i="54"/>
  <c r="U74" i="54"/>
  <c r="R75" i="54" s="1"/>
  <c r="Q75" i="54"/>
  <c r="U75" i="54"/>
  <c r="R76" i="54" s="1"/>
  <c r="Q76" i="54"/>
  <c r="T76" i="54"/>
  <c r="S76" i="54"/>
  <c r="N76" i="54"/>
  <c r="Q77" i="54"/>
  <c r="N77" i="54"/>
  <c r="U76" i="54"/>
  <c r="R77" i="54" s="1"/>
  <c r="S77" i="54"/>
  <c r="T77" i="54"/>
  <c r="T78" i="54"/>
  <c r="S78" i="54"/>
  <c r="N78" i="54"/>
  <c r="Q78" i="54"/>
  <c r="U77" i="54"/>
  <c r="R78" i="54" s="1"/>
  <c r="U78" i="54"/>
  <c r="R79" i="54" s="1"/>
  <c r="S79" i="54"/>
  <c r="N79" i="54"/>
  <c r="Q79" i="54"/>
  <c r="T79" i="54"/>
  <c r="U79" i="54"/>
  <c r="R80" i="54" s="1"/>
  <c r="N80" i="54"/>
  <c r="Q80" i="54"/>
  <c r="T80" i="54"/>
  <c r="S80" i="54"/>
  <c r="Q81" i="54"/>
  <c r="N81" i="54"/>
  <c r="S81" i="54"/>
  <c r="T81" i="54"/>
  <c r="U80" i="54"/>
  <c r="R81" i="54" s="1"/>
  <c r="T82" i="54"/>
  <c r="S82" i="54"/>
  <c r="U81" i="54"/>
  <c r="R82" i="54" s="1"/>
  <c r="N82" i="54"/>
  <c r="Q82" i="54"/>
  <c r="N83" i="54"/>
  <c r="S83" i="54"/>
  <c r="U82" i="54"/>
  <c r="R83" i="54" s="1"/>
  <c r="T83" i="54"/>
  <c r="Q83" i="54"/>
  <c r="U83" i="54"/>
  <c r="R84" i="54" s="1"/>
  <c r="Q84" i="54"/>
  <c r="T84" i="54"/>
  <c r="S84" i="54"/>
  <c r="N84" i="54"/>
  <c r="Q85" i="54"/>
  <c r="N85" i="54"/>
  <c r="U84" i="54"/>
  <c r="R85" i="54" s="1"/>
  <c r="S85" i="54"/>
  <c r="T85" i="54"/>
  <c r="U85" i="54"/>
  <c r="R86" i="54" s="1"/>
  <c r="N86" i="54"/>
  <c r="Q86" i="54"/>
  <c r="T86" i="54"/>
  <c r="S86" i="54"/>
  <c r="T87" i="54"/>
  <c r="Q87" i="54"/>
  <c r="U86" i="54"/>
  <c r="R87" i="54" s="1"/>
  <c r="S87" i="54"/>
  <c r="N87" i="54"/>
  <c r="T88" i="54"/>
  <c r="U87" i="54"/>
  <c r="R88" i="54" s="1"/>
  <c r="Q88" i="54"/>
  <c r="S88" i="54"/>
  <c r="N88" i="54"/>
  <c r="N89" i="54"/>
  <c r="S89" i="54"/>
  <c r="T89" i="54"/>
  <c r="U88" i="54"/>
  <c r="R89" i="54" s="1"/>
  <c r="Q89" i="54"/>
  <c r="T90" i="54"/>
  <c r="S90" i="54"/>
  <c r="N90" i="54"/>
  <c r="Q90" i="54"/>
  <c r="U89" i="54"/>
  <c r="R90" i="54" s="1"/>
  <c r="U90" i="54"/>
  <c r="R91" i="54" s="1"/>
  <c r="T91" i="54"/>
  <c r="Q91" i="54"/>
  <c r="S91" i="54"/>
  <c r="N91" i="54"/>
  <c r="U91" i="54"/>
  <c r="R92" i="54" s="1"/>
  <c r="T92" i="54"/>
  <c r="S92" i="54"/>
  <c r="N92" i="54"/>
  <c r="Q92" i="54"/>
  <c r="Q93" i="54"/>
  <c r="T93" i="54"/>
  <c r="N93" i="54"/>
  <c r="U92" i="54"/>
  <c r="R93" i="54" s="1"/>
  <c r="S93" i="54"/>
  <c r="N94" i="54"/>
  <c r="Q94" i="54"/>
  <c r="T94" i="54"/>
  <c r="U93" i="54"/>
  <c r="R94" i="54" s="1"/>
  <c r="S94" i="54"/>
  <c r="N95" i="54"/>
  <c r="T95" i="54"/>
  <c r="Q95" i="54"/>
  <c r="U94" i="54"/>
  <c r="R95" i="54" s="1"/>
  <c r="S95" i="54"/>
  <c r="U95" i="54"/>
  <c r="R96" i="54" s="1"/>
  <c r="T96" i="54"/>
  <c r="S96" i="54"/>
  <c r="Q96" i="54"/>
  <c r="N96" i="54"/>
  <c r="S97" i="54"/>
  <c r="T97" i="54"/>
  <c r="U96" i="54"/>
  <c r="R97" i="54" s="1"/>
  <c r="Q97" i="54"/>
  <c r="N97" i="54"/>
  <c r="T98" i="54"/>
  <c r="U97" i="54"/>
  <c r="R98" i="54" s="1"/>
  <c r="S98" i="54"/>
  <c r="Q98" i="54"/>
  <c r="N98" i="54"/>
  <c r="S99" i="54"/>
  <c r="T99" i="54"/>
  <c r="N99" i="54"/>
  <c r="U98" i="54"/>
  <c r="R99" i="54" s="1"/>
  <c r="Q99" i="54"/>
  <c r="U99" i="54"/>
  <c r="R100" i="54" s="1"/>
  <c r="Q100" i="54"/>
  <c r="T100" i="54"/>
  <c r="S100" i="54"/>
  <c r="N100" i="54"/>
  <c r="S101" i="54"/>
  <c r="T101" i="54"/>
  <c r="U100" i="54"/>
  <c r="R101" i="54" s="1"/>
  <c r="N101" i="54"/>
  <c r="Q101" i="54"/>
  <c r="T102" i="54"/>
  <c r="S102" i="54"/>
  <c r="N102" i="54"/>
  <c r="Q102" i="54"/>
  <c r="U101" i="54"/>
  <c r="R102" i="54" s="1"/>
  <c r="N103" i="54"/>
  <c r="T103" i="54"/>
  <c r="Q103" i="54"/>
  <c r="S103" i="54"/>
  <c r="U102" i="54"/>
  <c r="R103" i="54" s="1"/>
  <c r="N104" i="54"/>
  <c r="Q104" i="54"/>
  <c r="U103" i="54"/>
  <c r="R104" i="54" s="1"/>
  <c r="T104" i="54"/>
  <c r="S104" i="54"/>
  <c r="Q105" i="54"/>
  <c r="N105" i="54"/>
  <c r="U104" i="54"/>
  <c r="R105" i="54" s="1"/>
  <c r="S105" i="54"/>
  <c r="T105" i="54"/>
  <c r="U105" i="54"/>
  <c r="R106" i="54" s="1"/>
  <c r="N106" i="54"/>
  <c r="Q106" i="54"/>
  <c r="S106" i="54"/>
  <c r="T106" i="54"/>
  <c r="T107" i="54"/>
  <c r="Q107" i="54"/>
  <c r="U106" i="54"/>
  <c r="R107" i="54" s="1"/>
  <c r="S107" i="54"/>
  <c r="N107" i="54"/>
  <c r="N108" i="54"/>
  <c r="U107" i="54"/>
  <c r="R108" i="54" s="1"/>
  <c r="S108" i="54"/>
  <c r="Q108" i="54"/>
  <c r="T108" i="54"/>
  <c r="Q109" i="54"/>
  <c r="N109" i="54"/>
  <c r="S109" i="54"/>
  <c r="T109" i="54"/>
  <c r="U108" i="54"/>
  <c r="R109" i="54" s="1"/>
  <c r="U109" i="54"/>
  <c r="R110" i="54" s="1"/>
  <c r="S110" i="54"/>
  <c r="N110" i="54"/>
  <c r="Q110" i="54"/>
  <c r="T110" i="54"/>
  <c r="N111" i="54"/>
  <c r="S111" i="54"/>
  <c r="U110" i="54"/>
  <c r="R111" i="54" s="1"/>
  <c r="T111" i="54"/>
  <c r="Q111" i="54"/>
  <c r="U111" i="54"/>
  <c r="R112" i="54" s="1"/>
  <c r="T112" i="54"/>
  <c r="S112" i="54"/>
  <c r="N112" i="54"/>
  <c r="Q112" i="54"/>
  <c r="N113" i="54"/>
  <c r="T113" i="54"/>
  <c r="Q113" i="54"/>
  <c r="U112" i="54"/>
  <c r="R113" i="54" s="1"/>
  <c r="S113" i="54"/>
  <c r="N114" i="54"/>
  <c r="Q114" i="54"/>
  <c r="S114" i="54"/>
  <c r="T114" i="54"/>
  <c r="U113" i="54"/>
  <c r="R114" i="54" s="1"/>
  <c r="S115" i="54"/>
  <c r="U114" i="54"/>
  <c r="R115" i="54" s="1"/>
  <c r="N115" i="54"/>
  <c r="T115" i="54"/>
  <c r="Q115" i="54"/>
  <c r="Q116" i="54"/>
  <c r="T116" i="54"/>
  <c r="N116" i="54"/>
  <c r="S116" i="54"/>
  <c r="U115" i="54"/>
  <c r="R116" i="54" s="1"/>
  <c r="N117" i="54"/>
  <c r="Q117" i="54"/>
  <c r="T117" i="54"/>
  <c r="S117" i="54"/>
  <c r="U116" i="54"/>
  <c r="R117" i="54" s="1"/>
  <c r="Q118" i="54"/>
  <c r="U117" i="54"/>
  <c r="R118" i="54" s="1"/>
  <c r="N118" i="54"/>
  <c r="S118" i="54"/>
  <c r="T118" i="54"/>
  <c r="S119" i="54"/>
  <c r="T119" i="54"/>
  <c r="N119" i="54"/>
  <c r="U118" i="54"/>
  <c r="R119" i="54" s="1"/>
  <c r="Q119" i="54"/>
  <c r="U119" i="54"/>
  <c r="R120" i="54" s="1"/>
  <c r="Q120" i="54"/>
  <c r="N120" i="54"/>
  <c r="T120" i="54"/>
  <c r="S120" i="54"/>
  <c r="Q121" i="54"/>
  <c r="S121" i="54"/>
  <c r="N121" i="54"/>
  <c r="U120" i="54"/>
  <c r="R121" i="54" s="1"/>
  <c r="T121" i="54"/>
  <c r="U121" i="54"/>
  <c r="R122" i="54" s="1"/>
  <c r="Q122" i="54"/>
  <c r="T122" i="54"/>
  <c r="S122" i="54"/>
  <c r="N122" i="54"/>
  <c r="N123" i="54"/>
  <c r="Q123" i="54"/>
  <c r="U122" i="54"/>
  <c r="R123" i="54" s="1"/>
  <c r="T123" i="54"/>
  <c r="S123" i="54"/>
  <c r="U123" i="54"/>
  <c r="R124" i="54" s="1"/>
  <c r="Q124" i="54"/>
  <c r="T124" i="54"/>
  <c r="N124" i="54"/>
  <c r="S124" i="54"/>
  <c r="S125" i="54"/>
  <c r="Q125" i="54"/>
  <c r="T125" i="54"/>
  <c r="U124" i="54"/>
  <c r="R125" i="54" s="1"/>
  <c r="N125" i="54"/>
  <c r="U125" i="54"/>
  <c r="R126" i="54" s="1"/>
  <c r="N126" i="54"/>
  <c r="Q126" i="54"/>
  <c r="T126" i="54"/>
  <c r="S126" i="54"/>
  <c r="Q127" i="54"/>
  <c r="N127" i="54"/>
  <c r="T127" i="54"/>
  <c r="U126" i="54"/>
  <c r="R127" i="54" s="1"/>
  <c r="S127" i="54"/>
  <c r="S128" i="54"/>
  <c r="T128" i="54"/>
  <c r="Q128" i="54"/>
  <c r="N128" i="54"/>
  <c r="U127" i="54"/>
  <c r="R128" i="54" s="1"/>
  <c r="S129" i="54"/>
  <c r="N129" i="54"/>
  <c r="T129" i="54"/>
  <c r="Q129" i="54"/>
  <c r="U128" i="54"/>
  <c r="R129" i="54" s="1"/>
  <c r="N130" i="54"/>
  <c r="U129" i="54"/>
  <c r="R130" i="54" s="1"/>
  <c r="Q130" i="54"/>
  <c r="S130" i="54"/>
  <c r="T130" i="54"/>
  <c r="S131" i="54"/>
  <c r="N131" i="54"/>
  <c r="U130" i="54"/>
  <c r="R131" i="54" s="1"/>
  <c r="T131" i="54"/>
  <c r="Q131" i="54"/>
  <c r="Q132" i="54"/>
  <c r="T132" i="54"/>
  <c r="S132" i="54"/>
  <c r="U131" i="54"/>
  <c r="R132" i="54" s="1"/>
  <c r="N132" i="54"/>
  <c r="S133" i="54"/>
  <c r="T133" i="54"/>
  <c r="Q133" i="54"/>
  <c r="U132" i="54"/>
  <c r="R133" i="54" s="1"/>
  <c r="N133" i="54"/>
  <c r="T134" i="54"/>
  <c r="S134" i="54"/>
  <c r="U133" i="54"/>
  <c r="R134" i="54" s="1"/>
  <c r="N134" i="54"/>
  <c r="Q134" i="54"/>
  <c r="S135" i="54"/>
  <c r="U134" i="54"/>
  <c r="R135" i="54" s="1"/>
  <c r="N135" i="54"/>
  <c r="Q135" i="54"/>
  <c r="T135" i="54"/>
  <c r="N136" i="54"/>
  <c r="S136" i="54"/>
  <c r="Q136" i="54"/>
  <c r="T136" i="54"/>
  <c r="U135" i="54"/>
  <c r="R136" i="54" s="1"/>
  <c r="N137" i="54"/>
  <c r="U136" i="54"/>
  <c r="R137" i="54" s="1"/>
  <c r="S137" i="54"/>
  <c r="Q137" i="54"/>
  <c r="T137" i="54"/>
  <c r="U137" i="54"/>
  <c r="R138" i="54" s="1"/>
  <c r="T138" i="54"/>
  <c r="N138" i="54"/>
  <c r="Q138" i="54"/>
  <c r="S138" i="54"/>
  <c r="T139" i="54"/>
  <c r="N139" i="54"/>
  <c r="Q139" i="54"/>
  <c r="U138" i="54"/>
  <c r="R139" i="54" s="1"/>
  <c r="S139" i="54"/>
  <c r="N140" i="54"/>
  <c r="U139" i="54"/>
  <c r="R140" i="54" s="1"/>
  <c r="Q140" i="54"/>
  <c r="S140" i="54"/>
  <c r="T140" i="54"/>
  <c r="S141" i="54"/>
  <c r="Q141" i="54"/>
  <c r="N141" i="54"/>
  <c r="U140" i="54"/>
  <c r="R141" i="54" s="1"/>
  <c r="T141" i="54"/>
  <c r="U141" i="54"/>
  <c r="R142" i="54" s="1"/>
  <c r="S142" i="54"/>
  <c r="Q142" i="54"/>
  <c r="N142" i="54"/>
  <c r="T142" i="54"/>
  <c r="T143" i="54"/>
  <c r="U142" i="54"/>
  <c r="R143" i="54" s="1"/>
  <c r="Q143" i="54"/>
  <c r="S143" i="54"/>
  <c r="N143" i="54"/>
  <c r="N144" i="54"/>
  <c r="U143" i="54"/>
  <c r="R144" i="54" s="1"/>
  <c r="S144" i="54"/>
  <c r="T144" i="54"/>
  <c r="Q144" i="54"/>
  <c r="Q145" i="54"/>
  <c r="T145" i="54"/>
  <c r="N145" i="54"/>
  <c r="S145" i="54"/>
  <c r="U144" i="54"/>
  <c r="R145" i="54" s="1"/>
  <c r="N146" i="54"/>
  <c r="S146" i="54"/>
  <c r="U145" i="54"/>
  <c r="R146" i="54" s="1"/>
  <c r="Q146" i="54"/>
  <c r="T146" i="54"/>
  <c r="Q147" i="54"/>
  <c r="N147" i="54"/>
  <c r="U146" i="54"/>
  <c r="R147" i="54" s="1"/>
  <c r="S147" i="54"/>
  <c r="T147" i="54"/>
  <c r="S148" i="54"/>
  <c r="U147" i="54"/>
  <c r="R148" i="54" s="1"/>
  <c r="Q148" i="54"/>
  <c r="T148" i="54"/>
  <c r="N148" i="54"/>
  <c r="U148" i="54"/>
  <c r="R149" i="54" s="1"/>
  <c r="Q149" i="54"/>
  <c r="S149" i="54"/>
  <c r="T149" i="54"/>
  <c r="N149" i="54"/>
  <c r="T150" i="54"/>
  <c r="S150" i="54"/>
  <c r="U149" i="54"/>
  <c r="R150" i="54" s="1"/>
  <c r="N150" i="54"/>
  <c r="Q150" i="54"/>
  <c r="S151" i="54"/>
  <c r="N151" i="54"/>
  <c r="U150" i="54"/>
  <c r="R151" i="54" s="1"/>
  <c r="Q151" i="54"/>
  <c r="T151" i="54"/>
  <c r="S152" i="54"/>
  <c r="Q152" i="54"/>
  <c r="T152" i="54"/>
  <c r="N152" i="54"/>
  <c r="U151" i="54"/>
  <c r="R152" i="54" s="1"/>
  <c r="N153" i="54"/>
  <c r="S153" i="54"/>
  <c r="T153" i="54"/>
  <c r="Q153" i="54"/>
  <c r="U152" i="54"/>
  <c r="R153" i="54" s="1"/>
  <c r="S154" i="54"/>
  <c r="Q154" i="54"/>
  <c r="U153" i="54"/>
  <c r="R154" i="54" s="1"/>
  <c r="T154" i="54"/>
  <c r="N154" i="54"/>
  <c r="N155" i="54"/>
  <c r="U154" i="54"/>
  <c r="R155" i="54" s="1"/>
  <c r="Q155" i="54"/>
  <c r="S155" i="54"/>
  <c r="T155" i="54"/>
  <c r="Q156" i="54"/>
  <c r="S156" i="54"/>
  <c r="U155" i="54"/>
  <c r="R156" i="54" s="1"/>
  <c r="N156" i="54"/>
  <c r="T156" i="54"/>
  <c r="S157" i="54"/>
  <c r="Q157" i="54"/>
  <c r="N157" i="54"/>
  <c r="U156" i="54"/>
  <c r="R157" i="54" s="1"/>
  <c r="T157" i="54"/>
  <c r="N158" i="54"/>
  <c r="S158" i="54"/>
  <c r="U157" i="54"/>
  <c r="R158" i="54" s="1"/>
  <c r="T158" i="54"/>
  <c r="Q158" i="54"/>
  <c r="N159" i="54"/>
  <c r="T159" i="54"/>
  <c r="U158" i="54"/>
  <c r="R159" i="54" s="1"/>
  <c r="Q159" i="54"/>
  <c r="S159" i="54"/>
  <c r="T160" i="54"/>
  <c r="Q160" i="54"/>
  <c r="N160" i="54"/>
  <c r="S160" i="54"/>
  <c r="U159" i="54"/>
  <c r="R160" i="54" s="1"/>
  <c r="U160" i="54"/>
  <c r="R161" i="54" s="1"/>
  <c r="Q161" i="54"/>
  <c r="N161" i="54"/>
  <c r="T161" i="54"/>
  <c r="S161" i="54"/>
  <c r="N162" i="54"/>
  <c r="U161" i="54"/>
  <c r="R162" i="54" s="1"/>
  <c r="Q162" i="54"/>
  <c r="S162" i="54"/>
  <c r="T162" i="54"/>
  <c r="S163" i="54"/>
  <c r="N163" i="54"/>
  <c r="T163" i="54"/>
  <c r="U162" i="54"/>
  <c r="R163" i="54" s="1"/>
  <c r="Q163" i="54"/>
  <c r="S164" i="54"/>
  <c r="U163" i="54"/>
  <c r="R164" i="54" s="1"/>
  <c r="Q164" i="54"/>
  <c r="T164" i="54"/>
  <c r="N164" i="54"/>
  <c r="S165" i="54"/>
  <c r="N165" i="54"/>
  <c r="U164" i="54"/>
  <c r="R165" i="54" s="1"/>
  <c r="T165" i="54"/>
  <c r="Q165" i="54"/>
  <c r="U165" i="54"/>
  <c r="R166" i="54" s="1"/>
  <c r="Q166" i="54"/>
  <c r="T166" i="54"/>
  <c r="S166" i="54"/>
  <c r="N166" i="54"/>
  <c r="U166" i="54"/>
  <c r="R167" i="54" s="1"/>
  <c r="S167" i="54"/>
  <c r="N167" i="54"/>
  <c r="Q167" i="54"/>
  <c r="T167" i="54"/>
  <c r="N168" i="54"/>
  <c r="U167" i="54"/>
  <c r="R168" i="54" s="1"/>
  <c r="S168" i="54"/>
  <c r="Q168" i="54"/>
  <c r="T168" i="54"/>
  <c r="N169" i="54"/>
  <c r="T169" i="54"/>
  <c r="U168" i="54"/>
  <c r="R169" i="54" s="1"/>
  <c r="S169" i="54"/>
  <c r="Q169" i="54"/>
  <c r="T170" i="54"/>
  <c r="U169" i="54"/>
  <c r="R170" i="54" s="1"/>
  <c r="N170" i="54"/>
  <c r="S170" i="54"/>
  <c r="Q170" i="54"/>
  <c r="U170" i="54"/>
  <c r="R171" i="54" s="1"/>
  <c r="T171" i="54"/>
  <c r="S171" i="54"/>
  <c r="Q171" i="54"/>
  <c r="N171" i="54"/>
  <c r="U171" i="54"/>
  <c r="R172" i="54" s="1"/>
  <c r="S172" i="54"/>
  <c r="N172" i="54"/>
  <c r="Q172" i="54"/>
  <c r="T172" i="54"/>
  <c r="Q173" i="54"/>
  <c r="T173" i="54"/>
  <c r="U172" i="54"/>
  <c r="R173" i="54" s="1"/>
  <c r="N173" i="54"/>
  <c r="S173" i="54"/>
  <c r="N174" i="54"/>
  <c r="T174" i="54"/>
  <c r="U173" i="54"/>
  <c r="R174" i="54" s="1"/>
  <c r="Q174" i="54"/>
  <c r="S174" i="54"/>
  <c r="T175" i="54"/>
  <c r="N175" i="54"/>
  <c r="S175" i="54"/>
  <c r="U174" i="54"/>
  <c r="R175" i="54" s="1"/>
  <c r="Q175" i="54"/>
  <c r="U175" i="54"/>
  <c r="R176" i="54" s="1"/>
  <c r="S176" i="54"/>
  <c r="N176" i="54"/>
  <c r="Q176" i="54"/>
  <c r="T176" i="54"/>
  <c r="T177" i="54"/>
  <c r="U176" i="54"/>
  <c r="R177" i="54" s="1"/>
  <c r="S177" i="54"/>
  <c r="N177" i="54"/>
  <c r="Q177" i="54"/>
  <c r="N178" i="54"/>
  <c r="Q178" i="54"/>
  <c r="T178" i="54"/>
  <c r="U177" i="54"/>
  <c r="R178" i="54" s="1"/>
  <c r="S178" i="54"/>
  <c r="U178" i="54"/>
  <c r="R179" i="54" s="1"/>
  <c r="S179" i="54"/>
  <c r="Q179" i="54"/>
  <c r="N179" i="54"/>
  <c r="T179" i="54"/>
  <c r="Q180" i="54"/>
  <c r="T180" i="54"/>
  <c r="S180" i="54"/>
  <c r="N180" i="54"/>
  <c r="U179" i="54"/>
  <c r="R180" i="54" s="1"/>
  <c r="T181" i="54"/>
  <c r="Q181" i="54"/>
  <c r="N181" i="54"/>
  <c r="S181" i="54"/>
  <c r="U180" i="54"/>
  <c r="R181" i="54" s="1"/>
  <c r="U181" i="54"/>
  <c r="R182" i="54" s="1"/>
  <c r="Q182" i="54"/>
  <c r="T182" i="54"/>
  <c r="N182" i="54"/>
  <c r="S182" i="54"/>
  <c r="Q183" i="54"/>
  <c r="U182" i="54"/>
  <c r="R183" i="54" s="1"/>
  <c r="T183" i="54"/>
  <c r="S183" i="54"/>
  <c r="N183" i="54"/>
  <c r="Q184" i="54"/>
  <c r="U183" i="54"/>
  <c r="R184" i="54" s="1"/>
  <c r="T184" i="54"/>
  <c r="N184" i="54"/>
  <c r="S184" i="54"/>
  <c r="N185" i="54"/>
  <c r="S185" i="54"/>
  <c r="Q185" i="54"/>
  <c r="U184" i="54"/>
  <c r="R185" i="54" s="1"/>
  <c r="T185" i="54"/>
  <c r="S186" i="54"/>
  <c r="T186" i="54"/>
  <c r="U185" i="54"/>
  <c r="R186" i="54" s="1"/>
  <c r="Q186" i="54"/>
  <c r="N186" i="54"/>
  <c r="N187" i="54"/>
  <c r="S187" i="54"/>
  <c r="U186" i="54"/>
  <c r="R187" i="54" s="1"/>
  <c r="Q187" i="54"/>
  <c r="T187" i="54"/>
  <c r="N188" i="54"/>
  <c r="T188" i="54"/>
  <c r="Q188" i="54"/>
  <c r="U187" i="54"/>
  <c r="R188" i="54" s="1"/>
  <c r="S188" i="54"/>
  <c r="N189" i="54"/>
  <c r="U188" i="54"/>
  <c r="R189" i="54" s="1"/>
  <c r="S189" i="54"/>
  <c r="T189" i="54"/>
  <c r="Q189" i="54"/>
  <c r="Q190" i="54"/>
  <c r="S190" i="54"/>
  <c r="N190" i="54"/>
  <c r="U189" i="54"/>
  <c r="R190" i="54" s="1"/>
  <c r="T190" i="54"/>
  <c r="N191" i="54"/>
  <c r="T191" i="54"/>
  <c r="S191" i="54"/>
  <c r="U190" i="54"/>
  <c r="R191" i="54" s="1"/>
  <c r="Q191" i="54"/>
  <c r="T192" i="54"/>
  <c r="N192" i="54"/>
  <c r="Q192" i="54"/>
  <c r="U191" i="54"/>
  <c r="R192" i="54" s="1"/>
  <c r="S192" i="54"/>
  <c r="S193" i="54"/>
  <c r="N193" i="54"/>
  <c r="U192" i="54"/>
  <c r="R193" i="54" s="1"/>
  <c r="Q193" i="54"/>
  <c r="T193" i="54"/>
  <c r="Q194" i="54"/>
  <c r="S194" i="54"/>
  <c r="U193" i="54"/>
  <c r="R194" i="54" s="1"/>
  <c r="N194" i="54"/>
  <c r="T194" i="54"/>
  <c r="S195" i="54"/>
  <c r="Q195" i="54"/>
  <c r="U194" i="54"/>
  <c r="R195" i="54" s="1"/>
  <c r="T195" i="54"/>
  <c r="N195" i="54"/>
  <c r="U195" i="54"/>
  <c r="R196" i="54" s="1"/>
  <c r="Q196" i="54"/>
  <c r="N196" i="54"/>
  <c r="T196" i="54"/>
  <c r="S196" i="54"/>
  <c r="U196" i="54"/>
  <c r="R197" i="54" s="1"/>
  <c r="T197" i="54"/>
  <c r="S197" i="54"/>
  <c r="Q197" i="54"/>
  <c r="N197" i="54"/>
  <c r="Q198" i="54"/>
  <c r="N198" i="54"/>
  <c r="U197" i="54"/>
  <c r="R198" i="54" s="1"/>
  <c r="S198" i="54"/>
  <c r="T198" i="54"/>
  <c r="U198" i="54"/>
  <c r="R199" i="54" s="1"/>
  <c r="Q199" i="54"/>
  <c r="T199" i="54"/>
  <c r="N199" i="54"/>
  <c r="S199" i="54"/>
  <c r="Q200" i="54"/>
  <c r="U199" i="54"/>
  <c r="R200" i="54" s="1"/>
  <c r="N200" i="54"/>
  <c r="T200" i="54"/>
  <c r="S200" i="54"/>
  <c r="T201" i="54"/>
  <c r="N201" i="54"/>
  <c r="U200" i="54"/>
  <c r="R201" i="54" s="1"/>
  <c r="S201" i="54"/>
  <c r="Q201" i="54"/>
  <c r="U201" i="54"/>
  <c r="R202" i="54" s="1"/>
  <c r="S202" i="54"/>
  <c r="T202" i="54"/>
  <c r="Q202" i="54"/>
  <c r="N202" i="54"/>
  <c r="U202" i="54"/>
  <c r="R203" i="54" s="1"/>
  <c r="T203" i="54"/>
  <c r="N203" i="54"/>
  <c r="Q203" i="54"/>
  <c r="S203" i="54"/>
  <c r="N204" i="54"/>
  <c r="S204" i="54"/>
  <c r="U203" i="54"/>
  <c r="R204" i="54" s="1"/>
  <c r="T204" i="54"/>
  <c r="Q204" i="54"/>
  <c r="S205" i="54"/>
  <c r="T205" i="54"/>
  <c r="Q205" i="54"/>
  <c r="N205" i="54"/>
  <c r="U204" i="54"/>
  <c r="R205" i="54" s="1"/>
  <c r="T206" i="54"/>
  <c r="N206" i="54"/>
  <c r="U205" i="54"/>
  <c r="R206" i="54" s="1"/>
  <c r="Q206" i="54"/>
  <c r="S206" i="54"/>
  <c r="S207" i="54"/>
  <c r="Q207" i="54"/>
  <c r="U206" i="54"/>
  <c r="R207" i="54" s="1"/>
  <c r="N207" i="54"/>
  <c r="T207" i="54"/>
  <c r="S208" i="54"/>
  <c r="Q208" i="54"/>
  <c r="N208" i="54"/>
  <c r="U207" i="54"/>
  <c r="R208" i="54" s="1"/>
  <c r="T208" i="54"/>
  <c r="S209" i="54"/>
  <c r="U208" i="54"/>
  <c r="R209" i="54" s="1"/>
  <c r="T209" i="54"/>
  <c r="N209" i="54"/>
  <c r="Q209" i="54"/>
  <c r="U209" i="54"/>
  <c r="R210" i="54" s="1"/>
  <c r="N210" i="54"/>
  <c r="T210" i="54"/>
  <c r="S210" i="54"/>
  <c r="Q210" i="54"/>
  <c r="Q211" i="54"/>
  <c r="U210" i="54"/>
  <c r="R211" i="54" s="1"/>
  <c r="N211" i="54"/>
  <c r="S211" i="54"/>
  <c r="T211" i="54"/>
  <c r="S212" i="54"/>
  <c r="T212" i="54"/>
  <c r="U211" i="54"/>
  <c r="R212" i="54" s="1"/>
  <c r="Q212" i="54"/>
  <c r="N212" i="54"/>
  <c r="S213" i="54"/>
  <c r="Q213" i="54"/>
  <c r="N213" i="54"/>
  <c r="U212" i="54"/>
  <c r="R213" i="54" s="1"/>
  <c r="T213" i="54"/>
  <c r="U213" i="54"/>
  <c r="R214" i="54" s="1"/>
  <c r="S214" i="54"/>
  <c r="T214" i="54"/>
  <c r="Q214" i="54"/>
  <c r="N214" i="54"/>
  <c r="N215" i="54"/>
  <c r="U214" i="54"/>
  <c r="R215" i="54" s="1"/>
  <c r="S215" i="54"/>
  <c r="Q215" i="54"/>
  <c r="T215" i="54"/>
  <c r="U215" i="54"/>
  <c r="R216" i="54" s="1"/>
  <c r="N216" i="54"/>
  <c r="T216" i="54"/>
  <c r="S216" i="54"/>
  <c r="Q216" i="54"/>
  <c r="N217" i="54"/>
  <c r="S217" i="54"/>
  <c r="U216" i="54"/>
  <c r="R217" i="54" s="1"/>
  <c r="Q217" i="54"/>
  <c r="T217" i="54"/>
  <c r="S218" i="54"/>
  <c r="T218" i="54"/>
  <c r="Q218" i="54"/>
  <c r="N218" i="54"/>
  <c r="U217" i="54"/>
  <c r="R218" i="54" s="1"/>
  <c r="Q219" i="54"/>
  <c r="T219" i="54"/>
  <c r="U218" i="54"/>
  <c r="R219" i="54" s="1"/>
  <c r="N219" i="54"/>
  <c r="S219" i="54"/>
  <c r="N220" i="54"/>
  <c r="U219" i="54"/>
  <c r="R220" i="54" s="1"/>
  <c r="T220" i="54"/>
  <c r="Q220" i="54"/>
  <c r="S220" i="54"/>
  <c r="U220" i="54"/>
  <c r="R221" i="54" s="1"/>
  <c r="S221" i="54"/>
  <c r="N221" i="54"/>
  <c r="T221" i="54"/>
  <c r="Q221" i="54"/>
  <c r="T222" i="54"/>
  <c r="N222" i="54"/>
  <c r="S222" i="54"/>
  <c r="U221" i="54"/>
  <c r="R222" i="54" s="1"/>
  <c r="Q222" i="54"/>
  <c r="N223" i="54"/>
  <c r="T223" i="54"/>
  <c r="Q223" i="54"/>
  <c r="U222" i="54"/>
  <c r="R223" i="54" s="1"/>
  <c r="S223" i="54"/>
  <c r="U223" i="54"/>
  <c r="R224" i="54" s="1"/>
  <c r="Q224" i="54"/>
  <c r="T224" i="54"/>
  <c r="N224" i="54"/>
  <c r="S224" i="54"/>
  <c r="S225" i="54"/>
  <c r="T225" i="54"/>
  <c r="N225" i="54"/>
  <c r="Q225" i="54"/>
  <c r="U224" i="54"/>
  <c r="R225" i="54" s="1"/>
  <c r="U225" i="54"/>
  <c r="R226" i="54" s="1"/>
  <c r="N226" i="54"/>
  <c r="T226" i="54"/>
  <c r="Q226" i="54"/>
  <c r="S226" i="54"/>
  <c r="S227" i="54"/>
  <c r="U226" i="54"/>
  <c r="R227" i="54" s="1"/>
  <c r="N227" i="54"/>
  <c r="T227" i="54"/>
  <c r="Q227" i="54"/>
  <c r="S228" i="54"/>
  <c r="U227" i="54"/>
  <c r="R228" i="54" s="1"/>
  <c r="Q228" i="54"/>
  <c r="N228" i="54"/>
  <c r="T228" i="54"/>
  <c r="U228" i="54"/>
  <c r="R229" i="54" s="1"/>
  <c r="T229" i="54"/>
  <c r="Q229" i="54"/>
  <c r="N229" i="54"/>
  <c r="S229" i="54"/>
  <c r="T230" i="54"/>
  <c r="U229" i="54"/>
  <c r="R230" i="54" s="1"/>
  <c r="S230" i="54"/>
  <c r="Q230" i="54"/>
  <c r="N230" i="54"/>
  <c r="N231" i="54"/>
  <c r="S231" i="54"/>
  <c r="U230" i="54"/>
  <c r="R231" i="54" s="1"/>
  <c r="T231" i="54"/>
  <c r="Q231" i="54"/>
  <c r="T232" i="54"/>
  <c r="S232" i="54"/>
  <c r="U231" i="54"/>
  <c r="R232" i="54" s="1"/>
  <c r="Q232" i="54"/>
  <c r="N232" i="54"/>
  <c r="T233" i="54"/>
  <c r="N233" i="54"/>
  <c r="S233" i="54"/>
  <c r="U232" i="54"/>
  <c r="R233" i="54" s="1"/>
  <c r="Q233" i="54"/>
  <c r="Q234" i="54"/>
  <c r="N234" i="54"/>
  <c r="U233" i="54"/>
  <c r="R234" i="54" s="1"/>
  <c r="S234" i="54"/>
  <c r="T234" i="54"/>
  <c r="U234" i="54"/>
  <c r="R235" i="54" s="1"/>
  <c r="S235" i="54"/>
  <c r="Q235" i="54"/>
  <c r="T235" i="54"/>
  <c r="N235" i="54"/>
  <c r="Q236" i="54"/>
  <c r="U235" i="54"/>
  <c r="R236" i="54" s="1"/>
  <c r="S236" i="54"/>
  <c r="N236" i="54"/>
  <c r="T236" i="54"/>
  <c r="N237" i="54"/>
  <c r="S237" i="54"/>
  <c r="T237" i="54"/>
  <c r="U236" i="54"/>
  <c r="R237" i="54" s="1"/>
  <c r="Q237" i="54"/>
  <c r="Q238" i="54"/>
  <c r="U237" i="54"/>
  <c r="R238" i="54" s="1"/>
  <c r="T238" i="54"/>
  <c r="N238" i="54"/>
  <c r="S238" i="54"/>
  <c r="N239" i="54"/>
  <c r="T239" i="54"/>
  <c r="S239" i="54"/>
  <c r="U238" i="54"/>
  <c r="R239" i="54" s="1"/>
  <c r="Q239" i="54"/>
  <c r="Q240" i="54"/>
  <c r="U239" i="54"/>
  <c r="R240" i="54" s="1"/>
  <c r="T240" i="54"/>
  <c r="N240" i="54"/>
  <c r="S240" i="54"/>
  <c r="S241" i="54"/>
  <c r="T241" i="54"/>
  <c r="N241" i="54"/>
  <c r="U240" i="54"/>
  <c r="R241" i="54" s="1"/>
  <c r="Q241" i="54"/>
  <c r="Q242" i="54"/>
  <c r="S242" i="54"/>
  <c r="U241" i="54"/>
  <c r="R242" i="54" s="1"/>
  <c r="N242" i="54"/>
  <c r="T242" i="54"/>
  <c r="S243" i="54"/>
  <c r="T243" i="54"/>
  <c r="Q243" i="54"/>
  <c r="U242" i="54"/>
  <c r="R243" i="54" s="1"/>
  <c r="N243" i="54"/>
  <c r="N244" i="54"/>
  <c r="U243" i="54"/>
  <c r="R244" i="54" s="1"/>
  <c r="S244" i="54"/>
  <c r="Q244" i="54"/>
  <c r="T244" i="54"/>
  <c r="Q245" i="54"/>
  <c r="N245" i="54"/>
  <c r="U244" i="54"/>
  <c r="R245" i="54" s="1"/>
  <c r="T245" i="54"/>
  <c r="S245" i="54"/>
  <c r="T246" i="54"/>
  <c r="Q246" i="54"/>
  <c r="N246" i="54"/>
  <c r="S246" i="54"/>
  <c r="U245" i="54"/>
  <c r="R246" i="54" s="1"/>
  <c r="U246" i="54"/>
  <c r="R247" i="54" s="1"/>
  <c r="T247" i="54"/>
  <c r="N247" i="54"/>
  <c r="S247" i="54"/>
  <c r="Q247" i="54"/>
  <c r="Q248" i="54"/>
  <c r="T248" i="54"/>
  <c r="N248" i="54"/>
  <c r="U247" i="54"/>
  <c r="R248" i="54" s="1"/>
  <c r="S248" i="54"/>
  <c r="N249" i="54"/>
  <c r="S249" i="54"/>
  <c r="U248" i="54"/>
  <c r="R249" i="54" s="1"/>
  <c r="Q249" i="54"/>
  <c r="T249" i="54"/>
  <c r="S250" i="54"/>
  <c r="T250" i="54"/>
  <c r="Q250" i="54"/>
  <c r="N250" i="54"/>
  <c r="U249" i="54"/>
  <c r="R250" i="54" s="1"/>
  <c r="T251" i="54"/>
  <c r="Q251" i="54"/>
  <c r="U250" i="54"/>
  <c r="R251" i="54" s="1"/>
  <c r="N251" i="54"/>
  <c r="S251" i="54"/>
  <c r="S252" i="54"/>
  <c r="Q252" i="54"/>
  <c r="N252" i="54"/>
  <c r="U251" i="54"/>
  <c r="R252" i="54" s="1"/>
  <c r="T252" i="54"/>
  <c r="S253" i="54"/>
  <c r="T253" i="54"/>
  <c r="Q253" i="54"/>
  <c r="N253" i="54"/>
  <c r="U252" i="54"/>
  <c r="R253" i="54" s="1"/>
  <c r="N254" i="54"/>
  <c r="U253" i="54"/>
  <c r="R254" i="54" s="1"/>
  <c r="Q254" i="54"/>
  <c r="S254" i="54"/>
  <c r="T254" i="54"/>
  <c r="T255" i="54"/>
  <c r="N255" i="54"/>
  <c r="U254" i="54"/>
  <c r="R255" i="54" s="1"/>
  <c r="S255" i="54"/>
  <c r="Q255" i="54"/>
  <c r="U255" i="54"/>
  <c r="R256" i="54" s="1"/>
  <c r="N256" i="54"/>
  <c r="S256" i="54"/>
  <c r="Q256" i="54"/>
  <c r="T256" i="54"/>
  <c r="S257" i="54"/>
  <c r="U256" i="54"/>
  <c r="R257" i="54" s="1"/>
  <c r="T257" i="54"/>
  <c r="N257" i="54"/>
  <c r="Q257" i="54"/>
  <c r="U257" i="54"/>
  <c r="R258" i="54" s="1"/>
  <c r="Q258" i="54"/>
  <c r="S258" i="54"/>
  <c r="T258" i="54"/>
  <c r="N258" i="54"/>
  <c r="T259" i="54"/>
  <c r="Q259" i="54"/>
  <c r="U258" i="54"/>
  <c r="R259" i="54" s="1"/>
  <c r="N259" i="54"/>
  <c r="S259" i="54"/>
  <c r="U259" i="54"/>
  <c r="R260" i="54" s="1"/>
  <c r="Q260" i="54"/>
  <c r="T260" i="54"/>
  <c r="S260" i="54"/>
  <c r="N260" i="54"/>
  <c r="S261" i="54"/>
  <c r="U260" i="54"/>
  <c r="R261" i="54" s="1"/>
  <c r="Q261" i="54"/>
  <c r="N261" i="54"/>
  <c r="T261" i="54"/>
  <c r="Q262" i="54"/>
  <c r="N262" i="54"/>
  <c r="U261" i="54"/>
  <c r="R262" i="54" s="1"/>
  <c r="S262" i="54"/>
  <c r="T262" i="54"/>
  <c r="S263" i="54"/>
  <c r="U262" i="54"/>
  <c r="R263" i="54" s="1"/>
  <c r="T263" i="54"/>
  <c r="N263" i="54"/>
  <c r="Q263" i="54"/>
  <c r="T264" i="54"/>
  <c r="N264" i="54"/>
  <c r="Q264" i="54"/>
  <c r="U263" i="54"/>
  <c r="R264" i="54" s="1"/>
  <c r="S264" i="54"/>
  <c r="N265" i="54"/>
  <c r="U264" i="54"/>
  <c r="R265" i="54" s="1"/>
  <c r="S265" i="54"/>
  <c r="Q265" i="54"/>
  <c r="T265" i="54"/>
  <c r="Q266" i="54"/>
  <c r="T266" i="54"/>
  <c r="S266" i="54"/>
  <c r="N266" i="54"/>
  <c r="U265" i="54"/>
  <c r="R266" i="54" s="1"/>
  <c r="U266" i="54"/>
  <c r="R267" i="54" s="1"/>
  <c r="S267" i="54"/>
  <c r="T267" i="54"/>
  <c r="Q267" i="54"/>
  <c r="N267" i="54"/>
  <c r="N268" i="54"/>
  <c r="T268" i="54"/>
  <c r="Q268" i="54"/>
  <c r="S268" i="54"/>
  <c r="U267" i="54"/>
  <c r="R268" i="54" s="1"/>
  <c r="T269" i="54"/>
  <c r="U268" i="54"/>
  <c r="R269" i="54" s="1"/>
  <c r="N269" i="54"/>
  <c r="S269" i="54"/>
  <c r="Q269" i="54"/>
  <c r="U269" i="54"/>
  <c r="R270" i="54" s="1"/>
  <c r="S270" i="54"/>
  <c r="N270" i="54"/>
  <c r="T270" i="54"/>
  <c r="Q270" i="54"/>
  <c r="S271" i="54"/>
  <c r="N271" i="54"/>
  <c r="T271" i="54"/>
  <c r="U270" i="54"/>
  <c r="R271" i="54" s="1"/>
  <c r="Q271" i="54"/>
  <c r="Q272" i="54"/>
  <c r="U271" i="54"/>
  <c r="R272" i="54" s="1"/>
  <c r="N272" i="54"/>
  <c r="S272" i="54"/>
  <c r="T272" i="54"/>
  <c r="Q273" i="54"/>
  <c r="S273" i="54"/>
  <c r="N273" i="54"/>
  <c r="U272" i="54"/>
  <c r="R273" i="54" s="1"/>
  <c r="T273" i="54"/>
  <c r="U273" i="54"/>
  <c r="R274" i="54" s="1"/>
  <c r="Q274" i="54"/>
  <c r="T274" i="54"/>
  <c r="S274" i="54"/>
  <c r="N274" i="54"/>
  <c r="S275" i="54"/>
  <c r="N275" i="54"/>
  <c r="U274" i="54"/>
  <c r="R275" i="54" s="1"/>
  <c r="T275" i="54"/>
  <c r="Q275" i="54"/>
  <c r="U275" i="54"/>
  <c r="R276" i="54" s="1"/>
  <c r="S276" i="54"/>
  <c r="T276" i="54"/>
  <c r="Q276" i="54"/>
  <c r="N276" i="54"/>
  <c r="S277" i="54"/>
  <c r="T277" i="54"/>
  <c r="N277" i="54"/>
  <c r="U276" i="54"/>
  <c r="R277" i="54" s="1"/>
  <c r="Q277" i="54"/>
  <c r="T278" i="54"/>
  <c r="Q278" i="54"/>
  <c r="U277" i="54"/>
  <c r="R278" i="54" s="1"/>
  <c r="N278" i="54"/>
  <c r="S278" i="54"/>
  <c r="N279" i="54"/>
  <c r="T279" i="54"/>
  <c r="Q279" i="54"/>
  <c r="U278" i="54"/>
  <c r="R279" i="54" s="1"/>
  <c r="S279" i="54"/>
  <c r="Q280" i="54"/>
  <c r="S280" i="54"/>
  <c r="N280" i="54"/>
  <c r="T280" i="54"/>
  <c r="U279" i="54"/>
  <c r="R280" i="54" s="1"/>
  <c r="N281" i="54"/>
  <c r="S281" i="54"/>
  <c r="Q281" i="54"/>
  <c r="T281" i="54"/>
  <c r="U280" i="54"/>
  <c r="R281" i="54" s="1"/>
  <c r="Q282" i="54"/>
  <c r="U281" i="54"/>
  <c r="R282" i="54" s="1"/>
  <c r="T282" i="54"/>
  <c r="N282" i="54"/>
  <c r="S282" i="54"/>
  <c r="Q283" i="54"/>
  <c r="T283" i="54"/>
  <c r="U282" i="54"/>
  <c r="R283" i="54" s="1"/>
  <c r="S283" i="54"/>
  <c r="N283" i="54"/>
  <c r="T284" i="54"/>
  <c r="U283" i="54"/>
  <c r="R284" i="54" s="1"/>
  <c r="Q284" i="54"/>
  <c r="S284" i="54"/>
  <c r="N284" i="54"/>
  <c r="Q285" i="54"/>
  <c r="U284" i="54"/>
  <c r="R285" i="54" s="1"/>
  <c r="T285" i="54"/>
  <c r="N285" i="54"/>
  <c r="S285" i="54"/>
  <c r="T286" i="54"/>
  <c r="S286" i="54"/>
  <c r="U285" i="54"/>
  <c r="R286" i="54" s="1"/>
  <c r="N286" i="54"/>
  <c r="Q286" i="54"/>
  <c r="Q287" i="54"/>
  <c r="S287" i="54"/>
  <c r="N287" i="54"/>
  <c r="U286" i="54"/>
  <c r="R287" i="54" s="1"/>
  <c r="T287" i="54"/>
  <c r="Q288" i="54"/>
  <c r="U287" i="54"/>
  <c r="R288" i="54" s="1"/>
  <c r="N288" i="54"/>
  <c r="S288" i="54"/>
  <c r="T288" i="54"/>
  <c r="Q289" i="54"/>
  <c r="S289" i="54"/>
  <c r="N289" i="54"/>
  <c r="T289" i="54"/>
  <c r="U288" i="54"/>
  <c r="R289" i="54" s="1"/>
  <c r="S290" i="54"/>
  <c r="N290" i="54"/>
  <c r="U289" i="54"/>
  <c r="R290" i="54" s="1"/>
  <c r="Q290" i="54"/>
  <c r="T290" i="54"/>
  <c r="T291" i="54"/>
  <c r="N291" i="54"/>
  <c r="Q291" i="54"/>
  <c r="S291" i="54"/>
  <c r="U290" i="54"/>
  <c r="R291" i="54" s="1"/>
  <c r="Q292" i="54"/>
  <c r="N292" i="54"/>
  <c r="S292" i="54"/>
  <c r="T292" i="54"/>
  <c r="U291" i="54"/>
  <c r="R292" i="54" s="1"/>
  <c r="U292" i="54"/>
  <c r="R293" i="54" s="1"/>
  <c r="S293" i="54"/>
  <c r="Q293" i="54"/>
  <c r="T293" i="54"/>
  <c r="N293" i="54"/>
  <c r="U293" i="54"/>
  <c r="R294" i="54" s="1"/>
  <c r="S294" i="54"/>
  <c r="T294" i="54"/>
  <c r="Q294" i="54"/>
  <c r="N294" i="54"/>
  <c r="Q295" i="54"/>
  <c r="T295" i="54"/>
  <c r="S295" i="54"/>
  <c r="U294" i="54"/>
  <c r="R295" i="54" s="1"/>
  <c r="N295" i="54"/>
  <c r="T296" i="54"/>
  <c r="N296" i="54"/>
  <c r="U295" i="54"/>
  <c r="R296" i="54" s="1"/>
  <c r="Q296" i="54"/>
  <c r="S296" i="54"/>
  <c r="N297" i="54"/>
  <c r="Q297" i="54"/>
  <c r="T297" i="54"/>
  <c r="U296" i="54"/>
  <c r="R297" i="54" s="1"/>
  <c r="S297" i="54"/>
  <c r="Q298" i="54"/>
  <c r="U297" i="54"/>
  <c r="R298" i="54" s="1"/>
  <c r="T298" i="54"/>
  <c r="N298" i="54"/>
  <c r="S298" i="54"/>
  <c r="Q299" i="54"/>
  <c r="T299" i="54"/>
  <c r="S299" i="54"/>
  <c r="U298" i="54"/>
  <c r="R299" i="54" s="1"/>
  <c r="N299" i="54"/>
  <c r="S300" i="54"/>
  <c r="U299" i="54"/>
  <c r="R300" i="54" s="1"/>
  <c r="T300" i="54"/>
  <c r="N300" i="54"/>
  <c r="Q300" i="54"/>
  <c r="Q301" i="54"/>
  <c r="N301" i="54"/>
  <c r="T301" i="54"/>
  <c r="U300" i="54"/>
  <c r="R301" i="54" s="1"/>
  <c r="S301" i="54"/>
  <c r="S302" i="54"/>
  <c r="U301" i="54"/>
  <c r="R302" i="54" s="1"/>
  <c r="Q302" i="54"/>
  <c r="T302" i="54"/>
  <c r="N302" i="54"/>
  <c r="Q303" i="54"/>
  <c r="T303" i="54"/>
  <c r="S303" i="54"/>
  <c r="N303" i="54"/>
  <c r="U302" i="54"/>
  <c r="R303" i="54" s="1"/>
  <c r="N304" i="54"/>
  <c r="Q304" i="54"/>
  <c r="S304" i="54"/>
  <c r="T304" i="54"/>
  <c r="U303" i="54"/>
  <c r="R304" i="54" s="1"/>
  <c r="Q305" i="54"/>
  <c r="U304" i="54"/>
  <c r="R305" i="54" s="1"/>
  <c r="S305" i="54"/>
  <c r="T305" i="54"/>
  <c r="N305" i="54"/>
  <c r="N306" i="54"/>
  <c r="T306" i="54"/>
  <c r="Q306" i="54"/>
  <c r="U305" i="54"/>
  <c r="R306" i="54" s="1"/>
  <c r="S306" i="54"/>
  <c r="T307" i="54"/>
  <c r="U306" i="54"/>
  <c r="R307" i="54" s="1"/>
  <c r="Q307" i="54"/>
  <c r="S307" i="54"/>
  <c r="N307" i="54"/>
  <c r="U307" i="54"/>
  <c r="R308" i="54" s="1"/>
  <c r="Q308" i="54"/>
  <c r="N308" i="54"/>
  <c r="S308" i="54"/>
  <c r="T308" i="54"/>
  <c r="N309" i="54"/>
  <c r="T309" i="54"/>
  <c r="S309" i="54"/>
  <c r="U308" i="54"/>
  <c r="R309" i="54" s="1"/>
  <c r="Q309" i="54"/>
  <c r="S310" i="54"/>
  <c r="Q310" i="54"/>
  <c r="U309" i="54"/>
  <c r="R310" i="54" s="1"/>
  <c r="N310" i="54"/>
  <c r="T310" i="54"/>
  <c r="N311" i="54"/>
  <c r="S311" i="54"/>
  <c r="T311" i="54"/>
  <c r="Q311" i="54"/>
  <c r="U310" i="54"/>
  <c r="R311" i="54" s="1"/>
  <c r="S312" i="54"/>
  <c r="U311" i="54"/>
  <c r="R312" i="54" s="1"/>
  <c r="T312" i="54"/>
  <c r="N312" i="54"/>
  <c r="Q312" i="54"/>
  <c r="N313" i="54"/>
  <c r="U312" i="54"/>
  <c r="R313" i="54" s="1"/>
  <c r="S313" i="54"/>
  <c r="Q313" i="54"/>
  <c r="T313" i="54"/>
  <c r="T314" i="54"/>
  <c r="S314" i="54"/>
  <c r="Q314" i="54"/>
  <c r="N314" i="54"/>
  <c r="U313" i="54"/>
  <c r="R314" i="54" s="1"/>
  <c r="T315" i="54"/>
  <c r="Q315" i="54"/>
  <c r="S315" i="54"/>
  <c r="N315" i="54"/>
  <c r="U314" i="54"/>
  <c r="R315" i="54" s="1"/>
  <c r="N316" i="54"/>
  <c r="U315" i="54"/>
  <c r="R316" i="54" s="1"/>
  <c r="Q316" i="54"/>
  <c r="S316" i="54"/>
  <c r="T316" i="54"/>
  <c r="S317" i="54"/>
  <c r="U316" i="54"/>
  <c r="R317" i="54" s="1"/>
  <c r="N317" i="54"/>
  <c r="T317" i="54"/>
  <c r="Q317" i="54"/>
  <c r="N318" i="54"/>
  <c r="U317" i="54"/>
  <c r="R318" i="54" s="1"/>
  <c r="S318" i="54"/>
  <c r="Q318" i="54"/>
  <c r="T318" i="54"/>
  <c r="T319" i="54"/>
  <c r="Q319" i="54"/>
  <c r="S319" i="54"/>
  <c r="U318" i="54"/>
  <c r="R319" i="54" s="1"/>
  <c r="N319" i="54"/>
  <c r="Q320" i="54"/>
  <c r="U319" i="54"/>
  <c r="R320" i="54" s="1"/>
  <c r="T320" i="54"/>
  <c r="S320" i="54"/>
  <c r="N320" i="54"/>
  <c r="Q321" i="54"/>
  <c r="T321" i="54"/>
  <c r="N321" i="54"/>
  <c r="U320" i="54"/>
  <c r="R321" i="54" s="1"/>
  <c r="S321" i="54"/>
  <c r="Q322" i="54"/>
  <c r="N322" i="54"/>
  <c r="U321" i="54"/>
  <c r="R322" i="54" s="1"/>
  <c r="T322" i="54"/>
  <c r="S322" i="54"/>
  <c r="Q323" i="54"/>
  <c r="T323" i="54"/>
  <c r="N323" i="54"/>
  <c r="U322" i="54"/>
  <c r="R323" i="54" s="1"/>
  <c r="S323" i="54"/>
  <c r="S324" i="54"/>
  <c r="N324" i="54"/>
  <c r="T324" i="54"/>
  <c r="Q324" i="54"/>
  <c r="U323" i="54"/>
  <c r="R324" i="54" s="1"/>
  <c r="N325" i="54"/>
  <c r="T325" i="54"/>
  <c r="Q325" i="54"/>
  <c r="U324" i="54"/>
  <c r="R325" i="54" s="1"/>
  <c r="S325" i="54"/>
  <c r="N326" i="54"/>
  <c r="T326" i="54"/>
  <c r="U325" i="54"/>
  <c r="R326" i="54" s="1"/>
  <c r="S326" i="54"/>
  <c r="Q326" i="54"/>
  <c r="T327" i="54"/>
  <c r="U326" i="54"/>
  <c r="R327" i="54" s="1"/>
  <c r="N327" i="54"/>
  <c r="S327" i="54"/>
  <c r="Q327" i="54"/>
  <c r="Q328" i="54"/>
  <c r="S328" i="54"/>
  <c r="T328" i="54"/>
  <c r="U327" i="54"/>
  <c r="R328" i="54" s="1"/>
  <c r="N328" i="54"/>
  <c r="Q329" i="54"/>
  <c r="U328" i="54"/>
  <c r="R329" i="54" s="1"/>
  <c r="S329" i="54"/>
  <c r="T329" i="54"/>
  <c r="N329" i="54"/>
  <c r="Q330" i="54"/>
  <c r="S330" i="54"/>
  <c r="U329" i="54"/>
  <c r="R330" i="54" s="1"/>
  <c r="N330" i="54"/>
  <c r="T330" i="54"/>
  <c r="S331" i="54"/>
  <c r="T331" i="54"/>
  <c r="Q331" i="54"/>
  <c r="U330" i="54"/>
  <c r="R331" i="54" s="1"/>
  <c r="N331" i="54"/>
  <c r="U331" i="54"/>
  <c r="R332" i="54" s="1"/>
  <c r="T332" i="54"/>
  <c r="Q332" i="54"/>
  <c r="N332" i="54"/>
  <c r="S332" i="54"/>
  <c r="Q333" i="54"/>
  <c r="S333" i="54"/>
  <c r="U332" i="54"/>
  <c r="R333" i="54" s="1"/>
  <c r="N333" i="54"/>
  <c r="T333" i="54"/>
  <c r="U333" i="54"/>
  <c r="R334" i="54" s="1"/>
  <c r="N334" i="54"/>
  <c r="Q334" i="54"/>
  <c r="S334" i="54"/>
  <c r="T334" i="54"/>
  <c r="N335" i="54"/>
  <c r="Q335" i="54"/>
  <c r="U334" i="54"/>
  <c r="R335" i="54" s="1"/>
  <c r="T335" i="54"/>
  <c r="S335" i="54"/>
  <c r="T336" i="54"/>
  <c r="N336" i="54"/>
  <c r="Q336" i="54"/>
  <c r="S336" i="54"/>
  <c r="U335" i="54"/>
  <c r="R336" i="54" s="1"/>
  <c r="T337" i="54"/>
  <c r="Q337" i="54"/>
  <c r="U336" i="54"/>
  <c r="R337" i="54" s="1"/>
  <c r="N337" i="54"/>
  <c r="S337" i="54"/>
  <c r="T338" i="54"/>
  <c r="N338" i="54"/>
  <c r="S338" i="54"/>
  <c r="U337" i="54"/>
  <c r="R338" i="54" s="1"/>
  <c r="Q338" i="54"/>
  <c r="N339" i="54"/>
  <c r="S339" i="54"/>
  <c r="Q339" i="54"/>
  <c r="U338" i="54"/>
  <c r="R339" i="54" s="1"/>
  <c r="T339" i="54"/>
  <c r="Q340" i="54"/>
  <c r="N340" i="54"/>
  <c r="S340" i="54"/>
  <c r="U339" i="54"/>
  <c r="R340" i="54" s="1"/>
  <c r="T340" i="54"/>
  <c r="U340" i="54"/>
  <c r="R341" i="54" s="1"/>
  <c r="N341" i="54"/>
  <c r="S341" i="54"/>
  <c r="Q341" i="54"/>
  <c r="T341" i="54"/>
  <c r="N342" i="54"/>
  <c r="T342" i="54"/>
  <c r="S342" i="54"/>
  <c r="U341" i="54"/>
  <c r="R342" i="54" s="1"/>
  <c r="Q342" i="54"/>
  <c r="N343" i="54"/>
  <c r="U342" i="54"/>
  <c r="R343" i="54" s="1"/>
  <c r="T343" i="54"/>
  <c r="S343" i="54"/>
  <c r="Q343" i="54"/>
  <c r="N344" i="54"/>
  <c r="U343" i="54"/>
  <c r="R344" i="54" s="1"/>
  <c r="Q344" i="54"/>
  <c r="S344" i="54"/>
  <c r="T344" i="54"/>
  <c r="N345" i="54"/>
  <c r="S345" i="54"/>
  <c r="T345" i="54"/>
  <c r="U344" i="54"/>
  <c r="R345" i="54" s="1"/>
  <c r="Q345" i="54"/>
  <c r="Q346" i="54"/>
  <c r="T346" i="54"/>
  <c r="S346" i="54"/>
  <c r="N346" i="54"/>
  <c r="U345" i="54"/>
  <c r="R346" i="54" s="1"/>
  <c r="U346" i="54"/>
  <c r="R347" i="54" s="1"/>
  <c r="S347" i="54"/>
  <c r="T347" i="54"/>
  <c r="Q347" i="54"/>
  <c r="N347" i="54"/>
  <c r="Q348" i="54"/>
  <c r="N348" i="54"/>
  <c r="S348" i="54"/>
  <c r="U347" i="54"/>
  <c r="R348" i="54" s="1"/>
  <c r="T348" i="54"/>
  <c r="T349" i="54"/>
  <c r="S349" i="54"/>
  <c r="Q349" i="54"/>
  <c r="U348" i="54"/>
  <c r="R349" i="54" s="1"/>
  <c r="N349" i="54"/>
  <c r="Q350" i="54"/>
  <c r="N350" i="54"/>
  <c r="T350" i="54"/>
  <c r="S350" i="54"/>
  <c r="U349" i="54"/>
  <c r="R350" i="54" s="1"/>
  <c r="S351" i="54"/>
  <c r="T351" i="54"/>
  <c r="N351" i="54"/>
  <c r="U350" i="54"/>
  <c r="R351" i="54" s="1"/>
  <c r="Q351" i="54"/>
  <c r="U351" i="54"/>
  <c r="R352" i="54" s="1"/>
  <c r="N352" i="54"/>
  <c r="Q352" i="54"/>
  <c r="S352" i="54"/>
  <c r="T352" i="54"/>
  <c r="U352" i="54"/>
  <c r="R353" i="54" s="1"/>
  <c r="N353" i="54"/>
  <c r="T353" i="54"/>
  <c r="S353" i="54"/>
  <c r="Q353" i="54"/>
  <c r="S354" i="54"/>
  <c r="T354" i="54"/>
  <c r="U353" i="54"/>
  <c r="R354" i="54" s="1"/>
  <c r="Q354" i="54"/>
  <c r="N354" i="54"/>
  <c r="S355" i="54"/>
  <c r="Q355" i="54"/>
  <c r="U354" i="54"/>
  <c r="R355" i="54" s="1"/>
  <c r="T355" i="54"/>
  <c r="N355" i="54"/>
  <c r="S356" i="54"/>
  <c r="N356" i="54"/>
  <c r="T356" i="54"/>
  <c r="U355" i="54"/>
  <c r="R356" i="54" s="1"/>
  <c r="Q356" i="54"/>
  <c r="T357" i="54"/>
  <c r="S357" i="54"/>
  <c r="N357" i="54"/>
  <c r="U356" i="54"/>
  <c r="R357" i="54" s="1"/>
  <c r="Q357" i="54"/>
  <c r="T358" i="54"/>
  <c r="U357" i="54"/>
  <c r="R358" i="54" s="1"/>
  <c r="N358" i="54"/>
  <c r="S358" i="54"/>
  <c r="Q358" i="54"/>
  <c r="Q359" i="54"/>
  <c r="S359" i="54"/>
  <c r="T359" i="54"/>
  <c r="U358" i="54"/>
  <c r="R359" i="54" s="1"/>
  <c r="N359" i="54"/>
  <c r="U359" i="54"/>
  <c r="R360" i="54" s="1"/>
  <c r="N360" i="54"/>
  <c r="Q360" i="54"/>
  <c r="T360" i="54"/>
  <c r="S360" i="54"/>
  <c r="T361" i="54"/>
  <c r="S361" i="54"/>
  <c r="U360" i="54"/>
  <c r="R361" i="54" s="1"/>
  <c r="Q361" i="54"/>
  <c r="N361" i="54"/>
  <c r="T362" i="54"/>
  <c r="N362" i="54"/>
  <c r="S362" i="54"/>
  <c r="Q362" i="54"/>
  <c r="U361" i="54"/>
  <c r="R362" i="54" s="1"/>
  <c r="Q363" i="54"/>
  <c r="U362" i="54"/>
  <c r="R363" i="54" s="1"/>
  <c r="S363" i="54"/>
  <c r="T363" i="54"/>
  <c r="N363" i="54"/>
  <c r="U363" i="54"/>
  <c r="R364" i="54" s="1"/>
  <c r="N364" i="54"/>
  <c r="Q364" i="54"/>
  <c r="T364" i="54"/>
  <c r="S364" i="54"/>
  <c r="S365" i="54"/>
  <c r="N365" i="54"/>
  <c r="Q365" i="54"/>
  <c r="U364" i="54"/>
  <c r="R365" i="54" s="1"/>
  <c r="T365" i="54"/>
  <c r="Q366" i="54"/>
  <c r="S366" i="54"/>
  <c r="N366" i="54"/>
  <c r="U365" i="54"/>
  <c r="R366" i="54" s="1"/>
  <c r="T366" i="54"/>
  <c r="U366" i="54"/>
  <c r="R367" i="54" s="1"/>
  <c r="S367" i="54"/>
  <c r="N367" i="54"/>
  <c r="T367" i="54"/>
  <c r="Q367" i="54"/>
  <c r="T368" i="54"/>
  <c r="U367" i="54"/>
  <c r="R368" i="54" s="1"/>
  <c r="S368" i="54"/>
  <c r="Q368" i="54"/>
  <c r="N368" i="54"/>
  <c r="N369" i="54"/>
  <c r="U368" i="54"/>
  <c r="R369" i="54" s="1"/>
  <c r="T369" i="54"/>
  <c r="Q369" i="54"/>
  <c r="S369" i="54"/>
  <c r="U369" i="54"/>
  <c r="R370" i="54" s="1"/>
  <c r="T370" i="54"/>
  <c r="N370" i="54"/>
  <c r="Q370" i="54"/>
  <c r="S370" i="54"/>
  <c r="T371" i="54"/>
  <c r="U370" i="54"/>
  <c r="R371" i="54" s="1"/>
  <c r="Q371" i="54"/>
  <c r="N371" i="54"/>
  <c r="S371" i="54"/>
  <c r="N372" i="54"/>
  <c r="T372" i="54"/>
  <c r="U371" i="54"/>
  <c r="R372" i="54" s="1"/>
  <c r="S372" i="54"/>
  <c r="Q372" i="54"/>
  <c r="N373" i="54"/>
  <c r="T373" i="54"/>
  <c r="Q373" i="54"/>
  <c r="S373" i="54"/>
  <c r="U372" i="54"/>
  <c r="R373" i="54" s="1"/>
  <c r="N374" i="54"/>
  <c r="T374" i="54"/>
  <c r="U373" i="54"/>
  <c r="R374" i="54" s="1"/>
  <c r="S374" i="54"/>
  <c r="Q374" i="54"/>
  <c r="U374" i="54"/>
  <c r="R375" i="54" s="1"/>
  <c r="T375" i="54"/>
  <c r="N375" i="54"/>
  <c r="Q375" i="54"/>
  <c r="S375" i="54"/>
  <c r="Q376" i="54"/>
  <c r="N376" i="54"/>
  <c r="T376" i="54"/>
  <c r="S376" i="54"/>
  <c r="U375" i="54"/>
  <c r="R376" i="54" s="1"/>
  <c r="S377" i="54"/>
  <c r="N377" i="54"/>
  <c r="U376" i="54"/>
  <c r="R377" i="54" s="1"/>
  <c r="Q377" i="54"/>
  <c r="T377" i="54"/>
  <c r="Q378" i="54"/>
  <c r="S378" i="54"/>
  <c r="T378" i="54"/>
  <c r="N378" i="54"/>
  <c r="U377" i="54"/>
  <c r="R378" i="54" s="1"/>
  <c r="U378" i="54"/>
  <c r="R379" i="54" s="1"/>
  <c r="AE48" i="54" l="1"/>
  <c r="C381" i="54"/>
  <c r="E381" i="54" s="1"/>
  <c r="G381" i="54" s="1"/>
  <c r="F382" i="54"/>
  <c r="D382" i="54"/>
  <c r="AA21" i="54"/>
  <c r="AE46" i="54"/>
  <c r="AK46" i="54" s="1"/>
  <c r="Q21" i="54"/>
  <c r="S21" i="54" s="1"/>
  <c r="AE49" i="54"/>
  <c r="AJ49" i="54" s="1"/>
  <c r="AE47" i="54"/>
  <c r="AK47" i="54" s="1"/>
  <c r="U71" i="54"/>
  <c r="R72" i="54" s="1"/>
  <c r="AG47" i="54"/>
  <c r="AG46" i="54"/>
  <c r="AG48" i="54"/>
  <c r="AM48" i="54" s="1"/>
  <c r="AG49" i="54"/>
  <c r="AH20" i="54"/>
  <c r="AK20" i="54" s="1"/>
  <c r="T21" i="54"/>
  <c r="S20" i="54"/>
  <c r="AG20" i="54"/>
  <c r="N21" i="54"/>
  <c r="U72" i="54"/>
  <c r="R73" i="54" s="1"/>
  <c r="AH47" i="54" s="1"/>
  <c r="U70" i="54"/>
  <c r="R71" i="54" s="1"/>
  <c r="AK48" i="54"/>
  <c r="AJ48" i="54"/>
  <c r="AH49" i="54"/>
  <c r="AH48" i="54"/>
  <c r="AK49" i="54" l="1"/>
  <c r="AJ46" i="54"/>
  <c r="AM46" i="54"/>
  <c r="AJ47" i="54"/>
  <c r="L383" i="54"/>
  <c r="I381" i="54"/>
  <c r="M382" i="54" s="1"/>
  <c r="AM49" i="54"/>
  <c r="AM47" i="54"/>
  <c r="AH46" i="54"/>
  <c r="V21" i="54"/>
  <c r="U21" i="54"/>
  <c r="AM20" i="54"/>
  <c r="AJ20" i="54"/>
  <c r="C382" i="54" l="1"/>
  <c r="E382" i="54"/>
  <c r="G382" i="54" s="1"/>
  <c r="F383" i="54"/>
  <c r="D383" i="54"/>
  <c r="N22" i="54"/>
  <c r="R22" i="54"/>
  <c r="O22" i="54" s="1"/>
  <c r="L384" i="54" l="1"/>
  <c r="I382" i="54"/>
  <c r="M383" i="54" s="1"/>
  <c r="AA22" i="54"/>
  <c r="AF21" i="54" s="1"/>
  <c r="Q22" i="54"/>
  <c r="T22" i="54"/>
  <c r="V22" i="54"/>
  <c r="AE21" i="54"/>
  <c r="U22" i="54"/>
  <c r="C383" i="54" l="1"/>
  <c r="E383" i="54" s="1"/>
  <c r="G383" i="54" s="1"/>
  <c r="F384" i="54"/>
  <c r="D384" i="54"/>
  <c r="AG21" i="54"/>
  <c r="S22" i="54"/>
  <c r="N23" i="54"/>
  <c r="R23" i="54"/>
  <c r="Q23" i="54" s="1"/>
  <c r="S23" i="54" s="1"/>
  <c r="L385" i="54" l="1"/>
  <c r="I383" i="54"/>
  <c r="M384" i="54" s="1"/>
  <c r="AJ21" i="54"/>
  <c r="AM21" i="54"/>
  <c r="G125" i="22" s="1"/>
  <c r="AH21" i="54"/>
  <c r="T23" i="54"/>
  <c r="M14" i="54" s="1"/>
  <c r="T15" i="26" s="1"/>
  <c r="V23" i="54"/>
  <c r="U23" i="54"/>
  <c r="C384" i="54" l="1"/>
  <c r="E384" i="54" s="1"/>
  <c r="G384" i="54" s="1"/>
  <c r="F385" i="54"/>
  <c r="D385" i="54"/>
  <c r="AK21" i="54"/>
  <c r="Z23" i="54"/>
  <c r="X23" i="54"/>
  <c r="Y23" i="54"/>
  <c r="N24" i="54"/>
  <c r="R24" i="54"/>
  <c r="L386" i="54" l="1"/>
  <c r="I385" i="54"/>
  <c r="I384" i="54"/>
  <c r="M385" i="54" s="1"/>
  <c r="AA23" i="54"/>
  <c r="O24" i="54"/>
  <c r="T24" i="54"/>
  <c r="V24" i="54"/>
  <c r="AE22" i="54"/>
  <c r="M386" i="54" l="1"/>
  <c r="C385" i="54"/>
  <c r="E385" i="54" s="1"/>
  <c r="G385" i="54" s="1"/>
  <c r="Q24" i="54"/>
  <c r="M387" i="54" l="1"/>
  <c r="C386" i="54"/>
  <c r="E386" i="54" s="1"/>
  <c r="G386" i="54" s="1"/>
  <c r="S24" i="54"/>
  <c r="U24" i="54"/>
  <c r="M388" i="54" l="1"/>
  <c r="C387" i="54"/>
  <c r="E387" i="54" s="1"/>
  <c r="G387" i="54" s="1"/>
  <c r="Z24" i="54"/>
  <c r="Y24" i="54"/>
  <c r="X24" i="54"/>
  <c r="N25" i="54"/>
  <c r="R25" i="54"/>
  <c r="M389" i="54" l="1"/>
  <c r="C388" i="54"/>
  <c r="E388" i="54" s="1"/>
  <c r="G388" i="54" s="1"/>
  <c r="AI22" i="54"/>
  <c r="AA24" i="54"/>
  <c r="O25" i="54"/>
  <c r="T25" i="54"/>
  <c r="V25" i="54"/>
  <c r="M390" i="54" l="1"/>
  <c r="C389" i="54"/>
  <c r="E389" i="54" s="1"/>
  <c r="G389" i="54" s="1"/>
  <c r="AL22" i="54"/>
  <c r="Q25" i="54"/>
  <c r="M391" i="54" l="1"/>
  <c r="C390" i="54"/>
  <c r="E390" i="54" s="1"/>
  <c r="G390" i="54" s="1"/>
  <c r="AG22" i="54"/>
  <c r="S25" i="54"/>
  <c r="U25" i="54"/>
  <c r="AF22" i="54"/>
  <c r="M392" i="54" l="1"/>
  <c r="C391" i="54"/>
  <c r="E391" i="54" s="1"/>
  <c r="G391" i="54" s="1"/>
  <c r="Z25" i="54"/>
  <c r="Y25" i="54"/>
  <c r="X25" i="54"/>
  <c r="AM22" i="54"/>
  <c r="H125" i="22" s="1"/>
  <c r="AJ22" i="54"/>
  <c r="R26" i="54"/>
  <c r="N26" i="54"/>
  <c r="M393" i="54" l="1"/>
  <c r="C392" i="54"/>
  <c r="E392" i="54"/>
  <c r="G392" i="54" s="1"/>
  <c r="AA25" i="54"/>
  <c r="V26" i="54"/>
  <c r="AE23" i="54"/>
  <c r="O26" i="54"/>
  <c r="T26" i="54"/>
  <c r="M394" i="54" l="1"/>
  <c r="C393" i="54"/>
  <c r="E393" i="54" s="1"/>
  <c r="G393" i="54" s="1"/>
  <c r="Q26" i="54"/>
  <c r="M395" i="54" l="1"/>
  <c r="C394" i="54"/>
  <c r="E394" i="54" s="1"/>
  <c r="G394" i="54" s="1"/>
  <c r="S26" i="54"/>
  <c r="U26" i="54"/>
  <c r="M396" i="54" l="1"/>
  <c r="C395" i="54"/>
  <c r="E395" i="54" s="1"/>
  <c r="G395" i="54" s="1"/>
  <c r="X26" i="54"/>
  <c r="Y26" i="54"/>
  <c r="Z26" i="54"/>
  <c r="R27" i="54"/>
  <c r="N27" i="54"/>
  <c r="M397" i="54" l="1"/>
  <c r="C396" i="54"/>
  <c r="E396" i="54"/>
  <c r="G396" i="54" s="1"/>
  <c r="AI23" i="54"/>
  <c r="AL23" i="54" s="1"/>
  <c r="AA26" i="54"/>
  <c r="V27" i="54"/>
  <c r="O27" i="54"/>
  <c r="T27" i="54"/>
  <c r="AH23" i="54"/>
  <c r="M398" i="54" l="1"/>
  <c r="C397" i="54"/>
  <c r="E397" i="54" s="1"/>
  <c r="G397" i="54" s="1"/>
  <c r="Q27" i="54"/>
  <c r="M399" i="54" l="1"/>
  <c r="C398" i="54"/>
  <c r="E398" i="54" s="1"/>
  <c r="G398" i="54" s="1"/>
  <c r="S27" i="54"/>
  <c r="AG23" i="54"/>
  <c r="U27" i="54"/>
  <c r="M400" i="54" l="1"/>
  <c r="C399" i="54"/>
  <c r="E399" i="54" s="1"/>
  <c r="G399" i="54" s="1"/>
  <c r="Z27" i="54"/>
  <c r="X27" i="54"/>
  <c r="Y27" i="54"/>
  <c r="N28" i="54"/>
  <c r="R28" i="54"/>
  <c r="AM23" i="54"/>
  <c r="I125" i="22" s="1"/>
  <c r="AJ23" i="54"/>
  <c r="M401" i="54" l="1"/>
  <c r="C400" i="54"/>
  <c r="E400" i="54" s="1"/>
  <c r="G400" i="54" s="1"/>
  <c r="AA27" i="54"/>
  <c r="AF23" i="54" s="1"/>
  <c r="O28" i="54"/>
  <c r="T28" i="54"/>
  <c r="V28" i="54"/>
  <c r="AE24" i="54"/>
  <c r="M402" i="54" l="1"/>
  <c r="C401" i="54"/>
  <c r="E401" i="54" s="1"/>
  <c r="G401" i="54" s="1"/>
  <c r="Q28" i="54"/>
  <c r="M403" i="54" l="1"/>
  <c r="C402" i="54"/>
  <c r="E402" i="54"/>
  <c r="G402" i="54" s="1"/>
  <c r="S28" i="54"/>
  <c r="U28" i="54"/>
  <c r="M404" i="54" l="1"/>
  <c r="C403" i="54"/>
  <c r="E403" i="54" s="1"/>
  <c r="G403" i="54" s="1"/>
  <c r="Z28" i="54"/>
  <c r="Y28" i="54"/>
  <c r="X28" i="54"/>
  <c r="N29" i="54"/>
  <c r="R29" i="54"/>
  <c r="M405" i="54" l="1"/>
  <c r="C404" i="54"/>
  <c r="E404" i="54" s="1"/>
  <c r="G404" i="54" s="1"/>
  <c r="AA28" i="54"/>
  <c r="Q29" i="54"/>
  <c r="U29" i="54" s="1"/>
  <c r="T29" i="54"/>
  <c r="AH24" i="54"/>
  <c r="V29" i="54"/>
  <c r="M406" i="54" l="1"/>
  <c r="C405" i="54"/>
  <c r="E405" i="54" s="1"/>
  <c r="G405" i="54" s="1"/>
  <c r="Y29" i="54"/>
  <c r="Z29" i="54"/>
  <c r="X29" i="54"/>
  <c r="R30" i="54"/>
  <c r="N30" i="54"/>
  <c r="S29" i="54"/>
  <c r="AG24" i="54"/>
  <c r="M407" i="54" l="1"/>
  <c r="C406" i="54"/>
  <c r="E406" i="54" s="1"/>
  <c r="G406" i="54" s="1"/>
  <c r="AJ24" i="54"/>
  <c r="AM24" i="54"/>
  <c r="L125" i="22" s="1"/>
  <c r="Q30" i="54"/>
  <c r="U30" i="54" s="1"/>
  <c r="T30" i="54"/>
  <c r="AA29" i="54"/>
  <c r="AF24" i="54" s="1"/>
  <c r="AI24" i="54"/>
  <c r="V30" i="54"/>
  <c r="AE25" i="54"/>
  <c r="M408" i="54" l="1"/>
  <c r="C407" i="54"/>
  <c r="E407" i="54" s="1"/>
  <c r="G407" i="54" s="1"/>
  <c r="AL24" i="54"/>
  <c r="Z30" i="54"/>
  <c r="X30" i="54"/>
  <c r="Y30" i="54"/>
  <c r="N31" i="54"/>
  <c r="R31" i="54"/>
  <c r="S30" i="54"/>
  <c r="M409" i="54" l="1"/>
  <c r="C408" i="54"/>
  <c r="E408" i="54" s="1"/>
  <c r="G408" i="54" s="1"/>
  <c r="AA30" i="54"/>
  <c r="Q31" i="54"/>
  <c r="U31" i="54" s="1"/>
  <c r="T31" i="54"/>
  <c r="AH25" i="54"/>
  <c r="V31" i="54"/>
  <c r="M410" i="54" l="1"/>
  <c r="C409" i="54"/>
  <c r="E409" i="54" s="1"/>
  <c r="G409" i="54" s="1"/>
  <c r="Z31" i="54"/>
  <c r="X31" i="54"/>
  <c r="Y31" i="54"/>
  <c r="N32" i="54"/>
  <c r="R32" i="54"/>
  <c r="S31" i="54"/>
  <c r="AG25" i="54"/>
  <c r="M411" i="54" l="1"/>
  <c r="C410" i="54"/>
  <c r="E410" i="54"/>
  <c r="G410" i="54" s="1"/>
  <c r="AJ25" i="54"/>
  <c r="AM25" i="54"/>
  <c r="M125" i="22" s="1"/>
  <c r="AA31" i="54"/>
  <c r="AF25" i="54" s="1"/>
  <c r="AI25" i="54"/>
  <c r="V32" i="54"/>
  <c r="AE26" i="54"/>
  <c r="Q32" i="54"/>
  <c r="T32" i="54"/>
  <c r="M412" i="54" l="1"/>
  <c r="C411" i="54"/>
  <c r="E411" i="54"/>
  <c r="G411" i="54" s="1"/>
  <c r="AL25" i="54"/>
  <c r="S32" i="54"/>
  <c r="U32" i="54"/>
  <c r="M413" i="54" l="1"/>
  <c r="C412" i="54"/>
  <c r="E412" i="54"/>
  <c r="G412" i="54" s="1"/>
  <c r="Y32" i="54"/>
  <c r="Z32" i="54"/>
  <c r="X32" i="54"/>
  <c r="R33" i="54"/>
  <c r="N33" i="54"/>
  <c r="M414" i="54" l="1"/>
  <c r="C413" i="54"/>
  <c r="E413" i="54" s="1"/>
  <c r="G413" i="54" s="1"/>
  <c r="Q33" i="54"/>
  <c r="T33" i="54"/>
  <c r="AH26" i="54"/>
  <c r="AA32" i="54"/>
  <c r="V33" i="54"/>
  <c r="U33" i="54"/>
  <c r="M415" i="54" l="1"/>
  <c r="C414" i="54"/>
  <c r="E414" i="54"/>
  <c r="G414" i="54" s="1"/>
  <c r="Z33" i="54"/>
  <c r="X33" i="54"/>
  <c r="Y33" i="54"/>
  <c r="N34" i="54"/>
  <c r="R34" i="54"/>
  <c r="S33" i="54"/>
  <c r="AG26" i="54"/>
  <c r="M416" i="54" l="1"/>
  <c r="C415" i="54"/>
  <c r="E415" i="54" s="1"/>
  <c r="G415" i="54" s="1"/>
  <c r="AA33" i="54"/>
  <c r="AF26" i="54" s="1"/>
  <c r="AI26" i="54"/>
  <c r="AJ26" i="54"/>
  <c r="AM26" i="54"/>
  <c r="N125" i="22" s="1"/>
  <c r="Q34" i="54"/>
  <c r="U34" i="54" s="1"/>
  <c r="T34" i="54"/>
  <c r="V34" i="54"/>
  <c r="AE27" i="54"/>
  <c r="M417" i="54" l="1"/>
  <c r="C416" i="54"/>
  <c r="E416" i="54"/>
  <c r="G416" i="54" s="1"/>
  <c r="Y34" i="54"/>
  <c r="X34" i="54"/>
  <c r="Z34" i="54"/>
  <c r="N35" i="54"/>
  <c r="R35" i="54"/>
  <c r="S34" i="54"/>
  <c r="AL26" i="54"/>
  <c r="M418" i="54" l="1"/>
  <c r="C417" i="54"/>
  <c r="E417" i="54" s="1"/>
  <c r="G417" i="54" s="1"/>
  <c r="V35" i="54"/>
  <c r="AA34" i="54"/>
  <c r="Q35" i="54"/>
  <c r="U35" i="54" s="1"/>
  <c r="T35" i="54"/>
  <c r="AH27" i="54"/>
  <c r="M419" i="54" l="1"/>
  <c r="C418" i="54"/>
  <c r="E418" i="54" s="1"/>
  <c r="G418" i="54" s="1"/>
  <c r="Z35" i="54"/>
  <c r="X35" i="54"/>
  <c r="Y35" i="54"/>
  <c r="N36" i="54"/>
  <c r="R36" i="54"/>
  <c r="S35" i="54"/>
  <c r="AG27" i="54"/>
  <c r="M420" i="54" l="1"/>
  <c r="C419" i="54"/>
  <c r="E419" i="54" s="1"/>
  <c r="G419" i="54" s="1"/>
  <c r="AJ27" i="54"/>
  <c r="AM27" i="54"/>
  <c r="O125" i="22" s="1"/>
  <c r="V36" i="54"/>
  <c r="AE28" i="54"/>
  <c r="AA35" i="54"/>
  <c r="AF27" i="54" s="1"/>
  <c r="AI27" i="54"/>
  <c r="Q36" i="54"/>
  <c r="T36" i="54"/>
  <c r="M421" i="54" l="1"/>
  <c r="C420" i="54"/>
  <c r="E420" i="54" s="1"/>
  <c r="G420" i="54" s="1"/>
  <c r="AL27" i="54"/>
  <c r="S36" i="54"/>
  <c r="U36" i="54"/>
  <c r="M422" i="54" l="1"/>
  <c r="C421" i="54"/>
  <c r="E421" i="54" s="1"/>
  <c r="G421" i="54" s="1"/>
  <c r="Y36" i="54"/>
  <c r="X36" i="54"/>
  <c r="Z36" i="54"/>
  <c r="R37" i="54"/>
  <c r="N37" i="54"/>
  <c r="M423" i="54" l="1"/>
  <c r="C422" i="54"/>
  <c r="E422" i="54" s="1"/>
  <c r="G422" i="54" s="1"/>
  <c r="Q37" i="54"/>
  <c r="T37" i="54"/>
  <c r="AH28" i="54"/>
  <c r="AA36" i="54"/>
  <c r="V37" i="54"/>
  <c r="U37" i="54"/>
  <c r="M424" i="54" l="1"/>
  <c r="C423" i="54"/>
  <c r="E423" i="54" s="1"/>
  <c r="G423" i="54" s="1"/>
  <c r="Y37" i="54"/>
  <c r="X37" i="54"/>
  <c r="Z37" i="54"/>
  <c r="R38" i="54"/>
  <c r="N38" i="54"/>
  <c r="S37" i="54"/>
  <c r="AG28" i="54"/>
  <c r="M425" i="54" l="1"/>
  <c r="C424" i="54"/>
  <c r="E424" i="54" s="1"/>
  <c r="G424" i="54" s="1"/>
  <c r="AM28" i="54"/>
  <c r="P125" i="22" s="1"/>
  <c r="AJ28" i="54"/>
  <c r="AA37" i="54"/>
  <c r="AF28" i="54" s="1"/>
  <c r="AI28" i="54"/>
  <c r="AL28" i="54" s="1"/>
  <c r="V38" i="54"/>
  <c r="AE29" i="54"/>
  <c r="Q38" i="54"/>
  <c r="U38" i="54" s="1"/>
  <c r="T38" i="54"/>
  <c r="M426" i="54" l="1"/>
  <c r="C425" i="54"/>
  <c r="E425" i="54" s="1"/>
  <c r="G425" i="54" s="1"/>
  <c r="Z38" i="54"/>
  <c r="X38" i="54"/>
  <c r="Y38" i="54"/>
  <c r="R39" i="54"/>
  <c r="N39" i="54"/>
  <c r="S38" i="54"/>
  <c r="M427" i="54" l="1"/>
  <c r="C426" i="54"/>
  <c r="E426" i="54" s="1"/>
  <c r="G426" i="54" s="1"/>
  <c r="Q39" i="54"/>
  <c r="U39" i="54" s="1"/>
  <c r="T39" i="54"/>
  <c r="AH29" i="54"/>
  <c r="V39" i="54"/>
  <c r="AA38" i="54"/>
  <c r="M428" i="54" l="1"/>
  <c r="C427" i="54"/>
  <c r="E427" i="54" s="1"/>
  <c r="G427" i="54" s="1"/>
  <c r="Y39" i="54"/>
  <c r="X39" i="54"/>
  <c r="Z39" i="54"/>
  <c r="R40" i="54"/>
  <c r="N40" i="54"/>
  <c r="S39" i="54"/>
  <c r="AG29" i="54"/>
  <c r="M429" i="54" l="1"/>
  <c r="C428" i="54"/>
  <c r="E428" i="54" s="1"/>
  <c r="G428" i="54" s="1"/>
  <c r="AA39" i="54"/>
  <c r="AF29" i="54" s="1"/>
  <c r="AI29" i="54"/>
  <c r="AL29" i="54" s="1"/>
  <c r="V40" i="54"/>
  <c r="AE30" i="54"/>
  <c r="AM29" i="54"/>
  <c r="Q125" i="22" s="1"/>
  <c r="AJ29" i="54"/>
  <c r="Q40" i="54"/>
  <c r="T40" i="54"/>
  <c r="M430" i="54" l="1"/>
  <c r="C429" i="54"/>
  <c r="E429" i="54" s="1"/>
  <c r="G429" i="54" s="1"/>
  <c r="S40" i="54"/>
  <c r="U40" i="54"/>
  <c r="M431" i="54" l="1"/>
  <c r="C430" i="54"/>
  <c r="E430" i="54" s="1"/>
  <c r="G430" i="54" s="1"/>
  <c r="X40" i="54"/>
  <c r="Y40" i="54"/>
  <c r="Z40" i="54"/>
  <c r="N41" i="54"/>
  <c r="R41" i="54"/>
  <c r="M432" i="54" l="1"/>
  <c r="C431" i="54"/>
  <c r="E431" i="54" s="1"/>
  <c r="G431" i="54" s="1"/>
  <c r="V41" i="54"/>
  <c r="Q41" i="54"/>
  <c r="T41" i="54"/>
  <c r="AH30" i="54"/>
  <c r="AA40" i="54"/>
  <c r="M433" i="54" l="1"/>
  <c r="C432" i="54"/>
  <c r="E432" i="54" s="1"/>
  <c r="G432" i="54" s="1"/>
  <c r="S41" i="54"/>
  <c r="AG30" i="54"/>
  <c r="U41" i="54"/>
  <c r="M434" i="54" l="1"/>
  <c r="C433" i="54"/>
  <c r="E433" i="54" s="1"/>
  <c r="G433" i="54" s="1"/>
  <c r="X41" i="54"/>
  <c r="Z41" i="54"/>
  <c r="Y41" i="54"/>
  <c r="R42" i="54"/>
  <c r="N42" i="54"/>
  <c r="AM30" i="54"/>
  <c r="R125" i="22" s="1"/>
  <c r="AJ30" i="54"/>
  <c r="M435" i="54" l="1"/>
  <c r="C434" i="54"/>
  <c r="E434" i="54" s="1"/>
  <c r="G434" i="54" s="1"/>
  <c r="Q42" i="54"/>
  <c r="T42" i="54"/>
  <c r="V42" i="54"/>
  <c r="AE31" i="54"/>
  <c r="U42" i="54"/>
  <c r="AA41" i="54"/>
  <c r="AF30" i="54" s="1"/>
  <c r="AI30" i="54"/>
  <c r="AL30" i="54" s="1"/>
  <c r="M436" i="54" l="1"/>
  <c r="C435" i="54"/>
  <c r="E435" i="54" s="1"/>
  <c r="G435" i="54" s="1"/>
  <c r="Z42" i="54"/>
  <c r="X42" i="54"/>
  <c r="Y42" i="54"/>
  <c r="R43" i="54"/>
  <c r="N43" i="54"/>
  <c r="S42" i="54"/>
  <c r="M437" i="54" l="1"/>
  <c r="C436" i="54"/>
  <c r="E436" i="54" s="1"/>
  <c r="G436" i="54" s="1"/>
  <c r="Q43" i="54"/>
  <c r="U43" i="54" s="1"/>
  <c r="T43" i="54"/>
  <c r="AH31" i="54"/>
  <c r="AA42" i="54"/>
  <c r="V43" i="54"/>
  <c r="M438" i="54" l="1"/>
  <c r="C437" i="54"/>
  <c r="E437" i="54" s="1"/>
  <c r="G437" i="54" s="1"/>
  <c r="Y43" i="54"/>
  <c r="X43" i="54"/>
  <c r="Z43" i="54"/>
  <c r="N44" i="54"/>
  <c r="R44" i="54"/>
  <c r="S43" i="54"/>
  <c r="AG31" i="54"/>
  <c r="M439" i="54" l="1"/>
  <c r="C438" i="54"/>
  <c r="E438" i="54" s="1"/>
  <c r="G438" i="54" s="1"/>
  <c r="AM31" i="54"/>
  <c r="S125" i="22" s="1"/>
  <c r="AJ31" i="54"/>
  <c r="AA43" i="54"/>
  <c r="AF31" i="54" s="1"/>
  <c r="AI31" i="54"/>
  <c r="AL31" i="54" s="1"/>
  <c r="Q44" i="54"/>
  <c r="T44" i="54"/>
  <c r="V44" i="54"/>
  <c r="AE32" i="54"/>
  <c r="U44" i="54"/>
  <c r="M440" i="54" l="1"/>
  <c r="C439" i="54"/>
  <c r="E439" i="54" s="1"/>
  <c r="G439" i="54" s="1"/>
  <c r="Z44" i="54"/>
  <c r="Y44" i="54"/>
  <c r="X44" i="54"/>
  <c r="N45" i="54"/>
  <c r="R45" i="54"/>
  <c r="S44" i="54"/>
  <c r="C440" i="54" l="1"/>
  <c r="E440" i="54" s="1"/>
  <c r="G440" i="54" s="1"/>
  <c r="AA44" i="54"/>
  <c r="V45" i="54"/>
  <c r="Q45" i="54"/>
  <c r="T45" i="54"/>
  <c r="AH32" i="54"/>
  <c r="S45" i="54" l="1"/>
  <c r="AG32" i="54"/>
  <c r="U45" i="54"/>
  <c r="Y45" i="54" l="1"/>
  <c r="Z45" i="54"/>
  <c r="X45" i="54"/>
  <c r="R46" i="54"/>
  <c r="N46" i="54"/>
  <c r="AJ32" i="54"/>
  <c r="AM32" i="54"/>
  <c r="AA45" i="54" l="1"/>
  <c r="AF32" i="54" s="1"/>
  <c r="AI32" i="54"/>
  <c r="AL32" i="54" s="1"/>
  <c r="Q46" i="54"/>
  <c r="T46" i="54"/>
  <c r="V46" i="54"/>
  <c r="AE33" i="54"/>
  <c r="U46" i="54"/>
  <c r="Y46" i="54" l="1"/>
  <c r="Z46" i="54"/>
  <c r="X46" i="54"/>
  <c r="R47" i="54"/>
  <c r="N47" i="54"/>
  <c r="S46" i="54"/>
  <c r="Q47" i="54" l="1"/>
  <c r="U47" i="54" s="1"/>
  <c r="T47" i="54"/>
  <c r="AH33" i="54"/>
  <c r="AA46" i="54"/>
  <c r="V47" i="54"/>
  <c r="X47" i="54" l="1"/>
  <c r="Y47" i="54"/>
  <c r="Z47" i="54"/>
  <c r="N48" i="54"/>
  <c r="R48" i="54"/>
  <c r="S47" i="54"/>
  <c r="AG33" i="54"/>
  <c r="AJ33" i="54" l="1"/>
  <c r="AM33" i="54"/>
  <c r="Q48" i="54"/>
  <c r="T48" i="54"/>
  <c r="AA47" i="54"/>
  <c r="AF33" i="54" s="1"/>
  <c r="AI33" i="54"/>
  <c r="AL33" i="54" s="1"/>
  <c r="V48" i="54"/>
  <c r="AE34" i="54"/>
  <c r="S48" i="54" l="1"/>
  <c r="U48" i="54"/>
  <c r="Z48" i="54" l="1"/>
  <c r="Y48" i="54"/>
  <c r="X48" i="54"/>
  <c r="R49" i="54"/>
  <c r="N49" i="54"/>
  <c r="AA48" i="54" l="1"/>
  <c r="Q49" i="54"/>
  <c r="U49" i="54" s="1"/>
  <c r="T49" i="54"/>
  <c r="AH34" i="54"/>
  <c r="V49" i="54"/>
  <c r="Z49" i="54" l="1"/>
  <c r="X49" i="54"/>
  <c r="Y49" i="54"/>
  <c r="N50" i="54"/>
  <c r="R50" i="54"/>
  <c r="S49" i="54"/>
  <c r="AG34" i="54"/>
  <c r="AM34" i="54" l="1"/>
  <c r="AJ34" i="54"/>
  <c r="AA49" i="54"/>
  <c r="AF34" i="54" s="1"/>
  <c r="AI34" i="54"/>
  <c r="AL34" i="54" s="1"/>
  <c r="V50" i="54"/>
  <c r="AE35" i="54"/>
  <c r="Q50" i="54"/>
  <c r="U50" i="54" s="1"/>
  <c r="T50" i="54"/>
  <c r="Z50" i="54" l="1"/>
  <c r="X50" i="54"/>
  <c r="Y50" i="54"/>
  <c r="N51" i="54"/>
  <c r="R51" i="54"/>
  <c r="S50" i="54"/>
  <c r="AA50" i="54" l="1"/>
  <c r="V51" i="54"/>
  <c r="Q51" i="54"/>
  <c r="U51" i="54" s="1"/>
  <c r="T51" i="54"/>
  <c r="AH35" i="54"/>
  <c r="Z51" i="54" l="1"/>
  <c r="X51" i="54"/>
  <c r="Y51" i="54"/>
  <c r="N52" i="54"/>
  <c r="R52" i="54"/>
  <c r="S51" i="54"/>
  <c r="AG35" i="54"/>
  <c r="AJ35" i="54" l="1"/>
  <c r="AM35" i="54"/>
  <c r="AA51" i="54"/>
  <c r="AF35" i="54" s="1"/>
  <c r="AI35" i="54"/>
  <c r="AL35" i="54" s="1"/>
  <c r="V52" i="54"/>
  <c r="AE36" i="54"/>
  <c r="Q52" i="54"/>
  <c r="U52" i="54" s="1"/>
  <c r="T52" i="54"/>
  <c r="Z52" i="54" l="1"/>
  <c r="Y52" i="54"/>
  <c r="X52" i="54"/>
  <c r="N53" i="54"/>
  <c r="R53" i="54"/>
  <c r="S52" i="54"/>
  <c r="V53" i="54" l="1"/>
  <c r="Q53" i="54"/>
  <c r="U53" i="54" s="1"/>
  <c r="T53" i="54"/>
  <c r="AH36" i="54"/>
  <c r="AA52" i="54"/>
  <c r="S53" i="54" l="1"/>
  <c r="AG36" i="54"/>
  <c r="X53" i="54"/>
  <c r="Y53" i="54"/>
  <c r="Z53" i="54"/>
  <c r="R54" i="54"/>
  <c r="N54" i="54"/>
  <c r="Q54" i="54" l="1"/>
  <c r="T54" i="54"/>
  <c r="V54" i="54"/>
  <c r="AE37" i="54"/>
  <c r="U54" i="54"/>
  <c r="AA53" i="54"/>
  <c r="AF36" i="54" s="1"/>
  <c r="AI36" i="54"/>
  <c r="AL36" i="54" s="1"/>
  <c r="AM36" i="54"/>
  <c r="AJ36" i="54"/>
  <c r="Z54" i="54" l="1"/>
  <c r="Y54" i="54"/>
  <c r="X54" i="54"/>
  <c r="N55" i="54"/>
  <c r="R55" i="54"/>
  <c r="S54" i="54"/>
  <c r="V55" i="54" l="1"/>
  <c r="AA54" i="54"/>
  <c r="Q55" i="54"/>
  <c r="U55" i="54" s="1"/>
  <c r="T55" i="54"/>
  <c r="AH37" i="54"/>
  <c r="Z55" i="54" l="1"/>
  <c r="X55" i="54"/>
  <c r="Y55" i="54"/>
  <c r="R56" i="54"/>
  <c r="N56" i="54"/>
  <c r="S55" i="54"/>
  <c r="AG37" i="54"/>
  <c r="AA55" i="54" l="1"/>
  <c r="AF37" i="54" s="1"/>
  <c r="AI37" i="54"/>
  <c r="AL37" i="54" s="1"/>
  <c r="AJ37" i="54"/>
  <c r="AM37" i="54"/>
  <c r="Q56" i="54"/>
  <c r="T56" i="54"/>
  <c r="V56" i="54"/>
  <c r="AE38" i="54"/>
  <c r="U56" i="54"/>
  <c r="Y56" i="54" l="1"/>
  <c r="X56" i="54"/>
  <c r="Z56" i="54"/>
  <c r="R57" i="54"/>
  <c r="N57" i="54"/>
  <c r="S56" i="54"/>
  <c r="Q57" i="54" l="1"/>
  <c r="U57" i="54" s="1"/>
  <c r="T57" i="54"/>
  <c r="AH38" i="54"/>
  <c r="AA56" i="54"/>
  <c r="V57" i="54"/>
  <c r="X57" i="54" l="1"/>
  <c r="Z57" i="54"/>
  <c r="Y57" i="54"/>
  <c r="R58" i="54"/>
  <c r="N58" i="54"/>
  <c r="S57" i="54"/>
  <c r="AG38" i="54"/>
  <c r="V58" i="54" l="1"/>
  <c r="AE39" i="54"/>
  <c r="AA57" i="54"/>
  <c r="AF38" i="54" s="1"/>
  <c r="AI38" i="54"/>
  <c r="AL38" i="54" s="1"/>
  <c r="AM38" i="54"/>
  <c r="AJ38" i="54"/>
  <c r="Q58" i="54"/>
  <c r="T58" i="54"/>
  <c r="S58" i="54" l="1"/>
  <c r="U58" i="54"/>
  <c r="Z58" i="54" l="1"/>
  <c r="X58" i="54"/>
  <c r="Y58" i="54"/>
  <c r="R59" i="54"/>
  <c r="N59" i="54"/>
  <c r="Q59" i="54" l="1"/>
  <c r="U59" i="54" s="1"/>
  <c r="T59" i="54"/>
  <c r="AH39" i="54"/>
  <c r="AA58" i="54"/>
  <c r="V59" i="54"/>
  <c r="Z59" i="54" l="1"/>
  <c r="X59" i="54"/>
  <c r="Y59" i="54"/>
  <c r="R60" i="54"/>
  <c r="N60" i="54"/>
  <c r="S59" i="54"/>
  <c r="AG39" i="54"/>
  <c r="AJ39" i="54" l="1"/>
  <c r="AM39" i="54"/>
  <c r="AA59" i="54"/>
  <c r="AF39" i="54" s="1"/>
  <c r="AI39" i="54"/>
  <c r="AL39" i="54" s="1"/>
  <c r="V60" i="54"/>
  <c r="AE40" i="54"/>
  <c r="Q60" i="54"/>
  <c r="U60" i="54" s="1"/>
  <c r="T60" i="54"/>
  <c r="Z60" i="54" l="1"/>
  <c r="X60" i="54"/>
  <c r="Y60" i="54"/>
  <c r="N61" i="54"/>
  <c r="R61" i="54"/>
  <c r="S60" i="54"/>
  <c r="AA60" i="54" l="1"/>
  <c r="V61" i="54"/>
  <c r="Q61" i="54"/>
  <c r="U61" i="54" s="1"/>
  <c r="T61" i="54"/>
  <c r="AH40" i="54"/>
  <c r="X61" i="54" l="1"/>
  <c r="Y61" i="54"/>
  <c r="Z61" i="54"/>
  <c r="R62" i="54"/>
  <c r="N62" i="54"/>
  <c r="S61" i="54"/>
  <c r="AG40" i="54"/>
  <c r="Q62" i="54" l="1"/>
  <c r="U62" i="54" s="1"/>
  <c r="T62" i="54"/>
  <c r="AM40" i="54"/>
  <c r="AJ40" i="54"/>
  <c r="V62" i="54"/>
  <c r="AE41" i="54"/>
  <c r="AA61" i="54"/>
  <c r="AF40" i="54" s="1"/>
  <c r="AI40" i="54"/>
  <c r="AL40" i="54" s="1"/>
  <c r="Z62" i="54" l="1"/>
  <c r="X62" i="54"/>
  <c r="Y62" i="54"/>
  <c r="R63" i="54"/>
  <c r="N63" i="54"/>
  <c r="S62" i="54"/>
  <c r="Q63" i="54" l="1"/>
  <c r="U63" i="54" s="1"/>
  <c r="T63" i="54"/>
  <c r="AH41" i="54"/>
  <c r="AA62" i="54"/>
  <c r="V63" i="54"/>
  <c r="Z63" i="54" l="1"/>
  <c r="X63" i="54"/>
  <c r="Y63" i="54"/>
  <c r="R64" i="54"/>
  <c r="N64" i="54"/>
  <c r="S63" i="54"/>
  <c r="AG41" i="54"/>
  <c r="AJ41" i="54" l="1"/>
  <c r="AM41" i="54"/>
  <c r="AA63" i="54"/>
  <c r="AF41" i="54" s="1"/>
  <c r="AI41" i="54"/>
  <c r="AL41" i="54" s="1"/>
  <c r="V64" i="54"/>
  <c r="AE42" i="54"/>
  <c r="Q64" i="54"/>
  <c r="U64" i="54" s="1"/>
  <c r="T64" i="54"/>
  <c r="X64" i="54" l="1"/>
  <c r="Z64" i="54"/>
  <c r="Y64" i="54"/>
  <c r="N65" i="54"/>
  <c r="R65" i="54"/>
  <c r="S64" i="54"/>
  <c r="Q65" i="54" l="1"/>
  <c r="T65" i="54"/>
  <c r="AH42" i="54"/>
  <c r="AA64" i="54"/>
  <c r="V65" i="54"/>
  <c r="U65" i="54"/>
  <c r="Z65" i="54" l="1"/>
  <c r="X65" i="54"/>
  <c r="Y65" i="54"/>
  <c r="N66" i="54"/>
  <c r="R66" i="54"/>
  <c r="S65" i="54"/>
  <c r="AG42" i="54"/>
  <c r="AJ42" i="54" l="1"/>
  <c r="AM42" i="54"/>
  <c r="AA65" i="54"/>
  <c r="AF42" i="54" s="1"/>
  <c r="AI42" i="54"/>
  <c r="AL42" i="54" s="1"/>
  <c r="Q66" i="54"/>
  <c r="T66" i="54"/>
  <c r="V66" i="54"/>
  <c r="AE43" i="54"/>
  <c r="U66" i="54"/>
  <c r="X66" i="54" l="1"/>
  <c r="Z66" i="54"/>
  <c r="Y66" i="54"/>
  <c r="R67" i="54"/>
  <c r="N67" i="54"/>
  <c r="S66" i="54"/>
  <c r="Q67" i="54" l="1"/>
  <c r="T67" i="54"/>
  <c r="AH43" i="54"/>
  <c r="V67" i="54"/>
  <c r="U67" i="54"/>
  <c r="AA66" i="54"/>
  <c r="Z67" i="54" l="1"/>
  <c r="Y67" i="54"/>
  <c r="X67" i="54"/>
  <c r="N68" i="54"/>
  <c r="R68" i="54"/>
  <c r="S67" i="54"/>
  <c r="AG43" i="54"/>
  <c r="AA67" i="54" l="1"/>
  <c r="AF43" i="54" s="1"/>
  <c r="AI43" i="54"/>
  <c r="AL43" i="54" s="1"/>
  <c r="AM43" i="54"/>
  <c r="AJ43" i="54"/>
  <c r="AH44" i="54"/>
  <c r="T68" i="54"/>
  <c r="AH22" i="54"/>
  <c r="O68" i="54"/>
  <c r="V68" i="54"/>
  <c r="AE44" i="54"/>
  <c r="Q68" i="54" l="1"/>
  <c r="AK22" i="54"/>
  <c r="AK23" i="54"/>
  <c r="AK24" i="54"/>
  <c r="AK25" i="54"/>
  <c r="AK26" i="54"/>
  <c r="AK27" i="54"/>
  <c r="AK28" i="54"/>
  <c r="AK29" i="54"/>
  <c r="AK30" i="54"/>
  <c r="AK31" i="54"/>
  <c r="AK32" i="54"/>
  <c r="AK33" i="54"/>
  <c r="AK34" i="54"/>
  <c r="AK35" i="54"/>
  <c r="AK36" i="54"/>
  <c r="AK37" i="54"/>
  <c r="AK38" i="54"/>
  <c r="AK39" i="54"/>
  <c r="AK40" i="54"/>
  <c r="AK41" i="54"/>
  <c r="AK42" i="54"/>
  <c r="AK43" i="54"/>
  <c r="AK44" i="54"/>
  <c r="AG44" i="54" l="1"/>
  <c r="S68" i="54"/>
  <c r="U68" i="54"/>
  <c r="R69" i="54" s="1"/>
  <c r="Q69" i="54" l="1"/>
  <c r="T69" i="54"/>
  <c r="N69" i="54"/>
  <c r="Y68" i="54"/>
  <c r="X68" i="54"/>
  <c r="Z68" i="54"/>
  <c r="AM44" i="54"/>
  <c r="AJ44" i="54"/>
  <c r="U69" i="54" l="1"/>
  <c r="R70" i="54" s="1"/>
  <c r="AH45" i="54" s="1"/>
  <c r="AE45" i="54"/>
  <c r="AG45" i="54"/>
  <c r="S69" i="54"/>
  <c r="T10" i="54" s="1"/>
  <c r="AA68" i="54"/>
  <c r="Z69" i="54"/>
  <c r="AA10" i="54" s="1"/>
  <c r="Y69" i="54"/>
  <c r="AA9" i="54" s="1"/>
  <c r="X69" i="54"/>
  <c r="AM45" i="54" l="1"/>
  <c r="AI45" i="54"/>
  <c r="AJ45" i="54"/>
  <c r="AK45" i="54"/>
  <c r="AA69" i="54"/>
  <c r="AA11" i="54"/>
  <c r="AA8" i="54"/>
  <c r="AI44" i="54"/>
  <c r="AA12" i="54" l="1"/>
  <c r="AF45" i="54"/>
  <c r="AF44" i="54"/>
  <c r="AL44" i="54"/>
  <c r="AL47" i="54"/>
  <c r="AL48" i="54"/>
  <c r="AL49" i="54"/>
  <c r="AL46" i="54"/>
  <c r="AL45" i="54"/>
  <c r="D11" i="26" l="1"/>
  <c r="D10" i="26"/>
  <c r="B12" i="26"/>
  <c r="B11" i="26"/>
  <c r="B123" i="25" s="1"/>
  <c r="G90" i="25"/>
  <c r="B85" i="25"/>
  <c r="B84" i="25"/>
  <c r="G84" i="25" s="1"/>
  <c r="B83" i="25"/>
  <c r="B98" i="25"/>
  <c r="B97" i="25"/>
  <c r="B96" i="25"/>
  <c r="B95" i="25"/>
  <c r="B94" i="25"/>
  <c r="B93" i="25"/>
  <c r="G33" i="26" l="1"/>
  <c r="BQ34" i="44" l="1"/>
  <c r="BO29" i="44"/>
  <c r="G19" i="25"/>
  <c r="B18" i="24"/>
  <c r="B19" i="24"/>
  <c r="B20" i="24"/>
  <c r="B21" i="24"/>
  <c r="B17" i="24"/>
  <c r="B142" i="24"/>
  <c r="B135" i="24"/>
  <c r="E75" i="22"/>
  <c r="K45" i="15"/>
  <c r="B112" i="24"/>
  <c r="E77" i="22" s="1"/>
  <c r="B113" i="24"/>
  <c r="E78" i="22" s="1"/>
  <c r="B114" i="24"/>
  <c r="E79" i="22" s="1"/>
  <c r="B111" i="24"/>
  <c r="E76" i="22" s="1"/>
  <c r="N35" i="15"/>
  <c r="N7" i="15"/>
  <c r="K31" i="15"/>
  <c r="H11" i="26"/>
  <c r="F75" i="16"/>
  <c r="Q4" i="46" l="1"/>
  <c r="R4" i="46"/>
  <c r="L12" i="46"/>
  <c r="L11" i="46"/>
  <c r="L6" i="46"/>
  <c r="L7" i="46" s="1"/>
  <c r="L5" i="46"/>
  <c r="R6" i="46" s="1"/>
  <c r="AQ45" i="46"/>
  <c r="AR45" i="46" s="1"/>
  <c r="AQ44" i="46"/>
  <c r="AU34" i="46"/>
  <c r="AU33" i="46"/>
  <c r="AU32" i="46"/>
  <c r="AU31" i="46"/>
  <c r="AU30" i="46"/>
  <c r="AU29" i="46"/>
  <c r="AU28" i="46"/>
  <c r="AU27" i="46"/>
  <c r="AU26" i="46"/>
  <c r="AU25" i="46"/>
  <c r="AU24" i="46"/>
  <c r="AU23" i="46"/>
  <c r="I22" i="46"/>
  <c r="I21" i="46"/>
  <c r="Y19" i="46"/>
  <c r="X19" i="46"/>
  <c r="W19" i="46"/>
  <c r="W10" i="46"/>
  <c r="W9" i="46"/>
  <c r="W8" i="46"/>
  <c r="P5" i="46"/>
  <c r="H34" i="26"/>
  <c r="G32" i="26"/>
  <c r="Q4" i="45"/>
  <c r="AQ45" i="45"/>
  <c r="AR45" i="45" s="1"/>
  <c r="AQ44" i="45"/>
  <c r="AQ43" i="45"/>
  <c r="K12" i="45"/>
  <c r="L11" i="45"/>
  <c r="AQ26" i="45" s="1"/>
  <c r="AQ27" i="45" s="1"/>
  <c r="L6" i="45"/>
  <c r="L7" i="45" s="1"/>
  <c r="L5" i="45"/>
  <c r="R6" i="45" s="1"/>
  <c r="AU34" i="45"/>
  <c r="AU33" i="45"/>
  <c r="AU32" i="45"/>
  <c r="AU31" i="45"/>
  <c r="AU30" i="45"/>
  <c r="AU29" i="45"/>
  <c r="AU28" i="45"/>
  <c r="AU27" i="45"/>
  <c r="AU26" i="45"/>
  <c r="AU25" i="45"/>
  <c r="AU24" i="45"/>
  <c r="AU23" i="45"/>
  <c r="I21" i="45"/>
  <c r="Y19" i="45"/>
  <c r="X19" i="45"/>
  <c r="W19" i="45"/>
  <c r="W10" i="45"/>
  <c r="W9" i="45"/>
  <c r="W8" i="45"/>
  <c r="P5" i="45"/>
  <c r="R4" i="45"/>
  <c r="AT49" i="44"/>
  <c r="AU49" i="44" s="1"/>
  <c r="AT48" i="44"/>
  <c r="AT47" i="44"/>
  <c r="U4" i="44"/>
  <c r="V7" i="44"/>
  <c r="AT27" i="44" s="1"/>
  <c r="V6" i="44"/>
  <c r="AT26" i="44" s="1"/>
  <c r="M6" i="44"/>
  <c r="M7" i="44" s="1"/>
  <c r="T20" i="44" s="1"/>
  <c r="M5" i="44"/>
  <c r="U8" i="44" s="1"/>
  <c r="M4" i="44"/>
  <c r="M9" i="44"/>
  <c r="M8" i="44"/>
  <c r="AT30" i="44" s="1"/>
  <c r="AT31" i="44" s="1"/>
  <c r="T6" i="44"/>
  <c r="AT22" i="44" s="1"/>
  <c r="BR80" i="44"/>
  <c r="BR82" i="44" s="1"/>
  <c r="BQ80" i="44"/>
  <c r="BP80" i="44"/>
  <c r="BP82" i="44" s="1"/>
  <c r="BP79" i="44"/>
  <c r="BR70" i="44"/>
  <c r="BR72" i="44" s="1"/>
  <c r="BQ70" i="44"/>
  <c r="BQ72" i="44" s="1"/>
  <c r="BP70" i="44"/>
  <c r="BP69" i="44" s="1"/>
  <c r="BQ69" i="44"/>
  <c r="BR64" i="44"/>
  <c r="BR65" i="44" s="1"/>
  <c r="BR66" i="44" s="1"/>
  <c r="BR67" i="44" s="1"/>
  <c r="BQ64" i="44"/>
  <c r="BQ65" i="44" s="1"/>
  <c r="BQ66" i="44" s="1"/>
  <c r="BQ67" i="44" s="1"/>
  <c r="BR61" i="44"/>
  <c r="BR62" i="44" s="1"/>
  <c r="BQ60" i="44"/>
  <c r="BQ61" i="44" s="1"/>
  <c r="BQ62" i="44" s="1"/>
  <c r="BR59" i="44"/>
  <c r="BR60" i="44" s="1"/>
  <c r="BQ59" i="44"/>
  <c r="BP59" i="44"/>
  <c r="BP60" i="44" s="1"/>
  <c r="BP61" i="44" s="1"/>
  <c r="BP62" i="44" s="1"/>
  <c r="BR54" i="44"/>
  <c r="BR55" i="44" s="1"/>
  <c r="BR56" i="44" s="1"/>
  <c r="BR57" i="44" s="1"/>
  <c r="BQ54" i="44"/>
  <c r="BQ55" i="44" s="1"/>
  <c r="BQ56" i="44" s="1"/>
  <c r="BQ57" i="44" s="1"/>
  <c r="BP54" i="44"/>
  <c r="BP55" i="44" s="1"/>
  <c r="BP56" i="44" s="1"/>
  <c r="BP57" i="44" s="1"/>
  <c r="BR49" i="44"/>
  <c r="BR50" i="44" s="1"/>
  <c r="BR51" i="44" s="1"/>
  <c r="BR52" i="44" s="1"/>
  <c r="BQ49" i="44"/>
  <c r="BQ50" i="44" s="1"/>
  <c r="BQ51" i="44" s="1"/>
  <c r="BQ52" i="44" s="1"/>
  <c r="BP49" i="44"/>
  <c r="BP50" i="44" s="1"/>
  <c r="BP51" i="44" s="1"/>
  <c r="BP52" i="44" s="1"/>
  <c r="BR44" i="44"/>
  <c r="BR45" i="44" s="1"/>
  <c r="BR46" i="44" s="1"/>
  <c r="BR47" i="44" s="1"/>
  <c r="BQ44" i="44"/>
  <c r="BQ45" i="44" s="1"/>
  <c r="BQ46" i="44" s="1"/>
  <c r="BQ47" i="44" s="1"/>
  <c r="BP44" i="44"/>
  <c r="BP45" i="44" s="1"/>
  <c r="BP46" i="44" s="1"/>
  <c r="BP47" i="44" s="1"/>
  <c r="BR39" i="44"/>
  <c r="BR40" i="44" s="1"/>
  <c r="BR41" i="44" s="1"/>
  <c r="BR42" i="44" s="1"/>
  <c r="BQ39" i="44"/>
  <c r="BQ40" i="44" s="1"/>
  <c r="BQ41" i="44" s="1"/>
  <c r="BQ42" i="44" s="1"/>
  <c r="BP39" i="44"/>
  <c r="BP40" i="44" s="1"/>
  <c r="BP41" i="44" s="1"/>
  <c r="BP42" i="44" s="1"/>
  <c r="BR34" i="44"/>
  <c r="BR35" i="44" s="1"/>
  <c r="BR36" i="44" s="1"/>
  <c r="BR37" i="44" s="1"/>
  <c r="BQ35" i="44"/>
  <c r="BQ36" i="44" s="1"/>
  <c r="BQ37" i="44" s="1"/>
  <c r="AX34" i="44"/>
  <c r="AX33" i="44"/>
  <c r="AX32" i="44"/>
  <c r="AX31" i="44"/>
  <c r="AX30" i="44"/>
  <c r="BR29" i="44"/>
  <c r="BR30" i="44" s="1"/>
  <c r="BR31" i="44" s="1"/>
  <c r="BR32" i="44" s="1"/>
  <c r="BQ29" i="44"/>
  <c r="BQ30" i="44" s="1"/>
  <c r="BQ31" i="44" s="1"/>
  <c r="BQ32" i="44" s="1"/>
  <c r="BP29" i="44"/>
  <c r="BP30" i="44" s="1"/>
  <c r="BP31" i="44" s="1"/>
  <c r="BP32" i="44" s="1"/>
  <c r="BO30" i="44"/>
  <c r="BO31" i="44" s="1"/>
  <c r="BO32" i="44" s="1"/>
  <c r="BO33" i="44" s="1"/>
  <c r="BO34" i="44" s="1"/>
  <c r="BO35" i="44" s="1"/>
  <c r="BO36" i="44" s="1"/>
  <c r="BO37" i="44" s="1"/>
  <c r="BO38" i="44" s="1"/>
  <c r="BO39" i="44" s="1"/>
  <c r="BO40" i="44" s="1"/>
  <c r="BO41" i="44" s="1"/>
  <c r="BO42" i="44" s="1"/>
  <c r="BO43" i="44" s="1"/>
  <c r="BO44" i="44" s="1"/>
  <c r="BO45" i="44" s="1"/>
  <c r="BO46" i="44" s="1"/>
  <c r="BO47" i="44" s="1"/>
  <c r="BO48" i="44" s="1"/>
  <c r="BO49" i="44" s="1"/>
  <c r="BO50" i="44" s="1"/>
  <c r="BO51" i="44" s="1"/>
  <c r="BO52" i="44" s="1"/>
  <c r="BO53" i="44" s="1"/>
  <c r="BO54" i="44" s="1"/>
  <c r="BO55" i="44" s="1"/>
  <c r="BO56" i="44" s="1"/>
  <c r="BO57" i="44" s="1"/>
  <c r="BO58" i="44" s="1"/>
  <c r="BO59" i="44" s="1"/>
  <c r="BO60" i="44" s="1"/>
  <c r="BO61" i="44" s="1"/>
  <c r="BO62" i="44" s="1"/>
  <c r="BO63" i="44" s="1"/>
  <c r="BO64" i="44" s="1"/>
  <c r="BO65" i="44" s="1"/>
  <c r="BO66" i="44" s="1"/>
  <c r="BO67" i="44" s="1"/>
  <c r="BO68" i="44" s="1"/>
  <c r="BO69" i="44" s="1"/>
  <c r="BO70" i="44" s="1"/>
  <c r="BO71" i="44" s="1"/>
  <c r="BO72" i="44" s="1"/>
  <c r="BO73" i="44" s="1"/>
  <c r="BO74" i="44" s="1"/>
  <c r="BO75" i="44" s="1"/>
  <c r="BO76" i="44" s="1"/>
  <c r="BO77" i="44" s="1"/>
  <c r="BO78" i="44" s="1"/>
  <c r="BO79" i="44" s="1"/>
  <c r="BO80" i="44" s="1"/>
  <c r="BO81" i="44" s="1"/>
  <c r="BO82" i="44" s="1"/>
  <c r="BO83" i="44" s="1"/>
  <c r="BO84" i="44" s="1"/>
  <c r="BO85" i="44" s="1"/>
  <c r="BO86" i="44" s="1"/>
  <c r="BO87" i="44" s="1"/>
  <c r="AX29" i="44"/>
  <c r="AX28" i="44"/>
  <c r="AX27" i="44"/>
  <c r="AX26" i="44"/>
  <c r="AX25" i="44"/>
  <c r="AX24" i="44"/>
  <c r="AX23" i="44"/>
  <c r="J21" i="44"/>
  <c r="AB19" i="44"/>
  <c r="AA19" i="44"/>
  <c r="Z19" i="44"/>
  <c r="Z10" i="44"/>
  <c r="Z9" i="44"/>
  <c r="Z8" i="44"/>
  <c r="S5" i="44"/>
  <c r="T4" i="44"/>
  <c r="AQ46" i="46" l="1"/>
  <c r="AT50" i="44"/>
  <c r="V10" i="44"/>
  <c r="V11" i="44" s="1"/>
  <c r="H19" i="26" s="1"/>
  <c r="AT32" i="44"/>
  <c r="L9" i="44"/>
  <c r="BC20" i="44"/>
  <c r="BM28" i="44" s="1"/>
  <c r="BR74" i="44"/>
  <c r="BR71" i="44"/>
  <c r="BP72" i="44"/>
  <c r="BP74" i="44" s="1"/>
  <c r="BR69" i="44"/>
  <c r="L9" i="45"/>
  <c r="AQ23" i="45" s="1"/>
  <c r="AR23" i="45" s="1"/>
  <c r="K20" i="45" s="1"/>
  <c r="S5" i="45" s="1"/>
  <c r="L8" i="45"/>
  <c r="AQ22" i="45" s="1"/>
  <c r="AT33" i="44"/>
  <c r="AQ26" i="46"/>
  <c r="AQ27" i="46" s="1"/>
  <c r="R7" i="46" s="1"/>
  <c r="K11" i="46"/>
  <c r="I23" i="46"/>
  <c r="AQ28" i="46"/>
  <c r="L13" i="46"/>
  <c r="H59" i="26" s="1"/>
  <c r="K12" i="46"/>
  <c r="AQ28" i="45"/>
  <c r="L13" i="45"/>
  <c r="K11" i="45"/>
  <c r="R7" i="45"/>
  <c r="AQ46" i="45"/>
  <c r="I22" i="45"/>
  <c r="AT28" i="44"/>
  <c r="U9" i="44"/>
  <c r="L8" i="44"/>
  <c r="J22" i="44"/>
  <c r="BP71" i="44"/>
  <c r="BR73" i="44"/>
  <c r="BR76" i="44"/>
  <c r="BQ82" i="44"/>
  <c r="BQ79" i="44"/>
  <c r="BR81" i="44"/>
  <c r="BR84" i="44"/>
  <c r="BQ74" i="44"/>
  <c r="BQ71" i="44"/>
  <c r="BR79" i="44"/>
  <c r="BP84" i="44"/>
  <c r="BP81" i="44"/>
  <c r="BG28" i="44" l="1"/>
  <c r="BD28" i="44"/>
  <c r="AQ29" i="45"/>
  <c r="J20" i="45" s="1"/>
  <c r="J21" i="45" s="1"/>
  <c r="K20" i="44"/>
  <c r="BJ28" i="44"/>
  <c r="Q20" i="44"/>
  <c r="L20" i="45"/>
  <c r="AC20" i="45" s="1"/>
  <c r="AQ24" i="45"/>
  <c r="L10" i="45" s="1"/>
  <c r="K21" i="44"/>
  <c r="AQ29" i="46"/>
  <c r="I24" i="46"/>
  <c r="I23" i="45"/>
  <c r="BR77" i="44"/>
  <c r="BR75" i="44"/>
  <c r="BP86" i="44"/>
  <c r="BP83" i="44"/>
  <c r="BR86" i="44"/>
  <c r="BR83" i="44"/>
  <c r="BQ81" i="44"/>
  <c r="BQ84" i="44"/>
  <c r="BP73" i="44"/>
  <c r="BP76" i="44"/>
  <c r="K22" i="44"/>
  <c r="J23" i="44"/>
  <c r="BQ76" i="44"/>
  <c r="BQ73" i="44"/>
  <c r="AQ33" i="45" l="1"/>
  <c r="AQ32" i="45" s="1"/>
  <c r="J22" i="45"/>
  <c r="AQ37" i="45"/>
  <c r="AQ35" i="45" s="1"/>
  <c r="J20" i="46"/>
  <c r="J21" i="46" s="1"/>
  <c r="I25" i="46"/>
  <c r="G20" i="45"/>
  <c r="D20" i="45"/>
  <c r="F20" i="45"/>
  <c r="AB20" i="45"/>
  <c r="AB21" i="45" s="1"/>
  <c r="AB22" i="45" s="1"/>
  <c r="AB23" i="45" s="1"/>
  <c r="AB24" i="45" s="1"/>
  <c r="AB25" i="45" s="1"/>
  <c r="AB26" i="45" s="1"/>
  <c r="AB27" i="45" s="1"/>
  <c r="AB28" i="45" s="1"/>
  <c r="AB29" i="45" s="1"/>
  <c r="AB30" i="45" s="1"/>
  <c r="AB31" i="45" s="1"/>
  <c r="AB32" i="45" s="1"/>
  <c r="AB33" i="45" s="1"/>
  <c r="AB34" i="45" s="1"/>
  <c r="AB35" i="45" s="1"/>
  <c r="AB36" i="45" s="1"/>
  <c r="AB37" i="45" s="1"/>
  <c r="AB38" i="45" s="1"/>
  <c r="AB39" i="45" s="1"/>
  <c r="AB40" i="45" s="1"/>
  <c r="AB41" i="45" s="1"/>
  <c r="AB42" i="45" s="1"/>
  <c r="AB43" i="45" s="1"/>
  <c r="AB44" i="45" s="1"/>
  <c r="AB45" i="45" s="1"/>
  <c r="AB46" i="45" s="1"/>
  <c r="AB47" i="45" s="1"/>
  <c r="AB48" i="45" s="1"/>
  <c r="AB49" i="45" s="1"/>
  <c r="AC21" i="45"/>
  <c r="I24" i="45"/>
  <c r="J23" i="45"/>
  <c r="BP75" i="44"/>
  <c r="BP77" i="44"/>
  <c r="J24" i="44"/>
  <c r="K23" i="44"/>
  <c r="BR85" i="44"/>
  <c r="BR87" i="44"/>
  <c r="BQ83" i="44"/>
  <c r="BQ86" i="44"/>
  <c r="BQ77" i="44"/>
  <c r="BQ75" i="44"/>
  <c r="BP87" i="44"/>
  <c r="BP85" i="44"/>
  <c r="AQ31" i="45" l="1"/>
  <c r="AQ36" i="45"/>
  <c r="I26" i="46"/>
  <c r="J22" i="46"/>
  <c r="AC22" i="45"/>
  <c r="C20" i="45"/>
  <c r="E20" i="45" s="1"/>
  <c r="J24" i="45"/>
  <c r="I25" i="45"/>
  <c r="K21" i="45"/>
  <c r="K24" i="44"/>
  <c r="J25" i="44"/>
  <c r="BQ87" i="44"/>
  <c r="BQ85" i="44"/>
  <c r="I27" i="46" l="1"/>
  <c r="J23" i="46"/>
  <c r="D21" i="45"/>
  <c r="G21" i="45"/>
  <c r="F21" i="45"/>
  <c r="AC23" i="45"/>
  <c r="J25" i="45"/>
  <c r="I26" i="45"/>
  <c r="J26" i="44"/>
  <c r="K25" i="44"/>
  <c r="I28" i="46" l="1"/>
  <c r="J24" i="46"/>
  <c r="AC24" i="45"/>
  <c r="J26" i="45"/>
  <c r="I27" i="45"/>
  <c r="K22" i="45"/>
  <c r="H20" i="45"/>
  <c r="L21" i="45" s="1"/>
  <c r="J27" i="44"/>
  <c r="K26" i="44"/>
  <c r="C21" i="45" l="1"/>
  <c r="E21" i="45" s="1"/>
  <c r="J25" i="46"/>
  <c r="I29" i="46"/>
  <c r="AC25" i="45"/>
  <c r="F22" i="45"/>
  <c r="D22" i="45"/>
  <c r="G22" i="45"/>
  <c r="J27" i="45"/>
  <c r="I28" i="45"/>
  <c r="J28" i="44"/>
  <c r="K27" i="44"/>
  <c r="J26" i="46" l="1"/>
  <c r="I30" i="46"/>
  <c r="AC26" i="45"/>
  <c r="I29" i="45"/>
  <c r="J28" i="45"/>
  <c r="K23" i="45"/>
  <c r="H21" i="45"/>
  <c r="L22" i="45" s="1"/>
  <c r="K28" i="44"/>
  <c r="J29" i="44"/>
  <c r="C22" i="45" l="1"/>
  <c r="E22" i="45" s="1"/>
  <c r="J27" i="46"/>
  <c r="I31" i="46"/>
  <c r="G23" i="45"/>
  <c r="D23" i="45"/>
  <c r="F23" i="45"/>
  <c r="I30" i="45"/>
  <c r="J29" i="45"/>
  <c r="AC27" i="45"/>
  <c r="J30" i="44"/>
  <c r="K29" i="44"/>
  <c r="J28" i="46" l="1"/>
  <c r="I32" i="46"/>
  <c r="K24" i="45"/>
  <c r="H22" i="45"/>
  <c r="L23" i="45" s="1"/>
  <c r="C23" i="45" s="1"/>
  <c r="E23" i="45" s="1"/>
  <c r="J30" i="45"/>
  <c r="I31" i="45"/>
  <c r="AC28" i="45"/>
  <c r="J31" i="44"/>
  <c r="K30" i="44"/>
  <c r="I33" i="46" l="1"/>
  <c r="J29" i="46"/>
  <c r="AC29" i="45"/>
  <c r="J31" i="45"/>
  <c r="I32" i="45"/>
  <c r="F24" i="45"/>
  <c r="G24" i="45"/>
  <c r="D24" i="45"/>
  <c r="K31" i="44"/>
  <c r="J32" i="44"/>
  <c r="J30" i="46" l="1"/>
  <c r="I34" i="46"/>
  <c r="K25" i="45"/>
  <c r="H23" i="45"/>
  <c r="L24" i="45" s="1"/>
  <c r="J32" i="45"/>
  <c r="I33" i="45"/>
  <c r="AC30" i="45"/>
  <c r="J33" i="44"/>
  <c r="K32" i="44"/>
  <c r="C24" i="45" l="1"/>
  <c r="E24" i="45" s="1"/>
  <c r="I35" i="46"/>
  <c r="J31" i="46"/>
  <c r="AC31" i="45"/>
  <c r="F25" i="45"/>
  <c r="D25" i="45"/>
  <c r="G25" i="45"/>
  <c r="I34" i="45"/>
  <c r="J33" i="45"/>
  <c r="J34" i="44"/>
  <c r="K33" i="44"/>
  <c r="J32" i="46" l="1"/>
  <c r="I36" i="46"/>
  <c r="K26" i="45"/>
  <c r="H24" i="45"/>
  <c r="L25" i="45" s="1"/>
  <c r="I35" i="45"/>
  <c r="J34" i="45"/>
  <c r="AC32" i="45"/>
  <c r="J35" i="44"/>
  <c r="K34" i="44"/>
  <c r="C25" i="45" l="1"/>
  <c r="E25" i="45" s="1"/>
  <c r="J33" i="46"/>
  <c r="I37" i="46"/>
  <c r="G26" i="45"/>
  <c r="D26" i="45"/>
  <c r="F26" i="45"/>
  <c r="J35" i="45"/>
  <c r="I36" i="45"/>
  <c r="AC33" i="45"/>
  <c r="K35" i="44"/>
  <c r="J36" i="44"/>
  <c r="J34" i="46" l="1"/>
  <c r="I38" i="46"/>
  <c r="J36" i="45"/>
  <c r="I37" i="45"/>
  <c r="K27" i="45"/>
  <c r="H25" i="45"/>
  <c r="L26" i="45" s="1"/>
  <c r="AC34" i="45"/>
  <c r="J37" i="44"/>
  <c r="K36" i="44"/>
  <c r="C26" i="45" l="1"/>
  <c r="E26" i="45" s="1"/>
  <c r="I39" i="46"/>
  <c r="J35" i="46"/>
  <c r="AC35" i="45"/>
  <c r="G27" i="45"/>
  <c r="D27" i="45"/>
  <c r="F27" i="45"/>
  <c r="I38" i="45"/>
  <c r="J37" i="45"/>
  <c r="J38" i="44"/>
  <c r="K37" i="44"/>
  <c r="J36" i="46" l="1"/>
  <c r="I40" i="46"/>
  <c r="J38" i="45"/>
  <c r="I39" i="45"/>
  <c r="K28" i="45"/>
  <c r="H26" i="45"/>
  <c r="L27" i="45" s="1"/>
  <c r="AC36" i="45"/>
  <c r="J39" i="44"/>
  <c r="K38" i="44"/>
  <c r="C27" i="45" l="1"/>
  <c r="E27" i="45" s="1"/>
  <c r="J37" i="46"/>
  <c r="I41" i="46"/>
  <c r="AC37" i="45"/>
  <c r="G28" i="45"/>
  <c r="D28" i="45"/>
  <c r="F28" i="45"/>
  <c r="J39" i="45"/>
  <c r="I40" i="45"/>
  <c r="J40" i="44"/>
  <c r="K39" i="44"/>
  <c r="I42" i="46" l="1"/>
  <c r="J38" i="46"/>
  <c r="J40" i="45"/>
  <c r="I41" i="45"/>
  <c r="K29" i="45"/>
  <c r="H27" i="45"/>
  <c r="L28" i="45" s="1"/>
  <c r="AC38" i="45"/>
  <c r="J41" i="44"/>
  <c r="K40" i="44"/>
  <c r="C28" i="45" l="1"/>
  <c r="E28" i="45" s="1"/>
  <c r="J39" i="46"/>
  <c r="I43" i="46"/>
  <c r="AC39" i="45"/>
  <c r="J41" i="45"/>
  <c r="I42" i="45"/>
  <c r="G29" i="45"/>
  <c r="F29" i="45"/>
  <c r="D29" i="45"/>
  <c r="J42" i="44"/>
  <c r="K41" i="44"/>
  <c r="J40" i="46" l="1"/>
  <c r="I44" i="46"/>
  <c r="I43" i="45"/>
  <c r="J42" i="45"/>
  <c r="K30" i="45"/>
  <c r="H28" i="45"/>
  <c r="L29" i="45" s="1"/>
  <c r="AC40" i="45"/>
  <c r="J43" i="44"/>
  <c r="K42" i="44"/>
  <c r="C29" i="45" l="1"/>
  <c r="E29" i="45" s="1"/>
  <c r="J41" i="46"/>
  <c r="I45" i="46"/>
  <c r="AC41" i="45"/>
  <c r="G30" i="45"/>
  <c r="D30" i="45"/>
  <c r="F30" i="45"/>
  <c r="I44" i="45"/>
  <c r="J43" i="45"/>
  <c r="K43" i="44"/>
  <c r="J44" i="44"/>
  <c r="I46" i="46" l="1"/>
  <c r="J42" i="46"/>
  <c r="J44" i="45"/>
  <c r="I45" i="45"/>
  <c r="K31" i="45"/>
  <c r="H29" i="45"/>
  <c r="L30" i="45" s="1"/>
  <c r="AC42" i="45"/>
  <c r="J45" i="44"/>
  <c r="K44" i="44"/>
  <c r="C30" i="45" l="1"/>
  <c r="E30" i="45" s="1"/>
  <c r="I47" i="46"/>
  <c r="J43" i="46"/>
  <c r="AC43" i="45"/>
  <c r="D31" i="45"/>
  <c r="G31" i="45"/>
  <c r="F31" i="45"/>
  <c r="J45" i="45"/>
  <c r="I46" i="45"/>
  <c r="J46" i="44"/>
  <c r="K45" i="44"/>
  <c r="J44" i="46" l="1"/>
  <c r="I48" i="46"/>
  <c r="J46" i="45"/>
  <c r="I47" i="45"/>
  <c r="AC44" i="45"/>
  <c r="K32" i="45"/>
  <c r="H30" i="45"/>
  <c r="L31" i="45" s="1"/>
  <c r="C31" i="45" s="1"/>
  <c r="E31" i="45" s="1"/>
  <c r="J47" i="44"/>
  <c r="K46" i="44"/>
  <c r="J45" i="46" l="1"/>
  <c r="I49" i="46"/>
  <c r="AC45" i="45"/>
  <c r="I48" i="45"/>
  <c r="J47" i="45"/>
  <c r="D32" i="45"/>
  <c r="G32" i="45"/>
  <c r="F32" i="45"/>
  <c r="K47" i="44"/>
  <c r="J48" i="44"/>
  <c r="I50" i="46" l="1"/>
  <c r="J46" i="46"/>
  <c r="AC46" i="45"/>
  <c r="K33" i="45"/>
  <c r="H31" i="45"/>
  <c r="L32" i="45" s="1"/>
  <c r="C32" i="45" s="1"/>
  <c r="E32" i="45" s="1"/>
  <c r="J48" i="45"/>
  <c r="I49" i="45"/>
  <c r="J49" i="44"/>
  <c r="K48" i="44"/>
  <c r="I51" i="46" l="1"/>
  <c r="J47" i="46"/>
  <c r="AC47" i="45"/>
  <c r="I50" i="45"/>
  <c r="J49" i="45"/>
  <c r="D33" i="45"/>
  <c r="F33" i="45"/>
  <c r="G33" i="45"/>
  <c r="J50" i="44"/>
  <c r="K49" i="44"/>
  <c r="I52" i="46" l="1"/>
  <c r="J48" i="46"/>
  <c r="AC48" i="45"/>
  <c r="K34" i="45"/>
  <c r="H32" i="45"/>
  <c r="L33" i="45" s="1"/>
  <c r="I51" i="45"/>
  <c r="J50" i="45"/>
  <c r="K50" i="44"/>
  <c r="J51" i="44"/>
  <c r="C33" i="45" l="1"/>
  <c r="E33" i="45" s="1"/>
  <c r="J49" i="46"/>
  <c r="I53" i="46"/>
  <c r="AC49" i="45"/>
  <c r="D34" i="45"/>
  <c r="F34" i="45"/>
  <c r="G34" i="45"/>
  <c r="I52" i="45"/>
  <c r="J51" i="45"/>
  <c r="J52" i="44"/>
  <c r="K51" i="44"/>
  <c r="I54" i="46" l="1"/>
  <c r="J50" i="46"/>
  <c r="J52" i="45"/>
  <c r="I53" i="45"/>
  <c r="K35" i="45"/>
  <c r="H33" i="45"/>
  <c r="L34" i="45" s="1"/>
  <c r="J53" i="44"/>
  <c r="K52" i="44"/>
  <c r="C34" i="45" l="1"/>
  <c r="E34" i="45" s="1"/>
  <c r="J51" i="46"/>
  <c r="I55" i="46"/>
  <c r="G35" i="45"/>
  <c r="D35" i="45"/>
  <c r="F35" i="45"/>
  <c r="I54" i="45"/>
  <c r="J53" i="45"/>
  <c r="K53" i="44"/>
  <c r="J54" i="44"/>
  <c r="I56" i="46" l="1"/>
  <c r="J52" i="46"/>
  <c r="K36" i="45"/>
  <c r="H34" i="45"/>
  <c r="L35" i="45" s="1"/>
  <c r="I55" i="45"/>
  <c r="J54" i="45"/>
  <c r="J55" i="44"/>
  <c r="K54" i="44"/>
  <c r="C35" i="45" l="1"/>
  <c r="E35" i="45" s="1"/>
  <c r="I57" i="46"/>
  <c r="J53" i="46"/>
  <c r="J55" i="45"/>
  <c r="I56" i="45"/>
  <c r="F36" i="45"/>
  <c r="D36" i="45"/>
  <c r="G36" i="45"/>
  <c r="K55" i="44"/>
  <c r="J56" i="44"/>
  <c r="J54" i="46" l="1"/>
  <c r="I58" i="46"/>
  <c r="K37" i="45"/>
  <c r="H35" i="45"/>
  <c r="L36" i="45" s="1"/>
  <c r="I57" i="45"/>
  <c r="J56" i="45"/>
  <c r="J57" i="44"/>
  <c r="K56" i="44"/>
  <c r="C36" i="45" l="1"/>
  <c r="E36" i="45" s="1"/>
  <c r="I59" i="46"/>
  <c r="J55" i="46"/>
  <c r="G37" i="45"/>
  <c r="D37" i="45"/>
  <c r="F37" i="45"/>
  <c r="I58" i="45"/>
  <c r="J57" i="45"/>
  <c r="K57" i="44"/>
  <c r="J58" i="44"/>
  <c r="I60" i="46" l="1"/>
  <c r="J56" i="46"/>
  <c r="K38" i="45"/>
  <c r="H36" i="45"/>
  <c r="L37" i="45" s="1"/>
  <c r="C37" i="45" s="1"/>
  <c r="E37" i="45" s="1"/>
  <c r="J58" i="45"/>
  <c r="I59" i="45"/>
  <c r="J59" i="44"/>
  <c r="K58" i="44"/>
  <c r="I61" i="46" l="1"/>
  <c r="J57" i="46"/>
  <c r="J59" i="45"/>
  <c r="I60" i="45"/>
  <c r="D38" i="45"/>
  <c r="F38" i="45"/>
  <c r="G38" i="45"/>
  <c r="J60" i="44"/>
  <c r="K59" i="44"/>
  <c r="J58" i="46" l="1"/>
  <c r="I62" i="46"/>
  <c r="K39" i="45"/>
  <c r="H37" i="45"/>
  <c r="L38" i="45" s="1"/>
  <c r="I61" i="45"/>
  <c r="J60" i="45"/>
  <c r="J61" i="44"/>
  <c r="K60" i="44"/>
  <c r="C38" i="45" l="1"/>
  <c r="E38" i="45" s="1"/>
  <c r="I63" i="46"/>
  <c r="J59" i="46"/>
  <c r="F39" i="45"/>
  <c r="D39" i="45"/>
  <c r="G39" i="45"/>
  <c r="I62" i="45"/>
  <c r="J61" i="45"/>
  <c r="J62" i="44"/>
  <c r="K61" i="44"/>
  <c r="J60" i="46" l="1"/>
  <c r="I64" i="46"/>
  <c r="J62" i="45"/>
  <c r="I63" i="45"/>
  <c r="K40" i="45"/>
  <c r="H38" i="45"/>
  <c r="L39" i="45" s="1"/>
  <c r="J63" i="44"/>
  <c r="K62" i="44"/>
  <c r="C39" i="45" l="1"/>
  <c r="E39" i="45" s="1"/>
  <c r="I65" i="46"/>
  <c r="J61" i="46"/>
  <c r="F40" i="45"/>
  <c r="D40" i="45"/>
  <c r="G40" i="45"/>
  <c r="J63" i="45"/>
  <c r="I64" i="45"/>
  <c r="J64" i="44"/>
  <c r="K63" i="44"/>
  <c r="J62" i="46" l="1"/>
  <c r="I66" i="46"/>
  <c r="I65" i="45"/>
  <c r="J64" i="45"/>
  <c r="K41" i="45"/>
  <c r="H39" i="45"/>
  <c r="L40" i="45" s="1"/>
  <c r="J65" i="44"/>
  <c r="K64" i="44"/>
  <c r="C40" i="45" l="1"/>
  <c r="E40" i="45" s="1"/>
  <c r="I67" i="46"/>
  <c r="J63" i="46"/>
  <c r="F41" i="45"/>
  <c r="D41" i="45"/>
  <c r="G41" i="45"/>
  <c r="I66" i="45"/>
  <c r="J65" i="45"/>
  <c r="J66" i="44"/>
  <c r="K65" i="44"/>
  <c r="J64" i="46" l="1"/>
  <c r="I68" i="46"/>
  <c r="J66" i="45"/>
  <c r="I67" i="45"/>
  <c r="K42" i="45"/>
  <c r="H40" i="45"/>
  <c r="L41" i="45" s="1"/>
  <c r="K66" i="44"/>
  <c r="J67" i="44"/>
  <c r="C41" i="45" l="1"/>
  <c r="E41" i="45" s="1"/>
  <c r="J65" i="46"/>
  <c r="I69" i="46"/>
  <c r="G42" i="45"/>
  <c r="D42" i="45"/>
  <c r="F42" i="45"/>
  <c r="J67" i="45"/>
  <c r="I68" i="45"/>
  <c r="J68" i="44"/>
  <c r="K67" i="44"/>
  <c r="I70" i="46" l="1"/>
  <c r="J66" i="46"/>
  <c r="K43" i="45"/>
  <c r="H41" i="45"/>
  <c r="L42" i="45" s="1"/>
  <c r="I69" i="45"/>
  <c r="J68" i="45"/>
  <c r="J69" i="44"/>
  <c r="K68" i="44"/>
  <c r="C42" i="45" l="1"/>
  <c r="E42" i="45" s="1"/>
  <c r="I71" i="46"/>
  <c r="J67" i="46"/>
  <c r="I70" i="45"/>
  <c r="J69" i="45"/>
  <c r="F43" i="45"/>
  <c r="D43" i="45"/>
  <c r="G43" i="45"/>
  <c r="K69" i="44"/>
  <c r="J70" i="44"/>
  <c r="J68" i="46" l="1"/>
  <c r="I72" i="46"/>
  <c r="J70" i="45"/>
  <c r="I71" i="45"/>
  <c r="K44" i="45"/>
  <c r="H42" i="45"/>
  <c r="L43" i="45" s="1"/>
  <c r="J71" i="44"/>
  <c r="K70" i="44"/>
  <c r="C43" i="45" l="1"/>
  <c r="E43" i="45" s="1"/>
  <c r="J69" i="46"/>
  <c r="I73" i="46"/>
  <c r="J71" i="45"/>
  <c r="I72" i="45"/>
  <c r="F44" i="45"/>
  <c r="G44" i="45"/>
  <c r="D44" i="45"/>
  <c r="J72" i="44"/>
  <c r="K71" i="44"/>
  <c r="I74" i="46" l="1"/>
  <c r="J70" i="46"/>
  <c r="K45" i="45"/>
  <c r="H43" i="45"/>
  <c r="L44" i="45" s="1"/>
  <c r="C44" i="45" s="1"/>
  <c r="E44" i="45" s="1"/>
  <c r="I73" i="45"/>
  <c r="J72" i="45"/>
  <c r="K72" i="44"/>
  <c r="J73" i="44"/>
  <c r="I75" i="46" l="1"/>
  <c r="J71" i="46"/>
  <c r="G45" i="45"/>
  <c r="F45" i="45"/>
  <c r="D45" i="45"/>
  <c r="I74" i="45"/>
  <c r="J73" i="45"/>
  <c r="J74" i="44"/>
  <c r="K73" i="44"/>
  <c r="J72" i="46" l="1"/>
  <c r="I76" i="46"/>
  <c r="J74" i="45"/>
  <c r="I75" i="45"/>
  <c r="K46" i="45"/>
  <c r="H44" i="45"/>
  <c r="L45" i="45" s="1"/>
  <c r="J75" i="44"/>
  <c r="K74" i="44"/>
  <c r="C45" i="45" l="1"/>
  <c r="E45" i="45" s="1"/>
  <c r="J73" i="46"/>
  <c r="I77" i="46"/>
  <c r="G46" i="45"/>
  <c r="D46" i="45"/>
  <c r="F46" i="45"/>
  <c r="J75" i="45"/>
  <c r="I76" i="45"/>
  <c r="J76" i="44"/>
  <c r="K75" i="44"/>
  <c r="I78" i="46" l="1"/>
  <c r="J74" i="46"/>
  <c r="K47" i="45"/>
  <c r="H45" i="45"/>
  <c r="L46" i="45" s="1"/>
  <c r="I77" i="45"/>
  <c r="J76" i="45"/>
  <c r="J77" i="44"/>
  <c r="K76" i="44"/>
  <c r="C46" i="45" l="1"/>
  <c r="E46" i="45" s="1"/>
  <c r="J75" i="46"/>
  <c r="I79" i="46"/>
  <c r="I78" i="45"/>
  <c r="J77" i="45"/>
  <c r="D47" i="45"/>
  <c r="G47" i="45"/>
  <c r="F47" i="45"/>
  <c r="J78" i="44"/>
  <c r="K77" i="44"/>
  <c r="I80" i="46" l="1"/>
  <c r="J76" i="46"/>
  <c r="K48" i="45"/>
  <c r="H46" i="45"/>
  <c r="L47" i="45" s="1"/>
  <c r="J78" i="45"/>
  <c r="I79" i="45"/>
  <c r="K78" i="44"/>
  <c r="J79" i="44"/>
  <c r="C47" i="45" l="1"/>
  <c r="E47" i="45" s="1"/>
  <c r="J77" i="46"/>
  <c r="I81" i="46"/>
  <c r="F48" i="45"/>
  <c r="G48" i="45"/>
  <c r="D48" i="45"/>
  <c r="J79" i="45"/>
  <c r="I80" i="45"/>
  <c r="K79" i="44"/>
  <c r="J80" i="44"/>
  <c r="I82" i="46" l="1"/>
  <c r="J78" i="46"/>
  <c r="I81" i="45"/>
  <c r="J80" i="45"/>
  <c r="K49" i="45"/>
  <c r="H47" i="45"/>
  <c r="L48" i="45" s="1"/>
  <c r="C48" i="45" s="1"/>
  <c r="E48" i="45" s="1"/>
  <c r="K80" i="44"/>
  <c r="J81" i="44"/>
  <c r="I83" i="46" l="1"/>
  <c r="J79" i="46"/>
  <c r="G49" i="45"/>
  <c r="D49" i="45"/>
  <c r="F49" i="45"/>
  <c r="I82" i="45"/>
  <c r="J81" i="45"/>
  <c r="K81" i="44"/>
  <c r="J82" i="44"/>
  <c r="J80" i="46" l="1"/>
  <c r="I84" i="46"/>
  <c r="K50" i="45"/>
  <c r="H48" i="45"/>
  <c r="L49" i="45" s="1"/>
  <c r="J82" i="45"/>
  <c r="I83" i="45"/>
  <c r="K82" i="44"/>
  <c r="J83" i="44"/>
  <c r="C49" i="45" l="1"/>
  <c r="E49" i="45" s="1"/>
  <c r="I85" i="46"/>
  <c r="J81" i="46"/>
  <c r="D50" i="45"/>
  <c r="G50" i="45"/>
  <c r="F50" i="45"/>
  <c r="J83" i="45"/>
  <c r="I84" i="45"/>
  <c r="K83" i="44"/>
  <c r="J84" i="44"/>
  <c r="J82" i="46" l="1"/>
  <c r="I86" i="46"/>
  <c r="K51" i="45"/>
  <c r="H49" i="45"/>
  <c r="L50" i="45" s="1"/>
  <c r="I85" i="45"/>
  <c r="J84" i="45"/>
  <c r="K84" i="44"/>
  <c r="J85" i="44"/>
  <c r="C50" i="45" l="1"/>
  <c r="E50" i="45" s="1"/>
  <c r="I87" i="46"/>
  <c r="J83" i="46"/>
  <c r="I86" i="45"/>
  <c r="J85" i="45"/>
  <c r="F51" i="45"/>
  <c r="D51" i="45"/>
  <c r="G51" i="45"/>
  <c r="K85" i="44"/>
  <c r="J86" i="44"/>
  <c r="J84" i="46" l="1"/>
  <c r="I88" i="46"/>
  <c r="J86" i="45"/>
  <c r="I87" i="45"/>
  <c r="K52" i="45"/>
  <c r="H50" i="45"/>
  <c r="L51" i="45" s="1"/>
  <c r="K86" i="44"/>
  <c r="J87" i="44"/>
  <c r="C51" i="45" l="1"/>
  <c r="E51" i="45" s="1"/>
  <c r="I89" i="46"/>
  <c r="J85" i="46"/>
  <c r="F52" i="45"/>
  <c r="G52" i="45"/>
  <c r="D52" i="45"/>
  <c r="J87" i="45"/>
  <c r="I88" i="45"/>
  <c r="K87" i="44"/>
  <c r="J88" i="44"/>
  <c r="J86" i="46" l="1"/>
  <c r="I90" i="46"/>
  <c r="I89" i="45"/>
  <c r="J88" i="45"/>
  <c r="K53" i="45"/>
  <c r="H51" i="45"/>
  <c r="L52" i="45" s="1"/>
  <c r="K88" i="44"/>
  <c r="J89" i="44"/>
  <c r="C52" i="45" l="1"/>
  <c r="E52" i="45" s="1"/>
  <c r="I91" i="46"/>
  <c r="J87" i="46"/>
  <c r="G53" i="45"/>
  <c r="D53" i="45"/>
  <c r="F53" i="45"/>
  <c r="I90" i="45"/>
  <c r="J89" i="45"/>
  <c r="K89" i="44"/>
  <c r="J90" i="44"/>
  <c r="J88" i="46" l="1"/>
  <c r="I92" i="46"/>
  <c r="K54" i="45"/>
  <c r="H52" i="45"/>
  <c r="L53" i="45" s="1"/>
  <c r="J90" i="45"/>
  <c r="I91" i="45"/>
  <c r="K90" i="44"/>
  <c r="J91" i="44"/>
  <c r="C53" i="45" l="1"/>
  <c r="E53" i="45" s="1"/>
  <c r="J89" i="46"/>
  <c r="I93" i="46"/>
  <c r="G54" i="45"/>
  <c r="F54" i="45"/>
  <c r="D54" i="45"/>
  <c r="J91" i="45"/>
  <c r="I92" i="45"/>
  <c r="K91" i="44"/>
  <c r="J92" i="44"/>
  <c r="J90" i="46" l="1"/>
  <c r="I94" i="46"/>
  <c r="K55" i="45"/>
  <c r="H53" i="45"/>
  <c r="L54" i="45" s="1"/>
  <c r="I93" i="45"/>
  <c r="J92" i="45"/>
  <c r="K92" i="44"/>
  <c r="J93" i="44"/>
  <c r="C54" i="45" l="1"/>
  <c r="E54" i="45" s="1"/>
  <c r="I95" i="46"/>
  <c r="J91" i="46"/>
  <c r="I94" i="45"/>
  <c r="J93" i="45"/>
  <c r="G55" i="45"/>
  <c r="F55" i="45"/>
  <c r="D55" i="45"/>
  <c r="K93" i="44"/>
  <c r="J94" i="44"/>
  <c r="J92" i="46" l="1"/>
  <c r="I96" i="46"/>
  <c r="J94" i="45"/>
  <c r="I95" i="45"/>
  <c r="K56" i="45"/>
  <c r="H54" i="45"/>
  <c r="L55" i="45" s="1"/>
  <c r="K94" i="44"/>
  <c r="J95" i="44"/>
  <c r="C55" i="45" l="1"/>
  <c r="E55" i="45" s="1"/>
  <c r="J93" i="46"/>
  <c r="I97" i="46"/>
  <c r="D56" i="45"/>
  <c r="G56" i="45"/>
  <c r="F56" i="45"/>
  <c r="J95" i="45"/>
  <c r="I96" i="45"/>
  <c r="K95" i="44"/>
  <c r="J96" i="44"/>
  <c r="I98" i="46" l="1"/>
  <c r="J94" i="46"/>
  <c r="K57" i="45"/>
  <c r="H55" i="45"/>
  <c r="L56" i="45" s="1"/>
  <c r="I97" i="45"/>
  <c r="J96" i="45"/>
  <c r="K96" i="44"/>
  <c r="J97" i="44"/>
  <c r="C56" i="45" l="1"/>
  <c r="E56" i="45" s="1"/>
  <c r="I99" i="46"/>
  <c r="J95" i="46"/>
  <c r="I98" i="45"/>
  <c r="J97" i="45"/>
  <c r="D57" i="45"/>
  <c r="G57" i="45"/>
  <c r="F57" i="45"/>
  <c r="K97" i="44"/>
  <c r="J98" i="44"/>
  <c r="J96" i="46" l="1"/>
  <c r="I100" i="46"/>
  <c r="K58" i="45"/>
  <c r="H56" i="45"/>
  <c r="L57" i="45" s="1"/>
  <c r="J98" i="45"/>
  <c r="I99" i="45"/>
  <c r="K98" i="44"/>
  <c r="J99" i="44"/>
  <c r="C57" i="45" l="1"/>
  <c r="E57" i="45" s="1"/>
  <c r="J97" i="46"/>
  <c r="I101" i="46"/>
  <c r="J99" i="45"/>
  <c r="I100" i="45"/>
  <c r="F58" i="45"/>
  <c r="D58" i="45"/>
  <c r="G58" i="45"/>
  <c r="K99" i="44"/>
  <c r="J100" i="44"/>
  <c r="I102" i="46" l="1"/>
  <c r="J98" i="46"/>
  <c r="K59" i="45"/>
  <c r="H57" i="45"/>
  <c r="L58" i="45" s="1"/>
  <c r="I101" i="45"/>
  <c r="J100" i="45"/>
  <c r="K100" i="44"/>
  <c r="J101" i="44"/>
  <c r="C58" i="45" l="1"/>
  <c r="E58" i="45" s="1"/>
  <c r="J99" i="46"/>
  <c r="I103" i="46"/>
  <c r="G59" i="45"/>
  <c r="F59" i="45"/>
  <c r="D59" i="45"/>
  <c r="I102" i="45"/>
  <c r="J101" i="45"/>
  <c r="K101" i="44"/>
  <c r="J102" i="44"/>
  <c r="J100" i="46" l="1"/>
  <c r="I104" i="46"/>
  <c r="J102" i="45"/>
  <c r="I103" i="45"/>
  <c r="K60" i="45"/>
  <c r="H58" i="45"/>
  <c r="L59" i="45" s="1"/>
  <c r="K102" i="44"/>
  <c r="J103" i="44"/>
  <c r="C59" i="45" l="1"/>
  <c r="E59" i="45" s="1"/>
  <c r="I105" i="46"/>
  <c r="J101" i="46"/>
  <c r="D60" i="45"/>
  <c r="G60" i="45"/>
  <c r="F60" i="45"/>
  <c r="J103" i="45"/>
  <c r="I104" i="45"/>
  <c r="K103" i="44"/>
  <c r="J104" i="44"/>
  <c r="J102" i="46" l="1"/>
  <c r="I106" i="46"/>
  <c r="K61" i="45"/>
  <c r="H59" i="45"/>
  <c r="L60" i="45" s="1"/>
  <c r="I105" i="45"/>
  <c r="J104" i="45"/>
  <c r="K104" i="44"/>
  <c r="J105" i="44"/>
  <c r="C60" i="45" l="1"/>
  <c r="E60" i="45" s="1"/>
  <c r="J103" i="46"/>
  <c r="I107" i="46"/>
  <c r="I106" i="45"/>
  <c r="J105" i="45"/>
  <c r="D61" i="45"/>
  <c r="G61" i="45"/>
  <c r="F61" i="45"/>
  <c r="K105" i="44"/>
  <c r="J106" i="44"/>
  <c r="I108" i="46" l="1"/>
  <c r="J104" i="46"/>
  <c r="J106" i="45"/>
  <c r="I107" i="45"/>
  <c r="K62" i="45"/>
  <c r="H60" i="45"/>
  <c r="L61" i="45" s="1"/>
  <c r="K106" i="44"/>
  <c r="J107" i="44"/>
  <c r="C61" i="45" l="1"/>
  <c r="E61" i="45" s="1"/>
  <c r="I109" i="46"/>
  <c r="J105" i="46"/>
  <c r="J107" i="45"/>
  <c r="I108" i="45"/>
  <c r="F62" i="45"/>
  <c r="D62" i="45"/>
  <c r="G62" i="45"/>
  <c r="K107" i="44"/>
  <c r="J108" i="44"/>
  <c r="J106" i="46" l="1"/>
  <c r="I110" i="46"/>
  <c r="I109" i="45"/>
  <c r="J108" i="45"/>
  <c r="K63" i="45"/>
  <c r="H61" i="45"/>
  <c r="L62" i="45" s="1"/>
  <c r="K108" i="44"/>
  <c r="J109" i="44"/>
  <c r="C62" i="45" l="1"/>
  <c r="E62" i="45" s="1"/>
  <c r="J107" i="46"/>
  <c r="I111" i="46"/>
  <c r="G63" i="45"/>
  <c r="F63" i="45"/>
  <c r="D63" i="45"/>
  <c r="I110" i="45"/>
  <c r="J109" i="45"/>
  <c r="K109" i="44"/>
  <c r="J110" i="44"/>
  <c r="I112" i="46" l="1"/>
  <c r="J108" i="46"/>
  <c r="K64" i="45"/>
  <c r="H62" i="45"/>
  <c r="L63" i="45" s="1"/>
  <c r="J110" i="45"/>
  <c r="I111" i="45"/>
  <c r="K110" i="44"/>
  <c r="J111" i="44"/>
  <c r="C63" i="45" l="1"/>
  <c r="E63" i="45" s="1"/>
  <c r="J109" i="46"/>
  <c r="I113" i="46"/>
  <c r="J111" i="45"/>
  <c r="I112" i="45"/>
  <c r="D64" i="45"/>
  <c r="G64" i="45"/>
  <c r="F64" i="45"/>
  <c r="K111" i="44"/>
  <c r="J112" i="44"/>
  <c r="I114" i="46" l="1"/>
  <c r="J110" i="46"/>
  <c r="I113" i="45"/>
  <c r="J112" i="45"/>
  <c r="K65" i="45"/>
  <c r="H63" i="45"/>
  <c r="L64" i="45" s="1"/>
  <c r="K112" i="44"/>
  <c r="J113" i="44"/>
  <c r="C64" i="45" l="1"/>
  <c r="E64" i="45" s="1"/>
  <c r="J111" i="46"/>
  <c r="I115" i="46"/>
  <c r="I114" i="45"/>
  <c r="J113" i="45"/>
  <c r="D65" i="45"/>
  <c r="G65" i="45"/>
  <c r="F65" i="45"/>
  <c r="K113" i="44"/>
  <c r="J114" i="44"/>
  <c r="I116" i="46" l="1"/>
  <c r="J112" i="46"/>
  <c r="K66" i="45"/>
  <c r="H64" i="45"/>
  <c r="L65" i="45" s="1"/>
  <c r="J114" i="45"/>
  <c r="I115" i="45"/>
  <c r="K114" i="44"/>
  <c r="J115" i="44"/>
  <c r="C65" i="45" l="1"/>
  <c r="E65" i="45" s="1"/>
  <c r="J113" i="46"/>
  <c r="I117" i="46"/>
  <c r="F66" i="45"/>
  <c r="D66" i="45"/>
  <c r="G66" i="45"/>
  <c r="J115" i="45"/>
  <c r="I116" i="45"/>
  <c r="K115" i="44"/>
  <c r="J116" i="44"/>
  <c r="I118" i="46" l="1"/>
  <c r="J114" i="46"/>
  <c r="I117" i="45"/>
  <c r="J116" i="45"/>
  <c r="K67" i="45"/>
  <c r="H65" i="45"/>
  <c r="L66" i="45" s="1"/>
  <c r="K116" i="44"/>
  <c r="J117" i="44"/>
  <c r="C66" i="45" l="1"/>
  <c r="E66" i="45" s="1"/>
  <c r="J115" i="46"/>
  <c r="I119" i="46"/>
  <c r="G67" i="45"/>
  <c r="F67" i="45"/>
  <c r="D67" i="45"/>
  <c r="I118" i="45"/>
  <c r="J117" i="45"/>
  <c r="K117" i="44"/>
  <c r="J118" i="44"/>
  <c r="I120" i="46" l="1"/>
  <c r="J116" i="46"/>
  <c r="J118" i="45"/>
  <c r="I119" i="45"/>
  <c r="K68" i="45"/>
  <c r="H66" i="45"/>
  <c r="L67" i="45" s="1"/>
  <c r="K118" i="44"/>
  <c r="J119" i="44"/>
  <c r="C67" i="45" l="1"/>
  <c r="E67" i="45" s="1"/>
  <c r="J117" i="46"/>
  <c r="I121" i="46"/>
  <c r="D68" i="45"/>
  <c r="G68" i="45"/>
  <c r="F68" i="45"/>
  <c r="J119" i="45"/>
  <c r="I120" i="45"/>
  <c r="K119" i="44"/>
  <c r="J120" i="44"/>
  <c r="I122" i="46" l="1"/>
  <c r="J118" i="46"/>
  <c r="K69" i="45"/>
  <c r="H67" i="45"/>
  <c r="L68" i="45" s="1"/>
  <c r="I121" i="45"/>
  <c r="J120" i="45"/>
  <c r="K120" i="44"/>
  <c r="J121" i="44"/>
  <c r="C68" i="45" l="1"/>
  <c r="E68" i="45" s="1"/>
  <c r="I123" i="46"/>
  <c r="J119" i="46"/>
  <c r="D69" i="45"/>
  <c r="G69" i="45"/>
  <c r="F69" i="45"/>
  <c r="I122" i="45"/>
  <c r="J121" i="45"/>
  <c r="K121" i="44"/>
  <c r="J122" i="44"/>
  <c r="J120" i="46" l="1"/>
  <c r="I124" i="46"/>
  <c r="K70" i="45"/>
  <c r="H68" i="45"/>
  <c r="L69" i="45" s="1"/>
  <c r="J122" i="45"/>
  <c r="I123" i="45"/>
  <c r="K122" i="44"/>
  <c r="J123" i="44"/>
  <c r="C69" i="45" l="1"/>
  <c r="E69" i="45" s="1"/>
  <c r="J121" i="46"/>
  <c r="I125" i="46"/>
  <c r="J123" i="45"/>
  <c r="I124" i="45"/>
  <c r="F70" i="45"/>
  <c r="D70" i="45"/>
  <c r="G70" i="45"/>
  <c r="K123" i="44"/>
  <c r="J124" i="44"/>
  <c r="I126" i="46" l="1"/>
  <c r="J122" i="46"/>
  <c r="K71" i="45"/>
  <c r="H69" i="45"/>
  <c r="L70" i="45" s="1"/>
  <c r="I125" i="45"/>
  <c r="J124" i="45"/>
  <c r="K124" i="44"/>
  <c r="J125" i="44"/>
  <c r="C70" i="45" l="1"/>
  <c r="E70" i="45" s="1"/>
  <c r="J123" i="46"/>
  <c r="I127" i="46"/>
  <c r="G71" i="45"/>
  <c r="F71" i="45"/>
  <c r="D71" i="45"/>
  <c r="I126" i="45"/>
  <c r="J125" i="45"/>
  <c r="K125" i="44"/>
  <c r="J126" i="44"/>
  <c r="J124" i="46" l="1"/>
  <c r="I128" i="46"/>
  <c r="J126" i="45"/>
  <c r="I127" i="45"/>
  <c r="K72" i="45"/>
  <c r="H70" i="45"/>
  <c r="L71" i="45" s="1"/>
  <c r="K126" i="44"/>
  <c r="J127" i="44"/>
  <c r="C71" i="45" l="1"/>
  <c r="E71" i="45" s="1"/>
  <c r="J125" i="46"/>
  <c r="I129" i="46"/>
  <c r="D72" i="45"/>
  <c r="G72" i="45"/>
  <c r="F72" i="45"/>
  <c r="J127" i="45"/>
  <c r="I128" i="45"/>
  <c r="K127" i="44"/>
  <c r="J128" i="44"/>
  <c r="I130" i="46" l="1"/>
  <c r="J126" i="46"/>
  <c r="K73" i="45"/>
  <c r="H71" i="45"/>
  <c r="L72" i="45" s="1"/>
  <c r="I129" i="45"/>
  <c r="J128" i="45"/>
  <c r="K128" i="44"/>
  <c r="J129" i="44"/>
  <c r="C72" i="45" l="1"/>
  <c r="E72" i="45" s="1"/>
  <c r="J127" i="46"/>
  <c r="I131" i="46"/>
  <c r="I130" i="45"/>
  <c r="J129" i="45"/>
  <c r="D73" i="45"/>
  <c r="G73" i="45"/>
  <c r="F73" i="45"/>
  <c r="K129" i="44"/>
  <c r="J130" i="44"/>
  <c r="J128" i="46" l="1"/>
  <c r="I132" i="46"/>
  <c r="K74" i="45"/>
  <c r="H72" i="45"/>
  <c r="L73" i="45" s="1"/>
  <c r="J130" i="45"/>
  <c r="I131" i="45"/>
  <c r="K130" i="44"/>
  <c r="J131" i="44"/>
  <c r="C73" i="45" l="1"/>
  <c r="E73" i="45" s="1"/>
  <c r="J129" i="46"/>
  <c r="I133" i="46"/>
  <c r="F74" i="45"/>
  <c r="D74" i="45"/>
  <c r="G74" i="45"/>
  <c r="J131" i="45"/>
  <c r="I132" i="45"/>
  <c r="K131" i="44"/>
  <c r="J132" i="44"/>
  <c r="J130" i="46" l="1"/>
  <c r="I134" i="46"/>
  <c r="I133" i="45"/>
  <c r="J132" i="45"/>
  <c r="K75" i="45"/>
  <c r="H73" i="45"/>
  <c r="L74" i="45" s="1"/>
  <c r="K132" i="44"/>
  <c r="J133" i="44"/>
  <c r="C74" i="45" l="1"/>
  <c r="E74" i="45" s="1"/>
  <c r="J131" i="46"/>
  <c r="I135" i="46"/>
  <c r="G75" i="45"/>
  <c r="F75" i="45"/>
  <c r="D75" i="45"/>
  <c r="I134" i="45"/>
  <c r="J133" i="45"/>
  <c r="K133" i="44"/>
  <c r="J134" i="44"/>
  <c r="I136" i="46" l="1"/>
  <c r="J132" i="46"/>
  <c r="J134" i="45"/>
  <c r="I135" i="45"/>
  <c r="K76" i="45"/>
  <c r="H74" i="45"/>
  <c r="L75" i="45" s="1"/>
  <c r="K134" i="44"/>
  <c r="J135" i="44"/>
  <c r="C75" i="45" l="1"/>
  <c r="E75" i="45" s="1"/>
  <c r="J133" i="46"/>
  <c r="I137" i="46"/>
  <c r="I136" i="45"/>
  <c r="J135" i="45"/>
  <c r="D76" i="45"/>
  <c r="G76" i="45"/>
  <c r="F76" i="45"/>
  <c r="K135" i="44"/>
  <c r="J136" i="44"/>
  <c r="I138" i="46" l="1"/>
  <c r="J134" i="46"/>
  <c r="I137" i="45"/>
  <c r="J136" i="45"/>
  <c r="K77" i="45"/>
  <c r="H75" i="45"/>
  <c r="L76" i="45" s="1"/>
  <c r="K136" i="44"/>
  <c r="J137" i="44"/>
  <c r="C76" i="45" l="1"/>
  <c r="E76" i="45" s="1"/>
  <c r="I139" i="46"/>
  <c r="J135" i="46"/>
  <c r="D77" i="45"/>
  <c r="G77" i="45"/>
  <c r="F77" i="45"/>
  <c r="J137" i="45"/>
  <c r="I138" i="45"/>
  <c r="K137" i="44"/>
  <c r="J138" i="44"/>
  <c r="J136" i="46" l="1"/>
  <c r="I140" i="46"/>
  <c r="K78" i="45"/>
  <c r="H76" i="45"/>
  <c r="L77" i="45" s="1"/>
  <c r="J138" i="45"/>
  <c r="I139" i="45"/>
  <c r="K138" i="44"/>
  <c r="J139" i="44"/>
  <c r="C77" i="45" l="1"/>
  <c r="E77" i="45" s="1"/>
  <c r="J137" i="46"/>
  <c r="I141" i="46"/>
  <c r="F78" i="45"/>
  <c r="D78" i="45"/>
  <c r="G78" i="45"/>
  <c r="I140" i="45"/>
  <c r="J139" i="45"/>
  <c r="K139" i="44"/>
  <c r="J140" i="44"/>
  <c r="I142" i="46" l="1"/>
  <c r="J138" i="46"/>
  <c r="I141" i="45"/>
  <c r="J140" i="45"/>
  <c r="K79" i="45"/>
  <c r="H77" i="45"/>
  <c r="L78" i="45" s="1"/>
  <c r="K140" i="44"/>
  <c r="J141" i="44"/>
  <c r="C78" i="45" l="1"/>
  <c r="E78" i="45" s="1"/>
  <c r="J139" i="46"/>
  <c r="I143" i="46"/>
  <c r="G79" i="45"/>
  <c r="F79" i="45"/>
  <c r="D79" i="45"/>
  <c r="J141" i="45"/>
  <c r="I142" i="45"/>
  <c r="K141" i="44"/>
  <c r="J142" i="44"/>
  <c r="I144" i="46" l="1"/>
  <c r="J140" i="46"/>
  <c r="J142" i="45"/>
  <c r="I143" i="45"/>
  <c r="K80" i="45"/>
  <c r="H78" i="45"/>
  <c r="L79" i="45" s="1"/>
  <c r="K142" i="44"/>
  <c r="J143" i="44"/>
  <c r="C79" i="45" l="1"/>
  <c r="E79" i="45" s="1"/>
  <c r="J141" i="46"/>
  <c r="I145" i="46"/>
  <c r="D80" i="45"/>
  <c r="G80" i="45"/>
  <c r="F80" i="45"/>
  <c r="I144" i="45"/>
  <c r="J143" i="45"/>
  <c r="K143" i="44"/>
  <c r="J144" i="44"/>
  <c r="I146" i="46" l="1"/>
  <c r="J142" i="46"/>
  <c r="K81" i="45"/>
  <c r="H79" i="45"/>
  <c r="L80" i="45" s="1"/>
  <c r="I145" i="45"/>
  <c r="J144" i="45"/>
  <c r="K144" i="44"/>
  <c r="J145" i="44"/>
  <c r="C80" i="45" l="1"/>
  <c r="E80" i="45" s="1"/>
  <c r="I147" i="46"/>
  <c r="J143" i="46"/>
  <c r="D81" i="45"/>
  <c r="G81" i="45"/>
  <c r="F81" i="45"/>
  <c r="J145" i="45"/>
  <c r="I146" i="45"/>
  <c r="K145" i="44"/>
  <c r="J146" i="44"/>
  <c r="J144" i="46" l="1"/>
  <c r="I148" i="46"/>
  <c r="K82" i="45"/>
  <c r="H80" i="45"/>
  <c r="L81" i="45" s="1"/>
  <c r="C81" i="45" s="1"/>
  <c r="E81" i="45" s="1"/>
  <c r="J146" i="45"/>
  <c r="I147" i="45"/>
  <c r="K146" i="44"/>
  <c r="J147" i="44"/>
  <c r="I149" i="46" l="1"/>
  <c r="J145" i="46"/>
  <c r="F82" i="45"/>
  <c r="D82" i="45"/>
  <c r="G82" i="45"/>
  <c r="I148" i="45"/>
  <c r="J147" i="45"/>
  <c r="K147" i="44"/>
  <c r="J148" i="44"/>
  <c r="J146" i="46" l="1"/>
  <c r="I150" i="46"/>
  <c r="I149" i="45"/>
  <c r="J148" i="45"/>
  <c r="K83" i="45"/>
  <c r="H81" i="45"/>
  <c r="L82" i="45" s="1"/>
  <c r="K148" i="44"/>
  <c r="J149" i="44"/>
  <c r="C82" i="45" l="1"/>
  <c r="E82" i="45" s="1"/>
  <c r="I151" i="46"/>
  <c r="J147" i="46"/>
  <c r="G83" i="45"/>
  <c r="F83" i="45"/>
  <c r="D83" i="45"/>
  <c r="J149" i="45"/>
  <c r="I150" i="45"/>
  <c r="K149" i="44"/>
  <c r="J150" i="44"/>
  <c r="I152" i="46" l="1"/>
  <c r="J148" i="46"/>
  <c r="K84" i="45"/>
  <c r="H82" i="45"/>
  <c r="L83" i="45" s="1"/>
  <c r="J150" i="45"/>
  <c r="I151" i="45"/>
  <c r="K150" i="44"/>
  <c r="J151" i="44"/>
  <c r="C83" i="45" l="1"/>
  <c r="E83" i="45" s="1"/>
  <c r="J149" i="46"/>
  <c r="I153" i="46"/>
  <c r="I152" i="45"/>
  <c r="J151" i="45"/>
  <c r="D84" i="45"/>
  <c r="G84" i="45"/>
  <c r="F84" i="45"/>
  <c r="K151" i="44"/>
  <c r="J152" i="44"/>
  <c r="I154" i="46" l="1"/>
  <c r="J150" i="46"/>
  <c r="K85" i="45"/>
  <c r="H83" i="45"/>
  <c r="L84" i="45" s="1"/>
  <c r="I153" i="45"/>
  <c r="J152" i="45"/>
  <c r="K152" i="44"/>
  <c r="J153" i="44"/>
  <c r="C84" i="45" l="1"/>
  <c r="E84" i="45" s="1"/>
  <c r="J151" i="46"/>
  <c r="I155" i="46"/>
  <c r="J153" i="45"/>
  <c r="I154" i="45"/>
  <c r="D85" i="45"/>
  <c r="G85" i="45"/>
  <c r="F85" i="45"/>
  <c r="K153" i="44"/>
  <c r="J154" i="44"/>
  <c r="I156" i="46" l="1"/>
  <c r="J152" i="46"/>
  <c r="K86" i="45"/>
  <c r="H84" i="45"/>
  <c r="L85" i="45" s="1"/>
  <c r="J154" i="45"/>
  <c r="I155" i="45"/>
  <c r="J155" i="44"/>
  <c r="K154" i="44"/>
  <c r="C85" i="45" l="1"/>
  <c r="E85" i="45" s="1"/>
  <c r="J153" i="46"/>
  <c r="I157" i="46"/>
  <c r="F86" i="45"/>
  <c r="D86" i="45"/>
  <c r="G86" i="45"/>
  <c r="I156" i="45"/>
  <c r="J155" i="45"/>
  <c r="J156" i="44"/>
  <c r="K155" i="44"/>
  <c r="I158" i="46" l="1"/>
  <c r="J154" i="46"/>
  <c r="I157" i="45"/>
  <c r="J156" i="45"/>
  <c r="K87" i="45"/>
  <c r="H85" i="45"/>
  <c r="L86" i="45" s="1"/>
  <c r="J157" i="44"/>
  <c r="K156" i="44"/>
  <c r="C86" i="45" l="1"/>
  <c r="E86" i="45" s="1"/>
  <c r="J155" i="46"/>
  <c r="I159" i="46"/>
  <c r="G87" i="45"/>
  <c r="F87" i="45"/>
  <c r="D87" i="45"/>
  <c r="J157" i="45"/>
  <c r="I158" i="45"/>
  <c r="J158" i="44"/>
  <c r="K157" i="44"/>
  <c r="I160" i="46" l="1"/>
  <c r="J156" i="46"/>
  <c r="K88" i="45"/>
  <c r="H86" i="45"/>
  <c r="L87" i="45" s="1"/>
  <c r="J158" i="45"/>
  <c r="I159" i="45"/>
  <c r="J159" i="44"/>
  <c r="K158" i="44"/>
  <c r="C87" i="45" l="1"/>
  <c r="E87" i="45" s="1"/>
  <c r="J157" i="46"/>
  <c r="I161" i="46"/>
  <c r="D88" i="45"/>
  <c r="G88" i="45"/>
  <c r="F88" i="45"/>
  <c r="I160" i="45"/>
  <c r="J159" i="45"/>
  <c r="J160" i="44"/>
  <c r="K159" i="44"/>
  <c r="I162" i="46" l="1"/>
  <c r="J158" i="46"/>
  <c r="I161" i="45"/>
  <c r="J160" i="45"/>
  <c r="K89" i="45"/>
  <c r="H87" i="45"/>
  <c r="L88" i="45" s="1"/>
  <c r="J161" i="44"/>
  <c r="K160" i="44"/>
  <c r="C88" i="45" l="1"/>
  <c r="E88" i="45" s="1"/>
  <c r="I163" i="46"/>
  <c r="J159" i="46"/>
  <c r="D89" i="45"/>
  <c r="G89" i="45"/>
  <c r="F89" i="45"/>
  <c r="J161" i="45"/>
  <c r="I162" i="45"/>
  <c r="J162" i="44"/>
  <c r="K161" i="44"/>
  <c r="J160" i="46" l="1"/>
  <c r="I164" i="46"/>
  <c r="K90" i="45"/>
  <c r="H88" i="45"/>
  <c r="L89" i="45" s="1"/>
  <c r="J162" i="45"/>
  <c r="I163" i="45"/>
  <c r="J163" i="44"/>
  <c r="K162" i="44"/>
  <c r="C89" i="45" l="1"/>
  <c r="E89" i="45" s="1"/>
  <c r="I165" i="46"/>
  <c r="J161" i="46"/>
  <c r="F90" i="45"/>
  <c r="D90" i="45"/>
  <c r="G90" i="45"/>
  <c r="I164" i="45"/>
  <c r="J163" i="45"/>
  <c r="J164" i="44"/>
  <c r="K163" i="44"/>
  <c r="I166" i="46" l="1"/>
  <c r="J162" i="46"/>
  <c r="I165" i="45"/>
  <c r="J164" i="45"/>
  <c r="K91" i="45"/>
  <c r="H89" i="45"/>
  <c r="L90" i="45" s="1"/>
  <c r="J165" i="44"/>
  <c r="K164" i="44"/>
  <c r="C90" i="45" l="1"/>
  <c r="E90" i="45" s="1"/>
  <c r="J163" i="46"/>
  <c r="I167" i="46"/>
  <c r="G91" i="45"/>
  <c r="F91" i="45"/>
  <c r="D91" i="45"/>
  <c r="J165" i="45"/>
  <c r="I166" i="45"/>
  <c r="J166" i="44"/>
  <c r="K165" i="44"/>
  <c r="I168" i="46" l="1"/>
  <c r="J164" i="46"/>
  <c r="J166" i="45"/>
  <c r="I167" i="45"/>
  <c r="K92" i="45"/>
  <c r="H90" i="45"/>
  <c r="L91" i="45" s="1"/>
  <c r="J167" i="44"/>
  <c r="K166" i="44"/>
  <c r="C91" i="45" l="1"/>
  <c r="E91" i="45" s="1"/>
  <c r="J165" i="46"/>
  <c r="I169" i="46"/>
  <c r="D92" i="45"/>
  <c r="G92" i="45"/>
  <c r="F92" i="45"/>
  <c r="I168" i="45"/>
  <c r="J167" i="45"/>
  <c r="J168" i="44"/>
  <c r="K167" i="44"/>
  <c r="J166" i="46" l="1"/>
  <c r="I170" i="46"/>
  <c r="K93" i="45"/>
  <c r="H91" i="45"/>
  <c r="L92" i="45" s="1"/>
  <c r="I169" i="45"/>
  <c r="J168" i="45"/>
  <c r="J169" i="44"/>
  <c r="K168" i="44"/>
  <c r="C92" i="45" l="1"/>
  <c r="E92" i="45" s="1"/>
  <c r="I171" i="46"/>
  <c r="J167" i="46"/>
  <c r="D93" i="45"/>
  <c r="G93" i="45"/>
  <c r="F93" i="45"/>
  <c r="J169" i="45"/>
  <c r="I170" i="45"/>
  <c r="J170" i="44"/>
  <c r="K169" i="44"/>
  <c r="J168" i="46" l="1"/>
  <c r="I172" i="46"/>
  <c r="K94" i="45"/>
  <c r="H92" i="45"/>
  <c r="L93" i="45" s="1"/>
  <c r="C93" i="45" s="1"/>
  <c r="E93" i="45" s="1"/>
  <c r="I171" i="45"/>
  <c r="J170" i="45"/>
  <c r="J171" i="44"/>
  <c r="K170" i="44"/>
  <c r="I173" i="46" l="1"/>
  <c r="J169" i="46"/>
  <c r="I172" i="45"/>
  <c r="J171" i="45"/>
  <c r="F94" i="45"/>
  <c r="D94" i="45"/>
  <c r="G94" i="45"/>
  <c r="J172" i="44"/>
  <c r="K171" i="44"/>
  <c r="J170" i="46" l="1"/>
  <c r="I174" i="46"/>
  <c r="K95" i="45"/>
  <c r="H93" i="45"/>
  <c r="L94" i="45" s="1"/>
  <c r="J172" i="45"/>
  <c r="I173" i="45"/>
  <c r="J173" i="44"/>
  <c r="K172" i="44"/>
  <c r="C94" i="45" l="1"/>
  <c r="E94" i="45" s="1"/>
  <c r="I175" i="46"/>
  <c r="J171" i="46"/>
  <c r="J173" i="45"/>
  <c r="I174" i="45"/>
  <c r="G95" i="45"/>
  <c r="F95" i="45"/>
  <c r="D95" i="45"/>
  <c r="J174" i="44"/>
  <c r="K173" i="44"/>
  <c r="J172" i="46" l="1"/>
  <c r="I176" i="46"/>
  <c r="K96" i="45"/>
  <c r="H94" i="45"/>
  <c r="L95" i="45" s="1"/>
  <c r="I175" i="45"/>
  <c r="J174" i="45"/>
  <c r="J175" i="44"/>
  <c r="K174" i="44"/>
  <c r="C95" i="45" l="1"/>
  <c r="E95" i="45" s="1"/>
  <c r="I177" i="46"/>
  <c r="J173" i="46"/>
  <c r="I176" i="45"/>
  <c r="J175" i="45"/>
  <c r="D96" i="45"/>
  <c r="G96" i="45"/>
  <c r="F96" i="45"/>
  <c r="J176" i="44"/>
  <c r="K175" i="44"/>
  <c r="I178" i="46" l="1"/>
  <c r="J174" i="46"/>
  <c r="K97" i="45"/>
  <c r="H95" i="45"/>
  <c r="L96" i="45" s="1"/>
  <c r="J176" i="45"/>
  <c r="I177" i="45"/>
  <c r="J177" i="44"/>
  <c r="K176" i="44"/>
  <c r="C96" i="45" l="1"/>
  <c r="E96" i="45" s="1"/>
  <c r="I179" i="46"/>
  <c r="J175" i="46"/>
  <c r="J177" i="45"/>
  <c r="I178" i="45"/>
  <c r="D97" i="45"/>
  <c r="G97" i="45"/>
  <c r="F97" i="45"/>
  <c r="J178" i="44"/>
  <c r="K177" i="44"/>
  <c r="I180" i="46" l="1"/>
  <c r="J176" i="46"/>
  <c r="K98" i="45"/>
  <c r="H96" i="45"/>
  <c r="L97" i="45" s="1"/>
  <c r="I179" i="45"/>
  <c r="J178" i="45"/>
  <c r="J179" i="44"/>
  <c r="K178" i="44"/>
  <c r="C97" i="45" l="1"/>
  <c r="E97" i="45" s="1"/>
  <c r="J177" i="46"/>
  <c r="I181" i="46"/>
  <c r="I180" i="45"/>
  <c r="J179" i="45"/>
  <c r="F98" i="45"/>
  <c r="D98" i="45"/>
  <c r="G98" i="45"/>
  <c r="J180" i="44"/>
  <c r="K179" i="44"/>
  <c r="I182" i="46" l="1"/>
  <c r="J178" i="46"/>
  <c r="J180" i="45"/>
  <c r="I181" i="45"/>
  <c r="K99" i="45"/>
  <c r="H97" i="45"/>
  <c r="L98" i="45" s="1"/>
  <c r="J181" i="44"/>
  <c r="K180" i="44"/>
  <c r="C98" i="45" l="1"/>
  <c r="E98" i="45" s="1"/>
  <c r="J179" i="46"/>
  <c r="I183" i="46"/>
  <c r="J181" i="45"/>
  <c r="I182" i="45"/>
  <c r="G99" i="45"/>
  <c r="F99" i="45"/>
  <c r="D99" i="45"/>
  <c r="J182" i="44"/>
  <c r="K181" i="44"/>
  <c r="I184" i="46" l="1"/>
  <c r="J180" i="46"/>
  <c r="K100" i="45"/>
  <c r="H98" i="45"/>
  <c r="L99" i="45" s="1"/>
  <c r="I183" i="45"/>
  <c r="J182" i="45"/>
  <c r="J183" i="44"/>
  <c r="K182" i="44"/>
  <c r="C99" i="45" l="1"/>
  <c r="E99" i="45" s="1"/>
  <c r="I185" i="46"/>
  <c r="J181" i="46"/>
  <c r="I184" i="45"/>
  <c r="J183" i="45"/>
  <c r="D100" i="45"/>
  <c r="G100" i="45"/>
  <c r="F100" i="45"/>
  <c r="J184" i="44"/>
  <c r="K183" i="44"/>
  <c r="I186" i="46" l="1"/>
  <c r="J182" i="46"/>
  <c r="J184" i="45"/>
  <c r="I185" i="45"/>
  <c r="K101" i="45"/>
  <c r="H99" i="45"/>
  <c r="L100" i="45" s="1"/>
  <c r="J185" i="44"/>
  <c r="K184" i="44"/>
  <c r="C100" i="45" l="1"/>
  <c r="E100" i="45" s="1"/>
  <c r="I187" i="46"/>
  <c r="J183" i="46"/>
  <c r="J185" i="45"/>
  <c r="I186" i="45"/>
  <c r="D101" i="45"/>
  <c r="G101" i="45"/>
  <c r="F101" i="45"/>
  <c r="J186" i="44"/>
  <c r="K185" i="44"/>
  <c r="I188" i="46" l="1"/>
  <c r="J184" i="46"/>
  <c r="K102" i="45"/>
  <c r="H100" i="45"/>
  <c r="L101" i="45" s="1"/>
  <c r="I187" i="45"/>
  <c r="J186" i="45"/>
  <c r="J187" i="44"/>
  <c r="K186" i="44"/>
  <c r="C101" i="45" l="1"/>
  <c r="E101" i="45" s="1"/>
  <c r="J185" i="46"/>
  <c r="I189" i="46"/>
  <c r="I188" i="45"/>
  <c r="J187" i="45"/>
  <c r="F102" i="45"/>
  <c r="D102" i="45"/>
  <c r="G102" i="45"/>
  <c r="J188" i="44"/>
  <c r="K187" i="44"/>
  <c r="I190" i="46" l="1"/>
  <c r="J186" i="46"/>
  <c r="J188" i="45"/>
  <c r="I189" i="45"/>
  <c r="K103" i="45"/>
  <c r="H101" i="45"/>
  <c r="L102" i="45" s="1"/>
  <c r="J189" i="44"/>
  <c r="K188" i="44"/>
  <c r="C102" i="45" l="1"/>
  <c r="E102" i="45" s="1"/>
  <c r="I191" i="46"/>
  <c r="J187" i="46"/>
  <c r="J189" i="45"/>
  <c r="I190" i="45"/>
  <c r="G103" i="45"/>
  <c r="F103" i="45"/>
  <c r="D103" i="45"/>
  <c r="J190" i="44"/>
  <c r="K189" i="44"/>
  <c r="J188" i="46" l="1"/>
  <c r="I192" i="46"/>
  <c r="K104" i="45"/>
  <c r="H102" i="45"/>
  <c r="L103" i="45" s="1"/>
  <c r="I191" i="45"/>
  <c r="J190" i="45"/>
  <c r="J191" i="44"/>
  <c r="K190" i="44"/>
  <c r="C103" i="45" l="1"/>
  <c r="E103" i="45" s="1"/>
  <c r="I193" i="46"/>
  <c r="J189" i="46"/>
  <c r="D104" i="45"/>
  <c r="G104" i="45"/>
  <c r="F104" i="45"/>
  <c r="I192" i="45"/>
  <c r="J191" i="45"/>
  <c r="J192" i="44"/>
  <c r="K191" i="44"/>
  <c r="I194" i="46" l="1"/>
  <c r="J190" i="46"/>
  <c r="K105" i="45"/>
  <c r="H103" i="45"/>
  <c r="L104" i="45" s="1"/>
  <c r="J192" i="45"/>
  <c r="I193" i="45"/>
  <c r="J193" i="44"/>
  <c r="K192" i="44"/>
  <c r="C104" i="45" l="1"/>
  <c r="E104" i="45" s="1"/>
  <c r="I195" i="46"/>
  <c r="J191" i="46"/>
  <c r="J193" i="45"/>
  <c r="I194" i="45"/>
  <c r="D105" i="45"/>
  <c r="G105" i="45"/>
  <c r="F105" i="45"/>
  <c r="K193" i="44"/>
  <c r="J194" i="44"/>
  <c r="J192" i="46" l="1"/>
  <c r="I196" i="46"/>
  <c r="K106" i="45"/>
  <c r="H104" i="45"/>
  <c r="L105" i="45" s="1"/>
  <c r="I195" i="45"/>
  <c r="J194" i="45"/>
  <c r="K194" i="44"/>
  <c r="J195" i="44"/>
  <c r="C105" i="45" l="1"/>
  <c r="E105" i="45" s="1"/>
  <c r="I197" i="46"/>
  <c r="J193" i="46"/>
  <c r="I196" i="45"/>
  <c r="J195" i="45"/>
  <c r="F106" i="45"/>
  <c r="D106" i="45"/>
  <c r="G106" i="45"/>
  <c r="K195" i="44"/>
  <c r="J196" i="44"/>
  <c r="J194" i="46" l="1"/>
  <c r="I198" i="46"/>
  <c r="J196" i="45"/>
  <c r="I197" i="45"/>
  <c r="K107" i="45"/>
  <c r="H105" i="45"/>
  <c r="L106" i="45" s="1"/>
  <c r="K196" i="44"/>
  <c r="J197" i="44"/>
  <c r="C106" i="45" l="1"/>
  <c r="E106" i="45" s="1"/>
  <c r="I199" i="46"/>
  <c r="J195" i="46"/>
  <c r="G107" i="45"/>
  <c r="F107" i="45"/>
  <c r="D107" i="45"/>
  <c r="J197" i="45"/>
  <c r="I198" i="45"/>
  <c r="K197" i="44"/>
  <c r="J198" i="44"/>
  <c r="J196" i="46" l="1"/>
  <c r="I200" i="46"/>
  <c r="K108" i="45"/>
  <c r="H106" i="45"/>
  <c r="L107" i="45" s="1"/>
  <c r="I199" i="45"/>
  <c r="J198" i="45"/>
  <c r="K198" i="44"/>
  <c r="J199" i="44"/>
  <c r="C107" i="45" l="1"/>
  <c r="E107" i="45" s="1"/>
  <c r="I201" i="46"/>
  <c r="J197" i="46"/>
  <c r="I200" i="45"/>
  <c r="J199" i="45"/>
  <c r="D108" i="45"/>
  <c r="G108" i="45"/>
  <c r="F108" i="45"/>
  <c r="K199" i="44"/>
  <c r="J200" i="44"/>
  <c r="J198" i="46" l="1"/>
  <c r="I202" i="46"/>
  <c r="K109" i="45"/>
  <c r="H107" i="45"/>
  <c r="L108" i="45" s="1"/>
  <c r="J200" i="45"/>
  <c r="I201" i="45"/>
  <c r="K200" i="44"/>
  <c r="J201" i="44"/>
  <c r="C108" i="45" l="1"/>
  <c r="E108" i="45" s="1"/>
  <c r="I203" i="46"/>
  <c r="J199" i="46"/>
  <c r="J201" i="45"/>
  <c r="I202" i="45"/>
  <c r="D109" i="45"/>
  <c r="G109" i="45"/>
  <c r="F109" i="45"/>
  <c r="K201" i="44"/>
  <c r="J202" i="44"/>
  <c r="J200" i="46" l="1"/>
  <c r="I204" i="46"/>
  <c r="K110" i="45"/>
  <c r="H108" i="45"/>
  <c r="L109" i="45" s="1"/>
  <c r="I203" i="45"/>
  <c r="J202" i="45"/>
  <c r="K202" i="44"/>
  <c r="J203" i="44"/>
  <c r="C109" i="45" l="1"/>
  <c r="E109" i="45" s="1"/>
  <c r="I205" i="46"/>
  <c r="J201" i="46"/>
  <c r="F110" i="45"/>
  <c r="D110" i="45"/>
  <c r="G110" i="45"/>
  <c r="I204" i="45"/>
  <c r="J203" i="45"/>
  <c r="K203" i="44"/>
  <c r="J204" i="44"/>
  <c r="J202" i="46" l="1"/>
  <c r="I206" i="46"/>
  <c r="J204" i="45"/>
  <c r="I205" i="45"/>
  <c r="K111" i="45"/>
  <c r="H109" i="45"/>
  <c r="L110" i="45" s="1"/>
  <c r="K204" i="44"/>
  <c r="J205" i="44"/>
  <c r="C110" i="45" l="1"/>
  <c r="E110" i="45" s="1"/>
  <c r="I207" i="46"/>
  <c r="J203" i="46"/>
  <c r="G111" i="45"/>
  <c r="F111" i="45"/>
  <c r="D111" i="45"/>
  <c r="J205" i="45"/>
  <c r="I206" i="45"/>
  <c r="K205" i="44"/>
  <c r="J206" i="44"/>
  <c r="J204" i="46" l="1"/>
  <c r="I208" i="46"/>
  <c r="K112" i="45"/>
  <c r="H110" i="45"/>
  <c r="L111" i="45" s="1"/>
  <c r="I207" i="45"/>
  <c r="J206" i="45"/>
  <c r="K206" i="44"/>
  <c r="J207" i="44"/>
  <c r="C111" i="45" l="1"/>
  <c r="E111" i="45" s="1"/>
  <c r="I209" i="46"/>
  <c r="J205" i="46"/>
  <c r="I208" i="45"/>
  <c r="J207" i="45"/>
  <c r="D112" i="45"/>
  <c r="G112" i="45"/>
  <c r="F112" i="45"/>
  <c r="K207" i="44"/>
  <c r="J208" i="44"/>
  <c r="I210" i="46" l="1"/>
  <c r="J206" i="46"/>
  <c r="K113" i="45"/>
  <c r="H111" i="45"/>
  <c r="L112" i="45" s="1"/>
  <c r="J208" i="45"/>
  <c r="I209" i="45"/>
  <c r="K208" i="44"/>
  <c r="J209" i="44"/>
  <c r="C112" i="45" l="1"/>
  <c r="E112" i="45" s="1"/>
  <c r="I211" i="46"/>
  <c r="J207" i="46"/>
  <c r="J209" i="45"/>
  <c r="I210" i="45"/>
  <c r="D113" i="45"/>
  <c r="G113" i="45"/>
  <c r="F113" i="45"/>
  <c r="K209" i="44"/>
  <c r="J210" i="44"/>
  <c r="J208" i="46" l="1"/>
  <c r="I212" i="46"/>
  <c r="K114" i="45"/>
  <c r="H112" i="45"/>
  <c r="L113" i="45" s="1"/>
  <c r="I211" i="45"/>
  <c r="J210" i="45"/>
  <c r="K210" i="44"/>
  <c r="J211" i="44"/>
  <c r="C113" i="45" l="1"/>
  <c r="E113" i="45" s="1"/>
  <c r="I213" i="46"/>
  <c r="J209" i="46"/>
  <c r="F114" i="45"/>
  <c r="D114" i="45"/>
  <c r="G114" i="45"/>
  <c r="I212" i="45"/>
  <c r="J211" i="45"/>
  <c r="K211" i="44"/>
  <c r="J212" i="44"/>
  <c r="J210" i="46" l="1"/>
  <c r="I214" i="46"/>
  <c r="J212" i="45"/>
  <c r="I213" i="45"/>
  <c r="K115" i="45"/>
  <c r="H113" i="45"/>
  <c r="L114" i="45" s="1"/>
  <c r="K212" i="44"/>
  <c r="J213" i="44"/>
  <c r="C114" i="45" l="1"/>
  <c r="E114" i="45" s="1"/>
  <c r="I215" i="46"/>
  <c r="J211" i="46"/>
  <c r="G115" i="45"/>
  <c r="F115" i="45"/>
  <c r="D115" i="45"/>
  <c r="J213" i="45"/>
  <c r="I214" i="45"/>
  <c r="K213" i="44"/>
  <c r="J214" i="44"/>
  <c r="J212" i="46" l="1"/>
  <c r="I216" i="46"/>
  <c r="K116" i="45"/>
  <c r="H114" i="45"/>
  <c r="L115" i="45" s="1"/>
  <c r="I215" i="45"/>
  <c r="J214" i="45"/>
  <c r="K214" i="44"/>
  <c r="J215" i="44"/>
  <c r="C115" i="45" l="1"/>
  <c r="E115" i="45" s="1"/>
  <c r="I217" i="46"/>
  <c r="J213" i="46"/>
  <c r="I216" i="45"/>
  <c r="J215" i="45"/>
  <c r="D116" i="45"/>
  <c r="G116" i="45"/>
  <c r="F116" i="45"/>
  <c r="K215" i="44"/>
  <c r="J216" i="44"/>
  <c r="J214" i="46" l="1"/>
  <c r="I218" i="46"/>
  <c r="J216" i="45"/>
  <c r="I217" i="45"/>
  <c r="K117" i="45"/>
  <c r="H115" i="45"/>
  <c r="L116" i="45" s="1"/>
  <c r="C116" i="45" s="1"/>
  <c r="E116" i="45" s="1"/>
  <c r="K216" i="44"/>
  <c r="J217" i="44"/>
  <c r="J215" i="46" l="1"/>
  <c r="I219" i="46"/>
  <c r="J217" i="45"/>
  <c r="I218" i="45"/>
  <c r="D117" i="45"/>
  <c r="G117" i="45"/>
  <c r="F117" i="45"/>
  <c r="K217" i="44"/>
  <c r="J218" i="44"/>
  <c r="I220" i="46" l="1"/>
  <c r="J216" i="46"/>
  <c r="K118" i="45"/>
  <c r="H116" i="45"/>
  <c r="L117" i="45" s="1"/>
  <c r="I219" i="45"/>
  <c r="J218" i="45"/>
  <c r="K218" i="44"/>
  <c r="J219" i="44"/>
  <c r="C117" i="45" l="1"/>
  <c r="E117" i="45" s="1"/>
  <c r="I221" i="46"/>
  <c r="J217" i="46"/>
  <c r="I220" i="45"/>
  <c r="J219" i="45"/>
  <c r="F118" i="45"/>
  <c r="D118" i="45"/>
  <c r="G118" i="45"/>
  <c r="K219" i="44"/>
  <c r="J220" i="44"/>
  <c r="J218" i="46" l="1"/>
  <c r="I222" i="46"/>
  <c r="J220" i="45"/>
  <c r="I221" i="45"/>
  <c r="K119" i="45"/>
  <c r="H117" i="45"/>
  <c r="L118" i="45" s="1"/>
  <c r="K220" i="44"/>
  <c r="J221" i="44"/>
  <c r="C118" i="45" l="1"/>
  <c r="E118" i="45" s="1"/>
  <c r="I223" i="46"/>
  <c r="J219" i="46"/>
  <c r="G119" i="45"/>
  <c r="F119" i="45"/>
  <c r="D119" i="45"/>
  <c r="J221" i="45"/>
  <c r="I222" i="45"/>
  <c r="K221" i="44"/>
  <c r="J222" i="44"/>
  <c r="J220" i="46" l="1"/>
  <c r="I224" i="46"/>
  <c r="K120" i="45"/>
  <c r="H118" i="45"/>
  <c r="L119" i="45" s="1"/>
  <c r="I223" i="45"/>
  <c r="J222" i="45"/>
  <c r="K222" i="44"/>
  <c r="J223" i="44"/>
  <c r="C119" i="45" l="1"/>
  <c r="E119" i="45" s="1"/>
  <c r="I225" i="46"/>
  <c r="J221" i="46"/>
  <c r="D120" i="45"/>
  <c r="G120" i="45"/>
  <c r="F120" i="45"/>
  <c r="I224" i="45"/>
  <c r="J223" i="45"/>
  <c r="K223" i="44"/>
  <c r="J224" i="44"/>
  <c r="I226" i="46" l="1"/>
  <c r="J222" i="46"/>
  <c r="K121" i="45"/>
  <c r="H119" i="45"/>
  <c r="L120" i="45" s="1"/>
  <c r="C120" i="45" s="1"/>
  <c r="E120" i="45" s="1"/>
  <c r="J224" i="45"/>
  <c r="I225" i="45"/>
  <c r="K224" i="44"/>
  <c r="J225" i="44"/>
  <c r="I227" i="46" l="1"/>
  <c r="J223" i="46"/>
  <c r="J225" i="45"/>
  <c r="I226" i="45"/>
  <c r="D121" i="45"/>
  <c r="G121" i="45"/>
  <c r="F121" i="45"/>
  <c r="K225" i="44"/>
  <c r="J226" i="44"/>
  <c r="J224" i="46" l="1"/>
  <c r="I228" i="46"/>
  <c r="K122" i="45"/>
  <c r="H120" i="45"/>
  <c r="L121" i="45" s="1"/>
  <c r="I227" i="45"/>
  <c r="J226" i="45"/>
  <c r="K226" i="44"/>
  <c r="J227" i="44"/>
  <c r="C121" i="45" l="1"/>
  <c r="E121" i="45" s="1"/>
  <c r="I229" i="46"/>
  <c r="J225" i="46"/>
  <c r="I228" i="45"/>
  <c r="J227" i="45"/>
  <c r="F122" i="45"/>
  <c r="D122" i="45"/>
  <c r="G122" i="45"/>
  <c r="K227" i="44"/>
  <c r="J228" i="44"/>
  <c r="J226" i="46" l="1"/>
  <c r="I230" i="46"/>
  <c r="J228" i="45"/>
  <c r="I229" i="45"/>
  <c r="K123" i="45"/>
  <c r="H121" i="45"/>
  <c r="L122" i="45" s="1"/>
  <c r="K228" i="44"/>
  <c r="J229" i="44"/>
  <c r="C122" i="45" l="1"/>
  <c r="E122" i="45" s="1"/>
  <c r="I231" i="46"/>
  <c r="J227" i="46"/>
  <c r="J229" i="45"/>
  <c r="I230" i="45"/>
  <c r="G123" i="45"/>
  <c r="F123" i="45"/>
  <c r="D123" i="45"/>
  <c r="K229" i="44"/>
  <c r="J230" i="44"/>
  <c r="J228" i="46" l="1"/>
  <c r="I232" i="46"/>
  <c r="K124" i="45"/>
  <c r="H122" i="45"/>
  <c r="L123" i="45" s="1"/>
  <c r="C123" i="45" s="1"/>
  <c r="E123" i="45" s="1"/>
  <c r="I231" i="45"/>
  <c r="J230" i="45"/>
  <c r="K230" i="44"/>
  <c r="J231" i="44"/>
  <c r="I233" i="46" l="1"/>
  <c r="J229" i="46"/>
  <c r="D124" i="45"/>
  <c r="G124" i="45"/>
  <c r="F124" i="45"/>
  <c r="I232" i="45"/>
  <c r="J231" i="45"/>
  <c r="K231" i="44"/>
  <c r="J232" i="44"/>
  <c r="J230" i="46" l="1"/>
  <c r="I234" i="46"/>
  <c r="K125" i="45"/>
  <c r="H123" i="45"/>
  <c r="L124" i="45" s="1"/>
  <c r="C124" i="45" s="1"/>
  <c r="E124" i="45" s="1"/>
  <c r="J232" i="45"/>
  <c r="I233" i="45"/>
  <c r="K232" i="44"/>
  <c r="J233" i="44"/>
  <c r="I235" i="46" l="1"/>
  <c r="J231" i="46"/>
  <c r="J233" i="45"/>
  <c r="I234" i="45"/>
  <c r="D125" i="45"/>
  <c r="G125" i="45"/>
  <c r="F125" i="45"/>
  <c r="K233" i="44"/>
  <c r="J234" i="44"/>
  <c r="J232" i="46" l="1"/>
  <c r="I236" i="46"/>
  <c r="K126" i="45"/>
  <c r="H124" i="45"/>
  <c r="L125" i="45" s="1"/>
  <c r="I235" i="45"/>
  <c r="J234" i="45"/>
  <c r="K234" i="44"/>
  <c r="J235" i="44"/>
  <c r="C125" i="45" l="1"/>
  <c r="E125" i="45" s="1"/>
  <c r="I237" i="46"/>
  <c r="J233" i="46"/>
  <c r="F126" i="45"/>
  <c r="D126" i="45"/>
  <c r="G126" i="45"/>
  <c r="I236" i="45"/>
  <c r="J235" i="45"/>
  <c r="K235" i="44"/>
  <c r="J236" i="44"/>
  <c r="J234" i="46" l="1"/>
  <c r="I238" i="46"/>
  <c r="J236" i="45"/>
  <c r="I237" i="45"/>
  <c r="K127" i="45"/>
  <c r="H125" i="45"/>
  <c r="L126" i="45" s="1"/>
  <c r="K236" i="44"/>
  <c r="J237" i="44"/>
  <c r="C126" i="45" l="1"/>
  <c r="E126" i="45" s="1"/>
  <c r="I239" i="46"/>
  <c r="J235" i="46"/>
  <c r="G127" i="45"/>
  <c r="F127" i="45"/>
  <c r="D127" i="45"/>
  <c r="J237" i="45"/>
  <c r="I238" i="45"/>
  <c r="K237" i="44"/>
  <c r="J238" i="44"/>
  <c r="I240" i="46" l="1"/>
  <c r="J236" i="46"/>
  <c r="K128" i="45"/>
  <c r="H126" i="45"/>
  <c r="L127" i="45" s="1"/>
  <c r="C127" i="45" s="1"/>
  <c r="E127" i="45" s="1"/>
  <c r="J238" i="45"/>
  <c r="I239" i="45"/>
  <c r="K238" i="44"/>
  <c r="J239" i="44"/>
  <c r="J237" i="46" l="1"/>
  <c r="I241" i="46"/>
  <c r="D128" i="45"/>
  <c r="G128" i="45"/>
  <c r="F128" i="45"/>
  <c r="I240" i="45"/>
  <c r="J239" i="45"/>
  <c r="K239" i="44"/>
  <c r="J240" i="44"/>
  <c r="J238" i="46" l="1"/>
  <c r="I242" i="46"/>
  <c r="I241" i="45"/>
  <c r="J240" i="45"/>
  <c r="K129" i="45"/>
  <c r="H127" i="45"/>
  <c r="L128" i="45" s="1"/>
  <c r="K240" i="44"/>
  <c r="J241" i="44"/>
  <c r="C128" i="45" l="1"/>
  <c r="E128" i="45" s="1"/>
  <c r="I243" i="46"/>
  <c r="J239" i="46"/>
  <c r="J241" i="45"/>
  <c r="I242" i="45"/>
  <c r="D129" i="45"/>
  <c r="G129" i="45"/>
  <c r="F129" i="45"/>
  <c r="K241" i="44"/>
  <c r="J242" i="44"/>
  <c r="J240" i="46" l="1"/>
  <c r="I244" i="46"/>
  <c r="K130" i="45"/>
  <c r="H128" i="45"/>
  <c r="L129" i="45" s="1"/>
  <c r="J242" i="45"/>
  <c r="I243" i="45"/>
  <c r="K242" i="44"/>
  <c r="J243" i="44"/>
  <c r="C129" i="45" l="1"/>
  <c r="E129" i="45" s="1"/>
  <c r="J241" i="46"/>
  <c r="I245" i="46"/>
  <c r="I244" i="45"/>
  <c r="J243" i="45"/>
  <c r="F130" i="45"/>
  <c r="D130" i="45"/>
  <c r="G130" i="45"/>
  <c r="K243" i="44"/>
  <c r="J244" i="44"/>
  <c r="J242" i="46" l="1"/>
  <c r="I246" i="46"/>
  <c r="K131" i="45"/>
  <c r="H129" i="45"/>
  <c r="L130" i="45" s="1"/>
  <c r="C130" i="45" s="1"/>
  <c r="E130" i="45" s="1"/>
  <c r="I245" i="45"/>
  <c r="J244" i="45"/>
  <c r="K244" i="44"/>
  <c r="J245" i="44"/>
  <c r="I247" i="46" l="1"/>
  <c r="J243" i="46"/>
  <c r="J245" i="45"/>
  <c r="I246" i="45"/>
  <c r="G131" i="45"/>
  <c r="F131" i="45"/>
  <c r="D131" i="45"/>
  <c r="K245" i="44"/>
  <c r="J246" i="44"/>
  <c r="I248" i="46" l="1"/>
  <c r="J244" i="46"/>
  <c r="J246" i="45"/>
  <c r="I247" i="45"/>
  <c r="K132" i="45"/>
  <c r="H130" i="45"/>
  <c r="L131" i="45" s="1"/>
  <c r="K246" i="44"/>
  <c r="J247" i="44"/>
  <c r="C131" i="45" l="1"/>
  <c r="E131" i="45" s="1"/>
  <c r="J245" i="46"/>
  <c r="I249" i="46"/>
  <c r="D132" i="45"/>
  <c r="G132" i="45"/>
  <c r="F132" i="45"/>
  <c r="I248" i="45"/>
  <c r="J247" i="45"/>
  <c r="K247" i="44"/>
  <c r="J248" i="44"/>
  <c r="J246" i="46" l="1"/>
  <c r="I250" i="46"/>
  <c r="K133" i="45"/>
  <c r="H131" i="45"/>
  <c r="L132" i="45" s="1"/>
  <c r="I249" i="45"/>
  <c r="J248" i="45"/>
  <c r="K248" i="44"/>
  <c r="J249" i="44"/>
  <c r="C132" i="45" l="1"/>
  <c r="E132" i="45" s="1"/>
  <c r="I251" i="46"/>
  <c r="J247" i="46"/>
  <c r="J249" i="45"/>
  <c r="I250" i="45"/>
  <c r="D133" i="45"/>
  <c r="G133" i="45"/>
  <c r="F133" i="45"/>
  <c r="K249" i="44"/>
  <c r="J250" i="44"/>
  <c r="J248" i="46" l="1"/>
  <c r="I252" i="46"/>
  <c r="K134" i="45"/>
  <c r="H132" i="45"/>
  <c r="L133" i="45" s="1"/>
  <c r="C133" i="45" s="1"/>
  <c r="E133" i="45" s="1"/>
  <c r="J250" i="45"/>
  <c r="I251" i="45"/>
  <c r="K250" i="44"/>
  <c r="J251" i="44"/>
  <c r="I253" i="46" l="1"/>
  <c r="J249" i="46"/>
  <c r="I252" i="45"/>
  <c r="J251" i="45"/>
  <c r="F134" i="45"/>
  <c r="D134" i="45"/>
  <c r="G134" i="45"/>
  <c r="K251" i="44"/>
  <c r="J252" i="44"/>
  <c r="I254" i="46" l="1"/>
  <c r="J250" i="46"/>
  <c r="K135" i="45"/>
  <c r="H133" i="45"/>
  <c r="L134" i="45" s="1"/>
  <c r="C134" i="45" s="1"/>
  <c r="E134" i="45" s="1"/>
  <c r="I253" i="45"/>
  <c r="J252" i="45"/>
  <c r="K252" i="44"/>
  <c r="J253" i="44"/>
  <c r="J251" i="46" l="1"/>
  <c r="I255" i="46"/>
  <c r="J253" i="45"/>
  <c r="I254" i="45"/>
  <c r="D135" i="45"/>
  <c r="G135" i="45"/>
  <c r="F135" i="45"/>
  <c r="K253" i="44"/>
  <c r="J254" i="44"/>
  <c r="I256" i="46" l="1"/>
  <c r="J252" i="46"/>
  <c r="K136" i="45"/>
  <c r="H134" i="45"/>
  <c r="L135" i="45" s="1"/>
  <c r="J254" i="45"/>
  <c r="I255" i="45"/>
  <c r="K254" i="44"/>
  <c r="J255" i="44"/>
  <c r="C135" i="45" l="1"/>
  <c r="E135" i="45" s="1"/>
  <c r="I257" i="46"/>
  <c r="J253" i="46"/>
  <c r="D136" i="45"/>
  <c r="F136" i="45"/>
  <c r="G136" i="45"/>
  <c r="I256" i="45"/>
  <c r="J255" i="45"/>
  <c r="K255" i="44"/>
  <c r="J256" i="44"/>
  <c r="J254" i="46" l="1"/>
  <c r="I258" i="46"/>
  <c r="K137" i="45"/>
  <c r="H135" i="45"/>
  <c r="L136" i="45" s="1"/>
  <c r="I257" i="45"/>
  <c r="J256" i="45"/>
  <c r="K256" i="44"/>
  <c r="J257" i="44"/>
  <c r="C136" i="45" l="1"/>
  <c r="E136" i="45" s="1"/>
  <c r="I259" i="46"/>
  <c r="J255" i="46"/>
  <c r="J257" i="45"/>
  <c r="I258" i="45"/>
  <c r="F137" i="45"/>
  <c r="G137" i="45"/>
  <c r="D137" i="45"/>
  <c r="K257" i="44"/>
  <c r="J258" i="44"/>
  <c r="I260" i="46" l="1"/>
  <c r="J256" i="46"/>
  <c r="K138" i="45"/>
  <c r="H136" i="45"/>
  <c r="L137" i="45" s="1"/>
  <c r="J258" i="45"/>
  <c r="I259" i="45"/>
  <c r="K258" i="44"/>
  <c r="J259" i="44"/>
  <c r="C137" i="45" l="1"/>
  <c r="E137" i="45" s="1"/>
  <c r="J257" i="46"/>
  <c r="I261" i="46"/>
  <c r="I260" i="45"/>
  <c r="J259" i="45"/>
  <c r="G138" i="45"/>
  <c r="F138" i="45"/>
  <c r="D138" i="45"/>
  <c r="K259" i="44"/>
  <c r="J260" i="44"/>
  <c r="J258" i="46" l="1"/>
  <c r="I262" i="46"/>
  <c r="I261" i="45"/>
  <c r="J260" i="45"/>
  <c r="K139" i="45"/>
  <c r="H137" i="45"/>
  <c r="L138" i="45" s="1"/>
  <c r="K260" i="44"/>
  <c r="J261" i="44"/>
  <c r="C138" i="45" l="1"/>
  <c r="E138" i="45" s="1"/>
  <c r="I263" i="46"/>
  <c r="J259" i="46"/>
  <c r="J261" i="45"/>
  <c r="I262" i="45"/>
  <c r="D139" i="45"/>
  <c r="G139" i="45"/>
  <c r="F139" i="45"/>
  <c r="K261" i="44"/>
  <c r="J262" i="44"/>
  <c r="J260" i="46" l="1"/>
  <c r="I264" i="46"/>
  <c r="K140" i="45"/>
  <c r="H138" i="45"/>
  <c r="L139" i="45" s="1"/>
  <c r="J262" i="45"/>
  <c r="I263" i="45"/>
  <c r="K262" i="44"/>
  <c r="J263" i="44"/>
  <c r="C139" i="45" l="1"/>
  <c r="E139" i="45" s="1"/>
  <c r="I265" i="46"/>
  <c r="J261" i="46"/>
  <c r="I264" i="45"/>
  <c r="J263" i="45"/>
  <c r="D140" i="45"/>
  <c r="G140" i="45"/>
  <c r="F140" i="45"/>
  <c r="K263" i="44"/>
  <c r="J264" i="44"/>
  <c r="J262" i="46" l="1"/>
  <c r="I266" i="46"/>
  <c r="K141" i="45"/>
  <c r="H139" i="45"/>
  <c r="L140" i="45" s="1"/>
  <c r="I265" i="45"/>
  <c r="J264" i="45"/>
  <c r="K264" i="44"/>
  <c r="J265" i="44"/>
  <c r="C140" i="45" l="1"/>
  <c r="E140" i="45" s="1"/>
  <c r="I267" i="46"/>
  <c r="J263" i="46"/>
  <c r="J265" i="45"/>
  <c r="I266" i="45"/>
  <c r="F141" i="45"/>
  <c r="G141" i="45"/>
  <c r="D141" i="45"/>
  <c r="K265" i="44"/>
  <c r="J266" i="44"/>
  <c r="J264" i="46" l="1"/>
  <c r="I268" i="46"/>
  <c r="J266" i="45"/>
  <c r="I267" i="45"/>
  <c r="K142" i="45"/>
  <c r="H140" i="45"/>
  <c r="L141" i="45" s="1"/>
  <c r="K266" i="44"/>
  <c r="J267" i="44"/>
  <c r="C141" i="45" l="1"/>
  <c r="E141" i="45" s="1"/>
  <c r="I269" i="46"/>
  <c r="J265" i="46"/>
  <c r="I268" i="45"/>
  <c r="J267" i="45"/>
  <c r="G142" i="45"/>
  <c r="F142" i="45"/>
  <c r="D142" i="45"/>
  <c r="K267" i="44"/>
  <c r="J268" i="44"/>
  <c r="J266" i="46" l="1"/>
  <c r="I270" i="46"/>
  <c r="K143" i="45"/>
  <c r="H141" i="45"/>
  <c r="L142" i="45" s="1"/>
  <c r="I269" i="45"/>
  <c r="J268" i="45"/>
  <c r="K268" i="44"/>
  <c r="J269" i="44"/>
  <c r="C142" i="45" l="1"/>
  <c r="E142" i="45" s="1"/>
  <c r="J267" i="46"/>
  <c r="I271" i="46"/>
  <c r="J269" i="45"/>
  <c r="I270" i="45"/>
  <c r="D143" i="45"/>
  <c r="G143" i="45"/>
  <c r="F143" i="45"/>
  <c r="K269" i="44"/>
  <c r="J270" i="44"/>
  <c r="J268" i="46" l="1"/>
  <c r="I272" i="46"/>
  <c r="J270" i="45"/>
  <c r="I271" i="45"/>
  <c r="K144" i="45"/>
  <c r="H142" i="45"/>
  <c r="L143" i="45" s="1"/>
  <c r="C143" i="45" s="1"/>
  <c r="E143" i="45" s="1"/>
  <c r="K270" i="44"/>
  <c r="J271" i="44"/>
  <c r="I273" i="46" l="1"/>
  <c r="J269" i="46"/>
  <c r="D144" i="45"/>
  <c r="F144" i="45"/>
  <c r="G144" i="45"/>
  <c r="I272" i="45"/>
  <c r="J271" i="45"/>
  <c r="K271" i="44"/>
  <c r="J272" i="44"/>
  <c r="J270" i="46" l="1"/>
  <c r="I274" i="46"/>
  <c r="K145" i="45"/>
  <c r="H143" i="45"/>
  <c r="L144" i="45" s="1"/>
  <c r="C144" i="45" s="1"/>
  <c r="E144" i="45" s="1"/>
  <c r="I273" i="45"/>
  <c r="J272" i="45"/>
  <c r="K272" i="44"/>
  <c r="J273" i="44"/>
  <c r="J271" i="46" l="1"/>
  <c r="I275" i="46"/>
  <c r="J273" i="45"/>
  <c r="I274" i="45"/>
  <c r="F145" i="45"/>
  <c r="G145" i="45"/>
  <c r="D145" i="45"/>
  <c r="K273" i="44"/>
  <c r="J274" i="44"/>
  <c r="J272" i="46" l="1"/>
  <c r="I276" i="46"/>
  <c r="J274" i="45"/>
  <c r="I275" i="45"/>
  <c r="K146" i="45"/>
  <c r="H144" i="45"/>
  <c r="L145" i="45" s="1"/>
  <c r="K274" i="44"/>
  <c r="J275" i="44"/>
  <c r="C145" i="45" l="1"/>
  <c r="E145" i="45" s="1"/>
  <c r="I277" i="46"/>
  <c r="J273" i="46"/>
  <c r="G146" i="45"/>
  <c r="F146" i="45"/>
  <c r="D146" i="45"/>
  <c r="I276" i="45"/>
  <c r="J275" i="45"/>
  <c r="K275" i="44"/>
  <c r="J276" i="44"/>
  <c r="J274" i="46" l="1"/>
  <c r="I278" i="46"/>
  <c r="K147" i="45"/>
  <c r="H145" i="45"/>
  <c r="L146" i="45" s="1"/>
  <c r="I277" i="45"/>
  <c r="J276" i="45"/>
  <c r="K276" i="44"/>
  <c r="J277" i="44"/>
  <c r="C146" i="45" l="1"/>
  <c r="E146" i="45" s="1"/>
  <c r="J275" i="46"/>
  <c r="I279" i="46"/>
  <c r="J277" i="45"/>
  <c r="I278" i="45"/>
  <c r="D147" i="45"/>
  <c r="G147" i="45"/>
  <c r="F147" i="45"/>
  <c r="K277" i="44"/>
  <c r="J278" i="44"/>
  <c r="J276" i="46" l="1"/>
  <c r="I280" i="46"/>
  <c r="J278" i="45"/>
  <c r="I279" i="45"/>
  <c r="K148" i="45"/>
  <c r="H146" i="45"/>
  <c r="L147" i="45" s="1"/>
  <c r="C147" i="45" s="1"/>
  <c r="E147" i="45" s="1"/>
  <c r="K278" i="44"/>
  <c r="J279" i="44"/>
  <c r="I281" i="46" l="1"/>
  <c r="J277" i="46"/>
  <c r="D148" i="45"/>
  <c r="G148" i="45"/>
  <c r="F148" i="45"/>
  <c r="I280" i="45"/>
  <c r="J279" i="45"/>
  <c r="K279" i="44"/>
  <c r="J280" i="44"/>
  <c r="I282" i="46" l="1"/>
  <c r="J278" i="46"/>
  <c r="K149" i="45"/>
  <c r="H147" i="45"/>
  <c r="L148" i="45" s="1"/>
  <c r="I281" i="45"/>
  <c r="J280" i="45"/>
  <c r="K280" i="44"/>
  <c r="J281" i="44"/>
  <c r="C148" i="45" l="1"/>
  <c r="E148" i="45" s="1"/>
  <c r="I283" i="46"/>
  <c r="J279" i="46"/>
  <c r="F149" i="45"/>
  <c r="G149" i="45"/>
  <c r="D149" i="45"/>
  <c r="J281" i="45"/>
  <c r="I282" i="45"/>
  <c r="K281" i="44"/>
  <c r="J282" i="44"/>
  <c r="J280" i="46" l="1"/>
  <c r="I284" i="46"/>
  <c r="K150" i="45"/>
  <c r="H148" i="45"/>
  <c r="L149" i="45" s="1"/>
  <c r="J282" i="45"/>
  <c r="I283" i="45"/>
  <c r="K282" i="44"/>
  <c r="J283" i="44"/>
  <c r="C149" i="45" l="1"/>
  <c r="E149" i="45" s="1"/>
  <c r="I285" i="46"/>
  <c r="J281" i="46"/>
  <c r="G150" i="45"/>
  <c r="F150" i="45"/>
  <c r="D150" i="45"/>
  <c r="I284" i="45"/>
  <c r="J283" i="45"/>
  <c r="K283" i="44"/>
  <c r="J284" i="44"/>
  <c r="J282" i="46" l="1"/>
  <c r="I286" i="46"/>
  <c r="K151" i="45"/>
  <c r="H149" i="45"/>
  <c r="L150" i="45" s="1"/>
  <c r="I285" i="45"/>
  <c r="J284" i="45"/>
  <c r="K284" i="44"/>
  <c r="J285" i="44"/>
  <c r="C150" i="45" l="1"/>
  <c r="E150" i="45" s="1"/>
  <c r="I287" i="46"/>
  <c r="J283" i="46"/>
  <c r="J285" i="45"/>
  <c r="I286" i="45"/>
  <c r="D151" i="45"/>
  <c r="G151" i="45"/>
  <c r="F151" i="45"/>
  <c r="K285" i="44"/>
  <c r="J286" i="44"/>
  <c r="J284" i="46" l="1"/>
  <c r="I288" i="46"/>
  <c r="J286" i="45"/>
  <c r="I287" i="45"/>
  <c r="K152" i="45"/>
  <c r="H150" i="45"/>
  <c r="L151" i="45" s="1"/>
  <c r="K286" i="44"/>
  <c r="J287" i="44"/>
  <c r="C151" i="45" l="1"/>
  <c r="E151" i="45" s="1"/>
  <c r="I289" i="46"/>
  <c r="J285" i="46"/>
  <c r="D152" i="45"/>
  <c r="F152" i="45"/>
  <c r="G152" i="45"/>
  <c r="I288" i="45"/>
  <c r="J287" i="45"/>
  <c r="K287" i="44"/>
  <c r="J288" i="44"/>
  <c r="I290" i="46" l="1"/>
  <c r="J286" i="46"/>
  <c r="K153" i="45"/>
  <c r="H151" i="45"/>
  <c r="L152" i="45" s="1"/>
  <c r="I289" i="45"/>
  <c r="J288" i="45"/>
  <c r="K288" i="44"/>
  <c r="J289" i="44"/>
  <c r="C152" i="45" l="1"/>
  <c r="E152" i="45" s="1"/>
  <c r="I291" i="46"/>
  <c r="J287" i="46"/>
  <c r="I290" i="45"/>
  <c r="J289" i="45"/>
  <c r="F153" i="45"/>
  <c r="G153" i="45"/>
  <c r="D153" i="45"/>
  <c r="K289" i="44"/>
  <c r="J290" i="44"/>
  <c r="I292" i="46" l="1"/>
  <c r="J288" i="46"/>
  <c r="K154" i="45"/>
  <c r="H152" i="45"/>
  <c r="L153" i="45" s="1"/>
  <c r="C153" i="45" s="1"/>
  <c r="E153" i="45" s="1"/>
  <c r="I291" i="45"/>
  <c r="J290" i="45"/>
  <c r="K290" i="44"/>
  <c r="J291" i="44"/>
  <c r="J289" i="46" l="1"/>
  <c r="I293" i="46"/>
  <c r="J291" i="45"/>
  <c r="I292" i="45"/>
  <c r="G154" i="45"/>
  <c r="F154" i="45"/>
  <c r="D154" i="45"/>
  <c r="K291" i="44"/>
  <c r="J292" i="44"/>
  <c r="J290" i="46" l="1"/>
  <c r="I294" i="46"/>
  <c r="K155" i="45"/>
  <c r="H153" i="45"/>
  <c r="L154" i="45" s="1"/>
  <c r="J292" i="45"/>
  <c r="I293" i="45"/>
  <c r="K292" i="44"/>
  <c r="J293" i="44"/>
  <c r="C154" i="45" l="1"/>
  <c r="E154" i="45" s="1"/>
  <c r="I295" i="46"/>
  <c r="J291" i="46"/>
  <c r="I294" i="45"/>
  <c r="J293" i="45"/>
  <c r="D155" i="45"/>
  <c r="G155" i="45"/>
  <c r="F155" i="45"/>
  <c r="K293" i="44"/>
  <c r="J294" i="44"/>
  <c r="I296" i="46" l="1"/>
  <c r="J292" i="46"/>
  <c r="K156" i="45"/>
  <c r="H154" i="45"/>
  <c r="L155" i="45" s="1"/>
  <c r="C155" i="45" s="1"/>
  <c r="E155" i="45" s="1"/>
  <c r="I295" i="45"/>
  <c r="J294" i="45"/>
  <c r="K294" i="44"/>
  <c r="J295" i="44"/>
  <c r="I297" i="46" l="1"/>
  <c r="J293" i="46"/>
  <c r="J295" i="45"/>
  <c r="I296" i="45"/>
  <c r="D156" i="45"/>
  <c r="G156" i="45"/>
  <c r="F156" i="45"/>
  <c r="K295" i="44"/>
  <c r="J296" i="44"/>
  <c r="J294" i="46" l="1"/>
  <c r="I298" i="46"/>
  <c r="K157" i="45"/>
  <c r="H155" i="45"/>
  <c r="L156" i="45" s="1"/>
  <c r="C156" i="45" s="1"/>
  <c r="E156" i="45" s="1"/>
  <c r="J296" i="45"/>
  <c r="I297" i="45"/>
  <c r="K296" i="44"/>
  <c r="J297" i="44"/>
  <c r="J295" i="46" l="1"/>
  <c r="I299" i="46"/>
  <c r="I298" i="45"/>
  <c r="J297" i="45"/>
  <c r="F157" i="45"/>
  <c r="G157" i="45"/>
  <c r="D157" i="45"/>
  <c r="K297" i="44"/>
  <c r="J298" i="44"/>
  <c r="J296" i="46" l="1"/>
  <c r="I300" i="46"/>
  <c r="K158" i="45"/>
  <c r="H156" i="45"/>
  <c r="L157" i="45" s="1"/>
  <c r="I299" i="45"/>
  <c r="J298" i="45"/>
  <c r="K298" i="44"/>
  <c r="J299" i="44"/>
  <c r="C157" i="45" l="1"/>
  <c r="E157" i="45" s="1"/>
  <c r="I301" i="46"/>
  <c r="J297" i="46"/>
  <c r="J299" i="45"/>
  <c r="I300" i="45"/>
  <c r="G158" i="45"/>
  <c r="F158" i="45"/>
  <c r="D158" i="45"/>
  <c r="K299" i="44"/>
  <c r="J300" i="44"/>
  <c r="J298" i="46" l="1"/>
  <c r="I302" i="46"/>
  <c r="J300" i="45"/>
  <c r="I301" i="45"/>
  <c r="K159" i="45"/>
  <c r="H157" i="45"/>
  <c r="L158" i="45" s="1"/>
  <c r="K300" i="44"/>
  <c r="J301" i="44"/>
  <c r="C158" i="45" l="1"/>
  <c r="E158" i="45" s="1"/>
  <c r="I303" i="46"/>
  <c r="J299" i="46"/>
  <c r="D159" i="45"/>
  <c r="G159" i="45"/>
  <c r="F159" i="45"/>
  <c r="I302" i="45"/>
  <c r="J301" i="45"/>
  <c r="J302" i="44"/>
  <c r="K301" i="44"/>
  <c r="I304" i="46" l="1"/>
  <c r="J300" i="46"/>
  <c r="K160" i="45"/>
  <c r="H158" i="45"/>
  <c r="L159" i="45" s="1"/>
  <c r="I303" i="45"/>
  <c r="J302" i="45"/>
  <c r="K302" i="44"/>
  <c r="J303" i="44"/>
  <c r="C159" i="45" l="1"/>
  <c r="E159" i="45" s="1"/>
  <c r="I305" i="46"/>
  <c r="J301" i="46"/>
  <c r="D160" i="45"/>
  <c r="F160" i="45"/>
  <c r="G160" i="45"/>
  <c r="I304" i="45"/>
  <c r="J303" i="45"/>
  <c r="K303" i="44"/>
  <c r="J304" i="44"/>
  <c r="J302" i="46" l="1"/>
  <c r="I306" i="46"/>
  <c r="K161" i="45"/>
  <c r="H159" i="45"/>
  <c r="L160" i="45" s="1"/>
  <c r="I305" i="45"/>
  <c r="J304" i="45"/>
  <c r="K304" i="44"/>
  <c r="J305" i="44"/>
  <c r="C160" i="45" l="1"/>
  <c r="E160" i="45" s="1"/>
  <c r="J303" i="46"/>
  <c r="I307" i="46"/>
  <c r="J305" i="45"/>
  <c r="I306" i="45"/>
  <c r="F161" i="45"/>
  <c r="G161" i="45"/>
  <c r="D161" i="45"/>
  <c r="K305" i="44"/>
  <c r="J306" i="44"/>
  <c r="I308" i="46" l="1"/>
  <c r="J304" i="46"/>
  <c r="K162" i="45"/>
  <c r="H160" i="45"/>
  <c r="L161" i="45" s="1"/>
  <c r="I307" i="45"/>
  <c r="J306" i="45"/>
  <c r="K306" i="44"/>
  <c r="J307" i="44"/>
  <c r="C161" i="45" l="1"/>
  <c r="E161" i="45" s="1"/>
  <c r="J305" i="46"/>
  <c r="I309" i="46"/>
  <c r="G162" i="45"/>
  <c r="F162" i="45"/>
  <c r="D162" i="45"/>
  <c r="I308" i="45"/>
  <c r="J307" i="45"/>
  <c r="K307" i="44"/>
  <c r="J308" i="44"/>
  <c r="J306" i="46" l="1"/>
  <c r="I310" i="46"/>
  <c r="K163" i="45"/>
  <c r="H161" i="45"/>
  <c r="L162" i="45" s="1"/>
  <c r="I309" i="45"/>
  <c r="J308" i="45"/>
  <c r="K308" i="44"/>
  <c r="J309" i="44"/>
  <c r="C162" i="45" l="1"/>
  <c r="E162" i="45" s="1"/>
  <c r="J307" i="46"/>
  <c r="I311" i="46"/>
  <c r="D163" i="45"/>
  <c r="G163" i="45"/>
  <c r="F163" i="45"/>
  <c r="J309" i="45"/>
  <c r="I310" i="45"/>
  <c r="K309" i="44"/>
  <c r="J310" i="44"/>
  <c r="I312" i="46" l="1"/>
  <c r="J308" i="46"/>
  <c r="J310" i="45"/>
  <c r="I311" i="45"/>
  <c r="K164" i="45"/>
  <c r="H162" i="45"/>
  <c r="L163" i="45" s="1"/>
  <c r="K310" i="44"/>
  <c r="J311" i="44"/>
  <c r="C163" i="45" l="1"/>
  <c r="E163" i="45" s="1"/>
  <c r="J309" i="46"/>
  <c r="I313" i="46"/>
  <c r="I312" i="45"/>
  <c r="J311" i="45"/>
  <c r="D164" i="45"/>
  <c r="G164" i="45"/>
  <c r="F164" i="45"/>
  <c r="K311" i="44"/>
  <c r="J312" i="44"/>
  <c r="J310" i="46" l="1"/>
  <c r="I314" i="46"/>
  <c r="K165" i="45"/>
  <c r="H163" i="45"/>
  <c r="L164" i="45" s="1"/>
  <c r="I313" i="45"/>
  <c r="J312" i="45"/>
  <c r="K312" i="44"/>
  <c r="J313" i="44"/>
  <c r="C164" i="45" l="1"/>
  <c r="E164" i="45" s="1"/>
  <c r="J311" i="46"/>
  <c r="I315" i="46"/>
  <c r="J313" i="45"/>
  <c r="I314" i="45"/>
  <c r="F165" i="45"/>
  <c r="G165" i="45"/>
  <c r="D165" i="45"/>
  <c r="K313" i="44"/>
  <c r="J314" i="44"/>
  <c r="I316" i="46" l="1"/>
  <c r="J312" i="46"/>
  <c r="J314" i="45"/>
  <c r="I315" i="45"/>
  <c r="K166" i="45"/>
  <c r="H164" i="45"/>
  <c r="L165" i="45" s="1"/>
  <c r="K314" i="44"/>
  <c r="J315" i="44"/>
  <c r="C165" i="45" l="1"/>
  <c r="E165" i="45" s="1"/>
  <c r="J313" i="46"/>
  <c r="I317" i="46"/>
  <c r="G166" i="45"/>
  <c r="F166" i="45"/>
  <c r="D166" i="45"/>
  <c r="I316" i="45"/>
  <c r="J315" i="45"/>
  <c r="K315" i="44"/>
  <c r="J316" i="44"/>
  <c r="I318" i="46" l="1"/>
  <c r="J314" i="46"/>
  <c r="K167" i="45"/>
  <c r="H165" i="45"/>
  <c r="L166" i="45" s="1"/>
  <c r="I317" i="45"/>
  <c r="J316" i="45"/>
  <c r="K316" i="44"/>
  <c r="J317" i="44"/>
  <c r="C166" i="45" l="1"/>
  <c r="E166" i="45" s="1"/>
  <c r="J315" i="46"/>
  <c r="I319" i="46"/>
  <c r="J317" i="45"/>
  <c r="I318" i="45"/>
  <c r="D167" i="45"/>
  <c r="G167" i="45"/>
  <c r="F167" i="45"/>
  <c r="K317" i="44"/>
  <c r="J318" i="44"/>
  <c r="I320" i="46" l="1"/>
  <c r="J316" i="46"/>
  <c r="I319" i="45"/>
  <c r="J318" i="45"/>
  <c r="K168" i="45"/>
  <c r="H166" i="45"/>
  <c r="L167" i="45" s="1"/>
  <c r="K318" i="44"/>
  <c r="J319" i="44"/>
  <c r="C167" i="45" l="1"/>
  <c r="E167" i="45" s="1"/>
  <c r="I321" i="46"/>
  <c r="J317" i="46"/>
  <c r="I320" i="45"/>
  <c r="J319" i="45"/>
  <c r="D168" i="45"/>
  <c r="F168" i="45"/>
  <c r="G168" i="45"/>
  <c r="K319" i="44"/>
  <c r="J320" i="44"/>
  <c r="J318" i="46" l="1"/>
  <c r="I322" i="46"/>
  <c r="K169" i="45"/>
  <c r="H167" i="45"/>
  <c r="L168" i="45" s="1"/>
  <c r="J320" i="45"/>
  <c r="I321" i="45"/>
  <c r="K320" i="44"/>
  <c r="J321" i="44"/>
  <c r="C168" i="45" l="1"/>
  <c r="E168" i="45" s="1"/>
  <c r="I323" i="46"/>
  <c r="J319" i="46"/>
  <c r="J321" i="45"/>
  <c r="I322" i="45"/>
  <c r="F169" i="45"/>
  <c r="G169" i="45"/>
  <c r="D169" i="45"/>
  <c r="K321" i="44"/>
  <c r="J322" i="44"/>
  <c r="J320" i="46" l="1"/>
  <c r="I324" i="46"/>
  <c r="K170" i="45"/>
  <c r="H168" i="45"/>
  <c r="L169" i="45" s="1"/>
  <c r="I323" i="45"/>
  <c r="J322" i="45"/>
  <c r="K322" i="44"/>
  <c r="J323" i="44"/>
  <c r="C169" i="45" l="1"/>
  <c r="E169" i="45" s="1"/>
  <c r="I325" i="46"/>
  <c r="J321" i="46"/>
  <c r="G170" i="45"/>
  <c r="F170" i="45"/>
  <c r="D170" i="45"/>
  <c r="I324" i="45"/>
  <c r="J323" i="45"/>
  <c r="K323" i="44"/>
  <c r="J324" i="44"/>
  <c r="J322" i="46" l="1"/>
  <c r="I326" i="46"/>
  <c r="K171" i="45"/>
  <c r="H169" i="45"/>
  <c r="L170" i="45" s="1"/>
  <c r="J324" i="45"/>
  <c r="I325" i="45"/>
  <c r="K324" i="44"/>
  <c r="J325" i="44"/>
  <c r="C170" i="45" l="1"/>
  <c r="E170" i="45" s="1"/>
  <c r="I327" i="46"/>
  <c r="J323" i="46"/>
  <c r="D171" i="45"/>
  <c r="G171" i="45"/>
  <c r="F171" i="45"/>
  <c r="J325" i="45"/>
  <c r="I326" i="45"/>
  <c r="K325" i="44"/>
  <c r="J326" i="44"/>
  <c r="J324" i="46" l="1"/>
  <c r="I328" i="46"/>
  <c r="I327" i="45"/>
  <c r="J326" i="45"/>
  <c r="K172" i="45"/>
  <c r="H170" i="45"/>
  <c r="L171" i="45" s="1"/>
  <c r="J327" i="44"/>
  <c r="K326" i="44"/>
  <c r="C171" i="45" l="1"/>
  <c r="E171" i="45" s="1"/>
  <c r="I329" i="46"/>
  <c r="J325" i="46"/>
  <c r="F172" i="45"/>
  <c r="D172" i="45"/>
  <c r="G172" i="45"/>
  <c r="I328" i="45"/>
  <c r="J327" i="45"/>
  <c r="K327" i="44"/>
  <c r="J328" i="44"/>
  <c r="J326" i="46" l="1"/>
  <c r="I330" i="46"/>
  <c r="K173" i="45"/>
  <c r="H171" i="45"/>
  <c r="L172" i="45" s="1"/>
  <c r="J328" i="45"/>
  <c r="I329" i="45"/>
  <c r="K328" i="44"/>
  <c r="J329" i="44"/>
  <c r="C172" i="45" l="1"/>
  <c r="E172" i="45" s="1"/>
  <c r="I331" i="46"/>
  <c r="J327" i="46"/>
  <c r="G173" i="45"/>
  <c r="F173" i="45"/>
  <c r="D173" i="45"/>
  <c r="J329" i="45"/>
  <c r="I330" i="45"/>
  <c r="K329" i="44"/>
  <c r="J330" i="44"/>
  <c r="J328" i="46" l="1"/>
  <c r="I332" i="46"/>
  <c r="I331" i="45"/>
  <c r="J330" i="45"/>
  <c r="K174" i="45"/>
  <c r="H172" i="45"/>
  <c r="L173" i="45" s="1"/>
  <c r="K330" i="44"/>
  <c r="J331" i="44"/>
  <c r="C173" i="45" l="1"/>
  <c r="E173" i="45" s="1"/>
  <c r="I333" i="46"/>
  <c r="J329" i="46"/>
  <c r="D174" i="45"/>
  <c r="G174" i="45"/>
  <c r="F174" i="45"/>
  <c r="I332" i="45"/>
  <c r="J331" i="45"/>
  <c r="K331" i="44"/>
  <c r="J332" i="44"/>
  <c r="I334" i="46" l="1"/>
  <c r="J330" i="46"/>
  <c r="J332" i="45"/>
  <c r="I333" i="45"/>
  <c r="K175" i="45"/>
  <c r="H173" i="45"/>
  <c r="L174" i="45" s="1"/>
  <c r="C174" i="45" s="1"/>
  <c r="E174" i="45" s="1"/>
  <c r="K332" i="44"/>
  <c r="J333" i="44"/>
  <c r="J331" i="46" l="1"/>
  <c r="I335" i="46"/>
  <c r="D175" i="45"/>
  <c r="G175" i="45"/>
  <c r="F175" i="45"/>
  <c r="I334" i="45"/>
  <c r="J333" i="45"/>
  <c r="K333" i="44"/>
  <c r="J334" i="44"/>
  <c r="J332" i="46" l="1"/>
  <c r="I336" i="46"/>
  <c r="I335" i="45"/>
  <c r="J334" i="45"/>
  <c r="K176" i="45"/>
  <c r="H174" i="45"/>
  <c r="L175" i="45" s="1"/>
  <c r="J335" i="44"/>
  <c r="K334" i="44"/>
  <c r="C175" i="45" l="1"/>
  <c r="E175" i="45" s="1"/>
  <c r="I337" i="46"/>
  <c r="J333" i="46"/>
  <c r="F176" i="45"/>
  <c r="D176" i="45"/>
  <c r="G176" i="45"/>
  <c r="I336" i="45"/>
  <c r="J335" i="45"/>
  <c r="J336" i="44"/>
  <c r="K335" i="44"/>
  <c r="J334" i="46" l="1"/>
  <c r="I338" i="46"/>
  <c r="K177" i="45"/>
  <c r="H175" i="45"/>
  <c r="L176" i="45" s="1"/>
  <c r="J336" i="45"/>
  <c r="I337" i="45"/>
  <c r="J337" i="44"/>
  <c r="K336" i="44"/>
  <c r="C176" i="45" l="1"/>
  <c r="E176" i="45" s="1"/>
  <c r="I339" i="46"/>
  <c r="J335" i="46"/>
  <c r="J337" i="45"/>
  <c r="I338" i="45"/>
  <c r="G177" i="45"/>
  <c r="F177" i="45"/>
  <c r="D177" i="45"/>
  <c r="J338" i="44"/>
  <c r="K337" i="44"/>
  <c r="J336" i="46" l="1"/>
  <c r="I340" i="46"/>
  <c r="K178" i="45"/>
  <c r="H176" i="45"/>
  <c r="L177" i="45" s="1"/>
  <c r="I339" i="45"/>
  <c r="J338" i="45"/>
  <c r="J339" i="44"/>
  <c r="K338" i="44"/>
  <c r="C177" i="45" l="1"/>
  <c r="E177" i="45" s="1"/>
  <c r="J337" i="46"/>
  <c r="I341" i="46"/>
  <c r="I340" i="45"/>
  <c r="J339" i="45"/>
  <c r="D178" i="45"/>
  <c r="G178" i="45"/>
  <c r="F178" i="45"/>
  <c r="J340" i="44"/>
  <c r="K339" i="44"/>
  <c r="I342" i="46" l="1"/>
  <c r="J338" i="46"/>
  <c r="J340" i="45"/>
  <c r="I341" i="45"/>
  <c r="K179" i="45"/>
  <c r="H177" i="45"/>
  <c r="L178" i="45" s="1"/>
  <c r="J341" i="44"/>
  <c r="K340" i="44"/>
  <c r="C178" i="45" l="1"/>
  <c r="E178" i="45" s="1"/>
  <c r="I343" i="46"/>
  <c r="J339" i="46"/>
  <c r="D179" i="45"/>
  <c r="G179" i="45"/>
  <c r="F179" i="45"/>
  <c r="J341" i="45"/>
  <c r="I342" i="45"/>
  <c r="K341" i="44"/>
  <c r="J342" i="44"/>
  <c r="J340" i="46" l="1"/>
  <c r="I344" i="46"/>
  <c r="K180" i="45"/>
  <c r="H178" i="45"/>
  <c r="L179" i="45" s="1"/>
  <c r="I343" i="45"/>
  <c r="J342" i="45"/>
  <c r="K342" i="44"/>
  <c r="J343" i="44"/>
  <c r="C179" i="45" l="1"/>
  <c r="E179" i="45" s="1"/>
  <c r="I345" i="46"/>
  <c r="J341" i="46"/>
  <c r="I344" i="45"/>
  <c r="J343" i="45"/>
  <c r="F180" i="45"/>
  <c r="D180" i="45"/>
  <c r="G180" i="45"/>
  <c r="K343" i="44"/>
  <c r="J344" i="44"/>
  <c r="J342" i="46" l="1"/>
  <c r="I346" i="46"/>
  <c r="K181" i="45"/>
  <c r="H179" i="45"/>
  <c r="L180" i="45" s="1"/>
  <c r="J344" i="45"/>
  <c r="I345" i="45"/>
  <c r="K344" i="44"/>
  <c r="J345" i="44"/>
  <c r="C180" i="45" l="1"/>
  <c r="E180" i="45" s="1"/>
  <c r="I347" i="46"/>
  <c r="J343" i="46"/>
  <c r="G181" i="45"/>
  <c r="F181" i="45"/>
  <c r="D181" i="45"/>
  <c r="J345" i="45"/>
  <c r="I346" i="45"/>
  <c r="K345" i="44"/>
  <c r="J346" i="44"/>
  <c r="J344" i="46" l="1"/>
  <c r="I348" i="46"/>
  <c r="K182" i="45"/>
  <c r="H180" i="45"/>
  <c r="L181" i="45" s="1"/>
  <c r="I347" i="45"/>
  <c r="J346" i="45"/>
  <c r="K346" i="44"/>
  <c r="J347" i="44"/>
  <c r="C181" i="45" l="1"/>
  <c r="E181" i="45" s="1"/>
  <c r="I349" i="46"/>
  <c r="J345" i="46"/>
  <c r="D182" i="45"/>
  <c r="G182" i="45"/>
  <c r="F182" i="45"/>
  <c r="I348" i="45"/>
  <c r="J347" i="45"/>
  <c r="K347" i="44"/>
  <c r="J348" i="44"/>
  <c r="J346" i="46" l="1"/>
  <c r="I350" i="46"/>
  <c r="K183" i="45"/>
  <c r="H181" i="45"/>
  <c r="L182" i="45" s="1"/>
  <c r="I349" i="45"/>
  <c r="J348" i="45"/>
  <c r="K348" i="44"/>
  <c r="J349" i="44"/>
  <c r="C182" i="45" l="1"/>
  <c r="E182" i="45" s="1"/>
  <c r="I351" i="46"/>
  <c r="J347" i="46"/>
  <c r="J349" i="45"/>
  <c r="I350" i="45"/>
  <c r="D183" i="45"/>
  <c r="G183" i="45"/>
  <c r="F183" i="45"/>
  <c r="K349" i="44"/>
  <c r="J350" i="44"/>
  <c r="J348" i="46" l="1"/>
  <c r="I352" i="46"/>
  <c r="K184" i="45"/>
  <c r="H182" i="45"/>
  <c r="L183" i="45" s="1"/>
  <c r="J350" i="45"/>
  <c r="I351" i="45"/>
  <c r="K350" i="44"/>
  <c r="J351" i="44"/>
  <c r="C183" i="45" l="1"/>
  <c r="E183" i="45" s="1"/>
  <c r="I353" i="46"/>
  <c r="J349" i="46"/>
  <c r="I352" i="45"/>
  <c r="J351" i="45"/>
  <c r="F184" i="45"/>
  <c r="D184" i="45"/>
  <c r="G184" i="45"/>
  <c r="K351" i="44"/>
  <c r="J352" i="44"/>
  <c r="J350" i="46" l="1"/>
  <c r="I354" i="46"/>
  <c r="K185" i="45"/>
  <c r="H183" i="45"/>
  <c r="L184" i="45" s="1"/>
  <c r="I353" i="45"/>
  <c r="J352" i="45"/>
  <c r="K352" i="44"/>
  <c r="J353" i="44"/>
  <c r="C184" i="45" l="1"/>
  <c r="E184" i="45" s="1"/>
  <c r="I355" i="46"/>
  <c r="J351" i="46"/>
  <c r="G185" i="45"/>
  <c r="F185" i="45"/>
  <c r="D185" i="45"/>
  <c r="I354" i="45"/>
  <c r="J353" i="45"/>
  <c r="K353" i="44"/>
  <c r="J354" i="44"/>
  <c r="I356" i="46" l="1"/>
  <c r="J352" i="46"/>
  <c r="K186" i="45"/>
  <c r="H184" i="45"/>
  <c r="L185" i="45" s="1"/>
  <c r="J354" i="45"/>
  <c r="I355" i="45"/>
  <c r="K354" i="44"/>
  <c r="J355" i="44"/>
  <c r="C185" i="45" l="1"/>
  <c r="E185" i="45" s="1"/>
  <c r="J353" i="46"/>
  <c r="I357" i="46"/>
  <c r="I356" i="45"/>
  <c r="J355" i="45"/>
  <c r="D186" i="45"/>
  <c r="G186" i="45"/>
  <c r="F186" i="45"/>
  <c r="K355" i="44"/>
  <c r="J356" i="44"/>
  <c r="J354" i="46" l="1"/>
  <c r="I358" i="46"/>
  <c r="K187" i="45"/>
  <c r="H185" i="45"/>
  <c r="L186" i="45" s="1"/>
  <c r="I357" i="45"/>
  <c r="J356" i="45"/>
  <c r="K356" i="44"/>
  <c r="J357" i="44"/>
  <c r="C186" i="45" l="1"/>
  <c r="E186" i="45" s="1"/>
  <c r="I359" i="46"/>
  <c r="J355" i="46"/>
  <c r="J357" i="45"/>
  <c r="I358" i="45"/>
  <c r="D187" i="45"/>
  <c r="G187" i="45"/>
  <c r="F187" i="45"/>
  <c r="K357" i="44"/>
  <c r="J358" i="44"/>
  <c r="J356" i="46" l="1"/>
  <c r="I360" i="46"/>
  <c r="I359" i="45"/>
  <c r="J358" i="45"/>
  <c r="K188" i="45"/>
  <c r="H186" i="45"/>
  <c r="L187" i="45" s="1"/>
  <c r="K358" i="44"/>
  <c r="J359" i="44"/>
  <c r="C187" i="45" l="1"/>
  <c r="E187" i="45" s="1"/>
  <c r="J357" i="46"/>
  <c r="I361" i="46"/>
  <c r="F188" i="45"/>
  <c r="D188" i="45"/>
  <c r="G188" i="45"/>
  <c r="I360" i="45"/>
  <c r="J359" i="45"/>
  <c r="J360" i="44"/>
  <c r="K359" i="44"/>
  <c r="J358" i="46" l="1"/>
  <c r="I362" i="46"/>
  <c r="J360" i="45"/>
  <c r="I361" i="45"/>
  <c r="K189" i="45"/>
  <c r="H187" i="45"/>
  <c r="L188" i="45" s="1"/>
  <c r="C188" i="45" s="1"/>
  <c r="E188" i="45" s="1"/>
  <c r="J361" i="44"/>
  <c r="K360" i="44"/>
  <c r="I363" i="46" l="1"/>
  <c r="J359" i="46"/>
  <c r="G189" i="45"/>
  <c r="F189" i="45"/>
  <c r="D189" i="45"/>
  <c r="I362" i="45"/>
  <c r="J361" i="45"/>
  <c r="J362" i="44"/>
  <c r="K361" i="44"/>
  <c r="J360" i="46" l="1"/>
  <c r="I364" i="46"/>
  <c r="K190" i="45"/>
  <c r="H188" i="45"/>
  <c r="L189" i="45" s="1"/>
  <c r="I363" i="45"/>
  <c r="J362" i="45"/>
  <c r="K362" i="44"/>
  <c r="J363" i="44"/>
  <c r="C189" i="45" l="1"/>
  <c r="E189" i="45" s="1"/>
  <c r="I365" i="46"/>
  <c r="J361" i="46"/>
  <c r="D190" i="45"/>
  <c r="G190" i="45"/>
  <c r="F190" i="45"/>
  <c r="J363" i="45"/>
  <c r="I364" i="45"/>
  <c r="K363" i="44"/>
  <c r="J364" i="44"/>
  <c r="I366" i="46" l="1"/>
  <c r="J362" i="46"/>
  <c r="K191" i="45"/>
  <c r="H189" i="45"/>
  <c r="L190" i="45" s="1"/>
  <c r="I365" i="45"/>
  <c r="J364" i="45"/>
  <c r="K364" i="44"/>
  <c r="J365" i="44"/>
  <c r="C190" i="45" l="1"/>
  <c r="E190" i="45" s="1"/>
  <c r="I367" i="46"/>
  <c r="J363" i="46"/>
  <c r="I366" i="45"/>
  <c r="J365" i="45"/>
  <c r="D191" i="45"/>
  <c r="G191" i="45"/>
  <c r="F191" i="45"/>
  <c r="J366" i="44"/>
  <c r="K365" i="44"/>
  <c r="J364" i="46" l="1"/>
  <c r="I368" i="46"/>
  <c r="K192" i="45"/>
  <c r="H190" i="45"/>
  <c r="L191" i="45" s="1"/>
  <c r="J366" i="45"/>
  <c r="I367" i="45"/>
  <c r="K366" i="44"/>
  <c r="J367" i="44"/>
  <c r="C191" i="45" l="1"/>
  <c r="E191" i="45" s="1"/>
  <c r="I369" i="46"/>
  <c r="J365" i="46"/>
  <c r="I368" i="45"/>
  <c r="J367" i="45"/>
  <c r="F192" i="45"/>
  <c r="D192" i="45"/>
  <c r="G192" i="45"/>
  <c r="J368" i="44"/>
  <c r="K367" i="44"/>
  <c r="J366" i="46" l="1"/>
  <c r="I370" i="46"/>
  <c r="K193" i="45"/>
  <c r="H191" i="45"/>
  <c r="L192" i="45" s="1"/>
  <c r="I369" i="45"/>
  <c r="J368" i="45"/>
  <c r="K368" i="44"/>
  <c r="J369" i="44"/>
  <c r="C192" i="45" l="1"/>
  <c r="E192" i="45" s="1"/>
  <c r="I371" i="46"/>
  <c r="J367" i="46"/>
  <c r="G193" i="45"/>
  <c r="F193" i="45"/>
  <c r="D193" i="45"/>
  <c r="J369" i="45"/>
  <c r="I370" i="45"/>
  <c r="J370" i="44"/>
  <c r="K369" i="44"/>
  <c r="J368" i="46" l="1"/>
  <c r="I372" i="46"/>
  <c r="K194" i="45"/>
  <c r="H192" i="45"/>
  <c r="L193" i="45" s="1"/>
  <c r="J370" i="45"/>
  <c r="I371" i="45"/>
  <c r="K370" i="44"/>
  <c r="J371" i="44"/>
  <c r="C193" i="45" l="1"/>
  <c r="E193" i="45" s="1"/>
  <c r="I373" i="46"/>
  <c r="J369" i="46"/>
  <c r="I372" i="45"/>
  <c r="J371" i="45"/>
  <c r="D194" i="45"/>
  <c r="G194" i="45"/>
  <c r="F194" i="45"/>
  <c r="J372" i="44"/>
  <c r="K371" i="44"/>
  <c r="J370" i="46" l="1"/>
  <c r="I374" i="46"/>
  <c r="I373" i="45"/>
  <c r="J372" i="45"/>
  <c r="K195" i="45"/>
  <c r="H193" i="45"/>
  <c r="L194" i="45" s="1"/>
  <c r="K372" i="44"/>
  <c r="J373" i="44"/>
  <c r="C194" i="45" l="1"/>
  <c r="E194" i="45" s="1"/>
  <c r="I375" i="46"/>
  <c r="J371" i="46"/>
  <c r="D195" i="45"/>
  <c r="G195" i="45"/>
  <c r="F195" i="45"/>
  <c r="J373" i="45"/>
  <c r="I374" i="45"/>
  <c r="J374" i="44"/>
  <c r="K373" i="44"/>
  <c r="J372" i="46" l="1"/>
  <c r="I376" i="46"/>
  <c r="K196" i="45"/>
  <c r="H194" i="45"/>
  <c r="L195" i="45" s="1"/>
  <c r="J374" i="45"/>
  <c r="I375" i="45"/>
  <c r="K374" i="44"/>
  <c r="J375" i="44"/>
  <c r="C195" i="45" l="1"/>
  <c r="E195" i="45" s="1"/>
  <c r="I377" i="46"/>
  <c r="J373" i="46"/>
  <c r="I376" i="45"/>
  <c r="J375" i="45"/>
  <c r="F196" i="45"/>
  <c r="D196" i="45"/>
  <c r="G196" i="45"/>
  <c r="J376" i="44"/>
  <c r="K375" i="44"/>
  <c r="J374" i="46" l="1"/>
  <c r="I378" i="46"/>
  <c r="K197" i="45"/>
  <c r="H195" i="45"/>
  <c r="L196" i="45" s="1"/>
  <c r="I377" i="45"/>
  <c r="J376" i="45"/>
  <c r="K376" i="44"/>
  <c r="J377" i="44"/>
  <c r="C196" i="45" l="1"/>
  <c r="E196" i="45" s="1"/>
  <c r="J375" i="46"/>
  <c r="J377" i="45"/>
  <c r="I378" i="45"/>
  <c r="G197" i="45"/>
  <c r="F197" i="45"/>
  <c r="D197" i="45"/>
  <c r="J378" i="44"/>
  <c r="K377" i="44"/>
  <c r="J376" i="46" l="1"/>
  <c r="K198" i="45"/>
  <c r="H196" i="45"/>
  <c r="L197" i="45" s="1"/>
  <c r="J378" i="45"/>
  <c r="J379" i="45" s="1"/>
  <c r="J380" i="45" s="1"/>
  <c r="J381" i="45" s="1"/>
  <c r="J382" i="45" s="1"/>
  <c r="J383" i="45" s="1"/>
  <c r="J384" i="45" s="1"/>
  <c r="J385" i="45" s="1"/>
  <c r="J386" i="45" s="1"/>
  <c r="J387" i="45" s="1"/>
  <c r="J388" i="45" s="1"/>
  <c r="J389" i="45" s="1"/>
  <c r="J390" i="45" s="1"/>
  <c r="J391" i="45" s="1"/>
  <c r="J392" i="45" s="1"/>
  <c r="J393" i="45" s="1"/>
  <c r="J394" i="45" s="1"/>
  <c r="J395" i="45" s="1"/>
  <c r="J396" i="45" s="1"/>
  <c r="J397" i="45" s="1"/>
  <c r="J398" i="45" s="1"/>
  <c r="J399" i="45" s="1"/>
  <c r="J400" i="45" s="1"/>
  <c r="J401" i="45" s="1"/>
  <c r="J402" i="45" s="1"/>
  <c r="J403" i="45" s="1"/>
  <c r="J404" i="45" s="1"/>
  <c r="J405" i="45" s="1"/>
  <c r="J406" i="45" s="1"/>
  <c r="J407" i="45" s="1"/>
  <c r="J408" i="45" s="1"/>
  <c r="J409" i="45" s="1"/>
  <c r="J410" i="45" s="1"/>
  <c r="J411" i="45" s="1"/>
  <c r="J412" i="45" s="1"/>
  <c r="J413" i="45" s="1"/>
  <c r="J414" i="45" s="1"/>
  <c r="J415" i="45" s="1"/>
  <c r="J416" i="45" s="1"/>
  <c r="J417" i="45" s="1"/>
  <c r="J418" i="45" s="1"/>
  <c r="J419" i="45" s="1"/>
  <c r="J420" i="45" s="1"/>
  <c r="J421" i="45" s="1"/>
  <c r="J422" i="45" s="1"/>
  <c r="J423" i="45" s="1"/>
  <c r="J424" i="45" s="1"/>
  <c r="J425" i="45" s="1"/>
  <c r="J426" i="45" s="1"/>
  <c r="J427" i="45" s="1"/>
  <c r="J428" i="45" s="1"/>
  <c r="J429" i="45" s="1"/>
  <c r="J430" i="45" s="1"/>
  <c r="J431" i="45" s="1"/>
  <c r="J432" i="45" s="1"/>
  <c r="J433" i="45" s="1"/>
  <c r="J434" i="45" s="1"/>
  <c r="J435" i="45" s="1"/>
  <c r="J436" i="45" s="1"/>
  <c r="J437" i="45" s="1"/>
  <c r="J438" i="45" s="1"/>
  <c r="J439" i="45" s="1"/>
  <c r="J440" i="45" s="1"/>
  <c r="K378" i="44"/>
  <c r="K379" i="44" s="1"/>
  <c r="K380" i="44" s="1"/>
  <c r="K381" i="44" s="1"/>
  <c r="K382" i="44" s="1"/>
  <c r="K383" i="44" s="1"/>
  <c r="K384" i="44" s="1"/>
  <c r="K385" i="44" s="1"/>
  <c r="K386" i="44" s="1"/>
  <c r="K387" i="44" s="1"/>
  <c r="K388" i="44" s="1"/>
  <c r="K389" i="44" s="1"/>
  <c r="K390" i="44" s="1"/>
  <c r="K391" i="44" s="1"/>
  <c r="K392" i="44" s="1"/>
  <c r="K393" i="44" s="1"/>
  <c r="K394" i="44" s="1"/>
  <c r="K395" i="44" s="1"/>
  <c r="K396" i="44" s="1"/>
  <c r="K397" i="44" s="1"/>
  <c r="K398" i="44" s="1"/>
  <c r="K399" i="44" s="1"/>
  <c r="K400" i="44" s="1"/>
  <c r="K401" i="44" s="1"/>
  <c r="K402" i="44" s="1"/>
  <c r="K403" i="44" s="1"/>
  <c r="K404" i="44" s="1"/>
  <c r="K405" i="44" s="1"/>
  <c r="K406" i="44" s="1"/>
  <c r="K407" i="44" s="1"/>
  <c r="K408" i="44" s="1"/>
  <c r="K409" i="44" s="1"/>
  <c r="K410" i="44" s="1"/>
  <c r="K411" i="44" s="1"/>
  <c r="K412" i="44" s="1"/>
  <c r="K413" i="44" s="1"/>
  <c r="K414" i="44" s="1"/>
  <c r="K415" i="44" s="1"/>
  <c r="K416" i="44" s="1"/>
  <c r="K417" i="44" s="1"/>
  <c r="K418" i="44" s="1"/>
  <c r="K419" i="44" s="1"/>
  <c r="K420" i="44" s="1"/>
  <c r="K421" i="44" s="1"/>
  <c r="K422" i="44" s="1"/>
  <c r="K423" i="44" s="1"/>
  <c r="K424" i="44" s="1"/>
  <c r="K425" i="44" s="1"/>
  <c r="K426" i="44" s="1"/>
  <c r="K427" i="44" s="1"/>
  <c r="K428" i="44" s="1"/>
  <c r="K429" i="44" s="1"/>
  <c r="K430" i="44" s="1"/>
  <c r="K431" i="44" s="1"/>
  <c r="K432" i="44" s="1"/>
  <c r="K433" i="44" s="1"/>
  <c r="K434" i="44" s="1"/>
  <c r="K435" i="44" s="1"/>
  <c r="K436" i="44" s="1"/>
  <c r="K437" i="44" s="1"/>
  <c r="K438" i="44" s="1"/>
  <c r="K439" i="44" s="1"/>
  <c r="K440" i="44" s="1"/>
  <c r="C197" i="45" l="1"/>
  <c r="E197" i="45" s="1"/>
  <c r="J377" i="46"/>
  <c r="D198" i="45"/>
  <c r="G198" i="45"/>
  <c r="F198" i="45"/>
  <c r="J378" i="46" l="1"/>
  <c r="J379" i="46" s="1"/>
  <c r="J380" i="46" s="1"/>
  <c r="J381" i="46" s="1"/>
  <c r="J382" i="46" s="1"/>
  <c r="J383" i="46" s="1"/>
  <c r="J384" i="46" s="1"/>
  <c r="J385" i="46" s="1"/>
  <c r="J386" i="46" s="1"/>
  <c r="J387" i="46" s="1"/>
  <c r="J388" i="46" s="1"/>
  <c r="J389" i="46" s="1"/>
  <c r="J390" i="46" s="1"/>
  <c r="J391" i="46" s="1"/>
  <c r="J392" i="46" s="1"/>
  <c r="J393" i="46" s="1"/>
  <c r="J394" i="46" s="1"/>
  <c r="J395" i="46" s="1"/>
  <c r="J396" i="46" s="1"/>
  <c r="J397" i="46" s="1"/>
  <c r="J398" i="46" s="1"/>
  <c r="J399" i="46" s="1"/>
  <c r="J400" i="46" s="1"/>
  <c r="J401" i="46" s="1"/>
  <c r="J402" i="46" s="1"/>
  <c r="J403" i="46" s="1"/>
  <c r="J404" i="46" s="1"/>
  <c r="J405" i="46" s="1"/>
  <c r="J406" i="46" s="1"/>
  <c r="J407" i="46" s="1"/>
  <c r="J408" i="46" s="1"/>
  <c r="J409" i="46" s="1"/>
  <c r="J410" i="46" s="1"/>
  <c r="J411" i="46" s="1"/>
  <c r="J412" i="46" s="1"/>
  <c r="J413" i="46" s="1"/>
  <c r="J414" i="46" s="1"/>
  <c r="J415" i="46" s="1"/>
  <c r="J416" i="46" s="1"/>
  <c r="J417" i="46" s="1"/>
  <c r="J418" i="46" s="1"/>
  <c r="J419" i="46" s="1"/>
  <c r="J420" i="46" s="1"/>
  <c r="J421" i="46" s="1"/>
  <c r="J422" i="46" s="1"/>
  <c r="J423" i="46" s="1"/>
  <c r="J424" i="46" s="1"/>
  <c r="J425" i="46" s="1"/>
  <c r="J426" i="46" s="1"/>
  <c r="J427" i="46" s="1"/>
  <c r="J428" i="46" s="1"/>
  <c r="J429" i="46" s="1"/>
  <c r="J430" i="46" s="1"/>
  <c r="J431" i="46" s="1"/>
  <c r="J432" i="46" s="1"/>
  <c r="J433" i="46" s="1"/>
  <c r="J434" i="46" s="1"/>
  <c r="J435" i="46" s="1"/>
  <c r="J436" i="46" s="1"/>
  <c r="J437" i="46" s="1"/>
  <c r="J438" i="46" s="1"/>
  <c r="J439" i="46" s="1"/>
  <c r="J440" i="46" s="1"/>
  <c r="K199" i="45"/>
  <c r="H197" i="45"/>
  <c r="L198" i="45" s="1"/>
  <c r="C198" i="45" l="1"/>
  <c r="E198" i="45" s="1"/>
  <c r="D199" i="45"/>
  <c r="G199" i="45"/>
  <c r="F199" i="45"/>
  <c r="Z20" i="44"/>
  <c r="AA20" i="44"/>
  <c r="AB20" i="44"/>
  <c r="K200" i="45" l="1"/>
  <c r="H198" i="45"/>
  <c r="L199" i="45" s="1"/>
  <c r="AC20" i="44"/>
  <c r="C199" i="45" l="1"/>
  <c r="E199" i="45" s="1"/>
  <c r="F200" i="45"/>
  <c r="D200" i="45"/>
  <c r="G200" i="45"/>
  <c r="K201" i="45" l="1"/>
  <c r="H199" i="45"/>
  <c r="L200" i="45" s="1"/>
  <c r="AB21" i="44"/>
  <c r="AA21" i="44"/>
  <c r="Z21" i="44"/>
  <c r="C200" i="45" l="1"/>
  <c r="E200" i="45" s="1"/>
  <c r="G201" i="45"/>
  <c r="F201" i="45"/>
  <c r="D201" i="45"/>
  <c r="K202" i="45" l="1"/>
  <c r="H200" i="45"/>
  <c r="L201" i="45" s="1"/>
  <c r="C201" i="45" l="1"/>
  <c r="E201" i="45" s="1"/>
  <c r="D202" i="45"/>
  <c r="G202" i="45"/>
  <c r="F202" i="45"/>
  <c r="Z22" i="44"/>
  <c r="AA22" i="44"/>
  <c r="AB22" i="44"/>
  <c r="K203" i="45" l="1"/>
  <c r="H201" i="45"/>
  <c r="L202" i="45" s="1"/>
  <c r="C202" i="45" s="1"/>
  <c r="E202" i="45" s="1"/>
  <c r="D203" i="45" l="1"/>
  <c r="G203" i="45"/>
  <c r="F203" i="45"/>
  <c r="K204" i="45" l="1"/>
  <c r="H202" i="45"/>
  <c r="L203" i="45" s="1"/>
  <c r="Z23" i="44"/>
  <c r="AB23" i="44"/>
  <c r="AA23" i="44"/>
  <c r="C203" i="45" l="1"/>
  <c r="E203" i="45" s="1"/>
  <c r="F204" i="45"/>
  <c r="D204" i="45"/>
  <c r="G204" i="45"/>
  <c r="K205" i="45" l="1"/>
  <c r="H203" i="45"/>
  <c r="L204" i="45" s="1"/>
  <c r="C204" i="45" l="1"/>
  <c r="E204" i="45" s="1"/>
  <c r="G205" i="45"/>
  <c r="F205" i="45"/>
  <c r="D205" i="45"/>
  <c r="Z24" i="44"/>
  <c r="AB24" i="44"/>
  <c r="AA24" i="44"/>
  <c r="K206" i="45" l="1"/>
  <c r="H204" i="45"/>
  <c r="L205" i="45" s="1"/>
  <c r="C205" i="45" s="1"/>
  <c r="E205" i="45" s="1"/>
  <c r="D206" i="45" l="1"/>
  <c r="G206" i="45"/>
  <c r="F206" i="45"/>
  <c r="K207" i="45" l="1"/>
  <c r="H205" i="45"/>
  <c r="L206" i="45" s="1"/>
  <c r="AA25" i="44"/>
  <c r="Z25" i="44"/>
  <c r="AB25" i="44"/>
  <c r="C206" i="45" l="1"/>
  <c r="E206" i="45" s="1"/>
  <c r="D207" i="45"/>
  <c r="G207" i="45"/>
  <c r="F207" i="45"/>
  <c r="K208" i="45" l="1"/>
  <c r="H206" i="45"/>
  <c r="L207" i="45" s="1"/>
  <c r="C207" i="45" l="1"/>
  <c r="E207" i="45" s="1"/>
  <c r="F208" i="45"/>
  <c r="D208" i="45"/>
  <c r="G208" i="45"/>
  <c r="Z26" i="44"/>
  <c r="AB26" i="44"/>
  <c r="AA26" i="44"/>
  <c r="K209" i="45" l="1"/>
  <c r="H207" i="45"/>
  <c r="L208" i="45" s="1"/>
  <c r="C208" i="45" s="1"/>
  <c r="E208" i="45" s="1"/>
  <c r="G209" i="45" l="1"/>
  <c r="F209" i="45"/>
  <c r="D209" i="45"/>
  <c r="K210" i="45" l="1"/>
  <c r="H208" i="45"/>
  <c r="L209" i="45" s="1"/>
  <c r="C209" i="45" s="1"/>
  <c r="E209" i="45" s="1"/>
  <c r="AA27" i="44"/>
  <c r="Z27" i="44"/>
  <c r="AB27" i="44"/>
  <c r="D210" i="45" l="1"/>
  <c r="G210" i="45"/>
  <c r="F210" i="45"/>
  <c r="K211" i="45" l="1"/>
  <c r="H209" i="45"/>
  <c r="L210" i="45" s="1"/>
  <c r="C210" i="45" l="1"/>
  <c r="E210" i="45" s="1"/>
  <c r="D211" i="45"/>
  <c r="G211" i="45"/>
  <c r="F211" i="45"/>
  <c r="Z28" i="44"/>
  <c r="AA28" i="44"/>
  <c r="AB28" i="44"/>
  <c r="K212" i="45" l="1"/>
  <c r="H210" i="45"/>
  <c r="L211" i="45" s="1"/>
  <c r="C211" i="45" s="1"/>
  <c r="E211" i="45" s="1"/>
  <c r="F212" i="45" l="1"/>
  <c r="D212" i="45"/>
  <c r="G212" i="45"/>
  <c r="K213" i="45" l="1"/>
  <c r="H211" i="45"/>
  <c r="L212" i="45" s="1"/>
  <c r="Z29" i="44"/>
  <c r="AB29" i="44"/>
  <c r="AA29" i="44"/>
  <c r="C212" i="45" l="1"/>
  <c r="E212" i="45" s="1"/>
  <c r="G213" i="45"/>
  <c r="F213" i="45"/>
  <c r="D213" i="45"/>
  <c r="K214" i="45" l="1"/>
  <c r="H212" i="45"/>
  <c r="L213" i="45" s="1"/>
  <c r="C213" i="45" l="1"/>
  <c r="E213" i="45" s="1"/>
  <c r="D214" i="45"/>
  <c r="G214" i="45"/>
  <c r="F214" i="45"/>
  <c r="AB30" i="44"/>
  <c r="AA30" i="44"/>
  <c r="Z30" i="44"/>
  <c r="K215" i="45" l="1"/>
  <c r="H213" i="45"/>
  <c r="L214" i="45" s="1"/>
  <c r="C214" i="45" s="1"/>
  <c r="E214" i="45" s="1"/>
  <c r="D215" i="45" l="1"/>
  <c r="G215" i="45"/>
  <c r="F215" i="45"/>
  <c r="K216" i="45" l="1"/>
  <c r="H214" i="45"/>
  <c r="L215" i="45" s="1"/>
  <c r="AA31" i="44"/>
  <c r="AB31" i="44"/>
  <c r="Z31" i="44"/>
  <c r="C215" i="45" l="1"/>
  <c r="E215" i="45" s="1"/>
  <c r="F216" i="45"/>
  <c r="D216" i="45"/>
  <c r="G216" i="45"/>
  <c r="K217" i="45" l="1"/>
  <c r="H215" i="45"/>
  <c r="L216" i="45" s="1"/>
  <c r="C216" i="45" l="1"/>
  <c r="E216" i="45" s="1"/>
  <c r="G217" i="45"/>
  <c r="F217" i="45"/>
  <c r="D217" i="45"/>
  <c r="Z32" i="44"/>
  <c r="AB32" i="44"/>
  <c r="AA32" i="44"/>
  <c r="K218" i="45" l="1"/>
  <c r="H216" i="45"/>
  <c r="L217" i="45" s="1"/>
  <c r="C217" i="45" l="1"/>
  <c r="E217" i="45" s="1"/>
  <c r="D218" i="45"/>
  <c r="G218" i="45"/>
  <c r="F218" i="45"/>
  <c r="K219" i="45" l="1"/>
  <c r="H217" i="45"/>
  <c r="L218" i="45" s="1"/>
  <c r="AB33" i="44"/>
  <c r="Z33" i="44"/>
  <c r="AA33" i="44"/>
  <c r="C218" i="45" l="1"/>
  <c r="E218" i="45" s="1"/>
  <c r="D219" i="45"/>
  <c r="G219" i="45"/>
  <c r="F219" i="45"/>
  <c r="K220" i="45" l="1"/>
  <c r="H218" i="45"/>
  <c r="L219" i="45" s="1"/>
  <c r="C219" i="45" l="1"/>
  <c r="E219" i="45" s="1"/>
  <c r="F220" i="45"/>
  <c r="D220" i="45"/>
  <c r="G220" i="45"/>
  <c r="AB34" i="44"/>
  <c r="Z34" i="44"/>
  <c r="AA34" i="44"/>
  <c r="K221" i="45" l="1"/>
  <c r="H219" i="45"/>
  <c r="L220" i="45" s="1"/>
  <c r="C220" i="45" l="1"/>
  <c r="E220" i="45" s="1"/>
  <c r="G221" i="45"/>
  <c r="F221" i="45"/>
  <c r="D221" i="45"/>
  <c r="AA35" i="44"/>
  <c r="Z35" i="44"/>
  <c r="AB35" i="44"/>
  <c r="K222" i="45" l="1"/>
  <c r="H220" i="45"/>
  <c r="L221" i="45" s="1"/>
  <c r="C221" i="45" l="1"/>
  <c r="E221" i="45" s="1"/>
  <c r="D222" i="45"/>
  <c r="G222" i="45"/>
  <c r="F222" i="45"/>
  <c r="K223" i="45" l="1"/>
  <c r="H221" i="45"/>
  <c r="L222" i="45" s="1"/>
  <c r="Z36" i="44"/>
  <c r="AB36" i="44"/>
  <c r="AA36" i="44"/>
  <c r="C222" i="45" l="1"/>
  <c r="E222" i="45" s="1"/>
  <c r="D223" i="45"/>
  <c r="G223" i="45"/>
  <c r="F223" i="45"/>
  <c r="K224" i="45" l="1"/>
  <c r="H222" i="45"/>
  <c r="L223" i="45" s="1"/>
  <c r="C223" i="45" l="1"/>
  <c r="E223" i="45" s="1"/>
  <c r="F224" i="45"/>
  <c r="D224" i="45"/>
  <c r="G224" i="45"/>
  <c r="AB37" i="44"/>
  <c r="AA37" i="44"/>
  <c r="Z37" i="44"/>
  <c r="K225" i="45" l="1"/>
  <c r="H223" i="45"/>
  <c r="L224" i="45" s="1"/>
  <c r="C224" i="45" l="1"/>
  <c r="E224" i="45" s="1"/>
  <c r="G225" i="45"/>
  <c r="F225" i="45"/>
  <c r="D225" i="45"/>
  <c r="AB38" i="44"/>
  <c r="AA38" i="44"/>
  <c r="Z38" i="44"/>
  <c r="K226" i="45" l="1"/>
  <c r="H224" i="45"/>
  <c r="L225" i="45" s="1"/>
  <c r="C225" i="45" l="1"/>
  <c r="E225" i="45" s="1"/>
  <c r="D226" i="45"/>
  <c r="G226" i="45"/>
  <c r="F226" i="45"/>
  <c r="K227" i="45" l="1"/>
  <c r="H225" i="45"/>
  <c r="L226" i="45" s="1"/>
  <c r="AA39" i="44"/>
  <c r="Z39" i="44"/>
  <c r="AB39" i="44"/>
  <c r="C226" i="45" l="1"/>
  <c r="E226" i="45" s="1"/>
  <c r="D227" i="45"/>
  <c r="G227" i="45"/>
  <c r="F227" i="45"/>
  <c r="K228" i="45" l="1"/>
  <c r="H226" i="45"/>
  <c r="L227" i="45" s="1"/>
  <c r="C227" i="45" l="1"/>
  <c r="E227" i="45" s="1"/>
  <c r="F228" i="45"/>
  <c r="D228" i="45"/>
  <c r="G228" i="45"/>
  <c r="Z40" i="44"/>
  <c r="AA40" i="44"/>
  <c r="AB40" i="44"/>
  <c r="K229" i="45" l="1"/>
  <c r="H227" i="45"/>
  <c r="L228" i="45" s="1"/>
  <c r="C228" i="45" l="1"/>
  <c r="E228" i="45" s="1"/>
  <c r="G229" i="45"/>
  <c r="F229" i="45"/>
  <c r="D229" i="45"/>
  <c r="Z41" i="44"/>
  <c r="AB41" i="44"/>
  <c r="AA41" i="44"/>
  <c r="K230" i="45" l="1"/>
  <c r="H228" i="45"/>
  <c r="L229" i="45" s="1"/>
  <c r="C229" i="45" l="1"/>
  <c r="E229" i="45" s="1"/>
  <c r="D230" i="45"/>
  <c r="G230" i="45"/>
  <c r="F230" i="45"/>
  <c r="AB42" i="44"/>
  <c r="Z42" i="44"/>
  <c r="AA42" i="44"/>
  <c r="K231" i="45" l="1"/>
  <c r="H229" i="45"/>
  <c r="L230" i="45" s="1"/>
  <c r="C230" i="45" s="1"/>
  <c r="E230" i="45" s="1"/>
  <c r="D231" i="45" l="1"/>
  <c r="G231" i="45"/>
  <c r="F231" i="45"/>
  <c r="K232" i="45" l="1"/>
  <c r="H230" i="45"/>
  <c r="L231" i="45" s="1"/>
  <c r="AB43" i="44"/>
  <c r="Z43" i="44"/>
  <c r="AA43" i="44"/>
  <c r="C231" i="45" l="1"/>
  <c r="E231" i="45" s="1"/>
  <c r="F232" i="45"/>
  <c r="D232" i="45"/>
  <c r="G232" i="45"/>
  <c r="K233" i="45" l="1"/>
  <c r="H231" i="45"/>
  <c r="L232" i="45" s="1"/>
  <c r="C232" i="45" l="1"/>
  <c r="E232" i="45" s="1"/>
  <c r="G233" i="45"/>
  <c r="F233" i="45"/>
  <c r="D233" i="45"/>
  <c r="K234" i="45" l="1"/>
  <c r="H232" i="45"/>
  <c r="L233" i="45" s="1"/>
  <c r="C233" i="45" s="1"/>
  <c r="E233" i="45" s="1"/>
  <c r="D234" i="45" l="1"/>
  <c r="G234" i="45"/>
  <c r="F234" i="45"/>
  <c r="K235" i="45" l="1"/>
  <c r="H233" i="45"/>
  <c r="L234" i="45" s="1"/>
  <c r="C234" i="45" s="1"/>
  <c r="E234" i="45" s="1"/>
  <c r="D235" i="45" l="1"/>
  <c r="G235" i="45"/>
  <c r="F235" i="45"/>
  <c r="K236" i="45" l="1"/>
  <c r="H234" i="45"/>
  <c r="L235" i="45" s="1"/>
  <c r="C235" i="45" l="1"/>
  <c r="E235" i="45" s="1"/>
  <c r="F236" i="45"/>
  <c r="D236" i="45"/>
  <c r="G236" i="45"/>
  <c r="K237" i="45" l="1"/>
  <c r="H235" i="45"/>
  <c r="L236" i="45" s="1"/>
  <c r="C236" i="45" l="1"/>
  <c r="E236" i="45" s="1"/>
  <c r="G237" i="45"/>
  <c r="F237" i="45"/>
  <c r="D237" i="45"/>
  <c r="K238" i="45" l="1"/>
  <c r="H236" i="45"/>
  <c r="L237" i="45" s="1"/>
  <c r="C237" i="45" l="1"/>
  <c r="E237" i="45" s="1"/>
  <c r="D238" i="45"/>
  <c r="G238" i="45"/>
  <c r="F238" i="45"/>
  <c r="K239" i="45" l="1"/>
  <c r="H237" i="45"/>
  <c r="L238" i="45" s="1"/>
  <c r="C238" i="45" l="1"/>
  <c r="E238" i="45" s="1"/>
  <c r="D239" i="45"/>
  <c r="G239" i="45"/>
  <c r="F239" i="45"/>
  <c r="K240" i="45" l="1"/>
  <c r="H238" i="45"/>
  <c r="L239" i="45" s="1"/>
  <c r="C239" i="45" l="1"/>
  <c r="E239" i="45" s="1"/>
  <c r="D240" i="45"/>
  <c r="G240" i="45"/>
  <c r="F240" i="45"/>
  <c r="K241" i="45" l="1"/>
  <c r="H239" i="45"/>
  <c r="L240" i="45" s="1"/>
  <c r="C240" i="45" l="1"/>
  <c r="E240" i="45" s="1"/>
  <c r="F241" i="45"/>
  <c r="D241" i="45"/>
  <c r="G241" i="45"/>
  <c r="K242" i="45" l="1"/>
  <c r="H240" i="45"/>
  <c r="L241" i="45" s="1"/>
  <c r="C241" i="45" l="1"/>
  <c r="E241" i="45" s="1"/>
  <c r="G242" i="45"/>
  <c r="F242" i="45"/>
  <c r="D242" i="45"/>
  <c r="K243" i="45" l="1"/>
  <c r="H241" i="45"/>
  <c r="L242" i="45" s="1"/>
  <c r="C242" i="45" s="1"/>
  <c r="E242" i="45" s="1"/>
  <c r="D243" i="45" l="1"/>
  <c r="G243" i="45"/>
  <c r="F243" i="45"/>
  <c r="K244" i="45" l="1"/>
  <c r="H242" i="45"/>
  <c r="L243" i="45" s="1"/>
  <c r="C243" i="45" l="1"/>
  <c r="E243" i="45" s="1"/>
  <c r="D244" i="45"/>
  <c r="G244" i="45"/>
  <c r="F244" i="45"/>
  <c r="K245" i="45" l="1"/>
  <c r="H243" i="45"/>
  <c r="L244" i="45" s="1"/>
  <c r="C244" i="45" l="1"/>
  <c r="E244" i="45" s="1"/>
  <c r="F245" i="45"/>
  <c r="D245" i="45"/>
  <c r="G245" i="45"/>
  <c r="K246" i="45" l="1"/>
  <c r="H244" i="45"/>
  <c r="L245" i="45" s="1"/>
  <c r="C245" i="45" l="1"/>
  <c r="E245" i="45" s="1"/>
  <c r="G246" i="45"/>
  <c r="F246" i="45"/>
  <c r="D246" i="45"/>
  <c r="K247" i="45" l="1"/>
  <c r="H245" i="45"/>
  <c r="L246" i="45" s="1"/>
  <c r="C246" i="45" l="1"/>
  <c r="E246" i="45" s="1"/>
  <c r="D247" i="45"/>
  <c r="G247" i="45"/>
  <c r="F247" i="45"/>
  <c r="K248" i="45" l="1"/>
  <c r="H246" i="45"/>
  <c r="L247" i="45" s="1"/>
  <c r="C247" i="45" l="1"/>
  <c r="E247" i="45" s="1"/>
  <c r="D248" i="45"/>
  <c r="G248" i="45"/>
  <c r="F248" i="45"/>
  <c r="K249" i="45" l="1"/>
  <c r="H247" i="45"/>
  <c r="L248" i="45" s="1"/>
  <c r="C248" i="45" l="1"/>
  <c r="E248" i="45" s="1"/>
  <c r="F249" i="45"/>
  <c r="D249" i="45"/>
  <c r="G249" i="45"/>
  <c r="K250" i="45" l="1"/>
  <c r="H248" i="45"/>
  <c r="L249" i="45" s="1"/>
  <c r="C249" i="45" l="1"/>
  <c r="E249" i="45" s="1"/>
  <c r="G250" i="45"/>
  <c r="F250" i="45"/>
  <c r="D250" i="45"/>
  <c r="K251" i="45" l="1"/>
  <c r="H249" i="45"/>
  <c r="L250" i="45" s="1"/>
  <c r="C250" i="45" l="1"/>
  <c r="E250" i="45" s="1"/>
  <c r="D251" i="45"/>
  <c r="G251" i="45"/>
  <c r="F251" i="45"/>
  <c r="K252" i="45" l="1"/>
  <c r="H250" i="45"/>
  <c r="L251" i="45" s="1"/>
  <c r="C251" i="45" l="1"/>
  <c r="E251" i="45" s="1"/>
  <c r="D252" i="45"/>
  <c r="G252" i="45"/>
  <c r="F252" i="45"/>
  <c r="K253" i="45" l="1"/>
  <c r="H251" i="45"/>
  <c r="L252" i="45" s="1"/>
  <c r="C252" i="45" l="1"/>
  <c r="E252" i="45" s="1"/>
  <c r="F253" i="45"/>
  <c r="D253" i="45"/>
  <c r="G253" i="45"/>
  <c r="K254" i="45" l="1"/>
  <c r="H252" i="45"/>
  <c r="L253" i="45" s="1"/>
  <c r="C253" i="45" l="1"/>
  <c r="E253" i="45" s="1"/>
  <c r="G254" i="45"/>
  <c r="F254" i="45"/>
  <c r="D254" i="45"/>
  <c r="K255" i="45" l="1"/>
  <c r="H253" i="45"/>
  <c r="L254" i="45" s="1"/>
  <c r="C254" i="45" l="1"/>
  <c r="E254" i="45" s="1"/>
  <c r="D255" i="45"/>
  <c r="G255" i="45"/>
  <c r="F255" i="45"/>
  <c r="K256" i="45" l="1"/>
  <c r="H254" i="45"/>
  <c r="L255" i="45" s="1"/>
  <c r="C255" i="45" l="1"/>
  <c r="E255" i="45" s="1"/>
  <c r="D256" i="45"/>
  <c r="G256" i="45"/>
  <c r="F256" i="45"/>
  <c r="K257" i="45" l="1"/>
  <c r="H255" i="45"/>
  <c r="L256" i="45" s="1"/>
  <c r="C256" i="45" l="1"/>
  <c r="E256" i="45" s="1"/>
  <c r="F257" i="45"/>
  <c r="D257" i="45"/>
  <c r="G257" i="45"/>
  <c r="K258" i="45" l="1"/>
  <c r="H256" i="45"/>
  <c r="L257" i="45" s="1"/>
  <c r="C257" i="45" l="1"/>
  <c r="E257" i="45" s="1"/>
  <c r="G258" i="45"/>
  <c r="F258" i="45"/>
  <c r="D258" i="45"/>
  <c r="K259" i="45" l="1"/>
  <c r="H257" i="45"/>
  <c r="L258" i="45" s="1"/>
  <c r="C258" i="45" l="1"/>
  <c r="E258" i="45" s="1"/>
  <c r="D259" i="45"/>
  <c r="G259" i="45"/>
  <c r="F259" i="45"/>
  <c r="K260" i="45" l="1"/>
  <c r="H258" i="45"/>
  <c r="L259" i="45" s="1"/>
  <c r="C259" i="45" l="1"/>
  <c r="E259" i="45" s="1"/>
  <c r="D260" i="45"/>
  <c r="G260" i="45"/>
  <c r="F260" i="45"/>
  <c r="K261" i="45" l="1"/>
  <c r="H259" i="45"/>
  <c r="L260" i="45" s="1"/>
  <c r="C260" i="45" l="1"/>
  <c r="E260" i="45" s="1"/>
  <c r="F261" i="45"/>
  <c r="D261" i="45"/>
  <c r="G261" i="45"/>
  <c r="K262" i="45" l="1"/>
  <c r="H260" i="45"/>
  <c r="L261" i="45" s="1"/>
  <c r="C261" i="45" l="1"/>
  <c r="E261" i="45" s="1"/>
  <c r="G262" i="45"/>
  <c r="F262" i="45"/>
  <c r="D262" i="45"/>
  <c r="K263" i="45" l="1"/>
  <c r="H261" i="45"/>
  <c r="L262" i="45" s="1"/>
  <c r="C262" i="45" l="1"/>
  <c r="E262" i="45" s="1"/>
  <c r="D263" i="45"/>
  <c r="G263" i="45"/>
  <c r="F263" i="45"/>
  <c r="K264" i="45" l="1"/>
  <c r="H262" i="45"/>
  <c r="L263" i="45" s="1"/>
  <c r="C263" i="45" l="1"/>
  <c r="E263" i="45" s="1"/>
  <c r="D264" i="45"/>
  <c r="G264" i="45"/>
  <c r="F264" i="45"/>
  <c r="K265" i="45" l="1"/>
  <c r="H263" i="45"/>
  <c r="L264" i="45" s="1"/>
  <c r="C264" i="45" l="1"/>
  <c r="E264" i="45" s="1"/>
  <c r="F265" i="45"/>
  <c r="D265" i="45"/>
  <c r="G265" i="45"/>
  <c r="K266" i="45" l="1"/>
  <c r="H264" i="45"/>
  <c r="L265" i="45" s="1"/>
  <c r="C265" i="45" l="1"/>
  <c r="E265" i="45" s="1"/>
  <c r="G266" i="45"/>
  <c r="F266" i="45"/>
  <c r="D266" i="45"/>
  <c r="K267" i="45" l="1"/>
  <c r="H265" i="45"/>
  <c r="L266" i="45" s="1"/>
  <c r="C266" i="45" l="1"/>
  <c r="E266" i="45" s="1"/>
  <c r="D267" i="45"/>
  <c r="G267" i="45"/>
  <c r="F267" i="45"/>
  <c r="K268" i="45" l="1"/>
  <c r="H266" i="45"/>
  <c r="L267" i="45" s="1"/>
  <c r="C267" i="45" l="1"/>
  <c r="E267" i="45" s="1"/>
  <c r="D268" i="45"/>
  <c r="G268" i="45"/>
  <c r="F268" i="45"/>
  <c r="K269" i="45" l="1"/>
  <c r="H267" i="45"/>
  <c r="L268" i="45" s="1"/>
  <c r="C268" i="45" l="1"/>
  <c r="E268" i="45" s="1"/>
  <c r="F269" i="45"/>
  <c r="D269" i="45"/>
  <c r="G269" i="45"/>
  <c r="K270" i="45" l="1"/>
  <c r="H268" i="45"/>
  <c r="L269" i="45" s="1"/>
  <c r="C269" i="45" s="1"/>
  <c r="E269" i="45" s="1"/>
  <c r="G270" i="45" l="1"/>
  <c r="F270" i="45"/>
  <c r="D270" i="45"/>
  <c r="K271" i="45" l="1"/>
  <c r="H269" i="45"/>
  <c r="L270" i="45" s="1"/>
  <c r="C270" i="45" l="1"/>
  <c r="E270" i="45" s="1"/>
  <c r="D271" i="45"/>
  <c r="G271" i="45"/>
  <c r="F271" i="45"/>
  <c r="K272" i="45" l="1"/>
  <c r="H270" i="45"/>
  <c r="L271" i="45" s="1"/>
  <c r="C271" i="45" s="1"/>
  <c r="E271" i="45" s="1"/>
  <c r="D272" i="45" l="1"/>
  <c r="G272" i="45"/>
  <c r="F272" i="45"/>
  <c r="K273" i="45" l="1"/>
  <c r="H271" i="45"/>
  <c r="L272" i="45" s="1"/>
  <c r="C272" i="45" s="1"/>
  <c r="E272" i="45" s="1"/>
  <c r="F273" i="45" l="1"/>
  <c r="D273" i="45"/>
  <c r="G273" i="45"/>
  <c r="K274" i="45" l="1"/>
  <c r="H272" i="45"/>
  <c r="L273" i="45" s="1"/>
  <c r="C273" i="45" s="1"/>
  <c r="E273" i="45" s="1"/>
  <c r="G274" i="45" l="1"/>
  <c r="F274" i="45"/>
  <c r="D274" i="45"/>
  <c r="K275" i="45" l="1"/>
  <c r="H273" i="45"/>
  <c r="L274" i="45" s="1"/>
  <c r="C274" i="45" l="1"/>
  <c r="E274" i="45" s="1"/>
  <c r="D275" i="45"/>
  <c r="G275" i="45"/>
  <c r="F275" i="45"/>
  <c r="K276" i="45" l="1"/>
  <c r="H274" i="45"/>
  <c r="L275" i="45" s="1"/>
  <c r="C275" i="45" l="1"/>
  <c r="E275" i="45" s="1"/>
  <c r="D276" i="45"/>
  <c r="G276" i="45"/>
  <c r="F276" i="45"/>
  <c r="K277" i="45" l="1"/>
  <c r="H275" i="45"/>
  <c r="L276" i="45" s="1"/>
  <c r="C276" i="45" l="1"/>
  <c r="E276" i="45" s="1"/>
  <c r="F277" i="45"/>
  <c r="D277" i="45"/>
  <c r="G277" i="45"/>
  <c r="K278" i="45" l="1"/>
  <c r="H276" i="45"/>
  <c r="L277" i="45" s="1"/>
  <c r="C277" i="45" l="1"/>
  <c r="E277" i="45" s="1"/>
  <c r="G278" i="45"/>
  <c r="F278" i="45"/>
  <c r="D278" i="45"/>
  <c r="K279" i="45" l="1"/>
  <c r="H277" i="45"/>
  <c r="L278" i="45" s="1"/>
  <c r="C278" i="45" l="1"/>
  <c r="E278" i="45" s="1"/>
  <c r="D279" i="45"/>
  <c r="G279" i="45"/>
  <c r="F279" i="45"/>
  <c r="K280" i="45" l="1"/>
  <c r="H278" i="45"/>
  <c r="L279" i="45" s="1"/>
  <c r="C279" i="45" l="1"/>
  <c r="E279" i="45" s="1"/>
  <c r="D280" i="45"/>
  <c r="G280" i="45"/>
  <c r="F280" i="45"/>
  <c r="K281" i="45" l="1"/>
  <c r="H279" i="45"/>
  <c r="L280" i="45" s="1"/>
  <c r="C280" i="45" l="1"/>
  <c r="E280" i="45" s="1"/>
  <c r="F281" i="45"/>
  <c r="D281" i="45"/>
  <c r="G281" i="45"/>
  <c r="K282" i="45" l="1"/>
  <c r="H280" i="45"/>
  <c r="L281" i="45" s="1"/>
  <c r="C281" i="45" l="1"/>
  <c r="E281" i="45" s="1"/>
  <c r="G282" i="45"/>
  <c r="F282" i="45"/>
  <c r="D282" i="45"/>
  <c r="K283" i="45" l="1"/>
  <c r="H281" i="45"/>
  <c r="L282" i="45" s="1"/>
  <c r="C282" i="45" l="1"/>
  <c r="E282" i="45" s="1"/>
  <c r="D283" i="45"/>
  <c r="G283" i="45"/>
  <c r="F283" i="45"/>
  <c r="K284" i="45" l="1"/>
  <c r="H282" i="45"/>
  <c r="L283" i="45" s="1"/>
  <c r="C283" i="45" l="1"/>
  <c r="E283" i="45" s="1"/>
  <c r="D284" i="45"/>
  <c r="G284" i="45"/>
  <c r="F284" i="45"/>
  <c r="K285" i="45" l="1"/>
  <c r="H283" i="45"/>
  <c r="L284" i="45" s="1"/>
  <c r="C284" i="45" l="1"/>
  <c r="E284" i="45" s="1"/>
  <c r="F285" i="45"/>
  <c r="D285" i="45"/>
  <c r="G285" i="45"/>
  <c r="K286" i="45" l="1"/>
  <c r="H284" i="45"/>
  <c r="L285" i="45" s="1"/>
  <c r="C285" i="45" l="1"/>
  <c r="E285" i="45" s="1"/>
  <c r="G286" i="45"/>
  <c r="F286" i="45"/>
  <c r="D286" i="45"/>
  <c r="K287" i="45" l="1"/>
  <c r="H285" i="45"/>
  <c r="L286" i="45" s="1"/>
  <c r="C286" i="45" l="1"/>
  <c r="E286" i="45" s="1"/>
  <c r="D287" i="45"/>
  <c r="G287" i="45"/>
  <c r="F287" i="45"/>
  <c r="K288" i="45" l="1"/>
  <c r="H286" i="45"/>
  <c r="L287" i="45" s="1"/>
  <c r="C287" i="45" l="1"/>
  <c r="E287" i="45" s="1"/>
  <c r="D288" i="45"/>
  <c r="G288" i="45"/>
  <c r="F288" i="45"/>
  <c r="K289" i="45" l="1"/>
  <c r="H287" i="45"/>
  <c r="L288" i="45" s="1"/>
  <c r="C288" i="45" l="1"/>
  <c r="E288" i="45" s="1"/>
  <c r="G289" i="45"/>
  <c r="F289" i="45"/>
  <c r="D289" i="45"/>
  <c r="K290" i="45" l="1"/>
  <c r="H288" i="45"/>
  <c r="L289" i="45" s="1"/>
  <c r="C289" i="45" l="1"/>
  <c r="E289" i="45" s="1"/>
  <c r="D290" i="45"/>
  <c r="G290" i="45"/>
  <c r="F290" i="45"/>
  <c r="K291" i="45" l="1"/>
  <c r="H289" i="45"/>
  <c r="L290" i="45" s="1"/>
  <c r="C290" i="45" l="1"/>
  <c r="E290" i="45" s="1"/>
  <c r="F291" i="45"/>
  <c r="G291" i="45"/>
  <c r="D291" i="45"/>
  <c r="K292" i="45" l="1"/>
  <c r="H290" i="45"/>
  <c r="L291" i="45" s="1"/>
  <c r="C291" i="45" l="1"/>
  <c r="E291" i="45" s="1"/>
  <c r="G292" i="45"/>
  <c r="F292" i="45"/>
  <c r="D292" i="45"/>
  <c r="K293" i="45" l="1"/>
  <c r="H291" i="45"/>
  <c r="L292" i="45" s="1"/>
  <c r="C292" i="45" l="1"/>
  <c r="E292" i="45" s="1"/>
  <c r="D293" i="45"/>
  <c r="G293" i="45"/>
  <c r="F293" i="45"/>
  <c r="K294" i="45" l="1"/>
  <c r="H292" i="45"/>
  <c r="L293" i="45" s="1"/>
  <c r="C293" i="45" l="1"/>
  <c r="E293" i="45" s="1"/>
  <c r="D294" i="45"/>
  <c r="G294" i="45"/>
  <c r="F294" i="45"/>
  <c r="K295" i="45" l="1"/>
  <c r="H293" i="45"/>
  <c r="L294" i="45" s="1"/>
  <c r="C294" i="45" l="1"/>
  <c r="E294" i="45" s="1"/>
  <c r="F295" i="45"/>
  <c r="D295" i="45"/>
  <c r="G295" i="45"/>
  <c r="K296" i="45" l="1"/>
  <c r="H294" i="45"/>
  <c r="L295" i="45" s="1"/>
  <c r="C295" i="45" l="1"/>
  <c r="E295" i="45" s="1"/>
  <c r="G296" i="45"/>
  <c r="F296" i="45"/>
  <c r="D296" i="45"/>
  <c r="K297" i="45" l="1"/>
  <c r="H295" i="45"/>
  <c r="L296" i="45" s="1"/>
  <c r="C296" i="45" l="1"/>
  <c r="E296" i="45" s="1"/>
  <c r="D297" i="45"/>
  <c r="G297" i="45"/>
  <c r="F297" i="45"/>
  <c r="K298" i="45" l="1"/>
  <c r="H296" i="45"/>
  <c r="L297" i="45" s="1"/>
  <c r="C297" i="45" l="1"/>
  <c r="E297" i="45" s="1"/>
  <c r="D298" i="45"/>
  <c r="G298" i="45"/>
  <c r="F298" i="45"/>
  <c r="K299" i="45" l="1"/>
  <c r="H297" i="45"/>
  <c r="L298" i="45" s="1"/>
  <c r="C298" i="45" l="1"/>
  <c r="E298" i="45" s="1"/>
  <c r="F299" i="45"/>
  <c r="D299" i="45"/>
  <c r="G299" i="45"/>
  <c r="K300" i="45" l="1"/>
  <c r="H298" i="45"/>
  <c r="L299" i="45" s="1"/>
  <c r="C299" i="45" l="1"/>
  <c r="E299" i="45" s="1"/>
  <c r="G300" i="45"/>
  <c r="F300" i="45"/>
  <c r="D300" i="45"/>
  <c r="K301" i="45" l="1"/>
  <c r="H299" i="45"/>
  <c r="L300" i="45" s="1"/>
  <c r="C300" i="45" l="1"/>
  <c r="E300" i="45" s="1"/>
  <c r="D301" i="45"/>
  <c r="G301" i="45"/>
  <c r="F301" i="45"/>
  <c r="K302" i="45" l="1"/>
  <c r="H300" i="45"/>
  <c r="L301" i="45" s="1"/>
  <c r="C301" i="45" l="1"/>
  <c r="E301" i="45" s="1"/>
  <c r="D302" i="45"/>
  <c r="G302" i="45"/>
  <c r="F302" i="45"/>
  <c r="K303" i="45" l="1"/>
  <c r="H301" i="45"/>
  <c r="L302" i="45" s="1"/>
  <c r="C302" i="45" l="1"/>
  <c r="E302" i="45" s="1"/>
  <c r="F303" i="45"/>
  <c r="D303" i="45"/>
  <c r="G303" i="45"/>
  <c r="K304" i="45" l="1"/>
  <c r="H302" i="45"/>
  <c r="L303" i="45" s="1"/>
  <c r="C303" i="45" l="1"/>
  <c r="E303" i="45" s="1"/>
  <c r="F304" i="45"/>
  <c r="D304" i="45"/>
  <c r="G304" i="45"/>
  <c r="K305" i="45" l="1"/>
  <c r="H303" i="45"/>
  <c r="L304" i="45" s="1"/>
  <c r="C304" i="45" l="1"/>
  <c r="E304" i="45" s="1"/>
  <c r="F305" i="45"/>
  <c r="D305" i="45"/>
  <c r="G305" i="45"/>
  <c r="K306" i="45" l="1"/>
  <c r="H304" i="45"/>
  <c r="L305" i="45" s="1"/>
  <c r="C305" i="45" l="1"/>
  <c r="E305" i="45" s="1"/>
  <c r="G306" i="45"/>
  <c r="F306" i="45"/>
  <c r="D306" i="45"/>
  <c r="K307" i="45" l="1"/>
  <c r="H305" i="45"/>
  <c r="L306" i="45" s="1"/>
  <c r="C306" i="45" l="1"/>
  <c r="E306" i="45" s="1"/>
  <c r="D307" i="45"/>
  <c r="F307" i="45"/>
  <c r="G307" i="45"/>
  <c r="K308" i="45" l="1"/>
  <c r="H306" i="45"/>
  <c r="L307" i="45" s="1"/>
  <c r="C307" i="45" l="1"/>
  <c r="E307" i="45" s="1"/>
  <c r="D308" i="45"/>
  <c r="G308" i="45"/>
  <c r="F308" i="45"/>
  <c r="K309" i="45" l="1"/>
  <c r="H307" i="45"/>
  <c r="L308" i="45" s="1"/>
  <c r="C308" i="45" l="1"/>
  <c r="E308" i="45" s="1"/>
  <c r="F309" i="45"/>
  <c r="G309" i="45"/>
  <c r="D309" i="45"/>
  <c r="K310" i="45" l="1"/>
  <c r="H308" i="45"/>
  <c r="L309" i="45" s="1"/>
  <c r="C309" i="45" l="1"/>
  <c r="E309" i="45" s="1"/>
  <c r="F310" i="45"/>
  <c r="G310" i="45"/>
  <c r="D310" i="45"/>
  <c r="K311" i="45" l="1"/>
  <c r="H309" i="45"/>
  <c r="L310" i="45" s="1"/>
  <c r="C310" i="45" l="1"/>
  <c r="E310" i="45" s="1"/>
  <c r="G311" i="45"/>
  <c r="D311" i="45"/>
  <c r="F311" i="45"/>
  <c r="K312" i="45" l="1"/>
  <c r="H310" i="45"/>
  <c r="L311" i="45" s="1"/>
  <c r="C311" i="45" l="1"/>
  <c r="E311" i="45" s="1"/>
  <c r="D312" i="45"/>
  <c r="F312" i="45"/>
  <c r="G312" i="45"/>
  <c r="K313" i="45" l="1"/>
  <c r="H311" i="45"/>
  <c r="L312" i="45" s="1"/>
  <c r="C312" i="45" l="1"/>
  <c r="E312" i="45" s="1"/>
  <c r="F313" i="45"/>
  <c r="G313" i="45"/>
  <c r="D313" i="45"/>
  <c r="K314" i="45" l="1"/>
  <c r="H312" i="45"/>
  <c r="L313" i="45" s="1"/>
  <c r="C313" i="45" l="1"/>
  <c r="E313" i="45" s="1"/>
  <c r="F314" i="45"/>
  <c r="G314" i="45"/>
  <c r="D314" i="45"/>
  <c r="K315" i="45" l="1"/>
  <c r="H313" i="45"/>
  <c r="L314" i="45" s="1"/>
  <c r="C314" i="45" l="1"/>
  <c r="E314" i="45" s="1"/>
  <c r="G315" i="45"/>
  <c r="D315" i="45"/>
  <c r="F315" i="45"/>
  <c r="K316" i="45" l="1"/>
  <c r="H314" i="45"/>
  <c r="L315" i="45" s="1"/>
  <c r="C315" i="45" l="1"/>
  <c r="E315" i="45" s="1"/>
  <c r="D316" i="45"/>
  <c r="G316" i="45"/>
  <c r="F316" i="45"/>
  <c r="K317" i="45" l="1"/>
  <c r="H315" i="45"/>
  <c r="L316" i="45" s="1"/>
  <c r="C316" i="45" l="1"/>
  <c r="E316" i="45" s="1"/>
  <c r="F317" i="45"/>
  <c r="D317" i="45"/>
  <c r="G317" i="45"/>
  <c r="K318" i="45" l="1"/>
  <c r="H316" i="45"/>
  <c r="L317" i="45" s="1"/>
  <c r="C317" i="45" l="1"/>
  <c r="E317" i="45" s="1"/>
  <c r="G318" i="45"/>
  <c r="D318" i="45"/>
  <c r="F318" i="45"/>
  <c r="K319" i="45" l="1"/>
  <c r="H317" i="45"/>
  <c r="L318" i="45" s="1"/>
  <c r="C318" i="45" l="1"/>
  <c r="E318" i="45" s="1"/>
  <c r="D319" i="45"/>
  <c r="F319" i="45"/>
  <c r="G319" i="45"/>
  <c r="K320" i="45" l="1"/>
  <c r="H318" i="45"/>
  <c r="L319" i="45" s="1"/>
  <c r="C319" i="45" l="1"/>
  <c r="E319" i="45" s="1"/>
  <c r="D320" i="45"/>
  <c r="F320" i="45"/>
  <c r="G320" i="45"/>
  <c r="K321" i="45" l="1"/>
  <c r="H319" i="45"/>
  <c r="L320" i="45" s="1"/>
  <c r="C320" i="45" l="1"/>
  <c r="E320" i="45" s="1"/>
  <c r="F321" i="45"/>
  <c r="D321" i="45"/>
  <c r="G321" i="45"/>
  <c r="K322" i="45" l="1"/>
  <c r="H320" i="45"/>
  <c r="L321" i="45" s="1"/>
  <c r="C321" i="45" l="1"/>
  <c r="E321" i="45" s="1"/>
  <c r="G322" i="45"/>
  <c r="F322" i="45"/>
  <c r="D322" i="45"/>
  <c r="K323" i="45" l="1"/>
  <c r="H321" i="45"/>
  <c r="L322" i="45" s="1"/>
  <c r="C322" i="45" l="1"/>
  <c r="E322" i="45" s="1"/>
  <c r="D323" i="45"/>
  <c r="F323" i="45"/>
  <c r="G323" i="45"/>
  <c r="K324" i="45" l="1"/>
  <c r="H322" i="45"/>
  <c r="L323" i="45" s="1"/>
  <c r="C323" i="45" l="1"/>
  <c r="E323" i="45" s="1"/>
  <c r="D324" i="45"/>
  <c r="F324" i="45"/>
  <c r="G324" i="45"/>
  <c r="K325" i="45" l="1"/>
  <c r="H323" i="45"/>
  <c r="L324" i="45" s="1"/>
  <c r="C324" i="45" l="1"/>
  <c r="E324" i="45" s="1"/>
  <c r="F325" i="45"/>
  <c r="G325" i="45"/>
  <c r="D325" i="45"/>
  <c r="K326" i="45" l="1"/>
  <c r="H324" i="45"/>
  <c r="L325" i="45" s="1"/>
  <c r="C325" i="45" l="1"/>
  <c r="E325" i="45" s="1"/>
  <c r="G326" i="45"/>
  <c r="F326" i="45"/>
  <c r="D326" i="45"/>
  <c r="K327" i="45" l="1"/>
  <c r="H325" i="45"/>
  <c r="L326" i="45" s="1"/>
  <c r="C326" i="45" l="1"/>
  <c r="E326" i="45" s="1"/>
  <c r="D327" i="45"/>
  <c r="G327" i="45"/>
  <c r="F327" i="45"/>
  <c r="K328" i="45" l="1"/>
  <c r="H326" i="45"/>
  <c r="L327" i="45" s="1"/>
  <c r="C327" i="45" s="1"/>
  <c r="E327" i="45" s="1"/>
  <c r="G328" i="45" l="1"/>
  <c r="F328" i="45"/>
  <c r="D328" i="45"/>
  <c r="K329" i="45" l="1"/>
  <c r="H327" i="45"/>
  <c r="L328" i="45" s="1"/>
  <c r="C328" i="45" l="1"/>
  <c r="E328" i="45" s="1"/>
  <c r="F329" i="45"/>
  <c r="G329" i="45"/>
  <c r="D329" i="45"/>
  <c r="K330" i="45" l="1"/>
  <c r="H328" i="45"/>
  <c r="L329" i="45" s="1"/>
  <c r="C329" i="45" l="1"/>
  <c r="E329" i="45" s="1"/>
  <c r="G330" i="45"/>
  <c r="D330" i="45"/>
  <c r="F330" i="45"/>
  <c r="K331" i="45" l="1"/>
  <c r="H329" i="45"/>
  <c r="L330" i="45" s="1"/>
  <c r="C330" i="45" l="1"/>
  <c r="E330" i="45" s="1"/>
  <c r="F331" i="45"/>
  <c r="G331" i="45"/>
  <c r="D331" i="45"/>
  <c r="K332" i="45" l="1"/>
  <c r="H330" i="45"/>
  <c r="L331" i="45" s="1"/>
  <c r="C331" i="45" l="1"/>
  <c r="E331" i="45" s="1"/>
  <c r="F332" i="45"/>
  <c r="D332" i="45"/>
  <c r="G332" i="45"/>
  <c r="K333" i="45" l="1"/>
  <c r="H331" i="45"/>
  <c r="L332" i="45" s="1"/>
  <c r="C332" i="45" l="1"/>
  <c r="E332" i="45" s="1"/>
  <c r="G333" i="45"/>
  <c r="F333" i="45"/>
  <c r="D333" i="45"/>
  <c r="K334" i="45" l="1"/>
  <c r="H332" i="45"/>
  <c r="L333" i="45" s="1"/>
  <c r="C333" i="45" l="1"/>
  <c r="E333" i="45" s="1"/>
  <c r="D334" i="45"/>
  <c r="F334" i="45"/>
  <c r="G334" i="45"/>
  <c r="K335" i="45" l="1"/>
  <c r="H333" i="45"/>
  <c r="L334" i="45" s="1"/>
  <c r="C334" i="45" s="1"/>
  <c r="E334" i="45" s="1"/>
  <c r="D335" i="45" l="1"/>
  <c r="F335" i="45"/>
  <c r="G335" i="45"/>
  <c r="K336" i="45" l="1"/>
  <c r="H334" i="45"/>
  <c r="L335" i="45" s="1"/>
  <c r="C335" i="45" s="1"/>
  <c r="E335" i="45" s="1"/>
  <c r="F336" i="45" l="1"/>
  <c r="D336" i="45"/>
  <c r="G336" i="45"/>
  <c r="K337" i="45" l="1"/>
  <c r="H335" i="45"/>
  <c r="L336" i="45" s="1"/>
  <c r="C336" i="45" l="1"/>
  <c r="E336" i="45" s="1"/>
  <c r="F337" i="45"/>
  <c r="G337" i="45"/>
  <c r="D337" i="45"/>
  <c r="K338" i="45" l="1"/>
  <c r="H336" i="45"/>
  <c r="L337" i="45" s="1"/>
  <c r="C337" i="45" l="1"/>
  <c r="E337" i="45" s="1"/>
  <c r="G338" i="45"/>
  <c r="D338" i="45"/>
  <c r="F338" i="45"/>
  <c r="K339" i="45" l="1"/>
  <c r="H337" i="45"/>
  <c r="L338" i="45" s="1"/>
  <c r="C338" i="45" s="1"/>
  <c r="E338" i="45" s="1"/>
  <c r="D339" i="45" l="1"/>
  <c r="F339" i="45"/>
  <c r="G339" i="45"/>
  <c r="K340" i="45" l="1"/>
  <c r="H338" i="45"/>
  <c r="L339" i="45" s="1"/>
  <c r="C339" i="45" s="1"/>
  <c r="E339" i="45" s="1"/>
  <c r="F340" i="45" l="1"/>
  <c r="G340" i="45"/>
  <c r="D340" i="45"/>
  <c r="K341" i="45" l="1"/>
  <c r="H339" i="45"/>
  <c r="L340" i="45" s="1"/>
  <c r="C340" i="45" l="1"/>
  <c r="E340" i="45" s="1"/>
  <c r="F341" i="45"/>
  <c r="G341" i="45"/>
  <c r="D341" i="45"/>
  <c r="K342" i="45" l="1"/>
  <c r="H340" i="45"/>
  <c r="L341" i="45" s="1"/>
  <c r="C341" i="45" l="1"/>
  <c r="E341" i="45" s="1"/>
  <c r="G342" i="45"/>
  <c r="D342" i="45"/>
  <c r="F342" i="45"/>
  <c r="K343" i="45" l="1"/>
  <c r="H341" i="45"/>
  <c r="L342" i="45" s="1"/>
  <c r="C342" i="45" s="1"/>
  <c r="E342" i="45" s="1"/>
  <c r="D343" i="45" l="1"/>
  <c r="F343" i="45"/>
  <c r="G343" i="45"/>
  <c r="K344" i="45" l="1"/>
  <c r="H342" i="45"/>
  <c r="L343" i="45" s="1"/>
  <c r="C343" i="45" l="1"/>
  <c r="E343" i="45" s="1"/>
  <c r="F344" i="45"/>
  <c r="D344" i="45"/>
  <c r="G344" i="45"/>
  <c r="K345" i="45" l="1"/>
  <c r="H343" i="45"/>
  <c r="L344" i="45" s="1"/>
  <c r="C344" i="45" l="1"/>
  <c r="E344" i="45" s="1"/>
  <c r="F345" i="45"/>
  <c r="G345" i="45"/>
  <c r="D345" i="45"/>
  <c r="K346" i="45" l="1"/>
  <c r="H344" i="45"/>
  <c r="L345" i="45" s="1"/>
  <c r="C345" i="45" l="1"/>
  <c r="E345" i="45" s="1"/>
  <c r="G346" i="45"/>
  <c r="D346" i="45"/>
  <c r="F346" i="45"/>
  <c r="K347" i="45" l="1"/>
  <c r="H345" i="45"/>
  <c r="L346" i="45" s="1"/>
  <c r="C346" i="45" l="1"/>
  <c r="E346" i="45" s="1"/>
  <c r="D347" i="45"/>
  <c r="F347" i="45"/>
  <c r="G347" i="45"/>
  <c r="K348" i="45" l="1"/>
  <c r="H346" i="45"/>
  <c r="L347" i="45" s="1"/>
  <c r="C347" i="45" l="1"/>
  <c r="E347" i="45" s="1"/>
  <c r="F348" i="45"/>
  <c r="G348" i="45"/>
  <c r="D348" i="45"/>
  <c r="K349" i="45" l="1"/>
  <c r="H347" i="45"/>
  <c r="L348" i="45" s="1"/>
  <c r="C348" i="45" l="1"/>
  <c r="E348" i="45" s="1"/>
  <c r="D349" i="45"/>
  <c r="F349" i="45"/>
  <c r="G349" i="45"/>
  <c r="K350" i="45" l="1"/>
  <c r="H348" i="45"/>
  <c r="L349" i="45" s="1"/>
  <c r="C349" i="45" l="1"/>
  <c r="E349" i="45" s="1"/>
  <c r="F350" i="45"/>
  <c r="D350" i="45"/>
  <c r="G350" i="45"/>
  <c r="K351" i="45" l="1"/>
  <c r="H349" i="45"/>
  <c r="L350" i="45" s="1"/>
  <c r="C350" i="45" l="1"/>
  <c r="E350" i="45" s="1"/>
  <c r="G351" i="45"/>
  <c r="F351" i="45"/>
  <c r="D351" i="45"/>
  <c r="K352" i="45" l="1"/>
  <c r="H350" i="45"/>
  <c r="L351" i="45" s="1"/>
  <c r="C351" i="45" l="1"/>
  <c r="E351" i="45" s="1"/>
  <c r="D352" i="45"/>
  <c r="F352" i="45"/>
  <c r="G352" i="45"/>
  <c r="K353" i="45" l="1"/>
  <c r="H351" i="45"/>
  <c r="L352" i="45" s="1"/>
  <c r="C352" i="45" l="1"/>
  <c r="E352" i="45" s="1"/>
  <c r="F353" i="45"/>
  <c r="D353" i="45"/>
  <c r="G353" i="45"/>
  <c r="K354" i="45" l="1"/>
  <c r="H352" i="45"/>
  <c r="L353" i="45" s="1"/>
  <c r="C353" i="45" l="1"/>
  <c r="E353" i="45" s="1"/>
  <c r="F354" i="45"/>
  <c r="D354" i="45"/>
  <c r="G354" i="45"/>
  <c r="K355" i="45" l="1"/>
  <c r="H353" i="45"/>
  <c r="L354" i="45" s="1"/>
  <c r="C354" i="45" l="1"/>
  <c r="E354" i="45" s="1"/>
  <c r="G355" i="45"/>
  <c r="F355" i="45"/>
  <c r="D355" i="45"/>
  <c r="K356" i="45" l="1"/>
  <c r="H354" i="45"/>
  <c r="L355" i="45" s="1"/>
  <c r="C355" i="45" l="1"/>
  <c r="E355" i="45" s="1"/>
  <c r="D356" i="45"/>
  <c r="F356" i="45"/>
  <c r="G356" i="45"/>
  <c r="K357" i="45" l="1"/>
  <c r="H355" i="45"/>
  <c r="L356" i="45" s="1"/>
  <c r="C356" i="45" l="1"/>
  <c r="E356" i="45" s="1"/>
  <c r="D357" i="45"/>
  <c r="F357" i="45"/>
  <c r="G357" i="45"/>
  <c r="K358" i="45" l="1"/>
  <c r="H356" i="45"/>
  <c r="L357" i="45" s="1"/>
  <c r="C357" i="45" l="1"/>
  <c r="E357" i="45" s="1"/>
  <c r="D358" i="45"/>
  <c r="G358" i="45"/>
  <c r="F358" i="45"/>
  <c r="K359" i="45" l="1"/>
  <c r="H357" i="45"/>
  <c r="L358" i="45" s="1"/>
  <c r="C358" i="45" l="1"/>
  <c r="E358" i="45" s="1"/>
  <c r="F359" i="45"/>
  <c r="D359" i="45"/>
  <c r="G359" i="45"/>
  <c r="K360" i="45" l="1"/>
  <c r="H358" i="45"/>
  <c r="L359" i="45" s="1"/>
  <c r="C359" i="45" l="1"/>
  <c r="E359" i="45" s="1"/>
  <c r="F360" i="45"/>
  <c r="D360" i="45"/>
  <c r="G360" i="45"/>
  <c r="K361" i="45" l="1"/>
  <c r="H359" i="45"/>
  <c r="L360" i="45" s="1"/>
  <c r="C360" i="45" l="1"/>
  <c r="E360" i="45" s="1"/>
  <c r="G361" i="45"/>
  <c r="F361" i="45"/>
  <c r="D361" i="45"/>
  <c r="K362" i="45" l="1"/>
  <c r="H360" i="45"/>
  <c r="L361" i="45" s="1"/>
  <c r="C361" i="45" l="1"/>
  <c r="E361" i="45" s="1"/>
  <c r="D362" i="45"/>
  <c r="F362" i="45"/>
  <c r="G362" i="45"/>
  <c r="K363" i="45" l="1"/>
  <c r="H361" i="45"/>
  <c r="L362" i="45" s="1"/>
  <c r="C362" i="45" l="1"/>
  <c r="E362" i="45" s="1"/>
  <c r="D363" i="45"/>
  <c r="G363" i="45"/>
  <c r="F363" i="45"/>
  <c r="K364" i="45" l="1"/>
  <c r="H362" i="45"/>
  <c r="L363" i="45" s="1"/>
  <c r="C363" i="45" l="1"/>
  <c r="E363" i="45" s="1"/>
  <c r="F364" i="45"/>
  <c r="G364" i="45"/>
  <c r="D364" i="45"/>
  <c r="K365" i="45" l="1"/>
  <c r="H363" i="45"/>
  <c r="L364" i="45" s="1"/>
  <c r="C364" i="45" l="1"/>
  <c r="E364" i="45" s="1"/>
  <c r="G365" i="45"/>
  <c r="F365" i="45"/>
  <c r="D365" i="45"/>
  <c r="K366" i="45" l="1"/>
  <c r="H364" i="45"/>
  <c r="L365" i="45" s="1"/>
  <c r="C365" i="45" l="1"/>
  <c r="E365" i="45" s="1"/>
  <c r="G366" i="45"/>
  <c r="F366" i="45"/>
  <c r="D366" i="45"/>
  <c r="K367" i="45" l="1"/>
  <c r="H365" i="45"/>
  <c r="L366" i="45" s="1"/>
  <c r="C366" i="45" l="1"/>
  <c r="E366" i="45" s="1"/>
  <c r="D367" i="45"/>
  <c r="G367" i="45"/>
  <c r="F367" i="45"/>
  <c r="K368" i="45" l="1"/>
  <c r="H366" i="45"/>
  <c r="L367" i="45" s="1"/>
  <c r="C367" i="45" l="1"/>
  <c r="E367" i="45" s="1"/>
  <c r="D368" i="45"/>
  <c r="F368" i="45"/>
  <c r="G368" i="45"/>
  <c r="K369" i="45" l="1"/>
  <c r="H367" i="45"/>
  <c r="L368" i="45" s="1"/>
  <c r="C368" i="45" l="1"/>
  <c r="E368" i="45" s="1"/>
  <c r="F369" i="45"/>
  <c r="D369" i="45"/>
  <c r="G369" i="45"/>
  <c r="K370" i="45" l="1"/>
  <c r="H368" i="45"/>
  <c r="L369" i="45" s="1"/>
  <c r="C369" i="45" l="1"/>
  <c r="E369" i="45" s="1"/>
  <c r="G370" i="45"/>
  <c r="F370" i="45"/>
  <c r="D370" i="45"/>
  <c r="K371" i="45" l="1"/>
  <c r="H369" i="45"/>
  <c r="L370" i="45" s="1"/>
  <c r="C370" i="45" l="1"/>
  <c r="E370" i="45" s="1"/>
  <c r="D371" i="45"/>
  <c r="G371" i="45"/>
  <c r="F371" i="45"/>
  <c r="K372" i="45" l="1"/>
  <c r="H370" i="45"/>
  <c r="L371" i="45" s="1"/>
  <c r="C371" i="45" s="1"/>
  <c r="E371" i="45" s="1"/>
  <c r="D372" i="45" l="1"/>
  <c r="G372" i="45"/>
  <c r="F372" i="45"/>
  <c r="K373" i="45" l="1"/>
  <c r="H371" i="45"/>
  <c r="L372" i="45" s="1"/>
  <c r="C372" i="45" l="1"/>
  <c r="E372" i="45" s="1"/>
  <c r="F373" i="45"/>
  <c r="G373" i="45"/>
  <c r="D373" i="45"/>
  <c r="K374" i="45" l="1"/>
  <c r="H372" i="45"/>
  <c r="L373" i="45" s="1"/>
  <c r="C373" i="45" l="1"/>
  <c r="E373" i="45" s="1"/>
  <c r="G374" i="45"/>
  <c r="F374" i="45"/>
  <c r="D374" i="45"/>
  <c r="K375" i="45" l="1"/>
  <c r="H373" i="45"/>
  <c r="L374" i="45" s="1"/>
  <c r="C374" i="45" l="1"/>
  <c r="E374" i="45" s="1"/>
  <c r="D375" i="45"/>
  <c r="G375" i="45"/>
  <c r="F375" i="45"/>
  <c r="K376" i="45" l="1"/>
  <c r="H374" i="45"/>
  <c r="L375" i="45" s="1"/>
  <c r="C375" i="45" l="1"/>
  <c r="E375" i="45" s="1"/>
  <c r="D376" i="45"/>
  <c r="F376" i="45"/>
  <c r="G376" i="45"/>
  <c r="K377" i="45" l="1"/>
  <c r="H375" i="45"/>
  <c r="L376" i="45" s="1"/>
  <c r="C376" i="45" l="1"/>
  <c r="E376" i="45" s="1"/>
  <c r="F377" i="45"/>
  <c r="D377" i="45"/>
  <c r="G377" i="45"/>
  <c r="K378" i="45" l="1"/>
  <c r="H376" i="45"/>
  <c r="L377" i="45" s="1"/>
  <c r="C377" i="45" l="1"/>
  <c r="E377" i="45" s="1"/>
  <c r="G378" i="45"/>
  <c r="F378" i="45"/>
  <c r="K379" i="45" s="1"/>
  <c r="D378" i="45"/>
  <c r="F379" i="45" l="1"/>
  <c r="D379" i="45"/>
  <c r="G379" i="45"/>
  <c r="H377" i="45"/>
  <c r="L378" i="45" s="1"/>
  <c r="L379" i="45" s="1"/>
  <c r="K380" i="45" l="1"/>
  <c r="C379" i="45"/>
  <c r="E379" i="45" s="1"/>
  <c r="L380" i="45"/>
  <c r="C378" i="45"/>
  <c r="E378" i="45" s="1"/>
  <c r="G380" i="45" l="1"/>
  <c r="L381" i="45" s="1"/>
  <c r="D380" i="45"/>
  <c r="C380" i="45" s="1"/>
  <c r="E380" i="45" s="1"/>
  <c r="F380" i="45"/>
  <c r="H378" i="45"/>
  <c r="K381" i="45" l="1"/>
  <c r="H379" i="45"/>
  <c r="H23" i="24"/>
  <c r="H24" i="24"/>
  <c r="H25" i="24"/>
  <c r="H26" i="24"/>
  <c r="H22" i="24"/>
  <c r="B23" i="24"/>
  <c r="B24" i="24"/>
  <c r="B25" i="24"/>
  <c r="B26" i="24"/>
  <c r="B22" i="24"/>
  <c r="V6" i="26"/>
  <c r="R6" i="26"/>
  <c r="N6" i="26"/>
  <c r="G11" i="25"/>
  <c r="G105" i="25" s="1"/>
  <c r="D9" i="15" s="1"/>
  <c r="M90" i="25"/>
  <c r="M91" i="25"/>
  <c r="E100" i="25"/>
  <c r="G91" i="25"/>
  <c r="G16" i="25"/>
  <c r="G17" i="25"/>
  <c r="G18" i="25"/>
  <c r="G20" i="25"/>
  <c r="G21" i="25"/>
  <c r="G22" i="25"/>
  <c r="G23" i="25"/>
  <c r="G14" i="25"/>
  <c r="G15" i="25"/>
  <c r="G79" i="25"/>
  <c r="D381" i="45" l="1"/>
  <c r="G381" i="45"/>
  <c r="L382" i="45" s="1"/>
  <c r="F381" i="45"/>
  <c r="G98" i="25"/>
  <c r="H98" i="25" s="1"/>
  <c r="H6" i="15"/>
  <c r="K382" i="45" l="1"/>
  <c r="H380" i="45"/>
  <c r="C381" i="45"/>
  <c r="E381" i="45" s="1"/>
  <c r="M74" i="16"/>
  <c r="L74" i="16"/>
  <c r="E34" i="16"/>
  <c r="B5" i="16"/>
  <c r="F382" i="45" l="1"/>
  <c r="G382" i="45"/>
  <c r="L383" i="45" s="1"/>
  <c r="D382" i="45"/>
  <c r="C382" i="45" s="1"/>
  <c r="E382" i="45" s="1"/>
  <c r="C6" i="16"/>
  <c r="F34" i="16" s="1"/>
  <c r="E75" i="16"/>
  <c r="B6" i="16"/>
  <c r="K383" i="45" l="1"/>
  <c r="H381" i="45"/>
  <c r="F76" i="16"/>
  <c r="H76" i="16" s="1"/>
  <c r="H75" i="16"/>
  <c r="M76" i="16" s="1"/>
  <c r="E76" i="16"/>
  <c r="E77" i="16" s="1"/>
  <c r="E78" i="16" s="1"/>
  <c r="E79" i="16" s="1"/>
  <c r="E80" i="16" s="1"/>
  <c r="E81" i="16" s="1"/>
  <c r="E82" i="16" s="1"/>
  <c r="G76" i="16"/>
  <c r="F383" i="45" l="1"/>
  <c r="D383" i="45"/>
  <c r="G383" i="45"/>
  <c r="L384" i="45" s="1"/>
  <c r="M77" i="16"/>
  <c r="F77" i="16"/>
  <c r="G77" i="16" s="1"/>
  <c r="L77" i="16"/>
  <c r="L76" i="16"/>
  <c r="C383" i="45" l="1"/>
  <c r="E383" i="45" s="1"/>
  <c r="K384" i="45"/>
  <c r="H382" i="45"/>
  <c r="F78" i="16"/>
  <c r="H77" i="16"/>
  <c r="G384" i="45" l="1"/>
  <c r="L385" i="45" s="1"/>
  <c r="F384" i="45"/>
  <c r="D384" i="45"/>
  <c r="I36" i="16"/>
  <c r="G36" i="16" s="1"/>
  <c r="I39" i="16"/>
  <c r="H39" i="16" s="1"/>
  <c r="I38" i="16"/>
  <c r="J38" i="16" s="1"/>
  <c r="I37" i="16"/>
  <c r="M37" i="16" s="1"/>
  <c r="G78" i="16"/>
  <c r="F79" i="16"/>
  <c r="F80" i="16" s="1"/>
  <c r="F81" i="16" s="1"/>
  <c r="H78" i="16"/>
  <c r="M79" i="16" s="1"/>
  <c r="M78" i="16"/>
  <c r="L78" i="16"/>
  <c r="C384" i="45" l="1"/>
  <c r="E384" i="45" s="1"/>
  <c r="K385" i="45"/>
  <c r="H383" i="45"/>
  <c r="J39" i="16"/>
  <c r="J47" i="16" s="1"/>
  <c r="J37" i="16"/>
  <c r="H36" i="16"/>
  <c r="K39" i="16"/>
  <c r="N39" i="16"/>
  <c r="G80" i="16"/>
  <c r="L39" i="16"/>
  <c r="H80" i="16"/>
  <c r="M81" i="16" s="1"/>
  <c r="M39" i="16"/>
  <c r="H79" i="16"/>
  <c r="M80" i="16" s="1"/>
  <c r="G39" i="16"/>
  <c r="G37" i="16"/>
  <c r="G45" i="16" s="1"/>
  <c r="N37" i="16"/>
  <c r="H37" i="16"/>
  <c r="L37" i="16"/>
  <c r="K37" i="16"/>
  <c r="N36" i="16"/>
  <c r="J36" i="16"/>
  <c r="J44" i="16" s="1"/>
  <c r="L79" i="16"/>
  <c r="I44" i="16"/>
  <c r="I45" i="16"/>
  <c r="K36" i="16"/>
  <c r="G79" i="16"/>
  <c r="L36" i="16"/>
  <c r="L44" i="16" s="1"/>
  <c r="M36" i="16"/>
  <c r="M44" i="16" s="1"/>
  <c r="I46" i="16"/>
  <c r="M38" i="16"/>
  <c r="M46" i="16" s="1"/>
  <c r="G38" i="16"/>
  <c r="I47" i="16"/>
  <c r="L38" i="16"/>
  <c r="H38" i="16"/>
  <c r="H46" i="16" s="1"/>
  <c r="N38" i="16"/>
  <c r="L80" i="16"/>
  <c r="K38" i="16"/>
  <c r="K46" i="16" s="1"/>
  <c r="H44" i="16"/>
  <c r="J46" i="16"/>
  <c r="G44" i="16"/>
  <c r="L81" i="16"/>
  <c r="F82" i="16"/>
  <c r="G81" i="16"/>
  <c r="H81" i="16"/>
  <c r="M82" i="16" s="1"/>
  <c r="D385" i="45" l="1"/>
  <c r="G385" i="45"/>
  <c r="L386" i="45" s="1"/>
  <c r="F385" i="45"/>
  <c r="N46" i="16"/>
  <c r="N47" i="16"/>
  <c r="G47" i="16"/>
  <c r="N45" i="16"/>
  <c r="H45" i="16"/>
  <c r="J45" i="16"/>
  <c r="N44" i="16"/>
  <c r="G46" i="16"/>
  <c r="H47" i="16"/>
  <c r="K47" i="16"/>
  <c r="L47" i="16"/>
  <c r="K45" i="16"/>
  <c r="L45" i="16"/>
  <c r="L46" i="16"/>
  <c r="K44" i="16"/>
  <c r="M45" i="16"/>
  <c r="M47" i="16"/>
  <c r="L82" i="16"/>
  <c r="G82" i="16"/>
  <c r="H82" i="16"/>
  <c r="K386" i="45" l="1"/>
  <c r="H384" i="45"/>
  <c r="C385" i="45"/>
  <c r="E385" i="45" s="1"/>
  <c r="D100" i="25"/>
  <c r="D386" i="45" l="1"/>
  <c r="C386" i="45" s="1"/>
  <c r="E386" i="45" s="1"/>
  <c r="F386" i="45"/>
  <c r="G386" i="45"/>
  <c r="L387" i="45" s="1"/>
  <c r="H16" i="26"/>
  <c r="G92" i="25" s="1"/>
  <c r="K387" i="45" l="1"/>
  <c r="H385" i="45"/>
  <c r="B10" i="26"/>
  <c r="B122" i="25" s="1"/>
  <c r="B124" i="25" s="1"/>
  <c r="B125" i="25" s="1"/>
  <c r="B16" i="26"/>
  <c r="B15" i="26"/>
  <c r="B14" i="26"/>
  <c r="B13" i="26"/>
  <c r="L35" i="26"/>
  <c r="J35" i="26"/>
  <c r="J34" i="26"/>
  <c r="L33" i="26"/>
  <c r="J33" i="26"/>
  <c r="J29" i="26"/>
  <c r="L28" i="26"/>
  <c r="J28" i="26"/>
  <c r="G24" i="26"/>
  <c r="G23" i="26"/>
  <c r="E17" i="14"/>
  <c r="F387" i="45" l="1"/>
  <c r="G387" i="45"/>
  <c r="L388" i="45" s="1"/>
  <c r="D387" i="45"/>
  <c r="I15" i="27"/>
  <c r="I14" i="27"/>
  <c r="H25" i="26"/>
  <c r="H15" i="14"/>
  <c r="G15" i="14"/>
  <c r="L17" i="14"/>
  <c r="C387" i="45" l="1"/>
  <c r="E387" i="45" s="1"/>
  <c r="K388" i="45"/>
  <c r="H386" i="45"/>
  <c r="E10" i="27"/>
  <c r="H21" i="27"/>
  <c r="D87" i="25"/>
  <c r="C121" i="25"/>
  <c r="G388" i="45" l="1"/>
  <c r="L389" i="45" s="1"/>
  <c r="D388" i="45"/>
  <c r="F388" i="45"/>
  <c r="G70" i="25"/>
  <c r="G58" i="25"/>
  <c r="G59" i="25"/>
  <c r="G60" i="25"/>
  <c r="G61" i="25"/>
  <c r="G62" i="25"/>
  <c r="G63" i="25"/>
  <c r="G64" i="25"/>
  <c r="G65" i="25"/>
  <c r="G66" i="25"/>
  <c r="G67" i="25"/>
  <c r="G68" i="25"/>
  <c r="G69" i="25"/>
  <c r="G31" i="25"/>
  <c r="G32" i="25"/>
  <c r="G33" i="25"/>
  <c r="G34" i="25"/>
  <c r="G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G51" i="25"/>
  <c r="K389" i="45" l="1"/>
  <c r="H387" i="45"/>
  <c r="C388" i="45"/>
  <c r="E388" i="45" s="1"/>
  <c r="G24" i="25"/>
  <c r="D389" i="45" l="1"/>
  <c r="C389" i="45" s="1"/>
  <c r="E389" i="45" s="1"/>
  <c r="F389" i="45"/>
  <c r="G389" i="45"/>
  <c r="L390" i="45" s="1"/>
  <c r="C38" i="15"/>
  <c r="K390" i="45" l="1"/>
  <c r="H388" i="45"/>
  <c r="E9" i="27"/>
  <c r="D390" i="45" l="1"/>
  <c r="C390" i="45" s="1"/>
  <c r="E390" i="45" s="1"/>
  <c r="G390" i="45"/>
  <c r="L391" i="45" s="1"/>
  <c r="F390" i="45"/>
  <c r="C42" i="14"/>
  <c r="H10" i="55" s="1"/>
  <c r="K391" i="45" l="1"/>
  <c r="H389" i="45"/>
  <c r="K17" i="14"/>
  <c r="T43" i="14" a="1"/>
  <c r="T43" i="14" s="1"/>
  <c r="D43" i="14" a="1"/>
  <c r="D43" i="14" s="1"/>
  <c r="F24" i="14"/>
  <c r="L83" i="25"/>
  <c r="M20" i="14"/>
  <c r="F391" i="45" l="1"/>
  <c r="G391" i="45"/>
  <c r="L392" i="45" s="1"/>
  <c r="D391" i="45"/>
  <c r="C391" i="45" s="1"/>
  <c r="E391" i="45" s="1"/>
  <c r="F19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K392" i="45" l="1"/>
  <c r="H390" i="45"/>
  <c r="E42" i="14"/>
  <c r="F40" i="14"/>
  <c r="F38" i="14"/>
  <c r="F36" i="14"/>
  <c r="F34" i="14"/>
  <c r="F32" i="14"/>
  <c r="F30" i="14"/>
  <c r="F28" i="14"/>
  <c r="F26" i="14"/>
  <c r="F22" i="14"/>
  <c r="F20" i="14"/>
  <c r="F18" i="14"/>
  <c r="F17" i="14"/>
  <c r="F41" i="14"/>
  <c r="F39" i="14"/>
  <c r="F37" i="14"/>
  <c r="F35" i="14"/>
  <c r="F33" i="14"/>
  <c r="F31" i="14"/>
  <c r="F29" i="14"/>
  <c r="F27" i="14"/>
  <c r="F25" i="14"/>
  <c r="F23" i="14"/>
  <c r="F21" i="14"/>
  <c r="G392" i="45" l="1"/>
  <c r="L393" i="45" s="1"/>
  <c r="D392" i="45"/>
  <c r="C392" i="45" s="1"/>
  <c r="E392" i="45" s="1"/>
  <c r="F392" i="45"/>
  <c r="F42" i="14"/>
  <c r="K393" i="45" l="1"/>
  <c r="H391" i="45"/>
  <c r="L14" i="26"/>
  <c r="S25" i="26"/>
  <c r="S24" i="26"/>
  <c r="T18" i="26"/>
  <c r="T17" i="26" s="1"/>
  <c r="G97" i="25" s="1"/>
  <c r="T16" i="26"/>
  <c r="D393" i="45" l="1"/>
  <c r="C393" i="45" s="1"/>
  <c r="E393" i="45" s="1"/>
  <c r="F393" i="45"/>
  <c r="G393" i="45"/>
  <c r="L394" i="45" s="1"/>
  <c r="H97" i="25"/>
  <c r="T26" i="26"/>
  <c r="K84" i="25" s="1"/>
  <c r="K97" i="25"/>
  <c r="L97" i="25"/>
  <c r="L98" i="25"/>
  <c r="L95" i="25"/>
  <c r="L85" i="25"/>
  <c r="K394" i="45" l="1"/>
  <c r="H392" i="45"/>
  <c r="M97" i="25"/>
  <c r="G394" i="45" l="1"/>
  <c r="L395" i="45" s="1"/>
  <c r="F394" i="45"/>
  <c r="D394" i="45"/>
  <c r="C394" i="45" s="1"/>
  <c r="E394" i="45" s="1"/>
  <c r="T10" i="26"/>
  <c r="F10" i="27"/>
  <c r="K395" i="45" l="1"/>
  <c r="H393" i="45"/>
  <c r="M14" i="25"/>
  <c r="F395" i="45" l="1"/>
  <c r="D395" i="45"/>
  <c r="C395" i="45" s="1"/>
  <c r="E395" i="45" s="1"/>
  <c r="G395" i="45"/>
  <c r="L396" i="45" s="1"/>
  <c r="G34" i="14"/>
  <c r="G35" i="14"/>
  <c r="G36" i="14"/>
  <c r="G37" i="14"/>
  <c r="G38" i="14"/>
  <c r="G39" i="14"/>
  <c r="G40" i="14"/>
  <c r="G41" i="14"/>
  <c r="K396" i="45" l="1"/>
  <c r="H394" i="45"/>
  <c r="H37" i="14"/>
  <c r="H39" i="14"/>
  <c r="H35" i="14"/>
  <c r="H41" i="14"/>
  <c r="H40" i="14"/>
  <c r="H36" i="14"/>
  <c r="H38" i="14"/>
  <c r="H34" i="14"/>
  <c r="R14" i="15"/>
  <c r="S14" i="15" s="1"/>
  <c r="T14" i="15" s="1"/>
  <c r="U14" i="15" s="1"/>
  <c r="V14" i="15" s="1"/>
  <c r="W14" i="15" s="1"/>
  <c r="X14" i="15" s="1"/>
  <c r="Y14" i="15" s="1"/>
  <c r="Z14" i="15" s="1"/>
  <c r="AA14" i="15" s="1"/>
  <c r="F33" i="15"/>
  <c r="F34" i="15"/>
  <c r="F35" i="15"/>
  <c r="F36" i="15"/>
  <c r="F32" i="15"/>
  <c r="F39" i="15"/>
  <c r="F29" i="15"/>
  <c r="I7" i="15"/>
  <c r="G396" i="45" l="1"/>
  <c r="L397" i="45" s="1"/>
  <c r="F396" i="45"/>
  <c r="D396" i="45"/>
  <c r="C396" i="45" s="1"/>
  <c r="E396" i="45" s="1"/>
  <c r="Q35" i="14"/>
  <c r="Q34" i="14"/>
  <c r="Q36" i="14"/>
  <c r="Q38" i="14"/>
  <c r="Q40" i="14"/>
  <c r="Q41" i="14"/>
  <c r="Q39" i="14"/>
  <c r="Q37" i="14"/>
  <c r="G26" i="25"/>
  <c r="K397" i="45" l="1"/>
  <c r="H395" i="45"/>
  <c r="G30" i="25"/>
  <c r="N18" i="14"/>
  <c r="N20" i="14"/>
  <c r="N21" i="14"/>
  <c r="N24" i="14"/>
  <c r="N25" i="14"/>
  <c r="N26" i="14"/>
  <c r="N27" i="14"/>
  <c r="N28" i="14"/>
  <c r="N29" i="14"/>
  <c r="N30" i="14"/>
  <c r="N31" i="14"/>
  <c r="N32" i="14"/>
  <c r="N33" i="14"/>
  <c r="N34" i="14"/>
  <c r="N35" i="14"/>
  <c r="N36" i="14"/>
  <c r="N37" i="14"/>
  <c r="N38" i="14"/>
  <c r="N39" i="14"/>
  <c r="N40" i="14"/>
  <c r="N41" i="14"/>
  <c r="M18" i="14"/>
  <c r="M21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G397" i="45" l="1"/>
  <c r="L398" i="45" s="1"/>
  <c r="D397" i="45"/>
  <c r="C397" i="45" s="1"/>
  <c r="E397" i="45" s="1"/>
  <c r="F397" i="45"/>
  <c r="L18" i="14"/>
  <c r="L20" i="14"/>
  <c r="L21" i="14"/>
  <c r="L24" i="14"/>
  <c r="L25" i="14"/>
  <c r="L26" i="14"/>
  <c r="L27" i="14"/>
  <c r="L28" i="14"/>
  <c r="L29" i="14"/>
  <c r="L30" i="14"/>
  <c r="L31" i="14"/>
  <c r="L32" i="14"/>
  <c r="L33" i="14"/>
  <c r="L34" i="14"/>
  <c r="L35" i="14"/>
  <c r="L36" i="14"/>
  <c r="L37" i="14"/>
  <c r="L38" i="14"/>
  <c r="L39" i="14"/>
  <c r="L40" i="14"/>
  <c r="L41" i="14"/>
  <c r="W18" i="14"/>
  <c r="W19" i="14"/>
  <c r="W20" i="14"/>
  <c r="W21" i="14"/>
  <c r="W22" i="14"/>
  <c r="W23" i="14"/>
  <c r="W24" i="14"/>
  <c r="W25" i="14"/>
  <c r="W26" i="14"/>
  <c r="W27" i="14"/>
  <c r="W28" i="14"/>
  <c r="W29" i="14"/>
  <c r="W30" i="14"/>
  <c r="W31" i="14"/>
  <c r="W32" i="14"/>
  <c r="W33" i="14"/>
  <c r="W34" i="14"/>
  <c r="W35" i="14"/>
  <c r="W36" i="14"/>
  <c r="W37" i="14"/>
  <c r="W38" i="14"/>
  <c r="W39" i="14"/>
  <c r="W40" i="14"/>
  <c r="W41" i="14"/>
  <c r="V18" i="14"/>
  <c r="V19" i="14"/>
  <c r="V20" i="14"/>
  <c r="V21" i="14"/>
  <c r="V22" i="14"/>
  <c r="V23" i="14"/>
  <c r="V24" i="14"/>
  <c r="V25" i="14"/>
  <c r="V26" i="14"/>
  <c r="V27" i="14"/>
  <c r="V28" i="14"/>
  <c r="V29" i="14"/>
  <c r="V30" i="14"/>
  <c r="V31" i="14"/>
  <c r="V32" i="14"/>
  <c r="V33" i="14"/>
  <c r="V34" i="14"/>
  <c r="V35" i="14"/>
  <c r="V36" i="14"/>
  <c r="V37" i="14"/>
  <c r="V38" i="14"/>
  <c r="V39" i="14"/>
  <c r="V40" i="14"/>
  <c r="V41" i="14"/>
  <c r="F7" i="16"/>
  <c r="G7" i="16"/>
  <c r="F8" i="16"/>
  <c r="G8" i="16"/>
  <c r="F9" i="16"/>
  <c r="G9" i="16"/>
  <c r="F10" i="16"/>
  <c r="G10" i="16"/>
  <c r="F11" i="16"/>
  <c r="G11" i="16"/>
  <c r="F12" i="16"/>
  <c r="G12" i="16"/>
  <c r="F13" i="16"/>
  <c r="G13" i="16"/>
  <c r="F14" i="16"/>
  <c r="G14" i="16"/>
  <c r="F15" i="16"/>
  <c r="G15" i="16"/>
  <c r="F16" i="16"/>
  <c r="G16" i="16"/>
  <c r="F17" i="16"/>
  <c r="G17" i="16"/>
  <c r="F18" i="16"/>
  <c r="G18" i="16"/>
  <c r="F19" i="16"/>
  <c r="G19" i="16"/>
  <c r="F20" i="16"/>
  <c r="G20" i="16"/>
  <c r="F21" i="16"/>
  <c r="G21" i="16"/>
  <c r="F22" i="16"/>
  <c r="G22" i="16"/>
  <c r="F23" i="16"/>
  <c r="G23" i="16"/>
  <c r="F24" i="16"/>
  <c r="G24" i="16"/>
  <c r="F25" i="16"/>
  <c r="G25" i="16"/>
  <c r="F26" i="16"/>
  <c r="G26" i="16"/>
  <c r="F27" i="16"/>
  <c r="G27" i="16"/>
  <c r="F28" i="16"/>
  <c r="G28" i="16"/>
  <c r="F29" i="16"/>
  <c r="G29" i="16"/>
  <c r="F30" i="16"/>
  <c r="G30" i="16"/>
  <c r="G6" i="16"/>
  <c r="F6" i="16"/>
  <c r="E20" i="16"/>
  <c r="E21" i="16"/>
  <c r="E22" i="16"/>
  <c r="E23" i="16"/>
  <c r="E24" i="16"/>
  <c r="I24" i="16" s="1"/>
  <c r="E25" i="16"/>
  <c r="E26" i="16"/>
  <c r="E27" i="16"/>
  <c r="E28" i="16"/>
  <c r="I28" i="16" s="1"/>
  <c r="E29" i="16"/>
  <c r="E30" i="16"/>
  <c r="K398" i="45" l="1"/>
  <c r="H396" i="45"/>
  <c r="I21" i="16"/>
  <c r="K21" i="16" s="1"/>
  <c r="I20" i="16"/>
  <c r="K20" i="16" s="1"/>
  <c r="J42" i="14"/>
  <c r="K19" i="14"/>
  <c r="L19" i="14"/>
  <c r="O41" i="14"/>
  <c r="P41" i="14"/>
  <c r="P36" i="14"/>
  <c r="O36" i="14"/>
  <c r="P39" i="14"/>
  <c r="O39" i="14"/>
  <c r="P35" i="14"/>
  <c r="O35" i="14"/>
  <c r="O37" i="14"/>
  <c r="P37" i="14"/>
  <c r="P33" i="14"/>
  <c r="O33" i="14"/>
  <c r="P40" i="14"/>
  <c r="O40" i="14"/>
  <c r="O38" i="14"/>
  <c r="P38" i="14"/>
  <c r="O34" i="14"/>
  <c r="P34" i="14"/>
  <c r="G31" i="16"/>
  <c r="L23" i="14"/>
  <c r="L22" i="14"/>
  <c r="R39" i="14"/>
  <c r="R38" i="14"/>
  <c r="R34" i="14"/>
  <c r="R35" i="14"/>
  <c r="R40" i="14"/>
  <c r="R36" i="14"/>
  <c r="R41" i="14"/>
  <c r="R37" i="14"/>
  <c r="I30" i="16"/>
  <c r="K30" i="16" s="1"/>
  <c r="I27" i="16"/>
  <c r="K27" i="16" s="1"/>
  <c r="I26" i="16"/>
  <c r="K26" i="16" s="1"/>
  <c r="I23" i="16"/>
  <c r="J23" i="16" s="1"/>
  <c r="U34" i="14" s="1"/>
  <c r="I22" i="16"/>
  <c r="K22" i="16" s="1"/>
  <c r="K28" i="16"/>
  <c r="K24" i="16"/>
  <c r="I29" i="16"/>
  <c r="K29" i="16" s="1"/>
  <c r="J28" i="16"/>
  <c r="U39" i="14" s="1"/>
  <c r="I25" i="16"/>
  <c r="J25" i="16" s="1"/>
  <c r="U36" i="14" s="1"/>
  <c r="J24" i="16"/>
  <c r="U35" i="14" s="1"/>
  <c r="K23" i="16"/>
  <c r="K26" i="14"/>
  <c r="D398" i="45" l="1"/>
  <c r="C398" i="45" s="1"/>
  <c r="E398" i="45" s="1"/>
  <c r="G398" i="45"/>
  <c r="L399" i="45" s="1"/>
  <c r="F398" i="45"/>
  <c r="L42" i="14"/>
  <c r="J29" i="16"/>
  <c r="U40" i="14" s="1"/>
  <c r="J30" i="16"/>
  <c r="U41" i="14" s="1"/>
  <c r="J27" i="16"/>
  <c r="U38" i="14" s="1"/>
  <c r="J26" i="16"/>
  <c r="U37" i="14" s="1"/>
  <c r="K25" i="16"/>
  <c r="K38" i="14"/>
  <c r="K21" i="14"/>
  <c r="K25" i="14"/>
  <c r="K33" i="14"/>
  <c r="K41" i="14"/>
  <c r="K36" i="14"/>
  <c r="K27" i="14"/>
  <c r="K22" i="14"/>
  <c r="K20" i="14"/>
  <c r="K32" i="14"/>
  <c r="K39" i="14"/>
  <c r="K34" i="14"/>
  <c r="K23" i="14"/>
  <c r="K29" i="14"/>
  <c r="K37" i="14"/>
  <c r="K28" i="14"/>
  <c r="K40" i="14"/>
  <c r="K35" i="14"/>
  <c r="K30" i="14"/>
  <c r="K18" i="14"/>
  <c r="K24" i="14"/>
  <c r="K31" i="14"/>
  <c r="J22" i="16"/>
  <c r="U33" i="14" s="1"/>
  <c r="K399" i="45" l="1"/>
  <c r="H397" i="45"/>
  <c r="K42" i="14"/>
  <c r="F399" i="45" l="1"/>
  <c r="D399" i="45"/>
  <c r="C399" i="45" s="1"/>
  <c r="E399" i="45" s="1"/>
  <c r="G399" i="45"/>
  <c r="L400" i="45" s="1"/>
  <c r="L94" i="25"/>
  <c r="L96" i="25"/>
  <c r="L84" i="25"/>
  <c r="M84" i="25" s="1"/>
  <c r="W16" i="39"/>
  <c r="X16" i="39"/>
  <c r="V17" i="39"/>
  <c r="V18" i="39" s="1"/>
  <c r="V19" i="39" s="1"/>
  <c r="V20" i="39" s="1"/>
  <c r="V21" i="39" s="1"/>
  <c r="V22" i="39" s="1"/>
  <c r="V23" i="39" s="1"/>
  <c r="V24" i="39" s="1"/>
  <c r="V25" i="39" s="1"/>
  <c r="V26" i="39" s="1"/>
  <c r="V27" i="39" s="1"/>
  <c r="V28" i="39" s="1"/>
  <c r="V29" i="39" s="1"/>
  <c r="V30" i="39" s="1"/>
  <c r="V31" i="39" s="1"/>
  <c r="V32" i="39" s="1"/>
  <c r="V33" i="39" s="1"/>
  <c r="V34" i="39" s="1"/>
  <c r="V35" i="39" s="1"/>
  <c r="V36" i="39" s="1"/>
  <c r="Q9" i="39"/>
  <c r="H8" i="39"/>
  <c r="H9" i="39"/>
  <c r="H7" i="39"/>
  <c r="H11" i="39"/>
  <c r="H10" i="39"/>
  <c r="T16" i="39" s="1"/>
  <c r="T17" i="39" s="1"/>
  <c r="T18" i="39" s="1"/>
  <c r="T19" i="39" s="1"/>
  <c r="T20" i="39" s="1"/>
  <c r="T21" i="39" s="1"/>
  <c r="T22" i="39" s="1"/>
  <c r="T23" i="39" s="1"/>
  <c r="T24" i="39" s="1"/>
  <c r="T25" i="39" s="1"/>
  <c r="T26" i="39" s="1"/>
  <c r="T27" i="39" s="1"/>
  <c r="T28" i="39" s="1"/>
  <c r="T29" i="39" s="1"/>
  <c r="T30" i="39" s="1"/>
  <c r="T31" i="39" s="1"/>
  <c r="T32" i="39" s="1"/>
  <c r="T33" i="39" s="1"/>
  <c r="T34" i="39" s="1"/>
  <c r="T35" i="39" s="1"/>
  <c r="T36" i="39" s="1"/>
  <c r="T37" i="39" s="1"/>
  <c r="T38" i="39" s="1"/>
  <c r="T39" i="39" s="1"/>
  <c r="T40" i="39" s="1"/>
  <c r="T41" i="39" s="1"/>
  <c r="T42" i="39" s="1"/>
  <c r="T43" i="39" s="1"/>
  <c r="T44" i="39" s="1"/>
  <c r="T45" i="39" s="1"/>
  <c r="H5" i="39"/>
  <c r="H6" i="39" s="1"/>
  <c r="G480" i="39"/>
  <c r="G481" i="39" s="1"/>
  <c r="G482" i="39" s="1"/>
  <c r="G483" i="39" s="1"/>
  <c r="G484" i="39" s="1"/>
  <c r="G485" i="39" s="1"/>
  <c r="G486" i="39" s="1"/>
  <c r="G487" i="39" s="1"/>
  <c r="G488" i="39" s="1"/>
  <c r="G489" i="39" s="1"/>
  <c r="G490" i="39" s="1"/>
  <c r="G491" i="39" s="1"/>
  <c r="G492" i="39" s="1"/>
  <c r="G493" i="39" s="1"/>
  <c r="G494" i="39" s="1"/>
  <c r="G495" i="39" s="1"/>
  <c r="G496" i="39" s="1"/>
  <c r="G497" i="39" s="1"/>
  <c r="G498" i="39" s="1"/>
  <c r="G499" i="39" s="1"/>
  <c r="G500" i="39" s="1"/>
  <c r="G501" i="39" s="1"/>
  <c r="G502" i="39" s="1"/>
  <c r="G503" i="39" s="1"/>
  <c r="G504" i="39" s="1"/>
  <c r="G505" i="39" s="1"/>
  <c r="G506" i="39" s="1"/>
  <c r="G507" i="39" s="1"/>
  <c r="G508" i="39" s="1"/>
  <c r="G509" i="39" s="1"/>
  <c r="G510" i="39" s="1"/>
  <c r="G511" i="39" s="1"/>
  <c r="G512" i="39" s="1"/>
  <c r="G513" i="39" s="1"/>
  <c r="G514" i="39" s="1"/>
  <c r="G515" i="39" s="1"/>
  <c r="G516" i="39" s="1"/>
  <c r="G517" i="39" s="1"/>
  <c r="G518" i="39" s="1"/>
  <c r="G519" i="39" s="1"/>
  <c r="G520" i="39" s="1"/>
  <c r="G521" i="39" s="1"/>
  <c r="G522" i="39" s="1"/>
  <c r="G523" i="39" s="1"/>
  <c r="G524" i="39" s="1"/>
  <c r="G525" i="39" s="1"/>
  <c r="G526" i="39" s="1"/>
  <c r="G527" i="39" s="1"/>
  <c r="G528" i="39" s="1"/>
  <c r="G529" i="39" s="1"/>
  <c r="K400" i="45" l="1"/>
  <c r="H398" i="45"/>
  <c r="Q10" i="39"/>
  <c r="G7" i="39"/>
  <c r="G8" i="39"/>
  <c r="I50" i="39" s="1"/>
  <c r="G9" i="39"/>
  <c r="L6" i="39"/>
  <c r="V37" i="39"/>
  <c r="V38" i="39" s="1"/>
  <c r="V39" i="39" s="1"/>
  <c r="V40" i="39" s="1"/>
  <c r="V41" i="39" s="1"/>
  <c r="V42" i="39" s="1"/>
  <c r="V43" i="39" s="1"/>
  <c r="V44" i="39" s="1"/>
  <c r="V45" i="39" s="1"/>
  <c r="W17" i="39"/>
  <c r="X17" i="39" s="1"/>
  <c r="W18" i="39" s="1"/>
  <c r="AI438" i="39"/>
  <c r="AI440" i="39" s="1"/>
  <c r="AI439" i="39"/>
  <c r="D50" i="39"/>
  <c r="AG422" i="39"/>
  <c r="D62" i="39" s="1"/>
  <c r="F400" i="45" l="1"/>
  <c r="G400" i="45"/>
  <c r="L401" i="45" s="1"/>
  <c r="D400" i="45"/>
  <c r="I52" i="39"/>
  <c r="I51" i="39"/>
  <c r="I292" i="39"/>
  <c r="I294" i="39"/>
  <c r="I296" i="39"/>
  <c r="I298" i="39"/>
  <c r="I300" i="39"/>
  <c r="I302" i="39"/>
  <c r="I304" i="39"/>
  <c r="I306" i="39"/>
  <c r="I308" i="39"/>
  <c r="I310" i="39"/>
  <c r="I312" i="39"/>
  <c r="I314" i="39"/>
  <c r="I316" i="39"/>
  <c r="I318" i="39"/>
  <c r="I320" i="39"/>
  <c r="I322" i="39"/>
  <c r="I324" i="39"/>
  <c r="I326" i="39"/>
  <c r="I328" i="39"/>
  <c r="I330" i="39"/>
  <c r="I332" i="39"/>
  <c r="I334" i="39"/>
  <c r="I336" i="39"/>
  <c r="I338" i="39"/>
  <c r="I340" i="39"/>
  <c r="I342" i="39"/>
  <c r="I344" i="39"/>
  <c r="I346" i="39"/>
  <c r="I348" i="39"/>
  <c r="I350" i="39"/>
  <c r="I352" i="39"/>
  <c r="I354" i="39"/>
  <c r="I356" i="39"/>
  <c r="I358" i="39"/>
  <c r="I360" i="39"/>
  <c r="I362" i="39"/>
  <c r="I364" i="39"/>
  <c r="I366" i="39"/>
  <c r="I368" i="39"/>
  <c r="I370" i="39"/>
  <c r="I372" i="39"/>
  <c r="I374" i="39"/>
  <c r="I376" i="39"/>
  <c r="I378" i="39"/>
  <c r="I380" i="39"/>
  <c r="I382" i="39"/>
  <c r="I384" i="39"/>
  <c r="I386" i="39"/>
  <c r="I388" i="39"/>
  <c r="I390" i="39"/>
  <c r="I392" i="39"/>
  <c r="I394" i="39"/>
  <c r="I396" i="39"/>
  <c r="I398" i="39"/>
  <c r="I400" i="39"/>
  <c r="I402" i="39"/>
  <c r="I404" i="39"/>
  <c r="I406" i="39"/>
  <c r="I408" i="39"/>
  <c r="I410" i="39"/>
  <c r="H294" i="39"/>
  <c r="H300" i="39"/>
  <c r="H308" i="39"/>
  <c r="H312" i="39"/>
  <c r="H316" i="39"/>
  <c r="H324" i="39"/>
  <c r="H330" i="39"/>
  <c r="H336" i="39"/>
  <c r="H342" i="39"/>
  <c r="H348" i="39"/>
  <c r="H354" i="39"/>
  <c r="H360" i="39"/>
  <c r="H368" i="39"/>
  <c r="H376" i="39"/>
  <c r="H382" i="39"/>
  <c r="H390" i="39"/>
  <c r="H396" i="39"/>
  <c r="H402" i="39"/>
  <c r="H410" i="39"/>
  <c r="H291" i="39"/>
  <c r="H293" i="39"/>
  <c r="H295" i="39"/>
  <c r="H297" i="39"/>
  <c r="H299" i="39"/>
  <c r="H301" i="39"/>
  <c r="H303" i="39"/>
  <c r="H305" i="39"/>
  <c r="H307" i="39"/>
  <c r="H309" i="39"/>
  <c r="H311" i="39"/>
  <c r="H313" i="39"/>
  <c r="H315" i="39"/>
  <c r="H317" i="39"/>
  <c r="H319" i="39"/>
  <c r="H321" i="39"/>
  <c r="H323" i="39"/>
  <c r="H325" i="39"/>
  <c r="H327" i="39"/>
  <c r="H329" i="39"/>
  <c r="H331" i="39"/>
  <c r="H333" i="39"/>
  <c r="H335" i="39"/>
  <c r="H337" i="39"/>
  <c r="H339" i="39"/>
  <c r="H341" i="39"/>
  <c r="H343" i="39"/>
  <c r="H345" i="39"/>
  <c r="H347" i="39"/>
  <c r="H349" i="39"/>
  <c r="H351" i="39"/>
  <c r="H353" i="39"/>
  <c r="H355" i="39"/>
  <c r="H357" i="39"/>
  <c r="H359" i="39"/>
  <c r="H361" i="39"/>
  <c r="H363" i="39"/>
  <c r="H365" i="39"/>
  <c r="H367" i="39"/>
  <c r="H369" i="39"/>
  <c r="H371" i="39"/>
  <c r="H373" i="39"/>
  <c r="H375" i="39"/>
  <c r="H377" i="39"/>
  <c r="H379" i="39"/>
  <c r="H381" i="39"/>
  <c r="H383" i="39"/>
  <c r="H385" i="39"/>
  <c r="H387" i="39"/>
  <c r="H389" i="39"/>
  <c r="H391" i="39"/>
  <c r="H393" i="39"/>
  <c r="H395" i="39"/>
  <c r="H397" i="39"/>
  <c r="H399" i="39"/>
  <c r="H401" i="39"/>
  <c r="H403" i="39"/>
  <c r="H405" i="39"/>
  <c r="H407" i="39"/>
  <c r="H409" i="39"/>
  <c r="H292" i="39"/>
  <c r="H296" i="39"/>
  <c r="H298" i="39"/>
  <c r="H302" i="39"/>
  <c r="H306" i="39"/>
  <c r="H310" i="39"/>
  <c r="H314" i="39"/>
  <c r="H318" i="39"/>
  <c r="H322" i="39"/>
  <c r="H328" i="39"/>
  <c r="H332" i="39"/>
  <c r="H340" i="39"/>
  <c r="H344" i="39"/>
  <c r="H350" i="39"/>
  <c r="H356" i="39"/>
  <c r="H362" i="39"/>
  <c r="H366" i="39"/>
  <c r="H372" i="39"/>
  <c r="H378" i="39"/>
  <c r="H384" i="39"/>
  <c r="H388" i="39"/>
  <c r="H394" i="39"/>
  <c r="H398" i="39"/>
  <c r="H404" i="39"/>
  <c r="H408" i="39"/>
  <c r="I291" i="39"/>
  <c r="I293" i="39"/>
  <c r="I295" i="39"/>
  <c r="I297" i="39"/>
  <c r="I299" i="39"/>
  <c r="I301" i="39"/>
  <c r="I303" i="39"/>
  <c r="I305" i="39"/>
  <c r="I307" i="39"/>
  <c r="I309" i="39"/>
  <c r="I311" i="39"/>
  <c r="I313" i="39"/>
  <c r="I315" i="39"/>
  <c r="I317" i="39"/>
  <c r="I319" i="39"/>
  <c r="I321" i="39"/>
  <c r="I323" i="39"/>
  <c r="I325" i="39"/>
  <c r="I327" i="39"/>
  <c r="I329" i="39"/>
  <c r="I331" i="39"/>
  <c r="I333" i="39"/>
  <c r="I335" i="39"/>
  <c r="I337" i="39"/>
  <c r="I339" i="39"/>
  <c r="I341" i="39"/>
  <c r="I343" i="39"/>
  <c r="I345" i="39"/>
  <c r="I347" i="39"/>
  <c r="I349" i="39"/>
  <c r="I351" i="39"/>
  <c r="I353" i="39"/>
  <c r="I355" i="39"/>
  <c r="I357" i="39"/>
  <c r="I359" i="39"/>
  <c r="I361" i="39"/>
  <c r="I363" i="39"/>
  <c r="I365" i="39"/>
  <c r="I367" i="39"/>
  <c r="I369" i="39"/>
  <c r="I371" i="39"/>
  <c r="I373" i="39"/>
  <c r="I375" i="39"/>
  <c r="I377" i="39"/>
  <c r="I379" i="39"/>
  <c r="I381" i="39"/>
  <c r="I383" i="39"/>
  <c r="I385" i="39"/>
  <c r="I387" i="39"/>
  <c r="I389" i="39"/>
  <c r="I391" i="39"/>
  <c r="I393" i="39"/>
  <c r="I395" i="39"/>
  <c r="I397" i="39"/>
  <c r="I399" i="39"/>
  <c r="I401" i="39"/>
  <c r="I403" i="39"/>
  <c r="I405" i="39"/>
  <c r="I407" i="39"/>
  <c r="I409" i="39"/>
  <c r="H304" i="39"/>
  <c r="H320" i="39"/>
  <c r="H326" i="39"/>
  <c r="H334" i="39"/>
  <c r="H338" i="39"/>
  <c r="H346" i="39"/>
  <c r="H352" i="39"/>
  <c r="H358" i="39"/>
  <c r="H364" i="39"/>
  <c r="H370" i="39"/>
  <c r="H374" i="39"/>
  <c r="H380" i="39"/>
  <c r="H386" i="39"/>
  <c r="H392" i="39"/>
  <c r="H400" i="39"/>
  <c r="H406" i="39"/>
  <c r="I411" i="39"/>
  <c r="H411" i="39"/>
  <c r="H52" i="39"/>
  <c r="H51" i="39"/>
  <c r="H53" i="39"/>
  <c r="I53" i="39"/>
  <c r="X18" i="39"/>
  <c r="D230" i="39"/>
  <c r="D290" i="39"/>
  <c r="D362" i="39"/>
  <c r="D266" i="39"/>
  <c r="D350" i="39"/>
  <c r="D182" i="39"/>
  <c r="D314" i="39"/>
  <c r="D170" i="39"/>
  <c r="D398" i="39"/>
  <c r="D242" i="39"/>
  <c r="D302" i="39"/>
  <c r="D326" i="39"/>
  <c r="D386" i="39"/>
  <c r="D86" i="39"/>
  <c r="D194" i="39"/>
  <c r="D158" i="39"/>
  <c r="D278" i="39"/>
  <c r="D338" i="39"/>
  <c r="D374" i="39"/>
  <c r="D74" i="39"/>
  <c r="AG423" i="39"/>
  <c r="F410" i="39"/>
  <c r="F398" i="39"/>
  <c r="F386" i="39"/>
  <c r="F374" i="39"/>
  <c r="F362" i="39"/>
  <c r="F350" i="39"/>
  <c r="F338" i="39"/>
  <c r="F326" i="39"/>
  <c r="F314" i="39"/>
  <c r="F302" i="39"/>
  <c r="F290" i="39"/>
  <c r="F278" i="39"/>
  <c r="F254" i="39"/>
  <c r="F242" i="39"/>
  <c r="F230" i="39"/>
  <c r="F218" i="39"/>
  <c r="F206" i="39"/>
  <c r="F194" i="39"/>
  <c r="F182" i="39"/>
  <c r="F266" i="39"/>
  <c r="F170" i="39"/>
  <c r="F158" i="39"/>
  <c r="F146" i="39"/>
  <c r="F134" i="39"/>
  <c r="F122" i="39"/>
  <c r="F110" i="39"/>
  <c r="F98" i="39"/>
  <c r="F86" i="39"/>
  <c r="F74" i="39"/>
  <c r="F62" i="39"/>
  <c r="F50" i="39"/>
  <c r="D206" i="39"/>
  <c r="D146" i="39"/>
  <c r="D134" i="39"/>
  <c r="D122" i="39"/>
  <c r="D98" i="39"/>
  <c r="D254" i="39"/>
  <c r="D110" i="39"/>
  <c r="D218" i="39"/>
  <c r="C400" i="45" l="1"/>
  <c r="E400" i="45" s="1"/>
  <c r="K401" i="45"/>
  <c r="H399" i="45"/>
  <c r="W19" i="39"/>
  <c r="X19" i="39" s="1"/>
  <c r="AG424" i="39"/>
  <c r="F399" i="39"/>
  <c r="F387" i="39"/>
  <c r="D399" i="39"/>
  <c r="D387" i="39"/>
  <c r="F375" i="39"/>
  <c r="F363" i="39"/>
  <c r="F351" i="39"/>
  <c r="F339" i="39"/>
  <c r="D375" i="39"/>
  <c r="D363" i="39"/>
  <c r="D351" i="39"/>
  <c r="D339" i="39"/>
  <c r="F327" i="39"/>
  <c r="F315" i="39"/>
  <c r="F303" i="39"/>
  <c r="D327" i="39"/>
  <c r="D315" i="39"/>
  <c r="D303" i="39"/>
  <c r="D291" i="39"/>
  <c r="D279" i="39"/>
  <c r="D267" i="39"/>
  <c r="F291" i="39"/>
  <c r="F279" i="39"/>
  <c r="F267" i="39"/>
  <c r="F255" i="39"/>
  <c r="F243" i="39"/>
  <c r="F231" i="39"/>
  <c r="F219" i="39"/>
  <c r="F207" i="39"/>
  <c r="F195" i="39"/>
  <c r="F183" i="39"/>
  <c r="D255" i="39"/>
  <c r="D243" i="39"/>
  <c r="D231" i="39"/>
  <c r="D219" i="39"/>
  <c r="D207" i="39"/>
  <c r="D195" i="39"/>
  <c r="D183" i="39"/>
  <c r="F171" i="39"/>
  <c r="F159" i="39"/>
  <c r="F147" i="39"/>
  <c r="F135" i="39"/>
  <c r="F123" i="39"/>
  <c r="F111" i="39"/>
  <c r="F99" i="39"/>
  <c r="D171" i="39"/>
  <c r="D159" i="39"/>
  <c r="F51" i="39"/>
  <c r="D147" i="39"/>
  <c r="D135" i="39"/>
  <c r="D123" i="39"/>
  <c r="D111" i="39"/>
  <c r="D99" i="39"/>
  <c r="F87" i="39"/>
  <c r="F75" i="39"/>
  <c r="F63" i="39"/>
  <c r="D51" i="39"/>
  <c r="D87" i="39"/>
  <c r="D75" i="39"/>
  <c r="D63" i="39"/>
  <c r="AI441" i="39"/>
  <c r="G401" i="45" l="1"/>
  <c r="L402" i="45" s="1"/>
  <c r="D401" i="45"/>
  <c r="F401" i="45"/>
  <c r="W20" i="39"/>
  <c r="X20" i="39" s="1"/>
  <c r="AG425" i="39"/>
  <c r="F400" i="39"/>
  <c r="F388" i="39"/>
  <c r="F376" i="39"/>
  <c r="D400" i="39"/>
  <c r="F364" i="39"/>
  <c r="F352" i="39"/>
  <c r="F340" i="39"/>
  <c r="D388" i="39"/>
  <c r="D376" i="39"/>
  <c r="D364" i="39"/>
  <c r="D352" i="39"/>
  <c r="F328" i="39"/>
  <c r="F316" i="39"/>
  <c r="F304" i="39"/>
  <c r="D328" i="39"/>
  <c r="D340" i="39"/>
  <c r="D316" i="39"/>
  <c r="D292" i="39"/>
  <c r="D280" i="39"/>
  <c r="D268" i="39"/>
  <c r="F292" i="39"/>
  <c r="F280" i="39"/>
  <c r="F268" i="39"/>
  <c r="F256" i="39"/>
  <c r="F244" i="39"/>
  <c r="F232" i="39"/>
  <c r="F220" i="39"/>
  <c r="F208" i="39"/>
  <c r="F196" i="39"/>
  <c r="F184" i="39"/>
  <c r="D256" i="39"/>
  <c r="D244" i="39"/>
  <c r="D232" i="39"/>
  <c r="D220" i="39"/>
  <c r="D208" i="39"/>
  <c r="D196" i="39"/>
  <c r="D184" i="39"/>
  <c r="F172" i="39"/>
  <c r="F160" i="39"/>
  <c r="F148" i="39"/>
  <c r="F136" i="39"/>
  <c r="F124" i="39"/>
  <c r="F112" i="39"/>
  <c r="F100" i="39"/>
  <c r="D304" i="39"/>
  <c r="D172" i="39"/>
  <c r="D160" i="39"/>
  <c r="D148" i="39"/>
  <c r="F88" i="39"/>
  <c r="F76" i="39"/>
  <c r="F64" i="39"/>
  <c r="F52" i="39"/>
  <c r="D112" i="39"/>
  <c r="D88" i="39"/>
  <c r="D76" i="39"/>
  <c r="D64" i="39"/>
  <c r="D52" i="39"/>
  <c r="D136" i="39"/>
  <c r="D124" i="39"/>
  <c r="D100" i="39"/>
  <c r="W21" i="26"/>
  <c r="K402" i="45" l="1"/>
  <c r="H400" i="45"/>
  <c r="C401" i="45"/>
  <c r="E401" i="45" s="1"/>
  <c r="W21" i="39"/>
  <c r="X21" i="39" s="1"/>
  <c r="F401" i="39"/>
  <c r="F389" i="39"/>
  <c r="F377" i="39"/>
  <c r="D377" i="39"/>
  <c r="AG426" i="39"/>
  <c r="F365" i="39"/>
  <c r="F353" i="39"/>
  <c r="F341" i="39"/>
  <c r="D401" i="39"/>
  <c r="D389" i="39"/>
  <c r="D365" i="39"/>
  <c r="D353" i="39"/>
  <c r="F329" i="39"/>
  <c r="F317" i="39"/>
  <c r="F305" i="39"/>
  <c r="D329" i="39"/>
  <c r="D341" i="39"/>
  <c r="D317" i="39"/>
  <c r="D305" i="39"/>
  <c r="D293" i="39"/>
  <c r="D281" i="39"/>
  <c r="D269" i="39"/>
  <c r="F293" i="39"/>
  <c r="F281" i="39"/>
  <c r="F269" i="39"/>
  <c r="F257" i="39"/>
  <c r="F245" i="39"/>
  <c r="F233" i="39"/>
  <c r="F221" i="39"/>
  <c r="F209" i="39"/>
  <c r="F197" i="39"/>
  <c r="F185" i="39"/>
  <c r="F173" i="39"/>
  <c r="F161" i="39"/>
  <c r="F149" i="39"/>
  <c r="F137" i="39"/>
  <c r="F125" i="39"/>
  <c r="F113" i="39"/>
  <c r="F101" i="39"/>
  <c r="D257" i="39"/>
  <c r="D245" i="39"/>
  <c r="D233" i="39"/>
  <c r="D221" i="39"/>
  <c r="D209" i="39"/>
  <c r="D197" i="39"/>
  <c r="D185" i="39"/>
  <c r="D173" i="39"/>
  <c r="D161" i="39"/>
  <c r="D149" i="39"/>
  <c r="D137" i="39"/>
  <c r="D125" i="39"/>
  <c r="D113" i="39"/>
  <c r="D101" i="39"/>
  <c r="F89" i="39"/>
  <c r="F77" i="39"/>
  <c r="F65" i="39"/>
  <c r="F53" i="39"/>
  <c r="D89" i="39"/>
  <c r="D77" i="39"/>
  <c r="D65" i="39"/>
  <c r="D53" i="39"/>
  <c r="D402" i="45" l="1"/>
  <c r="G402" i="45"/>
  <c r="L403" i="45" s="1"/>
  <c r="F402" i="45"/>
  <c r="W22" i="39"/>
  <c r="X22" i="39" s="1"/>
  <c r="D402" i="39"/>
  <c r="AG427" i="39"/>
  <c r="F390" i="39"/>
  <c r="F378" i="39"/>
  <c r="F366" i="39"/>
  <c r="F354" i="39"/>
  <c r="F342" i="39"/>
  <c r="D378" i="39"/>
  <c r="D366" i="39"/>
  <c r="D354" i="39"/>
  <c r="F330" i="39"/>
  <c r="F318" i="39"/>
  <c r="F306" i="39"/>
  <c r="D342" i="39"/>
  <c r="D330" i="39"/>
  <c r="F402" i="39"/>
  <c r="D390" i="39"/>
  <c r="D318" i="39"/>
  <c r="D294" i="39"/>
  <c r="D282" i="39"/>
  <c r="D270" i="39"/>
  <c r="D306" i="39"/>
  <c r="F294" i="39"/>
  <c r="F282" i="39"/>
  <c r="F270" i="39"/>
  <c r="F258" i="39"/>
  <c r="F246" i="39"/>
  <c r="F234" i="39"/>
  <c r="F222" i="39"/>
  <c r="F210" i="39"/>
  <c r="F198" i="39"/>
  <c r="F186" i="39"/>
  <c r="F174" i="39"/>
  <c r="F162" i="39"/>
  <c r="F150" i="39"/>
  <c r="F138" i="39"/>
  <c r="F126" i="39"/>
  <c r="F114" i="39"/>
  <c r="F102" i="39"/>
  <c r="D174" i="39"/>
  <c r="D162" i="39"/>
  <c r="D258" i="39"/>
  <c r="D210" i="39"/>
  <c r="D246" i="39"/>
  <c r="D198" i="39"/>
  <c r="F90" i="39"/>
  <c r="F78" i="39"/>
  <c r="F66" i="39"/>
  <c r="F54" i="39"/>
  <c r="D150" i="39"/>
  <c r="D126" i="39"/>
  <c r="D234" i="39"/>
  <c r="D186" i="39"/>
  <c r="D90" i="39"/>
  <c r="D78" i="39"/>
  <c r="D66" i="39"/>
  <c r="D54" i="39"/>
  <c r="D222" i="39"/>
  <c r="D138" i="39"/>
  <c r="D114" i="39"/>
  <c r="D102" i="39"/>
  <c r="K403" i="45" l="1"/>
  <c r="H401" i="45"/>
  <c r="C402" i="45"/>
  <c r="E402" i="45" s="1"/>
  <c r="W23" i="39"/>
  <c r="X23" i="39" s="1"/>
  <c r="AG428" i="39"/>
  <c r="F403" i="39"/>
  <c r="F391" i="39"/>
  <c r="F379" i="39"/>
  <c r="D391" i="39"/>
  <c r="D379" i="39"/>
  <c r="D403" i="39"/>
  <c r="F367" i="39"/>
  <c r="F355" i="39"/>
  <c r="F343" i="39"/>
  <c r="D367" i="39"/>
  <c r="D355" i="39"/>
  <c r="D343" i="39"/>
  <c r="F331" i="39"/>
  <c r="F319" i="39"/>
  <c r="F307" i="39"/>
  <c r="D331" i="39"/>
  <c r="D319" i="39"/>
  <c r="D307" i="39"/>
  <c r="D295" i="39"/>
  <c r="D283" i="39"/>
  <c r="D271" i="39"/>
  <c r="F295" i="39"/>
  <c r="F283" i="39"/>
  <c r="F271" i="39"/>
  <c r="F259" i="39"/>
  <c r="F247" i="39"/>
  <c r="F235" i="39"/>
  <c r="F223" i="39"/>
  <c r="F211" i="39"/>
  <c r="F199" i="39"/>
  <c r="F187" i="39"/>
  <c r="D259" i="39"/>
  <c r="D247" i="39"/>
  <c r="D235" i="39"/>
  <c r="D223" i="39"/>
  <c r="D211" i="39"/>
  <c r="D199" i="39"/>
  <c r="D187" i="39"/>
  <c r="F175" i="39"/>
  <c r="F163" i="39"/>
  <c r="F151" i="39"/>
  <c r="F139" i="39"/>
  <c r="F127" i="39"/>
  <c r="F115" i="39"/>
  <c r="F103" i="39"/>
  <c r="D175" i="39"/>
  <c r="D163" i="39"/>
  <c r="D151" i="39"/>
  <c r="D139" i="39"/>
  <c r="D127" i="39"/>
  <c r="D115" i="39"/>
  <c r="D103" i="39"/>
  <c r="F91" i="39"/>
  <c r="F79" i="39"/>
  <c r="F67" i="39"/>
  <c r="F55" i="39"/>
  <c r="D91" i="39"/>
  <c r="D79" i="39"/>
  <c r="D67" i="39"/>
  <c r="D55" i="39"/>
  <c r="C15" i="15"/>
  <c r="B3" i="16"/>
  <c r="B3" i="25"/>
  <c r="B2" i="25"/>
  <c r="B6" i="24"/>
  <c r="B5" i="24"/>
  <c r="F403" i="45" l="1"/>
  <c r="G403" i="45"/>
  <c r="L404" i="45" s="1"/>
  <c r="D403" i="45"/>
  <c r="C403" i="45" s="1"/>
  <c r="E403" i="45" s="1"/>
  <c r="W24" i="39"/>
  <c r="X24" i="39" s="1"/>
  <c r="AG429" i="39"/>
  <c r="F404" i="39"/>
  <c r="D404" i="39"/>
  <c r="F392" i="39"/>
  <c r="F380" i="39"/>
  <c r="D392" i="39"/>
  <c r="F368" i="39"/>
  <c r="F356" i="39"/>
  <c r="F344" i="39"/>
  <c r="D380" i="39"/>
  <c r="D368" i="39"/>
  <c r="D356" i="39"/>
  <c r="D344" i="39"/>
  <c r="F332" i="39"/>
  <c r="F320" i="39"/>
  <c r="F308" i="39"/>
  <c r="F296" i="39"/>
  <c r="D332" i="39"/>
  <c r="D320" i="39"/>
  <c r="D284" i="39"/>
  <c r="D272" i="39"/>
  <c r="D308" i="39"/>
  <c r="F284" i="39"/>
  <c r="F272" i="39"/>
  <c r="F260" i="39"/>
  <c r="F248" i="39"/>
  <c r="F236" i="39"/>
  <c r="F224" i="39"/>
  <c r="F212" i="39"/>
  <c r="F200" i="39"/>
  <c r="F188" i="39"/>
  <c r="F176" i="39"/>
  <c r="D260" i="39"/>
  <c r="D248" i="39"/>
  <c r="D236" i="39"/>
  <c r="D224" i="39"/>
  <c r="D212" i="39"/>
  <c r="D200" i="39"/>
  <c r="D188" i="39"/>
  <c r="F164" i="39"/>
  <c r="F152" i="39"/>
  <c r="F140" i="39"/>
  <c r="F128" i="39"/>
  <c r="F116" i="39"/>
  <c r="F104" i="39"/>
  <c r="F92" i="39"/>
  <c r="D164" i="39"/>
  <c r="D176" i="39"/>
  <c r="F80" i="39"/>
  <c r="F68" i="39"/>
  <c r="F56" i="39"/>
  <c r="D140" i="39"/>
  <c r="D116" i="39"/>
  <c r="D92" i="39"/>
  <c r="D80" i="39"/>
  <c r="D68" i="39"/>
  <c r="D56" i="39"/>
  <c r="D296" i="39"/>
  <c r="D152" i="39"/>
  <c r="D128" i="39"/>
  <c r="D104" i="39"/>
  <c r="B48" i="24"/>
  <c r="E22" i="22" s="1"/>
  <c r="D5" i="22"/>
  <c r="D4" i="22"/>
  <c r="B3" i="26"/>
  <c r="B2" i="26"/>
  <c r="K404" i="45" l="1"/>
  <c r="H402" i="45"/>
  <c r="W25" i="39"/>
  <c r="X25" i="39" s="1"/>
  <c r="AG430" i="39"/>
  <c r="F405" i="39"/>
  <c r="D405" i="39"/>
  <c r="F393" i="39"/>
  <c r="F381" i="39"/>
  <c r="D381" i="39"/>
  <c r="F369" i="39"/>
  <c r="F357" i="39"/>
  <c r="F345" i="39"/>
  <c r="F333" i="39"/>
  <c r="D393" i="39"/>
  <c r="D369" i="39"/>
  <c r="D357" i="39"/>
  <c r="D345" i="39"/>
  <c r="F321" i="39"/>
  <c r="F309" i="39"/>
  <c r="F297" i="39"/>
  <c r="D333" i="39"/>
  <c r="D321" i="39"/>
  <c r="D309" i="39"/>
  <c r="D297" i="39"/>
  <c r="D285" i="39"/>
  <c r="D273" i="39"/>
  <c r="F285" i="39"/>
  <c r="F273" i="39"/>
  <c r="F261" i="39"/>
  <c r="F249" i="39"/>
  <c r="F237" i="39"/>
  <c r="F225" i="39"/>
  <c r="F213" i="39"/>
  <c r="F201" i="39"/>
  <c r="F189" i="39"/>
  <c r="F177" i="39"/>
  <c r="D177" i="39"/>
  <c r="F165" i="39"/>
  <c r="F153" i="39"/>
  <c r="F141" i="39"/>
  <c r="F129" i="39"/>
  <c r="F117" i="39"/>
  <c r="F105" i="39"/>
  <c r="F93" i="39"/>
  <c r="D261" i="39"/>
  <c r="D249" i="39"/>
  <c r="D237" i="39"/>
  <c r="D225" i="39"/>
  <c r="D213" i="39"/>
  <c r="D201" i="39"/>
  <c r="D189" i="39"/>
  <c r="D165" i="39"/>
  <c r="D153" i="39"/>
  <c r="D141" i="39"/>
  <c r="D129" i="39"/>
  <c r="D117" i="39"/>
  <c r="D105" i="39"/>
  <c r="D93" i="39"/>
  <c r="F81" i="39"/>
  <c r="F69" i="39"/>
  <c r="F57" i="39"/>
  <c r="D81" i="39"/>
  <c r="D69" i="39"/>
  <c r="D57" i="39"/>
  <c r="E8" i="32"/>
  <c r="B213" i="24"/>
  <c r="B212" i="24"/>
  <c r="B201" i="24"/>
  <c r="B202" i="24"/>
  <c r="B203" i="24"/>
  <c r="B204" i="24"/>
  <c r="B205" i="24"/>
  <c r="B206" i="24"/>
  <c r="B207" i="24"/>
  <c r="B208" i="24"/>
  <c r="B209" i="24"/>
  <c r="B210" i="24"/>
  <c r="B211" i="24"/>
  <c r="B200" i="24"/>
  <c r="B218" i="24"/>
  <c r="B219" i="24"/>
  <c r="B220" i="24"/>
  <c r="B221" i="24"/>
  <c r="B222" i="24"/>
  <c r="B223" i="24"/>
  <c r="B224" i="24"/>
  <c r="B225" i="24"/>
  <c r="B226" i="24"/>
  <c r="B227" i="24"/>
  <c r="B217" i="24"/>
  <c r="B196" i="24"/>
  <c r="B176" i="24"/>
  <c r="B177" i="24"/>
  <c r="B178" i="24"/>
  <c r="B179" i="24"/>
  <c r="B180" i="24"/>
  <c r="B181" i="24"/>
  <c r="B182" i="24"/>
  <c r="B183" i="24"/>
  <c r="B184" i="24"/>
  <c r="B185" i="24"/>
  <c r="B186" i="24"/>
  <c r="B187" i="24"/>
  <c r="B188" i="24"/>
  <c r="B189" i="24"/>
  <c r="B190" i="24"/>
  <c r="B191" i="24"/>
  <c r="B192" i="24"/>
  <c r="B193" i="24"/>
  <c r="B194" i="24"/>
  <c r="B195" i="24"/>
  <c r="B175" i="24"/>
  <c r="B169" i="24"/>
  <c r="R13" i="15"/>
  <c r="S13" i="15"/>
  <c r="T13" i="15"/>
  <c r="U13" i="15"/>
  <c r="V13" i="15"/>
  <c r="W13" i="15"/>
  <c r="X13" i="15"/>
  <c r="Y13" i="15"/>
  <c r="Z13" i="15"/>
  <c r="AA13" i="15"/>
  <c r="Q13" i="15"/>
  <c r="B98" i="24"/>
  <c r="E64" i="22" s="1"/>
  <c r="B99" i="24"/>
  <c r="E65" i="22" s="1"/>
  <c r="B80" i="24"/>
  <c r="E46" i="22" s="1"/>
  <c r="B81" i="24"/>
  <c r="E47" i="22" s="1"/>
  <c r="B82" i="24"/>
  <c r="E48" i="22" s="1"/>
  <c r="B83" i="24"/>
  <c r="E49" i="22" s="1"/>
  <c r="B84" i="24"/>
  <c r="E50" i="22" s="1"/>
  <c r="B85" i="24"/>
  <c r="E51" i="22" s="1"/>
  <c r="B86" i="24"/>
  <c r="E52" i="22" s="1"/>
  <c r="B87" i="24"/>
  <c r="E53" i="22" s="1"/>
  <c r="B88" i="24"/>
  <c r="E54" i="22" s="1"/>
  <c r="B89" i="24"/>
  <c r="E55" i="22" s="1"/>
  <c r="B90" i="24"/>
  <c r="E56" i="22" s="1"/>
  <c r="B91" i="24"/>
  <c r="E57" i="22" s="1"/>
  <c r="B97" i="24"/>
  <c r="E63" i="22" s="1"/>
  <c r="B95" i="24"/>
  <c r="E61" i="22" s="1"/>
  <c r="B96" i="24"/>
  <c r="E62" i="22" s="1"/>
  <c r="B61" i="24"/>
  <c r="E31" i="22" s="1"/>
  <c r="B60" i="24"/>
  <c r="E30" i="22" s="1"/>
  <c r="B72" i="24"/>
  <c r="B69" i="24"/>
  <c r="B70" i="24"/>
  <c r="B71" i="24"/>
  <c r="B68" i="24"/>
  <c r="E35" i="22" s="1"/>
  <c r="B67" i="24"/>
  <c r="B44" i="24"/>
  <c r="E18" i="22" s="1"/>
  <c r="B45" i="24"/>
  <c r="E19" i="22" s="1"/>
  <c r="B46" i="24"/>
  <c r="E20" i="22" s="1"/>
  <c r="B47" i="24"/>
  <c r="E21" i="22" s="1"/>
  <c r="B49" i="24"/>
  <c r="E23" i="22" s="1"/>
  <c r="B53" i="24"/>
  <c r="E25" i="22" s="1"/>
  <c r="B54" i="24"/>
  <c r="E26" i="22" s="1"/>
  <c r="B55" i="24"/>
  <c r="E27" i="22" s="1"/>
  <c r="B56" i="24"/>
  <c r="E28" i="22" s="1"/>
  <c r="B41" i="24"/>
  <c r="E16" i="22" s="1"/>
  <c r="F404" i="45" l="1"/>
  <c r="D404" i="45"/>
  <c r="G404" i="45"/>
  <c r="L405" i="45" s="1"/>
  <c r="E40" i="22"/>
  <c r="E38" i="22"/>
  <c r="E39" i="22"/>
  <c r="E37" i="22"/>
  <c r="W26" i="39"/>
  <c r="X26" i="39" s="1"/>
  <c r="D406" i="39"/>
  <c r="F394" i="39"/>
  <c r="F382" i="39"/>
  <c r="AG431" i="39"/>
  <c r="F370" i="39"/>
  <c r="F358" i="39"/>
  <c r="F346" i="39"/>
  <c r="F334" i="39"/>
  <c r="F406" i="39"/>
  <c r="D382" i="39"/>
  <c r="D370" i="39"/>
  <c r="D358" i="39"/>
  <c r="D346" i="39"/>
  <c r="D394" i="39"/>
  <c r="F322" i="39"/>
  <c r="F310" i="39"/>
  <c r="F298" i="39"/>
  <c r="D334" i="39"/>
  <c r="D322" i="39"/>
  <c r="D310" i="39"/>
  <c r="D286" i="39"/>
  <c r="D274" i="39"/>
  <c r="D298" i="39"/>
  <c r="F286" i="39"/>
  <c r="F274" i="39"/>
  <c r="F262" i="39"/>
  <c r="F250" i="39"/>
  <c r="F238" i="39"/>
  <c r="F226" i="39"/>
  <c r="F214" i="39"/>
  <c r="F202" i="39"/>
  <c r="F190" i="39"/>
  <c r="F178" i="39"/>
  <c r="F166" i="39"/>
  <c r="F154" i="39"/>
  <c r="F142" i="39"/>
  <c r="F130" i="39"/>
  <c r="F118" i="39"/>
  <c r="F106" i="39"/>
  <c r="F94" i="39"/>
  <c r="D166" i="39"/>
  <c r="D154" i="39"/>
  <c r="D226" i="39"/>
  <c r="D94" i="39"/>
  <c r="D262" i="39"/>
  <c r="D214" i="39"/>
  <c r="F82" i="39"/>
  <c r="F70" i="39"/>
  <c r="F58" i="39"/>
  <c r="D238" i="39"/>
  <c r="D106" i="39"/>
  <c r="D250" i="39"/>
  <c r="D202" i="39"/>
  <c r="D178" i="39"/>
  <c r="D82" i="39"/>
  <c r="D70" i="39"/>
  <c r="D58" i="39"/>
  <c r="D190" i="39"/>
  <c r="D142" i="39"/>
  <c r="D130" i="39"/>
  <c r="D118" i="39"/>
  <c r="C404" i="45" l="1"/>
  <c r="E404" i="45" s="1"/>
  <c r="K405" i="45"/>
  <c r="H403" i="45"/>
  <c r="W27" i="39"/>
  <c r="X27" i="39" s="1"/>
  <c r="B412" i="39"/>
  <c r="AG432" i="39"/>
  <c r="F395" i="39"/>
  <c r="F383" i="39"/>
  <c r="F407" i="39"/>
  <c r="D395" i="39"/>
  <c r="D383" i="39"/>
  <c r="F371" i="39"/>
  <c r="F359" i="39"/>
  <c r="F347" i="39"/>
  <c r="F335" i="39"/>
  <c r="D371" i="39"/>
  <c r="D359" i="39"/>
  <c r="D347" i="39"/>
  <c r="D335" i="39"/>
  <c r="F323" i="39"/>
  <c r="F311" i="39"/>
  <c r="F299" i="39"/>
  <c r="D323" i="39"/>
  <c r="D311" i="39"/>
  <c r="D299" i="39"/>
  <c r="D287" i="39"/>
  <c r="D275" i="39"/>
  <c r="F287" i="39"/>
  <c r="F275" i="39"/>
  <c r="F263" i="39"/>
  <c r="F251" i="39"/>
  <c r="F239" i="39"/>
  <c r="F227" i="39"/>
  <c r="F215" i="39"/>
  <c r="F203" i="39"/>
  <c r="F191" i="39"/>
  <c r="F179" i="39"/>
  <c r="D263" i="39"/>
  <c r="D251" i="39"/>
  <c r="D239" i="39"/>
  <c r="D227" i="39"/>
  <c r="D215" i="39"/>
  <c r="D203" i="39"/>
  <c r="D191" i="39"/>
  <c r="D179" i="39"/>
  <c r="F167" i="39"/>
  <c r="F155" i="39"/>
  <c r="F143" i="39"/>
  <c r="F131" i="39"/>
  <c r="F119" i="39"/>
  <c r="F107" i="39"/>
  <c r="F95" i="39"/>
  <c r="D167" i="39"/>
  <c r="D155" i="39"/>
  <c r="D143" i="39"/>
  <c r="D131" i="39"/>
  <c r="D119" i="39"/>
  <c r="D107" i="39"/>
  <c r="D95" i="39"/>
  <c r="F83" i="39"/>
  <c r="F71" i="39"/>
  <c r="F59" i="39"/>
  <c r="D83" i="39"/>
  <c r="D71" i="39"/>
  <c r="D59" i="39"/>
  <c r="G405" i="45" l="1"/>
  <c r="L406" i="45" s="1"/>
  <c r="F405" i="45"/>
  <c r="D405" i="45"/>
  <c r="W28" i="39"/>
  <c r="X28" i="39" s="1"/>
  <c r="AG433" i="39"/>
  <c r="F396" i="39"/>
  <c r="F384" i="39"/>
  <c r="D396" i="39"/>
  <c r="F372" i="39"/>
  <c r="F360" i="39"/>
  <c r="F348" i="39"/>
  <c r="F336" i="39"/>
  <c r="B413" i="39"/>
  <c r="F408" i="39"/>
  <c r="D384" i="39"/>
  <c r="D372" i="39"/>
  <c r="D360" i="39"/>
  <c r="D348" i="39"/>
  <c r="F324" i="39"/>
  <c r="F312" i="39"/>
  <c r="F300" i="39"/>
  <c r="D324" i="39"/>
  <c r="D288" i="39"/>
  <c r="D276" i="39"/>
  <c r="D312" i="39"/>
  <c r="D336" i="39"/>
  <c r="D300" i="39"/>
  <c r="F288" i="39"/>
  <c r="F276" i="39"/>
  <c r="F264" i="39"/>
  <c r="F252" i="39"/>
  <c r="F240" i="39"/>
  <c r="F228" i="39"/>
  <c r="F216" i="39"/>
  <c r="F204" i="39"/>
  <c r="F192" i="39"/>
  <c r="F180" i="39"/>
  <c r="D264" i="39"/>
  <c r="D252" i="39"/>
  <c r="D240" i="39"/>
  <c r="D228" i="39"/>
  <c r="D216" i="39"/>
  <c r="D204" i="39"/>
  <c r="D192" i="39"/>
  <c r="F168" i="39"/>
  <c r="F156" i="39"/>
  <c r="F144" i="39"/>
  <c r="F132" i="39"/>
  <c r="F120" i="39"/>
  <c r="F108" i="39"/>
  <c r="F96" i="39"/>
  <c r="D168" i="39"/>
  <c r="D156" i="39"/>
  <c r="F84" i="39"/>
  <c r="F72" i="39"/>
  <c r="F60" i="39"/>
  <c r="D132" i="39"/>
  <c r="D120" i="39"/>
  <c r="D108" i="39"/>
  <c r="D84" i="39"/>
  <c r="D72" i="39"/>
  <c r="D60" i="39"/>
  <c r="D180" i="39"/>
  <c r="D144" i="39"/>
  <c r="D96" i="39"/>
  <c r="C405" i="45" l="1"/>
  <c r="E405" i="45" s="1"/>
  <c r="K406" i="45"/>
  <c r="H404" i="45"/>
  <c r="W29" i="39"/>
  <c r="X29" i="39" s="1"/>
  <c r="B414" i="39"/>
  <c r="F409" i="39"/>
  <c r="AI442" i="39"/>
  <c r="F397" i="39"/>
  <c r="F385" i="39"/>
  <c r="D385" i="39"/>
  <c r="F373" i="39"/>
  <c r="F361" i="39"/>
  <c r="F349" i="39"/>
  <c r="F337" i="39"/>
  <c r="D397" i="39"/>
  <c r="D373" i="39"/>
  <c r="D361" i="39"/>
  <c r="D349" i="39"/>
  <c r="F325" i="39"/>
  <c r="F313" i="39"/>
  <c r="F301" i="39"/>
  <c r="D325" i="39"/>
  <c r="D337" i="39"/>
  <c r="D313" i="39"/>
  <c r="D301" i="39"/>
  <c r="D289" i="39"/>
  <c r="D277" i="39"/>
  <c r="D265" i="39"/>
  <c r="F289" i="39"/>
  <c r="F277" i="39"/>
  <c r="F265" i="39"/>
  <c r="F253" i="39"/>
  <c r="F241" i="39"/>
  <c r="F229" i="39"/>
  <c r="F217" i="39"/>
  <c r="F205" i="39"/>
  <c r="F193" i="39"/>
  <c r="F181" i="39"/>
  <c r="F169" i="39"/>
  <c r="F157" i="39"/>
  <c r="F145" i="39"/>
  <c r="F133" i="39"/>
  <c r="F121" i="39"/>
  <c r="F109" i="39"/>
  <c r="F97" i="39"/>
  <c r="D253" i="39"/>
  <c r="D241" i="39"/>
  <c r="D229" i="39"/>
  <c r="D217" i="39"/>
  <c r="D205" i="39"/>
  <c r="D193" i="39"/>
  <c r="D181" i="39"/>
  <c r="D169" i="39"/>
  <c r="D157" i="39"/>
  <c r="D145" i="39"/>
  <c r="D133" i="39"/>
  <c r="D121" i="39"/>
  <c r="D109" i="39"/>
  <c r="D97" i="39"/>
  <c r="F85" i="39"/>
  <c r="F73" i="39"/>
  <c r="F61" i="39"/>
  <c r="AE435" i="39" s="1"/>
  <c r="D85" i="39"/>
  <c r="D73" i="39"/>
  <c r="D61" i="39"/>
  <c r="B27" i="26"/>
  <c r="B26" i="26"/>
  <c r="B23" i="26"/>
  <c r="B24" i="26"/>
  <c r="B21" i="26"/>
  <c r="B25" i="26"/>
  <c r="B22" i="26"/>
  <c r="D42" i="15"/>
  <c r="B3" i="15"/>
  <c r="B2" i="15"/>
  <c r="B151" i="15"/>
  <c r="B152" i="15" s="1"/>
  <c r="B153" i="15" s="1"/>
  <c r="C39" i="15"/>
  <c r="C37" i="15"/>
  <c r="E10" i="32"/>
  <c r="E11" i="32"/>
  <c r="E12" i="32"/>
  <c r="D12" i="28"/>
  <c r="D13" i="28"/>
  <c r="E13" i="28" s="1"/>
  <c r="H34" i="55" s="1"/>
  <c r="D14" i="28"/>
  <c r="B16" i="28"/>
  <c r="E21" i="28"/>
  <c r="E22" i="28"/>
  <c r="E23" i="28"/>
  <c r="E6" i="27"/>
  <c r="I21" i="27"/>
  <c r="D9" i="26"/>
  <c r="J9" i="26"/>
  <c r="D13" i="26"/>
  <c r="D14" i="26"/>
  <c r="D15" i="26"/>
  <c r="D16" i="26"/>
  <c r="P16" i="26"/>
  <c r="J19" i="26"/>
  <c r="G20" i="26"/>
  <c r="G96" i="25"/>
  <c r="G21" i="26"/>
  <c r="J21" i="26"/>
  <c r="K23" i="26"/>
  <c r="K24" i="26"/>
  <c r="O24" i="26"/>
  <c r="O25" i="26"/>
  <c r="G45" i="26"/>
  <c r="V9" i="26"/>
  <c r="G46" i="26"/>
  <c r="V10" i="26"/>
  <c r="W20" i="26"/>
  <c r="X22" i="26" s="1"/>
  <c r="M15" i="25"/>
  <c r="M16" i="25"/>
  <c r="M17" i="25"/>
  <c r="M18" i="25"/>
  <c r="M19" i="25"/>
  <c r="M20" i="25"/>
  <c r="M21" i="25"/>
  <c r="M22" i="25"/>
  <c r="M23" i="25"/>
  <c r="M24" i="25"/>
  <c r="D26" i="25"/>
  <c r="E26" i="25"/>
  <c r="E106" i="25" s="1"/>
  <c r="M29" i="25"/>
  <c r="M30" i="25"/>
  <c r="M31" i="25"/>
  <c r="M32" i="25"/>
  <c r="M33" i="25"/>
  <c r="M34" i="25"/>
  <c r="M37" i="25"/>
  <c r="M38" i="25"/>
  <c r="M39" i="25"/>
  <c r="M40" i="25"/>
  <c r="M41" i="25"/>
  <c r="M42" i="25"/>
  <c r="M43" i="25"/>
  <c r="M44" i="25"/>
  <c r="M45" i="25"/>
  <c r="M46" i="25"/>
  <c r="M47" i="25"/>
  <c r="M48" i="25"/>
  <c r="M49" i="25"/>
  <c r="M50" i="25"/>
  <c r="M51" i="25"/>
  <c r="M52" i="25"/>
  <c r="E54" i="25"/>
  <c r="E107" i="25" s="1"/>
  <c r="M57" i="25"/>
  <c r="M58" i="25"/>
  <c r="M59" i="25"/>
  <c r="M60" i="25"/>
  <c r="M61" i="25"/>
  <c r="M62" i="25"/>
  <c r="M63" i="25"/>
  <c r="M64" i="25"/>
  <c r="M65" i="25"/>
  <c r="M66" i="25"/>
  <c r="M67" i="25"/>
  <c r="M68" i="25"/>
  <c r="M69" i="25"/>
  <c r="M70" i="25"/>
  <c r="D72" i="25"/>
  <c r="E72" i="25"/>
  <c r="E108" i="25" s="1"/>
  <c r="M11" i="25"/>
  <c r="M75" i="25"/>
  <c r="M80" i="25"/>
  <c r="M81" i="25"/>
  <c r="M79" i="25"/>
  <c r="E105" i="25"/>
  <c r="D21" i="26"/>
  <c r="E109" i="25"/>
  <c r="E113" i="25"/>
  <c r="E114" i="25"/>
  <c r="D406" i="45" l="1"/>
  <c r="G406" i="45"/>
  <c r="L407" i="45" s="1"/>
  <c r="F406" i="45"/>
  <c r="I21" i="55"/>
  <c r="H21" i="55" s="1"/>
  <c r="D48" i="15"/>
  <c r="K85" i="25"/>
  <c r="M85" i="25" s="1"/>
  <c r="K98" i="25"/>
  <c r="M98" i="25" s="1"/>
  <c r="H22" i="26"/>
  <c r="P26" i="26"/>
  <c r="D39" i="15"/>
  <c r="L93" i="25"/>
  <c r="W30" i="39"/>
  <c r="X30" i="39" s="1"/>
  <c r="F16" i="39"/>
  <c r="F17" i="39" s="1"/>
  <c r="L25" i="26"/>
  <c r="I16" i="27"/>
  <c r="H47" i="26"/>
  <c r="AE436" i="39"/>
  <c r="AF435" i="39"/>
  <c r="D43" i="15"/>
  <c r="D44" i="15" s="1"/>
  <c r="F6" i="27"/>
  <c r="C32" i="28"/>
  <c r="E102" i="25"/>
  <c r="B154" i="15"/>
  <c r="B155" i="15" s="1"/>
  <c r="B156" i="15" s="1"/>
  <c r="B157" i="15" s="1"/>
  <c r="B158" i="15" s="1"/>
  <c r="B159" i="15" s="1"/>
  <c r="B160" i="15" s="1"/>
  <c r="B161" i="15" s="1"/>
  <c r="B162" i="15" s="1"/>
  <c r="B163" i="15" s="1"/>
  <c r="B164" i="15" s="1"/>
  <c r="B165" i="15" s="1"/>
  <c r="B166" i="15" s="1"/>
  <c r="B167" i="15" s="1"/>
  <c r="B168" i="15" s="1"/>
  <c r="B169" i="15" s="1"/>
  <c r="B170" i="15" s="1"/>
  <c r="B171" i="15" s="1"/>
  <c r="B172" i="15" s="1"/>
  <c r="B173" i="15" s="1"/>
  <c r="B174" i="15" s="1"/>
  <c r="B175" i="15" s="1"/>
  <c r="B176" i="15" s="1"/>
  <c r="B177" i="15" s="1"/>
  <c r="B178" i="15" s="1"/>
  <c r="B179" i="15" s="1"/>
  <c r="B180" i="15" s="1"/>
  <c r="B181" i="15" s="1"/>
  <c r="B182" i="15" s="1"/>
  <c r="D15" i="28"/>
  <c r="C15" i="28"/>
  <c r="E111" i="25"/>
  <c r="E116" i="25" s="1"/>
  <c r="C33" i="28" l="1"/>
  <c r="C34" i="28" s="1"/>
  <c r="C35" i="28" s="1"/>
  <c r="C36" i="28" s="1"/>
  <c r="C37" i="28" s="1"/>
  <c r="C38" i="28" s="1"/>
  <c r="C39" i="28" s="1"/>
  <c r="C40" i="28" s="1"/>
  <c r="C41" i="28" s="1"/>
  <c r="C42" i="28" s="1"/>
  <c r="C43" i="28" s="1"/>
  <c r="C44" i="28" s="1"/>
  <c r="H35" i="26"/>
  <c r="S13" i="45" s="1"/>
  <c r="AQ39" i="45" s="1"/>
  <c r="H26" i="26"/>
  <c r="V15" i="44" s="1"/>
  <c r="K407" i="45"/>
  <c r="H405" i="45"/>
  <c r="C406" i="45"/>
  <c r="E406" i="45" s="1"/>
  <c r="D49" i="15"/>
  <c r="H32" i="55"/>
  <c r="M11" i="44"/>
  <c r="K95" i="25"/>
  <c r="M95" i="25" s="1"/>
  <c r="M11" i="53"/>
  <c r="AR23" i="53" s="1"/>
  <c r="AS23" i="53" s="1"/>
  <c r="M10" i="53"/>
  <c r="AR22" i="53" s="1"/>
  <c r="K94" i="25"/>
  <c r="M94" i="25" s="1"/>
  <c r="T7" i="44"/>
  <c r="AT23" i="44" s="1"/>
  <c r="AU23" i="44" s="1"/>
  <c r="D51" i="15"/>
  <c r="H49" i="26"/>
  <c r="S13" i="46" s="1"/>
  <c r="E24" i="28"/>
  <c r="L8" i="46"/>
  <c r="AQ22" i="46" s="1"/>
  <c r="L9" i="46"/>
  <c r="AQ23" i="46" s="1"/>
  <c r="AR23" i="46" s="1"/>
  <c r="L20" i="46" s="1"/>
  <c r="K96" i="25"/>
  <c r="M96" i="25" s="1"/>
  <c r="K83" i="25"/>
  <c r="M83" i="25" s="1"/>
  <c r="K93" i="25"/>
  <c r="M93" i="25" s="1"/>
  <c r="K92" i="25"/>
  <c r="M92" i="25" s="1"/>
  <c r="K82" i="25"/>
  <c r="M82" i="25" s="1"/>
  <c r="W31" i="39"/>
  <c r="X31" i="39"/>
  <c r="F18" i="39"/>
  <c r="AE437" i="39"/>
  <c r="AF436" i="39"/>
  <c r="D22" i="15"/>
  <c r="H11" i="24"/>
  <c r="G106" i="25"/>
  <c r="M20" i="44" l="1"/>
  <c r="L20" i="44"/>
  <c r="D407" i="45"/>
  <c r="C407" i="45" s="1"/>
  <c r="E407" i="45" s="1"/>
  <c r="F407" i="45"/>
  <c r="G407" i="45"/>
  <c r="L408" i="45" s="1"/>
  <c r="H155" i="24"/>
  <c r="BC21" i="44"/>
  <c r="AZ29" i="44" s="1"/>
  <c r="H142" i="24"/>
  <c r="H135" i="24"/>
  <c r="H129" i="24"/>
  <c r="H5" i="24"/>
  <c r="AR24" i="53"/>
  <c r="L20" i="53"/>
  <c r="AT24" i="44"/>
  <c r="AT37" i="44" s="1"/>
  <c r="C53" i="15"/>
  <c r="H33" i="24"/>
  <c r="AC20" i="46"/>
  <c r="AC21" i="46" s="1"/>
  <c r="AC22" i="46" s="1"/>
  <c r="AC23" i="46" s="1"/>
  <c r="AC24" i="46" s="1"/>
  <c r="AC25" i="46" s="1"/>
  <c r="AC26" i="46" s="1"/>
  <c r="AC27" i="46" s="1"/>
  <c r="AC28" i="46" s="1"/>
  <c r="AC29" i="46" s="1"/>
  <c r="AC30" i="46" s="1"/>
  <c r="AC31" i="46" s="1"/>
  <c r="AC32" i="46" s="1"/>
  <c r="AC33" i="46" s="1"/>
  <c r="AC34" i="46" s="1"/>
  <c r="AC35" i="46" s="1"/>
  <c r="AC36" i="46" s="1"/>
  <c r="AC37" i="46" s="1"/>
  <c r="AC38" i="46" s="1"/>
  <c r="AC39" i="46" s="1"/>
  <c r="AC40" i="46" s="1"/>
  <c r="AC41" i="46" s="1"/>
  <c r="AC42" i="46" s="1"/>
  <c r="AC43" i="46" s="1"/>
  <c r="AC44" i="46" s="1"/>
  <c r="AC45" i="46" s="1"/>
  <c r="AC46" i="46" s="1"/>
  <c r="AQ24" i="46"/>
  <c r="AQ41" i="45"/>
  <c r="AQ40" i="45"/>
  <c r="AR40" i="45" s="1"/>
  <c r="H7" i="24"/>
  <c r="E9" i="32"/>
  <c r="E21" i="32" s="1"/>
  <c r="G29" i="25"/>
  <c r="H175" i="24" s="1"/>
  <c r="C49" i="15"/>
  <c r="C22" i="15"/>
  <c r="D24" i="15"/>
  <c r="D50" i="15"/>
  <c r="H10" i="24"/>
  <c r="W32" i="39"/>
  <c r="X32" i="39" s="1"/>
  <c r="F19" i="39"/>
  <c r="AE438" i="39"/>
  <c r="AF437" i="39"/>
  <c r="H204" i="24"/>
  <c r="H208" i="24"/>
  <c r="H212" i="24"/>
  <c r="H203" i="24"/>
  <c r="H209" i="24"/>
  <c r="H205" i="24"/>
  <c r="H210" i="24"/>
  <c r="H201" i="24"/>
  <c r="H206" i="24"/>
  <c r="H211" i="24"/>
  <c r="H202" i="24"/>
  <c r="H207" i="24"/>
  <c r="H213" i="24"/>
  <c r="H220" i="24"/>
  <c r="H224" i="24"/>
  <c r="H217" i="24"/>
  <c r="H222" i="24"/>
  <c r="H227" i="24"/>
  <c r="H221" i="24"/>
  <c r="H223" i="24"/>
  <c r="H225" i="24"/>
  <c r="H226" i="24"/>
  <c r="H218" i="24"/>
  <c r="H176" i="24"/>
  <c r="H180" i="24"/>
  <c r="H184" i="24"/>
  <c r="H188" i="24"/>
  <c r="H192" i="24"/>
  <c r="H178" i="24"/>
  <c r="H186" i="24"/>
  <c r="H194" i="24"/>
  <c r="H179" i="24"/>
  <c r="H187" i="24"/>
  <c r="H195" i="24"/>
  <c r="H219" i="24"/>
  <c r="H177" i="24"/>
  <c r="H181" i="24"/>
  <c r="H185" i="24"/>
  <c r="H189" i="24"/>
  <c r="H193" i="24"/>
  <c r="H169" i="24"/>
  <c r="H182" i="24"/>
  <c r="H190" i="24"/>
  <c r="H183" i="24"/>
  <c r="H191" i="24"/>
  <c r="AL11" i="24"/>
  <c r="D22" i="26"/>
  <c r="N11" i="24"/>
  <c r="N155" i="24" s="1"/>
  <c r="R11" i="24"/>
  <c r="R155" i="24" s="1"/>
  <c r="V11" i="24"/>
  <c r="V155" i="24" s="1"/>
  <c r="Z11" i="24"/>
  <c r="Z155" i="24" s="1"/>
  <c r="AD11" i="24"/>
  <c r="AD155" i="24" s="1"/>
  <c r="AH11" i="24"/>
  <c r="AH155" i="24" s="1"/>
  <c r="AP11" i="24"/>
  <c r="AP155" i="24" s="1"/>
  <c r="AT11" i="24"/>
  <c r="AT155" i="24" s="1"/>
  <c r="AX11" i="24"/>
  <c r="BB11" i="24"/>
  <c r="BB155" i="24" s="1"/>
  <c r="BF11" i="24"/>
  <c r="BF155" i="24" s="1"/>
  <c r="BJ11" i="24"/>
  <c r="BJ155" i="24" s="1"/>
  <c r="BN11" i="24"/>
  <c r="BN155" i="24" s="1"/>
  <c r="BR11" i="24"/>
  <c r="BR155" i="24" s="1"/>
  <c r="BV11" i="24"/>
  <c r="BV155" i="24" s="1"/>
  <c r="BZ11" i="24"/>
  <c r="BZ155" i="24" s="1"/>
  <c r="CD11" i="24"/>
  <c r="CD155" i="24" s="1"/>
  <c r="CH11" i="24"/>
  <c r="CH155" i="24" s="1"/>
  <c r="CL11" i="24"/>
  <c r="CL155" i="24" s="1"/>
  <c r="CP11" i="24"/>
  <c r="CP155" i="24" s="1"/>
  <c r="CT11" i="24"/>
  <c r="CT155" i="24" s="1"/>
  <c r="CX11" i="24"/>
  <c r="CX155" i="24" s="1"/>
  <c r="DB11" i="24"/>
  <c r="DB155" i="24" s="1"/>
  <c r="DF11" i="24"/>
  <c r="DF155" i="24" s="1"/>
  <c r="DJ11" i="24"/>
  <c r="DJ155" i="24" s="1"/>
  <c r="DN11" i="24"/>
  <c r="DN155" i="24" s="1"/>
  <c r="DR11" i="24"/>
  <c r="DR155" i="24" s="1"/>
  <c r="DV11" i="24"/>
  <c r="DV155" i="24" s="1"/>
  <c r="DZ11" i="24"/>
  <c r="DZ155" i="24" s="1"/>
  <c r="ED11" i="24"/>
  <c r="ED155" i="24" s="1"/>
  <c r="EH11" i="24"/>
  <c r="EH155" i="24" s="1"/>
  <c r="EL11" i="24"/>
  <c r="EL155" i="24" s="1"/>
  <c r="EP11" i="24"/>
  <c r="EP155" i="24" s="1"/>
  <c r="ET11" i="24"/>
  <c r="ET155" i="24" s="1"/>
  <c r="EX11" i="24"/>
  <c r="EX155" i="24" s="1"/>
  <c r="FB11" i="24"/>
  <c r="FB155" i="24" s="1"/>
  <c r="FF11" i="24"/>
  <c r="FF155" i="24" s="1"/>
  <c r="FJ11" i="24"/>
  <c r="FJ155" i="24" s="1"/>
  <c r="FN11" i="24"/>
  <c r="FN155" i="24" s="1"/>
  <c r="FR11" i="24"/>
  <c r="FR155" i="24" s="1"/>
  <c r="U11" i="24"/>
  <c r="U155" i="24" s="1"/>
  <c r="AC11" i="24"/>
  <c r="AC155" i="24" s="1"/>
  <c r="AS11" i="24"/>
  <c r="BI11" i="24"/>
  <c r="BY11" i="24"/>
  <c r="BY155" i="24" s="1"/>
  <c r="CK11" i="24"/>
  <c r="CK155" i="24" s="1"/>
  <c r="DA11" i="24"/>
  <c r="DA155" i="24" s="1"/>
  <c r="DQ11" i="24"/>
  <c r="DQ155" i="24" s="1"/>
  <c r="EG11" i="24"/>
  <c r="EG155" i="24" s="1"/>
  <c r="EW11" i="24"/>
  <c r="EW155" i="24" s="1"/>
  <c r="FM11" i="24"/>
  <c r="FM155" i="24" s="1"/>
  <c r="O11" i="24"/>
  <c r="O155" i="24" s="1"/>
  <c r="S11" i="24"/>
  <c r="S155" i="24" s="1"/>
  <c r="W11" i="24"/>
  <c r="W155" i="24" s="1"/>
  <c r="AA11" i="24"/>
  <c r="AA155" i="24" s="1"/>
  <c r="AE11" i="24"/>
  <c r="AE155" i="24" s="1"/>
  <c r="AI11" i="24"/>
  <c r="AI155" i="24" s="1"/>
  <c r="AM11" i="24"/>
  <c r="AM155" i="24" s="1"/>
  <c r="AQ11" i="24"/>
  <c r="AQ155" i="24" s="1"/>
  <c r="AU11" i="24"/>
  <c r="AU155" i="24" s="1"/>
  <c r="AY11" i="24"/>
  <c r="AY155" i="24" s="1"/>
  <c r="BC11" i="24"/>
  <c r="BC155" i="24" s="1"/>
  <c r="BG11" i="24"/>
  <c r="BG155" i="24" s="1"/>
  <c r="BK11" i="24"/>
  <c r="BO11" i="24"/>
  <c r="BO155" i="24" s="1"/>
  <c r="BS11" i="24"/>
  <c r="BS155" i="24" s="1"/>
  <c r="BW11" i="24"/>
  <c r="BW155" i="24" s="1"/>
  <c r="CA11" i="24"/>
  <c r="CA155" i="24" s="1"/>
  <c r="CE11" i="24"/>
  <c r="CE155" i="24" s="1"/>
  <c r="CI11" i="24"/>
  <c r="CI155" i="24" s="1"/>
  <c r="CM11" i="24"/>
  <c r="CM155" i="24" s="1"/>
  <c r="CQ11" i="24"/>
  <c r="CQ155" i="24" s="1"/>
  <c r="CU11" i="24"/>
  <c r="CU155" i="24" s="1"/>
  <c r="CY11" i="24"/>
  <c r="CY155" i="24" s="1"/>
  <c r="DC11" i="24"/>
  <c r="DC155" i="24" s="1"/>
  <c r="DG11" i="24"/>
  <c r="DG155" i="24" s="1"/>
  <c r="DK11" i="24"/>
  <c r="DK155" i="24" s="1"/>
  <c r="DO11" i="24"/>
  <c r="DO155" i="24" s="1"/>
  <c r="DS11" i="24"/>
  <c r="DS155" i="24" s="1"/>
  <c r="DW11" i="24"/>
  <c r="DW155" i="24" s="1"/>
  <c r="EA11" i="24"/>
  <c r="EA155" i="24" s="1"/>
  <c r="EE11" i="24"/>
  <c r="EE155" i="24" s="1"/>
  <c r="EI11" i="24"/>
  <c r="EI155" i="24" s="1"/>
  <c r="EM11" i="24"/>
  <c r="EM155" i="24" s="1"/>
  <c r="EQ11" i="24"/>
  <c r="EQ155" i="24" s="1"/>
  <c r="EU11" i="24"/>
  <c r="EU155" i="24" s="1"/>
  <c r="EY11" i="24"/>
  <c r="EY155" i="24" s="1"/>
  <c r="FC11" i="24"/>
  <c r="FC155" i="24" s="1"/>
  <c r="FG11" i="24"/>
  <c r="FG155" i="24" s="1"/>
  <c r="FK11" i="24"/>
  <c r="FK155" i="24" s="1"/>
  <c r="FO11" i="24"/>
  <c r="FO155" i="24" s="1"/>
  <c r="FS11" i="24"/>
  <c r="FS155" i="24" s="1"/>
  <c r="Q11" i="24"/>
  <c r="Q155" i="24" s="1"/>
  <c r="AO11" i="24"/>
  <c r="AO155" i="24" s="1"/>
  <c r="BM11" i="24"/>
  <c r="BM155" i="24" s="1"/>
  <c r="CC11" i="24"/>
  <c r="CC155" i="24" s="1"/>
  <c r="CS11" i="24"/>
  <c r="CS155" i="24" s="1"/>
  <c r="DI11" i="24"/>
  <c r="DI155" i="24" s="1"/>
  <c r="DU11" i="24"/>
  <c r="DU155" i="24" s="1"/>
  <c r="EK11" i="24"/>
  <c r="EK155" i="24" s="1"/>
  <c r="FE11" i="24"/>
  <c r="FE155" i="24" s="1"/>
  <c r="L11" i="24"/>
  <c r="P11" i="24"/>
  <c r="P155" i="24" s="1"/>
  <c r="T11" i="24"/>
  <c r="T155" i="24" s="1"/>
  <c r="X11" i="24"/>
  <c r="X155" i="24" s="1"/>
  <c r="AB11" i="24"/>
  <c r="AB155" i="24" s="1"/>
  <c r="AF11" i="24"/>
  <c r="AF155" i="24" s="1"/>
  <c r="AJ11" i="24"/>
  <c r="AJ155" i="24" s="1"/>
  <c r="AN11" i="24"/>
  <c r="AN155" i="24" s="1"/>
  <c r="AR11" i="24"/>
  <c r="AR155" i="24" s="1"/>
  <c r="AV11" i="24"/>
  <c r="AV155" i="24" s="1"/>
  <c r="AZ11" i="24"/>
  <c r="BD11" i="24"/>
  <c r="BD155" i="24" s="1"/>
  <c r="BH11" i="24"/>
  <c r="BH155" i="24" s="1"/>
  <c r="BL11" i="24"/>
  <c r="BL155" i="24" s="1"/>
  <c r="BP11" i="24"/>
  <c r="BP155" i="24" s="1"/>
  <c r="BT11" i="24"/>
  <c r="BT155" i="24" s="1"/>
  <c r="BX11" i="24"/>
  <c r="BX155" i="24" s="1"/>
  <c r="CB11" i="24"/>
  <c r="CB155" i="24" s="1"/>
  <c r="CF11" i="24"/>
  <c r="CF155" i="24" s="1"/>
  <c r="CJ11" i="24"/>
  <c r="CJ155" i="24" s="1"/>
  <c r="CN11" i="24"/>
  <c r="CR11" i="24"/>
  <c r="CR155" i="24" s="1"/>
  <c r="CV11" i="24"/>
  <c r="CV155" i="24" s="1"/>
  <c r="CZ11" i="24"/>
  <c r="CZ155" i="24" s="1"/>
  <c r="DD11" i="24"/>
  <c r="DD155" i="24" s="1"/>
  <c r="DH11" i="24"/>
  <c r="DH155" i="24" s="1"/>
  <c r="DL11" i="24"/>
  <c r="DL155" i="24" s="1"/>
  <c r="DP11" i="24"/>
  <c r="DP155" i="24" s="1"/>
  <c r="DT11" i="24"/>
  <c r="DT155" i="24" s="1"/>
  <c r="DX11" i="24"/>
  <c r="DX155" i="24" s="1"/>
  <c r="EB11" i="24"/>
  <c r="EB155" i="24" s="1"/>
  <c r="EF11" i="24"/>
  <c r="EF155" i="24" s="1"/>
  <c r="EJ11" i="24"/>
  <c r="EJ155" i="24" s="1"/>
  <c r="EN11" i="24"/>
  <c r="EN155" i="24" s="1"/>
  <c r="ER11" i="24"/>
  <c r="ER155" i="24" s="1"/>
  <c r="EV11" i="24"/>
  <c r="EV155" i="24" s="1"/>
  <c r="EZ11" i="24"/>
  <c r="EZ155" i="24" s="1"/>
  <c r="FD11" i="24"/>
  <c r="FD155" i="24" s="1"/>
  <c r="FH11" i="24"/>
  <c r="FH155" i="24" s="1"/>
  <c r="FL11" i="24"/>
  <c r="FL155" i="24" s="1"/>
  <c r="FP11" i="24"/>
  <c r="FP155" i="24" s="1"/>
  <c r="FT11" i="24"/>
  <c r="FT155" i="24" s="1"/>
  <c r="M11" i="24"/>
  <c r="AG11" i="24"/>
  <c r="AW11" i="24"/>
  <c r="BE11" i="24"/>
  <c r="BE155" i="24" s="1"/>
  <c r="BQ11" i="24"/>
  <c r="BQ155" i="24" s="1"/>
  <c r="CG11" i="24"/>
  <c r="CW11" i="24"/>
  <c r="CW155" i="24" s="1"/>
  <c r="DM11" i="24"/>
  <c r="DM155" i="24" s="1"/>
  <c r="EC11" i="24"/>
  <c r="EC155" i="24" s="1"/>
  <c r="ES11" i="24"/>
  <c r="ES155" i="24" s="1"/>
  <c r="FI11" i="24"/>
  <c r="FI155" i="24" s="1"/>
  <c r="K11" i="24"/>
  <c r="Y11" i="24"/>
  <c r="Y155" i="24" s="1"/>
  <c r="AK11" i="24"/>
  <c r="BA11" i="24"/>
  <c r="BA155" i="24" s="1"/>
  <c r="BU11" i="24"/>
  <c r="BU155" i="24" s="1"/>
  <c r="CO11" i="24"/>
  <c r="CO155" i="24" s="1"/>
  <c r="DE11" i="24"/>
  <c r="DE155" i="24" s="1"/>
  <c r="DY11" i="24"/>
  <c r="DY155" i="24" s="1"/>
  <c r="EO11" i="24"/>
  <c r="EO155" i="24" s="1"/>
  <c r="FA11" i="24"/>
  <c r="FA155" i="24" s="1"/>
  <c r="FQ11" i="24"/>
  <c r="FQ155" i="24" s="1"/>
  <c r="CN155" i="24" l="1"/>
  <c r="H34" i="24"/>
  <c r="BA28" i="44"/>
  <c r="BE28" i="44" s="1"/>
  <c r="K408" i="45"/>
  <c r="H406" i="45"/>
  <c r="I22" i="55"/>
  <c r="H22" i="55" s="1"/>
  <c r="M155" i="24"/>
  <c r="K155" i="24"/>
  <c r="L155" i="24"/>
  <c r="H145" i="24"/>
  <c r="H144" i="24"/>
  <c r="H143" i="24"/>
  <c r="H146" i="24"/>
  <c r="H20" i="53"/>
  <c r="T5" i="53"/>
  <c r="AT41" i="44"/>
  <c r="FQ135" i="24"/>
  <c r="FQ142" i="24"/>
  <c r="FQ5" i="24"/>
  <c r="CO135" i="24"/>
  <c r="CO142" i="24"/>
  <c r="CO5" i="24"/>
  <c r="DY135" i="24"/>
  <c r="DY142" i="24"/>
  <c r="DY5" i="24"/>
  <c r="BA135" i="24"/>
  <c r="BA142" i="24"/>
  <c r="BA5" i="24"/>
  <c r="FI135" i="24"/>
  <c r="FI142" i="24"/>
  <c r="FI5" i="24"/>
  <c r="CW135" i="24"/>
  <c r="CW142" i="24"/>
  <c r="CW5" i="24"/>
  <c r="AW135" i="24"/>
  <c r="AW142" i="24"/>
  <c r="AW5" i="24"/>
  <c r="FP135" i="24"/>
  <c r="FP142" i="24"/>
  <c r="FP5" i="24"/>
  <c r="EZ135" i="24"/>
  <c r="EZ142" i="24"/>
  <c r="EZ5" i="24"/>
  <c r="EJ135" i="24"/>
  <c r="EJ142" i="24"/>
  <c r="EJ5" i="24"/>
  <c r="DT135" i="24"/>
  <c r="DT142" i="24"/>
  <c r="DT5" i="24"/>
  <c r="DD135" i="24"/>
  <c r="DD142" i="24"/>
  <c r="DD5" i="24"/>
  <c r="CN135" i="24"/>
  <c r="CN142" i="24"/>
  <c r="CN5" i="24"/>
  <c r="BX135" i="24"/>
  <c r="BX142" i="24"/>
  <c r="BX5" i="24"/>
  <c r="BH135" i="24"/>
  <c r="BH142" i="24"/>
  <c r="BH5" i="24"/>
  <c r="AR135" i="24"/>
  <c r="AR142" i="24"/>
  <c r="AR5" i="24"/>
  <c r="AB135" i="24"/>
  <c r="AB142" i="24"/>
  <c r="AB5" i="24"/>
  <c r="L135" i="24"/>
  <c r="L142" i="24"/>
  <c r="L5" i="24"/>
  <c r="DI135" i="24"/>
  <c r="DI142" i="24"/>
  <c r="DI5" i="24"/>
  <c r="AO135" i="24"/>
  <c r="AO142" i="24"/>
  <c r="AO5" i="24"/>
  <c r="FK135" i="24"/>
  <c r="FK142" i="24"/>
  <c r="FK5" i="24"/>
  <c r="EU135" i="24"/>
  <c r="EU142" i="24"/>
  <c r="EU5" i="24"/>
  <c r="EE135" i="24"/>
  <c r="EE142" i="24"/>
  <c r="EE5" i="24"/>
  <c r="DO135" i="24"/>
  <c r="DO142" i="24"/>
  <c r="DO5" i="24"/>
  <c r="CY135" i="24"/>
  <c r="CY142" i="24"/>
  <c r="CY5" i="24"/>
  <c r="CI135" i="24"/>
  <c r="CI142" i="24"/>
  <c r="CI5" i="24"/>
  <c r="BS135" i="24"/>
  <c r="BS142" i="24"/>
  <c r="BS5" i="24"/>
  <c r="BC135" i="24"/>
  <c r="BC142" i="24"/>
  <c r="BC5" i="24"/>
  <c r="AM135" i="24"/>
  <c r="AM142" i="24"/>
  <c r="AM5" i="24"/>
  <c r="W135" i="24"/>
  <c r="W142" i="24"/>
  <c r="W5" i="24"/>
  <c r="EW135" i="24"/>
  <c r="EW142" i="24"/>
  <c r="EW5" i="24"/>
  <c r="CK135" i="24"/>
  <c r="CK142" i="24"/>
  <c r="CK5" i="24"/>
  <c r="AC135" i="24"/>
  <c r="AC142" i="24"/>
  <c r="AC5" i="24"/>
  <c r="FJ135" i="24"/>
  <c r="FJ142" i="24"/>
  <c r="FJ5" i="24"/>
  <c r="ET135" i="24"/>
  <c r="ET142" i="24"/>
  <c r="ET5" i="24"/>
  <c r="ED135" i="24"/>
  <c r="ED142" i="24"/>
  <c r="ED5" i="24"/>
  <c r="DN135" i="24"/>
  <c r="DN142" i="24"/>
  <c r="DN5" i="24"/>
  <c r="CX135" i="24"/>
  <c r="CX142" i="24"/>
  <c r="CX5" i="24"/>
  <c r="CH135" i="24"/>
  <c r="CH142" i="24"/>
  <c r="CH5" i="24"/>
  <c r="BR135" i="24"/>
  <c r="BR142" i="24"/>
  <c r="BR5" i="24"/>
  <c r="BB135" i="24"/>
  <c r="BB142" i="24"/>
  <c r="BB5" i="24"/>
  <c r="AH135" i="24"/>
  <c r="AH142" i="24"/>
  <c r="AH5" i="24"/>
  <c r="R135" i="24"/>
  <c r="R142" i="24"/>
  <c r="R5" i="24"/>
  <c r="DE135" i="24"/>
  <c r="DE142" i="24"/>
  <c r="DE5" i="24"/>
  <c r="ES135" i="24"/>
  <c r="ES142" i="24"/>
  <c r="ES5" i="24"/>
  <c r="CG135" i="24"/>
  <c r="CG142" i="24"/>
  <c r="CG5" i="24"/>
  <c r="AG135" i="24"/>
  <c r="AG142" i="24"/>
  <c r="AG5" i="24"/>
  <c r="FL135" i="24"/>
  <c r="FL142" i="24"/>
  <c r="FL5" i="24"/>
  <c r="EV135" i="24"/>
  <c r="EV142" i="24"/>
  <c r="EV5" i="24"/>
  <c r="EF135" i="24"/>
  <c r="EF142" i="24"/>
  <c r="EF5" i="24"/>
  <c r="DP135" i="24"/>
  <c r="DP142" i="24"/>
  <c r="DP5" i="24"/>
  <c r="CZ135" i="24"/>
  <c r="CZ142" i="24"/>
  <c r="CZ5" i="24"/>
  <c r="CJ135" i="24"/>
  <c r="CJ142" i="24"/>
  <c r="CJ5" i="24"/>
  <c r="BT135" i="24"/>
  <c r="BT142" i="24"/>
  <c r="BT5" i="24"/>
  <c r="BD135" i="24"/>
  <c r="BD142" i="24"/>
  <c r="BD5" i="24"/>
  <c r="AN135" i="24"/>
  <c r="AN142" i="24"/>
  <c r="AN5" i="24"/>
  <c r="X135" i="24"/>
  <c r="X142" i="24"/>
  <c r="X5" i="24"/>
  <c r="FE135" i="24"/>
  <c r="FE142" i="24"/>
  <c r="FE5" i="24"/>
  <c r="CS135" i="24"/>
  <c r="CS142" i="24"/>
  <c r="CS5" i="24"/>
  <c r="Q135" i="24"/>
  <c r="Q142" i="24"/>
  <c r="Q5" i="24"/>
  <c r="FG135" i="24"/>
  <c r="FG142" i="24"/>
  <c r="FG5" i="24"/>
  <c r="EQ135" i="24"/>
  <c r="EQ142" i="24"/>
  <c r="EQ5" i="24"/>
  <c r="EA135" i="24"/>
  <c r="EA142" i="24"/>
  <c r="EA5" i="24"/>
  <c r="DK135" i="24"/>
  <c r="DK142" i="24"/>
  <c r="DK5" i="24"/>
  <c r="CU135" i="24"/>
  <c r="CU142" i="24"/>
  <c r="CU5" i="24"/>
  <c r="CE135" i="24"/>
  <c r="CE142" i="24"/>
  <c r="CE5" i="24"/>
  <c r="BO135" i="24"/>
  <c r="BO142" i="24"/>
  <c r="BO5" i="24"/>
  <c r="AY135" i="24"/>
  <c r="AY142" i="24"/>
  <c r="AY5" i="24"/>
  <c r="AI135" i="24"/>
  <c r="AI142" i="24"/>
  <c r="AI5" i="24"/>
  <c r="S135" i="24"/>
  <c r="S142" i="24"/>
  <c r="S5" i="24"/>
  <c r="EG135" i="24"/>
  <c r="EG142" i="24"/>
  <c r="EG5" i="24"/>
  <c r="BY135" i="24"/>
  <c r="BY142" i="24"/>
  <c r="BY5" i="24"/>
  <c r="U135" i="24"/>
  <c r="U142" i="24"/>
  <c r="U5" i="24"/>
  <c r="FF135" i="24"/>
  <c r="FF142" i="24"/>
  <c r="FF5" i="24"/>
  <c r="EP135" i="24"/>
  <c r="EP142" i="24"/>
  <c r="EP5" i="24"/>
  <c r="DZ135" i="24"/>
  <c r="DZ142" i="24"/>
  <c r="DZ5" i="24"/>
  <c r="DJ135" i="24"/>
  <c r="DJ142" i="24"/>
  <c r="DJ5" i="24"/>
  <c r="CT135" i="24"/>
  <c r="CT142" i="24"/>
  <c r="CT5" i="24"/>
  <c r="CD135" i="24"/>
  <c r="CD142" i="24"/>
  <c r="CD5" i="24"/>
  <c r="BN135" i="24"/>
  <c r="BN142" i="24"/>
  <c r="BN5" i="24"/>
  <c r="AX135" i="24"/>
  <c r="AX142" i="24"/>
  <c r="AX5" i="24"/>
  <c r="AD135" i="24"/>
  <c r="AD142" i="24"/>
  <c r="AD5" i="24"/>
  <c r="N135" i="24"/>
  <c r="N142" i="24"/>
  <c r="N5" i="24"/>
  <c r="FA135" i="24"/>
  <c r="FA142" i="24"/>
  <c r="FA5" i="24"/>
  <c r="Y135" i="24"/>
  <c r="Y142" i="24"/>
  <c r="Y5" i="24"/>
  <c r="BQ135" i="24"/>
  <c r="BQ142" i="24"/>
  <c r="BQ5" i="24"/>
  <c r="M135" i="24"/>
  <c r="M142" i="24"/>
  <c r="M5" i="24"/>
  <c r="FH135" i="24"/>
  <c r="FH142" i="24"/>
  <c r="FH5" i="24"/>
  <c r="ER135" i="24"/>
  <c r="ER142" i="24"/>
  <c r="ER5" i="24"/>
  <c r="EB135" i="24"/>
  <c r="EB142" i="24"/>
  <c r="EB5" i="24"/>
  <c r="DL135" i="24"/>
  <c r="DL142" i="24"/>
  <c r="DL5" i="24"/>
  <c r="CV135" i="24"/>
  <c r="CV142" i="24"/>
  <c r="CV5" i="24"/>
  <c r="CF135" i="24"/>
  <c r="CF142" i="24"/>
  <c r="CF5" i="24"/>
  <c r="BP135" i="24"/>
  <c r="BP142" i="24"/>
  <c r="BP5" i="24"/>
  <c r="AZ135" i="24"/>
  <c r="AZ142" i="24"/>
  <c r="AZ5" i="24"/>
  <c r="AJ135" i="24"/>
  <c r="AJ142" i="24"/>
  <c r="AJ5" i="24"/>
  <c r="T135" i="24"/>
  <c r="T142" i="24"/>
  <c r="T5" i="24"/>
  <c r="EK135" i="24"/>
  <c r="EK142" i="24"/>
  <c r="EK5" i="24"/>
  <c r="CC135" i="24"/>
  <c r="CC142" i="24"/>
  <c r="CC5" i="24"/>
  <c r="FS135" i="24"/>
  <c r="FS142" i="24"/>
  <c r="FS5" i="24"/>
  <c r="FC135" i="24"/>
  <c r="FC142" i="24"/>
  <c r="FC5" i="24"/>
  <c r="EM135" i="24"/>
  <c r="EM142" i="24"/>
  <c r="EM5" i="24"/>
  <c r="DW135" i="24"/>
  <c r="DW142" i="24"/>
  <c r="DW5" i="24"/>
  <c r="DG135" i="24"/>
  <c r="DG142" i="24"/>
  <c r="DG5" i="24"/>
  <c r="CQ135" i="24"/>
  <c r="CQ142" i="24"/>
  <c r="CQ5" i="24"/>
  <c r="CA135" i="24"/>
  <c r="CA142" i="24"/>
  <c r="CA5" i="24"/>
  <c r="BK135" i="24"/>
  <c r="BK142" i="24"/>
  <c r="BK5" i="24"/>
  <c r="AU135" i="24"/>
  <c r="AU142" i="24"/>
  <c r="AU5" i="24"/>
  <c r="AE135" i="24"/>
  <c r="AE142" i="24"/>
  <c r="AE5" i="24"/>
  <c r="O135" i="24"/>
  <c r="O142" i="24"/>
  <c r="O5" i="24"/>
  <c r="DQ135" i="24"/>
  <c r="DQ142" i="24"/>
  <c r="DQ5" i="24"/>
  <c r="BI135" i="24"/>
  <c r="BI142" i="24"/>
  <c r="BI5" i="24"/>
  <c r="FR135" i="24"/>
  <c r="FR142" i="24"/>
  <c r="FR5" i="24"/>
  <c r="FB135" i="24"/>
  <c r="FB142" i="24"/>
  <c r="FB5" i="24"/>
  <c r="EL135" i="24"/>
  <c r="EL142" i="24"/>
  <c r="EL5" i="24"/>
  <c r="DV135" i="24"/>
  <c r="DV142" i="24"/>
  <c r="DV5" i="24"/>
  <c r="DF135" i="24"/>
  <c r="DF142" i="24"/>
  <c r="DF5" i="24"/>
  <c r="CP135" i="24"/>
  <c r="CP142" i="24"/>
  <c r="CP5" i="24"/>
  <c r="BZ135" i="24"/>
  <c r="BZ142" i="24"/>
  <c r="BZ5" i="24"/>
  <c r="BJ135" i="24"/>
  <c r="BJ142" i="24"/>
  <c r="BJ5" i="24"/>
  <c r="AT135" i="24"/>
  <c r="AT142" i="24"/>
  <c r="AT5" i="24"/>
  <c r="Z135" i="24"/>
  <c r="Z142" i="24"/>
  <c r="Z5" i="24"/>
  <c r="AK135" i="24"/>
  <c r="AK142" i="24"/>
  <c r="AK5" i="24"/>
  <c r="EC135" i="24"/>
  <c r="EC142" i="24"/>
  <c r="EC5" i="24"/>
  <c r="EO135" i="24"/>
  <c r="EO142" i="24"/>
  <c r="EO5" i="24"/>
  <c r="BU135" i="24"/>
  <c r="BU142" i="24"/>
  <c r="BU5" i="24"/>
  <c r="K135" i="24"/>
  <c r="K142" i="24"/>
  <c r="K5" i="24"/>
  <c r="DM135" i="24"/>
  <c r="DM142" i="24"/>
  <c r="DM5" i="24"/>
  <c r="BE135" i="24"/>
  <c r="BE142" i="24"/>
  <c r="BE5" i="24"/>
  <c r="FT135" i="24"/>
  <c r="FT142" i="24"/>
  <c r="FT5" i="24"/>
  <c r="FD135" i="24"/>
  <c r="FD142" i="24"/>
  <c r="FD5" i="24"/>
  <c r="EN135" i="24"/>
  <c r="EN142" i="24"/>
  <c r="EN5" i="24"/>
  <c r="DX135" i="24"/>
  <c r="DX142" i="24"/>
  <c r="DX5" i="24"/>
  <c r="DH135" i="24"/>
  <c r="DH142" i="24"/>
  <c r="DH5" i="24"/>
  <c r="CR135" i="24"/>
  <c r="CR142" i="24"/>
  <c r="CR5" i="24"/>
  <c r="CB135" i="24"/>
  <c r="CB142" i="24"/>
  <c r="CB5" i="24"/>
  <c r="BL135" i="24"/>
  <c r="BL142" i="24"/>
  <c r="BL5" i="24"/>
  <c r="AV135" i="24"/>
  <c r="AV142" i="24"/>
  <c r="AV5" i="24"/>
  <c r="AF135" i="24"/>
  <c r="AF142" i="24"/>
  <c r="AF5" i="24"/>
  <c r="P135" i="24"/>
  <c r="P142" i="24"/>
  <c r="P5" i="24"/>
  <c r="DU135" i="24"/>
  <c r="DU142" i="24"/>
  <c r="DU5" i="24"/>
  <c r="BM135" i="24"/>
  <c r="BM142" i="24"/>
  <c r="BM5" i="24"/>
  <c r="FO135" i="24"/>
  <c r="FO142" i="24"/>
  <c r="FO5" i="24"/>
  <c r="EY135" i="24"/>
  <c r="EY142" i="24"/>
  <c r="EY5" i="24"/>
  <c r="EI135" i="24"/>
  <c r="EI142" i="24"/>
  <c r="EI5" i="24"/>
  <c r="DS135" i="24"/>
  <c r="DS142" i="24"/>
  <c r="DS5" i="24"/>
  <c r="DC135" i="24"/>
  <c r="DC142" i="24"/>
  <c r="DC5" i="24"/>
  <c r="CM135" i="24"/>
  <c r="CM142" i="24"/>
  <c r="CM5" i="24"/>
  <c r="BW135" i="24"/>
  <c r="BW142" i="24"/>
  <c r="BW5" i="24"/>
  <c r="BG135" i="24"/>
  <c r="BG142" i="24"/>
  <c r="BG5" i="24"/>
  <c r="AQ135" i="24"/>
  <c r="AQ142" i="24"/>
  <c r="AQ5" i="24"/>
  <c r="AA135" i="24"/>
  <c r="AA142" i="24"/>
  <c r="AA5" i="24"/>
  <c r="FM135" i="24"/>
  <c r="FM142" i="24"/>
  <c r="FM5" i="24"/>
  <c r="DA135" i="24"/>
  <c r="DA142" i="24"/>
  <c r="DA5" i="24"/>
  <c r="AS135" i="24"/>
  <c r="AS142" i="24"/>
  <c r="AS5" i="24"/>
  <c r="FN135" i="24"/>
  <c r="FN142" i="24"/>
  <c r="FN5" i="24"/>
  <c r="EX135" i="24"/>
  <c r="EX142" i="24"/>
  <c r="EX5" i="24"/>
  <c r="EH135" i="24"/>
  <c r="EH142" i="24"/>
  <c r="EH5" i="24"/>
  <c r="DR135" i="24"/>
  <c r="DR142" i="24"/>
  <c r="DR5" i="24"/>
  <c r="DB135" i="24"/>
  <c r="DB142" i="24"/>
  <c r="DB5" i="24"/>
  <c r="CL135" i="24"/>
  <c r="CL142" i="24"/>
  <c r="CL5" i="24"/>
  <c r="BV135" i="24"/>
  <c r="BV142" i="24"/>
  <c r="BV5" i="24"/>
  <c r="BF135" i="24"/>
  <c r="BF142" i="24"/>
  <c r="BF5" i="24"/>
  <c r="AP135" i="24"/>
  <c r="AP142" i="24"/>
  <c r="AP5" i="24"/>
  <c r="V135" i="24"/>
  <c r="V142" i="24"/>
  <c r="V5" i="24"/>
  <c r="AL135" i="24"/>
  <c r="AL142" i="24"/>
  <c r="AL5" i="24"/>
  <c r="G26" i="26"/>
  <c r="AD20" i="53"/>
  <c r="AC20" i="53"/>
  <c r="AC21" i="53" s="1"/>
  <c r="AC22" i="53" s="1"/>
  <c r="AC23" i="53" s="1"/>
  <c r="AC24" i="53" s="1"/>
  <c r="AC25" i="53" s="1"/>
  <c r="AC26" i="53" s="1"/>
  <c r="AC27" i="53" s="1"/>
  <c r="AC28" i="53" s="1"/>
  <c r="AC29" i="53" s="1"/>
  <c r="AC30" i="53" s="1"/>
  <c r="AC31" i="53" s="1"/>
  <c r="AC32" i="53" s="1"/>
  <c r="AC33" i="53" s="1"/>
  <c r="AC34" i="53" s="1"/>
  <c r="AC35" i="53" s="1"/>
  <c r="AC36" i="53" s="1"/>
  <c r="AC37" i="53" s="1"/>
  <c r="AC38" i="53" s="1"/>
  <c r="AC39" i="53" s="1"/>
  <c r="AC40" i="53" s="1"/>
  <c r="AC41" i="53" s="1"/>
  <c r="AC42" i="53" s="1"/>
  <c r="AC43" i="53" s="1"/>
  <c r="AC44" i="53" s="1"/>
  <c r="AC45" i="53" s="1"/>
  <c r="AC46" i="53" s="1"/>
  <c r="AC47" i="53" s="1"/>
  <c r="AC48" i="53" s="1"/>
  <c r="AC49" i="53" s="1"/>
  <c r="D20" i="53"/>
  <c r="F20" i="53"/>
  <c r="L11" i="53"/>
  <c r="T13" i="53" s="1"/>
  <c r="AR37" i="53"/>
  <c r="AR33" i="53"/>
  <c r="E20" i="44"/>
  <c r="D20" i="44" s="1"/>
  <c r="G20" i="44"/>
  <c r="L21" i="44" s="1"/>
  <c r="K129" i="24"/>
  <c r="FD129" i="24"/>
  <c r="CR129" i="24"/>
  <c r="P129" i="24"/>
  <c r="EY129" i="24"/>
  <c r="DY129" i="24"/>
  <c r="BA129" i="24"/>
  <c r="FI129" i="24"/>
  <c r="CW129" i="24"/>
  <c r="AW129" i="24"/>
  <c r="FP129" i="24"/>
  <c r="EZ129" i="24"/>
  <c r="EJ129" i="24"/>
  <c r="DT129" i="24"/>
  <c r="DD129" i="24"/>
  <c r="CN129" i="24"/>
  <c r="BX129" i="24"/>
  <c r="BH129" i="24"/>
  <c r="AR129" i="24"/>
  <c r="AB129" i="24"/>
  <c r="L129" i="24"/>
  <c r="DI129" i="24"/>
  <c r="AO129" i="24"/>
  <c r="FK129" i="24"/>
  <c r="EU129" i="24"/>
  <c r="EE129" i="24"/>
  <c r="DO129" i="24"/>
  <c r="CY129" i="24"/>
  <c r="CI129" i="24"/>
  <c r="BS129" i="24"/>
  <c r="BC129" i="24"/>
  <c r="AM129" i="24"/>
  <c r="W129" i="24"/>
  <c r="EW129" i="24"/>
  <c r="CK129" i="24"/>
  <c r="AC129" i="24"/>
  <c r="FJ129" i="24"/>
  <c r="ET129" i="24"/>
  <c r="ED129" i="24"/>
  <c r="DN129" i="24"/>
  <c r="CX129" i="24"/>
  <c r="CH129" i="24"/>
  <c r="BR129" i="24"/>
  <c r="BB129" i="24"/>
  <c r="AH129" i="24"/>
  <c r="R129" i="24"/>
  <c r="DM129" i="24"/>
  <c r="FT129" i="24"/>
  <c r="DH129" i="24"/>
  <c r="AV129" i="24"/>
  <c r="BM129" i="24"/>
  <c r="FQ129" i="24"/>
  <c r="DE129" i="24"/>
  <c r="AK129" i="24"/>
  <c r="ES129" i="24"/>
  <c r="CG129" i="24"/>
  <c r="AG129" i="24"/>
  <c r="FL129" i="24"/>
  <c r="EV129" i="24"/>
  <c r="EF129" i="24"/>
  <c r="DP129" i="24"/>
  <c r="CZ129" i="24"/>
  <c r="CJ129" i="24"/>
  <c r="BT129" i="24"/>
  <c r="BD129" i="24"/>
  <c r="AN129" i="24"/>
  <c r="X129" i="24"/>
  <c r="FE129" i="24"/>
  <c r="CS129" i="24"/>
  <c r="Q129" i="24"/>
  <c r="FG129" i="24"/>
  <c r="EQ129" i="24"/>
  <c r="EA129" i="24"/>
  <c r="DK129" i="24"/>
  <c r="CU129" i="24"/>
  <c r="CE129" i="24"/>
  <c r="BO129" i="24"/>
  <c r="AY129" i="24"/>
  <c r="AI129" i="24"/>
  <c r="S129" i="24"/>
  <c r="EG129" i="24"/>
  <c r="BY129" i="24"/>
  <c r="U129" i="24"/>
  <c r="FF129" i="24"/>
  <c r="EP129" i="24"/>
  <c r="DZ129" i="24"/>
  <c r="DJ129" i="24"/>
  <c r="CT129" i="24"/>
  <c r="CD129" i="24"/>
  <c r="BN129" i="24"/>
  <c r="AX129" i="24"/>
  <c r="AD129" i="24"/>
  <c r="N129" i="24"/>
  <c r="BU129" i="24"/>
  <c r="EN129" i="24"/>
  <c r="CB129" i="24"/>
  <c r="AF129" i="24"/>
  <c r="FO129" i="24"/>
  <c r="FA129" i="24"/>
  <c r="CO129" i="24"/>
  <c r="Y129" i="24"/>
  <c r="EC129" i="24"/>
  <c r="BQ129" i="24"/>
  <c r="M129" i="24"/>
  <c r="FH129" i="24"/>
  <c r="ER129" i="24"/>
  <c r="EB129" i="24"/>
  <c r="DL129" i="24"/>
  <c r="CV129" i="24"/>
  <c r="CF129" i="24"/>
  <c r="BP129" i="24"/>
  <c r="AZ129" i="24"/>
  <c r="AJ129" i="24"/>
  <c r="T129" i="24"/>
  <c r="EK129" i="24"/>
  <c r="CC129" i="24"/>
  <c r="FS129" i="24"/>
  <c r="FC129" i="24"/>
  <c r="EM129" i="24"/>
  <c r="DW129" i="24"/>
  <c r="DG129" i="24"/>
  <c r="CQ129" i="24"/>
  <c r="CA129" i="24"/>
  <c r="BK129" i="24"/>
  <c r="AU129" i="24"/>
  <c r="AE129" i="24"/>
  <c r="O129" i="24"/>
  <c r="DQ129" i="24"/>
  <c r="BI129" i="24"/>
  <c r="FR129" i="24"/>
  <c r="FB129" i="24"/>
  <c r="EL129" i="24"/>
  <c r="DV129" i="24"/>
  <c r="DF129" i="24"/>
  <c r="CP129" i="24"/>
  <c r="BZ129" i="24"/>
  <c r="BJ129" i="24"/>
  <c r="AT129" i="24"/>
  <c r="Z129" i="24"/>
  <c r="EO129" i="24"/>
  <c r="BE129" i="24"/>
  <c r="DX129" i="24"/>
  <c r="BL129" i="24"/>
  <c r="DU129" i="24"/>
  <c r="EI129" i="24"/>
  <c r="DS129" i="24"/>
  <c r="DC129" i="24"/>
  <c r="CM129" i="24"/>
  <c r="BW129" i="24"/>
  <c r="BG129" i="24"/>
  <c r="AQ129" i="24"/>
  <c r="AA129" i="24"/>
  <c r="FM129" i="24"/>
  <c r="DA129" i="24"/>
  <c r="AS129" i="24"/>
  <c r="FN129" i="24"/>
  <c r="EX129" i="24"/>
  <c r="EH129" i="24"/>
  <c r="DR129" i="24"/>
  <c r="DB129" i="24"/>
  <c r="CL129" i="24"/>
  <c r="BV129" i="24"/>
  <c r="BF129" i="24"/>
  <c r="AP129" i="24"/>
  <c r="V129" i="24"/>
  <c r="AL129" i="24"/>
  <c r="DD172" i="24"/>
  <c r="FQ172" i="24"/>
  <c r="DP172" i="24"/>
  <c r="CZ172" i="24"/>
  <c r="CJ172" i="24"/>
  <c r="BT172" i="24"/>
  <c r="BD172" i="24"/>
  <c r="FE172" i="24"/>
  <c r="FG172" i="24"/>
  <c r="EQ172" i="24"/>
  <c r="EA172" i="24"/>
  <c r="DK172" i="24"/>
  <c r="CU172" i="24"/>
  <c r="CE172" i="24"/>
  <c r="BO172" i="24"/>
  <c r="AY172" i="24"/>
  <c r="FA172" i="24"/>
  <c r="EK172" i="24"/>
  <c r="CC172" i="24"/>
  <c r="EO172" i="24"/>
  <c r="DU172" i="24"/>
  <c r="BH172" i="24"/>
  <c r="DI172" i="24"/>
  <c r="EE172" i="24"/>
  <c r="G34" i="26"/>
  <c r="D52" i="15"/>
  <c r="B8" i="16" s="1"/>
  <c r="G52" i="25"/>
  <c r="BK28" i="44"/>
  <c r="BL28" i="44" s="1"/>
  <c r="BM29" i="44" s="1"/>
  <c r="BH28" i="44"/>
  <c r="BI28" i="44" s="1"/>
  <c r="BJ29" i="44" s="1"/>
  <c r="BF28" i="44"/>
  <c r="BB28" i="44"/>
  <c r="BC28" i="44" s="1"/>
  <c r="BA29" i="44"/>
  <c r="BK29" i="44" s="1"/>
  <c r="AZ30" i="44"/>
  <c r="AF20" i="44"/>
  <c r="AE20" i="44"/>
  <c r="AE21" i="44" s="1"/>
  <c r="AE22" i="44" s="1"/>
  <c r="AE23" i="44" s="1"/>
  <c r="AE24" i="44" s="1"/>
  <c r="AE25" i="44" s="1"/>
  <c r="AE26" i="44" s="1"/>
  <c r="AE27" i="44" s="1"/>
  <c r="AE28" i="44" s="1"/>
  <c r="AE29" i="44" s="1"/>
  <c r="AE30" i="44" s="1"/>
  <c r="AE31" i="44" s="1"/>
  <c r="AE32" i="44" s="1"/>
  <c r="AE33" i="44" s="1"/>
  <c r="AE34" i="44" s="1"/>
  <c r="AE35" i="44" s="1"/>
  <c r="AE36" i="44" s="1"/>
  <c r="AE37" i="44" s="1"/>
  <c r="AE38" i="44" s="1"/>
  <c r="AE39" i="44" s="1"/>
  <c r="AE40" i="44" s="1"/>
  <c r="AE41" i="44" s="1"/>
  <c r="AE42" i="44" s="1"/>
  <c r="AE43" i="44" s="1"/>
  <c r="AE44" i="44" s="1"/>
  <c r="AE45" i="44" s="1"/>
  <c r="AE46" i="44" s="1"/>
  <c r="AE47" i="44" s="1"/>
  <c r="AE48" i="44" s="1"/>
  <c r="AE49" i="44" s="1"/>
  <c r="AT36" i="44"/>
  <c r="AT35" i="44"/>
  <c r="L10" i="46"/>
  <c r="AQ33" i="46"/>
  <c r="AQ37" i="46"/>
  <c r="AQ40" i="46"/>
  <c r="AR40" i="46" s="1"/>
  <c r="AQ41" i="46"/>
  <c r="AQ39" i="46"/>
  <c r="V5" i="44"/>
  <c r="H20" i="44"/>
  <c r="M21" i="44" s="1"/>
  <c r="AT40" i="44"/>
  <c r="AT39" i="44"/>
  <c r="AC47" i="46"/>
  <c r="E32" i="32"/>
  <c r="D53" i="15"/>
  <c r="DE172" i="24"/>
  <c r="CG172" i="24"/>
  <c r="EF172" i="24"/>
  <c r="DY172" i="24"/>
  <c r="BA172" i="24"/>
  <c r="FI172" i="24"/>
  <c r="CW172" i="24"/>
  <c r="AW172" i="24"/>
  <c r="FP172" i="24"/>
  <c r="EZ172" i="24"/>
  <c r="EJ172" i="24"/>
  <c r="DT172" i="24"/>
  <c r="BX172" i="24"/>
  <c r="AR172" i="24"/>
  <c r="AO172" i="24"/>
  <c r="FK172" i="24"/>
  <c r="EU172" i="24"/>
  <c r="DO172" i="24"/>
  <c r="CY172" i="24"/>
  <c r="CI172" i="24"/>
  <c r="BS172" i="24"/>
  <c r="BC172" i="24"/>
  <c r="EW172" i="24"/>
  <c r="CK172" i="24"/>
  <c r="FJ172" i="24"/>
  <c r="ET172" i="24"/>
  <c r="ED172" i="24"/>
  <c r="DN172" i="24"/>
  <c r="CX172" i="24"/>
  <c r="CH172" i="24"/>
  <c r="BR172" i="24"/>
  <c r="BB172" i="24"/>
  <c r="FL172" i="24"/>
  <c r="CS172" i="24"/>
  <c r="EG172" i="24"/>
  <c r="BY172" i="24"/>
  <c r="FF172" i="24"/>
  <c r="EP172" i="24"/>
  <c r="DZ172" i="24"/>
  <c r="DJ172" i="24"/>
  <c r="CT172" i="24"/>
  <c r="CD172" i="24"/>
  <c r="BN172" i="24"/>
  <c r="AX172" i="24"/>
  <c r="CO172" i="24"/>
  <c r="EC172" i="24"/>
  <c r="BQ172" i="24"/>
  <c r="FH172" i="24"/>
  <c r="ER172" i="24"/>
  <c r="EB172" i="24"/>
  <c r="DL172" i="24"/>
  <c r="CV172" i="24"/>
  <c r="CF172" i="24"/>
  <c r="BP172" i="24"/>
  <c r="AZ172" i="24"/>
  <c r="FS172" i="24"/>
  <c r="FC172" i="24"/>
  <c r="EM172" i="24"/>
  <c r="DW172" i="24"/>
  <c r="DG172" i="24"/>
  <c r="CQ172" i="24"/>
  <c r="CA172" i="24"/>
  <c r="BK172" i="24"/>
  <c r="AU172" i="24"/>
  <c r="DQ172" i="24"/>
  <c r="BI172" i="24"/>
  <c r="FR172" i="24"/>
  <c r="FB172" i="24"/>
  <c r="EL172" i="24"/>
  <c r="DV172" i="24"/>
  <c r="DF172" i="24"/>
  <c r="CP172" i="24"/>
  <c r="BZ172" i="24"/>
  <c r="BJ172" i="24"/>
  <c r="AT172" i="24"/>
  <c r="ES172" i="24"/>
  <c r="EV172" i="24"/>
  <c r="BU172" i="24"/>
  <c r="DM172" i="24"/>
  <c r="BE172" i="24"/>
  <c r="FT172" i="24"/>
  <c r="FD172" i="24"/>
  <c r="EN172" i="24"/>
  <c r="DX172" i="24"/>
  <c r="DH172" i="24"/>
  <c r="CR172" i="24"/>
  <c r="CB172" i="24"/>
  <c r="BL172" i="24"/>
  <c r="AV172" i="24"/>
  <c r="BM172" i="24"/>
  <c r="FO172" i="24"/>
  <c r="EY172" i="24"/>
  <c r="EI172" i="24"/>
  <c r="DS172" i="24"/>
  <c r="DC172" i="24"/>
  <c r="CM172" i="24"/>
  <c r="BW172" i="24"/>
  <c r="BG172" i="24"/>
  <c r="AQ172" i="24"/>
  <c r="FM172" i="24"/>
  <c r="DA172" i="24"/>
  <c r="AS172" i="24"/>
  <c r="FN172" i="24"/>
  <c r="EX172" i="24"/>
  <c r="EH172" i="24"/>
  <c r="DR172" i="24"/>
  <c r="DB172" i="24"/>
  <c r="CL172" i="24"/>
  <c r="BV172" i="24"/>
  <c r="BF172" i="24"/>
  <c r="AP172" i="24"/>
  <c r="W33" i="39"/>
  <c r="X33" i="39" s="1"/>
  <c r="I14" i="32"/>
  <c r="I21" i="32" s="1"/>
  <c r="I23" i="32" s="1"/>
  <c r="Q6" i="39"/>
  <c r="I12" i="32"/>
  <c r="I13" i="32" s="1"/>
  <c r="AE439" i="39"/>
  <c r="AF438" i="39"/>
  <c r="F20" i="39"/>
  <c r="CN172" i="24"/>
  <c r="E26" i="28"/>
  <c r="E15" i="28"/>
  <c r="I34" i="55" s="1"/>
  <c r="EO204" i="24"/>
  <c r="EO200" i="24"/>
  <c r="EO201" i="24"/>
  <c r="EO203" i="24"/>
  <c r="EO208" i="24"/>
  <c r="EO210" i="24"/>
  <c r="EO202" i="24"/>
  <c r="EO206" i="24"/>
  <c r="EO207" i="24"/>
  <c r="EO211" i="24"/>
  <c r="EO209" i="24"/>
  <c r="EO212" i="24"/>
  <c r="EO213" i="24"/>
  <c r="EO205" i="24"/>
  <c r="BU204" i="24"/>
  <c r="BU208" i="24"/>
  <c r="BU210" i="24"/>
  <c r="BU200" i="24"/>
  <c r="BU203" i="24"/>
  <c r="BU209" i="24"/>
  <c r="BU211" i="24"/>
  <c r="BU205" i="24"/>
  <c r="BU206" i="24"/>
  <c r="BU213" i="24"/>
  <c r="BU202" i="24"/>
  <c r="BU207" i="24"/>
  <c r="BU212" i="24"/>
  <c r="BU201" i="24"/>
  <c r="DM201" i="24"/>
  <c r="DM204" i="24"/>
  <c r="DM208" i="24"/>
  <c r="DM210" i="24"/>
  <c r="DM200" i="24"/>
  <c r="DM202" i="24"/>
  <c r="DM207" i="24"/>
  <c r="DM203" i="24"/>
  <c r="DM209" i="24"/>
  <c r="DM211" i="24"/>
  <c r="DM205" i="24"/>
  <c r="DM206" i="24"/>
  <c r="DM213" i="24"/>
  <c r="DM212" i="24"/>
  <c r="BE202" i="24"/>
  <c r="BE204" i="24"/>
  <c r="BE208" i="24"/>
  <c r="BE210" i="24"/>
  <c r="BE200" i="24"/>
  <c r="BE209" i="24"/>
  <c r="BE205" i="24"/>
  <c r="BE211" i="24"/>
  <c r="BE201" i="24"/>
  <c r="BE213" i="24"/>
  <c r="BE212" i="24"/>
  <c r="BE206" i="24"/>
  <c r="BE203" i="24"/>
  <c r="BE207" i="24"/>
  <c r="FT201" i="24"/>
  <c r="FT203" i="24"/>
  <c r="FT205" i="24"/>
  <c r="FT207" i="24"/>
  <c r="FT211" i="24"/>
  <c r="FT213" i="24"/>
  <c r="FT200" i="24"/>
  <c r="FT202" i="24"/>
  <c r="FT208" i="24"/>
  <c r="FT209" i="24"/>
  <c r="FT210" i="24"/>
  <c r="FT212" i="24"/>
  <c r="FT204" i="24"/>
  <c r="FT206" i="24"/>
  <c r="FD201" i="24"/>
  <c r="FD203" i="24"/>
  <c r="FD205" i="24"/>
  <c r="FD200" i="24"/>
  <c r="FD202" i="24"/>
  <c r="FD207" i="24"/>
  <c r="FD211" i="24"/>
  <c r="FD213" i="24"/>
  <c r="FD208" i="24"/>
  <c r="FD209" i="24"/>
  <c r="FD212" i="24"/>
  <c r="FD206" i="24"/>
  <c r="FD204" i="24"/>
  <c r="FD210" i="24"/>
  <c r="EN201" i="24"/>
  <c r="EN203" i="24"/>
  <c r="EN205" i="24"/>
  <c r="EN200" i="24"/>
  <c r="EN207" i="24"/>
  <c r="EN211" i="24"/>
  <c r="EN213" i="24"/>
  <c r="EN204" i="24"/>
  <c r="EN208" i="24"/>
  <c r="EN209" i="24"/>
  <c r="EN210" i="24"/>
  <c r="EN212" i="24"/>
  <c r="EN202" i="24"/>
  <c r="EN206" i="24"/>
  <c r="DX201" i="24"/>
  <c r="DX203" i="24"/>
  <c r="DX205" i="24"/>
  <c r="DX204" i="24"/>
  <c r="DX207" i="24"/>
  <c r="DX211" i="24"/>
  <c r="DX213" i="24"/>
  <c r="DX208" i="24"/>
  <c r="DX209" i="24"/>
  <c r="DX202" i="24"/>
  <c r="DX212" i="24"/>
  <c r="DX200" i="24"/>
  <c r="DX206" i="24"/>
  <c r="DX210" i="24"/>
  <c r="DH201" i="24"/>
  <c r="DH203" i="24"/>
  <c r="DH205" i="24"/>
  <c r="DH207" i="24"/>
  <c r="DH211" i="24"/>
  <c r="DH213" i="24"/>
  <c r="DH202" i="24"/>
  <c r="DH208" i="24"/>
  <c r="DH209" i="24"/>
  <c r="DH210" i="24"/>
  <c r="DH212" i="24"/>
  <c r="DH204" i="24"/>
  <c r="DH200" i="24"/>
  <c r="DH206" i="24"/>
  <c r="CR201" i="24"/>
  <c r="CR203" i="24"/>
  <c r="CR202" i="24"/>
  <c r="CR207" i="24"/>
  <c r="CR211" i="24"/>
  <c r="CR213" i="24"/>
  <c r="CR208" i="24"/>
  <c r="CR209" i="24"/>
  <c r="CR200" i="24"/>
  <c r="CR204" i="24"/>
  <c r="CR212" i="24"/>
  <c r="CR206" i="24"/>
  <c r="CR210" i="24"/>
  <c r="CR205" i="24"/>
  <c r="CB201" i="24"/>
  <c r="CB203" i="24"/>
  <c r="CB207" i="24"/>
  <c r="CB211" i="24"/>
  <c r="CB213" i="24"/>
  <c r="CB204" i="24"/>
  <c r="CB208" i="24"/>
  <c r="CB209" i="24"/>
  <c r="CB210" i="24"/>
  <c r="CB212" i="24"/>
  <c r="CB200" i="24"/>
  <c r="CB205" i="24"/>
  <c r="CB202" i="24"/>
  <c r="CB206" i="24"/>
  <c r="BL201" i="24"/>
  <c r="BL203" i="24"/>
  <c r="BL204" i="24"/>
  <c r="BL207" i="24"/>
  <c r="BL213" i="24"/>
  <c r="BL200" i="24"/>
  <c r="BL205" i="24"/>
  <c r="BL208" i="24"/>
  <c r="BL209" i="24"/>
  <c r="BL212" i="24"/>
  <c r="BL206" i="24"/>
  <c r="BL202" i="24"/>
  <c r="BL210" i="24"/>
  <c r="BL211" i="24"/>
  <c r="AV201" i="24"/>
  <c r="AV203" i="24"/>
  <c r="AV202" i="24"/>
  <c r="AV205" i="24"/>
  <c r="AV207" i="24"/>
  <c r="AV213" i="24"/>
  <c r="AV200" i="24"/>
  <c r="AV208" i="24"/>
  <c r="AV209" i="24"/>
  <c r="AV210" i="24"/>
  <c r="AV211" i="24"/>
  <c r="AV212" i="24"/>
  <c r="AV204" i="24"/>
  <c r="AV206" i="24"/>
  <c r="DU201" i="24"/>
  <c r="DU204" i="24"/>
  <c r="DU200" i="24"/>
  <c r="DU202" i="24"/>
  <c r="DU208" i="24"/>
  <c r="DU210" i="24"/>
  <c r="DU205" i="24"/>
  <c r="DU203" i="24"/>
  <c r="DU206" i="24"/>
  <c r="DU211" i="24"/>
  <c r="DU207" i="24"/>
  <c r="DU209" i="24"/>
  <c r="DU212" i="24"/>
  <c r="DU213" i="24"/>
  <c r="BM204" i="24"/>
  <c r="BM203" i="24"/>
  <c r="BM208" i="24"/>
  <c r="BM210" i="24"/>
  <c r="BM201" i="24"/>
  <c r="BM206" i="24"/>
  <c r="BM207" i="24"/>
  <c r="BM200" i="24"/>
  <c r="BM212" i="24"/>
  <c r="BM205" i="24"/>
  <c r="BM209" i="24"/>
  <c r="BM213" i="24"/>
  <c r="BM202" i="24"/>
  <c r="BM211" i="24"/>
  <c r="FO201" i="24"/>
  <c r="FO200" i="24"/>
  <c r="FO202" i="24"/>
  <c r="FO203" i="24"/>
  <c r="FO207" i="24"/>
  <c r="FO209" i="24"/>
  <c r="FO204" i="24"/>
  <c r="FO208" i="24"/>
  <c r="FO212" i="24"/>
  <c r="FO205" i="24"/>
  <c r="FO206" i="24"/>
  <c r="FO210" i="24"/>
  <c r="FO213" i="24"/>
  <c r="FO211" i="24"/>
  <c r="EY201" i="24"/>
  <c r="EY200" i="24"/>
  <c r="EY202" i="24"/>
  <c r="EY203" i="24"/>
  <c r="EY207" i="24"/>
  <c r="EY209" i="24"/>
  <c r="EY208" i="24"/>
  <c r="EY212" i="24"/>
  <c r="EY210" i="24"/>
  <c r="EY204" i="24"/>
  <c r="EY213" i="24"/>
  <c r="EY205" i="24"/>
  <c r="EY206" i="24"/>
  <c r="EY211" i="24"/>
  <c r="EI201" i="24"/>
  <c r="EI200" i="24"/>
  <c r="EI202" i="24"/>
  <c r="EI203" i="24"/>
  <c r="EI207" i="24"/>
  <c r="EI209" i="24"/>
  <c r="EI208" i="24"/>
  <c r="EI212" i="24"/>
  <c r="EI204" i="24"/>
  <c r="EI205" i="24"/>
  <c r="EI206" i="24"/>
  <c r="EI210" i="24"/>
  <c r="EI213" i="24"/>
  <c r="EI211" i="24"/>
  <c r="DS201" i="24"/>
  <c r="DS200" i="24"/>
  <c r="DS202" i="24"/>
  <c r="DS203" i="24"/>
  <c r="DS207" i="24"/>
  <c r="DS209" i="24"/>
  <c r="DS204" i="24"/>
  <c r="DS208" i="24"/>
  <c r="DS212" i="24"/>
  <c r="DS210" i="24"/>
  <c r="DS213" i="24"/>
  <c r="DS205" i="24"/>
  <c r="DS206" i="24"/>
  <c r="DS211" i="24"/>
  <c r="DC201" i="24"/>
  <c r="DC200" i="24"/>
  <c r="DC202" i="24"/>
  <c r="DC203" i="24"/>
  <c r="DC207" i="24"/>
  <c r="DC209" i="24"/>
  <c r="DC204" i="24"/>
  <c r="DC205" i="24"/>
  <c r="DC208" i="24"/>
  <c r="DC212" i="24"/>
  <c r="DC206" i="24"/>
  <c r="DC210" i="24"/>
  <c r="DC213" i="24"/>
  <c r="DC211" i="24"/>
  <c r="CM201" i="24"/>
  <c r="CM200" i="24"/>
  <c r="CM202" i="24"/>
  <c r="CM203" i="24"/>
  <c r="CM207" i="24"/>
  <c r="CM209" i="24"/>
  <c r="CM205" i="24"/>
  <c r="CM208" i="24"/>
  <c r="CM212" i="24"/>
  <c r="CM210" i="24"/>
  <c r="CM213" i="24"/>
  <c r="CM204" i="24"/>
  <c r="CM206" i="24"/>
  <c r="CM211" i="24"/>
  <c r="BW201" i="24"/>
  <c r="BW200" i="24"/>
  <c r="BW202" i="24"/>
  <c r="BW203" i="24"/>
  <c r="BW207" i="24"/>
  <c r="BW209" i="24"/>
  <c r="BW208" i="24"/>
  <c r="BW212" i="24"/>
  <c r="BW205" i="24"/>
  <c r="BW206" i="24"/>
  <c r="BW204" i="24"/>
  <c r="BW210" i="24"/>
  <c r="BW213" i="24"/>
  <c r="BW211" i="24"/>
  <c r="BG201" i="24"/>
  <c r="BG200" i="24"/>
  <c r="BG202" i="24"/>
  <c r="BG203" i="24"/>
  <c r="BG207" i="24"/>
  <c r="BG209" i="24"/>
  <c r="BG211" i="24"/>
  <c r="BG204" i="24"/>
  <c r="BG208" i="24"/>
  <c r="BG212" i="24"/>
  <c r="BG205" i="24"/>
  <c r="BG210" i="24"/>
  <c r="BG213" i="24"/>
  <c r="BG206" i="24"/>
  <c r="FM204" i="24"/>
  <c r="FM208" i="24"/>
  <c r="FM210" i="24"/>
  <c r="FM209" i="24"/>
  <c r="FM201" i="24"/>
  <c r="FM202" i="24"/>
  <c r="FM205" i="24"/>
  <c r="FM211" i="24"/>
  <c r="FM206" i="24"/>
  <c r="FM213" i="24"/>
  <c r="FM207" i="24"/>
  <c r="FM212" i="24"/>
  <c r="FM203" i="24"/>
  <c r="FM200" i="24"/>
  <c r="DA204" i="24"/>
  <c r="DA208" i="24"/>
  <c r="DA210" i="24"/>
  <c r="DA205" i="24"/>
  <c r="DA209" i="24"/>
  <c r="DA200" i="24"/>
  <c r="DA202" i="24"/>
  <c r="DA211" i="24"/>
  <c r="DA203" i="24"/>
  <c r="DA206" i="24"/>
  <c r="DA213" i="24"/>
  <c r="DA207" i="24"/>
  <c r="DA212" i="24"/>
  <c r="DA201" i="24"/>
  <c r="AS202" i="24"/>
  <c r="AS201" i="24"/>
  <c r="AS204" i="24"/>
  <c r="AS205" i="24"/>
  <c r="AS208" i="24"/>
  <c r="AS210" i="24"/>
  <c r="AS200" i="24"/>
  <c r="AS203" i="24"/>
  <c r="AS211" i="24"/>
  <c r="AS206" i="24"/>
  <c r="AS207" i="24"/>
  <c r="AS209" i="24"/>
  <c r="AS212" i="24"/>
  <c r="AS213" i="24"/>
  <c r="FN200" i="24"/>
  <c r="FN204" i="24"/>
  <c r="FN206" i="24"/>
  <c r="FN207" i="24"/>
  <c r="FN208" i="24"/>
  <c r="FN212" i="24"/>
  <c r="FN209" i="24"/>
  <c r="FN210" i="24"/>
  <c r="FN201" i="24"/>
  <c r="FN202" i="24"/>
  <c r="FN205" i="24"/>
  <c r="FN213" i="24"/>
  <c r="FN211" i="24"/>
  <c r="FN203" i="24"/>
  <c r="EX200" i="24"/>
  <c r="EX201" i="24"/>
  <c r="EX204" i="24"/>
  <c r="EX206" i="24"/>
  <c r="EX207" i="24"/>
  <c r="EX208" i="24"/>
  <c r="EX212" i="24"/>
  <c r="EX202" i="24"/>
  <c r="EX209" i="24"/>
  <c r="EX210" i="24"/>
  <c r="EX213" i="24"/>
  <c r="EX203" i="24"/>
  <c r="EX205" i="24"/>
  <c r="EX211" i="24"/>
  <c r="EH200" i="24"/>
  <c r="EH204" i="24"/>
  <c r="EH206" i="24"/>
  <c r="EH202" i="24"/>
  <c r="EH207" i="24"/>
  <c r="EH208" i="24"/>
  <c r="EH212" i="24"/>
  <c r="EH201" i="24"/>
  <c r="EH203" i="24"/>
  <c r="EH209" i="24"/>
  <c r="EH210" i="24"/>
  <c r="EH205" i="24"/>
  <c r="EH213" i="24"/>
  <c r="EH211" i="24"/>
  <c r="DR200" i="24"/>
  <c r="DR201" i="24"/>
  <c r="DR204" i="24"/>
  <c r="DR206" i="24"/>
  <c r="DR203" i="24"/>
  <c r="DR207" i="24"/>
  <c r="DR208" i="24"/>
  <c r="DR212" i="24"/>
  <c r="DR209" i="24"/>
  <c r="DR210" i="24"/>
  <c r="DR213" i="24"/>
  <c r="DR205" i="24"/>
  <c r="DR211" i="24"/>
  <c r="DR202" i="24"/>
  <c r="DB200" i="24"/>
  <c r="DB205" i="24"/>
  <c r="DB204" i="24"/>
  <c r="DB206" i="24"/>
  <c r="DB201" i="24"/>
  <c r="DB207" i="24"/>
  <c r="DB208" i="24"/>
  <c r="DB212" i="24"/>
  <c r="DB209" i="24"/>
  <c r="DB210" i="24"/>
  <c r="DB203" i="24"/>
  <c r="DB213" i="24"/>
  <c r="DB202" i="24"/>
  <c r="DB211" i="24"/>
  <c r="CL200" i="24"/>
  <c r="CL205" i="24"/>
  <c r="CL201" i="24"/>
  <c r="CL204" i="24"/>
  <c r="CL206" i="24"/>
  <c r="CL207" i="24"/>
  <c r="CL208" i="24"/>
  <c r="CL212" i="24"/>
  <c r="CL202" i="24"/>
  <c r="CL209" i="24"/>
  <c r="CL210" i="24"/>
  <c r="CL203" i="24"/>
  <c r="CL213" i="24"/>
  <c r="CL211" i="24"/>
  <c r="BV200" i="24"/>
  <c r="BV205" i="24"/>
  <c r="BV204" i="24"/>
  <c r="BV206" i="24"/>
  <c r="BV202" i="24"/>
  <c r="BV207" i="24"/>
  <c r="BV208" i="24"/>
  <c r="BV212" i="24"/>
  <c r="BV203" i="24"/>
  <c r="BV209" i="24"/>
  <c r="BV210" i="24"/>
  <c r="BV213" i="24"/>
  <c r="BV211" i="24"/>
  <c r="BV201" i="24"/>
  <c r="BF200" i="24"/>
  <c r="BF202" i="24"/>
  <c r="BF205" i="24"/>
  <c r="BF201" i="24"/>
  <c r="BF204" i="24"/>
  <c r="BF206" i="24"/>
  <c r="BF203" i="24"/>
  <c r="BF207" i="24"/>
  <c r="BF208" i="24"/>
  <c r="BF212" i="24"/>
  <c r="BF209" i="24"/>
  <c r="BF210" i="24"/>
  <c r="BF211" i="24"/>
  <c r="BF213" i="24"/>
  <c r="DY204" i="24"/>
  <c r="DY203" i="24"/>
  <c r="DY208" i="24"/>
  <c r="DY210" i="24"/>
  <c r="DY200" i="24"/>
  <c r="DY206" i="24"/>
  <c r="DY207" i="24"/>
  <c r="DY211" i="24"/>
  <c r="DY202" i="24"/>
  <c r="DY205" i="24"/>
  <c r="DY212" i="24"/>
  <c r="DY201" i="24"/>
  <c r="DY209" i="24"/>
  <c r="DY213" i="24"/>
  <c r="BA202" i="24"/>
  <c r="BA201" i="24"/>
  <c r="BA204" i="24"/>
  <c r="BA208" i="24"/>
  <c r="BA210" i="24"/>
  <c r="BA207" i="24"/>
  <c r="BA203" i="24"/>
  <c r="BA209" i="24"/>
  <c r="BA206" i="24"/>
  <c r="BA213" i="24"/>
  <c r="BA200" i="24"/>
  <c r="BA211" i="24"/>
  <c r="BA205" i="24"/>
  <c r="BA212" i="24"/>
  <c r="FI201" i="24"/>
  <c r="FI204" i="24"/>
  <c r="FI208" i="24"/>
  <c r="FI210" i="24"/>
  <c r="FI203" i="24"/>
  <c r="FI207" i="24"/>
  <c r="FI209" i="24"/>
  <c r="FI211" i="24"/>
  <c r="FI213" i="24"/>
  <c r="FI200" i="24"/>
  <c r="FI205" i="24"/>
  <c r="FI202" i="24"/>
  <c r="FI206" i="24"/>
  <c r="FI212" i="24"/>
  <c r="CW201" i="24"/>
  <c r="CW204" i="24"/>
  <c r="CW208" i="24"/>
  <c r="CW210" i="24"/>
  <c r="CW200" i="24"/>
  <c r="CW203" i="24"/>
  <c r="CW207" i="24"/>
  <c r="CW209" i="24"/>
  <c r="CW211" i="24"/>
  <c r="CW205" i="24"/>
  <c r="CW202" i="24"/>
  <c r="CW213" i="24"/>
  <c r="CW206" i="24"/>
  <c r="CW212" i="24"/>
  <c r="AW202" i="24"/>
  <c r="AW204" i="24"/>
  <c r="AW200" i="24"/>
  <c r="AW201" i="24"/>
  <c r="AW203" i="24"/>
  <c r="AW208" i="24"/>
  <c r="AW210" i="24"/>
  <c r="AW206" i="24"/>
  <c r="AW205" i="24"/>
  <c r="AW207" i="24"/>
  <c r="AW209" i="24"/>
  <c r="AW211" i="24"/>
  <c r="AW212" i="24"/>
  <c r="AW213" i="24"/>
  <c r="FP201" i="24"/>
  <c r="FP200" i="24"/>
  <c r="FP203" i="24"/>
  <c r="FP205" i="24"/>
  <c r="FP206" i="24"/>
  <c r="FP211" i="24"/>
  <c r="FP213" i="24"/>
  <c r="FP204" i="24"/>
  <c r="FP207" i="24"/>
  <c r="FP202" i="24"/>
  <c r="FP208" i="24"/>
  <c r="FP209" i="24"/>
  <c r="FP212" i="24"/>
  <c r="FP210" i="24"/>
  <c r="EZ201" i="24"/>
  <c r="EZ200" i="24"/>
  <c r="EZ203" i="24"/>
  <c r="EZ205" i="24"/>
  <c r="EZ204" i="24"/>
  <c r="EZ206" i="24"/>
  <c r="EZ211" i="24"/>
  <c r="EZ213" i="24"/>
  <c r="EZ207" i="24"/>
  <c r="EZ202" i="24"/>
  <c r="EZ208" i="24"/>
  <c r="EZ209" i="24"/>
  <c r="EZ210" i="24"/>
  <c r="EZ212" i="24"/>
  <c r="EJ201" i="24"/>
  <c r="EJ200" i="24"/>
  <c r="EJ203" i="24"/>
  <c r="EJ205" i="24"/>
  <c r="EJ206" i="24"/>
  <c r="EJ211" i="24"/>
  <c r="EJ213" i="24"/>
  <c r="EJ202" i="24"/>
  <c r="EJ207" i="24"/>
  <c r="EJ204" i="24"/>
  <c r="EJ208" i="24"/>
  <c r="EJ209" i="24"/>
  <c r="EJ212" i="24"/>
  <c r="EJ210" i="24"/>
  <c r="DT201" i="24"/>
  <c r="DT200" i="24"/>
  <c r="DT203" i="24"/>
  <c r="DT205" i="24"/>
  <c r="DT202" i="24"/>
  <c r="DT206" i="24"/>
  <c r="DT211" i="24"/>
  <c r="DT213" i="24"/>
  <c r="DT207" i="24"/>
  <c r="DT204" i="24"/>
  <c r="DT208" i="24"/>
  <c r="DT209" i="24"/>
  <c r="DT210" i="24"/>
  <c r="DT212" i="24"/>
  <c r="DD201" i="24"/>
  <c r="DD200" i="24"/>
  <c r="DD203" i="24"/>
  <c r="DD206" i="24"/>
  <c r="DD211" i="24"/>
  <c r="DD213" i="24"/>
  <c r="DD204" i="24"/>
  <c r="DD207" i="24"/>
  <c r="DD205" i="24"/>
  <c r="DD208" i="24"/>
  <c r="DD209" i="24"/>
  <c r="DD212" i="24"/>
  <c r="DD202" i="24"/>
  <c r="DD210" i="24"/>
  <c r="CN201" i="24"/>
  <c r="CN200" i="24"/>
  <c r="CN203" i="24"/>
  <c r="CN204" i="24"/>
  <c r="CN206" i="24"/>
  <c r="CN211" i="24"/>
  <c r="CN213" i="24"/>
  <c r="CN205" i="24"/>
  <c r="CN207" i="24"/>
  <c r="CN208" i="24"/>
  <c r="CN209" i="24"/>
  <c r="CN210" i="24"/>
  <c r="CN202" i="24"/>
  <c r="CN212" i="24"/>
  <c r="BX201" i="24"/>
  <c r="BX200" i="24"/>
  <c r="BX203" i="24"/>
  <c r="BX205" i="24"/>
  <c r="BX206" i="24"/>
  <c r="BX211" i="24"/>
  <c r="BX213" i="24"/>
  <c r="BX202" i="24"/>
  <c r="BX207" i="24"/>
  <c r="BX208" i="24"/>
  <c r="BX209" i="24"/>
  <c r="BX212" i="24"/>
  <c r="BX204" i="24"/>
  <c r="BX210" i="24"/>
  <c r="BH201" i="24"/>
  <c r="BH200" i="24"/>
  <c r="BH203" i="24"/>
  <c r="BH206" i="24"/>
  <c r="BH213" i="24"/>
  <c r="BH202" i="24"/>
  <c r="BH207" i="24"/>
  <c r="BH208" i="24"/>
  <c r="BH209" i="24"/>
  <c r="BH205" i="24"/>
  <c r="BH210" i="24"/>
  <c r="BH211" i="24"/>
  <c r="BH204" i="24"/>
  <c r="BH212" i="24"/>
  <c r="AR201" i="24"/>
  <c r="AR200" i="24"/>
  <c r="AR203" i="24"/>
  <c r="AR206" i="24"/>
  <c r="AR213" i="24"/>
  <c r="AR202" i="24"/>
  <c r="AR204" i="24"/>
  <c r="AR207" i="24"/>
  <c r="AR205" i="24"/>
  <c r="AR208" i="24"/>
  <c r="AR209" i="24"/>
  <c r="AR212" i="24"/>
  <c r="AR210" i="24"/>
  <c r="AR211" i="24"/>
  <c r="DI204" i="24"/>
  <c r="DI200" i="24"/>
  <c r="DI201" i="24"/>
  <c r="DI203" i="24"/>
  <c r="DI208" i="24"/>
  <c r="DI210" i="24"/>
  <c r="DI206" i="24"/>
  <c r="DI205" i="24"/>
  <c r="DI207" i="24"/>
  <c r="DI211" i="24"/>
  <c r="DI202" i="24"/>
  <c r="DI209" i="24"/>
  <c r="DI212" i="24"/>
  <c r="DI213" i="24"/>
  <c r="FK201" i="24"/>
  <c r="FK200" i="24"/>
  <c r="FK202" i="24"/>
  <c r="FK207" i="24"/>
  <c r="FK209" i="24"/>
  <c r="FK205" i="24"/>
  <c r="FK206" i="24"/>
  <c r="FK203" i="24"/>
  <c r="FK212" i="24"/>
  <c r="FK204" i="24"/>
  <c r="FK208" i="24"/>
  <c r="FK210" i="24"/>
  <c r="FK211" i="24"/>
  <c r="FK213" i="24"/>
  <c r="EU201" i="24"/>
  <c r="EU200" i="24"/>
  <c r="EU202" i="24"/>
  <c r="EU207" i="24"/>
  <c r="EU209" i="24"/>
  <c r="EU203" i="24"/>
  <c r="EU205" i="24"/>
  <c r="EU206" i="24"/>
  <c r="EU204" i="24"/>
  <c r="EU212" i="24"/>
  <c r="EU211" i="24"/>
  <c r="EU208" i="24"/>
  <c r="EU210" i="24"/>
  <c r="EU213" i="24"/>
  <c r="EE201" i="24"/>
  <c r="EE200" i="24"/>
  <c r="EE202" i="24"/>
  <c r="EE207" i="24"/>
  <c r="EE209" i="24"/>
  <c r="EE204" i="24"/>
  <c r="EE205" i="24"/>
  <c r="EE206" i="24"/>
  <c r="EE212" i="24"/>
  <c r="EE208" i="24"/>
  <c r="EE203" i="24"/>
  <c r="EE210" i="24"/>
  <c r="EE211" i="24"/>
  <c r="EE213" i="24"/>
  <c r="DO201" i="24"/>
  <c r="DO200" i="24"/>
  <c r="DO202" i="24"/>
  <c r="DO207" i="24"/>
  <c r="DO209" i="24"/>
  <c r="DO205" i="24"/>
  <c r="DO206" i="24"/>
  <c r="DO212" i="24"/>
  <c r="DO203" i="24"/>
  <c r="DO211" i="24"/>
  <c r="DO208" i="24"/>
  <c r="DO204" i="24"/>
  <c r="DO210" i="24"/>
  <c r="DO213" i="24"/>
  <c r="CY201" i="24"/>
  <c r="CY200" i="24"/>
  <c r="CY202" i="24"/>
  <c r="CY207" i="24"/>
  <c r="CY209" i="24"/>
  <c r="CY206" i="24"/>
  <c r="CY203" i="24"/>
  <c r="CY212" i="24"/>
  <c r="CY208" i="24"/>
  <c r="CY205" i="24"/>
  <c r="CY210" i="24"/>
  <c r="CY211" i="24"/>
  <c r="CY204" i="24"/>
  <c r="CY213" i="24"/>
  <c r="CI201" i="24"/>
  <c r="CI200" i="24"/>
  <c r="CI202" i="24"/>
  <c r="CI207" i="24"/>
  <c r="CI209" i="24"/>
  <c r="CI203" i="24"/>
  <c r="CI206" i="24"/>
  <c r="CI204" i="24"/>
  <c r="CI212" i="24"/>
  <c r="CI205" i="24"/>
  <c r="CI211" i="24"/>
  <c r="CI208" i="24"/>
  <c r="CI210" i="24"/>
  <c r="CI213" i="24"/>
  <c r="BS201" i="24"/>
  <c r="BS200" i="24"/>
  <c r="BS202" i="24"/>
  <c r="BS207" i="24"/>
  <c r="BS209" i="24"/>
  <c r="BS211" i="24"/>
  <c r="BS204" i="24"/>
  <c r="BS206" i="24"/>
  <c r="BS205" i="24"/>
  <c r="BS212" i="24"/>
  <c r="BS208" i="24"/>
  <c r="BS210" i="24"/>
  <c r="BS203" i="24"/>
  <c r="BS213" i="24"/>
  <c r="BC201" i="24"/>
  <c r="BC200" i="24"/>
  <c r="BC202" i="24"/>
  <c r="BC207" i="24"/>
  <c r="BC209" i="24"/>
  <c r="BC211" i="24"/>
  <c r="BC205" i="24"/>
  <c r="BC206" i="24"/>
  <c r="BC212" i="24"/>
  <c r="BC204" i="24"/>
  <c r="BC203" i="24"/>
  <c r="BC208" i="24"/>
  <c r="BC210" i="24"/>
  <c r="BC213" i="24"/>
  <c r="EW204" i="24"/>
  <c r="EW208" i="24"/>
  <c r="EW210" i="24"/>
  <c r="EW202" i="24"/>
  <c r="EW209" i="24"/>
  <c r="EW201" i="24"/>
  <c r="EW203" i="24"/>
  <c r="EW205" i="24"/>
  <c r="EW211" i="24"/>
  <c r="EW213" i="24"/>
  <c r="EW200" i="24"/>
  <c r="EW212" i="24"/>
  <c r="EW206" i="24"/>
  <c r="EW207" i="24"/>
  <c r="CK204" i="24"/>
  <c r="CK208" i="24"/>
  <c r="CK210" i="24"/>
  <c r="CK202" i="24"/>
  <c r="CK209" i="24"/>
  <c r="CK200" i="24"/>
  <c r="CK203" i="24"/>
  <c r="CK211" i="24"/>
  <c r="CK213" i="24"/>
  <c r="CK201" i="24"/>
  <c r="CK205" i="24"/>
  <c r="CK212" i="24"/>
  <c r="CK206" i="24"/>
  <c r="CK207" i="24"/>
  <c r="FJ200" i="24"/>
  <c r="FJ201" i="24"/>
  <c r="FJ203" i="24"/>
  <c r="FJ206" i="24"/>
  <c r="FJ202" i="24"/>
  <c r="FJ212" i="24"/>
  <c r="FJ204" i="24"/>
  <c r="FJ207" i="24"/>
  <c r="FJ208" i="24"/>
  <c r="FJ209" i="24"/>
  <c r="FJ210" i="24"/>
  <c r="FJ211" i="24"/>
  <c r="FJ213" i="24"/>
  <c r="FJ205" i="24"/>
  <c r="ET200" i="24"/>
  <c r="ET203" i="24"/>
  <c r="ET206" i="24"/>
  <c r="ET201" i="24"/>
  <c r="ET204" i="24"/>
  <c r="ET212" i="24"/>
  <c r="ET207" i="24"/>
  <c r="ET208" i="24"/>
  <c r="ET211" i="24"/>
  <c r="ET205" i="24"/>
  <c r="ET209" i="24"/>
  <c r="ET210" i="24"/>
  <c r="ET213" i="24"/>
  <c r="ET202" i="24"/>
  <c r="ED200" i="24"/>
  <c r="ED201" i="24"/>
  <c r="ED203" i="24"/>
  <c r="ED206" i="24"/>
  <c r="ED212" i="24"/>
  <c r="ED207" i="24"/>
  <c r="ED208" i="24"/>
  <c r="ED209" i="24"/>
  <c r="ED210" i="24"/>
  <c r="ED211" i="24"/>
  <c r="ED202" i="24"/>
  <c r="ED213" i="24"/>
  <c r="ED204" i="24"/>
  <c r="ED205" i="24"/>
  <c r="DN200" i="24"/>
  <c r="DN205" i="24"/>
  <c r="DN203" i="24"/>
  <c r="DN206" i="24"/>
  <c r="DN212" i="24"/>
  <c r="DN202" i="24"/>
  <c r="DN207" i="24"/>
  <c r="DN208" i="24"/>
  <c r="DN211" i="24"/>
  <c r="DN201" i="24"/>
  <c r="DN204" i="24"/>
  <c r="DN209" i="24"/>
  <c r="DN210" i="24"/>
  <c r="DN213" i="24"/>
  <c r="CX200" i="24"/>
  <c r="CX205" i="24"/>
  <c r="CX201" i="24"/>
  <c r="CX203" i="24"/>
  <c r="CX206" i="24"/>
  <c r="CX202" i="24"/>
  <c r="CX212" i="24"/>
  <c r="CX204" i="24"/>
  <c r="CX207" i="24"/>
  <c r="CX208" i="24"/>
  <c r="CX209" i="24"/>
  <c r="CX210" i="24"/>
  <c r="CX211" i="24"/>
  <c r="CX213" i="24"/>
  <c r="CH200" i="24"/>
  <c r="CH205" i="24"/>
  <c r="CH203" i="24"/>
  <c r="CH206" i="24"/>
  <c r="CH204" i="24"/>
  <c r="CH212" i="24"/>
  <c r="CH207" i="24"/>
  <c r="CH208" i="24"/>
  <c r="CH201" i="24"/>
  <c r="CH211" i="24"/>
  <c r="CH202" i="24"/>
  <c r="CH209" i="24"/>
  <c r="CH210" i="24"/>
  <c r="CH213" i="24"/>
  <c r="BR200" i="24"/>
  <c r="BR205" i="24"/>
  <c r="BR201" i="24"/>
  <c r="BR203" i="24"/>
  <c r="BR206" i="24"/>
  <c r="BR212" i="24"/>
  <c r="BR207" i="24"/>
  <c r="BR208" i="24"/>
  <c r="BR202" i="24"/>
  <c r="BR209" i="24"/>
  <c r="BR210" i="24"/>
  <c r="BR204" i="24"/>
  <c r="BR211" i="24"/>
  <c r="BR213" i="24"/>
  <c r="BB200" i="24"/>
  <c r="BB202" i="24"/>
  <c r="BB205" i="24"/>
  <c r="BB203" i="24"/>
  <c r="BB206" i="24"/>
  <c r="BB212" i="24"/>
  <c r="BB201" i="24"/>
  <c r="BB207" i="24"/>
  <c r="BB208" i="24"/>
  <c r="BB204" i="24"/>
  <c r="BB209" i="24"/>
  <c r="BB210" i="24"/>
  <c r="BB213" i="24"/>
  <c r="BB211" i="24"/>
  <c r="FQ201" i="24"/>
  <c r="FQ204" i="24"/>
  <c r="FQ202" i="24"/>
  <c r="FQ208" i="24"/>
  <c r="FQ210" i="24"/>
  <c r="FQ200" i="24"/>
  <c r="FQ203" i="24"/>
  <c r="FQ205" i="24"/>
  <c r="FQ206" i="24"/>
  <c r="FQ211" i="24"/>
  <c r="FQ207" i="24"/>
  <c r="FQ209" i="24"/>
  <c r="FQ212" i="24"/>
  <c r="FQ213" i="24"/>
  <c r="DE201" i="24"/>
  <c r="DE204" i="24"/>
  <c r="DE202" i="24"/>
  <c r="DE205" i="24"/>
  <c r="DE208" i="24"/>
  <c r="DE210" i="24"/>
  <c r="DE203" i="24"/>
  <c r="DE206" i="24"/>
  <c r="DE211" i="24"/>
  <c r="DE200" i="24"/>
  <c r="DE207" i="24"/>
  <c r="DE209" i="24"/>
  <c r="DE212" i="24"/>
  <c r="DE213" i="24"/>
  <c r="ES201" i="24"/>
  <c r="ES204" i="24"/>
  <c r="ES208" i="24"/>
  <c r="ES210" i="24"/>
  <c r="ES207" i="24"/>
  <c r="ES200" i="24"/>
  <c r="ES209" i="24"/>
  <c r="ES211" i="24"/>
  <c r="ES205" i="24"/>
  <c r="ES203" i="24"/>
  <c r="ES206" i="24"/>
  <c r="ES213" i="24"/>
  <c r="ES202" i="24"/>
  <c r="ES212" i="24"/>
  <c r="CG201" i="24"/>
  <c r="CG204" i="24"/>
  <c r="CG208" i="24"/>
  <c r="CG210" i="24"/>
  <c r="CG207" i="24"/>
  <c r="CG205" i="24"/>
  <c r="CG209" i="24"/>
  <c r="CG211" i="24"/>
  <c r="CG202" i="24"/>
  <c r="CG206" i="24"/>
  <c r="CG213" i="24"/>
  <c r="CG200" i="24"/>
  <c r="CG203" i="24"/>
  <c r="CG212" i="24"/>
  <c r="FL201" i="24"/>
  <c r="FL203" i="24"/>
  <c r="FL200" i="24"/>
  <c r="FL202" i="24"/>
  <c r="FL205" i="24"/>
  <c r="FL210" i="24"/>
  <c r="FL211" i="24"/>
  <c r="FL213" i="24"/>
  <c r="FL206" i="24"/>
  <c r="FL207" i="24"/>
  <c r="FL212" i="24"/>
  <c r="FL204" i="24"/>
  <c r="FL208" i="24"/>
  <c r="FL209" i="24"/>
  <c r="EV201" i="24"/>
  <c r="EV203" i="24"/>
  <c r="EV202" i="24"/>
  <c r="EV205" i="24"/>
  <c r="EV210" i="24"/>
  <c r="EV211" i="24"/>
  <c r="EV213" i="24"/>
  <c r="EV206" i="24"/>
  <c r="EV200" i="24"/>
  <c r="EV204" i="24"/>
  <c r="EV212" i="24"/>
  <c r="EV207" i="24"/>
  <c r="EV208" i="24"/>
  <c r="EV209" i="24"/>
  <c r="EF201" i="24"/>
  <c r="EF203" i="24"/>
  <c r="EF200" i="24"/>
  <c r="EF202" i="24"/>
  <c r="EF205" i="24"/>
  <c r="EF210" i="24"/>
  <c r="EF211" i="24"/>
  <c r="EF213" i="24"/>
  <c r="EF204" i="24"/>
  <c r="EF206" i="24"/>
  <c r="EF207" i="24"/>
  <c r="EF212" i="24"/>
  <c r="EF208" i="24"/>
  <c r="EF209" i="24"/>
  <c r="DP201" i="24"/>
  <c r="DP203" i="24"/>
  <c r="DP202" i="24"/>
  <c r="DP205" i="24"/>
  <c r="DP204" i="24"/>
  <c r="DP210" i="24"/>
  <c r="DP211" i="24"/>
  <c r="DP213" i="24"/>
  <c r="DP200" i="24"/>
  <c r="DP206" i="24"/>
  <c r="DP212" i="24"/>
  <c r="DP207" i="24"/>
  <c r="DP208" i="24"/>
  <c r="DP209" i="24"/>
  <c r="CZ201" i="24"/>
  <c r="CZ203" i="24"/>
  <c r="CZ200" i="24"/>
  <c r="CZ202" i="24"/>
  <c r="CZ205" i="24"/>
  <c r="CZ210" i="24"/>
  <c r="CZ211" i="24"/>
  <c r="CZ213" i="24"/>
  <c r="CZ206" i="24"/>
  <c r="CZ207" i="24"/>
  <c r="CZ212" i="24"/>
  <c r="CZ208" i="24"/>
  <c r="CZ209" i="24"/>
  <c r="CZ204" i="24"/>
  <c r="CJ201" i="24"/>
  <c r="CJ203" i="24"/>
  <c r="CJ202" i="24"/>
  <c r="CJ205" i="24"/>
  <c r="CJ200" i="24"/>
  <c r="CJ210" i="24"/>
  <c r="CJ211" i="24"/>
  <c r="CJ213" i="24"/>
  <c r="CJ206" i="24"/>
  <c r="CJ212" i="24"/>
  <c r="CJ204" i="24"/>
  <c r="CJ207" i="24"/>
  <c r="CJ208" i="24"/>
  <c r="CJ209" i="24"/>
  <c r="BT201" i="24"/>
  <c r="BT203" i="24"/>
  <c r="BT200" i="24"/>
  <c r="BT202" i="24"/>
  <c r="BT205" i="24"/>
  <c r="BT210" i="24"/>
  <c r="BT211" i="24"/>
  <c r="BT213" i="24"/>
  <c r="BT204" i="24"/>
  <c r="BT206" i="24"/>
  <c r="BT207" i="24"/>
  <c r="BT212" i="24"/>
  <c r="BT208" i="24"/>
  <c r="BT209" i="24"/>
  <c r="BD201" i="24"/>
  <c r="BD203" i="24"/>
  <c r="BD205" i="24"/>
  <c r="BD202" i="24"/>
  <c r="BD204" i="24"/>
  <c r="BD210" i="24"/>
  <c r="BD211" i="24"/>
  <c r="BD213" i="24"/>
  <c r="BD206" i="24"/>
  <c r="BD212" i="24"/>
  <c r="BD207" i="24"/>
  <c r="BD200" i="24"/>
  <c r="BD208" i="24"/>
  <c r="BD209" i="24"/>
  <c r="FE204" i="24"/>
  <c r="FE203" i="24"/>
  <c r="FE208" i="24"/>
  <c r="FE210" i="24"/>
  <c r="FE206" i="24"/>
  <c r="FE200" i="24"/>
  <c r="FE202" i="24"/>
  <c r="FE207" i="24"/>
  <c r="FE211" i="24"/>
  <c r="FE205" i="24"/>
  <c r="FE212" i="24"/>
  <c r="FE209" i="24"/>
  <c r="FE213" i="24"/>
  <c r="FE201" i="24"/>
  <c r="CS204" i="24"/>
  <c r="CS203" i="24"/>
  <c r="CS208" i="24"/>
  <c r="CS210" i="24"/>
  <c r="CS205" i="24"/>
  <c r="CS206" i="24"/>
  <c r="CS201" i="24"/>
  <c r="CS202" i="24"/>
  <c r="CS207" i="24"/>
  <c r="CS211" i="24"/>
  <c r="CS200" i="24"/>
  <c r="CS212" i="24"/>
  <c r="CS209" i="24"/>
  <c r="CS213" i="24"/>
  <c r="FG201" i="24"/>
  <c r="FG200" i="24"/>
  <c r="FG202" i="24"/>
  <c r="FG207" i="24"/>
  <c r="FG209" i="24"/>
  <c r="FG204" i="24"/>
  <c r="FG210" i="24"/>
  <c r="FG205" i="24"/>
  <c r="FG206" i="24"/>
  <c r="FG212" i="24"/>
  <c r="FG213" i="24"/>
  <c r="FG203" i="24"/>
  <c r="FG208" i="24"/>
  <c r="FG211" i="24"/>
  <c r="EQ201" i="24"/>
  <c r="EQ200" i="24"/>
  <c r="EQ202" i="24"/>
  <c r="EQ207" i="24"/>
  <c r="EQ209" i="24"/>
  <c r="EQ210" i="24"/>
  <c r="EQ205" i="24"/>
  <c r="EQ206" i="24"/>
  <c r="EQ212" i="24"/>
  <c r="EQ203" i="24"/>
  <c r="EQ213" i="24"/>
  <c r="EQ208" i="24"/>
  <c r="EQ204" i="24"/>
  <c r="EQ211" i="24"/>
  <c r="EA201" i="24"/>
  <c r="EA200" i="24"/>
  <c r="EA202" i="24"/>
  <c r="EA207" i="24"/>
  <c r="EA209" i="24"/>
  <c r="EA210" i="24"/>
  <c r="EA203" i="24"/>
  <c r="EA205" i="24"/>
  <c r="EA206" i="24"/>
  <c r="EA212" i="24"/>
  <c r="EA213" i="24"/>
  <c r="EA204" i="24"/>
  <c r="EA208" i="24"/>
  <c r="EA211" i="24"/>
  <c r="DK201" i="24"/>
  <c r="DK200" i="24"/>
  <c r="DK202" i="24"/>
  <c r="DK205" i="24"/>
  <c r="DK207" i="24"/>
  <c r="DK209" i="24"/>
  <c r="DK203" i="24"/>
  <c r="DK210" i="24"/>
  <c r="DK204" i="24"/>
  <c r="DK206" i="24"/>
  <c r="DK212" i="24"/>
  <c r="DK213" i="24"/>
  <c r="DK208" i="24"/>
  <c r="DK211" i="24"/>
  <c r="CU201" i="24"/>
  <c r="CU200" i="24"/>
  <c r="CU202" i="24"/>
  <c r="CU205" i="24"/>
  <c r="CU207" i="24"/>
  <c r="CU209" i="24"/>
  <c r="CU204" i="24"/>
  <c r="CU210" i="24"/>
  <c r="CU206" i="24"/>
  <c r="CU212" i="24"/>
  <c r="CU213" i="24"/>
  <c r="CU203" i="24"/>
  <c r="CU208" i="24"/>
  <c r="CU211" i="24"/>
  <c r="CE201" i="24"/>
  <c r="CE200" i="24"/>
  <c r="CE202" i="24"/>
  <c r="CE205" i="24"/>
  <c r="CE207" i="24"/>
  <c r="CE209" i="24"/>
  <c r="CE210" i="24"/>
  <c r="CE206" i="24"/>
  <c r="CE212" i="24"/>
  <c r="CE213" i="24"/>
  <c r="CE204" i="24"/>
  <c r="CE208" i="24"/>
  <c r="CE203" i="24"/>
  <c r="CE211" i="24"/>
  <c r="BO201" i="24"/>
  <c r="BO200" i="24"/>
  <c r="BO202" i="24"/>
  <c r="BO205" i="24"/>
  <c r="BO207" i="24"/>
  <c r="BO209" i="24"/>
  <c r="BO211" i="24"/>
  <c r="BO210" i="24"/>
  <c r="BO203" i="24"/>
  <c r="BO206" i="24"/>
  <c r="BO212" i="24"/>
  <c r="BO204" i="24"/>
  <c r="BO213" i="24"/>
  <c r="BO208" i="24"/>
  <c r="AY201" i="24"/>
  <c r="AY200" i="24"/>
  <c r="AY205" i="24"/>
  <c r="AY207" i="24"/>
  <c r="AY209" i="24"/>
  <c r="AY211" i="24"/>
  <c r="AY203" i="24"/>
  <c r="AY210" i="24"/>
  <c r="AY204" i="24"/>
  <c r="AY206" i="24"/>
  <c r="AY212" i="24"/>
  <c r="AY202" i="24"/>
  <c r="AY213" i="24"/>
  <c r="AY208" i="24"/>
  <c r="EG204" i="24"/>
  <c r="EG208" i="24"/>
  <c r="EG210" i="24"/>
  <c r="EG201" i="24"/>
  <c r="EG203" i="24"/>
  <c r="EG209" i="24"/>
  <c r="EG205" i="24"/>
  <c r="EG211" i="24"/>
  <c r="EG206" i="24"/>
  <c r="EG213" i="24"/>
  <c r="EG207" i="24"/>
  <c r="EG212" i="24"/>
  <c r="EG200" i="24"/>
  <c r="EG202" i="24"/>
  <c r="BY201" i="24"/>
  <c r="BY204" i="24"/>
  <c r="BY202" i="24"/>
  <c r="BY205" i="24"/>
  <c r="BY208" i="24"/>
  <c r="BY210" i="24"/>
  <c r="BY200" i="24"/>
  <c r="BY206" i="24"/>
  <c r="BY211" i="24"/>
  <c r="BY203" i="24"/>
  <c r="BY207" i="24"/>
  <c r="BY209" i="24"/>
  <c r="BY212" i="24"/>
  <c r="BY213" i="24"/>
  <c r="FF200" i="24"/>
  <c r="FF202" i="24"/>
  <c r="FF206" i="24"/>
  <c r="FF201" i="24"/>
  <c r="FF205" i="24"/>
  <c r="FF212" i="24"/>
  <c r="FF203" i="24"/>
  <c r="FF207" i="24"/>
  <c r="FF208" i="24"/>
  <c r="FF211" i="24"/>
  <c r="FF204" i="24"/>
  <c r="FF209" i="24"/>
  <c r="FF210" i="24"/>
  <c r="FF213" i="24"/>
  <c r="EP200" i="24"/>
  <c r="EP202" i="24"/>
  <c r="EP206" i="24"/>
  <c r="EP205" i="24"/>
  <c r="EP212" i="24"/>
  <c r="EP203" i="24"/>
  <c r="EP207" i="24"/>
  <c r="EP208" i="24"/>
  <c r="EP201" i="24"/>
  <c r="EP209" i="24"/>
  <c r="EP210" i="24"/>
  <c r="EP204" i="24"/>
  <c r="EP211" i="24"/>
  <c r="EP213" i="24"/>
  <c r="DZ200" i="24"/>
  <c r="DZ202" i="24"/>
  <c r="DZ206" i="24"/>
  <c r="DZ203" i="24"/>
  <c r="DZ205" i="24"/>
  <c r="DZ212" i="24"/>
  <c r="DZ204" i="24"/>
  <c r="DZ207" i="24"/>
  <c r="DZ208" i="24"/>
  <c r="DZ211" i="24"/>
  <c r="DZ201" i="24"/>
  <c r="DZ209" i="24"/>
  <c r="DZ210" i="24"/>
  <c r="DZ213" i="24"/>
  <c r="DJ200" i="24"/>
  <c r="DJ205" i="24"/>
  <c r="DJ202" i="24"/>
  <c r="DJ206" i="24"/>
  <c r="DJ204" i="24"/>
  <c r="DJ212" i="24"/>
  <c r="DJ201" i="24"/>
  <c r="DJ207" i="24"/>
  <c r="DJ208" i="24"/>
  <c r="DJ209" i="24"/>
  <c r="DJ210" i="24"/>
  <c r="DJ211" i="24"/>
  <c r="DJ203" i="24"/>
  <c r="DJ213" i="24"/>
  <c r="CT200" i="24"/>
  <c r="CT205" i="24"/>
  <c r="CT202" i="24"/>
  <c r="CT206" i="24"/>
  <c r="CT212" i="24"/>
  <c r="CT204" i="24"/>
  <c r="CT201" i="24"/>
  <c r="CT203" i="24"/>
  <c r="CT207" i="24"/>
  <c r="CT208" i="24"/>
  <c r="CT211" i="24"/>
  <c r="CT209" i="24"/>
  <c r="CT210" i="24"/>
  <c r="CT213" i="24"/>
  <c r="CD200" i="24"/>
  <c r="CD205" i="24"/>
  <c r="CD202" i="24"/>
  <c r="CD206" i="24"/>
  <c r="CD212" i="24"/>
  <c r="CD201" i="24"/>
  <c r="CD203" i="24"/>
  <c r="CD204" i="24"/>
  <c r="CD207" i="24"/>
  <c r="CD208" i="24"/>
  <c r="CD209" i="24"/>
  <c r="CD210" i="24"/>
  <c r="CD211" i="24"/>
  <c r="CD213" i="24"/>
  <c r="BN200" i="24"/>
  <c r="BN205" i="24"/>
  <c r="BN202" i="24"/>
  <c r="BN206" i="24"/>
  <c r="BN203" i="24"/>
  <c r="BN211" i="24"/>
  <c r="BN212" i="24"/>
  <c r="BN201" i="24"/>
  <c r="BN204" i="24"/>
  <c r="BN207" i="24"/>
  <c r="BN208" i="24"/>
  <c r="BN209" i="24"/>
  <c r="BN210" i="24"/>
  <c r="BN213" i="24"/>
  <c r="AX200" i="24"/>
  <c r="AX202" i="24"/>
  <c r="AX205" i="24"/>
  <c r="AX206" i="24"/>
  <c r="AX201" i="24"/>
  <c r="AX204" i="24"/>
  <c r="AX211" i="24"/>
  <c r="AX212" i="24"/>
  <c r="AX207" i="24"/>
  <c r="AX208" i="24"/>
  <c r="AX203" i="24"/>
  <c r="AX209" i="24"/>
  <c r="AX210" i="24"/>
  <c r="AX213" i="24"/>
  <c r="FA201" i="24"/>
  <c r="FA204" i="24"/>
  <c r="FA200" i="24"/>
  <c r="FA202" i="24"/>
  <c r="FA208" i="24"/>
  <c r="FA210" i="24"/>
  <c r="FA205" i="24"/>
  <c r="FA206" i="24"/>
  <c r="FA211" i="24"/>
  <c r="FA207" i="24"/>
  <c r="FA209" i="24"/>
  <c r="FA203" i="24"/>
  <c r="FA212" i="24"/>
  <c r="FA213" i="24"/>
  <c r="CO201" i="24"/>
  <c r="CO204" i="24"/>
  <c r="CO200" i="24"/>
  <c r="CO202" i="24"/>
  <c r="CO205" i="24"/>
  <c r="CO208" i="24"/>
  <c r="CO210" i="24"/>
  <c r="CO206" i="24"/>
  <c r="CO211" i="24"/>
  <c r="CO207" i="24"/>
  <c r="CO203" i="24"/>
  <c r="CO209" i="24"/>
  <c r="CO212" i="24"/>
  <c r="CO213" i="24"/>
  <c r="EC201" i="24"/>
  <c r="EC204" i="24"/>
  <c r="EC208" i="24"/>
  <c r="EC210" i="24"/>
  <c r="EC207" i="24"/>
  <c r="EC200" i="24"/>
  <c r="EC202" i="24"/>
  <c r="EC209" i="24"/>
  <c r="EC211" i="24"/>
  <c r="EC203" i="24"/>
  <c r="EC213" i="24"/>
  <c r="EC205" i="24"/>
  <c r="EC206" i="24"/>
  <c r="EC212" i="24"/>
  <c r="BQ201" i="24"/>
  <c r="BQ204" i="24"/>
  <c r="BQ208" i="24"/>
  <c r="BQ210" i="24"/>
  <c r="BQ205" i="24"/>
  <c r="BQ207" i="24"/>
  <c r="BQ202" i="24"/>
  <c r="BQ209" i="24"/>
  <c r="BQ211" i="24"/>
  <c r="BQ200" i="24"/>
  <c r="BQ213" i="24"/>
  <c r="BQ203" i="24"/>
  <c r="BQ206" i="24"/>
  <c r="BQ212" i="24"/>
  <c r="FH201" i="24"/>
  <c r="FH200" i="24"/>
  <c r="FH203" i="24"/>
  <c r="FH204" i="24"/>
  <c r="FH205" i="24"/>
  <c r="FH208" i="24"/>
  <c r="FH209" i="24"/>
  <c r="FH211" i="24"/>
  <c r="FH213" i="24"/>
  <c r="FH210" i="24"/>
  <c r="FH202" i="24"/>
  <c r="FH206" i="24"/>
  <c r="FH212" i="24"/>
  <c r="FH207" i="24"/>
  <c r="ER201" i="24"/>
  <c r="ER200" i="24"/>
  <c r="ER203" i="24"/>
  <c r="ER204" i="24"/>
  <c r="ER205" i="24"/>
  <c r="ER208" i="24"/>
  <c r="ER209" i="24"/>
  <c r="ER211" i="24"/>
  <c r="ER213" i="24"/>
  <c r="ER202" i="24"/>
  <c r="ER210" i="24"/>
  <c r="ER206" i="24"/>
  <c r="ER207" i="24"/>
  <c r="ER212" i="24"/>
  <c r="EB201" i="24"/>
  <c r="EB200" i="24"/>
  <c r="EB203" i="24"/>
  <c r="EB204" i="24"/>
  <c r="EB205" i="24"/>
  <c r="EB202" i="24"/>
  <c r="EB208" i="24"/>
  <c r="EB209" i="24"/>
  <c r="EB211" i="24"/>
  <c r="EB213" i="24"/>
  <c r="EB210" i="24"/>
  <c r="EB206" i="24"/>
  <c r="EB212" i="24"/>
  <c r="EB207" i="24"/>
  <c r="DL201" i="24"/>
  <c r="DL200" i="24"/>
  <c r="DL203" i="24"/>
  <c r="DL204" i="24"/>
  <c r="DL208" i="24"/>
  <c r="DL209" i="24"/>
  <c r="DL211" i="24"/>
  <c r="DL213" i="24"/>
  <c r="DL210" i="24"/>
  <c r="DL205" i="24"/>
  <c r="DL206" i="24"/>
  <c r="DL202" i="24"/>
  <c r="DL207" i="24"/>
  <c r="DL212" i="24"/>
  <c r="CV201" i="24"/>
  <c r="CV200" i="24"/>
  <c r="CV203" i="24"/>
  <c r="CV204" i="24"/>
  <c r="CV208" i="24"/>
  <c r="CV209" i="24"/>
  <c r="CV211" i="24"/>
  <c r="CV213" i="24"/>
  <c r="CV205" i="24"/>
  <c r="CV210" i="24"/>
  <c r="CV202" i="24"/>
  <c r="CV206" i="24"/>
  <c r="CV212" i="24"/>
  <c r="CV207" i="24"/>
  <c r="CF201" i="24"/>
  <c r="CF200" i="24"/>
  <c r="CF203" i="24"/>
  <c r="CF204" i="24"/>
  <c r="CF205" i="24"/>
  <c r="CF208" i="24"/>
  <c r="CF209" i="24"/>
  <c r="CF211" i="24"/>
  <c r="CF213" i="24"/>
  <c r="CF202" i="24"/>
  <c r="CF210" i="24"/>
  <c r="CF206" i="24"/>
  <c r="CF207" i="24"/>
  <c r="CF212" i="24"/>
  <c r="BP201" i="24"/>
  <c r="BP200" i="24"/>
  <c r="BP203" i="24"/>
  <c r="BP204" i="24"/>
  <c r="BP202" i="24"/>
  <c r="BP208" i="24"/>
  <c r="BP209" i="24"/>
  <c r="BP213" i="24"/>
  <c r="BP210" i="24"/>
  <c r="BP211" i="24"/>
  <c r="BP206" i="24"/>
  <c r="BP212" i="24"/>
  <c r="BP205" i="24"/>
  <c r="BP207" i="24"/>
  <c r="AZ201" i="24"/>
  <c r="AZ200" i="24"/>
  <c r="AZ203" i="24"/>
  <c r="AZ204" i="24"/>
  <c r="AZ208" i="24"/>
  <c r="AZ209" i="24"/>
  <c r="AZ213" i="24"/>
  <c r="AZ210" i="24"/>
  <c r="AZ211" i="24"/>
  <c r="AZ206" i="24"/>
  <c r="AZ202" i="24"/>
  <c r="AZ207" i="24"/>
  <c r="AZ205" i="24"/>
  <c r="AZ212" i="24"/>
  <c r="EK201" i="24"/>
  <c r="EK204" i="24"/>
  <c r="EK202" i="24"/>
  <c r="EK208" i="24"/>
  <c r="EK210" i="24"/>
  <c r="EK205" i="24"/>
  <c r="EK206" i="24"/>
  <c r="EK211" i="24"/>
  <c r="EK203" i="24"/>
  <c r="EK207" i="24"/>
  <c r="EK200" i="24"/>
  <c r="EK209" i="24"/>
  <c r="EK212" i="24"/>
  <c r="EK213" i="24"/>
  <c r="CC204" i="24"/>
  <c r="CC200" i="24"/>
  <c r="CC201" i="24"/>
  <c r="CC203" i="24"/>
  <c r="CC208" i="24"/>
  <c r="CC210" i="24"/>
  <c r="CC202" i="24"/>
  <c r="CC206" i="24"/>
  <c r="CC207" i="24"/>
  <c r="CC211" i="24"/>
  <c r="CC209" i="24"/>
  <c r="CC212" i="24"/>
  <c r="CC213" i="24"/>
  <c r="CC205" i="24"/>
  <c r="FS201" i="24"/>
  <c r="FS200" i="24"/>
  <c r="FS202" i="24"/>
  <c r="FS204" i="24"/>
  <c r="FS207" i="24"/>
  <c r="FS209" i="24"/>
  <c r="FS208" i="24"/>
  <c r="FS210" i="24"/>
  <c r="FS212" i="24"/>
  <c r="FS203" i="24"/>
  <c r="FS211" i="24"/>
  <c r="FS213" i="24"/>
  <c r="FS205" i="24"/>
  <c r="FS206" i="24"/>
  <c r="FC201" i="24"/>
  <c r="FC200" i="24"/>
  <c r="FC202" i="24"/>
  <c r="FC204" i="24"/>
  <c r="FC207" i="24"/>
  <c r="FC209" i="24"/>
  <c r="FC208" i="24"/>
  <c r="FC203" i="24"/>
  <c r="FC210" i="24"/>
  <c r="FC212" i="24"/>
  <c r="FC205" i="24"/>
  <c r="FC206" i="24"/>
  <c r="FC211" i="24"/>
  <c r="FC213" i="24"/>
  <c r="EM201" i="24"/>
  <c r="EM200" i="24"/>
  <c r="EM202" i="24"/>
  <c r="EM204" i="24"/>
  <c r="EM207" i="24"/>
  <c r="EM209" i="24"/>
  <c r="EM203" i="24"/>
  <c r="EM208" i="24"/>
  <c r="EM210" i="24"/>
  <c r="EM212" i="24"/>
  <c r="EM211" i="24"/>
  <c r="EM213" i="24"/>
  <c r="EM205" i="24"/>
  <c r="EM206" i="24"/>
  <c r="DW201" i="24"/>
  <c r="DW200" i="24"/>
  <c r="DW202" i="24"/>
  <c r="DW204" i="24"/>
  <c r="DW207" i="24"/>
  <c r="DW209" i="24"/>
  <c r="DW208" i="24"/>
  <c r="DW210" i="24"/>
  <c r="DW212" i="24"/>
  <c r="DW205" i="24"/>
  <c r="DW206" i="24"/>
  <c r="DW211" i="24"/>
  <c r="DW213" i="24"/>
  <c r="DW203" i="24"/>
  <c r="DG201" i="24"/>
  <c r="DG200" i="24"/>
  <c r="DG202" i="24"/>
  <c r="DG204" i="24"/>
  <c r="DG207" i="24"/>
  <c r="DG209" i="24"/>
  <c r="DG208" i="24"/>
  <c r="DG210" i="24"/>
  <c r="DG212" i="24"/>
  <c r="DG211" i="24"/>
  <c r="DG213" i="24"/>
  <c r="DG203" i="24"/>
  <c r="DG206" i="24"/>
  <c r="DG205" i="24"/>
  <c r="CQ201" i="24"/>
  <c r="CQ200" i="24"/>
  <c r="CQ202" i="24"/>
  <c r="CQ204" i="24"/>
  <c r="CQ207" i="24"/>
  <c r="CQ209" i="24"/>
  <c r="CQ208" i="24"/>
  <c r="CQ203" i="24"/>
  <c r="CQ210" i="24"/>
  <c r="CQ212" i="24"/>
  <c r="CQ206" i="24"/>
  <c r="CQ211" i="24"/>
  <c r="CQ213" i="24"/>
  <c r="CQ205" i="24"/>
  <c r="CA201" i="24"/>
  <c r="CA200" i="24"/>
  <c r="CA202" i="24"/>
  <c r="CA204" i="24"/>
  <c r="CA207" i="24"/>
  <c r="CA209" i="24"/>
  <c r="CA203" i="24"/>
  <c r="CA208" i="24"/>
  <c r="CA205" i="24"/>
  <c r="CA210" i="24"/>
  <c r="CA212" i="24"/>
  <c r="CA211" i="24"/>
  <c r="CA213" i="24"/>
  <c r="CA206" i="24"/>
  <c r="BK201" i="24"/>
  <c r="BK200" i="24"/>
  <c r="BK202" i="24"/>
  <c r="BK204" i="24"/>
  <c r="BK207" i="24"/>
  <c r="BK209" i="24"/>
  <c r="BK211" i="24"/>
  <c r="BK205" i="24"/>
  <c r="BK208" i="24"/>
  <c r="BK210" i="24"/>
  <c r="BK212" i="24"/>
  <c r="BK206" i="24"/>
  <c r="BK203" i="24"/>
  <c r="BK213" i="24"/>
  <c r="AU201" i="24"/>
  <c r="AU200" i="24"/>
  <c r="AU202" i="24"/>
  <c r="AU204" i="24"/>
  <c r="AU207" i="24"/>
  <c r="AU209" i="24"/>
  <c r="AU211" i="24"/>
  <c r="AU208" i="24"/>
  <c r="AU210" i="24"/>
  <c r="AU212" i="24"/>
  <c r="AU203" i="24"/>
  <c r="AU205" i="24"/>
  <c r="AU213" i="24"/>
  <c r="AU206" i="24"/>
  <c r="DQ204" i="24"/>
  <c r="DQ208" i="24"/>
  <c r="DQ210" i="24"/>
  <c r="DQ201" i="24"/>
  <c r="DQ209" i="24"/>
  <c r="DQ205" i="24"/>
  <c r="DQ211" i="24"/>
  <c r="DQ200" i="24"/>
  <c r="DQ213" i="24"/>
  <c r="DQ203" i="24"/>
  <c r="DQ212" i="24"/>
  <c r="DQ202" i="24"/>
  <c r="DQ206" i="24"/>
  <c r="DQ207" i="24"/>
  <c r="BI202" i="24"/>
  <c r="BI201" i="24"/>
  <c r="BI204" i="24"/>
  <c r="BI200" i="24"/>
  <c r="BI205" i="24"/>
  <c r="BI208" i="24"/>
  <c r="BI210" i="24"/>
  <c r="BI211" i="24"/>
  <c r="BI203" i="24"/>
  <c r="BI206" i="24"/>
  <c r="BI207" i="24"/>
  <c r="BI209" i="24"/>
  <c r="BI212" i="24"/>
  <c r="BI213" i="24"/>
  <c r="FR200" i="24"/>
  <c r="FR206" i="24"/>
  <c r="FR202" i="24"/>
  <c r="FR209" i="24"/>
  <c r="FR210" i="24"/>
  <c r="FR212" i="24"/>
  <c r="FR203" i="24"/>
  <c r="FR205" i="24"/>
  <c r="FR211" i="24"/>
  <c r="FR213" i="24"/>
  <c r="FR201" i="24"/>
  <c r="FR204" i="24"/>
  <c r="FR207" i="24"/>
  <c r="FR208" i="24"/>
  <c r="FB200" i="24"/>
  <c r="FB206" i="24"/>
  <c r="FB203" i="24"/>
  <c r="FB209" i="24"/>
  <c r="FB210" i="24"/>
  <c r="FB212" i="24"/>
  <c r="FB204" i="24"/>
  <c r="FB205" i="24"/>
  <c r="FB211" i="24"/>
  <c r="FB213" i="24"/>
  <c r="FB202" i="24"/>
  <c r="FB207" i="24"/>
  <c r="FB208" i="24"/>
  <c r="FB201" i="24"/>
  <c r="EL200" i="24"/>
  <c r="EL206" i="24"/>
  <c r="EL204" i="24"/>
  <c r="EL209" i="24"/>
  <c r="EL210" i="24"/>
  <c r="EL212" i="24"/>
  <c r="EL205" i="24"/>
  <c r="EL201" i="24"/>
  <c r="EL202" i="24"/>
  <c r="EL211" i="24"/>
  <c r="EL213" i="24"/>
  <c r="EL203" i="24"/>
  <c r="EL207" i="24"/>
  <c r="EL208" i="24"/>
  <c r="DV200" i="24"/>
  <c r="DV206" i="24"/>
  <c r="DV209" i="24"/>
  <c r="DV210" i="24"/>
  <c r="DV212" i="24"/>
  <c r="DV201" i="24"/>
  <c r="DV202" i="24"/>
  <c r="DV205" i="24"/>
  <c r="DV211" i="24"/>
  <c r="DV213" i="24"/>
  <c r="DV204" i="24"/>
  <c r="DV207" i="24"/>
  <c r="DV208" i="24"/>
  <c r="DV203" i="24"/>
  <c r="DF200" i="24"/>
  <c r="DF205" i="24"/>
  <c r="DF206" i="24"/>
  <c r="DF202" i="24"/>
  <c r="DF209" i="24"/>
  <c r="DF210" i="24"/>
  <c r="DF212" i="24"/>
  <c r="DF201" i="24"/>
  <c r="DF203" i="24"/>
  <c r="DF204" i="24"/>
  <c r="DF211" i="24"/>
  <c r="DF213" i="24"/>
  <c r="DF207" i="24"/>
  <c r="DF208" i="24"/>
  <c r="CP200" i="24"/>
  <c r="CP205" i="24"/>
  <c r="CP206" i="24"/>
  <c r="CP201" i="24"/>
  <c r="CP203" i="24"/>
  <c r="CP209" i="24"/>
  <c r="CP210" i="24"/>
  <c r="CP212" i="24"/>
  <c r="CP204" i="24"/>
  <c r="CP211" i="24"/>
  <c r="CP213" i="24"/>
  <c r="CP207" i="24"/>
  <c r="CP208" i="24"/>
  <c r="CP202" i="24"/>
  <c r="BZ200" i="24"/>
  <c r="BZ205" i="24"/>
  <c r="BZ206" i="24"/>
  <c r="BZ201" i="24"/>
  <c r="BZ204" i="24"/>
  <c r="BZ209" i="24"/>
  <c r="BZ210" i="24"/>
  <c r="BZ212" i="24"/>
  <c r="BZ211" i="24"/>
  <c r="BZ213" i="24"/>
  <c r="BZ203" i="24"/>
  <c r="BZ202" i="24"/>
  <c r="BZ207" i="24"/>
  <c r="BZ208" i="24"/>
  <c r="BJ200" i="24"/>
  <c r="BJ202" i="24"/>
  <c r="BJ205" i="24"/>
  <c r="BJ206" i="24"/>
  <c r="BJ209" i="24"/>
  <c r="BJ210" i="24"/>
  <c r="BJ212" i="24"/>
  <c r="BJ211" i="24"/>
  <c r="BJ203" i="24"/>
  <c r="BJ213" i="24"/>
  <c r="BJ201" i="24"/>
  <c r="BJ207" i="24"/>
  <c r="BJ208" i="24"/>
  <c r="BJ204" i="24"/>
  <c r="AT200" i="24"/>
  <c r="AT202" i="24"/>
  <c r="AT205" i="24"/>
  <c r="AT206" i="24"/>
  <c r="AT209" i="24"/>
  <c r="AT210" i="24"/>
  <c r="AT212" i="24"/>
  <c r="AT203" i="24"/>
  <c r="AT211" i="24"/>
  <c r="AT213" i="24"/>
  <c r="AT204" i="24"/>
  <c r="AT201" i="24"/>
  <c r="AT207" i="24"/>
  <c r="AT208" i="24"/>
  <c r="FQ218" i="24"/>
  <c r="FQ220" i="24"/>
  <c r="FQ217" i="24"/>
  <c r="FQ219" i="24"/>
  <c r="FQ225" i="24"/>
  <c r="FQ175" i="24"/>
  <c r="FQ178" i="24"/>
  <c r="FQ227" i="24"/>
  <c r="FQ176" i="24"/>
  <c r="FQ224" i="24"/>
  <c r="FQ177" i="24"/>
  <c r="FQ180" i="24"/>
  <c r="FQ187" i="24"/>
  <c r="FQ192" i="24"/>
  <c r="FQ194" i="24"/>
  <c r="FQ179" i="24"/>
  <c r="FQ181" i="24"/>
  <c r="FQ184" i="24"/>
  <c r="FQ186" i="24"/>
  <c r="FQ189" i="24"/>
  <c r="FQ221" i="24"/>
  <c r="FQ182" i="24"/>
  <c r="FQ188" i="24"/>
  <c r="FQ196" i="24"/>
  <c r="FQ195" i="24"/>
  <c r="FQ223" i="24"/>
  <c r="FQ226" i="24"/>
  <c r="FQ183" i="24"/>
  <c r="FQ193" i="24"/>
  <c r="FQ222" i="24"/>
  <c r="FQ191" i="24"/>
  <c r="FQ169" i="24"/>
  <c r="FQ185" i="24"/>
  <c r="FQ190" i="24"/>
  <c r="DE218" i="24"/>
  <c r="DE220" i="24"/>
  <c r="DE217" i="24"/>
  <c r="DE219" i="24"/>
  <c r="DE225" i="24"/>
  <c r="DE175" i="24"/>
  <c r="DE178" i="24"/>
  <c r="DE221" i="24"/>
  <c r="DE227" i="24"/>
  <c r="DE176" i="24"/>
  <c r="DE224" i="24"/>
  <c r="DE177" i="24"/>
  <c r="DE181" i="24"/>
  <c r="DE180" i="24"/>
  <c r="DE187" i="24"/>
  <c r="DE192" i="24"/>
  <c r="DE194" i="24"/>
  <c r="DE226" i="24"/>
  <c r="DE179" i="24"/>
  <c r="DE184" i="24"/>
  <c r="DE186" i="24"/>
  <c r="DE189" i="24"/>
  <c r="DE182" i="24"/>
  <c r="DE188" i="24"/>
  <c r="DE196" i="24"/>
  <c r="DE185" i="24"/>
  <c r="DE190" i="24"/>
  <c r="DE195" i="24"/>
  <c r="DE222" i="24"/>
  <c r="DE183" i="24"/>
  <c r="DE193" i="24"/>
  <c r="DE223" i="24"/>
  <c r="DE191" i="24"/>
  <c r="DE169" i="24"/>
  <c r="ES218" i="24"/>
  <c r="ES220" i="24"/>
  <c r="ES219" i="24"/>
  <c r="ES221" i="24"/>
  <c r="ES225" i="24"/>
  <c r="ES217" i="24"/>
  <c r="ES224" i="24"/>
  <c r="ES227" i="24"/>
  <c r="ES175" i="24"/>
  <c r="ES178" i="24"/>
  <c r="ES226" i="24"/>
  <c r="ES176" i="24"/>
  <c r="ES180" i="24"/>
  <c r="ES187" i="24"/>
  <c r="ES192" i="24"/>
  <c r="ES194" i="24"/>
  <c r="ES177" i="24"/>
  <c r="ES179" i="24"/>
  <c r="ES181" i="24"/>
  <c r="ES184" i="24"/>
  <c r="ES186" i="24"/>
  <c r="ES189" i="24"/>
  <c r="ES223" i="24"/>
  <c r="ES182" i="24"/>
  <c r="ES188" i="24"/>
  <c r="ES196" i="24"/>
  <c r="ES185" i="24"/>
  <c r="ES190" i="24"/>
  <c r="ES195" i="24"/>
  <c r="ES183" i="24"/>
  <c r="ES191" i="24"/>
  <c r="ES169" i="24"/>
  <c r="ES222" i="24"/>
  <c r="ES193" i="24"/>
  <c r="CG218" i="24"/>
  <c r="CG220" i="24"/>
  <c r="CG219" i="24"/>
  <c r="CG221" i="24"/>
  <c r="CG225" i="24"/>
  <c r="CG175" i="24"/>
  <c r="CG217" i="24"/>
  <c r="CG222" i="24"/>
  <c r="CG224" i="24"/>
  <c r="CG227" i="24"/>
  <c r="CG178" i="24"/>
  <c r="CG181" i="24"/>
  <c r="CG176" i="24"/>
  <c r="CG180" i="24"/>
  <c r="CG187" i="24"/>
  <c r="CG192" i="24"/>
  <c r="CG194" i="24"/>
  <c r="CG177" i="24"/>
  <c r="CG179" i="24"/>
  <c r="CG184" i="24"/>
  <c r="CG186" i="24"/>
  <c r="CG189" i="24"/>
  <c r="CG182" i="24"/>
  <c r="CG188" i="24"/>
  <c r="CG196" i="24"/>
  <c r="CG226" i="24"/>
  <c r="CG183" i="24"/>
  <c r="CG191" i="24"/>
  <c r="CG169" i="24"/>
  <c r="CG223" i="24"/>
  <c r="CG185" i="24"/>
  <c r="CG190" i="24"/>
  <c r="CG195" i="24"/>
  <c r="CG193" i="24"/>
  <c r="FL217" i="24"/>
  <c r="FL218" i="24"/>
  <c r="FL219" i="24"/>
  <c r="FL224" i="24"/>
  <c r="FL220" i="24"/>
  <c r="FL223" i="24"/>
  <c r="FL225" i="24"/>
  <c r="FL226" i="24"/>
  <c r="FL176" i="24"/>
  <c r="FL221" i="24"/>
  <c r="FL222" i="24"/>
  <c r="FL227" i="24"/>
  <c r="FL177" i="24"/>
  <c r="FL180" i="24"/>
  <c r="FL178" i="24"/>
  <c r="FL181" i="24"/>
  <c r="FL184" i="24"/>
  <c r="FL186" i="24"/>
  <c r="FL189" i="24"/>
  <c r="FL183" i="24"/>
  <c r="FL191" i="24"/>
  <c r="FL193" i="24"/>
  <c r="FL175" i="24"/>
  <c r="FL194" i="24"/>
  <c r="FL169" i="24"/>
  <c r="FL187" i="24"/>
  <c r="FL179" i="24"/>
  <c r="FL185" i="24"/>
  <c r="FL190" i="24"/>
  <c r="FL182" i="24"/>
  <c r="FL188" i="24"/>
  <c r="FL195" i="24"/>
  <c r="FL192" i="24"/>
  <c r="FL196" i="24"/>
  <c r="EV217" i="24"/>
  <c r="EV218" i="24"/>
  <c r="EV219" i="24"/>
  <c r="EV224" i="24"/>
  <c r="EV220" i="24"/>
  <c r="EV223" i="24"/>
  <c r="EV225" i="24"/>
  <c r="EV221" i="24"/>
  <c r="EV227" i="24"/>
  <c r="EV176" i="24"/>
  <c r="EV177" i="24"/>
  <c r="EV180" i="24"/>
  <c r="EV181" i="24"/>
  <c r="EV184" i="24"/>
  <c r="EV186" i="24"/>
  <c r="EV189" i="24"/>
  <c r="EV226" i="24"/>
  <c r="EV175" i="24"/>
  <c r="EV183" i="24"/>
  <c r="EV191" i="24"/>
  <c r="EV193" i="24"/>
  <c r="EV194" i="24"/>
  <c r="EV169" i="24"/>
  <c r="EV187" i="24"/>
  <c r="EV192" i="24"/>
  <c r="EV222" i="24"/>
  <c r="EV179" i="24"/>
  <c r="EV185" i="24"/>
  <c r="EV190" i="24"/>
  <c r="EV178" i="24"/>
  <c r="EV182" i="24"/>
  <c r="EV188" i="24"/>
  <c r="EV195" i="24"/>
  <c r="EV196" i="24"/>
  <c r="EF217" i="24"/>
  <c r="EF218" i="24"/>
  <c r="EF219" i="24"/>
  <c r="EF224" i="24"/>
  <c r="EF220" i="24"/>
  <c r="EF223" i="24"/>
  <c r="EF225" i="24"/>
  <c r="EF221" i="24"/>
  <c r="EF176" i="24"/>
  <c r="EF222" i="24"/>
  <c r="EF177" i="24"/>
  <c r="EF180" i="24"/>
  <c r="EF226" i="24"/>
  <c r="EF178" i="24"/>
  <c r="EF181" i="24"/>
  <c r="EF184" i="24"/>
  <c r="EF186" i="24"/>
  <c r="EF189" i="24"/>
  <c r="EF183" i="24"/>
  <c r="EF191" i="24"/>
  <c r="EF193" i="24"/>
  <c r="EF194" i="24"/>
  <c r="EF169" i="24"/>
  <c r="EF175" i="24"/>
  <c r="EF187" i="24"/>
  <c r="EF192" i="24"/>
  <c r="EF227" i="24"/>
  <c r="EF179" i="24"/>
  <c r="EF185" i="24"/>
  <c r="EF190" i="24"/>
  <c r="EF182" i="24"/>
  <c r="EF188" i="24"/>
  <c r="EF195" i="24"/>
  <c r="EF196" i="24"/>
  <c r="DP217" i="24"/>
  <c r="DP218" i="24"/>
  <c r="DP219" i="24"/>
  <c r="DP224" i="24"/>
  <c r="DP220" i="24"/>
  <c r="DP223" i="24"/>
  <c r="DP225" i="24"/>
  <c r="DP176" i="24"/>
  <c r="DP226" i="24"/>
  <c r="DP177" i="24"/>
  <c r="DP180" i="24"/>
  <c r="DP181" i="24"/>
  <c r="DP184" i="24"/>
  <c r="DP186" i="24"/>
  <c r="DP189" i="24"/>
  <c r="DP222" i="24"/>
  <c r="DP175" i="24"/>
  <c r="DP183" i="24"/>
  <c r="DP191" i="24"/>
  <c r="DP193" i="24"/>
  <c r="DP227" i="24"/>
  <c r="DP194" i="24"/>
  <c r="DP169" i="24"/>
  <c r="DP187" i="24"/>
  <c r="DP178" i="24"/>
  <c r="DP179" i="24"/>
  <c r="DP185" i="24"/>
  <c r="DP190" i="24"/>
  <c r="DP221" i="24"/>
  <c r="DP182" i="24"/>
  <c r="DP188" i="24"/>
  <c r="DP195" i="24"/>
  <c r="DP192" i="24"/>
  <c r="DP196" i="24"/>
  <c r="CZ217" i="24"/>
  <c r="CZ218" i="24"/>
  <c r="CZ219" i="24"/>
  <c r="CZ224" i="24"/>
  <c r="CZ220" i="24"/>
  <c r="CZ223" i="24"/>
  <c r="CZ222" i="24"/>
  <c r="CZ225" i="24"/>
  <c r="CZ226" i="24"/>
  <c r="CZ176" i="24"/>
  <c r="CZ227" i="24"/>
  <c r="CZ177" i="24"/>
  <c r="CZ180" i="24"/>
  <c r="CZ178" i="24"/>
  <c r="CZ184" i="24"/>
  <c r="CZ186" i="24"/>
  <c r="CZ189" i="24"/>
  <c r="CZ221" i="24"/>
  <c r="CZ183" i="24"/>
  <c r="CZ191" i="24"/>
  <c r="CZ193" i="24"/>
  <c r="CZ175" i="24"/>
  <c r="CZ194" i="24"/>
  <c r="CZ169" i="24"/>
  <c r="CZ187" i="24"/>
  <c r="CZ179" i="24"/>
  <c r="CZ181" i="24"/>
  <c r="CZ185" i="24"/>
  <c r="CZ190" i="24"/>
  <c r="CZ182" i="24"/>
  <c r="CZ188" i="24"/>
  <c r="CZ195" i="24"/>
  <c r="CZ192" i="24"/>
  <c r="CZ196" i="24"/>
  <c r="CJ217" i="24"/>
  <c r="CJ218" i="24"/>
  <c r="CJ219" i="24"/>
  <c r="CJ224" i="24"/>
  <c r="CJ220" i="24"/>
  <c r="CJ223" i="24"/>
  <c r="CJ225" i="24"/>
  <c r="CJ227" i="24"/>
  <c r="CJ176" i="24"/>
  <c r="CJ181" i="24"/>
  <c r="CJ222" i="24"/>
  <c r="CJ177" i="24"/>
  <c r="CJ180" i="24"/>
  <c r="CJ184" i="24"/>
  <c r="CJ186" i="24"/>
  <c r="CJ189" i="24"/>
  <c r="CJ183" i="24"/>
  <c r="CJ191" i="24"/>
  <c r="CJ193" i="24"/>
  <c r="CJ194" i="24"/>
  <c r="CJ169" i="24"/>
  <c r="CJ187" i="24"/>
  <c r="CJ192" i="24"/>
  <c r="CJ226" i="24"/>
  <c r="CJ179" i="24"/>
  <c r="CJ185" i="24"/>
  <c r="CJ190" i="24"/>
  <c r="CJ175" i="24"/>
  <c r="CJ178" i="24"/>
  <c r="CJ182" i="24"/>
  <c r="CJ188" i="24"/>
  <c r="CJ195" i="24"/>
  <c r="CJ221" i="24"/>
  <c r="CJ196" i="24"/>
  <c r="BT217" i="24"/>
  <c r="BT218" i="24"/>
  <c r="BT219" i="24"/>
  <c r="BT221" i="24"/>
  <c r="BT224" i="24"/>
  <c r="BT220" i="24"/>
  <c r="BT223" i="24"/>
  <c r="BT222" i="24"/>
  <c r="BT225" i="24"/>
  <c r="BT176" i="24"/>
  <c r="BT181" i="24"/>
  <c r="BT175" i="24"/>
  <c r="BT177" i="24"/>
  <c r="BT180" i="24"/>
  <c r="BT178" i="24"/>
  <c r="BT184" i="24"/>
  <c r="BT186" i="24"/>
  <c r="BT189" i="24"/>
  <c r="BT227" i="24"/>
  <c r="BT183" i="24"/>
  <c r="BT191" i="24"/>
  <c r="BT193" i="24"/>
  <c r="BT226" i="24"/>
  <c r="BT194" i="24"/>
  <c r="BT169" i="24"/>
  <c r="BT187" i="24"/>
  <c r="BT179" i="24"/>
  <c r="BT185" i="24"/>
  <c r="BT190" i="24"/>
  <c r="BT182" i="24"/>
  <c r="BT188" i="24"/>
  <c r="BT195" i="24"/>
  <c r="BT192" i="24"/>
  <c r="BT196" i="24"/>
  <c r="BD217" i="24"/>
  <c r="BD218" i="24"/>
  <c r="BD219" i="24"/>
  <c r="BD221" i="24"/>
  <c r="BD224" i="24"/>
  <c r="BD220" i="24"/>
  <c r="BD223" i="24"/>
  <c r="BD225" i="24"/>
  <c r="BD222" i="24"/>
  <c r="BD175" i="24"/>
  <c r="BD176" i="24"/>
  <c r="BD181" i="24"/>
  <c r="BD226" i="24"/>
  <c r="BD177" i="24"/>
  <c r="BD180" i="24"/>
  <c r="BD227" i="24"/>
  <c r="BD184" i="24"/>
  <c r="BD186" i="24"/>
  <c r="BD189" i="24"/>
  <c r="BD183" i="24"/>
  <c r="BD191" i="24"/>
  <c r="BD193" i="24"/>
  <c r="BD179" i="24"/>
  <c r="BD194" i="24"/>
  <c r="BD169" i="24"/>
  <c r="BD178" i="24"/>
  <c r="BD185" i="24"/>
  <c r="BD190" i="24"/>
  <c r="BD182" i="24"/>
  <c r="BD188" i="24"/>
  <c r="BD195" i="24"/>
  <c r="BD187" i="24"/>
  <c r="BD192" i="24"/>
  <c r="BD196" i="24"/>
  <c r="FE217" i="24"/>
  <c r="FE218" i="24"/>
  <c r="FE220" i="24"/>
  <c r="FE219" i="24"/>
  <c r="FE225" i="24"/>
  <c r="FE221" i="24"/>
  <c r="FE222" i="24"/>
  <c r="FE226" i="24"/>
  <c r="FE175" i="24"/>
  <c r="FE178" i="24"/>
  <c r="FE177" i="24"/>
  <c r="FE227" i="24"/>
  <c r="FE187" i="24"/>
  <c r="FE192" i="24"/>
  <c r="FE194" i="24"/>
  <c r="FE223" i="24"/>
  <c r="FE176" i="24"/>
  <c r="FE181" i="24"/>
  <c r="FE184" i="24"/>
  <c r="FE186" i="24"/>
  <c r="FE189" i="24"/>
  <c r="FE185" i="24"/>
  <c r="FE190" i="24"/>
  <c r="FE196" i="24"/>
  <c r="FE224" i="24"/>
  <c r="FE179" i="24"/>
  <c r="FE182" i="24"/>
  <c r="FE188" i="24"/>
  <c r="FE180" i="24"/>
  <c r="FE191" i="24"/>
  <c r="FE183" i="24"/>
  <c r="FE193" i="24"/>
  <c r="FE169" i="24"/>
  <c r="FE195" i="24"/>
  <c r="CS217" i="24"/>
  <c r="CS218" i="24"/>
  <c r="CS220" i="24"/>
  <c r="CS219" i="24"/>
  <c r="CS225" i="24"/>
  <c r="CS175" i="24"/>
  <c r="CS221" i="24"/>
  <c r="CS224" i="24"/>
  <c r="CS226" i="24"/>
  <c r="CS178" i="24"/>
  <c r="CS177" i="24"/>
  <c r="CS227" i="24"/>
  <c r="CS181" i="24"/>
  <c r="CS187" i="24"/>
  <c r="CS192" i="24"/>
  <c r="CS194" i="24"/>
  <c r="CS222" i="24"/>
  <c r="CS223" i="24"/>
  <c r="CS176" i="24"/>
  <c r="CS184" i="24"/>
  <c r="CS186" i="24"/>
  <c r="CS189" i="24"/>
  <c r="CS185" i="24"/>
  <c r="CS190" i="24"/>
  <c r="CS196" i="24"/>
  <c r="CS179" i="24"/>
  <c r="CS195" i="24"/>
  <c r="CS180" i="24"/>
  <c r="CS191" i="24"/>
  <c r="CS183" i="24"/>
  <c r="CS193" i="24"/>
  <c r="CS169" i="24"/>
  <c r="CS182" i="24"/>
  <c r="CS188" i="24"/>
  <c r="FG217" i="24"/>
  <c r="FG218" i="24"/>
  <c r="FG223" i="24"/>
  <c r="FG227" i="24"/>
  <c r="FG222" i="24"/>
  <c r="FG219" i="24"/>
  <c r="FG225" i="24"/>
  <c r="FG177" i="24"/>
  <c r="FG224" i="24"/>
  <c r="FG176" i="24"/>
  <c r="FG180" i="24"/>
  <c r="FG226" i="24"/>
  <c r="FG179" i="24"/>
  <c r="FG183" i="24"/>
  <c r="FG191" i="24"/>
  <c r="FG193" i="24"/>
  <c r="FG221" i="24"/>
  <c r="FG175" i="24"/>
  <c r="FG182" i="24"/>
  <c r="FG185" i="24"/>
  <c r="FG188" i="24"/>
  <c r="FG190" i="24"/>
  <c r="FG181" i="24"/>
  <c r="FG186" i="24"/>
  <c r="FG195" i="24"/>
  <c r="FG184" i="24"/>
  <c r="FG196" i="24"/>
  <c r="FG220" i="24"/>
  <c r="FG178" i="24"/>
  <c r="FG187" i="24"/>
  <c r="FG192" i="24"/>
  <c r="FG194" i="24"/>
  <c r="FG189" i="24"/>
  <c r="FG169" i="24"/>
  <c r="EQ217" i="24"/>
  <c r="EQ218" i="24"/>
  <c r="EQ223" i="24"/>
  <c r="EQ227" i="24"/>
  <c r="EQ222" i="24"/>
  <c r="EQ219" i="24"/>
  <c r="EQ225" i="24"/>
  <c r="EQ177" i="24"/>
  <c r="EQ220" i="24"/>
  <c r="EQ226" i="24"/>
  <c r="EQ176" i="24"/>
  <c r="EQ180" i="24"/>
  <c r="EQ179" i="24"/>
  <c r="EQ178" i="24"/>
  <c r="EQ183" i="24"/>
  <c r="EQ191" i="24"/>
  <c r="EQ193" i="24"/>
  <c r="EQ182" i="24"/>
  <c r="EQ185" i="24"/>
  <c r="EQ188" i="24"/>
  <c r="EQ190" i="24"/>
  <c r="EQ175" i="24"/>
  <c r="EQ181" i="24"/>
  <c r="EQ186" i="24"/>
  <c r="EQ195" i="24"/>
  <c r="EQ184" i="24"/>
  <c r="EQ221" i="24"/>
  <c r="EQ187" i="24"/>
  <c r="EQ169" i="24"/>
  <c r="EQ224" i="24"/>
  <c r="EQ194" i="24"/>
  <c r="EQ189" i="24"/>
  <c r="EQ196" i="24"/>
  <c r="EQ192" i="24"/>
  <c r="EA217" i="24"/>
  <c r="EA218" i="24"/>
  <c r="EA223" i="24"/>
  <c r="EA227" i="24"/>
  <c r="EA222" i="24"/>
  <c r="EA219" i="24"/>
  <c r="EA225" i="24"/>
  <c r="EA177" i="24"/>
  <c r="EA176" i="24"/>
  <c r="EA180" i="24"/>
  <c r="EA220" i="24"/>
  <c r="EA179" i="24"/>
  <c r="EA221" i="24"/>
  <c r="EA183" i="24"/>
  <c r="EA191" i="24"/>
  <c r="EA193" i="24"/>
  <c r="EA175" i="24"/>
  <c r="EA182" i="24"/>
  <c r="EA185" i="24"/>
  <c r="EA188" i="24"/>
  <c r="EA190" i="24"/>
  <c r="EA181" i="24"/>
  <c r="EA186" i="24"/>
  <c r="EA195" i="24"/>
  <c r="EA184" i="24"/>
  <c r="EA187" i="24"/>
  <c r="EA169" i="24"/>
  <c r="EA226" i="24"/>
  <c r="EA178" i="24"/>
  <c r="EA194" i="24"/>
  <c r="EA224" i="24"/>
  <c r="EA189" i="24"/>
  <c r="EA196" i="24"/>
  <c r="EA192" i="24"/>
  <c r="DK217" i="24"/>
  <c r="DK218" i="24"/>
  <c r="DK223" i="24"/>
  <c r="DK227" i="24"/>
  <c r="DK222" i="24"/>
  <c r="DK219" i="24"/>
  <c r="DK225" i="24"/>
  <c r="DK177" i="24"/>
  <c r="DK176" i="24"/>
  <c r="DK180" i="24"/>
  <c r="DK224" i="24"/>
  <c r="DK179" i="24"/>
  <c r="DK178" i="24"/>
  <c r="DK183" i="24"/>
  <c r="DK191" i="24"/>
  <c r="DK193" i="24"/>
  <c r="DK182" i="24"/>
  <c r="DK185" i="24"/>
  <c r="DK188" i="24"/>
  <c r="DK190" i="24"/>
  <c r="DK220" i="24"/>
  <c r="DK221" i="24"/>
  <c r="DK181" i="24"/>
  <c r="DK186" i="24"/>
  <c r="DK195" i="24"/>
  <c r="DK175" i="24"/>
  <c r="DK184" i="24"/>
  <c r="DK196" i="24"/>
  <c r="DK187" i="24"/>
  <c r="DK169" i="24"/>
  <c r="DK194" i="24"/>
  <c r="DK226" i="24"/>
  <c r="DK189" i="24"/>
  <c r="DK192" i="24"/>
  <c r="CU217" i="24"/>
  <c r="CU222" i="24"/>
  <c r="CU218" i="24"/>
  <c r="CU223" i="24"/>
  <c r="CU227" i="24"/>
  <c r="CU219" i="24"/>
  <c r="CU224" i="24"/>
  <c r="CU225" i="24"/>
  <c r="CU177" i="24"/>
  <c r="CU175" i="24"/>
  <c r="CU176" i="24"/>
  <c r="CU180" i="24"/>
  <c r="CU221" i="24"/>
  <c r="CU226" i="24"/>
  <c r="CU179" i="24"/>
  <c r="CU183" i="24"/>
  <c r="CU191" i="24"/>
  <c r="CU193" i="24"/>
  <c r="CU220" i="24"/>
  <c r="CU182" i="24"/>
  <c r="CU185" i="24"/>
  <c r="CU188" i="24"/>
  <c r="CU190" i="24"/>
  <c r="CU186" i="24"/>
  <c r="CU195" i="24"/>
  <c r="CU181" i="24"/>
  <c r="CU184" i="24"/>
  <c r="CU178" i="24"/>
  <c r="CU187" i="24"/>
  <c r="CU194" i="24"/>
  <c r="CU189" i="24"/>
  <c r="CU196" i="24"/>
  <c r="CU192" i="24"/>
  <c r="CU169" i="24"/>
  <c r="CE217" i="24"/>
  <c r="CE222" i="24"/>
  <c r="CE218" i="24"/>
  <c r="CE223" i="24"/>
  <c r="CE227" i="24"/>
  <c r="CE219" i="24"/>
  <c r="CE224" i="24"/>
  <c r="CE225" i="24"/>
  <c r="CE177" i="24"/>
  <c r="CE220" i="24"/>
  <c r="CE226" i="24"/>
  <c r="CE176" i="24"/>
  <c r="CE180" i="24"/>
  <c r="CE221" i="24"/>
  <c r="CE179" i="24"/>
  <c r="CE178" i="24"/>
  <c r="CE183" i="24"/>
  <c r="CE191" i="24"/>
  <c r="CE193" i="24"/>
  <c r="CE175" i="24"/>
  <c r="CE182" i="24"/>
  <c r="CE185" i="24"/>
  <c r="CE188" i="24"/>
  <c r="CE190" i="24"/>
  <c r="CE186" i="24"/>
  <c r="CE195" i="24"/>
  <c r="CE184" i="24"/>
  <c r="CE187" i="24"/>
  <c r="CE194" i="24"/>
  <c r="CE181" i="24"/>
  <c r="CE189" i="24"/>
  <c r="CE196" i="24"/>
  <c r="CE192" i="24"/>
  <c r="CE169" i="24"/>
  <c r="BO217" i="24"/>
  <c r="BO222" i="24"/>
  <c r="BO218" i="24"/>
  <c r="BO221" i="24"/>
  <c r="BO223" i="24"/>
  <c r="BO227" i="24"/>
  <c r="BO219" i="24"/>
  <c r="BO224" i="24"/>
  <c r="BO225" i="24"/>
  <c r="BO177" i="24"/>
  <c r="BO176" i="24"/>
  <c r="BO180" i="24"/>
  <c r="BO220" i="24"/>
  <c r="BO179" i="24"/>
  <c r="BO175" i="24"/>
  <c r="BO183" i="24"/>
  <c r="BO191" i="24"/>
  <c r="BO193" i="24"/>
  <c r="BO226" i="24"/>
  <c r="BO182" i="24"/>
  <c r="BO185" i="24"/>
  <c r="BO188" i="24"/>
  <c r="BO190" i="24"/>
  <c r="BO186" i="24"/>
  <c r="BO195" i="24"/>
  <c r="BO181" i="24"/>
  <c r="BO184" i="24"/>
  <c r="BO196" i="24"/>
  <c r="BO187" i="24"/>
  <c r="BO178" i="24"/>
  <c r="BO194" i="24"/>
  <c r="BO189" i="24"/>
  <c r="BO192" i="24"/>
  <c r="BO169" i="24"/>
  <c r="AY217" i="24"/>
  <c r="AY219" i="24"/>
  <c r="AY222" i="24"/>
  <c r="AY218" i="24"/>
  <c r="AY221" i="24"/>
  <c r="AY223" i="24"/>
  <c r="AY227" i="24"/>
  <c r="AY224" i="24"/>
  <c r="AY225" i="24"/>
  <c r="AY177" i="24"/>
  <c r="AY176" i="24"/>
  <c r="AY180" i="24"/>
  <c r="AY175" i="24"/>
  <c r="AY220" i="24"/>
  <c r="AY226" i="24"/>
  <c r="AY178" i="24"/>
  <c r="AY183" i="24"/>
  <c r="AY191" i="24"/>
  <c r="AY193" i="24"/>
  <c r="AY179" i="24"/>
  <c r="AY182" i="24"/>
  <c r="AY185" i="24"/>
  <c r="AY188" i="24"/>
  <c r="AY190" i="24"/>
  <c r="AY186" i="24"/>
  <c r="AY195" i="24"/>
  <c r="AY184" i="24"/>
  <c r="AY187" i="24"/>
  <c r="AY194" i="24"/>
  <c r="AY181" i="24"/>
  <c r="AY189" i="24"/>
  <c r="AY196" i="24"/>
  <c r="AY192" i="24"/>
  <c r="AY169" i="24"/>
  <c r="EG217" i="24"/>
  <c r="EG218" i="24"/>
  <c r="EG220" i="24"/>
  <c r="EG219" i="24"/>
  <c r="EG225" i="24"/>
  <c r="EG221" i="24"/>
  <c r="EG222" i="24"/>
  <c r="EG175" i="24"/>
  <c r="EG178" i="24"/>
  <c r="EG227" i="24"/>
  <c r="EG224" i="24"/>
  <c r="EG176" i="24"/>
  <c r="EG223" i="24"/>
  <c r="EG177" i="24"/>
  <c r="EG187" i="24"/>
  <c r="EG192" i="24"/>
  <c r="EG194" i="24"/>
  <c r="EG226" i="24"/>
  <c r="EG181" i="24"/>
  <c r="EG184" i="24"/>
  <c r="EG186" i="24"/>
  <c r="EG189" i="24"/>
  <c r="EG179" i="24"/>
  <c r="EG185" i="24"/>
  <c r="EG190" i="24"/>
  <c r="EG196" i="24"/>
  <c r="EG182" i="24"/>
  <c r="EG195" i="24"/>
  <c r="EG180" i="24"/>
  <c r="EG183" i="24"/>
  <c r="EG193" i="24"/>
  <c r="EG169" i="24"/>
  <c r="EG188" i="24"/>
  <c r="EG191" i="24"/>
  <c r="BY218" i="24"/>
  <c r="BY220" i="24"/>
  <c r="BY217" i="24"/>
  <c r="BY219" i="24"/>
  <c r="BY225" i="24"/>
  <c r="BY175" i="24"/>
  <c r="BY224" i="24"/>
  <c r="BY178" i="24"/>
  <c r="BY221" i="24"/>
  <c r="BY176" i="24"/>
  <c r="BY226" i="24"/>
  <c r="BY177" i="24"/>
  <c r="BY181" i="24"/>
  <c r="BY180" i="24"/>
  <c r="BY187" i="24"/>
  <c r="BY192" i="24"/>
  <c r="BY194" i="24"/>
  <c r="BY223" i="24"/>
  <c r="BY179" i="24"/>
  <c r="BY184" i="24"/>
  <c r="BY186" i="24"/>
  <c r="BY189" i="24"/>
  <c r="BY222" i="24"/>
  <c r="BY182" i="24"/>
  <c r="BY188" i="24"/>
  <c r="BY196" i="24"/>
  <c r="BY185" i="24"/>
  <c r="BY190" i="24"/>
  <c r="BY183" i="24"/>
  <c r="BY191" i="24"/>
  <c r="BY169" i="24"/>
  <c r="BY227" i="24"/>
  <c r="BY195" i="24"/>
  <c r="BY193" i="24"/>
  <c r="FF217" i="24"/>
  <c r="FF218" i="24"/>
  <c r="FF221" i="24"/>
  <c r="FF220" i="24"/>
  <c r="FF222" i="24"/>
  <c r="FF226" i="24"/>
  <c r="FF223" i="24"/>
  <c r="FF176" i="24"/>
  <c r="FF225" i="24"/>
  <c r="FF179" i="24"/>
  <c r="FF177" i="24"/>
  <c r="FF178" i="24"/>
  <c r="FF175" i="24"/>
  <c r="FF182" i="24"/>
  <c r="FF185" i="24"/>
  <c r="FF188" i="24"/>
  <c r="FF190" i="24"/>
  <c r="FF219" i="24"/>
  <c r="FF187" i="24"/>
  <c r="FF192" i="24"/>
  <c r="FF194" i="24"/>
  <c r="FF180" i="24"/>
  <c r="FF191" i="24"/>
  <c r="FF227" i="24"/>
  <c r="FF193" i="24"/>
  <c r="FF169" i="24"/>
  <c r="FF170" i="24" s="1"/>
  <c r="FF224" i="24"/>
  <c r="FF181" i="24"/>
  <c r="FF186" i="24"/>
  <c r="FF184" i="24"/>
  <c r="FF189" i="24"/>
  <c r="FF196" i="24"/>
  <c r="FF183" i="24"/>
  <c r="FF195" i="24"/>
  <c r="EP217" i="24"/>
  <c r="EP218" i="24"/>
  <c r="EP221" i="24"/>
  <c r="EP220" i="24"/>
  <c r="EP222" i="24"/>
  <c r="EP226" i="24"/>
  <c r="EP223" i="24"/>
  <c r="EP176" i="24"/>
  <c r="EP219" i="24"/>
  <c r="EP179" i="24"/>
  <c r="EP227" i="24"/>
  <c r="EP177" i="24"/>
  <c r="EP178" i="24"/>
  <c r="EP182" i="24"/>
  <c r="EP185" i="24"/>
  <c r="EP188" i="24"/>
  <c r="EP190" i="24"/>
  <c r="EP225" i="24"/>
  <c r="EP187" i="24"/>
  <c r="EP192" i="24"/>
  <c r="EP194" i="24"/>
  <c r="EP224" i="24"/>
  <c r="EP180" i="24"/>
  <c r="EP191" i="24"/>
  <c r="EP193" i="24"/>
  <c r="EP175" i="24"/>
  <c r="EP181" i="24"/>
  <c r="EP186" i="24"/>
  <c r="EP184" i="24"/>
  <c r="EP189" i="24"/>
  <c r="EP196" i="24"/>
  <c r="EP183" i="24"/>
  <c r="EP169" i="24"/>
  <c r="EP195" i="24"/>
  <c r="DZ217" i="24"/>
  <c r="DZ218" i="24"/>
  <c r="DZ221" i="24"/>
  <c r="DZ220" i="24"/>
  <c r="DZ222" i="24"/>
  <c r="DZ226" i="24"/>
  <c r="DZ223" i="24"/>
  <c r="DZ176" i="24"/>
  <c r="DZ227" i="24"/>
  <c r="DZ179" i="24"/>
  <c r="DZ219" i="24"/>
  <c r="DZ224" i="24"/>
  <c r="DZ177" i="24"/>
  <c r="DZ178" i="24"/>
  <c r="DZ225" i="24"/>
  <c r="DZ175" i="24"/>
  <c r="DZ182" i="24"/>
  <c r="DZ185" i="24"/>
  <c r="DZ188" i="24"/>
  <c r="DZ190" i="24"/>
  <c r="DZ187" i="24"/>
  <c r="DZ192" i="24"/>
  <c r="DZ194" i="24"/>
  <c r="DZ180" i="24"/>
  <c r="DZ191" i="24"/>
  <c r="DZ193" i="24"/>
  <c r="DZ181" i="24"/>
  <c r="DZ186" i="24"/>
  <c r="DZ195" i="24"/>
  <c r="DZ184" i="24"/>
  <c r="DZ189" i="24"/>
  <c r="DZ196" i="24"/>
  <c r="DZ183" i="24"/>
  <c r="DZ169" i="24"/>
  <c r="DJ217" i="24"/>
  <c r="DJ218" i="24"/>
  <c r="DJ221" i="24"/>
  <c r="DJ220" i="24"/>
  <c r="DJ222" i="24"/>
  <c r="DJ226" i="24"/>
  <c r="DJ223" i="24"/>
  <c r="DJ176" i="24"/>
  <c r="DJ224" i="24"/>
  <c r="DJ179" i="24"/>
  <c r="DJ225" i="24"/>
  <c r="DJ177" i="24"/>
  <c r="DJ178" i="24"/>
  <c r="DJ219" i="24"/>
  <c r="DJ182" i="24"/>
  <c r="DJ185" i="24"/>
  <c r="DJ188" i="24"/>
  <c r="DJ190" i="24"/>
  <c r="DJ227" i="24"/>
  <c r="DJ187" i="24"/>
  <c r="DJ192" i="24"/>
  <c r="DJ194" i="24"/>
  <c r="DJ180" i="24"/>
  <c r="DJ191" i="24"/>
  <c r="DJ193" i="24"/>
  <c r="DJ181" i="24"/>
  <c r="DJ186" i="24"/>
  <c r="DJ195" i="24"/>
  <c r="DJ175" i="24"/>
  <c r="DJ184" i="24"/>
  <c r="DJ189" i="24"/>
  <c r="DJ196" i="24"/>
  <c r="DJ183" i="24"/>
  <c r="DJ169" i="24"/>
  <c r="CT217" i="24"/>
  <c r="CT218" i="24"/>
  <c r="CT221" i="24"/>
  <c r="CT220" i="24"/>
  <c r="CT226" i="24"/>
  <c r="CT223" i="24"/>
  <c r="CT176" i="24"/>
  <c r="CT222" i="24"/>
  <c r="CT224" i="24"/>
  <c r="CT225" i="24"/>
  <c r="CT179" i="24"/>
  <c r="CT177" i="24"/>
  <c r="CT178" i="24"/>
  <c r="CT227" i="24"/>
  <c r="CT182" i="24"/>
  <c r="CT185" i="24"/>
  <c r="CT188" i="24"/>
  <c r="CT190" i="24"/>
  <c r="CT175" i="24"/>
  <c r="CT187" i="24"/>
  <c r="CT192" i="24"/>
  <c r="CT194" i="24"/>
  <c r="CT180" i="24"/>
  <c r="CT191" i="24"/>
  <c r="CT193" i="24"/>
  <c r="CT186" i="24"/>
  <c r="CT195" i="24"/>
  <c r="CT219" i="24"/>
  <c r="CT181" i="24"/>
  <c r="CT184" i="24"/>
  <c r="CT189" i="24"/>
  <c r="CT196" i="24"/>
  <c r="CT183" i="24"/>
  <c r="CT169" i="24"/>
  <c r="CD217" i="24"/>
  <c r="CD218" i="24"/>
  <c r="CD221" i="24"/>
  <c r="CD220" i="24"/>
  <c r="CD226" i="24"/>
  <c r="CD222" i="24"/>
  <c r="CD223" i="24"/>
  <c r="CD176" i="24"/>
  <c r="CD219" i="24"/>
  <c r="CD179" i="24"/>
  <c r="CD227" i="24"/>
  <c r="CD177" i="24"/>
  <c r="CD178" i="24"/>
  <c r="CD175" i="24"/>
  <c r="CD182" i="24"/>
  <c r="CD185" i="24"/>
  <c r="CD188" i="24"/>
  <c r="CD190" i="24"/>
  <c r="CD187" i="24"/>
  <c r="CD192" i="24"/>
  <c r="CD194" i="24"/>
  <c r="CD224" i="24"/>
  <c r="CD180" i="24"/>
  <c r="CD191" i="24"/>
  <c r="CD183" i="24"/>
  <c r="CD193" i="24"/>
  <c r="CD169" i="24"/>
  <c r="CD186" i="24"/>
  <c r="CD195" i="24"/>
  <c r="CD225" i="24"/>
  <c r="CD181" i="24"/>
  <c r="CD184" i="24"/>
  <c r="CD189" i="24"/>
  <c r="CD196" i="24"/>
  <c r="BN217" i="24"/>
  <c r="BN218" i="24"/>
  <c r="BN221" i="24"/>
  <c r="BN220" i="24"/>
  <c r="BN226" i="24"/>
  <c r="BN223" i="24"/>
  <c r="BN176" i="24"/>
  <c r="BN224" i="24"/>
  <c r="BN227" i="24"/>
  <c r="BN179" i="24"/>
  <c r="BN219" i="24"/>
  <c r="BN175" i="24"/>
  <c r="BN177" i="24"/>
  <c r="BN178" i="24"/>
  <c r="BN182" i="24"/>
  <c r="BN185" i="24"/>
  <c r="BN188" i="24"/>
  <c r="BN190" i="24"/>
  <c r="BN222" i="24"/>
  <c r="BN187" i="24"/>
  <c r="BN192" i="24"/>
  <c r="BN194" i="24"/>
  <c r="BN180" i="24"/>
  <c r="BN191" i="24"/>
  <c r="BN225" i="24"/>
  <c r="BN183" i="24"/>
  <c r="BN169" i="24"/>
  <c r="BN170" i="24" s="1"/>
  <c r="BN186" i="24"/>
  <c r="BN195" i="24"/>
  <c r="BN181" i="24"/>
  <c r="BN184" i="24"/>
  <c r="BN189" i="24"/>
  <c r="BN196" i="24"/>
  <c r="BN193" i="24"/>
  <c r="AX217" i="24"/>
  <c r="AX219" i="24"/>
  <c r="AX218" i="24"/>
  <c r="AX221" i="24"/>
  <c r="AX220" i="24"/>
  <c r="AX226" i="24"/>
  <c r="AX222" i="24"/>
  <c r="AX223" i="24"/>
  <c r="AX176" i="24"/>
  <c r="AX179" i="24"/>
  <c r="AX175" i="24"/>
  <c r="AX225" i="24"/>
  <c r="AX177" i="24"/>
  <c r="AX178" i="24"/>
  <c r="AX224" i="24"/>
  <c r="AX182" i="24"/>
  <c r="AX185" i="24"/>
  <c r="AX188" i="24"/>
  <c r="AX190" i="24"/>
  <c r="AX187" i="24"/>
  <c r="AX192" i="24"/>
  <c r="AX194" i="24"/>
  <c r="AX180" i="24"/>
  <c r="AX191" i="24"/>
  <c r="AX183" i="24"/>
  <c r="AX169" i="24"/>
  <c r="AX227" i="24"/>
  <c r="AX186" i="24"/>
  <c r="AX195" i="24"/>
  <c r="AX181" i="24"/>
  <c r="AX184" i="24"/>
  <c r="AX189" i="24"/>
  <c r="AX196" i="24"/>
  <c r="AX193" i="24"/>
  <c r="FA218" i="24"/>
  <c r="FA220" i="24"/>
  <c r="FA217" i="24"/>
  <c r="FA219" i="24"/>
  <c r="FA225" i="24"/>
  <c r="FA175" i="24"/>
  <c r="FA178" i="24"/>
  <c r="FA224" i="24"/>
  <c r="FA176" i="24"/>
  <c r="FA222" i="24"/>
  <c r="FA223" i="24"/>
  <c r="FA177" i="24"/>
  <c r="FA221" i="24"/>
  <c r="FA180" i="24"/>
  <c r="FA187" i="24"/>
  <c r="FA192" i="24"/>
  <c r="FA194" i="24"/>
  <c r="FA227" i="24"/>
  <c r="FA179" i="24"/>
  <c r="FA181" i="24"/>
  <c r="FA184" i="24"/>
  <c r="FA186" i="24"/>
  <c r="FA189" i="24"/>
  <c r="FA226" i="24"/>
  <c r="FA182" i="24"/>
  <c r="FA188" i="24"/>
  <c r="FA196" i="24"/>
  <c r="FA195" i="24"/>
  <c r="FA183" i="24"/>
  <c r="FA193" i="24"/>
  <c r="FA191" i="24"/>
  <c r="FA169" i="24"/>
  <c r="FA185" i="24"/>
  <c r="FA190" i="24"/>
  <c r="CO218" i="24"/>
  <c r="CO220" i="24"/>
  <c r="CO217" i="24"/>
  <c r="CO219" i="24"/>
  <c r="CO225" i="24"/>
  <c r="CO175" i="24"/>
  <c r="CO224" i="24"/>
  <c r="CO222" i="24"/>
  <c r="CO178" i="24"/>
  <c r="CO221" i="24"/>
  <c r="CO176" i="24"/>
  <c r="CO223" i="24"/>
  <c r="CO177" i="24"/>
  <c r="CO181" i="24"/>
  <c r="CO226" i="24"/>
  <c r="CO180" i="24"/>
  <c r="CO187" i="24"/>
  <c r="CO192" i="24"/>
  <c r="CO194" i="24"/>
  <c r="CO179" i="24"/>
  <c r="CO184" i="24"/>
  <c r="CO186" i="24"/>
  <c r="CO189" i="24"/>
  <c r="CO182" i="24"/>
  <c r="CO188" i="24"/>
  <c r="CO196" i="24"/>
  <c r="CO185" i="24"/>
  <c r="CO190" i="24"/>
  <c r="CO183" i="24"/>
  <c r="CO193" i="24"/>
  <c r="CO227" i="24"/>
  <c r="CO191" i="24"/>
  <c r="CO169" i="24"/>
  <c r="CO195" i="24"/>
  <c r="EC218" i="24"/>
  <c r="EC220" i="24"/>
  <c r="EC219" i="24"/>
  <c r="EC221" i="24"/>
  <c r="EC225" i="24"/>
  <c r="EC217" i="24"/>
  <c r="EC224" i="24"/>
  <c r="EC227" i="24"/>
  <c r="EC175" i="24"/>
  <c r="EC178" i="24"/>
  <c r="EC222" i="24"/>
  <c r="EC223" i="24"/>
  <c r="EC226" i="24"/>
  <c r="EC180" i="24"/>
  <c r="EC187" i="24"/>
  <c r="EC192" i="24"/>
  <c r="EC194" i="24"/>
  <c r="EC179" i="24"/>
  <c r="EC181" i="24"/>
  <c r="EC184" i="24"/>
  <c r="EC186" i="24"/>
  <c r="EC189" i="24"/>
  <c r="EC182" i="24"/>
  <c r="EC188" i="24"/>
  <c r="EC196" i="24"/>
  <c r="EC177" i="24"/>
  <c r="EC185" i="24"/>
  <c r="EC183" i="24"/>
  <c r="EC176" i="24"/>
  <c r="EC191" i="24"/>
  <c r="EC169" i="24"/>
  <c r="EC190" i="24"/>
  <c r="EC195" i="24"/>
  <c r="EC193" i="24"/>
  <c r="BQ218" i="24"/>
  <c r="BQ220" i="24"/>
  <c r="BQ219" i="24"/>
  <c r="BQ225" i="24"/>
  <c r="BQ175" i="24"/>
  <c r="BQ222" i="24"/>
  <c r="BQ224" i="24"/>
  <c r="BQ217" i="24"/>
  <c r="BQ221" i="24"/>
  <c r="BQ227" i="24"/>
  <c r="BQ178" i="24"/>
  <c r="BQ223" i="24"/>
  <c r="BQ226" i="24"/>
  <c r="BQ181" i="24"/>
  <c r="BQ180" i="24"/>
  <c r="BQ187" i="24"/>
  <c r="BQ192" i="24"/>
  <c r="BQ194" i="24"/>
  <c r="BQ179" i="24"/>
  <c r="BQ184" i="24"/>
  <c r="BQ186" i="24"/>
  <c r="BQ189" i="24"/>
  <c r="BQ182" i="24"/>
  <c r="BQ188" i="24"/>
  <c r="BQ196" i="24"/>
  <c r="BQ177" i="24"/>
  <c r="BQ183" i="24"/>
  <c r="BQ193" i="24"/>
  <c r="BQ176" i="24"/>
  <c r="BQ191" i="24"/>
  <c r="BQ169" i="24"/>
  <c r="BQ185" i="24"/>
  <c r="BQ190" i="24"/>
  <c r="BQ195" i="24"/>
  <c r="FH218" i="24"/>
  <c r="FH219" i="24"/>
  <c r="FH224" i="24"/>
  <c r="FH223" i="24"/>
  <c r="FH220" i="24"/>
  <c r="FH221" i="24"/>
  <c r="FH175" i="24"/>
  <c r="FH217" i="24"/>
  <c r="FH225" i="24"/>
  <c r="FH176" i="24"/>
  <c r="FH180" i="24"/>
  <c r="FH226" i="24"/>
  <c r="FH179" i="24"/>
  <c r="FH181" i="24"/>
  <c r="FH184" i="24"/>
  <c r="FH186" i="24"/>
  <c r="FH189" i="24"/>
  <c r="FH222" i="24"/>
  <c r="FH183" i="24"/>
  <c r="FH191" i="24"/>
  <c r="FH193" i="24"/>
  <c r="FH178" i="24"/>
  <c r="FH187" i="24"/>
  <c r="FH192" i="24"/>
  <c r="FH169" i="24"/>
  <c r="FH194" i="24"/>
  <c r="FH227" i="24"/>
  <c r="FH177" i="24"/>
  <c r="FH182" i="24"/>
  <c r="FH188" i="24"/>
  <c r="FH196" i="24"/>
  <c r="FH185" i="24"/>
  <c r="FH190" i="24"/>
  <c r="FH195" i="24"/>
  <c r="ER218" i="24"/>
  <c r="ER219" i="24"/>
  <c r="ER217" i="24"/>
  <c r="ER224" i="24"/>
  <c r="ER223" i="24"/>
  <c r="ER221" i="24"/>
  <c r="ER225" i="24"/>
  <c r="ER175" i="24"/>
  <c r="ER220" i="24"/>
  <c r="ER222" i="24"/>
  <c r="ER226" i="24"/>
  <c r="ER176" i="24"/>
  <c r="ER180" i="24"/>
  <c r="ER177" i="24"/>
  <c r="ER179" i="24"/>
  <c r="ER181" i="24"/>
  <c r="ER184" i="24"/>
  <c r="ER186" i="24"/>
  <c r="ER189" i="24"/>
  <c r="ER178" i="24"/>
  <c r="ER183" i="24"/>
  <c r="ER191" i="24"/>
  <c r="ER193" i="24"/>
  <c r="ER227" i="24"/>
  <c r="ER187" i="24"/>
  <c r="ER192" i="24"/>
  <c r="ER169" i="24"/>
  <c r="ER194" i="24"/>
  <c r="ER182" i="24"/>
  <c r="ER188" i="24"/>
  <c r="ER196" i="24"/>
  <c r="ER185" i="24"/>
  <c r="ER190" i="24"/>
  <c r="ER195" i="24"/>
  <c r="EB218" i="24"/>
  <c r="EB219" i="24"/>
  <c r="EB224" i="24"/>
  <c r="EB223" i="24"/>
  <c r="EB217" i="24"/>
  <c r="EB226" i="24"/>
  <c r="EB175" i="24"/>
  <c r="EB227" i="24"/>
  <c r="EB176" i="24"/>
  <c r="EB180" i="24"/>
  <c r="EB220" i="24"/>
  <c r="EB179" i="24"/>
  <c r="EB181" i="24"/>
  <c r="EB184" i="24"/>
  <c r="EB186" i="24"/>
  <c r="EB189" i="24"/>
  <c r="EB221" i="24"/>
  <c r="EB225" i="24"/>
  <c r="EB183" i="24"/>
  <c r="EB191" i="24"/>
  <c r="EB193" i="24"/>
  <c r="EB187" i="24"/>
  <c r="EB192" i="24"/>
  <c r="EB169" i="24"/>
  <c r="EB178" i="24"/>
  <c r="EB194" i="24"/>
  <c r="EB182" i="24"/>
  <c r="EB188" i="24"/>
  <c r="EB196" i="24"/>
  <c r="EB222" i="24"/>
  <c r="EB177" i="24"/>
  <c r="EB185" i="24"/>
  <c r="EB190" i="24"/>
  <c r="EB195" i="24"/>
  <c r="DL218" i="24"/>
  <c r="DL219" i="24"/>
  <c r="DL217" i="24"/>
  <c r="DL224" i="24"/>
  <c r="DL223" i="24"/>
  <c r="DL221" i="24"/>
  <c r="DL227" i="24"/>
  <c r="DL175" i="24"/>
  <c r="DL222" i="24"/>
  <c r="DL176" i="24"/>
  <c r="DL180" i="24"/>
  <c r="DL225" i="24"/>
  <c r="DL177" i="24"/>
  <c r="DL179" i="24"/>
  <c r="DL181" i="24"/>
  <c r="DL184" i="24"/>
  <c r="DL186" i="24"/>
  <c r="DL189" i="24"/>
  <c r="DL178" i="24"/>
  <c r="DL183" i="24"/>
  <c r="DL191" i="24"/>
  <c r="DL193" i="24"/>
  <c r="DL187" i="24"/>
  <c r="DL192" i="24"/>
  <c r="DL169" i="24"/>
  <c r="DL194" i="24"/>
  <c r="DL226" i="24"/>
  <c r="DL182" i="24"/>
  <c r="DL188" i="24"/>
  <c r="DL196" i="24"/>
  <c r="DL220" i="24"/>
  <c r="DL185" i="24"/>
  <c r="DL190" i="24"/>
  <c r="DL195" i="24"/>
  <c r="CV218" i="24"/>
  <c r="CV219" i="24"/>
  <c r="CV222" i="24"/>
  <c r="CV224" i="24"/>
  <c r="CV223" i="24"/>
  <c r="CV175" i="24"/>
  <c r="CV220" i="24"/>
  <c r="CV181" i="24"/>
  <c r="CV225" i="24"/>
  <c r="CV176" i="24"/>
  <c r="CV180" i="24"/>
  <c r="CV217" i="24"/>
  <c r="CV221" i="24"/>
  <c r="CV179" i="24"/>
  <c r="CV184" i="24"/>
  <c r="CV186" i="24"/>
  <c r="CV189" i="24"/>
  <c r="CV227" i="24"/>
  <c r="CV183" i="24"/>
  <c r="CV191" i="24"/>
  <c r="CV193" i="24"/>
  <c r="CV226" i="24"/>
  <c r="CV178" i="24"/>
  <c r="CV187" i="24"/>
  <c r="CV192" i="24"/>
  <c r="CV169" i="24"/>
  <c r="CV194" i="24"/>
  <c r="CV177" i="24"/>
  <c r="CV182" i="24"/>
  <c r="CV188" i="24"/>
  <c r="CV196" i="24"/>
  <c r="CV185" i="24"/>
  <c r="CV190" i="24"/>
  <c r="CV195" i="24"/>
  <c r="CF218" i="24"/>
  <c r="CF219" i="24"/>
  <c r="CF217" i="24"/>
  <c r="CF222" i="24"/>
  <c r="CF224" i="24"/>
  <c r="CF223" i="24"/>
  <c r="CF221" i="24"/>
  <c r="CF175" i="24"/>
  <c r="CF225" i="24"/>
  <c r="CF181" i="24"/>
  <c r="CF220" i="24"/>
  <c r="CF226" i="24"/>
  <c r="CF176" i="24"/>
  <c r="CF180" i="24"/>
  <c r="CF227" i="24"/>
  <c r="CF177" i="24"/>
  <c r="CF179" i="24"/>
  <c r="CF184" i="24"/>
  <c r="CF186" i="24"/>
  <c r="CF189" i="24"/>
  <c r="CF178" i="24"/>
  <c r="CF183" i="24"/>
  <c r="CF191" i="24"/>
  <c r="CF193" i="24"/>
  <c r="CF187" i="24"/>
  <c r="CF192" i="24"/>
  <c r="CF169" i="24"/>
  <c r="CF194" i="24"/>
  <c r="CF182" i="24"/>
  <c r="CF188" i="24"/>
  <c r="CF196" i="24"/>
  <c r="CF185" i="24"/>
  <c r="CF190" i="24"/>
  <c r="CF195" i="24"/>
  <c r="BP218" i="24"/>
  <c r="BP219" i="24"/>
  <c r="BP222" i="24"/>
  <c r="BP224" i="24"/>
  <c r="BP223" i="24"/>
  <c r="BP175" i="24"/>
  <c r="BP226" i="24"/>
  <c r="BP181" i="24"/>
  <c r="BP217" i="24"/>
  <c r="BP227" i="24"/>
  <c r="BP176" i="24"/>
  <c r="BP180" i="24"/>
  <c r="BP221" i="24"/>
  <c r="BP179" i="24"/>
  <c r="BP184" i="24"/>
  <c r="BP186" i="24"/>
  <c r="BP189" i="24"/>
  <c r="BP183" i="24"/>
  <c r="BP191" i="24"/>
  <c r="BP193" i="24"/>
  <c r="BP187" i="24"/>
  <c r="BP192" i="24"/>
  <c r="BP169" i="24"/>
  <c r="BP194" i="24"/>
  <c r="BP225" i="24"/>
  <c r="BP182" i="24"/>
  <c r="BP188" i="24"/>
  <c r="BP196" i="24"/>
  <c r="BP177" i="24"/>
  <c r="BP185" i="24"/>
  <c r="BP190" i="24"/>
  <c r="BP195" i="24"/>
  <c r="BP220" i="24"/>
  <c r="BP178" i="24"/>
  <c r="AZ218" i="24"/>
  <c r="AZ219" i="24"/>
  <c r="AZ217" i="24"/>
  <c r="AZ222" i="24"/>
  <c r="AZ224" i="24"/>
  <c r="AZ223" i="24"/>
  <c r="AZ175" i="24"/>
  <c r="AZ227" i="24"/>
  <c r="AZ179" i="24"/>
  <c r="AZ181" i="24"/>
  <c r="AZ176" i="24"/>
  <c r="AZ180" i="24"/>
  <c r="AZ177" i="24"/>
  <c r="AZ184" i="24"/>
  <c r="AZ186" i="24"/>
  <c r="AZ189" i="24"/>
  <c r="AZ220" i="24"/>
  <c r="AZ226" i="24"/>
  <c r="AZ178" i="24"/>
  <c r="AZ183" i="24"/>
  <c r="AZ191" i="24"/>
  <c r="AZ193" i="24"/>
  <c r="AZ225" i="24"/>
  <c r="AZ187" i="24"/>
  <c r="AZ192" i="24"/>
  <c r="AZ169" i="24"/>
  <c r="AZ182" i="24"/>
  <c r="AZ188" i="24"/>
  <c r="AZ196" i="24"/>
  <c r="AZ221" i="24"/>
  <c r="AZ185" i="24"/>
  <c r="AZ190" i="24"/>
  <c r="AZ195" i="24"/>
  <c r="AZ194" i="24"/>
  <c r="EK218" i="24"/>
  <c r="EK220" i="24"/>
  <c r="EK217" i="24"/>
  <c r="EK219" i="24"/>
  <c r="EK225" i="24"/>
  <c r="EK175" i="24"/>
  <c r="EK178" i="24"/>
  <c r="EK176" i="24"/>
  <c r="EK221" i="24"/>
  <c r="EK226" i="24"/>
  <c r="EK177" i="24"/>
  <c r="EK227" i="24"/>
  <c r="EK180" i="24"/>
  <c r="EK187" i="24"/>
  <c r="EK192" i="24"/>
  <c r="EK194" i="24"/>
  <c r="EK222" i="24"/>
  <c r="EK223" i="24"/>
  <c r="EK224" i="24"/>
  <c r="EK179" i="24"/>
  <c r="EK181" i="24"/>
  <c r="EK184" i="24"/>
  <c r="EK186" i="24"/>
  <c r="EK189" i="24"/>
  <c r="EK182" i="24"/>
  <c r="EK188" i="24"/>
  <c r="EK196" i="24"/>
  <c r="EK190" i="24"/>
  <c r="EK183" i="24"/>
  <c r="EK193" i="24"/>
  <c r="EK191" i="24"/>
  <c r="EK169" i="24"/>
  <c r="EK185" i="24"/>
  <c r="EK195" i="24"/>
  <c r="CC217" i="24"/>
  <c r="CC218" i="24"/>
  <c r="CC220" i="24"/>
  <c r="CC219" i="24"/>
  <c r="CC225" i="24"/>
  <c r="CC175" i="24"/>
  <c r="CC221" i="24"/>
  <c r="CC224" i="24"/>
  <c r="CC226" i="24"/>
  <c r="CC178" i="24"/>
  <c r="CC227" i="24"/>
  <c r="CC177" i="24"/>
  <c r="CC223" i="24"/>
  <c r="CC181" i="24"/>
  <c r="CC187" i="24"/>
  <c r="CC192" i="24"/>
  <c r="CC194" i="24"/>
  <c r="CC184" i="24"/>
  <c r="CC186" i="24"/>
  <c r="CC189" i="24"/>
  <c r="CC176" i="24"/>
  <c r="CC185" i="24"/>
  <c r="CC190" i="24"/>
  <c r="CC196" i="24"/>
  <c r="CC195" i="24"/>
  <c r="CC180" i="24"/>
  <c r="CC191" i="24"/>
  <c r="CC222" i="24"/>
  <c r="CC183" i="24"/>
  <c r="CC193" i="24"/>
  <c r="CC169" i="24"/>
  <c r="CC179" i="24"/>
  <c r="CC182" i="24"/>
  <c r="CC188" i="24"/>
  <c r="FS217" i="24"/>
  <c r="FS220" i="24"/>
  <c r="FS223" i="24"/>
  <c r="FS227" i="24"/>
  <c r="FS218" i="24"/>
  <c r="FS219" i="24"/>
  <c r="FS222" i="24"/>
  <c r="FS224" i="24"/>
  <c r="FS177" i="24"/>
  <c r="FS226" i="24"/>
  <c r="FS175" i="24"/>
  <c r="FS180" i="24"/>
  <c r="FS176" i="24"/>
  <c r="FS179" i="24"/>
  <c r="FS183" i="24"/>
  <c r="FS191" i="24"/>
  <c r="FS193" i="24"/>
  <c r="FS225" i="24"/>
  <c r="FS182" i="24"/>
  <c r="FS185" i="24"/>
  <c r="FS188" i="24"/>
  <c r="FS190" i="24"/>
  <c r="FS184" i="24"/>
  <c r="FS189" i="24"/>
  <c r="FS195" i="24"/>
  <c r="FS178" i="24"/>
  <c r="FS181" i="24"/>
  <c r="FS194" i="24"/>
  <c r="FS169" i="24"/>
  <c r="FS221" i="24"/>
  <c r="FS187" i="24"/>
  <c r="FS192" i="24"/>
  <c r="FS186" i="24"/>
  <c r="FS196" i="24"/>
  <c r="FC217" i="24"/>
  <c r="FC220" i="24"/>
  <c r="FC223" i="24"/>
  <c r="FC227" i="24"/>
  <c r="FC218" i="24"/>
  <c r="FC219" i="24"/>
  <c r="FC222" i="24"/>
  <c r="FC221" i="24"/>
  <c r="FC224" i="24"/>
  <c r="FC177" i="24"/>
  <c r="FC175" i="24"/>
  <c r="FC180" i="24"/>
  <c r="FC176" i="24"/>
  <c r="FC179" i="24"/>
  <c r="FC225" i="24"/>
  <c r="FC183" i="24"/>
  <c r="FC191" i="24"/>
  <c r="FC193" i="24"/>
  <c r="FC178" i="24"/>
  <c r="FC182" i="24"/>
  <c r="FC185" i="24"/>
  <c r="FC188" i="24"/>
  <c r="FC190" i="24"/>
  <c r="FC184" i="24"/>
  <c r="FC189" i="24"/>
  <c r="FC195" i="24"/>
  <c r="FC181" i="24"/>
  <c r="FC194" i="24"/>
  <c r="FC169" i="24"/>
  <c r="FC226" i="24"/>
  <c r="FC187" i="24"/>
  <c r="FC192" i="24"/>
  <c r="FC186" i="24"/>
  <c r="FC196" i="24"/>
  <c r="EM217" i="24"/>
  <c r="EM220" i="24"/>
  <c r="EM223" i="24"/>
  <c r="EM227" i="24"/>
  <c r="EM218" i="24"/>
  <c r="EM219" i="24"/>
  <c r="EM222" i="24"/>
  <c r="EM224" i="24"/>
  <c r="EM177" i="24"/>
  <c r="EM175" i="24"/>
  <c r="EM180" i="24"/>
  <c r="EM225" i="24"/>
  <c r="EM176" i="24"/>
  <c r="EM179" i="24"/>
  <c r="EM183" i="24"/>
  <c r="EM191" i="24"/>
  <c r="EM193" i="24"/>
  <c r="EM182" i="24"/>
  <c r="EM185" i="24"/>
  <c r="EM188" i="24"/>
  <c r="EM190" i="24"/>
  <c r="EM178" i="24"/>
  <c r="EM184" i="24"/>
  <c r="EM189" i="24"/>
  <c r="EM195" i="24"/>
  <c r="EM221" i="24"/>
  <c r="EM226" i="24"/>
  <c r="EM181" i="24"/>
  <c r="EM194" i="24"/>
  <c r="EM187" i="24"/>
  <c r="EM192" i="24"/>
  <c r="EM186" i="24"/>
  <c r="EM196" i="24"/>
  <c r="EM169" i="24"/>
  <c r="DW217" i="24"/>
  <c r="DW220" i="24"/>
  <c r="DW223" i="24"/>
  <c r="DW227" i="24"/>
  <c r="DW218" i="24"/>
  <c r="DW219" i="24"/>
  <c r="DW222" i="24"/>
  <c r="DW221" i="24"/>
  <c r="DW224" i="24"/>
  <c r="DW177" i="24"/>
  <c r="DW225" i="24"/>
  <c r="DW175" i="24"/>
  <c r="DW180" i="24"/>
  <c r="DW226" i="24"/>
  <c r="DW176" i="24"/>
  <c r="DW179" i="24"/>
  <c r="DW183" i="24"/>
  <c r="DW191" i="24"/>
  <c r="DW193" i="24"/>
  <c r="DW178" i="24"/>
  <c r="DW182" i="24"/>
  <c r="DW185" i="24"/>
  <c r="DW188" i="24"/>
  <c r="DW190" i="24"/>
  <c r="DW184" i="24"/>
  <c r="DW189" i="24"/>
  <c r="DW195" i="24"/>
  <c r="DW181" i="24"/>
  <c r="DW196" i="24"/>
  <c r="DW194" i="24"/>
  <c r="DW187" i="24"/>
  <c r="DW192" i="24"/>
  <c r="DW186" i="24"/>
  <c r="DW169" i="24"/>
  <c r="DG217" i="24"/>
  <c r="DG220" i="24"/>
  <c r="DG223" i="24"/>
  <c r="DG227" i="24"/>
  <c r="DG218" i="24"/>
  <c r="DG219" i="24"/>
  <c r="DG222" i="24"/>
  <c r="DG224" i="24"/>
  <c r="DG177" i="24"/>
  <c r="DG226" i="24"/>
  <c r="DG175" i="24"/>
  <c r="DG180" i="24"/>
  <c r="DG221" i="24"/>
  <c r="DG176" i="24"/>
  <c r="DG179" i="24"/>
  <c r="DG183" i="24"/>
  <c r="DG191" i="24"/>
  <c r="DG193" i="24"/>
  <c r="DG182" i="24"/>
  <c r="DG185" i="24"/>
  <c r="DG188" i="24"/>
  <c r="DG190" i="24"/>
  <c r="DG184" i="24"/>
  <c r="DG189" i="24"/>
  <c r="DG195" i="24"/>
  <c r="DG194" i="24"/>
  <c r="DG225" i="24"/>
  <c r="DG187" i="24"/>
  <c r="DG192" i="24"/>
  <c r="DG178" i="24"/>
  <c r="DG181" i="24"/>
  <c r="DG186" i="24"/>
  <c r="DG196" i="24"/>
  <c r="DG169" i="24"/>
  <c r="CQ217" i="24"/>
  <c r="CQ222" i="24"/>
  <c r="CQ220" i="24"/>
  <c r="CQ223" i="24"/>
  <c r="CQ227" i="24"/>
  <c r="CQ218" i="24"/>
  <c r="CQ219" i="24"/>
  <c r="CQ221" i="24"/>
  <c r="CQ175" i="24"/>
  <c r="CQ177" i="24"/>
  <c r="CQ180" i="24"/>
  <c r="CQ176" i="24"/>
  <c r="CQ179" i="24"/>
  <c r="CQ183" i="24"/>
  <c r="CQ191" i="24"/>
  <c r="CQ193" i="24"/>
  <c r="CQ224" i="24"/>
  <c r="CQ226" i="24"/>
  <c r="CQ178" i="24"/>
  <c r="CQ181" i="24"/>
  <c r="CQ182" i="24"/>
  <c r="CQ185" i="24"/>
  <c r="CQ188" i="24"/>
  <c r="CQ190" i="24"/>
  <c r="CQ184" i="24"/>
  <c r="CQ189" i="24"/>
  <c r="CQ195" i="24"/>
  <c r="CQ196" i="24"/>
  <c r="CQ194" i="24"/>
  <c r="CQ169" i="24"/>
  <c r="CQ187" i="24"/>
  <c r="CQ192" i="24"/>
  <c r="CQ225" i="24"/>
  <c r="CQ186" i="24"/>
  <c r="CA217" i="24"/>
  <c r="CA222" i="24"/>
  <c r="CA221" i="24"/>
  <c r="CA220" i="24"/>
  <c r="CA223" i="24"/>
  <c r="CA227" i="24"/>
  <c r="CA218" i="24"/>
  <c r="CA219" i="24"/>
  <c r="CA175" i="24"/>
  <c r="CA177" i="24"/>
  <c r="CA180" i="24"/>
  <c r="CA224" i="24"/>
  <c r="CA225" i="24"/>
  <c r="CA176" i="24"/>
  <c r="CA179" i="24"/>
  <c r="CA226" i="24"/>
  <c r="CA183" i="24"/>
  <c r="CA191" i="24"/>
  <c r="CA193" i="24"/>
  <c r="CA181" i="24"/>
  <c r="CA182" i="24"/>
  <c r="CA185" i="24"/>
  <c r="CA188" i="24"/>
  <c r="CA190" i="24"/>
  <c r="CA178" i="24"/>
  <c r="CA184" i="24"/>
  <c r="CA189" i="24"/>
  <c r="CA195" i="24"/>
  <c r="CA186" i="24"/>
  <c r="CA196" i="24"/>
  <c r="CA169" i="24"/>
  <c r="CA170" i="24" s="1"/>
  <c r="CA187" i="24"/>
  <c r="CA192" i="24"/>
  <c r="CA194" i="24"/>
  <c r="BK217" i="24"/>
  <c r="BK222" i="24"/>
  <c r="BK221" i="24"/>
  <c r="BK220" i="24"/>
  <c r="BK223" i="24"/>
  <c r="BK227" i="24"/>
  <c r="BK218" i="24"/>
  <c r="BK219" i="24"/>
  <c r="BK175" i="24"/>
  <c r="BK177" i="24"/>
  <c r="BK225" i="24"/>
  <c r="BK180" i="24"/>
  <c r="BK226" i="24"/>
  <c r="BK176" i="24"/>
  <c r="BK179" i="24"/>
  <c r="BK183" i="24"/>
  <c r="BK191" i="24"/>
  <c r="BK193" i="24"/>
  <c r="BK178" i="24"/>
  <c r="BK181" i="24"/>
  <c r="BK182" i="24"/>
  <c r="BK185" i="24"/>
  <c r="BK188" i="24"/>
  <c r="BK190" i="24"/>
  <c r="BK184" i="24"/>
  <c r="BK189" i="24"/>
  <c r="BK195" i="24"/>
  <c r="BK186" i="24"/>
  <c r="BK224" i="24"/>
  <c r="BK169" i="24"/>
  <c r="BK187" i="24"/>
  <c r="BK192" i="24"/>
  <c r="BK196" i="24"/>
  <c r="BK194" i="24"/>
  <c r="AU217" i="24"/>
  <c r="AU222" i="24"/>
  <c r="AU221" i="24"/>
  <c r="AU220" i="24"/>
  <c r="AU223" i="24"/>
  <c r="AU227" i="24"/>
  <c r="AU218" i="24"/>
  <c r="AU175" i="24"/>
  <c r="AU177" i="24"/>
  <c r="AU226" i="24"/>
  <c r="AU179" i="24"/>
  <c r="AU180" i="24"/>
  <c r="AU224" i="24"/>
  <c r="AU176" i="24"/>
  <c r="AU183" i="24"/>
  <c r="AU191" i="24"/>
  <c r="AU193" i="24"/>
  <c r="AU225" i="24"/>
  <c r="AU181" i="24"/>
  <c r="AU182" i="24"/>
  <c r="AU185" i="24"/>
  <c r="AU188" i="24"/>
  <c r="AU190" i="24"/>
  <c r="AU184" i="24"/>
  <c r="AU189" i="24"/>
  <c r="AU195" i="24"/>
  <c r="AU219" i="24"/>
  <c r="AU178" i="24"/>
  <c r="AU186" i="24"/>
  <c r="AU169" i="24"/>
  <c r="AU187" i="24"/>
  <c r="AU192" i="24"/>
  <c r="AU196" i="24"/>
  <c r="AU194" i="24"/>
  <c r="DQ217" i="24"/>
  <c r="DQ218" i="24"/>
  <c r="DQ220" i="24"/>
  <c r="DQ219" i="24"/>
  <c r="DQ225" i="24"/>
  <c r="DQ222" i="24"/>
  <c r="DQ175" i="24"/>
  <c r="DQ178" i="24"/>
  <c r="DQ221" i="24"/>
  <c r="DQ223" i="24"/>
  <c r="DQ224" i="24"/>
  <c r="DQ176" i="24"/>
  <c r="DQ226" i="24"/>
  <c r="DQ187" i="24"/>
  <c r="DQ192" i="24"/>
  <c r="DQ194" i="24"/>
  <c r="DQ181" i="24"/>
  <c r="DQ184" i="24"/>
  <c r="DQ186" i="24"/>
  <c r="DQ189" i="24"/>
  <c r="DQ179" i="24"/>
  <c r="DQ185" i="24"/>
  <c r="DQ190" i="24"/>
  <c r="DQ196" i="24"/>
  <c r="DQ182" i="24"/>
  <c r="DQ188" i="24"/>
  <c r="DQ195" i="24"/>
  <c r="DQ177" i="24"/>
  <c r="DQ227" i="24"/>
  <c r="DQ180" i="24"/>
  <c r="DQ183" i="24"/>
  <c r="DQ193" i="24"/>
  <c r="DQ169" i="24"/>
  <c r="DQ191" i="24"/>
  <c r="BI218" i="24"/>
  <c r="BI220" i="24"/>
  <c r="BI217" i="24"/>
  <c r="BI219" i="24"/>
  <c r="BI225" i="24"/>
  <c r="BI175" i="24"/>
  <c r="BI224" i="24"/>
  <c r="BI222" i="24"/>
  <c r="BI178" i="24"/>
  <c r="BI226" i="24"/>
  <c r="BI176" i="24"/>
  <c r="BI221" i="24"/>
  <c r="BI223" i="24"/>
  <c r="BI227" i="24"/>
  <c r="BI177" i="24"/>
  <c r="BI181" i="24"/>
  <c r="BI180" i="24"/>
  <c r="BI187" i="24"/>
  <c r="BI192" i="24"/>
  <c r="BI194" i="24"/>
  <c r="BI179" i="24"/>
  <c r="BI184" i="24"/>
  <c r="BI186" i="24"/>
  <c r="BI189" i="24"/>
  <c r="BI182" i="24"/>
  <c r="BI188" i="24"/>
  <c r="BI196" i="24"/>
  <c r="BI185" i="24"/>
  <c r="BI190" i="24"/>
  <c r="BI195" i="24"/>
  <c r="BI183" i="24"/>
  <c r="BI191" i="24"/>
  <c r="BI169" i="24"/>
  <c r="BI193" i="24"/>
  <c r="FR217" i="24"/>
  <c r="FR221" i="24"/>
  <c r="FR220" i="24"/>
  <c r="FR218" i="24"/>
  <c r="FR219" i="24"/>
  <c r="FR222" i="24"/>
  <c r="FR226" i="24"/>
  <c r="FR225" i="24"/>
  <c r="FR176" i="24"/>
  <c r="FR223" i="24"/>
  <c r="FR179" i="24"/>
  <c r="FR227" i="24"/>
  <c r="FR182" i="24"/>
  <c r="FR185" i="24"/>
  <c r="FR188" i="24"/>
  <c r="FR190" i="24"/>
  <c r="FR175" i="24"/>
  <c r="FR180" i="24"/>
  <c r="FR187" i="24"/>
  <c r="FR192" i="24"/>
  <c r="FR194" i="24"/>
  <c r="FR224" i="24"/>
  <c r="FR183" i="24"/>
  <c r="FR193" i="24"/>
  <c r="FR191" i="24"/>
  <c r="FR184" i="24"/>
  <c r="FR189" i="24"/>
  <c r="FR195" i="24"/>
  <c r="FR177" i="24"/>
  <c r="FR178" i="24"/>
  <c r="FR181" i="24"/>
  <c r="FR186" i="24"/>
  <c r="FR196" i="24"/>
  <c r="FR169" i="24"/>
  <c r="FB217" i="24"/>
  <c r="FB221" i="24"/>
  <c r="FB220" i="24"/>
  <c r="FB218" i="24"/>
  <c r="FB219" i="24"/>
  <c r="FB222" i="24"/>
  <c r="FB226" i="24"/>
  <c r="FB225" i="24"/>
  <c r="FB176" i="24"/>
  <c r="FB227" i="24"/>
  <c r="FB179" i="24"/>
  <c r="FB224" i="24"/>
  <c r="FB223" i="24"/>
  <c r="FB177" i="24"/>
  <c r="FB178" i="24"/>
  <c r="FB182" i="24"/>
  <c r="FB185" i="24"/>
  <c r="FB188" i="24"/>
  <c r="FB190" i="24"/>
  <c r="FB180" i="24"/>
  <c r="FB187" i="24"/>
  <c r="FB192" i="24"/>
  <c r="FB194" i="24"/>
  <c r="FB183" i="24"/>
  <c r="FB193" i="24"/>
  <c r="FB191" i="24"/>
  <c r="FB184" i="24"/>
  <c r="FB189" i="24"/>
  <c r="FB195" i="24"/>
  <c r="FB181" i="24"/>
  <c r="FB186" i="24"/>
  <c r="FB196" i="24"/>
  <c r="FB175" i="24"/>
  <c r="FB169" i="24"/>
  <c r="EL217" i="24"/>
  <c r="EL221" i="24"/>
  <c r="EL220" i="24"/>
  <c r="EL218" i="24"/>
  <c r="EL219" i="24"/>
  <c r="EL222" i="24"/>
  <c r="EL226" i="24"/>
  <c r="EL225" i="24"/>
  <c r="EL176" i="24"/>
  <c r="EL223" i="24"/>
  <c r="EL224" i="24"/>
  <c r="EL179" i="24"/>
  <c r="EL182" i="24"/>
  <c r="EL185" i="24"/>
  <c r="EL188" i="24"/>
  <c r="EL190" i="24"/>
  <c r="EL227" i="24"/>
  <c r="EL175" i="24"/>
  <c r="EL180" i="24"/>
  <c r="EL187" i="24"/>
  <c r="EL192" i="24"/>
  <c r="EL194" i="24"/>
  <c r="EL183" i="24"/>
  <c r="EL193" i="24"/>
  <c r="EL191" i="24"/>
  <c r="EL169" i="24"/>
  <c r="EL177" i="24"/>
  <c r="EL178" i="24"/>
  <c r="EL184" i="24"/>
  <c r="EL189" i="24"/>
  <c r="EL181" i="24"/>
  <c r="EL186" i="24"/>
  <c r="EL196" i="24"/>
  <c r="EL195" i="24"/>
  <c r="DV217" i="24"/>
  <c r="DV221" i="24"/>
  <c r="DV220" i="24"/>
  <c r="DV218" i="24"/>
  <c r="DV219" i="24"/>
  <c r="DV222" i="24"/>
  <c r="DV226" i="24"/>
  <c r="DV225" i="24"/>
  <c r="DV176" i="24"/>
  <c r="DV179" i="24"/>
  <c r="DV227" i="24"/>
  <c r="DV177" i="24"/>
  <c r="DV178" i="24"/>
  <c r="DV182" i="24"/>
  <c r="DV185" i="24"/>
  <c r="DV188" i="24"/>
  <c r="DV190" i="24"/>
  <c r="DV224" i="24"/>
  <c r="DV180" i="24"/>
  <c r="DV187" i="24"/>
  <c r="DV192" i="24"/>
  <c r="DV194" i="24"/>
  <c r="DV175" i="24"/>
  <c r="DV183" i="24"/>
  <c r="DV193" i="24"/>
  <c r="DV223" i="24"/>
  <c r="DV191" i="24"/>
  <c r="DV169" i="24"/>
  <c r="DV184" i="24"/>
  <c r="DV189" i="24"/>
  <c r="DV181" i="24"/>
  <c r="DV186" i="24"/>
  <c r="DV196" i="24"/>
  <c r="DV195" i="24"/>
  <c r="DF217" i="24"/>
  <c r="DF221" i="24"/>
  <c r="DF220" i="24"/>
  <c r="DF218" i="24"/>
  <c r="DF219" i="24"/>
  <c r="DF222" i="24"/>
  <c r="DF226" i="24"/>
  <c r="DF225" i="24"/>
  <c r="DF176" i="24"/>
  <c r="DF223" i="24"/>
  <c r="DF179" i="24"/>
  <c r="DF227" i="24"/>
  <c r="DF224" i="24"/>
  <c r="DF182" i="24"/>
  <c r="DF185" i="24"/>
  <c r="DF188" i="24"/>
  <c r="DF190" i="24"/>
  <c r="DF175" i="24"/>
  <c r="DF180" i="24"/>
  <c r="DF187" i="24"/>
  <c r="DF192" i="24"/>
  <c r="DF194" i="24"/>
  <c r="DF183" i="24"/>
  <c r="DF193" i="24"/>
  <c r="DF191" i="24"/>
  <c r="DF169" i="24"/>
  <c r="DF184" i="24"/>
  <c r="DF189" i="24"/>
  <c r="DF177" i="24"/>
  <c r="DF178" i="24"/>
  <c r="DF181" i="24"/>
  <c r="DF186" i="24"/>
  <c r="DF196" i="24"/>
  <c r="DF195" i="24"/>
  <c r="CP217" i="24"/>
  <c r="CP221" i="24"/>
  <c r="CP220" i="24"/>
  <c r="CP218" i="24"/>
  <c r="CP219" i="24"/>
  <c r="CP222" i="24"/>
  <c r="CP226" i="24"/>
  <c r="CP225" i="24"/>
  <c r="CP176" i="24"/>
  <c r="CP227" i="24"/>
  <c r="CP179" i="24"/>
  <c r="CP175" i="24"/>
  <c r="CP223" i="24"/>
  <c r="CP224" i="24"/>
  <c r="CP177" i="24"/>
  <c r="CP178" i="24"/>
  <c r="CP181" i="24"/>
  <c r="CP182" i="24"/>
  <c r="CP185" i="24"/>
  <c r="CP188" i="24"/>
  <c r="CP190" i="24"/>
  <c r="CP180" i="24"/>
  <c r="CP187" i="24"/>
  <c r="CP192" i="24"/>
  <c r="CP194" i="24"/>
  <c r="CP183" i="24"/>
  <c r="CP193" i="24"/>
  <c r="CP191" i="24"/>
  <c r="CP169" i="24"/>
  <c r="CP184" i="24"/>
  <c r="CP189" i="24"/>
  <c r="CP186" i="24"/>
  <c r="CP196" i="24"/>
  <c r="CP195" i="24"/>
  <c r="BZ217" i="24"/>
  <c r="BZ221" i="24"/>
  <c r="BZ220" i="24"/>
  <c r="BZ218" i="24"/>
  <c r="BZ219" i="24"/>
  <c r="BZ222" i="24"/>
  <c r="BZ226" i="24"/>
  <c r="BZ225" i="24"/>
  <c r="BZ176" i="24"/>
  <c r="BZ223" i="24"/>
  <c r="BZ224" i="24"/>
  <c r="BZ175" i="24"/>
  <c r="BZ179" i="24"/>
  <c r="BZ181" i="24"/>
  <c r="BZ182" i="24"/>
  <c r="BZ185" i="24"/>
  <c r="BZ188" i="24"/>
  <c r="BZ190" i="24"/>
  <c r="BZ180" i="24"/>
  <c r="BZ187" i="24"/>
  <c r="BZ192" i="24"/>
  <c r="BZ194" i="24"/>
  <c r="BZ183" i="24"/>
  <c r="BZ193" i="24"/>
  <c r="BZ191" i="24"/>
  <c r="BZ227" i="24"/>
  <c r="BZ177" i="24"/>
  <c r="BZ178" i="24"/>
  <c r="BZ184" i="24"/>
  <c r="BZ189" i="24"/>
  <c r="BZ186" i="24"/>
  <c r="BZ196" i="24"/>
  <c r="BZ169" i="24"/>
  <c r="BZ195" i="24"/>
  <c r="BJ217" i="24"/>
  <c r="BJ221" i="24"/>
  <c r="BJ220" i="24"/>
  <c r="BJ218" i="24"/>
  <c r="BJ219" i="24"/>
  <c r="BJ222" i="24"/>
  <c r="BJ226" i="24"/>
  <c r="BJ225" i="24"/>
  <c r="BJ176" i="24"/>
  <c r="BJ179" i="24"/>
  <c r="BJ177" i="24"/>
  <c r="BJ178" i="24"/>
  <c r="BJ181" i="24"/>
  <c r="BJ182" i="24"/>
  <c r="BJ185" i="24"/>
  <c r="BJ188" i="24"/>
  <c r="BJ190" i="24"/>
  <c r="BJ180" i="24"/>
  <c r="BJ187" i="24"/>
  <c r="BJ192" i="24"/>
  <c r="BJ194" i="24"/>
  <c r="BJ223" i="24"/>
  <c r="BJ227" i="24"/>
  <c r="BJ183" i="24"/>
  <c r="BJ193" i="24"/>
  <c r="BJ191" i="24"/>
  <c r="BJ184" i="24"/>
  <c r="BJ189" i="24"/>
  <c r="BJ186" i="24"/>
  <c r="BJ196" i="24"/>
  <c r="BJ224" i="24"/>
  <c r="BJ175" i="24"/>
  <c r="BJ169" i="24"/>
  <c r="BJ195" i="24"/>
  <c r="AT217" i="24"/>
  <c r="AT219" i="24"/>
  <c r="AT221" i="24"/>
  <c r="AT220" i="24"/>
  <c r="AT218" i="24"/>
  <c r="AT222" i="24"/>
  <c r="AT226" i="24"/>
  <c r="AT225" i="24"/>
  <c r="AT176" i="24"/>
  <c r="AT179" i="24"/>
  <c r="AT223" i="24"/>
  <c r="AT224" i="24"/>
  <c r="AT227" i="24"/>
  <c r="AT181" i="24"/>
  <c r="AT182" i="24"/>
  <c r="AT185" i="24"/>
  <c r="AT188" i="24"/>
  <c r="AT190" i="24"/>
  <c r="AT180" i="24"/>
  <c r="AT187" i="24"/>
  <c r="AT192" i="24"/>
  <c r="AT194" i="24"/>
  <c r="AT183" i="24"/>
  <c r="AT193" i="24"/>
  <c r="AT191" i="24"/>
  <c r="AT175" i="24"/>
  <c r="AT184" i="24"/>
  <c r="AT189" i="24"/>
  <c r="AT177" i="24"/>
  <c r="AT178" i="24"/>
  <c r="AT186" i="24"/>
  <c r="AT196" i="24"/>
  <c r="AT169" i="24"/>
  <c r="AT195" i="24"/>
  <c r="H228" i="24"/>
  <c r="EO217" i="24"/>
  <c r="EO218" i="24"/>
  <c r="EO220" i="24"/>
  <c r="EO219" i="24"/>
  <c r="EO225" i="24"/>
  <c r="EO221" i="24"/>
  <c r="EO222" i="24"/>
  <c r="EO226" i="24"/>
  <c r="EO175" i="24"/>
  <c r="EO178" i="24"/>
  <c r="EO227" i="24"/>
  <c r="EO177" i="24"/>
  <c r="EO223" i="24"/>
  <c r="EO224" i="24"/>
  <c r="EO187" i="24"/>
  <c r="EO192" i="24"/>
  <c r="EO194" i="24"/>
  <c r="EO181" i="24"/>
  <c r="EO184" i="24"/>
  <c r="EO186" i="24"/>
  <c r="EO189" i="24"/>
  <c r="EO176" i="24"/>
  <c r="EO185" i="24"/>
  <c r="EO190" i="24"/>
  <c r="EO196" i="24"/>
  <c r="EO188" i="24"/>
  <c r="EO195" i="24"/>
  <c r="EO180" i="24"/>
  <c r="EO191" i="24"/>
  <c r="EO183" i="24"/>
  <c r="EO193" i="24"/>
  <c r="EO169" i="24"/>
  <c r="EO179" i="24"/>
  <c r="EO182" i="24"/>
  <c r="BU217" i="24"/>
  <c r="BU218" i="24"/>
  <c r="BU220" i="24"/>
  <c r="BU219" i="24"/>
  <c r="BU222" i="24"/>
  <c r="BU225" i="24"/>
  <c r="BU175" i="24"/>
  <c r="BU221" i="24"/>
  <c r="BU224" i="24"/>
  <c r="BU178" i="24"/>
  <c r="BU227" i="24"/>
  <c r="BU176" i="24"/>
  <c r="BU181" i="24"/>
  <c r="BU223" i="24"/>
  <c r="BU177" i="24"/>
  <c r="BU187" i="24"/>
  <c r="BU192" i="24"/>
  <c r="BU194" i="24"/>
  <c r="BU184" i="24"/>
  <c r="BU186" i="24"/>
  <c r="BU189" i="24"/>
  <c r="BU179" i="24"/>
  <c r="BU185" i="24"/>
  <c r="BU190" i="24"/>
  <c r="BU196" i="24"/>
  <c r="BU182" i="24"/>
  <c r="BU188" i="24"/>
  <c r="BU195" i="24"/>
  <c r="BU226" i="24"/>
  <c r="BU180" i="24"/>
  <c r="BU183" i="24"/>
  <c r="BU193" i="24"/>
  <c r="BU169" i="24"/>
  <c r="BU191" i="24"/>
  <c r="DM218" i="24"/>
  <c r="DM220" i="24"/>
  <c r="DM219" i="24"/>
  <c r="DM221" i="24"/>
  <c r="DM225" i="24"/>
  <c r="DM217" i="24"/>
  <c r="DM224" i="24"/>
  <c r="DM227" i="24"/>
  <c r="DM175" i="24"/>
  <c r="DM178" i="24"/>
  <c r="DM226" i="24"/>
  <c r="DM222" i="24"/>
  <c r="DM223" i="24"/>
  <c r="DM176" i="24"/>
  <c r="DM180" i="24"/>
  <c r="DM187" i="24"/>
  <c r="DM192" i="24"/>
  <c r="DM194" i="24"/>
  <c r="DM177" i="24"/>
  <c r="DM179" i="24"/>
  <c r="DM181" i="24"/>
  <c r="DM184" i="24"/>
  <c r="DM186" i="24"/>
  <c r="DM189" i="24"/>
  <c r="DM182" i="24"/>
  <c r="DM188" i="24"/>
  <c r="DM196" i="24"/>
  <c r="DM183" i="24"/>
  <c r="DM191" i="24"/>
  <c r="DM169" i="24"/>
  <c r="DM185" i="24"/>
  <c r="DM190" i="24"/>
  <c r="DM195" i="24"/>
  <c r="DM193" i="24"/>
  <c r="BE217" i="24"/>
  <c r="BE218" i="24"/>
  <c r="BE220" i="24"/>
  <c r="BE219" i="24"/>
  <c r="BE222" i="24"/>
  <c r="BE225" i="24"/>
  <c r="BE175" i="24"/>
  <c r="BE221" i="24"/>
  <c r="BE224" i="24"/>
  <c r="BE178" i="24"/>
  <c r="BE223" i="24"/>
  <c r="BE179" i="24"/>
  <c r="BE176" i="24"/>
  <c r="BE181" i="24"/>
  <c r="BE187" i="24"/>
  <c r="BE192" i="24"/>
  <c r="BE194" i="24"/>
  <c r="BE227" i="24"/>
  <c r="BE184" i="24"/>
  <c r="BE186" i="24"/>
  <c r="BE189" i="24"/>
  <c r="BE185" i="24"/>
  <c r="BE190" i="24"/>
  <c r="BE196" i="24"/>
  <c r="BE182" i="24"/>
  <c r="BE188" i="24"/>
  <c r="BE177" i="24"/>
  <c r="BE180" i="24"/>
  <c r="BE183" i="24"/>
  <c r="BE193" i="24"/>
  <c r="BE169" i="24"/>
  <c r="BE226" i="24"/>
  <c r="BE195" i="24"/>
  <c r="BE191" i="24"/>
  <c r="FT217" i="24"/>
  <c r="FT218" i="24"/>
  <c r="FT219" i="24"/>
  <c r="FT221" i="24"/>
  <c r="FT224" i="24"/>
  <c r="FT220" i="24"/>
  <c r="FT223" i="24"/>
  <c r="FT227" i="24"/>
  <c r="FT222" i="24"/>
  <c r="FT225" i="24"/>
  <c r="FT178" i="24"/>
  <c r="FT226" i="24"/>
  <c r="FT175" i="24"/>
  <c r="FT180" i="24"/>
  <c r="FT181" i="24"/>
  <c r="FT184" i="24"/>
  <c r="FT186" i="24"/>
  <c r="FT189" i="24"/>
  <c r="FT183" i="24"/>
  <c r="FT191" i="24"/>
  <c r="FT193" i="24"/>
  <c r="FT194" i="24"/>
  <c r="FT169" i="24"/>
  <c r="FT177" i="24"/>
  <c r="FT192" i="24"/>
  <c r="FT185" i="24"/>
  <c r="FT176" i="24"/>
  <c r="FT179" i="24"/>
  <c r="FT182" i="24"/>
  <c r="FT188" i="24"/>
  <c r="FT195" i="24"/>
  <c r="FT187" i="24"/>
  <c r="FT190" i="24"/>
  <c r="FT196" i="24"/>
  <c r="FD217" i="24"/>
  <c r="FD218" i="24"/>
  <c r="FD219" i="24"/>
  <c r="FD221" i="24"/>
  <c r="FD224" i="24"/>
  <c r="FD220" i="24"/>
  <c r="FD223" i="24"/>
  <c r="FD227" i="24"/>
  <c r="FD226" i="24"/>
  <c r="FD178" i="24"/>
  <c r="FD175" i="24"/>
  <c r="FD180" i="24"/>
  <c r="FD222" i="24"/>
  <c r="FD176" i="24"/>
  <c r="FD181" i="24"/>
  <c r="FD184" i="24"/>
  <c r="FD186" i="24"/>
  <c r="FD189" i="24"/>
  <c r="FD225" i="24"/>
  <c r="FD177" i="24"/>
  <c r="FD183" i="24"/>
  <c r="FD191" i="24"/>
  <c r="FD193" i="24"/>
  <c r="FD194" i="24"/>
  <c r="FD169" i="24"/>
  <c r="FD185" i="24"/>
  <c r="FD179" i="24"/>
  <c r="FD182" i="24"/>
  <c r="FD188" i="24"/>
  <c r="FD195" i="24"/>
  <c r="FD187" i="24"/>
  <c r="FD192" i="24"/>
  <c r="FD190" i="24"/>
  <c r="FD196" i="24"/>
  <c r="EN217" i="24"/>
  <c r="EN218" i="24"/>
  <c r="EN219" i="24"/>
  <c r="EN221" i="24"/>
  <c r="EN224" i="24"/>
  <c r="EN220" i="24"/>
  <c r="EN223" i="24"/>
  <c r="EN227" i="24"/>
  <c r="EN222" i="24"/>
  <c r="EN178" i="24"/>
  <c r="EN175" i="24"/>
  <c r="EN180" i="24"/>
  <c r="EN225" i="24"/>
  <c r="EN181" i="24"/>
  <c r="EN184" i="24"/>
  <c r="EN186" i="24"/>
  <c r="EN189" i="24"/>
  <c r="EN183" i="24"/>
  <c r="EN191" i="24"/>
  <c r="EN193" i="24"/>
  <c r="EN177" i="24"/>
  <c r="EN194" i="24"/>
  <c r="EN169" i="24"/>
  <c r="EN226" i="24"/>
  <c r="EN176" i="24"/>
  <c r="EN185" i="24"/>
  <c r="EN179" i="24"/>
  <c r="EN182" i="24"/>
  <c r="EN188" i="24"/>
  <c r="EN195" i="24"/>
  <c r="EN187" i="24"/>
  <c r="EN192" i="24"/>
  <c r="EN190" i="24"/>
  <c r="EN196" i="24"/>
  <c r="DX217" i="24"/>
  <c r="DX218" i="24"/>
  <c r="DX219" i="24"/>
  <c r="DX221" i="24"/>
  <c r="DX224" i="24"/>
  <c r="DX220" i="24"/>
  <c r="DX223" i="24"/>
  <c r="DX227" i="24"/>
  <c r="DX178" i="24"/>
  <c r="DX225" i="24"/>
  <c r="DX175" i="24"/>
  <c r="DX180" i="24"/>
  <c r="DX176" i="24"/>
  <c r="DX181" i="24"/>
  <c r="DX184" i="24"/>
  <c r="DX186" i="24"/>
  <c r="DX189" i="24"/>
  <c r="DX177" i="24"/>
  <c r="DX183" i="24"/>
  <c r="DX191" i="24"/>
  <c r="DX193" i="24"/>
  <c r="DX222" i="24"/>
  <c r="DX226" i="24"/>
  <c r="DX194" i="24"/>
  <c r="DX169" i="24"/>
  <c r="DX185" i="24"/>
  <c r="DX179" i="24"/>
  <c r="DX182" i="24"/>
  <c r="DX188" i="24"/>
  <c r="DX195" i="24"/>
  <c r="DX187" i="24"/>
  <c r="DX192" i="24"/>
  <c r="DX190" i="24"/>
  <c r="DX196" i="24"/>
  <c r="DH217" i="24"/>
  <c r="DH218" i="24"/>
  <c r="DH219" i="24"/>
  <c r="DH221" i="24"/>
  <c r="DH224" i="24"/>
  <c r="DH220" i="24"/>
  <c r="DH223" i="24"/>
  <c r="DH227" i="24"/>
  <c r="DH222" i="24"/>
  <c r="DH225" i="24"/>
  <c r="DH178" i="24"/>
  <c r="DH226" i="24"/>
  <c r="DH175" i="24"/>
  <c r="DH180" i="24"/>
  <c r="DH181" i="24"/>
  <c r="DH184" i="24"/>
  <c r="DH186" i="24"/>
  <c r="DH189" i="24"/>
  <c r="DH183" i="24"/>
  <c r="DH191" i="24"/>
  <c r="DH193" i="24"/>
  <c r="DH194" i="24"/>
  <c r="DH169" i="24"/>
  <c r="DH177" i="24"/>
  <c r="DH192" i="24"/>
  <c r="DH185" i="24"/>
  <c r="DH190" i="24"/>
  <c r="DH176" i="24"/>
  <c r="DH179" i="24"/>
  <c r="DH182" i="24"/>
  <c r="DH188" i="24"/>
  <c r="DH195" i="24"/>
  <c r="DH187" i="24"/>
  <c r="DH196" i="24"/>
  <c r="CR217" i="24"/>
  <c r="CR218" i="24"/>
  <c r="CR219" i="24"/>
  <c r="CR221" i="24"/>
  <c r="CR224" i="24"/>
  <c r="CR220" i="24"/>
  <c r="CR222" i="24"/>
  <c r="CR223" i="24"/>
  <c r="CR227" i="24"/>
  <c r="CR226" i="24"/>
  <c r="CR178" i="24"/>
  <c r="CR181" i="24"/>
  <c r="CR180" i="24"/>
  <c r="CR175" i="24"/>
  <c r="CR176" i="24"/>
  <c r="CR184" i="24"/>
  <c r="CR186" i="24"/>
  <c r="CR189" i="24"/>
  <c r="CR177" i="24"/>
  <c r="CR183" i="24"/>
  <c r="CR191" i="24"/>
  <c r="CR193" i="24"/>
  <c r="CR194" i="24"/>
  <c r="CR169" i="24"/>
  <c r="CR225" i="24"/>
  <c r="CR185" i="24"/>
  <c r="CR179" i="24"/>
  <c r="CR182" i="24"/>
  <c r="CR188" i="24"/>
  <c r="CR195" i="24"/>
  <c r="CR187" i="24"/>
  <c r="CR192" i="24"/>
  <c r="CR190" i="24"/>
  <c r="CR196" i="24"/>
  <c r="CB217" i="24"/>
  <c r="CB218" i="24"/>
  <c r="CB219" i="24"/>
  <c r="CB221" i="24"/>
  <c r="CB224" i="24"/>
  <c r="CB220" i="24"/>
  <c r="CB222" i="24"/>
  <c r="CB223" i="24"/>
  <c r="CB227" i="24"/>
  <c r="CB178" i="24"/>
  <c r="CB181" i="24"/>
  <c r="CB175" i="24"/>
  <c r="CB180" i="24"/>
  <c r="CB184" i="24"/>
  <c r="CB186" i="24"/>
  <c r="CB189" i="24"/>
  <c r="CB226" i="24"/>
  <c r="CB183" i="24"/>
  <c r="CB191" i="24"/>
  <c r="CB193" i="24"/>
  <c r="CB225" i="24"/>
  <c r="CB177" i="24"/>
  <c r="CB194" i="24"/>
  <c r="CB169" i="24"/>
  <c r="CB176" i="24"/>
  <c r="CB185" i="24"/>
  <c r="CB190" i="24"/>
  <c r="CB179" i="24"/>
  <c r="CB182" i="24"/>
  <c r="CB188" i="24"/>
  <c r="CB195" i="24"/>
  <c r="CB187" i="24"/>
  <c r="CB192" i="24"/>
  <c r="CB196" i="24"/>
  <c r="BL217" i="24"/>
  <c r="BL218" i="24"/>
  <c r="BL219" i="24"/>
  <c r="BL221" i="24"/>
  <c r="BL224" i="24"/>
  <c r="BL220" i="24"/>
  <c r="BL222" i="24"/>
  <c r="BL223" i="24"/>
  <c r="BL227" i="24"/>
  <c r="BL175" i="24"/>
  <c r="BL178" i="24"/>
  <c r="BL181" i="24"/>
  <c r="BL225" i="24"/>
  <c r="BL180" i="24"/>
  <c r="BL226" i="24"/>
  <c r="BL176" i="24"/>
  <c r="BL184" i="24"/>
  <c r="BL186" i="24"/>
  <c r="BL189" i="24"/>
  <c r="BL177" i="24"/>
  <c r="BL183" i="24"/>
  <c r="BL191" i="24"/>
  <c r="BL193" i="24"/>
  <c r="BL194" i="24"/>
  <c r="BL169" i="24"/>
  <c r="BL192" i="24"/>
  <c r="BL185" i="24"/>
  <c r="BL190" i="24"/>
  <c r="BL179" i="24"/>
  <c r="BL182" i="24"/>
  <c r="BL188" i="24"/>
  <c r="BL195" i="24"/>
  <c r="BL187" i="24"/>
  <c r="BL196" i="24"/>
  <c r="AV217" i="24"/>
  <c r="AV218" i="24"/>
  <c r="AV221" i="24"/>
  <c r="AV224" i="24"/>
  <c r="AV220" i="24"/>
  <c r="AV222" i="24"/>
  <c r="AV223" i="24"/>
  <c r="AV219" i="24"/>
  <c r="AV227" i="24"/>
  <c r="AV225" i="24"/>
  <c r="AV178" i="24"/>
  <c r="AV181" i="24"/>
  <c r="AV226" i="24"/>
  <c r="AV179" i="24"/>
  <c r="AV180" i="24"/>
  <c r="AV184" i="24"/>
  <c r="AV186" i="24"/>
  <c r="AV189" i="24"/>
  <c r="AV183" i="24"/>
  <c r="AV191" i="24"/>
  <c r="AV193" i="24"/>
  <c r="AV175" i="24"/>
  <c r="AV194" i="24"/>
  <c r="AV169" i="24"/>
  <c r="AV187" i="24"/>
  <c r="AV192" i="24"/>
  <c r="AV185" i="24"/>
  <c r="AV190" i="24"/>
  <c r="AV176" i="24"/>
  <c r="AV182" i="24"/>
  <c r="AV188" i="24"/>
  <c r="AV195" i="24"/>
  <c r="AV177" i="24"/>
  <c r="AV196" i="24"/>
  <c r="DU218" i="24"/>
  <c r="DU220" i="24"/>
  <c r="DU217" i="24"/>
  <c r="DU219" i="24"/>
  <c r="DU225" i="24"/>
  <c r="DU175" i="24"/>
  <c r="DU178" i="24"/>
  <c r="DU226" i="24"/>
  <c r="DU176" i="24"/>
  <c r="DU221" i="24"/>
  <c r="DU222" i="24"/>
  <c r="DU223" i="24"/>
  <c r="DU227" i="24"/>
  <c r="DU177" i="24"/>
  <c r="DU224" i="24"/>
  <c r="DU180" i="24"/>
  <c r="DU187" i="24"/>
  <c r="DU192" i="24"/>
  <c r="DU194" i="24"/>
  <c r="DU179" i="24"/>
  <c r="DU181" i="24"/>
  <c r="DU184" i="24"/>
  <c r="DU186" i="24"/>
  <c r="DU189" i="24"/>
  <c r="DU182" i="24"/>
  <c r="DU188" i="24"/>
  <c r="DU196" i="24"/>
  <c r="DU190" i="24"/>
  <c r="DU183" i="24"/>
  <c r="DU193" i="24"/>
  <c r="DU191" i="24"/>
  <c r="DU169" i="24"/>
  <c r="DU185" i="24"/>
  <c r="DU195" i="24"/>
  <c r="BM217" i="24"/>
  <c r="BM218" i="24"/>
  <c r="BM220" i="24"/>
  <c r="BM219" i="24"/>
  <c r="BM225" i="24"/>
  <c r="BM175" i="24"/>
  <c r="BM221" i="24"/>
  <c r="BM224" i="24"/>
  <c r="BM226" i="24"/>
  <c r="BM178" i="24"/>
  <c r="BM177" i="24"/>
  <c r="BM181" i="24"/>
  <c r="BM222" i="24"/>
  <c r="BM187" i="24"/>
  <c r="BM192" i="24"/>
  <c r="BM194" i="24"/>
  <c r="BM176" i="24"/>
  <c r="BM184" i="24"/>
  <c r="BM186" i="24"/>
  <c r="BM189" i="24"/>
  <c r="BM185" i="24"/>
  <c r="BM190" i="24"/>
  <c r="BM196" i="24"/>
  <c r="BM179" i="24"/>
  <c r="BM195" i="24"/>
  <c r="BM180" i="24"/>
  <c r="BM191" i="24"/>
  <c r="BM223" i="24"/>
  <c r="BM227" i="24"/>
  <c r="BM183" i="24"/>
  <c r="BM193" i="24"/>
  <c r="BM169" i="24"/>
  <c r="BM182" i="24"/>
  <c r="BM188" i="24"/>
  <c r="FO217" i="24"/>
  <c r="FO218" i="24"/>
  <c r="FO221" i="24"/>
  <c r="FO223" i="24"/>
  <c r="FO227" i="24"/>
  <c r="FO222" i="24"/>
  <c r="FO177" i="24"/>
  <c r="FO224" i="24"/>
  <c r="FO178" i="24"/>
  <c r="FO180" i="24"/>
  <c r="FO219" i="24"/>
  <c r="FO220" i="24"/>
  <c r="FO225" i="24"/>
  <c r="FO175" i="24"/>
  <c r="FO179" i="24"/>
  <c r="FO176" i="24"/>
  <c r="FO183" i="24"/>
  <c r="FO191" i="24"/>
  <c r="FO193" i="24"/>
  <c r="FO182" i="24"/>
  <c r="FO185" i="24"/>
  <c r="FO188" i="24"/>
  <c r="FO190" i="24"/>
  <c r="FO181" i="24"/>
  <c r="FO186" i="24"/>
  <c r="FO195" i="24"/>
  <c r="FO189" i="24"/>
  <c r="FO196" i="24"/>
  <c r="FO187" i="24"/>
  <c r="FO194" i="24"/>
  <c r="FO226" i="24"/>
  <c r="FO184" i="24"/>
  <c r="FO192" i="24"/>
  <c r="FO169" i="24"/>
  <c r="EY217" i="24"/>
  <c r="EY218" i="24"/>
  <c r="EY221" i="24"/>
  <c r="EY223" i="24"/>
  <c r="EY227" i="24"/>
  <c r="EY222" i="24"/>
  <c r="EY177" i="24"/>
  <c r="EY225" i="24"/>
  <c r="EY178" i="24"/>
  <c r="EY180" i="24"/>
  <c r="EY226" i="24"/>
  <c r="EY175" i="24"/>
  <c r="EY179" i="24"/>
  <c r="EY219" i="24"/>
  <c r="EY183" i="24"/>
  <c r="EY191" i="24"/>
  <c r="EY193" i="24"/>
  <c r="EY224" i="24"/>
  <c r="EY182" i="24"/>
  <c r="EY185" i="24"/>
  <c r="EY188" i="24"/>
  <c r="EY190" i="24"/>
  <c r="EY181" i="24"/>
  <c r="EY186" i="24"/>
  <c r="EY195" i="24"/>
  <c r="EY220" i="24"/>
  <c r="EY189" i="24"/>
  <c r="EY196" i="24"/>
  <c r="EY187" i="24"/>
  <c r="EY176" i="24"/>
  <c r="EY194" i="24"/>
  <c r="EY184" i="24"/>
  <c r="EY192" i="24"/>
  <c r="EY169" i="24"/>
  <c r="EI217" i="24"/>
  <c r="EI218" i="24"/>
  <c r="EI221" i="24"/>
  <c r="EI223" i="24"/>
  <c r="EI227" i="24"/>
  <c r="EI222" i="24"/>
  <c r="EI177" i="24"/>
  <c r="EI226" i="24"/>
  <c r="EI178" i="24"/>
  <c r="EI180" i="24"/>
  <c r="EI175" i="24"/>
  <c r="EI179" i="24"/>
  <c r="EI224" i="24"/>
  <c r="EI176" i="24"/>
  <c r="EI183" i="24"/>
  <c r="EI191" i="24"/>
  <c r="EI193" i="24"/>
  <c r="EI220" i="24"/>
  <c r="EI182" i="24"/>
  <c r="EI185" i="24"/>
  <c r="EI188" i="24"/>
  <c r="EI190" i="24"/>
  <c r="EI181" i="24"/>
  <c r="EI186" i="24"/>
  <c r="EI195" i="24"/>
  <c r="EI189" i="24"/>
  <c r="EI196" i="24"/>
  <c r="EI219" i="24"/>
  <c r="EI187" i="24"/>
  <c r="EI192" i="24"/>
  <c r="EI169" i="24"/>
  <c r="EI225" i="24"/>
  <c r="EI194" i="24"/>
  <c r="EI184" i="24"/>
  <c r="DS217" i="24"/>
  <c r="DS218" i="24"/>
  <c r="DS221" i="24"/>
  <c r="DS223" i="24"/>
  <c r="DS227" i="24"/>
  <c r="DS222" i="24"/>
  <c r="DS177" i="24"/>
  <c r="DS219" i="24"/>
  <c r="DS220" i="24"/>
  <c r="DS178" i="24"/>
  <c r="DS180" i="24"/>
  <c r="DS224" i="24"/>
  <c r="DS175" i="24"/>
  <c r="DS179" i="24"/>
  <c r="DS183" i="24"/>
  <c r="DS191" i="24"/>
  <c r="DS193" i="24"/>
  <c r="DS226" i="24"/>
  <c r="DS182" i="24"/>
  <c r="DS185" i="24"/>
  <c r="DS188" i="24"/>
  <c r="DS190" i="24"/>
  <c r="DS181" i="24"/>
  <c r="DS186" i="24"/>
  <c r="DS195" i="24"/>
  <c r="DS225" i="24"/>
  <c r="DS189" i="24"/>
  <c r="DS176" i="24"/>
  <c r="DS187" i="24"/>
  <c r="DS192" i="24"/>
  <c r="DS169" i="24"/>
  <c r="DS194" i="24"/>
  <c r="DS184" i="24"/>
  <c r="DS196" i="24"/>
  <c r="DC217" i="24"/>
  <c r="DC222" i="24"/>
  <c r="DC218" i="24"/>
  <c r="DC221" i="24"/>
  <c r="DC223" i="24"/>
  <c r="DC227" i="24"/>
  <c r="DC177" i="24"/>
  <c r="DC224" i="24"/>
  <c r="DC178" i="24"/>
  <c r="DC180" i="24"/>
  <c r="DC219" i="24"/>
  <c r="DC220" i="24"/>
  <c r="DC225" i="24"/>
  <c r="DC175" i="24"/>
  <c r="DC179" i="24"/>
  <c r="DC226" i="24"/>
  <c r="DC176" i="24"/>
  <c r="DC181" i="24"/>
  <c r="DC183" i="24"/>
  <c r="DC191" i="24"/>
  <c r="DC193" i="24"/>
  <c r="DC182" i="24"/>
  <c r="DC185" i="24"/>
  <c r="DC188" i="24"/>
  <c r="DC190" i="24"/>
  <c r="DC186" i="24"/>
  <c r="DC195" i="24"/>
  <c r="DC189" i="24"/>
  <c r="DC196" i="24"/>
  <c r="DC187" i="24"/>
  <c r="DC192" i="24"/>
  <c r="DC169" i="24"/>
  <c r="DC194" i="24"/>
  <c r="DC184" i="24"/>
  <c r="CM217" i="24"/>
  <c r="CM222" i="24"/>
  <c r="CM218" i="24"/>
  <c r="CM221" i="24"/>
  <c r="CM223" i="24"/>
  <c r="CM227" i="24"/>
  <c r="CM224" i="24"/>
  <c r="CM177" i="24"/>
  <c r="CM225" i="24"/>
  <c r="CM178" i="24"/>
  <c r="CM180" i="24"/>
  <c r="CM226" i="24"/>
  <c r="CM179" i="24"/>
  <c r="CM220" i="24"/>
  <c r="CM183" i="24"/>
  <c r="CM191" i="24"/>
  <c r="CM193" i="24"/>
  <c r="CM182" i="24"/>
  <c r="CM185" i="24"/>
  <c r="CM188" i="24"/>
  <c r="CM190" i="24"/>
  <c r="CM219" i="24"/>
  <c r="CM181" i="24"/>
  <c r="CM186" i="24"/>
  <c r="CM195" i="24"/>
  <c r="CM189" i="24"/>
  <c r="CM187" i="24"/>
  <c r="CM192" i="24"/>
  <c r="CM176" i="24"/>
  <c r="CM194" i="24"/>
  <c r="CM175" i="24"/>
  <c r="CM184" i="24"/>
  <c r="CM196" i="24"/>
  <c r="CM169" i="24"/>
  <c r="BW217" i="24"/>
  <c r="BW222" i="24"/>
  <c r="BW218" i="24"/>
  <c r="BW221" i="24"/>
  <c r="BW223" i="24"/>
  <c r="BW227" i="24"/>
  <c r="BW224" i="24"/>
  <c r="BW177" i="24"/>
  <c r="BW226" i="24"/>
  <c r="BW178" i="24"/>
  <c r="BW180" i="24"/>
  <c r="BW179" i="24"/>
  <c r="BW176" i="24"/>
  <c r="BW183" i="24"/>
  <c r="BW191" i="24"/>
  <c r="BW193" i="24"/>
  <c r="BW219" i="24"/>
  <c r="BW225" i="24"/>
  <c r="BW182" i="24"/>
  <c r="BW185" i="24"/>
  <c r="BW188" i="24"/>
  <c r="BW190" i="24"/>
  <c r="BW181" i="24"/>
  <c r="BW186" i="24"/>
  <c r="BW195" i="24"/>
  <c r="BW189" i="24"/>
  <c r="BW220" i="24"/>
  <c r="BW175" i="24"/>
  <c r="BW187" i="24"/>
  <c r="BW192" i="24"/>
  <c r="BW169" i="24"/>
  <c r="BW194" i="24"/>
  <c r="BW184" i="24"/>
  <c r="BW196" i="24"/>
  <c r="BG217" i="24"/>
  <c r="BG222" i="24"/>
  <c r="BG218" i="24"/>
  <c r="BG221" i="24"/>
  <c r="BG223" i="24"/>
  <c r="BG227" i="24"/>
  <c r="BG224" i="24"/>
  <c r="BG177" i="24"/>
  <c r="BG219" i="24"/>
  <c r="BG220" i="24"/>
  <c r="BG178" i="24"/>
  <c r="BG180" i="24"/>
  <c r="BG175" i="24"/>
  <c r="BG179" i="24"/>
  <c r="BG225" i="24"/>
  <c r="BG183" i="24"/>
  <c r="BG191" i="24"/>
  <c r="BG193" i="24"/>
  <c r="BG182" i="24"/>
  <c r="BG185" i="24"/>
  <c r="BG188" i="24"/>
  <c r="BG190" i="24"/>
  <c r="BG181" i="24"/>
  <c r="BG186" i="24"/>
  <c r="BG195" i="24"/>
  <c r="BG189" i="24"/>
  <c r="BG196" i="24"/>
  <c r="BG226" i="24"/>
  <c r="BG176" i="24"/>
  <c r="BG187" i="24"/>
  <c r="BG192" i="24"/>
  <c r="BG194" i="24"/>
  <c r="BG184" i="24"/>
  <c r="BG169" i="24"/>
  <c r="AQ217" i="24"/>
  <c r="AQ219" i="24"/>
  <c r="AQ222" i="24"/>
  <c r="AQ218" i="24"/>
  <c r="AQ221" i="24"/>
  <c r="AQ223" i="24"/>
  <c r="AQ227" i="24"/>
  <c r="AQ224" i="24"/>
  <c r="AQ220" i="24"/>
  <c r="AQ225" i="24"/>
  <c r="AQ226" i="24"/>
  <c r="FM217" i="24"/>
  <c r="FM218" i="24"/>
  <c r="FM220" i="24"/>
  <c r="FM219" i="24"/>
  <c r="FM225" i="24"/>
  <c r="FM221" i="24"/>
  <c r="FM222" i="24"/>
  <c r="FM175" i="24"/>
  <c r="FM178" i="24"/>
  <c r="FM226" i="24"/>
  <c r="FM176" i="24"/>
  <c r="FM227" i="24"/>
  <c r="FM177" i="24"/>
  <c r="FM187" i="24"/>
  <c r="FM192" i="24"/>
  <c r="FM194" i="24"/>
  <c r="FM224" i="24"/>
  <c r="FM181" i="24"/>
  <c r="FM184" i="24"/>
  <c r="FM186" i="24"/>
  <c r="FM189" i="24"/>
  <c r="FM179" i="24"/>
  <c r="FM185" i="24"/>
  <c r="FM190" i="24"/>
  <c r="FM196" i="24"/>
  <c r="FM182" i="24"/>
  <c r="FM180" i="24"/>
  <c r="FM183" i="24"/>
  <c r="FM193" i="24"/>
  <c r="FM169" i="24"/>
  <c r="FM223" i="24"/>
  <c r="FM188" i="24"/>
  <c r="FM195" i="24"/>
  <c r="FM191" i="24"/>
  <c r="DA217" i="24"/>
  <c r="DA218" i="24"/>
  <c r="DA220" i="24"/>
  <c r="DA219" i="24"/>
  <c r="DA222" i="24"/>
  <c r="DA225" i="24"/>
  <c r="DA221" i="24"/>
  <c r="DA175" i="24"/>
  <c r="DA178" i="24"/>
  <c r="DA226" i="24"/>
  <c r="DA176" i="24"/>
  <c r="DA181" i="24"/>
  <c r="DA177" i="24"/>
  <c r="DA187" i="24"/>
  <c r="DA192" i="24"/>
  <c r="DA194" i="24"/>
  <c r="DA184" i="24"/>
  <c r="DA186" i="24"/>
  <c r="DA189" i="24"/>
  <c r="DA223" i="24"/>
  <c r="DA179" i="24"/>
  <c r="DA185" i="24"/>
  <c r="DA190" i="24"/>
  <c r="DA196" i="24"/>
  <c r="DA227" i="24"/>
  <c r="DA182" i="24"/>
  <c r="DA188" i="24"/>
  <c r="DA224" i="24"/>
  <c r="DA180" i="24"/>
  <c r="DA183" i="24"/>
  <c r="DA193" i="24"/>
  <c r="DA169" i="24"/>
  <c r="DA195" i="24"/>
  <c r="DA191" i="24"/>
  <c r="AS219" i="24"/>
  <c r="AS218" i="24"/>
  <c r="AS220" i="24"/>
  <c r="AS217" i="24"/>
  <c r="AS225" i="24"/>
  <c r="AS175" i="24"/>
  <c r="AS224" i="24"/>
  <c r="AS178" i="24"/>
  <c r="AS227" i="24"/>
  <c r="AS176" i="24"/>
  <c r="AS222" i="24"/>
  <c r="AS177" i="24"/>
  <c r="AS180" i="24"/>
  <c r="AS187" i="24"/>
  <c r="AS192" i="24"/>
  <c r="AS194" i="24"/>
  <c r="AS184" i="24"/>
  <c r="AS186" i="24"/>
  <c r="AS189" i="24"/>
  <c r="AS221" i="24"/>
  <c r="AS182" i="24"/>
  <c r="AS188" i="24"/>
  <c r="AS196" i="24"/>
  <c r="AS185" i="24"/>
  <c r="AS195" i="24"/>
  <c r="AS223" i="24"/>
  <c r="AS183" i="24"/>
  <c r="AS193" i="24"/>
  <c r="AS226" i="24"/>
  <c r="AS191" i="24"/>
  <c r="AS169" i="24"/>
  <c r="AS179" i="24"/>
  <c r="AS190" i="24"/>
  <c r="FN217" i="24"/>
  <c r="FN218" i="24"/>
  <c r="FN221" i="24"/>
  <c r="FN220" i="24"/>
  <c r="FN222" i="24"/>
  <c r="FN226" i="24"/>
  <c r="FN223" i="24"/>
  <c r="FN224" i="24"/>
  <c r="FN227" i="24"/>
  <c r="FN176" i="24"/>
  <c r="FN219" i="24"/>
  <c r="FN225" i="24"/>
  <c r="FN175" i="24"/>
  <c r="FN179" i="24"/>
  <c r="FN182" i="24"/>
  <c r="FN185" i="24"/>
  <c r="FN188" i="24"/>
  <c r="FN190" i="24"/>
  <c r="FN177" i="24"/>
  <c r="FN178" i="24"/>
  <c r="FN187" i="24"/>
  <c r="FN192" i="24"/>
  <c r="FN194" i="24"/>
  <c r="FN191" i="24"/>
  <c r="FN183" i="24"/>
  <c r="FN169" i="24"/>
  <c r="FN181" i="24"/>
  <c r="FN186" i="24"/>
  <c r="FN184" i="24"/>
  <c r="FN189" i="24"/>
  <c r="FN196" i="24"/>
  <c r="FN180" i="24"/>
  <c r="FN193" i="24"/>
  <c r="FN195" i="24"/>
  <c r="EX217" i="24"/>
  <c r="EX218" i="24"/>
  <c r="EX221" i="24"/>
  <c r="EX220" i="24"/>
  <c r="EX222" i="24"/>
  <c r="EX226" i="24"/>
  <c r="EX223" i="24"/>
  <c r="EX224" i="24"/>
  <c r="EX227" i="24"/>
  <c r="EX176" i="24"/>
  <c r="EX175" i="24"/>
  <c r="EX179" i="24"/>
  <c r="EX219" i="24"/>
  <c r="EX182" i="24"/>
  <c r="EX185" i="24"/>
  <c r="EX188" i="24"/>
  <c r="EX190" i="24"/>
  <c r="EX187" i="24"/>
  <c r="EX192" i="24"/>
  <c r="EX194" i="24"/>
  <c r="EX191" i="24"/>
  <c r="EX180" i="24"/>
  <c r="EX183" i="24"/>
  <c r="EX169" i="24"/>
  <c r="EX225" i="24"/>
  <c r="EX181" i="24"/>
  <c r="EX186" i="24"/>
  <c r="EX184" i="24"/>
  <c r="EX189" i="24"/>
  <c r="EX196" i="24"/>
  <c r="EX177" i="24"/>
  <c r="EX178" i="24"/>
  <c r="EX193" i="24"/>
  <c r="EX195" i="24"/>
  <c r="EH217" i="24"/>
  <c r="EH218" i="24"/>
  <c r="EH221" i="24"/>
  <c r="EH220" i="24"/>
  <c r="EH222" i="24"/>
  <c r="EH226" i="24"/>
  <c r="EH223" i="24"/>
  <c r="EH224" i="24"/>
  <c r="EH227" i="24"/>
  <c r="EH176" i="24"/>
  <c r="EH175" i="24"/>
  <c r="EH179" i="24"/>
  <c r="EH182" i="24"/>
  <c r="EH185" i="24"/>
  <c r="EH188" i="24"/>
  <c r="EH190" i="24"/>
  <c r="EH177" i="24"/>
  <c r="EH178" i="24"/>
  <c r="EH187" i="24"/>
  <c r="EH192" i="24"/>
  <c r="EH194" i="24"/>
  <c r="EH225" i="24"/>
  <c r="EH191" i="24"/>
  <c r="EH219" i="24"/>
  <c r="EH183" i="24"/>
  <c r="EH181" i="24"/>
  <c r="EH186" i="24"/>
  <c r="EH195" i="24"/>
  <c r="EH184" i="24"/>
  <c r="EH189" i="24"/>
  <c r="EH196" i="24"/>
  <c r="EH180" i="24"/>
  <c r="EH193" i="24"/>
  <c r="EH169" i="24"/>
  <c r="DR217" i="24"/>
  <c r="DR218" i="24"/>
  <c r="DR221" i="24"/>
  <c r="DR220" i="24"/>
  <c r="DR222" i="24"/>
  <c r="DR226" i="24"/>
  <c r="DR223" i="24"/>
  <c r="DR224" i="24"/>
  <c r="DR227" i="24"/>
  <c r="DR176" i="24"/>
  <c r="DR175" i="24"/>
  <c r="DR179" i="24"/>
  <c r="DR225" i="24"/>
  <c r="DR182" i="24"/>
  <c r="DR185" i="24"/>
  <c r="DR188" i="24"/>
  <c r="DR190" i="24"/>
  <c r="DR219" i="24"/>
  <c r="DR187" i="24"/>
  <c r="DR192" i="24"/>
  <c r="DR194" i="24"/>
  <c r="DR177" i="24"/>
  <c r="DR178" i="24"/>
  <c r="DR191" i="24"/>
  <c r="DR180" i="24"/>
  <c r="DR183" i="24"/>
  <c r="DR181" i="24"/>
  <c r="DR186" i="24"/>
  <c r="DR195" i="24"/>
  <c r="DR184" i="24"/>
  <c r="DR189" i="24"/>
  <c r="DR196" i="24"/>
  <c r="DR193" i="24"/>
  <c r="DR169" i="24"/>
  <c r="DB217" i="24"/>
  <c r="DB218" i="24"/>
  <c r="DB221" i="24"/>
  <c r="DB220" i="24"/>
  <c r="DB226" i="24"/>
  <c r="DB222" i="24"/>
  <c r="DB223" i="24"/>
  <c r="DB224" i="24"/>
  <c r="DB227" i="24"/>
  <c r="DB176" i="24"/>
  <c r="DB219" i="24"/>
  <c r="DB225" i="24"/>
  <c r="DB175" i="24"/>
  <c r="DB179" i="24"/>
  <c r="DB182" i="24"/>
  <c r="DB185" i="24"/>
  <c r="DB188" i="24"/>
  <c r="DB190" i="24"/>
  <c r="DB177" i="24"/>
  <c r="DB178" i="24"/>
  <c r="DB187" i="24"/>
  <c r="DB192" i="24"/>
  <c r="DB194" i="24"/>
  <c r="DB181" i="24"/>
  <c r="DB191" i="24"/>
  <c r="DB180" i="24"/>
  <c r="DB183" i="24"/>
  <c r="DB186" i="24"/>
  <c r="DB195" i="24"/>
  <c r="DB184" i="24"/>
  <c r="DB189" i="24"/>
  <c r="DB196" i="24"/>
  <c r="DB193" i="24"/>
  <c r="DB169" i="24"/>
  <c r="CL217" i="24"/>
  <c r="CL218" i="24"/>
  <c r="CL221" i="24"/>
  <c r="CL220" i="24"/>
  <c r="CL226" i="24"/>
  <c r="CL222" i="24"/>
  <c r="CL223" i="24"/>
  <c r="CL227" i="24"/>
  <c r="CL175" i="24"/>
  <c r="CL176" i="24"/>
  <c r="CL179" i="24"/>
  <c r="CL219" i="24"/>
  <c r="CL224" i="24"/>
  <c r="CL182" i="24"/>
  <c r="CL185" i="24"/>
  <c r="CL188" i="24"/>
  <c r="CL190" i="24"/>
  <c r="CL225" i="24"/>
  <c r="CL187" i="24"/>
  <c r="CL192" i="24"/>
  <c r="CL194" i="24"/>
  <c r="CL191" i="24"/>
  <c r="CL178" i="24"/>
  <c r="CL181" i="24"/>
  <c r="CL186" i="24"/>
  <c r="CL195" i="24"/>
  <c r="CL184" i="24"/>
  <c r="CL189" i="24"/>
  <c r="CL196" i="24"/>
  <c r="CL177" i="24"/>
  <c r="CL180" i="24"/>
  <c r="CL183" i="24"/>
  <c r="CL193" i="24"/>
  <c r="CL169" i="24"/>
  <c r="BV217" i="24"/>
  <c r="BV218" i="24"/>
  <c r="BV221" i="24"/>
  <c r="BV220" i="24"/>
  <c r="BV226" i="24"/>
  <c r="BV222" i="24"/>
  <c r="BV223" i="24"/>
  <c r="BV227" i="24"/>
  <c r="BV175" i="24"/>
  <c r="BV176" i="24"/>
  <c r="BV179" i="24"/>
  <c r="BV219" i="24"/>
  <c r="BV225" i="24"/>
  <c r="BV182" i="24"/>
  <c r="BV185" i="24"/>
  <c r="BV188" i="24"/>
  <c r="BV190" i="24"/>
  <c r="BV224" i="24"/>
  <c r="BV177" i="24"/>
  <c r="BV178" i="24"/>
  <c r="BV187" i="24"/>
  <c r="BV192" i="24"/>
  <c r="BV194" i="24"/>
  <c r="BV191" i="24"/>
  <c r="BV180" i="24"/>
  <c r="BV169" i="24"/>
  <c r="BV181" i="24"/>
  <c r="BV186" i="24"/>
  <c r="BV195" i="24"/>
  <c r="BV184" i="24"/>
  <c r="BV189" i="24"/>
  <c r="BV196" i="24"/>
  <c r="BV183" i="24"/>
  <c r="BV193" i="24"/>
  <c r="BF217" i="24"/>
  <c r="BF218" i="24"/>
  <c r="BF221" i="24"/>
  <c r="BF220" i="24"/>
  <c r="BF226" i="24"/>
  <c r="BF222" i="24"/>
  <c r="BF223" i="24"/>
  <c r="BF227" i="24"/>
  <c r="BF175" i="24"/>
  <c r="BF176" i="24"/>
  <c r="BF179" i="24"/>
  <c r="BF224" i="24"/>
  <c r="BF225" i="24"/>
  <c r="BF182" i="24"/>
  <c r="BF185" i="24"/>
  <c r="BF188" i="24"/>
  <c r="BF190" i="24"/>
  <c r="BF187" i="24"/>
  <c r="BF192" i="24"/>
  <c r="BF194" i="24"/>
  <c r="BF177" i="24"/>
  <c r="BF178" i="24"/>
  <c r="BF191" i="24"/>
  <c r="BF169" i="24"/>
  <c r="BF219" i="24"/>
  <c r="BF181" i="24"/>
  <c r="BF186" i="24"/>
  <c r="BF195" i="24"/>
  <c r="BF184" i="24"/>
  <c r="BF189" i="24"/>
  <c r="BF196" i="24"/>
  <c r="BF180" i="24"/>
  <c r="BF183" i="24"/>
  <c r="BF193" i="24"/>
  <c r="AP217" i="24"/>
  <c r="AP219" i="24"/>
  <c r="AP218" i="24"/>
  <c r="AP221" i="24"/>
  <c r="AP220" i="24"/>
  <c r="AP226" i="24"/>
  <c r="AP222" i="24"/>
  <c r="AP223" i="24"/>
  <c r="AP227" i="24"/>
  <c r="AP225" i="24"/>
  <c r="AP224" i="24"/>
  <c r="DY217" i="24"/>
  <c r="DY218" i="24"/>
  <c r="DY220" i="24"/>
  <c r="DY219" i="24"/>
  <c r="DY225" i="24"/>
  <c r="DY221" i="24"/>
  <c r="DY222" i="24"/>
  <c r="DY226" i="24"/>
  <c r="DY175" i="24"/>
  <c r="DY178" i="24"/>
  <c r="DY224" i="24"/>
  <c r="DY177" i="24"/>
  <c r="DY187" i="24"/>
  <c r="DY192" i="24"/>
  <c r="DY194" i="24"/>
  <c r="DY227" i="24"/>
  <c r="DY176" i="24"/>
  <c r="DY181" i="24"/>
  <c r="DY184" i="24"/>
  <c r="DY186" i="24"/>
  <c r="DY189" i="24"/>
  <c r="DY185" i="24"/>
  <c r="DY190" i="24"/>
  <c r="DY196" i="24"/>
  <c r="DY179" i="24"/>
  <c r="DY188" i="24"/>
  <c r="DY195" i="24"/>
  <c r="DY223" i="24"/>
  <c r="DY180" i="24"/>
  <c r="DY191" i="24"/>
  <c r="DY183" i="24"/>
  <c r="DY193" i="24"/>
  <c r="DY169" i="24"/>
  <c r="DY182" i="24"/>
  <c r="BA218" i="24"/>
  <c r="BA220" i="24"/>
  <c r="BA219" i="24"/>
  <c r="BA225" i="24"/>
  <c r="BA175" i="24"/>
  <c r="BA217" i="24"/>
  <c r="BA222" i="24"/>
  <c r="BA224" i="24"/>
  <c r="BA221" i="24"/>
  <c r="BA227" i="24"/>
  <c r="BA178" i="24"/>
  <c r="BA226" i="24"/>
  <c r="BA179" i="24"/>
  <c r="BA181" i="24"/>
  <c r="BA223" i="24"/>
  <c r="BA176" i="24"/>
  <c r="BA180" i="24"/>
  <c r="BA187" i="24"/>
  <c r="BA192" i="24"/>
  <c r="BA194" i="24"/>
  <c r="BA177" i="24"/>
  <c r="BA184" i="24"/>
  <c r="BA186" i="24"/>
  <c r="BA189" i="24"/>
  <c r="BA182" i="24"/>
  <c r="BA188" i="24"/>
  <c r="BA196" i="24"/>
  <c r="BA190" i="24"/>
  <c r="BA195" i="24"/>
  <c r="BA183" i="24"/>
  <c r="BA193" i="24"/>
  <c r="BA191" i="24"/>
  <c r="BA169" i="24"/>
  <c r="BA185" i="24"/>
  <c r="FI218" i="24"/>
  <c r="FI220" i="24"/>
  <c r="FI219" i="24"/>
  <c r="FI221" i="24"/>
  <c r="FI225" i="24"/>
  <c r="FI224" i="24"/>
  <c r="FI227" i="24"/>
  <c r="FI175" i="24"/>
  <c r="FI178" i="24"/>
  <c r="FI222" i="24"/>
  <c r="FI223" i="24"/>
  <c r="FI180" i="24"/>
  <c r="FI187" i="24"/>
  <c r="FI192" i="24"/>
  <c r="FI194" i="24"/>
  <c r="FI226" i="24"/>
  <c r="FI179" i="24"/>
  <c r="FI181" i="24"/>
  <c r="FI184" i="24"/>
  <c r="FI186" i="24"/>
  <c r="FI189" i="24"/>
  <c r="FI177" i="24"/>
  <c r="FI182" i="24"/>
  <c r="FI188" i="24"/>
  <c r="FI196" i="24"/>
  <c r="FI185" i="24"/>
  <c r="FI190" i="24"/>
  <c r="FI195" i="24"/>
  <c r="FI176" i="24"/>
  <c r="FI183" i="24"/>
  <c r="FI191" i="24"/>
  <c r="FI169" i="24"/>
  <c r="FI217" i="24"/>
  <c r="FI193" i="24"/>
  <c r="CW218" i="24"/>
  <c r="CW220" i="24"/>
  <c r="CW219" i="24"/>
  <c r="CW221" i="24"/>
  <c r="CW225" i="24"/>
  <c r="CW175" i="24"/>
  <c r="CW222" i="24"/>
  <c r="CW224" i="24"/>
  <c r="CW227" i="24"/>
  <c r="CW178" i="24"/>
  <c r="CW223" i="24"/>
  <c r="CW181" i="24"/>
  <c r="CW180" i="24"/>
  <c r="CW187" i="24"/>
  <c r="CW192" i="24"/>
  <c r="CW194" i="24"/>
  <c r="CW217" i="24"/>
  <c r="CW179" i="24"/>
  <c r="CW184" i="24"/>
  <c r="CW186" i="24"/>
  <c r="CW189" i="24"/>
  <c r="CW177" i="24"/>
  <c r="CW182" i="24"/>
  <c r="CW188" i="24"/>
  <c r="CW196" i="24"/>
  <c r="CW195" i="24"/>
  <c r="CW176" i="24"/>
  <c r="CW183" i="24"/>
  <c r="CW226" i="24"/>
  <c r="CW191" i="24"/>
  <c r="CW169" i="24"/>
  <c r="CW185" i="24"/>
  <c r="CW190" i="24"/>
  <c r="CW193" i="24"/>
  <c r="AW219" i="24"/>
  <c r="AW217" i="24"/>
  <c r="AW218" i="24"/>
  <c r="AW220" i="24"/>
  <c r="AW225" i="24"/>
  <c r="AW175" i="24"/>
  <c r="AW221" i="24"/>
  <c r="AW224" i="24"/>
  <c r="AW226" i="24"/>
  <c r="AW178" i="24"/>
  <c r="AW177" i="24"/>
  <c r="AW223" i="24"/>
  <c r="AW181" i="24"/>
  <c r="AW179" i="24"/>
  <c r="AW187" i="24"/>
  <c r="AW192" i="24"/>
  <c r="AW194" i="24"/>
  <c r="AW184" i="24"/>
  <c r="AW186" i="24"/>
  <c r="AW189" i="24"/>
  <c r="AW185" i="24"/>
  <c r="AW190" i="24"/>
  <c r="AW196" i="24"/>
  <c r="AW227" i="24"/>
  <c r="AW180" i="24"/>
  <c r="AW191" i="24"/>
  <c r="AW183" i="24"/>
  <c r="AW193" i="24"/>
  <c r="AW169" i="24"/>
  <c r="AW222" i="24"/>
  <c r="AW176" i="24"/>
  <c r="AW182" i="24"/>
  <c r="AW188" i="24"/>
  <c r="AW195" i="24"/>
  <c r="FP218" i="24"/>
  <c r="FP217" i="24"/>
  <c r="FP219" i="24"/>
  <c r="FP224" i="24"/>
  <c r="FP221" i="24"/>
  <c r="FP223" i="24"/>
  <c r="FP220" i="24"/>
  <c r="FP226" i="24"/>
  <c r="FP177" i="24"/>
  <c r="FP178" i="24"/>
  <c r="FP180" i="24"/>
  <c r="FP225" i="24"/>
  <c r="FP175" i="24"/>
  <c r="FP179" i="24"/>
  <c r="FP181" i="24"/>
  <c r="FP184" i="24"/>
  <c r="FP186" i="24"/>
  <c r="FP189" i="24"/>
  <c r="FP227" i="24"/>
  <c r="FP176" i="24"/>
  <c r="FP183" i="24"/>
  <c r="FP191" i="24"/>
  <c r="FP193" i="24"/>
  <c r="FP222" i="24"/>
  <c r="FP187" i="24"/>
  <c r="FP192" i="24"/>
  <c r="FP169" i="24"/>
  <c r="FP182" i="24"/>
  <c r="FP188" i="24"/>
  <c r="FP196" i="24"/>
  <c r="FP185" i="24"/>
  <c r="FP190" i="24"/>
  <c r="FP195" i="24"/>
  <c r="FP194" i="24"/>
  <c r="EZ218" i="24"/>
  <c r="EZ217" i="24"/>
  <c r="EZ219" i="24"/>
  <c r="EZ224" i="24"/>
  <c r="EZ221" i="24"/>
  <c r="EZ223" i="24"/>
  <c r="EZ220" i="24"/>
  <c r="EZ226" i="24"/>
  <c r="EZ222" i="24"/>
  <c r="EZ177" i="24"/>
  <c r="EZ225" i="24"/>
  <c r="EZ178" i="24"/>
  <c r="EZ180" i="24"/>
  <c r="EZ227" i="24"/>
  <c r="EZ179" i="24"/>
  <c r="EZ181" i="24"/>
  <c r="EZ184" i="24"/>
  <c r="EZ186" i="24"/>
  <c r="EZ189" i="24"/>
  <c r="EZ183" i="24"/>
  <c r="EZ191" i="24"/>
  <c r="EZ193" i="24"/>
  <c r="EZ187" i="24"/>
  <c r="EZ192" i="24"/>
  <c r="EZ169" i="24"/>
  <c r="EZ182" i="24"/>
  <c r="EZ188" i="24"/>
  <c r="EZ196" i="24"/>
  <c r="EZ175" i="24"/>
  <c r="EZ185" i="24"/>
  <c r="EZ190" i="24"/>
  <c r="EZ195" i="24"/>
  <c r="EZ176" i="24"/>
  <c r="EZ194" i="24"/>
  <c r="EJ7" i="24"/>
  <c r="EJ218" i="24"/>
  <c r="EJ217" i="24"/>
  <c r="EJ219" i="24"/>
  <c r="EJ224" i="24"/>
  <c r="EJ221" i="24"/>
  <c r="EJ223" i="24"/>
  <c r="EJ220" i="24"/>
  <c r="EJ226" i="24"/>
  <c r="EJ225" i="24"/>
  <c r="EJ177" i="24"/>
  <c r="EJ227" i="24"/>
  <c r="EJ178" i="24"/>
  <c r="EJ180" i="24"/>
  <c r="EJ222" i="24"/>
  <c r="EJ175" i="24"/>
  <c r="EJ179" i="24"/>
  <c r="EJ181" i="24"/>
  <c r="EJ184" i="24"/>
  <c r="EJ186" i="24"/>
  <c r="EJ189" i="24"/>
  <c r="EJ176" i="24"/>
  <c r="EJ183" i="24"/>
  <c r="EJ191" i="24"/>
  <c r="EJ193" i="24"/>
  <c r="EJ187" i="24"/>
  <c r="EJ192" i="24"/>
  <c r="EJ169" i="24"/>
  <c r="EJ182" i="24"/>
  <c r="EJ188" i="24"/>
  <c r="EJ196" i="24"/>
  <c r="EJ185" i="24"/>
  <c r="EJ190" i="24"/>
  <c r="EJ195" i="24"/>
  <c r="EJ194" i="24"/>
  <c r="DT218" i="24"/>
  <c r="DT217" i="24"/>
  <c r="DT219" i="24"/>
  <c r="DT224" i="24"/>
  <c r="DT221" i="24"/>
  <c r="DT223" i="24"/>
  <c r="DT220" i="24"/>
  <c r="DT226" i="24"/>
  <c r="DT222" i="24"/>
  <c r="DT227" i="24"/>
  <c r="DT177" i="24"/>
  <c r="DT178" i="24"/>
  <c r="DT180" i="24"/>
  <c r="DT179" i="24"/>
  <c r="DT181" i="24"/>
  <c r="DT184" i="24"/>
  <c r="DT186" i="24"/>
  <c r="DT189" i="24"/>
  <c r="DT183" i="24"/>
  <c r="DT191" i="24"/>
  <c r="DT193" i="24"/>
  <c r="DT176" i="24"/>
  <c r="DT187" i="24"/>
  <c r="DT192" i="24"/>
  <c r="DT169" i="24"/>
  <c r="DT225" i="24"/>
  <c r="DT175" i="24"/>
  <c r="DT182" i="24"/>
  <c r="DT188" i="24"/>
  <c r="DT196" i="24"/>
  <c r="DT185" i="24"/>
  <c r="DT190" i="24"/>
  <c r="DT195" i="24"/>
  <c r="DT194" i="24"/>
  <c r="DD218" i="24"/>
  <c r="DD217" i="24"/>
  <c r="DD219" i="24"/>
  <c r="DD224" i="24"/>
  <c r="DD221" i="24"/>
  <c r="DD223" i="24"/>
  <c r="DD220" i="24"/>
  <c r="DD226" i="24"/>
  <c r="DD177" i="24"/>
  <c r="DD178" i="24"/>
  <c r="DD180" i="24"/>
  <c r="DD175" i="24"/>
  <c r="DD179" i="24"/>
  <c r="DD184" i="24"/>
  <c r="DD186" i="24"/>
  <c r="DD189" i="24"/>
  <c r="DD176" i="24"/>
  <c r="DD181" i="24"/>
  <c r="DD183" i="24"/>
  <c r="DD191" i="24"/>
  <c r="DD193" i="24"/>
  <c r="DD225" i="24"/>
  <c r="DD187" i="24"/>
  <c r="DD192" i="24"/>
  <c r="DD169" i="24"/>
  <c r="DD222" i="24"/>
  <c r="DD227" i="24"/>
  <c r="DD182" i="24"/>
  <c r="DD188" i="24"/>
  <c r="DD196" i="24"/>
  <c r="DD185" i="24"/>
  <c r="DD190" i="24"/>
  <c r="DD195" i="24"/>
  <c r="DD194" i="24"/>
  <c r="CN218" i="24"/>
  <c r="CN217" i="24"/>
  <c r="CN219" i="24"/>
  <c r="CN224" i="24"/>
  <c r="CN221" i="24"/>
  <c r="CN223" i="24"/>
  <c r="CN220" i="24"/>
  <c r="CN226" i="24"/>
  <c r="CN175" i="24"/>
  <c r="CN177" i="24"/>
  <c r="CN181" i="24"/>
  <c r="CN225" i="24"/>
  <c r="CN178" i="24"/>
  <c r="CN180" i="24"/>
  <c r="CN222" i="24"/>
  <c r="CN179" i="24"/>
  <c r="CN184" i="24"/>
  <c r="CN186" i="24"/>
  <c r="CN189" i="24"/>
  <c r="CN183" i="24"/>
  <c r="CN191" i="24"/>
  <c r="CN193" i="24"/>
  <c r="CN227" i="24"/>
  <c r="CN187" i="24"/>
  <c r="CN192" i="24"/>
  <c r="CN169" i="24"/>
  <c r="CN182" i="24"/>
  <c r="CN188" i="24"/>
  <c r="CN196" i="24"/>
  <c r="CN185" i="24"/>
  <c r="CN190" i="24"/>
  <c r="CN195" i="24"/>
  <c r="CN176" i="24"/>
  <c r="CN194" i="24"/>
  <c r="BX218" i="24"/>
  <c r="BX217" i="24"/>
  <c r="BX219" i="24"/>
  <c r="BX224" i="24"/>
  <c r="BX223" i="24"/>
  <c r="BX220" i="24"/>
  <c r="BX226" i="24"/>
  <c r="BX225" i="24"/>
  <c r="BX177" i="24"/>
  <c r="BX181" i="24"/>
  <c r="BX222" i="24"/>
  <c r="BX227" i="24"/>
  <c r="BX178" i="24"/>
  <c r="BX180" i="24"/>
  <c r="BX179" i="24"/>
  <c r="BX184" i="24"/>
  <c r="BX186" i="24"/>
  <c r="BX189" i="24"/>
  <c r="BX221" i="24"/>
  <c r="BX176" i="24"/>
  <c r="BX183" i="24"/>
  <c r="BX191" i="24"/>
  <c r="BX193" i="24"/>
  <c r="BX175" i="24"/>
  <c r="BX187" i="24"/>
  <c r="BX192" i="24"/>
  <c r="BX169" i="24"/>
  <c r="BX182" i="24"/>
  <c r="BX188" i="24"/>
  <c r="BX196" i="24"/>
  <c r="BX185" i="24"/>
  <c r="BX190" i="24"/>
  <c r="BX195" i="24"/>
  <c r="BX194" i="24"/>
  <c r="BH218" i="24"/>
  <c r="BH217" i="24"/>
  <c r="BH219" i="24"/>
  <c r="BH224" i="24"/>
  <c r="BH223" i="24"/>
  <c r="BH220" i="24"/>
  <c r="BH226" i="24"/>
  <c r="BH221" i="24"/>
  <c r="BH227" i="24"/>
  <c r="BH177" i="24"/>
  <c r="BH181" i="24"/>
  <c r="BH222" i="24"/>
  <c r="BH178" i="24"/>
  <c r="BH180" i="24"/>
  <c r="BH179" i="24"/>
  <c r="BH184" i="24"/>
  <c r="BH186" i="24"/>
  <c r="BH189" i="24"/>
  <c r="BH225" i="24"/>
  <c r="BH183" i="24"/>
  <c r="BH191" i="24"/>
  <c r="BH193" i="24"/>
  <c r="BH176" i="24"/>
  <c r="BH187" i="24"/>
  <c r="BH192" i="24"/>
  <c r="BH169" i="24"/>
  <c r="BH182" i="24"/>
  <c r="BH188" i="24"/>
  <c r="BH196" i="24"/>
  <c r="BH175" i="24"/>
  <c r="BH185" i="24"/>
  <c r="BH190" i="24"/>
  <c r="BH195" i="24"/>
  <c r="BH194" i="24"/>
  <c r="AR218" i="24"/>
  <c r="AR217" i="24"/>
  <c r="AR219" i="24"/>
  <c r="AR224" i="24"/>
  <c r="AR223" i="24"/>
  <c r="AR220" i="24"/>
  <c r="AR226" i="24"/>
  <c r="AR222" i="24"/>
  <c r="AR177" i="24"/>
  <c r="AR221" i="24"/>
  <c r="AR175" i="24"/>
  <c r="AR178" i="24"/>
  <c r="AR180" i="24"/>
  <c r="AR225" i="24"/>
  <c r="AR184" i="24"/>
  <c r="AR186" i="24"/>
  <c r="AR189" i="24"/>
  <c r="AR227" i="24"/>
  <c r="AR176" i="24"/>
  <c r="AR183" i="24"/>
  <c r="AR191" i="24"/>
  <c r="AR193" i="24"/>
  <c r="AR187" i="24"/>
  <c r="AR192" i="24"/>
  <c r="AR169" i="24"/>
  <c r="AR194" i="24"/>
  <c r="AR182" i="24"/>
  <c r="AR188" i="24"/>
  <c r="AR196" i="24"/>
  <c r="AR179" i="24"/>
  <c r="AR185" i="24"/>
  <c r="AR190" i="24"/>
  <c r="AR195" i="24"/>
  <c r="DI217" i="24"/>
  <c r="DI218" i="24"/>
  <c r="DI220" i="24"/>
  <c r="DI219" i="24"/>
  <c r="DI225" i="24"/>
  <c r="DI221" i="24"/>
  <c r="DI222" i="24"/>
  <c r="DI226" i="24"/>
  <c r="DI175" i="24"/>
  <c r="DI178" i="24"/>
  <c r="DI177" i="24"/>
  <c r="DI223" i="24"/>
  <c r="DI227" i="24"/>
  <c r="DI187" i="24"/>
  <c r="DI192" i="24"/>
  <c r="DI194" i="24"/>
  <c r="DI224" i="24"/>
  <c r="DI181" i="24"/>
  <c r="DI184" i="24"/>
  <c r="DI186" i="24"/>
  <c r="DI189" i="24"/>
  <c r="DI185" i="24"/>
  <c r="DI190" i="24"/>
  <c r="DI196" i="24"/>
  <c r="DI176" i="24"/>
  <c r="DI180" i="24"/>
  <c r="DI191" i="24"/>
  <c r="DI183" i="24"/>
  <c r="DI193" i="24"/>
  <c r="DI169" i="24"/>
  <c r="DI179" i="24"/>
  <c r="DI182" i="24"/>
  <c r="DI188" i="24"/>
  <c r="DI195" i="24"/>
  <c r="AO219" i="24"/>
  <c r="AO217" i="24"/>
  <c r="AO218" i="24"/>
  <c r="AO220" i="24"/>
  <c r="AO222" i="24"/>
  <c r="AO225" i="24"/>
  <c r="AO221" i="24"/>
  <c r="AO224" i="24"/>
  <c r="AO226" i="24"/>
  <c r="AO227" i="24"/>
  <c r="AO223" i="24"/>
  <c r="FK217" i="24"/>
  <c r="FK220" i="24"/>
  <c r="FK223" i="24"/>
  <c r="FK227" i="24"/>
  <c r="FK219" i="24"/>
  <c r="FK221" i="24"/>
  <c r="FK222" i="24"/>
  <c r="FK218" i="24"/>
  <c r="FK226" i="24"/>
  <c r="FK177" i="24"/>
  <c r="FK180" i="24"/>
  <c r="FK178" i="24"/>
  <c r="FK179" i="24"/>
  <c r="FK224" i="24"/>
  <c r="FK183" i="24"/>
  <c r="FK191" i="24"/>
  <c r="FK193" i="24"/>
  <c r="FK182" i="24"/>
  <c r="FK185" i="24"/>
  <c r="FK188" i="24"/>
  <c r="FK190" i="24"/>
  <c r="FK176" i="24"/>
  <c r="FK184" i="24"/>
  <c r="FK189" i="24"/>
  <c r="FK195" i="24"/>
  <c r="FK186" i="24"/>
  <c r="FK175" i="24"/>
  <c r="FK169" i="24"/>
  <c r="FK225" i="24"/>
  <c r="FK187" i="24"/>
  <c r="FK192" i="24"/>
  <c r="FK181" i="24"/>
  <c r="FK196" i="24"/>
  <c r="FK194" i="24"/>
  <c r="EU217" i="24"/>
  <c r="EU220" i="24"/>
  <c r="EU223" i="24"/>
  <c r="EU227" i="24"/>
  <c r="EU219" i="24"/>
  <c r="EU221" i="24"/>
  <c r="EU222" i="24"/>
  <c r="EU226" i="24"/>
  <c r="EU177" i="24"/>
  <c r="EU180" i="24"/>
  <c r="EU224" i="24"/>
  <c r="EU178" i="24"/>
  <c r="EU179" i="24"/>
  <c r="EU218" i="24"/>
  <c r="EU175" i="24"/>
  <c r="EU183" i="24"/>
  <c r="EU191" i="24"/>
  <c r="EU193" i="24"/>
  <c r="EU176" i="24"/>
  <c r="EU182" i="24"/>
  <c r="EU185" i="24"/>
  <c r="EU188" i="24"/>
  <c r="EU190" i="24"/>
  <c r="EU184" i="24"/>
  <c r="EU189" i="24"/>
  <c r="EU195" i="24"/>
  <c r="EU186" i="24"/>
  <c r="EU196" i="24"/>
  <c r="EU187" i="24"/>
  <c r="EU192" i="24"/>
  <c r="EU225" i="24"/>
  <c r="EU181" i="24"/>
  <c r="EU194" i="24"/>
  <c r="EU169" i="24"/>
  <c r="EE217" i="24"/>
  <c r="EE220" i="24"/>
  <c r="EE223" i="24"/>
  <c r="EE227" i="24"/>
  <c r="EE219" i="24"/>
  <c r="EE221" i="24"/>
  <c r="EE222" i="24"/>
  <c r="EE218" i="24"/>
  <c r="EE226" i="24"/>
  <c r="EE177" i="24"/>
  <c r="EE224" i="24"/>
  <c r="EE180" i="24"/>
  <c r="EE225" i="24"/>
  <c r="EE178" i="24"/>
  <c r="EE179" i="24"/>
  <c r="EE183" i="24"/>
  <c r="EE191" i="24"/>
  <c r="EE193" i="24"/>
  <c r="EE182" i="24"/>
  <c r="EE185" i="24"/>
  <c r="EE188" i="24"/>
  <c r="EE190" i="24"/>
  <c r="EE184" i="24"/>
  <c r="EE189" i="24"/>
  <c r="EE195" i="24"/>
  <c r="EE186" i="24"/>
  <c r="EE175" i="24"/>
  <c r="EE187" i="24"/>
  <c r="EE192" i="24"/>
  <c r="EE176" i="24"/>
  <c r="EE181" i="24"/>
  <c r="EE196" i="24"/>
  <c r="EE194" i="24"/>
  <c r="EE169" i="24"/>
  <c r="DO217" i="24"/>
  <c r="DO220" i="24"/>
  <c r="DO223" i="24"/>
  <c r="DO227" i="24"/>
  <c r="DO219" i="24"/>
  <c r="DO221" i="24"/>
  <c r="DO222" i="24"/>
  <c r="DO226" i="24"/>
  <c r="DO177" i="24"/>
  <c r="DO225" i="24"/>
  <c r="DO180" i="24"/>
  <c r="DO178" i="24"/>
  <c r="DO179" i="24"/>
  <c r="DO175" i="24"/>
  <c r="DO183" i="24"/>
  <c r="DO191" i="24"/>
  <c r="DO193" i="24"/>
  <c r="DO176" i="24"/>
  <c r="DO182" i="24"/>
  <c r="DO185" i="24"/>
  <c r="DO188" i="24"/>
  <c r="DO190" i="24"/>
  <c r="DO184" i="24"/>
  <c r="DO189" i="24"/>
  <c r="DO195" i="24"/>
  <c r="DO181" i="24"/>
  <c r="DO186" i="24"/>
  <c r="DO218" i="24"/>
  <c r="DO224" i="24"/>
  <c r="DO187" i="24"/>
  <c r="DO192" i="24"/>
  <c r="DO196" i="24"/>
  <c r="DO194" i="24"/>
  <c r="DO169" i="24"/>
  <c r="CY217" i="24"/>
  <c r="CY222" i="24"/>
  <c r="CY220" i="24"/>
  <c r="CY223" i="24"/>
  <c r="CY227" i="24"/>
  <c r="CY219" i="24"/>
  <c r="CY221" i="24"/>
  <c r="CY218" i="24"/>
  <c r="CY226" i="24"/>
  <c r="CY177" i="24"/>
  <c r="CY180" i="24"/>
  <c r="CY178" i="24"/>
  <c r="CY179" i="24"/>
  <c r="CY183" i="24"/>
  <c r="CY191" i="24"/>
  <c r="CY193" i="24"/>
  <c r="CY225" i="24"/>
  <c r="CY181" i="24"/>
  <c r="CY182" i="24"/>
  <c r="CY185" i="24"/>
  <c r="CY188" i="24"/>
  <c r="CY190" i="24"/>
  <c r="CY176" i="24"/>
  <c r="CY184" i="24"/>
  <c r="CY189" i="24"/>
  <c r="CY195" i="24"/>
  <c r="CY224" i="24"/>
  <c r="CY186" i="24"/>
  <c r="CY196" i="24"/>
  <c r="CY175" i="24"/>
  <c r="CY187" i="24"/>
  <c r="CY192" i="24"/>
  <c r="CY194" i="24"/>
  <c r="CY169" i="24"/>
  <c r="CI217" i="24"/>
  <c r="CI222" i="24"/>
  <c r="CI220" i="24"/>
  <c r="CI223" i="24"/>
  <c r="CI227" i="24"/>
  <c r="CI219" i="24"/>
  <c r="CI221" i="24"/>
  <c r="CI226" i="24"/>
  <c r="CI177" i="24"/>
  <c r="CI218" i="24"/>
  <c r="CI224" i="24"/>
  <c r="CI180" i="24"/>
  <c r="CI175" i="24"/>
  <c r="CI178" i="24"/>
  <c r="CI179" i="24"/>
  <c r="CI225" i="24"/>
  <c r="CI183" i="24"/>
  <c r="CI191" i="24"/>
  <c r="CI193" i="24"/>
  <c r="CI176" i="24"/>
  <c r="CI181" i="24"/>
  <c r="CI182" i="24"/>
  <c r="CI185" i="24"/>
  <c r="CI188" i="24"/>
  <c r="CI190" i="24"/>
  <c r="CI184" i="24"/>
  <c r="CI189" i="24"/>
  <c r="CI195" i="24"/>
  <c r="CI196" i="24"/>
  <c r="CI194" i="24"/>
  <c r="CI169" i="24"/>
  <c r="CI187" i="24"/>
  <c r="CI192" i="24"/>
  <c r="CI186" i="24"/>
  <c r="BS217" i="24"/>
  <c r="BS222" i="24"/>
  <c r="BS221" i="24"/>
  <c r="BS220" i="24"/>
  <c r="BS223" i="24"/>
  <c r="BS227" i="24"/>
  <c r="BS219" i="24"/>
  <c r="BS218" i="24"/>
  <c r="BS226" i="24"/>
  <c r="BS177" i="24"/>
  <c r="BS175" i="24"/>
  <c r="BS180" i="24"/>
  <c r="BS225" i="24"/>
  <c r="BS178" i="24"/>
  <c r="BS179" i="24"/>
  <c r="BS224" i="24"/>
  <c r="BS183" i="24"/>
  <c r="BS191" i="24"/>
  <c r="BS193" i="24"/>
  <c r="BS181" i="24"/>
  <c r="BS182" i="24"/>
  <c r="BS185" i="24"/>
  <c r="BS188" i="24"/>
  <c r="BS190" i="24"/>
  <c r="BS184" i="24"/>
  <c r="BS189" i="24"/>
  <c r="BS195" i="24"/>
  <c r="BS176" i="24"/>
  <c r="BS196" i="24"/>
  <c r="BS194" i="24"/>
  <c r="BS187" i="24"/>
  <c r="BS192" i="24"/>
  <c r="BS186" i="24"/>
  <c r="BS169" i="24"/>
  <c r="BC217" i="24"/>
  <c r="BC222" i="24"/>
  <c r="BC221" i="24"/>
  <c r="BC220" i="24"/>
  <c r="BC223" i="24"/>
  <c r="BC227" i="24"/>
  <c r="BC219" i="24"/>
  <c r="BC226" i="24"/>
  <c r="BC177" i="24"/>
  <c r="BC224" i="24"/>
  <c r="BC225" i="24"/>
  <c r="BC180" i="24"/>
  <c r="BC218" i="24"/>
  <c r="BC178" i="24"/>
  <c r="BC183" i="24"/>
  <c r="BC191" i="24"/>
  <c r="BC193" i="24"/>
  <c r="BC175" i="24"/>
  <c r="BC176" i="24"/>
  <c r="BC181" i="24"/>
  <c r="BC182" i="24"/>
  <c r="BC185" i="24"/>
  <c r="BC188" i="24"/>
  <c r="BC190" i="24"/>
  <c r="BC184" i="24"/>
  <c r="BC189" i="24"/>
  <c r="BC195" i="24"/>
  <c r="BC179" i="24"/>
  <c r="BC194" i="24"/>
  <c r="BC169" i="24"/>
  <c r="BC187" i="24"/>
  <c r="BC192" i="24"/>
  <c r="BC186" i="24"/>
  <c r="BC196" i="24"/>
  <c r="EW217" i="24"/>
  <c r="EW218" i="24"/>
  <c r="EW220" i="24"/>
  <c r="EW219" i="24"/>
  <c r="EW225" i="24"/>
  <c r="EW222" i="24"/>
  <c r="EW175" i="24"/>
  <c r="EW178" i="24"/>
  <c r="EW223" i="24"/>
  <c r="EW226" i="24"/>
  <c r="EW221" i="24"/>
  <c r="EW227" i="24"/>
  <c r="EW176" i="24"/>
  <c r="EW224" i="24"/>
  <c r="EW187" i="24"/>
  <c r="EW192" i="24"/>
  <c r="EW194" i="24"/>
  <c r="EW181" i="24"/>
  <c r="EW184" i="24"/>
  <c r="EW186" i="24"/>
  <c r="EW189" i="24"/>
  <c r="EW179" i="24"/>
  <c r="EW185" i="24"/>
  <c r="EW190" i="24"/>
  <c r="EW196" i="24"/>
  <c r="EW177" i="24"/>
  <c r="EW180" i="24"/>
  <c r="EW183" i="24"/>
  <c r="EW193" i="24"/>
  <c r="EW169" i="24"/>
  <c r="EW182" i="24"/>
  <c r="EW188" i="24"/>
  <c r="EW195" i="24"/>
  <c r="EW191" i="24"/>
  <c r="CK217" i="24"/>
  <c r="CK218" i="24"/>
  <c r="CK220" i="24"/>
  <c r="CK219" i="24"/>
  <c r="CK222" i="24"/>
  <c r="CK225" i="24"/>
  <c r="CK175" i="24"/>
  <c r="CK224" i="24"/>
  <c r="CK178" i="24"/>
  <c r="CK223" i="24"/>
  <c r="CK226" i="24"/>
  <c r="CK227" i="24"/>
  <c r="CK176" i="24"/>
  <c r="CK181" i="24"/>
  <c r="CK187" i="24"/>
  <c r="CK192" i="24"/>
  <c r="CK194" i="24"/>
  <c r="CK184" i="24"/>
  <c r="CK186" i="24"/>
  <c r="CK189" i="24"/>
  <c r="CK179" i="24"/>
  <c r="CK185" i="24"/>
  <c r="CK190" i="24"/>
  <c r="CK196" i="24"/>
  <c r="CK182" i="24"/>
  <c r="CK188" i="24"/>
  <c r="CK195" i="24"/>
  <c r="CK221" i="24"/>
  <c r="CK177" i="24"/>
  <c r="CK180" i="24"/>
  <c r="CK183" i="24"/>
  <c r="CK193" i="24"/>
  <c r="CK169" i="24"/>
  <c r="CK191" i="24"/>
  <c r="FJ217" i="24"/>
  <c r="FJ221" i="24"/>
  <c r="FJ220" i="24"/>
  <c r="FJ219" i="24"/>
  <c r="FJ222" i="24"/>
  <c r="FJ226" i="24"/>
  <c r="FJ176" i="24"/>
  <c r="FJ227" i="24"/>
  <c r="FJ177" i="24"/>
  <c r="FJ178" i="24"/>
  <c r="FJ179" i="24"/>
  <c r="FJ223" i="24"/>
  <c r="FJ224" i="24"/>
  <c r="FJ175" i="24"/>
  <c r="FJ182" i="24"/>
  <c r="FJ185" i="24"/>
  <c r="FJ188" i="24"/>
  <c r="FJ190" i="24"/>
  <c r="FJ218" i="24"/>
  <c r="FJ180" i="24"/>
  <c r="FJ187" i="24"/>
  <c r="FJ192" i="24"/>
  <c r="FJ194" i="24"/>
  <c r="FJ225" i="24"/>
  <c r="FJ183" i="24"/>
  <c r="FJ193" i="24"/>
  <c r="FJ184" i="24"/>
  <c r="FJ189" i="24"/>
  <c r="FJ195" i="24"/>
  <c r="FJ181" i="24"/>
  <c r="FJ186" i="24"/>
  <c r="FJ196" i="24"/>
  <c r="FJ191" i="24"/>
  <c r="FJ169" i="24"/>
  <c r="ET217" i="24"/>
  <c r="ET221" i="24"/>
  <c r="ET220" i="24"/>
  <c r="ET219" i="24"/>
  <c r="ET222" i="24"/>
  <c r="ET226" i="24"/>
  <c r="ET176" i="24"/>
  <c r="ET224" i="24"/>
  <c r="ET177" i="24"/>
  <c r="ET178" i="24"/>
  <c r="ET179" i="24"/>
  <c r="ET218" i="24"/>
  <c r="ET225" i="24"/>
  <c r="ET175" i="24"/>
  <c r="ET182" i="24"/>
  <c r="ET185" i="24"/>
  <c r="ET188" i="24"/>
  <c r="ET190" i="24"/>
  <c r="ET180" i="24"/>
  <c r="ET187" i="24"/>
  <c r="ET192" i="24"/>
  <c r="ET194" i="24"/>
  <c r="ET183" i="24"/>
  <c r="ET193" i="24"/>
  <c r="ET184" i="24"/>
  <c r="ET189" i="24"/>
  <c r="ET195" i="24"/>
  <c r="ET223" i="24"/>
  <c r="ET227" i="24"/>
  <c r="ET181" i="24"/>
  <c r="ET186" i="24"/>
  <c r="ET196" i="24"/>
  <c r="ET191" i="24"/>
  <c r="ET169" i="24"/>
  <c r="ED217" i="24"/>
  <c r="ED221" i="24"/>
  <c r="ED220" i="24"/>
  <c r="ED219" i="24"/>
  <c r="ED222" i="24"/>
  <c r="ED226" i="24"/>
  <c r="ED176" i="24"/>
  <c r="ED218" i="24"/>
  <c r="ED225" i="24"/>
  <c r="ED177" i="24"/>
  <c r="ED178" i="24"/>
  <c r="ED179" i="24"/>
  <c r="ED223" i="24"/>
  <c r="ED175" i="24"/>
  <c r="ED182" i="24"/>
  <c r="ED185" i="24"/>
  <c r="ED188" i="24"/>
  <c r="ED190" i="24"/>
  <c r="ED180" i="24"/>
  <c r="ED187" i="24"/>
  <c r="ED192" i="24"/>
  <c r="ED194" i="24"/>
  <c r="ED183" i="24"/>
  <c r="ED193" i="24"/>
  <c r="ED169" i="24"/>
  <c r="ED224" i="24"/>
  <c r="ED184" i="24"/>
  <c r="ED189" i="24"/>
  <c r="ED181" i="24"/>
  <c r="ED186" i="24"/>
  <c r="ED196" i="24"/>
  <c r="ED227" i="24"/>
  <c r="ED191" i="24"/>
  <c r="ED195" i="24"/>
  <c r="DN217" i="24"/>
  <c r="DN221" i="24"/>
  <c r="DN220" i="24"/>
  <c r="DN219" i="24"/>
  <c r="DN222" i="24"/>
  <c r="DN226" i="24"/>
  <c r="DN176" i="24"/>
  <c r="DN177" i="24"/>
  <c r="DN178" i="24"/>
  <c r="DN179" i="24"/>
  <c r="DN227" i="24"/>
  <c r="DN175" i="24"/>
  <c r="DN182" i="24"/>
  <c r="DN185" i="24"/>
  <c r="DN188" i="24"/>
  <c r="DN190" i="24"/>
  <c r="DN223" i="24"/>
  <c r="DN225" i="24"/>
  <c r="DN180" i="24"/>
  <c r="DN187" i="24"/>
  <c r="DN192" i="24"/>
  <c r="DN194" i="24"/>
  <c r="DN218" i="24"/>
  <c r="DN224" i="24"/>
  <c r="DN183" i="24"/>
  <c r="DN193" i="24"/>
  <c r="DN169" i="24"/>
  <c r="DN184" i="24"/>
  <c r="DN189" i="24"/>
  <c r="DN181" i="24"/>
  <c r="DN186" i="24"/>
  <c r="DN196" i="24"/>
  <c r="DN191" i="24"/>
  <c r="DN195" i="24"/>
  <c r="CX217" i="24"/>
  <c r="CX221" i="24"/>
  <c r="CX220" i="24"/>
  <c r="CX219" i="24"/>
  <c r="CX226" i="24"/>
  <c r="CX176" i="24"/>
  <c r="CX227" i="24"/>
  <c r="CX177" i="24"/>
  <c r="CX178" i="24"/>
  <c r="CX179" i="24"/>
  <c r="CX218" i="24"/>
  <c r="CX222" i="24"/>
  <c r="CX223" i="24"/>
  <c r="CX224" i="24"/>
  <c r="CX175" i="24"/>
  <c r="CX225" i="24"/>
  <c r="CX181" i="24"/>
  <c r="CX182" i="24"/>
  <c r="CX185" i="24"/>
  <c r="CX188" i="24"/>
  <c r="CX190" i="24"/>
  <c r="CX180" i="24"/>
  <c r="CX187" i="24"/>
  <c r="CX192" i="24"/>
  <c r="CX194" i="24"/>
  <c r="CX183" i="24"/>
  <c r="CX193" i="24"/>
  <c r="CX169" i="24"/>
  <c r="CX184" i="24"/>
  <c r="CX189" i="24"/>
  <c r="CX186" i="24"/>
  <c r="CX196" i="24"/>
  <c r="CX191" i="24"/>
  <c r="CX195" i="24"/>
  <c r="CH217" i="24"/>
  <c r="CH221" i="24"/>
  <c r="CH220" i="24"/>
  <c r="CH219" i="24"/>
  <c r="CH226" i="24"/>
  <c r="CH176" i="24"/>
  <c r="CH222" i="24"/>
  <c r="CH175" i="24"/>
  <c r="CH177" i="24"/>
  <c r="CH178" i="24"/>
  <c r="CH179" i="24"/>
  <c r="CH225" i="24"/>
  <c r="CH181" i="24"/>
  <c r="CH182" i="24"/>
  <c r="CH185" i="24"/>
  <c r="CH188" i="24"/>
  <c r="CH190" i="24"/>
  <c r="CH218" i="24"/>
  <c r="CH227" i="24"/>
  <c r="CH180" i="24"/>
  <c r="CH187" i="24"/>
  <c r="CH192" i="24"/>
  <c r="CH194" i="24"/>
  <c r="CH183" i="24"/>
  <c r="CH193" i="24"/>
  <c r="CH223" i="24"/>
  <c r="CH184" i="24"/>
  <c r="CH189" i="24"/>
  <c r="CH224" i="24"/>
  <c r="CH186" i="24"/>
  <c r="CH196" i="24"/>
  <c r="CH191" i="24"/>
  <c r="CH169" i="24"/>
  <c r="CH195" i="24"/>
  <c r="BR217" i="24"/>
  <c r="BR221" i="24"/>
  <c r="BR220" i="24"/>
  <c r="BR219" i="24"/>
  <c r="BR226" i="24"/>
  <c r="BR176" i="24"/>
  <c r="BR222" i="24"/>
  <c r="BR225" i="24"/>
  <c r="BR177" i="24"/>
  <c r="BR178" i="24"/>
  <c r="BR179" i="24"/>
  <c r="BR223" i="24"/>
  <c r="BR224" i="24"/>
  <c r="BR218" i="24"/>
  <c r="BR227" i="24"/>
  <c r="BR181" i="24"/>
  <c r="BR182" i="24"/>
  <c r="BR185" i="24"/>
  <c r="BR188" i="24"/>
  <c r="BR190" i="24"/>
  <c r="BR175" i="24"/>
  <c r="BR180" i="24"/>
  <c r="BR187" i="24"/>
  <c r="BR192" i="24"/>
  <c r="BR194" i="24"/>
  <c r="BR183" i="24"/>
  <c r="BR193" i="24"/>
  <c r="BR184" i="24"/>
  <c r="BR186" i="24"/>
  <c r="BR196" i="24"/>
  <c r="BR191" i="24"/>
  <c r="BR169" i="24"/>
  <c r="BR189" i="24"/>
  <c r="BR195" i="24"/>
  <c r="BB217" i="24"/>
  <c r="BB219" i="24"/>
  <c r="BB221" i="24"/>
  <c r="BB220" i="24"/>
  <c r="BB226" i="24"/>
  <c r="BB176" i="24"/>
  <c r="BB179" i="24"/>
  <c r="BB218" i="24"/>
  <c r="BB177" i="24"/>
  <c r="BB178" i="24"/>
  <c r="BB227" i="24"/>
  <c r="BB175" i="24"/>
  <c r="BB181" i="24"/>
  <c r="BB182" i="24"/>
  <c r="BB185" i="24"/>
  <c r="BB188" i="24"/>
  <c r="BB190" i="24"/>
  <c r="BB223" i="24"/>
  <c r="BB224" i="24"/>
  <c r="BB180" i="24"/>
  <c r="BB187" i="24"/>
  <c r="BB192" i="24"/>
  <c r="BB194" i="24"/>
  <c r="BB183" i="24"/>
  <c r="BB193" i="24"/>
  <c r="BB222" i="24"/>
  <c r="BB184" i="24"/>
  <c r="BB189" i="24"/>
  <c r="BB225" i="24"/>
  <c r="BB186" i="24"/>
  <c r="BB196" i="24"/>
  <c r="BB191" i="24"/>
  <c r="BB169" i="24"/>
  <c r="BB195" i="24"/>
  <c r="H170" i="24"/>
  <c r="G47" i="26"/>
  <c r="H35" i="24"/>
  <c r="H36" i="24"/>
  <c r="G35" i="26"/>
  <c r="C48" i="15"/>
  <c r="I32" i="55" s="1"/>
  <c r="FI7" i="24"/>
  <c r="FI10" i="24"/>
  <c r="FP7" i="24"/>
  <c r="FP10" i="24"/>
  <c r="EZ10" i="24"/>
  <c r="EZ7" i="24"/>
  <c r="FK10" i="24"/>
  <c r="FK7" i="24"/>
  <c r="EU10" i="24"/>
  <c r="EU7" i="24"/>
  <c r="EW7" i="24"/>
  <c r="EW10" i="24"/>
  <c r="FJ7" i="24"/>
  <c r="FJ10" i="24"/>
  <c r="ET10" i="24"/>
  <c r="ET7" i="24"/>
  <c r="FQ7" i="24"/>
  <c r="FQ10" i="24"/>
  <c r="ES7" i="24"/>
  <c r="ES10" i="24"/>
  <c r="FL10" i="24"/>
  <c r="FL7" i="24"/>
  <c r="EV7" i="24"/>
  <c r="EV10" i="24"/>
  <c r="FE7" i="24"/>
  <c r="FE10" i="24"/>
  <c r="FG10" i="24"/>
  <c r="FG7" i="24"/>
  <c r="EQ10" i="24"/>
  <c r="EQ7" i="24"/>
  <c r="FF7" i="24"/>
  <c r="FF10" i="24"/>
  <c r="EP7" i="24"/>
  <c r="EP10" i="24"/>
  <c r="FA7" i="24"/>
  <c r="FA10" i="24"/>
  <c r="FH10" i="24"/>
  <c r="FH7" i="24"/>
  <c r="ER10" i="24"/>
  <c r="ER7" i="24"/>
  <c r="EK7" i="24"/>
  <c r="EK10" i="24"/>
  <c r="FS10" i="24"/>
  <c r="FS7" i="24"/>
  <c r="FC10" i="24"/>
  <c r="FC7" i="24"/>
  <c r="EM10" i="24"/>
  <c r="EM7" i="24"/>
  <c r="FR7" i="24"/>
  <c r="FR10" i="24"/>
  <c r="FB10" i="24"/>
  <c r="FB7" i="24"/>
  <c r="EL7" i="24"/>
  <c r="EL10" i="24"/>
  <c r="EO7" i="24"/>
  <c r="EO10" i="24"/>
  <c r="FT10" i="24"/>
  <c r="FT7" i="24"/>
  <c r="FD7" i="24"/>
  <c r="FD10" i="24"/>
  <c r="EN10" i="24"/>
  <c r="EN7" i="24"/>
  <c r="FO10" i="24"/>
  <c r="FO7" i="24"/>
  <c r="EY10" i="24"/>
  <c r="EY7" i="24"/>
  <c r="FM7" i="24"/>
  <c r="FM10" i="24"/>
  <c r="FN10" i="24"/>
  <c r="FN7" i="24"/>
  <c r="EX7" i="24"/>
  <c r="EX10" i="24"/>
  <c r="H136" i="24" l="1"/>
  <c r="S13" i="53"/>
  <c r="H137" i="24"/>
  <c r="C52" i="15"/>
  <c r="C54" i="15" s="1"/>
  <c r="D54" i="15" s="1"/>
  <c r="L131" i="24"/>
  <c r="P131" i="24"/>
  <c r="T131" i="24"/>
  <c r="X131" i="24"/>
  <c r="AB131" i="24"/>
  <c r="AF131" i="24"/>
  <c r="AJ131" i="24"/>
  <c r="AN131" i="24"/>
  <c r="L125" i="24"/>
  <c r="P125" i="24"/>
  <c r="T125" i="24"/>
  <c r="X125" i="24"/>
  <c r="AB125" i="24"/>
  <c r="AF125" i="24"/>
  <c r="AJ125" i="24"/>
  <c r="AN125" i="24"/>
  <c r="I131" i="24"/>
  <c r="M131" i="24"/>
  <c r="Q131" i="24"/>
  <c r="U131" i="24"/>
  <c r="Y131" i="24"/>
  <c r="AC131" i="24"/>
  <c r="AG131" i="24"/>
  <c r="AK131" i="24"/>
  <c r="I125" i="24"/>
  <c r="M125" i="24"/>
  <c r="Q125" i="24"/>
  <c r="U125" i="24"/>
  <c r="Y125" i="24"/>
  <c r="AC125" i="24"/>
  <c r="AG125" i="24"/>
  <c r="AK125" i="24"/>
  <c r="H125" i="24"/>
  <c r="J131" i="24"/>
  <c r="N131" i="24"/>
  <c r="R131" i="24"/>
  <c r="V131" i="24"/>
  <c r="Z131" i="24"/>
  <c r="AD131" i="24"/>
  <c r="AH131" i="24"/>
  <c r="AL131" i="24"/>
  <c r="J125" i="24"/>
  <c r="N125" i="24"/>
  <c r="R125" i="24"/>
  <c r="V125" i="24"/>
  <c r="Z125" i="24"/>
  <c r="AD125" i="24"/>
  <c r="AH125" i="24"/>
  <c r="AL125" i="24"/>
  <c r="K131" i="24"/>
  <c r="O131" i="24"/>
  <c r="S131" i="24"/>
  <c r="W131" i="24"/>
  <c r="AA131" i="24"/>
  <c r="AE131" i="24"/>
  <c r="AI131" i="24"/>
  <c r="AM131" i="24"/>
  <c r="K125" i="24"/>
  <c r="O125" i="24"/>
  <c r="S125" i="24"/>
  <c r="W125" i="24"/>
  <c r="AA125" i="24"/>
  <c r="AE125" i="24"/>
  <c r="AI125" i="24"/>
  <c r="AM125" i="24"/>
  <c r="H131" i="24"/>
  <c r="L132" i="24"/>
  <c r="P132" i="24"/>
  <c r="T132" i="24"/>
  <c r="X132" i="24"/>
  <c r="AB132" i="24"/>
  <c r="AF132" i="24"/>
  <c r="L126" i="24"/>
  <c r="P126" i="24"/>
  <c r="T126" i="24"/>
  <c r="X126" i="24"/>
  <c r="AB126" i="24"/>
  <c r="AF126" i="24"/>
  <c r="I132" i="24"/>
  <c r="M132" i="24"/>
  <c r="Q132" i="24"/>
  <c r="U132" i="24"/>
  <c r="Y132" i="24"/>
  <c r="AC132" i="24"/>
  <c r="I126" i="24"/>
  <c r="M126" i="24"/>
  <c r="Q126" i="24"/>
  <c r="U126" i="24"/>
  <c r="Y126" i="24"/>
  <c r="AC126" i="24"/>
  <c r="J132" i="24"/>
  <c r="N132" i="24"/>
  <c r="R132" i="24"/>
  <c r="V132" i="24"/>
  <c r="Z132" i="24"/>
  <c r="AD132" i="24"/>
  <c r="J126" i="24"/>
  <c r="N126" i="24"/>
  <c r="R126" i="24"/>
  <c r="V126" i="24"/>
  <c r="Z126" i="24"/>
  <c r="AD126" i="24"/>
  <c r="H132" i="24"/>
  <c r="K132" i="24"/>
  <c r="O132" i="24"/>
  <c r="S132" i="24"/>
  <c r="W132" i="24"/>
  <c r="AA132" i="24"/>
  <c r="AE132" i="24"/>
  <c r="K126" i="24"/>
  <c r="O126" i="24"/>
  <c r="S126" i="24"/>
  <c r="W126" i="24"/>
  <c r="AA126" i="24"/>
  <c r="AE126" i="24"/>
  <c r="F408" i="45"/>
  <c r="G408" i="45"/>
  <c r="L409" i="45" s="1"/>
  <c r="D408" i="45"/>
  <c r="C408" i="45" s="1"/>
  <c r="E408" i="45" s="1"/>
  <c r="H126" i="24"/>
  <c r="H139" i="24"/>
  <c r="H138" i="24"/>
  <c r="BF143" i="24"/>
  <c r="BF144" i="24"/>
  <c r="BF145" i="24"/>
  <c r="BF146" i="24"/>
  <c r="DR143" i="24"/>
  <c r="DR144" i="24"/>
  <c r="DR145" i="24"/>
  <c r="DR146" i="24"/>
  <c r="AS143" i="24"/>
  <c r="AS144" i="24"/>
  <c r="AS145" i="24"/>
  <c r="AS146" i="24"/>
  <c r="AQ144" i="24"/>
  <c r="AQ145" i="24"/>
  <c r="AQ146" i="24"/>
  <c r="AQ143" i="24"/>
  <c r="DC144" i="24"/>
  <c r="DC145" i="24"/>
  <c r="DC146" i="24"/>
  <c r="DC143" i="24"/>
  <c r="FO144" i="24"/>
  <c r="FO145" i="24"/>
  <c r="FO146" i="24"/>
  <c r="FO143" i="24"/>
  <c r="CH143" i="24"/>
  <c r="CH145" i="24"/>
  <c r="CH144" i="24"/>
  <c r="CH146" i="24"/>
  <c r="DW144" i="24"/>
  <c r="DW145" i="24"/>
  <c r="DW146" i="24"/>
  <c r="DW143" i="24"/>
  <c r="EA144" i="24"/>
  <c r="EA145" i="24"/>
  <c r="EA146" i="24"/>
  <c r="EA143" i="24"/>
  <c r="CS143" i="24"/>
  <c r="CS144" i="24"/>
  <c r="CS146" i="24"/>
  <c r="CS145" i="24"/>
  <c r="CO143" i="24"/>
  <c r="CO146" i="24"/>
  <c r="CO144" i="24"/>
  <c r="CO145" i="24"/>
  <c r="K20" i="46"/>
  <c r="AP143" i="24"/>
  <c r="AP144" i="24"/>
  <c r="AP145" i="24"/>
  <c r="AP146" i="24"/>
  <c r="DB143" i="24"/>
  <c r="DB144" i="24"/>
  <c r="DB145" i="24"/>
  <c r="DB146" i="24"/>
  <c r="FN143" i="24"/>
  <c r="FN144" i="24"/>
  <c r="FN145" i="24"/>
  <c r="FN146" i="24"/>
  <c r="AA144" i="24"/>
  <c r="AA145" i="24"/>
  <c r="AA146" i="24"/>
  <c r="AA143" i="24"/>
  <c r="CM144" i="24"/>
  <c r="CM145" i="24"/>
  <c r="CM146" i="24"/>
  <c r="CM143" i="24"/>
  <c r="EY144" i="24"/>
  <c r="EY145" i="24"/>
  <c r="EY146" i="24"/>
  <c r="EY143" i="24"/>
  <c r="P143" i="24"/>
  <c r="P144" i="24"/>
  <c r="P145" i="24"/>
  <c r="P146" i="24"/>
  <c r="CB143" i="24"/>
  <c r="CB144" i="24"/>
  <c r="CB145" i="24"/>
  <c r="CB146" i="24"/>
  <c r="EN143" i="24"/>
  <c r="EN144" i="24"/>
  <c r="EN145" i="24"/>
  <c r="EN146" i="24"/>
  <c r="DM143" i="24"/>
  <c r="DM144" i="24"/>
  <c r="DM145" i="24"/>
  <c r="DM146" i="24"/>
  <c r="K137" i="24"/>
  <c r="K138" i="24"/>
  <c r="K139" i="24"/>
  <c r="K136" i="24"/>
  <c r="EC143" i="24"/>
  <c r="EC144" i="24"/>
  <c r="EC145" i="24"/>
  <c r="EC146" i="24"/>
  <c r="BJ143" i="24"/>
  <c r="BJ144" i="24"/>
  <c r="BJ146" i="24"/>
  <c r="BJ145" i="24"/>
  <c r="DV143" i="24"/>
  <c r="DV146" i="24"/>
  <c r="DV144" i="24"/>
  <c r="DV145" i="24"/>
  <c r="BI143" i="24"/>
  <c r="BI144" i="24"/>
  <c r="BI145" i="24"/>
  <c r="BI146" i="24"/>
  <c r="AU144" i="24"/>
  <c r="AU145" i="24"/>
  <c r="AU146" i="24"/>
  <c r="AU143" i="24"/>
  <c r="DG144" i="24"/>
  <c r="DG145" i="24"/>
  <c r="DG146" i="24"/>
  <c r="DG143" i="24"/>
  <c r="FS143" i="24"/>
  <c r="FS144" i="24"/>
  <c r="FS145" i="24"/>
  <c r="FS146" i="24"/>
  <c r="AJ144" i="24"/>
  <c r="AJ145" i="24"/>
  <c r="AJ146" i="24"/>
  <c r="AJ143" i="24"/>
  <c r="CV144" i="24"/>
  <c r="CV145" i="24"/>
  <c r="CV146" i="24"/>
  <c r="CV143" i="24"/>
  <c r="FH144" i="24"/>
  <c r="FH145" i="24"/>
  <c r="FH146" i="24"/>
  <c r="FH143" i="24"/>
  <c r="M137" i="24"/>
  <c r="M139" i="24"/>
  <c r="M136" i="24"/>
  <c r="M138" i="24"/>
  <c r="FA143" i="24"/>
  <c r="FA146" i="24"/>
  <c r="FA144" i="24"/>
  <c r="FA145" i="24"/>
  <c r="N137" i="24"/>
  <c r="N138" i="24"/>
  <c r="N139" i="24"/>
  <c r="N136" i="24"/>
  <c r="BN143" i="24"/>
  <c r="BN144" i="24"/>
  <c r="BN145" i="24"/>
  <c r="BN146" i="24"/>
  <c r="DZ143" i="24"/>
  <c r="DZ144" i="24"/>
  <c r="DZ145" i="24"/>
  <c r="DZ146" i="24"/>
  <c r="BY143" i="24"/>
  <c r="BY146" i="24"/>
  <c r="BY144" i="24"/>
  <c r="BY145" i="24"/>
  <c r="AY144" i="24"/>
  <c r="AY145" i="24"/>
  <c r="AY146" i="24"/>
  <c r="AY143" i="24"/>
  <c r="DK144" i="24"/>
  <c r="DK145" i="24"/>
  <c r="DK146" i="24"/>
  <c r="DK143" i="24"/>
  <c r="Q143" i="24"/>
  <c r="Q145" i="24"/>
  <c r="Q144" i="24"/>
  <c r="Q146" i="24"/>
  <c r="AN143" i="24"/>
  <c r="AN144" i="24"/>
  <c r="AN145" i="24"/>
  <c r="AN146" i="24"/>
  <c r="CZ143" i="24"/>
  <c r="CZ144" i="24"/>
  <c r="CZ145" i="24"/>
  <c r="CZ146" i="24"/>
  <c r="FL143" i="24"/>
  <c r="FL144" i="24"/>
  <c r="FL145" i="24"/>
  <c r="FL146" i="24"/>
  <c r="DE143" i="24"/>
  <c r="DE146" i="24"/>
  <c r="DE144" i="24"/>
  <c r="DE145" i="24"/>
  <c r="BR143" i="24"/>
  <c r="BR145" i="24"/>
  <c r="BR146" i="24"/>
  <c r="BR144" i="24"/>
  <c r="ED143" i="24"/>
  <c r="ED145" i="24"/>
  <c r="ED146" i="24"/>
  <c r="ED144" i="24"/>
  <c r="CK143" i="24"/>
  <c r="CK146" i="24"/>
  <c r="CK144" i="24"/>
  <c r="CK145" i="24"/>
  <c r="BC144" i="24"/>
  <c r="BC145" i="24"/>
  <c r="BC146" i="24"/>
  <c r="BC143" i="24"/>
  <c r="DO144" i="24"/>
  <c r="DO145" i="24"/>
  <c r="DO146" i="24"/>
  <c r="DO143" i="24"/>
  <c r="AO143" i="24"/>
  <c r="AO144" i="24"/>
  <c r="AO145" i="24"/>
  <c r="AO146" i="24"/>
  <c r="AR144" i="24"/>
  <c r="AR145" i="24"/>
  <c r="AR146" i="24"/>
  <c r="AR143" i="24"/>
  <c r="DT144" i="24"/>
  <c r="DT145" i="24"/>
  <c r="DT143" i="24"/>
  <c r="DT146" i="24"/>
  <c r="AW143" i="24"/>
  <c r="AW145" i="24"/>
  <c r="AW144" i="24"/>
  <c r="AW146" i="24"/>
  <c r="DY143" i="24"/>
  <c r="DY145" i="24"/>
  <c r="DY144" i="24"/>
  <c r="DY146" i="24"/>
  <c r="AF143" i="24"/>
  <c r="AF144" i="24"/>
  <c r="AF145" i="24"/>
  <c r="AF146" i="24"/>
  <c r="FD143" i="24"/>
  <c r="FD144" i="24"/>
  <c r="FD145" i="24"/>
  <c r="FD146" i="24"/>
  <c r="K144" i="24"/>
  <c r="K145" i="24"/>
  <c r="K146" i="24"/>
  <c r="K143" i="24"/>
  <c r="AK143" i="24"/>
  <c r="AK144" i="24"/>
  <c r="AK145" i="24"/>
  <c r="AK146" i="24"/>
  <c r="BZ143" i="24"/>
  <c r="BZ146" i="24"/>
  <c r="BZ144" i="24"/>
  <c r="BZ145" i="24"/>
  <c r="BK144" i="24"/>
  <c r="BK145" i="24"/>
  <c r="BK146" i="24"/>
  <c r="BK143" i="24"/>
  <c r="CC143" i="24"/>
  <c r="CC145" i="24"/>
  <c r="CC144" i="24"/>
  <c r="CC146" i="24"/>
  <c r="AZ144" i="24"/>
  <c r="AZ145" i="24"/>
  <c r="AZ146" i="24"/>
  <c r="AZ143" i="24"/>
  <c r="DL144" i="24"/>
  <c r="DL145" i="24"/>
  <c r="DL146" i="24"/>
  <c r="DL143" i="24"/>
  <c r="M143" i="24"/>
  <c r="M144" i="24"/>
  <c r="M145" i="24"/>
  <c r="M146" i="24"/>
  <c r="N143" i="24"/>
  <c r="N144" i="24"/>
  <c r="N146" i="24"/>
  <c r="N145" i="24"/>
  <c r="CD143" i="24"/>
  <c r="CD144" i="24"/>
  <c r="CD145" i="24"/>
  <c r="CD146" i="24"/>
  <c r="BO144" i="24"/>
  <c r="BO145" i="24"/>
  <c r="BO146" i="24"/>
  <c r="BO143" i="24"/>
  <c r="AG143" i="24"/>
  <c r="AG144" i="24"/>
  <c r="AG146" i="24"/>
  <c r="AG145" i="24"/>
  <c r="R143" i="24"/>
  <c r="R144" i="24"/>
  <c r="R145" i="24"/>
  <c r="R146" i="24"/>
  <c r="EW143" i="24"/>
  <c r="EW146" i="24"/>
  <c r="EW144" i="24"/>
  <c r="EW145" i="24"/>
  <c r="BS144" i="24"/>
  <c r="BS145" i="24"/>
  <c r="BS146" i="24"/>
  <c r="BS143" i="24"/>
  <c r="EE144" i="24"/>
  <c r="EE145" i="24"/>
  <c r="EE146" i="24"/>
  <c r="EE143" i="24"/>
  <c r="DI143" i="24"/>
  <c r="DI146" i="24"/>
  <c r="DI144" i="24"/>
  <c r="DI145" i="24"/>
  <c r="CW143" i="24"/>
  <c r="CW144" i="24"/>
  <c r="CW145" i="24"/>
  <c r="CW146" i="24"/>
  <c r="V143" i="24"/>
  <c r="V145" i="24"/>
  <c r="V144" i="24"/>
  <c r="V146" i="24"/>
  <c r="CL143" i="24"/>
  <c r="CL144" i="24"/>
  <c r="CL145" i="24"/>
  <c r="CL146" i="24"/>
  <c r="EX143" i="24"/>
  <c r="EX144" i="24"/>
  <c r="EX145" i="24"/>
  <c r="EX146" i="24"/>
  <c r="FM143" i="24"/>
  <c r="FM146" i="24"/>
  <c r="FM145" i="24"/>
  <c r="FM144" i="24"/>
  <c r="BW144" i="24"/>
  <c r="BW145" i="24"/>
  <c r="BW146" i="24"/>
  <c r="BW143" i="24"/>
  <c r="EI144" i="24"/>
  <c r="EI145" i="24"/>
  <c r="EI146" i="24"/>
  <c r="EI143" i="24"/>
  <c r="DU143" i="24"/>
  <c r="DU146" i="24"/>
  <c r="DU144" i="24"/>
  <c r="DU145" i="24"/>
  <c r="BL143" i="24"/>
  <c r="BL144" i="24"/>
  <c r="BL145" i="24"/>
  <c r="BL146" i="24"/>
  <c r="DX143" i="24"/>
  <c r="DX144" i="24"/>
  <c r="DX145" i="24"/>
  <c r="DX146" i="24"/>
  <c r="BE143" i="24"/>
  <c r="BE146" i="24"/>
  <c r="BE145" i="24"/>
  <c r="BE144" i="24"/>
  <c r="EO143" i="24"/>
  <c r="EO144" i="24"/>
  <c r="EO145" i="24"/>
  <c r="EO146" i="24"/>
  <c r="AT143" i="24"/>
  <c r="AT144" i="24"/>
  <c r="AT146" i="24"/>
  <c r="AT145" i="24"/>
  <c r="DF143" i="24"/>
  <c r="DF146" i="24"/>
  <c r="DF144" i="24"/>
  <c r="DF145" i="24"/>
  <c r="FR146" i="24"/>
  <c r="FR144" i="24"/>
  <c r="FR145" i="24"/>
  <c r="FR143" i="24"/>
  <c r="AE144" i="24"/>
  <c r="AE145" i="24"/>
  <c r="AE146" i="24"/>
  <c r="AE143" i="24"/>
  <c r="CQ144" i="24"/>
  <c r="CQ145" i="24"/>
  <c r="CQ146" i="24"/>
  <c r="CQ143" i="24"/>
  <c r="FC144" i="24"/>
  <c r="FC145" i="24"/>
  <c r="FC146" i="24"/>
  <c r="FC143" i="24"/>
  <c r="T144" i="24"/>
  <c r="T145" i="24"/>
  <c r="T146" i="24"/>
  <c r="T143" i="24"/>
  <c r="CF144" i="24"/>
  <c r="CF145" i="24"/>
  <c r="CF146" i="24"/>
  <c r="CF143" i="24"/>
  <c r="ER144" i="24"/>
  <c r="ER145" i="24"/>
  <c r="ER146" i="24"/>
  <c r="ER143" i="24"/>
  <c r="Y143" i="24"/>
  <c r="Y146" i="24"/>
  <c r="Y145" i="24"/>
  <c r="Y144" i="24"/>
  <c r="AX143" i="24"/>
  <c r="AX144" i="24"/>
  <c r="AX145" i="24"/>
  <c r="AX146" i="24"/>
  <c r="DJ143" i="24"/>
  <c r="DJ144" i="24"/>
  <c r="DJ145" i="24"/>
  <c r="DJ146" i="24"/>
  <c r="U143" i="24"/>
  <c r="U144" i="24"/>
  <c r="U145" i="24"/>
  <c r="U146" i="24"/>
  <c r="AI144" i="24"/>
  <c r="AI145" i="24"/>
  <c r="AI146" i="24"/>
  <c r="AI143" i="24"/>
  <c r="CU144" i="24"/>
  <c r="CU145" i="24"/>
  <c r="CU146" i="24"/>
  <c r="CU143" i="24"/>
  <c r="FG144" i="24"/>
  <c r="FG145" i="24"/>
  <c r="FG146" i="24"/>
  <c r="FG143" i="24"/>
  <c r="X143" i="24"/>
  <c r="X144" i="24"/>
  <c r="X145" i="24"/>
  <c r="X146" i="24"/>
  <c r="CJ143" i="24"/>
  <c r="CJ144" i="24"/>
  <c r="CJ145" i="24"/>
  <c r="CJ146" i="24"/>
  <c r="EV143" i="24"/>
  <c r="EV144" i="24"/>
  <c r="EV145" i="24"/>
  <c r="EV146" i="24"/>
  <c r="ES143" i="24"/>
  <c r="ES144" i="24"/>
  <c r="ES145" i="24"/>
  <c r="ES146" i="24"/>
  <c r="BB143" i="24"/>
  <c r="BB145" i="24"/>
  <c r="BB144" i="24"/>
  <c r="BB146" i="24"/>
  <c r="DN143" i="24"/>
  <c r="DN145" i="24"/>
  <c r="DN144" i="24"/>
  <c r="DN146" i="24"/>
  <c r="AC143" i="24"/>
  <c r="AC144" i="24"/>
  <c r="AC145" i="24"/>
  <c r="AC146" i="24"/>
  <c r="AM144" i="24"/>
  <c r="AM145" i="24"/>
  <c r="AM146" i="24"/>
  <c r="AM143" i="24"/>
  <c r="CY144" i="24"/>
  <c r="CY145" i="24"/>
  <c r="CY146" i="24"/>
  <c r="CY143" i="24"/>
  <c r="FK144" i="24"/>
  <c r="FK145" i="24"/>
  <c r="FK146" i="24"/>
  <c r="FK143" i="24"/>
  <c r="AB144" i="24"/>
  <c r="AB145" i="24"/>
  <c r="AB146" i="24"/>
  <c r="AB143" i="24"/>
  <c r="DD144" i="24"/>
  <c r="DD145" i="24"/>
  <c r="DD143" i="24"/>
  <c r="DD146" i="24"/>
  <c r="FP144" i="24"/>
  <c r="FP145" i="24"/>
  <c r="FP143" i="24"/>
  <c r="FP146" i="24"/>
  <c r="BA143" i="24"/>
  <c r="BA144" i="24"/>
  <c r="BA145" i="24"/>
  <c r="BA146" i="24"/>
  <c r="CR143" i="24"/>
  <c r="CR144" i="24"/>
  <c r="CR145" i="24"/>
  <c r="CR146" i="24"/>
  <c r="EL143" i="24"/>
  <c r="EL146" i="24"/>
  <c r="EL144" i="24"/>
  <c r="EL145" i="24"/>
  <c r="DQ143" i="24"/>
  <c r="DQ146" i="24"/>
  <c r="DQ144" i="24"/>
  <c r="DQ145" i="24"/>
  <c r="EP143" i="24"/>
  <c r="EP144" i="24"/>
  <c r="EP145" i="24"/>
  <c r="EP146" i="24"/>
  <c r="EG143" i="24"/>
  <c r="EG146" i="24"/>
  <c r="EG145" i="24"/>
  <c r="EG144" i="24"/>
  <c r="BD143" i="24"/>
  <c r="BD144" i="24"/>
  <c r="BD145" i="24"/>
  <c r="BD146" i="24"/>
  <c r="DP143" i="24"/>
  <c r="DP144" i="24"/>
  <c r="DP145" i="24"/>
  <c r="DP146" i="24"/>
  <c r="ET143" i="24"/>
  <c r="ET145" i="24"/>
  <c r="ET144" i="24"/>
  <c r="ET146" i="24"/>
  <c r="L139" i="24"/>
  <c r="L136" i="24"/>
  <c r="L137" i="24"/>
  <c r="L138" i="24"/>
  <c r="BH144" i="24"/>
  <c r="BH145" i="24"/>
  <c r="BH146" i="24"/>
  <c r="BH143" i="24"/>
  <c r="EJ144" i="24"/>
  <c r="EJ145" i="24"/>
  <c r="EJ143" i="24"/>
  <c r="EJ146" i="24"/>
  <c r="AL143" i="24"/>
  <c r="AL145" i="24"/>
  <c r="AL144" i="24"/>
  <c r="AL146" i="24"/>
  <c r="BV143" i="24"/>
  <c r="BV144" i="24"/>
  <c r="BV145" i="24"/>
  <c r="BV146" i="24"/>
  <c r="EH143" i="24"/>
  <c r="EH144" i="24"/>
  <c r="EH145" i="24"/>
  <c r="EH146" i="24"/>
  <c r="DA143" i="24"/>
  <c r="DA146" i="24"/>
  <c r="DA145" i="24"/>
  <c r="DA144" i="24"/>
  <c r="BG144" i="24"/>
  <c r="BG145" i="24"/>
  <c r="BG146" i="24"/>
  <c r="BG143" i="24"/>
  <c r="DS144" i="24"/>
  <c r="DS145" i="24"/>
  <c r="DS146" i="24"/>
  <c r="DS143" i="24"/>
  <c r="BM143" i="24"/>
  <c r="BM144" i="24"/>
  <c r="BM146" i="24"/>
  <c r="BM145" i="24"/>
  <c r="AV143" i="24"/>
  <c r="AV144" i="24"/>
  <c r="AV145" i="24"/>
  <c r="AV146" i="24"/>
  <c r="DH143" i="24"/>
  <c r="DH144" i="24"/>
  <c r="DH145" i="24"/>
  <c r="DH146" i="24"/>
  <c r="FT143" i="24"/>
  <c r="FT144" i="24"/>
  <c r="FT145" i="24"/>
  <c r="FT146" i="24"/>
  <c r="BU143" i="24"/>
  <c r="BU146" i="24"/>
  <c r="BU144" i="24"/>
  <c r="BU145" i="24"/>
  <c r="Z143" i="24"/>
  <c r="Z144" i="24"/>
  <c r="Z145" i="24"/>
  <c r="Z146" i="24"/>
  <c r="CP143" i="24"/>
  <c r="CP146" i="24"/>
  <c r="CP144" i="24"/>
  <c r="CP145" i="24"/>
  <c r="FB143" i="24"/>
  <c r="FB146" i="24"/>
  <c r="FB144" i="24"/>
  <c r="FB145" i="24"/>
  <c r="O144" i="24"/>
  <c r="O145" i="24"/>
  <c r="O146" i="24"/>
  <c r="O143" i="24"/>
  <c r="CA144" i="24"/>
  <c r="CA145" i="24"/>
  <c r="CA146" i="24"/>
  <c r="CA143" i="24"/>
  <c r="EM144" i="24"/>
  <c r="EM145" i="24"/>
  <c r="EM146" i="24"/>
  <c r="EM143" i="24"/>
  <c r="EK143" i="24"/>
  <c r="EK146" i="24"/>
  <c r="EK144" i="24"/>
  <c r="EK145" i="24"/>
  <c r="BP144" i="24"/>
  <c r="BP145" i="24"/>
  <c r="BP146" i="24"/>
  <c r="BP143" i="24"/>
  <c r="EB144" i="24"/>
  <c r="EB145" i="24"/>
  <c r="EB146" i="24"/>
  <c r="EB143" i="24"/>
  <c r="BQ143" i="24"/>
  <c r="BQ144" i="24"/>
  <c r="BQ145" i="24"/>
  <c r="BQ146" i="24"/>
  <c r="AD143" i="24"/>
  <c r="AD144" i="24"/>
  <c r="AD146" i="24"/>
  <c r="AD145" i="24"/>
  <c r="CT143" i="24"/>
  <c r="CT144" i="24"/>
  <c r="CT145" i="24"/>
  <c r="CT146" i="24"/>
  <c r="FF143" i="24"/>
  <c r="FF144" i="24"/>
  <c r="FF145" i="24"/>
  <c r="FF146" i="24"/>
  <c r="S144" i="24"/>
  <c r="S145" i="24"/>
  <c r="S146" i="24"/>
  <c r="S143" i="24"/>
  <c r="CE144" i="24"/>
  <c r="CE145" i="24"/>
  <c r="CE146" i="24"/>
  <c r="CE143" i="24"/>
  <c r="EQ144" i="24"/>
  <c r="EQ145" i="24"/>
  <c r="EQ146" i="24"/>
  <c r="EQ143" i="24"/>
  <c r="FE143" i="24"/>
  <c r="FE145" i="24"/>
  <c r="FE144" i="24"/>
  <c r="FE146" i="24"/>
  <c r="BT143" i="24"/>
  <c r="BT144" i="24"/>
  <c r="BT145" i="24"/>
  <c r="BT146" i="24"/>
  <c r="EF143" i="24"/>
  <c r="EF144" i="24"/>
  <c r="EF145" i="24"/>
  <c r="EF146" i="24"/>
  <c r="CG143" i="24"/>
  <c r="CG144" i="24"/>
  <c r="CG145" i="24"/>
  <c r="CG146" i="24"/>
  <c r="AH143" i="24"/>
  <c r="AH144" i="24"/>
  <c r="AH145" i="24"/>
  <c r="AH146" i="24"/>
  <c r="CX143" i="24"/>
  <c r="CX145" i="24"/>
  <c r="CX144" i="24"/>
  <c r="CX146" i="24"/>
  <c r="FJ143" i="24"/>
  <c r="FJ145" i="24"/>
  <c r="FJ146" i="24"/>
  <c r="FJ144" i="24"/>
  <c r="W144" i="24"/>
  <c r="W145" i="24"/>
  <c r="W146" i="24"/>
  <c r="W143" i="24"/>
  <c r="CI144" i="24"/>
  <c r="CI145" i="24"/>
  <c r="CI146" i="24"/>
  <c r="CI143" i="24"/>
  <c r="EU144" i="24"/>
  <c r="EU145" i="24"/>
  <c r="EU146" i="24"/>
  <c r="EU143" i="24"/>
  <c r="L144" i="24"/>
  <c r="L145" i="24"/>
  <c r="L146" i="24"/>
  <c r="L143" i="24"/>
  <c r="BX144" i="24"/>
  <c r="BX145" i="24"/>
  <c r="BX143" i="24"/>
  <c r="BX146" i="24"/>
  <c r="CN144" i="24"/>
  <c r="CN145" i="24"/>
  <c r="CN143" i="24"/>
  <c r="CN146" i="24"/>
  <c r="EZ144" i="24"/>
  <c r="EZ145" i="24"/>
  <c r="EZ143" i="24"/>
  <c r="EZ146" i="24"/>
  <c r="FI143" i="24"/>
  <c r="FI144" i="24"/>
  <c r="FI145" i="24"/>
  <c r="FI146" i="24"/>
  <c r="FQ143" i="24"/>
  <c r="FQ146" i="24"/>
  <c r="FQ144" i="24"/>
  <c r="FQ145" i="24"/>
  <c r="I41" i="24"/>
  <c r="C20" i="53"/>
  <c r="E20" i="53" s="1"/>
  <c r="AR32" i="53"/>
  <c r="AR31" i="53"/>
  <c r="AR36" i="53"/>
  <c r="AR35" i="53"/>
  <c r="AR39" i="53"/>
  <c r="AS39" i="53"/>
  <c r="AR41" i="53"/>
  <c r="AR40" i="53"/>
  <c r="AS40" i="53" s="1"/>
  <c r="AD21" i="53"/>
  <c r="AE20" i="53"/>
  <c r="L21" i="53"/>
  <c r="H21" i="53" s="1"/>
  <c r="L11" i="44"/>
  <c r="H110" i="24"/>
  <c r="H6" i="24"/>
  <c r="F20" i="44"/>
  <c r="H112" i="24"/>
  <c r="H111" i="24"/>
  <c r="H41" i="24"/>
  <c r="J41" i="24"/>
  <c r="J113" i="24"/>
  <c r="H114" i="24"/>
  <c r="J80" i="24"/>
  <c r="J111" i="24"/>
  <c r="I80" i="24"/>
  <c r="J114" i="24"/>
  <c r="I81" i="24"/>
  <c r="I82" i="24"/>
  <c r="I113" i="24"/>
  <c r="H113" i="24"/>
  <c r="J81" i="24"/>
  <c r="J83" i="24"/>
  <c r="I84" i="24"/>
  <c r="I85" i="24"/>
  <c r="I86" i="24"/>
  <c r="I87" i="24"/>
  <c r="I88" i="24"/>
  <c r="J82" i="24"/>
  <c r="I89" i="24"/>
  <c r="I90" i="24"/>
  <c r="I112" i="24"/>
  <c r="J87" i="24"/>
  <c r="J89" i="24"/>
  <c r="H83" i="24"/>
  <c r="H87" i="24"/>
  <c r="H91" i="24"/>
  <c r="J97" i="24"/>
  <c r="J98" i="24"/>
  <c r="J99" i="24"/>
  <c r="H99" i="24"/>
  <c r="J112" i="24"/>
  <c r="J84" i="24"/>
  <c r="J85" i="24"/>
  <c r="I114" i="24"/>
  <c r="J90" i="24"/>
  <c r="I91" i="24"/>
  <c r="H84" i="24"/>
  <c r="H89" i="24"/>
  <c r="J96" i="24"/>
  <c r="I83" i="24"/>
  <c r="J86" i="24"/>
  <c r="J88" i="24"/>
  <c r="J91" i="24"/>
  <c r="H85" i="24"/>
  <c r="H90" i="24"/>
  <c r="H96" i="24"/>
  <c r="I98" i="24"/>
  <c r="H81" i="24"/>
  <c r="H80" i="24"/>
  <c r="I111" i="24"/>
  <c r="H82" i="24"/>
  <c r="I96" i="24"/>
  <c r="I99" i="24"/>
  <c r="H97" i="24"/>
  <c r="H88" i="24"/>
  <c r="I97" i="24"/>
  <c r="H86" i="24"/>
  <c r="H98" i="24"/>
  <c r="K110" i="24"/>
  <c r="O110" i="24"/>
  <c r="S110" i="24"/>
  <c r="W110" i="24"/>
  <c r="AA110" i="24"/>
  <c r="AE110" i="24"/>
  <c r="AI110" i="24"/>
  <c r="AM110" i="24"/>
  <c r="AQ110" i="24"/>
  <c r="AU110" i="24"/>
  <c r="AY110" i="24"/>
  <c r="BC110" i="24"/>
  <c r="BG110" i="24"/>
  <c r="BO110" i="24"/>
  <c r="BS110" i="24"/>
  <c r="BX110" i="24"/>
  <c r="CB110" i="24"/>
  <c r="CF110" i="24"/>
  <c r="CJ110" i="24"/>
  <c r="CN110" i="24"/>
  <c r="CR110" i="24"/>
  <c r="CV110" i="24"/>
  <c r="CZ110" i="24"/>
  <c r="DD110" i="24"/>
  <c r="DH110" i="24"/>
  <c r="DL110" i="24"/>
  <c r="DP110" i="24"/>
  <c r="DT110" i="24"/>
  <c r="DX110" i="24"/>
  <c r="EB110" i="24"/>
  <c r="EF110" i="24"/>
  <c r="EJ110" i="24"/>
  <c r="EN110" i="24"/>
  <c r="ER110" i="24"/>
  <c r="EV110" i="24"/>
  <c r="EZ110" i="24"/>
  <c r="FD110" i="24"/>
  <c r="FH110" i="24"/>
  <c r="FL110" i="24"/>
  <c r="FP110" i="24"/>
  <c r="FT110" i="24"/>
  <c r="J110" i="24"/>
  <c r="P110" i="24"/>
  <c r="U110" i="24"/>
  <c r="Z110" i="24"/>
  <c r="AF110" i="24"/>
  <c r="AP110" i="24"/>
  <c r="AV110" i="24"/>
  <c r="BA110" i="24"/>
  <c r="BF110" i="24"/>
  <c r="BL110" i="24"/>
  <c r="BQ110" i="24"/>
  <c r="BW110" i="24"/>
  <c r="CC110" i="24"/>
  <c r="CH110" i="24"/>
  <c r="CM110" i="24"/>
  <c r="CS110" i="24"/>
  <c r="CX110" i="24"/>
  <c r="DC110" i="24"/>
  <c r="DI110" i="24"/>
  <c r="DN110" i="24"/>
  <c r="DS110" i="24"/>
  <c r="DY110" i="24"/>
  <c r="ED110" i="24"/>
  <c r="EI110" i="24"/>
  <c r="EO110" i="24"/>
  <c r="ET110" i="24"/>
  <c r="EY110" i="24"/>
  <c r="FE110" i="24"/>
  <c r="FJ110" i="24"/>
  <c r="FO110" i="24"/>
  <c r="N110" i="24"/>
  <c r="V110" i="24"/>
  <c r="AC110" i="24"/>
  <c r="AJ110" i="24"/>
  <c r="AR110" i="24"/>
  <c r="BE110" i="24"/>
  <c r="BM110" i="24"/>
  <c r="BT110" i="24"/>
  <c r="CA110" i="24"/>
  <c r="CI110" i="24"/>
  <c r="CP110" i="24"/>
  <c r="CW110" i="24"/>
  <c r="DE110" i="24"/>
  <c r="DK110" i="24"/>
  <c r="DR110" i="24"/>
  <c r="DZ110" i="24"/>
  <c r="EG110" i="24"/>
  <c r="EM110" i="24"/>
  <c r="EU110" i="24"/>
  <c r="FB110" i="24"/>
  <c r="FI110" i="24"/>
  <c r="FQ110" i="24"/>
  <c r="L110" i="24"/>
  <c r="R110" i="24"/>
  <c r="AN110" i="24"/>
  <c r="AT110" i="24"/>
  <c r="BB110" i="24"/>
  <c r="BP110" i="24"/>
  <c r="CE110" i="24"/>
  <c r="CT110" i="24"/>
  <c r="DG110" i="24"/>
  <c r="DV110" i="24"/>
  <c r="EK110" i="24"/>
  <c r="EX110" i="24"/>
  <c r="FM110" i="24"/>
  <c r="M110" i="24"/>
  <c r="I110" i="24"/>
  <c r="Q110" i="24"/>
  <c r="X110" i="24"/>
  <c r="AD110" i="24"/>
  <c r="BH110" i="24"/>
  <c r="BN110" i="24"/>
  <c r="BV110" i="24"/>
  <c r="CD110" i="24"/>
  <c r="CK110" i="24"/>
  <c r="CQ110" i="24"/>
  <c r="CY110" i="24"/>
  <c r="DF110" i="24"/>
  <c r="DM110" i="24"/>
  <c r="DU110" i="24"/>
  <c r="EA110" i="24"/>
  <c r="EH110" i="24"/>
  <c r="EP110" i="24"/>
  <c r="EW110" i="24"/>
  <c r="FC110" i="24"/>
  <c r="FK110" i="24"/>
  <c r="FR110" i="24"/>
  <c r="Y110" i="24"/>
  <c r="BY110" i="24"/>
  <c r="CL110" i="24"/>
  <c r="DA110" i="24"/>
  <c r="DO110" i="24"/>
  <c r="EC110" i="24"/>
  <c r="EQ110" i="24"/>
  <c r="FF110" i="24"/>
  <c r="FS110" i="24"/>
  <c r="AO110" i="24"/>
  <c r="BR110" i="24"/>
  <c r="CU110" i="24"/>
  <c r="DW110" i="24"/>
  <c r="FA110" i="24"/>
  <c r="ES110" i="24"/>
  <c r="T110" i="24"/>
  <c r="BZ110" i="24"/>
  <c r="DB110" i="24"/>
  <c r="EE110" i="24"/>
  <c r="FG110" i="24"/>
  <c r="AB110" i="24"/>
  <c r="BD110" i="24"/>
  <c r="DJ110" i="24"/>
  <c r="EL110" i="24"/>
  <c r="FN110" i="24"/>
  <c r="AH110" i="24"/>
  <c r="BJ110" i="24"/>
  <c r="CO110" i="24"/>
  <c r="DQ110" i="24"/>
  <c r="B20" i="46"/>
  <c r="B21" i="46" s="1"/>
  <c r="B22" i="46" s="1"/>
  <c r="B23" i="46" s="1"/>
  <c r="B24" i="46" s="1"/>
  <c r="B25" i="46" s="1"/>
  <c r="B26" i="46" s="1"/>
  <c r="B27" i="46" s="1"/>
  <c r="B28" i="46" s="1"/>
  <c r="B29" i="46" s="1"/>
  <c r="B30" i="46" s="1"/>
  <c r="B31" i="46" s="1"/>
  <c r="B32" i="46" s="1"/>
  <c r="B33" i="46" s="1"/>
  <c r="B34" i="46" s="1"/>
  <c r="B35" i="46" s="1"/>
  <c r="B36" i="46" s="1"/>
  <c r="B37" i="46" s="1"/>
  <c r="B38" i="46" s="1"/>
  <c r="B39" i="46" s="1"/>
  <c r="B40" i="46" s="1"/>
  <c r="B41" i="46" s="1"/>
  <c r="B42" i="46" s="1"/>
  <c r="B43" i="46" s="1"/>
  <c r="B44" i="46" s="1"/>
  <c r="B45" i="46" s="1"/>
  <c r="B46" i="46" s="1"/>
  <c r="B47" i="46" s="1"/>
  <c r="B48" i="46" s="1"/>
  <c r="B49" i="46" s="1"/>
  <c r="B50" i="46" s="1"/>
  <c r="B51" i="46" s="1"/>
  <c r="B52" i="46" s="1"/>
  <c r="B53" i="46" s="1"/>
  <c r="B54" i="46" s="1"/>
  <c r="B55" i="46" s="1"/>
  <c r="B56" i="46" s="1"/>
  <c r="B57" i="46" s="1"/>
  <c r="B58" i="46" s="1"/>
  <c r="B59" i="46" s="1"/>
  <c r="B60" i="46" s="1"/>
  <c r="B61" i="46" s="1"/>
  <c r="B62" i="46" s="1"/>
  <c r="B63" i="46" s="1"/>
  <c r="B64" i="46" s="1"/>
  <c r="B65" i="46" s="1"/>
  <c r="B66" i="46" s="1"/>
  <c r="B67" i="46" s="1"/>
  <c r="B68" i="46" s="1"/>
  <c r="B69" i="46" s="1"/>
  <c r="B70" i="46" s="1"/>
  <c r="B71" i="46" s="1"/>
  <c r="B72" i="46" s="1"/>
  <c r="B73" i="46" s="1"/>
  <c r="B74" i="46" s="1"/>
  <c r="B75" i="46" s="1"/>
  <c r="B76" i="46" s="1"/>
  <c r="B77" i="46" s="1"/>
  <c r="B78" i="46" s="1"/>
  <c r="B79" i="46" s="1"/>
  <c r="B80" i="46" s="1"/>
  <c r="B81" i="46" s="1"/>
  <c r="B82" i="46" s="1"/>
  <c r="B83" i="46" s="1"/>
  <c r="B84" i="46" s="1"/>
  <c r="B85" i="46" s="1"/>
  <c r="B86" i="46" s="1"/>
  <c r="B87" i="46" s="1"/>
  <c r="B88" i="46" s="1"/>
  <c r="B89" i="46" s="1"/>
  <c r="B90" i="46" s="1"/>
  <c r="B91" i="46" s="1"/>
  <c r="B92" i="46" s="1"/>
  <c r="B93" i="46" s="1"/>
  <c r="B94" i="46" s="1"/>
  <c r="B95" i="46" s="1"/>
  <c r="B96" i="46" s="1"/>
  <c r="B97" i="46" s="1"/>
  <c r="B98" i="46" s="1"/>
  <c r="B99" i="46" s="1"/>
  <c r="B100" i="46" s="1"/>
  <c r="B101" i="46" s="1"/>
  <c r="B102" i="46" s="1"/>
  <c r="B103" i="46" s="1"/>
  <c r="B104" i="46" s="1"/>
  <c r="B105" i="46" s="1"/>
  <c r="B106" i="46" s="1"/>
  <c r="B107" i="46" s="1"/>
  <c r="B108" i="46" s="1"/>
  <c r="B109" i="46" s="1"/>
  <c r="B110" i="46" s="1"/>
  <c r="B111" i="46" s="1"/>
  <c r="B112" i="46" s="1"/>
  <c r="B113" i="46" s="1"/>
  <c r="B114" i="46" s="1"/>
  <c r="B115" i="46" s="1"/>
  <c r="B116" i="46" s="1"/>
  <c r="B117" i="46" s="1"/>
  <c r="B118" i="46" s="1"/>
  <c r="B119" i="46" s="1"/>
  <c r="B120" i="46" s="1"/>
  <c r="B121" i="46" s="1"/>
  <c r="B122" i="46" s="1"/>
  <c r="B123" i="46" s="1"/>
  <c r="B124" i="46" s="1"/>
  <c r="B125" i="46" s="1"/>
  <c r="B126" i="46" s="1"/>
  <c r="B127" i="46" s="1"/>
  <c r="B128" i="46" s="1"/>
  <c r="B129" i="46" s="1"/>
  <c r="B130" i="46" s="1"/>
  <c r="B131" i="46" s="1"/>
  <c r="B132" i="46" s="1"/>
  <c r="B133" i="46" s="1"/>
  <c r="B134" i="46" s="1"/>
  <c r="B135" i="46" s="1"/>
  <c r="B136" i="46" s="1"/>
  <c r="B137" i="46" s="1"/>
  <c r="B138" i="46" s="1"/>
  <c r="B139" i="46" s="1"/>
  <c r="B140" i="46" s="1"/>
  <c r="B141" i="46" s="1"/>
  <c r="B142" i="46" s="1"/>
  <c r="B143" i="46" s="1"/>
  <c r="B144" i="46" s="1"/>
  <c r="B145" i="46" s="1"/>
  <c r="B146" i="46" s="1"/>
  <c r="B147" i="46" s="1"/>
  <c r="B148" i="46" s="1"/>
  <c r="B149" i="46" s="1"/>
  <c r="B150" i="46" s="1"/>
  <c r="B151" i="46" s="1"/>
  <c r="B152" i="46" s="1"/>
  <c r="B153" i="46" s="1"/>
  <c r="B154" i="46" s="1"/>
  <c r="B155" i="46" s="1"/>
  <c r="B156" i="46" s="1"/>
  <c r="B157" i="46" s="1"/>
  <c r="B158" i="46" s="1"/>
  <c r="B159" i="46" s="1"/>
  <c r="B160" i="46" s="1"/>
  <c r="B161" i="46" s="1"/>
  <c r="B162" i="46" s="1"/>
  <c r="B163" i="46" s="1"/>
  <c r="B164" i="46" s="1"/>
  <c r="B165" i="46" s="1"/>
  <c r="B166" i="46" s="1"/>
  <c r="B167" i="46" s="1"/>
  <c r="B168" i="46" s="1"/>
  <c r="B169" i="46" s="1"/>
  <c r="B170" i="46" s="1"/>
  <c r="B171" i="46" s="1"/>
  <c r="B172" i="46" s="1"/>
  <c r="B173" i="46" s="1"/>
  <c r="B174" i="46" s="1"/>
  <c r="B175" i="46" s="1"/>
  <c r="B176" i="46" s="1"/>
  <c r="B177" i="46" s="1"/>
  <c r="B178" i="46" s="1"/>
  <c r="B179" i="46" s="1"/>
  <c r="B180" i="46" s="1"/>
  <c r="B181" i="46" s="1"/>
  <c r="B182" i="46" s="1"/>
  <c r="B183" i="46" s="1"/>
  <c r="B184" i="46" s="1"/>
  <c r="B185" i="46" s="1"/>
  <c r="B186" i="46" s="1"/>
  <c r="B187" i="46" s="1"/>
  <c r="B188" i="46" s="1"/>
  <c r="B189" i="46" s="1"/>
  <c r="B190" i="46" s="1"/>
  <c r="B191" i="46" s="1"/>
  <c r="B192" i="46" s="1"/>
  <c r="B193" i="46" s="1"/>
  <c r="B194" i="46" s="1"/>
  <c r="B195" i="46" s="1"/>
  <c r="B196" i="46" s="1"/>
  <c r="B197" i="46" s="1"/>
  <c r="B198" i="46" s="1"/>
  <c r="B199" i="46" s="1"/>
  <c r="B200" i="46" s="1"/>
  <c r="B201" i="46" s="1"/>
  <c r="B202" i="46" s="1"/>
  <c r="B203" i="46" s="1"/>
  <c r="B204" i="46" s="1"/>
  <c r="B205" i="46" s="1"/>
  <c r="B206" i="46" s="1"/>
  <c r="B207" i="46" s="1"/>
  <c r="B208" i="46" s="1"/>
  <c r="B209" i="46" s="1"/>
  <c r="B210" i="46" s="1"/>
  <c r="B211" i="46" s="1"/>
  <c r="B212" i="46" s="1"/>
  <c r="B213" i="46" s="1"/>
  <c r="B214" i="46" s="1"/>
  <c r="B215" i="46" s="1"/>
  <c r="B216" i="46" s="1"/>
  <c r="B217" i="46" s="1"/>
  <c r="B218" i="46" s="1"/>
  <c r="B219" i="46" s="1"/>
  <c r="B220" i="46" s="1"/>
  <c r="B221" i="46" s="1"/>
  <c r="B222" i="46" s="1"/>
  <c r="B223" i="46" s="1"/>
  <c r="B224" i="46" s="1"/>
  <c r="B225" i="46" s="1"/>
  <c r="B226" i="46" s="1"/>
  <c r="B227" i="46" s="1"/>
  <c r="B228" i="46" s="1"/>
  <c r="B229" i="46" s="1"/>
  <c r="B230" i="46" s="1"/>
  <c r="B231" i="46" s="1"/>
  <c r="B232" i="46" s="1"/>
  <c r="B233" i="46" s="1"/>
  <c r="B234" i="46" s="1"/>
  <c r="B235" i="46" s="1"/>
  <c r="B236" i="46" s="1"/>
  <c r="B237" i="46" s="1"/>
  <c r="B238" i="46" s="1"/>
  <c r="B239" i="46" s="1"/>
  <c r="B240" i="46" s="1"/>
  <c r="B241" i="46" s="1"/>
  <c r="B242" i="46" s="1"/>
  <c r="B243" i="46" s="1"/>
  <c r="B244" i="46" s="1"/>
  <c r="B245" i="46" s="1"/>
  <c r="B246" i="46" s="1"/>
  <c r="B247" i="46" s="1"/>
  <c r="B248" i="46" s="1"/>
  <c r="B249" i="46" s="1"/>
  <c r="B250" i="46" s="1"/>
  <c r="B251" i="46" s="1"/>
  <c r="B252" i="46" s="1"/>
  <c r="B253" i="46" s="1"/>
  <c r="B254" i="46" s="1"/>
  <c r="B255" i="46" s="1"/>
  <c r="B256" i="46" s="1"/>
  <c r="B257" i="46" s="1"/>
  <c r="B258" i="46" s="1"/>
  <c r="B259" i="46" s="1"/>
  <c r="B260" i="46" s="1"/>
  <c r="B261" i="46" s="1"/>
  <c r="B262" i="46" s="1"/>
  <c r="B263" i="46" s="1"/>
  <c r="B264" i="46" s="1"/>
  <c r="B265" i="46" s="1"/>
  <c r="B266" i="46" s="1"/>
  <c r="B267" i="46" s="1"/>
  <c r="B268" i="46" s="1"/>
  <c r="B269" i="46" s="1"/>
  <c r="B270" i="46" s="1"/>
  <c r="B271" i="46" s="1"/>
  <c r="B272" i="46" s="1"/>
  <c r="B273" i="46" s="1"/>
  <c r="B274" i="46" s="1"/>
  <c r="B275" i="46" s="1"/>
  <c r="B276" i="46" s="1"/>
  <c r="B277" i="46" s="1"/>
  <c r="B278" i="46" s="1"/>
  <c r="B279" i="46" s="1"/>
  <c r="B280" i="46" s="1"/>
  <c r="B281" i="46" s="1"/>
  <c r="B282" i="46" s="1"/>
  <c r="B283" i="46" s="1"/>
  <c r="B284" i="46" s="1"/>
  <c r="B285" i="46" s="1"/>
  <c r="B286" i="46" s="1"/>
  <c r="B287" i="46" s="1"/>
  <c r="B288" i="46" s="1"/>
  <c r="B289" i="46" s="1"/>
  <c r="B290" i="46" s="1"/>
  <c r="B291" i="46" s="1"/>
  <c r="B292" i="46" s="1"/>
  <c r="B293" i="46" s="1"/>
  <c r="B294" i="46" s="1"/>
  <c r="B295" i="46" s="1"/>
  <c r="B296" i="46" s="1"/>
  <c r="B297" i="46" s="1"/>
  <c r="B298" i="46" s="1"/>
  <c r="B299" i="46" s="1"/>
  <c r="B300" i="46" s="1"/>
  <c r="B301" i="46" s="1"/>
  <c r="B302" i="46" s="1"/>
  <c r="B303" i="46" s="1"/>
  <c r="B304" i="46" s="1"/>
  <c r="B305" i="46" s="1"/>
  <c r="B306" i="46" s="1"/>
  <c r="B307" i="46" s="1"/>
  <c r="B308" i="46" s="1"/>
  <c r="B309" i="46" s="1"/>
  <c r="B310" i="46" s="1"/>
  <c r="B311" i="46" s="1"/>
  <c r="B312" i="46" s="1"/>
  <c r="B313" i="46" s="1"/>
  <c r="B314" i="46" s="1"/>
  <c r="B315" i="46" s="1"/>
  <c r="B316" i="46" s="1"/>
  <c r="B317" i="46" s="1"/>
  <c r="B318" i="46" s="1"/>
  <c r="B319" i="46" s="1"/>
  <c r="B320" i="46" s="1"/>
  <c r="B321" i="46" s="1"/>
  <c r="B322" i="46" s="1"/>
  <c r="B323" i="46" s="1"/>
  <c r="B324" i="46" s="1"/>
  <c r="B325" i="46" s="1"/>
  <c r="B326" i="46" s="1"/>
  <c r="B327" i="46" s="1"/>
  <c r="B328" i="46" s="1"/>
  <c r="B329" i="46" s="1"/>
  <c r="B330" i="46" s="1"/>
  <c r="B331" i="46" s="1"/>
  <c r="B332" i="46" s="1"/>
  <c r="B333" i="46" s="1"/>
  <c r="B334" i="46" s="1"/>
  <c r="B335" i="46" s="1"/>
  <c r="B336" i="46" s="1"/>
  <c r="B337" i="46" s="1"/>
  <c r="B338" i="46" s="1"/>
  <c r="B339" i="46" s="1"/>
  <c r="B340" i="46" s="1"/>
  <c r="B341" i="46" s="1"/>
  <c r="B342" i="46" s="1"/>
  <c r="B343" i="46" s="1"/>
  <c r="B344" i="46" s="1"/>
  <c r="B345" i="46" s="1"/>
  <c r="B346" i="46" s="1"/>
  <c r="B347" i="46" s="1"/>
  <c r="B348" i="46" s="1"/>
  <c r="B349" i="46" s="1"/>
  <c r="B350" i="46" s="1"/>
  <c r="B351" i="46" s="1"/>
  <c r="B352" i="46" s="1"/>
  <c r="B353" i="46" s="1"/>
  <c r="B354" i="46" s="1"/>
  <c r="B355" i="46" s="1"/>
  <c r="B356" i="46" s="1"/>
  <c r="B357" i="46" s="1"/>
  <c r="B358" i="46" s="1"/>
  <c r="B359" i="46" s="1"/>
  <c r="B360" i="46" s="1"/>
  <c r="B361" i="46" s="1"/>
  <c r="B362" i="46" s="1"/>
  <c r="B363" i="46" s="1"/>
  <c r="B364" i="46" s="1"/>
  <c r="B365" i="46" s="1"/>
  <c r="B366" i="46" s="1"/>
  <c r="B367" i="46" s="1"/>
  <c r="B368" i="46" s="1"/>
  <c r="B369" i="46" s="1"/>
  <c r="B370" i="46" s="1"/>
  <c r="B371" i="46" s="1"/>
  <c r="B372" i="46" s="1"/>
  <c r="B373" i="46" s="1"/>
  <c r="B374" i="46" s="1"/>
  <c r="B375" i="46" s="1"/>
  <c r="B376" i="46" s="1"/>
  <c r="B377" i="46" s="1"/>
  <c r="B378" i="46" s="1"/>
  <c r="B379" i="46" s="1"/>
  <c r="B380" i="46" s="1"/>
  <c r="B381" i="46" s="1"/>
  <c r="B382" i="46" s="1"/>
  <c r="B383" i="46" s="1"/>
  <c r="B384" i="46" s="1"/>
  <c r="B385" i="46" s="1"/>
  <c r="B386" i="46" s="1"/>
  <c r="B387" i="46" s="1"/>
  <c r="B388" i="46" s="1"/>
  <c r="B389" i="46" s="1"/>
  <c r="B390" i="46" s="1"/>
  <c r="B391" i="46" s="1"/>
  <c r="B392" i="46" s="1"/>
  <c r="B393" i="46" s="1"/>
  <c r="B394" i="46" s="1"/>
  <c r="B395" i="46" s="1"/>
  <c r="B396" i="46" s="1"/>
  <c r="B397" i="46" s="1"/>
  <c r="B398" i="46" s="1"/>
  <c r="B399" i="46" s="1"/>
  <c r="B400" i="46" s="1"/>
  <c r="B401" i="46" s="1"/>
  <c r="B402" i="46" s="1"/>
  <c r="B403" i="46" s="1"/>
  <c r="B404" i="46" s="1"/>
  <c r="B405" i="46" s="1"/>
  <c r="B406" i="46" s="1"/>
  <c r="B407" i="46" s="1"/>
  <c r="B408" i="46" s="1"/>
  <c r="B409" i="46" s="1"/>
  <c r="B410" i="46" s="1"/>
  <c r="B411" i="46" s="1"/>
  <c r="B412" i="46" s="1"/>
  <c r="B413" i="46" s="1"/>
  <c r="B414" i="46" s="1"/>
  <c r="B415" i="46" s="1"/>
  <c r="B416" i="46" s="1"/>
  <c r="B417" i="46" s="1"/>
  <c r="B418" i="46" s="1"/>
  <c r="B419" i="46" s="1"/>
  <c r="B420" i="46" s="1"/>
  <c r="B421" i="46" s="1"/>
  <c r="B422" i="46" s="1"/>
  <c r="B423" i="46" s="1"/>
  <c r="B424" i="46" s="1"/>
  <c r="B425" i="46" s="1"/>
  <c r="B426" i="46" s="1"/>
  <c r="B427" i="46" s="1"/>
  <c r="B428" i="46" s="1"/>
  <c r="B429" i="46" s="1"/>
  <c r="B430" i="46" s="1"/>
  <c r="B431" i="46" s="1"/>
  <c r="B432" i="46" s="1"/>
  <c r="B433" i="46" s="1"/>
  <c r="B434" i="46" s="1"/>
  <c r="B435" i="46" s="1"/>
  <c r="B436" i="46" s="1"/>
  <c r="B437" i="46" s="1"/>
  <c r="B438" i="46" s="1"/>
  <c r="B439" i="46" s="1"/>
  <c r="B440" i="46" s="1"/>
  <c r="H196" i="24"/>
  <c r="H197" i="24" s="1"/>
  <c r="BA30" i="44"/>
  <c r="AZ31" i="44"/>
  <c r="BH29" i="44"/>
  <c r="BI29" i="44" s="1"/>
  <c r="BJ30" i="44" s="1"/>
  <c r="BL29" i="44"/>
  <c r="BM30" i="44" s="1"/>
  <c r="BE29" i="44"/>
  <c r="BB29" i="44"/>
  <c r="BC29" i="44" s="1"/>
  <c r="BD29" i="44"/>
  <c r="BG29" i="44"/>
  <c r="AC48" i="46"/>
  <c r="AQ36" i="46"/>
  <c r="AQ35" i="46"/>
  <c r="AQ32" i="46"/>
  <c r="AQ31" i="46"/>
  <c r="S5" i="46"/>
  <c r="D20" i="46"/>
  <c r="C20" i="46" s="1"/>
  <c r="E20" i="46" s="1"/>
  <c r="F20" i="46"/>
  <c r="G20" i="46"/>
  <c r="L21" i="46" s="1"/>
  <c r="AB20" i="46"/>
  <c r="AB21" i="46" s="1"/>
  <c r="AB22" i="46" s="1"/>
  <c r="AB23" i="46" s="1"/>
  <c r="AB24" i="46" s="1"/>
  <c r="AB25" i="46" s="1"/>
  <c r="AB26" i="46" s="1"/>
  <c r="AB27" i="46" s="1"/>
  <c r="AB28" i="46" s="1"/>
  <c r="AB29" i="46" s="1"/>
  <c r="AB30" i="46" s="1"/>
  <c r="AB31" i="46" s="1"/>
  <c r="AB32" i="46" s="1"/>
  <c r="AB33" i="46" s="1"/>
  <c r="AB34" i="46" s="1"/>
  <c r="AB35" i="46" s="1"/>
  <c r="AB36" i="46" s="1"/>
  <c r="AB37" i="46" s="1"/>
  <c r="AB38" i="46" s="1"/>
  <c r="AB39" i="46" s="1"/>
  <c r="AB40" i="46" s="1"/>
  <c r="AB41" i="46" s="1"/>
  <c r="AB42" i="46" s="1"/>
  <c r="AB43" i="46" s="1"/>
  <c r="AB44" i="46" s="1"/>
  <c r="AB45" i="46" s="1"/>
  <c r="AB46" i="46" s="1"/>
  <c r="AB47" i="46" s="1"/>
  <c r="AB48" i="46" s="1"/>
  <c r="AB49" i="46" s="1"/>
  <c r="AF21" i="44"/>
  <c r="CI170" i="24"/>
  <c r="FN170" i="24"/>
  <c r="I6" i="24"/>
  <c r="J6" i="24"/>
  <c r="C186" i="15"/>
  <c r="I44" i="24"/>
  <c r="H44" i="24"/>
  <c r="J44" i="24"/>
  <c r="E33" i="32"/>
  <c r="CD170" i="24"/>
  <c r="W34" i="39"/>
  <c r="X34" i="39" s="1"/>
  <c r="Q7" i="39"/>
  <c r="Q8" i="39"/>
  <c r="AE440" i="39"/>
  <c r="AF439" i="39"/>
  <c r="F21" i="39"/>
  <c r="EL170" i="24"/>
  <c r="M14" i="24"/>
  <c r="Q14" i="24"/>
  <c r="U14" i="24"/>
  <c r="Y14" i="24"/>
  <c r="AC14" i="24"/>
  <c r="AG14" i="24"/>
  <c r="AK14" i="24"/>
  <c r="AO14" i="24"/>
  <c r="AS14" i="24"/>
  <c r="AW14" i="24"/>
  <c r="BA14" i="24"/>
  <c r="BE14" i="24"/>
  <c r="BI14" i="24"/>
  <c r="BM14" i="24"/>
  <c r="BQ14" i="24"/>
  <c r="BU14" i="24"/>
  <c r="BY14" i="24"/>
  <c r="CC14" i="24"/>
  <c r="CG14" i="24"/>
  <c r="CK14" i="24"/>
  <c r="CO14" i="24"/>
  <c r="CS14" i="24"/>
  <c r="CW14" i="24"/>
  <c r="DA14" i="24"/>
  <c r="DE14" i="24"/>
  <c r="DI14" i="24"/>
  <c r="DM14" i="24"/>
  <c r="DQ14" i="24"/>
  <c r="DU14" i="24"/>
  <c r="DY14" i="24"/>
  <c r="EC14" i="24"/>
  <c r="EG14" i="24"/>
  <c r="EK14" i="24"/>
  <c r="EO14" i="24"/>
  <c r="ES14" i="24"/>
  <c r="EW14" i="24"/>
  <c r="FA14" i="24"/>
  <c r="FE14" i="24"/>
  <c r="FI14" i="24"/>
  <c r="FM14" i="24"/>
  <c r="FQ14" i="24"/>
  <c r="H14" i="24"/>
  <c r="P14" i="24"/>
  <c r="X14" i="24"/>
  <c r="AB14" i="24"/>
  <c r="AF14" i="24"/>
  <c r="AN14" i="24"/>
  <c r="AR14" i="24"/>
  <c r="AZ14" i="24"/>
  <c r="BH14" i="24"/>
  <c r="BP14" i="24"/>
  <c r="CB14" i="24"/>
  <c r="CJ14" i="24"/>
  <c r="CV14" i="24"/>
  <c r="DD14" i="24"/>
  <c r="DL14" i="24"/>
  <c r="DT14" i="24"/>
  <c r="EF14" i="24"/>
  <c r="EN14" i="24"/>
  <c r="EZ14" i="24"/>
  <c r="FH14" i="24"/>
  <c r="FT14" i="24"/>
  <c r="J14" i="24"/>
  <c r="N14" i="24"/>
  <c r="R14" i="24"/>
  <c r="V14" i="24"/>
  <c r="Z14" i="24"/>
  <c r="AD14" i="24"/>
  <c r="AH14" i="24"/>
  <c r="AL14" i="24"/>
  <c r="AP14" i="24"/>
  <c r="AT14" i="24"/>
  <c r="AX14" i="24"/>
  <c r="BB14" i="24"/>
  <c r="BF14" i="24"/>
  <c r="BJ14" i="24"/>
  <c r="BN14" i="24"/>
  <c r="BR14" i="24"/>
  <c r="BV14" i="24"/>
  <c r="BZ14" i="24"/>
  <c r="CD14" i="24"/>
  <c r="CH14" i="24"/>
  <c r="CL14" i="24"/>
  <c r="CP14" i="24"/>
  <c r="CT14" i="24"/>
  <c r="CX14" i="24"/>
  <c r="DB14" i="24"/>
  <c r="DF14" i="24"/>
  <c r="DJ14" i="24"/>
  <c r="DN14" i="24"/>
  <c r="DR14" i="24"/>
  <c r="DV14" i="24"/>
  <c r="DZ14" i="24"/>
  <c r="ED14" i="24"/>
  <c r="EH14" i="24"/>
  <c r="EL14" i="24"/>
  <c r="EP14" i="24"/>
  <c r="ET14" i="24"/>
  <c r="EX14" i="24"/>
  <c r="FB14" i="24"/>
  <c r="FF14" i="24"/>
  <c r="FJ14" i="24"/>
  <c r="FN14" i="24"/>
  <c r="FR14" i="24"/>
  <c r="I14" i="24"/>
  <c r="L14" i="24"/>
  <c r="T14" i="24"/>
  <c r="AJ14" i="24"/>
  <c r="AV14" i="24"/>
  <c r="BD14" i="24"/>
  <c r="BL14" i="24"/>
  <c r="BT14" i="24"/>
  <c r="CF14" i="24"/>
  <c r="CN14" i="24"/>
  <c r="CR14" i="24"/>
  <c r="CZ14" i="24"/>
  <c r="DP14" i="24"/>
  <c r="DX14" i="24"/>
  <c r="EJ14" i="24"/>
  <c r="EV14" i="24"/>
  <c r="FL14" i="24"/>
  <c r="K14" i="24"/>
  <c r="O14" i="24"/>
  <c r="S14" i="24"/>
  <c r="W14" i="24"/>
  <c r="AA14" i="24"/>
  <c r="AE14" i="24"/>
  <c r="AI14" i="24"/>
  <c r="AM14" i="24"/>
  <c r="AQ14" i="24"/>
  <c r="AU14" i="24"/>
  <c r="AY14" i="24"/>
  <c r="BC14" i="24"/>
  <c r="BG14" i="24"/>
  <c r="BK14" i="24"/>
  <c r="BO14" i="24"/>
  <c r="BS14" i="24"/>
  <c r="BW14" i="24"/>
  <c r="CA14" i="24"/>
  <c r="CE14" i="24"/>
  <c r="CI14" i="24"/>
  <c r="CM14" i="24"/>
  <c r="CQ14" i="24"/>
  <c r="CU14" i="24"/>
  <c r="CY14" i="24"/>
  <c r="DC14" i="24"/>
  <c r="DG14" i="24"/>
  <c r="DK14" i="24"/>
  <c r="DO14" i="24"/>
  <c r="DS14" i="24"/>
  <c r="DW14" i="24"/>
  <c r="EA14" i="24"/>
  <c r="EE14" i="24"/>
  <c r="EI14" i="24"/>
  <c r="EM14" i="24"/>
  <c r="EQ14" i="24"/>
  <c r="EU14" i="24"/>
  <c r="EY14" i="24"/>
  <c r="FC14" i="24"/>
  <c r="FG14" i="24"/>
  <c r="FK14" i="24"/>
  <c r="FO14" i="24"/>
  <c r="FS14" i="24"/>
  <c r="BX14" i="24"/>
  <c r="DH14" i="24"/>
  <c r="EB14" i="24"/>
  <c r="ER14" i="24"/>
  <c r="FD14" i="24"/>
  <c r="FP14" i="24"/>
  <c r="FE170" i="24"/>
  <c r="FH214" i="24"/>
  <c r="FM214" i="24"/>
  <c r="EQ170" i="24"/>
  <c r="BI214" i="24"/>
  <c r="EK214" i="24"/>
  <c r="BP214" i="24"/>
  <c r="CV214" i="24"/>
  <c r="EB214" i="24"/>
  <c r="BQ214" i="24"/>
  <c r="CO214" i="24"/>
  <c r="BN214" i="24"/>
  <c r="CT214" i="24"/>
  <c r="DZ214" i="24"/>
  <c r="FF214" i="24"/>
  <c r="BO214" i="24"/>
  <c r="CU214" i="24"/>
  <c r="EA214" i="24"/>
  <c r="FG214" i="24"/>
  <c r="BD214" i="24"/>
  <c r="FQ214" i="24"/>
  <c r="BR214" i="24"/>
  <c r="CX214" i="24"/>
  <c r="ED214" i="24"/>
  <c r="FJ214" i="24"/>
  <c r="BH214" i="24"/>
  <c r="CN214" i="24"/>
  <c r="DT214" i="24"/>
  <c r="EZ214" i="24"/>
  <c r="FI214" i="24"/>
  <c r="DA214" i="24"/>
  <c r="BG214" i="24"/>
  <c r="CM214" i="24"/>
  <c r="DS214" i="24"/>
  <c r="EY214" i="24"/>
  <c r="DX214" i="24"/>
  <c r="FD214" i="24"/>
  <c r="FT214" i="24"/>
  <c r="EF170" i="24"/>
  <c r="AT214" i="24"/>
  <c r="BZ214" i="24"/>
  <c r="DF214" i="24"/>
  <c r="EL214" i="24"/>
  <c r="FR214" i="24"/>
  <c r="AU214" i="24"/>
  <c r="CA214" i="24"/>
  <c r="DG214" i="24"/>
  <c r="EM214" i="24"/>
  <c r="FS214" i="24"/>
  <c r="BY214" i="24"/>
  <c r="EG214" i="24"/>
  <c r="FL214" i="24"/>
  <c r="CG214" i="24"/>
  <c r="ES214" i="24"/>
  <c r="BS214" i="24"/>
  <c r="CY214" i="24"/>
  <c r="EE214" i="24"/>
  <c r="FK214" i="24"/>
  <c r="DI214" i="24"/>
  <c r="BA214" i="24"/>
  <c r="DY214" i="24"/>
  <c r="BV214" i="24"/>
  <c r="DB214" i="24"/>
  <c r="EH214" i="24"/>
  <c r="FN214" i="24"/>
  <c r="AS214" i="24"/>
  <c r="DU214" i="24"/>
  <c r="DH214" i="24"/>
  <c r="DM214" i="24"/>
  <c r="DQ214" i="24"/>
  <c r="AZ214" i="24"/>
  <c r="CF214" i="24"/>
  <c r="DL214" i="24"/>
  <c r="ER214" i="24"/>
  <c r="EC214" i="24"/>
  <c r="FA214" i="24"/>
  <c r="AX214" i="24"/>
  <c r="CD214" i="24"/>
  <c r="DJ214" i="24"/>
  <c r="EP214" i="24"/>
  <c r="AY214" i="24"/>
  <c r="CE214" i="24"/>
  <c r="DK214" i="24"/>
  <c r="EQ214" i="24"/>
  <c r="FE214" i="24"/>
  <c r="DE214" i="24"/>
  <c r="BB214" i="24"/>
  <c r="CH214" i="24"/>
  <c r="DN214" i="24"/>
  <c r="ET214" i="24"/>
  <c r="CK214" i="24"/>
  <c r="AR214" i="24"/>
  <c r="BX214" i="24"/>
  <c r="DD214" i="24"/>
  <c r="EJ214" i="24"/>
  <c r="BW214" i="24"/>
  <c r="DC214" i="24"/>
  <c r="EI214" i="24"/>
  <c r="FO214" i="24"/>
  <c r="BM214" i="24"/>
  <c r="BL214" i="24"/>
  <c r="EN214" i="24"/>
  <c r="BU214" i="24"/>
  <c r="EO214" i="24"/>
  <c r="BJ214" i="24"/>
  <c r="CP214" i="24"/>
  <c r="DV214" i="24"/>
  <c r="FB214" i="24"/>
  <c r="BK214" i="24"/>
  <c r="CQ214" i="24"/>
  <c r="DW214" i="24"/>
  <c r="FC214" i="24"/>
  <c r="CC214" i="24"/>
  <c r="CS214" i="24"/>
  <c r="BT214" i="24"/>
  <c r="CJ214" i="24"/>
  <c r="CZ214" i="24"/>
  <c r="DP214" i="24"/>
  <c r="EF214" i="24"/>
  <c r="EV214" i="24"/>
  <c r="EW214" i="24"/>
  <c r="BC214" i="24"/>
  <c r="CI214" i="24"/>
  <c r="DO214" i="24"/>
  <c r="EU214" i="24"/>
  <c r="FP214" i="24"/>
  <c r="AW214" i="24"/>
  <c r="CW214" i="24"/>
  <c r="BF214" i="24"/>
  <c r="CL214" i="24"/>
  <c r="DR214" i="24"/>
  <c r="EX214" i="24"/>
  <c r="AV214" i="24"/>
  <c r="CB214" i="24"/>
  <c r="CR214" i="24"/>
  <c r="BE214" i="24"/>
  <c r="CW170" i="24"/>
  <c r="BP170" i="24"/>
  <c r="FH170" i="24"/>
  <c r="BQ170" i="24"/>
  <c r="EG170" i="24"/>
  <c r="EA170" i="24"/>
  <c r="BK170" i="24"/>
  <c r="AV170" i="24"/>
  <c r="FD170" i="24"/>
  <c r="BE170" i="24"/>
  <c r="DM170" i="24"/>
  <c r="FB197" i="24"/>
  <c r="ED170" i="24"/>
  <c r="BG170" i="24"/>
  <c r="CV228" i="24"/>
  <c r="BA170" i="24"/>
  <c r="DM228" i="24"/>
  <c r="ET170" i="24"/>
  <c r="CK170" i="24"/>
  <c r="BH170" i="24"/>
  <c r="EZ170" i="24"/>
  <c r="BW170" i="24"/>
  <c r="EI170" i="24"/>
  <c r="EY170" i="24"/>
  <c r="BM170" i="24"/>
  <c r="BJ170" i="24"/>
  <c r="AU170" i="24"/>
  <c r="CQ170" i="24"/>
  <c r="DG170" i="24"/>
  <c r="CJ170" i="24"/>
  <c r="CZ170" i="24"/>
  <c r="BC170" i="24"/>
  <c r="BS170" i="24"/>
  <c r="EE170" i="24"/>
  <c r="DI170" i="24"/>
  <c r="DB170" i="24"/>
  <c r="DA170" i="24"/>
  <c r="CM170" i="24"/>
  <c r="BV170" i="24"/>
  <c r="EX170" i="24"/>
  <c r="DJ170" i="24"/>
  <c r="CE170" i="24"/>
  <c r="FG170" i="24"/>
  <c r="FL170" i="24"/>
  <c r="CH170" i="24"/>
  <c r="CX228" i="24"/>
  <c r="CH228" i="24"/>
  <c r="CX170" i="24"/>
  <c r="ED197" i="24"/>
  <c r="ET228" i="24"/>
  <c r="EW197" i="24"/>
  <c r="BC197" i="24"/>
  <c r="BS228" i="24"/>
  <c r="DO170" i="24"/>
  <c r="DO197" i="24"/>
  <c r="EE228" i="24"/>
  <c r="FK170" i="24"/>
  <c r="FK197" i="24"/>
  <c r="AO228" i="24"/>
  <c r="DI197" i="24"/>
  <c r="DI228" i="24"/>
  <c r="AR170" i="24"/>
  <c r="AR228" i="24"/>
  <c r="BX197" i="24"/>
  <c r="DD228" i="24"/>
  <c r="DT170" i="24"/>
  <c r="BB170" i="24"/>
  <c r="BR197" i="24"/>
  <c r="BR228" i="24"/>
  <c r="CH197" i="24"/>
  <c r="CX197" i="24"/>
  <c r="DN170" i="24"/>
  <c r="ED228" i="24"/>
  <c r="FJ170" i="24"/>
  <c r="CK197" i="24"/>
  <c r="EW170" i="24"/>
  <c r="BC228" i="24"/>
  <c r="CY170" i="24"/>
  <c r="CY197" i="24"/>
  <c r="DO228" i="24"/>
  <c r="EU197" i="24"/>
  <c r="BX170" i="24"/>
  <c r="CN170" i="24"/>
  <c r="CN228" i="24"/>
  <c r="DD170" i="24"/>
  <c r="BB228" i="24"/>
  <c r="BR170" i="24"/>
  <c r="DN228" i="24"/>
  <c r="FJ197" i="24"/>
  <c r="EW228" i="24"/>
  <c r="BS197" i="24"/>
  <c r="CY228" i="24"/>
  <c r="EE197" i="24"/>
  <c r="EU170" i="24"/>
  <c r="FK228" i="24"/>
  <c r="BH197" i="24"/>
  <c r="BX228" i="24"/>
  <c r="CN197" i="24"/>
  <c r="BB197" i="24"/>
  <c r="DN197" i="24"/>
  <c r="ET197" i="24"/>
  <c r="FJ228" i="24"/>
  <c r="CK228" i="24"/>
  <c r="CI197" i="24"/>
  <c r="CI228" i="24"/>
  <c r="EU228" i="24"/>
  <c r="BH228" i="24"/>
  <c r="DT228" i="24"/>
  <c r="CW197" i="24"/>
  <c r="DT197" i="24"/>
  <c r="EJ170" i="24"/>
  <c r="EJ197" i="24"/>
  <c r="FP228" i="24"/>
  <c r="AW170" i="24"/>
  <c r="BA228" i="24"/>
  <c r="DY170" i="24"/>
  <c r="DY197" i="24"/>
  <c r="DY228" i="24"/>
  <c r="BF170" i="24"/>
  <c r="CL197" i="24"/>
  <c r="CL228" i="24"/>
  <c r="DR170" i="24"/>
  <c r="DR197" i="24"/>
  <c r="EH170" i="24"/>
  <c r="EX228" i="24"/>
  <c r="FM228" i="24"/>
  <c r="BW228" i="24"/>
  <c r="CM197" i="24"/>
  <c r="EI228" i="24"/>
  <c r="EY197" i="24"/>
  <c r="BM197" i="24"/>
  <c r="AV197" i="24"/>
  <c r="BL170" i="24"/>
  <c r="BL228" i="24"/>
  <c r="CB170" i="24"/>
  <c r="CB197" i="24"/>
  <c r="DX170" i="24"/>
  <c r="DX228" i="24"/>
  <c r="FD197" i="24"/>
  <c r="BE228" i="24"/>
  <c r="EO197" i="24"/>
  <c r="EO228" i="24"/>
  <c r="AT197" i="24"/>
  <c r="BZ228" i="24"/>
  <c r="CP197" i="24"/>
  <c r="DV170" i="24"/>
  <c r="EL228" i="24"/>
  <c r="BI197" i="24"/>
  <c r="DQ170" i="24"/>
  <c r="DQ228" i="24"/>
  <c r="AU197" i="24"/>
  <c r="CQ197" i="24"/>
  <c r="CQ228" i="24"/>
  <c r="EM170" i="24"/>
  <c r="EM197" i="24"/>
  <c r="FC228" i="24"/>
  <c r="CC170" i="24"/>
  <c r="EK197" i="24"/>
  <c r="DD197" i="24"/>
  <c r="EJ228" i="24"/>
  <c r="EZ197" i="24"/>
  <c r="EZ228" i="24"/>
  <c r="FP197" i="24"/>
  <c r="FI228" i="24"/>
  <c r="BA197" i="24"/>
  <c r="BV197" i="24"/>
  <c r="BV228" i="24"/>
  <c r="EH228" i="24"/>
  <c r="DA228" i="24"/>
  <c r="FM197" i="24"/>
  <c r="BG197" i="24"/>
  <c r="BG228" i="24"/>
  <c r="BW197" i="24"/>
  <c r="DC197" i="24"/>
  <c r="DS197" i="24"/>
  <c r="DS228" i="24"/>
  <c r="FO170" i="24"/>
  <c r="FO197" i="24"/>
  <c r="BM228" i="24"/>
  <c r="DU170" i="24"/>
  <c r="AV228" i="24"/>
  <c r="CR197" i="24"/>
  <c r="DH197" i="24"/>
  <c r="DH228" i="24"/>
  <c r="EN170" i="24"/>
  <c r="EN197" i="24"/>
  <c r="FT197" i="24"/>
  <c r="FT228" i="24"/>
  <c r="BU170" i="24"/>
  <c r="BU228" i="24"/>
  <c r="EO170" i="24"/>
  <c r="AT170" i="24"/>
  <c r="BJ197" i="24"/>
  <c r="BJ228" i="24"/>
  <c r="BZ197" i="24"/>
  <c r="DF170" i="24"/>
  <c r="DF197" i="24"/>
  <c r="DV228" i="24"/>
  <c r="FB170" i="24"/>
  <c r="FR170" i="24"/>
  <c r="BI170" i="24"/>
  <c r="CA197" i="24"/>
  <c r="CA228" i="24"/>
  <c r="DG197" i="24"/>
  <c r="DW170" i="24"/>
  <c r="BF197" i="24"/>
  <c r="BF228" i="24"/>
  <c r="DR228" i="24"/>
  <c r="EX197" i="24"/>
  <c r="DA197" i="24"/>
  <c r="AQ228" i="24"/>
  <c r="DC228" i="24"/>
  <c r="EI197" i="24"/>
  <c r="FO228" i="24"/>
  <c r="DU228" i="24"/>
  <c r="CR228" i="24"/>
  <c r="DX197" i="24"/>
  <c r="FD228" i="24"/>
  <c r="BE197" i="24"/>
  <c r="AT228" i="24"/>
  <c r="DF228" i="24"/>
  <c r="FR197" i="24"/>
  <c r="FR228" i="24"/>
  <c r="DQ197" i="24"/>
  <c r="BK197" i="24"/>
  <c r="BK228" i="24"/>
  <c r="FP170" i="24"/>
  <c r="AW197" i="24"/>
  <c r="AW228" i="24"/>
  <c r="CW228" i="24"/>
  <c r="FI170" i="24"/>
  <c r="FI197" i="24"/>
  <c r="AP228" i="24"/>
  <c r="CL170" i="24"/>
  <c r="DB197" i="24"/>
  <c r="DB228" i="24"/>
  <c r="EH197" i="24"/>
  <c r="FN197" i="24"/>
  <c r="FN228" i="24"/>
  <c r="AS170" i="24"/>
  <c r="AS228" i="24"/>
  <c r="FM170" i="24"/>
  <c r="CM228" i="24"/>
  <c r="DC170" i="24"/>
  <c r="DS170" i="24"/>
  <c r="EY228" i="24"/>
  <c r="DU197" i="24"/>
  <c r="BL197" i="24"/>
  <c r="CB228" i="24"/>
  <c r="CR170" i="24"/>
  <c r="DH170" i="24"/>
  <c r="EN228" i="24"/>
  <c r="FT170" i="24"/>
  <c r="DM197" i="24"/>
  <c r="BU197" i="24"/>
  <c r="BZ170" i="24"/>
  <c r="CP170" i="24"/>
  <c r="CP228" i="24"/>
  <c r="DV197" i="24"/>
  <c r="EL197" i="24"/>
  <c r="FB228" i="24"/>
  <c r="BI228" i="24"/>
  <c r="AU228" i="24"/>
  <c r="DG228" i="24"/>
  <c r="DW197" i="24"/>
  <c r="FS228" i="24"/>
  <c r="EK228" i="24"/>
  <c r="DW228" i="24"/>
  <c r="FC170" i="24"/>
  <c r="FC197" i="24"/>
  <c r="CC228" i="24"/>
  <c r="EK170" i="24"/>
  <c r="CF170" i="24"/>
  <c r="CF228" i="24"/>
  <c r="CV170" i="24"/>
  <c r="CV197" i="24"/>
  <c r="DL170" i="24"/>
  <c r="EB170" i="24"/>
  <c r="ER170" i="24"/>
  <c r="ER228" i="24"/>
  <c r="BQ228" i="24"/>
  <c r="EC170" i="24"/>
  <c r="CO170" i="24"/>
  <c r="FA170" i="24"/>
  <c r="AX170" i="24"/>
  <c r="AX197" i="24"/>
  <c r="CD228" i="24"/>
  <c r="EP228" i="24"/>
  <c r="BY197" i="24"/>
  <c r="EG228" i="24"/>
  <c r="AY170" i="24"/>
  <c r="AY197" i="24"/>
  <c r="AY228" i="24"/>
  <c r="CU170" i="24"/>
  <c r="CU197" i="24"/>
  <c r="DK228" i="24"/>
  <c r="FG197" i="24"/>
  <c r="CS170" i="24"/>
  <c r="BD170" i="24"/>
  <c r="BD228" i="24"/>
  <c r="BT197" i="24"/>
  <c r="CZ197" i="24"/>
  <c r="DP197" i="24"/>
  <c r="DP228" i="24"/>
  <c r="EV170" i="24"/>
  <c r="FQ170" i="24"/>
  <c r="DL197" i="24"/>
  <c r="EB197" i="24"/>
  <c r="EC228" i="24"/>
  <c r="FA228" i="24"/>
  <c r="BN228" i="24"/>
  <c r="CT197" i="24"/>
  <c r="DJ197" i="24"/>
  <c r="DZ228" i="24"/>
  <c r="EG197" i="24"/>
  <c r="BO197" i="24"/>
  <c r="CU228" i="24"/>
  <c r="EQ197" i="24"/>
  <c r="FG228" i="24"/>
  <c r="CZ228" i="24"/>
  <c r="EV197" i="24"/>
  <c r="FL228" i="24"/>
  <c r="CG228" i="24"/>
  <c r="ES228" i="24"/>
  <c r="FQ228" i="24"/>
  <c r="AZ197" i="24"/>
  <c r="AZ228" i="24"/>
  <c r="BP197" i="24"/>
  <c r="DL228" i="24"/>
  <c r="FH228" i="24"/>
  <c r="EC197" i="24"/>
  <c r="CO228" i="24"/>
  <c r="FA197" i="24"/>
  <c r="AX228" i="24"/>
  <c r="BN197" i="24"/>
  <c r="CT170" i="24"/>
  <c r="DJ228" i="24"/>
  <c r="DZ197" i="24"/>
  <c r="EP197" i="24"/>
  <c r="BO170" i="24"/>
  <c r="CE228" i="24"/>
  <c r="EQ228" i="24"/>
  <c r="CS197" i="24"/>
  <c r="FE197" i="24"/>
  <c r="FE228" i="24"/>
  <c r="CJ197" i="24"/>
  <c r="CJ228" i="24"/>
  <c r="DP170" i="24"/>
  <c r="EV228" i="24"/>
  <c r="CG197" i="24"/>
  <c r="ES197" i="24"/>
  <c r="DE228" i="24"/>
  <c r="FQ197" i="24"/>
  <c r="EM228" i="24"/>
  <c r="FS170" i="24"/>
  <c r="FS197" i="24"/>
  <c r="CC197" i="24"/>
  <c r="AZ170" i="24"/>
  <c r="BP228" i="24"/>
  <c r="CF197" i="24"/>
  <c r="EB228" i="24"/>
  <c r="ER197" i="24"/>
  <c r="FH197" i="24"/>
  <c r="BQ197" i="24"/>
  <c r="CO197" i="24"/>
  <c r="CD197" i="24"/>
  <c r="CT228" i="24"/>
  <c r="DZ170" i="24"/>
  <c r="EP170" i="24"/>
  <c r="FF197" i="24"/>
  <c r="FF228" i="24"/>
  <c r="BY170" i="24"/>
  <c r="BY228" i="24"/>
  <c r="BO228" i="24"/>
  <c r="CE197" i="24"/>
  <c r="DK170" i="24"/>
  <c r="DK197" i="24"/>
  <c r="EA197" i="24"/>
  <c r="EA228" i="24"/>
  <c r="CS228" i="24"/>
  <c r="BD197" i="24"/>
  <c r="BT170" i="24"/>
  <c r="BT228" i="24"/>
  <c r="EF197" i="24"/>
  <c r="EF228" i="24"/>
  <c r="FL197" i="24"/>
  <c r="CG170" i="24"/>
  <c r="ES170" i="24"/>
  <c r="DE170" i="24"/>
  <c r="DE197" i="24"/>
  <c r="C8" i="16" l="1"/>
  <c r="C9" i="16" s="1"/>
  <c r="A186" i="15"/>
  <c r="B9" i="16"/>
  <c r="Q7" i="15"/>
  <c r="K409" i="45"/>
  <c r="H407" i="45"/>
  <c r="BF29" i="44"/>
  <c r="BG30" i="44" s="1"/>
  <c r="G20" i="53"/>
  <c r="R20" i="53" s="1"/>
  <c r="D21" i="53"/>
  <c r="F21" i="53"/>
  <c r="AD22" i="53"/>
  <c r="J115" i="24"/>
  <c r="H115" i="24"/>
  <c r="E34" i="32"/>
  <c r="E35" i="32" s="1"/>
  <c r="I115" i="24"/>
  <c r="BD30" i="44"/>
  <c r="AZ32" i="44"/>
  <c r="BA31" i="44"/>
  <c r="BH30" i="44"/>
  <c r="BI30" i="44" s="1"/>
  <c r="BJ31" i="44" s="1"/>
  <c r="BE30" i="44"/>
  <c r="BK30" i="44"/>
  <c r="BL30" i="44" s="1"/>
  <c r="BM31" i="44" s="1"/>
  <c r="BB30" i="44"/>
  <c r="BC30" i="44" s="1"/>
  <c r="K21" i="46"/>
  <c r="H21" i="44"/>
  <c r="M22" i="44" s="1"/>
  <c r="E21" i="44"/>
  <c r="D21" i="44" s="1"/>
  <c r="F21" i="44" s="1"/>
  <c r="G21" i="44"/>
  <c r="AF22" i="44"/>
  <c r="AC49" i="46"/>
  <c r="I92" i="24"/>
  <c r="H92" i="24"/>
  <c r="J92" i="24"/>
  <c r="W35" i="39"/>
  <c r="X35" i="39" s="1"/>
  <c r="Q11" i="39"/>
  <c r="Q13" i="39" s="1"/>
  <c r="AE441" i="39"/>
  <c r="AF440" i="39"/>
  <c r="F22" i="39"/>
  <c r="BZ230" i="24"/>
  <c r="ES230" i="24"/>
  <c r="FM230" i="24"/>
  <c r="AZ230" i="24"/>
  <c r="BN230" i="24"/>
  <c r="AY230" i="24"/>
  <c r="FA230" i="24"/>
  <c r="EB230" i="24"/>
  <c r="DH230" i="24"/>
  <c r="CA230" i="24"/>
  <c r="DP230" i="24"/>
  <c r="FN230" i="24"/>
  <c r="BR230" i="24"/>
  <c r="DZ230" i="24"/>
  <c r="EL230" i="24"/>
  <c r="EO230" i="24"/>
  <c r="CH230" i="24"/>
  <c r="AX230" i="24"/>
  <c r="CE230" i="24"/>
  <c r="BV230" i="24"/>
  <c r="DA230" i="24"/>
  <c r="AU230" i="24"/>
  <c r="BK230" i="24"/>
  <c r="FF230" i="24"/>
  <c r="CD230" i="24"/>
  <c r="CI230" i="24"/>
  <c r="EQ230" i="24"/>
  <c r="FE230" i="24"/>
  <c r="CJ230" i="24"/>
  <c r="CK230" i="24"/>
  <c r="ED230" i="24"/>
  <c r="CG230" i="24"/>
  <c r="DK230" i="24"/>
  <c r="EV230" i="24"/>
  <c r="CU230" i="24"/>
  <c r="CO230" i="24"/>
  <c r="DL230" i="24"/>
  <c r="CF230" i="24"/>
  <c r="FC230" i="24"/>
  <c r="CR230" i="24"/>
  <c r="FI230" i="24"/>
  <c r="FP230" i="24"/>
  <c r="DW230" i="24"/>
  <c r="BI230" i="24"/>
  <c r="BU230" i="24"/>
  <c r="CC230" i="24"/>
  <c r="DV230" i="24"/>
  <c r="CB230" i="24"/>
  <c r="EH230" i="24"/>
  <c r="EU230" i="24"/>
  <c r="CN230" i="24"/>
  <c r="CY230" i="24"/>
  <c r="FJ230" i="24"/>
  <c r="CX230" i="24"/>
  <c r="FL230" i="24"/>
  <c r="DB230" i="24"/>
  <c r="BC230" i="24"/>
  <c r="BJ230" i="24"/>
  <c r="BW230" i="24"/>
  <c r="ET230" i="24"/>
  <c r="AV230" i="24"/>
  <c r="EA230" i="24"/>
  <c r="FH230" i="24"/>
  <c r="CW230" i="24"/>
  <c r="EF230" i="24"/>
  <c r="CS230" i="24"/>
  <c r="AW230" i="24"/>
  <c r="BB230" i="24"/>
  <c r="EI230" i="24"/>
  <c r="FD230" i="24"/>
  <c r="BT230" i="24"/>
  <c r="EP230" i="24"/>
  <c r="EC230" i="24"/>
  <c r="EK230" i="24"/>
  <c r="CP230" i="24"/>
  <c r="FT230" i="24"/>
  <c r="DS230" i="24"/>
  <c r="CL230" i="24"/>
  <c r="FR230" i="24"/>
  <c r="DF230" i="24"/>
  <c r="AT230" i="24"/>
  <c r="EN230" i="24"/>
  <c r="FO230" i="24"/>
  <c r="DQ230" i="24"/>
  <c r="BF230" i="24"/>
  <c r="DY230" i="24"/>
  <c r="BX230" i="24"/>
  <c r="DT230" i="24"/>
  <c r="DO230" i="24"/>
  <c r="DJ230" i="24"/>
  <c r="DI230" i="24"/>
  <c r="DG230" i="24"/>
  <c r="BM230" i="24"/>
  <c r="EZ230" i="24"/>
  <c r="DM230" i="24"/>
  <c r="EG230" i="24"/>
  <c r="BP230" i="24"/>
  <c r="EM230" i="24"/>
  <c r="BS230" i="24"/>
  <c r="DE230" i="24"/>
  <c r="BY230" i="24"/>
  <c r="FS230" i="24"/>
  <c r="BO230" i="24"/>
  <c r="CT230" i="24"/>
  <c r="FQ230" i="24"/>
  <c r="BD230" i="24"/>
  <c r="ER230" i="24"/>
  <c r="CV230" i="24"/>
  <c r="DC230" i="24"/>
  <c r="FB230" i="24"/>
  <c r="DU230" i="24"/>
  <c r="DX230" i="24"/>
  <c r="BL230" i="24"/>
  <c r="DR230" i="24"/>
  <c r="EJ230" i="24"/>
  <c r="DD230" i="24"/>
  <c r="EW230" i="24"/>
  <c r="DN230" i="24"/>
  <c r="FK230" i="24"/>
  <c r="FG230" i="24"/>
  <c r="EX230" i="24"/>
  <c r="CM230" i="24"/>
  <c r="EE230" i="24"/>
  <c r="CZ230" i="24"/>
  <c r="CQ230" i="24"/>
  <c r="EY230" i="24"/>
  <c r="BH230" i="24"/>
  <c r="BA230" i="24"/>
  <c r="BG230" i="24"/>
  <c r="BE230" i="24"/>
  <c r="BQ230" i="24"/>
  <c r="A187" i="15" l="1"/>
  <c r="A188" i="15" s="1"/>
  <c r="A189" i="15" s="1"/>
  <c r="A190" i="15" s="1"/>
  <c r="A191" i="15" s="1"/>
  <c r="A192" i="15" s="1"/>
  <c r="A193" i="15" s="1"/>
  <c r="A194" i="15" s="1"/>
  <c r="A195" i="15" s="1"/>
  <c r="A196" i="15" s="1"/>
  <c r="A197" i="15" s="1"/>
  <c r="A198" i="15" s="1"/>
  <c r="A199" i="15" s="1"/>
  <c r="A200" i="15" s="1"/>
  <c r="A201" i="15" s="1"/>
  <c r="G409" i="45"/>
  <c r="L410" i="45" s="1"/>
  <c r="D409" i="45"/>
  <c r="C409" i="45" s="1"/>
  <c r="E409" i="45" s="1"/>
  <c r="F409" i="45"/>
  <c r="BF30" i="44"/>
  <c r="T20" i="53"/>
  <c r="O20" i="53"/>
  <c r="AA20" i="53" s="1"/>
  <c r="AD23" i="53"/>
  <c r="L22" i="53"/>
  <c r="H22" i="53" s="1"/>
  <c r="I20" i="53"/>
  <c r="M21" i="53" s="1"/>
  <c r="M22" i="53" s="1"/>
  <c r="BD31" i="44"/>
  <c r="BE31" i="44"/>
  <c r="BH31" i="44"/>
  <c r="BI31" i="44" s="1"/>
  <c r="BJ32" i="44" s="1"/>
  <c r="BK31" i="44"/>
  <c r="BL31" i="44" s="1"/>
  <c r="BM32" i="44" s="1"/>
  <c r="BB31" i="44"/>
  <c r="BC31" i="44" s="1"/>
  <c r="BA32" i="44"/>
  <c r="AZ33" i="44"/>
  <c r="AF23" i="44"/>
  <c r="AF24" i="44" s="1"/>
  <c r="AF25" i="44" s="1"/>
  <c r="AF26" i="44" s="1"/>
  <c r="AF27" i="44" s="1"/>
  <c r="AF28" i="44" s="1"/>
  <c r="AF29" i="44" s="1"/>
  <c r="AF30" i="44" s="1"/>
  <c r="AF31" i="44" s="1"/>
  <c r="AF32" i="44" s="1"/>
  <c r="AF33" i="44" s="1"/>
  <c r="AF34" i="44" s="1"/>
  <c r="AF35" i="44" s="1"/>
  <c r="AF36" i="44" s="1"/>
  <c r="AF37" i="44" s="1"/>
  <c r="AF38" i="44" s="1"/>
  <c r="AF39" i="44" s="1"/>
  <c r="AF40" i="44" s="1"/>
  <c r="AF41" i="44" s="1"/>
  <c r="AF42" i="44" s="1"/>
  <c r="AF43" i="44" s="1"/>
  <c r="AF44" i="44" s="1"/>
  <c r="AF45" i="44" s="1"/>
  <c r="F21" i="46"/>
  <c r="D21" i="46"/>
  <c r="C21" i="46" s="1"/>
  <c r="E21" i="46" s="1"/>
  <c r="G21" i="46"/>
  <c r="L22" i="46" s="1"/>
  <c r="L22" i="44"/>
  <c r="I20" i="44"/>
  <c r="W36" i="39"/>
  <c r="X36" i="39"/>
  <c r="W37" i="39" s="1"/>
  <c r="X37" i="39" s="1"/>
  <c r="W38" i="39" s="1"/>
  <c r="X38" i="39" s="1"/>
  <c r="E36" i="32"/>
  <c r="AE442" i="39"/>
  <c r="AF441" i="39"/>
  <c r="F23" i="39"/>
  <c r="BD32" i="44" l="1"/>
  <c r="K410" i="45"/>
  <c r="H408" i="45"/>
  <c r="BF31" i="44"/>
  <c r="BG31" i="44"/>
  <c r="C21" i="53"/>
  <c r="E21" i="53" s="1"/>
  <c r="F22" i="53"/>
  <c r="D22" i="53"/>
  <c r="AD24" i="53"/>
  <c r="BA33" i="44"/>
  <c r="AZ34" i="44"/>
  <c r="BK32" i="44"/>
  <c r="BH32" i="44"/>
  <c r="BI32" i="44" s="1"/>
  <c r="BJ33" i="44" s="1"/>
  <c r="BE32" i="44"/>
  <c r="BB32" i="44"/>
  <c r="BC32" i="44" s="1"/>
  <c r="H22" i="44"/>
  <c r="M23" i="44" s="1"/>
  <c r="G22" i="44"/>
  <c r="E22" i="44"/>
  <c r="D22" i="44" s="1"/>
  <c r="F22" i="44" s="1"/>
  <c r="AF46" i="44"/>
  <c r="K22" i="46"/>
  <c r="H20" i="46"/>
  <c r="W39" i="39"/>
  <c r="X39" i="39"/>
  <c r="W40" i="39" s="1"/>
  <c r="X40" i="39" s="1"/>
  <c r="W41" i="39" s="1"/>
  <c r="X41" i="39" s="1"/>
  <c r="E37" i="32"/>
  <c r="F24" i="39"/>
  <c r="AE443" i="39"/>
  <c r="AF442" i="39"/>
  <c r="BD33" i="44" l="1"/>
  <c r="D410" i="45"/>
  <c r="C410" i="45" s="1"/>
  <c r="E410" i="45" s="1"/>
  <c r="F410" i="45"/>
  <c r="G410" i="45"/>
  <c r="L411" i="45" s="1"/>
  <c r="BG32" i="44"/>
  <c r="BF32" i="44"/>
  <c r="AD25" i="53"/>
  <c r="L23" i="53"/>
  <c r="H23" i="53" s="1"/>
  <c r="I21" i="53"/>
  <c r="G21" i="53"/>
  <c r="BL32" i="44"/>
  <c r="BM33" i="44" s="1"/>
  <c r="BA34" i="44"/>
  <c r="AZ35" i="44"/>
  <c r="BK33" i="44"/>
  <c r="BL33" i="44" s="1"/>
  <c r="BB33" i="44"/>
  <c r="BC33" i="44" s="1"/>
  <c r="BH33" i="44"/>
  <c r="BI33" i="44" s="1"/>
  <c r="BJ34" i="44" s="1"/>
  <c r="BE33" i="44"/>
  <c r="BF33" i="44" s="1"/>
  <c r="AF47" i="44"/>
  <c r="L23" i="44"/>
  <c r="I21" i="44"/>
  <c r="D22" i="46"/>
  <c r="C22" i="46" s="1"/>
  <c r="E22" i="46" s="1"/>
  <c r="G22" i="46"/>
  <c r="L23" i="46" s="1"/>
  <c r="F22" i="46"/>
  <c r="W42" i="39"/>
  <c r="X42" i="39"/>
  <c r="E38" i="32"/>
  <c r="AE444" i="39"/>
  <c r="AF443" i="39"/>
  <c r="F25" i="39"/>
  <c r="BD34" i="44" l="1"/>
  <c r="K411" i="45"/>
  <c r="H409" i="45"/>
  <c r="BG33" i="44"/>
  <c r="BG34" i="44" s="1"/>
  <c r="C22" i="53"/>
  <c r="E22" i="53" s="1"/>
  <c r="F23" i="53"/>
  <c r="D23" i="53"/>
  <c r="AD26" i="53"/>
  <c r="BM34" i="44"/>
  <c r="BA35" i="44"/>
  <c r="AZ36" i="44"/>
  <c r="BB34" i="44"/>
  <c r="BC34" i="44" s="1"/>
  <c r="BH34" i="44"/>
  <c r="BI34" i="44" s="1"/>
  <c r="BJ35" i="44" s="1"/>
  <c r="BE34" i="44"/>
  <c r="BF34" i="44" s="1"/>
  <c r="BK34" i="44"/>
  <c r="BL34" i="44" s="1"/>
  <c r="AF48" i="44"/>
  <c r="K23" i="46"/>
  <c r="H21" i="46"/>
  <c r="G23" i="44"/>
  <c r="H23" i="44"/>
  <c r="M24" i="44" s="1"/>
  <c r="E23" i="44"/>
  <c r="D23" i="44" s="1"/>
  <c r="F23" i="44" s="1"/>
  <c r="W43" i="39"/>
  <c r="X43" i="39"/>
  <c r="W44" i="39" s="1"/>
  <c r="X44" i="39" s="1"/>
  <c r="W45" i="39" s="1"/>
  <c r="X45" i="39" s="1"/>
  <c r="E39" i="32"/>
  <c r="F26" i="39"/>
  <c r="AE445" i="39"/>
  <c r="AF444" i="39"/>
  <c r="BD35" i="44" l="1"/>
  <c r="D411" i="45"/>
  <c r="C411" i="45" s="1"/>
  <c r="E411" i="45" s="1"/>
  <c r="F411" i="45"/>
  <c r="G411" i="45"/>
  <c r="L412" i="45" s="1"/>
  <c r="BG35" i="44"/>
  <c r="G22" i="53"/>
  <c r="AD27" i="53"/>
  <c r="L24" i="53"/>
  <c r="H24" i="53" s="1"/>
  <c r="I22" i="53"/>
  <c r="M23" i="53" s="1"/>
  <c r="BM35" i="44"/>
  <c r="AZ37" i="44"/>
  <c r="BA36" i="44"/>
  <c r="BE35" i="44"/>
  <c r="BF35" i="44" s="1"/>
  <c r="BG36" i="44" s="1"/>
  <c r="BH35" i="44"/>
  <c r="BI35" i="44" s="1"/>
  <c r="BJ36" i="44" s="1"/>
  <c r="BK35" i="44"/>
  <c r="BL35" i="44" s="1"/>
  <c r="BB35" i="44"/>
  <c r="BC35" i="44" s="1"/>
  <c r="D23" i="46"/>
  <c r="C23" i="46" s="1"/>
  <c r="E23" i="46" s="1"/>
  <c r="G23" i="46"/>
  <c r="L24" i="46" s="1"/>
  <c r="F23" i="46"/>
  <c r="L24" i="44"/>
  <c r="H24" i="44" s="1"/>
  <c r="I22" i="44"/>
  <c r="AF49" i="44"/>
  <c r="E40" i="32"/>
  <c r="AE446" i="39"/>
  <c r="AF445" i="39"/>
  <c r="F27" i="39"/>
  <c r="BD36" i="44" l="1"/>
  <c r="BM36" i="44"/>
  <c r="K412" i="45"/>
  <c r="H410" i="45"/>
  <c r="C23" i="53"/>
  <c r="E23" i="53" s="1"/>
  <c r="AD28" i="53"/>
  <c r="F24" i="53"/>
  <c r="D24" i="53"/>
  <c r="BH36" i="44"/>
  <c r="BI36" i="44" s="1"/>
  <c r="BJ37" i="44" s="1"/>
  <c r="BB36" i="44"/>
  <c r="BC36" i="44" s="1"/>
  <c r="BK36" i="44"/>
  <c r="BL36" i="44" s="1"/>
  <c r="BE36" i="44"/>
  <c r="BF36" i="44" s="1"/>
  <c r="BG37" i="44" s="1"/>
  <c r="AZ38" i="44"/>
  <c r="BA37" i="44"/>
  <c r="K24" i="46"/>
  <c r="H22" i="46"/>
  <c r="E24" i="44"/>
  <c r="D24" i="44" s="1"/>
  <c r="F24" i="44" s="1"/>
  <c r="G24" i="44"/>
  <c r="M25" i="44"/>
  <c r="E41" i="32"/>
  <c r="F28" i="39"/>
  <c r="AE447" i="39"/>
  <c r="AF446" i="39"/>
  <c r="BD37" i="44" l="1"/>
  <c r="BM37" i="44"/>
  <c r="F412" i="45"/>
  <c r="D412" i="45"/>
  <c r="C412" i="45" s="1"/>
  <c r="E412" i="45" s="1"/>
  <c r="G412" i="45"/>
  <c r="L413" i="45" s="1"/>
  <c r="AD29" i="53"/>
  <c r="L25" i="53"/>
  <c r="H25" i="53" s="1"/>
  <c r="I23" i="53"/>
  <c r="M24" i="53" s="1"/>
  <c r="G23" i="53"/>
  <c r="BK37" i="44"/>
  <c r="BL37" i="44" s="1"/>
  <c r="BM38" i="44" s="1"/>
  <c r="BB37" i="44"/>
  <c r="BC37" i="44" s="1"/>
  <c r="BD38" i="44" s="1"/>
  <c r="BE37" i="44"/>
  <c r="BF37" i="44" s="1"/>
  <c r="BG38" i="44" s="1"/>
  <c r="BH37" i="44"/>
  <c r="BI37" i="44" s="1"/>
  <c r="BJ38" i="44" s="1"/>
  <c r="BA38" i="44"/>
  <c r="AZ39" i="44"/>
  <c r="L25" i="44"/>
  <c r="H25" i="44" s="1"/>
  <c r="I23" i="44"/>
  <c r="G24" i="46"/>
  <c r="L25" i="46" s="1"/>
  <c r="F24" i="46"/>
  <c r="D24" i="46"/>
  <c r="C24" i="46" s="1"/>
  <c r="E24" i="46" s="1"/>
  <c r="F29" i="39"/>
  <c r="AE448" i="39"/>
  <c r="AF447" i="39"/>
  <c r="K413" i="45" l="1"/>
  <c r="H411" i="45"/>
  <c r="C24" i="53"/>
  <c r="E24" i="53" s="1"/>
  <c r="D25" i="53"/>
  <c r="F25" i="53"/>
  <c r="AD30" i="53"/>
  <c r="AZ40" i="44"/>
  <c r="BA39" i="44"/>
  <c r="BB38" i="44"/>
  <c r="BC38" i="44" s="1"/>
  <c r="BD39" i="44" s="1"/>
  <c r="BE38" i="44"/>
  <c r="BF38" i="44" s="1"/>
  <c r="BG39" i="44" s="1"/>
  <c r="BH38" i="44"/>
  <c r="BI38" i="44" s="1"/>
  <c r="BJ39" i="44" s="1"/>
  <c r="BK38" i="44"/>
  <c r="BL38" i="44" s="1"/>
  <c r="BM39" i="44" s="1"/>
  <c r="K25" i="46"/>
  <c r="H23" i="46"/>
  <c r="G25" i="44"/>
  <c r="E25" i="44"/>
  <c r="D25" i="44" s="1"/>
  <c r="F25" i="44" s="1"/>
  <c r="M26" i="44"/>
  <c r="AE449" i="39"/>
  <c r="AF448" i="39"/>
  <c r="F30" i="39"/>
  <c r="F413" i="45" l="1"/>
  <c r="G413" i="45"/>
  <c r="L414" i="45" s="1"/>
  <c r="D413" i="45"/>
  <c r="C413" i="45" s="1"/>
  <c r="E413" i="45" s="1"/>
  <c r="AD31" i="53"/>
  <c r="L26" i="53"/>
  <c r="H26" i="53" s="1"/>
  <c r="I24" i="53"/>
  <c r="M25" i="53" s="1"/>
  <c r="G24" i="53"/>
  <c r="BK39" i="44"/>
  <c r="BL39" i="44" s="1"/>
  <c r="BM40" i="44" s="1"/>
  <c r="BE39" i="44"/>
  <c r="BF39" i="44" s="1"/>
  <c r="BG40" i="44" s="1"/>
  <c r="BH39" i="44"/>
  <c r="BI39" i="44" s="1"/>
  <c r="BJ40" i="44" s="1"/>
  <c r="BB39" i="44"/>
  <c r="BC39" i="44" s="1"/>
  <c r="BD40" i="44" s="1"/>
  <c r="BA40" i="44"/>
  <c r="AZ41" i="44"/>
  <c r="L26" i="44"/>
  <c r="G26" i="44" s="1"/>
  <c r="I25" i="44" s="1"/>
  <c r="I24" i="44"/>
  <c r="D25" i="46"/>
  <c r="C25" i="46" s="1"/>
  <c r="E25" i="46" s="1"/>
  <c r="F25" i="46"/>
  <c r="G25" i="46"/>
  <c r="L26" i="46" s="1"/>
  <c r="F31" i="39"/>
  <c r="AE450" i="39"/>
  <c r="AF449" i="39"/>
  <c r="K414" i="45" l="1"/>
  <c r="H412" i="45"/>
  <c r="C25" i="53"/>
  <c r="E25" i="53" s="1"/>
  <c r="G25" i="53" s="1"/>
  <c r="F26" i="53"/>
  <c r="D26" i="53"/>
  <c r="AD32" i="53"/>
  <c r="AZ42" i="44"/>
  <c r="BA41" i="44"/>
  <c r="BH40" i="44"/>
  <c r="BI40" i="44" s="1"/>
  <c r="BJ41" i="44" s="1"/>
  <c r="BB40" i="44"/>
  <c r="BC40" i="44" s="1"/>
  <c r="BD41" i="44" s="1"/>
  <c r="BK40" i="44"/>
  <c r="BL40" i="44" s="1"/>
  <c r="BM41" i="44" s="1"/>
  <c r="BE40" i="44"/>
  <c r="BF40" i="44" s="1"/>
  <c r="BG41" i="44" s="1"/>
  <c r="K26" i="46"/>
  <c r="H24" i="46"/>
  <c r="H26" i="44"/>
  <c r="M27" i="44" s="1"/>
  <c r="E26" i="44"/>
  <c r="D26" i="44" s="1"/>
  <c r="F26" i="44" s="1"/>
  <c r="AE451" i="39"/>
  <c r="AF450" i="39"/>
  <c r="F32" i="39"/>
  <c r="G414" i="45" l="1"/>
  <c r="L415" i="45" s="1"/>
  <c r="D414" i="45"/>
  <c r="C414" i="45" s="1"/>
  <c r="E414" i="45" s="1"/>
  <c r="F414" i="45"/>
  <c r="AD33" i="53"/>
  <c r="L27" i="53"/>
  <c r="H27" i="53" s="1"/>
  <c r="I25" i="53"/>
  <c r="M26" i="53" s="1"/>
  <c r="BH41" i="44"/>
  <c r="BI41" i="44" s="1"/>
  <c r="BJ42" i="44" s="1"/>
  <c r="BB41" i="44"/>
  <c r="BC41" i="44" s="1"/>
  <c r="BD42" i="44" s="1"/>
  <c r="BK41" i="44"/>
  <c r="BL41" i="44" s="1"/>
  <c r="BM42" i="44" s="1"/>
  <c r="BE41" i="44"/>
  <c r="BF41" i="44" s="1"/>
  <c r="BG42" i="44" s="1"/>
  <c r="AZ43" i="44"/>
  <c r="BA42" i="44"/>
  <c r="L27" i="44"/>
  <c r="D26" i="46"/>
  <c r="C26" i="46" s="1"/>
  <c r="E26" i="46" s="1"/>
  <c r="F26" i="46"/>
  <c r="G26" i="46"/>
  <c r="L27" i="46" s="1"/>
  <c r="F33" i="39"/>
  <c r="AE452" i="39"/>
  <c r="AF451" i="39"/>
  <c r="K415" i="45" l="1"/>
  <c r="H413" i="45"/>
  <c r="C26" i="53"/>
  <c r="E26" i="53" s="1"/>
  <c r="G26" i="53" s="1"/>
  <c r="F27" i="53"/>
  <c r="D27" i="53"/>
  <c r="AD34" i="53"/>
  <c r="BH42" i="44"/>
  <c r="BI42" i="44" s="1"/>
  <c r="BJ43" i="44" s="1"/>
  <c r="BB42" i="44"/>
  <c r="BC42" i="44" s="1"/>
  <c r="BD43" i="44" s="1"/>
  <c r="BE42" i="44"/>
  <c r="BF42" i="44" s="1"/>
  <c r="BG43" i="44" s="1"/>
  <c r="BK42" i="44"/>
  <c r="BL42" i="44" s="1"/>
  <c r="BM43" i="44" s="1"/>
  <c r="BA43" i="44"/>
  <c r="AZ44" i="44"/>
  <c r="G27" i="44"/>
  <c r="E27" i="44"/>
  <c r="D27" i="44" s="1"/>
  <c r="F27" i="44" s="1"/>
  <c r="H27" i="44"/>
  <c r="M28" i="44" s="1"/>
  <c r="K27" i="46"/>
  <c r="H25" i="46"/>
  <c r="F34" i="39"/>
  <c r="AE453" i="39"/>
  <c r="AF452" i="39"/>
  <c r="D415" i="45" l="1"/>
  <c r="C415" i="45" s="1"/>
  <c r="E415" i="45" s="1"/>
  <c r="G415" i="45"/>
  <c r="L416" i="45" s="1"/>
  <c r="F415" i="45"/>
  <c r="L28" i="53"/>
  <c r="H28" i="53" s="1"/>
  <c r="I26" i="53"/>
  <c r="M27" i="53" s="1"/>
  <c r="AD35" i="53"/>
  <c r="AZ45" i="44"/>
  <c r="BA44" i="44"/>
  <c r="BB43" i="44"/>
  <c r="BC43" i="44" s="1"/>
  <c r="BD44" i="44" s="1"/>
  <c r="BE43" i="44"/>
  <c r="BF43" i="44" s="1"/>
  <c r="BG44" i="44" s="1"/>
  <c r="BK43" i="44"/>
  <c r="BL43" i="44" s="1"/>
  <c r="BM44" i="44" s="1"/>
  <c r="BH43" i="44"/>
  <c r="BI43" i="44" s="1"/>
  <c r="BJ44" i="44" s="1"/>
  <c r="L28" i="44"/>
  <c r="I26" i="44"/>
  <c r="D27" i="46"/>
  <c r="C27" i="46" s="1"/>
  <c r="E27" i="46" s="1"/>
  <c r="F27" i="46"/>
  <c r="G27" i="46"/>
  <c r="L28" i="46" s="1"/>
  <c r="F35" i="39"/>
  <c r="AE454" i="39"/>
  <c r="AF453" i="39"/>
  <c r="K416" i="45" l="1"/>
  <c r="H414" i="45"/>
  <c r="AD36" i="53"/>
  <c r="C27" i="53"/>
  <c r="E27" i="53" s="1"/>
  <c r="G27" i="53" s="1"/>
  <c r="D28" i="53"/>
  <c r="F28" i="53"/>
  <c r="BK44" i="44"/>
  <c r="BL44" i="44" s="1"/>
  <c r="BM45" i="44" s="1"/>
  <c r="BB44" i="44"/>
  <c r="BC44" i="44" s="1"/>
  <c r="BD45" i="44" s="1"/>
  <c r="BE44" i="44"/>
  <c r="BF44" i="44" s="1"/>
  <c r="BG45" i="44" s="1"/>
  <c r="BH44" i="44"/>
  <c r="BI44" i="44" s="1"/>
  <c r="BJ45" i="44" s="1"/>
  <c r="AZ46" i="44"/>
  <c r="BA45" i="44"/>
  <c r="K28" i="46"/>
  <c r="H26" i="46"/>
  <c r="G28" i="44"/>
  <c r="E28" i="44"/>
  <c r="D28" i="44" s="1"/>
  <c r="F28" i="44" s="1"/>
  <c r="H28" i="44"/>
  <c r="M29" i="44" s="1"/>
  <c r="F36" i="39"/>
  <c r="AE455" i="39"/>
  <c r="AF454" i="39"/>
  <c r="F416" i="45" l="1"/>
  <c r="D416" i="45"/>
  <c r="C416" i="45" s="1"/>
  <c r="E416" i="45" s="1"/>
  <c r="G416" i="45"/>
  <c r="L417" i="45" s="1"/>
  <c r="L29" i="53"/>
  <c r="H29" i="53" s="1"/>
  <c r="I27" i="53"/>
  <c r="M28" i="53" s="1"/>
  <c r="AD37" i="53"/>
  <c r="BE45" i="44"/>
  <c r="BF45" i="44" s="1"/>
  <c r="BG46" i="44" s="1"/>
  <c r="BH45" i="44"/>
  <c r="BI45" i="44" s="1"/>
  <c r="BJ46" i="44" s="1"/>
  <c r="BK45" i="44"/>
  <c r="BL45" i="44" s="1"/>
  <c r="BM46" i="44" s="1"/>
  <c r="BB45" i="44"/>
  <c r="BC45" i="44" s="1"/>
  <c r="BD46" i="44" s="1"/>
  <c r="BA46" i="44"/>
  <c r="AZ47" i="44"/>
  <c r="L29" i="44"/>
  <c r="I27" i="44"/>
  <c r="F28" i="46"/>
  <c r="D28" i="46"/>
  <c r="C28" i="46" s="1"/>
  <c r="E28" i="46" s="1"/>
  <c r="G28" i="46"/>
  <c r="L29" i="46" s="1"/>
  <c r="AE456" i="39"/>
  <c r="AF455" i="39"/>
  <c r="F37" i="39"/>
  <c r="K417" i="45" l="1"/>
  <c r="H415" i="45"/>
  <c r="AD38" i="53"/>
  <c r="C28" i="53"/>
  <c r="E28" i="53" s="1"/>
  <c r="G28" i="53" s="1"/>
  <c r="F29" i="53"/>
  <c r="D29" i="53"/>
  <c r="AZ48" i="44"/>
  <c r="BA47" i="44"/>
  <c r="BH46" i="44"/>
  <c r="BI46" i="44" s="1"/>
  <c r="BJ47" i="44" s="1"/>
  <c r="BK46" i="44"/>
  <c r="BL46" i="44" s="1"/>
  <c r="BM47" i="44" s="1"/>
  <c r="BB46" i="44"/>
  <c r="BC46" i="44" s="1"/>
  <c r="BD47" i="44" s="1"/>
  <c r="BE46" i="44"/>
  <c r="BF46" i="44" s="1"/>
  <c r="BG47" i="44" s="1"/>
  <c r="K29" i="46"/>
  <c r="H27" i="46"/>
  <c r="G29" i="44"/>
  <c r="E29" i="44"/>
  <c r="D29" i="44" s="1"/>
  <c r="F29" i="44" s="1"/>
  <c r="H29" i="44"/>
  <c r="M30" i="44" s="1"/>
  <c r="F38" i="39"/>
  <c r="AE457" i="39"/>
  <c r="AF456" i="39"/>
  <c r="F417" i="45" l="1"/>
  <c r="G417" i="45"/>
  <c r="L418" i="45" s="1"/>
  <c r="D417" i="45"/>
  <c r="C417" i="45" s="1"/>
  <c r="E417" i="45" s="1"/>
  <c r="L30" i="53"/>
  <c r="H30" i="53" s="1"/>
  <c r="I28" i="53"/>
  <c r="M29" i="53" s="1"/>
  <c r="AD39" i="53"/>
  <c r="BB47" i="44"/>
  <c r="BC47" i="44" s="1"/>
  <c r="BD48" i="44" s="1"/>
  <c r="BE47" i="44"/>
  <c r="BF47" i="44" s="1"/>
  <c r="BG48" i="44" s="1"/>
  <c r="BK47" i="44"/>
  <c r="BL47" i="44" s="1"/>
  <c r="BM48" i="44" s="1"/>
  <c r="BH47" i="44"/>
  <c r="BI47" i="44" s="1"/>
  <c r="BJ48" i="44" s="1"/>
  <c r="BA48" i="44"/>
  <c r="AZ49" i="44"/>
  <c r="L30" i="44"/>
  <c r="I28" i="44"/>
  <c r="D29" i="46"/>
  <c r="C29" i="46" s="1"/>
  <c r="E29" i="46" s="1"/>
  <c r="G29" i="46"/>
  <c r="L30" i="46" s="1"/>
  <c r="F29" i="46"/>
  <c r="F39" i="39"/>
  <c r="AE458" i="39"/>
  <c r="AF457" i="39"/>
  <c r="K418" i="45" l="1"/>
  <c r="H416" i="45"/>
  <c r="AD40" i="53"/>
  <c r="C29" i="53"/>
  <c r="E29" i="53" s="1"/>
  <c r="G29" i="53" s="1"/>
  <c r="D30" i="53"/>
  <c r="F30" i="53"/>
  <c r="AZ50" i="44"/>
  <c r="BA49" i="44"/>
  <c r="BE48" i="44"/>
  <c r="BF48" i="44" s="1"/>
  <c r="BG49" i="44" s="1"/>
  <c r="BH48" i="44"/>
  <c r="BI48" i="44" s="1"/>
  <c r="BJ49" i="44" s="1"/>
  <c r="BK48" i="44"/>
  <c r="BL48" i="44" s="1"/>
  <c r="BM49" i="44" s="1"/>
  <c r="BB48" i="44"/>
  <c r="BC48" i="44" s="1"/>
  <c r="BD49" i="44" s="1"/>
  <c r="K30" i="46"/>
  <c r="H28" i="46"/>
  <c r="G30" i="44"/>
  <c r="E30" i="44"/>
  <c r="D30" i="44" s="1"/>
  <c r="F30" i="44" s="1"/>
  <c r="H30" i="44"/>
  <c r="M31" i="44" s="1"/>
  <c r="F40" i="39"/>
  <c r="AE459" i="39"/>
  <c r="AF458" i="39"/>
  <c r="G418" i="45" l="1"/>
  <c r="L419" i="45" s="1"/>
  <c r="D418" i="45"/>
  <c r="C418" i="45" s="1"/>
  <c r="E418" i="45" s="1"/>
  <c r="F418" i="45"/>
  <c r="L31" i="53"/>
  <c r="H31" i="53" s="1"/>
  <c r="I29" i="53"/>
  <c r="M30" i="53" s="1"/>
  <c r="AD41" i="53"/>
  <c r="BB49" i="44"/>
  <c r="BC49" i="44" s="1"/>
  <c r="BD50" i="44" s="1"/>
  <c r="BK49" i="44"/>
  <c r="BL49" i="44" s="1"/>
  <c r="BM50" i="44" s="1"/>
  <c r="BE49" i="44"/>
  <c r="BF49" i="44" s="1"/>
  <c r="BG50" i="44" s="1"/>
  <c r="BH49" i="44"/>
  <c r="BI49" i="44" s="1"/>
  <c r="BJ50" i="44" s="1"/>
  <c r="AZ51" i="44"/>
  <c r="BA50" i="44"/>
  <c r="L31" i="44"/>
  <c r="I29" i="44"/>
  <c r="D30" i="46"/>
  <c r="C30" i="46" s="1"/>
  <c r="E30" i="46" s="1"/>
  <c r="F30" i="46"/>
  <c r="G30" i="46"/>
  <c r="L31" i="46" s="1"/>
  <c r="AE460" i="39"/>
  <c r="AF459" i="39"/>
  <c r="F41" i="39"/>
  <c r="K419" i="45" l="1"/>
  <c r="H417" i="45"/>
  <c r="AD42" i="53"/>
  <c r="C30" i="53"/>
  <c r="E30" i="53" s="1"/>
  <c r="G30" i="53" s="1"/>
  <c r="D31" i="53"/>
  <c r="F31" i="53"/>
  <c r="BE50" i="44"/>
  <c r="BF50" i="44" s="1"/>
  <c r="BG51" i="44" s="1"/>
  <c r="BH50" i="44"/>
  <c r="BI50" i="44" s="1"/>
  <c r="BJ51" i="44" s="1"/>
  <c r="BK50" i="44"/>
  <c r="BL50" i="44" s="1"/>
  <c r="BM51" i="44" s="1"/>
  <c r="BB50" i="44"/>
  <c r="BC50" i="44" s="1"/>
  <c r="BD51" i="44" s="1"/>
  <c r="AZ52" i="44"/>
  <c r="BA51" i="44"/>
  <c r="K31" i="46"/>
  <c r="H29" i="46"/>
  <c r="H31" i="44"/>
  <c r="M32" i="44" s="1"/>
  <c r="E31" i="44"/>
  <c r="D31" i="44" s="1"/>
  <c r="F31" i="44" s="1"/>
  <c r="G31" i="44"/>
  <c r="AE461" i="39"/>
  <c r="AF460" i="39"/>
  <c r="F42" i="39"/>
  <c r="D419" i="45" l="1"/>
  <c r="C419" i="45" s="1"/>
  <c r="E419" i="45" s="1"/>
  <c r="G419" i="45"/>
  <c r="L420" i="45" s="1"/>
  <c r="F419" i="45"/>
  <c r="L32" i="53"/>
  <c r="H32" i="53" s="1"/>
  <c r="I30" i="53"/>
  <c r="M31" i="53" s="1"/>
  <c r="AD43" i="53"/>
  <c r="BK51" i="44"/>
  <c r="BL51" i="44" s="1"/>
  <c r="BM52" i="44" s="1"/>
  <c r="BE51" i="44"/>
  <c r="BF51" i="44" s="1"/>
  <c r="BG52" i="44" s="1"/>
  <c r="BH51" i="44"/>
  <c r="BI51" i="44" s="1"/>
  <c r="BJ52" i="44" s="1"/>
  <c r="BB51" i="44"/>
  <c r="BC51" i="44" s="1"/>
  <c r="BD52" i="44" s="1"/>
  <c r="BA52" i="44"/>
  <c r="AZ53" i="44"/>
  <c r="L32" i="44"/>
  <c r="I30" i="44"/>
  <c r="G31" i="46"/>
  <c r="L32" i="46" s="1"/>
  <c r="D31" i="46"/>
  <c r="C31" i="46" s="1"/>
  <c r="E31" i="46" s="1"/>
  <c r="F31" i="46"/>
  <c r="AE462" i="39"/>
  <c r="AF461" i="39"/>
  <c r="F43" i="39"/>
  <c r="K420" i="45" l="1"/>
  <c r="H418" i="45"/>
  <c r="AD44" i="53"/>
  <c r="C31" i="53"/>
  <c r="E31" i="53" s="1"/>
  <c r="G31" i="53" s="1"/>
  <c r="F32" i="53"/>
  <c r="D32" i="53"/>
  <c r="BA53" i="44"/>
  <c r="AZ54" i="44"/>
  <c r="BK52" i="44"/>
  <c r="BL52" i="44" s="1"/>
  <c r="BM53" i="44" s="1"/>
  <c r="BE52" i="44"/>
  <c r="BF52" i="44" s="1"/>
  <c r="BG53" i="44" s="1"/>
  <c r="BH52" i="44"/>
  <c r="BI52" i="44" s="1"/>
  <c r="BJ53" i="44" s="1"/>
  <c r="BB52" i="44"/>
  <c r="BC52" i="44" s="1"/>
  <c r="BD53" i="44" s="1"/>
  <c r="K32" i="46"/>
  <c r="H30" i="46"/>
  <c r="E32" i="44"/>
  <c r="D32" i="44" s="1"/>
  <c r="F32" i="44" s="1"/>
  <c r="H32" i="44"/>
  <c r="M33" i="44" s="1"/>
  <c r="G32" i="44"/>
  <c r="F44" i="39"/>
  <c r="AE463" i="39"/>
  <c r="AF462" i="39"/>
  <c r="F420" i="45" l="1"/>
  <c r="D420" i="45"/>
  <c r="C420" i="45" s="1"/>
  <c r="E420" i="45" s="1"/>
  <c r="G420" i="45"/>
  <c r="L421" i="45" s="1"/>
  <c r="L33" i="53"/>
  <c r="H33" i="53" s="1"/>
  <c r="I31" i="53"/>
  <c r="M32" i="53" s="1"/>
  <c r="AD45" i="53"/>
  <c r="AZ55" i="44"/>
  <c r="BA54" i="44"/>
  <c r="BB53" i="44"/>
  <c r="BC53" i="44" s="1"/>
  <c r="BD54" i="44" s="1"/>
  <c r="BE53" i="44"/>
  <c r="BF53" i="44" s="1"/>
  <c r="BG54" i="44" s="1"/>
  <c r="BH53" i="44"/>
  <c r="BI53" i="44" s="1"/>
  <c r="BJ54" i="44" s="1"/>
  <c r="BK53" i="44"/>
  <c r="BL53" i="44" s="1"/>
  <c r="BM54" i="44" s="1"/>
  <c r="L33" i="44"/>
  <c r="I31" i="44"/>
  <c r="G32" i="46"/>
  <c r="L33" i="46" s="1"/>
  <c r="D32" i="46"/>
  <c r="C32" i="46" s="1"/>
  <c r="E32" i="46" s="1"/>
  <c r="F32" i="46"/>
  <c r="AE464" i="39"/>
  <c r="AF464" i="39" s="1"/>
  <c r="AF463" i="39"/>
  <c r="F45" i="39"/>
  <c r="K421" i="45" l="1"/>
  <c r="H419" i="45"/>
  <c r="AD46" i="53"/>
  <c r="C32" i="53"/>
  <c r="E32" i="53" s="1"/>
  <c r="G32" i="53" s="1"/>
  <c r="F33" i="53"/>
  <c r="D33" i="53"/>
  <c r="BH54" i="44"/>
  <c r="BI54" i="44" s="1"/>
  <c r="BJ55" i="44" s="1"/>
  <c r="BK54" i="44"/>
  <c r="BL54" i="44" s="1"/>
  <c r="BM55" i="44" s="1"/>
  <c r="BB54" i="44"/>
  <c r="BC54" i="44" s="1"/>
  <c r="BD55" i="44" s="1"/>
  <c r="BE54" i="44"/>
  <c r="BF54" i="44" s="1"/>
  <c r="BG55" i="44" s="1"/>
  <c r="AZ56" i="44"/>
  <c r="BA55" i="44"/>
  <c r="H33" i="44"/>
  <c r="M34" i="44" s="1"/>
  <c r="E33" i="44"/>
  <c r="D33" i="44" s="1"/>
  <c r="F33" i="44" s="1"/>
  <c r="G33" i="44"/>
  <c r="K33" i="46"/>
  <c r="H31" i="46"/>
  <c r="F421" i="45" l="1"/>
  <c r="G421" i="45"/>
  <c r="L422" i="45" s="1"/>
  <c r="D421" i="45"/>
  <c r="C421" i="45" s="1"/>
  <c r="E421" i="45" s="1"/>
  <c r="L34" i="53"/>
  <c r="H34" i="53" s="1"/>
  <c r="I32" i="53"/>
  <c r="M33" i="53" s="1"/>
  <c r="AD47" i="53"/>
  <c r="BB55" i="44"/>
  <c r="BC55" i="44" s="1"/>
  <c r="BD56" i="44" s="1"/>
  <c r="BE55" i="44"/>
  <c r="BF55" i="44" s="1"/>
  <c r="BG56" i="44" s="1"/>
  <c r="BK55" i="44"/>
  <c r="BL55" i="44" s="1"/>
  <c r="BM56" i="44" s="1"/>
  <c r="BH55" i="44"/>
  <c r="BI55" i="44" s="1"/>
  <c r="BJ56" i="44" s="1"/>
  <c r="AZ57" i="44"/>
  <c r="BA56" i="44"/>
  <c r="L34" i="44"/>
  <c r="I32" i="44"/>
  <c r="G33" i="46"/>
  <c r="L34" i="46" s="1"/>
  <c r="D33" i="46"/>
  <c r="C33" i="46" s="1"/>
  <c r="E33" i="46" s="1"/>
  <c r="F33" i="46"/>
  <c r="K422" i="45" l="1"/>
  <c r="H420" i="45"/>
  <c r="AD48" i="53"/>
  <c r="C33" i="53"/>
  <c r="E33" i="53" s="1"/>
  <c r="G33" i="53" s="1"/>
  <c r="D34" i="53"/>
  <c r="F34" i="53"/>
  <c r="BK56" i="44"/>
  <c r="BL56" i="44" s="1"/>
  <c r="BM57" i="44" s="1"/>
  <c r="BE56" i="44"/>
  <c r="BF56" i="44" s="1"/>
  <c r="BG57" i="44" s="1"/>
  <c r="BH56" i="44"/>
  <c r="BI56" i="44" s="1"/>
  <c r="BJ57" i="44" s="1"/>
  <c r="BB56" i="44"/>
  <c r="BC56" i="44" s="1"/>
  <c r="BD57" i="44" s="1"/>
  <c r="BA57" i="44"/>
  <c r="AZ58" i="44"/>
  <c r="K34" i="46"/>
  <c r="H32" i="46"/>
  <c r="G34" i="44"/>
  <c r="E34" i="44"/>
  <c r="D34" i="44" s="1"/>
  <c r="F34" i="44" s="1"/>
  <c r="H34" i="44"/>
  <c r="M35" i="44" s="1"/>
  <c r="G422" i="45" l="1"/>
  <c r="L423" i="45" s="1"/>
  <c r="D422" i="45"/>
  <c r="C422" i="45" s="1"/>
  <c r="E422" i="45" s="1"/>
  <c r="F422" i="45"/>
  <c r="L35" i="53"/>
  <c r="H35" i="53" s="1"/>
  <c r="I33" i="53"/>
  <c r="M34" i="53" s="1"/>
  <c r="AD49" i="53"/>
  <c r="BA58" i="44"/>
  <c r="AZ59" i="44"/>
  <c r="BH57" i="44"/>
  <c r="BI57" i="44" s="1"/>
  <c r="BJ58" i="44" s="1"/>
  <c r="BB57" i="44"/>
  <c r="BC57" i="44" s="1"/>
  <c r="BD58" i="44" s="1"/>
  <c r="BE57" i="44"/>
  <c r="BF57" i="44" s="1"/>
  <c r="BG58" i="44" s="1"/>
  <c r="BK57" i="44"/>
  <c r="BL57" i="44" s="1"/>
  <c r="BM58" i="44" s="1"/>
  <c r="G34" i="46"/>
  <c r="L35" i="46" s="1"/>
  <c r="D34" i="46"/>
  <c r="C34" i="46" s="1"/>
  <c r="E34" i="46" s="1"/>
  <c r="F34" i="46"/>
  <c r="L35" i="44"/>
  <c r="I33" i="44"/>
  <c r="K423" i="45" l="1"/>
  <c r="H421" i="45"/>
  <c r="C34" i="53"/>
  <c r="E34" i="53" s="1"/>
  <c r="G34" i="53" s="1"/>
  <c r="F35" i="53"/>
  <c r="D35" i="53"/>
  <c r="BA59" i="44"/>
  <c r="AZ60" i="44"/>
  <c r="BB58" i="44"/>
  <c r="BC58" i="44" s="1"/>
  <c r="BD59" i="44" s="1"/>
  <c r="BE58" i="44"/>
  <c r="BF58" i="44" s="1"/>
  <c r="BG59" i="44" s="1"/>
  <c r="BH58" i="44"/>
  <c r="BI58" i="44" s="1"/>
  <c r="BJ59" i="44" s="1"/>
  <c r="BK58" i="44"/>
  <c r="BL58" i="44" s="1"/>
  <c r="BM59" i="44" s="1"/>
  <c r="G35" i="44"/>
  <c r="H35" i="44"/>
  <c r="M36" i="44" s="1"/>
  <c r="E35" i="44"/>
  <c r="D35" i="44" s="1"/>
  <c r="F35" i="44" s="1"/>
  <c r="K35" i="46"/>
  <c r="H33" i="46"/>
  <c r="D423" i="45" l="1"/>
  <c r="C423" i="45" s="1"/>
  <c r="E423" i="45" s="1"/>
  <c r="G423" i="45"/>
  <c r="L424" i="45" s="1"/>
  <c r="F423" i="45"/>
  <c r="L36" i="53"/>
  <c r="H36" i="53" s="1"/>
  <c r="I34" i="53"/>
  <c r="M35" i="53" s="1"/>
  <c r="BA60" i="44"/>
  <c r="AZ61" i="44"/>
  <c r="BE59" i="44"/>
  <c r="BF59" i="44" s="1"/>
  <c r="BG60" i="44" s="1"/>
  <c r="BH59" i="44"/>
  <c r="BI59" i="44" s="1"/>
  <c r="BJ60" i="44" s="1"/>
  <c r="BK59" i="44"/>
  <c r="BL59" i="44" s="1"/>
  <c r="BM60" i="44" s="1"/>
  <c r="BB59" i="44"/>
  <c r="BC59" i="44" s="1"/>
  <c r="BD60" i="44" s="1"/>
  <c r="F35" i="46"/>
  <c r="D35" i="46"/>
  <c r="C35" i="46" s="1"/>
  <c r="E35" i="46" s="1"/>
  <c r="G35" i="46"/>
  <c r="L36" i="46" s="1"/>
  <c r="L36" i="44"/>
  <c r="I34" i="44"/>
  <c r="K424" i="45" l="1"/>
  <c r="H422" i="45"/>
  <c r="C35" i="53"/>
  <c r="E35" i="53" s="1"/>
  <c r="G35" i="53" s="1"/>
  <c r="F36" i="53"/>
  <c r="D36" i="53"/>
  <c r="AZ62" i="44"/>
  <c r="BA61" i="44"/>
  <c r="BH60" i="44"/>
  <c r="BI60" i="44" s="1"/>
  <c r="BJ61" i="44" s="1"/>
  <c r="BE60" i="44"/>
  <c r="BF60" i="44" s="1"/>
  <c r="BG61" i="44" s="1"/>
  <c r="BB60" i="44"/>
  <c r="BC60" i="44" s="1"/>
  <c r="BD61" i="44" s="1"/>
  <c r="BK60" i="44"/>
  <c r="BL60" i="44" s="1"/>
  <c r="BM61" i="44" s="1"/>
  <c r="E36" i="44"/>
  <c r="D36" i="44" s="1"/>
  <c r="F36" i="44" s="1"/>
  <c r="G36" i="44"/>
  <c r="H36" i="44"/>
  <c r="M37" i="44" s="1"/>
  <c r="K36" i="46"/>
  <c r="H34" i="46"/>
  <c r="F424" i="45" l="1"/>
  <c r="D424" i="45"/>
  <c r="C424" i="45" s="1"/>
  <c r="E424" i="45" s="1"/>
  <c r="G424" i="45"/>
  <c r="L425" i="45" s="1"/>
  <c r="L37" i="53"/>
  <c r="H37" i="53" s="1"/>
  <c r="I35" i="53"/>
  <c r="M36" i="53" s="1"/>
  <c r="BB61" i="44"/>
  <c r="BC61" i="44" s="1"/>
  <c r="BD62" i="44" s="1"/>
  <c r="BH61" i="44"/>
  <c r="BI61" i="44" s="1"/>
  <c r="BJ62" i="44" s="1"/>
  <c r="BE61" i="44"/>
  <c r="BF61" i="44" s="1"/>
  <c r="BG62" i="44" s="1"/>
  <c r="BK61" i="44"/>
  <c r="BL61" i="44" s="1"/>
  <c r="BM62" i="44" s="1"/>
  <c r="BA62" i="44"/>
  <c r="AZ63" i="44"/>
  <c r="D36" i="46"/>
  <c r="C36" i="46" s="1"/>
  <c r="E36" i="46" s="1"/>
  <c r="F36" i="46"/>
  <c r="G36" i="46"/>
  <c r="L37" i="46" s="1"/>
  <c r="L37" i="44"/>
  <c r="I35" i="44"/>
  <c r="K425" i="45" l="1"/>
  <c r="H423" i="45"/>
  <c r="BA63" i="44"/>
  <c r="BK63" i="44" s="1"/>
  <c r="BL63" i="44" s="1"/>
  <c r="C36" i="53"/>
  <c r="E36" i="53" s="1"/>
  <c r="G36" i="53" s="1"/>
  <c r="F37" i="53"/>
  <c r="D37" i="53"/>
  <c r="BH62" i="44"/>
  <c r="BI62" i="44" s="1"/>
  <c r="BJ63" i="44" s="1"/>
  <c r="BK62" i="44"/>
  <c r="BL62" i="44" s="1"/>
  <c r="BM63" i="44" s="1"/>
  <c r="BB62" i="44"/>
  <c r="BC62" i="44" s="1"/>
  <c r="BD63" i="44" s="1"/>
  <c r="BE62" i="44"/>
  <c r="BF62" i="44" s="1"/>
  <c r="BG63" i="44" s="1"/>
  <c r="K37" i="46"/>
  <c r="H35" i="46"/>
  <c r="E37" i="44"/>
  <c r="D37" i="44" s="1"/>
  <c r="F37" i="44" s="1"/>
  <c r="G37" i="44"/>
  <c r="H37" i="44"/>
  <c r="M38" i="44" s="1"/>
  <c r="F425" i="45" l="1"/>
  <c r="G425" i="45"/>
  <c r="L426" i="45" s="1"/>
  <c r="D425" i="45"/>
  <c r="C425" i="45" s="1"/>
  <c r="E425" i="45" s="1"/>
  <c r="BB63" i="44"/>
  <c r="BC63" i="44" s="1"/>
  <c r="BC64" i="44" s="1"/>
  <c r="BH63" i="44"/>
  <c r="BI63" i="44" s="1"/>
  <c r="BI64" i="44" s="1"/>
  <c r="BE63" i="44"/>
  <c r="BF63" i="44" s="1"/>
  <c r="BF64" i="44" s="1"/>
  <c r="L38" i="53"/>
  <c r="H38" i="53" s="1"/>
  <c r="I36" i="53"/>
  <c r="M37" i="53" s="1"/>
  <c r="BL64" i="44"/>
  <c r="L38" i="44"/>
  <c r="I36" i="44"/>
  <c r="D37" i="46"/>
  <c r="C37" i="46" s="1"/>
  <c r="E37" i="46" s="1"/>
  <c r="F37" i="46"/>
  <c r="G37" i="46"/>
  <c r="L38" i="46" s="1"/>
  <c r="K426" i="45" l="1"/>
  <c r="H424" i="45"/>
  <c r="C37" i="53"/>
  <c r="E37" i="53" s="1"/>
  <c r="G37" i="53" s="1"/>
  <c r="F38" i="53"/>
  <c r="D38" i="53"/>
  <c r="K38" i="46"/>
  <c r="H36" i="46"/>
  <c r="H38" i="44"/>
  <c r="M39" i="44" s="1"/>
  <c r="E38" i="44"/>
  <c r="D38" i="44" s="1"/>
  <c r="F38" i="44" s="1"/>
  <c r="G38" i="44"/>
  <c r="G426" i="45" l="1"/>
  <c r="L427" i="45" s="1"/>
  <c r="D426" i="45"/>
  <c r="C426" i="45" s="1"/>
  <c r="E426" i="45" s="1"/>
  <c r="F426" i="45"/>
  <c r="L39" i="53"/>
  <c r="H39" i="53" s="1"/>
  <c r="I37" i="53"/>
  <c r="M38" i="53" s="1"/>
  <c r="L39" i="44"/>
  <c r="I37" i="44"/>
  <c r="G38" i="46"/>
  <c r="L39" i="46" s="1"/>
  <c r="D38" i="46"/>
  <c r="C38" i="46" s="1"/>
  <c r="E38" i="46" s="1"/>
  <c r="F38" i="46"/>
  <c r="K427" i="45" l="1"/>
  <c r="H425" i="45"/>
  <c r="C38" i="53"/>
  <c r="E38" i="53" s="1"/>
  <c r="G38" i="53" s="1"/>
  <c r="F39" i="53"/>
  <c r="D39" i="53"/>
  <c r="E39" i="44"/>
  <c r="D39" i="44" s="1"/>
  <c r="F39" i="44" s="1"/>
  <c r="G39" i="44"/>
  <c r="H39" i="44"/>
  <c r="M40" i="44" s="1"/>
  <c r="K39" i="46"/>
  <c r="H37" i="46"/>
  <c r="D427" i="45" l="1"/>
  <c r="C427" i="45" s="1"/>
  <c r="E427" i="45" s="1"/>
  <c r="F427" i="45"/>
  <c r="G427" i="45"/>
  <c r="L428" i="45" s="1"/>
  <c r="L40" i="53"/>
  <c r="H40" i="53" s="1"/>
  <c r="I38" i="53"/>
  <c r="M39" i="53" s="1"/>
  <c r="C39" i="53" s="1"/>
  <c r="E39" i="53" s="1"/>
  <c r="G39" i="53" s="1"/>
  <c r="G39" i="46"/>
  <c r="L40" i="46" s="1"/>
  <c r="F39" i="46"/>
  <c r="D39" i="46"/>
  <c r="C39" i="46" s="1"/>
  <c r="E39" i="46" s="1"/>
  <c r="L40" i="44"/>
  <c r="I38" i="44"/>
  <c r="K428" i="45" l="1"/>
  <c r="H426" i="45"/>
  <c r="F40" i="53"/>
  <c r="D40" i="53"/>
  <c r="G40" i="44"/>
  <c r="E40" i="44"/>
  <c r="D40" i="44" s="1"/>
  <c r="F40" i="44" s="1"/>
  <c r="H40" i="44"/>
  <c r="M41" i="44" s="1"/>
  <c r="K40" i="46"/>
  <c r="H38" i="46"/>
  <c r="F428" i="45" l="1"/>
  <c r="D428" i="45"/>
  <c r="G428" i="45"/>
  <c r="L429" i="45" s="1"/>
  <c r="L41" i="53"/>
  <c r="H41" i="53" s="1"/>
  <c r="I39" i="53"/>
  <c r="M40" i="53" s="1"/>
  <c r="C40" i="53" s="1"/>
  <c r="E40" i="53" s="1"/>
  <c r="G40" i="53" s="1"/>
  <c r="D40" i="46"/>
  <c r="C40" i="46" s="1"/>
  <c r="E40" i="46" s="1"/>
  <c r="G40" i="46"/>
  <c r="L41" i="46" s="1"/>
  <c r="F40" i="46"/>
  <c r="L41" i="44"/>
  <c r="I39" i="44"/>
  <c r="C428" i="45" l="1"/>
  <c r="E428" i="45" s="1"/>
  <c r="K429" i="45"/>
  <c r="H427" i="45"/>
  <c r="D41" i="53"/>
  <c r="F41" i="53"/>
  <c r="K41" i="46"/>
  <c r="H39" i="46"/>
  <c r="H41" i="44"/>
  <c r="M42" i="44" s="1"/>
  <c r="G41" i="44"/>
  <c r="E41" i="44"/>
  <c r="D41" i="44" s="1"/>
  <c r="F41" i="44" s="1"/>
  <c r="F429" i="45" l="1"/>
  <c r="G429" i="45"/>
  <c r="L430" i="45" s="1"/>
  <c r="D429" i="45"/>
  <c r="C429" i="45" s="1"/>
  <c r="E429" i="45" s="1"/>
  <c r="L42" i="53"/>
  <c r="H42" i="53" s="1"/>
  <c r="I40" i="53"/>
  <c r="M41" i="53" s="1"/>
  <c r="L42" i="44"/>
  <c r="I40" i="44"/>
  <c r="D41" i="46"/>
  <c r="C41" i="46" s="1"/>
  <c r="E41" i="46" s="1"/>
  <c r="G41" i="46"/>
  <c r="L42" i="46" s="1"/>
  <c r="F41" i="46"/>
  <c r="K430" i="45" l="1"/>
  <c r="H428" i="45"/>
  <c r="C41" i="53"/>
  <c r="E41" i="53" s="1"/>
  <c r="G41" i="53" s="1"/>
  <c r="F42" i="53"/>
  <c r="D42" i="53"/>
  <c r="G42" i="44"/>
  <c r="E42" i="44"/>
  <c r="D42" i="44" s="1"/>
  <c r="F42" i="44" s="1"/>
  <c r="H42" i="44"/>
  <c r="M43" i="44" s="1"/>
  <c r="K42" i="46"/>
  <c r="H40" i="46"/>
  <c r="G430" i="45" l="1"/>
  <c r="L431" i="45" s="1"/>
  <c r="D430" i="45"/>
  <c r="C430" i="45" s="1"/>
  <c r="E430" i="45" s="1"/>
  <c r="F430" i="45"/>
  <c r="L43" i="53"/>
  <c r="H43" i="53" s="1"/>
  <c r="I41" i="53"/>
  <c r="M42" i="53" s="1"/>
  <c r="C42" i="53" s="1"/>
  <c r="E42" i="53" s="1"/>
  <c r="G42" i="53" s="1"/>
  <c r="G42" i="46"/>
  <c r="L43" i="46" s="1"/>
  <c r="D42" i="46"/>
  <c r="C42" i="46" s="1"/>
  <c r="E42" i="46" s="1"/>
  <c r="F42" i="46"/>
  <c r="L43" i="44"/>
  <c r="I41" i="44"/>
  <c r="K431" i="45" l="1"/>
  <c r="H429" i="45"/>
  <c r="F43" i="53"/>
  <c r="D43" i="53"/>
  <c r="K43" i="46"/>
  <c r="H41" i="46"/>
  <c r="G43" i="44"/>
  <c r="E43" i="44"/>
  <c r="D43" i="44" s="1"/>
  <c r="F43" i="44" s="1"/>
  <c r="H43" i="44"/>
  <c r="M44" i="44" s="1"/>
  <c r="F431" i="45" l="1"/>
  <c r="D431" i="45"/>
  <c r="C431" i="45" s="1"/>
  <c r="E431" i="45" s="1"/>
  <c r="G431" i="45"/>
  <c r="L432" i="45" s="1"/>
  <c r="L44" i="53"/>
  <c r="H44" i="53" s="1"/>
  <c r="I42" i="53"/>
  <c r="M43" i="53" s="1"/>
  <c r="C43" i="53" s="1"/>
  <c r="E43" i="53" s="1"/>
  <c r="G43" i="53" s="1"/>
  <c r="L44" i="44"/>
  <c r="I42" i="44"/>
  <c r="F43" i="46"/>
  <c r="D43" i="46"/>
  <c r="C43" i="46" s="1"/>
  <c r="E43" i="46" s="1"/>
  <c r="G43" i="46"/>
  <c r="L44" i="46" s="1"/>
  <c r="K432" i="45" l="1"/>
  <c r="H430" i="45"/>
  <c r="D44" i="53"/>
  <c r="F44" i="53"/>
  <c r="K44" i="46"/>
  <c r="H42" i="46"/>
  <c r="H44" i="44"/>
  <c r="M45" i="44" s="1"/>
  <c r="E44" i="44"/>
  <c r="D44" i="44" s="1"/>
  <c r="F44" i="44" s="1"/>
  <c r="G44" i="44"/>
  <c r="G432" i="45" l="1"/>
  <c r="L433" i="45" s="1"/>
  <c r="D432" i="45"/>
  <c r="F432" i="45"/>
  <c r="L45" i="53"/>
  <c r="H45" i="53" s="1"/>
  <c r="I43" i="53"/>
  <c r="M44" i="53" s="1"/>
  <c r="C44" i="53" s="1"/>
  <c r="E44" i="53" s="1"/>
  <c r="G44" i="53" s="1"/>
  <c r="L45" i="44"/>
  <c r="I43" i="44"/>
  <c r="G44" i="46"/>
  <c r="L45" i="46" s="1"/>
  <c r="F44" i="46"/>
  <c r="D44" i="46"/>
  <c r="C44" i="46" s="1"/>
  <c r="E44" i="46" s="1"/>
  <c r="C432" i="45" l="1"/>
  <c r="E432" i="45" s="1"/>
  <c r="K433" i="45"/>
  <c r="H431" i="45"/>
  <c r="D45" i="53"/>
  <c r="F45" i="53"/>
  <c r="K45" i="46"/>
  <c r="H43" i="46"/>
  <c r="G45" i="44"/>
  <c r="E45" i="44"/>
  <c r="D45" i="44" s="1"/>
  <c r="F45" i="44" s="1"/>
  <c r="H45" i="44"/>
  <c r="M46" i="44" s="1"/>
  <c r="D433" i="45" l="1"/>
  <c r="C433" i="45" s="1"/>
  <c r="E433" i="45" s="1"/>
  <c r="F433" i="45"/>
  <c r="G433" i="45"/>
  <c r="L434" i="45" s="1"/>
  <c r="L46" i="53"/>
  <c r="H46" i="53" s="1"/>
  <c r="I44" i="53"/>
  <c r="M45" i="53" s="1"/>
  <c r="C45" i="53" s="1"/>
  <c r="E45" i="53" s="1"/>
  <c r="G45" i="53" s="1"/>
  <c r="L46" i="44"/>
  <c r="I44" i="44"/>
  <c r="D45" i="46"/>
  <c r="C45" i="46" s="1"/>
  <c r="E45" i="46" s="1"/>
  <c r="G45" i="46"/>
  <c r="L46" i="46" s="1"/>
  <c r="F45" i="46"/>
  <c r="K434" i="45" l="1"/>
  <c r="H432" i="45"/>
  <c r="D46" i="53"/>
  <c r="F46" i="53"/>
  <c r="K46" i="46"/>
  <c r="H44" i="46"/>
  <c r="H46" i="44"/>
  <c r="M47" i="44" s="1"/>
  <c r="G46" i="44"/>
  <c r="E46" i="44"/>
  <c r="D46" i="44" s="1"/>
  <c r="F46" i="44" s="1"/>
  <c r="F434" i="45" l="1"/>
  <c r="G434" i="45"/>
  <c r="L435" i="45" s="1"/>
  <c r="D434" i="45"/>
  <c r="C434" i="45" s="1"/>
  <c r="E434" i="45" s="1"/>
  <c r="L47" i="53"/>
  <c r="H47" i="53" s="1"/>
  <c r="I45" i="53"/>
  <c r="M46" i="53" s="1"/>
  <c r="C46" i="53" s="1"/>
  <c r="E46" i="53" s="1"/>
  <c r="G46" i="53" s="1"/>
  <c r="L47" i="44"/>
  <c r="I45" i="44"/>
  <c r="F46" i="46"/>
  <c r="D46" i="46"/>
  <c r="C46" i="46" s="1"/>
  <c r="E46" i="46" s="1"/>
  <c r="G46" i="46"/>
  <c r="L47" i="46" s="1"/>
  <c r="K435" i="45" l="1"/>
  <c r="H433" i="45"/>
  <c r="F47" i="53"/>
  <c r="D47" i="53"/>
  <c r="K47" i="46"/>
  <c r="H45" i="46"/>
  <c r="E47" i="44"/>
  <c r="D47" i="44" s="1"/>
  <c r="F47" i="44" s="1"/>
  <c r="H47" i="44"/>
  <c r="M48" i="44" s="1"/>
  <c r="G47" i="44"/>
  <c r="F435" i="45" l="1"/>
  <c r="G435" i="45"/>
  <c r="L436" i="45" s="1"/>
  <c r="D435" i="45"/>
  <c r="C435" i="45" s="1"/>
  <c r="E435" i="45" s="1"/>
  <c r="L48" i="53"/>
  <c r="H48" i="53" s="1"/>
  <c r="I46" i="53"/>
  <c r="M47" i="53" s="1"/>
  <c r="C47" i="53" s="1"/>
  <c r="E47" i="53" s="1"/>
  <c r="G47" i="53" s="1"/>
  <c r="L48" i="44"/>
  <c r="I46" i="44"/>
  <c r="F47" i="46"/>
  <c r="D47" i="46"/>
  <c r="C47" i="46" s="1"/>
  <c r="E47" i="46" s="1"/>
  <c r="G47" i="46"/>
  <c r="L48" i="46" s="1"/>
  <c r="K436" i="45" l="1"/>
  <c r="H434" i="45"/>
  <c r="F48" i="53"/>
  <c r="D48" i="53"/>
  <c r="E48" i="44"/>
  <c r="D48" i="44" s="1"/>
  <c r="F48" i="44" s="1"/>
  <c r="H48" i="44"/>
  <c r="M49" i="44" s="1"/>
  <c r="G48" i="44"/>
  <c r="K48" i="46"/>
  <c r="H46" i="46"/>
  <c r="G436" i="45" l="1"/>
  <c r="L437" i="45" s="1"/>
  <c r="D436" i="45"/>
  <c r="C436" i="45" s="1"/>
  <c r="E436" i="45" s="1"/>
  <c r="F436" i="45"/>
  <c r="L49" i="53"/>
  <c r="H49" i="53" s="1"/>
  <c r="I47" i="53"/>
  <c r="M48" i="53" s="1"/>
  <c r="C48" i="53" s="1"/>
  <c r="E48" i="53" s="1"/>
  <c r="G48" i="53" s="1"/>
  <c r="G48" i="46"/>
  <c r="L49" i="46" s="1"/>
  <c r="F48" i="46"/>
  <c r="D48" i="46"/>
  <c r="C48" i="46" s="1"/>
  <c r="E48" i="46" s="1"/>
  <c r="L49" i="44"/>
  <c r="I47" i="44"/>
  <c r="K437" i="45" l="1"/>
  <c r="H435" i="45"/>
  <c r="D49" i="53"/>
  <c r="F49" i="53"/>
  <c r="K49" i="46"/>
  <c r="H47" i="46"/>
  <c r="E49" i="44"/>
  <c r="D49" i="44" s="1"/>
  <c r="F49" i="44" s="1"/>
  <c r="H49" i="44"/>
  <c r="M50" i="44" s="1"/>
  <c r="G49" i="44"/>
  <c r="D437" i="45" l="1"/>
  <c r="C437" i="45" s="1"/>
  <c r="E437" i="45" s="1"/>
  <c r="F437" i="45"/>
  <c r="G437" i="45"/>
  <c r="L438" i="45" s="1"/>
  <c r="L50" i="53"/>
  <c r="H50" i="53" s="1"/>
  <c r="I48" i="53"/>
  <c r="M49" i="53" s="1"/>
  <c r="C49" i="53" s="1"/>
  <c r="E49" i="53" s="1"/>
  <c r="G49" i="53" s="1"/>
  <c r="L50" i="44"/>
  <c r="I48" i="44"/>
  <c r="D49" i="46"/>
  <c r="G49" i="46"/>
  <c r="L50" i="46" s="1"/>
  <c r="F49" i="46"/>
  <c r="K438" i="45" l="1"/>
  <c r="H436" i="45"/>
  <c r="D50" i="53"/>
  <c r="F50" i="53"/>
  <c r="C49" i="46"/>
  <c r="E49" i="46" s="1"/>
  <c r="E50" i="44"/>
  <c r="D50" i="44" s="1"/>
  <c r="F50" i="44" s="1"/>
  <c r="H50" i="44"/>
  <c r="M51" i="44" s="1"/>
  <c r="G50" i="44"/>
  <c r="K50" i="46"/>
  <c r="H48" i="46"/>
  <c r="F438" i="45" l="1"/>
  <c r="D438" i="45"/>
  <c r="C438" i="45" s="1"/>
  <c r="E438" i="45" s="1"/>
  <c r="G438" i="45"/>
  <c r="L439" i="45" s="1"/>
  <c r="L51" i="53"/>
  <c r="H51" i="53" s="1"/>
  <c r="I49" i="53"/>
  <c r="M50" i="53" s="1"/>
  <c r="C50" i="53" s="1"/>
  <c r="E50" i="53" s="1"/>
  <c r="G50" i="53" s="1"/>
  <c r="L51" i="44"/>
  <c r="I49" i="44"/>
  <c r="F50" i="46"/>
  <c r="G50" i="46"/>
  <c r="L51" i="46" s="1"/>
  <c r="D50" i="46"/>
  <c r="C50" i="46" s="1"/>
  <c r="E50" i="46" s="1"/>
  <c r="K439" i="45" l="1"/>
  <c r="H437" i="45"/>
  <c r="D51" i="53"/>
  <c r="F51" i="53"/>
  <c r="K51" i="46"/>
  <c r="H49" i="46"/>
  <c r="H51" i="44"/>
  <c r="M52" i="44" s="1"/>
  <c r="G51" i="44"/>
  <c r="E51" i="44"/>
  <c r="D51" i="44" s="1"/>
  <c r="F51" i="44" s="1"/>
  <c r="F439" i="45" l="1"/>
  <c r="G439" i="45"/>
  <c r="L440" i="45" s="1"/>
  <c r="D439" i="45"/>
  <c r="C439" i="45" s="1"/>
  <c r="E439" i="45" s="1"/>
  <c r="L52" i="53"/>
  <c r="H52" i="53" s="1"/>
  <c r="I50" i="53"/>
  <c r="M51" i="53" s="1"/>
  <c r="C51" i="53" s="1"/>
  <c r="E51" i="53" s="1"/>
  <c r="G51" i="53" s="1"/>
  <c r="L52" i="44"/>
  <c r="I50" i="44"/>
  <c r="F51" i="46"/>
  <c r="D51" i="46"/>
  <c r="C51" i="46" s="1"/>
  <c r="E51" i="46" s="1"/>
  <c r="G51" i="46"/>
  <c r="L52" i="46" s="1"/>
  <c r="K440" i="45" l="1"/>
  <c r="H438" i="45"/>
  <c r="D52" i="53"/>
  <c r="F52" i="53"/>
  <c r="K52" i="46"/>
  <c r="H50" i="46"/>
  <c r="E52" i="44"/>
  <c r="D52" i="44" s="1"/>
  <c r="F52" i="44" s="1"/>
  <c r="H52" i="44"/>
  <c r="M53" i="44" s="1"/>
  <c r="G52" i="44"/>
  <c r="G440" i="45" l="1"/>
  <c r="D440" i="45"/>
  <c r="C440" i="45" s="1"/>
  <c r="E440" i="45" s="1"/>
  <c r="R13" i="45" s="1"/>
  <c r="F440" i="45"/>
  <c r="L53" i="53"/>
  <c r="H53" i="53" s="1"/>
  <c r="I51" i="53"/>
  <c r="M52" i="53" s="1"/>
  <c r="C52" i="53" s="1"/>
  <c r="E52" i="53" s="1"/>
  <c r="G52" i="53" s="1"/>
  <c r="L53" i="44"/>
  <c r="I51" i="44"/>
  <c r="G52" i="46"/>
  <c r="L53" i="46" s="1"/>
  <c r="F52" i="46"/>
  <c r="D52" i="46"/>
  <c r="C52" i="46" s="1"/>
  <c r="E52" i="46" s="1"/>
  <c r="AQ48" i="45" l="1"/>
  <c r="AQ49" i="45" s="1"/>
  <c r="H440" i="45"/>
  <c r="H439" i="45"/>
  <c r="R14" i="45"/>
  <c r="S14" i="45" s="1"/>
  <c r="R440" i="45"/>
  <c r="T440" i="45"/>
  <c r="M440" i="45"/>
  <c r="U440" i="45" s="1"/>
  <c r="S440" i="45"/>
  <c r="P440" i="45"/>
  <c r="N440" i="45"/>
  <c r="F53" i="53"/>
  <c r="D53" i="53"/>
  <c r="G53" i="44"/>
  <c r="E53" i="44"/>
  <c r="D53" i="44" s="1"/>
  <c r="F53" i="44" s="1"/>
  <c r="H53" i="44"/>
  <c r="M54" i="44" s="1"/>
  <c r="K53" i="46"/>
  <c r="H51" i="46"/>
  <c r="L54" i="53" l="1"/>
  <c r="H54" i="53" s="1"/>
  <c r="I52" i="53"/>
  <c r="M53" i="53" s="1"/>
  <c r="C53" i="53" s="1"/>
  <c r="E53" i="53" s="1"/>
  <c r="G53" i="53" s="1"/>
  <c r="D53" i="46"/>
  <c r="C53" i="46" s="1"/>
  <c r="E53" i="46" s="1"/>
  <c r="F53" i="46"/>
  <c r="G53" i="46"/>
  <c r="L54" i="46" s="1"/>
  <c r="L54" i="44"/>
  <c r="I52" i="44"/>
  <c r="D54" i="53" l="1"/>
  <c r="F54" i="53"/>
  <c r="E54" i="44"/>
  <c r="D54" i="44" s="1"/>
  <c r="F54" i="44" s="1"/>
  <c r="G54" i="44"/>
  <c r="H54" i="44"/>
  <c r="M55" i="44" s="1"/>
  <c r="K54" i="46"/>
  <c r="H52" i="46"/>
  <c r="L55" i="53" l="1"/>
  <c r="H55" i="53" s="1"/>
  <c r="I53" i="53"/>
  <c r="M54" i="53" s="1"/>
  <c r="C54" i="53" s="1"/>
  <c r="E54" i="53" s="1"/>
  <c r="G54" i="53" s="1"/>
  <c r="D54" i="46"/>
  <c r="C54" i="46" s="1"/>
  <c r="E54" i="46" s="1"/>
  <c r="F54" i="46"/>
  <c r="G54" i="46"/>
  <c r="L55" i="46" s="1"/>
  <c r="L55" i="44"/>
  <c r="I53" i="44"/>
  <c r="D55" i="53" l="1"/>
  <c r="F55" i="53"/>
  <c r="H55" i="44"/>
  <c r="M56" i="44" s="1"/>
  <c r="E55" i="44"/>
  <c r="D55" i="44" s="1"/>
  <c r="F55" i="44" s="1"/>
  <c r="G55" i="44"/>
  <c r="K55" i="46"/>
  <c r="H53" i="46"/>
  <c r="L56" i="53" l="1"/>
  <c r="H56" i="53" s="1"/>
  <c r="I54" i="53"/>
  <c r="M55" i="53" s="1"/>
  <c r="C55" i="53" s="1"/>
  <c r="E55" i="53" s="1"/>
  <c r="G55" i="53" s="1"/>
  <c r="G55" i="46"/>
  <c r="L56" i="46" s="1"/>
  <c r="F55" i="46"/>
  <c r="D55" i="46"/>
  <c r="C55" i="46" s="1"/>
  <c r="E55" i="46" s="1"/>
  <c r="L56" i="44"/>
  <c r="I54" i="44"/>
  <c r="F56" i="53" l="1"/>
  <c r="D56" i="53"/>
  <c r="G56" i="44"/>
  <c r="E56" i="44"/>
  <c r="D56" i="44" s="1"/>
  <c r="F56" i="44" s="1"/>
  <c r="H56" i="44"/>
  <c r="M57" i="44" s="1"/>
  <c r="K56" i="46"/>
  <c r="H54" i="46"/>
  <c r="L57" i="53" l="1"/>
  <c r="H57" i="53" s="1"/>
  <c r="I55" i="53"/>
  <c r="M56" i="53" s="1"/>
  <c r="C56" i="53" s="1"/>
  <c r="E56" i="53" s="1"/>
  <c r="G56" i="53" s="1"/>
  <c r="L57" i="44"/>
  <c r="I55" i="44"/>
  <c r="D56" i="46"/>
  <c r="C56" i="46" s="1"/>
  <c r="E56" i="46" s="1"/>
  <c r="G56" i="46"/>
  <c r="L57" i="46" s="1"/>
  <c r="F56" i="46"/>
  <c r="F57" i="53" l="1"/>
  <c r="D57" i="53"/>
  <c r="K57" i="46"/>
  <c r="H55" i="46"/>
  <c r="E57" i="44"/>
  <c r="D57" i="44" s="1"/>
  <c r="F57" i="44" s="1"/>
  <c r="H57" i="44"/>
  <c r="M58" i="44" s="1"/>
  <c r="G57" i="44"/>
  <c r="L58" i="53" l="1"/>
  <c r="H58" i="53" s="1"/>
  <c r="I56" i="53"/>
  <c r="M57" i="53" s="1"/>
  <c r="C57" i="53" s="1"/>
  <c r="E57" i="53" s="1"/>
  <c r="G57" i="53" s="1"/>
  <c r="D57" i="46"/>
  <c r="C57" i="46" s="1"/>
  <c r="E57" i="46" s="1"/>
  <c r="F57" i="46"/>
  <c r="G57" i="46"/>
  <c r="L58" i="46" s="1"/>
  <c r="L58" i="44"/>
  <c r="I56" i="44"/>
  <c r="D58" i="53" l="1"/>
  <c r="F58" i="53"/>
  <c r="H58" i="44"/>
  <c r="M59" i="44" s="1"/>
  <c r="G58" i="44"/>
  <c r="E58" i="44"/>
  <c r="D58" i="44" s="1"/>
  <c r="F58" i="44" s="1"/>
  <c r="K58" i="46"/>
  <c r="H56" i="46"/>
  <c r="L59" i="53" l="1"/>
  <c r="H59" i="53" s="1"/>
  <c r="I57" i="53"/>
  <c r="M58" i="53" s="1"/>
  <c r="C58" i="53" s="1"/>
  <c r="E58" i="53" s="1"/>
  <c r="G58" i="53" s="1"/>
  <c r="L59" i="44"/>
  <c r="I57" i="44"/>
  <c r="F58" i="46"/>
  <c r="G58" i="46"/>
  <c r="L59" i="46" s="1"/>
  <c r="D58" i="46"/>
  <c r="C58" i="46" s="1"/>
  <c r="E58" i="46" s="1"/>
  <c r="F59" i="53" l="1"/>
  <c r="D59" i="53"/>
  <c r="K59" i="46"/>
  <c r="H57" i="46"/>
  <c r="E59" i="44"/>
  <c r="D59" i="44" s="1"/>
  <c r="F59" i="44" s="1"/>
  <c r="H59" i="44"/>
  <c r="M60" i="44" s="1"/>
  <c r="G59" i="44"/>
  <c r="L60" i="53" l="1"/>
  <c r="H60" i="53" s="1"/>
  <c r="I58" i="53"/>
  <c r="M59" i="53" s="1"/>
  <c r="C59" i="53" s="1"/>
  <c r="E59" i="53" s="1"/>
  <c r="G59" i="53" s="1"/>
  <c r="G59" i="46"/>
  <c r="L60" i="46" s="1"/>
  <c r="D59" i="46"/>
  <c r="C59" i="46" s="1"/>
  <c r="E59" i="46" s="1"/>
  <c r="F59" i="46"/>
  <c r="L60" i="44"/>
  <c r="I58" i="44"/>
  <c r="D60" i="53" l="1"/>
  <c r="F60" i="53"/>
  <c r="G60" i="44"/>
  <c r="E60" i="44"/>
  <c r="D60" i="44" s="1"/>
  <c r="F60" i="44" s="1"/>
  <c r="H60" i="44"/>
  <c r="M61" i="44" s="1"/>
  <c r="K60" i="46"/>
  <c r="H58" i="46"/>
  <c r="L61" i="53" l="1"/>
  <c r="H61" i="53" s="1"/>
  <c r="I59" i="53"/>
  <c r="M60" i="53" s="1"/>
  <c r="C60" i="53" s="1"/>
  <c r="E60" i="53" s="1"/>
  <c r="G60" i="53" s="1"/>
  <c r="D60" i="46"/>
  <c r="C60" i="46" s="1"/>
  <c r="E60" i="46" s="1"/>
  <c r="G60" i="46"/>
  <c r="L61" i="46" s="1"/>
  <c r="F60" i="46"/>
  <c r="L61" i="44"/>
  <c r="I59" i="44"/>
  <c r="D61" i="53" l="1"/>
  <c r="F61" i="53"/>
  <c r="K61" i="46"/>
  <c r="H59" i="46"/>
  <c r="H61" i="44"/>
  <c r="M62" i="44" s="1"/>
  <c r="G61" i="44"/>
  <c r="E61" i="44"/>
  <c r="D61" i="44" s="1"/>
  <c r="F61" i="44" s="1"/>
  <c r="L62" i="53" l="1"/>
  <c r="H62" i="53" s="1"/>
  <c r="I60" i="53"/>
  <c r="M61" i="53" s="1"/>
  <c r="C61" i="53" s="1"/>
  <c r="E61" i="53" s="1"/>
  <c r="G61" i="53" s="1"/>
  <c r="L62" i="44"/>
  <c r="I60" i="44"/>
  <c r="D61" i="46"/>
  <c r="C61" i="46" s="1"/>
  <c r="E61" i="46" s="1"/>
  <c r="F61" i="46"/>
  <c r="G61" i="46"/>
  <c r="L62" i="46" s="1"/>
  <c r="D62" i="53" l="1"/>
  <c r="F62" i="53"/>
  <c r="K62" i="46"/>
  <c r="H60" i="46"/>
  <c r="E62" i="44"/>
  <c r="D62" i="44" s="1"/>
  <c r="F62" i="44" s="1"/>
  <c r="G62" i="44"/>
  <c r="H62" i="44"/>
  <c r="M63" i="44" s="1"/>
  <c r="L63" i="53" l="1"/>
  <c r="H63" i="53" s="1"/>
  <c r="I61" i="53"/>
  <c r="M62" i="53" s="1"/>
  <c r="C62" i="53" s="1"/>
  <c r="E62" i="53" s="1"/>
  <c r="G62" i="53" s="1"/>
  <c r="L63" i="44"/>
  <c r="I61" i="44"/>
  <c r="G62" i="46"/>
  <c r="L63" i="46" s="1"/>
  <c r="D62" i="46"/>
  <c r="C62" i="46" s="1"/>
  <c r="E62" i="46" s="1"/>
  <c r="F62" i="46"/>
  <c r="F63" i="53" l="1"/>
  <c r="D63" i="53"/>
  <c r="E63" i="44"/>
  <c r="D63" i="44" s="1"/>
  <c r="F63" i="44" s="1"/>
  <c r="H63" i="44"/>
  <c r="M64" i="44" s="1"/>
  <c r="G63" i="44"/>
  <c r="K63" i="46"/>
  <c r="H61" i="46"/>
  <c r="L64" i="53" l="1"/>
  <c r="H64" i="53" s="1"/>
  <c r="I62" i="53"/>
  <c r="M63" i="53" s="1"/>
  <c r="C63" i="53" s="1"/>
  <c r="E63" i="53" s="1"/>
  <c r="G63" i="53" s="1"/>
  <c r="G63" i="46"/>
  <c r="L64" i="46" s="1"/>
  <c r="F63" i="46"/>
  <c r="D63" i="46"/>
  <c r="C63" i="46" s="1"/>
  <c r="E63" i="46" s="1"/>
  <c r="L64" i="44"/>
  <c r="I62" i="44"/>
  <c r="F64" i="53" l="1"/>
  <c r="D64" i="53"/>
  <c r="E64" i="44"/>
  <c r="D64" i="44" s="1"/>
  <c r="F64" i="44" s="1"/>
  <c r="H64" i="44"/>
  <c r="M65" i="44" s="1"/>
  <c r="G64" i="44"/>
  <c r="K64" i="46"/>
  <c r="H62" i="46"/>
  <c r="L65" i="53" l="1"/>
  <c r="H65" i="53" s="1"/>
  <c r="I63" i="53"/>
  <c r="M64" i="53" s="1"/>
  <c r="C64" i="53" s="1"/>
  <c r="E64" i="53" s="1"/>
  <c r="G64" i="53" s="1"/>
  <c r="D64" i="46"/>
  <c r="C64" i="46" s="1"/>
  <c r="E64" i="46" s="1"/>
  <c r="F64" i="46"/>
  <c r="G64" i="46"/>
  <c r="L65" i="46" s="1"/>
  <c r="L65" i="44"/>
  <c r="I63" i="44"/>
  <c r="D65" i="53" l="1"/>
  <c r="F65" i="53"/>
  <c r="G65" i="44"/>
  <c r="H65" i="44"/>
  <c r="M66" i="44" s="1"/>
  <c r="E65" i="44"/>
  <c r="D65" i="44" s="1"/>
  <c r="F65" i="44" s="1"/>
  <c r="K65" i="46"/>
  <c r="H63" i="46"/>
  <c r="L66" i="53" l="1"/>
  <c r="H66" i="53" s="1"/>
  <c r="I64" i="53"/>
  <c r="M65" i="53" s="1"/>
  <c r="C65" i="53" s="1"/>
  <c r="E65" i="53" s="1"/>
  <c r="G65" i="53" s="1"/>
  <c r="L66" i="44"/>
  <c r="I64" i="44"/>
  <c r="F65" i="46"/>
  <c r="D65" i="46"/>
  <c r="C65" i="46" s="1"/>
  <c r="E65" i="46" s="1"/>
  <c r="G65" i="46"/>
  <c r="L66" i="46" s="1"/>
  <c r="F66" i="53" l="1"/>
  <c r="D66" i="53"/>
  <c r="K66" i="46"/>
  <c r="H64" i="46"/>
  <c r="E66" i="44"/>
  <c r="D66" i="44" s="1"/>
  <c r="F66" i="44" s="1"/>
  <c r="H66" i="44"/>
  <c r="M67" i="44" s="1"/>
  <c r="G66" i="44"/>
  <c r="L67" i="53" l="1"/>
  <c r="H67" i="53" s="1"/>
  <c r="I65" i="53"/>
  <c r="M66" i="53" s="1"/>
  <c r="C66" i="53" s="1"/>
  <c r="E66" i="53" s="1"/>
  <c r="G66" i="53" s="1"/>
  <c r="L67" i="44"/>
  <c r="I65" i="44"/>
  <c r="F66" i="46"/>
  <c r="G66" i="46"/>
  <c r="L67" i="46" s="1"/>
  <c r="D66" i="46"/>
  <c r="C66" i="46" s="1"/>
  <c r="E66" i="46" s="1"/>
  <c r="D67" i="53" l="1"/>
  <c r="F67" i="53"/>
  <c r="K67" i="46"/>
  <c r="H65" i="46"/>
  <c r="G67" i="44"/>
  <c r="H67" i="44"/>
  <c r="M68" i="44" s="1"/>
  <c r="E67" i="44"/>
  <c r="D67" i="44" s="1"/>
  <c r="F67" i="44" s="1"/>
  <c r="L68" i="53" l="1"/>
  <c r="H68" i="53" s="1"/>
  <c r="I66" i="53"/>
  <c r="M67" i="53" s="1"/>
  <c r="C67" i="53" s="1"/>
  <c r="E67" i="53" s="1"/>
  <c r="G67" i="53" s="1"/>
  <c r="L68" i="44"/>
  <c r="I66" i="44"/>
  <c r="G67" i="46"/>
  <c r="L68" i="46" s="1"/>
  <c r="D67" i="46"/>
  <c r="C67" i="46" s="1"/>
  <c r="E67" i="46" s="1"/>
  <c r="F67" i="46"/>
  <c r="D68" i="53" l="1"/>
  <c r="F68" i="53"/>
  <c r="E68" i="44"/>
  <c r="D68" i="44" s="1"/>
  <c r="F68" i="44" s="1"/>
  <c r="H68" i="44"/>
  <c r="M69" i="44" s="1"/>
  <c r="G68" i="44"/>
  <c r="K68" i="46"/>
  <c r="H66" i="46"/>
  <c r="L69" i="53" l="1"/>
  <c r="H69" i="53" s="1"/>
  <c r="I67" i="53"/>
  <c r="M68" i="53" s="1"/>
  <c r="C68" i="53" s="1"/>
  <c r="E68" i="53" s="1"/>
  <c r="G68" i="53" s="1"/>
  <c r="G68" i="46"/>
  <c r="L69" i="46" s="1"/>
  <c r="F68" i="46"/>
  <c r="D68" i="46"/>
  <c r="C68" i="46" s="1"/>
  <c r="E68" i="46" s="1"/>
  <c r="L69" i="44"/>
  <c r="I67" i="44"/>
  <c r="F69" i="53" l="1"/>
  <c r="D69" i="53"/>
  <c r="E69" i="44"/>
  <c r="D69" i="44" s="1"/>
  <c r="F69" i="44" s="1"/>
  <c r="G69" i="44"/>
  <c r="H69" i="44"/>
  <c r="M70" i="44" s="1"/>
  <c r="K69" i="46"/>
  <c r="H67" i="46"/>
  <c r="L70" i="53" l="1"/>
  <c r="H70" i="53" s="1"/>
  <c r="I68" i="53"/>
  <c r="M69" i="53" s="1"/>
  <c r="C69" i="53" s="1"/>
  <c r="E69" i="53" s="1"/>
  <c r="G69" i="53" s="1"/>
  <c r="D69" i="46"/>
  <c r="C69" i="46" s="1"/>
  <c r="E69" i="46" s="1"/>
  <c r="G69" i="46"/>
  <c r="L70" i="46" s="1"/>
  <c r="F69" i="46"/>
  <c r="L70" i="44"/>
  <c r="I68" i="44"/>
  <c r="F70" i="53" l="1"/>
  <c r="D70" i="53"/>
  <c r="G70" i="44"/>
  <c r="E70" i="44"/>
  <c r="D70" i="44" s="1"/>
  <c r="F70" i="44" s="1"/>
  <c r="H70" i="44"/>
  <c r="M71" i="44" s="1"/>
  <c r="K70" i="46"/>
  <c r="H68" i="46"/>
  <c r="L71" i="53" l="1"/>
  <c r="H71" i="53" s="1"/>
  <c r="I69" i="53"/>
  <c r="M70" i="53" s="1"/>
  <c r="C70" i="53" s="1"/>
  <c r="E70" i="53" s="1"/>
  <c r="G70" i="53" s="1"/>
  <c r="G70" i="46"/>
  <c r="L71" i="46" s="1"/>
  <c r="F70" i="46"/>
  <c r="D70" i="46"/>
  <c r="C70" i="46" s="1"/>
  <c r="E70" i="46" s="1"/>
  <c r="L71" i="44"/>
  <c r="I69" i="44"/>
  <c r="D71" i="53" l="1"/>
  <c r="F71" i="53"/>
  <c r="H71" i="44"/>
  <c r="M72" i="44" s="1"/>
  <c r="E71" i="44"/>
  <c r="D71" i="44" s="1"/>
  <c r="F71" i="44" s="1"/>
  <c r="G71" i="44"/>
  <c r="K71" i="46"/>
  <c r="H69" i="46"/>
  <c r="L72" i="53" l="1"/>
  <c r="H72" i="53" s="1"/>
  <c r="I70" i="53"/>
  <c r="M71" i="53" s="1"/>
  <c r="C71" i="53" s="1"/>
  <c r="E71" i="53" s="1"/>
  <c r="G71" i="53" s="1"/>
  <c r="F71" i="46"/>
  <c r="D71" i="46"/>
  <c r="C71" i="46" s="1"/>
  <c r="E71" i="46" s="1"/>
  <c r="G71" i="46"/>
  <c r="L72" i="46" s="1"/>
  <c r="L72" i="44"/>
  <c r="I70" i="44"/>
  <c r="F72" i="53" l="1"/>
  <c r="D72" i="53"/>
  <c r="H72" i="44"/>
  <c r="M73" i="44" s="1"/>
  <c r="E72" i="44"/>
  <c r="D72" i="44" s="1"/>
  <c r="F72" i="44" s="1"/>
  <c r="G72" i="44"/>
  <c r="K72" i="46"/>
  <c r="H70" i="46"/>
  <c r="L73" i="53" l="1"/>
  <c r="H73" i="53" s="1"/>
  <c r="I71" i="53"/>
  <c r="M72" i="53" s="1"/>
  <c r="C72" i="53" s="1"/>
  <c r="E72" i="53" s="1"/>
  <c r="G72" i="53" s="1"/>
  <c r="G72" i="46"/>
  <c r="L73" i="46" s="1"/>
  <c r="F72" i="46"/>
  <c r="D72" i="46"/>
  <c r="C72" i="46" s="1"/>
  <c r="E72" i="46" s="1"/>
  <c r="L73" i="44"/>
  <c r="I71" i="44"/>
  <c r="D73" i="53" l="1"/>
  <c r="F73" i="53"/>
  <c r="H73" i="44"/>
  <c r="M74" i="44" s="1"/>
  <c r="G73" i="44"/>
  <c r="E73" i="44"/>
  <c r="D73" i="44" s="1"/>
  <c r="F73" i="44" s="1"/>
  <c r="K73" i="46"/>
  <c r="H71" i="46"/>
  <c r="L74" i="53" l="1"/>
  <c r="H74" i="53" s="1"/>
  <c r="I72" i="53"/>
  <c r="M73" i="53" s="1"/>
  <c r="C73" i="53" s="1"/>
  <c r="E73" i="53" s="1"/>
  <c r="G73" i="53" s="1"/>
  <c r="D73" i="46"/>
  <c r="C73" i="46" s="1"/>
  <c r="E73" i="46" s="1"/>
  <c r="F73" i="46"/>
  <c r="G73" i="46"/>
  <c r="L74" i="46" s="1"/>
  <c r="L74" i="44"/>
  <c r="I72" i="44"/>
  <c r="D74" i="53" l="1"/>
  <c r="F74" i="53"/>
  <c r="H74" i="44"/>
  <c r="M75" i="44" s="1"/>
  <c r="G74" i="44"/>
  <c r="E74" i="44"/>
  <c r="D74" i="44" s="1"/>
  <c r="F74" i="44" s="1"/>
  <c r="K74" i="46"/>
  <c r="H72" i="46"/>
  <c r="L75" i="53" l="1"/>
  <c r="H75" i="53" s="1"/>
  <c r="I73" i="53"/>
  <c r="M74" i="53" s="1"/>
  <c r="C74" i="53" s="1"/>
  <c r="E74" i="53" s="1"/>
  <c r="G74" i="53" s="1"/>
  <c r="L75" i="44"/>
  <c r="I73" i="44"/>
  <c r="G74" i="46"/>
  <c r="L75" i="46" s="1"/>
  <c r="D74" i="46"/>
  <c r="C74" i="46" s="1"/>
  <c r="E74" i="46" s="1"/>
  <c r="F74" i="46"/>
  <c r="F75" i="53" l="1"/>
  <c r="D75" i="53"/>
  <c r="K75" i="46"/>
  <c r="H73" i="46"/>
  <c r="G75" i="44"/>
  <c r="H75" i="44"/>
  <c r="M76" i="44" s="1"/>
  <c r="E75" i="44"/>
  <c r="D75" i="44" s="1"/>
  <c r="F75" i="44" s="1"/>
  <c r="L76" i="53" l="1"/>
  <c r="H76" i="53" s="1"/>
  <c r="I74" i="53"/>
  <c r="M75" i="53" s="1"/>
  <c r="C75" i="53" s="1"/>
  <c r="E75" i="53" s="1"/>
  <c r="G75" i="53" s="1"/>
  <c r="G75" i="46"/>
  <c r="L76" i="46" s="1"/>
  <c r="F75" i="46"/>
  <c r="D75" i="46"/>
  <c r="C75" i="46" s="1"/>
  <c r="E75" i="46" s="1"/>
  <c r="L76" i="44"/>
  <c r="I74" i="44"/>
  <c r="D76" i="53" l="1"/>
  <c r="F76" i="53"/>
  <c r="K76" i="46"/>
  <c r="H74" i="46"/>
  <c r="E76" i="44"/>
  <c r="D76" i="44" s="1"/>
  <c r="F76" i="44" s="1"/>
  <c r="H76" i="44"/>
  <c r="M77" i="44" s="1"/>
  <c r="G76" i="44"/>
  <c r="L77" i="53" l="1"/>
  <c r="H77" i="53" s="1"/>
  <c r="I75" i="53"/>
  <c r="M76" i="53" s="1"/>
  <c r="C76" i="53" s="1"/>
  <c r="E76" i="53" s="1"/>
  <c r="G76" i="53" s="1"/>
  <c r="L77" i="44"/>
  <c r="I75" i="44"/>
  <c r="D76" i="46"/>
  <c r="C76" i="46" s="1"/>
  <c r="E76" i="46" s="1"/>
  <c r="G76" i="46"/>
  <c r="L77" i="46" s="1"/>
  <c r="F76" i="46"/>
  <c r="D77" i="53" l="1"/>
  <c r="F77" i="53"/>
  <c r="G77" i="44"/>
  <c r="E77" i="44"/>
  <c r="D77" i="44" s="1"/>
  <c r="F77" i="44" s="1"/>
  <c r="H77" i="44"/>
  <c r="M78" i="44" s="1"/>
  <c r="K77" i="46"/>
  <c r="H75" i="46"/>
  <c r="L78" i="53" l="1"/>
  <c r="H78" i="53" s="1"/>
  <c r="I76" i="53"/>
  <c r="M77" i="53" s="1"/>
  <c r="C77" i="53" s="1"/>
  <c r="E77" i="53" s="1"/>
  <c r="G77" i="53" s="1"/>
  <c r="D77" i="46"/>
  <c r="C77" i="46" s="1"/>
  <c r="E77" i="46" s="1"/>
  <c r="F77" i="46"/>
  <c r="G77" i="46"/>
  <c r="L78" i="46" s="1"/>
  <c r="L78" i="44"/>
  <c r="I76" i="44"/>
  <c r="D78" i="53" l="1"/>
  <c r="F78" i="53"/>
  <c r="G78" i="44"/>
  <c r="E78" i="44"/>
  <c r="D78" i="44" s="1"/>
  <c r="F78" i="44" s="1"/>
  <c r="H78" i="44"/>
  <c r="M79" i="44" s="1"/>
  <c r="K78" i="46"/>
  <c r="H76" i="46"/>
  <c r="L79" i="53" l="1"/>
  <c r="H79" i="53" s="1"/>
  <c r="I77" i="53"/>
  <c r="M78" i="53" s="1"/>
  <c r="C78" i="53" s="1"/>
  <c r="E78" i="53" s="1"/>
  <c r="G78" i="53" s="1"/>
  <c r="L79" i="44"/>
  <c r="I77" i="44"/>
  <c r="G78" i="46"/>
  <c r="L79" i="46" s="1"/>
  <c r="D78" i="46"/>
  <c r="C78" i="46" s="1"/>
  <c r="E78" i="46" s="1"/>
  <c r="F78" i="46"/>
  <c r="D79" i="53" l="1"/>
  <c r="F79" i="53"/>
  <c r="G79" i="44"/>
  <c r="E79" i="44"/>
  <c r="D79" i="44" s="1"/>
  <c r="F79" i="44" s="1"/>
  <c r="H79" i="44"/>
  <c r="M80" i="44" s="1"/>
  <c r="K79" i="46"/>
  <c r="H77" i="46"/>
  <c r="L80" i="53" l="1"/>
  <c r="H80" i="53" s="1"/>
  <c r="I78" i="53"/>
  <c r="M79" i="53" s="1"/>
  <c r="C79" i="53" s="1"/>
  <c r="E79" i="53" s="1"/>
  <c r="G79" i="53" s="1"/>
  <c r="L80" i="44"/>
  <c r="I78" i="44"/>
  <c r="G79" i="46"/>
  <c r="L80" i="46" s="1"/>
  <c r="F79" i="46"/>
  <c r="D79" i="46"/>
  <c r="C79" i="46" s="1"/>
  <c r="E79" i="46" s="1"/>
  <c r="D80" i="53" l="1"/>
  <c r="F80" i="53"/>
  <c r="K80" i="46"/>
  <c r="H78" i="46"/>
  <c r="E80" i="44"/>
  <c r="D80" i="44" s="1"/>
  <c r="F80" i="44" s="1"/>
  <c r="G80" i="44"/>
  <c r="H80" i="44"/>
  <c r="M81" i="44" s="1"/>
  <c r="L81" i="53" l="1"/>
  <c r="H81" i="53" s="1"/>
  <c r="I79" i="53"/>
  <c r="M80" i="53" s="1"/>
  <c r="C80" i="53" s="1"/>
  <c r="E80" i="53" s="1"/>
  <c r="G80" i="53" s="1"/>
  <c r="L81" i="44"/>
  <c r="I79" i="44"/>
  <c r="G80" i="46"/>
  <c r="L81" i="46" s="1"/>
  <c r="F80" i="46"/>
  <c r="D80" i="46"/>
  <c r="C80" i="46" s="1"/>
  <c r="E80" i="46" s="1"/>
  <c r="F81" i="53" l="1"/>
  <c r="D81" i="53"/>
  <c r="K81" i="46"/>
  <c r="H79" i="46"/>
  <c r="G81" i="44"/>
  <c r="H81" i="44"/>
  <c r="M82" i="44" s="1"/>
  <c r="E81" i="44"/>
  <c r="D81" i="44" s="1"/>
  <c r="F81" i="44" s="1"/>
  <c r="L82" i="53" l="1"/>
  <c r="H82" i="53" s="1"/>
  <c r="I80" i="53"/>
  <c r="M81" i="53" s="1"/>
  <c r="C81" i="53" s="1"/>
  <c r="E81" i="53" s="1"/>
  <c r="G81" i="53" s="1"/>
  <c r="L82" i="44"/>
  <c r="I80" i="44"/>
  <c r="D81" i="46"/>
  <c r="G81" i="46"/>
  <c r="L82" i="46" s="1"/>
  <c r="F81" i="46"/>
  <c r="D82" i="53" l="1"/>
  <c r="F82" i="53"/>
  <c r="C81" i="46"/>
  <c r="E81" i="46" s="1"/>
  <c r="K82" i="46"/>
  <c r="H80" i="46"/>
  <c r="E82" i="44"/>
  <c r="D82" i="44" s="1"/>
  <c r="F82" i="44" s="1"/>
  <c r="G82" i="44"/>
  <c r="H82" i="44"/>
  <c r="M83" i="44" s="1"/>
  <c r="L83" i="53" l="1"/>
  <c r="H83" i="53" s="1"/>
  <c r="I81" i="53"/>
  <c r="M82" i="53" s="1"/>
  <c r="C82" i="53" s="1"/>
  <c r="E82" i="53" s="1"/>
  <c r="G82" i="53" s="1"/>
  <c r="D82" i="46"/>
  <c r="C82" i="46" s="1"/>
  <c r="E82" i="46" s="1"/>
  <c r="G82" i="46"/>
  <c r="L83" i="46" s="1"/>
  <c r="F82" i="46"/>
  <c r="L83" i="44"/>
  <c r="I81" i="44"/>
  <c r="D83" i="53" l="1"/>
  <c r="F83" i="53"/>
  <c r="G83" i="44"/>
  <c r="H83" i="44"/>
  <c r="M84" i="44" s="1"/>
  <c r="E83" i="44"/>
  <c r="D83" i="44" s="1"/>
  <c r="F83" i="44" s="1"/>
  <c r="K83" i="46"/>
  <c r="H81" i="46"/>
  <c r="L84" i="53" l="1"/>
  <c r="H84" i="53" s="1"/>
  <c r="I82" i="53"/>
  <c r="M83" i="53" s="1"/>
  <c r="C83" i="53" s="1"/>
  <c r="E83" i="53" s="1"/>
  <c r="G83" i="53" s="1"/>
  <c r="F83" i="46"/>
  <c r="D83" i="46"/>
  <c r="C83" i="46" s="1"/>
  <c r="E83" i="46" s="1"/>
  <c r="G83" i="46"/>
  <c r="L84" i="46" s="1"/>
  <c r="L84" i="44"/>
  <c r="I82" i="44"/>
  <c r="D84" i="53" l="1"/>
  <c r="F84" i="53"/>
  <c r="E84" i="44"/>
  <c r="D84" i="44" s="1"/>
  <c r="F84" i="44" s="1"/>
  <c r="H84" i="44"/>
  <c r="M85" i="44" s="1"/>
  <c r="G84" i="44"/>
  <c r="K84" i="46"/>
  <c r="H82" i="46"/>
  <c r="L85" i="53" l="1"/>
  <c r="H85" i="53" s="1"/>
  <c r="I83" i="53"/>
  <c r="M84" i="53" s="1"/>
  <c r="D84" i="46"/>
  <c r="C84" i="46" s="1"/>
  <c r="E84" i="46" s="1"/>
  <c r="G84" i="46"/>
  <c r="L85" i="46" s="1"/>
  <c r="F84" i="46"/>
  <c r="L85" i="44"/>
  <c r="I83" i="44"/>
  <c r="C84" i="53" l="1"/>
  <c r="E84" i="53" s="1"/>
  <c r="G84" i="53" s="1"/>
  <c r="D85" i="53"/>
  <c r="F85" i="53"/>
  <c r="E85" i="44"/>
  <c r="D85" i="44" s="1"/>
  <c r="F85" i="44" s="1"/>
  <c r="G85" i="44"/>
  <c r="H85" i="44"/>
  <c r="M86" i="44" s="1"/>
  <c r="K85" i="46"/>
  <c r="H83" i="46"/>
  <c r="L86" i="53" l="1"/>
  <c r="H86" i="53" s="1"/>
  <c r="I84" i="53"/>
  <c r="M85" i="53" s="1"/>
  <c r="C85" i="53" s="1"/>
  <c r="E85" i="53" s="1"/>
  <c r="G85" i="53" s="1"/>
  <c r="L86" i="44"/>
  <c r="I84" i="44"/>
  <c r="F85" i="46"/>
  <c r="D85" i="46"/>
  <c r="C85" i="46" s="1"/>
  <c r="E85" i="46" s="1"/>
  <c r="G85" i="46"/>
  <c r="L86" i="46" s="1"/>
  <c r="F86" i="53" l="1"/>
  <c r="D86" i="53"/>
  <c r="K86" i="46"/>
  <c r="H84" i="46"/>
  <c r="E86" i="44"/>
  <c r="D86" i="44" s="1"/>
  <c r="F86" i="44" s="1"/>
  <c r="G86" i="44"/>
  <c r="H86" i="44"/>
  <c r="M87" i="44" s="1"/>
  <c r="L87" i="53" l="1"/>
  <c r="H87" i="53" s="1"/>
  <c r="I85" i="53"/>
  <c r="M86" i="53" s="1"/>
  <c r="C86" i="53" s="1"/>
  <c r="E86" i="53" s="1"/>
  <c r="G86" i="53" s="1"/>
  <c r="L87" i="44"/>
  <c r="I85" i="44"/>
  <c r="F86" i="46"/>
  <c r="G86" i="46"/>
  <c r="L87" i="46" s="1"/>
  <c r="D86" i="46"/>
  <c r="C86" i="46" s="1"/>
  <c r="E86" i="46" s="1"/>
  <c r="D87" i="53" l="1"/>
  <c r="F87" i="53"/>
  <c r="K87" i="46"/>
  <c r="H85" i="46"/>
  <c r="H87" i="44"/>
  <c r="M88" i="44" s="1"/>
  <c r="E87" i="44"/>
  <c r="D87" i="44" s="1"/>
  <c r="F87" i="44" s="1"/>
  <c r="G87" i="44"/>
  <c r="L88" i="53" l="1"/>
  <c r="H88" i="53" s="1"/>
  <c r="I86" i="53"/>
  <c r="M87" i="53" s="1"/>
  <c r="C87" i="53" s="1"/>
  <c r="E87" i="53" s="1"/>
  <c r="G87" i="53" s="1"/>
  <c r="G87" i="46"/>
  <c r="L88" i="46" s="1"/>
  <c r="F87" i="46"/>
  <c r="D87" i="46"/>
  <c r="C87" i="46" s="1"/>
  <c r="E87" i="46" s="1"/>
  <c r="L88" i="44"/>
  <c r="I86" i="44"/>
  <c r="D88" i="53" l="1"/>
  <c r="F88" i="53"/>
  <c r="H88" i="44"/>
  <c r="M89" i="44" s="1"/>
  <c r="G88" i="44"/>
  <c r="E88" i="44"/>
  <c r="D88" i="44" s="1"/>
  <c r="F88" i="44" s="1"/>
  <c r="K88" i="46"/>
  <c r="H86" i="46"/>
  <c r="L89" i="53" l="1"/>
  <c r="H89" i="53" s="1"/>
  <c r="I87" i="53"/>
  <c r="M88" i="53" s="1"/>
  <c r="C88" i="53" s="1"/>
  <c r="E88" i="53" s="1"/>
  <c r="G88" i="53" s="1"/>
  <c r="D88" i="46"/>
  <c r="C88" i="46" s="1"/>
  <c r="E88" i="46" s="1"/>
  <c r="G88" i="46"/>
  <c r="L89" i="46" s="1"/>
  <c r="F88" i="46"/>
  <c r="L89" i="44"/>
  <c r="I87" i="44"/>
  <c r="D89" i="53" l="1"/>
  <c r="F89" i="53"/>
  <c r="G89" i="44"/>
  <c r="H89" i="44"/>
  <c r="M90" i="44" s="1"/>
  <c r="E89" i="44"/>
  <c r="D89" i="44" s="1"/>
  <c r="F89" i="44" s="1"/>
  <c r="K89" i="46"/>
  <c r="H87" i="46"/>
  <c r="L90" i="53" l="1"/>
  <c r="H90" i="53" s="1"/>
  <c r="I88" i="53"/>
  <c r="M89" i="53" s="1"/>
  <c r="C89" i="53" s="1"/>
  <c r="E89" i="53" s="1"/>
  <c r="G89" i="53" s="1"/>
  <c r="G89" i="46"/>
  <c r="L90" i="46" s="1"/>
  <c r="D89" i="46"/>
  <c r="C89" i="46" s="1"/>
  <c r="E89" i="46" s="1"/>
  <c r="F89" i="46"/>
  <c r="L90" i="44"/>
  <c r="I88" i="44"/>
  <c r="F90" i="53" l="1"/>
  <c r="D90" i="53"/>
  <c r="G90" i="44"/>
  <c r="E90" i="44"/>
  <c r="D90" i="44" s="1"/>
  <c r="F90" i="44" s="1"/>
  <c r="H90" i="44"/>
  <c r="M91" i="44" s="1"/>
  <c r="K90" i="46"/>
  <c r="H88" i="46"/>
  <c r="L91" i="53" l="1"/>
  <c r="H91" i="53" s="1"/>
  <c r="I89" i="53"/>
  <c r="M90" i="53" s="1"/>
  <c r="C90" i="53" s="1"/>
  <c r="E90" i="53" s="1"/>
  <c r="G90" i="53" s="1"/>
  <c r="D90" i="46"/>
  <c r="C90" i="46" s="1"/>
  <c r="E90" i="46" s="1"/>
  <c r="G90" i="46"/>
  <c r="L91" i="46" s="1"/>
  <c r="F90" i="46"/>
  <c r="L91" i="44"/>
  <c r="I89" i="44"/>
  <c r="D91" i="53" l="1"/>
  <c r="F91" i="53"/>
  <c r="H91" i="44"/>
  <c r="M92" i="44" s="1"/>
  <c r="E91" i="44"/>
  <c r="D91" i="44" s="1"/>
  <c r="F91" i="44" s="1"/>
  <c r="G91" i="44"/>
  <c r="K91" i="46"/>
  <c r="H89" i="46"/>
  <c r="L92" i="53" l="1"/>
  <c r="H92" i="53" s="1"/>
  <c r="I90" i="53"/>
  <c r="M91" i="53" s="1"/>
  <c r="C91" i="53" s="1"/>
  <c r="E91" i="53" s="1"/>
  <c r="G91" i="53" s="1"/>
  <c r="L92" i="44"/>
  <c r="I90" i="44"/>
  <c r="G91" i="46"/>
  <c r="L92" i="46" s="1"/>
  <c r="F91" i="46"/>
  <c r="D91" i="46"/>
  <c r="C91" i="46" s="1"/>
  <c r="E91" i="46" s="1"/>
  <c r="D92" i="53" l="1"/>
  <c r="F92" i="53"/>
  <c r="K92" i="46"/>
  <c r="H90" i="46"/>
  <c r="G92" i="44"/>
  <c r="E92" i="44"/>
  <c r="D92" i="44" s="1"/>
  <c r="F92" i="44" s="1"/>
  <c r="H92" i="44"/>
  <c r="M93" i="44" s="1"/>
  <c r="L93" i="53" l="1"/>
  <c r="H93" i="53" s="1"/>
  <c r="I91" i="53"/>
  <c r="M92" i="53" s="1"/>
  <c r="C92" i="53" s="1"/>
  <c r="E92" i="53" s="1"/>
  <c r="G92" i="53" s="1"/>
  <c r="D92" i="46"/>
  <c r="C92" i="46" s="1"/>
  <c r="E92" i="46" s="1"/>
  <c r="G92" i="46"/>
  <c r="L93" i="46" s="1"/>
  <c r="F92" i="46"/>
  <c r="L93" i="44"/>
  <c r="I91" i="44"/>
  <c r="F93" i="53" l="1"/>
  <c r="D93" i="53"/>
  <c r="H93" i="44"/>
  <c r="M94" i="44" s="1"/>
  <c r="E93" i="44"/>
  <c r="D93" i="44" s="1"/>
  <c r="F93" i="44" s="1"/>
  <c r="G93" i="44"/>
  <c r="K93" i="46"/>
  <c r="H91" i="46"/>
  <c r="L94" i="53" l="1"/>
  <c r="H94" i="53" s="1"/>
  <c r="I92" i="53"/>
  <c r="M93" i="53" s="1"/>
  <c r="C93" i="53" s="1"/>
  <c r="E93" i="53" s="1"/>
  <c r="G93" i="53" s="1"/>
  <c r="G93" i="46"/>
  <c r="L94" i="46" s="1"/>
  <c r="D93" i="46"/>
  <c r="C93" i="46" s="1"/>
  <c r="E93" i="46" s="1"/>
  <c r="F93" i="46"/>
  <c r="L94" i="44"/>
  <c r="I92" i="44"/>
  <c r="F94" i="53" l="1"/>
  <c r="D94" i="53"/>
  <c r="K94" i="46"/>
  <c r="H92" i="46"/>
  <c r="G94" i="44"/>
  <c r="E94" i="44"/>
  <c r="D94" i="44" s="1"/>
  <c r="F94" i="44" s="1"/>
  <c r="H94" i="44"/>
  <c r="M95" i="44" s="1"/>
  <c r="L95" i="53" l="1"/>
  <c r="H95" i="53" s="1"/>
  <c r="I93" i="53"/>
  <c r="M94" i="53" s="1"/>
  <c r="C94" i="53" s="1"/>
  <c r="E94" i="53" s="1"/>
  <c r="G94" i="53" s="1"/>
  <c r="L95" i="44"/>
  <c r="I93" i="44"/>
  <c r="G94" i="46"/>
  <c r="L95" i="46" s="1"/>
  <c r="D94" i="46"/>
  <c r="C94" i="46" s="1"/>
  <c r="E94" i="46" s="1"/>
  <c r="F94" i="46"/>
  <c r="F95" i="53" l="1"/>
  <c r="D95" i="53"/>
  <c r="G95" i="44"/>
  <c r="E95" i="44"/>
  <c r="D95" i="44" s="1"/>
  <c r="F95" i="44" s="1"/>
  <c r="H95" i="44"/>
  <c r="M96" i="44" s="1"/>
  <c r="K95" i="46"/>
  <c r="H93" i="46"/>
  <c r="L96" i="53" l="1"/>
  <c r="H96" i="53" s="1"/>
  <c r="I94" i="53"/>
  <c r="M95" i="53" s="1"/>
  <c r="C95" i="53" s="1"/>
  <c r="E95" i="53" s="1"/>
  <c r="G95" i="53" s="1"/>
  <c r="F95" i="46"/>
  <c r="D95" i="46"/>
  <c r="C95" i="46" s="1"/>
  <c r="E95" i="46" s="1"/>
  <c r="G95" i="46"/>
  <c r="L96" i="46" s="1"/>
  <c r="L96" i="44"/>
  <c r="I94" i="44"/>
  <c r="D96" i="53" l="1"/>
  <c r="F96" i="53"/>
  <c r="G96" i="44"/>
  <c r="H96" i="44"/>
  <c r="M97" i="44" s="1"/>
  <c r="E96" i="44"/>
  <c r="D96" i="44" s="1"/>
  <c r="F96" i="44" s="1"/>
  <c r="K96" i="46"/>
  <c r="H94" i="46"/>
  <c r="L97" i="53" l="1"/>
  <c r="H97" i="53" s="1"/>
  <c r="I95" i="53"/>
  <c r="M96" i="53" s="1"/>
  <c r="C96" i="53" s="1"/>
  <c r="E96" i="53" s="1"/>
  <c r="G96" i="53" s="1"/>
  <c r="G96" i="46"/>
  <c r="L97" i="46" s="1"/>
  <c r="F96" i="46"/>
  <c r="D96" i="46"/>
  <c r="C96" i="46" s="1"/>
  <c r="E96" i="46" s="1"/>
  <c r="L97" i="44"/>
  <c r="I95" i="44"/>
  <c r="F97" i="53" l="1"/>
  <c r="D97" i="53"/>
  <c r="G97" i="44"/>
  <c r="E97" i="44"/>
  <c r="D97" i="44" s="1"/>
  <c r="F97" i="44" s="1"/>
  <c r="H97" i="44"/>
  <c r="M98" i="44" s="1"/>
  <c r="K97" i="46"/>
  <c r="H95" i="46"/>
  <c r="L98" i="53" l="1"/>
  <c r="H98" i="53" s="1"/>
  <c r="I96" i="53"/>
  <c r="M97" i="53" s="1"/>
  <c r="C97" i="53" s="1"/>
  <c r="E97" i="53" s="1"/>
  <c r="G97" i="53" s="1"/>
  <c r="G97" i="46"/>
  <c r="L98" i="46" s="1"/>
  <c r="D97" i="46"/>
  <c r="C97" i="46" s="1"/>
  <c r="E97" i="46" s="1"/>
  <c r="F97" i="46"/>
  <c r="L98" i="44"/>
  <c r="I96" i="44"/>
  <c r="D98" i="53" l="1"/>
  <c r="F98" i="53"/>
  <c r="K98" i="46"/>
  <c r="H96" i="46"/>
  <c r="H98" i="44"/>
  <c r="M99" i="44" s="1"/>
  <c r="G98" i="44"/>
  <c r="E98" i="44"/>
  <c r="D98" i="44" s="1"/>
  <c r="F98" i="44" s="1"/>
  <c r="L99" i="53" l="1"/>
  <c r="H99" i="53" s="1"/>
  <c r="I97" i="53"/>
  <c r="M98" i="53" s="1"/>
  <c r="C98" i="53" s="1"/>
  <c r="E98" i="53" s="1"/>
  <c r="G98" i="53" s="1"/>
  <c r="L99" i="44"/>
  <c r="I97" i="44"/>
  <c r="F98" i="46"/>
  <c r="G98" i="46"/>
  <c r="L99" i="46" s="1"/>
  <c r="D98" i="46"/>
  <c r="C98" i="46" s="1"/>
  <c r="E98" i="46" s="1"/>
  <c r="D99" i="53" l="1"/>
  <c r="F99" i="53"/>
  <c r="H99" i="44"/>
  <c r="M100" i="44" s="1"/>
  <c r="G99" i="44"/>
  <c r="E99" i="44"/>
  <c r="D99" i="44" s="1"/>
  <c r="F99" i="44" s="1"/>
  <c r="K99" i="46"/>
  <c r="H97" i="46"/>
  <c r="L100" i="53" l="1"/>
  <c r="H100" i="53" s="1"/>
  <c r="I98" i="53"/>
  <c r="M99" i="53" s="1"/>
  <c r="C99" i="53" s="1"/>
  <c r="E99" i="53" s="1"/>
  <c r="G99" i="53" s="1"/>
  <c r="L100" i="44"/>
  <c r="I98" i="44"/>
  <c r="G99" i="46"/>
  <c r="L100" i="46" s="1"/>
  <c r="F99" i="46"/>
  <c r="D99" i="46"/>
  <c r="C99" i="46" s="1"/>
  <c r="E99" i="46" s="1"/>
  <c r="D100" i="53" l="1"/>
  <c r="F100" i="53"/>
  <c r="K100" i="46"/>
  <c r="H98" i="46"/>
  <c r="H100" i="44"/>
  <c r="M101" i="44" s="1"/>
  <c r="E100" i="44"/>
  <c r="D100" i="44" s="1"/>
  <c r="F100" i="44" s="1"/>
  <c r="G100" i="44"/>
  <c r="L101" i="53" l="1"/>
  <c r="H101" i="53" s="1"/>
  <c r="I99" i="53"/>
  <c r="M100" i="53" s="1"/>
  <c r="C100" i="53" s="1"/>
  <c r="E100" i="53" s="1"/>
  <c r="G100" i="53" s="1"/>
  <c r="L101" i="44"/>
  <c r="I99" i="44"/>
  <c r="G100" i="46"/>
  <c r="L101" i="46" s="1"/>
  <c r="F100" i="46"/>
  <c r="D100" i="46"/>
  <c r="C100" i="46" s="1"/>
  <c r="E100" i="46" s="1"/>
  <c r="D101" i="53" l="1"/>
  <c r="F101" i="53"/>
  <c r="K101" i="46"/>
  <c r="H99" i="46"/>
  <c r="E101" i="44"/>
  <c r="D101" i="44" s="1"/>
  <c r="F101" i="44" s="1"/>
  <c r="H101" i="44"/>
  <c r="M102" i="44" s="1"/>
  <c r="G101" i="44"/>
  <c r="L102" i="53" l="1"/>
  <c r="H102" i="53" s="1"/>
  <c r="I100" i="53"/>
  <c r="M101" i="53" s="1"/>
  <c r="C101" i="53" s="1"/>
  <c r="E101" i="53" s="1"/>
  <c r="G101" i="53" s="1"/>
  <c r="L102" i="44"/>
  <c r="I100" i="44"/>
  <c r="D101" i="46"/>
  <c r="C101" i="46" s="1"/>
  <c r="E101" i="46" s="1"/>
  <c r="F101" i="46"/>
  <c r="G101" i="46"/>
  <c r="L102" i="46" s="1"/>
  <c r="D102" i="53" l="1"/>
  <c r="F102" i="53"/>
  <c r="K102" i="46"/>
  <c r="H100" i="46"/>
  <c r="G102" i="44"/>
  <c r="E102" i="44"/>
  <c r="D102" i="44" s="1"/>
  <c r="F102" i="44" s="1"/>
  <c r="H102" i="44"/>
  <c r="M103" i="44" s="1"/>
  <c r="L103" i="53" l="1"/>
  <c r="H103" i="53" s="1"/>
  <c r="I101" i="53"/>
  <c r="M102" i="53" s="1"/>
  <c r="C102" i="53" s="1"/>
  <c r="E102" i="53" s="1"/>
  <c r="G102" i="53" s="1"/>
  <c r="L103" i="44"/>
  <c r="I101" i="44"/>
  <c r="F102" i="46"/>
  <c r="D102" i="46"/>
  <c r="C102" i="46" s="1"/>
  <c r="E102" i="46" s="1"/>
  <c r="G102" i="46"/>
  <c r="L103" i="46" s="1"/>
  <c r="D103" i="53" l="1"/>
  <c r="F103" i="53"/>
  <c r="K103" i="46"/>
  <c r="H101" i="46"/>
  <c r="G103" i="44"/>
  <c r="E103" i="44"/>
  <c r="D103" i="44" s="1"/>
  <c r="F103" i="44" s="1"/>
  <c r="H103" i="44"/>
  <c r="M104" i="44" s="1"/>
  <c r="L104" i="53" l="1"/>
  <c r="H104" i="53" s="1"/>
  <c r="I102" i="53"/>
  <c r="M103" i="53" s="1"/>
  <c r="C103" i="53" s="1"/>
  <c r="E103" i="53" s="1"/>
  <c r="G103" i="53" s="1"/>
  <c r="L104" i="44"/>
  <c r="I102" i="44"/>
  <c r="D103" i="46"/>
  <c r="C103" i="46" s="1"/>
  <c r="E103" i="46" s="1"/>
  <c r="G103" i="46"/>
  <c r="L104" i="46" s="1"/>
  <c r="F103" i="46"/>
  <c r="F104" i="53" l="1"/>
  <c r="D104" i="53"/>
  <c r="K104" i="46"/>
  <c r="H102" i="46"/>
  <c r="H104" i="44"/>
  <c r="M105" i="44" s="1"/>
  <c r="G104" i="44"/>
  <c r="E104" i="44"/>
  <c r="D104" i="44" s="1"/>
  <c r="F104" i="44" s="1"/>
  <c r="L105" i="53" l="1"/>
  <c r="H105" i="53" s="1"/>
  <c r="I103" i="53"/>
  <c r="M104" i="53" s="1"/>
  <c r="C104" i="53" s="1"/>
  <c r="E104" i="53" s="1"/>
  <c r="G104" i="53" s="1"/>
  <c r="L105" i="44"/>
  <c r="I103" i="44"/>
  <c r="G104" i="46"/>
  <c r="L105" i="46" s="1"/>
  <c r="F104" i="46"/>
  <c r="D104" i="46"/>
  <c r="C104" i="46" s="1"/>
  <c r="E104" i="46" s="1"/>
  <c r="D105" i="53" l="1"/>
  <c r="F105" i="53"/>
  <c r="K105" i="46"/>
  <c r="H103" i="46"/>
  <c r="G105" i="44"/>
  <c r="H105" i="44"/>
  <c r="M106" i="44" s="1"/>
  <c r="E105" i="44"/>
  <c r="D105" i="44" s="1"/>
  <c r="F105" i="44" s="1"/>
  <c r="L106" i="53" l="1"/>
  <c r="H106" i="53" s="1"/>
  <c r="I104" i="53"/>
  <c r="M105" i="53" s="1"/>
  <c r="C105" i="53" s="1"/>
  <c r="E105" i="53" s="1"/>
  <c r="G105" i="53" s="1"/>
  <c r="L106" i="44"/>
  <c r="I104" i="44"/>
  <c r="D105" i="46"/>
  <c r="C105" i="46" s="1"/>
  <c r="E105" i="46" s="1"/>
  <c r="G105" i="46"/>
  <c r="L106" i="46" s="1"/>
  <c r="F105" i="46"/>
  <c r="D106" i="53" l="1"/>
  <c r="F106" i="53"/>
  <c r="G106" i="44"/>
  <c r="E106" i="44"/>
  <c r="D106" i="44" s="1"/>
  <c r="F106" i="44" s="1"/>
  <c r="H106" i="44"/>
  <c r="M107" i="44" s="1"/>
  <c r="K106" i="46"/>
  <c r="H104" i="46"/>
  <c r="L107" i="53" l="1"/>
  <c r="H107" i="53" s="1"/>
  <c r="I105" i="53"/>
  <c r="M106" i="53" s="1"/>
  <c r="C106" i="53" s="1"/>
  <c r="E106" i="53" s="1"/>
  <c r="G106" i="53" s="1"/>
  <c r="L107" i="44"/>
  <c r="I105" i="44"/>
  <c r="F106" i="46"/>
  <c r="D106" i="46"/>
  <c r="C106" i="46" s="1"/>
  <c r="E106" i="46" s="1"/>
  <c r="G106" i="46"/>
  <c r="L107" i="46" s="1"/>
  <c r="D107" i="53" l="1"/>
  <c r="F107" i="53"/>
  <c r="K107" i="46"/>
  <c r="H105" i="46"/>
  <c r="E107" i="44"/>
  <c r="D107" i="44" s="1"/>
  <c r="F107" i="44" s="1"/>
  <c r="H107" i="44"/>
  <c r="M108" i="44" s="1"/>
  <c r="G107" i="44"/>
  <c r="L108" i="53" l="1"/>
  <c r="H108" i="53" s="1"/>
  <c r="I106" i="53"/>
  <c r="M107" i="53" s="1"/>
  <c r="C107" i="53" s="1"/>
  <c r="E107" i="53" s="1"/>
  <c r="G107" i="53" s="1"/>
  <c r="F107" i="46"/>
  <c r="D107" i="46"/>
  <c r="C107" i="46" s="1"/>
  <c r="E107" i="46" s="1"/>
  <c r="G107" i="46"/>
  <c r="L108" i="46" s="1"/>
  <c r="L108" i="44"/>
  <c r="I106" i="44"/>
  <c r="D108" i="53" l="1"/>
  <c r="F108" i="53"/>
  <c r="E108" i="44"/>
  <c r="D108" i="44" s="1"/>
  <c r="F108" i="44" s="1"/>
  <c r="H108" i="44"/>
  <c r="M109" i="44" s="1"/>
  <c r="G108" i="44"/>
  <c r="K108" i="46"/>
  <c r="H106" i="46"/>
  <c r="L109" i="53" l="1"/>
  <c r="H109" i="53" s="1"/>
  <c r="I107" i="53"/>
  <c r="M108" i="53" s="1"/>
  <c r="C108" i="53" s="1"/>
  <c r="E108" i="53" s="1"/>
  <c r="G108" i="53" s="1"/>
  <c r="L109" i="44"/>
  <c r="I107" i="44"/>
  <c r="G108" i="46"/>
  <c r="L109" i="46" s="1"/>
  <c r="F108" i="46"/>
  <c r="D108" i="46"/>
  <c r="C108" i="46" s="1"/>
  <c r="E108" i="46" s="1"/>
  <c r="D109" i="53" l="1"/>
  <c r="F109" i="53"/>
  <c r="K109" i="46"/>
  <c r="H107" i="46"/>
  <c r="H109" i="44"/>
  <c r="M110" i="44" s="1"/>
  <c r="G109" i="44"/>
  <c r="E109" i="44"/>
  <c r="D109" i="44" s="1"/>
  <c r="F109" i="44" s="1"/>
  <c r="L110" i="53" l="1"/>
  <c r="H110" i="53" s="1"/>
  <c r="I108" i="53"/>
  <c r="M109" i="53" s="1"/>
  <c r="C109" i="53" s="1"/>
  <c r="E109" i="53" s="1"/>
  <c r="G109" i="53" s="1"/>
  <c r="L110" i="44"/>
  <c r="I108" i="44"/>
  <c r="D109" i="46"/>
  <c r="C109" i="46" s="1"/>
  <c r="E109" i="46" s="1"/>
  <c r="G109" i="46"/>
  <c r="L110" i="46" s="1"/>
  <c r="F109" i="46"/>
  <c r="D110" i="53" l="1"/>
  <c r="F110" i="53"/>
  <c r="K110" i="46"/>
  <c r="H108" i="46"/>
  <c r="E110" i="44"/>
  <c r="D110" i="44" s="1"/>
  <c r="F110" i="44" s="1"/>
  <c r="H110" i="44"/>
  <c r="M111" i="44" s="1"/>
  <c r="G110" i="44"/>
  <c r="L111" i="53" l="1"/>
  <c r="H111" i="53" s="1"/>
  <c r="I109" i="53"/>
  <c r="M110" i="53" s="1"/>
  <c r="C110" i="53" s="1"/>
  <c r="E110" i="53" s="1"/>
  <c r="G110" i="53" s="1"/>
  <c r="L111" i="44"/>
  <c r="I109" i="44"/>
  <c r="F110" i="46"/>
  <c r="G110" i="46"/>
  <c r="L111" i="46" s="1"/>
  <c r="D110" i="46"/>
  <c r="C110" i="46" s="1"/>
  <c r="E110" i="46" s="1"/>
  <c r="D111" i="53" l="1"/>
  <c r="F111" i="53"/>
  <c r="K111" i="46"/>
  <c r="H109" i="46"/>
  <c r="H111" i="44"/>
  <c r="M112" i="44" s="1"/>
  <c r="G111" i="44"/>
  <c r="E111" i="44"/>
  <c r="D111" i="44" s="1"/>
  <c r="F111" i="44" s="1"/>
  <c r="L112" i="53" l="1"/>
  <c r="H112" i="53" s="1"/>
  <c r="I110" i="53"/>
  <c r="M111" i="53" s="1"/>
  <c r="C111" i="53" s="1"/>
  <c r="E111" i="53" s="1"/>
  <c r="G111" i="53" s="1"/>
  <c r="L112" i="44"/>
  <c r="I110" i="44"/>
  <c r="F111" i="46"/>
  <c r="D111" i="46"/>
  <c r="C111" i="46" s="1"/>
  <c r="E111" i="46" s="1"/>
  <c r="G111" i="46"/>
  <c r="L112" i="46" s="1"/>
  <c r="D112" i="53" l="1"/>
  <c r="F112" i="53"/>
  <c r="K112" i="46"/>
  <c r="H110" i="46"/>
  <c r="H112" i="44"/>
  <c r="M113" i="44" s="1"/>
  <c r="G112" i="44"/>
  <c r="E112" i="44"/>
  <c r="D112" i="44" s="1"/>
  <c r="F112" i="44" s="1"/>
  <c r="L113" i="53" l="1"/>
  <c r="H113" i="53" s="1"/>
  <c r="I111" i="53"/>
  <c r="M112" i="53" s="1"/>
  <c r="C112" i="53" s="1"/>
  <c r="E112" i="53" s="1"/>
  <c r="G112" i="53" s="1"/>
  <c r="L113" i="44"/>
  <c r="I111" i="44"/>
  <c r="G112" i="46"/>
  <c r="L113" i="46" s="1"/>
  <c r="D112" i="46"/>
  <c r="C112" i="46" s="1"/>
  <c r="E112" i="46" s="1"/>
  <c r="F112" i="46"/>
  <c r="D113" i="53" l="1"/>
  <c r="F113" i="53"/>
  <c r="K113" i="46"/>
  <c r="H111" i="46"/>
  <c r="H113" i="44"/>
  <c r="M114" i="44" s="1"/>
  <c r="G113" i="44"/>
  <c r="E113" i="44"/>
  <c r="D113" i="44" s="1"/>
  <c r="F113" i="44" s="1"/>
  <c r="L114" i="53" l="1"/>
  <c r="H114" i="53" s="1"/>
  <c r="I112" i="53"/>
  <c r="M113" i="53" s="1"/>
  <c r="C113" i="53" s="1"/>
  <c r="E113" i="53" s="1"/>
  <c r="G113" i="53" s="1"/>
  <c r="L114" i="44"/>
  <c r="I112" i="44"/>
  <c r="D113" i="46"/>
  <c r="C113" i="46" s="1"/>
  <c r="E113" i="46" s="1"/>
  <c r="G113" i="46"/>
  <c r="L114" i="46" s="1"/>
  <c r="F113" i="46"/>
  <c r="D114" i="53" l="1"/>
  <c r="F114" i="53"/>
  <c r="K114" i="46"/>
  <c r="H112" i="46"/>
  <c r="E114" i="44"/>
  <c r="D114" i="44" s="1"/>
  <c r="F114" i="44" s="1"/>
  <c r="H114" i="44"/>
  <c r="M115" i="44" s="1"/>
  <c r="G114" i="44"/>
  <c r="L115" i="53" l="1"/>
  <c r="H115" i="53" s="1"/>
  <c r="I113" i="53"/>
  <c r="M114" i="53" s="1"/>
  <c r="L115" i="44"/>
  <c r="I113" i="44"/>
  <c r="D114" i="46"/>
  <c r="C114" i="46" s="1"/>
  <c r="E114" i="46" s="1"/>
  <c r="G114" i="46"/>
  <c r="L115" i="46" s="1"/>
  <c r="F114" i="46"/>
  <c r="C114" i="53" l="1"/>
  <c r="E114" i="53" s="1"/>
  <c r="G114" i="53" s="1"/>
  <c r="D115" i="53"/>
  <c r="F115" i="53"/>
  <c r="E115" i="44"/>
  <c r="D115" i="44" s="1"/>
  <c r="F115" i="44" s="1"/>
  <c r="H115" i="44"/>
  <c r="M116" i="44" s="1"/>
  <c r="G115" i="44"/>
  <c r="K115" i="46"/>
  <c r="H113" i="46"/>
  <c r="L116" i="53" l="1"/>
  <c r="H116" i="53" s="1"/>
  <c r="I114" i="53"/>
  <c r="M115" i="53" s="1"/>
  <c r="D115" i="46"/>
  <c r="C115" i="46" s="1"/>
  <c r="E115" i="46" s="1"/>
  <c r="G115" i="46"/>
  <c r="L116" i="46" s="1"/>
  <c r="F115" i="46"/>
  <c r="L116" i="44"/>
  <c r="I114" i="44"/>
  <c r="C115" i="53" l="1"/>
  <c r="E115" i="53" s="1"/>
  <c r="G115" i="53" s="1"/>
  <c r="D116" i="53"/>
  <c r="F116" i="53"/>
  <c r="K116" i="46"/>
  <c r="H114" i="46"/>
  <c r="G116" i="44"/>
  <c r="E116" i="44"/>
  <c r="D116" i="44" s="1"/>
  <c r="F116" i="44" s="1"/>
  <c r="H116" i="44"/>
  <c r="M117" i="44" s="1"/>
  <c r="L117" i="53" l="1"/>
  <c r="H117" i="53" s="1"/>
  <c r="I115" i="53"/>
  <c r="M116" i="53" s="1"/>
  <c r="L117" i="44"/>
  <c r="I115" i="44"/>
  <c r="G116" i="46"/>
  <c r="L117" i="46" s="1"/>
  <c r="D116" i="46"/>
  <c r="C116" i="46" s="1"/>
  <c r="E116" i="46" s="1"/>
  <c r="F116" i="46"/>
  <c r="C116" i="53" l="1"/>
  <c r="E116" i="53" s="1"/>
  <c r="G116" i="53" s="1"/>
  <c r="D117" i="53"/>
  <c r="F117" i="53"/>
  <c r="K117" i="46"/>
  <c r="H115" i="46"/>
  <c r="E117" i="44"/>
  <c r="D117" i="44" s="1"/>
  <c r="F117" i="44" s="1"/>
  <c r="G117" i="44"/>
  <c r="H117" i="44"/>
  <c r="M118" i="44" s="1"/>
  <c r="L118" i="53" l="1"/>
  <c r="H118" i="53" s="1"/>
  <c r="I116" i="53"/>
  <c r="M117" i="53" s="1"/>
  <c r="C117" i="53" s="1"/>
  <c r="E117" i="53" s="1"/>
  <c r="G117" i="53" s="1"/>
  <c r="L118" i="44"/>
  <c r="I116" i="44"/>
  <c r="G117" i="46"/>
  <c r="L118" i="46" s="1"/>
  <c r="F117" i="46"/>
  <c r="D117" i="46"/>
  <c r="C117" i="46" s="1"/>
  <c r="E117" i="46" s="1"/>
  <c r="D118" i="53" l="1"/>
  <c r="F118" i="53"/>
  <c r="K118" i="46"/>
  <c r="H116" i="46"/>
  <c r="E118" i="44"/>
  <c r="D118" i="44" s="1"/>
  <c r="F118" i="44" s="1"/>
  <c r="H118" i="44"/>
  <c r="M119" i="44" s="1"/>
  <c r="G118" i="44"/>
  <c r="L119" i="53" l="1"/>
  <c r="H119" i="53" s="1"/>
  <c r="I117" i="53"/>
  <c r="M118" i="53" s="1"/>
  <c r="C118" i="53" s="1"/>
  <c r="E118" i="53" s="1"/>
  <c r="G118" i="53" s="1"/>
  <c r="L119" i="44"/>
  <c r="I117" i="44"/>
  <c r="D118" i="46"/>
  <c r="G118" i="46"/>
  <c r="L119" i="46" s="1"/>
  <c r="F118" i="46"/>
  <c r="F119" i="53" l="1"/>
  <c r="D119" i="53"/>
  <c r="C118" i="46"/>
  <c r="E118" i="46" s="1"/>
  <c r="K119" i="46"/>
  <c r="H117" i="46"/>
  <c r="E119" i="44"/>
  <c r="D119" i="44" s="1"/>
  <c r="F119" i="44" s="1"/>
  <c r="H119" i="44"/>
  <c r="M120" i="44" s="1"/>
  <c r="G119" i="44"/>
  <c r="L120" i="53" l="1"/>
  <c r="H120" i="53" s="1"/>
  <c r="I118" i="53"/>
  <c r="M119" i="53" s="1"/>
  <c r="C119" i="53" s="1"/>
  <c r="E119" i="53" s="1"/>
  <c r="G119" i="53" s="1"/>
  <c r="D119" i="46"/>
  <c r="C119" i="46" s="1"/>
  <c r="E119" i="46" s="1"/>
  <c r="G119" i="46"/>
  <c r="L120" i="46" s="1"/>
  <c r="F119" i="46"/>
  <c r="L120" i="44"/>
  <c r="I118" i="44"/>
  <c r="D120" i="53" l="1"/>
  <c r="F120" i="53"/>
  <c r="H120" i="44"/>
  <c r="M121" i="44" s="1"/>
  <c r="G120" i="44"/>
  <c r="E120" i="44"/>
  <c r="D120" i="44" s="1"/>
  <c r="F120" i="44" s="1"/>
  <c r="K120" i="46"/>
  <c r="H118" i="46"/>
  <c r="L121" i="53" l="1"/>
  <c r="H121" i="53" s="1"/>
  <c r="I119" i="53"/>
  <c r="M120" i="53" s="1"/>
  <c r="C120" i="53" s="1"/>
  <c r="E120" i="53" s="1"/>
  <c r="G120" i="53" s="1"/>
  <c r="G120" i="46"/>
  <c r="L121" i="46" s="1"/>
  <c r="D120" i="46"/>
  <c r="C120" i="46" s="1"/>
  <c r="E120" i="46" s="1"/>
  <c r="F120" i="46"/>
  <c r="L121" i="44"/>
  <c r="I119" i="44"/>
  <c r="F121" i="53" l="1"/>
  <c r="D121" i="53"/>
  <c r="H121" i="44"/>
  <c r="M122" i="44" s="1"/>
  <c r="G121" i="44"/>
  <c r="E121" i="44"/>
  <c r="D121" i="44" s="1"/>
  <c r="F121" i="44" s="1"/>
  <c r="K121" i="46"/>
  <c r="H119" i="46"/>
  <c r="L122" i="53" l="1"/>
  <c r="H122" i="53" s="1"/>
  <c r="I120" i="53"/>
  <c r="M121" i="53" s="1"/>
  <c r="C121" i="53" s="1"/>
  <c r="E121" i="53" s="1"/>
  <c r="G121" i="53" s="1"/>
  <c r="L122" i="44"/>
  <c r="I120" i="44"/>
  <c r="D121" i="46"/>
  <c r="C121" i="46" s="1"/>
  <c r="E121" i="46" s="1"/>
  <c r="G121" i="46"/>
  <c r="L122" i="46" s="1"/>
  <c r="F121" i="46"/>
  <c r="D122" i="53" l="1"/>
  <c r="F122" i="53"/>
  <c r="K122" i="46"/>
  <c r="H120" i="46"/>
  <c r="H122" i="44"/>
  <c r="M123" i="44" s="1"/>
  <c r="G122" i="44"/>
  <c r="E122" i="44"/>
  <c r="D122" i="44" s="1"/>
  <c r="F122" i="44" s="1"/>
  <c r="L123" i="53" l="1"/>
  <c r="H123" i="53" s="1"/>
  <c r="I121" i="53"/>
  <c r="M122" i="53" s="1"/>
  <c r="C122" i="53" s="1"/>
  <c r="E122" i="53" s="1"/>
  <c r="G122" i="53" s="1"/>
  <c r="L123" i="44"/>
  <c r="I121" i="44"/>
  <c r="F122" i="46"/>
  <c r="D122" i="46"/>
  <c r="C122" i="46" s="1"/>
  <c r="E122" i="46" s="1"/>
  <c r="G122" i="46"/>
  <c r="L123" i="46" s="1"/>
  <c r="F123" i="53" l="1"/>
  <c r="D123" i="53"/>
  <c r="K123" i="46"/>
  <c r="H121" i="46"/>
  <c r="G123" i="44"/>
  <c r="E123" i="44"/>
  <c r="D123" i="44" s="1"/>
  <c r="F123" i="44" s="1"/>
  <c r="H123" i="44"/>
  <c r="M124" i="44" s="1"/>
  <c r="L124" i="53" l="1"/>
  <c r="H124" i="53" s="1"/>
  <c r="I122" i="53"/>
  <c r="M123" i="53" s="1"/>
  <c r="C123" i="53" s="1"/>
  <c r="E123" i="53" s="1"/>
  <c r="G123" i="53" s="1"/>
  <c r="F123" i="46"/>
  <c r="D123" i="46"/>
  <c r="C123" i="46" s="1"/>
  <c r="E123" i="46" s="1"/>
  <c r="G123" i="46"/>
  <c r="L124" i="46" s="1"/>
  <c r="L124" i="44"/>
  <c r="I122" i="44"/>
  <c r="D124" i="53" l="1"/>
  <c r="F124" i="53"/>
  <c r="H124" i="44"/>
  <c r="M125" i="44" s="1"/>
  <c r="E124" i="44"/>
  <c r="D124" i="44" s="1"/>
  <c r="F124" i="44" s="1"/>
  <c r="G124" i="44"/>
  <c r="K124" i="46"/>
  <c r="H122" i="46"/>
  <c r="L125" i="53" l="1"/>
  <c r="H125" i="53" s="1"/>
  <c r="I123" i="53"/>
  <c r="M124" i="53" s="1"/>
  <c r="C124" i="53" s="1"/>
  <c r="E124" i="53" s="1"/>
  <c r="G124" i="53" s="1"/>
  <c r="G124" i="46"/>
  <c r="L125" i="46" s="1"/>
  <c r="D124" i="46"/>
  <c r="C124" i="46" s="1"/>
  <c r="E124" i="46" s="1"/>
  <c r="F124" i="46"/>
  <c r="L125" i="44"/>
  <c r="I123" i="44"/>
  <c r="D125" i="53" l="1"/>
  <c r="F125" i="53"/>
  <c r="H125" i="44"/>
  <c r="M126" i="44" s="1"/>
  <c r="G125" i="44"/>
  <c r="E125" i="44"/>
  <c r="D125" i="44" s="1"/>
  <c r="F125" i="44" s="1"/>
  <c r="K125" i="46"/>
  <c r="H123" i="46"/>
  <c r="L126" i="53" l="1"/>
  <c r="H126" i="53" s="1"/>
  <c r="I124" i="53"/>
  <c r="M125" i="53" s="1"/>
  <c r="C125" i="53" s="1"/>
  <c r="E125" i="53" s="1"/>
  <c r="G125" i="53" s="1"/>
  <c r="D125" i="46"/>
  <c r="C125" i="46" s="1"/>
  <c r="E125" i="46" s="1"/>
  <c r="G125" i="46"/>
  <c r="L126" i="46" s="1"/>
  <c r="F125" i="46"/>
  <c r="L126" i="44"/>
  <c r="I124" i="44"/>
  <c r="D126" i="53" l="1"/>
  <c r="F126" i="53"/>
  <c r="E126" i="44"/>
  <c r="D126" i="44" s="1"/>
  <c r="F126" i="44" s="1"/>
  <c r="H126" i="44"/>
  <c r="M127" i="44" s="1"/>
  <c r="G126" i="44"/>
  <c r="K126" i="46"/>
  <c r="H124" i="46"/>
  <c r="L127" i="53" l="1"/>
  <c r="H127" i="53" s="1"/>
  <c r="I125" i="53"/>
  <c r="M126" i="53" s="1"/>
  <c r="C126" i="53" s="1"/>
  <c r="E126" i="53" s="1"/>
  <c r="G126" i="53" s="1"/>
  <c r="L127" i="44"/>
  <c r="I125" i="44"/>
  <c r="F126" i="46"/>
  <c r="G126" i="46"/>
  <c r="L127" i="46" s="1"/>
  <c r="D126" i="46"/>
  <c r="C126" i="46" s="1"/>
  <c r="E126" i="46" s="1"/>
  <c r="D127" i="53" l="1"/>
  <c r="F127" i="53"/>
  <c r="K127" i="46"/>
  <c r="H125" i="46"/>
  <c r="H127" i="44"/>
  <c r="M128" i="44" s="1"/>
  <c r="G127" i="44"/>
  <c r="E127" i="44"/>
  <c r="D127" i="44" s="1"/>
  <c r="F127" i="44" s="1"/>
  <c r="L128" i="53" l="1"/>
  <c r="H128" i="53" s="1"/>
  <c r="I126" i="53"/>
  <c r="M127" i="53" s="1"/>
  <c r="C127" i="53" s="1"/>
  <c r="E127" i="53" s="1"/>
  <c r="G127" i="53" s="1"/>
  <c r="L128" i="44"/>
  <c r="I126" i="44"/>
  <c r="F127" i="46"/>
  <c r="D127" i="46"/>
  <c r="C127" i="46" s="1"/>
  <c r="E127" i="46" s="1"/>
  <c r="G127" i="46"/>
  <c r="L128" i="46" s="1"/>
  <c r="D128" i="53" l="1"/>
  <c r="F128" i="53"/>
  <c r="K128" i="46"/>
  <c r="H126" i="46"/>
  <c r="H128" i="44"/>
  <c r="M129" i="44" s="1"/>
  <c r="G128" i="44"/>
  <c r="E128" i="44"/>
  <c r="D128" i="44" s="1"/>
  <c r="F128" i="44" s="1"/>
  <c r="L129" i="53" l="1"/>
  <c r="H129" i="53" s="1"/>
  <c r="I127" i="53"/>
  <c r="M128" i="53" s="1"/>
  <c r="C128" i="53" s="1"/>
  <c r="E128" i="53" s="1"/>
  <c r="G128" i="53" s="1"/>
  <c r="L129" i="44"/>
  <c r="I127" i="44"/>
  <c r="D128" i="46"/>
  <c r="C128" i="46" s="1"/>
  <c r="E128" i="46" s="1"/>
  <c r="G128" i="46"/>
  <c r="L129" i="46" s="1"/>
  <c r="F128" i="46"/>
  <c r="D129" i="53" l="1"/>
  <c r="F129" i="53"/>
  <c r="K129" i="46"/>
  <c r="H127" i="46"/>
  <c r="H129" i="44"/>
  <c r="M130" i="44" s="1"/>
  <c r="G129" i="44"/>
  <c r="E129" i="44"/>
  <c r="D129" i="44" s="1"/>
  <c r="F129" i="44" s="1"/>
  <c r="L130" i="53" l="1"/>
  <c r="H130" i="53" s="1"/>
  <c r="I128" i="53"/>
  <c r="M129" i="53" s="1"/>
  <c r="C129" i="53" s="1"/>
  <c r="E129" i="53" s="1"/>
  <c r="G129" i="53" s="1"/>
  <c r="L130" i="44"/>
  <c r="I128" i="44"/>
  <c r="G129" i="46"/>
  <c r="L130" i="46" s="1"/>
  <c r="F129" i="46"/>
  <c r="D129" i="46"/>
  <c r="C129" i="46" s="1"/>
  <c r="E129" i="46" s="1"/>
  <c r="D130" i="53" l="1"/>
  <c r="F130" i="53"/>
  <c r="K130" i="46"/>
  <c r="H128" i="46"/>
  <c r="G130" i="44"/>
  <c r="E130" i="44"/>
  <c r="D130" i="44" s="1"/>
  <c r="F130" i="44" s="1"/>
  <c r="H130" i="44"/>
  <c r="M131" i="44" s="1"/>
  <c r="L131" i="53" l="1"/>
  <c r="H131" i="53" s="1"/>
  <c r="I129" i="53"/>
  <c r="M130" i="53" s="1"/>
  <c r="C130" i="53" s="1"/>
  <c r="E130" i="53" s="1"/>
  <c r="G130" i="53" s="1"/>
  <c r="F130" i="46"/>
  <c r="D130" i="46"/>
  <c r="C130" i="46" s="1"/>
  <c r="E130" i="46" s="1"/>
  <c r="G130" i="46"/>
  <c r="L131" i="46" s="1"/>
  <c r="L131" i="44"/>
  <c r="I129" i="44"/>
  <c r="F131" i="53" l="1"/>
  <c r="D131" i="53"/>
  <c r="G131" i="44"/>
  <c r="E131" i="44"/>
  <c r="D131" i="44" s="1"/>
  <c r="F131" i="44" s="1"/>
  <c r="H131" i="44"/>
  <c r="M132" i="44" s="1"/>
  <c r="K131" i="46"/>
  <c r="H129" i="46"/>
  <c r="L132" i="53" l="1"/>
  <c r="H132" i="53" s="1"/>
  <c r="I130" i="53"/>
  <c r="M131" i="53" s="1"/>
  <c r="C131" i="53" s="1"/>
  <c r="E131" i="53" s="1"/>
  <c r="G131" i="53" s="1"/>
  <c r="F131" i="46"/>
  <c r="D131" i="46"/>
  <c r="C131" i="46" s="1"/>
  <c r="E131" i="46" s="1"/>
  <c r="G131" i="46"/>
  <c r="L132" i="46" s="1"/>
  <c r="L132" i="44"/>
  <c r="I130" i="44"/>
  <c r="F132" i="53" l="1"/>
  <c r="D132" i="53"/>
  <c r="G132" i="44"/>
  <c r="E132" i="44"/>
  <c r="D132" i="44" s="1"/>
  <c r="F132" i="44" s="1"/>
  <c r="H132" i="44"/>
  <c r="M133" i="44" s="1"/>
  <c r="K132" i="46"/>
  <c r="H130" i="46"/>
  <c r="L133" i="53" l="1"/>
  <c r="H133" i="53" s="1"/>
  <c r="I131" i="53"/>
  <c r="M132" i="53" s="1"/>
  <c r="C132" i="53" s="1"/>
  <c r="E132" i="53" s="1"/>
  <c r="G132" i="53" s="1"/>
  <c r="F132" i="46"/>
  <c r="D132" i="46"/>
  <c r="C132" i="46" s="1"/>
  <c r="E132" i="46" s="1"/>
  <c r="G132" i="46"/>
  <c r="L133" i="46" s="1"/>
  <c r="L133" i="44"/>
  <c r="I131" i="44"/>
  <c r="D133" i="53" l="1"/>
  <c r="F133" i="53"/>
  <c r="E133" i="44"/>
  <c r="D133" i="44" s="1"/>
  <c r="F133" i="44" s="1"/>
  <c r="H133" i="44"/>
  <c r="M134" i="44" s="1"/>
  <c r="G133" i="44"/>
  <c r="K133" i="46"/>
  <c r="H131" i="46"/>
  <c r="L134" i="53" l="1"/>
  <c r="H134" i="53" s="1"/>
  <c r="I132" i="53"/>
  <c r="M133" i="53" s="1"/>
  <c r="C133" i="53" s="1"/>
  <c r="E133" i="53" s="1"/>
  <c r="G133" i="53" s="1"/>
  <c r="D133" i="46"/>
  <c r="C133" i="46" s="1"/>
  <c r="E133" i="46" s="1"/>
  <c r="G133" i="46"/>
  <c r="L134" i="46" s="1"/>
  <c r="F133" i="46"/>
  <c r="L134" i="44"/>
  <c r="I132" i="44"/>
  <c r="D134" i="53" l="1"/>
  <c r="F134" i="53"/>
  <c r="K134" i="46"/>
  <c r="H132" i="46"/>
  <c r="G134" i="44"/>
  <c r="E134" i="44"/>
  <c r="D134" i="44" s="1"/>
  <c r="F134" i="44" s="1"/>
  <c r="H134" i="44"/>
  <c r="M135" i="44" s="1"/>
  <c r="L135" i="53" l="1"/>
  <c r="H135" i="53" s="1"/>
  <c r="I133" i="53"/>
  <c r="M134" i="53" s="1"/>
  <c r="C134" i="53" s="1"/>
  <c r="E134" i="53" s="1"/>
  <c r="G134" i="53" s="1"/>
  <c r="L135" i="44"/>
  <c r="I133" i="44"/>
  <c r="F134" i="46"/>
  <c r="D134" i="46"/>
  <c r="C134" i="46" s="1"/>
  <c r="E134" i="46" s="1"/>
  <c r="G134" i="46"/>
  <c r="L135" i="46" s="1"/>
  <c r="F135" i="53" l="1"/>
  <c r="D135" i="53"/>
  <c r="K135" i="46"/>
  <c r="H133" i="46"/>
  <c r="G135" i="44"/>
  <c r="E135" i="44"/>
  <c r="D135" i="44" s="1"/>
  <c r="F135" i="44" s="1"/>
  <c r="H135" i="44"/>
  <c r="M136" i="44" s="1"/>
  <c r="L136" i="53" l="1"/>
  <c r="H136" i="53" s="1"/>
  <c r="I134" i="53"/>
  <c r="M135" i="53" s="1"/>
  <c r="C135" i="53" s="1"/>
  <c r="E135" i="53" s="1"/>
  <c r="G135" i="53" s="1"/>
  <c r="L136" i="44"/>
  <c r="I134" i="44"/>
  <c r="D135" i="46"/>
  <c r="C135" i="46" s="1"/>
  <c r="E135" i="46" s="1"/>
  <c r="G135" i="46"/>
  <c r="L136" i="46" s="1"/>
  <c r="F135" i="46"/>
  <c r="D136" i="53" l="1"/>
  <c r="F136" i="53"/>
  <c r="K136" i="46"/>
  <c r="H134" i="46"/>
  <c r="E136" i="44"/>
  <c r="D136" i="44" s="1"/>
  <c r="F136" i="44" s="1"/>
  <c r="G136" i="44"/>
  <c r="H136" i="44"/>
  <c r="M137" i="44" s="1"/>
  <c r="L137" i="53" l="1"/>
  <c r="H137" i="53" s="1"/>
  <c r="I135" i="53"/>
  <c r="M136" i="53" s="1"/>
  <c r="C136" i="53" s="1"/>
  <c r="E136" i="53" s="1"/>
  <c r="G136" i="53" s="1"/>
  <c r="L137" i="44"/>
  <c r="I135" i="44"/>
  <c r="F136" i="46"/>
  <c r="D136" i="46"/>
  <c r="C136" i="46" s="1"/>
  <c r="E136" i="46" s="1"/>
  <c r="G136" i="46"/>
  <c r="L137" i="46" s="1"/>
  <c r="D137" i="53" l="1"/>
  <c r="F137" i="53"/>
  <c r="K137" i="46"/>
  <c r="H135" i="46"/>
  <c r="G137" i="44"/>
  <c r="E137" i="44"/>
  <c r="D137" i="44" s="1"/>
  <c r="F137" i="44" s="1"/>
  <c r="H137" i="44"/>
  <c r="M138" i="44" s="1"/>
  <c r="L138" i="53" l="1"/>
  <c r="H138" i="53" s="1"/>
  <c r="I136" i="53"/>
  <c r="M137" i="53" s="1"/>
  <c r="C137" i="53" s="1"/>
  <c r="E137" i="53" s="1"/>
  <c r="G137" i="53" s="1"/>
  <c r="L138" i="44"/>
  <c r="I136" i="44"/>
  <c r="G137" i="46"/>
  <c r="L138" i="46" s="1"/>
  <c r="F137" i="46"/>
  <c r="D137" i="46"/>
  <c r="C137" i="46" s="1"/>
  <c r="E137" i="46" s="1"/>
  <c r="D138" i="53" l="1"/>
  <c r="F138" i="53"/>
  <c r="K138" i="46"/>
  <c r="H136" i="46"/>
  <c r="H138" i="44"/>
  <c r="M139" i="44" s="1"/>
  <c r="G138" i="44"/>
  <c r="E138" i="44"/>
  <c r="D138" i="44" s="1"/>
  <c r="F138" i="44" s="1"/>
  <c r="L139" i="53" l="1"/>
  <c r="H139" i="53" s="1"/>
  <c r="I137" i="53"/>
  <c r="M138" i="53" s="1"/>
  <c r="C138" i="53" s="1"/>
  <c r="E138" i="53" s="1"/>
  <c r="G138" i="53" s="1"/>
  <c r="L139" i="44"/>
  <c r="I137" i="44"/>
  <c r="F138" i="46"/>
  <c r="G138" i="46"/>
  <c r="L139" i="46" s="1"/>
  <c r="D138" i="46"/>
  <c r="C138" i="46" s="1"/>
  <c r="E138" i="46" s="1"/>
  <c r="D139" i="53" l="1"/>
  <c r="F139" i="53"/>
  <c r="K139" i="46"/>
  <c r="H137" i="46"/>
  <c r="E139" i="44"/>
  <c r="D139" i="44" s="1"/>
  <c r="F139" i="44" s="1"/>
  <c r="H139" i="44"/>
  <c r="M140" i="44" s="1"/>
  <c r="G139" i="44"/>
  <c r="L140" i="53" l="1"/>
  <c r="H140" i="53" s="1"/>
  <c r="I138" i="53"/>
  <c r="M139" i="53" s="1"/>
  <c r="L140" i="44"/>
  <c r="I138" i="44"/>
  <c r="D139" i="46"/>
  <c r="C139" i="46" s="1"/>
  <c r="E139" i="46" s="1"/>
  <c r="G139" i="46"/>
  <c r="L140" i="46" s="1"/>
  <c r="F139" i="46"/>
  <c r="C139" i="53" l="1"/>
  <c r="E139" i="53" s="1"/>
  <c r="G139" i="53" s="1"/>
  <c r="F140" i="53"/>
  <c r="D140" i="53"/>
  <c r="G140" i="44"/>
  <c r="H140" i="44"/>
  <c r="M141" i="44" s="1"/>
  <c r="E140" i="44"/>
  <c r="D140" i="44" s="1"/>
  <c r="F140" i="44" s="1"/>
  <c r="K140" i="46"/>
  <c r="H138" i="46"/>
  <c r="L141" i="53" l="1"/>
  <c r="H141" i="53" s="1"/>
  <c r="I139" i="53"/>
  <c r="M140" i="53" s="1"/>
  <c r="C140" i="53" s="1"/>
  <c r="E140" i="53" s="1"/>
  <c r="G140" i="53" s="1"/>
  <c r="L141" i="44"/>
  <c r="I139" i="44"/>
  <c r="G140" i="46"/>
  <c r="L141" i="46" s="1"/>
  <c r="D140" i="46"/>
  <c r="C140" i="46" s="1"/>
  <c r="E140" i="46" s="1"/>
  <c r="F140" i="46"/>
  <c r="F141" i="53" l="1"/>
  <c r="D141" i="53"/>
  <c r="K141" i="46"/>
  <c r="H139" i="46"/>
  <c r="E141" i="44"/>
  <c r="D141" i="44" s="1"/>
  <c r="F141" i="44" s="1"/>
  <c r="H141" i="44"/>
  <c r="M142" i="44" s="1"/>
  <c r="G141" i="44"/>
  <c r="L142" i="53" l="1"/>
  <c r="H142" i="53" s="1"/>
  <c r="I140" i="53"/>
  <c r="M141" i="53" s="1"/>
  <c r="C141" i="53" s="1"/>
  <c r="E141" i="53" s="1"/>
  <c r="G141" i="53" s="1"/>
  <c r="G141" i="46"/>
  <c r="L142" i="46" s="1"/>
  <c r="F141" i="46"/>
  <c r="D141" i="46"/>
  <c r="C141" i="46" s="1"/>
  <c r="E141" i="46" s="1"/>
  <c r="L142" i="44"/>
  <c r="I140" i="44"/>
  <c r="F142" i="53" l="1"/>
  <c r="D142" i="53"/>
  <c r="E142" i="44"/>
  <c r="D142" i="44" s="1"/>
  <c r="F142" i="44" s="1"/>
  <c r="H142" i="44"/>
  <c r="M143" i="44" s="1"/>
  <c r="G142" i="44"/>
  <c r="K142" i="46"/>
  <c r="H140" i="46"/>
  <c r="L143" i="53" l="1"/>
  <c r="H143" i="53" s="1"/>
  <c r="I141" i="53"/>
  <c r="M142" i="53" s="1"/>
  <c r="C142" i="53" s="1"/>
  <c r="E142" i="53" s="1"/>
  <c r="G142" i="53" s="1"/>
  <c r="D142" i="46"/>
  <c r="C142" i="46" s="1"/>
  <c r="E142" i="46" s="1"/>
  <c r="G142" i="46"/>
  <c r="L143" i="46" s="1"/>
  <c r="F142" i="46"/>
  <c r="L143" i="44"/>
  <c r="I141" i="44"/>
  <c r="D143" i="53" l="1"/>
  <c r="F143" i="53"/>
  <c r="E143" i="44"/>
  <c r="D143" i="44" s="1"/>
  <c r="F143" i="44" s="1"/>
  <c r="H143" i="44"/>
  <c r="M144" i="44" s="1"/>
  <c r="G143" i="44"/>
  <c r="K143" i="46"/>
  <c r="H141" i="46"/>
  <c r="L144" i="53" l="1"/>
  <c r="H144" i="53" s="1"/>
  <c r="I142" i="53"/>
  <c r="M143" i="53" s="1"/>
  <c r="C143" i="53" s="1"/>
  <c r="E143" i="53" s="1"/>
  <c r="G143" i="53" s="1"/>
  <c r="L144" i="44"/>
  <c r="I142" i="44"/>
  <c r="D143" i="46"/>
  <c r="C143" i="46" s="1"/>
  <c r="E143" i="46" s="1"/>
  <c r="G143" i="46"/>
  <c r="L144" i="46" s="1"/>
  <c r="F143" i="46"/>
  <c r="F144" i="53" l="1"/>
  <c r="D144" i="53"/>
  <c r="K144" i="46"/>
  <c r="H142" i="46"/>
  <c r="H144" i="44"/>
  <c r="M145" i="44" s="1"/>
  <c r="G144" i="44"/>
  <c r="E144" i="44"/>
  <c r="D144" i="44" s="1"/>
  <c r="F144" i="44" s="1"/>
  <c r="L145" i="53" l="1"/>
  <c r="H145" i="53" s="1"/>
  <c r="I143" i="53"/>
  <c r="M144" i="53" s="1"/>
  <c r="C144" i="53" s="1"/>
  <c r="E144" i="53" s="1"/>
  <c r="G144" i="53" s="1"/>
  <c r="L145" i="44"/>
  <c r="I143" i="44"/>
  <c r="D144" i="46"/>
  <c r="C144" i="46" s="1"/>
  <c r="E144" i="46" s="1"/>
  <c r="F144" i="46"/>
  <c r="G144" i="46"/>
  <c r="L145" i="46" s="1"/>
  <c r="D145" i="53" l="1"/>
  <c r="F145" i="53"/>
  <c r="K145" i="46"/>
  <c r="H143" i="46"/>
  <c r="E145" i="44"/>
  <c r="D145" i="44" s="1"/>
  <c r="F145" i="44" s="1"/>
  <c r="H145" i="44"/>
  <c r="M146" i="44" s="1"/>
  <c r="G145" i="44"/>
  <c r="L146" i="53" l="1"/>
  <c r="H146" i="53" s="1"/>
  <c r="I144" i="53"/>
  <c r="M145" i="53" s="1"/>
  <c r="C145" i="53" s="1"/>
  <c r="E145" i="53" s="1"/>
  <c r="G145" i="53" s="1"/>
  <c r="L146" i="44"/>
  <c r="I144" i="44"/>
  <c r="D145" i="46"/>
  <c r="C145" i="46" s="1"/>
  <c r="E145" i="46" s="1"/>
  <c r="F145" i="46"/>
  <c r="G145" i="46"/>
  <c r="L146" i="46" s="1"/>
  <c r="F146" i="53" l="1"/>
  <c r="D146" i="53"/>
  <c r="K146" i="46"/>
  <c r="H144" i="46"/>
  <c r="E146" i="44"/>
  <c r="D146" i="44" s="1"/>
  <c r="F146" i="44" s="1"/>
  <c r="G146" i="44"/>
  <c r="H146" i="44"/>
  <c r="M147" i="44" s="1"/>
  <c r="L147" i="53" l="1"/>
  <c r="H147" i="53" s="1"/>
  <c r="I145" i="53"/>
  <c r="M146" i="53" s="1"/>
  <c r="C146" i="53" s="1"/>
  <c r="E146" i="53" s="1"/>
  <c r="G146" i="53" s="1"/>
  <c r="L147" i="44"/>
  <c r="I145" i="44"/>
  <c r="F146" i="46"/>
  <c r="D146" i="46"/>
  <c r="C146" i="46" s="1"/>
  <c r="E146" i="46" s="1"/>
  <c r="G146" i="46"/>
  <c r="L147" i="46" s="1"/>
  <c r="F147" i="53" l="1"/>
  <c r="D147" i="53"/>
  <c r="K147" i="46"/>
  <c r="H145" i="46"/>
  <c r="G147" i="44"/>
  <c r="E147" i="44"/>
  <c r="D147" i="44" s="1"/>
  <c r="F147" i="44" s="1"/>
  <c r="H147" i="44"/>
  <c r="M148" i="44" s="1"/>
  <c r="L148" i="53" l="1"/>
  <c r="H148" i="53" s="1"/>
  <c r="I146" i="53"/>
  <c r="M147" i="53" s="1"/>
  <c r="C147" i="53" s="1"/>
  <c r="E147" i="53" s="1"/>
  <c r="G147" i="53" s="1"/>
  <c r="L148" i="44"/>
  <c r="I146" i="44"/>
  <c r="F147" i="46"/>
  <c r="D147" i="46"/>
  <c r="G147" i="46"/>
  <c r="L148" i="46" s="1"/>
  <c r="D148" i="53" l="1"/>
  <c r="F148" i="53"/>
  <c r="C147" i="46"/>
  <c r="E147" i="46" s="1"/>
  <c r="K148" i="46"/>
  <c r="H146" i="46"/>
  <c r="G148" i="44"/>
  <c r="H148" i="44"/>
  <c r="M149" i="44" s="1"/>
  <c r="E148" i="44"/>
  <c r="D148" i="44" s="1"/>
  <c r="F148" i="44" s="1"/>
  <c r="L149" i="53" l="1"/>
  <c r="H149" i="53" s="1"/>
  <c r="I147" i="53"/>
  <c r="M148" i="53" s="1"/>
  <c r="C148" i="53" s="1"/>
  <c r="E148" i="53" s="1"/>
  <c r="G148" i="53" s="1"/>
  <c r="L149" i="44"/>
  <c r="I147" i="44"/>
  <c r="G148" i="46"/>
  <c r="L149" i="46" s="1"/>
  <c r="F148" i="46"/>
  <c r="D148" i="46"/>
  <c r="C148" i="46" s="1"/>
  <c r="E148" i="46" s="1"/>
  <c r="D149" i="53" l="1"/>
  <c r="F149" i="53"/>
  <c r="K149" i="46"/>
  <c r="H147" i="46"/>
  <c r="H149" i="44"/>
  <c r="M150" i="44" s="1"/>
  <c r="G149" i="44"/>
  <c r="E149" i="44"/>
  <c r="D149" i="44" s="1"/>
  <c r="F149" i="44" s="1"/>
  <c r="L150" i="53" l="1"/>
  <c r="H150" i="53" s="1"/>
  <c r="I148" i="53"/>
  <c r="M149" i="53" s="1"/>
  <c r="C149" i="53" s="1"/>
  <c r="E149" i="53" s="1"/>
  <c r="G149" i="53" s="1"/>
  <c r="L150" i="44"/>
  <c r="I148" i="44"/>
  <c r="D149" i="46"/>
  <c r="C149" i="46" s="1"/>
  <c r="E149" i="46" s="1"/>
  <c r="G149" i="46"/>
  <c r="L150" i="46" s="1"/>
  <c r="F149" i="46"/>
  <c r="F150" i="53" l="1"/>
  <c r="D150" i="53"/>
  <c r="K150" i="46"/>
  <c r="H148" i="46"/>
  <c r="E150" i="44"/>
  <c r="D150" i="44" s="1"/>
  <c r="F150" i="44" s="1"/>
  <c r="H150" i="44"/>
  <c r="M151" i="44" s="1"/>
  <c r="G150" i="44"/>
  <c r="L151" i="53" l="1"/>
  <c r="H151" i="53" s="1"/>
  <c r="I149" i="53"/>
  <c r="M150" i="53" s="1"/>
  <c r="C150" i="53" s="1"/>
  <c r="E150" i="53" s="1"/>
  <c r="G150" i="53" s="1"/>
  <c r="D150" i="46"/>
  <c r="C150" i="46" s="1"/>
  <c r="E150" i="46" s="1"/>
  <c r="F150" i="46"/>
  <c r="G150" i="46"/>
  <c r="L151" i="46" s="1"/>
  <c r="L151" i="44"/>
  <c r="I149" i="44"/>
  <c r="D151" i="53" l="1"/>
  <c r="F151" i="53"/>
  <c r="E151" i="44"/>
  <c r="D151" i="44" s="1"/>
  <c r="F151" i="44" s="1"/>
  <c r="H151" i="44"/>
  <c r="M152" i="44" s="1"/>
  <c r="G151" i="44"/>
  <c r="K151" i="46"/>
  <c r="H149" i="46"/>
  <c r="L152" i="53" l="1"/>
  <c r="H152" i="53" s="1"/>
  <c r="I150" i="53"/>
  <c r="M151" i="53" s="1"/>
  <c r="C151" i="53" s="1"/>
  <c r="E151" i="53" s="1"/>
  <c r="G151" i="53" s="1"/>
  <c r="L152" i="44"/>
  <c r="I150" i="44"/>
  <c r="F151" i="46"/>
  <c r="G151" i="46"/>
  <c r="L152" i="46" s="1"/>
  <c r="D151" i="46"/>
  <c r="C151" i="46" s="1"/>
  <c r="E151" i="46" s="1"/>
  <c r="F152" i="53" l="1"/>
  <c r="D152" i="53"/>
  <c r="K152" i="46"/>
  <c r="H150" i="46"/>
  <c r="G152" i="44"/>
  <c r="E152" i="44"/>
  <c r="D152" i="44" s="1"/>
  <c r="F152" i="44" s="1"/>
  <c r="H152" i="44"/>
  <c r="M153" i="44" s="1"/>
  <c r="L153" i="53" l="1"/>
  <c r="H153" i="53" s="1"/>
  <c r="I151" i="53"/>
  <c r="M152" i="53" s="1"/>
  <c r="C152" i="53" s="1"/>
  <c r="E152" i="53" s="1"/>
  <c r="G152" i="53" s="1"/>
  <c r="L153" i="44"/>
  <c r="I151" i="44"/>
  <c r="D152" i="46"/>
  <c r="C152" i="46" s="1"/>
  <c r="E152" i="46" s="1"/>
  <c r="F152" i="46"/>
  <c r="G152" i="46"/>
  <c r="L153" i="46" s="1"/>
  <c r="D153" i="53" l="1"/>
  <c r="F153" i="53"/>
  <c r="K153" i="46"/>
  <c r="H151" i="46"/>
  <c r="G153" i="44"/>
  <c r="E153" i="44"/>
  <c r="D153" i="44" s="1"/>
  <c r="F153" i="44" s="1"/>
  <c r="H153" i="44"/>
  <c r="M154" i="44" s="1"/>
  <c r="L154" i="53" l="1"/>
  <c r="H154" i="53" s="1"/>
  <c r="I152" i="53"/>
  <c r="M153" i="53" s="1"/>
  <c r="C153" i="53" s="1"/>
  <c r="E153" i="53" s="1"/>
  <c r="G153" i="53" s="1"/>
  <c r="G153" i="46"/>
  <c r="L154" i="46" s="1"/>
  <c r="F153" i="46"/>
  <c r="D153" i="46"/>
  <c r="C153" i="46" s="1"/>
  <c r="E153" i="46" s="1"/>
  <c r="L154" i="44"/>
  <c r="I152" i="44"/>
  <c r="F154" i="53" l="1"/>
  <c r="D154" i="53"/>
  <c r="G154" i="44"/>
  <c r="E154" i="44"/>
  <c r="D154" i="44" s="1"/>
  <c r="F154" i="44" s="1"/>
  <c r="H154" i="44"/>
  <c r="M155" i="44" s="1"/>
  <c r="K154" i="46"/>
  <c r="H152" i="46"/>
  <c r="L155" i="53" l="1"/>
  <c r="H155" i="53" s="1"/>
  <c r="I153" i="53"/>
  <c r="M154" i="53" s="1"/>
  <c r="C154" i="53" s="1"/>
  <c r="E154" i="53" s="1"/>
  <c r="G154" i="53" s="1"/>
  <c r="L155" i="44"/>
  <c r="I153" i="44"/>
  <c r="D154" i="46"/>
  <c r="C154" i="46" s="1"/>
  <c r="E154" i="46" s="1"/>
  <c r="G154" i="46"/>
  <c r="L155" i="46" s="1"/>
  <c r="F154" i="46"/>
  <c r="D155" i="53" l="1"/>
  <c r="F155" i="53"/>
  <c r="K155" i="46"/>
  <c r="H153" i="46"/>
  <c r="H155" i="44"/>
  <c r="M156" i="44" s="1"/>
  <c r="G155" i="44"/>
  <c r="E155" i="44"/>
  <c r="D155" i="44" s="1"/>
  <c r="F155" i="44" s="1"/>
  <c r="L156" i="53" l="1"/>
  <c r="H156" i="53" s="1"/>
  <c r="I154" i="53"/>
  <c r="M155" i="53" s="1"/>
  <c r="C155" i="53" s="1"/>
  <c r="E155" i="53" s="1"/>
  <c r="G155" i="53" s="1"/>
  <c r="L156" i="44"/>
  <c r="I154" i="44"/>
  <c r="D155" i="46"/>
  <c r="C155" i="46" s="1"/>
  <c r="E155" i="46" s="1"/>
  <c r="G155" i="46"/>
  <c r="L156" i="46" s="1"/>
  <c r="F155" i="46"/>
  <c r="D156" i="53" l="1"/>
  <c r="F156" i="53"/>
  <c r="K156" i="46"/>
  <c r="H154" i="46"/>
  <c r="H156" i="44"/>
  <c r="M157" i="44" s="1"/>
  <c r="E156" i="44"/>
  <c r="D156" i="44" s="1"/>
  <c r="F156" i="44" s="1"/>
  <c r="G156" i="44"/>
  <c r="L157" i="53" l="1"/>
  <c r="H157" i="53" s="1"/>
  <c r="I155" i="53"/>
  <c r="M156" i="53" s="1"/>
  <c r="C156" i="53" s="1"/>
  <c r="E156" i="53" s="1"/>
  <c r="G156" i="53" s="1"/>
  <c r="L157" i="44"/>
  <c r="I155" i="44"/>
  <c r="F156" i="46"/>
  <c r="D156" i="46"/>
  <c r="C156" i="46" s="1"/>
  <c r="E156" i="46" s="1"/>
  <c r="G156" i="46"/>
  <c r="L157" i="46" s="1"/>
  <c r="D157" i="53" l="1"/>
  <c r="F157" i="53"/>
  <c r="H157" i="44"/>
  <c r="M158" i="44" s="1"/>
  <c r="G157" i="44"/>
  <c r="E157" i="44"/>
  <c r="D157" i="44" s="1"/>
  <c r="F157" i="44" s="1"/>
  <c r="K157" i="46"/>
  <c r="H155" i="46"/>
  <c r="L158" i="53" l="1"/>
  <c r="H158" i="53" s="1"/>
  <c r="I156" i="53"/>
  <c r="M157" i="53" s="1"/>
  <c r="C157" i="53" s="1"/>
  <c r="E157" i="53" s="1"/>
  <c r="G157" i="53" s="1"/>
  <c r="G157" i="46"/>
  <c r="L158" i="46" s="1"/>
  <c r="F157" i="46"/>
  <c r="D157" i="46"/>
  <c r="C157" i="46" s="1"/>
  <c r="E157" i="46" s="1"/>
  <c r="L158" i="44"/>
  <c r="I156" i="44"/>
  <c r="F158" i="53" l="1"/>
  <c r="D158" i="53"/>
  <c r="K158" i="46"/>
  <c r="H156" i="46"/>
  <c r="E158" i="44"/>
  <c r="D158" i="44" s="1"/>
  <c r="F158" i="44" s="1"/>
  <c r="H158" i="44"/>
  <c r="M159" i="44" s="1"/>
  <c r="G158" i="44"/>
  <c r="L159" i="53" l="1"/>
  <c r="H159" i="53" s="1"/>
  <c r="I157" i="53"/>
  <c r="M158" i="53" s="1"/>
  <c r="C158" i="53" s="1"/>
  <c r="E158" i="53" s="1"/>
  <c r="G158" i="53" s="1"/>
  <c r="L159" i="44"/>
  <c r="I157" i="44"/>
  <c r="D158" i="46"/>
  <c r="C158" i="46" s="1"/>
  <c r="E158" i="46" s="1"/>
  <c r="G158" i="46"/>
  <c r="L159" i="46" s="1"/>
  <c r="F158" i="46"/>
  <c r="D159" i="53" l="1"/>
  <c r="F159" i="53"/>
  <c r="K159" i="46"/>
  <c r="H157" i="46"/>
  <c r="E159" i="44"/>
  <c r="D159" i="44" s="1"/>
  <c r="F159" i="44" s="1"/>
  <c r="H159" i="44"/>
  <c r="M160" i="44" s="1"/>
  <c r="G159" i="44"/>
  <c r="L160" i="53" l="1"/>
  <c r="H160" i="53" s="1"/>
  <c r="I158" i="53"/>
  <c r="M159" i="53" s="1"/>
  <c r="C159" i="53" s="1"/>
  <c r="E159" i="53" s="1"/>
  <c r="G159" i="53" s="1"/>
  <c r="D159" i="46"/>
  <c r="C159" i="46" s="1"/>
  <c r="E159" i="46" s="1"/>
  <c r="F159" i="46"/>
  <c r="G159" i="46"/>
  <c r="L160" i="46" s="1"/>
  <c r="L160" i="44"/>
  <c r="I158" i="44"/>
  <c r="D160" i="53" l="1"/>
  <c r="F160" i="53"/>
  <c r="G160" i="44"/>
  <c r="E160" i="44"/>
  <c r="D160" i="44" s="1"/>
  <c r="F160" i="44" s="1"/>
  <c r="H160" i="44"/>
  <c r="M161" i="44" s="1"/>
  <c r="K160" i="46"/>
  <c r="H158" i="46"/>
  <c r="L161" i="53" l="1"/>
  <c r="H161" i="53" s="1"/>
  <c r="I159" i="53"/>
  <c r="M160" i="53" s="1"/>
  <c r="C160" i="53" s="1"/>
  <c r="E160" i="53" s="1"/>
  <c r="G160" i="53" s="1"/>
  <c r="L161" i="44"/>
  <c r="I159" i="44"/>
  <c r="F160" i="46"/>
  <c r="D160" i="46"/>
  <c r="C160" i="46" s="1"/>
  <c r="E160" i="46" s="1"/>
  <c r="G160" i="46"/>
  <c r="L161" i="46" s="1"/>
  <c r="D161" i="53" l="1"/>
  <c r="F161" i="53"/>
  <c r="K161" i="46"/>
  <c r="H159" i="46"/>
  <c r="E161" i="44"/>
  <c r="D161" i="44" s="1"/>
  <c r="F161" i="44" s="1"/>
  <c r="H161" i="44"/>
  <c r="M162" i="44" s="1"/>
  <c r="G161" i="44"/>
  <c r="L162" i="53" l="1"/>
  <c r="H162" i="53" s="1"/>
  <c r="I160" i="53"/>
  <c r="M161" i="53" s="1"/>
  <c r="C161" i="53" s="1"/>
  <c r="E161" i="53" s="1"/>
  <c r="G161" i="53" s="1"/>
  <c r="L162" i="44"/>
  <c r="I160" i="44"/>
  <c r="F161" i="46"/>
  <c r="G161" i="46"/>
  <c r="L162" i="46" s="1"/>
  <c r="D161" i="46"/>
  <c r="D162" i="53" l="1"/>
  <c r="F162" i="53"/>
  <c r="K162" i="46"/>
  <c r="H160" i="46"/>
  <c r="C161" i="46"/>
  <c r="E161" i="46" s="1"/>
  <c r="E162" i="44"/>
  <c r="D162" i="44" s="1"/>
  <c r="F162" i="44" s="1"/>
  <c r="G162" i="44"/>
  <c r="H162" i="44"/>
  <c r="M163" i="44" s="1"/>
  <c r="L163" i="53" l="1"/>
  <c r="H163" i="53" s="1"/>
  <c r="I161" i="53"/>
  <c r="M162" i="53" s="1"/>
  <c r="C162" i="53" s="1"/>
  <c r="E162" i="53" s="1"/>
  <c r="G162" i="53" s="1"/>
  <c r="L163" i="44"/>
  <c r="I161" i="44"/>
  <c r="D162" i="46"/>
  <c r="C162" i="46" s="1"/>
  <c r="E162" i="46" s="1"/>
  <c r="G162" i="46"/>
  <c r="L163" i="46" s="1"/>
  <c r="F162" i="46"/>
  <c r="D163" i="53" l="1"/>
  <c r="F163" i="53"/>
  <c r="E163" i="44"/>
  <c r="D163" i="44" s="1"/>
  <c r="F163" i="44" s="1"/>
  <c r="H163" i="44"/>
  <c r="M164" i="44" s="1"/>
  <c r="G163" i="44"/>
  <c r="K163" i="46"/>
  <c r="H161" i="46"/>
  <c r="L164" i="53" l="1"/>
  <c r="H164" i="53" s="1"/>
  <c r="I162" i="53"/>
  <c r="M163" i="53" s="1"/>
  <c r="C163" i="53" s="1"/>
  <c r="E163" i="53" s="1"/>
  <c r="G163" i="53" s="1"/>
  <c r="F163" i="46"/>
  <c r="D163" i="46"/>
  <c r="C163" i="46" s="1"/>
  <c r="E163" i="46" s="1"/>
  <c r="G163" i="46"/>
  <c r="L164" i="46" s="1"/>
  <c r="L164" i="44"/>
  <c r="I162" i="44"/>
  <c r="D164" i="53" l="1"/>
  <c r="F164" i="53"/>
  <c r="E164" i="44"/>
  <c r="D164" i="44" s="1"/>
  <c r="F164" i="44" s="1"/>
  <c r="H164" i="44"/>
  <c r="M165" i="44" s="1"/>
  <c r="G164" i="44"/>
  <c r="K164" i="46"/>
  <c r="H162" i="46"/>
  <c r="L165" i="53" l="1"/>
  <c r="H165" i="53" s="1"/>
  <c r="I163" i="53"/>
  <c r="M164" i="53" s="1"/>
  <c r="C164" i="53" s="1"/>
  <c r="E164" i="53" s="1"/>
  <c r="G164" i="53" s="1"/>
  <c r="L165" i="44"/>
  <c r="I163" i="44"/>
  <c r="D164" i="46"/>
  <c r="C164" i="46" s="1"/>
  <c r="E164" i="46" s="1"/>
  <c r="G164" i="46"/>
  <c r="L165" i="46" s="1"/>
  <c r="F164" i="46"/>
  <c r="D165" i="53" l="1"/>
  <c r="F165" i="53"/>
  <c r="K165" i="46"/>
  <c r="H163" i="46"/>
  <c r="H165" i="44"/>
  <c r="M166" i="44" s="1"/>
  <c r="G165" i="44"/>
  <c r="E165" i="44"/>
  <c r="D165" i="44" s="1"/>
  <c r="F165" i="44" s="1"/>
  <c r="L166" i="53" l="1"/>
  <c r="H166" i="53" s="1"/>
  <c r="I164" i="53"/>
  <c r="M165" i="53" s="1"/>
  <c r="C165" i="53" s="1"/>
  <c r="E165" i="53" s="1"/>
  <c r="G165" i="53" s="1"/>
  <c r="L166" i="44"/>
  <c r="I164" i="44"/>
  <c r="G165" i="46"/>
  <c r="L166" i="46" s="1"/>
  <c r="F165" i="46"/>
  <c r="D165" i="46"/>
  <c r="C165" i="46" s="1"/>
  <c r="E165" i="46" s="1"/>
  <c r="D166" i="53" l="1"/>
  <c r="F166" i="53"/>
  <c r="K166" i="46"/>
  <c r="H164" i="46"/>
  <c r="H166" i="44"/>
  <c r="M167" i="44" s="1"/>
  <c r="G166" i="44"/>
  <c r="E166" i="44"/>
  <c r="D166" i="44" s="1"/>
  <c r="F166" i="44" s="1"/>
  <c r="L167" i="53" l="1"/>
  <c r="H167" i="53" s="1"/>
  <c r="I165" i="53"/>
  <c r="M166" i="53" s="1"/>
  <c r="C166" i="53" s="1"/>
  <c r="E166" i="53" s="1"/>
  <c r="G166" i="53" s="1"/>
  <c r="L167" i="44"/>
  <c r="I165" i="44"/>
  <c r="D166" i="46"/>
  <c r="C166" i="46" s="1"/>
  <c r="E166" i="46" s="1"/>
  <c r="G166" i="46"/>
  <c r="L167" i="46" s="1"/>
  <c r="F166" i="46"/>
  <c r="D167" i="53" l="1"/>
  <c r="F167" i="53"/>
  <c r="K167" i="46"/>
  <c r="H165" i="46"/>
  <c r="H167" i="44"/>
  <c r="M168" i="44" s="1"/>
  <c r="E167" i="44"/>
  <c r="D167" i="44" s="1"/>
  <c r="F167" i="44" s="1"/>
  <c r="G167" i="44"/>
  <c r="L168" i="53" l="1"/>
  <c r="H168" i="53" s="1"/>
  <c r="I166" i="53"/>
  <c r="M167" i="53" s="1"/>
  <c r="C167" i="53" s="1"/>
  <c r="E167" i="53" s="1"/>
  <c r="G167" i="53" s="1"/>
  <c r="F167" i="46"/>
  <c r="G167" i="46"/>
  <c r="L168" i="46" s="1"/>
  <c r="D167" i="46"/>
  <c r="C167" i="46" s="1"/>
  <c r="E167" i="46" s="1"/>
  <c r="L168" i="44"/>
  <c r="I166" i="44"/>
  <c r="F168" i="53" l="1"/>
  <c r="D168" i="53"/>
  <c r="K168" i="46"/>
  <c r="H166" i="46"/>
  <c r="H168" i="44"/>
  <c r="M169" i="44" s="1"/>
  <c r="G168" i="44"/>
  <c r="E168" i="44"/>
  <c r="D168" i="44" s="1"/>
  <c r="F168" i="44" s="1"/>
  <c r="L169" i="53" l="1"/>
  <c r="H169" i="53" s="1"/>
  <c r="I167" i="53"/>
  <c r="M168" i="53" s="1"/>
  <c r="C168" i="53" s="1"/>
  <c r="E168" i="53" s="1"/>
  <c r="G168" i="53" s="1"/>
  <c r="L169" i="44"/>
  <c r="I167" i="44"/>
  <c r="D168" i="46"/>
  <c r="C168" i="46" s="1"/>
  <c r="E168" i="46" s="1"/>
  <c r="G168" i="46"/>
  <c r="L169" i="46" s="1"/>
  <c r="F168" i="46"/>
  <c r="D169" i="53" l="1"/>
  <c r="F169" i="53"/>
  <c r="H169" i="44"/>
  <c r="M170" i="44" s="1"/>
  <c r="G169" i="44"/>
  <c r="E169" i="44"/>
  <c r="D169" i="44" s="1"/>
  <c r="F169" i="44" s="1"/>
  <c r="K169" i="46"/>
  <c r="H167" i="46"/>
  <c r="L170" i="53" l="1"/>
  <c r="H170" i="53" s="1"/>
  <c r="I168" i="53"/>
  <c r="M169" i="53" s="1"/>
  <c r="C169" i="53" s="1"/>
  <c r="E169" i="53" s="1"/>
  <c r="G169" i="53" s="1"/>
  <c r="F169" i="46"/>
  <c r="G169" i="46"/>
  <c r="L170" i="46" s="1"/>
  <c r="D169" i="46"/>
  <c r="C169" i="46" s="1"/>
  <c r="E169" i="46" s="1"/>
  <c r="L170" i="44"/>
  <c r="I168" i="44"/>
  <c r="D170" i="53" l="1"/>
  <c r="F170" i="53"/>
  <c r="E170" i="44"/>
  <c r="D170" i="44" s="1"/>
  <c r="F170" i="44" s="1"/>
  <c r="H170" i="44"/>
  <c r="M171" i="44" s="1"/>
  <c r="G170" i="44"/>
  <c r="K170" i="46"/>
  <c r="H168" i="46"/>
  <c r="L171" i="53" l="1"/>
  <c r="H171" i="53" s="1"/>
  <c r="I169" i="53"/>
  <c r="M170" i="53" s="1"/>
  <c r="C170" i="53" s="1"/>
  <c r="E170" i="53" s="1"/>
  <c r="G170" i="53" s="1"/>
  <c r="G170" i="46"/>
  <c r="L171" i="46" s="1"/>
  <c r="F170" i="46"/>
  <c r="D170" i="46"/>
  <c r="C170" i="46" s="1"/>
  <c r="E170" i="46" s="1"/>
  <c r="L171" i="44"/>
  <c r="I169" i="44"/>
  <c r="F171" i="53" l="1"/>
  <c r="D171" i="53"/>
  <c r="E171" i="44"/>
  <c r="D171" i="44" s="1"/>
  <c r="F171" i="44" s="1"/>
  <c r="G171" i="44"/>
  <c r="H171" i="44"/>
  <c r="M172" i="44" s="1"/>
  <c r="K171" i="46"/>
  <c r="H169" i="46"/>
  <c r="L172" i="53" l="1"/>
  <c r="H172" i="53" s="1"/>
  <c r="I170" i="53"/>
  <c r="M171" i="53" s="1"/>
  <c r="C171" i="53" s="1"/>
  <c r="E171" i="53" s="1"/>
  <c r="G171" i="53" s="1"/>
  <c r="D171" i="46"/>
  <c r="C171" i="46" s="1"/>
  <c r="E171" i="46" s="1"/>
  <c r="G171" i="46"/>
  <c r="L172" i="46" s="1"/>
  <c r="F171" i="46"/>
  <c r="L172" i="44"/>
  <c r="I170" i="44"/>
  <c r="F172" i="53" l="1"/>
  <c r="D172" i="53"/>
  <c r="E172" i="44"/>
  <c r="D172" i="44" s="1"/>
  <c r="F172" i="44" s="1"/>
  <c r="H172" i="44"/>
  <c r="M173" i="44" s="1"/>
  <c r="G172" i="44"/>
  <c r="K172" i="46"/>
  <c r="H170" i="46"/>
  <c r="L173" i="53" l="1"/>
  <c r="H173" i="53" s="1"/>
  <c r="I171" i="53"/>
  <c r="M172" i="53" s="1"/>
  <c r="C172" i="53" s="1"/>
  <c r="E172" i="53" s="1"/>
  <c r="G172" i="53" s="1"/>
  <c r="L173" i="44"/>
  <c r="I171" i="44"/>
  <c r="D172" i="46"/>
  <c r="C172" i="46" s="1"/>
  <c r="E172" i="46" s="1"/>
  <c r="G172" i="46"/>
  <c r="L173" i="46" s="1"/>
  <c r="F172" i="46"/>
  <c r="D173" i="53" l="1"/>
  <c r="F173" i="53"/>
  <c r="K173" i="46"/>
  <c r="H171" i="46"/>
  <c r="E173" i="44"/>
  <c r="D173" i="44" s="1"/>
  <c r="F173" i="44" s="1"/>
  <c r="G173" i="44"/>
  <c r="H173" i="44"/>
  <c r="M174" i="44" s="1"/>
  <c r="L174" i="53" l="1"/>
  <c r="H174" i="53" s="1"/>
  <c r="I172" i="53"/>
  <c r="M173" i="53" s="1"/>
  <c r="C173" i="53" s="1"/>
  <c r="E173" i="53" s="1"/>
  <c r="G173" i="53" s="1"/>
  <c r="L174" i="44"/>
  <c r="I172" i="44"/>
  <c r="G173" i="46"/>
  <c r="L174" i="46" s="1"/>
  <c r="F173" i="46"/>
  <c r="D173" i="46"/>
  <c r="C173" i="46" s="1"/>
  <c r="E173" i="46" s="1"/>
  <c r="F174" i="53" l="1"/>
  <c r="D174" i="53"/>
  <c r="K174" i="46"/>
  <c r="H172" i="46"/>
  <c r="E174" i="44"/>
  <c r="D174" i="44" s="1"/>
  <c r="F174" i="44" s="1"/>
  <c r="H174" i="44"/>
  <c r="M175" i="44" s="1"/>
  <c r="G174" i="44"/>
  <c r="L175" i="53" l="1"/>
  <c r="H175" i="53" s="1"/>
  <c r="I173" i="53"/>
  <c r="M174" i="53" s="1"/>
  <c r="C174" i="53" s="1"/>
  <c r="E174" i="53" s="1"/>
  <c r="G174" i="53" s="1"/>
  <c r="L175" i="44"/>
  <c r="I173" i="44"/>
  <c r="D174" i="46"/>
  <c r="C174" i="46" s="1"/>
  <c r="E174" i="46" s="1"/>
  <c r="G174" i="46"/>
  <c r="L175" i="46" s="1"/>
  <c r="F174" i="46"/>
  <c r="F175" i="53" l="1"/>
  <c r="D175" i="53"/>
  <c r="E175" i="44"/>
  <c r="D175" i="44" s="1"/>
  <c r="F175" i="44" s="1"/>
  <c r="H175" i="44"/>
  <c r="M176" i="44" s="1"/>
  <c r="G175" i="44"/>
  <c r="K175" i="46"/>
  <c r="H173" i="46"/>
  <c r="L176" i="53" l="1"/>
  <c r="H176" i="53" s="1"/>
  <c r="I174" i="53"/>
  <c r="M175" i="53" s="1"/>
  <c r="C175" i="53" s="1"/>
  <c r="E175" i="53" s="1"/>
  <c r="G175" i="53" s="1"/>
  <c r="L176" i="44"/>
  <c r="I174" i="44"/>
  <c r="D175" i="46"/>
  <c r="C175" i="46" s="1"/>
  <c r="E175" i="46" s="1"/>
  <c r="G175" i="46"/>
  <c r="L176" i="46" s="1"/>
  <c r="F175" i="46"/>
  <c r="F176" i="53" l="1"/>
  <c r="D176" i="53"/>
  <c r="K176" i="46"/>
  <c r="H174" i="46"/>
  <c r="E176" i="44"/>
  <c r="D176" i="44" s="1"/>
  <c r="F176" i="44" s="1"/>
  <c r="H176" i="44"/>
  <c r="M177" i="44" s="1"/>
  <c r="G176" i="44"/>
  <c r="L177" i="53" l="1"/>
  <c r="H177" i="53" s="1"/>
  <c r="I175" i="53"/>
  <c r="M176" i="53" s="1"/>
  <c r="C176" i="53" s="1"/>
  <c r="E176" i="53" s="1"/>
  <c r="G176" i="53" s="1"/>
  <c r="L177" i="44"/>
  <c r="I175" i="44"/>
  <c r="F176" i="46"/>
  <c r="D176" i="46"/>
  <c r="C176" i="46" s="1"/>
  <c r="E176" i="46" s="1"/>
  <c r="G176" i="46"/>
  <c r="L177" i="46" s="1"/>
  <c r="F177" i="53" l="1"/>
  <c r="D177" i="53"/>
  <c r="K177" i="46"/>
  <c r="H175" i="46"/>
  <c r="E177" i="44"/>
  <c r="D177" i="44" s="1"/>
  <c r="F177" i="44" s="1"/>
  <c r="H177" i="44"/>
  <c r="M178" i="44" s="1"/>
  <c r="G177" i="44"/>
  <c r="L178" i="53" l="1"/>
  <c r="H178" i="53" s="1"/>
  <c r="I176" i="53"/>
  <c r="M177" i="53" s="1"/>
  <c r="C177" i="53" s="1"/>
  <c r="E177" i="53" s="1"/>
  <c r="G177" i="53" s="1"/>
  <c r="L178" i="44"/>
  <c r="I176" i="44"/>
  <c r="F177" i="46"/>
  <c r="G177" i="46"/>
  <c r="L178" i="46" s="1"/>
  <c r="D177" i="46"/>
  <c r="C177" i="46" s="1"/>
  <c r="E177" i="46" s="1"/>
  <c r="F178" i="53" l="1"/>
  <c r="D178" i="53"/>
  <c r="K178" i="46"/>
  <c r="H176" i="46"/>
  <c r="E178" i="44"/>
  <c r="D178" i="44" s="1"/>
  <c r="F178" i="44" s="1"/>
  <c r="H178" i="44"/>
  <c r="M179" i="44" s="1"/>
  <c r="G178" i="44"/>
  <c r="L179" i="53" l="1"/>
  <c r="H179" i="53" s="1"/>
  <c r="I177" i="53"/>
  <c r="M178" i="53" s="1"/>
  <c r="C178" i="53" s="1"/>
  <c r="E178" i="53" s="1"/>
  <c r="G178" i="53" s="1"/>
  <c r="G178" i="46"/>
  <c r="L179" i="46" s="1"/>
  <c r="D178" i="46"/>
  <c r="C178" i="46" s="1"/>
  <c r="E178" i="46" s="1"/>
  <c r="F178" i="46"/>
  <c r="L179" i="44"/>
  <c r="I177" i="44"/>
  <c r="F179" i="53" l="1"/>
  <c r="D179" i="53"/>
  <c r="H179" i="44"/>
  <c r="M180" i="44" s="1"/>
  <c r="G179" i="44"/>
  <c r="E179" i="44"/>
  <c r="D179" i="44" s="1"/>
  <c r="F179" i="44" s="1"/>
  <c r="K179" i="46"/>
  <c r="H177" i="46"/>
  <c r="L180" i="53" l="1"/>
  <c r="H180" i="53" s="1"/>
  <c r="I178" i="53"/>
  <c r="M179" i="53" s="1"/>
  <c r="C179" i="53" s="1"/>
  <c r="E179" i="53" s="1"/>
  <c r="G179" i="53" s="1"/>
  <c r="D179" i="46"/>
  <c r="C179" i="46" s="1"/>
  <c r="E179" i="46" s="1"/>
  <c r="G179" i="46"/>
  <c r="L180" i="46" s="1"/>
  <c r="F179" i="46"/>
  <c r="L180" i="44"/>
  <c r="I178" i="44"/>
  <c r="F180" i="53" l="1"/>
  <c r="D180" i="53"/>
  <c r="H180" i="44"/>
  <c r="M181" i="44" s="1"/>
  <c r="E180" i="44"/>
  <c r="D180" i="44" s="1"/>
  <c r="F180" i="44" s="1"/>
  <c r="G180" i="44"/>
  <c r="K180" i="46"/>
  <c r="H178" i="46"/>
  <c r="L181" i="53" l="1"/>
  <c r="H181" i="53" s="1"/>
  <c r="I179" i="53"/>
  <c r="M180" i="53" s="1"/>
  <c r="C180" i="53" s="1"/>
  <c r="E180" i="53" s="1"/>
  <c r="G180" i="53" s="1"/>
  <c r="D180" i="46"/>
  <c r="C180" i="46" s="1"/>
  <c r="E180" i="46" s="1"/>
  <c r="G180" i="46"/>
  <c r="L181" i="46" s="1"/>
  <c r="F180" i="46"/>
  <c r="L181" i="44"/>
  <c r="I179" i="44"/>
  <c r="F181" i="53" l="1"/>
  <c r="D181" i="53"/>
  <c r="K181" i="46"/>
  <c r="H179" i="46"/>
  <c r="E181" i="44"/>
  <c r="D181" i="44" s="1"/>
  <c r="F181" i="44" s="1"/>
  <c r="H181" i="44"/>
  <c r="M182" i="44" s="1"/>
  <c r="G181" i="44"/>
  <c r="L182" i="53" l="1"/>
  <c r="H182" i="53" s="1"/>
  <c r="I180" i="53"/>
  <c r="M181" i="53" s="1"/>
  <c r="C181" i="53" s="1"/>
  <c r="E181" i="53" s="1"/>
  <c r="G181" i="53" s="1"/>
  <c r="L182" i="44"/>
  <c r="I180" i="44"/>
  <c r="F181" i="46"/>
  <c r="D181" i="46"/>
  <c r="C181" i="46" s="1"/>
  <c r="E181" i="46" s="1"/>
  <c r="G181" i="46"/>
  <c r="L182" i="46" s="1"/>
  <c r="F182" i="53" l="1"/>
  <c r="D182" i="53"/>
  <c r="K182" i="46"/>
  <c r="H180" i="46"/>
  <c r="E182" i="44"/>
  <c r="D182" i="44" s="1"/>
  <c r="F182" i="44" s="1"/>
  <c r="H182" i="44"/>
  <c r="M183" i="44" s="1"/>
  <c r="G182" i="44"/>
  <c r="L183" i="53" l="1"/>
  <c r="H183" i="53" s="1"/>
  <c r="I181" i="53"/>
  <c r="M182" i="53" s="1"/>
  <c r="C182" i="53" s="1"/>
  <c r="E182" i="53" s="1"/>
  <c r="G182" i="53" s="1"/>
  <c r="L183" i="44"/>
  <c r="I181" i="44"/>
  <c r="G182" i="46"/>
  <c r="L183" i="46" s="1"/>
  <c r="F182" i="46"/>
  <c r="D182" i="46"/>
  <c r="C182" i="46" s="1"/>
  <c r="E182" i="46" s="1"/>
  <c r="F183" i="53" l="1"/>
  <c r="D183" i="53"/>
  <c r="H183" i="44"/>
  <c r="M184" i="44" s="1"/>
  <c r="G183" i="44"/>
  <c r="E183" i="44"/>
  <c r="D183" i="44" s="1"/>
  <c r="F183" i="44" s="1"/>
  <c r="K183" i="46"/>
  <c r="H181" i="46"/>
  <c r="L184" i="53" l="1"/>
  <c r="H184" i="53" s="1"/>
  <c r="I182" i="53"/>
  <c r="M183" i="53" s="1"/>
  <c r="C183" i="53" s="1"/>
  <c r="E183" i="53" s="1"/>
  <c r="G183" i="53" s="1"/>
  <c r="D183" i="46"/>
  <c r="C183" i="46" s="1"/>
  <c r="E183" i="46" s="1"/>
  <c r="F183" i="46"/>
  <c r="G183" i="46"/>
  <c r="L184" i="46" s="1"/>
  <c r="L184" i="44"/>
  <c r="I182" i="44"/>
  <c r="D184" i="53" l="1"/>
  <c r="F184" i="53"/>
  <c r="H184" i="44"/>
  <c r="M185" i="44" s="1"/>
  <c r="G184" i="44"/>
  <c r="E184" i="44"/>
  <c r="D184" i="44" s="1"/>
  <c r="F184" i="44" s="1"/>
  <c r="K184" i="46"/>
  <c r="H182" i="46"/>
  <c r="L185" i="53" l="1"/>
  <c r="H185" i="53" s="1"/>
  <c r="I183" i="53"/>
  <c r="M184" i="53" s="1"/>
  <c r="C184" i="53" s="1"/>
  <c r="E184" i="53" s="1"/>
  <c r="G184" i="53" s="1"/>
  <c r="L185" i="44"/>
  <c r="I183" i="44"/>
  <c r="D184" i="46"/>
  <c r="C184" i="46" s="1"/>
  <c r="E184" i="46" s="1"/>
  <c r="G184" i="46"/>
  <c r="L185" i="46" s="1"/>
  <c r="F184" i="46"/>
  <c r="F185" i="53" l="1"/>
  <c r="D185" i="53"/>
  <c r="K185" i="46"/>
  <c r="H183" i="46"/>
  <c r="E185" i="44"/>
  <c r="D185" i="44" s="1"/>
  <c r="F185" i="44" s="1"/>
  <c r="H185" i="44"/>
  <c r="M186" i="44" s="1"/>
  <c r="G185" i="44"/>
  <c r="L186" i="53" l="1"/>
  <c r="H186" i="53" s="1"/>
  <c r="I184" i="53"/>
  <c r="M185" i="53" s="1"/>
  <c r="C185" i="53" s="1"/>
  <c r="E185" i="53" s="1"/>
  <c r="G185" i="53" s="1"/>
  <c r="F185" i="46"/>
  <c r="G185" i="46"/>
  <c r="L186" i="46" s="1"/>
  <c r="D185" i="46"/>
  <c r="C185" i="46" s="1"/>
  <c r="E185" i="46" s="1"/>
  <c r="L186" i="44"/>
  <c r="I184" i="44"/>
  <c r="D186" i="53" l="1"/>
  <c r="F186" i="53"/>
  <c r="E186" i="44"/>
  <c r="D186" i="44" s="1"/>
  <c r="F186" i="44" s="1"/>
  <c r="H186" i="44"/>
  <c r="M187" i="44" s="1"/>
  <c r="G186" i="44"/>
  <c r="K186" i="46"/>
  <c r="H184" i="46"/>
  <c r="L187" i="53" l="1"/>
  <c r="H187" i="53" s="1"/>
  <c r="I185" i="53"/>
  <c r="M186" i="53" s="1"/>
  <c r="C186" i="53" s="1"/>
  <c r="E186" i="53" s="1"/>
  <c r="G186" i="53" s="1"/>
  <c r="G186" i="46"/>
  <c r="L187" i="46" s="1"/>
  <c r="D186" i="46"/>
  <c r="C186" i="46" s="1"/>
  <c r="E186" i="46" s="1"/>
  <c r="F186" i="46"/>
  <c r="L187" i="44"/>
  <c r="I185" i="44"/>
  <c r="F187" i="53" l="1"/>
  <c r="D187" i="53"/>
  <c r="G187" i="44"/>
  <c r="E187" i="44"/>
  <c r="D187" i="44" s="1"/>
  <c r="F187" i="44" s="1"/>
  <c r="H187" i="44"/>
  <c r="M188" i="44" s="1"/>
  <c r="K187" i="46"/>
  <c r="H185" i="46"/>
  <c r="L188" i="53" l="1"/>
  <c r="H188" i="53" s="1"/>
  <c r="I186" i="53"/>
  <c r="M187" i="53" s="1"/>
  <c r="C187" i="53" s="1"/>
  <c r="E187" i="53" s="1"/>
  <c r="G187" i="53" s="1"/>
  <c r="L188" i="44"/>
  <c r="I186" i="44"/>
  <c r="D187" i="46"/>
  <c r="C187" i="46" s="1"/>
  <c r="E187" i="46" s="1"/>
  <c r="F187" i="46"/>
  <c r="G187" i="46"/>
  <c r="L188" i="46" s="1"/>
  <c r="D188" i="53" l="1"/>
  <c r="F188" i="53"/>
  <c r="K188" i="46"/>
  <c r="H186" i="46"/>
  <c r="E188" i="44"/>
  <c r="D188" i="44" s="1"/>
  <c r="F188" i="44" s="1"/>
  <c r="H188" i="44"/>
  <c r="M189" i="44" s="1"/>
  <c r="G188" i="44"/>
  <c r="L189" i="53" l="1"/>
  <c r="H189" i="53" s="1"/>
  <c r="I187" i="53"/>
  <c r="M188" i="53" s="1"/>
  <c r="C188" i="53" s="1"/>
  <c r="E188" i="53" s="1"/>
  <c r="G188" i="53" s="1"/>
  <c r="D188" i="46"/>
  <c r="C188" i="46" s="1"/>
  <c r="E188" i="46" s="1"/>
  <c r="G188" i="46"/>
  <c r="L189" i="46" s="1"/>
  <c r="F188" i="46"/>
  <c r="L189" i="44"/>
  <c r="I187" i="44"/>
  <c r="D189" i="53" l="1"/>
  <c r="F189" i="53"/>
  <c r="K189" i="46"/>
  <c r="H187" i="46"/>
  <c r="E189" i="44"/>
  <c r="D189" i="44" s="1"/>
  <c r="F189" i="44" s="1"/>
  <c r="H189" i="44"/>
  <c r="M190" i="44" s="1"/>
  <c r="G189" i="44"/>
  <c r="L190" i="53" l="1"/>
  <c r="H190" i="53" s="1"/>
  <c r="I188" i="53"/>
  <c r="M189" i="53" s="1"/>
  <c r="C189" i="53" s="1"/>
  <c r="E189" i="53" s="1"/>
  <c r="G189" i="53" s="1"/>
  <c r="L190" i="44"/>
  <c r="I188" i="44"/>
  <c r="F189" i="46"/>
  <c r="G189" i="46"/>
  <c r="L190" i="46" s="1"/>
  <c r="D189" i="46"/>
  <c r="C189" i="46" s="1"/>
  <c r="E189" i="46" s="1"/>
  <c r="F190" i="53" l="1"/>
  <c r="D190" i="53"/>
  <c r="K190" i="46"/>
  <c r="H188" i="46"/>
  <c r="E190" i="44"/>
  <c r="D190" i="44" s="1"/>
  <c r="F190" i="44" s="1"/>
  <c r="H190" i="44"/>
  <c r="M191" i="44" s="1"/>
  <c r="G190" i="44"/>
  <c r="L191" i="53" l="1"/>
  <c r="H191" i="53" s="1"/>
  <c r="I189" i="53"/>
  <c r="M190" i="53" s="1"/>
  <c r="C190" i="53" s="1"/>
  <c r="E190" i="53" s="1"/>
  <c r="G190" i="53" s="1"/>
  <c r="G190" i="46"/>
  <c r="L191" i="46" s="1"/>
  <c r="F190" i="46"/>
  <c r="D190" i="46"/>
  <c r="C190" i="46" s="1"/>
  <c r="E190" i="46" s="1"/>
  <c r="L191" i="44"/>
  <c r="I189" i="44"/>
  <c r="F191" i="53" l="1"/>
  <c r="D191" i="53"/>
  <c r="G191" i="44"/>
  <c r="E191" i="44"/>
  <c r="D191" i="44" s="1"/>
  <c r="F191" i="44" s="1"/>
  <c r="H191" i="44"/>
  <c r="M192" i="44" s="1"/>
  <c r="K191" i="46"/>
  <c r="H189" i="46"/>
  <c r="L192" i="53" l="1"/>
  <c r="H192" i="53" s="1"/>
  <c r="I190" i="53"/>
  <c r="M191" i="53" s="1"/>
  <c r="C191" i="53" s="1"/>
  <c r="E191" i="53" s="1"/>
  <c r="G191" i="53" s="1"/>
  <c r="D191" i="46"/>
  <c r="C191" i="46" s="1"/>
  <c r="E191" i="46" s="1"/>
  <c r="G191" i="46"/>
  <c r="L192" i="46" s="1"/>
  <c r="F191" i="46"/>
  <c r="L192" i="44"/>
  <c r="I190" i="44"/>
  <c r="F192" i="53" l="1"/>
  <c r="D192" i="53"/>
  <c r="K192" i="46"/>
  <c r="H190" i="46"/>
  <c r="E192" i="44"/>
  <c r="D192" i="44" s="1"/>
  <c r="F192" i="44" s="1"/>
  <c r="H192" i="44"/>
  <c r="M193" i="44" s="1"/>
  <c r="G192" i="44"/>
  <c r="L193" i="53" l="1"/>
  <c r="H193" i="53" s="1"/>
  <c r="I191" i="53"/>
  <c r="M192" i="53" s="1"/>
  <c r="C192" i="53" s="1"/>
  <c r="E192" i="53" s="1"/>
  <c r="G192" i="53" s="1"/>
  <c r="L193" i="44"/>
  <c r="I191" i="44"/>
  <c r="D192" i="46"/>
  <c r="C192" i="46" s="1"/>
  <c r="E192" i="46" s="1"/>
  <c r="G192" i="46"/>
  <c r="L193" i="46" s="1"/>
  <c r="F192" i="46"/>
  <c r="F193" i="53" l="1"/>
  <c r="D193" i="53"/>
  <c r="K193" i="46"/>
  <c r="H191" i="46"/>
  <c r="G193" i="44"/>
  <c r="H193" i="44"/>
  <c r="M194" i="44" s="1"/>
  <c r="E193" i="44"/>
  <c r="D193" i="44" s="1"/>
  <c r="F193" i="44" s="1"/>
  <c r="L194" i="53" l="1"/>
  <c r="H194" i="53" s="1"/>
  <c r="I192" i="53"/>
  <c r="M193" i="53" s="1"/>
  <c r="L194" i="44"/>
  <c r="I192" i="44"/>
  <c r="F193" i="46"/>
  <c r="G193" i="46"/>
  <c r="L194" i="46" s="1"/>
  <c r="D193" i="46"/>
  <c r="C193" i="46" s="1"/>
  <c r="E193" i="46" s="1"/>
  <c r="C193" i="53" l="1"/>
  <c r="E193" i="53" s="1"/>
  <c r="G193" i="53" s="1"/>
  <c r="D194" i="53"/>
  <c r="F194" i="53"/>
  <c r="K194" i="46"/>
  <c r="H192" i="46"/>
  <c r="H194" i="44"/>
  <c r="M195" i="44" s="1"/>
  <c r="E194" i="44"/>
  <c r="D194" i="44" s="1"/>
  <c r="F194" i="44" s="1"/>
  <c r="G194" i="44"/>
  <c r="L195" i="53" l="1"/>
  <c r="H195" i="53" s="1"/>
  <c r="I193" i="53"/>
  <c r="M194" i="53" s="1"/>
  <c r="C194" i="53" s="1"/>
  <c r="E194" i="53" s="1"/>
  <c r="G194" i="53" s="1"/>
  <c r="G194" i="46"/>
  <c r="L195" i="46" s="1"/>
  <c r="F194" i="46"/>
  <c r="D194" i="46"/>
  <c r="C194" i="46" s="1"/>
  <c r="E194" i="46" s="1"/>
  <c r="L195" i="44"/>
  <c r="I193" i="44"/>
  <c r="D195" i="53" l="1"/>
  <c r="F195" i="53"/>
  <c r="E195" i="44"/>
  <c r="D195" i="44" s="1"/>
  <c r="F195" i="44" s="1"/>
  <c r="G195" i="44"/>
  <c r="H195" i="44"/>
  <c r="M196" i="44" s="1"/>
  <c r="K195" i="46"/>
  <c r="H193" i="46"/>
  <c r="L196" i="53" l="1"/>
  <c r="H196" i="53" s="1"/>
  <c r="I194" i="53"/>
  <c r="M195" i="53" s="1"/>
  <c r="C195" i="53" s="1"/>
  <c r="E195" i="53" s="1"/>
  <c r="G195" i="53" s="1"/>
  <c r="D195" i="46"/>
  <c r="C195" i="46" s="1"/>
  <c r="E195" i="46" s="1"/>
  <c r="G195" i="46"/>
  <c r="L196" i="46" s="1"/>
  <c r="F195" i="46"/>
  <c r="L196" i="44"/>
  <c r="I194" i="44"/>
  <c r="F196" i="53" l="1"/>
  <c r="D196" i="53"/>
  <c r="K196" i="46"/>
  <c r="H194" i="46"/>
  <c r="G196" i="44"/>
  <c r="H196" i="44"/>
  <c r="M197" i="44" s="1"/>
  <c r="E196" i="44"/>
  <c r="D196" i="44" s="1"/>
  <c r="F196" i="44" s="1"/>
  <c r="L197" i="53" l="1"/>
  <c r="H197" i="53" s="1"/>
  <c r="I195" i="53"/>
  <c r="M196" i="53" s="1"/>
  <c r="C196" i="53" s="1"/>
  <c r="E196" i="53" s="1"/>
  <c r="G196" i="53" s="1"/>
  <c r="L197" i="44"/>
  <c r="I195" i="44"/>
  <c r="D196" i="46"/>
  <c r="C196" i="46" s="1"/>
  <c r="E196" i="46" s="1"/>
  <c r="G196" i="46"/>
  <c r="L197" i="46" s="1"/>
  <c r="F196" i="46"/>
  <c r="F197" i="53" l="1"/>
  <c r="D197" i="53"/>
  <c r="E197" i="44"/>
  <c r="D197" i="44" s="1"/>
  <c r="F197" i="44" s="1"/>
  <c r="G197" i="44"/>
  <c r="H197" i="44"/>
  <c r="M198" i="44" s="1"/>
  <c r="K197" i="46"/>
  <c r="H195" i="46"/>
  <c r="L198" i="53" l="1"/>
  <c r="H198" i="53" s="1"/>
  <c r="I196" i="53"/>
  <c r="M197" i="53" s="1"/>
  <c r="C197" i="53" s="1"/>
  <c r="E197" i="53" s="1"/>
  <c r="G197" i="53" s="1"/>
  <c r="F197" i="46"/>
  <c r="G197" i="46"/>
  <c r="L198" i="46" s="1"/>
  <c r="D197" i="46"/>
  <c r="C197" i="46" s="1"/>
  <c r="E197" i="46" s="1"/>
  <c r="L198" i="44"/>
  <c r="I196" i="44"/>
  <c r="D198" i="53" l="1"/>
  <c r="F198" i="53"/>
  <c r="H198" i="44"/>
  <c r="M199" i="44" s="1"/>
  <c r="G198" i="44"/>
  <c r="E198" i="44"/>
  <c r="D198" i="44" s="1"/>
  <c r="F198" i="44" s="1"/>
  <c r="K198" i="46"/>
  <c r="H196" i="46"/>
  <c r="L199" i="53" l="1"/>
  <c r="H199" i="53" s="1"/>
  <c r="I197" i="53"/>
  <c r="M198" i="53" s="1"/>
  <c r="C198" i="53" s="1"/>
  <c r="E198" i="53" s="1"/>
  <c r="G198" i="53" s="1"/>
  <c r="G198" i="46"/>
  <c r="L199" i="46" s="1"/>
  <c r="F198" i="46"/>
  <c r="D198" i="46"/>
  <c r="C198" i="46" s="1"/>
  <c r="E198" i="46" s="1"/>
  <c r="L199" i="44"/>
  <c r="I197" i="44"/>
  <c r="F199" i="53" l="1"/>
  <c r="D199" i="53"/>
  <c r="E199" i="44"/>
  <c r="D199" i="44" s="1"/>
  <c r="F199" i="44" s="1"/>
  <c r="G199" i="44"/>
  <c r="H199" i="44"/>
  <c r="M200" i="44" s="1"/>
  <c r="K199" i="46"/>
  <c r="H197" i="46"/>
  <c r="L200" i="53" l="1"/>
  <c r="H200" i="53" s="1"/>
  <c r="I198" i="53"/>
  <c r="M199" i="53" s="1"/>
  <c r="C199" i="53" s="1"/>
  <c r="E199" i="53" s="1"/>
  <c r="G199" i="53" s="1"/>
  <c r="D199" i="46"/>
  <c r="C199" i="46" s="1"/>
  <c r="E199" i="46" s="1"/>
  <c r="G199" i="46"/>
  <c r="L200" i="46" s="1"/>
  <c r="F199" i="46"/>
  <c r="L200" i="44"/>
  <c r="I198" i="44"/>
  <c r="D200" i="53" l="1"/>
  <c r="F200" i="53"/>
  <c r="G200" i="44"/>
  <c r="E200" i="44"/>
  <c r="D200" i="44" s="1"/>
  <c r="F200" i="44" s="1"/>
  <c r="H200" i="44"/>
  <c r="M201" i="44" s="1"/>
  <c r="K200" i="46"/>
  <c r="H198" i="46"/>
  <c r="L201" i="53" l="1"/>
  <c r="H201" i="53" s="1"/>
  <c r="I199" i="53"/>
  <c r="M200" i="53" s="1"/>
  <c r="C200" i="53" s="1"/>
  <c r="E200" i="53" s="1"/>
  <c r="G200" i="53" s="1"/>
  <c r="D200" i="46"/>
  <c r="C200" i="46" s="1"/>
  <c r="E200" i="46" s="1"/>
  <c r="G200" i="46"/>
  <c r="L201" i="46" s="1"/>
  <c r="F200" i="46"/>
  <c r="L201" i="44"/>
  <c r="I199" i="44"/>
  <c r="F201" i="53" l="1"/>
  <c r="D201" i="53"/>
  <c r="K201" i="46"/>
  <c r="H199" i="46"/>
  <c r="H201" i="44"/>
  <c r="M202" i="44" s="1"/>
  <c r="E201" i="44"/>
  <c r="D201" i="44" s="1"/>
  <c r="F201" i="44" s="1"/>
  <c r="G201" i="44"/>
  <c r="L202" i="53" l="1"/>
  <c r="H202" i="53" s="1"/>
  <c r="I200" i="53"/>
  <c r="M201" i="53" s="1"/>
  <c r="C201" i="53" s="1"/>
  <c r="E201" i="53" s="1"/>
  <c r="G201" i="53" s="1"/>
  <c r="L202" i="44"/>
  <c r="I200" i="44"/>
  <c r="F201" i="46"/>
  <c r="G201" i="46"/>
  <c r="L202" i="46" s="1"/>
  <c r="D201" i="46"/>
  <c r="C201" i="46" s="1"/>
  <c r="E201" i="46" s="1"/>
  <c r="D202" i="53" l="1"/>
  <c r="F202" i="53"/>
  <c r="K202" i="46"/>
  <c r="H200" i="46"/>
  <c r="E202" i="44"/>
  <c r="D202" i="44" s="1"/>
  <c r="F202" i="44" s="1"/>
  <c r="H202" i="44"/>
  <c r="M203" i="44" s="1"/>
  <c r="G202" i="44"/>
  <c r="L203" i="53" l="1"/>
  <c r="H203" i="53" s="1"/>
  <c r="I201" i="53"/>
  <c r="M202" i="53" s="1"/>
  <c r="C202" i="53" s="1"/>
  <c r="E202" i="53" s="1"/>
  <c r="G202" i="53" s="1"/>
  <c r="L203" i="44"/>
  <c r="I201" i="44"/>
  <c r="G202" i="46"/>
  <c r="L203" i="46" s="1"/>
  <c r="D202" i="46"/>
  <c r="C202" i="46" s="1"/>
  <c r="E202" i="46" s="1"/>
  <c r="F202" i="46"/>
  <c r="F203" i="53" l="1"/>
  <c r="D203" i="53"/>
  <c r="K203" i="46"/>
  <c r="H201" i="46"/>
  <c r="G203" i="44"/>
  <c r="H203" i="44"/>
  <c r="M204" i="44" s="1"/>
  <c r="E203" i="44"/>
  <c r="D203" i="44" s="1"/>
  <c r="F203" i="44" s="1"/>
  <c r="L204" i="53" l="1"/>
  <c r="H204" i="53" s="1"/>
  <c r="I202" i="53"/>
  <c r="M203" i="53" s="1"/>
  <c r="C203" i="53" s="1"/>
  <c r="E203" i="53" s="1"/>
  <c r="G203" i="53" s="1"/>
  <c r="D203" i="46"/>
  <c r="C203" i="46" s="1"/>
  <c r="E203" i="46" s="1"/>
  <c r="G203" i="46"/>
  <c r="L204" i="46" s="1"/>
  <c r="F203" i="46"/>
  <c r="L204" i="44"/>
  <c r="I202" i="44"/>
  <c r="F204" i="53" l="1"/>
  <c r="D204" i="53"/>
  <c r="K204" i="46"/>
  <c r="H202" i="46"/>
  <c r="G204" i="44"/>
  <c r="H204" i="44"/>
  <c r="M205" i="44" s="1"/>
  <c r="E204" i="44"/>
  <c r="D204" i="44" s="1"/>
  <c r="F204" i="44" s="1"/>
  <c r="L205" i="53" l="1"/>
  <c r="H205" i="53" s="1"/>
  <c r="I203" i="53"/>
  <c r="M204" i="53" s="1"/>
  <c r="C204" i="53" s="1"/>
  <c r="E204" i="53" s="1"/>
  <c r="G204" i="53" s="1"/>
  <c r="L205" i="44"/>
  <c r="I203" i="44"/>
  <c r="D204" i="46"/>
  <c r="C204" i="46" s="1"/>
  <c r="E204" i="46" s="1"/>
  <c r="G204" i="46"/>
  <c r="L205" i="46" s="1"/>
  <c r="F204" i="46"/>
  <c r="F205" i="53" l="1"/>
  <c r="D205" i="53"/>
  <c r="K205" i="46"/>
  <c r="H203" i="46"/>
  <c r="E205" i="44"/>
  <c r="D205" i="44" s="1"/>
  <c r="F205" i="44" s="1"/>
  <c r="H205" i="44"/>
  <c r="M206" i="44" s="1"/>
  <c r="G205" i="44"/>
  <c r="L206" i="53" l="1"/>
  <c r="H206" i="53" s="1"/>
  <c r="I204" i="53"/>
  <c r="M205" i="53" s="1"/>
  <c r="C205" i="53" s="1"/>
  <c r="E205" i="53" s="1"/>
  <c r="G205" i="53" s="1"/>
  <c r="L206" i="44"/>
  <c r="I204" i="44"/>
  <c r="F205" i="46"/>
  <c r="D205" i="46"/>
  <c r="C205" i="46" s="1"/>
  <c r="E205" i="46" s="1"/>
  <c r="G205" i="46"/>
  <c r="L206" i="46" s="1"/>
  <c r="F206" i="53" l="1"/>
  <c r="D206" i="53"/>
  <c r="K206" i="46"/>
  <c r="H204" i="46"/>
  <c r="E206" i="44"/>
  <c r="D206" i="44" s="1"/>
  <c r="F206" i="44" s="1"/>
  <c r="H206" i="44"/>
  <c r="M207" i="44" s="1"/>
  <c r="G206" i="44"/>
  <c r="L207" i="53" l="1"/>
  <c r="H207" i="53" s="1"/>
  <c r="I205" i="53"/>
  <c r="M206" i="53" s="1"/>
  <c r="C206" i="53" s="1"/>
  <c r="E206" i="53" s="1"/>
  <c r="G206" i="53" s="1"/>
  <c r="L207" i="44"/>
  <c r="I205" i="44"/>
  <c r="G206" i="46"/>
  <c r="L207" i="46" s="1"/>
  <c r="F206" i="46"/>
  <c r="D206" i="46"/>
  <c r="C206" i="46" s="1"/>
  <c r="E206" i="46" s="1"/>
  <c r="F207" i="53" l="1"/>
  <c r="D207" i="53"/>
  <c r="K207" i="46"/>
  <c r="H205" i="46"/>
  <c r="G207" i="44"/>
  <c r="H207" i="44"/>
  <c r="M208" i="44" s="1"/>
  <c r="E207" i="44"/>
  <c r="D207" i="44" s="1"/>
  <c r="F207" i="44" s="1"/>
  <c r="L208" i="53" l="1"/>
  <c r="H208" i="53" s="1"/>
  <c r="I206" i="53"/>
  <c r="M207" i="53" s="1"/>
  <c r="C207" i="53" s="1"/>
  <c r="E207" i="53" s="1"/>
  <c r="G207" i="53" s="1"/>
  <c r="L208" i="44"/>
  <c r="I206" i="44"/>
  <c r="D207" i="46"/>
  <c r="C207" i="46" s="1"/>
  <c r="E207" i="46" s="1"/>
  <c r="G207" i="46"/>
  <c r="L208" i="46" s="1"/>
  <c r="F207" i="46"/>
  <c r="F208" i="53" l="1"/>
  <c r="D208" i="53"/>
  <c r="K208" i="46"/>
  <c r="H206" i="46"/>
  <c r="G208" i="44"/>
  <c r="H208" i="44"/>
  <c r="M209" i="44" s="1"/>
  <c r="E208" i="44"/>
  <c r="D208" i="44" s="1"/>
  <c r="F208" i="44" s="1"/>
  <c r="L209" i="53" l="1"/>
  <c r="H209" i="53" s="1"/>
  <c r="I207" i="53"/>
  <c r="M208" i="53" s="1"/>
  <c r="C208" i="53" s="1"/>
  <c r="E208" i="53" s="1"/>
  <c r="G208" i="53" s="1"/>
  <c r="D208" i="46"/>
  <c r="C208" i="46" s="1"/>
  <c r="E208" i="46" s="1"/>
  <c r="G208" i="46"/>
  <c r="L209" i="46" s="1"/>
  <c r="F208" i="46"/>
  <c r="L209" i="44"/>
  <c r="I207" i="44"/>
  <c r="D209" i="53" l="1"/>
  <c r="F209" i="53"/>
  <c r="K209" i="46"/>
  <c r="H207" i="46"/>
  <c r="H209" i="44"/>
  <c r="M210" i="44" s="1"/>
  <c r="G209" i="44"/>
  <c r="E209" i="44"/>
  <c r="D209" i="44" s="1"/>
  <c r="F209" i="44" s="1"/>
  <c r="L210" i="53" l="1"/>
  <c r="H210" i="53" s="1"/>
  <c r="I208" i="53"/>
  <c r="M209" i="53" s="1"/>
  <c r="C209" i="53" s="1"/>
  <c r="E209" i="53" s="1"/>
  <c r="G209" i="53" s="1"/>
  <c r="L210" i="44"/>
  <c r="I208" i="44"/>
  <c r="F209" i="46"/>
  <c r="G209" i="46"/>
  <c r="L210" i="46" s="1"/>
  <c r="D209" i="46"/>
  <c r="C209" i="46" s="1"/>
  <c r="E209" i="46" s="1"/>
  <c r="D210" i="53" l="1"/>
  <c r="F210" i="53"/>
  <c r="E210" i="44"/>
  <c r="D210" i="44" s="1"/>
  <c r="F210" i="44" s="1"/>
  <c r="H210" i="44"/>
  <c r="M211" i="44" s="1"/>
  <c r="G210" i="44"/>
  <c r="K210" i="46"/>
  <c r="H208" i="46"/>
  <c r="L211" i="53" l="1"/>
  <c r="H211" i="53" s="1"/>
  <c r="I209" i="53"/>
  <c r="M210" i="53" s="1"/>
  <c r="C210" i="53" s="1"/>
  <c r="E210" i="53" s="1"/>
  <c r="G210" i="53" s="1"/>
  <c r="L211" i="44"/>
  <c r="I209" i="44"/>
  <c r="G210" i="46"/>
  <c r="L211" i="46" s="1"/>
  <c r="F210" i="46"/>
  <c r="D210" i="46"/>
  <c r="C210" i="46" s="1"/>
  <c r="E210" i="46" s="1"/>
  <c r="D211" i="53" l="1"/>
  <c r="F211" i="53"/>
  <c r="K211" i="46"/>
  <c r="H209" i="46"/>
  <c r="G211" i="44"/>
  <c r="E211" i="44"/>
  <c r="D211" i="44" s="1"/>
  <c r="F211" i="44" s="1"/>
  <c r="H211" i="44"/>
  <c r="M212" i="44" s="1"/>
  <c r="L212" i="53" l="1"/>
  <c r="H212" i="53" s="1"/>
  <c r="I210" i="53"/>
  <c r="M211" i="53" s="1"/>
  <c r="C211" i="53" s="1"/>
  <c r="E211" i="53" s="1"/>
  <c r="G211" i="53" s="1"/>
  <c r="L212" i="44"/>
  <c r="I210" i="44"/>
  <c r="D211" i="46"/>
  <c r="C211" i="46" s="1"/>
  <c r="E211" i="46" s="1"/>
  <c r="G211" i="46"/>
  <c r="L212" i="46" s="1"/>
  <c r="F211" i="46"/>
  <c r="F212" i="53" l="1"/>
  <c r="D212" i="53"/>
  <c r="K212" i="46"/>
  <c r="H210" i="46"/>
  <c r="G212" i="44"/>
  <c r="H212" i="44"/>
  <c r="M213" i="44" s="1"/>
  <c r="E212" i="44"/>
  <c r="D212" i="44" s="1"/>
  <c r="F212" i="44" s="1"/>
  <c r="L213" i="53" l="1"/>
  <c r="H213" i="53" s="1"/>
  <c r="I211" i="53"/>
  <c r="M212" i="53" s="1"/>
  <c r="C212" i="53" s="1"/>
  <c r="E212" i="53" s="1"/>
  <c r="G212" i="53" s="1"/>
  <c r="L213" i="44"/>
  <c r="I211" i="44"/>
  <c r="D212" i="46"/>
  <c r="C212" i="46" s="1"/>
  <c r="E212" i="46" s="1"/>
  <c r="G212" i="46"/>
  <c r="L213" i="46" s="1"/>
  <c r="F212" i="46"/>
  <c r="D213" i="53" l="1"/>
  <c r="F213" i="53"/>
  <c r="K213" i="46"/>
  <c r="H211" i="46"/>
  <c r="H213" i="44"/>
  <c r="M214" i="44" s="1"/>
  <c r="G213" i="44"/>
  <c r="E213" i="44"/>
  <c r="D213" i="44" s="1"/>
  <c r="F213" i="44" s="1"/>
  <c r="L214" i="53" l="1"/>
  <c r="H214" i="53" s="1"/>
  <c r="I212" i="53"/>
  <c r="M213" i="53" s="1"/>
  <c r="C213" i="53" s="1"/>
  <c r="E213" i="53" s="1"/>
  <c r="G213" i="53" s="1"/>
  <c r="L214" i="44"/>
  <c r="I212" i="44"/>
  <c r="F213" i="46"/>
  <c r="D213" i="46"/>
  <c r="C213" i="46" s="1"/>
  <c r="E213" i="46" s="1"/>
  <c r="G213" i="46"/>
  <c r="L214" i="46" s="1"/>
  <c r="D214" i="53" l="1"/>
  <c r="F214" i="53"/>
  <c r="E214" i="44"/>
  <c r="D214" i="44" s="1"/>
  <c r="F214" i="44" s="1"/>
  <c r="H214" i="44"/>
  <c r="M215" i="44" s="1"/>
  <c r="G214" i="44"/>
  <c r="K214" i="46"/>
  <c r="H212" i="46"/>
  <c r="L215" i="53" l="1"/>
  <c r="H215" i="53" s="1"/>
  <c r="I213" i="53"/>
  <c r="M214" i="53" s="1"/>
  <c r="C214" i="53" s="1"/>
  <c r="E214" i="53" s="1"/>
  <c r="G214" i="53" s="1"/>
  <c r="L215" i="44"/>
  <c r="I213" i="44"/>
  <c r="G214" i="46"/>
  <c r="L215" i="46" s="1"/>
  <c r="F214" i="46"/>
  <c r="D214" i="46"/>
  <c r="C214" i="46" s="1"/>
  <c r="E214" i="46" s="1"/>
  <c r="F215" i="53" l="1"/>
  <c r="D215" i="53"/>
  <c r="K215" i="46"/>
  <c r="H213" i="46"/>
  <c r="G215" i="44"/>
  <c r="H215" i="44"/>
  <c r="M216" i="44" s="1"/>
  <c r="E215" i="44"/>
  <c r="D215" i="44" s="1"/>
  <c r="F215" i="44" s="1"/>
  <c r="L216" i="53" l="1"/>
  <c r="H216" i="53" s="1"/>
  <c r="I214" i="53"/>
  <c r="M215" i="53" s="1"/>
  <c r="C215" i="53" s="1"/>
  <c r="E215" i="53" s="1"/>
  <c r="G215" i="53" s="1"/>
  <c r="L216" i="44"/>
  <c r="I214" i="44"/>
  <c r="D215" i="46"/>
  <c r="C215" i="46" s="1"/>
  <c r="E215" i="46" s="1"/>
  <c r="G215" i="46"/>
  <c r="L216" i="46" s="1"/>
  <c r="F215" i="46"/>
  <c r="D216" i="53" l="1"/>
  <c r="F216" i="53"/>
  <c r="K216" i="46"/>
  <c r="H214" i="46"/>
  <c r="E216" i="44"/>
  <c r="D216" i="44" s="1"/>
  <c r="F216" i="44" s="1"/>
  <c r="G216" i="44"/>
  <c r="H216" i="44"/>
  <c r="M217" i="44" s="1"/>
  <c r="L217" i="53" l="1"/>
  <c r="H217" i="53" s="1"/>
  <c r="I215" i="53"/>
  <c r="M216" i="53" s="1"/>
  <c r="C216" i="53" s="1"/>
  <c r="E216" i="53" s="1"/>
  <c r="G216" i="53" s="1"/>
  <c r="L217" i="44"/>
  <c r="I215" i="44"/>
  <c r="D216" i="46"/>
  <c r="C216" i="46" s="1"/>
  <c r="E216" i="46" s="1"/>
  <c r="G216" i="46"/>
  <c r="L217" i="46" s="1"/>
  <c r="F216" i="46"/>
  <c r="D217" i="53" l="1"/>
  <c r="F217" i="53"/>
  <c r="K217" i="46"/>
  <c r="H215" i="46"/>
  <c r="H217" i="44"/>
  <c r="M218" i="44" s="1"/>
  <c r="G217" i="44"/>
  <c r="E217" i="44"/>
  <c r="D217" i="44" s="1"/>
  <c r="F217" i="44" s="1"/>
  <c r="L218" i="53" l="1"/>
  <c r="H218" i="53" s="1"/>
  <c r="I216" i="53"/>
  <c r="M217" i="53" s="1"/>
  <c r="C217" i="53" s="1"/>
  <c r="E217" i="53" s="1"/>
  <c r="G217" i="53" s="1"/>
  <c r="L218" i="44"/>
  <c r="I216" i="44"/>
  <c r="F217" i="46"/>
  <c r="G217" i="46"/>
  <c r="L218" i="46" s="1"/>
  <c r="D217" i="46"/>
  <c r="C217" i="46" s="1"/>
  <c r="E217" i="46" s="1"/>
  <c r="D218" i="53" l="1"/>
  <c r="F218" i="53"/>
  <c r="G218" i="44"/>
  <c r="H218" i="44"/>
  <c r="M219" i="44" s="1"/>
  <c r="E218" i="44"/>
  <c r="D218" i="44" s="1"/>
  <c r="F218" i="44" s="1"/>
  <c r="K218" i="46"/>
  <c r="H216" i="46"/>
  <c r="L219" i="53" l="1"/>
  <c r="H219" i="53" s="1"/>
  <c r="I217" i="53"/>
  <c r="M218" i="53" s="1"/>
  <c r="C218" i="53" s="1"/>
  <c r="E218" i="53" s="1"/>
  <c r="G218" i="53" s="1"/>
  <c r="G218" i="46"/>
  <c r="L219" i="46" s="1"/>
  <c r="F218" i="46"/>
  <c r="D218" i="46"/>
  <c r="C218" i="46" s="1"/>
  <c r="E218" i="46" s="1"/>
  <c r="L219" i="44"/>
  <c r="I217" i="44"/>
  <c r="F219" i="53" l="1"/>
  <c r="D219" i="53"/>
  <c r="K219" i="46"/>
  <c r="H217" i="46"/>
  <c r="G219" i="44"/>
  <c r="E219" i="44"/>
  <c r="D219" i="44" s="1"/>
  <c r="F219" i="44" s="1"/>
  <c r="H219" i="44"/>
  <c r="M220" i="44" s="1"/>
  <c r="L220" i="53" l="1"/>
  <c r="H220" i="53" s="1"/>
  <c r="I218" i="53"/>
  <c r="M219" i="53" s="1"/>
  <c r="C219" i="53" s="1"/>
  <c r="E219" i="53" s="1"/>
  <c r="G219" i="53" s="1"/>
  <c r="L220" i="44"/>
  <c r="I218" i="44"/>
  <c r="D219" i="46"/>
  <c r="C219" i="46" s="1"/>
  <c r="E219" i="46" s="1"/>
  <c r="F219" i="46"/>
  <c r="G219" i="46"/>
  <c r="L220" i="46" s="1"/>
  <c r="D220" i="53" l="1"/>
  <c r="F220" i="53"/>
  <c r="K220" i="46"/>
  <c r="H218" i="46"/>
  <c r="G220" i="44"/>
  <c r="H220" i="44"/>
  <c r="M221" i="44" s="1"/>
  <c r="E220" i="44"/>
  <c r="D220" i="44" s="1"/>
  <c r="F220" i="44" s="1"/>
  <c r="L221" i="53" l="1"/>
  <c r="H221" i="53" s="1"/>
  <c r="I219" i="53"/>
  <c r="M220" i="53" s="1"/>
  <c r="C220" i="53" s="1"/>
  <c r="E220" i="53" s="1"/>
  <c r="G220" i="53" s="1"/>
  <c r="D220" i="46"/>
  <c r="C220" i="46" s="1"/>
  <c r="E220" i="46" s="1"/>
  <c r="G220" i="46"/>
  <c r="L221" i="46" s="1"/>
  <c r="F220" i="46"/>
  <c r="L221" i="44"/>
  <c r="I219" i="44"/>
  <c r="F221" i="53" l="1"/>
  <c r="D221" i="53"/>
  <c r="K221" i="46"/>
  <c r="H219" i="46"/>
  <c r="G221" i="44"/>
  <c r="E221" i="44"/>
  <c r="D221" i="44" s="1"/>
  <c r="F221" i="44" s="1"/>
  <c r="H221" i="44"/>
  <c r="M222" i="44" s="1"/>
  <c r="L222" i="53" l="1"/>
  <c r="H222" i="53" s="1"/>
  <c r="I220" i="53"/>
  <c r="M221" i="53" s="1"/>
  <c r="C221" i="53" s="1"/>
  <c r="E221" i="53" s="1"/>
  <c r="G221" i="53" s="1"/>
  <c r="L222" i="44"/>
  <c r="I220" i="44"/>
  <c r="F221" i="46"/>
  <c r="D221" i="46"/>
  <c r="C221" i="46" s="1"/>
  <c r="E221" i="46" s="1"/>
  <c r="G221" i="46"/>
  <c r="L222" i="46" s="1"/>
  <c r="D222" i="53" l="1"/>
  <c r="F222" i="53"/>
  <c r="E222" i="44"/>
  <c r="D222" i="44" s="1"/>
  <c r="F222" i="44" s="1"/>
  <c r="H222" i="44"/>
  <c r="M223" i="44" s="1"/>
  <c r="G222" i="44"/>
  <c r="K222" i="46"/>
  <c r="H220" i="46"/>
  <c r="L223" i="53" l="1"/>
  <c r="H223" i="53" s="1"/>
  <c r="I221" i="53"/>
  <c r="M222" i="53" s="1"/>
  <c r="C222" i="53" s="1"/>
  <c r="E222" i="53" s="1"/>
  <c r="G222" i="53" s="1"/>
  <c r="L223" i="44"/>
  <c r="I221" i="44"/>
  <c r="G222" i="46"/>
  <c r="L223" i="46" s="1"/>
  <c r="F222" i="46"/>
  <c r="D222" i="46"/>
  <c r="C222" i="46" s="1"/>
  <c r="E222" i="46" s="1"/>
  <c r="D223" i="53" l="1"/>
  <c r="F223" i="53"/>
  <c r="K223" i="46"/>
  <c r="H221" i="46"/>
  <c r="G223" i="44"/>
  <c r="H223" i="44"/>
  <c r="M224" i="44" s="1"/>
  <c r="E223" i="44"/>
  <c r="D223" i="44" s="1"/>
  <c r="F223" i="44" s="1"/>
  <c r="L224" i="53" l="1"/>
  <c r="H224" i="53" s="1"/>
  <c r="I222" i="53"/>
  <c r="M223" i="53" s="1"/>
  <c r="C223" i="53" s="1"/>
  <c r="E223" i="53" s="1"/>
  <c r="G223" i="53" s="1"/>
  <c r="D223" i="46"/>
  <c r="C223" i="46" s="1"/>
  <c r="E223" i="46" s="1"/>
  <c r="G223" i="46"/>
  <c r="L224" i="46" s="1"/>
  <c r="F223" i="46"/>
  <c r="L224" i="44"/>
  <c r="I222" i="44"/>
  <c r="F224" i="53" l="1"/>
  <c r="D224" i="53"/>
  <c r="K224" i="46"/>
  <c r="H222" i="46"/>
  <c r="G224" i="44"/>
  <c r="H224" i="44"/>
  <c r="M225" i="44" s="1"/>
  <c r="E224" i="44"/>
  <c r="D224" i="44" s="1"/>
  <c r="F224" i="44" s="1"/>
  <c r="L225" i="53" l="1"/>
  <c r="H225" i="53" s="1"/>
  <c r="I223" i="53"/>
  <c r="M224" i="53" s="1"/>
  <c r="C224" i="53" s="1"/>
  <c r="E224" i="53" s="1"/>
  <c r="G224" i="53" s="1"/>
  <c r="L225" i="44"/>
  <c r="I223" i="44"/>
  <c r="D224" i="46"/>
  <c r="C224" i="46" s="1"/>
  <c r="E224" i="46" s="1"/>
  <c r="G224" i="46"/>
  <c r="L225" i="46" s="1"/>
  <c r="F224" i="46"/>
  <c r="D225" i="53" l="1"/>
  <c r="F225" i="53"/>
  <c r="K225" i="46"/>
  <c r="H223" i="46"/>
  <c r="H225" i="44"/>
  <c r="M226" i="44" s="1"/>
  <c r="G225" i="44"/>
  <c r="E225" i="44"/>
  <c r="D225" i="44" s="1"/>
  <c r="F225" i="44" s="1"/>
  <c r="L226" i="53" l="1"/>
  <c r="H226" i="53" s="1"/>
  <c r="I224" i="53"/>
  <c r="M225" i="53" s="1"/>
  <c r="C225" i="53" s="1"/>
  <c r="E225" i="53" s="1"/>
  <c r="G225" i="53" s="1"/>
  <c r="L226" i="44"/>
  <c r="I224" i="44"/>
  <c r="F225" i="46"/>
  <c r="G225" i="46"/>
  <c r="L226" i="46" s="1"/>
  <c r="D225" i="46"/>
  <c r="C225" i="46" s="1"/>
  <c r="E225" i="46" s="1"/>
  <c r="F226" i="53" l="1"/>
  <c r="D226" i="53"/>
  <c r="G226" i="44"/>
  <c r="E226" i="44"/>
  <c r="D226" i="44" s="1"/>
  <c r="F226" i="44" s="1"/>
  <c r="H226" i="44"/>
  <c r="M227" i="44" s="1"/>
  <c r="K226" i="46"/>
  <c r="H224" i="46"/>
  <c r="L227" i="53" l="1"/>
  <c r="H227" i="53" s="1"/>
  <c r="I225" i="53"/>
  <c r="M226" i="53" s="1"/>
  <c r="C226" i="53" s="1"/>
  <c r="E226" i="53" s="1"/>
  <c r="G226" i="53" s="1"/>
  <c r="G226" i="46"/>
  <c r="L227" i="46" s="1"/>
  <c r="F226" i="46"/>
  <c r="D226" i="46"/>
  <c r="C226" i="46" s="1"/>
  <c r="E226" i="46" s="1"/>
  <c r="L227" i="44"/>
  <c r="I225" i="44"/>
  <c r="D227" i="53" l="1"/>
  <c r="F227" i="53"/>
  <c r="K227" i="46"/>
  <c r="H225" i="46"/>
  <c r="G227" i="44"/>
  <c r="H227" i="44"/>
  <c r="M228" i="44" s="1"/>
  <c r="E227" i="44"/>
  <c r="D227" i="44" s="1"/>
  <c r="F227" i="44" s="1"/>
  <c r="L228" i="53" l="1"/>
  <c r="H228" i="53" s="1"/>
  <c r="I226" i="53"/>
  <c r="M227" i="53" s="1"/>
  <c r="C227" i="53" s="1"/>
  <c r="E227" i="53" s="1"/>
  <c r="G227" i="53" s="1"/>
  <c r="L228" i="44"/>
  <c r="I226" i="44"/>
  <c r="D227" i="46"/>
  <c r="C227" i="46" s="1"/>
  <c r="E227" i="46" s="1"/>
  <c r="G227" i="46"/>
  <c r="L228" i="46" s="1"/>
  <c r="F227" i="46"/>
  <c r="F228" i="53" l="1"/>
  <c r="D228" i="53"/>
  <c r="K228" i="46"/>
  <c r="H226" i="46"/>
  <c r="G228" i="44"/>
  <c r="E228" i="44"/>
  <c r="D228" i="44" s="1"/>
  <c r="F228" i="44" s="1"/>
  <c r="H228" i="44"/>
  <c r="M229" i="44" s="1"/>
  <c r="L229" i="53" l="1"/>
  <c r="H229" i="53" s="1"/>
  <c r="I227" i="53"/>
  <c r="M228" i="53" s="1"/>
  <c r="C228" i="53" s="1"/>
  <c r="E228" i="53" s="1"/>
  <c r="G228" i="53" s="1"/>
  <c r="L229" i="44"/>
  <c r="I227" i="44"/>
  <c r="D228" i="46"/>
  <c r="C228" i="46" s="1"/>
  <c r="E228" i="46" s="1"/>
  <c r="F228" i="46"/>
  <c r="G228" i="46"/>
  <c r="L229" i="46" s="1"/>
  <c r="D229" i="53" l="1"/>
  <c r="F229" i="53"/>
  <c r="K229" i="46"/>
  <c r="H227" i="46"/>
  <c r="E229" i="44"/>
  <c r="D229" i="44" s="1"/>
  <c r="F229" i="44" s="1"/>
  <c r="H229" i="44"/>
  <c r="M230" i="44" s="1"/>
  <c r="G229" i="44"/>
  <c r="L230" i="53" l="1"/>
  <c r="H230" i="53" s="1"/>
  <c r="I228" i="53"/>
  <c r="M229" i="53" s="1"/>
  <c r="C229" i="53" s="1"/>
  <c r="E229" i="53" s="1"/>
  <c r="G229" i="53" s="1"/>
  <c r="L230" i="44"/>
  <c r="I228" i="44"/>
  <c r="F229" i="46"/>
  <c r="D229" i="46"/>
  <c r="C229" i="46" s="1"/>
  <c r="E229" i="46" s="1"/>
  <c r="G229" i="46"/>
  <c r="L230" i="46" s="1"/>
  <c r="D230" i="53" l="1"/>
  <c r="F230" i="53"/>
  <c r="K230" i="46"/>
  <c r="H228" i="46"/>
  <c r="H230" i="44"/>
  <c r="M231" i="44" s="1"/>
  <c r="E230" i="44"/>
  <c r="D230" i="44" s="1"/>
  <c r="F230" i="44" s="1"/>
  <c r="G230" i="44"/>
  <c r="L231" i="53" l="1"/>
  <c r="H231" i="53" s="1"/>
  <c r="I229" i="53"/>
  <c r="M230" i="53" s="1"/>
  <c r="C230" i="53" s="1"/>
  <c r="E230" i="53" s="1"/>
  <c r="G230" i="53" s="1"/>
  <c r="L231" i="44"/>
  <c r="I229" i="44"/>
  <c r="G230" i="46"/>
  <c r="L231" i="46" s="1"/>
  <c r="F230" i="46"/>
  <c r="D230" i="46"/>
  <c r="C230" i="46" s="1"/>
  <c r="E230" i="46" s="1"/>
  <c r="D231" i="53" l="1"/>
  <c r="F231" i="53"/>
  <c r="K231" i="46"/>
  <c r="H229" i="46"/>
  <c r="G231" i="44"/>
  <c r="E231" i="44"/>
  <c r="D231" i="44" s="1"/>
  <c r="F231" i="44" s="1"/>
  <c r="H231" i="44"/>
  <c r="M232" i="44" s="1"/>
  <c r="L232" i="53" l="1"/>
  <c r="H232" i="53" s="1"/>
  <c r="I230" i="53"/>
  <c r="M231" i="53" s="1"/>
  <c r="C231" i="53" s="1"/>
  <c r="E231" i="53" s="1"/>
  <c r="G231" i="53" s="1"/>
  <c r="L232" i="44"/>
  <c r="I230" i="44"/>
  <c r="D231" i="46"/>
  <c r="C231" i="46" s="1"/>
  <c r="E231" i="46" s="1"/>
  <c r="G231" i="46"/>
  <c r="L232" i="46" s="1"/>
  <c r="F231" i="46"/>
  <c r="D232" i="53" l="1"/>
  <c r="F232" i="53"/>
  <c r="K232" i="46"/>
  <c r="H230" i="46"/>
  <c r="G232" i="44"/>
  <c r="E232" i="44"/>
  <c r="D232" i="44" s="1"/>
  <c r="F232" i="44" s="1"/>
  <c r="H232" i="44"/>
  <c r="M233" i="44" s="1"/>
  <c r="L233" i="53" l="1"/>
  <c r="H233" i="53" s="1"/>
  <c r="I231" i="53"/>
  <c r="M232" i="53" s="1"/>
  <c r="C232" i="53" s="1"/>
  <c r="E232" i="53" s="1"/>
  <c r="G232" i="53" s="1"/>
  <c r="L233" i="44"/>
  <c r="I231" i="44"/>
  <c r="D232" i="46"/>
  <c r="C232" i="46" s="1"/>
  <c r="E232" i="46" s="1"/>
  <c r="G232" i="46"/>
  <c r="L233" i="46" s="1"/>
  <c r="F232" i="46"/>
  <c r="D233" i="53" l="1"/>
  <c r="F233" i="53"/>
  <c r="K233" i="46"/>
  <c r="H231" i="46"/>
  <c r="E233" i="44"/>
  <c r="D233" i="44" s="1"/>
  <c r="F233" i="44" s="1"/>
  <c r="H233" i="44"/>
  <c r="M234" i="44" s="1"/>
  <c r="G233" i="44"/>
  <c r="L234" i="53" l="1"/>
  <c r="H234" i="53" s="1"/>
  <c r="I232" i="53"/>
  <c r="M233" i="53" s="1"/>
  <c r="C233" i="53" s="1"/>
  <c r="E233" i="53" s="1"/>
  <c r="G233" i="53" s="1"/>
  <c r="L234" i="44"/>
  <c r="I232" i="44"/>
  <c r="F233" i="46"/>
  <c r="G233" i="46"/>
  <c r="L234" i="46" s="1"/>
  <c r="D233" i="46"/>
  <c r="C233" i="46" s="1"/>
  <c r="E233" i="46" s="1"/>
  <c r="D234" i="53" l="1"/>
  <c r="F234" i="53"/>
  <c r="K234" i="46"/>
  <c r="H232" i="46"/>
  <c r="E234" i="44"/>
  <c r="D234" i="44" s="1"/>
  <c r="F234" i="44" s="1"/>
  <c r="H234" i="44"/>
  <c r="M235" i="44" s="1"/>
  <c r="G234" i="44"/>
  <c r="L235" i="53" l="1"/>
  <c r="H235" i="53" s="1"/>
  <c r="I233" i="53"/>
  <c r="M234" i="53" s="1"/>
  <c r="C234" i="53" s="1"/>
  <c r="E234" i="53" s="1"/>
  <c r="G234" i="53" s="1"/>
  <c r="L235" i="44"/>
  <c r="I233" i="44"/>
  <c r="G234" i="46"/>
  <c r="L235" i="46" s="1"/>
  <c r="F234" i="46"/>
  <c r="D234" i="46"/>
  <c r="C234" i="46" s="1"/>
  <c r="E234" i="46" s="1"/>
  <c r="D235" i="53" l="1"/>
  <c r="F235" i="53"/>
  <c r="K235" i="46"/>
  <c r="H233" i="46"/>
  <c r="E235" i="44"/>
  <c r="D235" i="44" s="1"/>
  <c r="F235" i="44" s="1"/>
  <c r="H235" i="44"/>
  <c r="M236" i="44" s="1"/>
  <c r="G235" i="44"/>
  <c r="L236" i="53" l="1"/>
  <c r="H236" i="53" s="1"/>
  <c r="I234" i="53"/>
  <c r="M235" i="53" s="1"/>
  <c r="C235" i="53" s="1"/>
  <c r="E235" i="53" s="1"/>
  <c r="G235" i="53" s="1"/>
  <c r="L236" i="44"/>
  <c r="I234" i="44"/>
  <c r="D235" i="46"/>
  <c r="C235" i="46" s="1"/>
  <c r="E235" i="46" s="1"/>
  <c r="G235" i="46"/>
  <c r="L236" i="46" s="1"/>
  <c r="F235" i="46"/>
  <c r="F236" i="53" l="1"/>
  <c r="D236" i="53"/>
  <c r="K236" i="46"/>
  <c r="H234" i="46"/>
  <c r="E236" i="44"/>
  <c r="D236" i="44" s="1"/>
  <c r="F236" i="44" s="1"/>
  <c r="H236" i="44"/>
  <c r="M237" i="44" s="1"/>
  <c r="G236" i="44"/>
  <c r="L237" i="53" l="1"/>
  <c r="H237" i="53" s="1"/>
  <c r="I235" i="53"/>
  <c r="M236" i="53" s="1"/>
  <c r="C236" i="53" s="1"/>
  <c r="E236" i="53" s="1"/>
  <c r="G236" i="53" s="1"/>
  <c r="L237" i="44"/>
  <c r="I235" i="44"/>
  <c r="D236" i="46"/>
  <c r="C236" i="46" s="1"/>
  <c r="E236" i="46" s="1"/>
  <c r="F236" i="46"/>
  <c r="G236" i="46"/>
  <c r="L237" i="46" s="1"/>
  <c r="D237" i="53" l="1"/>
  <c r="F237" i="53"/>
  <c r="K237" i="46"/>
  <c r="H235" i="46"/>
  <c r="H237" i="44"/>
  <c r="M238" i="44" s="1"/>
  <c r="G237" i="44"/>
  <c r="E237" i="44"/>
  <c r="D237" i="44" s="1"/>
  <c r="F237" i="44" s="1"/>
  <c r="L238" i="53" l="1"/>
  <c r="H238" i="53" s="1"/>
  <c r="I236" i="53"/>
  <c r="M237" i="53" s="1"/>
  <c r="C237" i="53" s="1"/>
  <c r="E237" i="53" s="1"/>
  <c r="G237" i="53" s="1"/>
  <c r="L238" i="44"/>
  <c r="I236" i="44"/>
  <c r="F237" i="46"/>
  <c r="D237" i="46"/>
  <c r="C237" i="46" s="1"/>
  <c r="E237" i="46" s="1"/>
  <c r="G237" i="46"/>
  <c r="L238" i="46" s="1"/>
  <c r="D238" i="53" l="1"/>
  <c r="F238" i="53"/>
  <c r="E238" i="44"/>
  <c r="D238" i="44" s="1"/>
  <c r="F238" i="44" s="1"/>
  <c r="H238" i="44"/>
  <c r="M239" i="44" s="1"/>
  <c r="G238" i="44"/>
  <c r="K238" i="46"/>
  <c r="H236" i="46"/>
  <c r="L239" i="53" l="1"/>
  <c r="H239" i="53" s="1"/>
  <c r="I237" i="53"/>
  <c r="M238" i="53" s="1"/>
  <c r="C238" i="53" s="1"/>
  <c r="E238" i="53" s="1"/>
  <c r="G238" i="53" s="1"/>
  <c r="L239" i="44"/>
  <c r="I237" i="44"/>
  <c r="G238" i="46"/>
  <c r="L239" i="46" s="1"/>
  <c r="F238" i="46"/>
  <c r="D238" i="46"/>
  <c r="C238" i="46" s="1"/>
  <c r="E238" i="46" s="1"/>
  <c r="D239" i="53" l="1"/>
  <c r="F239" i="53"/>
  <c r="K239" i="46"/>
  <c r="H237" i="46"/>
  <c r="G239" i="44"/>
  <c r="E239" i="44"/>
  <c r="D239" i="44" s="1"/>
  <c r="F239" i="44" s="1"/>
  <c r="H239" i="44"/>
  <c r="M240" i="44" s="1"/>
  <c r="L240" i="53" l="1"/>
  <c r="H240" i="53" s="1"/>
  <c r="I238" i="53"/>
  <c r="M239" i="53" s="1"/>
  <c r="C239" i="53" s="1"/>
  <c r="E239" i="53" s="1"/>
  <c r="G239" i="53" s="1"/>
  <c r="D239" i="46"/>
  <c r="C239" i="46" s="1"/>
  <c r="E239" i="46" s="1"/>
  <c r="G239" i="46"/>
  <c r="L240" i="46" s="1"/>
  <c r="F239" i="46"/>
  <c r="L240" i="44"/>
  <c r="I238" i="44"/>
  <c r="F240" i="53" l="1"/>
  <c r="D240" i="53"/>
  <c r="K240" i="46"/>
  <c r="H238" i="46"/>
  <c r="H240" i="44"/>
  <c r="M241" i="44" s="1"/>
  <c r="E240" i="44"/>
  <c r="D240" i="44" s="1"/>
  <c r="F240" i="44" s="1"/>
  <c r="G240" i="44"/>
  <c r="L241" i="53" l="1"/>
  <c r="H241" i="53" s="1"/>
  <c r="I239" i="53"/>
  <c r="M240" i="53" s="1"/>
  <c r="C240" i="53" s="1"/>
  <c r="E240" i="53" s="1"/>
  <c r="G240" i="53" s="1"/>
  <c r="L241" i="44"/>
  <c r="I239" i="44"/>
  <c r="D240" i="46"/>
  <c r="C240" i="46" s="1"/>
  <c r="E240" i="46" s="1"/>
  <c r="G240" i="46"/>
  <c r="L241" i="46" s="1"/>
  <c r="F240" i="46"/>
  <c r="F241" i="53" l="1"/>
  <c r="D241" i="53"/>
  <c r="K241" i="46"/>
  <c r="H239" i="46"/>
  <c r="G241" i="44"/>
  <c r="E241" i="44"/>
  <c r="D241" i="44" s="1"/>
  <c r="F241" i="44" s="1"/>
  <c r="H241" i="44"/>
  <c r="M242" i="44" s="1"/>
  <c r="L242" i="53" l="1"/>
  <c r="H242" i="53" s="1"/>
  <c r="I240" i="53"/>
  <c r="M241" i="53" s="1"/>
  <c r="C241" i="53" s="1"/>
  <c r="E241" i="53" s="1"/>
  <c r="G241" i="53" s="1"/>
  <c r="G241" i="46"/>
  <c r="L242" i="46" s="1"/>
  <c r="F241" i="46"/>
  <c r="D241" i="46"/>
  <c r="C241" i="46" s="1"/>
  <c r="E241" i="46" s="1"/>
  <c r="L242" i="44"/>
  <c r="I240" i="44"/>
  <c r="F242" i="53" l="1"/>
  <c r="D242" i="53"/>
  <c r="K242" i="46"/>
  <c r="H240" i="46"/>
  <c r="H242" i="44"/>
  <c r="M243" i="44" s="1"/>
  <c r="G242" i="44"/>
  <c r="E242" i="44"/>
  <c r="D242" i="44" s="1"/>
  <c r="F242" i="44" s="1"/>
  <c r="L243" i="53" l="1"/>
  <c r="H243" i="53" s="1"/>
  <c r="I241" i="53"/>
  <c r="M242" i="53" s="1"/>
  <c r="C242" i="53" s="1"/>
  <c r="E242" i="53" s="1"/>
  <c r="G242" i="53" s="1"/>
  <c r="L243" i="44"/>
  <c r="I241" i="44"/>
  <c r="G242" i="46"/>
  <c r="L243" i="46" s="1"/>
  <c r="F242" i="46"/>
  <c r="D242" i="46"/>
  <c r="C242" i="46" s="1"/>
  <c r="E242" i="46" s="1"/>
  <c r="F243" i="53" l="1"/>
  <c r="D243" i="53"/>
  <c r="K243" i="46"/>
  <c r="H241" i="46"/>
  <c r="H243" i="44"/>
  <c r="M244" i="44" s="1"/>
  <c r="E243" i="44"/>
  <c r="D243" i="44" s="1"/>
  <c r="F243" i="44" s="1"/>
  <c r="G243" i="44"/>
  <c r="L244" i="53" l="1"/>
  <c r="H244" i="53" s="1"/>
  <c r="I242" i="53"/>
  <c r="M243" i="53" s="1"/>
  <c r="C243" i="53" s="1"/>
  <c r="E243" i="53" s="1"/>
  <c r="G243" i="53" s="1"/>
  <c r="L244" i="44"/>
  <c r="I242" i="44"/>
  <c r="D243" i="46"/>
  <c r="C243" i="46" s="1"/>
  <c r="E243" i="46" s="1"/>
  <c r="G243" i="46"/>
  <c r="L244" i="46" s="1"/>
  <c r="F243" i="46"/>
  <c r="F244" i="53" l="1"/>
  <c r="D244" i="53"/>
  <c r="K244" i="46"/>
  <c r="H242" i="46"/>
  <c r="E244" i="44"/>
  <c r="D244" i="44" s="1"/>
  <c r="F244" i="44" s="1"/>
  <c r="G244" i="44"/>
  <c r="H244" i="44"/>
  <c r="M245" i="44" s="1"/>
  <c r="L245" i="53" l="1"/>
  <c r="H245" i="53" s="1"/>
  <c r="I243" i="53"/>
  <c r="M244" i="53" s="1"/>
  <c r="C244" i="53" s="1"/>
  <c r="E244" i="53" s="1"/>
  <c r="G244" i="53" s="1"/>
  <c r="L245" i="44"/>
  <c r="I243" i="44"/>
  <c r="D244" i="46"/>
  <c r="C244" i="46" s="1"/>
  <c r="E244" i="46" s="1"/>
  <c r="G244" i="46"/>
  <c r="L245" i="46" s="1"/>
  <c r="F244" i="46"/>
  <c r="F245" i="53" l="1"/>
  <c r="D245" i="53"/>
  <c r="K245" i="46"/>
  <c r="H243" i="46"/>
  <c r="E245" i="44"/>
  <c r="D245" i="44" s="1"/>
  <c r="F245" i="44" s="1"/>
  <c r="G245" i="44"/>
  <c r="H245" i="44"/>
  <c r="M246" i="44" s="1"/>
  <c r="L246" i="53" l="1"/>
  <c r="H246" i="53" s="1"/>
  <c r="I244" i="53"/>
  <c r="M245" i="53" s="1"/>
  <c r="C245" i="53" s="1"/>
  <c r="E245" i="53" s="1"/>
  <c r="G245" i="53" s="1"/>
  <c r="L246" i="44"/>
  <c r="I244" i="44"/>
  <c r="F245" i="46"/>
  <c r="D245" i="46"/>
  <c r="C245" i="46" s="1"/>
  <c r="E245" i="46" s="1"/>
  <c r="G245" i="46"/>
  <c r="L246" i="46" s="1"/>
  <c r="F246" i="53" l="1"/>
  <c r="D246" i="53"/>
  <c r="H246" i="44"/>
  <c r="M247" i="44" s="1"/>
  <c r="E246" i="44"/>
  <c r="D246" i="44" s="1"/>
  <c r="F246" i="44" s="1"/>
  <c r="G246" i="44"/>
  <c r="K246" i="46"/>
  <c r="H244" i="46"/>
  <c r="L247" i="53" l="1"/>
  <c r="H247" i="53" s="1"/>
  <c r="I245" i="53"/>
  <c r="M246" i="53" s="1"/>
  <c r="C246" i="53" s="1"/>
  <c r="E246" i="53" s="1"/>
  <c r="G246" i="53" s="1"/>
  <c r="L247" i="44"/>
  <c r="I245" i="44"/>
  <c r="G246" i="46"/>
  <c r="L247" i="46" s="1"/>
  <c r="F246" i="46"/>
  <c r="D246" i="46"/>
  <c r="C246" i="46" s="1"/>
  <c r="E246" i="46" s="1"/>
  <c r="F247" i="53" l="1"/>
  <c r="D247" i="53"/>
  <c r="K247" i="46"/>
  <c r="H245" i="46"/>
  <c r="G247" i="44"/>
  <c r="E247" i="44"/>
  <c r="D247" i="44" s="1"/>
  <c r="F247" i="44" s="1"/>
  <c r="H247" i="44"/>
  <c r="M248" i="44" s="1"/>
  <c r="L248" i="53" l="1"/>
  <c r="H248" i="53" s="1"/>
  <c r="I246" i="53"/>
  <c r="M247" i="53" s="1"/>
  <c r="C247" i="53" s="1"/>
  <c r="E247" i="53" s="1"/>
  <c r="G247" i="53" s="1"/>
  <c r="D247" i="46"/>
  <c r="C247" i="46" s="1"/>
  <c r="E247" i="46" s="1"/>
  <c r="G247" i="46"/>
  <c r="L248" i="46" s="1"/>
  <c r="F247" i="46"/>
  <c r="L248" i="44"/>
  <c r="I246" i="44"/>
  <c r="F248" i="53" l="1"/>
  <c r="D248" i="53"/>
  <c r="K248" i="46"/>
  <c r="H246" i="46"/>
  <c r="E248" i="44"/>
  <c r="D248" i="44" s="1"/>
  <c r="F248" i="44" s="1"/>
  <c r="G248" i="44"/>
  <c r="H248" i="44"/>
  <c r="M249" i="44" s="1"/>
  <c r="L249" i="53" l="1"/>
  <c r="H249" i="53" s="1"/>
  <c r="I247" i="53"/>
  <c r="M248" i="53" s="1"/>
  <c r="C248" i="53" s="1"/>
  <c r="E248" i="53" s="1"/>
  <c r="G248" i="53" s="1"/>
  <c r="L249" i="44"/>
  <c r="I247" i="44"/>
  <c r="D248" i="46"/>
  <c r="C248" i="46" s="1"/>
  <c r="E248" i="46" s="1"/>
  <c r="G248" i="46"/>
  <c r="L249" i="46" s="1"/>
  <c r="F248" i="46"/>
  <c r="F249" i="53" l="1"/>
  <c r="D249" i="53"/>
  <c r="K249" i="46"/>
  <c r="H247" i="46"/>
  <c r="E249" i="44"/>
  <c r="D249" i="44" s="1"/>
  <c r="F249" i="44" s="1"/>
  <c r="H249" i="44"/>
  <c r="M250" i="44" s="1"/>
  <c r="G249" i="44"/>
  <c r="L250" i="53" l="1"/>
  <c r="H250" i="53" s="1"/>
  <c r="I248" i="53"/>
  <c r="M249" i="53" s="1"/>
  <c r="C249" i="53" s="1"/>
  <c r="E249" i="53" s="1"/>
  <c r="G249" i="53" s="1"/>
  <c r="L250" i="44"/>
  <c r="I248" i="44"/>
  <c r="F249" i="46"/>
  <c r="G249" i="46"/>
  <c r="L250" i="46" s="1"/>
  <c r="D249" i="46"/>
  <c r="C249" i="46" s="1"/>
  <c r="E249" i="46" s="1"/>
  <c r="F250" i="53" l="1"/>
  <c r="D250" i="53"/>
  <c r="G250" i="44"/>
  <c r="E250" i="44"/>
  <c r="D250" i="44" s="1"/>
  <c r="F250" i="44" s="1"/>
  <c r="H250" i="44"/>
  <c r="M251" i="44" s="1"/>
  <c r="K250" i="46"/>
  <c r="H248" i="46"/>
  <c r="L251" i="53" l="1"/>
  <c r="H251" i="53" s="1"/>
  <c r="I249" i="53"/>
  <c r="M250" i="53" s="1"/>
  <c r="C250" i="53" s="1"/>
  <c r="E250" i="53" s="1"/>
  <c r="G250" i="53" s="1"/>
  <c r="L251" i="44"/>
  <c r="I249" i="44"/>
  <c r="G250" i="46"/>
  <c r="L251" i="46" s="1"/>
  <c r="F250" i="46"/>
  <c r="D250" i="46"/>
  <c r="C250" i="46" s="1"/>
  <c r="E250" i="46" s="1"/>
  <c r="F251" i="53" l="1"/>
  <c r="D251" i="53"/>
  <c r="K251" i="46"/>
  <c r="H249" i="46"/>
  <c r="G251" i="44"/>
  <c r="E251" i="44"/>
  <c r="D251" i="44" s="1"/>
  <c r="F251" i="44" s="1"/>
  <c r="H251" i="44"/>
  <c r="M252" i="44" s="1"/>
  <c r="L252" i="53" l="1"/>
  <c r="H252" i="53" s="1"/>
  <c r="I250" i="53"/>
  <c r="M251" i="53" s="1"/>
  <c r="C251" i="53" s="1"/>
  <c r="E251" i="53" s="1"/>
  <c r="G251" i="53" s="1"/>
  <c r="L252" i="44"/>
  <c r="I250" i="44"/>
  <c r="G251" i="46"/>
  <c r="L252" i="46" s="1"/>
  <c r="F251" i="46"/>
  <c r="D251" i="46"/>
  <c r="C251" i="46" s="1"/>
  <c r="E251" i="46" s="1"/>
  <c r="D252" i="53" l="1"/>
  <c r="F252" i="53"/>
  <c r="K252" i="46"/>
  <c r="H250" i="46"/>
  <c r="E252" i="44"/>
  <c r="D252" i="44" s="1"/>
  <c r="F252" i="44" s="1"/>
  <c r="H252" i="44"/>
  <c r="M253" i="44" s="1"/>
  <c r="G252" i="44"/>
  <c r="L253" i="53" l="1"/>
  <c r="H253" i="53" s="1"/>
  <c r="I251" i="53"/>
  <c r="M252" i="53" s="1"/>
  <c r="C252" i="53" s="1"/>
  <c r="E252" i="53" s="1"/>
  <c r="G252" i="53" s="1"/>
  <c r="L253" i="44"/>
  <c r="I251" i="44"/>
  <c r="D252" i="46"/>
  <c r="C252" i="46" s="1"/>
  <c r="E252" i="46" s="1"/>
  <c r="G252" i="46"/>
  <c r="L253" i="46" s="1"/>
  <c r="F252" i="46"/>
  <c r="F253" i="53" l="1"/>
  <c r="D253" i="53"/>
  <c r="K253" i="46"/>
  <c r="H251" i="46"/>
  <c r="E253" i="44"/>
  <c r="D253" i="44" s="1"/>
  <c r="F253" i="44" s="1"/>
  <c r="G253" i="44"/>
  <c r="H253" i="44"/>
  <c r="M254" i="44" s="1"/>
  <c r="L254" i="53" l="1"/>
  <c r="H254" i="53" s="1"/>
  <c r="I252" i="53"/>
  <c r="M253" i="53" s="1"/>
  <c r="C253" i="53" s="1"/>
  <c r="E253" i="53" s="1"/>
  <c r="G253" i="53" s="1"/>
  <c r="L254" i="44"/>
  <c r="I252" i="44"/>
  <c r="G253" i="46"/>
  <c r="L254" i="46" s="1"/>
  <c r="F253" i="46"/>
  <c r="D253" i="46"/>
  <c r="C253" i="46" s="1"/>
  <c r="E253" i="46" s="1"/>
  <c r="F254" i="53" l="1"/>
  <c r="D254" i="53"/>
  <c r="K254" i="46"/>
  <c r="H252" i="46"/>
  <c r="E254" i="44"/>
  <c r="D254" i="44" s="1"/>
  <c r="F254" i="44" s="1"/>
  <c r="G254" i="44"/>
  <c r="H254" i="44"/>
  <c r="M255" i="44" s="1"/>
  <c r="L255" i="53" l="1"/>
  <c r="H255" i="53" s="1"/>
  <c r="I253" i="53"/>
  <c r="M254" i="53" s="1"/>
  <c r="C254" i="53" s="1"/>
  <c r="E254" i="53" s="1"/>
  <c r="G254" i="53" s="1"/>
  <c r="L255" i="44"/>
  <c r="I253" i="44"/>
  <c r="F254" i="46"/>
  <c r="G254" i="46"/>
  <c r="L255" i="46" s="1"/>
  <c r="D254" i="46"/>
  <c r="C254" i="46" s="1"/>
  <c r="E254" i="46" s="1"/>
  <c r="F255" i="53" l="1"/>
  <c r="D255" i="53"/>
  <c r="K255" i="46"/>
  <c r="H253" i="46"/>
  <c r="G255" i="44"/>
  <c r="H255" i="44"/>
  <c r="M256" i="44" s="1"/>
  <c r="E255" i="44"/>
  <c r="D255" i="44" s="1"/>
  <c r="F255" i="44" s="1"/>
  <c r="L256" i="53" l="1"/>
  <c r="H256" i="53" s="1"/>
  <c r="I254" i="53"/>
  <c r="M255" i="53" s="1"/>
  <c r="C255" i="53" s="1"/>
  <c r="E255" i="53" s="1"/>
  <c r="G255" i="53" s="1"/>
  <c r="L256" i="44"/>
  <c r="I254" i="44"/>
  <c r="G255" i="46"/>
  <c r="L256" i="46" s="1"/>
  <c r="F255" i="46"/>
  <c r="D255" i="46"/>
  <c r="C255" i="46" s="1"/>
  <c r="E255" i="46" s="1"/>
  <c r="D256" i="53" l="1"/>
  <c r="F256" i="53"/>
  <c r="K256" i="46"/>
  <c r="H254" i="46"/>
  <c r="E256" i="44"/>
  <c r="D256" i="44" s="1"/>
  <c r="F256" i="44" s="1"/>
  <c r="H256" i="44"/>
  <c r="M257" i="44" s="1"/>
  <c r="G256" i="44"/>
  <c r="L257" i="53" l="1"/>
  <c r="H257" i="53" s="1"/>
  <c r="I255" i="53"/>
  <c r="M256" i="53" s="1"/>
  <c r="C256" i="53" s="1"/>
  <c r="E256" i="53" s="1"/>
  <c r="G256" i="53" s="1"/>
  <c r="L257" i="44"/>
  <c r="I255" i="44"/>
  <c r="D256" i="46"/>
  <c r="C256" i="46" s="1"/>
  <c r="E256" i="46" s="1"/>
  <c r="G256" i="46"/>
  <c r="L257" i="46" s="1"/>
  <c r="F256" i="46"/>
  <c r="F257" i="53" l="1"/>
  <c r="D257" i="53"/>
  <c r="K257" i="46"/>
  <c r="H255" i="46"/>
  <c r="G257" i="44"/>
  <c r="H257" i="44"/>
  <c r="M258" i="44" s="1"/>
  <c r="E257" i="44"/>
  <c r="D257" i="44" s="1"/>
  <c r="F257" i="44" s="1"/>
  <c r="L258" i="53" l="1"/>
  <c r="H258" i="53" s="1"/>
  <c r="I256" i="53"/>
  <c r="M257" i="53" s="1"/>
  <c r="C257" i="53" s="1"/>
  <c r="E257" i="53" s="1"/>
  <c r="G257" i="53" s="1"/>
  <c r="D257" i="46"/>
  <c r="C257" i="46" s="1"/>
  <c r="E257" i="46" s="1"/>
  <c r="G257" i="46"/>
  <c r="L258" i="46" s="1"/>
  <c r="F257" i="46"/>
  <c r="L258" i="44"/>
  <c r="I256" i="44"/>
  <c r="F258" i="53" l="1"/>
  <c r="D258" i="53"/>
  <c r="K258" i="46"/>
  <c r="H256" i="46"/>
  <c r="G258" i="44"/>
  <c r="E258" i="44"/>
  <c r="D258" i="44" s="1"/>
  <c r="F258" i="44" s="1"/>
  <c r="H258" i="44"/>
  <c r="M259" i="44" s="1"/>
  <c r="L259" i="53" l="1"/>
  <c r="H259" i="53" s="1"/>
  <c r="I257" i="53"/>
  <c r="M258" i="53" s="1"/>
  <c r="C258" i="53" s="1"/>
  <c r="E258" i="53" s="1"/>
  <c r="G258" i="53" s="1"/>
  <c r="L259" i="44"/>
  <c r="I257" i="44"/>
  <c r="F258" i="46"/>
  <c r="G258" i="46"/>
  <c r="L259" i="46" s="1"/>
  <c r="D258" i="46"/>
  <c r="C258" i="46" s="1"/>
  <c r="E258" i="46" s="1"/>
  <c r="F259" i="53" l="1"/>
  <c r="D259" i="53"/>
  <c r="K259" i="46"/>
  <c r="H257" i="46"/>
  <c r="G259" i="44"/>
  <c r="E259" i="44"/>
  <c r="D259" i="44" s="1"/>
  <c r="F259" i="44" s="1"/>
  <c r="H259" i="44"/>
  <c r="M260" i="44" s="1"/>
  <c r="L260" i="53" l="1"/>
  <c r="H260" i="53" s="1"/>
  <c r="I258" i="53"/>
  <c r="M259" i="53" s="1"/>
  <c r="C259" i="53" s="1"/>
  <c r="E259" i="53" s="1"/>
  <c r="G259" i="53" s="1"/>
  <c r="L260" i="44"/>
  <c r="I258" i="44"/>
  <c r="G259" i="46"/>
  <c r="L260" i="46" s="1"/>
  <c r="F259" i="46"/>
  <c r="D259" i="46"/>
  <c r="C259" i="46" s="1"/>
  <c r="E259" i="46" s="1"/>
  <c r="D260" i="53" l="1"/>
  <c r="F260" i="53"/>
  <c r="K260" i="46"/>
  <c r="H258" i="46"/>
  <c r="G260" i="44"/>
  <c r="E260" i="44"/>
  <c r="D260" i="44" s="1"/>
  <c r="F260" i="44" s="1"/>
  <c r="H260" i="44"/>
  <c r="M261" i="44" s="1"/>
  <c r="L261" i="53" l="1"/>
  <c r="H261" i="53" s="1"/>
  <c r="I259" i="53"/>
  <c r="M260" i="53" s="1"/>
  <c r="C260" i="53" s="1"/>
  <c r="E260" i="53" s="1"/>
  <c r="G260" i="53" s="1"/>
  <c r="D260" i="46"/>
  <c r="C260" i="46" s="1"/>
  <c r="E260" i="46" s="1"/>
  <c r="F260" i="46"/>
  <c r="G260" i="46"/>
  <c r="L261" i="46" s="1"/>
  <c r="L261" i="44"/>
  <c r="I259" i="44"/>
  <c r="F261" i="53" l="1"/>
  <c r="D261" i="53"/>
  <c r="K261" i="46"/>
  <c r="H259" i="46"/>
  <c r="G261" i="44"/>
  <c r="E261" i="44"/>
  <c r="D261" i="44" s="1"/>
  <c r="F261" i="44" s="1"/>
  <c r="H261" i="44"/>
  <c r="M262" i="44" s="1"/>
  <c r="L262" i="53" l="1"/>
  <c r="H262" i="53" s="1"/>
  <c r="I260" i="53"/>
  <c r="M261" i="53" s="1"/>
  <c r="C261" i="53" s="1"/>
  <c r="E261" i="53" s="1"/>
  <c r="G261" i="53" s="1"/>
  <c r="D261" i="46"/>
  <c r="C261" i="46" s="1"/>
  <c r="E261" i="46" s="1"/>
  <c r="G261" i="46"/>
  <c r="L262" i="46" s="1"/>
  <c r="F261" i="46"/>
  <c r="L262" i="44"/>
  <c r="I260" i="44"/>
  <c r="D262" i="53" l="1"/>
  <c r="F262" i="53"/>
  <c r="K262" i="46"/>
  <c r="H260" i="46"/>
  <c r="E262" i="44"/>
  <c r="D262" i="44" s="1"/>
  <c r="F262" i="44" s="1"/>
  <c r="H262" i="44"/>
  <c r="M263" i="44" s="1"/>
  <c r="G262" i="44"/>
  <c r="L263" i="53" l="1"/>
  <c r="H263" i="53" s="1"/>
  <c r="I261" i="53"/>
  <c r="M262" i="53" s="1"/>
  <c r="C262" i="53" s="1"/>
  <c r="E262" i="53" s="1"/>
  <c r="G262" i="53" s="1"/>
  <c r="L263" i="44"/>
  <c r="I261" i="44"/>
  <c r="F262" i="46"/>
  <c r="G262" i="46"/>
  <c r="L263" i="46" s="1"/>
  <c r="D262" i="46"/>
  <c r="C262" i="46" s="1"/>
  <c r="E262" i="46" s="1"/>
  <c r="D263" i="53" l="1"/>
  <c r="F263" i="53"/>
  <c r="K263" i="46"/>
  <c r="H261" i="46"/>
  <c r="H263" i="44"/>
  <c r="M264" i="44" s="1"/>
  <c r="G263" i="44"/>
  <c r="E263" i="44"/>
  <c r="D263" i="44" s="1"/>
  <c r="F263" i="44" s="1"/>
  <c r="L264" i="53" l="1"/>
  <c r="H264" i="53" s="1"/>
  <c r="I262" i="53"/>
  <c r="M263" i="53" s="1"/>
  <c r="C263" i="53" s="1"/>
  <c r="E263" i="53" s="1"/>
  <c r="G263" i="53" s="1"/>
  <c r="L264" i="44"/>
  <c r="I262" i="44"/>
  <c r="G263" i="46"/>
  <c r="L264" i="46" s="1"/>
  <c r="F263" i="46"/>
  <c r="D263" i="46"/>
  <c r="C263" i="46" s="1"/>
  <c r="E263" i="46" s="1"/>
  <c r="D264" i="53" l="1"/>
  <c r="F264" i="53"/>
  <c r="K264" i="46"/>
  <c r="H262" i="46"/>
  <c r="G264" i="44"/>
  <c r="H264" i="44"/>
  <c r="M265" i="44" s="1"/>
  <c r="E264" i="44"/>
  <c r="D264" i="44" s="1"/>
  <c r="F264" i="44" s="1"/>
  <c r="L265" i="53" l="1"/>
  <c r="H265" i="53" s="1"/>
  <c r="I263" i="53"/>
  <c r="M264" i="53" s="1"/>
  <c r="C264" i="53" s="1"/>
  <c r="E264" i="53" s="1"/>
  <c r="G264" i="53" s="1"/>
  <c r="L265" i="44"/>
  <c r="I263" i="44"/>
  <c r="D264" i="46"/>
  <c r="C264" i="46" s="1"/>
  <c r="E264" i="46" s="1"/>
  <c r="G264" i="46"/>
  <c r="L265" i="46" s="1"/>
  <c r="F264" i="46"/>
  <c r="D265" i="53" l="1"/>
  <c r="F265" i="53"/>
  <c r="K265" i="46"/>
  <c r="H263" i="46"/>
  <c r="G265" i="44"/>
  <c r="E265" i="44"/>
  <c r="D265" i="44" s="1"/>
  <c r="F265" i="44" s="1"/>
  <c r="H265" i="44"/>
  <c r="M266" i="44" s="1"/>
  <c r="L266" i="53" l="1"/>
  <c r="H266" i="53" s="1"/>
  <c r="I264" i="53"/>
  <c r="M265" i="53" s="1"/>
  <c r="C265" i="53" s="1"/>
  <c r="E265" i="53" s="1"/>
  <c r="G265" i="53" s="1"/>
  <c r="L266" i="44"/>
  <c r="I264" i="44"/>
  <c r="D265" i="46"/>
  <c r="C265" i="46" s="1"/>
  <c r="E265" i="46" s="1"/>
  <c r="F265" i="46"/>
  <c r="G265" i="46"/>
  <c r="L266" i="46" s="1"/>
  <c r="D266" i="53" l="1"/>
  <c r="F266" i="53"/>
  <c r="K266" i="46"/>
  <c r="H264" i="46"/>
  <c r="G266" i="44"/>
  <c r="H266" i="44"/>
  <c r="M267" i="44" s="1"/>
  <c r="E266" i="44"/>
  <c r="D266" i="44" s="1"/>
  <c r="F266" i="44" s="1"/>
  <c r="L267" i="53" l="1"/>
  <c r="H267" i="53" s="1"/>
  <c r="I265" i="53"/>
  <c r="M266" i="53" s="1"/>
  <c r="C266" i="53" s="1"/>
  <c r="E266" i="53" s="1"/>
  <c r="G266" i="53" s="1"/>
  <c r="L267" i="44"/>
  <c r="I265" i="44"/>
  <c r="F266" i="46"/>
  <c r="D266" i="46"/>
  <c r="C266" i="46" s="1"/>
  <c r="E266" i="46" s="1"/>
  <c r="G266" i="46"/>
  <c r="L267" i="46" s="1"/>
  <c r="D267" i="53" l="1"/>
  <c r="F267" i="53"/>
  <c r="K267" i="46"/>
  <c r="H265" i="46"/>
  <c r="G267" i="44"/>
  <c r="H267" i="44"/>
  <c r="M268" i="44" s="1"/>
  <c r="E267" i="44"/>
  <c r="D267" i="44" s="1"/>
  <c r="F267" i="44" s="1"/>
  <c r="L268" i="53" l="1"/>
  <c r="H268" i="53" s="1"/>
  <c r="I266" i="53"/>
  <c r="M267" i="53" s="1"/>
  <c r="C267" i="53" s="1"/>
  <c r="E267" i="53" s="1"/>
  <c r="G267" i="53" s="1"/>
  <c r="L268" i="44"/>
  <c r="I266" i="44"/>
  <c r="G267" i="46"/>
  <c r="L268" i="46" s="1"/>
  <c r="F267" i="46"/>
  <c r="D267" i="46"/>
  <c r="C267" i="46" s="1"/>
  <c r="E267" i="46" s="1"/>
  <c r="D268" i="53" l="1"/>
  <c r="F268" i="53"/>
  <c r="K268" i="46"/>
  <c r="H266" i="46"/>
  <c r="H268" i="44"/>
  <c r="M269" i="44" s="1"/>
  <c r="G268" i="44"/>
  <c r="E268" i="44"/>
  <c r="D268" i="44" s="1"/>
  <c r="F268" i="44" s="1"/>
  <c r="L269" i="53" l="1"/>
  <c r="H269" i="53" s="1"/>
  <c r="I267" i="53"/>
  <c r="M268" i="53" s="1"/>
  <c r="C268" i="53" s="1"/>
  <c r="E268" i="53" s="1"/>
  <c r="G268" i="53" s="1"/>
  <c r="L269" i="44"/>
  <c r="I267" i="44"/>
  <c r="G268" i="46"/>
  <c r="L269" i="46" s="1"/>
  <c r="D268" i="46"/>
  <c r="C268" i="46" s="1"/>
  <c r="E268" i="46" s="1"/>
  <c r="F268" i="46"/>
  <c r="D269" i="53" l="1"/>
  <c r="F269" i="53"/>
  <c r="K269" i="46"/>
  <c r="H267" i="46"/>
  <c r="G269" i="44"/>
  <c r="E269" i="44"/>
  <c r="D269" i="44" s="1"/>
  <c r="F269" i="44" s="1"/>
  <c r="H269" i="44"/>
  <c r="M270" i="44" s="1"/>
  <c r="L270" i="53" l="1"/>
  <c r="H270" i="53" s="1"/>
  <c r="I268" i="53"/>
  <c r="M269" i="53" s="1"/>
  <c r="C269" i="53" s="1"/>
  <c r="E269" i="53" s="1"/>
  <c r="G269" i="53" s="1"/>
  <c r="D269" i="46"/>
  <c r="C269" i="46" s="1"/>
  <c r="E269" i="46" s="1"/>
  <c r="G269" i="46"/>
  <c r="L270" i="46" s="1"/>
  <c r="F269" i="46"/>
  <c r="L270" i="44"/>
  <c r="I268" i="44"/>
  <c r="D270" i="53" l="1"/>
  <c r="F270" i="53"/>
  <c r="K270" i="46"/>
  <c r="H268" i="46"/>
  <c r="H270" i="44"/>
  <c r="M271" i="44" s="1"/>
  <c r="G270" i="44"/>
  <c r="E270" i="44"/>
  <c r="D270" i="44" s="1"/>
  <c r="F270" i="44" s="1"/>
  <c r="L271" i="53" l="1"/>
  <c r="H271" i="53" s="1"/>
  <c r="I269" i="53"/>
  <c r="M270" i="53" s="1"/>
  <c r="C270" i="53" s="1"/>
  <c r="E270" i="53" s="1"/>
  <c r="G270" i="53" s="1"/>
  <c r="L271" i="44"/>
  <c r="I269" i="44"/>
  <c r="F270" i="46"/>
  <c r="G270" i="46"/>
  <c r="L271" i="46" s="1"/>
  <c r="D270" i="46"/>
  <c r="C270" i="46" s="1"/>
  <c r="E270" i="46" s="1"/>
  <c r="D271" i="53" l="1"/>
  <c r="F271" i="53"/>
  <c r="K271" i="46"/>
  <c r="H269" i="46"/>
  <c r="H271" i="44"/>
  <c r="M272" i="44" s="1"/>
  <c r="G271" i="44"/>
  <c r="E271" i="44"/>
  <c r="D271" i="44" s="1"/>
  <c r="F271" i="44" s="1"/>
  <c r="L272" i="53" l="1"/>
  <c r="H272" i="53" s="1"/>
  <c r="I270" i="53"/>
  <c r="M271" i="53" s="1"/>
  <c r="C271" i="53" s="1"/>
  <c r="E271" i="53" s="1"/>
  <c r="G271" i="53" s="1"/>
  <c r="L272" i="44"/>
  <c r="I270" i="44"/>
  <c r="G271" i="46"/>
  <c r="L272" i="46" s="1"/>
  <c r="F271" i="46"/>
  <c r="D271" i="46"/>
  <c r="C271" i="46" s="1"/>
  <c r="E271" i="46" s="1"/>
  <c r="D272" i="53" l="1"/>
  <c r="F272" i="53"/>
  <c r="K272" i="46"/>
  <c r="H270" i="46"/>
  <c r="G272" i="44"/>
  <c r="E272" i="44"/>
  <c r="D272" i="44" s="1"/>
  <c r="F272" i="44" s="1"/>
  <c r="H272" i="44"/>
  <c r="M273" i="44" s="1"/>
  <c r="L273" i="53" l="1"/>
  <c r="H273" i="53" s="1"/>
  <c r="I271" i="53"/>
  <c r="M272" i="53" s="1"/>
  <c r="C272" i="53" s="1"/>
  <c r="E272" i="53" s="1"/>
  <c r="G272" i="53" s="1"/>
  <c r="L273" i="44"/>
  <c r="I271" i="44"/>
  <c r="D272" i="46"/>
  <c r="C272" i="46" s="1"/>
  <c r="E272" i="46" s="1"/>
  <c r="G272" i="46"/>
  <c r="L273" i="46" s="1"/>
  <c r="F272" i="46"/>
  <c r="D273" i="53" l="1"/>
  <c r="F273" i="53"/>
  <c r="K273" i="46"/>
  <c r="H271" i="46"/>
  <c r="G273" i="44"/>
  <c r="E273" i="44"/>
  <c r="D273" i="44" s="1"/>
  <c r="F273" i="44" s="1"/>
  <c r="H273" i="44"/>
  <c r="M274" i="44" s="1"/>
  <c r="L274" i="53" l="1"/>
  <c r="H274" i="53" s="1"/>
  <c r="I272" i="53"/>
  <c r="M273" i="53" s="1"/>
  <c r="C273" i="53" s="1"/>
  <c r="E273" i="53" s="1"/>
  <c r="G273" i="53" s="1"/>
  <c r="L274" i="44"/>
  <c r="I272" i="44"/>
  <c r="D273" i="46"/>
  <c r="C273" i="46" s="1"/>
  <c r="E273" i="46" s="1"/>
  <c r="G273" i="46"/>
  <c r="L274" i="46" s="1"/>
  <c r="F273" i="46"/>
  <c r="F274" i="53" l="1"/>
  <c r="D274" i="53"/>
  <c r="K274" i="46"/>
  <c r="H272" i="46"/>
  <c r="G274" i="44"/>
  <c r="E274" i="44"/>
  <c r="D274" i="44" s="1"/>
  <c r="F274" i="44" s="1"/>
  <c r="H274" i="44"/>
  <c r="M275" i="44" s="1"/>
  <c r="L275" i="53" l="1"/>
  <c r="H275" i="53" s="1"/>
  <c r="I273" i="53"/>
  <c r="M274" i="53" s="1"/>
  <c r="C274" i="53" s="1"/>
  <c r="E274" i="53" s="1"/>
  <c r="G274" i="53" s="1"/>
  <c r="L275" i="44"/>
  <c r="I273" i="44"/>
  <c r="F274" i="46"/>
  <c r="D274" i="46"/>
  <c r="C274" i="46" s="1"/>
  <c r="E274" i="46" s="1"/>
  <c r="G274" i="46"/>
  <c r="L275" i="46" s="1"/>
  <c r="D275" i="53" l="1"/>
  <c r="F275" i="53"/>
  <c r="K275" i="46"/>
  <c r="H273" i="46"/>
  <c r="G275" i="44"/>
  <c r="E275" i="44"/>
  <c r="D275" i="44" s="1"/>
  <c r="F275" i="44" s="1"/>
  <c r="H275" i="44"/>
  <c r="M276" i="44" s="1"/>
  <c r="L276" i="53" l="1"/>
  <c r="H276" i="53" s="1"/>
  <c r="I274" i="53"/>
  <c r="M275" i="53" s="1"/>
  <c r="C275" i="53" s="1"/>
  <c r="E275" i="53" s="1"/>
  <c r="G275" i="53" s="1"/>
  <c r="L276" i="44"/>
  <c r="I274" i="44"/>
  <c r="G275" i="46"/>
  <c r="L276" i="46" s="1"/>
  <c r="F275" i="46"/>
  <c r="D275" i="46"/>
  <c r="C275" i="46" s="1"/>
  <c r="E275" i="46" s="1"/>
  <c r="D276" i="53" l="1"/>
  <c r="F276" i="53"/>
  <c r="K276" i="46"/>
  <c r="H274" i="46"/>
  <c r="G276" i="44"/>
  <c r="E276" i="44"/>
  <c r="D276" i="44" s="1"/>
  <c r="F276" i="44" s="1"/>
  <c r="H276" i="44"/>
  <c r="M277" i="44" s="1"/>
  <c r="L277" i="53" l="1"/>
  <c r="H277" i="53" s="1"/>
  <c r="I275" i="53"/>
  <c r="M276" i="53" s="1"/>
  <c r="C276" i="53" s="1"/>
  <c r="E276" i="53" s="1"/>
  <c r="G276" i="53" s="1"/>
  <c r="D276" i="46"/>
  <c r="C276" i="46" s="1"/>
  <c r="E276" i="46" s="1"/>
  <c r="G276" i="46"/>
  <c r="L277" i="46" s="1"/>
  <c r="F276" i="46"/>
  <c r="L277" i="44"/>
  <c r="I275" i="44"/>
  <c r="F277" i="53" l="1"/>
  <c r="D277" i="53"/>
  <c r="K277" i="46"/>
  <c r="H275" i="46"/>
  <c r="G277" i="44"/>
  <c r="E277" i="44"/>
  <c r="D277" i="44" s="1"/>
  <c r="F277" i="44" s="1"/>
  <c r="H277" i="44"/>
  <c r="M278" i="44" s="1"/>
  <c r="L278" i="53" l="1"/>
  <c r="H278" i="53" s="1"/>
  <c r="I276" i="53"/>
  <c r="M277" i="53" s="1"/>
  <c r="C277" i="53" s="1"/>
  <c r="E277" i="53" s="1"/>
  <c r="G277" i="53" s="1"/>
  <c r="L278" i="44"/>
  <c r="I276" i="44"/>
  <c r="D277" i="46"/>
  <c r="C277" i="46" s="1"/>
  <c r="E277" i="46" s="1"/>
  <c r="G277" i="46"/>
  <c r="L278" i="46" s="1"/>
  <c r="F277" i="46"/>
  <c r="F278" i="53" l="1"/>
  <c r="D278" i="53"/>
  <c r="K278" i="46"/>
  <c r="H276" i="46"/>
  <c r="E278" i="44"/>
  <c r="D278" i="44" s="1"/>
  <c r="F278" i="44" s="1"/>
  <c r="H278" i="44"/>
  <c r="M279" i="44" s="1"/>
  <c r="G278" i="44"/>
  <c r="L279" i="53" l="1"/>
  <c r="H279" i="53" s="1"/>
  <c r="I277" i="53"/>
  <c r="M278" i="53" s="1"/>
  <c r="C278" i="53" s="1"/>
  <c r="E278" i="53" s="1"/>
  <c r="G278" i="53" s="1"/>
  <c r="L279" i="44"/>
  <c r="I277" i="44"/>
  <c r="F278" i="46"/>
  <c r="G278" i="46"/>
  <c r="L279" i="46" s="1"/>
  <c r="D278" i="46"/>
  <c r="C278" i="46" s="1"/>
  <c r="E278" i="46" s="1"/>
  <c r="F279" i="53" l="1"/>
  <c r="D279" i="53"/>
  <c r="K279" i="46"/>
  <c r="H277" i="46"/>
  <c r="E279" i="44"/>
  <c r="D279" i="44" s="1"/>
  <c r="F279" i="44" s="1"/>
  <c r="H279" i="44"/>
  <c r="M280" i="44" s="1"/>
  <c r="G279" i="44"/>
  <c r="L280" i="53" l="1"/>
  <c r="H280" i="53" s="1"/>
  <c r="I278" i="53"/>
  <c r="M279" i="53" s="1"/>
  <c r="C279" i="53" s="1"/>
  <c r="E279" i="53" s="1"/>
  <c r="G279" i="53" s="1"/>
  <c r="L280" i="44"/>
  <c r="I278" i="44"/>
  <c r="G279" i="46"/>
  <c r="L280" i="46" s="1"/>
  <c r="F279" i="46"/>
  <c r="D279" i="46"/>
  <c r="C279" i="46" s="1"/>
  <c r="E279" i="46" s="1"/>
  <c r="F280" i="53" l="1"/>
  <c r="D280" i="53"/>
  <c r="K280" i="46"/>
  <c r="H278" i="46"/>
  <c r="G280" i="44"/>
  <c r="H280" i="44"/>
  <c r="M281" i="44" s="1"/>
  <c r="E280" i="44"/>
  <c r="D280" i="44" s="1"/>
  <c r="F280" i="44" s="1"/>
  <c r="L281" i="53" l="1"/>
  <c r="H281" i="53" s="1"/>
  <c r="I279" i="53"/>
  <c r="M280" i="53" s="1"/>
  <c r="C280" i="53" s="1"/>
  <c r="E280" i="53" s="1"/>
  <c r="G280" i="53" s="1"/>
  <c r="D280" i="46"/>
  <c r="C280" i="46" s="1"/>
  <c r="E280" i="46" s="1"/>
  <c r="G280" i="46"/>
  <c r="L281" i="46" s="1"/>
  <c r="F280" i="46"/>
  <c r="L281" i="44"/>
  <c r="I279" i="44"/>
  <c r="F281" i="53" l="1"/>
  <c r="D281" i="53"/>
  <c r="K281" i="46"/>
  <c r="H279" i="46"/>
  <c r="G281" i="44"/>
  <c r="H281" i="44"/>
  <c r="M282" i="44" s="1"/>
  <c r="E281" i="44"/>
  <c r="D281" i="44" s="1"/>
  <c r="F281" i="44" s="1"/>
  <c r="L282" i="53" l="1"/>
  <c r="H282" i="53" s="1"/>
  <c r="I280" i="53"/>
  <c r="M281" i="53" s="1"/>
  <c r="C281" i="53" s="1"/>
  <c r="E281" i="53" s="1"/>
  <c r="G281" i="53" s="1"/>
  <c r="L282" i="44"/>
  <c r="I280" i="44"/>
  <c r="G281" i="46"/>
  <c r="L282" i="46" s="1"/>
  <c r="F281" i="46"/>
  <c r="D281" i="46"/>
  <c r="C281" i="46" s="1"/>
  <c r="E281" i="46" s="1"/>
  <c r="F282" i="53" l="1"/>
  <c r="D282" i="53"/>
  <c r="K282" i="46"/>
  <c r="H280" i="46"/>
  <c r="G282" i="44"/>
  <c r="E282" i="44"/>
  <c r="D282" i="44" s="1"/>
  <c r="F282" i="44" s="1"/>
  <c r="H282" i="44"/>
  <c r="M283" i="44" s="1"/>
  <c r="L283" i="53" l="1"/>
  <c r="H283" i="53" s="1"/>
  <c r="I281" i="53"/>
  <c r="M282" i="53" s="1"/>
  <c r="C282" i="53" s="1"/>
  <c r="E282" i="53" s="1"/>
  <c r="G282" i="53" s="1"/>
  <c r="D282" i="46"/>
  <c r="C282" i="46" s="1"/>
  <c r="E282" i="46" s="1"/>
  <c r="G282" i="46"/>
  <c r="L283" i="46" s="1"/>
  <c r="F282" i="46"/>
  <c r="L283" i="44"/>
  <c r="I281" i="44"/>
  <c r="F283" i="53" l="1"/>
  <c r="D283" i="53"/>
  <c r="K283" i="46"/>
  <c r="H281" i="46"/>
  <c r="G283" i="44"/>
  <c r="H283" i="44"/>
  <c r="M284" i="44" s="1"/>
  <c r="E283" i="44"/>
  <c r="D283" i="44" s="1"/>
  <c r="F283" i="44" s="1"/>
  <c r="L284" i="53" l="1"/>
  <c r="H284" i="53" s="1"/>
  <c r="I282" i="53"/>
  <c r="M283" i="53" s="1"/>
  <c r="C283" i="53" s="1"/>
  <c r="E283" i="53" s="1"/>
  <c r="G283" i="53" s="1"/>
  <c r="L284" i="44"/>
  <c r="I282" i="44"/>
  <c r="D283" i="46"/>
  <c r="C283" i="46" s="1"/>
  <c r="E283" i="46" s="1"/>
  <c r="G283" i="46"/>
  <c r="L284" i="46" s="1"/>
  <c r="F283" i="46"/>
  <c r="F284" i="53" l="1"/>
  <c r="D284" i="53"/>
  <c r="K284" i="46"/>
  <c r="H282" i="46"/>
  <c r="E284" i="44"/>
  <c r="D284" i="44" s="1"/>
  <c r="F284" i="44" s="1"/>
  <c r="H284" i="44"/>
  <c r="M285" i="44" s="1"/>
  <c r="G284" i="44"/>
  <c r="L285" i="53" l="1"/>
  <c r="H285" i="53" s="1"/>
  <c r="I283" i="53"/>
  <c r="M284" i="53" s="1"/>
  <c r="C284" i="53" s="1"/>
  <c r="E284" i="53" s="1"/>
  <c r="G284" i="53" s="1"/>
  <c r="L285" i="44"/>
  <c r="I283" i="44"/>
  <c r="F284" i="46"/>
  <c r="D284" i="46"/>
  <c r="C284" i="46" s="1"/>
  <c r="E284" i="46" s="1"/>
  <c r="G284" i="46"/>
  <c r="L285" i="46" s="1"/>
  <c r="F285" i="53" l="1"/>
  <c r="D285" i="53"/>
  <c r="K285" i="46"/>
  <c r="H283" i="46"/>
  <c r="E285" i="44"/>
  <c r="D285" i="44" s="1"/>
  <c r="F285" i="44" s="1"/>
  <c r="H285" i="44"/>
  <c r="M286" i="44" s="1"/>
  <c r="G285" i="44"/>
  <c r="L286" i="53" l="1"/>
  <c r="H286" i="53" s="1"/>
  <c r="I284" i="53"/>
  <c r="M285" i="53" s="1"/>
  <c r="C285" i="53" s="1"/>
  <c r="E285" i="53" s="1"/>
  <c r="G285" i="53" s="1"/>
  <c r="L286" i="44"/>
  <c r="I284" i="44"/>
  <c r="G285" i="46"/>
  <c r="L286" i="46" s="1"/>
  <c r="F285" i="46"/>
  <c r="D285" i="46"/>
  <c r="C285" i="46" s="1"/>
  <c r="E285" i="46" s="1"/>
  <c r="F286" i="53" l="1"/>
  <c r="D286" i="53"/>
  <c r="K286" i="46"/>
  <c r="H284" i="46"/>
  <c r="H286" i="44"/>
  <c r="M287" i="44" s="1"/>
  <c r="G286" i="44"/>
  <c r="E286" i="44"/>
  <c r="D286" i="44" s="1"/>
  <c r="F286" i="44" s="1"/>
  <c r="L287" i="53" l="1"/>
  <c r="H287" i="53" s="1"/>
  <c r="I285" i="53"/>
  <c r="M286" i="53" s="1"/>
  <c r="C286" i="53" s="1"/>
  <c r="E286" i="53" s="1"/>
  <c r="G286" i="53" s="1"/>
  <c r="L287" i="44"/>
  <c r="I285" i="44"/>
  <c r="D286" i="46"/>
  <c r="C286" i="46" s="1"/>
  <c r="E286" i="46" s="1"/>
  <c r="G286" i="46"/>
  <c r="L287" i="46" s="1"/>
  <c r="F286" i="46"/>
  <c r="F287" i="53" l="1"/>
  <c r="D287" i="53"/>
  <c r="K287" i="46"/>
  <c r="H285" i="46"/>
  <c r="E287" i="44"/>
  <c r="D287" i="44" s="1"/>
  <c r="F287" i="44" s="1"/>
  <c r="H287" i="44"/>
  <c r="M288" i="44" s="1"/>
  <c r="G287" i="44"/>
  <c r="L288" i="53" l="1"/>
  <c r="H288" i="53" s="1"/>
  <c r="I286" i="53"/>
  <c r="M287" i="53" s="1"/>
  <c r="C287" i="53" s="1"/>
  <c r="E287" i="53" s="1"/>
  <c r="G287" i="53" s="1"/>
  <c r="L288" i="44"/>
  <c r="I286" i="44"/>
  <c r="D287" i="46"/>
  <c r="C287" i="46" s="1"/>
  <c r="E287" i="46" s="1"/>
  <c r="G287" i="46"/>
  <c r="L288" i="46" s="1"/>
  <c r="F287" i="46"/>
  <c r="F288" i="53" l="1"/>
  <c r="D288" i="53"/>
  <c r="K288" i="46"/>
  <c r="H286" i="46"/>
  <c r="G288" i="44"/>
  <c r="E288" i="44"/>
  <c r="D288" i="44" s="1"/>
  <c r="F288" i="44" s="1"/>
  <c r="H288" i="44"/>
  <c r="M289" i="44" s="1"/>
  <c r="L289" i="53" l="1"/>
  <c r="H289" i="53" s="1"/>
  <c r="I287" i="53"/>
  <c r="M288" i="53" s="1"/>
  <c r="C288" i="53" s="1"/>
  <c r="E288" i="53" s="1"/>
  <c r="G288" i="53" s="1"/>
  <c r="F288" i="46"/>
  <c r="G288" i="46"/>
  <c r="L289" i="46" s="1"/>
  <c r="D288" i="46"/>
  <c r="C288" i="46" s="1"/>
  <c r="E288" i="46" s="1"/>
  <c r="L289" i="44"/>
  <c r="I287" i="44"/>
  <c r="F289" i="53" l="1"/>
  <c r="D289" i="53"/>
  <c r="K289" i="46"/>
  <c r="H287" i="46"/>
  <c r="G289" i="44"/>
  <c r="E289" i="44"/>
  <c r="D289" i="44" s="1"/>
  <c r="F289" i="44" s="1"/>
  <c r="H289" i="44"/>
  <c r="M290" i="44" s="1"/>
  <c r="L290" i="53" l="1"/>
  <c r="H290" i="53" s="1"/>
  <c r="I288" i="53"/>
  <c r="M289" i="53" s="1"/>
  <c r="C289" i="53" s="1"/>
  <c r="E289" i="53" s="1"/>
  <c r="G289" i="53" s="1"/>
  <c r="G289" i="46"/>
  <c r="L290" i="46" s="1"/>
  <c r="F289" i="46"/>
  <c r="D289" i="46"/>
  <c r="C289" i="46" s="1"/>
  <c r="E289" i="46" s="1"/>
  <c r="L290" i="44"/>
  <c r="I288" i="44"/>
  <c r="D290" i="53" l="1"/>
  <c r="F290" i="53"/>
  <c r="K290" i="46"/>
  <c r="H288" i="46"/>
  <c r="E290" i="44"/>
  <c r="D290" i="44" s="1"/>
  <c r="F290" i="44" s="1"/>
  <c r="H290" i="44"/>
  <c r="M291" i="44" s="1"/>
  <c r="G290" i="44"/>
  <c r="L291" i="53" l="1"/>
  <c r="H291" i="53" s="1"/>
  <c r="I289" i="53"/>
  <c r="M290" i="53" s="1"/>
  <c r="C290" i="53" s="1"/>
  <c r="E290" i="53" s="1"/>
  <c r="G290" i="53" s="1"/>
  <c r="L291" i="44"/>
  <c r="I289" i="44"/>
  <c r="D290" i="46"/>
  <c r="C290" i="46" s="1"/>
  <c r="E290" i="46" s="1"/>
  <c r="G290" i="46"/>
  <c r="L291" i="46" s="1"/>
  <c r="F290" i="46"/>
  <c r="F291" i="53" l="1"/>
  <c r="D291" i="53"/>
  <c r="K291" i="46"/>
  <c r="H289" i="46"/>
  <c r="G291" i="44"/>
  <c r="H291" i="44"/>
  <c r="M292" i="44" s="1"/>
  <c r="E291" i="44"/>
  <c r="D291" i="44" s="1"/>
  <c r="F291" i="44" s="1"/>
  <c r="L292" i="53" l="1"/>
  <c r="H292" i="53" s="1"/>
  <c r="I290" i="53"/>
  <c r="M291" i="53" s="1"/>
  <c r="C291" i="53" s="1"/>
  <c r="E291" i="53" s="1"/>
  <c r="G291" i="53" s="1"/>
  <c r="L292" i="44"/>
  <c r="I290" i="44"/>
  <c r="D291" i="46"/>
  <c r="C291" i="46" s="1"/>
  <c r="E291" i="46" s="1"/>
  <c r="G291" i="46"/>
  <c r="L292" i="46" s="1"/>
  <c r="F291" i="46"/>
  <c r="F292" i="53" l="1"/>
  <c r="D292" i="53"/>
  <c r="K292" i="46"/>
  <c r="H290" i="46"/>
  <c r="E292" i="44"/>
  <c r="D292" i="44" s="1"/>
  <c r="F292" i="44" s="1"/>
  <c r="H292" i="44"/>
  <c r="M293" i="44" s="1"/>
  <c r="G292" i="44"/>
  <c r="L293" i="53" l="1"/>
  <c r="H293" i="53" s="1"/>
  <c r="I291" i="53"/>
  <c r="M292" i="53" s="1"/>
  <c r="C292" i="53" s="1"/>
  <c r="E292" i="53" s="1"/>
  <c r="G292" i="53" s="1"/>
  <c r="L293" i="44"/>
  <c r="I291" i="44"/>
  <c r="F292" i="46"/>
  <c r="D292" i="46"/>
  <c r="C292" i="46" s="1"/>
  <c r="E292" i="46" s="1"/>
  <c r="G292" i="46"/>
  <c r="L293" i="46" s="1"/>
  <c r="F293" i="53" l="1"/>
  <c r="D293" i="53"/>
  <c r="K293" i="46"/>
  <c r="H291" i="46"/>
  <c r="E293" i="44"/>
  <c r="D293" i="44" s="1"/>
  <c r="F293" i="44" s="1"/>
  <c r="H293" i="44"/>
  <c r="M294" i="44" s="1"/>
  <c r="G293" i="44"/>
  <c r="L294" i="53" l="1"/>
  <c r="H294" i="53" s="1"/>
  <c r="I292" i="53"/>
  <c r="M293" i="53" s="1"/>
  <c r="C293" i="53" s="1"/>
  <c r="E293" i="53" s="1"/>
  <c r="G293" i="53" s="1"/>
  <c r="L294" i="44"/>
  <c r="I292" i="44"/>
  <c r="G293" i="46"/>
  <c r="L294" i="46" s="1"/>
  <c r="F293" i="46"/>
  <c r="D293" i="46"/>
  <c r="C293" i="46" s="1"/>
  <c r="E293" i="46" s="1"/>
  <c r="F294" i="53" l="1"/>
  <c r="D294" i="53"/>
  <c r="K294" i="46"/>
  <c r="H292" i="46"/>
  <c r="G294" i="44"/>
  <c r="E294" i="44"/>
  <c r="D294" i="44" s="1"/>
  <c r="F294" i="44" s="1"/>
  <c r="H294" i="44"/>
  <c r="M295" i="44" s="1"/>
  <c r="L295" i="53" l="1"/>
  <c r="H295" i="53" s="1"/>
  <c r="I293" i="53"/>
  <c r="M294" i="53" s="1"/>
  <c r="C294" i="53" s="1"/>
  <c r="E294" i="53" s="1"/>
  <c r="G294" i="53" s="1"/>
  <c r="D294" i="46"/>
  <c r="C294" i="46" s="1"/>
  <c r="E294" i="46" s="1"/>
  <c r="G294" i="46"/>
  <c r="L295" i="46" s="1"/>
  <c r="F294" i="46"/>
  <c r="L295" i="44"/>
  <c r="I293" i="44"/>
  <c r="F295" i="53" l="1"/>
  <c r="D295" i="53"/>
  <c r="K295" i="46"/>
  <c r="H293" i="46"/>
  <c r="G295" i="44"/>
  <c r="H295" i="44"/>
  <c r="M296" i="44" s="1"/>
  <c r="E295" i="44"/>
  <c r="D295" i="44" s="1"/>
  <c r="F295" i="44" s="1"/>
  <c r="L296" i="53" l="1"/>
  <c r="H296" i="53" s="1"/>
  <c r="I294" i="53"/>
  <c r="M295" i="53" s="1"/>
  <c r="C295" i="53" s="1"/>
  <c r="E295" i="53" s="1"/>
  <c r="G295" i="53" s="1"/>
  <c r="L296" i="44"/>
  <c r="I294" i="44"/>
  <c r="D295" i="46"/>
  <c r="C295" i="46" s="1"/>
  <c r="E295" i="46" s="1"/>
  <c r="G295" i="46"/>
  <c r="L296" i="46" s="1"/>
  <c r="F295" i="46"/>
  <c r="F296" i="53" l="1"/>
  <c r="D296" i="53"/>
  <c r="K296" i="46"/>
  <c r="H294" i="46"/>
  <c r="H296" i="44"/>
  <c r="M297" i="44" s="1"/>
  <c r="G296" i="44"/>
  <c r="E296" i="44"/>
  <c r="D296" i="44" s="1"/>
  <c r="F296" i="44" s="1"/>
  <c r="L297" i="53" l="1"/>
  <c r="H297" i="53" s="1"/>
  <c r="I295" i="53"/>
  <c r="M296" i="53" s="1"/>
  <c r="C296" i="53" s="1"/>
  <c r="E296" i="53" s="1"/>
  <c r="G296" i="53" s="1"/>
  <c r="L297" i="44"/>
  <c r="I295" i="44"/>
  <c r="F296" i="46"/>
  <c r="G296" i="46"/>
  <c r="L297" i="46" s="1"/>
  <c r="D296" i="46"/>
  <c r="C296" i="46" s="1"/>
  <c r="E296" i="46" s="1"/>
  <c r="F297" i="53" l="1"/>
  <c r="D297" i="53"/>
  <c r="E297" i="44"/>
  <c r="D297" i="44" s="1"/>
  <c r="F297" i="44" s="1"/>
  <c r="H297" i="44"/>
  <c r="M298" i="44" s="1"/>
  <c r="G297" i="44"/>
  <c r="K297" i="46"/>
  <c r="H295" i="46"/>
  <c r="L298" i="53" l="1"/>
  <c r="H298" i="53" s="1"/>
  <c r="I296" i="53"/>
  <c r="M297" i="53" s="1"/>
  <c r="C297" i="53" s="1"/>
  <c r="E297" i="53" s="1"/>
  <c r="G297" i="53" s="1"/>
  <c r="L298" i="44"/>
  <c r="I296" i="44"/>
  <c r="G297" i="46"/>
  <c r="L298" i="46" s="1"/>
  <c r="F297" i="46"/>
  <c r="D297" i="46"/>
  <c r="C297" i="46" s="1"/>
  <c r="E297" i="46" s="1"/>
  <c r="F298" i="53" l="1"/>
  <c r="D298" i="53"/>
  <c r="K298" i="46"/>
  <c r="H296" i="46"/>
  <c r="E298" i="44"/>
  <c r="D298" i="44" s="1"/>
  <c r="F298" i="44" s="1"/>
  <c r="H298" i="44"/>
  <c r="M299" i="44" s="1"/>
  <c r="G298" i="44"/>
  <c r="L299" i="53" l="1"/>
  <c r="H299" i="53" s="1"/>
  <c r="I297" i="53"/>
  <c r="M298" i="53" s="1"/>
  <c r="C298" i="53" s="1"/>
  <c r="E298" i="53" s="1"/>
  <c r="G298" i="53" s="1"/>
  <c r="L299" i="44"/>
  <c r="I297" i="44"/>
  <c r="D298" i="46"/>
  <c r="C298" i="46" s="1"/>
  <c r="E298" i="46" s="1"/>
  <c r="G298" i="46"/>
  <c r="L299" i="46" s="1"/>
  <c r="F298" i="46"/>
  <c r="F299" i="53" l="1"/>
  <c r="D299" i="53"/>
  <c r="K299" i="46"/>
  <c r="H297" i="46"/>
  <c r="G299" i="44"/>
  <c r="E299" i="44"/>
  <c r="D299" i="44" s="1"/>
  <c r="F299" i="44" s="1"/>
  <c r="H299" i="44"/>
  <c r="M300" i="44" s="1"/>
  <c r="L300" i="53" l="1"/>
  <c r="H300" i="53" s="1"/>
  <c r="I298" i="53"/>
  <c r="M299" i="53" s="1"/>
  <c r="C299" i="53" s="1"/>
  <c r="E299" i="53" s="1"/>
  <c r="G299" i="53" s="1"/>
  <c r="D299" i="46"/>
  <c r="C299" i="46" s="1"/>
  <c r="E299" i="46" s="1"/>
  <c r="G299" i="46"/>
  <c r="L300" i="46" s="1"/>
  <c r="F299" i="46"/>
  <c r="L300" i="44"/>
  <c r="I298" i="44"/>
  <c r="F300" i="53" l="1"/>
  <c r="D300" i="53"/>
  <c r="K300" i="46"/>
  <c r="H298" i="46"/>
  <c r="E300" i="44"/>
  <c r="D300" i="44" s="1"/>
  <c r="F300" i="44" s="1"/>
  <c r="G300" i="44"/>
  <c r="H300" i="44"/>
  <c r="M301" i="44" s="1"/>
  <c r="L301" i="53" l="1"/>
  <c r="H301" i="53" s="1"/>
  <c r="I299" i="53"/>
  <c r="M300" i="53" s="1"/>
  <c r="C300" i="53" s="1"/>
  <c r="E300" i="53" s="1"/>
  <c r="G300" i="53" s="1"/>
  <c r="L301" i="44"/>
  <c r="I299" i="44"/>
  <c r="F300" i="46"/>
  <c r="D300" i="46"/>
  <c r="C300" i="46" s="1"/>
  <c r="E300" i="46" s="1"/>
  <c r="G300" i="46"/>
  <c r="L301" i="46" s="1"/>
  <c r="F301" i="53" l="1"/>
  <c r="D301" i="53"/>
  <c r="E301" i="44"/>
  <c r="D301" i="44" s="1"/>
  <c r="F301" i="44" s="1"/>
  <c r="H301" i="44"/>
  <c r="M302" i="44" s="1"/>
  <c r="G301" i="44"/>
  <c r="K301" i="46"/>
  <c r="H299" i="46"/>
  <c r="L302" i="53" l="1"/>
  <c r="H302" i="53" s="1"/>
  <c r="I300" i="53"/>
  <c r="M301" i="53" s="1"/>
  <c r="C301" i="53" s="1"/>
  <c r="E301" i="53" s="1"/>
  <c r="G301" i="53" s="1"/>
  <c r="G301" i="46"/>
  <c r="L302" i="46" s="1"/>
  <c r="F301" i="46"/>
  <c r="D301" i="46"/>
  <c r="C301" i="46" s="1"/>
  <c r="E301" i="46" s="1"/>
  <c r="L302" i="44"/>
  <c r="I300" i="44"/>
  <c r="D302" i="53" l="1"/>
  <c r="F302" i="53"/>
  <c r="H302" i="44"/>
  <c r="M303" i="44" s="1"/>
  <c r="G302" i="44"/>
  <c r="E302" i="44"/>
  <c r="D302" i="44" s="1"/>
  <c r="F302" i="44" s="1"/>
  <c r="K302" i="46"/>
  <c r="H300" i="46"/>
  <c r="L303" i="53" l="1"/>
  <c r="H303" i="53" s="1"/>
  <c r="I301" i="53"/>
  <c r="M302" i="53" s="1"/>
  <c r="C302" i="53" s="1"/>
  <c r="E302" i="53" s="1"/>
  <c r="G302" i="53" s="1"/>
  <c r="D302" i="46"/>
  <c r="C302" i="46" s="1"/>
  <c r="E302" i="46" s="1"/>
  <c r="G302" i="46"/>
  <c r="L303" i="46" s="1"/>
  <c r="F302" i="46"/>
  <c r="L303" i="44"/>
  <c r="I301" i="44"/>
  <c r="F303" i="53" l="1"/>
  <c r="D303" i="53"/>
  <c r="G303" i="44"/>
  <c r="H303" i="44"/>
  <c r="M304" i="44" s="1"/>
  <c r="E303" i="44"/>
  <c r="D303" i="44" s="1"/>
  <c r="F303" i="44" s="1"/>
  <c r="K303" i="46"/>
  <c r="H301" i="46"/>
  <c r="L304" i="53" l="1"/>
  <c r="H304" i="53" s="1"/>
  <c r="I302" i="53"/>
  <c r="M303" i="53" s="1"/>
  <c r="C303" i="53" s="1"/>
  <c r="E303" i="53" s="1"/>
  <c r="G303" i="53" s="1"/>
  <c r="D303" i="46"/>
  <c r="C303" i="46" s="1"/>
  <c r="E303" i="46" s="1"/>
  <c r="G303" i="46"/>
  <c r="L304" i="46" s="1"/>
  <c r="F303" i="46"/>
  <c r="L304" i="44"/>
  <c r="I302" i="44"/>
  <c r="D304" i="53" l="1"/>
  <c r="F304" i="53"/>
  <c r="G304" i="44"/>
  <c r="E304" i="44"/>
  <c r="D304" i="44" s="1"/>
  <c r="F304" i="44" s="1"/>
  <c r="H304" i="44"/>
  <c r="M305" i="44" s="1"/>
  <c r="K304" i="46"/>
  <c r="H302" i="46"/>
  <c r="L305" i="53" l="1"/>
  <c r="H305" i="53" s="1"/>
  <c r="I303" i="53"/>
  <c r="M304" i="53" s="1"/>
  <c r="C304" i="53" s="1"/>
  <c r="E304" i="53" s="1"/>
  <c r="G304" i="53" s="1"/>
  <c r="F304" i="46"/>
  <c r="G304" i="46"/>
  <c r="L305" i="46" s="1"/>
  <c r="D304" i="46"/>
  <c r="C304" i="46" s="1"/>
  <c r="E304" i="46" s="1"/>
  <c r="L305" i="44"/>
  <c r="I303" i="44"/>
  <c r="F305" i="53" l="1"/>
  <c r="D305" i="53"/>
  <c r="H305" i="44"/>
  <c r="M306" i="44" s="1"/>
  <c r="G305" i="44"/>
  <c r="E305" i="44"/>
  <c r="D305" i="44" s="1"/>
  <c r="F305" i="44" s="1"/>
  <c r="K305" i="46"/>
  <c r="H303" i="46"/>
  <c r="L306" i="53" l="1"/>
  <c r="H306" i="53" s="1"/>
  <c r="I304" i="53"/>
  <c r="M305" i="53" s="1"/>
  <c r="C305" i="53" s="1"/>
  <c r="E305" i="53" s="1"/>
  <c r="G305" i="53" s="1"/>
  <c r="L306" i="44"/>
  <c r="I304" i="44"/>
  <c r="G305" i="46"/>
  <c r="L306" i="46" s="1"/>
  <c r="F305" i="46"/>
  <c r="D305" i="46"/>
  <c r="C305" i="46" s="1"/>
  <c r="E305" i="46" s="1"/>
  <c r="F306" i="53" l="1"/>
  <c r="D306" i="53"/>
  <c r="K306" i="46"/>
  <c r="H304" i="46"/>
  <c r="H306" i="44"/>
  <c r="M307" i="44" s="1"/>
  <c r="G306" i="44"/>
  <c r="E306" i="44"/>
  <c r="D306" i="44" s="1"/>
  <c r="F306" i="44" s="1"/>
  <c r="L307" i="53" l="1"/>
  <c r="H307" i="53" s="1"/>
  <c r="I305" i="53"/>
  <c r="M306" i="53" s="1"/>
  <c r="C306" i="53" s="1"/>
  <c r="E306" i="53" s="1"/>
  <c r="G306" i="53" s="1"/>
  <c r="L307" i="44"/>
  <c r="I305" i="44"/>
  <c r="D306" i="46"/>
  <c r="C306" i="46" s="1"/>
  <c r="E306" i="46" s="1"/>
  <c r="G306" i="46"/>
  <c r="L307" i="46" s="1"/>
  <c r="F306" i="46"/>
  <c r="F307" i="53" l="1"/>
  <c r="D307" i="53"/>
  <c r="K307" i="46"/>
  <c r="H305" i="46"/>
  <c r="H307" i="44"/>
  <c r="M308" i="44" s="1"/>
  <c r="G307" i="44"/>
  <c r="E307" i="44"/>
  <c r="D307" i="44" s="1"/>
  <c r="F307" i="44" s="1"/>
  <c r="L308" i="53" l="1"/>
  <c r="H308" i="53" s="1"/>
  <c r="I306" i="53"/>
  <c r="M307" i="53" s="1"/>
  <c r="C307" i="53" s="1"/>
  <c r="E307" i="53" s="1"/>
  <c r="G307" i="53" s="1"/>
  <c r="L308" i="44"/>
  <c r="I306" i="44"/>
  <c r="D307" i="46"/>
  <c r="C307" i="46" s="1"/>
  <c r="E307" i="46" s="1"/>
  <c r="G307" i="46"/>
  <c r="L308" i="46" s="1"/>
  <c r="F307" i="46"/>
  <c r="F308" i="53" l="1"/>
  <c r="D308" i="53"/>
  <c r="K308" i="46"/>
  <c r="H306" i="46"/>
  <c r="E308" i="44"/>
  <c r="D308" i="44" s="1"/>
  <c r="F308" i="44" s="1"/>
  <c r="H308" i="44"/>
  <c r="M309" i="44" s="1"/>
  <c r="G308" i="44"/>
  <c r="L309" i="53" l="1"/>
  <c r="H309" i="53" s="1"/>
  <c r="I307" i="53"/>
  <c r="M308" i="53" s="1"/>
  <c r="C308" i="53" s="1"/>
  <c r="E308" i="53" s="1"/>
  <c r="G308" i="53" s="1"/>
  <c r="L309" i="44"/>
  <c r="I307" i="44"/>
  <c r="F308" i="46"/>
  <c r="D308" i="46"/>
  <c r="C308" i="46" s="1"/>
  <c r="E308" i="46" s="1"/>
  <c r="G308" i="46"/>
  <c r="L309" i="46" s="1"/>
  <c r="F309" i="53" l="1"/>
  <c r="D309" i="53"/>
  <c r="K309" i="46"/>
  <c r="H307" i="46"/>
  <c r="E309" i="44"/>
  <c r="D309" i="44" s="1"/>
  <c r="F309" i="44" s="1"/>
  <c r="H309" i="44"/>
  <c r="M310" i="44" s="1"/>
  <c r="G309" i="44"/>
  <c r="L310" i="53" l="1"/>
  <c r="H310" i="53" s="1"/>
  <c r="I308" i="53"/>
  <c r="M309" i="53" s="1"/>
  <c r="C309" i="53" s="1"/>
  <c r="E309" i="53" s="1"/>
  <c r="G309" i="53" s="1"/>
  <c r="L310" i="44"/>
  <c r="I308" i="44"/>
  <c r="G309" i="46"/>
  <c r="L310" i="46" s="1"/>
  <c r="F309" i="46"/>
  <c r="D309" i="46"/>
  <c r="C309" i="46" s="1"/>
  <c r="E309" i="46" s="1"/>
  <c r="F310" i="53" l="1"/>
  <c r="D310" i="53"/>
  <c r="K310" i="46"/>
  <c r="H308" i="46"/>
  <c r="H310" i="44"/>
  <c r="M311" i="44" s="1"/>
  <c r="G310" i="44"/>
  <c r="E310" i="44"/>
  <c r="D310" i="44" s="1"/>
  <c r="F310" i="44" s="1"/>
  <c r="L311" i="53" l="1"/>
  <c r="H311" i="53" s="1"/>
  <c r="I309" i="53"/>
  <c r="M310" i="53" s="1"/>
  <c r="C310" i="53" s="1"/>
  <c r="E310" i="53" s="1"/>
  <c r="G310" i="53" s="1"/>
  <c r="L311" i="44"/>
  <c r="I309" i="44"/>
  <c r="D310" i="46"/>
  <c r="C310" i="46" s="1"/>
  <c r="E310" i="46" s="1"/>
  <c r="G310" i="46"/>
  <c r="L311" i="46" s="1"/>
  <c r="F310" i="46"/>
  <c r="F311" i="53" l="1"/>
  <c r="D311" i="53"/>
  <c r="K311" i="46"/>
  <c r="H309" i="46"/>
  <c r="H311" i="44"/>
  <c r="M312" i="44" s="1"/>
  <c r="G311" i="44"/>
  <c r="E311" i="44"/>
  <c r="D311" i="44" s="1"/>
  <c r="F311" i="44" s="1"/>
  <c r="L312" i="53" l="1"/>
  <c r="H312" i="53" s="1"/>
  <c r="I310" i="53"/>
  <c r="M311" i="53" s="1"/>
  <c r="C311" i="53" s="1"/>
  <c r="E311" i="53" s="1"/>
  <c r="G311" i="53" s="1"/>
  <c r="L312" i="44"/>
  <c r="I310" i="44"/>
  <c r="D311" i="46"/>
  <c r="C311" i="46" s="1"/>
  <c r="E311" i="46" s="1"/>
  <c r="G311" i="46"/>
  <c r="L312" i="46" s="1"/>
  <c r="F311" i="46"/>
  <c r="D312" i="53" l="1"/>
  <c r="F312" i="53"/>
  <c r="K312" i="46"/>
  <c r="H310" i="46"/>
  <c r="E312" i="44"/>
  <c r="D312" i="44" s="1"/>
  <c r="F312" i="44" s="1"/>
  <c r="H312" i="44"/>
  <c r="M313" i="44" s="1"/>
  <c r="G312" i="44"/>
  <c r="L313" i="53" l="1"/>
  <c r="H313" i="53" s="1"/>
  <c r="I311" i="53"/>
  <c r="M312" i="53" s="1"/>
  <c r="C312" i="53" s="1"/>
  <c r="E312" i="53" s="1"/>
  <c r="G312" i="53" s="1"/>
  <c r="L313" i="44"/>
  <c r="I311" i="44"/>
  <c r="F312" i="46"/>
  <c r="G312" i="46"/>
  <c r="L313" i="46" s="1"/>
  <c r="D312" i="46"/>
  <c r="C312" i="46" s="1"/>
  <c r="E312" i="46" s="1"/>
  <c r="D313" i="53" l="1"/>
  <c r="F313" i="53"/>
  <c r="K313" i="46"/>
  <c r="H311" i="46"/>
  <c r="H313" i="44"/>
  <c r="M314" i="44" s="1"/>
  <c r="G313" i="44"/>
  <c r="E313" i="44"/>
  <c r="D313" i="44" s="1"/>
  <c r="F313" i="44" s="1"/>
  <c r="L314" i="53" l="1"/>
  <c r="H314" i="53" s="1"/>
  <c r="I312" i="53"/>
  <c r="M313" i="53" s="1"/>
  <c r="C313" i="53" s="1"/>
  <c r="E313" i="53" s="1"/>
  <c r="G313" i="53" s="1"/>
  <c r="L314" i="44"/>
  <c r="I312" i="44"/>
  <c r="D313" i="46"/>
  <c r="C313" i="46" s="1"/>
  <c r="E313" i="46" s="1"/>
  <c r="G313" i="46"/>
  <c r="L314" i="46" s="1"/>
  <c r="F313" i="46"/>
  <c r="D314" i="53" l="1"/>
  <c r="F314" i="53"/>
  <c r="K314" i="46"/>
  <c r="H312" i="46"/>
  <c r="H314" i="44"/>
  <c r="M315" i="44" s="1"/>
  <c r="G314" i="44"/>
  <c r="E314" i="44"/>
  <c r="D314" i="44" s="1"/>
  <c r="F314" i="44" s="1"/>
  <c r="L315" i="53" l="1"/>
  <c r="H315" i="53" s="1"/>
  <c r="I313" i="53"/>
  <c r="M314" i="53" s="1"/>
  <c r="C314" i="53" s="1"/>
  <c r="E314" i="53" s="1"/>
  <c r="G314" i="53" s="1"/>
  <c r="L315" i="44"/>
  <c r="I313" i="44"/>
  <c r="F314" i="46"/>
  <c r="D314" i="46"/>
  <c r="C314" i="46" s="1"/>
  <c r="E314" i="46" s="1"/>
  <c r="G314" i="46"/>
  <c r="L315" i="46" s="1"/>
  <c r="D315" i="53" l="1"/>
  <c r="F315" i="53"/>
  <c r="K315" i="46"/>
  <c r="H313" i="46"/>
  <c r="E315" i="44"/>
  <c r="D315" i="44" s="1"/>
  <c r="F315" i="44" s="1"/>
  <c r="H315" i="44"/>
  <c r="M316" i="44" s="1"/>
  <c r="G315" i="44"/>
  <c r="L316" i="53" l="1"/>
  <c r="H316" i="53" s="1"/>
  <c r="I314" i="53"/>
  <c r="M315" i="53" s="1"/>
  <c r="C315" i="53" s="1"/>
  <c r="E315" i="53" s="1"/>
  <c r="G315" i="53" s="1"/>
  <c r="L316" i="44"/>
  <c r="I314" i="44"/>
  <c r="F315" i="46"/>
  <c r="D315" i="46"/>
  <c r="C315" i="46" s="1"/>
  <c r="E315" i="46" s="1"/>
  <c r="G315" i="46"/>
  <c r="L316" i="46" s="1"/>
  <c r="D316" i="53" l="1"/>
  <c r="F316" i="53"/>
  <c r="K316" i="46"/>
  <c r="H314" i="46"/>
  <c r="G316" i="44"/>
  <c r="E316" i="44"/>
  <c r="D316" i="44" s="1"/>
  <c r="F316" i="44" s="1"/>
  <c r="H316" i="44"/>
  <c r="M317" i="44" s="1"/>
  <c r="L317" i="53" l="1"/>
  <c r="H317" i="53" s="1"/>
  <c r="I315" i="53"/>
  <c r="M316" i="53" s="1"/>
  <c r="C316" i="53" s="1"/>
  <c r="E316" i="53" s="1"/>
  <c r="G316" i="53" s="1"/>
  <c r="F316" i="46"/>
  <c r="D316" i="46"/>
  <c r="C316" i="46" s="1"/>
  <c r="E316" i="46" s="1"/>
  <c r="G316" i="46"/>
  <c r="L317" i="46" s="1"/>
  <c r="L317" i="44"/>
  <c r="I315" i="44"/>
  <c r="D317" i="53" l="1"/>
  <c r="F317" i="53"/>
  <c r="K317" i="46"/>
  <c r="H315" i="46"/>
  <c r="E317" i="44"/>
  <c r="D317" i="44" s="1"/>
  <c r="F317" i="44" s="1"/>
  <c r="H317" i="44"/>
  <c r="M318" i="44" s="1"/>
  <c r="G317" i="44"/>
  <c r="L318" i="53" l="1"/>
  <c r="H318" i="53" s="1"/>
  <c r="I316" i="53"/>
  <c r="M317" i="53" s="1"/>
  <c r="C317" i="53" s="1"/>
  <c r="E317" i="53" s="1"/>
  <c r="G317" i="53" s="1"/>
  <c r="L318" i="44"/>
  <c r="I316" i="44"/>
  <c r="G317" i="46"/>
  <c r="L318" i="46" s="1"/>
  <c r="F317" i="46"/>
  <c r="D317" i="46"/>
  <c r="C317" i="46" s="1"/>
  <c r="E317" i="46" s="1"/>
  <c r="F318" i="53" l="1"/>
  <c r="D318" i="53"/>
  <c r="K318" i="46"/>
  <c r="H316" i="46"/>
  <c r="E318" i="44"/>
  <c r="D318" i="44" s="1"/>
  <c r="F318" i="44" s="1"/>
  <c r="H318" i="44"/>
  <c r="M319" i="44" s="1"/>
  <c r="G318" i="44"/>
  <c r="L319" i="53" l="1"/>
  <c r="H319" i="53" s="1"/>
  <c r="I317" i="53"/>
  <c r="M318" i="53" s="1"/>
  <c r="C318" i="53" s="1"/>
  <c r="E318" i="53" s="1"/>
  <c r="G318" i="53" s="1"/>
  <c r="L319" i="44"/>
  <c r="I317" i="44"/>
  <c r="D318" i="46"/>
  <c r="C318" i="46" s="1"/>
  <c r="E318" i="46" s="1"/>
  <c r="G318" i="46"/>
  <c r="L319" i="46" s="1"/>
  <c r="F318" i="46"/>
  <c r="D319" i="53" l="1"/>
  <c r="F319" i="53"/>
  <c r="K319" i="46"/>
  <c r="H317" i="46"/>
  <c r="G319" i="44"/>
  <c r="E319" i="44"/>
  <c r="D319" i="44" s="1"/>
  <c r="F319" i="44" s="1"/>
  <c r="H319" i="44"/>
  <c r="M320" i="44" s="1"/>
  <c r="L320" i="53" l="1"/>
  <c r="H320" i="53" s="1"/>
  <c r="I318" i="53"/>
  <c r="M319" i="53" s="1"/>
  <c r="C319" i="53" s="1"/>
  <c r="E319" i="53" s="1"/>
  <c r="G319" i="53" s="1"/>
  <c r="D319" i="46"/>
  <c r="C319" i="46" s="1"/>
  <c r="E319" i="46" s="1"/>
  <c r="G319" i="46"/>
  <c r="L320" i="46" s="1"/>
  <c r="F319" i="46"/>
  <c r="L320" i="44"/>
  <c r="I318" i="44"/>
  <c r="D320" i="53" l="1"/>
  <c r="F320" i="53"/>
  <c r="K320" i="46"/>
  <c r="H318" i="46"/>
  <c r="E320" i="44"/>
  <c r="D320" i="44" s="1"/>
  <c r="F320" i="44" s="1"/>
  <c r="H320" i="44"/>
  <c r="M321" i="44" s="1"/>
  <c r="G320" i="44"/>
  <c r="L321" i="53" l="1"/>
  <c r="H321" i="53" s="1"/>
  <c r="I319" i="53"/>
  <c r="M320" i="53" s="1"/>
  <c r="C320" i="53" s="1"/>
  <c r="E320" i="53" s="1"/>
  <c r="G320" i="53" s="1"/>
  <c r="L321" i="44"/>
  <c r="I319" i="44"/>
  <c r="F320" i="46"/>
  <c r="G320" i="46"/>
  <c r="L321" i="46" s="1"/>
  <c r="D320" i="46"/>
  <c r="C320" i="46" s="1"/>
  <c r="E320" i="46" s="1"/>
  <c r="F321" i="53" l="1"/>
  <c r="D321" i="53"/>
  <c r="K321" i="46"/>
  <c r="H319" i="46"/>
  <c r="G321" i="44"/>
  <c r="E321" i="44"/>
  <c r="D321" i="44" s="1"/>
  <c r="F321" i="44" s="1"/>
  <c r="H321" i="44"/>
  <c r="M322" i="44" s="1"/>
  <c r="L322" i="53" l="1"/>
  <c r="H322" i="53" s="1"/>
  <c r="I320" i="53"/>
  <c r="M321" i="53" s="1"/>
  <c r="C321" i="53" s="1"/>
  <c r="E321" i="53" s="1"/>
  <c r="G321" i="53" s="1"/>
  <c r="L322" i="44"/>
  <c r="I320" i="44"/>
  <c r="G321" i="46"/>
  <c r="L322" i="46" s="1"/>
  <c r="F321" i="46"/>
  <c r="D321" i="46"/>
  <c r="C321" i="46" s="1"/>
  <c r="E321" i="46" s="1"/>
  <c r="F322" i="53" l="1"/>
  <c r="D322" i="53"/>
  <c r="K322" i="46"/>
  <c r="H320" i="46"/>
  <c r="E322" i="44"/>
  <c r="D322" i="44" s="1"/>
  <c r="F322" i="44" s="1"/>
  <c r="H322" i="44"/>
  <c r="M323" i="44" s="1"/>
  <c r="G322" i="44"/>
  <c r="L323" i="53" l="1"/>
  <c r="H323" i="53" s="1"/>
  <c r="I321" i="53"/>
  <c r="M322" i="53" s="1"/>
  <c r="C322" i="53" s="1"/>
  <c r="E322" i="53" s="1"/>
  <c r="G322" i="53" s="1"/>
  <c r="L323" i="44"/>
  <c r="I321" i="44"/>
  <c r="D322" i="46"/>
  <c r="C322" i="46" s="1"/>
  <c r="E322" i="46" s="1"/>
  <c r="G322" i="46"/>
  <c r="L323" i="46" s="1"/>
  <c r="F322" i="46"/>
  <c r="F323" i="53" l="1"/>
  <c r="D323" i="53"/>
  <c r="K323" i="46"/>
  <c r="H321" i="46"/>
  <c r="E323" i="44"/>
  <c r="D323" i="44" s="1"/>
  <c r="F323" i="44" s="1"/>
  <c r="H323" i="44"/>
  <c r="M324" i="44" s="1"/>
  <c r="G323" i="44"/>
  <c r="L324" i="53" l="1"/>
  <c r="H324" i="53" s="1"/>
  <c r="I322" i="53"/>
  <c r="M323" i="53" s="1"/>
  <c r="C323" i="53" s="1"/>
  <c r="E323" i="53" s="1"/>
  <c r="G323" i="53" s="1"/>
  <c r="L324" i="44"/>
  <c r="I322" i="44"/>
  <c r="D323" i="46"/>
  <c r="C323" i="46" s="1"/>
  <c r="E323" i="46" s="1"/>
  <c r="G323" i="46"/>
  <c r="L324" i="46" s="1"/>
  <c r="F323" i="46"/>
  <c r="F324" i="53" l="1"/>
  <c r="D324" i="53"/>
  <c r="K324" i="46"/>
  <c r="H322" i="46"/>
  <c r="G324" i="44"/>
  <c r="E324" i="44"/>
  <c r="D324" i="44" s="1"/>
  <c r="F324" i="44" s="1"/>
  <c r="H324" i="44"/>
  <c r="M325" i="44" s="1"/>
  <c r="L325" i="53" l="1"/>
  <c r="H325" i="53" s="1"/>
  <c r="I323" i="53"/>
  <c r="M324" i="53" s="1"/>
  <c r="C324" i="53" s="1"/>
  <c r="E324" i="53" s="1"/>
  <c r="G324" i="53" s="1"/>
  <c r="F324" i="46"/>
  <c r="D324" i="46"/>
  <c r="C324" i="46" s="1"/>
  <c r="E324" i="46" s="1"/>
  <c r="G324" i="46"/>
  <c r="L325" i="46" s="1"/>
  <c r="L325" i="44"/>
  <c r="I323" i="44"/>
  <c r="D325" i="53" l="1"/>
  <c r="F325" i="53"/>
  <c r="K325" i="46"/>
  <c r="H323" i="46"/>
  <c r="E325" i="44"/>
  <c r="D325" i="44" s="1"/>
  <c r="F325" i="44" s="1"/>
  <c r="H325" i="44"/>
  <c r="M326" i="44" s="1"/>
  <c r="G325" i="44"/>
  <c r="L326" i="53" l="1"/>
  <c r="H326" i="53" s="1"/>
  <c r="I324" i="53"/>
  <c r="M325" i="53" s="1"/>
  <c r="C325" i="53" s="1"/>
  <c r="E325" i="53" s="1"/>
  <c r="G325" i="53" s="1"/>
  <c r="L326" i="44"/>
  <c r="I324" i="44"/>
  <c r="D325" i="46"/>
  <c r="C325" i="46" s="1"/>
  <c r="E325" i="46" s="1"/>
  <c r="G325" i="46"/>
  <c r="L326" i="46" s="1"/>
  <c r="F325" i="46"/>
  <c r="D326" i="53" l="1"/>
  <c r="F326" i="53"/>
  <c r="K326" i="46"/>
  <c r="H324" i="46"/>
  <c r="E326" i="44"/>
  <c r="D326" i="44" s="1"/>
  <c r="F326" i="44" s="1"/>
  <c r="H326" i="44"/>
  <c r="M327" i="44" s="1"/>
  <c r="G326" i="44"/>
  <c r="L327" i="53" l="1"/>
  <c r="H327" i="53" s="1"/>
  <c r="I325" i="53"/>
  <c r="M326" i="53" s="1"/>
  <c r="C326" i="53" s="1"/>
  <c r="E326" i="53" s="1"/>
  <c r="G326" i="53" s="1"/>
  <c r="L327" i="44"/>
  <c r="I325" i="44"/>
  <c r="D326" i="46"/>
  <c r="C326" i="46" s="1"/>
  <c r="E326" i="46" s="1"/>
  <c r="G326" i="46"/>
  <c r="L327" i="46" s="1"/>
  <c r="F326" i="46"/>
  <c r="D327" i="53" l="1"/>
  <c r="F327" i="53"/>
  <c r="K327" i="46"/>
  <c r="H325" i="46"/>
  <c r="H327" i="44"/>
  <c r="M328" i="44" s="1"/>
  <c r="G327" i="44"/>
  <c r="E327" i="44"/>
  <c r="D327" i="44" s="1"/>
  <c r="F327" i="44" s="1"/>
  <c r="L328" i="53" l="1"/>
  <c r="H328" i="53" s="1"/>
  <c r="I326" i="53"/>
  <c r="M327" i="53" s="1"/>
  <c r="C327" i="53" s="1"/>
  <c r="E327" i="53" s="1"/>
  <c r="G327" i="53" s="1"/>
  <c r="L328" i="44"/>
  <c r="I326" i="44"/>
  <c r="F327" i="46"/>
  <c r="D327" i="46"/>
  <c r="C327" i="46" s="1"/>
  <c r="E327" i="46" s="1"/>
  <c r="G327" i="46"/>
  <c r="L328" i="46" s="1"/>
  <c r="F328" i="53" l="1"/>
  <c r="D328" i="53"/>
  <c r="K328" i="46"/>
  <c r="H326" i="46"/>
  <c r="H328" i="44"/>
  <c r="M329" i="44" s="1"/>
  <c r="G328" i="44"/>
  <c r="E328" i="44"/>
  <c r="D328" i="44" s="1"/>
  <c r="F328" i="44" s="1"/>
  <c r="L329" i="53" l="1"/>
  <c r="H329" i="53" s="1"/>
  <c r="I327" i="53"/>
  <c r="M328" i="53" s="1"/>
  <c r="C328" i="53" s="1"/>
  <c r="E328" i="53" s="1"/>
  <c r="G328" i="53" s="1"/>
  <c r="L329" i="44"/>
  <c r="I327" i="44"/>
  <c r="G328" i="46"/>
  <c r="L329" i="46" s="1"/>
  <c r="F328" i="46"/>
  <c r="D328" i="46"/>
  <c r="C328" i="46" s="1"/>
  <c r="E328" i="46" s="1"/>
  <c r="F329" i="53" l="1"/>
  <c r="D329" i="53"/>
  <c r="K329" i="46"/>
  <c r="H327" i="46"/>
  <c r="H329" i="44"/>
  <c r="M330" i="44" s="1"/>
  <c r="G329" i="44"/>
  <c r="E329" i="44"/>
  <c r="D329" i="44" s="1"/>
  <c r="F329" i="44" s="1"/>
  <c r="L330" i="53" l="1"/>
  <c r="H330" i="53" s="1"/>
  <c r="I328" i="53"/>
  <c r="M329" i="53" s="1"/>
  <c r="C329" i="53" s="1"/>
  <c r="E329" i="53" s="1"/>
  <c r="G329" i="53" s="1"/>
  <c r="L330" i="44"/>
  <c r="I328" i="44"/>
  <c r="D329" i="46"/>
  <c r="C329" i="46" s="1"/>
  <c r="E329" i="46" s="1"/>
  <c r="G329" i="46"/>
  <c r="L330" i="46" s="1"/>
  <c r="F329" i="46"/>
  <c r="F330" i="53" l="1"/>
  <c r="D330" i="53"/>
  <c r="K330" i="46"/>
  <c r="H328" i="46"/>
  <c r="H330" i="44"/>
  <c r="M331" i="44" s="1"/>
  <c r="G330" i="44"/>
  <c r="E330" i="44"/>
  <c r="D330" i="44" s="1"/>
  <c r="F330" i="44" s="1"/>
  <c r="L331" i="53" l="1"/>
  <c r="H331" i="53" s="1"/>
  <c r="I329" i="53"/>
  <c r="M330" i="53" s="1"/>
  <c r="C330" i="53" s="1"/>
  <c r="E330" i="53" s="1"/>
  <c r="G330" i="53" s="1"/>
  <c r="L331" i="44"/>
  <c r="I329" i="44"/>
  <c r="D330" i="46"/>
  <c r="C330" i="46" s="1"/>
  <c r="E330" i="46" s="1"/>
  <c r="G330" i="46"/>
  <c r="L331" i="46" s="1"/>
  <c r="F330" i="46"/>
  <c r="D331" i="53" l="1"/>
  <c r="F331" i="53"/>
  <c r="K331" i="46"/>
  <c r="H329" i="46"/>
  <c r="H331" i="44"/>
  <c r="M332" i="44" s="1"/>
  <c r="G331" i="44"/>
  <c r="E331" i="44"/>
  <c r="D331" i="44" s="1"/>
  <c r="F331" i="44" s="1"/>
  <c r="L332" i="53" l="1"/>
  <c r="H332" i="53" s="1"/>
  <c r="I330" i="53"/>
  <c r="M331" i="53" s="1"/>
  <c r="C331" i="53" s="1"/>
  <c r="E331" i="53" s="1"/>
  <c r="G331" i="53" s="1"/>
  <c r="L332" i="44"/>
  <c r="I330" i="44"/>
  <c r="F331" i="46"/>
  <c r="G331" i="46"/>
  <c r="L332" i="46" s="1"/>
  <c r="D331" i="46"/>
  <c r="C331" i="46" s="1"/>
  <c r="E331" i="46" s="1"/>
  <c r="D332" i="53" l="1"/>
  <c r="F332" i="53"/>
  <c r="K332" i="46"/>
  <c r="H330" i="46"/>
  <c r="H332" i="44"/>
  <c r="M333" i="44" s="1"/>
  <c r="G332" i="44"/>
  <c r="E332" i="44"/>
  <c r="D332" i="44" s="1"/>
  <c r="F332" i="44" s="1"/>
  <c r="L333" i="53" l="1"/>
  <c r="H333" i="53" s="1"/>
  <c r="I331" i="53"/>
  <c r="M332" i="53" s="1"/>
  <c r="C332" i="53" s="1"/>
  <c r="E332" i="53" s="1"/>
  <c r="G332" i="53" s="1"/>
  <c r="L333" i="44"/>
  <c r="I331" i="44"/>
  <c r="G332" i="46"/>
  <c r="L333" i="46" s="1"/>
  <c r="F332" i="46"/>
  <c r="D332" i="46"/>
  <c r="C332" i="46" s="1"/>
  <c r="E332" i="46" s="1"/>
  <c r="D333" i="53" l="1"/>
  <c r="F333" i="53"/>
  <c r="K333" i="46"/>
  <c r="H331" i="46"/>
  <c r="H333" i="44"/>
  <c r="M334" i="44" s="1"/>
  <c r="G333" i="44"/>
  <c r="E333" i="44"/>
  <c r="D333" i="44" s="1"/>
  <c r="F333" i="44" s="1"/>
  <c r="L334" i="53" l="1"/>
  <c r="H334" i="53" s="1"/>
  <c r="I332" i="53"/>
  <c r="M333" i="53" s="1"/>
  <c r="C333" i="53" s="1"/>
  <c r="E333" i="53" s="1"/>
  <c r="G333" i="53" s="1"/>
  <c r="D333" i="46"/>
  <c r="C333" i="46" s="1"/>
  <c r="E333" i="46" s="1"/>
  <c r="G333" i="46"/>
  <c r="L334" i="46" s="1"/>
  <c r="F333" i="46"/>
  <c r="L334" i="44"/>
  <c r="I332" i="44"/>
  <c r="D334" i="53" l="1"/>
  <c r="F334" i="53"/>
  <c r="H334" i="44"/>
  <c r="M335" i="44" s="1"/>
  <c r="G334" i="44"/>
  <c r="E334" i="44"/>
  <c r="D334" i="44" s="1"/>
  <c r="F334" i="44" s="1"/>
  <c r="K334" i="46"/>
  <c r="H332" i="46"/>
  <c r="L335" i="53" l="1"/>
  <c r="H335" i="53" s="1"/>
  <c r="I333" i="53"/>
  <c r="M334" i="53" s="1"/>
  <c r="C334" i="53" s="1"/>
  <c r="E334" i="53" s="1"/>
  <c r="G334" i="53" s="1"/>
  <c r="D334" i="46"/>
  <c r="C334" i="46" s="1"/>
  <c r="E334" i="46" s="1"/>
  <c r="G334" i="46"/>
  <c r="L335" i="46" s="1"/>
  <c r="F334" i="46"/>
  <c r="L335" i="44"/>
  <c r="I333" i="44"/>
  <c r="F335" i="53" l="1"/>
  <c r="D335" i="53"/>
  <c r="E335" i="44"/>
  <c r="D335" i="44" s="1"/>
  <c r="F335" i="44" s="1"/>
  <c r="H335" i="44"/>
  <c r="M336" i="44" s="1"/>
  <c r="G335" i="44"/>
  <c r="K335" i="46"/>
  <c r="H333" i="46"/>
  <c r="L336" i="53" l="1"/>
  <c r="H336" i="53" s="1"/>
  <c r="I334" i="53"/>
  <c r="M335" i="53" s="1"/>
  <c r="C335" i="53" s="1"/>
  <c r="E335" i="53" s="1"/>
  <c r="G335" i="53" s="1"/>
  <c r="F335" i="46"/>
  <c r="D335" i="46"/>
  <c r="C335" i="46" s="1"/>
  <c r="E335" i="46" s="1"/>
  <c r="G335" i="46"/>
  <c r="L336" i="46" s="1"/>
  <c r="L336" i="44"/>
  <c r="I334" i="44"/>
  <c r="D336" i="53" l="1"/>
  <c r="F336" i="53"/>
  <c r="E336" i="44"/>
  <c r="D336" i="44" s="1"/>
  <c r="F336" i="44" s="1"/>
  <c r="H336" i="44"/>
  <c r="M337" i="44" s="1"/>
  <c r="G336" i="44"/>
  <c r="K336" i="46"/>
  <c r="H334" i="46"/>
  <c r="L337" i="53" l="1"/>
  <c r="H337" i="53" s="1"/>
  <c r="I335" i="53"/>
  <c r="M336" i="53" s="1"/>
  <c r="C336" i="53" s="1"/>
  <c r="E336" i="53" s="1"/>
  <c r="G336" i="53" s="1"/>
  <c r="G336" i="46"/>
  <c r="L337" i="46" s="1"/>
  <c r="F336" i="46"/>
  <c r="D336" i="46"/>
  <c r="C336" i="46" s="1"/>
  <c r="E336" i="46" s="1"/>
  <c r="L337" i="44"/>
  <c r="I335" i="44"/>
  <c r="D337" i="53" l="1"/>
  <c r="F337" i="53"/>
  <c r="E337" i="44"/>
  <c r="D337" i="44" s="1"/>
  <c r="F337" i="44" s="1"/>
  <c r="H337" i="44"/>
  <c r="M338" i="44" s="1"/>
  <c r="G337" i="44"/>
  <c r="K337" i="46"/>
  <c r="H335" i="46"/>
  <c r="L338" i="53" l="1"/>
  <c r="H338" i="53" s="1"/>
  <c r="I336" i="53"/>
  <c r="M337" i="53" s="1"/>
  <c r="C337" i="53" s="1"/>
  <c r="E337" i="53" s="1"/>
  <c r="G337" i="53" s="1"/>
  <c r="D337" i="46"/>
  <c r="C337" i="46" s="1"/>
  <c r="E337" i="46" s="1"/>
  <c r="G337" i="46"/>
  <c r="L338" i="46" s="1"/>
  <c r="F337" i="46"/>
  <c r="L338" i="44"/>
  <c r="I336" i="44"/>
  <c r="F338" i="53" l="1"/>
  <c r="D338" i="53"/>
  <c r="E338" i="44"/>
  <c r="D338" i="44" s="1"/>
  <c r="F338" i="44" s="1"/>
  <c r="H338" i="44"/>
  <c r="M339" i="44" s="1"/>
  <c r="G338" i="44"/>
  <c r="K338" i="46"/>
  <c r="H336" i="46"/>
  <c r="L339" i="53" l="1"/>
  <c r="H339" i="53" s="1"/>
  <c r="I337" i="53"/>
  <c r="M338" i="53" s="1"/>
  <c r="C338" i="53" s="1"/>
  <c r="E338" i="53" s="1"/>
  <c r="G338" i="53" s="1"/>
  <c r="D338" i="46"/>
  <c r="C338" i="46" s="1"/>
  <c r="E338" i="46" s="1"/>
  <c r="G338" i="46"/>
  <c r="L339" i="46" s="1"/>
  <c r="F338" i="46"/>
  <c r="L339" i="44"/>
  <c r="I337" i="44"/>
  <c r="F339" i="53" l="1"/>
  <c r="D339" i="53"/>
  <c r="E339" i="44"/>
  <c r="D339" i="44" s="1"/>
  <c r="F339" i="44" s="1"/>
  <c r="H339" i="44"/>
  <c r="M340" i="44" s="1"/>
  <c r="G339" i="44"/>
  <c r="K339" i="46"/>
  <c r="H337" i="46"/>
  <c r="L340" i="53" l="1"/>
  <c r="H340" i="53" s="1"/>
  <c r="I338" i="53"/>
  <c r="M339" i="53" s="1"/>
  <c r="C339" i="53" s="1"/>
  <c r="E339" i="53" s="1"/>
  <c r="G339" i="53" s="1"/>
  <c r="F339" i="46"/>
  <c r="G339" i="46"/>
  <c r="L340" i="46" s="1"/>
  <c r="D339" i="46"/>
  <c r="C339" i="46" s="1"/>
  <c r="E339" i="46" s="1"/>
  <c r="L340" i="44"/>
  <c r="I338" i="44"/>
  <c r="F340" i="53" l="1"/>
  <c r="D340" i="53"/>
  <c r="E340" i="44"/>
  <c r="D340" i="44" s="1"/>
  <c r="F340" i="44" s="1"/>
  <c r="H340" i="44"/>
  <c r="M341" i="44" s="1"/>
  <c r="G340" i="44"/>
  <c r="K340" i="46"/>
  <c r="H338" i="46"/>
  <c r="L341" i="53" l="1"/>
  <c r="H341" i="53" s="1"/>
  <c r="I339" i="53"/>
  <c r="M340" i="53" s="1"/>
  <c r="C340" i="53" s="1"/>
  <c r="E340" i="53" s="1"/>
  <c r="G340" i="53" s="1"/>
  <c r="F340" i="46"/>
  <c r="G340" i="46"/>
  <c r="L341" i="46" s="1"/>
  <c r="D340" i="46"/>
  <c r="C340" i="46" s="1"/>
  <c r="E340" i="46" s="1"/>
  <c r="L341" i="44"/>
  <c r="I339" i="44"/>
  <c r="F341" i="53" l="1"/>
  <c r="D341" i="53"/>
  <c r="E341" i="44"/>
  <c r="D341" i="44" s="1"/>
  <c r="F341" i="44" s="1"/>
  <c r="H341" i="44"/>
  <c r="M342" i="44" s="1"/>
  <c r="G341" i="44"/>
  <c r="K341" i="46"/>
  <c r="H339" i="46"/>
  <c r="L342" i="53" l="1"/>
  <c r="H342" i="53" s="1"/>
  <c r="I340" i="53"/>
  <c r="M341" i="53" s="1"/>
  <c r="C341" i="53" s="1"/>
  <c r="E341" i="53" s="1"/>
  <c r="G341" i="53" s="1"/>
  <c r="G341" i="46"/>
  <c r="L342" i="46" s="1"/>
  <c r="F341" i="46"/>
  <c r="D341" i="46"/>
  <c r="C341" i="46" s="1"/>
  <c r="E341" i="46" s="1"/>
  <c r="L342" i="44"/>
  <c r="I340" i="44"/>
  <c r="F342" i="53" l="1"/>
  <c r="D342" i="53"/>
  <c r="E342" i="44"/>
  <c r="D342" i="44" s="1"/>
  <c r="F342" i="44" s="1"/>
  <c r="H342" i="44"/>
  <c r="M343" i="44" s="1"/>
  <c r="G342" i="44"/>
  <c r="K342" i="46"/>
  <c r="H340" i="46"/>
  <c r="L343" i="53" l="1"/>
  <c r="H343" i="53" s="1"/>
  <c r="I341" i="53"/>
  <c r="M342" i="53" s="1"/>
  <c r="C342" i="53" s="1"/>
  <c r="E342" i="53" s="1"/>
  <c r="G342" i="53" s="1"/>
  <c r="D342" i="46"/>
  <c r="C342" i="46" s="1"/>
  <c r="E342" i="46" s="1"/>
  <c r="G342" i="46"/>
  <c r="L343" i="46" s="1"/>
  <c r="F342" i="46"/>
  <c r="L343" i="44"/>
  <c r="I341" i="44"/>
  <c r="F343" i="53" l="1"/>
  <c r="D343" i="53"/>
  <c r="G343" i="44"/>
  <c r="E343" i="44"/>
  <c r="D343" i="44" s="1"/>
  <c r="F343" i="44" s="1"/>
  <c r="H343" i="44"/>
  <c r="M344" i="44" s="1"/>
  <c r="K343" i="46"/>
  <c r="H341" i="46"/>
  <c r="L344" i="53" l="1"/>
  <c r="H344" i="53" s="1"/>
  <c r="I342" i="53"/>
  <c r="M343" i="53" s="1"/>
  <c r="C343" i="53" s="1"/>
  <c r="E343" i="53" s="1"/>
  <c r="G343" i="53" s="1"/>
  <c r="L344" i="44"/>
  <c r="I342" i="44"/>
  <c r="D343" i="46"/>
  <c r="C343" i="46" s="1"/>
  <c r="E343" i="46" s="1"/>
  <c r="G343" i="46"/>
  <c r="L344" i="46" s="1"/>
  <c r="F343" i="46"/>
  <c r="D344" i="53" l="1"/>
  <c r="F344" i="53"/>
  <c r="K344" i="46"/>
  <c r="H342" i="46"/>
  <c r="G344" i="44"/>
  <c r="E344" i="44"/>
  <c r="D344" i="44" s="1"/>
  <c r="F344" i="44" s="1"/>
  <c r="H344" i="44"/>
  <c r="M345" i="44" s="1"/>
  <c r="L345" i="53" l="1"/>
  <c r="H345" i="53" s="1"/>
  <c r="I343" i="53"/>
  <c r="M344" i="53" s="1"/>
  <c r="C344" i="53" s="1"/>
  <c r="E344" i="53" s="1"/>
  <c r="G344" i="53" s="1"/>
  <c r="L345" i="44"/>
  <c r="I343" i="44"/>
  <c r="F344" i="46"/>
  <c r="D344" i="46"/>
  <c r="C344" i="46" s="1"/>
  <c r="E344" i="46" s="1"/>
  <c r="G344" i="46"/>
  <c r="L345" i="46" s="1"/>
  <c r="D345" i="53" l="1"/>
  <c r="F345" i="53"/>
  <c r="E345" i="44"/>
  <c r="D345" i="44" s="1"/>
  <c r="F345" i="44" s="1"/>
  <c r="H345" i="44"/>
  <c r="M346" i="44" s="1"/>
  <c r="G345" i="44"/>
  <c r="K345" i="46"/>
  <c r="H343" i="46"/>
  <c r="L346" i="53" l="1"/>
  <c r="H346" i="53" s="1"/>
  <c r="I344" i="53"/>
  <c r="M345" i="53" s="1"/>
  <c r="C345" i="53" s="1"/>
  <c r="E345" i="53" s="1"/>
  <c r="G345" i="53" s="1"/>
  <c r="L346" i="44"/>
  <c r="I344" i="44"/>
  <c r="G345" i="46"/>
  <c r="L346" i="46" s="1"/>
  <c r="F345" i="46"/>
  <c r="D345" i="46"/>
  <c r="C345" i="46" s="1"/>
  <c r="E345" i="46" s="1"/>
  <c r="F346" i="53" l="1"/>
  <c r="D346" i="53"/>
  <c r="K346" i="46"/>
  <c r="H344" i="46"/>
  <c r="E346" i="44"/>
  <c r="D346" i="44" s="1"/>
  <c r="F346" i="44" s="1"/>
  <c r="G346" i="44"/>
  <c r="H346" i="44"/>
  <c r="M347" i="44" s="1"/>
  <c r="L347" i="53" l="1"/>
  <c r="H347" i="53" s="1"/>
  <c r="I345" i="53"/>
  <c r="M346" i="53" s="1"/>
  <c r="C346" i="53" s="1"/>
  <c r="E346" i="53" s="1"/>
  <c r="G346" i="53" s="1"/>
  <c r="L347" i="44"/>
  <c r="I345" i="44"/>
  <c r="D346" i="46"/>
  <c r="C346" i="46" s="1"/>
  <c r="E346" i="46" s="1"/>
  <c r="G346" i="46"/>
  <c r="L347" i="46" s="1"/>
  <c r="F346" i="46"/>
  <c r="F347" i="53" l="1"/>
  <c r="D347" i="53"/>
  <c r="K347" i="46"/>
  <c r="H345" i="46"/>
  <c r="E347" i="44"/>
  <c r="D347" i="44" s="1"/>
  <c r="F347" i="44" s="1"/>
  <c r="H347" i="44"/>
  <c r="M348" i="44" s="1"/>
  <c r="G347" i="44"/>
  <c r="L348" i="53" l="1"/>
  <c r="H348" i="53" s="1"/>
  <c r="I346" i="53"/>
  <c r="M347" i="53" s="1"/>
  <c r="C347" i="53" s="1"/>
  <c r="E347" i="53" s="1"/>
  <c r="G347" i="53" s="1"/>
  <c r="L348" i="44"/>
  <c r="I346" i="44"/>
  <c r="D347" i="46"/>
  <c r="C347" i="46" s="1"/>
  <c r="E347" i="46" s="1"/>
  <c r="G347" i="46"/>
  <c r="L348" i="46" s="1"/>
  <c r="F347" i="46"/>
  <c r="F348" i="53" l="1"/>
  <c r="D348" i="53"/>
  <c r="K348" i="46"/>
  <c r="H346" i="46"/>
  <c r="G348" i="44"/>
  <c r="E348" i="44"/>
  <c r="D348" i="44" s="1"/>
  <c r="F348" i="44" s="1"/>
  <c r="H348" i="44"/>
  <c r="M349" i="44" s="1"/>
  <c r="L349" i="53" l="1"/>
  <c r="H349" i="53" s="1"/>
  <c r="I347" i="53"/>
  <c r="M348" i="53" s="1"/>
  <c r="C348" i="53" s="1"/>
  <c r="E348" i="53" s="1"/>
  <c r="G348" i="53" s="1"/>
  <c r="F348" i="46"/>
  <c r="G348" i="46"/>
  <c r="L349" i="46" s="1"/>
  <c r="D348" i="46"/>
  <c r="C348" i="46" s="1"/>
  <c r="E348" i="46" s="1"/>
  <c r="L349" i="44"/>
  <c r="I347" i="44"/>
  <c r="D349" i="53" l="1"/>
  <c r="F349" i="53"/>
  <c r="K349" i="46"/>
  <c r="H347" i="46"/>
  <c r="E349" i="44"/>
  <c r="D349" i="44" s="1"/>
  <c r="F349" i="44" s="1"/>
  <c r="H349" i="44"/>
  <c r="M350" i="44" s="1"/>
  <c r="G349" i="44"/>
  <c r="L350" i="53" l="1"/>
  <c r="H350" i="53" s="1"/>
  <c r="I348" i="53"/>
  <c r="M349" i="53" s="1"/>
  <c r="C349" i="53" s="1"/>
  <c r="E349" i="53" s="1"/>
  <c r="G349" i="53" s="1"/>
  <c r="L350" i="44"/>
  <c r="I348" i="44"/>
  <c r="G349" i="46"/>
  <c r="L350" i="46" s="1"/>
  <c r="F349" i="46"/>
  <c r="D349" i="46"/>
  <c r="C349" i="46" s="1"/>
  <c r="E349" i="46" s="1"/>
  <c r="F350" i="53" l="1"/>
  <c r="D350" i="53"/>
  <c r="K350" i="46"/>
  <c r="H348" i="46"/>
  <c r="E350" i="44"/>
  <c r="D350" i="44" s="1"/>
  <c r="F350" i="44" s="1"/>
  <c r="H350" i="44"/>
  <c r="M351" i="44" s="1"/>
  <c r="G350" i="44"/>
  <c r="L351" i="53" l="1"/>
  <c r="H351" i="53" s="1"/>
  <c r="I349" i="53"/>
  <c r="M350" i="53" s="1"/>
  <c r="C350" i="53" s="1"/>
  <c r="E350" i="53" s="1"/>
  <c r="G350" i="53" s="1"/>
  <c r="L351" i="44"/>
  <c r="I349" i="44"/>
  <c r="D350" i="46"/>
  <c r="C350" i="46" s="1"/>
  <c r="E350" i="46" s="1"/>
  <c r="G350" i="46"/>
  <c r="L351" i="46" s="1"/>
  <c r="F350" i="46"/>
  <c r="D351" i="53" l="1"/>
  <c r="F351" i="53"/>
  <c r="K351" i="46"/>
  <c r="H349" i="46"/>
  <c r="E351" i="44"/>
  <c r="D351" i="44" s="1"/>
  <c r="F351" i="44" s="1"/>
  <c r="H351" i="44"/>
  <c r="M352" i="44" s="1"/>
  <c r="G351" i="44"/>
  <c r="L352" i="53" l="1"/>
  <c r="H352" i="53" s="1"/>
  <c r="I350" i="53"/>
  <c r="M351" i="53" s="1"/>
  <c r="C351" i="53" s="1"/>
  <c r="E351" i="53" s="1"/>
  <c r="G351" i="53" s="1"/>
  <c r="L352" i="44"/>
  <c r="I350" i="44"/>
  <c r="D351" i="46"/>
  <c r="C351" i="46" s="1"/>
  <c r="E351" i="46" s="1"/>
  <c r="G351" i="46"/>
  <c r="L352" i="46" s="1"/>
  <c r="F351" i="46"/>
  <c r="F352" i="53" l="1"/>
  <c r="D352" i="53"/>
  <c r="K352" i="46"/>
  <c r="H350" i="46"/>
  <c r="E352" i="44"/>
  <c r="D352" i="44" s="1"/>
  <c r="F352" i="44" s="1"/>
  <c r="H352" i="44"/>
  <c r="M353" i="44" s="1"/>
  <c r="G352" i="44"/>
  <c r="L353" i="53" l="1"/>
  <c r="H353" i="53" s="1"/>
  <c r="I351" i="53"/>
  <c r="M352" i="53" s="1"/>
  <c r="C352" i="53" s="1"/>
  <c r="E352" i="53" s="1"/>
  <c r="G352" i="53" s="1"/>
  <c r="L353" i="44"/>
  <c r="I351" i="44"/>
  <c r="F352" i="46"/>
  <c r="D352" i="46"/>
  <c r="C352" i="46" s="1"/>
  <c r="E352" i="46" s="1"/>
  <c r="G352" i="46"/>
  <c r="L353" i="46" s="1"/>
  <c r="F353" i="53" l="1"/>
  <c r="D353" i="53"/>
  <c r="E353" i="44"/>
  <c r="D353" i="44" s="1"/>
  <c r="F353" i="44" s="1"/>
  <c r="H353" i="44"/>
  <c r="M354" i="44" s="1"/>
  <c r="G353" i="44"/>
  <c r="K353" i="46"/>
  <c r="H351" i="46"/>
  <c r="L354" i="53" l="1"/>
  <c r="H354" i="53" s="1"/>
  <c r="I352" i="53"/>
  <c r="M353" i="53" s="1"/>
  <c r="C353" i="53" s="1"/>
  <c r="E353" i="53" s="1"/>
  <c r="G353" i="53" s="1"/>
  <c r="L354" i="44"/>
  <c r="I352" i="44"/>
  <c r="G353" i="46"/>
  <c r="L354" i="46" s="1"/>
  <c r="F353" i="46"/>
  <c r="D353" i="46"/>
  <c r="C353" i="46" s="1"/>
  <c r="E353" i="46" s="1"/>
  <c r="F354" i="53" l="1"/>
  <c r="D354" i="53"/>
  <c r="K354" i="46"/>
  <c r="H352" i="46"/>
  <c r="E354" i="44"/>
  <c r="D354" i="44" s="1"/>
  <c r="F354" i="44" s="1"/>
  <c r="G354" i="44"/>
  <c r="H354" i="44"/>
  <c r="M355" i="44" s="1"/>
  <c r="L355" i="53" l="1"/>
  <c r="H355" i="53" s="1"/>
  <c r="I353" i="53"/>
  <c r="M354" i="53" s="1"/>
  <c r="C354" i="53" s="1"/>
  <c r="E354" i="53" s="1"/>
  <c r="G354" i="53" s="1"/>
  <c r="L355" i="44"/>
  <c r="I353" i="44"/>
  <c r="D354" i="46"/>
  <c r="C354" i="46" s="1"/>
  <c r="E354" i="46" s="1"/>
  <c r="G354" i="46"/>
  <c r="L355" i="46" s="1"/>
  <c r="F354" i="46"/>
  <c r="F355" i="53" l="1"/>
  <c r="D355" i="53"/>
  <c r="K355" i="46"/>
  <c r="H353" i="46"/>
  <c r="E355" i="44"/>
  <c r="D355" i="44" s="1"/>
  <c r="F355" i="44" s="1"/>
  <c r="H355" i="44"/>
  <c r="M356" i="44" s="1"/>
  <c r="G355" i="44"/>
  <c r="L356" i="53" l="1"/>
  <c r="H356" i="53" s="1"/>
  <c r="I354" i="53"/>
  <c r="M355" i="53" s="1"/>
  <c r="C355" i="53" s="1"/>
  <c r="E355" i="53" s="1"/>
  <c r="G355" i="53" s="1"/>
  <c r="L356" i="44"/>
  <c r="I354" i="44"/>
  <c r="D355" i="46"/>
  <c r="C355" i="46" s="1"/>
  <c r="E355" i="46" s="1"/>
  <c r="G355" i="46"/>
  <c r="L356" i="46" s="1"/>
  <c r="F355" i="46"/>
  <c r="F356" i="53" l="1"/>
  <c r="D356" i="53"/>
  <c r="K356" i="46"/>
  <c r="H354" i="46"/>
  <c r="E356" i="44"/>
  <c r="D356" i="44" s="1"/>
  <c r="F356" i="44" s="1"/>
  <c r="G356" i="44"/>
  <c r="H356" i="44"/>
  <c r="M357" i="44" s="1"/>
  <c r="L357" i="53" l="1"/>
  <c r="H357" i="53" s="1"/>
  <c r="I355" i="53"/>
  <c r="M356" i="53" s="1"/>
  <c r="C356" i="53" s="1"/>
  <c r="E356" i="53" s="1"/>
  <c r="G356" i="53" s="1"/>
  <c r="L357" i="44"/>
  <c r="I355" i="44"/>
  <c r="F356" i="46"/>
  <c r="G356" i="46"/>
  <c r="L357" i="46" s="1"/>
  <c r="D356" i="46"/>
  <c r="C356" i="46" s="1"/>
  <c r="E356" i="46" s="1"/>
  <c r="D357" i="53" l="1"/>
  <c r="F357" i="53"/>
  <c r="G357" i="44"/>
  <c r="E357" i="44"/>
  <c r="D357" i="44" s="1"/>
  <c r="F357" i="44" s="1"/>
  <c r="H357" i="44"/>
  <c r="M358" i="44" s="1"/>
  <c r="K357" i="46"/>
  <c r="H355" i="46"/>
  <c r="L358" i="53" l="1"/>
  <c r="H358" i="53" s="1"/>
  <c r="I356" i="53"/>
  <c r="M357" i="53" s="1"/>
  <c r="C357" i="53" s="1"/>
  <c r="E357" i="53" s="1"/>
  <c r="G357" i="53" s="1"/>
  <c r="L358" i="44"/>
  <c r="I356" i="44"/>
  <c r="G357" i="46"/>
  <c r="L358" i="46" s="1"/>
  <c r="F357" i="46"/>
  <c r="D357" i="46"/>
  <c r="C357" i="46" s="1"/>
  <c r="E357" i="46" s="1"/>
  <c r="F358" i="53" l="1"/>
  <c r="D358" i="53"/>
  <c r="K358" i="46"/>
  <c r="H356" i="46"/>
  <c r="G358" i="44"/>
  <c r="H358" i="44"/>
  <c r="M359" i="44" s="1"/>
  <c r="E358" i="44"/>
  <c r="D358" i="44" s="1"/>
  <c r="F358" i="44" s="1"/>
  <c r="L359" i="53" l="1"/>
  <c r="H359" i="53" s="1"/>
  <c r="I357" i="53"/>
  <c r="M358" i="53" s="1"/>
  <c r="C358" i="53" s="1"/>
  <c r="E358" i="53" s="1"/>
  <c r="G358" i="53" s="1"/>
  <c r="L359" i="44"/>
  <c r="I357" i="44"/>
  <c r="D358" i="46"/>
  <c r="C358" i="46" s="1"/>
  <c r="E358" i="46" s="1"/>
  <c r="G358" i="46"/>
  <c r="L359" i="46" s="1"/>
  <c r="F358" i="46"/>
  <c r="D359" i="53" l="1"/>
  <c r="F359" i="53"/>
  <c r="K359" i="46"/>
  <c r="H357" i="46"/>
  <c r="G359" i="44"/>
  <c r="H359" i="44"/>
  <c r="M360" i="44" s="1"/>
  <c r="E359" i="44"/>
  <c r="D359" i="44" s="1"/>
  <c r="F359" i="44" s="1"/>
  <c r="L360" i="53" l="1"/>
  <c r="H360" i="53" s="1"/>
  <c r="I358" i="53"/>
  <c r="M359" i="53" s="1"/>
  <c r="C359" i="53" s="1"/>
  <c r="E359" i="53" s="1"/>
  <c r="G359" i="53" s="1"/>
  <c r="D359" i="46"/>
  <c r="C359" i="46" s="1"/>
  <c r="E359" i="46" s="1"/>
  <c r="G359" i="46"/>
  <c r="L360" i="46" s="1"/>
  <c r="F359" i="46"/>
  <c r="L360" i="44"/>
  <c r="I358" i="44"/>
  <c r="F360" i="53" l="1"/>
  <c r="D360" i="53"/>
  <c r="K360" i="46"/>
  <c r="H358" i="46"/>
  <c r="H360" i="44"/>
  <c r="M361" i="44" s="1"/>
  <c r="E360" i="44"/>
  <c r="D360" i="44" s="1"/>
  <c r="F360" i="44" s="1"/>
  <c r="G360" i="44"/>
  <c r="L361" i="53" l="1"/>
  <c r="H361" i="53" s="1"/>
  <c r="I359" i="53"/>
  <c r="M360" i="53" s="1"/>
  <c r="C360" i="53" s="1"/>
  <c r="E360" i="53" s="1"/>
  <c r="G360" i="53" s="1"/>
  <c r="L361" i="44"/>
  <c r="I359" i="44"/>
  <c r="F360" i="46"/>
  <c r="D360" i="46"/>
  <c r="C360" i="46" s="1"/>
  <c r="E360" i="46" s="1"/>
  <c r="G360" i="46"/>
  <c r="L361" i="46" s="1"/>
  <c r="F361" i="53" l="1"/>
  <c r="D361" i="53"/>
  <c r="H361" i="44"/>
  <c r="M362" i="44" s="1"/>
  <c r="G361" i="44"/>
  <c r="E361" i="44"/>
  <c r="D361" i="44" s="1"/>
  <c r="F361" i="44" s="1"/>
  <c r="K361" i="46"/>
  <c r="H359" i="46"/>
  <c r="L362" i="53" l="1"/>
  <c r="H362" i="53" s="1"/>
  <c r="I360" i="53"/>
  <c r="M361" i="53" s="1"/>
  <c r="C361" i="53" s="1"/>
  <c r="E361" i="53" s="1"/>
  <c r="G361" i="53" s="1"/>
  <c r="L362" i="44"/>
  <c r="I360" i="44"/>
  <c r="G361" i="46"/>
  <c r="L362" i="46" s="1"/>
  <c r="F361" i="46"/>
  <c r="D361" i="46"/>
  <c r="C361" i="46" s="1"/>
  <c r="E361" i="46" s="1"/>
  <c r="F362" i="53" l="1"/>
  <c r="D362" i="53"/>
  <c r="K362" i="46"/>
  <c r="H360" i="46"/>
  <c r="H362" i="44"/>
  <c r="M363" i="44" s="1"/>
  <c r="E362" i="44"/>
  <c r="D362" i="44" s="1"/>
  <c r="F362" i="44" s="1"/>
  <c r="G362" i="44"/>
  <c r="L363" i="53" l="1"/>
  <c r="H363" i="53" s="1"/>
  <c r="I361" i="53"/>
  <c r="M362" i="53" s="1"/>
  <c r="C362" i="53" s="1"/>
  <c r="E362" i="53" s="1"/>
  <c r="G362" i="53" s="1"/>
  <c r="L363" i="44"/>
  <c r="I361" i="44"/>
  <c r="D362" i="46"/>
  <c r="C362" i="46" s="1"/>
  <c r="E362" i="46" s="1"/>
  <c r="G362" i="46"/>
  <c r="L363" i="46" s="1"/>
  <c r="F362" i="46"/>
  <c r="D363" i="53" l="1"/>
  <c r="F363" i="53"/>
  <c r="K363" i="46"/>
  <c r="H361" i="46"/>
  <c r="E363" i="44"/>
  <c r="D363" i="44" s="1"/>
  <c r="F363" i="44" s="1"/>
  <c r="G363" i="44"/>
  <c r="H363" i="44"/>
  <c r="M364" i="44" s="1"/>
  <c r="L364" i="53" l="1"/>
  <c r="H364" i="53" s="1"/>
  <c r="I362" i="53"/>
  <c r="M363" i="53" s="1"/>
  <c r="C363" i="53" s="1"/>
  <c r="E363" i="53" s="1"/>
  <c r="G363" i="53" s="1"/>
  <c r="L364" i="44"/>
  <c r="I362" i="44"/>
  <c r="D363" i="46"/>
  <c r="C363" i="46" s="1"/>
  <c r="E363" i="46" s="1"/>
  <c r="G363" i="46"/>
  <c r="L364" i="46" s="1"/>
  <c r="F363" i="46"/>
  <c r="D364" i="53" l="1"/>
  <c r="F364" i="53"/>
  <c r="K364" i="46"/>
  <c r="H362" i="46"/>
  <c r="E364" i="44"/>
  <c r="D364" i="44" s="1"/>
  <c r="F364" i="44" s="1"/>
  <c r="G364" i="44"/>
  <c r="H364" i="44"/>
  <c r="M365" i="44" s="1"/>
  <c r="L365" i="53" l="1"/>
  <c r="H365" i="53" s="1"/>
  <c r="I363" i="53"/>
  <c r="M364" i="53" s="1"/>
  <c r="C364" i="53" s="1"/>
  <c r="E364" i="53" s="1"/>
  <c r="G364" i="53" s="1"/>
  <c r="L365" i="44"/>
  <c r="I363" i="44"/>
  <c r="F364" i="46"/>
  <c r="G364" i="46"/>
  <c r="L365" i="46" s="1"/>
  <c r="D364" i="46"/>
  <c r="C364" i="46" s="1"/>
  <c r="E364" i="46" s="1"/>
  <c r="D365" i="53" l="1"/>
  <c r="F365" i="53"/>
  <c r="H365" i="44"/>
  <c r="M366" i="44" s="1"/>
  <c r="G365" i="44"/>
  <c r="E365" i="44"/>
  <c r="D365" i="44" s="1"/>
  <c r="F365" i="44" s="1"/>
  <c r="K365" i="46"/>
  <c r="H363" i="46"/>
  <c r="L366" i="53" l="1"/>
  <c r="H366" i="53" s="1"/>
  <c r="I364" i="53"/>
  <c r="M365" i="53" s="1"/>
  <c r="C365" i="53" s="1"/>
  <c r="E365" i="53" s="1"/>
  <c r="G365" i="53" s="1"/>
  <c r="L366" i="44"/>
  <c r="I364" i="44"/>
  <c r="G365" i="46"/>
  <c r="L366" i="46" s="1"/>
  <c r="F365" i="46"/>
  <c r="D365" i="46"/>
  <c r="C365" i="46" s="1"/>
  <c r="E365" i="46" s="1"/>
  <c r="D366" i="53" l="1"/>
  <c r="F366" i="53"/>
  <c r="K366" i="46"/>
  <c r="H364" i="46"/>
  <c r="H366" i="44"/>
  <c r="M367" i="44" s="1"/>
  <c r="E366" i="44"/>
  <c r="D366" i="44" s="1"/>
  <c r="F366" i="44" s="1"/>
  <c r="G366" i="44"/>
  <c r="L367" i="53" l="1"/>
  <c r="H367" i="53" s="1"/>
  <c r="I365" i="53"/>
  <c r="M366" i="53" s="1"/>
  <c r="C366" i="53" s="1"/>
  <c r="E366" i="53" s="1"/>
  <c r="G366" i="53" s="1"/>
  <c r="L367" i="44"/>
  <c r="I365" i="44"/>
  <c r="G366" i="46"/>
  <c r="L367" i="46" s="1"/>
  <c r="F366" i="46"/>
  <c r="D366" i="46"/>
  <c r="C366" i="46" s="1"/>
  <c r="E366" i="46" s="1"/>
  <c r="D367" i="53" l="1"/>
  <c r="F367" i="53"/>
  <c r="K367" i="46"/>
  <c r="H365" i="46"/>
  <c r="E367" i="44"/>
  <c r="D367" i="44" s="1"/>
  <c r="F367" i="44" s="1"/>
  <c r="H367" i="44"/>
  <c r="M368" i="44" s="1"/>
  <c r="G367" i="44"/>
  <c r="L368" i="53" l="1"/>
  <c r="H368" i="53" s="1"/>
  <c r="I366" i="53"/>
  <c r="M367" i="53" s="1"/>
  <c r="C367" i="53" s="1"/>
  <c r="E367" i="53" s="1"/>
  <c r="G367" i="53" s="1"/>
  <c r="L368" i="44"/>
  <c r="I366" i="44"/>
  <c r="D367" i="46"/>
  <c r="C367" i="46" s="1"/>
  <c r="E367" i="46" s="1"/>
  <c r="G367" i="46"/>
  <c r="L368" i="46" s="1"/>
  <c r="F367" i="46"/>
  <c r="D368" i="53" l="1"/>
  <c r="F368" i="53"/>
  <c r="K368" i="46"/>
  <c r="H366" i="46"/>
  <c r="G368" i="44"/>
  <c r="E368" i="44"/>
  <c r="D368" i="44" s="1"/>
  <c r="F368" i="44" s="1"/>
  <c r="H368" i="44"/>
  <c r="M369" i="44" s="1"/>
  <c r="L369" i="53" l="1"/>
  <c r="H369" i="53" s="1"/>
  <c r="I367" i="53"/>
  <c r="M368" i="53" s="1"/>
  <c r="C368" i="53" s="1"/>
  <c r="E368" i="53" s="1"/>
  <c r="G368" i="53" s="1"/>
  <c r="D368" i="46"/>
  <c r="C368" i="46" s="1"/>
  <c r="E368" i="46" s="1"/>
  <c r="G368" i="46"/>
  <c r="L369" i="46" s="1"/>
  <c r="F368" i="46"/>
  <c r="L369" i="44"/>
  <c r="I367" i="44"/>
  <c r="D369" i="53" l="1"/>
  <c r="F369" i="53"/>
  <c r="K369" i="46"/>
  <c r="H367" i="46"/>
  <c r="G369" i="44"/>
  <c r="E369" i="44"/>
  <c r="D369" i="44" s="1"/>
  <c r="F369" i="44" s="1"/>
  <c r="H369" i="44"/>
  <c r="M370" i="44" s="1"/>
  <c r="L370" i="53" l="1"/>
  <c r="H370" i="53" s="1"/>
  <c r="I368" i="53"/>
  <c r="M369" i="53" s="1"/>
  <c r="C369" i="53" s="1"/>
  <c r="E369" i="53" s="1"/>
  <c r="G369" i="53" s="1"/>
  <c r="L370" i="44"/>
  <c r="I368" i="44"/>
  <c r="F369" i="46"/>
  <c r="D369" i="46"/>
  <c r="C369" i="46" s="1"/>
  <c r="E369" i="46" s="1"/>
  <c r="G369" i="46"/>
  <c r="L370" i="46" s="1"/>
  <c r="F370" i="53" l="1"/>
  <c r="D370" i="53"/>
  <c r="K370" i="46"/>
  <c r="H368" i="46"/>
  <c r="G370" i="44"/>
  <c r="E370" i="44"/>
  <c r="D370" i="44" s="1"/>
  <c r="F370" i="44" s="1"/>
  <c r="H370" i="44"/>
  <c r="M371" i="44" s="1"/>
  <c r="L371" i="53" l="1"/>
  <c r="H371" i="53" s="1"/>
  <c r="I369" i="53"/>
  <c r="M370" i="53" s="1"/>
  <c r="C370" i="53" s="1"/>
  <c r="E370" i="53" s="1"/>
  <c r="G370" i="53" s="1"/>
  <c r="L371" i="44"/>
  <c r="I369" i="44"/>
  <c r="G370" i="46"/>
  <c r="L371" i="46" s="1"/>
  <c r="F370" i="46"/>
  <c r="D370" i="46"/>
  <c r="C370" i="46" s="1"/>
  <c r="E370" i="46" s="1"/>
  <c r="F371" i="53" l="1"/>
  <c r="D371" i="53"/>
  <c r="K371" i="46"/>
  <c r="H369" i="46"/>
  <c r="G371" i="44"/>
  <c r="E371" i="44"/>
  <c r="D371" i="44" s="1"/>
  <c r="F371" i="44" s="1"/>
  <c r="H371" i="44"/>
  <c r="M372" i="44" s="1"/>
  <c r="L372" i="53" l="1"/>
  <c r="H372" i="53" s="1"/>
  <c r="I370" i="53"/>
  <c r="M371" i="53" s="1"/>
  <c r="C371" i="53" s="1"/>
  <c r="E371" i="53" s="1"/>
  <c r="G371" i="53" s="1"/>
  <c r="D371" i="46"/>
  <c r="C371" i="46" s="1"/>
  <c r="E371" i="46" s="1"/>
  <c r="G371" i="46"/>
  <c r="L372" i="46" s="1"/>
  <c r="F371" i="46"/>
  <c r="L372" i="44"/>
  <c r="I370" i="44"/>
  <c r="D372" i="53" l="1"/>
  <c r="F372" i="53"/>
  <c r="K372" i="46"/>
  <c r="H370" i="46"/>
  <c r="G372" i="44"/>
  <c r="E372" i="44"/>
  <c r="D372" i="44" s="1"/>
  <c r="F372" i="44" s="1"/>
  <c r="H372" i="44"/>
  <c r="M373" i="44" s="1"/>
  <c r="L373" i="53" l="1"/>
  <c r="H373" i="53" s="1"/>
  <c r="I371" i="53"/>
  <c r="M372" i="53" s="1"/>
  <c r="C372" i="53" s="1"/>
  <c r="E372" i="53" s="1"/>
  <c r="G372" i="53" s="1"/>
  <c r="L373" i="44"/>
  <c r="I371" i="44"/>
  <c r="D372" i="46"/>
  <c r="C372" i="46" s="1"/>
  <c r="E372" i="46" s="1"/>
  <c r="G372" i="46"/>
  <c r="L373" i="46" s="1"/>
  <c r="F372" i="46"/>
  <c r="D373" i="53" l="1"/>
  <c r="F373" i="53"/>
  <c r="K373" i="46"/>
  <c r="H371" i="46"/>
  <c r="G373" i="44"/>
  <c r="E373" i="44"/>
  <c r="D373" i="44" s="1"/>
  <c r="F373" i="44" s="1"/>
  <c r="H373" i="44"/>
  <c r="M374" i="44" s="1"/>
  <c r="L374" i="53" l="1"/>
  <c r="H374" i="53" s="1"/>
  <c r="I372" i="53"/>
  <c r="M373" i="53" s="1"/>
  <c r="C373" i="53" s="1"/>
  <c r="E373" i="53" s="1"/>
  <c r="G373" i="53" s="1"/>
  <c r="L374" i="44"/>
  <c r="I372" i="44"/>
  <c r="F373" i="46"/>
  <c r="D373" i="46"/>
  <c r="C373" i="46" s="1"/>
  <c r="E373" i="46" s="1"/>
  <c r="G373" i="46"/>
  <c r="L374" i="46" s="1"/>
  <c r="D374" i="53" l="1"/>
  <c r="F374" i="53"/>
  <c r="K374" i="46"/>
  <c r="H372" i="46"/>
  <c r="E374" i="44"/>
  <c r="D374" i="44" s="1"/>
  <c r="F374" i="44" s="1"/>
  <c r="H374" i="44"/>
  <c r="M375" i="44" s="1"/>
  <c r="G374" i="44"/>
  <c r="L375" i="53" l="1"/>
  <c r="H375" i="53" s="1"/>
  <c r="I373" i="53"/>
  <c r="M374" i="53" s="1"/>
  <c r="C374" i="53" s="1"/>
  <c r="E374" i="53" s="1"/>
  <c r="G374" i="53" s="1"/>
  <c r="L375" i="44"/>
  <c r="I373" i="44"/>
  <c r="G374" i="46"/>
  <c r="L375" i="46" s="1"/>
  <c r="F374" i="46"/>
  <c r="D374" i="46"/>
  <c r="C374" i="46" s="1"/>
  <c r="E374" i="46" s="1"/>
  <c r="D375" i="53" l="1"/>
  <c r="F375" i="53"/>
  <c r="K375" i="46"/>
  <c r="H373" i="46"/>
  <c r="E375" i="44"/>
  <c r="D375" i="44" s="1"/>
  <c r="F375" i="44" s="1"/>
  <c r="H375" i="44"/>
  <c r="M376" i="44" s="1"/>
  <c r="G375" i="44"/>
  <c r="L376" i="44" s="1"/>
  <c r="L376" i="53" l="1"/>
  <c r="H376" i="53" s="1"/>
  <c r="I374" i="53"/>
  <c r="M375" i="53" s="1"/>
  <c r="C375" i="53" s="1"/>
  <c r="E375" i="53" s="1"/>
  <c r="G375" i="53" s="1"/>
  <c r="I374" i="44"/>
  <c r="D375" i="46"/>
  <c r="C375" i="46" s="1"/>
  <c r="E375" i="46" s="1"/>
  <c r="G375" i="46"/>
  <c r="L376" i="46" s="1"/>
  <c r="F375" i="46"/>
  <c r="F376" i="53" l="1"/>
  <c r="D376" i="53"/>
  <c r="K376" i="46"/>
  <c r="H374" i="46"/>
  <c r="G376" i="44"/>
  <c r="H376" i="44"/>
  <c r="M377" i="44" s="1"/>
  <c r="E376" i="44"/>
  <c r="D376" i="44" s="1"/>
  <c r="F376" i="44" s="1"/>
  <c r="L377" i="53" l="1"/>
  <c r="H377" i="53" s="1"/>
  <c r="I375" i="53"/>
  <c r="M376" i="53" s="1"/>
  <c r="C376" i="53" s="1"/>
  <c r="E376" i="53" s="1"/>
  <c r="G376" i="53" s="1"/>
  <c r="D376" i="46"/>
  <c r="C376" i="46" s="1"/>
  <c r="E376" i="46" s="1"/>
  <c r="G376" i="46"/>
  <c r="L377" i="46" s="1"/>
  <c r="F376" i="46"/>
  <c r="L377" i="44"/>
  <c r="I375" i="44"/>
  <c r="F377" i="53" l="1"/>
  <c r="D377" i="53"/>
  <c r="K377" i="46"/>
  <c r="H375" i="46"/>
  <c r="G377" i="44"/>
  <c r="E377" i="44"/>
  <c r="D377" i="44" s="1"/>
  <c r="F377" i="44" s="1"/>
  <c r="H377" i="44"/>
  <c r="M378" i="44" s="1"/>
  <c r="L378" i="53" l="1"/>
  <c r="H378" i="53" s="1"/>
  <c r="I376" i="53"/>
  <c r="M377" i="53" s="1"/>
  <c r="C377" i="53" s="1"/>
  <c r="E377" i="53" s="1"/>
  <c r="G377" i="53" s="1"/>
  <c r="L378" i="44"/>
  <c r="I376" i="44"/>
  <c r="F377" i="46"/>
  <c r="D377" i="46"/>
  <c r="C377" i="46" s="1"/>
  <c r="E377" i="46" s="1"/>
  <c r="G377" i="46"/>
  <c r="L378" i="46" s="1"/>
  <c r="F378" i="53" l="1"/>
  <c r="D378" i="53"/>
  <c r="K378" i="46"/>
  <c r="H376" i="46"/>
  <c r="E378" i="44"/>
  <c r="D378" i="44" s="1"/>
  <c r="F378" i="44" s="1"/>
  <c r="H378" i="44"/>
  <c r="M379" i="44" s="1"/>
  <c r="G378" i="44"/>
  <c r="L379" i="44" s="1"/>
  <c r="I377" i="53" l="1"/>
  <c r="M378" i="53" s="1"/>
  <c r="I377" i="44"/>
  <c r="AK20" i="44"/>
  <c r="AK21" i="44"/>
  <c r="G378" i="46"/>
  <c r="L379" i="46" s="1"/>
  <c r="F378" i="46"/>
  <c r="K379" i="46" s="1"/>
  <c r="D378" i="46"/>
  <c r="C378" i="46" s="1"/>
  <c r="E378" i="46" s="1"/>
  <c r="F379" i="46" l="1"/>
  <c r="D379" i="46"/>
  <c r="C379" i="46" s="1"/>
  <c r="E379" i="46" s="1"/>
  <c r="G379" i="46"/>
  <c r="L380" i="46" s="1"/>
  <c r="C378" i="53"/>
  <c r="E378" i="53" s="1"/>
  <c r="G378" i="53" s="1"/>
  <c r="M379" i="53"/>
  <c r="H377" i="46"/>
  <c r="AN20" i="44"/>
  <c r="AN21" i="44"/>
  <c r="G379" i="44"/>
  <c r="L380" i="44" s="1"/>
  <c r="E379" i="44"/>
  <c r="D379" i="44" s="1"/>
  <c r="F379" i="44" s="1"/>
  <c r="H379" i="44"/>
  <c r="M380" i="44" s="1"/>
  <c r="K380" i="46" l="1"/>
  <c r="C379" i="53"/>
  <c r="E379" i="53" s="1"/>
  <c r="G379" i="53" s="1"/>
  <c r="M380" i="53"/>
  <c r="E380" i="44"/>
  <c r="D380" i="44" s="1"/>
  <c r="F380" i="44" s="1"/>
  <c r="H380" i="44"/>
  <c r="M381" i="44" s="1"/>
  <c r="G380" i="44"/>
  <c r="I379" i="44" s="1"/>
  <c r="I378" i="53"/>
  <c r="I378" i="44"/>
  <c r="G380" i="46" l="1"/>
  <c r="L381" i="46" s="1"/>
  <c r="D380" i="46"/>
  <c r="C380" i="46" s="1"/>
  <c r="E380" i="46" s="1"/>
  <c r="F380" i="46"/>
  <c r="C380" i="53"/>
  <c r="E380" i="53" s="1"/>
  <c r="G380" i="53" s="1"/>
  <c r="M381" i="53"/>
  <c r="L381" i="44"/>
  <c r="AI46" i="53"/>
  <c r="AI47" i="53"/>
  <c r="AI48" i="53"/>
  <c r="AI49" i="53"/>
  <c r="AQ48" i="46"/>
  <c r="H378" i="46"/>
  <c r="K381" i="46" l="1"/>
  <c r="H379" i="46"/>
  <c r="C381" i="53"/>
  <c r="E381" i="53"/>
  <c r="G381" i="53" s="1"/>
  <c r="M382" i="53"/>
  <c r="H381" i="44"/>
  <c r="M382" i="44" s="1"/>
  <c r="E381" i="44"/>
  <c r="D381" i="44" s="1"/>
  <c r="F381" i="44" s="1"/>
  <c r="G381" i="44"/>
  <c r="AQ49" i="46"/>
  <c r="F381" i="46" l="1"/>
  <c r="G381" i="46"/>
  <c r="L382" i="46" s="1"/>
  <c r="D381" i="46"/>
  <c r="C381" i="46" s="1"/>
  <c r="E381" i="46" s="1"/>
  <c r="C382" i="53"/>
  <c r="E382" i="53"/>
  <c r="G382" i="53" s="1"/>
  <c r="M383" i="53"/>
  <c r="AR48" i="53"/>
  <c r="AR49" i="53" s="1"/>
  <c r="N379" i="53"/>
  <c r="V379" i="53" s="1"/>
  <c r="S379" i="53"/>
  <c r="N380" i="53"/>
  <c r="V380" i="53" s="1"/>
  <c r="S380" i="53"/>
  <c r="N381" i="53"/>
  <c r="V381" i="53" s="1"/>
  <c r="S381" i="53"/>
  <c r="N382" i="53"/>
  <c r="V382" i="53" s="1"/>
  <c r="S382" i="53"/>
  <c r="N383" i="53"/>
  <c r="V383" i="53" s="1"/>
  <c r="S383" i="53"/>
  <c r="N384" i="53"/>
  <c r="V384" i="53" s="1"/>
  <c r="S384" i="53"/>
  <c r="N385" i="53"/>
  <c r="V385" i="53" s="1"/>
  <c r="S385" i="53"/>
  <c r="N386" i="53"/>
  <c r="V386" i="53" s="1"/>
  <c r="S386" i="53"/>
  <c r="N387" i="53"/>
  <c r="V387" i="53" s="1"/>
  <c r="S387" i="53"/>
  <c r="N388" i="53"/>
  <c r="V388" i="53" s="1"/>
  <c r="S388" i="53"/>
  <c r="N389" i="53"/>
  <c r="V389" i="53" s="1"/>
  <c r="S389" i="53"/>
  <c r="N390" i="53"/>
  <c r="V390" i="53" s="1"/>
  <c r="S390" i="53"/>
  <c r="N391" i="53"/>
  <c r="V391" i="53" s="1"/>
  <c r="S391" i="53"/>
  <c r="N392" i="53"/>
  <c r="V392" i="53" s="1"/>
  <c r="S392" i="53"/>
  <c r="N393" i="53"/>
  <c r="V393" i="53" s="1"/>
  <c r="S393" i="53"/>
  <c r="N394" i="53"/>
  <c r="V394" i="53" s="1"/>
  <c r="S394" i="53"/>
  <c r="N395" i="53"/>
  <c r="V395" i="53" s="1"/>
  <c r="S395" i="53"/>
  <c r="N396" i="53"/>
  <c r="V396" i="53" s="1"/>
  <c r="S396" i="53"/>
  <c r="N397" i="53"/>
  <c r="V397" i="53" s="1"/>
  <c r="S397" i="53"/>
  <c r="N398" i="53"/>
  <c r="V398" i="53" s="1"/>
  <c r="S398" i="53"/>
  <c r="N399" i="53"/>
  <c r="V399" i="53" s="1"/>
  <c r="S399" i="53"/>
  <c r="N400" i="53"/>
  <c r="V400" i="53" s="1"/>
  <c r="S400" i="53"/>
  <c r="N401" i="53"/>
  <c r="V401" i="53" s="1"/>
  <c r="O379" i="53"/>
  <c r="AA379" i="53" s="1"/>
  <c r="T379" i="53"/>
  <c r="T380" i="53"/>
  <c r="T381" i="53"/>
  <c r="O382" i="53"/>
  <c r="T382" i="53"/>
  <c r="O385" i="53"/>
  <c r="T385" i="53"/>
  <c r="O386" i="53"/>
  <c r="T386" i="53"/>
  <c r="O387" i="53"/>
  <c r="T387" i="53"/>
  <c r="O388" i="53"/>
  <c r="T388" i="53"/>
  <c r="O389" i="53"/>
  <c r="T389" i="53"/>
  <c r="O390" i="53"/>
  <c r="T390" i="53"/>
  <c r="O391" i="53"/>
  <c r="T391" i="53"/>
  <c r="O392" i="53"/>
  <c r="T392" i="53"/>
  <c r="O393" i="53"/>
  <c r="T393" i="53"/>
  <c r="O394" i="53"/>
  <c r="T394" i="53"/>
  <c r="O395" i="53"/>
  <c r="T395" i="53"/>
  <c r="O396" i="53"/>
  <c r="T397" i="53"/>
  <c r="Q399" i="53"/>
  <c r="O400" i="53"/>
  <c r="S401" i="53"/>
  <c r="N402" i="53"/>
  <c r="V402" i="53" s="1"/>
  <c r="S402" i="53"/>
  <c r="N403" i="53"/>
  <c r="V403" i="53" s="1"/>
  <c r="S403" i="53"/>
  <c r="N404" i="53"/>
  <c r="V404" i="53" s="1"/>
  <c r="S404" i="53"/>
  <c r="N405" i="53"/>
  <c r="V405" i="53" s="1"/>
  <c r="S405" i="53"/>
  <c r="N406" i="53"/>
  <c r="V406" i="53" s="1"/>
  <c r="S406" i="53"/>
  <c r="N407" i="53"/>
  <c r="V407" i="53" s="1"/>
  <c r="S407" i="53"/>
  <c r="N408" i="53"/>
  <c r="V408" i="53" s="1"/>
  <c r="S408" i="53"/>
  <c r="N409" i="53"/>
  <c r="V409" i="53" s="1"/>
  <c r="S409" i="53"/>
  <c r="N410" i="53"/>
  <c r="V410" i="53" s="1"/>
  <c r="S410" i="53"/>
  <c r="N411" i="53"/>
  <c r="V411" i="53" s="1"/>
  <c r="S411" i="53"/>
  <c r="N412" i="53"/>
  <c r="V412" i="53" s="1"/>
  <c r="S412" i="53"/>
  <c r="N413" i="53"/>
  <c r="V413" i="53" s="1"/>
  <c r="S413" i="53"/>
  <c r="N414" i="53"/>
  <c r="V414" i="53" s="1"/>
  <c r="S414" i="53"/>
  <c r="N415" i="53"/>
  <c r="V415" i="53" s="1"/>
  <c r="S415" i="53"/>
  <c r="N416" i="53"/>
  <c r="V416" i="53" s="1"/>
  <c r="S416" i="53"/>
  <c r="N417" i="53"/>
  <c r="V417" i="53" s="1"/>
  <c r="S417" i="53"/>
  <c r="N418" i="53"/>
  <c r="V418" i="53" s="1"/>
  <c r="S418" i="53"/>
  <c r="N419" i="53"/>
  <c r="V419" i="53" s="1"/>
  <c r="S419" i="53"/>
  <c r="N420" i="53"/>
  <c r="V420" i="53" s="1"/>
  <c r="S420" i="53"/>
  <c r="N421" i="53"/>
  <c r="V421" i="53" s="1"/>
  <c r="S421" i="53"/>
  <c r="N422" i="53"/>
  <c r="V422" i="53" s="1"/>
  <c r="S422" i="53"/>
  <c r="N423" i="53"/>
  <c r="V423" i="53" s="1"/>
  <c r="S423" i="53"/>
  <c r="N424" i="53"/>
  <c r="V424" i="53" s="1"/>
  <c r="S424" i="53"/>
  <c r="N425" i="53"/>
  <c r="V425" i="53" s="1"/>
  <c r="S425" i="53"/>
  <c r="N426" i="53"/>
  <c r="V426" i="53" s="1"/>
  <c r="S426" i="53"/>
  <c r="N427" i="53"/>
  <c r="V427" i="53" s="1"/>
  <c r="S427" i="53"/>
  <c r="N428" i="53"/>
  <c r="V428" i="53" s="1"/>
  <c r="S428" i="53"/>
  <c r="N429" i="53"/>
  <c r="V429" i="53" s="1"/>
  <c r="S429" i="53"/>
  <c r="N430" i="53"/>
  <c r="V430" i="53" s="1"/>
  <c r="S430" i="53"/>
  <c r="N431" i="53"/>
  <c r="V431" i="53" s="1"/>
  <c r="S431" i="53"/>
  <c r="N432" i="53"/>
  <c r="V432" i="53" s="1"/>
  <c r="S432" i="53"/>
  <c r="N433" i="53"/>
  <c r="V433" i="53" s="1"/>
  <c r="S433" i="53"/>
  <c r="Q379" i="53"/>
  <c r="Q383" i="53"/>
  <c r="Q387" i="53"/>
  <c r="Q391" i="53"/>
  <c r="Q395" i="53"/>
  <c r="T398" i="53"/>
  <c r="O399" i="53"/>
  <c r="T400" i="53"/>
  <c r="Q402" i="53"/>
  <c r="O403" i="53"/>
  <c r="T404" i="53"/>
  <c r="Q406" i="53"/>
  <c r="O407" i="53"/>
  <c r="T408" i="53"/>
  <c r="Q410" i="53"/>
  <c r="O411" i="53"/>
  <c r="T412" i="53"/>
  <c r="Q382" i="53"/>
  <c r="Q386" i="53"/>
  <c r="Q388" i="53"/>
  <c r="Q392" i="53"/>
  <c r="Q396" i="53"/>
  <c r="O397" i="53"/>
  <c r="T401" i="53"/>
  <c r="Q403" i="53"/>
  <c r="O404" i="53"/>
  <c r="T405" i="53"/>
  <c r="Q407" i="53"/>
  <c r="O408" i="53"/>
  <c r="T409" i="53"/>
  <c r="Q411" i="53"/>
  <c r="O412" i="53"/>
  <c r="T413" i="53"/>
  <c r="Q393" i="53"/>
  <c r="T396" i="53"/>
  <c r="O398" i="53"/>
  <c r="Q400" i="53"/>
  <c r="O402" i="53"/>
  <c r="T403" i="53"/>
  <c r="Q404" i="53"/>
  <c r="O405" i="53"/>
  <c r="O410" i="53"/>
  <c r="T411" i="53"/>
  <c r="Q412" i="53"/>
  <c r="O413" i="53"/>
  <c r="T414" i="53"/>
  <c r="Q416" i="53"/>
  <c r="O417" i="53"/>
  <c r="T418" i="53"/>
  <c r="Q420" i="53"/>
  <c r="O421" i="53"/>
  <c r="T422" i="53"/>
  <c r="Q424" i="53"/>
  <c r="O425" i="53"/>
  <c r="T426" i="53"/>
  <c r="Q428" i="53"/>
  <c r="O429" i="53"/>
  <c r="T430" i="53"/>
  <c r="Q432" i="53"/>
  <c r="O433" i="53"/>
  <c r="T407" i="53"/>
  <c r="Q408" i="53"/>
  <c r="T416" i="53"/>
  <c r="Q380" i="53"/>
  <c r="Q384" i="53"/>
  <c r="Q390" i="53"/>
  <c r="Q398" i="53"/>
  <c r="T399" i="53"/>
  <c r="T402" i="53"/>
  <c r="Q405" i="53"/>
  <c r="T410" i="53"/>
  <c r="Q413" i="53"/>
  <c r="T415" i="53"/>
  <c r="Q417" i="53"/>
  <c r="O418" i="53"/>
  <c r="T419" i="53"/>
  <c r="Q421" i="53"/>
  <c r="O422" i="53"/>
  <c r="T423" i="53"/>
  <c r="Q425" i="53"/>
  <c r="O426" i="53"/>
  <c r="T427" i="53"/>
  <c r="Q429" i="53"/>
  <c r="O430" i="53"/>
  <c r="T431" i="53"/>
  <c r="Q433" i="53"/>
  <c r="N434" i="53"/>
  <c r="V434" i="53" s="1"/>
  <c r="S434" i="53"/>
  <c r="N435" i="53"/>
  <c r="V435" i="53" s="1"/>
  <c r="S435" i="53"/>
  <c r="N436" i="53"/>
  <c r="V436" i="53" s="1"/>
  <c r="S436" i="53"/>
  <c r="N437" i="53"/>
  <c r="V437" i="53" s="1"/>
  <c r="S437" i="53"/>
  <c r="N438" i="53"/>
  <c r="V438" i="53" s="1"/>
  <c r="S438" i="53"/>
  <c r="N439" i="53"/>
  <c r="V439" i="53" s="1"/>
  <c r="S439" i="53"/>
  <c r="N440" i="53"/>
  <c r="V440" i="53" s="1"/>
  <c r="S440" i="53"/>
  <c r="Q389" i="53"/>
  <c r="Q397" i="53"/>
  <c r="O401" i="53"/>
  <c r="O406" i="53"/>
  <c r="O409" i="53"/>
  <c r="O414" i="53"/>
  <c r="O415" i="53"/>
  <c r="Q409" i="53"/>
  <c r="Q414" i="53"/>
  <c r="T420" i="53"/>
  <c r="Q423" i="53"/>
  <c r="T428" i="53"/>
  <c r="Q431" i="53"/>
  <c r="O416" i="53"/>
  <c r="Q419" i="53"/>
  <c r="T424" i="53"/>
  <c r="Q427" i="53"/>
  <c r="T432" i="53"/>
  <c r="Q434" i="53"/>
  <c r="Q436" i="53"/>
  <c r="Q437" i="53"/>
  <c r="Q438" i="53"/>
  <c r="Q439" i="53"/>
  <c r="O420" i="53"/>
  <c r="T421" i="53"/>
  <c r="Q422" i="53"/>
  <c r="T429" i="53"/>
  <c r="Q430" i="53"/>
  <c r="O431" i="53"/>
  <c r="T434" i="53"/>
  <c r="T436" i="53"/>
  <c r="T438" i="53"/>
  <c r="T439" i="53"/>
  <c r="Q401" i="53"/>
  <c r="T406" i="53"/>
  <c r="Q415" i="53"/>
  <c r="T417" i="53"/>
  <c r="Q418" i="53"/>
  <c r="O419" i="53"/>
  <c r="O424" i="53"/>
  <c r="T425" i="53"/>
  <c r="Q426" i="53"/>
  <c r="O427" i="53"/>
  <c r="O432" i="53"/>
  <c r="T433" i="53"/>
  <c r="O434" i="53"/>
  <c r="O435" i="53"/>
  <c r="O436" i="53"/>
  <c r="O437" i="53"/>
  <c r="O438" i="53"/>
  <c r="O439" i="53"/>
  <c r="O440" i="53"/>
  <c r="Q381" i="53"/>
  <c r="Q394" i="53"/>
  <c r="Q435" i="53"/>
  <c r="Q440" i="53"/>
  <c r="Q385" i="53"/>
  <c r="O423" i="53"/>
  <c r="O428" i="53"/>
  <c r="T435" i="53"/>
  <c r="T437" i="53"/>
  <c r="T440" i="53"/>
  <c r="O383" i="53"/>
  <c r="U379" i="53"/>
  <c r="R380" i="53" s="1"/>
  <c r="T383" i="53"/>
  <c r="T384" i="53"/>
  <c r="O381" i="53"/>
  <c r="O384" i="53"/>
  <c r="O380" i="53"/>
  <c r="U381" i="53"/>
  <c r="R382" i="53" s="1"/>
  <c r="U380" i="53"/>
  <c r="R381" i="53" s="1"/>
  <c r="U382" i="53"/>
  <c r="R383" i="53" s="1"/>
  <c r="U383" i="53"/>
  <c r="R384" i="53" s="1"/>
  <c r="U384" i="53"/>
  <c r="R385" i="53" s="1"/>
  <c r="U385" i="53"/>
  <c r="R386" i="53" s="1"/>
  <c r="U386" i="53"/>
  <c r="R387" i="53" s="1"/>
  <c r="U387" i="53"/>
  <c r="R388" i="53" s="1"/>
  <c r="U388" i="53"/>
  <c r="R389" i="53" s="1"/>
  <c r="U389" i="53"/>
  <c r="R390" i="53" s="1"/>
  <c r="U390" i="53"/>
  <c r="R391" i="53" s="1"/>
  <c r="U391" i="53"/>
  <c r="R392" i="53" s="1"/>
  <c r="U392" i="53"/>
  <c r="R393" i="53" s="1"/>
  <c r="U393" i="53"/>
  <c r="R394" i="53" s="1"/>
  <c r="U394" i="53"/>
  <c r="R395" i="53" s="1"/>
  <c r="U395" i="53"/>
  <c r="R396" i="53" s="1"/>
  <c r="U396" i="53"/>
  <c r="R397" i="53" s="1"/>
  <c r="U397" i="53"/>
  <c r="R398" i="53" s="1"/>
  <c r="U398" i="53"/>
  <c r="R399" i="53" s="1"/>
  <c r="U399" i="53"/>
  <c r="R400" i="53" s="1"/>
  <c r="U400" i="53"/>
  <c r="R401" i="53" s="1"/>
  <c r="U401" i="53"/>
  <c r="R402" i="53" s="1"/>
  <c r="U402" i="53"/>
  <c r="R403" i="53" s="1"/>
  <c r="U403" i="53"/>
  <c r="R404" i="53" s="1"/>
  <c r="U404" i="53"/>
  <c r="R405" i="53" s="1"/>
  <c r="U405" i="53"/>
  <c r="R406" i="53" s="1"/>
  <c r="U406" i="53"/>
  <c r="R407" i="53" s="1"/>
  <c r="U407" i="53"/>
  <c r="R408" i="53" s="1"/>
  <c r="U408" i="53"/>
  <c r="R409" i="53" s="1"/>
  <c r="U409" i="53"/>
  <c r="R410" i="53" s="1"/>
  <c r="U410" i="53"/>
  <c r="R411" i="53" s="1"/>
  <c r="U411" i="53"/>
  <c r="R412" i="53" s="1"/>
  <c r="U412" i="53"/>
  <c r="R413" i="53" s="1"/>
  <c r="U413" i="53"/>
  <c r="R414" i="53" s="1"/>
  <c r="U414" i="53"/>
  <c r="R415" i="53" s="1"/>
  <c r="U415" i="53"/>
  <c r="R416" i="53" s="1"/>
  <c r="U416" i="53"/>
  <c r="R417" i="53" s="1"/>
  <c r="U417" i="53"/>
  <c r="R418" i="53" s="1"/>
  <c r="U418" i="53"/>
  <c r="R419" i="53" s="1"/>
  <c r="U419" i="53"/>
  <c r="R420" i="53" s="1"/>
  <c r="U420" i="53"/>
  <c r="R421" i="53" s="1"/>
  <c r="U421" i="53"/>
  <c r="R422" i="53" s="1"/>
  <c r="U422" i="53"/>
  <c r="R423" i="53" s="1"/>
  <c r="U423" i="53"/>
  <c r="R424" i="53" s="1"/>
  <c r="U424" i="53"/>
  <c r="R425" i="53" s="1"/>
  <c r="U425" i="53"/>
  <c r="R426" i="53" s="1"/>
  <c r="U426" i="53"/>
  <c r="R427" i="53" s="1"/>
  <c r="U427" i="53"/>
  <c r="R428" i="53" s="1"/>
  <c r="U428" i="53"/>
  <c r="R429" i="53" s="1"/>
  <c r="U429" i="53"/>
  <c r="R430" i="53" s="1"/>
  <c r="U430" i="53"/>
  <c r="R431" i="53" s="1"/>
  <c r="U431" i="53"/>
  <c r="R432" i="53" s="1"/>
  <c r="U432" i="53"/>
  <c r="R433" i="53" s="1"/>
  <c r="U433" i="53"/>
  <c r="R434" i="53" s="1"/>
  <c r="U434" i="53"/>
  <c r="R435" i="53" s="1"/>
  <c r="U435" i="53"/>
  <c r="R436" i="53" s="1"/>
  <c r="U436" i="53"/>
  <c r="R437" i="53" s="1"/>
  <c r="U437" i="53"/>
  <c r="R438" i="53" s="1"/>
  <c r="U438" i="53"/>
  <c r="R439" i="53" s="1"/>
  <c r="U439" i="53"/>
  <c r="R440" i="53" s="1"/>
  <c r="U440" i="53"/>
  <c r="L382" i="44"/>
  <c r="I380" i="44"/>
  <c r="U358" i="53"/>
  <c r="R359" i="53" s="1"/>
  <c r="U362" i="53"/>
  <c r="R363" i="53" s="1"/>
  <c r="U367" i="53"/>
  <c r="R368" i="53" s="1"/>
  <c r="U370" i="53"/>
  <c r="R371" i="53" s="1"/>
  <c r="U371" i="53"/>
  <c r="R372" i="53" s="1"/>
  <c r="U372" i="53"/>
  <c r="R373" i="53" s="1"/>
  <c r="U375" i="53"/>
  <c r="R376" i="53" s="1"/>
  <c r="U364" i="53"/>
  <c r="R365" i="53" s="1"/>
  <c r="U373" i="53"/>
  <c r="R374" i="53" s="1"/>
  <c r="U377" i="53"/>
  <c r="R378" i="53" s="1"/>
  <c r="U356" i="53"/>
  <c r="R357" i="53" s="1"/>
  <c r="U357" i="53"/>
  <c r="R358" i="53" s="1"/>
  <c r="U359" i="53"/>
  <c r="U360" i="53"/>
  <c r="R361" i="53" s="1"/>
  <c r="U361" i="53"/>
  <c r="R362" i="53" s="1"/>
  <c r="U365" i="53"/>
  <c r="R366" i="53" s="1"/>
  <c r="U369" i="53"/>
  <c r="R370" i="53" s="1"/>
  <c r="U376" i="53"/>
  <c r="R377" i="53" s="1"/>
  <c r="U363" i="53"/>
  <c r="R364" i="53" s="1"/>
  <c r="U366" i="53"/>
  <c r="U368" i="53"/>
  <c r="U374" i="53"/>
  <c r="R375" i="53" s="1"/>
  <c r="U378" i="53"/>
  <c r="R379" i="53" s="1"/>
  <c r="O60" i="53"/>
  <c r="O110" i="53"/>
  <c r="O57" i="53"/>
  <c r="O86" i="53"/>
  <c r="O103" i="53"/>
  <c r="O62" i="53"/>
  <c r="O89" i="53"/>
  <c r="O63" i="53"/>
  <c r="BE136" i="24" s="1"/>
  <c r="O91" i="53"/>
  <c r="O101" i="53"/>
  <c r="O105" i="53"/>
  <c r="O111" i="53"/>
  <c r="O114" i="53"/>
  <c r="O126" i="53"/>
  <c r="O138" i="53"/>
  <c r="O152" i="53"/>
  <c r="O158" i="53"/>
  <c r="O164" i="53"/>
  <c r="O179" i="53"/>
  <c r="O186" i="53"/>
  <c r="O116" i="53"/>
  <c r="O119" i="53"/>
  <c r="O128" i="53"/>
  <c r="O131" i="53"/>
  <c r="O154" i="53"/>
  <c r="O169" i="53"/>
  <c r="O195" i="53"/>
  <c r="O117" i="53"/>
  <c r="O139" i="53"/>
  <c r="O200" i="53"/>
  <c r="O205" i="53"/>
  <c r="O207" i="53"/>
  <c r="O135" i="53"/>
  <c r="O141" i="53"/>
  <c r="O144" i="53"/>
  <c r="O149" i="53"/>
  <c r="O170" i="53"/>
  <c r="O187" i="53"/>
  <c r="O194" i="53"/>
  <c r="O199" i="53"/>
  <c r="O219" i="53"/>
  <c r="O222" i="53"/>
  <c r="O258" i="53"/>
  <c r="O308" i="53"/>
  <c r="O310" i="53"/>
  <c r="O313" i="53"/>
  <c r="O315" i="53"/>
  <c r="Q320" i="53"/>
  <c r="N328" i="53"/>
  <c r="V328" i="53" s="1"/>
  <c r="Q331" i="53"/>
  <c r="Q338" i="53"/>
  <c r="O340" i="53"/>
  <c r="AA340" i="53" s="1"/>
  <c r="N343" i="53"/>
  <c r="V343" i="53" s="1"/>
  <c r="Q348" i="53"/>
  <c r="S350" i="53"/>
  <c r="O352" i="53"/>
  <c r="AA352" i="53" s="1"/>
  <c r="N355" i="53"/>
  <c r="V355" i="53" s="1"/>
  <c r="N358" i="53"/>
  <c r="V358" i="53" s="1"/>
  <c r="S361" i="53"/>
  <c r="S364" i="53"/>
  <c r="N366" i="53"/>
  <c r="V366" i="53" s="1"/>
  <c r="S369" i="53"/>
  <c r="O372" i="53"/>
  <c r="AA372" i="53" s="1"/>
  <c r="T375" i="53"/>
  <c r="N378" i="53"/>
  <c r="V378" i="53" s="1"/>
  <c r="O225" i="53"/>
  <c r="O241" i="53"/>
  <c r="O261" i="53"/>
  <c r="O266" i="53"/>
  <c r="O271" i="53"/>
  <c r="O280" i="53"/>
  <c r="O299" i="53"/>
  <c r="O321" i="53"/>
  <c r="AA321" i="53" s="1"/>
  <c r="S323" i="53"/>
  <c r="T326" i="53"/>
  <c r="O329" i="53"/>
  <c r="AA329" i="53" s="1"/>
  <c r="T331" i="53"/>
  <c r="O337" i="53"/>
  <c r="AA337" i="53" s="1"/>
  <c r="O339" i="53"/>
  <c r="AA339" i="53" s="1"/>
  <c r="O345" i="53"/>
  <c r="AA345" i="53" s="1"/>
  <c r="O347" i="53"/>
  <c r="AA347" i="53" s="1"/>
  <c r="Q350" i="53"/>
  <c r="T353" i="53"/>
  <c r="O64" i="53"/>
  <c r="BF136" i="24" s="1"/>
  <c r="O76" i="53"/>
  <c r="O81" i="53"/>
  <c r="O61" i="53"/>
  <c r="BC136" i="24" s="1"/>
  <c r="O77" i="53"/>
  <c r="O82" i="53"/>
  <c r="O107" i="53"/>
  <c r="O112" i="53"/>
  <c r="O66" i="53"/>
  <c r="O74" i="53"/>
  <c r="O99" i="53"/>
  <c r="O67" i="53"/>
  <c r="O72" i="53"/>
  <c r="O80" i="53"/>
  <c r="O83" i="53"/>
  <c r="O93" i="53"/>
  <c r="O140" i="53"/>
  <c r="O155" i="53"/>
  <c r="O167" i="53"/>
  <c r="O190" i="53"/>
  <c r="O137" i="53"/>
  <c r="O142" i="53"/>
  <c r="O160" i="53"/>
  <c r="O162" i="53"/>
  <c r="O193" i="53"/>
  <c r="O130" i="53"/>
  <c r="O150" i="53"/>
  <c r="O188" i="53"/>
  <c r="O208" i="53"/>
  <c r="O113" i="53"/>
  <c r="O122" i="53"/>
  <c r="O147" i="53"/>
  <c r="O177" i="53"/>
  <c r="O206" i="53"/>
  <c r="O238" i="53"/>
  <c r="O263" i="53"/>
  <c r="O267" i="53"/>
  <c r="O272" i="53"/>
  <c r="O275" i="53"/>
  <c r="O316" i="53"/>
  <c r="S326" i="53"/>
  <c r="Q328" i="53"/>
  <c r="Q332" i="53"/>
  <c r="O336" i="53"/>
  <c r="AA336" i="53" s="1"/>
  <c r="O338" i="53"/>
  <c r="AA338" i="53" s="1"/>
  <c r="N341" i="53"/>
  <c r="V341" i="53" s="1"/>
  <c r="Q344" i="53"/>
  <c r="O346" i="53"/>
  <c r="AA346" i="53" s="1"/>
  <c r="N348" i="53"/>
  <c r="V348" i="53" s="1"/>
  <c r="Q351" i="53"/>
  <c r="N353" i="53"/>
  <c r="V353" i="53" s="1"/>
  <c r="S356" i="53"/>
  <c r="T359" i="53"/>
  <c r="O362" i="53"/>
  <c r="AA362" i="53" s="1"/>
  <c r="Q364" i="53"/>
  <c r="S367" i="53"/>
  <c r="S370" i="53"/>
  <c r="Q374" i="53"/>
  <c r="Q376" i="53"/>
  <c r="O211" i="53"/>
  <c r="O226" i="53"/>
  <c r="O244" i="53"/>
  <c r="O257" i="53"/>
  <c r="O262" i="53"/>
  <c r="O288" i="53"/>
  <c r="O291" i="53"/>
  <c r="O309" i="53"/>
  <c r="O317" i="53"/>
  <c r="T322" i="53"/>
  <c r="N324" i="53"/>
  <c r="V324" i="53" s="1"/>
  <c r="N326" i="53"/>
  <c r="V326" i="53" s="1"/>
  <c r="N330" i="53"/>
  <c r="V330" i="53" s="1"/>
  <c r="N332" i="53"/>
  <c r="V332" i="53" s="1"/>
  <c r="Q334" i="53"/>
  <c r="T340" i="53"/>
  <c r="S343" i="53"/>
  <c r="N345" i="53"/>
  <c r="V345" i="53" s="1"/>
  <c r="O69" i="53"/>
  <c r="O75" i="53"/>
  <c r="O84" i="53"/>
  <c r="O65" i="53"/>
  <c r="O79" i="53"/>
  <c r="O85" i="53"/>
  <c r="O106" i="53"/>
  <c r="O108" i="53"/>
  <c r="O78" i="53"/>
  <c r="O95" i="53"/>
  <c r="O100" i="53"/>
  <c r="O104" i="53"/>
  <c r="S14" i="53"/>
  <c r="T14" i="53" s="1"/>
  <c r="O102" i="53"/>
  <c r="O109" i="53"/>
  <c r="O118" i="53"/>
  <c r="O120" i="53"/>
  <c r="O132" i="53"/>
  <c r="O168" i="53"/>
  <c r="O181" i="53"/>
  <c r="O192" i="53"/>
  <c r="O203" i="53"/>
  <c r="O133" i="53"/>
  <c r="O151" i="53"/>
  <c r="O173" i="53"/>
  <c r="O175" i="53"/>
  <c r="O197" i="53"/>
  <c r="O157" i="53"/>
  <c r="O165" i="53"/>
  <c r="O171" i="53"/>
  <c r="O198" i="53"/>
  <c r="O204" i="53"/>
  <c r="O125" i="53"/>
  <c r="O145" i="53"/>
  <c r="O178" i="53"/>
  <c r="O183" i="53"/>
  <c r="O185" i="53"/>
  <c r="O215" i="53"/>
  <c r="O227" i="53"/>
  <c r="O251" i="53"/>
  <c r="O278" i="53"/>
  <c r="O294" i="53"/>
  <c r="S322" i="53"/>
  <c r="O327" i="53"/>
  <c r="AA327" i="53" s="1"/>
  <c r="Q330" i="53"/>
  <c r="N342" i="53"/>
  <c r="V342" i="53" s="1"/>
  <c r="T344" i="53"/>
  <c r="N347" i="53"/>
  <c r="V347" i="53" s="1"/>
  <c r="T349" i="53"/>
  <c r="N351" i="53"/>
  <c r="V351" i="53" s="1"/>
  <c r="S354" i="53"/>
  <c r="N357" i="53"/>
  <c r="V357" i="53" s="1"/>
  <c r="O360" i="53"/>
  <c r="AA360" i="53" s="1"/>
  <c r="T362" i="53"/>
  <c r="Q365" i="53"/>
  <c r="N367" i="53"/>
  <c r="V367" i="53" s="1"/>
  <c r="Q370" i="53"/>
  <c r="O212" i="53"/>
  <c r="O218" i="53"/>
  <c r="O231" i="53"/>
  <c r="O239" i="53"/>
  <c r="O247" i="53"/>
  <c r="O270" i="53"/>
  <c r="O282" i="53"/>
  <c r="O298" i="53"/>
  <c r="N322" i="53"/>
  <c r="V322" i="53" s="1"/>
  <c r="N325" i="53"/>
  <c r="V325" i="53" s="1"/>
  <c r="N327" i="53"/>
  <c r="V327" i="53" s="1"/>
  <c r="S330" i="53"/>
  <c r="T333" i="53"/>
  <c r="O335" i="53"/>
  <c r="AA335" i="53" s="1"/>
  <c r="N338" i="53"/>
  <c r="V338" i="53" s="1"/>
  <c r="S341" i="53"/>
  <c r="Q343" i="53"/>
  <c r="T346" i="53"/>
  <c r="N349" i="53"/>
  <c r="V349" i="53" s="1"/>
  <c r="O56" i="53"/>
  <c r="O73" i="53"/>
  <c r="O87" i="53"/>
  <c r="O94" i="53"/>
  <c r="O96" i="53"/>
  <c r="O90" i="53"/>
  <c r="O58" i="53"/>
  <c r="AZ136" i="24" s="1"/>
  <c r="O70" i="53"/>
  <c r="O88" i="53"/>
  <c r="O98" i="53"/>
  <c r="Q20" i="53"/>
  <c r="O59" i="53"/>
  <c r="O71" i="53"/>
  <c r="O92" i="53"/>
  <c r="O97" i="53"/>
  <c r="O123" i="53"/>
  <c r="O196" i="53"/>
  <c r="O209" i="53"/>
  <c r="O115" i="53"/>
  <c r="O124" i="53"/>
  <c r="O127" i="53"/>
  <c r="O134" i="53"/>
  <c r="O136" i="53"/>
  <c r="O143" i="53"/>
  <c r="O153" i="53"/>
  <c r="O166" i="53"/>
  <c r="O176" i="53"/>
  <c r="O182" i="53"/>
  <c r="O202" i="53"/>
  <c r="O121" i="53"/>
  <c r="O146" i="53"/>
  <c r="O148" i="53"/>
  <c r="O156" i="53"/>
  <c r="O161" i="53"/>
  <c r="O172" i="53"/>
  <c r="O174" i="53"/>
  <c r="O180" i="53"/>
  <c r="O184" i="53"/>
  <c r="O189" i="53"/>
  <c r="O191" i="53"/>
  <c r="O129" i="53"/>
  <c r="O159" i="53"/>
  <c r="O163" i="53"/>
  <c r="O201" i="53"/>
  <c r="O264" i="53"/>
  <c r="O268" i="53"/>
  <c r="O292" i="53"/>
  <c r="T323" i="53"/>
  <c r="Q327" i="53"/>
  <c r="S331" i="53"/>
  <c r="S334" i="53"/>
  <c r="S337" i="53"/>
  <c r="N339" i="53"/>
  <c r="V339" i="53" s="1"/>
  <c r="O342" i="53"/>
  <c r="AA342" i="53" s="1"/>
  <c r="Q345" i="53"/>
  <c r="T347" i="53"/>
  <c r="S352" i="53"/>
  <c r="T355" i="53"/>
  <c r="S360" i="53"/>
  <c r="Q366" i="53"/>
  <c r="Q368" i="53"/>
  <c r="Q371" i="53"/>
  <c r="Q378" i="53"/>
  <c r="O210" i="53"/>
  <c r="O213" i="53"/>
  <c r="O248" i="53"/>
  <c r="O283" i="53"/>
  <c r="O306" i="53"/>
  <c r="T320" i="53"/>
  <c r="N323" i="53"/>
  <c r="V323" i="53" s="1"/>
  <c r="O325" i="53"/>
  <c r="AA325" i="53" s="1"/>
  <c r="N329" i="53"/>
  <c r="V329" i="53" s="1"/>
  <c r="N331" i="53"/>
  <c r="V331" i="53" s="1"/>
  <c r="Q333" i="53"/>
  <c r="S335" i="53"/>
  <c r="S339" i="53"/>
  <c r="Q342" i="53"/>
  <c r="N344" i="53"/>
  <c r="V344" i="53" s="1"/>
  <c r="S346" i="53"/>
  <c r="T350" i="53"/>
  <c r="Q352" i="53"/>
  <c r="O358" i="53"/>
  <c r="AA358" i="53" s="1"/>
  <c r="Q360" i="53"/>
  <c r="N362" i="53"/>
  <c r="V362" i="53" s="1"/>
  <c r="N365" i="53"/>
  <c r="V365" i="53" s="1"/>
  <c r="Q367" i="53"/>
  <c r="T370" i="53"/>
  <c r="T372" i="53"/>
  <c r="N375" i="53"/>
  <c r="V375" i="53" s="1"/>
  <c r="Q377" i="53"/>
  <c r="O229" i="53"/>
  <c r="O243" i="53"/>
  <c r="O290" i="53"/>
  <c r="O304" i="53"/>
  <c r="O320" i="53"/>
  <c r="AA320" i="53" s="1"/>
  <c r="Q322" i="53"/>
  <c r="T325" i="53"/>
  <c r="T327" i="53"/>
  <c r="T329" i="53"/>
  <c r="T332" i="53"/>
  <c r="O334" i="53"/>
  <c r="AA334" i="53" s="1"/>
  <c r="T337" i="53"/>
  <c r="N340" i="53"/>
  <c r="V340" i="53" s="1"/>
  <c r="T342" i="53"/>
  <c r="S345" i="53"/>
  <c r="S348" i="53"/>
  <c r="N352" i="53"/>
  <c r="V352" i="53" s="1"/>
  <c r="O354" i="53"/>
  <c r="AA354" i="53" s="1"/>
  <c r="S358" i="53"/>
  <c r="S365" i="53"/>
  <c r="O368" i="53"/>
  <c r="AA368" i="53" s="1"/>
  <c r="O370" i="53"/>
  <c r="AA370" i="53" s="1"/>
  <c r="T373" i="53"/>
  <c r="O375" i="53"/>
  <c r="AA375" i="53" s="1"/>
  <c r="O224" i="53"/>
  <c r="O235" i="53"/>
  <c r="O255" i="53"/>
  <c r="O277" i="53"/>
  <c r="O287" i="53"/>
  <c r="O293" i="53"/>
  <c r="O301" i="53"/>
  <c r="O305" i="53"/>
  <c r="T321" i="53"/>
  <c r="O323" i="53"/>
  <c r="AA323" i="53" s="1"/>
  <c r="T330" i="53"/>
  <c r="O333" i="53"/>
  <c r="AA333" i="53" s="1"/>
  <c r="Q335" i="53"/>
  <c r="Q340" i="53"/>
  <c r="T343" i="53"/>
  <c r="T348" i="53"/>
  <c r="O350" i="53"/>
  <c r="AA350" i="53" s="1"/>
  <c r="S355" i="53"/>
  <c r="R360" i="53"/>
  <c r="S362" i="53"/>
  <c r="O365" i="53"/>
  <c r="AA365" i="53" s="1"/>
  <c r="N368" i="53"/>
  <c r="V368" i="53" s="1"/>
  <c r="T371" i="53"/>
  <c r="S373" i="53"/>
  <c r="N376" i="53"/>
  <c r="V376" i="53" s="1"/>
  <c r="T378" i="53"/>
  <c r="Q354" i="53"/>
  <c r="T358" i="53"/>
  <c r="T361" i="53"/>
  <c r="T363" i="53"/>
  <c r="T366" i="53"/>
  <c r="Q373" i="53"/>
  <c r="S375" i="53"/>
  <c r="O378" i="53"/>
  <c r="AA378" i="53" s="1"/>
  <c r="O223" i="53"/>
  <c r="O233" i="53"/>
  <c r="O246" i="53"/>
  <c r="O249" i="53"/>
  <c r="O252" i="53"/>
  <c r="O274" i="53"/>
  <c r="O286" i="53"/>
  <c r="O296" i="53"/>
  <c r="O302" i="53"/>
  <c r="O318" i="53"/>
  <c r="N321" i="53"/>
  <c r="V321" i="53" s="1"/>
  <c r="Q323" i="53"/>
  <c r="S325" i="53"/>
  <c r="T328" i="53"/>
  <c r="O330" i="53"/>
  <c r="AA330" i="53" s="1"/>
  <c r="S333" i="53"/>
  <c r="T335" i="53"/>
  <c r="N337" i="53"/>
  <c r="V337" i="53" s="1"/>
  <c r="S340" i="53"/>
  <c r="O343" i="53"/>
  <c r="AA343" i="53" s="1"/>
  <c r="N346" i="53"/>
  <c r="V346" i="53" s="1"/>
  <c r="S349" i="53"/>
  <c r="S353" i="53"/>
  <c r="N356" i="53"/>
  <c r="V356" i="53" s="1"/>
  <c r="O359" i="53"/>
  <c r="AA359" i="53" s="1"/>
  <c r="N363" i="53"/>
  <c r="V363" i="53" s="1"/>
  <c r="T368" i="53"/>
  <c r="N371" i="53"/>
  <c r="V371" i="53" s="1"/>
  <c r="N373" i="53"/>
  <c r="V373" i="53" s="1"/>
  <c r="S376" i="53"/>
  <c r="S378" i="53"/>
  <c r="O217" i="53"/>
  <c r="O236" i="53"/>
  <c r="O240" i="53"/>
  <c r="O300" i="53"/>
  <c r="O303" i="53"/>
  <c r="S321" i="53"/>
  <c r="O324" i="53"/>
  <c r="AA324" i="53" s="1"/>
  <c r="O326" i="53"/>
  <c r="AA326" i="53" s="1"/>
  <c r="S328" i="53"/>
  <c r="Q336" i="53"/>
  <c r="T339" i="53"/>
  <c r="T341" i="53"/>
  <c r="Q346" i="53"/>
  <c r="O348" i="53"/>
  <c r="AA348" i="53" s="1"/>
  <c r="O351" i="53"/>
  <c r="AA351" i="53" s="1"/>
  <c r="O353" i="53"/>
  <c r="AA353" i="53" s="1"/>
  <c r="O356" i="53"/>
  <c r="AA356" i="53" s="1"/>
  <c r="Q358" i="53"/>
  <c r="N360" i="53"/>
  <c r="V360" i="53" s="1"/>
  <c r="O363" i="53"/>
  <c r="AA363" i="53" s="1"/>
  <c r="T365" i="53"/>
  <c r="S368" i="53"/>
  <c r="O376" i="53"/>
  <c r="AA376" i="53" s="1"/>
  <c r="Q357" i="53"/>
  <c r="S359" i="53"/>
  <c r="O361" i="53"/>
  <c r="AA361" i="53" s="1"/>
  <c r="Q363" i="53"/>
  <c r="R369" i="53"/>
  <c r="O371" i="53"/>
  <c r="AA371" i="53" s="1"/>
  <c r="O373" i="53"/>
  <c r="AA373" i="53" s="1"/>
  <c r="O216" i="53"/>
  <c r="O221" i="53"/>
  <c r="O230" i="53"/>
  <c r="O250" i="53"/>
  <c r="O253" i="53"/>
  <c r="O256" i="53"/>
  <c r="Q321" i="53"/>
  <c r="S324" i="53"/>
  <c r="O328" i="53"/>
  <c r="AA328" i="53" s="1"/>
  <c r="N333" i="53"/>
  <c r="V333" i="53" s="1"/>
  <c r="T336" i="53"/>
  <c r="S338" i="53"/>
  <c r="Q341" i="53"/>
  <c r="S344" i="53"/>
  <c r="N350" i="53"/>
  <c r="V350" i="53" s="1"/>
  <c r="Q353" i="53"/>
  <c r="T356" i="53"/>
  <c r="T360" i="53"/>
  <c r="O364" i="53"/>
  <c r="AA364" i="53" s="1"/>
  <c r="S366" i="53"/>
  <c r="Q369" i="53"/>
  <c r="N374" i="53"/>
  <c r="V374" i="53" s="1"/>
  <c r="T376" i="53"/>
  <c r="O220" i="53"/>
  <c r="O254" i="53"/>
  <c r="O259" i="53"/>
  <c r="O265" i="53"/>
  <c r="O289" i="53"/>
  <c r="O295" i="53"/>
  <c r="O297" i="53"/>
  <c r="O307" i="53"/>
  <c r="T324" i="53"/>
  <c r="S327" i="53"/>
  <c r="S329" i="53"/>
  <c r="O331" i="53"/>
  <c r="AA331" i="53" s="1"/>
  <c r="T334" i="53"/>
  <c r="S336" i="53"/>
  <c r="Q339" i="53"/>
  <c r="O344" i="53"/>
  <c r="AA344" i="53" s="1"/>
  <c r="S347" i="53"/>
  <c r="Q349" i="53"/>
  <c r="T352" i="53"/>
  <c r="N354" i="53"/>
  <c r="V354" i="53" s="1"/>
  <c r="Q356" i="53"/>
  <c r="N361" i="53"/>
  <c r="V361" i="53" s="1"/>
  <c r="S363" i="53"/>
  <c r="O366" i="53"/>
  <c r="AA366" i="53" s="1"/>
  <c r="T369" i="53"/>
  <c r="N372" i="53"/>
  <c r="V372" i="53" s="1"/>
  <c r="O374" i="53"/>
  <c r="AA374" i="53" s="1"/>
  <c r="O377" i="53"/>
  <c r="AA377" i="53" s="1"/>
  <c r="T351" i="53"/>
  <c r="O355" i="53"/>
  <c r="AA355" i="53" s="1"/>
  <c r="O357" i="53"/>
  <c r="AA357" i="53" s="1"/>
  <c r="N359" i="53"/>
  <c r="V359" i="53" s="1"/>
  <c r="Q362" i="53"/>
  <c r="R367" i="53"/>
  <c r="N369" i="53"/>
  <c r="V369" i="53" s="1"/>
  <c r="S371" i="53"/>
  <c r="S374" i="53"/>
  <c r="S377" i="53"/>
  <c r="O214" i="53"/>
  <c r="O234" i="53"/>
  <c r="O237" i="53"/>
  <c r="O242" i="53"/>
  <c r="O245" i="53"/>
  <c r="O269" i="53"/>
  <c r="O273" i="53"/>
  <c r="O285" i="53"/>
  <c r="O311" i="53"/>
  <c r="N320" i="53"/>
  <c r="O322" i="53"/>
  <c r="AA322" i="53" s="1"/>
  <c r="Q324" i="53"/>
  <c r="Q326" i="53"/>
  <c r="Q329" i="53"/>
  <c r="O332" i="53"/>
  <c r="AA332" i="53" s="1"/>
  <c r="N334" i="53"/>
  <c r="V334" i="53" s="1"/>
  <c r="N336" i="53"/>
  <c r="V336" i="53" s="1"/>
  <c r="T338" i="53"/>
  <c r="O341" i="53"/>
  <c r="AA341" i="53" s="1"/>
  <c r="S351" i="53"/>
  <c r="T354" i="53"/>
  <c r="S357" i="53"/>
  <c r="N364" i="53"/>
  <c r="V364" i="53" s="1"/>
  <c r="O367" i="53"/>
  <c r="AA367" i="53" s="1"/>
  <c r="O369" i="53"/>
  <c r="AA369" i="53" s="1"/>
  <c r="Q372" i="53"/>
  <c r="T374" i="53"/>
  <c r="T377" i="53"/>
  <c r="O228" i="53"/>
  <c r="O232" i="53"/>
  <c r="O260" i="53"/>
  <c r="O276" i="53"/>
  <c r="O279" i="53"/>
  <c r="O281" i="53"/>
  <c r="O284" i="53"/>
  <c r="O312" i="53"/>
  <c r="O314" i="53"/>
  <c r="S320" i="53"/>
  <c r="Q325" i="53"/>
  <c r="S332" i="53"/>
  <c r="N335" i="53"/>
  <c r="V335" i="53" s="1"/>
  <c r="Q337" i="53"/>
  <c r="S342" i="53"/>
  <c r="T345" i="53"/>
  <c r="Q347" i="53"/>
  <c r="O349" i="53"/>
  <c r="AA349" i="53" s="1"/>
  <c r="Q355" i="53"/>
  <c r="T357" i="53"/>
  <c r="Q359" i="53"/>
  <c r="Q361" i="53"/>
  <c r="T364" i="53"/>
  <c r="T367" i="53"/>
  <c r="N370" i="53"/>
  <c r="V370" i="53" s="1"/>
  <c r="S372" i="53"/>
  <c r="Q375" i="53"/>
  <c r="N377" i="53"/>
  <c r="V377" i="53" s="1"/>
  <c r="BG136" i="24" l="1"/>
  <c r="U331" i="53"/>
  <c r="R332" i="53" s="1"/>
  <c r="U348" i="53"/>
  <c r="R349" i="53" s="1"/>
  <c r="U338" i="53"/>
  <c r="R339" i="53" s="1"/>
  <c r="U340" i="53"/>
  <c r="R341" i="53" s="1"/>
  <c r="U326" i="53"/>
  <c r="R327" i="53" s="1"/>
  <c r="U355" i="53"/>
  <c r="R356" i="53" s="1"/>
  <c r="U334" i="53"/>
  <c r="R335" i="53" s="1"/>
  <c r="U328" i="53"/>
  <c r="R329" i="53" s="1"/>
  <c r="U350" i="53"/>
  <c r="R351" i="53" s="1"/>
  <c r="U354" i="53"/>
  <c r="R355" i="53" s="1"/>
  <c r="U345" i="53"/>
  <c r="R346" i="53" s="1"/>
  <c r="U330" i="53"/>
  <c r="R331" i="53" s="1"/>
  <c r="U352" i="53"/>
  <c r="R353" i="53" s="1"/>
  <c r="U337" i="53"/>
  <c r="R338" i="53" s="1"/>
  <c r="U353" i="53"/>
  <c r="R354" i="53" s="1"/>
  <c r="U333" i="53"/>
  <c r="R334" i="53" s="1"/>
  <c r="U325" i="53"/>
  <c r="R326" i="53" s="1"/>
  <c r="U343" i="53"/>
  <c r="R344" i="53" s="1"/>
  <c r="U351" i="53"/>
  <c r="R352" i="53" s="1"/>
  <c r="U344" i="53"/>
  <c r="R345" i="53" s="1"/>
  <c r="U347" i="53"/>
  <c r="R348" i="53" s="1"/>
  <c r="U335" i="53"/>
  <c r="R336" i="53" s="1"/>
  <c r="U342" i="53"/>
  <c r="R343" i="53" s="1"/>
  <c r="U332" i="53"/>
  <c r="R333" i="53" s="1"/>
  <c r="U324" i="53"/>
  <c r="R325" i="53" s="1"/>
  <c r="U336" i="53"/>
  <c r="R337" i="53" s="1"/>
  <c r="U349" i="53"/>
  <c r="R350" i="53" s="1"/>
  <c r="U341" i="53"/>
  <c r="R342" i="53" s="1"/>
  <c r="U346" i="53"/>
  <c r="R347" i="53" s="1"/>
  <c r="U327" i="53"/>
  <c r="R328" i="53" s="1"/>
  <c r="U339" i="53"/>
  <c r="R340" i="53" s="1"/>
  <c r="U329" i="53"/>
  <c r="R330" i="53" s="1"/>
  <c r="BH136" i="24"/>
  <c r="BI136" i="24"/>
  <c r="AY136" i="24"/>
  <c r="BD136" i="24"/>
  <c r="BA136" i="24"/>
  <c r="BB136" i="24"/>
  <c r="K382" i="46"/>
  <c r="H380" i="46"/>
  <c r="C383" i="53"/>
  <c r="E383" i="53" s="1"/>
  <c r="G383" i="53" s="1"/>
  <c r="M384" i="53"/>
  <c r="G382" i="44"/>
  <c r="E382" i="44"/>
  <c r="D382" i="44" s="1"/>
  <c r="F382" i="44" s="1"/>
  <c r="H382" i="44"/>
  <c r="M383" i="44" s="1"/>
  <c r="FT136" i="24"/>
  <c r="FJ136" i="24"/>
  <c r="EL136" i="24"/>
  <c r="DX136" i="24"/>
  <c r="EW136" i="24"/>
  <c r="DW136" i="24"/>
  <c r="CK136" i="24"/>
  <c r="FR136" i="24"/>
  <c r="ET136" i="24"/>
  <c r="EJ136" i="24"/>
  <c r="DK136" i="24"/>
  <c r="FN136" i="24"/>
  <c r="EG136" i="24"/>
  <c r="DQ136" i="24"/>
  <c r="DE136" i="24"/>
  <c r="BM136" i="24"/>
  <c r="CN136" i="24"/>
  <c r="CL136" i="24"/>
  <c r="EO136" i="24"/>
  <c r="FS136" i="24"/>
  <c r="FF136" i="24"/>
  <c r="CY136" i="24"/>
  <c r="CT136" i="24"/>
  <c r="CX136" i="24"/>
  <c r="BU136" i="24"/>
  <c r="BZ136" i="24"/>
  <c r="CH136" i="24"/>
  <c r="CD136" i="24"/>
  <c r="FK136" i="24"/>
  <c r="DH136" i="24"/>
  <c r="BT136" i="24"/>
  <c r="U320" i="53"/>
  <c r="R321" i="53" s="1"/>
  <c r="V320" i="53"/>
  <c r="DS136" i="24"/>
  <c r="EQ136" i="24"/>
  <c r="DN136" i="24"/>
  <c r="CF136" i="24"/>
  <c r="CJ136" i="24"/>
  <c r="BO136" i="24"/>
  <c r="FP136" i="24"/>
  <c r="FI136" i="24"/>
  <c r="EU136" i="24"/>
  <c r="CP136" i="24"/>
  <c r="CV136" i="24"/>
  <c r="BL136" i="24"/>
  <c r="CC136" i="24"/>
  <c r="FA136" i="24"/>
  <c r="FL136" i="24"/>
  <c r="EY136" i="24"/>
  <c r="FD136" i="24"/>
  <c r="DZ136" i="24"/>
  <c r="DM136" i="24"/>
  <c r="CM136" i="24"/>
  <c r="EI136" i="24"/>
  <c r="DO136" i="24"/>
  <c r="FC136" i="24"/>
  <c r="FM136" i="24"/>
  <c r="DV136" i="24"/>
  <c r="DJ136" i="24"/>
  <c r="CR136" i="24"/>
  <c r="CA136" i="24"/>
  <c r="BQ136" i="24"/>
  <c r="FO136" i="24"/>
  <c r="EK136" i="24"/>
  <c r="EZ136" i="24"/>
  <c r="EF136" i="24"/>
  <c r="ED136" i="24"/>
  <c r="CI136" i="24"/>
  <c r="BV136" i="24"/>
  <c r="BP136" i="24"/>
  <c r="DB136" i="24"/>
  <c r="BX136" i="24"/>
  <c r="EE136" i="24"/>
  <c r="EC136" i="24"/>
  <c r="EV136" i="24"/>
  <c r="CS136" i="24"/>
  <c r="DC136" i="24"/>
  <c r="DT136" i="24"/>
  <c r="EX136" i="24"/>
  <c r="EA136" i="24"/>
  <c r="FE136" i="24"/>
  <c r="ES136" i="24"/>
  <c r="BN136" i="24"/>
  <c r="BR136" i="24"/>
  <c r="EM136" i="24"/>
  <c r="DG136" i="24"/>
  <c r="DU136" i="24"/>
  <c r="DI136" i="24"/>
  <c r="CU136" i="24"/>
  <c r="CB136" i="24"/>
  <c r="CZ136" i="24"/>
  <c r="CW136" i="24"/>
  <c r="BS136" i="24"/>
  <c r="FH136" i="24"/>
  <c r="ER136" i="24"/>
  <c r="DR136" i="24"/>
  <c r="DF136" i="24"/>
  <c r="FQ136" i="24"/>
  <c r="EP136" i="24"/>
  <c r="DP136" i="24"/>
  <c r="DD136" i="24"/>
  <c r="CG136" i="24"/>
  <c r="CE136" i="24"/>
  <c r="DL136" i="24"/>
  <c r="EN136" i="24"/>
  <c r="BY136" i="24"/>
  <c r="CO136" i="24"/>
  <c r="BW136" i="24"/>
  <c r="EH136" i="24"/>
  <c r="DY136" i="24"/>
  <c r="FG136" i="24"/>
  <c r="FB136" i="24"/>
  <c r="EB136" i="24"/>
  <c r="DA136" i="24"/>
  <c r="CQ136" i="24"/>
  <c r="AF46" i="53"/>
  <c r="AF48" i="53"/>
  <c r="AF47" i="53"/>
  <c r="U321" i="53"/>
  <c r="R322" i="53" s="1"/>
  <c r="U323" i="53"/>
  <c r="R324" i="53" s="1"/>
  <c r="AG47" i="53"/>
  <c r="U322" i="53"/>
  <c r="R323" i="53" s="1"/>
  <c r="AG48" i="53"/>
  <c r="AF49" i="53"/>
  <c r="AG46" i="53"/>
  <c r="U20" i="53"/>
  <c r="S20" i="53"/>
  <c r="F382" i="46" l="1"/>
  <c r="D382" i="46"/>
  <c r="C382" i="46" s="1"/>
  <c r="E382" i="46" s="1"/>
  <c r="G382" i="46"/>
  <c r="L383" i="46" s="1"/>
  <c r="C384" i="53"/>
  <c r="E384" i="53" s="1"/>
  <c r="G384" i="53" s="1"/>
  <c r="M385" i="53"/>
  <c r="L383" i="44"/>
  <c r="I381" i="44"/>
  <c r="R21" i="53"/>
  <c r="O138" i="24" s="1"/>
  <c r="N21" i="53"/>
  <c r="G37" i="39"/>
  <c r="M37" i="39" s="1"/>
  <c r="K383" i="46" l="1"/>
  <c r="H381" i="46"/>
  <c r="C385" i="53"/>
  <c r="E385" i="53" s="1"/>
  <c r="G385" i="53" s="1"/>
  <c r="M386" i="53"/>
  <c r="G383" i="44"/>
  <c r="E383" i="44"/>
  <c r="D383" i="44" s="1"/>
  <c r="F383" i="44" s="1"/>
  <c r="H383" i="44"/>
  <c r="M384" i="44" s="1"/>
  <c r="O21" i="53"/>
  <c r="O136" i="24" s="1"/>
  <c r="V21" i="53"/>
  <c r="T21" i="53"/>
  <c r="G38" i="39"/>
  <c r="M38" i="39" s="1"/>
  <c r="L37" i="39"/>
  <c r="F383" i="46" l="1"/>
  <c r="D383" i="46"/>
  <c r="G383" i="46"/>
  <c r="L384" i="46" s="1"/>
  <c r="C386" i="53"/>
  <c r="E386" i="53" s="1"/>
  <c r="G386" i="53" s="1"/>
  <c r="M387" i="53"/>
  <c r="L384" i="44"/>
  <c r="I382" i="44"/>
  <c r="Q21" i="53"/>
  <c r="O137" i="24" s="1"/>
  <c r="AA21" i="53"/>
  <c r="G39" i="39"/>
  <c r="M39" i="39" s="1"/>
  <c r="L38" i="39"/>
  <c r="S21" i="53" l="1"/>
  <c r="C383" i="46"/>
  <c r="E383" i="46" s="1"/>
  <c r="K384" i="46"/>
  <c r="H382" i="46"/>
  <c r="C387" i="53"/>
  <c r="E387" i="53" s="1"/>
  <c r="G387" i="53" s="1"/>
  <c r="M388" i="53"/>
  <c r="G384" i="44"/>
  <c r="H384" i="44"/>
  <c r="M385" i="44" s="1"/>
  <c r="E384" i="44"/>
  <c r="D384" i="44" s="1"/>
  <c r="F384" i="44" s="1"/>
  <c r="U21" i="53"/>
  <c r="N22" i="53"/>
  <c r="G40" i="39"/>
  <c r="M40" i="39" s="1"/>
  <c r="L39" i="39"/>
  <c r="G384" i="46" l="1"/>
  <c r="L385" i="46" s="1"/>
  <c r="D384" i="46"/>
  <c r="C384" i="46" s="1"/>
  <c r="E384" i="46" s="1"/>
  <c r="F384" i="46"/>
  <c r="C388" i="53"/>
  <c r="M389" i="53"/>
  <c r="E388" i="53"/>
  <c r="G388" i="53" s="1"/>
  <c r="L385" i="44"/>
  <c r="I383" i="44"/>
  <c r="R22" i="53"/>
  <c r="O139" i="24"/>
  <c r="V22" i="53"/>
  <c r="G41" i="39"/>
  <c r="M41" i="39" s="1"/>
  <c r="L40" i="39"/>
  <c r="K385" i="46" l="1"/>
  <c r="H383" i="46"/>
  <c r="C389" i="53"/>
  <c r="E389" i="53" s="1"/>
  <c r="G389" i="53" s="1"/>
  <c r="M390" i="53"/>
  <c r="G385" i="44"/>
  <c r="H385" i="44"/>
  <c r="M386" i="44" s="1"/>
  <c r="E385" i="44"/>
  <c r="P138" i="24"/>
  <c r="T22" i="53"/>
  <c r="O22" i="53"/>
  <c r="G42" i="39"/>
  <c r="M42" i="39" s="1"/>
  <c r="L41" i="39"/>
  <c r="F385" i="46" l="1"/>
  <c r="G385" i="46"/>
  <c r="L386" i="46" s="1"/>
  <c r="D385" i="46"/>
  <c r="C385" i="46" s="1"/>
  <c r="E385" i="46" s="1"/>
  <c r="C390" i="53"/>
  <c r="M391" i="53"/>
  <c r="E390" i="53"/>
  <c r="G390" i="53" s="1"/>
  <c r="D385" i="44"/>
  <c r="F385" i="44" s="1"/>
  <c r="L386" i="44"/>
  <c r="I384" i="44"/>
  <c r="P136" i="24"/>
  <c r="Q22" i="53"/>
  <c r="AA22" i="53"/>
  <c r="Y23" i="53"/>
  <c r="Z23" i="53"/>
  <c r="X23" i="53"/>
  <c r="G43" i="39"/>
  <c r="M43" i="39" s="1"/>
  <c r="L42" i="39"/>
  <c r="K386" i="46" l="1"/>
  <c r="H384" i="46"/>
  <c r="C391" i="53"/>
  <c r="E391" i="53" s="1"/>
  <c r="G391" i="53" s="1"/>
  <c r="M392" i="53"/>
  <c r="G386" i="44"/>
  <c r="H386" i="44"/>
  <c r="M387" i="44" s="1"/>
  <c r="E386" i="44"/>
  <c r="D386" i="44" s="1"/>
  <c r="F386" i="44" s="1"/>
  <c r="P137" i="24"/>
  <c r="S22" i="53"/>
  <c r="U22" i="53"/>
  <c r="G44" i="39"/>
  <c r="M44" i="39" s="1"/>
  <c r="L43" i="39"/>
  <c r="D386" i="46" l="1"/>
  <c r="C386" i="46" s="1"/>
  <c r="E386" i="46" s="1"/>
  <c r="F386" i="46"/>
  <c r="G386" i="46"/>
  <c r="L387" i="46" s="1"/>
  <c r="C392" i="53"/>
  <c r="E392" i="53" s="1"/>
  <c r="G392" i="53" s="1"/>
  <c r="M393" i="53"/>
  <c r="L387" i="44"/>
  <c r="I385" i="44"/>
  <c r="P139" i="24"/>
  <c r="N23" i="53"/>
  <c r="R23" i="53"/>
  <c r="Z24" i="53"/>
  <c r="X24" i="53"/>
  <c r="Y24" i="53"/>
  <c r="G45" i="39"/>
  <c r="M45" i="39" s="1"/>
  <c r="L44" i="39"/>
  <c r="K387" i="46" l="1"/>
  <c r="H385" i="46"/>
  <c r="C393" i="53"/>
  <c r="M394" i="53"/>
  <c r="E393" i="53"/>
  <c r="G393" i="53" s="1"/>
  <c r="G387" i="44"/>
  <c r="E387" i="44"/>
  <c r="D387" i="44" s="1"/>
  <c r="F387" i="44" s="1"/>
  <c r="H387" i="44"/>
  <c r="M388" i="44" s="1"/>
  <c r="Q138" i="24"/>
  <c r="T23" i="53"/>
  <c r="O23" i="53"/>
  <c r="V23" i="53"/>
  <c r="L45" i="39"/>
  <c r="F387" i="46" l="1"/>
  <c r="D387" i="46"/>
  <c r="G387" i="46"/>
  <c r="L388" i="46" s="1"/>
  <c r="C394" i="53"/>
  <c r="M395" i="53"/>
  <c r="E394" i="53"/>
  <c r="G394" i="53" s="1"/>
  <c r="L388" i="44"/>
  <c r="I386" i="44"/>
  <c r="Q136" i="24"/>
  <c r="Q23" i="53"/>
  <c r="AA23" i="53"/>
  <c r="X25" i="53"/>
  <c r="AI20" i="53" s="1"/>
  <c r="AL20" i="53" s="1"/>
  <c r="Y25" i="53"/>
  <c r="Z25" i="53"/>
  <c r="F9" i="27"/>
  <c r="C387" i="46" l="1"/>
  <c r="E387" i="46" s="1"/>
  <c r="K388" i="46"/>
  <c r="H386" i="46"/>
  <c r="C395" i="53"/>
  <c r="E395" i="53"/>
  <c r="G395" i="53" s="1"/>
  <c r="M396" i="53"/>
  <c r="E388" i="44"/>
  <c r="D388" i="44" s="1"/>
  <c r="F388" i="44" s="1"/>
  <c r="G388" i="44"/>
  <c r="H388" i="44"/>
  <c r="M389" i="44" s="1"/>
  <c r="Q137" i="24"/>
  <c r="S23" i="53"/>
  <c r="U23" i="53"/>
  <c r="X10" i="26"/>
  <c r="H4" i="39" s="1"/>
  <c r="D388" i="46" l="1"/>
  <c r="C388" i="46" s="1"/>
  <c r="E388" i="46" s="1"/>
  <c r="F388" i="46"/>
  <c r="G388" i="46"/>
  <c r="L389" i="46" s="1"/>
  <c r="M397" i="53"/>
  <c r="C396" i="53"/>
  <c r="E396" i="53" s="1"/>
  <c r="G396" i="53" s="1"/>
  <c r="L389" i="44"/>
  <c r="I387" i="44"/>
  <c r="Q139" i="24"/>
  <c r="N24" i="53"/>
  <c r="R24" i="53"/>
  <c r="H55" i="39"/>
  <c r="H57" i="39"/>
  <c r="H59" i="39"/>
  <c r="H61" i="39"/>
  <c r="H63" i="39"/>
  <c r="H65" i="39"/>
  <c r="H67" i="39"/>
  <c r="H87" i="39"/>
  <c r="H89" i="39"/>
  <c r="H91" i="39"/>
  <c r="H93" i="39"/>
  <c r="H95" i="39"/>
  <c r="H97" i="39"/>
  <c r="H99" i="39"/>
  <c r="H101" i="39"/>
  <c r="H103" i="39"/>
  <c r="H105" i="39"/>
  <c r="H107" i="39"/>
  <c r="H109" i="39"/>
  <c r="H111" i="39"/>
  <c r="H113" i="39"/>
  <c r="H115" i="39"/>
  <c r="H117" i="39"/>
  <c r="H119" i="39"/>
  <c r="H121" i="39"/>
  <c r="H123" i="39"/>
  <c r="H125" i="39"/>
  <c r="H127" i="39"/>
  <c r="H129" i="39"/>
  <c r="H131" i="39"/>
  <c r="H133" i="39"/>
  <c r="H135" i="39"/>
  <c r="H137" i="39"/>
  <c r="H139" i="39"/>
  <c r="H141" i="39"/>
  <c r="H143" i="39"/>
  <c r="H145" i="39"/>
  <c r="H147" i="39"/>
  <c r="H149" i="39"/>
  <c r="H151" i="39"/>
  <c r="H153" i="39"/>
  <c r="H155" i="39"/>
  <c r="H157" i="39"/>
  <c r="H159" i="39"/>
  <c r="H54" i="39"/>
  <c r="H56" i="39"/>
  <c r="H58" i="39"/>
  <c r="H60" i="39"/>
  <c r="H62" i="39"/>
  <c r="H64" i="39"/>
  <c r="H66" i="39"/>
  <c r="H68" i="39"/>
  <c r="H88" i="39"/>
  <c r="H90" i="39"/>
  <c r="H92" i="39"/>
  <c r="H94" i="39"/>
  <c r="H96" i="39"/>
  <c r="H98" i="39"/>
  <c r="H100" i="39"/>
  <c r="H102" i="39"/>
  <c r="H104" i="39"/>
  <c r="H106" i="39"/>
  <c r="H108" i="39"/>
  <c r="H110" i="39"/>
  <c r="H112" i="39"/>
  <c r="H114" i="39"/>
  <c r="H116" i="39"/>
  <c r="H118" i="39"/>
  <c r="H120" i="39"/>
  <c r="H122" i="39"/>
  <c r="H124" i="39"/>
  <c r="H126" i="39"/>
  <c r="H128" i="39"/>
  <c r="H130" i="39"/>
  <c r="H132" i="39"/>
  <c r="H134" i="39"/>
  <c r="H136" i="39"/>
  <c r="H138" i="39"/>
  <c r="H140" i="39"/>
  <c r="H144" i="39"/>
  <c r="H148" i="39"/>
  <c r="H152" i="39"/>
  <c r="H156" i="39"/>
  <c r="H160" i="39"/>
  <c r="H165" i="39"/>
  <c r="H168" i="39"/>
  <c r="H173" i="39"/>
  <c r="H176" i="39"/>
  <c r="H181" i="39"/>
  <c r="H184" i="39"/>
  <c r="H189" i="39"/>
  <c r="H192" i="39"/>
  <c r="H197" i="39"/>
  <c r="H200" i="39"/>
  <c r="H205" i="39"/>
  <c r="H208" i="39"/>
  <c r="H213" i="39"/>
  <c r="H216" i="39"/>
  <c r="H221" i="39"/>
  <c r="H224" i="39"/>
  <c r="H226" i="39"/>
  <c r="H228" i="39"/>
  <c r="H230" i="39"/>
  <c r="H232" i="39"/>
  <c r="H234" i="39"/>
  <c r="H236" i="39"/>
  <c r="H238" i="39"/>
  <c r="H240" i="39"/>
  <c r="H242" i="39"/>
  <c r="H244" i="39"/>
  <c r="H246" i="39"/>
  <c r="H248" i="39"/>
  <c r="H250" i="39"/>
  <c r="H252" i="39"/>
  <c r="H254" i="39"/>
  <c r="H256" i="39"/>
  <c r="H258" i="39"/>
  <c r="H260" i="39"/>
  <c r="H262" i="39"/>
  <c r="H264" i="39"/>
  <c r="H266" i="39"/>
  <c r="H268" i="39"/>
  <c r="H270" i="39"/>
  <c r="H272" i="39"/>
  <c r="H274" i="39"/>
  <c r="H276" i="39"/>
  <c r="H278" i="39"/>
  <c r="H280" i="39"/>
  <c r="H282" i="39"/>
  <c r="H284" i="39"/>
  <c r="H286" i="39"/>
  <c r="H288" i="39"/>
  <c r="H290" i="39"/>
  <c r="H239" i="39"/>
  <c r="H247" i="39"/>
  <c r="H251" i="39"/>
  <c r="H257" i="39"/>
  <c r="H261" i="39"/>
  <c r="H267" i="39"/>
  <c r="H271" i="39"/>
  <c r="H275" i="39"/>
  <c r="H279" i="39"/>
  <c r="H283" i="39"/>
  <c r="H287" i="39"/>
  <c r="H163" i="39"/>
  <c r="H166" i="39"/>
  <c r="H171" i="39"/>
  <c r="H174" i="39"/>
  <c r="H179" i="39"/>
  <c r="H182" i="39"/>
  <c r="H187" i="39"/>
  <c r="H190" i="39"/>
  <c r="H195" i="39"/>
  <c r="H198" i="39"/>
  <c r="H203" i="39"/>
  <c r="H206" i="39"/>
  <c r="H211" i="39"/>
  <c r="H214" i="39"/>
  <c r="H219" i="39"/>
  <c r="H222" i="39"/>
  <c r="H241" i="39"/>
  <c r="H249" i="39"/>
  <c r="H255" i="39"/>
  <c r="H263" i="39"/>
  <c r="H269" i="39"/>
  <c r="H273" i="39"/>
  <c r="H277" i="39"/>
  <c r="H281" i="39"/>
  <c r="H285" i="39"/>
  <c r="H289" i="39"/>
  <c r="H142" i="39"/>
  <c r="H146" i="39"/>
  <c r="H150" i="39"/>
  <c r="H154" i="39"/>
  <c r="H158" i="39"/>
  <c r="H161" i="39"/>
  <c r="H164" i="39"/>
  <c r="H169" i="39"/>
  <c r="H172" i="39"/>
  <c r="H177" i="39"/>
  <c r="H180" i="39"/>
  <c r="H185" i="39"/>
  <c r="H188" i="39"/>
  <c r="H193" i="39"/>
  <c r="H196" i="39"/>
  <c r="H201" i="39"/>
  <c r="H204" i="39"/>
  <c r="H209" i="39"/>
  <c r="H212" i="39"/>
  <c r="H217" i="39"/>
  <c r="H220" i="39"/>
  <c r="H225" i="39"/>
  <c r="H227" i="39"/>
  <c r="H229" i="39"/>
  <c r="H231" i="39"/>
  <c r="H233" i="39"/>
  <c r="H235" i="39"/>
  <c r="H237" i="39"/>
  <c r="H243" i="39"/>
  <c r="H245" i="39"/>
  <c r="H253" i="39"/>
  <c r="H259" i="39"/>
  <c r="H265" i="39"/>
  <c r="H170" i="39"/>
  <c r="H191" i="39"/>
  <c r="H202" i="39"/>
  <c r="H223" i="39"/>
  <c r="H210" i="39"/>
  <c r="H162" i="39"/>
  <c r="H183" i="39"/>
  <c r="H194" i="39"/>
  <c r="H215" i="39"/>
  <c r="H178" i="39"/>
  <c r="H175" i="39"/>
  <c r="H186" i="39"/>
  <c r="H207" i="39"/>
  <c r="H218" i="39"/>
  <c r="H167" i="39"/>
  <c r="H199" i="39"/>
  <c r="M5" i="39"/>
  <c r="M4" i="39" s="1"/>
  <c r="X11" i="26"/>
  <c r="D12" i="26" s="1"/>
  <c r="K389" i="46" l="1"/>
  <c r="H387" i="46"/>
  <c r="M398" i="53"/>
  <c r="C397" i="53"/>
  <c r="E397" i="53" s="1"/>
  <c r="G397" i="53" s="1"/>
  <c r="E389" i="44"/>
  <c r="D389" i="44" s="1"/>
  <c r="F389" i="44" s="1"/>
  <c r="G389" i="44"/>
  <c r="H389" i="44"/>
  <c r="M390" i="44" s="1"/>
  <c r="R138" i="24"/>
  <c r="O24" i="53"/>
  <c r="T24" i="53"/>
  <c r="V24" i="53"/>
  <c r="Y26" i="53"/>
  <c r="Z26" i="53"/>
  <c r="X26" i="53"/>
  <c r="K50" i="39"/>
  <c r="L50" i="39"/>
  <c r="G50" i="39"/>
  <c r="M50" i="39" s="1"/>
  <c r="J51" i="39" s="1"/>
  <c r="X18" i="26"/>
  <c r="G93" i="25" s="1"/>
  <c r="F389" i="46" l="1"/>
  <c r="D389" i="46"/>
  <c r="C389" i="46" s="1"/>
  <c r="E389" i="46" s="1"/>
  <c r="G389" i="46"/>
  <c r="L390" i="46" s="1"/>
  <c r="C398" i="53"/>
  <c r="E398" i="53" s="1"/>
  <c r="G398" i="53" s="1"/>
  <c r="M399" i="53"/>
  <c r="L390" i="44"/>
  <c r="I388" i="44"/>
  <c r="AA24" i="53"/>
  <c r="Q24" i="53"/>
  <c r="R136" i="24"/>
  <c r="G95" i="25"/>
  <c r="G94" i="25"/>
  <c r="G51" i="39"/>
  <c r="K390" i="46" l="1"/>
  <c r="H388" i="46"/>
  <c r="C399" i="53"/>
  <c r="M400" i="53"/>
  <c r="E399" i="53"/>
  <c r="G399" i="53" s="1"/>
  <c r="G390" i="44"/>
  <c r="E390" i="44"/>
  <c r="D390" i="44" s="1"/>
  <c r="F390" i="44" s="1"/>
  <c r="H390" i="44"/>
  <c r="M391" i="44" s="1"/>
  <c r="R137" i="24"/>
  <c r="S24" i="53"/>
  <c r="U24" i="53"/>
  <c r="X27" i="53"/>
  <c r="Z27" i="53"/>
  <c r="Y27" i="53"/>
  <c r="G100" i="25"/>
  <c r="K51" i="39"/>
  <c r="L51" i="39"/>
  <c r="G390" i="46" l="1"/>
  <c r="L391" i="46" s="1"/>
  <c r="F390" i="46"/>
  <c r="D390" i="46"/>
  <c r="C390" i="46" s="1"/>
  <c r="E390" i="46" s="1"/>
  <c r="M401" i="53"/>
  <c r="C400" i="53"/>
  <c r="E400" i="53" s="1"/>
  <c r="G400" i="53" s="1"/>
  <c r="L391" i="44"/>
  <c r="I389" i="44"/>
  <c r="R139" i="24"/>
  <c r="R25" i="53"/>
  <c r="N25" i="53"/>
  <c r="G114" i="25"/>
  <c r="D27" i="26" s="1"/>
  <c r="I27" i="55" s="1"/>
  <c r="H27" i="55" s="1"/>
  <c r="M51" i="39"/>
  <c r="K391" i="46" l="1"/>
  <c r="H389" i="46"/>
  <c r="M402" i="53"/>
  <c r="C401" i="53"/>
  <c r="E401" i="53" s="1"/>
  <c r="G401" i="53" s="1"/>
  <c r="G391" i="44"/>
  <c r="E391" i="44"/>
  <c r="D391" i="44" s="1"/>
  <c r="F391" i="44" s="1"/>
  <c r="H391" i="44"/>
  <c r="M392" i="44" s="1"/>
  <c r="V25" i="53"/>
  <c r="S138" i="24"/>
  <c r="O25" i="53"/>
  <c r="AH20" i="53"/>
  <c r="AK20" i="53" s="1"/>
  <c r="T25" i="53"/>
  <c r="G52" i="39"/>
  <c r="J52" i="39"/>
  <c r="B43" i="14"/>
  <c r="B42" i="14"/>
  <c r="F391" i="46" l="1"/>
  <c r="D391" i="46"/>
  <c r="C391" i="46" s="1"/>
  <c r="E391" i="46" s="1"/>
  <c r="G391" i="46"/>
  <c r="L392" i="46" s="1"/>
  <c r="C402" i="53"/>
  <c r="E402" i="53"/>
  <c r="G402" i="53" s="1"/>
  <c r="M403" i="53"/>
  <c r="L392" i="44"/>
  <c r="I390" i="44"/>
  <c r="Q25" i="53"/>
  <c r="AA25" i="53"/>
  <c r="S136" i="24"/>
  <c r="Y28" i="53"/>
  <c r="Z28" i="53"/>
  <c r="X28" i="53"/>
  <c r="L52" i="39"/>
  <c r="K392" i="46" l="1"/>
  <c r="H390" i="46"/>
  <c r="M404" i="53"/>
  <c r="C403" i="53"/>
  <c r="E403" i="53" s="1"/>
  <c r="G403" i="53" s="1"/>
  <c r="H392" i="44"/>
  <c r="M393" i="44" s="1"/>
  <c r="E392" i="44"/>
  <c r="D392" i="44" s="1"/>
  <c r="F392" i="44" s="1"/>
  <c r="G392" i="44"/>
  <c r="S137" i="24"/>
  <c r="S25" i="53"/>
  <c r="AG20" i="53"/>
  <c r="U25" i="53"/>
  <c r="M52" i="39"/>
  <c r="K52" i="39"/>
  <c r="W8" i="24"/>
  <c r="X8" i="24"/>
  <c r="Y8" i="24"/>
  <c r="Z8" i="24"/>
  <c r="AA8" i="24"/>
  <c r="AB8" i="24"/>
  <c r="AC8" i="24"/>
  <c r="AD8" i="24"/>
  <c r="AE8" i="24"/>
  <c r="AF8" i="24"/>
  <c r="V8" i="24"/>
  <c r="U8" i="24"/>
  <c r="G392" i="46" l="1"/>
  <c r="L393" i="46" s="1"/>
  <c r="D392" i="46"/>
  <c r="C392" i="46" s="1"/>
  <c r="E392" i="46" s="1"/>
  <c r="F392" i="46"/>
  <c r="M405" i="53"/>
  <c r="C404" i="53"/>
  <c r="E404" i="53" s="1"/>
  <c r="G404" i="53" s="1"/>
  <c r="L393" i="44"/>
  <c r="I391" i="44"/>
  <c r="AJ20" i="53"/>
  <c r="AM20" i="53"/>
  <c r="S139" i="24"/>
  <c r="N26" i="53"/>
  <c r="R26" i="53"/>
  <c r="G53" i="39"/>
  <c r="J53" i="39"/>
  <c r="AM8" i="24"/>
  <c r="AG8" i="24"/>
  <c r="AP8" i="24"/>
  <c r="AL8" i="24"/>
  <c r="AI8" i="24"/>
  <c r="AH8" i="24"/>
  <c r="AO8" i="24"/>
  <c r="AK8" i="24"/>
  <c r="AQ8" i="24"/>
  <c r="AR8" i="24"/>
  <c r="AN8" i="24"/>
  <c r="AJ8" i="24"/>
  <c r="K393" i="46" l="1"/>
  <c r="H391" i="46"/>
  <c r="C405" i="53"/>
  <c r="E405" i="53"/>
  <c r="G405" i="53" s="1"/>
  <c r="M406" i="53"/>
  <c r="G393" i="44"/>
  <c r="H393" i="44"/>
  <c r="M394" i="44" s="1"/>
  <c r="E393" i="44"/>
  <c r="D393" i="44" s="1"/>
  <c r="F393" i="44" s="1"/>
  <c r="AE21" i="53"/>
  <c r="V26" i="53"/>
  <c r="T138" i="24"/>
  <c r="T26" i="53"/>
  <c r="O26" i="53"/>
  <c r="X29" i="53"/>
  <c r="Y29" i="53"/>
  <c r="Z29" i="53"/>
  <c r="L53" i="39"/>
  <c r="M53" i="39"/>
  <c r="AV8" i="24"/>
  <c r="AZ8" i="24"/>
  <c r="BD8" i="24"/>
  <c r="BC8" i="24"/>
  <c r="AW8" i="24"/>
  <c r="BA8" i="24"/>
  <c r="AT8" i="24"/>
  <c r="AU8" i="24"/>
  <c r="AX8" i="24"/>
  <c r="BB8" i="24"/>
  <c r="AS8" i="24"/>
  <c r="AY8" i="24"/>
  <c r="D393" i="46" l="1"/>
  <c r="C393" i="46" s="1"/>
  <c r="E393" i="46" s="1"/>
  <c r="G393" i="46"/>
  <c r="L394" i="46" s="1"/>
  <c r="F393" i="46"/>
  <c r="C406" i="53"/>
  <c r="M407" i="53"/>
  <c r="E406" i="53"/>
  <c r="G406" i="53" s="1"/>
  <c r="L394" i="44"/>
  <c r="I392" i="44"/>
  <c r="Q26" i="53"/>
  <c r="T136" i="24"/>
  <c r="AA26" i="53"/>
  <c r="G54" i="39"/>
  <c r="J54" i="39"/>
  <c r="I54" i="39" s="1"/>
  <c r="K53" i="39"/>
  <c r="BK8" i="24"/>
  <c r="BE8" i="24"/>
  <c r="BN8" i="24"/>
  <c r="BJ8" i="24"/>
  <c r="BG8" i="24"/>
  <c r="BF8" i="24"/>
  <c r="BM8" i="24"/>
  <c r="BI8" i="24"/>
  <c r="BO8" i="24"/>
  <c r="BP8" i="24"/>
  <c r="BL8" i="24"/>
  <c r="BH8" i="24"/>
  <c r="K394" i="46" l="1"/>
  <c r="H392" i="46"/>
  <c r="M408" i="53"/>
  <c r="C407" i="53"/>
  <c r="E407" i="53" s="1"/>
  <c r="G407" i="53" s="1"/>
  <c r="G394" i="44"/>
  <c r="E394" i="44"/>
  <c r="D394" i="44" s="1"/>
  <c r="F394" i="44" s="1"/>
  <c r="H394" i="44"/>
  <c r="M395" i="44" s="1"/>
  <c r="T137" i="24"/>
  <c r="S26" i="53"/>
  <c r="U26" i="53"/>
  <c r="Z30" i="53"/>
  <c r="Y30" i="53"/>
  <c r="X30" i="53"/>
  <c r="L54" i="39"/>
  <c r="BT8" i="24"/>
  <c r="BX8" i="24"/>
  <c r="CB8" i="24"/>
  <c r="CA8" i="24"/>
  <c r="BU8" i="24"/>
  <c r="BY8" i="24"/>
  <c r="BR8" i="24"/>
  <c r="BS8" i="24"/>
  <c r="BV8" i="24"/>
  <c r="BZ8" i="24"/>
  <c r="BQ8" i="24"/>
  <c r="BW8" i="24"/>
  <c r="D394" i="46" l="1"/>
  <c r="C394" i="46" s="1"/>
  <c r="E394" i="46" s="1"/>
  <c r="F394" i="46"/>
  <c r="G394" i="46"/>
  <c r="L395" i="46" s="1"/>
  <c r="M409" i="53"/>
  <c r="C408" i="53"/>
  <c r="E408" i="53" s="1"/>
  <c r="G408" i="53" s="1"/>
  <c r="L395" i="44"/>
  <c r="I393" i="44"/>
  <c r="T139" i="24"/>
  <c r="N27" i="53"/>
  <c r="R27" i="53"/>
  <c r="M54" i="39"/>
  <c r="K54" i="39"/>
  <c r="CI8" i="24"/>
  <c r="CC8" i="24"/>
  <c r="CO8" i="24" s="1"/>
  <c r="DA8" i="24" s="1"/>
  <c r="DM8" i="24" s="1"/>
  <c r="DY8" i="24" s="1"/>
  <c r="EK8" i="24" s="1"/>
  <c r="EW8" i="24" s="1"/>
  <c r="FI8" i="24" s="1"/>
  <c r="CL8" i="24"/>
  <c r="CH8" i="24"/>
  <c r="CE8" i="24"/>
  <c r="CD8" i="24"/>
  <c r="CP8" i="24" s="1"/>
  <c r="DB8" i="24" s="1"/>
  <c r="DN8" i="24" s="1"/>
  <c r="DZ8" i="24" s="1"/>
  <c r="EL8" i="24" s="1"/>
  <c r="EX8" i="24" s="1"/>
  <c r="FJ8" i="24" s="1"/>
  <c r="CK8" i="24"/>
  <c r="CG8" i="24"/>
  <c r="CM8" i="24"/>
  <c r="CN8" i="24"/>
  <c r="CJ8" i="24"/>
  <c r="CF8" i="24"/>
  <c r="K395" i="46" l="1"/>
  <c r="H393" i="46"/>
  <c r="C409" i="53"/>
  <c r="E409" i="53"/>
  <c r="G409" i="53" s="1"/>
  <c r="M410" i="53"/>
  <c r="E395" i="44"/>
  <c r="D395" i="44" s="1"/>
  <c r="F395" i="44" s="1"/>
  <c r="G395" i="44"/>
  <c r="H395" i="44"/>
  <c r="M396" i="44" s="1"/>
  <c r="U138" i="24"/>
  <c r="T27" i="53"/>
  <c r="O27" i="53"/>
  <c r="V27" i="53"/>
  <c r="J55" i="39"/>
  <c r="I55" i="39" s="1"/>
  <c r="G55" i="39"/>
  <c r="CR8" i="24"/>
  <c r="DD8" i="24" s="1"/>
  <c r="DP8" i="24" s="1"/>
  <c r="EB8" i="24" s="1"/>
  <c r="EN8" i="24" s="1"/>
  <c r="EZ8" i="24" s="1"/>
  <c r="FL8" i="24" s="1"/>
  <c r="CV8" i="24"/>
  <c r="DH8" i="24" s="1"/>
  <c r="DT8" i="24" s="1"/>
  <c r="EF8" i="24" s="1"/>
  <c r="ER8" i="24" s="1"/>
  <c r="FD8" i="24" s="1"/>
  <c r="FP8" i="24" s="1"/>
  <c r="CZ8" i="24"/>
  <c r="DL8" i="24" s="1"/>
  <c r="DX8" i="24" s="1"/>
  <c r="EJ8" i="24" s="1"/>
  <c r="EV8" i="24" s="1"/>
  <c r="FH8" i="24" s="1"/>
  <c r="FT8" i="24" s="1"/>
  <c r="CY8" i="24"/>
  <c r="DK8" i="24" s="1"/>
  <c r="DW8" i="24" s="1"/>
  <c r="EI8" i="24" s="1"/>
  <c r="EU8" i="24" s="1"/>
  <c r="FG8" i="24" s="1"/>
  <c r="FS8" i="24" s="1"/>
  <c r="CS8" i="24"/>
  <c r="DE8" i="24" s="1"/>
  <c r="DQ8" i="24" s="1"/>
  <c r="EC8" i="24" s="1"/>
  <c r="EO8" i="24" s="1"/>
  <c r="FA8" i="24" s="1"/>
  <c r="FM8" i="24" s="1"/>
  <c r="CW8" i="24"/>
  <c r="DI8" i="24" s="1"/>
  <c r="DU8" i="24" s="1"/>
  <c r="EG8" i="24" s="1"/>
  <c r="ES8" i="24" s="1"/>
  <c r="FE8" i="24" s="1"/>
  <c r="FQ8" i="24" s="1"/>
  <c r="CQ8" i="24"/>
  <c r="DC8" i="24" s="1"/>
  <c r="DO8" i="24" s="1"/>
  <c r="EA8" i="24" s="1"/>
  <c r="EM8" i="24" s="1"/>
  <c r="EY8" i="24" s="1"/>
  <c r="FK8" i="24" s="1"/>
  <c r="CT8" i="24"/>
  <c r="DF8" i="24" s="1"/>
  <c r="DR8" i="24" s="1"/>
  <c r="ED8" i="24" s="1"/>
  <c r="EP8" i="24" s="1"/>
  <c r="FB8" i="24" s="1"/>
  <c r="FN8" i="24" s="1"/>
  <c r="CX8" i="24"/>
  <c r="DJ8" i="24" s="1"/>
  <c r="DV8" i="24" s="1"/>
  <c r="EH8" i="24" s="1"/>
  <c r="ET8" i="24" s="1"/>
  <c r="FF8" i="24" s="1"/>
  <c r="FR8" i="24" s="1"/>
  <c r="CU8" i="24"/>
  <c r="DG8" i="24" s="1"/>
  <c r="DS8" i="24" s="1"/>
  <c r="EE8" i="24" s="1"/>
  <c r="EQ8" i="24" s="1"/>
  <c r="FC8" i="24" s="1"/>
  <c r="FO8" i="24" s="1"/>
  <c r="D395" i="46" l="1"/>
  <c r="C395" i="46" s="1"/>
  <c r="E395" i="46" s="1"/>
  <c r="F395" i="46"/>
  <c r="G395" i="46"/>
  <c r="L396" i="46" s="1"/>
  <c r="C410" i="53"/>
  <c r="E410" i="53"/>
  <c r="G410" i="53" s="1"/>
  <c r="M411" i="53"/>
  <c r="L396" i="44"/>
  <c r="I394" i="44"/>
  <c r="Q27" i="53"/>
  <c r="AA27" i="53"/>
  <c r="U136" i="24"/>
  <c r="Y31" i="53"/>
  <c r="Z31" i="53"/>
  <c r="X31" i="53"/>
  <c r="L55" i="39"/>
  <c r="K396" i="46" l="1"/>
  <c r="H394" i="46"/>
  <c r="M412" i="53"/>
  <c r="C411" i="53"/>
  <c r="E411" i="53" s="1"/>
  <c r="G411" i="53" s="1"/>
  <c r="G396" i="44"/>
  <c r="H396" i="44"/>
  <c r="M397" i="44" s="1"/>
  <c r="E396" i="44"/>
  <c r="D396" i="44" s="1"/>
  <c r="F396" i="44" s="1"/>
  <c r="U137" i="24"/>
  <c r="S27" i="53"/>
  <c r="U27" i="53"/>
  <c r="K55" i="39"/>
  <c r="M55" i="39"/>
  <c r="D396" i="46" l="1"/>
  <c r="C396" i="46" s="1"/>
  <c r="E396" i="46" s="1"/>
  <c r="F396" i="46"/>
  <c r="G396" i="46"/>
  <c r="L397" i="46" s="1"/>
  <c r="M413" i="53"/>
  <c r="C412" i="53"/>
  <c r="E412" i="53" s="1"/>
  <c r="G412" i="53" s="1"/>
  <c r="L397" i="44"/>
  <c r="I395" i="44"/>
  <c r="U139" i="24"/>
  <c r="R28" i="53"/>
  <c r="N28" i="53"/>
  <c r="Z32" i="53"/>
  <c r="Y32" i="53"/>
  <c r="X32" i="53"/>
  <c r="G56" i="39"/>
  <c r="J56" i="39"/>
  <c r="I56" i="39" s="1"/>
  <c r="K397" i="46" l="1"/>
  <c r="H395" i="46"/>
  <c r="C413" i="53"/>
  <c r="E413" i="53" s="1"/>
  <c r="G413" i="53" s="1"/>
  <c r="M414" i="53"/>
  <c r="E397" i="44"/>
  <c r="D397" i="44" s="1"/>
  <c r="F397" i="44" s="1"/>
  <c r="G397" i="44"/>
  <c r="H397" i="44"/>
  <c r="M398" i="44" s="1"/>
  <c r="V28" i="53"/>
  <c r="V138" i="24"/>
  <c r="T28" i="53"/>
  <c r="O28" i="53"/>
  <c r="L56" i="39"/>
  <c r="G397" i="46" l="1"/>
  <c r="L398" i="46" s="1"/>
  <c r="F397" i="46"/>
  <c r="D397" i="46"/>
  <c r="C397" i="46" s="1"/>
  <c r="E397" i="46" s="1"/>
  <c r="C414" i="53"/>
  <c r="E414" i="53"/>
  <c r="G414" i="53" s="1"/>
  <c r="M415" i="53"/>
  <c r="L398" i="44"/>
  <c r="I396" i="44"/>
  <c r="Q28" i="53"/>
  <c r="AA28" i="53"/>
  <c r="V136" i="24"/>
  <c r="M56" i="39"/>
  <c r="K56" i="39"/>
  <c r="K398" i="46" l="1"/>
  <c r="H396" i="46"/>
  <c r="C415" i="53"/>
  <c r="E415" i="53" s="1"/>
  <c r="G415" i="53" s="1"/>
  <c r="M416" i="53"/>
  <c r="G398" i="44"/>
  <c r="H398" i="44"/>
  <c r="M399" i="44" s="1"/>
  <c r="E398" i="44"/>
  <c r="D398" i="44" s="1"/>
  <c r="F398" i="44" s="1"/>
  <c r="V137" i="24"/>
  <c r="S28" i="53"/>
  <c r="U28" i="53"/>
  <c r="Y33" i="53"/>
  <c r="Z33" i="53"/>
  <c r="X33" i="53"/>
  <c r="G57" i="39"/>
  <c r="J57" i="39"/>
  <c r="I57" i="39" s="1"/>
  <c r="F398" i="46" l="1"/>
  <c r="G398" i="46"/>
  <c r="L399" i="46" s="1"/>
  <c r="D398" i="46"/>
  <c r="C398" i="46" s="1"/>
  <c r="E398" i="46" s="1"/>
  <c r="C416" i="53"/>
  <c r="E416" i="53" s="1"/>
  <c r="G416" i="53" s="1"/>
  <c r="M417" i="53"/>
  <c r="L399" i="44"/>
  <c r="I397" i="44"/>
  <c r="V139" i="24"/>
  <c r="N29" i="53"/>
  <c r="R29" i="53"/>
  <c r="M57" i="39"/>
  <c r="L57" i="39"/>
  <c r="K399" i="46" l="1"/>
  <c r="H397" i="46"/>
  <c r="M418" i="53"/>
  <c r="C417" i="53"/>
  <c r="E417" i="53" s="1"/>
  <c r="G417" i="53" s="1"/>
  <c r="E399" i="44"/>
  <c r="D399" i="44" s="1"/>
  <c r="F399" i="44" s="1"/>
  <c r="G399" i="44"/>
  <c r="H399" i="44"/>
  <c r="M400" i="44" s="1"/>
  <c r="W138" i="24"/>
  <c r="O29" i="53"/>
  <c r="T29" i="53"/>
  <c r="V29" i="53"/>
  <c r="Z34" i="53"/>
  <c r="X34" i="53"/>
  <c r="Y34" i="53"/>
  <c r="G58" i="39"/>
  <c r="J58" i="39"/>
  <c r="I58" i="39" s="1"/>
  <c r="K57" i="39"/>
  <c r="G399" i="46" l="1"/>
  <c r="L400" i="46" s="1"/>
  <c r="D399" i="46"/>
  <c r="C399" i="46" s="1"/>
  <c r="E399" i="46" s="1"/>
  <c r="F399" i="46"/>
  <c r="M419" i="53"/>
  <c r="C418" i="53"/>
  <c r="E418" i="53" s="1"/>
  <c r="G418" i="53" s="1"/>
  <c r="L400" i="44"/>
  <c r="I398" i="44"/>
  <c r="Q29" i="53"/>
  <c r="W136" i="24"/>
  <c r="AA29" i="53"/>
  <c r="M58" i="39"/>
  <c r="L58" i="39"/>
  <c r="K400" i="46" l="1"/>
  <c r="H398" i="46"/>
  <c r="C419" i="53"/>
  <c r="E419" i="53" s="1"/>
  <c r="G419" i="53" s="1"/>
  <c r="M420" i="53"/>
  <c r="G400" i="44"/>
  <c r="H400" i="44"/>
  <c r="M401" i="44" s="1"/>
  <c r="E400" i="44"/>
  <c r="D400" i="44" s="1"/>
  <c r="F400" i="44" s="1"/>
  <c r="W137" i="24"/>
  <c r="S29" i="53"/>
  <c r="U29" i="53"/>
  <c r="Z35" i="53"/>
  <c r="Y35" i="53"/>
  <c r="X35" i="53"/>
  <c r="G59" i="39"/>
  <c r="J59" i="39"/>
  <c r="I59" i="39" s="1"/>
  <c r="K58" i="39"/>
  <c r="D400" i="46" l="1"/>
  <c r="C400" i="46" s="1"/>
  <c r="E400" i="46" s="1"/>
  <c r="F400" i="46"/>
  <c r="G400" i="46"/>
  <c r="L401" i="46" s="1"/>
  <c r="C420" i="53"/>
  <c r="E420" i="53" s="1"/>
  <c r="G420" i="53" s="1"/>
  <c r="M421" i="53"/>
  <c r="L401" i="44"/>
  <c r="I399" i="44"/>
  <c r="W139" i="24"/>
  <c r="R30" i="53"/>
  <c r="N30" i="53"/>
  <c r="L59" i="39"/>
  <c r="M59" i="39"/>
  <c r="V17" i="14"/>
  <c r="V43" i="14" s="1" a="1"/>
  <c r="V43" i="14" s="1"/>
  <c r="W17" i="14"/>
  <c r="W43" i="14" s="1" a="1"/>
  <c r="W43" i="14" s="1"/>
  <c r="E7" i="16"/>
  <c r="I7" i="16" s="1"/>
  <c r="E8" i="16"/>
  <c r="I8" i="16" s="1"/>
  <c r="E9" i="16"/>
  <c r="I9" i="16" s="1"/>
  <c r="E10" i="16"/>
  <c r="I10" i="16" s="1"/>
  <c r="E11" i="16"/>
  <c r="E12" i="16"/>
  <c r="E13" i="16"/>
  <c r="E14" i="16"/>
  <c r="E15" i="16"/>
  <c r="E16" i="16"/>
  <c r="E17" i="16"/>
  <c r="E18" i="16"/>
  <c r="E19" i="16"/>
  <c r="E6" i="16"/>
  <c r="I6" i="16" s="1"/>
  <c r="K401" i="46" l="1"/>
  <c r="H399" i="46"/>
  <c r="M422" i="53"/>
  <c r="C421" i="53"/>
  <c r="E421" i="53" s="1"/>
  <c r="G421" i="53" s="1"/>
  <c r="E401" i="44"/>
  <c r="D401" i="44" s="1"/>
  <c r="F401" i="44" s="1"/>
  <c r="G401" i="44"/>
  <c r="H401" i="44"/>
  <c r="M402" i="44" s="1"/>
  <c r="V30" i="53"/>
  <c r="X138" i="24"/>
  <c r="O30" i="53"/>
  <c r="T30" i="53"/>
  <c r="X36" i="53"/>
  <c r="Y36" i="53"/>
  <c r="Z36" i="53"/>
  <c r="I14" i="16"/>
  <c r="I12" i="16"/>
  <c r="I15" i="16"/>
  <c r="I11" i="16"/>
  <c r="K11" i="16" s="1"/>
  <c r="I19" i="16"/>
  <c r="I18" i="16"/>
  <c r="I16" i="16"/>
  <c r="J60" i="39"/>
  <c r="I60" i="39" s="1"/>
  <c r="G60" i="39"/>
  <c r="G16" i="39"/>
  <c r="K59" i="39"/>
  <c r="D401" i="46" l="1"/>
  <c r="C401" i="46" s="1"/>
  <c r="E401" i="46" s="1"/>
  <c r="G401" i="46"/>
  <c r="L402" i="46" s="1"/>
  <c r="F401" i="46"/>
  <c r="M423" i="53"/>
  <c r="C422" i="53"/>
  <c r="E422" i="53" s="1"/>
  <c r="G422" i="53" s="1"/>
  <c r="L402" i="44"/>
  <c r="I400" i="44"/>
  <c r="Q30" i="53"/>
  <c r="AA30" i="53"/>
  <c r="X136" i="24"/>
  <c r="K19" i="16"/>
  <c r="K18" i="16"/>
  <c r="K16" i="16"/>
  <c r="K60" i="39"/>
  <c r="L60" i="39"/>
  <c r="F31" i="16"/>
  <c r="K402" i="46" l="1"/>
  <c r="H400" i="46"/>
  <c r="C423" i="53"/>
  <c r="E423" i="53" s="1"/>
  <c r="G423" i="53" s="1"/>
  <c r="M424" i="53"/>
  <c r="G402" i="44"/>
  <c r="H402" i="44"/>
  <c r="M403" i="44" s="1"/>
  <c r="E402" i="44"/>
  <c r="D402" i="44" s="1"/>
  <c r="F402" i="44" s="1"/>
  <c r="X137" i="24"/>
  <c r="S30" i="53"/>
  <c r="U30" i="53"/>
  <c r="C15" i="16"/>
  <c r="C14" i="16"/>
  <c r="F10" i="14" s="1"/>
  <c r="D185" i="15"/>
  <c r="K15" i="16"/>
  <c r="K14" i="16"/>
  <c r="K6" i="16"/>
  <c r="K12" i="16"/>
  <c r="M60" i="39"/>
  <c r="H6" i="16"/>
  <c r="H7" i="16"/>
  <c r="H9" i="16"/>
  <c r="H11" i="16"/>
  <c r="H13" i="16"/>
  <c r="H15" i="16"/>
  <c r="H17" i="16"/>
  <c r="H19" i="16"/>
  <c r="H21" i="16"/>
  <c r="H23" i="16"/>
  <c r="H25" i="16"/>
  <c r="H27" i="16"/>
  <c r="H29" i="16"/>
  <c r="H8" i="16"/>
  <c r="H10" i="16"/>
  <c r="H30" i="16"/>
  <c r="H12" i="16"/>
  <c r="H28" i="16"/>
  <c r="H16" i="16"/>
  <c r="H26" i="16"/>
  <c r="H18" i="16"/>
  <c r="H14" i="16"/>
  <c r="H24" i="16"/>
  <c r="H20" i="16"/>
  <c r="H22" i="16"/>
  <c r="D186" i="15"/>
  <c r="B186" i="15" s="1"/>
  <c r="K6" i="24" l="1"/>
  <c r="K13" i="24" s="1"/>
  <c r="N6" i="24"/>
  <c r="P6" i="24"/>
  <c r="L6" i="24"/>
  <c r="O6" i="24"/>
  <c r="M6" i="24"/>
  <c r="G402" i="46"/>
  <c r="L403" i="46" s="1"/>
  <c r="D402" i="46"/>
  <c r="C402" i="46" s="1"/>
  <c r="E402" i="46" s="1"/>
  <c r="F402" i="46"/>
  <c r="C424" i="53"/>
  <c r="E424" i="53" s="1"/>
  <c r="G424" i="53" s="1"/>
  <c r="M425" i="53"/>
  <c r="L403" i="44"/>
  <c r="I401" i="44"/>
  <c r="X139" i="24"/>
  <c r="N31" i="53"/>
  <c r="R31" i="53"/>
  <c r="X37" i="53"/>
  <c r="Z37" i="53"/>
  <c r="Y37" i="53"/>
  <c r="Q8" i="15"/>
  <c r="G8" i="22" s="1"/>
  <c r="B187" i="15"/>
  <c r="C187" i="15"/>
  <c r="D187" i="15" s="1"/>
  <c r="C188" i="15" s="1"/>
  <c r="D188" i="15" s="1"/>
  <c r="C189" i="15" s="1"/>
  <c r="D189" i="15" s="1"/>
  <c r="C190" i="15" s="1"/>
  <c r="D190" i="15" s="1"/>
  <c r="C191" i="15" s="1"/>
  <c r="D191" i="15" s="1"/>
  <c r="C192" i="15" s="1"/>
  <c r="D192" i="15" s="1"/>
  <c r="C193" i="15" s="1"/>
  <c r="D193" i="15" s="1"/>
  <c r="C194" i="15" s="1"/>
  <c r="D194" i="15" s="1"/>
  <c r="C195" i="15" s="1"/>
  <c r="D195" i="15" s="1"/>
  <c r="C196" i="15" s="1"/>
  <c r="D196" i="15" s="1"/>
  <c r="C197" i="15" s="1"/>
  <c r="D197" i="15" s="1"/>
  <c r="C198" i="15" s="1"/>
  <c r="D198" i="15" s="1"/>
  <c r="C199" i="15" s="1"/>
  <c r="D199" i="15" s="1"/>
  <c r="C200" i="15" s="1"/>
  <c r="D200" i="15" s="1"/>
  <c r="C201" i="15" s="1"/>
  <c r="D201" i="15" s="1"/>
  <c r="G10" i="14"/>
  <c r="K8" i="16"/>
  <c r="I17" i="16"/>
  <c r="K17" i="16" s="1"/>
  <c r="K7" i="16"/>
  <c r="I13" i="16"/>
  <c r="K10" i="16"/>
  <c r="J61" i="39"/>
  <c r="I61" i="39" s="1"/>
  <c r="G61" i="39"/>
  <c r="J18" i="16"/>
  <c r="U29" i="14" s="1"/>
  <c r="J19" i="16"/>
  <c r="U30" i="14" s="1"/>
  <c r="J21" i="16"/>
  <c r="U32" i="14" s="1"/>
  <c r="J20" i="16"/>
  <c r="U31" i="14" s="1"/>
  <c r="H31" i="16"/>
  <c r="E17" i="32"/>
  <c r="E18" i="32" s="1"/>
  <c r="E22" i="32" s="1"/>
  <c r="H13" i="24"/>
  <c r="M13" i="24"/>
  <c r="I13" i="24"/>
  <c r="J13" i="24"/>
  <c r="O13" i="24"/>
  <c r="N13" i="24"/>
  <c r="U16" i="14"/>
  <c r="V16" i="14"/>
  <c r="W16" i="14"/>
  <c r="T16" i="14"/>
  <c r="P13" i="24" l="1"/>
  <c r="L13" i="24"/>
  <c r="E27" i="27"/>
  <c r="E69" i="27"/>
  <c r="E26" i="32"/>
  <c r="E31" i="32" s="1"/>
  <c r="K403" i="46"/>
  <c r="H401" i="46"/>
  <c r="J17" i="16"/>
  <c r="U28" i="14" s="1"/>
  <c r="M426" i="53"/>
  <c r="C425" i="53"/>
  <c r="E425" i="53" s="1"/>
  <c r="G425" i="53" s="1"/>
  <c r="E403" i="44"/>
  <c r="D403" i="44" s="1"/>
  <c r="F403" i="44" s="1"/>
  <c r="G403" i="44"/>
  <c r="H403" i="44"/>
  <c r="M404" i="44" s="1"/>
  <c r="J63" i="57"/>
  <c r="Y138" i="24"/>
  <c r="O31" i="53"/>
  <c r="T31" i="53"/>
  <c r="V31" i="53"/>
  <c r="Z38" i="53"/>
  <c r="X38" i="53"/>
  <c r="Y38" i="53"/>
  <c r="B188" i="15"/>
  <c r="I31" i="16"/>
  <c r="J9" i="16"/>
  <c r="U20" i="14" s="1"/>
  <c r="K9" i="16"/>
  <c r="K13" i="16"/>
  <c r="J13" i="16"/>
  <c r="U24" i="14" s="1"/>
  <c r="L61" i="39"/>
  <c r="K61" i="39"/>
  <c r="J11" i="16"/>
  <c r="U22" i="14" s="1"/>
  <c r="J6" i="16"/>
  <c r="U17" i="14" s="1"/>
  <c r="J7" i="16"/>
  <c r="U18" i="14" s="1"/>
  <c r="J14" i="16"/>
  <c r="U25" i="14" s="1"/>
  <c r="J8" i="16"/>
  <c r="U19" i="14" s="1"/>
  <c r="J15" i="16"/>
  <c r="U26" i="14" s="1"/>
  <c r="J10" i="16"/>
  <c r="U21" i="14" s="1"/>
  <c r="J12" i="16"/>
  <c r="U23" i="14" s="1"/>
  <c r="J16" i="16"/>
  <c r="U27" i="14" s="1"/>
  <c r="D14" i="15"/>
  <c r="D12" i="15"/>
  <c r="G57" i="25" l="1"/>
  <c r="D27" i="15"/>
  <c r="I93" i="25"/>
  <c r="D403" i="46"/>
  <c r="C403" i="46" s="1"/>
  <c r="E403" i="46" s="1"/>
  <c r="F403" i="46"/>
  <c r="G403" i="46"/>
  <c r="L404" i="46" s="1"/>
  <c r="M427" i="53"/>
  <c r="C426" i="53"/>
  <c r="E426" i="53" s="1"/>
  <c r="G426" i="53" s="1"/>
  <c r="L404" i="44"/>
  <c r="I402" i="44"/>
  <c r="Q31" i="53"/>
  <c r="AA31" i="53"/>
  <c r="Y136" i="24"/>
  <c r="H32" i="24"/>
  <c r="H96" i="25"/>
  <c r="H95" i="25"/>
  <c r="H91" i="25"/>
  <c r="H92" i="25"/>
  <c r="H90" i="25"/>
  <c r="H11" i="25"/>
  <c r="H79" i="25"/>
  <c r="H20" i="25"/>
  <c r="H14" i="25"/>
  <c r="H21" i="25"/>
  <c r="H19" i="25"/>
  <c r="H16" i="25"/>
  <c r="H17" i="25"/>
  <c r="H22" i="25"/>
  <c r="H23" i="25"/>
  <c r="H15" i="25"/>
  <c r="H18" i="25"/>
  <c r="H41" i="25"/>
  <c r="H49" i="25"/>
  <c r="H51" i="25"/>
  <c r="H33" i="25"/>
  <c r="H70" i="25"/>
  <c r="H48" i="25"/>
  <c r="H38" i="25"/>
  <c r="H60" i="25"/>
  <c r="H44" i="25"/>
  <c r="H61" i="25"/>
  <c r="H64" i="25"/>
  <c r="H63" i="25"/>
  <c r="H66" i="25"/>
  <c r="H47" i="25"/>
  <c r="H69" i="25"/>
  <c r="H45" i="25"/>
  <c r="H50" i="25"/>
  <c r="H32" i="25"/>
  <c r="H46" i="25"/>
  <c r="H40" i="25"/>
  <c r="H62" i="25"/>
  <c r="H59" i="25"/>
  <c r="H43" i="25"/>
  <c r="H65" i="25"/>
  <c r="H31" i="25"/>
  <c r="H68" i="25"/>
  <c r="H34" i="25"/>
  <c r="H58" i="25"/>
  <c r="H39" i="25"/>
  <c r="H67" i="25"/>
  <c r="H42" i="25"/>
  <c r="H24" i="25"/>
  <c r="H26" i="25"/>
  <c r="H30" i="25"/>
  <c r="H29" i="25"/>
  <c r="H52" i="25"/>
  <c r="H93" i="25"/>
  <c r="H94" i="25"/>
  <c r="H100" i="25"/>
  <c r="D34" i="15"/>
  <c r="I79" i="25"/>
  <c r="I91" i="25"/>
  <c r="I90" i="25"/>
  <c r="I98" i="25"/>
  <c r="I97" i="25"/>
  <c r="I96" i="25"/>
  <c r="I94" i="25"/>
  <c r="I95" i="25"/>
  <c r="B189" i="15"/>
  <c r="M61" i="39"/>
  <c r="M22" i="14"/>
  <c r="M23" i="14"/>
  <c r="M19" i="14"/>
  <c r="I58" i="25"/>
  <c r="U43" i="14" a="1"/>
  <c r="U43" i="14" s="1"/>
  <c r="J31" i="16"/>
  <c r="I92" i="25"/>
  <c r="I47" i="25"/>
  <c r="I69" i="25"/>
  <c r="I63" i="25"/>
  <c r="I17" i="25"/>
  <c r="I42" i="25"/>
  <c r="I34" i="25"/>
  <c r="I14" i="25"/>
  <c r="I22" i="25"/>
  <c r="I43" i="25"/>
  <c r="I65" i="25"/>
  <c r="I38" i="25"/>
  <c r="I64" i="25"/>
  <c r="I24" i="25"/>
  <c r="I30" i="25"/>
  <c r="I59" i="25"/>
  <c r="I18" i="25"/>
  <c r="I29" i="25"/>
  <c r="I50" i="25"/>
  <c r="I31" i="25"/>
  <c r="I23" i="25"/>
  <c r="I44" i="25"/>
  <c r="F33" i="24"/>
  <c r="I16" i="25"/>
  <c r="I70" i="25"/>
  <c r="I62" i="25"/>
  <c r="I26" i="25"/>
  <c r="I40" i="25"/>
  <c r="I67" i="25"/>
  <c r="I46" i="25"/>
  <c r="I20" i="25"/>
  <c r="I19" i="25"/>
  <c r="I33" i="25"/>
  <c r="I49" i="25"/>
  <c r="I11" i="25"/>
  <c r="I52" i="25"/>
  <c r="I39" i="25"/>
  <c r="I57" i="25"/>
  <c r="I68" i="25"/>
  <c r="I100" i="25"/>
  <c r="I48" i="25"/>
  <c r="I45" i="25"/>
  <c r="I15" i="25"/>
  <c r="I32" i="25"/>
  <c r="I61" i="25"/>
  <c r="I51" i="25"/>
  <c r="I41" i="25"/>
  <c r="I21" i="25"/>
  <c r="I66" i="25"/>
  <c r="I60" i="25"/>
  <c r="H37" i="24"/>
  <c r="H68" i="24" s="1"/>
  <c r="G72" i="25" l="1"/>
  <c r="H72" i="25" s="1"/>
  <c r="H200" i="24"/>
  <c r="H214" i="24" s="1"/>
  <c r="H57" i="25"/>
  <c r="K404" i="46"/>
  <c r="H402" i="46"/>
  <c r="C427" i="53"/>
  <c r="E427" i="53" s="1"/>
  <c r="G427" i="53" s="1"/>
  <c r="M428" i="53"/>
  <c r="G404" i="44"/>
  <c r="H404" i="44"/>
  <c r="M405" i="44" s="1"/>
  <c r="E404" i="44"/>
  <c r="D404" i="44" s="1"/>
  <c r="F404" i="44" s="1"/>
  <c r="Y137" i="24"/>
  <c r="S31" i="53"/>
  <c r="U31" i="53"/>
  <c r="B190" i="15"/>
  <c r="J62" i="39"/>
  <c r="I62" i="39" s="1"/>
  <c r="G62" i="39"/>
  <c r="M17" i="14"/>
  <c r="N17" i="14" s="1"/>
  <c r="N19" i="14"/>
  <c r="N23" i="14"/>
  <c r="N22" i="14"/>
  <c r="G108" i="25" l="1"/>
  <c r="I72" i="25"/>
  <c r="G404" i="46"/>
  <c r="L405" i="46" s="1"/>
  <c r="F404" i="46"/>
  <c r="D404" i="46"/>
  <c r="C404" i="46" s="1"/>
  <c r="E404" i="46" s="1"/>
  <c r="C428" i="53"/>
  <c r="E428" i="53" s="1"/>
  <c r="G428" i="53" s="1"/>
  <c r="M429" i="53"/>
  <c r="L405" i="44"/>
  <c r="I403" i="44"/>
  <c r="Y139" i="24"/>
  <c r="R32" i="53"/>
  <c r="N32" i="53"/>
  <c r="X39" i="53"/>
  <c r="Y39" i="53"/>
  <c r="Z39" i="53"/>
  <c r="B191" i="15"/>
  <c r="M43" i="14" a="1"/>
  <c r="M43" i="14" s="1"/>
  <c r="N43" i="14" a="1"/>
  <c r="N43" i="14" s="1"/>
  <c r="K62" i="39"/>
  <c r="L62" i="39"/>
  <c r="D24" i="26" l="1"/>
  <c r="I24" i="55" s="1"/>
  <c r="H24" i="55" s="1"/>
  <c r="K405" i="46"/>
  <c r="H403" i="46"/>
  <c r="M430" i="53"/>
  <c r="C429" i="53"/>
  <c r="E429" i="53" s="1"/>
  <c r="G429" i="53" s="1"/>
  <c r="G405" i="44"/>
  <c r="H405" i="44"/>
  <c r="M406" i="44" s="1"/>
  <c r="E405" i="44"/>
  <c r="D405" i="44" s="1"/>
  <c r="F405" i="44" s="1"/>
  <c r="V32" i="53"/>
  <c r="Z138" i="24"/>
  <c r="O32" i="53"/>
  <c r="T32" i="53"/>
  <c r="B192" i="15"/>
  <c r="M62" i="39"/>
  <c r="F405" i="46" l="1"/>
  <c r="G405" i="46"/>
  <c r="L406" i="46" s="1"/>
  <c r="D405" i="46"/>
  <c r="C405" i="46" s="1"/>
  <c r="E405" i="46" s="1"/>
  <c r="E430" i="53"/>
  <c r="G430" i="53" s="1"/>
  <c r="M431" i="53"/>
  <c r="C430" i="53"/>
  <c r="L406" i="44"/>
  <c r="I404" i="44"/>
  <c r="Q32" i="53"/>
  <c r="AA32" i="53"/>
  <c r="Z136" i="24"/>
  <c r="B193" i="15"/>
  <c r="J63" i="39"/>
  <c r="I63" i="39" s="1"/>
  <c r="G63" i="39"/>
  <c r="K406" i="46" l="1"/>
  <c r="H404" i="46"/>
  <c r="C431" i="53"/>
  <c r="E431" i="53" s="1"/>
  <c r="G431" i="53" s="1"/>
  <c r="M432" i="53"/>
  <c r="G406" i="44"/>
  <c r="H406" i="44"/>
  <c r="M407" i="44" s="1"/>
  <c r="E406" i="44"/>
  <c r="D406" i="44" s="1"/>
  <c r="F406" i="44" s="1"/>
  <c r="Z137" i="24"/>
  <c r="S32" i="53"/>
  <c r="U32" i="53"/>
  <c r="Z40" i="53"/>
  <c r="X40" i="53"/>
  <c r="Y40" i="53"/>
  <c r="B194" i="15"/>
  <c r="L63" i="39"/>
  <c r="K63" i="39"/>
  <c r="D406" i="46" l="1"/>
  <c r="F406" i="46"/>
  <c r="G406" i="46"/>
  <c r="L407" i="46" s="1"/>
  <c r="C432" i="53"/>
  <c r="M433" i="53"/>
  <c r="E432" i="53"/>
  <c r="G432" i="53" s="1"/>
  <c r="L407" i="44"/>
  <c r="I405" i="44"/>
  <c r="Z139" i="24"/>
  <c r="R33" i="53"/>
  <c r="N33" i="53"/>
  <c r="B195" i="15"/>
  <c r="M63" i="39"/>
  <c r="K407" i="46" l="1"/>
  <c r="H405" i="46"/>
  <c r="C406" i="46"/>
  <c r="E406" i="46" s="1"/>
  <c r="M434" i="53"/>
  <c r="C433" i="53"/>
  <c r="E433" i="53" s="1"/>
  <c r="G433" i="53" s="1"/>
  <c r="E407" i="44"/>
  <c r="D407" i="44" s="1"/>
  <c r="F407" i="44" s="1"/>
  <c r="G407" i="44"/>
  <c r="H407" i="44"/>
  <c r="M408" i="44" s="1"/>
  <c r="V33" i="53"/>
  <c r="AA138" i="24"/>
  <c r="O33" i="53"/>
  <c r="T33" i="53"/>
  <c r="B196" i="15"/>
  <c r="J64" i="39"/>
  <c r="I64" i="39" s="1"/>
  <c r="G64" i="39"/>
  <c r="D407" i="46" l="1"/>
  <c r="F407" i="46"/>
  <c r="G407" i="46"/>
  <c r="L408" i="46" s="1"/>
  <c r="M435" i="53"/>
  <c r="C434" i="53"/>
  <c r="E434" i="53" s="1"/>
  <c r="G434" i="53" s="1"/>
  <c r="L408" i="44"/>
  <c r="I406" i="44"/>
  <c r="Q33" i="53"/>
  <c r="AA33" i="53"/>
  <c r="AA136" i="24"/>
  <c r="Y41" i="53"/>
  <c r="Z41" i="53"/>
  <c r="X41" i="53"/>
  <c r="EL6" i="24"/>
  <c r="EP6" i="24"/>
  <c r="EK6" i="24"/>
  <c r="EM6" i="24"/>
  <c r="B197" i="15"/>
  <c r="EO6" i="24" s="1"/>
  <c r="K64" i="39"/>
  <c r="L64" i="39"/>
  <c r="EJ6" i="24" l="1"/>
  <c r="EJ13" i="24" s="1"/>
  <c r="EN6" i="24"/>
  <c r="K408" i="46"/>
  <c r="H406" i="46"/>
  <c r="C407" i="46"/>
  <c r="E407" i="46" s="1"/>
  <c r="M436" i="53"/>
  <c r="C435" i="53"/>
  <c r="E435" i="53" s="1"/>
  <c r="G435" i="53" s="1"/>
  <c r="G408" i="44"/>
  <c r="H408" i="44"/>
  <c r="M409" i="44" s="1"/>
  <c r="E408" i="44"/>
  <c r="D408" i="44" s="1"/>
  <c r="F408" i="44" s="1"/>
  <c r="AA137" i="24"/>
  <c r="S33" i="53"/>
  <c r="U33" i="53"/>
  <c r="EO13" i="24"/>
  <c r="EM13" i="24"/>
  <c r="EL13" i="24"/>
  <c r="EK13" i="24"/>
  <c r="EP13" i="24"/>
  <c r="EN13" i="24"/>
  <c r="EU6" i="24"/>
  <c r="EZ6" i="24"/>
  <c r="ER6" i="24"/>
  <c r="ES6" i="24"/>
  <c r="EQ6" i="24"/>
  <c r="ET6" i="24"/>
  <c r="EW6" i="24"/>
  <c r="EY6" i="24"/>
  <c r="B198" i="15"/>
  <c r="FB6" i="24" s="1"/>
  <c r="M64" i="39"/>
  <c r="EX6" i="24" l="1"/>
  <c r="EX13" i="24" s="1"/>
  <c r="EV6" i="24"/>
  <c r="FA6" i="24"/>
  <c r="FA13" i="24" s="1"/>
  <c r="F408" i="46"/>
  <c r="D408" i="46"/>
  <c r="G408" i="46"/>
  <c r="L409" i="46" s="1"/>
  <c r="M437" i="53"/>
  <c r="C436" i="53"/>
  <c r="E436" i="53" s="1"/>
  <c r="G436" i="53" s="1"/>
  <c r="L409" i="44"/>
  <c r="I407" i="44"/>
  <c r="AA139" i="24"/>
  <c r="N34" i="53"/>
  <c r="R34" i="53"/>
  <c r="Y42" i="53"/>
  <c r="X42" i="53"/>
  <c r="Z42" i="53"/>
  <c r="ET13" i="24"/>
  <c r="FB13" i="24"/>
  <c r="EY13" i="24"/>
  <c r="EQ13" i="24"/>
  <c r="EZ13" i="24"/>
  <c r="EW13" i="24"/>
  <c r="ES13" i="24"/>
  <c r="EV13" i="24"/>
  <c r="ER13" i="24"/>
  <c r="EU13" i="24"/>
  <c r="B199" i="15"/>
  <c r="FM6" i="24" s="1"/>
  <c r="FC6" i="24"/>
  <c r="FH6" i="24"/>
  <c r="FJ6" i="24"/>
  <c r="FD6" i="24"/>
  <c r="FI6" i="24"/>
  <c r="FF6" i="24"/>
  <c r="FE6" i="24"/>
  <c r="FG6" i="24"/>
  <c r="FL6" i="24"/>
  <c r="FN6" i="24"/>
  <c r="G65" i="39"/>
  <c r="J65" i="39"/>
  <c r="I65" i="39" s="1"/>
  <c r="FK6" i="24" l="1"/>
  <c r="FK13" i="24" s="1"/>
  <c r="C408" i="46"/>
  <c r="E408" i="46" s="1"/>
  <c r="K409" i="46"/>
  <c r="H407" i="46"/>
  <c r="M438" i="53"/>
  <c r="C437" i="53"/>
  <c r="E437" i="53" s="1"/>
  <c r="G437" i="53" s="1"/>
  <c r="E409" i="44"/>
  <c r="D409" i="44" s="1"/>
  <c r="F409" i="44" s="1"/>
  <c r="G409" i="44"/>
  <c r="H409" i="44"/>
  <c r="M410" i="44" s="1"/>
  <c r="AB138" i="24"/>
  <c r="O34" i="53"/>
  <c r="T34" i="53"/>
  <c r="V34" i="53"/>
  <c r="FF13" i="24"/>
  <c r="FH13" i="24"/>
  <c r="FN13" i="24"/>
  <c r="FL13" i="24"/>
  <c r="FI13" i="24"/>
  <c r="FC13" i="24"/>
  <c r="FG13" i="24"/>
  <c r="FD13" i="24"/>
  <c r="FE13" i="24"/>
  <c r="FJ13" i="24"/>
  <c r="FM13" i="24"/>
  <c r="B200" i="15"/>
  <c r="B201" i="15" s="1"/>
  <c r="FP6" i="24"/>
  <c r="FQ6" i="24"/>
  <c r="FT6" i="24"/>
  <c r="FS6" i="24"/>
  <c r="FR6" i="24"/>
  <c r="FO6" i="24"/>
  <c r="L65" i="39"/>
  <c r="K65" i="39"/>
  <c r="D409" i="46" l="1"/>
  <c r="C409" i="46" s="1"/>
  <c r="E409" i="46" s="1"/>
  <c r="F409" i="46"/>
  <c r="G409" i="46"/>
  <c r="L410" i="46" s="1"/>
  <c r="M439" i="53"/>
  <c r="C438" i="53"/>
  <c r="E438" i="53" s="1"/>
  <c r="G438" i="53" s="1"/>
  <c r="L410" i="44"/>
  <c r="I408" i="44"/>
  <c r="Q34" i="53"/>
  <c r="AA34" i="53"/>
  <c r="AB136" i="24"/>
  <c r="Z43" i="53"/>
  <c r="X43" i="53"/>
  <c r="Y43" i="53"/>
  <c r="FT13" i="24"/>
  <c r="FO13" i="24"/>
  <c r="FQ13" i="24"/>
  <c r="FP13" i="24"/>
  <c r="FR13" i="24"/>
  <c r="FS13" i="24"/>
  <c r="M65" i="39"/>
  <c r="K410" i="46" l="1"/>
  <c r="H408" i="46"/>
  <c r="M440" i="53"/>
  <c r="C439" i="53"/>
  <c r="E439" i="53" s="1"/>
  <c r="G439" i="53" s="1"/>
  <c r="H410" i="44"/>
  <c r="M411" i="44" s="1"/>
  <c r="E410" i="44"/>
  <c r="D410" i="44" s="1"/>
  <c r="F410" i="44" s="1"/>
  <c r="G410" i="44"/>
  <c r="AB137" i="24"/>
  <c r="S34" i="53"/>
  <c r="U34" i="53"/>
  <c r="G66" i="39"/>
  <c r="J66" i="39"/>
  <c r="I66" i="39" s="1"/>
  <c r="F410" i="46" l="1"/>
  <c r="D410" i="46"/>
  <c r="C410" i="46" s="1"/>
  <c r="E410" i="46" s="1"/>
  <c r="G410" i="46"/>
  <c r="L411" i="46" s="1"/>
  <c r="C440" i="53"/>
  <c r="E440" i="53" s="1"/>
  <c r="G440" i="53" s="1"/>
  <c r="L411" i="44"/>
  <c r="I409" i="44"/>
  <c r="AB139" i="24"/>
  <c r="R35" i="53"/>
  <c r="N35" i="53"/>
  <c r="Y44" i="53"/>
  <c r="Z44" i="53"/>
  <c r="X44" i="53"/>
  <c r="K66" i="39"/>
  <c r="L66" i="39"/>
  <c r="I11" i="24"/>
  <c r="D40" i="15" s="1"/>
  <c r="J11" i="24"/>
  <c r="C40" i="15" l="1"/>
  <c r="I480" i="39" s="1"/>
  <c r="H481" i="39" s="1"/>
  <c r="I481" i="39" s="1"/>
  <c r="H482" i="39" s="1"/>
  <c r="I482" i="39" s="1"/>
  <c r="H483" i="39" s="1"/>
  <c r="I483" i="39" s="1"/>
  <c r="H484" i="39" s="1"/>
  <c r="I484" i="39" s="1"/>
  <c r="H485" i="39" s="1"/>
  <c r="I485" i="39" s="1"/>
  <c r="H486" i="39" s="1"/>
  <c r="I486" i="39" s="1"/>
  <c r="H487" i="39" s="1"/>
  <c r="I487" i="39" s="1"/>
  <c r="H488" i="39" s="1"/>
  <c r="I488" i="39" s="1"/>
  <c r="H489" i="39" s="1"/>
  <c r="I489" i="39" s="1"/>
  <c r="H490" i="39" s="1"/>
  <c r="I490" i="39" s="1"/>
  <c r="H491" i="39" s="1"/>
  <c r="I491" i="39" s="1"/>
  <c r="H492" i="39" s="1"/>
  <c r="I492" i="39" s="1"/>
  <c r="H493" i="39" s="1"/>
  <c r="I493" i="39" s="1"/>
  <c r="H494" i="39" s="1"/>
  <c r="I494" i="39" s="1"/>
  <c r="H495" i="39" s="1"/>
  <c r="I495" i="39" s="1"/>
  <c r="H496" i="39" s="1"/>
  <c r="I496" i="39" s="1"/>
  <c r="H497" i="39" s="1"/>
  <c r="I497" i="39" s="1"/>
  <c r="H498" i="39" s="1"/>
  <c r="I498" i="39" s="1"/>
  <c r="H499" i="39" s="1"/>
  <c r="I499" i="39" s="1"/>
  <c r="H500" i="39" s="1"/>
  <c r="I500" i="39" s="1"/>
  <c r="H501" i="39" s="1"/>
  <c r="I501" i="39" s="1"/>
  <c r="H502" i="39" s="1"/>
  <c r="I502" i="39" s="1"/>
  <c r="H503" i="39" s="1"/>
  <c r="I503" i="39" s="1"/>
  <c r="H504" i="39" s="1"/>
  <c r="I504" i="39" s="1"/>
  <c r="H505" i="39" s="1"/>
  <c r="I505" i="39" s="1"/>
  <c r="H506" i="39" s="1"/>
  <c r="I506" i="39" s="1"/>
  <c r="H507" i="39" s="1"/>
  <c r="I507" i="39" s="1"/>
  <c r="H508" i="39" s="1"/>
  <c r="I508" i="39" s="1"/>
  <c r="H509" i="39" s="1"/>
  <c r="I509" i="39" s="1"/>
  <c r="H510" i="39" s="1"/>
  <c r="I510" i="39" s="1"/>
  <c r="H511" i="39" s="1"/>
  <c r="I511" i="39" s="1"/>
  <c r="H512" i="39" s="1"/>
  <c r="I512" i="39" s="1"/>
  <c r="H513" i="39" s="1"/>
  <c r="I513" i="39" s="1"/>
  <c r="H514" i="39" s="1"/>
  <c r="I514" i="39" s="1"/>
  <c r="H515" i="39" s="1"/>
  <c r="I515" i="39" s="1"/>
  <c r="H516" i="39" s="1"/>
  <c r="I516" i="39" s="1"/>
  <c r="H517" i="39" s="1"/>
  <c r="I517" i="39" s="1"/>
  <c r="H518" i="39" s="1"/>
  <c r="I518" i="39" s="1"/>
  <c r="H519" i="39" s="1"/>
  <c r="I519" i="39" s="1"/>
  <c r="H520" i="39" s="1"/>
  <c r="I520" i="39" s="1"/>
  <c r="H521" i="39" s="1"/>
  <c r="I521" i="39" s="1"/>
  <c r="H522" i="39" s="1"/>
  <c r="I522" i="39" s="1"/>
  <c r="H523" i="39" s="1"/>
  <c r="I523" i="39" s="1"/>
  <c r="H524" i="39" s="1"/>
  <c r="I524" i="39" s="1"/>
  <c r="H525" i="39" s="1"/>
  <c r="I525" i="39" s="1"/>
  <c r="H526" i="39" s="1"/>
  <c r="I526" i="39" s="1"/>
  <c r="H527" i="39" s="1"/>
  <c r="I527" i="39" s="1"/>
  <c r="H528" i="39" s="1"/>
  <c r="I528" i="39" s="1"/>
  <c r="H529" i="39" s="1"/>
  <c r="I529" i="39" s="1"/>
  <c r="G25" i="26"/>
  <c r="C20" i="44"/>
  <c r="K411" i="46"/>
  <c r="H409" i="46"/>
  <c r="I155" i="24"/>
  <c r="E411" i="44"/>
  <c r="D411" i="44" s="1"/>
  <c r="F411" i="44" s="1"/>
  <c r="G411" i="44"/>
  <c r="H411" i="44"/>
  <c r="M412" i="44" s="1"/>
  <c r="J155" i="24"/>
  <c r="C47" i="15"/>
  <c r="I31" i="55" s="1"/>
  <c r="V35" i="53"/>
  <c r="AC138" i="24"/>
  <c r="T35" i="53"/>
  <c r="O35" i="53"/>
  <c r="J135" i="24"/>
  <c r="J142" i="24"/>
  <c r="J5" i="24"/>
  <c r="I135" i="24"/>
  <c r="I142" i="24"/>
  <c r="I5" i="24"/>
  <c r="I129" i="24"/>
  <c r="J129" i="24"/>
  <c r="G22" i="26"/>
  <c r="C50" i="39"/>
  <c r="W22" i="26"/>
  <c r="S26" i="26"/>
  <c r="O26" i="26"/>
  <c r="M66" i="39"/>
  <c r="J67" i="39" s="1"/>
  <c r="I67" i="39" s="1"/>
  <c r="I200" i="24"/>
  <c r="J200" i="24" s="1"/>
  <c r="I205" i="24"/>
  <c r="J205" i="24" s="1"/>
  <c r="I201" i="24"/>
  <c r="J201" i="24" s="1"/>
  <c r="I202" i="24"/>
  <c r="J202" i="24" s="1"/>
  <c r="I204" i="24"/>
  <c r="J204" i="24" s="1"/>
  <c r="I209" i="24"/>
  <c r="J209" i="24" s="1"/>
  <c r="I211" i="24"/>
  <c r="J211" i="24" s="1"/>
  <c r="I207" i="24"/>
  <c r="J207" i="24" s="1"/>
  <c r="I208" i="24"/>
  <c r="J208" i="24" s="1"/>
  <c r="I212" i="24"/>
  <c r="J212" i="24" s="1"/>
  <c r="I210" i="24"/>
  <c r="J210" i="24" s="1"/>
  <c r="I213" i="24"/>
  <c r="J213" i="24" s="1"/>
  <c r="I203" i="24"/>
  <c r="J203" i="24" s="1"/>
  <c r="I206" i="24"/>
  <c r="J206" i="24" s="1"/>
  <c r="I217" i="24"/>
  <c r="J217" i="24" s="1"/>
  <c r="I218" i="24"/>
  <c r="J218" i="24" s="1"/>
  <c r="I219" i="24"/>
  <c r="J219" i="24" s="1"/>
  <c r="I221" i="24"/>
  <c r="J221" i="24" s="1"/>
  <c r="I220" i="24"/>
  <c r="J220" i="24" s="1"/>
  <c r="I226" i="24"/>
  <c r="J226" i="24" s="1"/>
  <c r="I222" i="24"/>
  <c r="J222" i="24" s="1"/>
  <c r="I223" i="24"/>
  <c r="J223" i="24" s="1"/>
  <c r="I227" i="24"/>
  <c r="J227" i="24" s="1"/>
  <c r="I176" i="24"/>
  <c r="J176" i="24" s="1"/>
  <c r="I179" i="24"/>
  <c r="J179" i="24" s="1"/>
  <c r="I178" i="24"/>
  <c r="J178" i="24" s="1"/>
  <c r="I224" i="24"/>
  <c r="I188" i="24"/>
  <c r="J188" i="24" s="1"/>
  <c r="I193" i="24"/>
  <c r="J193" i="24" s="1"/>
  <c r="I195" i="24"/>
  <c r="J195" i="24" s="1"/>
  <c r="I175" i="24"/>
  <c r="J175" i="24" s="1"/>
  <c r="I182" i="24"/>
  <c r="J182" i="24" s="1"/>
  <c r="I185" i="24"/>
  <c r="J185" i="24" s="1"/>
  <c r="I187" i="24"/>
  <c r="J187" i="24" s="1"/>
  <c r="I190" i="24"/>
  <c r="J190" i="24" s="1"/>
  <c r="I186" i="24"/>
  <c r="J186" i="24" s="1"/>
  <c r="I191" i="24"/>
  <c r="J191" i="24" s="1"/>
  <c r="I177" i="24"/>
  <c r="J177" i="24" s="1"/>
  <c r="I189" i="24"/>
  <c r="J189" i="24" s="1"/>
  <c r="I196" i="24"/>
  <c r="J196" i="24" s="1"/>
  <c r="I181" i="24"/>
  <c r="I192" i="24"/>
  <c r="J192" i="24" s="1"/>
  <c r="I225" i="24"/>
  <c r="J225" i="24" s="1"/>
  <c r="I184" i="24"/>
  <c r="J184" i="24" s="1"/>
  <c r="I194" i="24"/>
  <c r="J194" i="24" s="1"/>
  <c r="I169" i="24"/>
  <c r="J169" i="24" s="1"/>
  <c r="I180" i="24"/>
  <c r="J180" i="24" s="1"/>
  <c r="I183" i="24"/>
  <c r="J183" i="24" s="1"/>
  <c r="I33" i="24"/>
  <c r="I34" i="24" s="1"/>
  <c r="J33" i="24" s="1"/>
  <c r="J34" i="24" s="1"/>
  <c r="EF10" i="24"/>
  <c r="EF7" i="24"/>
  <c r="EI7" i="24"/>
  <c r="EI10" i="24"/>
  <c r="DG7" i="24"/>
  <c r="DG10" i="24"/>
  <c r="EG10" i="24"/>
  <c r="EG7" i="24"/>
  <c r="DI7" i="24"/>
  <c r="DI10" i="24"/>
  <c r="EB10" i="24"/>
  <c r="EB7" i="24"/>
  <c r="DL7" i="24"/>
  <c r="DL10" i="24"/>
  <c r="EE7" i="24"/>
  <c r="EE10" i="24"/>
  <c r="DA7" i="24"/>
  <c r="DA10" i="24"/>
  <c r="DC7" i="24"/>
  <c r="DC10" i="24"/>
  <c r="DV7" i="24"/>
  <c r="DV10" i="24"/>
  <c r="DJ7" i="24"/>
  <c r="DJ10" i="24"/>
  <c r="EC10" i="24"/>
  <c r="EC7" i="24"/>
  <c r="DM7" i="24"/>
  <c r="DM10" i="24"/>
  <c r="DP7" i="24"/>
  <c r="DP10" i="24"/>
  <c r="DS7" i="24"/>
  <c r="DS10" i="24"/>
  <c r="DZ7" i="24"/>
  <c r="DZ10" i="24"/>
  <c r="DN7" i="24"/>
  <c r="DN10" i="24"/>
  <c r="DE7" i="24"/>
  <c r="DE10" i="24"/>
  <c r="DX10" i="24"/>
  <c r="DX7" i="24"/>
  <c r="DH7" i="24"/>
  <c r="DH10" i="24"/>
  <c r="EA7" i="24"/>
  <c r="EA10" i="24"/>
  <c r="DO7" i="24"/>
  <c r="DO10" i="24"/>
  <c r="EH7" i="24"/>
  <c r="EH10" i="24"/>
  <c r="DR7" i="24"/>
  <c r="DR10" i="24"/>
  <c r="DF7" i="24"/>
  <c r="DF10" i="24"/>
  <c r="DY10" i="24"/>
  <c r="DY7" i="24"/>
  <c r="EJ10" i="24"/>
  <c r="DT10" i="24"/>
  <c r="DT7" i="24"/>
  <c r="DD7" i="24"/>
  <c r="DD10" i="24"/>
  <c r="DW7" i="24"/>
  <c r="DW10" i="24"/>
  <c r="DK7" i="24"/>
  <c r="DK10" i="24"/>
  <c r="ED7" i="24"/>
  <c r="ED10" i="24"/>
  <c r="DQ7" i="24"/>
  <c r="DQ10" i="24"/>
  <c r="DB7" i="24"/>
  <c r="DB10" i="24"/>
  <c r="DU10" i="24"/>
  <c r="DU7" i="24"/>
  <c r="BZ7" i="24"/>
  <c r="BZ10" i="24"/>
  <c r="CT7" i="24"/>
  <c r="CT10" i="24"/>
  <c r="CD7" i="24"/>
  <c r="CD10" i="24"/>
  <c r="CB10" i="24"/>
  <c r="CB7" i="24"/>
  <c r="CK7" i="24"/>
  <c r="CK10" i="24"/>
  <c r="AO7" i="24"/>
  <c r="AO10" i="24"/>
  <c r="I7" i="24"/>
  <c r="I10" i="24"/>
  <c r="AB10" i="24"/>
  <c r="AB7" i="24"/>
  <c r="L10" i="24"/>
  <c r="L7" i="24"/>
  <c r="CE7" i="24"/>
  <c r="CE10" i="24"/>
  <c r="BO7" i="24"/>
  <c r="BO10" i="24"/>
  <c r="AY7" i="24"/>
  <c r="AY10" i="24"/>
  <c r="AI7" i="24"/>
  <c r="AI10" i="24"/>
  <c r="S7" i="24"/>
  <c r="S10" i="24"/>
  <c r="AH7" i="24"/>
  <c r="AH10" i="24"/>
  <c r="R7" i="24"/>
  <c r="R10" i="24"/>
  <c r="AX7" i="24"/>
  <c r="AX10" i="24"/>
  <c r="CN10" i="24"/>
  <c r="CN7" i="24"/>
  <c r="BH10" i="24"/>
  <c r="BH7" i="24"/>
  <c r="CW7" i="24"/>
  <c r="CW10" i="24"/>
  <c r="BV7" i="24"/>
  <c r="BV10" i="24"/>
  <c r="Z7" i="24"/>
  <c r="Z10" i="24"/>
  <c r="CV10" i="24"/>
  <c r="CV7" i="24"/>
  <c r="BT10" i="24"/>
  <c r="BT7" i="24"/>
  <c r="V7" i="24"/>
  <c r="V10" i="24"/>
  <c r="CG7" i="24"/>
  <c r="CG10" i="24"/>
  <c r="BQ7" i="24"/>
  <c r="BQ10" i="24"/>
  <c r="BA7" i="24"/>
  <c r="BA10" i="24"/>
  <c r="AK7" i="24"/>
  <c r="AK10" i="24"/>
  <c r="U7" i="24"/>
  <c r="U10" i="24"/>
  <c r="BD10" i="24"/>
  <c r="BD7" i="24"/>
  <c r="AN10" i="24"/>
  <c r="AN7" i="24"/>
  <c r="X10" i="24"/>
  <c r="X7" i="24"/>
  <c r="CQ7" i="24"/>
  <c r="CQ10" i="24"/>
  <c r="CA7" i="24"/>
  <c r="CA10" i="24"/>
  <c r="BK7" i="24"/>
  <c r="BK10" i="24"/>
  <c r="AU7" i="24"/>
  <c r="AU10" i="24"/>
  <c r="AE7" i="24"/>
  <c r="AE10" i="24"/>
  <c r="O7" i="24"/>
  <c r="O10" i="24"/>
  <c r="CH7" i="24"/>
  <c r="CH10" i="24"/>
  <c r="N7" i="24"/>
  <c r="N10" i="24"/>
  <c r="CZ10" i="24"/>
  <c r="CZ7" i="24"/>
  <c r="BE7" i="24"/>
  <c r="BE10" i="24"/>
  <c r="CY7" i="24"/>
  <c r="CY10" i="24"/>
  <c r="CP7" i="24"/>
  <c r="CP10" i="24"/>
  <c r="CF10" i="24"/>
  <c r="CF7" i="24"/>
  <c r="AT7" i="24"/>
  <c r="AT10" i="24"/>
  <c r="CS7" i="24"/>
  <c r="CS10" i="24"/>
  <c r="BN7" i="24"/>
  <c r="BN10" i="24"/>
  <c r="J7" i="24"/>
  <c r="J10" i="24"/>
  <c r="CR10" i="24"/>
  <c r="CR7" i="24"/>
  <c r="BL10" i="24"/>
  <c r="BL7" i="24"/>
  <c r="CC7" i="24"/>
  <c r="CC10" i="24"/>
  <c r="BM7" i="24"/>
  <c r="BM10" i="24"/>
  <c r="AW7" i="24"/>
  <c r="AW10" i="24"/>
  <c r="AG7" i="24"/>
  <c r="AG10" i="24"/>
  <c r="Q7" i="24"/>
  <c r="Q10" i="24"/>
  <c r="AZ10" i="24"/>
  <c r="AZ7" i="24"/>
  <c r="AJ10" i="24"/>
  <c r="AJ7" i="24"/>
  <c r="T10" i="24"/>
  <c r="T7" i="24"/>
  <c r="CM7" i="24"/>
  <c r="CM10" i="24"/>
  <c r="BW7" i="24"/>
  <c r="BW10" i="24"/>
  <c r="BG7" i="24"/>
  <c r="BG10" i="24"/>
  <c r="AQ7" i="24"/>
  <c r="AQ10" i="24"/>
  <c r="AA7" i="24"/>
  <c r="AA10" i="24"/>
  <c r="K7" i="24"/>
  <c r="K10" i="24"/>
  <c r="BR7" i="24"/>
  <c r="BR10" i="24"/>
  <c r="BP10" i="24"/>
  <c r="BP7" i="24"/>
  <c r="AP7" i="24"/>
  <c r="AP10" i="24"/>
  <c r="AL7" i="24"/>
  <c r="AL10" i="24"/>
  <c r="BU7" i="24"/>
  <c r="BU10" i="24"/>
  <c r="Y7" i="24"/>
  <c r="Y10" i="24"/>
  <c r="AR10" i="24"/>
  <c r="AR7" i="24"/>
  <c r="CU7" i="24"/>
  <c r="CU10" i="24"/>
  <c r="BJ7" i="24"/>
  <c r="BJ10" i="24"/>
  <c r="CX7" i="24"/>
  <c r="CX10" i="24"/>
  <c r="BX10" i="24"/>
  <c r="BX7" i="24"/>
  <c r="AD7" i="24"/>
  <c r="AD10" i="24"/>
  <c r="CL7" i="24"/>
  <c r="CL10" i="24"/>
  <c r="BF7" i="24"/>
  <c r="BF10" i="24"/>
  <c r="CJ10" i="24"/>
  <c r="CJ7" i="24"/>
  <c r="BB7" i="24"/>
  <c r="BB10" i="24"/>
  <c r="CO7" i="24"/>
  <c r="CO10" i="24"/>
  <c r="BY7" i="24"/>
  <c r="BY10" i="24"/>
  <c r="BI7" i="24"/>
  <c r="BI10" i="24"/>
  <c r="AS7" i="24"/>
  <c r="AS10" i="24"/>
  <c r="AC7" i="24"/>
  <c r="AC10" i="24"/>
  <c r="M7" i="24"/>
  <c r="M10" i="24"/>
  <c r="AV10" i="24"/>
  <c r="AV7" i="24"/>
  <c r="AF10" i="24"/>
  <c r="AF7" i="24"/>
  <c r="P10" i="24"/>
  <c r="P7" i="24"/>
  <c r="CI7" i="24"/>
  <c r="CI10" i="24"/>
  <c r="BS7" i="24"/>
  <c r="BS10" i="24"/>
  <c r="BC7" i="24"/>
  <c r="BC10" i="24"/>
  <c r="AM7" i="24"/>
  <c r="AM10" i="24"/>
  <c r="W7" i="24"/>
  <c r="W10" i="24"/>
  <c r="K33" i="24" l="1"/>
  <c r="K34" i="24" s="1"/>
  <c r="J181" i="24"/>
  <c r="D151" i="15"/>
  <c r="C152" i="15" s="1"/>
  <c r="D152" i="15" s="1"/>
  <c r="C153" i="15" s="1"/>
  <c r="D153" i="15" s="1"/>
  <c r="C154" i="15" s="1"/>
  <c r="D154" i="15" s="1"/>
  <c r="C155" i="15" s="1"/>
  <c r="D155" i="15" s="1"/>
  <c r="C156" i="15" s="1"/>
  <c r="D156" i="15" s="1"/>
  <c r="C157" i="15" s="1"/>
  <c r="D157" i="15" s="1"/>
  <c r="C158" i="15" s="1"/>
  <c r="D158" i="15" s="1"/>
  <c r="C159" i="15" s="1"/>
  <c r="D159" i="15" s="1"/>
  <c r="C160" i="15" s="1"/>
  <c r="D160" i="15" s="1"/>
  <c r="C161" i="15" s="1"/>
  <c r="D161" i="15" s="1"/>
  <c r="C162" i="15" s="1"/>
  <c r="D162" i="15" s="1"/>
  <c r="C163" i="15" s="1"/>
  <c r="D163" i="15" s="1"/>
  <c r="C164" i="15" s="1"/>
  <c r="D164" i="15" s="1"/>
  <c r="C165" i="15" s="1"/>
  <c r="D165" i="15" s="1"/>
  <c r="C166" i="15" s="1"/>
  <c r="D166" i="15" s="1"/>
  <c r="C167" i="15" s="1"/>
  <c r="D167" i="15" s="1"/>
  <c r="C168" i="15" s="1"/>
  <c r="D168" i="15" s="1"/>
  <c r="C169" i="15" s="1"/>
  <c r="D169" i="15" s="1"/>
  <c r="C170" i="15" s="1"/>
  <c r="D170" i="15" s="1"/>
  <c r="C171" i="15" s="1"/>
  <c r="D171" i="15" s="1"/>
  <c r="C172" i="15" s="1"/>
  <c r="D172" i="15" s="1"/>
  <c r="C173" i="15" s="1"/>
  <c r="D173" i="15" s="1"/>
  <c r="C174" i="15" s="1"/>
  <c r="D174" i="15" s="1"/>
  <c r="C175" i="15" s="1"/>
  <c r="D175" i="15" s="1"/>
  <c r="C176" i="15" s="1"/>
  <c r="D176" i="15" s="1"/>
  <c r="C177" i="15" s="1"/>
  <c r="D177" i="15" s="1"/>
  <c r="C178" i="15" s="1"/>
  <c r="D178" i="15" s="1"/>
  <c r="C179" i="15" s="1"/>
  <c r="D179" i="15" s="1"/>
  <c r="C180" i="15" s="1"/>
  <c r="D180" i="15" s="1"/>
  <c r="C181" i="15" s="1"/>
  <c r="D181" i="15" s="1"/>
  <c r="C182" i="15" s="1"/>
  <c r="D182" i="15" s="1"/>
  <c r="F411" i="46"/>
  <c r="G411" i="46"/>
  <c r="L412" i="46" s="1"/>
  <c r="D411" i="46"/>
  <c r="L412" i="44"/>
  <c r="I410" i="44"/>
  <c r="J143" i="24"/>
  <c r="J144" i="24"/>
  <c r="J145" i="24"/>
  <c r="J146" i="24"/>
  <c r="I143" i="24"/>
  <c r="I144" i="24"/>
  <c r="I145" i="24"/>
  <c r="I146" i="24"/>
  <c r="J137" i="24"/>
  <c r="J138" i="24"/>
  <c r="J136" i="24"/>
  <c r="J139" i="24"/>
  <c r="Q35" i="53"/>
  <c r="AA35" i="53"/>
  <c r="AC136" i="24"/>
  <c r="I139" i="24"/>
  <c r="I136" i="24"/>
  <c r="I137" i="24"/>
  <c r="I138" i="24"/>
  <c r="X45" i="53"/>
  <c r="Z45" i="53"/>
  <c r="Y45" i="53"/>
  <c r="B20" i="44"/>
  <c r="B20" i="54"/>
  <c r="B21" i="54" s="1"/>
  <c r="B22" i="54" s="1"/>
  <c r="B23" i="54" s="1"/>
  <c r="B24" i="54" s="1"/>
  <c r="B25" i="54" s="1"/>
  <c r="B26" i="54" s="1"/>
  <c r="B27" i="54" s="1"/>
  <c r="B28" i="54" s="1"/>
  <c r="B29" i="54" s="1"/>
  <c r="B30" i="54" s="1"/>
  <c r="B31" i="54" s="1"/>
  <c r="B32" i="54" s="1"/>
  <c r="B33" i="54" s="1"/>
  <c r="B34" i="54" s="1"/>
  <c r="B35" i="54" s="1"/>
  <c r="B36" i="54" s="1"/>
  <c r="B37" i="54" s="1"/>
  <c r="B38" i="54" s="1"/>
  <c r="B39" i="54" s="1"/>
  <c r="B40" i="54" s="1"/>
  <c r="B41" i="54" s="1"/>
  <c r="B42" i="54" s="1"/>
  <c r="B43" i="54" s="1"/>
  <c r="B44" i="54" s="1"/>
  <c r="B45" i="54" s="1"/>
  <c r="B46" i="54" s="1"/>
  <c r="B47" i="54" s="1"/>
  <c r="B48" i="54" s="1"/>
  <c r="B49" i="54" s="1"/>
  <c r="B50" i="54" s="1"/>
  <c r="B51" i="54" s="1"/>
  <c r="B52" i="54" s="1"/>
  <c r="B53" i="54" s="1"/>
  <c r="B54" i="54" s="1"/>
  <c r="B55" i="54" s="1"/>
  <c r="B56" i="54" s="1"/>
  <c r="B57" i="54" s="1"/>
  <c r="B58" i="54" s="1"/>
  <c r="B59" i="54" s="1"/>
  <c r="B60" i="54" s="1"/>
  <c r="B61" i="54" s="1"/>
  <c r="B62" i="54" s="1"/>
  <c r="B63" i="54" s="1"/>
  <c r="B64" i="54" s="1"/>
  <c r="B65" i="54" s="1"/>
  <c r="B66" i="54" s="1"/>
  <c r="B67" i="54" s="1"/>
  <c r="B68" i="54" s="1"/>
  <c r="B69" i="54" s="1"/>
  <c r="B70" i="54" s="1"/>
  <c r="B71" i="54" s="1"/>
  <c r="B72" i="54" s="1"/>
  <c r="B73" i="54" s="1"/>
  <c r="B74" i="54" s="1"/>
  <c r="B75" i="54" s="1"/>
  <c r="B76" i="54" s="1"/>
  <c r="B77" i="54" s="1"/>
  <c r="B78" i="54" s="1"/>
  <c r="B79" i="54" s="1"/>
  <c r="B80" i="54" s="1"/>
  <c r="B81" i="54" s="1"/>
  <c r="B82" i="54" s="1"/>
  <c r="B83" i="54" s="1"/>
  <c r="B84" i="54" s="1"/>
  <c r="B85" i="54" s="1"/>
  <c r="B86" i="54" s="1"/>
  <c r="B87" i="54" s="1"/>
  <c r="B88" i="54" s="1"/>
  <c r="B89" i="54" s="1"/>
  <c r="B90" i="54" s="1"/>
  <c r="B91" i="54" s="1"/>
  <c r="B92" i="54" s="1"/>
  <c r="B93" i="54" s="1"/>
  <c r="B94" i="54" s="1"/>
  <c r="B95" i="54" s="1"/>
  <c r="B96" i="54" s="1"/>
  <c r="B97" i="54" s="1"/>
  <c r="B98" i="54" s="1"/>
  <c r="B99" i="54" s="1"/>
  <c r="B100" i="54" s="1"/>
  <c r="B101" i="54" s="1"/>
  <c r="B102" i="54" s="1"/>
  <c r="B103" i="54" s="1"/>
  <c r="B104" i="54" s="1"/>
  <c r="B105" i="54" s="1"/>
  <c r="B106" i="54" s="1"/>
  <c r="B107" i="54" s="1"/>
  <c r="B108" i="54" s="1"/>
  <c r="B109" i="54" s="1"/>
  <c r="B110" i="54" s="1"/>
  <c r="B111" i="54" s="1"/>
  <c r="B112" i="54" s="1"/>
  <c r="B113" i="54" s="1"/>
  <c r="B114" i="54" s="1"/>
  <c r="B115" i="54" s="1"/>
  <c r="B116" i="54" s="1"/>
  <c r="B117" i="54" s="1"/>
  <c r="B118" i="54" s="1"/>
  <c r="B119" i="54" s="1"/>
  <c r="B120" i="54" s="1"/>
  <c r="B121" i="54" s="1"/>
  <c r="B122" i="54" s="1"/>
  <c r="B123" i="54" s="1"/>
  <c r="B124" i="54" s="1"/>
  <c r="B125" i="54" s="1"/>
  <c r="B126" i="54" s="1"/>
  <c r="B127" i="54" s="1"/>
  <c r="B128" i="54" s="1"/>
  <c r="B129" i="54" s="1"/>
  <c r="B130" i="54" s="1"/>
  <c r="B131" i="54" s="1"/>
  <c r="B132" i="54" s="1"/>
  <c r="B133" i="54" s="1"/>
  <c r="B134" i="54" s="1"/>
  <c r="B135" i="54" s="1"/>
  <c r="B136" i="54" s="1"/>
  <c r="B137" i="54" s="1"/>
  <c r="B138" i="54" s="1"/>
  <c r="B139" i="54" s="1"/>
  <c r="B140" i="54" s="1"/>
  <c r="B141" i="54" s="1"/>
  <c r="B142" i="54" s="1"/>
  <c r="B143" i="54" s="1"/>
  <c r="B144" i="54" s="1"/>
  <c r="B145" i="54" s="1"/>
  <c r="B146" i="54" s="1"/>
  <c r="B147" i="54" s="1"/>
  <c r="B148" i="54" s="1"/>
  <c r="B149" i="54" s="1"/>
  <c r="B150" i="54" s="1"/>
  <c r="B151" i="54" s="1"/>
  <c r="B152" i="54" s="1"/>
  <c r="B153" i="54" s="1"/>
  <c r="B154" i="54" s="1"/>
  <c r="B155" i="54" s="1"/>
  <c r="B156" i="54" s="1"/>
  <c r="B157" i="54" s="1"/>
  <c r="B158" i="54" s="1"/>
  <c r="B159" i="54" s="1"/>
  <c r="B160" i="54" s="1"/>
  <c r="B161" i="54" s="1"/>
  <c r="B162" i="54" s="1"/>
  <c r="B163" i="54" s="1"/>
  <c r="B164" i="54" s="1"/>
  <c r="B165" i="54" s="1"/>
  <c r="B166" i="54" s="1"/>
  <c r="B167" i="54" s="1"/>
  <c r="B168" i="54" s="1"/>
  <c r="B169" i="54" s="1"/>
  <c r="B170" i="54" s="1"/>
  <c r="B171" i="54" s="1"/>
  <c r="B172" i="54" s="1"/>
  <c r="B173" i="54" s="1"/>
  <c r="B174" i="54" s="1"/>
  <c r="B175" i="54" s="1"/>
  <c r="B176" i="54" s="1"/>
  <c r="B177" i="54" s="1"/>
  <c r="B178" i="54" s="1"/>
  <c r="B179" i="54" s="1"/>
  <c r="B180" i="54" s="1"/>
  <c r="B181" i="54" s="1"/>
  <c r="B182" i="54" s="1"/>
  <c r="B183" i="54" s="1"/>
  <c r="B184" i="54" s="1"/>
  <c r="B185" i="54" s="1"/>
  <c r="B186" i="54" s="1"/>
  <c r="B187" i="54" s="1"/>
  <c r="B188" i="54" s="1"/>
  <c r="B189" i="54" s="1"/>
  <c r="B190" i="54" s="1"/>
  <c r="B191" i="54" s="1"/>
  <c r="B192" i="54" s="1"/>
  <c r="B193" i="54" s="1"/>
  <c r="B194" i="54" s="1"/>
  <c r="B195" i="54" s="1"/>
  <c r="B196" i="54" s="1"/>
  <c r="B197" i="54" s="1"/>
  <c r="B198" i="54" s="1"/>
  <c r="B199" i="54" s="1"/>
  <c r="B200" i="54" s="1"/>
  <c r="B201" i="54" s="1"/>
  <c r="B202" i="54" s="1"/>
  <c r="B203" i="54" s="1"/>
  <c r="B204" i="54" s="1"/>
  <c r="B205" i="54" s="1"/>
  <c r="B206" i="54" s="1"/>
  <c r="B207" i="54" s="1"/>
  <c r="B208" i="54" s="1"/>
  <c r="B209" i="54" s="1"/>
  <c r="B210" i="54" s="1"/>
  <c r="B211" i="54" s="1"/>
  <c r="B212" i="54" s="1"/>
  <c r="B213" i="54" s="1"/>
  <c r="B214" i="54" s="1"/>
  <c r="B215" i="54" s="1"/>
  <c r="B216" i="54" s="1"/>
  <c r="B217" i="54" s="1"/>
  <c r="B218" i="54" s="1"/>
  <c r="B219" i="54" s="1"/>
  <c r="B220" i="54" s="1"/>
  <c r="B221" i="54" s="1"/>
  <c r="B222" i="54" s="1"/>
  <c r="B223" i="54" s="1"/>
  <c r="B224" i="54" s="1"/>
  <c r="B225" i="54" s="1"/>
  <c r="B226" i="54" s="1"/>
  <c r="B227" i="54" s="1"/>
  <c r="B228" i="54" s="1"/>
  <c r="B229" i="54" s="1"/>
  <c r="B230" i="54" s="1"/>
  <c r="B231" i="54" s="1"/>
  <c r="B232" i="54" s="1"/>
  <c r="B233" i="54" s="1"/>
  <c r="B234" i="54" s="1"/>
  <c r="B235" i="54" s="1"/>
  <c r="B236" i="54" s="1"/>
  <c r="B237" i="54" s="1"/>
  <c r="B238" i="54" s="1"/>
  <c r="B239" i="54" s="1"/>
  <c r="B240" i="54" s="1"/>
  <c r="B241" i="54" s="1"/>
  <c r="B242" i="54" s="1"/>
  <c r="B243" i="54" s="1"/>
  <c r="B244" i="54" s="1"/>
  <c r="B245" i="54" s="1"/>
  <c r="B246" i="54" s="1"/>
  <c r="B247" i="54" s="1"/>
  <c r="B248" i="54" s="1"/>
  <c r="B249" i="54" s="1"/>
  <c r="B250" i="54" s="1"/>
  <c r="B251" i="54" s="1"/>
  <c r="B252" i="54" s="1"/>
  <c r="B253" i="54" s="1"/>
  <c r="B254" i="54" s="1"/>
  <c r="B255" i="54" s="1"/>
  <c r="B256" i="54" s="1"/>
  <c r="B257" i="54" s="1"/>
  <c r="B258" i="54" s="1"/>
  <c r="B259" i="54" s="1"/>
  <c r="B260" i="54" s="1"/>
  <c r="B261" i="54" s="1"/>
  <c r="B262" i="54" s="1"/>
  <c r="B263" i="54" s="1"/>
  <c r="B264" i="54" s="1"/>
  <c r="B265" i="54" s="1"/>
  <c r="B266" i="54" s="1"/>
  <c r="B267" i="54" s="1"/>
  <c r="B268" i="54" s="1"/>
  <c r="B269" i="54" s="1"/>
  <c r="B270" i="54" s="1"/>
  <c r="B271" i="54" s="1"/>
  <c r="B272" i="54" s="1"/>
  <c r="B273" i="54" s="1"/>
  <c r="B274" i="54" s="1"/>
  <c r="B275" i="54" s="1"/>
  <c r="B276" i="54" s="1"/>
  <c r="B277" i="54" s="1"/>
  <c r="B278" i="54" s="1"/>
  <c r="B279" i="54" s="1"/>
  <c r="B280" i="54" s="1"/>
  <c r="B281" i="54" s="1"/>
  <c r="B282" i="54" s="1"/>
  <c r="B283" i="54" s="1"/>
  <c r="B284" i="54" s="1"/>
  <c r="B285" i="54" s="1"/>
  <c r="B286" i="54" s="1"/>
  <c r="B287" i="54" s="1"/>
  <c r="B288" i="54" s="1"/>
  <c r="B289" i="54" s="1"/>
  <c r="B290" i="54" s="1"/>
  <c r="B291" i="54" s="1"/>
  <c r="B292" i="54" s="1"/>
  <c r="B293" i="54" s="1"/>
  <c r="B294" i="54" s="1"/>
  <c r="B295" i="54" s="1"/>
  <c r="B296" i="54" s="1"/>
  <c r="B297" i="54" s="1"/>
  <c r="B298" i="54" s="1"/>
  <c r="B299" i="54" s="1"/>
  <c r="B300" i="54" s="1"/>
  <c r="B301" i="54" s="1"/>
  <c r="B302" i="54" s="1"/>
  <c r="B303" i="54" s="1"/>
  <c r="B304" i="54" s="1"/>
  <c r="B305" i="54" s="1"/>
  <c r="B306" i="54" s="1"/>
  <c r="B307" i="54" s="1"/>
  <c r="B308" i="54" s="1"/>
  <c r="B309" i="54" s="1"/>
  <c r="B310" i="54" s="1"/>
  <c r="B311" i="54" s="1"/>
  <c r="B312" i="54" s="1"/>
  <c r="B313" i="54" s="1"/>
  <c r="B314" i="54" s="1"/>
  <c r="B315" i="54" s="1"/>
  <c r="B316" i="54" s="1"/>
  <c r="B317" i="54" s="1"/>
  <c r="B318" i="54" s="1"/>
  <c r="B319" i="54" s="1"/>
  <c r="B320" i="54" s="1"/>
  <c r="B321" i="54" s="1"/>
  <c r="B322" i="54" s="1"/>
  <c r="B323" i="54" s="1"/>
  <c r="B324" i="54" s="1"/>
  <c r="B325" i="54" s="1"/>
  <c r="B326" i="54" s="1"/>
  <c r="B327" i="54" s="1"/>
  <c r="B328" i="54" s="1"/>
  <c r="B329" i="54" s="1"/>
  <c r="B330" i="54" s="1"/>
  <c r="B331" i="54" s="1"/>
  <c r="B332" i="54" s="1"/>
  <c r="B333" i="54" s="1"/>
  <c r="B334" i="54" s="1"/>
  <c r="B335" i="54" s="1"/>
  <c r="B336" i="54" s="1"/>
  <c r="B337" i="54" s="1"/>
  <c r="B338" i="54" s="1"/>
  <c r="B339" i="54" s="1"/>
  <c r="B340" i="54" s="1"/>
  <c r="B341" i="54" s="1"/>
  <c r="B342" i="54" s="1"/>
  <c r="B343" i="54" s="1"/>
  <c r="B344" i="54" s="1"/>
  <c r="B345" i="54" s="1"/>
  <c r="B346" i="54" s="1"/>
  <c r="B347" i="54" s="1"/>
  <c r="B348" i="54" s="1"/>
  <c r="B349" i="54" s="1"/>
  <c r="B350" i="54" s="1"/>
  <c r="B351" i="54" s="1"/>
  <c r="B352" i="54" s="1"/>
  <c r="B353" i="54" s="1"/>
  <c r="B354" i="54" s="1"/>
  <c r="B355" i="54" s="1"/>
  <c r="B356" i="54" s="1"/>
  <c r="B357" i="54" s="1"/>
  <c r="B358" i="54" s="1"/>
  <c r="B359" i="54" s="1"/>
  <c r="B360" i="54" s="1"/>
  <c r="B361" i="54" s="1"/>
  <c r="B362" i="54" s="1"/>
  <c r="B363" i="54" s="1"/>
  <c r="B364" i="54" s="1"/>
  <c r="B365" i="54" s="1"/>
  <c r="B366" i="54" s="1"/>
  <c r="B367" i="54" s="1"/>
  <c r="B368" i="54" s="1"/>
  <c r="B369" i="54" s="1"/>
  <c r="B370" i="54" s="1"/>
  <c r="B371" i="54" s="1"/>
  <c r="B372" i="54" s="1"/>
  <c r="B373" i="54" s="1"/>
  <c r="B374" i="54" s="1"/>
  <c r="B375" i="54" s="1"/>
  <c r="B376" i="54" s="1"/>
  <c r="B377" i="54" s="1"/>
  <c r="B378" i="54" s="1"/>
  <c r="B379" i="54" s="1"/>
  <c r="B380" i="54" s="1"/>
  <c r="B381" i="54" s="1"/>
  <c r="B382" i="54" s="1"/>
  <c r="B383" i="54" s="1"/>
  <c r="B384" i="54" s="1"/>
  <c r="B385" i="54" s="1"/>
  <c r="B386" i="54" s="1"/>
  <c r="B387" i="54" s="1"/>
  <c r="B388" i="54" s="1"/>
  <c r="B389" i="54" s="1"/>
  <c r="B390" i="54" s="1"/>
  <c r="B391" i="54" s="1"/>
  <c r="B392" i="54" s="1"/>
  <c r="B393" i="54" s="1"/>
  <c r="B394" i="54" s="1"/>
  <c r="B395" i="54" s="1"/>
  <c r="B396" i="54" s="1"/>
  <c r="B397" i="54" s="1"/>
  <c r="B398" i="54" s="1"/>
  <c r="B399" i="54" s="1"/>
  <c r="B400" i="54" s="1"/>
  <c r="B401" i="54" s="1"/>
  <c r="B402" i="54" s="1"/>
  <c r="B403" i="54" s="1"/>
  <c r="B404" i="54" s="1"/>
  <c r="B405" i="54" s="1"/>
  <c r="B406" i="54" s="1"/>
  <c r="B407" i="54" s="1"/>
  <c r="B408" i="54" s="1"/>
  <c r="B409" i="54" s="1"/>
  <c r="B410" i="54" s="1"/>
  <c r="B411" i="54" s="1"/>
  <c r="B412" i="54" s="1"/>
  <c r="B413" i="54" s="1"/>
  <c r="B414" i="54" s="1"/>
  <c r="B415" i="54" s="1"/>
  <c r="B416" i="54" s="1"/>
  <c r="B417" i="54" s="1"/>
  <c r="B418" i="54" s="1"/>
  <c r="B419" i="54" s="1"/>
  <c r="B420" i="54" s="1"/>
  <c r="B421" i="54" s="1"/>
  <c r="B422" i="54" s="1"/>
  <c r="B423" i="54" s="1"/>
  <c r="B424" i="54" s="1"/>
  <c r="B425" i="54" s="1"/>
  <c r="B426" i="54" s="1"/>
  <c r="B427" i="54" s="1"/>
  <c r="B428" i="54" s="1"/>
  <c r="B429" i="54" s="1"/>
  <c r="B430" i="54" s="1"/>
  <c r="B431" i="54" s="1"/>
  <c r="B432" i="54" s="1"/>
  <c r="B433" i="54" s="1"/>
  <c r="B434" i="54" s="1"/>
  <c r="B435" i="54" s="1"/>
  <c r="B436" i="54" s="1"/>
  <c r="B437" i="54" s="1"/>
  <c r="B438" i="54" s="1"/>
  <c r="B439" i="54" s="1"/>
  <c r="B440" i="54" s="1"/>
  <c r="B20" i="53"/>
  <c r="B21" i="53" s="1"/>
  <c r="B22" i="53" s="1"/>
  <c r="B23" i="53" s="1"/>
  <c r="B24" i="53" s="1"/>
  <c r="B25" i="53" s="1"/>
  <c r="B26" i="53" s="1"/>
  <c r="B27" i="53" s="1"/>
  <c r="B28" i="53" s="1"/>
  <c r="B29" i="53" s="1"/>
  <c r="B30" i="53" s="1"/>
  <c r="B31" i="53" s="1"/>
  <c r="B32" i="53" s="1"/>
  <c r="B33" i="53" s="1"/>
  <c r="B34" i="53" s="1"/>
  <c r="B35" i="53" s="1"/>
  <c r="B36" i="53" s="1"/>
  <c r="B37" i="53" s="1"/>
  <c r="B38" i="53" s="1"/>
  <c r="B39" i="53" s="1"/>
  <c r="B40" i="53" s="1"/>
  <c r="B41" i="53" s="1"/>
  <c r="B42" i="53" s="1"/>
  <c r="B43" i="53" s="1"/>
  <c r="B44" i="53" s="1"/>
  <c r="B45" i="53" s="1"/>
  <c r="B46" i="53" s="1"/>
  <c r="B47" i="53" s="1"/>
  <c r="B48" i="53" s="1"/>
  <c r="B49" i="53" s="1"/>
  <c r="B50" i="53" s="1"/>
  <c r="B51" i="53" s="1"/>
  <c r="B52" i="53" s="1"/>
  <c r="B53" i="53" s="1"/>
  <c r="B54" i="53" s="1"/>
  <c r="B55" i="53" s="1"/>
  <c r="B56" i="53" s="1"/>
  <c r="B57" i="53" s="1"/>
  <c r="B58" i="53" s="1"/>
  <c r="B59" i="53" s="1"/>
  <c r="B60" i="53" s="1"/>
  <c r="B61" i="53" s="1"/>
  <c r="B62" i="53" s="1"/>
  <c r="B63" i="53" s="1"/>
  <c r="B64" i="53" s="1"/>
  <c r="B65" i="53" s="1"/>
  <c r="B66" i="53" s="1"/>
  <c r="B67" i="53" s="1"/>
  <c r="B68" i="53" s="1"/>
  <c r="B69" i="53" s="1"/>
  <c r="B70" i="53" s="1"/>
  <c r="B71" i="53" s="1"/>
  <c r="B72" i="53" s="1"/>
  <c r="B73" i="53" s="1"/>
  <c r="B74" i="53" s="1"/>
  <c r="B75" i="53" s="1"/>
  <c r="B76" i="53" s="1"/>
  <c r="B77" i="53" s="1"/>
  <c r="B78" i="53" s="1"/>
  <c r="B79" i="53" s="1"/>
  <c r="B80" i="53" s="1"/>
  <c r="B81" i="53" s="1"/>
  <c r="B82" i="53" s="1"/>
  <c r="B83" i="53" s="1"/>
  <c r="B84" i="53" s="1"/>
  <c r="B85" i="53" s="1"/>
  <c r="B86" i="53" s="1"/>
  <c r="B87" i="53" s="1"/>
  <c r="B88" i="53" s="1"/>
  <c r="B89" i="53" s="1"/>
  <c r="B90" i="53" s="1"/>
  <c r="B91" i="53" s="1"/>
  <c r="B92" i="53" s="1"/>
  <c r="B93" i="53" s="1"/>
  <c r="B94" i="53" s="1"/>
  <c r="B95" i="53" s="1"/>
  <c r="B96" i="53" s="1"/>
  <c r="B97" i="53" s="1"/>
  <c r="B98" i="53" s="1"/>
  <c r="B99" i="53" s="1"/>
  <c r="B100" i="53" s="1"/>
  <c r="B101" i="53" s="1"/>
  <c r="B102" i="53" s="1"/>
  <c r="B103" i="53" s="1"/>
  <c r="B104" i="53" s="1"/>
  <c r="B105" i="53" s="1"/>
  <c r="B106" i="53" s="1"/>
  <c r="B107" i="53" s="1"/>
  <c r="B108" i="53" s="1"/>
  <c r="B109" i="53" s="1"/>
  <c r="B110" i="53" s="1"/>
  <c r="B111" i="53" s="1"/>
  <c r="B112" i="53" s="1"/>
  <c r="B113" i="53" s="1"/>
  <c r="B114" i="53" s="1"/>
  <c r="B115" i="53" s="1"/>
  <c r="B116" i="53" s="1"/>
  <c r="B117" i="53" s="1"/>
  <c r="B118" i="53" s="1"/>
  <c r="B119" i="53" s="1"/>
  <c r="B120" i="53" s="1"/>
  <c r="B121" i="53" s="1"/>
  <c r="B122" i="53" s="1"/>
  <c r="B123" i="53" s="1"/>
  <c r="B124" i="53" s="1"/>
  <c r="B125" i="53" s="1"/>
  <c r="B126" i="53" s="1"/>
  <c r="B127" i="53" s="1"/>
  <c r="B128" i="53" s="1"/>
  <c r="B129" i="53" s="1"/>
  <c r="B130" i="53" s="1"/>
  <c r="B131" i="53" s="1"/>
  <c r="B132" i="53" s="1"/>
  <c r="B133" i="53" s="1"/>
  <c r="B134" i="53" s="1"/>
  <c r="B135" i="53" s="1"/>
  <c r="B136" i="53" s="1"/>
  <c r="B137" i="53" s="1"/>
  <c r="B138" i="53" s="1"/>
  <c r="B139" i="53" s="1"/>
  <c r="B140" i="53" s="1"/>
  <c r="B141" i="53" s="1"/>
  <c r="B142" i="53" s="1"/>
  <c r="B143" i="53" s="1"/>
  <c r="B144" i="53" s="1"/>
  <c r="B145" i="53" s="1"/>
  <c r="B146" i="53" s="1"/>
  <c r="B147" i="53" s="1"/>
  <c r="B148" i="53" s="1"/>
  <c r="B149" i="53" s="1"/>
  <c r="B150" i="53" s="1"/>
  <c r="B151" i="53" s="1"/>
  <c r="B152" i="53" s="1"/>
  <c r="B153" i="53" s="1"/>
  <c r="B154" i="53" s="1"/>
  <c r="B155" i="53" s="1"/>
  <c r="B156" i="53" s="1"/>
  <c r="B157" i="53" s="1"/>
  <c r="B158" i="53" s="1"/>
  <c r="B159" i="53" s="1"/>
  <c r="B160" i="53" s="1"/>
  <c r="B161" i="53" s="1"/>
  <c r="B162" i="53" s="1"/>
  <c r="B163" i="53" s="1"/>
  <c r="B164" i="53" s="1"/>
  <c r="B165" i="53" s="1"/>
  <c r="B166" i="53" s="1"/>
  <c r="B167" i="53" s="1"/>
  <c r="B168" i="53" s="1"/>
  <c r="B169" i="53" s="1"/>
  <c r="B170" i="53" s="1"/>
  <c r="B171" i="53" s="1"/>
  <c r="B172" i="53" s="1"/>
  <c r="B173" i="53" s="1"/>
  <c r="B174" i="53" s="1"/>
  <c r="B175" i="53" s="1"/>
  <c r="B176" i="53" s="1"/>
  <c r="B177" i="53" s="1"/>
  <c r="B178" i="53" s="1"/>
  <c r="B179" i="53" s="1"/>
  <c r="B180" i="53" s="1"/>
  <c r="B181" i="53" s="1"/>
  <c r="B182" i="53" s="1"/>
  <c r="B183" i="53" s="1"/>
  <c r="B184" i="53" s="1"/>
  <c r="B185" i="53" s="1"/>
  <c r="B186" i="53" s="1"/>
  <c r="B187" i="53" s="1"/>
  <c r="B188" i="53" s="1"/>
  <c r="B189" i="53" s="1"/>
  <c r="B190" i="53" s="1"/>
  <c r="B191" i="53" s="1"/>
  <c r="B192" i="53" s="1"/>
  <c r="B193" i="53" s="1"/>
  <c r="B194" i="53" s="1"/>
  <c r="B195" i="53" s="1"/>
  <c r="B196" i="53" s="1"/>
  <c r="B197" i="53" s="1"/>
  <c r="B198" i="53" s="1"/>
  <c r="B199" i="53" s="1"/>
  <c r="B200" i="53" s="1"/>
  <c r="B201" i="53" s="1"/>
  <c r="B202" i="53" s="1"/>
  <c r="B203" i="53" s="1"/>
  <c r="B204" i="53" s="1"/>
  <c r="B205" i="53" s="1"/>
  <c r="B206" i="53" s="1"/>
  <c r="B207" i="53" s="1"/>
  <c r="B208" i="53" s="1"/>
  <c r="B209" i="53" s="1"/>
  <c r="B210" i="53" s="1"/>
  <c r="B211" i="53" s="1"/>
  <c r="B212" i="53" s="1"/>
  <c r="B213" i="53" s="1"/>
  <c r="B214" i="53" s="1"/>
  <c r="B215" i="53" s="1"/>
  <c r="B216" i="53" s="1"/>
  <c r="B217" i="53" s="1"/>
  <c r="B218" i="53" s="1"/>
  <c r="B219" i="53" s="1"/>
  <c r="B220" i="53" s="1"/>
  <c r="B221" i="53" s="1"/>
  <c r="B222" i="53" s="1"/>
  <c r="B223" i="53" s="1"/>
  <c r="B224" i="53" s="1"/>
  <c r="B225" i="53" s="1"/>
  <c r="B226" i="53" s="1"/>
  <c r="B227" i="53" s="1"/>
  <c r="B228" i="53" s="1"/>
  <c r="B229" i="53" s="1"/>
  <c r="B230" i="53" s="1"/>
  <c r="B231" i="53" s="1"/>
  <c r="B232" i="53" s="1"/>
  <c r="B233" i="53" s="1"/>
  <c r="B234" i="53" s="1"/>
  <c r="B235" i="53" s="1"/>
  <c r="B236" i="53" s="1"/>
  <c r="B237" i="53" s="1"/>
  <c r="B238" i="53" s="1"/>
  <c r="B239" i="53" s="1"/>
  <c r="B240" i="53" s="1"/>
  <c r="B241" i="53" s="1"/>
  <c r="B242" i="53" s="1"/>
  <c r="B243" i="53" s="1"/>
  <c r="B244" i="53" s="1"/>
  <c r="B245" i="53" s="1"/>
  <c r="B246" i="53" s="1"/>
  <c r="B247" i="53" s="1"/>
  <c r="B248" i="53" s="1"/>
  <c r="B249" i="53" s="1"/>
  <c r="B250" i="53" s="1"/>
  <c r="B251" i="53" s="1"/>
  <c r="B252" i="53" s="1"/>
  <c r="B253" i="53" s="1"/>
  <c r="B254" i="53" s="1"/>
  <c r="B255" i="53" s="1"/>
  <c r="B256" i="53" s="1"/>
  <c r="B257" i="53" s="1"/>
  <c r="B258" i="53" s="1"/>
  <c r="B259" i="53" s="1"/>
  <c r="B260" i="53" s="1"/>
  <c r="B261" i="53" s="1"/>
  <c r="B262" i="53" s="1"/>
  <c r="B263" i="53" s="1"/>
  <c r="B264" i="53" s="1"/>
  <c r="B265" i="53" s="1"/>
  <c r="B266" i="53" s="1"/>
  <c r="B267" i="53" s="1"/>
  <c r="B268" i="53" s="1"/>
  <c r="B269" i="53" s="1"/>
  <c r="B270" i="53" s="1"/>
  <c r="B271" i="53" s="1"/>
  <c r="B272" i="53" s="1"/>
  <c r="B273" i="53" s="1"/>
  <c r="B274" i="53" s="1"/>
  <c r="B275" i="53" s="1"/>
  <c r="B276" i="53" s="1"/>
  <c r="B277" i="53" s="1"/>
  <c r="B278" i="53" s="1"/>
  <c r="B279" i="53" s="1"/>
  <c r="B280" i="53" s="1"/>
  <c r="B281" i="53" s="1"/>
  <c r="B282" i="53" s="1"/>
  <c r="B283" i="53" s="1"/>
  <c r="B284" i="53" s="1"/>
  <c r="B285" i="53" s="1"/>
  <c r="B286" i="53" s="1"/>
  <c r="B287" i="53" s="1"/>
  <c r="B288" i="53" s="1"/>
  <c r="B289" i="53" s="1"/>
  <c r="B290" i="53" s="1"/>
  <c r="B291" i="53" s="1"/>
  <c r="B292" i="53" s="1"/>
  <c r="B293" i="53" s="1"/>
  <c r="B294" i="53" s="1"/>
  <c r="B295" i="53" s="1"/>
  <c r="B296" i="53" s="1"/>
  <c r="B297" i="53" s="1"/>
  <c r="B298" i="53" s="1"/>
  <c r="B299" i="53" s="1"/>
  <c r="B300" i="53" s="1"/>
  <c r="B301" i="53" s="1"/>
  <c r="B302" i="53" s="1"/>
  <c r="B303" i="53" s="1"/>
  <c r="B304" i="53" s="1"/>
  <c r="B305" i="53" s="1"/>
  <c r="B306" i="53" s="1"/>
  <c r="B307" i="53" s="1"/>
  <c r="B308" i="53" s="1"/>
  <c r="B309" i="53" s="1"/>
  <c r="B310" i="53" s="1"/>
  <c r="B311" i="53" s="1"/>
  <c r="B312" i="53" s="1"/>
  <c r="B313" i="53" s="1"/>
  <c r="B314" i="53" s="1"/>
  <c r="B315" i="53" s="1"/>
  <c r="B316" i="53" s="1"/>
  <c r="B317" i="53" s="1"/>
  <c r="B318" i="53" s="1"/>
  <c r="B319" i="53" s="1"/>
  <c r="B320" i="53" s="1"/>
  <c r="B321" i="53" s="1"/>
  <c r="B322" i="53" s="1"/>
  <c r="B323" i="53" s="1"/>
  <c r="B324" i="53" s="1"/>
  <c r="B325" i="53" s="1"/>
  <c r="B326" i="53" s="1"/>
  <c r="B327" i="53" s="1"/>
  <c r="B328" i="53" s="1"/>
  <c r="B329" i="53" s="1"/>
  <c r="B330" i="53" s="1"/>
  <c r="B331" i="53" s="1"/>
  <c r="B332" i="53" s="1"/>
  <c r="B333" i="53" s="1"/>
  <c r="B334" i="53" s="1"/>
  <c r="B335" i="53" s="1"/>
  <c r="B336" i="53" s="1"/>
  <c r="B337" i="53" s="1"/>
  <c r="B338" i="53" s="1"/>
  <c r="B339" i="53" s="1"/>
  <c r="B340" i="53" s="1"/>
  <c r="B341" i="53" s="1"/>
  <c r="B342" i="53" s="1"/>
  <c r="B343" i="53" s="1"/>
  <c r="B344" i="53" s="1"/>
  <c r="B345" i="53" s="1"/>
  <c r="B346" i="53" s="1"/>
  <c r="B347" i="53" s="1"/>
  <c r="B348" i="53" s="1"/>
  <c r="B349" i="53" s="1"/>
  <c r="B350" i="53" s="1"/>
  <c r="B351" i="53" s="1"/>
  <c r="B352" i="53" s="1"/>
  <c r="B353" i="53" s="1"/>
  <c r="B354" i="53" s="1"/>
  <c r="B355" i="53" s="1"/>
  <c r="B356" i="53" s="1"/>
  <c r="B357" i="53" s="1"/>
  <c r="B358" i="53" s="1"/>
  <c r="B359" i="53" s="1"/>
  <c r="B360" i="53" s="1"/>
  <c r="B361" i="53" s="1"/>
  <c r="B362" i="53" s="1"/>
  <c r="B363" i="53" s="1"/>
  <c r="B364" i="53" s="1"/>
  <c r="B365" i="53" s="1"/>
  <c r="B366" i="53" s="1"/>
  <c r="B367" i="53" s="1"/>
  <c r="B368" i="53" s="1"/>
  <c r="B369" i="53" s="1"/>
  <c r="B370" i="53" s="1"/>
  <c r="B371" i="53" s="1"/>
  <c r="B372" i="53" s="1"/>
  <c r="B373" i="53" s="1"/>
  <c r="B374" i="53" s="1"/>
  <c r="B375" i="53" s="1"/>
  <c r="B376" i="53" s="1"/>
  <c r="B377" i="53" s="1"/>
  <c r="B378" i="53" s="1"/>
  <c r="B379" i="53" s="1"/>
  <c r="B380" i="53" s="1"/>
  <c r="B381" i="53" s="1"/>
  <c r="B382" i="53" s="1"/>
  <c r="B383" i="53" s="1"/>
  <c r="B384" i="53" s="1"/>
  <c r="B385" i="53" s="1"/>
  <c r="B386" i="53" s="1"/>
  <c r="B387" i="53" s="1"/>
  <c r="B388" i="53" s="1"/>
  <c r="B389" i="53" s="1"/>
  <c r="B390" i="53" s="1"/>
  <c r="B391" i="53" s="1"/>
  <c r="B392" i="53" s="1"/>
  <c r="B393" i="53" s="1"/>
  <c r="B394" i="53" s="1"/>
  <c r="B395" i="53" s="1"/>
  <c r="B396" i="53" s="1"/>
  <c r="B397" i="53" s="1"/>
  <c r="B398" i="53" s="1"/>
  <c r="B399" i="53" s="1"/>
  <c r="B400" i="53" s="1"/>
  <c r="B401" i="53" s="1"/>
  <c r="B402" i="53" s="1"/>
  <c r="B403" i="53" s="1"/>
  <c r="B404" i="53" s="1"/>
  <c r="B405" i="53" s="1"/>
  <c r="B406" i="53" s="1"/>
  <c r="B407" i="53" s="1"/>
  <c r="B408" i="53" s="1"/>
  <c r="B409" i="53" s="1"/>
  <c r="B410" i="53" s="1"/>
  <c r="B411" i="53" s="1"/>
  <c r="B412" i="53" s="1"/>
  <c r="B413" i="53" s="1"/>
  <c r="B414" i="53" s="1"/>
  <c r="B415" i="53" s="1"/>
  <c r="B416" i="53" s="1"/>
  <c r="B417" i="53" s="1"/>
  <c r="B418" i="53" s="1"/>
  <c r="B419" i="53" s="1"/>
  <c r="B420" i="53" s="1"/>
  <c r="B421" i="53" s="1"/>
  <c r="B422" i="53" s="1"/>
  <c r="B423" i="53" s="1"/>
  <c r="B424" i="53" s="1"/>
  <c r="B425" i="53" s="1"/>
  <c r="B426" i="53" s="1"/>
  <c r="B427" i="53" s="1"/>
  <c r="B428" i="53" s="1"/>
  <c r="B429" i="53" s="1"/>
  <c r="B430" i="53" s="1"/>
  <c r="B431" i="53" s="1"/>
  <c r="B432" i="53" s="1"/>
  <c r="B433" i="53" s="1"/>
  <c r="B434" i="53" s="1"/>
  <c r="B435" i="53" s="1"/>
  <c r="B436" i="53" s="1"/>
  <c r="B437" i="53" s="1"/>
  <c r="B438" i="53" s="1"/>
  <c r="B439" i="53" s="1"/>
  <c r="B440" i="53" s="1"/>
  <c r="CI6" i="24"/>
  <c r="BY6" i="24"/>
  <c r="CX6" i="24"/>
  <c r="AG6" i="24"/>
  <c r="CS6" i="24"/>
  <c r="CS13" i="24" s="1"/>
  <c r="AE6" i="24"/>
  <c r="U6" i="24"/>
  <c r="CW6" i="24"/>
  <c r="CW13" i="24" s="1"/>
  <c r="BX6" i="24"/>
  <c r="BX13" i="24" s="1"/>
  <c r="BD6" i="24"/>
  <c r="BH6" i="24"/>
  <c r="BS6" i="24"/>
  <c r="BI6" i="24"/>
  <c r="BJ6" i="24"/>
  <c r="BU6" i="24"/>
  <c r="BR6" i="24"/>
  <c r="BR13" i="24" s="1"/>
  <c r="AA6" i="24"/>
  <c r="AA13" i="24" s="1"/>
  <c r="BG6" i="24"/>
  <c r="CM6" i="24"/>
  <c r="Q6" i="24"/>
  <c r="AW6" i="24"/>
  <c r="CC6" i="24"/>
  <c r="BN6" i="24"/>
  <c r="AT6" i="24"/>
  <c r="AT13" i="24" s="1"/>
  <c r="CP6" i="24"/>
  <c r="CP13" i="24" s="1"/>
  <c r="BE6" i="24"/>
  <c r="AU6" i="24"/>
  <c r="CA6" i="24"/>
  <c r="CA13" i="24" s="1"/>
  <c r="AK6" i="24"/>
  <c r="BQ6" i="24"/>
  <c r="V6" i="24"/>
  <c r="BV6" i="24"/>
  <c r="BV13" i="24" s="1"/>
  <c r="AX6" i="24"/>
  <c r="AX13" i="24" s="1"/>
  <c r="AH6" i="24"/>
  <c r="AI6" i="24"/>
  <c r="BO6" i="24"/>
  <c r="BO13" i="24" s="1"/>
  <c r="CK6" i="24"/>
  <c r="CK13" i="24" s="1"/>
  <c r="CD6" i="24"/>
  <c r="BZ6" i="24"/>
  <c r="BZ13" i="24" s="1"/>
  <c r="DB6" i="24"/>
  <c r="DB13" i="24" s="1"/>
  <c r="ED6" i="24"/>
  <c r="DW6" i="24"/>
  <c r="DX6" i="24"/>
  <c r="EB6" i="24"/>
  <c r="EB13" i="24" s="1"/>
  <c r="EG6" i="24"/>
  <c r="EG13" i="24" s="1"/>
  <c r="BC6" i="24"/>
  <c r="BB6" i="24"/>
  <c r="CU6" i="24"/>
  <c r="CU13" i="24" s="1"/>
  <c r="AQ6" i="24"/>
  <c r="BM6" i="24"/>
  <c r="CY6" i="24"/>
  <c r="CQ6" i="24"/>
  <c r="CQ13" i="24" s="1"/>
  <c r="R6" i="24"/>
  <c r="AV6" i="24"/>
  <c r="CJ6" i="24"/>
  <c r="AR6" i="24"/>
  <c r="AR13" i="24" s="1"/>
  <c r="AJ6" i="24"/>
  <c r="CR6" i="24"/>
  <c r="AM6" i="24"/>
  <c r="AC6" i="24"/>
  <c r="CO6" i="24"/>
  <c r="CL6" i="24"/>
  <c r="AP6" i="24"/>
  <c r="AF6" i="24"/>
  <c r="AF13" i="24" s="1"/>
  <c r="BP6" i="24"/>
  <c r="BP13" i="24" s="1"/>
  <c r="T6" i="24"/>
  <c r="AZ6" i="24"/>
  <c r="BL6" i="24"/>
  <c r="BL13" i="24" s="1"/>
  <c r="CF6" i="24"/>
  <c r="CZ6" i="24"/>
  <c r="AN6" i="24"/>
  <c r="BT6" i="24"/>
  <c r="BT13" i="24" s="1"/>
  <c r="CN6" i="24"/>
  <c r="AB6" i="24"/>
  <c r="CB6" i="24"/>
  <c r="DU6" i="24"/>
  <c r="DU13" i="24" s="1"/>
  <c r="DF6" i="24"/>
  <c r="EH6" i="24"/>
  <c r="EA6" i="24"/>
  <c r="DN6" i="24"/>
  <c r="DN13" i="24" s="1"/>
  <c r="DS6" i="24"/>
  <c r="DM6" i="24"/>
  <c r="DJ6" i="24"/>
  <c r="DC6" i="24"/>
  <c r="DC13" i="24" s="1"/>
  <c r="EE6" i="24"/>
  <c r="EE13" i="24" s="1"/>
  <c r="EI6" i="24"/>
  <c r="W6" i="24"/>
  <c r="AS6" i="24"/>
  <c r="AS13" i="24" s="1"/>
  <c r="AD6" i="24"/>
  <c r="AL6" i="24"/>
  <c r="BK6" i="24"/>
  <c r="BA6" i="24"/>
  <c r="CG6" i="24"/>
  <c r="CG13" i="24" s="1"/>
  <c r="S6" i="24"/>
  <c r="AY6" i="24"/>
  <c r="CE6" i="24"/>
  <c r="AO6" i="24"/>
  <c r="CT6" i="24"/>
  <c r="DQ6" i="24"/>
  <c r="DK6" i="24"/>
  <c r="DK13" i="24" s="1"/>
  <c r="DD6" i="24"/>
  <c r="DY6" i="24"/>
  <c r="EC6" i="24"/>
  <c r="EF6" i="24"/>
  <c r="EF13" i="24" s="1"/>
  <c r="BF6" i="24"/>
  <c r="Y6" i="24"/>
  <c r="BW6" i="24"/>
  <c r="CH6" i="24"/>
  <c r="CH13" i="24" s="1"/>
  <c r="Z6" i="24"/>
  <c r="X6" i="24"/>
  <c r="CV6" i="24"/>
  <c r="DT6" i="24"/>
  <c r="DT13" i="24" s="1"/>
  <c r="DR6" i="24"/>
  <c r="DO6" i="24"/>
  <c r="DH6" i="24"/>
  <c r="DE6" i="24"/>
  <c r="DE13" i="24" s="1"/>
  <c r="DZ6" i="24"/>
  <c r="DP6" i="24"/>
  <c r="DV6" i="24"/>
  <c r="DA6" i="24"/>
  <c r="DA13" i="24" s="1"/>
  <c r="DL6" i="24"/>
  <c r="DI6" i="24"/>
  <c r="DG6" i="24"/>
  <c r="AC13" i="24"/>
  <c r="K180" i="24"/>
  <c r="L180" i="24" s="1"/>
  <c r="K189" i="24"/>
  <c r="L189" i="24" s="1"/>
  <c r="K190" i="24"/>
  <c r="L190" i="24" s="1"/>
  <c r="K175" i="24"/>
  <c r="K203" i="24"/>
  <c r="K208" i="24"/>
  <c r="L208" i="24" s="1"/>
  <c r="K204" i="24"/>
  <c r="K200" i="24"/>
  <c r="K169" i="24"/>
  <c r="K170" i="24" s="1"/>
  <c r="K192" i="24"/>
  <c r="L192" i="24" s="1"/>
  <c r="M192" i="24" s="1"/>
  <c r="N192" i="24" s="1"/>
  <c r="O192" i="24" s="1"/>
  <c r="P192" i="24" s="1"/>
  <c r="K177" i="24"/>
  <c r="L177" i="24" s="1"/>
  <c r="K187" i="24"/>
  <c r="L187" i="24" s="1"/>
  <c r="K195" i="24"/>
  <c r="K178" i="24"/>
  <c r="L178" i="24" s="1"/>
  <c r="K213" i="24"/>
  <c r="K207" i="24"/>
  <c r="L207" i="24" s="1"/>
  <c r="K202" i="24"/>
  <c r="L202" i="24" s="1"/>
  <c r="K194" i="24"/>
  <c r="K181" i="24"/>
  <c r="L181" i="24" s="1"/>
  <c r="K191" i="24"/>
  <c r="L191" i="24" s="1"/>
  <c r="K185" i="24"/>
  <c r="L185" i="24" s="1"/>
  <c r="K193" i="24"/>
  <c r="L193" i="24" s="1"/>
  <c r="K179" i="24"/>
  <c r="L179" i="24" s="1"/>
  <c r="K210" i="24"/>
  <c r="L210" i="24" s="1"/>
  <c r="K211" i="24"/>
  <c r="L211" i="24" s="1"/>
  <c r="K201" i="24"/>
  <c r="C51" i="39"/>
  <c r="B50" i="39"/>
  <c r="K183" i="24"/>
  <c r="L183" i="24" s="1"/>
  <c r="K184" i="24"/>
  <c r="K196" i="24"/>
  <c r="K186" i="24"/>
  <c r="L186" i="24" s="1"/>
  <c r="K182" i="24"/>
  <c r="L182" i="24" s="1"/>
  <c r="K188" i="24"/>
  <c r="K176" i="24"/>
  <c r="L176" i="24" s="1"/>
  <c r="K206" i="24"/>
  <c r="L206" i="24" s="1"/>
  <c r="M206" i="24" s="1"/>
  <c r="K212" i="24"/>
  <c r="L212" i="24" s="1"/>
  <c r="K209" i="24"/>
  <c r="L209" i="24" s="1"/>
  <c r="K205" i="24"/>
  <c r="G67" i="39"/>
  <c r="L67" i="39"/>
  <c r="K226" i="24"/>
  <c r="L226" i="24" s="1"/>
  <c r="K218" i="24"/>
  <c r="L218" i="24" s="1"/>
  <c r="K225" i="24"/>
  <c r="L225" i="24" s="1"/>
  <c r="M225" i="24" s="1"/>
  <c r="K227" i="24"/>
  <c r="L227" i="24" s="1"/>
  <c r="M227" i="24" s="1"/>
  <c r="K220" i="24"/>
  <c r="K217" i="24"/>
  <c r="L217" i="24" s="1"/>
  <c r="K223" i="24"/>
  <c r="K221" i="24"/>
  <c r="J224" i="24"/>
  <c r="J228" i="24" s="1"/>
  <c r="K222" i="24"/>
  <c r="K219" i="24"/>
  <c r="J214" i="24"/>
  <c r="I214" i="24"/>
  <c r="I170" i="24"/>
  <c r="J197" i="24"/>
  <c r="J170" i="24"/>
  <c r="I197" i="24"/>
  <c r="I228" i="24"/>
  <c r="I35" i="24"/>
  <c r="I36" i="24"/>
  <c r="J36" i="24"/>
  <c r="J35" i="24"/>
  <c r="H4" i="24"/>
  <c r="K35" i="24" l="1"/>
  <c r="L33" i="24"/>
  <c r="V13" i="24"/>
  <c r="C411" i="46"/>
  <c r="E411" i="46" s="1"/>
  <c r="K412" i="46"/>
  <c r="H410" i="46"/>
  <c r="G412" i="44"/>
  <c r="E412" i="44"/>
  <c r="D412" i="44" s="1"/>
  <c r="F412" i="44" s="1"/>
  <c r="H412" i="44"/>
  <c r="M413" i="44" s="1"/>
  <c r="AC137" i="24"/>
  <c r="S35" i="53"/>
  <c r="U35" i="53"/>
  <c r="DI13" i="24"/>
  <c r="DP13" i="24"/>
  <c r="DO13" i="24"/>
  <c r="X13" i="24"/>
  <c r="Y13" i="24"/>
  <c r="DY13" i="24"/>
  <c r="CT13" i="24"/>
  <c r="S13" i="24"/>
  <c r="AL13" i="24"/>
  <c r="EI13" i="24"/>
  <c r="DM13" i="24"/>
  <c r="EH13" i="24"/>
  <c r="AB13" i="24"/>
  <c r="CZ13" i="24"/>
  <c r="T13" i="24"/>
  <c r="CL13" i="24"/>
  <c r="CR13" i="24"/>
  <c r="AV13" i="24"/>
  <c r="BM13" i="24"/>
  <c r="BC13" i="24"/>
  <c r="DW13" i="24"/>
  <c r="CD13" i="24"/>
  <c r="AH13" i="24"/>
  <c r="BQ13" i="24"/>
  <c r="BE13" i="24"/>
  <c r="CC13" i="24"/>
  <c r="BG13" i="24"/>
  <c r="BJ13" i="24"/>
  <c r="BD13" i="24"/>
  <c r="AE13" i="24"/>
  <c r="BY13" i="24"/>
  <c r="DL13" i="24"/>
  <c r="DZ13" i="24"/>
  <c r="DR13" i="24"/>
  <c r="BF13" i="24"/>
  <c r="DD13" i="24"/>
  <c r="AO13" i="24"/>
  <c r="AD13" i="24"/>
  <c r="DS13" i="24"/>
  <c r="DF13" i="24"/>
  <c r="CN13" i="24"/>
  <c r="CF13" i="24"/>
  <c r="CO13" i="24"/>
  <c r="AJ13" i="24"/>
  <c r="R13" i="24"/>
  <c r="AQ13" i="24"/>
  <c r="ED13" i="24"/>
  <c r="AK13" i="24"/>
  <c r="AW13" i="24"/>
  <c r="BI13" i="24"/>
  <c r="CI13" i="24"/>
  <c r="CE13" i="24"/>
  <c r="BA13" i="24"/>
  <c r="BS13" i="24"/>
  <c r="AG13" i="24"/>
  <c r="DG13" i="24"/>
  <c r="DV13" i="24"/>
  <c r="DH13" i="24"/>
  <c r="CV13" i="24"/>
  <c r="BW13" i="24"/>
  <c r="EC13" i="24"/>
  <c r="DQ13" i="24"/>
  <c r="AY13" i="24"/>
  <c r="BK13" i="24"/>
  <c r="W13" i="24"/>
  <c r="DJ13" i="24"/>
  <c r="EA13" i="24"/>
  <c r="CB13" i="24"/>
  <c r="AN13" i="24"/>
  <c r="AZ13" i="24"/>
  <c r="AP13" i="24"/>
  <c r="AM13" i="24"/>
  <c r="CJ13" i="24"/>
  <c r="CY13" i="24"/>
  <c r="BB13" i="24"/>
  <c r="DX13" i="24"/>
  <c r="AI13" i="24"/>
  <c r="AU13" i="24"/>
  <c r="BN13" i="24"/>
  <c r="CM13" i="24"/>
  <c r="BU13" i="24"/>
  <c r="BH13" i="24"/>
  <c r="U13" i="24"/>
  <c r="CX13" i="24"/>
  <c r="O20" i="44"/>
  <c r="N20" i="44"/>
  <c r="X20" i="44"/>
  <c r="Z13" i="24"/>
  <c r="Q13" i="24"/>
  <c r="C21" i="44"/>
  <c r="X21" i="44" s="1"/>
  <c r="F143" i="24"/>
  <c r="E14" i="28"/>
  <c r="J19" i="27" s="1"/>
  <c r="M181" i="24"/>
  <c r="N181" i="24" s="1"/>
  <c r="O181" i="24" s="1"/>
  <c r="M212" i="24"/>
  <c r="N212" i="24" s="1"/>
  <c r="O212" i="24" s="1"/>
  <c r="M207" i="24"/>
  <c r="N207" i="24" s="1"/>
  <c r="M178" i="24"/>
  <c r="N178" i="24" s="1"/>
  <c r="O178" i="24" s="1"/>
  <c r="M193" i="24"/>
  <c r="N193" i="24" s="1"/>
  <c r="O193" i="24" s="1"/>
  <c r="P193" i="24" s="1"/>
  <c r="Q193" i="24" s="1"/>
  <c r="M209" i="24"/>
  <c r="N209" i="24" s="1"/>
  <c r="O209" i="24" s="1"/>
  <c r="M176" i="24"/>
  <c r="N176" i="24" s="1"/>
  <c r="O176" i="24" s="1"/>
  <c r="P176" i="24" s="1"/>
  <c r="M187" i="24"/>
  <c r="N187" i="24" s="1"/>
  <c r="O187" i="24" s="1"/>
  <c r="P187" i="24" s="1"/>
  <c r="M210" i="24"/>
  <c r="N210" i="24" s="1"/>
  <c r="O210" i="24" s="1"/>
  <c r="M202" i="24"/>
  <c r="N202" i="24" s="1"/>
  <c r="O202" i="24" s="1"/>
  <c r="K197" i="24"/>
  <c r="M190" i="24"/>
  <c r="N190" i="24" s="1"/>
  <c r="O190" i="24" s="1"/>
  <c r="M182" i="24"/>
  <c r="N182" i="24" s="1"/>
  <c r="M186" i="24"/>
  <c r="N186" i="24" s="1"/>
  <c r="O186" i="24" s="1"/>
  <c r="M183" i="24"/>
  <c r="N183" i="24" s="1"/>
  <c r="L201" i="24"/>
  <c r="M201" i="24" s="1"/>
  <c r="M179" i="24"/>
  <c r="N179" i="24" s="1"/>
  <c r="O179" i="24" s="1"/>
  <c r="L194" i="24"/>
  <c r="M194" i="24" s="1"/>
  <c r="L195" i="24"/>
  <c r="M195" i="24" s="1"/>
  <c r="K214" i="24"/>
  <c r="L204" i="24"/>
  <c r="L203" i="24"/>
  <c r="M203" i="24" s="1"/>
  <c r="L175" i="24"/>
  <c r="M175" i="24" s="1"/>
  <c r="N206" i="24"/>
  <c r="O206" i="24" s="1"/>
  <c r="L205" i="24"/>
  <c r="M205" i="24" s="1"/>
  <c r="L188" i="24"/>
  <c r="M188" i="24" s="1"/>
  <c r="L196" i="24"/>
  <c r="L184" i="24"/>
  <c r="M184" i="24" s="1"/>
  <c r="M211" i="24"/>
  <c r="N211" i="24" s="1"/>
  <c r="M185" i="24"/>
  <c r="N185" i="24" s="1"/>
  <c r="M191" i="24"/>
  <c r="N191" i="24" s="1"/>
  <c r="O191" i="24" s="1"/>
  <c r="P191" i="24" s="1"/>
  <c r="L213" i="24"/>
  <c r="M177" i="24"/>
  <c r="N177" i="24" s="1"/>
  <c r="L200" i="24"/>
  <c r="M208" i="24"/>
  <c r="N208" i="24" s="1"/>
  <c r="O208" i="24" s="1"/>
  <c r="M189" i="24"/>
  <c r="N189" i="24" s="1"/>
  <c r="M180" i="24"/>
  <c r="N180" i="24" s="1"/>
  <c r="O180" i="24" s="1"/>
  <c r="C52" i="39"/>
  <c r="B51" i="39"/>
  <c r="L169" i="24"/>
  <c r="J32" i="24"/>
  <c r="K67" i="39"/>
  <c r="M67" i="39"/>
  <c r="I32" i="24"/>
  <c r="Q192" i="24"/>
  <c r="R192" i="24" s="1"/>
  <c r="L219" i="24"/>
  <c r="L221" i="24"/>
  <c r="M217" i="24"/>
  <c r="N217" i="24" s="1"/>
  <c r="L220" i="24"/>
  <c r="N225" i="24"/>
  <c r="O225" i="24" s="1"/>
  <c r="M218" i="24"/>
  <c r="N218" i="24" s="1"/>
  <c r="L223" i="24"/>
  <c r="L222" i="24"/>
  <c r="N227" i="24"/>
  <c r="K224" i="24"/>
  <c r="M226" i="24"/>
  <c r="J37" i="24"/>
  <c r="J68" i="24" s="1"/>
  <c r="I37" i="24"/>
  <c r="I68" i="24" s="1"/>
  <c r="K36" i="24"/>
  <c r="K32" i="24" s="1"/>
  <c r="L34" i="24" l="1"/>
  <c r="L35" i="24" s="1"/>
  <c r="H48" i="26"/>
  <c r="E25" i="28"/>
  <c r="J22" i="27" s="1"/>
  <c r="G412" i="46"/>
  <c r="L413" i="46" s="1"/>
  <c r="D412" i="46"/>
  <c r="F412" i="46"/>
  <c r="L413" i="44"/>
  <c r="I411" i="44"/>
  <c r="AC139" i="24"/>
  <c r="R36" i="53"/>
  <c r="N36" i="53"/>
  <c r="P181" i="24"/>
  <c r="Q181" i="24" s="1"/>
  <c r="Y46" i="53"/>
  <c r="Z46" i="53"/>
  <c r="X46" i="53"/>
  <c r="B21" i="44"/>
  <c r="C22" i="44"/>
  <c r="P212" i="24"/>
  <c r="Q212" i="24" s="1"/>
  <c r="Q176" i="24"/>
  <c r="R176" i="24" s="1"/>
  <c r="O207" i="24"/>
  <c r="P207" i="24" s="1"/>
  <c r="Q207" i="24" s="1"/>
  <c r="Q187" i="24"/>
  <c r="R187" i="24" s="1"/>
  <c r="P178" i="24"/>
  <c r="Q178" i="24" s="1"/>
  <c r="R178" i="24" s="1"/>
  <c r="O211" i="24"/>
  <c r="P211" i="24" s="1"/>
  <c r="O183" i="24"/>
  <c r="P183" i="24" s="1"/>
  <c r="Q183" i="24" s="1"/>
  <c r="N205" i="24"/>
  <c r="O205" i="24" s="1"/>
  <c r="P205" i="24" s="1"/>
  <c r="O182" i="24"/>
  <c r="P182" i="24" s="1"/>
  <c r="Q182" i="24" s="1"/>
  <c r="R182" i="24" s="1"/>
  <c r="O189" i="24"/>
  <c r="P189" i="24" s="1"/>
  <c r="O177" i="24"/>
  <c r="P177" i="24" s="1"/>
  <c r="Q177" i="24" s="1"/>
  <c r="O185" i="24"/>
  <c r="P185" i="24" s="1"/>
  <c r="Q185" i="24" s="1"/>
  <c r="C53" i="39"/>
  <c r="N52" i="39"/>
  <c r="B52" i="39"/>
  <c r="M204" i="24"/>
  <c r="N204" i="24" s="1"/>
  <c r="O204" i="24" s="1"/>
  <c r="N184" i="24"/>
  <c r="O184" i="24" s="1"/>
  <c r="N194" i="24"/>
  <c r="L170" i="24"/>
  <c r="L214" i="24"/>
  <c r="M200" i="24"/>
  <c r="N200" i="24" s="1"/>
  <c r="L197" i="24"/>
  <c r="N175" i="24"/>
  <c r="M169" i="24"/>
  <c r="N188" i="24"/>
  <c r="O188" i="24" s="1"/>
  <c r="P188" i="24" s="1"/>
  <c r="N203" i="24"/>
  <c r="O203" i="24" s="1"/>
  <c r="N195" i="24"/>
  <c r="N201" i="24"/>
  <c r="O201" i="24" s="1"/>
  <c r="P201" i="24" s="1"/>
  <c r="M213" i="24"/>
  <c r="M196" i="24"/>
  <c r="M197" i="24" s="1"/>
  <c r="J68" i="39"/>
  <c r="I68" i="39" s="1"/>
  <c r="G68" i="39"/>
  <c r="M220" i="24"/>
  <c r="N220" i="24" s="1"/>
  <c r="O220" i="24" s="1"/>
  <c r="Q191" i="24"/>
  <c r="R191" i="24" s="1"/>
  <c r="P179" i="24"/>
  <c r="Q179" i="24" s="1"/>
  <c r="P208" i="24"/>
  <c r="P210" i="24"/>
  <c r="Q210" i="24" s="1"/>
  <c r="P209" i="24"/>
  <c r="P202" i="24"/>
  <c r="Q202" i="24" s="1"/>
  <c r="P206" i="24"/>
  <c r="S192" i="24"/>
  <c r="T192" i="24" s="1"/>
  <c r="U192" i="24" s="1"/>
  <c r="V192" i="24" s="1"/>
  <c r="P180" i="24"/>
  <c r="P190" i="24"/>
  <c r="Q190" i="24" s="1"/>
  <c r="R193" i="24"/>
  <c r="S193" i="24" s="1"/>
  <c r="P186" i="24"/>
  <c r="Q186" i="24" s="1"/>
  <c r="M219" i="24"/>
  <c r="N219" i="24" s="1"/>
  <c r="O227" i="24"/>
  <c r="M222" i="24"/>
  <c r="N222" i="24" s="1"/>
  <c r="O217" i="24"/>
  <c r="P225" i="24"/>
  <c r="M223" i="24"/>
  <c r="L224" i="24"/>
  <c r="M224" i="24" s="1"/>
  <c r="K228" i="24"/>
  <c r="M221" i="24"/>
  <c r="N226" i="24"/>
  <c r="O218" i="24"/>
  <c r="K37" i="24"/>
  <c r="K68" i="24" s="1"/>
  <c r="I4" i="24"/>
  <c r="M33" i="24" l="1"/>
  <c r="L36" i="24"/>
  <c r="K413" i="46"/>
  <c r="H411" i="46"/>
  <c r="C412" i="46"/>
  <c r="E412" i="46" s="1"/>
  <c r="E413" i="44"/>
  <c r="D413" i="44" s="1"/>
  <c r="F413" i="44" s="1"/>
  <c r="H413" i="44"/>
  <c r="M414" i="44" s="1"/>
  <c r="G413" i="44"/>
  <c r="V36" i="53"/>
  <c r="AD138" i="24"/>
  <c r="T36" i="53"/>
  <c r="O36" i="53"/>
  <c r="S176" i="24"/>
  <c r="T176" i="24" s="1"/>
  <c r="U176" i="24" s="1"/>
  <c r="C23" i="44"/>
  <c r="C24" i="44" s="1"/>
  <c r="B22" i="44"/>
  <c r="O21" i="44"/>
  <c r="N21" i="44"/>
  <c r="X22" i="44"/>
  <c r="Q188" i="24"/>
  <c r="R188" i="24" s="1"/>
  <c r="R183" i="24"/>
  <c r="S183" i="24" s="1"/>
  <c r="T183" i="24" s="1"/>
  <c r="R177" i="24"/>
  <c r="S177" i="24" s="1"/>
  <c r="R207" i="24"/>
  <c r="S207" i="24" s="1"/>
  <c r="T207" i="24" s="1"/>
  <c r="S187" i="24"/>
  <c r="T187" i="24" s="1"/>
  <c r="S182" i="24"/>
  <c r="T182" i="24" s="1"/>
  <c r="Q189" i="24"/>
  <c r="R189" i="24" s="1"/>
  <c r="S189" i="24" s="1"/>
  <c r="T189" i="24" s="1"/>
  <c r="Q211" i="24"/>
  <c r="R211" i="24" s="1"/>
  <c r="S211" i="24" s="1"/>
  <c r="O194" i="24"/>
  <c r="O195" i="24"/>
  <c r="O200" i="24"/>
  <c r="P200" i="24" s="1"/>
  <c r="M170" i="24"/>
  <c r="O175" i="24"/>
  <c r="N169" i="24"/>
  <c r="P184" i="24"/>
  <c r="Q184" i="24" s="1"/>
  <c r="N196" i="24"/>
  <c r="N197" i="24" s="1"/>
  <c r="P204" i="24"/>
  <c r="Q204" i="24" s="1"/>
  <c r="R204" i="24" s="1"/>
  <c r="P203" i="24"/>
  <c r="Q203" i="24" s="1"/>
  <c r="M214" i="24"/>
  <c r="N213" i="24"/>
  <c r="O213" i="24" s="1"/>
  <c r="C54" i="39"/>
  <c r="N53" i="39"/>
  <c r="B53" i="39"/>
  <c r="L68" i="39"/>
  <c r="P227" i="24"/>
  <c r="Q227" i="24" s="1"/>
  <c r="R227" i="24" s="1"/>
  <c r="S227" i="24" s="1"/>
  <c r="N224" i="24"/>
  <c r="O224" i="24" s="1"/>
  <c r="P224" i="24" s="1"/>
  <c r="Q224" i="24" s="1"/>
  <c r="O222" i="24"/>
  <c r="P222" i="24" s="1"/>
  <c r="R181" i="24"/>
  <c r="S181" i="24" s="1"/>
  <c r="S191" i="24"/>
  <c r="T191" i="24" s="1"/>
  <c r="R179" i="24"/>
  <c r="S179" i="24" s="1"/>
  <c r="T179" i="24" s="1"/>
  <c r="R210" i="24"/>
  <c r="S210" i="24" s="1"/>
  <c r="Q201" i="24"/>
  <c r="R202" i="24"/>
  <c r="S202" i="24" s="1"/>
  <c r="Q205" i="24"/>
  <c r="R205" i="24" s="1"/>
  <c r="S205" i="24" s="1"/>
  <c r="Q209" i="24"/>
  <c r="Q206" i="24"/>
  <c r="R212" i="24"/>
  <c r="Q208" i="24"/>
  <c r="S178" i="24"/>
  <c r="T178" i="24" s="1"/>
  <c r="Q180" i="24"/>
  <c r="T193" i="24"/>
  <c r="R190" i="24"/>
  <c r="S190" i="24" s="1"/>
  <c r="R185" i="24"/>
  <c r="R186" i="24"/>
  <c r="S186" i="24" s="1"/>
  <c r="O219" i="24"/>
  <c r="M228" i="24"/>
  <c r="P220" i="24"/>
  <c r="Q220" i="24" s="1"/>
  <c r="N223" i="24"/>
  <c r="O223" i="24" s="1"/>
  <c r="P218" i="24"/>
  <c r="N221" i="24"/>
  <c r="O221" i="24" s="1"/>
  <c r="P217" i="24"/>
  <c r="L228" i="24"/>
  <c r="O226" i="24"/>
  <c r="Q225" i="24"/>
  <c r="W192" i="24"/>
  <c r="X192" i="24" s="1"/>
  <c r="Y192" i="24" s="1"/>
  <c r="J4" i="24"/>
  <c r="K4" i="24"/>
  <c r="M34" i="24" l="1"/>
  <c r="M35" i="24" s="1"/>
  <c r="L32" i="24"/>
  <c r="L37" i="24"/>
  <c r="X23" i="44"/>
  <c r="D413" i="46"/>
  <c r="C413" i="46" s="1"/>
  <c r="E413" i="46" s="1"/>
  <c r="G413" i="46"/>
  <c r="L414" i="46" s="1"/>
  <c r="F413" i="46"/>
  <c r="L414" i="44"/>
  <c r="I412" i="44"/>
  <c r="AD136" i="24"/>
  <c r="AA36" i="53"/>
  <c r="Q36" i="53"/>
  <c r="S188" i="24"/>
  <c r="T188" i="24" s="1"/>
  <c r="U188" i="24" s="1"/>
  <c r="V176" i="24"/>
  <c r="W176" i="24" s="1"/>
  <c r="X176" i="24" s="1"/>
  <c r="Y176" i="24" s="1"/>
  <c r="Z176" i="24" s="1"/>
  <c r="AA176" i="24" s="1"/>
  <c r="AB176" i="24" s="1"/>
  <c r="T177" i="24"/>
  <c r="U177" i="24" s="1"/>
  <c r="V177" i="24" s="1"/>
  <c r="U183" i="24"/>
  <c r="V183" i="24" s="1"/>
  <c r="W183" i="24" s="1"/>
  <c r="B23" i="44"/>
  <c r="B24" i="44" s="1"/>
  <c r="O22" i="44"/>
  <c r="N22" i="44"/>
  <c r="U207" i="24"/>
  <c r="V207" i="24" s="1"/>
  <c r="W207" i="24" s="1"/>
  <c r="R184" i="24"/>
  <c r="S184" i="24" s="1"/>
  <c r="U187" i="24"/>
  <c r="V187" i="24" s="1"/>
  <c r="W187" i="24" s="1"/>
  <c r="X187" i="24" s="1"/>
  <c r="S204" i="24"/>
  <c r="T204" i="24" s="1"/>
  <c r="U204" i="24" s="1"/>
  <c r="R203" i="24"/>
  <c r="S203" i="24" s="1"/>
  <c r="T203" i="24" s="1"/>
  <c r="Q200" i="24"/>
  <c r="R200" i="24" s="1"/>
  <c r="S200" i="24" s="1"/>
  <c r="P195" i="24"/>
  <c r="P194" i="24"/>
  <c r="O196" i="24"/>
  <c r="O214" i="24"/>
  <c r="N170" i="24"/>
  <c r="N54" i="39"/>
  <c r="C55" i="39"/>
  <c r="B54" i="39"/>
  <c r="C25" i="44"/>
  <c r="X24" i="44"/>
  <c r="P175" i="24"/>
  <c r="Q175" i="24" s="1"/>
  <c r="P213" i="24"/>
  <c r="O169" i="24"/>
  <c r="N214" i="24"/>
  <c r="K68" i="39"/>
  <c r="M68" i="39"/>
  <c r="T181" i="24"/>
  <c r="U181" i="24" s="1"/>
  <c r="R209" i="24"/>
  <c r="S209" i="24" s="1"/>
  <c r="T202" i="24"/>
  <c r="U202" i="24" s="1"/>
  <c r="V202" i="24" s="1"/>
  <c r="T205" i="24"/>
  <c r="U205" i="24" s="1"/>
  <c r="V205" i="24" s="1"/>
  <c r="U191" i="24"/>
  <c r="V191" i="24" s="1"/>
  <c r="W191" i="24" s="1"/>
  <c r="T210" i="24"/>
  <c r="U210" i="24" s="1"/>
  <c r="R201" i="24"/>
  <c r="S201" i="24" s="1"/>
  <c r="R208" i="24"/>
  <c r="T211" i="24"/>
  <c r="S212" i="24"/>
  <c r="T212" i="24" s="1"/>
  <c r="R206" i="24"/>
  <c r="U189" i="24"/>
  <c r="V189" i="24" s="1"/>
  <c r="W189" i="24" s="1"/>
  <c r="U178" i="24"/>
  <c r="V178" i="24" s="1"/>
  <c r="R180" i="24"/>
  <c r="T190" i="24"/>
  <c r="U190" i="24" s="1"/>
  <c r="T186" i="24"/>
  <c r="U186" i="24" s="1"/>
  <c r="S185" i="24"/>
  <c r="U193" i="24"/>
  <c r="U182" i="24"/>
  <c r="U179" i="24"/>
  <c r="AO179" i="24"/>
  <c r="AO184" i="24"/>
  <c r="AP184" i="24" s="1"/>
  <c r="AQ184" i="24" s="1"/>
  <c r="AP179" i="24"/>
  <c r="AQ179" i="24" s="1"/>
  <c r="P221" i="24"/>
  <c r="Q221" i="24" s="1"/>
  <c r="R221" i="24" s="1"/>
  <c r="P219" i="24"/>
  <c r="P226" i="24"/>
  <c r="R224" i="24"/>
  <c r="T227" i="24"/>
  <c r="Q218" i="24"/>
  <c r="N228" i="24"/>
  <c r="R220" i="24"/>
  <c r="S220" i="24" s="1"/>
  <c r="Q217" i="24"/>
  <c r="R217" i="24" s="1"/>
  <c r="R225" i="24"/>
  <c r="P223" i="24"/>
  <c r="O228" i="24"/>
  <c r="Q222" i="24"/>
  <c r="Z192" i="24"/>
  <c r="AA192" i="24" s="1"/>
  <c r="AB192" i="24" s="1"/>
  <c r="AC192" i="24" s="1"/>
  <c r="AD192" i="24" s="1"/>
  <c r="AE192" i="24" s="1"/>
  <c r="AF192" i="24" s="1"/>
  <c r="AG192" i="24" s="1"/>
  <c r="AH192" i="24" s="1"/>
  <c r="AI192" i="24" s="1"/>
  <c r="AJ192" i="24" s="1"/>
  <c r="AK192" i="24" s="1"/>
  <c r="AL192" i="24" s="1"/>
  <c r="AM192" i="24" s="1"/>
  <c r="AN192" i="24" s="1"/>
  <c r="AO192" i="24" s="1"/>
  <c r="AP192" i="24" s="1"/>
  <c r="AQ192" i="24" s="1"/>
  <c r="L68" i="24" l="1"/>
  <c r="L4" i="24"/>
  <c r="N33" i="24"/>
  <c r="M36" i="24"/>
  <c r="K414" i="46"/>
  <c r="H412" i="46"/>
  <c r="G414" i="44"/>
  <c r="H414" i="44"/>
  <c r="M415" i="44" s="1"/>
  <c r="E414" i="44"/>
  <c r="D414" i="44" s="1"/>
  <c r="F414" i="44" s="1"/>
  <c r="AD137" i="24"/>
  <c r="S36" i="53"/>
  <c r="U36" i="53"/>
  <c r="V188" i="24"/>
  <c r="W188" i="24" s="1"/>
  <c r="X188" i="24" s="1"/>
  <c r="Y188" i="24" s="1"/>
  <c r="Z188" i="24" s="1"/>
  <c r="X207" i="24"/>
  <c r="Y207" i="24" s="1"/>
  <c r="V204" i="24"/>
  <c r="W204" i="24" s="1"/>
  <c r="X204" i="24" s="1"/>
  <c r="X183" i="24"/>
  <c r="Y183" i="24" s="1"/>
  <c r="W177" i="24"/>
  <c r="X177" i="24" s="1"/>
  <c r="Y177" i="24" s="1"/>
  <c r="Y187" i="24"/>
  <c r="Z187" i="24" s="1"/>
  <c r="AA187" i="24" s="1"/>
  <c r="AB187" i="24" s="1"/>
  <c r="AC187" i="24" s="1"/>
  <c r="AD187" i="24" s="1"/>
  <c r="AE187" i="24" s="1"/>
  <c r="AF187" i="24" s="1"/>
  <c r="AG187" i="24" s="1"/>
  <c r="AH187" i="24" s="1"/>
  <c r="AI187" i="24" s="1"/>
  <c r="AJ187" i="24" s="1"/>
  <c r="AK187" i="24" s="1"/>
  <c r="AL187" i="24" s="1"/>
  <c r="AM187" i="24" s="1"/>
  <c r="AN187" i="24" s="1"/>
  <c r="AO187" i="24" s="1"/>
  <c r="AP187" i="24" s="1"/>
  <c r="AQ187" i="24" s="1"/>
  <c r="O24" i="44"/>
  <c r="N24" i="44"/>
  <c r="O23" i="44"/>
  <c r="N23" i="44"/>
  <c r="Y47" i="53"/>
  <c r="X47" i="53"/>
  <c r="Z47" i="53"/>
  <c r="R175" i="24"/>
  <c r="S175" i="24" s="1"/>
  <c r="T200" i="24"/>
  <c r="U200" i="24" s="1"/>
  <c r="V200" i="24" s="1"/>
  <c r="Q194" i="24"/>
  <c r="Q195" i="24"/>
  <c r="P214" i="24"/>
  <c r="Q213" i="24"/>
  <c r="O170" i="24"/>
  <c r="P196" i="24"/>
  <c r="P197" i="24" s="1"/>
  <c r="O197" i="24"/>
  <c r="X25" i="44"/>
  <c r="B25" i="44"/>
  <c r="C26" i="44"/>
  <c r="B55" i="39"/>
  <c r="N55" i="39"/>
  <c r="C56" i="39"/>
  <c r="P169" i="24"/>
  <c r="J69" i="39"/>
  <c r="G69" i="39"/>
  <c r="P228" i="24"/>
  <c r="X191" i="24"/>
  <c r="Y191" i="24" s="1"/>
  <c r="Z191" i="24" s="1"/>
  <c r="AA191" i="24" s="1"/>
  <c r="AB191" i="24" s="1"/>
  <c r="T209" i="24"/>
  <c r="U209" i="24" s="1"/>
  <c r="V209" i="24" s="1"/>
  <c r="W202" i="24"/>
  <c r="X202" i="24" s="1"/>
  <c r="W178" i="24"/>
  <c r="X178" i="24" s="1"/>
  <c r="V190" i="24"/>
  <c r="W190" i="24" s="1"/>
  <c r="V193" i="24"/>
  <c r="W193" i="24" s="1"/>
  <c r="W205" i="24"/>
  <c r="X205" i="24" s="1"/>
  <c r="Z207" i="24"/>
  <c r="AA207" i="24" s="1"/>
  <c r="U212" i="24"/>
  <c r="V212" i="24" s="1"/>
  <c r="W212" i="24" s="1"/>
  <c r="U203" i="24"/>
  <c r="T201" i="24"/>
  <c r="U201" i="24" s="1"/>
  <c r="V201" i="24" s="1"/>
  <c r="V210" i="24"/>
  <c r="U211" i="24"/>
  <c r="S206" i="24"/>
  <c r="S208" i="24"/>
  <c r="V186" i="24"/>
  <c r="W186" i="24" s="1"/>
  <c r="X186" i="24" s="1"/>
  <c r="Y186" i="24" s="1"/>
  <c r="V179" i="24"/>
  <c r="T184" i="24"/>
  <c r="S180" i="24"/>
  <c r="X189" i="24"/>
  <c r="Y189" i="24" s="1"/>
  <c r="T185" i="24"/>
  <c r="V182" i="24"/>
  <c r="Q219" i="24"/>
  <c r="S217" i="24"/>
  <c r="T217" i="24" s="1"/>
  <c r="U217" i="24" s="1"/>
  <c r="T220" i="24"/>
  <c r="U220" i="24" s="1"/>
  <c r="V220" i="24" s="1"/>
  <c r="S221" i="24"/>
  <c r="T221" i="24" s="1"/>
  <c r="U221" i="24" s="1"/>
  <c r="R218" i="24"/>
  <c r="S218" i="24" s="1"/>
  <c r="S224" i="24"/>
  <c r="R222" i="24"/>
  <c r="S225" i="24"/>
  <c r="Q223" i="24"/>
  <c r="R223" i="24" s="1"/>
  <c r="U227" i="24"/>
  <c r="Q226" i="24"/>
  <c r="AC176" i="24"/>
  <c r="Z183" i="24"/>
  <c r="AA183" i="24" s="1"/>
  <c r="AB183" i="24" s="1"/>
  <c r="AC183" i="24" s="1"/>
  <c r="AD183" i="24" s="1"/>
  <c r="N34" i="24" l="1"/>
  <c r="N35" i="24" s="1"/>
  <c r="M32" i="24"/>
  <c r="M37" i="24"/>
  <c r="AA188" i="24"/>
  <c r="AB188" i="24" s="1"/>
  <c r="AC188" i="24" s="1"/>
  <c r="AD188" i="24" s="1"/>
  <c r="AE188" i="24" s="1"/>
  <c r="AF188" i="24" s="1"/>
  <c r="AG188" i="24" s="1"/>
  <c r="AH188" i="24" s="1"/>
  <c r="AI188" i="24" s="1"/>
  <c r="AJ188" i="24" s="1"/>
  <c r="AK188" i="24" s="1"/>
  <c r="AL188" i="24" s="1"/>
  <c r="AM188" i="24" s="1"/>
  <c r="AN188" i="24" s="1"/>
  <c r="AO188" i="24" s="1"/>
  <c r="AP188" i="24" s="1"/>
  <c r="AQ188" i="24" s="1"/>
  <c r="Z177" i="24"/>
  <c r="AA177" i="24" s="1"/>
  <c r="AB177" i="24" s="1"/>
  <c r="AC177" i="24" s="1"/>
  <c r="AD177" i="24" s="1"/>
  <c r="AE177" i="24" s="1"/>
  <c r="AF177" i="24" s="1"/>
  <c r="AG177" i="24" s="1"/>
  <c r="AH177" i="24" s="1"/>
  <c r="AI177" i="24" s="1"/>
  <c r="AJ177" i="24" s="1"/>
  <c r="AK177" i="24" s="1"/>
  <c r="AL177" i="24" s="1"/>
  <c r="AM177" i="24" s="1"/>
  <c r="AN177" i="24" s="1"/>
  <c r="AO177" i="24" s="1"/>
  <c r="AP177" i="24" s="1"/>
  <c r="AQ177" i="24" s="1"/>
  <c r="F414" i="46"/>
  <c r="G414" i="46"/>
  <c r="L415" i="46" s="1"/>
  <c r="D414" i="46"/>
  <c r="C414" i="46" s="1"/>
  <c r="E414" i="46" s="1"/>
  <c r="L415" i="44"/>
  <c r="I413" i="44"/>
  <c r="AD139" i="24"/>
  <c r="R37" i="53"/>
  <c r="N37" i="53"/>
  <c r="H69" i="39"/>
  <c r="I69" i="39" s="1"/>
  <c r="O25" i="44"/>
  <c r="N25" i="44"/>
  <c r="R194" i="24"/>
  <c r="Q196" i="24"/>
  <c r="Q197" i="24" s="1"/>
  <c r="P170" i="24"/>
  <c r="Q169" i="24"/>
  <c r="R195" i="24"/>
  <c r="R213" i="24"/>
  <c r="Q214" i="24"/>
  <c r="N56" i="39"/>
  <c r="B56" i="39"/>
  <c r="C57" i="39"/>
  <c r="C27" i="44"/>
  <c r="X26" i="44"/>
  <c r="B26" i="44"/>
  <c r="Y202" i="24"/>
  <c r="Z202" i="24" s="1"/>
  <c r="W179" i="24"/>
  <c r="X179" i="24" s="1"/>
  <c r="Y179" i="24" s="1"/>
  <c r="Z179" i="24" s="1"/>
  <c r="U184" i="24"/>
  <c r="V184" i="24" s="1"/>
  <c r="W184" i="24" s="1"/>
  <c r="L69" i="39"/>
  <c r="V221" i="24"/>
  <c r="W221" i="24" s="1"/>
  <c r="X221" i="24" s="1"/>
  <c r="Y178" i="24"/>
  <c r="Z178" i="24" s="1"/>
  <c r="AA178" i="24" s="1"/>
  <c r="AB178" i="24" s="1"/>
  <c r="AC178" i="24" s="1"/>
  <c r="AD178" i="24" s="1"/>
  <c r="AE178" i="24" s="1"/>
  <c r="AF178" i="24" s="1"/>
  <c r="AG178" i="24" s="1"/>
  <c r="AH178" i="24" s="1"/>
  <c r="AI178" i="24" s="1"/>
  <c r="AJ178" i="24" s="1"/>
  <c r="AK178" i="24" s="1"/>
  <c r="AL178" i="24" s="1"/>
  <c r="AM178" i="24" s="1"/>
  <c r="AN178" i="24" s="1"/>
  <c r="AO178" i="24" s="1"/>
  <c r="AP178" i="24" s="1"/>
  <c r="AQ178" i="24" s="1"/>
  <c r="Y204" i="24"/>
  <c r="Z204" i="24" s="1"/>
  <c r="AA204" i="24" s="1"/>
  <c r="AB204" i="24" s="1"/>
  <c r="AC204" i="24" s="1"/>
  <c r="AD204" i="24" s="1"/>
  <c r="AE204" i="24" s="1"/>
  <c r="AF204" i="24" s="1"/>
  <c r="AG204" i="24" s="1"/>
  <c r="AH204" i="24" s="1"/>
  <c r="AI204" i="24" s="1"/>
  <c r="AJ204" i="24" s="1"/>
  <c r="AK204" i="24" s="1"/>
  <c r="X193" i="24"/>
  <c r="Y193" i="24" s="1"/>
  <c r="Z186" i="24"/>
  <c r="AA186" i="24" s="1"/>
  <c r="X190" i="24"/>
  <c r="Y190" i="24" s="1"/>
  <c r="Z190" i="24" s="1"/>
  <c r="AA190" i="24" s="1"/>
  <c r="AB190" i="24" s="1"/>
  <c r="AC190" i="24" s="1"/>
  <c r="AD190" i="24" s="1"/>
  <c r="AE190" i="24" s="1"/>
  <c r="AF190" i="24" s="1"/>
  <c r="AG190" i="24" s="1"/>
  <c r="AH190" i="24" s="1"/>
  <c r="AI190" i="24" s="1"/>
  <c r="AJ190" i="24" s="1"/>
  <c r="AK190" i="24" s="1"/>
  <c r="AL190" i="24" s="1"/>
  <c r="AM190" i="24" s="1"/>
  <c r="AN190" i="24" s="1"/>
  <c r="AO190" i="24" s="1"/>
  <c r="AP190" i="24" s="1"/>
  <c r="AQ190" i="24" s="1"/>
  <c r="W209" i="24"/>
  <c r="X209" i="24" s="1"/>
  <c r="Y209" i="24" s="1"/>
  <c r="Z209" i="24" s="1"/>
  <c r="AA209" i="24" s="1"/>
  <c r="AB209" i="24" s="1"/>
  <c r="AC209" i="24" s="1"/>
  <c r="AC191" i="24"/>
  <c r="AD191" i="24" s="1"/>
  <c r="AE191" i="24" s="1"/>
  <c r="AF191" i="24" s="1"/>
  <c r="AG191" i="24" s="1"/>
  <c r="AH191" i="24" s="1"/>
  <c r="AI191" i="24" s="1"/>
  <c r="AJ191" i="24" s="1"/>
  <c r="AK191" i="24" s="1"/>
  <c r="AL191" i="24" s="1"/>
  <c r="AM191" i="24" s="1"/>
  <c r="AN191" i="24" s="1"/>
  <c r="AO191" i="24" s="1"/>
  <c r="AP191" i="24" s="1"/>
  <c r="AQ191" i="24" s="1"/>
  <c r="X212" i="24"/>
  <c r="Y212" i="24" s="1"/>
  <c r="Z212" i="24" s="1"/>
  <c r="AA212" i="24" s="1"/>
  <c r="AB212" i="24" s="1"/>
  <c r="AC212" i="24" s="1"/>
  <c r="AD212" i="24" s="1"/>
  <c r="AE212" i="24" s="1"/>
  <c r="AF212" i="24" s="1"/>
  <c r="AG212" i="24" s="1"/>
  <c r="AH212" i="24" s="1"/>
  <c r="AI212" i="24" s="1"/>
  <c r="AJ212" i="24" s="1"/>
  <c r="AK212" i="24" s="1"/>
  <c r="Y205" i="24"/>
  <c r="Z205" i="24" s="1"/>
  <c r="V203" i="24"/>
  <c r="T208" i="24"/>
  <c r="V211" i="24"/>
  <c r="W200" i="24"/>
  <c r="X200" i="24" s="1"/>
  <c r="W201" i="24"/>
  <c r="X201" i="24" s="1"/>
  <c r="W210" i="24"/>
  <c r="T206" i="24"/>
  <c r="T175" i="24"/>
  <c r="Z189" i="24"/>
  <c r="AA189" i="24" s="1"/>
  <c r="AB189" i="24" s="1"/>
  <c r="U185" i="24"/>
  <c r="T180" i="24"/>
  <c r="W182" i="24"/>
  <c r="X182" i="24" s="1"/>
  <c r="AB207" i="24"/>
  <c r="AC207" i="24" s="1"/>
  <c r="V227" i="24"/>
  <c r="R219" i="24"/>
  <c r="S219" i="24" s="1"/>
  <c r="Q228" i="24"/>
  <c r="W220" i="24"/>
  <c r="X220" i="24" s="1"/>
  <c r="T218" i="24"/>
  <c r="V217" i="24"/>
  <c r="T225" i="24"/>
  <c r="R226" i="24"/>
  <c r="S223" i="24"/>
  <c r="S222" i="24"/>
  <c r="T224" i="24"/>
  <c r="AE183" i="24"/>
  <c r="AF183" i="24" s="1"/>
  <c r="AG183" i="24" s="1"/>
  <c r="AH183" i="24" s="1"/>
  <c r="AI183" i="24" s="1"/>
  <c r="AJ183" i="24" s="1"/>
  <c r="AK183" i="24" s="1"/>
  <c r="AL183" i="24" s="1"/>
  <c r="AM183" i="24" s="1"/>
  <c r="AN183" i="24" s="1"/>
  <c r="AO183" i="24" s="1"/>
  <c r="AP183" i="24" s="1"/>
  <c r="AQ183" i="24" s="1"/>
  <c r="AD176" i="24"/>
  <c r="F192" i="24"/>
  <c r="M68" i="24" l="1"/>
  <c r="M4" i="24"/>
  <c r="O33" i="24"/>
  <c r="N36" i="24"/>
  <c r="F188" i="24"/>
  <c r="K415" i="46"/>
  <c r="H413" i="46"/>
  <c r="E415" i="44"/>
  <c r="D415" i="44" s="1"/>
  <c r="F415" i="44" s="1"/>
  <c r="G415" i="44"/>
  <c r="H415" i="44"/>
  <c r="M416" i="44" s="1"/>
  <c r="V37" i="53"/>
  <c r="AE138" i="24"/>
  <c r="O37" i="53"/>
  <c r="T37" i="53"/>
  <c r="O26" i="44"/>
  <c r="N26" i="44"/>
  <c r="Y48" i="53"/>
  <c r="Z48" i="53"/>
  <c r="X48" i="53"/>
  <c r="R196" i="24"/>
  <c r="S196" i="24" s="1"/>
  <c r="S194" i="24"/>
  <c r="S195" i="24"/>
  <c r="R169" i="24"/>
  <c r="Q170" i="24"/>
  <c r="S213" i="24"/>
  <c r="T213" i="24" s="1"/>
  <c r="R214" i="24"/>
  <c r="B27" i="44"/>
  <c r="X27" i="44"/>
  <c r="C28" i="44"/>
  <c r="C58" i="39"/>
  <c r="N57" i="39"/>
  <c r="B57" i="39"/>
  <c r="K69" i="39"/>
  <c r="M69" i="39"/>
  <c r="R228" i="24"/>
  <c r="AL204" i="24"/>
  <c r="AM204" i="24" s="1"/>
  <c r="Z193" i="24"/>
  <c r="AA193" i="24" s="1"/>
  <c r="AB193" i="24" s="1"/>
  <c r="AD209" i="24"/>
  <c r="Y182" i="24"/>
  <c r="Z182" i="24" s="1"/>
  <c r="AA182" i="24" s="1"/>
  <c r="AB182" i="24" s="1"/>
  <c r="AC182" i="24" s="1"/>
  <c r="AD182" i="24" s="1"/>
  <c r="AE182" i="24" s="1"/>
  <c r="AF182" i="24" s="1"/>
  <c r="AG182" i="24" s="1"/>
  <c r="AH182" i="24" s="1"/>
  <c r="AI182" i="24" s="1"/>
  <c r="AJ182" i="24" s="1"/>
  <c r="AK182" i="24" s="1"/>
  <c r="AL182" i="24" s="1"/>
  <c r="AM182" i="24" s="1"/>
  <c r="AN182" i="24" s="1"/>
  <c r="AO182" i="24" s="1"/>
  <c r="AP182" i="24" s="1"/>
  <c r="AQ182" i="24" s="1"/>
  <c r="AA205" i="24"/>
  <c r="Y200" i="24"/>
  <c r="Z200" i="24" s="1"/>
  <c r="U208" i="24"/>
  <c r="X210" i="24"/>
  <c r="Y210" i="24" s="1"/>
  <c r="Z210" i="24" s="1"/>
  <c r="AA210" i="24" s="1"/>
  <c r="AB210" i="24" s="1"/>
  <c r="AC210" i="24" s="1"/>
  <c r="U206" i="24"/>
  <c r="Y201" i="24"/>
  <c r="W211" i="24"/>
  <c r="X211" i="24" s="1"/>
  <c r="Y211" i="24" s="1"/>
  <c r="W203" i="24"/>
  <c r="AB186" i="24"/>
  <c r="AC186" i="24" s="1"/>
  <c r="AD186" i="24" s="1"/>
  <c r="AE186" i="24" s="1"/>
  <c r="AF186" i="24" s="1"/>
  <c r="AG186" i="24" s="1"/>
  <c r="AH186" i="24" s="1"/>
  <c r="V185" i="24"/>
  <c r="U175" i="24"/>
  <c r="V175" i="24" s="1"/>
  <c r="X184" i="24"/>
  <c r="U180" i="24"/>
  <c r="AA179" i="24"/>
  <c r="AB179" i="24" s="1"/>
  <c r="AC179" i="24" s="1"/>
  <c r="AD179" i="24" s="1"/>
  <c r="AE179" i="24" s="1"/>
  <c r="AF179" i="24" s="1"/>
  <c r="AG179" i="24" s="1"/>
  <c r="AH179" i="24" s="1"/>
  <c r="AI179" i="24" s="1"/>
  <c r="AJ179" i="24" s="1"/>
  <c r="AK179" i="24" s="1"/>
  <c r="AC189" i="24"/>
  <c r="W217" i="24"/>
  <c r="X217" i="24" s="1"/>
  <c r="Y217" i="24" s="1"/>
  <c r="Z217" i="24" s="1"/>
  <c r="AD207" i="24"/>
  <c r="AE207" i="24" s="1"/>
  <c r="AF207" i="24" s="1"/>
  <c r="AA202" i="24"/>
  <c r="AB202" i="24" s="1"/>
  <c r="AL212" i="24"/>
  <c r="AM212" i="24" s="1"/>
  <c r="AN212" i="24" s="1"/>
  <c r="AO212" i="24" s="1"/>
  <c r="AP212" i="24" s="1"/>
  <c r="AQ212" i="24" s="1"/>
  <c r="T219" i="24"/>
  <c r="T222" i="24"/>
  <c r="U222" i="24" s="1"/>
  <c r="Y220" i="24"/>
  <c r="Z220" i="24" s="1"/>
  <c r="AA220" i="24" s="1"/>
  <c r="AB220" i="24" s="1"/>
  <c r="AC220" i="24" s="1"/>
  <c r="AD220" i="24" s="1"/>
  <c r="AE220" i="24" s="1"/>
  <c r="AF220" i="24" s="1"/>
  <c r="AG220" i="24" s="1"/>
  <c r="AH220" i="24" s="1"/>
  <c r="AI220" i="24" s="1"/>
  <c r="AJ220" i="24" s="1"/>
  <c r="AK220" i="24" s="1"/>
  <c r="U218" i="24"/>
  <c r="V218" i="24" s="1"/>
  <c r="W227" i="24"/>
  <c r="T223" i="24"/>
  <c r="U223" i="24" s="1"/>
  <c r="V223" i="24" s="1"/>
  <c r="Y221" i="24"/>
  <c r="Z221" i="24" s="1"/>
  <c r="AA221" i="24" s="1"/>
  <c r="AB221" i="24" s="1"/>
  <c r="AC221" i="24" s="1"/>
  <c r="U224" i="24"/>
  <c r="V224" i="24" s="1"/>
  <c r="U225" i="24"/>
  <c r="V225" i="24" s="1"/>
  <c r="S226" i="24"/>
  <c r="S228" i="24" s="1"/>
  <c r="F177" i="24"/>
  <c r="AE176" i="24"/>
  <c r="F178" i="24"/>
  <c r="F183" i="24"/>
  <c r="F191" i="24"/>
  <c r="F187" i="24"/>
  <c r="O34" i="24" l="1"/>
  <c r="O35" i="24" s="1"/>
  <c r="N32" i="24"/>
  <c r="N37" i="24"/>
  <c r="F415" i="46"/>
  <c r="G415" i="46"/>
  <c r="L416" i="46" s="1"/>
  <c r="D415" i="46"/>
  <c r="L416" i="44"/>
  <c r="I414" i="44"/>
  <c r="AE136" i="24"/>
  <c r="Q37" i="53"/>
  <c r="AA37" i="53"/>
  <c r="N27" i="44"/>
  <c r="O27" i="44"/>
  <c r="R197" i="24"/>
  <c r="T196" i="24"/>
  <c r="U196" i="24" s="1"/>
  <c r="V196" i="24" s="1"/>
  <c r="W196" i="24" s="1"/>
  <c r="T214" i="24"/>
  <c r="T194" i="24"/>
  <c r="U213" i="24"/>
  <c r="V213" i="24" s="1"/>
  <c r="W213" i="24" s="1"/>
  <c r="X213" i="24" s="1"/>
  <c r="S214" i="24"/>
  <c r="S169" i="24"/>
  <c r="S170" i="24" s="1"/>
  <c r="R170" i="24"/>
  <c r="T195" i="24"/>
  <c r="S197" i="24"/>
  <c r="N58" i="39"/>
  <c r="B58" i="39"/>
  <c r="C59" i="39"/>
  <c r="B28" i="44"/>
  <c r="C29" i="44"/>
  <c r="X28" i="44"/>
  <c r="G70" i="39"/>
  <c r="J70" i="39"/>
  <c r="AC193" i="24"/>
  <c r="AD193" i="24" s="1"/>
  <c r="AE193" i="24" s="1"/>
  <c r="AF193" i="24" s="1"/>
  <c r="AG193" i="24" s="1"/>
  <c r="AH193" i="24" s="1"/>
  <c r="AI193" i="24" s="1"/>
  <c r="AJ193" i="24" s="1"/>
  <c r="AK193" i="24" s="1"/>
  <c r="AL193" i="24" s="1"/>
  <c r="AM193" i="24" s="1"/>
  <c r="AN193" i="24" s="1"/>
  <c r="AO193" i="24" s="1"/>
  <c r="AP193" i="24" s="1"/>
  <c r="AQ193" i="24" s="1"/>
  <c r="AN204" i="24"/>
  <c r="AO204" i="24" s="1"/>
  <c r="AP204" i="24" s="1"/>
  <c r="AQ204" i="24" s="1"/>
  <c r="AL181" i="24"/>
  <c r="AM181" i="24" s="1"/>
  <c r="AB205" i="24"/>
  <c r="AC205" i="24" s="1"/>
  <c r="AD205" i="24" s="1"/>
  <c r="AE205" i="24" s="1"/>
  <c r="AF205" i="24" s="1"/>
  <c r="AG205" i="24" s="1"/>
  <c r="AH205" i="24" s="1"/>
  <c r="AI205" i="24" s="1"/>
  <c r="AJ205" i="24" s="1"/>
  <c r="AK205" i="24" s="1"/>
  <c r="AE209" i="24"/>
  <c r="AF209" i="24" s="1"/>
  <c r="AG209" i="24" s="1"/>
  <c r="AH209" i="24" s="1"/>
  <c r="AI209" i="24" s="1"/>
  <c r="AJ209" i="24" s="1"/>
  <c r="AK209" i="24" s="1"/>
  <c r="AL179" i="24"/>
  <c r="AM179" i="24" s="1"/>
  <c r="AL220" i="24"/>
  <c r="AA200" i="24"/>
  <c r="V206" i="24"/>
  <c r="W206" i="24" s="1"/>
  <c r="F212" i="24"/>
  <c r="Z211" i="24"/>
  <c r="AA211" i="24" s="1"/>
  <c r="AB211" i="24" s="1"/>
  <c r="AC211" i="24" s="1"/>
  <c r="AD211" i="24" s="1"/>
  <c r="AE211" i="24" s="1"/>
  <c r="AF211" i="24" s="1"/>
  <c r="AG211" i="24" s="1"/>
  <c r="AH211" i="24" s="1"/>
  <c r="AI211" i="24" s="1"/>
  <c r="AJ211" i="24" s="1"/>
  <c r="AK211" i="24" s="1"/>
  <c r="AL211" i="24" s="1"/>
  <c r="AM211" i="24" s="1"/>
  <c r="AN211" i="24" s="1"/>
  <c r="AO211" i="24" s="1"/>
  <c r="AP211" i="24" s="1"/>
  <c r="AQ211" i="24" s="1"/>
  <c r="AD210" i="24"/>
  <c r="AE210" i="24" s="1"/>
  <c r="AF210" i="24" s="1"/>
  <c r="AG210" i="24" s="1"/>
  <c r="AH210" i="24" s="1"/>
  <c r="AI210" i="24" s="1"/>
  <c r="AJ210" i="24" s="1"/>
  <c r="AK210" i="24" s="1"/>
  <c r="Z201" i="24"/>
  <c r="V208" i="24"/>
  <c r="X203" i="24"/>
  <c r="Y184" i="24"/>
  <c r="Z184" i="24" s="1"/>
  <c r="AA184" i="24" s="1"/>
  <c r="AB184" i="24" s="1"/>
  <c r="AC184" i="24" s="1"/>
  <c r="AD184" i="24" s="1"/>
  <c r="AE184" i="24" s="1"/>
  <c r="AF184" i="24" s="1"/>
  <c r="AG184" i="24" s="1"/>
  <c r="AH184" i="24" s="1"/>
  <c r="AI184" i="24" s="1"/>
  <c r="AJ184" i="24" s="1"/>
  <c r="AK184" i="24" s="1"/>
  <c r="AL184" i="24" s="1"/>
  <c r="AM184" i="24" s="1"/>
  <c r="AN184" i="24" s="1"/>
  <c r="W185" i="24"/>
  <c r="V180" i="24"/>
  <c r="W175" i="24"/>
  <c r="X175" i="24" s="1"/>
  <c r="Y175" i="24" s="1"/>
  <c r="AD189" i="24"/>
  <c r="AE189" i="24" s="1"/>
  <c r="AF189" i="24" s="1"/>
  <c r="AG189" i="24" s="1"/>
  <c r="AH189" i="24" s="1"/>
  <c r="AI189" i="24" s="1"/>
  <c r="AJ189" i="24" s="1"/>
  <c r="AK189" i="24" s="1"/>
  <c r="AL189" i="24" s="1"/>
  <c r="AM189" i="24" s="1"/>
  <c r="AN189" i="24" s="1"/>
  <c r="AO189" i="24" s="1"/>
  <c r="AP189" i="24" s="1"/>
  <c r="AQ189" i="24" s="1"/>
  <c r="AI186" i="24"/>
  <c r="AJ186" i="24" s="1"/>
  <c r="AK186" i="24" s="1"/>
  <c r="AL186" i="24" s="1"/>
  <c r="AM186" i="24" s="1"/>
  <c r="AN186" i="24" s="1"/>
  <c r="AO186" i="24" s="1"/>
  <c r="AP186" i="24" s="1"/>
  <c r="AQ186" i="24" s="1"/>
  <c r="AA217" i="24"/>
  <c r="AB217" i="24" s="1"/>
  <c r="AG207" i="24"/>
  <c r="W218" i="24"/>
  <c r="X227" i="24"/>
  <c r="Y227" i="24" s="1"/>
  <c r="U219" i="24"/>
  <c r="W224" i="24"/>
  <c r="X224" i="24" s="1"/>
  <c r="Y224" i="24" s="1"/>
  <c r="Z224" i="24" s="1"/>
  <c r="W223" i="24"/>
  <c r="AD221" i="24"/>
  <c r="AE221" i="24" s="1"/>
  <c r="AF221" i="24" s="1"/>
  <c r="AG221" i="24" s="1"/>
  <c r="AH221" i="24" s="1"/>
  <c r="AI221" i="24" s="1"/>
  <c r="AJ221" i="24" s="1"/>
  <c r="AK221" i="24" s="1"/>
  <c r="AL221" i="24" s="1"/>
  <c r="AM221" i="24" s="1"/>
  <c r="AN221" i="24" s="1"/>
  <c r="V222" i="24"/>
  <c r="W225" i="24"/>
  <c r="X225" i="24" s="1"/>
  <c r="T226" i="24"/>
  <c r="AC202" i="24"/>
  <c r="AF176" i="24"/>
  <c r="F190" i="24"/>
  <c r="N68" i="24" l="1"/>
  <c r="N4" i="24"/>
  <c r="O36" i="24"/>
  <c r="P33" i="24"/>
  <c r="C415" i="46"/>
  <c r="E415" i="46" s="1"/>
  <c r="K416" i="46"/>
  <c r="H414" i="46"/>
  <c r="G416" i="44"/>
  <c r="E416" i="44"/>
  <c r="D416" i="44" s="1"/>
  <c r="F416" i="44" s="1"/>
  <c r="H416" i="44"/>
  <c r="M417" i="44" s="1"/>
  <c r="AE137" i="24"/>
  <c r="S37" i="53"/>
  <c r="U37" i="53"/>
  <c r="H70" i="39"/>
  <c r="I70" i="39" s="1"/>
  <c r="O28" i="44"/>
  <c r="N28" i="44"/>
  <c r="U214" i="24"/>
  <c r="Y213" i="24"/>
  <c r="Z213" i="24" s="1"/>
  <c r="AA213" i="24" s="1"/>
  <c r="U194" i="24"/>
  <c r="V194" i="24" s="1"/>
  <c r="W194" i="24" s="1"/>
  <c r="X194" i="24" s="1"/>
  <c r="X196" i="24"/>
  <c r="Y196" i="24" s="1"/>
  <c r="Z196" i="24" s="1"/>
  <c r="T169" i="24"/>
  <c r="T170" i="24" s="1"/>
  <c r="U195" i="24"/>
  <c r="T197" i="24"/>
  <c r="B29" i="44"/>
  <c r="C30" i="44"/>
  <c r="N59" i="39"/>
  <c r="B59" i="39"/>
  <c r="C60" i="39"/>
  <c r="AN181" i="24"/>
  <c r="AN179" i="24"/>
  <c r="F179" i="24" s="1"/>
  <c r="L70" i="39"/>
  <c r="F204" i="24"/>
  <c r="AM220" i="24"/>
  <c r="AL210" i="24"/>
  <c r="AM210" i="24" s="1"/>
  <c r="AL205" i="24"/>
  <c r="AM205" i="24" s="1"/>
  <c r="AN205" i="24" s="1"/>
  <c r="AO205" i="24" s="1"/>
  <c r="AP205" i="24" s="1"/>
  <c r="AQ205" i="24" s="1"/>
  <c r="AL209" i="24"/>
  <c r="AM209" i="24" s="1"/>
  <c r="AN209" i="24" s="1"/>
  <c r="AO209" i="24" s="1"/>
  <c r="AP209" i="24" s="1"/>
  <c r="AQ209" i="24" s="1"/>
  <c r="F209" i="24" s="1"/>
  <c r="W208" i="24"/>
  <c r="X208" i="24" s="1"/>
  <c r="AA201" i="24"/>
  <c r="AB201" i="24" s="1"/>
  <c r="X206" i="24"/>
  <c r="AB200" i="24"/>
  <c r="V214" i="24"/>
  <c r="F211" i="24"/>
  <c r="Y203" i="24"/>
  <c r="Z175" i="24"/>
  <c r="F189" i="24"/>
  <c r="F184" i="24"/>
  <c r="F193" i="24"/>
  <c r="X185" i="24"/>
  <c r="Y185" i="24" s="1"/>
  <c r="Z185" i="24" s="1"/>
  <c r="AA185" i="24" s="1"/>
  <c r="AB185" i="24" s="1"/>
  <c r="F186" i="24"/>
  <c r="W180" i="24"/>
  <c r="X180" i="24" s="1"/>
  <c r="Y180" i="24" s="1"/>
  <c r="Z180" i="24" s="1"/>
  <c r="AA180" i="24" s="1"/>
  <c r="AB180" i="24" s="1"/>
  <c r="AC180" i="24" s="1"/>
  <c r="AD180" i="24" s="1"/>
  <c r="AE180" i="24" s="1"/>
  <c r="AF180" i="24" s="1"/>
  <c r="AG180" i="24" s="1"/>
  <c r="AH180" i="24" s="1"/>
  <c r="AI180" i="24" s="1"/>
  <c r="AJ180" i="24" s="1"/>
  <c r="AK180" i="24" s="1"/>
  <c r="AL180" i="24" s="1"/>
  <c r="AM180" i="24" s="1"/>
  <c r="AN180" i="24" s="1"/>
  <c r="AO180" i="24" s="1"/>
  <c r="AP180" i="24" s="1"/>
  <c r="AQ180" i="24" s="1"/>
  <c r="AC217" i="24"/>
  <c r="AD217" i="24" s="1"/>
  <c r="AE217" i="24" s="1"/>
  <c r="AH207" i="24"/>
  <c r="AI207" i="24" s="1"/>
  <c r="AJ207" i="24" s="1"/>
  <c r="Z227" i="24"/>
  <c r="X218" i="24"/>
  <c r="F221" i="24"/>
  <c r="V219" i="24"/>
  <c r="X223" i="24"/>
  <c r="Y223" i="24" s="1"/>
  <c r="Z223" i="24" s="1"/>
  <c r="AA224" i="24"/>
  <c r="AB224" i="24" s="1"/>
  <c r="AC224" i="24" s="1"/>
  <c r="AD224" i="24" s="1"/>
  <c r="AE224" i="24" s="1"/>
  <c r="AF224" i="24" s="1"/>
  <c r="AG224" i="24" s="1"/>
  <c r="AH224" i="24" s="1"/>
  <c r="AI224" i="24" s="1"/>
  <c r="AJ224" i="24" s="1"/>
  <c r="AK224" i="24" s="1"/>
  <c r="AL224" i="24" s="1"/>
  <c r="AM224" i="24" s="1"/>
  <c r="AN224" i="24" s="1"/>
  <c r="W222" i="24"/>
  <c r="Y225" i="24"/>
  <c r="U226" i="24"/>
  <c r="T228" i="24"/>
  <c r="AD202" i="24"/>
  <c r="AG176" i="24"/>
  <c r="F182" i="24"/>
  <c r="P34" i="24" l="1"/>
  <c r="P35" i="24" s="1"/>
  <c r="O32" i="24"/>
  <c r="O37" i="24"/>
  <c r="AO181" i="24"/>
  <c r="AP181" i="24" s="1"/>
  <c r="AQ181" i="24" s="1"/>
  <c r="AR181" i="24" s="1"/>
  <c r="AB213" i="24"/>
  <c r="AC213" i="24" s="1"/>
  <c r="AD213" i="24" s="1"/>
  <c r="G416" i="46"/>
  <c r="L417" i="46" s="1"/>
  <c r="D416" i="46"/>
  <c r="C416" i="46" s="1"/>
  <c r="E416" i="46" s="1"/>
  <c r="F416" i="46"/>
  <c r="L417" i="44"/>
  <c r="I415" i="44"/>
  <c r="AE139" i="24"/>
  <c r="N38" i="53"/>
  <c r="R38" i="53"/>
  <c r="N29" i="44"/>
  <c r="O29" i="44"/>
  <c r="Y49" i="53"/>
  <c r="Z49" i="53"/>
  <c r="X49" i="53"/>
  <c r="AA196" i="24"/>
  <c r="AB196" i="24" s="1"/>
  <c r="AC196" i="24" s="1"/>
  <c r="AD196" i="24" s="1"/>
  <c r="U197" i="24"/>
  <c r="V195" i="24"/>
  <c r="Y194" i="24"/>
  <c r="Z194" i="24" s="1"/>
  <c r="AA194" i="24" s="1"/>
  <c r="AB194" i="24" s="1"/>
  <c r="AC194" i="24" s="1"/>
  <c r="AD194" i="24" s="1"/>
  <c r="AE194" i="24" s="1"/>
  <c r="AF194" i="24" s="1"/>
  <c r="AG194" i="24" s="1"/>
  <c r="AH194" i="24" s="1"/>
  <c r="AI194" i="24" s="1"/>
  <c r="AJ194" i="24" s="1"/>
  <c r="AK194" i="24" s="1"/>
  <c r="AL194" i="24" s="1"/>
  <c r="AM194" i="24" s="1"/>
  <c r="AN194" i="24" s="1"/>
  <c r="AO194" i="24" s="1"/>
  <c r="AP194" i="24" s="1"/>
  <c r="AQ194" i="24" s="1"/>
  <c r="U169" i="24"/>
  <c r="B30" i="44"/>
  <c r="C31" i="44"/>
  <c r="C61" i="39"/>
  <c r="B60" i="39"/>
  <c r="N60" i="39"/>
  <c r="AN210" i="24"/>
  <c r="AO210" i="24" s="1"/>
  <c r="AP210" i="24" s="1"/>
  <c r="AQ210" i="24" s="1"/>
  <c r="AN220" i="24"/>
  <c r="F220" i="24" s="1"/>
  <c r="M70" i="39"/>
  <c r="K70" i="39"/>
  <c r="X214" i="24"/>
  <c r="F205" i="24"/>
  <c r="W214" i="24"/>
  <c r="AC201" i="24"/>
  <c r="AD201" i="24" s="1"/>
  <c r="AE201" i="24" s="1"/>
  <c r="AF201" i="24" s="1"/>
  <c r="AG201" i="24" s="1"/>
  <c r="AH201" i="24" s="1"/>
  <c r="AI201" i="24" s="1"/>
  <c r="AJ201" i="24" s="1"/>
  <c r="AK201" i="24" s="1"/>
  <c r="AL201" i="24" s="1"/>
  <c r="AM201" i="24" s="1"/>
  <c r="AN201" i="24" s="1"/>
  <c r="AO201" i="24" s="1"/>
  <c r="AP201" i="24" s="1"/>
  <c r="AQ201" i="24" s="1"/>
  <c r="AC200" i="24"/>
  <c r="Z203" i="24"/>
  <c r="AA203" i="24" s="1"/>
  <c r="Y206" i="24"/>
  <c r="Y208" i="24"/>
  <c r="AC185" i="24"/>
  <c r="AD185" i="24" s="1"/>
  <c r="AE185" i="24" s="1"/>
  <c r="AF185" i="24" s="1"/>
  <c r="AG185" i="24" s="1"/>
  <c r="AH185" i="24" s="1"/>
  <c r="AI185" i="24" s="1"/>
  <c r="AJ185" i="24" s="1"/>
  <c r="AK185" i="24" s="1"/>
  <c r="AL185" i="24" s="1"/>
  <c r="AM185" i="24" s="1"/>
  <c r="AN185" i="24" s="1"/>
  <c r="AO185" i="24" s="1"/>
  <c r="AP185" i="24" s="1"/>
  <c r="AQ185" i="24" s="1"/>
  <c r="F180" i="24"/>
  <c r="AA175" i="24"/>
  <c r="AF217" i="24"/>
  <c r="AG217" i="24" s="1"/>
  <c r="AH217" i="24" s="1"/>
  <c r="AK207" i="24"/>
  <c r="W219" i="24"/>
  <c r="F224" i="24"/>
  <c r="AA227" i="24"/>
  <c r="AB227" i="24" s="1"/>
  <c r="AC227" i="24" s="1"/>
  <c r="AD227" i="24" s="1"/>
  <c r="AE227" i="24" s="1"/>
  <c r="AF227" i="24" s="1"/>
  <c r="AG227" i="24" s="1"/>
  <c r="AH227" i="24" s="1"/>
  <c r="AI227" i="24" s="1"/>
  <c r="AJ227" i="24" s="1"/>
  <c r="AK227" i="24" s="1"/>
  <c r="AL227" i="24" s="1"/>
  <c r="AM227" i="24" s="1"/>
  <c r="AN227" i="24" s="1"/>
  <c r="Y218" i="24"/>
  <c r="Z218" i="24" s="1"/>
  <c r="AA223" i="24"/>
  <c r="AB223" i="24" s="1"/>
  <c r="AC223" i="24" s="1"/>
  <c r="AD223" i="24" s="1"/>
  <c r="AE223" i="24" s="1"/>
  <c r="AF223" i="24" s="1"/>
  <c r="AG223" i="24" s="1"/>
  <c r="AH223" i="24" s="1"/>
  <c r="AI223" i="24" s="1"/>
  <c r="AJ223" i="24" s="1"/>
  <c r="AK223" i="24" s="1"/>
  <c r="AL223" i="24" s="1"/>
  <c r="AM223" i="24" s="1"/>
  <c r="AN223" i="24" s="1"/>
  <c r="U228" i="24"/>
  <c r="Z225" i="24"/>
  <c r="AA225" i="24" s="1"/>
  <c r="AB225" i="24" s="1"/>
  <c r="V226" i="24"/>
  <c r="V228" i="24" s="1"/>
  <c r="X222" i="24"/>
  <c r="AE202" i="24"/>
  <c r="AH176" i="24"/>
  <c r="O68" i="24" l="1"/>
  <c r="O4" i="24"/>
  <c r="P36" i="24"/>
  <c r="Q33" i="24"/>
  <c r="AR197" i="24"/>
  <c r="AR230" i="24" s="1"/>
  <c r="AS181" i="24"/>
  <c r="AS197" i="24" s="1"/>
  <c r="AS230" i="24" s="1"/>
  <c r="K417" i="46"/>
  <c r="H415" i="46"/>
  <c r="AE196" i="24"/>
  <c r="AF196" i="24" s="1"/>
  <c r="AG196" i="24" s="1"/>
  <c r="AH196" i="24" s="1"/>
  <c r="AI196" i="24" s="1"/>
  <c r="AJ196" i="24" s="1"/>
  <c r="AK196" i="24" s="1"/>
  <c r="AL196" i="24" s="1"/>
  <c r="AM196" i="24" s="1"/>
  <c r="AN196" i="24" s="1"/>
  <c r="AO196" i="24" s="1"/>
  <c r="AP196" i="24" s="1"/>
  <c r="AQ196" i="24" s="1"/>
  <c r="E417" i="44"/>
  <c r="D417" i="44" s="1"/>
  <c r="F417" i="44" s="1"/>
  <c r="H417" i="44"/>
  <c r="M418" i="44" s="1"/>
  <c r="G417" i="44"/>
  <c r="AF138" i="24"/>
  <c r="T38" i="53"/>
  <c r="O38" i="53"/>
  <c r="AE22" i="53"/>
  <c r="V38" i="53"/>
  <c r="O30" i="44"/>
  <c r="N30" i="44"/>
  <c r="F194" i="24"/>
  <c r="W195" i="24"/>
  <c r="U170" i="24"/>
  <c r="V169" i="24"/>
  <c r="C32" i="44"/>
  <c r="B31" i="44"/>
  <c r="B61" i="39"/>
  <c r="C62" i="39"/>
  <c r="N61" i="39"/>
  <c r="F210" i="24"/>
  <c r="G71" i="39"/>
  <c r="J71" i="39"/>
  <c r="AE213" i="24"/>
  <c r="AF213" i="24" s="1"/>
  <c r="AG213" i="24" s="1"/>
  <c r="AH213" i="24" s="1"/>
  <c r="AI213" i="24" s="1"/>
  <c r="AJ213" i="24" s="1"/>
  <c r="AK213" i="24" s="1"/>
  <c r="AL213" i="24" s="1"/>
  <c r="AM213" i="24" s="1"/>
  <c r="AN213" i="24" s="1"/>
  <c r="AO213" i="24" s="1"/>
  <c r="AP213" i="24" s="1"/>
  <c r="AQ213" i="24" s="1"/>
  <c r="F201" i="24"/>
  <c r="AB203" i="24"/>
  <c r="AC203" i="24" s="1"/>
  <c r="Y214" i="24"/>
  <c r="AD200" i="24"/>
  <c r="AE200" i="24" s="1"/>
  <c r="Z208" i="24"/>
  <c r="AA208" i="24" s="1"/>
  <c r="AB208" i="24" s="1"/>
  <c r="AC208" i="24" s="1"/>
  <c r="AD208" i="24" s="1"/>
  <c r="AE208" i="24" s="1"/>
  <c r="Z206" i="24"/>
  <c r="AA206" i="24" s="1"/>
  <c r="AB175" i="24"/>
  <c r="AC175" i="24" s="1"/>
  <c r="F185" i="24"/>
  <c r="AL207" i="24"/>
  <c r="AM207" i="24" s="1"/>
  <c r="AN207" i="24" s="1"/>
  <c r="AO207" i="24" s="1"/>
  <c r="AP207" i="24" s="1"/>
  <c r="AQ207" i="24" s="1"/>
  <c r="F227" i="24"/>
  <c r="AA218" i="24"/>
  <c r="AB218" i="24" s="1"/>
  <c r="AC218" i="24" s="1"/>
  <c r="AD218" i="24" s="1"/>
  <c r="AE218" i="24" s="1"/>
  <c r="AF218" i="24" s="1"/>
  <c r="AG218" i="24" s="1"/>
  <c r="AH218" i="24" s="1"/>
  <c r="AI218" i="24" s="1"/>
  <c r="AJ218" i="24" s="1"/>
  <c r="AK218" i="24" s="1"/>
  <c r="AL218" i="24" s="1"/>
  <c r="AM218" i="24" s="1"/>
  <c r="AN218" i="24" s="1"/>
  <c r="X219" i="24"/>
  <c r="F223" i="24"/>
  <c r="AC225" i="24"/>
  <c r="AD225" i="24" s="1"/>
  <c r="AE225" i="24" s="1"/>
  <c r="AF225" i="24" s="1"/>
  <c r="AG225" i="24" s="1"/>
  <c r="AH225" i="24" s="1"/>
  <c r="AI225" i="24" s="1"/>
  <c r="AJ225" i="24" s="1"/>
  <c r="AK225" i="24" s="1"/>
  <c r="AL225" i="24" s="1"/>
  <c r="AM225" i="24" s="1"/>
  <c r="AN225" i="24" s="1"/>
  <c r="Y222" i="24"/>
  <c r="W226" i="24"/>
  <c r="AF202" i="24"/>
  <c r="AI176" i="24"/>
  <c r="AI217" i="24"/>
  <c r="P32" i="24" l="1"/>
  <c r="P37" i="24"/>
  <c r="Q34" i="24"/>
  <c r="Q35" i="24" s="1"/>
  <c r="D417" i="46"/>
  <c r="C417" i="46" s="1"/>
  <c r="E417" i="46" s="1"/>
  <c r="G417" i="46"/>
  <c r="L418" i="46" s="1"/>
  <c r="F417" i="46"/>
  <c r="F196" i="24"/>
  <c r="L418" i="44"/>
  <c r="I416" i="44"/>
  <c r="Q38" i="53"/>
  <c r="AA38" i="53"/>
  <c r="AF136" i="24"/>
  <c r="H71" i="39"/>
  <c r="I71" i="39" s="1"/>
  <c r="M71" i="39" s="1"/>
  <c r="N31" i="44"/>
  <c r="O31" i="44"/>
  <c r="X195" i="24"/>
  <c r="V170" i="24"/>
  <c r="W169" i="24"/>
  <c r="N62" i="39"/>
  <c r="C63" i="39"/>
  <c r="B62" i="39"/>
  <c r="C33" i="44"/>
  <c r="B32" i="44"/>
  <c r="L71" i="39"/>
  <c r="AF200" i="24"/>
  <c r="AG200" i="24" s="1"/>
  <c r="AH200" i="24" s="1"/>
  <c r="AI200" i="24" s="1"/>
  <c r="AB206" i="24"/>
  <c r="AC206" i="24" s="1"/>
  <c r="AD206" i="24" s="1"/>
  <c r="AA214" i="24"/>
  <c r="AF208" i="24"/>
  <c r="AG208" i="24" s="1"/>
  <c r="AH208" i="24" s="1"/>
  <c r="AI208" i="24" s="1"/>
  <c r="AJ208" i="24" s="1"/>
  <c r="AK208" i="24" s="1"/>
  <c r="Z214" i="24"/>
  <c r="AD203" i="24"/>
  <c r="AE203" i="24" s="1"/>
  <c r="AF203" i="24" s="1"/>
  <c r="AG203" i="24" s="1"/>
  <c r="AH203" i="24" s="1"/>
  <c r="AI203" i="24" s="1"/>
  <c r="AJ203" i="24" s="1"/>
  <c r="AK203" i="24" s="1"/>
  <c r="F213" i="24"/>
  <c r="AD175" i="24"/>
  <c r="F207" i="24"/>
  <c r="F218" i="24"/>
  <c r="Y219" i="24"/>
  <c r="X226" i="24"/>
  <c r="W228" i="24"/>
  <c r="F225" i="24"/>
  <c r="Z222" i="24"/>
  <c r="AG202" i="24"/>
  <c r="AJ217" i="24"/>
  <c r="AJ176" i="24"/>
  <c r="R33" i="24" l="1"/>
  <c r="R34" i="24" s="1"/>
  <c r="R35" i="24" s="1"/>
  <c r="Q36" i="24"/>
  <c r="Q37" i="24" s="1"/>
  <c r="P68" i="24"/>
  <c r="P4" i="24"/>
  <c r="K418" i="46"/>
  <c r="H416" i="46"/>
  <c r="G418" i="44"/>
  <c r="E418" i="44"/>
  <c r="D418" i="44" s="1"/>
  <c r="F418" i="44" s="1"/>
  <c r="H418" i="44"/>
  <c r="M419" i="44" s="1"/>
  <c r="AF137" i="24"/>
  <c r="S38" i="53"/>
  <c r="U38" i="53"/>
  <c r="O32" i="44"/>
  <c r="N32" i="44"/>
  <c r="Y50" i="53"/>
  <c r="X50" i="53"/>
  <c r="Z50" i="53"/>
  <c r="Y195" i="24"/>
  <c r="W170" i="24"/>
  <c r="X169" i="24"/>
  <c r="X170" i="24" s="1"/>
  <c r="N63" i="39"/>
  <c r="C64" i="39"/>
  <c r="B63" i="39"/>
  <c r="B33" i="44"/>
  <c r="C34" i="44"/>
  <c r="G72" i="39"/>
  <c r="J72" i="39"/>
  <c r="K71" i="39"/>
  <c r="AL208" i="24"/>
  <c r="AM208" i="24" s="1"/>
  <c r="AN208" i="24" s="1"/>
  <c r="AO208" i="24" s="1"/>
  <c r="AP208" i="24" s="1"/>
  <c r="AQ208" i="24" s="1"/>
  <c r="AL203" i="24"/>
  <c r="AM203" i="24" s="1"/>
  <c r="AN203" i="24" s="1"/>
  <c r="AO203" i="24" s="1"/>
  <c r="AP203" i="24" s="1"/>
  <c r="AQ203" i="24" s="1"/>
  <c r="AE206" i="24"/>
  <c r="AE214" i="24" s="1"/>
  <c r="AD214" i="24"/>
  <c r="AB214" i="24"/>
  <c r="AC214" i="24"/>
  <c r="AE175" i="24"/>
  <c r="Z219" i="24"/>
  <c r="AA222" i="24"/>
  <c r="AB222" i="24" s="1"/>
  <c r="AC222" i="24" s="1"/>
  <c r="AD222" i="24" s="1"/>
  <c r="AE222" i="24" s="1"/>
  <c r="AF222" i="24" s="1"/>
  <c r="AG222" i="24" s="1"/>
  <c r="AH222" i="24" s="1"/>
  <c r="AI222" i="24" s="1"/>
  <c r="AJ222" i="24" s="1"/>
  <c r="AK222" i="24" s="1"/>
  <c r="AL222" i="24" s="1"/>
  <c r="AM222" i="24" s="1"/>
  <c r="AN222" i="24" s="1"/>
  <c r="Y226" i="24"/>
  <c r="X228" i="24"/>
  <c r="AH202" i="24"/>
  <c r="AJ200" i="24"/>
  <c r="AK176" i="24"/>
  <c r="AL176" i="24" s="1"/>
  <c r="AK217" i="24"/>
  <c r="AL217" i="24" s="1"/>
  <c r="AM217" i="24" s="1"/>
  <c r="AN217" i="24" s="1"/>
  <c r="Q68" i="24" l="1"/>
  <c r="Q4" i="24"/>
  <c r="Q32" i="24"/>
  <c r="R36" i="24"/>
  <c r="R37" i="24" s="1"/>
  <c r="S33" i="24"/>
  <c r="S34" i="24" s="1"/>
  <c r="S36" i="24" s="1"/>
  <c r="S37" i="24" s="1"/>
  <c r="F418" i="46"/>
  <c r="D418" i="46"/>
  <c r="C418" i="46" s="1"/>
  <c r="E418" i="46" s="1"/>
  <c r="G418" i="46"/>
  <c r="L419" i="46" s="1"/>
  <c r="L419" i="44"/>
  <c r="I417" i="44"/>
  <c r="AF139" i="24"/>
  <c r="N39" i="53"/>
  <c r="R39" i="53"/>
  <c r="H72" i="39"/>
  <c r="I72" i="39" s="1"/>
  <c r="N33" i="44"/>
  <c r="O33" i="44"/>
  <c r="Z195" i="24"/>
  <c r="Y169" i="24"/>
  <c r="Y170" i="24" s="1"/>
  <c r="C65" i="39"/>
  <c r="N64" i="39"/>
  <c r="B64" i="39"/>
  <c r="B34" i="44"/>
  <c r="C35" i="44"/>
  <c r="L72" i="39"/>
  <c r="AH172" i="24"/>
  <c r="AI172" i="24" s="1"/>
  <c r="F203" i="24"/>
  <c r="F208" i="24"/>
  <c r="AF206" i="24"/>
  <c r="AF175" i="24"/>
  <c r="AM176" i="24"/>
  <c r="AO175" i="24"/>
  <c r="AA219" i="24"/>
  <c r="Z226" i="24"/>
  <c r="AA226" i="24" s="1"/>
  <c r="AB226" i="24" s="1"/>
  <c r="AC226" i="24" s="1"/>
  <c r="AD226" i="24" s="1"/>
  <c r="AE226" i="24" s="1"/>
  <c r="AF226" i="24" s="1"/>
  <c r="AG226" i="24" s="1"/>
  <c r="AH226" i="24" s="1"/>
  <c r="AI226" i="24" s="1"/>
  <c r="AJ226" i="24" s="1"/>
  <c r="AK226" i="24" s="1"/>
  <c r="AL226" i="24" s="1"/>
  <c r="AM226" i="24" s="1"/>
  <c r="AN226" i="24" s="1"/>
  <c r="Y228" i="24"/>
  <c r="F222" i="24"/>
  <c r="AK200" i="24"/>
  <c r="AL200" i="24" s="1"/>
  <c r="AI202" i="24"/>
  <c r="F217" i="24"/>
  <c r="R68" i="24" l="1"/>
  <c r="R4" i="24"/>
  <c r="S4" i="24"/>
  <c r="S68" i="24"/>
  <c r="R32" i="24"/>
  <c r="S35" i="24"/>
  <c r="S32" i="24" s="1"/>
  <c r="T33" i="24"/>
  <c r="T34" i="24" s="1"/>
  <c r="T36" i="24" s="1"/>
  <c r="T37" i="24" s="1"/>
  <c r="K419" i="46"/>
  <c r="H417" i="46"/>
  <c r="E419" i="44"/>
  <c r="D419" i="44" s="1"/>
  <c r="F419" i="44" s="1"/>
  <c r="G419" i="44"/>
  <c r="H419" i="44"/>
  <c r="M420" i="44" s="1"/>
  <c r="AG138" i="24"/>
  <c r="T39" i="53"/>
  <c r="O39" i="53"/>
  <c r="V39" i="53"/>
  <c r="N34" i="44"/>
  <c r="O34" i="44"/>
  <c r="AA195" i="24"/>
  <c r="Z169" i="24"/>
  <c r="B35" i="44"/>
  <c r="C36" i="44"/>
  <c r="N65" i="39"/>
  <c r="C66" i="39"/>
  <c r="B65" i="39"/>
  <c r="M72" i="39"/>
  <c r="K72" i="39"/>
  <c r="AJ172" i="24"/>
  <c r="AK172" i="24" s="1"/>
  <c r="AL172" i="24" s="1"/>
  <c r="AM172" i="24" s="1"/>
  <c r="AN172" i="24" s="1"/>
  <c r="AG206" i="24"/>
  <c r="AF214" i="24"/>
  <c r="AG175" i="24"/>
  <c r="AM200" i="24"/>
  <c r="AP175" i="24"/>
  <c r="AN176" i="24"/>
  <c r="AA228" i="24"/>
  <c r="AB219" i="24"/>
  <c r="AB228" i="24" s="1"/>
  <c r="F226" i="24"/>
  <c r="Z228" i="24"/>
  <c r="AJ202" i="24"/>
  <c r="T4" i="24" l="1"/>
  <c r="T68" i="24"/>
  <c r="T35" i="24"/>
  <c r="T32" i="24" s="1"/>
  <c r="U33" i="24"/>
  <c r="U34" i="24" s="1"/>
  <c r="U36" i="24" s="1"/>
  <c r="U37" i="24" s="1"/>
  <c r="F419" i="46"/>
  <c r="G419" i="46"/>
  <c r="L420" i="46" s="1"/>
  <c r="D419" i="46"/>
  <c r="L420" i="44"/>
  <c r="I418" i="44"/>
  <c r="Q39" i="53"/>
  <c r="AA39" i="53"/>
  <c r="AG136" i="24"/>
  <c r="N35" i="44"/>
  <c r="O35" i="44"/>
  <c r="Y51" i="53"/>
  <c r="X51" i="53"/>
  <c r="Z51" i="53"/>
  <c r="AB195" i="24"/>
  <c r="AA169" i="24"/>
  <c r="AA170" i="24" s="1"/>
  <c r="Z170" i="24"/>
  <c r="B36" i="44"/>
  <c r="C37" i="44"/>
  <c r="N66" i="39"/>
  <c r="C67" i="39"/>
  <c r="B66" i="39"/>
  <c r="G73" i="39"/>
  <c r="J73" i="39"/>
  <c r="AH206" i="24"/>
  <c r="AG214" i="24"/>
  <c r="AH175" i="24"/>
  <c r="AN200" i="24"/>
  <c r="AO176" i="24"/>
  <c r="AQ175" i="24"/>
  <c r="AC219" i="24"/>
  <c r="AK202" i="24"/>
  <c r="AL202" i="24" s="1"/>
  <c r="U35" i="24" l="1"/>
  <c r="U32" i="24" s="1"/>
  <c r="V33" i="24"/>
  <c r="U68" i="24"/>
  <c r="U4" i="24"/>
  <c r="C419" i="46"/>
  <c r="E419" i="46" s="1"/>
  <c r="K420" i="46"/>
  <c r="H418" i="46"/>
  <c r="G420" i="44"/>
  <c r="E420" i="44"/>
  <c r="D420" i="44" s="1"/>
  <c r="F420" i="44" s="1"/>
  <c r="H420" i="44"/>
  <c r="M421" i="44" s="1"/>
  <c r="AG137" i="24"/>
  <c r="S39" i="53"/>
  <c r="U39" i="53"/>
  <c r="H73" i="39"/>
  <c r="I73" i="39" s="1"/>
  <c r="O36" i="44"/>
  <c r="N36" i="44"/>
  <c r="AC195" i="24"/>
  <c r="AB169" i="24"/>
  <c r="B37" i="44"/>
  <c r="C38" i="44"/>
  <c r="N67" i="39"/>
  <c r="B67" i="39"/>
  <c r="C68" i="39"/>
  <c r="L73" i="39"/>
  <c r="AI206" i="24"/>
  <c r="AH214" i="24"/>
  <c r="AI175" i="24"/>
  <c r="AO200" i="24"/>
  <c r="AM202" i="24"/>
  <c r="AP176" i="24"/>
  <c r="AC228" i="24"/>
  <c r="AD219" i="24"/>
  <c r="AD228" i="24" s="1"/>
  <c r="V34" i="24" l="1"/>
  <c r="V35" i="24" s="1"/>
  <c r="G420" i="46"/>
  <c r="L421" i="46" s="1"/>
  <c r="D420" i="46"/>
  <c r="F420" i="46"/>
  <c r="L421" i="44"/>
  <c r="I419" i="44"/>
  <c r="AG139" i="24"/>
  <c r="N40" i="53"/>
  <c r="R40" i="53"/>
  <c r="N37" i="44"/>
  <c r="O37" i="44"/>
  <c r="AD195" i="24"/>
  <c r="AC169" i="24"/>
  <c r="AB170" i="24"/>
  <c r="N68" i="39"/>
  <c r="B68" i="39"/>
  <c r="C69" i="39"/>
  <c r="C39" i="44"/>
  <c r="B38" i="44"/>
  <c r="M73" i="39"/>
  <c r="K73" i="39"/>
  <c r="AJ206" i="24"/>
  <c r="AI214" i="24"/>
  <c r="AJ175" i="24"/>
  <c r="AN202" i="24"/>
  <c r="AP200" i="24"/>
  <c r="AQ176" i="24"/>
  <c r="AE219" i="24"/>
  <c r="V36" i="24" l="1"/>
  <c r="V37" i="24" s="1"/>
  <c r="W33" i="24"/>
  <c r="K421" i="46"/>
  <c r="H419" i="46"/>
  <c r="C420" i="46"/>
  <c r="E420" i="46" s="1"/>
  <c r="E421" i="44"/>
  <c r="D421" i="44" s="1"/>
  <c r="F421" i="44" s="1"/>
  <c r="G421" i="44"/>
  <c r="H421" i="44"/>
  <c r="M422" i="44" s="1"/>
  <c r="AH138" i="24"/>
  <c r="T40" i="53"/>
  <c r="O40" i="53"/>
  <c r="V40" i="53"/>
  <c r="O38" i="44"/>
  <c r="N38" i="44"/>
  <c r="Y52" i="53"/>
  <c r="Z52" i="53"/>
  <c r="X52" i="53"/>
  <c r="AE195" i="24"/>
  <c r="AD169" i="24"/>
  <c r="AC170" i="24"/>
  <c r="B39" i="44"/>
  <c r="C40" i="44"/>
  <c r="B69" i="39"/>
  <c r="N69" i="39"/>
  <c r="C70" i="39"/>
  <c r="G74" i="39"/>
  <c r="J74" i="39"/>
  <c r="AK206" i="24"/>
  <c r="AL206" i="24" s="1"/>
  <c r="AJ214" i="24"/>
  <c r="AK175" i="24"/>
  <c r="AO202" i="24"/>
  <c r="AQ200" i="24"/>
  <c r="F176" i="24"/>
  <c r="AE228" i="24"/>
  <c r="AF219" i="24"/>
  <c r="W34" i="24" l="1"/>
  <c r="W35" i="24" s="1"/>
  <c r="V4" i="24"/>
  <c r="V68" i="24"/>
  <c r="V32" i="24"/>
  <c r="D421" i="46"/>
  <c r="C421" i="46" s="1"/>
  <c r="E421" i="46" s="1"/>
  <c r="G421" i="46"/>
  <c r="L422" i="46" s="1"/>
  <c r="F421" i="46"/>
  <c r="L422" i="44"/>
  <c r="I420" i="44"/>
  <c r="Q40" i="53"/>
  <c r="AH136" i="24"/>
  <c r="AA40" i="53"/>
  <c r="H74" i="39"/>
  <c r="I74" i="39" s="1"/>
  <c r="M74" i="39" s="1"/>
  <c r="N39" i="44"/>
  <c r="O39" i="44"/>
  <c r="AF195" i="24"/>
  <c r="AE169" i="24"/>
  <c r="AD170" i="24"/>
  <c r="C71" i="39"/>
  <c r="B70" i="39"/>
  <c r="N70" i="39"/>
  <c r="B40" i="44"/>
  <c r="C41" i="44"/>
  <c r="L74" i="39"/>
  <c r="AM206" i="24"/>
  <c r="AL214" i="24"/>
  <c r="AK214" i="24"/>
  <c r="AL175" i="24"/>
  <c r="AF228" i="24"/>
  <c r="AG219" i="24"/>
  <c r="AP202" i="24"/>
  <c r="F200" i="24"/>
  <c r="X33" i="24" l="1"/>
  <c r="W36" i="24"/>
  <c r="W37" i="24" s="1"/>
  <c r="K422" i="46"/>
  <c r="H420" i="46"/>
  <c r="G422" i="44"/>
  <c r="H422" i="44"/>
  <c r="M423" i="44" s="1"/>
  <c r="E422" i="44"/>
  <c r="D422" i="44" s="1"/>
  <c r="F422" i="44" s="1"/>
  <c r="AH137" i="24"/>
  <c r="S40" i="53"/>
  <c r="U40" i="53"/>
  <c r="O40" i="44"/>
  <c r="N40" i="44"/>
  <c r="AG195" i="24"/>
  <c r="AF169" i="24"/>
  <c r="AE170" i="24"/>
  <c r="B41" i="44"/>
  <c r="C42" i="44"/>
  <c r="N71" i="39"/>
  <c r="C72" i="39"/>
  <c r="B71" i="39"/>
  <c r="J75" i="39"/>
  <c r="G75" i="39"/>
  <c r="K74" i="39"/>
  <c r="AM175" i="24"/>
  <c r="AN206" i="24"/>
  <c r="AM214" i="24"/>
  <c r="AG228" i="24"/>
  <c r="AH219" i="24"/>
  <c r="AQ202" i="24"/>
  <c r="W4" i="24" l="1"/>
  <c r="W68" i="24"/>
  <c r="X34" i="24"/>
  <c r="X35" i="24" s="1"/>
  <c r="W32" i="24"/>
  <c r="F422" i="46"/>
  <c r="D422" i="46"/>
  <c r="C422" i="46" s="1"/>
  <c r="E422" i="46" s="1"/>
  <c r="G422" i="46"/>
  <c r="L423" i="46" s="1"/>
  <c r="L423" i="44"/>
  <c r="I421" i="44"/>
  <c r="AH139" i="24"/>
  <c r="N41" i="53"/>
  <c r="R41" i="53"/>
  <c r="H75" i="39"/>
  <c r="I75" i="39" s="1"/>
  <c r="N41" i="44"/>
  <c r="O41" i="44"/>
  <c r="Y53" i="53"/>
  <c r="X53" i="53"/>
  <c r="Z53" i="53"/>
  <c r="AH195" i="24"/>
  <c r="AG169" i="24"/>
  <c r="AF170" i="24"/>
  <c r="B42" i="44"/>
  <c r="C43" i="44"/>
  <c r="N72" i="39"/>
  <c r="C73" i="39"/>
  <c r="B72" i="39"/>
  <c r="AN175" i="24"/>
  <c r="L75" i="39"/>
  <c r="AO206" i="24"/>
  <c r="AN214" i="24"/>
  <c r="AH228" i="24"/>
  <c r="AI219" i="24"/>
  <c r="F202" i="24"/>
  <c r="Y33" i="24" l="1"/>
  <c r="Y34" i="24" s="1"/>
  <c r="Y35" i="24" s="1"/>
  <c r="X36" i="24"/>
  <c r="X37" i="24" s="1"/>
  <c r="K423" i="46"/>
  <c r="H421" i="46"/>
  <c r="H423" i="44"/>
  <c r="M424" i="44" s="1"/>
  <c r="E423" i="44"/>
  <c r="D423" i="44" s="1"/>
  <c r="F423" i="44" s="1"/>
  <c r="G423" i="44"/>
  <c r="AI138" i="24"/>
  <c r="O41" i="53"/>
  <c r="T41" i="53"/>
  <c r="V41" i="53"/>
  <c r="N42" i="44"/>
  <c r="O42" i="44"/>
  <c r="AI195" i="24"/>
  <c r="AH169" i="24"/>
  <c r="AG170" i="24"/>
  <c r="N73" i="39"/>
  <c r="C74" i="39"/>
  <c r="B73" i="39"/>
  <c r="B43" i="44"/>
  <c r="C44" i="44"/>
  <c r="K75" i="39"/>
  <c r="M75" i="39"/>
  <c r="AP206" i="24"/>
  <c r="AO214" i="24"/>
  <c r="AI228" i="24"/>
  <c r="AJ219" i="24"/>
  <c r="X4" i="24" l="1"/>
  <c r="X68" i="24"/>
  <c r="Z33" i="24"/>
  <c r="Z34" i="24" s="1"/>
  <c r="Y36" i="24"/>
  <c r="Y37" i="24" s="1"/>
  <c r="X32" i="24"/>
  <c r="F423" i="46"/>
  <c r="G423" i="46"/>
  <c r="L424" i="46" s="1"/>
  <c r="D423" i="46"/>
  <c r="L424" i="44"/>
  <c r="I422" i="44"/>
  <c r="Q41" i="53"/>
  <c r="AA41" i="53"/>
  <c r="AI136" i="24"/>
  <c r="N43" i="44"/>
  <c r="O43" i="44"/>
  <c r="AJ195" i="24"/>
  <c r="AK195" i="24" s="1"/>
  <c r="AI169" i="24"/>
  <c r="AH170" i="24"/>
  <c r="B44" i="44"/>
  <c r="C45" i="44"/>
  <c r="C75" i="39"/>
  <c r="B74" i="39"/>
  <c r="N74" i="39"/>
  <c r="G76" i="39"/>
  <c r="J76" i="39"/>
  <c r="AQ206" i="24"/>
  <c r="AQ214" i="24" s="1"/>
  <c r="AP214" i="24"/>
  <c r="AJ228" i="24"/>
  <c r="AK219" i="24"/>
  <c r="Z35" i="24" l="1"/>
  <c r="Z36" i="24"/>
  <c r="Z37" i="24" s="1"/>
  <c r="AA33" i="24"/>
  <c r="AA34" i="24" s="1"/>
  <c r="AA35" i="24" s="1"/>
  <c r="Y32" i="24"/>
  <c r="Y68" i="24"/>
  <c r="Y4" i="24"/>
  <c r="C423" i="46"/>
  <c r="E423" i="46" s="1"/>
  <c r="K424" i="46"/>
  <c r="H422" i="46"/>
  <c r="AL195" i="24"/>
  <c r="H424" i="44"/>
  <c r="M425" i="44" s="1"/>
  <c r="G424" i="44"/>
  <c r="E424" i="44"/>
  <c r="AI137" i="24"/>
  <c r="S41" i="53"/>
  <c r="U41" i="53"/>
  <c r="H76" i="39"/>
  <c r="I76" i="39" s="1"/>
  <c r="O44" i="44"/>
  <c r="N44" i="44"/>
  <c r="X54" i="53"/>
  <c r="Z54" i="53"/>
  <c r="Y54" i="53"/>
  <c r="AJ169" i="24"/>
  <c r="AI170" i="24"/>
  <c r="B45" i="44"/>
  <c r="C46" i="44"/>
  <c r="B75" i="39"/>
  <c r="N75" i="39"/>
  <c r="C76" i="39"/>
  <c r="L76" i="39"/>
  <c r="F206" i="24"/>
  <c r="F214" i="24"/>
  <c r="AK228" i="24"/>
  <c r="AL219" i="24"/>
  <c r="AA36" i="24" l="1"/>
  <c r="AA37" i="24" s="1"/>
  <c r="AA68" i="24" s="1"/>
  <c r="Z4" i="24"/>
  <c r="Z68" i="24"/>
  <c r="AA32" i="24"/>
  <c r="AB33" i="24"/>
  <c r="Z32" i="24"/>
  <c r="G424" i="46"/>
  <c r="L425" i="46" s="1"/>
  <c r="D424" i="46"/>
  <c r="F424" i="46"/>
  <c r="AM195" i="24"/>
  <c r="AL197" i="24"/>
  <c r="D424" i="44"/>
  <c r="F424" i="44" s="1"/>
  <c r="L425" i="44"/>
  <c r="I423" i="44"/>
  <c r="AI139" i="24"/>
  <c r="R42" i="53"/>
  <c r="N42" i="53"/>
  <c r="N45" i="44"/>
  <c r="O45" i="44"/>
  <c r="AK169" i="24"/>
  <c r="AJ170" i="24"/>
  <c r="N76" i="39"/>
  <c r="B76" i="39"/>
  <c r="C77" i="39"/>
  <c r="B46" i="44"/>
  <c r="C47" i="44"/>
  <c r="M76" i="39"/>
  <c r="K76" i="39"/>
  <c r="AL228" i="24"/>
  <c r="AM219" i="24"/>
  <c r="F175" i="24"/>
  <c r="AA4" i="24" l="1"/>
  <c r="AB34" i="24"/>
  <c r="AB35" i="24" s="1"/>
  <c r="K425" i="46"/>
  <c r="H423" i="46"/>
  <c r="C424" i="46"/>
  <c r="E424" i="46" s="1"/>
  <c r="AN195" i="24"/>
  <c r="AM197" i="24"/>
  <c r="E425" i="44"/>
  <c r="G425" i="44"/>
  <c r="H425" i="44"/>
  <c r="M426" i="44" s="1"/>
  <c r="V42" i="53"/>
  <c r="AJ138" i="24"/>
  <c r="O42" i="53"/>
  <c r="T42" i="53"/>
  <c r="O46" i="44"/>
  <c r="N46" i="44"/>
  <c r="AL169" i="24"/>
  <c r="AK170" i="24"/>
  <c r="B47" i="44"/>
  <c r="C48" i="44"/>
  <c r="N77" i="39"/>
  <c r="C78" i="39"/>
  <c r="B77" i="39"/>
  <c r="AM228" i="24"/>
  <c r="AN219" i="24"/>
  <c r="AN228" i="24" s="1"/>
  <c r="J77" i="39"/>
  <c r="G77" i="39"/>
  <c r="AC33" i="24" l="1"/>
  <c r="AB36" i="24"/>
  <c r="AB37" i="24" s="1"/>
  <c r="D425" i="46"/>
  <c r="C425" i="46" s="1"/>
  <c r="E425" i="46" s="1"/>
  <c r="F425" i="46"/>
  <c r="G425" i="46"/>
  <c r="L426" i="46" s="1"/>
  <c r="AO195" i="24"/>
  <c r="AN197" i="24"/>
  <c r="L426" i="44"/>
  <c r="I424" i="44"/>
  <c r="D425" i="44"/>
  <c r="F425" i="44" s="1"/>
  <c r="Q42" i="53"/>
  <c r="AJ136" i="24"/>
  <c r="AA42" i="53"/>
  <c r="H77" i="39"/>
  <c r="I77" i="39" s="1"/>
  <c r="N47" i="44"/>
  <c r="O47" i="44"/>
  <c r="X55" i="53"/>
  <c r="Z55" i="53"/>
  <c r="Y55" i="53"/>
  <c r="AM169" i="24"/>
  <c r="AL170" i="24"/>
  <c r="AL230" i="24" s="1"/>
  <c r="B48" i="44"/>
  <c r="C49" i="44"/>
  <c r="B78" i="39"/>
  <c r="N78" i="39"/>
  <c r="C79" i="39"/>
  <c r="F219" i="24"/>
  <c r="F228" i="24"/>
  <c r="L77" i="39"/>
  <c r="AB4" i="24" l="1"/>
  <c r="AB68" i="24"/>
  <c r="AC34" i="24"/>
  <c r="AC35" i="24" s="1"/>
  <c r="AB32" i="24"/>
  <c r="K426" i="46"/>
  <c r="H424" i="46"/>
  <c r="AP195" i="24"/>
  <c r="AO197" i="24"/>
  <c r="E426" i="44"/>
  <c r="H426" i="44"/>
  <c r="M427" i="44" s="1"/>
  <c r="G426" i="44"/>
  <c r="AJ137" i="24"/>
  <c r="S42" i="53"/>
  <c r="U42" i="53"/>
  <c r="O48" i="44"/>
  <c r="N48" i="44"/>
  <c r="AN169" i="24"/>
  <c r="AM170" i="24"/>
  <c r="AM230" i="24" s="1"/>
  <c r="B49" i="44"/>
  <c r="C50" i="44"/>
  <c r="C80" i="39"/>
  <c r="N79" i="39"/>
  <c r="B79" i="39"/>
  <c r="K77" i="39"/>
  <c r="M77" i="39"/>
  <c r="AD33" i="24" l="1"/>
  <c r="AD34" i="24" s="1"/>
  <c r="AD35" i="24" s="1"/>
  <c r="AC36" i="24"/>
  <c r="AC37" i="24" s="1"/>
  <c r="F426" i="46"/>
  <c r="G426" i="46"/>
  <c r="L427" i="46" s="1"/>
  <c r="D426" i="46"/>
  <c r="C426" i="46" s="1"/>
  <c r="E426" i="46" s="1"/>
  <c r="AQ195" i="24"/>
  <c r="AQ197" i="24" s="1"/>
  <c r="AP197" i="24"/>
  <c r="L427" i="44"/>
  <c r="I425" i="44"/>
  <c r="D426" i="44"/>
  <c r="F426" i="44" s="1"/>
  <c r="AJ139" i="24"/>
  <c r="N43" i="53"/>
  <c r="R43" i="53"/>
  <c r="N49" i="44"/>
  <c r="O49" i="44"/>
  <c r="AO169" i="24"/>
  <c r="AN170" i="24"/>
  <c r="C81" i="39"/>
  <c r="B80" i="39"/>
  <c r="N80" i="39"/>
  <c r="B50" i="44"/>
  <c r="C51" i="44"/>
  <c r="G78" i="39"/>
  <c r="J78" i="39"/>
  <c r="AE33" i="24" l="1"/>
  <c r="AE34" i="24" s="1"/>
  <c r="AE36" i="24" s="1"/>
  <c r="AE37" i="24" s="1"/>
  <c r="AC4" i="24"/>
  <c r="AC68" i="24"/>
  <c r="AC32" i="24"/>
  <c r="AD36" i="24"/>
  <c r="AD37" i="24" s="1"/>
  <c r="K427" i="46"/>
  <c r="H425" i="46"/>
  <c r="F195" i="24"/>
  <c r="E427" i="44"/>
  <c r="G427" i="44"/>
  <c r="H427" i="44"/>
  <c r="M428" i="44" s="1"/>
  <c r="AK138" i="24"/>
  <c r="O43" i="53"/>
  <c r="T43" i="53"/>
  <c r="V43" i="53"/>
  <c r="H78" i="39"/>
  <c r="I78" i="39" s="1"/>
  <c r="M78" i="39" s="1"/>
  <c r="N50" i="44"/>
  <c r="O50" i="44"/>
  <c r="AN230" i="24"/>
  <c r="AP169" i="24"/>
  <c r="AO170" i="24"/>
  <c r="AO230" i="24" s="1"/>
  <c r="B51" i="44"/>
  <c r="C52" i="44"/>
  <c r="N81" i="39"/>
  <c r="B81" i="39"/>
  <c r="C82" i="39"/>
  <c r="L78" i="39"/>
  <c r="AF33" i="24" l="1"/>
  <c r="AF34" i="24" s="1"/>
  <c r="AF35" i="24" s="1"/>
  <c r="AD32" i="24"/>
  <c r="AE35" i="24"/>
  <c r="AE32" i="24" s="1"/>
  <c r="AD68" i="24"/>
  <c r="AD4" i="24"/>
  <c r="AE4" i="24"/>
  <c r="G427" i="46"/>
  <c r="L428" i="46" s="1"/>
  <c r="D427" i="46"/>
  <c r="C427" i="46" s="1"/>
  <c r="E427" i="46" s="1"/>
  <c r="F427" i="46"/>
  <c r="L428" i="44"/>
  <c r="I426" i="44"/>
  <c r="D427" i="44"/>
  <c r="F427" i="44" s="1"/>
  <c r="Q43" i="53"/>
  <c r="AK136" i="24"/>
  <c r="AA43" i="53"/>
  <c r="N51" i="44"/>
  <c r="O51" i="44"/>
  <c r="AQ169" i="24"/>
  <c r="AP170" i="24"/>
  <c r="AP230" i="24" s="1"/>
  <c r="B52" i="44"/>
  <c r="C53" i="44"/>
  <c r="B82" i="39"/>
  <c r="C83" i="39"/>
  <c r="N82" i="39"/>
  <c r="J79" i="39"/>
  <c r="G79" i="39"/>
  <c r="K78" i="39"/>
  <c r="AG33" i="24" l="1"/>
  <c r="AG34" i="24" s="1"/>
  <c r="AG36" i="24" s="1"/>
  <c r="AG37" i="24" s="1"/>
  <c r="AF36" i="24"/>
  <c r="K428" i="46"/>
  <c r="H426" i="46"/>
  <c r="E428" i="44"/>
  <c r="G428" i="44"/>
  <c r="H428" i="44"/>
  <c r="M429" i="44" s="1"/>
  <c r="AK137" i="24"/>
  <c r="S43" i="53"/>
  <c r="U43" i="53"/>
  <c r="H79" i="39"/>
  <c r="I79" i="39" s="1"/>
  <c r="O52" i="44"/>
  <c r="N52" i="44"/>
  <c r="F169" i="24"/>
  <c r="AQ170" i="24"/>
  <c r="B83" i="39"/>
  <c r="C84" i="39"/>
  <c r="N83" i="39"/>
  <c r="B53" i="44"/>
  <c r="C54" i="44"/>
  <c r="L79" i="39"/>
  <c r="AH33" i="24" l="1"/>
  <c r="AH34" i="24" s="1"/>
  <c r="AH35" i="24" s="1"/>
  <c r="AG35" i="24"/>
  <c r="AF32" i="24"/>
  <c r="AF37" i="24"/>
  <c r="AF4" i="24" s="1"/>
  <c r="D428" i="46"/>
  <c r="F428" i="46"/>
  <c r="G428" i="46"/>
  <c r="L429" i="46" s="1"/>
  <c r="L429" i="44"/>
  <c r="I427" i="44"/>
  <c r="D428" i="44"/>
  <c r="F428" i="44" s="1"/>
  <c r="AK139" i="24"/>
  <c r="N44" i="53"/>
  <c r="R44" i="53"/>
  <c r="N53" i="44"/>
  <c r="O53" i="44"/>
  <c r="AQ230" i="24"/>
  <c r="F170" i="24"/>
  <c r="B54" i="44"/>
  <c r="C55" i="44"/>
  <c r="C85" i="39"/>
  <c r="B84" i="39"/>
  <c r="N84" i="39"/>
  <c r="AG32" i="24"/>
  <c r="K79" i="39"/>
  <c r="M79" i="39"/>
  <c r="AG4" i="24" l="1"/>
  <c r="K429" i="46"/>
  <c r="H427" i="46"/>
  <c r="C428" i="46"/>
  <c r="E428" i="46" s="1"/>
  <c r="E429" i="44"/>
  <c r="H429" i="44"/>
  <c r="M430" i="44" s="1"/>
  <c r="G429" i="44"/>
  <c r="AL138" i="24"/>
  <c r="O44" i="53"/>
  <c r="T44" i="53"/>
  <c r="V44" i="53"/>
  <c r="O54" i="44"/>
  <c r="N54" i="44"/>
  <c r="AI33" i="24"/>
  <c r="AI34" i="24" s="1"/>
  <c r="AI35" i="24" s="1"/>
  <c r="B55" i="44"/>
  <c r="C56" i="44"/>
  <c r="AH36" i="24"/>
  <c r="AH37" i="24" s="1"/>
  <c r="C86" i="39"/>
  <c r="B85" i="39"/>
  <c r="N85" i="39"/>
  <c r="J80" i="39"/>
  <c r="G80" i="39"/>
  <c r="F429" i="46" l="1"/>
  <c r="D429" i="46"/>
  <c r="C429" i="46" s="1"/>
  <c r="E429" i="46" s="1"/>
  <c r="G429" i="46"/>
  <c r="L430" i="46" s="1"/>
  <c r="L430" i="44"/>
  <c r="I428" i="44"/>
  <c r="D429" i="44"/>
  <c r="F429" i="44" s="1"/>
  <c r="Q44" i="53"/>
  <c r="AA44" i="53"/>
  <c r="AL136" i="24"/>
  <c r="H80" i="39"/>
  <c r="I80" i="39" s="1"/>
  <c r="AH4" i="24"/>
  <c r="N55" i="44"/>
  <c r="O55" i="44"/>
  <c r="AI36" i="24"/>
  <c r="AI37" i="24" s="1"/>
  <c r="C87" i="39"/>
  <c r="B86" i="39"/>
  <c r="N86" i="39"/>
  <c r="AJ33" i="24"/>
  <c r="B56" i="44"/>
  <c r="C57" i="44"/>
  <c r="AH32" i="24"/>
  <c r="L80" i="39"/>
  <c r="K430" i="46" l="1"/>
  <c r="H428" i="46"/>
  <c r="E430" i="44"/>
  <c r="G430" i="44"/>
  <c r="H430" i="44"/>
  <c r="M431" i="44" s="1"/>
  <c r="AL137" i="24"/>
  <c r="S44" i="53"/>
  <c r="U44" i="53"/>
  <c r="AI4" i="24"/>
  <c r="O56" i="44"/>
  <c r="N56" i="44"/>
  <c r="AI32" i="24"/>
  <c r="C88" i="39"/>
  <c r="N87" i="39"/>
  <c r="B87" i="39"/>
  <c r="AJ34" i="24"/>
  <c r="C58" i="44"/>
  <c r="B57" i="44"/>
  <c r="K80" i="39"/>
  <c r="M80" i="39"/>
  <c r="F430" i="46" l="1"/>
  <c r="D430" i="46"/>
  <c r="C430" i="46" s="1"/>
  <c r="E430" i="46" s="1"/>
  <c r="G430" i="46"/>
  <c r="L431" i="46" s="1"/>
  <c r="L431" i="44"/>
  <c r="I429" i="44"/>
  <c r="D430" i="44"/>
  <c r="F430" i="44" s="1"/>
  <c r="AL139" i="24"/>
  <c r="R45" i="53"/>
  <c r="N45" i="53"/>
  <c r="N57" i="44"/>
  <c r="O57" i="44"/>
  <c r="AK33" i="24"/>
  <c r="AJ36" i="24"/>
  <c r="AJ37" i="24" s="1"/>
  <c r="C59" i="44"/>
  <c r="B58" i="44"/>
  <c r="AJ35" i="24"/>
  <c r="B88" i="39"/>
  <c r="N88" i="39"/>
  <c r="C89" i="39"/>
  <c r="J81" i="39"/>
  <c r="G81" i="39"/>
  <c r="K431" i="46" l="1"/>
  <c r="H429" i="46"/>
  <c r="E431" i="44"/>
  <c r="G431" i="44"/>
  <c r="H431" i="44"/>
  <c r="M432" i="44" s="1"/>
  <c r="AJ32" i="24"/>
  <c r="V45" i="53"/>
  <c r="AM138" i="24"/>
  <c r="O45" i="53"/>
  <c r="T45" i="53"/>
  <c r="H81" i="39"/>
  <c r="I81" i="39" s="1"/>
  <c r="AJ4" i="24"/>
  <c r="N58" i="44"/>
  <c r="O58" i="44"/>
  <c r="C60" i="44"/>
  <c r="B59" i="44"/>
  <c r="B89" i="39"/>
  <c r="N89" i="39"/>
  <c r="C90" i="39"/>
  <c r="AK34" i="24"/>
  <c r="AK35" i="24" s="1"/>
  <c r="L81" i="39"/>
  <c r="G431" i="46" l="1"/>
  <c r="L432" i="46" s="1"/>
  <c r="F431" i="46"/>
  <c r="D431" i="46"/>
  <c r="C431" i="46" s="1"/>
  <c r="E431" i="46" s="1"/>
  <c r="L432" i="44"/>
  <c r="I430" i="44"/>
  <c r="D431" i="44"/>
  <c r="F431" i="44" s="1"/>
  <c r="Q45" i="53"/>
  <c r="AA45" i="53"/>
  <c r="AM136" i="24"/>
  <c r="N59" i="44"/>
  <c r="O59" i="44"/>
  <c r="AL33" i="24"/>
  <c r="AK36" i="24"/>
  <c r="AK37" i="24" s="1"/>
  <c r="B90" i="39"/>
  <c r="N90" i="39"/>
  <c r="C91" i="39"/>
  <c r="C61" i="44"/>
  <c r="B60" i="44"/>
  <c r="K81" i="39"/>
  <c r="M81" i="39"/>
  <c r="K432" i="46" l="1"/>
  <c r="H430" i="46"/>
  <c r="E432" i="44"/>
  <c r="G432" i="44"/>
  <c r="H432" i="44"/>
  <c r="M433" i="44" s="1"/>
  <c r="AM137" i="24"/>
  <c r="S45" i="53"/>
  <c r="U45" i="53"/>
  <c r="AK4" i="24"/>
  <c r="O60" i="44"/>
  <c r="N60" i="44"/>
  <c r="B61" i="44"/>
  <c r="C62" i="44"/>
  <c r="N91" i="39"/>
  <c r="C92" i="39"/>
  <c r="B91" i="39"/>
  <c r="AL34" i="24"/>
  <c r="AK32" i="24"/>
  <c r="J82" i="39"/>
  <c r="G82" i="39"/>
  <c r="D432" i="46" l="1"/>
  <c r="C432" i="46" s="1"/>
  <c r="E432" i="46" s="1"/>
  <c r="F432" i="46"/>
  <c r="G432" i="46"/>
  <c r="L433" i="46" s="1"/>
  <c r="L433" i="44"/>
  <c r="I431" i="44"/>
  <c r="D432" i="44"/>
  <c r="F432" i="44" s="1"/>
  <c r="AM139" i="24"/>
  <c r="R46" i="53"/>
  <c r="N46" i="53"/>
  <c r="H82" i="39"/>
  <c r="I82" i="39" s="1"/>
  <c r="N61" i="44"/>
  <c r="O61" i="44"/>
  <c r="AL36" i="24"/>
  <c r="AL37" i="24" s="1"/>
  <c r="AM33" i="24"/>
  <c r="B92" i="39"/>
  <c r="C93" i="39"/>
  <c r="N92" i="39"/>
  <c r="B62" i="44"/>
  <c r="C63" i="44"/>
  <c r="AL35" i="24"/>
  <c r="L82" i="39"/>
  <c r="K433" i="46" l="1"/>
  <c r="H431" i="46"/>
  <c r="E433" i="44"/>
  <c r="G433" i="44"/>
  <c r="H433" i="44"/>
  <c r="M434" i="44" s="1"/>
  <c r="V46" i="53"/>
  <c r="AN138" i="24"/>
  <c r="T46" i="53"/>
  <c r="O46" i="53"/>
  <c r="AL4" i="24"/>
  <c r="O62" i="44"/>
  <c r="N62" i="44"/>
  <c r="AL32" i="24"/>
  <c r="B93" i="39"/>
  <c r="N93" i="39"/>
  <c r="C94" i="39"/>
  <c r="C64" i="44"/>
  <c r="B63" i="44"/>
  <c r="AM34" i="24"/>
  <c r="K82" i="39"/>
  <c r="M82" i="39"/>
  <c r="G433" i="46" l="1"/>
  <c r="L434" i="46" s="1"/>
  <c r="D433" i="46"/>
  <c r="C433" i="46" s="1"/>
  <c r="E433" i="46" s="1"/>
  <c r="F433" i="46"/>
  <c r="L434" i="44"/>
  <c r="I432" i="44"/>
  <c r="D433" i="44"/>
  <c r="F433" i="44" s="1"/>
  <c r="Q46" i="53"/>
  <c r="AA46" i="53"/>
  <c r="AN136" i="24"/>
  <c r="N63" i="44"/>
  <c r="O63" i="44"/>
  <c r="AN33" i="24"/>
  <c r="AM36" i="24"/>
  <c r="AM37" i="24" s="1"/>
  <c r="C65" i="44"/>
  <c r="B64" i="44"/>
  <c r="N94" i="39"/>
  <c r="B94" i="39"/>
  <c r="C95" i="39"/>
  <c r="AM35" i="24"/>
  <c r="G83" i="39"/>
  <c r="J83" i="39"/>
  <c r="K434" i="46" l="1"/>
  <c r="H432" i="46"/>
  <c r="E434" i="44"/>
  <c r="G434" i="44"/>
  <c r="H434" i="44"/>
  <c r="M435" i="44" s="1"/>
  <c r="AN137" i="24"/>
  <c r="S46" i="53"/>
  <c r="U46" i="53"/>
  <c r="H83" i="39"/>
  <c r="I83" i="39" s="1"/>
  <c r="AM4" i="24"/>
  <c r="AM32" i="24"/>
  <c r="O64" i="44"/>
  <c r="N64" i="44"/>
  <c r="B95" i="39"/>
  <c r="N95" i="39"/>
  <c r="C96" i="39"/>
  <c r="B65" i="44"/>
  <c r="C66" i="44"/>
  <c r="AN34" i="24"/>
  <c r="AN35" i="24" s="1"/>
  <c r="L83" i="39"/>
  <c r="D434" i="46" l="1"/>
  <c r="C434" i="46" s="1"/>
  <c r="E434" i="46" s="1"/>
  <c r="F434" i="46"/>
  <c r="G434" i="46"/>
  <c r="L435" i="46" s="1"/>
  <c r="L435" i="44"/>
  <c r="I433" i="44"/>
  <c r="D434" i="44"/>
  <c r="F434" i="44" s="1"/>
  <c r="AN139" i="24"/>
  <c r="N47" i="53"/>
  <c r="R47" i="53"/>
  <c r="N65" i="44"/>
  <c r="O65" i="44"/>
  <c r="AO33" i="24"/>
  <c r="AN36" i="24"/>
  <c r="B66" i="44"/>
  <c r="C67" i="44"/>
  <c r="C97" i="39"/>
  <c r="N96" i="39"/>
  <c r="B96" i="39"/>
  <c r="M83" i="39"/>
  <c r="K83" i="39"/>
  <c r="K435" i="46" l="1"/>
  <c r="H433" i="46"/>
  <c r="E435" i="44"/>
  <c r="G435" i="44"/>
  <c r="H435" i="44"/>
  <c r="M436" i="44" s="1"/>
  <c r="AO138" i="24"/>
  <c r="T47" i="53"/>
  <c r="O47" i="53"/>
  <c r="V47" i="53"/>
  <c r="N66" i="44"/>
  <c r="O66" i="44"/>
  <c r="N97" i="39"/>
  <c r="B97" i="39"/>
  <c r="C98" i="39"/>
  <c r="B67" i="44"/>
  <c r="C68" i="44"/>
  <c r="AO34" i="24"/>
  <c r="AO35" i="24" s="1"/>
  <c r="AN32" i="24"/>
  <c r="AN37" i="24"/>
  <c r="J84" i="39"/>
  <c r="G84" i="39"/>
  <c r="G435" i="46" l="1"/>
  <c r="L436" i="46" s="1"/>
  <c r="F435" i="46"/>
  <c r="D435" i="46"/>
  <c r="C435" i="46" s="1"/>
  <c r="E435" i="46" s="1"/>
  <c r="L436" i="44"/>
  <c r="I434" i="44"/>
  <c r="D435" i="44"/>
  <c r="F435" i="44" s="1"/>
  <c r="Q47" i="53"/>
  <c r="AA47" i="53"/>
  <c r="AO136" i="24"/>
  <c r="H84" i="39"/>
  <c r="I84" i="39" s="1"/>
  <c r="AN4" i="24"/>
  <c r="N67" i="44"/>
  <c r="O67" i="44"/>
  <c r="B98" i="39"/>
  <c r="N98" i="39"/>
  <c r="C99" i="39"/>
  <c r="AP33" i="24"/>
  <c r="AO36" i="24"/>
  <c r="AO37" i="24" s="1"/>
  <c r="B68" i="44"/>
  <c r="C69" i="44"/>
  <c r="L84" i="39"/>
  <c r="K436" i="46" l="1"/>
  <c r="H434" i="46"/>
  <c r="E436" i="44"/>
  <c r="D436" i="44" s="1"/>
  <c r="F436" i="44" s="1"/>
  <c r="G436" i="44"/>
  <c r="H436" i="44"/>
  <c r="M437" i="44" s="1"/>
  <c r="AO137" i="24"/>
  <c r="S47" i="53"/>
  <c r="U47" i="53"/>
  <c r="AO4" i="24"/>
  <c r="O68" i="44"/>
  <c r="N68" i="44"/>
  <c r="B69" i="44"/>
  <c r="C70" i="44"/>
  <c r="AP34" i="24"/>
  <c r="AP35" i="24" s="1"/>
  <c r="N99" i="39"/>
  <c r="C100" i="39"/>
  <c r="B99" i="39"/>
  <c r="AO32" i="24"/>
  <c r="K84" i="39"/>
  <c r="M84" i="39"/>
  <c r="F436" i="46" l="1"/>
  <c r="G436" i="46"/>
  <c r="L437" i="46" s="1"/>
  <c r="D436" i="46"/>
  <c r="L437" i="44"/>
  <c r="I435" i="44"/>
  <c r="AO139" i="24"/>
  <c r="N48" i="53"/>
  <c r="R48" i="53"/>
  <c r="N69" i="44"/>
  <c r="O69" i="44"/>
  <c r="AQ33" i="24"/>
  <c r="AP36" i="24"/>
  <c r="AP37" i="24" s="1"/>
  <c r="N100" i="39"/>
  <c r="B100" i="39"/>
  <c r="C101" i="39"/>
  <c r="B70" i="44"/>
  <c r="C71" i="44"/>
  <c r="J85" i="39"/>
  <c r="G85" i="39"/>
  <c r="C436" i="46" l="1"/>
  <c r="E436" i="46" s="1"/>
  <c r="K437" i="46"/>
  <c r="H435" i="46"/>
  <c r="E437" i="44"/>
  <c r="D437" i="44" s="1"/>
  <c r="F437" i="44" s="1"/>
  <c r="G437" i="44"/>
  <c r="H437" i="44"/>
  <c r="M438" i="44" s="1"/>
  <c r="AP138" i="24"/>
  <c r="O48" i="53"/>
  <c r="T48" i="53"/>
  <c r="V48" i="53"/>
  <c r="H85" i="39"/>
  <c r="I85" i="39" s="1"/>
  <c r="K85" i="39" s="1"/>
  <c r="AP4" i="24"/>
  <c r="O70" i="44"/>
  <c r="N70" i="44"/>
  <c r="C102" i="39"/>
  <c r="B101" i="39"/>
  <c r="N101" i="39"/>
  <c r="AQ34" i="24"/>
  <c r="B71" i="44"/>
  <c r="C72" i="44"/>
  <c r="AP32" i="24"/>
  <c r="L85" i="39"/>
  <c r="G437" i="46" l="1"/>
  <c r="L438" i="46" s="1"/>
  <c r="F437" i="46"/>
  <c r="D437" i="46"/>
  <c r="L438" i="44"/>
  <c r="I436" i="44"/>
  <c r="Q48" i="53"/>
  <c r="AA48" i="53"/>
  <c r="AP136" i="24"/>
  <c r="N71" i="44"/>
  <c r="O71" i="44"/>
  <c r="AR33" i="24"/>
  <c r="AQ36" i="24"/>
  <c r="AQ37" i="24" s="1"/>
  <c r="B72" i="44"/>
  <c r="C73" i="44"/>
  <c r="AQ35" i="24"/>
  <c r="B102" i="39"/>
  <c r="N102" i="39"/>
  <c r="C103" i="39"/>
  <c r="M85" i="39"/>
  <c r="C437" i="46" l="1"/>
  <c r="E437" i="46" s="1"/>
  <c r="K438" i="46"/>
  <c r="H436" i="46"/>
  <c r="E438" i="44"/>
  <c r="D438" i="44" s="1"/>
  <c r="F438" i="44" s="1"/>
  <c r="G438" i="44"/>
  <c r="H438" i="44"/>
  <c r="M439" i="44" s="1"/>
  <c r="AP137" i="24"/>
  <c r="S48" i="53"/>
  <c r="U48" i="53"/>
  <c r="AQ4" i="24"/>
  <c r="AQ32" i="24"/>
  <c r="O72" i="44"/>
  <c r="N72" i="44"/>
  <c r="B73" i="44"/>
  <c r="C74" i="44"/>
  <c r="AR34" i="24"/>
  <c r="AR35" i="24" s="1"/>
  <c r="C104" i="39"/>
  <c r="B103" i="39"/>
  <c r="N103" i="39"/>
  <c r="G86" i="39"/>
  <c r="J86" i="39"/>
  <c r="D438" i="46" l="1"/>
  <c r="C438" i="46" s="1"/>
  <c r="E438" i="46" s="1"/>
  <c r="G438" i="46"/>
  <c r="L439" i="46" s="1"/>
  <c r="F438" i="46"/>
  <c r="L439" i="44"/>
  <c r="I437" i="44"/>
  <c r="AP139" i="24"/>
  <c r="N49" i="53"/>
  <c r="R49" i="53"/>
  <c r="H86" i="39"/>
  <c r="I86" i="39" s="1"/>
  <c r="K86" i="39" s="1"/>
  <c r="N73" i="44"/>
  <c r="O73" i="44"/>
  <c r="B104" i="39"/>
  <c r="N104" i="39"/>
  <c r="C105" i="39"/>
  <c r="AS33" i="24"/>
  <c r="AR36" i="24"/>
  <c r="AR37" i="24" s="1"/>
  <c r="B74" i="44"/>
  <c r="C75" i="44"/>
  <c r="L86" i="39"/>
  <c r="K439" i="46" l="1"/>
  <c r="H437" i="46"/>
  <c r="E439" i="44"/>
  <c r="D439" i="44" s="1"/>
  <c r="F439" i="44" s="1"/>
  <c r="G439" i="44"/>
  <c r="H439" i="44"/>
  <c r="M440" i="44" s="1"/>
  <c r="AQ138" i="24"/>
  <c r="O49" i="53"/>
  <c r="T49" i="53"/>
  <c r="V49" i="53"/>
  <c r="AR4" i="24"/>
  <c r="N74" i="44"/>
  <c r="O74" i="44"/>
  <c r="C106" i="39"/>
  <c r="N105" i="39"/>
  <c r="B105" i="39"/>
  <c r="AS34" i="24"/>
  <c r="AS35" i="24" s="1"/>
  <c r="B75" i="44"/>
  <c r="C76" i="44"/>
  <c r="AR32" i="24"/>
  <c r="M6" i="39"/>
  <c r="X17" i="26" s="1"/>
  <c r="M86" i="39"/>
  <c r="G87" i="39" s="1"/>
  <c r="F439" i="46" l="1"/>
  <c r="G439" i="46"/>
  <c r="L440" i="46" s="1"/>
  <c r="D439" i="46"/>
  <c r="C439" i="46" s="1"/>
  <c r="E439" i="46" s="1"/>
  <c r="L440" i="44"/>
  <c r="I438" i="44"/>
  <c r="Q49" i="53"/>
  <c r="AA49" i="53"/>
  <c r="AQ136" i="24"/>
  <c r="N75" i="44"/>
  <c r="O75" i="44"/>
  <c r="B76" i="44"/>
  <c r="C77" i="44"/>
  <c r="B106" i="39"/>
  <c r="N106" i="39"/>
  <c r="C107" i="39"/>
  <c r="AT33" i="24"/>
  <c r="AS36" i="24"/>
  <c r="AS37" i="24" s="1"/>
  <c r="X12" i="26"/>
  <c r="F8" i="27" s="1"/>
  <c r="G85" i="25"/>
  <c r="J87" i="39"/>
  <c r="I87" i="39" s="1"/>
  <c r="M87" i="39" s="1"/>
  <c r="K440" i="46" l="1"/>
  <c r="H438" i="46"/>
  <c r="E440" i="44"/>
  <c r="D440" i="44" s="1"/>
  <c r="F440" i="44" s="1"/>
  <c r="G440" i="44"/>
  <c r="H440" i="44"/>
  <c r="AQ137" i="24"/>
  <c r="S49" i="53"/>
  <c r="U49" i="53"/>
  <c r="H85" i="25"/>
  <c r="H84" i="25"/>
  <c r="AS4" i="24"/>
  <c r="N76" i="44"/>
  <c r="O76" i="44"/>
  <c r="O68" i="53"/>
  <c r="B77" i="44"/>
  <c r="C78" i="44"/>
  <c r="AT34" i="24"/>
  <c r="C108" i="39"/>
  <c r="N107" i="39"/>
  <c r="B107" i="39"/>
  <c r="AS32" i="24"/>
  <c r="I84" i="25"/>
  <c r="I85" i="25"/>
  <c r="L87" i="39"/>
  <c r="G88" i="39"/>
  <c r="J88" i="39"/>
  <c r="I88" i="39" s="1"/>
  <c r="K87" i="39"/>
  <c r="BJ136" i="24" l="1"/>
  <c r="BK136" i="24"/>
  <c r="F440" i="46"/>
  <c r="D440" i="46"/>
  <c r="C440" i="46" s="1"/>
  <c r="E440" i="46" s="1"/>
  <c r="R13" i="46" s="1"/>
  <c r="G440" i="46"/>
  <c r="I440" i="44"/>
  <c r="I439" i="44"/>
  <c r="AQ139" i="24"/>
  <c r="N50" i="53"/>
  <c r="R50" i="53"/>
  <c r="N77" i="44"/>
  <c r="O77" i="44"/>
  <c r="AU33" i="24"/>
  <c r="AT36" i="24"/>
  <c r="AT37" i="24" s="1"/>
  <c r="B78" i="44"/>
  <c r="C79" i="44"/>
  <c r="B108" i="39"/>
  <c r="N108" i="39"/>
  <c r="C109" i="39"/>
  <c r="AT35" i="24"/>
  <c r="L88" i="39"/>
  <c r="M88" i="39"/>
  <c r="N440" i="46" l="1"/>
  <c r="S440" i="46"/>
  <c r="M440" i="46"/>
  <c r="U440" i="46" s="1"/>
  <c r="T440" i="46"/>
  <c r="P440" i="46"/>
  <c r="R440" i="46"/>
  <c r="R14" i="46"/>
  <c r="S14" i="46" s="1"/>
  <c r="H440" i="46"/>
  <c r="H439" i="46"/>
  <c r="AR138" i="24"/>
  <c r="T50" i="53"/>
  <c r="O50" i="53"/>
  <c r="AE23" i="53"/>
  <c r="V50" i="53"/>
  <c r="AT4" i="24"/>
  <c r="N78" i="44"/>
  <c r="O78" i="44"/>
  <c r="AT32" i="24"/>
  <c r="B79" i="44"/>
  <c r="C80" i="44"/>
  <c r="N109" i="39"/>
  <c r="C110" i="39"/>
  <c r="B109" i="39"/>
  <c r="AU34" i="24"/>
  <c r="AU35" i="24" s="1"/>
  <c r="G89" i="39"/>
  <c r="J89" i="39"/>
  <c r="I89" i="39" s="1"/>
  <c r="K88" i="39"/>
  <c r="Q50" i="53" l="1"/>
  <c r="AA50" i="53"/>
  <c r="AR136" i="24"/>
  <c r="O79" i="44"/>
  <c r="N79" i="44"/>
  <c r="AV33" i="24"/>
  <c r="AU36" i="24"/>
  <c r="AU37" i="24" s="1"/>
  <c r="B80" i="44"/>
  <c r="C81" i="44"/>
  <c r="N110" i="39"/>
  <c r="C111" i="39"/>
  <c r="B110" i="39"/>
  <c r="M89" i="39"/>
  <c r="L89" i="39"/>
  <c r="AR137" i="24" l="1"/>
  <c r="S50" i="53"/>
  <c r="U50" i="53"/>
  <c r="AU4" i="24"/>
  <c r="N80" i="44"/>
  <c r="O80" i="44"/>
  <c r="AV34" i="24"/>
  <c r="AV35" i="24" s="1"/>
  <c r="N111" i="39"/>
  <c r="B111" i="39"/>
  <c r="C112" i="39"/>
  <c r="B81" i="44"/>
  <c r="C82" i="44"/>
  <c r="AU32" i="24"/>
  <c r="G90" i="39"/>
  <c r="J90" i="39"/>
  <c r="I90" i="39" s="1"/>
  <c r="K89" i="39"/>
  <c r="AR139" i="24" l="1"/>
  <c r="R51" i="53"/>
  <c r="N51" i="53"/>
  <c r="N81" i="44"/>
  <c r="O81" i="44"/>
  <c r="AG22" i="53"/>
  <c r="B82" i="44"/>
  <c r="C83" i="44"/>
  <c r="N112" i="39"/>
  <c r="B112" i="39"/>
  <c r="C113" i="39"/>
  <c r="AW33" i="24"/>
  <c r="AV36" i="24"/>
  <c r="AV37" i="24" s="1"/>
  <c r="M90" i="39"/>
  <c r="L90" i="39"/>
  <c r="V51" i="53" l="1"/>
  <c r="AS138" i="24"/>
  <c r="O51" i="53"/>
  <c r="T51" i="53"/>
  <c r="AV4" i="24"/>
  <c r="N82" i="44"/>
  <c r="O82" i="44"/>
  <c r="AI22" i="53"/>
  <c r="AM22" i="53"/>
  <c r="AW34" i="24"/>
  <c r="AW35" i="24" s="1"/>
  <c r="B113" i="39"/>
  <c r="N113" i="39"/>
  <c r="C114" i="39"/>
  <c r="B83" i="44"/>
  <c r="C84" i="44"/>
  <c r="AV32" i="24"/>
  <c r="G91" i="39"/>
  <c r="J91" i="39"/>
  <c r="I91" i="39" s="1"/>
  <c r="K90" i="39"/>
  <c r="Q51" i="53" l="1"/>
  <c r="AA51" i="53"/>
  <c r="AS136" i="24"/>
  <c r="N83" i="44"/>
  <c r="O83" i="44"/>
  <c r="B84" i="44"/>
  <c r="C85" i="44"/>
  <c r="B114" i="39"/>
  <c r="N114" i="39"/>
  <c r="C115" i="39"/>
  <c r="AX33" i="24"/>
  <c r="AW36" i="24"/>
  <c r="AW37" i="24" s="1"/>
  <c r="AW4" i="24" s="1"/>
  <c r="M91" i="39"/>
  <c r="L91" i="39"/>
  <c r="AS137" i="24" l="1"/>
  <c r="S51" i="53"/>
  <c r="U51" i="53"/>
  <c r="N84" i="44"/>
  <c r="O84" i="44"/>
  <c r="AX34" i="24"/>
  <c r="AX35" i="24" s="1"/>
  <c r="C86" i="44"/>
  <c r="B85" i="44"/>
  <c r="B115" i="39"/>
  <c r="C116" i="39"/>
  <c r="N115" i="39"/>
  <c r="AW32" i="24"/>
  <c r="G92" i="39"/>
  <c r="J92" i="39"/>
  <c r="I92" i="39" s="1"/>
  <c r="K91" i="39"/>
  <c r="AS139" i="24" l="1"/>
  <c r="N52" i="53"/>
  <c r="R52" i="53"/>
  <c r="N85" i="44"/>
  <c r="O85" i="44"/>
  <c r="AE46" i="53"/>
  <c r="N116" i="39"/>
  <c r="B116" i="39"/>
  <c r="C117" i="39"/>
  <c r="C87" i="44"/>
  <c r="B86" i="44"/>
  <c r="AY33" i="24"/>
  <c r="AX36" i="24"/>
  <c r="AX37" i="24" s="1"/>
  <c r="AX4" i="24" s="1"/>
  <c r="L92" i="39"/>
  <c r="AT138" i="24" l="1"/>
  <c r="O52" i="53"/>
  <c r="T52" i="53"/>
  <c r="V52" i="53"/>
  <c r="N86" i="44"/>
  <c r="O86" i="44"/>
  <c r="AM46" i="53"/>
  <c r="AJ46" i="53"/>
  <c r="AY34" i="24"/>
  <c r="AY35" i="24" s="1"/>
  <c r="C118" i="39"/>
  <c r="N117" i="39"/>
  <c r="B117" i="39"/>
  <c r="C88" i="44"/>
  <c r="B87" i="44"/>
  <c r="AX32" i="24"/>
  <c r="M92" i="39"/>
  <c r="K92" i="39"/>
  <c r="Q52" i="53" l="1"/>
  <c r="AT136" i="24"/>
  <c r="AA52" i="53"/>
  <c r="N87" i="44"/>
  <c r="O87" i="44"/>
  <c r="C119" i="39"/>
  <c r="B118" i="39"/>
  <c r="N118" i="39"/>
  <c r="C89" i="44"/>
  <c r="B88" i="44"/>
  <c r="AZ33" i="24"/>
  <c r="AY36" i="24"/>
  <c r="AY37" i="24" s="1"/>
  <c r="AY4" i="24" s="1"/>
  <c r="G93" i="39"/>
  <c r="J93" i="39"/>
  <c r="I93" i="39" s="1"/>
  <c r="AT137" i="24" l="1"/>
  <c r="S52" i="53"/>
  <c r="U52" i="53"/>
  <c r="N88" i="44"/>
  <c r="O88" i="44"/>
  <c r="AE47" i="53"/>
  <c r="AH47" i="53"/>
  <c r="AZ34" i="24"/>
  <c r="AZ35" i="24" s="1"/>
  <c r="N119" i="39"/>
  <c r="C120" i="39"/>
  <c r="B119" i="39"/>
  <c r="C90" i="44"/>
  <c r="B89" i="44"/>
  <c r="AY32" i="24"/>
  <c r="L93" i="39"/>
  <c r="AT139" i="24" l="1"/>
  <c r="N53" i="53"/>
  <c r="R53" i="53"/>
  <c r="N89" i="44"/>
  <c r="O89" i="44"/>
  <c r="AJ47" i="53"/>
  <c r="AM47" i="53"/>
  <c r="C121" i="39"/>
  <c r="B120" i="39"/>
  <c r="N120" i="39"/>
  <c r="B90" i="44"/>
  <c r="C91" i="44"/>
  <c r="BA33" i="24"/>
  <c r="AZ36" i="24"/>
  <c r="AZ37" i="24" s="1"/>
  <c r="AZ4" i="24" s="1"/>
  <c r="M93" i="39"/>
  <c r="K93" i="39"/>
  <c r="AU138" i="24" l="1"/>
  <c r="T53" i="53"/>
  <c r="O53" i="53"/>
  <c r="V53" i="53"/>
  <c r="N90" i="44"/>
  <c r="O90" i="44"/>
  <c r="AE48" i="53"/>
  <c r="BA34" i="24"/>
  <c r="BA35" i="24" s="1"/>
  <c r="B91" i="44"/>
  <c r="C92" i="44"/>
  <c r="B121" i="39"/>
  <c r="N121" i="39"/>
  <c r="C122" i="39"/>
  <c r="AZ32" i="24"/>
  <c r="J94" i="39"/>
  <c r="I94" i="39" s="1"/>
  <c r="G94" i="39"/>
  <c r="Q53" i="53" l="1"/>
  <c r="AA53" i="53"/>
  <c r="AU136" i="24"/>
  <c r="N91" i="44"/>
  <c r="O91" i="44"/>
  <c r="AJ48" i="53"/>
  <c r="AM48" i="53"/>
  <c r="B92" i="44"/>
  <c r="C93" i="44"/>
  <c r="B122" i="39"/>
  <c r="C123" i="39"/>
  <c r="N122" i="39"/>
  <c r="BB33" i="24"/>
  <c r="BA36" i="24"/>
  <c r="BA37" i="24" s="1"/>
  <c r="BA4" i="24" s="1"/>
  <c r="L94" i="39"/>
  <c r="AU137" i="24" l="1"/>
  <c r="S53" i="53"/>
  <c r="U53" i="53"/>
  <c r="N92" i="44"/>
  <c r="O92" i="44"/>
  <c r="BB34" i="24"/>
  <c r="BB35" i="24" s="1"/>
  <c r="B93" i="44"/>
  <c r="C94" i="44"/>
  <c r="B123" i="39"/>
  <c r="N123" i="39"/>
  <c r="C124" i="39"/>
  <c r="BA32" i="24"/>
  <c r="K94" i="39"/>
  <c r="M94" i="39"/>
  <c r="AU139" i="24" l="1"/>
  <c r="N54" i="53"/>
  <c r="R54" i="53"/>
  <c r="N93" i="44"/>
  <c r="O93" i="44"/>
  <c r="B124" i="39"/>
  <c r="N124" i="39"/>
  <c r="C125" i="39"/>
  <c r="C95" i="44"/>
  <c r="B94" i="44"/>
  <c r="BC33" i="24"/>
  <c r="BB36" i="24"/>
  <c r="BB37" i="24" s="1"/>
  <c r="BB4" i="24" s="1"/>
  <c r="G95" i="39"/>
  <c r="J95" i="39"/>
  <c r="I95" i="39" s="1"/>
  <c r="AV138" i="24" l="1"/>
  <c r="T54" i="53"/>
  <c r="O54" i="53"/>
  <c r="V54" i="53"/>
  <c r="N94" i="44"/>
  <c r="O94" i="44"/>
  <c r="AE49" i="53"/>
  <c r="AH49" i="53"/>
  <c r="BC34" i="24"/>
  <c r="BC35" i="24" s="1"/>
  <c r="N125" i="39"/>
  <c r="B125" i="39"/>
  <c r="C126" i="39"/>
  <c r="B95" i="44"/>
  <c r="C96" i="44"/>
  <c r="BB32" i="24"/>
  <c r="M95" i="39"/>
  <c r="L95" i="39"/>
  <c r="Q54" i="53" l="1"/>
  <c r="AA54" i="53"/>
  <c r="AV136" i="24"/>
  <c r="N95" i="44"/>
  <c r="O95" i="44"/>
  <c r="AJ49" i="53"/>
  <c r="B96" i="44"/>
  <c r="C97" i="44"/>
  <c r="C127" i="39"/>
  <c r="B126" i="39"/>
  <c r="N126" i="39"/>
  <c r="BD33" i="24"/>
  <c r="BC36" i="24"/>
  <c r="BC37" i="24" s="1"/>
  <c r="BC4" i="24" s="1"/>
  <c r="G96" i="39"/>
  <c r="J96" i="39"/>
  <c r="I96" i="39" s="1"/>
  <c r="K95" i="39"/>
  <c r="AV137" i="24" l="1"/>
  <c r="S54" i="53"/>
  <c r="U54" i="53"/>
  <c r="N96" i="44"/>
  <c r="O96" i="44"/>
  <c r="BD34" i="24"/>
  <c r="BD35" i="24" s="1"/>
  <c r="C128" i="39"/>
  <c r="B127" i="39"/>
  <c r="N127" i="39"/>
  <c r="B97" i="44"/>
  <c r="C98" i="44"/>
  <c r="BC32" i="24"/>
  <c r="M96" i="39"/>
  <c r="L96" i="39"/>
  <c r="AV139" i="24" l="1"/>
  <c r="N55" i="53"/>
  <c r="R55" i="53"/>
  <c r="N97" i="44"/>
  <c r="O97" i="44"/>
  <c r="B128" i="39"/>
  <c r="C129" i="39"/>
  <c r="N128" i="39"/>
  <c r="B98" i="44"/>
  <c r="C99" i="44"/>
  <c r="BE33" i="24"/>
  <c r="BD36" i="24"/>
  <c r="BD37" i="24" s="1"/>
  <c r="BD4" i="24" s="1"/>
  <c r="G97" i="39"/>
  <c r="J97" i="39"/>
  <c r="I97" i="39" s="1"/>
  <c r="K96" i="39"/>
  <c r="AW138" i="24" l="1"/>
  <c r="O55" i="53"/>
  <c r="AX136" i="24" s="1"/>
  <c r="T55" i="53"/>
  <c r="M14" i="53" s="1"/>
  <c r="P15" i="26" s="1"/>
  <c r="P10" i="26" s="1"/>
  <c r="V55" i="53"/>
  <c r="N98" i="44"/>
  <c r="O98" i="44"/>
  <c r="BE34" i="24"/>
  <c r="BE35" i="24" s="1"/>
  <c r="C100" i="44"/>
  <c r="B99" i="44"/>
  <c r="C130" i="39"/>
  <c r="N129" i="39"/>
  <c r="B129" i="39"/>
  <c r="BD32" i="24"/>
  <c r="M97" i="39"/>
  <c r="L97" i="39"/>
  <c r="Q55" i="53" l="1"/>
  <c r="AW136" i="24"/>
  <c r="F136" i="24" s="1"/>
  <c r="AA55" i="53"/>
  <c r="N99" i="44"/>
  <c r="O99" i="44"/>
  <c r="N130" i="39"/>
  <c r="B130" i="39"/>
  <c r="C131" i="39"/>
  <c r="C101" i="44"/>
  <c r="B100" i="44"/>
  <c r="BF33" i="24"/>
  <c r="BE36" i="24"/>
  <c r="BE37" i="24" s="1"/>
  <c r="BE4" i="24" s="1"/>
  <c r="G98" i="39"/>
  <c r="J98" i="39"/>
  <c r="I98" i="39" s="1"/>
  <c r="K97" i="39"/>
  <c r="AW137" i="24" l="1"/>
  <c r="S55" i="53"/>
  <c r="U55" i="53"/>
  <c r="N100" i="44"/>
  <c r="O100" i="44"/>
  <c r="BF34" i="24"/>
  <c r="BF35" i="24" s="1"/>
  <c r="B131" i="39"/>
  <c r="C132" i="39"/>
  <c r="N131" i="39"/>
  <c r="B101" i="44"/>
  <c r="C102" i="44"/>
  <c r="BE32" i="24"/>
  <c r="L98" i="39"/>
  <c r="AW139" i="24" l="1"/>
  <c r="R56" i="53"/>
  <c r="N56" i="53"/>
  <c r="N101" i="44"/>
  <c r="O101" i="44"/>
  <c r="B102" i="44"/>
  <c r="C103" i="44"/>
  <c r="N132" i="39"/>
  <c r="B132" i="39"/>
  <c r="C133" i="39"/>
  <c r="BG33" i="24"/>
  <c r="BF36" i="24"/>
  <c r="BF37" i="24" s="1"/>
  <c r="BF4" i="24" s="1"/>
  <c r="M98" i="39"/>
  <c r="K98" i="39"/>
  <c r="V56" i="53" l="1"/>
  <c r="AX138" i="24"/>
  <c r="Q56" i="53"/>
  <c r="T56" i="53"/>
  <c r="N102" i="44"/>
  <c r="O102" i="44"/>
  <c r="BG34" i="24"/>
  <c r="BG35" i="24" s="1"/>
  <c r="B103" i="44"/>
  <c r="C104" i="44"/>
  <c r="C134" i="39"/>
  <c r="B133" i="39"/>
  <c r="N133" i="39"/>
  <c r="BF32" i="24"/>
  <c r="J99" i="39"/>
  <c r="I99" i="39" s="1"/>
  <c r="G99" i="39"/>
  <c r="AX137" i="24" l="1"/>
  <c r="S56" i="53"/>
  <c r="U56" i="53"/>
  <c r="N103" i="44"/>
  <c r="O103" i="44"/>
  <c r="B104" i="44"/>
  <c r="C105" i="44"/>
  <c r="N134" i="39"/>
  <c r="C135" i="39"/>
  <c r="B134" i="39"/>
  <c r="BH33" i="24"/>
  <c r="BG36" i="24"/>
  <c r="BG37" i="24" s="1"/>
  <c r="BG4" i="24" s="1"/>
  <c r="K99" i="39"/>
  <c r="L99" i="39"/>
  <c r="AX139" i="24" l="1"/>
  <c r="Z56" i="53"/>
  <c r="Y56" i="53"/>
  <c r="N57" i="53"/>
  <c r="X56" i="53"/>
  <c r="R57" i="53"/>
  <c r="N104" i="44"/>
  <c r="O104" i="44"/>
  <c r="BH34" i="24"/>
  <c r="BH35" i="24" s="1"/>
  <c r="C136" i="39"/>
  <c r="B135" i="39"/>
  <c r="N135" i="39"/>
  <c r="C106" i="44"/>
  <c r="B105" i="44"/>
  <c r="BG32" i="24"/>
  <c r="M99" i="39"/>
  <c r="AA56" i="53" l="1"/>
  <c r="V57" i="53"/>
  <c r="AY138" i="24"/>
  <c r="Q57" i="53"/>
  <c r="T57" i="53"/>
  <c r="N105" i="44"/>
  <c r="O105" i="44"/>
  <c r="B106" i="44"/>
  <c r="C107" i="44"/>
  <c r="N136" i="39"/>
  <c r="C137" i="39"/>
  <c r="B136" i="39"/>
  <c r="BI33" i="24"/>
  <c r="BH36" i="24"/>
  <c r="BH37" i="24" s="1"/>
  <c r="BH4" i="24" s="1"/>
  <c r="G100" i="39"/>
  <c r="J100" i="39"/>
  <c r="I100" i="39" s="1"/>
  <c r="AY137" i="24" l="1"/>
  <c r="S57" i="53"/>
  <c r="U57" i="53"/>
  <c r="N106" i="44"/>
  <c r="O106" i="44"/>
  <c r="BI34" i="24"/>
  <c r="BI35" i="24" s="1"/>
  <c r="B107" i="44"/>
  <c r="C108" i="44"/>
  <c r="B137" i="39"/>
  <c r="N137" i="39"/>
  <c r="C138" i="39"/>
  <c r="BH32" i="24"/>
  <c r="K100" i="39"/>
  <c r="L100" i="39"/>
  <c r="AY139" i="24" l="1"/>
  <c r="R58" i="53"/>
  <c r="Y57" i="53"/>
  <c r="Z57" i="53"/>
  <c r="X57" i="53"/>
  <c r="N58" i="53"/>
  <c r="N107" i="44"/>
  <c r="O107" i="44"/>
  <c r="C109" i="44"/>
  <c r="B108" i="44"/>
  <c r="C139" i="39"/>
  <c r="B138" i="39"/>
  <c r="N138" i="39"/>
  <c r="BJ33" i="24"/>
  <c r="BI36" i="24"/>
  <c r="BI37" i="24" s="1"/>
  <c r="BI4" i="24" s="1"/>
  <c r="M100" i="39"/>
  <c r="J101" i="39" s="1"/>
  <c r="I101" i="39" s="1"/>
  <c r="V58" i="53" l="1"/>
  <c r="AZ138" i="24"/>
  <c r="Q58" i="53"/>
  <c r="T58" i="53"/>
  <c r="AA57" i="53"/>
  <c r="N108" i="44"/>
  <c r="O108" i="44"/>
  <c r="BJ34" i="24"/>
  <c r="BJ35" i="24" s="1"/>
  <c r="N139" i="39"/>
  <c r="B139" i="39"/>
  <c r="C140" i="39"/>
  <c r="B109" i="44"/>
  <c r="C110" i="44"/>
  <c r="BI32" i="24"/>
  <c r="G101" i="39"/>
  <c r="K101" i="39"/>
  <c r="L101" i="39"/>
  <c r="AZ137" i="24" l="1"/>
  <c r="S58" i="53"/>
  <c r="U58" i="53"/>
  <c r="N109" i="44"/>
  <c r="O109" i="44"/>
  <c r="B110" i="44"/>
  <c r="C111" i="44"/>
  <c r="N140" i="39"/>
  <c r="C141" i="39"/>
  <c r="B140" i="39"/>
  <c r="BK33" i="24"/>
  <c r="BJ36" i="24"/>
  <c r="BJ37" i="24" s="1"/>
  <c r="BJ4" i="24" s="1"/>
  <c r="M101" i="39"/>
  <c r="AZ139" i="24" l="1"/>
  <c r="Y58" i="53"/>
  <c r="X58" i="53"/>
  <c r="R59" i="53"/>
  <c r="N59" i="53"/>
  <c r="Z58" i="53"/>
  <c r="N110" i="44"/>
  <c r="O110" i="44"/>
  <c r="BK34" i="24"/>
  <c r="BK35" i="24" s="1"/>
  <c r="B111" i="44"/>
  <c r="C112" i="44"/>
  <c r="B141" i="39"/>
  <c r="N141" i="39"/>
  <c r="C142" i="39"/>
  <c r="BJ32" i="24"/>
  <c r="J102" i="39"/>
  <c r="I102" i="39" s="1"/>
  <c r="G102" i="39"/>
  <c r="BA138" i="24" l="1"/>
  <c r="Q59" i="53"/>
  <c r="T59" i="53"/>
  <c r="AA58" i="53"/>
  <c r="U59" i="53"/>
  <c r="V59" i="53"/>
  <c r="N111" i="44"/>
  <c r="O111" i="44"/>
  <c r="N142" i="39"/>
  <c r="C143" i="39"/>
  <c r="B142" i="39"/>
  <c r="B112" i="44"/>
  <c r="C113" i="44"/>
  <c r="BL33" i="24"/>
  <c r="BK36" i="24"/>
  <c r="BK37" i="24" s="1"/>
  <c r="BK4" i="24" s="1"/>
  <c r="L102" i="39"/>
  <c r="BA139" i="24" l="1"/>
  <c r="X59" i="53"/>
  <c r="Z59" i="53"/>
  <c r="Y59" i="53"/>
  <c r="N60" i="53"/>
  <c r="R60" i="53"/>
  <c r="BA137" i="24"/>
  <c r="S59" i="53"/>
  <c r="N112" i="44"/>
  <c r="O112" i="44"/>
  <c r="BL34" i="24"/>
  <c r="BL35" i="24" s="1"/>
  <c r="B113" i="44"/>
  <c r="C114" i="44"/>
  <c r="B143" i="39"/>
  <c r="N143" i="39"/>
  <c r="C144" i="39"/>
  <c r="BK32" i="24"/>
  <c r="K102" i="39"/>
  <c r="M102" i="39"/>
  <c r="BB138" i="24" l="1"/>
  <c r="Q60" i="53"/>
  <c r="T60" i="53"/>
  <c r="AA59" i="53"/>
  <c r="V60" i="53"/>
  <c r="U60" i="53"/>
  <c r="N113" i="44"/>
  <c r="O113" i="44"/>
  <c r="B114" i="44"/>
  <c r="C115" i="44"/>
  <c r="B144" i="39"/>
  <c r="N144" i="39"/>
  <c r="C145" i="39"/>
  <c r="BM33" i="24"/>
  <c r="BL36" i="24"/>
  <c r="BL37" i="24" s="1"/>
  <c r="BL4" i="24" s="1"/>
  <c r="J103" i="39"/>
  <c r="I103" i="39" s="1"/>
  <c r="G103" i="39"/>
  <c r="BB139" i="24" l="1"/>
  <c r="N61" i="53"/>
  <c r="Z60" i="53"/>
  <c r="Y60" i="53"/>
  <c r="R61" i="53"/>
  <c r="X60" i="53"/>
  <c r="S60" i="53"/>
  <c r="BB137" i="24"/>
  <c r="N114" i="44"/>
  <c r="O114" i="44"/>
  <c r="BM34" i="24"/>
  <c r="BM35" i="24" s="1"/>
  <c r="B115" i="44"/>
  <c r="C116" i="44"/>
  <c r="N145" i="39"/>
  <c r="C146" i="39"/>
  <c r="B145" i="39"/>
  <c r="BL32" i="24"/>
  <c r="L103" i="39"/>
  <c r="AA60" i="53" l="1"/>
  <c r="V61" i="53"/>
  <c r="BC138" i="24"/>
  <c r="Q61" i="53"/>
  <c r="U61" i="53" s="1"/>
  <c r="T61" i="53"/>
  <c r="N115" i="44"/>
  <c r="O115" i="44"/>
  <c r="N146" i="39"/>
  <c r="C147" i="39"/>
  <c r="B146" i="39"/>
  <c r="C117" i="44"/>
  <c r="B116" i="44"/>
  <c r="BN33" i="24"/>
  <c r="BM36" i="24"/>
  <c r="BM37" i="24" s="1"/>
  <c r="BM4" i="24" s="1"/>
  <c r="K103" i="39"/>
  <c r="M103" i="39"/>
  <c r="BC139" i="24" l="1"/>
  <c r="R62" i="53"/>
  <c r="Z61" i="53"/>
  <c r="X61" i="53"/>
  <c r="N62" i="53"/>
  <c r="Y61" i="53"/>
  <c r="S61" i="53"/>
  <c r="BC137" i="24"/>
  <c r="N116" i="44"/>
  <c r="O116" i="44"/>
  <c r="BN34" i="24"/>
  <c r="BN35" i="24" s="1"/>
  <c r="B117" i="44"/>
  <c r="C118" i="44"/>
  <c r="B147" i="39"/>
  <c r="N147" i="39"/>
  <c r="C148" i="39"/>
  <c r="BM32" i="24"/>
  <c r="J104" i="39"/>
  <c r="I104" i="39" s="1"/>
  <c r="G104" i="39"/>
  <c r="AA61" i="53" l="1"/>
  <c r="BD138" i="24"/>
  <c r="Q62" i="53"/>
  <c r="T62" i="53"/>
  <c r="AE24" i="53"/>
  <c r="V62" i="53"/>
  <c r="U62" i="53"/>
  <c r="N117" i="44"/>
  <c r="O117" i="44"/>
  <c r="B118" i="44"/>
  <c r="C119" i="44"/>
  <c r="N148" i="39"/>
  <c r="B148" i="39"/>
  <c r="C149" i="39"/>
  <c r="BO33" i="24"/>
  <c r="BN36" i="24"/>
  <c r="BN37" i="24" s="1"/>
  <c r="BN4" i="24" s="1"/>
  <c r="L104" i="39"/>
  <c r="BD139" i="24" l="1"/>
  <c r="N63" i="53"/>
  <c r="Z62" i="53"/>
  <c r="Y62" i="53"/>
  <c r="R63" i="53"/>
  <c r="X62" i="53"/>
  <c r="BD137" i="24"/>
  <c r="S62" i="53"/>
  <c r="N118" i="44"/>
  <c r="O118" i="44"/>
  <c r="BO34" i="24"/>
  <c r="BO35" i="24" s="1"/>
  <c r="C120" i="44"/>
  <c r="B119" i="44"/>
  <c r="N149" i="39"/>
  <c r="B149" i="39"/>
  <c r="C150" i="39"/>
  <c r="BN32" i="24"/>
  <c r="K104" i="39"/>
  <c r="M104" i="39"/>
  <c r="AA62" i="53" l="1"/>
  <c r="V63" i="53"/>
  <c r="BE138" i="24"/>
  <c r="Q63" i="53"/>
  <c r="U63" i="53" s="1"/>
  <c r="T63" i="53"/>
  <c r="N119" i="44"/>
  <c r="O119" i="44"/>
  <c r="N150" i="39"/>
  <c r="B150" i="39"/>
  <c r="C151" i="39"/>
  <c r="C121" i="44"/>
  <c r="B120" i="44"/>
  <c r="BP33" i="24"/>
  <c r="BO36" i="24"/>
  <c r="BO37" i="24" s="1"/>
  <c r="BO4" i="24" s="1"/>
  <c r="J105" i="39"/>
  <c r="I105" i="39" s="1"/>
  <c r="G105" i="39"/>
  <c r="BE139" i="24" l="1"/>
  <c r="X63" i="53"/>
  <c r="R64" i="53"/>
  <c r="N64" i="53"/>
  <c r="Z63" i="53"/>
  <c r="Y63" i="53"/>
  <c r="BE137" i="24"/>
  <c r="S63" i="53"/>
  <c r="N120" i="44"/>
  <c r="O120" i="44"/>
  <c r="BP34" i="24"/>
  <c r="BP35" i="24" s="1"/>
  <c r="N151" i="39"/>
  <c r="C152" i="39"/>
  <c r="B151" i="39"/>
  <c r="B121" i="44"/>
  <c r="C122" i="44"/>
  <c r="BO32" i="24"/>
  <c r="L105" i="39"/>
  <c r="BF138" i="24" l="1"/>
  <c r="Q64" i="53"/>
  <c r="T64" i="53"/>
  <c r="V64" i="53"/>
  <c r="U64" i="53"/>
  <c r="AA63" i="53"/>
  <c r="N121" i="44"/>
  <c r="O121" i="44"/>
  <c r="C153" i="39"/>
  <c r="N152" i="39"/>
  <c r="B152" i="39"/>
  <c r="B122" i="44"/>
  <c r="C123" i="44"/>
  <c r="BQ33" i="24"/>
  <c r="BP36" i="24"/>
  <c r="BP37" i="24" s="1"/>
  <c r="BP4" i="24" s="1"/>
  <c r="K105" i="39"/>
  <c r="M105" i="39"/>
  <c r="BF137" i="24" l="1"/>
  <c r="S64" i="53"/>
  <c r="BF139" i="24"/>
  <c r="Y64" i="53"/>
  <c r="Z64" i="53"/>
  <c r="N65" i="53"/>
  <c r="X64" i="53"/>
  <c r="R65" i="53"/>
  <c r="N122" i="44"/>
  <c r="O122" i="44"/>
  <c r="BQ34" i="24"/>
  <c r="BQ35" i="24" s="1"/>
  <c r="B123" i="44"/>
  <c r="C124" i="44"/>
  <c r="N153" i="39"/>
  <c r="C154" i="39"/>
  <c r="B153" i="39"/>
  <c r="BP32" i="24"/>
  <c r="G106" i="39"/>
  <c r="J106" i="39"/>
  <c r="I106" i="39" s="1"/>
  <c r="BG138" i="24" l="1"/>
  <c r="Q65" i="53"/>
  <c r="T65" i="53"/>
  <c r="AA64" i="53"/>
  <c r="V65" i="53"/>
  <c r="U65" i="53"/>
  <c r="N123" i="44"/>
  <c r="O123" i="44"/>
  <c r="B154" i="39"/>
  <c r="C155" i="39"/>
  <c r="N154" i="39"/>
  <c r="C125" i="44"/>
  <c r="B124" i="44"/>
  <c r="BR33" i="24"/>
  <c r="BQ36" i="24"/>
  <c r="BQ37" i="24" s="1"/>
  <c r="BQ4" i="24" s="1"/>
  <c r="M106" i="39"/>
  <c r="L106" i="39"/>
  <c r="BG139" i="24" l="1"/>
  <c r="Z65" i="53"/>
  <c r="Y65" i="53"/>
  <c r="X65" i="53"/>
  <c r="N66" i="53"/>
  <c r="R66" i="53"/>
  <c r="BG137" i="24"/>
  <c r="S65" i="53"/>
  <c r="N124" i="44"/>
  <c r="O124" i="44"/>
  <c r="BR34" i="24"/>
  <c r="BR35" i="24" s="1"/>
  <c r="C126" i="44"/>
  <c r="B125" i="44"/>
  <c r="N155" i="39"/>
  <c r="B155" i="39"/>
  <c r="C156" i="39"/>
  <c r="BQ32" i="24"/>
  <c r="J107" i="39"/>
  <c r="I107" i="39" s="1"/>
  <c r="G107" i="39"/>
  <c r="K106" i="39"/>
  <c r="AA65" i="53" l="1"/>
  <c r="BH138" i="24"/>
  <c r="Q66" i="53"/>
  <c r="T66" i="53"/>
  <c r="V66" i="53"/>
  <c r="U66" i="53"/>
  <c r="N125" i="44"/>
  <c r="O125" i="44"/>
  <c r="B156" i="39"/>
  <c r="N156" i="39"/>
  <c r="C157" i="39"/>
  <c r="B126" i="44"/>
  <c r="C127" i="44"/>
  <c r="BS33" i="24"/>
  <c r="BR36" i="24"/>
  <c r="BR37" i="24" s="1"/>
  <c r="BR4" i="24" s="1"/>
  <c r="L107" i="39"/>
  <c r="BH137" i="24" l="1"/>
  <c r="S66" i="53"/>
  <c r="BH139" i="24"/>
  <c r="Z66" i="53"/>
  <c r="X66" i="53"/>
  <c r="R67" i="53"/>
  <c r="N67" i="53"/>
  <c r="V67" i="53" s="1"/>
  <c r="Y66" i="53"/>
  <c r="N126" i="44"/>
  <c r="O126" i="44"/>
  <c r="BS34" i="24"/>
  <c r="BS35" i="24" s="1"/>
  <c r="N157" i="39"/>
  <c r="C158" i="39"/>
  <c r="B157" i="39"/>
  <c r="B127" i="44"/>
  <c r="C128" i="44"/>
  <c r="BR32" i="24"/>
  <c r="K107" i="39"/>
  <c r="M107" i="39"/>
  <c r="BI138" i="24" l="1"/>
  <c r="Q67" i="53"/>
  <c r="T67" i="53"/>
  <c r="AA66" i="53"/>
  <c r="N127" i="44"/>
  <c r="O127" i="44"/>
  <c r="B158" i="39"/>
  <c r="N158" i="39"/>
  <c r="C159" i="39"/>
  <c r="B128" i="44"/>
  <c r="C129" i="44"/>
  <c r="BT33" i="24"/>
  <c r="BS36" i="24"/>
  <c r="BS37" i="24" s="1"/>
  <c r="BS4" i="24" s="1"/>
  <c r="G108" i="39"/>
  <c r="J108" i="39"/>
  <c r="I108" i="39" s="1"/>
  <c r="BI137" i="24" l="1"/>
  <c r="S67" i="53"/>
  <c r="U67" i="53"/>
  <c r="N128" i="44"/>
  <c r="O128" i="44"/>
  <c r="BT34" i="24"/>
  <c r="BT35" i="24" s="1"/>
  <c r="B129" i="44"/>
  <c r="C130" i="44"/>
  <c r="C160" i="39"/>
  <c r="B159" i="39"/>
  <c r="N159" i="39"/>
  <c r="BS32" i="24"/>
  <c r="L108" i="39"/>
  <c r="M108" i="39"/>
  <c r="BI139" i="24" l="1"/>
  <c r="Z67" i="53"/>
  <c r="N68" i="53"/>
  <c r="V68" i="53" s="1"/>
  <c r="X67" i="53"/>
  <c r="R68" i="53"/>
  <c r="Y67" i="53"/>
  <c r="N129" i="44"/>
  <c r="O129" i="44"/>
  <c r="B130" i="44"/>
  <c r="C131" i="44"/>
  <c r="C161" i="39"/>
  <c r="N160" i="39"/>
  <c r="B160" i="39"/>
  <c r="BU33" i="24"/>
  <c r="BT36" i="24"/>
  <c r="BT37" i="24" s="1"/>
  <c r="BT4" i="24" s="1"/>
  <c r="J109" i="39"/>
  <c r="I109" i="39" s="1"/>
  <c r="G109" i="39"/>
  <c r="K108" i="39"/>
  <c r="AA67" i="53" l="1"/>
  <c r="BJ138" i="24"/>
  <c r="Q68" i="53"/>
  <c r="T68" i="53"/>
  <c r="N130" i="44"/>
  <c r="O130" i="44"/>
  <c r="BU34" i="24"/>
  <c r="BU35" i="24" s="1"/>
  <c r="B131" i="44"/>
  <c r="C132" i="44"/>
  <c r="B161" i="39"/>
  <c r="N161" i="39"/>
  <c r="C162" i="39"/>
  <c r="BT32" i="24"/>
  <c r="K109" i="39"/>
  <c r="L109" i="39"/>
  <c r="S68" i="53" l="1"/>
  <c r="BJ137" i="24"/>
  <c r="U68" i="53"/>
  <c r="N131" i="44"/>
  <c r="O131" i="44"/>
  <c r="N162" i="39"/>
  <c r="C163" i="39"/>
  <c r="B162" i="39"/>
  <c r="B132" i="44"/>
  <c r="C133" i="44"/>
  <c r="BV33" i="24"/>
  <c r="BU36" i="24"/>
  <c r="BU37" i="24" s="1"/>
  <c r="BU4" i="24" s="1"/>
  <c r="M109" i="39"/>
  <c r="BJ139" i="24" l="1"/>
  <c r="R69" i="53"/>
  <c r="Y68" i="53"/>
  <c r="Z68" i="53"/>
  <c r="N69" i="53"/>
  <c r="V69" i="53" s="1"/>
  <c r="X68" i="53"/>
  <c r="N132" i="44"/>
  <c r="O132" i="44"/>
  <c r="BV34" i="24"/>
  <c r="BV35" i="24" s="1"/>
  <c r="N163" i="39"/>
  <c r="C164" i="39"/>
  <c r="B163" i="39"/>
  <c r="C134" i="44"/>
  <c r="B133" i="44"/>
  <c r="BU32" i="24"/>
  <c r="G110" i="39"/>
  <c r="J110" i="39"/>
  <c r="I110" i="39" s="1"/>
  <c r="AA68" i="53" l="1"/>
  <c r="BK138" i="24"/>
  <c r="Q69" i="53"/>
  <c r="T69" i="53"/>
  <c r="N133" i="44"/>
  <c r="O133" i="44"/>
  <c r="C135" i="44"/>
  <c r="B134" i="44"/>
  <c r="B164" i="39"/>
  <c r="C165" i="39"/>
  <c r="N164" i="39"/>
  <c r="BW33" i="24"/>
  <c r="BV36" i="24"/>
  <c r="BV37" i="24" s="1"/>
  <c r="BV4" i="24" s="1"/>
  <c r="K110" i="39"/>
  <c r="L110" i="39"/>
  <c r="S69" i="53" l="1"/>
  <c r="BK137" i="24"/>
  <c r="U69" i="53"/>
  <c r="N134" i="44"/>
  <c r="O134" i="44"/>
  <c r="BW34" i="24"/>
  <c r="BW35" i="24" s="1"/>
  <c r="C166" i="39"/>
  <c r="N165" i="39"/>
  <c r="B165" i="39"/>
  <c r="B135" i="44"/>
  <c r="C136" i="44"/>
  <c r="BV32" i="24"/>
  <c r="M110" i="39"/>
  <c r="J111" i="39" s="1"/>
  <c r="I111" i="39" s="1"/>
  <c r="BK139" i="24" l="1"/>
  <c r="Z69" i="53"/>
  <c r="R70" i="53"/>
  <c r="X69" i="53"/>
  <c r="N70" i="53"/>
  <c r="Y69" i="53"/>
  <c r="N135" i="44"/>
  <c r="O135" i="44"/>
  <c r="B136" i="44"/>
  <c r="C137" i="44"/>
  <c r="N166" i="39"/>
  <c r="C167" i="39"/>
  <c r="B166" i="39"/>
  <c r="BX33" i="24"/>
  <c r="BW36" i="24"/>
  <c r="BW37" i="24" s="1"/>
  <c r="BW4" i="24" s="1"/>
  <c r="G111" i="39"/>
  <c r="K111" i="39"/>
  <c r="L111" i="39"/>
  <c r="AA69" i="53" l="1"/>
  <c r="BL138" i="24"/>
  <c r="Q70" i="53"/>
  <c r="U70" i="53" s="1"/>
  <c r="T70" i="53"/>
  <c r="V70" i="53"/>
  <c r="N136" i="44"/>
  <c r="O136" i="44"/>
  <c r="BX34" i="24"/>
  <c r="BX35" i="24" s="1"/>
  <c r="C168" i="39"/>
  <c r="B167" i="39"/>
  <c r="N167" i="39"/>
  <c r="B137" i="44"/>
  <c r="C138" i="44"/>
  <c r="BW32" i="24"/>
  <c r="M111" i="39"/>
  <c r="G112" i="39" s="1"/>
  <c r="BL139" i="24" l="1"/>
  <c r="Y70" i="53"/>
  <c r="R71" i="53"/>
  <c r="N71" i="53"/>
  <c r="V71" i="53" s="1"/>
  <c r="X70" i="53"/>
  <c r="Z70" i="53"/>
  <c r="S70" i="53"/>
  <c r="BL137" i="24"/>
  <c r="N137" i="44"/>
  <c r="O137" i="44"/>
  <c r="B138" i="44"/>
  <c r="C139" i="44"/>
  <c r="B168" i="39"/>
  <c r="N168" i="39"/>
  <c r="C169" i="39"/>
  <c r="BY33" i="24"/>
  <c r="BX36" i="24"/>
  <c r="BX37" i="24" s="1"/>
  <c r="BX4" i="24" s="1"/>
  <c r="J112" i="39"/>
  <c r="I112" i="39" s="1"/>
  <c r="K112" i="39" s="1"/>
  <c r="AA70" i="53" l="1"/>
  <c r="BM138" i="24"/>
  <c r="T71" i="53"/>
  <c r="Q71" i="53"/>
  <c r="U71" i="53" s="1"/>
  <c r="N138" i="44"/>
  <c r="O138" i="44"/>
  <c r="BY34" i="24"/>
  <c r="BY35" i="24" s="1"/>
  <c r="C170" i="39"/>
  <c r="N169" i="39"/>
  <c r="B169" i="39"/>
  <c r="B139" i="44"/>
  <c r="C140" i="44"/>
  <c r="BX32" i="24"/>
  <c r="L112" i="39"/>
  <c r="M112" i="39"/>
  <c r="BM139" i="24" l="1"/>
  <c r="N72" i="53"/>
  <c r="V72" i="53" s="1"/>
  <c r="X71" i="53"/>
  <c r="S71" i="53"/>
  <c r="BM137" i="24"/>
  <c r="Y71" i="53"/>
  <c r="R72" i="53"/>
  <c r="BN138" i="24" s="1"/>
  <c r="Z71" i="53"/>
  <c r="T72" i="53"/>
  <c r="N139" i="44"/>
  <c r="O139" i="44"/>
  <c r="B170" i="39"/>
  <c r="C171" i="39"/>
  <c r="N170" i="39"/>
  <c r="B140" i="44"/>
  <c r="C141" i="44"/>
  <c r="BZ33" i="24"/>
  <c r="BY36" i="24"/>
  <c r="BY37" i="24" s="1"/>
  <c r="BY4" i="24" s="1"/>
  <c r="G113" i="39"/>
  <c r="J113" i="39"/>
  <c r="I113" i="39" s="1"/>
  <c r="Q72" i="53" l="1"/>
  <c r="S72" i="53"/>
  <c r="BN137" i="24"/>
  <c r="AA71" i="53"/>
  <c r="U72" i="53"/>
  <c r="BN139" i="24" s="1"/>
  <c r="N140" i="44"/>
  <c r="O140" i="44"/>
  <c r="BZ34" i="24"/>
  <c r="BZ35" i="24" s="1"/>
  <c r="B141" i="44"/>
  <c r="C142" i="44"/>
  <c r="N171" i="39"/>
  <c r="C172" i="39"/>
  <c r="B171" i="39"/>
  <c r="BY32" i="24"/>
  <c r="L113" i="39"/>
  <c r="R73" i="53" l="1"/>
  <c r="BO138" i="24" s="1"/>
  <c r="X72" i="53"/>
  <c r="Y72" i="53"/>
  <c r="Z72" i="53"/>
  <c r="N73" i="53"/>
  <c r="N141" i="44"/>
  <c r="O141" i="44"/>
  <c r="B172" i="39"/>
  <c r="N172" i="39"/>
  <c r="C173" i="39"/>
  <c r="B142" i="44"/>
  <c r="C143" i="44"/>
  <c r="CA33" i="24"/>
  <c r="BZ36" i="24"/>
  <c r="BZ37" i="24" s="1"/>
  <c r="BZ4" i="24" s="1"/>
  <c r="M113" i="39"/>
  <c r="K113" i="39"/>
  <c r="AA72" i="53" l="1"/>
  <c r="V73" i="53"/>
  <c r="AH46" i="53"/>
  <c r="Q73" i="53"/>
  <c r="U73" i="53" s="1"/>
  <c r="BO139" i="24" s="1"/>
  <c r="T73" i="53"/>
  <c r="N142" i="44"/>
  <c r="O142" i="44"/>
  <c r="CA34" i="24"/>
  <c r="CA35" i="24" s="1"/>
  <c r="N173" i="39"/>
  <c r="C174" i="39"/>
  <c r="B173" i="39"/>
  <c r="C144" i="44"/>
  <c r="B143" i="44"/>
  <c r="BZ32" i="24"/>
  <c r="J114" i="39"/>
  <c r="I114" i="39" s="1"/>
  <c r="G114" i="39"/>
  <c r="S73" i="53" l="1"/>
  <c r="BO137" i="24"/>
  <c r="Z73" i="53"/>
  <c r="X73" i="53"/>
  <c r="Y73" i="53"/>
  <c r="R74" i="53"/>
  <c r="BP138" i="24" s="1"/>
  <c r="N74" i="53"/>
  <c r="N143" i="44"/>
  <c r="O143" i="44"/>
  <c r="B144" i="44"/>
  <c r="C145" i="44"/>
  <c r="C175" i="39"/>
  <c r="N174" i="39"/>
  <c r="B174" i="39"/>
  <c r="CB33" i="24"/>
  <c r="CA36" i="24"/>
  <c r="CA37" i="24" s="1"/>
  <c r="CA4" i="24" s="1"/>
  <c r="L114" i="39"/>
  <c r="K114" i="39"/>
  <c r="Q74" i="53" l="1"/>
  <c r="BP137" i="24" s="1"/>
  <c r="T74" i="53"/>
  <c r="AA73" i="53"/>
  <c r="V74" i="53"/>
  <c r="AE25" i="53"/>
  <c r="U74" i="53"/>
  <c r="BP139" i="24" s="1"/>
  <c r="N144" i="44"/>
  <c r="O144" i="44"/>
  <c r="CB34" i="24"/>
  <c r="CB35" i="24" s="1"/>
  <c r="N175" i="39"/>
  <c r="C176" i="39"/>
  <c r="B175" i="39"/>
  <c r="C146" i="44"/>
  <c r="B145" i="44"/>
  <c r="CA32" i="24"/>
  <c r="M114" i="39"/>
  <c r="X74" i="53" l="1"/>
  <c r="Z74" i="53"/>
  <c r="Y74" i="53"/>
  <c r="N75" i="53"/>
  <c r="R75" i="53"/>
  <c r="BQ138" i="24" s="1"/>
  <c r="S74" i="53"/>
  <c r="N145" i="44"/>
  <c r="O145" i="44"/>
  <c r="C147" i="44"/>
  <c r="B146" i="44"/>
  <c r="N176" i="39"/>
  <c r="B176" i="39"/>
  <c r="C177" i="39"/>
  <c r="CC33" i="24"/>
  <c r="CB36" i="24"/>
  <c r="CB37" i="24" s="1"/>
  <c r="CB4" i="24" s="1"/>
  <c r="J115" i="39"/>
  <c r="I115" i="39" s="1"/>
  <c r="G115" i="39"/>
  <c r="V75" i="53" l="1"/>
  <c r="Q75" i="53"/>
  <c r="BQ137" i="24" s="1"/>
  <c r="T75" i="53"/>
  <c r="AA74" i="53"/>
  <c r="N146" i="44"/>
  <c r="O146" i="44"/>
  <c r="CC34" i="24"/>
  <c r="CC35" i="24" s="1"/>
  <c r="N177" i="39"/>
  <c r="B177" i="39"/>
  <c r="C178" i="39"/>
  <c r="C148" i="44"/>
  <c r="B147" i="44"/>
  <c r="CB32" i="24"/>
  <c r="K115" i="39"/>
  <c r="L115" i="39"/>
  <c r="S75" i="53" l="1"/>
  <c r="U75" i="53"/>
  <c r="BQ139" i="24" s="1"/>
  <c r="N147" i="44"/>
  <c r="O147" i="44"/>
  <c r="B148" i="44"/>
  <c r="C149" i="44"/>
  <c r="B178" i="39"/>
  <c r="C179" i="39"/>
  <c r="N178" i="39"/>
  <c r="CD33" i="24"/>
  <c r="CC36" i="24"/>
  <c r="CC37" i="24" s="1"/>
  <c r="CC4" i="24" s="1"/>
  <c r="M115" i="39"/>
  <c r="Y75" i="53" l="1"/>
  <c r="X75" i="53"/>
  <c r="Z75" i="53"/>
  <c r="N76" i="53"/>
  <c r="R76" i="53"/>
  <c r="BR138" i="24" s="1"/>
  <c r="N148" i="44"/>
  <c r="O148" i="44"/>
  <c r="CD34" i="24"/>
  <c r="CD35" i="24" s="1"/>
  <c r="B149" i="44"/>
  <c r="C150" i="44"/>
  <c r="C180" i="39"/>
  <c r="N179" i="39"/>
  <c r="B179" i="39"/>
  <c r="CC32" i="24"/>
  <c r="J116" i="39"/>
  <c r="I116" i="39" s="1"/>
  <c r="G116" i="39"/>
  <c r="AA75" i="53" l="1"/>
  <c r="V76" i="53"/>
  <c r="Q76" i="53"/>
  <c r="BR137" i="24" s="1"/>
  <c r="T76" i="53"/>
  <c r="N149" i="44"/>
  <c r="O149" i="44"/>
  <c r="B150" i="44"/>
  <c r="C151" i="44"/>
  <c r="N180" i="39"/>
  <c r="C181" i="39"/>
  <c r="B180" i="39"/>
  <c r="CE33" i="24"/>
  <c r="CD36" i="24"/>
  <c r="CD37" i="24" s="1"/>
  <c r="CD4" i="24" s="1"/>
  <c r="L116" i="39"/>
  <c r="U76" i="53" l="1"/>
  <c r="BR139" i="24" s="1"/>
  <c r="Y76" i="53"/>
  <c r="X76" i="53"/>
  <c r="Z76" i="53"/>
  <c r="N77" i="53"/>
  <c r="S76" i="53"/>
  <c r="N150" i="44"/>
  <c r="O150" i="44"/>
  <c r="CE34" i="24"/>
  <c r="CE35" i="24" s="1"/>
  <c r="C182" i="39"/>
  <c r="B181" i="39"/>
  <c r="N181" i="39"/>
  <c r="B151" i="44"/>
  <c r="C152" i="44"/>
  <c r="CD32" i="24"/>
  <c r="M116" i="39"/>
  <c r="K116" i="39"/>
  <c r="R77" i="53" l="1"/>
  <c r="BS138" i="24" s="1"/>
  <c r="AH48" i="53"/>
  <c r="Q77" i="53"/>
  <c r="BS137" i="24" s="1"/>
  <c r="T77" i="53"/>
  <c r="AA76" i="53"/>
  <c r="V77" i="53"/>
  <c r="U77" i="53"/>
  <c r="BS139" i="24" s="1"/>
  <c r="N151" i="44"/>
  <c r="O151" i="44"/>
  <c r="B152" i="44"/>
  <c r="C153" i="44"/>
  <c r="C183" i="39"/>
  <c r="B182" i="39"/>
  <c r="N182" i="39"/>
  <c r="CF33" i="24"/>
  <c r="CE36" i="24"/>
  <c r="CE37" i="24" s="1"/>
  <c r="CE4" i="24" s="1"/>
  <c r="G117" i="39"/>
  <c r="J117" i="39"/>
  <c r="I117" i="39" s="1"/>
  <c r="Y77" i="53" l="1"/>
  <c r="X77" i="53"/>
  <c r="Z77" i="53"/>
  <c r="R78" i="53"/>
  <c r="BT138" i="24" s="1"/>
  <c r="N78" i="53"/>
  <c r="AG49" i="53"/>
  <c r="AM49" i="53" s="1"/>
  <c r="S77" i="53"/>
  <c r="N152" i="44"/>
  <c r="O152" i="44"/>
  <c r="CE32" i="24"/>
  <c r="CF34" i="24"/>
  <c r="CF35" i="24" s="1"/>
  <c r="C184" i="39"/>
  <c r="B183" i="39"/>
  <c r="N183" i="39"/>
  <c r="B153" i="44"/>
  <c r="C154" i="44"/>
  <c r="M117" i="39"/>
  <c r="L117" i="39"/>
  <c r="Q78" i="53" l="1"/>
  <c r="BT137" i="24" s="1"/>
  <c r="T78" i="53"/>
  <c r="AA77" i="53"/>
  <c r="V78" i="53"/>
  <c r="U78" i="53"/>
  <c r="BT139" i="24" s="1"/>
  <c r="N153" i="44"/>
  <c r="O153" i="44"/>
  <c r="C155" i="44"/>
  <c r="B154" i="44"/>
  <c r="C185" i="39"/>
  <c r="N184" i="39"/>
  <c r="B184" i="39"/>
  <c r="CG33" i="24"/>
  <c r="CF36" i="24"/>
  <c r="CF37" i="24" s="1"/>
  <c r="CF4" i="24" s="1"/>
  <c r="G118" i="39"/>
  <c r="J118" i="39"/>
  <c r="I118" i="39" s="1"/>
  <c r="K117" i="39"/>
  <c r="R79" i="53" l="1"/>
  <c r="BU138" i="24" s="1"/>
  <c r="Y78" i="53"/>
  <c r="Z78" i="53"/>
  <c r="X78" i="53"/>
  <c r="N79" i="53"/>
  <c r="S78" i="53"/>
  <c r="N154" i="44"/>
  <c r="O154" i="44"/>
  <c r="CG34" i="24"/>
  <c r="CG35" i="24" s="1"/>
  <c r="B155" i="44"/>
  <c r="C156" i="44"/>
  <c r="C186" i="39"/>
  <c r="B185" i="39"/>
  <c r="N185" i="39"/>
  <c r="CF32" i="24"/>
  <c r="M118" i="39"/>
  <c r="L118" i="39"/>
  <c r="AA78" i="53" l="1"/>
  <c r="V79" i="53"/>
  <c r="Q79" i="53"/>
  <c r="T79" i="53"/>
  <c r="N155" i="44"/>
  <c r="O155" i="44"/>
  <c r="B156" i="44"/>
  <c r="C157" i="44"/>
  <c r="C187" i="39"/>
  <c r="B186" i="39"/>
  <c r="N186" i="39"/>
  <c r="CH33" i="24"/>
  <c r="CG36" i="24"/>
  <c r="CG37" i="24" s="1"/>
  <c r="CG4" i="24" s="1"/>
  <c r="J119" i="39"/>
  <c r="I119" i="39" s="1"/>
  <c r="G119" i="39"/>
  <c r="K118" i="39"/>
  <c r="S79" i="53" l="1"/>
  <c r="BU137" i="24"/>
  <c r="U79" i="53"/>
  <c r="BU139" i="24" s="1"/>
  <c r="N156" i="44"/>
  <c r="O156" i="44"/>
  <c r="CH34" i="24"/>
  <c r="CH35" i="24" s="1"/>
  <c r="N187" i="39"/>
  <c r="C188" i="39"/>
  <c r="B187" i="39"/>
  <c r="C158" i="44"/>
  <c r="B157" i="44"/>
  <c r="CG32" i="24"/>
  <c r="L119" i="39"/>
  <c r="Z79" i="53" l="1"/>
  <c r="Y79" i="53"/>
  <c r="X79" i="53"/>
  <c r="R80" i="53"/>
  <c r="BV138" i="24" s="1"/>
  <c r="N80" i="53"/>
  <c r="N157" i="44"/>
  <c r="O157" i="44"/>
  <c r="C159" i="44"/>
  <c r="B158" i="44"/>
  <c r="C189" i="39"/>
  <c r="B188" i="39"/>
  <c r="N188" i="39"/>
  <c r="CI33" i="24"/>
  <c r="CH36" i="24"/>
  <c r="CH37" i="24" s="1"/>
  <c r="CH4" i="24" s="1"/>
  <c r="M119" i="39"/>
  <c r="K119" i="39"/>
  <c r="AA79" i="53" l="1"/>
  <c r="Q80" i="53"/>
  <c r="U80" i="53" s="1"/>
  <c r="BV139" i="24" s="1"/>
  <c r="T80" i="53"/>
  <c r="V80" i="53"/>
  <c r="N158" i="44"/>
  <c r="O158" i="44"/>
  <c r="CI34" i="24"/>
  <c r="CI35" i="24" s="1"/>
  <c r="C190" i="39"/>
  <c r="B189" i="39"/>
  <c r="N189" i="39"/>
  <c r="B159" i="44"/>
  <c r="C160" i="44"/>
  <c r="CH32" i="24"/>
  <c r="J120" i="39"/>
  <c r="I120" i="39" s="1"/>
  <c r="G120" i="39"/>
  <c r="S80" i="53" l="1"/>
  <c r="BV137" i="24"/>
  <c r="Y80" i="53"/>
  <c r="Z80" i="53"/>
  <c r="X80" i="53"/>
  <c r="N81" i="53"/>
  <c r="R81" i="53"/>
  <c r="BW138" i="24" s="1"/>
  <c r="N159" i="44"/>
  <c r="O159" i="44"/>
  <c r="B160" i="44"/>
  <c r="C161" i="44"/>
  <c r="B190" i="39"/>
  <c r="C191" i="39"/>
  <c r="N190" i="39"/>
  <c r="CJ33" i="24"/>
  <c r="CI36" i="24"/>
  <c r="CI37" i="24" s="1"/>
  <c r="CI4" i="24" s="1"/>
  <c r="L120" i="39"/>
  <c r="AA80" i="53" l="1"/>
  <c r="V81" i="53"/>
  <c r="Q81" i="53"/>
  <c r="T81" i="53"/>
  <c r="N160" i="44"/>
  <c r="O160" i="44"/>
  <c r="CJ34" i="24"/>
  <c r="CJ35" i="24" s="1"/>
  <c r="C162" i="44"/>
  <c r="B161" i="44"/>
  <c r="C192" i="39"/>
  <c r="B191" i="39"/>
  <c r="N191" i="39"/>
  <c r="CI32" i="24"/>
  <c r="K120" i="39"/>
  <c r="M120" i="39"/>
  <c r="S81" i="53" l="1"/>
  <c r="BW137" i="24"/>
  <c r="U81" i="53"/>
  <c r="BW139" i="24" s="1"/>
  <c r="N161" i="44"/>
  <c r="O161" i="44"/>
  <c r="B162" i="44"/>
  <c r="C163" i="44"/>
  <c r="B192" i="39"/>
  <c r="C193" i="39"/>
  <c r="N192" i="39"/>
  <c r="CK33" i="24"/>
  <c r="CJ36" i="24"/>
  <c r="CJ37" i="24" s="1"/>
  <c r="CJ4" i="24" s="1"/>
  <c r="J121" i="39"/>
  <c r="I121" i="39" s="1"/>
  <c r="G121" i="39"/>
  <c r="X81" i="53" l="1"/>
  <c r="Y81" i="53"/>
  <c r="Z81" i="53"/>
  <c r="R82" i="53"/>
  <c r="BX138" i="24" s="1"/>
  <c r="N82" i="53"/>
  <c r="N162" i="44"/>
  <c r="O162" i="44"/>
  <c r="CK34" i="24"/>
  <c r="CK35" i="24" s="1"/>
  <c r="C194" i="39"/>
  <c r="B193" i="39"/>
  <c r="N193" i="39"/>
  <c r="B163" i="44"/>
  <c r="C164" i="44"/>
  <c r="CJ32" i="24"/>
  <c r="L121" i="39"/>
  <c r="Q82" i="53" l="1"/>
  <c r="T82" i="53"/>
  <c r="V82" i="53"/>
  <c r="AA81" i="53"/>
  <c r="N163" i="44"/>
  <c r="O163" i="44"/>
  <c r="B194" i="39"/>
  <c r="C195" i="39"/>
  <c r="N194" i="39"/>
  <c r="B164" i="44"/>
  <c r="C165" i="44"/>
  <c r="CL33" i="24"/>
  <c r="CK36" i="24"/>
  <c r="CK37" i="24" s="1"/>
  <c r="CK4" i="24" s="1"/>
  <c r="M121" i="39"/>
  <c r="K121" i="39"/>
  <c r="S82" i="53" l="1"/>
  <c r="BX137" i="24"/>
  <c r="U82" i="53"/>
  <c r="BX139" i="24" s="1"/>
  <c r="N164" i="44"/>
  <c r="O164" i="44"/>
  <c r="CL34" i="24"/>
  <c r="CL35" i="24" s="1"/>
  <c r="B165" i="44"/>
  <c r="C166" i="44"/>
  <c r="C196" i="39"/>
  <c r="B195" i="39"/>
  <c r="N195" i="39"/>
  <c r="CK32" i="24"/>
  <c r="J122" i="39"/>
  <c r="I122" i="39" s="1"/>
  <c r="G122" i="39"/>
  <c r="X82" i="53" l="1"/>
  <c r="Z82" i="53"/>
  <c r="Y82" i="53"/>
  <c r="R83" i="53"/>
  <c r="BY138" i="24" s="1"/>
  <c r="N83" i="53"/>
  <c r="N165" i="44"/>
  <c r="O165" i="44"/>
  <c r="C167" i="44"/>
  <c r="B166" i="44"/>
  <c r="N196" i="39"/>
  <c r="C197" i="39"/>
  <c r="B196" i="39"/>
  <c r="CM33" i="24"/>
  <c r="CL36" i="24"/>
  <c r="CL37" i="24" s="1"/>
  <c r="CL4" i="24" s="1"/>
  <c r="L122" i="39"/>
  <c r="AA82" i="53" l="1"/>
  <c r="Q83" i="53"/>
  <c r="U83" i="53" s="1"/>
  <c r="BY139" i="24" s="1"/>
  <c r="T83" i="53"/>
  <c r="V83" i="53"/>
  <c r="N166" i="44"/>
  <c r="O166" i="44"/>
  <c r="CM34" i="24"/>
  <c r="CM35" i="24" s="1"/>
  <c r="B167" i="44"/>
  <c r="C168" i="44"/>
  <c r="B197" i="39"/>
  <c r="N197" i="39"/>
  <c r="C198" i="39"/>
  <c r="CL32" i="24"/>
  <c r="K122" i="39"/>
  <c r="M122" i="39"/>
  <c r="S83" i="53" l="1"/>
  <c r="BY137" i="24"/>
  <c r="Z83" i="53"/>
  <c r="X83" i="53"/>
  <c r="Y83" i="53"/>
  <c r="R84" i="53"/>
  <c r="BZ138" i="24" s="1"/>
  <c r="N84" i="53"/>
  <c r="N167" i="44"/>
  <c r="O167" i="44"/>
  <c r="B168" i="44"/>
  <c r="C169" i="44"/>
  <c r="C199" i="39"/>
  <c r="B198" i="39"/>
  <c r="N198" i="39"/>
  <c r="CN33" i="24"/>
  <c r="CM36" i="24"/>
  <c r="CM37" i="24" s="1"/>
  <c r="CM4" i="24" s="1"/>
  <c r="J123" i="39"/>
  <c r="I123" i="39" s="1"/>
  <c r="G123" i="39"/>
  <c r="AA83" i="53" l="1"/>
  <c r="Q84" i="53"/>
  <c r="T84" i="53"/>
  <c r="V84" i="53"/>
  <c r="N168" i="44"/>
  <c r="O168" i="44"/>
  <c r="N199" i="39"/>
  <c r="C200" i="39"/>
  <c r="B199" i="39"/>
  <c r="C170" i="44"/>
  <c r="B169" i="44"/>
  <c r="CN34" i="24"/>
  <c r="CN35" i="24" s="1"/>
  <c r="CM32" i="24"/>
  <c r="L123" i="39"/>
  <c r="S84" i="53" l="1"/>
  <c r="BZ137" i="24"/>
  <c r="U84" i="53"/>
  <c r="BZ139" i="24" s="1"/>
  <c r="N169" i="44"/>
  <c r="O169" i="44"/>
  <c r="CO33" i="24"/>
  <c r="CN36" i="24"/>
  <c r="CN37" i="24" s="1"/>
  <c r="CN4" i="24" s="1"/>
  <c r="N200" i="39"/>
  <c r="B200" i="39"/>
  <c r="C201" i="39"/>
  <c r="C171" i="44"/>
  <c r="B170" i="44"/>
  <c r="M123" i="39"/>
  <c r="K123" i="39"/>
  <c r="Z84" i="53" l="1"/>
  <c r="Y84" i="53"/>
  <c r="X84" i="53"/>
  <c r="N85" i="53"/>
  <c r="R85" i="53"/>
  <c r="CA138" i="24" s="1"/>
  <c r="N170" i="44"/>
  <c r="O170" i="44"/>
  <c r="C172" i="44"/>
  <c r="B171" i="44"/>
  <c r="B201" i="39"/>
  <c r="C202" i="39"/>
  <c r="N201" i="39"/>
  <c r="CO34" i="24"/>
  <c r="CN32" i="24"/>
  <c r="G124" i="39"/>
  <c r="J124" i="39"/>
  <c r="I124" i="39" s="1"/>
  <c r="AA84" i="53" l="1"/>
  <c r="V85" i="53"/>
  <c r="Q85" i="53"/>
  <c r="T85" i="53"/>
  <c r="N171" i="44"/>
  <c r="O171" i="44"/>
  <c r="C173" i="44"/>
  <c r="B172" i="44"/>
  <c r="C203" i="39"/>
  <c r="N202" i="39"/>
  <c r="B202" i="39"/>
  <c r="CP33" i="24"/>
  <c r="CO36" i="24"/>
  <c r="CO37" i="24" s="1"/>
  <c r="CO4" i="24" s="1"/>
  <c r="CO35" i="24"/>
  <c r="M124" i="39"/>
  <c r="L124" i="39"/>
  <c r="S85" i="53" l="1"/>
  <c r="CA137" i="24"/>
  <c r="U85" i="53"/>
  <c r="CA139" i="24" s="1"/>
  <c r="N172" i="44"/>
  <c r="O172" i="44"/>
  <c r="CO32" i="24"/>
  <c r="CP34" i="24"/>
  <c r="C204" i="39"/>
  <c r="B203" i="39"/>
  <c r="N203" i="39"/>
  <c r="C174" i="44"/>
  <c r="B173" i="44"/>
  <c r="G125" i="39"/>
  <c r="J125" i="39"/>
  <c r="I125" i="39" s="1"/>
  <c r="K124" i="39"/>
  <c r="Y85" i="53" l="1"/>
  <c r="Z85" i="53"/>
  <c r="X85" i="53"/>
  <c r="R86" i="53"/>
  <c r="CB138" i="24" s="1"/>
  <c r="N86" i="53"/>
  <c r="N173" i="44"/>
  <c r="O173" i="44"/>
  <c r="CQ33" i="24"/>
  <c r="CP36" i="24"/>
  <c r="CP37" i="24" s="1"/>
  <c r="CP4" i="24" s="1"/>
  <c r="C175" i="44"/>
  <c r="B174" i="44"/>
  <c r="N204" i="39"/>
  <c r="C205" i="39"/>
  <c r="B204" i="39"/>
  <c r="CP35" i="24"/>
  <c r="K125" i="39"/>
  <c r="L125" i="39"/>
  <c r="AA85" i="53" l="1"/>
  <c r="Q86" i="53"/>
  <c r="CB137" i="24" s="1"/>
  <c r="T86" i="53"/>
  <c r="V86" i="53"/>
  <c r="AE26" i="53"/>
  <c r="CP32" i="24"/>
  <c r="N174" i="44"/>
  <c r="O174" i="44"/>
  <c r="C206" i="39"/>
  <c r="B205" i="39"/>
  <c r="N205" i="39"/>
  <c r="CQ34" i="24"/>
  <c r="B175" i="44"/>
  <c r="C176" i="44"/>
  <c r="M125" i="39"/>
  <c r="G126" i="39" s="1"/>
  <c r="U86" i="53" l="1"/>
  <c r="CB139" i="24" s="1"/>
  <c r="Z86" i="53"/>
  <c r="Y86" i="53"/>
  <c r="X86" i="53"/>
  <c r="R87" i="53"/>
  <c r="CC138" i="24" s="1"/>
  <c r="N87" i="53"/>
  <c r="S86" i="53"/>
  <c r="N175" i="44"/>
  <c r="O175" i="44"/>
  <c r="CR33" i="24"/>
  <c r="CQ36" i="24"/>
  <c r="CQ37" i="24" s="1"/>
  <c r="CQ4" i="24" s="1"/>
  <c r="B176" i="44"/>
  <c r="C177" i="44"/>
  <c r="CQ35" i="24"/>
  <c r="B206" i="39"/>
  <c r="N206" i="39"/>
  <c r="C207" i="39"/>
  <c r="J126" i="39"/>
  <c r="I126" i="39" s="1"/>
  <c r="K126" i="39" s="1"/>
  <c r="Q87" i="53" l="1"/>
  <c r="CC137" i="24" s="1"/>
  <c r="T87" i="53"/>
  <c r="AA86" i="53"/>
  <c r="U87" i="53"/>
  <c r="CC139" i="24" s="1"/>
  <c r="V87" i="53"/>
  <c r="CQ32" i="24"/>
  <c r="N176" i="44"/>
  <c r="O176" i="44"/>
  <c r="C208" i="39"/>
  <c r="B207" i="39"/>
  <c r="N207" i="39"/>
  <c r="B177" i="44"/>
  <c r="C178" i="44"/>
  <c r="CR34" i="24"/>
  <c r="CR35" i="24" s="1"/>
  <c r="L126" i="39"/>
  <c r="M126" i="39"/>
  <c r="G127" i="39" s="1"/>
  <c r="X87" i="53" l="1"/>
  <c r="Y87" i="53"/>
  <c r="Z87" i="53"/>
  <c r="R88" i="53"/>
  <c r="CD138" i="24" s="1"/>
  <c r="N88" i="53"/>
  <c r="S87" i="53"/>
  <c r="N177" i="44"/>
  <c r="O177" i="44"/>
  <c r="CS33" i="24"/>
  <c r="CR36" i="24"/>
  <c r="CR37" i="24" s="1"/>
  <c r="CR4" i="24" s="1"/>
  <c r="B178" i="44"/>
  <c r="C179" i="44"/>
  <c r="N208" i="39"/>
  <c r="C209" i="39"/>
  <c r="B208" i="39"/>
  <c r="J127" i="39"/>
  <c r="I127" i="39" s="1"/>
  <c r="K127" i="39" s="1"/>
  <c r="Q88" i="53" l="1"/>
  <c r="CD137" i="24" s="1"/>
  <c r="T88" i="53"/>
  <c r="V88" i="53"/>
  <c r="AA87" i="53"/>
  <c r="N178" i="44"/>
  <c r="O178" i="44"/>
  <c r="B179" i="44"/>
  <c r="C180" i="44"/>
  <c r="B209" i="39"/>
  <c r="N209" i="39"/>
  <c r="C210" i="39"/>
  <c r="CS34" i="24"/>
  <c r="CS35" i="24" s="1"/>
  <c r="CR32" i="24"/>
  <c r="L127" i="39"/>
  <c r="M127" i="39"/>
  <c r="J128" i="39" s="1"/>
  <c r="I128" i="39" s="1"/>
  <c r="U88" i="53" l="1"/>
  <c r="CD139" i="24" s="1"/>
  <c r="Y88" i="53"/>
  <c r="X88" i="53"/>
  <c r="Z88" i="53"/>
  <c r="N89" i="53"/>
  <c r="S88" i="53"/>
  <c r="N179" i="44"/>
  <c r="O179" i="44"/>
  <c r="N210" i="39"/>
  <c r="B210" i="39"/>
  <c r="C211" i="39"/>
  <c r="CT33" i="24"/>
  <c r="CS36" i="24"/>
  <c r="CS37" i="24" s="1"/>
  <c r="CS4" i="24" s="1"/>
  <c r="B180" i="44"/>
  <c r="C181" i="44"/>
  <c r="G128" i="39"/>
  <c r="K128" i="39"/>
  <c r="L128" i="39"/>
  <c r="R89" i="53" l="1"/>
  <c r="CE138" i="24" s="1"/>
  <c r="Q89" i="53"/>
  <c r="CE137" i="24" s="1"/>
  <c r="T89" i="53"/>
  <c r="AA88" i="53"/>
  <c r="U89" i="53"/>
  <c r="CE139" i="24" s="1"/>
  <c r="V89" i="53"/>
  <c r="N180" i="44"/>
  <c r="O180" i="44"/>
  <c r="CT34" i="24"/>
  <c r="CT35" i="24" s="1"/>
  <c r="B211" i="39"/>
  <c r="C212" i="39"/>
  <c r="N211" i="39"/>
  <c r="B181" i="44"/>
  <c r="C182" i="44"/>
  <c r="CS32" i="24"/>
  <c r="M128" i="39"/>
  <c r="Y89" i="53" l="1"/>
  <c r="Z89" i="53"/>
  <c r="X89" i="53"/>
  <c r="N90" i="53"/>
  <c r="R90" i="53"/>
  <c r="CF138" i="24" s="1"/>
  <c r="S89" i="53"/>
  <c r="N181" i="44"/>
  <c r="O181" i="44"/>
  <c r="B182" i="44"/>
  <c r="C183" i="44"/>
  <c r="C213" i="39"/>
  <c r="B212" i="39"/>
  <c r="N212" i="39"/>
  <c r="CU33" i="24"/>
  <c r="CT36" i="24"/>
  <c r="CT37" i="24" s="1"/>
  <c r="CT4" i="24" s="1"/>
  <c r="J129" i="39"/>
  <c r="I129" i="39" s="1"/>
  <c r="G129" i="39"/>
  <c r="AA89" i="53" l="1"/>
  <c r="V90" i="53"/>
  <c r="Q90" i="53"/>
  <c r="T90" i="53"/>
  <c r="N182" i="44"/>
  <c r="O182" i="44"/>
  <c r="CU34" i="24"/>
  <c r="CU35" i="24" s="1"/>
  <c r="B183" i="44"/>
  <c r="C184" i="44"/>
  <c r="C214" i="39"/>
  <c r="N213" i="39"/>
  <c r="B213" i="39"/>
  <c r="CT32" i="24"/>
  <c r="K129" i="39"/>
  <c r="L129" i="39"/>
  <c r="U90" i="53" l="1"/>
  <c r="CF139" i="24" s="1"/>
  <c r="CF137" i="24"/>
  <c r="X90" i="53"/>
  <c r="Y90" i="53"/>
  <c r="Z90" i="53"/>
  <c r="R91" i="53"/>
  <c r="CG138" i="24" s="1"/>
  <c r="N91" i="53"/>
  <c r="S90" i="53"/>
  <c r="N183" i="44"/>
  <c r="O183" i="44"/>
  <c r="B214" i="39"/>
  <c r="N214" i="39"/>
  <c r="C215" i="39"/>
  <c r="B184" i="44"/>
  <c r="C185" i="44"/>
  <c r="CV33" i="24"/>
  <c r="CU36" i="24"/>
  <c r="CU37" i="24" s="1"/>
  <c r="CU4" i="24" s="1"/>
  <c r="M129" i="39"/>
  <c r="AA90" i="53" l="1"/>
  <c r="Q91" i="53"/>
  <c r="U91" i="53" s="1"/>
  <c r="CG139" i="24" s="1"/>
  <c r="T91" i="53"/>
  <c r="V91" i="53"/>
  <c r="N184" i="44"/>
  <c r="O184" i="44"/>
  <c r="CV34" i="24"/>
  <c r="CV35" i="24" s="1"/>
  <c r="C216" i="39"/>
  <c r="B215" i="39"/>
  <c r="N215" i="39"/>
  <c r="B185" i="44"/>
  <c r="C186" i="44"/>
  <c r="CU32" i="24"/>
  <c r="J130" i="39"/>
  <c r="I130" i="39" s="1"/>
  <c r="G130" i="39"/>
  <c r="S91" i="53" l="1"/>
  <c r="CG137" i="24"/>
  <c r="Z91" i="53"/>
  <c r="X91" i="53"/>
  <c r="Y91" i="53"/>
  <c r="N92" i="53"/>
  <c r="R92" i="53"/>
  <c r="CH138" i="24" s="1"/>
  <c r="N185" i="44"/>
  <c r="O185" i="44"/>
  <c r="B186" i="44"/>
  <c r="C187" i="44"/>
  <c r="B216" i="39"/>
  <c r="N216" i="39"/>
  <c r="C217" i="39"/>
  <c r="CW33" i="24"/>
  <c r="CV36" i="24"/>
  <c r="CV37" i="24" s="1"/>
  <c r="CV4" i="24" s="1"/>
  <c r="K130" i="39"/>
  <c r="L130" i="39"/>
  <c r="V92" i="53" l="1"/>
  <c r="AA91" i="53"/>
  <c r="Q92" i="53"/>
  <c r="T92" i="53"/>
  <c r="N186" i="44"/>
  <c r="O186" i="44"/>
  <c r="CW34" i="24"/>
  <c r="CW35" i="24" s="1"/>
  <c r="C218" i="39"/>
  <c r="B217" i="39"/>
  <c r="N217" i="39"/>
  <c r="B187" i="44"/>
  <c r="C188" i="44"/>
  <c r="CV32" i="24"/>
  <c r="M130" i="39"/>
  <c r="S92" i="53" l="1"/>
  <c r="CH137" i="24"/>
  <c r="U92" i="53"/>
  <c r="CH139" i="24" s="1"/>
  <c r="N187" i="44"/>
  <c r="O187" i="44"/>
  <c r="C219" i="39"/>
  <c r="B218" i="39"/>
  <c r="N218" i="39"/>
  <c r="B188" i="44"/>
  <c r="C189" i="44"/>
  <c r="CX33" i="24"/>
  <c r="CW36" i="24"/>
  <c r="CW37" i="24" s="1"/>
  <c r="CW4" i="24" s="1"/>
  <c r="J131" i="39"/>
  <c r="I131" i="39" s="1"/>
  <c r="G131" i="39"/>
  <c r="Z92" i="53" l="1"/>
  <c r="Y92" i="53"/>
  <c r="X92" i="53"/>
  <c r="N93" i="53"/>
  <c r="R93" i="53"/>
  <c r="CI138" i="24" s="1"/>
  <c r="N188" i="44"/>
  <c r="O188" i="44"/>
  <c r="CX34" i="24"/>
  <c r="CX35" i="24" s="1"/>
  <c r="B189" i="44"/>
  <c r="C190" i="44"/>
  <c r="N219" i="39"/>
  <c r="C220" i="39"/>
  <c r="B219" i="39"/>
  <c r="CW32" i="24"/>
  <c r="K131" i="39"/>
  <c r="L131" i="39"/>
  <c r="AA92" i="53" l="1"/>
  <c r="V93" i="53"/>
  <c r="Q93" i="53"/>
  <c r="T93" i="53"/>
  <c r="N189" i="44"/>
  <c r="O189" i="44"/>
  <c r="B190" i="44"/>
  <c r="C191" i="44"/>
  <c r="C221" i="39"/>
  <c r="B220" i="39"/>
  <c r="N220" i="39"/>
  <c r="CY33" i="24"/>
  <c r="CX36" i="24"/>
  <c r="CX37" i="24" s="1"/>
  <c r="CX4" i="24" s="1"/>
  <c r="M131" i="39"/>
  <c r="S93" i="53" l="1"/>
  <c r="CI137" i="24"/>
  <c r="U93" i="53"/>
  <c r="CI139" i="24" s="1"/>
  <c r="N190" i="44"/>
  <c r="O190" i="44"/>
  <c r="CY34" i="24"/>
  <c r="CY35" i="24" s="1"/>
  <c r="N221" i="39"/>
  <c r="C222" i="39"/>
  <c r="B221" i="39"/>
  <c r="B191" i="44"/>
  <c r="C192" i="44"/>
  <c r="CX32" i="24"/>
  <c r="G132" i="39"/>
  <c r="J132" i="39"/>
  <c r="I132" i="39" s="1"/>
  <c r="Z93" i="53" l="1"/>
  <c r="X93" i="53"/>
  <c r="Y93" i="53"/>
  <c r="R94" i="53"/>
  <c r="CJ138" i="24" s="1"/>
  <c r="N94" i="53"/>
  <c r="N191" i="44"/>
  <c r="O191" i="44"/>
  <c r="B222" i="39"/>
  <c r="C223" i="39"/>
  <c r="N222" i="39"/>
  <c r="B192" i="44"/>
  <c r="C193" i="44"/>
  <c r="CZ33" i="24"/>
  <c r="CZ34" i="24" s="1"/>
  <c r="CY36" i="24"/>
  <c r="CY37" i="24" s="1"/>
  <c r="CY4" i="24" s="1"/>
  <c r="K132" i="39"/>
  <c r="L132" i="39"/>
  <c r="AA93" i="53" l="1"/>
  <c r="Q94" i="53"/>
  <c r="U94" i="53" s="1"/>
  <c r="CJ139" i="24" s="1"/>
  <c r="T94" i="53"/>
  <c r="V94" i="53"/>
  <c r="N192" i="44"/>
  <c r="O192" i="44"/>
  <c r="CZ35" i="24"/>
  <c r="DA33" i="24"/>
  <c r="DA34" i="24" s="1"/>
  <c r="CZ36" i="24"/>
  <c r="CZ37" i="24" s="1"/>
  <c r="CZ4" i="24" s="1"/>
  <c r="C28" i="15" s="1"/>
  <c r="D28" i="15" s="1"/>
  <c r="B223" i="39"/>
  <c r="N223" i="39"/>
  <c r="C224" i="39"/>
  <c r="B193" i="44"/>
  <c r="C194" i="44"/>
  <c r="CY32" i="24"/>
  <c r="M132" i="39"/>
  <c r="J133" i="39" s="1"/>
  <c r="I133" i="39" s="1"/>
  <c r="S94" i="53" l="1"/>
  <c r="CJ137" i="24"/>
  <c r="Z94" i="53"/>
  <c r="X94" i="53"/>
  <c r="Y94" i="53"/>
  <c r="N95" i="53"/>
  <c r="R95" i="53"/>
  <c r="CK138" i="24" s="1"/>
  <c r="N193" i="44"/>
  <c r="O193" i="44"/>
  <c r="H33" i="55"/>
  <c r="CZ32" i="24"/>
  <c r="C195" i="44"/>
  <c r="B194" i="44"/>
  <c r="C225" i="39"/>
  <c r="B224" i="39"/>
  <c r="N224" i="39"/>
  <c r="DA35" i="24"/>
  <c r="DA36" i="24"/>
  <c r="DA37" i="24" s="1"/>
  <c r="DB33" i="24"/>
  <c r="DB34" i="24" s="1"/>
  <c r="G133" i="39"/>
  <c r="K133" i="39"/>
  <c r="L133" i="39"/>
  <c r="AA94" i="53" l="1"/>
  <c r="V95" i="53"/>
  <c r="Q95" i="53"/>
  <c r="T95" i="53"/>
  <c r="N194" i="44"/>
  <c r="O194" i="44"/>
  <c r="DA32" i="24"/>
  <c r="C196" i="44"/>
  <c r="B195" i="44"/>
  <c r="DB35" i="24"/>
  <c r="DB36" i="24"/>
  <c r="DB37" i="24" s="1"/>
  <c r="DC33" i="24"/>
  <c r="DC34" i="24" s="1"/>
  <c r="C226" i="39"/>
  <c r="N225" i="39"/>
  <c r="B225" i="39"/>
  <c r="M133" i="39"/>
  <c r="S95" i="53" l="1"/>
  <c r="CK137" i="24"/>
  <c r="U95" i="53"/>
  <c r="CK139" i="24" s="1"/>
  <c r="N195" i="44"/>
  <c r="O195" i="44"/>
  <c r="DB32" i="24"/>
  <c r="B196" i="44"/>
  <c r="C197" i="44"/>
  <c r="DC35" i="24"/>
  <c r="DC36" i="24"/>
  <c r="DC37" i="24" s="1"/>
  <c r="DD33" i="24"/>
  <c r="DD34" i="24" s="1"/>
  <c r="C227" i="39"/>
  <c r="B226" i="39"/>
  <c r="N226" i="39"/>
  <c r="G134" i="39"/>
  <c r="J134" i="39"/>
  <c r="I134" i="39" s="1"/>
  <c r="Z95" i="53" l="1"/>
  <c r="X95" i="53"/>
  <c r="Y95" i="53"/>
  <c r="R96" i="53"/>
  <c r="CL138" i="24" s="1"/>
  <c r="N96" i="53"/>
  <c r="N196" i="44"/>
  <c r="O196" i="44"/>
  <c r="N227" i="39"/>
  <c r="C228" i="39"/>
  <c r="B227" i="39"/>
  <c r="B197" i="44"/>
  <c r="C198" i="44"/>
  <c r="DD35" i="24"/>
  <c r="DE33" i="24"/>
  <c r="DE34" i="24" s="1"/>
  <c r="DD36" i="24"/>
  <c r="DD37" i="24" s="1"/>
  <c r="DC32" i="24"/>
  <c r="L134" i="39"/>
  <c r="AA95" i="53" l="1"/>
  <c r="Q96" i="53"/>
  <c r="U96" i="53" s="1"/>
  <c r="CL139" i="24" s="1"/>
  <c r="T96" i="53"/>
  <c r="V96" i="53"/>
  <c r="N197" i="44"/>
  <c r="O197" i="44"/>
  <c r="DD32" i="24"/>
  <c r="DE35" i="24"/>
  <c r="DE36" i="24"/>
  <c r="DE37" i="24" s="1"/>
  <c r="DF33" i="24"/>
  <c r="DF34" i="24" s="1"/>
  <c r="B228" i="39"/>
  <c r="N228" i="39"/>
  <c r="C229" i="39"/>
  <c r="B198" i="44"/>
  <c r="C199" i="44"/>
  <c r="M134" i="39"/>
  <c r="K134" i="39"/>
  <c r="S96" i="53" l="1"/>
  <c r="CL137" i="24"/>
  <c r="Y96" i="53"/>
  <c r="Z96" i="53"/>
  <c r="X96" i="53"/>
  <c r="N97" i="53"/>
  <c r="R97" i="53"/>
  <c r="CM138" i="24" s="1"/>
  <c r="N198" i="44"/>
  <c r="O198" i="44"/>
  <c r="DE32" i="24"/>
  <c r="DF35" i="24"/>
  <c r="DF36" i="24"/>
  <c r="DF37" i="24" s="1"/>
  <c r="DG33" i="24"/>
  <c r="DG34" i="24" s="1"/>
  <c r="B199" i="44"/>
  <c r="C200" i="44"/>
  <c r="B229" i="39"/>
  <c r="C230" i="39"/>
  <c r="N229" i="39"/>
  <c r="J135" i="39"/>
  <c r="I135" i="39" s="1"/>
  <c r="G135" i="39"/>
  <c r="AA96" i="53" l="1"/>
  <c r="V97" i="53"/>
  <c r="Q97" i="53"/>
  <c r="T97" i="53"/>
  <c r="N199" i="44"/>
  <c r="O199" i="44"/>
  <c r="C231" i="39"/>
  <c r="B230" i="39"/>
  <c r="N230" i="39"/>
  <c r="B200" i="44"/>
  <c r="C201" i="44"/>
  <c r="DG35" i="24"/>
  <c r="DG36" i="24"/>
  <c r="DG37" i="24" s="1"/>
  <c r="DH33" i="24"/>
  <c r="DH34" i="24" s="1"/>
  <c r="DF32" i="24"/>
  <c r="K135" i="39"/>
  <c r="L135" i="39"/>
  <c r="S97" i="53" l="1"/>
  <c r="CM137" i="24"/>
  <c r="U97" i="53"/>
  <c r="CM139" i="24" s="1"/>
  <c r="N200" i="44"/>
  <c r="O200" i="44"/>
  <c r="DG32" i="24"/>
  <c r="DH35" i="24"/>
  <c r="DH36" i="24"/>
  <c r="DH37" i="24" s="1"/>
  <c r="DI33" i="24"/>
  <c r="DI34" i="24" s="1"/>
  <c r="N231" i="39"/>
  <c r="C232" i="39"/>
  <c r="B231" i="39"/>
  <c r="B201" i="44"/>
  <c r="C202" i="44"/>
  <c r="M135" i="39"/>
  <c r="Z97" i="53" l="1"/>
  <c r="Y97" i="53"/>
  <c r="X97" i="53"/>
  <c r="R98" i="53"/>
  <c r="CN138" i="24" s="1"/>
  <c r="N98" i="53"/>
  <c r="N201" i="44"/>
  <c r="O201" i="44"/>
  <c r="DH32" i="24"/>
  <c r="C233" i="39"/>
  <c r="B232" i="39"/>
  <c r="N232" i="39"/>
  <c r="DI35" i="24"/>
  <c r="DJ33" i="24"/>
  <c r="DJ34" i="24" s="1"/>
  <c r="DI36" i="24"/>
  <c r="DI37" i="24" s="1"/>
  <c r="B202" i="44"/>
  <c r="C203" i="44"/>
  <c r="J136" i="39"/>
  <c r="I136" i="39" s="1"/>
  <c r="G136" i="39"/>
  <c r="AA97" i="53" l="1"/>
  <c r="Q98" i="53"/>
  <c r="CN137" i="24" s="1"/>
  <c r="T98" i="53"/>
  <c r="V98" i="53"/>
  <c r="AE27" i="53"/>
  <c r="N202" i="44"/>
  <c r="O202" i="44"/>
  <c r="DJ35" i="24"/>
  <c r="DK33" i="24"/>
  <c r="DK34" i="24" s="1"/>
  <c r="DJ36" i="24"/>
  <c r="DJ37" i="24" s="1"/>
  <c r="C234" i="39"/>
  <c r="N233" i="39"/>
  <c r="B233" i="39"/>
  <c r="DI32" i="24"/>
  <c r="B203" i="44"/>
  <c r="C204" i="44"/>
  <c r="K136" i="39"/>
  <c r="L136" i="39"/>
  <c r="U98" i="53" l="1"/>
  <c r="CN139" i="24" s="1"/>
  <c r="Z98" i="53"/>
  <c r="X98" i="53"/>
  <c r="Y98" i="53"/>
  <c r="N99" i="53"/>
  <c r="S98" i="53"/>
  <c r="N203" i="44"/>
  <c r="O203" i="44"/>
  <c r="DJ32" i="24"/>
  <c r="B204" i="44"/>
  <c r="C205" i="44"/>
  <c r="B234" i="39"/>
  <c r="N234" i="39"/>
  <c r="C235" i="39"/>
  <c r="DK35" i="24"/>
  <c r="DL33" i="24"/>
  <c r="DK36" i="24"/>
  <c r="DK37" i="24" s="1"/>
  <c r="M136" i="39"/>
  <c r="R99" i="53" l="1"/>
  <c r="CO138" i="24" s="1"/>
  <c r="V99" i="53"/>
  <c r="AA98" i="53"/>
  <c r="Q99" i="53"/>
  <c r="CO137" i="24" s="1"/>
  <c r="T99" i="53"/>
  <c r="N204" i="44"/>
  <c r="O204" i="44"/>
  <c r="DK32" i="24"/>
  <c r="B235" i="39"/>
  <c r="N235" i="39"/>
  <c r="C236" i="39"/>
  <c r="DL34" i="24"/>
  <c r="DL35" i="24" s="1"/>
  <c r="B205" i="44"/>
  <c r="C206" i="44"/>
  <c r="G137" i="39"/>
  <c r="J137" i="39"/>
  <c r="I137" i="39" s="1"/>
  <c r="S99" i="53" l="1"/>
  <c r="U99" i="53"/>
  <c r="CO139" i="24" s="1"/>
  <c r="N205" i="44"/>
  <c r="O205" i="44"/>
  <c r="DM33" i="24"/>
  <c r="DM34" i="24" s="1"/>
  <c r="DL36" i="24"/>
  <c r="DL37" i="24" s="1"/>
  <c r="B236" i="39"/>
  <c r="N236" i="39"/>
  <c r="C237" i="39"/>
  <c r="B206" i="44"/>
  <c r="C207" i="44"/>
  <c r="L137" i="39"/>
  <c r="K137" i="39"/>
  <c r="Y99" i="53" l="1"/>
  <c r="Z99" i="53"/>
  <c r="X99" i="53"/>
  <c r="R100" i="53"/>
  <c r="CP138" i="24" s="1"/>
  <c r="N100" i="53"/>
  <c r="N206" i="44"/>
  <c r="O206" i="44"/>
  <c r="DM35" i="24"/>
  <c r="DM36" i="24"/>
  <c r="DM37" i="24" s="1"/>
  <c r="DN33" i="24"/>
  <c r="DN34" i="24" s="1"/>
  <c r="C238" i="39"/>
  <c r="N237" i="39"/>
  <c r="B237" i="39"/>
  <c r="B207" i="44"/>
  <c r="C208" i="44"/>
  <c r="DL32" i="24"/>
  <c r="M137" i="39"/>
  <c r="Q100" i="53" l="1"/>
  <c r="CP137" i="24" s="1"/>
  <c r="T100" i="53"/>
  <c r="AA99" i="53"/>
  <c r="U100" i="53"/>
  <c r="CP139" i="24" s="1"/>
  <c r="V100" i="53"/>
  <c r="N207" i="44"/>
  <c r="O207" i="44"/>
  <c r="DM32" i="24"/>
  <c r="DN35" i="24"/>
  <c r="DO33" i="24"/>
  <c r="DO34" i="24" s="1"/>
  <c r="DN36" i="24"/>
  <c r="DN37" i="24" s="1"/>
  <c r="B208" i="44"/>
  <c r="C209" i="44"/>
  <c r="C239" i="39"/>
  <c r="B238" i="39"/>
  <c r="N238" i="39"/>
  <c r="G138" i="39"/>
  <c r="J138" i="39"/>
  <c r="I138" i="39" s="1"/>
  <c r="Y100" i="53" l="1"/>
  <c r="X100" i="53"/>
  <c r="Z100" i="53"/>
  <c r="R101" i="53"/>
  <c r="CQ138" i="24" s="1"/>
  <c r="N101" i="53"/>
  <c r="S100" i="53"/>
  <c r="N208" i="44"/>
  <c r="O208" i="44"/>
  <c r="B209" i="44"/>
  <c r="C210" i="44"/>
  <c r="DO35" i="24"/>
  <c r="DP33" i="24"/>
  <c r="DP34" i="24" s="1"/>
  <c r="DO36" i="24"/>
  <c r="DO37" i="24" s="1"/>
  <c r="C240" i="39"/>
  <c r="B239" i="39"/>
  <c r="N239" i="39"/>
  <c r="DN32" i="24"/>
  <c r="K138" i="39"/>
  <c r="L138" i="39"/>
  <c r="Q101" i="53" l="1"/>
  <c r="CQ137" i="24" s="1"/>
  <c r="T101" i="53"/>
  <c r="AA100" i="53"/>
  <c r="U101" i="53"/>
  <c r="CQ139" i="24" s="1"/>
  <c r="V101" i="53"/>
  <c r="N209" i="44"/>
  <c r="O209" i="44"/>
  <c r="DO32" i="24"/>
  <c r="B240" i="39"/>
  <c r="N240" i="39"/>
  <c r="C241" i="39"/>
  <c r="C211" i="44"/>
  <c r="B210" i="44"/>
  <c r="DP35" i="24"/>
  <c r="DQ33" i="24"/>
  <c r="DQ34" i="24" s="1"/>
  <c r="DP36" i="24"/>
  <c r="DP37" i="24" s="1"/>
  <c r="M138" i="39"/>
  <c r="G139" i="39" s="1"/>
  <c r="Y101" i="53" l="1"/>
  <c r="Z101" i="53"/>
  <c r="X101" i="53"/>
  <c r="N102" i="53"/>
  <c r="R102" i="53"/>
  <c r="CR138" i="24" s="1"/>
  <c r="S101" i="53"/>
  <c r="N210" i="44"/>
  <c r="O210" i="44"/>
  <c r="DP32" i="24"/>
  <c r="B211" i="44"/>
  <c r="C212" i="44"/>
  <c r="DQ35" i="24"/>
  <c r="DR33" i="24"/>
  <c r="DR34" i="24" s="1"/>
  <c r="DQ36" i="24"/>
  <c r="DQ37" i="24" s="1"/>
  <c r="N241" i="39"/>
  <c r="C242" i="39"/>
  <c r="B241" i="39"/>
  <c r="J139" i="39"/>
  <c r="I139" i="39" s="1"/>
  <c r="K139" i="39" s="1"/>
  <c r="AA101" i="53" l="1"/>
  <c r="V102" i="53"/>
  <c r="Q102" i="53"/>
  <c r="T102" i="53"/>
  <c r="N211" i="44"/>
  <c r="O211" i="44"/>
  <c r="DQ32" i="24"/>
  <c r="B242" i="39"/>
  <c r="C243" i="39"/>
  <c r="N242" i="39"/>
  <c r="B212" i="44"/>
  <c r="C213" i="44"/>
  <c r="DR35" i="24"/>
  <c r="DR36" i="24"/>
  <c r="DR37" i="24" s="1"/>
  <c r="DS33" i="24"/>
  <c r="DS34" i="24" s="1"/>
  <c r="L139" i="39"/>
  <c r="M139" i="39"/>
  <c r="U102" i="53" l="1"/>
  <c r="CR139" i="24" s="1"/>
  <c r="CR137" i="24"/>
  <c r="Z102" i="53"/>
  <c r="X102" i="53"/>
  <c r="Y102" i="53"/>
  <c r="R103" i="53"/>
  <c r="CS138" i="24" s="1"/>
  <c r="N103" i="53"/>
  <c r="S102" i="53"/>
  <c r="N212" i="44"/>
  <c r="O212" i="44"/>
  <c r="DR32" i="24"/>
  <c r="B213" i="44"/>
  <c r="C214" i="44"/>
  <c r="DS35" i="24"/>
  <c r="DT33" i="24"/>
  <c r="DT34" i="24" s="1"/>
  <c r="DS36" i="24"/>
  <c r="DS37" i="24" s="1"/>
  <c r="N243" i="39"/>
  <c r="C244" i="39"/>
  <c r="B243" i="39"/>
  <c r="G140" i="39"/>
  <c r="J140" i="39"/>
  <c r="I140" i="39" s="1"/>
  <c r="AA102" i="53" l="1"/>
  <c r="Q103" i="53"/>
  <c r="U103" i="53" s="1"/>
  <c r="CS139" i="24" s="1"/>
  <c r="T103" i="53"/>
  <c r="V103" i="53"/>
  <c r="N213" i="44"/>
  <c r="O213" i="44"/>
  <c r="DS32" i="24"/>
  <c r="C245" i="39"/>
  <c r="B244" i="39"/>
  <c r="N244" i="39"/>
  <c r="DT35" i="24"/>
  <c r="DU33" i="24"/>
  <c r="DU34" i="24" s="1"/>
  <c r="DT36" i="24"/>
  <c r="DT37" i="24" s="1"/>
  <c r="B214" i="44"/>
  <c r="C215" i="44"/>
  <c r="L140" i="39"/>
  <c r="K140" i="39"/>
  <c r="S103" i="53" l="1"/>
  <c r="CS137" i="24"/>
  <c r="Z103" i="53"/>
  <c r="X103" i="53"/>
  <c r="Y103" i="53"/>
  <c r="R104" i="53"/>
  <c r="CT138" i="24" s="1"/>
  <c r="N104" i="53"/>
  <c r="N214" i="44"/>
  <c r="O214" i="44"/>
  <c r="DT32" i="24"/>
  <c r="B215" i="44"/>
  <c r="C216" i="44"/>
  <c r="DU35" i="24"/>
  <c r="DU36" i="24"/>
  <c r="DU37" i="24" s="1"/>
  <c r="DV33" i="24"/>
  <c r="DV34" i="24" s="1"/>
  <c r="B245" i="39"/>
  <c r="N245" i="39"/>
  <c r="C246" i="39"/>
  <c r="M140" i="39"/>
  <c r="Q104" i="53" l="1"/>
  <c r="T104" i="53"/>
  <c r="AA103" i="53"/>
  <c r="U104" i="53"/>
  <c r="CT139" i="24" s="1"/>
  <c r="V104" i="53"/>
  <c r="N215" i="44"/>
  <c r="O215" i="44"/>
  <c r="DU32" i="24"/>
  <c r="C247" i="39"/>
  <c r="N246" i="39"/>
  <c r="B246" i="39"/>
  <c r="B216" i="44"/>
  <c r="C217" i="44"/>
  <c r="DV35" i="24"/>
  <c r="DV36" i="24"/>
  <c r="DV37" i="24" s="1"/>
  <c r="DW33" i="24"/>
  <c r="DW34" i="24" s="1"/>
  <c r="J141" i="39"/>
  <c r="I141" i="39" s="1"/>
  <c r="G141" i="39"/>
  <c r="S104" i="53" l="1"/>
  <c r="CT137" i="24"/>
  <c r="Y104" i="53"/>
  <c r="X104" i="53"/>
  <c r="Z104" i="53"/>
  <c r="N105" i="53"/>
  <c r="R105" i="53"/>
  <c r="CU138" i="24" s="1"/>
  <c r="N216" i="44"/>
  <c r="O216" i="44"/>
  <c r="DV32" i="24"/>
  <c r="DW35" i="24"/>
  <c r="DX33" i="24"/>
  <c r="DX34" i="24" s="1"/>
  <c r="DW36" i="24"/>
  <c r="DW37" i="24" s="1"/>
  <c r="C218" i="44"/>
  <c r="B217" i="44"/>
  <c r="B247" i="39"/>
  <c r="N247" i="39"/>
  <c r="C248" i="39"/>
  <c r="L141" i="39"/>
  <c r="K141" i="39"/>
  <c r="AA104" i="53" l="1"/>
  <c r="V105" i="53"/>
  <c r="Q105" i="53"/>
  <c r="T105" i="53"/>
  <c r="N217" i="44"/>
  <c r="O217" i="44"/>
  <c r="DW32" i="24"/>
  <c r="DX35" i="24"/>
  <c r="DX36" i="24"/>
  <c r="DX37" i="24" s="1"/>
  <c r="DY33" i="24"/>
  <c r="DY34" i="24" s="1"/>
  <c r="B248" i="39"/>
  <c r="N248" i="39"/>
  <c r="C249" i="39"/>
  <c r="B218" i="44"/>
  <c r="C219" i="44"/>
  <c r="M141" i="39"/>
  <c r="S105" i="53" l="1"/>
  <c r="CU137" i="24"/>
  <c r="U105" i="53"/>
  <c r="CU139" i="24" s="1"/>
  <c r="N218" i="44"/>
  <c r="O218" i="44"/>
  <c r="DX32" i="24"/>
  <c r="B249" i="39"/>
  <c r="N249" i="39"/>
  <c r="C250" i="39"/>
  <c r="DY35" i="24"/>
  <c r="DZ33" i="24"/>
  <c r="DZ34" i="24" s="1"/>
  <c r="DY36" i="24"/>
  <c r="DY37" i="24" s="1"/>
  <c r="C220" i="44"/>
  <c r="B219" i="44"/>
  <c r="G142" i="39"/>
  <c r="J142" i="39"/>
  <c r="I142" i="39" s="1"/>
  <c r="X105" i="53" l="1"/>
  <c r="Y105" i="53"/>
  <c r="Z105" i="53"/>
  <c r="N106" i="53"/>
  <c r="R106" i="53"/>
  <c r="CV138" i="24" s="1"/>
  <c r="N219" i="44"/>
  <c r="O219" i="44"/>
  <c r="DY32" i="24"/>
  <c r="N250" i="39"/>
  <c r="C251" i="39"/>
  <c r="B250" i="39"/>
  <c r="B220" i="44"/>
  <c r="C221" i="44"/>
  <c r="DZ35" i="24"/>
  <c r="EA33" i="24"/>
  <c r="EA34" i="24" s="1"/>
  <c r="DZ36" i="24"/>
  <c r="DZ37" i="24" s="1"/>
  <c r="L142" i="39"/>
  <c r="K142" i="39"/>
  <c r="V106" i="53" l="1"/>
  <c r="Q106" i="53"/>
  <c r="T106" i="53"/>
  <c r="AA105" i="53"/>
  <c r="N220" i="44"/>
  <c r="O220" i="44"/>
  <c r="EA35" i="24"/>
  <c r="EB33" i="24"/>
  <c r="EB34" i="24" s="1"/>
  <c r="EA36" i="24"/>
  <c r="EA37" i="24" s="1"/>
  <c r="B221" i="44"/>
  <c r="C222" i="44"/>
  <c r="DZ32" i="24"/>
  <c r="N251" i="39"/>
  <c r="C252" i="39"/>
  <c r="B251" i="39"/>
  <c r="M142" i="39"/>
  <c r="S106" i="53" l="1"/>
  <c r="CV137" i="24"/>
  <c r="U106" i="53"/>
  <c r="CV139" i="24" s="1"/>
  <c r="N221" i="44"/>
  <c r="O221" i="44"/>
  <c r="EB35" i="24"/>
  <c r="EC33" i="24"/>
  <c r="EC34" i="24" s="1"/>
  <c r="EB36" i="24"/>
  <c r="EB37" i="24" s="1"/>
  <c r="C253" i="39"/>
  <c r="B252" i="39"/>
  <c r="N252" i="39"/>
  <c r="B222" i="44"/>
  <c r="C223" i="44"/>
  <c r="EA32" i="24"/>
  <c r="J143" i="39"/>
  <c r="I143" i="39" s="1"/>
  <c r="G143" i="39"/>
  <c r="Z106" i="53" l="1"/>
  <c r="Y106" i="53"/>
  <c r="X106" i="53"/>
  <c r="R107" i="53"/>
  <c r="CW138" i="24" s="1"/>
  <c r="N107" i="53"/>
  <c r="N222" i="44"/>
  <c r="O222" i="44"/>
  <c r="EB32" i="24"/>
  <c r="B223" i="44"/>
  <c r="C224" i="44"/>
  <c r="B253" i="39"/>
  <c r="N253" i="39"/>
  <c r="C254" i="39"/>
  <c r="EC35" i="24"/>
  <c r="EC36" i="24"/>
  <c r="EC37" i="24" s="1"/>
  <c r="ED33" i="24"/>
  <c r="ED34" i="24" s="1"/>
  <c r="L143" i="39"/>
  <c r="K143" i="39"/>
  <c r="AA106" i="53" l="1"/>
  <c r="Q107" i="53"/>
  <c r="U107" i="53" s="1"/>
  <c r="CW139" i="24" s="1"/>
  <c r="T107" i="53"/>
  <c r="V107" i="53"/>
  <c r="N223" i="44"/>
  <c r="O223" i="44"/>
  <c r="EC32" i="24"/>
  <c r="ED35" i="24"/>
  <c r="ED36" i="24"/>
  <c r="ED37" i="24" s="1"/>
  <c r="EE33" i="24"/>
  <c r="EE34" i="24" s="1"/>
  <c r="B224" i="44"/>
  <c r="C225" i="44"/>
  <c r="C255" i="39"/>
  <c r="B254" i="39"/>
  <c r="N254" i="39"/>
  <c r="M143" i="39"/>
  <c r="S107" i="53" l="1"/>
  <c r="CW137" i="24"/>
  <c r="X107" i="53"/>
  <c r="Z107" i="53"/>
  <c r="Y107" i="53"/>
  <c r="R108" i="53"/>
  <c r="CX138" i="24" s="1"/>
  <c r="N108" i="53"/>
  <c r="N224" i="44"/>
  <c r="O224" i="44"/>
  <c r="ED32" i="24"/>
  <c r="C256" i="39"/>
  <c r="B255" i="39"/>
  <c r="N255" i="39"/>
  <c r="EE35" i="24"/>
  <c r="EE36" i="24"/>
  <c r="EE37" i="24" s="1"/>
  <c r="EF33" i="24"/>
  <c r="EF34" i="24" s="1"/>
  <c r="B225" i="44"/>
  <c r="C226" i="44"/>
  <c r="J144" i="39"/>
  <c r="I144" i="39" s="1"/>
  <c r="G144" i="39"/>
  <c r="Q108" i="53" l="1"/>
  <c r="U108" i="53" s="1"/>
  <c r="CX139" i="24" s="1"/>
  <c r="T108" i="53"/>
  <c r="V108" i="53"/>
  <c r="AA107" i="53"/>
  <c r="N225" i="44"/>
  <c r="O225" i="44"/>
  <c r="EE32" i="24"/>
  <c r="B226" i="44"/>
  <c r="C227" i="44"/>
  <c r="EF35" i="24"/>
  <c r="EF36" i="24"/>
  <c r="EF37" i="24" s="1"/>
  <c r="EG33" i="24"/>
  <c r="EG34" i="24" s="1"/>
  <c r="N256" i="39"/>
  <c r="C257" i="39"/>
  <c r="B256" i="39"/>
  <c r="K144" i="39"/>
  <c r="L144" i="39"/>
  <c r="S108" i="53" l="1"/>
  <c r="CX137" i="24"/>
  <c r="Y108" i="53"/>
  <c r="X108" i="53"/>
  <c r="Z108" i="53"/>
  <c r="N109" i="53"/>
  <c r="R109" i="53"/>
  <c r="CY138" i="24" s="1"/>
  <c r="N226" i="44"/>
  <c r="O226" i="44"/>
  <c r="EF32" i="24"/>
  <c r="EG35" i="24"/>
  <c r="EG36" i="24"/>
  <c r="EG37" i="24" s="1"/>
  <c r="EH33" i="24"/>
  <c r="EH34" i="24" s="1"/>
  <c r="N257" i="39"/>
  <c r="C258" i="39"/>
  <c r="B257" i="39"/>
  <c r="B227" i="44"/>
  <c r="C228" i="44"/>
  <c r="M144" i="39"/>
  <c r="AA108" i="53" l="1"/>
  <c r="V109" i="53"/>
  <c r="Q109" i="53"/>
  <c r="T109" i="53"/>
  <c r="N227" i="44"/>
  <c r="O227" i="44"/>
  <c r="EG32" i="24"/>
  <c r="C229" i="44"/>
  <c r="B228" i="44"/>
  <c r="EH35" i="24"/>
  <c r="EH36" i="24"/>
  <c r="EH37" i="24" s="1"/>
  <c r="EI33" i="24"/>
  <c r="EI34" i="24" s="1"/>
  <c r="B258" i="39"/>
  <c r="N258" i="39"/>
  <c r="C259" i="39"/>
  <c r="J145" i="39"/>
  <c r="I145" i="39" s="1"/>
  <c r="G145" i="39"/>
  <c r="S109" i="53" l="1"/>
  <c r="CY137" i="24"/>
  <c r="U109" i="53"/>
  <c r="CY139" i="24" s="1"/>
  <c r="N228" i="44"/>
  <c r="O228" i="44"/>
  <c r="EH32" i="24"/>
  <c r="EI35" i="24"/>
  <c r="EI36" i="24"/>
  <c r="EI37" i="24" s="1"/>
  <c r="EJ33" i="24"/>
  <c r="EJ34" i="24" s="1"/>
  <c r="N259" i="39"/>
  <c r="C260" i="39"/>
  <c r="B259" i="39"/>
  <c r="B229" i="44"/>
  <c r="C230" i="44"/>
  <c r="L145" i="39"/>
  <c r="X109" i="53" l="1"/>
  <c r="Z109" i="53"/>
  <c r="Y109" i="53"/>
  <c r="R110" i="53"/>
  <c r="CZ138" i="24" s="1"/>
  <c r="N110" i="53"/>
  <c r="N229" i="44"/>
  <c r="O229" i="44"/>
  <c r="C261" i="39"/>
  <c r="B260" i="39"/>
  <c r="N260" i="39"/>
  <c r="EJ35" i="24"/>
  <c r="EJ36" i="24"/>
  <c r="EJ37" i="24" s="1"/>
  <c r="EK33" i="24"/>
  <c r="EK34" i="24" s="1"/>
  <c r="B230" i="44"/>
  <c r="C231" i="44"/>
  <c r="EI32" i="24"/>
  <c r="M145" i="39"/>
  <c r="K145" i="39"/>
  <c r="AA109" i="53" l="1"/>
  <c r="Q110" i="53"/>
  <c r="CZ137" i="24" s="1"/>
  <c r="T110" i="53"/>
  <c r="V110" i="53"/>
  <c r="AE28" i="53"/>
  <c r="N230" i="44"/>
  <c r="O230" i="44"/>
  <c r="EJ32" i="24"/>
  <c r="C232" i="44"/>
  <c r="B231" i="44"/>
  <c r="EK35" i="24"/>
  <c r="EK36" i="24"/>
  <c r="EK37" i="24" s="1"/>
  <c r="EL33" i="24"/>
  <c r="EL34" i="24" s="1"/>
  <c r="N261" i="39"/>
  <c r="C262" i="39"/>
  <c r="B261" i="39"/>
  <c r="G146" i="39"/>
  <c r="J146" i="39"/>
  <c r="I146" i="39" s="1"/>
  <c r="U110" i="53" l="1"/>
  <c r="CZ139" i="24" s="1"/>
  <c r="X110" i="53"/>
  <c r="Y110" i="53"/>
  <c r="Z110" i="53"/>
  <c r="R111" i="53"/>
  <c r="DA138" i="24" s="1"/>
  <c r="N111" i="53"/>
  <c r="S110" i="53"/>
  <c r="N231" i="44"/>
  <c r="O231" i="44"/>
  <c r="EK32" i="24"/>
  <c r="EL35" i="24"/>
  <c r="EL36" i="24"/>
  <c r="EL37" i="24" s="1"/>
  <c r="EM33" i="24"/>
  <c r="EM34" i="24" s="1"/>
  <c r="B232" i="44"/>
  <c r="C233" i="44"/>
  <c r="B262" i="39"/>
  <c r="N262" i="39"/>
  <c r="C263" i="39"/>
  <c r="M146" i="39"/>
  <c r="L146" i="39"/>
  <c r="Q111" i="53" l="1"/>
  <c r="DA137" i="24" s="1"/>
  <c r="T111" i="53"/>
  <c r="V111" i="53"/>
  <c r="AA110" i="53"/>
  <c r="N232" i="44"/>
  <c r="O232" i="44"/>
  <c r="EL32" i="24"/>
  <c r="N263" i="39"/>
  <c r="C264" i="39"/>
  <c r="B263" i="39"/>
  <c r="B233" i="44"/>
  <c r="C234" i="44"/>
  <c r="EM35" i="24"/>
  <c r="EM36" i="24"/>
  <c r="EM37" i="24" s="1"/>
  <c r="EN33" i="24"/>
  <c r="EN34" i="24" s="1"/>
  <c r="G147" i="39"/>
  <c r="J147" i="39"/>
  <c r="I147" i="39" s="1"/>
  <c r="K146" i="39"/>
  <c r="U111" i="53" l="1"/>
  <c r="DA139" i="24" s="1"/>
  <c r="Z111" i="53"/>
  <c r="Y111" i="53"/>
  <c r="X111" i="53"/>
  <c r="N112" i="53"/>
  <c r="S111" i="53"/>
  <c r="N233" i="44"/>
  <c r="O233" i="44"/>
  <c r="EM32" i="24"/>
  <c r="EN35" i="24"/>
  <c r="EO33" i="24"/>
  <c r="EO34" i="24" s="1"/>
  <c r="EN36" i="24"/>
  <c r="EN37" i="24" s="1"/>
  <c r="C265" i="39"/>
  <c r="B264" i="39"/>
  <c r="N264" i="39"/>
  <c r="B234" i="44"/>
  <c r="C235" i="44"/>
  <c r="K147" i="39"/>
  <c r="L147" i="39"/>
  <c r="R112" i="53" l="1"/>
  <c r="DB138" i="24" s="1"/>
  <c r="V112" i="53"/>
  <c r="AA111" i="53"/>
  <c r="Q112" i="53"/>
  <c r="DB137" i="24" s="1"/>
  <c r="T112" i="53"/>
  <c r="N234" i="44"/>
  <c r="O234" i="44"/>
  <c r="B235" i="44"/>
  <c r="C236" i="44"/>
  <c r="EO35" i="24"/>
  <c r="EO36" i="24"/>
  <c r="EO37" i="24" s="1"/>
  <c r="EP33" i="24"/>
  <c r="EP34" i="24" s="1"/>
  <c r="B265" i="39"/>
  <c r="C266" i="39"/>
  <c r="N265" i="39"/>
  <c r="EN32" i="24"/>
  <c r="M147" i="39"/>
  <c r="S112" i="53" l="1"/>
  <c r="U112" i="53"/>
  <c r="DB139" i="24" s="1"/>
  <c r="N235" i="44"/>
  <c r="O235" i="44"/>
  <c r="EO32" i="24"/>
  <c r="EP35" i="24"/>
  <c r="EQ33" i="24"/>
  <c r="EQ34" i="24" s="1"/>
  <c r="EP36" i="24"/>
  <c r="EP37" i="24" s="1"/>
  <c r="B236" i="44"/>
  <c r="C237" i="44"/>
  <c r="C267" i="39"/>
  <c r="B266" i="39"/>
  <c r="N266" i="39"/>
  <c r="J148" i="39"/>
  <c r="I148" i="39" s="1"/>
  <c r="G148" i="39"/>
  <c r="Z112" i="53" l="1"/>
  <c r="Y112" i="53"/>
  <c r="X112" i="53"/>
  <c r="R113" i="53"/>
  <c r="DC138" i="24" s="1"/>
  <c r="N113" i="53"/>
  <c r="N236" i="44"/>
  <c r="O236" i="44"/>
  <c r="EP32" i="24"/>
  <c r="N267" i="39"/>
  <c r="B267" i="39"/>
  <c r="C268" i="39"/>
  <c r="B237" i="44"/>
  <c r="C238" i="44"/>
  <c r="EQ35" i="24"/>
  <c r="EQ36" i="24"/>
  <c r="EQ37" i="24" s="1"/>
  <c r="ER33" i="24"/>
  <c r="ER34" i="24" s="1"/>
  <c r="K148" i="39"/>
  <c r="L148" i="39"/>
  <c r="Q113" i="53" l="1"/>
  <c r="DC137" i="24" s="1"/>
  <c r="T113" i="53"/>
  <c r="AA112" i="53"/>
  <c r="U113" i="53"/>
  <c r="DC139" i="24" s="1"/>
  <c r="V113" i="53"/>
  <c r="N237" i="44"/>
  <c r="O237" i="44"/>
  <c r="EQ32" i="24"/>
  <c r="B238" i="44"/>
  <c r="C239" i="44"/>
  <c r="ER35" i="24"/>
  <c r="ES33" i="24"/>
  <c r="ES34" i="24" s="1"/>
  <c r="ER36" i="24"/>
  <c r="ER37" i="24" s="1"/>
  <c r="B268" i="39"/>
  <c r="C269" i="39"/>
  <c r="N268" i="39"/>
  <c r="M148" i="39"/>
  <c r="Y113" i="53" l="1"/>
  <c r="X113" i="53"/>
  <c r="Z113" i="53"/>
  <c r="R114" i="53"/>
  <c r="DD138" i="24" s="1"/>
  <c r="N114" i="53"/>
  <c r="S113" i="53"/>
  <c r="N238" i="44"/>
  <c r="O238" i="44"/>
  <c r="ES35" i="24"/>
  <c r="ET33" i="24"/>
  <c r="ET34" i="24" s="1"/>
  <c r="ES36" i="24"/>
  <c r="ES37" i="24" s="1"/>
  <c r="B239" i="44"/>
  <c r="C240" i="44"/>
  <c r="ER32" i="24"/>
  <c r="N269" i="39"/>
  <c r="C270" i="39"/>
  <c r="B269" i="39"/>
  <c r="G149" i="39"/>
  <c r="J149" i="39"/>
  <c r="I149" i="39" s="1"/>
  <c r="AA113" i="53" l="1"/>
  <c r="Q114" i="53"/>
  <c r="DD137" i="24" s="1"/>
  <c r="T114" i="53"/>
  <c r="V114" i="53"/>
  <c r="N239" i="44"/>
  <c r="O239" i="44"/>
  <c r="B240" i="44"/>
  <c r="C241" i="44"/>
  <c r="B270" i="39"/>
  <c r="C271" i="39"/>
  <c r="N270" i="39"/>
  <c r="ET35" i="24"/>
  <c r="EU33" i="24"/>
  <c r="EU34" i="24" s="1"/>
  <c r="ET36" i="24"/>
  <c r="ET37" i="24" s="1"/>
  <c r="ES32" i="24"/>
  <c r="L149" i="39"/>
  <c r="U114" i="53" l="1"/>
  <c r="DD139" i="24" s="1"/>
  <c r="Y114" i="53"/>
  <c r="Z114" i="53"/>
  <c r="X114" i="53"/>
  <c r="R115" i="53"/>
  <c r="DE138" i="24" s="1"/>
  <c r="N115" i="53"/>
  <c r="S114" i="53"/>
  <c r="N240" i="44"/>
  <c r="O240" i="44"/>
  <c r="ET32" i="24"/>
  <c r="N271" i="39"/>
  <c r="C272" i="39"/>
  <c r="B271" i="39"/>
  <c r="EU35" i="24"/>
  <c r="EV33" i="24"/>
  <c r="EV34" i="24" s="1"/>
  <c r="EU36" i="24"/>
  <c r="EU37" i="24" s="1"/>
  <c r="B241" i="44"/>
  <c r="C242" i="44"/>
  <c r="M149" i="39"/>
  <c r="K149" i="39"/>
  <c r="AA114" i="53" l="1"/>
  <c r="V115" i="53"/>
  <c r="Q115" i="53"/>
  <c r="T115" i="53"/>
  <c r="N241" i="44"/>
  <c r="O241" i="44"/>
  <c r="EU32" i="24"/>
  <c r="B242" i="44"/>
  <c r="C243" i="44"/>
  <c r="B272" i="39"/>
  <c r="C273" i="39"/>
  <c r="N272" i="39"/>
  <c r="EV35" i="24"/>
  <c r="EV36" i="24"/>
  <c r="EV37" i="24" s="1"/>
  <c r="EW33" i="24"/>
  <c r="EW34" i="24" s="1"/>
  <c r="G150" i="39"/>
  <c r="J150" i="39"/>
  <c r="I150" i="39" s="1"/>
  <c r="S115" i="53" l="1"/>
  <c r="DE137" i="24"/>
  <c r="U115" i="53"/>
  <c r="DE139" i="24" s="1"/>
  <c r="N242" i="44"/>
  <c r="O242" i="44"/>
  <c r="EV32" i="24"/>
  <c r="EW35" i="24"/>
  <c r="EW36" i="24"/>
  <c r="EW37" i="24" s="1"/>
  <c r="EX33" i="24"/>
  <c r="EX34" i="24" s="1"/>
  <c r="B243" i="44"/>
  <c r="C244" i="44"/>
  <c r="B273" i="39"/>
  <c r="N273" i="39"/>
  <c r="C274" i="39"/>
  <c r="K150" i="39"/>
  <c r="L150" i="39"/>
  <c r="X115" i="53" l="1"/>
  <c r="Y115" i="53"/>
  <c r="Z115" i="53"/>
  <c r="N116" i="53"/>
  <c r="R116" i="53"/>
  <c r="DF138" i="24" s="1"/>
  <c r="N243" i="44"/>
  <c r="O243" i="44"/>
  <c r="EW32" i="24"/>
  <c r="B244" i="44"/>
  <c r="C245" i="44"/>
  <c r="EX35" i="24"/>
  <c r="EX36" i="24"/>
  <c r="EX37" i="24" s="1"/>
  <c r="EY33" i="24"/>
  <c r="EY34" i="24" s="1"/>
  <c r="C275" i="39"/>
  <c r="N274" i="39"/>
  <c r="B274" i="39"/>
  <c r="M150" i="39"/>
  <c r="J151" i="39" s="1"/>
  <c r="I151" i="39" s="1"/>
  <c r="V116" i="53" l="1"/>
  <c r="Q116" i="53"/>
  <c r="T116" i="53"/>
  <c r="AA115" i="53"/>
  <c r="N244" i="44"/>
  <c r="O244" i="44"/>
  <c r="EX32" i="24"/>
  <c r="B245" i="44"/>
  <c r="C246" i="44"/>
  <c r="B275" i="39"/>
  <c r="N275" i="39"/>
  <c r="C276" i="39"/>
  <c r="EY35" i="24"/>
  <c r="EY36" i="24"/>
  <c r="EY37" i="24" s="1"/>
  <c r="EZ33" i="24"/>
  <c r="EZ34" i="24" s="1"/>
  <c r="G151" i="39"/>
  <c r="K151" i="39"/>
  <c r="L151" i="39"/>
  <c r="S116" i="53" l="1"/>
  <c r="DF137" i="24"/>
  <c r="U116" i="53"/>
  <c r="DF139" i="24" s="1"/>
  <c r="N245" i="44"/>
  <c r="O245" i="44"/>
  <c r="EY32" i="24"/>
  <c r="EZ35" i="24"/>
  <c r="EZ36" i="24"/>
  <c r="EZ37" i="24" s="1"/>
  <c r="FA33" i="24"/>
  <c r="FA34" i="24" s="1"/>
  <c r="C247" i="44"/>
  <c r="B246" i="44"/>
  <c r="C277" i="39"/>
  <c r="N276" i="39"/>
  <c r="B276" i="39"/>
  <c r="M151" i="39"/>
  <c r="Z116" i="53" l="1"/>
  <c r="X116" i="53"/>
  <c r="Y116" i="53"/>
  <c r="R117" i="53"/>
  <c r="DG138" i="24" s="1"/>
  <c r="N117" i="53"/>
  <c r="N246" i="44"/>
  <c r="O246" i="44"/>
  <c r="N277" i="39"/>
  <c r="C278" i="39"/>
  <c r="B277" i="39"/>
  <c r="FA35" i="24"/>
  <c r="FA36" i="24"/>
  <c r="FA37" i="24" s="1"/>
  <c r="FB33" i="24"/>
  <c r="FB34" i="24" s="1"/>
  <c r="B247" i="44"/>
  <c r="C248" i="44"/>
  <c r="EZ32" i="24"/>
  <c r="J152" i="39"/>
  <c r="I152" i="39" s="1"/>
  <c r="G152" i="39"/>
  <c r="AA116" i="53" l="1"/>
  <c r="Q117" i="53"/>
  <c r="U117" i="53" s="1"/>
  <c r="DG139" i="24" s="1"/>
  <c r="T117" i="53"/>
  <c r="V117" i="53"/>
  <c r="N247" i="44"/>
  <c r="O247" i="44"/>
  <c r="FB35" i="24"/>
  <c r="FC33" i="24"/>
  <c r="FC34" i="24" s="1"/>
  <c r="FB36" i="24"/>
  <c r="FB37" i="24" s="1"/>
  <c r="N278" i="39"/>
  <c r="B278" i="39"/>
  <c r="C279" i="39"/>
  <c r="B248" i="44"/>
  <c r="C249" i="44"/>
  <c r="FA32" i="24"/>
  <c r="K152" i="39"/>
  <c r="L152" i="39"/>
  <c r="S117" i="53" l="1"/>
  <c r="DG137" i="24"/>
  <c r="Y117" i="53"/>
  <c r="X117" i="53"/>
  <c r="Z117" i="53"/>
  <c r="N118" i="53"/>
  <c r="R118" i="53"/>
  <c r="DH138" i="24" s="1"/>
  <c r="N248" i="44"/>
  <c r="O248" i="44"/>
  <c r="B249" i="44"/>
  <c r="C250" i="44"/>
  <c r="B279" i="39"/>
  <c r="N279" i="39"/>
  <c r="C280" i="39"/>
  <c r="FC35" i="24"/>
  <c r="FC36" i="24"/>
  <c r="FC37" i="24" s="1"/>
  <c r="FD33" i="24"/>
  <c r="FD34" i="24" s="1"/>
  <c r="FB32" i="24"/>
  <c r="M152" i="39"/>
  <c r="V118" i="53" l="1"/>
  <c r="AA117" i="53"/>
  <c r="Q118" i="53"/>
  <c r="T118" i="53"/>
  <c r="N249" i="44"/>
  <c r="O249" i="44"/>
  <c r="FD35" i="24"/>
  <c r="FD36" i="24"/>
  <c r="FD37" i="24" s="1"/>
  <c r="FE33" i="24"/>
  <c r="FE34" i="24" s="1"/>
  <c r="B250" i="44"/>
  <c r="C251" i="44"/>
  <c r="FC32" i="24"/>
  <c r="B280" i="39"/>
  <c r="C281" i="39"/>
  <c r="N280" i="39"/>
  <c r="J153" i="39"/>
  <c r="I153" i="39" s="1"/>
  <c r="G153" i="39"/>
  <c r="S118" i="53" l="1"/>
  <c r="DH137" i="24"/>
  <c r="U118" i="53"/>
  <c r="DH139" i="24" s="1"/>
  <c r="N250" i="44"/>
  <c r="O250" i="44"/>
  <c r="C282" i="39"/>
  <c r="B281" i="39"/>
  <c r="N281" i="39"/>
  <c r="FE35" i="24"/>
  <c r="FF33" i="24"/>
  <c r="FF34" i="24" s="1"/>
  <c r="FE36" i="24"/>
  <c r="FE37" i="24" s="1"/>
  <c r="B251" i="44"/>
  <c r="C252" i="44"/>
  <c r="FD32" i="24"/>
  <c r="K153" i="39"/>
  <c r="L153" i="39"/>
  <c r="Z118" i="53" l="1"/>
  <c r="X118" i="53"/>
  <c r="Y118" i="53"/>
  <c r="R119" i="53"/>
  <c r="DI138" i="24" s="1"/>
  <c r="N119" i="53"/>
  <c r="N251" i="44"/>
  <c r="O251" i="44"/>
  <c r="FE32" i="24"/>
  <c r="B252" i="44"/>
  <c r="C253" i="44"/>
  <c r="FF35" i="24"/>
  <c r="FF36" i="24"/>
  <c r="FF37" i="24" s="1"/>
  <c r="FG33" i="24"/>
  <c r="FG34" i="24" s="1"/>
  <c r="N282" i="39"/>
  <c r="C283" i="39"/>
  <c r="B282" i="39"/>
  <c r="M153" i="39"/>
  <c r="Q119" i="53" l="1"/>
  <c r="U119" i="53" s="1"/>
  <c r="DI139" i="24" s="1"/>
  <c r="T119" i="53"/>
  <c r="AA118" i="53"/>
  <c r="V119" i="53"/>
  <c r="N252" i="44"/>
  <c r="O252" i="44"/>
  <c r="FF32" i="24"/>
  <c r="FG35" i="24"/>
  <c r="FG36" i="24"/>
  <c r="FG37" i="24" s="1"/>
  <c r="N283" i="39"/>
  <c r="C284" i="39"/>
  <c r="B283" i="39"/>
  <c r="B253" i="44"/>
  <c r="C254" i="44"/>
  <c r="FH33" i="24"/>
  <c r="FH34" i="24" s="1"/>
  <c r="G154" i="39"/>
  <c r="J154" i="39"/>
  <c r="I154" i="39" s="1"/>
  <c r="S119" i="53" l="1"/>
  <c r="DI137" i="24"/>
  <c r="X119" i="53"/>
  <c r="Y119" i="53"/>
  <c r="Z119" i="53"/>
  <c r="R120" i="53"/>
  <c r="DJ138" i="24" s="1"/>
  <c r="N120" i="53"/>
  <c r="N253" i="44"/>
  <c r="O253" i="44"/>
  <c r="FH35" i="24"/>
  <c r="FH36" i="24"/>
  <c r="FH37" i="24" s="1"/>
  <c r="FI33" i="24"/>
  <c r="FI34" i="24" s="1"/>
  <c r="B254" i="44"/>
  <c r="C255" i="44"/>
  <c r="N284" i="39"/>
  <c r="B284" i="39"/>
  <c r="C285" i="39"/>
  <c r="FG32" i="24"/>
  <c r="M154" i="39"/>
  <c r="L154" i="39"/>
  <c r="Q120" i="53" l="1"/>
  <c r="U120" i="53" s="1"/>
  <c r="DJ139" i="24" s="1"/>
  <c r="T120" i="53"/>
  <c r="V120" i="53"/>
  <c r="AA119" i="53"/>
  <c r="N254" i="44"/>
  <c r="O254" i="44"/>
  <c r="B285" i="39"/>
  <c r="N285" i="39"/>
  <c r="C286" i="39"/>
  <c r="FI35" i="24"/>
  <c r="FJ33" i="24"/>
  <c r="FJ34" i="24" s="1"/>
  <c r="B255" i="44"/>
  <c r="C256" i="44"/>
  <c r="FH32" i="24"/>
  <c r="FI36" i="24"/>
  <c r="FI37" i="24" s="1"/>
  <c r="J155" i="39"/>
  <c r="I155" i="39" s="1"/>
  <c r="G155" i="39"/>
  <c r="K154" i="39"/>
  <c r="S120" i="53" l="1"/>
  <c r="DJ137" i="24"/>
  <c r="X120" i="53"/>
  <c r="Y120" i="53"/>
  <c r="Z120" i="53"/>
  <c r="N121" i="53"/>
  <c r="R121" i="53"/>
  <c r="DK138" i="24" s="1"/>
  <c r="N255" i="44"/>
  <c r="O255" i="44"/>
  <c r="FI32" i="24"/>
  <c r="B286" i="39"/>
  <c r="C287" i="39"/>
  <c r="N286" i="39"/>
  <c r="B256" i="44"/>
  <c r="C257" i="44"/>
  <c r="FJ35" i="24"/>
  <c r="FJ36" i="24"/>
  <c r="FJ37" i="24" s="1"/>
  <c r="FK33" i="24"/>
  <c r="FK34" i="24" s="1"/>
  <c r="L155" i="39"/>
  <c r="V121" i="53" l="1"/>
  <c r="Q121" i="53"/>
  <c r="T121" i="53"/>
  <c r="AA120" i="53"/>
  <c r="N256" i="44"/>
  <c r="O256" i="44"/>
  <c r="FJ32" i="24"/>
  <c r="FK35" i="24"/>
  <c r="FL33" i="24"/>
  <c r="FL34" i="24" s="1"/>
  <c r="FL35" i="24" s="1"/>
  <c r="N287" i="39"/>
  <c r="B287" i="39"/>
  <c r="C288" i="39"/>
  <c r="B257" i="44"/>
  <c r="C258" i="44"/>
  <c r="FK36" i="24"/>
  <c r="FK37" i="24" s="1"/>
  <c r="K155" i="39"/>
  <c r="M155" i="39"/>
  <c r="S121" i="53" l="1"/>
  <c r="DK137" i="24"/>
  <c r="U121" i="53"/>
  <c r="DK139" i="24" s="1"/>
  <c r="N257" i="44"/>
  <c r="O257" i="44"/>
  <c r="FL36" i="24"/>
  <c r="FL37" i="24" s="1"/>
  <c r="B258" i="44"/>
  <c r="C259" i="44"/>
  <c r="C289" i="39"/>
  <c r="N288" i="39"/>
  <c r="B288" i="39"/>
  <c r="FM33" i="24"/>
  <c r="FM34" i="24" s="1"/>
  <c r="FK32" i="24"/>
  <c r="J156" i="39"/>
  <c r="I156" i="39" s="1"/>
  <c r="G156" i="39"/>
  <c r="X121" i="53" l="1"/>
  <c r="Z121" i="53"/>
  <c r="Y121" i="53"/>
  <c r="R122" i="53"/>
  <c r="DL138" i="24" s="1"/>
  <c r="N122" i="53"/>
  <c r="N258" i="44"/>
  <c r="O258" i="44"/>
  <c r="FL32" i="24"/>
  <c r="N289" i="39"/>
  <c r="B289" i="39"/>
  <c r="C290" i="39"/>
  <c r="FM35" i="24"/>
  <c r="FM36" i="24"/>
  <c r="FM37" i="24" s="1"/>
  <c r="FN33" i="24"/>
  <c r="FN34" i="24" s="1"/>
  <c r="B259" i="44"/>
  <c r="C260" i="44"/>
  <c r="L156" i="39"/>
  <c r="Q122" i="53" l="1"/>
  <c r="DL137" i="24" s="1"/>
  <c r="T122" i="53"/>
  <c r="V122" i="53"/>
  <c r="AE29" i="53"/>
  <c r="AA121" i="53"/>
  <c r="N259" i="44"/>
  <c r="O259" i="44"/>
  <c r="B290" i="39"/>
  <c r="C291" i="39"/>
  <c r="N290" i="39"/>
  <c r="FN35" i="24"/>
  <c r="FO33" i="24"/>
  <c r="FO34" i="24" s="1"/>
  <c r="FO35" i="24" s="1"/>
  <c r="B260" i="44"/>
  <c r="C261" i="44"/>
  <c r="FM32" i="24"/>
  <c r="FN36" i="24"/>
  <c r="FN37" i="24" s="1"/>
  <c r="K156" i="39"/>
  <c r="M156" i="39"/>
  <c r="U122" i="53" l="1"/>
  <c r="DL139" i="24" s="1"/>
  <c r="Y122" i="53"/>
  <c r="X122" i="53"/>
  <c r="Z122" i="53"/>
  <c r="N123" i="53"/>
  <c r="S122" i="53"/>
  <c r="N260" i="44"/>
  <c r="O260" i="44"/>
  <c r="FP33" i="24"/>
  <c r="FP34" i="24" s="1"/>
  <c r="FP35" i="24" s="1"/>
  <c r="FO36" i="24"/>
  <c r="FO37" i="24" s="1"/>
  <c r="B291" i="39"/>
  <c r="N291" i="39"/>
  <c r="C292" i="39"/>
  <c r="FN32" i="24"/>
  <c r="B261" i="44"/>
  <c r="C262" i="44"/>
  <c r="G157" i="39"/>
  <c r="J157" i="39"/>
  <c r="I157" i="39" s="1"/>
  <c r="R123" i="53" l="1"/>
  <c r="DM138" i="24" s="1"/>
  <c r="Q123" i="53"/>
  <c r="DM137" i="24" s="1"/>
  <c r="T123" i="53"/>
  <c r="AA122" i="53"/>
  <c r="U123" i="53"/>
  <c r="DM139" i="24" s="1"/>
  <c r="V123" i="53"/>
  <c r="N261" i="44"/>
  <c r="O261" i="44"/>
  <c r="FO32" i="24"/>
  <c r="C263" i="44"/>
  <c r="B262" i="44"/>
  <c r="N292" i="39"/>
  <c r="C293" i="39"/>
  <c r="B292" i="39"/>
  <c r="FP36" i="24"/>
  <c r="FP37" i="24" s="1"/>
  <c r="FQ33" i="24"/>
  <c r="L157" i="39"/>
  <c r="X123" i="53" l="1"/>
  <c r="Z123" i="53"/>
  <c r="Y123" i="53"/>
  <c r="R124" i="53"/>
  <c r="DN138" i="24" s="1"/>
  <c r="N124" i="53"/>
  <c r="S123" i="53"/>
  <c r="N262" i="44"/>
  <c r="O262" i="44"/>
  <c r="C294" i="39"/>
  <c r="N293" i="39"/>
  <c r="B293" i="39"/>
  <c r="B263" i="44"/>
  <c r="C264" i="44"/>
  <c r="FQ34" i="24"/>
  <c r="FP32" i="24"/>
  <c r="M157" i="39"/>
  <c r="K157" i="39"/>
  <c r="V124" i="53" l="1"/>
  <c r="AA123" i="53"/>
  <c r="Q124" i="53"/>
  <c r="DN137" i="24" s="1"/>
  <c r="T124" i="53"/>
  <c r="N263" i="44"/>
  <c r="O263" i="44"/>
  <c r="B264" i="44"/>
  <c r="C265" i="44"/>
  <c r="C295" i="39"/>
  <c r="N294" i="39"/>
  <c r="B294" i="39"/>
  <c r="FQ36" i="24"/>
  <c r="FQ37" i="24" s="1"/>
  <c r="FR33" i="24"/>
  <c r="FQ35" i="24"/>
  <c r="J158" i="39"/>
  <c r="I158" i="39" s="1"/>
  <c r="G158" i="39"/>
  <c r="S124" i="53" l="1"/>
  <c r="U124" i="53"/>
  <c r="DN139" i="24" s="1"/>
  <c r="O264" i="44"/>
  <c r="N264" i="44"/>
  <c r="B295" i="39"/>
  <c r="N295" i="39"/>
  <c r="C296" i="39"/>
  <c r="C266" i="44"/>
  <c r="B265" i="44"/>
  <c r="FQ32" i="24"/>
  <c r="FR34" i="24"/>
  <c r="FR35" i="24" s="1"/>
  <c r="L158" i="39"/>
  <c r="X124" i="53" l="1"/>
  <c r="Y124" i="53"/>
  <c r="Z124" i="53"/>
  <c r="N125" i="53"/>
  <c r="R125" i="53"/>
  <c r="DO138" i="24" s="1"/>
  <c r="N265" i="44"/>
  <c r="O265" i="44"/>
  <c r="B266" i="44"/>
  <c r="C267" i="44"/>
  <c r="B296" i="39"/>
  <c r="C297" i="39"/>
  <c r="N296" i="39"/>
  <c r="FR36" i="24"/>
  <c r="FR37" i="24" s="1"/>
  <c r="FS33" i="24"/>
  <c r="K158" i="39"/>
  <c r="M158" i="39"/>
  <c r="V125" i="53" l="1"/>
  <c r="Q125" i="53"/>
  <c r="DO137" i="24" s="1"/>
  <c r="T125" i="53"/>
  <c r="AA124" i="53"/>
  <c r="N266" i="44"/>
  <c r="O266" i="44"/>
  <c r="C298" i="39"/>
  <c r="N297" i="39"/>
  <c r="B297" i="39"/>
  <c r="B267" i="44"/>
  <c r="C268" i="44"/>
  <c r="FS34" i="24"/>
  <c r="FS35" i="24" s="1"/>
  <c r="FR32" i="24"/>
  <c r="G159" i="39"/>
  <c r="J159" i="39"/>
  <c r="I159" i="39" s="1"/>
  <c r="S125" i="53" l="1"/>
  <c r="U125" i="53"/>
  <c r="DO139" i="24" s="1"/>
  <c r="N267" i="44"/>
  <c r="O267" i="44"/>
  <c r="B268" i="44"/>
  <c r="C269" i="44"/>
  <c r="C299" i="39"/>
  <c r="B298" i="39"/>
  <c r="N298" i="39"/>
  <c r="FT33" i="24"/>
  <c r="FS36" i="24"/>
  <c r="FS37" i="24" s="1"/>
  <c r="L159" i="39"/>
  <c r="X125" i="53" l="1"/>
  <c r="Z125" i="53"/>
  <c r="Y125" i="53"/>
  <c r="R126" i="53"/>
  <c r="DP138" i="24" s="1"/>
  <c r="N126" i="53"/>
  <c r="N268" i="44"/>
  <c r="O268" i="44"/>
  <c r="C300" i="39"/>
  <c r="B299" i="39"/>
  <c r="N299" i="39"/>
  <c r="B269" i="44"/>
  <c r="C270" i="44"/>
  <c r="FT34" i="24"/>
  <c r="FT35" i="24" s="1"/>
  <c r="F35" i="24" s="1"/>
  <c r="FS32" i="24"/>
  <c r="M159" i="39"/>
  <c r="K159" i="39"/>
  <c r="Q126" i="53" l="1"/>
  <c r="DP137" i="24" s="1"/>
  <c r="T126" i="53"/>
  <c r="V126" i="53"/>
  <c r="AA125" i="53"/>
  <c r="N269" i="44"/>
  <c r="O269" i="44"/>
  <c r="N300" i="39"/>
  <c r="C301" i="39"/>
  <c r="B300" i="39"/>
  <c r="B270" i="44"/>
  <c r="C271" i="44"/>
  <c r="FT36" i="24"/>
  <c r="F34" i="24"/>
  <c r="G160" i="39"/>
  <c r="J160" i="39"/>
  <c r="I160" i="39" s="1"/>
  <c r="U126" i="53" l="1"/>
  <c r="DP139" i="24" s="1"/>
  <c r="X126" i="53"/>
  <c r="Z126" i="53"/>
  <c r="Y126" i="53"/>
  <c r="R127" i="53"/>
  <c r="DQ138" i="24" s="1"/>
  <c r="N127" i="53"/>
  <c r="S126" i="53"/>
  <c r="N270" i="44"/>
  <c r="O270" i="44"/>
  <c r="B271" i="44"/>
  <c r="C272" i="44"/>
  <c r="N301" i="39"/>
  <c r="C302" i="39"/>
  <c r="B301" i="39"/>
  <c r="FT32" i="24"/>
  <c r="FT37" i="24"/>
  <c r="L160" i="39"/>
  <c r="V127" i="53" l="1"/>
  <c r="Q127" i="53"/>
  <c r="T127" i="53"/>
  <c r="AA126" i="53"/>
  <c r="N271" i="44"/>
  <c r="O271" i="44"/>
  <c r="B302" i="39"/>
  <c r="C303" i="39"/>
  <c r="N302" i="39"/>
  <c r="B272" i="44"/>
  <c r="C273" i="44"/>
  <c r="M160" i="39"/>
  <c r="K160" i="39"/>
  <c r="S127" i="53" l="1"/>
  <c r="DQ137" i="24"/>
  <c r="U127" i="53"/>
  <c r="DQ139" i="24" s="1"/>
  <c r="O272" i="44"/>
  <c r="N272" i="44"/>
  <c r="B303" i="39"/>
  <c r="C304" i="39"/>
  <c r="N303" i="39"/>
  <c r="B273" i="44"/>
  <c r="C274" i="44"/>
  <c r="J161" i="39"/>
  <c r="I161" i="39" s="1"/>
  <c r="G161" i="39"/>
  <c r="X127" i="53" l="1"/>
  <c r="Y127" i="53"/>
  <c r="Z127" i="53"/>
  <c r="R128" i="53"/>
  <c r="DR138" i="24" s="1"/>
  <c r="N128" i="53"/>
  <c r="N273" i="44"/>
  <c r="O273" i="44"/>
  <c r="B274" i="44"/>
  <c r="C275" i="44"/>
  <c r="N304" i="39"/>
  <c r="C305" i="39"/>
  <c r="B304" i="39"/>
  <c r="L161" i="39"/>
  <c r="Q128" i="53" l="1"/>
  <c r="U128" i="53" s="1"/>
  <c r="DR139" i="24" s="1"/>
  <c r="T128" i="53"/>
  <c r="V128" i="53"/>
  <c r="AA127" i="53"/>
  <c r="N274" i="44"/>
  <c r="O274" i="44"/>
  <c r="B305" i="39"/>
  <c r="C306" i="39"/>
  <c r="N305" i="39"/>
  <c r="C276" i="44"/>
  <c r="B275" i="44"/>
  <c r="K161" i="39"/>
  <c r="M161" i="39"/>
  <c r="S128" i="53" l="1"/>
  <c r="DR137" i="24"/>
  <c r="Y128" i="53"/>
  <c r="X128" i="53"/>
  <c r="Z128" i="53"/>
  <c r="N129" i="53"/>
  <c r="R129" i="53"/>
  <c r="DS138" i="24" s="1"/>
  <c r="N275" i="44"/>
  <c r="O275" i="44"/>
  <c r="B276" i="44"/>
  <c r="C277" i="44"/>
  <c r="B306" i="39"/>
  <c r="N306" i="39"/>
  <c r="C307" i="39"/>
  <c r="G162" i="39"/>
  <c r="J162" i="39"/>
  <c r="I162" i="39" s="1"/>
  <c r="AA128" i="53" l="1"/>
  <c r="V129" i="53"/>
  <c r="Q129" i="53"/>
  <c r="T129" i="53"/>
  <c r="N276" i="44"/>
  <c r="O276" i="44"/>
  <c r="B277" i="44"/>
  <c r="C278" i="44"/>
  <c r="N307" i="39"/>
  <c r="C308" i="39"/>
  <c r="B307" i="39"/>
  <c r="L162" i="39"/>
  <c r="S129" i="53" l="1"/>
  <c r="DS137" i="24"/>
  <c r="U129" i="53"/>
  <c r="DS139" i="24" s="1"/>
  <c r="N277" i="44"/>
  <c r="O277" i="44"/>
  <c r="N308" i="39"/>
  <c r="C309" i="39"/>
  <c r="B308" i="39"/>
  <c r="B278" i="44"/>
  <c r="C279" i="44"/>
  <c r="M162" i="39"/>
  <c r="K162" i="39"/>
  <c r="Y129" i="53" l="1"/>
  <c r="Z129" i="53"/>
  <c r="X129" i="53"/>
  <c r="R130" i="53"/>
  <c r="DT138" i="24" s="1"/>
  <c r="N130" i="53"/>
  <c r="N278" i="44"/>
  <c r="O278" i="44"/>
  <c r="B279" i="44"/>
  <c r="C280" i="44"/>
  <c r="N309" i="39"/>
  <c r="B309" i="39"/>
  <c r="C310" i="39"/>
  <c r="J163" i="39"/>
  <c r="I163" i="39" s="1"/>
  <c r="G163" i="39"/>
  <c r="AA129" i="53" l="1"/>
  <c r="Q130" i="53"/>
  <c r="T130" i="53"/>
  <c r="V130" i="53"/>
  <c r="N279" i="44"/>
  <c r="O279" i="44"/>
  <c r="C281" i="44"/>
  <c r="B280" i="44"/>
  <c r="N310" i="39"/>
  <c r="B310" i="39"/>
  <c r="C311" i="39"/>
  <c r="L163" i="39"/>
  <c r="S130" i="53" l="1"/>
  <c r="DT137" i="24"/>
  <c r="U130" i="53"/>
  <c r="DT139" i="24" s="1"/>
  <c r="O280" i="44"/>
  <c r="N280" i="44"/>
  <c r="B311" i="39"/>
  <c r="C312" i="39"/>
  <c r="N311" i="39"/>
  <c r="B281" i="44"/>
  <c r="C282" i="44"/>
  <c r="K163" i="39"/>
  <c r="M163" i="39"/>
  <c r="X130" i="53" l="1"/>
  <c r="Z130" i="53"/>
  <c r="Y130" i="53"/>
  <c r="N131" i="53"/>
  <c r="R131" i="53"/>
  <c r="DU138" i="24" s="1"/>
  <c r="N281" i="44"/>
  <c r="O281" i="44"/>
  <c r="B312" i="39"/>
  <c r="C313" i="39"/>
  <c r="N312" i="39"/>
  <c r="B282" i="44"/>
  <c r="C283" i="44"/>
  <c r="J164" i="39"/>
  <c r="I164" i="39" s="1"/>
  <c r="G164" i="39"/>
  <c r="V131" i="53" l="1"/>
  <c r="Q131" i="53"/>
  <c r="T131" i="53"/>
  <c r="AA130" i="53"/>
  <c r="N282" i="44"/>
  <c r="O282" i="44"/>
  <c r="C314" i="39"/>
  <c r="N313" i="39"/>
  <c r="B313" i="39"/>
  <c r="B283" i="44"/>
  <c r="C284" i="44"/>
  <c r="L164" i="39"/>
  <c r="S131" i="53" l="1"/>
  <c r="DU137" i="24"/>
  <c r="U131" i="53"/>
  <c r="DU139" i="24" s="1"/>
  <c r="N283" i="44"/>
  <c r="O283" i="44"/>
  <c r="B284" i="44"/>
  <c r="C285" i="44"/>
  <c r="B314" i="39"/>
  <c r="C315" i="39"/>
  <c r="N314" i="39"/>
  <c r="K164" i="39"/>
  <c r="M164" i="39"/>
  <c r="X131" i="53" l="1"/>
  <c r="Z131" i="53"/>
  <c r="Y131" i="53"/>
  <c r="R132" i="53"/>
  <c r="DV138" i="24" s="1"/>
  <c r="N132" i="53"/>
  <c r="N284" i="44"/>
  <c r="O284" i="44"/>
  <c r="B285" i="44"/>
  <c r="C286" i="44"/>
  <c r="B315" i="39"/>
  <c r="C316" i="39"/>
  <c r="N315" i="39"/>
  <c r="J165" i="39"/>
  <c r="I165" i="39" s="1"/>
  <c r="G165" i="39"/>
  <c r="Q132" i="53" l="1"/>
  <c r="U132" i="53" s="1"/>
  <c r="DV139" i="24" s="1"/>
  <c r="T132" i="53"/>
  <c r="V132" i="53"/>
  <c r="AA131" i="53"/>
  <c r="N285" i="44"/>
  <c r="O285" i="44"/>
  <c r="N316" i="39"/>
  <c r="C317" i="39"/>
  <c r="B316" i="39"/>
  <c r="B286" i="44"/>
  <c r="C287" i="44"/>
  <c r="L165" i="39"/>
  <c r="S132" i="53" l="1"/>
  <c r="DV137" i="24"/>
  <c r="Z132" i="53"/>
  <c r="X132" i="53"/>
  <c r="Y132" i="53"/>
  <c r="N133" i="53"/>
  <c r="R133" i="53"/>
  <c r="DW138" i="24" s="1"/>
  <c r="N286" i="44"/>
  <c r="O286" i="44"/>
  <c r="B287" i="44"/>
  <c r="C288" i="44"/>
  <c r="N317" i="39"/>
  <c r="C318" i="39"/>
  <c r="B317" i="39"/>
  <c r="K165" i="39"/>
  <c r="M165" i="39"/>
  <c r="V133" i="53" l="1"/>
  <c r="AA132" i="53"/>
  <c r="Q133" i="53"/>
  <c r="T133" i="53"/>
  <c r="N287" i="44"/>
  <c r="O287" i="44"/>
  <c r="B288" i="44"/>
  <c r="C289" i="44"/>
  <c r="N318" i="39"/>
  <c r="C319" i="39"/>
  <c r="B318" i="39"/>
  <c r="G166" i="39"/>
  <c r="J166" i="39"/>
  <c r="I166" i="39" s="1"/>
  <c r="S133" i="53" l="1"/>
  <c r="DW137" i="24"/>
  <c r="U133" i="53"/>
  <c r="DW139" i="24" s="1"/>
  <c r="O288" i="44"/>
  <c r="N288" i="44"/>
  <c r="N319" i="39"/>
  <c r="C320" i="39"/>
  <c r="B319" i="39"/>
  <c r="B289" i="44"/>
  <c r="C290" i="44"/>
  <c r="M166" i="39"/>
  <c r="L166" i="39"/>
  <c r="X133" i="53" l="1"/>
  <c r="Z133" i="53"/>
  <c r="Y133" i="53"/>
  <c r="R134" i="53"/>
  <c r="DX138" i="24" s="1"/>
  <c r="N134" i="53"/>
  <c r="N289" i="44"/>
  <c r="O289" i="44"/>
  <c r="B290" i="44"/>
  <c r="C291" i="44"/>
  <c r="B320" i="39"/>
  <c r="N320" i="39"/>
  <c r="C321" i="39"/>
  <c r="G167" i="39"/>
  <c r="J167" i="39"/>
  <c r="I167" i="39" s="1"/>
  <c r="K166" i="39"/>
  <c r="Q134" i="53" l="1"/>
  <c r="DX137" i="24" s="1"/>
  <c r="T134" i="53"/>
  <c r="V134" i="53"/>
  <c r="AE30" i="53"/>
  <c r="AA133" i="53"/>
  <c r="N290" i="44"/>
  <c r="O290" i="44"/>
  <c r="B291" i="44"/>
  <c r="C292" i="44"/>
  <c r="C322" i="39"/>
  <c r="N321" i="39"/>
  <c r="B321" i="39"/>
  <c r="M167" i="39"/>
  <c r="L167" i="39"/>
  <c r="U134" i="53" l="1"/>
  <c r="DX139" i="24" s="1"/>
  <c r="Z134" i="53"/>
  <c r="Y134" i="53"/>
  <c r="X134" i="53"/>
  <c r="N135" i="53"/>
  <c r="S134" i="53"/>
  <c r="N291" i="44"/>
  <c r="O291" i="44"/>
  <c r="N322" i="39"/>
  <c r="B322" i="39"/>
  <c r="C323" i="39"/>
  <c r="B292" i="44"/>
  <c r="C293" i="44"/>
  <c r="J168" i="39"/>
  <c r="I168" i="39" s="1"/>
  <c r="G168" i="39"/>
  <c r="K167" i="39"/>
  <c r="R135" i="53" l="1"/>
  <c r="DY138" i="24" s="1"/>
  <c r="Q135" i="53"/>
  <c r="DY137" i="24" s="1"/>
  <c r="T135" i="53"/>
  <c r="V135" i="53"/>
  <c r="AA134" i="53"/>
  <c r="N292" i="44"/>
  <c r="O292" i="44"/>
  <c r="B293" i="44"/>
  <c r="C294" i="44"/>
  <c r="N323" i="39"/>
  <c r="C324" i="39"/>
  <c r="B323" i="39"/>
  <c r="L168" i="39"/>
  <c r="U135" i="53" l="1"/>
  <c r="DY139" i="24" s="1"/>
  <c r="X135" i="53"/>
  <c r="Z135" i="53"/>
  <c r="Y135" i="53"/>
  <c r="N136" i="53"/>
  <c r="S135" i="53"/>
  <c r="N293" i="44"/>
  <c r="O293" i="44"/>
  <c r="C325" i="39"/>
  <c r="B324" i="39"/>
  <c r="N324" i="39"/>
  <c r="B294" i="44"/>
  <c r="C295" i="44"/>
  <c r="K168" i="39"/>
  <c r="M168" i="39"/>
  <c r="R136" i="53" l="1"/>
  <c r="DZ138" i="24" s="1"/>
  <c r="Q136" i="53"/>
  <c r="DZ137" i="24" s="1"/>
  <c r="T136" i="53"/>
  <c r="AA135" i="53"/>
  <c r="V136" i="53"/>
  <c r="N294" i="44"/>
  <c r="O294" i="44"/>
  <c r="N325" i="39"/>
  <c r="B325" i="39"/>
  <c r="C326" i="39"/>
  <c r="B295" i="44"/>
  <c r="C296" i="44"/>
  <c r="G169" i="39"/>
  <c r="J169" i="39"/>
  <c r="I169" i="39" s="1"/>
  <c r="U136" i="53" l="1"/>
  <c r="DZ139" i="24" s="1"/>
  <c r="Z136" i="53"/>
  <c r="X136" i="53"/>
  <c r="Y136" i="53"/>
  <c r="R137" i="53"/>
  <c r="EA138" i="24" s="1"/>
  <c r="N137" i="53"/>
  <c r="S136" i="53"/>
  <c r="N295" i="44"/>
  <c r="O295" i="44"/>
  <c r="B296" i="44"/>
  <c r="C297" i="44"/>
  <c r="N326" i="39"/>
  <c r="C327" i="39"/>
  <c r="B326" i="39"/>
  <c r="L169" i="39"/>
  <c r="Q137" i="53" l="1"/>
  <c r="EA137" i="24" s="1"/>
  <c r="T137" i="53"/>
  <c r="AA136" i="53"/>
  <c r="V137" i="53"/>
  <c r="O296" i="44"/>
  <c r="N296" i="44"/>
  <c r="C328" i="39"/>
  <c r="N327" i="39"/>
  <c r="B327" i="39"/>
  <c r="B297" i="44"/>
  <c r="C298" i="44"/>
  <c r="M169" i="39"/>
  <c r="K169" i="39"/>
  <c r="U137" i="53" l="1"/>
  <c r="EA139" i="24" s="1"/>
  <c r="Y137" i="53"/>
  <c r="X137" i="53"/>
  <c r="Z137" i="53"/>
  <c r="N138" i="53"/>
  <c r="R138" i="53"/>
  <c r="EB138" i="24" s="1"/>
  <c r="S137" i="53"/>
  <c r="N297" i="44"/>
  <c r="O297" i="44"/>
  <c r="C299" i="44"/>
  <c r="B298" i="44"/>
  <c r="N328" i="39"/>
  <c r="C329" i="39"/>
  <c r="B328" i="39"/>
  <c r="G170" i="39"/>
  <c r="J170" i="39"/>
  <c r="I170" i="39" s="1"/>
  <c r="V138" i="53" l="1"/>
  <c r="AA137" i="53"/>
  <c r="Q138" i="53"/>
  <c r="EB137" i="24" s="1"/>
  <c r="T138" i="53"/>
  <c r="N298" i="44"/>
  <c r="O298" i="44"/>
  <c r="B299" i="44"/>
  <c r="C300" i="44"/>
  <c r="B329" i="39"/>
  <c r="N329" i="39"/>
  <c r="C330" i="39"/>
  <c r="L170" i="39"/>
  <c r="S138" i="53" l="1"/>
  <c r="U138" i="53"/>
  <c r="EB139" i="24" s="1"/>
  <c r="N299" i="44"/>
  <c r="O299" i="44"/>
  <c r="C331" i="39"/>
  <c r="B330" i="39"/>
  <c r="N330" i="39"/>
  <c r="B300" i="44"/>
  <c r="C301" i="44"/>
  <c r="M170" i="39"/>
  <c r="K170" i="39"/>
  <c r="Z138" i="53" l="1"/>
  <c r="Y138" i="53"/>
  <c r="X138" i="53"/>
  <c r="R139" i="53"/>
  <c r="EC138" i="24" s="1"/>
  <c r="N139" i="53"/>
  <c r="N300" i="44"/>
  <c r="O300" i="44"/>
  <c r="B301" i="44"/>
  <c r="C302" i="44"/>
  <c r="N331" i="39"/>
  <c r="B331" i="39"/>
  <c r="C332" i="39"/>
  <c r="G171" i="39"/>
  <c r="J171" i="39"/>
  <c r="I171" i="39" s="1"/>
  <c r="AA138" i="53" l="1"/>
  <c r="Q139" i="53"/>
  <c r="U139" i="53" s="1"/>
  <c r="EC139" i="24" s="1"/>
  <c r="T139" i="53"/>
  <c r="V139" i="53"/>
  <c r="N301" i="44"/>
  <c r="O301" i="44"/>
  <c r="N332" i="39"/>
  <c r="B332" i="39"/>
  <c r="C333" i="39"/>
  <c r="B302" i="44"/>
  <c r="C303" i="44"/>
  <c r="L171" i="39"/>
  <c r="M171" i="39"/>
  <c r="S139" i="53" l="1"/>
  <c r="EC137" i="24"/>
  <c r="Y139" i="53"/>
  <c r="X139" i="53"/>
  <c r="Z139" i="53"/>
  <c r="N140" i="53"/>
  <c r="R140" i="53"/>
  <c r="ED138" i="24" s="1"/>
  <c r="N302" i="44"/>
  <c r="O302" i="44"/>
  <c r="B303" i="44"/>
  <c r="C304" i="44"/>
  <c r="N333" i="39"/>
  <c r="B333" i="39"/>
  <c r="C334" i="39"/>
  <c r="J172" i="39"/>
  <c r="I172" i="39" s="1"/>
  <c r="G172" i="39"/>
  <c r="K171" i="39"/>
  <c r="V140" i="53" l="1"/>
  <c r="AA139" i="53"/>
  <c r="Q140" i="53"/>
  <c r="T140" i="53"/>
  <c r="N303" i="44"/>
  <c r="O303" i="44"/>
  <c r="B304" i="44"/>
  <c r="C305" i="44"/>
  <c r="C335" i="39"/>
  <c r="B334" i="39"/>
  <c r="N334" i="39"/>
  <c r="L172" i="39"/>
  <c r="S140" i="53" l="1"/>
  <c r="ED137" i="24"/>
  <c r="U140" i="53"/>
  <c r="ED139" i="24" s="1"/>
  <c r="O304" i="44"/>
  <c r="N304" i="44"/>
  <c r="B335" i="39"/>
  <c r="N335" i="39"/>
  <c r="C336" i="39"/>
  <c r="B305" i="44"/>
  <c r="C306" i="44"/>
  <c r="K172" i="39"/>
  <c r="M172" i="39"/>
  <c r="Z140" i="53" l="1"/>
  <c r="X140" i="53"/>
  <c r="Y140" i="53"/>
  <c r="N141" i="53"/>
  <c r="R141" i="53"/>
  <c r="EE138" i="24" s="1"/>
  <c r="N305" i="44"/>
  <c r="O305" i="44"/>
  <c r="C307" i="44"/>
  <c r="B306" i="44"/>
  <c r="B336" i="39"/>
  <c r="N336" i="39"/>
  <c r="C337" i="39"/>
  <c r="G173" i="39"/>
  <c r="J173" i="39"/>
  <c r="I173" i="39" s="1"/>
  <c r="AA140" i="53" l="1"/>
  <c r="V141" i="53"/>
  <c r="Q141" i="53"/>
  <c r="T141" i="53"/>
  <c r="N306" i="44"/>
  <c r="O306" i="44"/>
  <c r="C338" i="39"/>
  <c r="B337" i="39"/>
  <c r="N337" i="39"/>
  <c r="C308" i="44"/>
  <c r="B307" i="44"/>
  <c r="M173" i="39"/>
  <c r="L173" i="39"/>
  <c r="S141" i="53" l="1"/>
  <c r="EE137" i="24"/>
  <c r="U141" i="53"/>
  <c r="EE139" i="24" s="1"/>
  <c r="N307" i="44"/>
  <c r="O307" i="44"/>
  <c r="B338" i="39"/>
  <c r="N338" i="39"/>
  <c r="C339" i="39"/>
  <c r="B308" i="44"/>
  <c r="C309" i="44"/>
  <c r="J174" i="39"/>
  <c r="I174" i="39" s="1"/>
  <c r="G174" i="39"/>
  <c r="K173" i="39"/>
  <c r="Z141" i="53" l="1"/>
  <c r="Y141" i="53"/>
  <c r="X141" i="53"/>
  <c r="R142" i="53"/>
  <c r="EF138" i="24" s="1"/>
  <c r="N142" i="53"/>
  <c r="N308" i="44"/>
  <c r="O308" i="44"/>
  <c r="B309" i="44"/>
  <c r="C310" i="44"/>
  <c r="B339" i="39"/>
  <c r="N339" i="39"/>
  <c r="C340" i="39"/>
  <c r="L174" i="39"/>
  <c r="AA141" i="53" l="1"/>
  <c r="Q142" i="53"/>
  <c r="U142" i="53" s="1"/>
  <c r="EF139" i="24" s="1"/>
  <c r="T142" i="53"/>
  <c r="V142" i="53"/>
  <c r="N309" i="44"/>
  <c r="O309" i="44"/>
  <c r="N340" i="39"/>
  <c r="B340" i="39"/>
  <c r="C341" i="39"/>
  <c r="B310" i="44"/>
  <c r="C311" i="44"/>
  <c r="K174" i="39"/>
  <c r="M174" i="39"/>
  <c r="S142" i="53" l="1"/>
  <c r="EF137" i="24"/>
  <c r="Y142" i="53"/>
  <c r="X142" i="53"/>
  <c r="Z142" i="53"/>
  <c r="R143" i="53"/>
  <c r="EG138" i="24" s="1"/>
  <c r="N143" i="53"/>
  <c r="N310" i="44"/>
  <c r="O310" i="44"/>
  <c r="B311" i="44"/>
  <c r="C312" i="44"/>
  <c r="C342" i="39"/>
  <c r="N341" i="39"/>
  <c r="B341" i="39"/>
  <c r="G175" i="39"/>
  <c r="J175" i="39"/>
  <c r="I175" i="39" s="1"/>
  <c r="Q143" i="53" l="1"/>
  <c r="T143" i="53"/>
  <c r="AA142" i="53"/>
  <c r="U143" i="53"/>
  <c r="EG139" i="24" s="1"/>
  <c r="V143" i="53"/>
  <c r="N311" i="44"/>
  <c r="O311" i="44"/>
  <c r="C343" i="39"/>
  <c r="N342" i="39"/>
  <c r="B342" i="39"/>
  <c r="B312" i="44"/>
  <c r="C313" i="44"/>
  <c r="L175" i="39"/>
  <c r="S143" i="53" l="1"/>
  <c r="EG137" i="24"/>
  <c r="Z143" i="53"/>
  <c r="Y143" i="53"/>
  <c r="X143" i="53"/>
  <c r="R144" i="53"/>
  <c r="EH138" i="24" s="1"/>
  <c r="N144" i="53"/>
  <c r="O312" i="44"/>
  <c r="N312" i="44"/>
  <c r="B313" i="44"/>
  <c r="C314" i="44"/>
  <c r="N343" i="39"/>
  <c r="B343" i="39"/>
  <c r="C344" i="39"/>
  <c r="M175" i="39"/>
  <c r="K175" i="39"/>
  <c r="Q144" i="53" l="1"/>
  <c r="T144" i="53"/>
  <c r="AA143" i="53"/>
  <c r="U144" i="53"/>
  <c r="EH139" i="24" s="1"/>
  <c r="V144" i="53"/>
  <c r="N313" i="44"/>
  <c r="O313" i="44"/>
  <c r="B314" i="44"/>
  <c r="C315" i="44"/>
  <c r="C345" i="39"/>
  <c r="B344" i="39"/>
  <c r="N344" i="39"/>
  <c r="G176" i="39"/>
  <c r="J176" i="39"/>
  <c r="I176" i="39" s="1"/>
  <c r="S144" i="53" l="1"/>
  <c r="EH137" i="24"/>
  <c r="X144" i="53"/>
  <c r="Y144" i="53"/>
  <c r="Z144" i="53"/>
  <c r="R145" i="53"/>
  <c r="EI138" i="24" s="1"/>
  <c r="N145" i="53"/>
  <c r="N314" i="44"/>
  <c r="O314" i="44"/>
  <c r="B345" i="39"/>
  <c r="C346" i="39"/>
  <c r="N345" i="39"/>
  <c r="B315" i="44"/>
  <c r="C316" i="44"/>
  <c r="L176" i="39"/>
  <c r="Q145" i="53" l="1"/>
  <c r="U145" i="53" s="1"/>
  <c r="EI139" i="24" s="1"/>
  <c r="T145" i="53"/>
  <c r="V145" i="53"/>
  <c r="AA144" i="53"/>
  <c r="N315" i="44"/>
  <c r="O315" i="44"/>
  <c r="N346" i="39"/>
  <c r="C347" i="39"/>
  <c r="B346" i="39"/>
  <c r="B316" i="44"/>
  <c r="C317" i="44"/>
  <c r="M176" i="39"/>
  <c r="K176" i="39"/>
  <c r="S145" i="53" l="1"/>
  <c r="EI137" i="24"/>
  <c r="Z145" i="53"/>
  <c r="Y145" i="53"/>
  <c r="X145" i="53"/>
  <c r="N146" i="53"/>
  <c r="R146" i="53"/>
  <c r="EJ138" i="24" s="1"/>
  <c r="N316" i="44"/>
  <c r="O316" i="44"/>
  <c r="B347" i="39"/>
  <c r="C348" i="39"/>
  <c r="N347" i="39"/>
  <c r="C318" i="44"/>
  <c r="B317" i="44"/>
  <c r="G177" i="39"/>
  <c r="J177" i="39"/>
  <c r="I177" i="39" s="1"/>
  <c r="AA145" i="53" l="1"/>
  <c r="V146" i="53"/>
  <c r="AE31" i="53"/>
  <c r="Q146" i="53"/>
  <c r="EJ137" i="24" s="1"/>
  <c r="T146" i="53"/>
  <c r="N317" i="44"/>
  <c r="O317" i="44"/>
  <c r="B318" i="44"/>
  <c r="C319" i="44"/>
  <c r="N348" i="39"/>
  <c r="C349" i="39"/>
  <c r="B348" i="39"/>
  <c r="L177" i="39"/>
  <c r="S146" i="53" l="1"/>
  <c r="U146" i="53"/>
  <c r="EJ139" i="24" s="1"/>
  <c r="N318" i="44"/>
  <c r="O318" i="44"/>
  <c r="N349" i="39"/>
  <c r="C350" i="39"/>
  <c r="B349" i="39"/>
  <c r="B319" i="44"/>
  <c r="C320" i="44"/>
  <c r="M177" i="39"/>
  <c r="K177" i="39"/>
  <c r="X146" i="53" l="1"/>
  <c r="Z146" i="53"/>
  <c r="Y146" i="53"/>
  <c r="N147" i="53"/>
  <c r="R147" i="53"/>
  <c r="EK138" i="24" s="1"/>
  <c r="N319" i="44"/>
  <c r="O319" i="44"/>
  <c r="C321" i="44"/>
  <c r="B320" i="44"/>
  <c r="N350" i="39"/>
  <c r="C351" i="39"/>
  <c r="B350" i="39"/>
  <c r="G178" i="39"/>
  <c r="J178" i="39"/>
  <c r="I178" i="39" s="1"/>
  <c r="V147" i="53" l="1"/>
  <c r="Q147" i="53"/>
  <c r="EK137" i="24" s="1"/>
  <c r="T147" i="53"/>
  <c r="AA146" i="53"/>
  <c r="O320" i="44"/>
  <c r="N320" i="44"/>
  <c r="B321" i="44"/>
  <c r="C322" i="44"/>
  <c r="H42" i="39"/>
  <c r="H28" i="39"/>
  <c r="J37" i="39"/>
  <c r="I43" i="39"/>
  <c r="I45" i="39"/>
  <c r="H43" i="39"/>
  <c r="H19" i="39"/>
  <c r="I36" i="39"/>
  <c r="H22" i="39"/>
  <c r="H21" i="39"/>
  <c r="J42" i="39"/>
  <c r="H20" i="39"/>
  <c r="I40" i="39"/>
  <c r="K40" i="39" s="1"/>
  <c r="K41" i="39" s="1"/>
  <c r="K42" i="39" s="1"/>
  <c r="K43" i="39" s="1"/>
  <c r="K44" i="39" s="1"/>
  <c r="K45" i="39" s="1"/>
  <c r="J40" i="39"/>
  <c r="H17" i="39"/>
  <c r="I38" i="39"/>
  <c r="J45" i="39"/>
  <c r="J41" i="39"/>
  <c r="H45" i="39"/>
  <c r="H26" i="39"/>
  <c r="H37" i="39"/>
  <c r="H32" i="39"/>
  <c r="H23" i="39"/>
  <c r="H25" i="39"/>
  <c r="H34" i="39"/>
  <c r="I37" i="39"/>
  <c r="J44" i="39"/>
  <c r="J38" i="39"/>
  <c r="J36" i="39"/>
  <c r="H24" i="39"/>
  <c r="H41" i="39"/>
  <c r="H40" i="39"/>
  <c r="H38" i="39"/>
  <c r="H27" i="39"/>
  <c r="H30" i="39"/>
  <c r="H31" i="39"/>
  <c r="J39" i="39"/>
  <c r="H29" i="39"/>
  <c r="H33" i="39"/>
  <c r="H39" i="39"/>
  <c r="I39" i="39"/>
  <c r="K39" i="39" s="1"/>
  <c r="I44" i="39"/>
  <c r="H44" i="39"/>
  <c r="J43" i="39"/>
  <c r="H36" i="39"/>
  <c r="I41" i="39"/>
  <c r="H35" i="39"/>
  <c r="H16" i="39"/>
  <c r="I42" i="39"/>
  <c r="H18" i="39"/>
  <c r="C352" i="39"/>
  <c r="B351" i="39"/>
  <c r="N351" i="39"/>
  <c r="L178" i="39"/>
  <c r="S147" i="53" l="1"/>
  <c r="U147" i="53"/>
  <c r="EK139" i="24" s="1"/>
  <c r="N321" i="44"/>
  <c r="O321" i="44"/>
  <c r="B322" i="44"/>
  <c r="C323" i="44"/>
  <c r="C353" i="39"/>
  <c r="B352" i="39"/>
  <c r="N352" i="39"/>
  <c r="M178" i="39"/>
  <c r="K178" i="39"/>
  <c r="X147" i="53" l="1"/>
  <c r="Z147" i="53"/>
  <c r="Y147" i="53"/>
  <c r="N148" i="53"/>
  <c r="R148" i="53"/>
  <c r="EL138" i="24" s="1"/>
  <c r="N322" i="44"/>
  <c r="O322" i="44"/>
  <c r="B353" i="39"/>
  <c r="N353" i="39"/>
  <c r="C354" i="39"/>
  <c r="C324" i="44"/>
  <c r="B323" i="44"/>
  <c r="J179" i="39"/>
  <c r="I179" i="39" s="1"/>
  <c r="G179" i="39"/>
  <c r="V148" i="53" l="1"/>
  <c r="Q148" i="53"/>
  <c r="EL137" i="24" s="1"/>
  <c r="T148" i="53"/>
  <c r="AA147" i="53"/>
  <c r="N323" i="44"/>
  <c r="O323" i="44"/>
  <c r="B324" i="44"/>
  <c r="C325" i="44"/>
  <c r="C355" i="39"/>
  <c r="B354" i="39"/>
  <c r="N354" i="39"/>
  <c r="L179" i="39"/>
  <c r="S148" i="53" l="1"/>
  <c r="U148" i="53"/>
  <c r="EL139" i="24" s="1"/>
  <c r="N324" i="44"/>
  <c r="O324" i="44"/>
  <c r="B355" i="39"/>
  <c r="N355" i="39"/>
  <c r="C356" i="39"/>
  <c r="B325" i="44"/>
  <c r="C326" i="44"/>
  <c r="K179" i="39"/>
  <c r="M179" i="39"/>
  <c r="Y148" i="53" l="1"/>
  <c r="Z148" i="53"/>
  <c r="X148" i="53"/>
  <c r="R149" i="53"/>
  <c r="EM138" i="24" s="1"/>
  <c r="N149" i="53"/>
  <c r="N325" i="44"/>
  <c r="O325" i="44"/>
  <c r="B356" i="39"/>
  <c r="N356" i="39"/>
  <c r="C357" i="39"/>
  <c r="B326" i="44"/>
  <c r="C327" i="44"/>
  <c r="J180" i="39"/>
  <c r="I180" i="39" s="1"/>
  <c r="G180" i="39"/>
  <c r="Q149" i="53" l="1"/>
  <c r="EM137" i="24" s="1"/>
  <c r="T149" i="53"/>
  <c r="AA148" i="53"/>
  <c r="U149" i="53"/>
  <c r="EM139" i="24" s="1"/>
  <c r="V149" i="53"/>
  <c r="N326" i="44"/>
  <c r="O326" i="44"/>
  <c r="N357" i="39"/>
  <c r="B357" i="39"/>
  <c r="C358" i="39"/>
  <c r="B327" i="44"/>
  <c r="C328" i="44"/>
  <c r="L180" i="39"/>
  <c r="Z149" i="53" l="1"/>
  <c r="Y149" i="53"/>
  <c r="X149" i="53"/>
  <c r="R150" i="53"/>
  <c r="EN138" i="24" s="1"/>
  <c r="N150" i="53"/>
  <c r="S149" i="53"/>
  <c r="N327" i="44"/>
  <c r="O327" i="44"/>
  <c r="B358" i="39"/>
  <c r="N358" i="39"/>
  <c r="C359" i="39"/>
  <c r="B328" i="44"/>
  <c r="C329" i="44"/>
  <c r="K180" i="39"/>
  <c r="M180" i="39"/>
  <c r="Q150" i="53" l="1"/>
  <c r="EN137" i="24" s="1"/>
  <c r="T150" i="53"/>
  <c r="AA149" i="53"/>
  <c r="U150" i="53"/>
  <c r="EN139" i="24" s="1"/>
  <c r="V150" i="53"/>
  <c r="O328" i="44"/>
  <c r="N328" i="44"/>
  <c r="N359" i="39"/>
  <c r="B359" i="39"/>
  <c r="C360" i="39"/>
  <c r="C330" i="44"/>
  <c r="B329" i="44"/>
  <c r="J181" i="39"/>
  <c r="I181" i="39" s="1"/>
  <c r="G181" i="39"/>
  <c r="Z150" i="53" l="1"/>
  <c r="X150" i="53"/>
  <c r="Y150" i="53"/>
  <c r="R151" i="53"/>
  <c r="EO138" i="24" s="1"/>
  <c r="N151" i="53"/>
  <c r="S150" i="53"/>
  <c r="N329" i="44"/>
  <c r="O329" i="44"/>
  <c r="N360" i="39"/>
  <c r="B360" i="39"/>
  <c r="C361" i="39"/>
  <c r="B330" i="44"/>
  <c r="C331" i="44"/>
  <c r="L181" i="39"/>
  <c r="AA150" i="53" l="1"/>
  <c r="Q151" i="53"/>
  <c r="U151" i="53" s="1"/>
  <c r="EO139" i="24" s="1"/>
  <c r="T151" i="53"/>
  <c r="V151" i="53"/>
  <c r="N330" i="44"/>
  <c r="O330" i="44"/>
  <c r="C362" i="39"/>
  <c r="B361" i="39"/>
  <c r="N361" i="39"/>
  <c r="B331" i="44"/>
  <c r="C332" i="44"/>
  <c r="K181" i="39"/>
  <c r="M181" i="39"/>
  <c r="S151" i="53" l="1"/>
  <c r="EO137" i="24"/>
  <c r="Y151" i="53"/>
  <c r="X151" i="53"/>
  <c r="Z151" i="53"/>
  <c r="R152" i="53"/>
  <c r="EP138" i="24" s="1"/>
  <c r="N152" i="53"/>
  <c r="N331" i="44"/>
  <c r="O331" i="44"/>
  <c r="B332" i="44"/>
  <c r="C333" i="44"/>
  <c r="N362" i="39"/>
  <c r="C363" i="39"/>
  <c r="B362" i="39"/>
  <c r="J182" i="39"/>
  <c r="I182" i="39" s="1"/>
  <c r="G182" i="39"/>
  <c r="Q152" i="53" l="1"/>
  <c r="U152" i="53" s="1"/>
  <c r="EP139" i="24" s="1"/>
  <c r="T152" i="53"/>
  <c r="AA151" i="53"/>
  <c r="V152" i="53"/>
  <c r="N332" i="44"/>
  <c r="O332" i="44"/>
  <c r="B333" i="44"/>
  <c r="C334" i="44"/>
  <c r="B363" i="39"/>
  <c r="N363" i="39"/>
  <c r="C364" i="39"/>
  <c r="L182" i="39"/>
  <c r="S152" i="53" l="1"/>
  <c r="EP137" i="24"/>
  <c r="Y152" i="53"/>
  <c r="Z152" i="53"/>
  <c r="X152" i="53"/>
  <c r="N153" i="53"/>
  <c r="R153" i="53"/>
  <c r="EQ138" i="24" s="1"/>
  <c r="N333" i="44"/>
  <c r="O333" i="44"/>
  <c r="N364" i="39"/>
  <c r="C365" i="39"/>
  <c r="B364" i="39"/>
  <c r="B334" i="44"/>
  <c r="C335" i="44"/>
  <c r="K182" i="39"/>
  <c r="M182" i="39"/>
  <c r="AA152" i="53" l="1"/>
  <c r="V153" i="53"/>
  <c r="Q153" i="53"/>
  <c r="T153" i="53"/>
  <c r="N334" i="44"/>
  <c r="O334" i="44"/>
  <c r="B335" i="44"/>
  <c r="C336" i="44"/>
  <c r="C366" i="39"/>
  <c r="B365" i="39"/>
  <c r="N365" i="39"/>
  <c r="G183" i="39"/>
  <c r="J183" i="39"/>
  <c r="I183" i="39" s="1"/>
  <c r="S153" i="53" l="1"/>
  <c r="EQ137" i="24"/>
  <c r="U153" i="53"/>
  <c r="EQ139" i="24" s="1"/>
  <c r="N335" i="44"/>
  <c r="O335" i="44"/>
  <c r="AK46" i="53"/>
  <c r="AK47" i="53"/>
  <c r="AK48" i="53"/>
  <c r="AK49" i="53"/>
  <c r="B336" i="44"/>
  <c r="C337" i="44"/>
  <c r="B366" i="39"/>
  <c r="N366" i="39"/>
  <c r="C367" i="39"/>
  <c r="L183" i="39"/>
  <c r="Z153" i="53" l="1"/>
  <c r="Y153" i="53"/>
  <c r="X153" i="53"/>
  <c r="R154" i="53"/>
  <c r="ER138" i="24" s="1"/>
  <c r="N154" i="53"/>
  <c r="O336" i="44"/>
  <c r="N336" i="44"/>
  <c r="C338" i="44"/>
  <c r="B337" i="44"/>
  <c r="C368" i="39"/>
  <c r="B367" i="39"/>
  <c r="N367" i="39"/>
  <c r="M183" i="39"/>
  <c r="K183" i="39"/>
  <c r="AA153" i="53" l="1"/>
  <c r="V154" i="53"/>
  <c r="Q154" i="53"/>
  <c r="T154" i="53"/>
  <c r="N337" i="44"/>
  <c r="O337" i="44"/>
  <c r="B338" i="44"/>
  <c r="C339" i="44"/>
  <c r="N368" i="39"/>
  <c r="B368" i="39"/>
  <c r="C369" i="39"/>
  <c r="G184" i="39"/>
  <c r="J184" i="39"/>
  <c r="I184" i="39" s="1"/>
  <c r="S154" i="53" l="1"/>
  <c r="ER137" i="24"/>
  <c r="U154" i="53"/>
  <c r="ER139" i="24" s="1"/>
  <c r="N338" i="44"/>
  <c r="O338" i="44"/>
  <c r="C370" i="39"/>
  <c r="B369" i="39"/>
  <c r="N369" i="39"/>
  <c r="B339" i="44"/>
  <c r="C340" i="44"/>
  <c r="L184" i="39"/>
  <c r="Y154" i="53" l="1"/>
  <c r="X154" i="53"/>
  <c r="Z154" i="53"/>
  <c r="N155" i="53"/>
  <c r="R155" i="53"/>
  <c r="ES138" i="24" s="1"/>
  <c r="N339" i="44"/>
  <c r="O339" i="44"/>
  <c r="C341" i="44"/>
  <c r="B340" i="44"/>
  <c r="C371" i="39"/>
  <c r="B370" i="39"/>
  <c r="N370" i="39"/>
  <c r="M184" i="39"/>
  <c r="K184" i="39"/>
  <c r="AA154" i="53" l="1"/>
  <c r="V155" i="53"/>
  <c r="Q155" i="53"/>
  <c r="T155" i="53"/>
  <c r="N340" i="44"/>
  <c r="O340" i="44"/>
  <c r="C372" i="39"/>
  <c r="B371" i="39"/>
  <c r="N371" i="39"/>
  <c r="B341" i="44"/>
  <c r="C342" i="44"/>
  <c r="G185" i="39"/>
  <c r="J185" i="39"/>
  <c r="I185" i="39" s="1"/>
  <c r="S155" i="53" l="1"/>
  <c r="ES137" i="24"/>
  <c r="U155" i="53"/>
  <c r="ES139" i="24" s="1"/>
  <c r="N341" i="44"/>
  <c r="O341" i="44"/>
  <c r="B342" i="44"/>
  <c r="C343" i="44"/>
  <c r="N372" i="39"/>
  <c r="B372" i="39"/>
  <c r="C373" i="39"/>
  <c r="L185" i="39"/>
  <c r="Y155" i="53" l="1"/>
  <c r="X155" i="53"/>
  <c r="Z155" i="53"/>
  <c r="N156" i="53"/>
  <c r="R156" i="53"/>
  <c r="ET138" i="24" s="1"/>
  <c r="N342" i="44"/>
  <c r="O342" i="44"/>
  <c r="B343" i="44"/>
  <c r="C344" i="44"/>
  <c r="B373" i="39"/>
  <c r="N373" i="39"/>
  <c r="C374" i="39"/>
  <c r="M185" i="39"/>
  <c r="K185" i="39"/>
  <c r="AA155" i="53" l="1"/>
  <c r="V156" i="53"/>
  <c r="Q156" i="53"/>
  <c r="T156" i="53"/>
  <c r="N343" i="44"/>
  <c r="O343" i="44"/>
  <c r="B344" i="44"/>
  <c r="C345" i="44"/>
  <c r="N374" i="39"/>
  <c r="C375" i="39"/>
  <c r="B374" i="39"/>
  <c r="J186" i="39"/>
  <c r="I186" i="39" s="1"/>
  <c r="G186" i="39"/>
  <c r="S156" i="53" l="1"/>
  <c r="ET137" i="24"/>
  <c r="U156" i="53"/>
  <c r="ET139" i="24" s="1"/>
  <c r="O344" i="44"/>
  <c r="N344" i="44"/>
  <c r="N375" i="39"/>
  <c r="C376" i="39"/>
  <c r="B375" i="39"/>
  <c r="C346" i="44"/>
  <c r="B345" i="44"/>
  <c r="L186" i="39"/>
  <c r="Z156" i="53" l="1"/>
  <c r="X156" i="53"/>
  <c r="Y156" i="53"/>
  <c r="R157" i="53"/>
  <c r="EU138" i="24" s="1"/>
  <c r="N157" i="53"/>
  <c r="N345" i="44"/>
  <c r="O345" i="44"/>
  <c r="C347" i="44"/>
  <c r="B346" i="44"/>
  <c r="N376" i="39"/>
  <c r="C377" i="39"/>
  <c r="B376" i="39"/>
  <c r="M186" i="39"/>
  <c r="K186" i="39"/>
  <c r="V157" i="53" l="1"/>
  <c r="Q157" i="53"/>
  <c r="T157" i="53"/>
  <c r="AA156" i="53"/>
  <c r="N346" i="44"/>
  <c r="O346" i="44"/>
  <c r="B347" i="44"/>
  <c r="C348" i="44"/>
  <c r="C378" i="39"/>
  <c r="N377" i="39"/>
  <c r="B377" i="39"/>
  <c r="J187" i="39"/>
  <c r="I187" i="39" s="1"/>
  <c r="G187" i="39"/>
  <c r="S157" i="53" l="1"/>
  <c r="EU137" i="24"/>
  <c r="U157" i="53"/>
  <c r="EU139" i="24" s="1"/>
  <c r="N347" i="44"/>
  <c r="O347" i="44"/>
  <c r="C379" i="39"/>
  <c r="B378" i="39"/>
  <c r="N378" i="39"/>
  <c r="B348" i="44"/>
  <c r="C349" i="44"/>
  <c r="L187" i="39"/>
  <c r="Y157" i="53" l="1"/>
  <c r="X157" i="53"/>
  <c r="Z157" i="53"/>
  <c r="R158" i="53"/>
  <c r="EV138" i="24" s="1"/>
  <c r="N158" i="53"/>
  <c r="N348" i="44"/>
  <c r="O348" i="44"/>
  <c r="C380" i="39"/>
  <c r="N379" i="39"/>
  <c r="B379" i="39"/>
  <c r="B349" i="44"/>
  <c r="C350" i="44"/>
  <c r="K187" i="39"/>
  <c r="M187" i="39"/>
  <c r="Q158" i="53" l="1"/>
  <c r="EV137" i="24" s="1"/>
  <c r="T158" i="53"/>
  <c r="AA157" i="53"/>
  <c r="V158" i="53"/>
  <c r="AE32" i="53"/>
  <c r="N349" i="44"/>
  <c r="O349" i="44"/>
  <c r="C351" i="44"/>
  <c r="B350" i="44"/>
  <c r="C381" i="39"/>
  <c r="N380" i="39"/>
  <c r="B380" i="39"/>
  <c r="G188" i="39"/>
  <c r="J188" i="39"/>
  <c r="I188" i="39" s="1"/>
  <c r="U158" i="53" l="1"/>
  <c r="EV139" i="24" s="1"/>
  <c r="X158" i="53"/>
  <c r="Z158" i="53"/>
  <c r="Y158" i="53"/>
  <c r="R159" i="53"/>
  <c r="EW138" i="24" s="1"/>
  <c r="N159" i="53"/>
  <c r="S158" i="53"/>
  <c r="N350" i="44"/>
  <c r="O350" i="44"/>
  <c r="C352" i="44"/>
  <c r="B351" i="44"/>
  <c r="C382" i="39"/>
  <c r="N381" i="39"/>
  <c r="B381" i="39"/>
  <c r="L188" i="39"/>
  <c r="AA158" i="53" l="1"/>
  <c r="V159" i="53"/>
  <c r="Q159" i="53"/>
  <c r="T159" i="53"/>
  <c r="N351" i="44"/>
  <c r="O351" i="44"/>
  <c r="B382" i="39"/>
  <c r="C383" i="39"/>
  <c r="N382" i="39"/>
  <c r="B352" i="44"/>
  <c r="C353" i="44"/>
  <c r="M188" i="39"/>
  <c r="K188" i="39"/>
  <c r="U159" i="53" l="1"/>
  <c r="EW139" i="24" s="1"/>
  <c r="EW137" i="24"/>
  <c r="X159" i="53"/>
  <c r="Z159" i="53"/>
  <c r="Y159" i="53"/>
  <c r="N160" i="53"/>
  <c r="S159" i="53"/>
  <c r="O352" i="44"/>
  <c r="N352" i="44"/>
  <c r="B383" i="39"/>
  <c r="C384" i="39"/>
  <c r="N383" i="39"/>
  <c r="B353" i="44"/>
  <c r="C354" i="44"/>
  <c r="J189" i="39"/>
  <c r="I189" i="39" s="1"/>
  <c r="G189" i="39"/>
  <c r="R160" i="53" l="1"/>
  <c r="EX138" i="24" s="1"/>
  <c r="V160" i="53"/>
  <c r="Q160" i="53"/>
  <c r="EX137" i="24" s="1"/>
  <c r="T160" i="53"/>
  <c r="AA159" i="53"/>
  <c r="N353" i="44"/>
  <c r="O353" i="44"/>
  <c r="B354" i="44"/>
  <c r="C355" i="44"/>
  <c r="C385" i="39"/>
  <c r="N384" i="39"/>
  <c r="B384" i="39"/>
  <c r="L189" i="39"/>
  <c r="S160" i="53" l="1"/>
  <c r="U160" i="53"/>
  <c r="EX139" i="24" s="1"/>
  <c r="N354" i="44"/>
  <c r="O354" i="44"/>
  <c r="N385" i="39"/>
  <c r="B385" i="39"/>
  <c r="C386" i="39"/>
  <c r="B355" i="44"/>
  <c r="C356" i="44"/>
  <c r="M189" i="39"/>
  <c r="K189" i="39"/>
  <c r="X160" i="53" l="1"/>
  <c r="Z160" i="53"/>
  <c r="Y160" i="53"/>
  <c r="N161" i="53"/>
  <c r="R161" i="53"/>
  <c r="EY138" i="24" s="1"/>
  <c r="N355" i="44"/>
  <c r="O355" i="44"/>
  <c r="C357" i="44"/>
  <c r="B356" i="44"/>
  <c r="C387" i="39"/>
  <c r="N386" i="39"/>
  <c r="B386" i="39"/>
  <c r="J190" i="39"/>
  <c r="I190" i="39" s="1"/>
  <c r="G190" i="39"/>
  <c r="V161" i="53" l="1"/>
  <c r="Q161" i="53"/>
  <c r="EY137" i="24" s="1"/>
  <c r="T161" i="53"/>
  <c r="AA160" i="53"/>
  <c r="N356" i="44"/>
  <c r="O356" i="44"/>
  <c r="B357" i="44"/>
  <c r="C358" i="44"/>
  <c r="N387" i="39"/>
  <c r="B387" i="39"/>
  <c r="C388" i="39"/>
  <c r="L190" i="39"/>
  <c r="S161" i="53" l="1"/>
  <c r="U161" i="53"/>
  <c r="EY139" i="24" s="1"/>
  <c r="N357" i="44"/>
  <c r="O357" i="44"/>
  <c r="N388" i="39"/>
  <c r="C389" i="39"/>
  <c r="B388" i="39"/>
  <c r="B358" i="44"/>
  <c r="C359" i="44"/>
  <c r="K190" i="39"/>
  <c r="M190" i="39"/>
  <c r="Z161" i="53" l="1"/>
  <c r="Y161" i="53"/>
  <c r="X161" i="53"/>
  <c r="N162" i="53"/>
  <c r="R162" i="53"/>
  <c r="EZ138" i="24" s="1"/>
  <c r="N358" i="44"/>
  <c r="O358" i="44"/>
  <c r="B359" i="44"/>
  <c r="C360" i="44"/>
  <c r="C390" i="39"/>
  <c r="B389" i="39"/>
  <c r="N389" i="39"/>
  <c r="G191" i="39"/>
  <c r="J191" i="39"/>
  <c r="I191" i="39" s="1"/>
  <c r="AA161" i="53" l="1"/>
  <c r="V162" i="53"/>
  <c r="Q162" i="53"/>
  <c r="T162" i="53"/>
  <c r="N359" i="44"/>
  <c r="O359" i="44"/>
  <c r="C391" i="39"/>
  <c r="N390" i="39"/>
  <c r="B390" i="39"/>
  <c r="B360" i="44"/>
  <c r="C361" i="44"/>
  <c r="L191" i="39"/>
  <c r="U162" i="53" l="1"/>
  <c r="EZ139" i="24" s="1"/>
  <c r="EZ137" i="24"/>
  <c r="X162" i="53"/>
  <c r="Z162" i="53"/>
  <c r="Y162" i="53"/>
  <c r="N163" i="53"/>
  <c r="R163" i="53"/>
  <c r="FA138" i="24" s="1"/>
  <c r="S162" i="53"/>
  <c r="O360" i="44"/>
  <c r="N360" i="44"/>
  <c r="C362" i="44"/>
  <c r="B361" i="44"/>
  <c r="B391" i="39"/>
  <c r="N391" i="39"/>
  <c r="C392" i="39"/>
  <c r="M191" i="39"/>
  <c r="K191" i="39"/>
  <c r="AA162" i="53" l="1"/>
  <c r="V163" i="53"/>
  <c r="Q163" i="53"/>
  <c r="T163" i="53"/>
  <c r="N361" i="44"/>
  <c r="O361" i="44"/>
  <c r="B392" i="39"/>
  <c r="N392" i="39"/>
  <c r="C393" i="39"/>
  <c r="C363" i="44"/>
  <c r="B362" i="44"/>
  <c r="J192" i="39"/>
  <c r="I192" i="39" s="1"/>
  <c r="G192" i="39"/>
  <c r="S163" i="53" l="1"/>
  <c r="FA137" i="24"/>
  <c r="U163" i="53"/>
  <c r="FA139" i="24" s="1"/>
  <c r="N362" i="44"/>
  <c r="O362" i="44"/>
  <c r="N393" i="39"/>
  <c r="B393" i="39"/>
  <c r="C394" i="39"/>
  <c r="B363" i="44"/>
  <c r="C364" i="44"/>
  <c r="L192" i="39"/>
  <c r="X163" i="53" l="1"/>
  <c r="Z163" i="53"/>
  <c r="Y163" i="53"/>
  <c r="R164" i="53"/>
  <c r="FB138" i="24" s="1"/>
  <c r="N164" i="53"/>
  <c r="N363" i="44"/>
  <c r="O363" i="44"/>
  <c r="B364" i="44"/>
  <c r="C365" i="44"/>
  <c r="C395" i="39"/>
  <c r="B394" i="39"/>
  <c r="N394" i="39"/>
  <c r="K192" i="39"/>
  <c r="M192" i="39"/>
  <c r="Q164" i="53" l="1"/>
  <c r="T164" i="53"/>
  <c r="V164" i="53"/>
  <c r="AA163" i="53"/>
  <c r="N364" i="44"/>
  <c r="O364" i="44"/>
  <c r="N395" i="39"/>
  <c r="B395" i="39"/>
  <c r="C396" i="39"/>
  <c r="B365" i="44"/>
  <c r="C366" i="44"/>
  <c r="J193" i="39"/>
  <c r="I193" i="39" s="1"/>
  <c r="G193" i="39"/>
  <c r="S164" i="53" l="1"/>
  <c r="FB137" i="24"/>
  <c r="U164" i="53"/>
  <c r="FB139" i="24" s="1"/>
  <c r="N365" i="44"/>
  <c r="O365" i="44"/>
  <c r="C397" i="39"/>
  <c r="N396" i="39"/>
  <c r="B396" i="39"/>
  <c r="B366" i="44"/>
  <c r="C367" i="44"/>
  <c r="L193" i="39"/>
  <c r="Z164" i="53" l="1"/>
  <c r="X164" i="53"/>
  <c r="Y164" i="53"/>
  <c r="N165" i="53"/>
  <c r="R165" i="53"/>
  <c r="FC138" i="24" s="1"/>
  <c r="N366" i="44"/>
  <c r="O366" i="44"/>
  <c r="B397" i="39"/>
  <c r="N397" i="39"/>
  <c r="C398" i="39"/>
  <c r="B367" i="44"/>
  <c r="C368" i="44"/>
  <c r="K193" i="39"/>
  <c r="M193" i="39"/>
  <c r="AA164" i="53" l="1"/>
  <c r="V165" i="53"/>
  <c r="Q165" i="53"/>
  <c r="T165" i="53"/>
  <c r="N367" i="44"/>
  <c r="O367" i="44"/>
  <c r="B368" i="44"/>
  <c r="C369" i="44"/>
  <c r="C399" i="39"/>
  <c r="B398" i="39"/>
  <c r="N398" i="39"/>
  <c r="J194" i="39"/>
  <c r="I194" i="39" s="1"/>
  <c r="G194" i="39"/>
  <c r="S165" i="53" l="1"/>
  <c r="FC137" i="24"/>
  <c r="U165" i="53"/>
  <c r="FC139" i="24" s="1"/>
  <c r="O368" i="44"/>
  <c r="N368" i="44"/>
  <c r="C400" i="39"/>
  <c r="B399" i="39"/>
  <c r="N399" i="39"/>
  <c r="C370" i="44"/>
  <c r="B369" i="44"/>
  <c r="L194" i="39"/>
  <c r="Z165" i="53" l="1"/>
  <c r="X165" i="53"/>
  <c r="Y165" i="53"/>
  <c r="R166" i="53"/>
  <c r="FD138" i="24" s="1"/>
  <c r="N166" i="53"/>
  <c r="N369" i="44"/>
  <c r="O369" i="44"/>
  <c r="B370" i="44"/>
  <c r="C371" i="44"/>
  <c r="C401" i="39"/>
  <c r="N400" i="39"/>
  <c r="B400" i="39"/>
  <c r="K194" i="39"/>
  <c r="M194" i="39"/>
  <c r="Q166" i="53" l="1"/>
  <c r="T166" i="53"/>
  <c r="AA165" i="53"/>
  <c r="U166" i="53"/>
  <c r="FD139" i="24" s="1"/>
  <c r="V166" i="53"/>
  <c r="N370" i="44"/>
  <c r="O370" i="44"/>
  <c r="N401" i="39"/>
  <c r="B401" i="39"/>
  <c r="C402" i="39"/>
  <c r="B371" i="44"/>
  <c r="C372" i="44"/>
  <c r="G195" i="39"/>
  <c r="J195" i="39"/>
  <c r="I195" i="39" s="1"/>
  <c r="S166" i="53" l="1"/>
  <c r="FD137" i="24"/>
  <c r="Y166" i="53"/>
  <c r="X166" i="53"/>
  <c r="Z166" i="53"/>
  <c r="R167" i="53"/>
  <c r="FE138" i="24" s="1"/>
  <c r="N167" i="53"/>
  <c r="N371" i="44"/>
  <c r="O371" i="44"/>
  <c r="N402" i="39"/>
  <c r="B402" i="39"/>
  <c r="C403" i="39"/>
  <c r="B372" i="44"/>
  <c r="C373" i="44"/>
  <c r="L195" i="39"/>
  <c r="M195" i="39"/>
  <c r="Q167" i="53" l="1"/>
  <c r="T167" i="53"/>
  <c r="AA166" i="53"/>
  <c r="U167" i="53"/>
  <c r="FE139" i="24" s="1"/>
  <c r="V167" i="53"/>
  <c r="N372" i="44"/>
  <c r="O372" i="44"/>
  <c r="C404" i="39"/>
  <c r="B403" i="39"/>
  <c r="N403" i="39"/>
  <c r="B373" i="44"/>
  <c r="C374" i="44"/>
  <c r="J196" i="39"/>
  <c r="I196" i="39" s="1"/>
  <c r="G196" i="39"/>
  <c r="K195" i="39"/>
  <c r="S167" i="53" l="1"/>
  <c r="FE137" i="24"/>
  <c r="Y167" i="53"/>
  <c r="Z167" i="53"/>
  <c r="X167" i="53"/>
  <c r="N168" i="53"/>
  <c r="R168" i="53"/>
  <c r="FF138" i="24" s="1"/>
  <c r="N373" i="44"/>
  <c r="O373" i="44"/>
  <c r="C405" i="39"/>
  <c r="N404" i="39"/>
  <c r="B404" i="39"/>
  <c r="C375" i="44"/>
  <c r="B374" i="44"/>
  <c r="L196" i="39"/>
  <c r="AA167" i="53" l="1"/>
  <c r="V168" i="53"/>
  <c r="Q168" i="53"/>
  <c r="T168" i="53"/>
  <c r="N374" i="44"/>
  <c r="O374" i="44"/>
  <c r="C376" i="44"/>
  <c r="B375" i="44"/>
  <c r="B405" i="39"/>
  <c r="N405" i="39"/>
  <c r="C406" i="39"/>
  <c r="K196" i="39"/>
  <c r="M196" i="39"/>
  <c r="S168" i="53" l="1"/>
  <c r="FF137" i="24"/>
  <c r="U168" i="53"/>
  <c r="FF139" i="24" s="1"/>
  <c r="N375" i="44"/>
  <c r="O375" i="44"/>
  <c r="C377" i="44"/>
  <c r="B376" i="44"/>
  <c r="B406" i="39"/>
  <c r="C407" i="39"/>
  <c r="N406" i="39"/>
  <c r="J197" i="39"/>
  <c r="I197" i="39" s="1"/>
  <c r="G197" i="39"/>
  <c r="Y168" i="53" l="1"/>
  <c r="X168" i="53"/>
  <c r="Z168" i="53"/>
  <c r="N169" i="53"/>
  <c r="R169" i="53"/>
  <c r="FG138" i="24" s="1"/>
  <c r="O376" i="44"/>
  <c r="N376" i="44"/>
  <c r="B377" i="44"/>
  <c r="C378" i="44"/>
  <c r="C408" i="39"/>
  <c r="B407" i="39"/>
  <c r="N407" i="39"/>
  <c r="L197" i="39"/>
  <c r="AA168" i="53" l="1"/>
  <c r="V169" i="53"/>
  <c r="Q169" i="53"/>
  <c r="T169" i="53"/>
  <c r="N377" i="44"/>
  <c r="O377" i="44"/>
  <c r="N408" i="39"/>
  <c r="C409" i="39"/>
  <c r="B408" i="39"/>
  <c r="B378" i="44"/>
  <c r="C379" i="44"/>
  <c r="C380" i="44" s="1"/>
  <c r="K197" i="39"/>
  <c r="M197" i="39"/>
  <c r="C381" i="44" l="1"/>
  <c r="S169" i="53"/>
  <c r="FG137" i="24"/>
  <c r="U169" i="53"/>
  <c r="FG139" i="24" s="1"/>
  <c r="N378" i="44"/>
  <c r="O378" i="44"/>
  <c r="B379" i="44"/>
  <c r="B380" i="44" s="1"/>
  <c r="B409" i="39"/>
  <c r="C410" i="39"/>
  <c r="N409" i="39"/>
  <c r="G198" i="39"/>
  <c r="J198" i="39"/>
  <c r="I198" i="39" s="1"/>
  <c r="N380" i="44" l="1"/>
  <c r="O380" i="44"/>
  <c r="B381" i="44"/>
  <c r="C382" i="44"/>
  <c r="O379" i="44"/>
  <c r="N379" i="44"/>
  <c r="Z169" i="53"/>
  <c r="X169" i="53"/>
  <c r="Y169" i="53"/>
  <c r="N170" i="53"/>
  <c r="R170" i="53"/>
  <c r="FH138" i="24" s="1"/>
  <c r="C411" i="39"/>
  <c r="B410" i="39"/>
  <c r="N410" i="39"/>
  <c r="L198" i="39"/>
  <c r="B382" i="44" l="1"/>
  <c r="C383" i="44"/>
  <c r="O381" i="44"/>
  <c r="N381" i="44"/>
  <c r="AA169" i="53"/>
  <c r="V170" i="53"/>
  <c r="AE33" i="53"/>
  <c r="Q170" i="53"/>
  <c r="FH137" i="24" s="1"/>
  <c r="T170" i="53"/>
  <c r="N411" i="39"/>
  <c r="B411" i="39"/>
  <c r="M7" i="39"/>
  <c r="M198" i="39"/>
  <c r="K198" i="39"/>
  <c r="U170" i="53" l="1"/>
  <c r="FH139" i="24" s="1"/>
  <c r="B383" i="44"/>
  <c r="C384" i="44"/>
  <c r="N382" i="44"/>
  <c r="O382" i="44"/>
  <c r="Z170" i="53"/>
  <c r="X170" i="53"/>
  <c r="Y170" i="53"/>
  <c r="N171" i="53"/>
  <c r="S170" i="53"/>
  <c r="J199" i="39"/>
  <c r="I199" i="39" s="1"/>
  <c r="G199" i="39"/>
  <c r="R171" i="53" l="1"/>
  <c r="FI138" i="24" s="1"/>
  <c r="C385" i="44"/>
  <c r="B384" i="44"/>
  <c r="N383" i="44"/>
  <c r="O383" i="44"/>
  <c r="AA170" i="53"/>
  <c r="Q171" i="53"/>
  <c r="FI137" i="24" s="1"/>
  <c r="T171" i="53"/>
  <c r="V171" i="53"/>
  <c r="L199" i="39"/>
  <c r="U171" i="53" l="1"/>
  <c r="FI139" i="24" s="1"/>
  <c r="N384" i="44"/>
  <c r="O384" i="44"/>
  <c r="C386" i="44"/>
  <c r="B385" i="44"/>
  <c r="X171" i="53"/>
  <c r="Z171" i="53"/>
  <c r="Y171" i="53"/>
  <c r="R172" i="53"/>
  <c r="FJ138" i="24" s="1"/>
  <c r="N172" i="53"/>
  <c r="S171" i="53"/>
  <c r="K199" i="39"/>
  <c r="M199" i="39"/>
  <c r="N385" i="44" l="1"/>
  <c r="O385" i="44"/>
  <c r="C387" i="44"/>
  <c r="B386" i="44"/>
  <c r="Q172" i="53"/>
  <c r="FJ137" i="24" s="1"/>
  <c r="T172" i="53"/>
  <c r="V172" i="53"/>
  <c r="AA171" i="53"/>
  <c r="G200" i="39"/>
  <c r="J200" i="39"/>
  <c r="I200" i="39" s="1"/>
  <c r="U172" i="53" l="1"/>
  <c r="FJ139" i="24" s="1"/>
  <c r="C388" i="44"/>
  <c r="B387" i="44"/>
  <c r="N386" i="44"/>
  <c r="O386" i="44"/>
  <c r="X172" i="53"/>
  <c r="Y172" i="53"/>
  <c r="Z172" i="53"/>
  <c r="N173" i="53"/>
  <c r="R173" i="53"/>
  <c r="FK138" i="24" s="1"/>
  <c r="S172" i="53"/>
  <c r="M200" i="39"/>
  <c r="L200" i="39"/>
  <c r="N387" i="44" l="1"/>
  <c r="O387" i="44"/>
  <c r="C389" i="44"/>
  <c r="B388" i="44"/>
  <c r="V173" i="53"/>
  <c r="Q173" i="53"/>
  <c r="FK137" i="24" s="1"/>
  <c r="T173" i="53"/>
  <c r="AA172" i="53"/>
  <c r="J201" i="39"/>
  <c r="I201" i="39" s="1"/>
  <c r="G201" i="39"/>
  <c r="K200" i="39"/>
  <c r="N388" i="44" l="1"/>
  <c r="O388" i="44"/>
  <c r="C390" i="44"/>
  <c r="B389" i="44"/>
  <c r="S173" i="53"/>
  <c r="U173" i="53"/>
  <c r="FK139" i="24" s="1"/>
  <c r="L201" i="39"/>
  <c r="N389" i="44" l="1"/>
  <c r="O389" i="44"/>
  <c r="C391" i="44"/>
  <c r="B390" i="44"/>
  <c r="Y173" i="53"/>
  <c r="X173" i="53"/>
  <c r="Z173" i="53"/>
  <c r="R174" i="53"/>
  <c r="FL138" i="24" s="1"/>
  <c r="N174" i="53"/>
  <c r="K201" i="39"/>
  <c r="M201" i="39"/>
  <c r="C392" i="44" l="1"/>
  <c r="B391" i="44"/>
  <c r="N390" i="44"/>
  <c r="O390" i="44"/>
  <c r="Q174" i="53"/>
  <c r="FL137" i="24" s="1"/>
  <c r="T174" i="53"/>
  <c r="AA173" i="53"/>
  <c r="U174" i="53"/>
  <c r="FL139" i="24" s="1"/>
  <c r="V174" i="53"/>
  <c r="J202" i="39"/>
  <c r="I202" i="39" s="1"/>
  <c r="G202" i="39"/>
  <c r="N391" i="44" l="1"/>
  <c r="O391" i="44"/>
  <c r="C393" i="44"/>
  <c r="B392" i="44"/>
  <c r="X174" i="53"/>
  <c r="Z174" i="53"/>
  <c r="Y174" i="53"/>
  <c r="N175" i="53"/>
  <c r="R175" i="53"/>
  <c r="FM138" i="24" s="1"/>
  <c r="S174" i="53"/>
  <c r="L202" i="39"/>
  <c r="N392" i="44" l="1"/>
  <c r="O392" i="44"/>
  <c r="C394" i="44"/>
  <c r="B393" i="44"/>
  <c r="AA174" i="53"/>
  <c r="V175" i="53"/>
  <c r="Q175" i="53"/>
  <c r="T175" i="53"/>
  <c r="K202" i="39"/>
  <c r="M202" i="39"/>
  <c r="N393" i="44" l="1"/>
  <c r="O393" i="44"/>
  <c r="C395" i="44"/>
  <c r="B394" i="44"/>
  <c r="S175" i="53"/>
  <c r="FM137" i="24"/>
  <c r="U175" i="53"/>
  <c r="FM139" i="24" s="1"/>
  <c r="J203" i="39"/>
  <c r="I203" i="39" s="1"/>
  <c r="G203" i="39"/>
  <c r="N394" i="44" l="1"/>
  <c r="O394" i="44"/>
  <c r="C396" i="44"/>
  <c r="B395" i="44"/>
  <c r="Y175" i="53"/>
  <c r="Z175" i="53"/>
  <c r="X175" i="53"/>
  <c r="N176" i="53"/>
  <c r="R176" i="53"/>
  <c r="FN138" i="24" s="1"/>
  <c r="L203" i="39"/>
  <c r="N395" i="44" l="1"/>
  <c r="O395" i="44"/>
  <c r="C397" i="44"/>
  <c r="B396" i="44"/>
  <c r="AA175" i="53"/>
  <c r="V176" i="53"/>
  <c r="Q176" i="53"/>
  <c r="T176" i="53"/>
  <c r="K203" i="39"/>
  <c r="M203" i="39"/>
  <c r="N396" i="44" l="1"/>
  <c r="O396" i="44"/>
  <c r="C398" i="44"/>
  <c r="B397" i="44"/>
  <c r="S176" i="53"/>
  <c r="FN137" i="24"/>
  <c r="U176" i="53"/>
  <c r="FN139" i="24" s="1"/>
  <c r="J204" i="39"/>
  <c r="I204" i="39" s="1"/>
  <c r="G204" i="39"/>
  <c r="N397" i="44" l="1"/>
  <c r="O397" i="44"/>
  <c r="C399" i="44"/>
  <c r="B398" i="44"/>
  <c r="Y176" i="53"/>
  <c r="Z176" i="53"/>
  <c r="X176" i="53"/>
  <c r="N177" i="53"/>
  <c r="R177" i="53"/>
  <c r="FO138" i="24" s="1"/>
  <c r="L204" i="39"/>
  <c r="N398" i="44" l="1"/>
  <c r="O398" i="44"/>
  <c r="C400" i="44"/>
  <c r="B399" i="44"/>
  <c r="AA176" i="53"/>
  <c r="V177" i="53"/>
  <c r="Q177" i="53"/>
  <c r="T177" i="53"/>
  <c r="K204" i="39"/>
  <c r="M204" i="39"/>
  <c r="N399" i="44" l="1"/>
  <c r="O399" i="44"/>
  <c r="C401" i="44"/>
  <c r="B400" i="44"/>
  <c r="S177" i="53"/>
  <c r="FO137" i="24"/>
  <c r="U177" i="53"/>
  <c r="FO139" i="24" s="1"/>
  <c r="Z177" i="53"/>
  <c r="Y177" i="53"/>
  <c r="X177" i="53"/>
  <c r="N178" i="53"/>
  <c r="J205" i="39"/>
  <c r="I205" i="39" s="1"/>
  <c r="G205" i="39"/>
  <c r="R178" i="53" l="1"/>
  <c r="FP138" i="24" s="1"/>
  <c r="N400" i="44"/>
  <c r="O400" i="44"/>
  <c r="C402" i="44"/>
  <c r="B401" i="44"/>
  <c r="AA177" i="53"/>
  <c r="V178" i="53"/>
  <c r="Q178" i="53"/>
  <c r="T178" i="53"/>
  <c r="L205" i="39"/>
  <c r="N401" i="44" l="1"/>
  <c r="O401" i="44"/>
  <c r="C403" i="44"/>
  <c r="B402" i="44"/>
  <c r="S178" i="53"/>
  <c r="FP137" i="24"/>
  <c r="U178" i="53"/>
  <c r="FP139" i="24" s="1"/>
  <c r="K205" i="39"/>
  <c r="M205" i="39"/>
  <c r="N402" i="44" l="1"/>
  <c r="O402" i="44"/>
  <c r="C404" i="44"/>
  <c r="B403" i="44"/>
  <c r="X178" i="53"/>
  <c r="Z178" i="53"/>
  <c r="Y178" i="53"/>
  <c r="N179" i="53"/>
  <c r="R179" i="53"/>
  <c r="FQ138" i="24" s="1"/>
  <c r="J206" i="39"/>
  <c r="I206" i="39" s="1"/>
  <c r="G206" i="39"/>
  <c r="C405" i="44" l="1"/>
  <c r="B404" i="44"/>
  <c r="N403" i="44"/>
  <c r="O403" i="44"/>
  <c r="V179" i="53"/>
  <c r="Q179" i="53"/>
  <c r="T179" i="53"/>
  <c r="AA178" i="53"/>
  <c r="L206" i="39"/>
  <c r="N404" i="44" l="1"/>
  <c r="O404" i="44"/>
  <c r="C406" i="44"/>
  <c r="B405" i="44"/>
  <c r="S179" i="53"/>
  <c r="FQ137" i="24"/>
  <c r="U179" i="53"/>
  <c r="FQ139" i="24" s="1"/>
  <c r="K206" i="39"/>
  <c r="M206" i="39"/>
  <c r="N405" i="44" l="1"/>
  <c r="O405" i="44"/>
  <c r="C407" i="44"/>
  <c r="B406" i="44"/>
  <c r="X179" i="53"/>
  <c r="Z179" i="53"/>
  <c r="Y179" i="53"/>
  <c r="R180" i="53"/>
  <c r="FR138" i="24" s="1"/>
  <c r="N180" i="53"/>
  <c r="J207" i="39"/>
  <c r="I207" i="39" s="1"/>
  <c r="G207" i="39"/>
  <c r="N406" i="44" l="1"/>
  <c r="O406" i="44"/>
  <c r="C408" i="44"/>
  <c r="B407" i="44"/>
  <c r="Q180" i="53"/>
  <c r="U180" i="53" s="1"/>
  <c r="FR139" i="24" s="1"/>
  <c r="T180" i="53"/>
  <c r="V180" i="53"/>
  <c r="AA179" i="53"/>
  <c r="L207" i="39"/>
  <c r="C409" i="44" l="1"/>
  <c r="B408" i="44"/>
  <c r="N407" i="44"/>
  <c r="O407" i="44"/>
  <c r="S180" i="53"/>
  <c r="FR137" i="24"/>
  <c r="Y180" i="53"/>
  <c r="Z180" i="53"/>
  <c r="X180" i="53"/>
  <c r="N181" i="53"/>
  <c r="R181" i="53"/>
  <c r="FS138" i="24" s="1"/>
  <c r="K207" i="39"/>
  <c r="M207" i="39"/>
  <c r="N408" i="44" l="1"/>
  <c r="O408" i="44"/>
  <c r="C410" i="44"/>
  <c r="B409" i="44"/>
  <c r="AA180" i="53"/>
  <c r="V181" i="53"/>
  <c r="Q181" i="53"/>
  <c r="T181" i="53"/>
  <c r="J208" i="39"/>
  <c r="I208" i="39" s="1"/>
  <c r="G208" i="39"/>
  <c r="N409" i="44" l="1"/>
  <c r="O409" i="44"/>
  <c r="C411" i="44"/>
  <c r="B410" i="44"/>
  <c r="S181" i="53"/>
  <c r="FS137" i="24"/>
  <c r="U181" i="53"/>
  <c r="FS139" i="24" s="1"/>
  <c r="L208" i="39"/>
  <c r="N410" i="44" l="1"/>
  <c r="O410" i="44"/>
  <c r="C412" i="44"/>
  <c r="B411" i="44"/>
  <c r="Y181" i="53"/>
  <c r="X181" i="53"/>
  <c r="Z181" i="53"/>
  <c r="R182" i="53"/>
  <c r="FT138" i="24" s="1"/>
  <c r="N182" i="53"/>
  <c r="K208" i="39"/>
  <c r="M208" i="39"/>
  <c r="N411" i="44" l="1"/>
  <c r="O411" i="44"/>
  <c r="C413" i="44"/>
  <c r="B412" i="44"/>
  <c r="AA181" i="53"/>
  <c r="Q182" i="53"/>
  <c r="FT137" i="24" s="1"/>
  <c r="T182" i="53"/>
  <c r="V182" i="53"/>
  <c r="AE34" i="53"/>
  <c r="G209" i="39"/>
  <c r="J209" i="39"/>
  <c r="I209" i="39" s="1"/>
  <c r="O412" i="44" l="1"/>
  <c r="N412" i="44"/>
  <c r="C414" i="44"/>
  <c r="B413" i="44"/>
  <c r="S182" i="53"/>
  <c r="U182" i="53"/>
  <c r="FT139" i="24" s="1"/>
  <c r="L209" i="39"/>
  <c r="C415" i="44" l="1"/>
  <c r="B414" i="44"/>
  <c r="N413" i="44"/>
  <c r="O413" i="44"/>
  <c r="X182" i="53"/>
  <c r="Y182" i="53"/>
  <c r="Z182" i="53"/>
  <c r="R183" i="53"/>
  <c r="N183" i="53"/>
  <c r="M209" i="39"/>
  <c r="K209" i="39"/>
  <c r="N414" i="44" l="1"/>
  <c r="O414" i="44"/>
  <c r="C416" i="44"/>
  <c r="B415" i="44"/>
  <c r="Q183" i="53"/>
  <c r="U183" i="53" s="1"/>
  <c r="T183" i="53"/>
  <c r="V183" i="53"/>
  <c r="AA182" i="53"/>
  <c r="G210" i="39"/>
  <c r="J210" i="39"/>
  <c r="I210" i="39" s="1"/>
  <c r="N415" i="44" l="1"/>
  <c r="O415" i="44"/>
  <c r="C417" i="44"/>
  <c r="B416" i="44"/>
  <c r="X183" i="53"/>
  <c r="Z183" i="53"/>
  <c r="Y183" i="53"/>
  <c r="N184" i="53"/>
  <c r="R184" i="53"/>
  <c r="S183" i="53"/>
  <c r="L210" i="39"/>
  <c r="M210" i="39"/>
  <c r="N416" i="44" l="1"/>
  <c r="O416" i="44"/>
  <c r="C418" i="44"/>
  <c r="B417" i="44"/>
  <c r="V184" i="53"/>
  <c r="Q184" i="53"/>
  <c r="T184" i="53"/>
  <c r="AA183" i="53"/>
  <c r="G211" i="39"/>
  <c r="J211" i="39"/>
  <c r="I211" i="39" s="1"/>
  <c r="K210" i="39"/>
  <c r="N417" i="44" l="1"/>
  <c r="O417" i="44"/>
  <c r="C419" i="44"/>
  <c r="B418" i="44"/>
  <c r="S184" i="53"/>
  <c r="U184" i="53"/>
  <c r="M211" i="39"/>
  <c r="L211" i="39"/>
  <c r="N418" i="44" l="1"/>
  <c r="O418" i="44"/>
  <c r="C420" i="44"/>
  <c r="B419" i="44"/>
  <c r="Z184" i="53"/>
  <c r="X184" i="53"/>
  <c r="Y184" i="53"/>
  <c r="R185" i="53"/>
  <c r="N185" i="53"/>
  <c r="J212" i="39"/>
  <c r="I212" i="39" s="1"/>
  <c r="G212" i="39"/>
  <c r="K211" i="39"/>
  <c r="C421" i="44" l="1"/>
  <c r="B420" i="44"/>
  <c r="N419" i="44"/>
  <c r="O419" i="44"/>
  <c r="Q185" i="53"/>
  <c r="U185" i="53" s="1"/>
  <c r="T185" i="53"/>
  <c r="AA184" i="53"/>
  <c r="V185" i="53"/>
  <c r="L212" i="39"/>
  <c r="N420" i="44" l="1"/>
  <c r="O420" i="44"/>
  <c r="C422" i="44"/>
  <c r="B421" i="44"/>
  <c r="Y185" i="53"/>
  <c r="Z185" i="53"/>
  <c r="X185" i="53"/>
  <c r="R186" i="53"/>
  <c r="N186" i="53"/>
  <c r="S185" i="53"/>
  <c r="K212" i="39"/>
  <c r="M212" i="39"/>
  <c r="N421" i="44" l="1"/>
  <c r="O421" i="44"/>
  <c r="C423" i="44"/>
  <c r="B422" i="44"/>
  <c r="AA185" i="53"/>
  <c r="Q186" i="53"/>
  <c r="U186" i="53" s="1"/>
  <c r="T186" i="53"/>
  <c r="V186" i="53"/>
  <c r="J213" i="39"/>
  <c r="I213" i="39" s="1"/>
  <c r="G213" i="39"/>
  <c r="N422" i="44" l="1"/>
  <c r="O422" i="44"/>
  <c r="C424" i="44"/>
  <c r="B423" i="44"/>
  <c r="Y186" i="53"/>
  <c r="X186" i="53"/>
  <c r="Z186" i="53"/>
  <c r="N187" i="53"/>
  <c r="R187" i="53"/>
  <c r="S186" i="53"/>
  <c r="L213" i="39"/>
  <c r="N423" i="44" l="1"/>
  <c r="O423" i="44"/>
  <c r="C425" i="44"/>
  <c r="B424" i="44"/>
  <c r="V187" i="53"/>
  <c r="AA186" i="53"/>
  <c r="Q187" i="53"/>
  <c r="S187" i="53" s="1"/>
  <c r="T187" i="53"/>
  <c r="K213" i="39"/>
  <c r="M213" i="39"/>
  <c r="C426" i="44" l="1"/>
  <c r="B425" i="44"/>
  <c r="N424" i="44"/>
  <c r="O424" i="44"/>
  <c r="U187" i="53"/>
  <c r="J214" i="39"/>
  <c r="I214" i="39" s="1"/>
  <c r="G214" i="39"/>
  <c r="N425" i="44" l="1"/>
  <c r="O425" i="44"/>
  <c r="C427" i="44"/>
  <c r="B426" i="44"/>
  <c r="Z187" i="53"/>
  <c r="Y187" i="53"/>
  <c r="X187" i="53"/>
  <c r="N188" i="53"/>
  <c r="R188" i="53"/>
  <c r="L214" i="39"/>
  <c r="N426" i="44" l="1"/>
  <c r="O426" i="44"/>
  <c r="C428" i="44"/>
  <c r="B427" i="44"/>
  <c r="AA187" i="53"/>
  <c r="V188" i="53"/>
  <c r="Q188" i="53"/>
  <c r="S188" i="53" s="1"/>
  <c r="T188" i="53"/>
  <c r="K214" i="39"/>
  <c r="M214" i="39"/>
  <c r="N427" i="44" l="1"/>
  <c r="O427" i="44"/>
  <c r="C429" i="44"/>
  <c r="B428" i="44"/>
  <c r="U188" i="53"/>
  <c r="G215" i="39"/>
  <c r="J215" i="39"/>
  <c r="I215" i="39" s="1"/>
  <c r="C430" i="44" l="1"/>
  <c r="B429" i="44"/>
  <c r="N428" i="44"/>
  <c r="O428" i="44"/>
  <c r="X188" i="53"/>
  <c r="Y188" i="53"/>
  <c r="Z188" i="53"/>
  <c r="N189" i="53"/>
  <c r="R189" i="53"/>
  <c r="L215" i="39"/>
  <c r="M215" i="39"/>
  <c r="N429" i="44" l="1"/>
  <c r="O429" i="44"/>
  <c r="C431" i="44"/>
  <c r="B430" i="44"/>
  <c r="V189" i="53"/>
  <c r="Q189" i="53"/>
  <c r="S189" i="53" s="1"/>
  <c r="T189" i="53"/>
  <c r="AA188" i="53"/>
  <c r="J216" i="39"/>
  <c r="I216" i="39" s="1"/>
  <c r="G216" i="39"/>
  <c r="K215" i="39"/>
  <c r="C432" i="44" l="1"/>
  <c r="B431" i="44"/>
  <c r="N430" i="44"/>
  <c r="O430" i="44"/>
  <c r="U189" i="53"/>
  <c r="L216" i="39"/>
  <c r="N431" i="44" l="1"/>
  <c r="O431" i="44"/>
  <c r="C433" i="44"/>
  <c r="B432" i="44"/>
  <c r="Z189" i="53"/>
  <c r="Y189" i="53"/>
  <c r="X189" i="53"/>
  <c r="R190" i="53"/>
  <c r="N190" i="53"/>
  <c r="K216" i="39"/>
  <c r="M216" i="39"/>
  <c r="N432" i="44" l="1"/>
  <c r="O432" i="44"/>
  <c r="C434" i="44"/>
  <c r="B433" i="44"/>
  <c r="AA189" i="53"/>
  <c r="Q190" i="53"/>
  <c r="S190" i="53" s="1"/>
  <c r="T190" i="53"/>
  <c r="V190" i="53"/>
  <c r="J217" i="39"/>
  <c r="I217" i="39" s="1"/>
  <c r="G217" i="39"/>
  <c r="N433" i="44" l="1"/>
  <c r="O433" i="44"/>
  <c r="C435" i="44"/>
  <c r="B434" i="44"/>
  <c r="U190" i="53"/>
  <c r="R191" i="53" s="1"/>
  <c r="X190" i="53"/>
  <c r="Y190" i="53"/>
  <c r="Z190" i="53"/>
  <c r="N191" i="53"/>
  <c r="L217" i="39"/>
  <c r="N434" i="44" l="1"/>
  <c r="O434" i="44"/>
  <c r="C436" i="44"/>
  <c r="B435" i="44"/>
  <c r="Q191" i="53"/>
  <c r="S191" i="53" s="1"/>
  <c r="T191" i="53"/>
  <c r="V191" i="53"/>
  <c r="AA190" i="53"/>
  <c r="K217" i="39"/>
  <c r="M217" i="39"/>
  <c r="U191" i="53" l="1"/>
  <c r="R192" i="53" s="1"/>
  <c r="C437" i="44"/>
  <c r="B436" i="44"/>
  <c r="N435" i="44"/>
  <c r="O435" i="44"/>
  <c r="X191" i="53"/>
  <c r="Y191" i="53"/>
  <c r="Z191" i="53"/>
  <c r="N192" i="53"/>
  <c r="J218" i="39"/>
  <c r="I218" i="39" s="1"/>
  <c r="G218" i="39"/>
  <c r="N436" i="44" l="1"/>
  <c r="O436" i="44"/>
  <c r="C438" i="44"/>
  <c r="B437" i="44"/>
  <c r="V192" i="53"/>
  <c r="Q192" i="53"/>
  <c r="S192" i="53" s="1"/>
  <c r="T192" i="53"/>
  <c r="AA191" i="53"/>
  <c r="L218" i="39"/>
  <c r="N437" i="44" l="1"/>
  <c r="O437" i="44"/>
  <c r="C439" i="44"/>
  <c r="B438" i="44"/>
  <c r="U192" i="53"/>
  <c r="K218" i="39"/>
  <c r="M218" i="39"/>
  <c r="N438" i="44" l="1"/>
  <c r="O438" i="44"/>
  <c r="C440" i="44"/>
  <c r="B439" i="44"/>
  <c r="Z192" i="53"/>
  <c r="Y192" i="53"/>
  <c r="X192" i="53"/>
  <c r="N193" i="53"/>
  <c r="R193" i="53"/>
  <c r="J219" i="39"/>
  <c r="I219" i="39" s="1"/>
  <c r="G219" i="39"/>
  <c r="AA192" i="53" l="1"/>
  <c r="N439" i="44"/>
  <c r="O439" i="44"/>
  <c r="B440" i="44"/>
  <c r="V193" i="53"/>
  <c r="Q193" i="53"/>
  <c r="S193" i="53" s="1"/>
  <c r="T193" i="53"/>
  <c r="L219" i="39"/>
  <c r="N440" i="44" l="1"/>
  <c r="O440" i="44"/>
  <c r="U193" i="53"/>
  <c r="K219" i="39"/>
  <c r="M219" i="39"/>
  <c r="Y193" i="53" l="1"/>
  <c r="Z193" i="53"/>
  <c r="X193" i="53"/>
  <c r="R194" i="53"/>
  <c r="N194" i="53"/>
  <c r="J220" i="39"/>
  <c r="I220" i="39" s="1"/>
  <c r="G220" i="39"/>
  <c r="AA193" i="53" l="1"/>
  <c r="Q194" i="53"/>
  <c r="U194" i="53" s="1"/>
  <c r="T194" i="53"/>
  <c r="V194" i="53"/>
  <c r="AE35" i="53"/>
  <c r="L220" i="39"/>
  <c r="Y194" i="53" l="1"/>
  <c r="Z194" i="53"/>
  <c r="X194" i="53"/>
  <c r="N195" i="53"/>
  <c r="R195" i="53"/>
  <c r="S194" i="53"/>
  <c r="K220" i="39"/>
  <c r="M220" i="39"/>
  <c r="V195" i="53" l="1"/>
  <c r="AA194" i="53"/>
  <c r="Q195" i="53"/>
  <c r="T195" i="53"/>
  <c r="J221" i="39"/>
  <c r="I221" i="39" s="1"/>
  <c r="G221" i="39"/>
  <c r="S195" i="53" l="1"/>
  <c r="U195" i="53"/>
  <c r="L221" i="39"/>
  <c r="Y195" i="53" l="1"/>
  <c r="Z195" i="53"/>
  <c r="X195" i="53"/>
  <c r="R196" i="53"/>
  <c r="N196" i="53"/>
  <c r="K221" i="39"/>
  <c r="M221" i="39"/>
  <c r="AA195" i="53" l="1"/>
  <c r="Q196" i="53"/>
  <c r="U196" i="53" s="1"/>
  <c r="T196" i="53"/>
  <c r="V196" i="53"/>
  <c r="J222" i="39"/>
  <c r="I222" i="39" s="1"/>
  <c r="G222" i="39"/>
  <c r="S196" i="53" l="1"/>
  <c r="Y196" i="53"/>
  <c r="X196" i="53"/>
  <c r="Z196" i="53"/>
  <c r="N197" i="53"/>
  <c r="R197" i="53"/>
  <c r="L222" i="39"/>
  <c r="AA196" i="53" l="1"/>
  <c r="Q197" i="53"/>
  <c r="U197" i="53" s="1"/>
  <c r="T197" i="53"/>
  <c r="V197" i="53"/>
  <c r="K222" i="39"/>
  <c r="M222" i="39"/>
  <c r="S197" i="53" l="1"/>
  <c r="X197" i="53"/>
  <c r="Z197" i="53"/>
  <c r="Y197" i="53"/>
  <c r="N198" i="53"/>
  <c r="R198" i="53"/>
  <c r="G223" i="39"/>
  <c r="J223" i="39"/>
  <c r="I223" i="39" s="1"/>
  <c r="Q198" i="53" l="1"/>
  <c r="T198" i="53"/>
  <c r="AA197" i="53"/>
  <c r="U198" i="53"/>
  <c r="V198" i="53"/>
  <c r="L223" i="39"/>
  <c r="M223" i="39"/>
  <c r="X198" i="53" l="1"/>
  <c r="Y198" i="53"/>
  <c r="Z198" i="53"/>
  <c r="N199" i="53"/>
  <c r="R199" i="53"/>
  <c r="S198" i="53"/>
  <c r="J224" i="39"/>
  <c r="I224" i="39" s="1"/>
  <c r="G224" i="39"/>
  <c r="K223" i="39"/>
  <c r="V199" i="53" l="1"/>
  <c r="Q199" i="53"/>
  <c r="S199" i="53" s="1"/>
  <c r="T199" i="53"/>
  <c r="AA198" i="53"/>
  <c r="L224" i="39"/>
  <c r="U199" i="53" l="1"/>
  <c r="K224" i="39"/>
  <c r="M224" i="39"/>
  <c r="Z199" i="53" l="1"/>
  <c r="X199" i="53"/>
  <c r="Y199" i="53"/>
  <c r="R200" i="53"/>
  <c r="N200" i="53"/>
  <c r="J225" i="39"/>
  <c r="I225" i="39" s="1"/>
  <c r="G225" i="39"/>
  <c r="Q200" i="53" l="1"/>
  <c r="S200" i="53" s="1"/>
  <c r="T200" i="53"/>
  <c r="AA199" i="53"/>
  <c r="U200" i="53"/>
  <c r="V200" i="53"/>
  <c r="L225" i="39"/>
  <c r="X200" i="53" l="1"/>
  <c r="Z200" i="53"/>
  <c r="Y200" i="53"/>
  <c r="N201" i="53"/>
  <c r="R201" i="53"/>
  <c r="K225" i="39"/>
  <c r="M225" i="39"/>
  <c r="V201" i="53" l="1"/>
  <c r="Q201" i="53"/>
  <c r="S201" i="53" s="1"/>
  <c r="T201" i="53"/>
  <c r="AA200" i="53"/>
  <c r="J226" i="39"/>
  <c r="I226" i="39" s="1"/>
  <c r="G226" i="39"/>
  <c r="U201" i="53" l="1"/>
  <c r="L226" i="39"/>
  <c r="Y201" i="53" l="1"/>
  <c r="X201" i="53"/>
  <c r="Z201" i="53"/>
  <c r="N202" i="53"/>
  <c r="R202" i="53"/>
  <c r="M226" i="39"/>
  <c r="K226" i="39"/>
  <c r="V202" i="53" l="1"/>
  <c r="AA201" i="53"/>
  <c r="Q202" i="53"/>
  <c r="S202" i="53" s="1"/>
  <c r="T202" i="53"/>
  <c r="J227" i="39"/>
  <c r="I227" i="39" s="1"/>
  <c r="G227" i="39"/>
  <c r="U202" i="53" l="1"/>
  <c r="L227" i="39"/>
  <c r="X202" i="53" l="1"/>
  <c r="Y202" i="53"/>
  <c r="Z202" i="53"/>
  <c r="N203" i="53"/>
  <c r="R203" i="53"/>
  <c r="K227" i="39"/>
  <c r="M227" i="39"/>
  <c r="V203" i="53" l="1"/>
  <c r="Q203" i="53"/>
  <c r="S203" i="53" s="1"/>
  <c r="T203" i="53"/>
  <c r="AA202" i="53"/>
  <c r="J228" i="39"/>
  <c r="I228" i="39" s="1"/>
  <c r="G228" i="39"/>
  <c r="U203" i="53" l="1"/>
  <c r="L228" i="39"/>
  <c r="Z203" i="53" l="1"/>
  <c r="Y203" i="53"/>
  <c r="X203" i="53"/>
  <c r="N204" i="53"/>
  <c r="R204" i="53"/>
  <c r="K228" i="39"/>
  <c r="M228" i="39"/>
  <c r="AA203" i="53" l="1"/>
  <c r="V204" i="53"/>
  <c r="Q204" i="53"/>
  <c r="S204" i="53" s="1"/>
  <c r="T204" i="53"/>
  <c r="G229" i="39"/>
  <c r="J229" i="39"/>
  <c r="I229" i="39" s="1"/>
  <c r="U204" i="53" l="1"/>
  <c r="M229" i="39"/>
  <c r="L229" i="39"/>
  <c r="Y204" i="53" l="1"/>
  <c r="X204" i="53"/>
  <c r="Z204" i="53"/>
  <c r="N205" i="53"/>
  <c r="R205" i="53"/>
  <c r="G230" i="39"/>
  <c r="J230" i="39"/>
  <c r="I230" i="39" s="1"/>
  <c r="K229" i="39"/>
  <c r="V205" i="53" l="1"/>
  <c r="AA204" i="53"/>
  <c r="Q205" i="53"/>
  <c r="S205" i="53" s="1"/>
  <c r="T205" i="53"/>
  <c r="L230" i="39"/>
  <c r="U205" i="53" l="1"/>
  <c r="M230" i="39"/>
  <c r="K230" i="39"/>
  <c r="Z205" i="53" l="1"/>
  <c r="X205" i="53"/>
  <c r="Y205" i="53"/>
  <c r="N206" i="53"/>
  <c r="R206" i="53"/>
  <c r="J231" i="39"/>
  <c r="I231" i="39" s="1"/>
  <c r="G231" i="39"/>
  <c r="V206" i="53" l="1"/>
  <c r="AE36" i="53"/>
  <c r="AA205" i="53"/>
  <c r="Q206" i="53"/>
  <c r="T206" i="53"/>
  <c r="L231" i="39"/>
  <c r="S206" i="53" l="1"/>
  <c r="U206" i="53"/>
  <c r="K231" i="39"/>
  <c r="M231" i="39"/>
  <c r="X206" i="53" l="1"/>
  <c r="Z206" i="53"/>
  <c r="Y206" i="53"/>
  <c r="R207" i="53"/>
  <c r="N207" i="53"/>
  <c r="J232" i="39"/>
  <c r="I232" i="39" s="1"/>
  <c r="G232" i="39"/>
  <c r="Q207" i="53" l="1"/>
  <c r="U207" i="53" s="1"/>
  <c r="T207" i="53"/>
  <c r="V207" i="53"/>
  <c r="AA206" i="53"/>
  <c r="L232" i="39"/>
  <c r="Z207" i="53" l="1"/>
  <c r="X207" i="53"/>
  <c r="Y207" i="53"/>
  <c r="R208" i="53"/>
  <c r="N208" i="53"/>
  <c r="S207" i="53"/>
  <c r="K232" i="39"/>
  <c r="M232" i="39"/>
  <c r="Q208" i="53" l="1"/>
  <c r="U208" i="53" s="1"/>
  <c r="T208" i="53"/>
  <c r="AA207" i="53"/>
  <c r="V208" i="53"/>
  <c r="J233" i="39"/>
  <c r="I233" i="39" s="1"/>
  <c r="G233" i="39"/>
  <c r="Y208" i="53" l="1"/>
  <c r="X208" i="53"/>
  <c r="Z208" i="53"/>
  <c r="R209" i="53"/>
  <c r="N209" i="53"/>
  <c r="S208" i="53"/>
  <c r="L233" i="39"/>
  <c r="Q209" i="53" l="1"/>
  <c r="U209" i="53" s="1"/>
  <c r="T209" i="53"/>
  <c r="AA208" i="53"/>
  <c r="V209" i="53"/>
  <c r="K233" i="39"/>
  <c r="M233" i="39"/>
  <c r="X209" i="53" l="1"/>
  <c r="Z209" i="53"/>
  <c r="Y209" i="53"/>
  <c r="R210" i="53"/>
  <c r="N210" i="53"/>
  <c r="S209" i="53"/>
  <c r="J234" i="39"/>
  <c r="I234" i="39" s="1"/>
  <c r="G234" i="39"/>
  <c r="Q210" i="53" l="1"/>
  <c r="U210" i="53" s="1"/>
  <c r="T210" i="53"/>
  <c r="V210" i="53"/>
  <c r="AA209" i="53"/>
  <c r="L234" i="39"/>
  <c r="X210" i="53" l="1"/>
  <c r="Y210" i="53"/>
  <c r="Z210" i="53"/>
  <c r="N211" i="53"/>
  <c r="R211" i="53"/>
  <c r="S210" i="53"/>
  <c r="K234" i="39"/>
  <c r="M234" i="39"/>
  <c r="V211" i="53" l="1"/>
  <c r="Q211" i="53"/>
  <c r="S211" i="53" s="1"/>
  <c r="T211" i="53"/>
  <c r="AA210" i="53"/>
  <c r="G235" i="39"/>
  <c r="J235" i="39"/>
  <c r="I235" i="39" s="1"/>
  <c r="U211" i="53" l="1"/>
  <c r="R212" i="53" s="1"/>
  <c r="Y211" i="53"/>
  <c r="Z211" i="53"/>
  <c r="X211" i="53"/>
  <c r="N212" i="53"/>
  <c r="L235" i="39"/>
  <c r="Q212" i="53" l="1"/>
  <c r="S212" i="53" s="1"/>
  <c r="T212" i="53"/>
  <c r="V212" i="53"/>
  <c r="AA211" i="53"/>
  <c r="K235" i="39"/>
  <c r="M235" i="39"/>
  <c r="U212" i="53" l="1"/>
  <c r="J236" i="39"/>
  <c r="I236" i="39" s="1"/>
  <c r="G236" i="39"/>
  <c r="X212" i="53" l="1"/>
  <c r="Y212" i="53"/>
  <c r="Z212" i="53"/>
  <c r="R213" i="53"/>
  <c r="N213" i="53"/>
  <c r="L236" i="39"/>
  <c r="V213" i="53" l="1"/>
  <c r="Q213" i="53"/>
  <c r="S213" i="53" s="1"/>
  <c r="T213" i="53"/>
  <c r="AA212" i="53"/>
  <c r="K236" i="39"/>
  <c r="M236" i="39"/>
  <c r="U213" i="53" l="1"/>
  <c r="G237" i="39"/>
  <c r="J237" i="39"/>
  <c r="I237" i="39" s="1"/>
  <c r="Y213" i="53" l="1"/>
  <c r="X213" i="53"/>
  <c r="Z213" i="53"/>
  <c r="R214" i="53"/>
  <c r="N214" i="53"/>
  <c r="L237" i="39"/>
  <c r="M237" i="39"/>
  <c r="AA213" i="53" l="1"/>
  <c r="Q214" i="53"/>
  <c r="S214" i="53" s="1"/>
  <c r="T214" i="53"/>
  <c r="V214" i="53"/>
  <c r="G238" i="39"/>
  <c r="J238" i="39"/>
  <c r="I238" i="39" s="1"/>
  <c r="K237" i="39"/>
  <c r="U214" i="53" l="1"/>
  <c r="R215" i="53" s="1"/>
  <c r="X214" i="53"/>
  <c r="Y214" i="53"/>
  <c r="Z214" i="53"/>
  <c r="N215" i="53"/>
  <c r="M238" i="39"/>
  <c r="L238" i="39"/>
  <c r="AA214" i="53" l="1"/>
  <c r="Q215" i="53"/>
  <c r="S215" i="53" s="1"/>
  <c r="T215" i="53"/>
  <c r="V215" i="53"/>
  <c r="J239" i="39"/>
  <c r="I239" i="39" s="1"/>
  <c r="G239" i="39"/>
  <c r="K238" i="39"/>
  <c r="U215" i="53" l="1"/>
  <c r="L239" i="39"/>
  <c r="X215" i="53" l="1"/>
  <c r="Z215" i="53"/>
  <c r="Y215" i="53"/>
  <c r="N216" i="53"/>
  <c r="R216" i="53"/>
  <c r="K239" i="39"/>
  <c r="M239" i="39"/>
  <c r="Q216" i="53" l="1"/>
  <c r="S216" i="53" s="1"/>
  <c r="T216" i="53"/>
  <c r="V216" i="53"/>
  <c r="AA215" i="53"/>
  <c r="J240" i="39"/>
  <c r="I240" i="39" s="1"/>
  <c r="G240" i="39"/>
  <c r="U216" i="53" l="1"/>
  <c r="L240" i="39"/>
  <c r="X216" i="53" l="1"/>
  <c r="Z216" i="53"/>
  <c r="Y216" i="53"/>
  <c r="N217" i="53"/>
  <c r="R217" i="53"/>
  <c r="K240" i="39"/>
  <c r="M240" i="39"/>
  <c r="Q217" i="53" l="1"/>
  <c r="S217" i="53" s="1"/>
  <c r="T217" i="53"/>
  <c r="V217" i="53"/>
  <c r="AA216" i="53"/>
  <c r="J241" i="39"/>
  <c r="I241" i="39" s="1"/>
  <c r="G241" i="39"/>
  <c r="U217" i="53" l="1"/>
  <c r="Z217" i="53"/>
  <c r="X217" i="53"/>
  <c r="Y217" i="53"/>
  <c r="R218" i="53"/>
  <c r="N218" i="53"/>
  <c r="L241" i="39"/>
  <c r="AA217" i="53" l="1"/>
  <c r="Q218" i="53"/>
  <c r="U218" i="53" s="1"/>
  <c r="T218" i="53"/>
  <c r="V218" i="53"/>
  <c r="AE37" i="53"/>
  <c r="K241" i="39"/>
  <c r="M241" i="39"/>
  <c r="Z218" i="53" l="1"/>
  <c r="Y218" i="53"/>
  <c r="X218" i="53"/>
  <c r="N219" i="53"/>
  <c r="R219" i="53"/>
  <c r="S218" i="53"/>
  <c r="J242" i="39"/>
  <c r="I242" i="39" s="1"/>
  <c r="G242" i="39"/>
  <c r="V219" i="53" l="1"/>
  <c r="AA218" i="53"/>
  <c r="Q219" i="53"/>
  <c r="T219" i="53"/>
  <c r="L242" i="39"/>
  <c r="S219" i="53" l="1"/>
  <c r="U219" i="53"/>
  <c r="K242" i="39"/>
  <c r="M242" i="39"/>
  <c r="Y219" i="53" l="1"/>
  <c r="X219" i="53"/>
  <c r="Z219" i="53"/>
  <c r="R220" i="53"/>
  <c r="N220" i="53"/>
  <c r="J243" i="39"/>
  <c r="I243" i="39" s="1"/>
  <c r="G243" i="39"/>
  <c r="Q220" i="53" l="1"/>
  <c r="U220" i="53" s="1"/>
  <c r="T220" i="53"/>
  <c r="AA219" i="53"/>
  <c r="V220" i="53"/>
  <c r="L243" i="39"/>
  <c r="Z220" i="53" l="1"/>
  <c r="Y220" i="53"/>
  <c r="X220" i="53"/>
  <c r="R221" i="53"/>
  <c r="N221" i="53"/>
  <c r="S220" i="53"/>
  <c r="M243" i="39"/>
  <c r="K243" i="39"/>
  <c r="AA220" i="53" l="1"/>
  <c r="V221" i="53"/>
  <c r="Q221" i="53"/>
  <c r="T221" i="53"/>
  <c r="G244" i="39"/>
  <c r="J244" i="39"/>
  <c r="I244" i="39" s="1"/>
  <c r="S221" i="53" l="1"/>
  <c r="U221" i="53"/>
  <c r="M244" i="39"/>
  <c r="L244" i="39"/>
  <c r="Z221" i="53" l="1"/>
  <c r="Y221" i="53"/>
  <c r="X221" i="53"/>
  <c r="N222" i="53"/>
  <c r="R222" i="53"/>
  <c r="J245" i="39"/>
  <c r="I245" i="39" s="1"/>
  <c r="G245" i="39"/>
  <c r="K244" i="39"/>
  <c r="AA221" i="53" l="1"/>
  <c r="V222" i="53"/>
  <c r="Q222" i="53"/>
  <c r="U222" i="53" s="1"/>
  <c r="T222" i="53"/>
  <c r="L245" i="39"/>
  <c r="X222" i="53" l="1"/>
  <c r="Z222" i="53"/>
  <c r="Y222" i="53"/>
  <c r="N223" i="53"/>
  <c r="R223" i="53"/>
  <c r="S222" i="53"/>
  <c r="M245" i="39"/>
  <c r="K245" i="39"/>
  <c r="V223" i="53" l="1"/>
  <c r="Q223" i="53"/>
  <c r="S223" i="53" s="1"/>
  <c r="T223" i="53"/>
  <c r="AA222" i="53"/>
  <c r="G246" i="39"/>
  <c r="J246" i="39"/>
  <c r="I246" i="39" s="1"/>
  <c r="U223" i="53" l="1"/>
  <c r="L246" i="39"/>
  <c r="Y223" i="53" l="1"/>
  <c r="X223" i="53"/>
  <c r="Z223" i="53"/>
  <c r="N224" i="53"/>
  <c r="R224" i="53"/>
  <c r="M246" i="39"/>
  <c r="K246" i="39"/>
  <c r="AA223" i="53" l="1"/>
  <c r="V224" i="53"/>
  <c r="Q224" i="53"/>
  <c r="S224" i="53" s="1"/>
  <c r="T224" i="53"/>
  <c r="G247" i="39"/>
  <c r="J247" i="39"/>
  <c r="I247" i="39" s="1"/>
  <c r="U224" i="53" l="1"/>
  <c r="L247" i="39"/>
  <c r="Z224" i="53" l="1"/>
  <c r="Y224" i="53"/>
  <c r="X224" i="53"/>
  <c r="R225" i="53"/>
  <c r="N225" i="53"/>
  <c r="M247" i="39"/>
  <c r="K247" i="39"/>
  <c r="AA224" i="53" l="1"/>
  <c r="Q225" i="53"/>
  <c r="S225" i="53" s="1"/>
  <c r="T225" i="53"/>
  <c r="V225" i="53"/>
  <c r="J248" i="39"/>
  <c r="I248" i="39" s="1"/>
  <c r="G248" i="39"/>
  <c r="U225" i="53" l="1"/>
  <c r="R226" i="53" s="1"/>
  <c r="Z225" i="53"/>
  <c r="Y225" i="53"/>
  <c r="X225" i="53"/>
  <c r="N226" i="53"/>
  <c r="L248" i="39"/>
  <c r="AA225" i="53" l="1"/>
  <c r="V226" i="53"/>
  <c r="Q226" i="53"/>
  <c r="S226" i="53" s="1"/>
  <c r="T226" i="53"/>
  <c r="M248" i="39"/>
  <c r="K248" i="39"/>
  <c r="U226" i="53" l="1"/>
  <c r="J249" i="39"/>
  <c r="I249" i="39" s="1"/>
  <c r="G249" i="39"/>
  <c r="Z226" i="53" l="1"/>
  <c r="Y226" i="53"/>
  <c r="X226" i="53"/>
  <c r="R227" i="53"/>
  <c r="N227" i="53"/>
  <c r="L249" i="39"/>
  <c r="AA226" i="53" l="1"/>
  <c r="Q227" i="53"/>
  <c r="S227" i="53" s="1"/>
  <c r="T227" i="53"/>
  <c r="U227" i="53"/>
  <c r="V227" i="53"/>
  <c r="K249" i="39"/>
  <c r="M249" i="39"/>
  <c r="Y227" i="53" l="1"/>
  <c r="Z227" i="53"/>
  <c r="X227" i="53"/>
  <c r="R228" i="53"/>
  <c r="N228" i="53"/>
  <c r="J250" i="39"/>
  <c r="I250" i="39" s="1"/>
  <c r="G250" i="39"/>
  <c r="AA227" i="53" l="1"/>
  <c r="Q228" i="53"/>
  <c r="S228" i="53" s="1"/>
  <c r="T228" i="53"/>
  <c r="V228" i="53"/>
  <c r="L250" i="39"/>
  <c r="U228" i="53" l="1"/>
  <c r="R229" i="53" s="1"/>
  <c r="Z228" i="53"/>
  <c r="Y228" i="53"/>
  <c r="X228" i="53"/>
  <c r="N229" i="53"/>
  <c r="K250" i="39"/>
  <c r="M250" i="39"/>
  <c r="AA228" i="53" l="1"/>
  <c r="Q229" i="53"/>
  <c r="S229" i="53" s="1"/>
  <c r="T229" i="53"/>
  <c r="V229" i="53"/>
  <c r="J251" i="39"/>
  <c r="I251" i="39" s="1"/>
  <c r="G251" i="39"/>
  <c r="U229" i="53" l="1"/>
  <c r="Y229" i="53"/>
  <c r="X229" i="53"/>
  <c r="Z229" i="53"/>
  <c r="N230" i="53"/>
  <c r="R230" i="53"/>
  <c r="L251" i="39"/>
  <c r="V230" i="53" l="1"/>
  <c r="AE38" i="53"/>
  <c r="AA229" i="53"/>
  <c r="Q230" i="53"/>
  <c r="T230" i="53"/>
  <c r="K251" i="39"/>
  <c r="M251" i="39"/>
  <c r="S230" i="53" l="1"/>
  <c r="U230" i="53"/>
  <c r="J252" i="39"/>
  <c r="I252" i="39" s="1"/>
  <c r="G252" i="39"/>
  <c r="Z230" i="53" l="1"/>
  <c r="Y230" i="53"/>
  <c r="X230" i="53"/>
  <c r="N231" i="53"/>
  <c r="R231" i="53"/>
  <c r="L252" i="39"/>
  <c r="AA230" i="53" l="1"/>
  <c r="V231" i="53"/>
  <c r="Q231" i="53"/>
  <c r="U231" i="53" s="1"/>
  <c r="T231" i="53"/>
  <c r="K252" i="39"/>
  <c r="M252" i="39"/>
  <c r="Y231" i="53" l="1"/>
  <c r="X231" i="53"/>
  <c r="Z231" i="53"/>
  <c r="R232" i="53"/>
  <c r="N232" i="53"/>
  <c r="S231" i="53"/>
  <c r="J253" i="39"/>
  <c r="I253" i="39" s="1"/>
  <c r="G253" i="39"/>
  <c r="Q232" i="53" l="1"/>
  <c r="T232" i="53"/>
  <c r="AA231" i="53"/>
  <c r="U232" i="53"/>
  <c r="V232" i="53"/>
  <c r="L253" i="39"/>
  <c r="X232" i="53" l="1"/>
  <c r="Z232" i="53"/>
  <c r="Y232" i="53"/>
  <c r="N233" i="53"/>
  <c r="R233" i="53"/>
  <c r="S232" i="53"/>
  <c r="K253" i="39"/>
  <c r="M253" i="39"/>
  <c r="V233" i="53" l="1"/>
  <c r="Q233" i="53"/>
  <c r="T233" i="53"/>
  <c r="AA232" i="53"/>
  <c r="G254" i="39"/>
  <c r="J254" i="39"/>
  <c r="I254" i="39" s="1"/>
  <c r="S233" i="53" l="1"/>
  <c r="U233" i="53"/>
  <c r="L254" i="39"/>
  <c r="M254" i="39"/>
  <c r="Z233" i="53" l="1"/>
  <c r="Y233" i="53"/>
  <c r="X233" i="53"/>
  <c r="N234" i="53"/>
  <c r="R234" i="53"/>
  <c r="J255" i="39"/>
  <c r="I255" i="39" s="1"/>
  <c r="G255" i="39"/>
  <c r="K254" i="39"/>
  <c r="V234" i="53" l="1"/>
  <c r="AA233" i="53"/>
  <c r="Q234" i="53"/>
  <c r="T234" i="53"/>
  <c r="L255" i="39"/>
  <c r="S234" i="53" l="1"/>
  <c r="U234" i="53"/>
  <c r="K255" i="39"/>
  <c r="M255" i="39"/>
  <c r="Z234" i="53" l="1"/>
  <c r="Y234" i="53"/>
  <c r="X234" i="53"/>
  <c r="N235" i="53"/>
  <c r="R235" i="53"/>
  <c r="G256" i="39"/>
  <c r="J256" i="39"/>
  <c r="I256" i="39" s="1"/>
  <c r="AA234" i="53" l="1"/>
  <c r="V235" i="53"/>
  <c r="Q235" i="53"/>
  <c r="S235" i="53" s="1"/>
  <c r="T235" i="53"/>
  <c r="M256" i="39"/>
  <c r="L256" i="39"/>
  <c r="U235" i="53" l="1"/>
  <c r="R236" i="53" s="1"/>
  <c r="Z235" i="53"/>
  <c r="Y235" i="53"/>
  <c r="X235" i="53"/>
  <c r="N236" i="53"/>
  <c r="G257" i="39"/>
  <c r="J257" i="39"/>
  <c r="I257" i="39" s="1"/>
  <c r="K256" i="39"/>
  <c r="AA235" i="53" l="1"/>
  <c r="Q236" i="53"/>
  <c r="S236" i="53" s="1"/>
  <c r="T236" i="53"/>
  <c r="V236" i="53"/>
  <c r="M257" i="39"/>
  <c r="L257" i="39"/>
  <c r="U236" i="53" l="1"/>
  <c r="G258" i="39"/>
  <c r="J258" i="39"/>
  <c r="I258" i="39" s="1"/>
  <c r="K257" i="39"/>
  <c r="X236" i="53" l="1"/>
  <c r="Z236" i="53"/>
  <c r="Y236" i="53"/>
  <c r="R237" i="53"/>
  <c r="N237" i="53"/>
  <c r="M258" i="39"/>
  <c r="L258" i="39"/>
  <c r="Q237" i="53" l="1"/>
  <c r="S237" i="53" s="1"/>
  <c r="T237" i="53"/>
  <c r="V237" i="53"/>
  <c r="AA236" i="53"/>
  <c r="G259" i="39"/>
  <c r="J259" i="39"/>
  <c r="I259" i="39" s="1"/>
  <c r="K258" i="39"/>
  <c r="U237" i="53" l="1"/>
  <c r="R238" i="53" s="1"/>
  <c r="Z237" i="53"/>
  <c r="Y237" i="53"/>
  <c r="X237" i="53"/>
  <c r="N238" i="53"/>
  <c r="M259" i="39"/>
  <c r="L259" i="39"/>
  <c r="AA237" i="53" l="1"/>
  <c r="V238" i="53"/>
  <c r="Q238" i="53"/>
  <c r="S238" i="53" s="1"/>
  <c r="T238" i="53"/>
  <c r="G260" i="39"/>
  <c r="J260" i="39"/>
  <c r="I260" i="39" s="1"/>
  <c r="K259" i="39"/>
  <c r="U238" i="53" l="1"/>
  <c r="M260" i="39"/>
  <c r="L260" i="39"/>
  <c r="Y238" i="53" l="1"/>
  <c r="X238" i="53"/>
  <c r="Z238" i="53"/>
  <c r="N239" i="53"/>
  <c r="R239" i="53"/>
  <c r="J261" i="39"/>
  <c r="I261" i="39" s="1"/>
  <c r="G261" i="39"/>
  <c r="K260" i="39"/>
  <c r="V239" i="53" l="1"/>
  <c r="AA238" i="53"/>
  <c r="Q239" i="53"/>
  <c r="S239" i="53" s="1"/>
  <c r="T239" i="53"/>
  <c r="L261" i="39"/>
  <c r="U239" i="53" l="1"/>
  <c r="K261" i="39"/>
  <c r="M261" i="39"/>
  <c r="X239" i="53" l="1"/>
  <c r="Z239" i="53"/>
  <c r="Y239" i="53"/>
  <c r="R240" i="53"/>
  <c r="N240" i="53"/>
  <c r="J262" i="39"/>
  <c r="I262" i="39" s="1"/>
  <c r="G262" i="39"/>
  <c r="AA239" i="53" l="1"/>
  <c r="V240" i="53"/>
  <c r="Q240" i="53"/>
  <c r="S240" i="53" s="1"/>
  <c r="T240" i="53"/>
  <c r="L262" i="39"/>
  <c r="U240" i="53" l="1"/>
  <c r="R241" i="53" s="1"/>
  <c r="Y240" i="53"/>
  <c r="X240" i="53"/>
  <c r="Z240" i="53"/>
  <c r="N241" i="53"/>
  <c r="K262" i="39"/>
  <c r="M262" i="39"/>
  <c r="AA240" i="53" l="1"/>
  <c r="V241" i="53"/>
  <c r="Q241" i="53"/>
  <c r="S241" i="53" s="1"/>
  <c r="T241" i="53"/>
  <c r="J263" i="39"/>
  <c r="I263" i="39" s="1"/>
  <c r="G263" i="39"/>
  <c r="U241" i="53" l="1"/>
  <c r="L263" i="39"/>
  <c r="Y241" i="53" l="1"/>
  <c r="Z241" i="53"/>
  <c r="X241" i="53"/>
  <c r="N242" i="53"/>
  <c r="R242" i="53"/>
  <c r="K263" i="39"/>
  <c r="M263" i="39"/>
  <c r="AA241" i="53" l="1"/>
  <c r="V242" i="53"/>
  <c r="AE39" i="53"/>
  <c r="Q242" i="53"/>
  <c r="T242" i="53"/>
  <c r="J264" i="39"/>
  <c r="I264" i="39" s="1"/>
  <c r="G264" i="39"/>
  <c r="S242" i="53" l="1"/>
  <c r="U242" i="53"/>
  <c r="L264" i="39"/>
  <c r="Y242" i="53" l="1"/>
  <c r="X242" i="53"/>
  <c r="Z242" i="53"/>
  <c r="R243" i="53"/>
  <c r="N243" i="53"/>
  <c r="K264" i="39"/>
  <c r="M264" i="39"/>
  <c r="Q243" i="53" l="1"/>
  <c r="U243" i="53" s="1"/>
  <c r="T243" i="53"/>
  <c r="AA242" i="53"/>
  <c r="V243" i="53"/>
  <c r="J265" i="39"/>
  <c r="I265" i="39" s="1"/>
  <c r="G265" i="39"/>
  <c r="Y243" i="53" l="1"/>
  <c r="X243" i="53"/>
  <c r="Z243" i="53"/>
  <c r="R244" i="53"/>
  <c r="N244" i="53"/>
  <c r="S243" i="53"/>
  <c r="L265" i="39"/>
  <c r="Q244" i="53" l="1"/>
  <c r="U244" i="53" s="1"/>
  <c r="T244" i="53"/>
  <c r="AA243" i="53"/>
  <c r="V244" i="53"/>
  <c r="K265" i="39"/>
  <c r="M265" i="39"/>
  <c r="Z244" i="53" l="1"/>
  <c r="Y244" i="53"/>
  <c r="X244" i="53"/>
  <c r="R245" i="53"/>
  <c r="N245" i="53"/>
  <c r="S244" i="53"/>
  <c r="G266" i="39"/>
  <c r="J266" i="39"/>
  <c r="I266" i="39" s="1"/>
  <c r="Q245" i="53" l="1"/>
  <c r="T245" i="53"/>
  <c r="AA244" i="53"/>
  <c r="U245" i="53"/>
  <c r="V245" i="53"/>
  <c r="M266" i="39"/>
  <c r="L266" i="39"/>
  <c r="Y245" i="53" l="1"/>
  <c r="X245" i="53"/>
  <c r="Z245" i="53"/>
  <c r="N246" i="53"/>
  <c r="R246" i="53"/>
  <c r="S245" i="53"/>
  <c r="G267" i="39"/>
  <c r="J267" i="39"/>
  <c r="I267" i="39" s="1"/>
  <c r="K266" i="39"/>
  <c r="V246" i="53" l="1"/>
  <c r="AA245" i="53"/>
  <c r="Q246" i="53"/>
  <c r="T246" i="53"/>
  <c r="M267" i="39"/>
  <c r="L267" i="39"/>
  <c r="S246" i="53" l="1"/>
  <c r="U246" i="53"/>
  <c r="J268" i="39"/>
  <c r="I268" i="39" s="1"/>
  <c r="G268" i="39"/>
  <c r="K267" i="39"/>
  <c r="Y246" i="53" l="1"/>
  <c r="Z246" i="53"/>
  <c r="X246" i="53"/>
  <c r="N247" i="53"/>
  <c r="R247" i="53"/>
  <c r="L268" i="39"/>
  <c r="V247" i="53" l="1"/>
  <c r="AA246" i="53"/>
  <c r="Q247" i="53"/>
  <c r="S247" i="53" s="1"/>
  <c r="T247" i="53"/>
  <c r="K268" i="39"/>
  <c r="M268" i="39"/>
  <c r="U247" i="53" l="1"/>
  <c r="G269" i="39"/>
  <c r="J269" i="39"/>
  <c r="I269" i="39" s="1"/>
  <c r="X247" i="53" l="1"/>
  <c r="Y247" i="53"/>
  <c r="Z247" i="53"/>
  <c r="N248" i="53"/>
  <c r="R248" i="53"/>
  <c r="M269" i="39"/>
  <c r="L269" i="39"/>
  <c r="V248" i="53" l="1"/>
  <c r="Q248" i="53"/>
  <c r="S248" i="53" s="1"/>
  <c r="T248" i="53"/>
  <c r="AA247" i="53"/>
  <c r="J270" i="39"/>
  <c r="I270" i="39" s="1"/>
  <c r="G270" i="39"/>
  <c r="K269" i="39"/>
  <c r="U248" i="53" l="1"/>
  <c r="L270" i="39"/>
  <c r="Z248" i="53" l="1"/>
  <c r="Y248" i="53"/>
  <c r="X248" i="53"/>
  <c r="N249" i="53"/>
  <c r="R249" i="53"/>
  <c r="K270" i="39"/>
  <c r="M270" i="39"/>
  <c r="AA248" i="53" l="1"/>
  <c r="V249" i="53"/>
  <c r="Q249" i="53"/>
  <c r="S249" i="53" s="1"/>
  <c r="T249" i="53"/>
  <c r="J271" i="39"/>
  <c r="I271" i="39" s="1"/>
  <c r="G271" i="39"/>
  <c r="U249" i="53" l="1"/>
  <c r="L271" i="39"/>
  <c r="Y249" i="53" l="1"/>
  <c r="Z249" i="53"/>
  <c r="X249" i="53"/>
  <c r="N250" i="53"/>
  <c r="R250" i="53"/>
  <c r="K271" i="39"/>
  <c r="M271" i="39"/>
  <c r="AA249" i="53" l="1"/>
  <c r="V250" i="53"/>
  <c r="Q250" i="53"/>
  <c r="S250" i="53" s="1"/>
  <c r="T250" i="53"/>
  <c r="J272" i="39"/>
  <c r="I272" i="39" s="1"/>
  <c r="G272" i="39"/>
  <c r="U250" i="53" l="1"/>
  <c r="L272" i="39"/>
  <c r="X250" i="53" l="1"/>
  <c r="Z250" i="53"/>
  <c r="Y250" i="53"/>
  <c r="R251" i="53"/>
  <c r="N251" i="53"/>
  <c r="K272" i="39"/>
  <c r="M272" i="39"/>
  <c r="Q251" i="53" l="1"/>
  <c r="S251" i="53" s="1"/>
  <c r="T251" i="53"/>
  <c r="V251" i="53"/>
  <c r="AA250" i="53"/>
  <c r="J273" i="39"/>
  <c r="I273" i="39" s="1"/>
  <c r="G273" i="39"/>
  <c r="U251" i="53" l="1"/>
  <c r="X251" i="53"/>
  <c r="Y251" i="53"/>
  <c r="Z251" i="53"/>
  <c r="N252" i="53"/>
  <c r="R252" i="53"/>
  <c r="L273" i="39"/>
  <c r="V252" i="53" l="1"/>
  <c r="Q252" i="53"/>
  <c r="S252" i="53" s="1"/>
  <c r="T252" i="53"/>
  <c r="AA251" i="53"/>
  <c r="K273" i="39"/>
  <c r="M273" i="39"/>
  <c r="U252" i="53" l="1"/>
  <c r="J274" i="39"/>
  <c r="I274" i="39" s="1"/>
  <c r="G274" i="39"/>
  <c r="Z252" i="53" l="1"/>
  <c r="X252" i="53"/>
  <c r="Y252" i="53"/>
  <c r="N253" i="53"/>
  <c r="R253" i="53"/>
  <c r="L274" i="39"/>
  <c r="AA252" i="53" l="1"/>
  <c r="V253" i="53"/>
  <c r="Q253" i="53"/>
  <c r="S253" i="53" s="1"/>
  <c r="T253" i="53"/>
  <c r="K274" i="39"/>
  <c r="M274" i="39"/>
  <c r="U253" i="53" l="1"/>
  <c r="X253" i="53"/>
  <c r="Y253" i="53"/>
  <c r="Z253" i="53"/>
  <c r="R254" i="53"/>
  <c r="N254" i="53"/>
  <c r="J275" i="39"/>
  <c r="I275" i="39" s="1"/>
  <c r="G275" i="39"/>
  <c r="AA253" i="53" l="1"/>
  <c r="Q254" i="53"/>
  <c r="U254" i="53" s="1"/>
  <c r="T254" i="53"/>
  <c r="V254" i="53"/>
  <c r="AE40" i="53"/>
  <c r="L275" i="39"/>
  <c r="Y254" i="53" l="1"/>
  <c r="X254" i="53"/>
  <c r="Z254" i="53"/>
  <c r="R255" i="53"/>
  <c r="N255" i="53"/>
  <c r="S254" i="53"/>
  <c r="K275" i="39"/>
  <c r="M275" i="39"/>
  <c r="Q255" i="53" l="1"/>
  <c r="T255" i="53"/>
  <c r="AA254" i="53"/>
  <c r="U255" i="53"/>
  <c r="V255" i="53"/>
  <c r="J276" i="39"/>
  <c r="I276" i="39" s="1"/>
  <c r="G276" i="39"/>
  <c r="Y255" i="53" l="1"/>
  <c r="X255" i="53"/>
  <c r="Z255" i="53"/>
  <c r="N256" i="53"/>
  <c r="R256" i="53"/>
  <c r="S255" i="53"/>
  <c r="L276" i="39"/>
  <c r="V256" i="53" l="1"/>
  <c r="AA255" i="53"/>
  <c r="Q256" i="53"/>
  <c r="T256" i="53"/>
  <c r="M276" i="39"/>
  <c r="K276" i="39"/>
  <c r="S256" i="53" l="1"/>
  <c r="U256" i="53"/>
  <c r="J277" i="39"/>
  <c r="I277" i="39" s="1"/>
  <c r="G277" i="39"/>
  <c r="X256" i="53" l="1"/>
  <c r="Z256" i="53"/>
  <c r="Y256" i="53"/>
  <c r="R257" i="53"/>
  <c r="N257" i="53"/>
  <c r="L277" i="39"/>
  <c r="Q257" i="53" l="1"/>
  <c r="U257" i="53" s="1"/>
  <c r="T257" i="53"/>
  <c r="V257" i="53"/>
  <c r="AA256" i="53"/>
  <c r="M277" i="39"/>
  <c r="K277" i="39"/>
  <c r="Y257" i="53" l="1"/>
  <c r="Z257" i="53"/>
  <c r="X257" i="53"/>
  <c r="R258" i="53"/>
  <c r="N258" i="53"/>
  <c r="S257" i="53"/>
  <c r="G278" i="39"/>
  <c r="J278" i="39"/>
  <c r="I278" i="39" s="1"/>
  <c r="AA257" i="53" l="1"/>
  <c r="Q258" i="53"/>
  <c r="U258" i="53" s="1"/>
  <c r="T258" i="53"/>
  <c r="V258" i="53"/>
  <c r="L278" i="39"/>
  <c r="S258" i="53" l="1"/>
  <c r="Z258" i="53"/>
  <c r="Y258" i="53"/>
  <c r="X258" i="53"/>
  <c r="N259" i="53"/>
  <c r="R259" i="53"/>
  <c r="M278" i="39"/>
  <c r="K278" i="39"/>
  <c r="Q259" i="53" l="1"/>
  <c r="S259" i="53" s="1"/>
  <c r="T259" i="53"/>
  <c r="V259" i="53"/>
  <c r="AA258" i="53"/>
  <c r="G279" i="39"/>
  <c r="J279" i="39"/>
  <c r="I279" i="39" s="1"/>
  <c r="U259" i="53" l="1"/>
  <c r="Z259" i="53"/>
  <c r="X259" i="53"/>
  <c r="Y259" i="53"/>
  <c r="R260" i="53"/>
  <c r="N260" i="53"/>
  <c r="M279" i="39"/>
  <c r="L279" i="39"/>
  <c r="AA259" i="53" l="1"/>
  <c r="Q260" i="53"/>
  <c r="S260" i="53" s="1"/>
  <c r="T260" i="53"/>
  <c r="V260" i="53"/>
  <c r="G280" i="39"/>
  <c r="J280" i="39"/>
  <c r="I280" i="39" s="1"/>
  <c r="K279" i="39"/>
  <c r="U260" i="53" l="1"/>
  <c r="Z260" i="53"/>
  <c r="Y260" i="53"/>
  <c r="X260" i="53"/>
  <c r="N261" i="53"/>
  <c r="R261" i="53"/>
  <c r="M280" i="39"/>
  <c r="L280" i="39"/>
  <c r="AA260" i="53" l="1"/>
  <c r="V261" i="53"/>
  <c r="Q261" i="53"/>
  <c r="S261" i="53" s="1"/>
  <c r="T261" i="53"/>
  <c r="J281" i="39"/>
  <c r="I281" i="39" s="1"/>
  <c r="G281" i="39"/>
  <c r="K280" i="39"/>
  <c r="U261" i="53" l="1"/>
  <c r="L281" i="39"/>
  <c r="Z261" i="53" l="1"/>
  <c r="Y261" i="53"/>
  <c r="X261" i="53"/>
  <c r="R262" i="53"/>
  <c r="N262" i="53"/>
  <c r="K281" i="39"/>
  <c r="M281" i="39"/>
  <c r="AA261" i="53" l="1"/>
  <c r="Q262" i="53"/>
  <c r="S262" i="53" s="1"/>
  <c r="T262" i="53"/>
  <c r="V262" i="53"/>
  <c r="J282" i="39"/>
  <c r="I282" i="39" s="1"/>
  <c r="G282" i="39"/>
  <c r="U262" i="53" l="1"/>
  <c r="L282" i="39"/>
  <c r="I18" i="39"/>
  <c r="I19" i="39"/>
  <c r="I20" i="39"/>
  <c r="I21" i="39"/>
  <c r="I22" i="39"/>
  <c r="I23" i="39"/>
  <c r="I24" i="39"/>
  <c r="I25" i="39"/>
  <c r="I26" i="39"/>
  <c r="I27" i="39"/>
  <c r="I28" i="39"/>
  <c r="I29" i="39"/>
  <c r="I30" i="39"/>
  <c r="I31" i="39"/>
  <c r="I32" i="39"/>
  <c r="I33" i="39"/>
  <c r="Y262" i="53" l="1"/>
  <c r="X262" i="53"/>
  <c r="Z262" i="53"/>
  <c r="R263" i="53"/>
  <c r="N263" i="53"/>
  <c r="K282" i="39"/>
  <c r="M282" i="39"/>
  <c r="AA262" i="53" l="1"/>
  <c r="Q263" i="53"/>
  <c r="S263" i="53" s="1"/>
  <c r="T263" i="53"/>
  <c r="U263" i="53"/>
  <c r="V263" i="53"/>
  <c r="J283" i="39"/>
  <c r="I283" i="39" s="1"/>
  <c r="G283" i="39"/>
  <c r="X263" i="53" l="1"/>
  <c r="Y263" i="53"/>
  <c r="Z263" i="53"/>
  <c r="N264" i="53"/>
  <c r="R264" i="53"/>
  <c r="L283" i="39"/>
  <c r="I17" i="39"/>
  <c r="V264" i="53" l="1"/>
  <c r="Q264" i="53"/>
  <c r="S264" i="53" s="1"/>
  <c r="T264" i="53"/>
  <c r="AA263" i="53"/>
  <c r="K283" i="39"/>
  <c r="M283" i="39"/>
  <c r="U264" i="53" l="1"/>
  <c r="G284" i="39"/>
  <c r="J284" i="39"/>
  <c r="I284" i="39" s="1"/>
  <c r="X264" i="53" l="1"/>
  <c r="Z264" i="53"/>
  <c r="Y264" i="53"/>
  <c r="R265" i="53"/>
  <c r="N265" i="53"/>
  <c r="M284" i="39"/>
  <c r="L284" i="39"/>
  <c r="V265" i="53" l="1"/>
  <c r="Q265" i="53"/>
  <c r="S265" i="53" s="1"/>
  <c r="T265" i="53"/>
  <c r="AA264" i="53"/>
  <c r="J285" i="39"/>
  <c r="I285" i="39" s="1"/>
  <c r="G285" i="39"/>
  <c r="K284" i="39"/>
  <c r="U265" i="53" l="1"/>
  <c r="L285" i="39"/>
  <c r="Y265" i="53" l="1"/>
  <c r="X265" i="53"/>
  <c r="Z265" i="53"/>
  <c r="R266" i="53"/>
  <c r="N266" i="53"/>
  <c r="M285" i="39"/>
  <c r="K285" i="39"/>
  <c r="AA265" i="53" l="1"/>
  <c r="Q266" i="53"/>
  <c r="U266" i="53" s="1"/>
  <c r="T266" i="53"/>
  <c r="V266" i="53"/>
  <c r="AE41" i="53"/>
  <c r="J286" i="39"/>
  <c r="I286" i="39" s="1"/>
  <c r="G286" i="39"/>
  <c r="X266" i="53" l="1"/>
  <c r="Y266" i="53"/>
  <c r="Z266" i="53"/>
  <c r="R267" i="53"/>
  <c r="N267" i="53"/>
  <c r="S266" i="53"/>
  <c r="L286" i="39"/>
  <c r="Q267" i="53" l="1"/>
  <c r="U267" i="53" s="1"/>
  <c r="T267" i="53"/>
  <c r="V267" i="53"/>
  <c r="AA266" i="53"/>
  <c r="K286" i="39"/>
  <c r="M286" i="39"/>
  <c r="Z267" i="53" l="1"/>
  <c r="Y267" i="53"/>
  <c r="X267" i="53"/>
  <c r="R268" i="53"/>
  <c r="N268" i="53"/>
  <c r="S267" i="53"/>
  <c r="J287" i="39"/>
  <c r="I287" i="39" s="1"/>
  <c r="G287" i="39"/>
  <c r="Q268" i="53" l="1"/>
  <c r="U268" i="53" s="1"/>
  <c r="T268" i="53"/>
  <c r="AA267" i="53"/>
  <c r="V268" i="53"/>
  <c r="L287" i="39"/>
  <c r="Z268" i="53" l="1"/>
  <c r="Y268" i="53"/>
  <c r="X268" i="53"/>
  <c r="N269" i="53"/>
  <c r="R269" i="53"/>
  <c r="S268" i="53"/>
  <c r="K287" i="39"/>
  <c r="M287" i="39"/>
  <c r="AA268" i="53" l="1"/>
  <c r="V269" i="53"/>
  <c r="Q269" i="53"/>
  <c r="T269" i="53"/>
  <c r="J288" i="39"/>
  <c r="I288" i="39" s="1"/>
  <c r="G288" i="39"/>
  <c r="S269" i="53" l="1"/>
  <c r="U269" i="53"/>
  <c r="L288" i="39"/>
  <c r="Y269" i="53" l="1"/>
  <c r="X269" i="53"/>
  <c r="Z269" i="53"/>
  <c r="N270" i="53"/>
  <c r="R270" i="53"/>
  <c r="K288" i="39"/>
  <c r="M288" i="39"/>
  <c r="AA269" i="53" l="1"/>
  <c r="V270" i="53"/>
  <c r="Q270" i="53"/>
  <c r="U270" i="53" s="1"/>
  <c r="T270" i="53"/>
  <c r="G289" i="39"/>
  <c r="J289" i="39"/>
  <c r="I289" i="39" s="1"/>
  <c r="Z270" i="53" l="1"/>
  <c r="Y270" i="53"/>
  <c r="X270" i="53"/>
  <c r="N271" i="53"/>
  <c r="R271" i="53"/>
  <c r="S270" i="53"/>
  <c r="K289" i="39"/>
  <c r="L289" i="39"/>
  <c r="AA270" i="53" l="1"/>
  <c r="V271" i="53"/>
  <c r="Q271" i="53"/>
  <c r="S271" i="53" s="1"/>
  <c r="T271" i="53"/>
  <c r="M289" i="39"/>
  <c r="G290" i="39" s="1"/>
  <c r="U271" i="53" l="1"/>
  <c r="J290" i="39"/>
  <c r="I290" i="39" s="1"/>
  <c r="Y271" i="53" l="1"/>
  <c r="X271" i="53"/>
  <c r="Z271" i="53"/>
  <c r="N272" i="53"/>
  <c r="R272" i="53"/>
  <c r="M290" i="39"/>
  <c r="G291" i="39" s="1"/>
  <c r="M291" i="39" s="1"/>
  <c r="I16" i="39"/>
  <c r="I34" i="39"/>
  <c r="I35" i="39"/>
  <c r="L290" i="39"/>
  <c r="K295" i="39"/>
  <c r="K356" i="39"/>
  <c r="K334" i="39"/>
  <c r="K381" i="39"/>
  <c r="K380" i="39"/>
  <c r="K308" i="39"/>
  <c r="K340" i="39"/>
  <c r="K321" i="39"/>
  <c r="K305" i="39"/>
  <c r="K302" i="39"/>
  <c r="K391" i="39"/>
  <c r="K389" i="39"/>
  <c r="K314" i="39"/>
  <c r="K312" i="39"/>
  <c r="K406" i="39"/>
  <c r="K393" i="39"/>
  <c r="K372" i="39"/>
  <c r="K337" i="39"/>
  <c r="K316" i="39"/>
  <c r="K404" i="39"/>
  <c r="K325" i="39"/>
  <c r="K342" i="39"/>
  <c r="K310" i="39"/>
  <c r="K333" i="39"/>
  <c r="K397" i="39"/>
  <c r="K411" i="39"/>
  <c r="K368" i="39"/>
  <c r="K355" i="39"/>
  <c r="K350" i="39"/>
  <c r="K373" i="39"/>
  <c r="K293" i="39"/>
  <c r="K364" i="39"/>
  <c r="K371" i="39"/>
  <c r="K390" i="39"/>
  <c r="K318" i="39"/>
  <c r="K398" i="39"/>
  <c r="K292" i="39"/>
  <c r="K327" i="39"/>
  <c r="K359" i="39"/>
  <c r="K291" i="39"/>
  <c r="K379" i="39"/>
  <c r="K375" i="39"/>
  <c r="K383" i="39"/>
  <c r="K351" i="39"/>
  <c r="K377" i="39"/>
  <c r="K306" i="39"/>
  <c r="K326" i="39"/>
  <c r="K365" i="39"/>
  <c r="K353" i="39"/>
  <c r="K320" i="39"/>
  <c r="K348" i="39"/>
  <c r="K330" i="39"/>
  <c r="K328" i="39"/>
  <c r="K358" i="39"/>
  <c r="K352" i="39"/>
  <c r="K384" i="39"/>
  <c r="K407" i="39"/>
  <c r="K319" i="39"/>
  <c r="K347" i="39"/>
  <c r="K374" i="39"/>
  <c r="K409" i="39"/>
  <c r="K387" i="39"/>
  <c r="K346" i="39"/>
  <c r="K396" i="39"/>
  <c r="K301" i="39"/>
  <c r="K405" i="39"/>
  <c r="K357" i="39"/>
  <c r="K370" i="39"/>
  <c r="K303" i="39"/>
  <c r="K394" i="39"/>
  <c r="K360" i="39"/>
  <c r="K361" i="39"/>
  <c r="K304" i="39"/>
  <c r="K338" i="39"/>
  <c r="K408" i="39"/>
  <c r="K307" i="39"/>
  <c r="K335" i="39"/>
  <c r="K349" i="39"/>
  <c r="K299" i="39"/>
  <c r="K290" i="39"/>
  <c r="K354" i="39"/>
  <c r="K382" i="39"/>
  <c r="K344" i="39"/>
  <c r="K362" i="39"/>
  <c r="K336" i="39"/>
  <c r="K294" i="39"/>
  <c r="K395" i="39"/>
  <c r="K309" i="39"/>
  <c r="K366" i="39"/>
  <c r="K331" i="39"/>
  <c r="K378" i="39"/>
  <c r="K410" i="39"/>
  <c r="K343" i="39"/>
  <c r="K322" i="39"/>
  <c r="K402" i="39"/>
  <c r="K367" i="39"/>
  <c r="K363" i="39"/>
  <c r="K369" i="39"/>
  <c r="K300" i="39"/>
  <c r="K400" i="39"/>
  <c r="K376" i="39"/>
  <c r="K297" i="39"/>
  <c r="K386" i="39"/>
  <c r="K311" i="39"/>
  <c r="K332" i="39"/>
  <c r="K315" i="39"/>
  <c r="K388" i="39"/>
  <c r="K399" i="39"/>
  <c r="K296" i="39"/>
  <c r="K313" i="39"/>
  <c r="K403" i="39"/>
  <c r="K392" i="39"/>
  <c r="K324" i="39"/>
  <c r="K401" i="39"/>
  <c r="K341" i="39"/>
  <c r="K339" i="39"/>
  <c r="K385" i="39"/>
  <c r="K298" i="39"/>
  <c r="K329" i="39"/>
  <c r="K345" i="39"/>
  <c r="K323" i="39"/>
  <c r="K317" i="39"/>
  <c r="V272" i="53" l="1"/>
  <c r="AA271" i="53"/>
  <c r="Q272" i="53"/>
  <c r="S272" i="53" s="1"/>
  <c r="T272" i="53"/>
  <c r="J291" i="39"/>
  <c r="L291" i="39" s="1"/>
  <c r="K16" i="39"/>
  <c r="M16" i="39"/>
  <c r="G17" i="39" s="1"/>
  <c r="M17" i="39" s="1"/>
  <c r="G18" i="39" s="1"/>
  <c r="M18" i="39" s="1"/>
  <c r="G19" i="39" s="1"/>
  <c r="M19" i="39" s="1"/>
  <c r="G20" i="39" s="1"/>
  <c r="M20" i="39" s="1"/>
  <c r="G21" i="39" s="1"/>
  <c r="M21" i="39" s="1"/>
  <c r="G22" i="39" s="1"/>
  <c r="M22" i="39" s="1"/>
  <c r="G23" i="39" s="1"/>
  <c r="M23" i="39" s="1"/>
  <c r="G24" i="39" s="1"/>
  <c r="M24" i="39" s="1"/>
  <c r="G25" i="39" s="1"/>
  <c r="M25" i="39" s="1"/>
  <c r="G26" i="39" s="1"/>
  <c r="M26" i="39" s="1"/>
  <c r="G27" i="39" s="1"/>
  <c r="M27" i="39" s="1"/>
  <c r="G28" i="39" s="1"/>
  <c r="M28" i="39" s="1"/>
  <c r="G29" i="39" s="1"/>
  <c r="M29" i="39" s="1"/>
  <c r="G30" i="39" s="1"/>
  <c r="M30" i="39" s="1"/>
  <c r="G31" i="39" s="1"/>
  <c r="M31" i="39" s="1"/>
  <c r="G32" i="39" s="1"/>
  <c r="M32" i="39" s="1"/>
  <c r="G33" i="39" s="1"/>
  <c r="M33" i="39" s="1"/>
  <c r="G34" i="39" s="1"/>
  <c r="M34" i="39" s="1"/>
  <c r="G35" i="39" s="1"/>
  <c r="M35" i="39" s="1"/>
  <c r="G36" i="39" s="1"/>
  <c r="K21" i="39"/>
  <c r="K24" i="39"/>
  <c r="K20" i="39"/>
  <c r="K17" i="39"/>
  <c r="K19" i="39"/>
  <c r="K22" i="39"/>
  <c r="K25" i="39"/>
  <c r="K26" i="39" s="1"/>
  <c r="K27" i="39" s="1"/>
  <c r="K28" i="39" s="1"/>
  <c r="K29" i="39" s="1"/>
  <c r="K30" i="39" s="1"/>
  <c r="K31" i="39" s="1"/>
  <c r="K32" i="39" s="1"/>
  <c r="K33" i="39" s="1"/>
  <c r="K34" i="39" s="1"/>
  <c r="K35" i="39" s="1"/>
  <c r="K36" i="39" s="1"/>
  <c r="K37" i="39" s="1"/>
  <c r="K38" i="39" s="1"/>
  <c r="K18" i="39"/>
  <c r="K23" i="39"/>
  <c r="J292" i="39"/>
  <c r="G292" i="39"/>
  <c r="M292" i="39" s="1"/>
  <c r="L292" i="39" l="1"/>
  <c r="U272" i="53"/>
  <c r="M36" i="39"/>
  <c r="L36" i="39"/>
  <c r="J293" i="39"/>
  <c r="L293" i="39" s="1"/>
  <c r="G293" i="39"/>
  <c r="M293" i="39" s="1"/>
  <c r="Y272" i="53" l="1"/>
  <c r="X272" i="53"/>
  <c r="Z272" i="53"/>
  <c r="N273" i="53"/>
  <c r="R273" i="53"/>
  <c r="J294" i="39"/>
  <c r="L294" i="39" s="1"/>
  <c r="G294" i="39"/>
  <c r="M294" i="39" s="1"/>
  <c r="V273" i="53" l="1"/>
  <c r="AA272" i="53"/>
  <c r="Q273" i="53"/>
  <c r="S273" i="53" s="1"/>
  <c r="T273" i="53"/>
  <c r="G295" i="39"/>
  <c r="M295" i="39" s="1"/>
  <c r="J295" i="39"/>
  <c r="L295" i="39" s="1"/>
  <c r="U273" i="53" l="1"/>
  <c r="J296" i="39"/>
  <c r="L296" i="39" s="1"/>
  <c r="G296" i="39"/>
  <c r="M296" i="39" s="1"/>
  <c r="X273" i="53" l="1"/>
  <c r="Z273" i="53"/>
  <c r="Y273" i="53"/>
  <c r="N274" i="53"/>
  <c r="R274" i="53"/>
  <c r="J297" i="39"/>
  <c r="L297" i="39" s="1"/>
  <c r="G297" i="39"/>
  <c r="M297" i="39" s="1"/>
  <c r="AA273" i="53" l="1"/>
  <c r="V274" i="53"/>
  <c r="Q274" i="53"/>
  <c r="S274" i="53" s="1"/>
  <c r="T274" i="53"/>
  <c r="J298" i="39"/>
  <c r="L298" i="39" s="1"/>
  <c r="G298" i="39"/>
  <c r="M298" i="39" s="1"/>
  <c r="U274" i="53" l="1"/>
  <c r="G299" i="39"/>
  <c r="M299" i="39" s="1"/>
  <c r="J299" i="39"/>
  <c r="L299" i="39" s="1"/>
  <c r="Z274" i="53" l="1"/>
  <c r="Y274" i="53"/>
  <c r="X274" i="53"/>
  <c r="R275" i="53"/>
  <c r="N275" i="53"/>
  <c r="G300" i="39"/>
  <c r="M300" i="39" s="1"/>
  <c r="J300" i="39"/>
  <c r="L300" i="39" s="1"/>
  <c r="AA274" i="53" l="1"/>
  <c r="Q275" i="53"/>
  <c r="S275" i="53" s="1"/>
  <c r="T275" i="53"/>
  <c r="V275" i="53"/>
  <c r="J301" i="39"/>
  <c r="L301" i="39" s="1"/>
  <c r="G301" i="39"/>
  <c r="M301" i="39" s="1"/>
  <c r="U275" i="53" l="1"/>
  <c r="X275" i="53"/>
  <c r="Y275" i="53"/>
  <c r="Z275" i="53"/>
  <c r="R276" i="53"/>
  <c r="N276" i="53"/>
  <c r="J302" i="39"/>
  <c r="L302" i="39" s="1"/>
  <c r="G302" i="39"/>
  <c r="M302" i="39" s="1"/>
  <c r="Q276" i="53" l="1"/>
  <c r="S276" i="53" s="1"/>
  <c r="T276" i="53"/>
  <c r="V276" i="53"/>
  <c r="AA275" i="53"/>
  <c r="G303" i="39"/>
  <c r="M303" i="39" s="1"/>
  <c r="J303" i="39"/>
  <c r="L303" i="39" s="1"/>
  <c r="U276" i="53" l="1"/>
  <c r="J304" i="39"/>
  <c r="L304" i="39" s="1"/>
  <c r="G304" i="39"/>
  <c r="M304" i="39" s="1"/>
  <c r="Z276" i="53" l="1"/>
  <c r="Y276" i="53"/>
  <c r="X276" i="53"/>
  <c r="R277" i="53"/>
  <c r="N277" i="53"/>
  <c r="J305" i="39"/>
  <c r="L305" i="39" s="1"/>
  <c r="G305" i="39"/>
  <c r="M305" i="39" s="1"/>
  <c r="AA276" i="53" l="1"/>
  <c r="Q277" i="53"/>
  <c r="S277" i="53" s="1"/>
  <c r="T277" i="53"/>
  <c r="V277" i="53"/>
  <c r="J306" i="39"/>
  <c r="L306" i="39" s="1"/>
  <c r="G306" i="39"/>
  <c r="M306" i="39" s="1"/>
  <c r="U277" i="53" l="1"/>
  <c r="Z277" i="53"/>
  <c r="Y277" i="53"/>
  <c r="X277" i="53"/>
  <c r="AA277" i="53" s="1"/>
  <c r="R278" i="53"/>
  <c r="N278" i="53"/>
  <c r="J307" i="39"/>
  <c r="L307" i="39" s="1"/>
  <c r="G307" i="39"/>
  <c r="M307" i="39" s="1"/>
  <c r="Q278" i="53" l="1"/>
  <c r="U278" i="53" s="1"/>
  <c r="T278" i="53"/>
  <c r="V278" i="53"/>
  <c r="AE42" i="53"/>
  <c r="J308" i="39"/>
  <c r="L308" i="39" s="1"/>
  <c r="G308" i="39"/>
  <c r="M308" i="39" s="1"/>
  <c r="Z278" i="53" l="1"/>
  <c r="Y278" i="53"/>
  <c r="X278" i="53"/>
  <c r="R279" i="53"/>
  <c r="N279" i="53"/>
  <c r="S278" i="53"/>
  <c r="G309" i="39"/>
  <c r="M309" i="39" s="1"/>
  <c r="J309" i="39"/>
  <c r="L309" i="39" s="1"/>
  <c r="Q279" i="53" l="1"/>
  <c r="T279" i="53"/>
  <c r="AA278" i="53"/>
  <c r="U279" i="53"/>
  <c r="V279" i="53"/>
  <c r="J310" i="39"/>
  <c r="L310" i="39" s="1"/>
  <c r="G310" i="39"/>
  <c r="M310" i="39" s="1"/>
  <c r="X279" i="53" l="1"/>
  <c r="Y279" i="53"/>
  <c r="Z279" i="53"/>
  <c r="R280" i="53"/>
  <c r="N280" i="53"/>
  <c r="S279" i="53"/>
  <c r="J311" i="39"/>
  <c r="L311" i="39" s="1"/>
  <c r="G311" i="39"/>
  <c r="M311" i="39" s="1"/>
  <c r="Q280" i="53" l="1"/>
  <c r="U280" i="53" s="1"/>
  <c r="T280" i="53"/>
  <c r="V280" i="53"/>
  <c r="AA279" i="53"/>
  <c r="J312" i="39"/>
  <c r="L312" i="39" s="1"/>
  <c r="G312" i="39"/>
  <c r="M312" i="39" s="1"/>
  <c r="X280" i="53" l="1"/>
  <c r="Z280" i="53"/>
  <c r="Y280" i="53"/>
  <c r="R281" i="53"/>
  <c r="N281" i="53"/>
  <c r="S280" i="53"/>
  <c r="J313" i="39"/>
  <c r="L313" i="39" s="1"/>
  <c r="G313" i="39"/>
  <c r="M313" i="39" s="1"/>
  <c r="Q281" i="53" l="1"/>
  <c r="U281" i="53" s="1"/>
  <c r="T281" i="53"/>
  <c r="V281" i="53"/>
  <c r="AA280" i="53"/>
  <c r="J314" i="39"/>
  <c r="L314" i="39" s="1"/>
  <c r="G314" i="39"/>
  <c r="M314" i="39" s="1"/>
  <c r="X281" i="53" l="1"/>
  <c r="Z281" i="53"/>
  <c r="Y281" i="53"/>
  <c r="N282" i="53"/>
  <c r="R282" i="53"/>
  <c r="S281" i="53"/>
  <c r="J315" i="39"/>
  <c r="L315" i="39" s="1"/>
  <c r="G315" i="39"/>
  <c r="M315" i="39" s="1"/>
  <c r="V282" i="53" l="1"/>
  <c r="Q282" i="53"/>
  <c r="T282" i="53"/>
  <c r="AA281" i="53"/>
  <c r="J316" i="39"/>
  <c r="L316" i="39" s="1"/>
  <c r="G316" i="39"/>
  <c r="M316" i="39" s="1"/>
  <c r="S282" i="53" l="1"/>
  <c r="U282" i="53"/>
  <c r="J317" i="39"/>
  <c r="L317" i="39" s="1"/>
  <c r="G317" i="39"/>
  <c r="M317" i="39" s="1"/>
  <c r="X282" i="53" l="1"/>
  <c r="Y282" i="53"/>
  <c r="Z282" i="53"/>
  <c r="N283" i="53"/>
  <c r="R283" i="53"/>
  <c r="J318" i="39"/>
  <c r="L318" i="39" s="1"/>
  <c r="G318" i="39"/>
  <c r="M318" i="39" s="1"/>
  <c r="V283" i="53" l="1"/>
  <c r="Q283" i="53"/>
  <c r="S283" i="53" s="1"/>
  <c r="T283" i="53"/>
  <c r="AA282" i="53"/>
  <c r="J319" i="39"/>
  <c r="L319" i="39" s="1"/>
  <c r="G319" i="39"/>
  <c r="M319" i="39" s="1"/>
  <c r="U283" i="53" l="1"/>
  <c r="G320" i="39"/>
  <c r="M320" i="39" s="1"/>
  <c r="J320" i="39"/>
  <c r="L320" i="39" s="1"/>
  <c r="X283" i="53" l="1"/>
  <c r="Y283" i="53"/>
  <c r="Z283" i="53"/>
  <c r="N284" i="53"/>
  <c r="R284" i="53"/>
  <c r="J321" i="39"/>
  <c r="L321" i="39" s="1"/>
  <c r="G321" i="39"/>
  <c r="M321" i="39" s="1"/>
  <c r="V284" i="53" l="1"/>
  <c r="Q284" i="53"/>
  <c r="S284" i="53" s="1"/>
  <c r="T284" i="53"/>
  <c r="AA283" i="53"/>
  <c r="J322" i="39"/>
  <c r="L322" i="39" s="1"/>
  <c r="G322" i="39"/>
  <c r="M322" i="39" s="1"/>
  <c r="U284" i="53" l="1"/>
  <c r="J323" i="39"/>
  <c r="L323" i="39" s="1"/>
  <c r="G323" i="39"/>
  <c r="M323" i="39" s="1"/>
  <c r="Y284" i="53" l="1"/>
  <c r="X284" i="53"/>
  <c r="Z284" i="53"/>
  <c r="R285" i="53"/>
  <c r="N285" i="53"/>
  <c r="J324" i="39"/>
  <c r="L324" i="39" s="1"/>
  <c r="G324" i="39"/>
  <c r="M324" i="39" s="1"/>
  <c r="J16" i="39"/>
  <c r="J17" i="39"/>
  <c r="J18" i="39"/>
  <c r="J19" i="39"/>
  <c r="J20" i="39"/>
  <c r="J21" i="39"/>
  <c r="J22" i="39"/>
  <c r="J23" i="39"/>
  <c r="J24" i="39"/>
  <c r="J25" i="39"/>
  <c r="J26" i="39"/>
  <c r="J27" i="39"/>
  <c r="J28" i="39"/>
  <c r="J29" i="39"/>
  <c r="J30" i="39"/>
  <c r="J31" i="39"/>
  <c r="J32" i="39"/>
  <c r="J33" i="39"/>
  <c r="J34" i="39"/>
  <c r="J35" i="39"/>
  <c r="Q285" i="53" l="1"/>
  <c r="S285" i="53" s="1"/>
  <c r="T285" i="53"/>
  <c r="AA284" i="53"/>
  <c r="V285" i="53"/>
  <c r="J325" i="39"/>
  <c r="L325" i="39" s="1"/>
  <c r="G325" i="39"/>
  <c r="M325" i="39" s="1"/>
  <c r="L22" i="39"/>
  <c r="L18" i="39"/>
  <c r="L25" i="39"/>
  <c r="L26" i="39" s="1"/>
  <c r="L27" i="39" s="1"/>
  <c r="L28" i="39" s="1"/>
  <c r="L29" i="39" s="1"/>
  <c r="L30" i="39" s="1"/>
  <c r="L31" i="39" s="1"/>
  <c r="L32" i="39" s="1"/>
  <c r="L33" i="39" s="1"/>
  <c r="L34" i="39" s="1"/>
  <c r="L35" i="39" s="1"/>
  <c r="L21" i="39"/>
  <c r="L17" i="39"/>
  <c r="L24" i="39"/>
  <c r="L20" i="39"/>
  <c r="L16" i="39"/>
  <c r="L23" i="39"/>
  <c r="L19" i="39"/>
  <c r="U285" i="53" l="1"/>
  <c r="X285" i="53"/>
  <c r="Z285" i="53"/>
  <c r="Y285" i="53"/>
  <c r="R286" i="53"/>
  <c r="N286" i="53"/>
  <c r="J326" i="39"/>
  <c r="L326" i="39" s="1"/>
  <c r="G326" i="39"/>
  <c r="M326" i="39" s="1"/>
  <c r="Q286" i="53" l="1"/>
  <c r="S286" i="53" s="1"/>
  <c r="T286" i="53"/>
  <c r="V286" i="53"/>
  <c r="AA285" i="53"/>
  <c r="J327" i="39"/>
  <c r="G327" i="39"/>
  <c r="M327" i="39" s="1"/>
  <c r="U286" i="53" l="1"/>
  <c r="Y286" i="53"/>
  <c r="Z286" i="53"/>
  <c r="X286" i="53"/>
  <c r="R287" i="53"/>
  <c r="N287" i="53"/>
  <c r="J328" i="39"/>
  <c r="L328" i="39" s="1"/>
  <c r="G328" i="39"/>
  <c r="M328" i="39" s="1"/>
  <c r="L327" i="39"/>
  <c r="AA286" i="53" l="1"/>
  <c r="Q287" i="53"/>
  <c r="S287" i="53" s="1"/>
  <c r="T287" i="53"/>
  <c r="V287" i="53"/>
  <c r="J329" i="39"/>
  <c r="G329" i="39"/>
  <c r="M329" i="39" s="1"/>
  <c r="U287" i="53" l="1"/>
  <c r="J330" i="39"/>
  <c r="L330" i="39" s="1"/>
  <c r="G330" i="39"/>
  <c r="M330" i="39" s="1"/>
  <c r="L329" i="39"/>
  <c r="Y287" i="53" l="1"/>
  <c r="Z287" i="53"/>
  <c r="X287" i="53"/>
  <c r="N288" i="53"/>
  <c r="R288" i="53"/>
  <c r="J331" i="39"/>
  <c r="G331" i="39"/>
  <c r="M331" i="39" s="1"/>
  <c r="AA287" i="53" l="1"/>
  <c r="V288" i="53"/>
  <c r="Q288" i="53"/>
  <c r="S288" i="53" s="1"/>
  <c r="T288" i="53"/>
  <c r="J332" i="39"/>
  <c r="L332" i="39" s="1"/>
  <c r="G332" i="39"/>
  <c r="M332" i="39" s="1"/>
  <c r="L331" i="39"/>
  <c r="U288" i="53" l="1"/>
  <c r="J333" i="39"/>
  <c r="G333" i="39"/>
  <c r="M333" i="39" s="1"/>
  <c r="Y288" i="53" l="1"/>
  <c r="X288" i="53"/>
  <c r="Z288" i="53"/>
  <c r="N289" i="53"/>
  <c r="R289" i="53"/>
  <c r="J334" i="39"/>
  <c r="L334" i="39" s="1"/>
  <c r="G334" i="39"/>
  <c r="M334" i="39" s="1"/>
  <c r="L333" i="39"/>
  <c r="V289" i="53" l="1"/>
  <c r="AA288" i="53"/>
  <c r="Q289" i="53"/>
  <c r="S289" i="53" s="1"/>
  <c r="T289" i="53"/>
  <c r="J335" i="39"/>
  <c r="G335" i="39"/>
  <c r="M335" i="39" s="1"/>
  <c r="U289" i="53" l="1"/>
  <c r="J336" i="39"/>
  <c r="L336" i="39" s="1"/>
  <c r="G336" i="39"/>
  <c r="M336" i="39" s="1"/>
  <c r="L335" i="39"/>
  <c r="X289" i="53" l="1"/>
  <c r="Y289" i="53"/>
  <c r="Z289" i="53"/>
  <c r="R290" i="53"/>
  <c r="N290" i="53"/>
  <c r="J337" i="39"/>
  <c r="L337" i="39" s="1"/>
  <c r="G337" i="39"/>
  <c r="M337" i="39" s="1"/>
  <c r="AA289" i="53" l="1"/>
  <c r="Q290" i="53"/>
  <c r="U290" i="53" s="1"/>
  <c r="T290" i="53"/>
  <c r="V290" i="53"/>
  <c r="AE43" i="53"/>
  <c r="J338" i="39"/>
  <c r="L338" i="39" s="1"/>
  <c r="G338" i="39"/>
  <c r="M338" i="39" s="1"/>
  <c r="Z290" i="53" l="1"/>
  <c r="Y290" i="53"/>
  <c r="X290" i="53"/>
  <c r="N291" i="53"/>
  <c r="R291" i="53"/>
  <c r="S290" i="53"/>
  <c r="J339" i="39"/>
  <c r="L339" i="39" s="1"/>
  <c r="G339" i="39"/>
  <c r="M339" i="39" s="1"/>
  <c r="V291" i="53" l="1"/>
  <c r="AA290" i="53"/>
  <c r="Q291" i="53"/>
  <c r="T291" i="53"/>
  <c r="J340" i="39"/>
  <c r="L340" i="39" s="1"/>
  <c r="G340" i="39"/>
  <c r="M340" i="39" s="1"/>
  <c r="S291" i="53" l="1"/>
  <c r="U291" i="53"/>
  <c r="J341" i="39"/>
  <c r="L341" i="39" s="1"/>
  <c r="G341" i="39"/>
  <c r="M341" i="39" s="1"/>
  <c r="Y291" i="53" l="1"/>
  <c r="X291" i="53"/>
  <c r="Z291" i="53"/>
  <c r="N292" i="53"/>
  <c r="R292" i="53"/>
  <c r="J342" i="39"/>
  <c r="L342" i="39" s="1"/>
  <c r="G342" i="39"/>
  <c r="M342" i="39" s="1"/>
  <c r="AA291" i="53" l="1"/>
  <c r="V292" i="53"/>
  <c r="Q292" i="53"/>
  <c r="U292" i="53" s="1"/>
  <c r="T292" i="53"/>
  <c r="J343" i="39"/>
  <c r="L343" i="39" s="1"/>
  <c r="G343" i="39"/>
  <c r="M343" i="39" s="1"/>
  <c r="X292" i="53" l="1"/>
  <c r="Y292" i="53"/>
  <c r="Z292" i="53"/>
  <c r="R293" i="53"/>
  <c r="N293" i="53"/>
  <c r="S292" i="53"/>
  <c r="J344" i="39"/>
  <c r="L344" i="39" s="1"/>
  <c r="G344" i="39"/>
  <c r="M344" i="39" s="1"/>
  <c r="Q293" i="53" l="1"/>
  <c r="U293" i="53" s="1"/>
  <c r="T293" i="53"/>
  <c r="V293" i="53"/>
  <c r="AA292" i="53"/>
  <c r="J345" i="39"/>
  <c r="G345" i="39"/>
  <c r="M345" i="39" s="1"/>
  <c r="X293" i="53" l="1"/>
  <c r="Z293" i="53"/>
  <c r="Y293" i="53"/>
  <c r="N294" i="53"/>
  <c r="R294" i="53"/>
  <c r="S293" i="53"/>
  <c r="J346" i="39"/>
  <c r="L346" i="39" s="1"/>
  <c r="G346" i="39"/>
  <c r="M346" i="39" s="1"/>
  <c r="L345" i="39"/>
  <c r="M8" i="39"/>
  <c r="M9" i="39" s="1"/>
  <c r="V294" i="53" l="1"/>
  <c r="Q294" i="53"/>
  <c r="T294" i="53"/>
  <c r="AA293" i="53"/>
  <c r="J347" i="39"/>
  <c r="L347" i="39" s="1"/>
  <c r="G347" i="39"/>
  <c r="M347" i="39" s="1"/>
  <c r="S294" i="53" l="1"/>
  <c r="U294" i="53"/>
  <c r="J348" i="39"/>
  <c r="L348" i="39" s="1"/>
  <c r="G348" i="39"/>
  <c r="M348" i="39" s="1"/>
  <c r="Z294" i="53" l="1"/>
  <c r="X294" i="53"/>
  <c r="Y294" i="53"/>
  <c r="R295" i="53"/>
  <c r="N295" i="53"/>
  <c r="J349" i="39"/>
  <c r="L349" i="39" s="1"/>
  <c r="G349" i="39"/>
  <c r="M349" i="39" s="1"/>
  <c r="AA294" i="53" l="1"/>
  <c r="Q295" i="53"/>
  <c r="S295" i="53" s="1"/>
  <c r="T295" i="53"/>
  <c r="V295" i="53"/>
  <c r="J350" i="39"/>
  <c r="L350" i="39" s="1"/>
  <c r="G350" i="39"/>
  <c r="M350" i="39" s="1"/>
  <c r="U295" i="53" l="1"/>
  <c r="J351" i="39"/>
  <c r="L351" i="39" s="1"/>
  <c r="G351" i="39"/>
  <c r="M351" i="39" s="1"/>
  <c r="Y295" i="53" l="1"/>
  <c r="X295" i="53"/>
  <c r="Z295" i="53"/>
  <c r="N296" i="53"/>
  <c r="R296" i="53"/>
  <c r="J352" i="39"/>
  <c r="L352" i="39" s="1"/>
  <c r="G352" i="39"/>
  <c r="M352" i="39" s="1"/>
  <c r="AA295" i="53" l="1"/>
  <c r="V296" i="53"/>
  <c r="Q296" i="53"/>
  <c r="S296" i="53" s="1"/>
  <c r="T296" i="53"/>
  <c r="J353" i="39"/>
  <c r="L353" i="39" s="1"/>
  <c r="G353" i="39"/>
  <c r="M353" i="39" s="1"/>
  <c r="U296" i="53" l="1"/>
  <c r="J354" i="39"/>
  <c r="L354" i="39" s="1"/>
  <c r="G354" i="39"/>
  <c r="M354" i="39" s="1"/>
  <c r="X296" i="53" l="1"/>
  <c r="Z296" i="53"/>
  <c r="Y296" i="53"/>
  <c r="R297" i="53"/>
  <c r="N297" i="53"/>
  <c r="J355" i="39"/>
  <c r="L355" i="39" s="1"/>
  <c r="G355" i="39"/>
  <c r="M355" i="39" s="1"/>
  <c r="Q297" i="53" l="1"/>
  <c r="S297" i="53" s="1"/>
  <c r="T297" i="53"/>
  <c r="V297" i="53"/>
  <c r="AA296" i="53"/>
  <c r="J356" i="39"/>
  <c r="L356" i="39" s="1"/>
  <c r="G356" i="39"/>
  <c r="M356" i="39" s="1"/>
  <c r="U297" i="53" l="1"/>
  <c r="Y297" i="53"/>
  <c r="X297" i="53"/>
  <c r="Z297" i="53"/>
  <c r="R298" i="53"/>
  <c r="N298" i="53"/>
  <c r="J357" i="39"/>
  <c r="L357" i="39" s="1"/>
  <c r="G357" i="39"/>
  <c r="M357" i="39" s="1"/>
  <c r="AA297" i="53" l="1"/>
  <c r="Q298" i="53"/>
  <c r="S298" i="53" s="1"/>
  <c r="T298" i="53"/>
  <c r="V298" i="53"/>
  <c r="J358" i="39"/>
  <c r="L358" i="39" s="1"/>
  <c r="G358" i="39"/>
  <c r="M358" i="39" s="1"/>
  <c r="U298" i="53" l="1"/>
  <c r="R299" i="53" s="1"/>
  <c r="X298" i="53"/>
  <c r="Y298" i="53"/>
  <c r="Z298" i="53"/>
  <c r="N299" i="53"/>
  <c r="J359" i="39"/>
  <c r="L359" i="39" s="1"/>
  <c r="G359" i="39"/>
  <c r="M359" i="39" s="1"/>
  <c r="AA298" i="53" l="1"/>
  <c r="Q299" i="53"/>
  <c r="S299" i="53" s="1"/>
  <c r="T299" i="53"/>
  <c r="V299" i="53"/>
  <c r="J360" i="39"/>
  <c r="L360" i="39" s="1"/>
  <c r="G360" i="39"/>
  <c r="M360" i="39" s="1"/>
  <c r="U299" i="53" l="1"/>
  <c r="R300" i="53" s="1"/>
  <c r="Z299" i="53"/>
  <c r="X299" i="53"/>
  <c r="Y299" i="53"/>
  <c r="N300" i="53"/>
  <c r="G361" i="39"/>
  <c r="M361" i="39" s="1"/>
  <c r="J361" i="39"/>
  <c r="L361" i="39" s="1"/>
  <c r="Q300" i="53" l="1"/>
  <c r="S300" i="53" s="1"/>
  <c r="T300" i="53"/>
  <c r="V300" i="53"/>
  <c r="AA299" i="53"/>
  <c r="J362" i="39"/>
  <c r="L362" i="39" s="1"/>
  <c r="G362" i="39"/>
  <c r="M362" i="39" s="1"/>
  <c r="U300" i="53" l="1"/>
  <c r="G363" i="39"/>
  <c r="M363" i="39" s="1"/>
  <c r="J363" i="39"/>
  <c r="L363" i="39" s="1"/>
  <c r="Y300" i="53" l="1"/>
  <c r="X300" i="53"/>
  <c r="Z300" i="53"/>
  <c r="N301" i="53"/>
  <c r="R301" i="53"/>
  <c r="J364" i="39"/>
  <c r="L364" i="39" s="1"/>
  <c r="G364" i="39"/>
  <c r="M364" i="39" s="1"/>
  <c r="AA300" i="53" l="1"/>
  <c r="Q301" i="53"/>
  <c r="S301" i="53" s="1"/>
  <c r="T301" i="53"/>
  <c r="V301" i="53"/>
  <c r="G365" i="39"/>
  <c r="M365" i="39" s="1"/>
  <c r="J365" i="39"/>
  <c r="L365" i="39" s="1"/>
  <c r="U301" i="53" l="1"/>
  <c r="J366" i="39"/>
  <c r="L366" i="39" s="1"/>
  <c r="G366" i="39"/>
  <c r="M366" i="39" s="1"/>
  <c r="X301" i="53" l="1"/>
  <c r="Y301" i="53"/>
  <c r="Z301" i="53"/>
  <c r="R302" i="53"/>
  <c r="N302" i="53"/>
  <c r="J367" i="39"/>
  <c r="L367" i="39" s="1"/>
  <c r="G367" i="39"/>
  <c r="M367" i="39" s="1"/>
  <c r="Q302" i="53" l="1"/>
  <c r="U302" i="53" s="1"/>
  <c r="T302" i="53"/>
  <c r="V302" i="53"/>
  <c r="AE44" i="53"/>
  <c r="AA301" i="53"/>
  <c r="J368" i="39"/>
  <c r="L368" i="39" s="1"/>
  <c r="G368" i="39"/>
  <c r="M368" i="39" s="1"/>
  <c r="X302" i="53" l="1"/>
  <c r="Z302" i="53"/>
  <c r="Y302" i="53"/>
  <c r="R303" i="53"/>
  <c r="N303" i="53"/>
  <c r="S302" i="53"/>
  <c r="J369" i="39"/>
  <c r="L369" i="39" s="1"/>
  <c r="G369" i="39"/>
  <c r="M369" i="39" s="1"/>
  <c r="Q303" i="53" l="1"/>
  <c r="U303" i="53" s="1"/>
  <c r="T303" i="53"/>
  <c r="V303" i="53"/>
  <c r="AA302" i="53"/>
  <c r="J370" i="39"/>
  <c r="L370" i="39" s="1"/>
  <c r="G370" i="39"/>
  <c r="M370" i="39" s="1"/>
  <c r="Z303" i="53" l="1"/>
  <c r="X303" i="53"/>
  <c r="Y303" i="53"/>
  <c r="N304" i="53"/>
  <c r="R304" i="53"/>
  <c r="S303" i="53"/>
  <c r="J371" i="39"/>
  <c r="L371" i="39" s="1"/>
  <c r="G371" i="39"/>
  <c r="M371" i="39" s="1"/>
  <c r="V304" i="53" l="1"/>
  <c r="AA303" i="53"/>
  <c r="Q304" i="53"/>
  <c r="T304" i="53"/>
  <c r="J372" i="39"/>
  <c r="L372" i="39" s="1"/>
  <c r="G372" i="39"/>
  <c r="M372" i="39" s="1"/>
  <c r="S304" i="53" l="1"/>
  <c r="U304" i="53"/>
  <c r="J373" i="39"/>
  <c r="L373" i="39" s="1"/>
  <c r="G373" i="39"/>
  <c r="M373" i="39" s="1"/>
  <c r="X304" i="53" l="1"/>
  <c r="Z304" i="53"/>
  <c r="Y304" i="53"/>
  <c r="N305" i="53"/>
  <c r="R305" i="53"/>
  <c r="J374" i="39"/>
  <c r="L374" i="39" s="1"/>
  <c r="G374" i="39"/>
  <c r="M374" i="39" s="1"/>
  <c r="Q305" i="53" l="1"/>
  <c r="U305" i="53" s="1"/>
  <c r="T305" i="53"/>
  <c r="V305" i="53"/>
  <c r="AA304" i="53"/>
  <c r="J375" i="39"/>
  <c r="L375" i="39" s="1"/>
  <c r="G375" i="39"/>
  <c r="M375" i="39" s="1"/>
  <c r="Z305" i="53" l="1"/>
  <c r="X305" i="53"/>
  <c r="Y305" i="53"/>
  <c r="N306" i="53"/>
  <c r="R306" i="53"/>
  <c r="S305" i="53"/>
  <c r="J376" i="39"/>
  <c r="L376" i="39" s="1"/>
  <c r="G376" i="39"/>
  <c r="M376" i="39" s="1"/>
  <c r="V306" i="53" l="1"/>
  <c r="AA305" i="53"/>
  <c r="Q306" i="53"/>
  <c r="T306" i="53"/>
  <c r="J377" i="39"/>
  <c r="L377" i="39" s="1"/>
  <c r="G377" i="39"/>
  <c r="M377" i="39" s="1"/>
  <c r="S306" i="53" l="1"/>
  <c r="U306" i="53"/>
  <c r="J378" i="39"/>
  <c r="L378" i="39" s="1"/>
  <c r="G378" i="39"/>
  <c r="M378" i="39" s="1"/>
  <c r="X306" i="53" l="1"/>
  <c r="Z306" i="53"/>
  <c r="Y306" i="53"/>
  <c r="R307" i="53"/>
  <c r="N307" i="53"/>
  <c r="J379" i="39"/>
  <c r="L379" i="39" s="1"/>
  <c r="G379" i="39"/>
  <c r="M379" i="39" s="1"/>
  <c r="Q307" i="53" l="1"/>
  <c r="S307" i="53" s="1"/>
  <c r="T307" i="53"/>
  <c r="V307" i="53"/>
  <c r="AA306" i="53"/>
  <c r="J380" i="39"/>
  <c r="L380" i="39" s="1"/>
  <c r="G380" i="39"/>
  <c r="M380" i="39" s="1"/>
  <c r="U307" i="53" l="1"/>
  <c r="Z307" i="53"/>
  <c r="X307" i="53"/>
  <c r="Y307" i="53"/>
  <c r="R308" i="53"/>
  <c r="N308" i="53"/>
  <c r="J381" i="39"/>
  <c r="L381" i="39" s="1"/>
  <c r="G381" i="39"/>
  <c r="M381" i="39" s="1"/>
  <c r="AA307" i="53" l="1"/>
  <c r="Q308" i="53"/>
  <c r="S308" i="53" s="1"/>
  <c r="T308" i="53"/>
  <c r="V308" i="53"/>
  <c r="J382" i="39"/>
  <c r="L382" i="39" s="1"/>
  <c r="G382" i="39"/>
  <c r="M382" i="39" s="1"/>
  <c r="U308" i="53" l="1"/>
  <c r="R309" i="53" s="1"/>
  <c r="Y308" i="53"/>
  <c r="Z308" i="53"/>
  <c r="X308" i="53"/>
  <c r="N309" i="53"/>
  <c r="G383" i="39"/>
  <c r="M383" i="39" s="1"/>
  <c r="J383" i="39"/>
  <c r="L383" i="39" s="1"/>
  <c r="V309" i="53" l="1"/>
  <c r="AA308" i="53"/>
  <c r="Q309" i="53"/>
  <c r="S309" i="53" s="1"/>
  <c r="T309" i="53"/>
  <c r="J384" i="39"/>
  <c r="L384" i="39" s="1"/>
  <c r="G384" i="39"/>
  <c r="M384" i="39" s="1"/>
  <c r="U309" i="53" l="1"/>
  <c r="J385" i="39"/>
  <c r="L385" i="39" s="1"/>
  <c r="G385" i="39"/>
  <c r="M385" i="39" s="1"/>
  <c r="X309" i="53" l="1"/>
  <c r="Z309" i="53"/>
  <c r="Y309" i="53"/>
  <c r="N310" i="53"/>
  <c r="R310" i="53"/>
  <c r="J386" i="39"/>
  <c r="L386" i="39" s="1"/>
  <c r="G386" i="39"/>
  <c r="M386" i="39" s="1"/>
  <c r="V310" i="53" l="1"/>
  <c r="Q310" i="53"/>
  <c r="S310" i="53" s="1"/>
  <c r="T310" i="53"/>
  <c r="AA309" i="53"/>
  <c r="J387" i="39"/>
  <c r="L387" i="39" s="1"/>
  <c r="G387" i="39"/>
  <c r="M387" i="39" s="1"/>
  <c r="U310" i="53" l="1"/>
  <c r="J388" i="39"/>
  <c r="L388" i="39" s="1"/>
  <c r="G388" i="39"/>
  <c r="M388" i="39" s="1"/>
  <c r="Z310" i="53" l="1"/>
  <c r="X310" i="53"/>
  <c r="Y310" i="53"/>
  <c r="R311" i="53"/>
  <c r="N311" i="53"/>
  <c r="J389" i="39"/>
  <c r="L389" i="39" s="1"/>
  <c r="G389" i="39"/>
  <c r="M389" i="39" s="1"/>
  <c r="AA310" i="53" l="1"/>
  <c r="Q311" i="53"/>
  <c r="S311" i="53" s="1"/>
  <c r="T311" i="53"/>
  <c r="U311" i="53"/>
  <c r="V311" i="53"/>
  <c r="J390" i="39"/>
  <c r="L390" i="39" s="1"/>
  <c r="G390" i="39"/>
  <c r="M390" i="39" s="1"/>
  <c r="X311" i="53" l="1"/>
  <c r="Z311" i="53"/>
  <c r="Y311" i="53"/>
  <c r="N312" i="53"/>
  <c r="R312" i="53"/>
  <c r="J391" i="39"/>
  <c r="L391" i="39" s="1"/>
  <c r="G391" i="39"/>
  <c r="M391" i="39" s="1"/>
  <c r="AA311" i="53" l="1"/>
  <c r="V312" i="53"/>
  <c r="Q312" i="53"/>
  <c r="S312" i="53" s="1"/>
  <c r="T312" i="53"/>
  <c r="J392" i="39"/>
  <c r="L392" i="39" s="1"/>
  <c r="G392" i="39"/>
  <c r="M392" i="39" s="1"/>
  <c r="U312" i="53" l="1"/>
  <c r="J393" i="39"/>
  <c r="L393" i="39" s="1"/>
  <c r="G393" i="39"/>
  <c r="M393" i="39" s="1"/>
  <c r="X312" i="53" l="1"/>
  <c r="Z312" i="53"/>
  <c r="Y312" i="53"/>
  <c r="R313" i="53"/>
  <c r="N313" i="53"/>
  <c r="J394" i="39"/>
  <c r="L394" i="39" s="1"/>
  <c r="G394" i="39"/>
  <c r="M394" i="39" s="1"/>
  <c r="Q313" i="53" l="1"/>
  <c r="S313" i="53" s="1"/>
  <c r="T313" i="53"/>
  <c r="V313" i="53"/>
  <c r="AA312" i="53"/>
  <c r="J395" i="39"/>
  <c r="L395" i="39" s="1"/>
  <c r="G395" i="39"/>
  <c r="M395" i="39" s="1"/>
  <c r="U313" i="53" l="1"/>
  <c r="R314" i="53" s="1"/>
  <c r="N314" i="53"/>
  <c r="J396" i="39"/>
  <c r="L396" i="39" s="1"/>
  <c r="G396" i="39"/>
  <c r="M396" i="39" s="1"/>
  <c r="Y313" i="53" l="1"/>
  <c r="X313" i="53"/>
  <c r="Z313" i="53"/>
  <c r="V314" i="53"/>
  <c r="AE45" i="53"/>
  <c r="Q314" i="53"/>
  <c r="U314" i="53" s="1"/>
  <c r="T314" i="53"/>
  <c r="J397" i="39"/>
  <c r="L397" i="39" s="1"/>
  <c r="G397" i="39"/>
  <c r="M397" i="39" s="1"/>
  <c r="AA313" i="53" l="1"/>
  <c r="Y314" i="53"/>
  <c r="X314" i="53"/>
  <c r="Z314" i="53"/>
  <c r="N315" i="53"/>
  <c r="R315" i="53"/>
  <c r="S314" i="53"/>
  <c r="J398" i="39"/>
  <c r="L398" i="39" s="1"/>
  <c r="G398" i="39"/>
  <c r="M398" i="39" s="1"/>
  <c r="AA314" i="53" l="1"/>
  <c r="V315" i="53"/>
  <c r="Q315" i="53"/>
  <c r="U315" i="53" s="1"/>
  <c r="T315" i="53"/>
  <c r="J399" i="39"/>
  <c r="L399" i="39" s="1"/>
  <c r="G399" i="39"/>
  <c r="M399" i="39" s="1"/>
  <c r="X315" i="53" l="1"/>
  <c r="Z315" i="53"/>
  <c r="Y315" i="53"/>
  <c r="R316" i="53"/>
  <c r="N316" i="53"/>
  <c r="S315" i="53"/>
  <c r="J400" i="39"/>
  <c r="L400" i="39" s="1"/>
  <c r="G400" i="39"/>
  <c r="M400" i="39" s="1"/>
  <c r="Q316" i="53" l="1"/>
  <c r="U316" i="53" s="1"/>
  <c r="T316" i="53"/>
  <c r="V316" i="53"/>
  <c r="AA315" i="53"/>
  <c r="J401" i="39"/>
  <c r="L401" i="39" s="1"/>
  <c r="G401" i="39"/>
  <c r="M401" i="39" s="1"/>
  <c r="X316" i="53" l="1"/>
  <c r="Y316" i="53"/>
  <c r="Z316" i="53"/>
  <c r="N317" i="53"/>
  <c r="R317" i="53"/>
  <c r="S316" i="53"/>
  <c r="G402" i="39"/>
  <c r="M402" i="39" s="1"/>
  <c r="J402" i="39"/>
  <c r="L402" i="39" s="1"/>
  <c r="V317" i="53" l="1"/>
  <c r="Q317" i="53"/>
  <c r="T317" i="53"/>
  <c r="AA316" i="53"/>
  <c r="J403" i="39"/>
  <c r="L403" i="39" s="1"/>
  <c r="G403" i="39"/>
  <c r="M403" i="39" s="1"/>
  <c r="S317" i="53" l="1"/>
  <c r="U317" i="53"/>
  <c r="J404" i="39"/>
  <c r="L404" i="39" s="1"/>
  <c r="G404" i="39"/>
  <c r="M404" i="39" s="1"/>
  <c r="Y317" i="53" l="1"/>
  <c r="Z317" i="53"/>
  <c r="X317" i="53"/>
  <c r="R318" i="53"/>
  <c r="N318" i="53"/>
  <c r="J405" i="39"/>
  <c r="L405" i="39" s="1"/>
  <c r="G405" i="39"/>
  <c r="M405" i="39" s="1"/>
  <c r="Q318" i="53" l="1"/>
  <c r="U318" i="53" s="1"/>
  <c r="T318" i="53"/>
  <c r="AA317" i="53"/>
  <c r="V318" i="53"/>
  <c r="J406" i="39"/>
  <c r="L406" i="39" s="1"/>
  <c r="G406" i="39"/>
  <c r="M406" i="39" s="1"/>
  <c r="X318" i="53" l="1"/>
  <c r="Y318" i="53"/>
  <c r="Z318" i="53"/>
  <c r="N319" i="53"/>
  <c r="R319" i="53"/>
  <c r="S318" i="53"/>
  <c r="G407" i="39"/>
  <c r="M407" i="39" s="1"/>
  <c r="J407" i="39"/>
  <c r="L407" i="39" s="1"/>
  <c r="V319" i="53" l="1"/>
  <c r="O319" i="53"/>
  <c r="AH22" i="53"/>
  <c r="T319" i="53"/>
  <c r="AA318" i="53"/>
  <c r="J408" i="39"/>
  <c r="L408" i="39" s="1"/>
  <c r="G408" i="39"/>
  <c r="M408" i="39" s="1"/>
  <c r="Q319" i="53" l="1"/>
  <c r="J409" i="39"/>
  <c r="L409" i="39" s="1"/>
  <c r="G409" i="39"/>
  <c r="M409" i="39" s="1"/>
  <c r="S319" i="53" l="1"/>
  <c r="T10" i="53" s="1"/>
  <c r="AG21" i="53"/>
  <c r="AG23" i="53"/>
  <c r="AM23" i="53" s="1"/>
  <c r="AG24" i="53"/>
  <c r="AM24" i="53" s="1"/>
  <c r="AG25" i="53"/>
  <c r="AM25" i="53" s="1"/>
  <c r="AG26" i="53"/>
  <c r="AM26" i="53" s="1"/>
  <c r="AG27" i="53"/>
  <c r="AM27" i="53" s="1"/>
  <c r="AG28" i="53"/>
  <c r="AM28" i="53" s="1"/>
  <c r="AG29" i="53"/>
  <c r="AM29" i="53" s="1"/>
  <c r="AG30" i="53"/>
  <c r="AM30" i="53" s="1"/>
  <c r="AG31" i="53"/>
  <c r="AM31" i="53" s="1"/>
  <c r="AG32" i="53"/>
  <c r="AM32" i="53" s="1"/>
  <c r="AG33" i="53"/>
  <c r="AM33" i="53" s="1"/>
  <c r="AG34" i="53"/>
  <c r="AM34" i="53" s="1"/>
  <c r="AG35" i="53"/>
  <c r="AM35" i="53" s="1"/>
  <c r="AG36" i="53"/>
  <c r="AM36" i="53" s="1"/>
  <c r="AG37" i="53"/>
  <c r="AM37" i="53" s="1"/>
  <c r="AG38" i="53"/>
  <c r="AM38" i="53" s="1"/>
  <c r="AG39" i="53"/>
  <c r="AM39" i="53" s="1"/>
  <c r="AG40" i="53"/>
  <c r="AM40" i="53" s="1"/>
  <c r="AG41" i="53"/>
  <c r="AM41" i="53" s="1"/>
  <c r="AG42" i="53"/>
  <c r="AM42" i="53" s="1"/>
  <c r="AG43" i="53"/>
  <c r="AM43" i="53" s="1"/>
  <c r="AG44" i="53"/>
  <c r="AM44" i="53" s="1"/>
  <c r="AG45" i="53"/>
  <c r="AM45" i="53" s="1"/>
  <c r="U319" i="53"/>
  <c r="J410" i="39"/>
  <c r="L410" i="39" s="1"/>
  <c r="G410" i="39"/>
  <c r="M410" i="39" s="1"/>
  <c r="R320" i="53" l="1"/>
  <c r="X319" i="53"/>
  <c r="Z319" i="53"/>
  <c r="AA10" i="53" s="1"/>
  <c r="Y319" i="53"/>
  <c r="AA9" i="53" s="1"/>
  <c r="AM21" i="53"/>
  <c r="AJ21" i="53"/>
  <c r="AJ23" i="53"/>
  <c r="AJ22" i="53"/>
  <c r="AJ24" i="53"/>
  <c r="AJ25" i="53"/>
  <c r="AJ26" i="53"/>
  <c r="AJ27" i="53"/>
  <c r="AJ28" i="53"/>
  <c r="AJ29" i="53"/>
  <c r="AJ30" i="53"/>
  <c r="AJ31" i="53"/>
  <c r="AJ32" i="53"/>
  <c r="AJ33" i="53"/>
  <c r="AJ34" i="53"/>
  <c r="AJ35" i="53"/>
  <c r="AJ36" i="53"/>
  <c r="AJ37" i="53"/>
  <c r="AJ38" i="53"/>
  <c r="AJ39" i="53"/>
  <c r="AJ40" i="53"/>
  <c r="AJ41" i="53"/>
  <c r="AJ42" i="53"/>
  <c r="AJ43" i="53"/>
  <c r="AJ44" i="53"/>
  <c r="AJ45" i="53"/>
  <c r="J411" i="39"/>
  <c r="L411" i="39" s="1"/>
  <c r="G411" i="39"/>
  <c r="M411" i="39" s="1"/>
  <c r="AI21" i="53" l="1"/>
  <c r="AI23" i="53"/>
  <c r="AA11" i="53"/>
  <c r="AA8" i="53"/>
  <c r="AI24" i="53"/>
  <c r="AI25" i="53"/>
  <c r="AI26" i="53"/>
  <c r="AI27" i="53"/>
  <c r="AI28" i="53"/>
  <c r="AI29" i="53"/>
  <c r="AI30" i="53"/>
  <c r="AI31" i="53"/>
  <c r="AI32" i="53"/>
  <c r="AI33" i="53"/>
  <c r="AI34" i="53"/>
  <c r="AI35" i="53"/>
  <c r="AI36" i="53"/>
  <c r="AI37" i="53"/>
  <c r="AI38" i="53"/>
  <c r="AI39" i="53"/>
  <c r="AI40" i="53"/>
  <c r="AI41" i="53"/>
  <c r="AI42" i="53"/>
  <c r="AI43" i="53"/>
  <c r="AI44" i="53"/>
  <c r="AI45" i="53"/>
  <c r="AA319" i="53"/>
  <c r="AH21" i="53"/>
  <c r="AH23" i="53"/>
  <c r="AH24" i="53"/>
  <c r="AH25" i="53"/>
  <c r="AH26" i="53"/>
  <c r="AH27" i="53"/>
  <c r="AH28" i="53"/>
  <c r="AH29" i="53"/>
  <c r="AH30" i="53"/>
  <c r="AH31" i="53"/>
  <c r="AH32" i="53"/>
  <c r="AH33" i="53"/>
  <c r="AH34" i="53"/>
  <c r="AH35" i="53"/>
  <c r="AH36" i="53"/>
  <c r="AH37" i="53"/>
  <c r="AH38" i="53"/>
  <c r="AH39" i="53"/>
  <c r="AH40" i="53"/>
  <c r="AH41" i="53"/>
  <c r="AH42" i="53"/>
  <c r="AH43" i="53"/>
  <c r="AH44" i="53"/>
  <c r="AH45" i="53"/>
  <c r="AK21" i="53" l="1"/>
  <c r="AK23" i="53"/>
  <c r="AK27" i="53"/>
  <c r="AK31" i="53"/>
  <c r="AK24" i="53"/>
  <c r="AK28" i="53"/>
  <c r="AK25" i="53"/>
  <c r="AK29" i="53"/>
  <c r="AK22" i="53"/>
  <c r="AK26" i="53"/>
  <c r="AK30" i="53"/>
  <c r="AK32" i="53"/>
  <c r="AK33" i="53"/>
  <c r="AK34" i="53"/>
  <c r="AK35" i="53"/>
  <c r="AK36" i="53"/>
  <c r="AK37" i="53"/>
  <c r="AK38" i="53"/>
  <c r="AK39" i="53"/>
  <c r="AK40" i="53"/>
  <c r="AK41" i="53"/>
  <c r="AK42" i="53"/>
  <c r="AK43" i="53"/>
  <c r="AK44" i="53"/>
  <c r="AK45" i="53"/>
  <c r="AF20" i="53"/>
  <c r="AF21" i="53"/>
  <c r="AF22" i="53"/>
  <c r="AF23" i="53"/>
  <c r="AA12" i="53"/>
  <c r="AF24" i="53"/>
  <c r="AF25" i="53"/>
  <c r="AF26" i="53"/>
  <c r="AF27" i="53"/>
  <c r="AF28" i="53"/>
  <c r="AF29" i="53"/>
  <c r="AF30" i="53"/>
  <c r="AF31" i="53"/>
  <c r="AF32" i="53"/>
  <c r="AF33" i="53"/>
  <c r="AF34" i="53"/>
  <c r="AF35" i="53"/>
  <c r="AF36" i="53"/>
  <c r="AF37" i="53"/>
  <c r="AF38" i="53"/>
  <c r="AF39" i="53"/>
  <c r="AF40" i="53"/>
  <c r="AF41" i="53"/>
  <c r="AF42" i="53"/>
  <c r="AF43" i="53"/>
  <c r="AF44" i="53"/>
  <c r="AF45" i="53"/>
  <c r="AL21" i="53"/>
  <c r="AL48" i="53"/>
  <c r="AL47" i="53"/>
  <c r="AL25" i="53"/>
  <c r="AL29" i="53"/>
  <c r="AL33" i="53"/>
  <c r="AL37" i="53"/>
  <c r="AL41" i="53"/>
  <c r="AL46" i="53"/>
  <c r="AL44" i="53"/>
  <c r="AL26" i="53"/>
  <c r="AL30" i="53"/>
  <c r="AL34" i="53"/>
  <c r="AL38" i="53"/>
  <c r="AL42" i="53"/>
  <c r="AL22" i="53"/>
  <c r="AL24" i="53"/>
  <c r="AL28" i="53"/>
  <c r="AL36" i="53"/>
  <c r="AL40" i="53"/>
  <c r="AL45" i="53"/>
  <c r="AL49" i="53"/>
  <c r="AL27" i="53"/>
  <c r="AL31" i="53"/>
  <c r="AL35" i="53"/>
  <c r="AL39" i="53"/>
  <c r="AL43" i="53"/>
  <c r="AL23" i="53"/>
  <c r="AL32" i="53"/>
  <c r="G23" i="14"/>
  <c r="H23" i="14" s="1"/>
  <c r="Q23" i="14" s="1"/>
  <c r="P23" i="14" l="1"/>
  <c r="R23" i="14"/>
  <c r="O23" i="14"/>
  <c r="H33" i="14"/>
  <c r="G33" i="14"/>
  <c r="Q33" i="14"/>
  <c r="R33" i="14" l="1"/>
  <c r="G24" i="14" l="1"/>
  <c r="H24" i="14" s="1"/>
  <c r="Q24" i="14" s="1"/>
  <c r="R24" i="14" s="1"/>
  <c r="P24" i="14" l="1"/>
  <c r="O24" i="14"/>
  <c r="G26" i="14"/>
  <c r="H26" i="14" s="1"/>
  <c r="Q26" i="14" s="1"/>
  <c r="P26" i="14" l="1"/>
  <c r="R26" i="14"/>
  <c r="O26" i="14"/>
  <c r="G29" i="14"/>
  <c r="H29" i="14" s="1"/>
  <c r="Q29" i="14" s="1"/>
  <c r="P29" i="14"/>
  <c r="G30" i="14"/>
  <c r="H30" i="14" s="1"/>
  <c r="Q30" i="14" s="1"/>
  <c r="G28" i="14"/>
  <c r="H28" i="14" s="1"/>
  <c r="Q28" i="14" s="1"/>
  <c r="G27" i="14"/>
  <c r="H27" i="14" s="1"/>
  <c r="Q27" i="14" s="1"/>
  <c r="P28" i="14" l="1"/>
  <c r="P27" i="14"/>
  <c r="P30" i="14"/>
  <c r="O28" i="14"/>
  <c r="R27" i="14"/>
  <c r="O29" i="14"/>
  <c r="O27" i="14"/>
  <c r="R29" i="14"/>
  <c r="O30" i="14"/>
  <c r="R28" i="14"/>
  <c r="R30" i="14"/>
  <c r="G9" i="22" l="1"/>
  <c r="R7" i="15"/>
  <c r="S7" i="15" s="1"/>
  <c r="H4" i="28"/>
  <c r="J64" i="57" l="1"/>
  <c r="G122" i="22"/>
  <c r="G123" i="22"/>
  <c r="G124" i="22"/>
  <c r="G89" i="22"/>
  <c r="G104" i="22"/>
  <c r="G105" i="22"/>
  <c r="G88" i="22"/>
  <c r="G97" i="22"/>
  <c r="G96" i="22"/>
  <c r="G116" i="22"/>
  <c r="G115" i="22"/>
  <c r="G114" i="22"/>
  <c r="G117" i="22"/>
  <c r="I9" i="22"/>
  <c r="S8" i="15"/>
  <c r="T7" i="15"/>
  <c r="U7" i="15" s="1"/>
  <c r="U8" i="15" s="1"/>
  <c r="H9" i="22"/>
  <c r="R8" i="15"/>
  <c r="H31" i="28"/>
  <c r="B31" i="32"/>
  <c r="C31" i="32" s="1"/>
  <c r="G11" i="22"/>
  <c r="G86" i="22"/>
  <c r="G13" i="22"/>
  <c r="H5" i="28"/>
  <c r="S50" i="58" l="1"/>
  <c r="K64" i="57"/>
  <c r="L64" i="57"/>
  <c r="H208" i="58"/>
  <c r="H219" i="58" s="1"/>
  <c r="H241" i="58" s="1"/>
  <c r="H257" i="58" s="1"/>
  <c r="H273" i="58" s="1"/>
  <c r="H289" i="58" s="1"/>
  <c r="H89" i="58"/>
  <c r="H100" i="58" s="1"/>
  <c r="H122" i="58" s="1"/>
  <c r="H138" i="58" s="1"/>
  <c r="H154" i="58" s="1"/>
  <c r="H170" i="58" s="1"/>
  <c r="H190" i="58"/>
  <c r="H71" i="58"/>
  <c r="H122" i="22"/>
  <c r="H123" i="22"/>
  <c r="H124" i="22"/>
  <c r="I124" i="22"/>
  <c r="I123" i="22"/>
  <c r="I122" i="22"/>
  <c r="H88" i="22"/>
  <c r="H89" i="22"/>
  <c r="H96" i="22"/>
  <c r="H105" i="22"/>
  <c r="H97" i="22"/>
  <c r="H104" i="22"/>
  <c r="H114" i="22"/>
  <c r="H115" i="22"/>
  <c r="H116" i="22"/>
  <c r="I97" i="22"/>
  <c r="I104" i="22"/>
  <c r="I96" i="22"/>
  <c r="I105" i="22"/>
  <c r="I89" i="22"/>
  <c r="I88" i="22"/>
  <c r="I116" i="22"/>
  <c r="I115" i="22"/>
  <c r="I114" i="22"/>
  <c r="H12" i="28"/>
  <c r="H11" i="28"/>
  <c r="I117" i="22"/>
  <c r="H117" i="22"/>
  <c r="I86" i="22"/>
  <c r="I11" i="22"/>
  <c r="J5" i="28"/>
  <c r="J6" i="28" s="1"/>
  <c r="H86" i="22"/>
  <c r="H11" i="22"/>
  <c r="I5" i="28"/>
  <c r="I6" i="28" s="1"/>
  <c r="D70" i="27" s="1"/>
  <c r="L9" i="22"/>
  <c r="T8" i="15"/>
  <c r="H6" i="28"/>
  <c r="M9" i="22"/>
  <c r="V7" i="15"/>
  <c r="V8" i="15" s="1"/>
  <c r="H8" i="22"/>
  <c r="B32" i="32"/>
  <c r="C32" i="32" s="1"/>
  <c r="D69" i="27" l="1"/>
  <c r="D27" i="27"/>
  <c r="D71" i="27"/>
  <c r="D29" i="27"/>
  <c r="E28" i="27"/>
  <c r="E29" i="27" s="1"/>
  <c r="E30" i="27" s="1"/>
  <c r="E31" i="27" s="1"/>
  <c r="E32" i="27" s="1"/>
  <c r="E33" i="27" s="1"/>
  <c r="E34" i="27" s="1"/>
  <c r="E35" i="27" s="1"/>
  <c r="E36" i="27" s="1"/>
  <c r="E70" i="27"/>
  <c r="E71" i="27" s="1"/>
  <c r="E72" i="27" s="1"/>
  <c r="E73" i="27" s="1"/>
  <c r="E74" i="27" s="1"/>
  <c r="E75" i="27" s="1"/>
  <c r="E76" i="27" s="1"/>
  <c r="E77" i="27" s="1"/>
  <c r="E78" i="27" s="1"/>
  <c r="E79" i="27" s="1"/>
  <c r="S53" i="58"/>
  <c r="S91" i="58"/>
  <c r="S210" i="58"/>
  <c r="K63" i="57"/>
  <c r="N64" i="57"/>
  <c r="M64" i="57"/>
  <c r="K68" i="57"/>
  <c r="K67" i="57"/>
  <c r="L67" i="57"/>
  <c r="L68" i="57"/>
  <c r="I71" i="58"/>
  <c r="I208" i="58"/>
  <c r="I219" i="58" s="1"/>
  <c r="I241" i="58" s="1"/>
  <c r="I257" i="58" s="1"/>
  <c r="I273" i="58" s="1"/>
  <c r="I289" i="58" s="1"/>
  <c r="I89" i="58"/>
  <c r="I100" i="58" s="1"/>
  <c r="I122" i="58" s="1"/>
  <c r="I138" i="58" s="1"/>
  <c r="I154" i="58" s="1"/>
  <c r="I170" i="58" s="1"/>
  <c r="I190" i="58"/>
  <c r="J208" i="58"/>
  <c r="J219" i="58" s="1"/>
  <c r="J241" i="58" s="1"/>
  <c r="J257" i="58" s="1"/>
  <c r="J273" i="58" s="1"/>
  <c r="J289" i="58" s="1"/>
  <c r="J190" i="58"/>
  <c r="J89" i="58"/>
  <c r="J100" i="58" s="1"/>
  <c r="J122" i="58" s="1"/>
  <c r="J138" i="58" s="1"/>
  <c r="J154" i="58" s="1"/>
  <c r="J170" i="58" s="1"/>
  <c r="J71" i="58"/>
  <c r="L124" i="22"/>
  <c r="L123" i="22"/>
  <c r="L122" i="22"/>
  <c r="M124" i="22"/>
  <c r="M123" i="22"/>
  <c r="M122" i="22"/>
  <c r="M96" i="22"/>
  <c r="M105" i="22"/>
  <c r="M104" i="22"/>
  <c r="M89" i="22"/>
  <c r="M97" i="22"/>
  <c r="M88" i="22"/>
  <c r="M116" i="22"/>
  <c r="M115" i="22"/>
  <c r="M114" i="22"/>
  <c r="L89" i="22"/>
  <c r="L96" i="22"/>
  <c r="L105" i="22"/>
  <c r="L97" i="22"/>
  <c r="L104" i="22"/>
  <c r="L88" i="22"/>
  <c r="L116" i="22"/>
  <c r="L115" i="22"/>
  <c r="L114" i="22"/>
  <c r="L117" i="22"/>
  <c r="J12" i="28"/>
  <c r="I12" i="28"/>
  <c r="M117" i="22"/>
  <c r="J11" i="28"/>
  <c r="I11" i="28"/>
  <c r="J32" i="28"/>
  <c r="L11" i="22"/>
  <c r="K5" i="28"/>
  <c r="L86" i="22"/>
  <c r="I4" i="28"/>
  <c r="H13" i="22"/>
  <c r="L5" i="28"/>
  <c r="M11" i="22"/>
  <c r="M86" i="22"/>
  <c r="I8" i="22"/>
  <c r="B33" i="32"/>
  <c r="C33" i="32" s="1"/>
  <c r="H32" i="28"/>
  <c r="D28" i="27"/>
  <c r="I32" i="28"/>
  <c r="N9" i="22"/>
  <c r="W7" i="15"/>
  <c r="W8" i="15" s="1"/>
  <c r="S94" i="58" l="1"/>
  <c r="S213" i="58"/>
  <c r="L71" i="57"/>
  <c r="L63" i="57"/>
  <c r="O64" i="57"/>
  <c r="K71" i="57"/>
  <c r="M67" i="57"/>
  <c r="M68" i="57"/>
  <c r="N67" i="57"/>
  <c r="N68" i="57"/>
  <c r="K71" i="58"/>
  <c r="K208" i="58"/>
  <c r="K219" i="58" s="1"/>
  <c r="K241" i="58" s="1"/>
  <c r="K257" i="58" s="1"/>
  <c r="K273" i="58" s="1"/>
  <c r="K289" i="58" s="1"/>
  <c r="K190" i="58"/>
  <c r="K89" i="58"/>
  <c r="K100" i="58" s="1"/>
  <c r="K122" i="58" s="1"/>
  <c r="K138" i="58" s="1"/>
  <c r="K154" i="58" s="1"/>
  <c r="K170" i="58" s="1"/>
  <c r="L89" i="58"/>
  <c r="L100" i="58" s="1"/>
  <c r="L122" i="58" s="1"/>
  <c r="L138" i="58" s="1"/>
  <c r="L154" i="58" s="1"/>
  <c r="L170" i="58" s="1"/>
  <c r="L71" i="58"/>
  <c r="L208" i="58"/>
  <c r="L219" i="58" s="1"/>
  <c r="L241" i="58" s="1"/>
  <c r="L257" i="58" s="1"/>
  <c r="L273" i="58" s="1"/>
  <c r="L289" i="58" s="1"/>
  <c r="L190" i="58"/>
  <c r="E37" i="27"/>
  <c r="N124" i="22"/>
  <c r="N123" i="22"/>
  <c r="N122" i="22"/>
  <c r="N88" i="22"/>
  <c r="N97" i="22"/>
  <c r="N104" i="22"/>
  <c r="N96" i="22"/>
  <c r="N105" i="22"/>
  <c r="N89" i="22"/>
  <c r="N116" i="22"/>
  <c r="N115" i="22"/>
  <c r="N114" i="22"/>
  <c r="N117" i="22"/>
  <c r="L6" i="28"/>
  <c r="L11" i="28"/>
  <c r="L12" i="28"/>
  <c r="K6" i="28"/>
  <c r="K12" i="28"/>
  <c r="K11" i="28"/>
  <c r="J4" i="28"/>
  <c r="X7" i="15"/>
  <c r="X8" i="15" s="1"/>
  <c r="O9" i="22"/>
  <c r="N11" i="22"/>
  <c r="M5" i="28"/>
  <c r="N86" i="22"/>
  <c r="L8" i="22"/>
  <c r="B34" i="32"/>
  <c r="C34" i="32" s="1"/>
  <c r="L32" i="28"/>
  <c r="I13" i="22"/>
  <c r="I31" i="28"/>
  <c r="K32" i="28" l="1"/>
  <c r="D72" i="27"/>
  <c r="D30" i="27"/>
  <c r="D73" i="27"/>
  <c r="D31" i="27"/>
  <c r="S246" i="58"/>
  <c r="S278" i="58"/>
  <c r="S262" i="58"/>
  <c r="S225" i="58"/>
  <c r="S159" i="58"/>
  <c r="S106" i="58"/>
  <c r="S127" i="58"/>
  <c r="M71" i="57"/>
  <c r="M63" i="57"/>
  <c r="P64" i="57"/>
  <c r="N71" i="57"/>
  <c r="O68" i="57"/>
  <c r="O67" i="57"/>
  <c r="M190" i="58"/>
  <c r="M89" i="58"/>
  <c r="M100" i="58" s="1"/>
  <c r="M122" i="58" s="1"/>
  <c r="M138" i="58" s="1"/>
  <c r="M154" i="58" s="1"/>
  <c r="M170" i="58" s="1"/>
  <c r="M71" i="58"/>
  <c r="M208" i="58"/>
  <c r="M219" i="58" s="1"/>
  <c r="M241" i="58" s="1"/>
  <c r="M257" i="58" s="1"/>
  <c r="M273" i="58" s="1"/>
  <c r="M289" i="58" s="1"/>
  <c r="O124" i="22"/>
  <c r="O123" i="22"/>
  <c r="O122" i="22"/>
  <c r="O97" i="22"/>
  <c r="O104" i="22"/>
  <c r="O88" i="22"/>
  <c r="O96" i="22"/>
  <c r="O105" i="22"/>
  <c r="O89" i="22"/>
  <c r="O116" i="22"/>
  <c r="O115" i="22"/>
  <c r="O114" i="22"/>
  <c r="M6" i="28"/>
  <c r="M11" i="28"/>
  <c r="M12" i="28"/>
  <c r="O117" i="22"/>
  <c r="O129" i="22"/>
  <c r="N5" i="28"/>
  <c r="O11" i="22"/>
  <c r="O86" i="22"/>
  <c r="J31" i="28"/>
  <c r="M8" i="22"/>
  <c r="B35" i="32"/>
  <c r="C35" i="32" s="1"/>
  <c r="P9" i="22"/>
  <c r="Y7" i="15"/>
  <c r="Y8" i="15" s="1"/>
  <c r="K4" i="28"/>
  <c r="L13" i="22"/>
  <c r="D74" i="27" l="1"/>
  <c r="D32" i="27"/>
  <c r="M32" i="28"/>
  <c r="S195" i="58"/>
  <c r="S203" i="58"/>
  <c r="O71" i="57"/>
  <c r="Q64" i="57"/>
  <c r="N63" i="57"/>
  <c r="P68" i="57"/>
  <c r="P67" i="57"/>
  <c r="N71" i="58"/>
  <c r="N208" i="58"/>
  <c r="N219" i="58" s="1"/>
  <c r="N241" i="58" s="1"/>
  <c r="N257" i="58" s="1"/>
  <c r="N273" i="58" s="1"/>
  <c r="N289" i="58" s="1"/>
  <c r="N89" i="58"/>
  <c r="N100" i="58" s="1"/>
  <c r="N122" i="58" s="1"/>
  <c r="N138" i="58" s="1"/>
  <c r="N154" i="58" s="1"/>
  <c r="N170" i="58" s="1"/>
  <c r="N190" i="58"/>
  <c r="P124" i="22"/>
  <c r="P123" i="22"/>
  <c r="P122" i="22"/>
  <c r="P89" i="22"/>
  <c r="P88" i="22"/>
  <c r="P97" i="22"/>
  <c r="P104" i="22"/>
  <c r="P96" i="22"/>
  <c r="P105" i="22"/>
  <c r="P116" i="22"/>
  <c r="P115" i="22"/>
  <c r="P114" i="22"/>
  <c r="N6" i="28"/>
  <c r="N32" i="28" s="1"/>
  <c r="N11" i="28"/>
  <c r="N12" i="28"/>
  <c r="P117" i="22"/>
  <c r="P75" i="22"/>
  <c r="P129" i="22"/>
  <c r="Q9" i="22"/>
  <c r="Z7" i="15"/>
  <c r="Z8" i="15" s="1"/>
  <c r="K31" i="28"/>
  <c r="N8" i="22"/>
  <c r="B36" i="32"/>
  <c r="C36" i="32" s="1"/>
  <c r="L4" i="28"/>
  <c r="M13" i="22"/>
  <c r="P11" i="22"/>
  <c r="O5" i="28"/>
  <c r="P86" i="22"/>
  <c r="D75" i="27" l="1"/>
  <c r="D33" i="27"/>
  <c r="P71" i="57"/>
  <c r="R64" i="57"/>
  <c r="O71" i="58"/>
  <c r="O208" i="58"/>
  <c r="O219" i="58" s="1"/>
  <c r="O241" i="58" s="1"/>
  <c r="O257" i="58" s="1"/>
  <c r="O273" i="58" s="1"/>
  <c r="O289" i="58" s="1"/>
  <c r="O89" i="58"/>
  <c r="O100" i="58" s="1"/>
  <c r="O122" i="58" s="1"/>
  <c r="O138" i="58" s="1"/>
  <c r="O154" i="58" s="1"/>
  <c r="O170" i="58" s="1"/>
  <c r="O190" i="58"/>
  <c r="O63" i="57"/>
  <c r="Q68" i="57"/>
  <c r="Q67" i="57"/>
  <c r="Q124" i="22"/>
  <c r="Q123" i="22"/>
  <c r="Q122" i="22"/>
  <c r="Q96" i="22"/>
  <c r="Q105" i="22"/>
  <c r="Q97" i="22"/>
  <c r="Q88" i="22"/>
  <c r="Q89" i="22"/>
  <c r="Q104" i="22"/>
  <c r="Q116" i="22"/>
  <c r="Q115" i="22"/>
  <c r="Q114" i="22"/>
  <c r="Q117" i="22"/>
  <c r="O6" i="28"/>
  <c r="O12" i="28"/>
  <c r="O11" i="28"/>
  <c r="Q75" i="22"/>
  <c r="Q129" i="22"/>
  <c r="O8" i="22"/>
  <c r="B37" i="32"/>
  <c r="C37" i="32" s="1"/>
  <c r="M4" i="28"/>
  <c r="N13" i="22"/>
  <c r="AA7" i="15"/>
  <c r="R9" i="22"/>
  <c r="O32" i="28"/>
  <c r="L31" i="28"/>
  <c r="Q86" i="22"/>
  <c r="Q11" i="22"/>
  <c r="P5" i="28"/>
  <c r="D76" i="27" l="1"/>
  <c r="D34" i="27"/>
  <c r="S64" i="57"/>
  <c r="Q71" i="57"/>
  <c r="P63" i="57"/>
  <c r="R67" i="57"/>
  <c r="R68" i="57"/>
  <c r="P190" i="58"/>
  <c r="P71" i="58"/>
  <c r="P208" i="58"/>
  <c r="P219" i="58" s="1"/>
  <c r="P241" i="58" s="1"/>
  <c r="P257" i="58" s="1"/>
  <c r="P273" i="58" s="1"/>
  <c r="P289" i="58" s="1"/>
  <c r="P89" i="58"/>
  <c r="P100" i="58" s="1"/>
  <c r="P122" i="58" s="1"/>
  <c r="P138" i="58" s="1"/>
  <c r="P154" i="58" s="1"/>
  <c r="P170" i="58" s="1"/>
  <c r="R124" i="22"/>
  <c r="R123" i="22"/>
  <c r="R122" i="22"/>
  <c r="R88" i="22"/>
  <c r="R97" i="22"/>
  <c r="R96" i="22"/>
  <c r="R105" i="22"/>
  <c r="R89" i="22"/>
  <c r="R104" i="22"/>
  <c r="R116" i="22"/>
  <c r="R115" i="22"/>
  <c r="R114" i="22"/>
  <c r="AA8" i="15"/>
  <c r="EX18" i="24"/>
  <c r="FN17" i="24"/>
  <c r="FN19" i="24"/>
  <c r="FH21" i="24"/>
  <c r="FL17" i="24"/>
  <c r="EZ19" i="24"/>
  <c r="FR17" i="24"/>
  <c r="FR20" i="24"/>
  <c r="FE20" i="24"/>
  <c r="FQ18" i="24"/>
  <c r="FJ18" i="24"/>
  <c r="FI17" i="24"/>
  <c r="FI21" i="24"/>
  <c r="FF20" i="24"/>
  <c r="EW17" i="24"/>
  <c r="FP19" i="24"/>
  <c r="EY17" i="24"/>
  <c r="EY19" i="24"/>
  <c r="FC21" i="24"/>
  <c r="FO21" i="24"/>
  <c r="FB18" i="24"/>
  <c r="FS17" i="24"/>
  <c r="FS20" i="24"/>
  <c r="FG20" i="24"/>
  <c r="FK19" i="24"/>
  <c r="FM18" i="24"/>
  <c r="FA17" i="24"/>
  <c r="FA21" i="24"/>
  <c r="FD21" i="24"/>
  <c r="FT18" i="24"/>
  <c r="EX21" i="24"/>
  <c r="FN18" i="24"/>
  <c r="FH17" i="24"/>
  <c r="FH20" i="24"/>
  <c r="FL21" i="24"/>
  <c r="EZ18" i="24"/>
  <c r="FR18" i="24"/>
  <c r="FE19" i="24"/>
  <c r="FE21" i="24"/>
  <c r="FQ20" i="24"/>
  <c r="FJ19" i="24"/>
  <c r="FI19" i="24"/>
  <c r="FF17" i="24"/>
  <c r="FF19" i="24"/>
  <c r="EW20" i="24"/>
  <c r="FP18" i="24"/>
  <c r="EY18" i="24"/>
  <c r="FC17" i="24"/>
  <c r="FC20" i="24"/>
  <c r="FO20" i="24"/>
  <c r="FB19" i="24"/>
  <c r="FS18" i="24"/>
  <c r="FG17" i="24"/>
  <c r="FG19" i="24"/>
  <c r="FK21" i="24"/>
  <c r="FM17" i="24"/>
  <c r="FA19" i="24"/>
  <c r="FD19" i="24"/>
  <c r="FD20" i="24"/>
  <c r="FT17" i="24"/>
  <c r="EX20" i="24"/>
  <c r="FN21" i="24"/>
  <c r="FH19" i="24"/>
  <c r="FL19" i="24"/>
  <c r="FL20" i="24"/>
  <c r="EZ21" i="24"/>
  <c r="FR19" i="24"/>
  <c r="FE18" i="24"/>
  <c r="FQ17" i="24"/>
  <c r="FQ21" i="24"/>
  <c r="FJ21" i="24"/>
  <c r="FI18" i="24"/>
  <c r="FF18" i="24"/>
  <c r="EW19" i="24"/>
  <c r="EW21" i="24"/>
  <c r="FP21" i="24"/>
  <c r="EY21" i="24"/>
  <c r="FC18" i="24"/>
  <c r="FO17" i="24"/>
  <c r="FO19" i="24"/>
  <c r="FB21" i="24"/>
  <c r="FS19" i="24"/>
  <c r="FG18" i="24"/>
  <c r="FK17" i="24"/>
  <c r="FK20" i="24"/>
  <c r="FM20" i="24"/>
  <c r="FA18" i="24"/>
  <c r="FD18" i="24"/>
  <c r="FT21" i="24"/>
  <c r="EX17" i="24"/>
  <c r="EX19" i="24"/>
  <c r="FN20" i="24"/>
  <c r="FH18" i="24"/>
  <c r="FL18" i="24"/>
  <c r="EZ17" i="24"/>
  <c r="EZ20" i="24"/>
  <c r="FR21" i="24"/>
  <c r="FE17" i="24"/>
  <c r="FQ19" i="24"/>
  <c r="FJ17" i="24"/>
  <c r="FJ20" i="24"/>
  <c r="FI20" i="24"/>
  <c r="FF21" i="24"/>
  <c r="EW18" i="24"/>
  <c r="FP17" i="24"/>
  <c r="FP20" i="24"/>
  <c r="EY20" i="24"/>
  <c r="FC19" i="24"/>
  <c r="FO18" i="24"/>
  <c r="FB17" i="24"/>
  <c r="FB20" i="24"/>
  <c r="FS21" i="24"/>
  <c r="FG21" i="24"/>
  <c r="FK18" i="24"/>
  <c r="FM19" i="24"/>
  <c r="FM21" i="24"/>
  <c r="FA20" i="24"/>
  <c r="FD17" i="24"/>
  <c r="FT19" i="24"/>
  <c r="FT20" i="24"/>
  <c r="EO17" i="24"/>
  <c r="EO20" i="24"/>
  <c r="EM18" i="24"/>
  <c r="EL21" i="24"/>
  <c r="EK17" i="24"/>
  <c r="EP21" i="24"/>
  <c r="EP18" i="24"/>
  <c r="EN20" i="24"/>
  <c r="EO21" i="24"/>
  <c r="EM21" i="24"/>
  <c r="EM19" i="24"/>
  <c r="EL17" i="24"/>
  <c r="EK21" i="24"/>
  <c r="EP20" i="24"/>
  <c r="EN18" i="24"/>
  <c r="EN19" i="24"/>
  <c r="EO19" i="24"/>
  <c r="EM17" i="24"/>
  <c r="EL18" i="24"/>
  <c r="EL20" i="24"/>
  <c r="EK19" i="24"/>
  <c r="EP17" i="24"/>
  <c r="EN21" i="24"/>
  <c r="EO18" i="24"/>
  <c r="EM20" i="24"/>
  <c r="EL19" i="24"/>
  <c r="EK20" i="24"/>
  <c r="EK18" i="24"/>
  <c r="EP19" i="24"/>
  <c r="EN17" i="24"/>
  <c r="ET21" i="24"/>
  <c r="ET19" i="24"/>
  <c r="EQ19" i="24"/>
  <c r="ES21" i="24"/>
  <c r="ER18" i="24"/>
  <c r="EU21" i="24"/>
  <c r="EU19" i="24"/>
  <c r="ET17" i="24"/>
  <c r="EQ21" i="24"/>
  <c r="EQ18" i="24"/>
  <c r="ES19" i="24"/>
  <c r="ER21" i="24"/>
  <c r="EU17" i="24"/>
  <c r="ET20" i="24"/>
  <c r="EQ20" i="24"/>
  <c r="ES20" i="24"/>
  <c r="ES18" i="24"/>
  <c r="ER19" i="24"/>
  <c r="EU20" i="24"/>
  <c r="ET18" i="24"/>
  <c r="EQ17" i="24"/>
  <c r="ES17" i="24"/>
  <c r="ER17" i="24"/>
  <c r="ER20" i="24"/>
  <c r="EU18" i="24"/>
  <c r="K19" i="24"/>
  <c r="N19" i="24"/>
  <c r="O18" i="24"/>
  <c r="I21" i="24"/>
  <c r="J18" i="24"/>
  <c r="M17" i="24"/>
  <c r="M21" i="24"/>
  <c r="P18" i="24"/>
  <c r="L21" i="24"/>
  <c r="K21" i="24"/>
  <c r="N18" i="24"/>
  <c r="O19" i="24"/>
  <c r="I18" i="24"/>
  <c r="I23" i="24" s="1"/>
  <c r="J17" i="24"/>
  <c r="J21" i="24"/>
  <c r="M20" i="24"/>
  <c r="P20" i="24"/>
  <c r="L19" i="24"/>
  <c r="L20" i="24"/>
  <c r="K17" i="24"/>
  <c r="K20" i="24"/>
  <c r="N17" i="24"/>
  <c r="N21" i="24"/>
  <c r="O20" i="24"/>
  <c r="I19" i="24"/>
  <c r="I24" i="24" s="1"/>
  <c r="I17" i="24"/>
  <c r="I22" i="24" s="1"/>
  <c r="J20" i="24"/>
  <c r="M19" i="24"/>
  <c r="P17" i="24"/>
  <c r="P21" i="24"/>
  <c r="L18" i="24"/>
  <c r="M18" i="24"/>
  <c r="K18" i="24"/>
  <c r="N20" i="24"/>
  <c r="O17" i="24"/>
  <c r="O21" i="24"/>
  <c r="I20" i="24"/>
  <c r="I25" i="24" s="1"/>
  <c r="J19" i="24"/>
  <c r="P19" i="24"/>
  <c r="L17" i="24"/>
  <c r="DV17" i="24"/>
  <c r="AN18" i="24"/>
  <c r="DO18" i="24"/>
  <c r="AL17" i="24"/>
  <c r="V17" i="24"/>
  <c r="X17" i="24"/>
  <c r="AD19" i="24"/>
  <c r="Q17" i="24"/>
  <c r="EC18" i="24"/>
  <c r="DC18" i="24"/>
  <c r="CJ18" i="24"/>
  <c r="EH18" i="24"/>
  <c r="AX19" i="24"/>
  <c r="BZ19" i="24"/>
  <c r="DQ20" i="24"/>
  <c r="EI18" i="24"/>
  <c r="AN21" i="24"/>
  <c r="BF19" i="24"/>
  <c r="X19" i="24"/>
  <c r="CG18" i="24"/>
  <c r="Y18" i="24"/>
  <c r="CH17" i="24"/>
  <c r="AI18" i="24"/>
  <c r="Z21" i="24"/>
  <c r="AY19" i="24"/>
  <c r="AP19" i="24"/>
  <c r="BE20" i="24"/>
  <c r="CE20" i="24"/>
  <c r="DR19" i="24"/>
  <c r="DD18" i="24"/>
  <c r="DG18" i="24"/>
  <c r="DE20" i="24"/>
  <c r="Z20" i="24"/>
  <c r="BF17" i="24"/>
  <c r="AO19" i="24"/>
  <c r="S17" i="24"/>
  <c r="AD21" i="24"/>
  <c r="CO19" i="24"/>
  <c r="V20" i="24"/>
  <c r="DV19" i="24"/>
  <c r="DO21" i="24"/>
  <c r="Z17" i="24"/>
  <c r="BK18" i="24"/>
  <c r="DM19" i="24"/>
  <c r="BC18" i="24"/>
  <c r="BI19" i="24"/>
  <c r="BK17" i="24"/>
  <c r="CF17" i="24"/>
  <c r="BY17" i="24"/>
  <c r="Z18" i="24"/>
  <c r="DI18" i="24"/>
  <c r="DZ20" i="24"/>
  <c r="DR20" i="24"/>
  <c r="CH20" i="24"/>
  <c r="EF18" i="24"/>
  <c r="CT18" i="24"/>
  <c r="W19" i="24"/>
  <c r="DM20" i="24"/>
  <c r="EH20" i="24"/>
  <c r="AB21" i="24"/>
  <c r="BT17" i="24"/>
  <c r="BL18" i="24"/>
  <c r="AG18" i="24"/>
  <c r="AC21" i="24"/>
  <c r="CQ20" i="24"/>
  <c r="CU19" i="24"/>
  <c r="DB17" i="24"/>
  <c r="CK17" i="24"/>
  <c r="DI19" i="24"/>
  <c r="DT18" i="24"/>
  <c r="EF20" i="24"/>
  <c r="BA19" i="24"/>
  <c r="AD17" i="24"/>
  <c r="DS21" i="24"/>
  <c r="DF18" i="24"/>
  <c r="CF19" i="24"/>
  <c r="CO18" i="24"/>
  <c r="AM21" i="24"/>
  <c r="AJ20" i="24"/>
  <c r="R21" i="24"/>
  <c r="AQ20" i="24"/>
  <c r="EG21" i="24"/>
  <c r="ED20" i="24"/>
  <c r="BU17" i="24"/>
  <c r="DA17" i="24"/>
  <c r="BF18" i="24"/>
  <c r="CY21" i="24"/>
  <c r="CW20" i="24"/>
  <c r="AB18" i="24"/>
  <c r="BI17" i="24"/>
  <c r="BW18" i="24"/>
  <c r="EE21" i="24"/>
  <c r="AZ17" i="24"/>
  <c r="BT18" i="24"/>
  <c r="BO17" i="24"/>
  <c r="CL19" i="24"/>
  <c r="AA21" i="24"/>
  <c r="CE17" i="24"/>
  <c r="CH21" i="24"/>
  <c r="DT19" i="24"/>
  <c r="BF20" i="24"/>
  <c r="EI17" i="24"/>
  <c r="DK21" i="24"/>
  <c r="BK21" i="24"/>
  <c r="DI20" i="24"/>
  <c r="EF17" i="24"/>
  <c r="AU18" i="24"/>
  <c r="DK20" i="24"/>
  <c r="S19" i="24"/>
  <c r="CJ21" i="24"/>
  <c r="Q18" i="24"/>
  <c r="Q20" i="24"/>
  <c r="BF21" i="24"/>
  <c r="AY21" i="24"/>
  <c r="DV18" i="24"/>
  <c r="DO20" i="24"/>
  <c r="CH18" i="24"/>
  <c r="EC19" i="24"/>
  <c r="CE21" i="24"/>
  <c r="CG19" i="24"/>
  <c r="EE19" i="24"/>
  <c r="CD19" i="24"/>
  <c r="BI20" i="24"/>
  <c r="DP19" i="24"/>
  <c r="DR18" i="24"/>
  <c r="EC21" i="24"/>
  <c r="AL20" i="24"/>
  <c r="T17" i="24"/>
  <c r="BZ21" i="24"/>
  <c r="CX17" i="24"/>
  <c r="AL21" i="24"/>
  <c r="AZ21" i="24"/>
  <c r="DV21" i="24"/>
  <c r="EG19" i="24"/>
  <c r="DA18" i="24"/>
  <c r="DE18" i="24"/>
  <c r="DT17" i="24"/>
  <c r="BW19" i="24"/>
  <c r="DY19" i="24"/>
  <c r="CE18" i="24"/>
  <c r="EI20" i="24"/>
  <c r="DN17" i="24"/>
  <c r="DU17" i="24"/>
  <c r="BT19" i="24"/>
  <c r="BU19" i="24"/>
  <c r="T21" i="24"/>
  <c r="AG20" i="24"/>
  <c r="AC18" i="24"/>
  <c r="CQ19" i="24"/>
  <c r="EB19" i="24"/>
  <c r="DY17" i="24"/>
  <c r="BE19" i="24"/>
  <c r="DD19" i="24"/>
  <c r="AV21" i="24"/>
  <c r="BY20" i="24"/>
  <c r="DK17" i="24"/>
  <c r="R20" i="24"/>
  <c r="DB21" i="24"/>
  <c r="BL21" i="24"/>
  <c r="DG17" i="24"/>
  <c r="BV17" i="24"/>
  <c r="DE19" i="24"/>
  <c r="CT17" i="24"/>
  <c r="AJ17" i="24"/>
  <c r="AO18" i="24"/>
  <c r="X21" i="24"/>
  <c r="BJ21" i="24"/>
  <c r="DC17" i="24"/>
  <c r="AO21" i="24"/>
  <c r="CR19" i="24"/>
  <c r="DH17" i="24"/>
  <c r="BA21" i="24"/>
  <c r="DG21" i="24"/>
  <c r="CG21" i="24"/>
  <c r="AS21" i="24"/>
  <c r="AX21" i="24"/>
  <c r="BW21" i="24"/>
  <c r="DD17" i="24"/>
  <c r="EF21" i="24"/>
  <c r="S20" i="24"/>
  <c r="DP21" i="24"/>
  <c r="DR21" i="24"/>
  <c r="BW17" i="24"/>
  <c r="DK19" i="24"/>
  <c r="AY20" i="24"/>
  <c r="BA20" i="24"/>
  <c r="DC21" i="24"/>
  <c r="BO21" i="24"/>
  <c r="BH17" i="24"/>
  <c r="DZ19" i="24"/>
  <c r="DT21" i="24"/>
  <c r="EC17" i="24"/>
  <c r="EI19" i="24"/>
  <c r="AV19" i="24"/>
  <c r="BV21" i="24"/>
  <c r="DO17" i="24"/>
  <c r="DS18" i="24"/>
  <c r="AQ18" i="24"/>
  <c r="DP20" i="24"/>
  <c r="ED19" i="24"/>
  <c r="DV20" i="24"/>
  <c r="DH20" i="24"/>
  <c r="CV17" i="24"/>
  <c r="Y21" i="24"/>
  <c r="DK18" i="24"/>
  <c r="S21" i="24"/>
  <c r="DC19" i="24"/>
  <c r="DN20" i="24"/>
  <c r="DU21" i="24"/>
  <c r="BT20" i="24"/>
  <c r="BL17" i="24"/>
  <c r="AG17" i="24"/>
  <c r="CL21" i="24"/>
  <c r="CR21" i="24"/>
  <c r="CU17" i="24"/>
  <c r="EB20" i="24"/>
  <c r="DB18" i="24"/>
  <c r="CK19" i="24"/>
  <c r="DP18" i="24"/>
  <c r="CV19" i="24"/>
  <c r="DY21" i="24"/>
  <c r="AE17" i="24"/>
  <c r="AE21" i="24"/>
  <c r="DS20" i="24"/>
  <c r="DF20" i="24"/>
  <c r="CG20" i="24"/>
  <c r="CO17" i="24"/>
  <c r="AK19" i="24"/>
  <c r="R19" i="24"/>
  <c r="AQ19" i="24"/>
  <c r="EG18" i="24"/>
  <c r="ED18" i="24"/>
  <c r="AW17" i="24"/>
  <c r="DI17" i="24"/>
  <c r="DQ18" i="24"/>
  <c r="EB21" i="24"/>
  <c r="DJ19" i="24"/>
  <c r="AO17" i="24"/>
  <c r="CD21" i="24"/>
  <c r="DZ17" i="24"/>
  <c r="BA17" i="24"/>
  <c r="AH17" i="24"/>
  <c r="DU19" i="24"/>
  <c r="AS17" i="24"/>
  <c r="S18" i="24"/>
  <c r="CG17" i="24"/>
  <c r="CQ21" i="24"/>
  <c r="W18" i="24"/>
  <c r="DC20" i="24"/>
  <c r="DR17" i="24"/>
  <c r="DD20" i="24"/>
  <c r="BW20" i="24"/>
  <c r="DG19" i="24"/>
  <c r="AY18" i="24"/>
  <c r="CY18" i="24"/>
  <c r="X20" i="24"/>
  <c r="BC21" i="24"/>
  <c r="X18" i="24"/>
  <c r="Y19" i="24"/>
  <c r="BT21" i="24"/>
  <c r="V18" i="24"/>
  <c r="EC20" i="24"/>
  <c r="DE21" i="24"/>
  <c r="DY20" i="24"/>
  <c r="BL19" i="24"/>
  <c r="DZ18" i="24"/>
  <c r="DT20" i="24"/>
  <c r="Y20" i="24"/>
  <c r="CT20" i="24"/>
  <c r="AY17" i="24"/>
  <c r="BK19" i="24"/>
  <c r="AP21" i="24"/>
  <c r="AH21" i="24"/>
  <c r="DA20" i="24"/>
  <c r="DE17" i="24"/>
  <c r="CV21" i="24"/>
  <c r="CE19" i="24"/>
  <c r="EE18" i="24"/>
  <c r="BM20" i="24"/>
  <c r="AU21" i="24"/>
  <c r="BK20" i="24"/>
  <c r="DF19" i="24"/>
  <c r="DW20" i="24"/>
  <c r="DZ21" i="24"/>
  <c r="DG20" i="24"/>
  <c r="DP17" i="24"/>
  <c r="DO19" i="24"/>
  <c r="Z19" i="24"/>
  <c r="Y17" i="24"/>
  <c r="DQ17" i="24"/>
  <c r="AS19" i="24"/>
  <c r="DD21" i="24"/>
  <c r="DN18" i="24"/>
  <c r="DU18" i="24"/>
  <c r="BU20" i="24"/>
  <c r="BL20" i="24"/>
  <c r="AG21" i="24"/>
  <c r="AC17" i="24"/>
  <c r="CQ17" i="24"/>
  <c r="CU20" i="24"/>
  <c r="EB18" i="24"/>
  <c r="CK18" i="24"/>
  <c r="CA17" i="24"/>
  <c r="DH21" i="24"/>
  <c r="CI21" i="24"/>
  <c r="DQ21" i="24"/>
  <c r="AE20" i="24"/>
  <c r="DJ21" i="24"/>
  <c r="EA21" i="24"/>
  <c r="CF18" i="24"/>
  <c r="BQ20" i="24"/>
  <c r="CO21" i="24"/>
  <c r="AJ19" i="24"/>
  <c r="R17" i="24"/>
  <c r="AQ17" i="24"/>
  <c r="EG17" i="24"/>
  <c r="CV20" i="24"/>
  <c r="DS17" i="24"/>
  <c r="AJ18" i="24"/>
  <c r="DW18" i="24"/>
  <c r="DI21" i="24"/>
  <c r="AT19" i="24"/>
  <c r="W21" i="24"/>
  <c r="DN21" i="24"/>
  <c r="EH21" i="24"/>
  <c r="AB17" i="24"/>
  <c r="U18" i="24"/>
  <c r="U20" i="24"/>
  <c r="CL18" i="24"/>
  <c r="CR17" i="24"/>
  <c r="CS21" i="24"/>
  <c r="AV20" i="24"/>
  <c r="BM21" i="24"/>
  <c r="BB19" i="24"/>
  <c r="DW17" i="24"/>
  <c r="CD20" i="24"/>
  <c r="CV18" i="24"/>
  <c r="BX18" i="24"/>
  <c r="CT21" i="24"/>
  <c r="AS20" i="24"/>
  <c r="EE20" i="24"/>
  <c r="DS19" i="24"/>
  <c r="EA20" i="24"/>
  <c r="AN17" i="24"/>
  <c r="CF21" i="24"/>
  <c r="AP18" i="24"/>
  <c r="AC19" i="24"/>
  <c r="AJ21" i="24"/>
  <c r="R18" i="24"/>
  <c r="CY20" i="24"/>
  <c r="BB17" i="24"/>
  <c r="ED21" i="24"/>
  <c r="BZ17" i="24"/>
  <c r="AA17" i="24"/>
  <c r="AH19" i="24"/>
  <c r="CP19" i="24"/>
  <c r="AA18" i="24"/>
  <c r="CX18" i="24"/>
  <c r="AI19" i="24"/>
  <c r="V19" i="24"/>
  <c r="AU19" i="24"/>
  <c r="BN20" i="24"/>
  <c r="CM20" i="24"/>
  <c r="BU21" i="24"/>
  <c r="BH20" i="24"/>
  <c r="CW18" i="24"/>
  <c r="BG18" i="24"/>
  <c r="BH21" i="24"/>
  <c r="CX20" i="24"/>
  <c r="AI20" i="24"/>
  <c r="AX17" i="24"/>
  <c r="AK21" i="24"/>
  <c r="AU17" i="24"/>
  <c r="AT20" i="24"/>
  <c r="CC17" i="24"/>
  <c r="BG20" i="24"/>
  <c r="BR17" i="24"/>
  <c r="BI18" i="24"/>
  <c r="CW17" i="24"/>
  <c r="DB20" i="24"/>
  <c r="EF19" i="24"/>
  <c r="DF17" i="24"/>
  <c r="AK20" i="24"/>
  <c r="ED17" i="24"/>
  <c r="DA21" i="24"/>
  <c r="AS18" i="24"/>
  <c r="DM17" i="24"/>
  <c r="EA18" i="24"/>
  <c r="DU20" i="24"/>
  <c r="U19" i="24"/>
  <c r="U17" i="24"/>
  <c r="CL17" i="24"/>
  <c r="AC20" i="24"/>
  <c r="CR20" i="24"/>
  <c r="CR18" i="24"/>
  <c r="AW20" i="24"/>
  <c r="BN21" i="24"/>
  <c r="BC17" i="24"/>
  <c r="DW19" i="24"/>
  <c r="CD18" i="24"/>
  <c r="CH19" i="24"/>
  <c r="BG21" i="24"/>
  <c r="BA18" i="24"/>
  <c r="W20" i="24"/>
  <c r="DJ18" i="24"/>
  <c r="DN19" i="24"/>
  <c r="DF21" i="24"/>
  <c r="AN19" i="24"/>
  <c r="AZ18" i="24"/>
  <c r="AP17" i="24"/>
  <c r="AM19" i="24"/>
  <c r="CJ17" i="24"/>
  <c r="CQ18" i="24"/>
  <c r="AQ21" i="24"/>
  <c r="BB20" i="24"/>
  <c r="DB19" i="24"/>
  <c r="BZ20" i="24"/>
  <c r="CI17" i="24"/>
  <c r="BV19" i="24"/>
  <c r="BN19" i="24"/>
  <c r="BR21" i="24"/>
  <c r="BY21" i="24"/>
  <c r="AH20" i="24"/>
  <c r="BQ21" i="24"/>
  <c r="BE18" i="24"/>
  <c r="CC18" i="24"/>
  <c r="BG19" i="24"/>
  <c r="BJ18" i="24"/>
  <c r="BH19" i="24"/>
  <c r="AE19" i="24"/>
  <c r="BR19" i="24"/>
  <c r="CW19" i="24"/>
  <c r="BY18" i="24"/>
  <c r="AI17" i="24"/>
  <c r="BV18" i="24"/>
  <c r="AK17" i="24"/>
  <c r="BE21" i="24"/>
  <c r="AT17" i="24"/>
  <c r="AW18" i="24"/>
  <c r="BG17" i="24"/>
  <c r="BU18" i="24"/>
  <c r="BS20" i="24"/>
  <c r="CX21" i="24"/>
  <c r="CK21" i="24"/>
  <c r="AL18" i="24"/>
  <c r="CF20" i="24"/>
  <c r="BM19" i="24"/>
  <c r="CP17" i="24"/>
  <c r="DH18" i="24"/>
  <c r="AT21" i="24"/>
  <c r="DM21" i="24"/>
  <c r="EH17" i="24"/>
  <c r="AB19" i="24"/>
  <c r="T19" i="24"/>
  <c r="U21" i="24"/>
  <c r="CL20" i="24"/>
  <c r="AM18" i="24"/>
  <c r="CS20" i="24"/>
  <c r="CS19" i="24"/>
  <c r="AV18" i="24"/>
  <c r="BM18" i="24"/>
  <c r="BC20" i="24"/>
  <c r="DW21" i="24"/>
  <c r="BQ17" i="24"/>
  <c r="BX17" i="24"/>
  <c r="DY18" i="24"/>
  <c r="AL19" i="24"/>
  <c r="EI21" i="24"/>
  <c r="DJ17" i="24"/>
  <c r="EA19" i="24"/>
  <c r="CC19" i="24"/>
  <c r="AN20" i="24"/>
  <c r="AZ19" i="24"/>
  <c r="AP20" i="24"/>
  <c r="AM17" i="24"/>
  <c r="CJ19" i="24"/>
  <c r="CY19" i="24"/>
  <c r="CU18" i="24"/>
  <c r="EG20" i="24"/>
  <c r="BZ18" i="24"/>
  <c r="CK20" i="24"/>
  <c r="BO18" i="24"/>
  <c r="BQ19" i="24"/>
  <c r="AW19" i="24"/>
  <c r="BS21" i="24"/>
  <c r="CI19" i="24"/>
  <c r="AX18" i="24"/>
  <c r="AK18" i="24"/>
  <c r="CP20" i="24"/>
  <c r="AW21" i="24"/>
  <c r="AA20" i="24"/>
  <c r="BI21" i="24"/>
  <c r="BX20" i="24"/>
  <c r="CX19" i="24"/>
  <c r="BJ19" i="24"/>
  <c r="AE18" i="24"/>
  <c r="CI20" i="24"/>
  <c r="AH18" i="24"/>
  <c r="V21" i="24"/>
  <c r="CA19" i="24"/>
  <c r="BE17" i="24"/>
  <c r="BN18" i="24"/>
  <c r="Q21" i="24"/>
  <c r="AA19" i="24"/>
  <c r="BJ20" i="24"/>
  <c r="BS17" i="24"/>
  <c r="BY19" i="24"/>
  <c r="DA19" i="24"/>
  <c r="AD20" i="24"/>
  <c r="CP21" i="24"/>
  <c r="BB21" i="24"/>
  <c r="CM17" i="24"/>
  <c r="CT19" i="24"/>
  <c r="W17" i="24"/>
  <c r="DM18" i="24"/>
  <c r="EH19" i="24"/>
  <c r="AB20" i="24"/>
  <c r="T20" i="24"/>
  <c r="T18" i="24"/>
  <c r="CM21" i="24"/>
  <c r="CS18" i="24"/>
  <c r="CS17" i="24"/>
  <c r="AV17" i="24"/>
  <c r="BM17" i="24"/>
  <c r="CU21" i="24"/>
  <c r="BC19" i="24"/>
  <c r="CD17" i="24"/>
  <c r="DH19" i="24"/>
  <c r="BX21" i="24"/>
  <c r="DQ19" i="24"/>
  <c r="AD18" i="24"/>
  <c r="EE17" i="24"/>
  <c r="DJ20" i="24"/>
  <c r="EA17" i="24"/>
  <c r="CC20" i="24"/>
  <c r="AO20" i="24"/>
  <c r="AZ20" i="24"/>
  <c r="CO20" i="24"/>
  <c r="AM20" i="24"/>
  <c r="CJ20" i="24"/>
  <c r="CY17" i="24"/>
  <c r="BB18" i="24"/>
  <c r="EB17" i="24"/>
  <c r="CA21" i="24"/>
  <c r="BN17" i="24"/>
  <c r="AI21" i="24"/>
  <c r="CA18" i="24"/>
  <c r="CM18" i="24"/>
  <c r="BH18" i="24"/>
  <c r="BO20" i="24"/>
  <c r="BV20" i="24"/>
  <c r="CA20" i="24"/>
  <c r="AT18" i="24"/>
  <c r="Q19" i="24"/>
  <c r="BR18" i="24"/>
  <c r="BS19" i="24"/>
  <c r="BX19" i="24"/>
  <c r="CI18" i="24"/>
  <c r="BS18" i="24"/>
  <c r="AG19" i="24"/>
  <c r="BO19" i="24"/>
  <c r="AX20" i="24"/>
  <c r="BQ18" i="24"/>
  <c r="AU20" i="24"/>
  <c r="CP18" i="24"/>
  <c r="CC21" i="24"/>
  <c r="CM19" i="24"/>
  <c r="BR20" i="24"/>
  <c r="BJ17" i="24"/>
  <c r="CW21" i="24"/>
  <c r="AF21" i="24"/>
  <c r="AF18" i="24"/>
  <c r="AF20" i="24"/>
  <c r="AF19" i="24"/>
  <c r="AR19" i="24"/>
  <c r="AR17" i="24"/>
  <c r="AR20" i="24"/>
  <c r="AR21" i="24"/>
  <c r="AF17" i="24"/>
  <c r="AR18" i="24"/>
  <c r="BD17" i="24"/>
  <c r="BD19" i="24"/>
  <c r="CB19" i="24"/>
  <c r="CB18" i="24"/>
  <c r="BP18" i="24"/>
  <c r="BD20" i="24"/>
  <c r="BD18" i="24"/>
  <c r="BP20" i="24"/>
  <c r="CB20" i="24"/>
  <c r="BP21" i="24"/>
  <c r="CB17" i="24"/>
  <c r="CB21" i="24"/>
  <c r="BP19" i="24"/>
  <c r="BD21" i="24"/>
  <c r="BP17" i="24"/>
  <c r="CN21" i="24"/>
  <c r="CN20" i="24"/>
  <c r="CN17" i="24"/>
  <c r="CN19" i="24"/>
  <c r="P6" i="28"/>
  <c r="P32" i="28" s="1"/>
  <c r="P12" i="28"/>
  <c r="P11" i="28"/>
  <c r="R117" i="22"/>
  <c r="EJ19" i="24"/>
  <c r="DL19" i="24"/>
  <c r="EJ17" i="24"/>
  <c r="CN18" i="24"/>
  <c r="CZ18" i="24"/>
  <c r="EJ18" i="24"/>
  <c r="EJ20" i="24"/>
  <c r="EJ21" i="24"/>
  <c r="DX20" i="24"/>
  <c r="CZ19" i="24"/>
  <c r="CZ17" i="24"/>
  <c r="CZ21" i="24"/>
  <c r="DX18" i="24"/>
  <c r="DX17" i="24"/>
  <c r="DL20" i="24"/>
  <c r="CZ20" i="24"/>
  <c r="DX19" i="24"/>
  <c r="DL18" i="24"/>
  <c r="DX21" i="24"/>
  <c r="DL17" i="24"/>
  <c r="DL21" i="24"/>
  <c r="R75" i="22"/>
  <c r="R129" i="22"/>
  <c r="AE99" i="24"/>
  <c r="AD91" i="24"/>
  <c r="AC99" i="24"/>
  <c r="AB90" i="24"/>
  <c r="AA99" i="24"/>
  <c r="AE91" i="24"/>
  <c r="AC91" i="24"/>
  <c r="AB91" i="24"/>
  <c r="AB99" i="24"/>
  <c r="AA91" i="24"/>
  <c r="AA90" i="24"/>
  <c r="AE90" i="24"/>
  <c r="AD90" i="24"/>
  <c r="AC90" i="24"/>
  <c r="AD99" i="24"/>
  <c r="I26" i="24"/>
  <c r="S9" i="22"/>
  <c r="N4" i="28"/>
  <c r="O13" i="22"/>
  <c r="R11" i="22"/>
  <c r="R86" i="22"/>
  <c r="Q5" i="28"/>
  <c r="M31" i="28"/>
  <c r="P8" i="22"/>
  <c r="B38" i="32"/>
  <c r="C38" i="32" s="1"/>
  <c r="AY56" i="24" l="1"/>
  <c r="P112" i="24"/>
  <c r="P90" i="24"/>
  <c r="L111" i="24"/>
  <c r="L91" i="24"/>
  <c r="M87" i="24"/>
  <c r="M91" i="24"/>
  <c r="M112" i="24"/>
  <c r="M90" i="24"/>
  <c r="M111" i="24"/>
  <c r="O114" i="24"/>
  <c r="O99" i="24"/>
  <c r="O91" i="24"/>
  <c r="O111" i="24"/>
  <c r="K113" i="24"/>
  <c r="K112" i="24"/>
  <c r="K88" i="24"/>
  <c r="P86" i="24"/>
  <c r="P111" i="24"/>
  <c r="L88" i="24"/>
  <c r="M113" i="24"/>
  <c r="N113" i="24"/>
  <c r="N90" i="24"/>
  <c r="O113" i="24"/>
  <c r="O90" i="24"/>
  <c r="K99" i="24"/>
  <c r="P88" i="24"/>
  <c r="P91" i="24"/>
  <c r="P99" i="24"/>
  <c r="P113" i="24"/>
  <c r="L112" i="24"/>
  <c r="L90" i="24"/>
  <c r="M89" i="24"/>
  <c r="N112" i="24"/>
  <c r="N91" i="24"/>
  <c r="N88" i="24"/>
  <c r="N111" i="24"/>
  <c r="O88" i="24"/>
  <c r="P87" i="24"/>
  <c r="P114" i="24"/>
  <c r="L99" i="24"/>
  <c r="L87" i="24"/>
  <c r="L114" i="24"/>
  <c r="L86" i="24"/>
  <c r="M88" i="24"/>
  <c r="M114" i="24"/>
  <c r="N87" i="24"/>
  <c r="O89" i="24"/>
  <c r="O112" i="24"/>
  <c r="K114" i="24"/>
  <c r="K87" i="24"/>
  <c r="K91" i="24"/>
  <c r="K111" i="24"/>
  <c r="P89" i="24"/>
  <c r="L113" i="24"/>
  <c r="M99" i="24"/>
  <c r="N89" i="24"/>
  <c r="N99" i="24"/>
  <c r="K90" i="24"/>
  <c r="L89" i="24"/>
  <c r="M86" i="24"/>
  <c r="N114" i="24"/>
  <c r="N86" i="24"/>
  <c r="O87" i="24"/>
  <c r="O86" i="24"/>
  <c r="K89" i="24"/>
  <c r="K86" i="24"/>
  <c r="Q86" i="24"/>
  <c r="Q99" i="24"/>
  <c r="U89" i="24"/>
  <c r="U88" i="24"/>
  <c r="U111" i="24"/>
  <c r="S89" i="24"/>
  <c r="S113" i="24"/>
  <c r="T99" i="24"/>
  <c r="T89" i="24"/>
  <c r="T86" i="24"/>
  <c r="R113" i="24"/>
  <c r="R91" i="24"/>
  <c r="U87" i="24"/>
  <c r="S111" i="24"/>
  <c r="S90" i="24"/>
  <c r="S91" i="24"/>
  <c r="T111" i="24"/>
  <c r="Q112" i="24"/>
  <c r="Q111" i="24"/>
  <c r="Q87" i="24"/>
  <c r="Q91" i="24"/>
  <c r="Q89" i="24"/>
  <c r="U90" i="24"/>
  <c r="U91" i="24"/>
  <c r="S87" i="24"/>
  <c r="T90" i="24"/>
  <c r="T112" i="24"/>
  <c r="T88" i="24"/>
  <c r="R90" i="24"/>
  <c r="R86" i="24"/>
  <c r="R87" i="24"/>
  <c r="R88" i="24"/>
  <c r="Q113" i="24"/>
  <c r="U112" i="24"/>
  <c r="S112" i="24"/>
  <c r="T91" i="24"/>
  <c r="R111" i="24"/>
  <c r="R89" i="24"/>
  <c r="Q114" i="24"/>
  <c r="Q88" i="24"/>
  <c r="Q90" i="24"/>
  <c r="U113" i="24"/>
  <c r="U114" i="24"/>
  <c r="U86" i="24"/>
  <c r="U99" i="24"/>
  <c r="S114" i="24"/>
  <c r="S86" i="24"/>
  <c r="S99" i="24"/>
  <c r="S88" i="24"/>
  <c r="T87" i="24"/>
  <c r="T113" i="24"/>
  <c r="R99" i="24"/>
  <c r="R112" i="24"/>
  <c r="T114" i="24"/>
  <c r="R114" i="24"/>
  <c r="BI60" i="24"/>
  <c r="BQ48" i="24"/>
  <c r="BK60" i="24"/>
  <c r="BC56" i="24"/>
  <c r="AW49" i="24"/>
  <c r="EC60" i="24"/>
  <c r="AW48" i="24"/>
  <c r="CG60" i="24"/>
  <c r="DK60" i="24"/>
  <c r="FS45" i="24"/>
  <c r="AS91" i="24"/>
  <c r="CH55" i="24"/>
  <c r="CO49" i="24"/>
  <c r="DJ60" i="24"/>
  <c r="DO48" i="24"/>
  <c r="FB56" i="24"/>
  <c r="CE56" i="24"/>
  <c r="DJ49" i="24"/>
  <c r="EU60" i="24"/>
  <c r="CC49" i="24"/>
  <c r="CU49" i="24"/>
  <c r="BZ49" i="24"/>
  <c r="DP60" i="24"/>
  <c r="DL60" i="24"/>
  <c r="BJ55" i="24"/>
  <c r="AG49" i="24"/>
  <c r="DU49" i="24"/>
  <c r="FR54" i="24"/>
  <c r="DS55" i="24"/>
  <c r="AS55" i="24"/>
  <c r="CD60" i="24"/>
  <c r="DH56" i="24"/>
  <c r="DR60" i="24"/>
  <c r="EH56" i="24"/>
  <c r="BT48" i="24"/>
  <c r="BR60" i="24"/>
  <c r="BV55" i="24"/>
  <c r="BB60" i="24"/>
  <c r="BE56" i="24"/>
  <c r="EO90" i="24"/>
  <c r="EX87" i="24"/>
  <c r="FM113" i="24"/>
  <c r="FN113" i="24"/>
  <c r="FI91" i="24"/>
  <c r="FS89" i="24"/>
  <c r="FQ114" i="24"/>
  <c r="FR91" i="24"/>
  <c r="BA99" i="24"/>
  <c r="AV99" i="24"/>
  <c r="AX91" i="24"/>
  <c r="AZ91" i="24"/>
  <c r="BY90" i="24"/>
  <c r="DD90" i="24"/>
  <c r="DE90" i="24"/>
  <c r="EG99" i="24"/>
  <c r="EE90" i="24"/>
  <c r="BB91" i="24"/>
  <c r="BD91" i="24"/>
  <c r="DA91" i="24"/>
  <c r="AU91" i="24"/>
  <c r="DX99" i="24"/>
  <c r="CF90" i="24"/>
  <c r="EH91" i="24"/>
  <c r="EI90" i="24"/>
  <c r="CQ99" i="24"/>
  <c r="BC90" i="24"/>
  <c r="CY91" i="24"/>
  <c r="AJ90" i="24"/>
  <c r="DP99" i="24"/>
  <c r="AP90" i="24"/>
  <c r="AX90" i="24"/>
  <c r="ED91" i="24"/>
  <c r="CB99" i="24"/>
  <c r="EE99" i="24"/>
  <c r="K60" i="24"/>
  <c r="V56" i="24"/>
  <c r="T56" i="24"/>
  <c r="AE60" i="24"/>
  <c r="N46" i="24"/>
  <c r="AB48" i="24"/>
  <c r="N49" i="24"/>
  <c r="K54" i="24"/>
  <c r="O56" i="24"/>
  <c r="AD48" i="24"/>
  <c r="Z60" i="24"/>
  <c r="I60" i="24"/>
  <c r="AE55" i="24"/>
  <c r="AF60" i="24"/>
  <c r="M55" i="24"/>
  <c r="K49" i="24"/>
  <c r="X48" i="24"/>
  <c r="Y49" i="24"/>
  <c r="U55" i="24"/>
  <c r="M46" i="24"/>
  <c r="S56" i="24"/>
  <c r="T49" i="24"/>
  <c r="V47" i="24"/>
  <c r="AJ49" i="24"/>
  <c r="K55" i="24"/>
  <c r="P60" i="24"/>
  <c r="AN60" i="24"/>
  <c r="EJ55" i="24"/>
  <c r="EN56" i="24"/>
  <c r="EL56" i="24"/>
  <c r="EO49" i="24"/>
  <c r="EK60" i="24"/>
  <c r="FA49" i="24"/>
  <c r="EU56" i="24"/>
  <c r="EQ56" i="24"/>
  <c r="EV48" i="24"/>
  <c r="EX56" i="24"/>
  <c r="FA56" i="24"/>
  <c r="ET48" i="24"/>
  <c r="FJ56" i="24"/>
  <c r="FI47" i="24"/>
  <c r="FH47" i="24"/>
  <c r="FD56" i="24"/>
  <c r="FM49" i="24"/>
  <c r="FG60" i="24"/>
  <c r="FD55" i="24"/>
  <c r="FK54" i="24"/>
  <c r="FL54" i="24"/>
  <c r="EP90" i="24"/>
  <c r="FB90" i="24"/>
  <c r="FM99" i="24"/>
  <c r="FN86" i="24"/>
  <c r="FK87" i="24"/>
  <c r="FT112" i="24"/>
  <c r="FQ99" i="24"/>
  <c r="FR88" i="24"/>
  <c r="CW90" i="24"/>
  <c r="DR91" i="24"/>
  <c r="AI90" i="24"/>
  <c r="CF91" i="24"/>
  <c r="BF90" i="24"/>
  <c r="AW99" i="24"/>
  <c r="DZ99" i="24"/>
  <c r="EI91" i="24"/>
  <c r="CT91" i="24"/>
  <c r="BD99" i="24"/>
  <c r="DA99" i="24"/>
  <c r="AU99" i="24"/>
  <c r="EB90" i="24"/>
  <c r="CZ90" i="24"/>
  <c r="EA99" i="24"/>
  <c r="BI91" i="24"/>
  <c r="CT90" i="24"/>
  <c r="BC91" i="24"/>
  <c r="CH90" i="24"/>
  <c r="CR99" i="24"/>
  <c r="DV91" i="24"/>
  <c r="CM90" i="24"/>
  <c r="AH91" i="24"/>
  <c r="DX90" i="24"/>
  <c r="DF91" i="24"/>
  <c r="EI99" i="24"/>
  <c r="AA49" i="24"/>
  <c r="V48" i="24"/>
  <c r="AM60" i="24"/>
  <c r="T55" i="24"/>
  <c r="O47" i="24"/>
  <c r="L55" i="24"/>
  <c r="AB54" i="24"/>
  <c r="AI48" i="24"/>
  <c r="AC54" i="24"/>
  <c r="Y54" i="24"/>
  <c r="AD55" i="24"/>
  <c r="J53" i="24"/>
  <c r="AK60" i="24"/>
  <c r="O46" i="24"/>
  <c r="U49" i="24"/>
  <c r="M49" i="24"/>
  <c r="AH55" i="24"/>
  <c r="T48" i="24"/>
  <c r="N60" i="24"/>
  <c r="H49" i="24"/>
  <c r="Q55" i="24"/>
  <c r="L49" i="24"/>
  <c r="AK55" i="24"/>
  <c r="X49" i="24"/>
  <c r="AH56" i="24"/>
  <c r="Q47" i="24"/>
  <c r="H53" i="24"/>
  <c r="EP55" i="24"/>
  <c r="EN48" i="24"/>
  <c r="EK48" i="24"/>
  <c r="EL55" i="24"/>
  <c r="EW56" i="24"/>
  <c r="EZ55" i="24"/>
  <c r="FB49" i="24"/>
  <c r="EQ49" i="24"/>
  <c r="ER56" i="24"/>
  <c r="EW55" i="24"/>
  <c r="EZ56" i="24"/>
  <c r="EV56" i="24"/>
  <c r="FH54" i="24"/>
  <c r="FN49" i="24"/>
  <c r="FF60" i="24"/>
  <c r="FD60" i="24"/>
  <c r="FI54" i="24"/>
  <c r="FJ49" i="24"/>
  <c r="FD49" i="24"/>
  <c r="FM54" i="24"/>
  <c r="FL49" i="24"/>
  <c r="FO46" i="24"/>
  <c r="H60" i="24"/>
  <c r="EN90" i="24"/>
  <c r="EZ87" i="24"/>
  <c r="FH86" i="24"/>
  <c r="FI89" i="24"/>
  <c r="FJ111" i="24"/>
  <c r="FO91" i="24"/>
  <c r="FS87" i="24"/>
  <c r="FS112" i="24"/>
  <c r="EF91" i="24"/>
  <c r="DO99" i="24"/>
  <c r="BZ99" i="24"/>
  <c r="AN91" i="24"/>
  <c r="CX99" i="24"/>
  <c r="BC99" i="24"/>
  <c r="DL99" i="24"/>
  <c r="AZ99" i="24"/>
  <c r="BI99" i="24"/>
  <c r="DY90" i="24"/>
  <c r="AQ90" i="24"/>
  <c r="BH99" i="24"/>
  <c r="DL91" i="24"/>
  <c r="BV91" i="24"/>
  <c r="CZ99" i="24"/>
  <c r="DN90" i="24"/>
  <c r="BU91" i="24"/>
  <c r="DQ90" i="24"/>
  <c r="BB99" i="24"/>
  <c r="CH91" i="24"/>
  <c r="CR90" i="24"/>
  <c r="DI99" i="24"/>
  <c r="AT91" i="24"/>
  <c r="AI91" i="24"/>
  <c r="EB91" i="24"/>
  <c r="DF99" i="24"/>
  <c r="Q56" i="24"/>
  <c r="Y60" i="24"/>
  <c r="P56" i="24"/>
  <c r="S48" i="24"/>
  <c r="Y56" i="24"/>
  <c r="AN56" i="24"/>
  <c r="L48" i="24"/>
  <c r="S60" i="24"/>
  <c r="S55" i="24"/>
  <c r="H56" i="24"/>
  <c r="AA60" i="24"/>
  <c r="N56" i="24"/>
  <c r="J48" i="24"/>
  <c r="P45" i="24"/>
  <c r="AL55" i="24"/>
  <c r="V55" i="24"/>
  <c r="M60" i="24"/>
  <c r="R56" i="24"/>
  <c r="AL48" i="24"/>
  <c r="J46" i="24"/>
  <c r="X54" i="24"/>
  <c r="AN55" i="24"/>
  <c r="P49" i="24"/>
  <c r="M47" i="24"/>
  <c r="U60" i="24"/>
  <c r="M48" i="24"/>
  <c r="R48" i="24"/>
  <c r="N47" i="24"/>
  <c r="O48" i="24"/>
  <c r="EP48" i="24"/>
  <c r="EM60" i="24"/>
  <c r="EN49" i="24"/>
  <c r="EK56" i="24"/>
  <c r="EW48" i="24"/>
  <c r="EZ49" i="24"/>
  <c r="EZ60" i="24"/>
  <c r="ES48" i="24"/>
  <c r="ER49" i="24"/>
  <c r="EQ55" i="24"/>
  <c r="EZ48" i="24"/>
  <c r="ER55" i="24"/>
  <c r="FF55" i="24"/>
  <c r="FN47" i="24"/>
  <c r="FM48" i="24"/>
  <c r="FJ60" i="24"/>
  <c r="FI60" i="24"/>
  <c r="FK48" i="24"/>
  <c r="FJ55" i="24"/>
  <c r="FM55" i="24"/>
  <c r="FG55" i="24"/>
  <c r="FC61" i="24"/>
  <c r="EZ99" i="24"/>
  <c r="EW99" i="24"/>
  <c r="FN87" i="24"/>
  <c r="FJ114" i="24"/>
  <c r="FJ87" i="24"/>
  <c r="FO90" i="24"/>
  <c r="FT86" i="24"/>
  <c r="CI90" i="24"/>
  <c r="BS99" i="24"/>
  <c r="DV90" i="24"/>
  <c r="DB90" i="24"/>
  <c r="CU91" i="24"/>
  <c r="DI91" i="24"/>
  <c r="DY91" i="24"/>
  <c r="DT90" i="24"/>
  <c r="DG90" i="24"/>
  <c r="AH99" i="24"/>
  <c r="BG99" i="24"/>
  <c r="AN90" i="24"/>
  <c r="DN91" i="24"/>
  <c r="CI99" i="24"/>
  <c r="DK91" i="24"/>
  <c r="BK90" i="24"/>
  <c r="BD90" i="24"/>
  <c r="DG99" i="24"/>
  <c r="CA90" i="24"/>
  <c r="CK90" i="24"/>
  <c r="BJ99" i="24"/>
  <c r="EH90" i="24"/>
  <c r="AI55" i="24"/>
  <c r="AN49" i="24"/>
  <c r="O49" i="24"/>
  <c r="P48" i="24"/>
  <c r="I47" i="24"/>
  <c r="U56" i="24"/>
  <c r="K47" i="24"/>
  <c r="Q48" i="24"/>
  <c r="S47" i="24"/>
  <c r="M54" i="24"/>
  <c r="AK49" i="24"/>
  <c r="W56" i="24"/>
  <c r="Y55" i="24"/>
  <c r="W54" i="24"/>
  <c r="V54" i="24"/>
  <c r="AJ48" i="24"/>
  <c r="AG55" i="24"/>
  <c r="AG56" i="24"/>
  <c r="W48" i="24"/>
  <c r="M45" i="24"/>
  <c r="AM49" i="24"/>
  <c r="J54" i="24"/>
  <c r="N55" i="24"/>
  <c r="H55" i="24"/>
  <c r="M56" i="24"/>
  <c r="AB49" i="24"/>
  <c r="T60" i="24"/>
  <c r="L45" i="24"/>
  <c r="EO56" i="24"/>
  <c r="EJ49" i="24"/>
  <c r="EN55" i="24"/>
  <c r="EN60" i="24"/>
  <c r="ET49" i="24"/>
  <c r="EV49" i="24"/>
  <c r="ER48" i="24"/>
  <c r="ES60" i="24"/>
  <c r="EX55" i="24"/>
  <c r="EQ60" i="24"/>
  <c r="EV60" i="24"/>
  <c r="EX60" i="24"/>
  <c r="FF48" i="24"/>
  <c r="FL55" i="24"/>
  <c r="FI56" i="24"/>
  <c r="FH55" i="24"/>
  <c r="FC60" i="24"/>
  <c r="FI55" i="24"/>
  <c r="FJ48" i="24"/>
  <c r="FI48" i="24"/>
  <c r="FH60" i="24"/>
  <c r="FT54" i="24"/>
  <c r="DR61" i="24"/>
  <c r="FB99" i="24"/>
  <c r="EV89" i="24"/>
  <c r="FI112" i="24"/>
  <c r="FM112" i="24"/>
  <c r="FM90" i="24"/>
  <c r="FP111" i="24"/>
  <c r="FT89" i="24"/>
  <c r="BY99" i="24"/>
  <c r="AS90" i="24"/>
  <c r="CM91" i="24"/>
  <c r="DW90" i="24"/>
  <c r="DN99" i="24"/>
  <c r="CQ91" i="24"/>
  <c r="AY99" i="24"/>
  <c r="CO90" i="24"/>
  <c r="EF99" i="24"/>
  <c r="AV91" i="24"/>
  <c r="DT99" i="24"/>
  <c r="CC91" i="24"/>
  <c r="BO99" i="24"/>
  <c r="AF90" i="24"/>
  <c r="CN91" i="24"/>
  <c r="DM99" i="24"/>
  <c r="CX91" i="24"/>
  <c r="DD99" i="24"/>
  <c r="AG90" i="24"/>
  <c r="CG90" i="24"/>
  <c r="BH91" i="24"/>
  <c r="AM90" i="24"/>
  <c r="CA99" i="24"/>
  <c r="CK91" i="24"/>
  <c r="BG90" i="24"/>
  <c r="EA90" i="24"/>
  <c r="AA56" i="24"/>
  <c r="H46" i="24"/>
  <c r="AL60" i="24"/>
  <c r="Z56" i="24"/>
  <c r="I55" i="24"/>
  <c r="AI60" i="24"/>
  <c r="K46" i="24"/>
  <c r="AK48" i="24"/>
  <c r="J56" i="24"/>
  <c r="L54" i="24"/>
  <c r="X55" i="24"/>
  <c r="AI49" i="24"/>
  <c r="I56" i="24"/>
  <c r="W60" i="24"/>
  <c r="U47" i="24"/>
  <c r="AJ56" i="24"/>
  <c r="L46" i="24"/>
  <c r="Q54" i="24"/>
  <c r="AE48" i="24"/>
  <c r="AC60" i="24"/>
  <c r="K48" i="24"/>
  <c r="AD49" i="24"/>
  <c r="J60" i="24"/>
  <c r="Q61" i="24"/>
  <c r="EX99" i="24"/>
  <c r="EU99" i="24"/>
  <c r="FK88" i="24"/>
  <c r="FH111" i="24"/>
  <c r="FQ112" i="24"/>
  <c r="FR99" i="24"/>
  <c r="FQ111" i="24"/>
  <c r="BF99" i="24"/>
  <c r="CC90" i="24"/>
  <c r="DS99" i="24"/>
  <c r="CE91" i="24"/>
  <c r="AV90" i="24"/>
  <c r="BE91" i="24"/>
  <c r="DU90" i="24"/>
  <c r="BW99" i="24"/>
  <c r="BS90" i="24"/>
  <c r="BX90" i="24"/>
  <c r="DR99" i="24"/>
  <c r="BN99" i="24"/>
  <c r="DB91" i="24"/>
  <c r="BP90" i="24"/>
  <c r="CN90" i="24"/>
  <c r="DJ91" i="24"/>
  <c r="AL90" i="24"/>
  <c r="BS91" i="24"/>
  <c r="AG99" i="24"/>
  <c r="CG91" i="24"/>
  <c r="DR90" i="24"/>
  <c r="AM91" i="24"/>
  <c r="AK90" i="24"/>
  <c r="CK99" i="24"/>
  <c r="CZ91" i="24"/>
  <c r="EA91" i="24"/>
  <c r="J45" i="24"/>
  <c r="AE56" i="24"/>
  <c r="L56" i="24"/>
  <c r="Z55" i="24"/>
  <c r="S49" i="24"/>
  <c r="AJ60" i="24"/>
  <c r="R47" i="24"/>
  <c r="T54" i="24"/>
  <c r="AA48" i="24"/>
  <c r="O55" i="24"/>
  <c r="P55" i="24"/>
  <c r="I54" i="24"/>
  <c r="AF48" i="24"/>
  <c r="U48" i="24"/>
  <c r="X56" i="24"/>
  <c r="L60" i="24"/>
  <c r="Q60" i="24"/>
  <c r="H45" i="24"/>
  <c r="AF49" i="24"/>
  <c r="AH48" i="24"/>
  <c r="AD60" i="24"/>
  <c r="I49" i="24"/>
  <c r="AC56" i="24"/>
  <c r="AL49" i="24"/>
  <c r="L47" i="24"/>
  <c r="AG48" i="24"/>
  <c r="AC49" i="24"/>
  <c r="R60" i="24"/>
  <c r="BS61" i="24"/>
  <c r="FB91" i="24"/>
  <c r="FN91" i="24"/>
  <c r="FM111" i="24"/>
  <c r="FL89" i="24"/>
  <c r="FQ90" i="24"/>
  <c r="FS99" i="24"/>
  <c r="FQ89" i="24"/>
  <c r="AQ99" i="24"/>
  <c r="CP90" i="24"/>
  <c r="BJ91" i="24"/>
  <c r="DC91" i="24"/>
  <c r="DQ91" i="24"/>
  <c r="BX99" i="24"/>
  <c r="BE99" i="24"/>
  <c r="DF90" i="24"/>
  <c r="BR90" i="24"/>
  <c r="BX91" i="24"/>
  <c r="DE99" i="24"/>
  <c r="CP91" i="24"/>
  <c r="DB99" i="24"/>
  <c r="CB90" i="24"/>
  <c r="DC90" i="24"/>
  <c r="BW90" i="24"/>
  <c r="BR99" i="24"/>
  <c r="AG91" i="24"/>
  <c r="CJ91" i="24"/>
  <c r="DO90" i="24"/>
  <c r="CO99" i="24"/>
  <c r="AK91" i="24"/>
  <c r="CD90" i="24"/>
  <c r="BT90" i="24"/>
  <c r="DS91" i="24"/>
  <c r="H48" i="24"/>
  <c r="AH49" i="24"/>
  <c r="AD56" i="24"/>
  <c r="J55" i="24"/>
  <c r="P54" i="24"/>
  <c r="AJ55" i="24"/>
  <c r="R54" i="24"/>
  <c r="AL56" i="24"/>
  <c r="Y48" i="24"/>
  <c r="R55" i="24"/>
  <c r="AM56" i="24"/>
  <c r="P47" i="24"/>
  <c r="AG60" i="24"/>
  <c r="AF55" i="24"/>
  <c r="FQ87" i="24"/>
  <c r="BG91" i="24"/>
  <c r="EE91" i="24"/>
  <c r="BV90" i="24"/>
  <c r="AC48" i="24"/>
  <c r="AH60" i="24"/>
  <c r="Q49" i="24"/>
  <c r="N48" i="24"/>
  <c r="O60" i="24"/>
  <c r="I48" i="24"/>
  <c r="EK55" i="24"/>
  <c r="EP56" i="24"/>
  <c r="EY55" i="24"/>
  <c r="ET55" i="24"/>
  <c r="FB48" i="24"/>
  <c r="EW49" i="24"/>
  <c r="FM56" i="24"/>
  <c r="FE48" i="24"/>
  <c r="FL56" i="24"/>
  <c r="FF56" i="24"/>
  <c r="FC49" i="24"/>
  <c r="FR46" i="24"/>
  <c r="FO47" i="24"/>
  <c r="FS47" i="24"/>
  <c r="FP48" i="24"/>
  <c r="FR60" i="24"/>
  <c r="FT46" i="24"/>
  <c r="CN56" i="24"/>
  <c r="CI56" i="24"/>
  <c r="BW49" i="24"/>
  <c r="BK48" i="24"/>
  <c r="CE55" i="24"/>
  <c r="DD48" i="24"/>
  <c r="EA56" i="24"/>
  <c r="AV55" i="24"/>
  <c r="CV56" i="24"/>
  <c r="DH60" i="24"/>
  <c r="DI55" i="24"/>
  <c r="DS49" i="24"/>
  <c r="BJ49" i="24"/>
  <c r="BN56" i="24"/>
  <c r="CA55" i="24"/>
  <c r="DB48" i="24"/>
  <c r="BL49" i="24"/>
  <c r="BF49" i="24"/>
  <c r="DK49" i="24"/>
  <c r="BB49" i="24"/>
  <c r="DH49" i="24"/>
  <c r="CM55" i="24"/>
  <c r="CK49" i="24"/>
  <c r="DF48" i="24"/>
  <c r="BY60" i="24"/>
  <c r="BM60" i="24"/>
  <c r="CQ56" i="24"/>
  <c r="DD49" i="24"/>
  <c r="BT56" i="24"/>
  <c r="AV49" i="24"/>
  <c r="CV60" i="24"/>
  <c r="DH55" i="24"/>
  <c r="DL56" i="24"/>
  <c r="CF55" i="24"/>
  <c r="CL56" i="24"/>
  <c r="CC48" i="24"/>
  <c r="BE48" i="24"/>
  <c r="CK55" i="24"/>
  <c r="ED49" i="24"/>
  <c r="CN49" i="24"/>
  <c r="CG48" i="24"/>
  <c r="EE60" i="24"/>
  <c r="DG48" i="24"/>
  <c r="AU60" i="24"/>
  <c r="CZ49" i="24"/>
  <c r="BF60" i="24"/>
  <c r="CS55" i="24"/>
  <c r="CW55" i="24"/>
  <c r="DQ49" i="24"/>
  <c r="BP56" i="24"/>
  <c r="AV48" i="24"/>
  <c r="BH56" i="24"/>
  <c r="DV56" i="24"/>
  <c r="AZ48" i="24"/>
  <c r="CO55" i="24"/>
  <c r="BG55" i="24"/>
  <c r="FQ91" i="24"/>
  <c r="AR91" i="24"/>
  <c r="BM90" i="24"/>
  <c r="BZ91" i="24"/>
  <c r="AF56" i="24"/>
  <c r="T47" i="24"/>
  <c r="AI56" i="24"/>
  <c r="S54" i="24"/>
  <c r="W47" i="24"/>
  <c r="EK49" i="24"/>
  <c r="EP60" i="24"/>
  <c r="FA55" i="24"/>
  <c r="ET60" i="24"/>
  <c r="FB55" i="24"/>
  <c r="ET56" i="24"/>
  <c r="FI49" i="24"/>
  <c r="FE49" i="24"/>
  <c r="FG56" i="24"/>
  <c r="FK56" i="24"/>
  <c r="FO55" i="24"/>
  <c r="FR47" i="24"/>
  <c r="FO49" i="24"/>
  <c r="FS46" i="24"/>
  <c r="FP60" i="24"/>
  <c r="FS55" i="24"/>
  <c r="FT60" i="24"/>
  <c r="DF55" i="24"/>
  <c r="BY55" i="24"/>
  <c r="BM48" i="24"/>
  <c r="CQ60" i="24"/>
  <c r="AO55" i="24"/>
  <c r="DY48" i="24"/>
  <c r="DM49" i="24"/>
  <c r="CJ49" i="24"/>
  <c r="BH55" i="24"/>
  <c r="DE48" i="24"/>
  <c r="DI56" i="24"/>
  <c r="BS48" i="24"/>
  <c r="BU56" i="24"/>
  <c r="AT49" i="24"/>
  <c r="BQ56" i="24"/>
  <c r="ED60" i="24"/>
  <c r="CN60" i="24"/>
  <c r="AQ55" i="24"/>
  <c r="EC56" i="24"/>
  <c r="AV56" i="24"/>
  <c r="DV49" i="24"/>
  <c r="AW56" i="24"/>
  <c r="DB60" i="24"/>
  <c r="DF49" i="24"/>
  <c r="BF48" i="24"/>
  <c r="CS49" i="24"/>
  <c r="BA56" i="24"/>
  <c r="DD56" i="24"/>
  <c r="DU56" i="24"/>
  <c r="BX56" i="24"/>
  <c r="CV48" i="24"/>
  <c r="DE49" i="24"/>
  <c r="DL49" i="24"/>
  <c r="CB60" i="24"/>
  <c r="BJ60" i="24"/>
  <c r="CC55" i="24"/>
  <c r="CA49" i="24"/>
  <c r="CK48" i="24"/>
  <c r="DW60" i="24"/>
  <c r="DN60" i="24"/>
  <c r="CT48" i="24"/>
  <c r="CJ55" i="24"/>
  <c r="EH60" i="24"/>
  <c r="BO56" i="24"/>
  <c r="DN56" i="24"/>
  <c r="CX49" i="24"/>
  <c r="CY55" i="24"/>
  <c r="CW56" i="24"/>
  <c r="DK55" i="24"/>
  <c r="DM48" i="24"/>
  <c r="AV60" i="24"/>
  <c r="DT60" i="24"/>
  <c r="DA60" i="24"/>
  <c r="CF48" i="24"/>
  <c r="CL60" i="24"/>
  <c r="BG56" i="24"/>
  <c r="AT60" i="24"/>
  <c r="AX49" i="24"/>
  <c r="DU61" i="24"/>
  <c r="DC99" i="24"/>
  <c r="DZ90" i="24"/>
  <c r="AW91" i="24"/>
  <c r="CB91" i="24"/>
  <c r="AB55" i="24"/>
  <c r="U54" i="24"/>
  <c r="P46" i="24"/>
  <c r="I53" i="24"/>
  <c r="AC55" i="24"/>
  <c r="O54" i="24"/>
  <c r="EJ60" i="24"/>
  <c r="EM55" i="24"/>
  <c r="EV55" i="24"/>
  <c r="EY56" i="24"/>
  <c r="ES49" i="24"/>
  <c r="FB60" i="24"/>
  <c r="FL48" i="24"/>
  <c r="FH48" i="24"/>
  <c r="FC55" i="24"/>
  <c r="FC56" i="24"/>
  <c r="FO45" i="24"/>
  <c r="FS54" i="24"/>
  <c r="FO56" i="24"/>
  <c r="FP45" i="24"/>
  <c r="FO48" i="24"/>
  <c r="FS49" i="24"/>
  <c r="FQ46" i="24"/>
  <c r="DF56" i="24"/>
  <c r="BF56" i="24"/>
  <c r="CS56" i="24"/>
  <c r="BA48" i="24"/>
  <c r="AO48" i="24"/>
  <c r="DY56" i="24"/>
  <c r="EE56" i="24"/>
  <c r="BX55" i="24"/>
  <c r="BH60" i="24"/>
  <c r="DE55" i="24"/>
  <c r="DG55" i="24"/>
  <c r="BI55" i="24"/>
  <c r="AP56" i="24"/>
  <c r="CP48" i="24"/>
  <c r="BQ49" i="24"/>
  <c r="DW56" i="24"/>
  <c r="DF60" i="24"/>
  <c r="BW48" i="24"/>
  <c r="EF60" i="24"/>
  <c r="CJ60" i="24"/>
  <c r="DA49" i="24"/>
  <c r="BN48" i="24"/>
  <c r="DW48" i="24"/>
  <c r="DJ56" i="24"/>
  <c r="BF55" i="24"/>
  <c r="CS48" i="24"/>
  <c r="CW60" i="24"/>
  <c r="DY60" i="24"/>
  <c r="EA55" i="24"/>
  <c r="BX49" i="24"/>
  <c r="BH49" i="24"/>
  <c r="DZ56" i="24"/>
  <c r="DI60" i="24"/>
  <c r="EH55" i="24"/>
  <c r="BU48" i="24"/>
  <c r="BN49" i="24"/>
  <c r="CA60" i="24"/>
  <c r="CD55" i="24"/>
  <c r="DX55" i="24"/>
  <c r="DJ55" i="24"/>
  <c r="DQ55" i="24"/>
  <c r="CR60" i="24"/>
  <c r="BS49" i="24"/>
  <c r="CD48" i="24"/>
  <c r="DN48" i="24"/>
  <c r="CX55" i="24"/>
  <c r="CY60" i="24"/>
  <c r="AY60" i="24"/>
  <c r="DD60" i="24"/>
  <c r="DM56" i="24"/>
  <c r="EQ99" i="24"/>
  <c r="BA90" i="24"/>
  <c r="BE90" i="24"/>
  <c r="DJ90" i="24"/>
  <c r="AM55" i="24"/>
  <c r="AE49" i="24"/>
  <c r="J49" i="24"/>
  <c r="I46" i="24"/>
  <c r="AA54" i="24"/>
  <c r="K45" i="24"/>
  <c r="EP49" i="24"/>
  <c r="EJ48" i="24"/>
  <c r="EX48" i="24"/>
  <c r="EY48" i="24"/>
  <c r="ES56" i="24"/>
  <c r="FE60" i="24"/>
  <c r="FG48" i="24"/>
  <c r="FF49" i="24"/>
  <c r="FL47" i="24"/>
  <c r="FC48" i="24"/>
  <c r="FT49" i="24"/>
  <c r="FP47" i="24"/>
  <c r="FT45" i="24"/>
  <c r="FP56" i="24"/>
  <c r="FQ55" i="24"/>
  <c r="FS60" i="24"/>
  <c r="FS56" i="24"/>
  <c r="DN55" i="24"/>
  <c r="CX56" i="24"/>
  <c r="CY56" i="24"/>
  <c r="CG56" i="24"/>
  <c r="CT55" i="24"/>
  <c r="BP55" i="24"/>
  <c r="BC55" i="24"/>
  <c r="BX48" i="24"/>
  <c r="DT55" i="24"/>
  <c r="DZ48" i="24"/>
  <c r="AZ49" i="24"/>
  <c r="BI56" i="24"/>
  <c r="BR56" i="24"/>
  <c r="BE49" i="24"/>
  <c r="BV56" i="24"/>
  <c r="DX60" i="24"/>
  <c r="DN49" i="24"/>
  <c r="BM55" i="24"/>
  <c r="BT49" i="24"/>
  <c r="BX60" i="24"/>
  <c r="CF49" i="24"/>
  <c r="AT48" i="24"/>
  <c r="DX49" i="24"/>
  <c r="DC56" i="24"/>
  <c r="CX60" i="24"/>
  <c r="CY49" i="24"/>
  <c r="AY49" i="24"/>
  <c r="EC49" i="24"/>
  <c r="DM60" i="24"/>
  <c r="AR49" i="24"/>
  <c r="BH48" i="24"/>
  <c r="DZ60" i="24"/>
  <c r="DG49" i="24"/>
  <c r="EH49" i="24"/>
  <c r="AP48" i="24"/>
  <c r="BN60" i="24"/>
  <c r="BQ60" i="24"/>
  <c r="CD49" i="24"/>
  <c r="EB48" i="24"/>
  <c r="DC55" i="24"/>
  <c r="FD87" i="24"/>
  <c r="DQ99" i="24"/>
  <c r="ED99" i="24"/>
  <c r="CY90" i="24"/>
  <c r="Z49" i="24"/>
  <c r="I45" i="24"/>
  <c r="X47" i="24"/>
  <c r="V49" i="24"/>
  <c r="W55" i="24"/>
  <c r="K56" i="24"/>
  <c r="EM56" i="24"/>
  <c r="EO48" i="24"/>
  <c r="EO55" i="24"/>
  <c r="EX49" i="24"/>
  <c r="FA48" i="24"/>
  <c r="EY49" i="24"/>
  <c r="FD48" i="24"/>
  <c r="FE56" i="24"/>
  <c r="FK55" i="24"/>
  <c r="FG49" i="24"/>
  <c r="FN54" i="24"/>
  <c r="FT56" i="24"/>
  <c r="FP46" i="24"/>
  <c r="FT48" i="24"/>
  <c r="FT47" i="24"/>
  <c r="FQ60" i="24"/>
  <c r="FP54" i="24"/>
  <c r="FP55" i="24"/>
  <c r="DJ48" i="24"/>
  <c r="CU48" i="24"/>
  <c r="CY48" i="24"/>
  <c r="CG49" i="24"/>
  <c r="CT49" i="24"/>
  <c r="BT60" i="24"/>
  <c r="BC49" i="24"/>
  <c r="AR55" i="24"/>
  <c r="DR48" i="24"/>
  <c r="DP49" i="24"/>
  <c r="CF56" i="24"/>
  <c r="CO48" i="24"/>
  <c r="BR49" i="24"/>
  <c r="BE55" i="24"/>
  <c r="AX48" i="24"/>
  <c r="EB49" i="24"/>
  <c r="DC60" i="24"/>
  <c r="BA49" i="24"/>
  <c r="DU60" i="24"/>
  <c r="AR56" i="24"/>
  <c r="BI49" i="24"/>
  <c r="CP56" i="24"/>
  <c r="EB60" i="24"/>
  <c r="EI56" i="24"/>
  <c r="CX48" i="24"/>
  <c r="CH60" i="24"/>
  <c r="CE48" i="24"/>
  <c r="EC48" i="24"/>
  <c r="EE49" i="24"/>
  <c r="AR60" i="24"/>
  <c r="DT56" i="24"/>
  <c r="DP56" i="24"/>
  <c r="DG60" i="24"/>
  <c r="DS48" i="24"/>
  <c r="BG60" i="24"/>
  <c r="AT55" i="24"/>
  <c r="BV48" i="24"/>
  <c r="BZ60" i="24"/>
  <c r="EG60" i="24"/>
  <c r="EI60" i="24"/>
  <c r="BP49" i="24"/>
  <c r="DO60" i="24"/>
  <c r="FM91" i="24"/>
  <c r="BK91" i="24"/>
  <c r="DH99" i="24"/>
  <c r="AJ91" i="24"/>
  <c r="Z54" i="24"/>
  <c r="AB56" i="24"/>
  <c r="X60" i="24"/>
  <c r="AK56" i="24"/>
  <c r="N54" i="24"/>
  <c r="AB60" i="24"/>
  <c r="EM49" i="24"/>
  <c r="EO60" i="24"/>
  <c r="EL60" i="24"/>
  <c r="EU55" i="24"/>
  <c r="FA60" i="24"/>
  <c r="EY60" i="24"/>
  <c r="FJ54" i="24"/>
  <c r="FJ47" i="24"/>
  <c r="FM60" i="24"/>
  <c r="FE55" i="24"/>
  <c r="FN60" i="24"/>
  <c r="FQ49" i="24"/>
  <c r="FQ54" i="24"/>
  <c r="FT55" i="24"/>
  <c r="FQ56" i="24"/>
  <c r="FQ47" i="24"/>
  <c r="FP49" i="24"/>
  <c r="BL56" i="24"/>
  <c r="DC48" i="24"/>
  <c r="CU60" i="24"/>
  <c r="CH56" i="24"/>
  <c r="CW49" i="24"/>
  <c r="DQ56" i="24"/>
  <c r="DU55" i="24"/>
  <c r="AS48" i="24"/>
  <c r="AR48" i="24"/>
  <c r="DR56" i="24"/>
  <c r="DV55" i="24"/>
  <c r="CB55" i="24"/>
  <c r="CL48" i="24"/>
  <c r="BG48" i="24"/>
  <c r="AU55" i="24"/>
  <c r="BO48" i="24"/>
  <c r="EG56" i="24"/>
  <c r="EI55" i="24"/>
  <c r="CW48" i="24"/>
  <c r="EA60" i="24"/>
  <c r="CV55" i="24"/>
  <c r="BJ56" i="24"/>
  <c r="BE60" i="24"/>
  <c r="BL55" i="24"/>
  <c r="CI48" i="24"/>
  <c r="CU56" i="24"/>
  <c r="BK55" i="24"/>
  <c r="AO49" i="24"/>
  <c r="EF55" i="24"/>
  <c r="AS60" i="24"/>
  <c r="CR56" i="24"/>
  <c r="DT49" i="24"/>
  <c r="DP48" i="24"/>
  <c r="AZ56" i="24"/>
  <c r="BS56" i="24"/>
  <c r="CM56" i="24"/>
  <c r="CP55" i="24"/>
  <c r="BV60" i="24"/>
  <c r="DB55" i="24"/>
  <c r="ED48" i="24"/>
  <c r="BM49" i="24"/>
  <c r="BT55" i="24"/>
  <c r="DE60" i="24"/>
  <c r="CL55" i="24"/>
  <c r="EG49" i="24"/>
  <c r="DC49" i="24"/>
  <c r="AQ60" i="24"/>
  <c r="BA55" i="24"/>
  <c r="AO56" i="24"/>
  <c r="EF56" i="24"/>
  <c r="BC60" i="24"/>
  <c r="BD48" i="24"/>
  <c r="DE56" i="24"/>
  <c r="DI48" i="24"/>
  <c r="DS56" i="24"/>
  <c r="AP60" i="24"/>
  <c r="AW60" i="24"/>
  <c r="FL99" i="24"/>
  <c r="AX99" i="24"/>
  <c r="BQ90" i="24"/>
  <c r="CW99" i="24"/>
  <c r="BL99" i="24"/>
  <c r="DH90" i="24"/>
  <c r="N45" i="24"/>
  <c r="AM48" i="24"/>
  <c r="AA55" i="24"/>
  <c r="R49" i="24"/>
  <c r="O45" i="24"/>
  <c r="V60" i="24"/>
  <c r="EL48" i="24"/>
  <c r="EM48" i="24"/>
  <c r="EQ48" i="24"/>
  <c r="EU48" i="24"/>
  <c r="EU49" i="24"/>
  <c r="ER60" i="24"/>
  <c r="FK49" i="24"/>
  <c r="FN55" i="24"/>
  <c r="FN48" i="24"/>
  <c r="FH56" i="24"/>
  <c r="FK47" i="24"/>
  <c r="FQ45" i="24"/>
  <c r="FR56" i="24"/>
  <c r="FR48" i="24"/>
  <c r="FR55" i="24"/>
  <c r="FR45" i="24"/>
  <c r="FO54" i="24"/>
  <c r="CZ55" i="24"/>
  <c r="EI48" i="24"/>
  <c r="AQ48" i="24"/>
  <c r="CH48" i="24"/>
  <c r="AY48" i="24"/>
  <c r="DK56" i="24"/>
  <c r="DU48" i="24"/>
  <c r="AS56" i="24"/>
  <c r="CR55" i="24"/>
  <c r="DO55" i="24"/>
  <c r="DV60" i="24"/>
  <c r="CB56" i="24"/>
  <c r="CL49" i="24"/>
  <c r="AW55" i="24"/>
  <c r="AU49" i="24"/>
  <c r="CK56" i="24"/>
  <c r="EG48" i="24"/>
  <c r="CI55" i="24"/>
  <c r="AO60" i="24"/>
  <c r="EE55" i="24"/>
  <c r="DT48" i="24"/>
  <c r="AP55" i="24"/>
  <c r="BQ55" i="24"/>
  <c r="BL48" i="24"/>
  <c r="CI60" i="24"/>
  <c r="AQ49" i="24"/>
  <c r="BK56" i="24"/>
  <c r="DK48" i="24"/>
  <c r="BP48" i="24"/>
  <c r="BB55" i="24"/>
  <c r="CR49" i="24"/>
  <c r="DR49" i="24"/>
  <c r="DV48" i="24"/>
  <c r="AZ55" i="24"/>
  <c r="BI48" i="24"/>
  <c r="CM48" i="24"/>
  <c r="CP60" i="24"/>
  <c r="AX55" i="24"/>
  <c r="DB56" i="24"/>
  <c r="EB55" i="24"/>
  <c r="CS60" i="24"/>
  <c r="EA49" i="24"/>
  <c r="DP55" i="24"/>
  <c r="BU60" i="24"/>
  <c r="BL60" i="24"/>
  <c r="EI49" i="24"/>
  <c r="BW56" i="24"/>
  <c r="BA60" i="24"/>
  <c r="CT56" i="24"/>
  <c r="EF48" i="24"/>
  <c r="AS49" i="24"/>
  <c r="BD55" i="24"/>
  <c r="DZ49" i="24"/>
  <c r="DG56" i="24"/>
  <c r="BS55" i="24"/>
  <c r="AP49" i="24"/>
  <c r="DS60" i="24"/>
  <c r="DY55" i="24"/>
  <c r="CZ56" i="24"/>
  <c r="CD56" i="24"/>
  <c r="CA48" i="24"/>
  <c r="CM60" i="24"/>
  <c r="EH48" i="24"/>
  <c r="DO56" i="24"/>
  <c r="EE48" i="24"/>
  <c r="CQ48" i="24"/>
  <c r="CZ48" i="24"/>
  <c r="DM55" i="24"/>
  <c r="CO60" i="24"/>
  <c r="CQ55" i="24"/>
  <c r="DQ48" i="24"/>
  <c r="DA55" i="24"/>
  <c r="BW55" i="24"/>
  <c r="FQ48" i="24"/>
  <c r="EW60" i="24"/>
  <c r="Z48" i="24"/>
  <c r="CK60" i="24"/>
  <c r="AU48" i="24"/>
  <c r="CM49" i="24"/>
  <c r="CB49" i="24"/>
  <c r="DR55" i="24"/>
  <c r="BP60" i="24"/>
  <c r="CH49" i="24"/>
  <c r="EB56" i="24"/>
  <c r="EF49" i="24"/>
  <c r="CF60" i="24"/>
  <c r="BW60" i="24"/>
  <c r="BY56" i="24"/>
  <c r="DH48" i="24"/>
  <c r="CI49" i="24"/>
  <c r="FM47" i="24"/>
  <c r="ES55" i="24"/>
  <c r="J47" i="24"/>
  <c r="EG55" i="24"/>
  <c r="DX48" i="24"/>
  <c r="AU56" i="24"/>
  <c r="BR48" i="24"/>
  <c r="AZ60" i="24"/>
  <c r="CV49" i="24"/>
  <c r="EC55" i="24"/>
  <c r="BM56" i="24"/>
  <c r="DW55" i="24"/>
  <c r="CQ49" i="24"/>
  <c r="DA56" i="24"/>
  <c r="BY48" i="24"/>
  <c r="DW49" i="24"/>
  <c r="BD49" i="24"/>
  <c r="CN55" i="24"/>
  <c r="FH49" i="24"/>
  <c r="EJ56" i="24"/>
  <c r="AP99" i="24"/>
  <c r="CB48" i="24"/>
  <c r="DL55" i="24"/>
  <c r="DX56" i="24"/>
  <c r="DZ55" i="24"/>
  <c r="AY55" i="24"/>
  <c r="ED55" i="24"/>
  <c r="BO55" i="24"/>
  <c r="CP49" i="24"/>
  <c r="BU55" i="24"/>
  <c r="DI49" i="24"/>
  <c r="CR48" i="24"/>
  <c r="DY49" i="24"/>
  <c r="AQ56" i="24"/>
  <c r="BR55" i="24"/>
  <c r="CZ60" i="24"/>
  <c r="DO49" i="24"/>
  <c r="CN48" i="24"/>
  <c r="BZ48" i="24"/>
  <c r="BB56" i="24"/>
  <c r="FO60" i="24"/>
  <c r="FN56" i="24"/>
  <c r="EL49" i="24"/>
  <c r="BD56" i="24"/>
  <c r="CG55" i="24"/>
  <c r="DB49" i="24"/>
  <c r="AX60" i="24"/>
  <c r="AT56" i="24"/>
  <c r="BU49" i="24"/>
  <c r="DL48" i="24"/>
  <c r="CJ56" i="24"/>
  <c r="DQ60" i="24"/>
  <c r="CU55" i="24"/>
  <c r="CO56" i="24"/>
  <c r="ED56" i="24"/>
  <c r="BD60" i="24"/>
  <c r="AX56" i="24"/>
  <c r="CA56" i="24"/>
  <c r="EA48" i="24"/>
  <c r="FR49" i="24"/>
  <c r="FL60" i="24"/>
  <c r="W49" i="24"/>
  <c r="DU99" i="24"/>
  <c r="FS86" i="24"/>
  <c r="CT60" i="24"/>
  <c r="CE49" i="24"/>
  <c r="BO60" i="24"/>
  <c r="BZ56" i="24"/>
  <c r="CC56" i="24"/>
  <c r="BC48" i="24"/>
  <c r="BK49" i="24"/>
  <c r="BZ55" i="24"/>
  <c r="BV49" i="24"/>
  <c r="BN55" i="24"/>
  <c r="BJ48" i="24"/>
  <c r="DA48" i="24"/>
  <c r="CJ48" i="24"/>
  <c r="CE60" i="24"/>
  <c r="BY49" i="24"/>
  <c r="BS60" i="24"/>
  <c r="BO49" i="24"/>
  <c r="BB48" i="24"/>
  <c r="BG49" i="24"/>
  <c r="CC60" i="24"/>
  <c r="DD55" i="24"/>
  <c r="FS48" i="24"/>
  <c r="FK60" i="24"/>
  <c r="AN48" i="24"/>
  <c r="H61" i="24"/>
  <c r="M61" i="24"/>
  <c r="EY61" i="24"/>
  <c r="FA61" i="24"/>
  <c r="FM61" i="24"/>
  <c r="FT61" i="24"/>
  <c r="CJ61" i="24"/>
  <c r="AB61" i="24"/>
  <c r="BW61" i="24"/>
  <c r="BT61" i="24"/>
  <c r="AE61" i="24"/>
  <c r="AZ61" i="24"/>
  <c r="AW61" i="24"/>
  <c r="AG61" i="24"/>
  <c r="BU61" i="24"/>
  <c r="BM61" i="24"/>
  <c r="DE61" i="24"/>
  <c r="AP61" i="24"/>
  <c r="T61" i="24"/>
  <c r="T62" i="24" s="1"/>
  <c r="CF61" i="24"/>
  <c r="AF61" i="24"/>
  <c r="BN61" i="24"/>
  <c r="I95" i="24"/>
  <c r="I100" i="24" s="1"/>
  <c r="I103" i="24" s="1"/>
  <c r="EM99" i="24"/>
  <c r="EK99" i="24"/>
  <c r="ET99" i="24"/>
  <c r="EV86" i="24"/>
  <c r="EY88" i="24"/>
  <c r="ER90" i="24"/>
  <c r="EZ86" i="24"/>
  <c r="EV90" i="24"/>
  <c r="EY86" i="24"/>
  <c r="ES90" i="24"/>
  <c r="FF88" i="24"/>
  <c r="FL88" i="24"/>
  <c r="FK86" i="24"/>
  <c r="FF99" i="24"/>
  <c r="FN89" i="24"/>
  <c r="FC88" i="24"/>
  <c r="FK91" i="24"/>
  <c r="FF86" i="24"/>
  <c r="FL112" i="24"/>
  <c r="FG91" i="24"/>
  <c r="FJ86" i="24"/>
  <c r="FH88" i="24"/>
  <c r="FC90" i="24"/>
  <c r="FE88" i="24"/>
  <c r="FT87" i="24"/>
  <c r="FP112" i="24"/>
  <c r="FT114" i="24"/>
  <c r="FP99" i="24"/>
  <c r="FT111" i="24"/>
  <c r="FP114" i="24"/>
  <c r="FO111" i="24"/>
  <c r="FP90" i="24"/>
  <c r="FS91" i="24"/>
  <c r="BM99" i="24"/>
  <c r="CW91" i="24"/>
  <c r="AS99" i="24"/>
  <c r="CJ99" i="24"/>
  <c r="DL90" i="24"/>
  <c r="CP99" i="24"/>
  <c r="AI99" i="24"/>
  <c r="DX91" i="24"/>
  <c r="AF91" i="24"/>
  <c r="BT91" i="24"/>
  <c r="BI90" i="24"/>
  <c r="AL91" i="24"/>
  <c r="AO90" i="24"/>
  <c r="DD91" i="24"/>
  <c r="CU90" i="24"/>
  <c r="AR99" i="24"/>
  <c r="DZ91" i="24"/>
  <c r="CO91" i="24"/>
  <c r="BQ91" i="24"/>
  <c r="BL91" i="24"/>
  <c r="EH99" i="24"/>
  <c r="CE90" i="24"/>
  <c r="CL91" i="24"/>
  <c r="CY99" i="24"/>
  <c r="AJ99" i="24"/>
  <c r="DO91" i="24"/>
  <c r="CC99" i="24"/>
  <c r="BQ99" i="24"/>
  <c r="P61" i="24"/>
  <c r="EO61" i="24"/>
  <c r="ES61" i="24"/>
  <c r="EW61" i="24"/>
  <c r="FL61" i="24"/>
  <c r="FP61" i="24"/>
  <c r="DX61" i="24"/>
  <c r="CR61" i="24"/>
  <c r="CE61" i="24"/>
  <c r="AR61" i="24"/>
  <c r="CD61" i="24"/>
  <c r="BZ61" i="24"/>
  <c r="DL61" i="24"/>
  <c r="DT61" i="24"/>
  <c r="Z61" i="24"/>
  <c r="AU61" i="24"/>
  <c r="AY61" i="24"/>
  <c r="CY61" i="24"/>
  <c r="AV61" i="24"/>
  <c r="ED61" i="24"/>
  <c r="CU61" i="24"/>
  <c r="H47" i="24"/>
  <c r="J95" i="24"/>
  <c r="J100" i="24" s="1"/>
  <c r="J103" i="24" s="1"/>
  <c r="EL90" i="24"/>
  <c r="EP99" i="24"/>
  <c r="ET91" i="24"/>
  <c r="EV99" i="24"/>
  <c r="EQ90" i="24"/>
  <c r="EU91" i="24"/>
  <c r="EZ91" i="24"/>
  <c r="EU90" i="24"/>
  <c r="EY91" i="24"/>
  <c r="ES91" i="24"/>
  <c r="FH112" i="24"/>
  <c r="FI86" i="24"/>
  <c r="FK99" i="24"/>
  <c r="FF89" i="24"/>
  <c r="FN88" i="24"/>
  <c r="FC86" i="24"/>
  <c r="FE99" i="24"/>
  <c r="FF87" i="24"/>
  <c r="FL90" i="24"/>
  <c r="FG90" i="24"/>
  <c r="FJ88" i="24"/>
  <c r="FN99" i="24"/>
  <c r="FC91" i="24"/>
  <c r="FE89" i="24"/>
  <c r="FT90" i="24"/>
  <c r="FR112" i="24"/>
  <c r="FT91" i="24"/>
  <c r="FR111" i="24"/>
  <c r="FT88" i="24"/>
  <c r="FP86" i="24"/>
  <c r="FO113" i="24"/>
  <c r="FP88" i="24"/>
  <c r="FS88" i="24"/>
  <c r="CS90" i="24"/>
  <c r="DY99" i="24"/>
  <c r="AR90" i="24"/>
  <c r="DI90" i="24"/>
  <c r="AU90" i="24"/>
  <c r="BO90" i="24"/>
  <c r="EB99" i="24"/>
  <c r="BP91" i="24"/>
  <c r="BT99" i="24"/>
  <c r="BU99" i="24"/>
  <c r="BW91" i="24"/>
  <c r="AO91" i="24"/>
  <c r="EC90" i="24"/>
  <c r="CH99" i="24"/>
  <c r="CV90" i="24"/>
  <c r="DP90" i="24"/>
  <c r="CM99" i="24"/>
  <c r="CD99" i="24"/>
  <c r="BL90" i="24"/>
  <c r="DM90" i="24"/>
  <c r="CE99" i="24"/>
  <c r="BR91" i="24"/>
  <c r="BK99" i="24"/>
  <c r="EV19" i="24"/>
  <c r="EV18" i="24"/>
  <c r="O61" i="24"/>
  <c r="EJ61" i="24"/>
  <c r="EU61" i="24"/>
  <c r="ER61" i="24"/>
  <c r="FK61" i="24"/>
  <c r="FO61" i="24"/>
  <c r="CA61" i="24"/>
  <c r="BC61" i="24"/>
  <c r="AD61" i="24"/>
  <c r="DB61" i="24"/>
  <c r="CK61" i="24"/>
  <c r="BJ61" i="24"/>
  <c r="EF61" i="24"/>
  <c r="DQ61" i="24"/>
  <c r="BB61" i="24"/>
  <c r="CS61" i="24"/>
  <c r="AS61" i="24"/>
  <c r="BO61" i="24"/>
  <c r="V61" i="24"/>
  <c r="BQ61" i="24"/>
  <c r="AK61" i="24"/>
  <c r="H95" i="24"/>
  <c r="H100" i="24" s="1"/>
  <c r="H103" i="24" s="1"/>
  <c r="EK90" i="24"/>
  <c r="EO99" i="24"/>
  <c r="EY87" i="24"/>
  <c r="ER99" i="24"/>
  <c r="EZ88" i="24"/>
  <c r="FA88" i="24"/>
  <c r="EW89" i="24"/>
  <c r="FA87" i="24"/>
  <c r="EY99" i="24"/>
  <c r="EX88" i="24"/>
  <c r="FH89" i="24"/>
  <c r="FI87" i="24"/>
  <c r="FK89" i="24"/>
  <c r="FF91" i="24"/>
  <c r="FL111" i="24"/>
  <c r="FG86" i="24"/>
  <c r="FJ112" i="24"/>
  <c r="FH114" i="24"/>
  <c r="FL91" i="24"/>
  <c r="FD89" i="24"/>
  <c r="FJ89" i="24"/>
  <c r="FN114" i="24"/>
  <c r="FC99" i="24"/>
  <c r="FE91" i="24"/>
  <c r="FO86" i="24"/>
  <c r="FR87" i="24"/>
  <c r="FT99" i="24"/>
  <c r="FR114" i="24"/>
  <c r="FO112" i="24"/>
  <c r="FP87" i="24"/>
  <c r="FO88" i="24"/>
  <c r="FP91" i="24"/>
  <c r="BU90" i="24"/>
  <c r="CS91" i="24"/>
  <c r="EC91" i="24"/>
  <c r="CU99" i="24"/>
  <c r="CR91" i="24"/>
  <c r="AM99" i="24"/>
  <c r="AK99" i="24"/>
  <c r="CD91" i="24"/>
  <c r="EG90" i="24"/>
  <c r="BP99" i="24"/>
  <c r="BM91" i="24"/>
  <c r="AO99" i="24"/>
  <c r="EC99" i="24"/>
  <c r="CG99" i="24"/>
  <c r="BH90" i="24"/>
  <c r="DV99" i="24"/>
  <c r="AT90" i="24"/>
  <c r="ED90" i="24"/>
  <c r="AN99" i="24"/>
  <c r="DM91" i="24"/>
  <c r="BY91" i="24"/>
  <c r="EV20" i="24"/>
  <c r="I61" i="24"/>
  <c r="EM61" i="24"/>
  <c r="EQ61" i="24"/>
  <c r="FB61" i="24"/>
  <c r="FN61" i="24"/>
  <c r="FS61" i="24"/>
  <c r="BG61" i="24"/>
  <c r="AI61" i="24"/>
  <c r="DF61" i="24"/>
  <c r="CM61" i="24"/>
  <c r="AC61" i="24"/>
  <c r="AC62" i="24" s="1"/>
  <c r="DO61" i="24"/>
  <c r="CN61" i="24"/>
  <c r="BK61" i="24"/>
  <c r="CC61" i="24"/>
  <c r="DZ61" i="24"/>
  <c r="EB61" i="24"/>
  <c r="BE61" i="24"/>
  <c r="AA61" i="24"/>
  <c r="BR61" i="24"/>
  <c r="BH61" i="24"/>
  <c r="EO91" i="24"/>
  <c r="EJ90" i="24"/>
  <c r="EM90" i="24"/>
  <c r="EY90" i="24"/>
  <c r="ET90" i="24"/>
  <c r="EW87" i="24"/>
  <c r="FB87" i="24"/>
  <c r="EW86" i="24"/>
  <c r="FA90" i="24"/>
  <c r="EQ91" i="24"/>
  <c r="EX89" i="24"/>
  <c r="FH87" i="24"/>
  <c r="FI113" i="24"/>
  <c r="FE90" i="24"/>
  <c r="FH113" i="24"/>
  <c r="FL87" i="24"/>
  <c r="FG99" i="24"/>
  <c r="FJ90" i="24"/>
  <c r="FH90" i="24"/>
  <c r="FI111" i="24"/>
  <c r="FK112" i="24"/>
  <c r="FM89" i="24"/>
  <c r="FL86" i="24"/>
  <c r="FG87" i="24"/>
  <c r="FJ113" i="24"/>
  <c r="FO99" i="24"/>
  <c r="FR89" i="24"/>
  <c r="FO114" i="24"/>
  <c r="FR90" i="24"/>
  <c r="FO87" i="24"/>
  <c r="FS114" i="24"/>
  <c r="FO89" i="24"/>
  <c r="FR113" i="24"/>
  <c r="EF90" i="24"/>
  <c r="AQ91" i="24"/>
  <c r="CV91" i="24"/>
  <c r="AP91" i="24"/>
  <c r="BV99" i="24"/>
  <c r="BZ90" i="24"/>
  <c r="EG91" i="24"/>
  <c r="AZ90" i="24"/>
  <c r="DU91" i="24"/>
  <c r="CI91" i="24"/>
  <c r="CS99" i="24"/>
  <c r="CT99" i="24"/>
  <c r="CL90" i="24"/>
  <c r="AY91" i="24"/>
  <c r="DT91" i="24"/>
  <c r="DA90" i="24"/>
  <c r="AT99" i="24"/>
  <c r="DW91" i="24"/>
  <c r="CN99" i="24"/>
  <c r="DJ99" i="24"/>
  <c r="AL99" i="24"/>
  <c r="DK90" i="24"/>
  <c r="AW90" i="24"/>
  <c r="AY90" i="24"/>
  <c r="CV99" i="24"/>
  <c r="DP91" i="24"/>
  <c r="BN91" i="24"/>
  <c r="BO91" i="24"/>
  <c r="EV21" i="24"/>
  <c r="J61" i="24"/>
  <c r="J62" i="24" s="1"/>
  <c r="EP61" i="24"/>
  <c r="EX61" i="24"/>
  <c r="FG61" i="24"/>
  <c r="FI61" i="24"/>
  <c r="FQ61" i="24"/>
  <c r="CX61" i="24"/>
  <c r="CP61" i="24"/>
  <c r="CO61" i="24"/>
  <c r="DG61" i="24"/>
  <c r="DV61" i="24"/>
  <c r="CG61" i="24"/>
  <c r="AJ61" i="24"/>
  <c r="AJ62" i="24" s="1"/>
  <c r="DC61" i="24"/>
  <c r="DP61" i="24"/>
  <c r="DK61" i="24"/>
  <c r="U61" i="24"/>
  <c r="BD61" i="24"/>
  <c r="BX61" i="24"/>
  <c r="CI61" i="24"/>
  <c r="DY61" i="24"/>
  <c r="H54" i="24"/>
  <c r="EL91" i="24"/>
  <c r="EP91" i="24"/>
  <c r="EK91" i="24"/>
  <c r="EZ90" i="24"/>
  <c r="FA89" i="24"/>
  <c r="ES99" i="24"/>
  <c r="FB86" i="24"/>
  <c r="EW91" i="24"/>
  <c r="FA91" i="24"/>
  <c r="EZ89" i="24"/>
  <c r="EV87" i="24"/>
  <c r="FN112" i="24"/>
  <c r="FG88" i="24"/>
  <c r="FJ99" i="24"/>
  <c r="FH91" i="24"/>
  <c r="FI88" i="24"/>
  <c r="FD91" i="24"/>
  <c r="FM87" i="24"/>
  <c r="FH99" i="24"/>
  <c r="FI90" i="24"/>
  <c r="FK90" i="24"/>
  <c r="FM114" i="24"/>
  <c r="EV17" i="24"/>
  <c r="N61" i="24"/>
  <c r="EL61" i="24"/>
  <c r="ET61" i="24"/>
  <c r="FJ61" i="24"/>
  <c r="FE61" i="24"/>
  <c r="FR61" i="24"/>
  <c r="CH61" i="24"/>
  <c r="BI61" i="24"/>
  <c r="AQ61" i="24"/>
  <c r="DJ61" i="24"/>
  <c r="BF61" i="24"/>
  <c r="DM61" i="24"/>
  <c r="EG61" i="24"/>
  <c r="BL61" i="24"/>
  <c r="CV61" i="24"/>
  <c r="DS61" i="24"/>
  <c r="DH61" i="24"/>
  <c r="DI61" i="24"/>
  <c r="X61" i="24"/>
  <c r="DA61" i="24"/>
  <c r="BP61" i="24"/>
  <c r="K61" i="24"/>
  <c r="EN61" i="24"/>
  <c r="EZ61" i="24"/>
  <c r="FH61" i="24"/>
  <c r="FF61" i="24"/>
  <c r="CT61" i="24"/>
  <c r="AO61" i="24"/>
  <c r="BY61" i="24"/>
  <c r="CW61" i="24"/>
  <c r="AM61" i="24"/>
  <c r="S61" i="24"/>
  <c r="S62" i="24" s="1"/>
  <c r="CZ61" i="24"/>
  <c r="AH61" i="24"/>
  <c r="CQ61" i="24"/>
  <c r="AL61" i="24"/>
  <c r="R61" i="24"/>
  <c r="W61" i="24"/>
  <c r="DD61" i="24"/>
  <c r="BA61" i="24"/>
  <c r="Y61" i="24"/>
  <c r="AT61" i="24"/>
  <c r="EJ91" i="24"/>
  <c r="EM91" i="24"/>
  <c r="EN91" i="24"/>
  <c r="EW90" i="24"/>
  <c r="FA99" i="24"/>
  <c r="EV88" i="24"/>
  <c r="EY89" i="24"/>
  <c r="EX86" i="24"/>
  <c r="FB88" i="24"/>
  <c r="EW88" i="24"/>
  <c r="ER91" i="24"/>
  <c r="FL114" i="24"/>
  <c r="FD90" i="24"/>
  <c r="FM86" i="24"/>
  <c r="FN111" i="24"/>
  <c r="FI99" i="24"/>
  <c r="FK111" i="24"/>
  <c r="FM88" i="24"/>
  <c r="FN90" i="24"/>
  <c r="FC87" i="24"/>
  <c r="FE87" i="24"/>
  <c r="FF90" i="24"/>
  <c r="FI114" i="24"/>
  <c r="FK113" i="24"/>
  <c r="FJ91" i="24"/>
  <c r="FP113" i="24"/>
  <c r="FS90" i="24"/>
  <c r="FQ86" i="24"/>
  <c r="FS111" i="24"/>
  <c r="FQ88" i="24"/>
  <c r="FT113" i="24"/>
  <c r="FQ113" i="24"/>
  <c r="FS113" i="24"/>
  <c r="BF91" i="24"/>
  <c r="BA91" i="24"/>
  <c r="CL99" i="24"/>
  <c r="DH91" i="24"/>
  <c r="BN90" i="24"/>
  <c r="AH90" i="24"/>
  <c r="DW99" i="24"/>
  <c r="BJ90" i="24"/>
  <c r="CF99" i="24"/>
  <c r="DS90" i="24"/>
  <c r="CX90" i="24"/>
  <c r="CQ90" i="24"/>
  <c r="DK99" i="24"/>
  <c r="BB90" i="24"/>
  <c r="CJ90" i="24"/>
  <c r="DE91" i="24"/>
  <c r="DG91" i="24"/>
  <c r="CA91" i="24"/>
  <c r="AF99" i="24"/>
  <c r="DN61" i="24"/>
  <c r="DW61" i="24"/>
  <c r="FD61" i="24"/>
  <c r="EE61" i="24"/>
  <c r="EA61" i="24"/>
  <c r="EV61" i="24"/>
  <c r="EV91" i="24"/>
  <c r="EL99" i="24"/>
  <c r="EH61" i="24"/>
  <c r="BV61" i="24"/>
  <c r="EK61" i="24"/>
  <c r="EN99" i="24"/>
  <c r="CB61" i="24"/>
  <c r="EC61" i="24"/>
  <c r="L61" i="24"/>
  <c r="FD99" i="24"/>
  <c r="FE86" i="24"/>
  <c r="FK114" i="24"/>
  <c r="FD88" i="24"/>
  <c r="FB89" i="24"/>
  <c r="FA86" i="24"/>
  <c r="EJ99" i="24"/>
  <c r="CL61" i="24"/>
  <c r="EI61" i="24"/>
  <c r="FR86" i="24"/>
  <c r="FP89" i="24"/>
  <c r="FD86" i="24"/>
  <c r="FG89" i="24"/>
  <c r="FC89" i="24"/>
  <c r="FL113" i="24"/>
  <c r="EX91" i="24"/>
  <c r="EX90" i="24"/>
  <c r="AX61" i="24"/>
  <c r="AN61" i="24"/>
  <c r="R71" i="57"/>
  <c r="D77" i="27"/>
  <c r="D35" i="27"/>
  <c r="W89" i="24"/>
  <c r="W112" i="24"/>
  <c r="V99" i="24"/>
  <c r="V86" i="24"/>
  <c r="X88" i="24"/>
  <c r="X113" i="24"/>
  <c r="W99" i="24"/>
  <c r="W87" i="24"/>
  <c r="W113" i="24"/>
  <c r="V87" i="24"/>
  <c r="V88" i="24"/>
  <c r="V89" i="24"/>
  <c r="X114" i="24"/>
  <c r="X99" i="24"/>
  <c r="X111" i="24"/>
  <c r="X86" i="24"/>
  <c r="W86" i="24"/>
  <c r="W88" i="24"/>
  <c r="W90" i="24"/>
  <c r="W114" i="24"/>
  <c r="V91" i="24"/>
  <c r="V112" i="24"/>
  <c r="V90" i="24"/>
  <c r="X87" i="24"/>
  <c r="X112" i="24"/>
  <c r="X91" i="24"/>
  <c r="W111" i="24"/>
  <c r="W91" i="24"/>
  <c r="V111" i="24"/>
  <c r="V113" i="24"/>
  <c r="V114" i="24"/>
  <c r="X90" i="24"/>
  <c r="X89" i="24"/>
  <c r="H49" i="58"/>
  <c r="Q49" i="58"/>
  <c r="Q24" i="58" s="1"/>
  <c r="N49" i="58"/>
  <c r="N24" i="58" s="1"/>
  <c r="O49" i="58"/>
  <c r="O24" i="58" s="1"/>
  <c r="K49" i="58"/>
  <c r="P49" i="58"/>
  <c r="P24" i="58" s="1"/>
  <c r="J49" i="58"/>
  <c r="I49" i="58"/>
  <c r="S49" i="58"/>
  <c r="R49" i="58"/>
  <c r="R24" i="58" s="1"/>
  <c r="M49" i="58"/>
  <c r="L49" i="58"/>
  <c r="Q63" i="57"/>
  <c r="T64" i="57"/>
  <c r="S67" i="57"/>
  <c r="S68" i="57"/>
  <c r="Q71" i="58"/>
  <c r="Q208" i="58"/>
  <c r="Q219" i="58" s="1"/>
  <c r="Q241" i="58" s="1"/>
  <c r="Q257" i="58" s="1"/>
  <c r="Q273" i="58" s="1"/>
  <c r="Q289" i="58" s="1"/>
  <c r="Q89" i="58"/>
  <c r="Q100" i="58" s="1"/>
  <c r="Q122" i="58" s="1"/>
  <c r="Q138" i="58" s="1"/>
  <c r="Q154" i="58" s="1"/>
  <c r="Q170" i="58" s="1"/>
  <c r="Q190" i="58"/>
  <c r="EV113" i="24"/>
  <c r="EV111" i="24"/>
  <c r="Y99" i="24"/>
  <c r="Y86" i="24"/>
  <c r="Y90" i="24"/>
  <c r="Y88" i="24"/>
  <c r="Y89" i="24"/>
  <c r="Y87" i="24"/>
  <c r="Y91" i="24"/>
  <c r="S124" i="22"/>
  <c r="S123" i="22"/>
  <c r="S122" i="22"/>
  <c r="H71" i="24"/>
  <c r="J72" i="24"/>
  <c r="H70" i="24"/>
  <c r="H72" i="24"/>
  <c r="I70" i="24"/>
  <c r="J70" i="24"/>
  <c r="J69" i="24"/>
  <c r="I69" i="24"/>
  <c r="H69" i="24"/>
  <c r="I71" i="24"/>
  <c r="I72" i="24"/>
  <c r="J71" i="24"/>
  <c r="S97" i="22"/>
  <c r="S104" i="22"/>
  <c r="S96" i="22"/>
  <c r="S89" i="22"/>
  <c r="S88" i="22"/>
  <c r="S105" i="22"/>
  <c r="S116" i="22"/>
  <c r="S115" i="22"/>
  <c r="S114" i="22"/>
  <c r="Z99" i="24"/>
  <c r="Z90" i="24"/>
  <c r="Z91" i="24"/>
  <c r="S117" i="22"/>
  <c r="Q6" i="28"/>
  <c r="Q32" i="28" s="1"/>
  <c r="Q11" i="28"/>
  <c r="Q12" i="28"/>
  <c r="S75" i="22"/>
  <c r="S129" i="22"/>
  <c r="J22" i="24"/>
  <c r="K22" i="24" s="1"/>
  <c r="L22" i="24" s="1"/>
  <c r="M22" i="24" s="1"/>
  <c r="N22" i="24" s="1"/>
  <c r="O22" i="24" s="1"/>
  <c r="P22" i="24" s="1"/>
  <c r="Q22" i="24" s="1"/>
  <c r="J25" i="24"/>
  <c r="K25" i="24" s="1"/>
  <c r="L25" i="24" s="1"/>
  <c r="M25" i="24" s="1"/>
  <c r="N25" i="24" s="1"/>
  <c r="O25" i="24" s="1"/>
  <c r="P25" i="24" s="1"/>
  <c r="Q25" i="24" s="1"/>
  <c r="R25" i="24" s="1"/>
  <c r="S25" i="24" s="1"/>
  <c r="T25" i="24" s="1"/>
  <c r="U25" i="24" s="1"/>
  <c r="V25" i="24" s="1"/>
  <c r="W25" i="24" s="1"/>
  <c r="X25" i="24" s="1"/>
  <c r="Y25" i="24" s="1"/>
  <c r="Z25" i="24" s="1"/>
  <c r="AA25" i="24" s="1"/>
  <c r="AA98" i="24" s="1"/>
  <c r="J24" i="24"/>
  <c r="K24" i="24" s="1"/>
  <c r="L24" i="24" s="1"/>
  <c r="M24" i="24" s="1"/>
  <c r="N24" i="24" s="1"/>
  <c r="O24" i="24" s="1"/>
  <c r="P24" i="24" s="1"/>
  <c r="Q24" i="24" s="1"/>
  <c r="R24" i="24" s="1"/>
  <c r="S24" i="24" s="1"/>
  <c r="T24" i="24" s="1"/>
  <c r="U24" i="24" s="1"/>
  <c r="V24" i="24" s="1"/>
  <c r="W24" i="24" s="1"/>
  <c r="X24" i="24" s="1"/>
  <c r="Y24" i="24" s="1"/>
  <c r="Z24" i="24" s="1"/>
  <c r="AA24" i="24" s="1"/>
  <c r="AB24" i="24" s="1"/>
  <c r="AC24" i="24" s="1"/>
  <c r="AD24" i="24" s="1"/>
  <c r="AE24" i="24" s="1"/>
  <c r="AF24" i="24" s="1"/>
  <c r="AG24" i="24" s="1"/>
  <c r="AH24" i="24" s="1"/>
  <c r="AI24" i="24" s="1"/>
  <c r="AJ24" i="24" s="1"/>
  <c r="AK24" i="24" s="1"/>
  <c r="AL24" i="24" s="1"/>
  <c r="AM24" i="24" s="1"/>
  <c r="AN24" i="24" s="1"/>
  <c r="J23" i="24"/>
  <c r="K23" i="24" s="1"/>
  <c r="L23" i="24" s="1"/>
  <c r="M23" i="24" s="1"/>
  <c r="N23" i="24" s="1"/>
  <c r="O23" i="24" s="1"/>
  <c r="P23" i="24" s="1"/>
  <c r="Q23" i="24" s="1"/>
  <c r="J26" i="24"/>
  <c r="K26" i="24" s="1"/>
  <c r="L26" i="24" s="1"/>
  <c r="M26" i="24" s="1"/>
  <c r="N26" i="24" s="1"/>
  <c r="O26" i="24" s="1"/>
  <c r="P26" i="24" s="1"/>
  <c r="Q26" i="24" s="1"/>
  <c r="R26" i="24" s="1"/>
  <c r="S26" i="24" s="1"/>
  <c r="T26" i="24" s="1"/>
  <c r="U26" i="24" s="1"/>
  <c r="V26" i="24" s="1"/>
  <c r="W26" i="24" s="1"/>
  <c r="X26" i="24" s="1"/>
  <c r="Y26" i="24" s="1"/>
  <c r="Z26" i="24" s="1"/>
  <c r="AA26" i="24" s="1"/>
  <c r="O4" i="28"/>
  <c r="P13" i="22"/>
  <c r="N31" i="28"/>
  <c r="N16" i="28"/>
  <c r="Q8" i="22"/>
  <c r="B39" i="32"/>
  <c r="C39" i="32" s="1"/>
  <c r="S11" i="22"/>
  <c r="S86" i="22"/>
  <c r="R5" i="28"/>
  <c r="AE62" i="24" l="1"/>
  <c r="Y62" i="24"/>
  <c r="H57" i="24"/>
  <c r="I62" i="24"/>
  <c r="AH62" i="24"/>
  <c r="AD62" i="24"/>
  <c r="K115" i="24"/>
  <c r="L53" i="24"/>
  <c r="L57" i="24" s="1"/>
  <c r="R80" i="24"/>
  <c r="T83" i="24"/>
  <c r="S84" i="24"/>
  <c r="Q83" i="24"/>
  <c r="T81" i="24"/>
  <c r="T96" i="24"/>
  <c r="S96" i="24"/>
  <c r="U96" i="24"/>
  <c r="U80" i="24"/>
  <c r="Q115" i="24"/>
  <c r="R96" i="24"/>
  <c r="U115" i="24"/>
  <c r="M44" i="24"/>
  <c r="M50" i="24" s="1"/>
  <c r="O80" i="24"/>
  <c r="P85" i="24"/>
  <c r="O85" i="24"/>
  <c r="N80" i="24"/>
  <c r="M81" i="24"/>
  <c r="P80" i="24"/>
  <c r="K96" i="24"/>
  <c r="N115" i="24"/>
  <c r="L81" i="24"/>
  <c r="K84" i="24"/>
  <c r="M96" i="24"/>
  <c r="O115" i="24"/>
  <c r="N97" i="24"/>
  <c r="N44" i="24"/>
  <c r="N50" i="24" s="1"/>
  <c r="L96" i="24"/>
  <c r="L80" i="24"/>
  <c r="P53" i="24"/>
  <c r="P57" i="24" s="1"/>
  <c r="U83" i="24"/>
  <c r="R115" i="24"/>
  <c r="Q80" i="24"/>
  <c r="R81" i="24"/>
  <c r="U85" i="24"/>
  <c r="U82" i="24"/>
  <c r="R98" i="24"/>
  <c r="T80" i="24"/>
  <c r="Q98" i="24"/>
  <c r="Q97" i="24"/>
  <c r="K81" i="24"/>
  <c r="K83" i="24"/>
  <c r="M85" i="24"/>
  <c r="O81" i="24"/>
  <c r="N81" i="24"/>
  <c r="N84" i="24"/>
  <c r="M97" i="24"/>
  <c r="P97" i="24"/>
  <c r="O44" i="24"/>
  <c r="M83" i="24"/>
  <c r="L44" i="24"/>
  <c r="L50" i="24" s="1"/>
  <c r="P83" i="24"/>
  <c r="M82" i="24"/>
  <c r="L98" i="24"/>
  <c r="K85" i="24"/>
  <c r="N98" i="24"/>
  <c r="N83" i="24"/>
  <c r="P96" i="24"/>
  <c r="M53" i="24"/>
  <c r="R97" i="24"/>
  <c r="T84" i="24"/>
  <c r="U81" i="24"/>
  <c r="Q84" i="24"/>
  <c r="T97" i="24"/>
  <c r="S83" i="24"/>
  <c r="Q96" i="24"/>
  <c r="T85" i="24"/>
  <c r="S98" i="24"/>
  <c r="S97" i="24"/>
  <c r="R83" i="24"/>
  <c r="Q81" i="24"/>
  <c r="R82" i="24"/>
  <c r="T82" i="24"/>
  <c r="S85" i="24"/>
  <c r="U84" i="24"/>
  <c r="Q82" i="24"/>
  <c r="O84" i="24"/>
  <c r="K97" i="24"/>
  <c r="O98" i="24"/>
  <c r="N96" i="24"/>
  <c r="M80" i="24"/>
  <c r="P44" i="24"/>
  <c r="P50" i="24" s="1"/>
  <c r="P84" i="24"/>
  <c r="L84" i="24"/>
  <c r="P115" i="24"/>
  <c r="K98" i="24"/>
  <c r="N82" i="24"/>
  <c r="M115" i="24"/>
  <c r="L85" i="24"/>
  <c r="P98" i="24"/>
  <c r="O53" i="24"/>
  <c r="O57" i="24" s="1"/>
  <c r="N53" i="24"/>
  <c r="N57" i="24" s="1"/>
  <c r="K53" i="24"/>
  <c r="K57" i="24" s="1"/>
  <c r="R84" i="24"/>
  <c r="T98" i="24"/>
  <c r="S82" i="24"/>
  <c r="U98" i="24"/>
  <c r="T115" i="24"/>
  <c r="S115" i="24"/>
  <c r="Q85" i="24"/>
  <c r="R85" i="24"/>
  <c r="S81" i="24"/>
  <c r="S80" i="24"/>
  <c r="U97" i="24"/>
  <c r="O83" i="24"/>
  <c r="K82" i="24"/>
  <c r="O96" i="24"/>
  <c r="M98" i="24"/>
  <c r="L83" i="24"/>
  <c r="M84" i="24"/>
  <c r="L82" i="24"/>
  <c r="K80" i="24"/>
  <c r="O97" i="24"/>
  <c r="L97" i="24"/>
  <c r="P81" i="24"/>
  <c r="K44" i="24"/>
  <c r="K50" i="24" s="1"/>
  <c r="O82" i="24"/>
  <c r="N85" i="24"/>
  <c r="L115" i="24"/>
  <c r="P82" i="24"/>
  <c r="O62" i="24"/>
  <c r="H50" i="24"/>
  <c r="J57" i="24"/>
  <c r="FR115" i="24"/>
  <c r="AF62" i="24"/>
  <c r="N62" i="24"/>
  <c r="AM62" i="24"/>
  <c r="H28" i="22"/>
  <c r="Q28" i="22"/>
  <c r="I30" i="22"/>
  <c r="Q62" i="24"/>
  <c r="M62" i="24"/>
  <c r="R22" i="22"/>
  <c r="H62" i="24"/>
  <c r="AL62" i="24"/>
  <c r="U62" i="24"/>
  <c r="FS115" i="24"/>
  <c r="N23" i="22"/>
  <c r="Q22" i="22"/>
  <c r="V62" i="24"/>
  <c r="L62" i="24"/>
  <c r="FM115" i="24"/>
  <c r="I28" i="22"/>
  <c r="O30" i="22"/>
  <c r="P27" i="22"/>
  <c r="K62" i="24"/>
  <c r="AK62" i="24"/>
  <c r="M30" i="22"/>
  <c r="H27" i="22"/>
  <c r="L23" i="22"/>
  <c r="L30" i="22"/>
  <c r="P28" i="22"/>
  <c r="H30" i="22"/>
  <c r="R30" i="22"/>
  <c r="AG62" i="24"/>
  <c r="FQ115" i="24"/>
  <c r="I57" i="24"/>
  <c r="FP115" i="24"/>
  <c r="R23" i="22"/>
  <c r="FJ115" i="24"/>
  <c r="R62" i="24"/>
  <c r="FN115" i="24"/>
  <c r="O27" i="22"/>
  <c r="M22" i="22"/>
  <c r="M28" i="22"/>
  <c r="P23" i="22"/>
  <c r="O28" i="22"/>
  <c r="Q23" i="22"/>
  <c r="Q27" i="22"/>
  <c r="S30" i="22"/>
  <c r="P30" i="22"/>
  <c r="N22" i="22"/>
  <c r="I50" i="24"/>
  <c r="I23" i="22"/>
  <c r="L27" i="22"/>
  <c r="N28" i="22"/>
  <c r="P65" i="22"/>
  <c r="I65" i="22"/>
  <c r="I27" i="22"/>
  <c r="R27" i="22"/>
  <c r="AB62" i="24"/>
  <c r="FL115" i="24"/>
  <c r="N27" i="22"/>
  <c r="M23" i="22"/>
  <c r="H23" i="22"/>
  <c r="H22" i="22"/>
  <c r="S22" i="22"/>
  <c r="L22" i="22"/>
  <c r="N30" i="22"/>
  <c r="Q30" i="22"/>
  <c r="P22" i="22"/>
  <c r="O22" i="22"/>
  <c r="S27" i="22"/>
  <c r="M57" i="24"/>
  <c r="O23" i="22"/>
  <c r="I22" i="22"/>
  <c r="L28" i="22"/>
  <c r="M27" i="22"/>
  <c r="G27" i="22"/>
  <c r="G22" i="22"/>
  <c r="W62" i="24"/>
  <c r="AI62" i="24"/>
  <c r="S23" i="22"/>
  <c r="G28" i="22"/>
  <c r="G23" i="22"/>
  <c r="O50" i="24"/>
  <c r="S65" i="22"/>
  <c r="J50" i="24"/>
  <c r="H65" i="22"/>
  <c r="S28" i="22"/>
  <c r="R28" i="22"/>
  <c r="Z62" i="24"/>
  <c r="X62" i="24"/>
  <c r="FK115" i="24"/>
  <c r="AA62" i="24"/>
  <c r="P62" i="24"/>
  <c r="G30" i="22"/>
  <c r="AN62" i="24"/>
  <c r="FT115" i="24"/>
  <c r="FI115" i="24"/>
  <c r="O65" i="22"/>
  <c r="L65" i="22"/>
  <c r="R65" i="22"/>
  <c r="M65" i="22"/>
  <c r="Q65" i="22"/>
  <c r="FO115" i="24"/>
  <c r="G65" i="22"/>
  <c r="FH115" i="24"/>
  <c r="N65" i="22"/>
  <c r="I31" i="22"/>
  <c r="I29" i="22" s="1"/>
  <c r="N31" i="22"/>
  <c r="O31" i="22"/>
  <c r="M31" i="22"/>
  <c r="P31" i="22"/>
  <c r="R31" i="22"/>
  <c r="S31" i="22"/>
  <c r="Q31" i="22"/>
  <c r="L31" i="22"/>
  <c r="H31" i="22"/>
  <c r="G31" i="22"/>
  <c r="N72" i="58"/>
  <c r="N90" i="58"/>
  <c r="N101" i="58" s="1"/>
  <c r="N123" i="58" s="1"/>
  <c r="N139" i="58" s="1"/>
  <c r="N155" i="58" s="1"/>
  <c r="N171" i="58" s="1"/>
  <c r="N209" i="58"/>
  <c r="N220" i="58" s="1"/>
  <c r="N242" i="58" s="1"/>
  <c r="N258" i="58" s="1"/>
  <c r="N274" i="58" s="1"/>
  <c r="N290" i="58" s="1"/>
  <c r="N191" i="58"/>
  <c r="D78" i="27"/>
  <c r="D36" i="27"/>
  <c r="W115" i="24"/>
  <c r="X96" i="24"/>
  <c r="W84" i="24"/>
  <c r="W83" i="24"/>
  <c r="X83" i="24"/>
  <c r="V85" i="24"/>
  <c r="X85" i="24"/>
  <c r="V84" i="24"/>
  <c r="Y98" i="24"/>
  <c r="X98" i="24"/>
  <c r="V98" i="24"/>
  <c r="X84" i="24"/>
  <c r="V97" i="24"/>
  <c r="W85" i="24"/>
  <c r="V82" i="24"/>
  <c r="W80" i="24"/>
  <c r="X81" i="24"/>
  <c r="V115" i="24"/>
  <c r="X115" i="24"/>
  <c r="X97" i="24"/>
  <c r="V81" i="24"/>
  <c r="W96" i="24"/>
  <c r="Y96" i="24"/>
  <c r="V83" i="24"/>
  <c r="W81" i="24"/>
  <c r="V80" i="24"/>
  <c r="W98" i="24"/>
  <c r="X80" i="24"/>
  <c r="V96" i="24"/>
  <c r="W82" i="24"/>
  <c r="X82" i="24"/>
  <c r="W97" i="24"/>
  <c r="L24" i="58"/>
  <c r="L191" i="58"/>
  <c r="L90" i="58"/>
  <c r="L101" i="58" s="1"/>
  <c r="L123" i="58" s="1"/>
  <c r="L139" i="58" s="1"/>
  <c r="L155" i="58" s="1"/>
  <c r="L171" i="58" s="1"/>
  <c r="L209" i="58"/>
  <c r="L220" i="58" s="1"/>
  <c r="L242" i="58" s="1"/>
  <c r="L258" i="58" s="1"/>
  <c r="L274" i="58" s="1"/>
  <c r="L290" i="58" s="1"/>
  <c r="L72" i="58"/>
  <c r="I24" i="58"/>
  <c r="I72" i="58"/>
  <c r="I209" i="58"/>
  <c r="I220" i="58" s="1"/>
  <c r="I242" i="58" s="1"/>
  <c r="I258" i="58" s="1"/>
  <c r="I274" i="58" s="1"/>
  <c r="I290" i="58" s="1"/>
  <c r="I191" i="58"/>
  <c r="I90" i="58"/>
  <c r="I101" i="58" s="1"/>
  <c r="I123" i="58" s="1"/>
  <c r="I139" i="58" s="1"/>
  <c r="I155" i="58" s="1"/>
  <c r="I171" i="58" s="1"/>
  <c r="M24" i="58"/>
  <c r="M191" i="58"/>
  <c r="M90" i="58"/>
  <c r="M101" i="58" s="1"/>
  <c r="M123" i="58" s="1"/>
  <c r="M139" i="58" s="1"/>
  <c r="M155" i="58" s="1"/>
  <c r="M171" i="58" s="1"/>
  <c r="M72" i="58"/>
  <c r="M209" i="58"/>
  <c r="M220" i="58" s="1"/>
  <c r="M242" i="58" s="1"/>
  <c r="M258" i="58" s="1"/>
  <c r="M274" i="58" s="1"/>
  <c r="M290" i="58" s="1"/>
  <c r="J24" i="58"/>
  <c r="J191" i="58"/>
  <c r="J72" i="58"/>
  <c r="J209" i="58"/>
  <c r="J220" i="58" s="1"/>
  <c r="J242" i="58" s="1"/>
  <c r="J258" i="58" s="1"/>
  <c r="J274" i="58" s="1"/>
  <c r="J290" i="58" s="1"/>
  <c r="J90" i="58"/>
  <c r="J101" i="58" s="1"/>
  <c r="J123" i="58" s="1"/>
  <c r="J139" i="58" s="1"/>
  <c r="J155" i="58" s="1"/>
  <c r="J171" i="58" s="1"/>
  <c r="S191" i="58"/>
  <c r="S24" i="58"/>
  <c r="S209" i="58"/>
  <c r="S220" i="58" s="1"/>
  <c r="S242" i="58" s="1"/>
  <c r="S258" i="58" s="1"/>
  <c r="S274" i="58" s="1"/>
  <c r="S290" i="58" s="1"/>
  <c r="S90" i="58"/>
  <c r="S101" i="58" s="1"/>
  <c r="S123" i="58" s="1"/>
  <c r="S139" i="58" s="1"/>
  <c r="S155" i="58" s="1"/>
  <c r="S171" i="58" s="1"/>
  <c r="S72" i="58"/>
  <c r="K24" i="58"/>
  <c r="K191" i="58"/>
  <c r="K209" i="58"/>
  <c r="K220" i="58" s="1"/>
  <c r="K242" i="58" s="1"/>
  <c r="K258" i="58" s="1"/>
  <c r="K274" i="58" s="1"/>
  <c r="K290" i="58" s="1"/>
  <c r="K90" i="58"/>
  <c r="K101" i="58" s="1"/>
  <c r="K123" i="58" s="1"/>
  <c r="K139" i="58" s="1"/>
  <c r="K155" i="58" s="1"/>
  <c r="K171" i="58" s="1"/>
  <c r="K72" i="58"/>
  <c r="H24" i="58"/>
  <c r="H191" i="58"/>
  <c r="H72" i="58"/>
  <c r="H209" i="58"/>
  <c r="H220" i="58" s="1"/>
  <c r="H242" i="58" s="1"/>
  <c r="H258" i="58" s="1"/>
  <c r="H274" i="58" s="1"/>
  <c r="H290" i="58" s="1"/>
  <c r="H90" i="58"/>
  <c r="H101" i="58" s="1"/>
  <c r="H123" i="58" s="1"/>
  <c r="H139" i="58" s="1"/>
  <c r="H155" i="58" s="1"/>
  <c r="H171" i="58" s="1"/>
  <c r="S71" i="57"/>
  <c r="R63" i="57"/>
  <c r="R71" i="58"/>
  <c r="R89" i="58"/>
  <c r="R100" i="58" s="1"/>
  <c r="R122" i="58" s="1"/>
  <c r="R138" i="58" s="1"/>
  <c r="R154" i="58" s="1"/>
  <c r="R170" i="58" s="1"/>
  <c r="R208" i="58"/>
  <c r="R219" i="58" s="1"/>
  <c r="R241" i="58" s="1"/>
  <c r="R257" i="58" s="1"/>
  <c r="R273" i="58" s="1"/>
  <c r="R289" i="58" s="1"/>
  <c r="R190" i="58"/>
  <c r="O191" i="58"/>
  <c r="O90" i="58"/>
  <c r="O101" i="58" s="1"/>
  <c r="O123" i="58" s="1"/>
  <c r="O139" i="58" s="1"/>
  <c r="O155" i="58" s="1"/>
  <c r="O171" i="58" s="1"/>
  <c r="O72" i="58"/>
  <c r="O209" i="58"/>
  <c r="O220" i="58" s="1"/>
  <c r="O242" i="58" s="1"/>
  <c r="O258" i="58" s="1"/>
  <c r="O274" i="58" s="1"/>
  <c r="O290" i="58" s="1"/>
  <c r="T74" i="57"/>
  <c r="T67" i="57"/>
  <c r="T68" i="57"/>
  <c r="AB26" i="24"/>
  <c r="AA96" i="24"/>
  <c r="Z96" i="24"/>
  <c r="Z98" i="24"/>
  <c r="J73" i="24"/>
  <c r="I73" i="24"/>
  <c r="H73" i="24"/>
  <c r="Y97" i="24"/>
  <c r="Y111" i="24"/>
  <c r="Y81" i="24"/>
  <c r="Y82" i="24"/>
  <c r="Y84" i="24"/>
  <c r="Y85" i="24"/>
  <c r="Y112" i="24"/>
  <c r="Y80" i="24"/>
  <c r="Y83" i="24"/>
  <c r="Y114" i="24"/>
  <c r="Y113" i="24"/>
  <c r="Z111" i="24"/>
  <c r="Z84" i="24"/>
  <c r="Z87" i="24"/>
  <c r="Z89" i="24"/>
  <c r="Z112" i="24"/>
  <c r="Z114" i="24"/>
  <c r="Z82" i="24"/>
  <c r="Z83" i="24"/>
  <c r="Z88" i="24"/>
  <c r="Z86" i="24"/>
  <c r="Z97" i="24"/>
  <c r="Z113" i="24"/>
  <c r="Z81" i="24"/>
  <c r="Z85" i="24"/>
  <c r="Z80" i="24"/>
  <c r="R6" i="28"/>
  <c r="R11" i="28"/>
  <c r="R12" i="28"/>
  <c r="AB25" i="24"/>
  <c r="AB98" i="24" s="1"/>
  <c r="AA80" i="24"/>
  <c r="AA88" i="24"/>
  <c r="AA85" i="24"/>
  <c r="AA82" i="24"/>
  <c r="AA89" i="24"/>
  <c r="AA86" i="24"/>
  <c r="AA114" i="24"/>
  <c r="AA111" i="24"/>
  <c r="AA87" i="24"/>
  <c r="AA83" i="24"/>
  <c r="AA81" i="24"/>
  <c r="AA113" i="24"/>
  <c r="AA84" i="24"/>
  <c r="AA112" i="24"/>
  <c r="AA97" i="24"/>
  <c r="R23" i="24"/>
  <c r="Q44" i="24"/>
  <c r="Q45" i="24"/>
  <c r="Q46" i="24"/>
  <c r="Q53" i="24"/>
  <c r="Q57" i="24" s="1"/>
  <c r="R22" i="24"/>
  <c r="R8" i="22"/>
  <c r="B40" i="32"/>
  <c r="C40" i="32" s="1"/>
  <c r="AO24" i="24"/>
  <c r="AP24" i="24" s="1"/>
  <c r="AQ24" i="24" s="1"/>
  <c r="AR24" i="24" s="1"/>
  <c r="AS24" i="24" s="1"/>
  <c r="AT24" i="24" s="1"/>
  <c r="AU24" i="24" s="1"/>
  <c r="AV24" i="24" s="1"/>
  <c r="AW24" i="24" s="1"/>
  <c r="AX24" i="24" s="1"/>
  <c r="O16" i="28"/>
  <c r="O31" i="28"/>
  <c r="P4" i="28"/>
  <c r="Q13" i="22"/>
  <c r="R32" i="28" l="1"/>
  <c r="D34" i="59"/>
  <c r="F34" i="59"/>
  <c r="D35" i="59"/>
  <c r="F35" i="59"/>
  <c r="H65" i="24"/>
  <c r="J65" i="24"/>
  <c r="P92" i="24"/>
  <c r="M92" i="24"/>
  <c r="O92" i="24"/>
  <c r="K92" i="24"/>
  <c r="L92" i="24"/>
  <c r="N92" i="24"/>
  <c r="P29" i="22"/>
  <c r="L29" i="22"/>
  <c r="O29" i="22"/>
  <c r="I65" i="24"/>
  <c r="I76" i="24" s="1"/>
  <c r="I106" i="24" s="1"/>
  <c r="I118" i="24" s="1"/>
  <c r="Q29" i="22"/>
  <c r="R29" i="22"/>
  <c r="H29" i="22"/>
  <c r="M29" i="22"/>
  <c r="S29" i="22"/>
  <c r="N29" i="22"/>
  <c r="G29" i="22"/>
  <c r="H76" i="24"/>
  <c r="H106" i="24" s="1"/>
  <c r="H118" i="24" s="1"/>
  <c r="D79" i="27"/>
  <c r="D37" i="27"/>
  <c r="J76" i="24"/>
  <c r="J106" i="24" s="1"/>
  <c r="J118" i="24" s="1"/>
  <c r="S63" i="57"/>
  <c r="P191" i="58"/>
  <c r="P90" i="58"/>
  <c r="P101" i="58" s="1"/>
  <c r="P123" i="58" s="1"/>
  <c r="P139" i="58" s="1"/>
  <c r="P155" i="58" s="1"/>
  <c r="P171" i="58" s="1"/>
  <c r="P209" i="58"/>
  <c r="P220" i="58" s="1"/>
  <c r="P242" i="58" s="1"/>
  <c r="P258" i="58" s="1"/>
  <c r="P274" i="58" s="1"/>
  <c r="P290" i="58" s="1"/>
  <c r="P72" i="58"/>
  <c r="T71" i="57"/>
  <c r="T75" i="57" s="1"/>
  <c r="AC26" i="24"/>
  <c r="AB96" i="24"/>
  <c r="Y115" i="24"/>
  <c r="Z115" i="24"/>
  <c r="AC25" i="24"/>
  <c r="AC98" i="24" s="1"/>
  <c r="AB82" i="24"/>
  <c r="AB86" i="24"/>
  <c r="AB89" i="24"/>
  <c r="AB83" i="24"/>
  <c r="AB84" i="24"/>
  <c r="AB112" i="24"/>
  <c r="AB88" i="24"/>
  <c r="AB114" i="24"/>
  <c r="AB113" i="24"/>
  <c r="AB85" i="24"/>
  <c r="AB80" i="24"/>
  <c r="AB111" i="24"/>
  <c r="AB81" i="24"/>
  <c r="AB87" i="24"/>
  <c r="AB97" i="24"/>
  <c r="AY24" i="24"/>
  <c r="AZ24" i="24" s="1"/>
  <c r="BA24" i="24" s="1"/>
  <c r="BB24" i="24" s="1"/>
  <c r="BC24" i="24" s="1"/>
  <c r="BD24" i="24" s="1"/>
  <c r="BE24" i="24" s="1"/>
  <c r="BF24" i="24" s="1"/>
  <c r="BG24" i="24" s="1"/>
  <c r="BH24" i="24" s="1"/>
  <c r="BI24" i="24" s="1"/>
  <c r="BJ24" i="24" s="1"/>
  <c r="BK24" i="24" s="1"/>
  <c r="BL24" i="24" s="1"/>
  <c r="BM24" i="24" s="1"/>
  <c r="BN24" i="24" s="1"/>
  <c r="BO24" i="24" s="1"/>
  <c r="BP24" i="24" s="1"/>
  <c r="BQ24" i="24" s="1"/>
  <c r="BR24" i="24" s="1"/>
  <c r="BS24" i="24" s="1"/>
  <c r="BT24" i="24" s="1"/>
  <c r="BU24" i="24" s="1"/>
  <c r="BV24" i="24" s="1"/>
  <c r="Q50" i="24"/>
  <c r="Q92" i="24"/>
  <c r="S22" i="24"/>
  <c r="S23" i="24"/>
  <c r="R46" i="24"/>
  <c r="R53" i="24"/>
  <c r="R57" i="24" s="1"/>
  <c r="R45" i="24"/>
  <c r="R44" i="24"/>
  <c r="Q4" i="28"/>
  <c r="R13" i="22"/>
  <c r="P16" i="28"/>
  <c r="P31" i="28"/>
  <c r="S8" i="22"/>
  <c r="B41" i="32"/>
  <c r="C41" i="32" s="1"/>
  <c r="H36" i="15"/>
  <c r="H35" i="15"/>
  <c r="H34" i="15"/>
  <c r="H32" i="15"/>
  <c r="H33" i="15"/>
  <c r="T63" i="57" l="1"/>
  <c r="Q209" i="58"/>
  <c r="Q220" i="58" s="1"/>
  <c r="Q242" i="58" s="1"/>
  <c r="Q258" i="58" s="1"/>
  <c r="Q274" i="58" s="1"/>
  <c r="Q290" i="58" s="1"/>
  <c r="Q90" i="58"/>
  <c r="Q101" i="58" s="1"/>
  <c r="Q123" i="58" s="1"/>
  <c r="Q139" i="58" s="1"/>
  <c r="Q155" i="58" s="1"/>
  <c r="Q171" i="58" s="1"/>
  <c r="Q191" i="58"/>
  <c r="Q72" i="58"/>
  <c r="AD26" i="24"/>
  <c r="AC96" i="24"/>
  <c r="AD25" i="24"/>
  <c r="AD98" i="24" s="1"/>
  <c r="AC114" i="24"/>
  <c r="AC88" i="24"/>
  <c r="AC86" i="24"/>
  <c r="AC82" i="24"/>
  <c r="AC80" i="24"/>
  <c r="AC111" i="24"/>
  <c r="AC83" i="24"/>
  <c r="AC87" i="24"/>
  <c r="AC97" i="24"/>
  <c r="AC89" i="24"/>
  <c r="AC113" i="24"/>
  <c r="AC85" i="24"/>
  <c r="AC81" i="24"/>
  <c r="AC112" i="24"/>
  <c r="AC84" i="24"/>
  <c r="R92" i="24"/>
  <c r="T22" i="24"/>
  <c r="R50" i="24"/>
  <c r="T23" i="24"/>
  <c r="S53" i="24"/>
  <c r="S57" i="24" s="1"/>
  <c r="S45" i="24"/>
  <c r="S44" i="24"/>
  <c r="S46" i="24"/>
  <c r="BW24" i="24"/>
  <c r="BX24" i="24" s="1"/>
  <c r="BY24" i="24" s="1"/>
  <c r="BZ24" i="24" s="1"/>
  <c r="CA24" i="24" s="1"/>
  <c r="CB24" i="24" s="1"/>
  <c r="CC24" i="24" s="1"/>
  <c r="CD24" i="24" s="1"/>
  <c r="CE24" i="24" s="1"/>
  <c r="CF24" i="24" s="1"/>
  <c r="CG24" i="24" s="1"/>
  <c r="CH24" i="24" s="1"/>
  <c r="CI24" i="24" s="1"/>
  <c r="CJ24" i="24" s="1"/>
  <c r="CK24" i="24" s="1"/>
  <c r="CL24" i="24" s="1"/>
  <c r="CM24" i="24" s="1"/>
  <c r="CN24" i="24" s="1"/>
  <c r="CO24" i="24" s="1"/>
  <c r="CP24" i="24" s="1"/>
  <c r="CQ24" i="24" s="1"/>
  <c r="CR24" i="24" s="1"/>
  <c r="CS24" i="24" s="1"/>
  <c r="CT24" i="24" s="1"/>
  <c r="CU24" i="24" s="1"/>
  <c r="CV24" i="24" s="1"/>
  <c r="CW24" i="24" s="1"/>
  <c r="CX24" i="24" s="1"/>
  <c r="CY24" i="24" s="1"/>
  <c r="CZ24" i="24" s="1"/>
  <c r="DA24" i="24" s="1"/>
  <c r="DB24" i="24" s="1"/>
  <c r="DC24" i="24" s="1"/>
  <c r="DD24" i="24" s="1"/>
  <c r="DE24" i="24" s="1"/>
  <c r="DF24" i="24" s="1"/>
  <c r="DG24" i="24" s="1"/>
  <c r="DH24" i="24" s="1"/>
  <c r="DI24" i="24" s="1"/>
  <c r="DJ24" i="24" s="1"/>
  <c r="DK24" i="24" s="1"/>
  <c r="DL24" i="24" s="1"/>
  <c r="DM24" i="24" s="1"/>
  <c r="DN24" i="24" s="1"/>
  <c r="DO24" i="24" s="1"/>
  <c r="DP24" i="24" s="1"/>
  <c r="DQ24" i="24" s="1"/>
  <c r="DR24" i="24" s="1"/>
  <c r="DS24" i="24" s="1"/>
  <c r="DT24" i="24" s="1"/>
  <c r="DU24" i="24" s="1"/>
  <c r="DV24" i="24" s="1"/>
  <c r="DW24" i="24" s="1"/>
  <c r="DX24" i="24" s="1"/>
  <c r="DY24" i="24" s="1"/>
  <c r="DZ24" i="24" s="1"/>
  <c r="EA24" i="24" s="1"/>
  <c r="EB24" i="24" s="1"/>
  <c r="EC24" i="24" s="1"/>
  <c r="ED24" i="24" s="1"/>
  <c r="EE24" i="24" s="1"/>
  <c r="EF24" i="24" s="1"/>
  <c r="EG24" i="24" s="1"/>
  <c r="EH24" i="24" s="1"/>
  <c r="EI24" i="24" s="1"/>
  <c r="EJ24" i="24" s="1"/>
  <c r="EK24" i="24" s="1"/>
  <c r="EL24" i="24" s="1"/>
  <c r="EM24" i="24" s="1"/>
  <c r="EN24" i="24" s="1"/>
  <c r="EO24" i="24" s="1"/>
  <c r="EP24" i="24" s="1"/>
  <c r="EQ24" i="24" s="1"/>
  <c r="ER24" i="24" s="1"/>
  <c r="ES24" i="24" s="1"/>
  <c r="ET24" i="24" s="1"/>
  <c r="EU24" i="24" s="1"/>
  <c r="EV24" i="24" s="1"/>
  <c r="EW24" i="24" s="1"/>
  <c r="EX24" i="24" s="1"/>
  <c r="EY24" i="24" s="1"/>
  <c r="EZ24" i="24" s="1"/>
  <c r="FA24" i="24" s="1"/>
  <c r="FB24" i="24" s="1"/>
  <c r="FC24" i="24" s="1"/>
  <c r="FD24" i="24" s="1"/>
  <c r="FE24" i="24" s="1"/>
  <c r="FF24" i="24" s="1"/>
  <c r="FG24" i="24" s="1"/>
  <c r="FH24" i="24" s="1"/>
  <c r="FI24" i="24" s="1"/>
  <c r="FJ24" i="24" s="1"/>
  <c r="FK24" i="24" s="1"/>
  <c r="FL24" i="24" s="1"/>
  <c r="FM24" i="24" s="1"/>
  <c r="FN24" i="24" s="1"/>
  <c r="FO24" i="24" s="1"/>
  <c r="FP24" i="24" s="1"/>
  <c r="FQ24" i="24" s="1"/>
  <c r="FR24" i="24" s="1"/>
  <c r="FS24" i="24" s="1"/>
  <c r="FT24" i="24" s="1"/>
  <c r="H57" i="22"/>
  <c r="I56" i="22"/>
  <c r="N57" i="22"/>
  <c r="O57" i="22"/>
  <c r="Q56" i="22"/>
  <c r="N56" i="22"/>
  <c r="M57" i="22"/>
  <c r="Q57" i="22"/>
  <c r="S56" i="22"/>
  <c r="P57" i="22"/>
  <c r="R57" i="22"/>
  <c r="I57" i="22"/>
  <c r="O56" i="22"/>
  <c r="M56" i="22"/>
  <c r="P56" i="22"/>
  <c r="R56" i="22"/>
  <c r="H56" i="22"/>
  <c r="S57" i="22"/>
  <c r="AV62" i="24"/>
  <c r="BD62" i="24"/>
  <c r="BL62" i="24"/>
  <c r="BT62" i="24"/>
  <c r="CB62" i="24"/>
  <c r="DE62" i="24"/>
  <c r="CH62" i="24"/>
  <c r="CK62" i="24"/>
  <c r="DU62" i="24"/>
  <c r="DZ62" i="24"/>
  <c r="CS62" i="24"/>
  <c r="EK62" i="24"/>
  <c r="CX62" i="24"/>
  <c r="EV62" i="24"/>
  <c r="FD62" i="24"/>
  <c r="FL62" i="24"/>
  <c r="AU62" i="24"/>
  <c r="BC62" i="24"/>
  <c r="BS62" i="24"/>
  <c r="CA62" i="24"/>
  <c r="DD62" i="24"/>
  <c r="DJ62" i="24"/>
  <c r="DO62" i="24"/>
  <c r="DT62" i="24"/>
  <c r="CP62" i="24"/>
  <c r="EJ62" i="24"/>
  <c r="EP62" i="24"/>
  <c r="EU62" i="24"/>
  <c r="FK62" i="24"/>
  <c r="FS62" i="24"/>
  <c r="AP62" i="24"/>
  <c r="AX62" i="24"/>
  <c r="BF62" i="24"/>
  <c r="BN62" i="24"/>
  <c r="BV62" i="24"/>
  <c r="DA62" i="24"/>
  <c r="CF62" i="24"/>
  <c r="DL62" i="24"/>
  <c r="DQ62" i="24"/>
  <c r="DV62" i="24"/>
  <c r="CQ62" i="24"/>
  <c r="EG62" i="24"/>
  <c r="CV62" i="24"/>
  <c r="CY62" i="24"/>
  <c r="EX62" i="24"/>
  <c r="FF62" i="24"/>
  <c r="FN62" i="24"/>
  <c r="AW62" i="24"/>
  <c r="BE62" i="24"/>
  <c r="BM62" i="24"/>
  <c r="BU62" i="24"/>
  <c r="CC62" i="24"/>
  <c r="DF62" i="24"/>
  <c r="DK62" i="24"/>
  <c r="DP62" i="24"/>
  <c r="CN62" i="24"/>
  <c r="EA62" i="24"/>
  <c r="EF62" i="24"/>
  <c r="EL62" i="24"/>
  <c r="EW62" i="24"/>
  <c r="FE62" i="24"/>
  <c r="FM62" i="24"/>
  <c r="AR62" i="24"/>
  <c r="AZ62" i="24"/>
  <c r="BH62" i="24"/>
  <c r="BP62" i="24"/>
  <c r="BX62" i="24"/>
  <c r="CD62" i="24"/>
  <c r="DH62" i="24"/>
  <c r="DM62" i="24"/>
  <c r="CL62" i="24"/>
  <c r="CO62" i="24"/>
  <c r="EC62" i="24"/>
  <c r="CT62" i="24"/>
  <c r="EN62" i="24"/>
  <c r="ES62" i="24"/>
  <c r="EZ62" i="24"/>
  <c r="FH62" i="24"/>
  <c r="FP62" i="24"/>
  <c r="AQ62" i="24"/>
  <c r="BG62" i="24"/>
  <c r="BO62" i="24"/>
  <c r="DB62" i="24"/>
  <c r="DR62" i="24"/>
  <c r="DW62" i="24"/>
  <c r="EB62" i="24"/>
  <c r="EH62" i="24"/>
  <c r="EM62" i="24"/>
  <c r="ER62" i="24"/>
  <c r="EY62" i="24"/>
  <c r="FG62" i="24"/>
  <c r="FO62" i="24"/>
  <c r="AT62" i="24"/>
  <c r="BB62" i="24"/>
  <c r="BJ62" i="24"/>
  <c r="BR62" i="24"/>
  <c r="BZ62" i="24"/>
  <c r="CE62" i="24"/>
  <c r="DI62" i="24"/>
  <c r="DN62" i="24"/>
  <c r="CM62" i="24"/>
  <c r="DY62" i="24"/>
  <c r="ED62" i="24"/>
  <c r="EO62" i="24"/>
  <c r="ET62" i="24"/>
  <c r="FB62" i="24"/>
  <c r="FJ62" i="24"/>
  <c r="FR62" i="24"/>
  <c r="AS62" i="24"/>
  <c r="BA62" i="24"/>
  <c r="BI62" i="24"/>
  <c r="BQ62" i="24"/>
  <c r="BY62" i="24"/>
  <c r="DC62" i="24"/>
  <c r="CG62" i="24"/>
  <c r="CJ62" i="24"/>
  <c r="DX62" i="24"/>
  <c r="CR62" i="24"/>
  <c r="EI62" i="24"/>
  <c r="CW62" i="24"/>
  <c r="CZ62" i="24"/>
  <c r="FA62" i="24"/>
  <c r="FI62" i="24"/>
  <c r="FQ62" i="24"/>
  <c r="FT62" i="24"/>
  <c r="I16" i="15"/>
  <c r="F55" i="24"/>
  <c r="AY62" i="24"/>
  <c r="BW62" i="24"/>
  <c r="DG62" i="24"/>
  <c r="CI62" i="24"/>
  <c r="N19" i="15"/>
  <c r="L57" i="22"/>
  <c r="F56" i="24"/>
  <c r="F91" i="24"/>
  <c r="G57" i="22"/>
  <c r="I26" i="15"/>
  <c r="CU62" i="24"/>
  <c r="DS62" i="24"/>
  <c r="N18" i="15"/>
  <c r="L56" i="22"/>
  <c r="Q31" i="28"/>
  <c r="Q16" i="28"/>
  <c r="R4" i="28"/>
  <c r="S13" i="22"/>
  <c r="I25" i="15"/>
  <c r="BK62" i="24"/>
  <c r="EE62" i="24"/>
  <c r="FC62" i="24"/>
  <c r="F60" i="24"/>
  <c r="AO62" i="24"/>
  <c r="I22" i="15"/>
  <c r="F90" i="24"/>
  <c r="G56" i="22"/>
  <c r="F61" i="24"/>
  <c r="EQ62" i="24"/>
  <c r="I21" i="15"/>
  <c r="F49" i="24"/>
  <c r="R191" i="58" l="1"/>
  <c r="R90" i="58"/>
  <c r="R101" i="58" s="1"/>
  <c r="R123" i="58" s="1"/>
  <c r="R139" i="58" s="1"/>
  <c r="R155" i="58" s="1"/>
  <c r="R171" i="58" s="1"/>
  <c r="R209" i="58"/>
  <c r="R220" i="58" s="1"/>
  <c r="R242" i="58" s="1"/>
  <c r="R258" i="58" s="1"/>
  <c r="R274" i="58" s="1"/>
  <c r="R290" i="58" s="1"/>
  <c r="R72" i="58"/>
  <c r="AE26" i="24"/>
  <c r="AD96" i="24"/>
  <c r="AE25" i="24"/>
  <c r="AE98" i="24" s="1"/>
  <c r="AD82" i="24"/>
  <c r="AD87" i="24"/>
  <c r="AD88" i="24"/>
  <c r="AD111" i="24"/>
  <c r="AD83" i="24"/>
  <c r="AD112" i="24"/>
  <c r="AD85" i="24"/>
  <c r="AD86" i="24"/>
  <c r="AD81" i="24"/>
  <c r="AD84" i="24"/>
  <c r="AD97" i="24"/>
  <c r="AD113" i="24"/>
  <c r="AD89" i="24"/>
  <c r="AD80" i="24"/>
  <c r="AD114" i="24"/>
  <c r="S92" i="24"/>
  <c r="S50" i="24"/>
  <c r="U23" i="24"/>
  <c r="T46" i="24"/>
  <c r="T44" i="24"/>
  <c r="T45" i="24"/>
  <c r="T53" i="24"/>
  <c r="U22" i="24"/>
  <c r="I27" i="15"/>
  <c r="F62" i="24"/>
  <c r="R16" i="28"/>
  <c r="R31" i="28"/>
  <c r="AF26" i="24" l="1"/>
  <c r="AE96" i="24"/>
  <c r="T57" i="24"/>
  <c r="AF25" i="24"/>
  <c r="AF98" i="24" s="1"/>
  <c r="AE111" i="24"/>
  <c r="AE83" i="24"/>
  <c r="AE114" i="24"/>
  <c r="AE85" i="24"/>
  <c r="AE88" i="24"/>
  <c r="AE86" i="24"/>
  <c r="AE82" i="24"/>
  <c r="AE80" i="24"/>
  <c r="AE113" i="24"/>
  <c r="AE87" i="24"/>
  <c r="AE81" i="24"/>
  <c r="AE84" i="24"/>
  <c r="AE97" i="24"/>
  <c r="AE112" i="24"/>
  <c r="AE89" i="24"/>
  <c r="T50" i="24"/>
  <c r="V22" i="24"/>
  <c r="V23" i="24"/>
  <c r="U45" i="24"/>
  <c r="U46" i="24"/>
  <c r="U53" i="24"/>
  <c r="U57" i="24" s="1"/>
  <c r="U44" i="24"/>
  <c r="T92" i="24"/>
  <c r="AG26" i="24" l="1"/>
  <c r="AF96" i="24"/>
  <c r="AG25" i="24"/>
  <c r="AG98" i="24" s="1"/>
  <c r="AF85" i="24"/>
  <c r="AF87" i="24"/>
  <c r="AF88" i="24"/>
  <c r="AF114" i="24"/>
  <c r="AF89" i="24"/>
  <c r="AF97" i="24"/>
  <c r="AF83" i="24"/>
  <c r="AF112" i="24"/>
  <c r="AF86" i="24"/>
  <c r="AF113" i="24"/>
  <c r="AF84" i="24"/>
  <c r="AF111" i="24"/>
  <c r="AF82" i="24"/>
  <c r="AF80" i="24"/>
  <c r="AF81" i="24"/>
  <c r="W23" i="24"/>
  <c r="V46" i="24"/>
  <c r="V53" i="24"/>
  <c r="V57" i="24" s="1"/>
  <c r="V44" i="24"/>
  <c r="V45" i="24"/>
  <c r="U50" i="24"/>
  <c r="U92" i="24"/>
  <c r="W22" i="24"/>
  <c r="AH26" i="24" l="1"/>
  <c r="AG96" i="24"/>
  <c r="AH25" i="24"/>
  <c r="AH98" i="24" s="1"/>
  <c r="AG86" i="24"/>
  <c r="AG88" i="24"/>
  <c r="AG87" i="24"/>
  <c r="AG89" i="24"/>
  <c r="AG82" i="24"/>
  <c r="AG85" i="24"/>
  <c r="AG111" i="24"/>
  <c r="AG113" i="24"/>
  <c r="AG81" i="24"/>
  <c r="AG80" i="24"/>
  <c r="AG84" i="24"/>
  <c r="AG112" i="24"/>
  <c r="AG114" i="24"/>
  <c r="AG97" i="24"/>
  <c r="AG83" i="24"/>
  <c r="X23" i="24"/>
  <c r="W44" i="24"/>
  <c r="W45" i="24"/>
  <c r="W53" i="24"/>
  <c r="W57" i="24" s="1"/>
  <c r="W46" i="24"/>
  <c r="V50" i="24"/>
  <c r="X22" i="24"/>
  <c r="V92" i="24"/>
  <c r="AI26" i="24" l="1"/>
  <c r="AH96" i="24"/>
  <c r="AI25" i="24"/>
  <c r="AI98" i="24" s="1"/>
  <c r="AH97" i="24"/>
  <c r="AH88" i="24"/>
  <c r="AH87" i="24"/>
  <c r="AH89" i="24"/>
  <c r="AH111" i="24"/>
  <c r="AH84" i="24"/>
  <c r="AH113" i="24"/>
  <c r="AH85" i="24"/>
  <c r="AH112" i="24"/>
  <c r="AH86" i="24"/>
  <c r="AH83" i="24"/>
  <c r="AH114" i="24"/>
  <c r="AH82" i="24"/>
  <c r="AH80" i="24"/>
  <c r="AH81" i="24"/>
  <c r="Y22" i="24"/>
  <c r="W92" i="24"/>
  <c r="Y23" i="24"/>
  <c r="Y47" i="24" s="1"/>
  <c r="X53" i="24"/>
  <c r="X57" i="24" s="1"/>
  <c r="X46" i="24"/>
  <c r="X45" i="24"/>
  <c r="X44" i="24"/>
  <c r="W50" i="24"/>
  <c r="AJ26" i="24" l="1"/>
  <c r="AI96" i="24"/>
  <c r="AJ25" i="24"/>
  <c r="AJ98" i="24" s="1"/>
  <c r="AI87" i="24"/>
  <c r="AI111" i="24"/>
  <c r="AI88" i="24"/>
  <c r="AI83" i="24"/>
  <c r="AI81" i="24"/>
  <c r="AI86" i="24"/>
  <c r="AI82" i="24"/>
  <c r="AI84" i="24"/>
  <c r="AI80" i="24"/>
  <c r="AI97" i="24"/>
  <c r="AI113" i="24"/>
  <c r="AI112" i="24"/>
  <c r="AI89" i="24"/>
  <c r="AI85" i="24"/>
  <c r="AI114" i="24"/>
  <c r="X50" i="24"/>
  <c r="X92" i="24"/>
  <c r="Z23" i="24"/>
  <c r="Z47" i="24" s="1"/>
  <c r="Y53" i="24"/>
  <c r="Y57" i="24" s="1"/>
  <c r="Y44" i="24"/>
  <c r="Y45" i="24"/>
  <c r="Y46" i="24"/>
  <c r="Z22" i="24"/>
  <c r="AK26" i="24" l="1"/>
  <c r="AJ96" i="24"/>
  <c r="AK25" i="24"/>
  <c r="AK98" i="24" s="1"/>
  <c r="AJ84" i="24"/>
  <c r="AJ89" i="24"/>
  <c r="AJ111" i="24"/>
  <c r="AJ86" i="24"/>
  <c r="AJ82" i="24"/>
  <c r="AJ81" i="24"/>
  <c r="AJ97" i="24"/>
  <c r="AJ112" i="24"/>
  <c r="AJ80" i="24"/>
  <c r="AJ87" i="24"/>
  <c r="AJ113" i="24"/>
  <c r="AJ85" i="24"/>
  <c r="AJ88" i="24"/>
  <c r="AJ114" i="24"/>
  <c r="AJ83" i="24"/>
  <c r="AA23" i="24"/>
  <c r="AA47" i="24" s="1"/>
  <c r="Z44" i="24"/>
  <c r="Z46" i="24"/>
  <c r="Z53" i="24"/>
  <c r="Z57" i="24" s="1"/>
  <c r="Z45" i="24"/>
  <c r="Y50" i="24"/>
  <c r="AA22" i="24"/>
  <c r="Y92" i="24"/>
  <c r="AL26" i="24" l="1"/>
  <c r="AK96" i="24"/>
  <c r="AL25" i="24"/>
  <c r="AL98" i="24" s="1"/>
  <c r="AK82" i="24"/>
  <c r="AK83" i="24"/>
  <c r="AK114" i="24"/>
  <c r="AK87" i="24"/>
  <c r="AK89" i="24"/>
  <c r="AK112" i="24"/>
  <c r="AK97" i="24"/>
  <c r="AK111" i="24"/>
  <c r="AK113" i="24"/>
  <c r="AK81" i="24"/>
  <c r="AK88" i="24"/>
  <c r="AK84" i="24"/>
  <c r="AK86" i="24"/>
  <c r="AK80" i="24"/>
  <c r="AK85" i="24"/>
  <c r="Z50" i="24"/>
  <c r="AB22" i="24"/>
  <c r="Z92" i="24"/>
  <c r="AB23" i="24"/>
  <c r="AB47" i="24" s="1"/>
  <c r="AA45" i="24"/>
  <c r="AA44" i="24"/>
  <c r="AA46" i="24"/>
  <c r="AA53" i="24"/>
  <c r="AA57" i="24" s="1"/>
  <c r="AM26" i="24" l="1"/>
  <c r="AL96" i="24"/>
  <c r="AM25" i="24"/>
  <c r="AM98" i="24" s="1"/>
  <c r="AL114" i="24"/>
  <c r="AL89" i="24"/>
  <c r="AL82" i="24"/>
  <c r="AL113" i="24"/>
  <c r="AL84" i="24"/>
  <c r="AL111" i="24"/>
  <c r="AL80" i="24"/>
  <c r="AL85" i="24"/>
  <c r="AL87" i="24"/>
  <c r="AL97" i="24"/>
  <c r="AL83" i="24"/>
  <c r="AL112" i="24"/>
  <c r="AL81" i="24"/>
  <c r="AL88" i="24"/>
  <c r="AL86" i="24"/>
  <c r="AA115" i="24"/>
  <c r="AA50" i="24"/>
  <c r="AA92" i="24"/>
  <c r="AC22" i="24"/>
  <c r="AC23" i="24"/>
  <c r="AC47" i="24" s="1"/>
  <c r="AB46" i="24"/>
  <c r="AB53" i="24"/>
  <c r="AB45" i="24"/>
  <c r="AB44" i="24"/>
  <c r="AN26" i="24" l="1"/>
  <c r="AM96" i="24"/>
  <c r="AN25" i="24"/>
  <c r="AN98" i="24" s="1"/>
  <c r="AM113" i="24"/>
  <c r="AM111" i="24"/>
  <c r="AM85" i="24"/>
  <c r="AM88" i="24"/>
  <c r="AM97" i="24"/>
  <c r="AM83" i="24"/>
  <c r="AM80" i="24"/>
  <c r="AM82" i="24"/>
  <c r="AM89" i="24"/>
  <c r="AM114" i="24"/>
  <c r="AM87" i="24"/>
  <c r="AM112" i="24"/>
  <c r="AM86" i="24"/>
  <c r="AM81" i="24"/>
  <c r="AM84" i="24"/>
  <c r="AB115" i="24"/>
  <c r="AB57" i="24"/>
  <c r="AB50" i="24"/>
  <c r="AB92" i="24"/>
  <c r="AD22" i="24"/>
  <c r="AD23" i="24"/>
  <c r="AC45" i="24"/>
  <c r="AC46" i="24"/>
  <c r="AC53" i="24"/>
  <c r="AC57" i="24" s="1"/>
  <c r="AC44" i="24"/>
  <c r="AD47" i="24" l="1"/>
  <c r="AD54" i="24"/>
  <c r="AN96" i="24"/>
  <c r="AO26" i="24"/>
  <c r="AN82" i="24"/>
  <c r="AN97" i="24"/>
  <c r="AN87" i="24"/>
  <c r="AN80" i="24"/>
  <c r="AN85" i="24"/>
  <c r="AN114" i="24"/>
  <c r="AN86" i="24"/>
  <c r="AN81" i="24"/>
  <c r="AN88" i="24"/>
  <c r="AN113" i="24"/>
  <c r="AN84" i="24"/>
  <c r="AN111" i="24"/>
  <c r="AN112" i="24"/>
  <c r="AN89" i="24"/>
  <c r="AN83" i="24"/>
  <c r="AO25" i="24"/>
  <c r="AO98" i="24" s="1"/>
  <c r="AC115" i="24"/>
  <c r="AC50" i="24"/>
  <c r="AC92" i="24"/>
  <c r="AE23" i="24"/>
  <c r="AD44" i="24"/>
  <c r="AD46" i="24"/>
  <c r="AD45" i="24"/>
  <c r="AD53" i="24"/>
  <c r="AE22" i="24"/>
  <c r="AD57" i="24" l="1"/>
  <c r="AE47" i="24"/>
  <c r="AE54" i="24"/>
  <c r="AP26" i="24"/>
  <c r="AO96" i="24"/>
  <c r="AP25" i="24"/>
  <c r="AP98" i="24" s="1"/>
  <c r="AO80" i="24"/>
  <c r="AO112" i="24"/>
  <c r="AO97" i="24"/>
  <c r="AO111" i="24"/>
  <c r="AO87" i="24"/>
  <c r="AO89" i="24"/>
  <c r="AO84" i="24"/>
  <c r="AO86" i="24"/>
  <c r="AO81" i="24"/>
  <c r="AO113" i="24"/>
  <c r="AO82" i="24"/>
  <c r="AO114" i="24"/>
  <c r="AO88" i="24"/>
  <c r="AO83" i="24"/>
  <c r="AO85" i="24"/>
  <c r="AD115" i="24"/>
  <c r="AF22" i="24"/>
  <c r="AF23" i="24"/>
  <c r="AE44" i="24"/>
  <c r="AE45" i="24"/>
  <c r="AE53" i="24"/>
  <c r="AE46" i="24"/>
  <c r="AD50" i="24"/>
  <c r="AD92" i="24"/>
  <c r="AE57" i="24" l="1"/>
  <c r="AF47" i="24"/>
  <c r="AF54" i="24"/>
  <c r="AQ26" i="24"/>
  <c r="AP96" i="24"/>
  <c r="AQ25" i="24"/>
  <c r="AQ98" i="24" s="1"/>
  <c r="AP89" i="24"/>
  <c r="AP83" i="24"/>
  <c r="AP87" i="24"/>
  <c r="AP112" i="24"/>
  <c r="AP80" i="24"/>
  <c r="AP88" i="24"/>
  <c r="AP114" i="24"/>
  <c r="AP113" i="24"/>
  <c r="AP81" i="24"/>
  <c r="AP111" i="24"/>
  <c r="AP84" i="24"/>
  <c r="AP86" i="24"/>
  <c r="AP85" i="24"/>
  <c r="AP82" i="24"/>
  <c r="AP97" i="24"/>
  <c r="AE115" i="24"/>
  <c r="AE92" i="24"/>
  <c r="AE50" i="24"/>
  <c r="AG23" i="24"/>
  <c r="AF45" i="24"/>
  <c r="AF44" i="24"/>
  <c r="AF53" i="24"/>
  <c r="AF46" i="24"/>
  <c r="AG22" i="24"/>
  <c r="AG47" i="24" l="1"/>
  <c r="AG54" i="24"/>
  <c r="AR26" i="24"/>
  <c r="AQ96" i="24"/>
  <c r="AF57" i="24"/>
  <c r="AR25" i="24"/>
  <c r="AR98" i="24" s="1"/>
  <c r="AQ81" i="24"/>
  <c r="AQ85" i="24"/>
  <c r="AQ82" i="24"/>
  <c r="AQ80" i="24"/>
  <c r="AQ114" i="24"/>
  <c r="AQ112" i="24"/>
  <c r="AQ111" i="24"/>
  <c r="AQ97" i="24"/>
  <c r="AQ84" i="24"/>
  <c r="AQ83" i="24"/>
  <c r="AQ86" i="24"/>
  <c r="AQ88" i="24"/>
  <c r="AQ113" i="24"/>
  <c r="AQ89" i="24"/>
  <c r="AQ87" i="24"/>
  <c r="AF115" i="24"/>
  <c r="AH23" i="24"/>
  <c r="AG44" i="24"/>
  <c r="AG53" i="24"/>
  <c r="AG45" i="24"/>
  <c r="AG46" i="24"/>
  <c r="AF50" i="24"/>
  <c r="AH22" i="24"/>
  <c r="AF92" i="24"/>
  <c r="AG57" i="24" l="1"/>
  <c r="AH47" i="24"/>
  <c r="AH54" i="24"/>
  <c r="AS26" i="24"/>
  <c r="AR96" i="24"/>
  <c r="AS25" i="24"/>
  <c r="AS98" i="24" s="1"/>
  <c r="AR114" i="24"/>
  <c r="AR80" i="24"/>
  <c r="AR112" i="24"/>
  <c r="AR111" i="24"/>
  <c r="AR88" i="24"/>
  <c r="AR86" i="24"/>
  <c r="AR85" i="24"/>
  <c r="AR82" i="24"/>
  <c r="AR83" i="24"/>
  <c r="AR84" i="24"/>
  <c r="AR89" i="24"/>
  <c r="AR87" i="24"/>
  <c r="AR113" i="24"/>
  <c r="AR81" i="24"/>
  <c r="AR97" i="24"/>
  <c r="AH115" i="24"/>
  <c r="AG92" i="24"/>
  <c r="AG50" i="24"/>
  <c r="AI22" i="24"/>
  <c r="AI23" i="24"/>
  <c r="AH45" i="24"/>
  <c r="AH44" i="24"/>
  <c r="AH53" i="24"/>
  <c r="AH46" i="24"/>
  <c r="AH57" i="24" l="1"/>
  <c r="AI47" i="24"/>
  <c r="AI54" i="24"/>
  <c r="AT26" i="24"/>
  <c r="AS96" i="24"/>
  <c r="AT25" i="24"/>
  <c r="AT98" i="24" s="1"/>
  <c r="AS114" i="24"/>
  <c r="AS84" i="24"/>
  <c r="AS82" i="24"/>
  <c r="AS83" i="24"/>
  <c r="AS80" i="24"/>
  <c r="AS85" i="24"/>
  <c r="AS111" i="24"/>
  <c r="AS113" i="24"/>
  <c r="AS97" i="24"/>
  <c r="AS112" i="24"/>
  <c r="AS81" i="24"/>
  <c r="AS87" i="24"/>
  <c r="AS89" i="24"/>
  <c r="AS86" i="24"/>
  <c r="AS88" i="24"/>
  <c r="AJ23" i="24"/>
  <c r="AI44" i="24"/>
  <c r="AI46" i="24"/>
  <c r="AI45" i="24"/>
  <c r="AI53" i="24"/>
  <c r="AH92" i="24"/>
  <c r="AH50" i="24"/>
  <c r="AJ22" i="24"/>
  <c r="AI57" i="24" l="1"/>
  <c r="AJ47" i="24"/>
  <c r="AJ54" i="24"/>
  <c r="AU26" i="24"/>
  <c r="AT96" i="24"/>
  <c r="AU25" i="24"/>
  <c r="AU98" i="24" s="1"/>
  <c r="AT88" i="24"/>
  <c r="AT86" i="24"/>
  <c r="AT85" i="24"/>
  <c r="AT89" i="24"/>
  <c r="AT80" i="24"/>
  <c r="AT111" i="24"/>
  <c r="AT97" i="24"/>
  <c r="AT81" i="24"/>
  <c r="AT113" i="24"/>
  <c r="AT114" i="24"/>
  <c r="AT112" i="24"/>
  <c r="AT83" i="24"/>
  <c r="AT84" i="24"/>
  <c r="AT87" i="24"/>
  <c r="AT82" i="24"/>
  <c r="AI115" i="24"/>
  <c r="AI50" i="24"/>
  <c r="AK23" i="24"/>
  <c r="AJ46" i="24"/>
  <c r="AJ53" i="24"/>
  <c r="AJ44" i="24"/>
  <c r="AJ45" i="24"/>
  <c r="AI92" i="24"/>
  <c r="AK22" i="24"/>
  <c r="AJ57" i="24" l="1"/>
  <c r="AK47" i="24"/>
  <c r="AK54" i="24"/>
  <c r="AV26" i="24"/>
  <c r="AU96" i="24"/>
  <c r="AV25" i="24"/>
  <c r="AV98" i="24" s="1"/>
  <c r="AU113" i="24"/>
  <c r="AU89" i="24"/>
  <c r="AU80" i="24"/>
  <c r="AU112" i="24"/>
  <c r="AU81" i="24"/>
  <c r="AU114" i="24"/>
  <c r="AU83" i="24"/>
  <c r="AU84" i="24"/>
  <c r="AU87" i="24"/>
  <c r="AU86" i="24"/>
  <c r="AU85" i="24"/>
  <c r="AU88" i="24"/>
  <c r="AU111" i="24"/>
  <c r="AU82" i="24"/>
  <c r="AU97" i="24"/>
  <c r="AJ115" i="24"/>
  <c r="AJ50" i="24"/>
  <c r="AJ92" i="24"/>
  <c r="AL23" i="24"/>
  <c r="AK46" i="24"/>
  <c r="AK53" i="24"/>
  <c r="AK44" i="24"/>
  <c r="AK45" i="24"/>
  <c r="AL22" i="24"/>
  <c r="AK57" i="24" l="1"/>
  <c r="AL47" i="24"/>
  <c r="AL54" i="24"/>
  <c r="AW26" i="24"/>
  <c r="AV96" i="24"/>
  <c r="AW25" i="24"/>
  <c r="AW98" i="24" s="1"/>
  <c r="AV88" i="24"/>
  <c r="AV97" i="24"/>
  <c r="AV83" i="24"/>
  <c r="AV89" i="24"/>
  <c r="AV85" i="24"/>
  <c r="AV81" i="24"/>
  <c r="AV80" i="24"/>
  <c r="AV84" i="24"/>
  <c r="AV86" i="24"/>
  <c r="AV113" i="24"/>
  <c r="AV111" i="24"/>
  <c r="AV114" i="24"/>
  <c r="AV112" i="24"/>
  <c r="AV82" i="24"/>
  <c r="AV87" i="24"/>
  <c r="AK50" i="24"/>
  <c r="AK92" i="24"/>
  <c r="AM22" i="24"/>
  <c r="AM23" i="24"/>
  <c r="AL44" i="24"/>
  <c r="AL46" i="24"/>
  <c r="AL45" i="24"/>
  <c r="AL53" i="24"/>
  <c r="AL57" i="24" l="1"/>
  <c r="AM47" i="24"/>
  <c r="AM54" i="24"/>
  <c r="AX26" i="24"/>
  <c r="AW96" i="24"/>
  <c r="AX25" i="24"/>
  <c r="AX98" i="24" s="1"/>
  <c r="AW86" i="24"/>
  <c r="AW83" i="24"/>
  <c r="AW88" i="24"/>
  <c r="AW87" i="24"/>
  <c r="AW89" i="24"/>
  <c r="AW113" i="24"/>
  <c r="AW85" i="24"/>
  <c r="AW112" i="24"/>
  <c r="AW80" i="24"/>
  <c r="AW111" i="24"/>
  <c r="AW114" i="24"/>
  <c r="AW97" i="24"/>
  <c r="AW84" i="24"/>
  <c r="AW81" i="24"/>
  <c r="AW82" i="24"/>
  <c r="AL50" i="24"/>
  <c r="AN23" i="24"/>
  <c r="AM44" i="24"/>
  <c r="AM45" i="24"/>
  <c r="AM53" i="24"/>
  <c r="AM46" i="24"/>
  <c r="AL92" i="24"/>
  <c r="AN22" i="24"/>
  <c r="AM57" i="24" l="1"/>
  <c r="AN47" i="24"/>
  <c r="AN54" i="24"/>
  <c r="AX96" i="24"/>
  <c r="AY26" i="24"/>
  <c r="AX81" i="24"/>
  <c r="AX89" i="24"/>
  <c r="AX80" i="24"/>
  <c r="AX84" i="24"/>
  <c r="AX113" i="24"/>
  <c r="AX86" i="24"/>
  <c r="AX114" i="24"/>
  <c r="AX83" i="24"/>
  <c r="AX97" i="24"/>
  <c r="AX112" i="24"/>
  <c r="AX82" i="24"/>
  <c r="AX85" i="24"/>
  <c r="AX111" i="24"/>
  <c r="AX87" i="24"/>
  <c r="AX88" i="24"/>
  <c r="AY25" i="24"/>
  <c r="AY98" i="24" s="1"/>
  <c r="AM115" i="24"/>
  <c r="AM50" i="24"/>
  <c r="AN44" i="24"/>
  <c r="AN53" i="24"/>
  <c r="AN46" i="24"/>
  <c r="AN45" i="24"/>
  <c r="AO23" i="24"/>
  <c r="AM92" i="24"/>
  <c r="AO22" i="24"/>
  <c r="AN57" i="24" l="1"/>
  <c r="AO47" i="24"/>
  <c r="AO54" i="24"/>
  <c r="AZ26" i="24"/>
  <c r="AY96" i="24"/>
  <c r="AZ25" i="24"/>
  <c r="AZ98" i="24" s="1"/>
  <c r="AY89" i="24"/>
  <c r="AY85" i="24"/>
  <c r="AY97" i="24"/>
  <c r="AY111" i="24"/>
  <c r="AY87" i="24"/>
  <c r="AY88" i="24"/>
  <c r="AY113" i="24"/>
  <c r="AY80" i="24"/>
  <c r="AY83" i="24"/>
  <c r="AY81" i="24"/>
  <c r="AY114" i="24"/>
  <c r="AY86" i="24"/>
  <c r="AY82" i="24"/>
  <c r="AY112" i="24"/>
  <c r="AY84" i="24"/>
  <c r="AN115" i="24"/>
  <c r="AP22" i="24"/>
  <c r="AP23" i="24"/>
  <c r="AO46" i="24"/>
  <c r="AO53" i="24"/>
  <c r="AO45" i="24"/>
  <c r="AO44" i="24"/>
  <c r="AN50" i="24"/>
  <c r="AN92" i="24"/>
  <c r="AO57" i="24" l="1"/>
  <c r="AP47" i="24"/>
  <c r="AP54" i="24"/>
  <c r="BA26" i="24"/>
  <c r="AZ96" i="24"/>
  <c r="BA25" i="24"/>
  <c r="BA98" i="24" s="1"/>
  <c r="AZ113" i="24"/>
  <c r="AZ89" i="24"/>
  <c r="AZ86" i="24"/>
  <c r="AZ80" i="24"/>
  <c r="AZ88" i="24"/>
  <c r="AZ87" i="24"/>
  <c r="AZ85" i="24"/>
  <c r="AZ83" i="24"/>
  <c r="AZ111" i="24"/>
  <c r="AZ82" i="24"/>
  <c r="AZ84" i="24"/>
  <c r="AZ81" i="24"/>
  <c r="AZ114" i="24"/>
  <c r="AZ97" i="24"/>
  <c r="AZ112" i="24"/>
  <c r="AO115" i="24"/>
  <c r="AQ23" i="24"/>
  <c r="AP44" i="24"/>
  <c r="AP46" i="24"/>
  <c r="AP45" i="24"/>
  <c r="AP53" i="24"/>
  <c r="AQ22" i="24"/>
  <c r="AO50" i="24"/>
  <c r="AO92" i="24"/>
  <c r="AP57" i="24" l="1"/>
  <c r="AQ47" i="24"/>
  <c r="AQ54" i="24"/>
  <c r="BB26" i="24"/>
  <c r="BA96" i="24"/>
  <c r="BB25" i="24"/>
  <c r="BB98" i="24" s="1"/>
  <c r="BA87" i="24"/>
  <c r="BA89" i="24"/>
  <c r="BA81" i="24"/>
  <c r="BA97" i="24"/>
  <c r="BA80" i="24"/>
  <c r="BA114" i="24"/>
  <c r="BA86" i="24"/>
  <c r="BA88" i="24"/>
  <c r="BA83" i="24"/>
  <c r="BA84" i="24"/>
  <c r="BA82" i="24"/>
  <c r="BA85" i="24"/>
  <c r="BA111" i="24"/>
  <c r="BA112" i="24"/>
  <c r="BA113" i="24"/>
  <c r="AP115" i="24"/>
  <c r="AP92" i="24"/>
  <c r="AR22" i="24"/>
  <c r="AR23" i="24"/>
  <c r="AQ45" i="24"/>
  <c r="AQ44" i="24"/>
  <c r="AQ46" i="24"/>
  <c r="AQ53" i="24"/>
  <c r="AP50" i="24"/>
  <c r="AQ57" i="24" l="1"/>
  <c r="AR47" i="24"/>
  <c r="AR54" i="24"/>
  <c r="BC26" i="24"/>
  <c r="BB96" i="24"/>
  <c r="BC25" i="24"/>
  <c r="BC98" i="24" s="1"/>
  <c r="BB113" i="24"/>
  <c r="BB82" i="24"/>
  <c r="BB97" i="24"/>
  <c r="BB112" i="24"/>
  <c r="BB81" i="24"/>
  <c r="BB114" i="24"/>
  <c r="BB85" i="24"/>
  <c r="BB87" i="24"/>
  <c r="BB111" i="24"/>
  <c r="BB86" i="24"/>
  <c r="BB83" i="24"/>
  <c r="BB88" i="24"/>
  <c r="BB89" i="24"/>
  <c r="BB84" i="24"/>
  <c r="BB80" i="24"/>
  <c r="AQ115" i="24"/>
  <c r="AS23" i="24"/>
  <c r="AR53" i="24"/>
  <c r="AR45" i="24"/>
  <c r="AR44" i="24"/>
  <c r="AR46" i="24"/>
  <c r="AQ92" i="24"/>
  <c r="AQ50" i="24"/>
  <c r="AS22" i="24"/>
  <c r="AS47" i="24" l="1"/>
  <c r="AS54" i="24"/>
  <c r="BD26" i="24"/>
  <c r="BC96" i="24"/>
  <c r="AR57" i="24"/>
  <c r="BD25" i="24"/>
  <c r="BD98" i="24" s="1"/>
  <c r="BC85" i="24"/>
  <c r="BC86" i="24"/>
  <c r="BC112" i="24"/>
  <c r="BC84" i="24"/>
  <c r="BC81" i="24"/>
  <c r="BC80" i="24"/>
  <c r="BC82" i="24"/>
  <c r="BC83" i="24"/>
  <c r="BC113" i="24"/>
  <c r="BC111" i="24"/>
  <c r="BC97" i="24"/>
  <c r="BC88" i="24"/>
  <c r="BC87" i="24"/>
  <c r="BC89" i="24"/>
  <c r="BC114" i="24"/>
  <c r="AR115" i="24"/>
  <c r="AR50" i="24"/>
  <c r="AR92" i="24"/>
  <c r="AT22" i="24"/>
  <c r="AT23" i="24"/>
  <c r="AS44" i="24"/>
  <c r="AS46" i="24"/>
  <c r="AS53" i="24"/>
  <c r="AS45" i="24"/>
  <c r="AS57" i="24" l="1"/>
  <c r="AT47" i="24"/>
  <c r="AT54" i="24"/>
  <c r="BE26" i="24"/>
  <c r="BD96" i="24"/>
  <c r="BE25" i="24"/>
  <c r="BE98" i="24" s="1"/>
  <c r="BD112" i="24"/>
  <c r="BD111" i="24"/>
  <c r="BD97" i="24"/>
  <c r="BD114" i="24"/>
  <c r="BD82" i="24"/>
  <c r="BD80" i="24"/>
  <c r="BD85" i="24"/>
  <c r="BD83" i="24"/>
  <c r="BD81" i="24"/>
  <c r="BD84" i="24"/>
  <c r="BD86" i="24"/>
  <c r="BD88" i="24"/>
  <c r="BD89" i="24"/>
  <c r="BD87" i="24"/>
  <c r="BD113" i="24"/>
  <c r="AS92" i="24"/>
  <c r="AU23" i="24"/>
  <c r="AT45" i="24"/>
  <c r="AT44" i="24"/>
  <c r="AT53" i="24"/>
  <c r="AT46" i="24"/>
  <c r="AU22" i="24"/>
  <c r="AS50" i="24"/>
  <c r="AT57" i="24" l="1"/>
  <c r="AU47" i="24"/>
  <c r="AU54" i="24"/>
  <c r="BF26" i="24"/>
  <c r="BE96" i="24"/>
  <c r="BF25" i="24"/>
  <c r="BF98" i="24" s="1"/>
  <c r="BE81" i="24"/>
  <c r="BE111" i="24"/>
  <c r="BE112" i="24"/>
  <c r="BE86" i="24"/>
  <c r="BE88" i="24"/>
  <c r="BE80" i="24"/>
  <c r="BE82" i="24"/>
  <c r="BE89" i="24"/>
  <c r="BE97" i="24"/>
  <c r="BE113" i="24"/>
  <c r="BE85" i="24"/>
  <c r="BE83" i="24"/>
  <c r="BE87" i="24"/>
  <c r="BE114" i="24"/>
  <c r="BE84" i="24"/>
  <c r="AT115" i="24"/>
  <c r="AV23" i="24"/>
  <c r="AU53" i="24"/>
  <c r="AU45" i="24"/>
  <c r="AU46" i="24"/>
  <c r="AU44" i="24"/>
  <c r="AT50" i="24"/>
  <c r="AV22" i="24"/>
  <c r="AT92" i="24"/>
  <c r="AU57" i="24" l="1"/>
  <c r="AV47" i="24"/>
  <c r="AV54" i="24"/>
  <c r="BG26" i="24"/>
  <c r="BF96" i="24"/>
  <c r="BG25" i="24"/>
  <c r="BG98" i="24" s="1"/>
  <c r="BF80" i="24"/>
  <c r="BF87" i="24"/>
  <c r="BF114" i="24"/>
  <c r="BF86" i="24"/>
  <c r="BF83" i="24"/>
  <c r="BF111" i="24"/>
  <c r="BF113" i="24"/>
  <c r="BF88" i="24"/>
  <c r="BF81" i="24"/>
  <c r="BF85" i="24"/>
  <c r="BF84" i="24"/>
  <c r="BF112" i="24"/>
  <c r="BF82" i="24"/>
  <c r="BF89" i="24"/>
  <c r="BF97" i="24"/>
  <c r="AU115" i="24"/>
  <c r="AU92" i="24"/>
  <c r="AW22" i="24"/>
  <c r="AW23" i="24"/>
  <c r="AV45" i="24"/>
  <c r="AV44" i="24"/>
  <c r="AV53" i="24"/>
  <c r="AV46" i="24"/>
  <c r="AV92" i="24"/>
  <c r="AU50" i="24"/>
  <c r="AV57" i="24" l="1"/>
  <c r="AW47" i="24"/>
  <c r="AW54" i="24"/>
  <c r="BH26" i="24"/>
  <c r="BG96" i="24"/>
  <c r="BH25" i="24"/>
  <c r="BH98" i="24" s="1"/>
  <c r="BG97" i="24"/>
  <c r="BG112" i="24"/>
  <c r="BG83" i="24"/>
  <c r="BG80" i="24"/>
  <c r="BG88" i="24"/>
  <c r="BG82" i="24"/>
  <c r="BG113" i="24"/>
  <c r="BG81" i="24"/>
  <c r="BG84" i="24"/>
  <c r="BG86" i="24"/>
  <c r="BG85" i="24"/>
  <c r="BG89" i="24"/>
  <c r="BG111" i="24"/>
  <c r="BG114" i="24"/>
  <c r="BG87" i="24"/>
  <c r="AV115" i="24"/>
  <c r="AX23" i="24"/>
  <c r="AW45" i="24"/>
  <c r="AW44" i="24"/>
  <c r="AW53" i="24"/>
  <c r="AW46" i="24"/>
  <c r="AV50" i="24"/>
  <c r="AX22" i="24"/>
  <c r="AW57" i="24" l="1"/>
  <c r="AX47" i="24"/>
  <c r="AX54" i="24"/>
  <c r="BI26" i="24"/>
  <c r="BH96" i="24"/>
  <c r="BI25" i="24"/>
  <c r="BI98" i="24" s="1"/>
  <c r="BH89" i="24"/>
  <c r="BH81" i="24"/>
  <c r="BH84" i="24"/>
  <c r="BH97" i="24"/>
  <c r="BH88" i="24"/>
  <c r="BH80" i="24"/>
  <c r="BH87" i="24"/>
  <c r="BH82" i="24"/>
  <c r="BH86" i="24"/>
  <c r="BH112" i="24"/>
  <c r="BH83" i="24"/>
  <c r="BH114" i="24"/>
  <c r="BH85" i="24"/>
  <c r="BH111" i="24"/>
  <c r="BH113" i="24"/>
  <c r="AY22" i="24"/>
  <c r="AW92" i="24"/>
  <c r="AY23" i="24"/>
  <c r="AX53" i="24"/>
  <c r="AX46" i="24"/>
  <c r="AX45" i="24"/>
  <c r="AX44" i="24"/>
  <c r="AW50" i="24"/>
  <c r="AX57" i="24" l="1"/>
  <c r="AY47" i="24"/>
  <c r="AY54" i="24"/>
  <c r="BJ26" i="24"/>
  <c r="BI96" i="24"/>
  <c r="BJ25" i="24"/>
  <c r="BJ98" i="24" s="1"/>
  <c r="BI82" i="24"/>
  <c r="BI83" i="24"/>
  <c r="BI89" i="24"/>
  <c r="BI81" i="24"/>
  <c r="BI85" i="24"/>
  <c r="BI87" i="24"/>
  <c r="BI84" i="24"/>
  <c r="BI86" i="24"/>
  <c r="BI80" i="24"/>
  <c r="BI113" i="24"/>
  <c r="BI114" i="24"/>
  <c r="BI88" i="24"/>
  <c r="BI112" i="24"/>
  <c r="BI111" i="24"/>
  <c r="BI97" i="24"/>
  <c r="AX50" i="24"/>
  <c r="AX92" i="24"/>
  <c r="AZ23" i="24"/>
  <c r="AY45" i="24"/>
  <c r="AY46" i="24"/>
  <c r="AY44" i="24"/>
  <c r="AY53" i="24"/>
  <c r="AZ22" i="24"/>
  <c r="AY57" i="24" l="1"/>
  <c r="AZ47" i="24"/>
  <c r="AZ54" i="24"/>
  <c r="BK26" i="24"/>
  <c r="BJ96" i="24"/>
  <c r="BJ111" i="24"/>
  <c r="BJ114" i="24"/>
  <c r="BJ85" i="24"/>
  <c r="BJ86" i="24"/>
  <c r="BJ82" i="24"/>
  <c r="BJ84" i="24"/>
  <c r="BJ81" i="24"/>
  <c r="BJ88" i="24"/>
  <c r="BJ112" i="24"/>
  <c r="BJ97" i="24"/>
  <c r="BJ80" i="24"/>
  <c r="BJ113" i="24"/>
  <c r="BJ89" i="24"/>
  <c r="BJ83" i="24"/>
  <c r="BJ87" i="24"/>
  <c r="BK25" i="24"/>
  <c r="BK98" i="24" s="1"/>
  <c r="AY115" i="24"/>
  <c r="AY50" i="24"/>
  <c r="BA22" i="24"/>
  <c r="BA23" i="24"/>
  <c r="AZ53" i="24"/>
  <c r="AZ44" i="24"/>
  <c r="AZ45" i="24"/>
  <c r="AZ46" i="24"/>
  <c r="AY92" i="24"/>
  <c r="AZ57" i="24" l="1"/>
  <c r="BA47" i="24"/>
  <c r="BA54" i="24"/>
  <c r="BL26" i="24"/>
  <c r="BK96" i="24"/>
  <c r="BL25" i="24"/>
  <c r="BL98" i="24" s="1"/>
  <c r="BK87" i="24"/>
  <c r="BK85" i="24"/>
  <c r="BK84" i="24"/>
  <c r="BK89" i="24"/>
  <c r="BK114" i="24"/>
  <c r="BK81" i="24"/>
  <c r="BK97" i="24"/>
  <c r="BK113" i="24"/>
  <c r="BK111" i="24"/>
  <c r="BK82" i="24"/>
  <c r="BK86" i="24"/>
  <c r="BK112" i="24"/>
  <c r="BK83" i="24"/>
  <c r="BK80" i="24"/>
  <c r="BK88" i="24"/>
  <c r="BB23" i="24"/>
  <c r="BA44" i="24"/>
  <c r="BA46" i="24"/>
  <c r="BA53" i="24"/>
  <c r="BA45" i="24"/>
  <c r="AZ92" i="24"/>
  <c r="AZ50" i="24"/>
  <c r="BB22" i="24"/>
  <c r="BA57" i="24" l="1"/>
  <c r="BB47" i="24"/>
  <c r="BB54" i="24"/>
  <c r="BM26" i="24"/>
  <c r="BL96" i="24"/>
  <c r="BM25" i="24"/>
  <c r="BM98" i="24" s="1"/>
  <c r="BL87" i="24"/>
  <c r="BL81" i="24"/>
  <c r="BL88" i="24"/>
  <c r="BL113" i="24"/>
  <c r="BL112" i="24"/>
  <c r="BL97" i="24"/>
  <c r="BL114" i="24"/>
  <c r="BL80" i="24"/>
  <c r="BL83" i="24"/>
  <c r="BL111" i="24"/>
  <c r="BL82" i="24"/>
  <c r="BL85" i="24"/>
  <c r="BL86" i="24"/>
  <c r="BL84" i="24"/>
  <c r="BL89" i="24"/>
  <c r="BA115" i="24"/>
  <c r="BC22" i="24"/>
  <c r="BA92" i="24"/>
  <c r="BA50" i="24"/>
  <c r="BC23" i="24"/>
  <c r="BB46" i="24"/>
  <c r="BB53" i="24"/>
  <c r="BB45" i="24"/>
  <c r="BB44" i="24"/>
  <c r="BB57" i="24" l="1"/>
  <c r="BC47" i="24"/>
  <c r="BC54" i="24"/>
  <c r="BN26" i="24"/>
  <c r="BM96" i="24"/>
  <c r="BN25" i="24"/>
  <c r="BN98" i="24" s="1"/>
  <c r="BM87" i="24"/>
  <c r="BM89" i="24"/>
  <c r="BM112" i="24"/>
  <c r="BM111" i="24"/>
  <c r="BM97" i="24"/>
  <c r="BM83" i="24"/>
  <c r="BM88" i="24"/>
  <c r="BM84" i="24"/>
  <c r="BM86" i="24"/>
  <c r="BM80" i="24"/>
  <c r="BM85" i="24"/>
  <c r="BM82" i="24"/>
  <c r="BM114" i="24"/>
  <c r="BM113" i="24"/>
  <c r="BM81" i="24"/>
  <c r="BB115" i="24"/>
  <c r="BB50" i="24"/>
  <c r="BB92" i="24"/>
  <c r="BD23" i="24"/>
  <c r="BC46" i="24"/>
  <c r="BC53" i="24"/>
  <c r="BC44" i="24"/>
  <c r="BC45" i="24"/>
  <c r="BD22" i="24"/>
  <c r="BC57" i="24" l="1"/>
  <c r="BD47" i="24"/>
  <c r="BD54" i="24"/>
  <c r="BO26" i="24"/>
  <c r="BN96" i="24"/>
  <c r="BO25" i="24"/>
  <c r="BO98" i="24" s="1"/>
  <c r="BN81" i="24"/>
  <c r="BN88" i="24"/>
  <c r="BN114" i="24"/>
  <c r="BN89" i="24"/>
  <c r="BN83" i="24"/>
  <c r="BN113" i="24"/>
  <c r="BN82" i="24"/>
  <c r="BN111" i="24"/>
  <c r="BN84" i="24"/>
  <c r="BN87" i="24"/>
  <c r="BN97" i="24"/>
  <c r="BN86" i="24"/>
  <c r="BN85" i="24"/>
  <c r="BN112" i="24"/>
  <c r="BN80" i="24"/>
  <c r="BC115" i="24"/>
  <c r="BE22" i="24"/>
  <c r="BC50" i="24"/>
  <c r="BE23" i="24"/>
  <c r="BD44" i="24"/>
  <c r="BD46" i="24"/>
  <c r="BD53" i="24"/>
  <c r="BD45" i="24"/>
  <c r="BC92" i="24"/>
  <c r="BE47" i="24" l="1"/>
  <c r="BE54" i="24"/>
  <c r="BP26" i="24"/>
  <c r="BO96" i="24"/>
  <c r="BD57" i="24"/>
  <c r="BP25" i="24"/>
  <c r="BP98" i="24" s="1"/>
  <c r="BO81" i="24"/>
  <c r="BO112" i="24"/>
  <c r="BO97" i="24"/>
  <c r="BO114" i="24"/>
  <c r="BO87" i="24"/>
  <c r="BO113" i="24"/>
  <c r="BO89" i="24"/>
  <c r="BO111" i="24"/>
  <c r="BO80" i="24"/>
  <c r="BO84" i="24"/>
  <c r="BO86" i="24"/>
  <c r="BO83" i="24"/>
  <c r="BO88" i="24"/>
  <c r="BO82" i="24"/>
  <c r="BO85" i="24"/>
  <c r="BD115" i="24"/>
  <c r="BD92" i="24"/>
  <c r="BD50" i="24"/>
  <c r="BF23" i="24"/>
  <c r="BE46" i="24"/>
  <c r="BE53" i="24"/>
  <c r="BE44" i="24"/>
  <c r="BE45" i="24"/>
  <c r="BF22" i="24"/>
  <c r="BE57" i="24" l="1"/>
  <c r="BF47" i="24"/>
  <c r="BF54" i="24"/>
  <c r="BQ26" i="24"/>
  <c r="BP96" i="24"/>
  <c r="BQ25" i="24"/>
  <c r="BQ98" i="24" s="1"/>
  <c r="BP81" i="24"/>
  <c r="BP97" i="24"/>
  <c r="BP84" i="24"/>
  <c r="BP89" i="24"/>
  <c r="BP87" i="24"/>
  <c r="BP111" i="24"/>
  <c r="BP82" i="24"/>
  <c r="BP86" i="24"/>
  <c r="BP83" i="24"/>
  <c r="BP112" i="24"/>
  <c r="BP113" i="24"/>
  <c r="BP80" i="24"/>
  <c r="BP114" i="24"/>
  <c r="BP88" i="24"/>
  <c r="BP85" i="24"/>
  <c r="BE115" i="24"/>
  <c r="BG22" i="24"/>
  <c r="BG23" i="24"/>
  <c r="BF53" i="24"/>
  <c r="BF45" i="24"/>
  <c r="BF44" i="24"/>
  <c r="BF46" i="24"/>
  <c r="BE92" i="24"/>
  <c r="BE50" i="24"/>
  <c r="BF57" i="24" l="1"/>
  <c r="BG47" i="24"/>
  <c r="BG54" i="24"/>
  <c r="BR26" i="24"/>
  <c r="BQ96" i="24"/>
  <c r="BR25" i="24"/>
  <c r="BR98" i="24" s="1"/>
  <c r="BQ80" i="24"/>
  <c r="BQ112" i="24"/>
  <c r="BQ82" i="24"/>
  <c r="BQ111" i="24"/>
  <c r="BQ88" i="24"/>
  <c r="BQ89" i="24"/>
  <c r="BQ85" i="24"/>
  <c r="BQ87" i="24"/>
  <c r="BQ114" i="24"/>
  <c r="BQ83" i="24"/>
  <c r="BQ113" i="24"/>
  <c r="BQ97" i="24"/>
  <c r="BQ81" i="24"/>
  <c r="BQ84" i="24"/>
  <c r="BQ86" i="24"/>
  <c r="BF115" i="24"/>
  <c r="BF50" i="24"/>
  <c r="BH22" i="24"/>
  <c r="BF92" i="24"/>
  <c r="BH23" i="24"/>
  <c r="BG53" i="24"/>
  <c r="BG45" i="24"/>
  <c r="BG44" i="24"/>
  <c r="BG46" i="24"/>
  <c r="BG57" i="24" l="1"/>
  <c r="BH47" i="24"/>
  <c r="BH54" i="24"/>
  <c r="BS26" i="24"/>
  <c r="BR96" i="24"/>
  <c r="BS25" i="24"/>
  <c r="BS98" i="24" s="1"/>
  <c r="BR114" i="24"/>
  <c r="BR112" i="24"/>
  <c r="BR97" i="24"/>
  <c r="BR82" i="24"/>
  <c r="BR83" i="24"/>
  <c r="BR89" i="24"/>
  <c r="BR113" i="24"/>
  <c r="BR81" i="24"/>
  <c r="BR111" i="24"/>
  <c r="BR80" i="24"/>
  <c r="BR86" i="24"/>
  <c r="BR84" i="24"/>
  <c r="BR87" i="24"/>
  <c r="BR88" i="24"/>
  <c r="BR85" i="24"/>
  <c r="BG115" i="24"/>
  <c r="BG92" i="24"/>
  <c r="BG50" i="24"/>
  <c r="BI22" i="24"/>
  <c r="BI23" i="24"/>
  <c r="BH44" i="24"/>
  <c r="BH46" i="24"/>
  <c r="BH53" i="24"/>
  <c r="BH45" i="24"/>
  <c r="BH57" i="24" l="1"/>
  <c r="BI47" i="24"/>
  <c r="BI54" i="24"/>
  <c r="BT26" i="24"/>
  <c r="BS96" i="24"/>
  <c r="BT25" i="24"/>
  <c r="BT98" i="24" s="1"/>
  <c r="BS87" i="24"/>
  <c r="BS111" i="24"/>
  <c r="BS88" i="24"/>
  <c r="BS80" i="24"/>
  <c r="BS112" i="24"/>
  <c r="BS113" i="24"/>
  <c r="BS89" i="24"/>
  <c r="BS97" i="24"/>
  <c r="BS82" i="24"/>
  <c r="BS81" i="24"/>
  <c r="BS83" i="24"/>
  <c r="BS84" i="24"/>
  <c r="BS85" i="24"/>
  <c r="BS86" i="24"/>
  <c r="BS114" i="24"/>
  <c r="BH115" i="24"/>
  <c r="BH50" i="24"/>
  <c r="BJ22" i="24"/>
  <c r="BH92" i="24"/>
  <c r="BJ23" i="24"/>
  <c r="BI45" i="24"/>
  <c r="BI44" i="24"/>
  <c r="BI46" i="24"/>
  <c r="BI53" i="24"/>
  <c r="BI57" i="24" l="1"/>
  <c r="BJ47" i="24"/>
  <c r="BJ54" i="24"/>
  <c r="BU26" i="24"/>
  <c r="BT96" i="24"/>
  <c r="BU25" i="24"/>
  <c r="BU98" i="24" s="1"/>
  <c r="BT111" i="24"/>
  <c r="BT88" i="24"/>
  <c r="BT81" i="24"/>
  <c r="BT97" i="24"/>
  <c r="BT85" i="24"/>
  <c r="BT87" i="24"/>
  <c r="BT113" i="24"/>
  <c r="BT80" i="24"/>
  <c r="BT82" i="24"/>
  <c r="BT112" i="24"/>
  <c r="BT89" i="24"/>
  <c r="BT83" i="24"/>
  <c r="BT86" i="24"/>
  <c r="BT84" i="24"/>
  <c r="BT114" i="24"/>
  <c r="BK23" i="24"/>
  <c r="BJ46" i="24"/>
  <c r="BJ53" i="24"/>
  <c r="BJ45" i="24"/>
  <c r="BJ44" i="24"/>
  <c r="BI50" i="24"/>
  <c r="BI92" i="24"/>
  <c r="BK22" i="24"/>
  <c r="BJ57" i="24" l="1"/>
  <c r="BK47" i="24"/>
  <c r="BK54" i="24"/>
  <c r="BV26" i="24"/>
  <c r="BU96" i="24"/>
  <c r="BV25" i="24"/>
  <c r="BV98" i="24" s="1"/>
  <c r="BU82" i="24"/>
  <c r="BU85" i="24"/>
  <c r="BU97" i="24"/>
  <c r="BU87" i="24"/>
  <c r="BU113" i="24"/>
  <c r="BU80" i="24"/>
  <c r="BU112" i="24"/>
  <c r="BU81" i="24"/>
  <c r="BU114" i="24"/>
  <c r="BU89" i="24"/>
  <c r="BU88" i="24"/>
  <c r="BU111" i="24"/>
  <c r="BU84" i="24"/>
  <c r="BU86" i="24"/>
  <c r="BU83" i="24"/>
  <c r="BJ115" i="24"/>
  <c r="BJ50" i="24"/>
  <c r="BL22" i="24"/>
  <c r="BJ92" i="24"/>
  <c r="BL23" i="24"/>
  <c r="BK46" i="24"/>
  <c r="BK44" i="24"/>
  <c r="BK53" i="24"/>
  <c r="BK45" i="24"/>
  <c r="BK57" i="24" l="1"/>
  <c r="BL47" i="24"/>
  <c r="BL54" i="24"/>
  <c r="BW26" i="24"/>
  <c r="BV96" i="24"/>
  <c r="BW25" i="24"/>
  <c r="BW98" i="24" s="1"/>
  <c r="BV80" i="24"/>
  <c r="BV85" i="24"/>
  <c r="BV83" i="24"/>
  <c r="BV111" i="24"/>
  <c r="BV114" i="24"/>
  <c r="BV86" i="24"/>
  <c r="BV112" i="24"/>
  <c r="BV88" i="24"/>
  <c r="BV89" i="24"/>
  <c r="BV97" i="24"/>
  <c r="BV87" i="24"/>
  <c r="BV84" i="24"/>
  <c r="BV113" i="24"/>
  <c r="BV81" i="24"/>
  <c r="BV82" i="24"/>
  <c r="BM23" i="24"/>
  <c r="BL46" i="24"/>
  <c r="BL53" i="24"/>
  <c r="BL45" i="24"/>
  <c r="BL44" i="24"/>
  <c r="BK92" i="24"/>
  <c r="BM22" i="24"/>
  <c r="BK50" i="24"/>
  <c r="BL57" i="24" l="1"/>
  <c r="BM47" i="24"/>
  <c r="BM54" i="24"/>
  <c r="BX26" i="24"/>
  <c r="BW96" i="24"/>
  <c r="BX25" i="24"/>
  <c r="BX98" i="24" s="1"/>
  <c r="BW97" i="24"/>
  <c r="BW82" i="24"/>
  <c r="BW83" i="24"/>
  <c r="BW88" i="24"/>
  <c r="BW87" i="24"/>
  <c r="BW114" i="24"/>
  <c r="BW84" i="24"/>
  <c r="BW113" i="24"/>
  <c r="BW86" i="24"/>
  <c r="BW112" i="24"/>
  <c r="BW81" i="24"/>
  <c r="BW111" i="24"/>
  <c r="BW89" i="24"/>
  <c r="BW80" i="24"/>
  <c r="BW85" i="24"/>
  <c r="BL115" i="24"/>
  <c r="BN22" i="24"/>
  <c r="BL50" i="24"/>
  <c r="BL92" i="24"/>
  <c r="BN23" i="24"/>
  <c r="BM44" i="24"/>
  <c r="BM53" i="24"/>
  <c r="BM45" i="24"/>
  <c r="BM46" i="24"/>
  <c r="BM57" i="24" l="1"/>
  <c r="BN47" i="24"/>
  <c r="BN54" i="24"/>
  <c r="BY26" i="24"/>
  <c r="BX96" i="24"/>
  <c r="BY25" i="24"/>
  <c r="BY98" i="24" s="1"/>
  <c r="BX80" i="24"/>
  <c r="BX82" i="24"/>
  <c r="BX81" i="24"/>
  <c r="BX112" i="24"/>
  <c r="BX83" i="24"/>
  <c r="BX89" i="24"/>
  <c r="BX88" i="24"/>
  <c r="BX87" i="24"/>
  <c r="BX86" i="24"/>
  <c r="BX114" i="24"/>
  <c r="BX84" i="24"/>
  <c r="BX85" i="24"/>
  <c r="BX97" i="24"/>
  <c r="BX113" i="24"/>
  <c r="BX111" i="24"/>
  <c r="BM115" i="24"/>
  <c r="BM92" i="24"/>
  <c r="BM50" i="24"/>
  <c r="BO23" i="24"/>
  <c r="BN46" i="24"/>
  <c r="BN44" i="24"/>
  <c r="BN53" i="24"/>
  <c r="BN45" i="24"/>
  <c r="BO22" i="24"/>
  <c r="BN57" i="24" l="1"/>
  <c r="BO47" i="24"/>
  <c r="BO54" i="24"/>
  <c r="BZ26" i="24"/>
  <c r="BY96" i="24"/>
  <c r="BZ25" i="24"/>
  <c r="BZ98" i="24" s="1"/>
  <c r="BY83" i="24"/>
  <c r="BY80" i="24"/>
  <c r="BY87" i="24"/>
  <c r="BY89" i="24"/>
  <c r="BY82" i="24"/>
  <c r="BY85" i="24"/>
  <c r="BY84" i="24"/>
  <c r="BY86" i="24"/>
  <c r="BY114" i="24"/>
  <c r="BY81" i="24"/>
  <c r="BY113" i="24"/>
  <c r="BY88" i="24"/>
  <c r="BY112" i="24"/>
  <c r="BY111" i="24"/>
  <c r="BY97" i="24"/>
  <c r="BN115" i="24"/>
  <c r="BN50" i="24"/>
  <c r="BP23" i="24"/>
  <c r="BO46" i="24"/>
  <c r="BO53" i="24"/>
  <c r="BO44" i="24"/>
  <c r="BO45" i="24"/>
  <c r="BN92" i="24"/>
  <c r="BP22" i="24"/>
  <c r="BO57" i="24" l="1"/>
  <c r="BP47" i="24"/>
  <c r="BP54" i="24"/>
  <c r="CA26" i="24"/>
  <c r="BZ96" i="24"/>
  <c r="CA25" i="24"/>
  <c r="CA98" i="24" s="1"/>
  <c r="BZ113" i="24"/>
  <c r="BZ114" i="24"/>
  <c r="BZ84" i="24"/>
  <c r="BZ83" i="24"/>
  <c r="BZ85" i="24"/>
  <c r="BZ89" i="24"/>
  <c r="BZ81" i="24"/>
  <c r="BZ88" i="24"/>
  <c r="BZ112" i="24"/>
  <c r="BZ80" i="24"/>
  <c r="BZ97" i="24"/>
  <c r="BZ111" i="24"/>
  <c r="BZ86" i="24"/>
  <c r="BZ82" i="24"/>
  <c r="BZ87" i="24"/>
  <c r="BO115" i="24"/>
  <c r="BO50" i="24"/>
  <c r="BQ23" i="24"/>
  <c r="BP44" i="24"/>
  <c r="BP46" i="24"/>
  <c r="BP53" i="24"/>
  <c r="BP45" i="24"/>
  <c r="BQ22" i="24"/>
  <c r="BO92" i="24"/>
  <c r="BQ47" i="24" l="1"/>
  <c r="BQ54" i="24"/>
  <c r="CB26" i="24"/>
  <c r="CA96" i="24"/>
  <c r="BP57" i="24"/>
  <c r="CB25" i="24"/>
  <c r="CB98" i="24" s="1"/>
  <c r="CA85" i="24"/>
  <c r="CA81" i="24"/>
  <c r="CA88" i="24"/>
  <c r="CA114" i="24"/>
  <c r="CA97" i="24"/>
  <c r="CA113" i="24"/>
  <c r="CA84" i="24"/>
  <c r="CA111" i="24"/>
  <c r="CA80" i="24"/>
  <c r="CA83" i="24"/>
  <c r="CA112" i="24"/>
  <c r="CA82" i="24"/>
  <c r="CA86" i="24"/>
  <c r="CA89" i="24"/>
  <c r="CA87" i="24"/>
  <c r="BP115" i="24"/>
  <c r="BP92" i="24"/>
  <c r="BR22" i="24"/>
  <c r="BR23" i="24"/>
  <c r="BQ46" i="24"/>
  <c r="BQ53" i="24"/>
  <c r="BQ44" i="24"/>
  <c r="BQ45" i="24"/>
  <c r="BP50" i="24"/>
  <c r="BQ57" i="24" l="1"/>
  <c r="BR47" i="24"/>
  <c r="BR54" i="24"/>
  <c r="CC26" i="24"/>
  <c r="CB96" i="24"/>
  <c r="CC25" i="24"/>
  <c r="CC98" i="24" s="1"/>
  <c r="CB88" i="24"/>
  <c r="CB97" i="24"/>
  <c r="CB84" i="24"/>
  <c r="CB85" i="24"/>
  <c r="CB111" i="24"/>
  <c r="CB80" i="24"/>
  <c r="CB82" i="24"/>
  <c r="CB87" i="24"/>
  <c r="CB113" i="24"/>
  <c r="CB112" i="24"/>
  <c r="CB89" i="24"/>
  <c r="CB81" i="24"/>
  <c r="CB114" i="24"/>
  <c r="CB83" i="24"/>
  <c r="CB86" i="24"/>
  <c r="BQ115" i="24"/>
  <c r="BQ50" i="24"/>
  <c r="BS23" i="24"/>
  <c r="BR44" i="24"/>
  <c r="BR46" i="24"/>
  <c r="BR53" i="24"/>
  <c r="BR45" i="24"/>
  <c r="BQ92" i="24"/>
  <c r="BS22" i="24"/>
  <c r="BR57" i="24" l="1"/>
  <c r="BS47" i="24"/>
  <c r="BS54" i="24"/>
  <c r="CD26" i="24"/>
  <c r="CC96" i="24"/>
  <c r="CD25" i="24"/>
  <c r="CD98" i="24" s="1"/>
  <c r="CC114" i="24"/>
  <c r="CC89" i="24"/>
  <c r="CC112" i="24"/>
  <c r="CC85" i="24"/>
  <c r="CC87" i="24"/>
  <c r="CC83" i="24"/>
  <c r="CC81" i="24"/>
  <c r="CC111" i="24"/>
  <c r="CC86" i="24"/>
  <c r="CC88" i="24"/>
  <c r="CC113" i="24"/>
  <c r="CC84" i="24"/>
  <c r="CC97" i="24"/>
  <c r="CC80" i="24"/>
  <c r="CC82" i="24"/>
  <c r="BR115" i="24"/>
  <c r="BT22" i="24"/>
  <c r="BT23" i="24"/>
  <c r="BS46" i="24"/>
  <c r="BS53" i="24"/>
  <c r="BS44" i="24"/>
  <c r="BS45" i="24"/>
  <c r="BR92" i="24"/>
  <c r="BR50" i="24"/>
  <c r="BS57" i="24" l="1"/>
  <c r="BT47" i="24"/>
  <c r="BT54" i="24"/>
  <c r="CE26" i="24"/>
  <c r="CD96" i="24"/>
  <c r="CE25" i="24"/>
  <c r="CE98" i="24" s="1"/>
  <c r="CD97" i="24"/>
  <c r="CD86" i="24"/>
  <c r="CD88" i="24"/>
  <c r="CD84" i="24"/>
  <c r="CD112" i="24"/>
  <c r="CD81" i="24"/>
  <c r="CD114" i="24"/>
  <c r="CD87" i="24"/>
  <c r="CD111" i="24"/>
  <c r="CD85" i="24"/>
  <c r="CD113" i="24"/>
  <c r="CD83" i="24"/>
  <c r="CD82" i="24"/>
  <c r="CD89" i="24"/>
  <c r="CD80" i="24"/>
  <c r="BS115" i="24"/>
  <c r="BS92" i="24"/>
  <c r="BU23" i="24"/>
  <c r="BT45" i="24"/>
  <c r="BT44" i="24"/>
  <c r="BT46" i="24"/>
  <c r="BT53" i="24"/>
  <c r="BS50" i="24"/>
  <c r="BU22" i="24"/>
  <c r="BT57" i="24" l="1"/>
  <c r="BU47" i="24"/>
  <c r="BU54" i="24"/>
  <c r="CF26" i="24"/>
  <c r="CE96" i="24"/>
  <c r="CF25" i="24"/>
  <c r="CF98" i="24" s="1"/>
  <c r="CE81" i="24"/>
  <c r="CE89" i="24"/>
  <c r="CE113" i="24"/>
  <c r="CE97" i="24"/>
  <c r="CE114" i="24"/>
  <c r="CE83" i="24"/>
  <c r="CE82" i="24"/>
  <c r="CE87" i="24"/>
  <c r="CE84" i="24"/>
  <c r="CE85" i="24"/>
  <c r="CE86" i="24"/>
  <c r="CE112" i="24"/>
  <c r="CE88" i="24"/>
  <c r="CE80" i="24"/>
  <c r="CE111" i="24"/>
  <c r="BT115" i="24"/>
  <c r="BT50" i="24"/>
  <c r="BT92" i="24"/>
  <c r="BV23" i="24"/>
  <c r="BU45" i="24"/>
  <c r="BU46" i="24"/>
  <c r="BU53" i="24"/>
  <c r="BU44" i="24"/>
  <c r="BV22" i="24"/>
  <c r="BU57" i="24" l="1"/>
  <c r="BV47" i="24"/>
  <c r="BV54" i="24"/>
  <c r="CG26" i="24"/>
  <c r="CF96" i="24"/>
  <c r="CG25" i="24"/>
  <c r="CG98" i="24" s="1"/>
  <c r="CF86" i="24"/>
  <c r="CF84" i="24"/>
  <c r="CF111" i="24"/>
  <c r="CF87" i="24"/>
  <c r="CF113" i="24"/>
  <c r="CF97" i="24"/>
  <c r="CF81" i="24"/>
  <c r="CF114" i="24"/>
  <c r="CF80" i="24"/>
  <c r="CF82" i="24"/>
  <c r="CF83" i="24"/>
  <c r="CF88" i="24"/>
  <c r="CF112" i="24"/>
  <c r="CF89" i="24"/>
  <c r="CF85" i="24"/>
  <c r="BW22" i="24"/>
  <c r="BW23" i="24"/>
  <c r="BV45" i="24"/>
  <c r="BV44" i="24"/>
  <c r="BV46" i="24"/>
  <c r="BV53" i="24"/>
  <c r="BU50" i="24"/>
  <c r="BU92" i="24"/>
  <c r="BV57" i="24" l="1"/>
  <c r="BW47" i="24"/>
  <c r="BW54" i="24"/>
  <c r="CH26" i="24"/>
  <c r="CG96" i="24"/>
  <c r="CH25" i="24"/>
  <c r="CH98" i="24" s="1"/>
  <c r="CG84" i="24"/>
  <c r="CG86" i="24"/>
  <c r="CG82" i="24"/>
  <c r="CG83" i="24"/>
  <c r="CG112" i="24"/>
  <c r="CG114" i="24"/>
  <c r="CG89" i="24"/>
  <c r="CG85" i="24"/>
  <c r="CG87" i="24"/>
  <c r="CG80" i="24"/>
  <c r="CG113" i="24"/>
  <c r="CG97" i="24"/>
  <c r="CG111" i="24"/>
  <c r="CG81" i="24"/>
  <c r="CG88" i="24"/>
  <c r="BV115" i="24"/>
  <c r="BV50" i="24"/>
  <c r="BX22" i="24"/>
  <c r="BX23" i="24"/>
  <c r="BW46" i="24"/>
  <c r="BW53" i="24"/>
  <c r="BW45" i="24"/>
  <c r="BW44" i="24"/>
  <c r="BV92" i="24"/>
  <c r="BW57" i="24" l="1"/>
  <c r="BX47" i="24"/>
  <c r="BX54" i="24"/>
  <c r="CI26" i="24"/>
  <c r="CH96" i="24"/>
  <c r="CI25" i="24"/>
  <c r="CI98" i="24" s="1"/>
  <c r="CH97" i="24"/>
  <c r="CH84" i="24"/>
  <c r="CH111" i="24"/>
  <c r="CH113" i="24"/>
  <c r="CH89" i="24"/>
  <c r="CH83" i="24"/>
  <c r="CH82" i="24"/>
  <c r="CH88" i="24"/>
  <c r="CH114" i="24"/>
  <c r="CH112" i="24"/>
  <c r="CH85" i="24"/>
  <c r="CH81" i="24"/>
  <c r="CH80" i="24"/>
  <c r="CH86" i="24"/>
  <c r="CH87" i="24"/>
  <c r="BW115" i="24"/>
  <c r="BW92" i="24"/>
  <c r="BY22" i="24"/>
  <c r="BW50" i="24"/>
  <c r="BY23" i="24"/>
  <c r="BX46" i="24"/>
  <c r="BX53" i="24"/>
  <c r="BX44" i="24"/>
  <c r="BX45" i="24"/>
  <c r="BX57" i="24" l="1"/>
  <c r="BY47" i="24"/>
  <c r="BY54" i="24"/>
  <c r="CJ26" i="24"/>
  <c r="CI96" i="24"/>
  <c r="CJ25" i="24"/>
  <c r="CJ98" i="24" s="1"/>
  <c r="CI113" i="24"/>
  <c r="CI80" i="24"/>
  <c r="CI83" i="24"/>
  <c r="CI88" i="24"/>
  <c r="CI81" i="24"/>
  <c r="CI84" i="24"/>
  <c r="CI89" i="24"/>
  <c r="CI86" i="24"/>
  <c r="CI114" i="24"/>
  <c r="CI85" i="24"/>
  <c r="CI112" i="24"/>
  <c r="CI97" i="24"/>
  <c r="CI87" i="24"/>
  <c r="CI82" i="24"/>
  <c r="CI111" i="24"/>
  <c r="BX115" i="24"/>
  <c r="BX50" i="24"/>
  <c r="BZ23" i="24"/>
  <c r="BY46" i="24"/>
  <c r="BY53" i="24"/>
  <c r="BY45" i="24"/>
  <c r="BY44" i="24"/>
  <c r="BZ22" i="24"/>
  <c r="BX92" i="24"/>
  <c r="BY57" i="24" l="1"/>
  <c r="BZ47" i="24"/>
  <c r="BZ54" i="24"/>
  <c r="CK26" i="24"/>
  <c r="CJ96" i="24"/>
  <c r="CK25" i="24"/>
  <c r="CK98" i="24" s="1"/>
  <c r="CJ87" i="24"/>
  <c r="CJ81" i="24"/>
  <c r="CJ89" i="24"/>
  <c r="CJ83" i="24"/>
  <c r="CJ86" i="24"/>
  <c r="CJ85" i="24"/>
  <c r="CJ84" i="24"/>
  <c r="CJ112" i="24"/>
  <c r="CJ97" i="24"/>
  <c r="CJ114" i="24"/>
  <c r="CJ111" i="24"/>
  <c r="CJ80" i="24"/>
  <c r="CJ88" i="24"/>
  <c r="CJ82" i="24"/>
  <c r="CJ113" i="24"/>
  <c r="BY115" i="24"/>
  <c r="CA22" i="24"/>
  <c r="BY50" i="24"/>
  <c r="BY92" i="24"/>
  <c r="CA23" i="24"/>
  <c r="BZ46" i="24"/>
  <c r="BZ44" i="24"/>
  <c r="BZ53" i="24"/>
  <c r="BZ45" i="24"/>
  <c r="BZ57" i="24" l="1"/>
  <c r="CA47" i="24"/>
  <c r="CA54" i="24"/>
  <c r="CL26" i="24"/>
  <c r="CK96" i="24"/>
  <c r="CL25" i="24"/>
  <c r="CL98" i="24" s="1"/>
  <c r="CK113" i="24"/>
  <c r="CK82" i="24"/>
  <c r="CK87" i="24"/>
  <c r="CK83" i="24"/>
  <c r="CK85" i="24"/>
  <c r="CK114" i="24"/>
  <c r="CK81" i="24"/>
  <c r="CK80" i="24"/>
  <c r="CK89" i="24"/>
  <c r="CK97" i="24"/>
  <c r="CK111" i="24"/>
  <c r="CK88" i="24"/>
  <c r="CK84" i="24"/>
  <c r="CK86" i="24"/>
  <c r="CK112" i="24"/>
  <c r="BZ115" i="24"/>
  <c r="BZ92" i="24"/>
  <c r="CB22" i="24"/>
  <c r="BZ50" i="24"/>
  <c r="CB23" i="24"/>
  <c r="CA53" i="24"/>
  <c r="CA44" i="24"/>
  <c r="CA45" i="24"/>
  <c r="CA46" i="24"/>
  <c r="CA92" i="24"/>
  <c r="CA57" i="24" l="1"/>
  <c r="CB47" i="24"/>
  <c r="CB54" i="24"/>
  <c r="CM26" i="24"/>
  <c r="CL96" i="24"/>
  <c r="CM25" i="24"/>
  <c r="CM98" i="24" s="1"/>
  <c r="CL80" i="24"/>
  <c r="CL88" i="24"/>
  <c r="CL83" i="24"/>
  <c r="CL84" i="24"/>
  <c r="CL114" i="24"/>
  <c r="CL112" i="24"/>
  <c r="CL89" i="24"/>
  <c r="CL111" i="24"/>
  <c r="CL86" i="24"/>
  <c r="CL82" i="24"/>
  <c r="CL85" i="24"/>
  <c r="CL113" i="24"/>
  <c r="CL81" i="24"/>
  <c r="CL87" i="24"/>
  <c r="CL97" i="24"/>
  <c r="CA115" i="24"/>
  <c r="CC23" i="24"/>
  <c r="CB46" i="24"/>
  <c r="CB53" i="24"/>
  <c r="CB45" i="24"/>
  <c r="CB44" i="24"/>
  <c r="CC22" i="24"/>
  <c r="CA50" i="24"/>
  <c r="CC47" i="24" l="1"/>
  <c r="CC54" i="24"/>
  <c r="CN26" i="24"/>
  <c r="CM96" i="24"/>
  <c r="CB57" i="24"/>
  <c r="CN25" i="24"/>
  <c r="CN98" i="24" s="1"/>
  <c r="CM80" i="24"/>
  <c r="CM82" i="24"/>
  <c r="CM89" i="24"/>
  <c r="CM86" i="24"/>
  <c r="CM81" i="24"/>
  <c r="CM114" i="24"/>
  <c r="CM111" i="24"/>
  <c r="CM85" i="24"/>
  <c r="CM83" i="24"/>
  <c r="CM113" i="24"/>
  <c r="CM88" i="24"/>
  <c r="CM84" i="24"/>
  <c r="CM112" i="24"/>
  <c r="CM87" i="24"/>
  <c r="CM97" i="24"/>
  <c r="CB115" i="24"/>
  <c r="CD22" i="24"/>
  <c r="CD23" i="24"/>
  <c r="CC46" i="24"/>
  <c r="CC44" i="24"/>
  <c r="CC53" i="24"/>
  <c r="CC45" i="24"/>
  <c r="CB50" i="24"/>
  <c r="CB92" i="24"/>
  <c r="CC57" i="24" l="1"/>
  <c r="CD47" i="24"/>
  <c r="CD54" i="24"/>
  <c r="CO26" i="24"/>
  <c r="CN96" i="24"/>
  <c r="CO25" i="24"/>
  <c r="CO98" i="24" s="1"/>
  <c r="CN87" i="24"/>
  <c r="CN83" i="24"/>
  <c r="CN112" i="24"/>
  <c r="CN89" i="24"/>
  <c r="CN88" i="24"/>
  <c r="CN111" i="24"/>
  <c r="CN114" i="24"/>
  <c r="CN80" i="24"/>
  <c r="CN81" i="24"/>
  <c r="CN85" i="24"/>
  <c r="CN113" i="24"/>
  <c r="CN86" i="24"/>
  <c r="CN82" i="24"/>
  <c r="CN97" i="24"/>
  <c r="CN84" i="24"/>
  <c r="CC115" i="24"/>
  <c r="CC92" i="24"/>
  <c r="CC50" i="24"/>
  <c r="CE22" i="24"/>
  <c r="CE23" i="24"/>
  <c r="CD46" i="24"/>
  <c r="CD53" i="24"/>
  <c r="CD44" i="24"/>
  <c r="CD45" i="24"/>
  <c r="CD57" i="24" l="1"/>
  <c r="CE47" i="24"/>
  <c r="CE54" i="24"/>
  <c r="CP26" i="24"/>
  <c r="CO96" i="24"/>
  <c r="CP25" i="24"/>
  <c r="CP98" i="24" s="1"/>
  <c r="CO111" i="24"/>
  <c r="CO83" i="24"/>
  <c r="CO82" i="24"/>
  <c r="CO81" i="24"/>
  <c r="CO114" i="24"/>
  <c r="CO89" i="24"/>
  <c r="CO113" i="24"/>
  <c r="CO84" i="24"/>
  <c r="CO86" i="24"/>
  <c r="CO80" i="24"/>
  <c r="CO112" i="24"/>
  <c r="CO88" i="24"/>
  <c r="CO85" i="24"/>
  <c r="CO97" i="24"/>
  <c r="CO87" i="24"/>
  <c r="CD115" i="24"/>
  <c r="CD92" i="24"/>
  <c r="CF23" i="24"/>
  <c r="CE46" i="24"/>
  <c r="CE53" i="24"/>
  <c r="CE45" i="24"/>
  <c r="CE44" i="24"/>
  <c r="CD50" i="24"/>
  <c r="CF22" i="24"/>
  <c r="CE57" i="24" l="1"/>
  <c r="CF47" i="24"/>
  <c r="CF54" i="24"/>
  <c r="CQ26" i="24"/>
  <c r="CP96" i="24"/>
  <c r="CQ25" i="24"/>
  <c r="CQ98" i="24" s="1"/>
  <c r="CP112" i="24"/>
  <c r="CP82" i="24"/>
  <c r="CP97" i="24"/>
  <c r="CP88" i="24"/>
  <c r="CP81" i="24"/>
  <c r="CP87" i="24"/>
  <c r="CP89" i="24"/>
  <c r="CP113" i="24"/>
  <c r="CP114" i="24"/>
  <c r="CP86" i="24"/>
  <c r="CP111" i="24"/>
  <c r="CP83" i="24"/>
  <c r="CP80" i="24"/>
  <c r="CP85" i="24"/>
  <c r="CP84" i="24"/>
  <c r="CE115" i="24"/>
  <c r="CE92" i="24"/>
  <c r="CG22" i="24"/>
  <c r="CE50" i="24"/>
  <c r="CG23" i="24"/>
  <c r="CF46" i="24"/>
  <c r="CF53" i="24"/>
  <c r="CF45" i="24"/>
  <c r="CF44" i="24"/>
  <c r="CF57" i="24" l="1"/>
  <c r="CG47" i="24"/>
  <c r="CG54" i="24"/>
  <c r="CR26" i="24"/>
  <c r="CQ96" i="24"/>
  <c r="CR25" i="24"/>
  <c r="CR98" i="24" s="1"/>
  <c r="CQ88" i="24"/>
  <c r="CQ112" i="24"/>
  <c r="CQ82" i="24"/>
  <c r="CQ111" i="24"/>
  <c r="CQ97" i="24"/>
  <c r="CQ114" i="24"/>
  <c r="CQ83" i="24"/>
  <c r="CQ84" i="24"/>
  <c r="CQ87" i="24"/>
  <c r="CQ89" i="24"/>
  <c r="CQ85" i="24"/>
  <c r="CQ80" i="24"/>
  <c r="CQ113" i="24"/>
  <c r="CQ86" i="24"/>
  <c r="CQ81" i="24"/>
  <c r="CF115" i="24"/>
  <c r="CF50" i="24"/>
  <c r="CF92" i="24"/>
  <c r="CH23" i="24"/>
  <c r="CG53" i="24"/>
  <c r="CG45" i="24"/>
  <c r="CG44" i="24"/>
  <c r="CG46" i="24"/>
  <c r="CH22" i="24"/>
  <c r="CG57" i="24" l="1"/>
  <c r="CH47" i="24"/>
  <c r="CH54" i="24"/>
  <c r="CS26" i="24"/>
  <c r="CR96" i="24"/>
  <c r="CS25" i="24"/>
  <c r="CS98" i="24" s="1"/>
  <c r="CR84" i="24"/>
  <c r="CR111" i="24"/>
  <c r="CR114" i="24"/>
  <c r="CR97" i="24"/>
  <c r="CR85" i="24"/>
  <c r="CR81" i="24"/>
  <c r="CR112" i="24"/>
  <c r="CR113" i="24"/>
  <c r="CR87" i="24"/>
  <c r="CR83" i="24"/>
  <c r="CR86" i="24"/>
  <c r="CR82" i="24"/>
  <c r="CR88" i="24"/>
  <c r="CR89" i="24"/>
  <c r="CR80" i="24"/>
  <c r="CG92" i="24"/>
  <c r="CG50" i="24"/>
  <c r="CI22" i="24"/>
  <c r="CI23" i="24"/>
  <c r="CH44" i="24"/>
  <c r="CH46" i="24"/>
  <c r="CH53" i="24"/>
  <c r="CH45" i="24"/>
  <c r="CH57" i="24" l="1"/>
  <c r="CI47" i="24"/>
  <c r="CI54" i="24"/>
  <c r="CT26" i="24"/>
  <c r="CS96" i="24"/>
  <c r="CT25" i="24"/>
  <c r="CT98" i="24" s="1"/>
  <c r="CS112" i="24"/>
  <c r="CS87" i="24"/>
  <c r="CS89" i="24"/>
  <c r="CS83" i="24"/>
  <c r="CS85" i="24"/>
  <c r="CS113" i="24"/>
  <c r="CS114" i="24"/>
  <c r="CS97" i="24"/>
  <c r="CS81" i="24"/>
  <c r="CS86" i="24"/>
  <c r="CS88" i="24"/>
  <c r="CS80" i="24"/>
  <c r="CS84" i="24"/>
  <c r="CS111" i="24"/>
  <c r="CS82" i="24"/>
  <c r="CH115" i="24"/>
  <c r="CH50" i="24"/>
  <c r="CJ22" i="24"/>
  <c r="CH92" i="24"/>
  <c r="CJ23" i="24"/>
  <c r="CI53" i="24"/>
  <c r="CI45" i="24"/>
  <c r="CI44" i="24"/>
  <c r="CI46" i="24"/>
  <c r="CI57" i="24" l="1"/>
  <c r="CJ47" i="24"/>
  <c r="CJ54" i="24"/>
  <c r="CU26" i="24"/>
  <c r="CT96" i="24"/>
  <c r="CU25" i="24"/>
  <c r="CU98" i="24" s="1"/>
  <c r="CT97" i="24"/>
  <c r="CT112" i="24"/>
  <c r="CT89" i="24"/>
  <c r="CT86" i="24"/>
  <c r="CT81" i="24"/>
  <c r="CT80" i="24"/>
  <c r="CT111" i="24"/>
  <c r="CT82" i="24"/>
  <c r="CT113" i="24"/>
  <c r="CT87" i="24"/>
  <c r="CT88" i="24"/>
  <c r="CT83" i="24"/>
  <c r="CT114" i="24"/>
  <c r="CT85" i="24"/>
  <c r="CT84" i="24"/>
  <c r="CI115" i="24"/>
  <c r="CI50" i="24"/>
  <c r="CI92" i="24"/>
  <c r="CK23" i="24"/>
  <c r="CJ45" i="24"/>
  <c r="CJ44" i="24"/>
  <c r="CJ46" i="24"/>
  <c r="CJ53" i="24"/>
  <c r="CK22" i="24"/>
  <c r="CJ57" i="24" l="1"/>
  <c r="CK47" i="24"/>
  <c r="CK54" i="24"/>
  <c r="CV26" i="24"/>
  <c r="CU96" i="24"/>
  <c r="CV25" i="24"/>
  <c r="CV98" i="24" s="1"/>
  <c r="CU87" i="24"/>
  <c r="CU97" i="24"/>
  <c r="CU111" i="24"/>
  <c r="CU113" i="24"/>
  <c r="CU80" i="24"/>
  <c r="CU84" i="24"/>
  <c r="CU89" i="24"/>
  <c r="CU85" i="24"/>
  <c r="CU114" i="24"/>
  <c r="CU81" i="24"/>
  <c r="CU83" i="24"/>
  <c r="CU88" i="24"/>
  <c r="CU86" i="24"/>
  <c r="CU82" i="24"/>
  <c r="CU112" i="24"/>
  <c r="CJ115" i="24"/>
  <c r="CJ50" i="24"/>
  <c r="CL23" i="24"/>
  <c r="CK46" i="24"/>
  <c r="CK53" i="24"/>
  <c r="CK45" i="24"/>
  <c r="CK44" i="24"/>
  <c r="CL22" i="24"/>
  <c r="CJ92" i="24"/>
  <c r="CK57" i="24" l="1"/>
  <c r="CL47" i="24"/>
  <c r="CL54" i="24"/>
  <c r="CW26" i="24"/>
  <c r="CV96" i="24"/>
  <c r="CW25" i="24"/>
  <c r="CW98" i="24" s="1"/>
  <c r="CV84" i="24"/>
  <c r="CV81" i="24"/>
  <c r="CV114" i="24"/>
  <c r="CV97" i="24"/>
  <c r="CV111" i="24"/>
  <c r="CV82" i="24"/>
  <c r="CV113" i="24"/>
  <c r="CV86" i="24"/>
  <c r="CV80" i="24"/>
  <c r="CV112" i="24"/>
  <c r="CV83" i="24"/>
  <c r="CV87" i="24"/>
  <c r="CV89" i="24"/>
  <c r="CV85" i="24"/>
  <c r="CV88" i="24"/>
  <c r="CK115" i="24"/>
  <c r="CK50" i="24"/>
  <c r="CK92" i="24"/>
  <c r="CM22" i="24"/>
  <c r="CM23" i="24"/>
  <c r="CL45" i="24"/>
  <c r="CL44" i="24"/>
  <c r="CL46" i="24"/>
  <c r="CL53" i="24"/>
  <c r="CL57" i="24" l="1"/>
  <c r="CM47" i="24"/>
  <c r="CM54" i="24"/>
  <c r="CX26" i="24"/>
  <c r="CW96" i="24"/>
  <c r="CX25" i="24"/>
  <c r="CX98" i="24" s="1"/>
  <c r="CW82" i="24"/>
  <c r="CW87" i="24"/>
  <c r="CW89" i="24"/>
  <c r="CW80" i="24"/>
  <c r="CW85" i="24"/>
  <c r="CW81" i="24"/>
  <c r="CW114" i="24"/>
  <c r="CW112" i="24"/>
  <c r="CW86" i="24"/>
  <c r="CW88" i="24"/>
  <c r="CW113" i="24"/>
  <c r="CW97" i="24"/>
  <c r="CW84" i="24"/>
  <c r="CW111" i="24"/>
  <c r="CW83" i="24"/>
  <c r="CL115" i="24"/>
  <c r="CN23" i="24"/>
  <c r="CM53" i="24"/>
  <c r="CM45" i="24"/>
  <c r="CM44" i="24"/>
  <c r="CM46" i="24"/>
  <c r="CL92" i="24"/>
  <c r="CL50" i="24"/>
  <c r="CN22" i="24"/>
  <c r="CM57" i="24" l="1"/>
  <c r="CN47" i="24"/>
  <c r="CN54" i="24"/>
  <c r="CY26" i="24"/>
  <c r="CX96" i="24"/>
  <c r="CY25" i="24"/>
  <c r="CY98" i="24" s="1"/>
  <c r="CX111" i="24"/>
  <c r="CX80" i="24"/>
  <c r="CX89" i="24"/>
  <c r="CX87" i="24"/>
  <c r="CX85" i="24"/>
  <c r="CX112" i="24"/>
  <c r="CX82" i="24"/>
  <c r="CX83" i="24"/>
  <c r="CX97" i="24"/>
  <c r="CX88" i="24"/>
  <c r="CX86" i="24"/>
  <c r="CX114" i="24"/>
  <c r="CX81" i="24"/>
  <c r="CX113" i="24"/>
  <c r="CX84" i="24"/>
  <c r="CM115" i="24"/>
  <c r="CM92" i="24"/>
  <c r="CO22" i="24"/>
  <c r="CM50" i="24"/>
  <c r="CO23" i="24"/>
  <c r="CN46" i="24"/>
  <c r="CN53" i="24"/>
  <c r="CN45" i="24"/>
  <c r="CN44" i="24"/>
  <c r="CO47" i="24" l="1"/>
  <c r="CO54" i="24"/>
  <c r="CZ26" i="24"/>
  <c r="CY96" i="24"/>
  <c r="CN57" i="24"/>
  <c r="CZ25" i="24"/>
  <c r="CZ98" i="24" s="1"/>
  <c r="CY114" i="24"/>
  <c r="CY83" i="24"/>
  <c r="CY112" i="24"/>
  <c r="CY88" i="24"/>
  <c r="CY111" i="24"/>
  <c r="CY113" i="24"/>
  <c r="CY81" i="24"/>
  <c r="CY85" i="24"/>
  <c r="CY84" i="24"/>
  <c r="CY87" i="24"/>
  <c r="CY86" i="24"/>
  <c r="CY97" i="24"/>
  <c r="CY80" i="24"/>
  <c r="CY89" i="24"/>
  <c r="CY82" i="24"/>
  <c r="CN115" i="24"/>
  <c r="CN50" i="24"/>
  <c r="CP22" i="24"/>
  <c r="CN92" i="24"/>
  <c r="CP23" i="24"/>
  <c r="CO53" i="24"/>
  <c r="CO45" i="24"/>
  <c r="CO44" i="24"/>
  <c r="CO46" i="24"/>
  <c r="CO57" i="24" l="1"/>
  <c r="CP47" i="24"/>
  <c r="CP54" i="24"/>
  <c r="DA26" i="24"/>
  <c r="CZ96" i="24"/>
  <c r="DA25" i="24"/>
  <c r="DA98" i="24" s="1"/>
  <c r="CZ83" i="24"/>
  <c r="CZ84" i="24"/>
  <c r="CZ86" i="24"/>
  <c r="CZ81" i="24"/>
  <c r="CZ80" i="24"/>
  <c r="CZ89" i="24"/>
  <c r="CZ88" i="24"/>
  <c r="CZ112" i="24"/>
  <c r="CZ97" i="24"/>
  <c r="CZ113" i="24"/>
  <c r="CZ82" i="24"/>
  <c r="CZ111" i="24"/>
  <c r="CZ87" i="24"/>
  <c r="CZ114" i="24"/>
  <c r="CZ85" i="24"/>
  <c r="CO115" i="24"/>
  <c r="CQ22" i="24"/>
  <c r="CO92" i="24"/>
  <c r="CO50" i="24"/>
  <c r="CQ23" i="24"/>
  <c r="CP46" i="24"/>
  <c r="CP53" i="24"/>
  <c r="CP45" i="24"/>
  <c r="CP44" i="24"/>
  <c r="CP57" i="24" l="1"/>
  <c r="CQ47" i="24"/>
  <c r="CQ54" i="24"/>
  <c r="DB26" i="24"/>
  <c r="DA96" i="24"/>
  <c r="DB25" i="24"/>
  <c r="DB98" i="24" s="1"/>
  <c r="DA112" i="24"/>
  <c r="DA113" i="24"/>
  <c r="DA80" i="24"/>
  <c r="DA82" i="24"/>
  <c r="DA88" i="24"/>
  <c r="DA83" i="24"/>
  <c r="DA111" i="24"/>
  <c r="DA114" i="24"/>
  <c r="DA89" i="24"/>
  <c r="DA81" i="24"/>
  <c r="DA97" i="24"/>
  <c r="DA85" i="24"/>
  <c r="DA87" i="24"/>
  <c r="DA84" i="24"/>
  <c r="DA86" i="24"/>
  <c r="CP115" i="24"/>
  <c r="CP92" i="24"/>
  <c r="CR23" i="24"/>
  <c r="CQ44" i="24"/>
  <c r="CQ46" i="24"/>
  <c r="CQ53" i="24"/>
  <c r="CQ45" i="24"/>
  <c r="CP50" i="24"/>
  <c r="CR22" i="24"/>
  <c r="CQ57" i="24" l="1"/>
  <c r="CR47" i="24"/>
  <c r="CR54" i="24"/>
  <c r="DC26" i="24"/>
  <c r="DB96" i="24"/>
  <c r="DC25" i="24"/>
  <c r="DC98" i="24" s="1"/>
  <c r="DB112" i="24"/>
  <c r="DB80" i="24"/>
  <c r="DB87" i="24"/>
  <c r="DB114" i="24"/>
  <c r="DB111" i="24"/>
  <c r="DB81" i="24"/>
  <c r="DB113" i="24"/>
  <c r="DB86" i="24"/>
  <c r="DB85" i="24"/>
  <c r="DB84" i="24"/>
  <c r="DB89" i="24"/>
  <c r="DB97" i="24"/>
  <c r="DB82" i="24"/>
  <c r="DB83" i="24"/>
  <c r="DB88" i="24"/>
  <c r="CQ115" i="24"/>
  <c r="CS22" i="24"/>
  <c r="CS23" i="24"/>
  <c r="CR46" i="24"/>
  <c r="CR53" i="24"/>
  <c r="CR45" i="24"/>
  <c r="CR44" i="24"/>
  <c r="CQ92" i="24"/>
  <c r="CQ50" i="24"/>
  <c r="CR57" i="24" l="1"/>
  <c r="CS47" i="24"/>
  <c r="CS54" i="24"/>
  <c r="DD26" i="24"/>
  <c r="DC96" i="24"/>
  <c r="DD25" i="24"/>
  <c r="DD98" i="24" s="1"/>
  <c r="DC89" i="24"/>
  <c r="DC114" i="24"/>
  <c r="DC87" i="24"/>
  <c r="DC112" i="24"/>
  <c r="DC88" i="24"/>
  <c r="DC84" i="24"/>
  <c r="DC83" i="24"/>
  <c r="DC86" i="24"/>
  <c r="DC82" i="24"/>
  <c r="DC113" i="24"/>
  <c r="DC81" i="24"/>
  <c r="DC85" i="24"/>
  <c r="DC80" i="24"/>
  <c r="DC111" i="24"/>
  <c r="DC97" i="24"/>
  <c r="CR115" i="24"/>
  <c r="CR92" i="24"/>
  <c r="CT22" i="24"/>
  <c r="CT23" i="24"/>
  <c r="CS45" i="24"/>
  <c r="CS44" i="24"/>
  <c r="CS53" i="24"/>
  <c r="CS46" i="24"/>
  <c r="CR50" i="24"/>
  <c r="CS57" i="24" l="1"/>
  <c r="CT47" i="24"/>
  <c r="CT54" i="24"/>
  <c r="DE26" i="24"/>
  <c r="DD96" i="24"/>
  <c r="DE25" i="24"/>
  <c r="DE98" i="24" s="1"/>
  <c r="DD84" i="24"/>
  <c r="DD83" i="24"/>
  <c r="DD112" i="24"/>
  <c r="DD88" i="24"/>
  <c r="DD82" i="24"/>
  <c r="DD114" i="24"/>
  <c r="DD80" i="24"/>
  <c r="DD86" i="24"/>
  <c r="DD89" i="24"/>
  <c r="DD81" i="24"/>
  <c r="DD85" i="24"/>
  <c r="DD87" i="24"/>
  <c r="DD97" i="24"/>
  <c r="DD111" i="24"/>
  <c r="DD113" i="24"/>
  <c r="CS115" i="24"/>
  <c r="CS50" i="24"/>
  <c r="CU22" i="24"/>
  <c r="CU23" i="24"/>
  <c r="CT46" i="24"/>
  <c r="CT53" i="24"/>
  <c r="CT45" i="24"/>
  <c r="CT44" i="24"/>
  <c r="CS92" i="24"/>
  <c r="CT57" i="24" l="1"/>
  <c r="CU47" i="24"/>
  <c r="CU54" i="24"/>
  <c r="DF26" i="24"/>
  <c r="DE96" i="24"/>
  <c r="DF25" i="24"/>
  <c r="DF98" i="24" s="1"/>
  <c r="DE112" i="24"/>
  <c r="DE114" i="24"/>
  <c r="DE84" i="24"/>
  <c r="DE86" i="24"/>
  <c r="DE80" i="24"/>
  <c r="DE111" i="24"/>
  <c r="DE83" i="24"/>
  <c r="DE88" i="24"/>
  <c r="DE87" i="24"/>
  <c r="DE89" i="24"/>
  <c r="DE97" i="24"/>
  <c r="DE82" i="24"/>
  <c r="DE85" i="24"/>
  <c r="DE81" i="24"/>
  <c r="DE113" i="24"/>
  <c r="CT115" i="24"/>
  <c r="CV23" i="24"/>
  <c r="CU53" i="24"/>
  <c r="CU45" i="24"/>
  <c r="CU46" i="24"/>
  <c r="CU44" i="24"/>
  <c r="CT50" i="24"/>
  <c r="CT92" i="24"/>
  <c r="CV22" i="24"/>
  <c r="CU57" i="24" l="1"/>
  <c r="CV47" i="24"/>
  <c r="CV54" i="24"/>
  <c r="DG26" i="24"/>
  <c r="DF96" i="24"/>
  <c r="DG25" i="24"/>
  <c r="DG98" i="24" s="1"/>
  <c r="DF81" i="24"/>
  <c r="DF97" i="24"/>
  <c r="DF111" i="24"/>
  <c r="DF88" i="24"/>
  <c r="DF114" i="24"/>
  <c r="DF85" i="24"/>
  <c r="DF89" i="24"/>
  <c r="DF80" i="24"/>
  <c r="DF112" i="24"/>
  <c r="DF82" i="24"/>
  <c r="DF113" i="24"/>
  <c r="DF87" i="24"/>
  <c r="DF86" i="24"/>
  <c r="DF83" i="24"/>
  <c r="DF84" i="24"/>
  <c r="CU115" i="24"/>
  <c r="CW22" i="24"/>
  <c r="CW23" i="24"/>
  <c r="CV46" i="24"/>
  <c r="CV53" i="24"/>
  <c r="CV45" i="24"/>
  <c r="CV44" i="24"/>
  <c r="CU50" i="24"/>
  <c r="CU92" i="24"/>
  <c r="CV57" i="24" l="1"/>
  <c r="CW47" i="24"/>
  <c r="CW54" i="24"/>
  <c r="DH26" i="24"/>
  <c r="DG96" i="24"/>
  <c r="DH25" i="24"/>
  <c r="DH98" i="24" s="1"/>
  <c r="DG97" i="24"/>
  <c r="DG85" i="24"/>
  <c r="DG86" i="24"/>
  <c r="DG87" i="24"/>
  <c r="DG80" i="24"/>
  <c r="DG84" i="24"/>
  <c r="DG114" i="24"/>
  <c r="DG113" i="24"/>
  <c r="DG89" i="24"/>
  <c r="DG111" i="24"/>
  <c r="DG81" i="24"/>
  <c r="DG83" i="24"/>
  <c r="DG82" i="24"/>
  <c r="DG112" i="24"/>
  <c r="DG88" i="24"/>
  <c r="CV115" i="24"/>
  <c r="CV92" i="24"/>
  <c r="CV50" i="24"/>
  <c r="CX22" i="24"/>
  <c r="CX23" i="24"/>
  <c r="CW53" i="24"/>
  <c r="CW44" i="24"/>
  <c r="CW46" i="24"/>
  <c r="CW45" i="24"/>
  <c r="CW57" i="24" l="1"/>
  <c r="CX47" i="24"/>
  <c r="CX54" i="24"/>
  <c r="DI26" i="24"/>
  <c r="DH96" i="24"/>
  <c r="DI25" i="24"/>
  <c r="DI98" i="24" s="1"/>
  <c r="DH81" i="24"/>
  <c r="DH88" i="24"/>
  <c r="DH85" i="24"/>
  <c r="DH87" i="24"/>
  <c r="DH82" i="24"/>
  <c r="DH83" i="24"/>
  <c r="DH86" i="24"/>
  <c r="DH114" i="24"/>
  <c r="DH80" i="24"/>
  <c r="DH111" i="24"/>
  <c r="DH112" i="24"/>
  <c r="DH84" i="24"/>
  <c r="DH113" i="24"/>
  <c r="DH97" i="24"/>
  <c r="DH89" i="24"/>
  <c r="CW115" i="24"/>
  <c r="CW92" i="24"/>
  <c r="CY23" i="24"/>
  <c r="CX46" i="24"/>
  <c r="CX53" i="24"/>
  <c r="CX44" i="24"/>
  <c r="CX45" i="24"/>
  <c r="CW50" i="24"/>
  <c r="CY22" i="24"/>
  <c r="CX57" i="24" l="1"/>
  <c r="CY47" i="24"/>
  <c r="CY54" i="24"/>
  <c r="DJ26" i="24"/>
  <c r="DI96" i="24"/>
  <c r="DJ25" i="24"/>
  <c r="DJ98" i="24" s="1"/>
  <c r="DI80" i="24"/>
  <c r="DI81" i="24"/>
  <c r="DI86" i="24"/>
  <c r="DI88" i="24"/>
  <c r="DI113" i="24"/>
  <c r="DI97" i="24"/>
  <c r="DI84" i="24"/>
  <c r="DI82" i="24"/>
  <c r="DI111" i="24"/>
  <c r="DI112" i="24"/>
  <c r="DI89" i="24"/>
  <c r="DI114" i="24"/>
  <c r="DI85" i="24"/>
  <c r="DI87" i="24"/>
  <c r="DI83" i="24"/>
  <c r="CX115" i="24"/>
  <c r="CX92" i="24"/>
  <c r="CX50" i="24"/>
  <c r="CZ22" i="24"/>
  <c r="CZ23" i="24"/>
  <c r="CY53" i="24"/>
  <c r="CY44" i="24"/>
  <c r="CY45" i="24"/>
  <c r="CY46" i="24"/>
  <c r="CY57" i="24" l="1"/>
  <c r="CZ47" i="24"/>
  <c r="CZ54" i="24"/>
  <c r="DK26" i="24"/>
  <c r="DJ96" i="24"/>
  <c r="DK25" i="24"/>
  <c r="DK98" i="24" s="1"/>
  <c r="DJ80" i="24"/>
  <c r="DJ87" i="24"/>
  <c r="DJ88" i="24"/>
  <c r="DJ97" i="24"/>
  <c r="DJ84" i="24"/>
  <c r="DJ113" i="24"/>
  <c r="DJ89" i="24"/>
  <c r="DJ86" i="24"/>
  <c r="DJ111" i="24"/>
  <c r="DJ81" i="24"/>
  <c r="DJ112" i="24"/>
  <c r="DJ114" i="24"/>
  <c r="DJ82" i="24"/>
  <c r="DJ85" i="24"/>
  <c r="DJ83" i="24"/>
  <c r="CY115" i="24"/>
  <c r="DA23" i="24"/>
  <c r="CZ46" i="24"/>
  <c r="CZ53" i="24"/>
  <c r="CZ45" i="24"/>
  <c r="CZ44" i="24"/>
  <c r="CY92" i="24"/>
  <c r="CY50" i="24"/>
  <c r="DA22" i="24"/>
  <c r="DA47" i="24" l="1"/>
  <c r="DA54" i="24"/>
  <c r="DL26" i="24"/>
  <c r="DK96" i="24"/>
  <c r="CZ57" i="24"/>
  <c r="DL25" i="24"/>
  <c r="DL98" i="24" s="1"/>
  <c r="DK87" i="24"/>
  <c r="DK83" i="24"/>
  <c r="DK113" i="24"/>
  <c r="DK81" i="24"/>
  <c r="DK84" i="24"/>
  <c r="DK111" i="24"/>
  <c r="DK114" i="24"/>
  <c r="DK88" i="24"/>
  <c r="DK80" i="24"/>
  <c r="DK112" i="24"/>
  <c r="DK86" i="24"/>
  <c r="DK89" i="24"/>
  <c r="DK82" i="24"/>
  <c r="DK97" i="24"/>
  <c r="DK85" i="24"/>
  <c r="CZ115" i="24"/>
  <c r="CZ92" i="24"/>
  <c r="DB22" i="24"/>
  <c r="CZ50" i="24"/>
  <c r="DB23" i="24"/>
  <c r="DA45" i="24"/>
  <c r="DA44" i="24"/>
  <c r="DA46" i="24"/>
  <c r="DA53" i="24"/>
  <c r="DA57" i="24" l="1"/>
  <c r="DB47" i="24"/>
  <c r="DB54" i="24"/>
  <c r="DM26" i="24"/>
  <c r="DL96" i="24"/>
  <c r="DM25" i="24"/>
  <c r="DM98" i="24" s="1"/>
  <c r="DL111" i="24"/>
  <c r="DL84" i="24"/>
  <c r="DL113" i="24"/>
  <c r="DL82" i="24"/>
  <c r="DL85" i="24"/>
  <c r="DL89" i="24"/>
  <c r="DL112" i="24"/>
  <c r="DL80" i="24"/>
  <c r="DL83" i="24"/>
  <c r="DL88" i="24"/>
  <c r="DL97" i="24"/>
  <c r="DL87" i="24"/>
  <c r="DL81" i="24"/>
  <c r="DL114" i="24"/>
  <c r="DL86" i="24"/>
  <c r="DA115" i="24"/>
  <c r="DC22" i="24"/>
  <c r="DA92" i="24"/>
  <c r="DA50" i="24"/>
  <c r="DC23" i="24"/>
  <c r="DB53" i="24"/>
  <c r="DB45" i="24"/>
  <c r="DB46" i="24"/>
  <c r="DB44" i="24"/>
  <c r="DB57" i="24" l="1"/>
  <c r="DC47" i="24"/>
  <c r="DC54" i="24"/>
  <c r="DN26" i="24"/>
  <c r="DM96" i="24"/>
  <c r="DN25" i="24"/>
  <c r="DN98" i="24" s="1"/>
  <c r="DM88" i="24"/>
  <c r="DM113" i="24"/>
  <c r="DM85" i="24"/>
  <c r="DM87" i="24"/>
  <c r="DM80" i="24"/>
  <c r="DM114" i="24"/>
  <c r="DM81" i="24"/>
  <c r="DM89" i="24"/>
  <c r="DM83" i="24"/>
  <c r="DM84" i="24"/>
  <c r="DM86" i="24"/>
  <c r="DM112" i="24"/>
  <c r="DM97" i="24"/>
  <c r="DM82" i="24"/>
  <c r="DM111" i="24"/>
  <c r="DB115" i="24"/>
  <c r="DD23" i="24"/>
  <c r="DC46" i="24"/>
  <c r="DC53" i="24"/>
  <c r="DC44" i="24"/>
  <c r="DC45" i="24"/>
  <c r="DB92" i="24"/>
  <c r="DD22" i="24"/>
  <c r="DB50" i="24"/>
  <c r="DC57" i="24" l="1"/>
  <c r="DD47" i="24"/>
  <c r="DD54" i="24"/>
  <c r="DO26" i="24"/>
  <c r="DN96" i="24"/>
  <c r="DO25" i="24"/>
  <c r="DO98" i="24" s="1"/>
  <c r="DN83" i="24"/>
  <c r="DN87" i="24"/>
  <c r="DN88" i="24"/>
  <c r="DN111" i="24"/>
  <c r="DN114" i="24"/>
  <c r="DN81" i="24"/>
  <c r="DN84" i="24"/>
  <c r="DN80" i="24"/>
  <c r="DN113" i="24"/>
  <c r="DN86" i="24"/>
  <c r="DN85" i="24"/>
  <c r="DN89" i="24"/>
  <c r="DN97" i="24"/>
  <c r="DN82" i="24"/>
  <c r="DN112" i="24"/>
  <c r="DC115" i="24"/>
  <c r="DC50" i="24"/>
  <c r="DE23" i="24"/>
  <c r="DD53" i="24"/>
  <c r="DD45" i="24"/>
  <c r="DD44" i="24"/>
  <c r="DD46" i="24"/>
  <c r="DE22" i="24"/>
  <c r="DC92" i="24"/>
  <c r="DD57" i="24" l="1"/>
  <c r="DE47" i="24"/>
  <c r="DE54" i="24"/>
  <c r="DP26" i="24"/>
  <c r="DO96" i="24"/>
  <c r="DP25" i="24"/>
  <c r="DP98" i="24" s="1"/>
  <c r="DO88" i="24"/>
  <c r="DO82" i="24"/>
  <c r="DO89" i="24"/>
  <c r="DO83" i="24"/>
  <c r="DO114" i="24"/>
  <c r="DO81" i="24"/>
  <c r="DO80" i="24"/>
  <c r="DO87" i="24"/>
  <c r="DO111" i="24"/>
  <c r="DO112" i="24"/>
  <c r="DO113" i="24"/>
  <c r="DO84" i="24"/>
  <c r="DO97" i="24"/>
  <c r="DO86" i="24"/>
  <c r="DO85" i="24"/>
  <c r="DD115" i="24"/>
  <c r="DD50" i="24"/>
  <c r="DD92" i="24"/>
  <c r="DF22" i="24"/>
  <c r="DF23" i="24"/>
  <c r="DE46" i="24"/>
  <c r="DE53" i="24"/>
  <c r="DE44" i="24"/>
  <c r="DE45" i="24"/>
  <c r="DE57" i="24" l="1"/>
  <c r="DF47" i="24"/>
  <c r="DF54" i="24"/>
  <c r="DQ26" i="24"/>
  <c r="DP96" i="24"/>
  <c r="DQ25" i="24"/>
  <c r="DQ98" i="24" s="1"/>
  <c r="DP83" i="24"/>
  <c r="DP113" i="24"/>
  <c r="DP111" i="24"/>
  <c r="DP112" i="24"/>
  <c r="DP89" i="24"/>
  <c r="DP81" i="24"/>
  <c r="DP97" i="24"/>
  <c r="DP114" i="24"/>
  <c r="DP80" i="24"/>
  <c r="DP87" i="24"/>
  <c r="DP85" i="24"/>
  <c r="DP88" i="24"/>
  <c r="DP82" i="24"/>
  <c r="DP86" i="24"/>
  <c r="DP84" i="24"/>
  <c r="DE115" i="24"/>
  <c r="DG22" i="24"/>
  <c r="DE92" i="24"/>
  <c r="DE50" i="24"/>
  <c r="DG23" i="24"/>
  <c r="DF46" i="24"/>
  <c r="DF53" i="24"/>
  <c r="DF45" i="24"/>
  <c r="DF44" i="24"/>
  <c r="DF57" i="24" l="1"/>
  <c r="DG47" i="24"/>
  <c r="DG54" i="24"/>
  <c r="DR26" i="24"/>
  <c r="DQ96" i="24"/>
  <c r="DR25" i="24"/>
  <c r="DR98" i="24" s="1"/>
  <c r="DQ113" i="24"/>
  <c r="DQ81" i="24"/>
  <c r="DQ88" i="24"/>
  <c r="DQ84" i="24"/>
  <c r="DQ86" i="24"/>
  <c r="DQ83" i="24"/>
  <c r="DQ111" i="24"/>
  <c r="DQ82" i="24"/>
  <c r="DQ112" i="24"/>
  <c r="DQ89" i="24"/>
  <c r="DQ85" i="24"/>
  <c r="DQ97" i="24"/>
  <c r="DQ87" i="24"/>
  <c r="DQ114" i="24"/>
  <c r="DQ80" i="24"/>
  <c r="DG115" i="24"/>
  <c r="DF115" i="24"/>
  <c r="DF92" i="24"/>
  <c r="DH23" i="24"/>
  <c r="DG44" i="24"/>
  <c r="DG46" i="24"/>
  <c r="DG53" i="24"/>
  <c r="DG57" i="24" s="1"/>
  <c r="DG45" i="24"/>
  <c r="DF50" i="24"/>
  <c r="DH22" i="24"/>
  <c r="DH47" i="24" l="1"/>
  <c r="DH54" i="24"/>
  <c r="DS26" i="24"/>
  <c r="DR96" i="24"/>
  <c r="DS25" i="24"/>
  <c r="DS98" i="24" s="1"/>
  <c r="DR80" i="24"/>
  <c r="DR114" i="24"/>
  <c r="DR86" i="24"/>
  <c r="DR82" i="24"/>
  <c r="DR83" i="24"/>
  <c r="DR112" i="24"/>
  <c r="DR89" i="24"/>
  <c r="DR88" i="24"/>
  <c r="DR84" i="24"/>
  <c r="DR111" i="24"/>
  <c r="DR85" i="24"/>
  <c r="DR97" i="24"/>
  <c r="DR113" i="24"/>
  <c r="DR87" i="24"/>
  <c r="DR81" i="24"/>
  <c r="DI22" i="24"/>
  <c r="DI23" i="24"/>
  <c r="DH45" i="24"/>
  <c r="DH44" i="24"/>
  <c r="DH46" i="24"/>
  <c r="DH53" i="24"/>
  <c r="DG92" i="24"/>
  <c r="DG50" i="24"/>
  <c r="DH57" i="24" l="1"/>
  <c r="DI47" i="24"/>
  <c r="DI54" i="24"/>
  <c r="DT26" i="24"/>
  <c r="DS96" i="24"/>
  <c r="DT25" i="24"/>
  <c r="DT98" i="24" s="1"/>
  <c r="DS80" i="24"/>
  <c r="DS97" i="24"/>
  <c r="DS111" i="24"/>
  <c r="DS85" i="24"/>
  <c r="DS114" i="24"/>
  <c r="DS89" i="24"/>
  <c r="DS88" i="24"/>
  <c r="DS112" i="24"/>
  <c r="DS81" i="24"/>
  <c r="DS82" i="24"/>
  <c r="DS86" i="24"/>
  <c r="DS113" i="24"/>
  <c r="DS83" i="24"/>
  <c r="DS84" i="24"/>
  <c r="DS87" i="24"/>
  <c r="DH115" i="24"/>
  <c r="DH92" i="24"/>
  <c r="DH50" i="24"/>
  <c r="DJ22" i="24"/>
  <c r="DJ23" i="24"/>
  <c r="DI46" i="24"/>
  <c r="DI53" i="24"/>
  <c r="DI45" i="24"/>
  <c r="DI44" i="24"/>
  <c r="DI57" i="24" l="1"/>
  <c r="DJ47" i="24"/>
  <c r="DJ54" i="24"/>
  <c r="DU26" i="24"/>
  <c r="DT96" i="24"/>
  <c r="DU25" i="24"/>
  <c r="DU98" i="24" s="1"/>
  <c r="DT111" i="24"/>
  <c r="DT113" i="24"/>
  <c r="DT87" i="24"/>
  <c r="DT84" i="24"/>
  <c r="DT85" i="24"/>
  <c r="DT83" i="24"/>
  <c r="DT86" i="24"/>
  <c r="DT88" i="24"/>
  <c r="DT80" i="24"/>
  <c r="DT82" i="24"/>
  <c r="DT89" i="24"/>
  <c r="DT114" i="24"/>
  <c r="DT97" i="24"/>
  <c r="DT112" i="24"/>
  <c r="DT81" i="24"/>
  <c r="DI115" i="24"/>
  <c r="DI92" i="24"/>
  <c r="DK23" i="24"/>
  <c r="DJ46" i="24"/>
  <c r="DJ44" i="24"/>
  <c r="DJ53" i="24"/>
  <c r="DJ45" i="24"/>
  <c r="DK22" i="24"/>
  <c r="DI50" i="24"/>
  <c r="DJ57" i="24" l="1"/>
  <c r="DK47" i="24"/>
  <c r="DK54" i="24"/>
  <c r="DV26" i="24"/>
  <c r="DU96" i="24"/>
  <c r="DV25" i="24"/>
  <c r="DV98" i="24" s="1"/>
  <c r="DU88" i="24"/>
  <c r="DU112" i="24"/>
  <c r="DU97" i="24"/>
  <c r="DU114" i="24"/>
  <c r="DU85" i="24"/>
  <c r="DU82" i="24"/>
  <c r="DU83" i="24"/>
  <c r="DU89" i="24"/>
  <c r="DU81" i="24"/>
  <c r="DU87" i="24"/>
  <c r="DU80" i="24"/>
  <c r="DU84" i="24"/>
  <c r="DU86" i="24"/>
  <c r="DU111" i="24"/>
  <c r="DU113" i="24"/>
  <c r="DJ115" i="24"/>
  <c r="DJ50" i="24"/>
  <c r="DL22" i="24"/>
  <c r="DJ92" i="24"/>
  <c r="DL23" i="24"/>
  <c r="DK45" i="24"/>
  <c r="DK44" i="24"/>
  <c r="DK46" i="24"/>
  <c r="DK53" i="24"/>
  <c r="DK57" i="24" l="1"/>
  <c r="DL47" i="24"/>
  <c r="DL54" i="24"/>
  <c r="DW26" i="24"/>
  <c r="DV96" i="24"/>
  <c r="DW25" i="24"/>
  <c r="DW98" i="24" s="1"/>
  <c r="DV85" i="24"/>
  <c r="DV88" i="24"/>
  <c r="DV81" i="24"/>
  <c r="DV86" i="24"/>
  <c r="DV97" i="24"/>
  <c r="DV112" i="24"/>
  <c r="DV111" i="24"/>
  <c r="DV89" i="24"/>
  <c r="DV82" i="24"/>
  <c r="DV80" i="24"/>
  <c r="DV84" i="24"/>
  <c r="DV87" i="24"/>
  <c r="DV114" i="24"/>
  <c r="DV113" i="24"/>
  <c r="DV83" i="24"/>
  <c r="DK115" i="24"/>
  <c r="DK92" i="24"/>
  <c r="DM23" i="24"/>
  <c r="DL46" i="24"/>
  <c r="DL53" i="24"/>
  <c r="DL45" i="24"/>
  <c r="DL44" i="24"/>
  <c r="DK50" i="24"/>
  <c r="DM22" i="24"/>
  <c r="DM47" i="24" l="1"/>
  <c r="DM54" i="24"/>
  <c r="DX26" i="24"/>
  <c r="DW96" i="24"/>
  <c r="DL57" i="24"/>
  <c r="DX25" i="24"/>
  <c r="DX98" i="24" s="1"/>
  <c r="DW86" i="24"/>
  <c r="DW87" i="24"/>
  <c r="DW84" i="24"/>
  <c r="DW111" i="24"/>
  <c r="DW82" i="24"/>
  <c r="DW114" i="24"/>
  <c r="DW88" i="24"/>
  <c r="DW113" i="24"/>
  <c r="DW97" i="24"/>
  <c r="DW85" i="24"/>
  <c r="DW83" i="24"/>
  <c r="DW81" i="24"/>
  <c r="DW112" i="24"/>
  <c r="DW89" i="24"/>
  <c r="DW80" i="24"/>
  <c r="DL115" i="24"/>
  <c r="DL50" i="24"/>
  <c r="DN22" i="24"/>
  <c r="DL92" i="24"/>
  <c r="DN23" i="24"/>
  <c r="DM46" i="24"/>
  <c r="DM53" i="24"/>
  <c r="DM44" i="24"/>
  <c r="DM45" i="24"/>
  <c r="DM57" i="24" l="1"/>
  <c r="DN47" i="24"/>
  <c r="DN54" i="24"/>
  <c r="DY26" i="24"/>
  <c r="DX96" i="24"/>
  <c r="DY25" i="24"/>
  <c r="DY98" i="24" s="1"/>
  <c r="DX112" i="24"/>
  <c r="DX85" i="24"/>
  <c r="DX83" i="24"/>
  <c r="DX114" i="24"/>
  <c r="DX87" i="24"/>
  <c r="DX89" i="24"/>
  <c r="DX82" i="24"/>
  <c r="DX88" i="24"/>
  <c r="DX111" i="24"/>
  <c r="DX80" i="24"/>
  <c r="DX97" i="24"/>
  <c r="DX84" i="24"/>
  <c r="DX81" i="24"/>
  <c r="DX113" i="24"/>
  <c r="DX86" i="24"/>
  <c r="DM115" i="24"/>
  <c r="DM92" i="24"/>
  <c r="DM50" i="24"/>
  <c r="DO23" i="24"/>
  <c r="DN46" i="24"/>
  <c r="DN53" i="24"/>
  <c r="DN44" i="24"/>
  <c r="DN45" i="24"/>
  <c r="DO22" i="24"/>
  <c r="DN57" i="24" l="1"/>
  <c r="DO47" i="24"/>
  <c r="DO54" i="24"/>
  <c r="DZ26" i="24"/>
  <c r="DY96" i="24"/>
  <c r="DZ25" i="24"/>
  <c r="DZ98" i="24" s="1"/>
  <c r="DY89" i="24"/>
  <c r="DY81" i="24"/>
  <c r="DY113" i="24"/>
  <c r="DY84" i="24"/>
  <c r="DY83" i="24"/>
  <c r="DY82" i="24"/>
  <c r="DY86" i="24"/>
  <c r="DY97" i="24"/>
  <c r="DY88" i="24"/>
  <c r="DY85" i="24"/>
  <c r="DY87" i="24"/>
  <c r="DY114" i="24"/>
  <c r="DY80" i="24"/>
  <c r="DY111" i="24"/>
  <c r="DY112" i="24"/>
  <c r="DO115" i="24"/>
  <c r="DN115" i="24"/>
  <c r="DN92" i="24"/>
  <c r="DP22" i="24"/>
  <c r="DN50" i="24"/>
  <c r="DP23" i="24"/>
  <c r="DO53" i="24"/>
  <c r="DO45" i="24"/>
  <c r="DO46" i="24"/>
  <c r="DO44" i="24"/>
  <c r="DO57" i="24" l="1"/>
  <c r="DP47" i="24"/>
  <c r="DP54" i="24"/>
  <c r="EA26" i="24"/>
  <c r="DZ96" i="24"/>
  <c r="EA25" i="24"/>
  <c r="EA98" i="24" s="1"/>
  <c r="DZ111" i="24"/>
  <c r="DZ85" i="24"/>
  <c r="DZ114" i="24"/>
  <c r="DZ82" i="24"/>
  <c r="DZ83" i="24"/>
  <c r="DZ80" i="24"/>
  <c r="DZ113" i="24"/>
  <c r="DZ86" i="24"/>
  <c r="DZ89" i="24"/>
  <c r="DZ97" i="24"/>
  <c r="DZ87" i="24"/>
  <c r="DZ84" i="24"/>
  <c r="DZ81" i="24"/>
  <c r="DZ88" i="24"/>
  <c r="DZ112" i="24"/>
  <c r="DQ23" i="24"/>
  <c r="DP46" i="24"/>
  <c r="DP45" i="24"/>
  <c r="DP53" i="24"/>
  <c r="DP44" i="24"/>
  <c r="DQ22" i="24"/>
  <c r="DO92" i="24"/>
  <c r="DO50" i="24"/>
  <c r="DP57" i="24" l="1"/>
  <c r="DQ47" i="24"/>
  <c r="DQ54" i="24"/>
  <c r="EB26" i="24"/>
  <c r="EA96" i="24"/>
  <c r="EB25" i="24"/>
  <c r="EB98" i="24" s="1"/>
  <c r="EA85" i="24"/>
  <c r="EA114" i="24"/>
  <c r="EA87" i="24"/>
  <c r="EA80" i="24"/>
  <c r="EA89" i="24"/>
  <c r="EA82" i="24"/>
  <c r="EA84" i="24"/>
  <c r="EA88" i="24"/>
  <c r="EA86" i="24"/>
  <c r="EA112" i="24"/>
  <c r="EA83" i="24"/>
  <c r="EA113" i="24"/>
  <c r="EA97" i="24"/>
  <c r="EA81" i="24"/>
  <c r="EA111" i="24"/>
  <c r="DP115" i="24"/>
  <c r="DP50" i="24"/>
  <c r="DR23" i="24"/>
  <c r="DQ46" i="24"/>
  <c r="DQ44" i="24"/>
  <c r="DQ53" i="24"/>
  <c r="DQ57" i="24" s="1"/>
  <c r="DQ45" i="24"/>
  <c r="DR22" i="24"/>
  <c r="DP92" i="24"/>
  <c r="DR47" i="24" l="1"/>
  <c r="DR54" i="24"/>
  <c r="EC26" i="24"/>
  <c r="EB96" i="24"/>
  <c r="EC25" i="24"/>
  <c r="EC98" i="24" s="1"/>
  <c r="EB84" i="24"/>
  <c r="EB111" i="24"/>
  <c r="EB89" i="24"/>
  <c r="EB113" i="24"/>
  <c r="EB112" i="24"/>
  <c r="EB114" i="24"/>
  <c r="EB83" i="24"/>
  <c r="EB88" i="24"/>
  <c r="EB81" i="24"/>
  <c r="EB87" i="24"/>
  <c r="EB86" i="24"/>
  <c r="EB85" i="24"/>
  <c r="EB80" i="24"/>
  <c r="EB82" i="24"/>
  <c r="EB97" i="24"/>
  <c r="DQ115" i="24"/>
  <c r="DQ92" i="24"/>
  <c r="DS22" i="24"/>
  <c r="DS23" i="24"/>
  <c r="DR46" i="24"/>
  <c r="DR53" i="24"/>
  <c r="DR45" i="24"/>
  <c r="DR44" i="24"/>
  <c r="DQ50" i="24"/>
  <c r="DR57" i="24" l="1"/>
  <c r="DS47" i="24"/>
  <c r="DS54" i="24"/>
  <c r="ED26" i="24"/>
  <c r="EC96" i="24"/>
  <c r="ED25" i="24"/>
  <c r="ED98" i="24" s="1"/>
  <c r="EC88" i="24"/>
  <c r="EC87" i="24"/>
  <c r="EC89" i="24"/>
  <c r="EC82" i="24"/>
  <c r="EC85" i="24"/>
  <c r="EC114" i="24"/>
  <c r="EC81" i="24"/>
  <c r="EC80" i="24"/>
  <c r="EC97" i="24"/>
  <c r="EC84" i="24"/>
  <c r="EC86" i="24"/>
  <c r="EC83" i="24"/>
  <c r="EC113" i="24"/>
  <c r="EC112" i="24"/>
  <c r="EC111" i="24"/>
  <c r="DR115" i="24"/>
  <c r="DT23" i="24"/>
  <c r="DS46" i="24"/>
  <c r="DS53" i="24"/>
  <c r="DS45" i="24"/>
  <c r="DS44" i="24"/>
  <c r="DR92" i="24"/>
  <c r="DR50" i="24"/>
  <c r="DT22" i="24"/>
  <c r="DS57" i="24" l="1"/>
  <c r="DT47" i="24"/>
  <c r="DT54" i="24"/>
  <c r="EE26" i="24"/>
  <c r="ED96" i="24"/>
  <c r="EE25" i="24"/>
  <c r="EE98" i="24" s="1"/>
  <c r="ED89" i="24"/>
  <c r="ED97" i="24"/>
  <c r="ED86" i="24"/>
  <c r="ED112" i="24"/>
  <c r="ED84" i="24"/>
  <c r="ED87" i="24"/>
  <c r="ED81" i="24"/>
  <c r="ED83" i="24"/>
  <c r="ED114" i="24"/>
  <c r="ED113" i="24"/>
  <c r="ED111" i="24"/>
  <c r="ED80" i="24"/>
  <c r="ED82" i="24"/>
  <c r="ED88" i="24"/>
  <c r="ED85" i="24"/>
  <c r="DS115" i="24"/>
  <c r="DU22" i="24"/>
  <c r="DS92" i="24"/>
  <c r="DU23" i="24"/>
  <c r="DT53" i="24"/>
  <c r="DT45" i="24"/>
  <c r="DT44" i="24"/>
  <c r="DT46" i="24"/>
  <c r="DS50" i="24"/>
  <c r="DT57" i="24" l="1"/>
  <c r="DU47" i="24"/>
  <c r="DU54" i="24"/>
  <c r="EF26" i="24"/>
  <c r="EE96" i="24"/>
  <c r="EF25" i="24"/>
  <c r="EF98" i="24" s="1"/>
  <c r="EE89" i="24"/>
  <c r="EE114" i="24"/>
  <c r="EE88" i="24"/>
  <c r="EE113" i="24"/>
  <c r="EE111" i="24"/>
  <c r="EE87" i="24"/>
  <c r="EE80" i="24"/>
  <c r="EE112" i="24"/>
  <c r="EE83" i="24"/>
  <c r="EE84" i="24"/>
  <c r="EE97" i="24"/>
  <c r="EE81" i="24"/>
  <c r="EE82" i="24"/>
  <c r="EE86" i="24"/>
  <c r="EE85" i="24"/>
  <c r="DT115" i="24"/>
  <c r="DT50" i="24"/>
  <c r="DV23" i="24"/>
  <c r="DU46" i="24"/>
  <c r="DU45" i="24"/>
  <c r="DU44" i="24"/>
  <c r="DU53" i="24"/>
  <c r="DV22" i="24"/>
  <c r="DT92" i="24"/>
  <c r="DU57" i="24" l="1"/>
  <c r="DV47" i="24"/>
  <c r="DV54" i="24"/>
  <c r="EG26" i="24"/>
  <c r="EF96" i="24"/>
  <c r="EG25" i="24"/>
  <c r="EG98" i="24" s="1"/>
  <c r="EF80" i="24"/>
  <c r="EF87" i="24"/>
  <c r="EF97" i="24"/>
  <c r="EF112" i="24"/>
  <c r="EF114" i="24"/>
  <c r="EF81" i="24"/>
  <c r="EF86" i="24"/>
  <c r="EF89" i="24"/>
  <c r="EF82" i="24"/>
  <c r="EF113" i="24"/>
  <c r="EF83" i="24"/>
  <c r="EF88" i="24"/>
  <c r="EF84" i="24"/>
  <c r="EF111" i="24"/>
  <c r="EF85" i="24"/>
  <c r="DU115" i="24"/>
  <c r="DW22" i="24"/>
  <c r="DU92" i="24"/>
  <c r="DW23" i="24"/>
  <c r="DV45" i="24"/>
  <c r="DV44" i="24"/>
  <c r="DV46" i="24"/>
  <c r="DV53" i="24"/>
  <c r="DU50" i="24"/>
  <c r="DV57" i="24" l="1"/>
  <c r="DW47" i="24"/>
  <c r="DW54" i="24"/>
  <c r="EH26" i="24"/>
  <c r="EG96" i="24"/>
  <c r="EH25" i="24"/>
  <c r="EH98" i="24" s="1"/>
  <c r="EG82" i="24"/>
  <c r="EG85" i="24"/>
  <c r="EG97" i="24"/>
  <c r="EG87" i="24"/>
  <c r="EG111" i="24"/>
  <c r="EG113" i="24"/>
  <c r="EG81" i="24"/>
  <c r="EG112" i="24"/>
  <c r="EG89" i="24"/>
  <c r="EG80" i="24"/>
  <c r="EG86" i="24"/>
  <c r="EG88" i="24"/>
  <c r="EG114" i="24"/>
  <c r="EG84" i="24"/>
  <c r="EG83" i="24"/>
  <c r="DV115" i="24"/>
  <c r="DV92" i="24"/>
  <c r="DV50" i="24"/>
  <c r="DX23" i="24"/>
  <c r="DW46" i="24"/>
  <c r="DW53" i="24"/>
  <c r="DW45" i="24"/>
  <c r="DW44" i="24"/>
  <c r="DX22" i="24"/>
  <c r="DW57" i="24" l="1"/>
  <c r="DX47" i="24"/>
  <c r="DX54" i="24"/>
  <c r="EI26" i="24"/>
  <c r="EH96" i="24"/>
  <c r="EI25" i="24"/>
  <c r="EI98" i="24" s="1"/>
  <c r="EH89" i="24"/>
  <c r="EH113" i="24"/>
  <c r="EH88" i="24"/>
  <c r="EH87" i="24"/>
  <c r="EH84" i="24"/>
  <c r="EH80" i="24"/>
  <c r="EH114" i="24"/>
  <c r="EH97" i="24"/>
  <c r="EH81" i="24"/>
  <c r="EH86" i="24"/>
  <c r="EH83" i="24"/>
  <c r="EH112" i="24"/>
  <c r="EH111" i="24"/>
  <c r="EH82" i="24"/>
  <c r="EH85" i="24"/>
  <c r="DW115" i="24"/>
  <c r="DW50" i="24"/>
  <c r="DW92" i="24"/>
  <c r="DY22" i="24"/>
  <c r="DY23" i="24"/>
  <c r="DX46" i="24"/>
  <c r="DX53" i="24"/>
  <c r="DX44" i="24"/>
  <c r="DX45" i="24"/>
  <c r="DY47" i="24" l="1"/>
  <c r="DY54" i="24"/>
  <c r="EJ26" i="24"/>
  <c r="EI96" i="24"/>
  <c r="DX57" i="24"/>
  <c r="EJ25" i="24"/>
  <c r="EJ98" i="24" s="1"/>
  <c r="EI86" i="24"/>
  <c r="EI81" i="24"/>
  <c r="EI113" i="24"/>
  <c r="EI97" i="24"/>
  <c r="EI111" i="24"/>
  <c r="EI87" i="24"/>
  <c r="EI114" i="24"/>
  <c r="EI89" i="24"/>
  <c r="EI80" i="24"/>
  <c r="EI83" i="24"/>
  <c r="EI88" i="24"/>
  <c r="EI85" i="24"/>
  <c r="EI112" i="24"/>
  <c r="EI82" i="24"/>
  <c r="EI84" i="24"/>
  <c r="DX115" i="24"/>
  <c r="DX92" i="24"/>
  <c r="DZ23" i="24"/>
  <c r="DY46" i="24"/>
  <c r="DY53" i="24"/>
  <c r="DY44" i="24"/>
  <c r="DY45" i="24"/>
  <c r="DZ22" i="24"/>
  <c r="DX50" i="24"/>
  <c r="DY57" i="24" l="1"/>
  <c r="DZ47" i="24"/>
  <c r="DZ54" i="24"/>
  <c r="EK26" i="24"/>
  <c r="EJ96" i="24"/>
  <c r="EK25" i="24"/>
  <c r="EK98" i="24" s="1"/>
  <c r="EJ83" i="24"/>
  <c r="EJ97" i="24"/>
  <c r="EJ82" i="24"/>
  <c r="EJ87" i="24"/>
  <c r="EJ80" i="24"/>
  <c r="EJ84" i="24"/>
  <c r="EJ112" i="24"/>
  <c r="EJ88" i="24"/>
  <c r="EJ114" i="24"/>
  <c r="EJ85" i="24"/>
  <c r="EJ81" i="24"/>
  <c r="EJ86" i="24"/>
  <c r="EJ111" i="24"/>
  <c r="EJ113" i="24"/>
  <c r="EJ89" i="24"/>
  <c r="DY115" i="24"/>
  <c r="EA22" i="24"/>
  <c r="EA23" i="24"/>
  <c r="DZ45" i="24"/>
  <c r="DZ44" i="24"/>
  <c r="DZ46" i="24"/>
  <c r="DZ53" i="24"/>
  <c r="DY92" i="24"/>
  <c r="DY50" i="24"/>
  <c r="DZ57" i="24" l="1"/>
  <c r="EA47" i="24"/>
  <c r="EA54" i="24"/>
  <c r="EL26" i="24"/>
  <c r="EK96" i="24"/>
  <c r="EL25" i="24"/>
  <c r="EL98" i="24" s="1"/>
  <c r="EK114" i="24"/>
  <c r="EK85" i="24"/>
  <c r="EK113" i="24"/>
  <c r="EK88" i="24"/>
  <c r="EK82" i="24"/>
  <c r="EK81" i="24"/>
  <c r="EK86" i="24"/>
  <c r="EK112" i="24"/>
  <c r="EK83" i="24"/>
  <c r="EK111" i="24"/>
  <c r="EK84" i="24"/>
  <c r="EK89" i="24"/>
  <c r="EK80" i="24"/>
  <c r="EK87" i="24"/>
  <c r="EK97" i="24"/>
  <c r="DZ115" i="24"/>
  <c r="DZ92" i="24"/>
  <c r="EB22" i="24"/>
  <c r="EB23" i="24"/>
  <c r="EA45" i="24"/>
  <c r="EA46" i="24"/>
  <c r="EA53" i="24"/>
  <c r="EA44" i="24"/>
  <c r="DZ50" i="24"/>
  <c r="EA57" i="24" l="1"/>
  <c r="EB47" i="24"/>
  <c r="EB54" i="24"/>
  <c r="EM26" i="24"/>
  <c r="EL96" i="24"/>
  <c r="EM25" i="24"/>
  <c r="EM98" i="24" s="1"/>
  <c r="EL86" i="24"/>
  <c r="EL114" i="24"/>
  <c r="EL85" i="24"/>
  <c r="EL82" i="24"/>
  <c r="EL112" i="24"/>
  <c r="EL88" i="24"/>
  <c r="EL83" i="24"/>
  <c r="EL89" i="24"/>
  <c r="EL81" i="24"/>
  <c r="EL87" i="24"/>
  <c r="EL111" i="24"/>
  <c r="EL84" i="24"/>
  <c r="EL97" i="24"/>
  <c r="EL80" i="24"/>
  <c r="EL113" i="24"/>
  <c r="EA115" i="24"/>
  <c r="EA50" i="24"/>
  <c r="EA92" i="24"/>
  <c r="EC23" i="24"/>
  <c r="EB45" i="24"/>
  <c r="EB44" i="24"/>
  <c r="EB46" i="24"/>
  <c r="EB53" i="24"/>
  <c r="EC22" i="24"/>
  <c r="EB57" i="24" l="1"/>
  <c r="EC47" i="24"/>
  <c r="EC54" i="24"/>
  <c r="EN26" i="24"/>
  <c r="EM96" i="24"/>
  <c r="EN25" i="24"/>
  <c r="EN98" i="24" s="1"/>
  <c r="EM111" i="24"/>
  <c r="EM97" i="24"/>
  <c r="EM89" i="24"/>
  <c r="EM80" i="24"/>
  <c r="EM84" i="24"/>
  <c r="EM86" i="24"/>
  <c r="EM82" i="24"/>
  <c r="EM85" i="24"/>
  <c r="EM83" i="24"/>
  <c r="EM113" i="24"/>
  <c r="EM88" i="24"/>
  <c r="EM112" i="24"/>
  <c r="EM87" i="24"/>
  <c r="EM81" i="24"/>
  <c r="EM114" i="24"/>
  <c r="EB115" i="24"/>
  <c r="ED22" i="24"/>
  <c r="EB92" i="24"/>
  <c r="ED23" i="24"/>
  <c r="EC53" i="24"/>
  <c r="EC45" i="24"/>
  <c r="EC46" i="24"/>
  <c r="EC44" i="24"/>
  <c r="EB50" i="24"/>
  <c r="EC57" i="24" l="1"/>
  <c r="ED47" i="24"/>
  <c r="ED54" i="24"/>
  <c r="EO26" i="24"/>
  <c r="EN96" i="24"/>
  <c r="EO25" i="24"/>
  <c r="EO98" i="24" s="1"/>
  <c r="EN97" i="24"/>
  <c r="EN83" i="24"/>
  <c r="EN85" i="24"/>
  <c r="EN84" i="24"/>
  <c r="EN88" i="24"/>
  <c r="EN113" i="24"/>
  <c r="EN81" i="24"/>
  <c r="EN80" i="24"/>
  <c r="EN114" i="24"/>
  <c r="EN82" i="24"/>
  <c r="EN112" i="24"/>
  <c r="EN87" i="24"/>
  <c r="EN89" i="24"/>
  <c r="EN86" i="24"/>
  <c r="EN111" i="24"/>
  <c r="EC115" i="24"/>
  <c r="EE23" i="24"/>
  <c r="ED46" i="24"/>
  <c r="ED53" i="24"/>
  <c r="ED44" i="24"/>
  <c r="ED45" i="24"/>
  <c r="EC50" i="24"/>
  <c r="EC92" i="24"/>
  <c r="EE22" i="24"/>
  <c r="ED57" i="24" l="1"/>
  <c r="EE47" i="24"/>
  <c r="EE54" i="24"/>
  <c r="EP26" i="24"/>
  <c r="EO96" i="24"/>
  <c r="EP25" i="24"/>
  <c r="EP98" i="24" s="1"/>
  <c r="EO82" i="24"/>
  <c r="EO85" i="24"/>
  <c r="EO83" i="24"/>
  <c r="EO88" i="24"/>
  <c r="EO112" i="24"/>
  <c r="EO81" i="24"/>
  <c r="EO111" i="24"/>
  <c r="EO86" i="24"/>
  <c r="EO97" i="24"/>
  <c r="EO80" i="24"/>
  <c r="EO84" i="24"/>
  <c r="EO114" i="24"/>
  <c r="EO89" i="24"/>
  <c r="EO113" i="24"/>
  <c r="EO87" i="24"/>
  <c r="ED115" i="24"/>
  <c r="EF22" i="24"/>
  <c r="ED50" i="24"/>
  <c r="EF23" i="24"/>
  <c r="EE45" i="24"/>
  <c r="EE44" i="24"/>
  <c r="EE46" i="24"/>
  <c r="EE53" i="24"/>
  <c r="ED92" i="24"/>
  <c r="EE57" i="24" l="1"/>
  <c r="EF47" i="24"/>
  <c r="EF54" i="24"/>
  <c r="EQ26" i="24"/>
  <c r="EP96" i="24"/>
  <c r="EQ25" i="24"/>
  <c r="EQ98" i="24" s="1"/>
  <c r="EP80" i="24"/>
  <c r="EP84" i="24"/>
  <c r="EP97" i="24"/>
  <c r="EP85" i="24"/>
  <c r="EP87" i="24"/>
  <c r="EP82" i="24"/>
  <c r="EP86" i="24"/>
  <c r="EP112" i="24"/>
  <c r="EP89" i="24"/>
  <c r="EP114" i="24"/>
  <c r="EP111" i="24"/>
  <c r="EP113" i="24"/>
  <c r="EP88" i="24"/>
  <c r="EP83" i="24"/>
  <c r="EP81" i="24"/>
  <c r="EE115" i="24"/>
  <c r="EE92" i="24"/>
  <c r="EE50" i="24"/>
  <c r="EG23" i="24"/>
  <c r="EF46" i="24"/>
  <c r="EF53" i="24"/>
  <c r="EF44" i="24"/>
  <c r="EF45" i="24"/>
  <c r="EG22" i="24"/>
  <c r="EF57" i="24" l="1"/>
  <c r="EG47" i="24"/>
  <c r="EG54" i="24"/>
  <c r="ER26" i="24"/>
  <c r="EQ96" i="24"/>
  <c r="ER25" i="24"/>
  <c r="ER98" i="24" s="1"/>
  <c r="EQ112" i="24"/>
  <c r="EQ86" i="24"/>
  <c r="EQ113" i="24"/>
  <c r="EQ88" i="24"/>
  <c r="EQ111" i="24"/>
  <c r="EQ83" i="24"/>
  <c r="EQ84" i="24"/>
  <c r="EQ114" i="24"/>
  <c r="EQ80" i="24"/>
  <c r="EQ97" i="24"/>
  <c r="EQ85" i="24"/>
  <c r="EQ87" i="24"/>
  <c r="EQ81" i="24"/>
  <c r="EQ82" i="24"/>
  <c r="EQ89" i="24"/>
  <c r="EF115" i="24"/>
  <c r="EF92" i="24"/>
  <c r="EH23" i="24"/>
  <c r="EG46" i="24"/>
  <c r="EG53" i="24"/>
  <c r="EG45" i="24"/>
  <c r="EG44" i="24"/>
  <c r="EF50" i="24"/>
  <c r="EH22" i="24"/>
  <c r="EG57" i="24" l="1"/>
  <c r="EH47" i="24"/>
  <c r="EH54" i="24"/>
  <c r="ES26" i="24"/>
  <c r="ER96" i="24"/>
  <c r="ES25" i="24"/>
  <c r="ES98" i="24" s="1"/>
  <c r="ER86" i="24"/>
  <c r="ER113" i="24"/>
  <c r="ER97" i="24"/>
  <c r="ER81" i="24"/>
  <c r="ER112" i="24"/>
  <c r="ER88" i="24"/>
  <c r="ER89" i="24"/>
  <c r="ER83" i="24"/>
  <c r="ER84" i="24"/>
  <c r="ER114" i="24"/>
  <c r="ER82" i="24"/>
  <c r="ER80" i="24"/>
  <c r="ER111" i="24"/>
  <c r="ER85" i="24"/>
  <c r="ER87" i="24"/>
  <c r="EG115" i="24"/>
  <c r="EI22" i="24"/>
  <c r="EG50" i="24"/>
  <c r="EG92" i="24"/>
  <c r="EI23" i="24"/>
  <c r="EH46" i="24"/>
  <c r="EH44" i="24"/>
  <c r="EH53" i="24"/>
  <c r="EH45" i="24"/>
  <c r="EH57" i="24" l="1"/>
  <c r="EI47" i="24"/>
  <c r="EI54" i="24"/>
  <c r="ET26" i="24"/>
  <c r="ES96" i="24"/>
  <c r="ET25" i="24"/>
  <c r="ET98" i="24" s="1"/>
  <c r="ES80" i="24"/>
  <c r="ES87" i="24"/>
  <c r="ES88" i="24"/>
  <c r="ES85" i="24"/>
  <c r="ES81" i="24"/>
  <c r="ES112" i="24"/>
  <c r="ES113" i="24"/>
  <c r="ES97" i="24"/>
  <c r="ES82" i="24"/>
  <c r="ES86" i="24"/>
  <c r="ES89" i="24"/>
  <c r="ES84" i="24"/>
  <c r="ES111" i="24"/>
  <c r="ES114" i="24"/>
  <c r="ES83" i="24"/>
  <c r="EH115" i="24"/>
  <c r="EH92" i="24"/>
  <c r="EJ22" i="24"/>
  <c r="EH50" i="24"/>
  <c r="EJ23" i="24"/>
  <c r="EI53" i="24"/>
  <c r="EI57" i="24" s="1"/>
  <c r="EI45" i="24"/>
  <c r="EI44" i="24"/>
  <c r="EI46" i="24"/>
  <c r="H54" i="22"/>
  <c r="I54" i="22"/>
  <c r="L54" i="22"/>
  <c r="M54" i="22"/>
  <c r="N54" i="22"/>
  <c r="O54" i="22"/>
  <c r="P54" i="22"/>
  <c r="H55" i="22"/>
  <c r="I55" i="22"/>
  <c r="L55" i="22"/>
  <c r="M55" i="22"/>
  <c r="N55" i="22"/>
  <c r="O55" i="22"/>
  <c r="P55" i="22"/>
  <c r="N26" i="15"/>
  <c r="I14" i="15"/>
  <c r="N25" i="15"/>
  <c r="H49" i="22"/>
  <c r="I49" i="22"/>
  <c r="N11" i="15"/>
  <c r="L49" i="22"/>
  <c r="M49" i="22"/>
  <c r="N49" i="22"/>
  <c r="O49" i="22"/>
  <c r="P49" i="22"/>
  <c r="H48" i="22"/>
  <c r="I48" i="22"/>
  <c r="L48" i="22"/>
  <c r="M48" i="22"/>
  <c r="N48" i="22"/>
  <c r="O48" i="22"/>
  <c r="P48" i="22"/>
  <c r="H50" i="22"/>
  <c r="I50" i="22"/>
  <c r="L50" i="22"/>
  <c r="N12" i="15"/>
  <c r="M50" i="22"/>
  <c r="N50" i="22"/>
  <c r="O50" i="22"/>
  <c r="P50" i="22"/>
  <c r="F48" i="24"/>
  <c r="I15" i="15"/>
  <c r="H53" i="22"/>
  <c r="I53" i="22"/>
  <c r="L53" i="22"/>
  <c r="N15" i="15"/>
  <c r="M53" i="22"/>
  <c r="N53" i="22"/>
  <c r="O53" i="22"/>
  <c r="P53" i="22"/>
  <c r="H47" i="22"/>
  <c r="I47" i="22"/>
  <c r="L47" i="22"/>
  <c r="M47" i="22"/>
  <c r="N47" i="22"/>
  <c r="O47" i="22"/>
  <c r="P47" i="22"/>
  <c r="F99" i="24"/>
  <c r="N27" i="15"/>
  <c r="H51" i="22"/>
  <c r="I51" i="22"/>
  <c r="L51" i="22"/>
  <c r="N13" i="15"/>
  <c r="M51" i="22"/>
  <c r="N51" i="22"/>
  <c r="O51" i="22"/>
  <c r="P51" i="22"/>
  <c r="H46" i="22"/>
  <c r="I46" i="22"/>
  <c r="L46" i="22"/>
  <c r="M46" i="22"/>
  <c r="N46" i="22"/>
  <c r="O46" i="22"/>
  <c r="P46" i="22"/>
  <c r="I13" i="15"/>
  <c r="H52" i="22"/>
  <c r="I52" i="22"/>
  <c r="N14" i="15"/>
  <c r="L52" i="22"/>
  <c r="M52" i="22"/>
  <c r="N52" i="22"/>
  <c r="O52" i="22"/>
  <c r="P52" i="22"/>
  <c r="I12" i="15"/>
  <c r="EJ47" i="24" l="1"/>
  <c r="EJ54" i="24"/>
  <c r="EU26" i="24"/>
  <c r="ET96" i="24"/>
  <c r="EU25" i="24"/>
  <c r="EU98" i="24" s="1"/>
  <c r="ET81" i="24"/>
  <c r="ET83" i="24"/>
  <c r="ET113" i="24"/>
  <c r="ET89" i="24"/>
  <c r="ET87" i="24"/>
  <c r="ET111" i="24"/>
  <c r="ET80" i="24"/>
  <c r="ET114" i="24"/>
  <c r="ET84" i="24"/>
  <c r="ET85" i="24"/>
  <c r="ET88" i="24"/>
  <c r="ET112" i="24"/>
  <c r="ET86" i="24"/>
  <c r="ET82" i="24"/>
  <c r="ET97" i="24"/>
  <c r="EI115" i="24"/>
  <c r="EI50" i="24"/>
  <c r="EK23" i="24"/>
  <c r="EJ46" i="24"/>
  <c r="EJ53" i="24"/>
  <c r="EJ45" i="24"/>
  <c r="EJ44" i="24"/>
  <c r="EK22" i="24"/>
  <c r="EI92" i="24"/>
  <c r="M58" i="22"/>
  <c r="P58" i="22"/>
  <c r="H58" i="22"/>
  <c r="O58" i="22"/>
  <c r="L58" i="22"/>
  <c r="N58" i="22"/>
  <c r="I58" i="22"/>
  <c r="EK47" i="24" l="1"/>
  <c r="EK54" i="24"/>
  <c r="G64" i="22"/>
  <c r="H64" i="22"/>
  <c r="I64" i="22"/>
  <c r="L64" i="22"/>
  <c r="M64" i="22"/>
  <c r="N64" i="22"/>
  <c r="O64" i="22"/>
  <c r="P64" i="22"/>
  <c r="EV26" i="24"/>
  <c r="EU96" i="24"/>
  <c r="EJ57" i="24"/>
  <c r="EV25" i="24"/>
  <c r="EU81" i="24"/>
  <c r="EU97" i="24"/>
  <c r="EU82" i="24"/>
  <c r="EU111" i="24"/>
  <c r="EU112" i="24"/>
  <c r="N37" i="15" s="1"/>
  <c r="EU87" i="24"/>
  <c r="R53" i="22" s="1"/>
  <c r="EU114" i="24"/>
  <c r="EU89" i="24"/>
  <c r="R55" i="22" s="1"/>
  <c r="EU84" i="24"/>
  <c r="EU80" i="24"/>
  <c r="EU113" i="24"/>
  <c r="EU83" i="24"/>
  <c r="EU85" i="24"/>
  <c r="EU86" i="24"/>
  <c r="R52" i="22" s="1"/>
  <c r="EU88" i="24"/>
  <c r="R54" i="22" s="1"/>
  <c r="EJ115" i="24"/>
  <c r="EJ50" i="24"/>
  <c r="EL22" i="24"/>
  <c r="EL23" i="24"/>
  <c r="EK45" i="24"/>
  <c r="EK44" i="24"/>
  <c r="EK46" i="24"/>
  <c r="EK53" i="24"/>
  <c r="EJ92" i="24"/>
  <c r="FH46" i="24"/>
  <c r="FH45" i="24"/>
  <c r="EK57" i="24" l="1"/>
  <c r="Q53" i="22"/>
  <c r="Q55" i="22"/>
  <c r="Q52" i="22"/>
  <c r="Q54" i="22"/>
  <c r="EL47" i="24"/>
  <c r="EL54" i="24"/>
  <c r="EW26" i="24"/>
  <c r="EV96" i="24"/>
  <c r="EW25" i="24"/>
  <c r="EV98" i="24"/>
  <c r="EV84" i="24"/>
  <c r="EV83" i="24"/>
  <c r="EV82" i="24"/>
  <c r="EV97" i="24"/>
  <c r="EV85" i="24"/>
  <c r="EV80" i="24"/>
  <c r="EV112" i="24"/>
  <c r="EV114" i="24"/>
  <c r="EV81" i="24"/>
  <c r="H62" i="22"/>
  <c r="I62" i="22"/>
  <c r="L62" i="22"/>
  <c r="M62" i="22"/>
  <c r="N62" i="22"/>
  <c r="O62" i="22"/>
  <c r="P62" i="22"/>
  <c r="G76" i="22"/>
  <c r="N36" i="15"/>
  <c r="G63" i="22"/>
  <c r="H63" i="22"/>
  <c r="I63" i="22"/>
  <c r="L63" i="22"/>
  <c r="M63" i="22"/>
  <c r="N63" i="22"/>
  <c r="O63" i="22"/>
  <c r="P63" i="22"/>
  <c r="N38" i="15"/>
  <c r="G78" i="22"/>
  <c r="H78" i="22"/>
  <c r="I78" i="22"/>
  <c r="L78" i="22"/>
  <c r="M78" i="22"/>
  <c r="N78" i="22"/>
  <c r="O78" i="22"/>
  <c r="P78" i="22"/>
  <c r="G79" i="22"/>
  <c r="H79" i="22"/>
  <c r="I79" i="22"/>
  <c r="L79" i="22"/>
  <c r="M79" i="22"/>
  <c r="N79" i="22"/>
  <c r="O79" i="22"/>
  <c r="P79" i="22"/>
  <c r="G77" i="22"/>
  <c r="H77" i="22"/>
  <c r="I77" i="22"/>
  <c r="L77" i="22"/>
  <c r="M77" i="22"/>
  <c r="N77" i="22"/>
  <c r="O77" i="22"/>
  <c r="P77" i="22"/>
  <c r="H76" i="22"/>
  <c r="I76" i="22"/>
  <c r="L76" i="22"/>
  <c r="M76" i="22"/>
  <c r="N76" i="22"/>
  <c r="O76" i="22"/>
  <c r="P76" i="22"/>
  <c r="EK115" i="24"/>
  <c r="EK92" i="24"/>
  <c r="EM23" i="24"/>
  <c r="EL44" i="24"/>
  <c r="EL53" i="24"/>
  <c r="EL45" i="24"/>
  <c r="EL46" i="24"/>
  <c r="EK50" i="24"/>
  <c r="EM22" i="24"/>
  <c r="FI46" i="24"/>
  <c r="FI45" i="24"/>
  <c r="Q47" i="22" l="1"/>
  <c r="EL57" i="24"/>
  <c r="EM47" i="24"/>
  <c r="EM54" i="24"/>
  <c r="EV92" i="24"/>
  <c r="EX25" i="24"/>
  <c r="EW114" i="24"/>
  <c r="Q79" i="22" s="1"/>
  <c r="EW113" i="24"/>
  <c r="Q78" i="22" s="1"/>
  <c r="EW83" i="24"/>
  <c r="Q49" i="22" s="1"/>
  <c r="EW97" i="24"/>
  <c r="Q63" i="22" s="1"/>
  <c r="EW85" i="24"/>
  <c r="Q51" i="22" s="1"/>
  <c r="EW82" i="24"/>
  <c r="Q48" i="22" s="1"/>
  <c r="EW81" i="24"/>
  <c r="EW112" i="24"/>
  <c r="Q77" i="22" s="1"/>
  <c r="EW84" i="24"/>
  <c r="Q50" i="22" s="1"/>
  <c r="EW98" i="24"/>
  <c r="Q64" i="22" s="1"/>
  <c r="EW111" i="24"/>
  <c r="Q76" i="22" s="1"/>
  <c r="EW80" i="24"/>
  <c r="Q46" i="22" s="1"/>
  <c r="EX26" i="24"/>
  <c r="EW96" i="24"/>
  <c r="Q62" i="22" s="1"/>
  <c r="EV115" i="24"/>
  <c r="EL92" i="24"/>
  <c r="EL115" i="24"/>
  <c r="EL50" i="24"/>
  <c r="EN22" i="24"/>
  <c r="EN23" i="24"/>
  <c r="EM46" i="24"/>
  <c r="EM53" i="24"/>
  <c r="EM45" i="24"/>
  <c r="EM44" i="24"/>
  <c r="FJ46" i="24"/>
  <c r="FJ45" i="24"/>
  <c r="Q58" i="22" l="1"/>
  <c r="EM57" i="24"/>
  <c r="EN47" i="24"/>
  <c r="EN54" i="24"/>
  <c r="EY26" i="24"/>
  <c r="EX96" i="24"/>
  <c r="EW115" i="24"/>
  <c r="EW92" i="24"/>
  <c r="EY25" i="24"/>
  <c r="EX80" i="24"/>
  <c r="EX82" i="24"/>
  <c r="EX114" i="24"/>
  <c r="EX112" i="24"/>
  <c r="EX97" i="24"/>
  <c r="EX85" i="24"/>
  <c r="EX111" i="24"/>
  <c r="EX83" i="24"/>
  <c r="EX98" i="24"/>
  <c r="EX81" i="24"/>
  <c r="EX113" i="24"/>
  <c r="EX84" i="24"/>
  <c r="EM115" i="24"/>
  <c r="EM50" i="24"/>
  <c r="EM92" i="24"/>
  <c r="EO22" i="24"/>
  <c r="EO23" i="24"/>
  <c r="EN45" i="24"/>
  <c r="EN44" i="24"/>
  <c r="EN46" i="24"/>
  <c r="EN53" i="24"/>
  <c r="FK46" i="24"/>
  <c r="FK45" i="24"/>
  <c r="EN57" i="24" l="1"/>
  <c r="EO47" i="24"/>
  <c r="EO54" i="24"/>
  <c r="EX92" i="24"/>
  <c r="EZ25" i="24"/>
  <c r="EY113" i="24"/>
  <c r="EY83" i="24"/>
  <c r="EY82" i="24"/>
  <c r="EY85" i="24"/>
  <c r="EY80" i="24"/>
  <c r="EY98" i="24"/>
  <c r="EY81" i="24"/>
  <c r="EY111" i="24"/>
  <c r="EY112" i="24"/>
  <c r="EY114" i="24"/>
  <c r="EY97" i="24"/>
  <c r="EY84" i="24"/>
  <c r="EX115" i="24"/>
  <c r="EZ26" i="24"/>
  <c r="EY96" i="24"/>
  <c r="EN115" i="24"/>
  <c r="EN50" i="24"/>
  <c r="EP23" i="24"/>
  <c r="EO45" i="24"/>
  <c r="EO44" i="24"/>
  <c r="EO46" i="24"/>
  <c r="EO53" i="24"/>
  <c r="EN92" i="24"/>
  <c r="EP22" i="24"/>
  <c r="FL46" i="24"/>
  <c r="FL45" i="24"/>
  <c r="EO57" i="24" l="1"/>
  <c r="EP47" i="24"/>
  <c r="EP54" i="24"/>
  <c r="EY92" i="24"/>
  <c r="EY115" i="24"/>
  <c r="FA25" i="24"/>
  <c r="EZ114" i="24"/>
  <c r="EZ97" i="24"/>
  <c r="EZ85" i="24"/>
  <c r="EZ113" i="24"/>
  <c r="EZ112" i="24"/>
  <c r="EZ83" i="24"/>
  <c r="EZ81" i="24"/>
  <c r="EZ84" i="24"/>
  <c r="EZ98" i="24"/>
  <c r="EZ80" i="24"/>
  <c r="EZ82" i="24"/>
  <c r="EZ111" i="24"/>
  <c r="FA26" i="24"/>
  <c r="EZ96" i="24"/>
  <c r="EO115" i="24"/>
  <c r="EO92" i="24"/>
  <c r="EQ22" i="24"/>
  <c r="EO50" i="24"/>
  <c r="EQ23" i="24"/>
  <c r="EP44" i="24"/>
  <c r="EP46" i="24"/>
  <c r="EP53" i="24"/>
  <c r="EP45" i="24"/>
  <c r="FM46" i="24"/>
  <c r="FM45" i="24"/>
  <c r="EP57" i="24" l="1"/>
  <c r="EQ47" i="24"/>
  <c r="EQ54" i="24"/>
  <c r="EZ92" i="24"/>
  <c r="FB26" i="24"/>
  <c r="FA96" i="24"/>
  <c r="EZ115" i="24"/>
  <c r="FB25" i="24"/>
  <c r="FA82" i="24"/>
  <c r="FA85" i="24"/>
  <c r="FA97" i="24"/>
  <c r="FA114" i="24"/>
  <c r="FA81" i="24"/>
  <c r="FA112" i="24"/>
  <c r="FA84" i="24"/>
  <c r="FA98" i="24"/>
  <c r="FA113" i="24"/>
  <c r="FA83" i="24"/>
  <c r="FA80" i="24"/>
  <c r="FA111" i="24"/>
  <c r="EP115" i="24"/>
  <c r="ER23" i="24"/>
  <c r="EQ46" i="24"/>
  <c r="EQ53" i="24"/>
  <c r="EQ57" i="24" s="1"/>
  <c r="EQ45" i="24"/>
  <c r="EQ44" i="24"/>
  <c r="EP92" i="24"/>
  <c r="ER22" i="24"/>
  <c r="EP50" i="24"/>
  <c r="FN46" i="24"/>
  <c r="FN45" i="24"/>
  <c r="N9" i="15"/>
  <c r="G49" i="22"/>
  <c r="N8" i="15"/>
  <c r="ER47" i="24" l="1"/>
  <c r="ER54" i="24"/>
  <c r="FA92" i="24"/>
  <c r="FA115" i="24"/>
  <c r="FC25" i="24"/>
  <c r="FB98" i="24"/>
  <c r="FB82" i="24"/>
  <c r="FB84" i="24"/>
  <c r="FB114" i="24"/>
  <c r="FB113" i="24"/>
  <c r="FB97" i="24"/>
  <c r="FB81" i="24"/>
  <c r="FB111" i="24"/>
  <c r="FB112" i="24"/>
  <c r="FB83" i="24"/>
  <c r="FB85" i="24"/>
  <c r="FB80" i="24"/>
  <c r="FC26" i="24"/>
  <c r="FB96" i="24"/>
  <c r="G19" i="22"/>
  <c r="H19" i="22"/>
  <c r="I19" i="22"/>
  <c r="L19" i="22"/>
  <c r="M19" i="22"/>
  <c r="N19" i="22"/>
  <c r="O19" i="22"/>
  <c r="P19" i="22"/>
  <c r="G18" i="22"/>
  <c r="H18" i="22"/>
  <c r="I18" i="22"/>
  <c r="L18" i="22"/>
  <c r="M18" i="22"/>
  <c r="N18" i="22"/>
  <c r="O18" i="22"/>
  <c r="P18" i="22"/>
  <c r="G25" i="22"/>
  <c r="H25" i="22"/>
  <c r="L25" i="22"/>
  <c r="M25" i="22"/>
  <c r="N25" i="22"/>
  <c r="O25" i="22"/>
  <c r="P25" i="22"/>
  <c r="G20" i="22"/>
  <c r="H20" i="22"/>
  <c r="I20" i="22"/>
  <c r="L20" i="22"/>
  <c r="M20" i="22"/>
  <c r="N20" i="22"/>
  <c r="O20" i="22"/>
  <c r="P20" i="22"/>
  <c r="G48" i="22"/>
  <c r="N10" i="15"/>
  <c r="EQ115" i="24"/>
  <c r="EQ92" i="24"/>
  <c r="EQ50" i="24"/>
  <c r="ES23" i="24"/>
  <c r="ER45" i="24"/>
  <c r="ER44" i="24"/>
  <c r="ER46" i="24"/>
  <c r="ER53" i="24"/>
  <c r="ES22" i="24"/>
  <c r="G55" i="22"/>
  <c r="N17" i="15"/>
  <c r="G54" i="22"/>
  <c r="N16" i="15"/>
  <c r="G47" i="22"/>
  <c r="G46" i="22"/>
  <c r="G52" i="22"/>
  <c r="I11" i="15"/>
  <c r="I17" i="15" s="1"/>
  <c r="G51" i="22"/>
  <c r="G50" i="22"/>
  <c r="G53" i="22"/>
  <c r="I19" i="15"/>
  <c r="ER57" i="24" l="1"/>
  <c r="ES47" i="24"/>
  <c r="ES54" i="24"/>
  <c r="FD26" i="24"/>
  <c r="FC96" i="24"/>
  <c r="FB92" i="24"/>
  <c r="FB115" i="24"/>
  <c r="FD25" i="24"/>
  <c r="FC84" i="24"/>
  <c r="FC111" i="24"/>
  <c r="FC85" i="24"/>
  <c r="FC81" i="24"/>
  <c r="FC97" i="24"/>
  <c r="FC113" i="24"/>
  <c r="FC112" i="24"/>
  <c r="FC98" i="24"/>
  <c r="FC82" i="24"/>
  <c r="FC83" i="24"/>
  <c r="FC114" i="24"/>
  <c r="FC80" i="24"/>
  <c r="G58" i="22"/>
  <c r="ES115" i="24"/>
  <c r="ER115" i="24"/>
  <c r="N20" i="15"/>
  <c r="ET23" i="24"/>
  <c r="ES53" i="24"/>
  <c r="ES44" i="24"/>
  <c r="ES45" i="24"/>
  <c r="ES46" i="24"/>
  <c r="ER50" i="24"/>
  <c r="ER92" i="24"/>
  <c r="ET22" i="24"/>
  <c r="ET47" i="24" l="1"/>
  <c r="ET54" i="24"/>
  <c r="FC92" i="24"/>
  <c r="FC115" i="24"/>
  <c r="FE25" i="24"/>
  <c r="FD112" i="24"/>
  <c r="FD84" i="24"/>
  <c r="FD81" i="24"/>
  <c r="FD82" i="24"/>
  <c r="FD114" i="24"/>
  <c r="FD98" i="24"/>
  <c r="FD83" i="24"/>
  <c r="FD80" i="24"/>
  <c r="FD111" i="24"/>
  <c r="FD113" i="24"/>
  <c r="FD97" i="24"/>
  <c r="FD85" i="24"/>
  <c r="FE26" i="24"/>
  <c r="FD96" i="24"/>
  <c r="ES50" i="24"/>
  <c r="EU23" i="24"/>
  <c r="EU44" i="24" s="1"/>
  <c r="ET45" i="24"/>
  <c r="ET46" i="24"/>
  <c r="ET44" i="24"/>
  <c r="ET53" i="24"/>
  <c r="ES92" i="24"/>
  <c r="ES57" i="24"/>
  <c r="EU22" i="24"/>
  <c r="ET57" i="24" l="1"/>
  <c r="FD115" i="24"/>
  <c r="EU47" i="24"/>
  <c r="EU54" i="24"/>
  <c r="FF26" i="24"/>
  <c r="FE96" i="24"/>
  <c r="FD92" i="24"/>
  <c r="FF25" i="24"/>
  <c r="FE81" i="24"/>
  <c r="FE85" i="24"/>
  <c r="FE80" i="24"/>
  <c r="FE111" i="24"/>
  <c r="FE97" i="24"/>
  <c r="FE112" i="24"/>
  <c r="FE84" i="24"/>
  <c r="FE82" i="24"/>
  <c r="FE83" i="24"/>
  <c r="FE113" i="24"/>
  <c r="FE98" i="24"/>
  <c r="FE114" i="24"/>
  <c r="G21" i="22"/>
  <c r="G17" i="22" s="1"/>
  <c r="H21" i="22"/>
  <c r="H17" i="22" s="1"/>
  <c r="I21" i="22"/>
  <c r="I17" i="22" s="1"/>
  <c r="L21" i="22"/>
  <c r="L17" i="22" s="1"/>
  <c r="M21" i="22"/>
  <c r="M17" i="22" s="1"/>
  <c r="N21" i="22"/>
  <c r="N17" i="22" s="1"/>
  <c r="O21" i="22"/>
  <c r="O17" i="22" s="1"/>
  <c r="P21" i="22"/>
  <c r="P17" i="22" s="1"/>
  <c r="ET115" i="24"/>
  <c r="EV23" i="24"/>
  <c r="EU45" i="24"/>
  <c r="EU53" i="24"/>
  <c r="S54" i="22"/>
  <c r="EU46" i="24"/>
  <c r="ET50" i="24"/>
  <c r="ET92" i="24"/>
  <c r="EV22" i="24"/>
  <c r="EV54" i="24" l="1"/>
  <c r="EV47" i="24"/>
  <c r="EV45" i="24"/>
  <c r="EV46" i="24"/>
  <c r="FG26" i="24"/>
  <c r="FF96" i="24"/>
  <c r="EW23" i="24"/>
  <c r="EV53" i="24"/>
  <c r="EV44" i="24"/>
  <c r="FE115" i="24"/>
  <c r="FG25" i="24"/>
  <c r="FF80" i="24"/>
  <c r="FF112" i="24"/>
  <c r="FF84" i="24"/>
  <c r="FF97" i="24"/>
  <c r="FF82" i="24"/>
  <c r="FF98" i="24"/>
  <c r="FF111" i="24"/>
  <c r="FF81" i="24"/>
  <c r="FF114" i="24"/>
  <c r="FF83" i="24"/>
  <c r="FF85" i="24"/>
  <c r="FF113" i="24"/>
  <c r="FE92" i="24"/>
  <c r="N39" i="15"/>
  <c r="EU115" i="24"/>
  <c r="P80" i="22"/>
  <c r="Q80" i="22"/>
  <c r="EU50" i="24"/>
  <c r="EU57" i="24"/>
  <c r="EU92" i="24"/>
  <c r="S55" i="22"/>
  <c r="F89" i="24"/>
  <c r="F88" i="24"/>
  <c r="F86" i="24"/>
  <c r="S52" i="22"/>
  <c r="F87" i="24"/>
  <c r="S53" i="22"/>
  <c r="EW22" i="24"/>
  <c r="EV57" i="24" l="1"/>
  <c r="Q21" i="22"/>
  <c r="EV50" i="24"/>
  <c r="EW47" i="24"/>
  <c r="EW54" i="24"/>
  <c r="EW45" i="24"/>
  <c r="EW46" i="24"/>
  <c r="FF115" i="24"/>
  <c r="EX23" i="24"/>
  <c r="EW44" i="24"/>
  <c r="Q18" i="22" s="1"/>
  <c r="EW53" i="24"/>
  <c r="FF92" i="24"/>
  <c r="FH26" i="24"/>
  <c r="FG96" i="24"/>
  <c r="FH25" i="24"/>
  <c r="FG113" i="24"/>
  <c r="R78" i="22" s="1"/>
  <c r="FG85" i="24"/>
  <c r="FG84" i="24"/>
  <c r="FG112" i="24"/>
  <c r="R77" i="22" s="1"/>
  <c r="FG82" i="24"/>
  <c r="FG98" i="24"/>
  <c r="FG111" i="24"/>
  <c r="R76" i="22" s="1"/>
  <c r="FG97" i="24"/>
  <c r="FG80" i="24"/>
  <c r="FG81" i="24"/>
  <c r="FG114" i="24"/>
  <c r="R79" i="22" s="1"/>
  <c r="FG83" i="24"/>
  <c r="N40" i="15"/>
  <c r="EX22" i="24"/>
  <c r="R80" i="22" l="1"/>
  <c r="FI26" i="24"/>
  <c r="FH96" i="24"/>
  <c r="FI25" i="24"/>
  <c r="FH85" i="24"/>
  <c r="FH82" i="24"/>
  <c r="FH98" i="24"/>
  <c r="FH83" i="24"/>
  <c r="FH84" i="24"/>
  <c r="FH97" i="24"/>
  <c r="FH81" i="24"/>
  <c r="FH80" i="24"/>
  <c r="EX47" i="24"/>
  <c r="EX54" i="24"/>
  <c r="EX45" i="24"/>
  <c r="EX46" i="24"/>
  <c r="G62" i="22"/>
  <c r="N24" i="15"/>
  <c r="FG115" i="24"/>
  <c r="S76" i="22"/>
  <c r="F111" i="24"/>
  <c r="EW57" i="24"/>
  <c r="S79" i="22"/>
  <c r="F114" i="24"/>
  <c r="EW50" i="24"/>
  <c r="FG92" i="24"/>
  <c r="S78" i="22"/>
  <c r="F113" i="24"/>
  <c r="S77" i="22"/>
  <c r="F112" i="24"/>
  <c r="EY23" i="24"/>
  <c r="EX44" i="24"/>
  <c r="EX53" i="24"/>
  <c r="EY22" i="24"/>
  <c r="EX57" i="24" l="1"/>
  <c r="FJ26" i="24"/>
  <c r="FI96" i="24"/>
  <c r="FH92" i="24"/>
  <c r="FJ25" i="24"/>
  <c r="FI80" i="24"/>
  <c r="FI98" i="24"/>
  <c r="FI83" i="24"/>
  <c r="FI85" i="24"/>
  <c r="FI82" i="24"/>
  <c r="FI81" i="24"/>
  <c r="FI84" i="24"/>
  <c r="FI97" i="24"/>
  <c r="EX50" i="24"/>
  <c r="EY47" i="24"/>
  <c r="EY54" i="24"/>
  <c r="EY46" i="24"/>
  <c r="EY45" i="24"/>
  <c r="EZ23" i="24"/>
  <c r="EY44" i="24"/>
  <c r="EY53" i="24"/>
  <c r="S80" i="22"/>
  <c r="EZ22" i="24"/>
  <c r="FI92" i="24" l="1"/>
  <c r="FK26" i="24"/>
  <c r="FJ96" i="24"/>
  <c r="FK25" i="24"/>
  <c r="FJ84" i="24"/>
  <c r="FJ97" i="24"/>
  <c r="FJ85" i="24"/>
  <c r="FJ82" i="24"/>
  <c r="FJ80" i="24"/>
  <c r="FJ81" i="24"/>
  <c r="FJ83" i="24"/>
  <c r="FJ98" i="24"/>
  <c r="EY57" i="24"/>
  <c r="EZ47" i="24"/>
  <c r="EZ54" i="24"/>
  <c r="EZ45" i="24"/>
  <c r="EZ46" i="24"/>
  <c r="EY50" i="24"/>
  <c r="FA23" i="24"/>
  <c r="EZ53" i="24"/>
  <c r="EZ44" i="24"/>
  <c r="FA22" i="24"/>
  <c r="FJ92" i="24" l="1"/>
  <c r="FL25" i="24"/>
  <c r="FK80" i="24"/>
  <c r="FK81" i="24"/>
  <c r="FK83" i="24"/>
  <c r="FK82" i="24"/>
  <c r="FK97" i="24"/>
  <c r="FK98" i="24"/>
  <c r="FK85" i="24"/>
  <c r="FK84" i="24"/>
  <c r="FL26" i="24"/>
  <c r="FK96" i="24"/>
  <c r="FA47" i="24"/>
  <c r="FA54" i="24"/>
  <c r="FA46" i="24"/>
  <c r="FA45" i="24"/>
  <c r="EZ57" i="24"/>
  <c r="FB23" i="24"/>
  <c r="FA53" i="24"/>
  <c r="FA44" i="24"/>
  <c r="EZ50" i="24"/>
  <c r="FB22" i="24"/>
  <c r="FK92" i="24" l="1"/>
  <c r="FM25" i="24"/>
  <c r="FL80" i="24"/>
  <c r="FL98" i="24"/>
  <c r="FL97" i="24"/>
  <c r="FL83" i="24"/>
  <c r="FL84" i="24"/>
  <c r="FL82" i="24"/>
  <c r="FL81" i="24"/>
  <c r="FL85" i="24"/>
  <c r="FM26" i="24"/>
  <c r="FL96" i="24"/>
  <c r="FA57" i="24"/>
  <c r="FB54" i="24"/>
  <c r="FB47" i="24"/>
  <c r="FB45" i="24"/>
  <c r="FB46" i="24"/>
  <c r="FC23" i="24"/>
  <c r="FB44" i="24"/>
  <c r="FB53" i="24"/>
  <c r="FA50" i="24"/>
  <c r="FC22" i="24"/>
  <c r="FN26" i="24" l="1"/>
  <c r="FM96" i="24"/>
  <c r="FL92" i="24"/>
  <c r="FN25" i="24"/>
  <c r="FM97" i="24"/>
  <c r="FM81" i="24"/>
  <c r="FM84" i="24"/>
  <c r="FM82" i="24"/>
  <c r="FM80" i="24"/>
  <c r="FM85" i="24"/>
  <c r="FM98" i="24"/>
  <c r="FM83" i="24"/>
  <c r="FC47" i="24"/>
  <c r="FC54" i="24"/>
  <c r="FC46" i="24"/>
  <c r="FC45" i="24"/>
  <c r="FB50" i="24"/>
  <c r="FB57" i="24"/>
  <c r="FD23" i="24"/>
  <c r="FC53" i="24"/>
  <c r="FC44" i="24"/>
  <c r="FD22" i="24"/>
  <c r="FO26" i="24" l="1"/>
  <c r="FN96" i="24"/>
  <c r="FM92" i="24"/>
  <c r="FO25" i="24"/>
  <c r="FN85" i="24"/>
  <c r="FN81" i="24"/>
  <c r="FN82" i="24"/>
  <c r="FN80" i="24"/>
  <c r="FN83" i="24"/>
  <c r="FN98" i="24"/>
  <c r="FN84" i="24"/>
  <c r="FN97" i="24"/>
  <c r="FC57" i="24"/>
  <c r="FD47" i="24"/>
  <c r="FD54" i="24"/>
  <c r="FD46" i="24"/>
  <c r="FD45" i="24"/>
  <c r="FE23" i="24"/>
  <c r="FD44" i="24"/>
  <c r="FD53" i="24"/>
  <c r="FC50" i="24"/>
  <c r="FE22" i="24"/>
  <c r="FP26" i="24" l="1"/>
  <c r="FO96" i="24"/>
  <c r="FN92" i="24"/>
  <c r="FP25" i="24"/>
  <c r="FO81" i="24"/>
  <c r="FO80" i="24"/>
  <c r="FO85" i="24"/>
  <c r="FO83" i="24"/>
  <c r="FO84" i="24"/>
  <c r="FO97" i="24"/>
  <c r="FO82" i="24"/>
  <c r="FO98" i="24"/>
  <c r="FD57" i="24"/>
  <c r="FD50" i="24"/>
  <c r="FE47" i="24"/>
  <c r="FE54" i="24"/>
  <c r="FE46" i="24"/>
  <c r="FE45" i="24"/>
  <c r="FF23" i="24"/>
  <c r="FE53" i="24"/>
  <c r="FE44" i="24"/>
  <c r="FF22" i="24"/>
  <c r="FQ25" i="24" l="1"/>
  <c r="FP82" i="24"/>
  <c r="FP81" i="24"/>
  <c r="FP97" i="24"/>
  <c r="FP80" i="24"/>
  <c r="FP83" i="24"/>
  <c r="FP84" i="24"/>
  <c r="FP85" i="24"/>
  <c r="FP98" i="24"/>
  <c r="FQ26" i="24"/>
  <c r="FP96" i="24"/>
  <c r="FO92" i="24"/>
  <c r="FE57" i="24"/>
  <c r="FE50" i="24"/>
  <c r="FF54" i="24"/>
  <c r="FF47" i="24"/>
  <c r="FF46" i="24"/>
  <c r="FF45" i="24"/>
  <c r="FG23" i="24"/>
  <c r="FF53" i="24"/>
  <c r="FF44" i="24"/>
  <c r="FG22" i="24"/>
  <c r="FR26" i="24" l="1"/>
  <c r="FQ96" i="24"/>
  <c r="FP92" i="24"/>
  <c r="FR25" i="24"/>
  <c r="FQ85" i="24"/>
  <c r="FQ84" i="24"/>
  <c r="FQ81" i="24"/>
  <c r="FQ82" i="24"/>
  <c r="FQ83" i="24"/>
  <c r="FQ97" i="24"/>
  <c r="FQ80" i="24"/>
  <c r="FQ98" i="24"/>
  <c r="FF57" i="24"/>
  <c r="FF50" i="24"/>
  <c r="FG54" i="24"/>
  <c r="FG47" i="24"/>
  <c r="R21" i="22" s="1"/>
  <c r="FG46" i="24"/>
  <c r="FG45" i="24"/>
  <c r="FH23" i="24"/>
  <c r="FG44" i="24"/>
  <c r="FG53" i="24"/>
  <c r="FH22" i="24"/>
  <c r="FQ92" i="24" l="1"/>
  <c r="FI23" i="24"/>
  <c r="FH44" i="24"/>
  <c r="FH50" i="24" s="1"/>
  <c r="FH53" i="24"/>
  <c r="FH57" i="24" s="1"/>
  <c r="Q19" i="22"/>
  <c r="R19" i="22"/>
  <c r="Q20" i="22"/>
  <c r="R20" i="22"/>
  <c r="FS26" i="24"/>
  <c r="FR96" i="24"/>
  <c r="FS25" i="24"/>
  <c r="FR97" i="24"/>
  <c r="FR81" i="24"/>
  <c r="FR82" i="24"/>
  <c r="FR84" i="24"/>
  <c r="FR83" i="24"/>
  <c r="FR80" i="24"/>
  <c r="FR85" i="24"/>
  <c r="FR98" i="24"/>
  <c r="S19" i="22"/>
  <c r="F45" i="24"/>
  <c r="F46" i="24"/>
  <c r="S20" i="22"/>
  <c r="F47" i="24"/>
  <c r="S21" i="22"/>
  <c r="I20" i="15"/>
  <c r="I23" i="15" s="1"/>
  <c r="F54" i="24"/>
  <c r="G26" i="22"/>
  <c r="G24" i="22" s="1"/>
  <c r="H26" i="22"/>
  <c r="H24" i="22" s="1"/>
  <c r="I26" i="22"/>
  <c r="L26" i="22"/>
  <c r="L24" i="22" s="1"/>
  <c r="M26" i="22"/>
  <c r="M24" i="22" s="1"/>
  <c r="N26" i="22"/>
  <c r="N24" i="22" s="1"/>
  <c r="O26" i="22"/>
  <c r="O24" i="22" s="1"/>
  <c r="P26" i="22"/>
  <c r="P24" i="22" s="1"/>
  <c r="Q26" i="22"/>
  <c r="R26" i="22"/>
  <c r="S26" i="22"/>
  <c r="FG57" i="24"/>
  <c r="FG50" i="24"/>
  <c r="FI22" i="24"/>
  <c r="FT25" i="24" l="1"/>
  <c r="FS83" i="24"/>
  <c r="FS85" i="24"/>
  <c r="FS80" i="24"/>
  <c r="FS98" i="24"/>
  <c r="FS84" i="24"/>
  <c r="FS82" i="24"/>
  <c r="FS81" i="24"/>
  <c r="FS97" i="24"/>
  <c r="FJ23" i="24"/>
  <c r="FI44" i="24"/>
  <c r="R18" i="22" s="1"/>
  <c r="R17" i="22" s="1"/>
  <c r="FI53" i="24"/>
  <c r="FR92" i="24"/>
  <c r="FT26" i="24"/>
  <c r="FT96" i="24" s="1"/>
  <c r="FS96" i="24"/>
  <c r="Q17" i="22"/>
  <c r="FJ22" i="24"/>
  <c r="FT97" i="24" l="1"/>
  <c r="FT80" i="24"/>
  <c r="FT85" i="24"/>
  <c r="F85" i="24" s="1"/>
  <c r="FT98" i="24"/>
  <c r="F98" i="24" s="1"/>
  <c r="FT82" i="24"/>
  <c r="F82" i="24" s="1"/>
  <c r="FT84" i="24"/>
  <c r="F84" i="24" s="1"/>
  <c r="FT83" i="24"/>
  <c r="F83" i="24" s="1"/>
  <c r="FT81" i="24"/>
  <c r="F81" i="24" s="1"/>
  <c r="R48" i="22"/>
  <c r="S48" i="22"/>
  <c r="R51" i="22"/>
  <c r="S51" i="22"/>
  <c r="R62" i="22"/>
  <c r="F96" i="24"/>
  <c r="S62" i="22"/>
  <c r="FI57" i="24"/>
  <c r="R50" i="22"/>
  <c r="S50" i="22"/>
  <c r="R49" i="22"/>
  <c r="S49" i="22"/>
  <c r="FI50" i="24"/>
  <c r="R63" i="22"/>
  <c r="S63" i="22"/>
  <c r="F97" i="24"/>
  <c r="R64" i="22"/>
  <c r="S64" i="22"/>
  <c r="FK23" i="24"/>
  <c r="FJ44" i="24"/>
  <c r="FJ50" i="24" s="1"/>
  <c r="FJ53" i="24"/>
  <c r="FJ57" i="24" s="1"/>
  <c r="R47" i="22"/>
  <c r="S47" i="22"/>
  <c r="FS92" i="24"/>
  <c r="R46" i="22"/>
  <c r="S46" i="22"/>
  <c r="F80" i="24"/>
  <c r="FK22" i="24"/>
  <c r="S58" i="22" l="1"/>
  <c r="R58" i="22"/>
  <c r="FT92" i="24"/>
  <c r="F92" i="24" s="1"/>
  <c r="FL23" i="24"/>
  <c r="FK53" i="24"/>
  <c r="FK57" i="24" s="1"/>
  <c r="FK44" i="24"/>
  <c r="FK50" i="24" s="1"/>
  <c r="FL22" i="24"/>
  <c r="FM23" i="24" l="1"/>
  <c r="FL44" i="24"/>
  <c r="FL53" i="24"/>
  <c r="FM22" i="24"/>
  <c r="FL57" i="24" l="1"/>
  <c r="FL50" i="24"/>
  <c r="FN23" i="24"/>
  <c r="FM44" i="24"/>
  <c r="FM50" i="24" s="1"/>
  <c r="FM53" i="24"/>
  <c r="FM57" i="24" s="1"/>
  <c r="FN22" i="24"/>
  <c r="FO23" i="24" l="1"/>
  <c r="FN53" i="24"/>
  <c r="FN44" i="24"/>
  <c r="FO22" i="24"/>
  <c r="FN50" i="24" l="1"/>
  <c r="I25" i="22"/>
  <c r="I24" i="22" s="1"/>
  <c r="FN57" i="24"/>
  <c r="FP23" i="24"/>
  <c r="FO53" i="24"/>
  <c r="FO57" i="24" s="1"/>
  <c r="FO44" i="24"/>
  <c r="FO50" i="24" s="1"/>
  <c r="FP22" i="24"/>
  <c r="FQ23" i="24" l="1"/>
  <c r="FP53" i="24"/>
  <c r="FP44" i="24"/>
  <c r="FQ22" i="24"/>
  <c r="FP50" i="24" l="1"/>
  <c r="FP57" i="24"/>
  <c r="FR23" i="24"/>
  <c r="FQ53" i="24"/>
  <c r="FQ57" i="24" s="1"/>
  <c r="FQ44" i="24"/>
  <c r="FQ50" i="24" s="1"/>
  <c r="FR22" i="24"/>
  <c r="FS23" i="24" l="1"/>
  <c r="FR53" i="24"/>
  <c r="FR57" i="24" s="1"/>
  <c r="FR44" i="24"/>
  <c r="FR50" i="24" s="1"/>
  <c r="FS22" i="24"/>
  <c r="FT23" i="24" l="1"/>
  <c r="FS53" i="24"/>
  <c r="FS44" i="24"/>
  <c r="FT22" i="24"/>
  <c r="FT53" i="24" l="1"/>
  <c r="FT57" i="24" s="1"/>
  <c r="FT44" i="24"/>
  <c r="FT50" i="24" s="1"/>
  <c r="FS50" i="24"/>
  <c r="S18" i="22"/>
  <c r="S17" i="22" s="1"/>
  <c r="FS57" i="24"/>
  <c r="Q25" i="22"/>
  <c r="Q24" i="22" s="1"/>
  <c r="R25" i="22"/>
  <c r="R24" i="22" s="1"/>
  <c r="F53" i="24"/>
  <c r="S25" i="22"/>
  <c r="S24" i="22" s="1"/>
  <c r="F57" i="24" l="1"/>
  <c r="F44" i="24"/>
  <c r="F50" i="24"/>
  <c r="B20" i="45"/>
  <c r="B21" i="45" s="1"/>
  <c r="B22" i="45" s="1"/>
  <c r="B23" i="45" s="1"/>
  <c r="B24" i="45" s="1"/>
  <c r="B25" i="45" s="1"/>
  <c r="B26" i="45" s="1"/>
  <c r="B27" i="45" s="1"/>
  <c r="B28" i="45" s="1"/>
  <c r="B29" i="45" s="1"/>
  <c r="B30" i="45" s="1"/>
  <c r="B31" i="45" s="1"/>
  <c r="B32" i="45" s="1"/>
  <c r="B33" i="45" s="1"/>
  <c r="B34" i="45" s="1"/>
  <c r="B35" i="45" s="1"/>
  <c r="B36" i="45" s="1"/>
  <c r="B37" i="45" s="1"/>
  <c r="B38" i="45" s="1"/>
  <c r="B39" i="45" s="1"/>
  <c r="B40" i="45" s="1"/>
  <c r="B41" i="45" s="1"/>
  <c r="B42" i="45" s="1"/>
  <c r="B43" i="45" s="1"/>
  <c r="B44" i="45" s="1"/>
  <c r="B45" i="45" s="1"/>
  <c r="B46" i="45" s="1"/>
  <c r="B47" i="45" s="1"/>
  <c r="B48" i="45" s="1"/>
  <c r="B49" i="45" s="1"/>
  <c r="B50" i="45" s="1"/>
  <c r="B51" i="45" s="1"/>
  <c r="B52" i="45" s="1"/>
  <c r="B53" i="45" s="1"/>
  <c r="B54" i="45" s="1"/>
  <c r="B55" i="45" s="1"/>
  <c r="B56" i="45" s="1"/>
  <c r="B57" i="45" s="1"/>
  <c r="B58" i="45" s="1"/>
  <c r="B59" i="45" s="1"/>
  <c r="B60" i="45" s="1"/>
  <c r="B61" i="45" s="1"/>
  <c r="B62" i="45" s="1"/>
  <c r="B63" i="45" s="1"/>
  <c r="B64" i="45" s="1"/>
  <c r="B65" i="45" s="1"/>
  <c r="B66" i="45" s="1"/>
  <c r="B67" i="45" s="1"/>
  <c r="B68" i="45" s="1"/>
  <c r="B69" i="45" s="1"/>
  <c r="B70" i="45" s="1"/>
  <c r="B71" i="45" s="1"/>
  <c r="B72" i="45" s="1"/>
  <c r="B73" i="45" s="1"/>
  <c r="B74" i="45" s="1"/>
  <c r="B75" i="45" s="1"/>
  <c r="B76" i="45" s="1"/>
  <c r="B77" i="45" s="1"/>
  <c r="B78" i="45" s="1"/>
  <c r="B79" i="45" s="1"/>
  <c r="B80" i="45" s="1"/>
  <c r="B81" i="45" s="1"/>
  <c r="B82" i="45" s="1"/>
  <c r="B83" i="45" s="1"/>
  <c r="B84" i="45" s="1"/>
  <c r="B85" i="45" s="1"/>
  <c r="B86" i="45" s="1"/>
  <c r="B87" i="45" s="1"/>
  <c r="B88" i="45" s="1"/>
  <c r="B89" i="45" s="1"/>
  <c r="B90" i="45" s="1"/>
  <c r="B91" i="45" s="1"/>
  <c r="B92" i="45" s="1"/>
  <c r="B93" i="45" s="1"/>
  <c r="B94" i="45" s="1"/>
  <c r="B95" i="45" s="1"/>
  <c r="B96" i="45" s="1"/>
  <c r="B97" i="45" s="1"/>
  <c r="B98" i="45" s="1"/>
  <c r="B99" i="45" s="1"/>
  <c r="B100" i="45" s="1"/>
  <c r="B101" i="45" s="1"/>
  <c r="B102" i="45" s="1"/>
  <c r="B103" i="45" s="1"/>
  <c r="B104" i="45" s="1"/>
  <c r="B105" i="45" s="1"/>
  <c r="B106" i="45" s="1"/>
  <c r="B107" i="45" s="1"/>
  <c r="B108" i="45" s="1"/>
  <c r="B109" i="45" s="1"/>
  <c r="B110" i="45" s="1"/>
  <c r="B111" i="45" s="1"/>
  <c r="B112" i="45" s="1"/>
  <c r="B113" i="45" s="1"/>
  <c r="B114" i="45" s="1"/>
  <c r="B115" i="45" s="1"/>
  <c r="B116" i="45" s="1"/>
  <c r="B117" i="45" s="1"/>
  <c r="B118" i="45" s="1"/>
  <c r="B119" i="45" s="1"/>
  <c r="B120" i="45" s="1"/>
  <c r="B121" i="45" s="1"/>
  <c r="B122" i="45" s="1"/>
  <c r="B123" i="45" s="1"/>
  <c r="B124" i="45" s="1"/>
  <c r="B125" i="45" s="1"/>
  <c r="B126" i="45" s="1"/>
  <c r="B127" i="45" s="1"/>
  <c r="B128" i="45" s="1"/>
  <c r="B129" i="45" s="1"/>
  <c r="B130" i="45" s="1"/>
  <c r="B131" i="45" s="1"/>
  <c r="B132" i="45" s="1"/>
  <c r="B133" i="45" s="1"/>
  <c r="B134" i="45" s="1"/>
  <c r="B135" i="45" s="1"/>
  <c r="B136" i="45" s="1"/>
  <c r="B137" i="45" s="1"/>
  <c r="B138" i="45" s="1"/>
  <c r="B139" i="45" s="1"/>
  <c r="B140" i="45" s="1"/>
  <c r="B141" i="45" s="1"/>
  <c r="B142" i="45" s="1"/>
  <c r="B143" i="45" s="1"/>
  <c r="B144" i="45" s="1"/>
  <c r="B145" i="45" s="1"/>
  <c r="B146" i="45" s="1"/>
  <c r="B147" i="45" s="1"/>
  <c r="B148" i="45" s="1"/>
  <c r="B149" i="45" s="1"/>
  <c r="B150" i="45" s="1"/>
  <c r="B151" i="45" s="1"/>
  <c r="B152" i="45" s="1"/>
  <c r="B153" i="45" s="1"/>
  <c r="B154" i="45" s="1"/>
  <c r="B155" i="45" s="1"/>
  <c r="B156" i="45" s="1"/>
  <c r="B157" i="45" s="1"/>
  <c r="B158" i="45" s="1"/>
  <c r="B159" i="45" s="1"/>
  <c r="B160" i="45" s="1"/>
  <c r="B161" i="45" s="1"/>
  <c r="B162" i="45" s="1"/>
  <c r="B163" i="45" s="1"/>
  <c r="B164" i="45" s="1"/>
  <c r="B165" i="45" s="1"/>
  <c r="B166" i="45" s="1"/>
  <c r="B167" i="45" s="1"/>
  <c r="B168" i="45" s="1"/>
  <c r="B169" i="45" s="1"/>
  <c r="B170" i="45" s="1"/>
  <c r="B171" i="45" s="1"/>
  <c r="B172" i="45" s="1"/>
  <c r="B173" i="45" s="1"/>
  <c r="B174" i="45" s="1"/>
  <c r="B175" i="45" s="1"/>
  <c r="B176" i="45" s="1"/>
  <c r="B177" i="45" s="1"/>
  <c r="B178" i="45" s="1"/>
  <c r="B179" i="45" s="1"/>
  <c r="B180" i="45" s="1"/>
  <c r="B181" i="45" s="1"/>
  <c r="B182" i="45" s="1"/>
  <c r="B183" i="45" s="1"/>
  <c r="B184" i="45" s="1"/>
  <c r="B185" i="45" s="1"/>
  <c r="B186" i="45" s="1"/>
  <c r="B187" i="45" s="1"/>
  <c r="B188" i="45" s="1"/>
  <c r="B189" i="45" s="1"/>
  <c r="B190" i="45" s="1"/>
  <c r="B191" i="45" s="1"/>
  <c r="B192" i="45" s="1"/>
  <c r="B193" i="45" s="1"/>
  <c r="B194" i="45" s="1"/>
  <c r="B195" i="45" s="1"/>
  <c r="B196" i="45" s="1"/>
  <c r="B197" i="45" s="1"/>
  <c r="B198" i="45" s="1"/>
  <c r="B199" i="45" s="1"/>
  <c r="B200" i="45" s="1"/>
  <c r="B201" i="45" s="1"/>
  <c r="B202" i="45" s="1"/>
  <c r="B203" i="45" s="1"/>
  <c r="B204" i="45" s="1"/>
  <c r="B205" i="45" s="1"/>
  <c r="B206" i="45" s="1"/>
  <c r="B207" i="45" s="1"/>
  <c r="B208" i="45" s="1"/>
  <c r="B209" i="45" s="1"/>
  <c r="B210" i="45" s="1"/>
  <c r="B211" i="45" s="1"/>
  <c r="B212" i="45" s="1"/>
  <c r="B213" i="45" s="1"/>
  <c r="B214" i="45" s="1"/>
  <c r="B215" i="45" s="1"/>
  <c r="B216" i="45" s="1"/>
  <c r="B217" i="45" s="1"/>
  <c r="B218" i="45" s="1"/>
  <c r="B219" i="45" s="1"/>
  <c r="B220" i="45" s="1"/>
  <c r="B221" i="45" s="1"/>
  <c r="B222" i="45" s="1"/>
  <c r="B223" i="45" s="1"/>
  <c r="B224" i="45" s="1"/>
  <c r="B225" i="45" s="1"/>
  <c r="B226" i="45" s="1"/>
  <c r="B227" i="45" s="1"/>
  <c r="B228" i="45" s="1"/>
  <c r="B229" i="45" s="1"/>
  <c r="B230" i="45" s="1"/>
  <c r="B231" i="45" s="1"/>
  <c r="B232" i="45" s="1"/>
  <c r="B233" i="45" s="1"/>
  <c r="B234" i="45" s="1"/>
  <c r="B235" i="45" s="1"/>
  <c r="B236" i="45" s="1"/>
  <c r="B237" i="45" s="1"/>
  <c r="B238" i="45" s="1"/>
  <c r="B239" i="45" s="1"/>
  <c r="B240" i="45" s="1"/>
  <c r="B241" i="45" s="1"/>
  <c r="B242" i="45" s="1"/>
  <c r="B243" i="45" s="1"/>
  <c r="B244" i="45" s="1"/>
  <c r="B245" i="45" s="1"/>
  <c r="B246" i="45" s="1"/>
  <c r="B247" i="45" s="1"/>
  <c r="B248" i="45" s="1"/>
  <c r="B249" i="45" s="1"/>
  <c r="B250" i="45" s="1"/>
  <c r="B251" i="45" s="1"/>
  <c r="B252" i="45" s="1"/>
  <c r="B253" i="45" s="1"/>
  <c r="B254" i="45" s="1"/>
  <c r="B255" i="45" s="1"/>
  <c r="B256" i="45" s="1"/>
  <c r="B257" i="45" s="1"/>
  <c r="B258" i="45" s="1"/>
  <c r="B259" i="45" s="1"/>
  <c r="B260" i="45" s="1"/>
  <c r="B261" i="45" s="1"/>
  <c r="B262" i="45" s="1"/>
  <c r="B263" i="45" s="1"/>
  <c r="B264" i="45" s="1"/>
  <c r="B265" i="45" s="1"/>
  <c r="B266" i="45" s="1"/>
  <c r="B267" i="45" s="1"/>
  <c r="B268" i="45" s="1"/>
  <c r="B269" i="45" s="1"/>
  <c r="B270" i="45" s="1"/>
  <c r="B271" i="45" s="1"/>
  <c r="B272" i="45" s="1"/>
  <c r="B273" i="45" s="1"/>
  <c r="B274" i="45" s="1"/>
  <c r="B275" i="45" s="1"/>
  <c r="B276" i="45" s="1"/>
  <c r="B277" i="45" s="1"/>
  <c r="B278" i="45" s="1"/>
  <c r="B279" i="45" s="1"/>
  <c r="B280" i="45" s="1"/>
  <c r="B281" i="45" s="1"/>
  <c r="B282" i="45" s="1"/>
  <c r="B283" i="45" s="1"/>
  <c r="B284" i="45" s="1"/>
  <c r="B285" i="45" s="1"/>
  <c r="B286" i="45" s="1"/>
  <c r="B287" i="45" s="1"/>
  <c r="B288" i="45" s="1"/>
  <c r="B289" i="45" s="1"/>
  <c r="B290" i="45" s="1"/>
  <c r="B291" i="45" s="1"/>
  <c r="B292" i="45" s="1"/>
  <c r="B293" i="45" s="1"/>
  <c r="B294" i="45" s="1"/>
  <c r="B295" i="45" s="1"/>
  <c r="B296" i="45" s="1"/>
  <c r="B297" i="45" s="1"/>
  <c r="B298" i="45" s="1"/>
  <c r="B299" i="45" s="1"/>
  <c r="B300" i="45" s="1"/>
  <c r="B301" i="45" s="1"/>
  <c r="B302" i="45" s="1"/>
  <c r="B303" i="45" s="1"/>
  <c r="B304" i="45" s="1"/>
  <c r="B305" i="45" s="1"/>
  <c r="B306" i="45" s="1"/>
  <c r="B307" i="45" s="1"/>
  <c r="B308" i="45" s="1"/>
  <c r="B309" i="45" s="1"/>
  <c r="B310" i="45" s="1"/>
  <c r="B311" i="45" s="1"/>
  <c r="B312" i="45" s="1"/>
  <c r="B313" i="45" s="1"/>
  <c r="B314" i="45" s="1"/>
  <c r="B315" i="45" s="1"/>
  <c r="B316" i="45" s="1"/>
  <c r="B317" i="45" s="1"/>
  <c r="B318" i="45" s="1"/>
  <c r="B319" i="45" s="1"/>
  <c r="B320" i="45" s="1"/>
  <c r="B321" i="45" s="1"/>
  <c r="B322" i="45" s="1"/>
  <c r="B323" i="45" s="1"/>
  <c r="B324" i="45" s="1"/>
  <c r="B325" i="45" s="1"/>
  <c r="B326" i="45" s="1"/>
  <c r="B327" i="45" s="1"/>
  <c r="B328" i="45" s="1"/>
  <c r="B329" i="45" s="1"/>
  <c r="B330" i="45" s="1"/>
  <c r="B331" i="45" s="1"/>
  <c r="B332" i="45" s="1"/>
  <c r="B333" i="45" s="1"/>
  <c r="B334" i="45" s="1"/>
  <c r="B335" i="45" s="1"/>
  <c r="B336" i="45" s="1"/>
  <c r="B337" i="45" s="1"/>
  <c r="B338" i="45" s="1"/>
  <c r="B339" i="45" s="1"/>
  <c r="B340" i="45" s="1"/>
  <c r="B341" i="45" s="1"/>
  <c r="B342" i="45" s="1"/>
  <c r="B343" i="45" s="1"/>
  <c r="B344" i="45" s="1"/>
  <c r="B345" i="45" s="1"/>
  <c r="B346" i="45" s="1"/>
  <c r="B347" i="45" s="1"/>
  <c r="B348" i="45" s="1"/>
  <c r="B349" i="45" s="1"/>
  <c r="B350" i="45" s="1"/>
  <c r="B351" i="45" s="1"/>
  <c r="B352" i="45" s="1"/>
  <c r="B353" i="45" s="1"/>
  <c r="B354" i="45" s="1"/>
  <c r="B355" i="45" s="1"/>
  <c r="B356" i="45" s="1"/>
  <c r="B357" i="45" s="1"/>
  <c r="B358" i="45" s="1"/>
  <c r="B359" i="45" s="1"/>
  <c r="B360" i="45" s="1"/>
  <c r="B361" i="45" s="1"/>
  <c r="B362" i="45" s="1"/>
  <c r="B363" i="45" s="1"/>
  <c r="B364" i="45" s="1"/>
  <c r="B365" i="45" s="1"/>
  <c r="B366" i="45" s="1"/>
  <c r="B367" i="45" s="1"/>
  <c r="B368" i="45" s="1"/>
  <c r="B369" i="45" s="1"/>
  <c r="B370" i="45" s="1"/>
  <c r="B371" i="45" s="1"/>
  <c r="B372" i="45" s="1"/>
  <c r="B373" i="45" s="1"/>
  <c r="B374" i="45" s="1"/>
  <c r="B375" i="45" s="1"/>
  <c r="B376" i="45" s="1"/>
  <c r="B377" i="45" s="1"/>
  <c r="B378" i="45" s="1"/>
  <c r="B379" i="45" s="1"/>
  <c r="B380" i="45" s="1"/>
  <c r="B381" i="45" s="1"/>
  <c r="B382" i="45" s="1"/>
  <c r="B383" i="45" s="1"/>
  <c r="B384" i="45" s="1"/>
  <c r="B385" i="45" s="1"/>
  <c r="B386" i="45" s="1"/>
  <c r="B387" i="45" s="1"/>
  <c r="B388" i="45" s="1"/>
  <c r="B389" i="45" s="1"/>
  <c r="B390" i="45" s="1"/>
  <c r="B391" i="45" s="1"/>
  <c r="B392" i="45" s="1"/>
  <c r="B393" i="45" s="1"/>
  <c r="B394" i="45" s="1"/>
  <c r="B395" i="45" s="1"/>
  <c r="B396" i="45" s="1"/>
  <c r="B397" i="45" s="1"/>
  <c r="B398" i="45" s="1"/>
  <c r="B399" i="45" s="1"/>
  <c r="B400" i="45" s="1"/>
  <c r="B401" i="45" s="1"/>
  <c r="B402" i="45" s="1"/>
  <c r="B403" i="45" s="1"/>
  <c r="B404" i="45" s="1"/>
  <c r="B405" i="45" s="1"/>
  <c r="B406" i="45" s="1"/>
  <c r="B407" i="45" s="1"/>
  <c r="B408" i="45" s="1"/>
  <c r="B409" i="45" s="1"/>
  <c r="B410" i="45" s="1"/>
  <c r="B411" i="45" s="1"/>
  <c r="B412" i="45" s="1"/>
  <c r="B413" i="45" s="1"/>
  <c r="B414" i="45" s="1"/>
  <c r="B415" i="45" s="1"/>
  <c r="B416" i="45" s="1"/>
  <c r="B417" i="45" s="1"/>
  <c r="B418" i="45" s="1"/>
  <c r="B419" i="45" s="1"/>
  <c r="B420" i="45" s="1"/>
  <c r="B421" i="45" s="1"/>
  <c r="B422" i="45" s="1"/>
  <c r="B423" i="45" s="1"/>
  <c r="B424" i="45" s="1"/>
  <c r="B425" i="45" s="1"/>
  <c r="B426" i="45" s="1"/>
  <c r="B427" i="45" s="1"/>
  <c r="B428" i="45" s="1"/>
  <c r="B429" i="45" s="1"/>
  <c r="B430" i="45" s="1"/>
  <c r="B431" i="45" s="1"/>
  <c r="B432" i="45" s="1"/>
  <c r="B433" i="45" s="1"/>
  <c r="B434" i="45" s="1"/>
  <c r="B435" i="45" s="1"/>
  <c r="B436" i="45" s="1"/>
  <c r="B437" i="45" s="1"/>
  <c r="B438" i="45" s="1"/>
  <c r="B439" i="45" s="1"/>
  <c r="B440" i="45" s="1"/>
  <c r="AU43" i="44" l="1"/>
  <c r="T15" i="44" s="1"/>
  <c r="U15" i="44" l="1"/>
  <c r="W439" i="44" s="1"/>
  <c r="AT43" i="44"/>
  <c r="AT45" i="44"/>
  <c r="AT44" i="44"/>
  <c r="AU44" i="44" s="1"/>
  <c r="Q439" i="44" l="1"/>
  <c r="Q28" i="44"/>
  <c r="S29" i="44"/>
  <c r="S28" i="44"/>
  <c r="Q29" i="44"/>
  <c r="Q380" i="44"/>
  <c r="Q381" i="44"/>
  <c r="Q382" i="44"/>
  <c r="Q383" i="44"/>
  <c r="Q384" i="44"/>
  <c r="Q385" i="44"/>
  <c r="Q386" i="44"/>
  <c r="Q387" i="44"/>
  <c r="Q388" i="44"/>
  <c r="Q389" i="44"/>
  <c r="Q390" i="44"/>
  <c r="Q391" i="44"/>
  <c r="Q392" i="44"/>
  <c r="Q393" i="44"/>
  <c r="Q394" i="44"/>
  <c r="Q395" i="44"/>
  <c r="Q396" i="44"/>
  <c r="Q397" i="44"/>
  <c r="Q398" i="44"/>
  <c r="Q399" i="44"/>
  <c r="Q400" i="44"/>
  <c r="Q401" i="44"/>
  <c r="Q402" i="44"/>
  <c r="Q403" i="44"/>
  <c r="Q404" i="44"/>
  <c r="Q405" i="44"/>
  <c r="Q406" i="44"/>
  <c r="Q407" i="44"/>
  <c r="Q408" i="44"/>
  <c r="Q409" i="44"/>
  <c r="Q410" i="44"/>
  <c r="Q411" i="44"/>
  <c r="Q412" i="44"/>
  <c r="Q413" i="44"/>
  <c r="Q414" i="44"/>
  <c r="Q415" i="44"/>
  <c r="Q416" i="44"/>
  <c r="Q417" i="44"/>
  <c r="Q418" i="44"/>
  <c r="Q419" i="44"/>
  <c r="Q420" i="44"/>
  <c r="Q421" i="44"/>
  <c r="Q422" i="44"/>
  <c r="Q423" i="44"/>
  <c r="Q424" i="44"/>
  <c r="Q425" i="44"/>
  <c r="Q426" i="44"/>
  <c r="Q427" i="44"/>
  <c r="Q428" i="44"/>
  <c r="Q429" i="44"/>
  <c r="Q430" i="44"/>
  <c r="Q431" i="44"/>
  <c r="Q432" i="44"/>
  <c r="Q433" i="44"/>
  <c r="Q434" i="44"/>
  <c r="Q435" i="44"/>
  <c r="Q436" i="44"/>
  <c r="Q437" i="44"/>
  <c r="Q438" i="44"/>
  <c r="U440" i="44"/>
  <c r="S440" i="44"/>
  <c r="Q440" i="44"/>
  <c r="V440" i="44"/>
  <c r="P440" i="44"/>
  <c r="X440" i="44" s="1"/>
  <c r="Q379" i="44"/>
  <c r="P20" i="44"/>
  <c r="AG20" i="44" s="1"/>
  <c r="Q92" i="44"/>
  <c r="Q93" i="44"/>
  <c r="Q94" i="44"/>
  <c r="Q95" i="44"/>
  <c r="Q96" i="44"/>
  <c r="Q97" i="44"/>
  <c r="Q98" i="44"/>
  <c r="Q99" i="44"/>
  <c r="Q100" i="44"/>
  <c r="Q101" i="44"/>
  <c r="Q102" i="44"/>
  <c r="Q103" i="44"/>
  <c r="Q104" i="44"/>
  <c r="Q105" i="44"/>
  <c r="Q106" i="44"/>
  <c r="Q107" i="44"/>
  <c r="Q109" i="44"/>
  <c r="Q108" i="44"/>
  <c r="Q110" i="44"/>
  <c r="Q111" i="44"/>
  <c r="Q113" i="44"/>
  <c r="Q114" i="44"/>
  <c r="Q115" i="44"/>
  <c r="Q116" i="44"/>
  <c r="Q117" i="44"/>
  <c r="Q118" i="44"/>
  <c r="Q119" i="44"/>
  <c r="Q120" i="44"/>
  <c r="Q121" i="44"/>
  <c r="Q122" i="44"/>
  <c r="Q123" i="44"/>
  <c r="Q124" i="44"/>
  <c r="Q125" i="44"/>
  <c r="Q126" i="44"/>
  <c r="Q127" i="44"/>
  <c r="Q128" i="44"/>
  <c r="Q129" i="44"/>
  <c r="Q130" i="44"/>
  <c r="Q131" i="44"/>
  <c r="Q132" i="44"/>
  <c r="Q133" i="44"/>
  <c r="Q134" i="44"/>
  <c r="Q135" i="44"/>
  <c r="Q136" i="44"/>
  <c r="Q112" i="44"/>
  <c r="Q150" i="44"/>
  <c r="Q154" i="44"/>
  <c r="Q158" i="44"/>
  <c r="Q162" i="44"/>
  <c r="Q138" i="44"/>
  <c r="Q140" i="44"/>
  <c r="Q142" i="44"/>
  <c r="Q144" i="44"/>
  <c r="Q146" i="44"/>
  <c r="Q151" i="44"/>
  <c r="Q155" i="44"/>
  <c r="ES124" i="24" s="1"/>
  <c r="Q159" i="44"/>
  <c r="Q163" i="44"/>
  <c r="Q148" i="44"/>
  <c r="Q152" i="44"/>
  <c r="Q156" i="44"/>
  <c r="Q160" i="44"/>
  <c r="Q164" i="44"/>
  <c r="Q137" i="44"/>
  <c r="Q139" i="44"/>
  <c r="EC124" i="24" s="1"/>
  <c r="Q141" i="44"/>
  <c r="Q143" i="44"/>
  <c r="Q145" i="44"/>
  <c r="Q147" i="44"/>
  <c r="Q149" i="44"/>
  <c r="Q153" i="44"/>
  <c r="Q157" i="44"/>
  <c r="Q161" i="44"/>
  <c r="Q165" i="44"/>
  <c r="Q166" i="44"/>
  <c r="Q167" i="44"/>
  <c r="Q168" i="44"/>
  <c r="Q169" i="44"/>
  <c r="Q170" i="44"/>
  <c r="Q171" i="44"/>
  <c r="Q172" i="44"/>
  <c r="Q173" i="44"/>
  <c r="Q174" i="44"/>
  <c r="Q175" i="44"/>
  <c r="Q176" i="44"/>
  <c r="Q177" i="44"/>
  <c r="Q178" i="44"/>
  <c r="Q179" i="44"/>
  <c r="Q180" i="44"/>
  <c r="Q181" i="44"/>
  <c r="Q182" i="44"/>
  <c r="Q183" i="44"/>
  <c r="Q184" i="44"/>
  <c r="Q185" i="44"/>
  <c r="Q186" i="44"/>
  <c r="Q187" i="44"/>
  <c r="Q188" i="44"/>
  <c r="Q189" i="44"/>
  <c r="Q193" i="44"/>
  <c r="Q197" i="44"/>
  <c r="Q201" i="44"/>
  <c r="Q190" i="44"/>
  <c r="Q194" i="44"/>
  <c r="Q198" i="44"/>
  <c r="Q202" i="44"/>
  <c r="Q204" i="44"/>
  <c r="Q205" i="44"/>
  <c r="Q206" i="44"/>
  <c r="Q207" i="44"/>
  <c r="Q208" i="44"/>
  <c r="Q209" i="44"/>
  <c r="Q210" i="44"/>
  <c r="Q211" i="44"/>
  <c r="Q212" i="44"/>
  <c r="Q213" i="44"/>
  <c r="Q214" i="44"/>
  <c r="Q215" i="44"/>
  <c r="Q216" i="44"/>
  <c r="Q217" i="44"/>
  <c r="Q218" i="44"/>
  <c r="Q219" i="44"/>
  <c r="Q220" i="44"/>
  <c r="Q221" i="44"/>
  <c r="Q222" i="44"/>
  <c r="Q223" i="44"/>
  <c r="Q224" i="44"/>
  <c r="Q225" i="44"/>
  <c r="Q226" i="44"/>
  <c r="Q227" i="44"/>
  <c r="Q228" i="44"/>
  <c r="Q229" i="44"/>
  <c r="Q230" i="44"/>
  <c r="Q191" i="44"/>
  <c r="Q195" i="44"/>
  <c r="Q199" i="44"/>
  <c r="Q203" i="44"/>
  <c r="Q192" i="44"/>
  <c r="Q196" i="44"/>
  <c r="Q200" i="44"/>
  <c r="Q234" i="44"/>
  <c r="Q238" i="44"/>
  <c r="Q242" i="44"/>
  <c r="Q231" i="44"/>
  <c r="Q235" i="44"/>
  <c r="Q239" i="44"/>
  <c r="Q243" i="44"/>
  <c r="Q322" i="44"/>
  <c r="Q232" i="44"/>
  <c r="Q236" i="44"/>
  <c r="Q240" i="44"/>
  <c r="Q244" i="44"/>
  <c r="Q233" i="44"/>
  <c r="Q237" i="44"/>
  <c r="Q241" i="44"/>
  <c r="Q245" i="44"/>
  <c r="Q246" i="44"/>
  <c r="Q247" i="44"/>
  <c r="Q248" i="44"/>
  <c r="Q249" i="44"/>
  <c r="Q250" i="44"/>
  <c r="Q251" i="44"/>
  <c r="Q252" i="44"/>
  <c r="Q253" i="44"/>
  <c r="Q254" i="44"/>
  <c r="Q255" i="44"/>
  <c r="Q256" i="44"/>
  <c r="Q257" i="44"/>
  <c r="Q258" i="44"/>
  <c r="Q259" i="44"/>
  <c r="Q260" i="44"/>
  <c r="Q261" i="44"/>
  <c r="Q262" i="44"/>
  <c r="Q263" i="44"/>
  <c r="Q264" i="44"/>
  <c r="Q265" i="44"/>
  <c r="Q266" i="44"/>
  <c r="Q267" i="44"/>
  <c r="Q268" i="44"/>
  <c r="Q269" i="44"/>
  <c r="Q270" i="44"/>
  <c r="Q271" i="44"/>
  <c r="Q272" i="44"/>
  <c r="Q273" i="44"/>
  <c r="Q274" i="44"/>
  <c r="Q275" i="44"/>
  <c r="Q276" i="44"/>
  <c r="Q277" i="44"/>
  <c r="Q278" i="44"/>
  <c r="Q279" i="44"/>
  <c r="Q280" i="44"/>
  <c r="Q281" i="44"/>
  <c r="Q282" i="44"/>
  <c r="Q283" i="44"/>
  <c r="Q284" i="44"/>
  <c r="Q285" i="44"/>
  <c r="Q286" i="44"/>
  <c r="Q287" i="44"/>
  <c r="Q288" i="44"/>
  <c r="Q289" i="44"/>
  <c r="Q291" i="44"/>
  <c r="Q293" i="44"/>
  <c r="Q295" i="44"/>
  <c r="Q299" i="44"/>
  <c r="Q303" i="44"/>
  <c r="Q307" i="44"/>
  <c r="Q311" i="44"/>
  <c r="Q315" i="44"/>
  <c r="Q319" i="44"/>
  <c r="Q321" i="44"/>
  <c r="Q324" i="44"/>
  <c r="Q328" i="44"/>
  <c r="Q332" i="44"/>
  <c r="Q336" i="44"/>
  <c r="Q340" i="44"/>
  <c r="Q344" i="44"/>
  <c r="Q348" i="44"/>
  <c r="Q352" i="44"/>
  <c r="Q356" i="44"/>
  <c r="Q360" i="44"/>
  <c r="Q364" i="44"/>
  <c r="Q296" i="44"/>
  <c r="Q300" i="44"/>
  <c r="Q304" i="44"/>
  <c r="Q308" i="44"/>
  <c r="Q312" i="44"/>
  <c r="Q316" i="44"/>
  <c r="Q320" i="44"/>
  <c r="Q325" i="44"/>
  <c r="Q329" i="44"/>
  <c r="Q333" i="44"/>
  <c r="Q337" i="44"/>
  <c r="Q341" i="44"/>
  <c r="Q345" i="44"/>
  <c r="Q349" i="44"/>
  <c r="Q353" i="44"/>
  <c r="Q357" i="44"/>
  <c r="Q361" i="44"/>
  <c r="Q365" i="44"/>
  <c r="Q369" i="44"/>
  <c r="Q290" i="44"/>
  <c r="Q292" i="44"/>
  <c r="Q297" i="44"/>
  <c r="Q301" i="44"/>
  <c r="Q305" i="44"/>
  <c r="Q309" i="44"/>
  <c r="Q313" i="44"/>
  <c r="Q317" i="44"/>
  <c r="Q326" i="44"/>
  <c r="Q330" i="44"/>
  <c r="Q334" i="44"/>
  <c r="Q338" i="44"/>
  <c r="Q342" i="44"/>
  <c r="Q346" i="44"/>
  <c r="Q350" i="44"/>
  <c r="Q354" i="44"/>
  <c r="Q358" i="44"/>
  <c r="Q362" i="44"/>
  <c r="Q366" i="44"/>
  <c r="Q370" i="44"/>
  <c r="Q374" i="44"/>
  <c r="Q378" i="44"/>
  <c r="Q368" i="44"/>
  <c r="Q372" i="44"/>
  <c r="Q373" i="44"/>
  <c r="Q294" i="44"/>
  <c r="Q298" i="44"/>
  <c r="Q302" i="44"/>
  <c r="Q306" i="44"/>
  <c r="Q310" i="44"/>
  <c r="Q314" i="44"/>
  <c r="Q318" i="44"/>
  <c r="Q323" i="44"/>
  <c r="Q327" i="44"/>
  <c r="Q331" i="44"/>
  <c r="Q335" i="44"/>
  <c r="Q339" i="44"/>
  <c r="Q343" i="44"/>
  <c r="Q347" i="44"/>
  <c r="Q351" i="44"/>
  <c r="Q355" i="44"/>
  <c r="Q359" i="44"/>
  <c r="Q363" i="44"/>
  <c r="Q367" i="44"/>
  <c r="Q371" i="44"/>
  <c r="Q375" i="44"/>
  <c r="Q376" i="44"/>
  <c r="Q377" i="44"/>
  <c r="S20" i="44"/>
  <c r="V20" i="44"/>
  <c r="EI124" i="24" l="1"/>
  <c r="EA124" i="24"/>
  <c r="EG124" i="24"/>
  <c r="EM124" i="24"/>
  <c r="EE124" i="24"/>
  <c r="FQ124" i="24"/>
  <c r="FI124" i="24"/>
  <c r="DN124" i="24"/>
  <c r="DF124" i="24"/>
  <c r="CO124" i="24"/>
  <c r="CG124" i="24"/>
  <c r="EV124" i="24"/>
  <c r="CS124" i="24"/>
  <c r="EQ124" i="24"/>
  <c r="FB124" i="24"/>
  <c r="EU124" i="24"/>
  <c r="EO124" i="24"/>
  <c r="ER124" i="24"/>
  <c r="DB124" i="24"/>
  <c r="FM124" i="24"/>
  <c r="FE124" i="24"/>
  <c r="DR124" i="24"/>
  <c r="DJ124" i="24"/>
  <c r="CK124" i="24"/>
  <c r="FT124" i="24"/>
  <c r="FR124" i="24"/>
  <c r="FN124" i="24"/>
  <c r="FJ124" i="24"/>
  <c r="FF124" i="24"/>
  <c r="EY124" i="24"/>
  <c r="EK124" i="24"/>
  <c r="ET124" i="24"/>
  <c r="EW124" i="24"/>
  <c r="EH124" i="24"/>
  <c r="EZ124" i="24"/>
  <c r="DW124" i="24"/>
  <c r="DS124" i="24"/>
  <c r="DO124" i="24"/>
  <c r="DK124" i="24"/>
  <c r="DG124" i="24"/>
  <c r="DC124" i="24"/>
  <c r="CY124" i="24"/>
  <c r="CT124" i="24"/>
  <c r="CP124" i="24"/>
  <c r="CL124" i="24"/>
  <c r="CH124" i="24"/>
  <c r="EP124" i="24"/>
  <c r="EF124" i="24"/>
  <c r="DZ124" i="24"/>
  <c r="DV124" i="24"/>
  <c r="DA124" i="24"/>
  <c r="CW124" i="24"/>
  <c r="FP124" i="24"/>
  <c r="FL124" i="24"/>
  <c r="FH124" i="24"/>
  <c r="FD124" i="24"/>
  <c r="EL124" i="24"/>
  <c r="ED124" i="24"/>
  <c r="DY124" i="24"/>
  <c r="DU124" i="24"/>
  <c r="DQ124" i="24"/>
  <c r="DM124" i="24"/>
  <c r="DI124" i="24"/>
  <c r="DE124" i="24"/>
  <c r="CZ124" i="24"/>
  <c r="CV124" i="24"/>
  <c r="CR124" i="24"/>
  <c r="CN124" i="24"/>
  <c r="CJ124" i="24"/>
  <c r="CF124" i="24"/>
  <c r="FS124" i="24"/>
  <c r="FO124" i="24"/>
  <c r="FK124" i="24"/>
  <c r="FG124" i="24"/>
  <c r="FC124" i="24"/>
  <c r="EX124" i="24"/>
  <c r="FA124" i="24"/>
  <c r="EJ124" i="24"/>
  <c r="EB124" i="24"/>
  <c r="EN124" i="24"/>
  <c r="DX124" i="24"/>
  <c r="DT124" i="24"/>
  <c r="DP124" i="24"/>
  <c r="DL124" i="24"/>
  <c r="DH124" i="24"/>
  <c r="DD124" i="24"/>
  <c r="CX124" i="24"/>
  <c r="CU124" i="24"/>
  <c r="CQ124" i="24"/>
  <c r="CM124" i="24"/>
  <c r="CI124" i="24"/>
  <c r="CE124" i="24"/>
  <c r="W440" i="44"/>
  <c r="U20" i="44"/>
  <c r="W20" i="44"/>
  <c r="T21" i="44" s="1"/>
  <c r="Q21" i="44" l="1"/>
  <c r="S21" i="44"/>
  <c r="P21" i="44"/>
  <c r="V21" i="44"/>
  <c r="AC21" i="44" l="1"/>
  <c r="W21" i="44"/>
  <c r="T22" i="44" s="1"/>
  <c r="U21" i="44"/>
  <c r="Q22" i="44" l="1"/>
  <c r="P22" i="44"/>
  <c r="S22" i="44"/>
  <c r="V22" i="44"/>
  <c r="AC22" i="44" l="1"/>
  <c r="W22" i="44"/>
  <c r="T23" i="44" s="1"/>
  <c r="Q23" i="44"/>
  <c r="U22" i="44"/>
  <c r="P23" i="44" l="1"/>
  <c r="V23" i="44"/>
  <c r="S23" i="44"/>
  <c r="AC23" i="44"/>
  <c r="U23" i="44" l="1"/>
  <c r="W23" i="44"/>
  <c r="P24" i="44" l="1"/>
  <c r="T24" i="44"/>
  <c r="Q24" i="44" l="1"/>
  <c r="V24" i="44"/>
  <c r="S24" i="44" l="1"/>
  <c r="AC24" i="44"/>
  <c r="U24" i="44" l="1"/>
  <c r="W24" i="44"/>
  <c r="P25" i="44" l="1"/>
  <c r="T25" i="44"/>
  <c r="X29" i="44"/>
  <c r="V25" i="44" l="1"/>
  <c r="Q25" i="44"/>
  <c r="X30" i="44"/>
  <c r="H130" i="24" s="1"/>
  <c r="H133" i="24" s="1"/>
  <c r="S25" i="44" l="1"/>
  <c r="AC25" i="44"/>
  <c r="X31" i="44"/>
  <c r="I130" i="24" s="1"/>
  <c r="I133" i="24" s="1"/>
  <c r="U25" i="44" l="1"/>
  <c r="W25" i="44"/>
  <c r="T26" i="44" l="1"/>
  <c r="P26" i="44"/>
  <c r="Q26" i="44" l="1"/>
  <c r="V26" i="44"/>
  <c r="S26" i="44" l="1"/>
  <c r="AC26" i="44"/>
  <c r="U26" i="44" l="1"/>
  <c r="W26" i="44"/>
  <c r="T27" i="44" l="1"/>
  <c r="P27" i="44"/>
  <c r="V27" i="44" l="1"/>
  <c r="Q27" i="44"/>
  <c r="S27" i="44" l="1"/>
  <c r="AC27" i="44"/>
  <c r="U27" i="44" l="1"/>
  <c r="W27" i="44"/>
  <c r="P28" i="44" l="1"/>
  <c r="T28" i="44"/>
  <c r="V28" i="44" l="1"/>
  <c r="AC28" i="44" l="1"/>
  <c r="U28" i="44" l="1"/>
  <c r="W28" i="44"/>
  <c r="P29" i="44" l="1"/>
  <c r="T29" i="44"/>
  <c r="V29" i="44" l="1"/>
  <c r="AC29" i="44" l="1"/>
  <c r="U29" i="44" l="1"/>
  <c r="W29" i="44"/>
  <c r="T30" i="44" l="1"/>
  <c r="P30" i="44"/>
  <c r="Q30" i="44" l="1"/>
  <c r="H124" i="24" s="1"/>
  <c r="H127" i="24" s="1"/>
  <c r="H149" i="24" s="1"/>
  <c r="V30" i="44"/>
  <c r="H159" i="24" l="1"/>
  <c r="H152" i="24"/>
  <c r="S30" i="44"/>
  <c r="AI20" i="44" s="1"/>
  <c r="AC30" i="44"/>
  <c r="AO20" i="44" l="1"/>
  <c r="AL20" i="44"/>
  <c r="U30" i="44"/>
  <c r="W30" i="44"/>
  <c r="T31" i="44" l="1"/>
  <c r="P31" i="44"/>
  <c r="AG21" i="44" s="1"/>
  <c r="V31" i="44" l="1"/>
  <c r="Q31" i="44"/>
  <c r="I124" i="24" s="1"/>
  <c r="I127" i="24" s="1"/>
  <c r="I149" i="24" s="1"/>
  <c r="I159" i="24" l="1"/>
  <c r="I152" i="24"/>
  <c r="S31" i="44"/>
  <c r="AC31" i="44"/>
  <c r="U31" i="44" l="1"/>
  <c r="W31" i="44"/>
  <c r="P32" i="44" l="1"/>
  <c r="T32" i="44"/>
  <c r="Q32" i="44" l="1"/>
  <c r="J124" i="24" s="1"/>
  <c r="J127" i="24" s="1"/>
  <c r="V32" i="44"/>
  <c r="X32" i="44"/>
  <c r="J130" i="24" s="1"/>
  <c r="J133" i="24" s="1"/>
  <c r="AC32" i="44" l="1"/>
  <c r="S32" i="44"/>
  <c r="U32" i="44" l="1"/>
  <c r="W32" i="44"/>
  <c r="P33" i="44" l="1"/>
  <c r="T33" i="44"/>
  <c r="Q33" i="44" l="1"/>
  <c r="K124" i="24" s="1"/>
  <c r="K127" i="24" s="1"/>
  <c r="V33" i="44"/>
  <c r="X33" i="44"/>
  <c r="K130" i="24" s="1"/>
  <c r="K133" i="24" s="1"/>
  <c r="S33" i="44" l="1"/>
  <c r="AC33" i="44"/>
  <c r="U33" i="44" l="1"/>
  <c r="W33" i="44"/>
  <c r="T34" i="44" l="1"/>
  <c r="P34" i="44"/>
  <c r="X34" i="44" l="1"/>
  <c r="L130" i="24" s="1"/>
  <c r="L133" i="24" s="1"/>
  <c r="Q34" i="44"/>
  <c r="L124" i="24" s="1"/>
  <c r="L127" i="24" s="1"/>
  <c r="V34" i="44"/>
  <c r="S34" i="44" l="1"/>
  <c r="AC34" i="44"/>
  <c r="U34" i="44" l="1"/>
  <c r="W34" i="44"/>
  <c r="P35" i="44" l="1"/>
  <c r="T35" i="44"/>
  <c r="Q35" i="44" l="1"/>
  <c r="M124" i="24" s="1"/>
  <c r="M127" i="24" s="1"/>
  <c r="V35" i="44"/>
  <c r="X35" i="44"/>
  <c r="M130" i="24" s="1"/>
  <c r="M133" i="24" s="1"/>
  <c r="AC35" i="44" l="1"/>
  <c r="S35" i="44"/>
  <c r="U35" i="44" l="1"/>
  <c r="W35" i="44"/>
  <c r="P36" i="44" l="1"/>
  <c r="T36" i="44"/>
  <c r="Q36" i="44" l="1"/>
  <c r="N124" i="24" s="1"/>
  <c r="N127" i="24" s="1"/>
  <c r="V36" i="44"/>
  <c r="X36" i="44"/>
  <c r="N130" i="24" s="1"/>
  <c r="N133" i="24" s="1"/>
  <c r="S36" i="44" l="1"/>
  <c r="AC36" i="44"/>
  <c r="U36" i="44" l="1"/>
  <c r="W36" i="44"/>
  <c r="P37" i="44" l="1"/>
  <c r="X37" i="44" s="1"/>
  <c r="O130" i="24" s="1"/>
  <c r="O133" i="24" s="1"/>
  <c r="T37" i="44"/>
  <c r="Q37" i="44" l="1"/>
  <c r="O124" i="24" s="1"/>
  <c r="O127" i="24" s="1"/>
  <c r="V37" i="44"/>
  <c r="S37" i="44" l="1"/>
  <c r="AC37" i="44"/>
  <c r="U37" i="44" l="1"/>
  <c r="W37" i="44"/>
  <c r="T38" i="44" l="1"/>
  <c r="P38" i="44"/>
  <c r="X38" i="44" s="1"/>
  <c r="P130" i="24" s="1"/>
  <c r="P133" i="24" s="1"/>
  <c r="Q38" i="44" l="1"/>
  <c r="P124" i="24" s="1"/>
  <c r="P127" i="24" s="1"/>
  <c r="V38" i="44"/>
  <c r="AC38" i="44" l="1"/>
  <c r="S38" i="44"/>
  <c r="U38" i="44" l="1"/>
  <c r="W38" i="44"/>
  <c r="T39" i="44" l="1"/>
  <c r="P39" i="44"/>
  <c r="X39" i="44" l="1"/>
  <c r="Q130" i="24" s="1"/>
  <c r="Q133" i="24" s="1"/>
  <c r="Q39" i="44"/>
  <c r="Q124" i="24" s="1"/>
  <c r="Q127" i="24" s="1"/>
  <c r="Q149" i="24" s="1"/>
  <c r="V39" i="44"/>
  <c r="S39" i="44" l="1"/>
  <c r="AC39" i="44"/>
  <c r="U39" i="44" l="1"/>
  <c r="W39" i="44"/>
  <c r="T40" i="44" l="1"/>
  <c r="P40" i="44"/>
  <c r="X40" i="44" l="1"/>
  <c r="R130" i="24" s="1"/>
  <c r="R133" i="24" s="1"/>
  <c r="Q40" i="44"/>
  <c r="R124" i="24" s="1"/>
  <c r="R127" i="24" s="1"/>
  <c r="V40" i="44"/>
  <c r="S40" i="44" l="1"/>
  <c r="AC40" i="44"/>
  <c r="U40" i="44" l="1"/>
  <c r="W40" i="44"/>
  <c r="T41" i="44" l="1"/>
  <c r="P41" i="44"/>
  <c r="X41" i="44" l="1"/>
  <c r="S130" i="24" s="1"/>
  <c r="S133" i="24" s="1"/>
  <c r="Q41" i="44"/>
  <c r="S124" i="24" s="1"/>
  <c r="S127" i="24" s="1"/>
  <c r="V41" i="44"/>
  <c r="AC41" i="44" l="1"/>
  <c r="S41" i="44"/>
  <c r="U41" i="44" l="1"/>
  <c r="W41" i="44"/>
  <c r="T42" i="44" l="1"/>
  <c r="P42" i="44"/>
  <c r="X42" i="44" l="1"/>
  <c r="T130" i="24" s="1"/>
  <c r="Q42" i="44"/>
  <c r="T124" i="24" s="1"/>
  <c r="V42" i="44"/>
  <c r="AC42" i="44" l="1"/>
  <c r="S42" i="44"/>
  <c r="U42" i="44" l="1"/>
  <c r="W42" i="44"/>
  <c r="T43" i="44" l="1"/>
  <c r="P43" i="44"/>
  <c r="AG22" i="44" s="1"/>
  <c r="X43" i="44" l="1"/>
  <c r="U130" i="24" s="1"/>
  <c r="Q43" i="44"/>
  <c r="U124" i="24" s="1"/>
  <c r="V43" i="44"/>
  <c r="S43" i="44" l="1"/>
  <c r="AC43" i="44"/>
  <c r="U43" i="44" l="1"/>
  <c r="W43" i="44"/>
  <c r="T44" i="44" l="1"/>
  <c r="P44" i="44"/>
  <c r="X44" i="44" l="1"/>
  <c r="V130" i="24" s="1"/>
  <c r="Q44" i="44"/>
  <c r="V44" i="44"/>
  <c r="V124" i="24" l="1"/>
  <c r="S44" i="44"/>
  <c r="U44" i="44" l="1"/>
  <c r="W44" i="44"/>
  <c r="AA44" i="44" l="1"/>
  <c r="Z44" i="44"/>
  <c r="AB44" i="44"/>
  <c r="P45" i="44"/>
  <c r="T45" i="44"/>
  <c r="Q45" i="44" s="1"/>
  <c r="W124" i="24" l="1"/>
  <c r="AC44" i="44"/>
  <c r="V45" i="44"/>
  <c r="X45" i="44"/>
  <c r="W130" i="24" s="1"/>
  <c r="S45" i="44" l="1"/>
  <c r="U45" i="44" l="1"/>
  <c r="W45" i="44"/>
  <c r="Z45" i="44" l="1"/>
  <c r="AB45" i="44"/>
  <c r="AA45" i="44"/>
  <c r="T46" i="44"/>
  <c r="P46" i="44"/>
  <c r="AC45" i="44" l="1"/>
  <c r="X46" i="44"/>
  <c r="X130" i="24" s="1"/>
  <c r="Q46" i="44"/>
  <c r="V46" i="44"/>
  <c r="X124" i="24" l="1"/>
  <c r="S46" i="44"/>
  <c r="U46" i="44" l="1"/>
  <c r="W46" i="44"/>
  <c r="AB46" i="44" l="1"/>
  <c r="AA46" i="44"/>
  <c r="Z46" i="44"/>
  <c r="P47" i="44"/>
  <c r="T47" i="44"/>
  <c r="AC46" i="44" l="1"/>
  <c r="Q47" i="44"/>
  <c r="V47" i="44"/>
  <c r="X47" i="44"/>
  <c r="Y130" i="24" s="1"/>
  <c r="Y124" i="24" l="1"/>
  <c r="S47" i="44"/>
  <c r="U47" i="44" l="1"/>
  <c r="W47" i="44"/>
  <c r="AA47" i="44" l="1"/>
  <c r="Z47" i="44"/>
  <c r="AB47" i="44"/>
  <c r="P48" i="44"/>
  <c r="T48" i="44"/>
  <c r="AC47" i="44" l="1"/>
  <c r="Q48" i="44"/>
  <c r="Z124" i="24" s="1"/>
  <c r="V48" i="44"/>
  <c r="M12" i="44" s="1"/>
  <c r="X48" i="44"/>
  <c r="Z130" i="24" l="1"/>
  <c r="S48" i="44"/>
  <c r="U48" i="44" l="1"/>
  <c r="W48" i="44"/>
  <c r="Z48" i="44" l="1"/>
  <c r="AB48" i="44"/>
  <c r="AA48" i="44"/>
  <c r="T49" i="44"/>
  <c r="P49" i="44"/>
  <c r="J149" i="24"/>
  <c r="AC48" i="44" l="1"/>
  <c r="J159" i="24"/>
  <c r="J152" i="24"/>
  <c r="X49" i="44"/>
  <c r="AL130" i="24" s="1"/>
  <c r="Q49" i="44"/>
  <c r="V49" i="44"/>
  <c r="AA124" i="24" l="1"/>
  <c r="AL124" i="24"/>
  <c r="AA130" i="24"/>
  <c r="S49" i="44"/>
  <c r="U49" i="44" l="1"/>
  <c r="W49" i="44"/>
  <c r="AA49" i="44" l="1"/>
  <c r="Z49" i="44"/>
  <c r="AB49" i="44"/>
  <c r="T50" i="44"/>
  <c r="P50" i="44"/>
  <c r="AC49" i="44" l="1"/>
  <c r="X50" i="44"/>
  <c r="AM130" i="24" s="1"/>
  <c r="Q50" i="44"/>
  <c r="V50" i="44"/>
  <c r="K149" i="24"/>
  <c r="L149" i="24"/>
  <c r="AB124" i="24" l="1"/>
  <c r="AM124" i="24"/>
  <c r="AB130" i="24"/>
  <c r="S50" i="44"/>
  <c r="U50" i="44" l="1"/>
  <c r="W50" i="44"/>
  <c r="AB50" i="44" l="1"/>
  <c r="Z50" i="44"/>
  <c r="AA50" i="44"/>
  <c r="P51" i="44"/>
  <c r="T51" i="44"/>
  <c r="AC50" i="44" l="1"/>
  <c r="Q51" i="44"/>
  <c r="AN124" i="24" s="1"/>
  <c r="V51" i="44"/>
  <c r="X51" i="44"/>
  <c r="M149" i="24"/>
  <c r="AG130" i="24" l="1"/>
  <c r="AN130" i="24"/>
  <c r="AC124" i="24"/>
  <c r="AG124" i="24"/>
  <c r="AC130" i="24"/>
  <c r="S51" i="44"/>
  <c r="U51" i="44" l="1"/>
  <c r="W51" i="44"/>
  <c r="N149" i="24"/>
  <c r="AB51" i="44" l="1"/>
  <c r="Z51" i="44"/>
  <c r="AA51" i="44"/>
  <c r="P52" i="44"/>
  <c r="T52" i="44"/>
  <c r="AC51" i="44" l="1"/>
  <c r="Q52" i="44"/>
  <c r="AO124" i="24" s="1"/>
  <c r="V52" i="44"/>
  <c r="X52" i="44"/>
  <c r="O149" i="24"/>
  <c r="AH130" i="24" l="1"/>
  <c r="AO130" i="24"/>
  <c r="AD124" i="24"/>
  <c r="AH124" i="24"/>
  <c r="AD130" i="24"/>
  <c r="S52" i="44"/>
  <c r="U52" i="44" l="1"/>
  <c r="W52" i="44"/>
  <c r="P149" i="24"/>
  <c r="AA52" i="44" l="1"/>
  <c r="AB52" i="44"/>
  <c r="Z52" i="44"/>
  <c r="T53" i="44"/>
  <c r="P53" i="44"/>
  <c r="AC52" i="44" l="1"/>
  <c r="X53" i="44"/>
  <c r="Q53" i="44"/>
  <c r="AP124" i="24" s="1"/>
  <c r="V53" i="44"/>
  <c r="AI130" i="24" l="1"/>
  <c r="AP130" i="24"/>
  <c r="AE124" i="24"/>
  <c r="AI124" i="24"/>
  <c r="AE130" i="24"/>
  <c r="S53" i="44"/>
  <c r="U53" i="44" l="1"/>
  <c r="W53" i="44"/>
  <c r="Z53" i="44" l="1"/>
  <c r="AB53" i="44"/>
  <c r="AA53" i="44"/>
  <c r="P54" i="44"/>
  <c r="T54" i="44"/>
  <c r="AJ22" i="44" s="1"/>
  <c r="R149" i="24"/>
  <c r="AC53" i="44" l="1"/>
  <c r="Q54" i="44"/>
  <c r="AQ124" i="24" s="1"/>
  <c r="V54" i="44"/>
  <c r="X54" i="44"/>
  <c r="AJ130" i="24" l="1"/>
  <c r="AQ130" i="24"/>
  <c r="AF124" i="24"/>
  <c r="AJ124" i="24"/>
  <c r="AF130" i="24"/>
  <c r="AK124" i="24"/>
  <c r="AK130" i="24"/>
  <c r="S54" i="44"/>
  <c r="AI22" i="44" s="1"/>
  <c r="AO22" i="44" s="1"/>
  <c r="S149" i="24"/>
  <c r="U54" i="44" l="1"/>
  <c r="W54" i="44"/>
  <c r="AA54" i="44" l="1"/>
  <c r="AB54" i="44"/>
  <c r="Z54" i="44"/>
  <c r="P55" i="44"/>
  <c r="AG23" i="44" s="1"/>
  <c r="T55" i="44"/>
  <c r="AC54" i="44" l="1"/>
  <c r="AH22" i="44" s="1"/>
  <c r="Q55" i="44"/>
  <c r="AR124" i="24" s="1"/>
  <c r="V55" i="44"/>
  <c r="X55" i="44"/>
  <c r="AR130" i="24" l="1"/>
  <c r="S55" i="44"/>
  <c r="U55" i="44" l="1"/>
  <c r="W55" i="44"/>
  <c r="AA55" i="44" l="1"/>
  <c r="Z55" i="44"/>
  <c r="AB55" i="44"/>
  <c r="T56" i="44"/>
  <c r="P56" i="44"/>
  <c r="AC55" i="44" l="1"/>
  <c r="X56" i="44"/>
  <c r="Q56" i="44"/>
  <c r="V56" i="44"/>
  <c r="M13" i="44" s="1"/>
  <c r="AS130" i="24" l="1"/>
  <c r="AS124" i="24"/>
  <c r="S56" i="44"/>
  <c r="U56" i="44" l="1"/>
  <c r="W56" i="44"/>
  <c r="Z56" i="44" l="1"/>
  <c r="AB56" i="44"/>
  <c r="AA56" i="44"/>
  <c r="P57" i="44"/>
  <c r="T57" i="44"/>
  <c r="AC56" i="44" l="1"/>
  <c r="Q57" i="44"/>
  <c r="V57" i="44"/>
  <c r="X57" i="44"/>
  <c r="AT124" i="24" l="1"/>
  <c r="AT130" i="24"/>
  <c r="S57" i="44"/>
  <c r="U57" i="44" l="1"/>
  <c r="W57" i="44"/>
  <c r="AB57" i="44" l="1"/>
  <c r="Z57" i="44"/>
  <c r="AA57" i="44"/>
  <c r="P58" i="44"/>
  <c r="T58" i="44"/>
  <c r="AC57" i="44" l="1"/>
  <c r="Q58" i="44"/>
  <c r="V58" i="44"/>
  <c r="X58" i="44"/>
  <c r="AU124" i="24" l="1"/>
  <c r="AU130" i="24"/>
  <c r="S58" i="44"/>
  <c r="U58" i="44" l="1"/>
  <c r="W58" i="44"/>
  <c r="Z58" i="44" l="1"/>
  <c r="AA58" i="44"/>
  <c r="AB58" i="44"/>
  <c r="T59" i="44"/>
  <c r="P59" i="44"/>
  <c r="AC58" i="44" l="1"/>
  <c r="X59" i="44"/>
  <c r="Q59" i="44"/>
  <c r="V59" i="44"/>
  <c r="AV124" i="24" l="1"/>
  <c r="AV130" i="24"/>
  <c r="S59" i="44"/>
  <c r="U59" i="44" l="1"/>
  <c r="W59" i="44"/>
  <c r="AA59" i="44" l="1"/>
  <c r="Z59" i="44"/>
  <c r="AB59" i="44"/>
  <c r="T60" i="44"/>
  <c r="P60" i="44"/>
  <c r="AC59" i="44" l="1"/>
  <c r="X60" i="44"/>
  <c r="Q60" i="44"/>
  <c r="V60" i="44"/>
  <c r="AW124" i="24" l="1"/>
  <c r="AW130" i="24"/>
  <c r="S60" i="44"/>
  <c r="U60" i="44" l="1"/>
  <c r="W60" i="44"/>
  <c r="AA60" i="44" l="1"/>
  <c r="AB60" i="44"/>
  <c r="Z60" i="44"/>
  <c r="T61" i="44"/>
  <c r="P61" i="44"/>
  <c r="AC60" i="44" l="1"/>
  <c r="X61" i="44"/>
  <c r="Q61" i="44"/>
  <c r="V61" i="44"/>
  <c r="AX130" i="24" l="1"/>
  <c r="AX124" i="24"/>
  <c r="S61" i="44"/>
  <c r="U61" i="44" l="1"/>
  <c r="W61" i="44"/>
  <c r="G93" i="22" s="1"/>
  <c r="Z61" i="44" l="1"/>
  <c r="AB61" i="44"/>
  <c r="AA61" i="44"/>
  <c r="P62" i="44"/>
  <c r="T62" i="44"/>
  <c r="AC61" i="44" l="1"/>
  <c r="Q62" i="44"/>
  <c r="V62" i="44"/>
  <c r="X62" i="44"/>
  <c r="AY124" i="24" l="1"/>
  <c r="AY130" i="24"/>
  <c r="H36" i="26"/>
  <c r="L4" i="45" s="1"/>
  <c r="M20" i="45" s="1"/>
  <c r="N180" i="45"/>
  <c r="N59" i="45"/>
  <c r="N50" i="45"/>
  <c r="N317" i="45"/>
  <c r="N159" i="45"/>
  <c r="N89" i="45"/>
  <c r="N67" i="45"/>
  <c r="N239" i="45"/>
  <c r="N143" i="45"/>
  <c r="N63" i="45"/>
  <c r="N224" i="45"/>
  <c r="N195" i="45"/>
  <c r="N128" i="45"/>
  <c r="N268" i="45"/>
  <c r="N226" i="45"/>
  <c r="N132" i="45"/>
  <c r="N33" i="45"/>
  <c r="N32" i="45"/>
  <c r="N137" i="45"/>
  <c r="N92" i="45"/>
  <c r="N312" i="45"/>
  <c r="N99" i="45"/>
  <c r="N267" i="45"/>
  <c r="N65" i="45"/>
  <c r="N86" i="45"/>
  <c r="N111" i="45"/>
  <c r="N100" i="45"/>
  <c r="N252" i="45"/>
  <c r="N164" i="45"/>
  <c r="N203" i="45"/>
  <c r="N311" i="45"/>
  <c r="N262" i="45"/>
  <c r="N194" i="45"/>
  <c r="N139" i="45"/>
  <c r="N105" i="45"/>
  <c r="N96" i="45"/>
  <c r="N272" i="45"/>
  <c r="N221" i="45"/>
  <c r="N87" i="45"/>
  <c r="N178" i="45"/>
  <c r="N209" i="45"/>
  <c r="N185" i="45"/>
  <c r="N249" i="45"/>
  <c r="N237" i="45"/>
  <c r="N181" i="45"/>
  <c r="N55" i="45"/>
  <c r="N279" i="45"/>
  <c r="N199" i="45"/>
  <c r="N122" i="45"/>
  <c r="N303" i="45"/>
  <c r="N219" i="45"/>
  <c r="N117" i="45"/>
  <c r="N318" i="45"/>
  <c r="N269" i="45"/>
  <c r="N140" i="45"/>
  <c r="N42" i="45"/>
  <c r="N286" i="45"/>
  <c r="N150" i="45"/>
  <c r="N69" i="45"/>
  <c r="N306" i="45"/>
  <c r="N208" i="45"/>
  <c r="N136" i="45"/>
  <c r="N118" i="45"/>
  <c r="N304" i="45"/>
  <c r="N154" i="45"/>
  <c r="N152" i="45"/>
  <c r="N298" i="45"/>
  <c r="N213" i="45"/>
  <c r="N168" i="45"/>
  <c r="N316" i="45"/>
  <c r="N299" i="45"/>
  <c r="N94" i="45"/>
  <c r="N34" i="45"/>
  <c r="N202" i="45"/>
  <c r="N211" i="45"/>
  <c r="N261" i="45"/>
  <c r="N131" i="45"/>
  <c r="N102" i="45"/>
  <c r="N145" i="45"/>
  <c r="N245" i="45"/>
  <c r="N251" i="45"/>
  <c r="N43" i="45"/>
  <c r="N225" i="45"/>
  <c r="N214" i="45"/>
  <c r="N231" i="45"/>
  <c r="N57" i="45"/>
  <c r="N83" i="45"/>
  <c r="N284" i="45"/>
  <c r="N103" i="45"/>
  <c r="N148" i="45"/>
  <c r="N191" i="45"/>
  <c r="N176" i="45"/>
  <c r="N186" i="45"/>
  <c r="N90" i="45"/>
  <c r="N220" i="45"/>
  <c r="N281" i="45"/>
  <c r="N197" i="45"/>
  <c r="N54" i="45"/>
  <c r="N61" i="45"/>
  <c r="N196" i="45"/>
  <c r="N120" i="45"/>
  <c r="N274" i="45"/>
  <c r="N135" i="45"/>
  <c r="N158" i="45"/>
  <c r="N232" i="45"/>
  <c r="N289" i="45"/>
  <c r="N307" i="45"/>
  <c r="N45" i="45"/>
  <c r="N64" i="45"/>
  <c r="N73" i="45"/>
  <c r="N174" i="45"/>
  <c r="N253" i="45"/>
  <c r="N273" i="45"/>
  <c r="N20" i="45"/>
  <c r="AO125" i="24" s="1"/>
  <c r="N31" i="45"/>
  <c r="N183" i="45"/>
  <c r="N204" i="45"/>
  <c r="N146" i="45"/>
  <c r="N257" i="45"/>
  <c r="N241" i="45"/>
  <c r="N70" i="45"/>
  <c r="N236" i="45"/>
  <c r="N82" i="45"/>
  <c r="N71" i="45"/>
  <c r="CN125" i="24" s="1"/>
  <c r="N138" i="45"/>
  <c r="N218" i="45"/>
  <c r="N300" i="45"/>
  <c r="N283" i="45"/>
  <c r="N293" i="45"/>
  <c r="N74" i="45"/>
  <c r="N233" i="45"/>
  <c r="N126" i="45"/>
  <c r="N133" i="45"/>
  <c r="N310" i="45"/>
  <c r="N206" i="45"/>
  <c r="N292" i="45"/>
  <c r="N161" i="45"/>
  <c r="N187" i="45"/>
  <c r="N36" i="45"/>
  <c r="N207" i="45"/>
  <c r="N234" i="45"/>
  <c r="N85" i="45"/>
  <c r="N313" i="45"/>
  <c r="N291" i="45"/>
  <c r="N157" i="45"/>
  <c r="N315" i="45"/>
  <c r="N49" i="45"/>
  <c r="N248" i="45"/>
  <c r="N68" i="45"/>
  <c r="N169" i="45"/>
  <c r="N60" i="45"/>
  <c r="N110" i="45"/>
  <c r="N212" i="45"/>
  <c r="N101" i="45"/>
  <c r="DR125" i="24" s="1"/>
  <c r="S8" i="45"/>
  <c r="S9" i="45" s="1"/>
  <c r="H40" i="26" s="1"/>
  <c r="N297" i="45"/>
  <c r="N201" i="45"/>
  <c r="N270" i="45"/>
  <c r="N77" i="45"/>
  <c r="N115" i="45"/>
  <c r="N93" i="45"/>
  <c r="N240" i="45"/>
  <c r="N229" i="45"/>
  <c r="N260" i="45"/>
  <c r="N98" i="45"/>
  <c r="N129" i="45"/>
  <c r="ET125" i="24" s="1"/>
  <c r="N142" i="45"/>
  <c r="N223" i="45"/>
  <c r="N264" i="45"/>
  <c r="N95" i="45"/>
  <c r="N41" i="45"/>
  <c r="N75" i="45"/>
  <c r="N97" i="45"/>
  <c r="DN125" i="24" s="1"/>
  <c r="N179" i="45"/>
  <c r="N170" i="45"/>
  <c r="N254" i="45"/>
  <c r="N285" i="45"/>
  <c r="N141" i="45"/>
  <c r="N109" i="45"/>
  <c r="N166" i="45"/>
  <c r="S62" i="44"/>
  <c r="CR125" i="24" l="1"/>
  <c r="FE125" i="24"/>
  <c r="EB125" i="24"/>
  <c r="CL125" i="24"/>
  <c r="DD125" i="24"/>
  <c r="BX125" i="24"/>
  <c r="DP125" i="24"/>
  <c r="BA125" i="24"/>
  <c r="EA125" i="24"/>
  <c r="FH125" i="24"/>
  <c r="CZ125" i="24"/>
  <c r="DM125" i="24"/>
  <c r="EW125" i="24"/>
  <c r="N282" i="45"/>
  <c r="Q20" i="45"/>
  <c r="N108" i="45"/>
  <c r="DY125" i="24" s="1"/>
  <c r="N190" i="45"/>
  <c r="N107" i="45"/>
  <c r="N230" i="45"/>
  <c r="N228" i="45"/>
  <c r="N205" i="45"/>
  <c r="N116" i="45"/>
  <c r="EH125" i="24" s="1"/>
  <c r="N256" i="45"/>
  <c r="N167" i="45"/>
  <c r="N263" i="45"/>
  <c r="N163" i="45"/>
  <c r="N84" i="45"/>
  <c r="DO125" i="24" s="1"/>
  <c r="N215" i="45"/>
  <c r="N44" i="45"/>
  <c r="BN125" i="24" s="1"/>
  <c r="N266" i="45"/>
  <c r="N113" i="45"/>
  <c r="N72" i="45"/>
  <c r="DC125" i="24" s="1"/>
  <c r="N439" i="45"/>
  <c r="N314" i="45"/>
  <c r="N48" i="45"/>
  <c r="N37" i="45"/>
  <c r="N302" i="45"/>
  <c r="N125" i="45"/>
  <c r="N247" i="45"/>
  <c r="N130" i="45"/>
  <c r="EU125" i="24" s="1"/>
  <c r="N290" i="45"/>
  <c r="N216" i="45"/>
  <c r="N347" i="45"/>
  <c r="N359" i="45"/>
  <c r="N182" i="45"/>
  <c r="N80" i="45"/>
  <c r="N309" i="45"/>
  <c r="N62" i="45"/>
  <c r="CE125" i="24" s="1"/>
  <c r="N112" i="45"/>
  <c r="EC125" i="24" s="1"/>
  <c r="N271" i="45"/>
  <c r="N308" i="45"/>
  <c r="N200" i="45"/>
  <c r="N39" i="45"/>
  <c r="N81" i="45"/>
  <c r="CX125" i="24" s="1"/>
  <c r="N134" i="45"/>
  <c r="EY125" i="24" s="1"/>
  <c r="N165" i="45"/>
  <c r="N175" i="45"/>
  <c r="N184" i="45"/>
  <c r="N276" i="45"/>
  <c r="N278" i="45"/>
  <c r="N40" i="45"/>
  <c r="N58" i="45"/>
  <c r="N275" i="45"/>
  <c r="N246" i="45"/>
  <c r="N244" i="45"/>
  <c r="N106" i="45"/>
  <c r="DW125" i="24" s="1"/>
  <c r="N295" i="45"/>
  <c r="N56" i="45"/>
  <c r="BY125" i="24" s="1"/>
  <c r="N189" i="45"/>
  <c r="N46" i="45"/>
  <c r="BO125" i="24" s="1"/>
  <c r="N124" i="45"/>
  <c r="N91" i="45"/>
  <c r="DH125" i="24" s="1"/>
  <c r="N172" i="45"/>
  <c r="N171" i="45"/>
  <c r="N217" i="45"/>
  <c r="N250" i="45"/>
  <c r="N259" i="45"/>
  <c r="N51" i="45"/>
  <c r="BT125" i="24" s="1"/>
  <c r="N79" i="45"/>
  <c r="N104" i="45"/>
  <c r="DU125" i="24" s="1"/>
  <c r="N147" i="45"/>
  <c r="FL125" i="24" s="1"/>
  <c r="N38" i="45"/>
  <c r="N52" i="45"/>
  <c r="N235" i="45"/>
  <c r="N177" i="45"/>
  <c r="N66" i="45"/>
  <c r="CI125" i="24" s="1"/>
  <c r="N280" i="45"/>
  <c r="N53" i="45"/>
  <c r="BV125" i="24" s="1"/>
  <c r="N119" i="45"/>
  <c r="EJ125" i="24" s="1"/>
  <c r="N238" i="45"/>
  <c r="N35" i="45"/>
  <c r="N242" i="45"/>
  <c r="N198" i="45"/>
  <c r="N160" i="45"/>
  <c r="N277" i="45"/>
  <c r="N162" i="45"/>
  <c r="N258" i="45"/>
  <c r="N47" i="45"/>
  <c r="BP125" i="24" s="1"/>
  <c r="N149" i="45"/>
  <c r="FN125" i="24" s="1"/>
  <c r="N30" i="45"/>
  <c r="N192" i="45"/>
  <c r="N222" i="45"/>
  <c r="N255" i="45"/>
  <c r="N123" i="45"/>
  <c r="EN125" i="24" s="1"/>
  <c r="N156" i="45"/>
  <c r="N210" i="45"/>
  <c r="N301" i="45"/>
  <c r="N76" i="45"/>
  <c r="CS125" i="24" s="1"/>
  <c r="N155" i="45"/>
  <c r="FT125" i="24" s="1"/>
  <c r="N127" i="45"/>
  <c r="ER125" i="24" s="1"/>
  <c r="N227" i="45"/>
  <c r="N305" i="45"/>
  <c r="N188" i="45"/>
  <c r="N121" i="45"/>
  <c r="EL125" i="24" s="1"/>
  <c r="N173" i="45"/>
  <c r="N265" i="45"/>
  <c r="N151" i="45"/>
  <c r="FP125" i="24" s="1"/>
  <c r="N363" i="45"/>
  <c r="N243" i="45"/>
  <c r="N153" i="45"/>
  <c r="FR125" i="24" s="1"/>
  <c r="N78" i="45"/>
  <c r="DG125" i="24" s="1"/>
  <c r="N88" i="45"/>
  <c r="DE125" i="24" s="1"/>
  <c r="N144" i="45"/>
  <c r="FI125" i="24" s="1"/>
  <c r="N193" i="45"/>
  <c r="N114" i="45"/>
  <c r="EE125" i="24" s="1"/>
  <c r="N288" i="45"/>
  <c r="N294" i="45"/>
  <c r="N287" i="45"/>
  <c r="N343" i="45"/>
  <c r="N349" i="45"/>
  <c r="N341" i="45"/>
  <c r="N338" i="45"/>
  <c r="N322" i="45"/>
  <c r="N381" i="45"/>
  <c r="N385" i="45"/>
  <c r="N389" i="45"/>
  <c r="N393" i="45"/>
  <c r="N397" i="45"/>
  <c r="N401" i="45"/>
  <c r="N405" i="45"/>
  <c r="N409" i="45"/>
  <c r="N413" i="45"/>
  <c r="N417" i="45"/>
  <c r="N421" i="45"/>
  <c r="N425" i="45"/>
  <c r="N429" i="45"/>
  <c r="N433" i="45"/>
  <c r="N437" i="45"/>
  <c r="N379" i="45"/>
  <c r="N392" i="45"/>
  <c r="N408" i="45"/>
  <c r="N420" i="45"/>
  <c r="N432" i="45"/>
  <c r="N382" i="45"/>
  <c r="N386" i="45"/>
  <c r="N390" i="45"/>
  <c r="N394" i="45"/>
  <c r="N398" i="45"/>
  <c r="N402" i="45"/>
  <c r="N406" i="45"/>
  <c r="N410" i="45"/>
  <c r="N414" i="45"/>
  <c r="N418" i="45"/>
  <c r="N422" i="45"/>
  <c r="N426" i="45"/>
  <c r="N430" i="45"/>
  <c r="N434" i="45"/>
  <c r="N438" i="45"/>
  <c r="N384" i="45"/>
  <c r="N396" i="45"/>
  <c r="N404" i="45"/>
  <c r="N416" i="45"/>
  <c r="N428" i="45"/>
  <c r="N380" i="45"/>
  <c r="N383" i="45"/>
  <c r="N387" i="45"/>
  <c r="N391" i="45"/>
  <c r="N395" i="45"/>
  <c r="N399" i="45"/>
  <c r="N403" i="45"/>
  <c r="N407" i="45"/>
  <c r="N411" i="45"/>
  <c r="N415" i="45"/>
  <c r="N419" i="45"/>
  <c r="N423" i="45"/>
  <c r="N427" i="45"/>
  <c r="N431" i="45"/>
  <c r="N435" i="45"/>
  <c r="N388" i="45"/>
  <c r="N400" i="45"/>
  <c r="N412" i="45"/>
  <c r="N424" i="45"/>
  <c r="N436" i="45"/>
  <c r="N362" i="45"/>
  <c r="N356" i="45"/>
  <c r="N327" i="45"/>
  <c r="N339" i="45"/>
  <c r="N333" i="45"/>
  <c r="N360" i="45"/>
  <c r="N328" i="45"/>
  <c r="N350" i="45"/>
  <c r="N372" i="45"/>
  <c r="N355" i="45"/>
  <c r="N373" i="45"/>
  <c r="N326" i="45"/>
  <c r="N370" i="45"/>
  <c r="N319" i="45"/>
  <c r="N320" i="45"/>
  <c r="N358" i="45"/>
  <c r="N353" i="45"/>
  <c r="N374" i="45"/>
  <c r="N348" i="45"/>
  <c r="N296" i="45"/>
  <c r="N376" i="45"/>
  <c r="N361" i="45"/>
  <c r="N357" i="45"/>
  <c r="N364" i="45"/>
  <c r="N323" i="45"/>
  <c r="N346" i="45"/>
  <c r="N330" i="45"/>
  <c r="N367" i="45"/>
  <c r="N371" i="45"/>
  <c r="N352" i="45"/>
  <c r="N365" i="45"/>
  <c r="N334" i="45"/>
  <c r="N342" i="45"/>
  <c r="N378" i="45"/>
  <c r="N324" i="45"/>
  <c r="N340" i="45"/>
  <c r="N325" i="45"/>
  <c r="N336" i="45"/>
  <c r="N369" i="45"/>
  <c r="N354" i="45"/>
  <c r="N345" i="45"/>
  <c r="N331" i="45"/>
  <c r="N329" i="45"/>
  <c r="N321" i="45"/>
  <c r="N344" i="45"/>
  <c r="N368" i="45"/>
  <c r="N377" i="45"/>
  <c r="N366" i="45"/>
  <c r="N375" i="45"/>
  <c r="N351" i="45"/>
  <c r="N335" i="45"/>
  <c r="N337" i="45"/>
  <c r="N332" i="45"/>
  <c r="AD127" i="24"/>
  <c r="AD149" i="24" s="1"/>
  <c r="T127" i="24"/>
  <c r="U20" i="45"/>
  <c r="AD20" i="45"/>
  <c r="S20" i="45"/>
  <c r="P20" i="45"/>
  <c r="U62" i="44"/>
  <c r="W62" i="44"/>
  <c r="BU125" i="24" l="1"/>
  <c r="ED125" i="24"/>
  <c r="EP125" i="24"/>
  <c r="DX125" i="24"/>
  <c r="DF125" i="24"/>
  <c r="FO125" i="24"/>
  <c r="CY125" i="24"/>
  <c r="FQ125" i="24"/>
  <c r="DZ125" i="24"/>
  <c r="BW125" i="24"/>
  <c r="DB125" i="24"/>
  <c r="FS125" i="24"/>
  <c r="EF125" i="24"/>
  <c r="AZ125" i="24"/>
  <c r="BZ125" i="24"/>
  <c r="CV125" i="24"/>
  <c r="EO125" i="24"/>
  <c r="BQ125" i="24"/>
  <c r="FJ125" i="24"/>
  <c r="CT125" i="24"/>
  <c r="CP125" i="24"/>
  <c r="CW125" i="24"/>
  <c r="BM125" i="24"/>
  <c r="EM125" i="24"/>
  <c r="CJ125" i="24"/>
  <c r="DS125" i="24"/>
  <c r="FC125" i="24"/>
  <c r="FM125" i="24"/>
  <c r="BR125" i="24"/>
  <c r="CO125" i="24"/>
  <c r="CD125" i="24"/>
  <c r="DV125" i="24"/>
  <c r="DK125" i="24"/>
  <c r="DL125" i="24"/>
  <c r="FF125" i="24"/>
  <c r="DA125" i="24"/>
  <c r="CH125" i="24"/>
  <c r="CF125" i="24"/>
  <c r="DT125" i="24"/>
  <c r="EX125" i="24"/>
  <c r="FB125" i="24"/>
  <c r="CA125" i="24"/>
  <c r="EG125" i="24"/>
  <c r="ES125" i="24"/>
  <c r="DJ125" i="24"/>
  <c r="EK125" i="24"/>
  <c r="CK125" i="24"/>
  <c r="DQ125" i="24"/>
  <c r="EI125" i="24"/>
  <c r="FK125" i="24"/>
  <c r="CU125" i="24"/>
  <c r="CC125" i="24"/>
  <c r="CB125" i="24"/>
  <c r="FA125" i="24"/>
  <c r="CG125" i="24"/>
  <c r="BS125" i="24"/>
  <c r="CQ125" i="24"/>
  <c r="DI125" i="24"/>
  <c r="EZ125" i="24"/>
  <c r="EQ125" i="24"/>
  <c r="FD125" i="24"/>
  <c r="EV125" i="24"/>
  <c r="CM125" i="24"/>
  <c r="FG125" i="24"/>
  <c r="T133" i="24"/>
  <c r="AO131" i="24"/>
  <c r="T149" i="24"/>
  <c r="T20" i="45"/>
  <c r="R20" i="45"/>
  <c r="Z62" i="44"/>
  <c r="AB62" i="44"/>
  <c r="AA62" i="44"/>
  <c r="P63" i="44"/>
  <c r="T63" i="44"/>
  <c r="G83" i="25"/>
  <c r="M21" i="45" l="1"/>
  <c r="Q21" i="45"/>
  <c r="Y20" i="45"/>
  <c r="W20" i="45"/>
  <c r="X20" i="45"/>
  <c r="AC62" i="44"/>
  <c r="Q63" i="44"/>
  <c r="V63" i="44"/>
  <c r="X63" i="44"/>
  <c r="H83" i="25"/>
  <c r="I83" i="25"/>
  <c r="AZ130" i="24" l="1"/>
  <c r="AZ124" i="24"/>
  <c r="Z20" i="45"/>
  <c r="U21" i="45"/>
  <c r="N21" i="45"/>
  <c r="S21" i="45"/>
  <c r="S63" i="44"/>
  <c r="AP125" i="24" l="1"/>
  <c r="BB125" i="24"/>
  <c r="U133" i="24"/>
  <c r="AP131" i="24"/>
  <c r="AE127" i="24"/>
  <c r="AE149" i="24" s="1"/>
  <c r="U127" i="24"/>
  <c r="P21" i="45"/>
  <c r="U63" i="44"/>
  <c r="W63" i="44"/>
  <c r="U149" i="24" l="1"/>
  <c r="R21" i="45"/>
  <c r="T21" i="45"/>
  <c r="Z63" i="44"/>
  <c r="AB63" i="44"/>
  <c r="AA63" i="44"/>
  <c r="P64" i="44"/>
  <c r="T64" i="44"/>
  <c r="Q22" i="45" l="1"/>
  <c r="M22" i="45"/>
  <c r="W21" i="45"/>
  <c r="X21" i="45"/>
  <c r="Y21" i="45"/>
  <c r="AC63" i="44"/>
  <c r="Q64" i="44"/>
  <c r="V64" i="44"/>
  <c r="X64" i="44"/>
  <c r="BA130" i="24" l="1"/>
  <c r="BA124" i="24"/>
  <c r="Z21" i="45"/>
  <c r="N22" i="45"/>
  <c r="S22" i="45"/>
  <c r="S64" i="44"/>
  <c r="AQ125" i="24" l="1"/>
  <c r="BC125" i="24"/>
  <c r="AF127" i="24"/>
  <c r="AF149" i="24" s="1"/>
  <c r="V127" i="24"/>
  <c r="P22" i="45"/>
  <c r="U64" i="44"/>
  <c r="W64" i="44"/>
  <c r="V149" i="24" l="1"/>
  <c r="U22" i="45"/>
  <c r="R22" i="45"/>
  <c r="T22" i="45"/>
  <c r="AB64" i="44"/>
  <c r="Z64" i="44"/>
  <c r="AA64" i="44"/>
  <c r="T65" i="44"/>
  <c r="P65" i="44"/>
  <c r="V133" i="24" l="1"/>
  <c r="AQ131" i="24"/>
  <c r="AC64" i="44"/>
  <c r="M23" i="45"/>
  <c r="U23" i="45" s="1"/>
  <c r="Q23" i="45"/>
  <c r="Y22" i="45"/>
  <c r="W22" i="45"/>
  <c r="X22" i="45"/>
  <c r="X65" i="44"/>
  <c r="Q65" i="44"/>
  <c r="V65" i="44"/>
  <c r="BB124" i="24" l="1"/>
  <c r="BB130" i="24"/>
  <c r="W133" i="24"/>
  <c r="AR131" i="24"/>
  <c r="Z22" i="45"/>
  <c r="N23" i="45"/>
  <c r="S23" i="45"/>
  <c r="S65" i="44"/>
  <c r="AR125" i="24" l="1"/>
  <c r="BD125" i="24"/>
  <c r="W127" i="24"/>
  <c r="P23" i="45"/>
  <c r="U65" i="44"/>
  <c r="W65" i="44"/>
  <c r="W149" i="24" l="1"/>
  <c r="T23" i="45"/>
  <c r="R23" i="45"/>
  <c r="AB65" i="44"/>
  <c r="Z65" i="44"/>
  <c r="AA65" i="44"/>
  <c r="P66" i="44"/>
  <c r="T66" i="44"/>
  <c r="M24" i="45" l="1"/>
  <c r="U24" i="45" s="1"/>
  <c r="Q24" i="45"/>
  <c r="W23" i="45"/>
  <c r="X23" i="45"/>
  <c r="Y23" i="45"/>
  <c r="AC65" i="44"/>
  <c r="Q66" i="44"/>
  <c r="BE124" i="24" s="1"/>
  <c r="V66" i="44"/>
  <c r="X66" i="44"/>
  <c r="BC124" i="24" l="1"/>
  <c r="BC130" i="24"/>
  <c r="X133" i="24"/>
  <c r="AS131" i="24"/>
  <c r="Z23" i="45"/>
  <c r="N24" i="45"/>
  <c r="S24" i="45"/>
  <c r="S66" i="44"/>
  <c r="AS125" i="24" l="1"/>
  <c r="BE125" i="24"/>
  <c r="X127" i="24"/>
  <c r="P24" i="45"/>
  <c r="U66" i="44"/>
  <c r="W66" i="44"/>
  <c r="X149" i="24" l="1"/>
  <c r="T24" i="45"/>
  <c r="R24" i="45"/>
  <c r="AB66" i="44"/>
  <c r="Z66" i="44"/>
  <c r="AA66" i="44"/>
  <c r="T67" i="44"/>
  <c r="P67" i="44"/>
  <c r="AG24" i="44" s="1"/>
  <c r="AC66" i="44" l="1"/>
  <c r="Q25" i="45"/>
  <c r="M25" i="45"/>
  <c r="U25" i="45" s="1"/>
  <c r="X24" i="45"/>
  <c r="W24" i="45"/>
  <c r="Y24" i="45"/>
  <c r="X67" i="44"/>
  <c r="Q67" i="44"/>
  <c r="BF124" i="24" s="1"/>
  <c r="V67" i="44"/>
  <c r="BD124" i="24" l="1"/>
  <c r="BD130" i="24"/>
  <c r="Y133" i="24"/>
  <c r="AT131" i="24"/>
  <c r="N25" i="45"/>
  <c r="S25" i="45"/>
  <c r="Z24" i="45"/>
  <c r="S67" i="44"/>
  <c r="AT125" i="24" l="1"/>
  <c r="BF125" i="24"/>
  <c r="Y127" i="24"/>
  <c r="Y149" i="24" s="1"/>
  <c r="P25" i="45"/>
  <c r="U67" i="44"/>
  <c r="W67" i="44"/>
  <c r="T25" i="45" l="1"/>
  <c r="R25" i="45"/>
  <c r="Z67" i="44"/>
  <c r="AA67" i="44"/>
  <c r="AB67" i="44"/>
  <c r="P68" i="44"/>
  <c r="T68" i="44"/>
  <c r="Q68" i="44" s="1"/>
  <c r="BG124" i="24" s="1"/>
  <c r="Q26" i="45" l="1"/>
  <c r="M26" i="45"/>
  <c r="U26" i="45" s="1"/>
  <c r="Y25" i="45"/>
  <c r="W25" i="45"/>
  <c r="X25" i="45"/>
  <c r="AC67" i="44"/>
  <c r="S68" i="44"/>
  <c r="W68" i="44" s="1"/>
  <c r="V68" i="44"/>
  <c r="X68" i="44"/>
  <c r="BE130" i="24" l="1"/>
  <c r="Z133" i="24"/>
  <c r="AU131" i="24"/>
  <c r="Z25" i="45"/>
  <c r="N26" i="45"/>
  <c r="S26" i="45"/>
  <c r="P69" i="44"/>
  <c r="AB68" i="44"/>
  <c r="AA68" i="44"/>
  <c r="Z68" i="44"/>
  <c r="T69" i="44"/>
  <c r="Q69" i="44" s="1"/>
  <c r="BH124" i="24" s="1"/>
  <c r="U68" i="44"/>
  <c r="AU125" i="24" l="1"/>
  <c r="BG125" i="24"/>
  <c r="Z127" i="24"/>
  <c r="Z149" i="24" s="1"/>
  <c r="AC68" i="44"/>
  <c r="P26" i="45"/>
  <c r="S69" i="44"/>
  <c r="W69" i="44" s="1"/>
  <c r="V69" i="44"/>
  <c r="X69" i="44"/>
  <c r="BF130" i="24" l="1"/>
  <c r="T26" i="45"/>
  <c r="R26" i="45"/>
  <c r="Z69" i="44"/>
  <c r="AA69" i="44"/>
  <c r="P70" i="44"/>
  <c r="X70" i="44" s="1"/>
  <c r="T70" i="44"/>
  <c r="Q70" i="44" s="1"/>
  <c r="BI124" i="24" s="1"/>
  <c r="AB69" i="44"/>
  <c r="U69" i="44"/>
  <c r="BG130" i="24" l="1"/>
  <c r="M27" i="45"/>
  <c r="U27" i="45" s="1"/>
  <c r="Q27" i="45"/>
  <c r="X26" i="45"/>
  <c r="Y26" i="45"/>
  <c r="W26" i="45"/>
  <c r="S70" i="44"/>
  <c r="V70" i="44"/>
  <c r="AC69" i="44"/>
  <c r="AA133" i="24" l="1"/>
  <c r="AV131" i="24"/>
  <c r="N27" i="45"/>
  <c r="S27" i="45"/>
  <c r="Z26" i="45"/>
  <c r="W70" i="44"/>
  <c r="U70" i="44"/>
  <c r="AV125" i="24" l="1"/>
  <c r="BH125" i="24"/>
  <c r="AA127" i="24"/>
  <c r="AA149" i="24" s="1"/>
  <c r="P27" i="45"/>
  <c r="Z70" i="44"/>
  <c r="AA70" i="44"/>
  <c r="AB70" i="44"/>
  <c r="T71" i="44"/>
  <c r="Q71" i="44" s="1"/>
  <c r="BJ124" i="24" s="1"/>
  <c r="P71" i="44"/>
  <c r="X71" i="44" s="1"/>
  <c r="BH130" i="24" l="1"/>
  <c r="T27" i="45"/>
  <c r="R27" i="45"/>
  <c r="S71" i="44"/>
  <c r="V71" i="44"/>
  <c r="AC70" i="44"/>
  <c r="M28" i="45" l="1"/>
  <c r="U28" i="45" s="1"/>
  <c r="Q28" i="45"/>
  <c r="X27" i="45"/>
  <c r="Y27" i="45"/>
  <c r="W27" i="45"/>
  <c r="W71" i="44"/>
  <c r="U71" i="44"/>
  <c r="AB133" i="24" l="1"/>
  <c r="AW131" i="24"/>
  <c r="N28" i="45"/>
  <c r="BK125" i="24" s="1"/>
  <c r="S28" i="45"/>
  <c r="Z27" i="45"/>
  <c r="T72" i="44"/>
  <c r="Q72" i="44" s="1"/>
  <c r="BK124" i="24" s="1"/>
  <c r="Z71" i="44"/>
  <c r="AB71" i="44"/>
  <c r="AA71" i="44"/>
  <c r="P72" i="44"/>
  <c r="X72" i="44" s="1"/>
  <c r="BI130" i="24" l="1"/>
  <c r="AW125" i="24"/>
  <c r="BI125" i="24"/>
  <c r="AB127" i="24"/>
  <c r="AB149" i="24" s="1"/>
  <c r="P28" i="45"/>
  <c r="AC71" i="44"/>
  <c r="S72" i="44"/>
  <c r="V72" i="44"/>
  <c r="T28" i="45" l="1"/>
  <c r="R28" i="45"/>
  <c r="W72" i="44"/>
  <c r="U72" i="44"/>
  <c r="M29" i="45" l="1"/>
  <c r="U29" i="45" s="1"/>
  <c r="Q29" i="45"/>
  <c r="X28" i="45"/>
  <c r="W28" i="45"/>
  <c r="Y28" i="45"/>
  <c r="T73" i="44"/>
  <c r="Q73" i="44" s="1"/>
  <c r="BL124" i="24" s="1"/>
  <c r="AB72" i="44"/>
  <c r="P73" i="44"/>
  <c r="Z72" i="44"/>
  <c r="AA72" i="44"/>
  <c r="AC133" i="24" l="1"/>
  <c r="AX131" i="24"/>
  <c r="Z28" i="45"/>
  <c r="N29" i="45"/>
  <c r="S29" i="45"/>
  <c r="AC72" i="44"/>
  <c r="X73" i="44"/>
  <c r="S73" i="44"/>
  <c r="V73" i="44"/>
  <c r="BJ130" i="24" l="1"/>
  <c r="BL125" i="24"/>
  <c r="AY125" i="24"/>
  <c r="AX125" i="24"/>
  <c r="BJ125" i="24"/>
  <c r="AC127" i="24"/>
  <c r="AC149" i="24" s="1"/>
  <c r="P29" i="45"/>
  <c r="U73" i="44"/>
  <c r="W73" i="44"/>
  <c r="H93" i="22" s="1"/>
  <c r="T29" i="45" l="1"/>
  <c r="R29" i="45"/>
  <c r="F125" i="24"/>
  <c r="Z73" i="44"/>
  <c r="AB73" i="44"/>
  <c r="P74" i="44"/>
  <c r="T74" i="44"/>
  <c r="Q74" i="44" s="1"/>
  <c r="BM124" i="24" s="1"/>
  <c r="AA73" i="44"/>
  <c r="Q30" i="45" l="1"/>
  <c r="M30" i="45"/>
  <c r="U30" i="45" s="1"/>
  <c r="X29" i="45"/>
  <c r="W29" i="45"/>
  <c r="Y29" i="45"/>
  <c r="AC73" i="44"/>
  <c r="X74" i="44"/>
  <c r="S74" i="44"/>
  <c r="V74" i="44"/>
  <c r="BK130" i="24" l="1"/>
  <c r="AD133" i="24"/>
  <c r="AY131" i="24"/>
  <c r="Z29" i="45"/>
  <c r="P30" i="45"/>
  <c r="S30" i="45"/>
  <c r="W74" i="44"/>
  <c r="U74" i="44"/>
  <c r="T30" i="45" l="1"/>
  <c r="R30" i="45"/>
  <c r="AA74" i="44"/>
  <c r="T75" i="44"/>
  <c r="Q75" i="44" s="1"/>
  <c r="BN124" i="24" s="1"/>
  <c r="P75" i="44"/>
  <c r="Z74" i="44"/>
  <c r="AB74" i="44"/>
  <c r="M31" i="45" l="1"/>
  <c r="U31" i="45" s="1"/>
  <c r="Q31" i="45"/>
  <c r="W30" i="45"/>
  <c r="Y30" i="45"/>
  <c r="X30" i="45"/>
  <c r="AC74" i="44"/>
  <c r="X75" i="44"/>
  <c r="S75" i="44"/>
  <c r="W75" i="44" s="1"/>
  <c r="V75" i="44"/>
  <c r="BL130" i="24" l="1"/>
  <c r="AE133" i="24"/>
  <c r="AZ131" i="24"/>
  <c r="Z30" i="45"/>
  <c r="P31" i="45"/>
  <c r="S31" i="45"/>
  <c r="U75" i="44"/>
  <c r="AA75" i="44"/>
  <c r="Z75" i="44"/>
  <c r="T76" i="44"/>
  <c r="Q76" i="44" s="1"/>
  <c r="BO124" i="24" s="1"/>
  <c r="P76" i="44"/>
  <c r="AB75" i="44"/>
  <c r="T31" i="45" l="1"/>
  <c r="G101" i="22" s="1"/>
  <c r="R31" i="45"/>
  <c r="X76" i="44"/>
  <c r="S76" i="44"/>
  <c r="V76" i="44"/>
  <c r="AC75" i="44"/>
  <c r="BM130" i="24" l="1"/>
  <c r="M32" i="45"/>
  <c r="Q32" i="45"/>
  <c r="X31" i="45"/>
  <c r="Y31" i="45"/>
  <c r="W31" i="45"/>
  <c r="U76" i="44"/>
  <c r="W76" i="44"/>
  <c r="P32" i="45" l="1"/>
  <c r="S32" i="45"/>
  <c r="Z31" i="45"/>
  <c r="U32" i="45"/>
  <c r="AD21" i="45"/>
  <c r="AA76" i="44"/>
  <c r="T77" i="44"/>
  <c r="Q77" i="44" s="1"/>
  <c r="BP124" i="24" s="1"/>
  <c r="Z76" i="44"/>
  <c r="P77" i="44"/>
  <c r="AB76" i="44"/>
  <c r="AF133" i="24" l="1"/>
  <c r="BA131" i="24"/>
  <c r="T32" i="45"/>
  <c r="R32" i="45"/>
  <c r="X77" i="44"/>
  <c r="AC76" i="44"/>
  <c r="S77" i="44"/>
  <c r="V77" i="44"/>
  <c r="BN130" i="24" l="1"/>
  <c r="M33" i="45"/>
  <c r="U33" i="45" s="1"/>
  <c r="Q33" i="45"/>
  <c r="Y32" i="45"/>
  <c r="W32" i="45"/>
  <c r="X32" i="45"/>
  <c r="U77" i="44"/>
  <c r="W77" i="44"/>
  <c r="BB131" i="24" l="1"/>
  <c r="Z32" i="45"/>
  <c r="P33" i="45"/>
  <c r="S33" i="45"/>
  <c r="AA77" i="44"/>
  <c r="Z77" i="44"/>
  <c r="T78" i="44"/>
  <c r="Q78" i="44" s="1"/>
  <c r="BQ124" i="24" s="1"/>
  <c r="P78" i="44"/>
  <c r="AB77" i="44"/>
  <c r="T33" i="45" l="1"/>
  <c r="R33" i="45"/>
  <c r="X78" i="44"/>
  <c r="S78" i="44"/>
  <c r="V78" i="44"/>
  <c r="AC77" i="44"/>
  <c r="BO130" i="24" l="1"/>
  <c r="M34" i="45"/>
  <c r="U34" i="45" s="1"/>
  <c r="Q34" i="45"/>
  <c r="W33" i="45"/>
  <c r="Y33" i="45"/>
  <c r="X33" i="45"/>
  <c r="U78" i="44"/>
  <c r="W78" i="44"/>
  <c r="BC131" i="24" l="1"/>
  <c r="Z33" i="45"/>
  <c r="P34" i="45"/>
  <c r="S34" i="45"/>
  <c r="AA78" i="44"/>
  <c r="P79" i="44"/>
  <c r="AG25" i="44" s="1"/>
  <c r="T79" i="44"/>
  <c r="Q79" i="44" s="1"/>
  <c r="BR124" i="24" s="1"/>
  <c r="AB78" i="44"/>
  <c r="Z78" i="44"/>
  <c r="AC78" i="44" l="1"/>
  <c r="T34" i="45"/>
  <c r="R34" i="45"/>
  <c r="S79" i="44"/>
  <c r="W79" i="44" s="1"/>
  <c r="V79" i="44"/>
  <c r="X79" i="44"/>
  <c r="BP130" i="24" l="1"/>
  <c r="Q35" i="45"/>
  <c r="M35" i="45"/>
  <c r="U35" i="45" s="1"/>
  <c r="Y34" i="45"/>
  <c r="X34" i="45"/>
  <c r="W34" i="45"/>
  <c r="AB79" i="44"/>
  <c r="T80" i="44"/>
  <c r="Q80" i="44" s="1"/>
  <c r="BS124" i="24" s="1"/>
  <c r="AA79" i="44"/>
  <c r="P80" i="44"/>
  <c r="Z79" i="44"/>
  <c r="U79" i="44"/>
  <c r="BD131" i="24" l="1"/>
  <c r="AC79" i="44"/>
  <c r="AH24" i="44" s="1"/>
  <c r="Z34" i="45"/>
  <c r="P35" i="45"/>
  <c r="S35" i="45"/>
  <c r="X80" i="44"/>
  <c r="S80" i="44"/>
  <c r="V80" i="44"/>
  <c r="BQ130" i="24" l="1"/>
  <c r="T35" i="45"/>
  <c r="R35" i="45"/>
  <c r="U80" i="44"/>
  <c r="W80" i="44"/>
  <c r="M36" i="45" l="1"/>
  <c r="U36" i="45" s="1"/>
  <c r="Q36" i="45"/>
  <c r="X35" i="45"/>
  <c r="Y35" i="45"/>
  <c r="W35" i="45"/>
  <c r="AB80" i="44"/>
  <c r="Z80" i="44"/>
  <c r="AA80" i="44"/>
  <c r="T81" i="44"/>
  <c r="Q81" i="44" s="1"/>
  <c r="BT124" i="24" s="1"/>
  <c r="P81" i="44"/>
  <c r="BE131" i="24" l="1"/>
  <c r="P36" i="45"/>
  <c r="S36" i="45"/>
  <c r="Z35" i="45"/>
  <c r="S81" i="44"/>
  <c r="W81" i="44" s="1"/>
  <c r="V81" i="44"/>
  <c r="AC80" i="44"/>
  <c r="X81" i="44"/>
  <c r="BR130" i="24" l="1"/>
  <c r="T36" i="45"/>
  <c r="R36" i="45"/>
  <c r="AA81" i="44"/>
  <c r="P82" i="44"/>
  <c r="X82" i="44" s="1"/>
  <c r="AB81" i="44"/>
  <c r="T82" i="44"/>
  <c r="Q82" i="44" s="1"/>
  <c r="BU124" i="24" s="1"/>
  <c r="Z81" i="44"/>
  <c r="U81" i="44"/>
  <c r="BS130" i="24" l="1"/>
  <c r="Q37" i="45"/>
  <c r="M37" i="45"/>
  <c r="U37" i="45" s="1"/>
  <c r="X36" i="45"/>
  <c r="W36" i="45"/>
  <c r="Y36" i="45"/>
  <c r="AC81" i="44"/>
  <c r="S82" i="44"/>
  <c r="V82" i="44"/>
  <c r="BF131" i="24" l="1"/>
  <c r="P37" i="45"/>
  <c r="S37" i="45"/>
  <c r="Z36" i="45"/>
  <c r="W82" i="44"/>
  <c r="U82" i="44"/>
  <c r="T37" i="45" l="1"/>
  <c r="R37" i="45"/>
  <c r="T83" i="44"/>
  <c r="Q83" i="44" s="1"/>
  <c r="BV124" i="24" s="1"/>
  <c r="P83" i="44"/>
  <c r="Z82" i="44"/>
  <c r="AA82" i="44"/>
  <c r="AB82" i="44"/>
  <c r="M38" i="45" l="1"/>
  <c r="U38" i="45" s="1"/>
  <c r="Q38" i="45"/>
  <c r="W37" i="45"/>
  <c r="Y37" i="45"/>
  <c r="X37" i="45"/>
  <c r="AC82" i="44"/>
  <c r="X83" i="44"/>
  <c r="S83" i="44"/>
  <c r="V83" i="44"/>
  <c r="BT130" i="24" l="1"/>
  <c r="BG131" i="24"/>
  <c r="Z37" i="45"/>
  <c r="P38" i="45"/>
  <c r="S38" i="45"/>
  <c r="U83" i="44"/>
  <c r="W83" i="44"/>
  <c r="T38" i="45" l="1"/>
  <c r="R38" i="45"/>
  <c r="Z83" i="44"/>
  <c r="T84" i="44"/>
  <c r="Q84" i="44" s="1"/>
  <c r="BW124" i="24" s="1"/>
  <c r="AA83" i="44"/>
  <c r="P84" i="44"/>
  <c r="X84" i="44" s="1"/>
  <c r="AB83" i="44"/>
  <c r="BU130" i="24" l="1"/>
  <c r="Q39" i="45"/>
  <c r="M39" i="45"/>
  <c r="U39" i="45" s="1"/>
  <c r="W38" i="45"/>
  <c r="X38" i="45"/>
  <c r="Y38" i="45"/>
  <c r="S84" i="44"/>
  <c r="V84" i="44"/>
  <c r="AC83" i="44"/>
  <c r="BH131" i="24" l="1"/>
  <c r="Z38" i="45"/>
  <c r="P39" i="45"/>
  <c r="S39" i="45"/>
  <c r="W84" i="44"/>
  <c r="U84" i="44"/>
  <c r="T39" i="45" l="1"/>
  <c r="R39" i="45"/>
  <c r="P85" i="44"/>
  <c r="Z84" i="44"/>
  <c r="T85" i="44"/>
  <c r="Q85" i="44" s="1"/>
  <c r="BX124" i="24" s="1"/>
  <c r="AB84" i="44"/>
  <c r="AA84" i="44"/>
  <c r="Q40" i="45" l="1"/>
  <c r="M40" i="45"/>
  <c r="X39" i="45"/>
  <c r="Y39" i="45"/>
  <c r="W39" i="45"/>
  <c r="AC84" i="44"/>
  <c r="S85" i="44"/>
  <c r="W85" i="44" s="1"/>
  <c r="I93" i="22" s="1"/>
  <c r="V85" i="44"/>
  <c r="X85" i="44"/>
  <c r="BV130" i="24" l="1"/>
  <c r="U40" i="45"/>
  <c r="Z39" i="45"/>
  <c r="P40" i="45"/>
  <c r="T40" i="45" s="1"/>
  <c r="S40" i="45"/>
  <c r="AA85" i="44"/>
  <c r="T86" i="44"/>
  <c r="Q86" i="44" s="1"/>
  <c r="BY124" i="24" s="1"/>
  <c r="P86" i="44"/>
  <c r="AB85" i="44"/>
  <c r="Z85" i="44"/>
  <c r="U85" i="44"/>
  <c r="BI131" i="24" l="1"/>
  <c r="Q41" i="45"/>
  <c r="M41" i="45"/>
  <c r="U41" i="45" s="1"/>
  <c r="Y40" i="45"/>
  <c r="W40" i="45"/>
  <c r="X40" i="45"/>
  <c r="R40" i="45"/>
  <c r="AC85" i="44"/>
  <c r="X86" i="44"/>
  <c r="S86" i="44"/>
  <c r="W86" i="44" s="1"/>
  <c r="V86" i="44"/>
  <c r="BW130" i="24" l="1"/>
  <c r="BJ131" i="24"/>
  <c r="Z40" i="45"/>
  <c r="P41" i="45"/>
  <c r="S41" i="45"/>
  <c r="U86" i="44"/>
  <c r="P87" i="44"/>
  <c r="T87" i="44"/>
  <c r="Q87" i="44" s="1"/>
  <c r="BZ124" i="24" s="1"/>
  <c r="AB86" i="44"/>
  <c r="AA86" i="44"/>
  <c r="Z86" i="44"/>
  <c r="T41" i="45" l="1"/>
  <c r="R41" i="45"/>
  <c r="X87" i="44"/>
  <c r="AC86" i="44"/>
  <c r="S87" i="44"/>
  <c r="V87" i="44"/>
  <c r="BX130" i="24" l="1"/>
  <c r="Y41" i="45"/>
  <c r="Q42" i="45"/>
  <c r="W41" i="45"/>
  <c r="X41" i="45"/>
  <c r="M42" i="45"/>
  <c r="U42" i="45" s="1"/>
  <c r="W87" i="44"/>
  <c r="U87" i="44"/>
  <c r="BK131" i="24" l="1"/>
  <c r="Z41" i="45"/>
  <c r="P42" i="45"/>
  <c r="S42" i="45"/>
  <c r="T88" i="44"/>
  <c r="Q88" i="44" s="1"/>
  <c r="CA124" i="24" s="1"/>
  <c r="AB87" i="44"/>
  <c r="Z87" i="44"/>
  <c r="P88" i="44"/>
  <c r="AA87" i="44"/>
  <c r="T42" i="45" l="1"/>
  <c r="R42" i="45"/>
  <c r="AC87" i="44"/>
  <c r="X88" i="44"/>
  <c r="S88" i="44"/>
  <c r="V88" i="44"/>
  <c r="BY130" i="24" l="1"/>
  <c r="W42" i="45"/>
  <c r="X42" i="45"/>
  <c r="M43" i="45"/>
  <c r="U43" i="45" s="1"/>
  <c r="Y42" i="45"/>
  <c r="Q43" i="45"/>
  <c r="U88" i="44"/>
  <c r="W88" i="44"/>
  <c r="BL131" i="24" l="1"/>
  <c r="P43" i="45"/>
  <c r="S43" i="45"/>
  <c r="Z42" i="45"/>
  <c r="AB88" i="44"/>
  <c r="T89" i="44"/>
  <c r="Q89" i="44" s="1"/>
  <c r="CB124" i="24" s="1"/>
  <c r="AA88" i="44"/>
  <c r="Z88" i="44"/>
  <c r="P89" i="44"/>
  <c r="T43" i="45" l="1"/>
  <c r="H101" i="22" s="1"/>
  <c r="R43" i="45"/>
  <c r="AC88" i="44"/>
  <c r="S89" i="44"/>
  <c r="W89" i="44" s="1"/>
  <c r="V89" i="44"/>
  <c r="X89" i="44"/>
  <c r="BZ130" i="24" l="1"/>
  <c r="W43" i="45"/>
  <c r="Q44" i="45"/>
  <c r="X43" i="45"/>
  <c r="Y43" i="45"/>
  <c r="M44" i="45"/>
  <c r="Z89" i="44"/>
  <c r="AB89" i="44"/>
  <c r="P90" i="44"/>
  <c r="T90" i="44"/>
  <c r="Q90" i="44" s="1"/>
  <c r="CC124" i="24" s="1"/>
  <c r="AA89" i="44"/>
  <c r="U89" i="44"/>
  <c r="P44" i="45" l="1"/>
  <c r="S44" i="45"/>
  <c r="U44" i="45"/>
  <c r="AD22" i="45"/>
  <c r="Z43" i="45"/>
  <c r="S90" i="44"/>
  <c r="W90" i="44" s="1"/>
  <c r="V90" i="44"/>
  <c r="X90" i="44"/>
  <c r="AC89" i="44"/>
  <c r="CA130" i="24" l="1"/>
  <c r="BM131" i="24"/>
  <c r="T44" i="45"/>
  <c r="R44" i="45"/>
  <c r="AA90" i="44"/>
  <c r="P91" i="44"/>
  <c r="AG26" i="44" s="1"/>
  <c r="Z90" i="44"/>
  <c r="T91" i="44"/>
  <c r="Q91" i="44" s="1"/>
  <c r="CD124" i="24" s="1"/>
  <c r="F124" i="24" s="1"/>
  <c r="AB90" i="44"/>
  <c r="U90" i="44"/>
  <c r="Y44" i="45" l="1"/>
  <c r="Q45" i="45"/>
  <c r="W44" i="45"/>
  <c r="M45" i="45"/>
  <c r="U45" i="45" s="1"/>
  <c r="X44" i="45"/>
  <c r="S91" i="44"/>
  <c r="W91" i="44" s="1"/>
  <c r="V91" i="44"/>
  <c r="AC90" i="44"/>
  <c r="X91" i="44"/>
  <c r="CB130" i="24" l="1"/>
  <c r="BN131" i="24"/>
  <c r="Z44" i="45"/>
  <c r="P45" i="45"/>
  <c r="S45" i="45"/>
  <c r="AB91" i="44"/>
  <c r="P92" i="44"/>
  <c r="AA91" i="44"/>
  <c r="T92" i="44"/>
  <c r="Z91" i="44"/>
  <c r="U91" i="44"/>
  <c r="AC91" i="44" l="1"/>
  <c r="T45" i="45"/>
  <c r="R45" i="45"/>
  <c r="S92" i="44"/>
  <c r="W92" i="44" s="1"/>
  <c r="V92" i="44"/>
  <c r="X92" i="44"/>
  <c r="CC130" i="24" l="1"/>
  <c r="M46" i="45"/>
  <c r="U46" i="45" s="1"/>
  <c r="Y45" i="45"/>
  <c r="Q46" i="45"/>
  <c r="W45" i="45"/>
  <c r="X45" i="45"/>
  <c r="AA92" i="44"/>
  <c r="T93" i="44"/>
  <c r="Z92" i="44"/>
  <c r="AB92" i="44"/>
  <c r="P93" i="44"/>
  <c r="U92" i="44"/>
  <c r="BO131" i="24" l="1"/>
  <c r="Z45" i="45"/>
  <c r="P46" i="45"/>
  <c r="S46" i="45"/>
  <c r="AC92" i="44"/>
  <c r="S93" i="44"/>
  <c r="W93" i="44" s="1"/>
  <c r="V93" i="44"/>
  <c r="X93" i="44"/>
  <c r="CD130" i="24" l="1"/>
  <c r="T46" i="45"/>
  <c r="R46" i="45"/>
  <c r="Z93" i="44"/>
  <c r="AA93" i="44"/>
  <c r="T94" i="44"/>
  <c r="AB93" i="44"/>
  <c r="P94" i="44"/>
  <c r="U93" i="44"/>
  <c r="W46" i="45" l="1"/>
  <c r="Q47" i="45"/>
  <c r="X46" i="45"/>
  <c r="M47" i="45"/>
  <c r="U47" i="45" s="1"/>
  <c r="Y46" i="45"/>
  <c r="S94" i="44"/>
  <c r="W94" i="44" s="1"/>
  <c r="V94" i="44"/>
  <c r="X94" i="44"/>
  <c r="AC93" i="44"/>
  <c r="CE130" i="24" l="1"/>
  <c r="BP131" i="24"/>
  <c r="P47" i="45"/>
  <c r="S47" i="45"/>
  <c r="Z46" i="45"/>
  <c r="Z94" i="44"/>
  <c r="T95" i="44"/>
  <c r="AB94" i="44"/>
  <c r="AA94" i="44"/>
  <c r="P95" i="44"/>
  <c r="U94" i="44"/>
  <c r="T47" i="45" l="1"/>
  <c r="R47" i="45"/>
  <c r="S95" i="44"/>
  <c r="W95" i="44" s="1"/>
  <c r="V95" i="44"/>
  <c r="X95" i="44"/>
  <c r="AC94" i="44"/>
  <c r="CF130" i="24" l="1"/>
  <c r="M48" i="45"/>
  <c r="U48" i="45" s="1"/>
  <c r="W47" i="45"/>
  <c r="Y47" i="45"/>
  <c r="X47" i="45"/>
  <c r="Q48" i="45"/>
  <c r="Z95" i="44"/>
  <c r="P96" i="44"/>
  <c r="AB95" i="44"/>
  <c r="T96" i="44"/>
  <c r="AA95" i="44"/>
  <c r="U95" i="44"/>
  <c r="BQ131" i="24" l="1"/>
  <c r="Z47" i="45"/>
  <c r="P48" i="45"/>
  <c r="S48" i="45"/>
  <c r="S96" i="44"/>
  <c r="W96" i="44" s="1"/>
  <c r="V96" i="44"/>
  <c r="X96" i="44"/>
  <c r="AC95" i="44"/>
  <c r="CG130" i="24" l="1"/>
  <c r="T48" i="45"/>
  <c r="R48" i="45"/>
  <c r="AB96" i="44"/>
  <c r="P97" i="44"/>
  <c r="T97" i="44"/>
  <c r="Z96" i="44"/>
  <c r="AA96" i="44"/>
  <c r="U96" i="44"/>
  <c r="W48" i="45" l="1"/>
  <c r="M49" i="45"/>
  <c r="U49" i="45" s="1"/>
  <c r="BR131" i="24" s="1"/>
  <c r="Y48" i="45"/>
  <c r="X48" i="45"/>
  <c r="Q49" i="45"/>
  <c r="AC96" i="44"/>
  <c r="S97" i="44"/>
  <c r="W97" i="44" s="1"/>
  <c r="L93" i="22" s="1"/>
  <c r="V97" i="44"/>
  <c r="X97" i="44"/>
  <c r="CH130" i="24" l="1"/>
  <c r="P49" i="45"/>
  <c r="S49" i="45"/>
  <c r="Z48" i="45"/>
  <c r="U97" i="44"/>
  <c r="P98" i="44"/>
  <c r="Z97" i="44"/>
  <c r="AB97" i="44"/>
  <c r="AA97" i="44"/>
  <c r="T98" i="44"/>
  <c r="T49" i="45" l="1"/>
  <c r="R49" i="45"/>
  <c r="AC97" i="44"/>
  <c r="S98" i="44"/>
  <c r="W98" i="44" s="1"/>
  <c r="V98" i="44"/>
  <c r="X98" i="44"/>
  <c r="CI130" i="24" l="1"/>
  <c r="X49" i="45"/>
  <c r="M50" i="45"/>
  <c r="Q50" i="45"/>
  <c r="Y49" i="45"/>
  <c r="W49" i="45"/>
  <c r="U98" i="44"/>
  <c r="P99" i="44"/>
  <c r="Z98" i="44"/>
  <c r="AB98" i="44"/>
  <c r="T99" i="44"/>
  <c r="AA98" i="44"/>
  <c r="Z49" i="45" l="1"/>
  <c r="P50" i="45"/>
  <c r="T50" i="45" s="1"/>
  <c r="S50" i="45"/>
  <c r="U50" i="45"/>
  <c r="BS131" i="24" s="1"/>
  <c r="AC98" i="44"/>
  <c r="S99" i="44"/>
  <c r="W99" i="44" s="1"/>
  <c r="V99" i="44"/>
  <c r="X99" i="44"/>
  <c r="CJ130" i="24" l="1"/>
  <c r="M51" i="45"/>
  <c r="U51" i="45" s="1"/>
  <c r="BT131" i="24" s="1"/>
  <c r="Q51" i="45"/>
  <c r="Y50" i="45"/>
  <c r="X50" i="45"/>
  <c r="W50" i="45"/>
  <c r="R50" i="45"/>
  <c r="Z99" i="44"/>
  <c r="AB99" i="44"/>
  <c r="AA99" i="44"/>
  <c r="P100" i="44"/>
  <c r="T100" i="44"/>
  <c r="U99" i="44"/>
  <c r="P51" i="45" l="1"/>
  <c r="S51" i="45"/>
  <c r="Z50" i="45"/>
  <c r="X100" i="44"/>
  <c r="S100" i="44"/>
  <c r="V100" i="44"/>
  <c r="AC99" i="44"/>
  <c r="CK130" i="24" l="1"/>
  <c r="T51" i="45"/>
  <c r="R51" i="45"/>
  <c r="U100" i="44"/>
  <c r="W100" i="44"/>
  <c r="W51" i="45" l="1"/>
  <c r="Q52" i="45"/>
  <c r="X51" i="45"/>
  <c r="M52" i="45"/>
  <c r="U52" i="45" s="1"/>
  <c r="BU131" i="24" s="1"/>
  <c r="Y51" i="45"/>
  <c r="AA100" i="44"/>
  <c r="T101" i="44"/>
  <c r="P101" i="44"/>
  <c r="Z100" i="44"/>
  <c r="AB100" i="44"/>
  <c r="P52" i="45" l="1"/>
  <c r="S52" i="45"/>
  <c r="Z51" i="45"/>
  <c r="AC100" i="44"/>
  <c r="X101" i="44"/>
  <c r="S101" i="44"/>
  <c r="V101" i="44"/>
  <c r="CL130" i="24" l="1"/>
  <c r="T52" i="45"/>
  <c r="R52" i="45"/>
  <c r="U101" i="44"/>
  <c r="W101" i="44"/>
  <c r="Q53" i="45" l="1"/>
  <c r="W52" i="45"/>
  <c r="M53" i="45"/>
  <c r="U53" i="45" s="1"/>
  <c r="BV131" i="24" s="1"/>
  <c r="X52" i="45"/>
  <c r="Y52" i="45"/>
  <c r="P102" i="44"/>
  <c r="T102" i="44"/>
  <c r="AB101" i="44"/>
  <c r="AA101" i="44"/>
  <c r="Z101" i="44"/>
  <c r="Z52" i="45" l="1"/>
  <c r="P53" i="45"/>
  <c r="S53" i="45"/>
  <c r="AC101" i="44"/>
  <c r="S102" i="44"/>
  <c r="W102" i="44" s="1"/>
  <c r="V102" i="44"/>
  <c r="X102" i="44"/>
  <c r="CM130" i="24" l="1"/>
  <c r="T53" i="45"/>
  <c r="R53" i="45"/>
  <c r="AA102" i="44"/>
  <c r="T103" i="44"/>
  <c r="Z102" i="44"/>
  <c r="P103" i="44"/>
  <c r="AG27" i="44" s="1"/>
  <c r="AB102" i="44"/>
  <c r="U102" i="44"/>
  <c r="W53" i="45" l="1"/>
  <c r="X53" i="45"/>
  <c r="M54" i="45"/>
  <c r="U54" i="45" s="1"/>
  <c r="BW131" i="24" s="1"/>
  <c r="Y53" i="45"/>
  <c r="Q54" i="45"/>
  <c r="X103" i="44"/>
  <c r="AC102" i="44"/>
  <c r="S103" i="44"/>
  <c r="V103" i="44"/>
  <c r="CN130" i="24" l="1"/>
  <c r="P54" i="45"/>
  <c r="S54" i="45"/>
  <c r="Z53" i="45"/>
  <c r="U103" i="44"/>
  <c r="W103" i="44"/>
  <c r="T54" i="45" l="1"/>
  <c r="R54" i="45"/>
  <c r="P104" i="44"/>
  <c r="T104" i="44"/>
  <c r="AA103" i="44"/>
  <c r="AB103" i="44"/>
  <c r="Z103" i="44"/>
  <c r="Q55" i="45" l="1"/>
  <c r="X54" i="45"/>
  <c r="M55" i="45"/>
  <c r="U55" i="45" s="1"/>
  <c r="BX131" i="24" s="1"/>
  <c r="W54" i="45"/>
  <c r="Y54" i="45"/>
  <c r="AC103" i="44"/>
  <c r="S104" i="44"/>
  <c r="W104" i="44" s="1"/>
  <c r="V104" i="44"/>
  <c r="X104" i="44"/>
  <c r="CO130" i="24" l="1"/>
  <c r="Z54" i="45"/>
  <c r="P55" i="45"/>
  <c r="S55" i="45"/>
  <c r="T105" i="44"/>
  <c r="AB104" i="44"/>
  <c r="Z104" i="44"/>
  <c r="AA104" i="44"/>
  <c r="P105" i="44"/>
  <c r="U104" i="44"/>
  <c r="T55" i="45" l="1"/>
  <c r="I101" i="22" s="1"/>
  <c r="R55" i="45"/>
  <c r="AC104" i="44"/>
  <c r="X105" i="44"/>
  <c r="S105" i="44"/>
  <c r="V105" i="44"/>
  <c r="CP130" i="24" l="1"/>
  <c r="X55" i="45"/>
  <c r="Q56" i="45"/>
  <c r="M56" i="45"/>
  <c r="W55" i="45"/>
  <c r="Y55" i="45"/>
  <c r="U105" i="44"/>
  <c r="W105" i="44"/>
  <c r="P56" i="45" l="1"/>
  <c r="S56" i="45"/>
  <c r="Z55" i="45"/>
  <c r="U56" i="45"/>
  <c r="BY131" i="24" s="1"/>
  <c r="AD23" i="45"/>
  <c r="P106" i="44"/>
  <c r="AB105" i="44"/>
  <c r="Z105" i="44"/>
  <c r="T106" i="44"/>
  <c r="AA105" i="44"/>
  <c r="T56" i="45" l="1"/>
  <c r="R56" i="45"/>
  <c r="S106" i="44"/>
  <c r="W106" i="44" s="1"/>
  <c r="V106" i="44"/>
  <c r="AC105" i="44"/>
  <c r="X106" i="44"/>
  <c r="CQ130" i="24" l="1"/>
  <c r="Q57" i="45"/>
  <c r="Y56" i="45"/>
  <c r="X56" i="45"/>
  <c r="W56" i="45"/>
  <c r="M57" i="45"/>
  <c r="U57" i="45" s="1"/>
  <c r="BZ131" i="24" s="1"/>
  <c r="AB106" i="44"/>
  <c r="AA106" i="44"/>
  <c r="Z106" i="44"/>
  <c r="T107" i="44"/>
  <c r="P107" i="44"/>
  <c r="U106" i="44"/>
  <c r="P57" i="45" l="1"/>
  <c r="S57" i="45"/>
  <c r="Z56" i="45"/>
  <c r="AC106" i="44"/>
  <c r="S107" i="44"/>
  <c r="W107" i="44" s="1"/>
  <c r="V107" i="44"/>
  <c r="X107" i="44"/>
  <c r="CR130" i="24" l="1"/>
  <c r="T57" i="45"/>
  <c r="R57" i="45"/>
  <c r="AB107" i="44"/>
  <c r="AA107" i="44"/>
  <c r="T108" i="44"/>
  <c r="Z107" i="44"/>
  <c r="P108" i="44"/>
  <c r="U107" i="44"/>
  <c r="X57" i="45" l="1"/>
  <c r="W57" i="45"/>
  <c r="M58" i="45"/>
  <c r="U58" i="45" s="1"/>
  <c r="CA131" i="24" s="1"/>
  <c r="Q58" i="45"/>
  <c r="Y57" i="45"/>
  <c r="AC107" i="44"/>
  <c r="S108" i="44"/>
  <c r="W108" i="44" s="1"/>
  <c r="V108" i="44"/>
  <c r="X108" i="44"/>
  <c r="CS130" i="24" l="1"/>
  <c r="P58" i="45"/>
  <c r="S58" i="45"/>
  <c r="Z57" i="45"/>
  <c r="T109" i="44"/>
  <c r="P109" i="44"/>
  <c r="X109" i="44" s="1"/>
  <c r="AA108" i="44"/>
  <c r="Z108" i="44"/>
  <c r="AB108" i="44"/>
  <c r="U108" i="44"/>
  <c r="CT130" i="24" l="1"/>
  <c r="AC108" i="44"/>
  <c r="T58" i="45"/>
  <c r="R58" i="45"/>
  <c r="S109" i="44"/>
  <c r="V109" i="44"/>
  <c r="X58" i="45" l="1"/>
  <c r="W58" i="45"/>
  <c r="Q59" i="45"/>
  <c r="Y58" i="45"/>
  <c r="M59" i="45"/>
  <c r="U59" i="45" s="1"/>
  <c r="CB131" i="24" s="1"/>
  <c r="W109" i="44"/>
  <c r="M93" i="22" s="1"/>
  <c r="U109" i="44"/>
  <c r="P59" i="45" l="1"/>
  <c r="S59" i="45"/>
  <c r="Z58" i="45"/>
  <c r="Z109" i="44"/>
  <c r="AB109" i="44"/>
  <c r="T110" i="44"/>
  <c r="P110" i="44"/>
  <c r="AA109" i="44"/>
  <c r="T59" i="45" l="1"/>
  <c r="R59" i="45"/>
  <c r="S110" i="44"/>
  <c r="W110" i="44" s="1"/>
  <c r="V110" i="44"/>
  <c r="AC109" i="44"/>
  <c r="X110" i="44"/>
  <c r="CU130" i="24" l="1"/>
  <c r="Y59" i="45"/>
  <c r="M60" i="45"/>
  <c r="U60" i="45" s="1"/>
  <c r="CC131" i="24" s="1"/>
  <c r="Q60" i="45"/>
  <c r="X59" i="45"/>
  <c r="W59" i="45"/>
  <c r="AB110" i="44"/>
  <c r="T111" i="44"/>
  <c r="AA110" i="44"/>
  <c r="P111" i="44"/>
  <c r="Z110" i="44"/>
  <c r="U110" i="44"/>
  <c r="Z59" i="45" l="1"/>
  <c r="P60" i="45"/>
  <c r="S60" i="45"/>
  <c r="AC110" i="44"/>
  <c r="X111" i="44"/>
  <c r="S111" i="44"/>
  <c r="V111" i="44"/>
  <c r="CV130" i="24" l="1"/>
  <c r="T60" i="45"/>
  <c r="R60" i="45"/>
  <c r="U111" i="44"/>
  <c r="W111" i="44"/>
  <c r="Y60" i="45" l="1"/>
  <c r="X60" i="45"/>
  <c r="M61" i="45"/>
  <c r="U61" i="45" s="1"/>
  <c r="CD131" i="24" s="1"/>
  <c r="W60" i="45"/>
  <c r="Q61" i="45"/>
  <c r="AA111" i="44"/>
  <c r="AB111" i="44"/>
  <c r="T112" i="44"/>
  <c r="P112" i="44"/>
  <c r="Z111" i="44"/>
  <c r="Z60" i="45" l="1"/>
  <c r="P61" i="45"/>
  <c r="S61" i="45"/>
  <c r="AC111" i="44"/>
  <c r="X112" i="44"/>
  <c r="S112" i="44"/>
  <c r="V112" i="44"/>
  <c r="CW130" i="24" l="1"/>
  <c r="T61" i="45"/>
  <c r="R61" i="45"/>
  <c r="U112" i="44"/>
  <c r="W112" i="44"/>
  <c r="M62" i="45" l="1"/>
  <c r="U62" i="45" s="1"/>
  <c r="CE131" i="24" s="1"/>
  <c r="X61" i="45"/>
  <c r="Y61" i="45"/>
  <c r="Q62" i="45"/>
  <c r="W61" i="45"/>
  <c r="AB112" i="44"/>
  <c r="T113" i="44"/>
  <c r="Z112" i="44"/>
  <c r="P113" i="44"/>
  <c r="AA112" i="44"/>
  <c r="Z61" i="45" l="1"/>
  <c r="P62" i="45"/>
  <c r="S62" i="45"/>
  <c r="X113" i="44"/>
  <c r="AC112" i="44"/>
  <c r="S113" i="44"/>
  <c r="V113" i="44"/>
  <c r="CX130" i="24" l="1"/>
  <c r="T62" i="45"/>
  <c r="R62" i="45"/>
  <c r="U113" i="44"/>
  <c r="W113" i="44"/>
  <c r="Q63" i="45" l="1"/>
  <c r="Y62" i="45"/>
  <c r="W62" i="45"/>
  <c r="X62" i="45"/>
  <c r="M63" i="45"/>
  <c r="U63" i="45" s="1"/>
  <c r="CF131" i="24" s="1"/>
  <c r="Z113" i="44"/>
  <c r="T114" i="44"/>
  <c r="AA113" i="44"/>
  <c r="AB113" i="44"/>
  <c r="P114" i="44"/>
  <c r="Z62" i="45" l="1"/>
  <c r="P63" i="45"/>
  <c r="S63" i="45"/>
  <c r="S114" i="44"/>
  <c r="W114" i="44" s="1"/>
  <c r="V114" i="44"/>
  <c r="X114" i="44"/>
  <c r="AC113" i="44"/>
  <c r="CY130" i="24" l="1"/>
  <c r="T63" i="45"/>
  <c r="R63" i="45"/>
  <c r="AB114" i="44"/>
  <c r="AA114" i="44"/>
  <c r="T115" i="44"/>
  <c r="Z114" i="44"/>
  <c r="P115" i="44"/>
  <c r="AG28" i="44" s="1"/>
  <c r="U114" i="44"/>
  <c r="AC114" i="44" l="1"/>
  <c r="Q64" i="45"/>
  <c r="Y63" i="45"/>
  <c r="W63" i="45"/>
  <c r="M64" i="45"/>
  <c r="U64" i="45" s="1"/>
  <c r="CG131" i="24" s="1"/>
  <c r="X63" i="45"/>
  <c r="S115" i="44"/>
  <c r="W115" i="44" s="1"/>
  <c r="V115" i="44"/>
  <c r="X115" i="44"/>
  <c r="CZ130" i="24" l="1"/>
  <c r="Z63" i="45"/>
  <c r="P64" i="45"/>
  <c r="S64" i="45"/>
  <c r="P116" i="44"/>
  <c r="AB115" i="44"/>
  <c r="AA115" i="44"/>
  <c r="Z115" i="44"/>
  <c r="T116" i="44"/>
  <c r="U115" i="44"/>
  <c r="T64" i="45" l="1"/>
  <c r="R64" i="45"/>
  <c r="AC115" i="44"/>
  <c r="S116" i="44"/>
  <c r="W116" i="44" s="1"/>
  <c r="V116" i="44"/>
  <c r="X116" i="44"/>
  <c r="DA130" i="24" l="1"/>
  <c r="M65" i="45"/>
  <c r="U65" i="45" s="1"/>
  <c r="CH131" i="24" s="1"/>
  <c r="W64" i="45"/>
  <c r="X64" i="45"/>
  <c r="Q65" i="45"/>
  <c r="Y64" i="45"/>
  <c r="T117" i="44"/>
  <c r="AB116" i="44"/>
  <c r="AA116" i="44"/>
  <c r="Z116" i="44"/>
  <c r="P117" i="44"/>
  <c r="U116" i="44"/>
  <c r="Z64" i="45" l="1"/>
  <c r="P65" i="45"/>
  <c r="S65" i="45"/>
  <c r="AC116" i="44"/>
  <c r="X117" i="44"/>
  <c r="S117" i="44"/>
  <c r="V117" i="44"/>
  <c r="DB130" i="24" l="1"/>
  <c r="T65" i="45"/>
  <c r="R65" i="45"/>
  <c r="U117" i="44"/>
  <c r="W117" i="44"/>
  <c r="Q66" i="45" l="1"/>
  <c r="Y65" i="45"/>
  <c r="X65" i="45"/>
  <c r="W65" i="45"/>
  <c r="M66" i="45"/>
  <c r="U66" i="45" s="1"/>
  <c r="CI131" i="24" s="1"/>
  <c r="Z117" i="44"/>
  <c r="AA117" i="44"/>
  <c r="P118" i="44"/>
  <c r="T118" i="44"/>
  <c r="AB117" i="44"/>
  <c r="Z65" i="45" l="1"/>
  <c r="P66" i="45"/>
  <c r="S66" i="45"/>
  <c r="S118" i="44"/>
  <c r="W118" i="44" s="1"/>
  <c r="V118" i="44"/>
  <c r="X118" i="44"/>
  <c r="AC117" i="44"/>
  <c r="DC130" i="24" l="1"/>
  <c r="T66" i="45"/>
  <c r="R66" i="45"/>
  <c r="AB118" i="44"/>
  <c r="Z118" i="44"/>
  <c r="P119" i="44"/>
  <c r="T119" i="44"/>
  <c r="AA118" i="44"/>
  <c r="U118" i="44"/>
  <c r="Y66" i="45" l="1"/>
  <c r="X66" i="45"/>
  <c r="M67" i="45"/>
  <c r="U67" i="45" s="1"/>
  <c r="CJ131" i="24" s="1"/>
  <c r="W66" i="45"/>
  <c r="Q67" i="45"/>
  <c r="S119" i="44"/>
  <c r="W119" i="44" s="1"/>
  <c r="V119" i="44"/>
  <c r="X119" i="44"/>
  <c r="AC118" i="44"/>
  <c r="DD130" i="24" l="1"/>
  <c r="Z66" i="45"/>
  <c r="P67" i="45"/>
  <c r="S67" i="45"/>
  <c r="T120" i="44"/>
  <c r="AB119" i="44"/>
  <c r="Z119" i="44"/>
  <c r="AA119" i="44"/>
  <c r="P120" i="44"/>
  <c r="U119" i="44"/>
  <c r="T67" i="45" l="1"/>
  <c r="L101" i="22" s="1"/>
  <c r="R67" i="45"/>
  <c r="AC119" i="44"/>
  <c r="X120" i="44"/>
  <c r="S120" i="44"/>
  <c r="V120" i="44"/>
  <c r="DE130" i="24" l="1"/>
  <c r="W67" i="45"/>
  <c r="X67" i="45"/>
  <c r="Y67" i="45"/>
  <c r="M68" i="45"/>
  <c r="Q68" i="45"/>
  <c r="U120" i="44"/>
  <c r="W120" i="44"/>
  <c r="P68" i="45" l="1"/>
  <c r="S68" i="45"/>
  <c r="Z67" i="45"/>
  <c r="AD24" i="45"/>
  <c r="U68" i="45"/>
  <c r="CK131" i="24" s="1"/>
  <c r="AB120" i="44"/>
  <c r="P121" i="44"/>
  <c r="X121" i="44" s="1"/>
  <c r="T121" i="44"/>
  <c r="Z120" i="44"/>
  <c r="AA120" i="44"/>
  <c r="DF130" i="24" l="1"/>
  <c r="T68" i="45"/>
  <c r="R68" i="45"/>
  <c r="AC120" i="44"/>
  <c r="S121" i="44"/>
  <c r="V121" i="44"/>
  <c r="X68" i="45" l="1"/>
  <c r="Q69" i="45"/>
  <c r="M69" i="45"/>
  <c r="U69" i="45" s="1"/>
  <c r="CL131" i="24" s="1"/>
  <c r="W68" i="45"/>
  <c r="Y68" i="45"/>
  <c r="W121" i="44"/>
  <c r="N93" i="22" s="1"/>
  <c r="U121" i="44"/>
  <c r="Z68" i="45" l="1"/>
  <c r="P69" i="45"/>
  <c r="S69" i="45"/>
  <c r="AB121" i="44"/>
  <c r="P122" i="44"/>
  <c r="T122" i="44"/>
  <c r="Z121" i="44"/>
  <c r="AA121" i="44"/>
  <c r="AC121" i="44" l="1"/>
  <c r="T69" i="45"/>
  <c r="R69" i="45"/>
  <c r="S122" i="44"/>
  <c r="V122" i="44"/>
  <c r="X122" i="44"/>
  <c r="DG130" i="24" l="1"/>
  <c r="X69" i="45"/>
  <c r="W69" i="45"/>
  <c r="Y69" i="45"/>
  <c r="M70" i="45"/>
  <c r="U70" i="45" s="1"/>
  <c r="CM131" i="24" s="1"/>
  <c r="Q70" i="45"/>
  <c r="W122" i="44"/>
  <c r="U122" i="44"/>
  <c r="Z69" i="45" l="1"/>
  <c r="P70" i="45"/>
  <c r="S70" i="45"/>
  <c r="P123" i="44"/>
  <c r="AB122" i="44"/>
  <c r="Z122" i="44"/>
  <c r="AA122" i="44"/>
  <c r="T123" i="44"/>
  <c r="T70" i="45" l="1"/>
  <c r="R70" i="45"/>
  <c r="AC122" i="44"/>
  <c r="S123" i="44"/>
  <c r="W123" i="44" s="1"/>
  <c r="V123" i="44"/>
  <c r="X123" i="44"/>
  <c r="DH130" i="24" l="1"/>
  <c r="M71" i="45"/>
  <c r="U71" i="45" s="1"/>
  <c r="CN131" i="24" s="1"/>
  <c r="W70" i="45"/>
  <c r="Y70" i="45"/>
  <c r="Q71" i="45"/>
  <c r="X70" i="45"/>
  <c r="T124" i="44"/>
  <c r="AB123" i="44"/>
  <c r="Z123" i="44"/>
  <c r="P124" i="44"/>
  <c r="AA123" i="44"/>
  <c r="U123" i="44"/>
  <c r="Z70" i="45" l="1"/>
  <c r="AC123" i="44"/>
  <c r="P71" i="45"/>
  <c r="S71" i="45"/>
  <c r="X124" i="44"/>
  <c r="S124" i="44"/>
  <c r="V124" i="44"/>
  <c r="DI130" i="24" l="1"/>
  <c r="T71" i="45"/>
  <c r="R71" i="45"/>
  <c r="U124" i="44"/>
  <c r="W124" i="44"/>
  <c r="M72" i="45" l="1"/>
  <c r="U72" i="45" s="1"/>
  <c r="CO131" i="24" s="1"/>
  <c r="X71" i="45"/>
  <c r="Q72" i="45"/>
  <c r="Y71" i="45"/>
  <c r="W71" i="45"/>
  <c r="AB124" i="44"/>
  <c r="P125" i="44"/>
  <c r="Z124" i="44"/>
  <c r="AA124" i="44"/>
  <c r="T125" i="44"/>
  <c r="P72" i="45" l="1"/>
  <c r="S72" i="45"/>
  <c r="Z71" i="45"/>
  <c r="AC124" i="44"/>
  <c r="X125" i="44"/>
  <c r="S125" i="44"/>
  <c r="V125" i="44"/>
  <c r="DJ130" i="24" l="1"/>
  <c r="T72" i="45"/>
  <c r="R72" i="45"/>
  <c r="U125" i="44"/>
  <c r="W125" i="44"/>
  <c r="Q73" i="45" l="1"/>
  <c r="W72" i="45"/>
  <c r="M73" i="45"/>
  <c r="Y72" i="45"/>
  <c r="X72" i="45"/>
  <c r="AB125" i="44"/>
  <c r="AA125" i="44"/>
  <c r="P126" i="44"/>
  <c r="Z125" i="44"/>
  <c r="T126" i="44"/>
  <c r="AC125" i="44" l="1"/>
  <c r="U73" i="45"/>
  <c r="CP131" i="24" s="1"/>
  <c r="Z72" i="45"/>
  <c r="P73" i="45"/>
  <c r="T73" i="45" s="1"/>
  <c r="S73" i="45"/>
  <c r="X126" i="44"/>
  <c r="S126" i="44"/>
  <c r="V126" i="44"/>
  <c r="DK130" i="24" l="1"/>
  <c r="Y73" i="45"/>
  <c r="M74" i="45"/>
  <c r="U74" i="45" s="1"/>
  <c r="CQ131" i="24" s="1"/>
  <c r="Q74" i="45"/>
  <c r="W73" i="45"/>
  <c r="X73" i="45"/>
  <c r="R73" i="45"/>
  <c r="U126" i="44"/>
  <c r="W126" i="44"/>
  <c r="P74" i="45" l="1"/>
  <c r="S74" i="45"/>
  <c r="Z73" i="45"/>
  <c r="T127" i="44"/>
  <c r="Z126" i="44"/>
  <c r="AB126" i="44"/>
  <c r="P127" i="44"/>
  <c r="AG29" i="44" s="1"/>
  <c r="AA126" i="44"/>
  <c r="T74" i="45" l="1"/>
  <c r="R74" i="45"/>
  <c r="AC126" i="44"/>
  <c r="X127" i="44"/>
  <c r="S127" i="44"/>
  <c r="V127" i="44"/>
  <c r="DL130" i="24" l="1"/>
  <c r="W74" i="45"/>
  <c r="Y74" i="45"/>
  <c r="X74" i="45"/>
  <c r="M75" i="45"/>
  <c r="U75" i="45" s="1"/>
  <c r="CR131" i="24" s="1"/>
  <c r="Q75" i="45"/>
  <c r="U127" i="44"/>
  <c r="W127" i="44"/>
  <c r="P75" i="45" l="1"/>
  <c r="S75" i="45"/>
  <c r="Z74" i="45"/>
  <c r="P128" i="44"/>
  <c r="AA127" i="44"/>
  <c r="Z127" i="44"/>
  <c r="AB127" i="44"/>
  <c r="T128" i="44"/>
  <c r="T75" i="45" l="1"/>
  <c r="R75" i="45"/>
  <c r="AC127" i="44"/>
  <c r="S128" i="44"/>
  <c r="W128" i="44" s="1"/>
  <c r="V128" i="44"/>
  <c r="X128" i="44"/>
  <c r="DM130" i="24" l="1"/>
  <c r="X75" i="45"/>
  <c r="Q76" i="45"/>
  <c r="W75" i="45"/>
  <c r="Y75" i="45"/>
  <c r="M76" i="45"/>
  <c r="U76" i="45" s="1"/>
  <c r="CS131" i="24" s="1"/>
  <c r="P129" i="44"/>
  <c r="Z128" i="44"/>
  <c r="AA128" i="44"/>
  <c r="T129" i="44"/>
  <c r="AB128" i="44"/>
  <c r="U128" i="44"/>
  <c r="P76" i="45" l="1"/>
  <c r="S76" i="45"/>
  <c r="Z75" i="45"/>
  <c r="S129" i="44"/>
  <c r="W129" i="44" s="1"/>
  <c r="V129" i="44"/>
  <c r="AC128" i="44"/>
  <c r="X129" i="44"/>
  <c r="DN130" i="24" l="1"/>
  <c r="T76" i="45"/>
  <c r="R76" i="45"/>
  <c r="Z129" i="44"/>
  <c r="AB129" i="44"/>
  <c r="T130" i="44"/>
  <c r="P130" i="44"/>
  <c r="AA129" i="44"/>
  <c r="U129" i="44"/>
  <c r="W76" i="45" l="1"/>
  <c r="X76" i="45"/>
  <c r="Q77" i="45"/>
  <c r="Y76" i="45"/>
  <c r="M77" i="45"/>
  <c r="U77" i="45" s="1"/>
  <c r="CT131" i="24" s="1"/>
  <c r="X130" i="44"/>
  <c r="S130" i="44"/>
  <c r="V130" i="44"/>
  <c r="AC129" i="44"/>
  <c r="DO130" i="24" l="1"/>
  <c r="P77" i="45"/>
  <c r="S77" i="45"/>
  <c r="Z76" i="45"/>
  <c r="U130" i="44"/>
  <c r="W130" i="44"/>
  <c r="T77" i="45" l="1"/>
  <c r="R77" i="45"/>
  <c r="P131" i="44"/>
  <c r="Z130" i="44"/>
  <c r="T131" i="44"/>
  <c r="AA130" i="44"/>
  <c r="AB130" i="44"/>
  <c r="W77" i="45" l="1"/>
  <c r="M78" i="45"/>
  <c r="U78" i="45" s="1"/>
  <c r="CU131" i="24" s="1"/>
  <c r="X77" i="45"/>
  <c r="Y77" i="45"/>
  <c r="Q78" i="45"/>
  <c r="AC130" i="44"/>
  <c r="S131" i="44"/>
  <c r="W131" i="44" s="1"/>
  <c r="V131" i="44"/>
  <c r="X131" i="44"/>
  <c r="DP130" i="24" l="1"/>
  <c r="P78" i="45"/>
  <c r="S78" i="45"/>
  <c r="Z77" i="45"/>
  <c r="AB131" i="44"/>
  <c r="P132" i="44"/>
  <c r="Z131" i="44"/>
  <c r="AA131" i="44"/>
  <c r="T132" i="44"/>
  <c r="U131" i="44"/>
  <c r="T78" i="45" l="1"/>
  <c r="R78" i="45"/>
  <c r="AC131" i="44"/>
  <c r="X132" i="44"/>
  <c r="S132" i="44"/>
  <c r="V132" i="44"/>
  <c r="DQ130" i="24" l="1"/>
  <c r="Q79" i="45"/>
  <c r="X78" i="45"/>
  <c r="Y78" i="45"/>
  <c r="M79" i="45"/>
  <c r="U79" i="45" s="1"/>
  <c r="CV131" i="24" s="1"/>
  <c r="W78" i="45"/>
  <c r="U132" i="44"/>
  <c r="W132" i="44"/>
  <c r="Z78" i="45" l="1"/>
  <c r="P79" i="45"/>
  <c r="S79" i="45"/>
  <c r="T133" i="44"/>
  <c r="AA132" i="44"/>
  <c r="AB132" i="44"/>
  <c r="Z132" i="44"/>
  <c r="P133" i="44"/>
  <c r="X133" i="44" s="1"/>
  <c r="DR130" i="24" l="1"/>
  <c r="T79" i="45"/>
  <c r="M101" i="22" s="1"/>
  <c r="R79" i="45"/>
  <c r="AC132" i="44"/>
  <c r="S133" i="44"/>
  <c r="V133" i="44"/>
  <c r="Y79" i="45" l="1"/>
  <c r="W79" i="45"/>
  <c r="Q80" i="45"/>
  <c r="M80" i="45"/>
  <c r="X79" i="45"/>
  <c r="W133" i="44"/>
  <c r="O93" i="22" s="1"/>
  <c r="U133" i="44"/>
  <c r="AD25" i="45" l="1"/>
  <c r="U80" i="45"/>
  <c r="CW131" i="24" s="1"/>
  <c r="P80" i="45"/>
  <c r="S80" i="45"/>
  <c r="Z79" i="45"/>
  <c r="Z133" i="44"/>
  <c r="AA133" i="44"/>
  <c r="AB133" i="44"/>
  <c r="T134" i="44"/>
  <c r="P134" i="44"/>
  <c r="T80" i="45" l="1"/>
  <c r="R80" i="45"/>
  <c r="AC133" i="44"/>
  <c r="X134" i="44"/>
  <c r="S134" i="44"/>
  <c r="V134" i="44"/>
  <c r="DS130" i="24" l="1"/>
  <c r="Y80" i="45"/>
  <c r="M81" i="45"/>
  <c r="U81" i="45" s="1"/>
  <c r="CX131" i="24" s="1"/>
  <c r="Q81" i="45"/>
  <c r="W80" i="45"/>
  <c r="X80" i="45"/>
  <c r="W134" i="44"/>
  <c r="U134" i="44"/>
  <c r="P81" i="45" l="1"/>
  <c r="S81" i="45"/>
  <c r="Z80" i="45"/>
  <c r="Z134" i="44"/>
  <c r="P135" i="44"/>
  <c r="AA134" i="44"/>
  <c r="T135" i="44"/>
  <c r="AB134" i="44"/>
  <c r="T81" i="45" l="1"/>
  <c r="R81" i="45"/>
  <c r="X135" i="44"/>
  <c r="S135" i="44"/>
  <c r="V135" i="44"/>
  <c r="AC134" i="44"/>
  <c r="DT130" i="24" l="1"/>
  <c r="X81" i="45"/>
  <c r="W81" i="45"/>
  <c r="M82" i="45"/>
  <c r="U82" i="45" s="1"/>
  <c r="CY131" i="24" s="1"/>
  <c r="Q82" i="45"/>
  <c r="Y81" i="45"/>
  <c r="W135" i="44"/>
  <c r="U135" i="44"/>
  <c r="Z81" i="45" l="1"/>
  <c r="P82" i="45"/>
  <c r="S82" i="45"/>
  <c r="P136" i="44"/>
  <c r="X136" i="44" s="1"/>
  <c r="Z135" i="44"/>
  <c r="T136" i="44"/>
  <c r="AB135" i="44"/>
  <c r="AA135" i="44"/>
  <c r="DU130" i="24" l="1"/>
  <c r="T82" i="45"/>
  <c r="R82" i="45"/>
  <c r="S136" i="44"/>
  <c r="V136" i="44"/>
  <c r="AC135" i="44"/>
  <c r="X82" i="45" l="1"/>
  <c r="M83" i="45"/>
  <c r="U83" i="45" s="1"/>
  <c r="CZ131" i="24" s="1"/>
  <c r="Q83" i="45"/>
  <c r="Y82" i="45"/>
  <c r="W82" i="45"/>
  <c r="W136" i="44"/>
  <c r="U136" i="44"/>
  <c r="P83" i="45" l="1"/>
  <c r="S83" i="45"/>
  <c r="Z82" i="45"/>
  <c r="P137" i="44"/>
  <c r="Z136" i="44"/>
  <c r="AA136" i="44"/>
  <c r="AB136" i="44"/>
  <c r="T137" i="44"/>
  <c r="T83" i="45" l="1"/>
  <c r="R83" i="45"/>
  <c r="AC136" i="44"/>
  <c r="S137" i="44"/>
  <c r="W137" i="44" s="1"/>
  <c r="V137" i="44"/>
  <c r="X137" i="44"/>
  <c r="DV130" i="24" l="1"/>
  <c r="Y83" i="45"/>
  <c r="W83" i="45"/>
  <c r="Q84" i="45"/>
  <c r="X83" i="45"/>
  <c r="M84" i="45"/>
  <c r="U84" i="45" s="1"/>
  <c r="DA131" i="24" s="1"/>
  <c r="Z137" i="44"/>
  <c r="AB137" i="44"/>
  <c r="T138" i="44"/>
  <c r="AA137" i="44"/>
  <c r="P138" i="44"/>
  <c r="U137" i="44"/>
  <c r="P84" i="45" l="1"/>
  <c r="S84" i="45"/>
  <c r="Z83" i="45"/>
  <c r="S138" i="44"/>
  <c r="W138" i="44" s="1"/>
  <c r="V138" i="44"/>
  <c r="X138" i="44"/>
  <c r="AC137" i="44"/>
  <c r="DW130" i="24" l="1"/>
  <c r="T84" i="45"/>
  <c r="R84" i="45"/>
  <c r="Z138" i="44"/>
  <c r="AB138" i="44"/>
  <c r="T139" i="44"/>
  <c r="AA138" i="44"/>
  <c r="P139" i="44"/>
  <c r="AG30" i="44" s="1"/>
  <c r="U138" i="44"/>
  <c r="X84" i="45" l="1"/>
  <c r="Q85" i="45"/>
  <c r="W84" i="45"/>
  <c r="M85" i="45"/>
  <c r="U85" i="45" s="1"/>
  <c r="DB131" i="24" s="1"/>
  <c r="Y84" i="45"/>
  <c r="S139" i="44"/>
  <c r="W139" i="44" s="1"/>
  <c r="V139" i="44"/>
  <c r="X139" i="44"/>
  <c r="AC138" i="44"/>
  <c r="DX130" i="24" l="1"/>
  <c r="Z84" i="45"/>
  <c r="P85" i="45"/>
  <c r="S85" i="45"/>
  <c r="AA139" i="44"/>
  <c r="P140" i="44"/>
  <c r="X140" i="44" s="1"/>
  <c r="T140" i="44"/>
  <c r="AB139" i="44"/>
  <c r="Z139" i="44"/>
  <c r="U139" i="44"/>
  <c r="DY130" i="24" l="1"/>
  <c r="T85" i="45"/>
  <c r="R85" i="45"/>
  <c r="AC139" i="44"/>
  <c r="S140" i="44"/>
  <c r="V140" i="44"/>
  <c r="X85" i="45" l="1"/>
  <c r="W85" i="45"/>
  <c r="Y85" i="45"/>
  <c r="Q86" i="45"/>
  <c r="M86" i="45"/>
  <c r="U86" i="45" s="1"/>
  <c r="DC131" i="24" s="1"/>
  <c r="W140" i="44"/>
  <c r="U140" i="44"/>
  <c r="Z85" i="45" l="1"/>
  <c r="P86" i="45"/>
  <c r="S86" i="45"/>
  <c r="AA140" i="44"/>
  <c r="AB140" i="44"/>
  <c r="Z140" i="44"/>
  <c r="P141" i="44"/>
  <c r="T141" i="44"/>
  <c r="T86" i="45" l="1"/>
  <c r="R86" i="45"/>
  <c r="AC140" i="44"/>
  <c r="X141" i="44"/>
  <c r="S141" i="44"/>
  <c r="V141" i="44"/>
  <c r="DZ130" i="24" l="1"/>
  <c r="W86" i="45"/>
  <c r="Y86" i="45"/>
  <c r="M87" i="45"/>
  <c r="U87" i="45" s="1"/>
  <c r="DD131" i="24" s="1"/>
  <c r="X86" i="45"/>
  <c r="Q87" i="45"/>
  <c r="U141" i="44"/>
  <c r="W141" i="44"/>
  <c r="P87" i="45" l="1"/>
  <c r="S87" i="45"/>
  <c r="Z86" i="45"/>
  <c r="T142" i="44"/>
  <c r="AA141" i="44"/>
  <c r="P142" i="44"/>
  <c r="Z141" i="44"/>
  <c r="AB141" i="44"/>
  <c r="T87" i="45" l="1"/>
  <c r="R87" i="45"/>
  <c r="AC141" i="44"/>
  <c r="X142" i="44"/>
  <c r="S142" i="44"/>
  <c r="V142" i="44"/>
  <c r="EA130" i="24" l="1"/>
  <c r="Q88" i="45"/>
  <c r="Y87" i="45"/>
  <c r="W87" i="45"/>
  <c r="X87" i="45"/>
  <c r="M88" i="45"/>
  <c r="U88" i="45" s="1"/>
  <c r="DE131" i="24" s="1"/>
  <c r="U142" i="44"/>
  <c r="W142" i="44"/>
  <c r="AJ25" i="44"/>
  <c r="AJ26" i="44"/>
  <c r="AJ27" i="44"/>
  <c r="AJ28" i="44"/>
  <c r="AJ29" i="44"/>
  <c r="O92" i="22" l="1"/>
  <c r="Z87" i="45"/>
  <c r="P88" i="45"/>
  <c r="S88" i="45"/>
  <c r="T143" i="44"/>
  <c r="Z142" i="44"/>
  <c r="AB142" i="44"/>
  <c r="P143" i="44"/>
  <c r="X143" i="44" s="1"/>
  <c r="AA142" i="44"/>
  <c r="AI25" i="44"/>
  <c r="AI26" i="44"/>
  <c r="AI27" i="44"/>
  <c r="AI28" i="44"/>
  <c r="AI29" i="44"/>
  <c r="EB130" i="24" l="1"/>
  <c r="T88" i="45"/>
  <c r="R88" i="45"/>
  <c r="AC142" i="44"/>
  <c r="S143" i="44"/>
  <c r="V143" i="44"/>
  <c r="O91" i="22"/>
  <c r="AO27" i="44"/>
  <c r="AO26" i="44"/>
  <c r="AO29" i="44"/>
  <c r="AO28" i="44"/>
  <c r="AO25" i="44"/>
  <c r="M89" i="45" l="1"/>
  <c r="U89" i="45" s="1"/>
  <c r="DF131" i="24" s="1"/>
  <c r="X88" i="45"/>
  <c r="Y88" i="45"/>
  <c r="Q89" i="45"/>
  <c r="W88" i="45"/>
  <c r="W143" i="44"/>
  <c r="U143" i="44"/>
  <c r="Z88" i="45" l="1"/>
  <c r="P89" i="45"/>
  <c r="S89" i="45"/>
  <c r="Z143" i="44"/>
  <c r="P144" i="44"/>
  <c r="AA143" i="44"/>
  <c r="T144" i="44"/>
  <c r="AB143" i="44"/>
  <c r="T89" i="45" l="1"/>
  <c r="R89" i="45"/>
  <c r="S144" i="44"/>
  <c r="W144" i="44" s="1"/>
  <c r="V144" i="44"/>
  <c r="X144" i="44"/>
  <c r="AC143" i="44"/>
  <c r="AK25" i="44"/>
  <c r="AK26" i="44"/>
  <c r="AK27" i="44"/>
  <c r="AK28" i="44"/>
  <c r="AK29" i="44"/>
  <c r="EC130" i="24" l="1"/>
  <c r="X89" i="45"/>
  <c r="W89" i="45"/>
  <c r="Q90" i="45"/>
  <c r="M90" i="45"/>
  <c r="Y89" i="45"/>
  <c r="AB144" i="44"/>
  <c r="Z144" i="44"/>
  <c r="P145" i="44"/>
  <c r="X145" i="44" s="1"/>
  <c r="T145" i="44"/>
  <c r="AA144" i="44"/>
  <c r="U144" i="44"/>
  <c r="AH25" i="44"/>
  <c r="AH26" i="44"/>
  <c r="AH27" i="44"/>
  <c r="AH28" i="44"/>
  <c r="AH29" i="44"/>
  <c r="ED130" i="24" l="1"/>
  <c r="Z89" i="45"/>
  <c r="P90" i="45"/>
  <c r="T90" i="45" s="1"/>
  <c r="S90" i="45"/>
  <c r="U90" i="45"/>
  <c r="DG131" i="24" s="1"/>
  <c r="N90" i="22"/>
  <c r="S145" i="44"/>
  <c r="V145" i="44"/>
  <c r="AC144" i="44"/>
  <c r="O90" i="22"/>
  <c r="M91" i="45" l="1"/>
  <c r="W90" i="45"/>
  <c r="Y90" i="45"/>
  <c r="X90" i="45"/>
  <c r="Q91" i="45"/>
  <c r="R90" i="45"/>
  <c r="W145" i="44"/>
  <c r="P93" i="22" s="1"/>
  <c r="U145" i="44"/>
  <c r="Z90" i="45" l="1"/>
  <c r="P91" i="45"/>
  <c r="T91" i="45" s="1"/>
  <c r="N101" i="22" s="1"/>
  <c r="S91" i="45"/>
  <c r="U91" i="45"/>
  <c r="DH131" i="24" s="1"/>
  <c r="AB145" i="44"/>
  <c r="P146" i="44"/>
  <c r="Z145" i="44"/>
  <c r="T146" i="44"/>
  <c r="AA145" i="44"/>
  <c r="P92" i="22" l="1"/>
  <c r="Q92" i="45"/>
  <c r="M92" i="45"/>
  <c r="X91" i="45"/>
  <c r="W91" i="45"/>
  <c r="Y91" i="45"/>
  <c r="R91" i="45"/>
  <c r="S146" i="44"/>
  <c r="V146" i="44"/>
  <c r="AC145" i="44"/>
  <c r="X146" i="44"/>
  <c r="EE130" i="24" l="1"/>
  <c r="Z91" i="45"/>
  <c r="U92" i="45"/>
  <c r="DI131" i="24" s="1"/>
  <c r="AD26" i="45"/>
  <c r="P92" i="45"/>
  <c r="T92" i="45" s="1"/>
  <c r="S92" i="45"/>
  <c r="W146" i="44"/>
  <c r="U146" i="44"/>
  <c r="Y92" i="45" l="1"/>
  <c r="W92" i="45"/>
  <c r="Q93" i="45"/>
  <c r="X92" i="45"/>
  <c r="M93" i="45"/>
  <c r="U93" i="45" s="1"/>
  <c r="DJ131" i="24" s="1"/>
  <c r="R92" i="45"/>
  <c r="AB146" i="44"/>
  <c r="T147" i="44"/>
  <c r="AA146" i="44"/>
  <c r="P147" i="44"/>
  <c r="Z146" i="44"/>
  <c r="P93" i="45" l="1"/>
  <c r="S93" i="45"/>
  <c r="Z92" i="45"/>
  <c r="AC146" i="44"/>
  <c r="X147" i="44"/>
  <c r="S147" i="44"/>
  <c r="V147" i="44"/>
  <c r="EF130" i="24" l="1"/>
  <c r="W147" i="44"/>
  <c r="Z147" i="44" s="1"/>
  <c r="P90" i="22"/>
  <c r="T93" i="45"/>
  <c r="R93" i="45"/>
  <c r="U147" i="44"/>
  <c r="T148" i="44"/>
  <c r="P148" i="44"/>
  <c r="AB147" i="44" l="1"/>
  <c r="AA147" i="44"/>
  <c r="X93" i="45"/>
  <c r="Y93" i="45"/>
  <c r="M94" i="45"/>
  <c r="U94" i="45" s="1"/>
  <c r="DK131" i="24" s="1"/>
  <c r="Q94" i="45"/>
  <c r="W93" i="45"/>
  <c r="X148" i="44"/>
  <c r="S148" i="44"/>
  <c r="V148" i="44"/>
  <c r="AC147" i="44" l="1"/>
  <c r="EG130" i="24"/>
  <c r="Z93" i="45"/>
  <c r="P94" i="45"/>
  <c r="S94" i="45"/>
  <c r="U148" i="44"/>
  <c r="W148" i="44"/>
  <c r="T94" i="45" l="1"/>
  <c r="R94" i="45"/>
  <c r="AA148" i="44"/>
  <c r="P149" i="44"/>
  <c r="T149" i="44"/>
  <c r="AB148" i="44"/>
  <c r="Z148" i="44"/>
  <c r="W94" i="45" l="1"/>
  <c r="M95" i="45"/>
  <c r="U95" i="45" s="1"/>
  <c r="DL131" i="24" s="1"/>
  <c r="X94" i="45"/>
  <c r="Q95" i="45"/>
  <c r="Y94" i="45"/>
  <c r="AC148" i="44"/>
  <c r="S149" i="44"/>
  <c r="V149" i="44"/>
  <c r="X149" i="44"/>
  <c r="EH130" i="24" l="1"/>
  <c r="W149" i="44"/>
  <c r="AA149" i="44" s="1"/>
  <c r="P95" i="45"/>
  <c r="S95" i="45"/>
  <c r="Z94" i="45"/>
  <c r="P150" i="44"/>
  <c r="X150" i="44" s="1"/>
  <c r="Z149" i="44"/>
  <c r="AB149" i="44"/>
  <c r="T150" i="44"/>
  <c r="U149" i="44"/>
  <c r="EI130" i="24" l="1"/>
  <c r="T95" i="45"/>
  <c r="R95" i="45"/>
  <c r="AC149" i="44"/>
  <c r="S150" i="44"/>
  <c r="V150" i="44"/>
  <c r="M96" i="45" l="1"/>
  <c r="U96" i="45" s="1"/>
  <c r="DM131" i="24" s="1"/>
  <c r="W95" i="45"/>
  <c r="Y95" i="45"/>
  <c r="X95" i="45"/>
  <c r="Q96" i="45"/>
  <c r="W150" i="44"/>
  <c r="U150" i="44"/>
  <c r="Z95" i="45" l="1"/>
  <c r="P96" i="45"/>
  <c r="S96" i="45"/>
  <c r="AA150" i="44"/>
  <c r="AB150" i="44"/>
  <c r="Z150" i="44"/>
  <c r="P151" i="44"/>
  <c r="T151" i="44"/>
  <c r="X151" i="44" l="1"/>
  <c r="AG31" i="44"/>
  <c r="AC150" i="44"/>
  <c r="T96" i="45"/>
  <c r="R96" i="45"/>
  <c r="S151" i="44"/>
  <c r="V151" i="44"/>
  <c r="EJ130" i="24" l="1"/>
  <c r="M97" i="45"/>
  <c r="U97" i="45" s="1"/>
  <c r="DN131" i="24" s="1"/>
  <c r="W96" i="45"/>
  <c r="Q97" i="45"/>
  <c r="X96" i="45"/>
  <c r="Y96" i="45"/>
  <c r="W151" i="44"/>
  <c r="U151" i="44"/>
  <c r="P97" i="45" l="1"/>
  <c r="S97" i="45"/>
  <c r="Z96" i="45"/>
  <c r="T152" i="44"/>
  <c r="P152" i="44"/>
  <c r="AA151" i="44"/>
  <c r="AB151" i="44"/>
  <c r="Z151" i="44"/>
  <c r="T97" i="45" l="1"/>
  <c r="R97" i="45"/>
  <c r="X152" i="44"/>
  <c r="AC151" i="44"/>
  <c r="S152" i="44"/>
  <c r="V152" i="44"/>
  <c r="EK130" i="24" l="1"/>
  <c r="W97" i="45"/>
  <c r="Q98" i="45"/>
  <c r="Y97" i="45"/>
  <c r="M98" i="45"/>
  <c r="U98" i="45" s="1"/>
  <c r="DO131" i="24" s="1"/>
  <c r="X97" i="45"/>
  <c r="U152" i="44"/>
  <c r="W152" i="44"/>
  <c r="P98" i="45" l="1"/>
  <c r="S98" i="45"/>
  <c r="Z97" i="45"/>
  <c r="P153" i="44"/>
  <c r="X153" i="44" s="1"/>
  <c r="Z152" i="44"/>
  <c r="AB152" i="44"/>
  <c r="AA152" i="44"/>
  <c r="T153" i="44"/>
  <c r="EL130" i="24" l="1"/>
  <c r="T98" i="45"/>
  <c r="R98" i="45"/>
  <c r="AC152" i="44"/>
  <c r="S153" i="44"/>
  <c r="V153" i="44"/>
  <c r="M99" i="45" l="1"/>
  <c r="U99" i="45" s="1"/>
  <c r="DP131" i="24" s="1"/>
  <c r="Q99" i="45"/>
  <c r="W98" i="45"/>
  <c r="X98" i="45"/>
  <c r="Y98" i="45"/>
  <c r="W153" i="44"/>
  <c r="U153" i="44"/>
  <c r="Z98" i="45" l="1"/>
  <c r="P99" i="45"/>
  <c r="S99" i="45"/>
  <c r="T154" i="44"/>
  <c r="P154" i="44"/>
  <c r="Z153" i="44"/>
  <c r="AB153" i="44"/>
  <c r="AA153" i="44"/>
  <c r="T99" i="45" l="1"/>
  <c r="R99" i="45"/>
  <c r="AC153" i="44"/>
  <c r="X154" i="44"/>
  <c r="S154" i="44"/>
  <c r="V154" i="44"/>
  <c r="EM130" i="24" l="1"/>
  <c r="M100" i="45"/>
  <c r="U100" i="45" s="1"/>
  <c r="DQ131" i="24" s="1"/>
  <c r="W99" i="45"/>
  <c r="Q100" i="45"/>
  <c r="X99" i="45"/>
  <c r="Y99" i="45"/>
  <c r="U154" i="44"/>
  <c r="W154" i="44"/>
  <c r="Z99" i="45" l="1"/>
  <c r="P100" i="45"/>
  <c r="S100" i="45"/>
  <c r="P155" i="44"/>
  <c r="X155" i="44" s="1"/>
  <c r="AA154" i="44"/>
  <c r="Z154" i="44"/>
  <c r="T155" i="44"/>
  <c r="AB154" i="44"/>
  <c r="EN130" i="24" l="1"/>
  <c r="T100" i="45"/>
  <c r="R100" i="45"/>
  <c r="S155" i="44"/>
  <c r="V155" i="44"/>
  <c r="AC154" i="44"/>
  <c r="Q101" i="45" l="1"/>
  <c r="X100" i="45"/>
  <c r="W100" i="45"/>
  <c r="Y100" i="45"/>
  <c r="M101" i="45"/>
  <c r="U101" i="45" s="1"/>
  <c r="DR131" i="24" s="1"/>
  <c r="W155" i="44"/>
  <c r="U155" i="44"/>
  <c r="Z100" i="45" l="1"/>
  <c r="P101" i="45"/>
  <c r="S101" i="45"/>
  <c r="AA155" i="44"/>
  <c r="T156" i="44"/>
  <c r="AB155" i="44"/>
  <c r="Z155" i="44"/>
  <c r="P156" i="44"/>
  <c r="T101" i="45" l="1"/>
  <c r="R101" i="45"/>
  <c r="AC155" i="44"/>
  <c r="S156" i="44"/>
  <c r="W156" i="44" s="1"/>
  <c r="V156" i="44"/>
  <c r="X156" i="44"/>
  <c r="EO130" i="24" l="1"/>
  <c r="W101" i="45"/>
  <c r="Q102" i="45"/>
  <c r="Y101" i="45"/>
  <c r="X101" i="45"/>
  <c r="M102" i="45"/>
  <c r="AB156" i="44"/>
  <c r="T157" i="44"/>
  <c r="P157" i="44"/>
  <c r="AA156" i="44"/>
  <c r="Z156" i="44"/>
  <c r="U156" i="44"/>
  <c r="P102" i="45" l="1"/>
  <c r="T102" i="45" s="1"/>
  <c r="S102" i="45"/>
  <c r="U102" i="45"/>
  <c r="DS131" i="24" s="1"/>
  <c r="Z101" i="45"/>
  <c r="AC156" i="44"/>
  <c r="X157" i="44"/>
  <c r="S157" i="44"/>
  <c r="V157" i="44"/>
  <c r="EP130" i="24" l="1"/>
  <c r="Y102" i="45"/>
  <c r="Q103" i="45"/>
  <c r="X102" i="45"/>
  <c r="M103" i="45"/>
  <c r="U103" i="45" s="1"/>
  <c r="DT131" i="24" s="1"/>
  <c r="W102" i="45"/>
  <c r="R102" i="45"/>
  <c r="U157" i="44"/>
  <c r="W157" i="44"/>
  <c r="Q93" i="22" s="1"/>
  <c r="P103" i="45" l="1"/>
  <c r="S103" i="45"/>
  <c r="Z102" i="45"/>
  <c r="P158" i="44"/>
  <c r="Z157" i="44"/>
  <c r="T158" i="44"/>
  <c r="AB157" i="44"/>
  <c r="AA157" i="44"/>
  <c r="T103" i="45" l="1"/>
  <c r="O101" i="22" s="1"/>
  <c r="R103" i="45"/>
  <c r="S158" i="44"/>
  <c r="V158" i="44"/>
  <c r="AC157" i="44"/>
  <c r="X158" i="44"/>
  <c r="EQ130" i="24" l="1"/>
  <c r="W158" i="44"/>
  <c r="AA158" i="44" s="1"/>
  <c r="Q104" i="45"/>
  <c r="X103" i="45"/>
  <c r="M104" i="45"/>
  <c r="W103" i="45"/>
  <c r="Y103" i="45"/>
  <c r="P159" i="44"/>
  <c r="T159" i="44"/>
  <c r="Z158" i="44"/>
  <c r="U158" i="44"/>
  <c r="AB158" i="44" l="1"/>
  <c r="AC158" i="44" s="1"/>
  <c r="P104" i="45"/>
  <c r="S104" i="45"/>
  <c r="Z103" i="45"/>
  <c r="AD27" i="45"/>
  <c r="U104" i="45"/>
  <c r="DU131" i="24" s="1"/>
  <c r="X159" i="44"/>
  <c r="S159" i="44"/>
  <c r="V159" i="44"/>
  <c r="ER130" i="24" l="1"/>
  <c r="T104" i="45"/>
  <c r="R104" i="45"/>
  <c r="W159" i="44"/>
  <c r="U159" i="44"/>
  <c r="Y104" i="45" l="1"/>
  <c r="Q105" i="45"/>
  <c r="W104" i="45"/>
  <c r="M105" i="45"/>
  <c r="U105" i="45" s="1"/>
  <c r="DV131" i="24" s="1"/>
  <c r="X104" i="45"/>
  <c r="AB159" i="44"/>
  <c r="Z159" i="44"/>
  <c r="AA159" i="44"/>
  <c r="T160" i="44"/>
  <c r="P160" i="44"/>
  <c r="X160" i="44" s="1"/>
  <c r="ES130" i="24" l="1"/>
  <c r="Z104" i="45"/>
  <c r="P105" i="45"/>
  <c r="S105" i="45"/>
  <c r="AC159" i="44"/>
  <c r="S160" i="44"/>
  <c r="V160" i="44"/>
  <c r="T105" i="45" l="1"/>
  <c r="R105" i="45"/>
  <c r="W160" i="44"/>
  <c r="U160" i="44"/>
  <c r="Y105" i="45" l="1"/>
  <c r="Q106" i="45"/>
  <c r="X105" i="45"/>
  <c r="W105" i="45"/>
  <c r="M106" i="45"/>
  <c r="U106" i="45" s="1"/>
  <c r="DW131" i="24" s="1"/>
  <c r="T161" i="44"/>
  <c r="AA160" i="44"/>
  <c r="Z160" i="44"/>
  <c r="P161" i="44"/>
  <c r="X161" i="44" s="1"/>
  <c r="AB160" i="44"/>
  <c r="ET130" i="24" l="1"/>
  <c r="Z105" i="45"/>
  <c r="P106" i="45"/>
  <c r="S106" i="45"/>
  <c r="AC160" i="44"/>
  <c r="S161" i="44"/>
  <c r="V161" i="44"/>
  <c r="T106" i="45" l="1"/>
  <c r="R106" i="45"/>
  <c r="W161" i="44"/>
  <c r="U161" i="44"/>
  <c r="Y106" i="45" l="1"/>
  <c r="X106" i="45"/>
  <c r="M107" i="45"/>
  <c r="U107" i="45" s="1"/>
  <c r="DX131" i="24" s="1"/>
  <c r="W106" i="45"/>
  <c r="Q107" i="45"/>
  <c r="T162" i="44"/>
  <c r="AA161" i="44"/>
  <c r="P162" i="44"/>
  <c r="X162" i="44" s="1"/>
  <c r="Z161" i="44"/>
  <c r="AB161" i="44"/>
  <c r="EU130" i="24" l="1"/>
  <c r="Z106" i="45"/>
  <c r="P107" i="45"/>
  <c r="S107" i="45"/>
  <c r="AC161" i="44"/>
  <c r="S162" i="44"/>
  <c r="V162" i="44"/>
  <c r="T107" i="45" l="1"/>
  <c r="R107" i="45"/>
  <c r="W162" i="44"/>
  <c r="U162" i="44"/>
  <c r="W107" i="45" l="1"/>
  <c r="M108" i="45"/>
  <c r="U108" i="45" s="1"/>
  <c r="DY131" i="24" s="1"/>
  <c r="X107" i="45"/>
  <c r="Q108" i="45"/>
  <c r="Y107" i="45"/>
  <c r="Z162" i="44"/>
  <c r="AA162" i="44"/>
  <c r="T163" i="44"/>
  <c r="AB162" i="44"/>
  <c r="P163" i="44"/>
  <c r="X163" i="44" l="1"/>
  <c r="AG32" i="44"/>
  <c r="P108" i="45"/>
  <c r="S108" i="45"/>
  <c r="Z107" i="45"/>
  <c r="S163" i="44"/>
  <c r="V163" i="44"/>
  <c r="AC162" i="44"/>
  <c r="EV130" i="24" l="1"/>
  <c r="T108" i="45"/>
  <c r="R108" i="45"/>
  <c r="W163" i="44"/>
  <c r="U163" i="44"/>
  <c r="W108" i="45" l="1"/>
  <c r="M109" i="45"/>
  <c r="U109" i="45" s="1"/>
  <c r="DZ131" i="24" s="1"/>
  <c r="Q109" i="45"/>
  <c r="Y108" i="45"/>
  <c r="X108" i="45"/>
  <c r="P164" i="44"/>
  <c r="X164" i="44" s="1"/>
  <c r="AB163" i="44"/>
  <c r="T164" i="44"/>
  <c r="AA163" i="44"/>
  <c r="Z163" i="44"/>
  <c r="EW130" i="24" l="1"/>
  <c r="AC163" i="44"/>
  <c r="P109" i="45"/>
  <c r="S109" i="45"/>
  <c r="Z108" i="45"/>
  <c r="S164" i="44"/>
  <c r="V164" i="44"/>
  <c r="T109" i="45" l="1"/>
  <c r="R109" i="45"/>
  <c r="W164" i="44"/>
  <c r="U164" i="44"/>
  <c r="Y109" i="45" l="1"/>
  <c r="Q110" i="45"/>
  <c r="X109" i="45"/>
  <c r="M110" i="45"/>
  <c r="U110" i="45" s="1"/>
  <c r="EA131" i="24" s="1"/>
  <c r="W109" i="45"/>
  <c r="T165" i="44"/>
  <c r="Z164" i="44"/>
  <c r="AA164" i="44"/>
  <c r="P165" i="44"/>
  <c r="X165" i="44" s="1"/>
  <c r="AB164" i="44"/>
  <c r="EX130" i="24" l="1"/>
  <c r="Z109" i="45"/>
  <c r="P110" i="45"/>
  <c r="S110" i="45"/>
  <c r="AC164" i="44"/>
  <c r="S165" i="44"/>
  <c r="V165" i="44"/>
  <c r="T110" i="45" l="1"/>
  <c r="R110" i="45"/>
  <c r="W165" i="44"/>
  <c r="U165" i="44"/>
  <c r="Q111" i="45" l="1"/>
  <c r="Y110" i="45"/>
  <c r="X110" i="45"/>
  <c r="W110" i="45"/>
  <c r="M111" i="45"/>
  <c r="U111" i="45" s="1"/>
  <c r="EB131" i="24" s="1"/>
  <c r="AA165" i="44"/>
  <c r="AB165" i="44"/>
  <c r="P166" i="44"/>
  <c r="Z165" i="44"/>
  <c r="T166" i="44"/>
  <c r="Z110" i="45" l="1"/>
  <c r="P111" i="45"/>
  <c r="S111" i="45"/>
  <c r="AC165" i="44"/>
  <c r="X166" i="44"/>
  <c r="S166" i="44"/>
  <c r="V166" i="44"/>
  <c r="EY130" i="24" l="1"/>
  <c r="T111" i="45"/>
  <c r="R111" i="45"/>
  <c r="U166" i="44"/>
  <c r="W166" i="44"/>
  <c r="W111" i="45" l="1"/>
  <c r="X111" i="45"/>
  <c r="Q112" i="45"/>
  <c r="M112" i="45"/>
  <c r="Y111" i="45"/>
  <c r="P167" i="44"/>
  <c r="X167" i="44" s="1"/>
  <c r="Z166" i="44"/>
  <c r="AB166" i="44"/>
  <c r="AA166" i="44"/>
  <c r="T167" i="44"/>
  <c r="EZ130" i="24" l="1"/>
  <c r="U112" i="45"/>
  <c r="EC131" i="24" s="1"/>
  <c r="P112" i="45"/>
  <c r="S112" i="45"/>
  <c r="Z111" i="45"/>
  <c r="S167" i="44"/>
  <c r="V167" i="44"/>
  <c r="AC166" i="44"/>
  <c r="R112" i="45" l="1"/>
  <c r="T112" i="45"/>
  <c r="W167" i="44"/>
  <c r="U167" i="44"/>
  <c r="Q113" i="45" l="1"/>
  <c r="Y112" i="45"/>
  <c r="X112" i="45"/>
  <c r="M113" i="45"/>
  <c r="W112" i="45"/>
  <c r="Z167" i="44"/>
  <c r="T168" i="44"/>
  <c r="AB167" i="44"/>
  <c r="P168" i="44"/>
  <c r="AA167" i="44"/>
  <c r="Z112" i="45" l="1"/>
  <c r="U113" i="45"/>
  <c r="ED131" i="24" s="1"/>
  <c r="P113" i="45"/>
  <c r="S113" i="45"/>
  <c r="X168" i="44"/>
  <c r="S168" i="44"/>
  <c r="V168" i="44"/>
  <c r="AC167" i="44"/>
  <c r="FA130" i="24" l="1"/>
  <c r="R113" i="45"/>
  <c r="T113" i="45"/>
  <c r="U168" i="44"/>
  <c r="W168" i="44"/>
  <c r="Y113" i="45" l="1"/>
  <c r="X113" i="45"/>
  <c r="Q114" i="45"/>
  <c r="M114" i="45"/>
  <c r="W113" i="45"/>
  <c r="AA168" i="44"/>
  <c r="Z168" i="44"/>
  <c r="T169" i="44"/>
  <c r="P169" i="44"/>
  <c r="AB168" i="44"/>
  <c r="Z113" i="45" l="1"/>
  <c r="U114" i="45"/>
  <c r="EE131" i="24" s="1"/>
  <c r="P114" i="45"/>
  <c r="S114" i="45"/>
  <c r="AC168" i="44"/>
  <c r="X169" i="44"/>
  <c r="S169" i="44"/>
  <c r="V169" i="44"/>
  <c r="FB130" i="24" l="1"/>
  <c r="R114" i="45"/>
  <c r="T114" i="45"/>
  <c r="U169" i="44"/>
  <c r="W169" i="44"/>
  <c r="R93" i="22" s="1"/>
  <c r="Q115" i="45" l="1"/>
  <c r="W114" i="45"/>
  <c r="X114" i="45"/>
  <c r="M115" i="45"/>
  <c r="Y114" i="45"/>
  <c r="Z169" i="44"/>
  <c r="T170" i="44"/>
  <c r="AA169" i="44"/>
  <c r="AB169" i="44"/>
  <c r="P170" i="44"/>
  <c r="Z114" i="45" l="1"/>
  <c r="U115" i="45"/>
  <c r="EF131" i="24" s="1"/>
  <c r="P115" i="45"/>
  <c r="S115" i="45"/>
  <c r="S170" i="44"/>
  <c r="W170" i="44" s="1"/>
  <c r="V170" i="44"/>
  <c r="X170" i="44"/>
  <c r="AC169" i="44"/>
  <c r="FC130" i="24" l="1"/>
  <c r="R115" i="45"/>
  <c r="T115" i="45"/>
  <c r="P101" i="22" s="1"/>
  <c r="AA170" i="44"/>
  <c r="T171" i="44"/>
  <c r="AB170" i="44"/>
  <c r="P171" i="44"/>
  <c r="Z170" i="44"/>
  <c r="U170" i="44"/>
  <c r="M116" i="45" l="1"/>
  <c r="W115" i="45"/>
  <c r="Q116" i="45"/>
  <c r="Y115" i="45"/>
  <c r="X115" i="45"/>
  <c r="X171" i="44"/>
  <c r="S171" i="44"/>
  <c r="V171" i="44"/>
  <c r="AC170" i="44"/>
  <c r="FD130" i="24" l="1"/>
  <c r="P116" i="45"/>
  <c r="S116" i="45"/>
  <c r="Z115" i="45"/>
  <c r="AD28" i="45"/>
  <c r="U116" i="45"/>
  <c r="EG131" i="24" s="1"/>
  <c r="U171" i="44"/>
  <c r="W171" i="44"/>
  <c r="T116" i="45" l="1"/>
  <c r="R116" i="45"/>
  <c r="AB171" i="44"/>
  <c r="Z171" i="44"/>
  <c r="T172" i="44"/>
  <c r="AA171" i="44"/>
  <c r="P172" i="44"/>
  <c r="X116" i="45" l="1"/>
  <c r="Q117" i="45"/>
  <c r="Y116" i="45"/>
  <c r="M117" i="45"/>
  <c r="U117" i="45" s="1"/>
  <c r="EH131" i="24" s="1"/>
  <c r="W116" i="45"/>
  <c r="AC171" i="44"/>
  <c r="S172" i="44"/>
  <c r="W172" i="44" s="1"/>
  <c r="V172" i="44"/>
  <c r="X172" i="44"/>
  <c r="FE130" i="24" l="1"/>
  <c r="Z116" i="45"/>
  <c r="P117" i="45"/>
  <c r="S117" i="45"/>
  <c r="P173" i="44"/>
  <c r="X173" i="44" s="1"/>
  <c r="T173" i="44"/>
  <c r="Z172" i="44"/>
  <c r="AB172" i="44"/>
  <c r="AA172" i="44"/>
  <c r="U172" i="44"/>
  <c r="FF130" i="24" l="1"/>
  <c r="T117" i="45"/>
  <c r="R117" i="45"/>
  <c r="AC172" i="44"/>
  <c r="S173" i="44"/>
  <c r="V173" i="44"/>
  <c r="W117" i="45" l="1"/>
  <c r="X117" i="45"/>
  <c r="M118" i="45"/>
  <c r="U118" i="45" s="1"/>
  <c r="EI131" i="24" s="1"/>
  <c r="Y117" i="45"/>
  <c r="Q118" i="45"/>
  <c r="W173" i="44"/>
  <c r="U173" i="44"/>
  <c r="P118" i="45" l="1"/>
  <c r="S118" i="45"/>
  <c r="Z117" i="45"/>
  <c r="AA173" i="44"/>
  <c r="Z173" i="44"/>
  <c r="P174" i="44"/>
  <c r="X174" i="44" s="1"/>
  <c r="AB173" i="44"/>
  <c r="T174" i="44"/>
  <c r="FG130" i="24" l="1"/>
  <c r="T118" i="45"/>
  <c r="R118" i="45"/>
  <c r="AC173" i="44"/>
  <c r="S174" i="44"/>
  <c r="V174" i="44"/>
  <c r="M119" i="45" l="1"/>
  <c r="U119" i="45" s="1"/>
  <c r="EJ131" i="24" s="1"/>
  <c r="X118" i="45"/>
  <c r="Q119" i="45"/>
  <c r="W118" i="45"/>
  <c r="Y118" i="45"/>
  <c r="W174" i="44"/>
  <c r="U174" i="44"/>
  <c r="Z118" i="45" l="1"/>
  <c r="P119" i="45"/>
  <c r="S119" i="45"/>
  <c r="T175" i="44"/>
  <c r="AA174" i="44"/>
  <c r="P175" i="44"/>
  <c r="AG33" i="44" s="1"/>
  <c r="Z174" i="44"/>
  <c r="AB174" i="44"/>
  <c r="T119" i="45" l="1"/>
  <c r="R119" i="45"/>
  <c r="AC174" i="44"/>
  <c r="X175" i="44"/>
  <c r="S175" i="44"/>
  <c r="V175" i="44"/>
  <c r="FH130" i="24" l="1"/>
  <c r="M120" i="45"/>
  <c r="U120" i="45" s="1"/>
  <c r="EK131" i="24" s="1"/>
  <c r="Q120" i="45"/>
  <c r="Y119" i="45"/>
  <c r="W119" i="45"/>
  <c r="X119" i="45"/>
  <c r="U175" i="44"/>
  <c r="W175" i="44"/>
  <c r="P120" i="45" l="1"/>
  <c r="S120" i="45"/>
  <c r="Z119" i="45"/>
  <c r="AB175" i="44"/>
  <c r="T176" i="44"/>
  <c r="Z175" i="44"/>
  <c r="AA175" i="44"/>
  <c r="P176" i="44"/>
  <c r="T120" i="45" l="1"/>
  <c r="R120" i="45"/>
  <c r="AC175" i="44"/>
  <c r="S176" i="44"/>
  <c r="W176" i="44" s="1"/>
  <c r="V176" i="44"/>
  <c r="X176" i="44"/>
  <c r="FI130" i="24" l="1"/>
  <c r="W120" i="45"/>
  <c r="Q121" i="45"/>
  <c r="Y120" i="45"/>
  <c r="X120" i="45"/>
  <c r="M121" i="45"/>
  <c r="U121" i="45" s="1"/>
  <c r="EL131" i="24" s="1"/>
  <c r="Z176" i="44"/>
  <c r="AA176" i="44"/>
  <c r="P177" i="44"/>
  <c r="T177" i="44"/>
  <c r="AB176" i="44"/>
  <c r="U176" i="44"/>
  <c r="P121" i="45" l="1"/>
  <c r="S121" i="45"/>
  <c r="Z120" i="45"/>
  <c r="S177" i="44"/>
  <c r="W177" i="44" s="1"/>
  <c r="V177" i="44"/>
  <c r="X177" i="44"/>
  <c r="AC176" i="44"/>
  <c r="FJ130" i="24" l="1"/>
  <c r="T121" i="45"/>
  <c r="R121" i="45"/>
  <c r="P178" i="44"/>
  <c r="X178" i="44" s="1"/>
  <c r="Z177" i="44"/>
  <c r="AA177" i="44"/>
  <c r="T178" i="44"/>
  <c r="AB177" i="44"/>
  <c r="U177" i="44"/>
  <c r="FK130" i="24" l="1"/>
  <c r="W121" i="45"/>
  <c r="X121" i="45"/>
  <c r="Q122" i="45"/>
  <c r="Y121" i="45"/>
  <c r="M122" i="45"/>
  <c r="U122" i="45" s="1"/>
  <c r="EM131" i="24" s="1"/>
  <c r="S178" i="44"/>
  <c r="V178" i="44"/>
  <c r="AC177" i="44"/>
  <c r="P122" i="45" l="1"/>
  <c r="S122" i="45"/>
  <c r="Z121" i="45"/>
  <c r="W178" i="44"/>
  <c r="U178" i="44"/>
  <c r="T122" i="45" l="1"/>
  <c r="R122" i="45"/>
  <c r="Z178" i="44"/>
  <c r="T179" i="44"/>
  <c r="P179" i="44"/>
  <c r="X179" i="44" s="1"/>
  <c r="AB178" i="44"/>
  <c r="AA178" i="44"/>
  <c r="FL130" i="24" l="1"/>
  <c r="M123" i="45"/>
  <c r="U123" i="45" s="1"/>
  <c r="EN131" i="24" s="1"/>
  <c r="X122" i="45"/>
  <c r="Y122" i="45"/>
  <c r="Q123" i="45"/>
  <c r="W122" i="45"/>
  <c r="S179" i="44"/>
  <c r="V179" i="44"/>
  <c r="AC178" i="44"/>
  <c r="Z122" i="45" l="1"/>
  <c r="P123" i="45"/>
  <c r="S123" i="45"/>
  <c r="W179" i="44"/>
  <c r="U179" i="44"/>
  <c r="T123" i="45" l="1"/>
  <c r="R123" i="45"/>
  <c r="AB179" i="44"/>
  <c r="P180" i="44"/>
  <c r="Z179" i="44"/>
  <c r="AA179" i="44"/>
  <c r="T180" i="44"/>
  <c r="M124" i="45" l="1"/>
  <c r="U124" i="45" s="1"/>
  <c r="EO131" i="24" s="1"/>
  <c r="Q124" i="45"/>
  <c r="W123" i="45"/>
  <c r="Y123" i="45"/>
  <c r="X123" i="45"/>
  <c r="AC179" i="44"/>
  <c r="X180" i="44"/>
  <c r="S180" i="44"/>
  <c r="V180" i="44"/>
  <c r="FM130" i="24" l="1"/>
  <c r="Z123" i="45"/>
  <c r="P124" i="45"/>
  <c r="S124" i="45"/>
  <c r="U180" i="44"/>
  <c r="W180" i="44"/>
  <c r="T124" i="45" l="1"/>
  <c r="R124" i="45"/>
  <c r="Z180" i="44"/>
  <c r="AA180" i="44"/>
  <c r="AB180" i="44"/>
  <c r="T181" i="44"/>
  <c r="P181" i="44"/>
  <c r="M125" i="45" l="1"/>
  <c r="X124" i="45"/>
  <c r="Y124" i="45"/>
  <c r="Q125" i="45"/>
  <c r="W124" i="45"/>
  <c r="AC180" i="44"/>
  <c r="S181" i="44"/>
  <c r="W181" i="44" s="1"/>
  <c r="S93" i="22" s="1"/>
  <c r="V181" i="44"/>
  <c r="X181" i="44"/>
  <c r="FN130" i="24" l="1"/>
  <c r="P125" i="45"/>
  <c r="S125" i="45"/>
  <c r="Z124" i="45"/>
  <c r="U125" i="45"/>
  <c r="EP131" i="24" s="1"/>
  <c r="T125" i="45"/>
  <c r="T182" i="44"/>
  <c r="AA181" i="44"/>
  <c r="P182" i="44"/>
  <c r="Z181" i="44"/>
  <c r="AB181" i="44"/>
  <c r="U181" i="44"/>
  <c r="AC181" i="44" l="1"/>
  <c r="Q126" i="45"/>
  <c r="X125" i="45"/>
  <c r="M126" i="45"/>
  <c r="Y125" i="45"/>
  <c r="W125" i="45"/>
  <c r="R125" i="45"/>
  <c r="X182" i="44"/>
  <c r="S182" i="44"/>
  <c r="V182" i="44"/>
  <c r="FO130" i="24" l="1"/>
  <c r="Z125" i="45"/>
  <c r="P126" i="45"/>
  <c r="T126" i="45" s="1"/>
  <c r="S126" i="45"/>
  <c r="U126" i="45"/>
  <c r="EQ131" i="24" s="1"/>
  <c r="U182" i="44"/>
  <c r="W182" i="44"/>
  <c r="Y126" i="45" l="1"/>
  <c r="W126" i="45"/>
  <c r="M127" i="45"/>
  <c r="Q127" i="45"/>
  <c r="X126" i="45"/>
  <c r="R126" i="45"/>
  <c r="T183" i="44"/>
  <c r="Z182" i="44"/>
  <c r="AB182" i="44"/>
  <c r="P183" i="44"/>
  <c r="AA182" i="44"/>
  <c r="P127" i="45" l="1"/>
  <c r="T127" i="45" s="1"/>
  <c r="Q101" i="22" s="1"/>
  <c r="S127" i="45"/>
  <c r="U127" i="45"/>
  <c r="ER131" i="24" s="1"/>
  <c r="Z126" i="45"/>
  <c r="X183" i="44"/>
  <c r="FP130" i="24" s="1"/>
  <c r="AC182" i="44"/>
  <c r="S183" i="44"/>
  <c r="V183" i="44"/>
  <c r="X127" i="45" l="1"/>
  <c r="M128" i="45"/>
  <c r="Y127" i="45"/>
  <c r="Q128" i="45"/>
  <c r="W127" i="45"/>
  <c r="R127" i="45"/>
  <c r="W183" i="44"/>
  <c r="U183" i="44"/>
  <c r="Z127" i="45" l="1"/>
  <c r="P128" i="45"/>
  <c r="T128" i="45" s="1"/>
  <c r="S128" i="45"/>
  <c r="U128" i="45"/>
  <c r="ES131" i="24" s="1"/>
  <c r="AD29" i="45"/>
  <c r="AA183" i="44"/>
  <c r="AB183" i="44"/>
  <c r="T184" i="44"/>
  <c r="P184" i="44"/>
  <c r="Z183" i="44"/>
  <c r="W128" i="45" l="1"/>
  <c r="Q129" i="45"/>
  <c r="M129" i="45"/>
  <c r="U129" i="45" s="1"/>
  <c r="ET131" i="24" s="1"/>
  <c r="X128" i="45"/>
  <c r="Y128" i="45"/>
  <c r="AC183" i="44"/>
  <c r="R128" i="45"/>
  <c r="X184" i="44"/>
  <c r="FQ130" i="24" s="1"/>
  <c r="S184" i="44"/>
  <c r="V184" i="44"/>
  <c r="P129" i="45" l="1"/>
  <c r="S129" i="45"/>
  <c r="Z128" i="45"/>
  <c r="U184" i="44"/>
  <c r="W184" i="44"/>
  <c r="T129" i="45" l="1"/>
  <c r="R129" i="45"/>
  <c r="T185" i="44"/>
  <c r="AA184" i="44"/>
  <c r="AB184" i="44"/>
  <c r="P185" i="44"/>
  <c r="X185" i="44" s="1"/>
  <c r="FR130" i="24" s="1"/>
  <c r="Z184" i="44"/>
  <c r="M130" i="45" l="1"/>
  <c r="U130" i="45" s="1"/>
  <c r="EU131" i="24" s="1"/>
  <c r="W129" i="45"/>
  <c r="X129" i="45"/>
  <c r="Q130" i="45"/>
  <c r="Y129" i="45"/>
  <c r="AC184" i="44"/>
  <c r="S185" i="44"/>
  <c r="V185" i="44"/>
  <c r="Z129" i="45" l="1"/>
  <c r="P130" i="45"/>
  <c r="S130" i="45"/>
  <c r="W185" i="44"/>
  <c r="U185" i="44"/>
  <c r="T130" i="45" l="1"/>
  <c r="R130" i="45"/>
  <c r="Z185" i="44"/>
  <c r="T186" i="44"/>
  <c r="AB185" i="44"/>
  <c r="AA185" i="44"/>
  <c r="P186" i="44"/>
  <c r="Y130" i="45" l="1"/>
  <c r="W130" i="45"/>
  <c r="Q131" i="45"/>
  <c r="M131" i="45"/>
  <c r="U131" i="45" s="1"/>
  <c r="EV131" i="24" s="1"/>
  <c r="X130" i="45"/>
  <c r="S186" i="44"/>
  <c r="W186" i="44" s="1"/>
  <c r="V186" i="44"/>
  <c r="X186" i="44"/>
  <c r="FS130" i="24" s="1"/>
  <c r="AC185" i="44"/>
  <c r="P131" i="45" l="1"/>
  <c r="S131" i="45"/>
  <c r="Z130" i="45"/>
  <c r="AA186" i="44"/>
  <c r="Z186" i="44"/>
  <c r="AB186" i="44"/>
  <c r="P187" i="44"/>
  <c r="AG34" i="44" s="1"/>
  <c r="T187" i="44"/>
  <c r="U186" i="44"/>
  <c r="T131" i="45" l="1"/>
  <c r="R131" i="45"/>
  <c r="AC186" i="44"/>
  <c r="X187" i="44"/>
  <c r="FT130" i="24" s="1"/>
  <c r="S187" i="44"/>
  <c r="V187" i="44"/>
  <c r="Q132" i="45" l="1"/>
  <c r="W131" i="45"/>
  <c r="Y131" i="45"/>
  <c r="X131" i="45"/>
  <c r="M132" i="45"/>
  <c r="U132" i="45" s="1"/>
  <c r="EW131" i="24" s="1"/>
  <c r="U187" i="44"/>
  <c r="W187" i="44"/>
  <c r="Z131" i="45" l="1"/>
  <c r="P132" i="45"/>
  <c r="S132" i="45"/>
  <c r="P188" i="44"/>
  <c r="X188" i="44" s="1"/>
  <c r="AA187" i="44"/>
  <c r="AB187" i="44"/>
  <c r="T188" i="44"/>
  <c r="Z187" i="44"/>
  <c r="T132" i="45" l="1"/>
  <c r="R132" i="45"/>
  <c r="AC187" i="44"/>
  <c r="S188" i="44"/>
  <c r="V188" i="44"/>
  <c r="M133" i="45" l="1"/>
  <c r="U133" i="45" s="1"/>
  <c r="EX131" i="24" s="1"/>
  <c r="W132" i="45"/>
  <c r="X132" i="45"/>
  <c r="Q133" i="45"/>
  <c r="Y132" i="45"/>
  <c r="W188" i="44"/>
  <c r="U188" i="44"/>
  <c r="P133" i="45" l="1"/>
  <c r="S133" i="45"/>
  <c r="Z132" i="45"/>
  <c r="P189" i="44"/>
  <c r="X189" i="44" s="1"/>
  <c r="T189" i="44"/>
  <c r="AA188" i="44"/>
  <c r="Z188" i="44"/>
  <c r="AB188" i="44"/>
  <c r="AC188" i="44" l="1"/>
  <c r="T133" i="45"/>
  <c r="R133" i="45"/>
  <c r="S189" i="44"/>
  <c r="V189" i="44"/>
  <c r="Q134" i="45" l="1"/>
  <c r="Y133" i="45"/>
  <c r="X133" i="45"/>
  <c r="M134" i="45"/>
  <c r="U134" i="45" s="1"/>
  <c r="EY131" i="24" s="1"/>
  <c r="W133" i="45"/>
  <c r="W189" i="44"/>
  <c r="U189" i="44"/>
  <c r="Z133" i="45" l="1"/>
  <c r="P134" i="45"/>
  <c r="S134" i="45"/>
  <c r="P190" i="44"/>
  <c r="AA189" i="44"/>
  <c r="T190" i="44"/>
  <c r="Z189" i="44"/>
  <c r="AB189" i="44"/>
  <c r="T134" i="45" l="1"/>
  <c r="R134" i="45"/>
  <c r="AC189" i="44"/>
  <c r="S190" i="44"/>
  <c r="W190" i="44" s="1"/>
  <c r="V190" i="44"/>
  <c r="X190" i="44"/>
  <c r="Y134" i="45" l="1"/>
  <c r="X134" i="45"/>
  <c r="M135" i="45"/>
  <c r="U135" i="45" s="1"/>
  <c r="EZ131" i="24" s="1"/>
  <c r="Q135" i="45"/>
  <c r="W134" i="45"/>
  <c r="AA190" i="44"/>
  <c r="T191" i="44"/>
  <c r="Z190" i="44"/>
  <c r="AB190" i="44"/>
  <c r="P191" i="44"/>
  <c r="X191" i="44" s="1"/>
  <c r="U190" i="44"/>
  <c r="Z134" i="45" l="1"/>
  <c r="P135" i="45"/>
  <c r="S135" i="45"/>
  <c r="AC190" i="44"/>
  <c r="S191" i="44"/>
  <c r="V191" i="44"/>
  <c r="T135" i="45" l="1"/>
  <c r="R135" i="45"/>
  <c r="W191" i="44"/>
  <c r="U191" i="44"/>
  <c r="X135" i="45" l="1"/>
  <c r="W135" i="45"/>
  <c r="Y135" i="45"/>
  <c r="Q136" i="45"/>
  <c r="M136" i="45"/>
  <c r="U136" i="45" s="1"/>
  <c r="FA131" i="24" s="1"/>
  <c r="T192" i="44"/>
  <c r="P192" i="44"/>
  <c r="AA191" i="44"/>
  <c r="AB191" i="44"/>
  <c r="Z191" i="44"/>
  <c r="P136" i="45" l="1"/>
  <c r="S136" i="45"/>
  <c r="Z135" i="45"/>
  <c r="AC191" i="44"/>
  <c r="X192" i="44"/>
  <c r="S192" i="44"/>
  <c r="V192" i="44"/>
  <c r="T136" i="45" l="1"/>
  <c r="R136" i="45"/>
  <c r="U192" i="44"/>
  <c r="W192" i="44"/>
  <c r="Q137" i="45" l="1"/>
  <c r="M137" i="45"/>
  <c r="U137" i="45" s="1"/>
  <c r="FB131" i="24" s="1"/>
  <c r="Y136" i="45"/>
  <c r="X136" i="45"/>
  <c r="W136" i="45"/>
  <c r="AB192" i="44"/>
  <c r="T193" i="44"/>
  <c r="AA192" i="44"/>
  <c r="P193" i="44"/>
  <c r="X193" i="44" s="1"/>
  <c r="Z192" i="44"/>
  <c r="Z136" i="45" l="1"/>
  <c r="P137" i="45"/>
  <c r="S137" i="45"/>
  <c r="AC192" i="44"/>
  <c r="S193" i="44"/>
  <c r="V193" i="44"/>
  <c r="T137" i="45" l="1"/>
  <c r="R137" i="45"/>
  <c r="W193" i="44"/>
  <c r="U193" i="44"/>
  <c r="W137" i="45" l="1"/>
  <c r="Q138" i="45"/>
  <c r="Y137" i="45"/>
  <c r="M138" i="45"/>
  <c r="U138" i="45" s="1"/>
  <c r="FC131" i="24" s="1"/>
  <c r="X137" i="45"/>
  <c r="T194" i="44"/>
  <c r="P194" i="44"/>
  <c r="AA193" i="44"/>
  <c r="Z193" i="44"/>
  <c r="AB193" i="44"/>
  <c r="P138" i="45" l="1"/>
  <c r="S138" i="45"/>
  <c r="Z137" i="45"/>
  <c r="AC193" i="44"/>
  <c r="X194" i="44"/>
  <c r="S194" i="44"/>
  <c r="V194" i="44"/>
  <c r="T138" i="45" l="1"/>
  <c r="R138" i="45"/>
  <c r="W194" i="44"/>
  <c r="U194" i="44"/>
  <c r="W138" i="45" l="1"/>
  <c r="M139" i="45"/>
  <c r="Y138" i="45"/>
  <c r="Q139" i="45"/>
  <c r="X138" i="45"/>
  <c r="P195" i="44"/>
  <c r="Z194" i="44"/>
  <c r="AB194" i="44"/>
  <c r="T195" i="44"/>
  <c r="AA194" i="44"/>
  <c r="U139" i="45" l="1"/>
  <c r="FD131" i="24" s="1"/>
  <c r="P139" i="45"/>
  <c r="T139" i="45" s="1"/>
  <c r="R101" i="22" s="1"/>
  <c r="S139" i="45"/>
  <c r="Z138" i="45"/>
  <c r="S195" i="44"/>
  <c r="W195" i="44" s="1"/>
  <c r="V195" i="44"/>
  <c r="AC194" i="44"/>
  <c r="X195" i="44"/>
  <c r="Q140" i="45" l="1"/>
  <c r="W139" i="45"/>
  <c r="M140" i="45"/>
  <c r="X139" i="45"/>
  <c r="Y139" i="45"/>
  <c r="R139" i="45"/>
  <c r="Z195" i="44"/>
  <c r="P196" i="44"/>
  <c r="T196" i="44"/>
  <c r="AA195" i="44"/>
  <c r="AB195" i="44"/>
  <c r="U195" i="44"/>
  <c r="U140" i="45" l="1"/>
  <c r="FE131" i="24" s="1"/>
  <c r="AD30" i="45"/>
  <c r="Z139" i="45"/>
  <c r="P140" i="45"/>
  <c r="T140" i="45" s="1"/>
  <c r="S140" i="45"/>
  <c r="S196" i="44"/>
  <c r="W196" i="44" s="1"/>
  <c r="V196" i="44"/>
  <c r="X196" i="44"/>
  <c r="AC195" i="44"/>
  <c r="M141" i="45" l="1"/>
  <c r="Y140" i="45"/>
  <c r="W140" i="45"/>
  <c r="X140" i="45"/>
  <c r="Q141" i="45"/>
  <c r="R140" i="45"/>
  <c r="Z196" i="44"/>
  <c r="AA196" i="44"/>
  <c r="P197" i="44"/>
  <c r="X197" i="44" s="1"/>
  <c r="T197" i="44"/>
  <c r="AB196" i="44"/>
  <c r="U196" i="44"/>
  <c r="Z140" i="45" l="1"/>
  <c r="P141" i="45"/>
  <c r="T141" i="45" s="1"/>
  <c r="S141" i="45"/>
  <c r="U141" i="45"/>
  <c r="FF131" i="24" s="1"/>
  <c r="S197" i="44"/>
  <c r="V197" i="44"/>
  <c r="AC196" i="44"/>
  <c r="Q142" i="45" l="1"/>
  <c r="X141" i="45"/>
  <c r="W141" i="45"/>
  <c r="Y141" i="45"/>
  <c r="M142" i="45"/>
  <c r="R141" i="45"/>
  <c r="W197" i="44"/>
  <c r="U197" i="44"/>
  <c r="Z141" i="45" l="1"/>
  <c r="U142" i="45"/>
  <c r="FG131" i="24" s="1"/>
  <c r="P142" i="45"/>
  <c r="T142" i="45" s="1"/>
  <c r="S142" i="45"/>
  <c r="AA197" i="44"/>
  <c r="T198" i="44"/>
  <c r="Z197" i="44"/>
  <c r="P198" i="44"/>
  <c r="AB197" i="44"/>
  <c r="W142" i="45" l="1"/>
  <c r="M143" i="45"/>
  <c r="U143" i="45" s="1"/>
  <c r="FH131" i="24" s="1"/>
  <c r="X142" i="45"/>
  <c r="Q143" i="45"/>
  <c r="Y142" i="45"/>
  <c r="R142" i="45"/>
  <c r="X198" i="44"/>
  <c r="AC197" i="44"/>
  <c r="S198" i="44"/>
  <c r="V198" i="44"/>
  <c r="P143" i="45" l="1"/>
  <c r="S143" i="45"/>
  <c r="Z142" i="45"/>
  <c r="U198" i="44"/>
  <c r="W198" i="44"/>
  <c r="T143" i="45" l="1"/>
  <c r="R143" i="45"/>
  <c r="AA198" i="44"/>
  <c r="P199" i="44"/>
  <c r="T199" i="44"/>
  <c r="AB198" i="44"/>
  <c r="Z198" i="44"/>
  <c r="X199" i="44" l="1"/>
  <c r="AG35" i="44"/>
  <c r="Q144" i="45"/>
  <c r="Y143" i="45"/>
  <c r="W143" i="45"/>
  <c r="X143" i="45"/>
  <c r="M144" i="45"/>
  <c r="U144" i="45" s="1"/>
  <c r="FI131" i="24" s="1"/>
  <c r="AC198" i="44"/>
  <c r="S199" i="44"/>
  <c r="V199" i="44"/>
  <c r="Z143" i="45" l="1"/>
  <c r="P144" i="45"/>
  <c r="S144" i="45"/>
  <c r="W199" i="44"/>
  <c r="U199" i="44"/>
  <c r="T144" i="45" l="1"/>
  <c r="R144" i="45"/>
  <c r="T200" i="44"/>
  <c r="AA199" i="44"/>
  <c r="Z199" i="44"/>
  <c r="P200" i="44"/>
  <c r="AB199" i="44"/>
  <c r="Q145" i="45" l="1"/>
  <c r="M145" i="45"/>
  <c r="U145" i="45" s="1"/>
  <c r="FJ131" i="24" s="1"/>
  <c r="W144" i="45"/>
  <c r="Y144" i="45"/>
  <c r="X144" i="45"/>
  <c r="AC199" i="44"/>
  <c r="X200" i="44"/>
  <c r="S200" i="44"/>
  <c r="V200" i="44"/>
  <c r="Z144" i="45" l="1"/>
  <c r="P145" i="45"/>
  <c r="S145" i="45"/>
  <c r="U200" i="44"/>
  <c r="W200" i="44"/>
  <c r="T145" i="45" l="1"/>
  <c r="R145" i="45"/>
  <c r="P201" i="44"/>
  <c r="Z200" i="44"/>
  <c r="AB200" i="44"/>
  <c r="T201" i="44"/>
  <c r="AA200" i="44"/>
  <c r="X145" i="45" l="1"/>
  <c r="M146" i="45"/>
  <c r="U146" i="45" s="1"/>
  <c r="FK131" i="24" s="1"/>
  <c r="W145" i="45"/>
  <c r="Q146" i="45"/>
  <c r="Y145" i="45"/>
  <c r="S201" i="44"/>
  <c r="W201" i="44" s="1"/>
  <c r="V201" i="44"/>
  <c r="AC200" i="44"/>
  <c r="X201" i="44"/>
  <c r="Z145" i="45" l="1"/>
  <c r="P146" i="45"/>
  <c r="S146" i="45"/>
  <c r="AB201" i="44"/>
  <c r="Z201" i="44"/>
  <c r="T202" i="44"/>
  <c r="P202" i="44"/>
  <c r="AA201" i="44"/>
  <c r="U201" i="44"/>
  <c r="T146" i="45" l="1"/>
  <c r="R146" i="45"/>
  <c r="X202" i="44"/>
  <c r="S202" i="44"/>
  <c r="V202" i="44"/>
  <c r="AC201" i="44"/>
  <c r="Y146" i="45" l="1"/>
  <c r="Q147" i="45"/>
  <c r="M147" i="45"/>
  <c r="U147" i="45" s="1"/>
  <c r="FL131" i="24" s="1"/>
  <c r="W146" i="45"/>
  <c r="X146" i="45"/>
  <c r="U202" i="44"/>
  <c r="W202" i="44"/>
  <c r="Z146" i="45" l="1"/>
  <c r="P147" i="45"/>
  <c r="S147" i="45"/>
  <c r="T203" i="44"/>
  <c r="Z202" i="44"/>
  <c r="P203" i="44"/>
  <c r="AA202" i="44"/>
  <c r="AB202" i="44"/>
  <c r="T147" i="45" l="1"/>
  <c r="R147" i="45"/>
  <c r="X203" i="44"/>
  <c r="AC202" i="44"/>
  <c r="S203" i="44"/>
  <c r="V203" i="44"/>
  <c r="W147" i="45" l="1"/>
  <c r="Y147" i="45"/>
  <c r="X147" i="45"/>
  <c r="Q148" i="45"/>
  <c r="M148" i="45"/>
  <c r="U148" i="45" s="1"/>
  <c r="FM131" i="24" s="1"/>
  <c r="U203" i="44"/>
  <c r="W203" i="44"/>
  <c r="P148" i="45" l="1"/>
  <c r="S148" i="45"/>
  <c r="Z147" i="45"/>
  <c r="AA203" i="44"/>
  <c r="AB203" i="44"/>
  <c r="P204" i="44"/>
  <c r="X204" i="44" s="1"/>
  <c r="Z203" i="44"/>
  <c r="T204" i="44"/>
  <c r="AC203" i="44" l="1"/>
  <c r="T148" i="45"/>
  <c r="R148" i="45"/>
  <c r="S204" i="44"/>
  <c r="V204" i="44"/>
  <c r="M149" i="45" l="1"/>
  <c r="U149" i="45" s="1"/>
  <c r="FN131" i="24" s="1"/>
  <c r="Y148" i="45"/>
  <c r="Q149" i="45"/>
  <c r="W148" i="45"/>
  <c r="X148" i="45"/>
  <c r="W204" i="44"/>
  <c r="U204" i="44"/>
  <c r="Z148" i="45" l="1"/>
  <c r="P149" i="45"/>
  <c r="S149" i="45"/>
  <c r="P205" i="44"/>
  <c r="AA204" i="44"/>
  <c r="T205" i="44"/>
  <c r="AB204" i="44"/>
  <c r="Z204" i="44"/>
  <c r="T149" i="45" l="1"/>
  <c r="R149" i="45"/>
  <c r="AC204" i="44"/>
  <c r="S205" i="44"/>
  <c r="W205" i="44" s="1"/>
  <c r="V205" i="44"/>
  <c r="X205" i="44"/>
  <c r="Q150" i="45" l="1"/>
  <c r="X149" i="45"/>
  <c r="M150" i="45"/>
  <c r="U150" i="45" s="1"/>
  <c r="FO131" i="24" s="1"/>
  <c r="Y149" i="45"/>
  <c r="W149" i="45"/>
  <c r="T206" i="44"/>
  <c r="AB205" i="44"/>
  <c r="AA205" i="44"/>
  <c r="P206" i="44"/>
  <c r="Z205" i="44"/>
  <c r="U205" i="44"/>
  <c r="Z149" i="45" l="1"/>
  <c r="P150" i="45"/>
  <c r="S150" i="45"/>
  <c r="AC205" i="44"/>
  <c r="X206" i="44"/>
  <c r="S206" i="44"/>
  <c r="V206" i="44"/>
  <c r="T150" i="45" l="1"/>
  <c r="R150" i="45"/>
  <c r="U206" i="44"/>
  <c r="W206" i="44"/>
  <c r="M151" i="45" l="1"/>
  <c r="U151" i="45" s="1"/>
  <c r="FP131" i="24" s="1"/>
  <c r="X150" i="45"/>
  <c r="Y150" i="45"/>
  <c r="Q151" i="45"/>
  <c r="W150" i="45"/>
  <c r="T207" i="44"/>
  <c r="Z206" i="44"/>
  <c r="P207" i="44"/>
  <c r="AB206" i="44"/>
  <c r="AA206" i="44"/>
  <c r="P151" i="45" l="1"/>
  <c r="S151" i="45"/>
  <c r="Z150" i="45"/>
  <c r="AC206" i="44"/>
  <c r="X207" i="44"/>
  <c r="S207" i="44"/>
  <c r="V207" i="44"/>
  <c r="T151" i="45" l="1"/>
  <c r="S101" i="22" s="1"/>
  <c r="R151" i="45"/>
  <c r="U207" i="44"/>
  <c r="W207" i="44"/>
  <c r="Q152" i="45" l="1"/>
  <c r="W151" i="45"/>
  <c r="Y151" i="45"/>
  <c r="X151" i="45"/>
  <c r="M152" i="45"/>
  <c r="P208" i="44"/>
  <c r="Z207" i="44"/>
  <c r="AA207" i="44"/>
  <c r="AB207" i="44"/>
  <c r="T208" i="44"/>
  <c r="Z151" i="45" l="1"/>
  <c r="AD31" i="45"/>
  <c r="U152" i="45"/>
  <c r="FQ131" i="24" s="1"/>
  <c r="P152" i="45"/>
  <c r="T152" i="45" s="1"/>
  <c r="S152" i="45"/>
  <c r="AC207" i="44"/>
  <c r="S208" i="44"/>
  <c r="W208" i="44" s="1"/>
  <c r="V208" i="44"/>
  <c r="X208" i="44"/>
  <c r="Y152" i="45" l="1"/>
  <c r="M153" i="45"/>
  <c r="Q153" i="45"/>
  <c r="X152" i="45"/>
  <c r="W152" i="45"/>
  <c r="R152" i="45"/>
  <c r="AA208" i="44"/>
  <c r="AB208" i="44"/>
  <c r="P209" i="44"/>
  <c r="X209" i="44" s="1"/>
  <c r="T209" i="44"/>
  <c r="Z208" i="44"/>
  <c r="U208" i="44"/>
  <c r="AC208" i="44" l="1"/>
  <c r="P153" i="45"/>
  <c r="T153" i="45" s="1"/>
  <c r="S153" i="45"/>
  <c r="U153" i="45"/>
  <c r="FR131" i="24" s="1"/>
  <c r="Z152" i="45"/>
  <c r="S209" i="44"/>
  <c r="V209" i="44"/>
  <c r="M154" i="45" l="1"/>
  <c r="U154" i="45" s="1"/>
  <c r="FS131" i="24" s="1"/>
  <c r="Y153" i="45"/>
  <c r="X153" i="45"/>
  <c r="Q154" i="45"/>
  <c r="W153" i="45"/>
  <c r="R153" i="45"/>
  <c r="W209" i="44"/>
  <c r="U209" i="44"/>
  <c r="Z153" i="45" l="1"/>
  <c r="P154" i="45"/>
  <c r="S154" i="45"/>
  <c r="P210" i="44"/>
  <c r="AA209" i="44"/>
  <c r="Z209" i="44"/>
  <c r="AB209" i="44"/>
  <c r="T210" i="44"/>
  <c r="T154" i="45" l="1"/>
  <c r="R154" i="45"/>
  <c r="AC209" i="44"/>
  <c r="S210" i="44"/>
  <c r="W210" i="44" s="1"/>
  <c r="V210" i="44"/>
  <c r="X210" i="44"/>
  <c r="Y154" i="45" l="1"/>
  <c r="X154" i="45"/>
  <c r="M155" i="45"/>
  <c r="U155" i="45" s="1"/>
  <c r="FT131" i="24" s="1"/>
  <c r="W154" i="45"/>
  <c r="Q155" i="45"/>
  <c r="Z210" i="44"/>
  <c r="P211" i="44"/>
  <c r="T211" i="44"/>
  <c r="AB210" i="44"/>
  <c r="AA210" i="44"/>
  <c r="U210" i="44"/>
  <c r="X211" i="44" l="1"/>
  <c r="AG36" i="44"/>
  <c r="Z154" i="45"/>
  <c r="P155" i="45"/>
  <c r="S155" i="45"/>
  <c r="S211" i="44"/>
  <c r="V211" i="44"/>
  <c r="AC210" i="44"/>
  <c r="T155" i="45" l="1"/>
  <c r="R155" i="45"/>
  <c r="W211" i="44"/>
  <c r="U211" i="44"/>
  <c r="Y155" i="45" l="1"/>
  <c r="Q156" i="45"/>
  <c r="X155" i="45"/>
  <c r="M156" i="45"/>
  <c r="U156" i="45" s="1"/>
  <c r="W155" i="45"/>
  <c r="AA211" i="44"/>
  <c r="P212" i="44"/>
  <c r="X212" i="44" s="1"/>
  <c r="Z211" i="44"/>
  <c r="T212" i="44"/>
  <c r="AB211" i="44"/>
  <c r="Z155" i="45" l="1"/>
  <c r="P156" i="45"/>
  <c r="S156" i="45"/>
  <c r="S212" i="44"/>
  <c r="V212" i="44"/>
  <c r="AC211" i="44"/>
  <c r="T156" i="45" l="1"/>
  <c r="R156" i="45"/>
  <c r="W212" i="44"/>
  <c r="U212" i="44"/>
  <c r="Y156" i="45" l="1"/>
  <c r="W156" i="45"/>
  <c r="M157" i="45"/>
  <c r="U157" i="45" s="1"/>
  <c r="X156" i="45"/>
  <c r="Q157" i="45"/>
  <c r="P213" i="44"/>
  <c r="X213" i="44" s="1"/>
  <c r="T213" i="44"/>
  <c r="Z212" i="44"/>
  <c r="AA212" i="44"/>
  <c r="AB212" i="44"/>
  <c r="Z156" i="45" l="1"/>
  <c r="P157" i="45"/>
  <c r="S157" i="45"/>
  <c r="AC212" i="44"/>
  <c r="S213" i="44"/>
  <c r="V213" i="44"/>
  <c r="T157" i="45" l="1"/>
  <c r="R157" i="45"/>
  <c r="W213" i="44"/>
  <c r="U213" i="44"/>
  <c r="X157" i="45" l="1"/>
  <c r="Y157" i="45"/>
  <c r="Q158" i="45"/>
  <c r="M158" i="45"/>
  <c r="U158" i="45" s="1"/>
  <c r="W157" i="45"/>
  <c r="P214" i="44"/>
  <c r="AA213" i="44"/>
  <c r="Z213" i="44"/>
  <c r="T214" i="44"/>
  <c r="AB213" i="44"/>
  <c r="Z157" i="45" l="1"/>
  <c r="P158" i="45"/>
  <c r="S158" i="45"/>
  <c r="AC213" i="44"/>
  <c r="S214" i="44"/>
  <c r="W214" i="44" s="1"/>
  <c r="V214" i="44"/>
  <c r="X214" i="44"/>
  <c r="T158" i="45" l="1"/>
  <c r="R158" i="45"/>
  <c r="T215" i="44"/>
  <c r="AA214" i="44"/>
  <c r="Z214" i="44"/>
  <c r="P215" i="44"/>
  <c r="X215" i="44" s="1"/>
  <c r="AB214" i="44"/>
  <c r="U214" i="44"/>
  <c r="W158" i="45" l="1"/>
  <c r="Q159" i="45"/>
  <c r="M159" i="45"/>
  <c r="U159" i="45" s="1"/>
  <c r="Y158" i="45"/>
  <c r="X158" i="45"/>
  <c r="AC214" i="44"/>
  <c r="S215" i="44"/>
  <c r="V215" i="44"/>
  <c r="P159" i="45" l="1"/>
  <c r="S159" i="45"/>
  <c r="Z158" i="45"/>
  <c r="W215" i="44"/>
  <c r="U215" i="44"/>
  <c r="T159" i="45" l="1"/>
  <c r="R159" i="45"/>
  <c r="P216" i="44"/>
  <c r="Z215" i="44"/>
  <c r="AA215" i="44"/>
  <c r="T216" i="44"/>
  <c r="AB215" i="44"/>
  <c r="M160" i="45" l="1"/>
  <c r="U160" i="45" s="1"/>
  <c r="Y159" i="45"/>
  <c r="W159" i="45"/>
  <c r="Q160" i="45"/>
  <c r="X159" i="45"/>
  <c r="S216" i="44"/>
  <c r="W216" i="44" s="1"/>
  <c r="V216" i="44"/>
  <c r="AC215" i="44"/>
  <c r="X216" i="44"/>
  <c r="Z159" i="45" l="1"/>
  <c r="P160" i="45"/>
  <c r="S160" i="45"/>
  <c r="P217" i="44"/>
  <c r="AB216" i="44"/>
  <c r="Z216" i="44"/>
  <c r="AA216" i="44"/>
  <c r="T217" i="44"/>
  <c r="U216" i="44"/>
  <c r="T160" i="45" l="1"/>
  <c r="R160" i="45"/>
  <c r="AC216" i="44"/>
  <c r="S217" i="44"/>
  <c r="W217" i="44" s="1"/>
  <c r="V217" i="44"/>
  <c r="X217" i="44"/>
  <c r="Y160" i="45" l="1"/>
  <c r="Q161" i="45"/>
  <c r="W160" i="45"/>
  <c r="M161" i="45"/>
  <c r="U161" i="45" s="1"/>
  <c r="X160" i="45"/>
  <c r="P218" i="44"/>
  <c r="Z217" i="44"/>
  <c r="AA217" i="44"/>
  <c r="T218" i="44"/>
  <c r="AB217" i="44"/>
  <c r="U217" i="44"/>
  <c r="Z160" i="45" l="1"/>
  <c r="P161" i="45"/>
  <c r="S161" i="45"/>
  <c r="S218" i="44"/>
  <c r="V218" i="44"/>
  <c r="AC217" i="44"/>
  <c r="X218" i="44"/>
  <c r="T161" i="45" l="1"/>
  <c r="R161" i="45"/>
  <c r="W218" i="44"/>
  <c r="U218" i="44"/>
  <c r="M162" i="45" l="1"/>
  <c r="U162" i="45" s="1"/>
  <c r="X161" i="45"/>
  <c r="Q162" i="45"/>
  <c r="W161" i="45"/>
  <c r="Y161" i="45"/>
  <c r="P219" i="44"/>
  <c r="AB218" i="44"/>
  <c r="Z218" i="44"/>
  <c r="T219" i="44"/>
  <c r="AA218" i="44"/>
  <c r="Z161" i="45" l="1"/>
  <c r="P162" i="45"/>
  <c r="S162" i="45"/>
  <c r="AC218" i="44"/>
  <c r="S219" i="44"/>
  <c r="W219" i="44" s="1"/>
  <c r="V219" i="44"/>
  <c r="X219" i="44"/>
  <c r="T162" i="45" l="1"/>
  <c r="R162" i="45"/>
  <c r="AA219" i="44"/>
  <c r="P220" i="44"/>
  <c r="X220" i="44" s="1"/>
  <c r="Z219" i="44"/>
  <c r="T220" i="44"/>
  <c r="AB219" i="44"/>
  <c r="U219" i="44"/>
  <c r="X162" i="45" l="1"/>
  <c r="Q163" i="45"/>
  <c r="M163" i="45"/>
  <c r="U163" i="45" s="1"/>
  <c r="Y162" i="45"/>
  <c r="W162" i="45"/>
  <c r="S220" i="44"/>
  <c r="V220" i="44"/>
  <c r="AC219" i="44"/>
  <c r="P163" i="45" l="1"/>
  <c r="S163" i="45"/>
  <c r="Z162" i="45"/>
  <c r="W220" i="44"/>
  <c r="U220" i="44"/>
  <c r="T163" i="45" l="1"/>
  <c r="R163" i="45"/>
  <c r="AA220" i="44"/>
  <c r="Z220" i="44"/>
  <c r="AB220" i="44"/>
  <c r="P221" i="44"/>
  <c r="X221" i="44" s="1"/>
  <c r="T221" i="44"/>
  <c r="Q164" i="45" l="1"/>
  <c r="Y163" i="45"/>
  <c r="W163" i="45"/>
  <c r="X163" i="45"/>
  <c r="M164" i="45"/>
  <c r="AC220" i="44"/>
  <c r="S221" i="44"/>
  <c r="V221" i="44"/>
  <c r="Z163" i="45" l="1"/>
  <c r="U164" i="45"/>
  <c r="AD32" i="45"/>
  <c r="P164" i="45"/>
  <c r="S164" i="45"/>
  <c r="W221" i="44"/>
  <c r="U221" i="44"/>
  <c r="R164" i="45" l="1"/>
  <c r="T164" i="45"/>
  <c r="AA221" i="44"/>
  <c r="Z221" i="44"/>
  <c r="T222" i="44"/>
  <c r="P222" i="44"/>
  <c r="AB221" i="44"/>
  <c r="Q165" i="45" l="1"/>
  <c r="M165" i="45"/>
  <c r="W164" i="45"/>
  <c r="X164" i="45"/>
  <c r="Y164" i="45"/>
  <c r="X222" i="44"/>
  <c r="S222" i="44"/>
  <c r="V222" i="44"/>
  <c r="AC221" i="44"/>
  <c r="U165" i="45" l="1"/>
  <c r="Z164" i="45"/>
  <c r="P165" i="45"/>
  <c r="S165" i="45"/>
  <c r="U222" i="44"/>
  <c r="W222" i="44"/>
  <c r="R165" i="45" l="1"/>
  <c r="T165" i="45"/>
  <c r="T223" i="44"/>
  <c r="P223" i="44"/>
  <c r="AG37" i="44" s="1"/>
  <c r="AA222" i="44"/>
  <c r="Z222" i="44"/>
  <c r="AB222" i="44"/>
  <c r="Q166" i="45" l="1"/>
  <c r="M166" i="45"/>
  <c r="U166" i="45" s="1"/>
  <c r="W165" i="45"/>
  <c r="Y165" i="45"/>
  <c r="X165" i="45"/>
  <c r="AC222" i="44"/>
  <c r="X223" i="44"/>
  <c r="S223" i="44"/>
  <c r="V223" i="44"/>
  <c r="Z165" i="45" l="1"/>
  <c r="P166" i="45"/>
  <c r="S166" i="45"/>
  <c r="U223" i="44"/>
  <c r="W223" i="44"/>
  <c r="T166" i="45" l="1"/>
  <c r="R166" i="45"/>
  <c r="AA223" i="44"/>
  <c r="AB223" i="44"/>
  <c r="Z223" i="44"/>
  <c r="T224" i="44"/>
  <c r="P224" i="44"/>
  <c r="X166" i="45" l="1"/>
  <c r="Q167" i="45"/>
  <c r="M167" i="45"/>
  <c r="U167" i="45" s="1"/>
  <c r="Y166" i="45"/>
  <c r="W166" i="45"/>
  <c r="AC223" i="44"/>
  <c r="S224" i="44"/>
  <c r="W224" i="44" s="1"/>
  <c r="V224" i="44"/>
  <c r="X224" i="44"/>
  <c r="P167" i="45" l="1"/>
  <c r="S167" i="45"/>
  <c r="Z166" i="45"/>
  <c r="P225" i="44"/>
  <c r="X225" i="44" s="1"/>
  <c r="T225" i="44"/>
  <c r="AA224" i="44"/>
  <c r="AB224" i="44"/>
  <c r="Z224" i="44"/>
  <c r="U224" i="44"/>
  <c r="T167" i="45" l="1"/>
  <c r="R167" i="45"/>
  <c r="AC224" i="44"/>
  <c r="S225" i="44"/>
  <c r="V225" i="44"/>
  <c r="Q168" i="45" l="1"/>
  <c r="Y167" i="45"/>
  <c r="W167" i="45"/>
  <c r="X167" i="45"/>
  <c r="M168" i="45"/>
  <c r="U168" i="45" s="1"/>
  <c r="W225" i="44"/>
  <c r="U225" i="44"/>
  <c r="Z167" i="45" l="1"/>
  <c r="P168" i="45"/>
  <c r="S168" i="45"/>
  <c r="P226" i="44"/>
  <c r="AB225" i="44"/>
  <c r="T226" i="44"/>
  <c r="Z225" i="44"/>
  <c r="AA225" i="44"/>
  <c r="T168" i="45" l="1"/>
  <c r="R168" i="45"/>
  <c r="AC225" i="44"/>
  <c r="S226" i="44"/>
  <c r="W226" i="44" s="1"/>
  <c r="V226" i="44"/>
  <c r="X226" i="44"/>
  <c r="X168" i="45" l="1"/>
  <c r="M169" i="45"/>
  <c r="U169" i="45" s="1"/>
  <c r="W168" i="45"/>
  <c r="Y168" i="45"/>
  <c r="Q169" i="45"/>
  <c r="T227" i="44"/>
  <c r="AA226" i="44"/>
  <c r="AB226" i="44"/>
  <c r="Z226" i="44"/>
  <c r="P227" i="44"/>
  <c r="U226" i="44"/>
  <c r="Z168" i="45" l="1"/>
  <c r="AC226" i="44"/>
  <c r="P169" i="45"/>
  <c r="S169" i="45"/>
  <c r="X227" i="44"/>
  <c r="S227" i="44"/>
  <c r="V227" i="44"/>
  <c r="T169" i="45" l="1"/>
  <c r="R169" i="45"/>
  <c r="U227" i="44"/>
  <c r="W227" i="44"/>
  <c r="W169" i="45" l="1"/>
  <c r="X169" i="45"/>
  <c r="M170" i="45"/>
  <c r="U170" i="45" s="1"/>
  <c r="Q170" i="45"/>
  <c r="Y169" i="45"/>
  <c r="T228" i="44"/>
  <c r="AA227" i="44"/>
  <c r="Z227" i="44"/>
  <c r="P228" i="44"/>
  <c r="X228" i="44" s="1"/>
  <c r="AB227" i="44"/>
  <c r="P170" i="45" l="1"/>
  <c r="S170" i="45"/>
  <c r="Z169" i="45"/>
  <c r="AC227" i="44"/>
  <c r="S228" i="44"/>
  <c r="V228" i="44"/>
  <c r="T170" i="45" l="1"/>
  <c r="R170" i="45"/>
  <c r="W228" i="44"/>
  <c r="U228" i="44"/>
  <c r="W170" i="45" l="1"/>
  <c r="Q171" i="45"/>
  <c r="X170" i="45"/>
  <c r="Y170" i="45"/>
  <c r="M171" i="45"/>
  <c r="U171" i="45" s="1"/>
  <c r="AA228" i="44"/>
  <c r="T229" i="44"/>
  <c r="AB228" i="44"/>
  <c r="Z228" i="44"/>
  <c r="P229" i="44"/>
  <c r="X229" i="44" s="1"/>
  <c r="AC228" i="44" l="1"/>
  <c r="P171" i="45"/>
  <c r="S171" i="45"/>
  <c r="Z170" i="45"/>
  <c r="S229" i="44"/>
  <c r="V229" i="44"/>
  <c r="T171" i="45" l="1"/>
  <c r="R171" i="45"/>
  <c r="W229" i="44"/>
  <c r="U229" i="44"/>
  <c r="X171" i="45" l="1"/>
  <c r="W171" i="45"/>
  <c r="M172" i="45"/>
  <c r="U172" i="45" s="1"/>
  <c r="Q172" i="45"/>
  <c r="Y171" i="45"/>
  <c r="P230" i="44"/>
  <c r="T230" i="44"/>
  <c r="Z229" i="44"/>
  <c r="AA229" i="44"/>
  <c r="AB229" i="44"/>
  <c r="Z171" i="45" l="1"/>
  <c r="P172" i="45"/>
  <c r="S172" i="45"/>
  <c r="AC229" i="44"/>
  <c r="S230" i="44"/>
  <c r="V230" i="44"/>
  <c r="X230" i="44"/>
  <c r="T172" i="45" l="1"/>
  <c r="R172" i="45"/>
  <c r="W230" i="44"/>
  <c r="U230" i="44"/>
  <c r="Q173" i="45" l="1"/>
  <c r="M173" i="45"/>
  <c r="U173" i="45" s="1"/>
  <c r="X172" i="45"/>
  <c r="Y172" i="45"/>
  <c r="W172" i="45"/>
  <c r="AB230" i="44"/>
  <c r="AA230" i="44"/>
  <c r="T231" i="44"/>
  <c r="P231" i="44"/>
  <c r="Z230" i="44"/>
  <c r="AC230" i="44" l="1"/>
  <c r="Z172" i="45"/>
  <c r="P173" i="45"/>
  <c r="S173" i="45"/>
  <c r="X231" i="44"/>
  <c r="S231" i="44"/>
  <c r="V231" i="44"/>
  <c r="T173" i="45" l="1"/>
  <c r="R173" i="45"/>
  <c r="W231" i="44"/>
  <c r="U231" i="44"/>
  <c r="Q174" i="45" l="1"/>
  <c r="X173" i="45"/>
  <c r="Y173" i="45"/>
  <c r="M174" i="45"/>
  <c r="U174" i="45" s="1"/>
  <c r="W173" i="45"/>
  <c r="Z231" i="44"/>
  <c r="AA231" i="44"/>
  <c r="P232" i="44"/>
  <c r="X232" i="44" s="1"/>
  <c r="AB231" i="44"/>
  <c r="T232" i="44"/>
  <c r="Z173" i="45" l="1"/>
  <c r="P174" i="45"/>
  <c r="S174" i="45"/>
  <c r="S232" i="44"/>
  <c r="V232" i="44"/>
  <c r="AC231" i="44"/>
  <c r="T174" i="45" l="1"/>
  <c r="R174" i="45"/>
  <c r="W232" i="44"/>
  <c r="U232" i="44"/>
  <c r="W174" i="45" l="1"/>
  <c r="M175" i="45"/>
  <c r="Y174" i="45"/>
  <c r="X174" i="45"/>
  <c r="Q175" i="45"/>
  <c r="AB232" i="44"/>
  <c r="Z232" i="44"/>
  <c r="AA232" i="44"/>
  <c r="T233" i="44"/>
  <c r="P233" i="44"/>
  <c r="U175" i="45" l="1"/>
  <c r="P175" i="45"/>
  <c r="S175" i="45"/>
  <c r="Z174" i="45"/>
  <c r="S233" i="44"/>
  <c r="W233" i="44" s="1"/>
  <c r="V233" i="44"/>
  <c r="AC232" i="44"/>
  <c r="X233" i="44"/>
  <c r="R175" i="45" l="1"/>
  <c r="T175" i="45"/>
  <c r="T234" i="44"/>
  <c r="Z233" i="44"/>
  <c r="P234" i="44"/>
  <c r="AA233" i="44"/>
  <c r="AB233" i="44"/>
  <c r="U233" i="44"/>
  <c r="M176" i="45" l="1"/>
  <c r="X175" i="45"/>
  <c r="Q176" i="45"/>
  <c r="W175" i="45"/>
  <c r="Y175" i="45"/>
  <c r="X234" i="44"/>
  <c r="AC233" i="44"/>
  <c r="S234" i="44"/>
  <c r="W234" i="44" s="1"/>
  <c r="V234" i="44"/>
  <c r="Z175" i="45" l="1"/>
  <c r="P176" i="45"/>
  <c r="S176" i="45"/>
  <c r="U176" i="45"/>
  <c r="AD33" i="45"/>
  <c r="T176" i="45"/>
  <c r="P235" i="44"/>
  <c r="AG38" i="44" s="1"/>
  <c r="AA234" i="44"/>
  <c r="AB234" i="44"/>
  <c r="Z234" i="44"/>
  <c r="T235" i="44"/>
  <c r="U234" i="44"/>
  <c r="AC234" i="44" l="1"/>
  <c r="W176" i="45"/>
  <c r="X176" i="45"/>
  <c r="Q177" i="45"/>
  <c r="Y176" i="45"/>
  <c r="M177" i="45"/>
  <c r="U177" i="45" s="1"/>
  <c r="R176" i="45"/>
  <c r="S235" i="44"/>
  <c r="W235" i="44" s="1"/>
  <c r="V235" i="44"/>
  <c r="X235" i="44"/>
  <c r="P177" i="45" l="1"/>
  <c r="S177" i="45"/>
  <c r="Z176" i="45"/>
  <c r="AA235" i="44"/>
  <c r="Z235" i="44"/>
  <c r="P236" i="44"/>
  <c r="T236" i="44"/>
  <c r="AB235" i="44"/>
  <c r="U235" i="44"/>
  <c r="T177" i="45" l="1"/>
  <c r="R177" i="45"/>
  <c r="S236" i="44"/>
  <c r="W236" i="44" s="1"/>
  <c r="V236" i="44"/>
  <c r="X236" i="44"/>
  <c r="AC235" i="44"/>
  <c r="Y177" i="45" l="1"/>
  <c r="Q178" i="45"/>
  <c r="X177" i="45"/>
  <c r="M178" i="45"/>
  <c r="U178" i="45" s="1"/>
  <c r="W177" i="45"/>
  <c r="Z236" i="44"/>
  <c r="T237" i="44"/>
  <c r="P237" i="44"/>
  <c r="X237" i="44" s="1"/>
  <c r="AB236" i="44"/>
  <c r="AA236" i="44"/>
  <c r="U236" i="44"/>
  <c r="Z177" i="45" l="1"/>
  <c r="P178" i="45"/>
  <c r="S178" i="45"/>
  <c r="S237" i="44"/>
  <c r="V237" i="44"/>
  <c r="AC236" i="44"/>
  <c r="T178" i="45" l="1"/>
  <c r="R178" i="45"/>
  <c r="W237" i="44"/>
  <c r="U237" i="44"/>
  <c r="M179" i="45" l="1"/>
  <c r="U179" i="45" s="1"/>
  <c r="W178" i="45"/>
  <c r="X178" i="45"/>
  <c r="Y178" i="45"/>
  <c r="Q179" i="45"/>
  <c r="T238" i="44"/>
  <c r="Z237" i="44"/>
  <c r="AA237" i="44"/>
  <c r="P238" i="44"/>
  <c r="AB237" i="44"/>
  <c r="Z178" i="45" l="1"/>
  <c r="P179" i="45"/>
  <c r="S179" i="45"/>
  <c r="AC237" i="44"/>
  <c r="X238" i="44"/>
  <c r="S238" i="44"/>
  <c r="V238" i="44"/>
  <c r="T179" i="45" l="1"/>
  <c r="R179" i="45"/>
  <c r="U238" i="44"/>
  <c r="W238" i="44"/>
  <c r="W179" i="45" l="1"/>
  <c r="X179" i="45"/>
  <c r="Q180" i="45"/>
  <c r="Y179" i="45"/>
  <c r="M180" i="45"/>
  <c r="U180" i="45" s="1"/>
  <c r="Z238" i="44"/>
  <c r="AB238" i="44"/>
  <c r="P239" i="44"/>
  <c r="AA238" i="44"/>
  <c r="T239" i="44"/>
  <c r="Z179" i="45" l="1"/>
  <c r="P180" i="45"/>
  <c r="S180" i="45"/>
  <c r="X239" i="44"/>
  <c r="S239" i="44"/>
  <c r="V239" i="44"/>
  <c r="AC238" i="44"/>
  <c r="T180" i="45" l="1"/>
  <c r="R180" i="45"/>
  <c r="U239" i="44"/>
  <c r="W239" i="44"/>
  <c r="Y180" i="45" l="1"/>
  <c r="W180" i="45"/>
  <c r="M181" i="45"/>
  <c r="U181" i="45" s="1"/>
  <c r="Q181" i="45"/>
  <c r="X180" i="45"/>
  <c r="Z239" i="44"/>
  <c r="T240" i="44"/>
  <c r="P240" i="44"/>
  <c r="X240" i="44" s="1"/>
  <c r="AA239" i="44"/>
  <c r="AB239" i="44"/>
  <c r="P181" i="45" l="1"/>
  <c r="S181" i="45"/>
  <c r="Z180" i="45"/>
  <c r="S240" i="44"/>
  <c r="V240" i="44"/>
  <c r="AC239" i="44"/>
  <c r="T181" i="45" l="1"/>
  <c r="R181" i="45"/>
  <c r="W240" i="44"/>
  <c r="U240" i="44"/>
  <c r="Y181" i="45" l="1"/>
  <c r="Q182" i="45"/>
  <c r="W181" i="45"/>
  <c r="X181" i="45"/>
  <c r="M182" i="45"/>
  <c r="U182" i="45" s="1"/>
  <c r="Z240" i="44"/>
  <c r="AA240" i="44"/>
  <c r="AB240" i="44"/>
  <c r="T241" i="44"/>
  <c r="P241" i="44"/>
  <c r="X241" i="44" s="1"/>
  <c r="Z181" i="45" l="1"/>
  <c r="P182" i="45"/>
  <c r="S182" i="45"/>
  <c r="AC240" i="44"/>
  <c r="S241" i="44"/>
  <c r="V241" i="44"/>
  <c r="T182" i="45" l="1"/>
  <c r="R182" i="45"/>
  <c r="W241" i="44"/>
  <c r="U241" i="44"/>
  <c r="Q183" i="45" l="1"/>
  <c r="Y182" i="45"/>
  <c r="X182" i="45"/>
  <c r="M183" i="45"/>
  <c r="U183" i="45" s="1"/>
  <c r="W182" i="45"/>
  <c r="AB241" i="44"/>
  <c r="T242" i="44"/>
  <c r="P242" i="44"/>
  <c r="Z241" i="44"/>
  <c r="AA241" i="44"/>
  <c r="Z182" i="45" l="1"/>
  <c r="P183" i="45"/>
  <c r="S183" i="45"/>
  <c r="AC241" i="44"/>
  <c r="X242" i="44"/>
  <c r="S242" i="44"/>
  <c r="W242" i="44" s="1"/>
  <c r="V242" i="44"/>
  <c r="T183" i="45" l="1"/>
  <c r="R183" i="45"/>
  <c r="Z242" i="44"/>
  <c r="AB242" i="44"/>
  <c r="T243" i="44"/>
  <c r="AA242" i="44"/>
  <c r="P243" i="44"/>
  <c r="U242" i="44"/>
  <c r="M184" i="45" l="1"/>
  <c r="U184" i="45" s="1"/>
  <c r="Q184" i="45"/>
  <c r="Y183" i="45"/>
  <c r="W183" i="45"/>
  <c r="X183" i="45"/>
  <c r="S243" i="44"/>
  <c r="W243" i="44" s="1"/>
  <c r="V243" i="44"/>
  <c r="X243" i="44"/>
  <c r="AC242" i="44"/>
  <c r="Z183" i="45" l="1"/>
  <c r="P184" i="45"/>
  <c r="S184" i="45"/>
  <c r="Z243" i="44"/>
  <c r="P244" i="44"/>
  <c r="X244" i="44" s="1"/>
  <c r="AB243" i="44"/>
  <c r="AA243" i="44"/>
  <c r="T244" i="44"/>
  <c r="U243" i="44"/>
  <c r="T184" i="45" l="1"/>
  <c r="R184" i="45"/>
  <c r="S244" i="44"/>
  <c r="V244" i="44"/>
  <c r="AC243" i="44"/>
  <c r="Y184" i="45" l="1"/>
  <c r="X184" i="45"/>
  <c r="M185" i="45"/>
  <c r="U185" i="45" s="1"/>
  <c r="W184" i="45"/>
  <c r="Q185" i="45"/>
  <c r="W244" i="44"/>
  <c r="U244" i="44"/>
  <c r="Z184" i="45" l="1"/>
  <c r="P185" i="45"/>
  <c r="S185" i="45"/>
  <c r="AB244" i="44"/>
  <c r="T245" i="44"/>
  <c r="P245" i="44"/>
  <c r="AA244" i="44"/>
  <c r="Z244" i="44"/>
  <c r="T185" i="45" l="1"/>
  <c r="R185" i="45"/>
  <c r="AC244" i="44"/>
  <c r="X245" i="44"/>
  <c r="S245" i="44"/>
  <c r="V245" i="44"/>
  <c r="M186" i="45" l="1"/>
  <c r="U186" i="45" s="1"/>
  <c r="Q186" i="45"/>
  <c r="W185" i="45"/>
  <c r="Y185" i="45"/>
  <c r="X185" i="45"/>
  <c r="U245" i="44"/>
  <c r="W245" i="44"/>
  <c r="Z185" i="45" l="1"/>
  <c r="P186" i="45"/>
  <c r="S186" i="45"/>
  <c r="T246" i="44"/>
  <c r="P246" i="44"/>
  <c r="AA245" i="44"/>
  <c r="Z245" i="44"/>
  <c r="AB245" i="44"/>
  <c r="T186" i="45" l="1"/>
  <c r="R186" i="45"/>
  <c r="AC245" i="44"/>
  <c r="X246" i="44"/>
  <c r="S246" i="44"/>
  <c r="V246" i="44"/>
  <c r="Y186" i="45" l="1"/>
  <c r="X186" i="45"/>
  <c r="M187" i="45"/>
  <c r="W186" i="45"/>
  <c r="Q187" i="45"/>
  <c r="U246" i="44"/>
  <c r="W246" i="44"/>
  <c r="Z186" i="45" l="1"/>
  <c r="U187" i="45"/>
  <c r="P187" i="45"/>
  <c r="S187" i="45"/>
  <c r="P247" i="44"/>
  <c r="AG39" i="44" s="1"/>
  <c r="AB246" i="44"/>
  <c r="T247" i="44"/>
  <c r="AA246" i="44"/>
  <c r="Z246" i="44"/>
  <c r="R187" i="45" l="1"/>
  <c r="T187" i="45"/>
  <c r="S247" i="44"/>
  <c r="W247" i="44" s="1"/>
  <c r="V247" i="44"/>
  <c r="AC246" i="44"/>
  <c r="X247" i="44"/>
  <c r="M188" i="45" l="1"/>
  <c r="W187" i="45"/>
  <c r="X187" i="45"/>
  <c r="Q188" i="45"/>
  <c r="Y187" i="45"/>
  <c r="P248" i="44"/>
  <c r="T248" i="44"/>
  <c r="AA247" i="44"/>
  <c r="AB247" i="44"/>
  <c r="Z247" i="44"/>
  <c r="U247" i="44"/>
  <c r="Z187" i="45" l="1"/>
  <c r="P188" i="45"/>
  <c r="T188" i="45" s="1"/>
  <c r="S188" i="45"/>
  <c r="U188" i="45"/>
  <c r="AD34" i="45"/>
  <c r="AC247" i="44"/>
  <c r="S248" i="44"/>
  <c r="W248" i="44" s="1"/>
  <c r="V248" i="44"/>
  <c r="X248" i="44"/>
  <c r="W188" i="45" l="1"/>
  <c r="Q189" i="45"/>
  <c r="M189" i="45"/>
  <c r="Y188" i="45"/>
  <c r="X188" i="45"/>
  <c r="R188" i="45"/>
  <c r="P249" i="44"/>
  <c r="Z248" i="44"/>
  <c r="AA248" i="44"/>
  <c r="T249" i="44"/>
  <c r="AB248" i="44"/>
  <c r="U248" i="44"/>
  <c r="U189" i="45" l="1"/>
  <c r="S189" i="45"/>
  <c r="P189" i="45"/>
  <c r="Z188" i="45"/>
  <c r="AC248" i="44"/>
  <c r="S249" i="44"/>
  <c r="W249" i="44" s="1"/>
  <c r="V249" i="44"/>
  <c r="X249" i="44"/>
  <c r="R189" i="45" l="1"/>
  <c r="T189" i="45"/>
  <c r="T250" i="44"/>
  <c r="AB249" i="44"/>
  <c r="Z249" i="44"/>
  <c r="P250" i="44"/>
  <c r="AA249" i="44"/>
  <c r="U249" i="44"/>
  <c r="Y189" i="45" l="1"/>
  <c r="X189" i="45"/>
  <c r="Q190" i="45"/>
  <c r="M190" i="45"/>
  <c r="U190" i="45" s="1"/>
  <c r="W189" i="45"/>
  <c r="AC249" i="44"/>
  <c r="X250" i="44"/>
  <c r="S250" i="44"/>
  <c r="W250" i="44" s="1"/>
  <c r="V250" i="44"/>
  <c r="Z189" i="45" l="1"/>
  <c r="P190" i="45"/>
  <c r="S190" i="45"/>
  <c r="U250" i="44"/>
  <c r="P251" i="44"/>
  <c r="AB250" i="44"/>
  <c r="AA250" i="44"/>
  <c r="Z250" i="44"/>
  <c r="T251" i="44"/>
  <c r="T190" i="45" l="1"/>
  <c r="R190" i="45"/>
  <c r="AC250" i="44"/>
  <c r="S251" i="44"/>
  <c r="W251" i="44" s="1"/>
  <c r="V251" i="44"/>
  <c r="X251" i="44"/>
  <c r="W190" i="45" l="1"/>
  <c r="Y190" i="45"/>
  <c r="Q191" i="45"/>
  <c r="M191" i="45"/>
  <c r="U191" i="45" s="1"/>
  <c r="X190" i="45"/>
  <c r="U251" i="44"/>
  <c r="Z251" i="44"/>
  <c r="P252" i="44"/>
  <c r="AA251" i="44"/>
  <c r="T252" i="44"/>
  <c r="AB251" i="44"/>
  <c r="P191" i="45" l="1"/>
  <c r="S191" i="45"/>
  <c r="Z190" i="45"/>
  <c r="AC251" i="44"/>
  <c r="S252" i="44"/>
  <c r="W252" i="44" s="1"/>
  <c r="V252" i="44"/>
  <c r="X252" i="44"/>
  <c r="T191" i="45" l="1"/>
  <c r="R191" i="45"/>
  <c r="U252" i="44"/>
  <c r="P253" i="44"/>
  <c r="X253" i="44" s="1"/>
  <c r="AA252" i="44"/>
  <c r="AB252" i="44"/>
  <c r="T253" i="44"/>
  <c r="Z252" i="44"/>
  <c r="Q192" i="45" l="1"/>
  <c r="X191" i="45"/>
  <c r="W191" i="45"/>
  <c r="Y191" i="45"/>
  <c r="M192" i="45"/>
  <c r="U192" i="45" s="1"/>
  <c r="AC252" i="44"/>
  <c r="S253" i="44"/>
  <c r="V253" i="44"/>
  <c r="Z191" i="45" l="1"/>
  <c r="P192" i="45"/>
  <c r="S192" i="45"/>
  <c r="W253" i="44"/>
  <c r="U253" i="44"/>
  <c r="T192" i="45" l="1"/>
  <c r="R192" i="45"/>
  <c r="Z253" i="44"/>
  <c r="AB253" i="44"/>
  <c r="T254" i="44"/>
  <c r="AA253" i="44"/>
  <c r="P254" i="44"/>
  <c r="Q193" i="45" l="1"/>
  <c r="W192" i="45"/>
  <c r="M193" i="45"/>
  <c r="U193" i="45" s="1"/>
  <c r="X192" i="45"/>
  <c r="Y192" i="45"/>
  <c r="AC253" i="44"/>
  <c r="S254" i="44"/>
  <c r="U254" i="44" s="1"/>
  <c r="V254" i="44"/>
  <c r="X254" i="44"/>
  <c r="W254" i="44" l="1"/>
  <c r="Z254" i="44" s="1"/>
  <c r="Z192" i="45"/>
  <c r="P193" i="45"/>
  <c r="S193" i="45"/>
  <c r="T255" i="44"/>
  <c r="P255" i="44"/>
  <c r="AB254" i="44" l="1"/>
  <c r="AA254" i="44"/>
  <c r="T193" i="45"/>
  <c r="R193" i="45"/>
  <c r="X255" i="44"/>
  <c r="S255" i="44"/>
  <c r="V255" i="44"/>
  <c r="AC254" i="44" l="1"/>
  <c r="X193" i="45"/>
  <c r="Y193" i="45"/>
  <c r="Q194" i="45"/>
  <c r="M194" i="45"/>
  <c r="U194" i="45" s="1"/>
  <c r="W193" i="45"/>
  <c r="W255" i="44"/>
  <c r="U255" i="44"/>
  <c r="Z193" i="45" l="1"/>
  <c r="P194" i="45"/>
  <c r="S194" i="45"/>
  <c r="AB255" i="44"/>
  <c r="Z255" i="44"/>
  <c r="T256" i="44"/>
  <c r="AA255" i="44"/>
  <c r="P256" i="44"/>
  <c r="T194" i="45" l="1"/>
  <c r="R194" i="45"/>
  <c r="AC255" i="44"/>
  <c r="S256" i="44"/>
  <c r="W256" i="44" s="1"/>
  <c r="V256" i="44"/>
  <c r="X256" i="44"/>
  <c r="Q195" i="45" l="1"/>
  <c r="X194" i="45"/>
  <c r="Y194" i="45"/>
  <c r="W194" i="45"/>
  <c r="M195" i="45"/>
  <c r="U195" i="45" s="1"/>
  <c r="AA256" i="44"/>
  <c r="P257" i="44"/>
  <c r="X257" i="44" s="1"/>
  <c r="AB256" i="44"/>
  <c r="T257" i="44"/>
  <c r="Z256" i="44"/>
  <c r="U256" i="44"/>
  <c r="Z194" i="45" l="1"/>
  <c r="P195" i="45"/>
  <c r="S195" i="45"/>
  <c r="AC256" i="44"/>
  <c r="S257" i="44"/>
  <c r="V257" i="44"/>
  <c r="T195" i="45" l="1"/>
  <c r="R195" i="45"/>
  <c r="W257" i="44"/>
  <c r="U257" i="44"/>
  <c r="Q196" i="45" l="1"/>
  <c r="W195" i="45"/>
  <c r="X195" i="45"/>
  <c r="Y195" i="45"/>
  <c r="M196" i="45"/>
  <c r="U196" i="45" s="1"/>
  <c r="AA257" i="44"/>
  <c r="AB257" i="44"/>
  <c r="P258" i="44"/>
  <c r="X258" i="44" s="1"/>
  <c r="T258" i="44"/>
  <c r="Z257" i="44"/>
  <c r="Z195" i="45" l="1"/>
  <c r="P196" i="45"/>
  <c r="S196" i="45"/>
  <c r="AC257" i="44"/>
  <c r="S258" i="44"/>
  <c r="V258" i="44"/>
  <c r="T196" i="45" l="1"/>
  <c r="R196" i="45"/>
  <c r="W258" i="44"/>
  <c r="U258" i="44"/>
  <c r="M197" i="45" l="1"/>
  <c r="U197" i="45" s="1"/>
  <c r="Y196" i="45"/>
  <c r="X196" i="45"/>
  <c r="Q197" i="45"/>
  <c r="W196" i="45"/>
  <c r="P259" i="44"/>
  <c r="AG40" i="44" s="1"/>
  <c r="AB258" i="44"/>
  <c r="Z258" i="44"/>
  <c r="AA258" i="44"/>
  <c r="T259" i="44"/>
  <c r="Z196" i="45" l="1"/>
  <c r="P197" i="45"/>
  <c r="S197" i="45"/>
  <c r="AC258" i="44"/>
  <c r="S259" i="44"/>
  <c r="W259" i="44" s="1"/>
  <c r="V259" i="44"/>
  <c r="X259" i="44"/>
  <c r="T197" i="45" l="1"/>
  <c r="R197" i="45"/>
  <c r="Z259" i="44"/>
  <c r="T260" i="44"/>
  <c r="P260" i="44"/>
  <c r="AB259" i="44"/>
  <c r="AA259" i="44"/>
  <c r="U259" i="44"/>
  <c r="W197" i="45" l="1"/>
  <c r="Q198" i="45"/>
  <c r="X197" i="45"/>
  <c r="M198" i="45"/>
  <c r="U198" i="45" s="1"/>
  <c r="Y197" i="45"/>
  <c r="X260" i="44"/>
  <c r="S260" i="44"/>
  <c r="V260" i="44"/>
  <c r="AC259" i="44"/>
  <c r="P198" i="45" l="1"/>
  <c r="S198" i="45"/>
  <c r="Z197" i="45"/>
  <c r="U260" i="44"/>
  <c r="W260" i="44"/>
  <c r="T198" i="45" l="1"/>
  <c r="R198" i="45"/>
  <c r="AB260" i="44"/>
  <c r="Z260" i="44"/>
  <c r="P261" i="44"/>
  <c r="X261" i="44" s="1"/>
  <c r="AA260" i="44"/>
  <c r="T261" i="44"/>
  <c r="AC260" i="44" l="1"/>
  <c r="X198" i="45"/>
  <c r="W198" i="45"/>
  <c r="Y198" i="45"/>
  <c r="Q199" i="45"/>
  <c r="M199" i="45"/>
  <c r="U199" i="45" s="1"/>
  <c r="S261" i="44"/>
  <c r="V261" i="44"/>
  <c r="Z198" i="45" l="1"/>
  <c r="P199" i="45"/>
  <c r="S199" i="45"/>
  <c r="W261" i="44"/>
  <c r="U261" i="44"/>
  <c r="T199" i="45" l="1"/>
  <c r="R199" i="45"/>
  <c r="AA261" i="44"/>
  <c r="T262" i="44"/>
  <c r="Z261" i="44"/>
  <c r="P262" i="44"/>
  <c r="X262" i="44" s="1"/>
  <c r="AB261" i="44"/>
  <c r="M200" i="45" l="1"/>
  <c r="X199" i="45"/>
  <c r="Y199" i="45"/>
  <c r="W199" i="45"/>
  <c r="Q200" i="45"/>
  <c r="AC261" i="44"/>
  <c r="S262" i="44"/>
  <c r="V262" i="44"/>
  <c r="Z199" i="45" l="1"/>
  <c r="P200" i="45"/>
  <c r="T200" i="45" s="1"/>
  <c r="S200" i="45"/>
  <c r="AD35" i="45"/>
  <c r="U200" i="45"/>
  <c r="W262" i="44"/>
  <c r="U262" i="44"/>
  <c r="W200" i="45" l="1"/>
  <c r="Q201" i="45"/>
  <c r="X200" i="45"/>
  <c r="Y200" i="45"/>
  <c r="M201" i="45"/>
  <c r="R200" i="45"/>
  <c r="T263" i="44"/>
  <c r="P263" i="44"/>
  <c r="Z262" i="44"/>
  <c r="AB262" i="44"/>
  <c r="AA262" i="44"/>
  <c r="AC262" i="44" l="1"/>
  <c r="P201" i="45"/>
  <c r="T201" i="45" s="1"/>
  <c r="S201" i="45"/>
  <c r="U201" i="45"/>
  <c r="Z200" i="45"/>
  <c r="X263" i="44"/>
  <c r="S263" i="44"/>
  <c r="V263" i="44"/>
  <c r="X201" i="45" l="1"/>
  <c r="Q202" i="45"/>
  <c r="W201" i="45"/>
  <c r="M202" i="45"/>
  <c r="U202" i="45" s="1"/>
  <c r="Y201" i="45"/>
  <c r="R201" i="45"/>
  <c r="U263" i="44"/>
  <c r="W263" i="44"/>
  <c r="Z201" i="45" l="1"/>
  <c r="P202" i="45"/>
  <c r="S202" i="45"/>
  <c r="P264" i="44"/>
  <c r="X264" i="44" s="1"/>
  <c r="Z263" i="44"/>
  <c r="AB263" i="44"/>
  <c r="AA263" i="44"/>
  <c r="T264" i="44"/>
  <c r="T202" i="45" l="1"/>
  <c r="R202" i="45"/>
  <c r="AC263" i="44"/>
  <c r="S264" i="44"/>
  <c r="V264" i="44"/>
  <c r="Q203" i="45" l="1"/>
  <c r="Y202" i="45"/>
  <c r="W202" i="45"/>
  <c r="M203" i="45"/>
  <c r="U203" i="45" s="1"/>
  <c r="X202" i="45"/>
  <c r="W264" i="44"/>
  <c r="U264" i="44"/>
  <c r="Z202" i="45" l="1"/>
  <c r="P203" i="45"/>
  <c r="S203" i="45"/>
  <c r="AA264" i="44"/>
  <c r="Z264" i="44"/>
  <c r="AB264" i="44"/>
  <c r="T265" i="44"/>
  <c r="P265" i="44"/>
  <c r="T203" i="45" l="1"/>
  <c r="R203" i="45"/>
  <c r="AC264" i="44"/>
  <c r="S265" i="44"/>
  <c r="W265" i="44" s="1"/>
  <c r="V265" i="44"/>
  <c r="X265" i="44"/>
  <c r="Y203" i="45" l="1"/>
  <c r="X203" i="45"/>
  <c r="W203" i="45"/>
  <c r="M204" i="45"/>
  <c r="U204" i="45" s="1"/>
  <c r="Q204" i="45"/>
  <c r="Z265" i="44"/>
  <c r="AA265" i="44"/>
  <c r="P266" i="44"/>
  <c r="AB265" i="44"/>
  <c r="T266" i="44"/>
  <c r="U265" i="44"/>
  <c r="Z203" i="45" l="1"/>
  <c r="P204" i="45"/>
  <c r="S204" i="45"/>
  <c r="AC265" i="44"/>
  <c r="X266" i="44"/>
  <c r="S266" i="44"/>
  <c r="V266" i="44"/>
  <c r="T204" i="45" l="1"/>
  <c r="R204" i="45"/>
  <c r="U266" i="44"/>
  <c r="W266" i="44"/>
  <c r="M205" i="45" l="1"/>
  <c r="U205" i="45" s="1"/>
  <c r="X204" i="45"/>
  <c r="W204" i="45"/>
  <c r="Y204" i="45"/>
  <c r="Q205" i="45"/>
  <c r="P267" i="44"/>
  <c r="Z266" i="44"/>
  <c r="AB266" i="44"/>
  <c r="T267" i="44"/>
  <c r="AA266" i="44"/>
  <c r="Z204" i="45" l="1"/>
  <c r="P205" i="45"/>
  <c r="S205" i="45"/>
  <c r="AC266" i="44"/>
  <c r="S267" i="44"/>
  <c r="W267" i="44" s="1"/>
  <c r="V267" i="44"/>
  <c r="X267" i="44"/>
  <c r="T205" i="45" l="1"/>
  <c r="R205" i="45"/>
  <c r="P268" i="44"/>
  <c r="Z267" i="44"/>
  <c r="AA267" i="44"/>
  <c r="AB267" i="44"/>
  <c r="T268" i="44"/>
  <c r="U267" i="44"/>
  <c r="Y205" i="45" l="1"/>
  <c r="W205" i="45"/>
  <c r="M206" i="45"/>
  <c r="U206" i="45" s="1"/>
  <c r="X205" i="45"/>
  <c r="Q206" i="45"/>
  <c r="AC267" i="44"/>
  <c r="S268" i="44"/>
  <c r="W268" i="44" s="1"/>
  <c r="V268" i="44"/>
  <c r="X268" i="44"/>
  <c r="Z205" i="45" l="1"/>
  <c r="P206" i="45"/>
  <c r="S206" i="45"/>
  <c r="P269" i="44"/>
  <c r="X269" i="44" s="1"/>
  <c r="AB268" i="44"/>
  <c r="T269" i="44"/>
  <c r="Z268" i="44"/>
  <c r="AA268" i="44"/>
  <c r="U268" i="44"/>
  <c r="T206" i="45" l="1"/>
  <c r="R206" i="45"/>
  <c r="AC268" i="44"/>
  <c r="S269" i="44"/>
  <c r="V269" i="44"/>
  <c r="W206" i="45" l="1"/>
  <c r="Q207" i="45"/>
  <c r="M207" i="45"/>
  <c r="U207" i="45" s="1"/>
  <c r="X206" i="45"/>
  <c r="Y206" i="45"/>
  <c r="W269" i="44"/>
  <c r="U269" i="44"/>
  <c r="P207" i="45" l="1"/>
  <c r="S207" i="45"/>
  <c r="Z206" i="45"/>
  <c r="AB269" i="44"/>
  <c r="P270" i="44"/>
  <c r="AA269" i="44"/>
  <c r="Z269" i="44"/>
  <c r="T270" i="44"/>
  <c r="AG23" i="45"/>
  <c r="AG24" i="45"/>
  <c r="AG25" i="45"/>
  <c r="AG26" i="45"/>
  <c r="AG27" i="45"/>
  <c r="AG28" i="45"/>
  <c r="AG29" i="45"/>
  <c r="AG30" i="45"/>
  <c r="AG31" i="45"/>
  <c r="AG32" i="45"/>
  <c r="AG33" i="45"/>
  <c r="AG34" i="45"/>
  <c r="P100" i="22" l="1"/>
  <c r="S100" i="22"/>
  <c r="O100" i="22"/>
  <c r="AC269" i="44"/>
  <c r="R100" i="22"/>
  <c r="Q100" i="22"/>
  <c r="T207" i="45"/>
  <c r="R207" i="45"/>
  <c r="X270" i="44"/>
  <c r="S270" i="44"/>
  <c r="V270" i="44"/>
  <c r="AF23" i="45"/>
  <c r="AF24" i="45"/>
  <c r="AF25" i="45"/>
  <c r="AF26" i="45"/>
  <c r="AF27" i="45"/>
  <c r="AF28" i="45"/>
  <c r="AL28" i="45" s="1"/>
  <c r="AF29" i="45"/>
  <c r="AL29" i="45" s="1"/>
  <c r="AF30" i="45"/>
  <c r="AL30" i="45" s="1"/>
  <c r="AF31" i="45"/>
  <c r="AL31" i="45" s="1"/>
  <c r="AF32" i="45"/>
  <c r="AL32" i="45" s="1"/>
  <c r="AF33" i="45"/>
  <c r="AL33" i="45" s="1"/>
  <c r="AF34" i="45"/>
  <c r="AL34" i="45" s="1"/>
  <c r="P99" i="22" l="1"/>
  <c r="S99" i="22"/>
  <c r="O99" i="22"/>
  <c r="R99" i="22"/>
  <c r="Q99" i="22"/>
  <c r="X207" i="45"/>
  <c r="Q208" i="45"/>
  <c r="M208" i="45"/>
  <c r="U208" i="45" s="1"/>
  <c r="Y207" i="45"/>
  <c r="W207" i="45"/>
  <c r="U270" i="44"/>
  <c r="W270" i="44"/>
  <c r="AL24" i="45"/>
  <c r="AL27" i="45"/>
  <c r="AL26" i="45"/>
  <c r="AL25" i="45"/>
  <c r="AL23" i="45"/>
  <c r="AH23" i="45"/>
  <c r="AH24" i="45"/>
  <c r="AH25" i="45"/>
  <c r="AH26" i="45"/>
  <c r="AH27" i="45"/>
  <c r="AH28" i="45"/>
  <c r="AH29" i="45"/>
  <c r="AH30" i="45"/>
  <c r="AH31" i="45"/>
  <c r="AH32" i="45"/>
  <c r="AH33" i="45"/>
  <c r="AH34" i="45"/>
  <c r="P208" i="45" l="1"/>
  <c r="S208" i="45"/>
  <c r="Z207" i="45"/>
  <c r="AA270" i="44"/>
  <c r="P271" i="44"/>
  <c r="AG41" i="44" s="1"/>
  <c r="Z270" i="44"/>
  <c r="AB270" i="44"/>
  <c r="T271" i="44"/>
  <c r="AE23" i="45"/>
  <c r="AE24" i="45"/>
  <c r="AE25" i="45"/>
  <c r="AE26" i="45"/>
  <c r="AE27" i="45"/>
  <c r="AE28" i="45"/>
  <c r="AE29" i="45"/>
  <c r="AE30" i="45"/>
  <c r="AE31" i="45"/>
  <c r="AE32" i="45"/>
  <c r="AE33" i="45"/>
  <c r="AE34" i="45"/>
  <c r="P98" i="22" l="1"/>
  <c r="Q98" i="22"/>
  <c r="S98" i="22"/>
  <c r="O98" i="22"/>
  <c r="R98" i="22"/>
  <c r="T208" i="45"/>
  <c r="R208" i="45"/>
  <c r="AC270" i="44"/>
  <c r="X271" i="44"/>
  <c r="S271" i="44"/>
  <c r="V271" i="44"/>
  <c r="M209" i="45" l="1"/>
  <c r="U209" i="45" s="1"/>
  <c r="X208" i="45"/>
  <c r="Y208" i="45"/>
  <c r="Q209" i="45"/>
  <c r="W208" i="45"/>
  <c r="U271" i="44"/>
  <c r="W271" i="44"/>
  <c r="P209" i="45" l="1"/>
  <c r="S209" i="45"/>
  <c r="Z208" i="45"/>
  <c r="AB271" i="44"/>
  <c r="T272" i="44"/>
  <c r="P272" i="44"/>
  <c r="Z271" i="44"/>
  <c r="AA271" i="44"/>
  <c r="T209" i="45" l="1"/>
  <c r="R209" i="45"/>
  <c r="AC271" i="44"/>
  <c r="X272" i="44"/>
  <c r="S272" i="44"/>
  <c r="V272" i="44"/>
  <c r="Y209" i="45" l="1"/>
  <c r="M210" i="45"/>
  <c r="U210" i="45" s="1"/>
  <c r="W209" i="45"/>
  <c r="X209" i="45"/>
  <c r="Q210" i="45"/>
  <c r="U272" i="44"/>
  <c r="W272" i="44"/>
  <c r="Z209" i="45" l="1"/>
  <c r="P210" i="45"/>
  <c r="S210" i="45"/>
  <c r="P273" i="44"/>
  <c r="AB272" i="44"/>
  <c r="Z272" i="44"/>
  <c r="AA272" i="44"/>
  <c r="T273" i="44"/>
  <c r="T210" i="45" l="1"/>
  <c r="R210" i="45"/>
  <c r="AC272" i="44"/>
  <c r="S273" i="44"/>
  <c r="W273" i="44" s="1"/>
  <c r="V273" i="44"/>
  <c r="X273" i="44"/>
  <c r="Q211" i="45" l="1"/>
  <c r="W210" i="45"/>
  <c r="M211" i="45"/>
  <c r="U211" i="45" s="1"/>
  <c r="Y210" i="45"/>
  <c r="X210" i="45"/>
  <c r="T274" i="44"/>
  <c r="Z273" i="44"/>
  <c r="AB273" i="44"/>
  <c r="AA273" i="44"/>
  <c r="P274" i="44"/>
  <c r="U273" i="44"/>
  <c r="Z210" i="45" l="1"/>
  <c r="P211" i="45"/>
  <c r="S211" i="45"/>
  <c r="AG35" i="45"/>
  <c r="AC273" i="44"/>
  <c r="X274" i="44"/>
  <c r="S274" i="44"/>
  <c r="V274" i="44"/>
  <c r="T211" i="45" l="1"/>
  <c r="R211" i="45"/>
  <c r="AF35" i="45"/>
  <c r="AL35" i="45" s="1"/>
  <c r="U274" i="44"/>
  <c r="W274" i="44"/>
  <c r="Y211" i="45" l="1"/>
  <c r="W211" i="45"/>
  <c r="M212" i="45"/>
  <c r="Q212" i="45"/>
  <c r="X211" i="45"/>
  <c r="AA274" i="44"/>
  <c r="T275" i="44"/>
  <c r="Z274" i="44"/>
  <c r="P275" i="44"/>
  <c r="AB274" i="44"/>
  <c r="AI33" i="44"/>
  <c r="AI34" i="44"/>
  <c r="AO34" i="44" s="1"/>
  <c r="AI35" i="44"/>
  <c r="AO35" i="44" s="1"/>
  <c r="AI36" i="44"/>
  <c r="AO36" i="44" s="1"/>
  <c r="AI37" i="44"/>
  <c r="AO37" i="44" s="1"/>
  <c r="AI38" i="44"/>
  <c r="AO38" i="44" s="1"/>
  <c r="AI39" i="44"/>
  <c r="AO39" i="44" s="1"/>
  <c r="AI40" i="44"/>
  <c r="AO40" i="44" s="1"/>
  <c r="P212" i="45" l="1"/>
  <c r="T212" i="45" s="1"/>
  <c r="S212" i="45"/>
  <c r="U212" i="45"/>
  <c r="AD36" i="45"/>
  <c r="Z211" i="45"/>
  <c r="AH35" i="45"/>
  <c r="AC274" i="44"/>
  <c r="X275" i="44"/>
  <c r="S275" i="44"/>
  <c r="V275" i="44"/>
  <c r="AO33" i="44"/>
  <c r="M213" i="45" l="1"/>
  <c r="W212" i="45"/>
  <c r="Y212" i="45"/>
  <c r="Q213" i="45"/>
  <c r="X212" i="45"/>
  <c r="R212" i="45"/>
  <c r="U275" i="44"/>
  <c r="W275" i="44"/>
  <c r="AK33" i="44"/>
  <c r="AK34" i="44"/>
  <c r="AK35" i="44"/>
  <c r="AK36" i="44"/>
  <c r="AK37" i="44"/>
  <c r="AK38" i="44"/>
  <c r="AK39" i="44"/>
  <c r="AK40" i="44"/>
  <c r="AJ33" i="44"/>
  <c r="AJ34" i="44"/>
  <c r="AJ35" i="44"/>
  <c r="AJ36" i="44"/>
  <c r="AJ37" i="44"/>
  <c r="AJ38" i="44"/>
  <c r="AJ39" i="44"/>
  <c r="AJ40" i="44"/>
  <c r="P213" i="45" l="1"/>
  <c r="S213" i="45"/>
  <c r="Z212" i="45"/>
  <c r="U213" i="45"/>
  <c r="T213" i="45"/>
  <c r="AA275" i="44"/>
  <c r="Z275" i="44"/>
  <c r="P276" i="44"/>
  <c r="T276" i="44"/>
  <c r="AB275" i="44"/>
  <c r="AH33" i="44"/>
  <c r="AH34" i="44"/>
  <c r="AH35" i="44"/>
  <c r="AH36" i="44"/>
  <c r="AH37" i="44"/>
  <c r="AH38" i="44"/>
  <c r="AH39" i="44"/>
  <c r="AH40" i="44"/>
  <c r="M214" i="45" l="1"/>
  <c r="U214" i="45" s="1"/>
  <c r="W213" i="45"/>
  <c r="Q214" i="45"/>
  <c r="X213" i="45"/>
  <c r="Y213" i="45"/>
  <c r="R213" i="45"/>
  <c r="S276" i="44"/>
  <c r="W276" i="44" s="1"/>
  <c r="V276" i="44"/>
  <c r="X276" i="44"/>
  <c r="AC275" i="44"/>
  <c r="P214" i="45" l="1"/>
  <c r="S214" i="45"/>
  <c r="Z213" i="45"/>
  <c r="AA276" i="44"/>
  <c r="P277" i="44"/>
  <c r="T277" i="44"/>
  <c r="Z276" i="44"/>
  <c r="AB276" i="44"/>
  <c r="U276" i="44"/>
  <c r="T214" i="45" l="1"/>
  <c r="R214" i="45"/>
  <c r="AC276" i="44"/>
  <c r="S277" i="44"/>
  <c r="W277" i="44" s="1"/>
  <c r="V277" i="44"/>
  <c r="X277" i="44"/>
  <c r="Q215" i="45" l="1"/>
  <c r="W214" i="45"/>
  <c r="X214" i="45"/>
  <c r="Y214" i="45"/>
  <c r="M215" i="45"/>
  <c r="U215" i="45" s="1"/>
  <c r="Z277" i="44"/>
  <c r="AA277" i="44"/>
  <c r="P278" i="44"/>
  <c r="T278" i="44"/>
  <c r="AB277" i="44"/>
  <c r="U277" i="44"/>
  <c r="Z214" i="45" l="1"/>
  <c r="P215" i="45"/>
  <c r="S215" i="45"/>
  <c r="S278" i="44"/>
  <c r="V278" i="44"/>
  <c r="X278" i="44"/>
  <c r="AC277" i="44"/>
  <c r="W278" i="44" l="1"/>
  <c r="Z278" i="44" s="1"/>
  <c r="T215" i="45"/>
  <c r="R215" i="45"/>
  <c r="P279" i="44"/>
  <c r="AA278" i="44"/>
  <c r="T279" i="44"/>
  <c r="U278" i="44"/>
  <c r="AB278" i="44" l="1"/>
  <c r="AC278" i="44" s="1"/>
  <c r="Q216" i="45"/>
  <c r="W215" i="45"/>
  <c r="M216" i="45"/>
  <c r="U216" i="45" s="1"/>
  <c r="X215" i="45"/>
  <c r="Y215" i="45"/>
  <c r="X279" i="44"/>
  <c r="S279" i="44"/>
  <c r="V279" i="44"/>
  <c r="Z215" i="45" l="1"/>
  <c r="P216" i="45"/>
  <c r="S216" i="45"/>
  <c r="W279" i="44"/>
  <c r="U279" i="44"/>
  <c r="T216" i="45" l="1"/>
  <c r="R216" i="45"/>
  <c r="Z279" i="44"/>
  <c r="AB279" i="44"/>
  <c r="T280" i="44"/>
  <c r="P280" i="44"/>
  <c r="AA279" i="44"/>
  <c r="Q217" i="45" l="1"/>
  <c r="X216" i="45"/>
  <c r="M217" i="45"/>
  <c r="U217" i="45" s="1"/>
  <c r="W216" i="45"/>
  <c r="Y216" i="45"/>
  <c r="X280" i="44"/>
  <c r="S280" i="44"/>
  <c r="V280" i="44"/>
  <c r="AC279" i="44"/>
  <c r="Z216" i="45" l="1"/>
  <c r="P217" i="45"/>
  <c r="S217" i="45"/>
  <c r="U280" i="44"/>
  <c r="W280" i="44"/>
  <c r="T217" i="45" l="1"/>
  <c r="R217" i="45"/>
  <c r="AA280" i="44"/>
  <c r="P281" i="44"/>
  <c r="X281" i="44" s="1"/>
  <c r="Z280" i="44"/>
  <c r="AB280" i="44"/>
  <c r="T281" i="44"/>
  <c r="M218" i="45" l="1"/>
  <c r="U218" i="45" s="1"/>
  <c r="W217" i="45"/>
  <c r="X217" i="45"/>
  <c r="Q218" i="45"/>
  <c r="Y217" i="45"/>
  <c r="AC280" i="44"/>
  <c r="S281" i="44"/>
  <c r="V281" i="44"/>
  <c r="P218" i="45" l="1"/>
  <c r="S218" i="45"/>
  <c r="Z217" i="45"/>
  <c r="W281" i="44"/>
  <c r="U281" i="44"/>
  <c r="T218" i="45" l="1"/>
  <c r="R218" i="45"/>
  <c r="AB281" i="44"/>
  <c r="Z281" i="44"/>
  <c r="P282" i="44"/>
  <c r="T282" i="44"/>
  <c r="AA281" i="44"/>
  <c r="W218" i="45" l="1"/>
  <c r="Y218" i="45"/>
  <c r="Q219" i="45"/>
  <c r="X218" i="45"/>
  <c r="M219" i="45"/>
  <c r="U219" i="45" s="1"/>
  <c r="S282" i="44"/>
  <c r="W282" i="44" s="1"/>
  <c r="V282" i="44"/>
  <c r="X282" i="44"/>
  <c r="AC281" i="44"/>
  <c r="Z218" i="45" l="1"/>
  <c r="P219" i="45"/>
  <c r="S219" i="45"/>
  <c r="T283" i="44"/>
  <c r="P283" i="44"/>
  <c r="AA282" i="44"/>
  <c r="AB282" i="44"/>
  <c r="Z282" i="44"/>
  <c r="U282" i="44"/>
  <c r="X283" i="44" l="1"/>
  <c r="AG42" i="44"/>
  <c r="T219" i="45"/>
  <c r="R219" i="45"/>
  <c r="AC282" i="44"/>
  <c r="S283" i="44"/>
  <c r="V283" i="44"/>
  <c r="W219" i="45" l="1"/>
  <c r="Y219" i="45"/>
  <c r="M220" i="45"/>
  <c r="U220" i="45" s="1"/>
  <c r="Q220" i="45"/>
  <c r="X219" i="45"/>
  <c r="W283" i="44"/>
  <c r="U283" i="44"/>
  <c r="P220" i="45" l="1"/>
  <c r="S220" i="45"/>
  <c r="Z219" i="45"/>
  <c r="T284" i="44"/>
  <c r="Z283" i="44"/>
  <c r="AB283" i="44"/>
  <c r="AA283" i="44"/>
  <c r="P284" i="44"/>
  <c r="T220" i="45" l="1"/>
  <c r="R220" i="45"/>
  <c r="AC283" i="44"/>
  <c r="X284" i="44"/>
  <c r="S284" i="44"/>
  <c r="V284" i="44"/>
  <c r="M221" i="45" l="1"/>
  <c r="U221" i="45" s="1"/>
  <c r="X220" i="45"/>
  <c r="Y220" i="45"/>
  <c r="W220" i="45"/>
  <c r="Q221" i="45"/>
  <c r="U284" i="44"/>
  <c r="W284" i="44"/>
  <c r="Z220" i="45" l="1"/>
  <c r="P221" i="45"/>
  <c r="S221" i="45"/>
  <c r="AB284" i="44"/>
  <c r="P285" i="44"/>
  <c r="T285" i="44"/>
  <c r="AA284" i="44"/>
  <c r="Z284" i="44"/>
  <c r="T221" i="45" l="1"/>
  <c r="R221" i="45"/>
  <c r="S285" i="44"/>
  <c r="W285" i="44" s="1"/>
  <c r="V285" i="44"/>
  <c r="X285" i="44"/>
  <c r="AC284" i="44"/>
  <c r="AJ21" i="44"/>
  <c r="M222" i="45" l="1"/>
  <c r="U222" i="45" s="1"/>
  <c r="Q222" i="45"/>
  <c r="X221" i="45"/>
  <c r="Y221" i="45"/>
  <c r="W221" i="45"/>
  <c r="P286" i="44"/>
  <c r="AB285" i="44"/>
  <c r="AA285" i="44"/>
  <c r="T286" i="44"/>
  <c r="Z285" i="44"/>
  <c r="U285" i="44"/>
  <c r="AH23" i="44"/>
  <c r="M90" i="22" l="1"/>
  <c r="L90" i="22"/>
  <c r="P222" i="45"/>
  <c r="S222" i="45"/>
  <c r="Z221" i="45"/>
  <c r="S286" i="44"/>
  <c r="W286" i="44" s="1"/>
  <c r="V286" i="44"/>
  <c r="AC285" i="44"/>
  <c r="X286" i="44"/>
  <c r="T222" i="45" l="1"/>
  <c r="R222" i="45"/>
  <c r="Z286" i="44"/>
  <c r="AB286" i="44"/>
  <c r="AA286" i="44"/>
  <c r="P287" i="44"/>
  <c r="T287" i="44"/>
  <c r="U286" i="44"/>
  <c r="Q223" i="45" l="1"/>
  <c r="X222" i="45"/>
  <c r="Y222" i="45"/>
  <c r="M223" i="45"/>
  <c r="U223" i="45" s="1"/>
  <c r="W222" i="45"/>
  <c r="AC286" i="44"/>
  <c r="X287" i="44"/>
  <c r="S287" i="44"/>
  <c r="V287" i="44"/>
  <c r="Z222" i="45" l="1"/>
  <c r="P223" i="45"/>
  <c r="S223" i="45"/>
  <c r="U287" i="44"/>
  <c r="W287" i="44"/>
  <c r="T223" i="45" l="1"/>
  <c r="R223" i="45"/>
  <c r="Z287" i="44"/>
  <c r="T288" i="44"/>
  <c r="AA287" i="44"/>
  <c r="AB287" i="44"/>
  <c r="P288" i="44"/>
  <c r="W223" i="45" l="1"/>
  <c r="Y223" i="45"/>
  <c r="M224" i="45"/>
  <c r="Q224" i="45"/>
  <c r="X223" i="45"/>
  <c r="S288" i="44"/>
  <c r="W288" i="44" s="1"/>
  <c r="V288" i="44"/>
  <c r="X288" i="44"/>
  <c r="AC287" i="44"/>
  <c r="P224" i="45" l="1"/>
  <c r="T224" i="45" s="1"/>
  <c r="S224" i="45"/>
  <c r="AD37" i="45"/>
  <c r="U224" i="45"/>
  <c r="Z223" i="45"/>
  <c r="Z288" i="44"/>
  <c r="AA288" i="44"/>
  <c r="T289" i="44"/>
  <c r="AB288" i="44"/>
  <c r="P289" i="44"/>
  <c r="X289" i="44" s="1"/>
  <c r="U288" i="44"/>
  <c r="AK22" i="44"/>
  <c r="Q225" i="45" l="1"/>
  <c r="Y224" i="45"/>
  <c r="X224" i="45"/>
  <c r="M225" i="45"/>
  <c r="W224" i="45"/>
  <c r="R224" i="45"/>
  <c r="S289" i="44"/>
  <c r="V289" i="44"/>
  <c r="AC288" i="44"/>
  <c r="AN22" i="44"/>
  <c r="U225" i="45" l="1"/>
  <c r="Z224" i="45"/>
  <c r="P225" i="45"/>
  <c r="T225" i="45" s="1"/>
  <c r="S225" i="45"/>
  <c r="W289" i="44"/>
  <c r="U289" i="44"/>
  <c r="W225" i="45" l="1"/>
  <c r="X225" i="45"/>
  <c r="Y225" i="45"/>
  <c r="Q226" i="45"/>
  <c r="M226" i="45"/>
  <c r="U226" i="45" s="1"/>
  <c r="R225" i="45"/>
  <c r="P290" i="44"/>
  <c r="AA289" i="44"/>
  <c r="AB289" i="44"/>
  <c r="T290" i="44"/>
  <c r="Z289" i="44"/>
  <c r="P226" i="45" l="1"/>
  <c r="S226" i="45"/>
  <c r="Z225" i="45"/>
  <c r="AC289" i="44"/>
  <c r="S290" i="44"/>
  <c r="W290" i="44" s="1"/>
  <c r="V290" i="44"/>
  <c r="X290" i="44"/>
  <c r="T226" i="45" l="1"/>
  <c r="R226" i="45"/>
  <c r="AA290" i="44"/>
  <c r="AB290" i="44"/>
  <c r="Z290" i="44"/>
  <c r="P291" i="44"/>
  <c r="T291" i="44"/>
  <c r="U290" i="44"/>
  <c r="AC290" i="44" l="1"/>
  <c r="M227" i="45"/>
  <c r="U227" i="45" s="1"/>
  <c r="W226" i="45"/>
  <c r="X226" i="45"/>
  <c r="Q227" i="45"/>
  <c r="Y226" i="45"/>
  <c r="X291" i="44"/>
  <c r="S291" i="44"/>
  <c r="V291" i="44"/>
  <c r="Z226" i="45" l="1"/>
  <c r="P227" i="45"/>
  <c r="S227" i="45"/>
  <c r="U291" i="44"/>
  <c r="W291" i="44"/>
  <c r="T227" i="45" l="1"/>
  <c r="R227" i="45"/>
  <c r="AA291" i="44"/>
  <c r="Z291" i="44"/>
  <c r="AB291" i="44"/>
  <c r="P292" i="44"/>
  <c r="T292" i="44"/>
  <c r="X227" i="45" l="1"/>
  <c r="Q228" i="45"/>
  <c r="Y227" i="45"/>
  <c r="M228" i="45"/>
  <c r="U228" i="45" s="1"/>
  <c r="W227" i="45"/>
  <c r="AC291" i="44"/>
  <c r="X292" i="44"/>
  <c r="S292" i="44"/>
  <c r="V292" i="44"/>
  <c r="P228" i="45" l="1"/>
  <c r="S228" i="45"/>
  <c r="Z227" i="45"/>
  <c r="U292" i="44"/>
  <c r="W292" i="44"/>
  <c r="T228" i="45" l="1"/>
  <c r="R228" i="45"/>
  <c r="Z292" i="44"/>
  <c r="AB292" i="44"/>
  <c r="P293" i="44"/>
  <c r="T293" i="44"/>
  <c r="AA292" i="44"/>
  <c r="Q229" i="45" l="1"/>
  <c r="W228" i="45"/>
  <c r="X228" i="45"/>
  <c r="Y228" i="45"/>
  <c r="M229" i="45"/>
  <c r="U229" i="45" s="1"/>
  <c r="S293" i="44"/>
  <c r="W293" i="44" s="1"/>
  <c r="V293" i="44"/>
  <c r="X293" i="44"/>
  <c r="AC292" i="44"/>
  <c r="Z228" i="45" l="1"/>
  <c r="P229" i="45"/>
  <c r="S229" i="45"/>
  <c r="AA293" i="44"/>
  <c r="P294" i="44"/>
  <c r="Z293" i="44"/>
  <c r="T294" i="44"/>
  <c r="AB293" i="44"/>
  <c r="U293" i="44"/>
  <c r="T229" i="45" l="1"/>
  <c r="R229" i="45"/>
  <c r="S294" i="44"/>
  <c r="W294" i="44" s="1"/>
  <c r="V294" i="44"/>
  <c r="AC293" i="44"/>
  <c r="X294" i="44"/>
  <c r="M230" i="45" l="1"/>
  <c r="U230" i="45" s="1"/>
  <c r="Y229" i="45"/>
  <c r="Q230" i="45"/>
  <c r="X229" i="45"/>
  <c r="W229" i="45"/>
  <c r="P295" i="44"/>
  <c r="Z294" i="44"/>
  <c r="T295" i="44"/>
  <c r="AA294" i="44"/>
  <c r="AB294" i="44"/>
  <c r="U294" i="44"/>
  <c r="X295" i="44" l="1"/>
  <c r="AG43" i="44"/>
  <c r="Z229" i="45"/>
  <c r="P230" i="45"/>
  <c r="S230" i="45"/>
  <c r="AC294" i="44"/>
  <c r="S295" i="44"/>
  <c r="V295" i="44"/>
  <c r="T230" i="45" l="1"/>
  <c r="R230" i="45"/>
  <c r="W295" i="44"/>
  <c r="U295" i="44"/>
  <c r="W230" i="45" l="1"/>
  <c r="X230" i="45"/>
  <c r="Q231" i="45"/>
  <c r="Y230" i="45"/>
  <c r="M231" i="45"/>
  <c r="U231" i="45" s="1"/>
  <c r="P296" i="44"/>
  <c r="AA295" i="44"/>
  <c r="Z295" i="44"/>
  <c r="AB295" i="44"/>
  <c r="T296" i="44"/>
  <c r="P231" i="45" l="1"/>
  <c r="S231" i="45"/>
  <c r="Z230" i="45"/>
  <c r="AC295" i="44"/>
  <c r="S296" i="44"/>
  <c r="W296" i="44" s="1"/>
  <c r="V296" i="44"/>
  <c r="X296" i="44"/>
  <c r="T231" i="45" l="1"/>
  <c r="R231" i="45"/>
  <c r="P297" i="44"/>
  <c r="T297" i="44"/>
  <c r="Z296" i="44"/>
  <c r="AA296" i="44"/>
  <c r="AB296" i="44"/>
  <c r="U296" i="44"/>
  <c r="Q232" i="45" l="1"/>
  <c r="Y231" i="45"/>
  <c r="X231" i="45"/>
  <c r="M232" i="45"/>
  <c r="U232" i="45" s="1"/>
  <c r="W231" i="45"/>
  <c r="AC296" i="44"/>
  <c r="S297" i="44"/>
  <c r="W297" i="44" s="1"/>
  <c r="V297" i="44"/>
  <c r="X297" i="44"/>
  <c r="Z231" i="45" l="1"/>
  <c r="P232" i="45"/>
  <c r="S232" i="45"/>
  <c r="AA297" i="44"/>
  <c r="Z297" i="44"/>
  <c r="AB297" i="44"/>
  <c r="T298" i="44"/>
  <c r="P298" i="44"/>
  <c r="U297" i="44"/>
  <c r="AC297" i="44" l="1"/>
  <c r="T232" i="45"/>
  <c r="R232" i="45"/>
  <c r="S298" i="44"/>
  <c r="W298" i="44" s="1"/>
  <c r="V298" i="44"/>
  <c r="X298" i="44"/>
  <c r="Q233" i="45" l="1"/>
  <c r="M233" i="45"/>
  <c r="U233" i="45" s="1"/>
  <c r="Y232" i="45"/>
  <c r="X232" i="45"/>
  <c r="W232" i="45"/>
  <c r="AA298" i="44"/>
  <c r="T299" i="44"/>
  <c r="Z298" i="44"/>
  <c r="P299" i="44"/>
  <c r="AB298" i="44"/>
  <c r="U298" i="44"/>
  <c r="Z232" i="45" l="1"/>
  <c r="P233" i="45"/>
  <c r="S233" i="45"/>
  <c r="X299" i="44"/>
  <c r="AC298" i="44"/>
  <c r="S299" i="44"/>
  <c r="V299" i="44"/>
  <c r="T233" i="45" l="1"/>
  <c r="R233" i="45"/>
  <c r="U299" i="44"/>
  <c r="W299" i="44"/>
  <c r="X233" i="45" l="1"/>
  <c r="Y233" i="45"/>
  <c r="M234" i="45"/>
  <c r="U234" i="45" s="1"/>
  <c r="W233" i="45"/>
  <c r="Q234" i="45"/>
  <c r="T300" i="44"/>
  <c r="AB299" i="44"/>
  <c r="Z299" i="44"/>
  <c r="AA299" i="44"/>
  <c r="P300" i="44"/>
  <c r="X300" i="44" s="1"/>
  <c r="Z233" i="45" l="1"/>
  <c r="P234" i="45"/>
  <c r="S234" i="45"/>
  <c r="AC299" i="44"/>
  <c r="S300" i="44"/>
  <c r="V300" i="44"/>
  <c r="T234" i="45" l="1"/>
  <c r="R234" i="45"/>
  <c r="W300" i="44"/>
  <c r="U300" i="44"/>
  <c r="Q235" i="45" l="1"/>
  <c r="X234" i="45"/>
  <c r="Y234" i="45"/>
  <c r="M235" i="45"/>
  <c r="U235" i="45" s="1"/>
  <c r="W234" i="45"/>
  <c r="AB300" i="44"/>
  <c r="AA300" i="44"/>
  <c r="Z300" i="44"/>
  <c r="T301" i="44"/>
  <c r="P301" i="44"/>
  <c r="Z234" i="45" l="1"/>
  <c r="AC300" i="44"/>
  <c r="P235" i="45"/>
  <c r="S235" i="45"/>
  <c r="S301" i="44"/>
  <c r="W301" i="44" s="1"/>
  <c r="V301" i="44"/>
  <c r="X301" i="44"/>
  <c r="T235" i="45" l="1"/>
  <c r="R235" i="45"/>
  <c r="AA301" i="44"/>
  <c r="P302" i="44"/>
  <c r="AB301" i="44"/>
  <c r="T302" i="44"/>
  <c r="Z301" i="44"/>
  <c r="U301" i="44"/>
  <c r="X235" i="45" l="1"/>
  <c r="Q236" i="45"/>
  <c r="Y235" i="45"/>
  <c r="M236" i="45"/>
  <c r="W235" i="45"/>
  <c r="S302" i="44"/>
  <c r="W302" i="44" s="1"/>
  <c r="V302" i="44"/>
  <c r="X302" i="44"/>
  <c r="AC301" i="44"/>
  <c r="Z235" i="45" l="1"/>
  <c r="AD38" i="45"/>
  <c r="U236" i="45"/>
  <c r="P236" i="45"/>
  <c r="T236" i="45" s="1"/>
  <c r="S236" i="45"/>
  <c r="AA302" i="44"/>
  <c r="P303" i="44"/>
  <c r="AB302" i="44"/>
  <c r="T303" i="44"/>
  <c r="Z302" i="44"/>
  <c r="U302" i="44"/>
  <c r="R236" i="45" l="1"/>
  <c r="M237" i="45"/>
  <c r="Q237" i="45"/>
  <c r="Y236" i="45"/>
  <c r="X236" i="45"/>
  <c r="W236" i="45"/>
  <c r="X303" i="44"/>
  <c r="AC302" i="44"/>
  <c r="S303" i="44"/>
  <c r="V303" i="44"/>
  <c r="Z236" i="45" l="1"/>
  <c r="U237" i="45"/>
  <c r="P237" i="45"/>
  <c r="T237" i="45" s="1"/>
  <c r="S237" i="45"/>
  <c r="W303" i="44"/>
  <c r="U303" i="44"/>
  <c r="W237" i="45" l="1"/>
  <c r="X237" i="45"/>
  <c r="Q238" i="45"/>
  <c r="M238" i="45"/>
  <c r="U238" i="45" s="1"/>
  <c r="Y237" i="45"/>
  <c r="R237" i="45"/>
  <c r="AB303" i="44"/>
  <c r="T304" i="44"/>
  <c r="Z303" i="44"/>
  <c r="P304" i="44"/>
  <c r="X304" i="44" s="1"/>
  <c r="AA303" i="44"/>
  <c r="P238" i="45" l="1"/>
  <c r="S238" i="45"/>
  <c r="Z237" i="45"/>
  <c r="AC303" i="44"/>
  <c r="S304" i="44"/>
  <c r="V304" i="44"/>
  <c r="T238" i="45" l="1"/>
  <c r="R238" i="45"/>
  <c r="W304" i="44"/>
  <c r="U304" i="44"/>
  <c r="X238" i="45" l="1"/>
  <c r="Q239" i="45"/>
  <c r="M239" i="45"/>
  <c r="U239" i="45" s="1"/>
  <c r="W238" i="45"/>
  <c r="Y238" i="45"/>
  <c r="Z304" i="44"/>
  <c r="AA304" i="44"/>
  <c r="T305" i="44"/>
  <c r="AB304" i="44"/>
  <c r="P305" i="44"/>
  <c r="Z238" i="45" l="1"/>
  <c r="P239" i="45"/>
  <c r="S239" i="45"/>
  <c r="AC304" i="44"/>
  <c r="S305" i="44"/>
  <c r="W305" i="44" s="1"/>
  <c r="V305" i="44"/>
  <c r="X305" i="44"/>
  <c r="T239" i="45" l="1"/>
  <c r="R239" i="45"/>
  <c r="T306" i="44"/>
  <c r="Z305" i="44"/>
  <c r="AB305" i="44"/>
  <c r="P306" i="44"/>
  <c r="X306" i="44" s="1"/>
  <c r="AA305" i="44"/>
  <c r="U305" i="44"/>
  <c r="W239" i="45" l="1"/>
  <c r="Q240" i="45"/>
  <c r="X239" i="45"/>
  <c r="M240" i="45"/>
  <c r="U240" i="45" s="1"/>
  <c r="Y239" i="45"/>
  <c r="AC305" i="44"/>
  <c r="S306" i="44"/>
  <c r="V306" i="44"/>
  <c r="P240" i="45" l="1"/>
  <c r="S240" i="45"/>
  <c r="Z239" i="45"/>
  <c r="W306" i="44"/>
  <c r="U306" i="44"/>
  <c r="T240" i="45" l="1"/>
  <c r="R240" i="45"/>
  <c r="P307" i="44"/>
  <c r="AG44" i="44" s="1"/>
  <c r="AB306" i="44"/>
  <c r="T307" i="44"/>
  <c r="AA306" i="44"/>
  <c r="Z306" i="44"/>
  <c r="M241" i="45" l="1"/>
  <c r="U241" i="45" s="1"/>
  <c r="Y240" i="45"/>
  <c r="Q241" i="45"/>
  <c r="W240" i="45"/>
  <c r="X240" i="45"/>
  <c r="AC306" i="44"/>
  <c r="S307" i="44"/>
  <c r="U307" i="44" s="1"/>
  <c r="V307" i="44"/>
  <c r="X307" i="44"/>
  <c r="Z240" i="45" l="1"/>
  <c r="P241" i="45"/>
  <c r="S241" i="45"/>
  <c r="W307" i="44"/>
  <c r="AA307" i="44" s="1"/>
  <c r="P308" i="44" l="1"/>
  <c r="X308" i="44" s="1"/>
  <c r="T308" i="44"/>
  <c r="S308" i="44" s="1"/>
  <c r="Z307" i="44"/>
  <c r="AB307" i="44"/>
  <c r="T241" i="45"/>
  <c r="R241" i="45"/>
  <c r="V308" i="44"/>
  <c r="AC307" i="44" l="1"/>
  <c r="X241" i="45"/>
  <c r="W241" i="45"/>
  <c r="Q242" i="45"/>
  <c r="Y241" i="45"/>
  <c r="M242" i="45"/>
  <c r="U242" i="45" s="1"/>
  <c r="U308" i="44"/>
  <c r="W308" i="44"/>
  <c r="Z241" i="45" l="1"/>
  <c r="P242" i="45"/>
  <c r="S242" i="45"/>
  <c r="AB308" i="44"/>
  <c r="Z308" i="44"/>
  <c r="P309" i="44"/>
  <c r="T309" i="44"/>
  <c r="AA308" i="44"/>
  <c r="T242" i="45" l="1"/>
  <c r="R242" i="45"/>
  <c r="S309" i="44"/>
  <c r="W309" i="44" s="1"/>
  <c r="V309" i="44"/>
  <c r="X309" i="44"/>
  <c r="AC308" i="44"/>
  <c r="W242" i="45" l="1"/>
  <c r="M243" i="45"/>
  <c r="U243" i="45" s="1"/>
  <c r="X242" i="45"/>
  <c r="Y242" i="45"/>
  <c r="Q243" i="45"/>
  <c r="T310" i="44"/>
  <c r="Z309" i="44"/>
  <c r="AA309" i="44"/>
  <c r="P310" i="44"/>
  <c r="X310" i="44" s="1"/>
  <c r="AB309" i="44"/>
  <c r="U309" i="44"/>
  <c r="P243" i="45" l="1"/>
  <c r="S243" i="45"/>
  <c r="Z242" i="45"/>
  <c r="AC309" i="44"/>
  <c r="S310" i="44"/>
  <c r="V310" i="44"/>
  <c r="T243" i="45" l="1"/>
  <c r="R243" i="45"/>
  <c r="W310" i="44"/>
  <c r="U310" i="44"/>
  <c r="X243" i="45" l="1"/>
  <c r="W243" i="45"/>
  <c r="Y243" i="45"/>
  <c r="Q244" i="45"/>
  <c r="M244" i="45"/>
  <c r="U244" i="45" s="1"/>
  <c r="P311" i="44"/>
  <c r="X311" i="44" s="1"/>
  <c r="AA310" i="44"/>
  <c r="T311" i="44"/>
  <c r="AB310" i="44"/>
  <c r="Z310" i="44"/>
  <c r="P244" i="45" l="1"/>
  <c r="S244" i="45"/>
  <c r="Z243" i="45"/>
  <c r="AC310" i="44"/>
  <c r="S311" i="44"/>
  <c r="V311" i="44"/>
  <c r="T244" i="45" l="1"/>
  <c r="R244" i="45"/>
  <c r="W311" i="44"/>
  <c r="U311" i="44"/>
  <c r="M245" i="45" l="1"/>
  <c r="U245" i="45" s="1"/>
  <c r="Q245" i="45"/>
  <c r="Y244" i="45"/>
  <c r="W244" i="45"/>
  <c r="X244" i="45"/>
  <c r="Z311" i="44"/>
  <c r="P312" i="44"/>
  <c r="X312" i="44" s="1"/>
  <c r="T312" i="44"/>
  <c r="AB311" i="44"/>
  <c r="AA311" i="44"/>
  <c r="Z244" i="45" l="1"/>
  <c r="P245" i="45"/>
  <c r="S245" i="45"/>
  <c r="S312" i="44"/>
  <c r="V312" i="44"/>
  <c r="AC311" i="44"/>
  <c r="T245" i="45" l="1"/>
  <c r="R245" i="45"/>
  <c r="W312" i="44"/>
  <c r="U312" i="44"/>
  <c r="Q246" i="45" l="1"/>
  <c r="W245" i="45"/>
  <c r="Y245" i="45"/>
  <c r="M246" i="45"/>
  <c r="U246" i="45" s="1"/>
  <c r="X245" i="45"/>
  <c r="AB312" i="44"/>
  <c r="T313" i="44"/>
  <c r="P313" i="44"/>
  <c r="AA312" i="44"/>
  <c r="Z312" i="44"/>
  <c r="Z245" i="45" l="1"/>
  <c r="P246" i="45"/>
  <c r="S246" i="45"/>
  <c r="AC312" i="44"/>
  <c r="X313" i="44"/>
  <c r="S313" i="44"/>
  <c r="V313" i="44"/>
  <c r="T246" i="45" l="1"/>
  <c r="R246" i="45"/>
  <c r="U313" i="44"/>
  <c r="W313" i="44"/>
  <c r="M247" i="45" l="1"/>
  <c r="U247" i="45" s="1"/>
  <c r="X246" i="45"/>
  <c r="Y246" i="45"/>
  <c r="Q247" i="45"/>
  <c r="W246" i="45"/>
  <c r="AB313" i="44"/>
  <c r="AA313" i="44"/>
  <c r="T314" i="44"/>
  <c r="Z313" i="44"/>
  <c r="P314" i="44"/>
  <c r="Z246" i="45" l="1"/>
  <c r="P247" i="45"/>
  <c r="S247" i="45"/>
  <c r="AC313" i="44"/>
  <c r="S314" i="44"/>
  <c r="W314" i="44" s="1"/>
  <c r="V314" i="44"/>
  <c r="X314" i="44"/>
  <c r="T247" i="45" l="1"/>
  <c r="R247" i="45"/>
  <c r="AB314" i="44"/>
  <c r="AA314" i="44"/>
  <c r="T315" i="44"/>
  <c r="P315" i="44"/>
  <c r="Z314" i="44"/>
  <c r="U314" i="44"/>
  <c r="M248" i="45" l="1"/>
  <c r="Y247" i="45"/>
  <c r="Q248" i="45"/>
  <c r="X247" i="45"/>
  <c r="W247" i="45"/>
  <c r="X315" i="44"/>
  <c r="S315" i="44"/>
  <c r="U315" i="44" s="1"/>
  <c r="V315" i="44"/>
  <c r="AC314" i="44"/>
  <c r="P248" i="45" l="1"/>
  <c r="T248" i="45" s="1"/>
  <c r="S248" i="45"/>
  <c r="Z247" i="45"/>
  <c r="U248" i="45"/>
  <c r="AD39" i="45"/>
  <c r="W315" i="44"/>
  <c r="Y248" i="45" l="1"/>
  <c r="M249" i="45"/>
  <c r="W248" i="45"/>
  <c r="X248" i="45"/>
  <c r="Q249" i="45"/>
  <c r="R248" i="45"/>
  <c r="AA315" i="44"/>
  <c r="Z315" i="44"/>
  <c r="T316" i="44"/>
  <c r="P316" i="44"/>
  <c r="AB315" i="44"/>
  <c r="Z248" i="45" l="1"/>
  <c r="U249" i="45"/>
  <c r="S249" i="45"/>
  <c r="P249" i="45"/>
  <c r="T249" i="45" s="1"/>
  <c r="X316" i="44"/>
  <c r="S316" i="44"/>
  <c r="U316" i="44" s="1"/>
  <c r="V316" i="44"/>
  <c r="AC315" i="44"/>
  <c r="Y249" i="45" l="1"/>
  <c r="X249" i="45"/>
  <c r="M250" i="45"/>
  <c r="Q250" i="45"/>
  <c r="W249" i="45"/>
  <c r="R249" i="45"/>
  <c r="W316" i="44"/>
  <c r="U250" i="45" l="1"/>
  <c r="P250" i="45"/>
  <c r="S250" i="45"/>
  <c r="Z249" i="45"/>
  <c r="AB316" i="44"/>
  <c r="Z316" i="44"/>
  <c r="P317" i="44"/>
  <c r="X317" i="44" s="1"/>
  <c r="T317" i="44"/>
  <c r="AA316" i="44"/>
  <c r="R250" i="45" l="1"/>
  <c r="T250" i="45"/>
  <c r="AC316" i="44"/>
  <c r="S317" i="44"/>
  <c r="V317" i="44"/>
  <c r="Y250" i="45" l="1"/>
  <c r="W250" i="45"/>
  <c r="X250" i="45"/>
  <c r="Q251" i="45"/>
  <c r="M251" i="45"/>
  <c r="W317" i="44"/>
  <c r="U317" i="44"/>
  <c r="P251" i="45" l="1"/>
  <c r="S251" i="45"/>
  <c r="Z250" i="45"/>
  <c r="U251" i="45"/>
  <c r="T251" i="45"/>
  <c r="P318" i="44"/>
  <c r="AB317" i="44"/>
  <c r="AA317" i="44"/>
  <c r="T318" i="44"/>
  <c r="Z317" i="44"/>
  <c r="W251" i="45" l="1"/>
  <c r="Q252" i="45"/>
  <c r="X251" i="45"/>
  <c r="Y251" i="45"/>
  <c r="M252" i="45"/>
  <c r="R251" i="45"/>
  <c r="S318" i="44"/>
  <c r="U318" i="44" s="1"/>
  <c r="V318" i="44"/>
  <c r="AC317" i="44"/>
  <c r="X318" i="44"/>
  <c r="W318" i="44" l="1"/>
  <c r="P319" i="44" s="1"/>
  <c r="AG45" i="44" s="1"/>
  <c r="P252" i="45"/>
  <c r="T252" i="45" s="1"/>
  <c r="S252" i="45"/>
  <c r="U252" i="45"/>
  <c r="Z251" i="45"/>
  <c r="T319" i="44" l="1"/>
  <c r="AA318" i="44"/>
  <c r="AB318" i="44"/>
  <c r="Z318" i="44"/>
  <c r="Y252" i="45"/>
  <c r="Q253" i="45"/>
  <c r="W252" i="45"/>
  <c r="X252" i="45"/>
  <c r="M253" i="45"/>
  <c r="R252" i="45"/>
  <c r="X319" i="44"/>
  <c r="S319" i="44"/>
  <c r="U319" i="44" s="1"/>
  <c r="V319" i="44"/>
  <c r="AC318" i="44" l="1"/>
  <c r="Z252" i="45"/>
  <c r="P253" i="45"/>
  <c r="T253" i="45" s="1"/>
  <c r="S253" i="45"/>
  <c r="U253" i="45"/>
  <c r="W319" i="44"/>
  <c r="Q254" i="45" l="1"/>
  <c r="X253" i="45"/>
  <c r="M254" i="45"/>
  <c r="W253" i="45"/>
  <c r="Y253" i="45"/>
  <c r="R253" i="45"/>
  <c r="T320" i="44"/>
  <c r="AA319" i="44"/>
  <c r="Z319" i="44"/>
  <c r="P320" i="44"/>
  <c r="X320" i="44" s="1"/>
  <c r="AB319" i="44"/>
  <c r="Z253" i="45" l="1"/>
  <c r="U254" i="45"/>
  <c r="P254" i="45"/>
  <c r="S254" i="45"/>
  <c r="AC319" i="44"/>
  <c r="S320" i="44"/>
  <c r="V320" i="44"/>
  <c r="R254" i="45" l="1"/>
  <c r="T254" i="45"/>
  <c r="W320" i="44"/>
  <c r="U320" i="44"/>
  <c r="Y254" i="45" l="1"/>
  <c r="X254" i="45"/>
  <c r="M255" i="45"/>
  <c r="Q255" i="45"/>
  <c r="W254" i="45"/>
  <c r="T321" i="44"/>
  <c r="Z320" i="44"/>
  <c r="AB320" i="44"/>
  <c r="AA320" i="44"/>
  <c r="P321" i="44"/>
  <c r="Z254" i="45" l="1"/>
  <c r="P255" i="45"/>
  <c r="T255" i="45" s="1"/>
  <c r="S255" i="45"/>
  <c r="U255" i="45"/>
  <c r="AC320" i="44"/>
  <c r="X321" i="44"/>
  <c r="S321" i="44"/>
  <c r="U321" i="44" s="1"/>
  <c r="V321" i="44"/>
  <c r="Q256" i="45" l="1"/>
  <c r="W255" i="45"/>
  <c r="M256" i="45"/>
  <c r="X255" i="45"/>
  <c r="Y255" i="45"/>
  <c r="R255" i="45"/>
  <c r="W321" i="44"/>
  <c r="U256" i="45" l="1"/>
  <c r="Z255" i="45"/>
  <c r="P256" i="45"/>
  <c r="S256" i="45"/>
  <c r="T322" i="44"/>
  <c r="P322" i="44"/>
  <c r="AA321" i="44"/>
  <c r="Z321" i="44"/>
  <c r="AB321" i="44"/>
  <c r="R256" i="45" l="1"/>
  <c r="T256" i="45"/>
  <c r="AC321" i="44"/>
  <c r="X322" i="44"/>
  <c r="S322" i="44"/>
  <c r="U322" i="44" s="1"/>
  <c r="V322" i="44"/>
  <c r="Q257" i="45" l="1"/>
  <c r="W256" i="45"/>
  <c r="M257" i="45"/>
  <c r="Y256" i="45"/>
  <c r="X256" i="45"/>
  <c r="W322" i="44"/>
  <c r="Z256" i="45" l="1"/>
  <c r="U257" i="45"/>
  <c r="P257" i="45"/>
  <c r="S257" i="45"/>
  <c r="AB322" i="44"/>
  <c r="AA322" i="44"/>
  <c r="T323" i="44"/>
  <c r="P323" i="44"/>
  <c r="X323" i="44" s="1"/>
  <c r="Z322" i="44"/>
  <c r="R257" i="45" l="1"/>
  <c r="T257" i="45"/>
  <c r="AC322" i="44"/>
  <c r="S323" i="44"/>
  <c r="V323" i="44"/>
  <c r="Q258" i="45" l="1"/>
  <c r="W257" i="45"/>
  <c r="Y257" i="45"/>
  <c r="M258" i="45"/>
  <c r="X257" i="45"/>
  <c r="W323" i="44"/>
  <c r="U323" i="44"/>
  <c r="U258" i="45" l="1"/>
  <c r="Z257" i="45"/>
  <c r="P258" i="45"/>
  <c r="S258" i="45"/>
  <c r="P324" i="44"/>
  <c r="AB323" i="44"/>
  <c r="Z323" i="44"/>
  <c r="AA323" i="44"/>
  <c r="T324" i="44"/>
  <c r="R258" i="45" l="1"/>
  <c r="T258" i="45"/>
  <c r="AC323" i="44"/>
  <c r="S324" i="44"/>
  <c r="W324" i="44" s="1"/>
  <c r="V324" i="44"/>
  <c r="X324" i="44"/>
  <c r="M259" i="45" l="1"/>
  <c r="X258" i="45"/>
  <c r="Q259" i="45"/>
  <c r="Y258" i="45"/>
  <c r="W258" i="45"/>
  <c r="T325" i="44"/>
  <c r="AA324" i="44"/>
  <c r="Z324" i="44"/>
  <c r="P325" i="44"/>
  <c r="AB324" i="44"/>
  <c r="U324" i="44"/>
  <c r="P259" i="45" l="1"/>
  <c r="S259" i="45"/>
  <c r="Z258" i="45"/>
  <c r="U259" i="45"/>
  <c r="T259" i="45"/>
  <c r="AC324" i="44"/>
  <c r="X325" i="44"/>
  <c r="S325" i="44"/>
  <c r="V325" i="44"/>
  <c r="W259" i="45" l="1"/>
  <c r="X259" i="45"/>
  <c r="M260" i="45"/>
  <c r="Q260" i="45"/>
  <c r="Y259" i="45"/>
  <c r="R259" i="45"/>
  <c r="U325" i="44"/>
  <c r="W325" i="44"/>
  <c r="P260" i="45" l="1"/>
  <c r="S260" i="45"/>
  <c r="U260" i="45"/>
  <c r="AD40" i="45"/>
  <c r="T260" i="45"/>
  <c r="Z259" i="45"/>
  <c r="AA325" i="44"/>
  <c r="P326" i="44"/>
  <c r="AB325" i="44"/>
  <c r="T326" i="44"/>
  <c r="Z325" i="44"/>
  <c r="AG20" i="45"/>
  <c r="G100" i="22" s="1"/>
  <c r="AG21" i="45"/>
  <c r="AG22" i="45"/>
  <c r="N100" i="22" s="1"/>
  <c r="M100" i="22" l="1"/>
  <c r="H100" i="22"/>
  <c r="L100" i="22"/>
  <c r="I100" i="22"/>
  <c r="Y260" i="45"/>
  <c r="X260" i="45"/>
  <c r="M261" i="45"/>
  <c r="W260" i="45"/>
  <c r="Q261" i="45"/>
  <c r="R260" i="45"/>
  <c r="S326" i="44"/>
  <c r="V326" i="44"/>
  <c r="X326" i="44"/>
  <c r="AC325" i="44"/>
  <c r="AJ22" i="45"/>
  <c r="AJ23" i="45"/>
  <c r="AJ24" i="45"/>
  <c r="AJ25" i="45"/>
  <c r="AJ26" i="45"/>
  <c r="AJ27" i="45"/>
  <c r="AJ28" i="45"/>
  <c r="AJ29" i="45"/>
  <c r="AJ30" i="45"/>
  <c r="AJ31" i="45"/>
  <c r="AJ32" i="45"/>
  <c r="AJ33" i="45"/>
  <c r="AJ34" i="45"/>
  <c r="AJ35" i="45"/>
  <c r="AJ20" i="45"/>
  <c r="AJ21" i="45"/>
  <c r="AF20" i="45"/>
  <c r="G99" i="22" s="1"/>
  <c r="AF21" i="45"/>
  <c r="AF22" i="45"/>
  <c r="N99" i="22" s="1"/>
  <c r="Z260" i="45" l="1"/>
  <c r="M99" i="22"/>
  <c r="H99" i="22"/>
  <c r="L99" i="22"/>
  <c r="I99" i="22"/>
  <c r="P261" i="45"/>
  <c r="T261" i="45" s="1"/>
  <c r="S261" i="45"/>
  <c r="U261" i="45"/>
  <c r="W326" i="44"/>
  <c r="U326" i="44"/>
  <c r="AI22" i="45"/>
  <c r="AI23" i="45"/>
  <c r="AI24" i="45"/>
  <c r="AI25" i="45"/>
  <c r="AI26" i="45"/>
  <c r="AI27" i="45"/>
  <c r="AI28" i="45"/>
  <c r="AI29" i="45"/>
  <c r="AI30" i="45"/>
  <c r="AI31" i="45"/>
  <c r="AI32" i="45"/>
  <c r="AI33" i="45"/>
  <c r="AI34" i="45"/>
  <c r="AI35" i="45"/>
  <c r="AI20" i="45"/>
  <c r="AI21" i="45"/>
  <c r="AL22" i="45"/>
  <c r="AL21" i="45"/>
  <c r="AL20" i="45"/>
  <c r="Y261" i="45" l="1"/>
  <c r="W261" i="45"/>
  <c r="M262" i="45"/>
  <c r="Q262" i="45"/>
  <c r="X261" i="45"/>
  <c r="R261" i="45"/>
  <c r="AA326" i="44"/>
  <c r="AB326" i="44"/>
  <c r="P327" i="44"/>
  <c r="T327" i="44"/>
  <c r="Z326" i="44"/>
  <c r="AH20" i="45"/>
  <c r="AH21" i="45"/>
  <c r="AH22" i="45"/>
  <c r="P262" i="45" l="1"/>
  <c r="T262" i="45" s="1"/>
  <c r="S262" i="45"/>
  <c r="U262" i="45"/>
  <c r="Z261" i="45"/>
  <c r="X327" i="44"/>
  <c r="S327" i="44"/>
  <c r="V327" i="44"/>
  <c r="AC326" i="44"/>
  <c r="AE20" i="45"/>
  <c r="G98" i="22" s="1"/>
  <c r="AE21" i="45"/>
  <c r="AE22" i="45"/>
  <c r="N98" i="22" s="1"/>
  <c r="AE39" i="45"/>
  <c r="AK21" i="45"/>
  <c r="AK22" i="45"/>
  <c r="AK20" i="45"/>
  <c r="AK29" i="45"/>
  <c r="AK27" i="45"/>
  <c r="AK33" i="45"/>
  <c r="AK24" i="45"/>
  <c r="AK25" i="45"/>
  <c r="AK23" i="45"/>
  <c r="AK34" i="45"/>
  <c r="AK35" i="45"/>
  <c r="AK30" i="45"/>
  <c r="AK28" i="45"/>
  <c r="AK26" i="45"/>
  <c r="AK31" i="45"/>
  <c r="AK32" i="45"/>
  <c r="H98" i="22" l="1"/>
  <c r="M98" i="22"/>
  <c r="L98" i="22"/>
  <c r="I98" i="22"/>
  <c r="X262" i="45"/>
  <c r="W262" i="45"/>
  <c r="Y262" i="45"/>
  <c r="Q263" i="45"/>
  <c r="M263" i="45"/>
  <c r="R262" i="45"/>
  <c r="W327" i="44"/>
  <c r="U327" i="44"/>
  <c r="U263" i="45" l="1"/>
  <c r="P263" i="45"/>
  <c r="S263" i="45"/>
  <c r="Z262" i="45"/>
  <c r="P328" i="44"/>
  <c r="AA327" i="44"/>
  <c r="Z327" i="44"/>
  <c r="AB327" i="44"/>
  <c r="T328" i="44"/>
  <c r="R263" i="45" l="1"/>
  <c r="T263" i="45"/>
  <c r="AC327" i="44"/>
  <c r="S328" i="44"/>
  <c r="W328" i="44" s="1"/>
  <c r="V328" i="44"/>
  <c r="X328" i="44"/>
  <c r="Y263" i="45" l="1"/>
  <c r="X263" i="45"/>
  <c r="Q264" i="45"/>
  <c r="M264" i="45"/>
  <c r="W263" i="45"/>
  <c r="AA328" i="44"/>
  <c r="Z328" i="44"/>
  <c r="AB328" i="44"/>
  <c r="T329" i="44"/>
  <c r="P329" i="44"/>
  <c r="U328" i="44"/>
  <c r="U264" i="45" l="1"/>
  <c r="P264" i="45"/>
  <c r="S264" i="45"/>
  <c r="Z263" i="45"/>
  <c r="S329" i="44"/>
  <c r="W329" i="44" s="1"/>
  <c r="V329" i="44"/>
  <c r="AC328" i="44"/>
  <c r="X329" i="44"/>
  <c r="R264" i="45" l="1"/>
  <c r="T264" i="45"/>
  <c r="Z329" i="44"/>
  <c r="P330" i="44"/>
  <c r="AA329" i="44"/>
  <c r="AB329" i="44"/>
  <c r="T330" i="44"/>
  <c r="U329" i="44"/>
  <c r="M265" i="45" l="1"/>
  <c r="X264" i="45"/>
  <c r="W264" i="45"/>
  <c r="Y264" i="45"/>
  <c r="Q265" i="45"/>
  <c r="X330" i="44"/>
  <c r="S330" i="44"/>
  <c r="V330" i="44"/>
  <c r="AC329" i="44"/>
  <c r="Z264" i="45" l="1"/>
  <c r="P265" i="45"/>
  <c r="T265" i="45" s="1"/>
  <c r="S265" i="45"/>
  <c r="U265" i="45"/>
  <c r="U330" i="44"/>
  <c r="W330" i="44"/>
  <c r="Y265" i="45" l="1"/>
  <c r="Q266" i="45"/>
  <c r="X265" i="45"/>
  <c r="W265" i="45"/>
  <c r="M266" i="45"/>
  <c r="R265" i="45"/>
  <c r="AB330" i="44"/>
  <c r="AA330" i="44"/>
  <c r="T331" i="44"/>
  <c r="Z330" i="44"/>
  <c r="P331" i="44"/>
  <c r="AG46" i="44" s="1"/>
  <c r="Z265" i="45" l="1"/>
  <c r="P266" i="45"/>
  <c r="T266" i="45" s="1"/>
  <c r="S266" i="45"/>
  <c r="U266" i="45"/>
  <c r="AC330" i="44"/>
  <c r="S331" i="44"/>
  <c r="W331" i="44" s="1"/>
  <c r="V331" i="44"/>
  <c r="X331" i="44"/>
  <c r="X266" i="45" l="1"/>
  <c r="Q267" i="45"/>
  <c r="Y266" i="45"/>
  <c r="M267" i="45"/>
  <c r="W266" i="45"/>
  <c r="R266" i="45"/>
  <c r="Z331" i="44"/>
  <c r="T332" i="44"/>
  <c r="AB331" i="44"/>
  <c r="P332" i="44"/>
  <c r="AA331" i="44"/>
  <c r="U331" i="44"/>
  <c r="U267" i="45" l="1"/>
  <c r="P267" i="45"/>
  <c r="S267" i="45"/>
  <c r="Z266" i="45"/>
  <c r="X332" i="44"/>
  <c r="S332" i="44"/>
  <c r="V332" i="44"/>
  <c r="AC331" i="44"/>
  <c r="R267" i="45" l="1"/>
  <c r="T267" i="45"/>
  <c r="U332" i="44"/>
  <c r="W332" i="44"/>
  <c r="M268" i="45" l="1"/>
  <c r="Y267" i="45"/>
  <c r="Q268" i="45"/>
  <c r="X267" i="45"/>
  <c r="W267" i="45"/>
  <c r="AA332" i="44"/>
  <c r="Z332" i="44"/>
  <c r="T333" i="44"/>
  <c r="AB332" i="44"/>
  <c r="P333" i="44"/>
  <c r="Z267" i="45" l="1"/>
  <c r="P268" i="45"/>
  <c r="T268" i="45" s="1"/>
  <c r="S268" i="45"/>
  <c r="U268" i="45"/>
  <c r="S333" i="44"/>
  <c r="W333" i="44" s="1"/>
  <c r="V333" i="44"/>
  <c r="AC332" i="44"/>
  <c r="X333" i="44"/>
  <c r="Q269" i="45" l="1"/>
  <c r="X268" i="45"/>
  <c r="Y268" i="45"/>
  <c r="W268" i="45"/>
  <c r="M269" i="45"/>
  <c r="R268" i="45"/>
  <c r="Z333" i="44"/>
  <c r="T334" i="44"/>
  <c r="P334" i="44"/>
  <c r="AA333" i="44"/>
  <c r="AB333" i="44"/>
  <c r="U333" i="44"/>
  <c r="Z268" i="45" l="1"/>
  <c r="U269" i="45"/>
  <c r="P269" i="45"/>
  <c r="S269" i="45"/>
  <c r="X334" i="44"/>
  <c r="S334" i="44"/>
  <c r="V334" i="44"/>
  <c r="AC333" i="44"/>
  <c r="R269" i="45" l="1"/>
  <c r="T269" i="45"/>
  <c r="U334" i="44"/>
  <c r="W334" i="44"/>
  <c r="Q270" i="45" l="1"/>
  <c r="W269" i="45"/>
  <c r="M270" i="45"/>
  <c r="Y269" i="45"/>
  <c r="X269" i="45"/>
  <c r="AA334" i="44"/>
  <c r="AB334" i="44"/>
  <c r="T335" i="44"/>
  <c r="Z334" i="44"/>
  <c r="P335" i="44"/>
  <c r="U270" i="45" l="1"/>
  <c r="Z269" i="45"/>
  <c r="AC334" i="44"/>
  <c r="P270" i="45"/>
  <c r="S270" i="45"/>
  <c r="S335" i="44"/>
  <c r="W335" i="44" s="1"/>
  <c r="V335" i="44"/>
  <c r="X335" i="44"/>
  <c r="R270" i="45" l="1"/>
  <c r="T270" i="45"/>
  <c r="T336" i="44"/>
  <c r="AA335" i="44"/>
  <c r="P336" i="44"/>
  <c r="Z335" i="44"/>
  <c r="AB335" i="44"/>
  <c r="U335" i="44"/>
  <c r="AC335" i="44" l="1"/>
  <c r="M271" i="45"/>
  <c r="U271" i="45" s="1"/>
  <c r="Y270" i="45"/>
  <c r="Q271" i="45"/>
  <c r="X270" i="45"/>
  <c r="W270" i="45"/>
  <c r="X336" i="44"/>
  <c r="S336" i="44"/>
  <c r="V336" i="44"/>
  <c r="P271" i="45" l="1"/>
  <c r="S271" i="45"/>
  <c r="Z270" i="45"/>
  <c r="U336" i="44"/>
  <c r="W336" i="44"/>
  <c r="T271" i="45" l="1"/>
  <c r="R271" i="45"/>
  <c r="AA336" i="44"/>
  <c r="AB336" i="44"/>
  <c r="T337" i="44"/>
  <c r="Z336" i="44"/>
  <c r="P337" i="44"/>
  <c r="AC336" i="44" l="1"/>
  <c r="Y271" i="45"/>
  <c r="Q272" i="45"/>
  <c r="W271" i="45"/>
  <c r="M272" i="45"/>
  <c r="X271" i="45"/>
  <c r="S337" i="44"/>
  <c r="W337" i="44" s="1"/>
  <c r="V337" i="44"/>
  <c r="X337" i="44"/>
  <c r="AD41" i="45" l="1"/>
  <c r="U272" i="45"/>
  <c r="Z271" i="45"/>
  <c r="P272" i="45"/>
  <c r="S272" i="45"/>
  <c r="Z337" i="44"/>
  <c r="AA337" i="44"/>
  <c r="AB337" i="44"/>
  <c r="P338" i="44"/>
  <c r="T338" i="44"/>
  <c r="U337" i="44"/>
  <c r="R272" i="45" l="1"/>
  <c r="T272" i="45"/>
  <c r="X338" i="44"/>
  <c r="S338" i="44"/>
  <c r="U338" i="44" s="1"/>
  <c r="V338" i="44"/>
  <c r="AC337" i="44"/>
  <c r="Q273" i="45" l="1"/>
  <c r="X272" i="45"/>
  <c r="W272" i="45"/>
  <c r="M273" i="45"/>
  <c r="Y272" i="45"/>
  <c r="W338" i="44"/>
  <c r="U273" i="45" l="1"/>
  <c r="Z272" i="45"/>
  <c r="P273" i="45"/>
  <c r="S273" i="45"/>
  <c r="T339" i="44"/>
  <c r="P339" i="44"/>
  <c r="Z338" i="44"/>
  <c r="AA338" i="44"/>
  <c r="AB338" i="44"/>
  <c r="R273" i="45" l="1"/>
  <c r="T273" i="45"/>
  <c r="AC338" i="44"/>
  <c r="X339" i="44"/>
  <c r="S339" i="44"/>
  <c r="V339" i="44"/>
  <c r="M274" i="45" l="1"/>
  <c r="W273" i="45"/>
  <c r="Q274" i="45"/>
  <c r="X273" i="45"/>
  <c r="Y273" i="45"/>
  <c r="U339" i="44"/>
  <c r="W339" i="44"/>
  <c r="I81" i="25"/>
  <c r="H81" i="25"/>
  <c r="P274" i="45" l="1"/>
  <c r="S274" i="45"/>
  <c r="Z273" i="45"/>
  <c r="U274" i="45"/>
  <c r="T274" i="45"/>
  <c r="AB339" i="44"/>
  <c r="AA339" i="44"/>
  <c r="T340" i="44"/>
  <c r="P340" i="44"/>
  <c r="Z339" i="44"/>
  <c r="AC339" i="44" l="1"/>
  <c r="Q275" i="45"/>
  <c r="X274" i="45"/>
  <c r="Y274" i="45"/>
  <c r="M275" i="45"/>
  <c r="W274" i="45"/>
  <c r="R274" i="45"/>
  <c r="X340" i="44"/>
  <c r="S340" i="44"/>
  <c r="V340" i="44"/>
  <c r="U275" i="45" l="1"/>
  <c r="Z274" i="45"/>
  <c r="P275" i="45"/>
  <c r="T275" i="45" s="1"/>
  <c r="S275" i="45"/>
  <c r="U340" i="44"/>
  <c r="W340" i="44"/>
  <c r="M276" i="45" l="1"/>
  <c r="Q276" i="45"/>
  <c r="W275" i="45"/>
  <c r="Y275" i="45"/>
  <c r="X275" i="45"/>
  <c r="R275" i="45"/>
  <c r="T341" i="44"/>
  <c r="AA340" i="44"/>
  <c r="P341" i="44"/>
  <c r="Z340" i="44"/>
  <c r="AB340" i="44"/>
  <c r="AC340" i="44" l="1"/>
  <c r="Z275" i="45"/>
  <c r="P276" i="45"/>
  <c r="T276" i="45" s="1"/>
  <c r="S276" i="45"/>
  <c r="U276" i="45"/>
  <c r="X341" i="44"/>
  <c r="S341" i="44"/>
  <c r="V341" i="44"/>
  <c r="Y276" i="45" l="1"/>
  <c r="X276" i="45"/>
  <c r="M277" i="45"/>
  <c r="W276" i="45"/>
  <c r="Q277" i="45"/>
  <c r="R276" i="45"/>
  <c r="U341" i="44"/>
  <c r="W341" i="44"/>
  <c r="Z276" i="45" l="1"/>
  <c r="U277" i="45"/>
  <c r="P277" i="45"/>
  <c r="R277" i="45" s="1"/>
  <c r="S277" i="45"/>
  <c r="P342" i="44"/>
  <c r="T342" i="44"/>
  <c r="AA341" i="44"/>
  <c r="Z341" i="44"/>
  <c r="AB341" i="44"/>
  <c r="T277" i="45" l="1"/>
  <c r="AC341" i="44"/>
  <c r="S342" i="44"/>
  <c r="W342" i="44" s="1"/>
  <c r="V342" i="44"/>
  <c r="X342" i="44"/>
  <c r="Q278" i="45" l="1"/>
  <c r="X277" i="45"/>
  <c r="W277" i="45"/>
  <c r="Y277" i="45"/>
  <c r="M278" i="45"/>
  <c r="T343" i="44"/>
  <c r="AB342" i="44"/>
  <c r="AA342" i="44"/>
  <c r="Z342" i="44"/>
  <c r="P343" i="44"/>
  <c r="AG47" i="44" s="1"/>
  <c r="U342" i="44"/>
  <c r="Z277" i="45" l="1"/>
  <c r="AC342" i="44"/>
  <c r="U278" i="45"/>
  <c r="P278" i="45"/>
  <c r="R278" i="45" s="1"/>
  <c r="S278" i="45"/>
  <c r="X343" i="44"/>
  <c r="S343" i="44"/>
  <c r="V343" i="44"/>
  <c r="T278" i="45" l="1"/>
  <c r="U343" i="44"/>
  <c r="W343" i="44"/>
  <c r="W278" i="45" l="1"/>
  <c r="X278" i="45"/>
  <c r="Y278" i="45"/>
  <c r="Q279" i="45"/>
  <c r="M279" i="45"/>
  <c r="P344" i="44"/>
  <c r="AA343" i="44"/>
  <c r="T344" i="44"/>
  <c r="Z343" i="44"/>
  <c r="AB343" i="44"/>
  <c r="U279" i="45" l="1"/>
  <c r="P279" i="45"/>
  <c r="R279" i="45" s="1"/>
  <c r="S279" i="45"/>
  <c r="Z278" i="45"/>
  <c r="AC343" i="44"/>
  <c r="S344" i="44"/>
  <c r="W344" i="44" s="1"/>
  <c r="V344" i="44"/>
  <c r="X344" i="44"/>
  <c r="T279" i="45" l="1"/>
  <c r="T345" i="44"/>
  <c r="AA344" i="44"/>
  <c r="P345" i="44"/>
  <c r="AB344" i="44"/>
  <c r="Z344" i="44"/>
  <c r="U344" i="44"/>
  <c r="Q280" i="45" l="1"/>
  <c r="X279" i="45"/>
  <c r="Y279" i="45"/>
  <c r="M280" i="45"/>
  <c r="W279" i="45"/>
  <c r="AC344" i="44"/>
  <c r="X345" i="44"/>
  <c r="S345" i="44"/>
  <c r="V345" i="44"/>
  <c r="Z279" i="45" l="1"/>
  <c r="U280" i="45"/>
  <c r="P280" i="45"/>
  <c r="R280" i="45" s="1"/>
  <c r="S280" i="45"/>
  <c r="U345" i="44"/>
  <c r="W345" i="44"/>
  <c r="T280" i="45" l="1"/>
  <c r="P346" i="44"/>
  <c r="AB345" i="44"/>
  <c r="Z345" i="44"/>
  <c r="AA345" i="44"/>
  <c r="T346" i="44"/>
  <c r="M281" i="45" l="1"/>
  <c r="W280" i="45"/>
  <c r="Y280" i="45"/>
  <c r="X280" i="45"/>
  <c r="Q281" i="45"/>
  <c r="AC345" i="44"/>
  <c r="S346" i="44"/>
  <c r="W346" i="44" s="1"/>
  <c r="V346" i="44"/>
  <c r="X346" i="44"/>
  <c r="Z280" i="45" l="1"/>
  <c r="P281" i="45"/>
  <c r="R281" i="45" s="1"/>
  <c r="S281" i="45"/>
  <c r="U281" i="45"/>
  <c r="T347" i="44"/>
  <c r="AB346" i="44"/>
  <c r="Z346" i="44"/>
  <c r="AA346" i="44"/>
  <c r="P347" i="44"/>
  <c r="U346" i="44"/>
  <c r="T281" i="45" l="1"/>
  <c r="Y281" i="45" s="1"/>
  <c r="AC346" i="44"/>
  <c r="X347" i="44"/>
  <c r="S347" i="44"/>
  <c r="V347" i="44"/>
  <c r="M282" i="45" l="1"/>
  <c r="U282" i="45" s="1"/>
  <c r="Q282" i="45"/>
  <c r="P282" i="45" s="1"/>
  <c r="R282" i="45" s="1"/>
  <c r="X281" i="45"/>
  <c r="W281" i="45"/>
  <c r="U347" i="44"/>
  <c r="W347" i="44"/>
  <c r="Z281" i="45" l="1"/>
  <c r="S282" i="45"/>
  <c r="T282" i="45"/>
  <c r="AB347" i="44"/>
  <c r="Z347" i="44"/>
  <c r="T348" i="44"/>
  <c r="P348" i="44"/>
  <c r="AA347" i="44"/>
  <c r="X282" i="45" l="1"/>
  <c r="W282" i="45"/>
  <c r="M283" i="45"/>
  <c r="Q283" i="45"/>
  <c r="Y282" i="45"/>
  <c r="X348" i="44"/>
  <c r="S348" i="44"/>
  <c r="V348" i="44"/>
  <c r="AC347" i="44"/>
  <c r="P283" i="45" l="1"/>
  <c r="R283" i="45" s="1"/>
  <c r="S283" i="45"/>
  <c r="U283" i="45"/>
  <c r="Z282" i="45"/>
  <c r="U348" i="44"/>
  <c r="W348" i="44"/>
  <c r="T283" i="45" l="1"/>
  <c r="Q284" i="45" s="1"/>
  <c r="W283" i="45"/>
  <c r="M284" i="45"/>
  <c r="X283" i="45"/>
  <c r="Y283" i="45"/>
  <c r="AB348" i="44"/>
  <c r="Z348" i="44"/>
  <c r="T349" i="44"/>
  <c r="P349" i="44"/>
  <c r="AA348" i="44"/>
  <c r="Z283" i="45" l="1"/>
  <c r="U284" i="45"/>
  <c r="AD42" i="45"/>
  <c r="P284" i="45"/>
  <c r="S284" i="45"/>
  <c r="X349" i="44"/>
  <c r="S349" i="44"/>
  <c r="V349" i="44"/>
  <c r="AC348" i="44"/>
  <c r="R284" i="45" l="1"/>
  <c r="T284" i="45"/>
  <c r="U349" i="44"/>
  <c r="W349" i="44"/>
  <c r="Y284" i="45" l="1"/>
  <c r="M285" i="45"/>
  <c r="X284" i="45"/>
  <c r="Q285" i="45"/>
  <c r="W284" i="45"/>
  <c r="AA349" i="44"/>
  <c r="Z349" i="44"/>
  <c r="T350" i="44"/>
  <c r="P350" i="44"/>
  <c r="AB349" i="44"/>
  <c r="P285" i="45" l="1"/>
  <c r="T285" i="45" s="1"/>
  <c r="S285" i="45"/>
  <c r="U285" i="45"/>
  <c r="Z284" i="45"/>
  <c r="X350" i="44"/>
  <c r="S350" i="44"/>
  <c r="V350" i="44"/>
  <c r="AC349" i="44"/>
  <c r="AJ45" i="44"/>
  <c r="AJ46" i="44"/>
  <c r="X285" i="45" l="1"/>
  <c r="Y285" i="45"/>
  <c r="M286" i="45"/>
  <c r="Q286" i="45"/>
  <c r="W285" i="45"/>
  <c r="R285" i="45"/>
  <c r="U350" i="44"/>
  <c r="W350" i="44"/>
  <c r="AI45" i="44"/>
  <c r="AI46" i="44"/>
  <c r="AO46" i="44" s="1"/>
  <c r="U286" i="45" l="1"/>
  <c r="Z285" i="45"/>
  <c r="P286" i="45"/>
  <c r="T286" i="45" s="1"/>
  <c r="S286" i="45"/>
  <c r="P351" i="44"/>
  <c r="Z350" i="44"/>
  <c r="AA350" i="44"/>
  <c r="T351" i="44"/>
  <c r="AB350" i="44"/>
  <c r="AO45" i="44"/>
  <c r="M287" i="45" l="1"/>
  <c r="W286" i="45"/>
  <c r="Y286" i="45"/>
  <c r="Q287" i="45"/>
  <c r="X286" i="45"/>
  <c r="R286" i="45"/>
  <c r="S351" i="44"/>
  <c r="V351" i="44"/>
  <c r="AC350" i="44"/>
  <c r="X351" i="44"/>
  <c r="W351" i="44" l="1"/>
  <c r="P287" i="45"/>
  <c r="S287" i="45"/>
  <c r="Z286" i="45"/>
  <c r="U287" i="45"/>
  <c r="T287" i="45"/>
  <c r="Z351" i="44"/>
  <c r="AB351" i="44"/>
  <c r="T352" i="44"/>
  <c r="P352" i="44"/>
  <c r="AA351" i="44"/>
  <c r="U351" i="44"/>
  <c r="M129" i="22"/>
  <c r="L16" i="28"/>
  <c r="AH21" i="44"/>
  <c r="AH45" i="44"/>
  <c r="AH46" i="44"/>
  <c r="I90" i="22" l="1"/>
  <c r="M288" i="45"/>
  <c r="X287" i="45"/>
  <c r="Y287" i="45"/>
  <c r="Q288" i="45"/>
  <c r="W287" i="45"/>
  <c r="R287" i="45"/>
  <c r="X352" i="44"/>
  <c r="S352" i="44"/>
  <c r="V352" i="44"/>
  <c r="AC351" i="44"/>
  <c r="AJ24" i="44"/>
  <c r="AJ32" i="44"/>
  <c r="N92" i="22" l="1"/>
  <c r="P288" i="45"/>
  <c r="T288" i="45" s="1"/>
  <c r="S288" i="45"/>
  <c r="Z287" i="45"/>
  <c r="U288" i="45"/>
  <c r="U352" i="44"/>
  <c r="W352" i="44"/>
  <c r="AI24" i="44"/>
  <c r="AI32" i="44"/>
  <c r="N91" i="22" l="1"/>
  <c r="O17" i="14"/>
  <c r="O18" i="14"/>
  <c r="O20" i="14"/>
  <c r="O21" i="14"/>
  <c r="Y288" i="45"/>
  <c r="M289" i="45"/>
  <c r="X288" i="45"/>
  <c r="Q289" i="45"/>
  <c r="W288" i="45"/>
  <c r="R288" i="45"/>
  <c r="Z352" i="44"/>
  <c r="AB352" i="44"/>
  <c r="T353" i="44"/>
  <c r="P353" i="44"/>
  <c r="AA352" i="44"/>
  <c r="AO24" i="44"/>
  <c r="AK32" i="44"/>
  <c r="AO32" i="44"/>
  <c r="P21" i="14" l="1"/>
  <c r="P18" i="14"/>
  <c r="P20" i="14"/>
  <c r="P17" i="14"/>
  <c r="P289" i="45"/>
  <c r="R289" i="45" s="1"/>
  <c r="S289" i="45"/>
  <c r="U289" i="45"/>
  <c r="Z288" i="45"/>
  <c r="X353" i="44"/>
  <c r="S353" i="44"/>
  <c r="V353" i="44"/>
  <c r="AC352" i="44"/>
  <c r="AH32" i="44"/>
  <c r="T289" i="45" l="1"/>
  <c r="X289" i="45" s="1"/>
  <c r="U353" i="44"/>
  <c r="W353" i="44"/>
  <c r="W289" i="45" l="1"/>
  <c r="Y289" i="45"/>
  <c r="M290" i="45"/>
  <c r="U290" i="45" s="1"/>
  <c r="Q290" i="45"/>
  <c r="P290" i="45" s="1"/>
  <c r="R290" i="45" s="1"/>
  <c r="P354" i="44"/>
  <c r="AB353" i="44"/>
  <c r="AA353" i="44"/>
  <c r="T354" i="44"/>
  <c r="Z353" i="44"/>
  <c r="Z289" i="45" l="1"/>
  <c r="S290" i="45"/>
  <c r="T290" i="45"/>
  <c r="S354" i="44"/>
  <c r="W354" i="44" s="1"/>
  <c r="V354" i="44"/>
  <c r="AC353" i="44"/>
  <c r="X354" i="44"/>
  <c r="Q291" i="45" l="1"/>
  <c r="M291" i="45"/>
  <c r="Y290" i="45"/>
  <c r="W290" i="45"/>
  <c r="X290" i="45"/>
  <c r="AB354" i="44"/>
  <c r="P355" i="44"/>
  <c r="T355" i="44"/>
  <c r="Z354" i="44"/>
  <c r="AA354" i="44"/>
  <c r="U354" i="44"/>
  <c r="X355" i="44" l="1"/>
  <c r="AG48" i="44"/>
  <c r="Z290" i="45"/>
  <c r="U291" i="45"/>
  <c r="P291" i="45"/>
  <c r="R291" i="45" s="1"/>
  <c r="S291" i="45"/>
  <c r="AC354" i="44"/>
  <c r="S355" i="44"/>
  <c r="V355" i="44"/>
  <c r="BU110" i="24" l="1"/>
  <c r="O75" i="22" s="1"/>
  <c r="O80" i="22" s="1"/>
  <c r="T291" i="45"/>
  <c r="Y291" i="45" s="1"/>
  <c r="W355" i="44"/>
  <c r="U355" i="44"/>
  <c r="Q292" i="45" l="1"/>
  <c r="M292" i="45"/>
  <c r="U292" i="45" s="1"/>
  <c r="X291" i="45"/>
  <c r="W291" i="45"/>
  <c r="BU115" i="24"/>
  <c r="P292" i="45"/>
  <c r="R292" i="45" s="1"/>
  <c r="S292" i="45"/>
  <c r="P356" i="44"/>
  <c r="AA355" i="44"/>
  <c r="T356" i="44"/>
  <c r="Z355" i="44"/>
  <c r="AB355" i="44"/>
  <c r="Z291" i="45" l="1"/>
  <c r="T292" i="45"/>
  <c r="AC355" i="44"/>
  <c r="S356" i="44"/>
  <c r="W356" i="44" s="1"/>
  <c r="V356" i="44"/>
  <c r="X356" i="44"/>
  <c r="M293" i="45" l="1"/>
  <c r="U293" i="45" s="1"/>
  <c r="Y292" i="45"/>
  <c r="W292" i="45"/>
  <c r="X292" i="45"/>
  <c r="Q293" i="45"/>
  <c r="I80" i="25"/>
  <c r="H80" i="25"/>
  <c r="P357" i="44"/>
  <c r="T357" i="44"/>
  <c r="AB356" i="44"/>
  <c r="Z356" i="44"/>
  <c r="AA356" i="44"/>
  <c r="U356" i="44"/>
  <c r="Z292" i="45" l="1"/>
  <c r="P293" i="45"/>
  <c r="S293" i="45"/>
  <c r="AC356" i="44"/>
  <c r="S357" i="44"/>
  <c r="W357" i="44" s="1"/>
  <c r="V357" i="44"/>
  <c r="X357" i="44"/>
  <c r="T293" i="45" l="1"/>
  <c r="R293" i="45"/>
  <c r="T358" i="44"/>
  <c r="Z357" i="44"/>
  <c r="AB357" i="44"/>
  <c r="AA357" i="44"/>
  <c r="P358" i="44"/>
  <c r="U357" i="44"/>
  <c r="M294" i="45" l="1"/>
  <c r="W293" i="45"/>
  <c r="Q294" i="45"/>
  <c r="X293" i="45"/>
  <c r="Y293" i="45"/>
  <c r="AC357" i="44"/>
  <c r="X358" i="44"/>
  <c r="S358" i="44"/>
  <c r="U358" i="44" s="1"/>
  <c r="V358" i="44"/>
  <c r="Z293" i="45" l="1"/>
  <c r="P294" i="45"/>
  <c r="R294" i="45" s="1"/>
  <c r="S294" i="45"/>
  <c r="U294" i="45"/>
  <c r="W358" i="44"/>
  <c r="T294" i="45" l="1"/>
  <c r="M295" i="45" s="1"/>
  <c r="P359" i="44"/>
  <c r="T359" i="44"/>
  <c r="AA358" i="44"/>
  <c r="Z358" i="44"/>
  <c r="AB358" i="44"/>
  <c r="Q295" i="45" l="1"/>
  <c r="P295" i="45" s="1"/>
  <c r="R295" i="45" s="1"/>
  <c r="X294" i="45"/>
  <c r="W294" i="45"/>
  <c r="Y294" i="45"/>
  <c r="S295" i="45"/>
  <c r="U295" i="45"/>
  <c r="AC358" i="44"/>
  <c r="S359" i="44"/>
  <c r="U359" i="44" s="1"/>
  <c r="V359" i="44"/>
  <c r="X359" i="44"/>
  <c r="T295" i="45" l="1"/>
  <c r="Z294" i="45"/>
  <c r="M296" i="45"/>
  <c r="Q296" i="45"/>
  <c r="Y295" i="45"/>
  <c r="X295" i="45"/>
  <c r="W295" i="45"/>
  <c r="W359" i="44"/>
  <c r="AA359" i="44" s="1"/>
  <c r="AB359" i="44" l="1"/>
  <c r="P360" i="44"/>
  <c r="X360" i="44" s="1"/>
  <c r="T360" i="44"/>
  <c r="S360" i="44" s="1"/>
  <c r="U360" i="44" s="1"/>
  <c r="Z359" i="44"/>
  <c r="Z295" i="45"/>
  <c r="P296" i="45"/>
  <c r="T296" i="45" s="1"/>
  <c r="S296" i="45"/>
  <c r="AD43" i="45"/>
  <c r="U296" i="45"/>
  <c r="V360" i="44" l="1"/>
  <c r="AC359" i="44"/>
  <c r="M297" i="45"/>
  <c r="Y296" i="45"/>
  <c r="W296" i="45"/>
  <c r="Q297" i="45"/>
  <c r="X296" i="45"/>
  <c r="R296" i="45"/>
  <c r="W360" i="44"/>
  <c r="U297" i="45" l="1"/>
  <c r="P297" i="45"/>
  <c r="S297" i="45"/>
  <c r="Z296" i="45"/>
  <c r="AB360" i="44"/>
  <c r="T361" i="44"/>
  <c r="Z360" i="44"/>
  <c r="AA360" i="44"/>
  <c r="P361" i="44"/>
  <c r="R297" i="45" l="1"/>
  <c r="T297" i="45"/>
  <c r="AC360" i="44"/>
  <c r="S361" i="44"/>
  <c r="U361" i="44" s="1"/>
  <c r="V361" i="44"/>
  <c r="X361" i="44"/>
  <c r="Q298" i="45" l="1"/>
  <c r="M298" i="45"/>
  <c r="X297" i="45"/>
  <c r="Y297" i="45"/>
  <c r="W297" i="45"/>
  <c r="W361" i="44"/>
  <c r="T362" i="44" s="1"/>
  <c r="Z361" i="44" l="1"/>
  <c r="AA361" i="44"/>
  <c r="AB361" i="44"/>
  <c r="AC361" i="44" s="1"/>
  <c r="P362" i="44"/>
  <c r="X362" i="44" s="1"/>
  <c r="U298" i="45"/>
  <c r="Z297" i="45"/>
  <c r="P298" i="45"/>
  <c r="T298" i="45" s="1"/>
  <c r="S298" i="45"/>
  <c r="S362" i="44"/>
  <c r="V362" i="44"/>
  <c r="W362" i="44" l="1"/>
  <c r="Q299" i="45"/>
  <c r="M299" i="45"/>
  <c r="Y298" i="45"/>
  <c r="X298" i="45"/>
  <c r="W298" i="45"/>
  <c r="R298" i="45"/>
  <c r="P363" i="44"/>
  <c r="AB362" i="44"/>
  <c r="T363" i="44"/>
  <c r="AA362" i="44"/>
  <c r="Z362" i="44"/>
  <c r="U362" i="44"/>
  <c r="U299" i="45" l="1"/>
  <c r="Z298" i="45"/>
  <c r="P299" i="45"/>
  <c r="T299" i="45" s="1"/>
  <c r="S299" i="45"/>
  <c r="AC362" i="44"/>
  <c r="X363" i="44"/>
  <c r="S363" i="44"/>
  <c r="V363" i="44"/>
  <c r="Y299" i="45" l="1"/>
  <c r="W299" i="45"/>
  <c r="X299" i="45"/>
  <c r="M300" i="45"/>
  <c r="Q300" i="45"/>
  <c r="R299" i="45"/>
  <c r="U363" i="44"/>
  <c r="W363" i="44"/>
  <c r="U300" i="45" l="1"/>
  <c r="Z299" i="45"/>
  <c r="P300" i="45"/>
  <c r="T300" i="45" s="1"/>
  <c r="S300" i="45"/>
  <c r="Z363" i="44"/>
  <c r="P364" i="44"/>
  <c r="AB363" i="44"/>
  <c r="AA363" i="44"/>
  <c r="T364" i="44"/>
  <c r="X300" i="45" l="1"/>
  <c r="Y300" i="45"/>
  <c r="M301" i="45"/>
  <c r="U301" i="45" s="1"/>
  <c r="Q301" i="45"/>
  <c r="W300" i="45"/>
  <c r="R300" i="45"/>
  <c r="X364" i="44"/>
  <c r="S364" i="44"/>
  <c r="V364" i="44"/>
  <c r="AC363" i="44"/>
  <c r="P301" i="45" l="1"/>
  <c r="S301" i="45"/>
  <c r="Z300" i="45"/>
  <c r="U364" i="44"/>
  <c r="W364" i="44"/>
  <c r="T301" i="45" l="1"/>
  <c r="R301" i="45"/>
  <c r="P365" i="44"/>
  <c r="Z364" i="44"/>
  <c r="AA364" i="44"/>
  <c r="T365" i="44"/>
  <c r="AB364" i="44"/>
  <c r="W301" i="45" l="1"/>
  <c r="Y301" i="45"/>
  <c r="Q302" i="45"/>
  <c r="X301" i="45"/>
  <c r="M302" i="45"/>
  <c r="S365" i="44"/>
  <c r="W365" i="44" s="1"/>
  <c r="V365" i="44"/>
  <c r="AC364" i="44"/>
  <c r="X365" i="44"/>
  <c r="U302" i="45" l="1"/>
  <c r="P302" i="45"/>
  <c r="R302" i="45" s="1"/>
  <c r="S302" i="45"/>
  <c r="Z301" i="45"/>
  <c r="P366" i="44"/>
  <c r="T366" i="44"/>
  <c r="AA365" i="44"/>
  <c r="AB365" i="44"/>
  <c r="Z365" i="44"/>
  <c r="U365" i="44"/>
  <c r="T302" i="45" l="1"/>
  <c r="Y302" i="45" s="1"/>
  <c r="S366" i="44"/>
  <c r="W366" i="44" s="1"/>
  <c r="V366" i="44"/>
  <c r="AC365" i="44"/>
  <c r="X366" i="44"/>
  <c r="Q303" i="45" l="1"/>
  <c r="M303" i="45"/>
  <c r="U303" i="45" s="1"/>
  <c r="X302" i="45"/>
  <c r="W302" i="45"/>
  <c r="P303" i="45"/>
  <c r="R303" i="45" s="1"/>
  <c r="S303" i="45"/>
  <c r="AB366" i="44"/>
  <c r="T367" i="44"/>
  <c r="Z366" i="44"/>
  <c r="AA366" i="44"/>
  <c r="P367" i="44"/>
  <c r="AG49" i="44" s="1"/>
  <c r="U366" i="44"/>
  <c r="Z302" i="45" l="1"/>
  <c r="T303" i="45"/>
  <c r="AC366" i="44"/>
  <c r="S367" i="44"/>
  <c r="U367" i="44" s="1"/>
  <c r="V367" i="44"/>
  <c r="X367" i="44"/>
  <c r="Q304" i="45" l="1"/>
  <c r="M304" i="45"/>
  <c r="U304" i="45" s="1"/>
  <c r="X303" i="45"/>
  <c r="W303" i="45"/>
  <c r="Y303" i="45"/>
  <c r="W367" i="44"/>
  <c r="Z303" i="45" l="1"/>
  <c r="P304" i="45"/>
  <c r="S304" i="45"/>
  <c r="P368" i="44"/>
  <c r="AB367" i="44"/>
  <c r="T368" i="44"/>
  <c r="AA367" i="44"/>
  <c r="Z367" i="44"/>
  <c r="T304" i="45" l="1"/>
  <c r="R304" i="45"/>
  <c r="S368" i="44"/>
  <c r="U368" i="44" s="1"/>
  <c r="V368" i="44"/>
  <c r="AC367" i="44"/>
  <c r="X368" i="44"/>
  <c r="W368" i="44" l="1"/>
  <c r="P369" i="44" s="1"/>
  <c r="X369" i="44" s="1"/>
  <c r="Y304" i="45"/>
  <c r="X304" i="45"/>
  <c r="Q305" i="45"/>
  <c r="M305" i="45"/>
  <c r="U305" i="45" s="1"/>
  <c r="W304" i="45"/>
  <c r="AB368" i="44"/>
  <c r="AA368" i="44"/>
  <c r="Z368" i="44" l="1"/>
  <c r="AC368" i="44" s="1"/>
  <c r="T369" i="44"/>
  <c r="Z304" i="45"/>
  <c r="P305" i="45"/>
  <c r="S305" i="45"/>
  <c r="S369" i="44"/>
  <c r="V369" i="44"/>
  <c r="T305" i="45" l="1"/>
  <c r="R305" i="45"/>
  <c r="W369" i="44"/>
  <c r="U369" i="44"/>
  <c r="M306" i="45" l="1"/>
  <c r="Y305" i="45"/>
  <c r="X305" i="45"/>
  <c r="W305" i="45"/>
  <c r="Q306" i="45"/>
  <c r="T370" i="44"/>
  <c r="P370" i="44"/>
  <c r="AA369" i="44"/>
  <c r="AB369" i="44"/>
  <c r="Z369" i="44"/>
  <c r="Z305" i="45" l="1"/>
  <c r="P306" i="45"/>
  <c r="R306" i="45" s="1"/>
  <c r="S306" i="45"/>
  <c r="U306" i="45"/>
  <c r="AC369" i="44"/>
  <c r="X370" i="44"/>
  <c r="S370" i="44"/>
  <c r="U370" i="44" s="1"/>
  <c r="V370" i="44"/>
  <c r="T306" i="45" l="1"/>
  <c r="W370" i="44"/>
  <c r="Y306" i="45" l="1"/>
  <c r="Q307" i="45"/>
  <c r="X306" i="45"/>
  <c r="M307" i="45"/>
  <c r="W306" i="45"/>
  <c r="P371" i="44"/>
  <c r="AA370" i="44"/>
  <c r="AB370" i="44"/>
  <c r="T371" i="44"/>
  <c r="Z370" i="44"/>
  <c r="Z306" i="45" l="1"/>
  <c r="U307" i="45"/>
  <c r="P307" i="45"/>
  <c r="R307" i="45" s="1"/>
  <c r="S307" i="45"/>
  <c r="S371" i="44"/>
  <c r="U371" i="44" s="1"/>
  <c r="V371" i="44"/>
  <c r="AC370" i="44"/>
  <c r="X371" i="44"/>
  <c r="W371" i="44" l="1"/>
  <c r="T372" i="44" s="1"/>
  <c r="T307" i="45"/>
  <c r="AA371" i="44"/>
  <c r="AB371" i="44"/>
  <c r="Z371" i="44"/>
  <c r="P372" i="44" l="1"/>
  <c r="X372" i="44" s="1"/>
  <c r="M308" i="45"/>
  <c r="X307" i="45"/>
  <c r="W307" i="45"/>
  <c r="Q308" i="45"/>
  <c r="Y307" i="45"/>
  <c r="AC371" i="44"/>
  <c r="S372" i="44"/>
  <c r="U372" i="44" s="1"/>
  <c r="V372" i="44"/>
  <c r="P308" i="45" l="1"/>
  <c r="T308" i="45" s="1"/>
  <c r="S308" i="45"/>
  <c r="Z307" i="45"/>
  <c r="U308" i="45"/>
  <c r="AD44" i="45"/>
  <c r="W372" i="44"/>
  <c r="M309" i="45" l="1"/>
  <c r="W308" i="45"/>
  <c r="X308" i="45"/>
  <c r="Y308" i="45"/>
  <c r="Q309" i="45"/>
  <c r="R308" i="45"/>
  <c r="T373" i="44"/>
  <c r="P373" i="44"/>
  <c r="X373" i="44" s="1"/>
  <c r="AB372" i="44"/>
  <c r="AA372" i="44"/>
  <c r="Z372" i="44"/>
  <c r="Z308" i="45" l="1"/>
  <c r="P309" i="45"/>
  <c r="T309" i="45" s="1"/>
  <c r="S309" i="45"/>
  <c r="U309" i="45"/>
  <c r="AC372" i="44"/>
  <c r="S373" i="44"/>
  <c r="V373" i="44"/>
  <c r="Y309" i="45" l="1"/>
  <c r="Q310" i="45"/>
  <c r="X309" i="45"/>
  <c r="M310" i="45"/>
  <c r="W309" i="45"/>
  <c r="R309" i="45"/>
  <c r="W373" i="44"/>
  <c r="U373" i="44"/>
  <c r="U310" i="45" l="1"/>
  <c r="P310" i="45"/>
  <c r="S310" i="45"/>
  <c r="Z309" i="45"/>
  <c r="P374" i="44"/>
  <c r="T374" i="44"/>
  <c r="AB373" i="44"/>
  <c r="AA373" i="44"/>
  <c r="Z373" i="44"/>
  <c r="R310" i="45" l="1"/>
  <c r="T310" i="45"/>
  <c r="AC373" i="44"/>
  <c r="S374" i="44"/>
  <c r="U374" i="44" s="1"/>
  <c r="V374" i="44"/>
  <c r="X374" i="44"/>
  <c r="Y310" i="45" l="1"/>
  <c r="W310" i="45"/>
  <c r="X310" i="45"/>
  <c r="M311" i="45"/>
  <c r="Q311" i="45"/>
  <c r="W374" i="44"/>
  <c r="AA374" i="44" s="1"/>
  <c r="P375" i="44" l="1"/>
  <c r="T375" i="44"/>
  <c r="Z374" i="44"/>
  <c r="AB374" i="44"/>
  <c r="U311" i="45"/>
  <c r="Z310" i="45"/>
  <c r="P311" i="45"/>
  <c r="T311" i="45" s="1"/>
  <c r="S311" i="45"/>
  <c r="X375" i="44"/>
  <c r="S375" i="44"/>
  <c r="U375" i="44" s="1"/>
  <c r="V375" i="44"/>
  <c r="AC374" i="44" l="1"/>
  <c r="W311" i="45"/>
  <c r="M312" i="45"/>
  <c r="X311" i="45"/>
  <c r="Q312" i="45"/>
  <c r="Y311" i="45"/>
  <c r="R311" i="45"/>
  <c r="W375" i="44"/>
  <c r="P312" i="45" l="1"/>
  <c r="T312" i="45" s="1"/>
  <c r="S312" i="45"/>
  <c r="U312" i="45"/>
  <c r="Z311" i="45"/>
  <c r="AA375" i="44"/>
  <c r="T376" i="44"/>
  <c r="P376" i="44"/>
  <c r="Z375" i="44"/>
  <c r="AB375" i="44"/>
  <c r="M313" i="45" l="1"/>
  <c r="Q313" i="45"/>
  <c r="X312" i="45"/>
  <c r="W312" i="45"/>
  <c r="Y312" i="45"/>
  <c r="R312" i="45"/>
  <c r="AC375" i="44"/>
  <c r="X376" i="44"/>
  <c r="S376" i="44"/>
  <c r="U376" i="44" s="1"/>
  <c r="V376" i="44"/>
  <c r="P313" i="45" l="1"/>
  <c r="R313" i="45" s="1"/>
  <c r="S313" i="45"/>
  <c r="Z312" i="45"/>
  <c r="U313" i="45"/>
  <c r="W376" i="44"/>
  <c r="T313" i="45" l="1"/>
  <c r="M314" i="45" s="1"/>
  <c r="U314" i="45" s="1"/>
  <c r="Y313" i="45"/>
  <c r="W313" i="45"/>
  <c r="X313" i="45"/>
  <c r="P377" i="44"/>
  <c r="AA376" i="44"/>
  <c r="AB376" i="44"/>
  <c r="Z376" i="44"/>
  <c r="T377" i="44"/>
  <c r="Q314" i="45" l="1"/>
  <c r="Z313" i="45"/>
  <c r="P314" i="45"/>
  <c r="S314" i="45"/>
  <c r="AC376" i="44"/>
  <c r="S377" i="44"/>
  <c r="U377" i="44" s="1"/>
  <c r="V377" i="44"/>
  <c r="X377" i="44"/>
  <c r="T314" i="45" l="1"/>
  <c r="R314" i="45"/>
  <c r="W377" i="44"/>
  <c r="AB377" i="44" s="1"/>
  <c r="AA377" i="44"/>
  <c r="P378" i="44" l="1"/>
  <c r="X378" i="44" s="1"/>
  <c r="Z377" i="44"/>
  <c r="AC377" i="44" s="1"/>
  <c r="T378" i="44"/>
  <c r="S378" i="44" s="1"/>
  <c r="U378" i="44" s="1"/>
  <c r="Y314" i="45"/>
  <c r="X314" i="45"/>
  <c r="Q315" i="45"/>
  <c r="M315" i="45"/>
  <c r="U315" i="45" s="1"/>
  <c r="W314" i="45"/>
  <c r="V378" i="44" l="1"/>
  <c r="Z314" i="45"/>
  <c r="P315" i="45"/>
  <c r="S315" i="45"/>
  <c r="W378" i="44"/>
  <c r="T379" i="44" l="1"/>
  <c r="P379" i="44"/>
  <c r="T315" i="45"/>
  <c r="R315" i="45"/>
  <c r="Z378" i="44"/>
  <c r="AB378" i="44"/>
  <c r="AA378" i="44"/>
  <c r="AJ20" i="44" l="1"/>
  <c r="AJ30" i="44"/>
  <c r="AJ31" i="44"/>
  <c r="AJ41" i="44"/>
  <c r="AJ44" i="44"/>
  <c r="AJ47" i="44"/>
  <c r="X379" i="44"/>
  <c r="S379" i="44"/>
  <c r="V379" i="44"/>
  <c r="V14" i="44" s="1"/>
  <c r="X315" i="45"/>
  <c r="W315" i="45"/>
  <c r="Q316" i="45"/>
  <c r="Y315" i="45"/>
  <c r="M316" i="45"/>
  <c r="U316" i="45" s="1"/>
  <c r="AJ23" i="44"/>
  <c r="AJ42" i="44"/>
  <c r="AJ43" i="44"/>
  <c r="AJ48" i="44"/>
  <c r="AJ49" i="44"/>
  <c r="AC378" i="44"/>
  <c r="R92" i="22" l="1"/>
  <c r="M92" i="22"/>
  <c r="L92" i="22"/>
  <c r="Q92" i="22"/>
  <c r="S92" i="22"/>
  <c r="U379" i="44"/>
  <c r="AI21" i="44"/>
  <c r="AI30" i="44"/>
  <c r="AI31" i="44"/>
  <c r="AI41" i="44"/>
  <c r="AO41" i="44" s="1"/>
  <c r="AI43" i="44"/>
  <c r="AO43" i="44" s="1"/>
  <c r="AI47" i="44"/>
  <c r="AO47" i="44" s="1"/>
  <c r="AM20" i="44"/>
  <c r="AM22" i="44"/>
  <c r="AM21" i="44"/>
  <c r="I92" i="22"/>
  <c r="G92" i="22"/>
  <c r="W379" i="44"/>
  <c r="H51" i="26" s="1"/>
  <c r="P316" i="45"/>
  <c r="S316" i="45"/>
  <c r="Z315" i="45"/>
  <c r="AI23" i="44"/>
  <c r="AI42" i="44"/>
  <c r="AO42" i="44" s="1"/>
  <c r="AI44" i="44"/>
  <c r="AO44" i="44" s="1"/>
  <c r="AI48" i="44"/>
  <c r="AO48" i="44" s="1"/>
  <c r="AI49" i="44"/>
  <c r="AO49" i="44" s="1"/>
  <c r="H92" i="22"/>
  <c r="AM23" i="44"/>
  <c r="AM39" i="44"/>
  <c r="AM37" i="44"/>
  <c r="AM36" i="44"/>
  <c r="AM30" i="44"/>
  <c r="AM24" i="44"/>
  <c r="AM27" i="44"/>
  <c r="AM43" i="44"/>
  <c r="AM41" i="44"/>
  <c r="AM40" i="44"/>
  <c r="AM34" i="44"/>
  <c r="AM25" i="44"/>
  <c r="AM45" i="44"/>
  <c r="AM31" i="44"/>
  <c r="AM29" i="44"/>
  <c r="AM28" i="44"/>
  <c r="AM44" i="44"/>
  <c r="AM38" i="44"/>
  <c r="AM46" i="44"/>
  <c r="AM47" i="44"/>
  <c r="AM35" i="44"/>
  <c r="AM33" i="44"/>
  <c r="AM32" i="44"/>
  <c r="AM26" i="44"/>
  <c r="AM42" i="44"/>
  <c r="AM48" i="44"/>
  <c r="AM49" i="44"/>
  <c r="S91" i="22" l="1"/>
  <c r="M91" i="22"/>
  <c r="L91" i="22"/>
  <c r="Q91" i="22"/>
  <c r="AO31" i="44"/>
  <c r="R91" i="22"/>
  <c r="P91" i="22"/>
  <c r="AO30" i="44"/>
  <c r="AL21" i="44"/>
  <c r="AO21" i="44"/>
  <c r="AL22" i="44"/>
  <c r="I91" i="22"/>
  <c r="G91" i="22"/>
  <c r="P380" i="44"/>
  <c r="T380" i="44"/>
  <c r="T316" i="45"/>
  <c r="R316" i="45"/>
  <c r="H91" i="22"/>
  <c r="AL23" i="44"/>
  <c r="AO23" i="44"/>
  <c r="AL28" i="44"/>
  <c r="AL27" i="44"/>
  <c r="AL34" i="44"/>
  <c r="AL39" i="44"/>
  <c r="AL37" i="44"/>
  <c r="AL45" i="44"/>
  <c r="AL48" i="44"/>
  <c r="AL26" i="44"/>
  <c r="AL31" i="44"/>
  <c r="AL38" i="44"/>
  <c r="AL43" i="44"/>
  <c r="AL41" i="44"/>
  <c r="AL24" i="44"/>
  <c r="AL30" i="44"/>
  <c r="AL25" i="44"/>
  <c r="AL42" i="44"/>
  <c r="AL36" i="44"/>
  <c r="AL40" i="44"/>
  <c r="AL46" i="44"/>
  <c r="AL29" i="44"/>
  <c r="AL32" i="44"/>
  <c r="AL35" i="44"/>
  <c r="AL33" i="44"/>
  <c r="AL44" i="44"/>
  <c r="AL47" i="44"/>
  <c r="AL49" i="44"/>
  <c r="AA379" i="44"/>
  <c r="AC9" i="44" s="1"/>
  <c r="Z379" i="44"/>
  <c r="AB379" i="44"/>
  <c r="AC10" i="44" s="1"/>
  <c r="AK23" i="44" l="1"/>
  <c r="AN23" i="44" s="1"/>
  <c r="AK24" i="44"/>
  <c r="AK30" i="44"/>
  <c r="AK31" i="44"/>
  <c r="AK41" i="44"/>
  <c r="AK43" i="44"/>
  <c r="AK44" i="44"/>
  <c r="AK45" i="44"/>
  <c r="AK47" i="44"/>
  <c r="S380" i="44"/>
  <c r="U380" i="44" s="1"/>
  <c r="V380" i="44"/>
  <c r="X380" i="44"/>
  <c r="W316" i="45"/>
  <c r="Q317" i="45"/>
  <c r="X316" i="45"/>
  <c r="Y316" i="45"/>
  <c r="M317" i="45"/>
  <c r="AK42" i="44"/>
  <c r="AK46" i="44"/>
  <c r="AC379" i="44"/>
  <c r="AK48" i="44"/>
  <c r="AC11" i="44"/>
  <c r="AC8" i="44"/>
  <c r="AK49" i="44"/>
  <c r="W380" i="44" l="1"/>
  <c r="AN29" i="44"/>
  <c r="AN30" i="44"/>
  <c r="AN27" i="44"/>
  <c r="AN28" i="44"/>
  <c r="AN25" i="44"/>
  <c r="AN35" i="44"/>
  <c r="AN24" i="44"/>
  <c r="AN26" i="44"/>
  <c r="AN32" i="44"/>
  <c r="AN39" i="44"/>
  <c r="AN37" i="44"/>
  <c r="AN31" i="44"/>
  <c r="AN34" i="44"/>
  <c r="AN41" i="44"/>
  <c r="AN38" i="44"/>
  <c r="AN40" i="44"/>
  <c r="AN36" i="44"/>
  <c r="AN33" i="44"/>
  <c r="AH30" i="44"/>
  <c r="AH31" i="44"/>
  <c r="AH41" i="44"/>
  <c r="AH43" i="44"/>
  <c r="AH44" i="44"/>
  <c r="AH47" i="44"/>
  <c r="P381" i="44"/>
  <c r="T381" i="44"/>
  <c r="P317" i="45"/>
  <c r="R317" i="45" s="1"/>
  <c r="S317" i="45"/>
  <c r="U317" i="45"/>
  <c r="Z316" i="45"/>
  <c r="AH20" i="44"/>
  <c r="AH42" i="44"/>
  <c r="AH48" i="44"/>
  <c r="AC12" i="44"/>
  <c r="AH49" i="44"/>
  <c r="AN44" i="44"/>
  <c r="AN47" i="44"/>
  <c r="AN42" i="44"/>
  <c r="AN48" i="44"/>
  <c r="AN46" i="44"/>
  <c r="AN45" i="44"/>
  <c r="AN49" i="44"/>
  <c r="AN43" i="44"/>
  <c r="R90" i="22" l="1"/>
  <c r="Q90" i="22"/>
  <c r="S90" i="22"/>
  <c r="H90" i="22"/>
  <c r="G90" i="22"/>
  <c r="S381" i="44"/>
  <c r="U381" i="44" s="1"/>
  <c r="V381" i="44"/>
  <c r="X381" i="44"/>
  <c r="T317" i="45"/>
  <c r="Q318" i="45" s="1"/>
  <c r="Y317" i="45"/>
  <c r="X317" i="45"/>
  <c r="W317" i="45"/>
  <c r="W381" i="44" l="1"/>
  <c r="M318" i="45"/>
  <c r="U318" i="45" s="1"/>
  <c r="T382" i="44"/>
  <c r="P382" i="44"/>
  <c r="Z317" i="45"/>
  <c r="AG36" i="45"/>
  <c r="AG37" i="45"/>
  <c r="AG38" i="45"/>
  <c r="AG39" i="45"/>
  <c r="AG40" i="45"/>
  <c r="P318" i="45"/>
  <c r="S318" i="45"/>
  <c r="AG41" i="45"/>
  <c r="AG42" i="45"/>
  <c r="AG43" i="45"/>
  <c r="T318" i="45" l="1"/>
  <c r="Q319" i="45" s="1"/>
  <c r="AG44" i="45" s="1"/>
  <c r="AJ44" i="45" s="1"/>
  <c r="X382" i="44"/>
  <c r="S382" i="44"/>
  <c r="U382" i="44" s="1"/>
  <c r="V382" i="44"/>
  <c r="P319" i="45"/>
  <c r="R319" i="45" s="1"/>
  <c r="S319" i="45"/>
  <c r="Y318" i="45"/>
  <c r="M319" i="45"/>
  <c r="X318" i="45"/>
  <c r="W318" i="45"/>
  <c r="AF36" i="45"/>
  <c r="AF37" i="45"/>
  <c r="AL37" i="45" s="1"/>
  <c r="AF38" i="45"/>
  <c r="AL38" i="45" s="1"/>
  <c r="AF39" i="45"/>
  <c r="AL39" i="45" s="1"/>
  <c r="AF40" i="45"/>
  <c r="AL40" i="45" s="1"/>
  <c r="R318" i="45"/>
  <c r="AF41" i="45"/>
  <c r="AL41" i="45" s="1"/>
  <c r="AF42" i="45"/>
  <c r="AL42" i="45" s="1"/>
  <c r="AF43" i="45"/>
  <c r="AL43" i="45" s="1"/>
  <c r="AF44" i="45"/>
  <c r="AL44" i="45" s="1"/>
  <c r="AJ38" i="45"/>
  <c r="AJ39" i="45"/>
  <c r="AJ36" i="45"/>
  <c r="AJ40" i="45"/>
  <c r="AJ37" i="45"/>
  <c r="AJ41" i="45"/>
  <c r="AJ42" i="45"/>
  <c r="AJ43" i="45"/>
  <c r="W382" i="44" l="1"/>
  <c r="Z318" i="45"/>
  <c r="AL36" i="45"/>
  <c r="AI36" i="45"/>
  <c r="AI37" i="45"/>
  <c r="AI40" i="45"/>
  <c r="AI38" i="45"/>
  <c r="AI39" i="45"/>
  <c r="AI41" i="45"/>
  <c r="AI42" i="45"/>
  <c r="AI43" i="45"/>
  <c r="AI44" i="45"/>
  <c r="T319" i="45"/>
  <c r="U319" i="45"/>
  <c r="T383" i="44" l="1"/>
  <c r="P383" i="44"/>
  <c r="M320" i="45"/>
  <c r="Q320" i="45"/>
  <c r="W319" i="45"/>
  <c r="Y319" i="45"/>
  <c r="X319" i="45"/>
  <c r="X383" i="44" l="1"/>
  <c r="S383" i="44"/>
  <c r="U383" i="44" s="1"/>
  <c r="V383" i="44"/>
  <c r="P320" i="45"/>
  <c r="T320" i="45" s="1"/>
  <c r="S320" i="45"/>
  <c r="U320" i="45"/>
  <c r="AD45" i="45"/>
  <c r="AH36" i="45"/>
  <c r="AH37" i="45"/>
  <c r="AH38" i="45"/>
  <c r="AH39" i="45"/>
  <c r="AH40" i="45"/>
  <c r="Z319" i="45"/>
  <c r="AH41" i="45"/>
  <c r="AH42" i="45"/>
  <c r="AH43" i="45"/>
  <c r="AH44" i="45"/>
  <c r="W383" i="44" l="1"/>
  <c r="M321" i="45"/>
  <c r="Q321" i="45"/>
  <c r="Y320" i="45"/>
  <c r="X320" i="45"/>
  <c r="W320" i="45"/>
  <c r="R320" i="45"/>
  <c r="AE35" i="45"/>
  <c r="AE36" i="45"/>
  <c r="AE37" i="45"/>
  <c r="AE38" i="45"/>
  <c r="AE40" i="45"/>
  <c r="AE41" i="45"/>
  <c r="AE42" i="45"/>
  <c r="AE43" i="45"/>
  <c r="AE44" i="45"/>
  <c r="AK37" i="45"/>
  <c r="AK40" i="45"/>
  <c r="AK43" i="45"/>
  <c r="AK36" i="45"/>
  <c r="AK41" i="45"/>
  <c r="AK39" i="45"/>
  <c r="AK38" i="45"/>
  <c r="AK42" i="45"/>
  <c r="AK44" i="45"/>
  <c r="T384" i="44" l="1"/>
  <c r="P384" i="44"/>
  <c r="Z320" i="45"/>
  <c r="U321" i="45"/>
  <c r="P321" i="45"/>
  <c r="S321" i="45"/>
  <c r="X384" i="44" l="1"/>
  <c r="S384" i="44"/>
  <c r="U384" i="44" s="1"/>
  <c r="V384" i="44"/>
  <c r="R321" i="45"/>
  <c r="T321" i="45"/>
  <c r="W384" i="44" l="1"/>
  <c r="Q322" i="45"/>
  <c r="M322" i="45"/>
  <c r="W321" i="45"/>
  <c r="Y321" i="45"/>
  <c r="X321" i="45"/>
  <c r="T385" i="44" l="1"/>
  <c r="P385" i="44"/>
  <c r="Z321" i="45"/>
  <c r="U322" i="45"/>
  <c r="P322" i="45"/>
  <c r="T322" i="45" s="1"/>
  <c r="S322" i="45"/>
  <c r="X385" i="44" l="1"/>
  <c r="S385" i="44"/>
  <c r="U385" i="44" s="1"/>
  <c r="V385" i="44"/>
  <c r="Q323" i="45"/>
  <c r="M323" i="45"/>
  <c r="W322" i="45"/>
  <c r="X322" i="45"/>
  <c r="Y322" i="45"/>
  <c r="R322" i="45"/>
  <c r="W385" i="44" l="1"/>
  <c r="Z322" i="45"/>
  <c r="U323" i="45"/>
  <c r="P323" i="45"/>
  <c r="S323" i="45"/>
  <c r="T386" i="44" l="1"/>
  <c r="P386" i="44"/>
  <c r="R323" i="45"/>
  <c r="T323" i="45"/>
  <c r="X386" i="44" l="1"/>
  <c r="S386" i="44"/>
  <c r="U386" i="44" s="1"/>
  <c r="V386" i="44"/>
  <c r="Q324" i="45"/>
  <c r="M324" i="45"/>
  <c r="Y323" i="45"/>
  <c r="W323" i="45"/>
  <c r="X323" i="45"/>
  <c r="W386" i="44" l="1"/>
  <c r="Z323" i="45"/>
  <c r="U324" i="45"/>
  <c r="P324" i="45"/>
  <c r="S324" i="45"/>
  <c r="T387" i="44" l="1"/>
  <c r="P387" i="44"/>
  <c r="R324" i="45"/>
  <c r="T324" i="45"/>
  <c r="X387" i="44" l="1"/>
  <c r="S387" i="44"/>
  <c r="U387" i="44" s="1"/>
  <c r="V387" i="44"/>
  <c r="M325" i="45"/>
  <c r="Q325" i="45"/>
  <c r="X324" i="45"/>
  <c r="W324" i="45"/>
  <c r="Y324" i="45"/>
  <c r="W387" i="44" l="1"/>
  <c r="Z324" i="45"/>
  <c r="P325" i="45"/>
  <c r="R325" i="45" s="1"/>
  <c r="S325" i="45"/>
  <c r="U325" i="45"/>
  <c r="P388" i="44" l="1"/>
  <c r="T388" i="44"/>
  <c r="T325" i="45"/>
  <c r="W325" i="45" s="1"/>
  <c r="M326" i="45"/>
  <c r="Y325" i="45"/>
  <c r="Q326" i="45" l="1"/>
  <c r="X325" i="45"/>
  <c r="Z325" i="45" s="1"/>
  <c r="S388" i="44"/>
  <c r="U388" i="44" s="1"/>
  <c r="V388" i="44"/>
  <c r="X388" i="44"/>
  <c r="P326" i="45"/>
  <c r="R326" i="45" s="1"/>
  <c r="S326" i="45"/>
  <c r="U326" i="45"/>
  <c r="W388" i="44" l="1"/>
  <c r="T389" i="44" s="1"/>
  <c r="T326" i="45"/>
  <c r="Q327" i="45" s="1"/>
  <c r="Y326" i="45" l="1"/>
  <c r="X326" i="45"/>
  <c r="W326" i="45"/>
  <c r="P389" i="44"/>
  <c r="X389" i="44" s="1"/>
  <c r="M327" i="45"/>
  <c r="U327" i="45" s="1"/>
  <c r="S389" i="44"/>
  <c r="U389" i="44" s="1"/>
  <c r="V389" i="44"/>
  <c r="P327" i="45"/>
  <c r="R327" i="45" s="1"/>
  <c r="S327" i="45"/>
  <c r="Z326" i="45" l="1"/>
  <c r="W389" i="44"/>
  <c r="T327" i="45"/>
  <c r="P390" i="44" l="1"/>
  <c r="T390" i="44"/>
  <c r="M328" i="45"/>
  <c r="Q328" i="45"/>
  <c r="Y327" i="45"/>
  <c r="W327" i="45"/>
  <c r="X327" i="45"/>
  <c r="S390" i="44" l="1"/>
  <c r="U390" i="44" s="1"/>
  <c r="V390" i="44"/>
  <c r="X390" i="44"/>
  <c r="Z327" i="45"/>
  <c r="P328" i="45"/>
  <c r="R328" i="45" s="1"/>
  <c r="S328" i="45"/>
  <c r="U328" i="45"/>
  <c r="W390" i="44" l="1"/>
  <c r="T391" i="44" s="1"/>
  <c r="P391" i="44"/>
  <c r="T328" i="45"/>
  <c r="Q329" i="45" s="1"/>
  <c r="X328" i="45" l="1"/>
  <c r="W328" i="45"/>
  <c r="Y328" i="45"/>
  <c r="M329" i="45"/>
  <c r="U329" i="45" s="1"/>
  <c r="X391" i="44"/>
  <c r="S391" i="44"/>
  <c r="U391" i="44" s="1"/>
  <c r="V391" i="44"/>
  <c r="P329" i="45"/>
  <c r="R329" i="45" s="1"/>
  <c r="S329" i="45"/>
  <c r="Z328" i="45" l="1"/>
  <c r="W391" i="44"/>
  <c r="T329" i="45"/>
  <c r="Q330" i="45" s="1"/>
  <c r="M330" i="45"/>
  <c r="W329" i="45"/>
  <c r="X329" i="45"/>
  <c r="Y329" i="45"/>
  <c r="T392" i="44" l="1"/>
  <c r="P392" i="44"/>
  <c r="Z329" i="45"/>
  <c r="P330" i="45"/>
  <c r="R330" i="45" s="1"/>
  <c r="S330" i="45"/>
  <c r="U330" i="45"/>
  <c r="X392" i="44" l="1"/>
  <c r="S392" i="44"/>
  <c r="U392" i="44" s="1"/>
  <c r="V392" i="44"/>
  <c r="T330" i="45"/>
  <c r="W392" i="44" l="1"/>
  <c r="Q331" i="45"/>
  <c r="M331" i="45"/>
  <c r="X330" i="45"/>
  <c r="Y330" i="45"/>
  <c r="W330" i="45"/>
  <c r="T393" i="44" l="1"/>
  <c r="P393" i="44"/>
  <c r="Z330" i="45"/>
  <c r="U331" i="45"/>
  <c r="P331" i="45"/>
  <c r="R331" i="45" s="1"/>
  <c r="S331" i="45"/>
  <c r="X393" i="44" l="1"/>
  <c r="S393" i="44"/>
  <c r="U393" i="44" s="1"/>
  <c r="V393" i="44"/>
  <c r="T331" i="45"/>
  <c r="W393" i="44" l="1"/>
  <c r="M332" i="45"/>
  <c r="Q332" i="45"/>
  <c r="X331" i="45"/>
  <c r="Y331" i="45"/>
  <c r="W331" i="45"/>
  <c r="P394" i="44" l="1"/>
  <c r="T394" i="44"/>
  <c r="P332" i="45"/>
  <c r="T332" i="45" s="1"/>
  <c r="S332" i="45"/>
  <c r="Z331" i="45"/>
  <c r="U332" i="45"/>
  <c r="AD46" i="45"/>
  <c r="S394" i="44" l="1"/>
  <c r="U394" i="44" s="1"/>
  <c r="V394" i="44"/>
  <c r="X394" i="44"/>
  <c r="Q333" i="45"/>
  <c r="M333" i="45"/>
  <c r="X332" i="45"/>
  <c r="W332" i="45"/>
  <c r="Y332" i="45"/>
  <c r="R332" i="45"/>
  <c r="W394" i="44" l="1"/>
  <c r="U333" i="45"/>
  <c r="P333" i="45"/>
  <c r="S333" i="45"/>
  <c r="Z332" i="45"/>
  <c r="P395" i="44" l="1"/>
  <c r="T395" i="44"/>
  <c r="R333" i="45"/>
  <c r="T333" i="45"/>
  <c r="S395" i="44" l="1"/>
  <c r="U395" i="44" s="1"/>
  <c r="V395" i="44"/>
  <c r="X395" i="44"/>
  <c r="M334" i="45"/>
  <c r="Q334" i="45"/>
  <c r="X333" i="45"/>
  <c r="Y333" i="45"/>
  <c r="W333" i="45"/>
  <c r="W395" i="44" l="1"/>
  <c r="T396" i="44" s="1"/>
  <c r="P396" i="44"/>
  <c r="P334" i="45"/>
  <c r="T334" i="45" s="1"/>
  <c r="S334" i="45"/>
  <c r="Z333" i="45"/>
  <c r="U334" i="45"/>
  <c r="X396" i="44" l="1"/>
  <c r="S396" i="44"/>
  <c r="U396" i="44" s="1"/>
  <c r="V396" i="44"/>
  <c r="M335" i="45"/>
  <c r="Q335" i="45"/>
  <c r="W334" i="45"/>
  <c r="X334" i="45"/>
  <c r="Y334" i="45"/>
  <c r="R334" i="45"/>
  <c r="W396" i="44" l="1"/>
  <c r="T397" i="44" s="1"/>
  <c r="P397" i="44"/>
  <c r="Z334" i="45"/>
  <c r="P335" i="45"/>
  <c r="T335" i="45" s="1"/>
  <c r="S335" i="45"/>
  <c r="U335" i="45"/>
  <c r="X397" i="44" l="1"/>
  <c r="S397" i="44"/>
  <c r="U397" i="44" s="1"/>
  <c r="V397" i="44"/>
  <c r="M336" i="45"/>
  <c r="Q336" i="45"/>
  <c r="X335" i="45"/>
  <c r="W335" i="45"/>
  <c r="Y335" i="45"/>
  <c r="R335" i="45"/>
  <c r="W397" i="44" l="1"/>
  <c r="Z335" i="45"/>
  <c r="P336" i="45"/>
  <c r="T336" i="45" s="1"/>
  <c r="S336" i="45"/>
  <c r="U336" i="45"/>
  <c r="P398" i="44" l="1"/>
  <c r="T398" i="44"/>
  <c r="Q337" i="45"/>
  <c r="M337" i="45"/>
  <c r="W336" i="45"/>
  <c r="Y336" i="45"/>
  <c r="X336" i="45"/>
  <c r="R336" i="45"/>
  <c r="S398" i="44" l="1"/>
  <c r="U398" i="44" s="1"/>
  <c r="V398" i="44"/>
  <c r="X398" i="44"/>
  <c r="Z336" i="45"/>
  <c r="U337" i="45"/>
  <c r="P337" i="45"/>
  <c r="R337" i="45" s="1"/>
  <c r="S337" i="45"/>
  <c r="W398" i="44" l="1"/>
  <c r="T399" i="44" s="1"/>
  <c r="P399" i="44"/>
  <c r="T337" i="45"/>
  <c r="X399" i="44" l="1"/>
  <c r="S399" i="44"/>
  <c r="U399" i="44" s="1"/>
  <c r="V399" i="44"/>
  <c r="M338" i="45"/>
  <c r="Q338" i="45"/>
  <c r="Y337" i="45"/>
  <c r="W337" i="45"/>
  <c r="X337" i="45"/>
  <c r="W399" i="44" l="1"/>
  <c r="Z337" i="45"/>
  <c r="P338" i="45"/>
  <c r="R338" i="45" s="1"/>
  <c r="S338" i="45"/>
  <c r="U338" i="45"/>
  <c r="T400" i="44" l="1"/>
  <c r="P400" i="44"/>
  <c r="T338" i="45"/>
  <c r="X338" i="45" s="1"/>
  <c r="M339" i="45"/>
  <c r="W338" i="45"/>
  <c r="Q339" i="45" l="1"/>
  <c r="Y338" i="45"/>
  <c r="Z338" i="45" s="1"/>
  <c r="X400" i="44"/>
  <c r="S400" i="44"/>
  <c r="U400" i="44" s="1"/>
  <c r="V400" i="44"/>
  <c r="P339" i="45"/>
  <c r="R339" i="45" s="1"/>
  <c r="S339" i="45"/>
  <c r="U339" i="45"/>
  <c r="W400" i="44" l="1"/>
  <c r="T339" i="45"/>
  <c r="Q340" i="45" s="1"/>
  <c r="M340" i="45" l="1"/>
  <c r="U340" i="45" s="1"/>
  <c r="Y339" i="45"/>
  <c r="W339" i="45"/>
  <c r="X339" i="45"/>
  <c r="T401" i="44"/>
  <c r="P401" i="44"/>
  <c r="P340" i="45"/>
  <c r="R340" i="45" s="1"/>
  <c r="S340" i="45"/>
  <c r="Z339" i="45" l="1"/>
  <c r="X401" i="44"/>
  <c r="S401" i="44"/>
  <c r="U401" i="44" s="1"/>
  <c r="V401" i="44"/>
  <c r="T340" i="45"/>
  <c r="Q341" i="45" s="1"/>
  <c r="X340" i="45" l="1"/>
  <c r="W340" i="45"/>
  <c r="Y340" i="45"/>
  <c r="M341" i="45"/>
  <c r="U341" i="45" s="1"/>
  <c r="W401" i="44"/>
  <c r="P341" i="45"/>
  <c r="R341" i="45" s="1"/>
  <c r="S341" i="45"/>
  <c r="Z340" i="45" l="1"/>
  <c r="P402" i="44"/>
  <c r="T402" i="44"/>
  <c r="T341" i="45"/>
  <c r="S402" i="44" l="1"/>
  <c r="U402" i="44" s="1"/>
  <c r="V402" i="44"/>
  <c r="X402" i="44"/>
  <c r="M342" i="45"/>
  <c r="Q342" i="45"/>
  <c r="X341" i="45"/>
  <c r="W341" i="45"/>
  <c r="Y341" i="45"/>
  <c r="W402" i="44" l="1"/>
  <c r="T403" i="44" s="1"/>
  <c r="P403" i="44"/>
  <c r="Z341" i="45"/>
  <c r="P342" i="45"/>
  <c r="R342" i="45" s="1"/>
  <c r="S342" i="45"/>
  <c r="U342" i="45"/>
  <c r="X403" i="44" l="1"/>
  <c r="S403" i="44"/>
  <c r="U403" i="44" s="1"/>
  <c r="V403" i="44"/>
  <c r="T342" i="45"/>
  <c r="Q343" i="45" s="1"/>
  <c r="X342" i="45" l="1"/>
  <c r="Y342" i="45"/>
  <c r="W342" i="45"/>
  <c r="M343" i="45"/>
  <c r="U343" i="45" s="1"/>
  <c r="W403" i="44"/>
  <c r="P343" i="45"/>
  <c r="R343" i="45" s="1"/>
  <c r="S343" i="45"/>
  <c r="Z342" i="45" l="1"/>
  <c r="T404" i="44"/>
  <c r="P404" i="44"/>
  <c r="T343" i="45"/>
  <c r="X404" i="44" l="1"/>
  <c r="S404" i="44"/>
  <c r="U404" i="44" s="1"/>
  <c r="V404" i="44"/>
  <c r="Q344" i="45"/>
  <c r="M344" i="45"/>
  <c r="X343" i="45"/>
  <c r="W343" i="45"/>
  <c r="Y343" i="45"/>
  <c r="W404" i="44" l="1"/>
  <c r="Z343" i="45"/>
  <c r="U344" i="45"/>
  <c r="AD47" i="45"/>
  <c r="P344" i="45"/>
  <c r="T344" i="45" s="1"/>
  <c r="S344" i="45"/>
  <c r="T405" i="44" l="1"/>
  <c r="P405" i="44"/>
  <c r="M345" i="45"/>
  <c r="Q345" i="45"/>
  <c r="W344" i="45"/>
  <c r="Y344" i="45"/>
  <c r="X344" i="45"/>
  <c r="R344" i="45"/>
  <c r="X405" i="44" l="1"/>
  <c r="S405" i="44"/>
  <c r="U405" i="44" s="1"/>
  <c r="V405" i="44"/>
  <c r="Z344" i="45"/>
  <c r="P345" i="45"/>
  <c r="T345" i="45" s="1"/>
  <c r="S345" i="45"/>
  <c r="U345" i="45"/>
  <c r="W405" i="44" l="1"/>
  <c r="Q346" i="45"/>
  <c r="M346" i="45"/>
  <c r="X345" i="45"/>
  <c r="W345" i="45"/>
  <c r="Y345" i="45"/>
  <c r="R345" i="45"/>
  <c r="P406" i="44" l="1"/>
  <c r="T406" i="44"/>
  <c r="Z345" i="45"/>
  <c r="U346" i="45"/>
  <c r="P346" i="45"/>
  <c r="S346" i="45"/>
  <c r="S406" i="44" l="1"/>
  <c r="U406" i="44" s="1"/>
  <c r="V406" i="44"/>
  <c r="X406" i="44"/>
  <c r="R346" i="45"/>
  <c r="T346" i="45"/>
  <c r="W406" i="44" l="1"/>
  <c r="T407" i="44" s="1"/>
  <c r="P407" i="44"/>
  <c r="Q347" i="45"/>
  <c r="M347" i="45"/>
  <c r="Y346" i="45"/>
  <c r="X346" i="45"/>
  <c r="W346" i="45"/>
  <c r="X407" i="44" l="1"/>
  <c r="S407" i="44"/>
  <c r="U407" i="44" s="1"/>
  <c r="V407" i="44"/>
  <c r="Z346" i="45"/>
  <c r="U347" i="45"/>
  <c r="P347" i="45"/>
  <c r="T347" i="45" s="1"/>
  <c r="S347" i="45"/>
  <c r="W407" i="44" l="1"/>
  <c r="M348" i="45"/>
  <c r="Q348" i="45"/>
  <c r="X347" i="45"/>
  <c r="Y347" i="45"/>
  <c r="W347" i="45"/>
  <c r="R347" i="45"/>
  <c r="T408" i="44" l="1"/>
  <c r="P408" i="44"/>
  <c r="P348" i="45"/>
  <c r="T348" i="45" s="1"/>
  <c r="S348" i="45"/>
  <c r="Z347" i="45"/>
  <c r="U348" i="45"/>
  <c r="X408" i="44" l="1"/>
  <c r="S408" i="44"/>
  <c r="U408" i="44" s="1"/>
  <c r="V408" i="44"/>
  <c r="Q349" i="45"/>
  <c r="M349" i="45"/>
  <c r="Y348" i="45"/>
  <c r="W348" i="45"/>
  <c r="X348" i="45"/>
  <c r="R348" i="45"/>
  <c r="W408" i="44" l="1"/>
  <c r="Z348" i="45"/>
  <c r="U349" i="45"/>
  <c r="P349" i="45"/>
  <c r="R349" i="45" s="1"/>
  <c r="S349" i="45"/>
  <c r="T409" i="44" l="1"/>
  <c r="P409" i="44"/>
  <c r="T349" i="45"/>
  <c r="Q350" i="45" s="1"/>
  <c r="W349" i="45" l="1"/>
  <c r="Y349" i="45"/>
  <c r="X349" i="45"/>
  <c r="M350" i="45"/>
  <c r="U350" i="45" s="1"/>
  <c r="X409" i="44"/>
  <c r="S409" i="44"/>
  <c r="U409" i="44" s="1"/>
  <c r="V409" i="44"/>
  <c r="P350" i="45"/>
  <c r="R350" i="45" s="1"/>
  <c r="S350" i="45"/>
  <c r="Z349" i="45" l="1"/>
  <c r="W409" i="44"/>
  <c r="T350" i="45"/>
  <c r="P410" i="44" l="1"/>
  <c r="T410" i="44"/>
  <c r="Q351" i="45"/>
  <c r="M351" i="45"/>
  <c r="W350" i="45"/>
  <c r="Y350" i="45"/>
  <c r="X350" i="45"/>
  <c r="S410" i="44" l="1"/>
  <c r="U410" i="44" s="1"/>
  <c r="V410" i="44"/>
  <c r="X410" i="44"/>
  <c r="Z350" i="45"/>
  <c r="U351" i="45"/>
  <c r="P351" i="45"/>
  <c r="R351" i="45" s="1"/>
  <c r="S351" i="45"/>
  <c r="W410" i="44" l="1"/>
  <c r="T411" i="44" s="1"/>
  <c r="T351" i="45"/>
  <c r="M352" i="45" s="1"/>
  <c r="X351" i="45" l="1"/>
  <c r="Y351" i="45"/>
  <c r="P411" i="44"/>
  <c r="X411" i="44" s="1"/>
  <c r="W351" i="45"/>
  <c r="Q352" i="45"/>
  <c r="P352" i="45" s="1"/>
  <c r="R352" i="45" s="1"/>
  <c r="S411" i="44"/>
  <c r="U411" i="44" s="1"/>
  <c r="V411" i="44"/>
  <c r="U352" i="45"/>
  <c r="Z351" i="45" l="1"/>
  <c r="S352" i="45"/>
  <c r="W411" i="44"/>
  <c r="P412" i="44" s="1"/>
  <c r="T352" i="45"/>
  <c r="T412" i="44" l="1"/>
  <c r="S412" i="44" s="1"/>
  <c r="U412" i="44" s="1"/>
  <c r="V412" i="44"/>
  <c r="X412" i="44"/>
  <c r="M353" i="45"/>
  <c r="Q353" i="45"/>
  <c r="W352" i="45"/>
  <c r="X352" i="45"/>
  <c r="Y352" i="45"/>
  <c r="W412" i="44" l="1"/>
  <c r="T413" i="44" s="1"/>
  <c r="P413" i="44"/>
  <c r="Z352" i="45"/>
  <c r="P353" i="45"/>
  <c r="R353" i="45" s="1"/>
  <c r="S353" i="45"/>
  <c r="U353" i="45"/>
  <c r="X413" i="44" l="1"/>
  <c r="S413" i="44"/>
  <c r="U413" i="44" s="1"/>
  <c r="V413" i="44"/>
  <c r="T353" i="45"/>
  <c r="W413" i="44" l="1"/>
  <c r="M354" i="45"/>
  <c r="Q354" i="45"/>
  <c r="Y353" i="45"/>
  <c r="X353" i="45"/>
  <c r="W353" i="45"/>
  <c r="T414" i="44" l="1"/>
  <c r="P414" i="44"/>
  <c r="P354" i="45"/>
  <c r="R354" i="45" s="1"/>
  <c r="S354" i="45"/>
  <c r="Z353" i="45"/>
  <c r="U354" i="45"/>
  <c r="X414" i="44" l="1"/>
  <c r="S414" i="44"/>
  <c r="U414" i="44" s="1"/>
  <c r="V414" i="44"/>
  <c r="T354" i="45"/>
  <c r="Q355" i="45" s="1"/>
  <c r="W354" i="45" l="1"/>
  <c r="Y354" i="45"/>
  <c r="X354" i="45"/>
  <c r="M355" i="45"/>
  <c r="U355" i="45" s="1"/>
  <c r="W414" i="44"/>
  <c r="P355" i="45"/>
  <c r="R355" i="45" s="1"/>
  <c r="S355" i="45"/>
  <c r="Z354" i="45" l="1"/>
  <c r="T415" i="44"/>
  <c r="P415" i="44"/>
  <c r="T355" i="45"/>
  <c r="X415" i="44" l="1"/>
  <c r="S415" i="44"/>
  <c r="U415" i="44" s="1"/>
  <c r="V415" i="44"/>
  <c r="M356" i="45"/>
  <c r="Q356" i="45"/>
  <c r="Y355" i="45"/>
  <c r="W355" i="45"/>
  <c r="X355" i="45"/>
  <c r="W415" i="44" l="1"/>
  <c r="Z355" i="45"/>
  <c r="P356" i="45"/>
  <c r="T356" i="45" s="1"/>
  <c r="S356" i="45"/>
  <c r="U356" i="45"/>
  <c r="AD48" i="45"/>
  <c r="P416" i="44" l="1"/>
  <c r="T416" i="44"/>
  <c r="M357" i="45"/>
  <c r="Q357" i="45"/>
  <c r="W356" i="45"/>
  <c r="X356" i="45"/>
  <c r="Y356" i="45"/>
  <c r="R356" i="45"/>
  <c r="S416" i="44" l="1"/>
  <c r="U416" i="44" s="1"/>
  <c r="V416" i="44"/>
  <c r="X416" i="44"/>
  <c r="Z356" i="45"/>
  <c r="P357" i="45"/>
  <c r="T357" i="45" s="1"/>
  <c r="S357" i="45"/>
  <c r="U357" i="45"/>
  <c r="W416" i="44" l="1"/>
  <c r="T417" i="44" s="1"/>
  <c r="P417" i="44"/>
  <c r="M358" i="45"/>
  <c r="Q358" i="45"/>
  <c r="Y357" i="45"/>
  <c r="X357" i="45"/>
  <c r="W357" i="45"/>
  <c r="R357" i="45"/>
  <c r="X417" i="44" l="1"/>
  <c r="S417" i="44"/>
  <c r="U417" i="44" s="1"/>
  <c r="V417" i="44"/>
  <c r="P358" i="45"/>
  <c r="T358" i="45" s="1"/>
  <c r="S358" i="45"/>
  <c r="Z357" i="45"/>
  <c r="U358" i="45"/>
  <c r="W417" i="44" l="1"/>
  <c r="Q359" i="45"/>
  <c r="M359" i="45"/>
  <c r="X358" i="45"/>
  <c r="Y358" i="45"/>
  <c r="W358" i="45"/>
  <c r="R358" i="45"/>
  <c r="P418" i="44" l="1"/>
  <c r="T418" i="44"/>
  <c r="U359" i="45"/>
  <c r="Z358" i="45"/>
  <c r="P359" i="45"/>
  <c r="S359" i="45"/>
  <c r="S418" i="44" l="1"/>
  <c r="U418" i="44" s="1"/>
  <c r="V418" i="44"/>
  <c r="X418" i="44"/>
  <c r="R359" i="45"/>
  <c r="T359" i="45"/>
  <c r="W418" i="44" l="1"/>
  <c r="T419" i="44"/>
  <c r="P419" i="44"/>
  <c r="Q360" i="45"/>
  <c r="M360" i="45"/>
  <c r="Y359" i="45"/>
  <c r="X359" i="45"/>
  <c r="W359" i="45"/>
  <c r="X419" i="44" l="1"/>
  <c r="S419" i="44"/>
  <c r="U419" i="44" s="1"/>
  <c r="V419" i="44"/>
  <c r="Z359" i="45"/>
  <c r="U360" i="45"/>
  <c r="P360" i="45"/>
  <c r="T360" i="45" s="1"/>
  <c r="S360" i="45"/>
  <c r="W419" i="44" l="1"/>
  <c r="Q361" i="45"/>
  <c r="M361" i="45"/>
  <c r="Y360" i="45"/>
  <c r="X360" i="45"/>
  <c r="W360" i="45"/>
  <c r="R360" i="45"/>
  <c r="T420" i="44" l="1"/>
  <c r="P420" i="44"/>
  <c r="U361" i="45"/>
  <c r="Z360" i="45"/>
  <c r="P361" i="45"/>
  <c r="R361" i="45" s="1"/>
  <c r="S361" i="45"/>
  <c r="X420" i="44" l="1"/>
  <c r="S420" i="44"/>
  <c r="U420" i="44" s="1"/>
  <c r="V420" i="44"/>
  <c r="T361" i="45"/>
  <c r="W420" i="44" l="1"/>
  <c r="Q362" i="45"/>
  <c r="M362" i="45"/>
  <c r="Y361" i="45"/>
  <c r="X361" i="45"/>
  <c r="W361" i="45"/>
  <c r="T421" i="44" l="1"/>
  <c r="P421" i="44"/>
  <c r="Z361" i="45"/>
  <c r="U362" i="45"/>
  <c r="P362" i="45"/>
  <c r="R362" i="45" s="1"/>
  <c r="S362" i="45"/>
  <c r="X421" i="44" l="1"/>
  <c r="S421" i="44"/>
  <c r="U421" i="44" s="1"/>
  <c r="V421" i="44"/>
  <c r="T362" i="45"/>
  <c r="W421" i="44" l="1"/>
  <c r="Q363" i="45"/>
  <c r="M363" i="45"/>
  <c r="Y362" i="45"/>
  <c r="X362" i="45"/>
  <c r="W362" i="45"/>
  <c r="T422" i="44" l="1"/>
  <c r="P422" i="44"/>
  <c r="U363" i="45"/>
  <c r="Z362" i="45"/>
  <c r="P363" i="45"/>
  <c r="R363" i="45" s="1"/>
  <c r="S363" i="45"/>
  <c r="X422" i="44" l="1"/>
  <c r="S422" i="44"/>
  <c r="U422" i="44" s="1"/>
  <c r="V422" i="44"/>
  <c r="T363" i="45"/>
  <c r="W422" i="44" l="1"/>
  <c r="M364" i="45"/>
  <c r="Q364" i="45"/>
  <c r="W363" i="45"/>
  <c r="Y363" i="45"/>
  <c r="X363" i="45"/>
  <c r="T423" i="44" l="1"/>
  <c r="P423" i="44"/>
  <c r="Z363" i="45"/>
  <c r="P364" i="45"/>
  <c r="R364" i="45" s="1"/>
  <c r="S364" i="45"/>
  <c r="U364" i="45"/>
  <c r="X423" i="44" l="1"/>
  <c r="S423" i="44"/>
  <c r="U423" i="44" s="1"/>
  <c r="V423" i="44"/>
  <c r="T364" i="45"/>
  <c r="Q365" i="45" s="1"/>
  <c r="W364" i="45" l="1"/>
  <c r="X364" i="45"/>
  <c r="Y364" i="45"/>
  <c r="M365" i="45"/>
  <c r="U365" i="45" s="1"/>
  <c r="W423" i="44"/>
  <c r="P365" i="45"/>
  <c r="R365" i="45" s="1"/>
  <c r="S365" i="45"/>
  <c r="Z364" i="45" l="1"/>
  <c r="T424" i="44"/>
  <c r="P424" i="44"/>
  <c r="T365" i="45"/>
  <c r="X424" i="44" l="1"/>
  <c r="S424" i="44"/>
  <c r="U424" i="44" s="1"/>
  <c r="V424" i="44"/>
  <c r="M366" i="45"/>
  <c r="Q366" i="45"/>
  <c r="Y365" i="45"/>
  <c r="W365" i="45"/>
  <c r="X365" i="45"/>
  <c r="W424" i="44" l="1"/>
  <c r="Z365" i="45"/>
  <c r="P366" i="45"/>
  <c r="R366" i="45" s="1"/>
  <c r="S366" i="45"/>
  <c r="U366" i="45"/>
  <c r="T425" i="44" l="1"/>
  <c r="P425" i="44"/>
  <c r="T366" i="45"/>
  <c r="Q367" i="45" s="1"/>
  <c r="W366" i="45" l="1"/>
  <c r="Y366" i="45"/>
  <c r="M367" i="45"/>
  <c r="U367" i="45" s="1"/>
  <c r="X366" i="45"/>
  <c r="X425" i="44"/>
  <c r="S425" i="44"/>
  <c r="U425" i="44" s="1"/>
  <c r="V425" i="44"/>
  <c r="P367" i="45"/>
  <c r="R367" i="45" s="1"/>
  <c r="S367" i="45"/>
  <c r="Z366" i="45" l="1"/>
  <c r="W425" i="44"/>
  <c r="T367" i="45"/>
  <c r="P426" i="44" l="1"/>
  <c r="T426" i="44"/>
  <c r="M368" i="45"/>
  <c r="Q368" i="45"/>
  <c r="X367" i="45"/>
  <c r="Y367" i="45"/>
  <c r="W367" i="45"/>
  <c r="S426" i="44" l="1"/>
  <c r="U426" i="44" s="1"/>
  <c r="V426" i="44"/>
  <c r="X426" i="44"/>
  <c r="P368" i="45"/>
  <c r="T368" i="45" s="1"/>
  <c r="S368" i="45"/>
  <c r="Z367" i="45"/>
  <c r="U368" i="45"/>
  <c r="AD49" i="45"/>
  <c r="W426" i="44" l="1"/>
  <c r="T427" i="44" s="1"/>
  <c r="P427" i="44"/>
  <c r="Q369" i="45"/>
  <c r="M369" i="45"/>
  <c r="W368" i="45"/>
  <c r="Y368" i="45"/>
  <c r="X368" i="45"/>
  <c r="R368" i="45"/>
  <c r="S427" i="44" l="1"/>
  <c r="U427" i="44" s="1"/>
  <c r="V427" i="44"/>
  <c r="X427" i="44"/>
  <c r="W427" i="44"/>
  <c r="U369" i="45"/>
  <c r="P369" i="45"/>
  <c r="S369" i="45"/>
  <c r="Z368" i="45"/>
  <c r="P428" i="44" l="1"/>
  <c r="T428" i="44"/>
  <c r="R369" i="45"/>
  <c r="T369" i="45"/>
  <c r="S428" i="44" l="1"/>
  <c r="U428" i="44" s="1"/>
  <c r="V428" i="44"/>
  <c r="X428" i="44"/>
  <c r="W428" i="44"/>
  <c r="M370" i="45"/>
  <c r="Q370" i="45"/>
  <c r="X369" i="45"/>
  <c r="Y369" i="45"/>
  <c r="W369" i="45"/>
  <c r="P429" i="44" l="1"/>
  <c r="T429" i="44"/>
  <c r="P370" i="45"/>
  <c r="T370" i="45" s="1"/>
  <c r="S370" i="45"/>
  <c r="Z369" i="45"/>
  <c r="U370" i="45"/>
  <c r="S429" i="44" l="1"/>
  <c r="U429" i="44" s="1"/>
  <c r="V429" i="44"/>
  <c r="X429" i="44"/>
  <c r="W429" i="44"/>
  <c r="Q371" i="45"/>
  <c r="M371" i="45"/>
  <c r="Y370" i="45"/>
  <c r="W370" i="45"/>
  <c r="X370" i="45"/>
  <c r="R370" i="45"/>
  <c r="P430" i="44" l="1"/>
  <c r="T430" i="44"/>
  <c r="U371" i="45"/>
  <c r="Z370" i="45"/>
  <c r="P371" i="45"/>
  <c r="S371" i="45"/>
  <c r="S430" i="44" l="1"/>
  <c r="U430" i="44" s="1"/>
  <c r="V430" i="44"/>
  <c r="X430" i="44"/>
  <c r="R371" i="45"/>
  <c r="T371" i="45"/>
  <c r="W430" i="44" l="1"/>
  <c r="T431" i="44" s="1"/>
  <c r="P431" i="44"/>
  <c r="Q372" i="45"/>
  <c r="M372" i="45"/>
  <c r="W371" i="45"/>
  <c r="X371" i="45"/>
  <c r="Y371" i="45"/>
  <c r="S431" i="44" l="1"/>
  <c r="U431" i="44" s="1"/>
  <c r="V431" i="44"/>
  <c r="X431" i="44"/>
  <c r="Z371" i="45"/>
  <c r="U372" i="45"/>
  <c r="P372" i="45"/>
  <c r="T372" i="45" s="1"/>
  <c r="S372" i="45"/>
  <c r="W431" i="44" l="1"/>
  <c r="T432" i="44" s="1"/>
  <c r="P432" i="44"/>
  <c r="M373" i="45"/>
  <c r="Q373" i="45"/>
  <c r="W372" i="45"/>
  <c r="Y372" i="45"/>
  <c r="X372" i="45"/>
  <c r="R372" i="45"/>
  <c r="X432" i="44" l="1"/>
  <c r="S432" i="44"/>
  <c r="U432" i="44" s="1"/>
  <c r="V432" i="44"/>
  <c r="Z372" i="45"/>
  <c r="P373" i="45"/>
  <c r="R373" i="45" s="1"/>
  <c r="S373" i="45"/>
  <c r="U373" i="45"/>
  <c r="W432" i="44" l="1"/>
  <c r="T373" i="45"/>
  <c r="T433" i="44" l="1"/>
  <c r="P433" i="44"/>
  <c r="M374" i="45"/>
  <c r="Q374" i="45"/>
  <c r="W373" i="45"/>
  <c r="X373" i="45"/>
  <c r="Y373" i="45"/>
  <c r="X433" i="44" l="1"/>
  <c r="S433" i="44"/>
  <c r="U433" i="44" s="1"/>
  <c r="V433" i="44"/>
  <c r="Z373" i="45"/>
  <c r="P374" i="45"/>
  <c r="R374" i="45" s="1"/>
  <c r="S374" i="45"/>
  <c r="U374" i="45"/>
  <c r="W433" i="44" l="1"/>
  <c r="T374" i="45"/>
  <c r="Q375" i="45" s="1"/>
  <c r="M375" i="45"/>
  <c r="X374" i="45"/>
  <c r="W374" i="45"/>
  <c r="Y374" i="45"/>
  <c r="T434" i="44" l="1"/>
  <c r="P434" i="44"/>
  <c r="Z374" i="45"/>
  <c r="U375" i="45"/>
  <c r="P375" i="45"/>
  <c r="R375" i="45" s="1"/>
  <c r="S375" i="45"/>
  <c r="X434" i="44" l="1"/>
  <c r="S434" i="44"/>
  <c r="U434" i="44" s="1"/>
  <c r="V434" i="44"/>
  <c r="T375" i="45"/>
  <c r="W434" i="44" l="1"/>
  <c r="M376" i="45"/>
  <c r="Q376" i="45"/>
  <c r="Y375" i="45"/>
  <c r="W375" i="45"/>
  <c r="X375" i="45"/>
  <c r="P435" i="44" l="1"/>
  <c r="T435" i="44"/>
  <c r="Z375" i="45"/>
  <c r="P376" i="45"/>
  <c r="R376" i="45" s="1"/>
  <c r="S376" i="45"/>
  <c r="U376" i="45"/>
  <c r="S435" i="44" l="1"/>
  <c r="U435" i="44" s="1"/>
  <c r="V435" i="44"/>
  <c r="X435" i="44"/>
  <c r="W435" i="44"/>
  <c r="T376" i="45"/>
  <c r="W376" i="45" s="1"/>
  <c r="M377" i="45" l="1"/>
  <c r="U377" i="45" s="1"/>
  <c r="P436" i="44"/>
  <c r="T436" i="44"/>
  <c r="Q377" i="45"/>
  <c r="Y376" i="45"/>
  <c r="X376" i="45"/>
  <c r="P377" i="45"/>
  <c r="R377" i="45" s="1"/>
  <c r="S377" i="45"/>
  <c r="S436" i="44" l="1"/>
  <c r="U436" i="44" s="1"/>
  <c r="V436" i="44"/>
  <c r="X436" i="44"/>
  <c r="W436" i="44"/>
  <c r="Z376" i="45"/>
  <c r="T377" i="45"/>
  <c r="T437" i="44" l="1"/>
  <c r="P437" i="44"/>
  <c r="M378" i="45"/>
  <c r="Q378" i="45"/>
  <c r="W377" i="45"/>
  <c r="Y377" i="45"/>
  <c r="X377" i="45"/>
  <c r="X437" i="44" l="1"/>
  <c r="S437" i="44"/>
  <c r="U437" i="44" s="1"/>
  <c r="V437" i="44"/>
  <c r="Z377" i="45"/>
  <c r="P378" i="45"/>
  <c r="T378" i="45" s="1"/>
  <c r="S378" i="45"/>
  <c r="AG45" i="45"/>
  <c r="AG46" i="45"/>
  <c r="AG47" i="45"/>
  <c r="AG48" i="45"/>
  <c r="AG49" i="45"/>
  <c r="U378" i="45"/>
  <c r="M379" i="45" l="1"/>
  <c r="Q379" i="45"/>
  <c r="W437" i="44"/>
  <c r="AJ45" i="45"/>
  <c r="AJ46" i="45"/>
  <c r="AJ47" i="45"/>
  <c r="AJ48" i="45"/>
  <c r="AJ49" i="45"/>
  <c r="Y378" i="45"/>
  <c r="W378" i="45"/>
  <c r="X378" i="45"/>
  <c r="R378" i="45"/>
  <c r="AF45" i="45"/>
  <c r="AF46" i="45"/>
  <c r="AL46" i="45" s="1"/>
  <c r="AF47" i="45"/>
  <c r="AL47" i="45" s="1"/>
  <c r="AF48" i="45"/>
  <c r="AL48" i="45" s="1"/>
  <c r="AF49" i="45"/>
  <c r="AL49" i="45" s="1"/>
  <c r="U379" i="45" l="1"/>
  <c r="P379" i="45"/>
  <c r="R379" i="45" s="1"/>
  <c r="S379" i="45"/>
  <c r="P438" i="44"/>
  <c r="T438" i="44"/>
  <c r="Z378" i="45"/>
  <c r="AL45" i="45"/>
  <c r="AI45" i="45"/>
  <c r="AI46" i="45"/>
  <c r="AI47" i="45"/>
  <c r="AI48" i="45"/>
  <c r="AI49" i="45"/>
  <c r="T379" i="45" l="1"/>
  <c r="S438" i="44"/>
  <c r="U438" i="44" s="1"/>
  <c r="V438" i="44"/>
  <c r="X438" i="44"/>
  <c r="Y379" i="45"/>
  <c r="Z10" i="45" s="1"/>
  <c r="W379" i="45"/>
  <c r="X379" i="45"/>
  <c r="Z9" i="45" s="1"/>
  <c r="M380" i="45" l="1"/>
  <c r="Q380" i="45"/>
  <c r="W438" i="44"/>
  <c r="T439" i="44" s="1"/>
  <c r="Z379" i="45"/>
  <c r="AH45" i="45"/>
  <c r="Z11" i="45"/>
  <c r="Z8" i="45"/>
  <c r="AH46" i="45"/>
  <c r="AH47" i="45"/>
  <c r="AH48" i="45"/>
  <c r="AH49" i="45"/>
  <c r="P439" i="44" l="1"/>
  <c r="X439" i="44" s="1"/>
  <c r="P380" i="45"/>
  <c r="R380" i="45" s="1"/>
  <c r="S380" i="45"/>
  <c r="U380" i="45"/>
  <c r="S439" i="44"/>
  <c r="V439" i="44"/>
  <c r="AK46" i="45"/>
  <c r="AK45" i="45"/>
  <c r="AK48" i="45"/>
  <c r="AK47" i="45"/>
  <c r="AK49" i="45"/>
  <c r="Z12" i="45"/>
  <c r="AE45" i="45"/>
  <c r="AE46" i="45"/>
  <c r="AE47" i="45"/>
  <c r="AE48" i="45"/>
  <c r="AE49" i="45"/>
  <c r="T380" i="45" l="1"/>
  <c r="M381" i="45" s="1"/>
  <c r="U439" i="44"/>
  <c r="V13" i="44" s="1"/>
  <c r="V12" i="44" s="1"/>
  <c r="T440" i="44"/>
  <c r="Q381" i="45" l="1"/>
  <c r="P381" i="45"/>
  <c r="R381" i="45" s="1"/>
  <c r="S381" i="45"/>
  <c r="U381" i="45"/>
  <c r="T381" i="45" l="1"/>
  <c r="Q382" i="45"/>
  <c r="M382" i="45"/>
  <c r="U382" i="45" l="1"/>
  <c r="P382" i="45"/>
  <c r="R382" i="45" s="1"/>
  <c r="S382" i="45"/>
  <c r="T382" i="45" l="1"/>
  <c r="Q383" i="45" l="1"/>
  <c r="M383" i="45"/>
  <c r="U383" i="45" l="1"/>
  <c r="P383" i="45"/>
  <c r="R383" i="45" s="1"/>
  <c r="S383" i="45"/>
  <c r="T383" i="45" l="1"/>
  <c r="M384" i="45" l="1"/>
  <c r="Q384" i="45"/>
  <c r="P384" i="45" l="1"/>
  <c r="R384" i="45" s="1"/>
  <c r="S384" i="45"/>
  <c r="U384" i="45"/>
  <c r="T384" i="45" l="1"/>
  <c r="M385" i="45" s="1"/>
  <c r="Q385" i="45" l="1"/>
  <c r="U385" i="45"/>
  <c r="P385" i="45"/>
  <c r="R385" i="45" s="1"/>
  <c r="S385" i="45"/>
  <c r="T385" i="45" l="1"/>
  <c r="M386" i="45" l="1"/>
  <c r="Q386" i="45"/>
  <c r="P386" i="45" l="1"/>
  <c r="R386" i="45" s="1"/>
  <c r="S386" i="45"/>
  <c r="U386" i="45"/>
  <c r="T386" i="45" l="1"/>
  <c r="M387" i="45" s="1"/>
  <c r="Q387" i="45" l="1"/>
  <c r="P387" i="45" s="1"/>
  <c r="R387" i="45" s="1"/>
  <c r="S387" i="45"/>
  <c r="U387" i="45"/>
  <c r="T387" i="45" l="1"/>
  <c r="Q388" i="45" s="1"/>
  <c r="M388" i="45" l="1"/>
  <c r="U388" i="45" s="1"/>
  <c r="P388" i="45"/>
  <c r="R388" i="45" s="1"/>
  <c r="S388" i="45"/>
  <c r="T388" i="45" l="1"/>
  <c r="Q389" i="45" s="1"/>
  <c r="M389" i="45" l="1"/>
  <c r="U389" i="45" s="1"/>
  <c r="P389" i="45"/>
  <c r="R389" i="45" s="1"/>
  <c r="S389" i="45"/>
  <c r="T389" i="45" l="1"/>
  <c r="Q390" i="45" s="1"/>
  <c r="M390" i="45" l="1"/>
  <c r="U390" i="45" s="1"/>
  <c r="P390" i="45"/>
  <c r="R390" i="45" s="1"/>
  <c r="S390" i="45"/>
  <c r="T390" i="45" l="1"/>
  <c r="M391" i="45" l="1"/>
  <c r="Q391" i="45"/>
  <c r="P391" i="45" l="1"/>
  <c r="R391" i="45" s="1"/>
  <c r="S391" i="45"/>
  <c r="U391" i="45"/>
  <c r="T391" i="45" l="1"/>
  <c r="M392" i="45" l="1"/>
  <c r="Q392" i="45"/>
  <c r="P392" i="45" l="1"/>
  <c r="R392" i="45" s="1"/>
  <c r="S392" i="45"/>
  <c r="U392" i="45"/>
  <c r="T392" i="45" l="1"/>
  <c r="Q393" i="45" s="1"/>
  <c r="M393" i="45" l="1"/>
  <c r="U393" i="45" s="1"/>
  <c r="P393" i="45"/>
  <c r="R393" i="45" s="1"/>
  <c r="S393" i="45"/>
  <c r="T393" i="45" l="1"/>
  <c r="Q394" i="45" s="1"/>
  <c r="M394" i="45" l="1"/>
  <c r="U394" i="45" s="1"/>
  <c r="P394" i="45"/>
  <c r="R394" i="45" s="1"/>
  <c r="S394" i="45"/>
  <c r="T394" i="45" l="1"/>
  <c r="Q395" i="45" l="1"/>
  <c r="M395" i="45"/>
  <c r="U395" i="45" l="1"/>
  <c r="P395" i="45"/>
  <c r="R395" i="45" s="1"/>
  <c r="S395" i="45"/>
  <c r="T395" i="45" l="1"/>
  <c r="M396" i="45" l="1"/>
  <c r="Q396" i="45"/>
  <c r="P396" i="45" l="1"/>
  <c r="R396" i="45" s="1"/>
  <c r="S396" i="45"/>
  <c r="U396" i="45"/>
  <c r="T396" i="45"/>
  <c r="M397" i="45" l="1"/>
  <c r="Q397" i="45"/>
  <c r="P397" i="45" l="1"/>
  <c r="R397" i="45" s="1"/>
  <c r="S397" i="45"/>
  <c r="U397" i="45"/>
  <c r="T397" i="45" l="1"/>
  <c r="M398" i="45"/>
  <c r="Q398" i="45"/>
  <c r="P398" i="45" l="1"/>
  <c r="R398" i="45" s="1"/>
  <c r="S398" i="45"/>
  <c r="U398" i="45"/>
  <c r="T398" i="45" l="1"/>
  <c r="Q399" i="45" s="1"/>
  <c r="M399" i="45"/>
  <c r="U399" i="45" l="1"/>
  <c r="P399" i="45"/>
  <c r="R399" i="45" s="1"/>
  <c r="S399" i="45"/>
  <c r="T399" i="45" l="1"/>
  <c r="Q400" i="45" s="1"/>
  <c r="M400" i="45" l="1"/>
  <c r="P400" i="45" l="1"/>
  <c r="R400" i="45" s="1"/>
  <c r="S400" i="45"/>
  <c r="U400" i="45"/>
  <c r="T400" i="45" l="1"/>
  <c r="M401" i="45" s="1"/>
  <c r="Q401" i="45" l="1"/>
  <c r="P401" i="45" s="1"/>
  <c r="S401" i="45"/>
  <c r="U401" i="45"/>
  <c r="R401" i="45" l="1"/>
  <c r="T401" i="45"/>
  <c r="Q402" i="45" s="1"/>
  <c r="M402" i="45"/>
  <c r="P402" i="45" l="1"/>
  <c r="R402" i="45" s="1"/>
  <c r="S402" i="45"/>
  <c r="U402" i="45"/>
  <c r="T402" i="45" l="1"/>
  <c r="M403" i="45"/>
  <c r="Q403" i="45"/>
  <c r="P403" i="45" l="1"/>
  <c r="R403" i="45" s="1"/>
  <c r="S403" i="45"/>
  <c r="U403" i="45"/>
  <c r="T403" i="45" l="1"/>
  <c r="Q404" i="45" s="1"/>
  <c r="M404" i="45" l="1"/>
  <c r="U404" i="45" s="1"/>
  <c r="P404" i="45"/>
  <c r="R404" i="45" s="1"/>
  <c r="S404" i="45"/>
  <c r="T404" i="45" l="1"/>
  <c r="Q405" i="45" l="1"/>
  <c r="M405" i="45"/>
  <c r="U405" i="45" l="1"/>
  <c r="P405" i="45"/>
  <c r="R405" i="45" s="1"/>
  <c r="S405" i="45"/>
  <c r="T405" i="45" l="1"/>
  <c r="Q406" i="45" l="1"/>
  <c r="M406" i="45"/>
  <c r="U406" i="45" l="1"/>
  <c r="P406" i="45"/>
  <c r="R406" i="45" s="1"/>
  <c r="S406" i="45"/>
  <c r="T406" i="45" l="1"/>
  <c r="M407" i="45" l="1"/>
  <c r="Q407" i="45"/>
  <c r="P407" i="45" l="1"/>
  <c r="R407" i="45" s="1"/>
  <c r="S407" i="45"/>
  <c r="U407" i="45"/>
  <c r="T407" i="45" l="1"/>
  <c r="M408" i="45" s="1"/>
  <c r="Q408" i="45" l="1"/>
  <c r="P408" i="45"/>
  <c r="R408" i="45" s="1"/>
  <c r="S408" i="45"/>
  <c r="U408" i="45"/>
  <c r="T408" i="45" l="1"/>
  <c r="M409" i="45" s="1"/>
  <c r="Q409" i="45" l="1"/>
  <c r="P409" i="45"/>
  <c r="R409" i="45" s="1"/>
  <c r="S409" i="45"/>
  <c r="U409" i="45"/>
  <c r="T409" i="45" l="1"/>
  <c r="M410" i="45" s="1"/>
  <c r="Q410" i="45" l="1"/>
  <c r="P410" i="45" s="1"/>
  <c r="R410" i="45" s="1"/>
  <c r="S410" i="45"/>
  <c r="U410" i="45"/>
  <c r="T410" i="45" l="1"/>
  <c r="Q411" i="45" s="1"/>
  <c r="M411" i="45"/>
  <c r="U411" i="45" l="1"/>
  <c r="P411" i="45"/>
  <c r="R411" i="45" s="1"/>
  <c r="S411" i="45"/>
  <c r="T411" i="45" l="1"/>
  <c r="Q412" i="45" l="1"/>
  <c r="M412" i="45"/>
  <c r="U412" i="45" l="1"/>
  <c r="P412" i="45"/>
  <c r="R412" i="45" s="1"/>
  <c r="S412" i="45"/>
  <c r="T412" i="45" l="1"/>
  <c r="M413" i="45" l="1"/>
  <c r="Q413" i="45"/>
  <c r="P413" i="45" l="1"/>
  <c r="R413" i="45" s="1"/>
  <c r="S413" i="45"/>
  <c r="U413" i="45"/>
  <c r="T413" i="45"/>
  <c r="M414" i="45" l="1"/>
  <c r="Q414" i="45"/>
  <c r="P414" i="45" l="1"/>
  <c r="R414" i="45" s="1"/>
  <c r="S414" i="45"/>
  <c r="U414" i="45"/>
  <c r="T414" i="45" l="1"/>
  <c r="Q415" i="45" s="1"/>
  <c r="M415" i="45"/>
  <c r="U415" i="45" l="1"/>
  <c r="P415" i="45"/>
  <c r="R415" i="45" s="1"/>
  <c r="S415" i="45"/>
  <c r="T415" i="45" l="1"/>
  <c r="M416" i="45" l="1"/>
  <c r="Q416" i="45"/>
  <c r="P416" i="45" l="1"/>
  <c r="R416" i="45" s="1"/>
  <c r="S416" i="45"/>
  <c r="U416" i="45"/>
  <c r="T416" i="45" l="1"/>
  <c r="M417" i="45" s="1"/>
  <c r="Q417" i="45" l="1"/>
  <c r="P417" i="45"/>
  <c r="R417" i="45" s="1"/>
  <c r="S417" i="45"/>
  <c r="U417" i="45"/>
  <c r="T417" i="45" l="1"/>
  <c r="Q418" i="45" s="1"/>
  <c r="M418" i="45" l="1"/>
  <c r="U418" i="45" s="1"/>
  <c r="P418" i="45"/>
  <c r="R418" i="45" s="1"/>
  <c r="S418" i="45"/>
  <c r="T418" i="45" l="1"/>
  <c r="M419" i="45" l="1"/>
  <c r="Q419" i="45"/>
  <c r="P419" i="45" l="1"/>
  <c r="R419" i="45" s="1"/>
  <c r="S419" i="45"/>
  <c r="U419" i="45"/>
  <c r="T419" i="45" l="1"/>
  <c r="Q420" i="45" s="1"/>
  <c r="M420" i="45"/>
  <c r="U420" i="45" l="1"/>
  <c r="P420" i="45"/>
  <c r="R420" i="45" s="1"/>
  <c r="S420" i="45"/>
  <c r="T420" i="45" l="1"/>
  <c r="M421" i="45" l="1"/>
  <c r="Q421" i="45"/>
  <c r="P421" i="45" l="1"/>
  <c r="R421" i="45" s="1"/>
  <c r="S421" i="45"/>
  <c r="U421" i="45"/>
  <c r="T421" i="45" l="1"/>
  <c r="Q422" i="45" s="1"/>
  <c r="M422" i="45"/>
  <c r="U422" i="45" l="1"/>
  <c r="P422" i="45"/>
  <c r="R422" i="45" s="1"/>
  <c r="S422" i="45"/>
  <c r="T422" i="45" l="1"/>
  <c r="M423" i="45" l="1"/>
  <c r="Q423" i="45"/>
  <c r="P423" i="45" l="1"/>
  <c r="R423" i="45" s="1"/>
  <c r="S423" i="45"/>
  <c r="U423" i="45"/>
  <c r="T423" i="45" l="1"/>
  <c r="Q424" i="45" s="1"/>
  <c r="M424" i="45"/>
  <c r="P424" i="45" l="1"/>
  <c r="R424" i="45" s="1"/>
  <c r="S424" i="45"/>
  <c r="U424" i="45"/>
  <c r="T424" i="45" l="1"/>
  <c r="M425" i="45" s="1"/>
  <c r="Q425" i="45" l="1"/>
  <c r="P425" i="45"/>
  <c r="R425" i="45" s="1"/>
  <c r="S425" i="45"/>
  <c r="U425" i="45"/>
  <c r="T425" i="45" l="1"/>
  <c r="M426" i="45" s="1"/>
  <c r="Q426" i="45" l="1"/>
  <c r="P426" i="45" s="1"/>
  <c r="S426" i="45"/>
  <c r="U426" i="45"/>
  <c r="R426" i="45" l="1"/>
  <c r="T426" i="45"/>
  <c r="Q427" i="45" s="1"/>
  <c r="M427" i="45"/>
  <c r="U427" i="45" l="1"/>
  <c r="P427" i="45"/>
  <c r="R427" i="45" s="1"/>
  <c r="S427" i="45"/>
  <c r="T427" i="45" l="1"/>
  <c r="Q428" i="45" l="1"/>
  <c r="M428" i="45"/>
  <c r="P428" i="45" l="1"/>
  <c r="R428" i="45" s="1"/>
  <c r="S428" i="45"/>
  <c r="U428" i="45"/>
  <c r="T428" i="45"/>
  <c r="M429" i="45" l="1"/>
  <c r="Q429" i="45"/>
  <c r="P429" i="45" l="1"/>
  <c r="R429" i="45" s="1"/>
  <c r="S429" i="45"/>
  <c r="U429" i="45"/>
  <c r="T429" i="45" l="1"/>
  <c r="Q430" i="45" s="1"/>
  <c r="M430" i="45"/>
  <c r="P430" i="45" l="1"/>
  <c r="R430" i="45" s="1"/>
  <c r="S430" i="45"/>
  <c r="U430" i="45"/>
  <c r="T430" i="45" l="1"/>
  <c r="Q431" i="45" s="1"/>
  <c r="M431" i="45"/>
  <c r="U431" i="45" l="1"/>
  <c r="P431" i="45"/>
  <c r="R431" i="45" s="1"/>
  <c r="S431" i="45"/>
  <c r="T431" i="45" l="1"/>
  <c r="Q432" i="45" l="1"/>
  <c r="M432" i="45"/>
  <c r="U432" i="45" l="1"/>
  <c r="P432" i="45"/>
  <c r="R432" i="45" s="1"/>
  <c r="S432" i="45"/>
  <c r="T432" i="45" l="1"/>
  <c r="Q433" i="45" l="1"/>
  <c r="M433" i="45"/>
  <c r="U433" i="45" l="1"/>
  <c r="P433" i="45"/>
  <c r="R433" i="45" s="1"/>
  <c r="S433" i="45"/>
  <c r="T433" i="45" l="1"/>
  <c r="Q434" i="45" l="1"/>
  <c r="M434" i="45"/>
  <c r="U434" i="45" l="1"/>
  <c r="P434" i="45"/>
  <c r="R434" i="45" s="1"/>
  <c r="S434" i="45"/>
  <c r="T434" i="45" l="1"/>
  <c r="Q435" i="45" l="1"/>
  <c r="M435" i="45"/>
  <c r="U435" i="45" l="1"/>
  <c r="P435" i="45"/>
  <c r="R435" i="45" s="1"/>
  <c r="S435" i="45"/>
  <c r="T435" i="45" l="1"/>
  <c r="Q436" i="45" l="1"/>
  <c r="P436" i="45" s="1"/>
  <c r="M436" i="45"/>
  <c r="U436" i="45" l="1"/>
  <c r="R436" i="45"/>
  <c r="S436" i="45"/>
  <c r="T436" i="45" l="1"/>
  <c r="Q437" i="45" l="1"/>
  <c r="M437" i="45"/>
  <c r="U437" i="45" l="1"/>
  <c r="P437" i="45"/>
  <c r="R437" i="45" s="1"/>
  <c r="S437" i="45"/>
  <c r="T437" i="45" l="1"/>
  <c r="Q438" i="45" l="1"/>
  <c r="M438" i="45"/>
  <c r="U438" i="45" l="1"/>
  <c r="P438" i="45"/>
  <c r="R438" i="45" s="1"/>
  <c r="S438" i="45"/>
  <c r="T438" i="45" l="1"/>
  <c r="M439" i="45" l="1"/>
  <c r="Q439" i="45"/>
  <c r="U439" i="45" l="1"/>
  <c r="P439" i="45"/>
  <c r="T439" i="45" s="1"/>
  <c r="S439" i="45"/>
  <c r="S12" i="45" s="1"/>
  <c r="R439" i="45" l="1"/>
  <c r="S11" i="45" s="1"/>
  <c r="S10" i="45" s="1"/>
  <c r="Q440" i="45"/>
  <c r="G82" i="25" l="1"/>
  <c r="H15" i="26" s="1"/>
  <c r="H9" i="26" s="1"/>
  <c r="J98" i="25"/>
  <c r="J97" i="25"/>
  <c r="J85" i="25"/>
  <c r="J96" i="25"/>
  <c r="J84" i="25"/>
  <c r="J94" i="25"/>
  <c r="J93" i="25"/>
  <c r="J83" i="25"/>
  <c r="I82" i="25" l="1"/>
  <c r="G87" i="25"/>
  <c r="G75" i="25" s="1"/>
  <c r="H82" i="25"/>
  <c r="J95" i="25"/>
  <c r="I87" i="25" l="1"/>
  <c r="H87" i="25"/>
  <c r="G113" i="25"/>
  <c r="K30" i="26"/>
  <c r="D26" i="26" l="1"/>
  <c r="I26" i="55" l="1"/>
  <c r="C124" i="25"/>
  <c r="D124" i="25" s="1"/>
  <c r="C125" i="25"/>
  <c r="D125" i="25" s="1"/>
  <c r="F14" i="27"/>
  <c r="C123" i="25"/>
  <c r="D123" i="25" s="1"/>
  <c r="H26" i="55" l="1"/>
  <c r="F15" i="27" l="1"/>
  <c r="I67" i="57" l="1"/>
  <c r="D17" i="58" l="1"/>
  <c r="G22" i="14"/>
  <c r="H22" i="14" l="1"/>
  <c r="O22" i="14"/>
  <c r="M30" i="58"/>
  <c r="I30" i="58"/>
  <c r="Q30" i="58"/>
  <c r="P30" i="58"/>
  <c r="L30" i="58"/>
  <c r="H30" i="58"/>
  <c r="S30" i="58"/>
  <c r="O30" i="58"/>
  <c r="K30" i="58"/>
  <c r="R30" i="58"/>
  <c r="N30" i="58"/>
  <c r="J30" i="58"/>
  <c r="Q22" i="14" l="1"/>
  <c r="R22" i="14" s="1"/>
  <c r="P22" i="14"/>
  <c r="G25" i="14" l="1"/>
  <c r="O25" i="14" s="1"/>
  <c r="G31" i="14"/>
  <c r="O31" i="14" s="1"/>
  <c r="G32" i="14"/>
  <c r="O32" i="14" s="1"/>
  <c r="O43" i="14" l="1" a="1"/>
  <c r="O43" i="14" s="1"/>
  <c r="H32" i="14"/>
  <c r="H25" i="14"/>
  <c r="H31" i="14"/>
  <c r="O19" i="14" l="1"/>
  <c r="P31" i="14"/>
  <c r="Q31" i="14"/>
  <c r="R31" i="14" s="1"/>
  <c r="P25" i="14"/>
  <c r="Q25" i="14"/>
  <c r="R25" i="14" s="1"/>
  <c r="P19" i="14"/>
  <c r="P43" i="14" s="1" a="1"/>
  <c r="P43" i="14" s="1"/>
  <c r="P32" i="14"/>
  <c r="Q32" i="14"/>
  <c r="R32" i="14" s="1"/>
  <c r="H38" i="24" l="1"/>
  <c r="R38" i="24"/>
  <c r="R41" i="24" s="1"/>
  <c r="S38" i="24"/>
  <c r="S41" i="24" s="1"/>
  <c r="U38" i="24"/>
  <c r="U41" i="24" s="1"/>
  <c r="T38" i="24"/>
  <c r="T41" i="24" s="1"/>
  <c r="M38" i="24"/>
  <c r="M41" i="24" s="1"/>
  <c r="O38" i="24"/>
  <c r="O41" i="24" s="1"/>
  <c r="K38" i="24"/>
  <c r="K41" i="24" s="1"/>
  <c r="P38" i="24"/>
  <c r="P41" i="24" s="1"/>
  <c r="Q38" i="24"/>
  <c r="Q41" i="24" s="1"/>
  <c r="N38" i="24"/>
  <c r="N41" i="24" s="1"/>
  <c r="L38" i="24"/>
  <c r="L41" i="24" s="1"/>
  <c r="I38" i="24"/>
  <c r="J38" i="24"/>
  <c r="W38" i="24"/>
  <c r="W41" i="24" s="1"/>
  <c r="X38" i="24"/>
  <c r="X41" i="24" s="1"/>
  <c r="V38" i="24"/>
  <c r="V41" i="24" s="1"/>
  <c r="L71" i="24" l="1"/>
  <c r="L69" i="24"/>
  <c r="L72" i="24"/>
  <c r="L70" i="24"/>
  <c r="L65" i="24"/>
  <c r="K71" i="24"/>
  <c r="K69" i="24"/>
  <c r="K72" i="24"/>
  <c r="K70" i="24"/>
  <c r="K65" i="24"/>
  <c r="U70" i="24"/>
  <c r="U71" i="24"/>
  <c r="U72" i="24"/>
  <c r="U69" i="24"/>
  <c r="U65" i="24"/>
  <c r="U95" i="24" s="1"/>
  <c r="U100" i="24" s="1"/>
  <c r="U103" i="24" s="1"/>
  <c r="N71" i="24"/>
  <c r="N72" i="24"/>
  <c r="N69" i="24"/>
  <c r="N70" i="24"/>
  <c r="N65" i="24"/>
  <c r="O71" i="24"/>
  <c r="O70" i="24"/>
  <c r="O72" i="24"/>
  <c r="O69" i="24"/>
  <c r="O65" i="24"/>
  <c r="S70" i="24"/>
  <c r="S69" i="24"/>
  <c r="S72" i="24"/>
  <c r="S71" i="24"/>
  <c r="S65" i="24"/>
  <c r="S95" i="24" s="1"/>
  <c r="S100" i="24" s="1"/>
  <c r="S103" i="24" s="1"/>
  <c r="Q72" i="24"/>
  <c r="Q69" i="24"/>
  <c r="Q70" i="24"/>
  <c r="Q71" i="24"/>
  <c r="Q65" i="24"/>
  <c r="M70" i="24"/>
  <c r="M71" i="24"/>
  <c r="M69" i="24"/>
  <c r="M72" i="24"/>
  <c r="M65" i="24"/>
  <c r="R69" i="24"/>
  <c r="R72" i="24"/>
  <c r="R71" i="24"/>
  <c r="R70" i="24"/>
  <c r="R65" i="24"/>
  <c r="R95" i="24" s="1"/>
  <c r="R100" i="24" s="1"/>
  <c r="R103" i="24" s="1"/>
  <c r="P70" i="24"/>
  <c r="P69" i="24"/>
  <c r="P72" i="24"/>
  <c r="P71" i="24"/>
  <c r="P65" i="24"/>
  <c r="T71" i="24"/>
  <c r="T70" i="24"/>
  <c r="T69" i="24"/>
  <c r="T72" i="24"/>
  <c r="T65" i="24"/>
  <c r="V69" i="24"/>
  <c r="V71" i="24"/>
  <c r="V70" i="24"/>
  <c r="V72" i="24"/>
  <c r="V65" i="24"/>
  <c r="X72" i="24"/>
  <c r="X70" i="24"/>
  <c r="X71" i="24"/>
  <c r="X69" i="24"/>
  <c r="X65" i="24"/>
  <c r="X95" i="24" s="1"/>
  <c r="X100" i="24" s="1"/>
  <c r="X103" i="24" s="1"/>
  <c r="W70" i="24"/>
  <c r="W69" i="24"/>
  <c r="W71" i="24"/>
  <c r="W72" i="24"/>
  <c r="W65" i="24"/>
  <c r="W95" i="24" s="1"/>
  <c r="W100" i="24" s="1"/>
  <c r="W103" i="24" s="1"/>
  <c r="FT69" i="24"/>
  <c r="FT72" i="24"/>
  <c r="FT68" i="24"/>
  <c r="FT70" i="24"/>
  <c r="FT71" i="24"/>
  <c r="FQ70" i="24"/>
  <c r="FQ72" i="24"/>
  <c r="FQ71" i="24"/>
  <c r="FQ69" i="24"/>
  <c r="FQ68" i="24"/>
  <c r="FN68" i="24"/>
  <c r="FN70" i="24"/>
  <c r="FN72" i="24"/>
  <c r="FN71" i="24"/>
  <c r="FN69" i="24"/>
  <c r="FJ68" i="24"/>
  <c r="FJ69" i="24"/>
  <c r="FJ70" i="24"/>
  <c r="FJ72" i="24"/>
  <c r="FJ71" i="24"/>
  <c r="FR68" i="24"/>
  <c r="FR69" i="24"/>
  <c r="FR72" i="24"/>
  <c r="FR70" i="24"/>
  <c r="FR71" i="24"/>
  <c r="FK70" i="24"/>
  <c r="FK68" i="24"/>
  <c r="FK71" i="24"/>
  <c r="FK69" i="24"/>
  <c r="FK72" i="24"/>
  <c r="FO68" i="24"/>
  <c r="FO69" i="24"/>
  <c r="FO72" i="24"/>
  <c r="FO70" i="24"/>
  <c r="FO71" i="24"/>
  <c r="FH72" i="24"/>
  <c r="FH70" i="24"/>
  <c r="FH68" i="24"/>
  <c r="FH69" i="24"/>
  <c r="FH71" i="24"/>
  <c r="FP69" i="24"/>
  <c r="FP72" i="24"/>
  <c r="FP68" i="24"/>
  <c r="FP70" i="24"/>
  <c r="FP71" i="24"/>
  <c r="FM71" i="24"/>
  <c r="FM69" i="24"/>
  <c r="FM70" i="24"/>
  <c r="FM68" i="24"/>
  <c r="FM72" i="24"/>
  <c r="FI71" i="24"/>
  <c r="FI69" i="24"/>
  <c r="FI72" i="24"/>
  <c r="FI68" i="24"/>
  <c r="FI70" i="24"/>
  <c r="FL72" i="24"/>
  <c r="FL70" i="24"/>
  <c r="FL68" i="24"/>
  <c r="FL69" i="24"/>
  <c r="FL71" i="24"/>
  <c r="FS68" i="24"/>
  <c r="FS69" i="24"/>
  <c r="FS70" i="24"/>
  <c r="FS71" i="24"/>
  <c r="FS72" i="24"/>
  <c r="EW69" i="24"/>
  <c r="EW68" i="24"/>
  <c r="EW71" i="24"/>
  <c r="EW70" i="24"/>
  <c r="EW72" i="24"/>
  <c r="FG68" i="24"/>
  <c r="FG70" i="24"/>
  <c r="FG69" i="24"/>
  <c r="FG71" i="24"/>
  <c r="FG72" i="24"/>
  <c r="EV41" i="24"/>
  <c r="FB69" i="24"/>
  <c r="FB68" i="24"/>
  <c r="FB71" i="24"/>
  <c r="FB70" i="24"/>
  <c r="FB72" i="24"/>
  <c r="EX69" i="24"/>
  <c r="EX68" i="24"/>
  <c r="EX71" i="24"/>
  <c r="EX70" i="24"/>
  <c r="EX72" i="24"/>
  <c r="FD68" i="24"/>
  <c r="FD71" i="24"/>
  <c r="FD70" i="24"/>
  <c r="FD69" i="24"/>
  <c r="FD72" i="24"/>
  <c r="FC68" i="24"/>
  <c r="FC70" i="24"/>
  <c r="FC69" i="24"/>
  <c r="FC71" i="24"/>
  <c r="FC72" i="24"/>
  <c r="FA69" i="24"/>
  <c r="FA68" i="24"/>
  <c r="FA71" i="24"/>
  <c r="FA70" i="24"/>
  <c r="FA72" i="24"/>
  <c r="FF69" i="24"/>
  <c r="FF68" i="24"/>
  <c r="FF71" i="24"/>
  <c r="FF70" i="24"/>
  <c r="FF72" i="24"/>
  <c r="FE69" i="24"/>
  <c r="FE68" i="24"/>
  <c r="FE71" i="24"/>
  <c r="FE70" i="24"/>
  <c r="FE72" i="24"/>
  <c r="EZ68" i="24"/>
  <c r="EZ69" i="24"/>
  <c r="EZ71" i="24"/>
  <c r="EZ70" i="24"/>
  <c r="EZ72" i="24"/>
  <c r="EY68" i="24"/>
  <c r="EY70" i="24"/>
  <c r="EY69" i="24"/>
  <c r="EY71" i="24"/>
  <c r="EY72" i="24"/>
  <c r="Q73" i="24" l="1"/>
  <c r="O73" i="24"/>
  <c r="T95" i="24"/>
  <c r="T100" i="24" s="1"/>
  <c r="T103" i="24" s="1"/>
  <c r="P73" i="24"/>
  <c r="P76" i="24" s="1"/>
  <c r="Q95" i="24"/>
  <c r="Q100" i="24" s="1"/>
  <c r="Q103" i="24" s="1"/>
  <c r="Q76" i="24"/>
  <c r="S73" i="24"/>
  <c r="S76" i="24" s="1"/>
  <c r="S106" i="24" s="1"/>
  <c r="S118" i="24" s="1"/>
  <c r="K73" i="24"/>
  <c r="K76" i="24" s="1"/>
  <c r="N95" i="24"/>
  <c r="N100" i="24" s="1"/>
  <c r="N103" i="24" s="1"/>
  <c r="P95" i="24"/>
  <c r="P100" i="24" s="1"/>
  <c r="P103" i="24" s="1"/>
  <c r="M73" i="24"/>
  <c r="M76" i="24" s="1"/>
  <c r="N73" i="24"/>
  <c r="N76" i="24" s="1"/>
  <c r="U73" i="24"/>
  <c r="U76" i="24" s="1"/>
  <c r="U106" i="24" s="1"/>
  <c r="U118" i="24" s="1"/>
  <c r="K95" i="24"/>
  <c r="K100" i="24" s="1"/>
  <c r="K103" i="24" s="1"/>
  <c r="L73" i="24"/>
  <c r="L76" i="24" s="1"/>
  <c r="M95" i="24"/>
  <c r="M100" i="24" s="1"/>
  <c r="M103" i="24" s="1"/>
  <c r="T73" i="24"/>
  <c r="T76" i="24" s="1"/>
  <c r="R73" i="24"/>
  <c r="R76" i="24" s="1"/>
  <c r="R106" i="24" s="1"/>
  <c r="R118" i="24" s="1"/>
  <c r="O95" i="24"/>
  <c r="O100" i="24" s="1"/>
  <c r="O103" i="24" s="1"/>
  <c r="O76" i="24"/>
  <c r="L95" i="24"/>
  <c r="L100" i="24" s="1"/>
  <c r="L103" i="24" s="1"/>
  <c r="W73" i="24"/>
  <c r="W76" i="24" s="1"/>
  <c r="W106" i="24" s="1"/>
  <c r="W118" i="24" s="1"/>
  <c r="X73" i="24"/>
  <c r="X76" i="24" s="1"/>
  <c r="X106" i="24" s="1"/>
  <c r="X118" i="24" s="1"/>
  <c r="V95" i="24"/>
  <c r="V100" i="24" s="1"/>
  <c r="V103" i="24" s="1"/>
  <c r="V73" i="24"/>
  <c r="V76" i="24" s="1"/>
  <c r="FQ73" i="24"/>
  <c r="FT73" i="24"/>
  <c r="FT95" i="24"/>
  <c r="FT100" i="24" s="1"/>
  <c r="FT103" i="24" s="1"/>
  <c r="FL73" i="24"/>
  <c r="FH73" i="24"/>
  <c r="FS95" i="24"/>
  <c r="FS100" i="24" s="1"/>
  <c r="FS103" i="24" s="1"/>
  <c r="FI95" i="24"/>
  <c r="FI100" i="24" s="1"/>
  <c r="FI103" i="24" s="1"/>
  <c r="FM73" i="24"/>
  <c r="FP95" i="24"/>
  <c r="FP100" i="24" s="1"/>
  <c r="FP103" i="24" s="1"/>
  <c r="FO95" i="24"/>
  <c r="FO100" i="24" s="1"/>
  <c r="FO103" i="24" s="1"/>
  <c r="FR95" i="24"/>
  <c r="FR100" i="24" s="1"/>
  <c r="FR103" i="24" s="1"/>
  <c r="FN95" i="24"/>
  <c r="FN100" i="24" s="1"/>
  <c r="FN103" i="24" s="1"/>
  <c r="FS73" i="24"/>
  <c r="FO73" i="24"/>
  <c r="FR73" i="24"/>
  <c r="FN73" i="24"/>
  <c r="FL95" i="24"/>
  <c r="FL100" i="24" s="1"/>
  <c r="FL103" i="24" s="1"/>
  <c r="FI73" i="24"/>
  <c r="FM95" i="24"/>
  <c r="FH95" i="24"/>
  <c r="FH100" i="24" s="1"/>
  <c r="FH103" i="24" s="1"/>
  <c r="FK95" i="24"/>
  <c r="FK73" i="24"/>
  <c r="FJ95" i="24"/>
  <c r="FJ100" i="24" s="1"/>
  <c r="FJ103" i="24" s="1"/>
  <c r="FQ95" i="24"/>
  <c r="FQ100" i="24" s="1"/>
  <c r="FQ103" i="24" s="1"/>
  <c r="FP73" i="24"/>
  <c r="FJ73" i="24"/>
  <c r="EW73" i="24"/>
  <c r="FE73" i="24"/>
  <c r="FF73" i="24"/>
  <c r="FB95" i="24"/>
  <c r="FB100" i="24" s="1"/>
  <c r="FB103" i="24" s="1"/>
  <c r="FB73" i="24"/>
  <c r="EW95" i="24"/>
  <c r="EW100" i="24" s="1"/>
  <c r="EW103" i="24" s="1"/>
  <c r="FA73" i="24"/>
  <c r="EY73" i="24"/>
  <c r="EZ73" i="24"/>
  <c r="FE95" i="24"/>
  <c r="FE100" i="24" s="1"/>
  <c r="FE103" i="24" s="1"/>
  <c r="FA95" i="24"/>
  <c r="FA100" i="24" s="1"/>
  <c r="FA103" i="24" s="1"/>
  <c r="FC73" i="24"/>
  <c r="FD73" i="24"/>
  <c r="EV68" i="24"/>
  <c r="EV71" i="24"/>
  <c r="EV70" i="24"/>
  <c r="EV69" i="24"/>
  <c r="EV72" i="24"/>
  <c r="EV65" i="24"/>
  <c r="EX73" i="24"/>
  <c r="FG73" i="24"/>
  <c r="O106" i="24" l="1"/>
  <c r="O118" i="24" s="1"/>
  <c r="O159" i="24" s="1"/>
  <c r="Q106" i="24"/>
  <c r="Q118" i="24" s="1"/>
  <c r="Q159" i="24" s="1"/>
  <c r="L106" i="24"/>
  <c r="L118" i="24" s="1"/>
  <c r="L159" i="24" s="1"/>
  <c r="K106" i="24"/>
  <c r="K118" i="24" s="1"/>
  <c r="K152" i="24" s="1"/>
  <c r="M106" i="24"/>
  <c r="M118" i="24" s="1"/>
  <c r="M159" i="24" s="1"/>
  <c r="P106" i="24"/>
  <c r="P118" i="24" s="1"/>
  <c r="P152" i="24" s="1"/>
  <c r="U159" i="24"/>
  <c r="U152" i="24"/>
  <c r="R159" i="24"/>
  <c r="R152" i="24"/>
  <c r="S159" i="24"/>
  <c r="S152" i="24"/>
  <c r="N106" i="24"/>
  <c r="N118" i="24" s="1"/>
  <c r="T106" i="24"/>
  <c r="T118" i="24" s="1"/>
  <c r="X159" i="24"/>
  <c r="X152" i="24"/>
  <c r="V106" i="24"/>
  <c r="V118" i="24" s="1"/>
  <c r="W159" i="24"/>
  <c r="W152" i="24"/>
  <c r="FK100" i="24"/>
  <c r="FK103" i="24" s="1"/>
  <c r="FM100" i="24"/>
  <c r="FM103" i="24" s="1"/>
  <c r="EV73" i="24"/>
  <c r="EV76" i="24" s="1"/>
  <c r="EV95" i="24" s="1"/>
  <c r="K159" i="24" l="1"/>
  <c r="Q152" i="24"/>
  <c r="O152" i="24"/>
  <c r="P159" i="24"/>
  <c r="M152" i="24"/>
  <c r="L152" i="24"/>
  <c r="T152" i="24"/>
  <c r="T159" i="24"/>
  <c r="N152" i="24"/>
  <c r="N159" i="24"/>
  <c r="V159" i="24"/>
  <c r="V152" i="24"/>
  <c r="EV100" i="24"/>
  <c r="EV103" i="24" s="1"/>
  <c r="EV106" i="24" s="1"/>
  <c r="EV118" i="24" s="1"/>
  <c r="H52" i="26" l="1"/>
  <c r="L4" i="46" l="1"/>
  <c r="K16" i="28" l="1"/>
  <c r="L129" i="22"/>
  <c r="CG110" i="24"/>
  <c r="CG115" i="24" s="1"/>
  <c r="H16" i="28"/>
  <c r="CG155" i="24"/>
  <c r="N129" i="22"/>
  <c r="M16" i="28"/>
  <c r="AK155" i="24"/>
  <c r="AG110" i="24"/>
  <c r="AG115" i="24" s="1"/>
  <c r="AK110" i="24"/>
  <c r="AK115" i="24" s="1"/>
  <c r="AS155" i="24"/>
  <c r="AG155" i="24"/>
  <c r="AL110" i="24"/>
  <c r="AL115" i="24" s="1"/>
  <c r="AS110" i="24"/>
  <c r="AZ155" i="24"/>
  <c r="AL155" i="24"/>
  <c r="AX110" i="24"/>
  <c r="AX115" i="24" s="1"/>
  <c r="AZ110" i="24"/>
  <c r="AZ115" i="24" s="1"/>
  <c r="AX155" i="24"/>
  <c r="J16" i="28"/>
  <c r="I129" i="22"/>
  <c r="BI155" i="24"/>
  <c r="BK155" i="24"/>
  <c r="BI110" i="24"/>
  <c r="BK110" i="24"/>
  <c r="BK115" i="24" s="1"/>
  <c r="AW110" i="24"/>
  <c r="N32" i="46"/>
  <c r="N36" i="46"/>
  <c r="N40" i="46"/>
  <c r="N44" i="46"/>
  <c r="M20" i="46"/>
  <c r="N34" i="46"/>
  <c r="N38" i="46"/>
  <c r="N42" i="46"/>
  <c r="Q20" i="46"/>
  <c r="N20" i="46" s="1"/>
  <c r="N35" i="46"/>
  <c r="N43" i="46"/>
  <c r="N47" i="46"/>
  <c r="N51" i="46"/>
  <c r="N55" i="46"/>
  <c r="N59" i="46"/>
  <c r="N63" i="46"/>
  <c r="N67" i="46"/>
  <c r="N71" i="46"/>
  <c r="N75" i="46"/>
  <c r="N79" i="46"/>
  <c r="N83" i="46"/>
  <c r="N87" i="46"/>
  <c r="N91" i="46"/>
  <c r="N95" i="46"/>
  <c r="N99" i="46"/>
  <c r="N103" i="46"/>
  <c r="N107" i="46"/>
  <c r="N111" i="46"/>
  <c r="N115" i="46"/>
  <c r="N119" i="46"/>
  <c r="N123" i="46"/>
  <c r="N127" i="46"/>
  <c r="N131" i="46"/>
  <c r="N135" i="46"/>
  <c r="N139" i="46"/>
  <c r="N143" i="46"/>
  <c r="N147" i="46"/>
  <c r="N151" i="46"/>
  <c r="N155" i="46"/>
  <c r="N159" i="46"/>
  <c r="N163" i="46"/>
  <c r="N37" i="46"/>
  <c r="N48" i="46"/>
  <c r="N52" i="46"/>
  <c r="N56" i="46"/>
  <c r="N60" i="46"/>
  <c r="N64" i="46"/>
  <c r="N68" i="46"/>
  <c r="N72" i="46"/>
  <c r="N76" i="46"/>
  <c r="N80" i="46"/>
  <c r="N84" i="46"/>
  <c r="N88" i="46"/>
  <c r="N92" i="46"/>
  <c r="N96" i="46"/>
  <c r="N100" i="46"/>
  <c r="N104" i="46"/>
  <c r="N108" i="46"/>
  <c r="N112" i="46"/>
  <c r="N116" i="46"/>
  <c r="N120" i="46"/>
  <c r="N124" i="46"/>
  <c r="N128" i="46"/>
  <c r="N132" i="46"/>
  <c r="N136" i="46"/>
  <c r="N140" i="46"/>
  <c r="N39" i="46"/>
  <c r="N45" i="46"/>
  <c r="N49" i="46"/>
  <c r="N53" i="46"/>
  <c r="N57" i="46"/>
  <c r="N61" i="46"/>
  <c r="N65" i="46"/>
  <c r="N69" i="46"/>
  <c r="N73" i="46"/>
  <c r="N77" i="46"/>
  <c r="N81" i="46"/>
  <c r="N85" i="46"/>
  <c r="N89" i="46"/>
  <c r="N93" i="46"/>
  <c r="N97" i="46"/>
  <c r="N101" i="46"/>
  <c r="N105" i="46"/>
  <c r="N109" i="46"/>
  <c r="N113" i="46"/>
  <c r="N117" i="46"/>
  <c r="N121" i="46"/>
  <c r="N125" i="46"/>
  <c r="N129" i="46"/>
  <c r="N133" i="46"/>
  <c r="N137" i="46"/>
  <c r="N141" i="46"/>
  <c r="N145" i="46"/>
  <c r="N149" i="46"/>
  <c r="N153" i="46"/>
  <c r="N157" i="46"/>
  <c r="N161" i="46"/>
  <c r="N165" i="46"/>
  <c r="N33" i="46"/>
  <c r="N41" i="46"/>
  <c r="N46" i="46"/>
  <c r="N50" i="46"/>
  <c r="N54" i="46"/>
  <c r="N58" i="46"/>
  <c r="N62" i="46"/>
  <c r="N66" i="46"/>
  <c r="N70" i="46"/>
  <c r="N74" i="46"/>
  <c r="N78" i="46"/>
  <c r="N82" i="46"/>
  <c r="N86" i="46"/>
  <c r="N90" i="46"/>
  <c r="N94" i="46"/>
  <c r="N98" i="46"/>
  <c r="N102" i="46"/>
  <c r="N106" i="46"/>
  <c r="N110" i="46"/>
  <c r="N114" i="46"/>
  <c r="N118" i="46"/>
  <c r="N122" i="46"/>
  <c r="N126" i="46"/>
  <c r="N130" i="46"/>
  <c r="N134" i="46"/>
  <c r="N138" i="46"/>
  <c r="N142" i="46"/>
  <c r="N146" i="46"/>
  <c r="N150" i="46"/>
  <c r="N154" i="46"/>
  <c r="N158" i="46"/>
  <c r="N162" i="46"/>
  <c r="N166" i="46"/>
  <c r="N148" i="46"/>
  <c r="N164" i="46"/>
  <c r="N169" i="46"/>
  <c r="N173" i="46"/>
  <c r="N177" i="46"/>
  <c r="N181" i="46"/>
  <c r="N185" i="46"/>
  <c r="N189" i="46"/>
  <c r="N193" i="46"/>
  <c r="N197" i="46"/>
  <c r="N201" i="46"/>
  <c r="N205" i="46"/>
  <c r="N209" i="46"/>
  <c r="N213" i="46"/>
  <c r="N217" i="46"/>
  <c r="N221" i="46"/>
  <c r="N225" i="46"/>
  <c r="N229" i="46"/>
  <c r="N233" i="46"/>
  <c r="N237" i="46"/>
  <c r="N241" i="46"/>
  <c r="N245" i="46"/>
  <c r="N249" i="46"/>
  <c r="N253" i="46"/>
  <c r="N257" i="46"/>
  <c r="N261" i="46"/>
  <c r="N265" i="46"/>
  <c r="N269" i="46"/>
  <c r="N273" i="46"/>
  <c r="N277" i="46"/>
  <c r="N281" i="46"/>
  <c r="N152" i="46"/>
  <c r="N170" i="46"/>
  <c r="N174" i="46"/>
  <c r="N178" i="46"/>
  <c r="N182" i="46"/>
  <c r="N186" i="46"/>
  <c r="N190" i="46"/>
  <c r="N194" i="46"/>
  <c r="N198" i="46"/>
  <c r="N202" i="46"/>
  <c r="N206" i="46"/>
  <c r="N210" i="46"/>
  <c r="N214" i="46"/>
  <c r="N218" i="46"/>
  <c r="N222" i="46"/>
  <c r="N226" i="46"/>
  <c r="N230" i="46"/>
  <c r="N234" i="46"/>
  <c r="N238" i="46"/>
  <c r="N242" i="46"/>
  <c r="N246" i="46"/>
  <c r="N250" i="46"/>
  <c r="N254" i="46"/>
  <c r="N258" i="46"/>
  <c r="N262" i="46"/>
  <c r="N266" i="46"/>
  <c r="N270" i="46"/>
  <c r="N274" i="46"/>
  <c r="N278" i="46"/>
  <c r="N282" i="46"/>
  <c r="N286" i="46"/>
  <c r="N290" i="46"/>
  <c r="N294" i="46"/>
  <c r="N156" i="46"/>
  <c r="N171" i="46"/>
  <c r="N175" i="46"/>
  <c r="N179" i="46"/>
  <c r="N183" i="46"/>
  <c r="N187" i="46"/>
  <c r="N191" i="46"/>
  <c r="N195" i="46"/>
  <c r="N199" i="46"/>
  <c r="N203" i="46"/>
  <c r="N207" i="46"/>
  <c r="N211" i="46"/>
  <c r="N215" i="46"/>
  <c r="N219" i="46"/>
  <c r="N223" i="46"/>
  <c r="N227" i="46"/>
  <c r="N231" i="46"/>
  <c r="N235" i="46"/>
  <c r="N239" i="46"/>
  <c r="N243" i="46"/>
  <c r="N247" i="46"/>
  <c r="N251" i="46"/>
  <c r="N255" i="46"/>
  <c r="N259" i="46"/>
  <c r="N263" i="46"/>
  <c r="N267" i="46"/>
  <c r="N271" i="46"/>
  <c r="N275" i="46"/>
  <c r="N279" i="46"/>
  <c r="N283" i="46"/>
  <c r="N287" i="46"/>
  <c r="N291" i="46"/>
  <c r="N295" i="46"/>
  <c r="N144" i="46"/>
  <c r="N160" i="46"/>
  <c r="N167" i="46"/>
  <c r="N168" i="46"/>
  <c r="N172" i="46"/>
  <c r="N176" i="46"/>
  <c r="N180" i="46"/>
  <c r="N184" i="46"/>
  <c r="N188" i="46"/>
  <c r="N192" i="46"/>
  <c r="N196" i="46"/>
  <c r="N200" i="46"/>
  <c r="N204" i="46"/>
  <c r="N208" i="46"/>
  <c r="N212" i="46"/>
  <c r="N216" i="46"/>
  <c r="N220" i="46"/>
  <c r="N224" i="46"/>
  <c r="N228" i="46"/>
  <c r="N232" i="46"/>
  <c r="N236" i="46"/>
  <c r="N240" i="46"/>
  <c r="N244" i="46"/>
  <c r="N248" i="46"/>
  <c r="N252" i="46"/>
  <c r="N256" i="46"/>
  <c r="N260" i="46"/>
  <c r="N264" i="46"/>
  <c r="N268" i="46"/>
  <c r="N272" i="46"/>
  <c r="N276" i="46"/>
  <c r="N280" i="46"/>
  <c r="N284" i="46"/>
  <c r="N292" i="46"/>
  <c r="N298" i="46"/>
  <c r="N302" i="46"/>
  <c r="N306" i="46"/>
  <c r="N310" i="46"/>
  <c r="N314" i="46"/>
  <c r="N318" i="46"/>
  <c r="N322" i="46"/>
  <c r="N326" i="46"/>
  <c r="N330" i="46"/>
  <c r="N334" i="46"/>
  <c r="N338" i="46"/>
  <c r="N342" i="46"/>
  <c r="N346" i="46"/>
  <c r="N350" i="46"/>
  <c r="N354" i="46"/>
  <c r="N358" i="46"/>
  <c r="N362" i="46"/>
  <c r="N366" i="46"/>
  <c r="N370" i="46"/>
  <c r="N374" i="46"/>
  <c r="N378" i="46"/>
  <c r="N382" i="46"/>
  <c r="N386" i="46"/>
  <c r="N390" i="46"/>
  <c r="N394" i="46"/>
  <c r="N398" i="46"/>
  <c r="N402" i="46"/>
  <c r="N406" i="46"/>
  <c r="N410" i="46"/>
  <c r="N414" i="46"/>
  <c r="N418" i="46"/>
  <c r="N422" i="46"/>
  <c r="N289" i="46"/>
  <c r="N299" i="46"/>
  <c r="N303" i="46"/>
  <c r="N307" i="46"/>
  <c r="N311" i="46"/>
  <c r="N315" i="46"/>
  <c r="N319" i="46"/>
  <c r="N323" i="46"/>
  <c r="N327" i="46"/>
  <c r="N331" i="46"/>
  <c r="N335" i="46"/>
  <c r="N339" i="46"/>
  <c r="N343" i="46"/>
  <c r="N347" i="46"/>
  <c r="N351" i="46"/>
  <c r="N355" i="46"/>
  <c r="N359" i="46"/>
  <c r="N363" i="46"/>
  <c r="N367" i="46"/>
  <c r="N371" i="46"/>
  <c r="N375" i="46"/>
  <c r="N379" i="46"/>
  <c r="N383" i="46"/>
  <c r="N387" i="46"/>
  <c r="N391" i="46"/>
  <c r="N395" i="46"/>
  <c r="N399" i="46"/>
  <c r="N403" i="46"/>
  <c r="N407" i="46"/>
  <c r="N411" i="46"/>
  <c r="N415" i="46"/>
  <c r="N419" i="46"/>
  <c r="N423" i="46"/>
  <c r="N288" i="46"/>
  <c r="N296" i="46"/>
  <c r="N300" i="46"/>
  <c r="N304" i="46"/>
  <c r="N308" i="46"/>
  <c r="N312" i="46"/>
  <c r="N316" i="46"/>
  <c r="N320" i="46"/>
  <c r="N324" i="46"/>
  <c r="N328" i="46"/>
  <c r="N332" i="46"/>
  <c r="N336" i="46"/>
  <c r="N340" i="46"/>
  <c r="N344" i="46"/>
  <c r="N348" i="46"/>
  <c r="N352" i="46"/>
  <c r="N356" i="46"/>
  <c r="N360" i="46"/>
  <c r="N364" i="46"/>
  <c r="N368" i="46"/>
  <c r="N372" i="46"/>
  <c r="N376" i="46"/>
  <c r="N380" i="46"/>
  <c r="N384" i="46"/>
  <c r="N388" i="46"/>
  <c r="N392" i="46"/>
  <c r="N396" i="46"/>
  <c r="N400" i="46"/>
  <c r="N404" i="46"/>
  <c r="N408" i="46"/>
  <c r="N412" i="46"/>
  <c r="N416" i="46"/>
  <c r="N420" i="46"/>
  <c r="N424" i="46"/>
  <c r="N285" i="46"/>
  <c r="N293" i="46"/>
  <c r="N297" i="46"/>
  <c r="N301" i="46"/>
  <c r="N305" i="46"/>
  <c r="N309" i="46"/>
  <c r="N313" i="46"/>
  <c r="N317" i="46"/>
  <c r="N321" i="46"/>
  <c r="N325" i="46"/>
  <c r="N329" i="46"/>
  <c r="N333" i="46"/>
  <c r="N337" i="46"/>
  <c r="N341" i="46"/>
  <c r="N345" i="46"/>
  <c r="N349" i="46"/>
  <c r="N353" i="46"/>
  <c r="N357" i="46"/>
  <c r="N361" i="46"/>
  <c r="N365" i="46"/>
  <c r="N369" i="46"/>
  <c r="N373" i="46"/>
  <c r="N377" i="46"/>
  <c r="N381" i="46"/>
  <c r="N385" i="46"/>
  <c r="N389" i="46"/>
  <c r="N393" i="46"/>
  <c r="N397" i="46"/>
  <c r="N401" i="46"/>
  <c r="N405" i="46"/>
  <c r="N409" i="46"/>
  <c r="N413" i="46"/>
  <c r="N417" i="46"/>
  <c r="N421" i="46"/>
  <c r="N425" i="46"/>
  <c r="N426" i="46"/>
  <c r="N427" i="46"/>
  <c r="N431" i="46"/>
  <c r="N435" i="46"/>
  <c r="N439" i="46"/>
  <c r="N428" i="46"/>
  <c r="N432" i="46"/>
  <c r="N436" i="46"/>
  <c r="N429" i="46"/>
  <c r="N433" i="46"/>
  <c r="N437" i="46"/>
  <c r="N430" i="46"/>
  <c r="N434" i="46"/>
  <c r="N438" i="46"/>
  <c r="S8" i="46"/>
  <c r="S9" i="46" s="1"/>
  <c r="H62" i="26" s="1"/>
  <c r="H129" i="22"/>
  <c r="I16" i="28"/>
  <c r="AW155" i="24"/>
  <c r="N75" i="22" l="1"/>
  <c r="N80" i="22" s="1"/>
  <c r="AS115" i="24"/>
  <c r="M75" i="22"/>
  <c r="M80" i="22" s="1"/>
  <c r="E27" i="28"/>
  <c r="H75" i="22"/>
  <c r="H80" i="22" s="1"/>
  <c r="G75" i="22"/>
  <c r="G80" i="22" s="1"/>
  <c r="AJ126" i="24"/>
  <c r="AJ127" i="24" s="1"/>
  <c r="AJ149" i="24" s="1"/>
  <c r="AG126" i="24"/>
  <c r="AG127" i="24" s="1"/>
  <c r="AG149" i="24" s="1"/>
  <c r="AH126" i="24"/>
  <c r="AH127" i="24" s="1"/>
  <c r="AH149" i="24" s="1"/>
  <c r="AI126" i="24"/>
  <c r="AI127" i="24" s="1"/>
  <c r="AI149" i="24" s="1"/>
  <c r="AK126" i="24"/>
  <c r="AK127" i="24" s="1"/>
  <c r="AK149" i="24" s="1"/>
  <c r="N42" i="15"/>
  <c r="N45" i="15" s="1"/>
  <c r="F110" i="24"/>
  <c r="AW115" i="24"/>
  <c r="L75" i="22"/>
  <c r="L80" i="22" s="1"/>
  <c r="BI115" i="24"/>
  <c r="I75" i="22"/>
  <c r="I80" i="22" s="1"/>
  <c r="EQ126" i="24"/>
  <c r="EQ127" i="24" s="1"/>
  <c r="EQ149" i="24" s="1"/>
  <c r="CE126" i="24"/>
  <c r="CE127" i="24" s="1"/>
  <c r="CE149" i="24" s="1"/>
  <c r="DR126" i="24"/>
  <c r="DR127" i="24" s="1"/>
  <c r="DR149" i="24" s="1"/>
  <c r="FM126" i="24"/>
  <c r="FM127" i="24" s="1"/>
  <c r="FM149" i="24" s="1"/>
  <c r="EJ126" i="24"/>
  <c r="EJ127" i="24" s="1"/>
  <c r="EJ149" i="24" s="1"/>
  <c r="DD126" i="24"/>
  <c r="DD127" i="24" s="1"/>
  <c r="DD149" i="24" s="1"/>
  <c r="S20" i="46"/>
  <c r="BG126" i="24"/>
  <c r="BG127" i="24" s="1"/>
  <c r="BG149" i="24" s="1"/>
  <c r="P20" i="46"/>
  <c r="T20" i="46" s="1"/>
  <c r="W20" i="46" s="1"/>
  <c r="AW126" i="24"/>
  <c r="BI126" i="24"/>
  <c r="BI127" i="24" s="1"/>
  <c r="BI149" i="24" s="1"/>
  <c r="EA126" i="24"/>
  <c r="EA127" i="24" s="1"/>
  <c r="EA149" i="24" s="1"/>
  <c r="DB126" i="24"/>
  <c r="DB127" i="24" s="1"/>
  <c r="DB149" i="24" s="1"/>
  <c r="EW126" i="24"/>
  <c r="EW127" i="24" s="1"/>
  <c r="EW149" i="24" s="1"/>
  <c r="DT126" i="24"/>
  <c r="DT127" i="24" s="1"/>
  <c r="DT149" i="24" s="1"/>
  <c r="FS126" i="24"/>
  <c r="FS127" i="24" s="1"/>
  <c r="FS149" i="24" s="1"/>
  <c r="FC126" i="24"/>
  <c r="FC127" i="24" s="1"/>
  <c r="FC149" i="24" s="1"/>
  <c r="EM126" i="24"/>
  <c r="EM127" i="24" s="1"/>
  <c r="EM149" i="24" s="1"/>
  <c r="DW126" i="24"/>
  <c r="DW127" i="24" s="1"/>
  <c r="DW149" i="24" s="1"/>
  <c r="DG126" i="24"/>
  <c r="DG127" i="24" s="1"/>
  <c r="DG149" i="24" s="1"/>
  <c r="CA126" i="24"/>
  <c r="CA127" i="24" s="1"/>
  <c r="CA149" i="24" s="1"/>
  <c r="BB126" i="24"/>
  <c r="BB127" i="24" s="1"/>
  <c r="BB149" i="24" s="1"/>
  <c r="FJ126" i="24"/>
  <c r="FJ127" i="24" s="1"/>
  <c r="FJ149" i="24" s="1"/>
  <c r="ET126" i="24"/>
  <c r="ET127" i="24" s="1"/>
  <c r="ET149" i="24" s="1"/>
  <c r="ED126" i="24"/>
  <c r="ED127" i="24" s="1"/>
  <c r="ED149" i="24" s="1"/>
  <c r="DN126" i="24"/>
  <c r="DN127" i="24" s="1"/>
  <c r="DN149" i="24" s="1"/>
  <c r="CX126" i="24"/>
  <c r="CX127" i="24" s="1"/>
  <c r="CX149" i="24" s="1"/>
  <c r="FI126" i="24"/>
  <c r="FI127" i="24" s="1"/>
  <c r="FI149" i="24" s="1"/>
  <c r="ES126" i="24"/>
  <c r="ES127" i="24" s="1"/>
  <c r="ES149" i="24" s="1"/>
  <c r="EC126" i="24"/>
  <c r="EC127" i="24" s="1"/>
  <c r="EC149" i="24" s="1"/>
  <c r="DM126" i="24"/>
  <c r="DM127" i="24" s="1"/>
  <c r="DM149" i="24" s="1"/>
  <c r="CW126" i="24"/>
  <c r="CW127" i="24" s="1"/>
  <c r="CW149" i="24" s="1"/>
  <c r="CG126" i="24"/>
  <c r="CG127" i="24" s="1"/>
  <c r="CG149" i="24" s="1"/>
  <c r="BF126" i="24"/>
  <c r="BF127" i="24" s="1"/>
  <c r="BF149" i="24" s="1"/>
  <c r="FL126" i="24"/>
  <c r="FL127" i="24" s="1"/>
  <c r="FL149" i="24" s="1"/>
  <c r="EV126" i="24"/>
  <c r="EV127" i="24" s="1"/>
  <c r="EV149" i="24" s="1"/>
  <c r="EF126" i="24"/>
  <c r="EF127" i="24" s="1"/>
  <c r="EF149" i="24" s="1"/>
  <c r="DP126" i="24"/>
  <c r="DP127" i="24" s="1"/>
  <c r="DP149" i="24" s="1"/>
  <c r="CZ126" i="24"/>
  <c r="CZ127" i="24" s="1"/>
  <c r="CZ149" i="24" s="1"/>
  <c r="BC126" i="24"/>
  <c r="BC127" i="24" s="1"/>
  <c r="BC149" i="24" s="1"/>
  <c r="BU126" i="24"/>
  <c r="BU127" i="24" s="1"/>
  <c r="BU149" i="24" s="1"/>
  <c r="BE126" i="24"/>
  <c r="BE127" i="24" s="1"/>
  <c r="BE149" i="24" s="1"/>
  <c r="DK126" i="24"/>
  <c r="DK127" i="24" s="1"/>
  <c r="DK149" i="24" s="1"/>
  <c r="EX126" i="24"/>
  <c r="EX127" i="24" s="1"/>
  <c r="EX149" i="24" s="1"/>
  <c r="EG126" i="24"/>
  <c r="EG127" i="24" s="1"/>
  <c r="EG149" i="24" s="1"/>
  <c r="DA126" i="24"/>
  <c r="DA127" i="24" s="1"/>
  <c r="DA149" i="24" s="1"/>
  <c r="EZ126" i="24"/>
  <c r="EZ127" i="24" s="1"/>
  <c r="EZ149" i="24" s="1"/>
  <c r="BX126" i="24"/>
  <c r="BX127" i="24" s="1"/>
  <c r="BX149" i="24" s="1"/>
  <c r="FQ126" i="24"/>
  <c r="FQ127" i="24" s="1"/>
  <c r="FQ149" i="24" s="1"/>
  <c r="FO126" i="24"/>
  <c r="FO127" i="24" s="1"/>
  <c r="FO149" i="24" s="1"/>
  <c r="EY126" i="24"/>
  <c r="EY127" i="24" s="1"/>
  <c r="EY149" i="24" s="1"/>
  <c r="EI126" i="24"/>
  <c r="EI127" i="24" s="1"/>
  <c r="EI149" i="24" s="1"/>
  <c r="DS126" i="24"/>
  <c r="DS127" i="24" s="1"/>
  <c r="DS149" i="24" s="1"/>
  <c r="DC126" i="24"/>
  <c r="DC127" i="24" s="1"/>
  <c r="DC149" i="24" s="1"/>
  <c r="BW126" i="24"/>
  <c r="BW127" i="24" s="1"/>
  <c r="BW149" i="24" s="1"/>
  <c r="FF126" i="24"/>
  <c r="FF127" i="24" s="1"/>
  <c r="FF149" i="24" s="1"/>
  <c r="EP126" i="24"/>
  <c r="EP127" i="24" s="1"/>
  <c r="EP149" i="24" s="1"/>
  <c r="DZ126" i="24"/>
  <c r="DZ127" i="24" s="1"/>
  <c r="DZ149" i="24" s="1"/>
  <c r="DJ126" i="24"/>
  <c r="DJ127" i="24" s="1"/>
  <c r="DJ149" i="24" s="1"/>
  <c r="CT126" i="24"/>
  <c r="CT127" i="24" s="1"/>
  <c r="CT149" i="24" s="1"/>
  <c r="CD126" i="24"/>
  <c r="CD127" i="24" s="1"/>
  <c r="CD149" i="24" s="1"/>
  <c r="BH126" i="24"/>
  <c r="BH127" i="24" s="1"/>
  <c r="BH149" i="24" s="1"/>
  <c r="FE126" i="24"/>
  <c r="FE127" i="24" s="1"/>
  <c r="FE149" i="24" s="1"/>
  <c r="EO126" i="24"/>
  <c r="EO127" i="24" s="1"/>
  <c r="EO149" i="24" s="1"/>
  <c r="DY126" i="24"/>
  <c r="DY127" i="24" s="1"/>
  <c r="DY149" i="24" s="1"/>
  <c r="DI126" i="24"/>
  <c r="DI127" i="24" s="1"/>
  <c r="DI149" i="24" s="1"/>
  <c r="CS126" i="24"/>
  <c r="CS127" i="24" s="1"/>
  <c r="CS149" i="24" s="1"/>
  <c r="CC126" i="24"/>
  <c r="CC127" i="24" s="1"/>
  <c r="CC149" i="24" s="1"/>
  <c r="AX126" i="24"/>
  <c r="AX127" i="24" s="1"/>
  <c r="AX149" i="24" s="1"/>
  <c r="FH126" i="24"/>
  <c r="FH127" i="24" s="1"/>
  <c r="FH149" i="24" s="1"/>
  <c r="ER126" i="24"/>
  <c r="ER127" i="24" s="1"/>
  <c r="ER149" i="24" s="1"/>
  <c r="EB126" i="24"/>
  <c r="EB127" i="24" s="1"/>
  <c r="EB149" i="24" s="1"/>
  <c r="DL126" i="24"/>
  <c r="DL127" i="24" s="1"/>
  <c r="DL149" i="24" s="1"/>
  <c r="CV126" i="24"/>
  <c r="CV127" i="24" s="1"/>
  <c r="CV149" i="24" s="1"/>
  <c r="CF126" i="24"/>
  <c r="CF127" i="24" s="1"/>
  <c r="CF149" i="24" s="1"/>
  <c r="AY126" i="24"/>
  <c r="AY127" i="24" s="1"/>
  <c r="AY149" i="24" s="1"/>
  <c r="BA126" i="24"/>
  <c r="BA127" i="24" s="1"/>
  <c r="BA149" i="24" s="1"/>
  <c r="FG126" i="24"/>
  <c r="FG127" i="24" s="1"/>
  <c r="FG149" i="24" s="1"/>
  <c r="CU126" i="24"/>
  <c r="CU127" i="24" s="1"/>
  <c r="CU149" i="24" s="1"/>
  <c r="FN126" i="24"/>
  <c r="FN127" i="24" s="1"/>
  <c r="FN149" i="24" s="1"/>
  <c r="EH126" i="24"/>
  <c r="EH127" i="24" s="1"/>
  <c r="EH149" i="24" s="1"/>
  <c r="BV126" i="24"/>
  <c r="BV127" i="24" s="1"/>
  <c r="BV149" i="24" s="1"/>
  <c r="DQ126" i="24"/>
  <c r="DQ127" i="24" s="1"/>
  <c r="DQ149" i="24" s="1"/>
  <c r="FP126" i="24"/>
  <c r="FP127" i="24" s="1"/>
  <c r="FP149" i="24" s="1"/>
  <c r="FK126" i="24"/>
  <c r="FK127" i="24" s="1"/>
  <c r="FK149" i="24" s="1"/>
  <c r="EU126" i="24"/>
  <c r="EU127" i="24" s="1"/>
  <c r="EU149" i="24" s="1"/>
  <c r="EE126" i="24"/>
  <c r="EE127" i="24" s="1"/>
  <c r="EE149" i="24" s="1"/>
  <c r="DO126" i="24"/>
  <c r="DO127" i="24" s="1"/>
  <c r="DO149" i="24" s="1"/>
  <c r="CY126" i="24"/>
  <c r="CY127" i="24" s="1"/>
  <c r="CY149" i="24" s="1"/>
  <c r="FR126" i="24"/>
  <c r="FR127" i="24" s="1"/>
  <c r="FR149" i="24" s="1"/>
  <c r="FB126" i="24"/>
  <c r="FB127" i="24" s="1"/>
  <c r="FB149" i="24" s="1"/>
  <c r="EL126" i="24"/>
  <c r="EL127" i="24" s="1"/>
  <c r="EL149" i="24" s="1"/>
  <c r="DV126" i="24"/>
  <c r="DV127" i="24" s="1"/>
  <c r="DV149" i="24" s="1"/>
  <c r="DF126" i="24"/>
  <c r="DF127" i="24" s="1"/>
  <c r="DF149" i="24" s="1"/>
  <c r="BZ126" i="24"/>
  <c r="BZ127" i="24" s="1"/>
  <c r="BZ149" i="24" s="1"/>
  <c r="AZ126" i="24"/>
  <c r="AZ127" i="24" s="1"/>
  <c r="AZ149" i="24" s="1"/>
  <c r="FA126" i="24"/>
  <c r="FA127" i="24" s="1"/>
  <c r="FA149" i="24" s="1"/>
  <c r="EK126" i="24"/>
  <c r="EK127" i="24" s="1"/>
  <c r="EK149" i="24" s="1"/>
  <c r="DU126" i="24"/>
  <c r="DU127" i="24" s="1"/>
  <c r="DU149" i="24" s="1"/>
  <c r="DE126" i="24"/>
  <c r="DE127" i="24" s="1"/>
  <c r="DE149" i="24" s="1"/>
  <c r="BY126" i="24"/>
  <c r="BY127" i="24" s="1"/>
  <c r="BY149" i="24" s="1"/>
  <c r="FT126" i="24"/>
  <c r="FT127" i="24" s="1"/>
  <c r="FT149" i="24" s="1"/>
  <c r="FD126" i="24"/>
  <c r="FD127" i="24" s="1"/>
  <c r="FD149" i="24" s="1"/>
  <c r="EN126" i="24"/>
  <c r="EN127" i="24" s="1"/>
  <c r="EN149" i="24" s="1"/>
  <c r="DX126" i="24"/>
  <c r="DX127" i="24" s="1"/>
  <c r="DX149" i="24" s="1"/>
  <c r="DH126" i="24"/>
  <c r="DH127" i="24" s="1"/>
  <c r="DH149" i="24" s="1"/>
  <c r="CB126" i="24"/>
  <c r="CB127" i="24" s="1"/>
  <c r="CB149" i="24" s="1"/>
  <c r="BD126" i="24"/>
  <c r="BD127" i="24" s="1"/>
  <c r="BD149" i="24" s="1"/>
  <c r="AD20" i="46"/>
  <c r="U20" i="46"/>
  <c r="AG132" i="24" s="1"/>
  <c r="AG133" i="24" s="1"/>
  <c r="F115" i="24" l="1"/>
  <c r="EV152" i="24"/>
  <c r="EV159" i="24"/>
  <c r="R20" i="46"/>
  <c r="Q21" i="46"/>
  <c r="N21" i="46" s="1"/>
  <c r="BJ126" i="24" s="1"/>
  <c r="BJ127" i="24" s="1"/>
  <c r="BJ149" i="24" s="1"/>
  <c r="M21" i="46"/>
  <c r="Y20" i="46"/>
  <c r="AW127" i="24"/>
  <c r="X20" i="46"/>
  <c r="AL126" i="24" l="1"/>
  <c r="AL127" i="24" s="1"/>
  <c r="AL149" i="24" s="1"/>
  <c r="CH126" i="24"/>
  <c r="CH127" i="24" s="1"/>
  <c r="CH149" i="24" s="1"/>
  <c r="Z20" i="46"/>
  <c r="AW149" i="24"/>
  <c r="P21" i="46"/>
  <c r="T21" i="46" s="1"/>
  <c r="S21" i="46"/>
  <c r="U21" i="46"/>
  <c r="AH132" i="24" s="1"/>
  <c r="AH133" i="24" s="1"/>
  <c r="M22" i="46" l="1"/>
  <c r="Q22" i="46"/>
  <c r="N22" i="46" s="1"/>
  <c r="BK126" i="24" s="1"/>
  <c r="BK127" i="24" s="1"/>
  <c r="BK149" i="24" s="1"/>
  <c r="W21" i="46"/>
  <c r="X21" i="46"/>
  <c r="Y21" i="46"/>
  <c r="R21" i="46"/>
  <c r="AM126" i="24" l="1"/>
  <c r="AM127" i="24" s="1"/>
  <c r="CI126" i="24"/>
  <c r="CI127" i="24" s="1"/>
  <c r="CI149" i="24" s="1"/>
  <c r="Z21" i="46"/>
  <c r="P22" i="46"/>
  <c r="T22" i="46" s="1"/>
  <c r="S22" i="46"/>
  <c r="U22" i="46"/>
  <c r="AI132" i="24" s="1"/>
  <c r="AI133" i="24" s="1"/>
  <c r="AM149" i="24" l="1"/>
  <c r="R22" i="46"/>
  <c r="Q23" i="46"/>
  <c r="N23" i="46" s="1"/>
  <c r="BL126" i="24" s="1"/>
  <c r="BL127" i="24" s="1"/>
  <c r="BL149" i="24" s="1"/>
  <c r="M23" i="46"/>
  <c r="W22" i="46"/>
  <c r="X22" i="46"/>
  <c r="Y22" i="46"/>
  <c r="AN126" i="24" l="1"/>
  <c r="AN127" i="24" s="1"/>
  <c r="CJ126" i="24"/>
  <c r="CJ127" i="24" s="1"/>
  <c r="CJ149" i="24" s="1"/>
  <c r="Z22" i="46"/>
  <c r="U23" i="46"/>
  <c r="AJ132" i="24" s="1"/>
  <c r="AJ133" i="24" s="1"/>
  <c r="P23" i="46"/>
  <c r="S23" i="46"/>
  <c r="AN149" i="24" l="1"/>
  <c r="R23" i="46"/>
  <c r="T23" i="46"/>
  <c r="M24" i="46" l="1"/>
  <c r="Q24" i="46"/>
  <c r="N24" i="46" s="1"/>
  <c r="BM126" i="24" s="1"/>
  <c r="BM127" i="24" s="1"/>
  <c r="BM149" i="24" s="1"/>
  <c r="W23" i="46"/>
  <c r="X23" i="46"/>
  <c r="Y23" i="46"/>
  <c r="AO126" i="24" l="1"/>
  <c r="AO127" i="24" s="1"/>
  <c r="CK126" i="24"/>
  <c r="CK127" i="24" s="1"/>
  <c r="CK149" i="24" s="1"/>
  <c r="Z23" i="46"/>
  <c r="P24" i="46"/>
  <c r="T24" i="46" s="1"/>
  <c r="S24" i="46"/>
  <c r="U24" i="46"/>
  <c r="AK132" i="24" s="1"/>
  <c r="AK133" i="24" s="1"/>
  <c r="AO149" i="24" l="1"/>
  <c r="Q25" i="46"/>
  <c r="N25" i="46" s="1"/>
  <c r="M25" i="46"/>
  <c r="W24" i="46"/>
  <c r="X24" i="46"/>
  <c r="Y24" i="46"/>
  <c r="R24" i="46"/>
  <c r="CL126" i="24" l="1"/>
  <c r="CL127" i="24" s="1"/>
  <c r="CL149" i="24" s="1"/>
  <c r="BN126" i="24"/>
  <c r="BN127" i="24" s="1"/>
  <c r="BN149" i="24" s="1"/>
  <c r="AP126" i="24"/>
  <c r="U25" i="46"/>
  <c r="AL132" i="24" s="1"/>
  <c r="AL133" i="24" s="1"/>
  <c r="P25" i="46"/>
  <c r="R25" i="46" s="1"/>
  <c r="S25" i="46"/>
  <c r="Z24" i="46"/>
  <c r="AP127" i="24" l="1"/>
  <c r="T25" i="46"/>
  <c r="AP149" i="24" l="1"/>
  <c r="M26" i="46"/>
  <c r="Q26" i="46"/>
  <c r="N26" i="46" s="1"/>
  <c r="BO126" i="24" s="1"/>
  <c r="BO127" i="24" s="1"/>
  <c r="BO149" i="24" s="1"/>
  <c r="W25" i="46"/>
  <c r="X25" i="46"/>
  <c r="Y25" i="46"/>
  <c r="AQ126" i="24" l="1"/>
  <c r="AQ127" i="24" s="1"/>
  <c r="CM126" i="24"/>
  <c r="CM127" i="24" s="1"/>
  <c r="CM149" i="24" s="1"/>
  <c r="Z25" i="46"/>
  <c r="P26" i="46"/>
  <c r="R26" i="46" s="1"/>
  <c r="S26" i="46"/>
  <c r="U26" i="46"/>
  <c r="AM132" i="24" s="1"/>
  <c r="AM133" i="24" s="1"/>
  <c r="AQ149" i="24" l="1"/>
  <c r="T26" i="46"/>
  <c r="Q27" i="46" l="1"/>
  <c r="G109" i="22"/>
  <c r="W26" i="46"/>
  <c r="Y26" i="46"/>
  <c r="M27" i="46"/>
  <c r="U27" i="46" s="1"/>
  <c r="AN132" i="24" s="1"/>
  <c r="AN133" i="24" s="1"/>
  <c r="X26" i="46"/>
  <c r="N27" i="46" l="1"/>
  <c r="BP126" i="24" s="1"/>
  <c r="BP127" i="24" s="1"/>
  <c r="BP149" i="24" s="1"/>
  <c r="S27" i="46"/>
  <c r="Z26" i="46"/>
  <c r="AD21" i="46"/>
  <c r="AR126" i="24" l="1"/>
  <c r="AR127" i="24" s="1"/>
  <c r="AR149" i="24" s="1"/>
  <c r="CN126" i="24"/>
  <c r="CN127" i="24" s="1"/>
  <c r="CN149" i="24" s="1"/>
  <c r="P27" i="46"/>
  <c r="T27" i="46" l="1"/>
  <c r="R27" i="46"/>
  <c r="W27" i="46" l="1"/>
  <c r="X27" i="46"/>
  <c r="Y27" i="46"/>
  <c r="Q28" i="46"/>
  <c r="M28" i="46"/>
  <c r="U28" i="46" s="1"/>
  <c r="AO132" i="24" s="1"/>
  <c r="AO133" i="24" s="1"/>
  <c r="Z27" i="46" l="1"/>
  <c r="N28" i="46"/>
  <c r="BQ126" i="24" s="1"/>
  <c r="BQ127" i="24" s="1"/>
  <c r="BQ149" i="24" s="1"/>
  <c r="S28" i="46"/>
  <c r="CO126" i="24" l="1"/>
  <c r="CO127" i="24" s="1"/>
  <c r="CO149" i="24" s="1"/>
  <c r="AS126" i="24"/>
  <c r="AS127" i="24" s="1"/>
  <c r="AS149" i="24" s="1"/>
  <c r="P28" i="46"/>
  <c r="T28" i="46" l="1"/>
  <c r="R28" i="46"/>
  <c r="Y28" i="46" l="1"/>
  <c r="W28" i="46"/>
  <c r="X28" i="46"/>
  <c r="M29" i="46"/>
  <c r="Q29" i="46"/>
  <c r="Z28" i="46" l="1"/>
  <c r="N29" i="46"/>
  <c r="BR126" i="24" s="1"/>
  <c r="BR127" i="24" s="1"/>
  <c r="BR149" i="24" s="1"/>
  <c r="S29" i="46"/>
  <c r="U29" i="46"/>
  <c r="AP132" i="24" s="1"/>
  <c r="AP133" i="24" s="1"/>
  <c r="CP126" i="24" l="1"/>
  <c r="CP127" i="24" s="1"/>
  <c r="CP149" i="24" s="1"/>
  <c r="AT126" i="24"/>
  <c r="AT127" i="24" s="1"/>
  <c r="AT149" i="24" s="1"/>
  <c r="P29" i="46"/>
  <c r="R29" i="46" l="1"/>
  <c r="T29" i="46"/>
  <c r="Y29" i="46" l="1"/>
  <c r="W29" i="46"/>
  <c r="X29" i="46"/>
  <c r="M30" i="46"/>
  <c r="U30" i="46" s="1"/>
  <c r="AQ132" i="24" s="1"/>
  <c r="AQ133" i="24" s="1"/>
  <c r="Q30" i="46"/>
  <c r="Z29" i="46" l="1"/>
  <c r="N30" i="46"/>
  <c r="BS126" i="24" s="1"/>
  <c r="BS127" i="24" s="1"/>
  <c r="BS149" i="24" s="1"/>
  <c r="S30" i="46"/>
  <c r="CQ126" i="24" l="1"/>
  <c r="CQ127" i="24" s="1"/>
  <c r="CQ149" i="24" s="1"/>
  <c r="AU126" i="24"/>
  <c r="AU127" i="24" s="1"/>
  <c r="AU149" i="24" s="1"/>
  <c r="P30" i="46"/>
  <c r="T30" i="46" l="1"/>
  <c r="R30" i="46"/>
  <c r="W30" i="46" l="1"/>
  <c r="Y30" i="46"/>
  <c r="X30" i="46"/>
  <c r="M31" i="46"/>
  <c r="U31" i="46" s="1"/>
  <c r="AR132" i="24" s="1"/>
  <c r="AR133" i="24" s="1"/>
  <c r="Q31" i="46"/>
  <c r="Z30" i="46" l="1"/>
  <c r="N31" i="46"/>
  <c r="BT126" i="24" s="1"/>
  <c r="BT127" i="24" s="1"/>
  <c r="BT149" i="24" s="1"/>
  <c r="S31" i="46"/>
  <c r="CR126" i="24" l="1"/>
  <c r="CR127" i="24" s="1"/>
  <c r="CR149" i="24" s="1"/>
  <c r="AV126" i="24"/>
  <c r="P31" i="46"/>
  <c r="T31" i="46" l="1"/>
  <c r="R31" i="46"/>
  <c r="AV127" i="24"/>
  <c r="F126" i="24"/>
  <c r="X31" i="46" l="1"/>
  <c r="Y31" i="46"/>
  <c r="W31" i="46"/>
  <c r="AV149" i="24"/>
  <c r="F127" i="24"/>
  <c r="Q32" i="46"/>
  <c r="M32" i="46"/>
  <c r="Z31" i="46" l="1"/>
  <c r="P32" i="46"/>
  <c r="R32" i="46" s="1"/>
  <c r="S32" i="46"/>
  <c r="U32" i="46"/>
  <c r="AS132" i="24" s="1"/>
  <c r="AS133" i="24" s="1"/>
  <c r="F149" i="24"/>
  <c r="T32" i="46" l="1"/>
  <c r="Q33" i="46" s="1"/>
  <c r="W32" i="46"/>
  <c r="Y32" i="46"/>
  <c r="M33" i="46" l="1"/>
  <c r="U33" i="46" s="1"/>
  <c r="AT132" i="24" s="1"/>
  <c r="AT133" i="24" s="1"/>
  <c r="X32" i="46"/>
  <c r="Z32" i="46" s="1"/>
  <c r="P33" i="46"/>
  <c r="R33" i="46" s="1"/>
  <c r="S33" i="46"/>
  <c r="T33" i="46" l="1"/>
  <c r="X33" i="46" l="1"/>
  <c r="Y33" i="46"/>
  <c r="W33" i="46"/>
  <c r="Q34" i="46"/>
  <c r="M34" i="46"/>
  <c r="Z33" i="46" l="1"/>
  <c r="P34" i="46"/>
  <c r="R34" i="46" s="1"/>
  <c r="S34" i="46"/>
  <c r="U34" i="46"/>
  <c r="AU132" i="24" s="1"/>
  <c r="AU133" i="24" s="1"/>
  <c r="T34" i="46" l="1"/>
  <c r="Q35" i="46" s="1"/>
  <c r="M35" i="46" l="1"/>
  <c r="U35" i="46" s="1"/>
  <c r="AV132" i="24" s="1"/>
  <c r="AV133" i="24" s="1"/>
  <c r="Y34" i="46"/>
  <c r="W34" i="46"/>
  <c r="X34" i="46"/>
  <c r="P35" i="46"/>
  <c r="R35" i="46" s="1"/>
  <c r="S35" i="46"/>
  <c r="Z34" i="46" l="1"/>
  <c r="T35" i="46"/>
  <c r="W35" i="46" l="1"/>
  <c r="Q36" i="46"/>
  <c r="X35" i="46"/>
  <c r="M36" i="46"/>
  <c r="Y35" i="46"/>
  <c r="U36" i="46" l="1"/>
  <c r="AW132" i="24" s="1"/>
  <c r="AW133" i="24" s="1"/>
  <c r="P36" i="46"/>
  <c r="S36" i="46"/>
  <c r="Z35" i="46"/>
  <c r="R36" i="46" l="1"/>
  <c r="T36" i="46"/>
  <c r="Q37" i="46" l="1"/>
  <c r="X36" i="46"/>
  <c r="Y36" i="46"/>
  <c r="W36" i="46"/>
  <c r="M37" i="46"/>
  <c r="Z36" i="46" l="1"/>
  <c r="U37" i="46"/>
  <c r="AX132" i="24" s="1"/>
  <c r="AX133" i="24" s="1"/>
  <c r="P37" i="46"/>
  <c r="S37" i="46"/>
  <c r="R37" i="46" l="1"/>
  <c r="T37" i="46"/>
  <c r="Q38" i="46" l="1"/>
  <c r="Y37" i="46"/>
  <c r="M38" i="46"/>
  <c r="W37" i="46"/>
  <c r="X37" i="46"/>
  <c r="Z37" i="46" l="1"/>
  <c r="U38" i="46"/>
  <c r="AY132" i="24" s="1"/>
  <c r="AY133" i="24" s="1"/>
  <c r="P38" i="46"/>
  <c r="S38" i="46"/>
  <c r="R38" i="46" l="1"/>
  <c r="T38" i="46"/>
  <c r="W38" i="46" l="1"/>
  <c r="X38" i="46"/>
  <c r="Q39" i="46"/>
  <c r="M39" i="46"/>
  <c r="Y38" i="46"/>
  <c r="H109" i="22"/>
  <c r="U39" i="46" l="1"/>
  <c r="AZ132" i="24" s="1"/>
  <c r="AZ133" i="24" s="1"/>
  <c r="AD22" i="46"/>
  <c r="P39" i="46"/>
  <c r="S39" i="46"/>
  <c r="Z38" i="46"/>
  <c r="R39" i="46" l="1"/>
  <c r="T39" i="46"/>
  <c r="W39" i="46" l="1"/>
  <c r="Q40" i="46"/>
  <c r="X39" i="46"/>
  <c r="M40" i="46"/>
  <c r="U40" i="46" s="1"/>
  <c r="BA132" i="24" s="1"/>
  <c r="BA133" i="24" s="1"/>
  <c r="Y39" i="46"/>
  <c r="P40" i="46" l="1"/>
  <c r="S40" i="46"/>
  <c r="Z39" i="46"/>
  <c r="T40" i="46" l="1"/>
  <c r="R40" i="46"/>
  <c r="W40" i="46" l="1"/>
  <c r="M41" i="46"/>
  <c r="Q41" i="46"/>
  <c r="X40" i="46"/>
  <c r="Y40" i="46"/>
  <c r="P41" i="46" l="1"/>
  <c r="T41" i="46" s="1"/>
  <c r="S41" i="46"/>
  <c r="U41" i="46"/>
  <c r="BB132" i="24" s="1"/>
  <c r="BB133" i="24" s="1"/>
  <c r="Z40" i="46"/>
  <c r="Y41" i="46" l="1"/>
  <c r="W41" i="46"/>
  <c r="M42" i="46"/>
  <c r="X41" i="46"/>
  <c r="Q42" i="46"/>
  <c r="R41" i="46"/>
  <c r="U42" i="46" l="1"/>
  <c r="BC132" i="24" s="1"/>
  <c r="BC133" i="24" s="1"/>
  <c r="Z41" i="46"/>
  <c r="P42" i="46"/>
  <c r="S42" i="46"/>
  <c r="R42" i="46" l="1"/>
  <c r="T42" i="46"/>
  <c r="Y42" i="46" l="1"/>
  <c r="W42" i="46"/>
  <c r="Q43" i="46"/>
  <c r="X42" i="46"/>
  <c r="M43" i="46"/>
  <c r="P43" i="46" l="1"/>
  <c r="R43" i="46" s="1"/>
  <c r="S43" i="46"/>
  <c r="Z42" i="46"/>
  <c r="U43" i="46"/>
  <c r="BD132" i="24" s="1"/>
  <c r="BD133" i="24" s="1"/>
  <c r="T43" i="46" l="1"/>
  <c r="Q44" i="46" s="1"/>
  <c r="X43" i="46"/>
  <c r="Y43" i="46"/>
  <c r="W43" i="46"/>
  <c r="M44" i="46"/>
  <c r="Z43" i="46" l="1"/>
  <c r="P44" i="46"/>
  <c r="R44" i="46" s="1"/>
  <c r="S44" i="46"/>
  <c r="U44" i="46"/>
  <c r="BE132" i="24" s="1"/>
  <c r="BE133" i="24" s="1"/>
  <c r="H10" i="28" s="1"/>
  <c r="T44" i="46" l="1"/>
  <c r="M45" i="46" s="1"/>
  <c r="W44" i="46"/>
  <c r="Y44" i="46" l="1"/>
  <c r="X44" i="46"/>
  <c r="Q45" i="46"/>
  <c r="P45" i="46" s="1"/>
  <c r="U45" i="46"/>
  <c r="BF132" i="24" s="1"/>
  <c r="BF133" i="24" s="1"/>
  <c r="Z44" i="46" l="1"/>
  <c r="R45" i="46"/>
  <c r="T45" i="46"/>
  <c r="M46" i="46" s="1"/>
  <c r="S45" i="46"/>
  <c r="W45" i="46"/>
  <c r="Y45" i="46"/>
  <c r="X45" i="46"/>
  <c r="Q46" i="46" l="1"/>
  <c r="P46" i="46" s="1"/>
  <c r="R46" i="46" s="1"/>
  <c r="Z45" i="46"/>
  <c r="U46" i="46"/>
  <c r="BG132" i="24" s="1"/>
  <c r="BG133" i="24" s="1"/>
  <c r="S46" i="46" l="1"/>
  <c r="T46" i="46"/>
  <c r="M47" i="46" s="1"/>
  <c r="X46" i="46" l="1"/>
  <c r="Q47" i="46"/>
  <c r="P47" i="46" s="1"/>
  <c r="R47" i="46" s="1"/>
  <c r="W46" i="46"/>
  <c r="Y46" i="46"/>
  <c r="U47" i="46"/>
  <c r="BH132" i="24" s="1"/>
  <c r="BH133" i="24" s="1"/>
  <c r="S47" i="46" l="1"/>
  <c r="Z46" i="46"/>
  <c r="T47" i="46"/>
  <c r="Q48" i="46" s="1"/>
  <c r="W47" i="46" l="1"/>
  <c r="X47" i="46"/>
  <c r="M48" i="46"/>
  <c r="U48" i="46" s="1"/>
  <c r="BI132" i="24" s="1"/>
  <c r="BI133" i="24" s="1"/>
  <c r="Y47" i="46"/>
  <c r="P48" i="46"/>
  <c r="S48" i="46"/>
  <c r="Z47" i="46" l="1"/>
  <c r="R48" i="46"/>
  <c r="T48" i="46"/>
  <c r="M49" i="46" l="1"/>
  <c r="Y48" i="46"/>
  <c r="X48" i="46"/>
  <c r="Q49" i="46"/>
  <c r="W48" i="46"/>
  <c r="Z48" i="46" l="1"/>
  <c r="P49" i="46"/>
  <c r="T49" i="46" s="1"/>
  <c r="S49" i="46"/>
  <c r="U49" i="46"/>
  <c r="BJ132" i="24" s="1"/>
  <c r="BJ133" i="24" s="1"/>
  <c r="R49" i="46" l="1"/>
  <c r="M50" i="46"/>
  <c r="Q50" i="46"/>
  <c r="Y49" i="46"/>
  <c r="W49" i="46"/>
  <c r="X49" i="46"/>
  <c r="U50" i="46" l="1"/>
  <c r="BK132" i="24" s="1"/>
  <c r="BK133" i="24" s="1"/>
  <c r="Z49" i="46"/>
  <c r="P50" i="46"/>
  <c r="S50" i="46"/>
  <c r="R50" i="46" l="1"/>
  <c r="T50" i="46"/>
  <c r="W50" i="46" l="1"/>
  <c r="X50" i="46"/>
  <c r="M51" i="46"/>
  <c r="Y50" i="46"/>
  <c r="Q51" i="46"/>
  <c r="I109" i="22"/>
  <c r="AD23" i="46" l="1"/>
  <c r="U51" i="46"/>
  <c r="BL132" i="24" s="1"/>
  <c r="BL133" i="24" s="1"/>
  <c r="P51" i="46"/>
  <c r="S51" i="46"/>
  <c r="Z50" i="46"/>
  <c r="T51" i="46" l="1"/>
  <c r="R51" i="46"/>
  <c r="W51" i="46" l="1"/>
  <c r="X51" i="46"/>
  <c r="Q52" i="46"/>
  <c r="Y51" i="46"/>
  <c r="M52" i="46"/>
  <c r="P52" i="46" l="1"/>
  <c r="T52" i="46" s="1"/>
  <c r="S52" i="46"/>
  <c r="U52" i="46"/>
  <c r="BM132" i="24" s="1"/>
  <c r="BM133" i="24" s="1"/>
  <c r="Z51" i="46"/>
  <c r="Q53" i="46" l="1"/>
  <c r="M53" i="46"/>
  <c r="U53" i="46" s="1"/>
  <c r="BN132" i="24" s="1"/>
  <c r="BN133" i="24" s="1"/>
  <c r="W52" i="46"/>
  <c r="X52" i="46"/>
  <c r="Y52" i="46"/>
  <c r="R52" i="46"/>
  <c r="Z52" i="46" l="1"/>
  <c r="P53" i="46"/>
  <c r="S53" i="46"/>
  <c r="T53" i="46" l="1"/>
  <c r="R53" i="46"/>
  <c r="M54" i="46" l="1"/>
  <c r="U54" i="46" s="1"/>
  <c r="BO132" i="24" s="1"/>
  <c r="BO133" i="24" s="1"/>
  <c r="Y53" i="46"/>
  <c r="X53" i="46"/>
  <c r="Q54" i="46"/>
  <c r="W53" i="46"/>
  <c r="Z53" i="46" l="1"/>
  <c r="P54" i="46"/>
  <c r="S54" i="46"/>
  <c r="T54" i="46" l="1"/>
  <c r="R54" i="46"/>
  <c r="M55" i="46" l="1"/>
  <c r="U55" i="46" s="1"/>
  <c r="BP132" i="24" s="1"/>
  <c r="BP133" i="24" s="1"/>
  <c r="Y54" i="46"/>
  <c r="X54" i="46"/>
  <c r="Q55" i="46"/>
  <c r="W54" i="46"/>
  <c r="Z54" i="46" l="1"/>
  <c r="P55" i="46"/>
  <c r="S55" i="46"/>
  <c r="T55" i="46" l="1"/>
  <c r="R55" i="46"/>
  <c r="M56" i="46" l="1"/>
  <c r="Y55" i="46"/>
  <c r="Q56" i="46"/>
  <c r="X55" i="46"/>
  <c r="W55" i="46"/>
  <c r="P56" i="46" l="1"/>
  <c r="R56" i="46" s="1"/>
  <c r="S56" i="46"/>
  <c r="Z55" i="46"/>
  <c r="U56" i="46"/>
  <c r="BQ132" i="24" s="1"/>
  <c r="BQ133" i="24" s="1"/>
  <c r="I10" i="28" s="1"/>
  <c r="T56" i="46" l="1"/>
  <c r="M57" i="46" s="1"/>
  <c r="Q57" i="46" l="1"/>
  <c r="P57" i="46" s="1"/>
  <c r="R57" i="46" s="1"/>
  <c r="W56" i="46"/>
  <c r="X56" i="46"/>
  <c r="Y56" i="46"/>
  <c r="U57" i="46"/>
  <c r="BR132" i="24" s="1"/>
  <c r="BR133" i="24" s="1"/>
  <c r="S57" i="46" l="1"/>
  <c r="Z56" i="46"/>
  <c r="T57" i="46"/>
  <c r="M58" i="46" s="1"/>
  <c r="Y57" i="46"/>
  <c r="W57" i="46"/>
  <c r="Q58" i="46" l="1"/>
  <c r="P58" i="46" s="1"/>
  <c r="R58" i="46" s="1"/>
  <c r="X57" i="46"/>
  <c r="Z57" i="46" s="1"/>
  <c r="U58" i="46"/>
  <c r="BS132" i="24" s="1"/>
  <c r="BS133" i="24" s="1"/>
  <c r="S58" i="46"/>
  <c r="T58" i="46" l="1"/>
  <c r="M59" i="46" l="1"/>
  <c r="W58" i="46"/>
  <c r="X58" i="46"/>
  <c r="Y58" i="46"/>
  <c r="Q59" i="46"/>
  <c r="Z58" i="46" l="1"/>
  <c r="P59" i="46"/>
  <c r="T59" i="46" s="1"/>
  <c r="S59" i="46"/>
  <c r="U59" i="46"/>
  <c r="BT132" i="24" s="1"/>
  <c r="BT133" i="24" s="1"/>
  <c r="M60" i="46" l="1"/>
  <c r="Y59" i="46"/>
  <c r="W59" i="46"/>
  <c r="Q60" i="46"/>
  <c r="X59" i="46"/>
  <c r="R59" i="46"/>
  <c r="Z59" i="46" l="1"/>
  <c r="P60" i="46"/>
  <c r="T60" i="46" s="1"/>
  <c r="S60" i="46"/>
  <c r="U60" i="46"/>
  <c r="BU132" i="24" s="1"/>
  <c r="BU133" i="24" s="1"/>
  <c r="W60" i="46" l="1"/>
  <c r="Y60" i="46"/>
  <c r="X60" i="46"/>
  <c r="M61" i="46"/>
  <c r="Q61" i="46"/>
  <c r="R60" i="46"/>
  <c r="Z60" i="46" l="1"/>
  <c r="U61" i="46"/>
  <c r="BV132" i="24" s="1"/>
  <c r="BV133" i="24" s="1"/>
  <c r="P61" i="46"/>
  <c r="S61" i="46"/>
  <c r="R61" i="46" l="1"/>
  <c r="T61" i="46"/>
  <c r="Q62" i="46" l="1"/>
  <c r="W61" i="46"/>
  <c r="X61" i="46"/>
  <c r="Y61" i="46"/>
  <c r="M62" i="46"/>
  <c r="Z61" i="46" l="1"/>
  <c r="U62" i="46"/>
  <c r="BW132" i="24" s="1"/>
  <c r="BW133" i="24" s="1"/>
  <c r="P62" i="46"/>
  <c r="S62" i="46"/>
  <c r="R62" i="46" l="1"/>
  <c r="T62" i="46"/>
  <c r="X62" i="46" l="1"/>
  <c r="Y62" i="46"/>
  <c r="M63" i="46"/>
  <c r="L109" i="22"/>
  <c r="Q63" i="46"/>
  <c r="W62" i="46"/>
  <c r="Z62" i="46" l="1"/>
  <c r="U63" i="46"/>
  <c r="BX132" i="24" s="1"/>
  <c r="BX133" i="24" s="1"/>
  <c r="AD24" i="46"/>
  <c r="P63" i="46"/>
  <c r="S63" i="46"/>
  <c r="R63" i="46" l="1"/>
  <c r="T63" i="46"/>
  <c r="Q64" i="46" l="1"/>
  <c r="Y63" i="46"/>
  <c r="M64" i="46"/>
  <c r="X63" i="46"/>
  <c r="W63" i="46"/>
  <c r="U64" i="46" l="1"/>
  <c r="BY132" i="24" s="1"/>
  <c r="BY133" i="24" s="1"/>
  <c r="Z63" i="46"/>
  <c r="P64" i="46"/>
  <c r="S64" i="46"/>
  <c r="R64" i="46" l="1"/>
  <c r="T64" i="46"/>
  <c r="W64" i="46" l="1"/>
  <c r="M65" i="46"/>
  <c r="U65" i="46" s="1"/>
  <c r="BZ132" i="24" s="1"/>
  <c r="BZ133" i="24" s="1"/>
  <c r="Y64" i="46"/>
  <c r="Q65" i="46"/>
  <c r="X64" i="46"/>
  <c r="P65" i="46" l="1"/>
  <c r="S65" i="46"/>
  <c r="Z64" i="46"/>
  <c r="T65" i="46" l="1"/>
  <c r="R65" i="46"/>
  <c r="Y65" i="46" l="1"/>
  <c r="W65" i="46"/>
  <c r="M66" i="46"/>
  <c r="U66" i="46" s="1"/>
  <c r="CA132" i="24" s="1"/>
  <c r="CA133" i="24" s="1"/>
  <c r="X65" i="46"/>
  <c r="Q66" i="46"/>
  <c r="Z65" i="46" l="1"/>
  <c r="P66" i="46"/>
  <c r="S66" i="46"/>
  <c r="T66" i="46" l="1"/>
  <c r="R66" i="46"/>
  <c r="Q67" i="46" l="1"/>
  <c r="M67" i="46"/>
  <c r="U67" i="46" s="1"/>
  <c r="CB132" i="24" s="1"/>
  <c r="CB133" i="24" s="1"/>
  <c r="Y66" i="46"/>
  <c r="W66" i="46"/>
  <c r="X66" i="46"/>
  <c r="Z66" i="46" l="1"/>
  <c r="P67" i="46"/>
  <c r="S67" i="46"/>
  <c r="T67" i="46" l="1"/>
  <c r="R67" i="46"/>
  <c r="Y67" i="46" l="1"/>
  <c r="X67" i="46"/>
  <c r="M68" i="46"/>
  <c r="W67" i="46"/>
  <c r="Q68" i="46"/>
  <c r="Z67" i="46" l="1"/>
  <c r="U68" i="46"/>
  <c r="CC132" i="24" s="1"/>
  <c r="CC133" i="24" s="1"/>
  <c r="J10" i="28" s="1"/>
  <c r="P68" i="46"/>
  <c r="S68" i="46"/>
  <c r="R68" i="46" l="1"/>
  <c r="T68" i="46"/>
  <c r="W68" i="46" l="1"/>
  <c r="X68" i="46"/>
  <c r="Q69" i="46"/>
  <c r="M69" i="46"/>
  <c r="Y68" i="46"/>
  <c r="U69" i="46" l="1"/>
  <c r="CD132" i="24" s="1"/>
  <c r="CD133" i="24" s="1"/>
  <c r="P69" i="46"/>
  <c r="S69" i="46"/>
  <c r="Z68" i="46"/>
  <c r="R69" i="46" l="1"/>
  <c r="T69" i="46"/>
  <c r="M70" i="46" l="1"/>
  <c r="Q70" i="46"/>
  <c r="W69" i="46"/>
  <c r="Y69" i="46"/>
  <c r="X69" i="46"/>
  <c r="P70" i="46" l="1"/>
  <c r="T70" i="46" s="1"/>
  <c r="S70" i="46"/>
  <c r="Z69" i="46"/>
  <c r="U70" i="46"/>
  <c r="CE132" i="24" s="1"/>
  <c r="CE133" i="24" s="1"/>
  <c r="M71" i="46" l="1"/>
  <c r="Y70" i="46"/>
  <c r="W70" i="46"/>
  <c r="X70" i="46"/>
  <c r="Q71" i="46"/>
  <c r="R70" i="46"/>
  <c r="Z70" i="46" l="1"/>
  <c r="S71" i="46"/>
  <c r="P71" i="46"/>
  <c r="T71" i="46" s="1"/>
  <c r="U71" i="46"/>
  <c r="CF132" i="24" s="1"/>
  <c r="CF133" i="24" s="1"/>
  <c r="R71" i="46" l="1"/>
  <c r="X71" i="46"/>
  <c r="M72" i="46"/>
  <c r="W71" i="46"/>
  <c r="Q72" i="46"/>
  <c r="Y71" i="46"/>
  <c r="U72" i="46" l="1"/>
  <c r="CG132" i="24" s="1"/>
  <c r="CG133" i="24" s="1"/>
  <c r="Z71" i="46"/>
  <c r="P72" i="46"/>
  <c r="S72" i="46"/>
  <c r="R72" i="46" l="1"/>
  <c r="T72" i="46"/>
  <c r="X72" i="46" l="1"/>
  <c r="M73" i="46"/>
  <c r="W72" i="46"/>
  <c r="Y72" i="46"/>
  <c r="Q73" i="46"/>
  <c r="Z72" i="46" l="1"/>
  <c r="U73" i="46"/>
  <c r="CH132" i="24" s="1"/>
  <c r="CH133" i="24" s="1"/>
  <c r="P73" i="46"/>
  <c r="S73" i="46"/>
  <c r="R73" i="46" l="1"/>
  <c r="T73" i="46"/>
  <c r="W73" i="46" l="1"/>
  <c r="Y73" i="46"/>
  <c r="X73" i="46"/>
  <c r="Q74" i="46"/>
  <c r="M74" i="46"/>
  <c r="P74" i="46" l="1"/>
  <c r="T74" i="46" s="1"/>
  <c r="S74" i="46"/>
  <c r="U74" i="46"/>
  <c r="CI132" i="24" s="1"/>
  <c r="CI133" i="24" s="1"/>
  <c r="Z73" i="46"/>
  <c r="M109" i="22" l="1"/>
  <c r="W74" i="46"/>
  <c r="Q75" i="46"/>
  <c r="M75" i="46"/>
  <c r="Y74" i="46"/>
  <c r="X74" i="46"/>
  <c r="R74" i="46"/>
  <c r="AD25" i="46" l="1"/>
  <c r="U75" i="46"/>
  <c r="CJ132" i="24" s="1"/>
  <c r="CJ133" i="24" s="1"/>
  <c r="P75" i="46"/>
  <c r="S75" i="46"/>
  <c r="Z74" i="46"/>
  <c r="R75" i="46" l="1"/>
  <c r="T75" i="46"/>
  <c r="W75" i="46" l="1"/>
  <c r="X75" i="46"/>
  <c r="Y75" i="46"/>
  <c r="Q76" i="46"/>
  <c r="M76" i="46"/>
  <c r="P76" i="46" l="1"/>
  <c r="T76" i="46" s="1"/>
  <c r="S76" i="46"/>
  <c r="U76" i="46"/>
  <c r="CK132" i="24" s="1"/>
  <c r="CK133" i="24" s="1"/>
  <c r="Z75" i="46"/>
  <c r="Q77" i="46" l="1"/>
  <c r="X76" i="46"/>
  <c r="M77" i="46"/>
  <c r="Y76" i="46"/>
  <c r="W76" i="46"/>
  <c r="R76" i="46"/>
  <c r="U77" i="46" l="1"/>
  <c r="CL132" i="24" s="1"/>
  <c r="CL133" i="24" s="1"/>
  <c r="Z76" i="46"/>
  <c r="P77" i="46"/>
  <c r="S77" i="46"/>
  <c r="R77" i="46" l="1"/>
  <c r="T77" i="46"/>
  <c r="X77" i="46" l="1"/>
  <c r="M78" i="46"/>
  <c r="W77" i="46"/>
  <c r="Q78" i="46"/>
  <c r="Y77" i="46"/>
  <c r="Z77" i="46" l="1"/>
  <c r="P78" i="46"/>
  <c r="T78" i="46" s="1"/>
  <c r="S78" i="46"/>
  <c r="U78" i="46"/>
  <c r="CM132" i="24" s="1"/>
  <c r="CM133" i="24" s="1"/>
  <c r="W78" i="46" l="1"/>
  <c r="Q79" i="46"/>
  <c r="Y78" i="46"/>
  <c r="X78" i="46"/>
  <c r="M79" i="46"/>
  <c r="R78" i="46"/>
  <c r="P79" i="46" l="1"/>
  <c r="R79" i="46" s="1"/>
  <c r="S79" i="46"/>
  <c r="U79" i="46"/>
  <c r="CN132" i="24" s="1"/>
  <c r="CN133" i="24" s="1"/>
  <c r="Z78" i="46"/>
  <c r="T79" i="46" l="1"/>
  <c r="M80" i="46" s="1"/>
  <c r="W79" i="46" l="1"/>
  <c r="Q80" i="46"/>
  <c r="S80" i="46" s="1"/>
  <c r="X79" i="46"/>
  <c r="Y79" i="46"/>
  <c r="U80" i="46"/>
  <c r="CO132" i="24" s="1"/>
  <c r="CO133" i="24" s="1"/>
  <c r="K10" i="28" s="1"/>
  <c r="P80" i="46" l="1"/>
  <c r="R80" i="46" s="1"/>
  <c r="Z79" i="46"/>
  <c r="T80" i="46" l="1"/>
  <c r="Q81" i="46" s="1"/>
  <c r="P81" i="46" s="1"/>
  <c r="W80" i="46"/>
  <c r="Y80" i="46"/>
  <c r="M81" i="46"/>
  <c r="U81" i="46" s="1"/>
  <c r="CP132" i="24" s="1"/>
  <c r="CP133" i="24" s="1"/>
  <c r="X80" i="46"/>
  <c r="S81" i="46"/>
  <c r="Z80" i="46" l="1"/>
  <c r="R81" i="46"/>
  <c r="T81" i="46"/>
  <c r="M82" i="46" l="1"/>
  <c r="X81" i="46"/>
  <c r="Q82" i="46"/>
  <c r="W81" i="46"/>
  <c r="Y81" i="46"/>
  <c r="Z81" i="46" l="1"/>
  <c r="P82" i="46"/>
  <c r="T82" i="46" s="1"/>
  <c r="S82" i="46"/>
  <c r="U82" i="46"/>
  <c r="CQ132" i="24" s="1"/>
  <c r="CQ133" i="24" s="1"/>
  <c r="Q83" i="46" l="1"/>
  <c r="X82" i="46"/>
  <c r="M83" i="46"/>
  <c r="Y82" i="46"/>
  <c r="W82" i="46"/>
  <c r="R82" i="46"/>
  <c r="U83" i="46" l="1"/>
  <c r="CR132" i="24" s="1"/>
  <c r="CR133" i="24" s="1"/>
  <c r="Z82" i="46"/>
  <c r="P83" i="46"/>
  <c r="S83" i="46"/>
  <c r="R83" i="46" l="1"/>
  <c r="T83" i="46"/>
  <c r="M84" i="46" l="1"/>
  <c r="Y83" i="46"/>
  <c r="W83" i="46"/>
  <c r="X83" i="46"/>
  <c r="Q84" i="46"/>
  <c r="Z83" i="46" l="1"/>
  <c r="P84" i="46"/>
  <c r="T84" i="46" s="1"/>
  <c r="S84" i="46"/>
  <c r="U84" i="46"/>
  <c r="CS132" i="24" s="1"/>
  <c r="CS133" i="24" s="1"/>
  <c r="R84" i="46" l="1"/>
  <c r="Q85" i="46"/>
  <c r="Y84" i="46"/>
  <c r="W84" i="46"/>
  <c r="X84" i="46"/>
  <c r="M85" i="46"/>
  <c r="Z84" i="46" l="1"/>
  <c r="U85" i="46"/>
  <c r="CT132" i="24" s="1"/>
  <c r="CT133" i="24" s="1"/>
  <c r="P85" i="46"/>
  <c r="S85" i="46"/>
  <c r="R85" i="46" l="1"/>
  <c r="T85" i="46"/>
  <c r="W85" i="46" l="1"/>
  <c r="Q86" i="46"/>
  <c r="M86" i="46"/>
  <c r="U86" i="46" s="1"/>
  <c r="CU132" i="24" s="1"/>
  <c r="CU133" i="24" s="1"/>
  <c r="Y85" i="46"/>
  <c r="X85" i="46"/>
  <c r="P86" i="46" l="1"/>
  <c r="S86" i="46"/>
  <c r="Z85" i="46"/>
  <c r="T86" i="46" l="1"/>
  <c r="R86" i="46"/>
  <c r="N109" i="22" l="1"/>
  <c r="W86" i="46"/>
  <c r="Y86" i="46"/>
  <c r="M87" i="46"/>
  <c r="Q87" i="46"/>
  <c r="X86" i="46"/>
  <c r="AD26" i="46" l="1"/>
  <c r="U87" i="46"/>
  <c r="CV132" i="24" s="1"/>
  <c r="CV133" i="24" s="1"/>
  <c r="Z86" i="46"/>
  <c r="P87" i="46"/>
  <c r="T87" i="46" s="1"/>
  <c r="S87" i="46"/>
  <c r="Q88" i="46" l="1"/>
  <c r="W87" i="46"/>
  <c r="Y87" i="46"/>
  <c r="X87" i="46"/>
  <c r="M88" i="46"/>
  <c r="R87" i="46"/>
  <c r="Z87" i="46" l="1"/>
  <c r="U88" i="46"/>
  <c r="CW132" i="24" s="1"/>
  <c r="CW133" i="24" s="1"/>
  <c r="P88" i="46"/>
  <c r="S88" i="46"/>
  <c r="R88" i="46" l="1"/>
  <c r="T88" i="46"/>
  <c r="Q89" i="46" l="1"/>
  <c r="Y88" i="46"/>
  <c r="W88" i="46"/>
  <c r="X88" i="46"/>
  <c r="M89" i="46"/>
  <c r="Z88" i="46" l="1"/>
  <c r="U89" i="46"/>
  <c r="CX132" i="24" s="1"/>
  <c r="CX133" i="24" s="1"/>
  <c r="P89" i="46"/>
  <c r="S89" i="46"/>
  <c r="R89" i="46" l="1"/>
  <c r="T89" i="46"/>
  <c r="M90" i="46" l="1"/>
  <c r="W89" i="46"/>
  <c r="Y89" i="46"/>
  <c r="Q90" i="46"/>
  <c r="X89" i="46"/>
  <c r="Z89" i="46" l="1"/>
  <c r="P90" i="46"/>
  <c r="T90" i="46" s="1"/>
  <c r="S90" i="46"/>
  <c r="U90" i="46"/>
  <c r="CY132" i="24" s="1"/>
  <c r="CY133" i="24" s="1"/>
  <c r="X90" i="46" l="1"/>
  <c r="W90" i="46"/>
  <c r="Q91" i="46"/>
  <c r="Y90" i="46"/>
  <c r="M91" i="46"/>
  <c r="R90" i="46"/>
  <c r="P91" i="46" l="1"/>
  <c r="T91" i="46" s="1"/>
  <c r="S91" i="46"/>
  <c r="Z90" i="46"/>
  <c r="U91" i="46"/>
  <c r="CZ132" i="24" s="1"/>
  <c r="CZ133" i="24" s="1"/>
  <c r="Q92" i="46" l="1"/>
  <c r="W91" i="46"/>
  <c r="X91" i="46"/>
  <c r="Y91" i="46"/>
  <c r="M92" i="46"/>
  <c r="R91" i="46"/>
  <c r="Z91" i="46" l="1"/>
  <c r="U92" i="46"/>
  <c r="DA132" i="24" s="1"/>
  <c r="DA133" i="24" s="1"/>
  <c r="L10" i="28" s="1"/>
  <c r="P92" i="46"/>
  <c r="S92" i="46"/>
  <c r="R92" i="46" l="1"/>
  <c r="T92" i="46"/>
  <c r="Q93" i="46" l="1"/>
  <c r="W92" i="46"/>
  <c r="Y92" i="46"/>
  <c r="M93" i="46"/>
  <c r="X92" i="46"/>
  <c r="Z92" i="46" l="1"/>
  <c r="U93" i="46"/>
  <c r="DB132" i="24" s="1"/>
  <c r="DB133" i="24" s="1"/>
  <c r="P93" i="46"/>
  <c r="S93" i="46"/>
  <c r="R93" i="46" l="1"/>
  <c r="T93" i="46"/>
  <c r="W93" i="46" l="1"/>
  <c r="M94" i="46"/>
  <c r="X93" i="46"/>
  <c r="Q94" i="46"/>
  <c r="Y93" i="46"/>
  <c r="P94" i="46" l="1"/>
  <c r="T94" i="46" s="1"/>
  <c r="S94" i="46"/>
  <c r="U94" i="46"/>
  <c r="DC132" i="24" s="1"/>
  <c r="DC133" i="24" s="1"/>
  <c r="Z93" i="46"/>
  <c r="Q95" i="46" l="1"/>
  <c r="M95" i="46"/>
  <c r="W94" i="46"/>
  <c r="X94" i="46"/>
  <c r="Y94" i="46"/>
  <c r="R94" i="46"/>
  <c r="Z94" i="46" l="1"/>
  <c r="U95" i="46"/>
  <c r="DD132" i="24" s="1"/>
  <c r="DD133" i="24" s="1"/>
  <c r="P95" i="46"/>
  <c r="S95" i="46"/>
  <c r="R95" i="46" l="1"/>
  <c r="T95" i="46"/>
  <c r="X95" i="46" l="1"/>
  <c r="M96" i="46"/>
  <c r="U96" i="46" s="1"/>
  <c r="DE132" i="24" s="1"/>
  <c r="DE133" i="24" s="1"/>
  <c r="Q96" i="46"/>
  <c r="Y95" i="46"/>
  <c r="W95" i="46"/>
  <c r="P96" i="46" l="1"/>
  <c r="S96" i="46"/>
  <c r="Z95" i="46"/>
  <c r="T96" i="46" l="1"/>
  <c r="R96" i="46"/>
  <c r="X96" i="46" l="1"/>
  <c r="Q97" i="46"/>
  <c r="W96" i="46"/>
  <c r="Y96" i="46"/>
  <c r="M97" i="46"/>
  <c r="Z96" i="46" l="1"/>
  <c r="P97" i="46"/>
  <c r="T97" i="46" s="1"/>
  <c r="S97" i="46"/>
  <c r="U97" i="46"/>
  <c r="DF132" i="24" s="1"/>
  <c r="DF133" i="24" s="1"/>
  <c r="R97" i="46" l="1"/>
  <c r="W97" i="46"/>
  <c r="M98" i="46"/>
  <c r="U98" i="46" s="1"/>
  <c r="DG132" i="24" s="1"/>
  <c r="DG133" i="24" s="1"/>
  <c r="Q98" i="46"/>
  <c r="Y97" i="46"/>
  <c r="X97" i="46"/>
  <c r="Z97" i="46" l="1"/>
  <c r="P98" i="46"/>
  <c r="S98" i="46"/>
  <c r="T98" i="46" l="1"/>
  <c r="R98" i="46"/>
  <c r="O109" i="22" l="1"/>
  <c r="Y98" i="46"/>
  <c r="M99" i="46"/>
  <c r="X98" i="46"/>
  <c r="Q99" i="46"/>
  <c r="W98" i="46"/>
  <c r="AD27" i="46" l="1"/>
  <c r="U99" i="46"/>
  <c r="DH132" i="24" s="1"/>
  <c r="DH133" i="24" s="1"/>
  <c r="Z98" i="46"/>
  <c r="P99" i="46"/>
  <c r="T99" i="46" s="1"/>
  <c r="S99" i="46"/>
  <c r="M100" i="46" l="1"/>
  <c r="Q100" i="46"/>
  <c r="Y99" i="46"/>
  <c r="W99" i="46"/>
  <c r="X99" i="46"/>
  <c r="R99" i="46"/>
  <c r="Z99" i="46" l="1"/>
  <c r="P100" i="46"/>
  <c r="T100" i="46" s="1"/>
  <c r="S100" i="46"/>
  <c r="U100" i="46"/>
  <c r="DI132" i="24" s="1"/>
  <c r="DI133" i="24" s="1"/>
  <c r="DM132" i="24" l="1"/>
  <c r="DM133" i="24" s="1"/>
  <c r="M10" i="28" s="1"/>
  <c r="X100" i="46"/>
  <c r="W100" i="46"/>
  <c r="Y100" i="46"/>
  <c r="Q101" i="46"/>
  <c r="M101" i="46"/>
  <c r="R100" i="46"/>
  <c r="P101" i="46" l="1"/>
  <c r="T101" i="46" s="1"/>
  <c r="S101" i="46"/>
  <c r="Z100" i="46"/>
  <c r="U101" i="46"/>
  <c r="DJ132" i="24" s="1"/>
  <c r="DJ133" i="24" s="1"/>
  <c r="DN132" i="24" l="1"/>
  <c r="DN133" i="24" s="1"/>
  <c r="W101" i="46"/>
  <c r="Q102" i="46"/>
  <c r="M102" i="46"/>
  <c r="X101" i="46"/>
  <c r="Y101" i="46"/>
  <c r="R101" i="46"/>
  <c r="U102" i="46" l="1"/>
  <c r="DK132" i="24" s="1"/>
  <c r="DK133" i="24" s="1"/>
  <c r="P102" i="46"/>
  <c r="S102" i="46"/>
  <c r="Z101" i="46"/>
  <c r="R102" i="46" l="1"/>
  <c r="T102" i="46"/>
  <c r="DO132" i="24"/>
  <c r="DO133" i="24" s="1"/>
  <c r="W102" i="46" l="1"/>
  <c r="X102" i="46"/>
  <c r="Q103" i="46"/>
  <c r="M103" i="46"/>
  <c r="Y102" i="46"/>
  <c r="U103" i="46" l="1"/>
  <c r="DL132" i="24" s="1"/>
  <c r="DL133" i="24" s="1"/>
  <c r="P103" i="46"/>
  <c r="S103" i="46"/>
  <c r="Z102" i="46"/>
  <c r="R103" i="46" l="1"/>
  <c r="T103" i="46"/>
  <c r="DP132" i="24"/>
  <c r="DP133" i="24" s="1"/>
  <c r="W103" i="46" l="1"/>
  <c r="Q104" i="46"/>
  <c r="X103" i="46"/>
  <c r="M104" i="46"/>
  <c r="U104" i="46" s="1"/>
  <c r="Y103" i="46"/>
  <c r="P104" i="46" l="1"/>
  <c r="S104" i="46"/>
  <c r="Z103" i="46"/>
  <c r="DQ132" i="24"/>
  <c r="DQ133" i="24" s="1"/>
  <c r="T104" i="46" l="1"/>
  <c r="R104" i="46"/>
  <c r="Q105" i="46" l="1"/>
  <c r="X104" i="46"/>
  <c r="Y104" i="46"/>
  <c r="M105" i="46"/>
  <c r="W104" i="46"/>
  <c r="U105" i="46" l="1"/>
  <c r="Z104" i="46"/>
  <c r="P105" i="46"/>
  <c r="S105" i="46"/>
  <c r="DR132" i="24"/>
  <c r="DR133" i="24" s="1"/>
  <c r="R105" i="46" l="1"/>
  <c r="T105" i="46"/>
  <c r="M106" i="46" l="1"/>
  <c r="Q106" i="46"/>
  <c r="X105" i="46"/>
  <c r="Y105" i="46"/>
  <c r="W105" i="46"/>
  <c r="P106" i="46" l="1"/>
  <c r="T106" i="46" s="1"/>
  <c r="S106" i="46"/>
  <c r="Z105" i="46"/>
  <c r="U106" i="46"/>
  <c r="DS132" i="24" s="1"/>
  <c r="DS133" i="24" s="1"/>
  <c r="Q107" i="46" l="1"/>
  <c r="M107" i="46"/>
  <c r="U107" i="46" s="1"/>
  <c r="W106" i="46"/>
  <c r="Y106" i="46"/>
  <c r="X106" i="46"/>
  <c r="R106" i="46"/>
  <c r="DT132" i="24"/>
  <c r="DT133" i="24" s="1"/>
  <c r="Z106" i="46" l="1"/>
  <c r="P107" i="46"/>
  <c r="S107" i="46"/>
  <c r="T107" i="46" l="1"/>
  <c r="R107" i="46"/>
  <c r="X107" i="46" l="1"/>
  <c r="Y107" i="46"/>
  <c r="Q108" i="46"/>
  <c r="M108" i="46"/>
  <c r="W107" i="46"/>
  <c r="Z107" i="46" l="1"/>
  <c r="U108" i="46"/>
  <c r="DU132" i="24" s="1"/>
  <c r="DU133" i="24" s="1"/>
  <c r="P108" i="46"/>
  <c r="S108" i="46"/>
  <c r="R108" i="46" l="1"/>
  <c r="T108" i="46"/>
  <c r="W108" i="46" l="1"/>
  <c r="Q109" i="46"/>
  <c r="M109" i="46"/>
  <c r="U109" i="46" s="1"/>
  <c r="DV132" i="24" s="1"/>
  <c r="DV133" i="24" s="1"/>
  <c r="X108" i="46"/>
  <c r="Y108" i="46"/>
  <c r="P109" i="46" l="1"/>
  <c r="S109" i="46"/>
  <c r="Z108" i="46"/>
  <c r="T109" i="46" l="1"/>
  <c r="R109" i="46"/>
  <c r="M110" i="46" l="1"/>
  <c r="U110" i="46" s="1"/>
  <c r="DW132" i="24" s="1"/>
  <c r="DW133" i="24" s="1"/>
  <c r="Y109" i="46"/>
  <c r="X109" i="46"/>
  <c r="W109" i="46"/>
  <c r="Q110" i="46"/>
  <c r="Z109" i="46" l="1"/>
  <c r="P110" i="46"/>
  <c r="S110" i="46"/>
  <c r="T110" i="46" l="1"/>
  <c r="R110" i="46"/>
  <c r="P109" i="22" l="1"/>
  <c r="X110" i="46"/>
  <c r="W110" i="46"/>
  <c r="Y110" i="46"/>
  <c r="M111" i="46"/>
  <c r="Q111" i="46"/>
  <c r="Z110" i="46" l="1"/>
  <c r="P111" i="46"/>
  <c r="S111" i="46"/>
  <c r="U111" i="46"/>
  <c r="DX132" i="24" s="1"/>
  <c r="DX133" i="24" s="1"/>
  <c r="AD28" i="46"/>
  <c r="T111" i="46" l="1"/>
  <c r="R111" i="46"/>
  <c r="M112" i="46" l="1"/>
  <c r="X111" i="46"/>
  <c r="Q112" i="46"/>
  <c r="W111" i="46"/>
  <c r="Y111" i="46"/>
  <c r="Z111" i="46" l="1"/>
  <c r="P112" i="46"/>
  <c r="T112" i="46" s="1"/>
  <c r="S112" i="46"/>
  <c r="U112" i="46"/>
  <c r="DY132" i="24" s="1"/>
  <c r="DY133" i="24" s="1"/>
  <c r="N10" i="28" s="1"/>
  <c r="Y112" i="46" l="1"/>
  <c r="M113" i="46"/>
  <c r="W112" i="46"/>
  <c r="X112" i="46"/>
  <c r="Q113" i="46"/>
  <c r="R112" i="46"/>
  <c r="Z112" i="46" l="1"/>
  <c r="U113" i="46"/>
  <c r="DZ132" i="24" s="1"/>
  <c r="DZ133" i="24" s="1"/>
  <c r="P113" i="46"/>
  <c r="T113" i="46" s="1"/>
  <c r="S113" i="46"/>
  <c r="M114" i="46" l="1"/>
  <c r="Y113" i="46"/>
  <c r="W113" i="46"/>
  <c r="Q114" i="46"/>
  <c r="X113" i="46"/>
  <c r="R113" i="46"/>
  <c r="Z113" i="46" l="1"/>
  <c r="P114" i="46"/>
  <c r="T114" i="46" s="1"/>
  <c r="S114" i="46"/>
  <c r="U114" i="46"/>
  <c r="EA132" i="24" s="1"/>
  <c r="EA133" i="24" s="1"/>
  <c r="Q115" i="46" l="1"/>
  <c r="X114" i="46"/>
  <c r="W114" i="46"/>
  <c r="Y114" i="46"/>
  <c r="M115" i="46"/>
  <c r="R114" i="46"/>
  <c r="Z114" i="46" l="1"/>
  <c r="U115" i="46"/>
  <c r="EB132" i="24" s="1"/>
  <c r="EB133" i="24" s="1"/>
  <c r="P115" i="46"/>
  <c r="S115" i="46"/>
  <c r="R115" i="46" l="1"/>
  <c r="T115" i="46"/>
  <c r="Q116" i="46" l="1"/>
  <c r="M116" i="46"/>
  <c r="U116" i="46" s="1"/>
  <c r="EC132" i="24" s="1"/>
  <c r="EC133" i="24" s="1"/>
  <c r="X115" i="46"/>
  <c r="Y115" i="46"/>
  <c r="W115" i="46"/>
  <c r="Z115" i="46" l="1"/>
  <c r="P116" i="46"/>
  <c r="S116" i="46"/>
  <c r="T116" i="46" l="1"/>
  <c r="R116" i="46"/>
  <c r="Q117" i="46" l="1"/>
  <c r="W116" i="46"/>
  <c r="X116" i="46"/>
  <c r="Y116" i="46"/>
  <c r="M117" i="46"/>
  <c r="U117" i="46" s="1"/>
  <c r="ED132" i="24" s="1"/>
  <c r="ED133" i="24" s="1"/>
  <c r="Z116" i="46" l="1"/>
  <c r="P117" i="46"/>
  <c r="S117" i="46"/>
  <c r="T117" i="46" l="1"/>
  <c r="R117" i="46"/>
  <c r="Y117" i="46" l="1"/>
  <c r="W117" i="46"/>
  <c r="M118" i="46"/>
  <c r="U118" i="46" s="1"/>
  <c r="EE132" i="24" s="1"/>
  <c r="EE133" i="24" s="1"/>
  <c r="Q118" i="46"/>
  <c r="X117" i="46"/>
  <c r="Z117" i="46" l="1"/>
  <c r="P118" i="46"/>
  <c r="S118" i="46"/>
  <c r="T118" i="46" l="1"/>
  <c r="R118" i="46"/>
  <c r="X118" i="46" l="1"/>
  <c r="W118" i="46"/>
  <c r="Q119" i="46"/>
  <c r="M119" i="46"/>
  <c r="Y118" i="46"/>
  <c r="Z118" i="46" l="1"/>
  <c r="P119" i="46"/>
  <c r="T119" i="46" s="1"/>
  <c r="S119" i="46"/>
  <c r="U119" i="46"/>
  <c r="EF132" i="24" s="1"/>
  <c r="EF133" i="24" s="1"/>
  <c r="W119" i="46" l="1"/>
  <c r="M120" i="46"/>
  <c r="X119" i="46"/>
  <c r="Q120" i="46"/>
  <c r="Y119" i="46"/>
  <c r="R119" i="46"/>
  <c r="U120" i="46" l="1"/>
  <c r="EG132" i="24" s="1"/>
  <c r="EG133" i="24" s="1"/>
  <c r="P120" i="46"/>
  <c r="S120" i="46"/>
  <c r="Z119" i="46"/>
  <c r="R120" i="46" l="1"/>
  <c r="T120" i="46"/>
  <c r="X120" i="46" l="1"/>
  <c r="M121" i="46"/>
  <c r="Q121" i="46"/>
  <c r="W120" i="46"/>
  <c r="Y120" i="46"/>
  <c r="Z120" i="46" l="1"/>
  <c r="P121" i="46"/>
  <c r="T121" i="46" s="1"/>
  <c r="S121" i="46"/>
  <c r="U121" i="46"/>
  <c r="EH132" i="24" s="1"/>
  <c r="EH133" i="24" s="1"/>
  <c r="M122" i="46" l="1"/>
  <c r="U122" i="46" s="1"/>
  <c r="EI132" i="24" s="1"/>
  <c r="EI133" i="24" s="1"/>
  <c r="Q122" i="46"/>
  <c r="Y121" i="46"/>
  <c r="W121" i="46"/>
  <c r="X121" i="46"/>
  <c r="R121" i="46"/>
  <c r="Z121" i="46" l="1"/>
  <c r="P122" i="46"/>
  <c r="S122" i="46"/>
  <c r="T122" i="46" l="1"/>
  <c r="R122" i="46"/>
  <c r="Q109" i="22" l="1"/>
  <c r="W122" i="46"/>
  <c r="X122" i="46"/>
  <c r="M123" i="46"/>
  <c r="Q123" i="46"/>
  <c r="Y122" i="46"/>
  <c r="AD29" i="46" l="1"/>
  <c r="U123" i="46"/>
  <c r="EJ132" i="24" s="1"/>
  <c r="EJ133" i="24" s="1"/>
  <c r="Z122" i="46"/>
  <c r="P123" i="46"/>
  <c r="T123" i="46" s="1"/>
  <c r="S123" i="46"/>
  <c r="M124" i="46" l="1"/>
  <c r="Y123" i="46"/>
  <c r="X123" i="46"/>
  <c r="W123" i="46"/>
  <c r="Q124" i="46"/>
  <c r="R123" i="46"/>
  <c r="Z123" i="46" l="1"/>
  <c r="P124" i="46"/>
  <c r="T124" i="46" s="1"/>
  <c r="S124" i="46"/>
  <c r="U124" i="46"/>
  <c r="EK132" i="24" s="1"/>
  <c r="EK133" i="24" s="1"/>
  <c r="O10" i="28" s="1"/>
  <c r="Q125" i="46" l="1"/>
  <c r="Y124" i="46"/>
  <c r="X124" i="46"/>
  <c r="M125" i="46"/>
  <c r="W124" i="46"/>
  <c r="R124" i="46"/>
  <c r="Z124" i="46" l="1"/>
  <c r="U125" i="46"/>
  <c r="EL132" i="24" s="1"/>
  <c r="EL133" i="24" s="1"/>
  <c r="P125" i="46"/>
  <c r="S125" i="46"/>
  <c r="R125" i="46" l="1"/>
  <c r="T125" i="46"/>
  <c r="Q126" i="46" l="1"/>
  <c r="Y125" i="46"/>
  <c r="X125" i="46"/>
  <c r="M126" i="46"/>
  <c r="W125" i="46"/>
  <c r="U126" i="46" l="1"/>
  <c r="EM132" i="24" s="1"/>
  <c r="EM133" i="24" s="1"/>
  <c r="Z125" i="46"/>
  <c r="P126" i="46"/>
  <c r="S126" i="46"/>
  <c r="R126" i="46" l="1"/>
  <c r="T126" i="46"/>
  <c r="Y126" i="46" l="1"/>
  <c r="Q127" i="46"/>
  <c r="M127" i="46"/>
  <c r="X126" i="46"/>
  <c r="W126" i="46"/>
  <c r="Z126" i="46" l="1"/>
  <c r="U127" i="46"/>
  <c r="EN132" i="24" s="1"/>
  <c r="EN133" i="24" s="1"/>
  <c r="P127" i="46"/>
  <c r="S127" i="46"/>
  <c r="R127" i="46" l="1"/>
  <c r="T127" i="46"/>
  <c r="X127" i="46" l="1"/>
  <c r="Q128" i="46"/>
  <c r="Y127" i="46"/>
  <c r="M128" i="46"/>
  <c r="U128" i="46" s="1"/>
  <c r="EO132" i="24" s="1"/>
  <c r="EO133" i="24" s="1"/>
  <c r="W127" i="46"/>
  <c r="Z127" i="46" l="1"/>
  <c r="P128" i="46"/>
  <c r="S128" i="46"/>
  <c r="T128" i="46" l="1"/>
  <c r="R128" i="46"/>
  <c r="Q129" i="46" l="1"/>
  <c r="W128" i="46"/>
  <c r="Y128" i="46"/>
  <c r="X128" i="46"/>
  <c r="M129" i="46"/>
  <c r="U129" i="46" s="1"/>
  <c r="EP132" i="24" s="1"/>
  <c r="EP133" i="24" s="1"/>
  <c r="Z128" i="46" l="1"/>
  <c r="P129" i="46"/>
  <c r="S129" i="46"/>
  <c r="T129" i="46" l="1"/>
  <c r="R129" i="46"/>
  <c r="X129" i="46" l="1"/>
  <c r="Q130" i="46"/>
  <c r="M130" i="46"/>
  <c r="U130" i="46" s="1"/>
  <c r="EQ132" i="24" s="1"/>
  <c r="EQ133" i="24" s="1"/>
  <c r="W129" i="46"/>
  <c r="Y129" i="46"/>
  <c r="Z129" i="46" l="1"/>
  <c r="P130" i="46"/>
  <c r="S130" i="46"/>
  <c r="T130" i="46" l="1"/>
  <c r="R130" i="46"/>
  <c r="M131" i="46" l="1"/>
  <c r="U131" i="46" s="1"/>
  <c r="ER132" i="24" s="1"/>
  <c r="ER133" i="24" s="1"/>
  <c r="Y130" i="46"/>
  <c r="Q131" i="46"/>
  <c r="X130" i="46"/>
  <c r="W130" i="46"/>
  <c r="Z130" i="46" l="1"/>
  <c r="P131" i="46"/>
  <c r="S131" i="46"/>
  <c r="T131" i="46" l="1"/>
  <c r="R131" i="46"/>
  <c r="W131" i="46" l="1"/>
  <c r="M132" i="46"/>
  <c r="Y131" i="46"/>
  <c r="Q132" i="46"/>
  <c r="X131" i="46"/>
  <c r="P132" i="46" l="1"/>
  <c r="T132" i="46" s="1"/>
  <c r="S132" i="46"/>
  <c r="U132" i="46"/>
  <c r="ES132" i="24" s="1"/>
  <c r="ES133" i="24" s="1"/>
  <c r="Z131" i="46"/>
  <c r="M133" i="46" l="1"/>
  <c r="U133" i="46" s="1"/>
  <c r="ET132" i="24" s="1"/>
  <c r="ET133" i="24" s="1"/>
  <c r="W132" i="46"/>
  <c r="Y132" i="46"/>
  <c r="Q133" i="46"/>
  <c r="X132" i="46"/>
  <c r="R132" i="46"/>
  <c r="P133" i="46" l="1"/>
  <c r="S133" i="46"/>
  <c r="Z132" i="46"/>
  <c r="T133" i="46" l="1"/>
  <c r="R133" i="46"/>
  <c r="M134" i="46" l="1"/>
  <c r="Q134" i="46"/>
  <c r="W133" i="46"/>
  <c r="Y133" i="46"/>
  <c r="X133" i="46"/>
  <c r="Z133" i="46" l="1"/>
  <c r="P134" i="46"/>
  <c r="T134" i="46" s="1"/>
  <c r="S134" i="46"/>
  <c r="U134" i="46"/>
  <c r="EU132" i="24" s="1"/>
  <c r="EU133" i="24" s="1"/>
  <c r="R109" i="22" l="1"/>
  <c r="Q135" i="46"/>
  <c r="W134" i="46"/>
  <c r="X134" i="46"/>
  <c r="Y134" i="46"/>
  <c r="M135" i="46"/>
  <c r="R134" i="46"/>
  <c r="Z134" i="46" l="1"/>
  <c r="U135" i="46"/>
  <c r="EV132" i="24" s="1"/>
  <c r="EV133" i="24" s="1"/>
  <c r="AD30" i="46"/>
  <c r="P135" i="46"/>
  <c r="T135" i="46" s="1"/>
  <c r="S135" i="46"/>
  <c r="Y135" i="46" l="1"/>
  <c r="Q136" i="46"/>
  <c r="W135" i="46"/>
  <c r="X135" i="46"/>
  <c r="M136" i="46"/>
  <c r="R135" i="46"/>
  <c r="Z135" i="46" l="1"/>
  <c r="P136" i="46"/>
  <c r="T136" i="46" s="1"/>
  <c r="S136" i="46"/>
  <c r="U136" i="46"/>
  <c r="EW132" i="24" s="1"/>
  <c r="EW133" i="24" s="1"/>
  <c r="P10" i="28" s="1"/>
  <c r="R136" i="46" l="1"/>
  <c r="Q137" i="46"/>
  <c r="X136" i="46"/>
  <c r="M137" i="46"/>
  <c r="W136" i="46"/>
  <c r="Y136" i="46"/>
  <c r="P137" i="46" l="1"/>
  <c r="T137" i="46" s="1"/>
  <c r="S137" i="46"/>
  <c r="U137" i="46"/>
  <c r="Z136" i="46"/>
  <c r="X137" i="46" l="1"/>
  <c r="Q138" i="46"/>
  <c r="M138" i="46"/>
  <c r="Y137" i="46"/>
  <c r="W137" i="46"/>
  <c r="R137" i="46"/>
  <c r="U138" i="46" l="1"/>
  <c r="P138" i="46"/>
  <c r="S138" i="46"/>
  <c r="Z137" i="46"/>
  <c r="R138" i="46" l="1"/>
  <c r="T138" i="46"/>
  <c r="W138" i="46" l="1"/>
  <c r="X138" i="46"/>
  <c r="Q139" i="46"/>
  <c r="Y138" i="46"/>
  <c r="M139" i="46"/>
  <c r="P139" i="46" l="1"/>
  <c r="T139" i="46" s="1"/>
  <c r="S139" i="46"/>
  <c r="U139" i="46"/>
  <c r="Z138" i="46"/>
  <c r="X139" i="46" l="1"/>
  <c r="W139" i="46"/>
  <c r="M140" i="46"/>
  <c r="U140" i="46" s="1"/>
  <c r="Q140" i="46"/>
  <c r="Y139" i="46"/>
  <c r="R139" i="46"/>
  <c r="P140" i="46" l="1"/>
  <c r="S140" i="46"/>
  <c r="Z139" i="46"/>
  <c r="T140" i="46" l="1"/>
  <c r="R140" i="46"/>
  <c r="Y140" i="46" l="1"/>
  <c r="W140" i="46"/>
  <c r="X140" i="46"/>
  <c r="Q141" i="46"/>
  <c r="M141" i="46"/>
  <c r="Z140" i="46" l="1"/>
  <c r="P141" i="46"/>
  <c r="T141" i="46" s="1"/>
  <c r="S141" i="46"/>
  <c r="U141" i="46"/>
  <c r="EX132" i="24" s="1"/>
  <c r="EX133" i="24" s="1"/>
  <c r="X141" i="46" l="1"/>
  <c r="M142" i="46"/>
  <c r="Y141" i="46"/>
  <c r="W141" i="46"/>
  <c r="Q142" i="46"/>
  <c r="R141" i="46"/>
  <c r="Z141" i="46" l="1"/>
  <c r="U142" i="46"/>
  <c r="EY132" i="24" s="1"/>
  <c r="EY133" i="24" s="1"/>
  <c r="P142" i="46"/>
  <c r="S142" i="46"/>
  <c r="R142" i="46" l="1"/>
  <c r="T142" i="46"/>
  <c r="W142" i="46" l="1"/>
  <c r="Q143" i="46"/>
  <c r="M143" i="46"/>
  <c r="U143" i="46" s="1"/>
  <c r="EZ132" i="24" s="1"/>
  <c r="EZ133" i="24" s="1"/>
  <c r="X142" i="46"/>
  <c r="Y142" i="46"/>
  <c r="P143" i="46" l="1"/>
  <c r="S143" i="46"/>
  <c r="Z142" i="46"/>
  <c r="T143" i="46" l="1"/>
  <c r="R143" i="46"/>
  <c r="X143" i="46" l="1"/>
  <c r="W143" i="46"/>
  <c r="Q144" i="46"/>
  <c r="M144" i="46"/>
  <c r="Y143" i="46"/>
  <c r="P144" i="46" l="1"/>
  <c r="T144" i="46" s="1"/>
  <c r="S144" i="46"/>
  <c r="U144" i="46"/>
  <c r="Z143" i="46"/>
  <c r="FA132" i="24" l="1"/>
  <c r="FA133" i="24" s="1"/>
  <c r="FE132" i="24"/>
  <c r="FE133" i="24" s="1"/>
  <c r="Q145" i="46"/>
  <c r="W144" i="46"/>
  <c r="Y144" i="46"/>
  <c r="X144" i="46"/>
  <c r="M145" i="46"/>
  <c r="R144" i="46"/>
  <c r="Z144" i="46" l="1"/>
  <c r="U145" i="46"/>
  <c r="P145" i="46"/>
  <c r="T145" i="46" s="1"/>
  <c r="S145" i="46"/>
  <c r="Y145" i="46" l="1"/>
  <c r="W145" i="46"/>
  <c r="M146" i="46"/>
  <c r="Q146" i="46"/>
  <c r="X145" i="46"/>
  <c r="FB132" i="24"/>
  <c r="FB133" i="24" s="1"/>
  <c r="FF132" i="24"/>
  <c r="FF133" i="24" s="1"/>
  <c r="R145" i="46"/>
  <c r="U146" i="46" l="1"/>
  <c r="Z145" i="46"/>
  <c r="P146" i="46"/>
  <c r="S146" i="46"/>
  <c r="R146" i="46" l="1"/>
  <c r="T146" i="46"/>
  <c r="FC132" i="24"/>
  <c r="FC133" i="24" s="1"/>
  <c r="FG132" i="24"/>
  <c r="FG133" i="24" s="1"/>
  <c r="S109" i="22" l="1"/>
  <c r="Y146" i="46"/>
  <c r="Q147" i="46"/>
  <c r="W146" i="46"/>
  <c r="M147" i="46"/>
  <c r="X146" i="46"/>
  <c r="Z146" i="46" l="1"/>
  <c r="P147" i="46"/>
  <c r="T147" i="46" s="1"/>
  <c r="S147" i="46"/>
  <c r="AD31" i="46"/>
  <c r="U147" i="46"/>
  <c r="FD132" i="24" l="1"/>
  <c r="FD133" i="24" s="1"/>
  <c r="FH132" i="24"/>
  <c r="FH133" i="24" s="1"/>
  <c r="W147" i="46"/>
  <c r="M148" i="46"/>
  <c r="X147" i="46"/>
  <c r="Y147" i="46"/>
  <c r="Q148" i="46"/>
  <c r="R147" i="46"/>
  <c r="U148" i="46" l="1"/>
  <c r="FI132" i="24" s="1"/>
  <c r="FI133" i="24" s="1"/>
  <c r="Q10" i="28" s="1"/>
  <c r="P148" i="46"/>
  <c r="S148" i="46"/>
  <c r="Z147" i="46"/>
  <c r="R148" i="46" l="1"/>
  <c r="T148" i="46"/>
  <c r="Y148" i="46" l="1"/>
  <c r="Q149" i="46"/>
  <c r="M149" i="46"/>
  <c r="W148" i="46"/>
  <c r="X148" i="46"/>
  <c r="Z148" i="46" l="1"/>
  <c r="U149" i="46"/>
  <c r="FJ132" i="24" s="1"/>
  <c r="FJ133" i="24" s="1"/>
  <c r="P149" i="46"/>
  <c r="S149" i="46"/>
  <c r="R149" i="46" l="1"/>
  <c r="T149" i="46"/>
  <c r="Q150" i="46" l="1"/>
  <c r="Y149" i="46"/>
  <c r="W149" i="46"/>
  <c r="X149" i="46"/>
  <c r="M150" i="46"/>
  <c r="U150" i="46" s="1"/>
  <c r="FK132" i="24" s="1"/>
  <c r="FK133" i="24" s="1"/>
  <c r="Z149" i="46" l="1"/>
  <c r="P150" i="46"/>
  <c r="S150" i="46"/>
  <c r="T150" i="46" l="1"/>
  <c r="R150" i="46"/>
  <c r="Q151" i="46" l="1"/>
  <c r="Y150" i="46"/>
  <c r="X150" i="46"/>
  <c r="W150" i="46"/>
  <c r="M151" i="46"/>
  <c r="Z150" i="46" l="1"/>
  <c r="U151" i="46"/>
  <c r="FL132" i="24" s="1"/>
  <c r="FL133" i="24" s="1"/>
  <c r="P151" i="46"/>
  <c r="S151" i="46"/>
  <c r="R151" i="46" l="1"/>
  <c r="T151" i="46"/>
  <c r="Y151" i="46" l="1"/>
  <c r="Q152" i="46"/>
  <c r="W151" i="46"/>
  <c r="M152" i="46"/>
  <c r="U152" i="46" s="1"/>
  <c r="FM132" i="24" s="1"/>
  <c r="FM133" i="24" s="1"/>
  <c r="X151" i="46"/>
  <c r="Z151" i="46" l="1"/>
  <c r="P152" i="46"/>
  <c r="S152" i="46"/>
  <c r="T152" i="46" l="1"/>
  <c r="R152" i="46"/>
  <c r="Q153" i="46" l="1"/>
  <c r="W152" i="46"/>
  <c r="Y152" i="46"/>
  <c r="X152" i="46"/>
  <c r="M153" i="46"/>
  <c r="U153" i="46" s="1"/>
  <c r="FN132" i="24" s="1"/>
  <c r="FN133" i="24" s="1"/>
  <c r="Z152" i="46" l="1"/>
  <c r="P153" i="46"/>
  <c r="S153" i="46"/>
  <c r="T153" i="46" l="1"/>
  <c r="R153" i="46"/>
  <c r="X153" i="46" l="1"/>
  <c r="Y153" i="46"/>
  <c r="Q154" i="46"/>
  <c r="M154" i="46"/>
  <c r="W153" i="46"/>
  <c r="Z153" i="46" l="1"/>
  <c r="P154" i="46"/>
  <c r="T154" i="46" s="1"/>
  <c r="S154" i="46"/>
  <c r="U154" i="46"/>
  <c r="FO132" i="24" s="1"/>
  <c r="FO133" i="24" s="1"/>
  <c r="Y154" i="46" l="1"/>
  <c r="W154" i="46"/>
  <c r="Q155" i="46"/>
  <c r="M155" i="46"/>
  <c r="X154" i="46"/>
  <c r="R154" i="46"/>
  <c r="U155" i="46" l="1"/>
  <c r="P155" i="46"/>
  <c r="S155" i="46"/>
  <c r="Z154" i="46"/>
  <c r="R155" i="46" l="1"/>
  <c r="T155" i="46"/>
  <c r="Q156" i="46" l="1"/>
  <c r="M156" i="46"/>
  <c r="Y155" i="46"/>
  <c r="W155" i="46"/>
  <c r="X155" i="46"/>
  <c r="Z155" i="46" l="1"/>
  <c r="U156" i="46"/>
  <c r="P156" i="46"/>
  <c r="S156" i="46"/>
  <c r="R156" i="46" l="1"/>
  <c r="T156" i="46"/>
  <c r="Q157" i="46" l="1"/>
  <c r="M157" i="46"/>
  <c r="Y156" i="46"/>
  <c r="X156" i="46"/>
  <c r="W156" i="46"/>
  <c r="U157" i="46" l="1"/>
  <c r="Z156" i="46"/>
  <c r="P157" i="46"/>
  <c r="T157" i="46" s="1"/>
  <c r="S157" i="46"/>
  <c r="X157" i="46" l="1"/>
  <c r="Y157" i="46"/>
  <c r="M158" i="46"/>
  <c r="Q158" i="46"/>
  <c r="W157" i="46"/>
  <c r="R157" i="46"/>
  <c r="Z157" i="46" l="1"/>
  <c r="P158" i="46"/>
  <c r="T158" i="46" s="1"/>
  <c r="S158" i="46"/>
  <c r="U158" i="46"/>
  <c r="M159" i="46" l="1"/>
  <c r="W158" i="46"/>
  <c r="X158" i="46"/>
  <c r="Y158" i="46"/>
  <c r="Q159" i="46"/>
  <c r="R158" i="46"/>
  <c r="Z158" i="46" l="1"/>
  <c r="P159" i="46"/>
  <c r="T159" i="46" s="1"/>
  <c r="S159" i="46"/>
  <c r="AD32" i="46"/>
  <c r="U159" i="46"/>
  <c r="FP132" i="24" s="1"/>
  <c r="FP133" i="24" s="1"/>
  <c r="W159" i="46" l="1"/>
  <c r="Y159" i="46"/>
  <c r="X159" i="46"/>
  <c r="M160" i="46"/>
  <c r="Q160" i="46"/>
  <c r="R159" i="46"/>
  <c r="U160" i="46" l="1"/>
  <c r="FQ132" i="24" s="1"/>
  <c r="FQ133" i="24" s="1"/>
  <c r="P160" i="46"/>
  <c r="S160" i="46"/>
  <c r="Z159" i="46"/>
  <c r="R160" i="46" l="1"/>
  <c r="T160" i="46"/>
  <c r="X160" i="46" l="1"/>
  <c r="Q161" i="46"/>
  <c r="M161" i="46"/>
  <c r="U161" i="46" s="1"/>
  <c r="FR132" i="24" s="1"/>
  <c r="FR133" i="24" s="1"/>
  <c r="Y160" i="46"/>
  <c r="W160" i="46"/>
  <c r="Z160" i="46" l="1"/>
  <c r="P161" i="46"/>
  <c r="S161" i="46"/>
  <c r="T161" i="46" l="1"/>
  <c r="R161" i="46"/>
  <c r="X161" i="46" l="1"/>
  <c r="Q162" i="46"/>
  <c r="M162" i="46"/>
  <c r="Y161" i="46"/>
  <c r="W161" i="46"/>
  <c r="U162" i="46" l="1"/>
  <c r="FS132" i="24" s="1"/>
  <c r="FS133" i="24" s="1"/>
  <c r="R10" i="28" s="1"/>
  <c r="P162" i="46"/>
  <c r="S162" i="46"/>
  <c r="Z161" i="46"/>
  <c r="R162" i="46" l="1"/>
  <c r="T162" i="46"/>
  <c r="Q163" i="46" l="1"/>
  <c r="W162" i="46"/>
  <c r="Y162" i="46"/>
  <c r="X162" i="46"/>
  <c r="M163" i="46"/>
  <c r="Z162" i="46" l="1"/>
  <c r="U163" i="46"/>
  <c r="FT132" i="24" s="1"/>
  <c r="FT133" i="24" s="1"/>
  <c r="P163" i="46"/>
  <c r="T163" i="46" s="1"/>
  <c r="S163" i="46"/>
  <c r="W163" i="46" l="1"/>
  <c r="Y163" i="46"/>
  <c r="Q164" i="46"/>
  <c r="X163" i="46"/>
  <c r="M164" i="46"/>
  <c r="R163" i="46"/>
  <c r="P164" i="46" l="1"/>
  <c r="T164" i="46" s="1"/>
  <c r="S164" i="46"/>
  <c r="U164" i="46"/>
  <c r="Z163" i="46"/>
  <c r="M165" i="46" l="1"/>
  <c r="X164" i="46"/>
  <c r="Y164" i="46"/>
  <c r="W164" i="46"/>
  <c r="Q165" i="46"/>
  <c r="R164" i="46"/>
  <c r="Z164" i="46" l="1"/>
  <c r="P165" i="46"/>
  <c r="T165" i="46" s="1"/>
  <c r="S165" i="46"/>
  <c r="U165" i="46"/>
  <c r="M166" i="46" l="1"/>
  <c r="Y165" i="46"/>
  <c r="W165" i="46"/>
  <c r="Q166" i="46"/>
  <c r="X165" i="46"/>
  <c r="R165" i="46"/>
  <c r="P166" i="46" l="1"/>
  <c r="T166" i="46" s="1"/>
  <c r="S166" i="46"/>
  <c r="Z165" i="46"/>
  <c r="U166" i="46"/>
  <c r="M167" i="46" l="1"/>
  <c r="U167" i="46" s="1"/>
  <c r="Q167" i="46"/>
  <c r="X166" i="46"/>
  <c r="Y166" i="46"/>
  <c r="W166" i="46"/>
  <c r="R166" i="46"/>
  <c r="P167" i="46" l="1"/>
  <c r="S167" i="46"/>
  <c r="Z166" i="46"/>
  <c r="T167" i="46" l="1"/>
  <c r="R167" i="46"/>
  <c r="X167" i="46" l="1"/>
  <c r="W167" i="46"/>
  <c r="Q168" i="46"/>
  <c r="Y167" i="46"/>
  <c r="M168" i="46"/>
  <c r="U168" i="46" s="1"/>
  <c r="P168" i="46" l="1"/>
  <c r="S168" i="46"/>
  <c r="Z167" i="46"/>
  <c r="T168" i="46" l="1"/>
  <c r="R168" i="46"/>
  <c r="Y168" i="46" l="1"/>
  <c r="W168" i="46"/>
  <c r="M169" i="46"/>
  <c r="X168" i="46"/>
  <c r="Q169" i="46"/>
  <c r="U169" i="46" l="1"/>
  <c r="Z168" i="46"/>
  <c r="P169" i="46"/>
  <c r="T169" i="46" s="1"/>
  <c r="S169" i="46"/>
  <c r="Q170" i="46" l="1"/>
  <c r="W169" i="46"/>
  <c r="X169" i="46"/>
  <c r="Y169" i="46"/>
  <c r="M170" i="46"/>
  <c r="R169" i="46"/>
  <c r="Z169" i="46" l="1"/>
  <c r="U170" i="46"/>
  <c r="P170" i="46"/>
  <c r="T170" i="46" s="1"/>
  <c r="S170" i="46"/>
  <c r="W170" i="46" l="1"/>
  <c r="Y170" i="46"/>
  <c r="X170" i="46"/>
  <c r="M171" i="46"/>
  <c r="Q171" i="46"/>
  <c r="R170" i="46"/>
  <c r="AD33" i="46" l="1"/>
  <c r="U171" i="46"/>
  <c r="P171" i="46"/>
  <c r="S171" i="46"/>
  <c r="Z170" i="46"/>
  <c r="R171" i="46" l="1"/>
  <c r="T171" i="46"/>
  <c r="Q172" i="46" l="1"/>
  <c r="W171" i="46"/>
  <c r="M172" i="46"/>
  <c r="Y171" i="46"/>
  <c r="X171" i="46"/>
  <c r="U172" i="46" l="1"/>
  <c r="Z171" i="46"/>
  <c r="P172" i="46"/>
  <c r="S172" i="46"/>
  <c r="R172" i="46" l="1"/>
  <c r="T172" i="46"/>
  <c r="M173" i="46" l="1"/>
  <c r="X172" i="46"/>
  <c r="Y172" i="46"/>
  <c r="W172" i="46"/>
  <c r="Q173" i="46"/>
  <c r="Z172" i="46" l="1"/>
  <c r="P173" i="46"/>
  <c r="T173" i="46" s="1"/>
  <c r="S173" i="46"/>
  <c r="U173" i="46"/>
  <c r="W173" i="46" l="1"/>
  <c r="Q174" i="46"/>
  <c r="M174" i="46"/>
  <c r="Y173" i="46"/>
  <c r="X173" i="46"/>
  <c r="R173" i="46"/>
  <c r="U174" i="46" l="1"/>
  <c r="P174" i="46"/>
  <c r="S174" i="46"/>
  <c r="Z173" i="46"/>
  <c r="R174" i="46" l="1"/>
  <c r="T174" i="46"/>
  <c r="X174" i="46" l="1"/>
  <c r="W174" i="46"/>
  <c r="Q175" i="46"/>
  <c r="M175" i="46"/>
  <c r="Y174" i="46"/>
  <c r="P175" i="46" l="1"/>
  <c r="T175" i="46" s="1"/>
  <c r="S175" i="46"/>
  <c r="Z174" i="46"/>
  <c r="U175" i="46"/>
  <c r="M176" i="46" l="1"/>
  <c r="Y175" i="46"/>
  <c r="Q176" i="46"/>
  <c r="W175" i="46"/>
  <c r="X175" i="46"/>
  <c r="R175" i="46"/>
  <c r="Z175" i="46" l="1"/>
  <c r="P176" i="46"/>
  <c r="T176" i="46" s="1"/>
  <c r="S176" i="46"/>
  <c r="U176" i="46"/>
  <c r="Q177" i="46" l="1"/>
  <c r="Y176" i="46"/>
  <c r="W176" i="46"/>
  <c r="M177" i="46"/>
  <c r="U177" i="46" s="1"/>
  <c r="X176" i="46"/>
  <c r="R176" i="46"/>
  <c r="Z176" i="46" l="1"/>
  <c r="P177" i="46"/>
  <c r="S177" i="46"/>
  <c r="T177" i="46" l="1"/>
  <c r="R177" i="46"/>
  <c r="Y177" i="46" l="1"/>
  <c r="M178" i="46"/>
  <c r="Q178" i="46"/>
  <c r="X177" i="46"/>
  <c r="W177" i="46"/>
  <c r="U178" i="46" l="1"/>
  <c r="P178" i="46"/>
  <c r="S178" i="46"/>
  <c r="Z177" i="46"/>
  <c r="R178" i="46" l="1"/>
  <c r="T178" i="46"/>
  <c r="Q179" i="46" l="1"/>
  <c r="Y178" i="46"/>
  <c r="W178" i="46"/>
  <c r="M179" i="46"/>
  <c r="U179" i="46" s="1"/>
  <c r="X178" i="46"/>
  <c r="Z178" i="46" l="1"/>
  <c r="P179" i="46"/>
  <c r="S179" i="46"/>
  <c r="T179" i="46" l="1"/>
  <c r="R179" i="46"/>
  <c r="Q180" i="46" l="1"/>
  <c r="M180" i="46"/>
  <c r="X179" i="46"/>
  <c r="W179" i="46"/>
  <c r="Y179" i="46"/>
  <c r="Z179" i="46" l="1"/>
  <c r="U180" i="46"/>
  <c r="P180" i="46"/>
  <c r="T180" i="46" s="1"/>
  <c r="S180" i="46"/>
  <c r="M181" i="46" l="1"/>
  <c r="X180" i="46"/>
  <c r="Y180" i="46"/>
  <c r="Q181" i="46"/>
  <c r="W180" i="46"/>
  <c r="R180" i="46"/>
  <c r="P181" i="46" l="1"/>
  <c r="T181" i="46" s="1"/>
  <c r="S181" i="46"/>
  <c r="Z180" i="46"/>
  <c r="U181" i="46"/>
  <c r="Q182" i="46" l="1"/>
  <c r="X181" i="46"/>
  <c r="M182" i="46"/>
  <c r="W181" i="46"/>
  <c r="Y181" i="46"/>
  <c r="R181" i="46"/>
  <c r="Z181" i="46" l="1"/>
  <c r="U182" i="46"/>
  <c r="P182" i="46"/>
  <c r="S182" i="46"/>
  <c r="R182" i="46" l="1"/>
  <c r="T182" i="46"/>
  <c r="Q183" i="46" l="1"/>
  <c r="M183" i="46"/>
  <c r="W182" i="46"/>
  <c r="Y182" i="46"/>
  <c r="X182" i="46"/>
  <c r="Z182" i="46" l="1"/>
  <c r="U183" i="46"/>
  <c r="AD34" i="46"/>
  <c r="P183" i="46"/>
  <c r="S183" i="46"/>
  <c r="R183" i="46" l="1"/>
  <c r="T183" i="46"/>
  <c r="M184" i="46" l="1"/>
  <c r="Y183" i="46"/>
  <c r="W183" i="46"/>
  <c r="X183" i="46"/>
  <c r="Q184" i="46"/>
  <c r="Z183" i="46" l="1"/>
  <c r="P184" i="46"/>
  <c r="T184" i="46" s="1"/>
  <c r="S184" i="46"/>
  <c r="U184" i="46"/>
  <c r="M185" i="46" l="1"/>
  <c r="Q185" i="46"/>
  <c r="W184" i="46"/>
  <c r="X184" i="46"/>
  <c r="Y184" i="46"/>
  <c r="R184" i="46"/>
  <c r="Z184" i="46" l="1"/>
  <c r="P185" i="46"/>
  <c r="T185" i="46" s="1"/>
  <c r="S185" i="46"/>
  <c r="U185" i="46"/>
  <c r="W185" i="46" l="1"/>
  <c r="M186" i="46"/>
  <c r="X185" i="46"/>
  <c r="Q186" i="46"/>
  <c r="Y185" i="46"/>
  <c r="R185" i="46"/>
  <c r="P186" i="46" l="1"/>
  <c r="T186" i="46" s="1"/>
  <c r="S186" i="46"/>
  <c r="U186" i="46"/>
  <c r="Z185" i="46"/>
  <c r="X186" i="46" l="1"/>
  <c r="Q187" i="46"/>
  <c r="Y186" i="46"/>
  <c r="M187" i="46"/>
  <c r="W186" i="46"/>
  <c r="R186" i="46"/>
  <c r="Z186" i="46" l="1"/>
  <c r="U187" i="46"/>
  <c r="P187" i="46"/>
  <c r="S187" i="46"/>
  <c r="R187" i="46" l="1"/>
  <c r="T187" i="46"/>
  <c r="M188" i="46" l="1"/>
  <c r="U188" i="46" s="1"/>
  <c r="Y187" i="46"/>
  <c r="Q188" i="46"/>
  <c r="X187" i="46"/>
  <c r="W187" i="46"/>
  <c r="P188" i="46" l="1"/>
  <c r="S188" i="46"/>
  <c r="Z187" i="46"/>
  <c r="T188" i="46" l="1"/>
  <c r="R188" i="46"/>
  <c r="Q189" i="46" l="1"/>
  <c r="X188" i="46"/>
  <c r="Y188" i="46"/>
  <c r="M189" i="46"/>
  <c r="W188" i="46"/>
  <c r="U189" i="46" l="1"/>
  <c r="Z188" i="46"/>
  <c r="P189" i="46"/>
  <c r="S189" i="46"/>
  <c r="R189" i="46" l="1"/>
  <c r="T189" i="46"/>
  <c r="M190" i="46" l="1"/>
  <c r="Q190" i="46"/>
  <c r="Y189" i="46"/>
  <c r="X189" i="46"/>
  <c r="W189" i="46"/>
  <c r="P190" i="46" l="1"/>
  <c r="R190" i="46" s="1"/>
  <c r="S190" i="46"/>
  <c r="Z189" i="46"/>
  <c r="U190" i="46"/>
  <c r="T190" i="46" l="1"/>
  <c r="M191" i="46" s="1"/>
  <c r="W190" i="46"/>
  <c r="Y190" i="46"/>
  <c r="X190" i="46" l="1"/>
  <c r="Z190" i="46" s="1"/>
  <c r="Q191" i="46"/>
  <c r="P191" i="46" s="1"/>
  <c r="T191" i="46" s="1"/>
  <c r="S191" i="46"/>
  <c r="U191" i="46"/>
  <c r="M192" i="46" l="1"/>
  <c r="Q192" i="46"/>
  <c r="X191" i="46"/>
  <c r="W191" i="46"/>
  <c r="Y191" i="46"/>
  <c r="R191" i="46"/>
  <c r="Z191" i="46" l="1"/>
  <c r="P192" i="46"/>
  <c r="T192" i="46" s="1"/>
  <c r="S192" i="46"/>
  <c r="U192" i="46"/>
  <c r="Y192" i="46" l="1"/>
  <c r="X192" i="46"/>
  <c r="M193" i="46"/>
  <c r="W192" i="46"/>
  <c r="Q193" i="46"/>
  <c r="R192" i="46"/>
  <c r="Z192" i="46" l="1"/>
  <c r="U193" i="46"/>
  <c r="P193" i="46"/>
  <c r="S193" i="46"/>
  <c r="R193" i="46" l="1"/>
  <c r="T193" i="46"/>
  <c r="W193" i="46" l="1"/>
  <c r="M194" i="46"/>
  <c r="Q194" i="46"/>
  <c r="Y193" i="46"/>
  <c r="X193" i="46"/>
  <c r="P194" i="46" l="1"/>
  <c r="T194" i="46" s="1"/>
  <c r="S194" i="46"/>
  <c r="U194" i="46"/>
  <c r="Z193" i="46"/>
  <c r="X194" i="46" l="1"/>
  <c r="Q195" i="46"/>
  <c r="M195" i="46"/>
  <c r="W194" i="46"/>
  <c r="Y194" i="46"/>
  <c r="R194" i="46"/>
  <c r="Z194" i="46" l="1"/>
  <c r="U195" i="46"/>
  <c r="AD35" i="46"/>
  <c r="P195" i="46"/>
  <c r="T195" i="46" s="1"/>
  <c r="S195" i="46"/>
  <c r="W195" i="46" l="1"/>
  <c r="M196" i="46"/>
  <c r="Q196" i="46"/>
  <c r="X195" i="46"/>
  <c r="Y195" i="46"/>
  <c r="R195" i="46"/>
  <c r="P196" i="46" l="1"/>
  <c r="T196" i="46" s="1"/>
  <c r="S196" i="46"/>
  <c r="U196" i="46"/>
  <c r="Z195" i="46"/>
  <c r="M197" i="46" l="1"/>
  <c r="Y196" i="46"/>
  <c r="W196" i="46"/>
  <c r="X196" i="46"/>
  <c r="Q197" i="46"/>
  <c r="R196" i="46"/>
  <c r="Z196" i="46" l="1"/>
  <c r="P197" i="46"/>
  <c r="S197" i="46"/>
  <c r="U197" i="46"/>
  <c r="R197" i="46" l="1"/>
  <c r="T197" i="46"/>
  <c r="Q198" i="46" l="1"/>
  <c r="X197" i="46"/>
  <c r="W197" i="46"/>
  <c r="Y197" i="46"/>
  <c r="M198" i="46"/>
  <c r="Z197" i="46" l="1"/>
  <c r="U198" i="46"/>
  <c r="P198" i="46"/>
  <c r="T198" i="46" s="1"/>
  <c r="S198" i="46"/>
  <c r="M199" i="46" l="1"/>
  <c r="Q199" i="46"/>
  <c r="Y198" i="46"/>
  <c r="W198" i="46"/>
  <c r="X198" i="46"/>
  <c r="R198" i="46"/>
  <c r="Z198" i="46" l="1"/>
  <c r="P199" i="46"/>
  <c r="T199" i="46" s="1"/>
  <c r="S199" i="46"/>
  <c r="U199" i="46"/>
  <c r="W199" i="46" l="1"/>
  <c r="X199" i="46"/>
  <c r="M200" i="46"/>
  <c r="Q200" i="46"/>
  <c r="Y199" i="46"/>
  <c r="R199" i="46"/>
  <c r="P200" i="46" l="1"/>
  <c r="T200" i="46" s="1"/>
  <c r="S200" i="46"/>
  <c r="U200" i="46"/>
  <c r="Z199" i="46"/>
  <c r="Y200" i="46" l="1"/>
  <c r="M201" i="46"/>
  <c r="X200" i="46"/>
  <c r="W200" i="46"/>
  <c r="Q201" i="46"/>
  <c r="R200" i="46"/>
  <c r="Z200" i="46" l="1"/>
  <c r="U201" i="46"/>
  <c r="P201" i="46"/>
  <c r="R201" i="46" s="1"/>
  <c r="S201" i="46"/>
  <c r="T201" i="46" l="1"/>
  <c r="X201" i="46" l="1"/>
  <c r="M202" i="46"/>
  <c r="Q202" i="46"/>
  <c r="W201" i="46"/>
  <c r="Y201" i="46"/>
  <c r="Z201" i="46" l="1"/>
  <c r="S202" i="46"/>
  <c r="P202" i="46"/>
  <c r="T202" i="46" s="1"/>
  <c r="U202" i="46"/>
  <c r="R202" i="46" l="1"/>
  <c r="Q203" i="46"/>
  <c r="M203" i="46"/>
  <c r="W202" i="46"/>
  <c r="X202" i="46"/>
  <c r="Y202" i="46"/>
  <c r="U203" i="46" l="1"/>
  <c r="P203" i="46"/>
  <c r="R203" i="46" s="1"/>
  <c r="S203" i="46"/>
  <c r="Z202" i="46"/>
  <c r="T203" i="46" l="1"/>
  <c r="X203" i="46" l="1"/>
  <c r="Q204" i="46"/>
  <c r="M204" i="46"/>
  <c r="U204" i="46" s="1"/>
  <c r="Y203" i="46"/>
  <c r="W203" i="46"/>
  <c r="P204" i="46" l="1"/>
  <c r="S204" i="46"/>
  <c r="Z203" i="46"/>
  <c r="T204" i="46" l="1"/>
  <c r="R204" i="46"/>
  <c r="W204" i="46" l="1"/>
  <c r="Y204" i="46"/>
  <c r="M205" i="46"/>
  <c r="U205" i="46" s="1"/>
  <c r="Q205" i="46"/>
  <c r="X204" i="46"/>
  <c r="P205" i="46" l="1"/>
  <c r="S205" i="46"/>
  <c r="Z204" i="46"/>
  <c r="T205" i="46" l="1"/>
  <c r="R205" i="46"/>
  <c r="X205" i="46" l="1"/>
  <c r="Q206" i="46"/>
  <c r="W205" i="46"/>
  <c r="M206" i="46"/>
  <c r="Y205" i="46"/>
  <c r="Z205" i="46" l="1"/>
  <c r="P206" i="46"/>
  <c r="T206" i="46" s="1"/>
  <c r="S206" i="46"/>
  <c r="U206" i="46"/>
  <c r="Q207" i="46" l="1"/>
  <c r="X206" i="46"/>
  <c r="W206" i="46"/>
  <c r="M207" i="46"/>
  <c r="Y206" i="46"/>
  <c r="R206" i="46"/>
  <c r="Z206" i="46" l="1"/>
  <c r="AD36" i="46"/>
  <c r="U207" i="46"/>
  <c r="P207" i="46"/>
  <c r="S207" i="46"/>
  <c r="T207" i="46" l="1"/>
  <c r="R207" i="46"/>
  <c r="M208" i="46" l="1"/>
  <c r="Q208" i="46"/>
  <c r="X207" i="46"/>
  <c r="W207" i="46"/>
  <c r="Y207" i="46"/>
  <c r="Z207" i="46" l="1"/>
  <c r="P208" i="46"/>
  <c r="T208" i="46" s="1"/>
  <c r="S208" i="46"/>
  <c r="U208" i="46"/>
  <c r="M209" i="46" l="1"/>
  <c r="Y208" i="46"/>
  <c r="Q209" i="46"/>
  <c r="W208" i="46"/>
  <c r="X208" i="46"/>
  <c r="R208" i="46"/>
  <c r="Z208" i="46" l="1"/>
  <c r="P209" i="46"/>
  <c r="T209" i="46" s="1"/>
  <c r="S209" i="46"/>
  <c r="U209" i="46"/>
  <c r="M210" i="46" l="1"/>
  <c r="X209" i="46"/>
  <c r="W209" i="46"/>
  <c r="Y209" i="46"/>
  <c r="Q210" i="46"/>
  <c r="R209" i="46"/>
  <c r="Z209" i="46" l="1"/>
  <c r="P210" i="46"/>
  <c r="R210" i="46" s="1"/>
  <c r="S210" i="46"/>
  <c r="U210" i="46"/>
  <c r="T210" i="46" l="1"/>
  <c r="W210" i="46" l="1"/>
  <c r="X210" i="46"/>
  <c r="Y210" i="46"/>
  <c r="M211" i="46"/>
  <c r="Q211" i="46"/>
  <c r="U211" i="46" l="1"/>
  <c r="P211" i="46"/>
  <c r="R211" i="46" s="1"/>
  <c r="S211" i="46"/>
  <c r="Z210" i="46"/>
  <c r="T211" i="46" l="1"/>
  <c r="W211" i="46" l="1"/>
  <c r="Q212" i="46"/>
  <c r="X211" i="46"/>
  <c r="Y211" i="46"/>
  <c r="M212" i="46"/>
  <c r="S212" i="46" l="1"/>
  <c r="P212" i="46"/>
  <c r="R212" i="46" s="1"/>
  <c r="U212" i="46"/>
  <c r="Z211" i="46"/>
  <c r="T212" i="46" l="1"/>
  <c r="Q213" i="46" s="1"/>
  <c r="X212" i="46" l="1"/>
  <c r="Y212" i="46"/>
  <c r="M213" i="46"/>
  <c r="U213" i="46" s="1"/>
  <c r="W212" i="46"/>
  <c r="P213" i="46"/>
  <c r="R213" i="46" s="1"/>
  <c r="S213" i="46"/>
  <c r="Z212" i="46" l="1"/>
  <c r="T213" i="46"/>
  <c r="Q214" i="46" l="1"/>
  <c r="M214" i="46"/>
  <c r="Y213" i="46"/>
  <c r="X213" i="46"/>
  <c r="W213" i="46"/>
  <c r="U214" i="46" l="1"/>
  <c r="Z213" i="46"/>
  <c r="P214" i="46"/>
  <c r="R214" i="46" s="1"/>
  <c r="S214" i="46"/>
  <c r="T214" i="46" l="1"/>
  <c r="X214" i="46" l="1"/>
  <c r="M215" i="46"/>
  <c r="U215" i="46" s="1"/>
  <c r="Y214" i="46"/>
  <c r="Q215" i="46"/>
  <c r="W214" i="46"/>
  <c r="Z214" i="46" l="1"/>
  <c r="P215" i="46"/>
  <c r="S215" i="46"/>
  <c r="T215" i="46" l="1"/>
  <c r="R215" i="46"/>
  <c r="Q216" i="46" l="1"/>
  <c r="M216" i="46"/>
  <c r="U216" i="46" s="1"/>
  <c r="X215" i="46"/>
  <c r="Y215" i="46"/>
  <c r="W215" i="46"/>
  <c r="Z215" i="46" l="1"/>
  <c r="P216" i="46"/>
  <c r="S216" i="46"/>
  <c r="T216" i="46" l="1"/>
  <c r="R216" i="46"/>
  <c r="Q217" i="46" l="1"/>
  <c r="Y216" i="46"/>
  <c r="X216" i="46"/>
  <c r="M217" i="46"/>
  <c r="U217" i="46" s="1"/>
  <c r="W216" i="46"/>
  <c r="Z216" i="46" l="1"/>
  <c r="P217" i="46"/>
  <c r="S217" i="46"/>
  <c r="T217" i="46" l="1"/>
  <c r="R217" i="46"/>
  <c r="Y217" i="46" l="1"/>
  <c r="Q218" i="46"/>
  <c r="W217" i="46"/>
  <c r="X217" i="46"/>
  <c r="M218" i="46"/>
  <c r="Z217" i="46" l="1"/>
  <c r="P218" i="46"/>
  <c r="S218" i="46"/>
  <c r="U218" i="46"/>
  <c r="R218" i="46" l="1"/>
  <c r="T218" i="46"/>
  <c r="X218" i="46" l="1"/>
  <c r="Y218" i="46"/>
  <c r="M219" i="46"/>
  <c r="W218" i="46"/>
  <c r="Q219" i="46"/>
  <c r="Z218" i="46" l="1"/>
  <c r="AD37" i="46"/>
  <c r="U219" i="46"/>
  <c r="P219" i="46"/>
  <c r="S219" i="46"/>
  <c r="R219" i="46" l="1"/>
  <c r="T219" i="46"/>
  <c r="M220" i="46" l="1"/>
  <c r="W219" i="46"/>
  <c r="X219" i="46"/>
  <c r="Q220" i="46"/>
  <c r="Y219" i="46"/>
  <c r="P220" i="46" l="1"/>
  <c r="T220" i="46" s="1"/>
  <c r="S220" i="46"/>
  <c r="Z219" i="46"/>
  <c r="U220" i="46"/>
  <c r="X220" i="46" l="1"/>
  <c r="Y220" i="46"/>
  <c r="M221" i="46"/>
  <c r="Q221" i="46"/>
  <c r="W220" i="46"/>
  <c r="R220" i="46"/>
  <c r="Z220" i="46" l="1"/>
  <c r="P221" i="46"/>
  <c r="T221" i="46" s="1"/>
  <c r="S221" i="46"/>
  <c r="U221" i="46"/>
  <c r="Q222" i="46" l="1"/>
  <c r="Y221" i="46"/>
  <c r="M222" i="46"/>
  <c r="X221" i="46"/>
  <c r="W221" i="46"/>
  <c r="R221" i="46"/>
  <c r="U222" i="46" l="1"/>
  <c r="Z221" i="46"/>
  <c r="P222" i="46"/>
  <c r="S222" i="46"/>
  <c r="R222" i="46" l="1"/>
  <c r="T222" i="46"/>
  <c r="Y222" i="46" l="1"/>
  <c r="X222" i="46"/>
  <c r="M223" i="46"/>
  <c r="W222" i="46"/>
  <c r="Q223" i="46"/>
  <c r="Z222" i="46" l="1"/>
  <c r="U223" i="46"/>
  <c r="P223" i="46"/>
  <c r="S223" i="46"/>
  <c r="R223" i="46" l="1"/>
  <c r="T223" i="46"/>
  <c r="X223" i="46" l="1"/>
  <c r="W223" i="46"/>
  <c r="Y223" i="46"/>
  <c r="M224" i="46"/>
  <c r="U224" i="46" s="1"/>
  <c r="Q224" i="46"/>
  <c r="Z223" i="46" l="1"/>
  <c r="P224" i="46"/>
  <c r="S224" i="46"/>
  <c r="T224" i="46" l="1"/>
  <c r="R224" i="46"/>
  <c r="M225" i="46" l="1"/>
  <c r="Y224" i="46"/>
  <c r="Q225" i="46"/>
  <c r="W224" i="46"/>
  <c r="X224" i="46"/>
  <c r="Z224" i="46" l="1"/>
  <c r="P225" i="46"/>
  <c r="T225" i="46" s="1"/>
  <c r="S225" i="46"/>
  <c r="U225" i="46"/>
  <c r="Y225" i="46" l="1"/>
  <c r="Q226" i="46"/>
  <c r="M226" i="46"/>
  <c r="W225" i="46"/>
  <c r="X225" i="46"/>
  <c r="R225" i="46"/>
  <c r="Z225" i="46" l="1"/>
  <c r="U226" i="46"/>
  <c r="P226" i="46"/>
  <c r="S226" i="46"/>
  <c r="R226" i="46" l="1"/>
  <c r="T226" i="46"/>
  <c r="M227" i="46" l="1"/>
  <c r="W226" i="46"/>
  <c r="Q227" i="46"/>
  <c r="X226" i="46"/>
  <c r="Y226" i="46"/>
  <c r="Z226" i="46" l="1"/>
  <c r="P227" i="46"/>
  <c r="T227" i="46" s="1"/>
  <c r="S227" i="46"/>
  <c r="U227" i="46"/>
  <c r="X227" i="46" l="1"/>
  <c r="Y227" i="46"/>
  <c r="Q228" i="46"/>
  <c r="W227" i="46"/>
  <c r="M228" i="46"/>
  <c r="U228" i="46" s="1"/>
  <c r="R227" i="46"/>
  <c r="Z227" i="46" l="1"/>
  <c r="P228" i="46"/>
  <c r="S228" i="46"/>
  <c r="T228" i="46" l="1"/>
  <c r="R228" i="46"/>
  <c r="Q229" i="46" l="1"/>
  <c r="X228" i="46"/>
  <c r="M229" i="46"/>
  <c r="U229" i="46" s="1"/>
  <c r="W228" i="46"/>
  <c r="Y228" i="46"/>
  <c r="Z228" i="46" l="1"/>
  <c r="P229" i="46"/>
  <c r="S229" i="46"/>
  <c r="T229" i="46" l="1"/>
  <c r="R229" i="46"/>
  <c r="Q230" i="46" l="1"/>
  <c r="W229" i="46"/>
  <c r="Y229" i="46"/>
  <c r="M230" i="46"/>
  <c r="U230" i="46" s="1"/>
  <c r="X229" i="46"/>
  <c r="Z229" i="46" l="1"/>
  <c r="P230" i="46"/>
  <c r="S230" i="46"/>
  <c r="T230" i="46" l="1"/>
  <c r="R230" i="46"/>
  <c r="M231" i="46" l="1"/>
  <c r="Q231" i="46"/>
  <c r="X230" i="46"/>
  <c r="W230" i="46"/>
  <c r="Y230" i="46"/>
  <c r="Z230" i="46" l="1"/>
  <c r="P231" i="46"/>
  <c r="T231" i="46" s="1"/>
  <c r="S231" i="46"/>
  <c r="U231" i="46"/>
  <c r="AD38" i="46"/>
  <c r="Y231" i="46" l="1"/>
  <c r="M232" i="46"/>
  <c r="W231" i="46"/>
  <c r="X231" i="46"/>
  <c r="Q232" i="46"/>
  <c r="R231" i="46"/>
  <c r="Z231" i="46" l="1"/>
  <c r="U232" i="46"/>
  <c r="P232" i="46"/>
  <c r="S232" i="46"/>
  <c r="R232" i="46" l="1"/>
  <c r="T232" i="46"/>
  <c r="M233" i="46" l="1"/>
  <c r="Y232" i="46"/>
  <c r="W232" i="46"/>
  <c r="Q233" i="46"/>
  <c r="X232" i="46"/>
  <c r="Z232" i="46" l="1"/>
  <c r="P233" i="46"/>
  <c r="R233" i="46" s="1"/>
  <c r="S233" i="46"/>
  <c r="U233" i="46"/>
  <c r="T233" i="46" l="1"/>
  <c r="Q234" i="46" s="1"/>
  <c r="W233" i="46"/>
  <c r="X233" i="46"/>
  <c r="M234" i="46"/>
  <c r="Y233" i="46"/>
  <c r="U234" i="46" l="1"/>
  <c r="P234" i="46"/>
  <c r="S234" i="46"/>
  <c r="Z233" i="46"/>
  <c r="R234" i="46" l="1"/>
  <c r="T234" i="46"/>
  <c r="Y234" i="46" l="1"/>
  <c r="Q235" i="46"/>
  <c r="X234" i="46"/>
  <c r="M235" i="46"/>
  <c r="W234" i="46"/>
  <c r="Z234" i="46" l="1"/>
  <c r="U235" i="46"/>
  <c r="P235" i="46"/>
  <c r="S235" i="46"/>
  <c r="R235" i="46" l="1"/>
  <c r="T235" i="46"/>
  <c r="W235" i="46" l="1"/>
  <c r="M236" i="46"/>
  <c r="Q236" i="46"/>
  <c r="Y235" i="46"/>
  <c r="X235" i="46"/>
  <c r="P236" i="46" l="1"/>
  <c r="T236" i="46" s="1"/>
  <c r="S236" i="46"/>
  <c r="U236" i="46"/>
  <c r="Z235" i="46"/>
  <c r="X236" i="46" l="1"/>
  <c r="Y236" i="46"/>
  <c r="Q237" i="46"/>
  <c r="W236" i="46"/>
  <c r="M237" i="46"/>
  <c r="R236" i="46"/>
  <c r="Z236" i="46" l="1"/>
  <c r="P237" i="46"/>
  <c r="R237" i="46" s="1"/>
  <c r="S237" i="46"/>
  <c r="U237" i="46"/>
  <c r="T237" i="46" l="1"/>
  <c r="Y237" i="46" l="1"/>
  <c r="M238" i="46"/>
  <c r="Q238" i="46"/>
  <c r="X237" i="46"/>
  <c r="W237" i="46"/>
  <c r="Z237" i="46" l="1"/>
  <c r="P238" i="46"/>
  <c r="R238" i="46" s="1"/>
  <c r="S238" i="46"/>
  <c r="U238" i="46"/>
  <c r="T238" i="46" l="1"/>
  <c r="X238" i="46" s="1"/>
  <c r="Y238" i="46"/>
  <c r="W238" i="46"/>
  <c r="Q239" i="46" l="1"/>
  <c r="M239" i="46"/>
  <c r="U239" i="46" s="1"/>
  <c r="Z238" i="46"/>
  <c r="S239" i="46"/>
  <c r="P239" i="46"/>
  <c r="T239" i="46" l="1"/>
  <c r="R239" i="46"/>
  <c r="M240" i="46" l="1"/>
  <c r="U240" i="46" s="1"/>
  <c r="Q240" i="46"/>
  <c r="Y239" i="46"/>
  <c r="X239" i="46"/>
  <c r="W239" i="46"/>
  <c r="P240" i="46" l="1"/>
  <c r="S240" i="46"/>
  <c r="Z239" i="46"/>
  <c r="T240" i="46" l="1"/>
  <c r="R240" i="46"/>
  <c r="W240" i="46" l="1"/>
  <c r="X240" i="46"/>
  <c r="M241" i="46"/>
  <c r="U241" i="46" s="1"/>
  <c r="Q241" i="46"/>
  <c r="Y240" i="46"/>
  <c r="P241" i="46" l="1"/>
  <c r="S241" i="46"/>
  <c r="Z240" i="46"/>
  <c r="T241" i="46" l="1"/>
  <c r="R241" i="46"/>
  <c r="X241" i="46" l="1"/>
  <c r="M242" i="46"/>
  <c r="Q242" i="46"/>
  <c r="Y241" i="46"/>
  <c r="W241" i="46"/>
  <c r="P242" i="46" l="1"/>
  <c r="T242" i="46" s="1"/>
  <c r="S242" i="46"/>
  <c r="U242" i="46"/>
  <c r="Z241" i="46"/>
  <c r="Y242" i="46" l="1"/>
  <c r="W242" i="46"/>
  <c r="M243" i="46"/>
  <c r="Q243" i="46"/>
  <c r="X242" i="46"/>
  <c r="R242" i="46"/>
  <c r="AD39" i="46" l="1"/>
  <c r="U243" i="46"/>
  <c r="Z242" i="46"/>
  <c r="P243" i="46"/>
  <c r="R243" i="46" s="1"/>
  <c r="S243" i="46"/>
  <c r="T243" i="46" l="1"/>
  <c r="X243" i="46" l="1"/>
  <c r="Y243" i="46"/>
  <c r="Q244" i="46"/>
  <c r="W243" i="46"/>
  <c r="M244" i="46"/>
  <c r="Z243" i="46" l="1"/>
  <c r="P244" i="46"/>
  <c r="T244" i="46" s="1"/>
  <c r="S244" i="46"/>
  <c r="U244" i="46"/>
  <c r="M245" i="46" l="1"/>
  <c r="X244" i="46"/>
  <c r="W244" i="46"/>
  <c r="Q245" i="46"/>
  <c r="Y244" i="46"/>
  <c r="R244" i="46"/>
  <c r="Z244" i="46" l="1"/>
  <c r="P245" i="46"/>
  <c r="R245" i="46" s="1"/>
  <c r="S245" i="46"/>
  <c r="U245" i="46"/>
  <c r="T245" i="46" l="1"/>
  <c r="Y245" i="46" s="1"/>
  <c r="X245" i="46"/>
  <c r="M246" i="46" l="1"/>
  <c r="U246" i="46" s="1"/>
  <c r="W245" i="46"/>
  <c r="Z245" i="46" s="1"/>
  <c r="Q246" i="46"/>
  <c r="P246" i="46" s="1"/>
  <c r="R246" i="46" s="1"/>
  <c r="S246" i="46" l="1"/>
  <c r="T246" i="46"/>
  <c r="Q247" i="46" s="1"/>
  <c r="X246" i="46" l="1"/>
  <c r="Y246" i="46"/>
  <c r="W246" i="46"/>
  <c r="M247" i="46"/>
  <c r="U247" i="46" s="1"/>
  <c r="P247" i="46"/>
  <c r="R247" i="46" s="1"/>
  <c r="S247" i="46"/>
  <c r="Z246" i="46" l="1"/>
  <c r="T247" i="46"/>
  <c r="W247" i="46" l="1"/>
  <c r="Y247" i="46"/>
  <c r="M248" i="46"/>
  <c r="X247" i="46"/>
  <c r="Q248" i="46"/>
  <c r="U248" i="46" l="1"/>
  <c r="P248" i="46"/>
  <c r="R248" i="46" s="1"/>
  <c r="S248" i="46"/>
  <c r="Z247" i="46"/>
  <c r="T248" i="46" l="1"/>
  <c r="Y248" i="46" l="1"/>
  <c r="M249" i="46"/>
  <c r="Q249" i="46"/>
  <c r="W248" i="46"/>
  <c r="X248" i="46"/>
  <c r="Z248" i="46" l="1"/>
  <c r="S249" i="46"/>
  <c r="P249" i="46"/>
  <c r="R249" i="46" s="1"/>
  <c r="U249" i="46"/>
  <c r="T249" i="46" l="1"/>
  <c r="X249" i="46" l="1"/>
  <c r="Q250" i="46"/>
  <c r="M250" i="46"/>
  <c r="W249" i="46"/>
  <c r="Y249" i="46"/>
  <c r="Z249" i="46" l="1"/>
  <c r="U250" i="46"/>
  <c r="P250" i="46"/>
  <c r="R250" i="46" s="1"/>
  <c r="S250" i="46"/>
  <c r="T250" i="46" l="1"/>
  <c r="Y250" i="46" l="1"/>
  <c r="M251" i="46"/>
  <c r="U251" i="46" s="1"/>
  <c r="X250" i="46"/>
  <c r="W250" i="46"/>
  <c r="Q251" i="46"/>
  <c r="Z250" i="46" l="1"/>
  <c r="P251" i="46"/>
  <c r="S251" i="46"/>
  <c r="T251" i="46" l="1"/>
  <c r="R251" i="46"/>
  <c r="Q252" i="46" l="1"/>
  <c r="X251" i="46"/>
  <c r="M252" i="46"/>
  <c r="U252" i="46" s="1"/>
  <c r="Y251" i="46"/>
  <c r="W251" i="46"/>
  <c r="Z251" i="46" l="1"/>
  <c r="S252" i="46"/>
  <c r="P252" i="46"/>
  <c r="T252" i="46" l="1"/>
  <c r="R252" i="46"/>
  <c r="Y252" i="46" l="1"/>
  <c r="W252" i="46"/>
  <c r="M253" i="46"/>
  <c r="Q253" i="46"/>
  <c r="X252" i="46"/>
  <c r="Z252" i="46" l="1"/>
  <c r="P253" i="46"/>
  <c r="R253" i="46" s="1"/>
  <c r="S253" i="46"/>
  <c r="U253" i="46"/>
  <c r="T253" i="46" l="1"/>
  <c r="Q254" i="46" s="1"/>
  <c r="X253" i="46"/>
  <c r="Y253" i="46"/>
  <c r="W253" i="46" l="1"/>
  <c r="Z253" i="46" s="1"/>
  <c r="M254" i="46"/>
  <c r="U254" i="46" s="1"/>
  <c r="P254" i="46"/>
  <c r="R254" i="46" s="1"/>
  <c r="S254" i="46"/>
  <c r="T254" i="46" l="1"/>
  <c r="W254" i="46" s="1"/>
  <c r="X254" i="46" l="1"/>
  <c r="Y254" i="46"/>
  <c r="Q255" i="46"/>
  <c r="P255" i="46" s="1"/>
  <c r="R255" i="46" s="1"/>
  <c r="M255" i="46"/>
  <c r="U255" i="46" s="1"/>
  <c r="AD40" i="46" l="1"/>
  <c r="Z254" i="46"/>
  <c r="S255" i="46"/>
  <c r="T255" i="46"/>
  <c r="Q256" i="46" l="1"/>
  <c r="Y255" i="46"/>
  <c r="M256" i="46"/>
  <c r="X255" i="46"/>
  <c r="W255" i="46"/>
  <c r="U256" i="46" l="1"/>
  <c r="Z255" i="46"/>
  <c r="P256" i="46"/>
  <c r="R256" i="46" s="1"/>
  <c r="S256" i="46"/>
  <c r="T256" i="46" l="1"/>
  <c r="M257" i="46" s="1"/>
  <c r="U257" i="46" s="1"/>
  <c r="W256" i="46" l="1"/>
  <c r="Y256" i="46"/>
  <c r="X256" i="46"/>
  <c r="Q257" i="46"/>
  <c r="P257" i="46" s="1"/>
  <c r="S257" i="46"/>
  <c r="Z256" i="46" l="1"/>
  <c r="T257" i="46"/>
  <c r="R257" i="46"/>
  <c r="W257" i="46" l="1"/>
  <c r="Q258" i="46"/>
  <c r="X257" i="46"/>
  <c r="Y257" i="46"/>
  <c r="M258" i="46"/>
  <c r="P258" i="46" l="1"/>
  <c r="R258" i="46" s="1"/>
  <c r="S258" i="46"/>
  <c r="U258" i="46"/>
  <c r="Z257" i="46"/>
  <c r="T258" i="46" l="1"/>
  <c r="W258" i="46" s="1"/>
  <c r="M259" i="46"/>
  <c r="U259" i="46" s="1"/>
  <c r="Y258" i="46" l="1"/>
  <c r="X258" i="46"/>
  <c r="Q259" i="46"/>
  <c r="P259" i="46" s="1"/>
  <c r="S259" i="46"/>
  <c r="Z258" i="46" l="1"/>
  <c r="T259" i="46"/>
  <c r="R259" i="46"/>
  <c r="M260" i="46" l="1"/>
  <c r="U260" i="46" s="1"/>
  <c r="X259" i="46"/>
  <c r="Y259" i="46"/>
  <c r="Q260" i="46"/>
  <c r="W259" i="46"/>
  <c r="P260" i="46" l="1"/>
  <c r="S260" i="46"/>
  <c r="Z259" i="46"/>
  <c r="T260" i="46" l="1"/>
  <c r="R260" i="46"/>
  <c r="M261" i="46" l="1"/>
  <c r="W260" i="46"/>
  <c r="X260" i="46"/>
  <c r="Q261" i="46"/>
  <c r="Y260" i="46"/>
  <c r="Z260" i="46" l="1"/>
  <c r="S261" i="46"/>
  <c r="P261" i="46"/>
  <c r="R261" i="46" s="1"/>
  <c r="U261" i="46"/>
  <c r="T261" i="46" l="1"/>
  <c r="X261" i="46" s="1"/>
  <c r="M262" i="46" l="1"/>
  <c r="U262" i="46" s="1"/>
  <c r="Y261" i="46"/>
  <c r="Q262" i="46"/>
  <c r="P262" i="46" s="1"/>
  <c r="R262" i="46" s="1"/>
  <c r="W261" i="46"/>
  <c r="S262" i="46"/>
  <c r="Z261" i="46" l="1"/>
  <c r="T262" i="46"/>
  <c r="Q263" i="46" s="1"/>
  <c r="X262" i="46"/>
  <c r="Y262" i="46"/>
  <c r="M263" i="46" l="1"/>
  <c r="U263" i="46" s="1"/>
  <c r="W262" i="46"/>
  <c r="Z262" i="46" s="1"/>
  <c r="S263" i="46"/>
  <c r="P263" i="46"/>
  <c r="R263" i="46" s="1"/>
  <c r="T263" i="46" l="1"/>
  <c r="Q264" i="46" s="1"/>
  <c r="W263" i="46" l="1"/>
  <c r="X263" i="46"/>
  <c r="Y263" i="46"/>
  <c r="M264" i="46"/>
  <c r="U264" i="46" s="1"/>
  <c r="P264" i="46"/>
  <c r="S264" i="46"/>
  <c r="Z263" i="46" l="1"/>
  <c r="T264" i="46"/>
  <c r="R264" i="46"/>
  <c r="W264" i="46" l="1"/>
  <c r="Q265" i="46"/>
  <c r="M265" i="46"/>
  <c r="Y264" i="46"/>
  <c r="X264" i="46"/>
  <c r="U265" i="46" l="1"/>
  <c r="P265" i="46"/>
  <c r="R265" i="46" s="1"/>
  <c r="S265" i="46"/>
  <c r="Z264" i="46"/>
  <c r="T265" i="46" l="1"/>
  <c r="Q266" i="46" l="1"/>
  <c r="Y265" i="46"/>
  <c r="M266" i="46"/>
  <c r="X265" i="46"/>
  <c r="W265" i="46"/>
  <c r="Z265" i="46" l="1"/>
  <c r="U266" i="46"/>
  <c r="S266" i="46"/>
  <c r="P266" i="46"/>
  <c r="R266" i="46" s="1"/>
  <c r="T266" i="46" l="1"/>
  <c r="Q267" i="46" l="1"/>
  <c r="Y266" i="46"/>
  <c r="X266" i="46"/>
  <c r="M267" i="46"/>
  <c r="W266" i="46"/>
  <c r="AD41" i="46" l="1"/>
  <c r="U267" i="46"/>
  <c r="Z266" i="46"/>
  <c r="P267" i="46"/>
  <c r="R267" i="46" s="1"/>
  <c r="S267" i="46"/>
  <c r="T267" i="46" l="1"/>
  <c r="M268" i="46" l="1"/>
  <c r="Q268" i="46"/>
  <c r="W267" i="46"/>
  <c r="X267" i="46"/>
  <c r="Y267" i="46"/>
  <c r="Z267" i="46" l="1"/>
  <c r="P268" i="46"/>
  <c r="R268" i="46" s="1"/>
  <c r="S268" i="46"/>
  <c r="U268" i="46"/>
  <c r="T268" i="46" l="1"/>
  <c r="Q269" i="46" s="1"/>
  <c r="X268" i="46" l="1"/>
  <c r="Y268" i="46"/>
  <c r="W268" i="46"/>
  <c r="M269" i="46"/>
  <c r="U269" i="46" s="1"/>
  <c r="P269" i="46"/>
  <c r="R269" i="46" s="1"/>
  <c r="S269" i="46"/>
  <c r="Z268" i="46" l="1"/>
  <c r="T269" i="46"/>
  <c r="Y269" i="46" l="1"/>
  <c r="W269" i="46"/>
  <c r="M270" i="46"/>
  <c r="Q270" i="46"/>
  <c r="X269" i="46"/>
  <c r="P270" i="46" l="1"/>
  <c r="R270" i="46" s="1"/>
  <c r="S270" i="46"/>
  <c r="U270" i="46"/>
  <c r="Z269" i="46"/>
  <c r="T270" i="46" l="1"/>
  <c r="X270" i="46" s="1"/>
  <c r="Y270" i="46"/>
  <c r="W270" i="46"/>
  <c r="Q271" i="46" l="1"/>
  <c r="P271" i="46" s="1"/>
  <c r="M271" i="46"/>
  <c r="U271" i="46" s="1"/>
  <c r="Z270" i="46"/>
  <c r="S271" i="46"/>
  <c r="T271" i="46" l="1"/>
  <c r="R271" i="46"/>
  <c r="Y271" i="46" l="1"/>
  <c r="M272" i="46"/>
  <c r="U272" i="46" s="1"/>
  <c r="W271" i="46"/>
  <c r="Q272" i="46"/>
  <c r="X271" i="46"/>
  <c r="Z271" i="46" l="1"/>
  <c r="P272" i="46"/>
  <c r="S272" i="46"/>
  <c r="T272" i="46" l="1"/>
  <c r="R272" i="46"/>
  <c r="X272" i="46" l="1"/>
  <c r="Q273" i="46"/>
  <c r="M273" i="46"/>
  <c r="U273" i="46" s="1"/>
  <c r="Y272" i="46"/>
  <c r="W272" i="46"/>
  <c r="Z272" i="46" l="1"/>
  <c r="S273" i="46"/>
  <c r="P273" i="46"/>
  <c r="T273" i="46" l="1"/>
  <c r="R273" i="46"/>
  <c r="Y273" i="46" l="1"/>
  <c r="M274" i="46"/>
  <c r="U274" i="46" s="1"/>
  <c r="Q274" i="46"/>
  <c r="W273" i="46"/>
  <c r="X273" i="46"/>
  <c r="Z273" i="46" l="1"/>
  <c r="S274" i="46"/>
  <c r="P274" i="46"/>
  <c r="T274" i="46" l="1"/>
  <c r="R274" i="46"/>
  <c r="X274" i="46" l="1"/>
  <c r="Y274" i="46"/>
  <c r="W274" i="46"/>
  <c r="Q275" i="46"/>
  <c r="M275" i="46"/>
  <c r="Z274" i="46" l="1"/>
  <c r="S275" i="46"/>
  <c r="P275" i="46"/>
  <c r="R275" i="46" s="1"/>
  <c r="U275" i="46"/>
  <c r="T275" i="46" l="1"/>
  <c r="Q276" i="46" s="1"/>
  <c r="Y275" i="46"/>
  <c r="W275" i="46"/>
  <c r="X275" i="46" l="1"/>
  <c r="Z275" i="46" s="1"/>
  <c r="M276" i="46"/>
  <c r="U276" i="46" s="1"/>
  <c r="P276" i="46"/>
  <c r="S276" i="46"/>
  <c r="T276" i="46" l="1"/>
  <c r="R276" i="46"/>
  <c r="M277" i="46" l="1"/>
  <c r="Q277" i="46"/>
  <c r="Y276" i="46"/>
  <c r="X276" i="46"/>
  <c r="W276" i="46"/>
  <c r="S277" i="46" l="1"/>
  <c r="P277" i="46"/>
  <c r="T277" i="46" s="1"/>
  <c r="Z276" i="46"/>
  <c r="U277" i="46"/>
  <c r="Q278" i="46" l="1"/>
  <c r="X277" i="46"/>
  <c r="W277" i="46"/>
  <c r="M278" i="46"/>
  <c r="Y277" i="46"/>
  <c r="R277" i="46"/>
  <c r="Z277" i="46" l="1"/>
  <c r="U278" i="46"/>
  <c r="P278" i="46"/>
  <c r="R278" i="46" s="1"/>
  <c r="S278" i="46"/>
  <c r="T278" i="46" l="1"/>
  <c r="X278" i="46" l="1"/>
  <c r="Q279" i="46"/>
  <c r="M279" i="46"/>
  <c r="Y278" i="46"/>
  <c r="W278" i="46"/>
  <c r="Z278" i="46" l="1"/>
  <c r="U279" i="46"/>
  <c r="AD42" i="46"/>
  <c r="P279" i="46"/>
  <c r="S279" i="46"/>
  <c r="T279" i="46" l="1"/>
  <c r="R279" i="46"/>
  <c r="M280" i="46" l="1"/>
  <c r="U280" i="46" s="1"/>
  <c r="X279" i="46"/>
  <c r="Q280" i="46"/>
  <c r="W279" i="46"/>
  <c r="Y279" i="46"/>
  <c r="Z279" i="46" l="1"/>
  <c r="P280" i="46"/>
  <c r="S280" i="46"/>
  <c r="T280" i="46" l="1"/>
  <c r="R280" i="46"/>
  <c r="M281" i="46" l="1"/>
  <c r="W280" i="46"/>
  <c r="Y280" i="46"/>
  <c r="X280" i="46"/>
  <c r="Q281" i="46"/>
  <c r="Z280" i="46" l="1"/>
  <c r="P281" i="46"/>
  <c r="T281" i="46" s="1"/>
  <c r="S281" i="46"/>
  <c r="U281" i="46"/>
  <c r="X281" i="46" l="1"/>
  <c r="Y281" i="46"/>
  <c r="M282" i="46"/>
  <c r="W281" i="46"/>
  <c r="Q282" i="46"/>
  <c r="R281" i="46"/>
  <c r="Z281" i="46" l="1"/>
  <c r="U282" i="46"/>
  <c r="P282" i="46"/>
  <c r="S282" i="46"/>
  <c r="R282" i="46" l="1"/>
  <c r="T282" i="46"/>
  <c r="M283" i="46" l="1"/>
  <c r="W282" i="46"/>
  <c r="X282" i="46"/>
  <c r="Q283" i="46"/>
  <c r="Y282" i="46"/>
  <c r="P283" i="46" l="1"/>
  <c r="T283" i="46" s="1"/>
  <c r="S283" i="46"/>
  <c r="Z282" i="46"/>
  <c r="U283" i="46"/>
  <c r="X283" i="46" l="1"/>
  <c r="M284" i="46"/>
  <c r="U284" i="46" s="1"/>
  <c r="Y283" i="46"/>
  <c r="Q284" i="46"/>
  <c r="W283" i="46"/>
  <c r="R283" i="46"/>
  <c r="P284" i="46" l="1"/>
  <c r="S284" i="46"/>
  <c r="Z283" i="46"/>
  <c r="T284" i="46" l="1"/>
  <c r="R284" i="46"/>
  <c r="X284" i="46" l="1"/>
  <c r="M285" i="46"/>
  <c r="U285" i="46" s="1"/>
  <c r="W284" i="46"/>
  <c r="Q285" i="46"/>
  <c r="Y284" i="46"/>
  <c r="Z284" i="46" l="1"/>
  <c r="P285" i="46"/>
  <c r="S285" i="46"/>
  <c r="T285" i="46" l="1"/>
  <c r="R285" i="46"/>
  <c r="X285" i="46" l="1"/>
  <c r="M286" i="46"/>
  <c r="W285" i="46"/>
  <c r="Q286" i="46"/>
  <c r="Y285" i="46"/>
  <c r="P286" i="46" l="1"/>
  <c r="R286" i="46" s="1"/>
  <c r="S286" i="46"/>
  <c r="Z285" i="46"/>
  <c r="U286" i="46"/>
  <c r="T286" i="46" l="1"/>
  <c r="X286" i="46" s="1"/>
  <c r="W286" i="46" l="1"/>
  <c r="Q287" i="46"/>
  <c r="P287" i="46" s="1"/>
  <c r="R287" i="46" s="1"/>
  <c r="Y286" i="46"/>
  <c r="M287" i="46"/>
  <c r="U287" i="46" s="1"/>
  <c r="S287" i="46"/>
  <c r="Z286" i="46" l="1"/>
  <c r="T287" i="46"/>
  <c r="M288" i="46" s="1"/>
  <c r="Y287" i="46"/>
  <c r="Q288" i="46" l="1"/>
  <c r="P288" i="46" s="1"/>
  <c r="X287" i="46"/>
  <c r="W287" i="46"/>
  <c r="U288" i="46"/>
  <c r="S288" i="46" l="1"/>
  <c r="Z287" i="46"/>
  <c r="R288" i="46"/>
  <c r="T288" i="46"/>
  <c r="M289" i="46" l="1"/>
  <c r="U289" i="46" s="1"/>
  <c r="W288" i="46"/>
  <c r="Q289" i="46"/>
  <c r="X288" i="46"/>
  <c r="Y288" i="46"/>
  <c r="P289" i="46" l="1"/>
  <c r="S289" i="46"/>
  <c r="Z288" i="46"/>
  <c r="T289" i="46" l="1"/>
  <c r="R289" i="46"/>
  <c r="W289" i="46" l="1"/>
  <c r="X289" i="46"/>
  <c r="Y289" i="46"/>
  <c r="Q290" i="46"/>
  <c r="M290" i="46"/>
  <c r="U290" i="46" l="1"/>
  <c r="P290" i="46"/>
  <c r="S290" i="46"/>
  <c r="Z289" i="46"/>
  <c r="R290" i="46" l="1"/>
  <c r="T290" i="46"/>
  <c r="Q291" i="46" l="1"/>
  <c r="W290" i="46"/>
  <c r="M291" i="46"/>
  <c r="Y290" i="46"/>
  <c r="X290" i="46"/>
  <c r="Z290" i="46" l="1"/>
  <c r="U291" i="46"/>
  <c r="AD43" i="46"/>
  <c r="P291" i="46"/>
  <c r="S291" i="46"/>
  <c r="T291" i="46" l="1"/>
  <c r="R291" i="46"/>
  <c r="W291" i="46" l="1"/>
  <c r="X291" i="46"/>
  <c r="Q292" i="46"/>
  <c r="M292" i="46"/>
  <c r="Y291" i="46"/>
  <c r="U292" i="46" l="1"/>
  <c r="P292" i="46"/>
  <c r="T292" i="46" s="1"/>
  <c r="S292" i="46"/>
  <c r="Z291" i="46"/>
  <c r="Y292" i="46" l="1"/>
  <c r="M293" i="46"/>
  <c r="Q293" i="46"/>
  <c r="W292" i="46"/>
  <c r="X292" i="46"/>
  <c r="R292" i="46"/>
  <c r="Z292" i="46" l="1"/>
  <c r="P293" i="46"/>
  <c r="T293" i="46" s="1"/>
  <c r="S293" i="46"/>
  <c r="U293" i="46"/>
  <c r="W293" i="46" l="1"/>
  <c r="Q294" i="46"/>
  <c r="Y293" i="46"/>
  <c r="X293" i="46"/>
  <c r="M294" i="46"/>
  <c r="R293" i="46"/>
  <c r="P294" i="46" l="1"/>
  <c r="T294" i="46" s="1"/>
  <c r="S294" i="46"/>
  <c r="U294" i="46"/>
  <c r="Z293" i="46"/>
  <c r="Q295" i="46" l="1"/>
  <c r="M295" i="46"/>
  <c r="Y294" i="46"/>
  <c r="W294" i="46"/>
  <c r="X294" i="46"/>
  <c r="R294" i="46"/>
  <c r="Z294" i="46" l="1"/>
  <c r="U295" i="46"/>
  <c r="P295" i="46"/>
  <c r="S295" i="46"/>
  <c r="R295" i="46" l="1"/>
  <c r="T295" i="46"/>
  <c r="W295" i="46" l="1"/>
  <c r="Q296" i="46"/>
  <c r="X295" i="46"/>
  <c r="M296" i="46"/>
  <c r="U296" i="46" s="1"/>
  <c r="Y295" i="46"/>
  <c r="P296" i="46" l="1"/>
  <c r="S296" i="46"/>
  <c r="Z295" i="46"/>
  <c r="T296" i="46" l="1"/>
  <c r="R296" i="46"/>
  <c r="W296" i="46" l="1"/>
  <c r="X296" i="46"/>
  <c r="Q297" i="46"/>
  <c r="M297" i="46"/>
  <c r="U297" i="46" s="1"/>
  <c r="Y296" i="46"/>
  <c r="P297" i="46" l="1"/>
  <c r="S297" i="46"/>
  <c r="Z296" i="46"/>
  <c r="T297" i="46" l="1"/>
  <c r="R297" i="46"/>
  <c r="X297" i="46" l="1"/>
  <c r="Y297" i="46"/>
  <c r="Q298" i="46"/>
  <c r="M298" i="46"/>
  <c r="W297" i="46"/>
  <c r="Z297" i="46" l="1"/>
  <c r="U298" i="46"/>
  <c r="P298" i="46"/>
  <c r="S298" i="46"/>
  <c r="R298" i="46" l="1"/>
  <c r="T298" i="46"/>
  <c r="Y298" i="46" l="1"/>
  <c r="Q299" i="46"/>
  <c r="X298" i="46"/>
  <c r="M299" i="46"/>
  <c r="W298" i="46"/>
  <c r="Z298" i="46" l="1"/>
  <c r="U299" i="46"/>
  <c r="P299" i="46"/>
  <c r="S299" i="46"/>
  <c r="R299" i="46" l="1"/>
  <c r="T299" i="46"/>
  <c r="Q300" i="46" l="1"/>
  <c r="Y299" i="46"/>
  <c r="M300" i="46"/>
  <c r="U300" i="46" s="1"/>
  <c r="W299" i="46"/>
  <c r="X299" i="46"/>
  <c r="Z299" i="46" l="1"/>
  <c r="P300" i="46"/>
  <c r="S300" i="46"/>
  <c r="T300" i="46" l="1"/>
  <c r="R300" i="46"/>
  <c r="M301" i="46" l="1"/>
  <c r="U301" i="46" s="1"/>
  <c r="X300" i="46"/>
  <c r="Q301" i="46"/>
  <c r="Y300" i="46"/>
  <c r="W300" i="46"/>
  <c r="P301" i="46" l="1"/>
  <c r="S301" i="46"/>
  <c r="Z300" i="46"/>
  <c r="T301" i="46" l="1"/>
  <c r="R301" i="46"/>
  <c r="Y301" i="46" l="1"/>
  <c r="W301" i="46"/>
  <c r="X301" i="46"/>
  <c r="Q302" i="46"/>
  <c r="M302" i="46"/>
  <c r="U302" i="46" s="1"/>
  <c r="P302" i="46" l="1"/>
  <c r="S302" i="46"/>
  <c r="Z301" i="46"/>
  <c r="T302" i="46" l="1"/>
  <c r="R302" i="46"/>
  <c r="W302" i="46" l="1"/>
  <c r="X302" i="46"/>
  <c r="Q303" i="46"/>
  <c r="Y302" i="46"/>
  <c r="M303" i="46"/>
  <c r="P303" i="46" l="1"/>
  <c r="T303" i="46" s="1"/>
  <c r="S303" i="46"/>
  <c r="U303" i="46"/>
  <c r="AD44" i="46"/>
  <c r="Z302" i="46"/>
  <c r="W303" i="46" l="1"/>
  <c r="Q304" i="46"/>
  <c r="X303" i="46"/>
  <c r="Y303" i="46"/>
  <c r="M304" i="46"/>
  <c r="R303" i="46"/>
  <c r="P304" i="46" l="1"/>
  <c r="T304" i="46" s="1"/>
  <c r="S304" i="46"/>
  <c r="U304" i="46"/>
  <c r="Z303" i="46"/>
  <c r="Q305" i="46" l="1"/>
  <c r="X304" i="46"/>
  <c r="Y304" i="46"/>
  <c r="W304" i="46"/>
  <c r="M305" i="46"/>
  <c r="R304" i="46"/>
  <c r="Z304" i="46" l="1"/>
  <c r="U305" i="46"/>
  <c r="P305" i="46"/>
  <c r="S305" i="46"/>
  <c r="R305" i="46" l="1"/>
  <c r="T305" i="46"/>
  <c r="Q306" i="46" l="1"/>
  <c r="Y305" i="46"/>
  <c r="X305" i="46"/>
  <c r="M306" i="46"/>
  <c r="W305" i="46"/>
  <c r="U306" i="46" l="1"/>
  <c r="Z305" i="46"/>
  <c r="P306" i="46"/>
  <c r="S306" i="46"/>
  <c r="R306" i="46" l="1"/>
  <c r="T306" i="46"/>
  <c r="M307" i="46" l="1"/>
  <c r="W306" i="46"/>
  <c r="X306" i="46"/>
  <c r="Q307" i="46"/>
  <c r="Y306" i="46"/>
  <c r="P307" i="46" l="1"/>
  <c r="T307" i="46" s="1"/>
  <c r="S307" i="46"/>
  <c r="Z306" i="46"/>
  <c r="U307" i="46"/>
  <c r="M308" i="46" l="1"/>
  <c r="U308" i="46" s="1"/>
  <c r="Y307" i="46"/>
  <c r="W307" i="46"/>
  <c r="X307" i="46"/>
  <c r="Q308" i="46"/>
  <c r="R307" i="46"/>
  <c r="Z307" i="46" l="1"/>
  <c r="P308" i="46"/>
  <c r="S308" i="46"/>
  <c r="T308" i="46" l="1"/>
  <c r="R308" i="46"/>
  <c r="M309" i="46" l="1"/>
  <c r="U309" i="46" s="1"/>
  <c r="W308" i="46"/>
  <c r="X308" i="46"/>
  <c r="Y308" i="46"/>
  <c r="Q309" i="46"/>
  <c r="Z308" i="46" l="1"/>
  <c r="P309" i="46"/>
  <c r="S309" i="46"/>
  <c r="T309" i="46" l="1"/>
  <c r="R309" i="46"/>
  <c r="W309" i="46" l="1"/>
  <c r="X309" i="46"/>
  <c r="M310" i="46"/>
  <c r="Q310" i="46"/>
  <c r="Y309" i="46"/>
  <c r="P310" i="46" l="1"/>
  <c r="T310" i="46" s="1"/>
  <c r="S310" i="46"/>
  <c r="U310" i="46"/>
  <c r="Z309" i="46"/>
  <c r="Q311" i="46" l="1"/>
  <c r="M311" i="46"/>
  <c r="Y310" i="46"/>
  <c r="W310" i="46"/>
  <c r="X310" i="46"/>
  <c r="R310" i="46"/>
  <c r="Z310" i="46" l="1"/>
  <c r="U311" i="46"/>
  <c r="P311" i="46"/>
  <c r="S311" i="46"/>
  <c r="R311" i="46" l="1"/>
  <c r="T311" i="46"/>
  <c r="Y311" i="46" l="1"/>
  <c r="W311" i="46"/>
  <c r="X311" i="46"/>
  <c r="Q312" i="46"/>
  <c r="M312" i="46"/>
  <c r="Z311" i="46" l="1"/>
  <c r="P312" i="46"/>
  <c r="T312" i="46" s="1"/>
  <c r="S312" i="46"/>
  <c r="U312" i="46"/>
  <c r="Y312" i="46" l="1"/>
  <c r="M313" i="46"/>
  <c r="U313" i="46" s="1"/>
  <c r="W312" i="46"/>
  <c r="Q313" i="46"/>
  <c r="X312" i="46"/>
  <c r="R312" i="46"/>
  <c r="Z312" i="46" l="1"/>
  <c r="P313" i="46"/>
  <c r="S313" i="46"/>
  <c r="T313" i="46" l="1"/>
  <c r="R313" i="46"/>
  <c r="Q314" i="46" l="1"/>
  <c r="X313" i="46"/>
  <c r="M314" i="46"/>
  <c r="Y313" i="46"/>
  <c r="W313" i="46"/>
  <c r="U314" i="46" l="1"/>
  <c r="Z313" i="46"/>
  <c r="P314" i="46"/>
  <c r="S314" i="46"/>
  <c r="R314" i="46" l="1"/>
  <c r="T314" i="46"/>
  <c r="Q315" i="46" l="1"/>
  <c r="M315" i="46"/>
  <c r="W314" i="46"/>
  <c r="X314" i="46"/>
  <c r="Y314" i="46"/>
  <c r="Z314" i="46" l="1"/>
  <c r="AD45" i="46"/>
  <c r="U315" i="46"/>
  <c r="P315" i="46"/>
  <c r="T315" i="46" s="1"/>
  <c r="S315" i="46"/>
  <c r="W315" i="46" l="1"/>
  <c r="Y315" i="46"/>
  <c r="M316" i="46"/>
  <c r="Q316" i="46"/>
  <c r="X315" i="46"/>
  <c r="R315" i="46"/>
  <c r="P316" i="46" l="1"/>
  <c r="T316" i="46" s="1"/>
  <c r="S316" i="46"/>
  <c r="U316" i="46"/>
  <c r="Z315" i="46"/>
  <c r="M317" i="46" l="1"/>
  <c r="X316" i="46"/>
  <c r="Y316" i="46"/>
  <c r="Q317" i="46"/>
  <c r="W316" i="46"/>
  <c r="R316" i="46"/>
  <c r="Z316" i="46" l="1"/>
  <c r="P317" i="46"/>
  <c r="T317" i="46" s="1"/>
  <c r="S317" i="46"/>
  <c r="U317" i="46"/>
  <c r="X317" i="46" l="1"/>
  <c r="Y317" i="46"/>
  <c r="M318" i="46"/>
  <c r="W317" i="46"/>
  <c r="Q318" i="46"/>
  <c r="R317" i="46"/>
  <c r="Z317" i="46" l="1"/>
  <c r="U318" i="46"/>
  <c r="P318" i="46"/>
  <c r="T318" i="46" s="1"/>
  <c r="S318" i="46"/>
  <c r="R318" i="46" l="1"/>
  <c r="Q319" i="46"/>
  <c r="Y318" i="46"/>
  <c r="W318" i="46"/>
  <c r="M319" i="46"/>
  <c r="X318" i="46"/>
  <c r="Z318" i="46" l="1"/>
  <c r="P319" i="46"/>
  <c r="T319" i="46" s="1"/>
  <c r="S319" i="46"/>
  <c r="U319" i="46"/>
  <c r="Q320" i="46" l="1"/>
  <c r="W319" i="46"/>
  <c r="Y319" i="46"/>
  <c r="X319" i="46"/>
  <c r="M320" i="46"/>
  <c r="U320" i="46" s="1"/>
  <c r="R319" i="46"/>
  <c r="Z319" i="46" l="1"/>
  <c r="P320" i="46"/>
  <c r="S320" i="46"/>
  <c r="T320" i="46" l="1"/>
  <c r="R320" i="46"/>
  <c r="W320" i="46" l="1"/>
  <c r="M321" i="46"/>
  <c r="X320" i="46"/>
  <c r="Q321" i="46"/>
  <c r="Y320" i="46"/>
  <c r="P321" i="46" l="1"/>
  <c r="T321" i="46" s="1"/>
  <c r="S321" i="46"/>
  <c r="U321" i="46"/>
  <c r="Z320" i="46"/>
  <c r="M322" i="46" l="1"/>
  <c r="Q322" i="46"/>
  <c r="W321" i="46"/>
  <c r="X321" i="46"/>
  <c r="Y321" i="46"/>
  <c r="R321" i="46"/>
  <c r="Z321" i="46" l="1"/>
  <c r="P322" i="46"/>
  <c r="S322" i="46"/>
  <c r="U322" i="46"/>
  <c r="R322" i="46" l="1"/>
  <c r="T322" i="46"/>
  <c r="Q323" i="46" l="1"/>
  <c r="M323" i="46"/>
  <c r="Y322" i="46"/>
  <c r="W322" i="46"/>
  <c r="X322" i="46"/>
  <c r="U323" i="46" l="1"/>
  <c r="Z322" i="46"/>
  <c r="P323" i="46"/>
  <c r="S323" i="46"/>
  <c r="R323" i="46" l="1"/>
  <c r="T323" i="46"/>
  <c r="W323" i="46" l="1"/>
  <c r="X323" i="46"/>
  <c r="Q324" i="46"/>
  <c r="Y323" i="46"/>
  <c r="M324" i="46"/>
  <c r="Z323" i="46" l="1"/>
  <c r="U324" i="46"/>
  <c r="P324" i="46"/>
  <c r="S324" i="46"/>
  <c r="R324" i="46" l="1"/>
  <c r="T324" i="46"/>
  <c r="X324" i="46" l="1"/>
  <c r="M325" i="46"/>
  <c r="Y324" i="46"/>
  <c r="Q325" i="46"/>
  <c r="W324" i="46"/>
  <c r="Z324" i="46" l="1"/>
  <c r="P325" i="46"/>
  <c r="T325" i="46" s="1"/>
  <c r="S325" i="46"/>
  <c r="U325" i="46"/>
  <c r="X325" i="46" l="1"/>
  <c r="W325" i="46"/>
  <c r="Q326" i="46"/>
  <c r="Y325" i="46"/>
  <c r="M326" i="46"/>
  <c r="U326" i="46" s="1"/>
  <c r="R325" i="46"/>
  <c r="P326" i="46" l="1"/>
  <c r="S326" i="46"/>
  <c r="Z325" i="46"/>
  <c r="T326" i="46" l="1"/>
  <c r="R326" i="46"/>
  <c r="W326" i="46" l="1"/>
  <c r="Q327" i="46"/>
  <c r="M327" i="46"/>
  <c r="Y326" i="46"/>
  <c r="X326" i="46"/>
  <c r="U327" i="46" l="1"/>
  <c r="AD46" i="46"/>
  <c r="P327" i="46"/>
  <c r="S327" i="46"/>
  <c r="Z326" i="46"/>
  <c r="R327" i="46" l="1"/>
  <c r="T327" i="46"/>
  <c r="M328" i="46" l="1"/>
  <c r="X327" i="46"/>
  <c r="W327" i="46"/>
  <c r="Q328" i="46"/>
  <c r="Y327" i="46"/>
  <c r="P328" i="46" l="1"/>
  <c r="T328" i="46" s="1"/>
  <c r="S328" i="46"/>
  <c r="Z327" i="46"/>
  <c r="U328" i="46"/>
  <c r="W328" i="46" l="1"/>
  <c r="X328" i="46"/>
  <c r="Q329" i="46"/>
  <c r="Y328" i="46"/>
  <c r="M329" i="46"/>
  <c r="R328" i="46"/>
  <c r="P329" i="46" l="1"/>
  <c r="T329" i="46" s="1"/>
  <c r="S329" i="46"/>
  <c r="U329" i="46"/>
  <c r="Z328" i="46"/>
  <c r="M330" i="46" l="1"/>
  <c r="Y329" i="46"/>
  <c r="Q330" i="46"/>
  <c r="X329" i="46"/>
  <c r="W329" i="46"/>
  <c r="R329" i="46"/>
  <c r="Z329" i="46" l="1"/>
  <c r="P330" i="46"/>
  <c r="T330" i="46" s="1"/>
  <c r="S330" i="46"/>
  <c r="U330" i="46"/>
  <c r="Q331" i="46" l="1"/>
  <c r="Y330" i="46"/>
  <c r="M331" i="46"/>
  <c r="X330" i="46"/>
  <c r="W330" i="46"/>
  <c r="R330" i="46"/>
  <c r="U331" i="46" l="1"/>
  <c r="Z330" i="46"/>
  <c r="P331" i="46"/>
  <c r="R331" i="46" s="1"/>
  <c r="S331" i="46"/>
  <c r="T331" i="46" l="1"/>
  <c r="X331" i="46" l="1"/>
  <c r="Y331" i="46"/>
  <c r="W331" i="46"/>
  <c r="M332" i="46"/>
  <c r="Q332" i="46"/>
  <c r="Z331" i="46" l="1"/>
  <c r="U332" i="46"/>
  <c r="P332" i="46"/>
  <c r="R332" i="46" s="1"/>
  <c r="S332" i="46"/>
  <c r="T332" i="46" l="1"/>
  <c r="W332" i="46" s="1"/>
  <c r="Y332" i="46"/>
  <c r="Q333" i="46" l="1"/>
  <c r="P333" i="46" s="1"/>
  <c r="M333" i="46"/>
  <c r="U333" i="46" s="1"/>
  <c r="X332" i="46"/>
  <c r="Z332" i="46" s="1"/>
  <c r="S333" i="46"/>
  <c r="T333" i="46" l="1"/>
  <c r="R333" i="46"/>
  <c r="M334" i="46" l="1"/>
  <c r="U334" i="46" s="1"/>
  <c r="Q334" i="46"/>
  <c r="W333" i="46"/>
  <c r="X333" i="46"/>
  <c r="Y333" i="46"/>
  <c r="Z333" i="46" l="1"/>
  <c r="P334" i="46"/>
  <c r="S334" i="46"/>
  <c r="T334" i="46" l="1"/>
  <c r="R334" i="46"/>
  <c r="X334" i="46" l="1"/>
  <c r="Y334" i="46"/>
  <c r="W334" i="46"/>
  <c r="Q335" i="46"/>
  <c r="M335" i="46"/>
  <c r="P335" i="46" l="1"/>
  <c r="T335" i="46" s="1"/>
  <c r="S335" i="46"/>
  <c r="Z334" i="46"/>
  <c r="U335" i="46"/>
  <c r="X335" i="46" l="1"/>
  <c r="M336" i="46"/>
  <c r="U336" i="46" s="1"/>
  <c r="W335" i="46"/>
  <c r="Y335" i="46"/>
  <c r="Q336" i="46"/>
  <c r="R335" i="46"/>
  <c r="Z335" i="46" l="1"/>
  <c r="P336" i="46"/>
  <c r="S336" i="46"/>
  <c r="T336" i="46" l="1"/>
  <c r="R336" i="46"/>
  <c r="M337" i="46" l="1"/>
  <c r="Q337" i="46"/>
  <c r="X336" i="46"/>
  <c r="Y336" i="46"/>
  <c r="W336" i="46"/>
  <c r="P337" i="46" l="1"/>
  <c r="T337" i="46" s="1"/>
  <c r="S337" i="46"/>
  <c r="Z336" i="46"/>
  <c r="U337" i="46"/>
  <c r="Y337" i="46" l="1"/>
  <c r="X337" i="46"/>
  <c r="Q338" i="46"/>
  <c r="M338" i="46"/>
  <c r="U338" i="46" s="1"/>
  <c r="W337" i="46"/>
  <c r="R337" i="46"/>
  <c r="Z337" i="46" l="1"/>
  <c r="P338" i="46"/>
  <c r="S338" i="46"/>
  <c r="T338" i="46" l="1"/>
  <c r="R338" i="46"/>
  <c r="W338" i="46" l="1"/>
  <c r="Q339" i="46"/>
  <c r="M339" i="46"/>
  <c r="Y338" i="46"/>
  <c r="X338" i="46"/>
  <c r="AD47" i="46" l="1"/>
  <c r="U339" i="46"/>
  <c r="P339" i="46"/>
  <c r="S339" i="46"/>
  <c r="Z338" i="46"/>
  <c r="R339" i="46" l="1"/>
  <c r="T339" i="46"/>
  <c r="M340" i="46" l="1"/>
  <c r="Y339" i="46"/>
  <c r="Q340" i="46"/>
  <c r="W339" i="46"/>
  <c r="X339" i="46"/>
  <c r="Z339" i="46" l="1"/>
  <c r="P340" i="46"/>
  <c r="T340" i="46" s="1"/>
  <c r="S340" i="46"/>
  <c r="U340" i="46"/>
  <c r="Y340" i="46" l="1"/>
  <c r="Q341" i="46"/>
  <c r="X340" i="46"/>
  <c r="M341" i="46"/>
  <c r="W340" i="46"/>
  <c r="R340" i="46"/>
  <c r="Z340" i="46" l="1"/>
  <c r="U341" i="46"/>
  <c r="P341" i="46"/>
  <c r="S341" i="46"/>
  <c r="R341" i="46" l="1"/>
  <c r="T341" i="46"/>
  <c r="Q342" i="46" l="1"/>
  <c r="W341" i="46"/>
  <c r="X341" i="46"/>
  <c r="Y341" i="46"/>
  <c r="M342" i="46"/>
  <c r="Z341" i="46" l="1"/>
  <c r="U342" i="46"/>
  <c r="P342" i="46"/>
  <c r="R342" i="46" s="1"/>
  <c r="S342" i="46"/>
  <c r="T342" i="46" l="1"/>
  <c r="W342" i="46" l="1"/>
  <c r="M343" i="46"/>
  <c r="X342" i="46"/>
  <c r="Q343" i="46"/>
  <c r="Y342" i="46"/>
  <c r="P343" i="46" l="1"/>
  <c r="R343" i="46" s="1"/>
  <c r="S343" i="46"/>
  <c r="U343" i="46"/>
  <c r="Z342" i="46"/>
  <c r="T343" i="46" l="1"/>
  <c r="Q344" i="46" s="1"/>
  <c r="X343" i="46"/>
  <c r="W343" i="46"/>
  <c r="Y343" i="46"/>
  <c r="M344" i="46"/>
  <c r="Z343" i="46" l="1"/>
  <c r="U344" i="46"/>
  <c r="P344" i="46"/>
  <c r="R344" i="46" s="1"/>
  <c r="S344" i="46"/>
  <c r="T344" i="46" l="1"/>
  <c r="M345" i="46" l="1"/>
  <c r="X344" i="46"/>
  <c r="W344" i="46"/>
  <c r="Y344" i="46"/>
  <c r="Q345" i="46"/>
  <c r="Z344" i="46" l="1"/>
  <c r="P345" i="46"/>
  <c r="R345" i="46" s="1"/>
  <c r="S345" i="46"/>
  <c r="U345" i="46"/>
  <c r="AG20" i="46"/>
  <c r="G108" i="22" s="1"/>
  <c r="AG21" i="46"/>
  <c r="AG22" i="46"/>
  <c r="AG23" i="46"/>
  <c r="AG24" i="46"/>
  <c r="AG25" i="46"/>
  <c r="AG26" i="46"/>
  <c r="AG27" i="46"/>
  <c r="AG28" i="46"/>
  <c r="AG29" i="46"/>
  <c r="AG30" i="46"/>
  <c r="AG31" i="46"/>
  <c r="AG32" i="46"/>
  <c r="AG33" i="46"/>
  <c r="AG34" i="46"/>
  <c r="AG35" i="46"/>
  <c r="AG36" i="46"/>
  <c r="AG37" i="46"/>
  <c r="AG38" i="46"/>
  <c r="AG39" i="46"/>
  <c r="AG40" i="46"/>
  <c r="AG41" i="46"/>
  <c r="AG42" i="46"/>
  <c r="AG43" i="46"/>
  <c r="AG44" i="46"/>
  <c r="AG45" i="46"/>
  <c r="AG46" i="46"/>
  <c r="T345" i="46" l="1"/>
  <c r="M346" i="46" s="1"/>
  <c r="Y345" i="46"/>
  <c r="I108" i="22"/>
  <c r="L108" i="22"/>
  <c r="S108" i="22"/>
  <c r="O108" i="22"/>
  <c r="Q108" i="22"/>
  <c r="M108" i="22"/>
  <c r="P108" i="22"/>
  <c r="R108" i="22"/>
  <c r="N108" i="22"/>
  <c r="AF20" i="46"/>
  <c r="G107" i="22" s="1"/>
  <c r="AF21" i="46"/>
  <c r="AF22" i="46"/>
  <c r="AF23" i="46"/>
  <c r="AF24" i="46"/>
  <c r="AF25" i="46"/>
  <c r="AF26" i="46"/>
  <c r="AF27" i="46"/>
  <c r="AF28" i="46"/>
  <c r="AF29" i="46"/>
  <c r="AF30" i="46"/>
  <c r="AL30" i="46" s="1"/>
  <c r="AF31" i="46"/>
  <c r="AL31" i="46" s="1"/>
  <c r="AF32" i="46"/>
  <c r="AL32" i="46" s="1"/>
  <c r="AF33" i="46"/>
  <c r="AL33" i="46" s="1"/>
  <c r="AF34" i="46"/>
  <c r="AL34" i="46" s="1"/>
  <c r="AF35" i="46"/>
  <c r="AL35" i="46" s="1"/>
  <c r="AF36" i="46"/>
  <c r="AL36" i="46" s="1"/>
  <c r="AF37" i="46"/>
  <c r="AL37" i="46" s="1"/>
  <c r="AF38" i="46"/>
  <c r="AL38" i="46" s="1"/>
  <c r="AF39" i="46"/>
  <c r="AL39" i="46" s="1"/>
  <c r="AF40" i="46"/>
  <c r="AL40" i="46" s="1"/>
  <c r="AF41" i="46"/>
  <c r="AL41" i="46" s="1"/>
  <c r="AF42" i="46"/>
  <c r="AL42" i="46" s="1"/>
  <c r="AF43" i="46"/>
  <c r="AL43" i="46" s="1"/>
  <c r="AF44" i="46"/>
  <c r="AL44" i="46" s="1"/>
  <c r="AF45" i="46"/>
  <c r="AL45" i="46" s="1"/>
  <c r="AF46" i="46"/>
  <c r="AL46" i="46" s="1"/>
  <c r="H108" i="22"/>
  <c r="AJ20" i="46"/>
  <c r="AJ21" i="46"/>
  <c r="AJ22" i="46"/>
  <c r="AJ23" i="46"/>
  <c r="AJ24" i="46"/>
  <c r="AJ25" i="46"/>
  <c r="AJ26" i="46"/>
  <c r="AJ27" i="46"/>
  <c r="AJ28" i="46"/>
  <c r="AJ29" i="46"/>
  <c r="AJ30" i="46"/>
  <c r="AJ31" i="46"/>
  <c r="AJ32" i="46"/>
  <c r="AJ33" i="46"/>
  <c r="AJ34" i="46"/>
  <c r="AJ35" i="46"/>
  <c r="AJ36" i="46"/>
  <c r="AJ37" i="46"/>
  <c r="AJ38" i="46"/>
  <c r="AJ39" i="46"/>
  <c r="AJ40" i="46"/>
  <c r="AJ41" i="46"/>
  <c r="AJ42" i="46"/>
  <c r="AJ43" i="46"/>
  <c r="AJ44" i="46"/>
  <c r="AJ45" i="46"/>
  <c r="AJ46" i="46"/>
  <c r="W345" i="46" l="1"/>
  <c r="X345" i="46"/>
  <c r="Q346" i="46"/>
  <c r="P346" i="46" s="1"/>
  <c r="R346" i="46" s="1"/>
  <c r="U346" i="46"/>
  <c r="P107" i="22"/>
  <c r="AL26" i="46"/>
  <c r="L107" i="22"/>
  <c r="AL22" i="46"/>
  <c r="M380" i="46"/>
  <c r="S107" i="22"/>
  <c r="AL29" i="46"/>
  <c r="O107" i="22"/>
  <c r="AL25" i="46"/>
  <c r="I107" i="22"/>
  <c r="AL21" i="46"/>
  <c r="R107" i="22"/>
  <c r="AL28" i="46"/>
  <c r="N107" i="22"/>
  <c r="AL24" i="46"/>
  <c r="Q107" i="22"/>
  <c r="AL27" i="46"/>
  <c r="M107" i="22"/>
  <c r="AL23" i="46"/>
  <c r="H107" i="22"/>
  <c r="AI20" i="46"/>
  <c r="AL20" i="46"/>
  <c r="AI21" i="46"/>
  <c r="AI22" i="46"/>
  <c r="AI23" i="46"/>
  <c r="AI24" i="46"/>
  <c r="AI25" i="46"/>
  <c r="AI26" i="46"/>
  <c r="AI27" i="46"/>
  <c r="AI28" i="46"/>
  <c r="AI29" i="46"/>
  <c r="AI30" i="46"/>
  <c r="AI31" i="46"/>
  <c r="AI32" i="46"/>
  <c r="AI33" i="46"/>
  <c r="AI34" i="46"/>
  <c r="AI35" i="46"/>
  <c r="AI36" i="46"/>
  <c r="AI37" i="46"/>
  <c r="AI38" i="46"/>
  <c r="AI39" i="46"/>
  <c r="AI40" i="46"/>
  <c r="AI41" i="46"/>
  <c r="AI42" i="46"/>
  <c r="AI43" i="46"/>
  <c r="AI44" i="46"/>
  <c r="AI45" i="46"/>
  <c r="AI46" i="46"/>
  <c r="Z345" i="46" l="1"/>
  <c r="S346" i="46"/>
  <c r="T346" i="46"/>
  <c r="M347" i="46" s="1"/>
  <c r="AH20" i="46"/>
  <c r="AH21" i="46"/>
  <c r="AH22" i="46"/>
  <c r="AH23" i="46"/>
  <c r="AH24" i="46"/>
  <c r="AH25" i="46"/>
  <c r="AH26" i="46"/>
  <c r="AH27" i="46"/>
  <c r="AH28" i="46"/>
  <c r="AH29" i="46"/>
  <c r="AH30" i="46"/>
  <c r="AH31" i="46"/>
  <c r="AH32" i="46"/>
  <c r="AH33" i="46"/>
  <c r="AH34" i="46"/>
  <c r="AH35" i="46"/>
  <c r="AH36" i="46"/>
  <c r="AH37" i="46"/>
  <c r="AH38" i="46"/>
  <c r="AH39" i="46"/>
  <c r="AH40" i="46"/>
  <c r="AH41" i="46"/>
  <c r="AH42" i="46"/>
  <c r="AH43" i="46"/>
  <c r="AH44" i="46"/>
  <c r="AH45" i="46"/>
  <c r="AH46" i="46"/>
  <c r="P380" i="46"/>
  <c r="R380" i="46" s="1"/>
  <c r="S380" i="46"/>
  <c r="U380" i="46"/>
  <c r="W346" i="46" l="1"/>
  <c r="Q347" i="46"/>
  <c r="X346" i="46"/>
  <c r="Y346" i="46"/>
  <c r="P347" i="46"/>
  <c r="R347" i="46" s="1"/>
  <c r="S347" i="46"/>
  <c r="U347" i="46"/>
  <c r="AK23" i="46"/>
  <c r="AK21" i="46"/>
  <c r="AK33" i="46"/>
  <c r="AK32" i="46"/>
  <c r="AK24" i="46"/>
  <c r="AK44" i="46"/>
  <c r="AK45" i="46"/>
  <c r="AK31" i="46"/>
  <c r="AK39" i="46"/>
  <c r="AK22" i="46"/>
  <c r="AK30" i="46"/>
  <c r="AK42" i="46"/>
  <c r="AK37" i="46"/>
  <c r="AK20" i="46"/>
  <c r="AK38" i="46"/>
  <c r="AK28" i="46"/>
  <c r="AK41" i="46"/>
  <c r="AK26" i="46"/>
  <c r="AK29" i="46"/>
  <c r="AK46" i="46"/>
  <c r="AK27" i="46"/>
  <c r="AK40" i="46"/>
  <c r="AK35" i="46"/>
  <c r="AK43" i="46"/>
  <c r="AK34" i="46"/>
  <c r="AK36" i="46"/>
  <c r="AK25" i="46"/>
  <c r="T380" i="46"/>
  <c r="AE20" i="46"/>
  <c r="AE21" i="46"/>
  <c r="AE22" i="46"/>
  <c r="AE23" i="46"/>
  <c r="AE24" i="46"/>
  <c r="AE25" i="46"/>
  <c r="AE26" i="46"/>
  <c r="AE27" i="46"/>
  <c r="AE28" i="46"/>
  <c r="AE29" i="46"/>
  <c r="AE30" i="46"/>
  <c r="AE31" i="46"/>
  <c r="AE32" i="46"/>
  <c r="AE33" i="46"/>
  <c r="AE34" i="46"/>
  <c r="AE35" i="46"/>
  <c r="AE36" i="46"/>
  <c r="AE37" i="46"/>
  <c r="AE38" i="46"/>
  <c r="AE39" i="46"/>
  <c r="AE40" i="46"/>
  <c r="AE41" i="46"/>
  <c r="AE42" i="46"/>
  <c r="AE43" i="46"/>
  <c r="AE44" i="46"/>
  <c r="AE45" i="46"/>
  <c r="AE46" i="46"/>
  <c r="Z346" i="46" l="1"/>
  <c r="T347" i="46"/>
  <c r="Q348" i="46" s="1"/>
  <c r="H106" i="22"/>
  <c r="G106" i="22"/>
  <c r="L106" i="22"/>
  <c r="N106" i="22"/>
  <c r="Q106" i="22"/>
  <c r="M106" i="22"/>
  <c r="R106" i="22"/>
  <c r="P106" i="22"/>
  <c r="S106" i="22"/>
  <c r="O106" i="22"/>
  <c r="I106" i="22"/>
  <c r="M381" i="46"/>
  <c r="Q381" i="46"/>
  <c r="M348" i="46" l="1"/>
  <c r="U348" i="46" s="1"/>
  <c r="X347" i="46"/>
  <c r="Y347" i="46"/>
  <c r="W347" i="46"/>
  <c r="P348" i="46"/>
  <c r="S348" i="46"/>
  <c r="R19" i="28"/>
  <c r="P381" i="46"/>
  <c r="R381" i="46" s="1"/>
  <c r="S381" i="46"/>
  <c r="U381" i="46"/>
  <c r="R74" i="57"/>
  <c r="R75" i="57" s="1"/>
  <c r="T348" i="46" l="1"/>
  <c r="Q349" i="46" s="1"/>
  <c r="Z347" i="46"/>
  <c r="Y348" i="46"/>
  <c r="X348" i="46"/>
  <c r="R348" i="46"/>
  <c r="R50" i="58"/>
  <c r="R210" i="58" s="1"/>
  <c r="T381" i="46"/>
  <c r="M382" i="46" s="1"/>
  <c r="Q50" i="58"/>
  <c r="O50" i="58"/>
  <c r="P50" i="58"/>
  <c r="M349" i="46" l="1"/>
  <c r="U349" i="46" s="1"/>
  <c r="W348" i="46"/>
  <c r="Z348" i="46" s="1"/>
  <c r="R53" i="58"/>
  <c r="R213" i="58" s="1"/>
  <c r="P349" i="46"/>
  <c r="S349" i="46"/>
  <c r="Q382" i="46"/>
  <c r="N50" i="58"/>
  <c r="N53" i="58" s="1"/>
  <c r="F37" i="27"/>
  <c r="J37" i="27" s="1"/>
  <c r="F33" i="59" s="1"/>
  <c r="F33" i="27"/>
  <c r="R91" i="58"/>
  <c r="U382" i="46"/>
  <c r="O53" i="58"/>
  <c r="O210" i="58"/>
  <c r="O91" i="58"/>
  <c r="P53" i="58"/>
  <c r="P210" i="58"/>
  <c r="P91" i="58"/>
  <c r="P382" i="46"/>
  <c r="R382" i="46" s="1"/>
  <c r="S382" i="46"/>
  <c r="Q53" i="58"/>
  <c r="Q210" i="58"/>
  <c r="Q91" i="58"/>
  <c r="F35" i="27" l="1"/>
  <c r="F77" i="27" s="1"/>
  <c r="G56" i="27" s="1"/>
  <c r="R94" i="58"/>
  <c r="R159" i="58" s="1"/>
  <c r="F34" i="27"/>
  <c r="F76" i="27" s="1"/>
  <c r="G55" i="27" s="1"/>
  <c r="F36" i="27"/>
  <c r="F75" i="27"/>
  <c r="F79" i="27"/>
  <c r="R349" i="46"/>
  <c r="T349" i="46"/>
  <c r="N210" i="58"/>
  <c r="N91" i="58"/>
  <c r="Q213" i="58"/>
  <c r="Q94" i="58"/>
  <c r="P213" i="58"/>
  <c r="P94" i="58"/>
  <c r="R246" i="58"/>
  <c r="R278" i="58"/>
  <c r="R262" i="58"/>
  <c r="O213" i="58"/>
  <c r="O94" i="58"/>
  <c r="T382" i="46"/>
  <c r="N213" i="58"/>
  <c r="N94" i="58"/>
  <c r="R225" i="58" l="1"/>
  <c r="R195" i="58" s="1"/>
  <c r="R127" i="58"/>
  <c r="R106" i="58"/>
  <c r="I56" i="27"/>
  <c r="I55" i="27"/>
  <c r="G54" i="27"/>
  <c r="F78" i="27"/>
  <c r="W349" i="46"/>
  <c r="Y349" i="46"/>
  <c r="X349" i="46"/>
  <c r="M350" i="46"/>
  <c r="Q350" i="46"/>
  <c r="N246" i="58"/>
  <c r="N278" i="58"/>
  <c r="N262" i="58"/>
  <c r="O246" i="58"/>
  <c r="O262" i="58"/>
  <c r="O278" i="58"/>
  <c r="P143" i="58"/>
  <c r="P106" i="58"/>
  <c r="P127" i="58"/>
  <c r="P159" i="58"/>
  <c r="P225" i="58"/>
  <c r="Q106" i="58"/>
  <c r="Q143" i="58"/>
  <c r="Q127" i="58"/>
  <c r="Q159" i="58"/>
  <c r="Q225" i="58"/>
  <c r="S261" i="58"/>
  <c r="P278" i="58"/>
  <c r="P246" i="58"/>
  <c r="P262" i="58"/>
  <c r="Q262" i="58"/>
  <c r="Q278" i="58"/>
  <c r="Q246" i="58"/>
  <c r="N127" i="58"/>
  <c r="N159" i="58"/>
  <c r="N106" i="58"/>
  <c r="N143" i="58"/>
  <c r="N225" i="58"/>
  <c r="Q383" i="46"/>
  <c r="M383" i="46"/>
  <c r="S277" i="58"/>
  <c r="O106" i="58"/>
  <c r="O127" i="58"/>
  <c r="O159" i="58"/>
  <c r="O143" i="58"/>
  <c r="O225" i="58"/>
  <c r="S245" i="58"/>
  <c r="R203" i="58" l="1"/>
  <c r="S224" i="58"/>
  <c r="I54" i="27"/>
  <c r="G57" i="27"/>
  <c r="U350" i="46"/>
  <c r="P350" i="46"/>
  <c r="AG47" i="46"/>
  <c r="AJ47" i="46" s="1"/>
  <c r="S350" i="46"/>
  <c r="Z349" i="46"/>
  <c r="P224" i="58"/>
  <c r="O195" i="58"/>
  <c r="O203" i="58"/>
  <c r="U383" i="46"/>
  <c r="R245" i="58"/>
  <c r="R261" i="58"/>
  <c r="Q261" i="58"/>
  <c r="Q277" i="58"/>
  <c r="O245" i="58"/>
  <c r="P383" i="46"/>
  <c r="R383" i="46" s="1"/>
  <c r="S383" i="46"/>
  <c r="R277" i="58"/>
  <c r="R224" i="58"/>
  <c r="Q195" i="58"/>
  <c r="Q203" i="58"/>
  <c r="P277" i="58"/>
  <c r="O224" i="58"/>
  <c r="N203" i="58"/>
  <c r="N195" i="58"/>
  <c r="Q245" i="58"/>
  <c r="Q224" i="58"/>
  <c r="P203" i="58"/>
  <c r="P195" i="58"/>
  <c r="P261" i="58"/>
  <c r="O261" i="58"/>
  <c r="P245" i="58"/>
  <c r="O277" i="58"/>
  <c r="I57" i="27" l="1"/>
  <c r="R350" i="46"/>
  <c r="AF47" i="46"/>
  <c r="T350" i="46"/>
  <c r="T383" i="46"/>
  <c r="AI47" i="46" l="1"/>
  <c r="AL47" i="46"/>
  <c r="W350" i="46"/>
  <c r="X350" i="46"/>
  <c r="Y350" i="46"/>
  <c r="Q351" i="46"/>
  <c r="M351" i="46"/>
  <c r="M384" i="46"/>
  <c r="Q384" i="46"/>
  <c r="U351" i="46" l="1"/>
  <c r="AD48" i="46"/>
  <c r="Z350" i="46"/>
  <c r="AE47" i="46" s="1"/>
  <c r="AH47" i="46"/>
  <c r="AK47" i="46" s="1"/>
  <c r="P351" i="46"/>
  <c r="S351" i="46"/>
  <c r="P384" i="46"/>
  <c r="R384" i="46" s="1"/>
  <c r="S384" i="46"/>
  <c r="U384" i="46"/>
  <c r="T351" i="46" l="1"/>
  <c r="R351" i="46"/>
  <c r="T384" i="46"/>
  <c r="Q385" i="46" s="1"/>
  <c r="M385" i="46"/>
  <c r="W351" i="46" l="1"/>
  <c r="X351" i="46"/>
  <c r="Y351" i="46"/>
  <c r="M352" i="46"/>
  <c r="Q352" i="46"/>
  <c r="P385" i="46"/>
  <c r="R385" i="46" s="1"/>
  <c r="S385" i="46"/>
  <c r="U385" i="46"/>
  <c r="U352" i="46" l="1"/>
  <c r="P352" i="46"/>
  <c r="S352" i="46"/>
  <c r="Z351" i="46"/>
  <c r="K37" i="27"/>
  <c r="T385" i="46"/>
  <c r="M386" i="46" s="1"/>
  <c r="R352" i="46" l="1"/>
  <c r="T352" i="46"/>
  <c r="B44" i="28"/>
  <c r="Q386" i="46"/>
  <c r="P386" i="46"/>
  <c r="R386" i="46" s="1"/>
  <c r="S386" i="46"/>
  <c r="U386" i="46"/>
  <c r="Y352" i="46" l="1"/>
  <c r="Q353" i="46"/>
  <c r="W352" i="46"/>
  <c r="M353" i="46"/>
  <c r="U353" i="46" s="1"/>
  <c r="X352" i="46"/>
  <c r="R37" i="28"/>
  <c r="E44" i="28"/>
  <c r="T386" i="46"/>
  <c r="Q387" i="46" s="1"/>
  <c r="Z352" i="46" l="1"/>
  <c r="P353" i="46"/>
  <c r="S353" i="46"/>
  <c r="E43" i="28"/>
  <c r="M387" i="46"/>
  <c r="U387" i="46" s="1"/>
  <c r="P387" i="46"/>
  <c r="R387" i="46" s="1"/>
  <c r="S387" i="46"/>
  <c r="T353" i="46" l="1"/>
  <c r="R353" i="46"/>
  <c r="T387" i="46"/>
  <c r="Y353" i="46" l="1"/>
  <c r="W353" i="46"/>
  <c r="M354" i="46"/>
  <c r="U354" i="46" s="1"/>
  <c r="X353" i="46"/>
  <c r="Q354" i="46"/>
  <c r="M388" i="46"/>
  <c r="Q388" i="46"/>
  <c r="Z353" i="46" l="1"/>
  <c r="P354" i="46"/>
  <c r="S354" i="46"/>
  <c r="U388" i="46"/>
  <c r="P388" i="46"/>
  <c r="R388" i="46" s="1"/>
  <c r="S388" i="46"/>
  <c r="T354" i="46" l="1"/>
  <c r="R354" i="46"/>
  <c r="T388" i="46"/>
  <c r="X354" i="46" l="1"/>
  <c r="M355" i="46"/>
  <c r="W354" i="46"/>
  <c r="Y354" i="46"/>
  <c r="Q355" i="46"/>
  <c r="M389" i="46"/>
  <c r="Q389" i="46"/>
  <c r="Z354" i="46" l="1"/>
  <c r="U355" i="46"/>
  <c r="P355" i="46"/>
  <c r="R355" i="46" s="1"/>
  <c r="S355" i="46"/>
  <c r="P389" i="46"/>
  <c r="R389" i="46" s="1"/>
  <c r="S389" i="46"/>
  <c r="U389" i="46"/>
  <c r="T355" i="46" l="1"/>
  <c r="Q356" i="46" s="1"/>
  <c r="T389" i="46"/>
  <c r="Q390" i="46" s="1"/>
  <c r="M390" i="46"/>
  <c r="W355" i="46" l="1"/>
  <c r="Y355" i="46"/>
  <c r="X355" i="46"/>
  <c r="M356" i="46"/>
  <c r="U356" i="46" s="1"/>
  <c r="P356" i="46"/>
  <c r="R356" i="46" s="1"/>
  <c r="S356" i="46"/>
  <c r="U390" i="46"/>
  <c r="P390" i="46"/>
  <c r="R390" i="46" s="1"/>
  <c r="S390" i="46"/>
  <c r="Z355" i="46" l="1"/>
  <c r="T356" i="46"/>
  <c r="T390" i="46"/>
  <c r="M357" i="46" l="1"/>
  <c r="Q357" i="46"/>
  <c r="Y356" i="46"/>
  <c r="X356" i="46"/>
  <c r="W356" i="46"/>
  <c r="Q391" i="46"/>
  <c r="M391" i="46"/>
  <c r="Z356" i="46" l="1"/>
  <c r="P357" i="46"/>
  <c r="R357" i="46" s="1"/>
  <c r="S357" i="46"/>
  <c r="U357" i="46"/>
  <c r="U391" i="46"/>
  <c r="P391" i="46"/>
  <c r="R391" i="46" s="1"/>
  <c r="S391" i="46"/>
  <c r="T357" i="46" l="1"/>
  <c r="X357" i="46" s="1"/>
  <c r="T391" i="46"/>
  <c r="W357" i="46" l="1"/>
  <c r="Y357" i="46"/>
  <c r="M358" i="46"/>
  <c r="U358" i="46" s="1"/>
  <c r="Q358" i="46"/>
  <c r="P358" i="46" s="1"/>
  <c r="R358" i="46" s="1"/>
  <c r="M392" i="46"/>
  <c r="Q392" i="46"/>
  <c r="Z357" i="46" l="1"/>
  <c r="S358" i="46"/>
  <c r="T358" i="46"/>
  <c r="X358" i="46" s="1"/>
  <c r="P392" i="46"/>
  <c r="R392" i="46" s="1"/>
  <c r="S392" i="46"/>
  <c r="U392" i="46"/>
  <c r="W358" i="46" l="1"/>
  <c r="Q359" i="46"/>
  <c r="P359" i="46" s="1"/>
  <c r="R359" i="46" s="1"/>
  <c r="Y358" i="46"/>
  <c r="M359" i="46"/>
  <c r="U359" i="46" s="1"/>
  <c r="S359" i="46"/>
  <c r="T392" i="46"/>
  <c r="Q393" i="46" s="1"/>
  <c r="M393" i="46"/>
  <c r="Z358" i="46" l="1"/>
  <c r="T359" i="46"/>
  <c r="Y359" i="46" s="1"/>
  <c r="P393" i="46"/>
  <c r="R393" i="46" s="1"/>
  <c r="S393" i="46"/>
  <c r="U393" i="46"/>
  <c r="X359" i="46" l="1"/>
  <c r="Q360" i="46"/>
  <c r="S360" i="46" s="1"/>
  <c r="W359" i="46"/>
  <c r="M360" i="46"/>
  <c r="U360" i="46" s="1"/>
  <c r="P360" i="46"/>
  <c r="R360" i="46" s="1"/>
  <c r="T393" i="46"/>
  <c r="M394" i="46" s="1"/>
  <c r="Z359" i="46" l="1"/>
  <c r="T360" i="46"/>
  <c r="M361" i="46" s="1"/>
  <c r="Q394" i="46"/>
  <c r="P394" i="46" s="1"/>
  <c r="R394" i="46" s="1"/>
  <c r="U394" i="46"/>
  <c r="S394" i="46"/>
  <c r="X360" i="46" l="1"/>
  <c r="Y360" i="46"/>
  <c r="W360" i="46"/>
  <c r="Q361" i="46"/>
  <c r="P361" i="46" s="1"/>
  <c r="R361" i="46" s="1"/>
  <c r="U361" i="46"/>
  <c r="T394" i="46"/>
  <c r="Z360" i="46" l="1"/>
  <c r="S361" i="46"/>
  <c r="T361" i="46"/>
  <c r="M362" i="46" s="1"/>
  <c r="X361" i="46"/>
  <c r="W361" i="46"/>
  <c r="Q395" i="46"/>
  <c r="M395" i="46"/>
  <c r="Q362" i="46" l="1"/>
  <c r="P362" i="46" s="1"/>
  <c r="T362" i="46" s="1"/>
  <c r="Y361" i="46"/>
  <c r="Z361" i="46" s="1"/>
  <c r="S362" i="46"/>
  <c r="U362" i="46"/>
  <c r="U395" i="46"/>
  <c r="P395" i="46"/>
  <c r="R395" i="46" s="1"/>
  <c r="S395" i="46"/>
  <c r="Q363" i="46" l="1"/>
  <c r="M363" i="46"/>
  <c r="W362" i="46"/>
  <c r="X362" i="46"/>
  <c r="Y362" i="46"/>
  <c r="R362" i="46"/>
  <c r="T395" i="46"/>
  <c r="Z362" i="46" l="1"/>
  <c r="U363" i="46"/>
  <c r="AD49" i="46"/>
  <c r="P363" i="46"/>
  <c r="S363" i="46"/>
  <c r="M396" i="46"/>
  <c r="Q396" i="46"/>
  <c r="T363" i="46" l="1"/>
  <c r="R363" i="46"/>
  <c r="P396" i="46"/>
  <c r="R396" i="46" s="1"/>
  <c r="S396" i="46"/>
  <c r="U396" i="46"/>
  <c r="W363" i="46" l="1"/>
  <c r="M364" i="46"/>
  <c r="Y363" i="46"/>
  <c r="X363" i="46"/>
  <c r="Q364" i="46"/>
  <c r="T396" i="46"/>
  <c r="M397" i="46" s="1"/>
  <c r="U364" i="46" l="1"/>
  <c r="P364" i="46"/>
  <c r="T364" i="46" s="1"/>
  <c r="S364" i="46"/>
  <c r="Z363" i="46"/>
  <c r="Q397" i="46"/>
  <c r="P397" i="46" s="1"/>
  <c r="R397" i="46" s="1"/>
  <c r="S397" i="46"/>
  <c r="U397" i="46"/>
  <c r="R364" i="46" l="1"/>
  <c r="X364" i="46"/>
  <c r="Q365" i="46"/>
  <c r="Y364" i="46"/>
  <c r="M365" i="46"/>
  <c r="W364" i="46"/>
  <c r="T397" i="46"/>
  <c r="M398" i="46" s="1"/>
  <c r="P365" i="46" l="1"/>
  <c r="T365" i="46" s="1"/>
  <c r="S365" i="46"/>
  <c r="Z364" i="46"/>
  <c r="U365" i="46"/>
  <c r="Q398" i="46"/>
  <c r="U398" i="46"/>
  <c r="P398" i="46"/>
  <c r="R398" i="46" s="1"/>
  <c r="S398" i="46"/>
  <c r="W365" i="46" l="1"/>
  <c r="M366" i="46"/>
  <c r="U366" i="46" s="1"/>
  <c r="Y365" i="46"/>
  <c r="X365" i="46"/>
  <c r="Q366" i="46"/>
  <c r="R365" i="46"/>
  <c r="T398" i="46"/>
  <c r="Q399" i="46" s="1"/>
  <c r="P366" i="46" l="1"/>
  <c r="S366" i="46"/>
  <c r="Z365" i="46"/>
  <c r="M399" i="46"/>
  <c r="U399" i="46" s="1"/>
  <c r="P399" i="46"/>
  <c r="R399" i="46" s="1"/>
  <c r="S399" i="46"/>
  <c r="T366" i="46" l="1"/>
  <c r="R366" i="46"/>
  <c r="T399" i="46"/>
  <c r="M400" i="46" s="1"/>
  <c r="Q367" i="46" l="1"/>
  <c r="M367" i="46"/>
  <c r="U367" i="46" s="1"/>
  <c r="X366" i="46"/>
  <c r="Y366" i="46"/>
  <c r="W366" i="46"/>
  <c r="Q400" i="46"/>
  <c r="P400" i="46" s="1"/>
  <c r="R400" i="46" s="1"/>
  <c r="S400" i="46"/>
  <c r="U400" i="46"/>
  <c r="Z366" i="46" l="1"/>
  <c r="P367" i="46"/>
  <c r="S367" i="46"/>
  <c r="T400" i="46"/>
  <c r="M401" i="46" s="1"/>
  <c r="T367" i="46" l="1"/>
  <c r="R367" i="46"/>
  <c r="Q401" i="46"/>
  <c r="U401" i="46"/>
  <c r="P401" i="46"/>
  <c r="R401" i="46" s="1"/>
  <c r="S401" i="46"/>
  <c r="Y367" i="46" l="1"/>
  <c r="W367" i="46"/>
  <c r="M368" i="46"/>
  <c r="X367" i="46"/>
  <c r="Q368" i="46"/>
  <c r="T401" i="46"/>
  <c r="M402" i="46" s="1"/>
  <c r="U368" i="46" l="1"/>
  <c r="Z367" i="46"/>
  <c r="P368" i="46"/>
  <c r="R368" i="46" s="1"/>
  <c r="S368" i="46"/>
  <c r="Q402" i="46"/>
  <c r="P402" i="46" s="1"/>
  <c r="R402" i="46" s="1"/>
  <c r="U402" i="46"/>
  <c r="T368" i="46" l="1"/>
  <c r="M369" i="46" s="1"/>
  <c r="X368" i="46"/>
  <c r="S402" i="46"/>
  <c r="T402" i="46"/>
  <c r="Q369" i="46" l="1"/>
  <c r="P369" i="46" s="1"/>
  <c r="R369" i="46" s="1"/>
  <c r="W368" i="46"/>
  <c r="Y368" i="46"/>
  <c r="S369" i="46"/>
  <c r="U369" i="46"/>
  <c r="Q403" i="46"/>
  <c r="M403" i="46"/>
  <c r="Z368" i="46" l="1"/>
  <c r="T369" i="46"/>
  <c r="Q370" i="46" s="1"/>
  <c r="W369" i="46"/>
  <c r="Y369" i="46"/>
  <c r="X369" i="46"/>
  <c r="M370" i="46"/>
  <c r="P403" i="46"/>
  <c r="R403" i="46" s="1"/>
  <c r="S403" i="46"/>
  <c r="U403" i="46"/>
  <c r="Z369" i="46" l="1"/>
  <c r="U370" i="46"/>
  <c r="P370" i="46"/>
  <c r="R370" i="46" s="1"/>
  <c r="S370" i="46"/>
  <c r="T403" i="46"/>
  <c r="M404" i="46" s="1"/>
  <c r="T370" i="46" l="1"/>
  <c r="Q404" i="46"/>
  <c r="P404" i="46"/>
  <c r="R404" i="46" s="1"/>
  <c r="S404" i="46"/>
  <c r="U404" i="46"/>
  <c r="Y370" i="46" l="1"/>
  <c r="W370" i="46"/>
  <c r="X370" i="46"/>
  <c r="Q371" i="46"/>
  <c r="M371" i="46"/>
  <c r="T404" i="46"/>
  <c r="Z370" i="46" l="1"/>
  <c r="P371" i="46"/>
  <c r="R371" i="46" s="1"/>
  <c r="S371" i="46"/>
  <c r="U371" i="46"/>
  <c r="M405" i="46"/>
  <c r="Q405" i="46"/>
  <c r="T371" i="46" l="1"/>
  <c r="M372" i="46" s="1"/>
  <c r="W371" i="46"/>
  <c r="U405" i="46"/>
  <c r="P405" i="46"/>
  <c r="R405" i="46" s="1"/>
  <c r="S405" i="46"/>
  <c r="X371" i="46" l="1"/>
  <c r="Y371" i="46"/>
  <c r="Q372" i="46"/>
  <c r="P372" i="46" s="1"/>
  <c r="R372" i="46" s="1"/>
  <c r="S372" i="46"/>
  <c r="U372" i="46"/>
  <c r="T405" i="46"/>
  <c r="Z371" i="46" l="1"/>
  <c r="T372" i="46"/>
  <c r="M373" i="46" s="1"/>
  <c r="W372" i="46"/>
  <c r="M406" i="46"/>
  <c r="Q406" i="46"/>
  <c r="X372" i="46" l="1"/>
  <c r="Y372" i="46"/>
  <c r="Q373" i="46"/>
  <c r="P373" i="46" s="1"/>
  <c r="R373" i="46" s="1"/>
  <c r="U373" i="46"/>
  <c r="P406" i="46"/>
  <c r="R406" i="46" s="1"/>
  <c r="S406" i="46"/>
  <c r="U406" i="46"/>
  <c r="Z372" i="46" l="1"/>
  <c r="S373" i="46"/>
  <c r="T373" i="46"/>
  <c r="Y373" i="46" s="1"/>
  <c r="T406" i="46"/>
  <c r="Q407" i="46" s="1"/>
  <c r="W373" i="46" l="1"/>
  <c r="Q374" i="46"/>
  <c r="P374" i="46" s="1"/>
  <c r="R374" i="46" s="1"/>
  <c r="M374" i="46"/>
  <c r="U374" i="46" s="1"/>
  <c r="X373" i="46"/>
  <c r="S374" i="46"/>
  <c r="M407" i="46"/>
  <c r="U407" i="46" s="1"/>
  <c r="P407" i="46"/>
  <c r="R407" i="46" s="1"/>
  <c r="S407" i="46"/>
  <c r="Z373" i="46" l="1"/>
  <c r="T374" i="46"/>
  <c r="M375" i="46" s="1"/>
  <c r="T407" i="46"/>
  <c r="Y374" i="46" l="1"/>
  <c r="X374" i="46"/>
  <c r="W374" i="46"/>
  <c r="Q375" i="46"/>
  <c r="P375" i="46" s="1"/>
  <c r="R375" i="46" s="1"/>
  <c r="S375" i="46"/>
  <c r="U375" i="46"/>
  <c r="M408" i="46"/>
  <c r="Q408" i="46"/>
  <c r="Z374" i="46" l="1"/>
  <c r="T375" i="46"/>
  <c r="P408" i="46"/>
  <c r="R408" i="46" s="1"/>
  <c r="S408" i="46"/>
  <c r="U408" i="46"/>
  <c r="X375" i="46" l="1"/>
  <c r="W375" i="46"/>
  <c r="Y375" i="46"/>
  <c r="M376" i="46"/>
  <c r="Q376" i="46"/>
  <c r="T408" i="46"/>
  <c r="M409" i="46" s="1"/>
  <c r="Z375" i="46" l="1"/>
  <c r="U376" i="46"/>
  <c r="P376" i="46"/>
  <c r="R376" i="46" s="1"/>
  <c r="S376" i="46"/>
  <c r="Q409" i="46"/>
  <c r="P409" i="46" s="1"/>
  <c r="R409" i="46" s="1"/>
  <c r="S409" i="46"/>
  <c r="U409" i="46"/>
  <c r="T376" i="46" l="1"/>
  <c r="T409" i="46"/>
  <c r="Q410" i="46" s="1"/>
  <c r="M410" i="46"/>
  <c r="Y376" i="46" l="1"/>
  <c r="W376" i="46"/>
  <c r="X376" i="46"/>
  <c r="M377" i="46"/>
  <c r="Q377" i="46"/>
  <c r="AG48" i="46"/>
  <c r="AG49" i="46"/>
  <c r="P410" i="46"/>
  <c r="R410" i="46" s="1"/>
  <c r="S410" i="46"/>
  <c r="U410" i="46"/>
  <c r="Z376" i="46" l="1"/>
  <c r="U377" i="46"/>
  <c r="P377" i="46"/>
  <c r="R377" i="46" s="1"/>
  <c r="S377" i="46"/>
  <c r="AF48" i="46"/>
  <c r="AF49" i="46"/>
  <c r="AL49" i="46" s="1"/>
  <c r="AJ48" i="46"/>
  <c r="AJ49" i="46"/>
  <c r="T410" i="46"/>
  <c r="Q411" i="46" s="1"/>
  <c r="M411" i="46"/>
  <c r="T377" i="46" l="1"/>
  <c r="X377" i="46" s="1"/>
  <c r="AL48" i="46"/>
  <c r="AI48" i="46"/>
  <c r="AI49" i="46"/>
  <c r="U411" i="46"/>
  <c r="P411" i="46"/>
  <c r="R411" i="46" s="1"/>
  <c r="S411" i="46"/>
  <c r="W377" i="46" l="1"/>
  <c r="Q378" i="46"/>
  <c r="P378" i="46" s="1"/>
  <c r="M378" i="46"/>
  <c r="U378" i="46" s="1"/>
  <c r="Y377" i="46"/>
  <c r="S378" i="46"/>
  <c r="AH48" i="46"/>
  <c r="AH49" i="46"/>
  <c r="T411" i="46"/>
  <c r="Z377" i="46" l="1"/>
  <c r="T378" i="46"/>
  <c r="Q379" i="46" s="1"/>
  <c r="R378" i="46"/>
  <c r="X378" i="46"/>
  <c r="AK49" i="46"/>
  <c r="AK48" i="46"/>
  <c r="AE48" i="46"/>
  <c r="AE49" i="46"/>
  <c r="M412" i="46"/>
  <c r="Q412" i="46"/>
  <c r="Y378" i="46" l="1"/>
  <c r="W378" i="46"/>
  <c r="M379" i="46"/>
  <c r="U379" i="46" s="1"/>
  <c r="P379" i="46"/>
  <c r="R379" i="46" s="1"/>
  <c r="S379" i="46"/>
  <c r="P412" i="46"/>
  <c r="R412" i="46" s="1"/>
  <c r="S412" i="46"/>
  <c r="U412" i="46"/>
  <c r="Z378" i="46" l="1"/>
  <c r="T379" i="46"/>
  <c r="X379" i="46"/>
  <c r="Z9" i="46" s="1"/>
  <c r="W379" i="46"/>
  <c r="Y379" i="46"/>
  <c r="Z10" i="46" s="1"/>
  <c r="Q380" i="46"/>
  <c r="T412" i="46"/>
  <c r="Q413" i="46" s="1"/>
  <c r="M413" i="46"/>
  <c r="Z379" i="46" l="1"/>
  <c r="Z12" i="46" s="1"/>
  <c r="Z8" i="46"/>
  <c r="Z11" i="46"/>
  <c r="P413" i="46"/>
  <c r="R413" i="46" s="1"/>
  <c r="S413" i="46"/>
  <c r="U413" i="46"/>
  <c r="T413" i="46" l="1"/>
  <c r="M414" i="46" s="1"/>
  <c r="Q414" i="46" l="1"/>
  <c r="P414" i="46" s="1"/>
  <c r="R414" i="46" s="1"/>
  <c r="S414" i="46"/>
  <c r="U414" i="46"/>
  <c r="T414" i="46" l="1"/>
  <c r="Q415" i="46" s="1"/>
  <c r="M415" i="46" l="1"/>
  <c r="U415" i="46" s="1"/>
  <c r="P415" i="46"/>
  <c r="R415" i="46" s="1"/>
  <c r="S415" i="46"/>
  <c r="T415" i="46" l="1"/>
  <c r="M416" i="46" l="1"/>
  <c r="Q416" i="46"/>
  <c r="P416" i="46" l="1"/>
  <c r="R416" i="46" s="1"/>
  <c r="S416" i="46"/>
  <c r="U416" i="46"/>
  <c r="T416" i="46" l="1"/>
  <c r="M417" i="46" s="1"/>
  <c r="Q417" i="46" l="1"/>
  <c r="P417" i="46" s="1"/>
  <c r="R417" i="46" s="1"/>
  <c r="S417" i="46"/>
  <c r="U417" i="46"/>
  <c r="T417" i="46" l="1"/>
  <c r="M418" i="46" s="1"/>
  <c r="Q418" i="46" l="1"/>
  <c r="P418" i="46" s="1"/>
  <c r="R418" i="46" s="1"/>
  <c r="S418" i="46"/>
  <c r="U418" i="46"/>
  <c r="T418" i="46" l="1"/>
  <c r="Q419" i="46" s="1"/>
  <c r="M419" i="46" l="1"/>
  <c r="U419" i="46" s="1"/>
  <c r="P419" i="46"/>
  <c r="R419" i="46" s="1"/>
  <c r="S419" i="46"/>
  <c r="T419" i="46" l="1"/>
  <c r="M420" i="46" l="1"/>
  <c r="Q420" i="46"/>
  <c r="P420" i="46" l="1"/>
  <c r="R420" i="46" s="1"/>
  <c r="S420" i="46"/>
  <c r="U420" i="46"/>
  <c r="T420" i="46" l="1"/>
  <c r="M421" i="46" l="1"/>
  <c r="Q421" i="46"/>
  <c r="P421" i="46" l="1"/>
  <c r="R421" i="46" s="1"/>
  <c r="S421" i="46"/>
  <c r="U421" i="46"/>
  <c r="T421" i="46" l="1"/>
  <c r="M422" i="46" s="1"/>
  <c r="Q422" i="46" l="1"/>
  <c r="P422" i="46" s="1"/>
  <c r="R422" i="46" s="1"/>
  <c r="S422" i="46"/>
  <c r="U422" i="46"/>
  <c r="T422" i="46" l="1"/>
  <c r="Q423" i="46" s="1"/>
  <c r="M423" i="46" l="1"/>
  <c r="U423" i="46" s="1"/>
  <c r="P423" i="46"/>
  <c r="R423" i="46" s="1"/>
  <c r="S423" i="46"/>
  <c r="T423" i="46" l="1"/>
  <c r="M424" i="46" l="1"/>
  <c r="Q424" i="46"/>
  <c r="P424" i="46" l="1"/>
  <c r="R424" i="46" s="1"/>
  <c r="S424" i="46"/>
  <c r="U424" i="46"/>
  <c r="T424" i="46" l="1"/>
  <c r="M425" i="46" s="1"/>
  <c r="Q425" i="46" l="1"/>
  <c r="P425" i="46" s="1"/>
  <c r="R425" i="46" s="1"/>
  <c r="S425" i="46"/>
  <c r="U425" i="46"/>
  <c r="T425" i="46" l="1"/>
  <c r="M426" i="46" l="1"/>
  <c r="Q426" i="46"/>
  <c r="P426" i="46" l="1"/>
  <c r="R426" i="46" s="1"/>
  <c r="S426" i="46"/>
  <c r="U426" i="46"/>
  <c r="T426" i="46" l="1"/>
  <c r="M427" i="46" l="1"/>
  <c r="Q427" i="46"/>
  <c r="P427" i="46" l="1"/>
  <c r="R427" i="46" s="1"/>
  <c r="S427" i="46"/>
  <c r="U427" i="46"/>
  <c r="T427" i="46" l="1"/>
  <c r="Q428" i="46" s="1"/>
  <c r="M428" i="46"/>
  <c r="U428" i="46" l="1"/>
  <c r="P428" i="46"/>
  <c r="R428" i="46" s="1"/>
  <c r="S428" i="46"/>
  <c r="T428" i="46" l="1"/>
  <c r="M429" i="46" l="1"/>
  <c r="Q429" i="46"/>
  <c r="P429" i="46" l="1"/>
  <c r="R429" i="46" s="1"/>
  <c r="S429" i="46"/>
  <c r="U429" i="46"/>
  <c r="T429" i="46" l="1"/>
  <c r="M430" i="46" s="1"/>
  <c r="Q430" i="46" l="1"/>
  <c r="P430" i="46" s="1"/>
  <c r="R430" i="46" s="1"/>
  <c r="S430" i="46"/>
  <c r="U430" i="46"/>
  <c r="T430" i="46" l="1"/>
  <c r="M431" i="46" s="1"/>
  <c r="Q431" i="46" l="1"/>
  <c r="P431" i="46" s="1"/>
  <c r="R431" i="46" s="1"/>
  <c r="S431" i="46"/>
  <c r="U431" i="46"/>
  <c r="T431" i="46" l="1"/>
  <c r="Q432" i="46" s="1"/>
  <c r="M432" i="46"/>
  <c r="U432" i="46" l="1"/>
  <c r="P432" i="46"/>
  <c r="R432" i="46" s="1"/>
  <c r="S432" i="46"/>
  <c r="T432" i="46" l="1"/>
  <c r="M433" i="46" l="1"/>
  <c r="Q433" i="46"/>
  <c r="P433" i="46" l="1"/>
  <c r="R433" i="46" s="1"/>
  <c r="S433" i="46"/>
  <c r="U433" i="46"/>
  <c r="T433" i="46" l="1"/>
  <c r="M434" i="46" s="1"/>
  <c r="Q434" i="46" l="1"/>
  <c r="P434" i="46" s="1"/>
  <c r="R434" i="46" s="1"/>
  <c r="S434" i="46"/>
  <c r="U434" i="46"/>
  <c r="T434" i="46" l="1"/>
  <c r="M435" i="46" s="1"/>
  <c r="Q435" i="46" l="1"/>
  <c r="P435" i="46" s="1"/>
  <c r="R435" i="46" s="1"/>
  <c r="S435" i="46"/>
  <c r="U435" i="46"/>
  <c r="T435" i="46" l="1"/>
  <c r="Q436" i="46" s="1"/>
  <c r="M436" i="46"/>
  <c r="U436" i="46" l="1"/>
  <c r="P436" i="46"/>
  <c r="R436" i="46" s="1"/>
  <c r="S436" i="46"/>
  <c r="T436" i="46" l="1"/>
  <c r="M437" i="46" l="1"/>
  <c r="Q437" i="46"/>
  <c r="P437" i="46" l="1"/>
  <c r="R437" i="46" s="1"/>
  <c r="S437" i="46"/>
  <c r="U437" i="46"/>
  <c r="T437" i="46" l="1"/>
  <c r="M438" i="46" s="1"/>
  <c r="Q438" i="46" l="1"/>
  <c r="P438" i="46" s="1"/>
  <c r="R438" i="46" s="1"/>
  <c r="S438" i="46"/>
  <c r="U438" i="46"/>
  <c r="T438" i="46" l="1"/>
  <c r="M439" i="46" s="1"/>
  <c r="Q439" i="46" l="1"/>
  <c r="P439" i="46" s="1"/>
  <c r="R439" i="46" s="1"/>
  <c r="S11" i="46" s="1"/>
  <c r="S439" i="46"/>
  <c r="S12" i="46" s="1"/>
  <c r="U439" i="46"/>
  <c r="T439" i="46" l="1"/>
  <c r="Q440" i="46" s="1"/>
  <c r="S10" i="46"/>
  <c r="I68" i="57" l="1"/>
  <c r="I71" i="57" s="1"/>
  <c r="I75" i="57" s="1"/>
  <c r="G37" i="27"/>
  <c r="H12" i="55"/>
  <c r="H13" i="55"/>
  <c r="H172" i="24" l="1"/>
  <c r="I75" i="25"/>
  <c r="H75" i="25"/>
  <c r="G109" i="25"/>
  <c r="D25" i="26" s="1"/>
  <c r="I25" i="55" l="1"/>
  <c r="H230" i="24"/>
  <c r="I172" i="24"/>
  <c r="H25" i="55" l="1"/>
  <c r="I230" i="24"/>
  <c r="J172" i="24"/>
  <c r="J230" i="24" s="1"/>
  <c r="K172" i="24" l="1"/>
  <c r="J67" i="57" l="1"/>
  <c r="K230" i="24"/>
  <c r="L172" i="24"/>
  <c r="L230" i="24" l="1"/>
  <c r="M172" i="24"/>
  <c r="M230" i="24" l="1"/>
  <c r="N172" i="24"/>
  <c r="N230" i="24" l="1"/>
  <c r="O172" i="24"/>
  <c r="O230" i="24" l="1"/>
  <c r="P172" i="24"/>
  <c r="P230" i="24" l="1"/>
  <c r="Q172" i="24"/>
  <c r="G33" i="27"/>
  <c r="G34" i="27" l="1"/>
  <c r="Q230" i="24"/>
  <c r="R172" i="24"/>
  <c r="G35" i="27" l="1"/>
  <c r="R230" i="24"/>
  <c r="S172" i="24"/>
  <c r="J33" i="27" l="1"/>
  <c r="F29" i="59" s="1"/>
  <c r="G36" i="27"/>
  <c r="S230" i="24"/>
  <c r="T172" i="24"/>
  <c r="N37" i="28" l="1"/>
  <c r="K33" i="27"/>
  <c r="J34" i="27"/>
  <c r="F30" i="59" s="1"/>
  <c r="T230" i="24"/>
  <c r="U172" i="24"/>
  <c r="K34" i="27" l="1"/>
  <c r="O37" i="28"/>
  <c r="U230" i="24"/>
  <c r="V172" i="24"/>
  <c r="J35" i="27"/>
  <c r="E38" i="28" l="1"/>
  <c r="F31" i="59"/>
  <c r="J36" i="27"/>
  <c r="P37" i="28"/>
  <c r="K35" i="27"/>
  <c r="W172" i="24"/>
  <c r="E42" i="28"/>
  <c r="K36" i="27"/>
  <c r="E41" i="28" l="1"/>
  <c r="F32" i="59"/>
  <c r="Q37" i="28"/>
  <c r="E39" i="28"/>
  <c r="E40" i="28"/>
  <c r="X172" i="24"/>
  <c r="B43" i="28"/>
  <c r="Y172" i="24" l="1"/>
  <c r="Z172" i="24" l="1"/>
  <c r="AA172" i="24" l="1"/>
  <c r="AB172" i="24" l="1"/>
  <c r="AC172" i="24" l="1"/>
  <c r="AD172" i="24" l="1"/>
  <c r="AE172" i="24" l="1"/>
  <c r="AF172" i="24" s="1"/>
  <c r="AG172" i="24" l="1"/>
  <c r="F172" i="24" l="1"/>
  <c r="H17" i="14"/>
  <c r="G17" i="14" s="1"/>
  <c r="G18" i="14"/>
  <c r="H18" i="14"/>
  <c r="H19" i="14"/>
  <c r="H20" i="14"/>
  <c r="G20" i="14" s="1"/>
  <c r="H21" i="14"/>
  <c r="G21" i="14" s="1"/>
  <c r="EW41" i="24"/>
  <c r="EX41" i="24"/>
  <c r="EY41" i="24"/>
  <c r="EZ41" i="24"/>
  <c r="FA41" i="24"/>
  <c r="FB41" i="24"/>
  <c r="FC41" i="24"/>
  <c r="FD41" i="24"/>
  <c r="FE41" i="24"/>
  <c r="FF41" i="24"/>
  <c r="FG41" i="24"/>
  <c r="FH41" i="24"/>
  <c r="FI41" i="24"/>
  <c r="FJ41" i="24"/>
  <c r="FK41" i="24"/>
  <c r="FL41" i="24"/>
  <c r="FM41" i="24"/>
  <c r="FN41" i="24"/>
  <c r="FO41" i="24"/>
  <c r="FP41" i="24"/>
  <c r="FQ41" i="24"/>
  <c r="FR41" i="24"/>
  <c r="FS41" i="24"/>
  <c r="FT41" i="24"/>
  <c r="AE68" i="24"/>
  <c r="G35" i="22"/>
  <c r="EX95" i="24"/>
  <c r="EY95" i="24"/>
  <c r="EZ95" i="24"/>
  <c r="FC95" i="24"/>
  <c r="FD95" i="24"/>
  <c r="FF95" i="24"/>
  <c r="FG95" i="24"/>
  <c r="AF68" i="24"/>
  <c r="AG68" i="24"/>
  <c r="AH68" i="24"/>
  <c r="AI68" i="24"/>
  <c r="AJ68" i="24"/>
  <c r="AK68" i="24"/>
  <c r="AL68" i="24"/>
  <c r="S74" i="57"/>
  <c r="S75" i="57" s="1"/>
  <c r="Q74" i="57"/>
  <c r="Q75" i="57" s="1"/>
  <c r="P74" i="57"/>
  <c r="P75" i="57" s="1"/>
  <c r="I19" i="28"/>
  <c r="H19" i="28"/>
  <c r="L19" i="28"/>
  <c r="P19" i="28"/>
  <c r="O19" i="28"/>
  <c r="Q19" i="28"/>
  <c r="N19" i="28"/>
  <c r="K19" i="28"/>
  <c r="EW65" i="24"/>
  <c r="EW76" i="24" s="1"/>
  <c r="EW106" i="24" s="1"/>
  <c r="EW118" i="24" s="1"/>
  <c r="EX65" i="24"/>
  <c r="EX76" i="24"/>
  <c r="EX100" i="24"/>
  <c r="EX103" i="24" s="1"/>
  <c r="EX106" i="24" s="1"/>
  <c r="EX118" i="24" s="1"/>
  <c r="EY65" i="24"/>
  <c r="EY76" i="24" s="1"/>
  <c r="EY100" i="24"/>
  <c r="EY103" i="24" s="1"/>
  <c r="EZ65" i="24"/>
  <c r="EZ76" i="24"/>
  <c r="EZ100" i="24"/>
  <c r="EZ103" i="24" s="1"/>
  <c r="FA65" i="24"/>
  <c r="FA76" i="24" s="1"/>
  <c r="FA106" i="24" s="1"/>
  <c r="FA118" i="24" s="1"/>
  <c r="FB65" i="24"/>
  <c r="FB76" i="24" s="1"/>
  <c r="FB106" i="24" s="1"/>
  <c r="FB118" i="24" s="1"/>
  <c r="FC65" i="24"/>
  <c r="FC76" i="24" s="1"/>
  <c r="FC100" i="24"/>
  <c r="FC103" i="24" s="1"/>
  <c r="FD65" i="24"/>
  <c r="FD76" i="24"/>
  <c r="FD100" i="24"/>
  <c r="FD103" i="24" s="1"/>
  <c r="FE65" i="24"/>
  <c r="FE76" i="24" s="1"/>
  <c r="FE106" i="24" s="1"/>
  <c r="FE118" i="24" s="1"/>
  <c r="FF65" i="24"/>
  <c r="FF76" i="24" s="1"/>
  <c r="FF100" i="24"/>
  <c r="FF103" i="24" s="1"/>
  <c r="FG65" i="24"/>
  <c r="FG76" i="24" s="1"/>
  <c r="FG100" i="24"/>
  <c r="FG103" i="24" s="1"/>
  <c r="FH65" i="24"/>
  <c r="FH76" i="24"/>
  <c r="FH106" i="24" s="1"/>
  <c r="FH118" i="24" s="1"/>
  <c r="FI65" i="24"/>
  <c r="FI76" i="24" s="1"/>
  <c r="FI106" i="24" s="1"/>
  <c r="FI118" i="24" s="1"/>
  <c r="FJ65" i="24"/>
  <c r="FJ76" i="24" s="1"/>
  <c r="FJ106" i="24" s="1"/>
  <c r="FJ118" i="24" s="1"/>
  <c r="FK65" i="24"/>
  <c r="FK76" i="24" s="1"/>
  <c r="FK106" i="24" s="1"/>
  <c r="FK118" i="24" s="1"/>
  <c r="FL65" i="24"/>
  <c r="FL76" i="24"/>
  <c r="FL106" i="24" s="1"/>
  <c r="FL118" i="24" s="1"/>
  <c r="FM65" i="24"/>
  <c r="FM76" i="24"/>
  <c r="FM106" i="24"/>
  <c r="FM118" i="24" s="1"/>
  <c r="FM152" i="24" s="1"/>
  <c r="FN65" i="24"/>
  <c r="FN76" i="24"/>
  <c r="FN106" i="24" s="1"/>
  <c r="FN118" i="24" s="1"/>
  <c r="FO65" i="24"/>
  <c r="FO76" i="24" s="1"/>
  <c r="FO106" i="24"/>
  <c r="FO118" i="24" s="1"/>
  <c r="FP65" i="24"/>
  <c r="FP76" i="24"/>
  <c r="FP106" i="24"/>
  <c r="FP118" i="24"/>
  <c r="FP152" i="24" s="1"/>
  <c r="FQ65" i="24"/>
  <c r="FQ76" i="24" s="1"/>
  <c r="FQ106" i="24" s="1"/>
  <c r="FQ118" i="24" s="1"/>
  <c r="FR65" i="24"/>
  <c r="FR76" i="24"/>
  <c r="FR106" i="24" s="1"/>
  <c r="FR118" i="24"/>
  <c r="FS65" i="24"/>
  <c r="FS76" i="24" s="1"/>
  <c r="FS106" i="24" s="1"/>
  <c r="FS118" i="24" s="1"/>
  <c r="FT65" i="24"/>
  <c r="FT76" i="24"/>
  <c r="FT106" i="24" s="1"/>
  <c r="FT118" i="24" s="1"/>
  <c r="H50" i="26"/>
  <c r="H53" i="26" s="1"/>
  <c r="H60" i="26" s="1"/>
  <c r="Q17" i="14"/>
  <c r="R17" i="14" s="1"/>
  <c r="Q18" i="14"/>
  <c r="R18" i="14" s="1"/>
  <c r="Q19" i="14"/>
  <c r="R19" i="14" s="1"/>
  <c r="Q20" i="14"/>
  <c r="Q21" i="14"/>
  <c r="R21" i="14"/>
  <c r="FM159" i="24" l="1"/>
  <c r="FH159" i="24"/>
  <c r="FH152" i="24"/>
  <c r="H54" i="26"/>
  <c r="FG106" i="24"/>
  <c r="FG118" i="24" s="1"/>
  <c r="FG152" i="24" s="1"/>
  <c r="H61" i="26"/>
  <c r="H55" i="26" s="1"/>
  <c r="FD106" i="24"/>
  <c r="FD118" i="24" s="1"/>
  <c r="FD152" i="24" s="1"/>
  <c r="EZ106" i="24"/>
  <c r="EZ118" i="24" s="1"/>
  <c r="FC106" i="24"/>
  <c r="FC118" i="24" s="1"/>
  <c r="EY106" i="24"/>
  <c r="EY118" i="24" s="1"/>
  <c r="EW159" i="24"/>
  <c r="EW152" i="24"/>
  <c r="FJ159" i="24"/>
  <c r="FJ152" i="24"/>
  <c r="FT159" i="24"/>
  <c r="FT152" i="24"/>
  <c r="FI152" i="24"/>
  <c r="FI159" i="24"/>
  <c r="FS159" i="24"/>
  <c r="FS152" i="24"/>
  <c r="FA152" i="24"/>
  <c r="FA159" i="24"/>
  <c r="FR159" i="24"/>
  <c r="FR152" i="24"/>
  <c r="FO159" i="24"/>
  <c r="FO152" i="24"/>
  <c r="FL159" i="24"/>
  <c r="FL152" i="24"/>
  <c r="EX159" i="24"/>
  <c r="EX152" i="24"/>
  <c r="FF106" i="24"/>
  <c r="FF118" i="24" s="1"/>
  <c r="FN152" i="24"/>
  <c r="FN159" i="24"/>
  <c r="FK152" i="24"/>
  <c r="FK159" i="24"/>
  <c r="FB159" i="24"/>
  <c r="FB152" i="24"/>
  <c r="Q42" i="14"/>
  <c r="R20" i="14"/>
  <c r="R42" i="14" s="1"/>
  <c r="FQ152" i="24"/>
  <c r="FQ159" i="24"/>
  <c r="FE159" i="24"/>
  <c r="FE152" i="24"/>
  <c r="FP159" i="24"/>
  <c r="H43" i="14" a="1"/>
  <c r="H43" i="14" s="1"/>
  <c r="C12" i="14" s="1"/>
  <c r="G19" i="14"/>
  <c r="G43" i="14" s="1" a="1"/>
  <c r="G43" i="14" s="1"/>
  <c r="C11" i="14" s="1"/>
  <c r="I11" i="55" s="1"/>
  <c r="FD159" i="24" l="1"/>
  <c r="FG159" i="24"/>
  <c r="FC152" i="24"/>
  <c r="FC159" i="24"/>
  <c r="EZ159" i="24"/>
  <c r="EZ152" i="24"/>
  <c r="EY152" i="24"/>
  <c r="EY159" i="24"/>
  <c r="D23" i="15"/>
  <c r="H11" i="55"/>
  <c r="FF159" i="24"/>
  <c r="FF152" i="24"/>
  <c r="Y38" i="24" l="1"/>
  <c r="AC38" i="24"/>
  <c r="AC41" i="24" s="1"/>
  <c r="AG38" i="24"/>
  <c r="AG41" i="24" s="1"/>
  <c r="AK38" i="24"/>
  <c r="AK41" i="24" s="1"/>
  <c r="AO38" i="24"/>
  <c r="AO41" i="24" s="1"/>
  <c r="AS38" i="24"/>
  <c r="AS41" i="24" s="1"/>
  <c r="AW38" i="24"/>
  <c r="AW41" i="24" s="1"/>
  <c r="BA38" i="24"/>
  <c r="BA41" i="24" s="1"/>
  <c r="BE38" i="24"/>
  <c r="BE41" i="24" s="1"/>
  <c r="BI38" i="24"/>
  <c r="BI41" i="24" s="1"/>
  <c r="BM38" i="24"/>
  <c r="BM41" i="24" s="1"/>
  <c r="BQ38" i="24"/>
  <c r="BQ41" i="24" s="1"/>
  <c r="BU38" i="24"/>
  <c r="BU41" i="24" s="1"/>
  <c r="BY38" i="24"/>
  <c r="BY41" i="24" s="1"/>
  <c r="CC38" i="24"/>
  <c r="CC41" i="24" s="1"/>
  <c r="CG38" i="24"/>
  <c r="CG41" i="24" s="1"/>
  <c r="CK38" i="24"/>
  <c r="CK41" i="24" s="1"/>
  <c r="CO38" i="24"/>
  <c r="CO41" i="24" s="1"/>
  <c r="CS38" i="24"/>
  <c r="CS41" i="24" s="1"/>
  <c r="CW38" i="24"/>
  <c r="CW41" i="24" s="1"/>
  <c r="DA38" i="24"/>
  <c r="DA41" i="24" s="1"/>
  <c r="DE38" i="24"/>
  <c r="DE41" i="24" s="1"/>
  <c r="DI38" i="24"/>
  <c r="DI41" i="24" s="1"/>
  <c r="DM38" i="24"/>
  <c r="DM41" i="24" s="1"/>
  <c r="DQ38" i="24"/>
  <c r="DQ41" i="24" s="1"/>
  <c r="DU38" i="24"/>
  <c r="DU41" i="24" s="1"/>
  <c r="DY38" i="24"/>
  <c r="DY41" i="24" s="1"/>
  <c r="EC38" i="24"/>
  <c r="EC41" i="24" s="1"/>
  <c r="EG38" i="24"/>
  <c r="EG41" i="24" s="1"/>
  <c r="EK38" i="24"/>
  <c r="EK41" i="24" s="1"/>
  <c r="EO38" i="24"/>
  <c r="EO41" i="24" s="1"/>
  <c r="ES38" i="24"/>
  <c r="ES41" i="24" s="1"/>
  <c r="Z38" i="24"/>
  <c r="Z41" i="24" s="1"/>
  <c r="AD38" i="24"/>
  <c r="AD41" i="24" s="1"/>
  <c r="AH38" i="24"/>
  <c r="AH41" i="24" s="1"/>
  <c r="AL38" i="24"/>
  <c r="AL41" i="24" s="1"/>
  <c r="AP38" i="24"/>
  <c r="AP41" i="24" s="1"/>
  <c r="AT38" i="24"/>
  <c r="AT41" i="24" s="1"/>
  <c r="AX38" i="24"/>
  <c r="AX41" i="24" s="1"/>
  <c r="BB38" i="24"/>
  <c r="BB41" i="24" s="1"/>
  <c r="BF38" i="24"/>
  <c r="BF41" i="24" s="1"/>
  <c r="BJ38" i="24"/>
  <c r="BJ41" i="24" s="1"/>
  <c r="BN38" i="24"/>
  <c r="BN41" i="24" s="1"/>
  <c r="BR38" i="24"/>
  <c r="BR41" i="24" s="1"/>
  <c r="BV38" i="24"/>
  <c r="BV41" i="24" s="1"/>
  <c r="BZ38" i="24"/>
  <c r="BZ41" i="24" s="1"/>
  <c r="CD38" i="24"/>
  <c r="CD41" i="24" s="1"/>
  <c r="CH38" i="24"/>
  <c r="CH41" i="24" s="1"/>
  <c r="CL38" i="24"/>
  <c r="CL41" i="24" s="1"/>
  <c r="CP38" i="24"/>
  <c r="CP41" i="24" s="1"/>
  <c r="CT38" i="24"/>
  <c r="CT41" i="24" s="1"/>
  <c r="CX38" i="24"/>
  <c r="CX41" i="24" s="1"/>
  <c r="DB38" i="24"/>
  <c r="DB41" i="24" s="1"/>
  <c r="DF38" i="24"/>
  <c r="DF41" i="24" s="1"/>
  <c r="DJ38" i="24"/>
  <c r="DJ41" i="24" s="1"/>
  <c r="DN38" i="24"/>
  <c r="DN41" i="24" s="1"/>
  <c r="DR38" i="24"/>
  <c r="DR41" i="24" s="1"/>
  <c r="DV38" i="24"/>
  <c r="DV41" i="24" s="1"/>
  <c r="DZ38" i="24"/>
  <c r="DZ41" i="24" s="1"/>
  <c r="ED38" i="24"/>
  <c r="ED41" i="24" s="1"/>
  <c r="EH38" i="24"/>
  <c r="EH41" i="24" s="1"/>
  <c r="EL38" i="24"/>
  <c r="EL41" i="24" s="1"/>
  <c r="EP38" i="24"/>
  <c r="EP41" i="24" s="1"/>
  <c r="ET38" i="24"/>
  <c r="ET41" i="24" s="1"/>
  <c r="AA38" i="24"/>
  <c r="AA41" i="24" s="1"/>
  <c r="AE38" i="24"/>
  <c r="AE41" i="24" s="1"/>
  <c r="AI38" i="24"/>
  <c r="AI41" i="24" s="1"/>
  <c r="AM38" i="24"/>
  <c r="AM41" i="24" s="1"/>
  <c r="AQ38" i="24"/>
  <c r="AQ41" i="24" s="1"/>
  <c r="AU38" i="24"/>
  <c r="AU41" i="24" s="1"/>
  <c r="AY38" i="24"/>
  <c r="AY41" i="24" s="1"/>
  <c r="BC38" i="24"/>
  <c r="BC41" i="24" s="1"/>
  <c r="BG38" i="24"/>
  <c r="BG41" i="24" s="1"/>
  <c r="BK38" i="24"/>
  <c r="BK41" i="24" s="1"/>
  <c r="BO38" i="24"/>
  <c r="BO41" i="24" s="1"/>
  <c r="BS38" i="24"/>
  <c r="BS41" i="24" s="1"/>
  <c r="BW38" i="24"/>
  <c r="BW41" i="24" s="1"/>
  <c r="CA38" i="24"/>
  <c r="CA41" i="24" s="1"/>
  <c r="CE38" i="24"/>
  <c r="CE41" i="24" s="1"/>
  <c r="CI38" i="24"/>
  <c r="CI41" i="24" s="1"/>
  <c r="CM38" i="24"/>
  <c r="CM41" i="24" s="1"/>
  <c r="CQ38" i="24"/>
  <c r="CQ41" i="24" s="1"/>
  <c r="CU38" i="24"/>
  <c r="CU41" i="24" s="1"/>
  <c r="CY38" i="24"/>
  <c r="CY41" i="24" s="1"/>
  <c r="DC38" i="24"/>
  <c r="DC41" i="24" s="1"/>
  <c r="DG38" i="24"/>
  <c r="DG41" i="24" s="1"/>
  <c r="DK38" i="24"/>
  <c r="DK41" i="24" s="1"/>
  <c r="DO38" i="24"/>
  <c r="DO41" i="24" s="1"/>
  <c r="DS38" i="24"/>
  <c r="DS41" i="24" s="1"/>
  <c r="DW38" i="24"/>
  <c r="DW41" i="24" s="1"/>
  <c r="EA38" i="24"/>
  <c r="EA41" i="24" s="1"/>
  <c r="EE38" i="24"/>
  <c r="EE41" i="24" s="1"/>
  <c r="EI38" i="24"/>
  <c r="EI41" i="24" s="1"/>
  <c r="EM38" i="24"/>
  <c r="EM41" i="24" s="1"/>
  <c r="EQ38" i="24"/>
  <c r="EQ41" i="24" s="1"/>
  <c r="EU38" i="24"/>
  <c r="EU41" i="24" s="1"/>
  <c r="AN38" i="24"/>
  <c r="AN41" i="24" s="1"/>
  <c r="BD38" i="24"/>
  <c r="BT38" i="24"/>
  <c r="BT41" i="24" s="1"/>
  <c r="CJ38" i="24"/>
  <c r="CJ41" i="24" s="1"/>
  <c r="CZ38" i="24"/>
  <c r="DP38" i="24"/>
  <c r="DP41" i="24" s="1"/>
  <c r="EF38" i="24"/>
  <c r="EF41" i="24" s="1"/>
  <c r="AB38" i="24"/>
  <c r="AB41" i="24" s="1"/>
  <c r="AR38" i="24"/>
  <c r="BH38" i="24"/>
  <c r="BH41" i="24" s="1"/>
  <c r="BX38" i="24"/>
  <c r="BX41" i="24" s="1"/>
  <c r="CN38" i="24"/>
  <c r="DD38" i="24"/>
  <c r="DD41" i="24" s="1"/>
  <c r="DT38" i="24"/>
  <c r="DT41" i="24" s="1"/>
  <c r="EJ38" i="24"/>
  <c r="AF38" i="24"/>
  <c r="AV38" i="24"/>
  <c r="AV41" i="24" s="1"/>
  <c r="BL38" i="24"/>
  <c r="BL41" i="24" s="1"/>
  <c r="CB38" i="24"/>
  <c r="CR38" i="24"/>
  <c r="CR41" i="24" s="1"/>
  <c r="DH38" i="24"/>
  <c r="DH41" i="24" s="1"/>
  <c r="DX38" i="24"/>
  <c r="EN38" i="24"/>
  <c r="EN41" i="24" s="1"/>
  <c r="AJ38" i="24"/>
  <c r="AJ41" i="24" s="1"/>
  <c r="CV38" i="24"/>
  <c r="CV41" i="24" s="1"/>
  <c r="AZ38" i="24"/>
  <c r="AZ41" i="24" s="1"/>
  <c r="DL38" i="24"/>
  <c r="BP38" i="24"/>
  <c r="EB38" i="24"/>
  <c r="EB41" i="24" s="1"/>
  <c r="CF38" i="24"/>
  <c r="CF41" i="24" s="1"/>
  <c r="ER38" i="24"/>
  <c r="ER41" i="24" s="1"/>
  <c r="FN38" i="24"/>
  <c r="FA38" i="24"/>
  <c r="FP38" i="24"/>
  <c r="FI38" i="24"/>
  <c r="EV38" i="24"/>
  <c r="FT38" i="24"/>
  <c r="FL38" i="24"/>
  <c r="FJ38" i="24"/>
  <c r="FS38" i="24"/>
  <c r="FF38" i="24"/>
  <c r="FK38" i="24"/>
  <c r="EZ38" i="24"/>
  <c r="FO38" i="24"/>
  <c r="FB38" i="24"/>
  <c r="FM38" i="24"/>
  <c r="FR38" i="24"/>
  <c r="FE38" i="24"/>
  <c r="EW38" i="24"/>
  <c r="FG38" i="24"/>
  <c r="EX38" i="24"/>
  <c r="FD38" i="24"/>
  <c r="EY38" i="24"/>
  <c r="FC38" i="24"/>
  <c r="FQ38" i="24"/>
  <c r="FH38" i="24"/>
  <c r="CI69" i="24" l="1"/>
  <c r="CI70" i="24"/>
  <c r="CI71" i="24"/>
  <c r="CI72" i="24"/>
  <c r="CI65" i="24"/>
  <c r="CI68" i="24"/>
  <c r="CI73" i="24" s="1"/>
  <c r="CH72" i="24"/>
  <c r="CH65" i="24"/>
  <c r="CH69" i="24"/>
  <c r="CH70" i="24"/>
  <c r="CH71" i="24"/>
  <c r="CH68" i="24"/>
  <c r="CG72" i="24"/>
  <c r="CG69" i="24"/>
  <c r="CG70" i="24"/>
  <c r="CG71" i="24"/>
  <c r="CG65" i="24"/>
  <c r="CG68" i="24"/>
  <c r="BA72" i="24"/>
  <c r="BA69" i="24"/>
  <c r="BA71" i="24"/>
  <c r="BA65" i="24"/>
  <c r="BA68" i="24"/>
  <c r="BA70" i="24"/>
  <c r="ER69" i="24"/>
  <c r="ER70" i="24"/>
  <c r="ER71" i="24"/>
  <c r="ER65" i="24"/>
  <c r="ER68" i="24"/>
  <c r="ER72" i="24"/>
  <c r="EN69" i="24"/>
  <c r="EN70" i="24"/>
  <c r="EN71" i="24"/>
  <c r="EN72" i="24"/>
  <c r="EN65" i="24"/>
  <c r="EN68" i="24"/>
  <c r="EJ41" i="24"/>
  <c r="S12" i="22"/>
  <c r="EF69" i="24"/>
  <c r="EF70" i="24"/>
  <c r="EF72" i="24"/>
  <c r="EF71" i="24"/>
  <c r="EF65" i="24"/>
  <c r="EF68" i="24"/>
  <c r="EQ69" i="24"/>
  <c r="EQ70" i="24"/>
  <c r="EQ71" i="24"/>
  <c r="EQ65" i="24"/>
  <c r="EQ72" i="24"/>
  <c r="EQ68" i="24"/>
  <c r="DK69" i="24"/>
  <c r="DK71" i="24"/>
  <c r="DK65" i="24"/>
  <c r="DK68" i="24"/>
  <c r="DK70" i="24"/>
  <c r="DK72" i="24"/>
  <c r="CE69" i="24"/>
  <c r="CE70" i="24"/>
  <c r="CE71" i="24"/>
  <c r="CE65" i="24"/>
  <c r="CE72" i="24"/>
  <c r="CE68" i="24"/>
  <c r="CE73" i="24" s="1"/>
  <c r="AY69" i="24"/>
  <c r="AY71" i="24"/>
  <c r="AY65" i="24"/>
  <c r="AY68" i="24"/>
  <c r="AY72" i="24"/>
  <c r="AY70" i="24"/>
  <c r="EP69" i="24"/>
  <c r="EP70" i="24"/>
  <c r="EP71" i="24"/>
  <c r="EP65" i="24"/>
  <c r="EP72" i="24"/>
  <c r="EP68" i="24"/>
  <c r="DJ69" i="24"/>
  <c r="DJ70" i="24"/>
  <c r="DJ71" i="24"/>
  <c r="DJ65" i="24"/>
  <c r="DJ72" i="24"/>
  <c r="DJ68" i="24"/>
  <c r="CD69" i="24"/>
  <c r="CD70" i="24"/>
  <c r="CD71" i="24"/>
  <c r="CD65" i="24"/>
  <c r="CD72" i="24"/>
  <c r="CD68" i="24"/>
  <c r="CD73" i="24" s="1"/>
  <c r="AX69" i="24"/>
  <c r="AX70" i="24"/>
  <c r="AX71" i="24"/>
  <c r="AX65" i="24"/>
  <c r="AX72" i="24"/>
  <c r="AX68" i="24"/>
  <c r="EO69" i="24"/>
  <c r="EO70" i="24"/>
  <c r="EO71" i="24"/>
  <c r="EO72" i="24"/>
  <c r="EO68" i="24"/>
  <c r="EO65" i="24"/>
  <c r="DI69" i="24"/>
  <c r="DI70" i="24"/>
  <c r="DI71" i="24"/>
  <c r="DI68" i="24"/>
  <c r="DI73" i="24" s="1"/>
  <c r="DI72" i="24"/>
  <c r="DI65" i="24"/>
  <c r="CC69" i="24"/>
  <c r="CC70" i="24"/>
  <c r="CC71" i="24"/>
  <c r="CC68" i="24"/>
  <c r="CC72" i="24"/>
  <c r="CC65" i="24"/>
  <c r="AW69" i="24"/>
  <c r="AW70" i="24"/>
  <c r="AW71" i="24"/>
  <c r="AW68" i="24"/>
  <c r="AW72" i="24"/>
  <c r="AW65" i="24"/>
  <c r="ET72" i="24"/>
  <c r="ET65" i="24"/>
  <c r="ET69" i="24"/>
  <c r="ET70" i="24"/>
  <c r="ET71" i="24"/>
  <c r="ET68" i="24"/>
  <c r="DX41" i="24"/>
  <c r="R12" i="22"/>
  <c r="EM69" i="24"/>
  <c r="EM70" i="24"/>
  <c r="EM71" i="24"/>
  <c r="EM72" i="24"/>
  <c r="EM65" i="24"/>
  <c r="EM68" i="24"/>
  <c r="DG69" i="24"/>
  <c r="DG70" i="24"/>
  <c r="DG71" i="24"/>
  <c r="DG72" i="24"/>
  <c r="DG65" i="24"/>
  <c r="DG68" i="24"/>
  <c r="DG73" i="24" s="1"/>
  <c r="CA69" i="24"/>
  <c r="CA70" i="24"/>
  <c r="CA71" i="24"/>
  <c r="CA72" i="24"/>
  <c r="CA65" i="24"/>
  <c r="CA68" i="24"/>
  <c r="CA73" i="24" s="1"/>
  <c r="AU69" i="24"/>
  <c r="AU70" i="24"/>
  <c r="AU71" i="24"/>
  <c r="AU72" i="24"/>
  <c r="AU68" i="24"/>
  <c r="AU65" i="24"/>
  <c r="EL71" i="24"/>
  <c r="EL70" i="24"/>
  <c r="EL72" i="24"/>
  <c r="EL65" i="24"/>
  <c r="EL69" i="24"/>
  <c r="EL68" i="24"/>
  <c r="DF71" i="24"/>
  <c r="DF72" i="24"/>
  <c r="DF65" i="24"/>
  <c r="DF69" i="24"/>
  <c r="DF70" i="24"/>
  <c r="DF68" i="24"/>
  <c r="BZ71" i="24"/>
  <c r="BZ70" i="24"/>
  <c r="BZ72" i="24"/>
  <c r="BZ65" i="24"/>
  <c r="BZ69" i="24"/>
  <c r="BZ68" i="24"/>
  <c r="BZ73" i="24" s="1"/>
  <c r="AT71" i="24"/>
  <c r="AT65" i="24"/>
  <c r="AT69" i="24"/>
  <c r="AT72" i="24"/>
  <c r="AT70" i="24"/>
  <c r="AT68" i="24"/>
  <c r="EK70" i="24"/>
  <c r="EK72" i="24"/>
  <c r="EK69" i="24"/>
  <c r="EK68" i="24"/>
  <c r="EK65" i="24"/>
  <c r="EK71" i="24"/>
  <c r="DE72" i="24"/>
  <c r="DE69" i="24"/>
  <c r="DE70" i="24"/>
  <c r="DE71" i="24"/>
  <c r="DE68" i="24"/>
  <c r="DE65" i="24"/>
  <c r="BY70" i="24"/>
  <c r="BY72" i="24"/>
  <c r="BY69" i="24"/>
  <c r="BY71" i="24"/>
  <c r="BY65" i="24"/>
  <c r="BY68" i="24"/>
  <c r="BY73" i="24" s="1"/>
  <c r="AS69" i="24"/>
  <c r="AS72" i="24"/>
  <c r="AS70" i="24"/>
  <c r="AS71" i="24"/>
  <c r="AS68" i="24"/>
  <c r="AS65" i="24"/>
  <c r="DO69" i="24"/>
  <c r="DO70" i="24"/>
  <c r="DO71" i="24"/>
  <c r="DO72" i="24"/>
  <c r="DO65" i="24"/>
  <c r="DO68" i="24"/>
  <c r="BB70" i="24"/>
  <c r="BB72" i="24"/>
  <c r="BB65" i="24"/>
  <c r="BB69" i="24"/>
  <c r="BB71" i="24"/>
  <c r="BB68" i="24"/>
  <c r="DP69" i="24"/>
  <c r="DP70" i="24"/>
  <c r="DP72" i="24"/>
  <c r="DP71" i="24"/>
  <c r="DP65" i="24"/>
  <c r="DP68" i="24"/>
  <c r="DP73" i="24" s="1"/>
  <c r="EB69" i="24"/>
  <c r="EB70" i="24"/>
  <c r="EB71" i="24"/>
  <c r="EB65" i="24"/>
  <c r="EB68" i="24"/>
  <c r="EB72" i="24"/>
  <c r="DH69" i="24"/>
  <c r="DH70" i="24"/>
  <c r="DH71" i="24"/>
  <c r="DH72" i="24"/>
  <c r="DH65" i="24"/>
  <c r="DH68" i="24"/>
  <c r="DD69" i="24"/>
  <c r="DD70" i="24"/>
  <c r="DD71" i="24"/>
  <c r="DD65" i="24"/>
  <c r="DD72" i="24"/>
  <c r="DD68" i="24"/>
  <c r="DD73" i="24" s="1"/>
  <c r="CZ41" i="24"/>
  <c r="P12" i="22"/>
  <c r="EI69" i="24"/>
  <c r="EI65" i="24"/>
  <c r="EI72" i="24"/>
  <c r="EI71" i="24"/>
  <c r="EI70" i="24"/>
  <c r="EI68" i="24"/>
  <c r="DC69" i="24"/>
  <c r="DC70" i="24"/>
  <c r="DC65" i="24"/>
  <c r="DC71" i="24"/>
  <c r="DC72" i="24"/>
  <c r="DC68" i="24"/>
  <c r="DC73" i="24" s="1"/>
  <c r="BW69" i="24"/>
  <c r="BW65" i="24"/>
  <c r="BW72" i="24"/>
  <c r="BW71" i="24"/>
  <c r="BW70" i="24"/>
  <c r="BW68" i="24"/>
  <c r="AQ69" i="24"/>
  <c r="AQ70" i="24"/>
  <c r="AQ65" i="24"/>
  <c r="AQ71" i="24"/>
  <c r="AQ72" i="24"/>
  <c r="AQ68" i="24"/>
  <c r="EH69" i="24"/>
  <c r="EH70" i="24"/>
  <c r="EH71" i="24"/>
  <c r="EH65" i="24"/>
  <c r="EH72" i="24"/>
  <c r="EH68" i="24"/>
  <c r="EH73" i="24" s="1"/>
  <c r="DB69" i="24"/>
  <c r="DB70" i="24"/>
  <c r="DB71" i="24"/>
  <c r="DB65" i="24"/>
  <c r="DB72" i="24"/>
  <c r="DB68" i="24"/>
  <c r="DB73" i="24" s="1"/>
  <c r="BV69" i="24"/>
  <c r="BV70" i="24"/>
  <c r="BV71" i="24"/>
  <c r="BV65" i="24"/>
  <c r="BV72" i="24"/>
  <c r="BV68" i="24"/>
  <c r="AP69" i="24"/>
  <c r="AP70" i="24"/>
  <c r="AP71" i="24"/>
  <c r="AP65" i="24"/>
  <c r="AP72" i="24"/>
  <c r="AP68" i="24"/>
  <c r="EG69" i="24"/>
  <c r="EG70" i="24"/>
  <c r="EG71" i="24"/>
  <c r="EG72" i="24"/>
  <c r="EG65" i="24"/>
  <c r="EG68" i="24"/>
  <c r="DA69" i="24"/>
  <c r="DA70" i="24"/>
  <c r="DA71" i="24"/>
  <c r="DA68" i="24"/>
  <c r="DA72" i="24"/>
  <c r="DA65" i="24"/>
  <c r="BU69" i="24"/>
  <c r="BU70" i="24"/>
  <c r="BU71" i="24"/>
  <c r="BU68" i="24"/>
  <c r="BU72" i="24"/>
  <c r="BU65" i="24"/>
  <c r="AO69" i="24"/>
  <c r="AO70" i="24"/>
  <c r="AO71" i="24"/>
  <c r="AO72" i="24"/>
  <c r="AO68" i="24"/>
  <c r="AO65" i="24"/>
  <c r="AF41" i="24"/>
  <c r="H12" i="22"/>
  <c r="DN70" i="24"/>
  <c r="DN72" i="24"/>
  <c r="DN65" i="24"/>
  <c r="DN69" i="24"/>
  <c r="DN71" i="24"/>
  <c r="DN68" i="24"/>
  <c r="CF69" i="24"/>
  <c r="CF70" i="24"/>
  <c r="CF71" i="24"/>
  <c r="CF65" i="24"/>
  <c r="CF72" i="24"/>
  <c r="CF68" i="24"/>
  <c r="CF73" i="24" s="1"/>
  <c r="BP41" i="24"/>
  <c r="M12" i="22"/>
  <c r="CR69" i="24"/>
  <c r="CR70" i="24"/>
  <c r="CR71" i="24"/>
  <c r="CR72" i="24"/>
  <c r="CR65" i="24"/>
  <c r="CR68" i="24"/>
  <c r="CN41" i="24"/>
  <c r="O12" i="22"/>
  <c r="CJ69" i="24"/>
  <c r="CJ70" i="24"/>
  <c r="CJ72" i="24"/>
  <c r="CJ71" i="24"/>
  <c r="CJ65" i="24"/>
  <c r="CJ68" i="24"/>
  <c r="EE69" i="24"/>
  <c r="EE70" i="24"/>
  <c r="EE71" i="24"/>
  <c r="EE72" i="24"/>
  <c r="EE65" i="24"/>
  <c r="EE68" i="24"/>
  <c r="EE73" i="24" s="1"/>
  <c r="CY69" i="24"/>
  <c r="CY70" i="24"/>
  <c r="CY71" i="24"/>
  <c r="CY72" i="24"/>
  <c r="CY65" i="24"/>
  <c r="CY68" i="24"/>
  <c r="BS69" i="24"/>
  <c r="BS70" i="24"/>
  <c r="BS71" i="24"/>
  <c r="BS72" i="24"/>
  <c r="BS65" i="24"/>
  <c r="BS68" i="24"/>
  <c r="AM69" i="24"/>
  <c r="AM70" i="24"/>
  <c r="AM71" i="24"/>
  <c r="AM72" i="24"/>
  <c r="AM68" i="24"/>
  <c r="AM65" i="24"/>
  <c r="ED69" i="24"/>
  <c r="ED72" i="24"/>
  <c r="ED65" i="24"/>
  <c r="ED71" i="24"/>
  <c r="ED68" i="24"/>
  <c r="ED70" i="24"/>
  <c r="CX69" i="24"/>
  <c r="CX72" i="24"/>
  <c r="CX65" i="24"/>
  <c r="CX70" i="24"/>
  <c r="CX71" i="24"/>
  <c r="CX68" i="24"/>
  <c r="BR69" i="24"/>
  <c r="BR72" i="24"/>
  <c r="BR65" i="24"/>
  <c r="BR71" i="24"/>
  <c r="BR68" i="24"/>
  <c r="BR70" i="24"/>
  <c r="AL69" i="24"/>
  <c r="AL65" i="24"/>
  <c r="AL70" i="24"/>
  <c r="AL71" i="24"/>
  <c r="AL72" i="24"/>
  <c r="EC72" i="24"/>
  <c r="EC71" i="24"/>
  <c r="EC70" i="24"/>
  <c r="EC69" i="24"/>
  <c r="EC68" i="24"/>
  <c r="EC65" i="24"/>
  <c r="CW72" i="24"/>
  <c r="CW70" i="24"/>
  <c r="CW71" i="24"/>
  <c r="CW65" i="24"/>
  <c r="CW68" i="24"/>
  <c r="CW69" i="24"/>
  <c r="BQ72" i="24"/>
  <c r="BQ71" i="24"/>
  <c r="BQ70" i="24"/>
  <c r="BQ68" i="24"/>
  <c r="BQ65" i="24"/>
  <c r="BQ69" i="24"/>
  <c r="AK70" i="24"/>
  <c r="AK71" i="24"/>
  <c r="AK72" i="24"/>
  <c r="AK69" i="24"/>
  <c r="AK65" i="24"/>
  <c r="AB69" i="24"/>
  <c r="AB70" i="24"/>
  <c r="AB71" i="24"/>
  <c r="AB72" i="24"/>
  <c r="AB65" i="24"/>
  <c r="DM72" i="24"/>
  <c r="DM69" i="24"/>
  <c r="DM71" i="24"/>
  <c r="DM70" i="24"/>
  <c r="DM68" i="24"/>
  <c r="DM65" i="24"/>
  <c r="DL41" i="24"/>
  <c r="Q12" i="22"/>
  <c r="CB41" i="24"/>
  <c r="N12" i="22"/>
  <c r="BX69" i="24"/>
  <c r="BX70" i="24"/>
  <c r="BX71" i="24"/>
  <c r="BX65" i="24"/>
  <c r="BX72" i="24"/>
  <c r="BX68" i="24"/>
  <c r="BT69" i="24"/>
  <c r="BT70" i="24"/>
  <c r="BT72" i="24"/>
  <c r="BT71" i="24"/>
  <c r="BT65" i="24"/>
  <c r="BT68" i="24"/>
  <c r="EA69" i="24"/>
  <c r="EA71" i="24"/>
  <c r="EA65" i="24"/>
  <c r="EA70" i="24"/>
  <c r="EA68" i="24"/>
  <c r="EA73" i="24" s="1"/>
  <c r="EA72" i="24"/>
  <c r="CU69" i="24"/>
  <c r="CU70" i="24"/>
  <c r="CU71" i="24"/>
  <c r="CU65" i="24"/>
  <c r="CU68" i="24"/>
  <c r="CU72" i="24"/>
  <c r="BO69" i="24"/>
  <c r="BO71" i="24"/>
  <c r="BO65" i="24"/>
  <c r="BO70" i="24"/>
  <c r="BO72" i="24"/>
  <c r="BO68" i="24"/>
  <c r="AI69" i="24"/>
  <c r="AI70" i="24"/>
  <c r="AI71" i="24"/>
  <c r="AI72" i="24"/>
  <c r="AI65" i="24"/>
  <c r="DZ69" i="24"/>
  <c r="DZ70" i="24"/>
  <c r="DZ71" i="24"/>
  <c r="DZ65" i="24"/>
  <c r="DZ72" i="24"/>
  <c r="DZ68" i="24"/>
  <c r="DZ73" i="24" s="1"/>
  <c r="CT69" i="24"/>
  <c r="CT70" i="24"/>
  <c r="CT71" i="24"/>
  <c r="CT65" i="24"/>
  <c r="CT72" i="24"/>
  <c r="CT68" i="24"/>
  <c r="BN69" i="24"/>
  <c r="BN70" i="24"/>
  <c r="BN71" i="24"/>
  <c r="BN65" i="24"/>
  <c r="BN72" i="24"/>
  <c r="BN68" i="24"/>
  <c r="AH69" i="24"/>
  <c r="AH70" i="24"/>
  <c r="AH71" i="24"/>
  <c r="AH72" i="24"/>
  <c r="AH65" i="24"/>
  <c r="DY69" i="24"/>
  <c r="DY70" i="24"/>
  <c r="DY71" i="24"/>
  <c r="DY72" i="24"/>
  <c r="DY68" i="24"/>
  <c r="DY65" i="24"/>
  <c r="CS69" i="24"/>
  <c r="CS70" i="24"/>
  <c r="CS71" i="24"/>
  <c r="CS68" i="24"/>
  <c r="CS72" i="24"/>
  <c r="CS65" i="24"/>
  <c r="BM69" i="24"/>
  <c r="BM70" i="24"/>
  <c r="BM71" i="24"/>
  <c r="BM68" i="24"/>
  <c r="BM72" i="24"/>
  <c r="BM65" i="24"/>
  <c r="AG69" i="24"/>
  <c r="AG73" i="24" s="1"/>
  <c r="AG70" i="24"/>
  <c r="AG71" i="24"/>
  <c r="AG72" i="24"/>
  <c r="AG65" i="24"/>
  <c r="AJ69" i="24"/>
  <c r="AJ70" i="24"/>
  <c r="AJ71" i="24"/>
  <c r="AJ72" i="24"/>
  <c r="AJ65" i="24"/>
  <c r="BC69" i="24"/>
  <c r="BC70" i="24"/>
  <c r="BC71" i="24"/>
  <c r="BC72" i="24"/>
  <c r="BC65" i="24"/>
  <c r="BC68" i="24"/>
  <c r="AZ69" i="24"/>
  <c r="AZ70" i="24"/>
  <c r="AZ71" i="24"/>
  <c r="AZ65" i="24"/>
  <c r="AZ68" i="24"/>
  <c r="AZ73" i="24" s="1"/>
  <c r="AZ72" i="24"/>
  <c r="BL69" i="24"/>
  <c r="BL70" i="24"/>
  <c r="BL71" i="24"/>
  <c r="BL72" i="24"/>
  <c r="BL65" i="24"/>
  <c r="BL68" i="24"/>
  <c r="BH69" i="24"/>
  <c r="BH70" i="24"/>
  <c r="BH71" i="24"/>
  <c r="BH65" i="24"/>
  <c r="BH68" i="24"/>
  <c r="BH72" i="24"/>
  <c r="BD41" i="24"/>
  <c r="L12" i="22"/>
  <c r="DW69" i="24"/>
  <c r="DW70" i="24"/>
  <c r="DW71" i="24"/>
  <c r="DW72" i="24"/>
  <c r="DW65" i="24"/>
  <c r="DW68" i="24"/>
  <c r="CQ69" i="24"/>
  <c r="CQ70" i="24"/>
  <c r="CQ71" i="24"/>
  <c r="CQ72" i="24"/>
  <c r="CQ65" i="24"/>
  <c r="CQ68" i="24"/>
  <c r="BK69" i="24"/>
  <c r="BK70" i="24"/>
  <c r="BK71" i="24"/>
  <c r="BK72" i="24"/>
  <c r="BK65" i="24"/>
  <c r="BK68" i="24"/>
  <c r="AE69" i="24"/>
  <c r="AE70" i="24"/>
  <c r="AE71" i="24"/>
  <c r="AE72" i="24"/>
  <c r="AE65" i="24"/>
  <c r="DV71" i="24"/>
  <c r="DV72" i="24"/>
  <c r="DV65" i="24"/>
  <c r="DV70" i="24"/>
  <c r="DV69" i="24"/>
  <c r="DV68" i="24"/>
  <c r="CP71" i="24"/>
  <c r="CP72" i="24"/>
  <c r="CP65" i="24"/>
  <c r="CP70" i="24"/>
  <c r="CP68" i="24"/>
  <c r="CP69" i="24"/>
  <c r="BJ71" i="24"/>
  <c r="BJ72" i="24"/>
  <c r="BJ65" i="24"/>
  <c r="BJ70" i="24"/>
  <c r="BJ68" i="24"/>
  <c r="BJ69" i="24"/>
  <c r="AD71" i="24"/>
  <c r="AD72" i="24"/>
  <c r="AD65" i="24"/>
  <c r="AD69" i="24"/>
  <c r="AD70" i="24"/>
  <c r="DU72" i="24"/>
  <c r="DU70" i="24"/>
  <c r="DU69" i="24"/>
  <c r="DU68" i="24"/>
  <c r="DU71" i="24"/>
  <c r="DU65" i="24"/>
  <c r="CO72" i="24"/>
  <c r="CO69" i="24"/>
  <c r="CO70" i="24"/>
  <c r="CO68" i="24"/>
  <c r="CO71" i="24"/>
  <c r="CO65" i="24"/>
  <c r="BI72" i="24"/>
  <c r="BI70" i="24"/>
  <c r="BI69" i="24"/>
  <c r="BI68" i="24"/>
  <c r="BI71" i="24"/>
  <c r="BI65" i="24"/>
  <c r="AC69" i="24"/>
  <c r="AC70" i="24"/>
  <c r="AC71" i="24"/>
  <c r="AC72" i="24"/>
  <c r="AC65" i="24"/>
  <c r="EU69" i="24"/>
  <c r="EU70" i="24"/>
  <c r="EU71" i="24"/>
  <c r="EU72" i="24"/>
  <c r="EU65" i="24"/>
  <c r="EU68" i="24"/>
  <c r="ES72" i="24"/>
  <c r="ES69" i="24"/>
  <c r="ES70" i="24"/>
  <c r="ES71" i="24"/>
  <c r="ES68" i="24"/>
  <c r="ES65" i="24"/>
  <c r="DT69" i="24"/>
  <c r="DT70" i="24"/>
  <c r="DT71" i="24"/>
  <c r="DT65" i="24"/>
  <c r="DT68" i="24"/>
  <c r="DT72" i="24"/>
  <c r="CV69" i="24"/>
  <c r="CV70" i="24"/>
  <c r="CV71" i="24"/>
  <c r="CV65" i="24"/>
  <c r="CV68" i="24"/>
  <c r="CV72" i="24"/>
  <c r="AV69" i="24"/>
  <c r="AV70" i="24"/>
  <c r="AV71" i="24"/>
  <c r="AV72" i="24"/>
  <c r="AV65" i="24"/>
  <c r="AV68" i="24"/>
  <c r="AR41" i="24"/>
  <c r="I12" i="22"/>
  <c r="AN69" i="24"/>
  <c r="AN70" i="24"/>
  <c r="AN71" i="24"/>
  <c r="AN72" i="24"/>
  <c r="AN65" i="24"/>
  <c r="AN68" i="24"/>
  <c r="DS69" i="24"/>
  <c r="DS70" i="24"/>
  <c r="DS65" i="24"/>
  <c r="DS71" i="24"/>
  <c r="DS72" i="24"/>
  <c r="DS68" i="24"/>
  <c r="DS73" i="24" s="1"/>
  <c r="CM69" i="24"/>
  <c r="CM65" i="24"/>
  <c r="CM70" i="24"/>
  <c r="CM72" i="24"/>
  <c r="CM68" i="24"/>
  <c r="CM71" i="24"/>
  <c r="BG69" i="24"/>
  <c r="BG70" i="24"/>
  <c r="BG65" i="24"/>
  <c r="BG71" i="24"/>
  <c r="BG72" i="24"/>
  <c r="BG68" i="24"/>
  <c r="AA69" i="24"/>
  <c r="AA65" i="24"/>
  <c r="AA70" i="24"/>
  <c r="AA71" i="24"/>
  <c r="AA72" i="24"/>
  <c r="DR69" i="24"/>
  <c r="DR70" i="24"/>
  <c r="DR71" i="24"/>
  <c r="DR65" i="24"/>
  <c r="DR72" i="24"/>
  <c r="DR68" i="24"/>
  <c r="CL69" i="24"/>
  <c r="CL70" i="24"/>
  <c r="CL71" i="24"/>
  <c r="CL65" i="24"/>
  <c r="CL72" i="24"/>
  <c r="CL68" i="24"/>
  <c r="BF69" i="24"/>
  <c r="BF70" i="24"/>
  <c r="BF71" i="24"/>
  <c r="BF65" i="24"/>
  <c r="BF72" i="24"/>
  <c r="BF68" i="24"/>
  <c r="Z69" i="24"/>
  <c r="Z73" i="24" s="1"/>
  <c r="Z70" i="24"/>
  <c r="Z71" i="24"/>
  <c r="Z72" i="24"/>
  <c r="Z65" i="24"/>
  <c r="DQ69" i="24"/>
  <c r="DQ70" i="24"/>
  <c r="DQ71" i="24"/>
  <c r="DQ68" i="24"/>
  <c r="DQ72" i="24"/>
  <c r="DQ65" i="24"/>
  <c r="CK69" i="24"/>
  <c r="CK70" i="24"/>
  <c r="CK71" i="24"/>
  <c r="CK68" i="24"/>
  <c r="CK72" i="24"/>
  <c r="CK65" i="24"/>
  <c r="BE69" i="24"/>
  <c r="BE70" i="24"/>
  <c r="BE71" i="24"/>
  <c r="BE68" i="24"/>
  <c r="BE73" i="24" s="1"/>
  <c r="BE72" i="24"/>
  <c r="BE65" i="24"/>
  <c r="Y41" i="24"/>
  <c r="G12" i="22"/>
  <c r="CK73" i="24" l="1"/>
  <c r="AN73" i="24"/>
  <c r="AV73" i="24"/>
  <c r="EU73" i="24"/>
  <c r="AE73" i="24"/>
  <c r="DM73" i="24"/>
  <c r="CJ73" i="24"/>
  <c r="CR73" i="24"/>
  <c r="EG73" i="24"/>
  <c r="EI73" i="24"/>
  <c r="BB73" i="24"/>
  <c r="EK73" i="24"/>
  <c r="AT73" i="24"/>
  <c r="DF73" i="24"/>
  <c r="DJ73" i="24"/>
  <c r="CQ95" i="24"/>
  <c r="CQ100" i="24" s="1"/>
  <c r="CQ103" i="24" s="1"/>
  <c r="BC95" i="24"/>
  <c r="BC100" i="24" s="1"/>
  <c r="BC103" i="24" s="1"/>
  <c r="BW95" i="24"/>
  <c r="BW100" i="24" s="1"/>
  <c r="BW103" i="24" s="1"/>
  <c r="DE95" i="24"/>
  <c r="DE100" i="24" s="1"/>
  <c r="DE103" i="24" s="1"/>
  <c r="EL95" i="24"/>
  <c r="EL100" i="24" s="1"/>
  <c r="EL103" i="24" s="1"/>
  <c r="CH95" i="24"/>
  <c r="CH100" i="24" s="1"/>
  <c r="CH103" i="24" s="1"/>
  <c r="AT95" i="24"/>
  <c r="AT100" i="24" s="1"/>
  <c r="AT103" i="24" s="1"/>
  <c r="AT76" i="24"/>
  <c r="DI95" i="24"/>
  <c r="DI100" i="24" s="1"/>
  <c r="DI103" i="24" s="1"/>
  <c r="DI76" i="24"/>
  <c r="EP95" i="24"/>
  <c r="EP100" i="24" s="1"/>
  <c r="EP103" i="24" s="1"/>
  <c r="EQ95" i="24"/>
  <c r="EQ100" i="24" s="1"/>
  <c r="EQ103" i="24" s="1"/>
  <c r="BF95" i="24"/>
  <c r="BF100" i="24" s="1"/>
  <c r="BF103" i="24" s="1"/>
  <c r="BG95" i="24"/>
  <c r="BG100" i="24" s="1"/>
  <c r="BG103" i="24" s="1"/>
  <c r="AN95" i="24"/>
  <c r="AN100" i="24" s="1"/>
  <c r="AN103" i="24" s="1"/>
  <c r="AN76" i="24"/>
  <c r="AV95" i="24"/>
  <c r="AV100" i="24" s="1"/>
  <c r="AV103" i="24" s="1"/>
  <c r="AV76" i="24"/>
  <c r="EU95" i="24"/>
  <c r="EU100" i="24" s="1"/>
  <c r="EU103" i="24" s="1"/>
  <c r="EU76" i="24"/>
  <c r="CO95" i="24"/>
  <c r="CO100" i="24" s="1"/>
  <c r="CO103" i="24" s="1"/>
  <c r="DU73" i="24"/>
  <c r="CP73" i="24"/>
  <c r="DV95" i="24"/>
  <c r="DV100" i="24" s="1"/>
  <c r="DV103" i="24" s="1"/>
  <c r="BK73" i="24"/>
  <c r="AJ73" i="24"/>
  <c r="BM73" i="24"/>
  <c r="AH95" i="24"/>
  <c r="AH100" i="24" s="1"/>
  <c r="AH103" i="24" s="1"/>
  <c r="AB73" i="24"/>
  <c r="BQ73" i="24"/>
  <c r="BR95" i="24"/>
  <c r="BR100" i="24" s="1"/>
  <c r="BR103" i="24" s="1"/>
  <c r="AM73" i="24"/>
  <c r="H35" i="22"/>
  <c r="CJ95" i="24"/>
  <c r="CJ100" i="24" s="1"/>
  <c r="CJ103" i="24" s="1"/>
  <c r="CJ76" i="24"/>
  <c r="CR95" i="24"/>
  <c r="CR100" i="24" s="1"/>
  <c r="CR103" i="24" s="1"/>
  <c r="CR76" i="24"/>
  <c r="DN95" i="24"/>
  <c r="DN100" i="24" s="1"/>
  <c r="DN103" i="24" s="1"/>
  <c r="EG95" i="24"/>
  <c r="EG100" i="24" s="1"/>
  <c r="EG103" i="24" s="1"/>
  <c r="EG76" i="24"/>
  <c r="EG106" i="24" s="1"/>
  <c r="EG118" i="24" s="1"/>
  <c r="AQ95" i="24"/>
  <c r="AQ100" i="24" s="1"/>
  <c r="AQ103" i="24" s="1"/>
  <c r="DE73" i="24"/>
  <c r="DE76" i="24" s="1"/>
  <c r="DE106" i="24" s="1"/>
  <c r="DE118" i="24" s="1"/>
  <c r="DG95" i="24"/>
  <c r="DG100" i="24" s="1"/>
  <c r="DG103" i="24" s="1"/>
  <c r="DG76" i="24"/>
  <c r="DG106" i="24" s="1"/>
  <c r="DG118" i="24" s="1"/>
  <c r="BA73" i="24"/>
  <c r="BQ95" i="24"/>
  <c r="BQ100" i="24" s="1"/>
  <c r="BQ103" i="24" s="1"/>
  <c r="BQ76" i="24"/>
  <c r="AG95" i="24"/>
  <c r="AG100" i="24" s="1"/>
  <c r="AG103" i="24" s="1"/>
  <c r="AG76" i="24"/>
  <c r="AK95" i="24"/>
  <c r="AK100" i="24" s="1"/>
  <c r="AK103" i="24" s="1"/>
  <c r="CF95" i="24"/>
  <c r="CF100" i="24" s="1"/>
  <c r="CF103" i="24" s="1"/>
  <c r="CF76" i="24"/>
  <c r="DA95" i="24"/>
  <c r="DA100" i="24" s="1"/>
  <c r="DA103" i="24" s="1"/>
  <c r="EH95" i="24"/>
  <c r="EH100" i="24" s="1"/>
  <c r="EH103" i="24" s="1"/>
  <c r="EH76" i="24"/>
  <c r="DD95" i="24"/>
  <c r="DD100" i="24" s="1"/>
  <c r="DD103" i="24" s="1"/>
  <c r="DD76" i="24"/>
  <c r="ET95" i="24"/>
  <c r="ET100" i="24" s="1"/>
  <c r="ET103" i="24" s="1"/>
  <c r="CC95" i="24"/>
  <c r="CC100" i="24" s="1"/>
  <c r="CC103" i="24" s="1"/>
  <c r="DJ95" i="24"/>
  <c r="DJ100" i="24" s="1"/>
  <c r="DJ103" i="24" s="1"/>
  <c r="DJ76" i="24"/>
  <c r="DK73" i="24"/>
  <c r="BA95" i="24"/>
  <c r="BA100" i="24" s="1"/>
  <c r="BA103" i="24" s="1"/>
  <c r="BA76" i="24"/>
  <c r="BN95" i="24"/>
  <c r="BN100" i="24" s="1"/>
  <c r="BN103" i="24" s="1"/>
  <c r="AM95" i="24"/>
  <c r="AM100" i="24" s="1"/>
  <c r="AM103" i="24" s="1"/>
  <c r="AM76" i="24"/>
  <c r="DR73" i="24"/>
  <c r="ES73" i="24"/>
  <c r="BI95" i="24"/>
  <c r="BI100" i="24" s="1"/>
  <c r="BI103" i="24" s="1"/>
  <c r="CO73" i="24"/>
  <c r="CO76" i="24" s="1"/>
  <c r="BJ73" i="24"/>
  <c r="CP95" i="24"/>
  <c r="CP100" i="24" s="1"/>
  <c r="CP103" i="24" s="1"/>
  <c r="CP76" i="24"/>
  <c r="BL73" i="24"/>
  <c r="AZ95" i="24"/>
  <c r="AZ100" i="24" s="1"/>
  <c r="AZ103" i="24" s="1"/>
  <c r="AZ76" i="24"/>
  <c r="DY95" i="24"/>
  <c r="DY100" i="24" s="1"/>
  <c r="DY103" i="24" s="1"/>
  <c r="AK73" i="24"/>
  <c r="AK76" i="24" s="1"/>
  <c r="AK106" i="24" s="1"/>
  <c r="AK118" i="24" s="1"/>
  <c r="EC95" i="24"/>
  <c r="EC100" i="24" s="1"/>
  <c r="EC103" i="24" s="1"/>
  <c r="ED73" i="24"/>
  <c r="EE95" i="24"/>
  <c r="EE100" i="24" s="1"/>
  <c r="EE103" i="24" s="1"/>
  <c r="EE76" i="24"/>
  <c r="DP95" i="24"/>
  <c r="DP100" i="24" s="1"/>
  <c r="DP103" i="24" s="1"/>
  <c r="DP76" i="24"/>
  <c r="BB95" i="24"/>
  <c r="BB100" i="24" s="1"/>
  <c r="BB103" i="24" s="1"/>
  <c r="BB76" i="24"/>
  <c r="BY95" i="24"/>
  <c r="BY100" i="24" s="1"/>
  <c r="BY103" i="24" s="1"/>
  <c r="BY76" i="24"/>
  <c r="DF95" i="24"/>
  <c r="DF100" i="24" s="1"/>
  <c r="DF103" i="24" s="1"/>
  <c r="DF76" i="24"/>
  <c r="CA95" i="24"/>
  <c r="CA100" i="24" s="1"/>
  <c r="CA103" i="24" s="1"/>
  <c r="CA76" i="24"/>
  <c r="DK95" i="24"/>
  <c r="DK100" i="24" s="1"/>
  <c r="DK103" i="24" s="1"/>
  <c r="DK76" i="24"/>
  <c r="EJ69" i="24"/>
  <c r="S37" i="22" s="1"/>
  <c r="EJ70" i="24"/>
  <c r="S38" i="22" s="1"/>
  <c r="EJ71" i="24"/>
  <c r="S39" i="22" s="1"/>
  <c r="EJ65" i="24"/>
  <c r="EJ72" i="24"/>
  <c r="S40" i="22" s="1"/>
  <c r="EJ68" i="24"/>
  <c r="S16" i="22"/>
  <c r="S32" i="22" s="1"/>
  <c r="ER73" i="24"/>
  <c r="CI95" i="24"/>
  <c r="CI100" i="24" s="1"/>
  <c r="CI103" i="24" s="1"/>
  <c r="CI76" i="24"/>
  <c r="AI95" i="24"/>
  <c r="AI100" i="24" s="1"/>
  <c r="AI103" i="24" s="1"/>
  <c r="AP95" i="24"/>
  <c r="AP100" i="24" s="1"/>
  <c r="AP103" i="24" s="1"/>
  <c r="ES95" i="24"/>
  <c r="ES100" i="24" s="1"/>
  <c r="ES103" i="24" s="1"/>
  <c r="ES76" i="24"/>
  <c r="AA95" i="24"/>
  <c r="AA100" i="24" s="1"/>
  <c r="AA103" i="24" s="1"/>
  <c r="AE95" i="24"/>
  <c r="AE100" i="24" s="1"/>
  <c r="AE103" i="24" s="1"/>
  <c r="AE76" i="24"/>
  <c r="BD69" i="24"/>
  <c r="BD70" i="24"/>
  <c r="BD72" i="24"/>
  <c r="BD71" i="24"/>
  <c r="BD65" i="24"/>
  <c r="BD68" i="24"/>
  <c r="L16" i="22"/>
  <c r="L32" i="22" s="1"/>
  <c r="I8" i="15"/>
  <c r="I29" i="15" s="1"/>
  <c r="BL95" i="24"/>
  <c r="BL100" i="24" s="1"/>
  <c r="BL103" i="24" s="1"/>
  <c r="BL76" i="24"/>
  <c r="DY73" i="24"/>
  <c r="DY76" i="24" s="1"/>
  <c r="CT73" i="24"/>
  <c r="DZ95" i="24"/>
  <c r="DZ100" i="24" s="1"/>
  <c r="DZ103" i="24" s="1"/>
  <c r="DZ76" i="24"/>
  <c r="AI73" i="24"/>
  <c r="AI76" i="24" s="1"/>
  <c r="CU73" i="24"/>
  <c r="EA95" i="24"/>
  <c r="EA100" i="24" s="1"/>
  <c r="EA103" i="24" s="1"/>
  <c r="EA76" i="24"/>
  <c r="CB69" i="24"/>
  <c r="N37" i="22" s="1"/>
  <c r="CB70" i="24"/>
  <c r="N38" i="22" s="1"/>
  <c r="CB71" i="24"/>
  <c r="N39" i="22" s="1"/>
  <c r="CB72" i="24"/>
  <c r="N40" i="22" s="1"/>
  <c r="CB65" i="24"/>
  <c r="CB68" i="24"/>
  <c r="N16" i="22"/>
  <c r="N32" i="22" s="1"/>
  <c r="EC73" i="24"/>
  <c r="EC76" i="24" s="1"/>
  <c r="AL95" i="24"/>
  <c r="AL100" i="24" s="1"/>
  <c r="AL103" i="24" s="1"/>
  <c r="CX73" i="24"/>
  <c r="CY73" i="24"/>
  <c r="BU95" i="24"/>
  <c r="BU100" i="24" s="1"/>
  <c r="BU103" i="24" s="1"/>
  <c r="DA73" i="24"/>
  <c r="DA76" i="24" s="1"/>
  <c r="BV73" i="24"/>
  <c r="DB95" i="24"/>
  <c r="DB100" i="24" s="1"/>
  <c r="DB103" i="24" s="1"/>
  <c r="DB76" i="24"/>
  <c r="BW73" i="24"/>
  <c r="BW76" i="24" s="1"/>
  <c r="BW106" i="24" s="1"/>
  <c r="BW118" i="24" s="1"/>
  <c r="EI95" i="24"/>
  <c r="EI100" i="24" s="1"/>
  <c r="EI103" i="24" s="1"/>
  <c r="EI76" i="24"/>
  <c r="AS95" i="24"/>
  <c r="AS100" i="24" s="1"/>
  <c r="AS103" i="24" s="1"/>
  <c r="BZ95" i="24"/>
  <c r="BZ100" i="24" s="1"/>
  <c r="BZ103" i="24" s="1"/>
  <c r="BZ76" i="24"/>
  <c r="AU95" i="24"/>
  <c r="AU100" i="24" s="1"/>
  <c r="AU103" i="24" s="1"/>
  <c r="AW95" i="24"/>
  <c r="AW100" i="24" s="1"/>
  <c r="AW103" i="24" s="1"/>
  <c r="CC73" i="24"/>
  <c r="CC76" i="24" s="1"/>
  <c r="CC106" i="24" s="1"/>
  <c r="CC118" i="24" s="1"/>
  <c r="AX73" i="24"/>
  <c r="CD95" i="24"/>
  <c r="CD100" i="24" s="1"/>
  <c r="CD103" i="24" s="1"/>
  <c r="CD76" i="24"/>
  <c r="CD106" i="24" s="1"/>
  <c r="CD118" i="24" s="1"/>
  <c r="CE95" i="24"/>
  <c r="CE100" i="24" s="1"/>
  <c r="CE103" i="24" s="1"/>
  <c r="CE76" i="24"/>
  <c r="EF73" i="24"/>
  <c r="EN73" i="24"/>
  <c r="ER95" i="24"/>
  <c r="ER100" i="24" s="1"/>
  <c r="ER103" i="24" s="1"/>
  <c r="ER76" i="24"/>
  <c r="CH73" i="24"/>
  <c r="CH76" i="24" s="1"/>
  <c r="CH106" i="24" s="1"/>
  <c r="CH118" i="24" s="1"/>
  <c r="Z95" i="24"/>
  <c r="Z100" i="24" s="1"/>
  <c r="Z103" i="24" s="1"/>
  <c r="Z76" i="24"/>
  <c r="AC73" i="24"/>
  <c r="BK95" i="24"/>
  <c r="BK100" i="24" s="1"/>
  <c r="BK103" i="24" s="1"/>
  <c r="BK76" i="24"/>
  <c r="BK106" i="24" s="1"/>
  <c r="BK118" i="24" s="1"/>
  <c r="DQ95" i="24"/>
  <c r="DQ100" i="24" s="1"/>
  <c r="DQ103" i="24" s="1"/>
  <c r="CL73" i="24"/>
  <c r="DR95" i="24"/>
  <c r="DR100" i="24" s="1"/>
  <c r="DR103" i="24" s="1"/>
  <c r="DR76" i="24"/>
  <c r="DR106" i="24" s="1"/>
  <c r="DR118" i="24" s="1"/>
  <c r="AA73" i="24"/>
  <c r="AA76" i="24" s="1"/>
  <c r="AA106" i="24" s="1"/>
  <c r="AA118" i="24" s="1"/>
  <c r="CM73" i="24"/>
  <c r="DS95" i="24"/>
  <c r="DS100" i="24" s="1"/>
  <c r="DS103" i="24" s="1"/>
  <c r="DS76" i="24"/>
  <c r="DT73" i="24"/>
  <c r="BI73" i="24"/>
  <c r="BI76" i="24" s="1"/>
  <c r="BI106" i="24" s="1"/>
  <c r="BI118" i="24" s="1"/>
  <c r="BJ95" i="24"/>
  <c r="BJ100" i="24" s="1"/>
  <c r="BJ103" i="24" s="1"/>
  <c r="BJ76" i="24"/>
  <c r="BJ106" i="24" s="1"/>
  <c r="BJ118" i="24" s="1"/>
  <c r="DW73" i="24"/>
  <c r="AJ95" i="24"/>
  <c r="AJ100" i="24" s="1"/>
  <c r="AJ103" i="24" s="1"/>
  <c r="AJ76" i="24"/>
  <c r="CS95" i="24"/>
  <c r="CS100" i="24" s="1"/>
  <c r="CS103" i="24" s="1"/>
  <c r="AH73" i="24"/>
  <c r="AH76" i="24" s="1"/>
  <c r="AH106" i="24" s="1"/>
  <c r="AH118" i="24" s="1"/>
  <c r="BO73" i="24"/>
  <c r="CU95" i="24"/>
  <c r="CU100" i="24" s="1"/>
  <c r="CU103" i="24" s="1"/>
  <c r="CU76" i="24"/>
  <c r="BX73" i="24"/>
  <c r="AB95" i="24"/>
  <c r="AB100" i="24" s="1"/>
  <c r="AB103" i="24" s="1"/>
  <c r="AB76" i="24"/>
  <c r="AL73" i="24"/>
  <c r="AL76" i="24" s="1"/>
  <c r="ED95" i="24"/>
  <c r="ED100" i="24" s="1"/>
  <c r="ED103" i="24" s="1"/>
  <c r="ED76" i="24"/>
  <c r="CY95" i="24"/>
  <c r="CY100" i="24" s="1"/>
  <c r="CY103" i="24" s="1"/>
  <c r="CY76" i="24"/>
  <c r="AF69" i="24"/>
  <c r="AF70" i="24"/>
  <c r="H38" i="22" s="1"/>
  <c r="AF71" i="24"/>
  <c r="H39" i="22" s="1"/>
  <c r="AF72" i="24"/>
  <c r="H40" i="22" s="1"/>
  <c r="AF65" i="24"/>
  <c r="H16" i="22"/>
  <c r="H32" i="22" s="1"/>
  <c r="DC95" i="24"/>
  <c r="DC100" i="24" s="1"/>
  <c r="DC103" i="24" s="1"/>
  <c r="DC76" i="24"/>
  <c r="EB73" i="24"/>
  <c r="AS73" i="24"/>
  <c r="AS76" i="24" s="1"/>
  <c r="AU73" i="24"/>
  <c r="AU76" i="24" s="1"/>
  <c r="DX69" i="24"/>
  <c r="R37" i="22" s="1"/>
  <c r="DX70" i="24"/>
  <c r="R38" i="22" s="1"/>
  <c r="DX71" i="24"/>
  <c r="R39" i="22" s="1"/>
  <c r="DX72" i="24"/>
  <c r="R40" i="22" s="1"/>
  <c r="DX65" i="24"/>
  <c r="DX68" i="24"/>
  <c r="R16" i="22"/>
  <c r="R32" i="22" s="1"/>
  <c r="EF95" i="24"/>
  <c r="EF100" i="24" s="1"/>
  <c r="EF103" i="24" s="1"/>
  <c r="EF76" i="24"/>
  <c r="EF106" i="24" s="1"/>
  <c r="EF118" i="24" s="1"/>
  <c r="EN95" i="24"/>
  <c r="EN100" i="24" s="1"/>
  <c r="EN103" i="24" s="1"/>
  <c r="EN76" i="24"/>
  <c r="CM95" i="24"/>
  <c r="CM100" i="24" s="1"/>
  <c r="CM103" i="24" s="1"/>
  <c r="CM76" i="24"/>
  <c r="BT95" i="24"/>
  <c r="BT100" i="24" s="1"/>
  <c r="BT103" i="24" s="1"/>
  <c r="CK95" i="24"/>
  <c r="CK100" i="24" s="1"/>
  <c r="CK103" i="24" s="1"/>
  <c r="CK76" i="24"/>
  <c r="AC95" i="24"/>
  <c r="AC100" i="24" s="1"/>
  <c r="AC103" i="24" s="1"/>
  <c r="AC76" i="24"/>
  <c r="DW95" i="24"/>
  <c r="DW100" i="24" s="1"/>
  <c r="DW103" i="24" s="1"/>
  <c r="DW76" i="24"/>
  <c r="BN73" i="24"/>
  <c r="BN76" i="24" s="1"/>
  <c r="CT95" i="24"/>
  <c r="CT100" i="24" s="1"/>
  <c r="CT103" i="24" s="1"/>
  <c r="CT76" i="24"/>
  <c r="DL69" i="24"/>
  <c r="Q37" i="22" s="1"/>
  <c r="DL70" i="24"/>
  <c r="Q38" i="22" s="1"/>
  <c r="DL71" i="24"/>
  <c r="Q39" i="22" s="1"/>
  <c r="DL65" i="24"/>
  <c r="DL68" i="24"/>
  <c r="DL72" i="24"/>
  <c r="Q40" i="22" s="1"/>
  <c r="Q16" i="22"/>
  <c r="Q32" i="22" s="1"/>
  <c r="CW73" i="24"/>
  <c r="BS73" i="24"/>
  <c r="DN73" i="24"/>
  <c r="DN76" i="24" s="1"/>
  <c r="DN106" i="24" s="1"/>
  <c r="DN118" i="24" s="1"/>
  <c r="AO95" i="24"/>
  <c r="AO100" i="24" s="1"/>
  <c r="AO103" i="24" s="1"/>
  <c r="BU73" i="24"/>
  <c r="BU76" i="24" s="1"/>
  <c r="BU106" i="24" s="1"/>
  <c r="BU118" i="24" s="1"/>
  <c r="AP73" i="24"/>
  <c r="AP76" i="24" s="1"/>
  <c r="AP106" i="24" s="1"/>
  <c r="AP118" i="24" s="1"/>
  <c r="BV95" i="24"/>
  <c r="BV100" i="24" s="1"/>
  <c r="BV103" i="24" s="1"/>
  <c r="BV76" i="24"/>
  <c r="AQ73" i="24"/>
  <c r="AQ76" i="24" s="1"/>
  <c r="AQ106" i="24" s="1"/>
  <c r="AQ118" i="24" s="1"/>
  <c r="DH73" i="24"/>
  <c r="EB95" i="24"/>
  <c r="EB100" i="24" s="1"/>
  <c r="EB103" i="24" s="1"/>
  <c r="EB76" i="24"/>
  <c r="DO73" i="24"/>
  <c r="EL73" i="24"/>
  <c r="EL76" i="24" s="1"/>
  <c r="EM73" i="24"/>
  <c r="EM76" i="24" s="1"/>
  <c r="ET73" i="24"/>
  <c r="ET76" i="24" s="1"/>
  <c r="ET106" i="24" s="1"/>
  <c r="ET118" i="24" s="1"/>
  <c r="AW73" i="24"/>
  <c r="AW76" i="24" s="1"/>
  <c r="AW106" i="24" s="1"/>
  <c r="AW118" i="24" s="1"/>
  <c r="EO95" i="24"/>
  <c r="EO100" i="24" s="1"/>
  <c r="EO103" i="24" s="1"/>
  <c r="AX95" i="24"/>
  <c r="AX100" i="24" s="1"/>
  <c r="AX103" i="24" s="1"/>
  <c r="AX76" i="24"/>
  <c r="EP73" i="24"/>
  <c r="EP76" i="24" s="1"/>
  <c r="EP106" i="24" s="1"/>
  <c r="EP118" i="24" s="1"/>
  <c r="AY73" i="24"/>
  <c r="EQ73" i="24"/>
  <c r="EQ76" i="24" s="1"/>
  <c r="EQ106" i="24" s="1"/>
  <c r="EQ118" i="24" s="1"/>
  <c r="CG73" i="24"/>
  <c r="BE95" i="24"/>
  <c r="BE100" i="24" s="1"/>
  <c r="BE103" i="24" s="1"/>
  <c r="BE76" i="24"/>
  <c r="CV95" i="24"/>
  <c r="CV100" i="24" s="1"/>
  <c r="CV103" i="24" s="1"/>
  <c r="BO95" i="24"/>
  <c r="BO100" i="24" s="1"/>
  <c r="BO103" i="24" s="1"/>
  <c r="BO76" i="24"/>
  <c r="DQ73" i="24"/>
  <c r="DQ76" i="24" s="1"/>
  <c r="DQ106" i="24" s="1"/>
  <c r="DQ118" i="24" s="1"/>
  <c r="BG73" i="24"/>
  <c r="BG76" i="24" s="1"/>
  <c r="BG106" i="24" s="1"/>
  <c r="BG118" i="24" s="1"/>
  <c r="DT95" i="24"/>
  <c r="DT100" i="24" s="1"/>
  <c r="DT103" i="24" s="1"/>
  <c r="DT76" i="24"/>
  <c r="AD73" i="24"/>
  <c r="DV73" i="24"/>
  <c r="DV76" i="24" s="1"/>
  <c r="DV106" i="24" s="1"/>
  <c r="DV118" i="24" s="1"/>
  <c r="BH73" i="24"/>
  <c r="Y69" i="24"/>
  <c r="Y70" i="24"/>
  <c r="Y71" i="24"/>
  <c r="Y72" i="24"/>
  <c r="G16" i="22"/>
  <c r="G32" i="22" s="1"/>
  <c r="Y65" i="24"/>
  <c r="F41" i="24"/>
  <c r="BF73" i="24"/>
  <c r="BF76" i="24" s="1"/>
  <c r="BF106" i="24" s="1"/>
  <c r="BF118" i="24" s="1"/>
  <c r="CL95" i="24"/>
  <c r="CL100" i="24" s="1"/>
  <c r="CL103" i="24" s="1"/>
  <c r="CL76" i="24"/>
  <c r="AR69" i="24"/>
  <c r="I37" i="22" s="1"/>
  <c r="AR70" i="24"/>
  <c r="I38" i="22" s="1"/>
  <c r="AR71" i="24"/>
  <c r="I39" i="22" s="1"/>
  <c r="AR72" i="24"/>
  <c r="I40" i="22" s="1"/>
  <c r="AR65" i="24"/>
  <c r="AR68" i="24"/>
  <c r="I16" i="22"/>
  <c r="I32" i="22" s="1"/>
  <c r="CV73" i="24"/>
  <c r="CV76" i="24" s="1"/>
  <c r="DU95" i="24"/>
  <c r="DU100" i="24" s="1"/>
  <c r="DU103" i="24" s="1"/>
  <c r="DU76" i="24"/>
  <c r="AD95" i="24"/>
  <c r="AD100" i="24" s="1"/>
  <c r="AD103" i="24" s="1"/>
  <c r="AD76" i="24"/>
  <c r="CQ73" i="24"/>
  <c r="CQ76" i="24" s="1"/>
  <c r="CQ106" i="24" s="1"/>
  <c r="CQ118" i="24" s="1"/>
  <c r="BH95" i="24"/>
  <c r="BH100" i="24" s="1"/>
  <c r="BH103" i="24" s="1"/>
  <c r="BH76" i="24"/>
  <c r="BC73" i="24"/>
  <c r="BC76" i="24" s="1"/>
  <c r="BC106" i="24" s="1"/>
  <c r="BC118" i="24" s="1"/>
  <c r="BM95" i="24"/>
  <c r="BM100" i="24" s="1"/>
  <c r="BM103" i="24" s="1"/>
  <c r="BM76" i="24"/>
  <c r="CS73" i="24"/>
  <c r="CS76" i="24" s="1"/>
  <c r="BT73" i="24"/>
  <c r="BT76" i="24" s="1"/>
  <c r="BX95" i="24"/>
  <c r="BX100" i="24" s="1"/>
  <c r="BX103" i="24" s="1"/>
  <c r="BX76" i="24"/>
  <c r="DM95" i="24"/>
  <c r="DM100" i="24" s="1"/>
  <c r="DM103" i="24" s="1"/>
  <c r="DM76" i="24"/>
  <c r="CW95" i="24"/>
  <c r="CW100" i="24" s="1"/>
  <c r="CW103" i="24" s="1"/>
  <c r="CW76" i="24"/>
  <c r="BR73" i="24"/>
  <c r="BR76" i="24" s="1"/>
  <c r="CX95" i="24"/>
  <c r="CX100" i="24" s="1"/>
  <c r="CX103" i="24" s="1"/>
  <c r="CX76" i="24"/>
  <c r="BS95" i="24"/>
  <c r="BS100" i="24" s="1"/>
  <c r="BS103" i="24" s="1"/>
  <c r="BS76" i="24"/>
  <c r="CN69" i="24"/>
  <c r="O37" i="22" s="1"/>
  <c r="CN70" i="24"/>
  <c r="O38" i="22" s="1"/>
  <c r="CN71" i="24"/>
  <c r="O39" i="22" s="1"/>
  <c r="CN65" i="24"/>
  <c r="CN72" i="24"/>
  <c r="O40" i="22" s="1"/>
  <c r="CN68" i="24"/>
  <c r="O16" i="22"/>
  <c r="O32" i="22" s="1"/>
  <c r="BP69" i="24"/>
  <c r="M37" i="22" s="1"/>
  <c r="BP70" i="24"/>
  <c r="M38" i="22" s="1"/>
  <c r="BP71" i="24"/>
  <c r="M39" i="22" s="1"/>
  <c r="BP65" i="24"/>
  <c r="BP72" i="24"/>
  <c r="M40" i="22" s="1"/>
  <c r="BP68" i="24"/>
  <c r="M16" i="22"/>
  <c r="M32" i="22" s="1"/>
  <c r="AO73" i="24"/>
  <c r="AO76" i="24" s="1"/>
  <c r="AO106" i="24" s="1"/>
  <c r="AO118" i="24" s="1"/>
  <c r="CZ69" i="24"/>
  <c r="P37" i="22" s="1"/>
  <c r="CZ70" i="24"/>
  <c r="P38" i="22" s="1"/>
  <c r="CZ72" i="24"/>
  <c r="P40" i="22" s="1"/>
  <c r="CZ71" i="24"/>
  <c r="P39" i="22" s="1"/>
  <c r="CZ65" i="24"/>
  <c r="CZ68" i="24"/>
  <c r="P16" i="22"/>
  <c r="P32" i="22" s="1"/>
  <c r="DH95" i="24"/>
  <c r="DH100" i="24" s="1"/>
  <c r="DH103" i="24" s="1"/>
  <c r="DH76" i="24"/>
  <c r="DO95" i="24"/>
  <c r="DO100" i="24" s="1"/>
  <c r="DO103" i="24" s="1"/>
  <c r="DO76" i="24"/>
  <c r="DO106" i="24" s="1"/>
  <c r="DO118" i="24" s="1"/>
  <c r="EK95" i="24"/>
  <c r="EK100" i="24" s="1"/>
  <c r="EK103" i="24" s="1"/>
  <c r="EK76" i="24"/>
  <c r="EM95" i="24"/>
  <c r="EM100" i="24" s="1"/>
  <c r="EM103" i="24" s="1"/>
  <c r="EO73" i="24"/>
  <c r="EO76" i="24" s="1"/>
  <c r="AY95" i="24"/>
  <c r="AY100" i="24" s="1"/>
  <c r="AY103" i="24" s="1"/>
  <c r="AY76" i="24"/>
  <c r="CG95" i="24"/>
  <c r="CG100" i="24" s="1"/>
  <c r="CG103" i="24" s="1"/>
  <c r="CG76" i="24"/>
  <c r="AS106" i="24" l="1"/>
  <c r="AS118" i="24" s="1"/>
  <c r="AS152" i="24" s="1"/>
  <c r="DY106" i="24"/>
  <c r="DY118" i="24" s="1"/>
  <c r="DY159" i="24" s="1"/>
  <c r="BB106" i="24"/>
  <c r="BB118" i="24" s="1"/>
  <c r="CS106" i="24"/>
  <c r="CS118" i="24" s="1"/>
  <c r="CS152" i="24" s="1"/>
  <c r="AL106" i="24"/>
  <c r="AL118" i="24" s="1"/>
  <c r="AL152" i="24" s="1"/>
  <c r="BN106" i="24"/>
  <c r="BN118" i="24" s="1"/>
  <c r="BN159" i="24" s="1"/>
  <c r="EL106" i="24"/>
  <c r="EL118" i="24" s="1"/>
  <c r="EL159" i="24" s="1"/>
  <c r="BR106" i="24"/>
  <c r="BR118" i="24" s="1"/>
  <c r="BR152" i="24" s="1"/>
  <c r="EC106" i="24"/>
  <c r="EC118" i="24" s="1"/>
  <c r="EC152" i="24" s="1"/>
  <c r="BT106" i="24"/>
  <c r="BT118" i="24" s="1"/>
  <c r="BT152" i="24" s="1"/>
  <c r="DA106" i="24"/>
  <c r="DA118" i="24" s="1"/>
  <c r="DA152" i="24" s="1"/>
  <c r="CO106" i="24"/>
  <c r="CO118" i="24" s="1"/>
  <c r="CO159" i="24" s="1"/>
  <c r="EO106" i="24"/>
  <c r="EO118" i="24" s="1"/>
  <c r="EK106" i="24"/>
  <c r="EK118" i="24" s="1"/>
  <c r="DH106" i="24"/>
  <c r="DH118" i="24" s="1"/>
  <c r="BS106" i="24"/>
  <c r="BS118" i="24" s="1"/>
  <c r="BS159" i="24" s="1"/>
  <c r="BX106" i="24"/>
  <c r="BX118" i="24" s="1"/>
  <c r="BX159" i="24" s="1"/>
  <c r="BE106" i="24"/>
  <c r="BE118" i="24" s="1"/>
  <c r="BE159" i="24" s="1"/>
  <c r="EI106" i="24"/>
  <c r="EI118" i="24" s="1"/>
  <c r="EI159" i="24" s="1"/>
  <c r="BH106" i="24"/>
  <c r="BH118" i="24" s="1"/>
  <c r="BH152" i="24" s="1"/>
  <c r="DT106" i="24"/>
  <c r="DT118" i="24" s="1"/>
  <c r="DT152" i="24" s="1"/>
  <c r="BO106" i="24"/>
  <c r="BO118" i="24" s="1"/>
  <c r="BO159" i="24" s="1"/>
  <c r="EN106" i="24"/>
  <c r="EN118" i="24" s="1"/>
  <c r="EN152" i="24" s="1"/>
  <c r="ER106" i="24"/>
  <c r="ER118" i="24" s="1"/>
  <c r="ER152" i="24" s="1"/>
  <c r="ED106" i="24"/>
  <c r="ED118" i="24" s="1"/>
  <c r="ED152" i="24" s="1"/>
  <c r="BQ106" i="24"/>
  <c r="BQ118" i="24" s="1"/>
  <c r="AC106" i="24"/>
  <c r="AC118" i="24" s="1"/>
  <c r="Z106" i="24"/>
  <c r="Z118" i="24" s="1"/>
  <c r="Z152" i="24" s="1"/>
  <c r="BZ106" i="24"/>
  <c r="BZ118" i="24" s="1"/>
  <c r="BZ152" i="24" s="1"/>
  <c r="ES106" i="24"/>
  <c r="ES118" i="24" s="1"/>
  <c r="ES159" i="24" s="1"/>
  <c r="EM106" i="24"/>
  <c r="EM118" i="24" s="1"/>
  <c r="EM159" i="24" s="1"/>
  <c r="BA106" i="24"/>
  <c r="BA118" i="24" s="1"/>
  <c r="BA152" i="24" s="1"/>
  <c r="DI106" i="24"/>
  <c r="DI118" i="24" s="1"/>
  <c r="DI159" i="24" s="1"/>
  <c r="F68" i="24"/>
  <c r="CK106" i="24"/>
  <c r="CK118" i="24" s="1"/>
  <c r="CK159" i="24" s="1"/>
  <c r="AJ106" i="24"/>
  <c r="AJ118" i="24" s="1"/>
  <c r="AJ159" i="24" s="1"/>
  <c r="DB106" i="24"/>
  <c r="DB118" i="24" s="1"/>
  <c r="DB159" i="24" s="1"/>
  <c r="AI106" i="24"/>
  <c r="AI118" i="24" s="1"/>
  <c r="DK106" i="24"/>
  <c r="DK118" i="24" s="1"/>
  <c r="DK152" i="24" s="1"/>
  <c r="AH159" i="24"/>
  <c r="AH152" i="24"/>
  <c r="DN159" i="24"/>
  <c r="DN152" i="24"/>
  <c r="BW159" i="24"/>
  <c r="BW152" i="24"/>
  <c r="BT159" i="24"/>
  <c r="CS159" i="24"/>
  <c r="DY152" i="24"/>
  <c r="AS159" i="24"/>
  <c r="AQ152" i="24"/>
  <c r="AQ159" i="24"/>
  <c r="BC159" i="24"/>
  <c r="BC152" i="24"/>
  <c r="EQ159" i="24"/>
  <c r="EQ152" i="24"/>
  <c r="ET159" i="24"/>
  <c r="ET152" i="24"/>
  <c r="AA152" i="24"/>
  <c r="AA159" i="24"/>
  <c r="AW159" i="24"/>
  <c r="AW152" i="24"/>
  <c r="DQ159" i="24"/>
  <c r="DQ152" i="24"/>
  <c r="AO152" i="24"/>
  <c r="AO159" i="24"/>
  <c r="BF159" i="24"/>
  <c r="BF152" i="24"/>
  <c r="EP152" i="24"/>
  <c r="EP159" i="24"/>
  <c r="AP159" i="24"/>
  <c r="AP152" i="24"/>
  <c r="CH152" i="24"/>
  <c r="CH159" i="24"/>
  <c r="AI152" i="24"/>
  <c r="AI159" i="24"/>
  <c r="AK159" i="24"/>
  <c r="AK152" i="24"/>
  <c r="BG159" i="24"/>
  <c r="BG152" i="24"/>
  <c r="CQ159" i="24"/>
  <c r="CQ152" i="24"/>
  <c r="DV159" i="24"/>
  <c r="DV152" i="24"/>
  <c r="BU152" i="24"/>
  <c r="BU159" i="24"/>
  <c r="BI159" i="24"/>
  <c r="BI152" i="24"/>
  <c r="AD106" i="24"/>
  <c r="AD118" i="24" s="1"/>
  <c r="Y95" i="24"/>
  <c r="F65" i="24"/>
  <c r="EB106" i="24"/>
  <c r="EB118" i="24" s="1"/>
  <c r="DL95" i="24"/>
  <c r="BJ152" i="24"/>
  <c r="BJ159" i="24"/>
  <c r="DR159" i="24"/>
  <c r="DR152" i="24"/>
  <c r="L39" i="22"/>
  <c r="I35" i="15"/>
  <c r="ES152" i="24"/>
  <c r="DK159" i="24"/>
  <c r="BB159" i="24"/>
  <c r="BB152" i="24"/>
  <c r="CC159" i="24"/>
  <c r="CC152" i="24"/>
  <c r="BQ159" i="24"/>
  <c r="BQ152" i="24"/>
  <c r="EG159" i="24"/>
  <c r="EG152" i="24"/>
  <c r="DE152" i="24"/>
  <c r="DE159" i="24"/>
  <c r="M35" i="22"/>
  <c r="BP73" i="24"/>
  <c r="BP76" i="24" s="1"/>
  <c r="CZ95" i="24"/>
  <c r="AC159" i="24"/>
  <c r="AC152" i="24"/>
  <c r="CD159" i="24"/>
  <c r="CD152" i="24"/>
  <c r="N36" i="22"/>
  <c r="L40" i="22"/>
  <c r="I36" i="15"/>
  <c r="P35" i="22"/>
  <c r="CZ73" i="24"/>
  <c r="CZ76" i="24" s="1"/>
  <c r="CN95" i="24"/>
  <c r="EO159" i="24"/>
  <c r="EO152" i="24"/>
  <c r="CG106" i="24"/>
  <c r="CG118" i="24" s="1"/>
  <c r="BP95" i="24"/>
  <c r="CW106" i="24"/>
  <c r="CW118" i="24" s="1"/>
  <c r="BM106" i="24"/>
  <c r="BM118" i="24" s="1"/>
  <c r="DU106" i="24"/>
  <c r="DU118" i="24" s="1"/>
  <c r="G40" i="22"/>
  <c r="F72" i="24"/>
  <c r="AF95" i="24"/>
  <c r="EA106" i="24"/>
  <c r="EA118" i="24" s="1"/>
  <c r="BL106" i="24"/>
  <c r="BL118" i="24" s="1"/>
  <c r="L38" i="22"/>
  <c r="I34" i="15"/>
  <c r="S35" i="22"/>
  <c r="EJ73" i="24"/>
  <c r="CA106" i="24"/>
  <c r="CA118" i="24" s="1"/>
  <c r="DP106" i="24"/>
  <c r="DP118" i="24" s="1"/>
  <c r="CF106" i="24"/>
  <c r="CF118" i="24" s="1"/>
  <c r="EU106" i="24"/>
  <c r="EU118" i="24" s="1"/>
  <c r="AT106" i="24"/>
  <c r="AT118" i="24" s="1"/>
  <c r="I36" i="22"/>
  <c r="G39" i="22"/>
  <c r="F71" i="24"/>
  <c r="Q36" i="22"/>
  <c r="EF152" i="24"/>
  <c r="EF159" i="24"/>
  <c r="R36" i="22"/>
  <c r="L37" i="22"/>
  <c r="I33" i="15"/>
  <c r="DG152" i="24"/>
  <c r="DG159" i="24"/>
  <c r="AY106" i="24"/>
  <c r="AY118" i="24" s="1"/>
  <c r="O36" i="22"/>
  <c r="DM106" i="24"/>
  <c r="DM118" i="24" s="1"/>
  <c r="CL106" i="24"/>
  <c r="CL118" i="24" s="1"/>
  <c r="G38" i="22"/>
  <c r="F70" i="24"/>
  <c r="BV106" i="24"/>
  <c r="BV118" i="24" s="1"/>
  <c r="CT106" i="24"/>
  <c r="CT118" i="24" s="1"/>
  <c r="AB106" i="24"/>
  <c r="AB118" i="24" s="1"/>
  <c r="DS106" i="24"/>
  <c r="DS118" i="24" s="1"/>
  <c r="N35" i="22"/>
  <c r="N41" i="22" s="1"/>
  <c r="N43" i="22" s="1"/>
  <c r="CB73" i="24"/>
  <c r="CB76" i="24" s="1"/>
  <c r="AE106" i="24"/>
  <c r="AE118" i="24" s="1"/>
  <c r="EJ95" i="24"/>
  <c r="EJ76" i="24"/>
  <c r="DF106" i="24"/>
  <c r="DF118" i="24" s="1"/>
  <c r="EE106" i="24"/>
  <c r="EE118" i="24" s="1"/>
  <c r="AZ106" i="24"/>
  <c r="AZ118" i="24" s="1"/>
  <c r="DD106" i="24"/>
  <c r="DD118" i="24" s="1"/>
  <c r="CR106" i="24"/>
  <c r="CR118" i="24" s="1"/>
  <c r="AV106" i="24"/>
  <c r="AV118" i="24" s="1"/>
  <c r="P36" i="22"/>
  <c r="BK152" i="24"/>
  <c r="BK159" i="24"/>
  <c r="CB95" i="24"/>
  <c r="EK152" i="24"/>
  <c r="EK159" i="24"/>
  <c r="DO152" i="24"/>
  <c r="DO159" i="24"/>
  <c r="M36" i="22"/>
  <c r="BS152" i="24"/>
  <c r="I35" i="22"/>
  <c r="AR73" i="24"/>
  <c r="AR76" i="24" s="1"/>
  <c r="R35" i="22"/>
  <c r="DX73" i="24"/>
  <c r="DX76" i="24" s="1"/>
  <c r="H37" i="22"/>
  <c r="H36" i="22" s="1"/>
  <c r="H41" i="22" s="1"/>
  <c r="H43" i="22" s="1"/>
  <c r="AF73" i="24"/>
  <c r="AF76" i="24" s="1"/>
  <c r="DZ106" i="24"/>
  <c r="DZ118" i="24" s="1"/>
  <c r="L35" i="22"/>
  <c r="I32" i="15"/>
  <c r="BD73" i="24"/>
  <c r="CI106" i="24"/>
  <c r="CI118" i="24" s="1"/>
  <c r="BY106" i="24"/>
  <c r="BY118" i="24" s="1"/>
  <c r="DJ106" i="24"/>
  <c r="DJ118" i="24" s="1"/>
  <c r="EH106" i="24"/>
  <c r="EH118" i="24" s="1"/>
  <c r="AG106" i="24"/>
  <c r="AG118" i="24" s="1"/>
  <c r="CJ106" i="24"/>
  <c r="CJ118" i="24" s="1"/>
  <c r="AN106" i="24"/>
  <c r="AN118" i="24" s="1"/>
  <c r="DH152" i="24"/>
  <c r="DH159" i="24"/>
  <c r="G37" i="22"/>
  <c r="Y73" i="24"/>
  <c r="Y76" i="24" s="1"/>
  <c r="F69" i="24"/>
  <c r="O35" i="22"/>
  <c r="CN73" i="24"/>
  <c r="CN76" i="24" s="1"/>
  <c r="CX106" i="24"/>
  <c r="CX118" i="24" s="1"/>
  <c r="AR95" i="24"/>
  <c r="CV106" i="24"/>
  <c r="CV118" i="24" s="1"/>
  <c r="AX106" i="24"/>
  <c r="AX118" i="24" s="1"/>
  <c r="Q35" i="22"/>
  <c r="DL73" i="24"/>
  <c r="DL76" i="24" s="1"/>
  <c r="DW106" i="24"/>
  <c r="DW118" i="24" s="1"/>
  <c r="CM106" i="24"/>
  <c r="CM118" i="24" s="1"/>
  <c r="DX95" i="24"/>
  <c r="DC106" i="24"/>
  <c r="DC118" i="24" s="1"/>
  <c r="CY106" i="24"/>
  <c r="CY118" i="24" s="1"/>
  <c r="CU106" i="24"/>
  <c r="CU118" i="24" s="1"/>
  <c r="CE106" i="24"/>
  <c r="CE118" i="24" s="1"/>
  <c r="AU106" i="24"/>
  <c r="AU118" i="24" s="1"/>
  <c r="BD95" i="24"/>
  <c r="BD76" i="24"/>
  <c r="S36" i="22"/>
  <c r="CP106" i="24"/>
  <c r="CP118" i="24" s="1"/>
  <c r="AM106" i="24"/>
  <c r="AM118" i="24" s="1"/>
  <c r="EI152" i="24" l="1"/>
  <c r="Z159" i="24"/>
  <c r="BN152" i="24"/>
  <c r="AL159" i="24"/>
  <c r="Q41" i="22"/>
  <c r="Q43" i="22" s="1"/>
  <c r="BX152" i="24"/>
  <c r="O41" i="22"/>
  <c r="O43" i="22" s="1"/>
  <c r="R41" i="22"/>
  <c r="R43" i="22" s="1"/>
  <c r="EM152" i="24"/>
  <c r="G36" i="22"/>
  <c r="G41" i="22" s="1"/>
  <c r="G43" i="22" s="1"/>
  <c r="BE152" i="24"/>
  <c r="AJ152" i="24"/>
  <c r="EL152" i="24"/>
  <c r="BR159" i="24"/>
  <c r="CK152" i="24"/>
  <c r="CO152" i="24"/>
  <c r="EC159" i="24"/>
  <c r="DA159" i="24"/>
  <c r="EN159" i="24"/>
  <c r="BO152" i="24"/>
  <c r="BH159" i="24"/>
  <c r="BA159" i="24"/>
  <c r="ER159" i="24"/>
  <c r="ED159" i="24"/>
  <c r="BZ159" i="24"/>
  <c r="DT159" i="24"/>
  <c r="DI152" i="24"/>
  <c r="DB152" i="24"/>
  <c r="S41" i="22"/>
  <c r="S43" i="22" s="1"/>
  <c r="F76" i="24"/>
  <c r="L61" i="22"/>
  <c r="L66" i="22" s="1"/>
  <c r="L68" i="22" s="1"/>
  <c r="N23" i="15"/>
  <c r="N28" i="15" s="1"/>
  <c r="N31" i="15" s="1"/>
  <c r="BD100" i="24"/>
  <c r="BD103" i="24" s="1"/>
  <c r="BD106" i="24" s="1"/>
  <c r="BD118" i="24" s="1"/>
  <c r="CM159" i="24"/>
  <c r="CM152" i="24"/>
  <c r="CX159" i="24"/>
  <c r="CX152" i="24"/>
  <c r="BY152" i="24"/>
  <c r="BY159" i="24"/>
  <c r="DD152" i="24"/>
  <c r="DD159" i="24"/>
  <c r="CL159" i="24"/>
  <c r="CL152" i="24"/>
  <c r="CF152" i="24"/>
  <c r="CF159" i="24"/>
  <c r="EA159" i="24"/>
  <c r="EA152" i="24"/>
  <c r="O61" i="22"/>
  <c r="O66" i="22" s="1"/>
  <c r="O68" i="22" s="1"/>
  <c r="O71" i="22" s="1"/>
  <c r="CN100" i="24"/>
  <c r="CN103" i="24" s="1"/>
  <c r="CN106" i="24" s="1"/>
  <c r="CN118" i="24" s="1"/>
  <c r="M41" i="22"/>
  <c r="M43" i="22" s="1"/>
  <c r="DJ152" i="24"/>
  <c r="DJ159" i="24"/>
  <c r="CR159" i="24"/>
  <c r="CR152" i="24"/>
  <c r="CW159" i="24"/>
  <c r="CW152" i="24"/>
  <c r="AZ152" i="24"/>
  <c r="AZ159" i="24"/>
  <c r="DM152" i="24"/>
  <c r="DM159" i="24"/>
  <c r="L36" i="22"/>
  <c r="L41" i="22" s="1"/>
  <c r="L43" i="22" s="1"/>
  <c r="DP159" i="24"/>
  <c r="DP152" i="24"/>
  <c r="M61" i="22"/>
  <c r="M66" i="22" s="1"/>
  <c r="M68" i="22" s="1"/>
  <c r="BP100" i="24"/>
  <c r="BP103" i="24" s="1"/>
  <c r="BP106" i="24" s="1"/>
  <c r="BP118" i="24" s="1"/>
  <c r="Q61" i="22"/>
  <c r="Q66" i="22" s="1"/>
  <c r="Q68" i="22" s="1"/>
  <c r="Q71" i="22" s="1"/>
  <c r="DL100" i="24"/>
  <c r="DL103" i="24" s="1"/>
  <c r="DL106" i="24" s="1"/>
  <c r="DL118" i="24" s="1"/>
  <c r="EU152" i="24"/>
  <c r="EU159" i="24"/>
  <c r="BL159" i="24"/>
  <c r="BL152" i="24"/>
  <c r="AU159" i="24"/>
  <c r="AU152" i="24"/>
  <c r="DW159" i="24"/>
  <c r="DW152" i="24"/>
  <c r="CI159" i="24"/>
  <c r="CI152" i="24"/>
  <c r="CE159" i="24"/>
  <c r="CE152" i="24"/>
  <c r="EE152" i="24"/>
  <c r="EE159" i="24"/>
  <c r="DS159" i="24"/>
  <c r="DS152" i="24"/>
  <c r="CA152" i="24"/>
  <c r="CA159" i="24"/>
  <c r="H61" i="22"/>
  <c r="H66" i="22" s="1"/>
  <c r="H68" i="22" s="1"/>
  <c r="H71" i="22" s="1"/>
  <c r="AF100" i="24"/>
  <c r="AF103" i="24" s="1"/>
  <c r="AF106" i="24" s="1"/>
  <c r="AF118" i="24" s="1"/>
  <c r="CG152" i="24"/>
  <c r="CG159" i="24"/>
  <c r="P41" i="22"/>
  <c r="P43" i="22" s="1"/>
  <c r="EB152" i="24"/>
  <c r="EB159" i="24"/>
  <c r="R61" i="22"/>
  <c r="R66" i="22" s="1"/>
  <c r="R68" i="22" s="1"/>
  <c r="R71" i="22" s="1"/>
  <c r="DX100" i="24"/>
  <c r="DX103" i="24" s="1"/>
  <c r="DX106" i="24" s="1"/>
  <c r="DX118" i="24" s="1"/>
  <c r="I61" i="22"/>
  <c r="I66" i="22" s="1"/>
  <c r="I68" i="22" s="1"/>
  <c r="AR100" i="24"/>
  <c r="AR103" i="24" s="1"/>
  <c r="AR106" i="24" s="1"/>
  <c r="AR118" i="24" s="1"/>
  <c r="CU159" i="24"/>
  <c r="CU152" i="24"/>
  <c r="AN152" i="24"/>
  <c r="AN159" i="24"/>
  <c r="I37" i="15"/>
  <c r="I39" i="15" s="1"/>
  <c r="I41" i="22"/>
  <c r="I43" i="22" s="1"/>
  <c r="DF159" i="24"/>
  <c r="DF152" i="24"/>
  <c r="AB152" i="24"/>
  <c r="AB159" i="24"/>
  <c r="AY159" i="24"/>
  <c r="AY152" i="24"/>
  <c r="AM159" i="24"/>
  <c r="AM152" i="24"/>
  <c r="AX159" i="24"/>
  <c r="AX152" i="24"/>
  <c r="CY159" i="24"/>
  <c r="CY152" i="24"/>
  <c r="CJ159" i="24"/>
  <c r="CJ152" i="24"/>
  <c r="N61" i="22"/>
  <c r="N66" i="22" s="1"/>
  <c r="N68" i="22" s="1"/>
  <c r="N71" i="22" s="1"/>
  <c r="CB100" i="24"/>
  <c r="CB103" i="24" s="1"/>
  <c r="CB106" i="24" s="1"/>
  <c r="CB118" i="24" s="1"/>
  <c r="CP152" i="24"/>
  <c r="CP159" i="24"/>
  <c r="CV159" i="24"/>
  <c r="CV152" i="24"/>
  <c r="AG159" i="24"/>
  <c r="AG152" i="24"/>
  <c r="S61" i="22"/>
  <c r="S66" i="22" s="1"/>
  <c r="S68" i="22" s="1"/>
  <c r="S71" i="22" s="1"/>
  <c r="EJ100" i="24"/>
  <c r="EJ103" i="24" s="1"/>
  <c r="EJ106" i="24" s="1"/>
  <c r="EJ118" i="24" s="1"/>
  <c r="BV159" i="24"/>
  <c r="BV152" i="24"/>
  <c r="G61" i="22"/>
  <c r="G66" i="22" s="1"/>
  <c r="G68" i="22" s="1"/>
  <c r="G71" i="22" s="1"/>
  <c r="G83" i="22" s="1"/>
  <c r="Y100" i="24"/>
  <c r="F95" i="24"/>
  <c r="CT159" i="24"/>
  <c r="CT152" i="24"/>
  <c r="DC159" i="24"/>
  <c r="DC152" i="24"/>
  <c r="DZ159" i="24"/>
  <c r="DZ152" i="24"/>
  <c r="DU152" i="24"/>
  <c r="DU159" i="24"/>
  <c r="F73" i="24"/>
  <c r="EH152" i="24"/>
  <c r="EH159" i="24"/>
  <c r="AV152" i="24"/>
  <c r="AV159" i="24"/>
  <c r="AE152" i="24"/>
  <c r="AE159" i="24"/>
  <c r="AT152" i="24"/>
  <c r="AT159" i="24"/>
  <c r="BM159" i="24"/>
  <c r="BM152" i="24"/>
  <c r="P61" i="22"/>
  <c r="P66" i="22" s="1"/>
  <c r="P68" i="22" s="1"/>
  <c r="CZ100" i="24"/>
  <c r="CZ103" i="24" s="1"/>
  <c r="CZ106" i="24" s="1"/>
  <c r="CZ118" i="24" s="1"/>
  <c r="AD159" i="24"/>
  <c r="AD152" i="24"/>
  <c r="L71" i="22" l="1"/>
  <c r="K7" i="28" s="1"/>
  <c r="P7" i="28"/>
  <c r="Q83" i="22"/>
  <c r="BP159" i="24"/>
  <c r="BP152" i="24"/>
  <c r="AR152" i="24"/>
  <c r="AR159" i="24"/>
  <c r="N7" i="28"/>
  <c r="O83" i="22"/>
  <c r="AF152" i="24"/>
  <c r="AF159" i="24"/>
  <c r="DL152" i="24"/>
  <c r="DL159" i="24"/>
  <c r="CB159" i="24"/>
  <c r="CB152" i="24"/>
  <c r="R7" i="28"/>
  <c r="S83" i="22"/>
  <c r="N83" i="22"/>
  <c r="M7" i="28"/>
  <c r="CZ159" i="24"/>
  <c r="CZ152" i="24"/>
  <c r="DX159" i="24"/>
  <c r="DX152" i="24"/>
  <c r="G128" i="22"/>
  <c r="G131" i="22" s="1"/>
  <c r="G132" i="22"/>
  <c r="EJ152" i="24"/>
  <c r="EJ159" i="24"/>
  <c r="H83" i="22"/>
  <c r="I7" i="28"/>
  <c r="H7" i="28"/>
  <c r="I71" i="22"/>
  <c r="CN159" i="24"/>
  <c r="CN152" i="24"/>
  <c r="Y103" i="24"/>
  <c r="F100" i="24"/>
  <c r="M71" i="22"/>
  <c r="Q7" i="28"/>
  <c r="R83" i="22"/>
  <c r="P71" i="22"/>
  <c r="BD159" i="24"/>
  <c r="BD152" i="24"/>
  <c r="L83" i="22" l="1"/>
  <c r="L128" i="22" s="1"/>
  <c r="L131" i="22" s="1"/>
  <c r="O128" i="22"/>
  <c r="O131" i="22" s="1"/>
  <c r="N18" i="28" s="1"/>
  <c r="O132" i="22"/>
  <c r="N9" i="28"/>
  <c r="N14" i="28"/>
  <c r="Q9" i="28"/>
  <c r="Q14" i="28" s="1"/>
  <c r="H9" i="28"/>
  <c r="H14" i="28" s="1"/>
  <c r="H18" i="28"/>
  <c r="J74" i="57"/>
  <c r="I9" i="28"/>
  <c r="I14" i="28" s="1"/>
  <c r="R9" i="28"/>
  <c r="R14" i="28" s="1"/>
  <c r="L7" i="28"/>
  <c r="M83" i="22"/>
  <c r="F103" i="24"/>
  <c r="Y106" i="24"/>
  <c r="H128" i="22"/>
  <c r="H131" i="22" s="1"/>
  <c r="H132" i="22"/>
  <c r="K9" i="28"/>
  <c r="K14" i="28" s="1"/>
  <c r="J7" i="28"/>
  <c r="I83" i="22"/>
  <c r="M9" i="28"/>
  <c r="M14" i="28" s="1"/>
  <c r="Q132" i="22"/>
  <c r="Q128" i="22"/>
  <c r="Q131" i="22" s="1"/>
  <c r="P18" i="28" s="1"/>
  <c r="P83" i="22"/>
  <c r="O7" i="28"/>
  <c r="S128" i="22"/>
  <c r="S131" i="22" s="1"/>
  <c r="R18" i="28" s="1"/>
  <c r="S132" i="22"/>
  <c r="R132" i="22"/>
  <c r="R128" i="22"/>
  <c r="R131" i="22" s="1"/>
  <c r="Q18" i="28" s="1"/>
  <c r="N128" i="22"/>
  <c r="N131" i="22" s="1"/>
  <c r="M18" i="28" s="1"/>
  <c r="M19" i="28" s="1"/>
  <c r="N132" i="22"/>
  <c r="P9" i="28"/>
  <c r="L132" i="22" l="1"/>
  <c r="N21" i="28"/>
  <c r="O74" i="57" s="1"/>
  <c r="O75" i="57" s="1"/>
  <c r="Q21" i="28"/>
  <c r="R21" i="28"/>
  <c r="K18" i="28"/>
  <c r="M74" i="57"/>
  <c r="M75" i="57" s="1"/>
  <c r="P21" i="28"/>
  <c r="P14" i="28"/>
  <c r="I18" i="28"/>
  <c r="K74" i="57"/>
  <c r="K75" i="57" s="1"/>
  <c r="M128" i="22"/>
  <c r="M131" i="22" s="1"/>
  <c r="M132" i="22"/>
  <c r="M21" i="28"/>
  <c r="M50" i="58" s="1"/>
  <c r="P128" i="22"/>
  <c r="P131" i="22" s="1"/>
  <c r="O18" i="28" s="1"/>
  <c r="P132" i="22"/>
  <c r="L9" i="28"/>
  <c r="L14" i="28" s="1"/>
  <c r="H50" i="58"/>
  <c r="F27" i="27"/>
  <c r="F106" i="24"/>
  <c r="Y118" i="24"/>
  <c r="J9" i="28"/>
  <c r="J14" i="28" s="1"/>
  <c r="I128" i="22"/>
  <c r="I131" i="22" s="1"/>
  <c r="J18" i="28" s="1"/>
  <c r="J19" i="28" s="1"/>
  <c r="J21" i="28" s="1"/>
  <c r="I132" i="22"/>
  <c r="H21" i="28"/>
  <c r="O9" i="28"/>
  <c r="O14" i="28" s="1"/>
  <c r="O21" i="28" l="1"/>
  <c r="L18" i="28"/>
  <c r="N74" i="57"/>
  <c r="N75" i="57" s="1"/>
  <c r="M53" i="58"/>
  <c r="M210" i="58"/>
  <c r="M91" i="58"/>
  <c r="L74" i="57"/>
  <c r="L75" i="57" s="1"/>
  <c r="K21" i="28"/>
  <c r="K50" i="58"/>
  <c r="F30" i="27"/>
  <c r="C16" i="59" s="1"/>
  <c r="L21" i="28"/>
  <c r="J50" i="58"/>
  <c r="E16" i="28"/>
  <c r="F32" i="27" s="1"/>
  <c r="C18" i="59" s="1"/>
  <c r="F69" i="27"/>
  <c r="I50" i="58"/>
  <c r="F28" i="27"/>
  <c r="C14" i="59" s="1"/>
  <c r="I21" i="28"/>
  <c r="Y152" i="24"/>
  <c r="Y159" i="24"/>
  <c r="F159" i="24" s="1"/>
  <c r="F118" i="24"/>
  <c r="H53" i="58"/>
  <c r="H91" i="58"/>
  <c r="H210" i="58"/>
  <c r="E74" i="57"/>
  <c r="E14" i="59" l="1"/>
  <c r="F14" i="59" s="1"/>
  <c r="F74" i="27"/>
  <c r="K210" i="58"/>
  <c r="K53" i="58"/>
  <c r="K91" i="58"/>
  <c r="M94" i="58"/>
  <c r="M213" i="58"/>
  <c r="F72" i="27"/>
  <c r="L50" i="58"/>
  <c r="F31" i="27"/>
  <c r="C17" i="59" s="1"/>
  <c r="F70" i="27"/>
  <c r="I53" i="58"/>
  <c r="I91" i="58"/>
  <c r="I210" i="58"/>
  <c r="E17" i="28"/>
  <c r="F29" i="27"/>
  <c r="C15" i="59" s="1"/>
  <c r="E18" i="28"/>
  <c r="H94" i="58"/>
  <c r="H213" i="58"/>
  <c r="J53" i="58"/>
  <c r="J91" i="58"/>
  <c r="J210" i="58"/>
  <c r="G14" i="59" l="1"/>
  <c r="H14" i="59" s="1"/>
  <c r="D15" i="59" s="1"/>
  <c r="G51" i="27"/>
  <c r="I51" i="27" s="1"/>
  <c r="K213" i="58"/>
  <c r="K94" i="58"/>
  <c r="F73" i="27"/>
  <c r="M262" i="58"/>
  <c r="N261" i="58" s="1"/>
  <c r="M246" i="58"/>
  <c r="N245" i="58" s="1"/>
  <c r="M278" i="58"/>
  <c r="N277" i="58" s="1"/>
  <c r="L53" i="58"/>
  <c r="L91" i="58"/>
  <c r="L210" i="58"/>
  <c r="M106" i="58"/>
  <c r="M127" i="58"/>
  <c r="M159" i="58"/>
  <c r="M225" i="58"/>
  <c r="M143" i="58"/>
  <c r="G53" i="27"/>
  <c r="I53" i="27" s="1"/>
  <c r="I94" i="58"/>
  <c r="I213" i="58"/>
  <c r="F71" i="27"/>
  <c r="J213" i="58"/>
  <c r="J94" i="58"/>
  <c r="H262" i="58"/>
  <c r="H246" i="58"/>
  <c r="H278" i="58"/>
  <c r="H106" i="58"/>
  <c r="H143" i="58"/>
  <c r="H127" i="58"/>
  <c r="H159" i="58"/>
  <c r="H225" i="58"/>
  <c r="F38" i="27"/>
  <c r="I14" i="59" l="1"/>
  <c r="K14" i="59" s="1"/>
  <c r="F24" i="59" s="1"/>
  <c r="E15" i="59"/>
  <c r="K278" i="58"/>
  <c r="L277" i="58" s="1"/>
  <c r="K246" i="58"/>
  <c r="L245" i="58" s="1"/>
  <c r="K262" i="58"/>
  <c r="L261" i="58" s="1"/>
  <c r="L94" i="58"/>
  <c r="L213" i="58"/>
  <c r="G52" i="27"/>
  <c r="I52" i="27" s="1"/>
  <c r="N224" i="58"/>
  <c r="M203" i="58"/>
  <c r="M195" i="58"/>
  <c r="K106" i="58"/>
  <c r="K225" i="58"/>
  <c r="K127" i="58"/>
  <c r="K159" i="58"/>
  <c r="K143" i="58"/>
  <c r="I246" i="58"/>
  <c r="I262" i="58"/>
  <c r="I278" i="58"/>
  <c r="I245" i="58"/>
  <c r="I159" i="58"/>
  <c r="I106" i="58"/>
  <c r="I143" i="58"/>
  <c r="I127" i="58"/>
  <c r="I225" i="58"/>
  <c r="I224" i="58"/>
  <c r="H203" i="58"/>
  <c r="H195" i="58"/>
  <c r="I261" i="58"/>
  <c r="F81" i="27"/>
  <c r="J127" i="58"/>
  <c r="J159" i="58"/>
  <c r="J143" i="58"/>
  <c r="J225" i="58"/>
  <c r="J106" i="58"/>
  <c r="I277" i="58"/>
  <c r="J246" i="58"/>
  <c r="J278" i="58"/>
  <c r="J262" i="58"/>
  <c r="J14" i="59" l="1"/>
  <c r="D24" i="59" s="1"/>
  <c r="G15" i="59"/>
  <c r="H15" i="59" s="1"/>
  <c r="F15" i="59"/>
  <c r="K195" i="58"/>
  <c r="K203" i="58"/>
  <c r="L224" i="58"/>
  <c r="L225" i="58"/>
  <c r="L106" i="58"/>
  <c r="L127" i="58"/>
  <c r="L143" i="58"/>
  <c r="L159" i="58"/>
  <c r="L246" i="58"/>
  <c r="M245" i="58" s="1"/>
  <c r="L278" i="58"/>
  <c r="M277" i="58" s="1"/>
  <c r="L262" i="58"/>
  <c r="M261" i="58" s="1"/>
  <c r="K245" i="58"/>
  <c r="J245" i="58"/>
  <c r="J261" i="58"/>
  <c r="K224" i="58"/>
  <c r="J203" i="58"/>
  <c r="J195" i="58"/>
  <c r="J277" i="58"/>
  <c r="K277" i="58"/>
  <c r="K261" i="58"/>
  <c r="J224" i="58"/>
  <c r="I203" i="58"/>
  <c r="I195" i="58"/>
  <c r="D16" i="59" l="1"/>
  <c r="E16" i="59" s="1"/>
  <c r="F16" i="59" s="1"/>
  <c r="I15" i="59"/>
  <c r="J15" i="59"/>
  <c r="D25" i="59" s="1"/>
  <c r="K15" i="59"/>
  <c r="F25" i="59" s="1"/>
  <c r="L195" i="58"/>
  <c r="M224" i="58"/>
  <c r="L203" i="58"/>
  <c r="J68" i="57"/>
  <c r="J71" i="57" s="1"/>
  <c r="J75" i="57" s="1"/>
  <c r="AK181" i="24"/>
  <c r="AK197" i="24"/>
  <c r="AK230" i="24" s="1"/>
  <c r="AJ181" i="24"/>
  <c r="AJ197" i="24"/>
  <c r="AJ230" i="24"/>
  <c r="AI181" i="24"/>
  <c r="AI197" i="24"/>
  <c r="AI230" i="24" s="1"/>
  <c r="AH181" i="24"/>
  <c r="AH197" i="24"/>
  <c r="AH230" i="24"/>
  <c r="D102" i="25"/>
  <c r="D54" i="25"/>
  <c r="G37" i="25"/>
  <c r="G54" i="25"/>
  <c r="G107" i="25" s="1"/>
  <c r="G16" i="59" l="1"/>
  <c r="H16" i="59" s="1"/>
  <c r="D17" i="59" s="1"/>
  <c r="E75" i="57"/>
  <c r="D77" i="57"/>
  <c r="D23" i="26"/>
  <c r="G111" i="25"/>
  <c r="G116" i="25" s="1"/>
  <c r="I54" i="25"/>
  <c r="H54" i="25"/>
  <c r="G102" i="25"/>
  <c r="J37" i="25" s="1"/>
  <c r="I37" i="25"/>
  <c r="V181" i="24"/>
  <c r="W181" i="24"/>
  <c r="W197" i="24" s="1"/>
  <c r="W230" i="24" s="1"/>
  <c r="H37" i="25"/>
  <c r="I16" i="59" l="1"/>
  <c r="E17" i="59"/>
  <c r="K16" i="59"/>
  <c r="F26" i="59" s="1"/>
  <c r="J16" i="59"/>
  <c r="D26" i="59" s="1"/>
  <c r="X181" i="24"/>
  <c r="J54" i="25"/>
  <c r="V197" i="24"/>
  <c r="J47" i="25"/>
  <c r="J22" i="25"/>
  <c r="J59" i="25"/>
  <c r="J51" i="25"/>
  <c r="J68" i="25"/>
  <c r="J32" i="25"/>
  <c r="J81" i="25"/>
  <c r="J67" i="25"/>
  <c r="J16" i="25"/>
  <c r="J90" i="25"/>
  <c r="J38" i="25"/>
  <c r="J34" i="25"/>
  <c r="J65" i="25"/>
  <c r="J61" i="25"/>
  <c r="J24" i="25"/>
  <c r="J18" i="25"/>
  <c r="J11" i="25"/>
  <c r="J21" i="25"/>
  <c r="J14" i="25"/>
  <c r="J33" i="25"/>
  <c r="J26" i="25"/>
  <c r="J30" i="25"/>
  <c r="J23" i="25"/>
  <c r="J57" i="25"/>
  <c r="J50" i="25"/>
  <c r="J60" i="25"/>
  <c r="I102" i="25"/>
  <c r="J66" i="25"/>
  <c r="J31" i="25"/>
  <c r="J91" i="25"/>
  <c r="J75" i="25"/>
  <c r="J19" i="25"/>
  <c r="J15" i="25"/>
  <c r="J62" i="25"/>
  <c r="J42" i="25"/>
  <c r="J80" i="25"/>
  <c r="J69" i="25"/>
  <c r="J17" i="25"/>
  <c r="J36" i="25"/>
  <c r="J72" i="25"/>
  <c r="J70" i="25"/>
  <c r="J64" i="25"/>
  <c r="J100" i="25"/>
  <c r="J82" i="25"/>
  <c r="J45" i="25"/>
  <c r="J40" i="25"/>
  <c r="H102" i="25"/>
  <c r="J87" i="25"/>
  <c r="J46" i="25"/>
  <c r="J79" i="25"/>
  <c r="J52" i="25"/>
  <c r="J41" i="25"/>
  <c r="J63" i="25"/>
  <c r="J35" i="25"/>
  <c r="J29" i="25"/>
  <c r="J44" i="25"/>
  <c r="J39" i="25"/>
  <c r="J48" i="25"/>
  <c r="J43" i="25"/>
  <c r="J20" i="25"/>
  <c r="J92" i="25"/>
  <c r="J58" i="25"/>
  <c r="J49" i="25"/>
  <c r="Q5" i="39"/>
  <c r="F4" i="27"/>
  <c r="C120" i="25"/>
  <c r="H10" i="26"/>
  <c r="D121" i="25" s="1"/>
  <c r="I10" i="32"/>
  <c r="L8" i="26"/>
  <c r="L15" i="26" s="1"/>
  <c r="L19" i="26" s="1"/>
  <c r="D28" i="26"/>
  <c r="I23" i="55"/>
  <c r="G17" i="59" l="1"/>
  <c r="H17" i="59" s="1"/>
  <c r="F17" i="59"/>
  <c r="M162" i="24"/>
  <c r="Q162" i="24"/>
  <c r="U162" i="24"/>
  <c r="Y162" i="24"/>
  <c r="AC162" i="24"/>
  <c r="AG162" i="24"/>
  <c r="AK162" i="24"/>
  <c r="AO162" i="24"/>
  <c r="J162" i="24"/>
  <c r="AI162" i="24"/>
  <c r="T162" i="24"/>
  <c r="AF162" i="24"/>
  <c r="N162" i="24"/>
  <c r="R162" i="24"/>
  <c r="V162" i="24"/>
  <c r="Z162" i="24"/>
  <c r="AD162" i="24"/>
  <c r="AH162" i="24"/>
  <c r="AL162" i="24"/>
  <c r="AP162" i="24"/>
  <c r="K162" i="24"/>
  <c r="AE162" i="24"/>
  <c r="P162" i="24"/>
  <c r="X162" i="24"/>
  <c r="AJ162" i="24"/>
  <c r="O162" i="24"/>
  <c r="S162" i="24"/>
  <c r="W162" i="24"/>
  <c r="AA162" i="24"/>
  <c r="AM162" i="24"/>
  <c r="L162" i="24"/>
  <c r="AB162" i="24"/>
  <c r="AN162" i="24"/>
  <c r="K28" i="26"/>
  <c r="I28" i="55"/>
  <c r="H28" i="55" s="1"/>
  <c r="H23" i="55"/>
  <c r="P11" i="26"/>
  <c r="T11" i="26"/>
  <c r="X13" i="26"/>
  <c r="H8" i="55"/>
  <c r="V230" i="24"/>
  <c r="X197" i="24"/>
  <c r="X230" i="24" s="1"/>
  <c r="Y181" i="24"/>
  <c r="H37" i="55"/>
  <c r="L30" i="26"/>
  <c r="L42" i="26" s="1"/>
  <c r="L21" i="26"/>
  <c r="L29" i="26"/>
  <c r="D17" i="26" s="1"/>
  <c r="F22" i="59" s="1"/>
  <c r="D9" i="57"/>
  <c r="D8" i="58"/>
  <c r="J102" i="25"/>
  <c r="D18" i="59" l="1"/>
  <c r="E18" i="59" s="1"/>
  <c r="F18" i="59" s="1"/>
  <c r="I17" i="59"/>
  <c r="E12" i="58"/>
  <c r="G106" i="58" s="1"/>
  <c r="E13" i="58"/>
  <c r="E16" i="57"/>
  <c r="E15" i="57"/>
  <c r="E14" i="57"/>
  <c r="E68" i="57" s="1"/>
  <c r="E13" i="57"/>
  <c r="Y197" i="24"/>
  <c r="Z181" i="24"/>
  <c r="H16" i="55"/>
  <c r="H15" i="55"/>
  <c r="E31" i="28"/>
  <c r="J37" i="55"/>
  <c r="I17" i="55"/>
  <c r="D18" i="26"/>
  <c r="F162" i="24"/>
  <c r="H24" i="27" s="1"/>
  <c r="C122" i="25" l="1"/>
  <c r="D122" i="25" s="1"/>
  <c r="D22" i="59"/>
  <c r="K17" i="59"/>
  <c r="F27" i="59" s="1"/>
  <c r="J17" i="59"/>
  <c r="D27" i="59" s="1"/>
  <c r="G18" i="59"/>
  <c r="H18" i="59" s="1"/>
  <c r="G76" i="58"/>
  <c r="G30" i="58" s="1"/>
  <c r="G108" i="58"/>
  <c r="H103" i="58" s="1"/>
  <c r="H105" i="58" s="1"/>
  <c r="D19" i="26"/>
  <c r="D29" i="26" s="1"/>
  <c r="G28" i="27"/>
  <c r="O20" i="27"/>
  <c r="F7" i="27"/>
  <c r="E67" i="57"/>
  <c r="E71" i="57" s="1"/>
  <c r="D78" i="57" s="1"/>
  <c r="E17" i="57"/>
  <c r="K233" i="58"/>
  <c r="O233" i="58"/>
  <c r="P233" i="58"/>
  <c r="M233" i="58"/>
  <c r="R233" i="58"/>
  <c r="Q233" i="58"/>
  <c r="N233" i="58"/>
  <c r="L233" i="58"/>
  <c r="H233" i="58"/>
  <c r="I233" i="58"/>
  <c r="J233" i="58"/>
  <c r="G233" i="58"/>
  <c r="S233" i="58"/>
  <c r="H114" i="58"/>
  <c r="I114" i="58"/>
  <c r="K114" i="58"/>
  <c r="J114" i="58"/>
  <c r="G114" i="58"/>
  <c r="O114" i="58"/>
  <c r="Q114" i="58"/>
  <c r="L114" i="58"/>
  <c r="S114" i="58"/>
  <c r="M114" i="58"/>
  <c r="N114" i="58"/>
  <c r="P114" i="58"/>
  <c r="R114" i="58"/>
  <c r="Z197" i="24"/>
  <c r="Z230" i="24" s="1"/>
  <c r="G262" i="58"/>
  <c r="G246" i="58"/>
  <c r="G127" i="58"/>
  <c r="R143" i="58"/>
  <c r="S143" i="58"/>
  <c r="G143" i="58"/>
  <c r="G225" i="58"/>
  <c r="E14" i="58"/>
  <c r="G50" i="58" s="1"/>
  <c r="G278" i="58"/>
  <c r="G159" i="58"/>
  <c r="I37" i="55"/>
  <c r="B31" i="28"/>
  <c r="I18" i="55"/>
  <c r="H18" i="55" s="1"/>
  <c r="H17" i="55"/>
  <c r="Y230" i="24"/>
  <c r="AA181" i="24"/>
  <c r="I18" i="59" l="1"/>
  <c r="I19" i="55"/>
  <c r="H19" i="55" s="1"/>
  <c r="H224" i="58"/>
  <c r="G228" i="58"/>
  <c r="G203" i="58"/>
  <c r="G195" i="58"/>
  <c r="G227" i="58"/>
  <c r="H222" i="58" s="1"/>
  <c r="M84" i="58"/>
  <c r="O84" i="58"/>
  <c r="I84" i="58"/>
  <c r="O232" i="58"/>
  <c r="Q232" i="58"/>
  <c r="H277" i="58"/>
  <c r="H245" i="58"/>
  <c r="R84" i="58"/>
  <c r="S84" i="58"/>
  <c r="G117" i="58"/>
  <c r="E84" i="58"/>
  <c r="G116" i="58"/>
  <c r="H112" i="58" s="1"/>
  <c r="G84" i="58"/>
  <c r="H84" i="58"/>
  <c r="J232" i="58"/>
  <c r="R232" i="58"/>
  <c r="P232" i="58"/>
  <c r="AB181" i="24"/>
  <c r="AB197" i="24" s="1"/>
  <c r="AB230" i="24" s="1"/>
  <c r="AC181" i="24"/>
  <c r="AC197" i="24" s="1"/>
  <c r="AC230" i="24" s="1"/>
  <c r="G109" i="58"/>
  <c r="H261" i="58"/>
  <c r="P84" i="58"/>
  <c r="L84" i="58"/>
  <c r="J84" i="58"/>
  <c r="I232" i="58"/>
  <c r="S232" i="58"/>
  <c r="L232" i="58"/>
  <c r="G91" i="58"/>
  <c r="G210" i="58"/>
  <c r="G53" i="58"/>
  <c r="N84" i="58"/>
  <c r="Q84" i="58"/>
  <c r="K84" i="58"/>
  <c r="H232" i="58"/>
  <c r="E203" i="58"/>
  <c r="G235" i="58"/>
  <c r="H231" i="58" s="1"/>
  <c r="G236" i="58"/>
  <c r="M232" i="58"/>
  <c r="N232" i="58"/>
  <c r="F11" i="27"/>
  <c r="H14" i="27"/>
  <c r="H15" i="27"/>
  <c r="AA197" i="24"/>
  <c r="AD181" i="24"/>
  <c r="AD197" i="24" s="1"/>
  <c r="AD230" i="24" s="1"/>
  <c r="K232" i="58"/>
  <c r="F37" i="59" l="1"/>
  <c r="F36" i="59"/>
  <c r="J18" i="59"/>
  <c r="D28" i="59" s="1"/>
  <c r="K18" i="59"/>
  <c r="F28" i="59" s="1"/>
  <c r="H25" i="28"/>
  <c r="I46" i="27"/>
  <c r="H16" i="27"/>
  <c r="G24" i="27" s="1"/>
  <c r="G29" i="27" s="1"/>
  <c r="G30" i="27" s="1"/>
  <c r="Q41" i="58"/>
  <c r="E57" i="58"/>
  <c r="E56" i="58"/>
  <c r="E55" i="58"/>
  <c r="G94" i="58"/>
  <c r="G213" i="58"/>
  <c r="L41" i="58"/>
  <c r="E76" i="58"/>
  <c r="H41" i="58"/>
  <c r="R41" i="58"/>
  <c r="E195" i="58"/>
  <c r="AE181" i="24"/>
  <c r="H107" i="58"/>
  <c r="O41" i="58"/>
  <c r="AA230" i="24"/>
  <c r="K41" i="58"/>
  <c r="N41" i="58"/>
  <c r="J41" i="58"/>
  <c r="P41" i="58"/>
  <c r="G41" i="58"/>
  <c r="S41" i="58"/>
  <c r="H24" i="28"/>
  <c r="G46" i="27"/>
  <c r="H113" i="58"/>
  <c r="I41" i="58"/>
  <c r="M41" i="58"/>
  <c r="H226" i="58"/>
  <c r="H227" i="58" s="1"/>
  <c r="I222" i="58" s="1"/>
  <c r="H229" i="58"/>
  <c r="G31" i="27" l="1"/>
  <c r="H110" i="58"/>
  <c r="H104" i="58" s="1"/>
  <c r="H109" i="58"/>
  <c r="H115" i="58"/>
  <c r="I226" i="58"/>
  <c r="I227" i="58" s="1"/>
  <c r="J222" i="58" s="1"/>
  <c r="I229" i="58"/>
  <c r="H228" i="58"/>
  <c r="H234" i="58"/>
  <c r="H238" i="58" s="1"/>
  <c r="E41" i="58"/>
  <c r="H108" i="58"/>
  <c r="G120" i="58"/>
  <c r="G129" i="58" s="1"/>
  <c r="G15" i="27"/>
  <c r="I69" i="27" s="1"/>
  <c r="J69" i="27" s="1"/>
  <c r="G70" i="27" s="1"/>
  <c r="G49" i="27" s="1"/>
  <c r="I49" i="27" s="1"/>
  <c r="G69" i="27"/>
  <c r="F88" i="27"/>
  <c r="E98" i="58"/>
  <c r="E217" i="58"/>
  <c r="E215" i="58"/>
  <c r="E96" i="58"/>
  <c r="H23" i="28"/>
  <c r="H27" i="28" s="1"/>
  <c r="H247" i="58"/>
  <c r="H223" i="58"/>
  <c r="AE197" i="24"/>
  <c r="AF181" i="24"/>
  <c r="E30" i="58"/>
  <c r="G239" i="58"/>
  <c r="G248" i="58" s="1"/>
  <c r="E97" i="58"/>
  <c r="E216" i="58"/>
  <c r="H119" i="58" l="1"/>
  <c r="G32" i="27"/>
  <c r="H128" i="58"/>
  <c r="I103" i="58"/>
  <c r="I105" i="58" s="1"/>
  <c r="I110" i="58" s="1"/>
  <c r="J226" i="58"/>
  <c r="J227" i="58" s="1"/>
  <c r="K222" i="58" s="1"/>
  <c r="J229" i="58"/>
  <c r="AF197" i="24"/>
  <c r="AF230" i="24" s="1"/>
  <c r="AG181" i="24"/>
  <c r="F89" i="27"/>
  <c r="G48" i="27" s="1"/>
  <c r="H70" i="27"/>
  <c r="H71" i="27" s="1"/>
  <c r="H117" i="58"/>
  <c r="G263" i="58"/>
  <c r="G252" i="58"/>
  <c r="G249" i="58"/>
  <c r="H244" i="58" s="1"/>
  <c r="G250" i="58"/>
  <c r="AE230" i="24"/>
  <c r="I223" i="58"/>
  <c r="I247" i="58"/>
  <c r="G144" i="58"/>
  <c r="G133" i="58"/>
  <c r="G131" i="58"/>
  <c r="G130" i="58"/>
  <c r="H125" i="58" s="1"/>
  <c r="I228" i="58"/>
  <c r="I234" i="58"/>
  <c r="H27" i="27"/>
  <c r="H239" i="58"/>
  <c r="H26" i="28"/>
  <c r="I23" i="28" s="1"/>
  <c r="H236" i="58"/>
  <c r="H235" i="58"/>
  <c r="I231" i="58" s="1"/>
  <c r="H120" i="58"/>
  <c r="H116" i="58"/>
  <c r="I112" i="58" s="1"/>
  <c r="B32" i="28" l="1"/>
  <c r="D23" i="59"/>
  <c r="H28" i="27"/>
  <c r="I107" i="58"/>
  <c r="I109" i="58" s="1"/>
  <c r="I235" i="58"/>
  <c r="J231" i="58" s="1"/>
  <c r="H35" i="28"/>
  <c r="I70" i="27"/>
  <c r="J70" i="27" s="1"/>
  <c r="G71" i="27" s="1"/>
  <c r="H72" i="27" s="1"/>
  <c r="J27" i="27"/>
  <c r="F23" i="59" s="1"/>
  <c r="I27" i="27"/>
  <c r="I236" i="58"/>
  <c r="I113" i="58"/>
  <c r="H126" i="58"/>
  <c r="H129" i="58" s="1"/>
  <c r="K229" i="58"/>
  <c r="K226" i="58"/>
  <c r="K227" i="58" s="1"/>
  <c r="L222" i="58" s="1"/>
  <c r="G134" i="58"/>
  <c r="H248" i="58"/>
  <c r="H249" i="58" s="1"/>
  <c r="I244" i="58" s="1"/>
  <c r="J223" i="58"/>
  <c r="J247" i="58"/>
  <c r="I48" i="27"/>
  <c r="R53" i="27"/>
  <c r="R54" i="27" s="1"/>
  <c r="I27" i="28"/>
  <c r="I26" i="28"/>
  <c r="J23" i="28" s="1"/>
  <c r="I238" i="58"/>
  <c r="G253" i="58"/>
  <c r="G254" i="58" s="1"/>
  <c r="I128" i="58"/>
  <c r="I104" i="58"/>
  <c r="AG197" i="24"/>
  <c r="F181" i="24"/>
  <c r="J228" i="58"/>
  <c r="J234" i="58"/>
  <c r="J238" i="58" s="1"/>
  <c r="J28" i="27" l="1"/>
  <c r="E33" i="28" s="1"/>
  <c r="B33" i="28"/>
  <c r="I108" i="58"/>
  <c r="J103" i="58" s="1"/>
  <c r="J105" i="58" s="1"/>
  <c r="J110" i="58" s="1"/>
  <c r="I115" i="58"/>
  <c r="I119" i="58" s="1"/>
  <c r="I120" i="58" s="1"/>
  <c r="L226" i="58"/>
  <c r="L227" i="58" s="1"/>
  <c r="M222" i="58" s="1"/>
  <c r="L229" i="58"/>
  <c r="J239" i="58"/>
  <c r="G255" i="58"/>
  <c r="G264" i="58" s="1"/>
  <c r="K223" i="58"/>
  <c r="K247" i="58"/>
  <c r="F82" i="27"/>
  <c r="I71" i="27"/>
  <c r="J71" i="27" s="1"/>
  <c r="G72" i="27" s="1"/>
  <c r="H73" i="27" s="1"/>
  <c r="I35" i="28"/>
  <c r="I28" i="27"/>
  <c r="I239" i="58"/>
  <c r="I248" i="58" s="1"/>
  <c r="J236" i="58"/>
  <c r="J235" i="58"/>
  <c r="K231" i="58" s="1"/>
  <c r="H133" i="58"/>
  <c r="H144" i="58"/>
  <c r="H131" i="58"/>
  <c r="AG230" i="24"/>
  <c r="F230" i="24" s="1"/>
  <c r="F197" i="24"/>
  <c r="J26" i="28"/>
  <c r="K23" i="28" s="1"/>
  <c r="J27" i="28"/>
  <c r="H252" i="58"/>
  <c r="H263" i="58"/>
  <c r="H250" i="58"/>
  <c r="H29" i="27"/>
  <c r="G135" i="58"/>
  <c r="K228" i="58"/>
  <c r="K234" i="58"/>
  <c r="K238" i="58" s="1"/>
  <c r="H130" i="58"/>
  <c r="I125" i="58" s="1"/>
  <c r="E32" i="28"/>
  <c r="K27" i="27"/>
  <c r="H37" i="28"/>
  <c r="I117" i="58" l="1"/>
  <c r="I116" i="58"/>
  <c r="J112" i="58" s="1"/>
  <c r="J113" i="58" s="1"/>
  <c r="J107" i="58"/>
  <c r="J108" i="58" s="1"/>
  <c r="K103" i="58" s="1"/>
  <c r="I252" i="58"/>
  <c r="I263" i="58"/>
  <c r="I250" i="58"/>
  <c r="I249" i="58"/>
  <c r="J244" i="58" s="1"/>
  <c r="K239" i="58"/>
  <c r="B34" i="28"/>
  <c r="J35" i="28"/>
  <c r="I29" i="27"/>
  <c r="H30" i="27"/>
  <c r="J30" i="27" s="1"/>
  <c r="K235" i="58"/>
  <c r="L231" i="58" s="1"/>
  <c r="G268" i="58"/>
  <c r="G265" i="58"/>
  <c r="H260" i="58" s="1"/>
  <c r="G266" i="58"/>
  <c r="I72" i="27"/>
  <c r="J72" i="27" s="1"/>
  <c r="G73" i="27" s="1"/>
  <c r="I37" i="28"/>
  <c r="K28" i="27"/>
  <c r="I126" i="58"/>
  <c r="G136" i="58"/>
  <c r="G145" i="58" s="1"/>
  <c r="M226" i="58"/>
  <c r="M227" i="58" s="1"/>
  <c r="N222" i="58" s="1"/>
  <c r="M229" i="58"/>
  <c r="J29" i="27"/>
  <c r="L223" i="58"/>
  <c r="L247" i="58"/>
  <c r="K27" i="28"/>
  <c r="K26" i="28"/>
  <c r="L23" i="28" s="1"/>
  <c r="K236" i="58"/>
  <c r="H253" i="58"/>
  <c r="H254" i="58" s="1"/>
  <c r="H134" i="58"/>
  <c r="H135" i="58" s="1"/>
  <c r="J104" i="58"/>
  <c r="J128" i="58"/>
  <c r="F83" i="27"/>
  <c r="H83" i="27"/>
  <c r="G50" i="27" s="1"/>
  <c r="L228" i="58"/>
  <c r="L234" i="58"/>
  <c r="L238" i="58" s="1"/>
  <c r="J115" i="58" l="1"/>
  <c r="J119" i="58" s="1"/>
  <c r="J120" i="58" s="1"/>
  <c r="J109" i="58"/>
  <c r="K30" i="27"/>
  <c r="K37" i="28"/>
  <c r="K105" i="58"/>
  <c r="K110" i="58" s="1"/>
  <c r="K128" i="58" s="1"/>
  <c r="I129" i="58"/>
  <c r="I130" i="58" s="1"/>
  <c r="J125" i="58" s="1"/>
  <c r="J126" i="58" s="1"/>
  <c r="L236" i="58"/>
  <c r="H255" i="58"/>
  <c r="H264" i="58" s="1"/>
  <c r="H265" i="58" s="1"/>
  <c r="I260" i="58" s="1"/>
  <c r="L27" i="28"/>
  <c r="L26" i="28"/>
  <c r="M23" i="28" s="1"/>
  <c r="K29" i="27"/>
  <c r="K38" i="27" s="1"/>
  <c r="J37" i="28"/>
  <c r="K25" i="28" s="1"/>
  <c r="E34" i="28"/>
  <c r="I73" i="27"/>
  <c r="J73" i="27" s="1"/>
  <c r="G149" i="58"/>
  <c r="G147" i="58"/>
  <c r="G146" i="58"/>
  <c r="H141" i="58" s="1"/>
  <c r="G269" i="58"/>
  <c r="G270" i="58"/>
  <c r="G279" i="58"/>
  <c r="H31" i="27"/>
  <c r="L239" i="58"/>
  <c r="N226" i="58"/>
  <c r="N227" i="58" s="1"/>
  <c r="O222" i="58" s="1"/>
  <c r="N229" i="58"/>
  <c r="L235" i="58"/>
  <c r="M231" i="58" s="1"/>
  <c r="I50" i="27"/>
  <c r="G60" i="27"/>
  <c r="G59" i="27"/>
  <c r="R55" i="27"/>
  <c r="K35" i="28"/>
  <c r="B35" i="28"/>
  <c r="I30" i="27"/>
  <c r="I253" i="58"/>
  <c r="I254" i="58" s="1"/>
  <c r="H136" i="58"/>
  <c r="M223" i="58"/>
  <c r="M247" i="58"/>
  <c r="J117" i="58"/>
  <c r="M228" i="58"/>
  <c r="M234" i="58"/>
  <c r="M238" i="58" s="1"/>
  <c r="J248" i="58"/>
  <c r="J249" i="58" s="1"/>
  <c r="K244" i="58" s="1"/>
  <c r="J116" i="58"/>
  <c r="K112" i="58" s="1"/>
  <c r="I144" i="58" l="1"/>
  <c r="H32" i="27"/>
  <c r="J32" i="27" s="1"/>
  <c r="J31" i="27"/>
  <c r="I133" i="58"/>
  <c r="I134" i="58" s="1"/>
  <c r="I131" i="58"/>
  <c r="K104" i="58"/>
  <c r="K107" i="58"/>
  <c r="J129" i="58"/>
  <c r="J133" i="58" s="1"/>
  <c r="I255" i="58"/>
  <c r="I264" i="58" s="1"/>
  <c r="M235" i="58"/>
  <c r="N231" i="58" s="1"/>
  <c r="N228" i="58"/>
  <c r="N234" i="58"/>
  <c r="N238" i="58" s="1"/>
  <c r="G150" i="58"/>
  <c r="G151" i="58" s="1"/>
  <c r="G160" i="58"/>
  <c r="M27" i="28"/>
  <c r="M25" i="28"/>
  <c r="M26" i="28"/>
  <c r="N23" i="28" s="1"/>
  <c r="I59" i="27"/>
  <c r="I60" i="27"/>
  <c r="G271" i="58"/>
  <c r="G280" i="58" s="1"/>
  <c r="G284" i="58" s="1"/>
  <c r="B36" i="28"/>
  <c r="L35" i="28"/>
  <c r="I31" i="27"/>
  <c r="I74" i="27"/>
  <c r="H142" i="58"/>
  <c r="H145" i="58" s="1"/>
  <c r="H146" i="58" s="1"/>
  <c r="I141" i="58" s="1"/>
  <c r="E45" i="28"/>
  <c r="E46" i="28"/>
  <c r="L25" i="28"/>
  <c r="L24" i="28" s="1"/>
  <c r="K113" i="58"/>
  <c r="K248" i="58"/>
  <c r="K249" i="58" s="1"/>
  <c r="L244" i="58" s="1"/>
  <c r="H268" i="58"/>
  <c r="H266" i="58"/>
  <c r="J130" i="58"/>
  <c r="K125" i="58" s="1"/>
  <c r="M239" i="58"/>
  <c r="N223" i="58"/>
  <c r="N247" i="58"/>
  <c r="J252" i="58"/>
  <c r="J263" i="58"/>
  <c r="J250" i="58"/>
  <c r="M236" i="58"/>
  <c r="O226" i="58"/>
  <c r="O227" i="58" s="1"/>
  <c r="P222" i="58" s="1"/>
  <c r="O229" i="58"/>
  <c r="G281" i="58" l="1"/>
  <c r="H276" i="58" s="1"/>
  <c r="G282" i="58"/>
  <c r="H33" i="27"/>
  <c r="B37" i="28"/>
  <c r="M35" i="28"/>
  <c r="L37" i="28"/>
  <c r="M24" i="28" s="1"/>
  <c r="K31" i="27"/>
  <c r="E36" i="28"/>
  <c r="J38" i="27"/>
  <c r="E35" i="28"/>
  <c r="M37" i="28"/>
  <c r="K32" i="27"/>
  <c r="E37" i="28"/>
  <c r="I75" i="27"/>
  <c r="I32" i="27"/>
  <c r="K109" i="58"/>
  <c r="K108" i="58"/>
  <c r="L103" i="58" s="1"/>
  <c r="L105" i="58" s="1"/>
  <c r="L110" i="58" s="1"/>
  <c r="L128" i="58" s="1"/>
  <c r="K115" i="58"/>
  <c r="K116" i="58" s="1"/>
  <c r="L112" i="58" s="1"/>
  <c r="L113" i="58" s="1"/>
  <c r="J131" i="58"/>
  <c r="J144" i="58"/>
  <c r="N235" i="58"/>
  <c r="O231" i="58" s="1"/>
  <c r="I268" i="58"/>
  <c r="I266" i="58"/>
  <c r="I265" i="58"/>
  <c r="J260" i="58" s="1"/>
  <c r="L248" i="58"/>
  <c r="L249" i="58" s="1"/>
  <c r="M244" i="58" s="1"/>
  <c r="O228" i="58"/>
  <c r="O234" i="58"/>
  <c r="O238" i="58" s="1"/>
  <c r="H269" i="58"/>
  <c r="H279" i="58"/>
  <c r="G285" i="58"/>
  <c r="G286" i="58" s="1"/>
  <c r="J253" i="58"/>
  <c r="P226" i="58"/>
  <c r="P227" i="58" s="1"/>
  <c r="Q222" i="58" s="1"/>
  <c r="P229" i="58"/>
  <c r="K126" i="58"/>
  <c r="K252" i="58"/>
  <c r="K263" i="58"/>
  <c r="K250" i="58"/>
  <c r="I142" i="58"/>
  <c r="O223" i="58"/>
  <c r="O247" i="58"/>
  <c r="N35" i="28"/>
  <c r="B38" i="28"/>
  <c r="N26" i="28"/>
  <c r="O23" i="28" s="1"/>
  <c r="N25" i="28"/>
  <c r="N27" i="28"/>
  <c r="N24" i="28"/>
  <c r="N239" i="58"/>
  <c r="H149" i="58"/>
  <c r="H147" i="58"/>
  <c r="I135" i="58"/>
  <c r="G152" i="58"/>
  <c r="G161" i="58" s="1"/>
  <c r="N236" i="58"/>
  <c r="J134" i="58"/>
  <c r="J135" i="58" s="1"/>
  <c r="I76" i="27" l="1"/>
  <c r="D29" i="59"/>
  <c r="H34" i="27"/>
  <c r="I33" i="27"/>
  <c r="L104" i="58"/>
  <c r="O235" i="58"/>
  <c r="P231" i="58" s="1"/>
  <c r="K117" i="58"/>
  <c r="K119" i="58"/>
  <c r="K120" i="58" s="1"/>
  <c r="K129" i="58" s="1"/>
  <c r="K130" i="58" s="1"/>
  <c r="L125" i="58" s="1"/>
  <c r="L107" i="58"/>
  <c r="L115" i="58" s="1"/>
  <c r="M248" i="58"/>
  <c r="G165" i="58"/>
  <c r="G162" i="58"/>
  <c r="H157" i="58" s="1"/>
  <c r="G163" i="58"/>
  <c r="G287" i="58"/>
  <c r="K253" i="58"/>
  <c r="Q226" i="58"/>
  <c r="Q227" i="58" s="1"/>
  <c r="R222" i="58" s="1"/>
  <c r="Q229" i="58"/>
  <c r="O236" i="58"/>
  <c r="J136" i="58"/>
  <c r="P223" i="58"/>
  <c r="P247" i="58"/>
  <c r="J254" i="58"/>
  <c r="H270" i="58"/>
  <c r="I136" i="58"/>
  <c r="I145" i="58" s="1"/>
  <c r="H150" i="58"/>
  <c r="H151" i="58" s="1"/>
  <c r="H160" i="58"/>
  <c r="O25" i="28"/>
  <c r="O24" i="28"/>
  <c r="O27" i="28"/>
  <c r="O26" i="28"/>
  <c r="P23" i="28" s="1"/>
  <c r="O239" i="58"/>
  <c r="P228" i="58"/>
  <c r="P234" i="58"/>
  <c r="L252" i="58"/>
  <c r="L263" i="58"/>
  <c r="L250" i="58"/>
  <c r="I269" i="58"/>
  <c r="I279" i="58"/>
  <c r="L108" i="58" l="1"/>
  <c r="M103" i="58" s="1"/>
  <c r="I34" i="27"/>
  <c r="D30" i="59"/>
  <c r="L109" i="58"/>
  <c r="H35" i="27"/>
  <c r="O35" i="28"/>
  <c r="B39" i="28"/>
  <c r="I77" i="27"/>
  <c r="I149" i="58"/>
  <c r="I147" i="58"/>
  <c r="I146" i="58"/>
  <c r="J141" i="58" s="1"/>
  <c r="L126" i="58"/>
  <c r="L253" i="58"/>
  <c r="L254" i="58" s="1"/>
  <c r="L117" i="58"/>
  <c r="L119" i="58"/>
  <c r="L116" i="58"/>
  <c r="M112" i="58" s="1"/>
  <c r="I270" i="58"/>
  <c r="M105" i="58"/>
  <c r="M110" i="58" s="1"/>
  <c r="R226" i="58"/>
  <c r="R227" i="58" s="1"/>
  <c r="S222" i="58" s="1"/>
  <c r="R229" i="58"/>
  <c r="H152" i="58"/>
  <c r="H271" i="58"/>
  <c r="H280" i="58" s="1"/>
  <c r="P236" i="58"/>
  <c r="P26" i="28"/>
  <c r="Q23" i="28" s="1"/>
  <c r="P25" i="28"/>
  <c r="P27" i="28"/>
  <c r="P24" i="28"/>
  <c r="J255" i="58"/>
  <c r="J264" i="58" s="1"/>
  <c r="P238" i="58"/>
  <c r="Q223" i="58"/>
  <c r="Q247" i="58"/>
  <c r="G292" i="58"/>
  <c r="M252" i="58"/>
  <c r="M263" i="58"/>
  <c r="M250" i="58"/>
  <c r="Q228" i="58"/>
  <c r="Q234" i="58"/>
  <c r="Q238" i="58" s="1"/>
  <c r="K254" i="58"/>
  <c r="H158" i="58"/>
  <c r="M249" i="58"/>
  <c r="N244" i="58" s="1"/>
  <c r="P235" i="58"/>
  <c r="Q231" i="58" s="1"/>
  <c r="K133" i="58"/>
  <c r="K144" i="58"/>
  <c r="K131" i="58"/>
  <c r="G166" i="58"/>
  <c r="I35" i="27" l="1"/>
  <c r="D31" i="59"/>
  <c r="P35" i="28"/>
  <c r="B40" i="28"/>
  <c r="H161" i="58"/>
  <c r="H163" i="58" s="1"/>
  <c r="I78" i="27"/>
  <c r="H36" i="27"/>
  <c r="Q235" i="58"/>
  <c r="R231" i="58" s="1"/>
  <c r="M107" i="58"/>
  <c r="M108" i="58" s="1"/>
  <c r="N103" i="58" s="1"/>
  <c r="N105" i="58" s="1"/>
  <c r="Q239" i="58"/>
  <c r="G194" i="58"/>
  <c r="J268" i="58"/>
  <c r="J266" i="58"/>
  <c r="J265" i="58"/>
  <c r="K260" i="58" s="1"/>
  <c r="R223" i="58"/>
  <c r="R247" i="58"/>
  <c r="M104" i="58"/>
  <c r="M128" i="58"/>
  <c r="I271" i="58"/>
  <c r="J142" i="58"/>
  <c r="J145" i="58" s="1"/>
  <c r="N248" i="58"/>
  <c r="N249" i="58" s="1"/>
  <c r="O244" i="58" s="1"/>
  <c r="Q236" i="58"/>
  <c r="G293" i="58"/>
  <c r="G201" i="58" s="1"/>
  <c r="S226" i="58"/>
  <c r="S229" i="58"/>
  <c r="M113" i="58"/>
  <c r="L255" i="58"/>
  <c r="K255" i="58"/>
  <c r="G167" i="58"/>
  <c r="K134" i="58"/>
  <c r="K135" i="58" s="1"/>
  <c r="M253" i="58"/>
  <c r="M254" i="58" s="1"/>
  <c r="P239" i="58"/>
  <c r="Q25" i="28"/>
  <c r="Q24" i="28"/>
  <c r="Q26" i="28"/>
  <c r="R23" i="28" s="1"/>
  <c r="Q27" i="28"/>
  <c r="H284" i="58"/>
  <c r="H281" i="58"/>
  <c r="I276" i="58" s="1"/>
  <c r="H282" i="58"/>
  <c r="R228" i="58"/>
  <c r="R234" i="58"/>
  <c r="L120" i="58"/>
  <c r="L129" i="58" s="1"/>
  <c r="I150" i="58"/>
  <c r="I151" i="58" s="1"/>
  <c r="I160" i="58"/>
  <c r="M115" i="58" l="1"/>
  <c r="M119" i="58" s="1"/>
  <c r="I79" i="27"/>
  <c r="D32" i="59"/>
  <c r="H165" i="58"/>
  <c r="H162" i="58"/>
  <c r="I157" i="58" s="1"/>
  <c r="H37" i="27"/>
  <c r="Q35" i="28"/>
  <c r="I36" i="27"/>
  <c r="B41" i="28"/>
  <c r="M109" i="58"/>
  <c r="M116" i="58"/>
  <c r="N112" i="58" s="1"/>
  <c r="N113" i="58" s="1"/>
  <c r="J146" i="58"/>
  <c r="K141" i="58" s="1"/>
  <c r="K142" i="58" s="1"/>
  <c r="I152" i="58"/>
  <c r="M255" i="58"/>
  <c r="N107" i="58"/>
  <c r="R24" i="28"/>
  <c r="R26" i="28"/>
  <c r="R25" i="28"/>
  <c r="R27" i="28"/>
  <c r="S228" i="58"/>
  <c r="F228" i="58" s="1"/>
  <c r="S234" i="58"/>
  <c r="S238" i="58" s="1"/>
  <c r="O248" i="58"/>
  <c r="J149" i="58"/>
  <c r="J147" i="58"/>
  <c r="J269" i="58"/>
  <c r="J270" i="58" s="1"/>
  <c r="J279" i="58"/>
  <c r="L133" i="58"/>
  <c r="L144" i="58"/>
  <c r="L131" i="58"/>
  <c r="L130" i="58"/>
  <c r="M125" i="58" s="1"/>
  <c r="I280" i="58"/>
  <c r="I281" i="58" s="1"/>
  <c r="J276" i="58" s="1"/>
  <c r="G168" i="58"/>
  <c r="M117" i="58"/>
  <c r="S227" i="58"/>
  <c r="N252" i="58"/>
  <c r="N263" i="58"/>
  <c r="N250" i="58"/>
  <c r="G197" i="58"/>
  <c r="K136" i="58"/>
  <c r="S223" i="58"/>
  <c r="S247" i="58"/>
  <c r="M120" i="58"/>
  <c r="R236" i="58"/>
  <c r="H285" i="58"/>
  <c r="H286" i="58" s="1"/>
  <c r="G205" i="58"/>
  <c r="I158" i="58"/>
  <c r="R235" i="58"/>
  <c r="S231" i="58" s="1"/>
  <c r="R238" i="58"/>
  <c r="K264" i="58"/>
  <c r="K265" i="58" s="1"/>
  <c r="L260" i="58" s="1"/>
  <c r="G294" i="58"/>
  <c r="G295" i="58" s="1"/>
  <c r="N110" i="58"/>
  <c r="H166" i="58"/>
  <c r="H167" i="58" s="1"/>
  <c r="I37" i="27" l="1"/>
  <c r="I38" i="27" s="1"/>
  <c r="D33" i="59"/>
  <c r="D37" i="59" s="1"/>
  <c r="K145" i="58"/>
  <c r="K147" i="58" s="1"/>
  <c r="S235" i="58"/>
  <c r="I161" i="58"/>
  <c r="I165" i="58" s="1"/>
  <c r="I166" i="58" s="1"/>
  <c r="I167" i="58" s="1"/>
  <c r="R35" i="28"/>
  <c r="B42" i="28"/>
  <c r="B45" i="28" s="1"/>
  <c r="H38" i="27"/>
  <c r="K146" i="58"/>
  <c r="L141" i="58" s="1"/>
  <c r="L142" i="58" s="1"/>
  <c r="N104" i="58"/>
  <c r="N128" i="58"/>
  <c r="R239" i="58"/>
  <c r="S239" i="58"/>
  <c r="M126" i="58"/>
  <c r="O252" i="58"/>
  <c r="O263" i="58"/>
  <c r="O250" i="58"/>
  <c r="G173" i="58"/>
  <c r="G174" i="58" s="1"/>
  <c r="G82" i="58" s="1"/>
  <c r="S236" i="58"/>
  <c r="F236" i="58" s="1"/>
  <c r="N109" i="58"/>
  <c r="N115" i="58"/>
  <c r="L264" i="58"/>
  <c r="L265" i="58" s="1"/>
  <c r="M260" i="58" s="1"/>
  <c r="H287" i="58"/>
  <c r="J271" i="58"/>
  <c r="J280" i="58" s="1"/>
  <c r="J150" i="58"/>
  <c r="J160" i="58"/>
  <c r="H168" i="58"/>
  <c r="K268" i="58"/>
  <c r="K266" i="58"/>
  <c r="I162" i="58"/>
  <c r="J157" i="58" s="1"/>
  <c r="N253" i="58"/>
  <c r="N254" i="58" s="1"/>
  <c r="I284" i="58"/>
  <c r="I282" i="58"/>
  <c r="L134" i="58"/>
  <c r="L135" i="58" s="1"/>
  <c r="O249" i="58"/>
  <c r="P244" i="58" s="1"/>
  <c r="N108" i="58"/>
  <c r="O103" i="58" s="1"/>
  <c r="K149" i="58" l="1"/>
  <c r="K160" i="58" s="1"/>
  <c r="D36" i="59"/>
  <c r="I163" i="58"/>
  <c r="B46" i="28"/>
  <c r="M129" i="58"/>
  <c r="M130" i="58" s="1"/>
  <c r="N125" i="58" s="1"/>
  <c r="N126" i="58" s="1"/>
  <c r="J284" i="58"/>
  <c r="J282" i="58"/>
  <c r="J281" i="58"/>
  <c r="K276" i="58" s="1"/>
  <c r="H173" i="58"/>
  <c r="G42" i="58"/>
  <c r="G86" i="58"/>
  <c r="I168" i="58"/>
  <c r="O253" i="58"/>
  <c r="O254" i="58" s="1"/>
  <c r="O105" i="58"/>
  <c r="O107" i="58" s="1"/>
  <c r="I285" i="58"/>
  <c r="M264" i="58"/>
  <c r="N117" i="58"/>
  <c r="N116" i="58"/>
  <c r="O112" i="58" s="1"/>
  <c r="N119" i="58"/>
  <c r="L136" i="58"/>
  <c r="L145" i="58" s="1"/>
  <c r="H292" i="58"/>
  <c r="N255" i="58"/>
  <c r="J158" i="58"/>
  <c r="J151" i="58"/>
  <c r="P248" i="58"/>
  <c r="P249" i="58" s="1"/>
  <c r="Q244" i="58" s="1"/>
  <c r="K269" i="58"/>
  <c r="K270" i="58" s="1"/>
  <c r="K279" i="58"/>
  <c r="L268" i="58"/>
  <c r="L266" i="58"/>
  <c r="G175" i="58"/>
  <c r="G176" i="58" s="1"/>
  <c r="G75" i="58"/>
  <c r="K150" i="58" l="1"/>
  <c r="M144" i="58"/>
  <c r="M133" i="58"/>
  <c r="M131" i="58"/>
  <c r="O110" i="58"/>
  <c r="O128" i="58" s="1"/>
  <c r="O255" i="58"/>
  <c r="O109" i="58"/>
  <c r="O115" i="58"/>
  <c r="H194" i="58"/>
  <c r="O113" i="58"/>
  <c r="M268" i="58"/>
  <c r="M266" i="58"/>
  <c r="H75" i="58"/>
  <c r="Q248" i="58"/>
  <c r="Q249" i="58" s="1"/>
  <c r="R244" i="58" s="1"/>
  <c r="H174" i="58"/>
  <c r="H82" i="58" s="1"/>
  <c r="K271" i="58"/>
  <c r="K280" i="58" s="1"/>
  <c r="P252" i="58"/>
  <c r="P263" i="58"/>
  <c r="P250" i="58"/>
  <c r="O108" i="58"/>
  <c r="P103" i="58" s="1"/>
  <c r="O104" i="58"/>
  <c r="L269" i="58"/>
  <c r="L279" i="58"/>
  <c r="G31" i="58"/>
  <c r="G78" i="58"/>
  <c r="J152" i="58"/>
  <c r="J161" i="58" s="1"/>
  <c r="H293" i="58"/>
  <c r="H201" i="58" s="1"/>
  <c r="L149" i="58"/>
  <c r="L147" i="58"/>
  <c r="L146" i="58"/>
  <c r="M141" i="58" s="1"/>
  <c r="N120" i="58"/>
  <c r="N129" i="58" s="1"/>
  <c r="M265" i="58"/>
  <c r="N260" i="58" s="1"/>
  <c r="K151" i="58"/>
  <c r="I286" i="58"/>
  <c r="I173" i="58"/>
  <c r="M134" i="58"/>
  <c r="M135" i="58" s="1"/>
  <c r="G45" i="58"/>
  <c r="J285" i="58"/>
  <c r="O119" i="58" l="1"/>
  <c r="O120" i="58" s="1"/>
  <c r="I174" i="58"/>
  <c r="I82" i="58" s="1"/>
  <c r="I42" i="58" s="1"/>
  <c r="I75" i="58"/>
  <c r="I31" i="58" s="1"/>
  <c r="O116" i="58"/>
  <c r="P112" i="58" s="1"/>
  <c r="K284" i="58"/>
  <c r="K281" i="58"/>
  <c r="L276" i="58" s="1"/>
  <c r="K282" i="58"/>
  <c r="N133" i="58"/>
  <c r="N144" i="58"/>
  <c r="N131" i="58"/>
  <c r="N130" i="58"/>
  <c r="O125" i="58" s="1"/>
  <c r="P113" i="58"/>
  <c r="I287" i="58"/>
  <c r="M142" i="58"/>
  <c r="Q252" i="58"/>
  <c r="Q263" i="58"/>
  <c r="Q250" i="58"/>
  <c r="J165" i="58"/>
  <c r="J163" i="58"/>
  <c r="J162" i="58"/>
  <c r="K157" i="58" s="1"/>
  <c r="H42" i="58"/>
  <c r="H86" i="58"/>
  <c r="R248" i="58"/>
  <c r="O117" i="58"/>
  <c r="K152" i="58"/>
  <c r="G33" i="58"/>
  <c r="J286" i="58"/>
  <c r="N264" i="58"/>
  <c r="N265" i="58" s="1"/>
  <c r="O260" i="58" s="1"/>
  <c r="L150" i="58"/>
  <c r="L160" i="58"/>
  <c r="L270" i="58"/>
  <c r="P253" i="58"/>
  <c r="P254" i="58" s="1"/>
  <c r="H78" i="58"/>
  <c r="H31" i="58"/>
  <c r="H197" i="58"/>
  <c r="M136" i="58"/>
  <c r="H205" i="58"/>
  <c r="P105" i="58"/>
  <c r="P107" i="58" s="1"/>
  <c r="P108" i="58" s="1"/>
  <c r="Q103" i="58" s="1"/>
  <c r="H175" i="58"/>
  <c r="H176" i="58" s="1"/>
  <c r="M269" i="58"/>
  <c r="M279" i="58"/>
  <c r="H294" i="58"/>
  <c r="H295" i="58" s="1"/>
  <c r="I86" i="58" l="1"/>
  <c r="I175" i="58"/>
  <c r="I176" i="58" s="1"/>
  <c r="P110" i="58"/>
  <c r="P128" i="58" s="1"/>
  <c r="M145" i="58"/>
  <c r="M147" i="58" s="1"/>
  <c r="P255" i="58"/>
  <c r="Q105" i="58"/>
  <c r="Q107" i="58" s="1"/>
  <c r="Q108" i="58" s="1"/>
  <c r="R103" i="58" s="1"/>
  <c r="I78" i="58"/>
  <c r="L271" i="58"/>
  <c r="L280" i="58" s="1"/>
  <c r="L281" i="58" s="1"/>
  <c r="M276" i="58" s="1"/>
  <c r="I45" i="58"/>
  <c r="R252" i="58"/>
  <c r="R263" i="58"/>
  <c r="R250" i="58"/>
  <c r="J166" i="58"/>
  <c r="Q253" i="58"/>
  <c r="N134" i="58"/>
  <c r="H33" i="58"/>
  <c r="N268" i="58"/>
  <c r="N266" i="58"/>
  <c r="J287" i="58"/>
  <c r="O126" i="58"/>
  <c r="O129" i="58" s="1"/>
  <c r="P109" i="58"/>
  <c r="P115" i="58"/>
  <c r="O264" i="58"/>
  <c r="O265" i="58" s="1"/>
  <c r="P260" i="58" s="1"/>
  <c r="K158" i="58"/>
  <c r="K161" i="58" s="1"/>
  <c r="I292" i="58"/>
  <c r="M270" i="58"/>
  <c r="L151" i="58"/>
  <c r="R249" i="58"/>
  <c r="S244" i="58" s="1"/>
  <c r="H45" i="58"/>
  <c r="K285" i="58"/>
  <c r="K286" i="58" s="1"/>
  <c r="P104" i="58" l="1"/>
  <c r="M149" i="58"/>
  <c r="M150" i="58" s="1"/>
  <c r="M151" i="58" s="1"/>
  <c r="M146" i="58"/>
  <c r="N141" i="58" s="1"/>
  <c r="N142" i="58" s="1"/>
  <c r="Q110" i="58"/>
  <c r="Q104" i="58" s="1"/>
  <c r="K162" i="58"/>
  <c r="L157" i="58" s="1"/>
  <c r="L158" i="58" s="1"/>
  <c r="O130" i="58"/>
  <c r="P125" i="58" s="1"/>
  <c r="P126" i="58" s="1"/>
  <c r="O133" i="58"/>
  <c r="O144" i="58"/>
  <c r="O131" i="58"/>
  <c r="R105" i="58"/>
  <c r="R107" i="58" s="1"/>
  <c r="L284" i="58"/>
  <c r="L282" i="58"/>
  <c r="P117" i="58"/>
  <c r="N269" i="58"/>
  <c r="N270" i="58" s="1"/>
  <c r="N279" i="58"/>
  <c r="N135" i="58"/>
  <c r="Q254" i="58"/>
  <c r="I33" i="58"/>
  <c r="P119" i="58"/>
  <c r="L152" i="58"/>
  <c r="K165" i="58"/>
  <c r="K163" i="58"/>
  <c r="P264" i="58"/>
  <c r="J292" i="58"/>
  <c r="Q109" i="58"/>
  <c r="Q115" i="58"/>
  <c r="K287" i="58"/>
  <c r="S248" i="58"/>
  <c r="S249" i="58" s="1"/>
  <c r="I194" i="58"/>
  <c r="M271" i="58"/>
  <c r="M280" i="58" s="1"/>
  <c r="I293" i="58"/>
  <c r="I201" i="58" s="1"/>
  <c r="O268" i="58"/>
  <c r="O266" i="58"/>
  <c r="J167" i="58"/>
  <c r="R253" i="58"/>
  <c r="R254" i="58" s="1"/>
  <c r="P116" i="58"/>
  <c r="Q112" i="58" s="1"/>
  <c r="M160" i="58" l="1"/>
  <c r="Q128" i="58"/>
  <c r="I294" i="58"/>
  <c r="I295" i="58" s="1"/>
  <c r="R110" i="58"/>
  <c r="R104" i="58" s="1"/>
  <c r="R255" i="58"/>
  <c r="M284" i="58"/>
  <c r="M282" i="58"/>
  <c r="M281" i="58"/>
  <c r="N276" i="58" s="1"/>
  <c r="R109" i="58"/>
  <c r="R115" i="58"/>
  <c r="R108" i="58"/>
  <c r="S103" i="58" s="1"/>
  <c r="M152" i="58"/>
  <c r="P268" i="58"/>
  <c r="P266" i="58"/>
  <c r="P120" i="58"/>
  <c r="P129" i="58" s="1"/>
  <c r="N136" i="58"/>
  <c r="N145" i="58" s="1"/>
  <c r="N271" i="58"/>
  <c r="L161" i="58"/>
  <c r="Q117" i="58"/>
  <c r="J194" i="58"/>
  <c r="J197" i="58" s="1"/>
  <c r="O134" i="58"/>
  <c r="Q113" i="58"/>
  <c r="Q116" i="58" s="1"/>
  <c r="R112" i="58" s="1"/>
  <c r="I205" i="58"/>
  <c r="S252" i="58"/>
  <c r="S263" i="58"/>
  <c r="S250" i="58"/>
  <c r="F250" i="58" s="1"/>
  <c r="J293" i="58"/>
  <c r="J201" i="58" s="1"/>
  <c r="J205" i="58" s="1"/>
  <c r="K166" i="58"/>
  <c r="Q119" i="58"/>
  <c r="O269" i="58"/>
  <c r="O270" i="58" s="1"/>
  <c r="O279" i="58"/>
  <c r="J168" i="58"/>
  <c r="I197" i="58"/>
  <c r="K292" i="58"/>
  <c r="P265" i="58"/>
  <c r="Q260" i="58" s="1"/>
  <c r="Q255" i="58"/>
  <c r="L285" i="58"/>
  <c r="R128" i="58" l="1"/>
  <c r="R119" i="58"/>
  <c r="R120" i="58" s="1"/>
  <c r="P133" i="58"/>
  <c r="P144" i="58"/>
  <c r="P131" i="58"/>
  <c r="P130" i="58"/>
  <c r="Q125" i="58" s="1"/>
  <c r="N149" i="58"/>
  <c r="N147" i="58"/>
  <c r="N146" i="58"/>
  <c r="O141" i="58" s="1"/>
  <c r="O271" i="58"/>
  <c r="L165" i="58"/>
  <c r="L163" i="58"/>
  <c r="J173" i="58"/>
  <c r="J174" i="58" s="1"/>
  <c r="J82" i="58" s="1"/>
  <c r="R113" i="58"/>
  <c r="R116" i="58" s="1"/>
  <c r="S112" i="58" s="1"/>
  <c r="S105" i="58"/>
  <c r="S107" i="58" s="1"/>
  <c r="N280" i="58"/>
  <c r="N281" i="58" s="1"/>
  <c r="O276" i="58" s="1"/>
  <c r="K194" i="58"/>
  <c r="K293" i="58"/>
  <c r="K201" i="58" s="1"/>
  <c r="K205" i="58" s="1"/>
  <c r="Q264" i="58"/>
  <c r="K167" i="58"/>
  <c r="S253" i="58"/>
  <c r="O135" i="58"/>
  <c r="J294" i="58"/>
  <c r="J295" i="58" s="1"/>
  <c r="P269" i="58"/>
  <c r="P279" i="58"/>
  <c r="L286" i="58"/>
  <c r="Q120" i="58"/>
  <c r="L162" i="58"/>
  <c r="M157" i="58" s="1"/>
  <c r="R117" i="58"/>
  <c r="M285" i="58"/>
  <c r="S109" i="58" l="1"/>
  <c r="F109" i="58" s="1"/>
  <c r="S115" i="58"/>
  <c r="O280" i="58"/>
  <c r="O281" i="58" s="1"/>
  <c r="P276" i="58" s="1"/>
  <c r="L287" i="58"/>
  <c r="O136" i="58"/>
  <c r="Q268" i="58"/>
  <c r="Q266" i="58"/>
  <c r="S108" i="58"/>
  <c r="S113" i="58"/>
  <c r="J42" i="58"/>
  <c r="J86" i="58"/>
  <c r="Q126" i="58"/>
  <c r="Q129" i="58" s="1"/>
  <c r="N284" i="58"/>
  <c r="N282" i="58"/>
  <c r="O142" i="58"/>
  <c r="P270" i="58"/>
  <c r="K168" i="58"/>
  <c r="K197" i="58"/>
  <c r="S110" i="58"/>
  <c r="M158" i="58"/>
  <c r="M161" i="58" s="1"/>
  <c r="M286" i="58"/>
  <c r="S254" i="58"/>
  <c r="Q265" i="58"/>
  <c r="R260" i="58" s="1"/>
  <c r="K294" i="58"/>
  <c r="K295" i="58" s="1"/>
  <c r="J175" i="58"/>
  <c r="J176" i="58" s="1"/>
  <c r="J75" i="58"/>
  <c r="L166" i="58"/>
  <c r="L167" i="58" s="1"/>
  <c r="N150" i="58"/>
  <c r="N160" i="58"/>
  <c r="P134" i="58"/>
  <c r="S116" i="58" l="1"/>
  <c r="O145" i="58"/>
  <c r="O149" i="58" s="1"/>
  <c r="M165" i="58"/>
  <c r="M163" i="58"/>
  <c r="Q133" i="58"/>
  <c r="Q144" i="58"/>
  <c r="Q131" i="58"/>
  <c r="M162" i="58"/>
  <c r="N157" i="58" s="1"/>
  <c r="S128" i="58"/>
  <c r="S104" i="58"/>
  <c r="S119" i="58"/>
  <c r="N285" i="58"/>
  <c r="R264" i="58"/>
  <c r="K173" i="58"/>
  <c r="K174" i="58" s="1"/>
  <c r="K82" i="58" s="1"/>
  <c r="Q130" i="58"/>
  <c r="R125" i="58" s="1"/>
  <c r="O284" i="58"/>
  <c r="O282" i="58"/>
  <c r="L168" i="58"/>
  <c r="P135" i="58"/>
  <c r="N151" i="58"/>
  <c r="J31" i="58"/>
  <c r="J78" i="58"/>
  <c r="S255" i="58"/>
  <c r="P271" i="58"/>
  <c r="P280" i="58" s="1"/>
  <c r="J45" i="58"/>
  <c r="L292" i="58"/>
  <c r="L293" i="58" s="1"/>
  <c r="L201" i="58" s="1"/>
  <c r="S117" i="58"/>
  <c r="F117" i="58" s="1"/>
  <c r="M287" i="58"/>
  <c r="Q269" i="58"/>
  <c r="Q279" i="58"/>
  <c r="O146" i="58" l="1"/>
  <c r="P141" i="58" s="1"/>
  <c r="O147" i="58"/>
  <c r="P284" i="58"/>
  <c r="P282" i="58"/>
  <c r="P281" i="58"/>
  <c r="Q276" i="58" s="1"/>
  <c r="R268" i="58"/>
  <c r="R266" i="58"/>
  <c r="S120" i="58"/>
  <c r="J33" i="58"/>
  <c r="N152" i="58"/>
  <c r="R126" i="58"/>
  <c r="R129" i="58" s="1"/>
  <c r="R265" i="58"/>
  <c r="S260" i="58" s="1"/>
  <c r="N286" i="58"/>
  <c r="N158" i="58"/>
  <c r="Q134" i="58"/>
  <c r="Q135" i="58" s="1"/>
  <c r="M292" i="58"/>
  <c r="M293" i="58" s="1"/>
  <c r="M201" i="58" s="1"/>
  <c r="M205" i="58" s="1"/>
  <c r="L205" i="58"/>
  <c r="P136" i="58"/>
  <c r="K42" i="58"/>
  <c r="K86" i="58"/>
  <c r="P142" i="58"/>
  <c r="Q270" i="58"/>
  <c r="L294" i="58"/>
  <c r="L295" i="58" s="1"/>
  <c r="L194" i="58"/>
  <c r="L173" i="58"/>
  <c r="L174" i="58" s="1"/>
  <c r="L82" i="58" s="1"/>
  <c r="O285" i="58"/>
  <c r="O286" i="58" s="1"/>
  <c r="K175" i="58"/>
  <c r="K176" i="58" s="1"/>
  <c r="K75" i="58"/>
  <c r="M166" i="58"/>
  <c r="O150" i="58"/>
  <c r="O151" i="58" s="1"/>
  <c r="O160" i="58"/>
  <c r="N161" i="58" l="1"/>
  <c r="N162" i="58" s="1"/>
  <c r="O157" i="58" s="1"/>
  <c r="O158" i="58" s="1"/>
  <c r="R133" i="58"/>
  <c r="R144" i="58"/>
  <c r="R131" i="58"/>
  <c r="R130" i="58"/>
  <c r="S125" i="58" s="1"/>
  <c r="L42" i="58"/>
  <c r="L86" i="58"/>
  <c r="S264" i="58"/>
  <c r="R269" i="58"/>
  <c r="R279" i="58"/>
  <c r="M167" i="58"/>
  <c r="O287" i="58"/>
  <c r="L197" i="58"/>
  <c r="K78" i="58"/>
  <c r="K31" i="58"/>
  <c r="P145" i="58"/>
  <c r="Q136" i="58"/>
  <c r="O152" i="58"/>
  <c r="L175" i="58"/>
  <c r="L176" i="58" s="1"/>
  <c r="L75" i="58"/>
  <c r="Q271" i="58"/>
  <c r="Q280" i="58" s="1"/>
  <c r="K45" i="58"/>
  <c r="M294" i="58"/>
  <c r="M295" i="58" s="1"/>
  <c r="M194" i="58"/>
  <c r="M197" i="58" s="1"/>
  <c r="N287" i="58"/>
  <c r="P285" i="58"/>
  <c r="N163" i="58" l="1"/>
  <c r="N165" i="58"/>
  <c r="N166" i="58" s="1"/>
  <c r="N167" i="58" s="1"/>
  <c r="O161" i="58"/>
  <c r="O165" i="58" s="1"/>
  <c r="Q284" i="58"/>
  <c r="Q282" i="58"/>
  <c r="Q281" i="58"/>
  <c r="R276" i="58" s="1"/>
  <c r="L78" i="58"/>
  <c r="L31" i="58"/>
  <c r="S268" i="58"/>
  <c r="S266" i="58"/>
  <c r="F266" i="58" s="1"/>
  <c r="S126" i="58"/>
  <c r="O292" i="58"/>
  <c r="S265" i="58"/>
  <c r="N292" i="58"/>
  <c r="N293" i="58" s="1"/>
  <c r="N201" i="58" s="1"/>
  <c r="N205" i="58" s="1"/>
  <c r="K33" i="58"/>
  <c r="M168" i="58"/>
  <c r="P286" i="58"/>
  <c r="P149" i="58"/>
  <c r="P147" i="58"/>
  <c r="R270" i="58"/>
  <c r="L45" i="58"/>
  <c r="R134" i="58"/>
  <c r="P146" i="58"/>
  <c r="Q141" i="58" s="1"/>
  <c r="O162" i="58" l="1"/>
  <c r="P157" i="58" s="1"/>
  <c r="P158" i="58" s="1"/>
  <c r="O163" i="58"/>
  <c r="P287" i="58"/>
  <c r="N294" i="58"/>
  <c r="N295" i="58" s="1"/>
  <c r="N194" i="58"/>
  <c r="N197" i="58" s="1"/>
  <c r="O194" i="58"/>
  <c r="O197" i="58" s="1"/>
  <c r="Q285" i="58"/>
  <c r="N168" i="58"/>
  <c r="R271" i="58"/>
  <c r="R280" i="58" s="1"/>
  <c r="R281" i="58" s="1"/>
  <c r="S276" i="58" s="1"/>
  <c r="R135" i="58"/>
  <c r="S129" i="58"/>
  <c r="S269" i="58"/>
  <c r="S270" i="58" s="1"/>
  <c r="S279" i="58"/>
  <c r="Q142" i="58"/>
  <c r="Q145" i="58" s="1"/>
  <c r="P150" i="58"/>
  <c r="P151" i="58" s="1"/>
  <c r="P160" i="58"/>
  <c r="M173" i="58"/>
  <c r="M174" i="58" s="1"/>
  <c r="M82" i="58" s="1"/>
  <c r="O293" i="58"/>
  <c r="O201" i="58" s="1"/>
  <c r="O205" i="58" s="1"/>
  <c r="L33" i="58"/>
  <c r="O166" i="58"/>
  <c r="Q146" i="58" l="1"/>
  <c r="R141" i="58" s="1"/>
  <c r="R142" i="58" s="1"/>
  <c r="P152" i="58"/>
  <c r="P161" i="58" s="1"/>
  <c r="R136" i="58"/>
  <c r="N173" i="58"/>
  <c r="N174" i="58" s="1"/>
  <c r="N82" i="58" s="1"/>
  <c r="R284" i="58"/>
  <c r="R282" i="58"/>
  <c r="S271" i="58"/>
  <c r="S280" i="58" s="1"/>
  <c r="M42" i="58"/>
  <c r="M86" i="58"/>
  <c r="Q149" i="58"/>
  <c r="Q147" i="58"/>
  <c r="O294" i="58"/>
  <c r="O295" i="58" s="1"/>
  <c r="P292" i="58"/>
  <c r="O167" i="58"/>
  <c r="M175" i="58"/>
  <c r="M176" i="58" s="1"/>
  <c r="M75" i="58"/>
  <c r="S133" i="58"/>
  <c r="S144" i="58"/>
  <c r="S131" i="58"/>
  <c r="F131" i="58" s="1"/>
  <c r="Q286" i="58"/>
  <c r="S130" i="58"/>
  <c r="N42" i="58" l="1"/>
  <c r="N86" i="58"/>
  <c r="S284" i="58"/>
  <c r="S281" i="58"/>
  <c r="S282" i="58"/>
  <c r="F282" i="58" s="1"/>
  <c r="P165" i="58"/>
  <c r="P162" i="58"/>
  <c r="Q157" i="58" s="1"/>
  <c r="P163" i="58"/>
  <c r="R145" i="58"/>
  <c r="M45" i="58"/>
  <c r="N175" i="58"/>
  <c r="N176" i="58" s="1"/>
  <c r="N75" i="58"/>
  <c r="M78" i="58"/>
  <c r="M31" i="58"/>
  <c r="P194" i="58"/>
  <c r="P197" i="58" s="1"/>
  <c r="S134" i="58"/>
  <c r="S135" i="58" s="1"/>
  <c r="Q287" i="58"/>
  <c r="O168" i="58"/>
  <c r="P293" i="58"/>
  <c r="P201" i="58" s="1"/>
  <c r="P205" i="58" s="1"/>
  <c r="Q150" i="58"/>
  <c r="Q151" i="58" s="1"/>
  <c r="Q160" i="58"/>
  <c r="R285" i="58"/>
  <c r="R286" i="58" s="1"/>
  <c r="P294" i="58" l="1"/>
  <c r="P295" i="58" s="1"/>
  <c r="Q152" i="58"/>
  <c r="S136" i="58"/>
  <c r="Q158" i="58"/>
  <c r="S285" i="58"/>
  <c r="R287" i="58"/>
  <c r="O173" i="58"/>
  <c r="O174" i="58" s="1"/>
  <c r="O82" i="58" s="1"/>
  <c r="N78" i="58"/>
  <c r="N31" i="58"/>
  <c r="P166" i="58"/>
  <c r="P167" i="58" s="1"/>
  <c r="N45" i="58"/>
  <c r="R149" i="58"/>
  <c r="R147" i="58"/>
  <c r="Q292" i="58"/>
  <c r="Q293" i="58" s="1"/>
  <c r="Q201" i="58" s="1"/>
  <c r="Q205" i="58" s="1"/>
  <c r="M33" i="58"/>
  <c r="R146" i="58"/>
  <c r="S141" i="58" s="1"/>
  <c r="P168" i="58" l="1"/>
  <c r="R292" i="58"/>
  <c r="Q161" i="58"/>
  <c r="S142" i="58"/>
  <c r="S145" i="58" s="1"/>
  <c r="R150" i="58"/>
  <c r="R151" i="58" s="1"/>
  <c r="R160" i="58"/>
  <c r="Q294" i="58"/>
  <c r="Q295" i="58" s="1"/>
  <c r="Q194" i="58"/>
  <c r="Q197" i="58" s="1"/>
  <c r="O42" i="58"/>
  <c r="O86" i="58"/>
  <c r="N33" i="58"/>
  <c r="O175" i="58"/>
  <c r="O176" i="58" s="1"/>
  <c r="O75" i="58"/>
  <c r="S286" i="58"/>
  <c r="R152" i="58" l="1"/>
  <c r="S287" i="58"/>
  <c r="S149" i="58"/>
  <c r="S147" i="58"/>
  <c r="F147" i="58" s="1"/>
  <c r="Q165" i="58"/>
  <c r="Q163" i="58"/>
  <c r="P173" i="58"/>
  <c r="P174" i="58" s="1"/>
  <c r="P82" i="58" s="1"/>
  <c r="O78" i="58"/>
  <c r="O31" i="58"/>
  <c r="O45" i="58"/>
  <c r="S146" i="58"/>
  <c r="R194" i="58"/>
  <c r="R293" i="58"/>
  <c r="R201" i="58" s="1"/>
  <c r="Q162" i="58"/>
  <c r="R157" i="58" s="1"/>
  <c r="Q166" i="58" l="1"/>
  <c r="Q167" i="58" s="1"/>
  <c r="S292" i="58"/>
  <c r="R197" i="58"/>
  <c r="E197" i="58" s="1"/>
  <c r="E194" i="58"/>
  <c r="R158" i="58"/>
  <c r="R294" i="58"/>
  <c r="R295" i="58" s="1"/>
  <c r="P175" i="58"/>
  <c r="P176" i="58" s="1"/>
  <c r="P75" i="58"/>
  <c r="S150" i="58"/>
  <c r="S151" i="58" s="1"/>
  <c r="S160" i="58"/>
  <c r="P42" i="58"/>
  <c r="P86" i="58"/>
  <c r="R205" i="58"/>
  <c r="E205" i="58" s="1"/>
  <c r="E201" i="58"/>
  <c r="O33" i="58"/>
  <c r="S194" i="58" l="1"/>
  <c r="S197" i="58" s="1"/>
  <c r="S152" i="58"/>
  <c r="E198" i="58"/>
  <c r="E196" i="58"/>
  <c r="Q168" i="58"/>
  <c r="P45" i="58"/>
  <c r="R161" i="58"/>
  <c r="E204" i="58"/>
  <c r="E206" i="58" s="1"/>
  <c r="P78" i="58"/>
  <c r="P31" i="58"/>
  <c r="S293" i="58"/>
  <c r="S201" i="58" s="1"/>
  <c r="S205" i="58" s="1"/>
  <c r="R165" i="58" l="1"/>
  <c r="R163" i="58"/>
  <c r="Q173" i="58"/>
  <c r="Q174" i="58" s="1"/>
  <c r="Q82" i="58" s="1"/>
  <c r="S294" i="58"/>
  <c r="S295" i="58" s="1"/>
  <c r="P33" i="58"/>
  <c r="R162" i="58"/>
  <c r="S157" i="58" s="1"/>
  <c r="S158" i="58" l="1"/>
  <c r="Q175" i="58"/>
  <c r="Q176" i="58" s="1"/>
  <c r="Q75" i="58"/>
  <c r="Q42" i="58"/>
  <c r="Q86" i="58"/>
  <c r="R166" i="58"/>
  <c r="R167" i="58" s="1"/>
  <c r="R168" i="58" l="1"/>
  <c r="Q45" i="58"/>
  <c r="S161" i="58"/>
  <c r="Q78" i="58"/>
  <c r="Q31" i="58"/>
  <c r="R173" i="58" l="1"/>
  <c r="S165" i="58"/>
  <c r="S163" i="58"/>
  <c r="F163" i="58" s="1"/>
  <c r="Q33" i="58"/>
  <c r="S162" i="58"/>
  <c r="S166" i="58" l="1"/>
  <c r="S167" i="58" s="1"/>
  <c r="R75" i="58"/>
  <c r="R174" i="58"/>
  <c r="R82" i="58" s="1"/>
  <c r="R175" i="58" l="1"/>
  <c r="R176" i="58" s="1"/>
  <c r="S168" i="58"/>
  <c r="R42" i="58"/>
  <c r="R86" i="58"/>
  <c r="E86" i="58" s="1"/>
  <c r="R31" i="58"/>
  <c r="R78" i="58"/>
  <c r="R45" i="58" l="1"/>
  <c r="R33" i="58"/>
  <c r="S173" i="58"/>
  <c r="S174" i="58" s="1"/>
  <c r="S82" i="58" s="1"/>
  <c r="S42" i="58" l="1"/>
  <c r="S86" i="58"/>
  <c r="E82" i="58"/>
  <c r="S175" i="58"/>
  <c r="S176" i="58" s="1"/>
  <c r="S75" i="58"/>
  <c r="E87" i="58" l="1"/>
  <c r="E85" i="58"/>
  <c r="S78" i="58"/>
  <c r="E78" i="58" s="1"/>
  <c r="S31" i="58"/>
  <c r="E75" i="58"/>
  <c r="S45" i="58"/>
  <c r="E45" i="58" s="1"/>
  <c r="E42" i="58"/>
  <c r="E46" i="58" l="1"/>
  <c r="E44" i="58"/>
  <c r="E38" i="58"/>
  <c r="S33" i="58"/>
  <c r="E33" i="58" s="1"/>
  <c r="E31" i="58"/>
  <c r="E79" i="58"/>
  <c r="E77" i="58"/>
  <c r="E37" i="58" l="1"/>
  <c r="E34" i="58"/>
  <c r="E28" i="58"/>
  <c r="E32" i="58"/>
  <c r="E27" i="58" l="1"/>
  <c r="G37" i="58"/>
  <c r="G38" i="58" s="1"/>
  <c r="G27" i="58" l="1"/>
  <c r="E29" i="58"/>
  <c r="E40" i="58" s="1"/>
  <c r="E39" i="58" s="1"/>
  <c r="H37" i="58"/>
  <c r="H38" i="58" s="1"/>
  <c r="I37" i="58" l="1"/>
  <c r="I38" i="58" s="1"/>
  <c r="G28" i="58"/>
  <c r="G29" i="58" s="1"/>
  <c r="G40" i="58" s="1"/>
  <c r="G39" i="58" s="1"/>
  <c r="H27" i="58"/>
  <c r="J37" i="58" l="1"/>
  <c r="K37" i="58" s="1"/>
  <c r="I27" i="58"/>
  <c r="J27" i="58" s="1"/>
  <c r="H28" i="58"/>
  <c r="J38" i="58" l="1"/>
  <c r="K38" i="58" s="1"/>
  <c r="L37" i="58"/>
  <c r="M37" i="58" s="1"/>
  <c r="N37" i="58" s="1"/>
  <c r="O37" i="58" s="1"/>
  <c r="P37" i="58" s="1"/>
  <c r="Q37" i="58" s="1"/>
  <c r="R37" i="58" s="1"/>
  <c r="S37" i="58" s="1"/>
  <c r="K27" i="58"/>
  <c r="L27" i="58" s="1"/>
  <c r="M27" i="58" s="1"/>
  <c r="I28" i="58"/>
  <c r="J28" i="58" s="1"/>
  <c r="J29" i="58" s="1"/>
  <c r="J40" i="58" s="1"/>
  <c r="J39" i="58" s="1"/>
  <c r="H29" i="58"/>
  <c r="H40" i="58" s="1"/>
  <c r="H39" i="58" s="1"/>
  <c r="L38" i="58" l="1"/>
  <c r="M38" i="58" s="1"/>
  <c r="I29" i="58"/>
  <c r="I40" i="58" s="1"/>
  <c r="I39" i="58" s="1"/>
  <c r="K28" i="58"/>
  <c r="N27" i="58"/>
  <c r="O27" i="58" s="1"/>
  <c r="N38" i="58" l="1"/>
  <c r="O38" i="58" s="1"/>
  <c r="P38" i="58" s="1"/>
  <c r="Q38" i="58" s="1"/>
  <c r="R38" i="58" s="1"/>
  <c r="S38" i="58" s="1"/>
  <c r="P27" i="58"/>
  <c r="K29" i="58"/>
  <c r="K40" i="58" s="1"/>
  <c r="K39" i="58" s="1"/>
  <c r="L28" i="58"/>
  <c r="Q27" i="58" l="1"/>
  <c r="L29" i="58"/>
  <c r="L40" i="58" s="1"/>
  <c r="L39" i="58" s="1"/>
  <c r="M28" i="58"/>
  <c r="M29" i="58" l="1"/>
  <c r="M40" i="58" s="1"/>
  <c r="M39" i="58" s="1"/>
  <c r="N28" i="58"/>
  <c r="R27" i="58"/>
  <c r="N29" i="58" l="1"/>
  <c r="N40" i="58" s="1"/>
  <c r="N39" i="58" s="1"/>
  <c r="O28" i="58"/>
  <c r="S27" i="58"/>
  <c r="O29" i="58" l="1"/>
  <c r="O40" i="58" s="1"/>
  <c r="O39" i="58" s="1"/>
  <c r="P28" i="58"/>
  <c r="P29" i="58" l="1"/>
  <c r="P40" i="58" s="1"/>
  <c r="P39" i="58" s="1"/>
  <c r="Q28" i="58"/>
  <c r="Q29" i="58" l="1"/>
  <c r="Q40" i="58" s="1"/>
  <c r="Q39" i="58" s="1"/>
  <c r="R28" i="58"/>
  <c r="S28" i="58" l="1"/>
  <c r="S29" i="58" s="1"/>
  <c r="S40" i="58" s="1"/>
  <c r="S39" i="58" s="1"/>
  <c r="R29" i="58"/>
  <c r="R40" i="58" s="1"/>
  <c r="R39" i="58" s="1"/>
  <c r="J25" i="28"/>
  <c r="I25" i="28"/>
  <c r="I24" i="28" s="1"/>
  <c r="J24" i="28" l="1"/>
  <c r="K24" i="2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<sst xmlns="http://schemas.openxmlformats.org/spreadsheetml/2006/main" count="1984" uniqueCount="800">
  <si>
    <t xml:space="preserve">FF&amp;E </t>
  </si>
  <si>
    <t>IRR</t>
  </si>
  <si>
    <t>Developer IRR</t>
  </si>
  <si>
    <t>Investor IRR</t>
  </si>
  <si>
    <t>Sale Projections</t>
  </si>
  <si>
    <t>Refinance Equity</t>
  </si>
  <si>
    <t>Cash Equity</t>
  </si>
  <si>
    <t>Cash Flow</t>
  </si>
  <si>
    <t>Term</t>
  </si>
  <si>
    <t>Principal</t>
  </si>
  <si>
    <t>Senior Debt</t>
  </si>
  <si>
    <t>Management Fee</t>
  </si>
  <si>
    <t>Total Revenue</t>
  </si>
  <si>
    <t>Revenue</t>
  </si>
  <si>
    <t>Amount</t>
  </si>
  <si>
    <t>Occupancy</t>
  </si>
  <si>
    <t>RETURN ON INVESTMENT SPREADSHEET (ROI)</t>
  </si>
  <si>
    <t>Project Cost</t>
  </si>
  <si>
    <t>Owner</t>
  </si>
  <si>
    <t>Totals</t>
  </si>
  <si>
    <t>YEAR</t>
  </si>
  <si>
    <t>TOTALS</t>
  </si>
  <si>
    <t>Inputs</t>
  </si>
  <si>
    <t>Key Figures</t>
  </si>
  <si>
    <t>Loan principal amount</t>
  </si>
  <si>
    <t>Annual loan payments</t>
  </si>
  <si>
    <t>Annual interest rate</t>
  </si>
  <si>
    <t>Monthly payments</t>
  </si>
  <si>
    <t>Loan period in years</t>
  </si>
  <si>
    <t>Interest over term of loan</t>
  </si>
  <si>
    <t>Base month of loan</t>
  </si>
  <si>
    <t>Sum of all payments</t>
  </si>
  <si>
    <t>Year</t>
  </si>
  <si>
    <t>Month</t>
  </si>
  <si>
    <t>Beginning Balance</t>
  </si>
  <si>
    <t xml:space="preserve">Payment </t>
  </si>
  <si>
    <t xml:space="preserve">Principal </t>
  </si>
  <si>
    <t xml:space="preserve">Interest </t>
  </si>
  <si>
    <t>Cumulative Principal</t>
  </si>
  <si>
    <t>Cumulative Interest</t>
  </si>
  <si>
    <t>Ending Balance</t>
  </si>
  <si>
    <t>Yearly Schedule of Balances and Payments</t>
  </si>
  <si>
    <t>Payment</t>
  </si>
  <si>
    <t>Interest</t>
  </si>
  <si>
    <t>DO NOT ERASE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</si>
  <si>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</si>
  <si>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</si>
  <si>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</si>
  <si>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</si>
  <si>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</si>
  <si>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</si>
  <si>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</si>
  <si>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</si>
  <si>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</si>
  <si>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</si>
  <si>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</si>
  <si>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</si>
  <si>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Months</t>
  </si>
  <si>
    <t>Base Year</t>
  </si>
  <si>
    <t>Years</t>
  </si>
  <si>
    <t>Last Year</t>
  </si>
  <si>
    <t>Mos in Last Yr</t>
  </si>
  <si>
    <t>% Ownership</t>
  </si>
  <si>
    <t xml:space="preserve">% of Equity </t>
  </si>
  <si>
    <t>Cash Investment</t>
  </si>
  <si>
    <t>Soft Costs</t>
  </si>
  <si>
    <t>Total</t>
  </si>
  <si>
    <t>Investor Cash Flow</t>
  </si>
  <si>
    <t>Yes</t>
  </si>
  <si>
    <t>Projected Cap Rate</t>
  </si>
  <si>
    <t>Cost of Sale %</t>
  </si>
  <si>
    <t>Developer Cash Flow</t>
  </si>
  <si>
    <t>No</t>
  </si>
  <si>
    <t>Investor First %</t>
  </si>
  <si>
    <t>Split %</t>
  </si>
  <si>
    <t>Investor %</t>
  </si>
  <si>
    <t>Developer %</t>
  </si>
  <si>
    <t>$/Unit</t>
  </si>
  <si>
    <t xml:space="preserve">Project Name </t>
  </si>
  <si>
    <t>Project Location</t>
  </si>
  <si>
    <t>Gross Square Footage (GSF)</t>
  </si>
  <si>
    <t>Net Square Footage (NSF)</t>
  </si>
  <si>
    <t>Unit Type</t>
  </si>
  <si>
    <t>SF</t>
  </si>
  <si>
    <t># of Units</t>
  </si>
  <si>
    <t>% of Total Units</t>
  </si>
  <si>
    <t>Rent/Month</t>
  </si>
  <si>
    <t>PSF/Month</t>
  </si>
  <si>
    <t>Favorable</t>
  </si>
  <si>
    <t>Stressed</t>
  </si>
  <si>
    <t>Rent Assumptions:</t>
  </si>
  <si>
    <t>Market</t>
  </si>
  <si>
    <t>Rent Calculation:</t>
  </si>
  <si>
    <t>Rentable SF</t>
  </si>
  <si>
    <t>Gross/Annual</t>
  </si>
  <si>
    <t>Gross/Monthly</t>
  </si>
  <si>
    <t xml:space="preserve">% of Total Units </t>
  </si>
  <si>
    <t>Very Low</t>
  </si>
  <si>
    <t>Low</t>
  </si>
  <si>
    <t>40% AMI</t>
  </si>
  <si>
    <t>50% AMI</t>
  </si>
  <si>
    <t>60% AMI</t>
  </si>
  <si>
    <t>70% AMI</t>
  </si>
  <si>
    <t>80% AMI</t>
  </si>
  <si>
    <t>100% AMI</t>
  </si>
  <si>
    <t>1 Person</t>
  </si>
  <si>
    <t>2 People</t>
  </si>
  <si>
    <t>3 People</t>
  </si>
  <si>
    <t>4 People</t>
  </si>
  <si>
    <t xml:space="preserve">% of income </t>
  </si>
  <si>
    <t xml:space="preserve">30% AMI </t>
  </si>
  <si>
    <t>90% AMI</t>
  </si>
  <si>
    <t>AMI %</t>
  </si>
  <si>
    <t>20% of Units</t>
  </si>
  <si>
    <t>% of AMI Units:</t>
  </si>
  <si>
    <t>AMI %:</t>
  </si>
  <si>
    <t>AMI Unit Count</t>
  </si>
  <si>
    <t>Soft Cost Finish</t>
  </si>
  <si>
    <t>Soft Cost Start</t>
  </si>
  <si>
    <t xml:space="preserve">Construction Start </t>
  </si>
  <si>
    <t>Construction Finish</t>
  </si>
  <si>
    <t>Senior Debt Assumption</t>
  </si>
  <si>
    <t>Fixed Amount</t>
  </si>
  <si>
    <t>Total Cost</t>
  </si>
  <si>
    <t xml:space="preserve">Start Date </t>
  </si>
  <si>
    <t>Duration</t>
  </si>
  <si>
    <t>End Date</t>
  </si>
  <si>
    <t>Developer Fee</t>
  </si>
  <si>
    <t>Soft Cost Contingency</t>
  </si>
  <si>
    <t>Hard Costs</t>
  </si>
  <si>
    <t>Hard Cost Contingency</t>
  </si>
  <si>
    <t>Preliminary Construction Costs</t>
  </si>
  <si>
    <t>Subtotal Soft Costs</t>
  </si>
  <si>
    <t>Subtotal Hard Costs</t>
  </si>
  <si>
    <t>Loan to Cost (LTC)</t>
  </si>
  <si>
    <t xml:space="preserve">Interest Rate </t>
  </si>
  <si>
    <t xml:space="preserve">Am Period </t>
  </si>
  <si>
    <t>I/O Period</t>
  </si>
  <si>
    <t>Am Period</t>
  </si>
  <si>
    <t>Origination Fee</t>
  </si>
  <si>
    <t>Municipality Fee</t>
  </si>
  <si>
    <t>City Application Fee</t>
  </si>
  <si>
    <t>Refi Debt Assumptions</t>
  </si>
  <si>
    <t>Operating Expenses</t>
  </si>
  <si>
    <t>Real Estate Taxes</t>
  </si>
  <si>
    <t>LTC</t>
  </si>
  <si>
    <t xml:space="preserve">Hard Costs </t>
  </si>
  <si>
    <t xml:space="preserve">Soft Costs </t>
  </si>
  <si>
    <t>Reserve Costs</t>
  </si>
  <si>
    <t>Reserves</t>
  </si>
  <si>
    <t>Marketing Lease Up</t>
  </si>
  <si>
    <t>Financing Costs</t>
  </si>
  <si>
    <t>Subtotal Reserves</t>
  </si>
  <si>
    <t>Subtotal Financing Costs</t>
  </si>
  <si>
    <t>Appraised value</t>
  </si>
  <si>
    <t>Total Construction Cost</t>
  </si>
  <si>
    <t>Sources &amp; Uses Summary</t>
  </si>
  <si>
    <t>Equity Assumptions</t>
  </si>
  <si>
    <t>Net Loan Amount</t>
  </si>
  <si>
    <t>Gross Loan Amount</t>
  </si>
  <si>
    <t>Annual Payment</t>
  </si>
  <si>
    <t>Senior Capitalized Interest</t>
  </si>
  <si>
    <t>Capitalized Interest</t>
  </si>
  <si>
    <t>Senior Loan Origination Fee</t>
  </si>
  <si>
    <t>FA Calc</t>
  </si>
  <si>
    <t>Total Project Cost</t>
  </si>
  <si>
    <t>Construction Debt Analysis</t>
  </si>
  <si>
    <t>S&amp;U Construction Budget</t>
  </si>
  <si>
    <t>Remaining Balance</t>
  </si>
  <si>
    <t>Deferred Developer Fee</t>
  </si>
  <si>
    <t xml:space="preserve">Land Equity </t>
  </si>
  <si>
    <t>Incentive Equity</t>
  </si>
  <si>
    <t>Remaining Equity Needed</t>
  </si>
  <si>
    <t>Investor/Cash Equity Analysis</t>
  </si>
  <si>
    <t>Ownership Breakdown</t>
  </si>
  <si>
    <t>Sources:</t>
  </si>
  <si>
    <t>Uses:</t>
  </si>
  <si>
    <t>Surplus/Shortfall</t>
  </si>
  <si>
    <t xml:space="preserve">Residential Vacancy </t>
  </si>
  <si>
    <t>Total Operating Expenses</t>
  </si>
  <si>
    <t>Include?</t>
  </si>
  <si>
    <t>Assessment Percentage</t>
  </si>
  <si>
    <t>Interest &amp; Reserve Costs</t>
  </si>
  <si>
    <t>TIF Calculation</t>
  </si>
  <si>
    <t>Current Value</t>
  </si>
  <si>
    <t>Improved Value</t>
  </si>
  <si>
    <t>Increment</t>
  </si>
  <si>
    <t xml:space="preserve">Tax Increase </t>
  </si>
  <si>
    <t>TIF Request</t>
  </si>
  <si>
    <t>TIF Terms</t>
  </si>
  <si>
    <t>TIF Rate</t>
  </si>
  <si>
    <t xml:space="preserve">TIF AM </t>
  </si>
  <si>
    <t>TIF Discount Rate</t>
  </si>
  <si>
    <t>TIF Amount</t>
  </si>
  <si>
    <t>Operating Expenses:</t>
  </si>
  <si>
    <t>Acquisition/Land Cost</t>
  </si>
  <si>
    <t>Expense Inflation</t>
  </si>
  <si>
    <t>Rent Inflation</t>
  </si>
  <si>
    <t>Tax Inflation</t>
  </si>
  <si>
    <t>Operating Assumptions Summary</t>
  </si>
  <si>
    <t>Units Leased / Month</t>
  </si>
  <si>
    <t>Other Revenue</t>
  </si>
  <si>
    <t>Actual Costs</t>
  </si>
  <si>
    <t>Projected</t>
  </si>
  <si>
    <t>Set Amount</t>
  </si>
  <si>
    <t>Affordable</t>
  </si>
  <si>
    <t>Extremely Low</t>
  </si>
  <si>
    <t>AMI Scenarios</t>
  </si>
  <si>
    <t>Loan Origination Fee</t>
  </si>
  <si>
    <t>Operating Summary</t>
  </si>
  <si>
    <t>Timing Assumptions</t>
  </si>
  <si>
    <t xml:space="preserve">General Property Information </t>
  </si>
  <si>
    <t>$/PSF/Month</t>
  </si>
  <si>
    <t>$/Month</t>
  </si>
  <si>
    <t>% of Income</t>
  </si>
  <si>
    <t>Total/Avg</t>
  </si>
  <si>
    <t>Calc Basis</t>
  </si>
  <si>
    <t xml:space="preserve">Land/Acquisition Cost </t>
  </si>
  <si>
    <t>Unit Mix</t>
  </si>
  <si>
    <t>Property Type</t>
  </si>
  <si>
    <t>Construction Duration</t>
  </si>
  <si>
    <t>Refinance Year</t>
  </si>
  <si>
    <t>Balance</t>
  </si>
  <si>
    <t>Legal Fees</t>
  </si>
  <si>
    <t>Closing/Recording Fee</t>
  </si>
  <si>
    <t>Underwriting Fee</t>
  </si>
  <si>
    <t>Year #</t>
  </si>
  <si>
    <t>Date</t>
  </si>
  <si>
    <t>Number of Units Available</t>
  </si>
  <si>
    <t>Number of Units Leased</t>
  </si>
  <si>
    <t>Number of Units Remaining</t>
  </si>
  <si>
    <t>Cumulative Units Leased</t>
  </si>
  <si>
    <t>Average Monthly Rent</t>
  </si>
  <si>
    <t>Lease up:</t>
  </si>
  <si>
    <t>Analysis Start Date</t>
  </si>
  <si>
    <t>Analysis Start Year</t>
  </si>
  <si>
    <t xml:space="preserve">Phased? </t>
  </si>
  <si>
    <t>Phase 1 Units</t>
  </si>
  <si>
    <t>Phase 1 Delivery Date</t>
  </si>
  <si>
    <t>Phase 2 Delivery Date</t>
  </si>
  <si>
    <t>Phase 2 Units</t>
  </si>
  <si>
    <t>Delivery Date</t>
  </si>
  <si>
    <t>Soft Cost Duration</t>
  </si>
  <si>
    <t>Total Project Duration</t>
  </si>
  <si>
    <t>General Vacancy:</t>
  </si>
  <si>
    <t>Incentive Revenue:</t>
  </si>
  <si>
    <t>Revenue:</t>
  </si>
  <si>
    <t>Net Operating Income:</t>
  </si>
  <si>
    <t>Building Schedule:</t>
  </si>
  <si>
    <t>Soft Costs:</t>
  </si>
  <si>
    <t>Hard Costs:</t>
  </si>
  <si>
    <t>Subtotal Soft Costs:</t>
  </si>
  <si>
    <t>Subtotal Hard Costs:</t>
  </si>
  <si>
    <t>Construction Total:</t>
  </si>
  <si>
    <t>Monthly Cash Flow</t>
  </si>
  <si>
    <t>Pre-Leased Units</t>
  </si>
  <si>
    <t>Analysis Start Month</t>
  </si>
  <si>
    <t>Inflation Table</t>
  </si>
  <si>
    <t>Year:</t>
  </si>
  <si>
    <t>Garage Units</t>
  </si>
  <si>
    <t>Rent Growth at Delivery</t>
  </si>
  <si>
    <t>Months to Lease</t>
  </si>
  <si>
    <t>Pre-Lease Date</t>
  </si>
  <si>
    <t>Date Stabilized</t>
  </si>
  <si>
    <t>June</t>
  </si>
  <si>
    <t>Stabilized Month</t>
  </si>
  <si>
    <t xml:space="preserve">Sale Year </t>
  </si>
  <si>
    <t>Sale Month</t>
  </si>
  <si>
    <t>Sale Date</t>
  </si>
  <si>
    <t>CF Sale Month</t>
  </si>
  <si>
    <t>Unlevered Cashflow</t>
  </si>
  <si>
    <t>Cash Equity Amount</t>
  </si>
  <si>
    <t>FF&amp;E Costs</t>
  </si>
  <si>
    <t>Subtotal FF&amp;E Costs</t>
  </si>
  <si>
    <t>Closing Fees</t>
  </si>
  <si>
    <t>LTV</t>
  </si>
  <si>
    <t>Remaining Loan Balance</t>
  </si>
  <si>
    <t>Current Valuation</t>
  </si>
  <si>
    <t>Refi (Operating Year)</t>
  </si>
  <si>
    <t>Date of Investment</t>
  </si>
  <si>
    <t>Investment Month</t>
  </si>
  <si>
    <t>Investment Year</t>
  </si>
  <si>
    <t>Interest Reserve/Cap-I</t>
  </si>
  <si>
    <t>Loan to Value (LTV)</t>
  </si>
  <si>
    <t>Refinance</t>
  </si>
  <si>
    <t>NET Sale Proceeds</t>
  </si>
  <si>
    <t>CF Refinance Month</t>
  </si>
  <si>
    <t>Refinance (Op Year)</t>
  </si>
  <si>
    <t>Cash Flow (IF Sale Year)</t>
  </si>
  <si>
    <t>Refinance Date</t>
  </si>
  <si>
    <t>Refinance Month</t>
  </si>
  <si>
    <r>
      <t xml:space="preserve">Cash Flow </t>
    </r>
    <r>
      <rPr>
        <i/>
        <sz val="9"/>
        <color theme="1"/>
        <rFont val="Aptos Display"/>
        <family val="2"/>
      </rPr>
      <t>(Full Year)</t>
    </r>
  </si>
  <si>
    <t>Gross Proceeds</t>
  </si>
  <si>
    <t>Equity Remaining After Distribution</t>
  </si>
  <si>
    <t>GP Equity Return</t>
  </si>
  <si>
    <t>LP Equity Return</t>
  </si>
  <si>
    <t>Sale (Op Year)</t>
  </si>
  <si>
    <t>Cash Equity Return</t>
  </si>
  <si>
    <t>Sale</t>
  </si>
  <si>
    <t>Cost of Sale:</t>
  </si>
  <si>
    <t>Asset Sale &amp; Refinance Scenario</t>
  </si>
  <si>
    <t>Monthly Payment Breakdown</t>
  </si>
  <si>
    <t xml:space="preserve">Amortization Payment Schedule </t>
  </si>
  <si>
    <t>Base year of loan</t>
  </si>
  <si>
    <t>Cap-I (Years)</t>
  </si>
  <si>
    <t>Interest Only (Years)</t>
  </si>
  <si>
    <t>Interest During Construction</t>
  </si>
  <si>
    <t xml:space="preserve">Capitalized Interest </t>
  </si>
  <si>
    <t>Actual/360 Rate</t>
  </si>
  <si>
    <t>Operation Year</t>
  </si>
  <si>
    <t>Annual Tax Inflation</t>
  </si>
  <si>
    <t>Annual Tax Projections</t>
  </si>
  <si>
    <t>Year 1 Stabilized Tax Expense</t>
  </si>
  <si>
    <t>Mill Levy:</t>
  </si>
  <si>
    <t>Year 1 Assessed Value (Partial)</t>
  </si>
  <si>
    <t>Year 1 Assessed Value (Full)</t>
  </si>
  <si>
    <t>Year 1 Discount</t>
  </si>
  <si>
    <t xml:space="preserve">% Complete at Time of Assessment </t>
  </si>
  <si>
    <t>Date of First Assessment</t>
  </si>
  <si>
    <t>Total Tax (Full Assessment)</t>
  </si>
  <si>
    <t>Year 1 Assessment Type</t>
  </si>
  <si>
    <t>Senior Refi Amortization</t>
  </si>
  <si>
    <t>End Month</t>
  </si>
  <si>
    <t>Start Month</t>
  </si>
  <si>
    <t>Operational Year</t>
  </si>
  <si>
    <t>Actual Year</t>
  </si>
  <si>
    <t>End of First Operation Year</t>
  </si>
  <si>
    <t>First Month In Operation</t>
  </si>
  <si>
    <t>First Year In Operation</t>
  </si>
  <si>
    <t>Multifamily</t>
  </si>
  <si>
    <t>Unit Mix Tab</t>
  </si>
  <si>
    <t>$/Unit/Annual</t>
  </si>
  <si>
    <t>N/A</t>
  </si>
  <si>
    <t>Incentive Revenue Inflation</t>
  </si>
  <si>
    <t>Other Revenue Inflation</t>
  </si>
  <si>
    <t xml:space="preserve">Month </t>
  </si>
  <si>
    <t>Op Year</t>
  </si>
  <si>
    <t>% Complete</t>
  </si>
  <si>
    <t>$/GSF</t>
  </si>
  <si>
    <t>Regressive</t>
  </si>
  <si>
    <t>Aggressive</t>
  </si>
  <si>
    <t>Standard</t>
  </si>
  <si>
    <t>Time</t>
  </si>
  <si>
    <t>Flat</t>
  </si>
  <si>
    <t>BACKLOG</t>
  </si>
  <si>
    <t>MONTHLY</t>
  </si>
  <si>
    <t>CUMULATIVE</t>
  </si>
  <si>
    <t>COMPLETE</t>
  </si>
  <si>
    <t>NUMBER</t>
  </si>
  <si>
    <t>PERCENT</t>
  </si>
  <si>
    <t>MONTH</t>
  </si>
  <si>
    <t xml:space="preserve">Construction Duration (Months): </t>
  </si>
  <si>
    <t xml:space="preserve">   Total Loan Amount: </t>
  </si>
  <si>
    <t>Draw Curve</t>
  </si>
  <si>
    <t>Total Incentive Revenue</t>
  </si>
  <si>
    <t xml:space="preserve">Total General Vacancy </t>
  </si>
  <si>
    <t>Tax Amount</t>
  </si>
  <si>
    <t>Land Acquisition Cost:</t>
  </si>
  <si>
    <t>Land Acquisition Total</t>
  </si>
  <si>
    <t>FF&amp;E Costs:</t>
  </si>
  <si>
    <t>Total FF&amp;E Costs</t>
  </si>
  <si>
    <t>Development Fee:</t>
  </si>
  <si>
    <t xml:space="preserve">Average Occupancy </t>
  </si>
  <si>
    <t>Number of Available Units</t>
  </si>
  <si>
    <t>Incentive Revenue</t>
  </si>
  <si>
    <t>Vacancy Loss</t>
  </si>
  <si>
    <t>Total Vacancy Loss</t>
  </si>
  <si>
    <t>Effective Gross Income:</t>
  </si>
  <si>
    <t>Expenses</t>
  </si>
  <si>
    <t>Debt Service Coverage:</t>
  </si>
  <si>
    <t xml:space="preserve">Rate </t>
  </si>
  <si>
    <t>Debt Service Coverage Ratio</t>
  </si>
  <si>
    <t>Asset Sale</t>
  </si>
  <si>
    <t>Number of AMI Units</t>
  </si>
  <si>
    <t>Inflation &amp; Vacancy Table</t>
  </si>
  <si>
    <t>Repairs &amp; Maintenance</t>
  </si>
  <si>
    <t>Other</t>
  </si>
  <si>
    <t>Insurance</t>
  </si>
  <si>
    <t>March</t>
  </si>
  <si>
    <t>Monthly</t>
  </si>
  <si>
    <t xml:space="preserve">Year </t>
  </si>
  <si>
    <t>Interest Reserve</t>
  </si>
  <si>
    <t>TIF Amortization</t>
  </si>
  <si>
    <t>Total Tax (Y1 Full Assessment)</t>
  </si>
  <si>
    <t>Tax % Increase</t>
  </si>
  <si>
    <t>Interest Accured</t>
  </si>
  <si>
    <t>Remaining</t>
  </si>
  <si>
    <t>Total Owed to the City</t>
  </si>
  <si>
    <t>Rate</t>
  </si>
  <si>
    <t>Multiple</t>
  </si>
  <si>
    <t>AMI</t>
  </si>
  <si>
    <t>% AMI Units</t>
  </si>
  <si>
    <t>AMI?</t>
  </si>
  <si>
    <t>Cash After Equity Return</t>
  </si>
  <si>
    <t>Studio</t>
  </si>
  <si>
    <t>-</t>
  </si>
  <si>
    <t>1 - Bedroom</t>
  </si>
  <si>
    <t>2 - Bedroom</t>
  </si>
  <si>
    <t>Total Units</t>
  </si>
  <si>
    <t>(Utilities Paid by Owner)</t>
  </si>
  <si>
    <t>3-4 People</t>
  </si>
  <si>
    <t>Income Scenarios</t>
  </si>
  <si>
    <t>Non AMI Units</t>
  </si>
  <si>
    <t>Combined</t>
  </si>
  <si>
    <t>Avg PSF/Month:</t>
  </si>
  <si>
    <t>Avg Rent/Month:</t>
  </si>
  <si>
    <t># AMI Units:</t>
  </si>
  <si>
    <t>Total Expenses</t>
  </si>
  <si>
    <t>Calendar Year</t>
  </si>
  <si>
    <t xml:space="preserve">Cash Flow Scenarios </t>
  </si>
  <si>
    <t>Equity Multiple</t>
  </si>
  <si>
    <t>Pref Rate?</t>
  </si>
  <si>
    <t>Parking Square Footage (PSF)</t>
  </si>
  <si>
    <t>Total Revenue:</t>
  </si>
  <si>
    <t>Operating Revenue Assumptions</t>
  </si>
  <si>
    <t>Operating Expense Assumptions</t>
  </si>
  <si>
    <t xml:space="preserve">Operating Revenue </t>
  </si>
  <si>
    <t>Pref Amount:</t>
  </si>
  <si>
    <t>Rate:</t>
  </si>
  <si>
    <t>Fees</t>
  </si>
  <si>
    <t xml:space="preserve">PREF </t>
  </si>
  <si>
    <t>PREF Rollover</t>
  </si>
  <si>
    <t>TIF</t>
  </si>
  <si>
    <t>December</t>
  </si>
  <si>
    <t xml:space="preserve">FF&amp;E Contingency </t>
  </si>
  <si>
    <t>January</t>
  </si>
  <si>
    <t># AMI Units</t>
  </si>
  <si>
    <t>3 - Bedroom</t>
  </si>
  <si>
    <t>Total Number of Units</t>
  </si>
  <si>
    <t>Origination Year</t>
  </si>
  <si>
    <t>Origination Month</t>
  </si>
  <si>
    <t>Origination Date</t>
  </si>
  <si>
    <t>First Draw Year</t>
  </si>
  <si>
    <t>First Draw Month</t>
  </si>
  <si>
    <t>First Draw Date</t>
  </si>
  <si>
    <t xml:space="preserve">GP Cash Equity </t>
  </si>
  <si>
    <t>LP Cash Equity</t>
  </si>
  <si>
    <t>Limited Partner Cash Flow</t>
  </si>
  <si>
    <t>LP Cash on Cash ROI</t>
  </si>
  <si>
    <t>General Partner Cash Flow</t>
  </si>
  <si>
    <t>GP Cash on Cash ROI</t>
  </si>
  <si>
    <t>%</t>
  </si>
  <si>
    <t>General Partner</t>
  </si>
  <si>
    <t>Limited Partner</t>
  </si>
  <si>
    <t>Amortization Table</t>
  </si>
  <si>
    <t>% of Units w/ Pets</t>
  </si>
  <si>
    <t>Acquisition/Land Price</t>
  </si>
  <si>
    <t>Loan Payments &amp; Timing</t>
  </si>
  <si>
    <t>Loan Amount</t>
  </si>
  <si>
    <t>Payment Occurance</t>
  </si>
  <si>
    <t>Loan Term</t>
  </si>
  <si>
    <t>Schedule of Balances and Payments</t>
  </si>
  <si>
    <t>Payment #</t>
  </si>
  <si>
    <t>Loan  Terms</t>
  </si>
  <si>
    <t>Interest Rate</t>
  </si>
  <si>
    <t>Collection Fee</t>
  </si>
  <si>
    <t>Lender Service Fee</t>
  </si>
  <si>
    <t>County Admin Fee</t>
  </si>
  <si>
    <t>Additional Service/Admin Fees</t>
  </si>
  <si>
    <t>Interest Only</t>
  </si>
  <si>
    <t>Period</t>
  </si>
  <si>
    <t>September</t>
  </si>
  <si>
    <t>Number of Periods</t>
  </si>
  <si>
    <t>Annual AMI Inflator</t>
  </si>
  <si>
    <t>Growth</t>
  </si>
  <si>
    <t>4P VLI (50%)</t>
  </si>
  <si>
    <t>Ciling Calc</t>
  </si>
  <si>
    <t>Floor Calc</t>
  </si>
  <si>
    <t>AMI Rule</t>
  </si>
  <si>
    <t>40/60</t>
  </si>
  <si>
    <t>40% of Units</t>
  </si>
  <si>
    <t>1-2 People</t>
  </si>
  <si>
    <t>INCOME LIMITS (PER PERSON)</t>
  </si>
  <si>
    <t>RENT LIMITS (PER BEDROOM)</t>
  </si>
  <si>
    <t>Limits Calc Basis</t>
  </si>
  <si>
    <t>Start Year</t>
  </si>
  <si>
    <t>ACS Calc</t>
  </si>
  <si>
    <t>If greater than 5%</t>
  </si>
  <si>
    <t>VLI In Use</t>
  </si>
  <si>
    <t xml:space="preserve">National ACS </t>
  </si>
  <si>
    <t>MFI Data</t>
  </si>
  <si>
    <t>% Increase</t>
  </si>
  <si>
    <t>ACS Annual</t>
  </si>
  <si>
    <t>Mezz 2</t>
  </si>
  <si>
    <t>Take this out</t>
  </si>
  <si>
    <t>Financing/Closing Costs</t>
  </si>
  <si>
    <t xml:space="preserve">Reserve </t>
  </si>
  <si>
    <t>Year 0</t>
  </si>
  <si>
    <t>Land Acquisition Month</t>
  </si>
  <si>
    <t>Land Acquisition Date</t>
  </si>
  <si>
    <t>Total Closing Fees</t>
  </si>
  <si>
    <t>Gross Financing</t>
  </si>
  <si>
    <t>Senior Loan</t>
  </si>
  <si>
    <t>Land /Acquisition Cost</t>
  </si>
  <si>
    <t>Estimated</t>
  </si>
  <si>
    <t>Debt &amp; Equity Summary</t>
  </si>
  <si>
    <t>Other Rental Revenue</t>
  </si>
  <si>
    <t>Fixed Expenses</t>
  </si>
  <si>
    <t>OPERATING PROFORMA</t>
  </si>
  <si>
    <t>Total Other Rental Revenue</t>
  </si>
  <si>
    <t>Total Fixed Expenses</t>
  </si>
  <si>
    <t>Blank</t>
  </si>
  <si>
    <t>Total Fixed Expesnes</t>
  </si>
  <si>
    <t># of Parking Stalls</t>
  </si>
  <si>
    <t>Perm Loan Amortization</t>
  </si>
  <si>
    <t>Fee</t>
  </si>
  <si>
    <t>Calc</t>
  </si>
  <si>
    <t>%/$</t>
  </si>
  <si>
    <t xml:space="preserve">Not to Exceed </t>
  </si>
  <si>
    <t>August</t>
  </si>
  <si>
    <t>Principle Payments</t>
  </si>
  <si>
    <t>Per Payment Amount</t>
  </si>
  <si>
    <t>Annual Loan Payment</t>
  </si>
  <si>
    <t>Total Loan Fees</t>
  </si>
  <si>
    <t>Sum of all Payments</t>
  </si>
  <si>
    <t>Total Loan Payments + Fees</t>
  </si>
  <si>
    <t>Cap-I Amount</t>
  </si>
  <si>
    <t>Principal Over Term of Loan</t>
  </si>
  <si>
    <t>Interest Over Term of Loan</t>
  </si>
  <si>
    <t>Loan Payoff Date</t>
  </si>
  <si>
    <t>Password: REVDEV1</t>
  </si>
  <si>
    <t>Annual Schedule of Balances and Payments</t>
  </si>
  <si>
    <t>Con</t>
  </si>
  <si>
    <t>Additional Payment</t>
  </si>
  <si>
    <t>Payoff</t>
  </si>
  <si>
    <t>Total Payment</t>
  </si>
  <si>
    <t>Cumulative Fees</t>
  </si>
  <si>
    <t>Number</t>
  </si>
  <si>
    <t>February</t>
  </si>
  <si>
    <t>April</t>
  </si>
  <si>
    <t>July</t>
  </si>
  <si>
    <t xml:space="preserve">Interest Only </t>
  </si>
  <si>
    <t>I/O Periods</t>
  </si>
  <si>
    <t>October</t>
  </si>
  <si>
    <t>Cap/I Periods</t>
  </si>
  <si>
    <t>November</t>
  </si>
  <si>
    <t>Interest Payment Start Year</t>
  </si>
  <si>
    <t>Interest Payment Start Month</t>
  </si>
  <si>
    <t>Interest Payment Start Date</t>
  </si>
  <si>
    <t>Full P&amp;I Start Year</t>
  </si>
  <si>
    <t>Full P&amp;I Start Month</t>
  </si>
  <si>
    <t>Full P&amp;I Start Date</t>
  </si>
  <si>
    <t>Loan Payoff Year</t>
  </si>
  <si>
    <t>Loan Payoff Month</t>
  </si>
  <si>
    <t>Sale?</t>
  </si>
  <si>
    <t>Sale Year</t>
  </si>
  <si>
    <t xml:space="preserve">Loan Payoff </t>
  </si>
  <si>
    <t>Last Payment</t>
  </si>
  <si>
    <t>Perm Debt</t>
  </si>
  <si>
    <t>Start Date</t>
  </si>
  <si>
    <t>Payoff Date</t>
  </si>
  <si>
    <t>AM Period</t>
  </si>
  <si>
    <t>Set Date</t>
  </si>
  <si>
    <t>Refinance Debt</t>
  </si>
  <si>
    <t>Orignation Month</t>
  </si>
  <si>
    <t>Origiation Date</t>
  </si>
  <si>
    <t>$/Rentable SF</t>
  </si>
  <si>
    <t>Senior/Construction Loan Amortization</t>
  </si>
  <si>
    <t>Ownership %</t>
  </si>
  <si>
    <t>Capital Event</t>
  </si>
  <si>
    <t>Non-Operating/Capital Expenses</t>
  </si>
  <si>
    <t>Financing Fees/Costs</t>
  </si>
  <si>
    <t>Total Non-Operating/Capital Expenses</t>
  </si>
  <si>
    <t>Non-Operating/Capital Expense Assumptions</t>
  </si>
  <si>
    <t>Appliance Replacement</t>
  </si>
  <si>
    <t>Flooring Replacment</t>
  </si>
  <si>
    <t>FF&amp;E</t>
  </si>
  <si>
    <t>Total Non-OpEx/Capital Expenses</t>
  </si>
  <si>
    <t>Cash Flow Before CE</t>
  </si>
  <si>
    <t>Income Before DSC</t>
  </si>
  <si>
    <t>Debt Service</t>
  </si>
  <si>
    <t>Construction/Senior Loan</t>
  </si>
  <si>
    <t>Construction/Senior Loan Payment</t>
  </si>
  <si>
    <t>Perm Debt Payment</t>
  </si>
  <si>
    <t>Refinance Debt Payment</t>
  </si>
  <si>
    <t>Total Debt Service</t>
  </si>
  <si>
    <t>Distribution Waterfall Assumptions</t>
  </si>
  <si>
    <t>General Assumptions</t>
  </si>
  <si>
    <t>Equity Needed</t>
  </si>
  <si>
    <t>Deatil</t>
  </si>
  <si>
    <t>Class D</t>
  </si>
  <si>
    <t>Class C</t>
  </si>
  <si>
    <t>Contribtuion Unit</t>
  </si>
  <si>
    <t>Contribution</t>
  </si>
  <si>
    <t>Y</t>
  </si>
  <si>
    <t>N</t>
  </si>
  <si>
    <t>Waterfall Assumptions</t>
  </si>
  <si>
    <t>Tier 1 - Return of Capital</t>
  </si>
  <si>
    <t>Detail</t>
  </si>
  <si>
    <t>Preferred Return</t>
  </si>
  <si>
    <t>Guarantor Fee</t>
  </si>
  <si>
    <t>% Split</t>
  </si>
  <si>
    <t>Hurdle Details</t>
  </si>
  <si>
    <t>Equity Contributions</t>
  </si>
  <si>
    <t>Contribution %</t>
  </si>
  <si>
    <t>Contribution Year</t>
  </si>
  <si>
    <t>Cash Flow After Debt Service</t>
  </si>
  <si>
    <t>Total Cash Flow</t>
  </si>
  <si>
    <t>Senior/Construction Payoff</t>
  </si>
  <si>
    <t>Perm Debt Payoff</t>
  </si>
  <si>
    <t>Refi Debt Payoff</t>
  </si>
  <si>
    <t>Principle</t>
  </si>
  <si>
    <t>Bi-Annual</t>
  </si>
  <si>
    <t>Interest Calc</t>
  </si>
  <si>
    <t>Actual Days</t>
  </si>
  <si>
    <t>Base</t>
  </si>
  <si>
    <t>Construction Draw</t>
  </si>
  <si>
    <t>Cumulative Construction</t>
  </si>
  <si>
    <t>Rent Revenue</t>
  </si>
  <si>
    <t>Bad Debt Rent Write Off</t>
  </si>
  <si>
    <t>Change in Delinquency</t>
  </si>
  <si>
    <t>One Time Rent Concessions</t>
  </si>
  <si>
    <t>Change in Prepaids</t>
  </si>
  <si>
    <t xml:space="preserve">General Loss/Vacancy </t>
  </si>
  <si>
    <t>Net Income:</t>
  </si>
  <si>
    <t>Senior Refinance Debt</t>
  </si>
  <si>
    <t>%/Cost</t>
  </si>
  <si>
    <t xml:space="preserve">Start </t>
  </si>
  <si>
    <t>Senior Debt payoff:</t>
  </si>
  <si>
    <t>Fixed Timing</t>
  </si>
  <si>
    <t>PROJECT SUMMARY</t>
  </si>
  <si>
    <t>Location</t>
  </si>
  <si>
    <t>Project Size</t>
  </si>
  <si>
    <t>Project Multiple</t>
  </si>
  <si>
    <t>Project IRR</t>
  </si>
  <si>
    <t>Debt</t>
  </si>
  <si>
    <t>Mezz</t>
  </si>
  <si>
    <t>Sponsor Equity</t>
  </si>
  <si>
    <t>Investor Equity</t>
  </si>
  <si>
    <t>Uses</t>
  </si>
  <si>
    <t>Development Fee</t>
  </si>
  <si>
    <t>Acquisitionn/Land</t>
  </si>
  <si>
    <t xml:space="preserve">Initial Project Equity </t>
  </si>
  <si>
    <t>Profit</t>
  </si>
  <si>
    <t>Project</t>
  </si>
  <si>
    <t>LP</t>
  </si>
  <si>
    <t>GP</t>
  </si>
  <si>
    <t>Land/Loan Closing</t>
  </si>
  <si>
    <t>Construction Start</t>
  </si>
  <si>
    <t>Constrution Complete</t>
  </si>
  <si>
    <t>Stablized</t>
  </si>
  <si>
    <t>Project Exit</t>
  </si>
  <si>
    <t>0.00 Acres</t>
  </si>
  <si>
    <t>Lot size</t>
  </si>
  <si>
    <t>Market Rent/PSF</t>
  </si>
  <si>
    <t>Sources</t>
  </si>
  <si>
    <t>Timeline</t>
  </si>
  <si>
    <t>Equity &amp; Return Summary</t>
  </si>
  <si>
    <t>Per Unit</t>
  </si>
  <si>
    <t>Construction/Senior Payoff</t>
  </si>
  <si>
    <t>Income After Debt Service</t>
  </si>
  <si>
    <t xml:space="preserve"> </t>
  </si>
  <si>
    <t>Sponsor</t>
  </si>
  <si>
    <t>On</t>
  </si>
  <si>
    <t>Promote Structure</t>
  </si>
  <si>
    <t>Summary of Investor Level Returns</t>
  </si>
  <si>
    <t>Limited Partner Returns</t>
  </si>
  <si>
    <t>Total LP Distributions</t>
  </si>
  <si>
    <t>Total LP Contributions</t>
  </si>
  <si>
    <t>Total LP Profit</t>
  </si>
  <si>
    <t>LP IRR</t>
  </si>
  <si>
    <t>LP Equity Multiple</t>
  </si>
  <si>
    <t>GP Returns</t>
  </si>
  <si>
    <t>Total GP Distributions</t>
  </si>
  <si>
    <t>Total GP Contributions</t>
  </si>
  <si>
    <t>Total GP Profit</t>
  </si>
  <si>
    <t>GP IRR</t>
  </si>
  <si>
    <t>GP Equity Multiple</t>
  </si>
  <si>
    <t>Property Level Cash &amp; GP Fees</t>
  </si>
  <si>
    <t>Promote Structure Method</t>
  </si>
  <si>
    <t xml:space="preserve">Return of Capital </t>
  </si>
  <si>
    <t>General Partner (GP)</t>
  </si>
  <si>
    <t>Limited Partner (LP)</t>
  </si>
  <si>
    <t>Tier 1 (Pref + Return of Capital)</t>
  </si>
  <si>
    <t>GP Promote</t>
  </si>
  <si>
    <t>Distibution Split %</t>
  </si>
  <si>
    <t>GP%</t>
  </si>
  <si>
    <t>LP%</t>
  </si>
  <si>
    <t>GP Catch Up?</t>
  </si>
  <si>
    <t>Tier Requirement</t>
  </si>
  <si>
    <t>Net Property Cash Flow</t>
  </si>
  <si>
    <t>Asset Management Fee</t>
  </si>
  <si>
    <t>Adjusted Cash Flow</t>
  </si>
  <si>
    <t>Property IRR</t>
  </si>
  <si>
    <t>Property Equity Multiple</t>
  </si>
  <si>
    <t>Property Total Profit</t>
  </si>
  <si>
    <t>Total GP Fees</t>
  </si>
  <si>
    <t>Return of Capital</t>
  </si>
  <si>
    <t>Execess Cash Flow</t>
  </si>
  <si>
    <t>Return of Captial</t>
  </si>
  <si>
    <t>Promote</t>
  </si>
  <si>
    <t>Excess Cash Flow</t>
  </si>
  <si>
    <t># of Tiers</t>
  </si>
  <si>
    <t>5-Tier</t>
  </si>
  <si>
    <t>Tier 2 (Promote)</t>
  </si>
  <si>
    <t>Tier 1 Preferred Return + Return of Capital</t>
  </si>
  <si>
    <t>Return Threshold - Up to:</t>
  </si>
  <si>
    <t>Beginning Balance (LP Capital Account)</t>
  </si>
  <si>
    <t>LP Return of Capital</t>
  </si>
  <si>
    <t>Req'd Return by LP to hit Hurdle 1</t>
  </si>
  <si>
    <t>Contributions from LP</t>
  </si>
  <si>
    <t>Distributions to LP (Hurdle 1)</t>
  </si>
  <si>
    <t>Ending Balance (LP Capital Account)</t>
  </si>
  <si>
    <t>LP IRR Check</t>
  </si>
  <si>
    <t>Distribution to LP</t>
  </si>
  <si>
    <t>Beginning Balance (GP Capital Account)</t>
  </si>
  <si>
    <t>Req'd Return by GP (Pref)</t>
  </si>
  <si>
    <t>Contributions from GP</t>
  </si>
  <si>
    <t>Distribution to GP</t>
  </si>
  <si>
    <t>Ending Balance (GP Capital Account)</t>
  </si>
  <si>
    <t>GP IRR Check</t>
  </si>
  <si>
    <t>Total Distributions (Tier 1 - Preferred Return + Return of Capital)</t>
  </si>
  <si>
    <t>Cash Flow Remaining</t>
  </si>
  <si>
    <t>LP First</t>
  </si>
  <si>
    <t>Req'd Return by LP to hit Hurdle 2</t>
  </si>
  <si>
    <t>Prior Distributions</t>
  </si>
  <si>
    <t>Distributions to LP Tier 2</t>
  </si>
  <si>
    <t>Total Distributions (Tier 2)</t>
  </si>
  <si>
    <t>Req'd Return by LP to hit Hurdle 3</t>
  </si>
  <si>
    <t>Distributions to LP Tier 3</t>
  </si>
  <si>
    <t>Total Distributions (Tier 3)</t>
  </si>
  <si>
    <t>Req'd Return by LP to hit Hurdle 4</t>
  </si>
  <si>
    <t>Distributions to LP Tier 4</t>
  </si>
  <si>
    <t>Total Distributions (Tier 4)</t>
  </si>
  <si>
    <t>Return Threshold - Greater than:</t>
  </si>
  <si>
    <t>Total Distributions (Tier 5)</t>
  </si>
  <si>
    <t>LP EMx Check</t>
  </si>
  <si>
    <t>GP EMx Check</t>
  </si>
  <si>
    <t>Hurdle Rate Method Used:</t>
  </si>
  <si>
    <t>Legal</t>
  </si>
  <si>
    <t xml:space="preserve">Utilities </t>
  </si>
  <si>
    <t xml:space="preserve">General &amp; Administrative </t>
  </si>
  <si>
    <t>IRR Check</t>
  </si>
  <si>
    <t>EMx Check</t>
  </si>
  <si>
    <t>Promote Structure - IRR Hurdles</t>
  </si>
  <si>
    <t>Promote Structure - EMx Hurdles</t>
  </si>
  <si>
    <t>Full-Term</t>
  </si>
  <si>
    <t>Misc/Fees</t>
  </si>
  <si>
    <t>LP Equity Breakdown</t>
  </si>
  <si>
    <t>Hickory</t>
  </si>
  <si>
    <t>Partial</t>
  </si>
  <si>
    <t>Due Diligence</t>
  </si>
  <si>
    <t>Impact &amp; Permits Fees</t>
  </si>
  <si>
    <t>Architecture, Engineering &amp; Survey</t>
  </si>
  <si>
    <t>Consultants</t>
  </si>
  <si>
    <t>Channahon</t>
  </si>
  <si>
    <t>Channahon, IL</t>
  </si>
  <si>
    <t>Payroll and Related</t>
  </si>
  <si>
    <t>Landscaping / Contracted Services</t>
  </si>
  <si>
    <t>Leasing &amp; Marketing</t>
  </si>
  <si>
    <t>Replancement Reserve</t>
  </si>
  <si>
    <t>$/Unit/Month</t>
  </si>
  <si>
    <t>Unit Premium</t>
  </si>
  <si>
    <t>V13</t>
  </si>
  <si>
    <t>Model</t>
  </si>
  <si>
    <t>% of Total Revenue</t>
  </si>
  <si>
    <t>90/10</t>
  </si>
  <si>
    <t>PREF</t>
  </si>
  <si>
    <t>LP CASH Flow</t>
  </si>
  <si>
    <t>Equity Balance</t>
  </si>
  <si>
    <t>Gauranty Fee</t>
  </si>
  <si>
    <t>Closing Costs</t>
  </si>
  <si>
    <t>Management Start Up Cost</t>
  </si>
  <si>
    <t>Aquisition Fee</t>
  </si>
  <si>
    <t>Taxes Insurance &amp; Assoc Fees</t>
  </si>
  <si>
    <t xml:space="preserve">Broker Fee </t>
  </si>
  <si>
    <t>% of H&amp;S Costs</t>
  </si>
  <si>
    <t>%/Hard Costs</t>
  </si>
  <si>
    <t>Working Capital Reserve</t>
  </si>
  <si>
    <t>Year 3</t>
  </si>
  <si>
    <t>reserve</t>
  </si>
  <si>
    <t>Pref Start Date</t>
  </si>
  <si>
    <t xml:space="preserve">Frist Cap Event </t>
  </si>
  <si>
    <t>Rollover Pref</t>
  </si>
  <si>
    <t>Estimated 2029</t>
  </si>
  <si>
    <t>LP Only</t>
  </si>
  <si>
    <t>Investor First</t>
  </si>
  <si>
    <t>Hotel Preferred Equity Waterfall (5-Year)</t>
  </si>
  <si>
    <t>Preferred Equity</t>
  </si>
  <si>
    <t>Equity Funded</t>
  </si>
  <si>
    <t>Mar-2026</t>
  </si>
  <si>
    <t>First Distribution</t>
  </si>
  <si>
    <t>Dec-2028</t>
  </si>
  <si>
    <t>Initial Accrual (Years)</t>
  </si>
  <si>
    <t>LP Split</t>
  </si>
  <si>
    <t>GP Split</t>
  </si>
  <si>
    <t>Waterfall</t>
  </si>
  <si>
    <t>Cash In</t>
  </si>
  <si>
    <t>Pref Owed (Beg)</t>
  </si>
  <si>
    <t>Pref Paid</t>
  </si>
  <si>
    <t>Pref Balance (End)</t>
  </si>
  <si>
    <t>Capital Returned</t>
  </si>
  <si>
    <t>Unreturned Capital (End)</t>
  </si>
  <si>
    <t>Residual Cash</t>
  </si>
  <si>
    <t>LP (70%)</t>
  </si>
  <si>
    <t>GP (30%)</t>
  </si>
  <si>
    <t>Notes</t>
  </si>
  <si>
    <t>Assumes preferred return accrues on unreturned capital (standard) and is non-compounding. Pref and capital are paid before residual 70/30 split.</t>
  </si>
  <si>
    <t>Per Uni</t>
  </si>
  <si>
    <t>PSF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</si>
</sst>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3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  <numFmt numFmtId="166" formatCode="0_)"/>
    <numFmt numFmtId="167" formatCode="&quot;$&quot;#,##0.00"/>
    <numFmt numFmtId="168" formatCode="0.00\x"/>
    <numFmt numFmtId="169" formatCode="&quot;$&quot;#,##0"/>
    <numFmt numFmtId="170" formatCode="\(0.00%\)"/>
    <numFmt numFmtId="171" formatCode="#,##0\ &quot;SF&quot;"/>
    <numFmt numFmtId="172" formatCode="#,##0\ &quot;Years&quot;"/>
    <numFmt numFmtId="173" formatCode="0.00%\ &quot;LTC&quot;"/>
    <numFmt numFmtId="174" formatCode="0\ &quot;Years&quot;"/>
    <numFmt numFmtId="175" formatCode="&quot;Year&quot;\ 0"/>
    <numFmt numFmtId="176" formatCode="0\ &quot;Units&quot;"/>
    <numFmt numFmtId="177" formatCode="&quot;$&quot;#,##0.0000"/>
    <numFmt numFmtId="178" formatCode="mmmm\ yyyy"/>
    <numFmt numFmtId="179" formatCode="0\ &quot;Months&quot;"/>
    <numFmt numFmtId="180" formatCode="#,##0\ &quot;Units&quot;"/>
    <numFmt numFmtId="181" formatCode="yyyy\ &quot;Est AMI&quot;"/>
    <numFmt numFmtId="182" formatCode="0\ &quot;AMI&quot;"/>
    <numFmt numFmtId="183" formatCode="[$-409]mmm\-yy;@"/>
    <numFmt numFmtId="184" formatCode="0_);\(0\)"/>
    <numFmt numFmtId="185" formatCode="0.000"/>
    <numFmt numFmtId="186" formatCode="&quot;Month&quot;\ 0"/>
    <numFmt numFmtId="187" formatCode="0\ &quot;Year(s)&quot;"/>
    <numFmt numFmtId="188" formatCode="0.0%\ &quot;LTV&quot;"/>
    <numFmt numFmtId="189" formatCode="&quot;Year&quot;\ General"/>
    <numFmt numFmtId="190" formatCode="yyyy"/>
    <numFmt numFmtId="191" formatCode="0\ &quot;Months I/O&quot;"/>
    <numFmt numFmtId="192" formatCode=";;;"/>
    <numFmt numFmtId="193" formatCode="_(* #,##0.0_);_(* \(#,##0.0\);_(* &quot;-&quot;??_);_(@_)"/>
    <numFmt numFmtId="194" formatCode="_(&quot;$&quot;* #,##0.000000_);_(&quot;$&quot;* \(#,##0.000000\);_(&quot;$&quot;* &quot;-&quot;??_);_(@_)"/>
    <numFmt numFmtId="195" formatCode="&quot;$&quot;#,##0.00\ \ \ &quot;PSF&quot;"/>
    <numFmt numFmtId="196" formatCode="#,##0\ &quot;Months&quot;"/>
    <numFmt numFmtId="197" formatCode="0.0%\ &quot;LTC&quot;"/>
    <numFmt numFmtId="198" formatCode="mmmm"/>
    <numFmt numFmtId="199" formatCode="&quot;#&quot;0"/>
    <numFmt numFmtId="200" formatCode="&quot;$&quot;#,##0.0_);\(&quot;$&quot;#,##0.0\)"/>
    <numFmt numFmtId="201" formatCode="0%\ &quot;AMI&quot;"/>
    <numFmt numFmtId="202" formatCode="0.0\ &quot;Year(s)&quot;"/>
    <numFmt numFmtId="203" formatCode="0.0\ &quot;Periods&quot;"/>
    <numFmt numFmtId="204" formatCode="0.0"/>
    <numFmt numFmtId="205" formatCode="0.00&quot;x&quot;"/>
    <numFmt numFmtId="206" formatCode="&quot;$&quot;#,##0.00\ &quot;PSF&quot;"/>
    <numFmt numFmtId="207" formatCode="&quot;Year &quot;0"/>
    <numFmt numFmtId="208" formatCode="&quot;Year &quot;0.0"/>
    <numFmt numFmtId="209" formatCode="_(&quot;$&quot;* #,##0.0_);_(&quot;$&quot;* \(#,##0.0\);_(&quot;$&quot;* &quot;-&quot;?_);_(@_)"/>
  </numFmts>
  <fonts count="10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sz val="10"/>
      <color indexed="59"/>
      <name val="Tahoma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ptos Display"/>
      <family val="2"/>
    </font>
    <font>
      <sz val="10"/>
      <color theme="1"/>
      <name val="Aptos Display"/>
      <family val="2"/>
    </font>
    <font>
      <b/>
      <u/>
      <sz val="10"/>
      <color theme="1"/>
      <name val="Aptos Display"/>
      <family val="2"/>
    </font>
    <font>
      <b/>
      <sz val="10"/>
      <color theme="1"/>
      <name val="Aptos Display"/>
      <family val="2"/>
    </font>
    <font>
      <b/>
      <sz val="11"/>
      <color theme="0"/>
      <name val="Aptos Display"/>
      <family val="2"/>
    </font>
    <font>
      <sz val="10"/>
      <color theme="0"/>
      <name val="Aptos Display"/>
      <family val="2"/>
    </font>
    <font>
      <b/>
      <sz val="10"/>
      <color theme="0"/>
      <name val="Aptos Display"/>
      <family val="2"/>
    </font>
    <font>
      <sz val="10"/>
      <color rgb="FF4D6F99"/>
      <name val="Aptos Display"/>
      <family val="2"/>
    </font>
    <font>
      <sz val="10"/>
      <color rgb="FF0000FF"/>
      <name val="Aptos Display"/>
      <family val="2"/>
    </font>
    <font>
      <sz val="10"/>
      <name val="Aptos Display"/>
      <family val="2"/>
    </font>
    <font>
      <b/>
      <sz val="10"/>
      <color rgb="FF800080"/>
      <name val="Aptos Display"/>
      <family val="2"/>
    </font>
    <font>
      <b/>
      <sz val="11"/>
      <color theme="1"/>
      <name val="Aptos Display"/>
      <family val="2"/>
    </font>
    <font>
      <b/>
      <sz val="12"/>
      <color theme="1"/>
      <name val="Aptos Display"/>
      <family val="2"/>
    </font>
    <font>
      <sz val="9"/>
      <color rgb="FF0000FF"/>
      <name val="Aptos Display"/>
      <family val="2"/>
    </font>
    <font>
      <sz val="10"/>
      <color rgb="FFFF0000"/>
      <name val="Aptos Display"/>
      <family val="2"/>
    </font>
    <font>
      <sz val="9"/>
      <color theme="1"/>
      <name val="Aptos Display"/>
      <family val="2"/>
    </font>
    <font>
      <u/>
      <sz val="10"/>
      <color theme="1"/>
      <name val="Aptos Display"/>
      <family val="2"/>
    </font>
    <font>
      <b/>
      <sz val="10"/>
      <color rgb="FF0000FF"/>
      <name val="Aptos Display"/>
      <family val="2"/>
    </font>
    <font>
      <b/>
      <sz val="14"/>
      <color theme="1"/>
      <name val="Aptos Display"/>
      <family val="2"/>
    </font>
    <font>
      <b/>
      <sz val="10"/>
      <name val="Aptos Display"/>
      <family val="2"/>
    </font>
    <font>
      <b/>
      <sz val="22"/>
      <color theme="0"/>
      <name val="Aptos Display"/>
      <family val="2"/>
    </font>
    <font>
      <b/>
      <sz val="9"/>
      <color theme="1"/>
      <name val="Aptos Display"/>
      <family val="2"/>
    </font>
    <font>
      <i/>
      <sz val="9"/>
      <color theme="1"/>
      <name val="Aptos Display"/>
      <family val="2"/>
    </font>
    <font>
      <i/>
      <sz val="9"/>
      <color theme="0"/>
      <name val="Aptos Display"/>
      <family val="2"/>
    </font>
    <font>
      <sz val="9"/>
      <color theme="0"/>
      <name val="Aptos Display"/>
      <family val="2"/>
    </font>
    <font>
      <b/>
      <sz val="9"/>
      <color rgb="FF7030A0"/>
      <name val="Aptos Display"/>
      <family val="2"/>
    </font>
    <font>
      <b/>
      <u/>
      <sz val="10"/>
      <name val="Aptos Display"/>
      <family val="2"/>
    </font>
    <font>
      <b/>
      <sz val="20"/>
      <color theme="0"/>
      <name val="Aptos Display"/>
      <family val="2"/>
    </font>
    <font>
      <sz val="9"/>
      <color theme="0"/>
      <name val="Arial"/>
      <family val="2"/>
    </font>
    <font>
      <sz val="10"/>
      <color indexed="59"/>
      <name val="Aptos Display"/>
      <family val="2"/>
    </font>
    <font>
      <sz val="8"/>
      <color theme="1"/>
      <name val="Aptos Display"/>
      <family val="2"/>
    </font>
    <font>
      <sz val="8"/>
      <color theme="0"/>
      <name val="Aptos Display"/>
      <family val="2"/>
    </font>
    <font>
      <sz val="9"/>
      <name val="Aptos Display"/>
      <family val="2"/>
    </font>
    <font>
      <sz val="8"/>
      <name val="Aptos Display"/>
      <family val="2"/>
    </font>
    <font>
      <sz val="8"/>
      <color indexed="59"/>
      <name val="Aptos Display"/>
      <family val="2"/>
    </font>
    <font>
      <b/>
      <sz val="9"/>
      <color theme="0"/>
      <name val="Aptos Display"/>
      <family val="2"/>
    </font>
    <font>
      <sz val="20"/>
      <name val="Aptos Display"/>
      <family val="2"/>
    </font>
    <font>
      <sz val="10"/>
      <color rgb="FF3333FF"/>
      <name val="Aptos Display"/>
      <family val="2"/>
    </font>
    <font>
      <sz val="9"/>
      <color rgb="FFFF0000"/>
      <name val="Arial"/>
      <family val="2"/>
    </font>
    <font>
      <sz val="9"/>
      <color rgb="FFFF0000"/>
      <name val="Aptos Display"/>
      <family val="2"/>
    </font>
    <font>
      <b/>
      <sz val="9"/>
      <color rgb="FFFF0000"/>
      <name val="Aptos Display"/>
      <family val="2"/>
    </font>
    <font>
      <i/>
      <sz val="10"/>
      <color theme="1"/>
      <name val="Aptos Display"/>
      <family val="2"/>
    </font>
    <font>
      <sz val="10"/>
      <color indexed="12"/>
      <name val="Arial"/>
      <family val="2"/>
    </font>
    <font>
      <sz val="10"/>
      <color indexed="55"/>
      <name val="Arial"/>
      <family val="2"/>
    </font>
    <font>
      <sz val="10"/>
      <color indexed="8"/>
      <name val="Arial"/>
      <family val="2"/>
    </font>
    <font>
      <sz val="10"/>
      <color rgb="FF0000FF"/>
      <name val="Arial"/>
      <family val="2"/>
    </font>
    <font>
      <b/>
      <sz val="10"/>
      <color indexed="55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i/>
      <sz val="8"/>
      <color indexed="55"/>
      <name val="Arial"/>
      <family val="2"/>
    </font>
    <font>
      <b/>
      <sz val="10"/>
      <color rgb="FF0000FF"/>
      <name val="Arial"/>
      <family val="2"/>
    </font>
    <font>
      <b/>
      <sz val="11"/>
      <color rgb="FF800080"/>
      <name val="Aptos Display"/>
      <family val="2"/>
    </font>
    <font>
      <b/>
      <u/>
      <sz val="9"/>
      <color theme="1"/>
      <name val="Aptos Display"/>
      <family val="2"/>
    </font>
    <font>
      <sz val="12"/>
      <color theme="1"/>
      <name val="Aptos Display"/>
      <family val="2"/>
    </font>
    <font>
      <b/>
      <u/>
      <sz val="9"/>
      <color theme="0"/>
      <name val="Aptos Display"/>
      <family val="2"/>
    </font>
    <font>
      <i/>
      <sz val="10"/>
      <color rgb="FF0000FF"/>
      <name val="Aptos Display"/>
      <family val="2"/>
    </font>
    <font>
      <b/>
      <sz val="9"/>
      <color rgb="FF800080"/>
      <name val="Aptos Display"/>
      <family val="2"/>
    </font>
    <font>
      <b/>
      <i/>
      <sz val="10"/>
      <color theme="1"/>
      <name val="Aptos Display"/>
      <family val="2"/>
    </font>
    <font>
      <u/>
      <sz val="11"/>
      <color theme="10"/>
      <name val="Calibri"/>
      <family val="2"/>
      <scheme val="minor"/>
    </font>
    <font>
      <sz val="10"/>
      <color theme="0"/>
      <name val="Arial"/>
      <family val="2"/>
    </font>
    <font>
      <u/>
      <sz val="10"/>
      <color theme="10"/>
      <name val="Aptos Display"/>
      <family val="2"/>
    </font>
    <font>
      <sz val="10"/>
      <color rgb="FF7030A0"/>
      <name val="Aptos Display"/>
      <family val="2"/>
    </font>
    <font>
      <b/>
      <sz val="10"/>
      <color rgb="FFFF0000"/>
      <name val="Aptos Display"/>
      <family val="2"/>
    </font>
    <font>
      <b/>
      <u/>
      <sz val="10"/>
      <color rgb="FFFF0000"/>
      <name val="Aptos Display"/>
      <family val="2"/>
    </font>
    <font>
      <sz val="11"/>
      <name val="Aptos Display"/>
      <family val="2"/>
    </font>
    <font>
      <b/>
      <u/>
      <sz val="11"/>
      <color theme="1"/>
      <name val="Calibri"/>
      <family val="2"/>
      <scheme val="minor"/>
    </font>
    <font>
      <b/>
      <i/>
      <u/>
      <sz val="10"/>
      <color theme="1"/>
      <name val="Aptos Display"/>
      <family val="2"/>
    </font>
    <font>
      <b/>
      <sz val="10"/>
      <color rgb="FF800080"/>
      <name val="Calibri"/>
      <family val="2"/>
      <scheme val="minor"/>
    </font>
    <font>
      <sz val="9"/>
      <color rgb="FF0000FF"/>
      <name val="Calibri"/>
      <family val="2"/>
      <scheme val="minor"/>
    </font>
    <font>
      <i/>
      <sz val="9"/>
      <name val="Aptos Display"/>
      <family val="2"/>
    </font>
    <font>
      <sz val="9"/>
      <name val="Arial"/>
      <family val="2"/>
    </font>
    <font>
      <b/>
      <sz val="11"/>
      <color rgb="FF800080"/>
      <name val="Calibri"/>
      <family val="2"/>
      <scheme val="minor"/>
    </font>
    <font>
      <b/>
      <u/>
      <sz val="12"/>
      <color theme="1"/>
      <name val="Aptos Display"/>
      <family val="2"/>
    </font>
    <font>
      <i/>
      <sz val="10"/>
      <name val="Aptos Display"/>
      <family val="2"/>
    </font>
    <font>
      <b/>
      <sz val="14"/>
      <color theme="0"/>
      <name val="Aptos Display"/>
      <family val="2"/>
    </font>
    <font>
      <sz val="10"/>
      <color rgb="FFBEC7D4"/>
      <name val="Aptos Display"/>
      <family val="2"/>
    </font>
    <font>
      <i/>
      <sz val="10"/>
      <color theme="0"/>
      <name val="Aptos Display"/>
      <family val="2"/>
    </font>
    <font>
      <b/>
      <i/>
      <sz val="10"/>
      <color theme="0"/>
      <name val="Aptos Display"/>
      <family val="2"/>
    </font>
    <font>
      <u val="singleAccounting"/>
      <sz val="10"/>
      <color theme="1"/>
      <name val="Aptos Display"/>
      <family val="2"/>
    </font>
    <font>
      <sz val="10"/>
      <color rgb="FF0000FF"/>
      <name val="Calibri"/>
      <family val="2"/>
      <scheme val="minor"/>
    </font>
    <font>
      <i/>
      <sz val="8"/>
      <color theme="0"/>
      <name val="Aptos Display"/>
      <family val="2"/>
    </font>
    <font>
      <b/>
      <i/>
      <sz val="9"/>
      <color theme="0"/>
      <name val="Aptos Display"/>
      <family val="2"/>
    </font>
    <font>
      <b/>
      <sz val="16"/>
      <color rgb="FF1F4E79"/>
      <name val="Calibri"/>
    </font>
    <font>
      <b/>
      <sz val="11"/>
      <color rgb="FFFFFFFF"/>
      <name val="Calibri"/>
    </font>
    <font>
      <b/>
      <sz val="11"/>
      <name val="Calibri"/>
    </font>
    <font>
      <sz val="11"/>
      <color rgb="FF0000FF"/>
      <name val="Calibri"/>
    </font>
    <font>
      <sz val="11"/>
      <color rgb="FF000000"/>
      <name val="Calibri"/>
    </font>
    <font>
      <sz val="11"/>
      <color rgb="FF0000FF"/>
      <name val="Calibri"/>
      <family val="2"/>
      <scheme val="minor"/>
    </font>
    <font>
      <b/>
      <sz val="10"/>
      <color rgb="FFFFFFFF"/>
      <name val="Calibri"/>
      <family val="2"/>
    </font>
    <font>
      <sz val="11"/>
      <color theme="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D6F99"/>
        <bgColor indexed="64"/>
      </patternFill>
    </fill>
    <fill>
      <patternFill patternType="solid">
        <fgColor rgb="FFCCD3DE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1F4E79"/>
      </patternFill>
    </fill>
  </fills>
  <borders count="1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/>
      <top/>
      <bottom/>
      <diagonal/>
    </border>
    <border>
      <left/>
      <right style="double">
        <color indexed="8"/>
      </right>
      <top/>
      <bottom/>
      <diagonal/>
    </border>
    <border>
      <left style="double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 style="double">
        <color indexed="8"/>
      </right>
      <top/>
      <bottom style="double">
        <color indexed="8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thin">
        <color theme="0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1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thin">
        <color theme="1"/>
      </bottom>
      <diagonal/>
    </border>
    <border>
      <left/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/>
      <bottom style="medium">
        <color indexed="64"/>
      </bottom>
      <diagonal/>
    </border>
  </borders>
  <cellStyleXfs count="22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8" fontId="3" fillId="0" borderId="0" applyFon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74" fillId="0" borderId="0" applyNumberFormat="0" applyFill="0" applyBorder="0" applyAlignment="0" applyProtection="0"/>
  </cellStyleXfs>
  <cellXfs count="1589">
    <xf numFmtId="0" fontId="0" fillId="0" borderId="0" xfId="0"/>
    <xf numFmtId="38" fontId="3" fillId="0" borderId="0" xfId="11"/>
    <xf numFmtId="0" fontId="0" fillId="3" borderId="0" xfId="0" applyFill="1"/>
    <xf numFmtId="0" fontId="0" fillId="3" borderId="32" xfId="0" applyFill="1" applyBorder="1"/>
    <xf numFmtId="44" fontId="0" fillId="3" borderId="0" xfId="0" applyNumberFormat="1" applyFill="1"/>
    <xf numFmtId="164" fontId="0" fillId="3" borderId="0" xfId="0" applyNumberFormat="1" applyFill="1"/>
    <xf numFmtId="9" fontId="0" fillId="3" borderId="0" xfId="0" applyNumberFormat="1" applyFill="1"/>
    <xf numFmtId="0" fontId="0" fillId="3" borderId="17" xfId="0" applyFill="1" applyBorder="1"/>
    <xf numFmtId="0" fontId="4" fillId="0" borderId="0" xfId="0" applyFont="1"/>
    <xf numFmtId="0" fontId="4" fillId="3" borderId="0" xfId="0" applyFont="1" applyFill="1"/>
    <xf numFmtId="0" fontId="4" fillId="3" borderId="0" xfId="0" applyFont="1" applyFill="1" applyAlignment="1">
      <alignment horizontal="center"/>
    </xf>
    <xf numFmtId="0" fontId="0" fillId="0" borderId="0" xfId="13" applyFont="1"/>
    <xf numFmtId="0" fontId="0" fillId="0" borderId="0" xfId="13" applyFont="1" applyAlignment="1">
      <alignment horizontal="center"/>
    </xf>
    <xf numFmtId="0" fontId="4" fillId="3" borderId="0" xfId="13" applyFont="1" applyFill="1" applyAlignment="1">
      <alignment horizontal="center"/>
    </xf>
    <xf numFmtId="0" fontId="0" fillId="3" borderId="0" xfId="13" applyFont="1" applyFill="1" applyAlignment="1">
      <alignment horizontal="center"/>
    </xf>
    <xf numFmtId="0" fontId="0" fillId="3" borderId="0" xfId="13" applyFont="1" applyFill="1"/>
    <xf numFmtId="17" fontId="4" fillId="3" borderId="0" xfId="0" applyNumberFormat="1" applyFont="1" applyFill="1"/>
    <xf numFmtId="0" fontId="4" fillId="3" borderId="32" xfId="0" applyFont="1" applyFill="1" applyBorder="1"/>
    <xf numFmtId="0" fontId="4" fillId="3" borderId="52" xfId="0" applyFont="1" applyFill="1" applyBorder="1"/>
    <xf numFmtId="0" fontId="4" fillId="3" borderId="0" xfId="0" applyFont="1" applyFill="1" applyAlignment="1">
      <alignment vertical="top"/>
    </xf>
    <xf numFmtId="0" fontId="0" fillId="4" borderId="22" xfId="0" applyFill="1" applyBorder="1"/>
    <xf numFmtId="0" fontId="0" fillId="4" borderId="21" xfId="0" applyFill="1" applyBorder="1"/>
    <xf numFmtId="38" fontId="3" fillId="3" borderId="0" xfId="11" applyFill="1"/>
    <xf numFmtId="39" fontId="6" fillId="6" borderId="9" xfId="11" applyNumberFormat="1" applyFont="1" applyFill="1" applyBorder="1" applyAlignment="1">
      <alignment horizontal="left" vertical="center"/>
    </xf>
    <xf numFmtId="39" fontId="5" fillId="6" borderId="10" xfId="11" applyNumberFormat="1" applyFont="1" applyFill="1" applyBorder="1" applyAlignment="1">
      <alignment horizontal="left" vertical="center"/>
    </xf>
    <xf numFmtId="39" fontId="6" fillId="6" borderId="0" xfId="11" applyNumberFormat="1" applyFont="1" applyFill="1" applyAlignment="1">
      <alignment horizontal="left" vertical="center"/>
    </xf>
    <xf numFmtId="39" fontId="5" fillId="6" borderId="12" xfId="11" applyNumberFormat="1" applyFont="1" applyFill="1" applyBorder="1" applyAlignment="1">
      <alignment horizontal="left" vertical="center"/>
    </xf>
    <xf numFmtId="39" fontId="6" fillId="6" borderId="14" xfId="11" applyNumberFormat="1" applyFont="1" applyFill="1" applyBorder="1" applyAlignment="1">
      <alignment horizontal="left" vertical="center"/>
    </xf>
    <xf numFmtId="39" fontId="5" fillId="6" borderId="15" xfId="11" applyNumberFormat="1" applyFont="1" applyFill="1" applyBorder="1" applyAlignment="1">
      <alignment horizontal="left" vertical="center"/>
    </xf>
    <xf numFmtId="38" fontId="3" fillId="3" borderId="0" xfId="11" applyFill="1" applyAlignment="1">
      <alignment horizontal="center"/>
    </xf>
    <xf numFmtId="0" fontId="0" fillId="3" borderId="6" xfId="0" applyFill="1" applyBorder="1"/>
    <xf numFmtId="0" fontId="11" fillId="0" borderId="0" xfId="0" applyFont="1"/>
    <xf numFmtId="0" fontId="11" fillId="3" borderId="0" xfId="0" applyFont="1" applyFill="1"/>
    <xf numFmtId="17" fontId="12" fillId="3" borderId="0" xfId="0" applyNumberFormat="1" applyFont="1" applyFill="1"/>
    <xf numFmtId="0" fontId="12" fillId="3" borderId="0" xfId="0" applyFont="1" applyFill="1"/>
    <xf numFmtId="0" fontId="12" fillId="3" borderId="0" xfId="0" applyFont="1" applyFill="1" applyAlignment="1">
      <alignment horizontal="center"/>
    </xf>
    <xf numFmtId="0" fontId="13" fillId="3" borderId="0" xfId="0" applyFont="1" applyFill="1" applyAlignment="1">
      <alignment horizontal="center"/>
    </xf>
    <xf numFmtId="6" fontId="12" fillId="3" borderId="0" xfId="0" applyNumberFormat="1" applyFont="1" applyFill="1" applyAlignment="1">
      <alignment horizontal="center"/>
    </xf>
    <xf numFmtId="169" fontId="14" fillId="3" borderId="36" xfId="0" applyNumberFormat="1" applyFont="1" applyFill="1" applyBorder="1" applyAlignment="1">
      <alignment horizontal="right" indent="1"/>
    </xf>
    <xf numFmtId="0" fontId="12" fillId="3" borderId="2" xfId="0" applyFont="1" applyFill="1" applyBorder="1"/>
    <xf numFmtId="169" fontId="14" fillId="3" borderId="2" xfId="0" applyNumberFormat="1" applyFont="1" applyFill="1" applyBorder="1" applyAlignment="1">
      <alignment horizontal="center"/>
    </xf>
    <xf numFmtId="0" fontId="14" fillId="3" borderId="35" xfId="0" applyFont="1" applyFill="1" applyBorder="1"/>
    <xf numFmtId="0" fontId="12" fillId="3" borderId="37" xfId="0" applyFont="1" applyFill="1" applyBorder="1" applyAlignment="1">
      <alignment horizontal="right" indent="1"/>
    </xf>
    <xf numFmtId="0" fontId="12" fillId="3" borderId="32" xfId="0" applyFont="1" applyFill="1" applyBorder="1"/>
    <xf numFmtId="169" fontId="12" fillId="3" borderId="37" xfId="0" applyNumberFormat="1" applyFont="1" applyFill="1" applyBorder="1" applyAlignment="1">
      <alignment horizontal="right" indent="1"/>
    </xf>
    <xf numFmtId="169" fontId="12" fillId="3" borderId="0" xfId="0" applyNumberFormat="1" applyFont="1" applyFill="1" applyAlignment="1">
      <alignment horizontal="center"/>
    </xf>
    <xf numFmtId="0" fontId="14" fillId="3" borderId="37" xfId="0" applyFont="1" applyFill="1" applyBorder="1" applyAlignment="1">
      <alignment horizontal="right" indent="1"/>
    </xf>
    <xf numFmtId="169" fontId="14" fillId="3" borderId="37" xfId="0" applyNumberFormat="1" applyFont="1" applyFill="1" applyBorder="1" applyAlignment="1">
      <alignment horizontal="right" indent="1"/>
    </xf>
    <xf numFmtId="0" fontId="14" fillId="3" borderId="0" xfId="0" applyFont="1" applyFill="1"/>
    <xf numFmtId="169" fontId="14" fillId="3" borderId="0" xfId="0" applyNumberFormat="1" applyFont="1" applyFill="1" applyAlignment="1">
      <alignment horizontal="center"/>
    </xf>
    <xf numFmtId="0" fontId="14" fillId="3" borderId="32" xfId="0" applyFont="1" applyFill="1" applyBorder="1"/>
    <xf numFmtId="169" fontId="12" fillId="3" borderId="0" xfId="0" applyNumberFormat="1" applyFont="1" applyFill="1" applyAlignment="1">
      <alignment horizontal="left" indent="1"/>
    </xf>
    <xf numFmtId="0" fontId="11" fillId="3" borderId="32" xfId="0" applyFont="1" applyFill="1" applyBorder="1"/>
    <xf numFmtId="173" fontId="12" fillId="3" borderId="37" xfId="0" applyNumberFormat="1" applyFont="1" applyFill="1" applyBorder="1" applyAlignment="1">
      <alignment horizontal="center"/>
    </xf>
    <xf numFmtId="0" fontId="12" fillId="3" borderId="49" xfId="0" applyFont="1" applyFill="1" applyBorder="1"/>
    <xf numFmtId="17" fontId="12" fillId="3" borderId="36" xfId="0" applyNumberFormat="1" applyFont="1" applyFill="1" applyBorder="1" applyAlignment="1">
      <alignment horizontal="left" indent="1"/>
    </xf>
    <xf numFmtId="169" fontId="12" fillId="3" borderId="2" xfId="0" applyNumberFormat="1" applyFont="1" applyFill="1" applyBorder="1" applyAlignment="1">
      <alignment horizontal="left" indent="1"/>
    </xf>
    <xf numFmtId="0" fontId="12" fillId="3" borderId="35" xfId="0" applyFont="1" applyFill="1" applyBorder="1"/>
    <xf numFmtId="0" fontId="13" fillId="3" borderId="37" xfId="0" applyFont="1" applyFill="1" applyBorder="1" applyAlignment="1">
      <alignment horizontal="center"/>
    </xf>
    <xf numFmtId="0" fontId="16" fillId="4" borderId="1" xfId="0" applyFont="1" applyFill="1" applyBorder="1" applyAlignment="1">
      <alignment horizontal="center"/>
    </xf>
    <xf numFmtId="169" fontId="17" fillId="4" borderId="1" xfId="0" applyNumberFormat="1" applyFont="1" applyFill="1" applyBorder="1" applyAlignment="1">
      <alignment horizontal="center"/>
    </xf>
    <xf numFmtId="167" fontId="17" fillId="4" borderId="1" xfId="0" applyNumberFormat="1" applyFont="1" applyFill="1" applyBorder="1" applyAlignment="1">
      <alignment horizontal="center"/>
    </xf>
    <xf numFmtId="0" fontId="16" fillId="4" borderId="1" xfId="0" applyFont="1" applyFill="1" applyBorder="1"/>
    <xf numFmtId="169" fontId="18" fillId="4" borderId="1" xfId="0" applyNumberFormat="1" applyFont="1" applyFill="1" applyBorder="1"/>
    <xf numFmtId="0" fontId="16" fillId="4" borderId="38" xfId="0" applyFont="1" applyFill="1" applyBorder="1"/>
    <xf numFmtId="0" fontId="12" fillId="3" borderId="37" xfId="0" applyFont="1" applyFill="1" applyBorder="1" applyAlignment="1">
      <alignment horizontal="center"/>
    </xf>
    <xf numFmtId="167" fontId="14" fillId="3" borderId="0" xfId="0" applyNumberFormat="1" applyFont="1" applyFill="1" applyAlignment="1">
      <alignment horizontal="center"/>
    </xf>
    <xf numFmtId="169" fontId="17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/>
    </xf>
    <xf numFmtId="17" fontId="12" fillId="3" borderId="37" xfId="0" applyNumberFormat="1" applyFont="1" applyFill="1" applyBorder="1" applyAlignment="1">
      <alignment horizontal="center"/>
    </xf>
    <xf numFmtId="17" fontId="12" fillId="3" borderId="0" xfId="0" applyNumberFormat="1" applyFont="1" applyFill="1" applyAlignment="1">
      <alignment horizontal="center"/>
    </xf>
    <xf numFmtId="167" fontId="12" fillId="3" borderId="0" xfId="0" applyNumberFormat="1" applyFont="1" applyFill="1" applyAlignment="1">
      <alignment horizontal="center"/>
    </xf>
    <xf numFmtId="169" fontId="19" fillId="3" borderId="0" xfId="0" applyNumberFormat="1" applyFont="1" applyFill="1" applyAlignment="1">
      <alignment horizontal="center"/>
    </xf>
    <xf numFmtId="0" fontId="13" fillId="3" borderId="32" xfId="0" applyFont="1" applyFill="1" applyBorder="1"/>
    <xf numFmtId="0" fontId="12" fillId="3" borderId="37" xfId="0" applyFont="1" applyFill="1" applyBorder="1"/>
    <xf numFmtId="0" fontId="19" fillId="3" borderId="0" xfId="0" applyFont="1" applyFill="1" applyAlignment="1">
      <alignment horizontal="center"/>
    </xf>
    <xf numFmtId="17" fontId="19" fillId="3" borderId="0" xfId="0" applyNumberFormat="1" applyFont="1" applyFill="1" applyAlignment="1">
      <alignment horizontal="center"/>
    </xf>
    <xf numFmtId="0" fontId="19" fillId="3" borderId="0" xfId="0" applyFont="1" applyFill="1"/>
    <xf numFmtId="0" fontId="14" fillId="3" borderId="4" xfId="0" applyFont="1" applyFill="1" applyBorder="1" applyAlignment="1">
      <alignment horizontal="center"/>
    </xf>
    <xf numFmtId="0" fontId="20" fillId="3" borderId="0" xfId="0" applyFont="1" applyFill="1" applyAlignment="1">
      <alignment horizontal="center"/>
    </xf>
    <xf numFmtId="169" fontId="16" fillId="3" borderId="0" xfId="0" applyNumberFormat="1" applyFont="1" applyFill="1" applyAlignment="1">
      <alignment horizontal="center"/>
    </xf>
    <xf numFmtId="0" fontId="19" fillId="3" borderId="32" xfId="0" applyFont="1" applyFill="1" applyBorder="1"/>
    <xf numFmtId="169" fontId="12" fillId="0" borderId="0" xfId="0" applyNumberFormat="1" applyFont="1" applyAlignment="1">
      <alignment horizontal="center"/>
    </xf>
    <xf numFmtId="0" fontId="16" fillId="4" borderId="52" xfId="0" applyFont="1" applyFill="1" applyBorder="1"/>
    <xf numFmtId="0" fontId="16" fillId="4" borderId="52" xfId="0" applyFont="1" applyFill="1" applyBorder="1" applyAlignment="1">
      <alignment horizontal="center"/>
    </xf>
    <xf numFmtId="0" fontId="16" fillId="4" borderId="21" xfId="0" applyFont="1" applyFill="1" applyBorder="1"/>
    <xf numFmtId="0" fontId="21" fillId="3" borderId="4" xfId="0" applyFont="1" applyFill="1" applyBorder="1" applyAlignment="1">
      <alignment horizontal="center"/>
    </xf>
    <xf numFmtId="0" fontId="22" fillId="3" borderId="0" xfId="0" applyFont="1" applyFill="1"/>
    <xf numFmtId="49" fontId="23" fillId="3" borderId="0" xfId="0" applyNumberFormat="1" applyFont="1" applyFill="1"/>
    <xf numFmtId="0" fontId="12" fillId="0" borderId="0" xfId="0" applyFont="1"/>
    <xf numFmtId="0" fontId="12" fillId="3" borderId="0" xfId="0" applyFont="1" applyFill="1" applyAlignment="1">
      <alignment vertical="top"/>
    </xf>
    <xf numFmtId="10" fontId="19" fillId="3" borderId="0" xfId="3" applyNumberFormat="1" applyFont="1" applyFill="1" applyBorder="1" applyAlignment="1">
      <alignment horizontal="center"/>
    </xf>
    <xf numFmtId="0" fontId="12" fillId="0" borderId="32" xfId="0" applyFont="1" applyBorder="1"/>
    <xf numFmtId="169" fontId="12" fillId="3" borderId="37" xfId="0" applyNumberFormat="1" applyFont="1" applyFill="1" applyBorder="1"/>
    <xf numFmtId="17" fontId="12" fillId="3" borderId="36" xfId="0" applyNumberFormat="1" applyFont="1" applyFill="1" applyBorder="1" applyAlignment="1">
      <alignment horizontal="right"/>
    </xf>
    <xf numFmtId="186" fontId="12" fillId="3" borderId="2" xfId="0" applyNumberFormat="1" applyFont="1" applyFill="1" applyBorder="1" applyAlignment="1">
      <alignment horizontal="center"/>
    </xf>
    <xf numFmtId="37" fontId="19" fillId="3" borderId="37" xfId="11" applyNumberFormat="1" applyFont="1" applyFill="1" applyBorder="1" applyAlignment="1" applyProtection="1">
      <alignment horizontal="right" vertical="center"/>
      <protection locked="0"/>
    </xf>
    <xf numFmtId="0" fontId="16" fillId="3" borderId="0" xfId="0" applyFont="1" applyFill="1" applyAlignment="1">
      <alignment horizontal="center"/>
    </xf>
    <xf numFmtId="172" fontId="19" fillId="3" borderId="37" xfId="0" applyNumberFormat="1" applyFont="1" applyFill="1" applyBorder="1" applyAlignment="1">
      <alignment horizontal="right"/>
    </xf>
    <xf numFmtId="0" fontId="12" fillId="3" borderId="36" xfId="0" applyFont="1" applyFill="1" applyBorder="1"/>
    <xf numFmtId="0" fontId="19" fillId="0" borderId="37" xfId="0" applyFont="1" applyBorder="1"/>
    <xf numFmtId="10" fontId="19" fillId="3" borderId="37" xfId="0" applyNumberFormat="1" applyFont="1" applyFill="1" applyBorder="1"/>
    <xf numFmtId="0" fontId="12" fillId="3" borderId="49" xfId="0" applyFont="1" applyFill="1" applyBorder="1" applyAlignment="1">
      <alignment horizontal="center"/>
    </xf>
    <xf numFmtId="0" fontId="19" fillId="3" borderId="37" xfId="0" applyFont="1" applyFill="1" applyBorder="1" applyAlignment="1">
      <alignment horizontal="center"/>
    </xf>
    <xf numFmtId="0" fontId="25" fillId="3" borderId="32" xfId="0" applyFont="1" applyFill="1" applyBorder="1"/>
    <xf numFmtId="169" fontId="14" fillId="3" borderId="36" xfId="0" applyNumberFormat="1" applyFont="1" applyFill="1" applyBorder="1" applyAlignment="1">
      <alignment horizontal="center"/>
    </xf>
    <xf numFmtId="169" fontId="12" fillId="3" borderId="37" xfId="0" applyNumberFormat="1" applyFont="1" applyFill="1" applyBorder="1" applyAlignment="1">
      <alignment horizontal="center"/>
    </xf>
    <xf numFmtId="169" fontId="12" fillId="3" borderId="43" xfId="0" applyNumberFormat="1" applyFont="1" applyFill="1" applyBorder="1" applyAlignment="1">
      <alignment horizontal="center"/>
    </xf>
    <xf numFmtId="9" fontId="19" fillId="3" borderId="0" xfId="3" applyFont="1" applyFill="1" applyBorder="1" applyAlignment="1">
      <alignment horizontal="center"/>
    </xf>
    <xf numFmtId="172" fontId="19" fillId="3" borderId="37" xfId="0" applyNumberFormat="1" applyFont="1" applyFill="1" applyBorder="1" applyAlignment="1">
      <alignment horizontal="center"/>
    </xf>
    <xf numFmtId="188" fontId="12" fillId="3" borderId="36" xfId="3" applyNumberFormat="1" applyFont="1" applyFill="1" applyBorder="1" applyAlignment="1">
      <alignment horizontal="center"/>
    </xf>
    <xf numFmtId="10" fontId="19" fillId="3" borderId="37" xfId="3" applyNumberFormat="1" applyFont="1" applyFill="1" applyBorder="1" applyAlignment="1">
      <alignment horizontal="center"/>
    </xf>
    <xf numFmtId="0" fontId="12" fillId="3" borderId="5" xfId="0" applyFont="1" applyFill="1" applyBorder="1"/>
    <xf numFmtId="0" fontId="12" fillId="3" borderId="52" xfId="0" applyFont="1" applyFill="1" applyBorder="1"/>
    <xf numFmtId="0" fontId="12" fillId="3" borderId="21" xfId="0" applyFont="1" applyFill="1" applyBorder="1"/>
    <xf numFmtId="0" fontId="26" fillId="3" borderId="0" xfId="0" applyFont="1" applyFill="1"/>
    <xf numFmtId="175" fontId="12" fillId="3" borderId="36" xfId="0" applyNumberFormat="1" applyFont="1" applyFill="1" applyBorder="1" applyAlignment="1">
      <alignment horizontal="center"/>
    </xf>
    <xf numFmtId="186" fontId="12" fillId="3" borderId="0" xfId="0" applyNumberFormat="1" applyFont="1" applyFill="1" applyAlignment="1">
      <alignment horizontal="center"/>
    </xf>
    <xf numFmtId="0" fontId="20" fillId="3" borderId="32" xfId="0" applyFont="1" applyFill="1" applyBorder="1"/>
    <xf numFmtId="0" fontId="27" fillId="3" borderId="32" xfId="0" applyFont="1" applyFill="1" applyBorder="1"/>
    <xf numFmtId="37" fontId="19" fillId="3" borderId="37" xfId="11" applyNumberFormat="1" applyFont="1" applyFill="1" applyBorder="1" applyAlignment="1" applyProtection="1">
      <alignment horizontal="center" vertical="center"/>
      <protection locked="0"/>
    </xf>
    <xf numFmtId="169" fontId="19" fillId="3" borderId="37" xfId="0" applyNumberFormat="1" applyFont="1" applyFill="1" applyBorder="1" applyAlignment="1">
      <alignment horizontal="center"/>
    </xf>
    <xf numFmtId="0" fontId="19" fillId="0" borderId="37" xfId="0" applyFont="1" applyBorder="1" applyAlignment="1">
      <alignment horizontal="center"/>
    </xf>
    <xf numFmtId="9" fontId="12" fillId="3" borderId="36" xfId="0" applyNumberFormat="1" applyFont="1" applyFill="1" applyBorder="1" applyAlignment="1">
      <alignment horizontal="center"/>
    </xf>
    <xf numFmtId="0" fontId="12" fillId="3" borderId="35" xfId="0" applyFont="1" applyFill="1" applyBorder="1" applyAlignment="1">
      <alignment horizontal="left" indent="1"/>
    </xf>
    <xf numFmtId="0" fontId="14" fillId="3" borderId="37" xfId="0" applyFont="1" applyFill="1" applyBorder="1" applyAlignment="1">
      <alignment horizontal="center"/>
    </xf>
    <xf numFmtId="0" fontId="12" fillId="3" borderId="32" xfId="0" applyFont="1" applyFill="1" applyBorder="1" applyAlignment="1">
      <alignment horizontal="center"/>
    </xf>
    <xf numFmtId="9" fontId="19" fillId="3" borderId="37" xfId="0" applyNumberFormat="1" applyFont="1" applyFill="1" applyBorder="1" applyAlignment="1">
      <alignment horizontal="center"/>
    </xf>
    <xf numFmtId="0" fontId="12" fillId="3" borderId="32" xfId="0" applyFont="1" applyFill="1" applyBorder="1" applyAlignment="1">
      <alignment horizontal="left" indent="1"/>
    </xf>
    <xf numFmtId="0" fontId="14" fillId="3" borderId="22" xfId="0" applyFont="1" applyFill="1" applyBorder="1" applyAlignment="1">
      <alignment horizontal="center"/>
    </xf>
    <xf numFmtId="0" fontId="17" fillId="4" borderId="43" xfId="0" applyFont="1" applyFill="1" applyBorder="1" applyAlignment="1">
      <alignment horizontal="center"/>
    </xf>
    <xf numFmtId="0" fontId="17" fillId="4" borderId="1" xfId="0" applyFont="1" applyFill="1" applyBorder="1" applyAlignment="1">
      <alignment horizontal="center"/>
    </xf>
    <xf numFmtId="0" fontId="17" fillId="4" borderId="38" xfId="0" applyFont="1" applyFill="1" applyBorder="1" applyAlignment="1">
      <alignment horizontal="center"/>
    </xf>
    <xf numFmtId="9" fontId="12" fillId="3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left" indent="1"/>
    </xf>
    <xf numFmtId="0" fontId="13" fillId="3" borderId="0" xfId="0" applyFont="1" applyFill="1"/>
    <xf numFmtId="183" fontId="12" fillId="3" borderId="37" xfId="0" applyNumberFormat="1" applyFont="1" applyFill="1" applyBorder="1" applyAlignment="1">
      <alignment horizontal="center"/>
    </xf>
    <xf numFmtId="169" fontId="12" fillId="3" borderId="37" xfId="0" applyNumberFormat="1" applyFont="1" applyFill="1" applyBorder="1" applyAlignment="1">
      <alignment horizontal="left" indent="1"/>
    </xf>
    <xf numFmtId="185" fontId="19" fillId="3" borderId="37" xfId="0" applyNumberFormat="1" applyFont="1" applyFill="1" applyBorder="1" applyAlignment="1">
      <alignment horizontal="center"/>
    </xf>
    <xf numFmtId="169" fontId="14" fillId="3" borderId="37" xfId="0" applyNumberFormat="1" applyFont="1" applyFill="1" applyBorder="1" applyAlignment="1">
      <alignment horizontal="center"/>
    </xf>
    <xf numFmtId="10" fontId="19" fillId="3" borderId="0" xfId="0" applyNumberFormat="1" applyFont="1" applyFill="1" applyAlignment="1">
      <alignment horizontal="center"/>
    </xf>
    <xf numFmtId="169" fontId="20" fillId="3" borderId="37" xfId="0" applyNumberFormat="1" applyFont="1" applyFill="1" applyBorder="1" applyAlignment="1">
      <alignment horizontal="center"/>
    </xf>
    <xf numFmtId="0" fontId="13" fillId="3" borderId="32" xfId="0" applyFont="1" applyFill="1" applyBorder="1" applyAlignment="1">
      <alignment horizontal="center"/>
    </xf>
    <xf numFmtId="169" fontId="12" fillId="3" borderId="37" xfId="0" applyNumberFormat="1" applyFont="1" applyFill="1" applyBorder="1" applyAlignment="1">
      <alignment horizontal="left" indent="2"/>
    </xf>
    <xf numFmtId="0" fontId="12" fillId="3" borderId="32" xfId="0" applyFont="1" applyFill="1" applyBorder="1" applyAlignment="1">
      <alignment horizontal="left"/>
    </xf>
    <xf numFmtId="169" fontId="12" fillId="3" borderId="36" xfId="0" applyNumberFormat="1" applyFont="1" applyFill="1" applyBorder="1" applyAlignment="1">
      <alignment horizontal="left" indent="1"/>
    </xf>
    <xf numFmtId="169" fontId="12" fillId="3" borderId="50" xfId="0" applyNumberFormat="1" applyFont="1" applyFill="1" applyBorder="1" applyAlignment="1">
      <alignment horizontal="center"/>
    </xf>
    <xf numFmtId="167" fontId="12" fillId="3" borderId="37" xfId="0" applyNumberFormat="1" applyFont="1" applyFill="1" applyBorder="1" applyAlignment="1">
      <alignment horizontal="center"/>
    </xf>
    <xf numFmtId="49" fontId="29" fillId="3" borderId="0" xfId="0" applyNumberFormat="1" applyFont="1" applyFill="1"/>
    <xf numFmtId="164" fontId="12" fillId="3" borderId="0" xfId="0" applyNumberFormat="1" applyFont="1" applyFill="1"/>
    <xf numFmtId="44" fontId="12" fillId="3" borderId="2" xfId="0" applyNumberFormat="1" applyFont="1" applyFill="1" applyBorder="1"/>
    <xf numFmtId="9" fontId="14" fillId="0" borderId="30" xfId="0" applyNumberFormat="1" applyFont="1" applyBorder="1" applyAlignment="1">
      <alignment horizontal="center"/>
    </xf>
    <xf numFmtId="164" fontId="14" fillId="0" borderId="30" xfId="0" applyNumberFormat="1" applyFont="1" applyBorder="1"/>
    <xf numFmtId="9" fontId="12" fillId="3" borderId="17" xfId="0" applyNumberFormat="1" applyFont="1" applyFill="1" applyBorder="1" applyAlignment="1">
      <alignment horizontal="center"/>
    </xf>
    <xf numFmtId="175" fontId="30" fillId="3" borderId="0" xfId="0" applyNumberFormat="1" applyFont="1" applyFill="1" applyAlignment="1">
      <alignment horizontal="center"/>
    </xf>
    <xf numFmtId="9" fontId="12" fillId="3" borderId="0" xfId="3" applyFont="1" applyFill="1" applyAlignment="1">
      <alignment horizontal="center"/>
    </xf>
    <xf numFmtId="44" fontId="12" fillId="3" borderId="0" xfId="0" applyNumberFormat="1" applyFont="1" applyFill="1"/>
    <xf numFmtId="164" fontId="12" fillId="0" borderId="6" xfId="0" applyNumberFormat="1" applyFont="1" applyBorder="1"/>
    <xf numFmtId="175" fontId="14" fillId="0" borderId="23" xfId="0" applyNumberFormat="1" applyFont="1" applyBorder="1" applyAlignment="1">
      <alignment horizontal="center"/>
    </xf>
    <xf numFmtId="49" fontId="12" fillId="3" borderId="0" xfId="0" applyNumberFormat="1" applyFont="1" applyFill="1"/>
    <xf numFmtId="9" fontId="12" fillId="3" borderId="0" xfId="0" applyNumberFormat="1" applyFont="1" applyFill="1"/>
    <xf numFmtId="44" fontId="12" fillId="3" borderId="0" xfId="0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44" fontId="17" fillId="4" borderId="43" xfId="0" applyNumberFormat="1" applyFont="1" applyFill="1" applyBorder="1" applyAlignment="1">
      <alignment horizontal="center"/>
    </xf>
    <xf numFmtId="44" fontId="17" fillId="4" borderId="1" xfId="0" applyNumberFormat="1" applyFont="1" applyFill="1" applyBorder="1" applyAlignment="1">
      <alignment horizontal="center"/>
    </xf>
    <xf numFmtId="0" fontId="12" fillId="3" borderId="33" xfId="0" applyFont="1" applyFill="1" applyBorder="1"/>
    <xf numFmtId="44" fontId="12" fillId="3" borderId="34" xfId="0" applyNumberFormat="1" applyFont="1" applyFill="1" applyBorder="1"/>
    <xf numFmtId="189" fontId="12" fillId="3" borderId="4" xfId="0" applyNumberFormat="1" applyFont="1" applyFill="1" applyBorder="1" applyAlignment="1">
      <alignment horizontal="center"/>
    </xf>
    <xf numFmtId="0" fontId="12" fillId="0" borderId="16" xfId="0" applyFont="1" applyBorder="1"/>
    <xf numFmtId="44" fontId="12" fillId="0" borderId="28" xfId="0" applyNumberFormat="1" applyFont="1" applyBorder="1"/>
    <xf numFmtId="0" fontId="12" fillId="0" borderId="40" xfId="0" applyFont="1" applyBorder="1"/>
    <xf numFmtId="9" fontId="14" fillId="0" borderId="31" xfId="0" applyNumberFormat="1" applyFont="1" applyBorder="1" applyAlignment="1">
      <alignment horizontal="center"/>
    </xf>
    <xf numFmtId="0" fontId="12" fillId="0" borderId="30" xfId="0" applyFont="1" applyBorder="1" applyAlignment="1">
      <alignment horizontal="center"/>
    </xf>
    <xf numFmtId="0" fontId="14" fillId="0" borderId="29" xfId="0" applyFont="1" applyBorder="1"/>
    <xf numFmtId="165" fontId="12" fillId="0" borderId="25" xfId="0" applyNumberFormat="1" applyFont="1" applyBorder="1" applyAlignment="1">
      <alignment horizontal="center"/>
    </xf>
    <xf numFmtId="42" fontId="12" fillId="0" borderId="26" xfId="0" applyNumberFormat="1" applyFont="1" applyBorder="1"/>
    <xf numFmtId="9" fontId="12" fillId="0" borderId="26" xfId="3" applyFont="1" applyBorder="1" applyAlignment="1">
      <alignment horizontal="center"/>
    </xf>
    <xf numFmtId="0" fontId="12" fillId="0" borderId="24" xfId="0" applyFont="1" applyBorder="1"/>
    <xf numFmtId="0" fontId="12" fillId="0" borderId="7" xfId="0" applyFont="1" applyBorder="1"/>
    <xf numFmtId="0" fontId="12" fillId="0" borderId="20" xfId="0" applyFont="1" applyBorder="1"/>
    <xf numFmtId="44" fontId="12" fillId="0" borderId="7" xfId="0" applyNumberFormat="1" applyFont="1" applyBorder="1"/>
    <xf numFmtId="164" fontId="14" fillId="0" borderId="34" xfId="0" applyNumberFormat="1" applyFont="1" applyBorder="1"/>
    <xf numFmtId="0" fontId="14" fillId="0" borderId="39" xfId="0" applyFont="1" applyBorder="1"/>
    <xf numFmtId="44" fontId="12" fillId="0" borderId="6" xfId="0" applyNumberFormat="1" applyFont="1" applyBorder="1"/>
    <xf numFmtId="0" fontId="12" fillId="0" borderId="6" xfId="0" applyFont="1" applyBorder="1"/>
    <xf numFmtId="9" fontId="20" fillId="0" borderId="20" xfId="0" applyNumberFormat="1" applyFont="1" applyBorder="1"/>
    <xf numFmtId="9" fontId="20" fillId="0" borderId="18" xfId="0" applyNumberFormat="1" applyFont="1" applyBorder="1"/>
    <xf numFmtId="3" fontId="12" fillId="0" borderId="6" xfId="0" applyNumberFormat="1" applyFont="1" applyBorder="1"/>
    <xf numFmtId="9" fontId="20" fillId="0" borderId="18" xfId="0" applyNumberFormat="1" applyFont="1" applyBorder="1" applyAlignment="1">
      <alignment horizontal="left"/>
    </xf>
    <xf numFmtId="6" fontId="12" fillId="0" borderId="6" xfId="0" applyNumberFormat="1" applyFont="1" applyBorder="1"/>
    <xf numFmtId="0" fontId="12" fillId="0" borderId="18" xfId="0" applyFont="1" applyBorder="1"/>
    <xf numFmtId="164" fontId="14" fillId="0" borderId="6" xfId="0" applyNumberFormat="1" applyFont="1" applyBorder="1"/>
    <xf numFmtId="165" fontId="14" fillId="3" borderId="57" xfId="0" applyNumberFormat="1" applyFont="1" applyFill="1" applyBorder="1" applyAlignment="1">
      <alignment horizontal="center"/>
    </xf>
    <xf numFmtId="165" fontId="14" fillId="3" borderId="42" xfId="0" applyNumberFormat="1" applyFont="1" applyFill="1" applyBorder="1" applyAlignment="1">
      <alignment horizontal="center"/>
    </xf>
    <xf numFmtId="168" fontId="14" fillId="3" borderId="59" xfId="0" applyNumberFormat="1" applyFont="1" applyFill="1" applyBorder="1" applyAlignment="1">
      <alignment horizontal="center"/>
    </xf>
    <xf numFmtId="164" fontId="12" fillId="3" borderId="18" xfId="0" applyNumberFormat="1" applyFont="1" applyFill="1" applyBorder="1"/>
    <xf numFmtId="164" fontId="12" fillId="3" borderId="60" xfId="0" applyNumberFormat="1" applyFont="1" applyFill="1" applyBorder="1"/>
    <xf numFmtId="164" fontId="12" fillId="3" borderId="61" xfId="0" applyNumberFormat="1" applyFont="1" applyFill="1" applyBorder="1" applyAlignment="1">
      <alignment horizontal="right"/>
    </xf>
    <xf numFmtId="169" fontId="32" fillId="3" borderId="38" xfId="0" applyNumberFormat="1" applyFont="1" applyFill="1" applyBorder="1" applyAlignment="1">
      <alignment horizontal="center"/>
    </xf>
    <xf numFmtId="0" fontId="26" fillId="3" borderId="2" xfId="0" applyFont="1" applyFill="1" applyBorder="1"/>
    <xf numFmtId="0" fontId="26" fillId="3" borderId="35" xfId="0" applyFont="1" applyFill="1" applyBorder="1"/>
    <xf numFmtId="0" fontId="26" fillId="3" borderId="63" xfId="0" applyFont="1" applyFill="1" applyBorder="1" applyAlignment="1">
      <alignment horizontal="center"/>
    </xf>
    <xf numFmtId="0" fontId="26" fillId="3" borderId="36" xfId="0" applyFont="1" applyFill="1" applyBorder="1"/>
    <xf numFmtId="175" fontId="26" fillId="3" borderId="32" xfId="0" applyNumberFormat="1" applyFont="1" applyFill="1" applyBorder="1" applyAlignment="1">
      <alignment horizontal="center"/>
    </xf>
    <xf numFmtId="0" fontId="26" fillId="3" borderId="37" xfId="0" applyFont="1" applyFill="1" applyBorder="1"/>
    <xf numFmtId="0" fontId="26" fillId="3" borderId="32" xfId="0" applyFont="1" applyFill="1" applyBorder="1"/>
    <xf numFmtId="164" fontId="33" fillId="3" borderId="0" xfId="2" applyNumberFormat="1" applyFont="1" applyFill="1" applyBorder="1"/>
    <xf numFmtId="17" fontId="26" fillId="3" borderId="32" xfId="0" applyNumberFormat="1" applyFont="1" applyFill="1" applyBorder="1" applyAlignment="1">
      <alignment horizontal="center"/>
    </xf>
    <xf numFmtId="37" fontId="26" fillId="3" borderId="32" xfId="0" applyNumberFormat="1" applyFont="1" applyFill="1" applyBorder="1" applyAlignment="1">
      <alignment horizontal="center"/>
    </xf>
    <xf numFmtId="164" fontId="26" fillId="3" borderId="0" xfId="2" applyNumberFormat="1" applyFont="1" applyFill="1" applyBorder="1"/>
    <xf numFmtId="0" fontId="26" fillId="3" borderId="21" xfId="0" applyFont="1" applyFill="1" applyBorder="1" applyAlignment="1">
      <alignment horizontal="center"/>
    </xf>
    <xf numFmtId="0" fontId="26" fillId="3" borderId="22" xfId="0" applyFont="1" applyFill="1" applyBorder="1"/>
    <xf numFmtId="0" fontId="26" fillId="3" borderId="52" xfId="0" applyFont="1" applyFill="1" applyBorder="1"/>
    <xf numFmtId="0" fontId="26" fillId="3" borderId="21" xfId="0" applyFont="1" applyFill="1" applyBorder="1"/>
    <xf numFmtId="0" fontId="32" fillId="0" borderId="21" xfId="0" applyFont="1" applyBorder="1" applyAlignment="1">
      <alignment horizontal="center"/>
    </xf>
    <xf numFmtId="0" fontId="26" fillId="3" borderId="43" xfId="0" applyFont="1" applyFill="1" applyBorder="1"/>
    <xf numFmtId="0" fontId="26" fillId="3" borderId="1" xfId="0" applyFont="1" applyFill="1" applyBorder="1" applyAlignment="1">
      <alignment horizontal="left"/>
    </xf>
    <xf numFmtId="0" fontId="26" fillId="3" borderId="38" xfId="0" applyFont="1" applyFill="1" applyBorder="1" applyAlignment="1">
      <alignment horizontal="left"/>
    </xf>
    <xf numFmtId="0" fontId="26" fillId="3" borderId="41" xfId="0" applyFont="1" applyFill="1" applyBorder="1"/>
    <xf numFmtId="0" fontId="26" fillId="3" borderId="56" xfId="0" applyFont="1" applyFill="1" applyBorder="1"/>
    <xf numFmtId="169" fontId="26" fillId="3" borderId="0" xfId="0" applyNumberFormat="1" applyFont="1" applyFill="1" applyAlignment="1">
      <alignment horizontal="center"/>
    </xf>
    <xf numFmtId="169" fontId="26" fillId="3" borderId="32" xfId="0" applyNumberFormat="1" applyFont="1" applyFill="1" applyBorder="1" applyAlignment="1">
      <alignment horizontal="center"/>
    </xf>
    <xf numFmtId="0" fontId="35" fillId="3" borderId="2" xfId="0" applyFont="1" applyFill="1" applyBorder="1"/>
    <xf numFmtId="0" fontId="26" fillId="3" borderId="24" xfId="0" applyFont="1" applyFill="1" applyBorder="1"/>
    <xf numFmtId="17" fontId="35" fillId="3" borderId="0" xfId="0" applyNumberFormat="1" applyFont="1" applyFill="1" applyAlignment="1">
      <alignment horizontal="center"/>
    </xf>
    <xf numFmtId="0" fontId="35" fillId="3" borderId="0" xfId="0" applyFont="1" applyFill="1"/>
    <xf numFmtId="17" fontId="26" fillId="3" borderId="64" xfId="0" applyNumberFormat="1" applyFont="1" applyFill="1" applyBorder="1" applyAlignment="1">
      <alignment horizontal="center"/>
    </xf>
    <xf numFmtId="0" fontId="35" fillId="3" borderId="0" xfId="0" applyFont="1" applyFill="1" applyAlignment="1">
      <alignment horizontal="center"/>
    </xf>
    <xf numFmtId="0" fontId="26" fillId="3" borderId="64" xfId="0" applyFont="1" applyFill="1" applyBorder="1"/>
    <xf numFmtId="0" fontId="24" fillId="3" borderId="64" xfId="0" applyFont="1" applyFill="1" applyBorder="1" applyAlignment="1">
      <alignment horizontal="center"/>
    </xf>
    <xf numFmtId="0" fontId="26" fillId="3" borderId="23" xfId="0" applyFont="1" applyFill="1" applyBorder="1"/>
    <xf numFmtId="0" fontId="24" fillId="3" borderId="55" xfId="0" applyFont="1" applyFill="1" applyBorder="1" applyAlignment="1">
      <alignment horizontal="center"/>
    </xf>
    <xf numFmtId="0" fontId="35" fillId="3" borderId="52" xfId="0" applyFont="1" applyFill="1" applyBorder="1"/>
    <xf numFmtId="0" fontId="26" fillId="3" borderId="27" xfId="0" applyFont="1" applyFill="1" applyBorder="1"/>
    <xf numFmtId="0" fontId="26" fillId="3" borderId="41" xfId="0" applyFont="1" applyFill="1" applyBorder="1" applyAlignment="1">
      <alignment horizontal="center"/>
    </xf>
    <xf numFmtId="0" fontId="26" fillId="3" borderId="36" xfId="0" applyFont="1" applyFill="1" applyBorder="1" applyAlignment="1">
      <alignment horizontal="left"/>
    </xf>
    <xf numFmtId="0" fontId="26" fillId="3" borderId="2" xfId="0" applyFont="1" applyFill="1" applyBorder="1" applyAlignment="1">
      <alignment horizontal="left"/>
    </xf>
    <xf numFmtId="0" fontId="26" fillId="3" borderId="35" xfId="0" applyFont="1" applyFill="1" applyBorder="1" applyAlignment="1">
      <alignment horizontal="left"/>
    </xf>
    <xf numFmtId="164" fontId="32" fillId="3" borderId="52" xfId="2" applyNumberFormat="1" applyFont="1" applyFill="1" applyBorder="1"/>
    <xf numFmtId="9" fontId="24" fillId="3" borderId="21" xfId="3" applyFont="1" applyFill="1" applyBorder="1" applyAlignment="1">
      <alignment horizontal="center"/>
    </xf>
    <xf numFmtId="0" fontId="26" fillId="3" borderId="22" xfId="0" applyFont="1" applyFill="1" applyBorder="1" applyAlignment="1">
      <alignment horizontal="left"/>
    </xf>
    <xf numFmtId="0" fontId="26" fillId="3" borderId="52" xfId="0" applyFont="1" applyFill="1" applyBorder="1" applyAlignment="1">
      <alignment horizontal="left"/>
    </xf>
    <xf numFmtId="0" fontId="26" fillId="3" borderId="21" xfId="0" applyFont="1" applyFill="1" applyBorder="1" applyAlignment="1">
      <alignment horizontal="left"/>
    </xf>
    <xf numFmtId="0" fontId="35" fillId="3" borderId="37" xfId="0" applyFont="1" applyFill="1" applyBorder="1" applyAlignment="1">
      <alignment horizontal="center"/>
    </xf>
    <xf numFmtId="175" fontId="37" fillId="3" borderId="52" xfId="0" applyNumberFormat="1" applyFont="1" applyFill="1" applyBorder="1" applyAlignment="1">
      <alignment horizontal="center" vertical="center"/>
    </xf>
    <xf numFmtId="0" fontId="17" fillId="3" borderId="52" xfId="0" applyFont="1" applyFill="1" applyBorder="1" applyAlignment="1">
      <alignment vertical="center"/>
    </xf>
    <xf numFmtId="0" fontId="30" fillId="3" borderId="52" xfId="0" applyFont="1" applyFill="1" applyBorder="1" applyAlignment="1">
      <alignment vertical="center"/>
    </xf>
    <xf numFmtId="0" fontId="17" fillId="3" borderId="21" xfId="0" applyFont="1" applyFill="1" applyBorder="1" applyAlignment="1">
      <alignment vertical="center"/>
    </xf>
    <xf numFmtId="38" fontId="3" fillId="3" borderId="0" xfId="11" applyFont="1" applyFill="1" applyAlignment="1">
      <alignment horizontal="center"/>
    </xf>
    <xf numFmtId="38" fontId="39" fillId="3" borderId="0" xfId="11" applyFont="1" applyFill="1" applyAlignment="1">
      <alignment horizontal="right"/>
    </xf>
    <xf numFmtId="39" fontId="20" fillId="6" borderId="15" xfId="11" applyNumberFormat="1" applyFont="1" applyFill="1" applyBorder="1" applyAlignment="1">
      <alignment horizontal="left" vertical="center"/>
    </xf>
    <xf numFmtId="39" fontId="40" fillId="6" borderId="14" xfId="11" applyNumberFormat="1" applyFont="1" applyFill="1" applyBorder="1" applyAlignment="1">
      <alignment horizontal="left" vertical="center"/>
    </xf>
    <xf numFmtId="39" fontId="20" fillId="6" borderId="13" xfId="11" applyNumberFormat="1" applyFont="1" applyFill="1" applyBorder="1" applyAlignment="1">
      <alignment horizontal="left" vertical="center"/>
    </xf>
    <xf numFmtId="39" fontId="20" fillId="6" borderId="12" xfId="11" applyNumberFormat="1" applyFont="1" applyFill="1" applyBorder="1" applyAlignment="1">
      <alignment horizontal="left" vertical="center"/>
    </xf>
    <xf numFmtId="39" fontId="40" fillId="6" borderId="0" xfId="11" applyNumberFormat="1" applyFont="1" applyFill="1" applyAlignment="1">
      <alignment horizontal="left" vertical="center"/>
    </xf>
    <xf numFmtId="39" fontId="20" fillId="6" borderId="11" xfId="11" applyNumberFormat="1" applyFont="1" applyFill="1" applyBorder="1" applyAlignment="1">
      <alignment horizontal="left" vertical="center"/>
    </xf>
    <xf numFmtId="0" fontId="20" fillId="6" borderId="12" xfId="11" applyNumberFormat="1" applyFont="1" applyFill="1" applyBorder="1" applyAlignment="1">
      <alignment horizontal="left" vertical="center"/>
    </xf>
    <xf numFmtId="166" fontId="20" fillId="6" borderId="11" xfId="11" applyNumberFormat="1" applyFont="1" applyFill="1" applyBorder="1" applyAlignment="1">
      <alignment horizontal="left" vertical="center"/>
    </xf>
    <xf numFmtId="39" fontId="20" fillId="6" borderId="10" xfId="11" applyNumberFormat="1" applyFont="1" applyFill="1" applyBorder="1" applyAlignment="1">
      <alignment horizontal="left" vertical="center"/>
    </xf>
    <xf numFmtId="39" fontId="40" fillId="6" borderId="9" xfId="11" applyNumberFormat="1" applyFont="1" applyFill="1" applyBorder="1" applyAlignment="1">
      <alignment horizontal="left" vertical="center"/>
    </xf>
    <xf numFmtId="39" fontId="30" fillId="6" borderId="8" xfId="11" applyNumberFormat="1" applyFont="1" applyFill="1" applyBorder="1" applyAlignment="1">
      <alignment horizontal="left" vertical="center"/>
    </xf>
    <xf numFmtId="38" fontId="20" fillId="3" borderId="0" xfId="11" applyFont="1" applyFill="1" applyBorder="1" applyAlignment="1" applyProtection="1">
      <alignment horizontal="left" vertical="center"/>
    </xf>
    <xf numFmtId="38" fontId="41" fillId="0" borderId="0" xfId="11" applyFont="1" applyAlignment="1">
      <alignment horizontal="center"/>
    </xf>
    <xf numFmtId="166" fontId="35" fillId="3" borderId="0" xfId="11" applyNumberFormat="1" applyFont="1" applyFill="1" applyBorder="1" applyAlignment="1">
      <alignment horizontal="right" vertical="center"/>
    </xf>
    <xf numFmtId="166" fontId="20" fillId="3" borderId="0" xfId="11" applyNumberFormat="1" applyFont="1" applyFill="1" applyBorder="1" applyAlignment="1" applyProtection="1">
      <alignment horizontal="left" vertical="center"/>
    </xf>
    <xf numFmtId="7" fontId="20" fillId="3" borderId="36" xfId="11" applyNumberFormat="1" applyFont="1" applyFill="1" applyBorder="1" applyAlignment="1">
      <alignment horizontal="right" vertical="center"/>
    </xf>
    <xf numFmtId="7" fontId="20" fillId="3" borderId="2" xfId="11" applyNumberFormat="1" applyFont="1" applyFill="1" applyBorder="1" applyAlignment="1">
      <alignment horizontal="right" vertical="center"/>
    </xf>
    <xf numFmtId="38" fontId="3" fillId="3" borderId="2" xfId="11" applyFill="1" applyBorder="1"/>
    <xf numFmtId="38" fontId="3" fillId="3" borderId="48" xfId="11" applyFill="1" applyBorder="1" applyAlignment="1">
      <alignment horizontal="center"/>
    </xf>
    <xf numFmtId="166" fontId="35" fillId="3" borderId="0" xfId="11" applyNumberFormat="1" applyFont="1" applyFill="1" applyBorder="1" applyAlignment="1">
      <alignment horizontal="center" vertical="center"/>
    </xf>
    <xf numFmtId="1" fontId="42" fillId="3" borderId="0" xfId="11" applyNumberFormat="1" applyFont="1" applyFill="1" applyBorder="1" applyAlignment="1">
      <alignment horizontal="center"/>
    </xf>
    <xf numFmtId="7" fontId="20" fillId="3" borderId="37" xfId="11" applyNumberFormat="1" applyFont="1" applyFill="1" applyBorder="1" applyAlignment="1">
      <alignment horizontal="right" vertical="center"/>
    </xf>
    <xf numFmtId="7" fontId="20" fillId="3" borderId="0" xfId="11" applyNumberFormat="1" applyFont="1" applyFill="1" applyBorder="1" applyAlignment="1">
      <alignment horizontal="right" vertical="center"/>
    </xf>
    <xf numFmtId="38" fontId="20" fillId="3" borderId="0" xfId="11" applyFont="1" applyFill="1" applyBorder="1" applyAlignment="1" applyProtection="1">
      <alignment horizontal="center" vertical="center"/>
    </xf>
    <xf numFmtId="38" fontId="41" fillId="0" borderId="49" xfId="11" applyFont="1" applyBorder="1" applyAlignment="1">
      <alignment horizontal="center"/>
    </xf>
    <xf numFmtId="166" fontId="20" fillId="3" borderId="0" xfId="11" applyNumberFormat="1" applyFont="1" applyFill="1" applyBorder="1" applyAlignment="1" applyProtection="1">
      <alignment horizontal="center" vertical="center"/>
    </xf>
    <xf numFmtId="166" fontId="26" fillId="3" borderId="37" xfId="11" applyNumberFormat="1" applyFont="1" applyFill="1" applyBorder="1" applyAlignment="1">
      <alignment horizontal="right" vertical="center"/>
    </xf>
    <xf numFmtId="166" fontId="26" fillId="3" borderId="0" xfId="11" applyNumberFormat="1" applyFont="1" applyFill="1" applyBorder="1" applyAlignment="1">
      <alignment horizontal="right" vertical="center"/>
    </xf>
    <xf numFmtId="38" fontId="20" fillId="0" borderId="0" xfId="11" applyFont="1"/>
    <xf numFmtId="38" fontId="20" fillId="3" borderId="0" xfId="11" applyFont="1" applyFill="1"/>
    <xf numFmtId="38" fontId="20" fillId="3" borderId="0" xfId="11" applyFont="1" applyFill="1" applyAlignment="1">
      <alignment horizontal="left" vertical="center"/>
    </xf>
    <xf numFmtId="166" fontId="43" fillId="3" borderId="0" xfId="11" applyNumberFormat="1" applyFont="1" applyFill="1" applyBorder="1" applyAlignment="1">
      <alignment horizontal="right" vertical="center"/>
    </xf>
    <xf numFmtId="7" fontId="20" fillId="3" borderId="22" xfId="11" applyNumberFormat="1" applyFont="1" applyFill="1" applyBorder="1" applyAlignment="1">
      <alignment horizontal="right" vertical="center"/>
    </xf>
    <xf numFmtId="7" fontId="20" fillId="3" borderId="52" xfId="11" applyNumberFormat="1" applyFont="1" applyFill="1" applyBorder="1" applyAlignment="1">
      <alignment horizontal="right" vertical="center"/>
    </xf>
    <xf numFmtId="166" fontId="20" fillId="3" borderId="21" xfId="11" applyNumberFormat="1" applyFont="1" applyFill="1" applyBorder="1" applyAlignment="1" applyProtection="1">
      <alignment horizontal="center" vertical="center"/>
    </xf>
    <xf numFmtId="38" fontId="41" fillId="0" borderId="5" xfId="11" applyFont="1" applyBorder="1" applyAlignment="1">
      <alignment horizontal="center"/>
    </xf>
    <xf numFmtId="38" fontId="40" fillId="3" borderId="0" xfId="11" applyFont="1" applyFill="1" applyAlignment="1">
      <alignment horizontal="left" vertical="center"/>
    </xf>
    <xf numFmtId="166" fontId="43" fillId="3" borderId="37" xfId="11" applyNumberFormat="1" applyFont="1" applyFill="1" applyBorder="1" applyAlignment="1">
      <alignment horizontal="right" vertical="center"/>
    </xf>
    <xf numFmtId="166" fontId="20" fillId="3" borderId="32" xfId="11" applyNumberFormat="1" applyFont="1" applyFill="1" applyBorder="1" applyAlignment="1" applyProtection="1">
      <alignment horizontal="center" vertical="center"/>
    </xf>
    <xf numFmtId="38" fontId="41" fillId="0" borderId="32" xfId="11" applyFont="1" applyBorder="1" applyAlignment="1">
      <alignment horizontal="center"/>
    </xf>
    <xf numFmtId="38" fontId="41" fillId="3" borderId="49" xfId="11" applyFont="1" applyFill="1" applyBorder="1" applyAlignment="1">
      <alignment horizontal="center"/>
    </xf>
    <xf numFmtId="38" fontId="44" fillId="3" borderId="0" xfId="11" applyFont="1" applyFill="1" applyAlignment="1">
      <alignment horizontal="left" vertical="center"/>
    </xf>
    <xf numFmtId="38" fontId="45" fillId="3" borderId="0" xfId="11" applyFont="1" applyFill="1" applyAlignment="1">
      <alignment horizontal="left" vertical="center"/>
    </xf>
    <xf numFmtId="38" fontId="44" fillId="3" borderId="0" xfId="11" applyFont="1" applyFill="1" applyBorder="1" applyAlignment="1">
      <alignment horizontal="left" vertical="center"/>
    </xf>
    <xf numFmtId="38" fontId="20" fillId="3" borderId="0" xfId="11" applyFont="1" applyFill="1" applyAlignment="1">
      <alignment horizontal="left" vertical="center" wrapText="1"/>
    </xf>
    <xf numFmtId="38" fontId="40" fillId="3" borderId="0" xfId="11" applyFont="1" applyFill="1" applyAlignment="1">
      <alignment horizontal="left" vertical="center" wrapText="1"/>
    </xf>
    <xf numFmtId="166" fontId="20" fillId="3" borderId="52" xfId="11" applyNumberFormat="1" applyFont="1" applyFill="1" applyBorder="1" applyAlignment="1" applyProtection="1">
      <alignment horizontal="center" vertical="center"/>
    </xf>
    <xf numFmtId="38" fontId="20" fillId="3" borderId="2" xfId="11" applyFont="1" applyFill="1" applyBorder="1" applyAlignment="1" applyProtection="1">
      <alignment horizontal="center" vertical="center"/>
    </xf>
    <xf numFmtId="38" fontId="41" fillId="0" borderId="48" xfId="11" applyFont="1" applyBorder="1" applyAlignment="1">
      <alignment horizontal="center"/>
    </xf>
    <xf numFmtId="38" fontId="25" fillId="0" borderId="0" xfId="11" applyFont="1"/>
    <xf numFmtId="38" fontId="20" fillId="3" borderId="0" xfId="11" applyFont="1" applyFill="1" applyBorder="1" applyAlignment="1">
      <alignment horizontal="center" vertical="center"/>
    </xf>
    <xf numFmtId="166" fontId="20" fillId="3" borderId="0" xfId="11" applyNumberFormat="1" applyFont="1" applyFill="1" applyBorder="1" applyAlignment="1">
      <alignment horizontal="center" vertical="center"/>
    </xf>
    <xf numFmtId="7" fontId="20" fillId="7" borderId="43" xfId="11" applyNumberFormat="1" applyFont="1" applyFill="1" applyBorder="1" applyAlignment="1">
      <alignment horizontal="right" vertical="center"/>
    </xf>
    <xf numFmtId="7" fontId="20" fillId="7" borderId="1" xfId="11" applyNumberFormat="1" applyFont="1" applyFill="1" applyBorder="1" applyAlignment="1">
      <alignment horizontal="right" vertical="center"/>
    </xf>
    <xf numFmtId="7" fontId="20" fillId="7" borderId="52" xfId="11" applyNumberFormat="1" applyFont="1" applyFill="1" applyBorder="1" applyAlignment="1">
      <alignment horizontal="right" vertical="center"/>
    </xf>
    <xf numFmtId="38" fontId="20" fillId="7" borderId="1" xfId="11" applyFont="1" applyFill="1" applyBorder="1" applyAlignment="1">
      <alignment horizontal="center" vertical="center"/>
    </xf>
    <xf numFmtId="38" fontId="41" fillId="7" borderId="4" xfId="11" applyFont="1" applyFill="1" applyBorder="1" applyAlignment="1">
      <alignment horizontal="center"/>
    </xf>
    <xf numFmtId="0" fontId="30" fillId="5" borderId="43" xfId="11" applyNumberFormat="1" applyFont="1" applyFill="1" applyBorder="1" applyAlignment="1">
      <alignment horizontal="center" vertical="center" wrapText="1"/>
    </xf>
    <xf numFmtId="0" fontId="30" fillId="5" borderId="1" xfId="11" applyNumberFormat="1" applyFont="1" applyFill="1" applyBorder="1" applyAlignment="1">
      <alignment horizontal="center" vertical="center" wrapText="1"/>
    </xf>
    <xf numFmtId="39" fontId="30" fillId="3" borderId="0" xfId="11" applyNumberFormat="1" applyFont="1" applyFill="1" applyBorder="1" applyAlignment="1">
      <alignment horizontal="center" vertical="center" wrapText="1"/>
    </xf>
    <xf numFmtId="39" fontId="46" fillId="3" borderId="0" xfId="11" applyNumberFormat="1" applyFont="1" applyFill="1" applyBorder="1" applyAlignment="1">
      <alignment horizontal="right" vertical="center" wrapText="1"/>
    </xf>
    <xf numFmtId="39" fontId="17" fillId="4" borderId="43" xfId="11" applyNumberFormat="1" applyFont="1" applyFill="1" applyBorder="1" applyAlignment="1">
      <alignment vertical="center"/>
    </xf>
    <xf numFmtId="39" fontId="17" fillId="4" borderId="1" xfId="11" applyNumberFormat="1" applyFont="1" applyFill="1" applyBorder="1" applyAlignment="1">
      <alignment vertical="center"/>
    </xf>
    <xf numFmtId="38" fontId="20" fillId="4" borderId="1" xfId="11" applyFont="1" applyFill="1" applyBorder="1"/>
    <xf numFmtId="39" fontId="17" fillId="4" borderId="38" xfId="11" applyNumberFormat="1" applyFont="1" applyFill="1" applyBorder="1" applyAlignment="1">
      <alignment vertical="center"/>
    </xf>
    <xf numFmtId="38" fontId="20" fillId="0" borderId="0" xfId="11" applyFont="1" applyAlignment="1">
      <alignment horizontal="center"/>
    </xf>
    <xf numFmtId="38" fontId="35" fillId="0" borderId="0" xfId="11" applyFont="1" applyAlignment="1">
      <alignment horizontal="right"/>
    </xf>
    <xf numFmtId="38" fontId="20" fillId="3" borderId="0" xfId="11" applyFont="1" applyFill="1" applyAlignment="1">
      <alignment horizontal="right" vertical="center"/>
    </xf>
    <xf numFmtId="38" fontId="20" fillId="3" borderId="0" xfId="11" applyFont="1" applyFill="1" applyAlignment="1">
      <alignment horizontal="center" vertical="center"/>
    </xf>
    <xf numFmtId="38" fontId="35" fillId="3" borderId="0" xfId="11" applyFont="1" applyFill="1" applyAlignment="1">
      <alignment horizontal="right" vertical="center"/>
    </xf>
    <xf numFmtId="5" fontId="20" fillId="3" borderId="36" xfId="11" applyNumberFormat="1" applyFont="1" applyFill="1" applyBorder="1" applyAlignment="1">
      <alignment horizontal="right" vertical="center"/>
    </xf>
    <xf numFmtId="5" fontId="20" fillId="3" borderId="2" xfId="11" applyNumberFormat="1" applyFont="1" applyFill="1" applyBorder="1" applyAlignment="1">
      <alignment horizontal="right" vertical="center"/>
    </xf>
    <xf numFmtId="166" fontId="20" fillId="3" borderId="2" xfId="11" applyNumberFormat="1" applyFont="1" applyFill="1" applyBorder="1" applyAlignment="1">
      <alignment horizontal="center" vertical="center"/>
    </xf>
    <xf numFmtId="38" fontId="44" fillId="3" borderId="48" xfId="11" applyFont="1" applyFill="1" applyBorder="1" applyAlignment="1">
      <alignment horizontal="center" vertical="center"/>
    </xf>
    <xf numFmtId="5" fontId="20" fillId="3" borderId="37" xfId="11" applyNumberFormat="1" applyFont="1" applyFill="1" applyBorder="1" applyAlignment="1">
      <alignment horizontal="right" vertical="center"/>
    </xf>
    <xf numFmtId="5" fontId="20" fillId="3" borderId="0" xfId="11" applyNumberFormat="1" applyFont="1" applyFill="1" applyBorder="1" applyAlignment="1">
      <alignment horizontal="right" vertical="center"/>
    </xf>
    <xf numFmtId="38" fontId="44" fillId="3" borderId="49" xfId="11" applyFont="1" applyFill="1" applyBorder="1" applyAlignment="1">
      <alignment horizontal="center" vertical="center"/>
    </xf>
    <xf numFmtId="5" fontId="20" fillId="3" borderId="22" xfId="11" applyNumberFormat="1" applyFont="1" applyFill="1" applyBorder="1" applyAlignment="1">
      <alignment horizontal="right" vertical="center"/>
    </xf>
    <xf numFmtId="5" fontId="20" fillId="3" borderId="52" xfId="11" applyNumberFormat="1" applyFont="1" applyFill="1" applyBorder="1" applyAlignment="1">
      <alignment horizontal="right" vertical="center"/>
    </xf>
    <xf numFmtId="166" fontId="20" fillId="3" borderId="52" xfId="11" applyNumberFormat="1" applyFont="1" applyFill="1" applyBorder="1" applyAlignment="1">
      <alignment horizontal="center" vertical="center"/>
    </xf>
    <xf numFmtId="38" fontId="44" fillId="3" borderId="5" xfId="11" applyFont="1" applyFill="1" applyBorder="1" applyAlignment="1">
      <alignment horizontal="center" vertical="center"/>
    </xf>
    <xf numFmtId="39" fontId="30" fillId="5" borderId="43" xfId="11" applyNumberFormat="1" applyFont="1" applyFill="1" applyBorder="1" applyAlignment="1">
      <alignment horizontal="center" vertical="center" wrapText="1"/>
    </xf>
    <xf numFmtId="39" fontId="30" fillId="5" borderId="1" xfId="11" applyNumberFormat="1" applyFont="1" applyFill="1" applyBorder="1" applyAlignment="1">
      <alignment horizontal="center" vertical="center" wrapText="1"/>
    </xf>
    <xf numFmtId="39" fontId="30" fillId="5" borderId="38" xfId="11" applyNumberFormat="1" applyFont="1" applyFill="1" applyBorder="1" applyAlignment="1">
      <alignment horizontal="center" vertical="center" wrapText="1"/>
    </xf>
    <xf numFmtId="38" fontId="30" fillId="5" borderId="1" xfId="11" applyFont="1" applyFill="1" applyBorder="1" applyAlignment="1">
      <alignment horizontal="center" vertical="center" wrapText="1"/>
    </xf>
    <xf numFmtId="38" fontId="20" fillId="5" borderId="38" xfId="11" applyFont="1" applyFill="1" applyBorder="1" applyAlignment="1">
      <alignment horizontal="center" vertical="center"/>
    </xf>
    <xf numFmtId="38" fontId="20" fillId="4" borderId="38" xfId="11" applyFont="1" applyFill="1" applyBorder="1" applyAlignment="1">
      <alignment horizontal="center" vertical="center"/>
    </xf>
    <xf numFmtId="38" fontId="20" fillId="3" borderId="0" xfId="11" applyFont="1" applyFill="1" applyBorder="1" applyAlignment="1">
      <alignment vertical="center"/>
    </xf>
    <xf numFmtId="38" fontId="20" fillId="0" borderId="0" xfId="11" applyFont="1" applyAlignment="1">
      <alignment horizontal="left"/>
    </xf>
    <xf numFmtId="37" fontId="20" fillId="3" borderId="0" xfId="11" applyNumberFormat="1" applyFont="1" applyFill="1" applyBorder="1" applyAlignment="1" applyProtection="1">
      <alignment horizontal="right" vertical="center"/>
      <protection locked="0"/>
    </xf>
    <xf numFmtId="37" fontId="20" fillId="3" borderId="36" xfId="11" applyNumberFormat="1" applyFont="1" applyFill="1" applyBorder="1" applyAlignment="1" applyProtection="1">
      <alignment horizontal="right" vertical="center"/>
      <protection locked="0"/>
    </xf>
    <xf numFmtId="38" fontId="20" fillId="3" borderId="2" xfId="11" applyFont="1" applyFill="1" applyBorder="1" applyAlignment="1">
      <alignment vertical="center"/>
    </xf>
    <xf numFmtId="38" fontId="20" fillId="0" borderId="2" xfId="11" applyFont="1" applyBorder="1"/>
    <xf numFmtId="38" fontId="20" fillId="3" borderId="35" xfId="11" applyFont="1" applyFill="1" applyBorder="1" applyAlignment="1">
      <alignment vertical="center"/>
    </xf>
    <xf numFmtId="166" fontId="20" fillId="3" borderId="37" xfId="11" applyNumberFormat="1" applyFont="1" applyFill="1" applyBorder="1" applyAlignment="1" applyProtection="1">
      <alignment horizontal="right" vertical="center"/>
      <protection locked="0"/>
    </xf>
    <xf numFmtId="38" fontId="20" fillId="0" borderId="0" xfId="11" applyFont="1" applyBorder="1"/>
    <xf numFmtId="38" fontId="20" fillId="3" borderId="32" xfId="11" applyFont="1" applyFill="1" applyBorder="1" applyAlignment="1">
      <alignment vertical="center"/>
    </xf>
    <xf numFmtId="38" fontId="20" fillId="0" borderId="32" xfId="11" applyFont="1" applyBorder="1"/>
    <xf numFmtId="38" fontId="20" fillId="0" borderId="37" xfId="11" applyFont="1" applyBorder="1"/>
    <xf numFmtId="17" fontId="20" fillId="3" borderId="0" xfId="11" applyNumberFormat="1" applyFont="1" applyFill="1" applyAlignment="1">
      <alignment horizontal="left" vertical="center"/>
    </xf>
    <xf numFmtId="174" fontId="20" fillId="3" borderId="37" xfId="11" applyNumberFormat="1" applyFont="1" applyFill="1" applyBorder="1" applyAlignment="1" applyProtection="1">
      <alignment horizontal="right" vertical="center"/>
      <protection locked="0"/>
    </xf>
    <xf numFmtId="38" fontId="16" fillId="3" borderId="0" xfId="11" applyFont="1" applyFill="1" applyBorder="1" applyAlignment="1">
      <alignment vertical="center"/>
    </xf>
    <xf numFmtId="10" fontId="20" fillId="0" borderId="37" xfId="3" applyNumberFormat="1" applyFont="1" applyBorder="1"/>
    <xf numFmtId="191" fontId="20" fillId="3" borderId="0" xfId="11" applyNumberFormat="1" applyFont="1" applyFill="1" applyAlignment="1">
      <alignment horizontal="center" vertical="center"/>
    </xf>
    <xf numFmtId="38" fontId="21" fillId="0" borderId="4" xfId="11" applyFont="1" applyBorder="1" applyAlignment="1">
      <alignment horizontal="center"/>
    </xf>
    <xf numFmtId="38" fontId="20" fillId="0" borderId="32" xfId="11" applyFont="1" applyBorder="1" applyAlignment="1">
      <alignment horizontal="center"/>
    </xf>
    <xf numFmtId="10" fontId="12" fillId="3" borderId="37" xfId="11" applyNumberFormat="1" applyFont="1" applyFill="1" applyBorder="1" applyAlignment="1" applyProtection="1">
      <alignment horizontal="right" vertical="center"/>
      <protection locked="0"/>
    </xf>
    <xf numFmtId="169" fontId="20" fillId="3" borderId="22" xfId="11" applyNumberFormat="1" applyFont="1" applyFill="1" applyBorder="1" applyAlignment="1" applyProtection="1">
      <alignment horizontal="right" vertical="center"/>
      <protection locked="0"/>
    </xf>
    <xf numFmtId="38" fontId="20" fillId="3" borderId="52" xfId="11" applyFont="1" applyFill="1" applyBorder="1" applyAlignment="1">
      <alignment vertical="center"/>
    </xf>
    <xf numFmtId="38" fontId="20" fillId="3" borderId="21" xfId="11" applyFont="1" applyFill="1" applyBorder="1" applyAlignment="1">
      <alignment vertical="center"/>
    </xf>
    <xf numFmtId="38" fontId="20" fillId="0" borderId="52" xfId="11" applyFont="1" applyBorder="1"/>
    <xf numFmtId="39" fontId="15" fillId="4" borderId="1" xfId="11" applyNumberFormat="1" applyFont="1" applyFill="1" applyBorder="1" applyAlignment="1">
      <alignment vertical="center"/>
    </xf>
    <xf numFmtId="38" fontId="20" fillId="4" borderId="38" xfId="11" applyFont="1" applyFill="1" applyBorder="1" applyAlignment="1">
      <alignment horizontal="center"/>
    </xf>
    <xf numFmtId="37" fontId="47" fillId="3" borderId="0" xfId="11" applyNumberFormat="1" applyFont="1" applyFill="1" applyAlignment="1">
      <alignment horizontal="center" vertical="center"/>
    </xf>
    <xf numFmtId="37" fontId="35" fillId="3" borderId="0" xfId="11" applyNumberFormat="1" applyFont="1" applyFill="1" applyAlignment="1">
      <alignment horizontal="right" vertical="center"/>
    </xf>
    <xf numFmtId="38" fontId="20" fillId="3" borderId="0" xfId="11" applyFont="1" applyFill="1" applyAlignment="1">
      <alignment horizontal="left"/>
    </xf>
    <xf numFmtId="38" fontId="40" fillId="3" borderId="0" xfId="11" applyFont="1" applyFill="1" applyAlignment="1">
      <alignment horizontal="left"/>
    </xf>
    <xf numFmtId="37" fontId="47" fillId="3" borderId="0" xfId="11" applyNumberFormat="1" applyFont="1" applyFill="1" applyAlignment="1">
      <alignment horizontal="left"/>
    </xf>
    <xf numFmtId="186" fontId="20" fillId="3" borderId="36" xfId="0" applyNumberFormat="1" applyFont="1" applyFill="1" applyBorder="1" applyAlignment="1">
      <alignment horizontal="center"/>
    </xf>
    <xf numFmtId="186" fontId="20" fillId="3" borderId="2" xfId="0" applyNumberFormat="1" applyFont="1" applyFill="1" applyBorder="1" applyAlignment="1">
      <alignment horizontal="center"/>
    </xf>
    <xf numFmtId="0" fontId="20" fillId="3" borderId="35" xfId="0" applyFont="1" applyFill="1" applyBorder="1" applyAlignment="1">
      <alignment horizontal="center"/>
    </xf>
    <xf numFmtId="186" fontId="20" fillId="3" borderId="37" xfId="0" applyNumberFormat="1" applyFont="1" applyFill="1" applyBorder="1" applyAlignment="1">
      <alignment horizontal="center"/>
    </xf>
    <xf numFmtId="186" fontId="20" fillId="3" borderId="0" xfId="0" applyNumberFormat="1" applyFont="1" applyFill="1" applyAlignment="1">
      <alignment horizontal="center"/>
    </xf>
    <xf numFmtId="0" fontId="20" fillId="3" borderId="32" xfId="0" applyFont="1" applyFill="1" applyBorder="1" applyAlignment="1">
      <alignment horizontal="center"/>
    </xf>
    <xf numFmtId="186" fontId="12" fillId="3" borderId="37" xfId="0" applyNumberFormat="1" applyFont="1" applyFill="1" applyBorder="1" applyAlignment="1">
      <alignment horizontal="center"/>
    </xf>
    <xf numFmtId="186" fontId="12" fillId="3" borderId="22" xfId="0" applyNumberFormat="1" applyFont="1" applyFill="1" applyBorder="1" applyAlignment="1">
      <alignment horizontal="center"/>
    </xf>
    <xf numFmtId="186" fontId="20" fillId="3" borderId="52" xfId="0" applyNumberFormat="1" applyFont="1" applyFill="1" applyBorder="1" applyAlignment="1">
      <alignment horizontal="center"/>
    </xf>
    <xf numFmtId="1" fontId="12" fillId="3" borderId="21" xfId="0" applyNumberFormat="1" applyFont="1" applyFill="1" applyBorder="1" applyAlignment="1">
      <alignment horizontal="center"/>
    </xf>
    <xf numFmtId="38" fontId="20" fillId="0" borderId="21" xfId="11" applyFont="1" applyBorder="1"/>
    <xf numFmtId="38" fontId="20" fillId="0" borderId="35" xfId="11" applyFont="1" applyBorder="1"/>
    <xf numFmtId="0" fontId="12" fillId="3" borderId="35" xfId="0" applyFont="1" applyFill="1" applyBorder="1" applyAlignment="1">
      <alignment horizontal="center"/>
    </xf>
    <xf numFmtId="0" fontId="11" fillId="3" borderId="37" xfId="0" applyFont="1" applyFill="1" applyBorder="1"/>
    <xf numFmtId="0" fontId="14" fillId="3" borderId="32" xfId="0" applyFont="1" applyFill="1" applyBorder="1" applyAlignment="1">
      <alignment horizontal="center"/>
    </xf>
    <xf numFmtId="177" fontId="19" fillId="3" borderId="0" xfId="0" applyNumberFormat="1" applyFont="1" applyFill="1"/>
    <xf numFmtId="5" fontId="17" fillId="4" borderId="43" xfId="0" applyNumberFormat="1" applyFont="1" applyFill="1" applyBorder="1"/>
    <xf numFmtId="0" fontId="14" fillId="4" borderId="1" xfId="0" applyFont="1" applyFill="1" applyBorder="1"/>
    <xf numFmtId="0" fontId="17" fillId="4" borderId="38" xfId="0" applyFont="1" applyFill="1" applyBorder="1"/>
    <xf numFmtId="0" fontId="30" fillId="3" borderId="32" xfId="0" applyFont="1" applyFill="1" applyBorder="1"/>
    <xf numFmtId="169" fontId="14" fillId="3" borderId="36" xfId="0" applyNumberFormat="1" applyFont="1" applyFill="1" applyBorder="1"/>
    <xf numFmtId="177" fontId="19" fillId="3" borderId="37" xfId="0" applyNumberFormat="1" applyFont="1" applyFill="1" applyBorder="1"/>
    <xf numFmtId="9" fontId="19" fillId="3" borderId="53" xfId="0" applyNumberFormat="1" applyFont="1" applyFill="1" applyBorder="1"/>
    <xf numFmtId="5" fontId="12" fillId="5" borderId="43" xfId="0" applyNumberFormat="1" applyFont="1" applyFill="1" applyBorder="1"/>
    <xf numFmtId="0" fontId="12" fillId="5" borderId="1" xfId="0" applyFont="1" applyFill="1" applyBorder="1"/>
    <xf numFmtId="0" fontId="14" fillId="5" borderId="38" xfId="0" applyFont="1" applyFill="1" applyBorder="1"/>
    <xf numFmtId="169" fontId="12" fillId="3" borderId="46" xfId="0" applyNumberFormat="1" applyFont="1" applyFill="1" applyBorder="1"/>
    <xf numFmtId="5" fontId="14" fillId="5" borderId="22" xfId="0" applyNumberFormat="1" applyFont="1" applyFill="1" applyBorder="1"/>
    <xf numFmtId="0" fontId="14" fillId="5" borderId="52" xfId="0" applyFont="1" applyFill="1" applyBorder="1"/>
    <xf numFmtId="0" fontId="14" fillId="5" borderId="21" xfId="0" applyFont="1" applyFill="1" applyBorder="1"/>
    <xf numFmtId="174" fontId="19" fillId="3" borderId="37" xfId="0" applyNumberFormat="1" applyFont="1" applyFill="1" applyBorder="1"/>
    <xf numFmtId="165" fontId="48" fillId="3" borderId="37" xfId="0" applyNumberFormat="1" applyFont="1" applyFill="1" applyBorder="1" applyAlignment="1">
      <alignment horizontal="right"/>
    </xf>
    <xf numFmtId="169" fontId="19" fillId="3" borderId="37" xfId="0" applyNumberFormat="1" applyFont="1" applyFill="1" applyBorder="1"/>
    <xf numFmtId="0" fontId="14" fillId="3" borderId="52" xfId="0" applyFont="1" applyFill="1" applyBorder="1" applyAlignment="1">
      <alignment horizontal="center"/>
    </xf>
    <xf numFmtId="0" fontId="12" fillId="3" borderId="22" xfId="0" applyFont="1" applyFill="1" applyBorder="1"/>
    <xf numFmtId="0" fontId="17" fillId="4" borderId="22" xfId="0" applyFont="1" applyFill="1" applyBorder="1" applyAlignment="1">
      <alignment horizontal="centerContinuous" vertical="center"/>
    </xf>
    <xf numFmtId="0" fontId="17" fillId="4" borderId="52" xfId="0" applyFont="1" applyFill="1" applyBorder="1" applyAlignment="1">
      <alignment horizontal="centerContinuous" vertical="center"/>
    </xf>
    <xf numFmtId="0" fontId="17" fillId="4" borderId="21" xfId="0" applyFont="1" applyFill="1" applyBorder="1" applyAlignment="1">
      <alignment horizontal="centerContinuous" vertical="center"/>
    </xf>
    <xf numFmtId="38" fontId="49" fillId="3" borderId="0" xfId="11" applyFont="1" applyFill="1" applyAlignment="1">
      <alignment horizontal="right"/>
    </xf>
    <xf numFmtId="166" fontId="50" fillId="3" borderId="0" xfId="11" applyNumberFormat="1" applyFont="1" applyFill="1" applyBorder="1" applyAlignment="1">
      <alignment horizontal="right" vertical="center"/>
    </xf>
    <xf numFmtId="39" fontId="51" fillId="3" borderId="0" xfId="11" applyNumberFormat="1" applyFont="1" applyFill="1" applyBorder="1" applyAlignment="1">
      <alignment horizontal="right" vertical="center" wrapText="1"/>
    </xf>
    <xf numFmtId="38" fontId="50" fillId="3" borderId="0" xfId="11" applyFont="1" applyFill="1" applyAlignment="1">
      <alignment horizontal="right"/>
    </xf>
    <xf numFmtId="38" fontId="50" fillId="3" borderId="0" xfId="11" applyFont="1" applyFill="1" applyAlignment="1">
      <alignment horizontal="right" vertical="center"/>
    </xf>
    <xf numFmtId="5" fontId="12" fillId="3" borderId="36" xfId="11" applyNumberFormat="1" applyFont="1" applyFill="1" applyBorder="1" applyAlignment="1">
      <alignment horizontal="right" vertical="center"/>
    </xf>
    <xf numFmtId="37" fontId="50" fillId="3" borderId="0" xfId="11" applyNumberFormat="1" applyFont="1" applyFill="1" applyAlignment="1">
      <alignment horizontal="right" vertical="center"/>
    </xf>
    <xf numFmtId="0" fontId="25" fillId="3" borderId="2" xfId="0" applyFont="1" applyFill="1" applyBorder="1"/>
    <xf numFmtId="186" fontId="12" fillId="3" borderId="37" xfId="0" applyNumberFormat="1" applyFont="1" applyFill="1" applyBorder="1"/>
    <xf numFmtId="183" fontId="12" fillId="3" borderId="37" xfId="0" applyNumberFormat="1" applyFont="1" applyFill="1" applyBorder="1"/>
    <xf numFmtId="0" fontId="25" fillId="3" borderId="0" xfId="0" applyFont="1" applyFill="1"/>
    <xf numFmtId="179" fontId="12" fillId="3" borderId="37" xfId="0" applyNumberFormat="1" applyFont="1" applyFill="1" applyBorder="1"/>
    <xf numFmtId="183" fontId="20" fillId="3" borderId="37" xfId="0" applyNumberFormat="1" applyFont="1" applyFill="1" applyBorder="1" applyAlignment="1">
      <alignment horizontal="right"/>
    </xf>
    <xf numFmtId="0" fontId="25" fillId="3" borderId="0" xfId="0" applyFont="1" applyFill="1" applyAlignment="1">
      <alignment horizontal="center"/>
    </xf>
    <xf numFmtId="185" fontId="19" fillId="3" borderId="37" xfId="0" applyNumberFormat="1" applyFont="1" applyFill="1" applyBorder="1" applyAlignment="1">
      <alignment horizontal="right"/>
    </xf>
    <xf numFmtId="0" fontId="19" fillId="3" borderId="22" xfId="0" applyFont="1" applyFill="1" applyBorder="1"/>
    <xf numFmtId="171" fontId="19" fillId="3" borderId="37" xfId="0" applyNumberFormat="1" applyFont="1" applyFill="1" applyBorder="1" applyAlignment="1">
      <alignment horizontal="right"/>
    </xf>
    <xf numFmtId="171" fontId="20" fillId="3" borderId="37" xfId="0" applyNumberFormat="1" applyFont="1" applyFill="1" applyBorder="1" applyAlignment="1">
      <alignment horizontal="right"/>
    </xf>
    <xf numFmtId="0" fontId="19" fillId="3" borderId="37" xfId="0" applyFont="1" applyFill="1" applyBorder="1" applyAlignment="1">
      <alignment horizontal="right"/>
    </xf>
    <xf numFmtId="0" fontId="19" fillId="3" borderId="22" xfId="0" applyFont="1" applyFill="1" applyBorder="1" applyAlignment="1">
      <alignment horizontal="right"/>
    </xf>
    <xf numFmtId="0" fontId="25" fillId="3" borderId="52" xfId="0" applyFont="1" applyFill="1" applyBorder="1"/>
    <xf numFmtId="5" fontId="12" fillId="3" borderId="0" xfId="0" applyNumberFormat="1" applyFont="1" applyFill="1" applyAlignment="1">
      <alignment horizontal="center"/>
    </xf>
    <xf numFmtId="5" fontId="14" fillId="3" borderId="49" xfId="0" applyNumberFormat="1" applyFont="1" applyFill="1" applyBorder="1" applyAlignment="1">
      <alignment horizontal="center"/>
    </xf>
    <xf numFmtId="5" fontId="14" fillId="3" borderId="5" xfId="0" applyNumberFormat="1" applyFont="1" applyFill="1" applyBorder="1" applyAlignment="1">
      <alignment horizontal="center"/>
    </xf>
    <xf numFmtId="5" fontId="14" fillId="3" borderId="22" xfId="0" applyNumberFormat="1" applyFont="1" applyFill="1" applyBorder="1" applyAlignment="1">
      <alignment horizontal="center"/>
    </xf>
    <xf numFmtId="5" fontId="14" fillId="3" borderId="52" xfId="0" applyNumberFormat="1" applyFont="1" applyFill="1" applyBorder="1" applyAlignment="1">
      <alignment horizontal="center"/>
    </xf>
    <xf numFmtId="5" fontId="12" fillId="3" borderId="37" xfId="0" applyNumberFormat="1" applyFont="1" applyFill="1" applyBorder="1"/>
    <xf numFmtId="0" fontId="14" fillId="3" borderId="32" xfId="0" applyFont="1" applyFill="1" applyBorder="1" applyAlignment="1">
      <alignment horizontal="left" indent="1"/>
    </xf>
    <xf numFmtId="5" fontId="12" fillId="3" borderId="49" xfId="0" applyNumberFormat="1" applyFont="1" applyFill="1" applyBorder="1" applyAlignment="1">
      <alignment horizontal="center"/>
    </xf>
    <xf numFmtId="0" fontId="20" fillId="3" borderId="0" xfId="0" applyFont="1" applyFill="1"/>
    <xf numFmtId="5" fontId="20" fillId="3" borderId="0" xfId="0" applyNumberFormat="1" applyFont="1" applyFill="1" applyAlignment="1">
      <alignment horizontal="center"/>
    </xf>
    <xf numFmtId="17" fontId="20" fillId="3" borderId="0" xfId="0" applyNumberFormat="1" applyFont="1" applyFill="1" applyAlignment="1">
      <alignment horizontal="center"/>
    </xf>
    <xf numFmtId="0" fontId="3" fillId="0" borderId="0" xfId="0" applyFont="1"/>
    <xf numFmtId="10" fontId="3" fillId="0" borderId="0" xfId="4" applyNumberFormat="1" applyFont="1" applyBorder="1" applyAlignment="1" applyProtection="1">
      <alignment horizontal="center"/>
    </xf>
    <xf numFmtId="0" fontId="53" fillId="0" borderId="0" xfId="0" applyFont="1"/>
    <xf numFmtId="10" fontId="53" fillId="0" borderId="0" xfId="4" applyNumberFormat="1" applyFont="1" applyBorder="1" applyAlignment="1" applyProtection="1">
      <alignment horizontal="center"/>
    </xf>
    <xf numFmtId="10" fontId="54" fillId="0" borderId="65" xfId="4" applyNumberFormat="1" applyFont="1" applyBorder="1" applyAlignment="1" applyProtection="1">
      <alignment horizontal="center"/>
    </xf>
    <xf numFmtId="10" fontId="54" fillId="0" borderId="66" xfId="4" applyNumberFormat="1" applyFont="1" applyBorder="1" applyAlignment="1" applyProtection="1">
      <alignment horizontal="center"/>
    </xf>
    <xf numFmtId="10" fontId="54" fillId="0" borderId="67" xfId="4" applyNumberFormat="1" applyFont="1" applyBorder="1" applyAlignment="1" applyProtection="1">
      <alignment horizontal="center"/>
    </xf>
    <xf numFmtId="10" fontId="54" fillId="0" borderId="68" xfId="4" applyNumberFormat="1" applyFont="1" applyBorder="1" applyAlignment="1" applyProtection="1">
      <alignment horizontal="center"/>
    </xf>
    <xf numFmtId="10" fontId="54" fillId="0" borderId="49" xfId="4" applyNumberFormat="1" applyFont="1" applyBorder="1" applyAlignment="1" applyProtection="1">
      <alignment horizontal="center"/>
    </xf>
    <xf numFmtId="10" fontId="54" fillId="0" borderId="69" xfId="4" applyNumberFormat="1" applyFont="1" applyBorder="1" applyAlignment="1" applyProtection="1">
      <alignment horizontal="center"/>
    </xf>
    <xf numFmtId="10" fontId="54" fillId="0" borderId="49" xfId="4" applyNumberFormat="1" applyFont="1" applyFill="1" applyBorder="1" applyAlignment="1" applyProtection="1">
      <alignment horizontal="center"/>
    </xf>
    <xf numFmtId="10" fontId="54" fillId="0" borderId="70" xfId="4" applyNumberFormat="1" applyFont="1" applyBorder="1" applyAlignment="1" applyProtection="1">
      <alignment horizontal="center"/>
    </xf>
    <xf numFmtId="10" fontId="54" fillId="0" borderId="37" xfId="4" applyNumberFormat="1" applyFont="1" applyBorder="1" applyAlignment="1" applyProtection="1">
      <alignment horizontal="center"/>
    </xf>
    <xf numFmtId="0" fontId="55" fillId="0" borderId="0" xfId="0" applyFont="1"/>
    <xf numFmtId="0" fontId="54" fillId="0" borderId="71" xfId="0" applyFont="1" applyBorder="1"/>
    <xf numFmtId="0" fontId="54" fillId="0" borderId="22" xfId="0" applyFont="1" applyBorder="1"/>
    <xf numFmtId="0" fontId="54" fillId="0" borderId="69" xfId="0" applyFont="1" applyBorder="1"/>
    <xf numFmtId="0" fontId="57" fillId="0" borderId="65" xfId="0" applyFont="1" applyBorder="1" applyAlignment="1">
      <alignment horizontal="center"/>
    </xf>
    <xf numFmtId="0" fontId="57" fillId="0" borderId="66" xfId="0" applyFont="1" applyBorder="1" applyAlignment="1">
      <alignment horizontal="center"/>
    </xf>
    <xf numFmtId="0" fontId="57" fillId="0" borderId="67" xfId="0" applyFont="1" applyBorder="1" applyAlignment="1">
      <alignment horizontal="center"/>
    </xf>
    <xf numFmtId="0" fontId="57" fillId="0" borderId="68" xfId="0" applyFont="1" applyBorder="1" applyAlignment="1">
      <alignment horizontal="center"/>
    </xf>
    <xf numFmtId="0" fontId="57" fillId="0" borderId="49" xfId="0" applyFont="1" applyBorder="1" applyAlignment="1">
      <alignment horizontal="center"/>
    </xf>
    <xf numFmtId="0" fontId="57" fillId="0" borderId="69" xfId="0" applyFont="1" applyBorder="1" applyAlignment="1">
      <alignment horizontal="center"/>
    </xf>
    <xf numFmtId="0" fontId="57" fillId="0" borderId="72" xfId="0" applyFont="1" applyBorder="1" applyAlignment="1">
      <alignment horizontal="center"/>
    </xf>
    <xf numFmtId="0" fontId="57" fillId="0" borderId="73" xfId="0" applyFont="1" applyBorder="1" applyAlignment="1">
      <alignment horizontal="center"/>
    </xf>
    <xf numFmtId="0" fontId="54" fillId="0" borderId="74" xfId="0" applyFont="1" applyBorder="1"/>
    <xf numFmtId="193" fontId="55" fillId="0" borderId="0" xfId="1" applyNumberFormat="1" applyFont="1" applyFill="1"/>
    <xf numFmtId="0" fontId="61" fillId="0" borderId="0" xfId="0" applyFont="1"/>
    <xf numFmtId="0" fontId="60" fillId="0" borderId="0" xfId="0" applyFont="1"/>
    <xf numFmtId="166" fontId="62" fillId="0" borderId="0" xfId="0" applyNumberFormat="1" applyFont="1" applyAlignment="1" applyProtection="1">
      <alignment horizontal="center"/>
      <protection locked="0"/>
    </xf>
    <xf numFmtId="166" fontId="63" fillId="0" borderId="4" xfId="0" applyNumberFormat="1" applyFont="1" applyBorder="1" applyAlignment="1" applyProtection="1">
      <alignment horizontal="center"/>
      <protection locked="0"/>
    </xf>
    <xf numFmtId="0" fontId="58" fillId="0" borderId="0" xfId="0" applyFont="1" applyAlignment="1">
      <alignment horizontal="right"/>
    </xf>
    <xf numFmtId="0" fontId="58" fillId="0" borderId="0" xfId="0" applyFont="1"/>
    <xf numFmtId="0" fontId="64" fillId="0" borderId="0" xfId="0" applyFont="1" applyAlignment="1">
      <alignment horizontal="right"/>
    </xf>
    <xf numFmtId="0" fontId="65" fillId="0" borderId="0" xfId="0" applyFont="1" applyAlignment="1" applyProtection="1">
      <alignment horizontal="left"/>
      <protection locked="0"/>
    </xf>
    <xf numFmtId="0" fontId="66" fillId="0" borderId="0" xfId="0" quotePrefix="1" applyFont="1" applyAlignment="1" applyProtection="1">
      <alignment horizontal="center"/>
      <protection locked="0"/>
    </xf>
    <xf numFmtId="5" fontId="62" fillId="0" borderId="0" xfId="0" applyNumberFormat="1" applyFont="1" applyProtection="1">
      <protection locked="0"/>
    </xf>
    <xf numFmtId="5" fontId="63" fillId="0" borderId="5" xfId="0" applyNumberFormat="1" applyFont="1" applyBorder="1" applyProtection="1">
      <protection locked="0"/>
    </xf>
    <xf numFmtId="179" fontId="12" fillId="3" borderId="43" xfId="0" applyNumberFormat="1" applyFont="1" applyFill="1" applyBorder="1"/>
    <xf numFmtId="179" fontId="19" fillId="3" borderId="37" xfId="0" applyNumberFormat="1" applyFont="1" applyFill="1" applyBorder="1" applyAlignment="1">
      <alignment horizontal="center"/>
    </xf>
    <xf numFmtId="166" fontId="26" fillId="3" borderId="0" xfId="11" applyNumberFormat="1" applyFont="1" applyFill="1" applyBorder="1" applyAlignment="1">
      <alignment horizontal="center" vertical="center"/>
    </xf>
    <xf numFmtId="0" fontId="29" fillId="3" borderId="0" xfId="0" applyFont="1" applyFill="1"/>
    <xf numFmtId="0" fontId="67" fillId="3" borderId="4" xfId="0" applyFont="1" applyFill="1" applyBorder="1" applyAlignment="1">
      <alignment horizontal="center"/>
    </xf>
    <xf numFmtId="0" fontId="68" fillId="3" borderId="32" xfId="0" applyFont="1" applyFill="1" applyBorder="1" applyAlignment="1">
      <alignment horizontal="center" vertical="center"/>
    </xf>
    <xf numFmtId="175" fontId="68" fillId="3" borderId="0" xfId="0" applyNumberFormat="1" applyFont="1" applyFill="1" applyAlignment="1">
      <alignment horizontal="center"/>
    </xf>
    <xf numFmtId="175" fontId="68" fillId="3" borderId="37" xfId="0" applyNumberFormat="1" applyFont="1" applyFill="1" applyBorder="1" applyAlignment="1">
      <alignment horizontal="center"/>
    </xf>
    <xf numFmtId="0" fontId="32" fillId="3" borderId="32" xfId="0" applyFont="1" applyFill="1" applyBorder="1" applyAlignment="1">
      <alignment horizontal="left"/>
    </xf>
    <xf numFmtId="183" fontId="16" fillId="3" borderId="0" xfId="0" applyNumberFormat="1" applyFont="1" applyFill="1" applyAlignment="1">
      <alignment horizontal="center"/>
    </xf>
    <xf numFmtId="183" fontId="20" fillId="3" borderId="37" xfId="0" applyNumberFormat="1" applyFont="1" applyFill="1" applyBorder="1" applyAlignment="1">
      <alignment horizontal="center"/>
    </xf>
    <xf numFmtId="1" fontId="19" fillId="3" borderId="37" xfId="0" applyNumberFormat="1" applyFont="1" applyFill="1" applyBorder="1" applyAlignment="1">
      <alignment horizontal="center"/>
    </xf>
    <xf numFmtId="0" fontId="25" fillId="3" borderId="2" xfId="0" applyFont="1" applyFill="1" applyBorder="1" applyAlignment="1">
      <alignment horizontal="center"/>
    </xf>
    <xf numFmtId="17" fontId="16" fillId="3" borderId="0" xfId="0" applyNumberFormat="1" applyFont="1" applyFill="1" applyAlignment="1">
      <alignment horizontal="center"/>
    </xf>
    <xf numFmtId="3" fontId="12" fillId="3" borderId="36" xfId="0" applyNumberFormat="1" applyFont="1" applyFill="1" applyBorder="1" applyAlignment="1">
      <alignment horizontal="center"/>
    </xf>
    <xf numFmtId="175" fontId="32" fillId="3" borderId="32" xfId="0" applyNumberFormat="1" applyFont="1" applyFill="1" applyBorder="1" applyAlignment="1">
      <alignment horizontal="center"/>
    </xf>
    <xf numFmtId="5" fontId="12" fillId="3" borderId="22" xfId="0" applyNumberFormat="1" applyFont="1" applyFill="1" applyBorder="1"/>
    <xf numFmtId="17" fontId="20" fillId="3" borderId="37" xfId="0" applyNumberFormat="1" applyFont="1" applyFill="1" applyBorder="1" applyAlignment="1">
      <alignment horizontal="right"/>
    </xf>
    <xf numFmtId="9" fontId="12" fillId="3" borderId="37" xfId="3" applyFont="1" applyFill="1" applyBorder="1" applyAlignment="1">
      <alignment horizontal="right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23" fillId="3" borderId="0" xfId="0" applyFont="1" applyFill="1"/>
    <xf numFmtId="0" fontId="12" fillId="2" borderId="0" xfId="0" applyFont="1" applyFill="1"/>
    <xf numFmtId="0" fontId="14" fillId="3" borderId="0" xfId="0" applyFont="1" applyFill="1" applyAlignment="1">
      <alignment horizontal="left"/>
    </xf>
    <xf numFmtId="1" fontId="12" fillId="3" borderId="0" xfId="0" applyNumberFormat="1" applyFont="1" applyFill="1" applyAlignment="1">
      <alignment horizontal="center"/>
    </xf>
    <xf numFmtId="165" fontId="12" fillId="3" borderId="0" xfId="3" applyNumberFormat="1" applyFont="1" applyFill="1" applyAlignment="1">
      <alignment horizontal="center"/>
    </xf>
    <xf numFmtId="0" fontId="37" fillId="3" borderId="0" xfId="0" applyFont="1" applyFill="1"/>
    <xf numFmtId="183" fontId="20" fillId="3" borderId="0" xfId="0" applyNumberFormat="1" applyFont="1" applyFill="1" applyAlignment="1">
      <alignment horizontal="center"/>
    </xf>
    <xf numFmtId="9" fontId="16" fillId="3" borderId="0" xfId="3" applyFont="1" applyFill="1"/>
    <xf numFmtId="0" fontId="12" fillId="4" borderId="1" xfId="0" applyFont="1" applyFill="1" applyBorder="1"/>
    <xf numFmtId="0" fontId="17" fillId="4" borderId="5" xfId="0" applyFont="1" applyFill="1" applyBorder="1" applyAlignment="1">
      <alignment horizontal="center"/>
    </xf>
    <xf numFmtId="3" fontId="14" fillId="3" borderId="5" xfId="0" applyNumberFormat="1" applyFont="1" applyFill="1" applyBorder="1" applyAlignment="1">
      <alignment horizontal="center"/>
    </xf>
    <xf numFmtId="184" fontId="12" fillId="3" borderId="0" xfId="0" applyNumberFormat="1" applyFont="1" applyFill="1" applyAlignment="1">
      <alignment horizontal="center"/>
    </xf>
    <xf numFmtId="1" fontId="14" fillId="3" borderId="49" xfId="0" applyNumberFormat="1" applyFont="1" applyFill="1" applyBorder="1" applyAlignment="1">
      <alignment horizontal="center"/>
    </xf>
    <xf numFmtId="184" fontId="14" fillId="3" borderId="49" xfId="0" applyNumberFormat="1" applyFont="1" applyFill="1" applyBorder="1" applyAlignment="1">
      <alignment horizontal="center"/>
    </xf>
    <xf numFmtId="5" fontId="25" fillId="3" borderId="0" xfId="0" applyNumberFormat="1" applyFont="1" applyFill="1" applyAlignment="1">
      <alignment horizontal="center"/>
    </xf>
    <xf numFmtId="5" fontId="30" fillId="3" borderId="52" xfId="0" applyNumberFormat="1" applyFont="1" applyFill="1" applyBorder="1" applyAlignment="1">
      <alignment horizontal="center"/>
    </xf>
    <xf numFmtId="0" fontId="13" fillId="3" borderId="32" xfId="0" applyFont="1" applyFill="1" applyBorder="1" applyAlignment="1">
      <alignment horizontal="left"/>
    </xf>
    <xf numFmtId="0" fontId="12" fillId="4" borderId="0" xfId="0" applyFont="1" applyFill="1"/>
    <xf numFmtId="0" fontId="12" fillId="3" borderId="37" xfId="0" applyFont="1" applyFill="1" applyBorder="1" applyAlignment="1">
      <alignment horizontal="right"/>
    </xf>
    <xf numFmtId="169" fontId="12" fillId="3" borderId="22" xfId="0" applyNumberFormat="1" applyFont="1" applyFill="1" applyBorder="1"/>
    <xf numFmtId="169" fontId="12" fillId="3" borderId="0" xfId="0" applyNumberFormat="1" applyFont="1" applyFill="1"/>
    <xf numFmtId="179" fontId="12" fillId="3" borderId="36" xfId="0" applyNumberFormat="1" applyFont="1" applyFill="1" applyBorder="1"/>
    <xf numFmtId="0" fontId="69" fillId="3" borderId="0" xfId="0" applyFont="1" applyFill="1"/>
    <xf numFmtId="168" fontId="14" fillId="3" borderId="75" xfId="0" applyNumberFormat="1" applyFont="1" applyFill="1" applyBorder="1" applyAlignment="1">
      <alignment horizontal="center"/>
    </xf>
    <xf numFmtId="10" fontId="12" fillId="3" borderId="0" xfId="0" applyNumberFormat="1" applyFont="1" applyFill="1" applyAlignment="1">
      <alignment horizontal="center"/>
    </xf>
    <xf numFmtId="10" fontId="19" fillId="3" borderId="2" xfId="0" applyNumberFormat="1" applyFont="1" applyFill="1" applyBorder="1" applyAlignment="1">
      <alignment horizontal="center"/>
    </xf>
    <xf numFmtId="17" fontId="12" fillId="3" borderId="36" xfId="0" applyNumberFormat="1" applyFont="1" applyFill="1" applyBorder="1" applyAlignment="1">
      <alignment horizontal="center"/>
    </xf>
    <xf numFmtId="169" fontId="12" fillId="3" borderId="22" xfId="2" applyNumberFormat="1" applyFont="1" applyFill="1" applyBorder="1" applyAlignment="1">
      <alignment horizontal="center"/>
    </xf>
    <xf numFmtId="0" fontId="60" fillId="0" borderId="0" xfId="0" applyFont="1" applyAlignment="1">
      <alignment horizontal="center"/>
    </xf>
    <xf numFmtId="10" fontId="55" fillId="0" borderId="0" xfId="0" applyNumberFormat="1" applyFont="1" applyAlignment="1">
      <alignment horizontal="center"/>
    </xf>
    <xf numFmtId="37" fontId="3" fillId="0" borderId="0" xfId="0" applyNumberFormat="1" applyFont="1"/>
    <xf numFmtId="192" fontId="55" fillId="0" borderId="0" xfId="0" applyNumberFormat="1" applyFont="1"/>
    <xf numFmtId="192" fontId="3" fillId="0" borderId="0" xfId="0" applyNumberFormat="1" applyFont="1"/>
    <xf numFmtId="169" fontId="25" fillId="3" borderId="0" xfId="0" applyNumberFormat="1" applyFont="1" applyFill="1" applyAlignment="1">
      <alignment horizontal="center"/>
    </xf>
    <xf numFmtId="183" fontId="19" fillId="3" borderId="37" xfId="0" applyNumberFormat="1" applyFont="1" applyFill="1" applyBorder="1" applyAlignment="1">
      <alignment horizontal="center"/>
    </xf>
    <xf numFmtId="38" fontId="43" fillId="3" borderId="0" xfId="11" applyFont="1" applyFill="1" applyAlignment="1">
      <alignment horizontal="center" vertical="center"/>
    </xf>
    <xf numFmtId="183" fontId="12" fillId="3" borderId="0" xfId="0" applyNumberFormat="1" applyFont="1" applyFill="1" applyAlignment="1">
      <alignment horizontal="center"/>
    </xf>
    <xf numFmtId="194" fontId="19" fillId="3" borderId="37" xfId="0" applyNumberFormat="1" applyFont="1" applyFill="1" applyBorder="1"/>
    <xf numFmtId="38" fontId="12" fillId="0" borderId="32" xfId="11" applyFont="1" applyBorder="1"/>
    <xf numFmtId="38" fontId="12" fillId="0" borderId="21" xfId="11" applyFont="1" applyBorder="1"/>
    <xf numFmtId="38" fontId="45" fillId="3" borderId="0" xfId="11" applyFont="1" applyFill="1" applyBorder="1" applyAlignment="1">
      <alignment horizontal="left" vertical="center"/>
    </xf>
    <xf numFmtId="5" fontId="20" fillId="0" borderId="37" xfId="3" applyNumberFormat="1" applyFont="1" applyBorder="1"/>
    <xf numFmtId="5" fontId="12" fillId="0" borderId="37" xfId="11" applyNumberFormat="1" applyFont="1" applyBorder="1"/>
    <xf numFmtId="5" fontId="12" fillId="3" borderId="37" xfId="11" applyNumberFormat="1" applyFont="1" applyFill="1" applyBorder="1" applyAlignment="1" applyProtection="1">
      <alignment horizontal="right" vertical="center"/>
      <protection locked="0"/>
    </xf>
    <xf numFmtId="5" fontId="19" fillId="3" borderId="22" xfId="11" applyNumberFormat="1" applyFont="1" applyFill="1" applyBorder="1" applyAlignment="1" applyProtection="1">
      <alignment horizontal="right" vertical="center"/>
      <protection locked="0"/>
    </xf>
    <xf numFmtId="38" fontId="40" fillId="3" borderId="32" xfId="11" applyFont="1" applyFill="1" applyBorder="1" applyAlignment="1">
      <alignment horizontal="left" vertical="center"/>
    </xf>
    <xf numFmtId="10" fontId="20" fillId="3" borderId="37" xfId="3" applyNumberFormat="1" applyFont="1" applyFill="1" applyBorder="1"/>
    <xf numFmtId="38" fontId="44" fillId="3" borderId="2" xfId="11" applyFont="1" applyFill="1" applyBorder="1" applyAlignment="1">
      <alignment horizontal="left" vertical="top"/>
    </xf>
    <xf numFmtId="39" fontId="30" fillId="5" borderId="4" xfId="11" applyNumberFormat="1" applyFont="1" applyFill="1" applyBorder="1" applyAlignment="1">
      <alignment horizontal="center" vertical="center" wrapText="1"/>
    </xf>
    <xf numFmtId="38" fontId="20" fillId="3" borderId="49" xfId="11" applyFont="1" applyFill="1" applyBorder="1" applyAlignment="1">
      <alignment horizontal="center" vertical="center"/>
    </xf>
    <xf numFmtId="38" fontId="20" fillId="3" borderId="48" xfId="11" applyFont="1" applyFill="1" applyBorder="1" applyAlignment="1">
      <alignment horizontal="center" vertical="center"/>
    </xf>
    <xf numFmtId="9" fontId="19" fillId="0" borderId="0" xfId="3" applyFont="1" applyBorder="1" applyAlignment="1">
      <alignment horizontal="center"/>
    </xf>
    <xf numFmtId="38" fontId="40" fillId="3" borderId="0" xfId="11" applyFont="1" applyFill="1" applyBorder="1" applyAlignment="1">
      <alignment horizontal="center" vertical="center"/>
    </xf>
    <xf numFmtId="169" fontId="20" fillId="3" borderId="0" xfId="11" applyNumberFormat="1" applyFont="1" applyFill="1" applyBorder="1" applyAlignment="1">
      <alignment horizontal="center" vertical="center"/>
    </xf>
    <xf numFmtId="9" fontId="19" fillId="0" borderId="2" xfId="3" applyFont="1" applyBorder="1" applyAlignment="1">
      <alignment horizontal="center"/>
    </xf>
    <xf numFmtId="169" fontId="20" fillId="3" borderId="2" xfId="11" applyNumberFormat="1" applyFont="1" applyFill="1" applyBorder="1" applyAlignment="1">
      <alignment horizontal="center" vertical="center"/>
    </xf>
    <xf numFmtId="38" fontId="40" fillId="3" borderId="2" xfId="11" applyFont="1" applyFill="1" applyBorder="1" applyAlignment="1">
      <alignment horizontal="center" vertical="center"/>
    </xf>
    <xf numFmtId="38" fontId="40" fillId="3" borderId="35" xfId="11" applyFont="1" applyFill="1" applyBorder="1" applyAlignment="1"/>
    <xf numFmtId="9" fontId="12" fillId="3" borderId="53" xfId="0" applyNumberFormat="1" applyFont="1" applyFill="1" applyBorder="1" applyAlignment="1">
      <alignment vertical="center"/>
    </xf>
    <xf numFmtId="38" fontId="30" fillId="3" borderId="36" xfId="11" applyFont="1" applyFill="1" applyBorder="1" applyAlignment="1"/>
    <xf numFmtId="38" fontId="20" fillId="3" borderId="37" xfId="11" applyFont="1" applyFill="1" applyBorder="1" applyAlignment="1">
      <alignment horizontal="center" vertical="center"/>
    </xf>
    <xf numFmtId="38" fontId="20" fillId="3" borderId="36" xfId="11" applyFont="1" applyFill="1" applyBorder="1" applyAlignment="1">
      <alignment horizontal="center" vertical="center"/>
    </xf>
    <xf numFmtId="166" fontId="20" fillId="3" borderId="21" xfId="11" applyNumberFormat="1" applyFont="1" applyFill="1" applyBorder="1" applyAlignment="1">
      <alignment horizontal="center" vertical="center"/>
    </xf>
    <xf numFmtId="9" fontId="19" fillId="0" borderId="52" xfId="3" applyFont="1" applyBorder="1" applyAlignment="1">
      <alignment horizontal="center"/>
    </xf>
    <xf numFmtId="169" fontId="19" fillId="3" borderId="52" xfId="11" applyNumberFormat="1" applyFont="1" applyFill="1" applyBorder="1" applyAlignment="1">
      <alignment horizontal="center" vertical="center"/>
    </xf>
    <xf numFmtId="38" fontId="40" fillId="3" borderId="52" xfId="11" applyFont="1" applyFill="1" applyBorder="1" applyAlignment="1">
      <alignment horizontal="center" vertical="center"/>
    </xf>
    <xf numFmtId="38" fontId="20" fillId="3" borderId="22" xfId="11" applyFont="1" applyFill="1" applyBorder="1" applyAlignment="1">
      <alignment horizontal="center" vertical="center"/>
    </xf>
    <xf numFmtId="166" fontId="20" fillId="3" borderId="32" xfId="11" applyNumberFormat="1" applyFont="1" applyFill="1" applyBorder="1" applyAlignment="1">
      <alignment horizontal="center" vertical="center"/>
    </xf>
    <xf numFmtId="166" fontId="20" fillId="3" borderId="35" xfId="11" applyNumberFormat="1" applyFont="1" applyFill="1" applyBorder="1" applyAlignment="1">
      <alignment horizontal="center" vertical="center"/>
    </xf>
    <xf numFmtId="38" fontId="19" fillId="0" borderId="37" xfId="11" applyFont="1" applyBorder="1"/>
    <xf numFmtId="10" fontId="19" fillId="0" borderId="37" xfId="3" applyNumberFormat="1" applyFont="1" applyBorder="1"/>
    <xf numFmtId="38" fontId="20" fillId="0" borderId="36" xfId="11" applyFont="1" applyBorder="1"/>
    <xf numFmtId="169" fontId="30" fillId="3" borderId="37" xfId="0" applyNumberFormat="1" applyFont="1" applyFill="1" applyBorder="1" applyAlignment="1">
      <alignment horizontal="center"/>
    </xf>
    <xf numFmtId="0" fontId="14" fillId="3" borderId="77" xfId="0" applyFont="1" applyFill="1" applyBorder="1" applyAlignment="1">
      <alignment horizontal="center"/>
    </xf>
    <xf numFmtId="0" fontId="14" fillId="3" borderId="78" xfId="0" applyFont="1" applyFill="1" applyBorder="1" applyAlignment="1">
      <alignment horizontal="center"/>
    </xf>
    <xf numFmtId="0" fontId="12" fillId="3" borderId="7" xfId="0" applyFont="1" applyFill="1" applyBorder="1"/>
    <xf numFmtId="0" fontId="12" fillId="3" borderId="41" xfId="0" applyFont="1" applyFill="1" applyBorder="1"/>
    <xf numFmtId="0" fontId="12" fillId="3" borderId="79" xfId="0" applyFont="1" applyFill="1" applyBorder="1"/>
    <xf numFmtId="0" fontId="12" fillId="0" borderId="80" xfId="0" applyFont="1" applyBorder="1"/>
    <xf numFmtId="9" fontId="24" fillId="3" borderId="32" xfId="7" applyNumberFormat="1" applyFont="1" applyFill="1" applyBorder="1" applyAlignment="1">
      <alignment horizontal="center"/>
    </xf>
    <xf numFmtId="0" fontId="26" fillId="3" borderId="0" xfId="0" applyFont="1" applyFill="1" applyAlignment="1">
      <alignment horizontal="center"/>
    </xf>
    <xf numFmtId="0" fontId="26" fillId="3" borderId="32" xfId="0" applyFont="1" applyFill="1" applyBorder="1" applyAlignment="1">
      <alignment horizontal="center"/>
    </xf>
    <xf numFmtId="164" fontId="12" fillId="3" borderId="81" xfId="0" applyNumberFormat="1" applyFont="1" applyFill="1" applyBorder="1"/>
    <xf numFmtId="168" fontId="14" fillId="3" borderId="0" xfId="0" applyNumberFormat="1" applyFont="1" applyFill="1" applyAlignment="1">
      <alignment horizontal="center"/>
    </xf>
    <xf numFmtId="165" fontId="14" fillId="3" borderId="0" xfId="0" applyNumberFormat="1" applyFont="1" applyFill="1" applyAlignment="1">
      <alignment horizontal="center"/>
    </xf>
    <xf numFmtId="0" fontId="12" fillId="3" borderId="18" xfId="0" applyFont="1" applyFill="1" applyBorder="1"/>
    <xf numFmtId="0" fontId="12" fillId="3" borderId="6" xfId="0" applyFont="1" applyFill="1" applyBorder="1"/>
    <xf numFmtId="0" fontId="12" fillId="3" borderId="16" xfId="0" applyFont="1" applyFill="1" applyBorder="1"/>
    <xf numFmtId="0" fontId="0" fillId="3" borderId="19" xfId="0" applyFill="1" applyBorder="1"/>
    <xf numFmtId="0" fontId="0" fillId="3" borderId="18" xfId="0" applyFill="1" applyBorder="1"/>
    <xf numFmtId="5" fontId="12" fillId="3" borderId="39" xfId="0" applyNumberFormat="1" applyFont="1" applyFill="1" applyBorder="1" applyAlignment="1">
      <alignment horizontal="center"/>
    </xf>
    <xf numFmtId="5" fontId="12" fillId="3" borderId="17" xfId="0" applyNumberFormat="1" applyFont="1" applyFill="1" applyBorder="1" applyAlignment="1">
      <alignment horizontal="center"/>
    </xf>
    <xf numFmtId="5" fontId="12" fillId="3" borderId="19" xfId="0" applyNumberFormat="1" applyFont="1" applyFill="1" applyBorder="1" applyAlignment="1">
      <alignment horizontal="center"/>
    </xf>
    <xf numFmtId="5" fontId="12" fillId="3" borderId="2" xfId="0" applyNumberFormat="1" applyFont="1" applyFill="1" applyBorder="1" applyAlignment="1">
      <alignment horizontal="center"/>
    </xf>
    <xf numFmtId="5" fontId="0" fillId="3" borderId="2" xfId="0" applyNumberFormat="1" applyFill="1" applyBorder="1" applyAlignment="1">
      <alignment horizontal="center"/>
    </xf>
    <xf numFmtId="0" fontId="12" fillId="3" borderId="82" xfId="0" applyFont="1" applyFill="1" applyBorder="1"/>
    <xf numFmtId="0" fontId="12" fillId="3" borderId="83" xfId="0" applyFont="1" applyFill="1" applyBorder="1"/>
    <xf numFmtId="0" fontId="12" fillId="3" borderId="72" xfId="0" applyFont="1" applyFill="1" applyBorder="1"/>
    <xf numFmtId="0" fontId="14" fillId="3" borderId="84" xfId="0" applyFont="1" applyFill="1" applyBorder="1" applyAlignment="1">
      <alignment horizontal="left" indent="2"/>
    </xf>
    <xf numFmtId="0" fontId="12" fillId="3" borderId="84" xfId="0" applyFont="1" applyFill="1" applyBorder="1"/>
    <xf numFmtId="0" fontId="12" fillId="3" borderId="85" xfId="0" applyFont="1" applyFill="1" applyBorder="1"/>
    <xf numFmtId="5" fontId="12" fillId="3" borderId="86" xfId="0" applyNumberFormat="1" applyFont="1" applyFill="1" applyBorder="1" applyAlignment="1">
      <alignment horizontal="center"/>
    </xf>
    <xf numFmtId="5" fontId="12" fillId="3" borderId="70" xfId="0" applyNumberFormat="1" applyFont="1" applyFill="1" applyBorder="1" applyAlignment="1">
      <alignment horizontal="center"/>
    </xf>
    <xf numFmtId="0" fontId="12" fillId="3" borderId="87" xfId="0" applyFont="1" applyFill="1" applyBorder="1"/>
    <xf numFmtId="0" fontId="12" fillId="3" borderId="47" xfId="0" applyFont="1" applyFill="1" applyBorder="1"/>
    <xf numFmtId="0" fontId="12" fillId="3" borderId="88" xfId="0" applyFont="1" applyFill="1" applyBorder="1"/>
    <xf numFmtId="0" fontId="12" fillId="3" borderId="89" xfId="0" applyFont="1" applyFill="1" applyBorder="1"/>
    <xf numFmtId="164" fontId="12" fillId="3" borderId="90" xfId="0" applyNumberFormat="1" applyFont="1" applyFill="1" applyBorder="1"/>
    <xf numFmtId="0" fontId="12" fillId="3" borderId="70" xfId="0" applyFont="1" applyFill="1" applyBorder="1"/>
    <xf numFmtId="175" fontId="13" fillId="3" borderId="0" xfId="0" applyNumberFormat="1" applyFont="1" applyFill="1" applyAlignment="1">
      <alignment horizontal="center"/>
    </xf>
    <xf numFmtId="175" fontId="13" fillId="3" borderId="70" xfId="0" applyNumberFormat="1" applyFont="1" applyFill="1" applyBorder="1" applyAlignment="1">
      <alignment horizontal="center"/>
    </xf>
    <xf numFmtId="0" fontId="14" fillId="3" borderId="84" xfId="0" applyFont="1" applyFill="1" applyBorder="1"/>
    <xf numFmtId="0" fontId="14" fillId="3" borderId="84" xfId="0" applyFont="1" applyFill="1" applyBorder="1" applyAlignment="1">
      <alignment horizontal="left" indent="1"/>
    </xf>
    <xf numFmtId="0" fontId="26" fillId="3" borderId="70" xfId="0" applyFont="1" applyFill="1" applyBorder="1" applyAlignment="1">
      <alignment horizontal="center"/>
    </xf>
    <xf numFmtId="0" fontId="35" fillId="4" borderId="52" xfId="0" applyFont="1" applyFill="1" applyBorder="1"/>
    <xf numFmtId="0" fontId="26" fillId="3" borderId="0" xfId="0" applyFont="1" applyFill="1" applyAlignment="1">
      <alignment horizontal="left"/>
    </xf>
    <xf numFmtId="0" fontId="26" fillId="0" borderId="0" xfId="0" applyFont="1"/>
    <xf numFmtId="0" fontId="50" fillId="3" borderId="0" xfId="0" applyFont="1" applyFill="1"/>
    <xf numFmtId="0" fontId="50" fillId="3" borderId="0" xfId="0" applyFont="1" applyFill="1" applyAlignment="1">
      <alignment horizontal="center"/>
    </xf>
    <xf numFmtId="170" fontId="24" fillId="3" borderId="0" xfId="0" applyNumberFormat="1" applyFont="1" applyFill="1" applyAlignment="1">
      <alignment horizontal="center"/>
    </xf>
    <xf numFmtId="10" fontId="24" fillId="3" borderId="0" xfId="0" applyNumberFormat="1" applyFont="1" applyFill="1" applyAlignment="1">
      <alignment horizontal="center"/>
    </xf>
    <xf numFmtId="0" fontId="35" fillId="4" borderId="21" xfId="0" applyFont="1" applyFill="1" applyBorder="1"/>
    <xf numFmtId="0" fontId="35" fillId="4" borderId="52" xfId="0" applyFont="1" applyFill="1" applyBorder="1" applyAlignment="1">
      <alignment horizontal="center"/>
    </xf>
    <xf numFmtId="0" fontId="70" fillId="4" borderId="52" xfId="0" applyFont="1" applyFill="1" applyBorder="1" applyAlignment="1">
      <alignment horizontal="center"/>
    </xf>
    <xf numFmtId="0" fontId="70" fillId="4" borderId="22" xfId="0" applyFont="1" applyFill="1" applyBorder="1" applyAlignment="1">
      <alignment horizontal="center"/>
    </xf>
    <xf numFmtId="3" fontId="24" fillId="3" borderId="0" xfId="0" applyNumberFormat="1" applyFont="1" applyFill="1" applyAlignment="1">
      <alignment horizontal="center"/>
    </xf>
    <xf numFmtId="3" fontId="26" fillId="3" borderId="0" xfId="0" applyNumberFormat="1" applyFont="1" applyFill="1" applyAlignment="1">
      <alignment horizontal="center"/>
    </xf>
    <xf numFmtId="10" fontId="26" fillId="3" borderId="0" xfId="3" applyNumberFormat="1" applyFont="1" applyFill="1" applyBorder="1" applyAlignment="1">
      <alignment horizontal="center"/>
    </xf>
    <xf numFmtId="167" fontId="26" fillId="3" borderId="0" xfId="0" applyNumberFormat="1" applyFont="1" applyFill="1" applyAlignment="1">
      <alignment horizontal="center" vertical="center"/>
    </xf>
    <xf numFmtId="4" fontId="24" fillId="3" borderId="0" xfId="0" applyNumberFormat="1" applyFont="1" applyFill="1" applyAlignment="1">
      <alignment horizontal="center" vertical="center"/>
    </xf>
    <xf numFmtId="4" fontId="26" fillId="3" borderId="0" xfId="0" applyNumberFormat="1" applyFont="1" applyFill="1" applyAlignment="1">
      <alignment horizontal="center"/>
    </xf>
    <xf numFmtId="0" fontId="26" fillId="3" borderId="0" xfId="0" applyFont="1" applyFill="1" applyProtection="1">
      <protection locked="0" hidden="1"/>
    </xf>
    <xf numFmtId="3" fontId="24" fillId="3" borderId="0" xfId="0" applyNumberFormat="1" applyFont="1" applyFill="1" applyAlignment="1" applyProtection="1">
      <alignment horizontal="center"/>
      <protection locked="0" hidden="1"/>
    </xf>
    <xf numFmtId="4" fontId="24" fillId="3" borderId="0" xfId="0" applyNumberFormat="1" applyFont="1" applyFill="1" applyAlignment="1" applyProtection="1">
      <alignment horizontal="center" vertical="center"/>
      <protection locked="0" hidden="1"/>
    </xf>
    <xf numFmtId="0" fontId="26" fillId="0" borderId="0" xfId="0" applyFont="1" applyProtection="1">
      <protection locked="0" hidden="1"/>
    </xf>
    <xf numFmtId="3" fontId="46" fillId="4" borderId="55" xfId="0" applyNumberFormat="1" applyFont="1" applyFill="1" applyBorder="1" applyAlignment="1">
      <alignment horizontal="center"/>
    </xf>
    <xf numFmtId="0" fontId="35" fillId="4" borderId="55" xfId="0" applyFont="1" applyFill="1" applyBorder="1"/>
    <xf numFmtId="10" fontId="46" fillId="4" borderId="55" xfId="0" applyNumberFormat="1" applyFont="1" applyFill="1" applyBorder="1" applyAlignment="1">
      <alignment horizontal="center"/>
    </xf>
    <xf numFmtId="0" fontId="35" fillId="4" borderId="55" xfId="0" applyFont="1" applyFill="1" applyBorder="1" applyAlignment="1">
      <alignment horizontal="center"/>
    </xf>
    <xf numFmtId="169" fontId="46" fillId="4" borderId="55" xfId="0" applyNumberFormat="1" applyFont="1" applyFill="1" applyBorder="1" applyAlignment="1">
      <alignment horizontal="center"/>
    </xf>
    <xf numFmtId="0" fontId="35" fillId="4" borderId="55" xfId="0" applyFont="1" applyFill="1" applyBorder="1" applyAlignment="1">
      <alignment horizontal="left"/>
    </xf>
    <xf numFmtId="0" fontId="35" fillId="4" borderId="2" xfId="0" applyFont="1" applyFill="1" applyBorder="1"/>
    <xf numFmtId="3" fontId="46" fillId="4" borderId="2" xfId="0" applyNumberFormat="1" applyFont="1" applyFill="1" applyBorder="1" applyAlignment="1">
      <alignment horizontal="center"/>
    </xf>
    <xf numFmtId="167" fontId="46" fillId="4" borderId="2" xfId="0" applyNumberFormat="1" applyFont="1" applyFill="1" applyBorder="1" applyAlignment="1">
      <alignment horizontal="center"/>
    </xf>
    <xf numFmtId="169" fontId="46" fillId="4" borderId="2" xfId="0" applyNumberFormat="1" applyFont="1" applyFill="1" applyBorder="1" applyAlignment="1">
      <alignment horizontal="center"/>
    </xf>
    <xf numFmtId="0" fontId="35" fillId="4" borderId="2" xfId="0" applyFont="1" applyFill="1" applyBorder="1" applyAlignment="1">
      <alignment horizontal="center"/>
    </xf>
    <xf numFmtId="4" fontId="46" fillId="4" borderId="2" xfId="0" applyNumberFormat="1" applyFont="1" applyFill="1" applyBorder="1" applyAlignment="1">
      <alignment horizontal="center" vertical="center"/>
    </xf>
    <xf numFmtId="9" fontId="26" fillId="3" borderId="0" xfId="0" applyNumberFormat="1" applyFont="1" applyFill="1" applyAlignment="1">
      <alignment horizontal="center"/>
    </xf>
    <xf numFmtId="167" fontId="26" fillId="3" borderId="0" xfId="0" applyNumberFormat="1" applyFont="1" applyFill="1" applyAlignment="1">
      <alignment horizontal="center"/>
    </xf>
    <xf numFmtId="0" fontId="36" fillId="3" borderId="4" xfId="0" applyFont="1" applyFill="1" applyBorder="1" applyAlignment="1">
      <alignment horizontal="center"/>
    </xf>
    <xf numFmtId="0" fontId="26" fillId="3" borderId="0" xfId="7" applyFont="1" applyFill="1" applyAlignment="1">
      <alignment horizontal="right" indent="2"/>
    </xf>
    <xf numFmtId="164" fontId="32" fillId="3" borderId="0" xfId="2" applyNumberFormat="1" applyFont="1" applyFill="1" applyBorder="1"/>
    <xf numFmtId="0" fontId="26" fillId="3" borderId="0" xfId="0" applyFont="1" applyFill="1" applyAlignment="1">
      <alignment horizontal="right" indent="2"/>
    </xf>
    <xf numFmtId="0" fontId="32" fillId="3" borderId="0" xfId="0" applyFont="1" applyFill="1" applyAlignment="1">
      <alignment horizontal="right" indent="2"/>
    </xf>
    <xf numFmtId="164" fontId="32" fillId="3" borderId="0" xfId="0" applyNumberFormat="1" applyFont="1" applyFill="1"/>
    <xf numFmtId="0" fontId="33" fillId="3" borderId="0" xfId="0" applyFont="1" applyFill="1" applyAlignment="1">
      <alignment horizontal="right" indent="2"/>
    </xf>
    <xf numFmtId="0" fontId="32" fillId="3" borderId="0" xfId="7" applyFont="1" applyFill="1" applyAlignment="1">
      <alignment horizontal="right" indent="2"/>
    </xf>
    <xf numFmtId="169" fontId="32" fillId="3" borderId="32" xfId="0" applyNumberFormat="1" applyFont="1" applyFill="1" applyBorder="1" applyAlignment="1">
      <alignment horizontal="center"/>
    </xf>
    <xf numFmtId="0" fontId="32" fillId="3" borderId="32" xfId="0" applyFont="1" applyFill="1" applyBorder="1" applyAlignment="1">
      <alignment horizontal="center"/>
    </xf>
    <xf numFmtId="0" fontId="26" fillId="3" borderId="52" xfId="7" applyFont="1" applyFill="1" applyBorder="1" applyAlignment="1">
      <alignment horizontal="right" indent="2"/>
    </xf>
    <xf numFmtId="164" fontId="32" fillId="3" borderId="22" xfId="2" applyNumberFormat="1" applyFont="1" applyFill="1" applyBorder="1"/>
    <xf numFmtId="164" fontId="26" fillId="3" borderId="37" xfId="2" applyNumberFormat="1" applyFont="1" applyFill="1" applyBorder="1"/>
    <xf numFmtId="164" fontId="33" fillId="3" borderId="37" xfId="2" applyNumberFormat="1" applyFont="1" applyFill="1" applyBorder="1"/>
    <xf numFmtId="0" fontId="12" fillId="3" borderId="45" xfId="0" applyFont="1" applyFill="1" applyBorder="1"/>
    <xf numFmtId="0" fontId="12" fillId="3" borderId="46" xfId="0" applyFont="1" applyFill="1" applyBorder="1"/>
    <xf numFmtId="0" fontId="26" fillId="3" borderId="62" xfId="0" applyFont="1" applyFill="1" applyBorder="1"/>
    <xf numFmtId="0" fontId="12" fillId="3" borderId="51" xfId="0" applyFont="1" applyFill="1" applyBorder="1"/>
    <xf numFmtId="0" fontId="34" fillId="3" borderId="47" xfId="7" applyFont="1" applyFill="1" applyBorder="1" applyAlignment="1">
      <alignment horizontal="right" indent="2"/>
    </xf>
    <xf numFmtId="164" fontId="34" fillId="3" borderId="47" xfId="2" applyNumberFormat="1" applyFont="1" applyFill="1" applyBorder="1"/>
    <xf numFmtId="164" fontId="34" fillId="3" borderId="51" xfId="2" applyNumberFormat="1" applyFont="1" applyFill="1" applyBorder="1"/>
    <xf numFmtId="0" fontId="46" fillId="4" borderId="55" xfId="0" applyFont="1" applyFill="1" applyBorder="1" applyAlignment="1">
      <alignment horizontal="center"/>
    </xf>
    <xf numFmtId="0" fontId="26" fillId="3" borderId="32" xfId="0" applyFont="1" applyFill="1" applyBorder="1" applyProtection="1">
      <protection locked="0" hidden="1"/>
    </xf>
    <xf numFmtId="0" fontId="46" fillId="4" borderId="2" xfId="0" applyFont="1" applyFill="1" applyBorder="1" applyAlignment="1">
      <alignment horizontal="center"/>
    </xf>
    <xf numFmtId="0" fontId="46" fillId="4" borderId="36" xfId="0" applyFont="1" applyFill="1" applyBorder="1" applyAlignment="1">
      <alignment horizontal="center"/>
    </xf>
    <xf numFmtId="0" fontId="51" fillId="3" borderId="0" xfId="0" applyFont="1" applyFill="1" applyAlignment="1">
      <alignment horizontal="center"/>
    </xf>
    <xf numFmtId="0" fontId="26" fillId="8" borderId="0" xfId="0" applyFont="1" applyFill="1"/>
    <xf numFmtId="0" fontId="26" fillId="8" borderId="0" xfId="0" applyFont="1" applyFill="1" applyProtection="1">
      <protection locked="0" hidden="1"/>
    </xf>
    <xf numFmtId="0" fontId="46" fillId="8" borderId="52" xfId="0" applyFont="1" applyFill="1" applyBorder="1"/>
    <xf numFmtId="0" fontId="35" fillId="8" borderId="1" xfId="0" applyFont="1" applyFill="1" applyBorder="1"/>
    <xf numFmtId="0" fontId="35" fillId="8" borderId="52" xfId="0" applyFont="1" applyFill="1" applyBorder="1"/>
    <xf numFmtId="0" fontId="46" fillId="8" borderId="2" xfId="0" applyFont="1" applyFill="1" applyBorder="1" applyAlignment="1">
      <alignment horizontal="center"/>
    </xf>
    <xf numFmtId="0" fontId="26" fillId="4" borderId="2" xfId="0" applyFont="1" applyFill="1" applyBorder="1"/>
    <xf numFmtId="0" fontId="0" fillId="3" borderId="62" xfId="0" applyFill="1" applyBorder="1"/>
    <xf numFmtId="1" fontId="26" fillId="3" borderId="0" xfId="0" applyNumberFormat="1" applyFont="1" applyFill="1" applyAlignment="1">
      <alignment horizontal="center"/>
    </xf>
    <xf numFmtId="169" fontId="26" fillId="3" borderId="0" xfId="0" applyNumberFormat="1" applyFont="1" applyFill="1" applyAlignment="1">
      <alignment horizontal="left" indent="2"/>
    </xf>
    <xf numFmtId="169" fontId="26" fillId="3" borderId="0" xfId="0" applyNumberFormat="1" applyFont="1" applyFill="1" applyAlignment="1">
      <alignment horizontal="left" indent="3"/>
    </xf>
    <xf numFmtId="0" fontId="26" fillId="3" borderId="0" xfId="0" applyFont="1" applyFill="1" applyAlignment="1">
      <alignment horizontal="left" indent="1"/>
    </xf>
    <xf numFmtId="0" fontId="26" fillId="3" borderId="0" xfId="0" applyFont="1" applyFill="1" applyAlignment="1">
      <alignment horizontal="right" indent="1"/>
    </xf>
    <xf numFmtId="0" fontId="46" fillId="4" borderId="35" xfId="0" applyFont="1" applyFill="1" applyBorder="1" applyAlignment="1">
      <alignment horizontal="center"/>
    </xf>
    <xf numFmtId="0" fontId="35" fillId="4" borderId="22" xfId="0" applyFont="1" applyFill="1" applyBorder="1" applyAlignment="1">
      <alignment horizontal="center"/>
    </xf>
    <xf numFmtId="169" fontId="26" fillId="3" borderId="37" xfId="0" applyNumberFormat="1" applyFont="1" applyFill="1" applyBorder="1" applyAlignment="1">
      <alignment horizontal="left" indent="2"/>
    </xf>
    <xf numFmtId="169" fontId="46" fillId="4" borderId="94" xfId="0" applyNumberFormat="1" applyFont="1" applyFill="1" applyBorder="1" applyAlignment="1">
      <alignment horizontal="center"/>
    </xf>
    <xf numFmtId="0" fontId="35" fillId="4" borderId="36" xfId="0" applyFont="1" applyFill="1" applyBorder="1" applyAlignment="1">
      <alignment horizontal="center"/>
    </xf>
    <xf numFmtId="0" fontId="46" fillId="4" borderId="76" xfId="0" applyFont="1" applyFill="1" applyBorder="1" applyAlignment="1">
      <alignment horizontal="right" indent="1"/>
    </xf>
    <xf numFmtId="0" fontId="46" fillId="4" borderId="35" xfId="0" applyFont="1" applyFill="1" applyBorder="1" applyAlignment="1">
      <alignment horizontal="right" indent="1"/>
    </xf>
    <xf numFmtId="0" fontId="19" fillId="3" borderId="0" xfId="3" applyNumberFormat="1" applyFont="1" applyFill="1" applyAlignment="1">
      <alignment horizontal="center"/>
    </xf>
    <xf numFmtId="17" fontId="16" fillId="3" borderId="2" xfId="0" applyNumberFormat="1" applyFont="1" applyFill="1" applyBorder="1"/>
    <xf numFmtId="186" fontId="12" fillId="3" borderId="36" xfId="0" applyNumberFormat="1" applyFont="1" applyFill="1" applyBorder="1"/>
    <xf numFmtId="183" fontId="20" fillId="3" borderId="22" xfId="0" applyNumberFormat="1" applyFont="1" applyFill="1" applyBorder="1" applyAlignment="1">
      <alignment horizontal="right"/>
    </xf>
    <xf numFmtId="186" fontId="16" fillId="3" borderId="52" xfId="0" applyNumberFormat="1" applyFont="1" applyFill="1" applyBorder="1"/>
    <xf numFmtId="44" fontId="12" fillId="0" borderId="16" xfId="0" applyNumberFormat="1" applyFont="1" applyBorder="1"/>
    <xf numFmtId="44" fontId="12" fillId="0" borderId="33" xfId="0" applyNumberFormat="1" applyFont="1" applyBorder="1"/>
    <xf numFmtId="0" fontId="12" fillId="0" borderId="34" xfId="0" applyFont="1" applyBorder="1"/>
    <xf numFmtId="9" fontId="14" fillId="3" borderId="0" xfId="0" applyNumberFormat="1" applyFont="1" applyFill="1" applyAlignment="1">
      <alignment horizontal="center"/>
    </xf>
    <xf numFmtId="164" fontId="12" fillId="0" borderId="0" xfId="0" applyNumberFormat="1" applyFont="1"/>
    <xf numFmtId="49" fontId="14" fillId="3" borderId="0" xfId="0" applyNumberFormat="1" applyFont="1" applyFill="1" applyAlignment="1">
      <alignment horizontal="center"/>
    </xf>
    <xf numFmtId="164" fontId="12" fillId="3" borderId="37" xfId="0" applyNumberFormat="1" applyFont="1" applyFill="1" applyBorder="1" applyAlignment="1">
      <alignment horizontal="center"/>
    </xf>
    <xf numFmtId="44" fontId="12" fillId="3" borderId="37" xfId="0" applyNumberFormat="1" applyFont="1" applyFill="1" applyBorder="1"/>
    <xf numFmtId="9" fontId="12" fillId="3" borderId="37" xfId="3" applyFont="1" applyFill="1" applyBorder="1" applyAlignment="1">
      <alignment horizontal="center"/>
    </xf>
    <xf numFmtId="164" fontId="12" fillId="3" borderId="37" xfId="0" applyNumberFormat="1" applyFont="1" applyFill="1" applyBorder="1"/>
    <xf numFmtId="165" fontId="12" fillId="0" borderId="37" xfId="0" applyNumberFormat="1" applyFont="1" applyBorder="1" applyAlignment="1">
      <alignment horizontal="center"/>
    </xf>
    <xf numFmtId="164" fontId="12" fillId="3" borderId="36" xfId="0" applyNumberFormat="1" applyFont="1" applyFill="1" applyBorder="1"/>
    <xf numFmtId="9" fontId="12" fillId="3" borderId="34" xfId="0" applyNumberFormat="1" applyFont="1" applyFill="1" applyBorder="1" applyAlignment="1">
      <alignment horizontal="center"/>
    </xf>
    <xf numFmtId="175" fontId="14" fillId="0" borderId="54" xfId="0" applyNumberFormat="1" applyFont="1" applyBorder="1" applyAlignment="1">
      <alignment horizontal="center"/>
    </xf>
    <xf numFmtId="164" fontId="12" fillId="0" borderId="28" xfId="0" applyNumberFormat="1" applyFont="1" applyBorder="1"/>
    <xf numFmtId="164" fontId="12" fillId="3" borderId="28" xfId="0" applyNumberFormat="1" applyFont="1" applyFill="1" applyBorder="1"/>
    <xf numFmtId="0" fontId="14" fillId="3" borderId="52" xfId="0" applyFont="1" applyFill="1" applyBorder="1"/>
    <xf numFmtId="17" fontId="16" fillId="3" borderId="0" xfId="0" applyNumberFormat="1" applyFont="1" applyFill="1"/>
    <xf numFmtId="0" fontId="16" fillId="3" borderId="52" xfId="0" applyFont="1" applyFill="1" applyBorder="1" applyAlignment="1">
      <alignment horizontal="center"/>
    </xf>
    <xf numFmtId="183" fontId="16" fillId="3" borderId="0" xfId="0" applyNumberFormat="1" applyFont="1" applyFill="1"/>
    <xf numFmtId="1" fontId="12" fillId="3" borderId="0" xfId="0" applyNumberFormat="1" applyFont="1" applyFill="1"/>
    <xf numFmtId="186" fontId="12" fillId="3" borderId="0" xfId="0" applyNumberFormat="1" applyFont="1" applyFill="1" applyAlignment="1">
      <alignment horizontal="left"/>
    </xf>
    <xf numFmtId="179" fontId="16" fillId="3" borderId="0" xfId="0" applyNumberFormat="1" applyFont="1" applyFill="1"/>
    <xf numFmtId="5" fontId="19" fillId="3" borderId="0" xfId="0" applyNumberFormat="1" applyFont="1" applyFill="1" applyAlignment="1">
      <alignment horizontal="center"/>
    </xf>
    <xf numFmtId="2" fontId="12" fillId="3" borderId="37" xfId="0" applyNumberFormat="1" applyFont="1" applyFill="1" applyBorder="1" applyAlignment="1">
      <alignment horizontal="center"/>
    </xf>
    <xf numFmtId="0" fontId="19" fillId="0" borderId="0" xfId="20" applyNumberFormat="1" applyFont="1" applyBorder="1" applyAlignment="1">
      <alignment horizontal="center"/>
    </xf>
    <xf numFmtId="0" fontId="19" fillId="3" borderId="0" xfId="3" applyNumberFormat="1" applyFont="1" applyFill="1" applyBorder="1" applyAlignment="1">
      <alignment horizontal="left" indent="5"/>
    </xf>
    <xf numFmtId="0" fontId="19" fillId="3" borderId="0" xfId="0" applyFont="1" applyFill="1" applyAlignment="1">
      <alignment horizontal="left" indent="5"/>
    </xf>
    <xf numFmtId="175" fontId="70" fillId="3" borderId="0" xfId="0" applyNumberFormat="1" applyFont="1" applyFill="1" applyAlignment="1">
      <alignment horizontal="center"/>
    </xf>
    <xf numFmtId="169" fontId="11" fillId="3" borderId="0" xfId="0" applyNumberFormat="1" applyFont="1" applyFill="1"/>
    <xf numFmtId="167" fontId="11" fillId="3" borderId="0" xfId="0" applyNumberFormat="1" applyFont="1" applyFill="1"/>
    <xf numFmtId="9" fontId="12" fillId="0" borderId="0" xfId="3" applyFont="1" applyBorder="1" applyAlignment="1">
      <alignment horizontal="center"/>
    </xf>
    <xf numFmtId="0" fontId="11" fillId="3" borderId="2" xfId="0" applyFont="1" applyFill="1" applyBorder="1"/>
    <xf numFmtId="0" fontId="19" fillId="3" borderId="36" xfId="0" applyFont="1" applyFill="1" applyBorder="1" applyAlignment="1">
      <alignment horizontal="right"/>
    </xf>
    <xf numFmtId="9" fontId="14" fillId="3" borderId="48" xfId="3" applyFont="1" applyFill="1" applyBorder="1" applyAlignment="1">
      <alignment horizontal="center" vertical="center"/>
    </xf>
    <xf numFmtId="38" fontId="20" fillId="3" borderId="32" xfId="11" applyFont="1" applyFill="1" applyBorder="1" applyAlignment="1">
      <alignment horizontal="center" vertical="center"/>
    </xf>
    <xf numFmtId="169" fontId="71" fillId="3" borderId="37" xfId="0" applyNumberFormat="1" applyFont="1" applyFill="1" applyBorder="1" applyAlignment="1">
      <alignment horizontal="left" indent="5"/>
    </xf>
    <xf numFmtId="169" fontId="52" fillId="3" borderId="37" xfId="0" applyNumberFormat="1" applyFont="1" applyFill="1" applyBorder="1" applyAlignment="1">
      <alignment horizontal="left" indent="5"/>
    </xf>
    <xf numFmtId="169" fontId="71" fillId="3" borderId="22" xfId="0" applyNumberFormat="1" applyFont="1" applyFill="1" applyBorder="1" applyAlignment="1">
      <alignment horizontal="left" indent="5"/>
    </xf>
    <xf numFmtId="0" fontId="19" fillId="3" borderId="2" xfId="0" applyFont="1" applyFill="1" applyBorder="1" applyAlignment="1">
      <alignment horizontal="center"/>
    </xf>
    <xf numFmtId="169" fontId="71" fillId="3" borderId="36" xfId="0" applyNumberFormat="1" applyFont="1" applyFill="1" applyBorder="1" applyAlignment="1">
      <alignment horizontal="left" indent="5"/>
    </xf>
    <xf numFmtId="0" fontId="52" fillId="3" borderId="21" xfId="0" applyFont="1" applyFill="1" applyBorder="1" applyAlignment="1">
      <alignment horizontal="left" indent="5"/>
    </xf>
    <xf numFmtId="0" fontId="52" fillId="3" borderId="32" xfId="0" applyFont="1" applyFill="1" applyBorder="1" applyAlignment="1">
      <alignment horizontal="left" indent="5"/>
    </xf>
    <xf numFmtId="0" fontId="52" fillId="3" borderId="35" xfId="0" applyFont="1" applyFill="1" applyBorder="1" applyAlignment="1">
      <alignment horizontal="left" indent="5"/>
    </xf>
    <xf numFmtId="10" fontId="71" fillId="3" borderId="0" xfId="0" applyNumberFormat="1" applyFont="1" applyFill="1" applyAlignment="1">
      <alignment horizontal="center"/>
    </xf>
    <xf numFmtId="0" fontId="12" fillId="3" borderId="1" xfId="0" applyFont="1" applyFill="1" applyBorder="1"/>
    <xf numFmtId="6" fontId="14" fillId="3" borderId="43" xfId="0" applyNumberFormat="1" applyFont="1" applyFill="1" applyBorder="1" applyAlignment="1">
      <alignment horizontal="left" indent="2"/>
    </xf>
    <xf numFmtId="5" fontId="19" fillId="3" borderId="36" xfId="0" applyNumberFormat="1" applyFont="1" applyFill="1" applyBorder="1" applyAlignment="1">
      <alignment horizontal="center"/>
    </xf>
    <xf numFmtId="0" fontId="12" fillId="0" borderId="33" xfId="0" applyFont="1" applyBorder="1"/>
    <xf numFmtId="0" fontId="12" fillId="0" borderId="27" xfId="0" applyFont="1" applyBorder="1"/>
    <xf numFmtId="9" fontId="12" fillId="0" borderId="17" xfId="3" applyFont="1" applyBorder="1" applyAlignment="1">
      <alignment horizontal="center"/>
    </xf>
    <xf numFmtId="42" fontId="12" fillId="0" borderId="17" xfId="0" applyNumberFormat="1" applyFont="1" applyBorder="1"/>
    <xf numFmtId="165" fontId="20" fillId="0" borderId="95" xfId="0" applyNumberFormat="1" applyFont="1" applyBorder="1" applyAlignment="1">
      <alignment horizontal="center"/>
    </xf>
    <xf numFmtId="44" fontId="12" fillId="3" borderId="41" xfId="0" applyNumberFormat="1" applyFont="1" applyFill="1" applyBorder="1"/>
    <xf numFmtId="0" fontId="14" fillId="3" borderId="0" xfId="0" applyFont="1" applyFill="1" applyAlignment="1">
      <alignment horizontal="left" indent="6"/>
    </xf>
    <xf numFmtId="10" fontId="19" fillId="3" borderId="0" xfId="0" applyNumberFormat="1" applyFont="1" applyFill="1" applyAlignment="1">
      <alignment horizontal="left"/>
    </xf>
    <xf numFmtId="5" fontId="14" fillId="3" borderId="0" xfId="0" applyNumberFormat="1" applyFont="1" applyFill="1" applyAlignment="1">
      <alignment horizontal="left"/>
    </xf>
    <xf numFmtId="189" fontId="12" fillId="3" borderId="43" xfId="0" applyNumberFormat="1" applyFont="1" applyFill="1" applyBorder="1" applyAlignment="1">
      <alignment horizontal="center"/>
    </xf>
    <xf numFmtId="9" fontId="14" fillId="3" borderId="0" xfId="3" applyFont="1" applyFill="1" applyBorder="1" applyAlignment="1">
      <alignment horizontal="center" vertical="center"/>
    </xf>
    <xf numFmtId="9" fontId="14" fillId="3" borderId="35" xfId="3" applyFont="1" applyFill="1" applyBorder="1" applyAlignment="1">
      <alignment horizontal="center" vertical="center"/>
    </xf>
    <xf numFmtId="0" fontId="27" fillId="3" borderId="21" xfId="0" applyFont="1" applyFill="1" applyBorder="1" applyAlignment="1">
      <alignment horizontal="center"/>
    </xf>
    <xf numFmtId="0" fontId="27" fillId="3" borderId="5" xfId="0" applyFont="1" applyFill="1" applyBorder="1" applyAlignment="1">
      <alignment horizontal="center"/>
    </xf>
    <xf numFmtId="0" fontId="19" fillId="3" borderId="21" xfId="0" applyFont="1" applyFill="1" applyBorder="1"/>
    <xf numFmtId="0" fontId="71" fillId="3" borderId="21" xfId="0" applyFont="1" applyFill="1" applyBorder="1" applyAlignment="1">
      <alignment horizontal="left" indent="5"/>
    </xf>
    <xf numFmtId="10" fontId="71" fillId="3" borderId="52" xfId="0" applyNumberFormat="1" applyFont="1" applyFill="1" applyBorder="1" applyAlignment="1">
      <alignment horizontal="center"/>
    </xf>
    <xf numFmtId="169" fontId="52" fillId="3" borderId="22" xfId="0" applyNumberFormat="1" applyFont="1" applyFill="1" applyBorder="1" applyAlignment="1">
      <alignment horizontal="left" indent="5"/>
    </xf>
    <xf numFmtId="0" fontId="71" fillId="3" borderId="32" xfId="0" applyFont="1" applyFill="1" applyBorder="1" applyAlignment="1">
      <alignment horizontal="left" indent="5"/>
    </xf>
    <xf numFmtId="0" fontId="52" fillId="3" borderId="0" xfId="0" applyFont="1" applyFill="1"/>
    <xf numFmtId="0" fontId="71" fillId="3" borderId="0" xfId="0" applyFont="1" applyFill="1" applyAlignment="1">
      <alignment horizontal="center"/>
    </xf>
    <xf numFmtId="0" fontId="71" fillId="3" borderId="35" xfId="0" applyFont="1" applyFill="1" applyBorder="1" applyAlignment="1">
      <alignment horizontal="left" indent="5"/>
    </xf>
    <xf numFmtId="0" fontId="71" fillId="3" borderId="2" xfId="0" applyFont="1" applyFill="1" applyBorder="1" applyAlignment="1">
      <alignment horizontal="center"/>
    </xf>
    <xf numFmtId="179" fontId="24" fillId="3" borderId="52" xfId="0" applyNumberFormat="1" applyFont="1" applyFill="1" applyBorder="1"/>
    <xf numFmtId="10" fontId="19" fillId="3" borderId="2" xfId="3" applyNumberFormat="1" applyFont="1" applyFill="1" applyBorder="1" applyAlignment="1">
      <alignment horizontal="center"/>
    </xf>
    <xf numFmtId="179" fontId="24" fillId="3" borderId="52" xfId="0" applyNumberFormat="1" applyFont="1" applyFill="1" applyBorder="1" applyAlignment="1">
      <alignment horizontal="center"/>
    </xf>
    <xf numFmtId="169" fontId="12" fillId="3" borderId="36" xfId="0" applyNumberFormat="1" applyFont="1" applyFill="1" applyBorder="1" applyAlignment="1">
      <alignment horizontal="left" indent="2"/>
    </xf>
    <xf numFmtId="44" fontId="12" fillId="0" borderId="34" xfId="0" applyNumberFormat="1" applyFont="1" applyBorder="1"/>
    <xf numFmtId="164" fontId="12" fillId="3" borderId="6" xfId="0" applyNumberFormat="1" applyFont="1" applyFill="1" applyBorder="1"/>
    <xf numFmtId="164" fontId="12" fillId="3" borderId="33" xfId="0" applyNumberFormat="1" applyFont="1" applyFill="1" applyBorder="1"/>
    <xf numFmtId="169" fontId="30" fillId="3" borderId="22" xfId="0" applyNumberFormat="1" applyFont="1" applyFill="1" applyBorder="1" applyAlignment="1">
      <alignment horizontal="left" indent="2"/>
    </xf>
    <xf numFmtId="6" fontId="30" fillId="3" borderId="43" xfId="0" applyNumberFormat="1" applyFont="1" applyFill="1" applyBorder="1" applyAlignment="1">
      <alignment horizontal="left" indent="2"/>
    </xf>
    <xf numFmtId="0" fontId="24" fillId="3" borderId="32" xfId="0" applyFont="1" applyFill="1" applyBorder="1" applyAlignment="1">
      <alignment horizontal="center"/>
    </xf>
    <xf numFmtId="17" fontId="26" fillId="3" borderId="44" xfId="0" applyNumberFormat="1" applyFont="1" applyFill="1" applyBorder="1" applyAlignment="1">
      <alignment horizontal="center"/>
    </xf>
    <xf numFmtId="164" fontId="20" fillId="0" borderId="16" xfId="0" applyNumberFormat="1" applyFont="1" applyBorder="1"/>
    <xf numFmtId="0" fontId="24" fillId="3" borderId="0" xfId="0" applyFont="1" applyFill="1" applyAlignment="1">
      <alignment horizontal="center"/>
    </xf>
    <xf numFmtId="0" fontId="16" fillId="3" borderId="0" xfId="0" applyFont="1" applyFill="1"/>
    <xf numFmtId="0" fontId="12" fillId="3" borderId="0" xfId="0" applyFont="1" applyFill="1" applyAlignment="1">
      <alignment horizontal="right" indent="1"/>
    </xf>
    <xf numFmtId="0" fontId="14" fillId="3" borderId="2" xfId="0" applyFont="1" applyFill="1" applyBorder="1"/>
    <xf numFmtId="169" fontId="14" fillId="3" borderId="0" xfId="0" applyNumberFormat="1" applyFont="1" applyFill="1"/>
    <xf numFmtId="169" fontId="12" fillId="3" borderId="45" xfId="0" applyNumberFormat="1" applyFont="1" applyFill="1" applyBorder="1" applyAlignment="1">
      <alignment horizontal="left" indent="1"/>
    </xf>
    <xf numFmtId="169" fontId="14" fillId="3" borderId="47" xfId="0" applyNumberFormat="1" applyFont="1" applyFill="1" applyBorder="1"/>
    <xf numFmtId="6" fontId="14" fillId="0" borderId="2" xfId="0" applyNumberFormat="1" applyFont="1" applyBorder="1" applyAlignment="1">
      <alignment horizontal="center"/>
    </xf>
    <xf numFmtId="169" fontId="12" fillId="3" borderId="22" xfId="0" applyNumberFormat="1" applyFont="1" applyFill="1" applyBorder="1" applyAlignment="1">
      <alignment horizontal="left" indent="1"/>
    </xf>
    <xf numFmtId="0" fontId="20" fillId="3" borderId="35" xfId="0" applyFont="1" applyFill="1" applyBorder="1"/>
    <xf numFmtId="164" fontId="14" fillId="3" borderId="0" xfId="0" applyNumberFormat="1" applyFont="1" applyFill="1"/>
    <xf numFmtId="0" fontId="20" fillId="0" borderId="20" xfId="0" applyFont="1" applyBorder="1"/>
    <xf numFmtId="164" fontId="12" fillId="0" borderId="7" xfId="0" applyNumberFormat="1" applyFont="1" applyBorder="1"/>
    <xf numFmtId="0" fontId="11" fillId="3" borderId="47" xfId="0" applyFont="1" applyFill="1" applyBorder="1"/>
    <xf numFmtId="164" fontId="12" fillId="0" borderId="89" xfId="0" applyNumberFormat="1" applyFont="1" applyBorder="1"/>
    <xf numFmtId="164" fontId="43" fillId="3" borderId="0" xfId="2" applyNumberFormat="1" applyFont="1" applyFill="1" applyBorder="1"/>
    <xf numFmtId="5" fontId="32" fillId="3" borderId="21" xfId="0" applyNumberFormat="1" applyFont="1" applyFill="1" applyBorder="1" applyAlignment="1">
      <alignment horizontal="center"/>
    </xf>
    <xf numFmtId="5" fontId="26" fillId="3" borderId="32" xfId="0" applyNumberFormat="1" applyFont="1" applyFill="1" applyBorder="1" applyAlignment="1">
      <alignment horizontal="center"/>
    </xf>
    <xf numFmtId="5" fontId="26" fillId="3" borderId="35" xfId="0" applyNumberFormat="1" applyFont="1" applyFill="1" applyBorder="1" applyAlignment="1">
      <alignment horizontal="center"/>
    </xf>
    <xf numFmtId="0" fontId="19" fillId="3" borderId="48" xfId="0" applyFont="1" applyFill="1" applyBorder="1"/>
    <xf numFmtId="5" fontId="14" fillId="3" borderId="0" xfId="0" applyNumberFormat="1" applyFont="1" applyFill="1" applyAlignment="1">
      <alignment horizontal="center"/>
    </xf>
    <xf numFmtId="172" fontId="19" fillId="3" borderId="2" xfId="0" applyNumberFormat="1" applyFont="1" applyFill="1" applyBorder="1" applyAlignment="1">
      <alignment horizontal="center"/>
    </xf>
    <xf numFmtId="187" fontId="20" fillId="0" borderId="0" xfId="11" applyNumberFormat="1" applyFont="1" applyBorder="1"/>
    <xf numFmtId="179" fontId="12" fillId="0" borderId="52" xfId="11" applyNumberFormat="1" applyFont="1" applyBorder="1" applyAlignment="1">
      <alignment horizontal="center"/>
    </xf>
    <xf numFmtId="196" fontId="19" fillId="3" borderId="36" xfId="0" applyNumberFormat="1" applyFont="1" applyFill="1" applyBorder="1" applyAlignment="1">
      <alignment horizontal="center"/>
    </xf>
    <xf numFmtId="196" fontId="24" fillId="3" borderId="0" xfId="0" applyNumberFormat="1" applyFont="1" applyFill="1" applyAlignment="1">
      <alignment horizontal="center"/>
    </xf>
    <xf numFmtId="49" fontId="21" fillId="3" borderId="4" xfId="0" applyNumberFormat="1" applyFont="1" applyFill="1" applyBorder="1" applyAlignment="1">
      <alignment horizontal="center"/>
    </xf>
    <xf numFmtId="0" fontId="72" fillId="3" borderId="4" xfId="0" applyFont="1" applyFill="1" applyBorder="1" applyAlignment="1" applyProtection="1">
      <alignment horizontal="center"/>
      <protection locked="0" hidden="1"/>
    </xf>
    <xf numFmtId="0" fontId="21" fillId="0" borderId="4" xfId="0" applyFont="1" applyBorder="1" applyAlignment="1">
      <alignment horizontal="center"/>
    </xf>
    <xf numFmtId="0" fontId="21" fillId="3" borderId="38" xfId="0" applyFont="1" applyFill="1" applyBorder="1" applyAlignment="1">
      <alignment horizontal="center"/>
    </xf>
    <xf numFmtId="9" fontId="21" fillId="3" borderId="4" xfId="0" applyNumberFormat="1" applyFont="1" applyFill="1" applyBorder="1" applyAlignment="1">
      <alignment horizontal="center"/>
    </xf>
    <xf numFmtId="49" fontId="72" fillId="3" borderId="38" xfId="0" applyNumberFormat="1" applyFont="1" applyFill="1" applyBorder="1" applyAlignment="1">
      <alignment horizontal="center"/>
    </xf>
    <xf numFmtId="0" fontId="21" fillId="3" borderId="4" xfId="0" applyFont="1" applyFill="1" applyBorder="1" applyAlignment="1">
      <alignment horizontal="center" vertical="top"/>
    </xf>
    <xf numFmtId="0" fontId="17" fillId="4" borderId="1" xfId="0" applyFont="1" applyFill="1" applyBorder="1"/>
    <xf numFmtId="183" fontId="17" fillId="4" borderId="1" xfId="0" applyNumberFormat="1" applyFont="1" applyFill="1" applyBorder="1" applyAlignment="1">
      <alignment horizontal="center"/>
    </xf>
    <xf numFmtId="0" fontId="14" fillId="0" borderId="0" xfId="0" applyFont="1"/>
    <xf numFmtId="0" fontId="17" fillId="4" borderId="21" xfId="0" applyFont="1" applyFill="1" applyBorder="1"/>
    <xf numFmtId="0" fontId="12" fillId="4" borderId="52" xfId="0" applyFont="1" applyFill="1" applyBorder="1"/>
    <xf numFmtId="0" fontId="12" fillId="4" borderId="22" xfId="0" applyFont="1" applyFill="1" applyBorder="1"/>
    <xf numFmtId="0" fontId="17" fillId="4" borderId="32" xfId="0" applyFont="1" applyFill="1" applyBorder="1"/>
    <xf numFmtId="49" fontId="14" fillId="4" borderId="0" xfId="0" applyNumberFormat="1" applyFont="1" applyFill="1"/>
    <xf numFmtId="0" fontId="12" fillId="4" borderId="37" xfId="0" applyFont="1" applyFill="1" applyBorder="1"/>
    <xf numFmtId="1" fontId="12" fillId="3" borderId="37" xfId="0" applyNumberFormat="1" applyFont="1" applyFill="1" applyBorder="1" applyAlignment="1">
      <alignment horizontal="center"/>
    </xf>
    <xf numFmtId="5" fontId="12" fillId="3" borderId="37" xfId="0" applyNumberFormat="1" applyFont="1" applyFill="1" applyBorder="1" applyAlignment="1">
      <alignment horizontal="center"/>
    </xf>
    <xf numFmtId="9" fontId="12" fillId="3" borderId="0" xfId="3" applyFont="1" applyFill="1" applyBorder="1" applyAlignment="1">
      <alignment horizontal="center"/>
    </xf>
    <xf numFmtId="5" fontId="12" fillId="3" borderId="52" xfId="0" applyNumberFormat="1" applyFont="1" applyFill="1" applyBorder="1" applyAlignment="1">
      <alignment horizontal="center"/>
    </xf>
    <xf numFmtId="5" fontId="14" fillId="3" borderId="37" xfId="0" applyNumberFormat="1" applyFont="1" applyFill="1" applyBorder="1" applyAlignment="1">
      <alignment horizontal="center"/>
    </xf>
    <xf numFmtId="5" fontId="12" fillId="3" borderId="0" xfId="0" applyNumberFormat="1" applyFont="1" applyFill="1"/>
    <xf numFmtId="0" fontId="12" fillId="3" borderId="32" xfId="0" applyFont="1" applyFill="1" applyBorder="1" applyAlignment="1">
      <alignment horizontal="left" indent="4"/>
    </xf>
    <xf numFmtId="0" fontId="12" fillId="3" borderId="0" xfId="0" applyFont="1" applyFill="1" applyAlignment="1">
      <alignment horizontal="left" indent="4"/>
    </xf>
    <xf numFmtId="169" fontId="73" fillId="3" borderId="0" xfId="0" applyNumberFormat="1" applyFont="1" applyFill="1" applyAlignment="1">
      <alignment horizontal="center"/>
    </xf>
    <xf numFmtId="169" fontId="73" fillId="3" borderId="37" xfId="0" applyNumberFormat="1" applyFont="1" applyFill="1" applyBorder="1" applyAlignment="1">
      <alignment horizontal="center"/>
    </xf>
    <xf numFmtId="0" fontId="52" fillId="3" borderId="0" xfId="0" applyFont="1" applyFill="1" applyAlignment="1">
      <alignment horizontal="center"/>
    </xf>
    <xf numFmtId="0" fontId="52" fillId="3" borderId="37" xfId="0" applyFont="1" applyFill="1" applyBorder="1" applyAlignment="1">
      <alignment horizontal="center"/>
    </xf>
    <xf numFmtId="0" fontId="52" fillId="3" borderId="0" xfId="0" applyFont="1" applyFill="1" applyAlignment="1">
      <alignment horizontal="left" indent="1"/>
    </xf>
    <xf numFmtId="10" fontId="52" fillId="3" borderId="0" xfId="3" applyNumberFormat="1" applyFont="1" applyFill="1" applyBorder="1" applyAlignment="1">
      <alignment horizontal="center"/>
    </xf>
    <xf numFmtId="1" fontId="52" fillId="3" borderId="2" xfId="0" applyNumberFormat="1" applyFont="1" applyFill="1" applyBorder="1" applyAlignment="1">
      <alignment horizontal="center"/>
    </xf>
    <xf numFmtId="5" fontId="52" fillId="3" borderId="0" xfId="0" applyNumberFormat="1" applyFont="1" applyFill="1" applyAlignment="1">
      <alignment horizontal="center"/>
    </xf>
    <xf numFmtId="5" fontId="52" fillId="3" borderId="37" xfId="0" applyNumberFormat="1" applyFont="1" applyFill="1" applyBorder="1" applyAlignment="1">
      <alignment horizontal="center"/>
    </xf>
    <xf numFmtId="0" fontId="12" fillId="3" borderId="0" xfId="0" applyFont="1" applyFill="1" applyAlignment="1">
      <alignment vertical="center"/>
    </xf>
    <xf numFmtId="0" fontId="12" fillId="3" borderId="32" xfId="0" applyFont="1" applyFill="1" applyBorder="1" applyAlignment="1">
      <alignment vertical="center"/>
    </xf>
    <xf numFmtId="0" fontId="12" fillId="3" borderId="35" xfId="0" applyFont="1" applyFill="1" applyBorder="1" applyAlignment="1">
      <alignment vertical="center"/>
    </xf>
    <xf numFmtId="165" fontId="14" fillId="3" borderId="1" xfId="3" applyNumberFormat="1" applyFont="1" applyFill="1" applyBorder="1" applyAlignment="1">
      <alignment horizontal="center" vertical="center"/>
    </xf>
    <xf numFmtId="0" fontId="35" fillId="4" borderId="0" xfId="0" applyFont="1" applyFill="1"/>
    <xf numFmtId="0" fontId="36" fillId="3" borderId="4" xfId="0" applyFont="1" applyFill="1" applyBorder="1" applyAlignment="1" applyProtection="1">
      <alignment horizontal="center"/>
      <protection locked="0" hidden="1"/>
    </xf>
    <xf numFmtId="3" fontId="12" fillId="3" borderId="22" xfId="0" applyNumberFormat="1" applyFont="1" applyFill="1" applyBorder="1"/>
    <xf numFmtId="0" fontId="11" fillId="3" borderId="35" xfId="0" applyFont="1" applyFill="1" applyBorder="1"/>
    <xf numFmtId="0" fontId="11" fillId="3" borderId="0" xfId="0" applyFont="1" applyFill="1" applyAlignment="1">
      <alignment horizontal="center"/>
    </xf>
    <xf numFmtId="0" fontId="11" fillId="3" borderId="0" xfId="0" applyFont="1" applyFill="1" applyAlignment="1">
      <alignment horizontal="left"/>
    </xf>
    <xf numFmtId="176" fontId="14" fillId="3" borderId="4" xfId="13" applyNumberFormat="1" applyFont="1" applyFill="1" applyBorder="1" applyAlignment="1">
      <alignment horizontal="center"/>
    </xf>
    <xf numFmtId="49" fontId="72" fillId="3" borderId="4" xfId="13" applyNumberFormat="1" applyFont="1" applyFill="1" applyBorder="1" applyAlignment="1">
      <alignment horizontal="center"/>
    </xf>
    <xf numFmtId="9" fontId="72" fillId="3" borderId="4" xfId="13" applyNumberFormat="1" applyFont="1" applyFill="1" applyBorder="1" applyAlignment="1">
      <alignment horizontal="center"/>
    </xf>
    <xf numFmtId="9" fontId="19" fillId="3" borderId="36" xfId="3" applyFont="1" applyFill="1" applyBorder="1"/>
    <xf numFmtId="0" fontId="26" fillId="3" borderId="37" xfId="0" applyFont="1" applyFill="1" applyBorder="1" applyAlignment="1">
      <alignment horizontal="right" indent="1"/>
    </xf>
    <xf numFmtId="0" fontId="31" fillId="4" borderId="52" xfId="0" applyFont="1" applyFill="1" applyBorder="1" applyAlignment="1">
      <alignment horizontal="center"/>
    </xf>
    <xf numFmtId="10" fontId="19" fillId="3" borderId="22" xfId="0" applyNumberFormat="1" applyFont="1" applyFill="1" applyBorder="1" applyAlignment="1">
      <alignment horizontal="center"/>
    </xf>
    <xf numFmtId="0" fontId="12" fillId="3" borderId="38" xfId="0" applyFont="1" applyFill="1" applyBorder="1"/>
    <xf numFmtId="186" fontId="12" fillId="3" borderId="1" xfId="0" applyNumberFormat="1" applyFont="1" applyFill="1" applyBorder="1" applyAlignment="1">
      <alignment horizontal="center"/>
    </xf>
    <xf numFmtId="17" fontId="12" fillId="3" borderId="43" xfId="0" applyNumberFormat="1" applyFont="1" applyFill="1" applyBorder="1" applyAlignment="1">
      <alignment horizontal="center"/>
    </xf>
    <xf numFmtId="0" fontId="19" fillId="0" borderId="22" xfId="0" applyFont="1" applyBorder="1" applyAlignment="1">
      <alignment horizontal="center"/>
    </xf>
    <xf numFmtId="9" fontId="12" fillId="3" borderId="37" xfId="0" applyNumberFormat="1" applyFont="1" applyFill="1" applyBorder="1" applyAlignment="1">
      <alignment horizontal="center"/>
    </xf>
    <xf numFmtId="0" fontId="21" fillId="3" borderId="4" xfId="0" applyFont="1" applyFill="1" applyBorder="1" applyAlignment="1">
      <alignment horizontal="left" indent="1"/>
    </xf>
    <xf numFmtId="189" fontId="12" fillId="3" borderId="0" xfId="0" applyNumberFormat="1" applyFont="1" applyFill="1" applyAlignment="1">
      <alignment horizontal="center"/>
    </xf>
    <xf numFmtId="164" fontId="12" fillId="3" borderId="96" xfId="0" applyNumberFormat="1" applyFont="1" applyFill="1" applyBorder="1"/>
    <xf numFmtId="164" fontId="14" fillId="0" borderId="97" xfId="0" applyNumberFormat="1" applyFont="1" applyBorder="1"/>
    <xf numFmtId="179" fontId="19" fillId="3" borderId="36" xfId="0" applyNumberFormat="1" applyFont="1" applyFill="1" applyBorder="1" applyAlignment="1">
      <alignment horizontal="center"/>
    </xf>
    <xf numFmtId="188" fontId="12" fillId="3" borderId="37" xfId="3" applyNumberFormat="1" applyFont="1" applyFill="1" applyBorder="1" applyAlignment="1">
      <alignment horizontal="left" indent="2"/>
    </xf>
    <xf numFmtId="0" fontId="20" fillId="3" borderId="21" xfId="0" applyFont="1" applyFill="1" applyBorder="1"/>
    <xf numFmtId="169" fontId="14" fillId="3" borderId="22" xfId="0" applyNumberFormat="1" applyFont="1" applyFill="1" applyBorder="1" applyAlignment="1">
      <alignment horizontal="left" indent="2"/>
    </xf>
    <xf numFmtId="169" fontId="14" fillId="3" borderId="43" xfId="0" applyNumberFormat="1" applyFont="1" applyFill="1" applyBorder="1" applyAlignment="1">
      <alignment horizontal="left" indent="2"/>
    </xf>
    <xf numFmtId="197" fontId="12" fillId="3" borderId="37" xfId="0" applyNumberFormat="1" applyFont="1" applyFill="1" applyBorder="1" applyAlignment="1">
      <alignment horizontal="left" indent="2"/>
    </xf>
    <xf numFmtId="0" fontId="25" fillId="3" borderId="1" xfId="0" applyFont="1" applyFill="1" applyBorder="1"/>
    <xf numFmtId="169" fontId="19" fillId="3" borderId="43" xfId="0" applyNumberFormat="1" applyFont="1" applyFill="1" applyBorder="1" applyAlignment="1">
      <alignment horizontal="right"/>
    </xf>
    <xf numFmtId="5" fontId="20" fillId="0" borderId="0" xfId="11" applyNumberFormat="1" applyFont="1" applyBorder="1" applyAlignment="1">
      <alignment horizontal="right" indent="2"/>
    </xf>
    <xf numFmtId="169" fontId="12" fillId="3" borderId="22" xfId="11" applyNumberFormat="1" applyFont="1" applyFill="1" applyBorder="1" applyAlignment="1" applyProtection="1">
      <alignment horizontal="right" vertical="center"/>
      <protection locked="0"/>
    </xf>
    <xf numFmtId="38" fontId="20" fillId="3" borderId="0" xfId="11" applyFont="1" applyFill="1" applyBorder="1"/>
    <xf numFmtId="38" fontId="16" fillId="3" borderId="0" xfId="11" applyFont="1" applyFill="1" applyAlignment="1">
      <alignment horizontal="left"/>
    </xf>
    <xf numFmtId="38" fontId="16" fillId="3" borderId="0" xfId="11" applyFont="1" applyFill="1" applyAlignment="1">
      <alignment horizontal="left" vertical="center"/>
    </xf>
    <xf numFmtId="38" fontId="42" fillId="3" borderId="0" xfId="11" applyFont="1" applyFill="1" applyAlignment="1">
      <alignment horizontal="left" vertical="center"/>
    </xf>
    <xf numFmtId="38" fontId="75" fillId="3" borderId="0" xfId="11" applyFont="1" applyFill="1"/>
    <xf numFmtId="38" fontId="12" fillId="0" borderId="0" xfId="11" applyFont="1"/>
    <xf numFmtId="38" fontId="16" fillId="0" borderId="0" xfId="11" applyFont="1" applyBorder="1" applyAlignment="1">
      <alignment horizontal="center"/>
    </xf>
    <xf numFmtId="38" fontId="20" fillId="0" borderId="2" xfId="11" applyFont="1" applyBorder="1" applyAlignment="1">
      <alignment horizontal="center"/>
    </xf>
    <xf numFmtId="5" fontId="20" fillId="3" borderId="0" xfId="11" applyNumberFormat="1" applyFont="1" applyFill="1" applyBorder="1" applyAlignment="1">
      <alignment horizontal="right" vertical="center" indent="2"/>
    </xf>
    <xf numFmtId="5" fontId="20" fillId="3" borderId="0" xfId="11" applyNumberFormat="1" applyFont="1" applyFill="1" applyBorder="1" applyAlignment="1">
      <alignment horizontal="right" indent="2"/>
    </xf>
    <xf numFmtId="5" fontId="20" fillId="0" borderId="37" xfId="11" applyNumberFormat="1" applyFont="1" applyBorder="1" applyAlignment="1">
      <alignment horizontal="right" indent="2"/>
    </xf>
    <xf numFmtId="38" fontId="12" fillId="3" borderId="5" xfId="11" applyFont="1" applyFill="1" applyBorder="1" applyAlignment="1">
      <alignment horizontal="center" vertical="center"/>
    </xf>
    <xf numFmtId="38" fontId="12" fillId="3" borderId="49" xfId="11" applyFont="1" applyFill="1" applyBorder="1" applyAlignment="1">
      <alignment horizontal="center" vertical="center"/>
    </xf>
    <xf numFmtId="184" fontId="12" fillId="3" borderId="0" xfId="11" applyNumberFormat="1" applyFont="1" applyFill="1" applyBorder="1" applyAlignment="1">
      <alignment horizontal="center" vertical="center"/>
    </xf>
    <xf numFmtId="14" fontId="12" fillId="3" borderId="0" xfId="0" applyNumberFormat="1" applyFont="1" applyFill="1" applyAlignment="1">
      <alignment horizontal="center"/>
    </xf>
    <xf numFmtId="0" fontId="12" fillId="3" borderId="2" xfId="0" applyFont="1" applyFill="1" applyBorder="1" applyAlignment="1">
      <alignment horizontal="center"/>
    </xf>
    <xf numFmtId="198" fontId="12" fillId="3" borderId="0" xfId="11" applyNumberFormat="1" applyFont="1" applyFill="1" applyBorder="1" applyAlignment="1">
      <alignment horizontal="left" vertical="center" indent="3"/>
    </xf>
    <xf numFmtId="179" fontId="12" fillId="3" borderId="22" xfId="0" applyNumberFormat="1" applyFont="1" applyFill="1" applyBorder="1"/>
    <xf numFmtId="38" fontId="20" fillId="3" borderId="2" xfId="11" applyFont="1" applyFill="1" applyBorder="1" applyAlignment="1">
      <alignment horizontal="left" vertical="center"/>
    </xf>
    <xf numFmtId="38" fontId="16" fillId="3" borderId="2" xfId="11" applyFont="1" applyFill="1" applyBorder="1" applyAlignment="1">
      <alignment horizontal="left" vertical="center"/>
    </xf>
    <xf numFmtId="0" fontId="12" fillId="3" borderId="0" xfId="13" applyFont="1" applyFill="1"/>
    <xf numFmtId="0" fontId="12" fillId="3" borderId="37" xfId="13" applyFont="1" applyFill="1" applyBorder="1"/>
    <xf numFmtId="0" fontId="17" fillId="4" borderId="21" xfId="13" applyFont="1" applyFill="1" applyBorder="1"/>
    <xf numFmtId="0" fontId="17" fillId="4" borderId="52" xfId="13" applyFont="1" applyFill="1" applyBorder="1"/>
    <xf numFmtId="0" fontId="17" fillId="4" borderId="22" xfId="13" applyFont="1" applyFill="1" applyBorder="1"/>
    <xf numFmtId="0" fontId="12" fillId="3" borderId="0" xfId="13" applyFont="1" applyFill="1" applyAlignment="1">
      <alignment horizontal="center"/>
    </xf>
    <xf numFmtId="0" fontId="17" fillId="4" borderId="0" xfId="13" applyFont="1" applyFill="1" applyAlignment="1">
      <alignment horizontal="center"/>
    </xf>
    <xf numFmtId="0" fontId="17" fillId="4" borderId="0" xfId="13" applyFont="1" applyFill="1"/>
    <xf numFmtId="0" fontId="17" fillId="4" borderId="37" xfId="13" applyFont="1" applyFill="1" applyBorder="1"/>
    <xf numFmtId="182" fontId="12" fillId="3" borderId="21" xfId="13" applyNumberFormat="1" applyFont="1" applyFill="1" applyBorder="1" applyAlignment="1">
      <alignment horizontal="left"/>
    </xf>
    <xf numFmtId="5" fontId="19" fillId="3" borderId="22" xfId="18" applyNumberFormat="1" applyFont="1" applyFill="1" applyBorder="1" applyAlignment="1">
      <alignment horizontal="right" indent="2"/>
    </xf>
    <xf numFmtId="0" fontId="12" fillId="3" borderId="37" xfId="13" applyFont="1" applyFill="1" applyBorder="1" applyAlignment="1">
      <alignment horizontal="center"/>
    </xf>
    <xf numFmtId="0" fontId="17" fillId="4" borderId="37" xfId="13" applyFont="1" applyFill="1" applyBorder="1" applyAlignment="1">
      <alignment horizontal="center"/>
    </xf>
    <xf numFmtId="0" fontId="12" fillId="3" borderId="35" xfId="13" quotePrefix="1" applyFont="1" applyFill="1" applyBorder="1" applyAlignment="1">
      <alignment horizontal="left"/>
    </xf>
    <xf numFmtId="5" fontId="12" fillId="3" borderId="36" xfId="18" applyNumberFormat="1" applyFont="1" applyFill="1" applyBorder="1" applyAlignment="1">
      <alignment horizontal="right" indent="2"/>
    </xf>
    <xf numFmtId="164" fontId="20" fillId="3" borderId="0" xfId="18" applyNumberFormat="1" applyFont="1" applyFill="1" applyBorder="1" applyAlignment="1"/>
    <xf numFmtId="0" fontId="12" fillId="3" borderId="21" xfId="13" quotePrefix="1" applyFont="1" applyFill="1" applyBorder="1" applyAlignment="1">
      <alignment horizontal="center"/>
    </xf>
    <xf numFmtId="3" fontId="12" fillId="3" borderId="52" xfId="13" applyNumberFormat="1" applyFont="1" applyFill="1" applyBorder="1" applyAlignment="1">
      <alignment horizontal="center"/>
    </xf>
    <xf numFmtId="10" fontId="12" fillId="3" borderId="52" xfId="14" applyNumberFormat="1" applyFont="1" applyFill="1" applyBorder="1" applyAlignment="1">
      <alignment horizontal="center"/>
    </xf>
    <xf numFmtId="44" fontId="12" fillId="3" borderId="52" xfId="15" applyFont="1" applyFill="1" applyBorder="1" applyAlignment="1"/>
    <xf numFmtId="44" fontId="12" fillId="3" borderId="52" xfId="13" applyNumberFormat="1" applyFont="1" applyFill="1" applyBorder="1"/>
    <xf numFmtId="10" fontId="12" fillId="3" borderId="22" xfId="14" applyNumberFormat="1" applyFont="1" applyFill="1" applyBorder="1" applyAlignment="1">
      <alignment horizontal="center"/>
    </xf>
    <xf numFmtId="0" fontId="12" fillId="3" borderId="32" xfId="13" applyFont="1" applyFill="1" applyBorder="1" applyAlignment="1">
      <alignment horizontal="left"/>
    </xf>
    <xf numFmtId="165" fontId="19" fillId="3" borderId="37" xfId="14" applyNumberFormat="1" applyFont="1" applyFill="1" applyBorder="1" applyAlignment="1">
      <alignment horizontal="center"/>
    </xf>
    <xf numFmtId="165" fontId="19" fillId="3" borderId="0" xfId="14" applyNumberFormat="1" applyFont="1" applyFill="1" applyBorder="1"/>
    <xf numFmtId="0" fontId="12" fillId="3" borderId="32" xfId="13" quotePrefix="1" applyFont="1" applyFill="1" applyBorder="1" applyAlignment="1">
      <alignment horizontal="center"/>
    </xf>
    <xf numFmtId="3" fontId="12" fillId="3" borderId="0" xfId="13" applyNumberFormat="1" applyFont="1" applyFill="1" applyAlignment="1">
      <alignment horizontal="center"/>
    </xf>
    <xf numFmtId="10" fontId="12" fillId="3" borderId="0" xfId="14" applyNumberFormat="1" applyFont="1" applyFill="1" applyBorder="1" applyAlignment="1">
      <alignment horizontal="center"/>
    </xf>
    <xf numFmtId="44" fontId="12" fillId="3" borderId="0" xfId="15" applyFont="1" applyFill="1" applyBorder="1" applyAlignment="1"/>
    <xf numFmtId="44" fontId="12" fillId="3" borderId="0" xfId="13" applyNumberFormat="1" applyFont="1" applyFill="1"/>
    <xf numFmtId="0" fontId="12" fillId="3" borderId="32" xfId="13" applyFont="1" applyFill="1" applyBorder="1"/>
    <xf numFmtId="181" fontId="12" fillId="3" borderId="0" xfId="13" applyNumberFormat="1" applyFont="1" applyFill="1"/>
    <xf numFmtId="181" fontId="12" fillId="3" borderId="32" xfId="13" applyNumberFormat="1" applyFont="1" applyFill="1" applyBorder="1" applyAlignment="1">
      <alignment horizontal="left"/>
    </xf>
    <xf numFmtId="5" fontId="12" fillId="3" borderId="37" xfId="13" applyNumberFormat="1" applyFont="1" applyFill="1" applyBorder="1" applyAlignment="1">
      <alignment horizontal="right" indent="2"/>
    </xf>
    <xf numFmtId="164" fontId="12" fillId="3" borderId="0" xfId="13" applyNumberFormat="1" applyFont="1" applyFill="1"/>
    <xf numFmtId="181" fontId="12" fillId="3" borderId="35" xfId="13" applyNumberFormat="1" applyFont="1" applyFill="1" applyBorder="1" applyAlignment="1">
      <alignment horizontal="left"/>
    </xf>
    <xf numFmtId="5" fontId="12" fillId="3" borderId="36" xfId="13" applyNumberFormat="1" applyFont="1" applyFill="1" applyBorder="1" applyAlignment="1">
      <alignment horizontal="right" indent="2"/>
    </xf>
    <xf numFmtId="200" fontId="12" fillId="3" borderId="0" xfId="13" applyNumberFormat="1" applyFont="1" applyFill="1" applyAlignment="1">
      <alignment horizontal="center"/>
    </xf>
    <xf numFmtId="0" fontId="12" fillId="3" borderId="21" xfId="13" applyFont="1" applyFill="1" applyBorder="1"/>
    <xf numFmtId="0" fontId="21" fillId="3" borderId="4" xfId="13" applyFont="1" applyFill="1" applyBorder="1" applyAlignment="1">
      <alignment horizontal="center"/>
    </xf>
    <xf numFmtId="176" fontId="12" fillId="3" borderId="37" xfId="13" applyNumberFormat="1" applyFont="1" applyFill="1" applyBorder="1" applyAlignment="1">
      <alignment horizontal="center"/>
    </xf>
    <xf numFmtId="0" fontId="12" fillId="3" borderId="35" xfId="13" applyFont="1" applyFill="1" applyBorder="1"/>
    <xf numFmtId="176" fontId="12" fillId="3" borderId="36" xfId="13" applyNumberFormat="1" applyFont="1" applyFill="1" applyBorder="1" applyAlignment="1">
      <alignment horizontal="center"/>
    </xf>
    <xf numFmtId="0" fontId="21" fillId="3" borderId="48" xfId="13" applyFont="1" applyFill="1" applyBorder="1" applyAlignment="1">
      <alignment horizontal="center"/>
    </xf>
    <xf numFmtId="0" fontId="12" fillId="3" borderId="35" xfId="13" applyFont="1" applyFill="1" applyBorder="1" applyAlignment="1">
      <alignment horizontal="left"/>
    </xf>
    <xf numFmtId="0" fontId="20" fillId="3" borderId="21" xfId="13" applyFont="1" applyFill="1" applyBorder="1" applyAlignment="1">
      <alignment horizontal="left"/>
    </xf>
    <xf numFmtId="9" fontId="20" fillId="3" borderId="4" xfId="17" applyFont="1" applyFill="1" applyBorder="1" applyAlignment="1">
      <alignment horizontal="center"/>
    </xf>
    <xf numFmtId="179" fontId="20" fillId="3" borderId="4" xfId="13" applyNumberFormat="1" applyFont="1" applyFill="1" applyBorder="1" applyAlignment="1">
      <alignment horizontal="center"/>
    </xf>
    <xf numFmtId="10" fontId="12" fillId="3" borderId="37" xfId="14" applyNumberFormat="1" applyFont="1" applyFill="1" applyBorder="1" applyAlignment="1"/>
    <xf numFmtId="0" fontId="12" fillId="3" borderId="44" xfId="13" quotePrefix="1" applyFont="1" applyFill="1" applyBorder="1" applyAlignment="1">
      <alignment horizontal="center"/>
    </xf>
    <xf numFmtId="3" fontId="12" fillId="3" borderId="45" xfId="13" applyNumberFormat="1" applyFont="1" applyFill="1" applyBorder="1" applyAlignment="1">
      <alignment horizontal="center"/>
    </xf>
    <xf numFmtId="10" fontId="12" fillId="3" borderId="45" xfId="14" applyNumberFormat="1" applyFont="1" applyFill="1" applyBorder="1" applyAlignment="1">
      <alignment horizontal="center"/>
    </xf>
    <xf numFmtId="44" fontId="12" fillId="3" borderId="45" xfId="15" applyFont="1" applyFill="1" applyBorder="1" applyAlignment="1"/>
    <xf numFmtId="44" fontId="12" fillId="3" borderId="45" xfId="13" applyNumberFormat="1" applyFont="1" applyFill="1" applyBorder="1"/>
    <xf numFmtId="10" fontId="12" fillId="3" borderId="46" xfId="14" applyNumberFormat="1" applyFont="1" applyFill="1" applyBorder="1" applyAlignment="1"/>
    <xf numFmtId="0" fontId="14" fillId="3" borderId="91" xfId="13" applyFont="1" applyFill="1" applyBorder="1" applyAlignment="1">
      <alignment horizontal="left"/>
    </xf>
    <xf numFmtId="0" fontId="14" fillId="3" borderId="92" xfId="13" applyFont="1" applyFill="1" applyBorder="1" applyAlignment="1">
      <alignment horizontal="center"/>
    </xf>
    <xf numFmtId="3" fontId="14" fillId="3" borderId="92" xfId="13" applyNumberFormat="1" applyFont="1" applyFill="1" applyBorder="1" applyAlignment="1">
      <alignment horizontal="center"/>
    </xf>
    <xf numFmtId="9" fontId="14" fillId="3" borderId="92" xfId="3" applyFont="1" applyFill="1" applyBorder="1" applyAlignment="1">
      <alignment horizontal="center"/>
    </xf>
    <xf numFmtId="2" fontId="14" fillId="3" borderId="92" xfId="13" applyNumberFormat="1" applyFont="1" applyFill="1" applyBorder="1" applyAlignment="1">
      <alignment horizontal="center"/>
    </xf>
    <xf numFmtId="0" fontId="14" fillId="3" borderId="93" xfId="13" applyFont="1" applyFill="1" applyBorder="1"/>
    <xf numFmtId="0" fontId="76" fillId="3" borderId="0" xfId="16" applyFont="1" applyFill="1" applyAlignment="1"/>
    <xf numFmtId="0" fontId="14" fillId="3" borderId="0" xfId="13" applyFont="1" applyFill="1" applyAlignment="1">
      <alignment horizontal="center"/>
    </xf>
    <xf numFmtId="0" fontId="14" fillId="3" borderId="37" xfId="13" applyFont="1" applyFill="1" applyBorder="1" applyAlignment="1">
      <alignment horizontal="center"/>
    </xf>
    <xf numFmtId="0" fontId="16" fillId="3" borderId="0" xfId="13" applyFont="1" applyFill="1" applyAlignment="1">
      <alignment horizontal="center"/>
    </xf>
    <xf numFmtId="169" fontId="12" fillId="3" borderId="0" xfId="18" applyNumberFormat="1" applyFont="1" applyFill="1" applyBorder="1" applyAlignment="1">
      <alignment horizontal="center"/>
    </xf>
    <xf numFmtId="169" fontId="12" fillId="3" borderId="37" xfId="18" applyNumberFormat="1" applyFont="1" applyFill="1" applyBorder="1" applyAlignment="1">
      <alignment horizontal="center"/>
    </xf>
    <xf numFmtId="9" fontId="12" fillId="3" borderId="0" xfId="13" applyNumberFormat="1" applyFont="1" applyFill="1" applyAlignment="1">
      <alignment horizontal="center"/>
    </xf>
    <xf numFmtId="0" fontId="12" fillId="3" borderId="2" xfId="13" applyFont="1" applyFill="1" applyBorder="1" applyAlignment="1">
      <alignment horizontal="center"/>
    </xf>
    <xf numFmtId="169" fontId="12" fillId="3" borderId="2" xfId="18" applyNumberFormat="1" applyFont="1" applyFill="1" applyBorder="1" applyAlignment="1">
      <alignment horizontal="center"/>
    </xf>
    <xf numFmtId="169" fontId="12" fillId="3" borderId="36" xfId="18" applyNumberFormat="1" applyFont="1" applyFill="1" applyBorder="1" applyAlignment="1">
      <alignment horizontal="center"/>
    </xf>
    <xf numFmtId="44" fontId="12" fillId="3" borderId="0" xfId="18" applyFont="1" applyFill="1" applyAlignment="1">
      <alignment horizontal="center"/>
    </xf>
    <xf numFmtId="0" fontId="20" fillId="3" borderId="0" xfId="13" applyFont="1" applyFill="1"/>
    <xf numFmtId="0" fontId="11" fillId="3" borderId="0" xfId="13" applyFont="1" applyFill="1" applyAlignment="1">
      <alignment horizontal="center"/>
    </xf>
    <xf numFmtId="0" fontId="16" fillId="3" borderId="0" xfId="13" applyFont="1" applyFill="1"/>
    <xf numFmtId="0" fontId="11" fillId="3" borderId="37" xfId="13" applyFont="1" applyFill="1" applyBorder="1" applyAlignment="1">
      <alignment horizontal="center"/>
    </xf>
    <xf numFmtId="5" fontId="12" fillId="3" borderId="0" xfId="13" applyNumberFormat="1" applyFont="1" applyFill="1" applyAlignment="1">
      <alignment horizontal="center"/>
    </xf>
    <xf numFmtId="5" fontId="12" fillId="3" borderId="37" xfId="13" applyNumberFormat="1" applyFont="1" applyFill="1" applyBorder="1" applyAlignment="1">
      <alignment horizontal="center"/>
    </xf>
    <xf numFmtId="5" fontId="12" fillId="3" borderId="2" xfId="13" applyNumberFormat="1" applyFont="1" applyFill="1" applyBorder="1" applyAlignment="1">
      <alignment horizontal="center"/>
    </xf>
    <xf numFmtId="5" fontId="12" fillId="3" borderId="36" xfId="13" applyNumberFormat="1" applyFont="1" applyFill="1" applyBorder="1" applyAlignment="1">
      <alignment horizontal="center"/>
    </xf>
    <xf numFmtId="10" fontId="12" fillId="3" borderId="0" xfId="3" applyNumberFormat="1" applyFont="1" applyFill="1" applyAlignment="1">
      <alignment horizontal="center"/>
    </xf>
    <xf numFmtId="169" fontId="52" fillId="3" borderId="0" xfId="13" applyNumberFormat="1" applyFont="1" applyFill="1" applyAlignment="1">
      <alignment horizontal="center"/>
    </xf>
    <xf numFmtId="5" fontId="52" fillId="3" borderId="0" xfId="13" applyNumberFormat="1" applyFont="1" applyFill="1" applyAlignment="1">
      <alignment horizontal="center"/>
    </xf>
    <xf numFmtId="169" fontId="14" fillId="3" borderId="2" xfId="18" applyNumberFormat="1" applyFont="1" applyFill="1" applyBorder="1" applyAlignment="1">
      <alignment horizontal="center"/>
    </xf>
    <xf numFmtId="169" fontId="12" fillId="3" borderId="0" xfId="13" applyNumberFormat="1" applyFont="1" applyFill="1" applyAlignment="1">
      <alignment horizontal="center"/>
    </xf>
    <xf numFmtId="0" fontId="27" fillId="3" borderId="52" xfId="13" applyFont="1" applyFill="1" applyBorder="1" applyAlignment="1">
      <alignment horizontal="center"/>
    </xf>
    <xf numFmtId="0" fontId="12" fillId="3" borderId="52" xfId="13" applyFont="1" applyFill="1" applyBorder="1" applyAlignment="1">
      <alignment horizontal="center"/>
    </xf>
    <xf numFmtId="0" fontId="12" fillId="3" borderId="22" xfId="13" applyFont="1" applyFill="1" applyBorder="1" applyAlignment="1">
      <alignment horizontal="center"/>
    </xf>
    <xf numFmtId="201" fontId="14" fillId="3" borderId="0" xfId="3" applyNumberFormat="1" applyFont="1" applyFill="1" applyBorder="1" applyAlignment="1">
      <alignment horizontal="center"/>
    </xf>
    <xf numFmtId="201" fontId="14" fillId="3" borderId="37" xfId="3" applyNumberFormat="1" applyFont="1" applyFill="1" applyBorder="1" applyAlignment="1">
      <alignment horizontal="center"/>
    </xf>
    <xf numFmtId="9" fontId="12" fillId="3" borderId="32" xfId="17" applyFont="1" applyFill="1" applyBorder="1" applyAlignment="1">
      <alignment horizontal="center"/>
    </xf>
    <xf numFmtId="9" fontId="12" fillId="3" borderId="35" xfId="13" applyNumberFormat="1" applyFont="1" applyFill="1" applyBorder="1" applyAlignment="1">
      <alignment horizontal="center"/>
    </xf>
    <xf numFmtId="0" fontId="12" fillId="3" borderId="35" xfId="13" applyFont="1" applyFill="1" applyBorder="1" applyAlignment="1">
      <alignment horizontal="right" indent="1"/>
    </xf>
    <xf numFmtId="0" fontId="77" fillId="3" borderId="21" xfId="13" applyFont="1" applyFill="1" applyBorder="1" applyAlignment="1">
      <alignment horizontal="right"/>
    </xf>
    <xf numFmtId="0" fontId="11" fillId="3" borderId="52" xfId="13" applyFont="1" applyFill="1" applyBorder="1" applyAlignment="1">
      <alignment horizontal="center"/>
    </xf>
    <xf numFmtId="0" fontId="77" fillId="3" borderId="52" xfId="13" applyFont="1" applyFill="1" applyBorder="1" applyAlignment="1">
      <alignment horizontal="right"/>
    </xf>
    <xf numFmtId="0" fontId="15" fillId="3" borderId="52" xfId="13" applyFont="1" applyFill="1" applyBorder="1" applyAlignment="1">
      <alignment horizontal="center"/>
    </xf>
    <xf numFmtId="0" fontId="15" fillId="3" borderId="22" xfId="13" applyFont="1" applyFill="1" applyBorder="1" applyAlignment="1">
      <alignment horizontal="center"/>
    </xf>
    <xf numFmtId="0" fontId="11" fillId="3" borderId="32" xfId="13" applyFont="1" applyFill="1" applyBorder="1" applyAlignment="1">
      <alignment horizontal="center"/>
    </xf>
    <xf numFmtId="0" fontId="12" fillId="3" borderId="32" xfId="13" applyFont="1" applyFill="1" applyBorder="1" applyAlignment="1">
      <alignment horizontal="right" indent="1"/>
    </xf>
    <xf numFmtId="0" fontId="12" fillId="3" borderId="0" xfId="13" quotePrefix="1" applyFont="1" applyFill="1" applyAlignment="1">
      <alignment horizontal="center"/>
    </xf>
    <xf numFmtId="165" fontId="21" fillId="3" borderId="4" xfId="13" applyNumberFormat="1" applyFont="1" applyFill="1" applyBorder="1" applyAlignment="1">
      <alignment horizontal="center"/>
    </xf>
    <xf numFmtId="0" fontId="12" fillId="3" borderId="38" xfId="13" applyFont="1" applyFill="1" applyBorder="1"/>
    <xf numFmtId="0" fontId="27" fillId="3" borderId="21" xfId="13" applyFont="1" applyFill="1" applyBorder="1" applyAlignment="1">
      <alignment horizontal="center"/>
    </xf>
    <xf numFmtId="169" fontId="14" fillId="3" borderId="52" xfId="13" applyNumberFormat="1" applyFont="1" applyFill="1" applyBorder="1" applyAlignment="1">
      <alignment horizontal="left" indent="1"/>
    </xf>
    <xf numFmtId="0" fontId="26" fillId="2" borderId="0" xfId="0" applyFont="1" applyFill="1" applyAlignment="1">
      <alignment horizontal="center"/>
    </xf>
    <xf numFmtId="10" fontId="24" fillId="3" borderId="21" xfId="3" applyNumberFormat="1" applyFont="1" applyFill="1" applyBorder="1" applyAlignment="1">
      <alignment horizontal="center"/>
    </xf>
    <xf numFmtId="10" fontId="24" fillId="3" borderId="35" xfId="7" applyNumberFormat="1" applyFont="1" applyFill="1" applyBorder="1" applyAlignment="1">
      <alignment horizontal="center"/>
    </xf>
    <xf numFmtId="0" fontId="79" fillId="3" borderId="0" xfId="0" applyFont="1" applyFill="1" applyAlignment="1">
      <alignment horizontal="center"/>
    </xf>
    <xf numFmtId="0" fontId="12" fillId="3" borderId="52" xfId="0" applyFont="1" applyFill="1" applyBorder="1" applyAlignment="1">
      <alignment horizontal="center"/>
    </xf>
    <xf numFmtId="0" fontId="11" fillId="3" borderId="21" xfId="0" applyFont="1" applyFill="1" applyBorder="1"/>
    <xf numFmtId="0" fontId="78" fillId="4" borderId="38" xfId="0" applyFont="1" applyFill="1" applyBorder="1" applyAlignment="1">
      <alignment horizontal="center"/>
    </xf>
    <xf numFmtId="0" fontId="78" fillId="4" borderId="1" xfId="0" applyFont="1" applyFill="1" applyBorder="1" applyAlignment="1">
      <alignment horizontal="center"/>
    </xf>
    <xf numFmtId="0" fontId="78" fillId="4" borderId="43" xfId="0" applyFont="1" applyFill="1" applyBorder="1" applyAlignment="1">
      <alignment horizontal="center"/>
    </xf>
    <xf numFmtId="0" fontId="25" fillId="3" borderId="21" xfId="0" applyFont="1" applyFill="1" applyBorder="1" applyAlignment="1">
      <alignment horizontal="center"/>
    </xf>
    <xf numFmtId="186" fontId="25" fillId="3" borderId="52" xfId="0" applyNumberFormat="1" applyFont="1" applyFill="1" applyBorder="1" applyAlignment="1">
      <alignment horizontal="center"/>
    </xf>
    <xf numFmtId="186" fontId="25" fillId="3" borderId="22" xfId="0" applyNumberFormat="1" applyFont="1" applyFill="1" applyBorder="1" applyAlignment="1">
      <alignment horizontal="center"/>
    </xf>
    <xf numFmtId="0" fontId="25" fillId="3" borderId="32" xfId="0" applyFont="1" applyFill="1" applyBorder="1" applyAlignment="1">
      <alignment horizontal="center"/>
    </xf>
    <xf numFmtId="186" fontId="25" fillId="3" borderId="0" xfId="0" applyNumberFormat="1" applyFont="1" applyFill="1" applyAlignment="1">
      <alignment horizontal="center"/>
    </xf>
    <xf numFmtId="186" fontId="25" fillId="3" borderId="37" xfId="0" applyNumberFormat="1" applyFont="1" applyFill="1" applyBorder="1" applyAlignment="1">
      <alignment horizontal="center"/>
    </xf>
    <xf numFmtId="0" fontId="25" fillId="3" borderId="35" xfId="0" applyFont="1" applyFill="1" applyBorder="1" applyAlignment="1">
      <alignment horizontal="center"/>
    </xf>
    <xf numFmtId="186" fontId="25" fillId="3" borderId="2" xfId="0" applyNumberFormat="1" applyFont="1" applyFill="1" applyBorder="1" applyAlignment="1">
      <alignment horizontal="center"/>
    </xf>
    <xf numFmtId="186" fontId="25" fillId="3" borderId="36" xfId="0" applyNumberFormat="1" applyFont="1" applyFill="1" applyBorder="1" applyAlignment="1">
      <alignment horizontal="center"/>
    </xf>
    <xf numFmtId="175" fontId="16" fillId="3" borderId="0" xfId="0" applyNumberFormat="1" applyFont="1" applyFill="1" applyAlignment="1">
      <alignment horizontal="center"/>
    </xf>
    <xf numFmtId="0" fontId="20" fillId="3" borderId="32" xfId="0" applyFont="1" applyFill="1" applyBorder="1" applyAlignment="1">
      <alignment wrapText="1"/>
    </xf>
    <xf numFmtId="0" fontId="80" fillId="3" borderId="0" xfId="0" applyFont="1" applyFill="1"/>
    <xf numFmtId="197" fontId="12" fillId="3" borderId="37" xfId="0" applyNumberFormat="1" applyFont="1" applyFill="1" applyBorder="1" applyAlignment="1">
      <alignment horizontal="right" indent="2"/>
    </xf>
    <xf numFmtId="197" fontId="12" fillId="3" borderId="0" xfId="0" applyNumberFormat="1" applyFont="1" applyFill="1" applyAlignment="1">
      <alignment horizontal="right" indent="2"/>
    </xf>
    <xf numFmtId="169" fontId="12" fillId="3" borderId="2" xfId="0" applyNumberFormat="1" applyFont="1" applyFill="1" applyBorder="1" applyAlignment="1">
      <alignment horizontal="right" indent="2"/>
    </xf>
    <xf numFmtId="169" fontId="12" fillId="3" borderId="0" xfId="0" applyNumberFormat="1" applyFont="1" applyFill="1" applyAlignment="1">
      <alignment horizontal="right" indent="2"/>
    </xf>
    <xf numFmtId="0" fontId="15" fillId="3" borderId="0" xfId="0" applyFont="1" applyFill="1"/>
    <xf numFmtId="0" fontId="14" fillId="3" borderId="38" xfId="0" applyFont="1" applyFill="1" applyBorder="1"/>
    <xf numFmtId="169" fontId="19" fillId="3" borderId="22" xfId="0" applyNumberFormat="1" applyFont="1" applyFill="1" applyBorder="1" applyAlignment="1">
      <alignment horizontal="center"/>
    </xf>
    <xf numFmtId="0" fontId="30" fillId="3" borderId="38" xfId="0" applyFont="1" applyFill="1" applyBorder="1"/>
    <xf numFmtId="0" fontId="19" fillId="3" borderId="0" xfId="0" applyFont="1" applyFill="1" applyAlignment="1">
      <alignment horizontal="left" indent="1"/>
    </xf>
    <xf numFmtId="0" fontId="13" fillId="3" borderId="0" xfId="0" applyFont="1" applyFill="1" applyAlignment="1">
      <alignment horizontal="left" indent="1"/>
    </xf>
    <xf numFmtId="5" fontId="20" fillId="3" borderId="0" xfId="0" applyNumberFormat="1" applyFont="1" applyFill="1" applyAlignment="1">
      <alignment horizontal="right" indent="1"/>
    </xf>
    <xf numFmtId="5" fontId="20" fillId="3" borderId="2" xfId="0" applyNumberFormat="1" applyFont="1" applyFill="1" applyBorder="1" applyAlignment="1">
      <alignment horizontal="right" indent="1"/>
    </xf>
    <xf numFmtId="5" fontId="30" fillId="3" borderId="0" xfId="0" applyNumberFormat="1" applyFont="1" applyFill="1" applyAlignment="1">
      <alignment horizontal="right" indent="1"/>
    </xf>
    <xf numFmtId="0" fontId="20" fillId="3" borderId="0" xfId="0" applyFont="1" applyFill="1" applyAlignment="1">
      <alignment horizontal="right" indent="1"/>
    </xf>
    <xf numFmtId="0" fontId="12" fillId="3" borderId="45" xfId="0" applyFont="1" applyFill="1" applyBorder="1" applyAlignment="1">
      <alignment horizontal="right" indent="1"/>
    </xf>
    <xf numFmtId="5" fontId="14" fillId="3" borderId="0" xfId="0" applyNumberFormat="1" applyFont="1" applyFill="1" applyAlignment="1">
      <alignment horizontal="right" indent="1"/>
    </xf>
    <xf numFmtId="0" fontId="12" fillId="3" borderId="2" xfId="0" applyFont="1" applyFill="1" applyBorder="1" applyAlignment="1">
      <alignment horizontal="right" indent="1"/>
    </xf>
    <xf numFmtId="5" fontId="14" fillId="3" borderId="22" xfId="0" applyNumberFormat="1" applyFont="1" applyFill="1" applyBorder="1"/>
    <xf numFmtId="0" fontId="12" fillId="3" borderId="49" xfId="0" applyFont="1" applyFill="1" applyBorder="1" applyAlignment="1">
      <alignment horizontal="left"/>
    </xf>
    <xf numFmtId="0" fontId="12" fillId="3" borderId="49" xfId="0" applyFont="1" applyFill="1" applyBorder="1" applyAlignment="1">
      <alignment horizontal="right"/>
    </xf>
    <xf numFmtId="0" fontId="11" fillId="3" borderId="51" xfId="0" applyFont="1" applyFill="1" applyBorder="1"/>
    <xf numFmtId="0" fontId="12" fillId="3" borderId="51" xfId="0" applyFont="1" applyFill="1" applyBorder="1" applyAlignment="1">
      <alignment horizontal="right" indent="1"/>
    </xf>
    <xf numFmtId="0" fontId="22" fillId="3" borderId="0" xfId="0" applyFont="1" applyFill="1" applyAlignment="1">
      <alignment horizontal="left"/>
    </xf>
    <xf numFmtId="0" fontId="52" fillId="3" borderId="22" xfId="0" applyFont="1" applyFill="1" applyBorder="1" applyAlignment="1">
      <alignment horizontal="left" indent="1"/>
    </xf>
    <xf numFmtId="0" fontId="52" fillId="3" borderId="37" xfId="0" applyFont="1" applyFill="1" applyBorder="1" applyAlignment="1">
      <alignment horizontal="left" indent="1"/>
    </xf>
    <xf numFmtId="0" fontId="52" fillId="3" borderId="36" xfId="0" applyFont="1" applyFill="1" applyBorder="1" applyAlignment="1">
      <alignment horizontal="left" indent="1"/>
    </xf>
    <xf numFmtId="5" fontId="52" fillId="3" borderId="52" xfId="0" applyNumberFormat="1" applyFont="1" applyFill="1" applyBorder="1" applyAlignment="1">
      <alignment horizontal="center"/>
    </xf>
    <xf numFmtId="5" fontId="52" fillId="3" borderId="2" xfId="0" applyNumberFormat="1" applyFont="1" applyFill="1" applyBorder="1" applyAlignment="1">
      <alignment horizontal="center"/>
    </xf>
    <xf numFmtId="0" fontId="52" fillId="3" borderId="32" xfId="0" applyFont="1" applyFill="1" applyBorder="1"/>
    <xf numFmtId="0" fontId="0" fillId="0" borderId="2" xfId="0" applyBorder="1"/>
    <xf numFmtId="0" fontId="32" fillId="3" borderId="35" xfId="0" applyFont="1" applyFill="1" applyBorder="1" applyAlignment="1">
      <alignment horizontal="left"/>
    </xf>
    <xf numFmtId="38" fontId="43" fillId="0" borderId="0" xfId="11" applyFont="1" applyAlignment="1">
      <alignment horizontal="center"/>
    </xf>
    <xf numFmtId="37" fontId="47" fillId="3" borderId="0" xfId="11" applyNumberFormat="1" applyFont="1" applyFill="1" applyAlignment="1" applyProtection="1">
      <protection locked="0"/>
    </xf>
    <xf numFmtId="37" fontId="47" fillId="3" borderId="0" xfId="11" applyNumberFormat="1" applyFont="1" applyFill="1" applyAlignment="1"/>
    <xf numFmtId="38" fontId="15" fillId="3" borderId="0" xfId="11" applyFont="1" applyFill="1" applyBorder="1" applyAlignment="1">
      <alignment vertical="center"/>
    </xf>
    <xf numFmtId="38" fontId="16" fillId="0" borderId="52" xfId="11" applyFont="1" applyBorder="1" applyAlignment="1">
      <alignment horizontal="center"/>
    </xf>
    <xf numFmtId="9" fontId="2" fillId="0" borderId="4" xfId="0" applyNumberFormat="1" applyFont="1" applyBorder="1" applyAlignment="1">
      <alignment horizontal="center"/>
    </xf>
    <xf numFmtId="38" fontId="37" fillId="0" borderId="21" xfId="11" applyFont="1" applyBorder="1" applyAlignment="1">
      <alignment horizontal="center"/>
    </xf>
    <xf numFmtId="38" fontId="37" fillId="0" borderId="52" xfId="11" applyFont="1" applyBorder="1" applyAlignment="1">
      <alignment horizontal="center"/>
    </xf>
    <xf numFmtId="38" fontId="37" fillId="0" borderId="22" xfId="11" applyFont="1" applyBorder="1" applyAlignment="1">
      <alignment horizontal="center"/>
    </xf>
    <xf numFmtId="38" fontId="19" fillId="0" borderId="2" xfId="11" applyFont="1" applyBorder="1" applyAlignment="1" applyProtection="1">
      <alignment horizontal="center"/>
      <protection locked="0"/>
    </xf>
    <xf numFmtId="38" fontId="20" fillId="0" borderId="36" xfId="11" applyFont="1" applyBorder="1" applyAlignment="1">
      <alignment horizontal="center"/>
    </xf>
    <xf numFmtId="38" fontId="19" fillId="0" borderId="32" xfId="11" applyFont="1" applyBorder="1" applyProtection="1">
      <protection locked="0"/>
    </xf>
    <xf numFmtId="0" fontId="83" fillId="0" borderId="4" xfId="0" applyFont="1" applyBorder="1" applyAlignment="1" applyProtection="1">
      <alignment horizontal="center"/>
      <protection locked="0"/>
    </xf>
    <xf numFmtId="0" fontId="84" fillId="0" borderId="0" xfId="0" applyFont="1" applyAlignment="1" applyProtection="1">
      <alignment horizontal="center" vertical="center"/>
      <protection locked="0"/>
    </xf>
    <xf numFmtId="5" fontId="84" fillId="0" borderId="37" xfId="0" applyNumberFormat="1" applyFont="1" applyBorder="1" applyAlignment="1" applyProtection="1">
      <alignment horizontal="center"/>
      <protection locked="0"/>
    </xf>
    <xf numFmtId="38" fontId="25" fillId="3" borderId="0" xfId="11" applyFont="1" applyFill="1" applyBorder="1" applyAlignment="1">
      <alignment vertical="center"/>
    </xf>
    <xf numFmtId="38" fontId="20" fillId="3" borderId="21" xfId="11" applyFont="1" applyFill="1" applyBorder="1" applyAlignment="1"/>
    <xf numFmtId="38" fontId="42" fillId="3" borderId="32" xfId="11" applyFont="1" applyFill="1" applyBorder="1" applyAlignment="1">
      <alignment horizontal="left" vertical="center"/>
    </xf>
    <xf numFmtId="38" fontId="21" fillId="0" borderId="4" xfId="11" applyFont="1" applyBorder="1" applyAlignment="1" applyProtection="1">
      <alignment horizontal="center"/>
      <protection locked="0"/>
    </xf>
    <xf numFmtId="38" fontId="25" fillId="0" borderId="0" xfId="11" applyFont="1" applyBorder="1"/>
    <xf numFmtId="38" fontId="20" fillId="0" borderId="35" xfId="11" applyFont="1" applyBorder="1" applyAlignment="1"/>
    <xf numFmtId="38" fontId="19" fillId="0" borderId="35" xfId="11" applyFont="1" applyBorder="1" applyProtection="1">
      <protection locked="0"/>
    </xf>
    <xf numFmtId="0" fontId="84" fillId="0" borderId="2" xfId="0" applyFont="1" applyBorder="1" applyAlignment="1" applyProtection="1">
      <alignment horizontal="center" vertical="center"/>
      <protection locked="0"/>
    </xf>
    <xf numFmtId="5" fontId="84" fillId="0" borderId="36" xfId="0" applyNumberFormat="1" applyFont="1" applyBorder="1" applyAlignment="1" applyProtection="1">
      <alignment horizontal="center"/>
      <protection locked="0"/>
    </xf>
    <xf numFmtId="202" fontId="12" fillId="0" borderId="52" xfId="11" applyNumberFormat="1" applyFont="1" applyBorder="1"/>
    <xf numFmtId="38" fontId="20" fillId="0" borderId="0" xfId="11" applyFont="1" applyBorder="1" applyAlignment="1">
      <alignment horizontal="center"/>
    </xf>
    <xf numFmtId="5" fontId="20" fillId="0" borderId="22" xfId="11" applyNumberFormat="1" applyFont="1" applyBorder="1" applyAlignment="1">
      <alignment horizontal="right" indent="1"/>
    </xf>
    <xf numFmtId="202" fontId="12" fillId="0" borderId="2" xfId="11" applyNumberFormat="1" applyFont="1" applyBorder="1"/>
    <xf numFmtId="38" fontId="12" fillId="0" borderId="2" xfId="11" applyFont="1" applyBorder="1" applyAlignment="1">
      <alignment horizontal="center"/>
    </xf>
    <xf numFmtId="5" fontId="20" fillId="0" borderId="37" xfId="11" applyNumberFormat="1" applyFont="1" applyBorder="1" applyAlignment="1">
      <alignment horizontal="right" indent="1"/>
    </xf>
    <xf numFmtId="5" fontId="30" fillId="3" borderId="37" xfId="11" applyNumberFormat="1" applyFont="1" applyFill="1" applyBorder="1" applyAlignment="1">
      <alignment horizontal="right" indent="1"/>
    </xf>
    <xf numFmtId="5" fontId="20" fillId="0" borderId="36" xfId="11" applyNumberFormat="1" applyFont="1" applyBorder="1" applyAlignment="1">
      <alignment horizontal="right" indent="1"/>
    </xf>
    <xf numFmtId="38" fontId="16" fillId="3" borderId="2" xfId="11" applyFont="1" applyFill="1" applyBorder="1" applyAlignment="1">
      <alignment horizontal="center"/>
    </xf>
    <xf numFmtId="5" fontId="30" fillId="0" borderId="37" xfId="11" applyNumberFormat="1" applyFont="1" applyBorder="1" applyAlignment="1">
      <alignment horizontal="right" indent="1"/>
    </xf>
    <xf numFmtId="5" fontId="30" fillId="0" borderId="22" xfId="11" applyNumberFormat="1" applyFont="1" applyBorder="1" applyAlignment="1">
      <alignment horizontal="right" indent="1"/>
    </xf>
    <xf numFmtId="5" fontId="14" fillId="0" borderId="22" xfId="11" applyNumberFormat="1" applyFont="1" applyBorder="1"/>
    <xf numFmtId="5" fontId="37" fillId="0" borderId="22" xfId="11" applyNumberFormat="1" applyFont="1" applyBorder="1" applyAlignment="1">
      <alignment horizontal="right" indent="1"/>
    </xf>
    <xf numFmtId="38" fontId="12" fillId="0" borderId="2" xfId="11" applyFont="1" applyBorder="1"/>
    <xf numFmtId="5" fontId="14" fillId="3" borderId="36" xfId="11" applyNumberFormat="1" applyFont="1" applyFill="1" applyBorder="1"/>
    <xf numFmtId="14" fontId="14" fillId="3" borderId="36" xfId="0" applyNumberFormat="1" applyFont="1" applyFill="1" applyBorder="1" applyAlignment="1">
      <alignment horizontal="center"/>
    </xf>
    <xf numFmtId="39" fontId="40" fillId="6" borderId="0" xfId="11" applyNumberFormat="1" applyFont="1" applyFill="1" applyBorder="1" applyAlignment="1">
      <alignment horizontal="left" vertical="center"/>
    </xf>
    <xf numFmtId="39" fontId="20" fillId="6" borderId="0" xfId="11" applyNumberFormat="1" applyFont="1" applyFill="1" applyBorder="1" applyAlignment="1">
      <alignment horizontal="left" vertical="center"/>
    </xf>
    <xf numFmtId="38" fontId="26" fillId="3" borderId="0" xfId="11" applyFont="1" applyFill="1" applyAlignment="1">
      <alignment horizontal="center" vertical="center"/>
    </xf>
    <xf numFmtId="38" fontId="20" fillId="3" borderId="2" xfId="11" applyFont="1" applyFill="1" applyBorder="1" applyAlignment="1">
      <alignment horizontal="center" vertical="center"/>
    </xf>
    <xf numFmtId="38" fontId="32" fillId="5" borderId="4" xfId="11" applyFont="1" applyFill="1" applyBorder="1" applyAlignment="1">
      <alignment horizontal="center" vertical="center"/>
    </xf>
    <xf numFmtId="38" fontId="26" fillId="3" borderId="22" xfId="11" applyFont="1" applyFill="1" applyBorder="1" applyAlignment="1">
      <alignment horizontal="center" vertical="center"/>
    </xf>
    <xf numFmtId="38" fontId="12" fillId="3" borderId="37" xfId="11" applyFont="1" applyFill="1" applyBorder="1" applyAlignment="1" applyProtection="1">
      <alignment horizontal="center" vertical="center"/>
    </xf>
    <xf numFmtId="199" fontId="20" fillId="3" borderId="0" xfId="11" applyNumberFormat="1" applyFont="1" applyFill="1" applyBorder="1" applyAlignment="1">
      <alignment horizontal="center" vertical="center"/>
    </xf>
    <xf numFmtId="5" fontId="19" fillId="3" borderId="0" xfId="11" applyNumberFormat="1" applyFont="1" applyFill="1" applyBorder="1" applyAlignment="1" applyProtection="1">
      <alignment horizontal="right" vertical="center" indent="2"/>
      <protection locked="0"/>
    </xf>
    <xf numFmtId="5" fontId="20" fillId="0" borderId="5" xfId="11" applyNumberFormat="1" applyFont="1" applyBorder="1" applyAlignment="1">
      <alignment horizontal="right" indent="2"/>
    </xf>
    <xf numFmtId="5" fontId="20" fillId="0" borderId="32" xfId="11" applyNumberFormat="1" applyFont="1" applyBorder="1" applyAlignment="1">
      <alignment horizontal="right" indent="2"/>
    </xf>
    <xf numFmtId="0" fontId="20" fillId="0" borderId="0" xfId="11" applyNumberFormat="1" applyFont="1" applyBorder="1" applyAlignment="1">
      <alignment horizontal="center"/>
    </xf>
    <xf numFmtId="5" fontId="20" fillId="0" borderId="0" xfId="11" applyNumberFormat="1" applyFont="1" applyBorder="1"/>
    <xf numFmtId="5" fontId="20" fillId="0" borderId="37" xfId="11" applyNumberFormat="1" applyFont="1" applyBorder="1"/>
    <xf numFmtId="39" fontId="30" fillId="6" borderId="21" xfId="11" applyNumberFormat="1" applyFont="1" applyFill="1" applyBorder="1" applyAlignment="1">
      <alignment horizontal="left" vertical="center"/>
    </xf>
    <xf numFmtId="38" fontId="20" fillId="0" borderId="22" xfId="11" applyFont="1" applyBorder="1"/>
    <xf numFmtId="38" fontId="43" fillId="0" borderId="49" xfId="11" applyFont="1" applyBorder="1" applyAlignment="1">
      <alignment horizontal="center"/>
    </xf>
    <xf numFmtId="38" fontId="26" fillId="3" borderId="37" xfId="11" applyFont="1" applyFill="1" applyBorder="1" applyAlignment="1">
      <alignment horizontal="center" vertical="center"/>
    </xf>
    <xf numFmtId="5" fontId="20" fillId="0" borderId="49" xfId="11" applyNumberFormat="1" applyFont="1" applyBorder="1" applyAlignment="1">
      <alignment horizontal="right" indent="2"/>
    </xf>
    <xf numFmtId="39" fontId="20" fillId="6" borderId="32" xfId="11" applyNumberFormat="1" applyFont="1" applyFill="1" applyBorder="1" applyAlignment="1">
      <alignment horizontal="left" vertical="center"/>
    </xf>
    <xf numFmtId="0" fontId="20" fillId="6" borderId="0" xfId="11" applyNumberFormat="1" applyFont="1" applyFill="1" applyBorder="1" applyAlignment="1">
      <alignment horizontal="center" vertical="center"/>
    </xf>
    <xf numFmtId="39" fontId="20" fillId="6" borderId="38" xfId="11" applyNumberFormat="1" applyFont="1" applyFill="1" applyBorder="1" applyAlignment="1">
      <alignment horizontal="left" vertical="center"/>
    </xf>
    <xf numFmtId="39" fontId="20" fillId="6" borderId="1" xfId="11" applyNumberFormat="1" applyFont="1" applyFill="1" applyBorder="1" applyAlignment="1">
      <alignment horizontal="left" vertical="center"/>
    </xf>
    <xf numFmtId="38" fontId="20" fillId="0" borderId="43" xfId="11" applyFont="1" applyBorder="1"/>
    <xf numFmtId="38" fontId="16" fillId="0" borderId="0" xfId="11" applyFont="1" applyBorder="1" applyAlignment="1">
      <alignment horizontal="left"/>
    </xf>
    <xf numFmtId="37" fontId="20" fillId="6" borderId="0" xfId="11" applyNumberFormat="1" applyFont="1" applyFill="1" applyBorder="1" applyAlignment="1">
      <alignment horizontal="left" vertical="center"/>
    </xf>
    <xf numFmtId="14" fontId="20" fillId="6" borderId="0" xfId="11" applyNumberFormat="1" applyFont="1" applyFill="1" applyBorder="1" applyAlignment="1">
      <alignment horizontal="center" vertical="center"/>
    </xf>
    <xf numFmtId="0" fontId="58" fillId="0" borderId="82" xfId="0" applyFont="1" applyBorder="1" applyAlignment="1">
      <alignment horizontal="center"/>
    </xf>
    <xf numFmtId="0" fontId="58" fillId="0" borderId="72" xfId="0" applyFont="1" applyBorder="1" applyAlignment="1">
      <alignment horizontal="center"/>
    </xf>
    <xf numFmtId="0" fontId="58" fillId="0" borderId="82" xfId="0" applyFont="1" applyBorder="1" applyAlignment="1">
      <alignment horizontal="centerContinuous"/>
    </xf>
    <xf numFmtId="0" fontId="58" fillId="0" borderId="83" xfId="0" applyFont="1" applyBorder="1" applyAlignment="1">
      <alignment horizontal="centerContinuous"/>
    </xf>
    <xf numFmtId="0" fontId="58" fillId="0" borderId="72" xfId="0" applyFont="1" applyBorder="1" applyAlignment="1">
      <alignment horizontal="centerContinuous"/>
    </xf>
    <xf numFmtId="0" fontId="61" fillId="0" borderId="72" xfId="0" applyFont="1" applyBorder="1" applyAlignment="1">
      <alignment horizontal="centerContinuous"/>
    </xf>
    <xf numFmtId="0" fontId="55" fillId="0" borderId="70" xfId="0" applyFont="1" applyBorder="1"/>
    <xf numFmtId="0" fontId="58" fillId="0" borderId="84" xfId="0" applyFont="1" applyBorder="1" applyAlignment="1">
      <alignment horizontal="center"/>
    </xf>
    <xf numFmtId="0" fontId="58" fillId="0" borderId="70" xfId="0" applyFont="1" applyBorder="1" applyAlignment="1">
      <alignment horizontal="center"/>
    </xf>
    <xf numFmtId="0" fontId="60" fillId="0" borderId="84" xfId="0" applyFont="1" applyBorder="1" applyAlignment="1">
      <alignment horizontal="center"/>
    </xf>
    <xf numFmtId="0" fontId="59" fillId="0" borderId="70" xfId="0" applyFont="1" applyBorder="1" applyAlignment="1">
      <alignment horizontal="center"/>
    </xf>
    <xf numFmtId="0" fontId="10" fillId="0" borderId="98" xfId="0" applyFont="1" applyBorder="1" applyAlignment="1">
      <alignment horizontal="center"/>
    </xf>
    <xf numFmtId="0" fontId="10" fillId="0" borderId="99" xfId="0" applyFont="1" applyBorder="1" applyAlignment="1">
      <alignment horizontal="center"/>
    </xf>
    <xf numFmtId="0" fontId="81" fillId="0" borderId="98" xfId="0" applyFont="1" applyBorder="1" applyAlignment="1">
      <alignment horizontal="center"/>
    </xf>
    <xf numFmtId="0" fontId="10" fillId="0" borderId="47" xfId="0" applyFont="1" applyBorder="1" applyAlignment="1">
      <alignment horizontal="center"/>
    </xf>
    <xf numFmtId="192" fontId="55" fillId="0" borderId="100" xfId="0" applyNumberFormat="1" applyFont="1" applyBorder="1"/>
    <xf numFmtId="192" fontId="56" fillId="0" borderId="100" xfId="0" applyNumberFormat="1" applyFont="1" applyBorder="1"/>
    <xf numFmtId="192" fontId="3" fillId="0" borderId="101" xfId="0" applyNumberFormat="1" applyFont="1" applyBorder="1"/>
    <xf numFmtId="0" fontId="55" fillId="0" borderId="102" xfId="0" applyFont="1" applyBorder="1"/>
    <xf numFmtId="0" fontId="55" fillId="0" borderId="100" xfId="0" applyFont="1" applyBorder="1" applyAlignment="1">
      <alignment horizontal="center"/>
    </xf>
    <xf numFmtId="37" fontId="55" fillId="0" borderId="100" xfId="0" applyNumberFormat="1" applyFont="1" applyBorder="1"/>
    <xf numFmtId="37" fontId="55" fillId="0" borderId="100" xfId="0" quotePrefix="1" applyNumberFormat="1" applyFont="1" applyBorder="1"/>
    <xf numFmtId="37" fontId="3" fillId="0" borderId="101" xfId="0" applyNumberFormat="1" applyFont="1" applyBorder="1"/>
    <xf numFmtId="179" fontId="20" fillId="6" borderId="0" xfId="11" applyNumberFormat="1" applyFont="1" applyFill="1" applyBorder="1" applyAlignment="1">
      <alignment horizontal="center" vertical="center"/>
    </xf>
    <xf numFmtId="38" fontId="85" fillId="0" borderId="32" xfId="11" applyFont="1" applyBorder="1" applyAlignment="1">
      <alignment horizontal="center"/>
    </xf>
    <xf numFmtId="203" fontId="85" fillId="0" borderId="0" xfId="11" applyNumberFormat="1" applyFont="1" applyBorder="1" applyAlignment="1">
      <alignment horizontal="center"/>
    </xf>
    <xf numFmtId="39" fontId="20" fillId="6" borderId="35" xfId="11" applyNumberFormat="1" applyFont="1" applyFill="1" applyBorder="1" applyAlignment="1">
      <alignment horizontal="left" vertical="center"/>
    </xf>
    <xf numFmtId="37" fontId="20" fillId="6" borderId="2" xfId="11" applyNumberFormat="1" applyFont="1" applyFill="1" applyBorder="1" applyAlignment="1">
      <alignment horizontal="left" vertical="center"/>
    </xf>
    <xf numFmtId="39" fontId="40" fillId="6" borderId="37" xfId="11" applyNumberFormat="1" applyFont="1" applyFill="1" applyBorder="1" applyAlignment="1">
      <alignment horizontal="left" vertical="center"/>
    </xf>
    <xf numFmtId="39" fontId="20" fillId="6" borderId="43" xfId="11" applyNumberFormat="1" applyFont="1" applyFill="1" applyBorder="1" applyAlignment="1">
      <alignment horizontal="left" vertical="center"/>
    </xf>
    <xf numFmtId="37" fontId="20" fillId="6" borderId="37" xfId="11" applyNumberFormat="1" applyFont="1" applyFill="1" applyBorder="1" applyAlignment="1">
      <alignment horizontal="left" vertical="center"/>
    </xf>
    <xf numFmtId="37" fontId="20" fillId="6" borderId="36" xfId="11" applyNumberFormat="1" applyFont="1" applyFill="1" applyBorder="1" applyAlignment="1">
      <alignment horizontal="left" vertical="center"/>
    </xf>
    <xf numFmtId="38" fontId="20" fillId="0" borderId="35" xfId="11" applyFont="1" applyBorder="1" applyAlignment="1">
      <alignment horizontal="center"/>
    </xf>
    <xf numFmtId="0" fontId="20" fillId="0" borderId="2" xfId="11" applyNumberFormat="1" applyFont="1" applyBorder="1" applyAlignment="1">
      <alignment horizontal="center"/>
    </xf>
    <xf numFmtId="5" fontId="20" fillId="0" borderId="2" xfId="11" applyNumberFormat="1" applyFont="1" applyBorder="1"/>
    <xf numFmtId="5" fontId="20" fillId="0" borderId="36" xfId="11" applyNumberFormat="1" applyFont="1" applyBorder="1"/>
    <xf numFmtId="0" fontId="3" fillId="0" borderId="102" xfId="0" applyFont="1" applyBorder="1"/>
    <xf numFmtId="0" fontId="55" fillId="0" borderId="103" xfId="0" applyFont="1" applyBorder="1"/>
    <xf numFmtId="37" fontId="55" fillId="0" borderId="104" xfId="0" applyNumberFormat="1" applyFont="1" applyBorder="1"/>
    <xf numFmtId="37" fontId="55" fillId="0" borderId="103" xfId="0" applyNumberFormat="1" applyFont="1" applyBorder="1"/>
    <xf numFmtId="37" fontId="53" fillId="0" borderId="104" xfId="0" applyNumberFormat="1" applyFont="1" applyBorder="1"/>
    <xf numFmtId="37" fontId="55" fillId="0" borderId="105" xfId="0" applyNumberFormat="1" applyFont="1" applyBorder="1"/>
    <xf numFmtId="37" fontId="55" fillId="0" borderId="106" xfId="0" applyNumberFormat="1" applyFont="1" applyBorder="1"/>
    <xf numFmtId="38" fontId="86" fillId="0" borderId="0" xfId="11" applyFont="1" applyAlignment="1">
      <alignment horizontal="center"/>
    </xf>
    <xf numFmtId="38" fontId="43" fillId="0" borderId="2" xfId="11" applyFont="1" applyBorder="1" applyAlignment="1">
      <alignment horizontal="center" vertical="center"/>
    </xf>
    <xf numFmtId="38" fontId="20" fillId="2" borderId="0" xfId="11" applyFont="1" applyFill="1" applyBorder="1" applyAlignment="1">
      <alignment horizontal="center"/>
    </xf>
    <xf numFmtId="0" fontId="20" fillId="2" borderId="0" xfId="11" applyNumberFormat="1" applyFont="1" applyFill="1" applyBorder="1" applyAlignment="1">
      <alignment horizontal="center"/>
    </xf>
    <xf numFmtId="39" fontId="20" fillId="6" borderId="2" xfId="11" applyNumberFormat="1" applyFont="1" applyFill="1" applyBorder="1" applyAlignment="1">
      <alignment horizontal="left" vertical="center"/>
    </xf>
    <xf numFmtId="39" fontId="40" fillId="6" borderId="2" xfId="11" applyNumberFormat="1" applyFont="1" applyFill="1" applyBorder="1" applyAlignment="1">
      <alignment horizontal="left" vertical="center"/>
    </xf>
    <xf numFmtId="39" fontId="40" fillId="6" borderId="36" xfId="11" applyNumberFormat="1" applyFont="1" applyFill="1" applyBorder="1" applyAlignment="1">
      <alignment horizontal="left" vertical="center"/>
    </xf>
    <xf numFmtId="166" fontId="12" fillId="3" borderId="22" xfId="11" applyNumberFormat="1" applyFont="1" applyFill="1" applyBorder="1" applyAlignment="1" applyProtection="1">
      <alignment horizontal="right" vertical="center"/>
    </xf>
    <xf numFmtId="38" fontId="12" fillId="0" borderId="36" xfId="11" applyFont="1" applyBorder="1" applyAlignment="1" applyProtection="1">
      <alignment horizontal="right"/>
    </xf>
    <xf numFmtId="10" fontId="12" fillId="3" borderId="37" xfId="11" applyNumberFormat="1" applyFont="1" applyFill="1" applyBorder="1" applyAlignment="1" applyProtection="1">
      <alignment horizontal="right" vertical="center"/>
    </xf>
    <xf numFmtId="174" fontId="12" fillId="3" borderId="37" xfId="11" applyNumberFormat="1" applyFont="1" applyFill="1" applyBorder="1" applyAlignment="1" applyProtection="1">
      <alignment horizontal="right" vertical="center"/>
    </xf>
    <xf numFmtId="169" fontId="12" fillId="3" borderId="22" xfId="11" applyNumberFormat="1" applyFont="1" applyFill="1" applyBorder="1" applyAlignment="1" applyProtection="1">
      <alignment horizontal="right" vertical="center"/>
    </xf>
    <xf numFmtId="5" fontId="20" fillId="3" borderId="37" xfId="11" applyNumberFormat="1" applyFont="1" applyFill="1" applyBorder="1" applyAlignment="1">
      <alignment horizontal="right" indent="1"/>
    </xf>
    <xf numFmtId="5" fontId="20" fillId="3" borderId="36" xfId="11" applyNumberFormat="1" applyFont="1" applyFill="1" applyBorder="1" applyAlignment="1">
      <alignment horizontal="right" indent="1"/>
    </xf>
    <xf numFmtId="38" fontId="20" fillId="2" borderId="0" xfId="11" applyFont="1" applyFill="1" applyBorder="1"/>
    <xf numFmtId="38" fontId="20" fillId="2" borderId="2" xfId="11" applyFont="1" applyFill="1" applyBorder="1"/>
    <xf numFmtId="38" fontId="20" fillId="3" borderId="37" xfId="11" applyFont="1" applyFill="1" applyBorder="1"/>
    <xf numFmtId="38" fontId="19" fillId="0" borderId="0" xfId="11" applyFont="1" applyBorder="1" applyAlignment="1" applyProtection="1">
      <alignment horizontal="center"/>
      <protection locked="0"/>
    </xf>
    <xf numFmtId="38" fontId="20" fillId="0" borderId="37" xfId="11" applyFont="1" applyBorder="1" applyAlignment="1">
      <alignment horizontal="center"/>
    </xf>
    <xf numFmtId="38" fontId="20" fillId="0" borderId="52" xfId="11" applyFont="1" applyBorder="1" applyAlignment="1">
      <alignment horizontal="center"/>
    </xf>
    <xf numFmtId="166" fontId="12" fillId="3" borderId="37" xfId="11" applyNumberFormat="1" applyFont="1" applyFill="1" applyBorder="1" applyAlignment="1" applyProtection="1">
      <alignment horizontal="right" vertical="center"/>
    </xf>
    <xf numFmtId="38" fontId="25" fillId="0" borderId="0" xfId="11" applyFont="1" applyBorder="1" applyAlignment="1">
      <alignment horizontal="center"/>
    </xf>
    <xf numFmtId="38" fontId="12" fillId="0" borderId="37" xfId="11" applyFont="1" applyBorder="1" applyAlignment="1" applyProtection="1">
      <alignment horizontal="right"/>
    </xf>
    <xf numFmtId="14" fontId="20" fillId="0" borderId="37" xfId="11" applyNumberFormat="1" applyFont="1" applyBorder="1" applyAlignment="1">
      <alignment horizontal="right"/>
    </xf>
    <xf numFmtId="0" fontId="20" fillId="3" borderId="0" xfId="11" applyNumberFormat="1" applyFont="1" applyFill="1" applyBorder="1" applyAlignment="1">
      <alignment horizontal="right"/>
    </xf>
    <xf numFmtId="38" fontId="12" fillId="0" borderId="1" xfId="11" applyFont="1" applyBorder="1"/>
    <xf numFmtId="5" fontId="14" fillId="3" borderId="43" xfId="11" applyNumberFormat="1" applyFont="1" applyFill="1" applyBorder="1"/>
    <xf numFmtId="14" fontId="14" fillId="3" borderId="22" xfId="0" applyNumberFormat="1" applyFont="1" applyFill="1" applyBorder="1" applyAlignment="1">
      <alignment horizontal="center"/>
    </xf>
    <xf numFmtId="38" fontId="32" fillId="5" borderId="48" xfId="11" applyFont="1" applyFill="1" applyBorder="1" applyAlignment="1">
      <alignment horizontal="center" vertical="center"/>
    </xf>
    <xf numFmtId="38" fontId="26" fillId="3" borderId="5" xfId="11" applyFont="1" applyFill="1" applyBorder="1" applyAlignment="1">
      <alignment horizontal="center" vertical="center"/>
    </xf>
    <xf numFmtId="38" fontId="26" fillId="3" borderId="49" xfId="11" applyFont="1" applyFill="1" applyBorder="1" applyAlignment="1">
      <alignment horizontal="center" vertical="center"/>
    </xf>
    <xf numFmtId="0" fontId="19" fillId="3" borderId="37" xfId="0" applyFont="1" applyFill="1" applyBorder="1" applyAlignment="1">
      <alignment horizontal="left" indent="3"/>
    </xf>
    <xf numFmtId="17" fontId="12" fillId="3" borderId="37" xfId="0" applyNumberFormat="1" applyFont="1" applyFill="1" applyBorder="1" applyAlignment="1">
      <alignment horizontal="left" indent="3"/>
    </xf>
    <xf numFmtId="10" fontId="19" fillId="3" borderId="37" xfId="0" applyNumberFormat="1" applyFont="1" applyFill="1" applyBorder="1" applyAlignment="1">
      <alignment horizontal="left" indent="3"/>
    </xf>
    <xf numFmtId="174" fontId="19" fillId="3" borderId="37" xfId="0" applyNumberFormat="1" applyFont="1" applyFill="1" applyBorder="1" applyAlignment="1">
      <alignment horizontal="left" indent="3"/>
    </xf>
    <xf numFmtId="179" fontId="19" fillId="3" borderId="37" xfId="0" applyNumberFormat="1" applyFont="1" applyFill="1" applyBorder="1" applyAlignment="1">
      <alignment horizontal="left" indent="3"/>
    </xf>
    <xf numFmtId="5" fontId="14" fillId="3" borderId="43" xfId="0" applyNumberFormat="1" applyFont="1" applyFill="1" applyBorder="1" applyAlignment="1">
      <alignment horizontal="left" indent="3"/>
    </xf>
    <xf numFmtId="0" fontId="14" fillId="3" borderId="1" xfId="0" applyFont="1" applyFill="1" applyBorder="1"/>
    <xf numFmtId="5" fontId="14" fillId="3" borderId="43" xfId="0" applyNumberFormat="1" applyFont="1" applyFill="1" applyBorder="1"/>
    <xf numFmtId="37" fontId="47" fillId="3" borderId="0" xfId="11" applyNumberFormat="1" applyFont="1" applyFill="1" applyAlignment="1" applyProtection="1"/>
    <xf numFmtId="49" fontId="72" fillId="3" borderId="4" xfId="0" applyNumberFormat="1" applyFont="1" applyFill="1" applyBorder="1" applyAlignment="1">
      <alignment horizontal="center"/>
    </xf>
    <xf numFmtId="195" fontId="32" fillId="3" borderId="4" xfId="0" applyNumberFormat="1" applyFont="1" applyFill="1" applyBorder="1" applyAlignment="1">
      <alignment horizontal="center"/>
    </xf>
    <xf numFmtId="5" fontId="32" fillId="3" borderId="4" xfId="0" applyNumberFormat="1" applyFont="1" applyFill="1" applyBorder="1" applyAlignment="1">
      <alignment horizontal="center"/>
    </xf>
    <xf numFmtId="190" fontId="12" fillId="3" borderId="37" xfId="0" applyNumberFormat="1" applyFont="1" applyFill="1" applyBorder="1"/>
    <xf numFmtId="2" fontId="25" fillId="3" borderId="52" xfId="0" applyNumberFormat="1" applyFont="1" applyFill="1" applyBorder="1" applyAlignment="1">
      <alignment horizontal="center"/>
    </xf>
    <xf numFmtId="179" fontId="20" fillId="3" borderId="22" xfId="0" applyNumberFormat="1" applyFont="1" applyFill="1" applyBorder="1" applyAlignment="1">
      <alignment horizontal="right"/>
    </xf>
    <xf numFmtId="183" fontId="20" fillId="3" borderId="36" xfId="0" applyNumberFormat="1" applyFont="1" applyFill="1" applyBorder="1" applyAlignment="1">
      <alignment horizontal="right"/>
    </xf>
    <xf numFmtId="5" fontId="14" fillId="3" borderId="37" xfId="0" applyNumberFormat="1" applyFont="1" applyFill="1" applyBorder="1" applyAlignment="1">
      <alignment horizontal="left" indent="2"/>
    </xf>
    <xf numFmtId="169" fontId="14" fillId="3" borderId="83" xfId="0" applyNumberFormat="1" applyFont="1" applyFill="1" applyBorder="1" applyAlignment="1">
      <alignment horizontal="center"/>
    </xf>
    <xf numFmtId="0" fontId="11" fillId="3" borderId="52" xfId="0" applyFont="1" applyFill="1" applyBorder="1"/>
    <xf numFmtId="0" fontId="11" fillId="3" borderId="22" xfId="0" applyFont="1" applyFill="1" applyBorder="1"/>
    <xf numFmtId="0" fontId="19" fillId="3" borderId="32" xfId="0" applyFont="1" applyFill="1" applyBorder="1" applyAlignment="1">
      <alignment horizontal="left" indent="1"/>
    </xf>
    <xf numFmtId="5" fontId="20" fillId="3" borderId="37" xfId="0" applyNumberFormat="1" applyFont="1" applyFill="1" applyBorder="1" applyAlignment="1">
      <alignment horizontal="right" indent="1"/>
    </xf>
    <xf numFmtId="0" fontId="11" fillId="0" borderId="32" xfId="0" applyFont="1" applyBorder="1"/>
    <xf numFmtId="0" fontId="13" fillId="3" borderId="32" xfId="0" applyFont="1" applyFill="1" applyBorder="1" applyAlignment="1">
      <alignment horizontal="left" indent="1"/>
    </xf>
    <xf numFmtId="5" fontId="14" fillId="3" borderId="73" xfId="0" applyNumberFormat="1" applyFont="1" applyFill="1" applyBorder="1"/>
    <xf numFmtId="5" fontId="30" fillId="3" borderId="22" xfId="0" applyNumberFormat="1" applyFont="1" applyFill="1" applyBorder="1" applyAlignment="1">
      <alignment horizontal="right" indent="1"/>
    </xf>
    <xf numFmtId="0" fontId="82" fillId="3" borderId="0" xfId="0" applyFont="1" applyFill="1" applyAlignment="1">
      <alignment vertical="center"/>
    </xf>
    <xf numFmtId="5" fontId="14" fillId="3" borderId="107" xfId="0" applyNumberFormat="1" applyFont="1" applyFill="1" applyBorder="1" applyAlignment="1">
      <alignment horizontal="center" vertical="center"/>
    </xf>
    <xf numFmtId="5" fontId="52" fillId="3" borderId="1" xfId="0" applyNumberFormat="1" applyFont="1" applyFill="1" applyBorder="1" applyAlignment="1">
      <alignment horizontal="center" vertical="center"/>
    </xf>
    <xf numFmtId="0" fontId="52" fillId="3" borderId="32" xfId="0" applyFont="1" applyFill="1" applyBorder="1" applyAlignment="1">
      <alignment horizontal="left" indent="9"/>
    </xf>
    <xf numFmtId="0" fontId="52" fillId="3" borderId="32" xfId="0" applyFont="1" applyFill="1" applyBorder="1" applyAlignment="1">
      <alignment horizontal="left" indent="11"/>
    </xf>
    <xf numFmtId="5" fontId="14" fillId="3" borderId="83" xfId="0" applyNumberFormat="1" applyFont="1" applyFill="1" applyBorder="1" applyAlignment="1">
      <alignment horizontal="center"/>
    </xf>
    <xf numFmtId="5" fontId="12" fillId="3" borderId="5" xfId="0" applyNumberFormat="1" applyFont="1" applyFill="1" applyBorder="1" applyAlignment="1">
      <alignment horizontal="center"/>
    </xf>
    <xf numFmtId="5" fontId="14" fillId="3" borderId="108" xfId="0" applyNumberFormat="1" applyFont="1" applyFill="1" applyBorder="1" applyAlignment="1">
      <alignment horizontal="center"/>
    </xf>
    <xf numFmtId="5" fontId="19" fillId="3" borderId="37" xfId="0" applyNumberFormat="1" applyFont="1" applyFill="1" applyBorder="1" applyAlignment="1">
      <alignment horizontal="left" indent="2"/>
    </xf>
    <xf numFmtId="5" fontId="12" fillId="0" borderId="0" xfId="0" applyNumberFormat="1" applyFont="1"/>
    <xf numFmtId="0" fontId="17" fillId="4" borderId="0" xfId="0" applyFont="1" applyFill="1" applyAlignment="1">
      <alignment horizontal="center"/>
    </xf>
    <xf numFmtId="0" fontId="14" fillId="0" borderId="0" xfId="0" applyFont="1" applyAlignment="1">
      <alignment horizontal="left"/>
    </xf>
    <xf numFmtId="1" fontId="12" fillId="0" borderId="0" xfId="0" applyNumberFormat="1" applyFont="1" applyAlignment="1">
      <alignment horizontal="center"/>
    </xf>
    <xf numFmtId="183" fontId="12" fillId="0" borderId="0" xfId="0" applyNumberFormat="1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horizontal="center"/>
    </xf>
    <xf numFmtId="183" fontId="17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88" fillId="0" borderId="0" xfId="0" applyFont="1" applyAlignment="1">
      <alignment horizontal="center" vertical="center"/>
    </xf>
    <xf numFmtId="5" fontId="14" fillId="0" borderId="0" xfId="0" applyNumberFormat="1" applyFont="1" applyAlignment="1">
      <alignment horizontal="center"/>
    </xf>
    <xf numFmtId="0" fontId="12" fillId="0" borderId="0" xfId="0" applyFont="1" applyAlignment="1">
      <alignment horizontal="left" indent="1"/>
    </xf>
    <xf numFmtId="0" fontId="19" fillId="0" borderId="0" xfId="0" applyFont="1" applyAlignment="1">
      <alignment horizontal="left" indent="1"/>
    </xf>
    <xf numFmtId="0" fontId="19" fillId="0" borderId="0" xfId="0" applyFont="1" applyAlignment="1">
      <alignment horizontal="center"/>
    </xf>
    <xf numFmtId="10" fontId="12" fillId="0" borderId="0" xfId="0" applyNumberFormat="1" applyFont="1"/>
    <xf numFmtId="0" fontId="21" fillId="0" borderId="5" xfId="0" applyFont="1" applyBorder="1" applyAlignment="1">
      <alignment horizontal="center"/>
    </xf>
    <xf numFmtId="0" fontId="12" fillId="0" borderId="52" xfId="0" applyFont="1" applyBorder="1"/>
    <xf numFmtId="0" fontId="14" fillId="0" borderId="52" xfId="0" applyFont="1" applyBorder="1"/>
    <xf numFmtId="10" fontId="14" fillId="0" borderId="52" xfId="0" applyNumberFormat="1" applyFont="1" applyBorder="1"/>
    <xf numFmtId="0" fontId="21" fillId="0" borderId="48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0" borderId="52" xfId="0" applyFont="1" applyBorder="1" applyAlignment="1">
      <alignment horizontal="center"/>
    </xf>
    <xf numFmtId="10" fontId="19" fillId="0" borderId="0" xfId="0" applyNumberFormat="1" applyFont="1"/>
    <xf numFmtId="204" fontId="12" fillId="0" borderId="0" xfId="0" applyNumberFormat="1" applyFont="1"/>
    <xf numFmtId="0" fontId="12" fillId="0" borderId="0" xfId="0" applyFont="1" applyAlignment="1">
      <alignment horizontal="left" indent="12"/>
    </xf>
    <xf numFmtId="0" fontId="2" fillId="0" borderId="0" xfId="0" applyFont="1" applyAlignment="1">
      <alignment horizontal="center"/>
    </xf>
    <xf numFmtId="0" fontId="14" fillId="9" borderId="38" xfId="0" applyFont="1" applyFill="1" applyBorder="1" applyAlignment="1">
      <alignment horizontal="center"/>
    </xf>
    <xf numFmtId="0" fontId="12" fillId="9" borderId="1" xfId="0" applyFont="1" applyFill="1" applyBorder="1"/>
    <xf numFmtId="0" fontId="12" fillId="9" borderId="43" xfId="0" applyFont="1" applyFill="1" applyBorder="1"/>
    <xf numFmtId="0" fontId="16" fillId="4" borderId="0" xfId="0" applyFont="1" applyFill="1"/>
    <xf numFmtId="0" fontId="16" fillId="4" borderId="43" xfId="0" applyFont="1" applyFill="1" applyBorder="1"/>
    <xf numFmtId="0" fontId="12" fillId="4" borderId="43" xfId="0" applyFont="1" applyFill="1" applyBorder="1"/>
    <xf numFmtId="0" fontId="28" fillId="0" borderId="0" xfId="0" applyFont="1" applyAlignment="1">
      <alignment horizontal="center"/>
    </xf>
    <xf numFmtId="5" fontId="14" fillId="0" borderId="52" xfId="0" applyNumberFormat="1" applyFont="1" applyBorder="1"/>
    <xf numFmtId="175" fontId="70" fillId="4" borderId="0" xfId="0" applyNumberFormat="1" applyFont="1" applyFill="1" applyAlignment="1">
      <alignment horizontal="center"/>
    </xf>
    <xf numFmtId="0" fontId="12" fillId="0" borderId="21" xfId="0" applyFont="1" applyBorder="1"/>
    <xf numFmtId="10" fontId="12" fillId="0" borderId="22" xfId="0" applyNumberFormat="1" applyFont="1" applyBorder="1" applyAlignment="1">
      <alignment horizontal="center"/>
    </xf>
    <xf numFmtId="0" fontId="12" fillId="0" borderId="35" xfId="0" applyFont="1" applyBorder="1"/>
    <xf numFmtId="205" fontId="12" fillId="0" borderId="36" xfId="0" applyNumberFormat="1" applyFont="1" applyBorder="1" applyAlignment="1">
      <alignment horizontal="center"/>
    </xf>
    <xf numFmtId="0" fontId="13" fillId="0" borderId="0" xfId="0" applyFont="1" applyAlignment="1">
      <alignment horizontal="center" vertical="center"/>
    </xf>
    <xf numFmtId="183" fontId="14" fillId="3" borderId="0" xfId="0" applyNumberFormat="1" applyFont="1" applyFill="1" applyAlignment="1">
      <alignment horizontal="center"/>
    </xf>
    <xf numFmtId="0" fontId="52" fillId="3" borderId="32" xfId="0" applyFont="1" applyFill="1" applyBorder="1" applyAlignment="1">
      <alignment horizontal="left" indent="15"/>
    </xf>
    <xf numFmtId="38" fontId="20" fillId="0" borderId="21" xfId="11" applyFont="1" applyBorder="1" applyAlignment="1">
      <alignment horizontal="left"/>
    </xf>
    <xf numFmtId="38" fontId="20" fillId="0" borderId="52" xfId="11" applyFont="1" applyBorder="1" applyAlignment="1">
      <alignment horizontal="left"/>
    </xf>
    <xf numFmtId="38" fontId="20" fillId="0" borderId="35" xfId="11" applyFont="1" applyBorder="1" applyAlignment="1">
      <alignment horizontal="left"/>
    </xf>
    <xf numFmtId="38" fontId="20" fillId="0" borderId="2" xfId="11" applyFont="1" applyBorder="1" applyAlignment="1">
      <alignment horizontal="left"/>
    </xf>
    <xf numFmtId="38" fontId="20" fillId="0" borderId="32" xfId="11" applyFont="1" applyBorder="1" applyAlignment="1">
      <alignment horizontal="left"/>
    </xf>
    <xf numFmtId="38" fontId="20" fillId="0" borderId="0" xfId="11" applyFont="1" applyBorder="1" applyAlignment="1">
      <alignment horizontal="left"/>
    </xf>
    <xf numFmtId="38" fontId="20" fillId="3" borderId="38" xfId="11" applyFont="1" applyFill="1" applyBorder="1" applyAlignment="1">
      <alignment horizontal="left"/>
    </xf>
    <xf numFmtId="38" fontId="20" fillId="3" borderId="1" xfId="11" applyFont="1" applyFill="1" applyBorder="1" applyAlignment="1">
      <alignment horizontal="left"/>
    </xf>
    <xf numFmtId="9" fontId="87" fillId="3" borderId="4" xfId="0" applyNumberFormat="1" applyFont="1" applyFill="1" applyBorder="1" applyAlignment="1">
      <alignment horizontal="center"/>
    </xf>
    <xf numFmtId="14" fontId="16" fillId="0" borderId="0" xfId="11" applyNumberFormat="1" applyFont="1" applyBorder="1" applyAlignment="1">
      <alignment horizontal="right"/>
    </xf>
    <xf numFmtId="14" fontId="20" fillId="0" borderId="0" xfId="11" applyNumberFormat="1" applyFont="1" applyBorder="1" applyAlignment="1">
      <alignment horizontal="right"/>
    </xf>
    <xf numFmtId="0" fontId="43" fillId="3" borderId="0" xfId="7" applyFont="1" applyFill="1" applyAlignment="1">
      <alignment horizontal="right" indent="2"/>
    </xf>
    <xf numFmtId="5" fontId="52" fillId="3" borderId="0" xfId="11" applyNumberFormat="1" applyFont="1" applyFill="1" applyBorder="1" applyAlignment="1">
      <alignment horizontal="right" vertical="center" indent="2"/>
    </xf>
    <xf numFmtId="169" fontId="14" fillId="3" borderId="52" xfId="0" applyNumberFormat="1" applyFont="1" applyFill="1" applyBorder="1" applyAlignment="1">
      <alignment horizontal="center"/>
    </xf>
    <xf numFmtId="0" fontId="17" fillId="3" borderId="0" xfId="0" applyFont="1" applyFill="1" applyAlignment="1">
      <alignment horizontal="center"/>
    </xf>
    <xf numFmtId="0" fontId="20" fillId="3" borderId="32" xfId="0" applyFont="1" applyFill="1" applyBorder="1" applyAlignment="1">
      <alignment horizontal="left" indent="1"/>
    </xf>
    <xf numFmtId="5" fontId="20" fillId="3" borderId="49" xfId="0" applyNumberFormat="1" applyFont="1" applyFill="1" applyBorder="1" applyAlignment="1">
      <alignment horizontal="center"/>
    </xf>
    <xf numFmtId="0" fontId="20" fillId="0" borderId="0" xfId="0" applyFont="1"/>
    <xf numFmtId="0" fontId="89" fillId="3" borderId="32" xfId="0" applyFont="1" applyFill="1" applyBorder="1" applyAlignment="1">
      <alignment horizontal="left" indent="9"/>
    </xf>
    <xf numFmtId="0" fontId="89" fillId="3" borderId="32" xfId="0" applyFont="1" applyFill="1" applyBorder="1" applyAlignment="1">
      <alignment horizontal="left" indent="11"/>
    </xf>
    <xf numFmtId="0" fontId="37" fillId="3" borderId="0" xfId="0" applyFont="1" applyFill="1" applyAlignment="1">
      <alignment vertical="center"/>
    </xf>
    <xf numFmtId="0" fontId="37" fillId="3" borderId="2" xfId="0" applyFont="1" applyFill="1" applyBorder="1" applyAlignment="1">
      <alignment vertical="center"/>
    </xf>
    <xf numFmtId="9" fontId="12" fillId="3" borderId="28" xfId="0" applyNumberFormat="1" applyFont="1" applyFill="1" applyBorder="1" applyAlignment="1">
      <alignment horizontal="center"/>
    </xf>
    <xf numFmtId="169" fontId="12" fillId="3" borderId="36" xfId="0" applyNumberFormat="1" applyFont="1" applyFill="1" applyBorder="1" applyAlignment="1">
      <alignment horizontal="center"/>
    </xf>
    <xf numFmtId="17" fontId="20" fillId="3" borderId="37" xfId="0" applyNumberFormat="1" applyFont="1" applyFill="1" applyBorder="1" applyAlignment="1">
      <alignment horizontal="center"/>
    </xf>
    <xf numFmtId="167" fontId="14" fillId="3" borderId="92" xfId="13" applyNumberFormat="1" applyFont="1" applyFill="1" applyBorder="1" applyAlignment="1">
      <alignment horizontal="center"/>
    </xf>
    <xf numFmtId="0" fontId="13" fillId="3" borderId="35" xfId="0" applyFont="1" applyFill="1" applyBorder="1" applyAlignment="1">
      <alignment horizontal="center"/>
    </xf>
    <xf numFmtId="5" fontId="14" fillId="3" borderId="48" xfId="0" applyNumberFormat="1" applyFont="1" applyFill="1" applyBorder="1" applyAlignment="1">
      <alignment horizontal="center"/>
    </xf>
    <xf numFmtId="5" fontId="14" fillId="3" borderId="2" xfId="0" applyNumberFormat="1" applyFont="1" applyFill="1" applyBorder="1" applyAlignment="1">
      <alignment horizontal="center"/>
    </xf>
    <xf numFmtId="5" fontId="14" fillId="3" borderId="36" xfId="0" applyNumberFormat="1" applyFont="1" applyFill="1" applyBorder="1" applyAlignment="1">
      <alignment horizontal="center"/>
    </xf>
    <xf numFmtId="10" fontId="89" fillId="3" borderId="52" xfId="0" applyNumberFormat="1" applyFont="1" applyFill="1" applyBorder="1" applyAlignment="1">
      <alignment horizontal="center"/>
    </xf>
    <xf numFmtId="10" fontId="89" fillId="3" borderId="22" xfId="0" applyNumberFormat="1" applyFont="1" applyFill="1" applyBorder="1" applyAlignment="1">
      <alignment horizontal="center"/>
    </xf>
    <xf numFmtId="10" fontId="89" fillId="3" borderId="0" xfId="0" applyNumberFormat="1" applyFont="1" applyFill="1" applyAlignment="1">
      <alignment horizontal="center"/>
    </xf>
    <xf numFmtId="10" fontId="89" fillId="3" borderId="37" xfId="0" applyNumberFormat="1" applyFont="1" applyFill="1" applyBorder="1" applyAlignment="1">
      <alignment horizontal="center"/>
    </xf>
    <xf numFmtId="10" fontId="30" fillId="3" borderId="0" xfId="0" applyNumberFormat="1" applyFont="1" applyFill="1" applyAlignment="1">
      <alignment horizontal="center"/>
    </xf>
    <xf numFmtId="169" fontId="12" fillId="3" borderId="0" xfId="11" applyNumberFormat="1" applyFont="1" applyFill="1" applyBorder="1" applyAlignment="1" applyProtection="1">
      <alignment horizontal="right" vertical="center"/>
    </xf>
    <xf numFmtId="174" fontId="12" fillId="3" borderId="0" xfId="11" applyNumberFormat="1" applyFont="1" applyFill="1" applyBorder="1" applyAlignment="1" applyProtection="1">
      <alignment horizontal="right" vertical="center"/>
    </xf>
    <xf numFmtId="10" fontId="12" fillId="3" borderId="0" xfId="11" applyNumberFormat="1" applyFont="1" applyFill="1" applyBorder="1" applyAlignment="1" applyProtection="1">
      <alignment horizontal="right" vertical="center"/>
    </xf>
    <xf numFmtId="179" fontId="12" fillId="3" borderId="0" xfId="0" applyNumberFormat="1" applyFont="1" applyFill="1"/>
    <xf numFmtId="5" fontId="14" fillId="0" borderId="0" xfId="11" applyNumberFormat="1" applyFont="1" applyBorder="1"/>
    <xf numFmtId="5" fontId="14" fillId="3" borderId="0" xfId="11" applyNumberFormat="1" applyFont="1" applyFill="1" applyBorder="1"/>
    <xf numFmtId="38" fontId="15" fillId="3" borderId="0" xfId="11" applyFont="1" applyFill="1" applyBorder="1" applyAlignment="1">
      <alignment horizontal="center" vertical="center"/>
    </xf>
    <xf numFmtId="5" fontId="52" fillId="3" borderId="0" xfId="0" applyNumberFormat="1" applyFont="1" applyFill="1" applyAlignment="1">
      <alignment horizontal="center" vertical="center"/>
    </xf>
    <xf numFmtId="0" fontId="13" fillId="3" borderId="0" xfId="0" applyFont="1" applyFill="1" applyAlignment="1">
      <alignment horizontal="left" indent="4"/>
    </xf>
    <xf numFmtId="196" fontId="19" fillId="3" borderId="37" xfId="0" applyNumberFormat="1" applyFont="1" applyFill="1" applyBorder="1" applyAlignment="1">
      <alignment horizontal="right"/>
    </xf>
    <xf numFmtId="10" fontId="12" fillId="3" borderId="37" xfId="3" applyNumberFormat="1" applyFont="1" applyFill="1" applyBorder="1" applyAlignment="1">
      <alignment horizontal="center"/>
    </xf>
    <xf numFmtId="10" fontId="14" fillId="3" borderId="0" xfId="3" applyNumberFormat="1" applyFont="1" applyFill="1" applyAlignment="1">
      <alignment horizontal="center"/>
    </xf>
    <xf numFmtId="10" fontId="17" fillId="4" borderId="1" xfId="3" applyNumberFormat="1" applyFont="1" applyFill="1" applyBorder="1" applyAlignment="1">
      <alignment horizontal="center"/>
    </xf>
    <xf numFmtId="179" fontId="19" fillId="3" borderId="37" xfId="0" applyNumberFormat="1" applyFont="1" applyFill="1" applyBorder="1"/>
    <xf numFmtId="183" fontId="19" fillId="3" borderId="22" xfId="0" applyNumberFormat="1" applyFont="1" applyFill="1" applyBorder="1" applyAlignment="1">
      <alignment horizontal="right"/>
    </xf>
    <xf numFmtId="0" fontId="12" fillId="3" borderId="52" xfId="0" applyFont="1" applyFill="1" applyBorder="1" applyAlignment="1">
      <alignment horizontal="right"/>
    </xf>
    <xf numFmtId="0" fontId="12" fillId="3" borderId="0" xfId="0" applyFont="1" applyFill="1" applyAlignment="1">
      <alignment horizontal="right"/>
    </xf>
    <xf numFmtId="0" fontId="12" fillId="3" borderId="37" xfId="0" applyFont="1" applyFill="1" applyBorder="1" applyAlignment="1">
      <alignment horizontal="left"/>
    </xf>
    <xf numFmtId="169" fontId="14" fillId="3" borderId="36" xfId="0" applyNumberFormat="1" applyFont="1" applyFill="1" applyBorder="1" applyAlignment="1">
      <alignment horizontal="right"/>
    </xf>
    <xf numFmtId="6" fontId="19" fillId="3" borderId="0" xfId="0" applyNumberFormat="1" applyFont="1" applyFill="1" applyAlignment="1">
      <alignment horizontal="left" indent="5"/>
    </xf>
    <xf numFmtId="0" fontId="4" fillId="3" borderId="0" xfId="0" applyFont="1" applyFill="1" applyAlignment="1">
      <alignment vertical="center"/>
    </xf>
    <xf numFmtId="0" fontId="22" fillId="3" borderId="0" xfId="0" applyFont="1" applyFill="1" applyAlignment="1">
      <alignment horizontal="center"/>
    </xf>
    <xf numFmtId="0" fontId="0" fillId="3" borderId="0" xfId="0" applyFill="1" applyAlignment="1">
      <alignment vertical="center"/>
    </xf>
    <xf numFmtId="0" fontId="4" fillId="3" borderId="21" xfId="0" applyFont="1" applyFill="1" applyBorder="1"/>
    <xf numFmtId="0" fontId="4" fillId="3" borderId="22" xfId="0" applyFont="1" applyFill="1" applyBorder="1"/>
    <xf numFmtId="38" fontId="12" fillId="3" borderId="0" xfId="11" applyFont="1" applyFill="1" applyBorder="1" applyAlignment="1" applyProtection="1">
      <alignment horizontal="center" vertical="center"/>
    </xf>
    <xf numFmtId="5" fontId="14" fillId="3" borderId="1" xfId="0" applyNumberFormat="1" applyFont="1" applyFill="1" applyBorder="1" applyAlignment="1">
      <alignment horizontal="center"/>
    </xf>
    <xf numFmtId="5" fontId="14" fillId="3" borderId="43" xfId="0" applyNumberFormat="1" applyFont="1" applyFill="1" applyBorder="1" applyAlignment="1">
      <alignment horizontal="center"/>
    </xf>
    <xf numFmtId="5" fontId="25" fillId="2" borderId="0" xfId="0" applyNumberFormat="1" applyFont="1" applyFill="1" applyAlignment="1">
      <alignment horizontal="center"/>
    </xf>
    <xf numFmtId="0" fontId="16" fillId="4" borderId="32" xfId="0" applyFont="1" applyFill="1" applyBorder="1"/>
    <xf numFmtId="0" fontId="16" fillId="4" borderId="37" xfId="0" applyFont="1" applyFill="1" applyBorder="1"/>
    <xf numFmtId="0" fontId="14" fillId="3" borderId="0" xfId="0" applyFont="1" applyFill="1" applyAlignment="1">
      <alignment vertical="center"/>
    </xf>
    <xf numFmtId="0" fontId="12" fillId="3" borderId="0" xfId="0" applyFont="1" applyFill="1" applyAlignment="1">
      <alignment horizontal="right" vertical="center"/>
    </xf>
    <xf numFmtId="0" fontId="12" fillId="3" borderId="0" xfId="0" applyFont="1" applyFill="1" applyAlignment="1">
      <alignment horizontal="center" vertical="center"/>
    </xf>
    <xf numFmtId="0" fontId="12" fillId="3" borderId="37" xfId="0" applyFont="1" applyFill="1" applyBorder="1" applyAlignment="1">
      <alignment vertical="top"/>
    </xf>
    <xf numFmtId="169" fontId="12" fillId="3" borderId="0" xfId="0" applyNumberFormat="1" applyFont="1" applyFill="1" applyAlignment="1">
      <alignment horizontal="right" vertical="center"/>
    </xf>
    <xf numFmtId="0" fontId="12" fillId="3" borderId="37" xfId="0" applyFont="1" applyFill="1" applyBorder="1" applyAlignment="1">
      <alignment vertical="center"/>
    </xf>
    <xf numFmtId="180" fontId="12" fillId="3" borderId="0" xfId="0" applyNumberFormat="1" applyFont="1" applyFill="1" applyAlignment="1">
      <alignment horizontal="right" vertical="center"/>
    </xf>
    <xf numFmtId="5" fontId="12" fillId="3" borderId="0" xfId="0" applyNumberFormat="1" applyFont="1" applyFill="1" applyAlignment="1">
      <alignment horizontal="right" vertical="center"/>
    </xf>
    <xf numFmtId="206" fontId="12" fillId="3" borderId="0" xfId="0" applyNumberFormat="1" applyFont="1" applyFill="1" applyAlignment="1">
      <alignment horizontal="right" vertical="center"/>
    </xf>
    <xf numFmtId="165" fontId="12" fillId="3" borderId="0" xfId="3" applyNumberFormat="1" applyFont="1" applyFill="1" applyBorder="1" applyAlignment="1">
      <alignment horizontal="right" vertical="center"/>
    </xf>
    <xf numFmtId="168" fontId="12" fillId="3" borderId="0" xfId="0" applyNumberFormat="1" applyFont="1" applyFill="1" applyAlignment="1">
      <alignment horizontal="right" vertical="center"/>
    </xf>
    <xf numFmtId="0" fontId="12" fillId="4" borderId="32" xfId="0" applyFont="1" applyFill="1" applyBorder="1"/>
    <xf numFmtId="0" fontId="15" fillId="4" borderId="0" xfId="0" applyFont="1" applyFill="1" applyAlignment="1">
      <alignment vertical="center"/>
    </xf>
    <xf numFmtId="0" fontId="15" fillId="4" borderId="0" xfId="3" applyNumberFormat="1" applyFont="1" applyFill="1" applyBorder="1" applyAlignment="1">
      <alignment horizontal="right" vertical="center"/>
    </xf>
    <xf numFmtId="0" fontId="12" fillId="4" borderId="37" xfId="0" applyFont="1" applyFill="1" applyBorder="1" applyAlignment="1">
      <alignment vertical="top"/>
    </xf>
    <xf numFmtId="165" fontId="12" fillId="3" borderId="0" xfId="3" applyNumberFormat="1" applyFont="1" applyFill="1" applyBorder="1" applyAlignment="1">
      <alignment horizontal="right"/>
    </xf>
    <xf numFmtId="169" fontId="12" fillId="3" borderId="0" xfId="0" applyNumberFormat="1" applyFont="1" applyFill="1" applyAlignment="1">
      <alignment horizontal="right"/>
    </xf>
    <xf numFmtId="0" fontId="12" fillId="5" borderId="32" xfId="0" applyFont="1" applyFill="1" applyBorder="1"/>
    <xf numFmtId="0" fontId="14" fillId="5" borderId="0" xfId="0" applyFont="1" applyFill="1" applyAlignment="1">
      <alignment vertical="center"/>
    </xf>
    <xf numFmtId="165" fontId="14" fillId="5" borderId="0" xfId="3" applyNumberFormat="1" applyFont="1" applyFill="1" applyBorder="1" applyAlignment="1">
      <alignment horizontal="right" vertical="center"/>
    </xf>
    <xf numFmtId="169" fontId="14" fillId="5" borderId="0" xfId="0" applyNumberFormat="1" applyFont="1" applyFill="1" applyAlignment="1">
      <alignment vertical="center"/>
    </xf>
    <xf numFmtId="0" fontId="12" fillId="5" borderId="0" xfId="0" applyFont="1" applyFill="1"/>
    <xf numFmtId="0" fontId="12" fillId="5" borderId="37" xfId="0" applyFont="1" applyFill="1" applyBorder="1"/>
    <xf numFmtId="0" fontId="15" fillId="4" borderId="0" xfId="0" applyFont="1" applyFill="1" applyAlignment="1">
      <alignment horizontal="right" vertical="center"/>
    </xf>
    <xf numFmtId="0" fontId="12" fillId="3" borderId="0" xfId="0" applyFont="1" applyFill="1" applyAlignment="1">
      <alignment horizontal="left"/>
    </xf>
    <xf numFmtId="178" fontId="12" fillId="3" borderId="0" xfId="0" applyNumberFormat="1" applyFont="1" applyFill="1" applyAlignment="1">
      <alignment vertical="center"/>
    </xf>
    <xf numFmtId="0" fontId="17" fillId="4" borderId="0" xfId="0" applyFont="1" applyFill="1" applyAlignment="1">
      <alignment horizontal="left" vertical="center"/>
    </xf>
    <xf numFmtId="0" fontId="14" fillId="5" borderId="0" xfId="0" applyFont="1" applyFill="1" applyAlignment="1">
      <alignment horizontal="center" vertical="center"/>
    </xf>
    <xf numFmtId="169" fontId="12" fillId="3" borderId="45" xfId="0" applyNumberFormat="1" applyFont="1" applyFill="1" applyBorder="1" applyAlignment="1">
      <alignment horizontal="center" vertical="center"/>
    </xf>
    <xf numFmtId="165" fontId="12" fillId="3" borderId="0" xfId="3" applyNumberFormat="1" applyFont="1" applyFill="1" applyBorder="1" applyAlignment="1">
      <alignment horizontal="center" vertical="center"/>
    </xf>
    <xf numFmtId="168" fontId="12" fillId="3" borderId="0" xfId="0" applyNumberFormat="1" applyFont="1" applyFill="1" applyAlignment="1">
      <alignment horizontal="center" vertical="center"/>
    </xf>
    <xf numFmtId="178" fontId="12" fillId="3" borderId="2" xfId="0" applyNumberFormat="1" applyFont="1" applyFill="1" applyBorder="1" applyAlignment="1">
      <alignment horizontal="center"/>
    </xf>
    <xf numFmtId="0" fontId="14" fillId="5" borderId="0" xfId="0" applyFont="1" applyFill="1" applyAlignment="1">
      <alignment horizontal="center"/>
    </xf>
    <xf numFmtId="0" fontId="17" fillId="10" borderId="0" xfId="0" applyFont="1" applyFill="1" applyAlignment="1">
      <alignment horizontal="center"/>
    </xf>
    <xf numFmtId="0" fontId="11" fillId="5" borderId="0" xfId="0" applyFont="1" applyFill="1"/>
    <xf numFmtId="0" fontId="12" fillId="5" borderId="0" xfId="0" applyFont="1" applyFill="1" applyAlignment="1">
      <alignment horizontal="center"/>
    </xf>
    <xf numFmtId="0" fontId="0" fillId="5" borderId="0" xfId="0" applyFill="1"/>
    <xf numFmtId="10" fontId="14" fillId="5" borderId="4" xfId="0" applyNumberFormat="1" applyFont="1" applyFill="1" applyBorder="1" applyAlignment="1">
      <alignment horizontal="center"/>
    </xf>
    <xf numFmtId="205" fontId="14" fillId="5" borderId="4" xfId="0" applyNumberFormat="1" applyFont="1" applyFill="1" applyBorder="1" applyAlignment="1">
      <alignment horizontal="center"/>
    </xf>
    <xf numFmtId="5" fontId="14" fillId="5" borderId="4" xfId="0" applyNumberFormat="1" applyFont="1" applyFill="1" applyBorder="1" applyAlignment="1">
      <alignment horizontal="center"/>
    </xf>
    <xf numFmtId="207" fontId="12" fillId="5" borderId="0" xfId="0" applyNumberFormat="1" applyFont="1" applyFill="1" applyAlignment="1">
      <alignment horizontal="center"/>
    </xf>
    <xf numFmtId="0" fontId="10" fillId="4" borderId="0" xfId="0" applyFont="1" applyFill="1"/>
    <xf numFmtId="0" fontId="14" fillId="5" borderId="0" xfId="0" applyFont="1" applyFill="1"/>
    <xf numFmtId="0" fontId="33" fillId="5" borderId="0" xfId="0" applyFont="1" applyFill="1" applyAlignment="1">
      <alignment horizontal="right"/>
    </xf>
    <xf numFmtId="0" fontId="17" fillId="4" borderId="0" xfId="0" applyFont="1" applyFill="1"/>
    <xf numFmtId="0" fontId="17" fillId="4" borderId="0" xfId="0" applyFont="1" applyFill="1" applyAlignment="1">
      <alignment horizontal="left"/>
    </xf>
    <xf numFmtId="207" fontId="17" fillId="4" borderId="0" xfId="0" applyNumberFormat="1" applyFont="1" applyFill="1" applyAlignment="1">
      <alignment horizontal="center"/>
    </xf>
    <xf numFmtId="208" fontId="17" fillId="4" borderId="0" xfId="0" applyNumberFormat="1" applyFont="1" applyFill="1" applyAlignment="1">
      <alignment horizontal="center"/>
    </xf>
    <xf numFmtId="168" fontId="12" fillId="3" borderId="0" xfId="0" applyNumberFormat="1" applyFont="1" applyFill="1" applyAlignment="1">
      <alignment horizontal="center"/>
    </xf>
    <xf numFmtId="165" fontId="12" fillId="3" borderId="0" xfId="0" applyNumberFormat="1" applyFont="1" applyFill="1" applyAlignment="1">
      <alignment horizontal="center"/>
    </xf>
    <xf numFmtId="0" fontId="33" fillId="3" borderId="0" xfId="0" applyFont="1" applyFill="1" applyAlignment="1">
      <alignment horizontal="right"/>
    </xf>
    <xf numFmtId="10" fontId="12" fillId="3" borderId="0" xfId="3" applyNumberFormat="1" applyFont="1" applyFill="1"/>
    <xf numFmtId="10" fontId="26" fillId="5" borderId="0" xfId="0" applyNumberFormat="1" applyFont="1" applyFill="1" applyAlignment="1">
      <alignment horizontal="left" indent="1"/>
    </xf>
    <xf numFmtId="41" fontId="12" fillId="3" borderId="0" xfId="0" applyNumberFormat="1" applyFont="1" applyFill="1" applyAlignment="1">
      <alignment horizontal="center"/>
    </xf>
    <xf numFmtId="41" fontId="12" fillId="3" borderId="0" xfId="0" applyNumberFormat="1" applyFont="1" applyFill="1"/>
    <xf numFmtId="10" fontId="26" fillId="3" borderId="0" xfId="0" applyNumberFormat="1" applyFont="1" applyFill="1" applyAlignment="1">
      <alignment horizontal="left" indent="1"/>
    </xf>
    <xf numFmtId="207" fontId="12" fillId="3" borderId="0" xfId="0" applyNumberFormat="1" applyFont="1" applyFill="1" applyAlignment="1">
      <alignment horizontal="center"/>
    </xf>
    <xf numFmtId="0" fontId="91" fillId="4" borderId="0" xfId="0" applyFont="1" applyFill="1"/>
    <xf numFmtId="168" fontId="26" fillId="5" borderId="0" xfId="0" applyNumberFormat="1" applyFont="1" applyFill="1" applyAlignment="1">
      <alignment horizontal="left" indent="1"/>
    </xf>
    <xf numFmtId="168" fontId="12" fillId="3" borderId="0" xfId="3" applyNumberFormat="1" applyFont="1" applyFill="1" applyAlignment="1">
      <alignment horizontal="center"/>
    </xf>
    <xf numFmtId="168" fontId="14" fillId="3" borderId="0" xfId="3" applyNumberFormat="1" applyFont="1" applyFill="1" applyAlignment="1">
      <alignment horizontal="center"/>
    </xf>
    <xf numFmtId="41" fontId="11" fillId="3" borderId="0" xfId="0" applyNumberFormat="1" applyFont="1" applyFill="1"/>
    <xf numFmtId="41" fontId="52" fillId="3" borderId="0" xfId="0" applyNumberFormat="1" applyFont="1" applyFill="1" applyAlignment="1">
      <alignment horizontal="center"/>
    </xf>
    <xf numFmtId="41" fontId="14" fillId="3" borderId="52" xfId="0" applyNumberFormat="1" applyFont="1" applyFill="1" applyBorder="1" applyAlignment="1">
      <alignment horizontal="center"/>
    </xf>
    <xf numFmtId="0" fontId="92" fillId="4" borderId="0" xfId="0" applyFont="1" applyFill="1" applyAlignment="1">
      <alignment horizontal="right"/>
    </xf>
    <xf numFmtId="0" fontId="93" fillId="4" borderId="0" xfId="0" applyFont="1" applyFill="1" applyAlignment="1">
      <alignment horizontal="left" indent="1"/>
    </xf>
    <xf numFmtId="10" fontId="14" fillId="3" borderId="0" xfId="0" applyNumberFormat="1" applyFont="1" applyFill="1" applyAlignment="1">
      <alignment horizontal="center"/>
    </xf>
    <xf numFmtId="165" fontId="19" fillId="3" borderId="0" xfId="0" applyNumberFormat="1" applyFont="1" applyFill="1" applyAlignment="1">
      <alignment horizontal="center"/>
    </xf>
    <xf numFmtId="168" fontId="19" fillId="3" borderId="0" xfId="0" applyNumberFormat="1" applyFont="1" applyFill="1" applyAlignment="1">
      <alignment horizontal="center"/>
    </xf>
    <xf numFmtId="9" fontId="19" fillId="3" borderId="0" xfId="3" applyFont="1" applyFill="1" applyAlignment="1">
      <alignment horizontal="center"/>
    </xf>
    <xf numFmtId="165" fontId="19" fillId="3" borderId="0" xfId="3" applyNumberFormat="1" applyFont="1" applyFill="1" applyAlignment="1">
      <alignment horizontal="center"/>
    </xf>
    <xf numFmtId="41" fontId="94" fillId="3" borderId="0" xfId="0" applyNumberFormat="1" applyFont="1" applyFill="1"/>
    <xf numFmtId="41" fontId="94" fillId="3" borderId="0" xfId="0" applyNumberFormat="1" applyFont="1" applyFill="1" applyAlignment="1">
      <alignment horizontal="center"/>
    </xf>
    <xf numFmtId="41" fontId="0" fillId="3" borderId="0" xfId="0" applyNumberFormat="1" applyFill="1"/>
    <xf numFmtId="41" fontId="14" fillId="5" borderId="4" xfId="0" applyNumberFormat="1" applyFont="1" applyFill="1" applyBorder="1" applyAlignment="1">
      <alignment horizontal="center"/>
    </xf>
    <xf numFmtId="168" fontId="14" fillId="5" borderId="4" xfId="0" applyNumberFormat="1" applyFont="1" applyFill="1" applyBorder="1" applyAlignment="1">
      <alignment horizontal="center"/>
    </xf>
    <xf numFmtId="0" fontId="91" fillId="3" borderId="0" xfId="0" applyFont="1" applyFill="1"/>
    <xf numFmtId="0" fontId="91" fillId="5" borderId="0" xfId="0" applyFont="1" applyFill="1"/>
    <xf numFmtId="38" fontId="75" fillId="3" borderId="52" xfId="11" applyFont="1" applyFill="1" applyBorder="1"/>
    <xf numFmtId="38" fontId="3" fillId="3" borderId="52" xfId="11" applyFill="1" applyBorder="1"/>
    <xf numFmtId="38" fontId="3" fillId="0" borderId="52" xfId="11" applyBorder="1"/>
    <xf numFmtId="38" fontId="12" fillId="3" borderId="37" xfId="11" applyFont="1" applyFill="1" applyBorder="1" applyAlignment="1">
      <alignment horizontal="center" vertical="center"/>
    </xf>
    <xf numFmtId="38" fontId="86" fillId="0" borderId="52" xfId="11" applyFont="1" applyBorder="1" applyAlignment="1">
      <alignment horizontal="center"/>
    </xf>
    <xf numFmtId="38" fontId="49" fillId="3" borderId="52" xfId="11" applyFont="1" applyFill="1" applyBorder="1" applyAlignment="1">
      <alignment horizontal="right"/>
    </xf>
    <xf numFmtId="38" fontId="25" fillId="0" borderId="0" xfId="11" applyFont="1" applyBorder="1" applyAlignment="1">
      <alignment horizontal="left"/>
    </xf>
    <xf numFmtId="44" fontId="12" fillId="3" borderId="0" xfId="2" applyFont="1" applyFill="1"/>
    <xf numFmtId="0" fontId="21" fillId="3" borderId="21" xfId="0" applyFont="1" applyFill="1" applyBorder="1" applyAlignment="1">
      <alignment horizontal="center"/>
    </xf>
    <xf numFmtId="0" fontId="95" fillId="3" borderId="4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186" fontId="25" fillId="3" borderId="22" xfId="0" applyNumberFormat="1" applyFont="1" applyFill="1" applyBorder="1"/>
    <xf numFmtId="42" fontId="12" fillId="3" borderId="0" xfId="0" applyNumberFormat="1" applyFont="1" applyFill="1"/>
    <xf numFmtId="165" fontId="19" fillId="3" borderId="0" xfId="3" applyNumberFormat="1" applyFont="1" applyFill="1" applyBorder="1" applyAlignment="1">
      <alignment horizontal="center"/>
    </xf>
    <xf numFmtId="175" fontId="14" fillId="0" borderId="40" xfId="0" applyNumberFormat="1" applyFont="1" applyBorder="1" applyAlignment="1">
      <alignment horizontal="center"/>
    </xf>
    <xf numFmtId="175" fontId="14" fillId="0" borderId="18" xfId="0" applyNumberFormat="1" applyFont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12" fillId="3" borderId="16" xfId="0" applyNumberFormat="1" applyFont="1" applyFill="1" applyBorder="1"/>
    <xf numFmtId="200" fontId="0" fillId="3" borderId="0" xfId="0" applyNumberFormat="1" applyFill="1"/>
    <xf numFmtId="42" fontId="0" fillId="3" borderId="0" xfId="0" applyNumberFormat="1" applyFill="1"/>
    <xf numFmtId="209" fontId="0" fillId="3" borderId="0" xfId="0" applyNumberFormat="1" applyFill="1"/>
    <xf numFmtId="164" fontId="0" fillId="3" borderId="32" xfId="2" applyNumberFormat="1" applyFont="1" applyFill="1" applyBorder="1"/>
    <xf numFmtId="0" fontId="0" fillId="3" borderId="0" xfId="0" applyFill="1" applyAlignment="1">
      <alignment horizontal="center"/>
    </xf>
    <xf numFmtId="164" fontId="0" fillId="3" borderId="37" xfId="2" applyNumberFormat="1" applyFont="1" applyFill="1" applyBorder="1"/>
    <xf numFmtId="44" fontId="0" fillId="3" borderId="32" xfId="2" applyFont="1" applyFill="1" applyBorder="1"/>
    <xf numFmtId="44" fontId="0" fillId="3" borderId="37" xfId="2" applyFont="1" applyFill="1" applyBorder="1"/>
    <xf numFmtId="0" fontId="0" fillId="3" borderId="2" xfId="0" applyFill="1" applyBorder="1"/>
    <xf numFmtId="0" fontId="2" fillId="3" borderId="49" xfId="0" applyFont="1" applyFill="1" applyBorder="1" applyAlignment="1">
      <alignment horizontal="center"/>
    </xf>
    <xf numFmtId="0" fontId="2" fillId="3" borderId="48" xfId="0" applyFont="1" applyFill="1" applyBorder="1" applyAlignment="1">
      <alignment horizontal="center"/>
    </xf>
    <xf numFmtId="2" fontId="0" fillId="3" borderId="5" xfId="0" applyNumberFormat="1" applyFill="1" applyBorder="1"/>
    <xf numFmtId="165" fontId="0" fillId="3" borderId="48" xfId="0" applyNumberFormat="1" applyFill="1" applyBorder="1"/>
    <xf numFmtId="0" fontId="2" fillId="3" borderId="1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35" fillId="3" borderId="0" xfId="7" applyFont="1" applyFill="1" applyAlignment="1">
      <alignment horizontal="right" indent="2"/>
    </xf>
    <xf numFmtId="164" fontId="35" fillId="3" borderId="0" xfId="2" applyNumberFormat="1" applyFont="1" applyFill="1" applyBorder="1"/>
    <xf numFmtId="0" fontId="96" fillId="3" borderId="0" xfId="7" applyFont="1" applyFill="1" applyAlignment="1">
      <alignment horizontal="right" indent="2"/>
    </xf>
    <xf numFmtId="164" fontId="96" fillId="3" borderId="0" xfId="2" applyNumberFormat="1" applyFont="1" applyFill="1" applyBorder="1"/>
    <xf numFmtId="0" fontId="97" fillId="3" borderId="2" xfId="0" applyFont="1" applyFill="1" applyBorder="1" applyAlignment="1">
      <alignment horizontal="right" indent="1"/>
    </xf>
    <xf numFmtId="164" fontId="97" fillId="3" borderId="0" xfId="2" applyNumberFormat="1" applyFont="1" applyFill="1" applyBorder="1"/>
    <xf numFmtId="38" fontId="12" fillId="3" borderId="37" xfId="11" applyFont="1" applyFill="1" applyBorder="1" applyAlignment="1" applyProtection="1">
      <alignment horizontal="right"/>
    </xf>
    <xf numFmtId="14" fontId="20" fillId="3" borderId="37" xfId="11" applyNumberFormat="1" applyFont="1" applyFill="1" applyBorder="1" applyAlignment="1">
      <alignment horizontal="right"/>
    </xf>
    <xf numFmtId="38" fontId="20" fillId="3" borderId="52" xfId="11" applyFont="1" applyFill="1" applyBorder="1"/>
    <xf numFmtId="38" fontId="20" fillId="3" borderId="2" xfId="11" applyFont="1" applyFill="1" applyBorder="1"/>
    <xf numFmtId="175" fontId="68" fillId="9" borderId="0" xfId="0" applyNumberFormat="1" applyFont="1" applyFill="1" applyAlignment="1">
      <alignment horizontal="center"/>
    </xf>
    <xf numFmtId="0" fontId="14" fillId="9" borderId="0" xfId="0" applyFont="1" applyFill="1" applyAlignment="1">
      <alignment horizontal="center"/>
    </xf>
    <xf numFmtId="0" fontId="12" fillId="9" borderId="0" xfId="0" applyFont="1" applyFill="1" applyAlignment="1">
      <alignment horizontal="center"/>
    </xf>
    <xf numFmtId="1" fontId="12" fillId="9" borderId="0" xfId="0" applyNumberFormat="1" applyFont="1" applyFill="1" applyAlignment="1">
      <alignment horizontal="center"/>
    </xf>
    <xf numFmtId="5" fontId="12" fillId="9" borderId="0" xfId="0" applyNumberFormat="1" applyFont="1" applyFill="1" applyAlignment="1">
      <alignment horizontal="center"/>
    </xf>
    <xf numFmtId="9" fontId="12" fillId="9" borderId="0" xfId="3" applyFont="1" applyFill="1" applyBorder="1" applyAlignment="1">
      <alignment horizontal="center"/>
    </xf>
    <xf numFmtId="169" fontId="12" fillId="9" borderId="0" xfId="0" applyNumberFormat="1" applyFont="1" applyFill="1" applyAlignment="1">
      <alignment horizontal="center"/>
    </xf>
    <xf numFmtId="5" fontId="20" fillId="9" borderId="0" xfId="0" applyNumberFormat="1" applyFont="1" applyFill="1" applyAlignment="1">
      <alignment horizontal="center"/>
    </xf>
    <xf numFmtId="5" fontId="52" fillId="9" borderId="52" xfId="0" applyNumberFormat="1" applyFont="1" applyFill="1" applyBorder="1" applyAlignment="1">
      <alignment horizontal="center"/>
    </xf>
    <xf numFmtId="5" fontId="52" fillId="9" borderId="0" xfId="0" applyNumberFormat="1" applyFont="1" applyFill="1" applyAlignment="1">
      <alignment horizontal="center"/>
    </xf>
    <xf numFmtId="5" fontId="52" fillId="9" borderId="2" xfId="0" applyNumberFormat="1" applyFont="1" applyFill="1" applyBorder="1" applyAlignment="1">
      <alignment horizontal="center"/>
    </xf>
    <xf numFmtId="5" fontId="14" fillId="9" borderId="52" xfId="0" applyNumberFormat="1" applyFont="1" applyFill="1" applyBorder="1" applyAlignment="1">
      <alignment horizontal="center"/>
    </xf>
    <xf numFmtId="5" fontId="14" fillId="9" borderId="0" xfId="0" applyNumberFormat="1" applyFont="1" applyFill="1" applyAlignment="1">
      <alignment horizontal="center"/>
    </xf>
    <xf numFmtId="169" fontId="14" fillId="9" borderId="83" xfId="0" applyNumberFormat="1" applyFont="1" applyFill="1" applyBorder="1" applyAlignment="1">
      <alignment horizontal="center"/>
    </xf>
    <xf numFmtId="169" fontId="14" fillId="9" borderId="0" xfId="0" applyNumberFormat="1" applyFont="1" applyFill="1" applyAlignment="1">
      <alignment horizontal="center"/>
    </xf>
    <xf numFmtId="169" fontId="14" fillId="9" borderId="52" xfId="0" applyNumberFormat="1" applyFont="1" applyFill="1" applyBorder="1" applyAlignment="1">
      <alignment horizontal="center"/>
    </xf>
    <xf numFmtId="5" fontId="71" fillId="3" borderId="1" xfId="0" applyNumberFormat="1" applyFont="1" applyFill="1" applyBorder="1" applyAlignment="1">
      <alignment horizontal="center" vertical="center"/>
    </xf>
    <xf numFmtId="0" fontId="25" fillId="3" borderId="49" xfId="0" applyFont="1" applyFill="1" applyBorder="1" applyAlignment="1">
      <alignment horizontal="center"/>
    </xf>
    <xf numFmtId="164" fontId="25" fillId="3" borderId="0" xfId="0" applyNumberFormat="1" applyFont="1" applyFill="1"/>
    <xf numFmtId="183" fontId="19" fillId="3" borderId="0" xfId="0" applyNumberFormat="1" applyFont="1" applyFill="1" applyAlignment="1">
      <alignment horizontal="center"/>
    </xf>
    <xf numFmtId="0" fontId="100" fillId="0" borderId="109" xfId="0" applyFont="1" applyBorder="1" applyAlignment="1">
      <alignment horizontal="left" vertical="center"/>
    </xf>
    <xf numFmtId="167" fontId="101" fillId="0" borderId="109" xfId="0" applyNumberFormat="1" applyFont="1" applyBorder="1" applyAlignment="1">
      <alignment horizontal="right" vertical="center"/>
    </xf>
    <xf numFmtId="10" fontId="101" fillId="0" borderId="109" xfId="0" applyNumberFormat="1" applyFont="1" applyBorder="1" applyAlignment="1">
      <alignment horizontal="right" vertical="center"/>
    </xf>
    <xf numFmtId="0" fontId="101" fillId="0" borderId="109" xfId="0" applyFont="1" applyBorder="1" applyAlignment="1">
      <alignment horizontal="right" vertical="center"/>
    </xf>
    <xf numFmtId="2" fontId="101" fillId="0" borderId="109" xfId="0" applyNumberFormat="1" applyFont="1" applyBorder="1" applyAlignment="1">
      <alignment horizontal="right" vertical="center"/>
    </xf>
    <xf numFmtId="0" fontId="102" fillId="0" borderId="109" xfId="0" applyFont="1" applyBorder="1" applyAlignment="1">
      <alignment horizontal="center" vertical="center"/>
    </xf>
    <xf numFmtId="167" fontId="102" fillId="0" borderId="109" xfId="0" applyNumberFormat="1" applyFont="1" applyBorder="1" applyAlignment="1">
      <alignment horizontal="right" vertical="center"/>
    </xf>
    <xf numFmtId="0" fontId="103" fillId="0" borderId="0" xfId="0" applyFont="1"/>
    <xf numFmtId="0" fontId="104" fillId="11" borderId="109" xfId="0" applyFont="1" applyFill="1" applyBorder="1" applyAlignment="1">
      <alignment horizontal="center" vertical="center" wrapText="1"/>
    </xf>
    <xf numFmtId="168" fontId="14" fillId="3" borderId="110" xfId="0" applyNumberFormat="1" applyFont="1" applyFill="1" applyBorder="1" applyAlignment="1">
      <alignment horizontal="center"/>
    </xf>
    <xf numFmtId="165" fontId="14" fillId="3" borderId="111" xfId="0" applyNumberFormat="1" applyFont="1" applyFill="1" applyBorder="1" applyAlignment="1">
      <alignment horizontal="center"/>
    </xf>
    <xf numFmtId="0" fontId="12" fillId="3" borderId="112" xfId="0" applyFont="1" applyFill="1" applyBorder="1" applyAlignment="1">
      <alignment horizontal="center"/>
    </xf>
    <xf numFmtId="0" fontId="14" fillId="3" borderId="5" xfId="0" applyFont="1" applyFill="1" applyBorder="1" applyAlignment="1">
      <alignment horizontal="center"/>
    </xf>
    <xf numFmtId="0" fontId="14" fillId="3" borderId="49" xfId="0" applyFont="1" applyFill="1" applyBorder="1" applyAlignment="1">
      <alignment horizontal="center"/>
    </xf>
    <xf numFmtId="0" fontId="14" fillId="3" borderId="48" xfId="0" applyFont="1" applyFill="1" applyBorder="1" applyAlignment="1">
      <alignment horizontal="center"/>
    </xf>
    <xf numFmtId="0" fontId="14" fillId="3" borderId="113" xfId="0" applyFont="1" applyFill="1" applyBorder="1" applyAlignment="1">
      <alignment horizontal="center"/>
    </xf>
    <xf numFmtId="167" fontId="105" fillId="0" borderId="109" xfId="0" applyNumberFormat="1" applyFont="1" applyBorder="1" applyAlignment="1">
      <alignment horizontal="right" vertical="center"/>
    </xf>
    <xf numFmtId="3" fontId="4" fillId="3" borderId="0" xfId="0" applyNumberFormat="1" applyFont="1" applyFill="1" applyAlignment="1">
      <alignment vertical="top"/>
    </xf>
    <xf numFmtId="4" fontId="4" fillId="3" borderId="0" xfId="0" applyNumberFormat="1" applyFont="1" applyFill="1" applyAlignment="1">
      <alignment vertical="top"/>
    </xf>
    <xf numFmtId="44" fontId="4" fillId="3" borderId="0" xfId="2" applyFont="1" applyFill="1" applyAlignment="1">
      <alignment vertical="top"/>
    </xf>
    <xf numFmtId="169" fontId="4" fillId="3" borderId="0" xfId="0" applyNumberFormat="1" applyFont="1" applyFill="1"/>
    <xf numFmtId="0" fontId="22" fillId="3" borderId="0" xfId="0" applyFont="1" applyFill="1" applyAlignment="1">
      <alignment horizontal="center"/>
    </xf>
    <xf numFmtId="0" fontId="15" fillId="4" borderId="0" xfId="0" applyFont="1" applyFill="1" applyAlignment="1">
      <alignment horizontal="left" vertical="center"/>
    </xf>
    <xf numFmtId="0" fontId="90" fillId="4" borderId="0" xfId="0" applyFont="1" applyFill="1" applyAlignment="1">
      <alignment horizontal="center" vertical="center"/>
    </xf>
    <xf numFmtId="0" fontId="15" fillId="4" borderId="21" xfId="0" applyFont="1" applyFill="1" applyBorder="1" applyAlignment="1">
      <alignment horizontal="center"/>
    </xf>
    <xf numFmtId="0" fontId="15" fillId="4" borderId="52" xfId="0" applyFont="1" applyFill="1" applyBorder="1" applyAlignment="1">
      <alignment horizontal="center"/>
    </xf>
    <xf numFmtId="0" fontId="15" fillId="4" borderId="22" xfId="0" applyFont="1" applyFill="1" applyBorder="1" applyAlignment="1">
      <alignment horizontal="center"/>
    </xf>
    <xf numFmtId="0" fontId="15" fillId="4" borderId="38" xfId="0" applyFont="1" applyFill="1" applyBorder="1" applyAlignment="1">
      <alignment horizontal="center"/>
    </xf>
    <xf numFmtId="0" fontId="15" fillId="4" borderId="1" xfId="0" applyFont="1" applyFill="1" applyBorder="1" applyAlignment="1">
      <alignment horizontal="center"/>
    </xf>
    <xf numFmtId="0" fontId="15" fillId="4" borderId="43" xfId="0" applyFont="1" applyFill="1" applyBorder="1" applyAlignment="1">
      <alignment horizontal="center"/>
    </xf>
    <xf numFmtId="0" fontId="15" fillId="4" borderId="21" xfId="0" applyFont="1" applyFill="1" applyBorder="1" applyAlignment="1">
      <alignment horizontal="center" vertical="center"/>
    </xf>
    <xf numFmtId="0" fontId="15" fillId="4" borderId="52" xfId="0" applyFont="1" applyFill="1" applyBorder="1" applyAlignment="1">
      <alignment horizontal="center" vertical="center"/>
    </xf>
    <xf numFmtId="0" fontId="15" fillId="4" borderId="22" xfId="0" applyFont="1" applyFill="1" applyBorder="1" applyAlignment="1">
      <alignment horizontal="center" vertical="center"/>
    </xf>
    <xf numFmtId="0" fontId="17" fillId="4" borderId="38" xfId="0" applyFont="1" applyFill="1" applyBorder="1" applyAlignment="1">
      <alignment horizontal="center"/>
    </xf>
    <xf numFmtId="0" fontId="17" fillId="4" borderId="1" xfId="0" applyFont="1" applyFill="1" applyBorder="1" applyAlignment="1">
      <alignment horizontal="center"/>
    </xf>
    <xf numFmtId="0" fontId="17" fillId="4" borderId="43" xfId="0" applyFont="1" applyFill="1" applyBorder="1" applyAlignment="1">
      <alignment horizontal="center"/>
    </xf>
    <xf numFmtId="0" fontId="17" fillId="4" borderId="38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/>
    </xf>
    <xf numFmtId="0" fontId="17" fillId="4" borderId="43" xfId="0" applyFont="1" applyFill="1" applyBorder="1" applyAlignment="1">
      <alignment horizontal="center" vertical="center"/>
    </xf>
    <xf numFmtId="0" fontId="17" fillId="4" borderId="52" xfId="0" applyFont="1" applyFill="1" applyBorder="1" applyAlignment="1">
      <alignment horizontal="center" vertical="center"/>
    </xf>
    <xf numFmtId="0" fontId="17" fillId="4" borderId="21" xfId="0" applyFont="1" applyFill="1" applyBorder="1" applyAlignment="1">
      <alignment horizontal="center"/>
    </xf>
    <xf numFmtId="0" fontId="17" fillId="4" borderId="52" xfId="0" applyFont="1" applyFill="1" applyBorder="1" applyAlignment="1">
      <alignment horizontal="center"/>
    </xf>
    <xf numFmtId="0" fontId="17" fillId="4" borderId="22" xfId="0" applyFont="1" applyFill="1" applyBorder="1" applyAlignment="1">
      <alignment horizontal="center"/>
    </xf>
    <xf numFmtId="0" fontId="14" fillId="5" borderId="38" xfId="21" applyFont="1" applyFill="1" applyBorder="1" applyAlignment="1">
      <alignment horizontal="center"/>
    </xf>
    <xf numFmtId="0" fontId="14" fillId="5" borderId="1" xfId="21" applyFont="1" applyFill="1" applyBorder="1" applyAlignment="1">
      <alignment horizontal="center"/>
    </xf>
    <xf numFmtId="0" fontId="14" fillId="5" borderId="43" xfId="21" applyFont="1" applyFill="1" applyBorder="1" applyAlignment="1">
      <alignment horizontal="center"/>
    </xf>
    <xf numFmtId="0" fontId="14" fillId="5" borderId="35" xfId="0" applyFont="1" applyFill="1" applyBorder="1" applyAlignment="1">
      <alignment horizontal="center"/>
    </xf>
    <xf numFmtId="0" fontId="14" fillId="5" borderId="2" xfId="0" applyFont="1" applyFill="1" applyBorder="1" applyAlignment="1">
      <alignment horizontal="center"/>
    </xf>
    <xf numFmtId="0" fontId="14" fillId="5" borderId="0" xfId="0" applyFont="1" applyFill="1" applyAlignment="1">
      <alignment horizontal="center"/>
    </xf>
    <xf numFmtId="0" fontId="14" fillId="5" borderId="36" xfId="0" applyFont="1" applyFill="1" applyBorder="1" applyAlignment="1">
      <alignment horizontal="center"/>
    </xf>
    <xf numFmtId="49" fontId="14" fillId="3" borderId="0" xfId="0" applyNumberFormat="1" applyFont="1" applyFill="1" applyAlignment="1">
      <alignment horizontal="center"/>
    </xf>
    <xf numFmtId="49" fontId="21" fillId="3" borderId="32" xfId="0" applyNumberFormat="1" applyFont="1" applyFill="1" applyBorder="1" applyAlignment="1">
      <alignment horizontal="center"/>
    </xf>
    <xf numFmtId="49" fontId="21" fillId="3" borderId="37" xfId="0" applyNumberFormat="1" applyFont="1" applyFill="1" applyBorder="1" applyAlignment="1">
      <alignment horizontal="center"/>
    </xf>
    <xf numFmtId="0" fontId="31" fillId="4" borderId="52" xfId="0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99" fillId="11" borderId="0" xfId="0" applyFont="1" applyFill="1" applyAlignment="1">
      <alignment horizontal="center" vertical="center"/>
    </xf>
    <xf numFmtId="0" fontId="98" fillId="0" borderId="0" xfId="0" applyFont="1"/>
    <xf numFmtId="0" fontId="0" fillId="0" borderId="0" xfId="0"/>
    <xf numFmtId="0" fontId="99" fillId="11" borderId="0" xfId="0" applyFont="1" applyFill="1" applyAlignment="1">
      <alignment horizontal="left" vertical="center"/>
    </xf>
    <xf numFmtId="0" fontId="14" fillId="3" borderId="32" xfId="0" applyFont="1" applyFill="1" applyBorder="1" applyAlignment="1">
      <alignment horizontal="center"/>
    </xf>
    <xf numFmtId="0" fontId="14" fillId="3" borderId="37" xfId="0" applyFont="1" applyFill="1" applyBorder="1" applyAlignment="1">
      <alignment horizontal="center"/>
    </xf>
    <xf numFmtId="0" fontId="14" fillId="3" borderId="38" xfId="0" applyFont="1" applyFill="1" applyBorder="1" applyAlignment="1">
      <alignment horizontal="center"/>
    </xf>
    <xf numFmtId="0" fontId="14" fillId="3" borderId="43" xfId="0" applyFont="1" applyFill="1" applyBorder="1" applyAlignment="1">
      <alignment horizontal="center"/>
    </xf>
    <xf numFmtId="0" fontId="14" fillId="3" borderId="58" xfId="0" applyFont="1" applyFill="1" applyBorder="1" applyAlignment="1">
      <alignment horizontal="center"/>
    </xf>
    <xf numFmtId="0" fontId="14" fillId="3" borderId="51" xfId="0" applyFont="1" applyFill="1" applyBorder="1" applyAlignment="1">
      <alignment horizontal="center"/>
    </xf>
    <xf numFmtId="0" fontId="14" fillId="3" borderId="35" xfId="0" applyFont="1" applyFill="1" applyBorder="1" applyAlignment="1">
      <alignment horizontal="center"/>
    </xf>
    <xf numFmtId="0" fontId="14" fillId="3" borderId="36" xfId="0" applyFont="1" applyFill="1" applyBorder="1" applyAlignment="1">
      <alignment horizontal="center"/>
    </xf>
    <xf numFmtId="0" fontId="38" fillId="4" borderId="21" xfId="0" applyFont="1" applyFill="1" applyBorder="1" applyAlignment="1">
      <alignment horizontal="center" vertical="center"/>
    </xf>
    <xf numFmtId="0" fontId="38" fillId="4" borderId="52" xfId="0" applyFont="1" applyFill="1" applyBorder="1" applyAlignment="1">
      <alignment horizontal="center" vertical="center"/>
    </xf>
    <xf numFmtId="0" fontId="38" fillId="4" borderId="35" xfId="0" applyFont="1" applyFill="1" applyBorder="1" applyAlignment="1">
      <alignment horizontal="center" vertical="center"/>
    </xf>
    <xf numFmtId="0" fontId="38" fillId="4" borderId="2" xfId="0" applyFont="1" applyFill="1" applyBorder="1" applyAlignment="1">
      <alignment horizontal="center" vertical="center"/>
    </xf>
    <xf numFmtId="0" fontId="14" fillId="3" borderId="21" xfId="0" applyFont="1" applyFill="1" applyBorder="1" applyAlignment="1">
      <alignment horizontal="center"/>
    </xf>
    <xf numFmtId="0" fontId="14" fillId="3" borderId="22" xfId="0" applyFont="1" applyFill="1" applyBorder="1" applyAlignment="1">
      <alignment horizontal="center"/>
    </xf>
    <xf numFmtId="0" fontId="14" fillId="5" borderId="32" xfId="0" applyFont="1" applyFill="1" applyBorder="1" applyAlignment="1">
      <alignment horizontal="center"/>
    </xf>
    <xf numFmtId="0" fontId="14" fillId="5" borderId="37" xfId="0" applyFont="1" applyFill="1" applyBorder="1" applyAlignment="1">
      <alignment horizontal="center"/>
    </xf>
    <xf numFmtId="0" fontId="17" fillId="4" borderId="3" xfId="13" applyFont="1" applyFill="1" applyBorder="1" applyAlignment="1">
      <alignment horizontal="center"/>
    </xf>
    <xf numFmtId="0" fontId="17" fillId="4" borderId="22" xfId="13" applyFont="1" applyFill="1" applyBorder="1" applyAlignment="1">
      <alignment horizontal="center"/>
    </xf>
    <xf numFmtId="0" fontId="17" fillId="4" borderId="38" xfId="13" applyFont="1" applyFill="1" applyBorder="1" applyAlignment="1">
      <alignment horizontal="center"/>
    </xf>
    <xf numFmtId="0" fontId="17" fillId="4" borderId="43" xfId="13" applyFont="1" applyFill="1" applyBorder="1" applyAlignment="1">
      <alignment horizontal="center"/>
    </xf>
    <xf numFmtId="0" fontId="14" fillId="5" borderId="38" xfId="13" applyFont="1" applyFill="1" applyBorder="1" applyAlignment="1">
      <alignment horizontal="center"/>
    </xf>
    <xf numFmtId="0" fontId="14" fillId="5" borderId="43" xfId="13" applyFont="1" applyFill="1" applyBorder="1" applyAlignment="1">
      <alignment horizontal="center"/>
    </xf>
    <xf numFmtId="0" fontId="78" fillId="4" borderId="52" xfId="13" applyFont="1" applyFill="1" applyBorder="1" applyAlignment="1">
      <alignment horizontal="center"/>
    </xf>
    <xf numFmtId="38" fontId="15" fillId="4" borderId="38" xfId="11" applyFont="1" applyFill="1" applyBorder="1" applyAlignment="1">
      <alignment horizontal="center" vertical="center"/>
    </xf>
    <xf numFmtId="38" fontId="15" fillId="4" borderId="1" xfId="11" applyFont="1" applyFill="1" applyBorder="1" applyAlignment="1">
      <alignment horizontal="center" vertical="center"/>
    </xf>
    <xf numFmtId="38" fontId="15" fillId="4" borderId="43" xfId="11" applyFont="1" applyFill="1" applyBorder="1" applyAlignment="1">
      <alignment horizontal="center" vertical="center"/>
    </xf>
    <xf numFmtId="38" fontId="15" fillId="4" borderId="0" xfId="11" applyFont="1" applyFill="1" applyBorder="1" applyAlignment="1">
      <alignment horizontal="center" vertical="center"/>
    </xf>
    <xf numFmtId="38" fontId="15" fillId="4" borderId="37" xfId="11" applyFont="1" applyFill="1" applyBorder="1" applyAlignment="1">
      <alignment horizontal="center" vertical="center"/>
    </xf>
    <xf numFmtId="38" fontId="20" fillId="0" borderId="21" xfId="11" applyFont="1" applyBorder="1" applyAlignment="1">
      <alignment horizontal="left"/>
    </xf>
    <xf numFmtId="38" fontId="20" fillId="0" borderId="52" xfId="11" applyFont="1" applyBorder="1" applyAlignment="1">
      <alignment horizontal="left"/>
    </xf>
    <xf numFmtId="38" fontId="20" fillId="3" borderId="32" xfId="11" applyFont="1" applyFill="1" applyBorder="1" applyAlignment="1">
      <alignment horizontal="left"/>
    </xf>
    <xf numFmtId="38" fontId="20" fillId="3" borderId="0" xfId="11" applyFont="1" applyFill="1" applyBorder="1" applyAlignment="1">
      <alignment horizontal="left"/>
    </xf>
    <xf numFmtId="38" fontId="20" fillId="3" borderId="32" xfId="11" applyFont="1" applyFill="1" applyBorder="1" applyAlignment="1">
      <alignment horizontal="left" vertical="center"/>
    </xf>
    <xf numFmtId="38" fontId="20" fillId="3" borderId="0" xfId="11" applyFont="1" applyFill="1" applyBorder="1" applyAlignment="1">
      <alignment horizontal="left" vertical="center"/>
    </xf>
    <xf numFmtId="38" fontId="20" fillId="0" borderId="35" xfId="11" applyFont="1" applyBorder="1" applyAlignment="1">
      <alignment horizontal="left"/>
    </xf>
    <xf numFmtId="38" fontId="20" fillId="0" borderId="2" xfId="11" applyFont="1" applyBorder="1" applyAlignment="1">
      <alignment horizontal="left"/>
    </xf>
    <xf numFmtId="38" fontId="20" fillId="3" borderId="35" xfId="11" applyFont="1" applyFill="1" applyBorder="1" applyAlignment="1">
      <alignment horizontal="left"/>
    </xf>
    <xf numFmtId="38" fontId="20" fillId="3" borderId="2" xfId="11" applyFont="1" applyFill="1" applyBorder="1" applyAlignment="1">
      <alignment horizontal="left"/>
    </xf>
    <xf numFmtId="39" fontId="15" fillId="4" borderId="38" xfId="11" applyNumberFormat="1" applyFont="1" applyFill="1" applyBorder="1" applyAlignment="1">
      <alignment horizontal="center" vertical="center"/>
    </xf>
    <xf numFmtId="39" fontId="15" fillId="4" borderId="1" xfId="11" applyNumberFormat="1" applyFont="1" applyFill="1" applyBorder="1" applyAlignment="1">
      <alignment horizontal="center" vertical="center"/>
    </xf>
    <xf numFmtId="39" fontId="15" fillId="4" borderId="43" xfId="11" applyNumberFormat="1" applyFont="1" applyFill="1" applyBorder="1" applyAlignment="1">
      <alignment horizontal="center" vertical="center"/>
    </xf>
    <xf numFmtId="38" fontId="20" fillId="0" borderId="32" xfId="11" applyFont="1" applyBorder="1" applyAlignment="1">
      <alignment horizontal="left"/>
    </xf>
    <xf numFmtId="38" fontId="20" fillId="0" borderId="0" xfId="11" applyFont="1" applyBorder="1" applyAlignment="1">
      <alignment horizontal="left"/>
    </xf>
    <xf numFmtId="38" fontId="20" fillId="3" borderId="38" xfId="11" applyFont="1" applyFill="1" applyBorder="1" applyAlignment="1">
      <alignment horizontal="left"/>
    </xf>
    <xf numFmtId="38" fontId="20" fillId="3" borderId="1" xfId="11" applyFont="1" applyFill="1" applyBorder="1" applyAlignment="1">
      <alignment horizontal="left"/>
    </xf>
    <xf numFmtId="38" fontId="20" fillId="3" borderId="21" xfId="11" applyFont="1" applyFill="1" applyBorder="1" applyAlignment="1">
      <alignment horizontal="left"/>
    </xf>
    <xf numFmtId="38" fontId="20" fillId="3" borderId="52" xfId="11" applyFont="1" applyFill="1" applyBorder="1" applyAlignment="1">
      <alignment horizontal="left"/>
    </xf>
    <xf numFmtId="0" fontId="30" fillId="5" borderId="38" xfId="11" applyNumberFormat="1" applyFont="1" applyFill="1" applyBorder="1" applyAlignment="1">
      <alignment horizontal="center" vertical="center" wrapText="1"/>
    </xf>
    <xf numFmtId="0" fontId="30" fillId="5" borderId="1" xfId="11" applyNumberFormat="1" applyFont="1" applyFill="1" applyBorder="1" applyAlignment="1">
      <alignment horizontal="center" vertical="center" wrapText="1"/>
    </xf>
    <xf numFmtId="7" fontId="12" fillId="3" borderId="0" xfId="0" applyNumberFormat="1" applyFont="1" applyFill="1" applyAlignment="1">
      <alignment horizontal="center"/>
    </xf>
    <xf numFmtId="7" fontId="14" fillId="3" borderId="52" xfId="0" applyNumberFormat="1" applyFont="1" applyFill="1" applyBorder="1" applyAlignment="1">
      <alignment horizontal="center"/>
    </xf>
  </cellXfs>
  <cellStyles count="22">
    <cellStyle name="Comma" xfId="1" builtinId="3"/>
    <cellStyle name="Comma 2" xfId="10" xr:uid="{499A5903-CE19-4F26-849B-053BA88AA1C8}"/>
    <cellStyle name="Comma 2 10" xfId="20" xr:uid="{F5204AE4-5383-4449-A91C-64559185D667}"/>
    <cellStyle name="Currency" xfId="2" builtinId="4"/>
    <cellStyle name="Currency 2" xfId="9" xr:uid="{71FA1B05-00F4-4C89-922B-481BDD652E15}"/>
    <cellStyle name="Currency 2 2" xfId="18" xr:uid="{935CA284-77A8-460E-B4CC-19988D37813D}"/>
    <cellStyle name="Currency 3" xfId="5" xr:uid="{8C159A1B-EE99-48AE-BD9F-66140FE8D6C7}"/>
    <cellStyle name="Currency 4" xfId="15" xr:uid="{89F60191-5317-4A63-8FC5-D38F8F4C9935}"/>
    <cellStyle name="Hyperlink" xfId="21" builtinId="8"/>
    <cellStyle name="Hyperlink 2" xfId="16" xr:uid="{E0FEE403-AB2A-4CBA-8C67-D6E56CDF2BAD}"/>
    <cellStyle name="Normal" xfId="0" builtinId="0"/>
    <cellStyle name="Normal 2" xfId="7" xr:uid="{91239AC3-3F6C-4222-A808-9B248C743B55}"/>
    <cellStyle name="Normal 2 3" xfId="19" xr:uid="{EA6FC887-C613-4FFE-AEF4-93465EF69CC9}"/>
    <cellStyle name="Normal 2 4" xfId="11" xr:uid="{B571C2B0-C875-4C93-BD59-14AEFFE1860C}"/>
    <cellStyle name="Normal 3" xfId="13" xr:uid="{D00BBC4E-7461-4157-8CF3-AAC662D69B2B}"/>
    <cellStyle name="Normal 4" xfId="6" xr:uid="{EA9683EB-08EB-4F69-8276-1965B8FA75D0}"/>
    <cellStyle name="Normal 6" xfId="12" xr:uid="{15F4CCB9-B30F-436C-9DDC-DF4E41B3343B}"/>
    <cellStyle name="Percent" xfId="3" builtinId="5"/>
    <cellStyle name="Percent 2" xfId="8" xr:uid="{844155D5-6CB4-4593-BA74-EE113C9D0C40}"/>
    <cellStyle name="Percent 2 2" xfId="17" xr:uid="{43F9905B-D31C-464B-A6F6-258CE56147F6}"/>
    <cellStyle name="Percent 3" xfId="4" xr:uid="{F781A6D9-31E6-49D1-B9BF-461D300370BC}"/>
    <cellStyle name="Percent 4" xfId="14" xr:uid="{C415B46D-2319-4E58-9CFD-4E5D1FEB0640}"/>
  </cellStyles>
  <dxfs count="347">
    <dxf>
      <font>
        <color theme="0"/>
      </font>
      <fill>
        <patternFill>
          <bgColor theme="0"/>
        </patternFill>
      </fill>
      <border>
        <left/>
        <right style="thin">
          <color auto="1"/>
        </right>
        <top/>
        <bottom style="thin">
          <color auto="1"/>
        </bottom>
        <vertical/>
        <horizontal/>
      </border>
    </dxf>
    <dxf>
      <font>
        <color theme="0"/>
      </font>
      <border>
        <right style="thin">
          <color auto="1"/>
        </right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 style="thin">
          <color auto="1"/>
        </right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right style="thin">
          <color auto="1"/>
        </right>
        <top style="thin">
          <color auto="1"/>
        </top>
        <vertical/>
        <horizontal/>
      </border>
    </dxf>
    <dxf>
      <font>
        <color theme="0"/>
      </font>
      <border>
        <right style="thin">
          <color auto="1"/>
        </right>
        <vertical/>
        <horizontal/>
      </border>
    </dxf>
    <dxf>
      <font>
        <color theme="0"/>
      </font>
      <border>
        <right style="thin">
          <color auto="1"/>
        </right>
        <top style="thin">
          <color auto="1"/>
        </top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bottom style="thin">
          <color auto="1"/>
        </bottom>
        <vertical/>
        <horizontal/>
      </border>
    </dxf>
    <dxf>
      <font>
        <color theme="0"/>
      </font>
      <border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top style="thin">
          <color auto="1"/>
        </top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top style="thin">
          <color auto="1"/>
        </top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/>
        <top/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/>
        <top style="thin">
          <color auto="1"/>
        </top>
        <bottom/>
        <vertical/>
        <horizontal/>
      </border>
    </dxf>
    <dxf>
      <font>
        <color theme="0"/>
      </font>
      <border>
        <left style="thin">
          <color auto="1"/>
        </left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bottom style="thin">
          <color auto="1"/>
        </bottom>
        <vertical/>
        <horizontal/>
      </border>
    </dxf>
    <dxf>
      <font>
        <color theme="0"/>
      </font>
    </dxf>
    <dxf>
      <font>
        <color theme="0"/>
      </font>
    </dxf>
    <dxf>
      <numFmt numFmtId="14" formatCode="0.00%"/>
    </dxf>
    <dxf>
      <numFmt numFmtId="9" formatCode="&quot;$&quot;#,##0_);\(&quot;$&quot;#,##0\)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3" tint="0.79998168889431442"/>
      </font>
      <fill>
        <patternFill>
          <bgColor theme="3" tint="0.79998168889431442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theme="0"/>
      </font>
    </dxf>
    <dxf>
      <font>
        <color theme="0"/>
      </font>
    </dxf>
    <dxf>
      <numFmt numFmtId="14" formatCode="0.00%"/>
    </dxf>
    <dxf>
      <numFmt numFmtId="9" formatCode="&quot;$&quot;#,##0_);\(&quot;$&quot;#,##0\)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3" tint="0.79998168889431442"/>
      </font>
      <fill>
        <patternFill>
          <bgColor theme="3" tint="0.79998168889431442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theme="0"/>
      </font>
    </dxf>
    <dxf>
      <font>
        <color theme="0"/>
      </font>
    </dxf>
    <dxf>
      <numFmt numFmtId="14" formatCode="0.00%"/>
    </dxf>
    <dxf>
      <numFmt numFmtId="9" formatCode="&quot;$&quot;#,##0_);\(&quot;$&quot;#,##0\)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3" tint="0.79998168889431442"/>
      </font>
      <fill>
        <patternFill>
          <bgColor theme="3" tint="0.79998168889431442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theme="0"/>
      </font>
    </dxf>
    <dxf>
      <font>
        <color theme="0"/>
      </font>
    </dxf>
    <dxf>
      <numFmt numFmtId="14" formatCode="0.00%"/>
    </dxf>
    <dxf>
      <numFmt numFmtId="9" formatCode="&quot;$&quot;#,##0_);\(&quot;$&quot;#,##0\)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3" tint="0.79998168889431442"/>
      </font>
      <fill>
        <patternFill>
          <bgColor theme="3" tint="0.79998168889431442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theme="0"/>
      </font>
    </dxf>
    <dxf>
      <font>
        <color theme="0"/>
      </font>
    </dxf>
    <dxf>
      <numFmt numFmtId="14" formatCode="0.00%"/>
    </dxf>
    <dxf>
      <numFmt numFmtId="9" formatCode="&quot;$&quot;#,##0_);\(&quot;$&quot;#,##0\)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border>
        <bottom style="thin">
          <color auto="1"/>
        </bottom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border>
        <bottom style="thin">
          <color auto="1"/>
        </bottom>
        <vertical/>
        <horizontal/>
      </border>
    </dxf>
    <dxf>
      <font>
        <color theme="0"/>
      </font>
    </dxf>
    <dxf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0"/>
      </font>
    </dxf>
    <dxf>
      <numFmt numFmtId="165" formatCode="0.0%"/>
    </dxf>
    <dxf>
      <numFmt numFmtId="168" formatCode="0.00\x"/>
    </dxf>
    <dxf>
      <font>
        <color theme="0"/>
      </font>
    </dxf>
    <dxf>
      <numFmt numFmtId="165" formatCode="0.0%"/>
    </dxf>
    <dxf>
      <numFmt numFmtId="165" formatCode="0.0%"/>
    </dxf>
    <dxf>
      <numFmt numFmtId="165" formatCode="0.0%"/>
    </dxf>
    <dxf>
      <font>
        <color theme="0"/>
      </font>
      <numFmt numFmtId="0" formatCode="General"/>
    </dxf>
    <dxf>
      <numFmt numFmtId="14" formatCode="0.00%"/>
    </dxf>
    <dxf>
      <numFmt numFmtId="205" formatCode="0.00&quot;x&quot;"/>
    </dxf>
    <dxf>
      <font>
        <color theme="0"/>
      </font>
      <numFmt numFmtId="0" formatCode="General"/>
    </dxf>
    <dxf>
      <numFmt numFmtId="165" formatCode="0.0%"/>
    </dxf>
    <dxf>
      <numFmt numFmtId="165" formatCode="0.0%"/>
    </dxf>
    <dxf>
      <font>
        <color theme="0"/>
      </font>
    </dxf>
    <dxf>
      <numFmt numFmtId="14" formatCode="0.00%"/>
    </dxf>
    <dxf>
      <numFmt numFmtId="9" formatCode="&quot;$&quot;#,##0_);\(&quot;$&quot;#,##0\)"/>
    </dxf>
    <dxf>
      <font>
        <b/>
        <i val="0"/>
        <color rgb="FF80008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numFmt numFmtId="168" formatCode="0.00\x"/>
    </dxf>
    <dxf>
      <numFmt numFmtId="168" formatCode="0.00\x"/>
    </dxf>
    <dxf>
      <numFmt numFmtId="168" formatCode="0.00\x"/>
    </dxf>
    <dxf>
      <numFmt numFmtId="168" formatCode="0.00\x"/>
    </dxf>
    <dxf>
      <numFmt numFmtId="168" formatCode="0.00\x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9" formatCode="&quot;$&quot;#,##0_);\(&quot;$&quot;#,##0\)"/>
    </dxf>
    <dxf>
      <font>
        <color theme="0"/>
      </font>
    </dxf>
    <dxf>
      <font>
        <color theme="0"/>
      </font>
      <border>
        <left/>
        <right style="thin">
          <color auto="1"/>
        </right>
        <top/>
        <bottom style="thin">
          <color auto="1"/>
        </bottom>
        <vertical/>
        <horizontal/>
      </border>
    </dxf>
    <dxf>
      <font>
        <color theme="0"/>
      </font>
      <border>
        <left/>
        <right style="thin">
          <color auto="1"/>
        </right>
        <top/>
        <bottom/>
        <vertical/>
        <horizontal/>
      </border>
    </dxf>
    <dxf>
      <font>
        <color theme="0"/>
      </font>
      <border>
        <left/>
        <right style="thin">
          <color auto="1"/>
        </right>
        <top style="thin">
          <color auto="1"/>
        </top>
        <bottom/>
        <vertical/>
        <horizontal/>
      </border>
    </dxf>
    <dxf>
      <font>
        <color theme="0"/>
      </font>
      <border>
        <left/>
        <right style="thin">
          <color auto="1"/>
        </right>
        <top/>
        <bottom/>
        <vertical/>
        <horizontal/>
      </border>
    </dxf>
    <dxf>
      <font>
        <color theme="0"/>
      </font>
      <border>
        <right style="thin">
          <color auto="1"/>
        </right>
        <top style="thin">
          <color auto="1"/>
        </top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vertical/>
        <horizontal/>
      </border>
    </dxf>
    <dxf>
      <font>
        <color theme="0"/>
      </font>
      <border>
        <left/>
        <right/>
        <top/>
        <bottom/>
        <vertical/>
        <horizontal/>
      </border>
    </dxf>
    <dxf>
      <font>
        <color theme="0"/>
      </font>
      <border>
        <left/>
        <right/>
        <top style="thin">
          <color auto="1"/>
        </top>
        <bottom/>
        <vertical/>
        <horizontal/>
      </border>
    </dxf>
    <dxf>
      <border>
        <top style="thin">
          <color auto="1"/>
        </top>
        <vertical/>
        <horizontal/>
      </border>
    </dxf>
    <dxf>
      <font>
        <color theme="0"/>
      </font>
      <border>
        <left/>
        <right/>
        <top/>
        <bottom style="thin">
          <color auto="1"/>
        </bottom>
        <vertical/>
        <horizontal/>
      </border>
    </dxf>
    <dxf>
      <font>
        <color theme="0"/>
      </font>
      <border>
        <left/>
        <right/>
        <top/>
        <bottom/>
        <vertical/>
        <horizontal/>
      </border>
    </dxf>
    <dxf>
      <font>
        <color theme="0"/>
      </font>
      <border>
        <left style="thin">
          <color auto="1"/>
        </left>
        <bottom style="thin">
          <color auto="1"/>
        </bottom>
        <vertical/>
        <horizontal/>
      </border>
    </dxf>
    <dxf>
      <font>
        <color theme="0"/>
      </font>
      <border>
        <left style="thin">
          <color auto="1"/>
        </left>
        <right/>
        <top/>
        <bottom/>
        <vertical/>
        <horizontal/>
      </border>
    </dxf>
    <dxf>
      <font>
        <color theme="0"/>
      </font>
      <border>
        <left style="thin">
          <color auto="1"/>
        </left>
        <right/>
        <top style="thin">
          <color auto="1"/>
        </top>
        <bottom/>
        <vertical/>
        <horizontal/>
      </border>
    </dxf>
    <dxf>
      <font>
        <color theme="0"/>
      </font>
      <border>
        <left style="thin">
          <color auto="1"/>
        </left>
        <right/>
        <top/>
        <bottom/>
        <vertical/>
        <horizontal/>
      </border>
    </dxf>
    <dxf>
      <font>
        <color theme="0"/>
      </font>
      <border>
        <left style="thin">
          <color auto="1"/>
        </left>
        <top style="thin">
          <color auto="1"/>
        </top>
        <vertical/>
        <horizontal/>
      </border>
    </dxf>
    <dxf>
      <border>
        <left/>
        <right/>
        <top style="thin">
          <color auto="1"/>
        </top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u/>
      </font>
    </dxf>
    <dxf>
      <border>
        <left/>
        <right/>
        <top style="thin">
          <color auto="1"/>
        </top>
        <bottom/>
        <vertical/>
        <horizontal/>
      </border>
    </dxf>
    <dxf>
      <border>
        <left style="thin">
          <color auto="1"/>
        </left>
        <right/>
        <top/>
        <bottom/>
        <vertical/>
        <horizontal/>
      </border>
    </dxf>
    <dxf>
      <font>
        <u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border>
        <left/>
        <right/>
        <top/>
        <bottom/>
        <vertical/>
        <horizontal/>
      </border>
    </dxf>
    <dxf>
      <font>
        <color theme="0"/>
      </font>
      <border>
        <left/>
        <right/>
        <top/>
        <bottom/>
        <vertical/>
        <horizontal/>
      </border>
    </dxf>
    <dxf>
      <font>
        <color theme="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205" formatCode="0.00&quot;x&quot;"/>
    </dxf>
    <dxf>
      <numFmt numFmtId="14" formatCode="0.00%"/>
    </dxf>
    <dxf>
      <numFmt numFmtId="205" formatCode="0.00&quot;x&quot;"/>
    </dxf>
    <dxf>
      <numFmt numFmtId="14" formatCode="0.00%"/>
    </dxf>
    <dxf>
      <numFmt numFmtId="205" formatCode="0.00&quot;x&quot;"/>
    </dxf>
    <dxf>
      <numFmt numFmtId="14" formatCode="0.00%"/>
    </dxf>
    <dxf>
      <numFmt numFmtId="14" formatCode="0.00%"/>
    </dxf>
    <dxf>
      <numFmt numFmtId="9" formatCode="&quot;$&quot;#,##0_);\(&quot;$&quot;#,##0\)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9" formatCode="&quot;$&quot;#,##0_);\(&quot;$&quot;#,##0\)"/>
    </dxf>
    <dxf>
      <numFmt numFmtId="14" formatCode="0.00%"/>
    </dxf>
    <dxf>
      <font>
        <color theme="2" tint="-9.9948118533890809E-2"/>
      </font>
      <fill>
        <patternFill>
          <bgColor theme="2" tint="-9.9948118533890809E-2"/>
        </patternFill>
      </fill>
    </dxf>
    <dxf>
      <font>
        <color theme="3" tint="0.79998168889431442"/>
      </font>
      <fill>
        <patternFill>
          <bgColor theme="3" tint="0.79998168889431442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numFmt numFmtId="210" formatCode="0.0%\ \L\T\C"/>
    </dxf>
    <dxf>
      <font>
        <color theme="3" tint="0.79998168889431442"/>
      </font>
      <fill>
        <patternFill>
          <bgColor theme="3" tint="0.79998168889431442"/>
        </patternFill>
      </fill>
      <border>
        <left/>
        <right style="thin">
          <color auto="1"/>
        </right>
        <top/>
        <bottom/>
        <vertical/>
        <horizontal/>
      </border>
    </dxf>
    <dxf>
      <font>
        <color theme="0"/>
      </font>
      <border>
        <left/>
        <right style="thin">
          <color auto="1"/>
        </right>
        <top style="thin">
          <color auto="1"/>
        </top>
        <bottom/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right style="thin">
          <color auto="1"/>
        </right>
        <top style="thin">
          <color auto="1"/>
        </top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bottom style="thin">
          <color auto="1"/>
        </bottom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/>
        <right/>
        <top/>
        <bottom/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/>
        <right style="thin">
          <color auto="1"/>
        </right>
        <top style="thin">
          <color auto="1"/>
        </top>
        <bottom/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 style="thin">
          <color auto="1"/>
        </left>
        <bottom style="thin">
          <color auto="1"/>
        </bottom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 style="thin">
          <color auto="1"/>
        </left>
        <right/>
        <top/>
        <bottom/>
      </border>
    </dxf>
    <dxf>
      <font>
        <color theme="3" tint="0.79998168889431442"/>
      </font>
      <fill>
        <patternFill>
          <bgColor theme="3" tint="0.79998168889431442"/>
        </patternFill>
      </fill>
      <border>
        <left style="thin">
          <color auto="1"/>
        </left>
        <right/>
        <top style="thin">
          <color auto="1"/>
        </top>
        <bottom/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/>
        <right style="thin">
          <color auto="1"/>
        </right>
        <top/>
        <bottom/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/>
        <right style="thin">
          <color auto="1"/>
        </right>
        <top style="thin">
          <color auto="1"/>
        </top>
        <bottom/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bottom style="thin">
          <color auto="1"/>
        </bottom>
      </border>
    </dxf>
    <dxf>
      <font>
        <color theme="3" tint="0.79998168889431442"/>
      </font>
      <fill>
        <patternFill>
          <bgColor theme="3" tint="0.79998168889431442"/>
        </patternFill>
      </fill>
      <border>
        <left/>
        <right/>
        <top/>
        <bottom/>
      </border>
    </dxf>
    <dxf>
      <font>
        <color theme="3" tint="0.79998168889431442"/>
      </font>
      <fill>
        <patternFill>
          <bgColor theme="3" tint="0.79998168889431442"/>
        </patternFill>
      </fill>
      <border>
        <left/>
        <right style="thin">
          <color auto="1"/>
        </right>
        <top style="thin">
          <color auto="1"/>
        </top>
        <bottom/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 style="thin">
          <color auto="1"/>
        </left>
        <bottom style="thin">
          <color auto="1"/>
        </bottom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 style="thin">
          <color auto="1"/>
        </left>
        <right/>
        <top/>
        <bottom/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 style="thin">
          <color auto="1"/>
        </left>
        <right/>
        <top style="thin">
          <color auto="1"/>
        </top>
        <bottom/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right style="thin">
          <color auto="1"/>
        </right>
        <bottom style="thin">
          <color auto="1"/>
        </bottom>
        <vertical/>
        <horizontal/>
      </border>
    </dxf>
    <dxf>
      <numFmt numFmtId="210" formatCode="0.0%\ \L\T\C"/>
    </dxf>
    <dxf>
      <numFmt numFmtId="169" formatCode="&quot;$&quot;#,##0"/>
    </dxf>
    <dxf>
      <font>
        <color theme="3" tint="0.79998168889431442"/>
      </font>
      <fill>
        <patternFill>
          <bgColor theme="3" tint="0.79998168889431442"/>
        </patternFill>
      </fill>
      <border>
        <left/>
        <right style="thin">
          <color auto="1"/>
        </right>
        <top/>
        <bottom/>
        <vertical/>
        <horizontal/>
      </border>
    </dxf>
    <dxf>
      <font>
        <strike/>
        <color rgb="FFFF0000"/>
      </font>
    </dxf>
    <dxf>
      <font>
        <color theme="3" tint="0.79998168889431442"/>
      </font>
      <fill>
        <patternFill>
          <bgColor theme="3" tint="0.79998168889431442"/>
        </patternFill>
      </fill>
      <border>
        <left/>
        <right style="thin">
          <color auto="1"/>
        </right>
        <top style="thin">
          <color auto="1"/>
        </top>
        <bottom/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</dxf>
    <dxf>
      <font>
        <color theme="3" tint="0.79998168889431442"/>
      </font>
      <fill>
        <patternFill>
          <bgColor theme="3" tint="0.79998168889431442"/>
        </patternFill>
      </fill>
      <border>
        <left/>
        <right/>
        <top/>
        <bottom/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/>
        <right style="thin">
          <color auto="1"/>
        </right>
        <top style="thin">
          <color auto="1"/>
        </top>
        <bottom/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 style="thin">
          <color auto="1"/>
        </left>
        <bottom style="thin">
          <color auto="1"/>
        </bottom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 style="thin">
          <color auto="1"/>
        </left>
        <right/>
        <top/>
        <bottom/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 style="thin">
          <color auto="1"/>
        </left>
        <right/>
        <top style="thin">
          <color auto="1"/>
        </top>
        <bottom/>
        <vertical/>
        <horizontal/>
      </border>
    </dxf>
    <dxf>
      <font>
        <color theme="0"/>
      </font>
    </dxf>
    <dxf>
      <numFmt numFmtId="9" formatCode="&quot;$&quot;#,##0_);\(&quot;$&quot;#,##0\)"/>
    </dxf>
    <dxf>
      <numFmt numFmtId="13" formatCode="0%"/>
    </dxf>
    <dxf>
      <font>
        <color theme="0"/>
      </font>
      <border>
        <right style="thin">
          <color auto="1"/>
        </right>
        <vertical/>
        <horizontal/>
      </border>
    </dxf>
    <dxf>
      <font>
        <color theme="0"/>
      </font>
      <border>
        <right style="thin">
          <color auto="1"/>
        </right>
        <vertical/>
        <horizontal/>
      </border>
    </dxf>
    <dxf>
      <font>
        <color theme="0"/>
      </font>
      <border>
        <right style="thin">
          <color auto="1"/>
        </right>
        <vertical/>
        <horizontal/>
      </border>
    </dxf>
    <dxf>
      <font>
        <color rgb="FF0000FF"/>
      </font>
      <numFmt numFmtId="169" formatCode="&quot;$&quot;#,##0"/>
      <border>
        <right style="thin">
          <color auto="1"/>
        </right>
        <bottom style="thin">
          <color auto="1"/>
        </bottom>
        <vertical/>
        <horizontal/>
      </border>
    </dxf>
    <dxf>
      <font>
        <color rgb="FF0000FF"/>
      </font>
      <numFmt numFmtId="169" formatCode="&quot;$&quot;#,##0"/>
    </dxf>
    <dxf>
      <numFmt numFmtId="211" formatCode="\-"/>
      <fill>
        <patternFill>
          <bgColor theme="0" tint="-4.9989318521683403E-2"/>
        </patternFill>
      </fill>
    </dxf>
    <dxf>
      <font>
        <color rgb="FF0000FF"/>
      </font>
      <numFmt numFmtId="169" formatCode="&quot;$&quot;#,##0"/>
      <border>
        <right style="thin">
          <color auto="1"/>
        </right>
        <bottom style="thin">
          <color auto="1"/>
        </bottom>
        <vertical/>
        <horizontal/>
      </border>
    </dxf>
    <dxf>
      <font>
        <color auto="1"/>
      </font>
      <numFmt numFmtId="211" formatCode="\-"/>
      <border>
        <left/>
        <right style="thin">
          <color auto="1"/>
        </right>
        <top/>
        <bottom/>
        <vertical/>
        <horizontal/>
      </border>
    </dxf>
    <dxf>
      <font>
        <b/>
        <i val="0"/>
      </font>
      <numFmt numFmtId="169" formatCode="&quot;$&quot;#,##0"/>
    </dxf>
    <dxf>
      <font>
        <color theme="0"/>
      </font>
    </dxf>
    <dxf>
      <font>
        <color theme="0"/>
      </font>
    </dxf>
    <dxf>
      <numFmt numFmtId="13" formatCode="0%"/>
    </dxf>
    <dxf>
      <numFmt numFmtId="9" formatCode="&quot;$&quot;#,##0_);\(&quot;$&quot;#,##0\)"/>
    </dxf>
    <dxf>
      <font>
        <strike/>
        <color rgb="FFFF0000"/>
      </font>
    </dxf>
    <dxf>
      <font>
        <strike/>
        <color rgb="FFFF0000"/>
      </font>
    </dxf>
    <dxf>
      <font>
        <strike/>
        <color rgb="FFFF0000"/>
      </font>
    </dxf>
    <dxf>
      <font>
        <color theme="0"/>
      </font>
    </dxf>
    <dxf>
      <font>
        <color theme="0"/>
      </font>
      <border>
        <left/>
        <right/>
        <top/>
        <bottom/>
        <vertical/>
        <horizontal/>
      </border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  <border>
        <left style="thin">
          <color auto="1"/>
        </left>
        <right/>
        <top/>
        <bottom/>
        <vertical/>
        <horizontal/>
      </border>
    </dxf>
    <dxf>
      <font>
        <color theme="0"/>
      </font>
      <border>
        <left style="thin">
          <color auto="1"/>
        </left>
        <vertical/>
        <horizontal/>
      </border>
    </dxf>
    <dxf>
      <font>
        <color theme="0"/>
      </font>
      <border>
        <left style="thin">
          <color auto="1"/>
        </left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fgColor auto="1"/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b/>
        <i val="0"/>
        <u/>
      </font>
    </dxf>
    <dxf>
      <font>
        <b/>
        <i val="0"/>
        <u/>
      </font>
      <border>
        <left style="thin">
          <color auto="1"/>
        </left>
        <top style="thin">
          <color auto="1"/>
        </top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/>
        <right style="thin">
          <color auto="1"/>
        </right>
        <top/>
        <bottom style="thin">
          <color auto="1"/>
        </bottom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/>
        <right style="thin">
          <color auto="1"/>
        </right>
        <top/>
        <bottom/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/>
        <right style="thin">
          <color auto="1"/>
        </right>
        <top/>
        <bottom/>
        <vertical/>
        <horizontal/>
      </border>
    </dxf>
    <dxf>
      <font>
        <color theme="3" tint="0.79998168889431442"/>
      </font>
      <fill>
        <patternFill>
          <fgColor theme="3" tint="0.79998168889431442"/>
          <bgColor theme="3" tint="0.79998168889431442"/>
        </patternFill>
      </fill>
      <border>
        <left/>
        <right style="thin">
          <color auto="1"/>
        </right>
        <top/>
        <bottom/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/>
        <right style="thin">
          <color auto="1"/>
        </right>
        <top style="thin">
          <color auto="1"/>
        </top>
        <bottom/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/>
        <right style="thin">
          <color auto="1"/>
        </right>
        <top/>
        <bottom style="thin">
          <color auto="1"/>
        </bottom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/>
        <right style="thin">
          <color auto="1"/>
        </right>
        <top/>
        <bottom/>
        <vertical/>
        <horizontal/>
      </border>
    </dxf>
    <dxf>
      <font>
        <color theme="0"/>
      </font>
    </dxf>
    <dxf>
      <font>
        <color theme="3" tint="0.79998168889431442"/>
      </font>
      <fill>
        <patternFill>
          <bgColor theme="3" tint="0.79998168889431442"/>
        </patternFill>
      </fill>
      <border>
        <left/>
        <right style="thin">
          <color auto="1"/>
        </right>
        <top style="thin">
          <color auto="1"/>
        </top>
        <bottom/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/>
        <right/>
        <top/>
        <bottom/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/>
        <right style="thin">
          <color auto="1"/>
        </right>
        <top style="thin">
          <color auto="1"/>
        </top>
        <bottom/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/>
        <right/>
        <top/>
        <bottom/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/>
        <right style="thin">
          <color auto="1"/>
        </right>
        <top style="thin">
          <color auto="1"/>
        </top>
        <bottom/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 style="thin">
          <color auto="1"/>
        </left>
        <right/>
        <top/>
        <bottom style="thin">
          <color auto="1"/>
        </bottom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 style="thin">
          <color auto="1"/>
        </left>
        <right/>
        <top/>
        <bottom/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 style="thin">
          <color auto="1"/>
        </left>
        <top style="thin">
          <color auto="1"/>
        </top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 style="thin">
          <color auto="1"/>
        </left>
        <right/>
        <top/>
        <bottom style="thin">
          <color auto="1"/>
        </bottom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 style="thin">
          <color auto="1"/>
        </left>
        <right/>
        <top/>
        <bottom/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 style="thin">
          <color auto="1"/>
        </left>
        <right/>
        <top style="thin">
          <color auto="1"/>
        </top>
        <bottom/>
        <vertical/>
        <horizontal/>
      </border>
    </dxf>
    <dxf>
      <font>
        <color theme="0"/>
      </font>
    </dxf>
    <dxf>
      <numFmt numFmtId="9" formatCode="&quot;$&quot;#,##0_);\(&quot;$&quot;#,##0\)"/>
    </dxf>
    <dxf>
      <numFmt numFmtId="11" formatCode="&quot;$&quot;#,##0.00_);\(&quot;$&quot;#,##0.00\)"/>
    </dxf>
    <dxf>
      <font>
        <color theme="0"/>
      </font>
    </dxf>
    <dxf>
      <numFmt numFmtId="14" formatCode="0.00%"/>
    </dxf>
    <dxf>
      <numFmt numFmtId="11" formatCode="&quot;$&quot;#,##0.00_);\(&quot;$&quot;#,##0.00\)"/>
    </dxf>
    <dxf>
      <font>
        <color theme="0"/>
      </font>
    </dxf>
    <dxf>
      <numFmt numFmtId="9" formatCode="&quot;$&quot;#,##0_);\(&quot;$&quot;#,##0\)"/>
    </dxf>
    <dxf>
      <font>
        <color theme="0"/>
      </font>
    </dxf>
    <dxf>
      <numFmt numFmtId="9" formatCode="&quot;$&quot;#,##0_);\(&quot;$&quot;#,##0\)"/>
    </dxf>
    <dxf>
      <numFmt numFmtId="14" formatCode="0.00%"/>
    </dxf>
    <dxf>
      <numFmt numFmtId="9" formatCode="&quot;$&quot;#,##0_);\(&quot;$&quot;#,##0\)"/>
    </dxf>
    <dxf>
      <font>
        <color theme="0"/>
      </font>
    </dxf>
    <dxf>
      <numFmt numFmtId="9" formatCode="&quot;$&quot;#,##0_);\(&quot;$&quot;#,##0\)"/>
    </dxf>
    <dxf>
      <numFmt numFmtId="11" formatCode="&quot;$&quot;#,##0.00_);\(&quot;$&quot;#,##0.00\)"/>
    </dxf>
    <dxf>
      <font>
        <color theme="0"/>
      </font>
    </dxf>
    <dxf>
      <font>
        <color theme="0"/>
      </font>
      <border>
        <right style="thin">
          <color auto="1"/>
        </right>
        <bottom style="thin">
          <color auto="1"/>
        </bottom>
        <vertical/>
        <horizontal/>
      </border>
    </dxf>
    <dxf>
      <font>
        <color theme="0"/>
      </font>
      <border>
        <right style="thin">
          <color auto="1"/>
        </right>
        <vertical/>
        <horizontal/>
      </border>
    </dxf>
    <dxf>
      <font>
        <color theme="0"/>
      </font>
      <border>
        <top style="thin">
          <color auto="1"/>
        </top>
        <vertical/>
        <horizontal/>
      </border>
    </dxf>
    <dxf>
      <font>
        <color theme="0"/>
      </font>
    </dxf>
    <dxf>
      <font>
        <strike/>
        <color rgb="FFFF0000"/>
      </font>
    </dxf>
    <dxf>
      <font>
        <color theme="0"/>
      </font>
    </dxf>
    <dxf>
      <font>
        <color theme="0"/>
      </font>
      <border>
        <left style="thin">
          <color auto="1"/>
        </left>
        <bottom style="thin">
          <color auto="1"/>
        </bottom>
        <vertical/>
        <horizontal/>
      </border>
    </dxf>
    <dxf>
      <font>
        <color theme="0"/>
      </font>
      <border>
        <left style="thin">
          <color auto="1"/>
        </left>
        <vertical/>
        <horizontal/>
      </border>
    </dxf>
    <dxf>
      <font>
        <color theme="2" tint="-0.24994659260841701"/>
      </font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  <fill>
        <patternFill>
          <bgColor theme="3" tint="0.79998168889431442"/>
        </patternFill>
      </fill>
    </dxf>
    <dxf>
      <font>
        <color theme="0"/>
      </font>
    </dxf>
    <dxf>
      <font>
        <color theme="2" tint="-0.24994659260841701"/>
      </font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  <fill>
        <patternFill>
          <bgColor theme="3" tint="0.79998168889431442"/>
        </patternFill>
      </fill>
    </dxf>
    <dxf>
      <font>
        <color theme="0"/>
      </font>
    </dxf>
    <dxf>
      <numFmt numFmtId="167" formatCode="&quot;$&quot;#,##0.00"/>
    </dxf>
    <dxf>
      <font>
        <color theme="2" tint="-0.24994659260841701"/>
      </font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1"/>
      </font>
      <fill>
        <patternFill>
          <bgColor theme="9" tint="0.79998168889431442"/>
        </patternFill>
      </fill>
    </dxf>
    <dxf>
      <numFmt numFmtId="167" formatCode="&quot;$&quot;#,##0.00"/>
    </dxf>
    <dxf>
      <font>
        <color theme="3" tint="0.79998168889431442"/>
      </font>
      <fill>
        <patternFill>
          <bgColor theme="3" tint="0.79998168889431442"/>
        </patternFill>
      </fill>
    </dxf>
    <dxf>
      <font>
        <color theme="3" tint="0.79998168889431442"/>
      </font>
      <fill>
        <patternFill>
          <bgColor theme="3" tint="0.79998168889431442"/>
        </patternFill>
      </fill>
    </dxf>
    <dxf>
      <font>
        <color theme="3" tint="0.79998168889431442"/>
      </font>
      <fill>
        <patternFill>
          <bgColor theme="3" tint="0.79998168889431442"/>
        </patternFill>
      </fill>
    </dxf>
    <dxf>
      <font>
        <color rgb="FF0000FF"/>
      </font>
      <fill>
        <patternFill>
          <bgColor theme="0"/>
        </patternFill>
      </fill>
    </dxf>
    <dxf>
      <font>
        <color rgb="FF0000FF"/>
      </font>
      <fill>
        <patternFill>
          <bgColor theme="0"/>
        </patternFill>
      </fill>
    </dxf>
    <dxf>
      <font>
        <color theme="2" tint="-0.24994659260841701"/>
      </font>
      <fill>
        <patternFill>
          <bgColor theme="3" tint="0.79998168889431442"/>
        </patternFill>
      </fill>
    </dxf>
    <dxf>
      <font>
        <color theme="3" tint="0.79998168889431442"/>
      </font>
      <fill>
        <patternFill>
          <bgColor theme="3" tint="0.79998168889431442"/>
        </patternFill>
      </fill>
    </dxf>
    <dxf>
      <numFmt numFmtId="167" formatCode="&quot;$&quot;#,##0.00"/>
    </dxf>
    <dxf>
      <numFmt numFmtId="169" formatCode="&quot;$&quot;#,##0"/>
    </dxf>
    <dxf>
      <fill>
        <patternFill>
          <bgColor theme="9" tint="0.79998168889431442"/>
        </patternFill>
      </fill>
    </dxf>
    <dxf>
      <font>
        <color theme="0"/>
      </font>
    </dxf>
    <dxf>
      <font>
        <color rgb="FF4D6F99"/>
      </font>
    </dxf>
    <dxf>
      <font>
        <color theme="0"/>
      </font>
      <fill>
        <patternFill>
          <bgColor theme="0"/>
        </patternFill>
      </fill>
      <border>
        <left/>
        <right style="thin">
          <color auto="1"/>
        </right>
        <top/>
        <bottom style="thin">
          <color auto="1"/>
        </bottom>
        <vertical/>
        <horizontal/>
      </border>
    </dxf>
    <dxf>
      <font>
        <color theme="0"/>
      </font>
    </dxf>
    <dxf>
      <font>
        <color theme="3" tint="0.79998168889431442"/>
      </font>
      <fill>
        <patternFill>
          <bgColor theme="3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 style="thin">
          <color auto="1"/>
        </top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theme="0"/>
      </font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3" tint="0.79998168889431442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9" formatCode="&quot;$&quot;#,##0"/>
    </dxf>
    <dxf>
      <numFmt numFmtId="167" formatCode="&quot;$&quot;#,##0.00"/>
    </dxf>
    <dxf>
      <font>
        <color theme="0"/>
      </font>
    </dxf>
    <dxf>
      <font>
        <color theme="1"/>
      </font>
    </dxf>
    <dxf>
      <font>
        <color theme="0"/>
      </font>
    </dxf>
    <dxf>
      <font>
        <color rgb="FF0000FF"/>
      </font>
      <numFmt numFmtId="169" formatCode="&quot;$&quot;#,##0"/>
    </dxf>
    <dxf>
      <numFmt numFmtId="14" formatCode="0.00%"/>
    </dxf>
    <dxf>
      <font>
        <color theme="0"/>
      </font>
    </dxf>
    <dxf>
      <font>
        <color rgb="FF0000FF"/>
      </font>
      <numFmt numFmtId="169" formatCode="&quot;$&quot;#,##0"/>
    </dxf>
    <dxf>
      <numFmt numFmtId="14" formatCode="0.00%"/>
    </dxf>
    <dxf>
      <font>
        <color theme="1"/>
      </font>
    </dxf>
    <dxf>
      <font>
        <color theme="0"/>
      </font>
    </dxf>
    <dxf>
      <numFmt numFmtId="14" formatCode="0.00%"/>
    </dxf>
    <dxf>
      <numFmt numFmtId="169" formatCode="&quot;$&quot;#,##0"/>
    </dxf>
    <dxf>
      <numFmt numFmtId="167" formatCode="&quot;$&quot;#,##0.00"/>
    </dxf>
    <dxf>
      <numFmt numFmtId="14" formatCode="0.00%"/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thin">
          <color auto="1"/>
        </right>
        <vertical/>
        <horizontal/>
      </border>
    </dxf>
    <dxf>
      <font>
        <color theme="0"/>
      </font>
    </dxf>
    <dxf>
      <numFmt numFmtId="9" formatCode="&quot;$&quot;#,##0_);\(&quot;$&quot;#,##0\)"/>
    </dxf>
    <dxf>
      <font>
        <color theme="1"/>
      </font>
    </dxf>
    <dxf>
      <font>
        <color theme="0"/>
      </font>
    </dxf>
    <dxf>
      <font>
        <color theme="0"/>
      </font>
    </dxf>
    <dxf>
      <numFmt numFmtId="9" formatCode="&quot;$&quot;#,##0_);\(&quot;$&quot;#,##0\)"/>
    </dxf>
    <dxf>
      <numFmt numFmtId="14" formatCode="0.00%"/>
    </dxf>
    <dxf>
      <numFmt numFmtId="9" formatCode="&quot;$&quot;#,##0_);\(&quot;$&quot;#,##0\)"/>
    </dxf>
    <dxf>
      <numFmt numFmtId="14" formatCode="0.00%"/>
    </dxf>
    <dxf>
      <numFmt numFmtId="169" formatCode="&quot;$&quot;#,##0"/>
    </dxf>
    <dxf>
      <numFmt numFmtId="167" formatCode="&quot;$&quot;#,##0.00"/>
    </dxf>
    <dxf>
      <numFmt numFmtId="14" formatCode="0.00%"/>
    </dxf>
    <dxf>
      <font>
        <color theme="1"/>
      </font>
    </dxf>
    <dxf>
      <font>
        <color theme="0"/>
      </font>
    </dxf>
    <dxf>
      <numFmt numFmtId="14" formatCode="0.00%"/>
    </dxf>
    <dxf>
      <numFmt numFmtId="9" formatCode="&quot;$&quot;#,##0_);\(&quot;$&quot;#,##0\)"/>
    </dxf>
    <dxf>
      <numFmt numFmtId="9" formatCode="&quot;$&quot;#,##0_);\(&quot;$&quot;#,##0\)"/>
    </dxf>
    <dxf>
      <font>
        <color theme="0"/>
      </font>
    </dxf>
    <dxf>
      <numFmt numFmtId="9" formatCode="&quot;$&quot;#,##0_);\(&quot;$&quot;#,##0\)"/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bottom style="thin">
          <color auto="1"/>
        </bottom>
        <vertical/>
        <horizontal/>
      </border>
    </dxf>
    <dxf>
      <border>
        <left style="thin">
          <color auto="1"/>
        </left>
        <vertical/>
        <horizontal/>
      </border>
    </dxf>
    <dxf>
      <font>
        <color theme="0"/>
      </font>
      <border>
        <left/>
        <right style="thin">
          <color auto="1"/>
        </right>
        <top/>
        <bottom/>
        <vertical/>
        <horizontal/>
      </border>
    </dxf>
    <dxf>
      <border outline="0">
        <left style="thin">
          <color rgb="FFBFBFBF"/>
        </left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none"/>
      </font>
    </dxf>
    <dxf>
      <border outline="0">
        <right style="thin">
          <color rgb="FFBFBFBF"/>
        </right>
      </border>
    </dxf>
    <dxf>
      <font>
        <strike val="0"/>
        <outline val="0"/>
        <shadow val="0"/>
        <u val="none"/>
        <vertAlign val="baseline"/>
        <sz val="10"/>
        <color rgb="FFFFFFFF"/>
        <name val="Calibri"/>
        <scheme val="none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0000FF"/>
      <color rgb="FFCCD3DE"/>
      <color rgb="FF4D6F99"/>
      <color rgb="FFBEC7D4"/>
      <color rgb="FF800080"/>
      <color rgb="FF97A6BB"/>
      <color rgb="FF516CA9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Project Completion Curves</a:t>
            </a:r>
          </a:p>
        </c:rich>
      </c:tx>
      <c:layout>
        <c:manualLayout>
          <c:xMode val="edge"/>
          <c:yMode val="edge"/>
          <c:x val="0.43207556234312022"/>
          <c:y val="2.8423704562013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8427680391927144E-2"/>
          <c:y val="0.10465124531531152"/>
          <c:w val="0.89874227636446613"/>
          <c:h val="0.80878616749858023"/>
        </c:manualLayout>
      </c:layout>
      <c:lineChart>
        <c:grouping val="standard"/>
        <c:varyColors val="0"/>
        <c:ser>
          <c:idx val="0"/>
          <c:order val="0"/>
          <c:tx>
            <c:v>NUMBER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9"/>
              <c:pt idx="0">
                <c:v>0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13</c:v>
              </c:pt>
              <c:pt idx="14">
                <c:v>14</c:v>
              </c:pt>
              <c:pt idx="15">
                <c:v>15</c:v>
              </c:pt>
              <c:pt idx="16">
                <c:v>16</c:v>
              </c:pt>
              <c:pt idx="17">
                <c:v>17</c:v>
              </c:pt>
              <c:pt idx="18">
                <c:v>18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EC9-4A3B-BEEE-2E592D11CCF6}"/>
            </c:ext>
          </c:extLst>
        </c:ser>
        <c:ser>
          <c:idx val="1"/>
          <c:order val="1"/>
          <c:tx>
            <c:v>IN TIME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9"/>
              <c:pt idx="1">
                <c:v>0.03</c:v>
              </c:pt>
              <c:pt idx="2">
                <c:v>7.0000000000000007E-2</c:v>
              </c:pt>
              <c:pt idx="3">
                <c:v>0.1</c:v>
              </c:pt>
              <c:pt idx="4">
                <c:v>0.13</c:v>
              </c:pt>
              <c:pt idx="5">
                <c:v>0.17</c:v>
              </c:pt>
              <c:pt idx="6">
                <c:v>0.2</c:v>
              </c:pt>
              <c:pt idx="7">
                <c:v>0.23</c:v>
              </c:pt>
              <c:pt idx="8">
                <c:v>0.27</c:v>
              </c:pt>
              <c:pt idx="9">
                <c:v>0.3</c:v>
              </c:pt>
              <c:pt idx="10">
                <c:v>0.33</c:v>
              </c:pt>
              <c:pt idx="11">
                <c:v>0.37</c:v>
              </c:pt>
              <c:pt idx="12">
                <c:v>0.4</c:v>
              </c:pt>
              <c:pt idx="13">
                <c:v>0.43</c:v>
              </c:pt>
              <c:pt idx="14">
                <c:v>0.47</c:v>
              </c:pt>
              <c:pt idx="15">
                <c:v>0.5</c:v>
              </c:pt>
              <c:pt idx="16">
                <c:v>0.53</c:v>
              </c:pt>
              <c:pt idx="17">
                <c:v>0.56999999999999995</c:v>
              </c:pt>
              <c:pt idx="18">
                <c:v>0.6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EC9-4A3B-BEEE-2E592D11CCF6}"/>
            </c:ext>
          </c:extLst>
        </c:ser>
        <c:ser>
          <c:idx val="3"/>
          <c:order val="2"/>
          <c:tx>
            <c:v>FLAT CURVE</c:v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9"/>
              <c:pt idx="0">
                <c:v>0</c:v>
              </c:pt>
              <c:pt idx="1">
                <c:v>1230000</c:v>
              </c:pt>
              <c:pt idx="2">
                <c:v>2870000.0000000005</c:v>
              </c:pt>
              <c:pt idx="3">
                <c:v>4100000</c:v>
              </c:pt>
              <c:pt idx="4">
                <c:v>5330000</c:v>
              </c:pt>
              <c:pt idx="5">
                <c:v>6970000.0000000009</c:v>
              </c:pt>
              <c:pt idx="6">
                <c:v>8200000</c:v>
              </c:pt>
              <c:pt idx="7">
                <c:v>9430000</c:v>
              </c:pt>
              <c:pt idx="8">
                <c:v>11070000</c:v>
              </c:pt>
              <c:pt idx="9">
                <c:v>12300000</c:v>
              </c:pt>
              <c:pt idx="10">
                <c:v>13530000</c:v>
              </c:pt>
              <c:pt idx="11">
                <c:v>15170000</c:v>
              </c:pt>
              <c:pt idx="12">
                <c:v>16400000</c:v>
              </c:pt>
              <c:pt idx="13">
                <c:v>17630000</c:v>
              </c:pt>
              <c:pt idx="14">
                <c:v>19270000</c:v>
              </c:pt>
              <c:pt idx="15">
                <c:v>20500000</c:v>
              </c:pt>
              <c:pt idx="16">
                <c:v>21730000</c:v>
              </c:pt>
              <c:pt idx="17">
                <c:v>23369999.999999996</c:v>
              </c:pt>
              <c:pt idx="18">
                <c:v>24600000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EC9-4A3B-BEEE-2E592D11CCF6}"/>
            </c:ext>
          </c:extLst>
        </c:ser>
        <c:ser>
          <c:idx val="5"/>
          <c:order val="3"/>
          <c:tx>
            <c:v>STANDARD CURVE</c:v>
          </c:tx>
          <c:spPr>
            <a:ln w="12700">
              <a:solidFill>
                <a:srgbClr val="000000"/>
              </a:solidFill>
              <a:prstDash val="lgDashDot"/>
            </a:ln>
          </c:spPr>
          <c:marker>
            <c:symbol val="none"/>
          </c:marker>
          <c:val>
            <c:numLit>
              <c:formatCode>General</c:formatCode>
              <c:ptCount val="19"/>
              <c:pt idx="0">
                <c:v>0</c:v>
              </c:pt>
              <c:pt idx="1">
                <c:v>328000</c:v>
              </c:pt>
              <c:pt idx="2">
                <c:v>984000</c:v>
              </c:pt>
              <c:pt idx="3">
                <c:v>1640000</c:v>
              </c:pt>
              <c:pt idx="4">
                <c:v>2050000</c:v>
              </c:pt>
              <c:pt idx="5">
                <c:v>2870000.0000000005</c:v>
              </c:pt>
              <c:pt idx="6">
                <c:v>3690000</c:v>
              </c:pt>
              <c:pt idx="7">
                <c:v>4346000</c:v>
              </c:pt>
              <c:pt idx="8">
                <c:v>5658000.0000000009</c:v>
              </c:pt>
              <c:pt idx="9">
                <c:v>6970000.0000000009</c:v>
              </c:pt>
              <c:pt idx="10">
                <c:v>7872000</c:v>
              </c:pt>
              <c:pt idx="11">
                <c:v>9676000</c:v>
              </c:pt>
              <c:pt idx="12">
                <c:v>10578000</c:v>
              </c:pt>
              <c:pt idx="13">
                <c:v>13202000</c:v>
              </c:pt>
              <c:pt idx="14">
                <c:v>16645999.999999998</c:v>
              </c:pt>
              <c:pt idx="15">
                <c:v>18367999.999999996</c:v>
              </c:pt>
              <c:pt idx="16">
                <c:v>21566000</c:v>
              </c:pt>
              <c:pt idx="17">
                <c:v>24518000.000000004</c:v>
              </c:pt>
              <c:pt idx="18">
                <c:v>25994000.000000004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CEC9-4A3B-BEEE-2E592D11CCF6}"/>
            </c:ext>
          </c:extLst>
        </c:ser>
        <c:ser>
          <c:idx val="7"/>
          <c:order val="4"/>
          <c:tx>
            <c:v>AGGRESSIVE CURVE</c:v>
          </c:tx>
          <c:spPr>
            <a:ln w="12700">
              <a:solidFill>
                <a:srgbClr val="000000"/>
              </a:solidFill>
              <a:prstDash val="lgDashDotDot"/>
            </a:ln>
          </c:spPr>
          <c:marker>
            <c:symbol val="none"/>
          </c:marker>
          <c:val>
            <c:numLit>
              <c:formatCode>General</c:formatCode>
              <c:ptCount val="19"/>
              <c:pt idx="1">
                <c:v>574000</c:v>
              </c:pt>
              <c:pt idx="2">
                <c:v>1722000</c:v>
              </c:pt>
              <c:pt idx="3">
                <c:v>2870000.0000000005</c:v>
              </c:pt>
              <c:pt idx="4">
                <c:v>3444000</c:v>
              </c:pt>
              <c:pt idx="5">
                <c:v>4592000</c:v>
              </c:pt>
              <c:pt idx="6">
                <c:v>5740000.0000000009</c:v>
              </c:pt>
              <c:pt idx="7">
                <c:v>6888000</c:v>
              </c:pt>
              <c:pt idx="8">
                <c:v>9184000</c:v>
              </c:pt>
              <c:pt idx="9">
                <c:v>11480000.000000002</c:v>
              </c:pt>
              <c:pt idx="10">
                <c:v>12628000.000000002</c:v>
              </c:pt>
              <c:pt idx="11">
                <c:v>14924000.000000004</c:v>
              </c:pt>
              <c:pt idx="12">
                <c:v>16072000.000000006</c:v>
              </c:pt>
              <c:pt idx="13">
                <c:v>18778000</c:v>
              </c:pt>
              <c:pt idx="14">
                <c:v>21893999.999999996</c:v>
              </c:pt>
              <c:pt idx="15">
                <c:v>23451999.999999996</c:v>
              </c:pt>
              <c:pt idx="16">
                <c:v>26486000</c:v>
              </c:pt>
              <c:pt idx="17">
                <c:v>29438000.000000004</c:v>
              </c:pt>
              <c:pt idx="18">
                <c:v>30914000.000000004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CEC9-4A3B-BEEE-2E592D11CCF6}"/>
            </c:ext>
          </c:extLst>
        </c:ser>
        <c:ser>
          <c:idx val="2"/>
          <c:order val="5"/>
          <c:tx>
            <c:v>REGRESSIVE CURVE</c:v>
          </c:tx>
          <c:marker>
            <c:symbol val="none"/>
          </c:marker>
          <c:val>
            <c:numLit>
              <c:formatCode>General</c:formatCode>
              <c:ptCount val="19"/>
              <c:pt idx="1">
                <c:v>164000</c:v>
              </c:pt>
              <c:pt idx="2">
                <c:v>492000</c:v>
              </c:pt>
              <c:pt idx="3">
                <c:v>820000</c:v>
              </c:pt>
              <c:pt idx="4">
                <c:v>1066000</c:v>
              </c:pt>
              <c:pt idx="5">
                <c:v>1558000</c:v>
              </c:pt>
              <c:pt idx="6">
                <c:v>2050000</c:v>
              </c:pt>
              <c:pt idx="7">
                <c:v>2460000</c:v>
              </c:pt>
              <c:pt idx="8">
                <c:v>3280000</c:v>
              </c:pt>
              <c:pt idx="9">
                <c:v>4100000</c:v>
              </c:pt>
              <c:pt idx="10">
                <c:v>4756000</c:v>
              </c:pt>
              <c:pt idx="11">
                <c:v>6068000.0000000009</c:v>
              </c:pt>
              <c:pt idx="12">
                <c:v>6724000.0000000019</c:v>
              </c:pt>
              <c:pt idx="13">
                <c:v>8363999.9999999991</c:v>
              </c:pt>
              <c:pt idx="14">
                <c:v>10332000</c:v>
              </c:pt>
              <c:pt idx="15">
                <c:v>11316000.000000002</c:v>
              </c:pt>
              <c:pt idx="16">
                <c:v>13939999.999999998</c:v>
              </c:pt>
              <c:pt idx="17">
                <c:v>17219999.999999996</c:v>
              </c:pt>
              <c:pt idx="18">
                <c:v>18859999.999999996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CEC9-4A3B-BEEE-2E592D11C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537712"/>
        <c:axId val="571538104"/>
      </c:lineChart>
      <c:catAx>
        <c:axId val="571537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In Months</a:t>
                </a:r>
              </a:p>
            </c:rich>
          </c:tx>
          <c:layout>
            <c:manualLayout>
              <c:xMode val="edge"/>
              <c:yMode val="edge"/>
              <c:x val="0.46603780320910765"/>
              <c:y val="0.953489058014905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538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1538104"/>
        <c:scaling>
          <c:orientation val="minMax"/>
        </c:scaling>
        <c:delete val="0"/>
        <c:axPos val="l"/>
        <c:majorGridlines/>
        <c:title>
          <c:tx>
            <c:rich>
              <a:bodyPr anchor="b" anchorCtr="1"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Dollars Complete</a:t>
                </a:r>
              </a:p>
            </c:rich>
          </c:tx>
          <c:layout>
            <c:manualLayout>
              <c:xMode val="edge"/>
              <c:yMode val="edge"/>
              <c:x val="0.96496863666919286"/>
              <c:y val="0.40547775173588252"/>
            </c:manualLayout>
          </c:layout>
          <c:overlay val="0"/>
          <c:spPr>
            <a:noFill/>
            <a:ln w="25400">
              <a:noFill/>
            </a:ln>
          </c:spPr>
        </c:title>
        <c:numFmt formatCode="&quot;$&quot;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1537712"/>
        <c:crosses val="autoZero"/>
        <c:crossBetween val="midCat"/>
      </c:valAx>
      <c:spPr>
        <a:solidFill>
          <a:srgbClr val="C0C0C0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72376216197156706"/>
          <c:y val="0.69398045980038447"/>
          <c:w val="0.12460195358611476"/>
          <c:h val="0.161887238322013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'Financing Assumptions'!A1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Financing Assump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Financing Assumptions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Financing Assumptions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Financing Assumptions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Financing Assump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104775</xdr:colOff>
      <xdr:row>65</xdr:row>
      <xdr:rowOff>19050</xdr:rowOff>
    </xdr:from>
    <xdr:to>
      <xdr:col>64</xdr:col>
      <xdr:colOff>1047750</xdr:colOff>
      <xdr:row>99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F21867-BE5A-4B4E-A3D5-6856A8DF0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19050</xdr:colOff>
      <xdr:row>0</xdr:row>
      <xdr:rowOff>314325</xdr:rowOff>
    </xdr:from>
    <xdr:to>
      <xdr:col>19</xdr:col>
      <xdr:colOff>323850</xdr:colOff>
      <xdr:row>1</xdr:row>
      <xdr:rowOff>0</xdr:rowOff>
    </xdr:to>
    <xdr:sp macro="" textlink="">
      <xdr:nvSpPr>
        <xdr:cNvPr id="2" name="Rectangle: Rounded Corners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FFC479D-CF50-4B39-8374-B9C00D290B5D}"/>
            </a:ext>
          </a:extLst>
        </xdr:cNvPr>
        <xdr:cNvSpPr/>
      </xdr:nvSpPr>
      <xdr:spPr>
        <a:xfrm>
          <a:off x="8924925" y="314325"/>
          <a:ext cx="1514475" cy="304800"/>
        </a:xfrm>
        <a:prstGeom prst="roundRect">
          <a:avLst/>
        </a:prstGeom>
        <a:solidFill>
          <a:srgbClr val="4D6F99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chemeClr val="bg1"/>
              </a:solidFill>
              <a:latin typeface="Aptos Display" panose="020B0004020202020204" pitchFamily="34" charset="0"/>
            </a:rPr>
            <a:t>Financing Assumptions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38100</xdr:colOff>
      <xdr:row>0</xdr:row>
      <xdr:rowOff>276225</xdr:rowOff>
    </xdr:from>
    <xdr:to>
      <xdr:col>16</xdr:col>
      <xdr:colOff>342900</xdr:colOff>
      <xdr:row>0</xdr:row>
      <xdr:rowOff>581025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23E16A-4953-4C31-946F-7AA59F01C437}"/>
            </a:ext>
          </a:extLst>
        </xdr:cNvPr>
        <xdr:cNvSpPr/>
      </xdr:nvSpPr>
      <xdr:spPr>
        <a:xfrm>
          <a:off x="8734425" y="276225"/>
          <a:ext cx="1514475" cy="304800"/>
        </a:xfrm>
        <a:prstGeom prst="roundRect">
          <a:avLst/>
        </a:prstGeom>
        <a:solidFill>
          <a:srgbClr val="4D6F99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chemeClr val="bg1"/>
              </a:solidFill>
              <a:latin typeface="Aptos Display" panose="020B0004020202020204" pitchFamily="34" charset="0"/>
            </a:rPr>
            <a:t>Financing Assumptions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1066800</xdr:colOff>
      <xdr:row>0</xdr:row>
      <xdr:rowOff>314325</xdr:rowOff>
    </xdr:from>
    <xdr:to>
      <xdr:col>16</xdr:col>
      <xdr:colOff>295275</xdr:colOff>
      <xdr:row>1</xdr:row>
      <xdr:rowOff>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550964-D7F4-4BDB-818B-C5381CC5629E}"/>
            </a:ext>
          </a:extLst>
        </xdr:cNvPr>
        <xdr:cNvSpPr/>
      </xdr:nvSpPr>
      <xdr:spPr>
        <a:xfrm>
          <a:off x="6096000" y="314325"/>
          <a:ext cx="1514475" cy="304800"/>
        </a:xfrm>
        <a:prstGeom prst="roundRect">
          <a:avLst/>
        </a:prstGeom>
        <a:solidFill>
          <a:srgbClr val="4D6F99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chemeClr val="bg1"/>
              </a:solidFill>
              <a:latin typeface="Aptos Display" panose="020B0004020202020204" pitchFamily="34" charset="0"/>
            </a:rPr>
            <a:t>Financing Assumptions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9525</xdr:colOff>
      <xdr:row>0</xdr:row>
      <xdr:rowOff>323850</xdr:rowOff>
    </xdr:from>
    <xdr:to>
      <xdr:col>17</xdr:col>
      <xdr:colOff>314325</xdr:colOff>
      <xdr:row>1</xdr:row>
      <xdr:rowOff>9525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0DD368-86DA-4EDB-8E91-4A31FC83C52F}"/>
            </a:ext>
          </a:extLst>
        </xdr:cNvPr>
        <xdr:cNvSpPr/>
      </xdr:nvSpPr>
      <xdr:spPr>
        <a:xfrm>
          <a:off x="8953500" y="323850"/>
          <a:ext cx="1514475" cy="304800"/>
        </a:xfrm>
        <a:prstGeom prst="roundRect">
          <a:avLst/>
        </a:prstGeom>
        <a:solidFill>
          <a:srgbClr val="4D6F99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chemeClr val="bg1"/>
              </a:solidFill>
              <a:latin typeface="Aptos Display" panose="020B0004020202020204" pitchFamily="34" charset="0"/>
            </a:rPr>
            <a:t>Financing Assumptions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19050</xdr:colOff>
      <xdr:row>0</xdr:row>
      <xdr:rowOff>314325</xdr:rowOff>
    </xdr:from>
    <xdr:to>
      <xdr:col>17</xdr:col>
      <xdr:colOff>323850</xdr:colOff>
      <xdr:row>1</xdr:row>
      <xdr:rowOff>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B048FE-A628-434F-B82B-18EBFF91198C}"/>
            </a:ext>
          </a:extLst>
        </xdr:cNvPr>
        <xdr:cNvSpPr/>
      </xdr:nvSpPr>
      <xdr:spPr>
        <a:xfrm>
          <a:off x="8963025" y="314325"/>
          <a:ext cx="1514475" cy="304800"/>
        </a:xfrm>
        <a:prstGeom prst="roundRect">
          <a:avLst/>
        </a:prstGeom>
        <a:solidFill>
          <a:srgbClr val="4D6F99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chemeClr val="bg1"/>
              </a:solidFill>
              <a:latin typeface="Aptos Display" panose="020B0004020202020204" pitchFamily="34" charset="0"/>
            </a:rPr>
            <a:t>Financing Assumptions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1038225</xdr:colOff>
      <xdr:row>0</xdr:row>
      <xdr:rowOff>323850</xdr:rowOff>
    </xdr:from>
    <xdr:to>
      <xdr:col>11</xdr:col>
      <xdr:colOff>457200</xdr:colOff>
      <xdr:row>1</xdr:row>
      <xdr:rowOff>9525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6981825" y="323850"/>
          <a:ext cx="1514475" cy="304800"/>
        </a:xfrm>
        <a:prstGeom prst="roundRect">
          <a:avLst/>
        </a:prstGeom>
        <a:solidFill>
          <a:srgbClr val="4D6F99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chemeClr val="bg1"/>
              </a:solidFill>
              <a:latin typeface="Aptos Display" panose="020B0004020202020204" pitchFamily="34" charset="0"/>
            </a:rPr>
            <a:t>Financing Assumptions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9F5262E-6B31-4EED-AF71-3B6D4CF26DE1}" name="WaterfallTable" displayName="WaterfallTable" ref="B13:K18" headerRowDxfId="346">
  <autoFilter ref="B13:K18" xr:uid="{00000000-0009-0000-0100-000001000000}"/>
  <tableColumns count="10">
    <tableColumn id="1" xr3:uid="{F06748A7-CE57-4063-A596-D8EB9EC5356A}" name="Year" dataDxfId="345"/>
    <tableColumn id="2" xr3:uid="{97072F7A-5666-4415-B2DE-654D760CCD8A}" name="Cash In" dataDxfId="344">
      <calculatedColumnFormula>ROI!F28</calculatedColumnFormula>
    </tableColumn>
    <tableColumn id="3" xr3:uid="{060126AB-31DD-41A0-A92F-B1E28CA91BC4}" name="Pref Owed (Beg)" dataDxfId="343"/>
    <tableColumn id="4" xr3:uid="{C006758F-D59F-48D3-9D16-A04D621A48AD}" name="Pref Paid">
      <calculatedColumnFormula>MIN(C14,D14)</calculatedColumnFormula>
    </tableColumn>
    <tableColumn id="5" xr3:uid="{D966C190-1E09-47A6-A8E1-4B1BA26C844A}" name="Pref Balance (End)">
      <calculatedColumnFormula>D14-E14</calculatedColumnFormula>
    </tableColumn>
    <tableColumn id="6" xr3:uid="{389DCC08-D01B-417B-AD18-BC4534829300}" name="Capital Returned"/>
    <tableColumn id="7" xr3:uid="{6A58C1EB-A7B3-44B3-91AA-0777696E2E6E}" name="Unreturned Capital (End)"/>
    <tableColumn id="8" xr3:uid="{28265CB1-1F5D-4BAC-A125-DB322409FA57}" name="Residual Cash">
      <calculatedColumnFormula>MAX(0,C14-E14-G14)</calculatedColumnFormula>
    </tableColumn>
    <tableColumn id="9" xr3:uid="{EE5DB29A-4B09-408E-84FB-3DA28770EB1B}" name="LP (70%)"/>
    <tableColumn id="10" xr3:uid="{D6D200A3-1CFE-41E1-8429-EFFE12EFDB7C}" name="GP (30%)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A9DFE-A1A6-4316-9130-E77E9C037DDE}">
  <sheetPr>
    <pageSetUpPr fitToPage="1"/>
  </sheetPr>
  <dimension ref="A2:AK213"/>
  <sheetViews>
    <sheetView topLeftCell="A5" zoomScaleNormal="100" workbookViewId="0">
      <selection activeCell="O23" sqref="O23"/>
    </sheetView>
  </sheetViews>
  <sheetFormatPr defaultRowHeight="15" outlineLevelRow="1" x14ac:dyDescent="0.25"/>
  <cols>
    <col min="1" max="1" width="9.140625" style="9"/>
    <col min="2" max="2" width="7.85546875" style="9" customWidth="1"/>
    <col min="3" max="3" width="5" style="9" customWidth="1"/>
    <col min="4" max="5" width="9.140625" style="9"/>
    <col min="6" max="6" width="7.7109375" style="9" customWidth="1"/>
    <col min="7" max="7" width="22.7109375" style="9" customWidth="1"/>
    <col min="8" max="10" width="15.7109375" style="9" customWidth="1"/>
    <col min="11" max="11" width="7.7109375" style="9" customWidth="1"/>
    <col min="12" max="12" width="9.85546875" style="9" bestFit="1" customWidth="1"/>
    <col min="13" max="13" width="9.140625" style="9"/>
    <col min="14" max="14" width="14.5703125" style="9" bestFit="1" customWidth="1"/>
    <col min="15" max="16" width="13.5703125" style="9" bestFit="1" customWidth="1"/>
    <col min="17" max="25" width="9.140625" style="9"/>
    <col min="26" max="36" width="9.140625" style="2"/>
  </cols>
  <sheetData>
    <row r="2" spans="2:37" hidden="1" outlineLevel="1" x14ac:dyDescent="0.25">
      <c r="B2" s="1426" t="s">
        <v>754</v>
      </c>
      <c r="C2" s="1425" t="s">
        <v>753</v>
      </c>
    </row>
    <row r="3" spans="2:37" collapsed="1" x14ac:dyDescent="0.25">
      <c r="F3" s="1330"/>
      <c r="G3" s="18"/>
      <c r="H3" s="18"/>
      <c r="I3" s="18"/>
      <c r="J3" s="18"/>
      <c r="K3" s="1331"/>
    </row>
    <row r="4" spans="2:37" x14ac:dyDescent="0.25">
      <c r="F4" s="43"/>
      <c r="G4" s="34"/>
      <c r="H4" s="34"/>
      <c r="I4" s="34"/>
      <c r="J4" s="34"/>
      <c r="K4" s="74"/>
    </row>
    <row r="5" spans="2:37" x14ac:dyDescent="0.25">
      <c r="F5" s="1336"/>
      <c r="G5" s="1502" t="s">
        <v>620</v>
      </c>
      <c r="H5" s="1502"/>
      <c r="I5" s="1502"/>
      <c r="J5" s="1502"/>
      <c r="K5" s="1337"/>
    </row>
    <row r="6" spans="2:37" ht="15" customHeight="1" x14ac:dyDescent="0.25">
      <c r="F6" s="1336"/>
      <c r="G6" s="1502"/>
      <c r="H6" s="1502"/>
      <c r="I6" s="1502"/>
      <c r="J6" s="1502"/>
      <c r="K6" s="1337"/>
    </row>
    <row r="7" spans="2:37" s="9" customFormat="1" ht="18" customHeight="1" x14ac:dyDescent="0.25">
      <c r="F7" s="43"/>
      <c r="G7" s="1338" t="s">
        <v>621</v>
      </c>
      <c r="H7" s="1339" t="str">
        <f>'Operating Assumptions'!D7</f>
        <v>Channahon, IL</v>
      </c>
      <c r="I7" s="1339"/>
      <c r="J7" s="1340"/>
      <c r="K7" s="1341"/>
      <c r="L7" s="19"/>
      <c r="M7" s="19"/>
      <c r="N7" s="1498">
        <v>10434034.356800005</v>
      </c>
      <c r="O7" s="1498">
        <f>N7*90%</f>
        <v>9390630.9211200047</v>
      </c>
      <c r="P7" s="1498">
        <f>N7*10%</f>
        <v>1043403.4356800006</v>
      </c>
      <c r="Q7" s="19"/>
      <c r="R7" s="19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/>
    </row>
    <row r="8" spans="2:37" s="9" customFormat="1" ht="18" customHeight="1" x14ac:dyDescent="0.25">
      <c r="F8" s="43"/>
      <c r="G8" s="1338" t="s">
        <v>17</v>
      </c>
      <c r="H8" s="1342">
        <f>'Financing Assumptions'!D28</f>
        <v>56919034.356800005</v>
      </c>
      <c r="I8" s="1339"/>
      <c r="J8" s="1340"/>
      <c r="K8" s="1341"/>
      <c r="L8" s="19"/>
      <c r="M8" s="19"/>
      <c r="N8" s="1496">
        <v>9390630.9211200047</v>
      </c>
      <c r="O8" s="1496">
        <f>N8/240</f>
        <v>39127.628838000019</v>
      </c>
      <c r="P8" s="1497">
        <f>N8/218112</f>
        <v>43.054169055897908</v>
      </c>
      <c r="Q8" s="1496"/>
      <c r="R8" s="19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/>
    </row>
    <row r="9" spans="2:37" s="1327" customFormat="1" ht="18" customHeight="1" x14ac:dyDescent="0.25">
      <c r="F9" s="840"/>
      <c r="G9" s="1338" t="s">
        <v>643</v>
      </c>
      <c r="H9" s="1339" t="s">
        <v>642</v>
      </c>
      <c r="I9" s="1339"/>
      <c r="J9" s="1340"/>
      <c r="K9" s="1343"/>
      <c r="N9" s="1496">
        <v>1043403.4356800006</v>
      </c>
      <c r="O9" s="1496">
        <f>N9/240</f>
        <v>4347.5143153333356</v>
      </c>
      <c r="P9" s="1497">
        <f>N9/218112</f>
        <v>4.7837965617664349</v>
      </c>
      <c r="Q9" s="1496"/>
      <c r="Z9" s="1329"/>
      <c r="AA9" s="1329"/>
      <c r="AB9" s="1329"/>
      <c r="AC9" s="1329"/>
      <c r="AD9" s="1329"/>
      <c r="AE9" s="1329"/>
      <c r="AF9" s="1329"/>
      <c r="AG9" s="1329"/>
      <c r="AH9" s="1329"/>
      <c r="AI9" s="1329"/>
      <c r="AJ9" s="1329"/>
      <c r="AK9" s="496"/>
    </row>
    <row r="10" spans="2:37" s="9" customFormat="1" ht="18" customHeight="1" x14ac:dyDescent="0.25">
      <c r="F10" s="43"/>
      <c r="G10" s="1338" t="s">
        <v>622</v>
      </c>
      <c r="H10" s="1344">
        <f>'Unit Mix'!C42</f>
        <v>240</v>
      </c>
      <c r="I10" s="1339"/>
      <c r="J10" s="1340"/>
      <c r="K10" s="74"/>
      <c r="M10" s="19"/>
      <c r="N10" s="1496">
        <v>46485000</v>
      </c>
      <c r="O10" s="1496">
        <f>N10/240</f>
        <v>193687.5</v>
      </c>
      <c r="P10" s="1497">
        <f>N10/218112</f>
        <v>213.12444982394365</v>
      </c>
      <c r="Q10" s="1496"/>
      <c r="R10" s="19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/>
    </row>
    <row r="11" spans="2:37" s="9" customFormat="1" ht="18" customHeight="1" x14ac:dyDescent="0.25">
      <c r="F11" s="43"/>
      <c r="G11" s="1338" t="s">
        <v>644</v>
      </c>
      <c r="H11" s="1345">
        <f>'Unit Mix'!C12</f>
        <v>1920</v>
      </c>
      <c r="I11" s="1346">
        <f>'Unit Mix'!C11</f>
        <v>2.1635408792122215</v>
      </c>
      <c r="J11" s="1340"/>
      <c r="K11" s="1341"/>
      <c r="L11" s="19"/>
      <c r="M11" s="19"/>
      <c r="N11" s="1496">
        <f>SUM(N8:N10)</f>
        <v>56919034.356800005</v>
      </c>
      <c r="O11" s="1496">
        <f t="shared" ref="O11:P11" si="0">SUM(O8:O10)</f>
        <v>237162.64315333334</v>
      </c>
      <c r="P11" s="1496">
        <f t="shared" si="0"/>
        <v>260.96241544160802</v>
      </c>
      <c r="Q11" s="1496"/>
      <c r="R11" s="19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/>
    </row>
    <row r="12" spans="2:37" s="9" customFormat="1" ht="18" customHeight="1" x14ac:dyDescent="0.25">
      <c r="F12" s="43"/>
      <c r="G12" s="1338" t="s">
        <v>624</v>
      </c>
      <c r="H12" s="1347">
        <f>I39</f>
        <v>0</v>
      </c>
      <c r="I12" s="1339"/>
      <c r="J12" s="1340"/>
      <c r="K12" s="1341"/>
      <c r="L12" s="19"/>
      <c r="M12" s="19"/>
      <c r="N12" s="19"/>
      <c r="O12" s="19"/>
      <c r="P12" s="19"/>
      <c r="Q12" s="19"/>
      <c r="R12" s="19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/>
    </row>
    <row r="13" spans="2:37" s="9" customFormat="1" ht="18" customHeight="1" x14ac:dyDescent="0.25">
      <c r="F13" s="43"/>
      <c r="G13" s="1338" t="s">
        <v>623</v>
      </c>
      <c r="H13" s="1348">
        <f>I40</f>
        <v>0</v>
      </c>
      <c r="I13" s="1339"/>
      <c r="J13" s="1340"/>
      <c r="K13" s="1341"/>
      <c r="L13" s="19"/>
      <c r="M13" s="19"/>
      <c r="N13" s="19"/>
      <c r="O13" s="19"/>
      <c r="P13" s="19"/>
      <c r="Q13" s="19"/>
      <c r="R13" s="19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/>
    </row>
    <row r="14" spans="2:37" s="9" customFormat="1" ht="20.100000000000001" customHeight="1" x14ac:dyDescent="0.25">
      <c r="F14" s="1349"/>
      <c r="G14" s="1350" t="s">
        <v>645</v>
      </c>
      <c r="H14" s="1351" t="s">
        <v>441</v>
      </c>
      <c r="I14" s="1351" t="s">
        <v>66</v>
      </c>
      <c r="J14" s="514"/>
      <c r="K14" s="1352"/>
      <c r="L14" s="19"/>
      <c r="M14" s="19"/>
      <c r="N14" s="19"/>
      <c r="O14" s="19"/>
      <c r="P14" s="19"/>
      <c r="Q14" s="19"/>
      <c r="R14" s="19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2:37" s="9" customFormat="1" ht="18" customHeight="1" x14ac:dyDescent="0.25">
      <c r="F15" s="43"/>
      <c r="G15" s="839" t="s">
        <v>625</v>
      </c>
      <c r="H15" s="1353">
        <f>$I15/$H$8</f>
        <v>0.816686377857472</v>
      </c>
      <c r="I15" s="1354">
        <f>'Financing Assumptions'!H8</f>
        <v>46485000</v>
      </c>
      <c r="J15" s="34"/>
      <c r="K15" s="74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2:37" s="9" customFormat="1" ht="18" customHeight="1" x14ac:dyDescent="0.25">
      <c r="F16" s="43"/>
      <c r="G16" s="839" t="s">
        <v>626</v>
      </c>
      <c r="H16" s="1353">
        <f t="shared" ref="H16:H18" si="1">$I16/$H$8</f>
        <v>0</v>
      </c>
      <c r="I16" s="1354">
        <v>0</v>
      </c>
      <c r="J16" s="34"/>
      <c r="K16" s="74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6:36" s="9" customFormat="1" ht="18" customHeight="1" x14ac:dyDescent="0.25">
      <c r="F17" s="43"/>
      <c r="G17" s="839" t="s">
        <v>627</v>
      </c>
      <c r="H17" s="1353">
        <f t="shared" si="1"/>
        <v>0</v>
      </c>
      <c r="I17" s="1354">
        <f>'Financing Assumptions'!D17</f>
        <v>0</v>
      </c>
      <c r="J17" s="34"/>
      <c r="K17" s="74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6:36" s="9" customFormat="1" ht="18" customHeight="1" x14ac:dyDescent="0.25">
      <c r="F18" s="43"/>
      <c r="G18" s="839" t="s">
        <v>628</v>
      </c>
      <c r="H18" s="1353">
        <f t="shared" si="1"/>
        <v>0.183313622142528</v>
      </c>
      <c r="I18" s="517">
        <f>'Financing Assumptions'!D18</f>
        <v>10434034.356800005</v>
      </c>
      <c r="J18" s="34"/>
      <c r="K18" s="74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6:36" s="9" customFormat="1" ht="18" customHeight="1" x14ac:dyDescent="0.25">
      <c r="F19" s="1355"/>
      <c r="G19" s="1356" t="s">
        <v>66</v>
      </c>
      <c r="H19" s="1357">
        <f>$I19/$H$8</f>
        <v>1</v>
      </c>
      <c r="I19" s="1358">
        <f>SUM(I15:I18)</f>
        <v>56919034.356800005</v>
      </c>
      <c r="J19" s="1359"/>
      <c r="K19" s="1360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6:36" s="9" customFormat="1" ht="20.100000000000001" customHeight="1" x14ac:dyDescent="0.25">
      <c r="F20" s="1349"/>
      <c r="G20" s="1350" t="s">
        <v>629</v>
      </c>
      <c r="H20" s="1361" t="s">
        <v>648</v>
      </c>
      <c r="I20" s="1361" t="s">
        <v>66</v>
      </c>
      <c r="J20" s="514"/>
      <c r="K20" s="821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6:36" s="9" customFormat="1" ht="18" customHeight="1" x14ac:dyDescent="0.25">
      <c r="F21" s="43"/>
      <c r="G21" s="1362" t="s">
        <v>631</v>
      </c>
      <c r="H21" s="517">
        <f>I21/$H$10</f>
        <v>10416.666666666666</v>
      </c>
      <c r="I21" s="517">
        <f>'Financing Assumptions'!D21</f>
        <v>2500000</v>
      </c>
      <c r="J21" s="34"/>
      <c r="K21" s="74"/>
      <c r="L21" s="1499">
        <f>I21/218112</f>
        <v>11.46200117370892</v>
      </c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6:36" s="9" customFormat="1" ht="18" customHeight="1" x14ac:dyDescent="0.25">
      <c r="F22" s="43"/>
      <c r="G22" s="1362" t="s">
        <v>129</v>
      </c>
      <c r="H22" s="517">
        <f t="shared" ref="H22:H27" si="2">I22/$H$10</f>
        <v>162024.73300000001</v>
      </c>
      <c r="I22" s="517">
        <f>'Financing Assumptions'!D22</f>
        <v>38885935.920000002</v>
      </c>
      <c r="J22" s="34"/>
      <c r="K22" s="74"/>
      <c r="L22" s="1499">
        <f t="shared" ref="L22:L27" si="3">I22/218112</f>
        <v>178.28425726232396</v>
      </c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6:36" s="9" customFormat="1" ht="18" customHeight="1" x14ac:dyDescent="0.25">
      <c r="F23" s="43"/>
      <c r="G23" s="1362" t="s">
        <v>65</v>
      </c>
      <c r="H23" s="517">
        <f t="shared" si="2"/>
        <v>19479.166666666668</v>
      </c>
      <c r="I23" s="517">
        <f>'Financing Assumptions'!D23</f>
        <v>4675000</v>
      </c>
      <c r="J23" s="34"/>
      <c r="K23" s="74"/>
      <c r="L23" s="1499">
        <f t="shared" si="3"/>
        <v>21.43394219483568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6:36" s="9" customFormat="1" ht="18" customHeight="1" x14ac:dyDescent="0.25">
      <c r="F24" s="43"/>
      <c r="G24" s="1362" t="s">
        <v>566</v>
      </c>
      <c r="H24" s="517">
        <f t="shared" si="2"/>
        <v>1250</v>
      </c>
      <c r="I24" s="517">
        <f>'Financing Assumptions'!D24</f>
        <v>300000</v>
      </c>
      <c r="J24" s="34"/>
      <c r="K24" s="74"/>
      <c r="L24" s="1499">
        <f t="shared" si="3"/>
        <v>1.3754401408450705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6:36" s="9" customFormat="1" ht="18" customHeight="1" x14ac:dyDescent="0.25">
      <c r="F25" s="43"/>
      <c r="G25" s="1362" t="s">
        <v>630</v>
      </c>
      <c r="H25" s="517">
        <f t="shared" si="2"/>
        <v>8372.4414033333342</v>
      </c>
      <c r="I25" s="517">
        <f>'Financing Assumptions'!D25</f>
        <v>2009385.9368</v>
      </c>
      <c r="J25" s="34"/>
      <c r="K25" s="74"/>
      <c r="L25" s="1499">
        <f t="shared" si="3"/>
        <v>9.2126335864143201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6:36" s="9" customFormat="1" ht="18" customHeight="1" x14ac:dyDescent="0.25">
      <c r="F26" s="43"/>
      <c r="G26" s="1362" t="s">
        <v>148</v>
      </c>
      <c r="H26" s="517">
        <f t="shared" si="2"/>
        <v>24490.833333333332</v>
      </c>
      <c r="I26" s="517">
        <f>'Financing Assumptions'!D26</f>
        <v>5877800</v>
      </c>
      <c r="J26" s="34"/>
      <c r="K26" s="74"/>
      <c r="L26" s="1499">
        <f t="shared" si="3"/>
        <v>26.948540199530516</v>
      </c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6:36" s="9" customFormat="1" ht="18" customHeight="1" x14ac:dyDescent="0.25">
      <c r="F27" s="43"/>
      <c r="G27" s="34" t="s">
        <v>151</v>
      </c>
      <c r="H27" s="517">
        <f t="shared" si="2"/>
        <v>11128.802083333334</v>
      </c>
      <c r="I27" s="517">
        <f>'Financing Assumptions'!D27</f>
        <v>2670912.5</v>
      </c>
      <c r="J27" s="34"/>
      <c r="K27" s="74"/>
      <c r="L27" s="1499">
        <f t="shared" si="3"/>
        <v>12.24560088394953</v>
      </c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6:36" s="9" customFormat="1" ht="18" customHeight="1" x14ac:dyDescent="0.25">
      <c r="F28" s="1355"/>
      <c r="G28" s="1356" t="s">
        <v>66</v>
      </c>
      <c r="H28" s="1358">
        <f>I28/H10</f>
        <v>237162.64315333337</v>
      </c>
      <c r="I28" s="1358">
        <f>SUM(I21:I27)</f>
        <v>56919034.356800005</v>
      </c>
      <c r="J28" s="1359"/>
      <c r="K28" s="1360"/>
      <c r="L28" s="1499">
        <f>SUM(L21:L27)</f>
        <v>260.96241544160802</v>
      </c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6:36" s="9" customFormat="1" ht="20.100000000000001" customHeight="1" x14ac:dyDescent="0.25">
      <c r="F29" s="1349"/>
      <c r="G29" s="1350" t="s">
        <v>646</v>
      </c>
      <c r="H29" s="1361" t="s">
        <v>227</v>
      </c>
      <c r="I29" s="1361" t="s">
        <v>33</v>
      </c>
      <c r="J29" s="514"/>
      <c r="K29" s="821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6:36" s="9" customFormat="1" ht="18" customHeight="1" x14ac:dyDescent="0.25">
      <c r="F30" s="43"/>
      <c r="G30" s="34" t="s">
        <v>637</v>
      </c>
      <c r="H30" s="1362"/>
      <c r="I30" s="1362"/>
      <c r="J30" s="1362"/>
      <c r="K30" s="74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6:36" s="9" customFormat="1" ht="18" customHeight="1" x14ac:dyDescent="0.25">
      <c r="F31" s="43"/>
      <c r="G31" s="34" t="s">
        <v>638</v>
      </c>
      <c r="H31" s="1363">
        <f>'Operating Assumptions'!D47</f>
        <v>46082</v>
      </c>
      <c r="I31" s="34">
        <f>'Operating Assumptions'!C47</f>
        <v>2</v>
      </c>
      <c r="J31" s="34"/>
      <c r="K31" s="74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6:36" s="9" customFormat="1" ht="18" customHeight="1" x14ac:dyDescent="0.25">
      <c r="F32" s="43"/>
      <c r="G32" s="34" t="s">
        <v>639</v>
      </c>
      <c r="H32" s="1363">
        <f>'Operating Assumptions'!D48</f>
        <v>46812</v>
      </c>
      <c r="I32" s="34">
        <f>'Operating Assumptions'!C48</f>
        <v>25</v>
      </c>
      <c r="J32" s="34"/>
      <c r="K32" s="74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6:36" s="9" customFormat="1" ht="18" customHeight="1" x14ac:dyDescent="0.25">
      <c r="F33" s="43"/>
      <c r="G33" s="34" t="s">
        <v>640</v>
      </c>
      <c r="H33" s="1363">
        <f>'Operating Assumptions'!D28</f>
        <v>46996</v>
      </c>
      <c r="I33" s="34"/>
      <c r="J33" s="34"/>
      <c r="K33" s="74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6:36" s="9" customFormat="1" ht="18" customHeight="1" x14ac:dyDescent="0.25">
      <c r="F34" s="43"/>
      <c r="G34" s="34" t="s">
        <v>641</v>
      </c>
      <c r="H34" s="1363">
        <f>'Sale - Refinance'!E13</f>
        <v>48579</v>
      </c>
      <c r="I34" s="34">
        <f>'Sale - Refinance'!E15</f>
        <v>83</v>
      </c>
      <c r="J34" s="34"/>
      <c r="K34" s="74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6:36" s="9" customFormat="1" ht="20.100000000000001" customHeight="1" x14ac:dyDescent="0.25">
      <c r="F35" s="1336"/>
      <c r="G35" s="1501" t="s">
        <v>647</v>
      </c>
      <c r="H35" s="1501"/>
      <c r="I35" s="1364"/>
      <c r="J35" s="514"/>
      <c r="K35" s="821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6:36" s="9" customFormat="1" ht="18" customHeight="1" x14ac:dyDescent="0.25">
      <c r="F36" s="1355"/>
      <c r="G36" s="1359"/>
      <c r="H36" s="1365" t="s">
        <v>634</v>
      </c>
      <c r="I36" s="1365" t="s">
        <v>635</v>
      </c>
      <c r="J36" s="1365" t="s">
        <v>636</v>
      </c>
      <c r="K36" s="1360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6:36" s="9" customFormat="1" ht="18" customHeight="1" thickBot="1" x14ac:dyDescent="0.3">
      <c r="F37" s="43"/>
      <c r="G37" s="34" t="s">
        <v>632</v>
      </c>
      <c r="H37" s="1366">
        <f>'Financing Assumptions'!L19</f>
        <v>10434034.356800005</v>
      </c>
      <c r="I37" s="1366">
        <f>'Financing Assumptions'!D18</f>
        <v>10434034.356800005</v>
      </c>
      <c r="J37" s="1366">
        <f>'Financing Assumptions'!D17</f>
        <v>0</v>
      </c>
      <c r="K37" s="74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6:36" s="9" customFormat="1" ht="18" customHeight="1" thickTop="1" x14ac:dyDescent="0.25">
      <c r="F38" s="43"/>
      <c r="G38" s="34" t="s">
        <v>633</v>
      </c>
      <c r="H38" s="1340"/>
      <c r="I38" s="1340"/>
      <c r="J38" s="1340"/>
      <c r="K38" s="74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6:36" s="9" customFormat="1" ht="18" customHeight="1" x14ac:dyDescent="0.25">
      <c r="F39" s="43"/>
      <c r="G39" s="34" t="s">
        <v>1</v>
      </c>
      <c r="H39" s="1340"/>
      <c r="I39" s="1367"/>
      <c r="J39" s="1340"/>
      <c r="K39" s="74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6:36" s="9" customFormat="1" ht="18" customHeight="1" x14ac:dyDescent="0.25">
      <c r="F40" s="43"/>
      <c r="G40" s="34" t="s">
        <v>410</v>
      </c>
      <c r="H40" s="1340"/>
      <c r="I40" s="1368"/>
      <c r="J40" s="1340"/>
      <c r="K40" s="74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6:36" s="9" customFormat="1" ht="18" customHeight="1" x14ac:dyDescent="0.25">
      <c r="F41" s="43"/>
      <c r="G41" s="1362"/>
      <c r="H41" s="34"/>
      <c r="I41" s="34"/>
      <c r="J41" s="34"/>
      <c r="K41" s="74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6:36" s="9" customFormat="1" ht="18" customHeight="1" x14ac:dyDescent="0.25">
      <c r="F42" s="57"/>
      <c r="G42" s="39"/>
      <c r="H42" s="1369"/>
      <c r="I42" s="1369"/>
      <c r="J42" s="890"/>
      <c r="K42" s="99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6:36" s="9" customFormat="1" x14ac:dyDescent="0.25">
      <c r="G43" s="34"/>
      <c r="H43" s="1310"/>
      <c r="I43" s="1310"/>
      <c r="J43" s="34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6:36" s="9" customFormat="1" x14ac:dyDescent="0.25">
      <c r="G44" s="34"/>
      <c r="H44" s="34"/>
      <c r="I44" s="34"/>
      <c r="J44" s="34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6:36" s="9" customFormat="1" x14ac:dyDescent="0.25">
      <c r="G45" s="34"/>
      <c r="H45" s="34"/>
      <c r="I45" s="34"/>
      <c r="J45" s="34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6:36" s="9" customFormat="1" x14ac:dyDescent="0.25">
      <c r="G46" s="34"/>
      <c r="H46" s="34"/>
      <c r="I46" s="34"/>
      <c r="J46" s="34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6:36" s="9" customFormat="1" x14ac:dyDescent="0.25">
      <c r="G47" s="1500"/>
      <c r="H47" s="1500"/>
      <c r="I47" s="1328"/>
      <c r="J47" s="34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6:36" s="9" customFormat="1" x14ac:dyDescent="0.25">
      <c r="G48" s="34"/>
      <c r="H48" s="34"/>
      <c r="I48" s="34"/>
      <c r="J48" s="34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7:36" s="9" customFormat="1" x14ac:dyDescent="0.25">
      <c r="G49" s="34"/>
      <c r="H49" s="34"/>
      <c r="I49" s="34"/>
      <c r="J49" s="34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7:36" s="9" customFormat="1" x14ac:dyDescent="0.25">
      <c r="G50" s="34"/>
      <c r="H50" s="34"/>
      <c r="I50" s="34"/>
      <c r="J50" s="34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7:36" s="9" customFormat="1" x14ac:dyDescent="0.25">
      <c r="G51" s="34"/>
      <c r="H51" s="34"/>
      <c r="I51" s="34"/>
      <c r="J51" s="34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7:36" s="9" customFormat="1" x14ac:dyDescent="0.25">
      <c r="G52" s="34"/>
      <c r="H52" s="34"/>
      <c r="I52" s="34"/>
      <c r="J52" s="34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7:36" s="9" customFormat="1" x14ac:dyDescent="0.25">
      <c r="G53" s="34"/>
      <c r="H53" s="34"/>
      <c r="I53" s="34"/>
      <c r="J53" s="34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7:36" s="9" customFormat="1" ht="15.75" x14ac:dyDescent="0.25">
      <c r="G54" s="519"/>
      <c r="H54" s="519"/>
      <c r="I54" s="519"/>
      <c r="J54" s="519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7:36" s="9" customFormat="1" ht="15.75" x14ac:dyDescent="0.25">
      <c r="G55" s="519"/>
      <c r="H55" s="519"/>
      <c r="I55" s="519"/>
      <c r="J55" s="519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7:36" s="9" customFormat="1" ht="15.75" x14ac:dyDescent="0.25">
      <c r="G56" s="34"/>
      <c r="H56" s="519"/>
      <c r="I56" s="519"/>
      <c r="J56" s="519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7:36" s="9" customFormat="1" ht="15.75" x14ac:dyDescent="0.25">
      <c r="G57" s="519"/>
      <c r="H57" s="519"/>
      <c r="I57" s="519"/>
      <c r="J57" s="519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7:36" s="9" customFormat="1" ht="15.75" x14ac:dyDescent="0.25">
      <c r="G58" s="519"/>
      <c r="H58" s="519"/>
      <c r="I58" s="519"/>
      <c r="J58" s="519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7:36" s="9" customFormat="1" x14ac:dyDescent="0.25"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197" spans="5:36" s="9" customFormat="1" ht="15.75" thickBot="1" x14ac:dyDescent="0.3"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5:36" s="9" customFormat="1" ht="15.75" thickTop="1" x14ac:dyDescent="0.25">
      <c r="E198" s="23"/>
      <c r="F198" s="24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5:36" s="9" customFormat="1" x14ac:dyDescent="0.25">
      <c r="E199" s="25"/>
      <c r="F199" s="26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5:36" s="9" customFormat="1" x14ac:dyDescent="0.25">
      <c r="E200" s="25"/>
      <c r="F200" s="26" t="s">
        <v>45</v>
      </c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5:36" s="9" customFormat="1" x14ac:dyDescent="0.25">
      <c r="E201" s="25"/>
      <c r="F201" s="26" t="s">
        <v>46</v>
      </c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5:36" s="9" customFormat="1" x14ac:dyDescent="0.25">
      <c r="E202" s="25"/>
      <c r="F202" s="26" t="s">
        <v>47</v>
      </c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5:36" s="9" customFormat="1" x14ac:dyDescent="0.25">
      <c r="E203" s="25"/>
      <c r="F203" s="26" t="s">
        <v>48</v>
      </c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5:36" s="9" customFormat="1" x14ac:dyDescent="0.25">
      <c r="E204" s="25"/>
      <c r="F204" s="26" t="s">
        <v>49</v>
      </c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5:36" s="9" customFormat="1" x14ac:dyDescent="0.25">
      <c r="E205" s="25"/>
      <c r="F205" s="26" t="s">
        <v>50</v>
      </c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5:36" s="9" customFormat="1" x14ac:dyDescent="0.25">
      <c r="E206" s="25"/>
      <c r="F206" s="26" t="s">
        <v>51</v>
      </c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5:36" s="9" customFormat="1" x14ac:dyDescent="0.25">
      <c r="E207" s="25"/>
      <c r="F207" s="26" t="s">
        <v>52</v>
      </c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5:36" s="9" customFormat="1" x14ac:dyDescent="0.25">
      <c r="E208" s="25"/>
      <c r="F208" s="26" t="s">
        <v>53</v>
      </c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5:36" s="9" customFormat="1" x14ac:dyDescent="0.25">
      <c r="E209" s="25"/>
      <c r="F209" s="26" t="s">
        <v>54</v>
      </c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5:36" s="9" customFormat="1" x14ac:dyDescent="0.25">
      <c r="E210" s="25"/>
      <c r="F210" s="26" t="s">
        <v>55</v>
      </c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5:36" s="9" customFormat="1" x14ac:dyDescent="0.25">
      <c r="E211" s="25"/>
      <c r="F211" s="26" t="s">
        <v>56</v>
      </c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5:36" s="9" customFormat="1" ht="15.75" thickBot="1" x14ac:dyDescent="0.3">
      <c r="E212" s="27"/>
      <c r="F212" s="28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5:36" s="9" customFormat="1" ht="15.75" thickTop="1" x14ac:dyDescent="0.25"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</sheetData>
  <mergeCells count="3">
    <mergeCell ref="G47:H47"/>
    <mergeCell ref="G35:H35"/>
    <mergeCell ref="G5:J6"/>
  </mergeCells>
  <conditionalFormatting sqref="H41:I41">
    <cfRule type="expression" dxfId="342" priority="1">
      <formula>IF($E$10="No","TRUE","FALSE")</formula>
    </cfRule>
  </conditionalFormatting>
  <printOptions horizontalCentered="1"/>
  <pageMargins left="0.7" right="0.7" top="0.75" bottom="0.75" header="0.3" footer="0.3"/>
  <pageSetup scale="2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05F18-2BC7-4A13-A59E-6CDF83FB2854}">
  <dimension ref="A2:V37"/>
  <sheetViews>
    <sheetView showGridLines="0" topLeftCell="A6" workbookViewId="0">
      <selection activeCell="J23" sqref="J23"/>
    </sheetView>
  </sheetViews>
  <sheetFormatPr defaultRowHeight="15" x14ac:dyDescent="0.25"/>
  <cols>
    <col min="2" max="2" width="32.140625" customWidth="1"/>
    <col min="3" max="3" width="14" customWidth="1"/>
    <col min="4" max="11" width="18.5703125" customWidth="1"/>
    <col min="14" max="14" width="13.140625" customWidth="1"/>
    <col min="17" max="17" width="17.7109375" customWidth="1"/>
  </cols>
  <sheetData>
    <row r="2" spans="1:22" ht="26.1" customHeight="1" x14ac:dyDescent="0.35">
      <c r="B2" s="1535" t="s">
        <v>777</v>
      </c>
      <c r="C2" s="1536"/>
      <c r="D2" s="1536"/>
      <c r="E2" s="1536"/>
      <c r="F2" s="1536"/>
      <c r="G2" s="1536"/>
      <c r="H2" s="1536"/>
      <c r="I2" s="1536"/>
      <c r="J2" s="1536"/>
      <c r="K2" s="1536"/>
    </row>
    <row r="4" spans="1:22" ht="20.100000000000001" customHeight="1" x14ac:dyDescent="0.25">
      <c r="B4" s="1537" t="s">
        <v>22</v>
      </c>
      <c r="C4" s="1536"/>
      <c r="D4" s="1536"/>
      <c r="E4" s="1536"/>
    </row>
    <row r="5" spans="1:22" x14ac:dyDescent="0.25">
      <c r="B5" s="1479" t="s">
        <v>778</v>
      </c>
      <c r="C5" s="1480">
        <v>10184034</v>
      </c>
    </row>
    <row r="6" spans="1:22" x14ac:dyDescent="0.25">
      <c r="B6" s="1479" t="s">
        <v>589</v>
      </c>
      <c r="C6" s="1481">
        <v>0.08</v>
      </c>
    </row>
    <row r="7" spans="1:22" x14ac:dyDescent="0.25">
      <c r="B7" s="1479" t="s">
        <v>779</v>
      </c>
      <c r="C7" s="1482" t="s">
        <v>780</v>
      </c>
    </row>
    <row r="8" spans="1:22" x14ac:dyDescent="0.25">
      <c r="B8" s="1479" t="s">
        <v>781</v>
      </c>
      <c r="C8" s="1482" t="s">
        <v>782</v>
      </c>
    </row>
    <row r="9" spans="1:22" x14ac:dyDescent="0.25">
      <c r="B9" s="1479" t="s">
        <v>783</v>
      </c>
      <c r="C9" s="1483">
        <v>2.75</v>
      </c>
    </row>
    <row r="10" spans="1:22" x14ac:dyDescent="0.25">
      <c r="B10" s="1479" t="s">
        <v>784</v>
      </c>
      <c r="C10" s="1481">
        <v>0.7</v>
      </c>
    </row>
    <row r="11" spans="1:22" ht="15" customHeight="1" x14ac:dyDescent="0.25">
      <c r="B11" s="1479" t="s">
        <v>785</v>
      </c>
      <c r="C11" s="1481">
        <v>0.3</v>
      </c>
    </row>
    <row r="12" spans="1:22" ht="20.100000000000001" customHeight="1" x14ac:dyDescent="0.25">
      <c r="B12" s="1537" t="s">
        <v>786</v>
      </c>
      <c r="C12" s="1536"/>
      <c r="D12" s="1536"/>
      <c r="E12" s="1536"/>
      <c r="F12" s="1536"/>
      <c r="G12" s="1536"/>
      <c r="H12" s="1536"/>
      <c r="I12" s="1536"/>
      <c r="J12" s="1536"/>
      <c r="K12" s="1536"/>
      <c r="M12" s="1534" t="s">
        <v>796</v>
      </c>
      <c r="N12" s="1534"/>
      <c r="O12" s="1534"/>
      <c r="P12" s="1534"/>
      <c r="Q12" s="1534"/>
      <c r="R12" s="1534"/>
      <c r="S12" s="1534"/>
      <c r="T12" s="1534"/>
      <c r="U12" s="1534"/>
      <c r="V12" s="1534"/>
    </row>
    <row r="13" spans="1:22" ht="33" customHeight="1" x14ac:dyDescent="0.25">
      <c r="B13" s="1487" t="s">
        <v>32</v>
      </c>
      <c r="C13" s="1487" t="s">
        <v>787</v>
      </c>
      <c r="D13" s="1487" t="s">
        <v>788</v>
      </c>
      <c r="E13" s="1487" t="s">
        <v>789</v>
      </c>
      <c r="F13" s="1487" t="s">
        <v>790</v>
      </c>
      <c r="G13" s="1487" t="s">
        <v>791</v>
      </c>
      <c r="H13" s="1487" t="s">
        <v>792</v>
      </c>
      <c r="I13" s="1487" t="s">
        <v>793</v>
      </c>
      <c r="J13" s="1487" t="s">
        <v>794</v>
      </c>
      <c r="K13" s="1487" t="s">
        <v>795</v>
      </c>
      <c r="M13" s="1533" t="s">
        <v>797</v>
      </c>
      <c r="N13" s="1533"/>
      <c r="O13" s="1533"/>
      <c r="P13" s="1533"/>
      <c r="Q13" s="1533"/>
      <c r="R13" s="1533"/>
      <c r="S13" s="1533"/>
      <c r="T13" s="1533"/>
      <c r="U13" s="1533"/>
      <c r="V13" s="1533"/>
    </row>
    <row r="14" spans="1:22" x14ac:dyDescent="0.25">
      <c r="A14" s="1486">
        <v>2028</v>
      </c>
      <c r="B14" s="1484">
        <v>1</v>
      </c>
      <c r="C14" s="1495">
        <f>ROI!F28</f>
        <v>2033032.5693331573</v>
      </c>
      <c r="D14" s="1485">
        <f>C5*C6*C9</f>
        <v>2240487.48</v>
      </c>
      <c r="E14" s="1485">
        <f>MIN(C14,D14)</f>
        <v>2033032.5693331573</v>
      </c>
      <c r="F14" s="1485">
        <f>D14-E14</f>
        <v>207454.91066684271</v>
      </c>
      <c r="G14" s="1485">
        <f>MIN(MAX(0,C14-E14),C5)</f>
        <v>0</v>
      </c>
      <c r="H14" s="1485">
        <f>C5-G14</f>
        <v>10184034</v>
      </c>
      <c r="I14" s="1485">
        <f>MAX(0,C14-E14-G14)</f>
        <v>0</v>
      </c>
      <c r="J14" s="1485">
        <f>I14*C10</f>
        <v>0</v>
      </c>
      <c r="K14" s="1485">
        <f>I14*C11</f>
        <v>0</v>
      </c>
      <c r="M14" s="1533"/>
      <c r="N14" s="1533"/>
      <c r="O14" s="1533"/>
      <c r="P14" s="1533"/>
      <c r="Q14" s="1533"/>
      <c r="R14" s="1533"/>
      <c r="S14" s="1533"/>
      <c r="T14" s="1533"/>
      <c r="U14" s="1533"/>
      <c r="V14" s="1533"/>
    </row>
    <row r="15" spans="1:22" x14ac:dyDescent="0.25">
      <c r="A15">
        <f>A14+1</f>
        <v>2029</v>
      </c>
      <c r="B15" s="1484">
        <v>2</v>
      </c>
      <c r="C15" s="1495">
        <f>ROI!F29</f>
        <v>1595516.5191228543</v>
      </c>
      <c r="D15" s="1485">
        <f>F14+H14*C6</f>
        <v>1022177.6306668427</v>
      </c>
      <c r="E15" s="1485">
        <f>MIN(C15,D15)</f>
        <v>1022177.6306668427</v>
      </c>
      <c r="F15" s="1485">
        <f>D15-E15</f>
        <v>0</v>
      </c>
      <c r="G15" s="1485">
        <f>MIN(MAX(0,C15-E15),H14)</f>
        <v>573338.88845601166</v>
      </c>
      <c r="H15" s="1485">
        <f>H14-G15</f>
        <v>9610695.1115439888</v>
      </c>
      <c r="I15" s="1485">
        <f>MAX(0,C15-E15-G15)</f>
        <v>0</v>
      </c>
      <c r="J15" s="1485">
        <f>I15*C10</f>
        <v>0</v>
      </c>
      <c r="K15" s="1485">
        <f>I15*C11</f>
        <v>0</v>
      </c>
    </row>
    <row r="16" spans="1:22" x14ac:dyDescent="0.25">
      <c r="A16">
        <f t="shared" ref="A16:A18" si="0">A15+1</f>
        <v>2030</v>
      </c>
      <c r="B16" s="1484">
        <v>3</v>
      </c>
      <c r="C16" s="1495">
        <f>ROI!F30</f>
        <v>1695673.327182909</v>
      </c>
      <c r="D16" s="1485">
        <f>F15+H15*C6</f>
        <v>768855.60892351915</v>
      </c>
      <c r="E16" s="1485">
        <f>MIN(C16,D16)</f>
        <v>768855.60892351915</v>
      </c>
      <c r="F16" s="1485">
        <f>D16-E16</f>
        <v>0</v>
      </c>
      <c r="G16" s="1485">
        <f>MIN(MAX(0,C16-E16),H15)</f>
        <v>926817.71825938986</v>
      </c>
      <c r="H16" s="1485">
        <f>H15-G16</f>
        <v>8683877.3932845984</v>
      </c>
      <c r="I16" s="1485">
        <f>MAX(0,C16-E16-G16)</f>
        <v>0</v>
      </c>
      <c r="J16" s="1485">
        <f>I16*C10</f>
        <v>0</v>
      </c>
      <c r="K16" s="1485">
        <f>I16*C11</f>
        <v>0</v>
      </c>
    </row>
    <row r="17" spans="1:11" x14ac:dyDescent="0.25">
      <c r="A17">
        <f t="shared" si="0"/>
        <v>2031</v>
      </c>
      <c r="B17" s="1484">
        <v>4</v>
      </c>
      <c r="C17" s="1495">
        <f>ROI!F31</f>
        <v>1795830.1352429655</v>
      </c>
      <c r="D17" s="1485">
        <f>F16+H16*C6</f>
        <v>694710.19146276789</v>
      </c>
      <c r="E17" s="1485">
        <f>MIN(C17,D17)</f>
        <v>694710.19146276789</v>
      </c>
      <c r="F17" s="1485">
        <f>D17-E17</f>
        <v>0</v>
      </c>
      <c r="G17" s="1485">
        <f>MIN(MAX(0,C17-E17),H16)</f>
        <v>1101119.9437801978</v>
      </c>
      <c r="H17" s="1485">
        <f>H16-G17</f>
        <v>7582757.4495044006</v>
      </c>
      <c r="I17" s="1485">
        <f>MAX(0,C17-E17-G17)</f>
        <v>0</v>
      </c>
      <c r="J17" s="1485">
        <f>I17*C10</f>
        <v>0</v>
      </c>
      <c r="K17" s="1485">
        <f>I17*C11</f>
        <v>0</v>
      </c>
    </row>
    <row r="18" spans="1:11" x14ac:dyDescent="0.25">
      <c r="A18">
        <f t="shared" si="0"/>
        <v>2032</v>
      </c>
      <c r="B18" s="1484">
        <v>5</v>
      </c>
      <c r="C18" s="1495">
        <f>ROI!F32</f>
        <v>31391684.676550463</v>
      </c>
      <c r="D18" s="1485">
        <f>F17+H17*C6</f>
        <v>606620.5959603521</v>
      </c>
      <c r="E18" s="1485">
        <f>MIN(C18,D18)</f>
        <v>606620.5959603521</v>
      </c>
      <c r="F18" s="1485">
        <f>D18-E18</f>
        <v>0</v>
      </c>
      <c r="G18" s="1485">
        <f>MIN(MAX(0,C18-E18),H17)</f>
        <v>7582757.4495044006</v>
      </c>
      <c r="H18" s="1485">
        <f>H17-G18</f>
        <v>0</v>
      </c>
      <c r="I18" s="1485">
        <f>MAX(0,C18-E18-G18)</f>
        <v>23202306.631085709</v>
      </c>
      <c r="J18" s="1485">
        <f>I18*C10</f>
        <v>16241614.641759995</v>
      </c>
      <c r="K18" s="1485">
        <f>I18*C11</f>
        <v>6960691.9893257124</v>
      </c>
    </row>
    <row r="20" spans="1:11" ht="15.75" thickBot="1" x14ac:dyDescent="0.3"/>
    <row r="21" spans="1:11" x14ac:dyDescent="0.25">
      <c r="D21" s="570" t="s">
        <v>3</v>
      </c>
      <c r="E21" s="1490"/>
      <c r="F21" s="571" t="s">
        <v>2</v>
      </c>
    </row>
    <row r="22" spans="1:11" ht="13.5" customHeight="1" x14ac:dyDescent="0.25">
      <c r="D22" s="197">
        <f>IF($E22='Financing Assumptions'!$L$23,-'Financing Assumptions'!$D$18,0)</f>
        <v>-10434034.356800005</v>
      </c>
      <c r="E22" s="1491">
        <f>'Financing Assumptions'!L23</f>
        <v>2026</v>
      </c>
      <c r="F22" s="196">
        <f>IF($E22='Financing Assumptions'!$L$23,-'Financing Assumptions'!$D$17,0)</f>
        <v>0</v>
      </c>
    </row>
    <row r="23" spans="1:11" x14ac:dyDescent="0.25">
      <c r="D23" s="197">
        <f>IF(E23&gt;'Sale - Refinance'!$R$6,0,IF(E23&gt;='Sale - Refinance'!$H$6,INDEX(ROI!$D$26:$J$38,MATCH($E23,ROI!$D$26:$D$38,0),MATCH(ROI!$H$26,ROI!$D$26:$J$26,0)),0))</f>
        <v>0</v>
      </c>
      <c r="E23" s="1492">
        <f>E22+1</f>
        <v>2027</v>
      </c>
      <c r="F23" s="196">
        <f>IF($E23&gt;'Sale - Refinance'!$R$6,0,IF(E23&gt;='Sale - Refinance'!$H$6,INDEX(ROI!$D$26:$J$38,MATCH($E23,ROI!$D$26:$D$38,0),MATCH(ROI!$J$26,ROI!$D$26:$J$26,0)),0))</f>
        <v>0</v>
      </c>
    </row>
    <row r="24" spans="1:11" x14ac:dyDescent="0.25">
      <c r="D24" s="197">
        <f>E14+G14+J14</f>
        <v>2033032.5693331573</v>
      </c>
      <c r="E24" s="1492">
        <f>E23+1</f>
        <v>2028</v>
      </c>
      <c r="F24" s="196">
        <f>K14</f>
        <v>0</v>
      </c>
    </row>
    <row r="25" spans="1:11" x14ac:dyDescent="0.25">
      <c r="D25" s="197">
        <f>E15+G15+J15</f>
        <v>1595516.5191228543</v>
      </c>
      <c r="E25" s="1492">
        <f t="shared" ref="E25:E35" si="1">E24+1</f>
        <v>2029</v>
      </c>
      <c r="F25" s="196">
        <f t="shared" ref="F25:F28" si="2">K15</f>
        <v>0</v>
      </c>
    </row>
    <row r="26" spans="1:11" x14ac:dyDescent="0.25">
      <c r="D26" s="197">
        <f>E16+G16+J16</f>
        <v>1695673.327182909</v>
      </c>
      <c r="E26" s="1492">
        <f t="shared" si="1"/>
        <v>2030</v>
      </c>
      <c r="F26" s="196">
        <f t="shared" si="2"/>
        <v>0</v>
      </c>
    </row>
    <row r="27" spans="1:11" x14ac:dyDescent="0.25">
      <c r="D27" s="197">
        <f>E17+G17+J17</f>
        <v>1795830.1352429655</v>
      </c>
      <c r="E27" s="1492">
        <f t="shared" si="1"/>
        <v>2031</v>
      </c>
      <c r="F27" s="196">
        <f t="shared" si="2"/>
        <v>0</v>
      </c>
    </row>
    <row r="28" spans="1:11" x14ac:dyDescent="0.25">
      <c r="D28" s="197">
        <f>E18+G18+J18</f>
        <v>24430992.687224746</v>
      </c>
      <c r="E28" s="1492">
        <f t="shared" si="1"/>
        <v>2032</v>
      </c>
      <c r="F28" s="196">
        <f t="shared" si="2"/>
        <v>6960691.9893257124</v>
      </c>
    </row>
    <row r="29" spans="1:11" x14ac:dyDescent="0.25">
      <c r="D29" s="197">
        <f>IF(E29&gt;'Sale - Refinance'!$R$6,0,IF(E29&gt;='Sale - Refinance'!$H$6,INDEX(ROI!$D$26:$J$38,MATCH($E29,ROI!$D$26:$D$38,0),MATCH(ROI!$H$26,ROI!$D$26:$J$26,0)),0))</f>
        <v>0</v>
      </c>
      <c r="E29" s="1492">
        <f t="shared" si="1"/>
        <v>2033</v>
      </c>
      <c r="F29" s="196">
        <f>IF($E29&gt;'Sale - Refinance'!$R$6,0,IF(E29&gt;='Sale - Refinance'!$H$6,INDEX(ROI!$D$26:$J$38,MATCH($E29,ROI!$D$26:$D$38,0),MATCH(ROI!$J$26,ROI!$D$26:$J$26,0)),0))</f>
        <v>0</v>
      </c>
    </row>
    <row r="30" spans="1:11" x14ac:dyDescent="0.25">
      <c r="D30" s="197">
        <f>IF(E30&gt;'Sale - Refinance'!$R$6,0,IF(E30&gt;='Sale - Refinance'!$H$6,INDEX(ROI!$D$26:$J$38,MATCH($E30,ROI!$D$26:$D$38,0),MATCH(ROI!$H$26,ROI!$D$26:$J$26,0)),0))</f>
        <v>0</v>
      </c>
      <c r="E30" s="1492">
        <f t="shared" si="1"/>
        <v>2034</v>
      </c>
      <c r="F30" s="196">
        <f>IF($E30&gt;'Sale - Refinance'!$R$6,0,IF(E30&gt;='Sale - Refinance'!$H$6,INDEX(ROI!$D$26:$J$38,MATCH($E30,ROI!$D$26:$D$38,0),MATCH(ROI!$J$26,ROI!$D$26:$J$26,0)),0))</f>
        <v>0</v>
      </c>
    </row>
    <row r="31" spans="1:11" x14ac:dyDescent="0.25">
      <c r="D31" s="197">
        <f>IF(E31&gt;'Sale - Refinance'!$R$6,0,IF(E31&gt;='Sale - Refinance'!$H$6,INDEX(ROI!$D$26:$J$38,MATCH($E31,ROI!$D$26:$D$38,0),MATCH(ROI!$H$26,ROI!$D$26:$J$26,0)),0))</f>
        <v>0</v>
      </c>
      <c r="E31" s="1492">
        <f t="shared" si="1"/>
        <v>2035</v>
      </c>
      <c r="F31" s="196">
        <f>IF($E31&gt;'Sale - Refinance'!$R$6,0,IF(E31&gt;='Sale - Refinance'!$H$6,INDEX(ROI!$D$26:$J$38,MATCH($E31,ROI!$D$26:$D$38,0),MATCH(ROI!$J$26,ROI!$D$26:$J$26,0)),0))</f>
        <v>0</v>
      </c>
    </row>
    <row r="32" spans="1:11" x14ac:dyDescent="0.25">
      <c r="D32" s="197">
        <f>IF(E32&gt;'Sale - Refinance'!$R$6,0,IF(E32&gt;='Sale - Refinance'!$H$6,INDEX(ROI!$D$26:$J$38,MATCH($E32,ROI!$D$26:$D$38,0),MATCH(ROI!$H$26,ROI!$D$26:$J$26,0)),0))</f>
        <v>0</v>
      </c>
      <c r="E32" s="1492">
        <f t="shared" si="1"/>
        <v>2036</v>
      </c>
      <c r="F32" s="196">
        <f>IF($E32&gt;'Sale - Refinance'!$R$6,0,IF(E32&gt;='Sale - Refinance'!$H$6,INDEX(ROI!$D$26:$J$38,MATCH($E32,ROI!$D$26:$D$38,0),MATCH(ROI!$J$26,ROI!$D$26:$J$26,0)),0))</f>
        <v>0</v>
      </c>
    </row>
    <row r="33" spans="4:6" x14ac:dyDescent="0.25">
      <c r="D33" s="197">
        <f>IF(E33&gt;'Sale - Refinance'!$R$6,0,IF(E33&gt;='Sale - Refinance'!$H$6,INDEX(ROI!$D$26:$J$38,MATCH($E33,ROI!$D$26:$D$38,0),MATCH(ROI!$H$26,ROI!$D$26:$J$26,0)),0))</f>
        <v>0</v>
      </c>
      <c r="E33" s="1492">
        <f t="shared" si="1"/>
        <v>2037</v>
      </c>
      <c r="F33" s="196">
        <f>IF($E33&gt;'Sale - Refinance'!$R$6,0,IF(E33&gt;='Sale - Refinance'!$H$6,INDEX(ROI!$D$26:$J$38,MATCH($E33,ROI!$D$26:$D$38,0),MATCH(ROI!$J$26,ROI!$D$26:$J$26,0)),0))</f>
        <v>0</v>
      </c>
    </row>
    <row r="34" spans="4:6" x14ac:dyDescent="0.25">
      <c r="D34" s="197">
        <f>IF(E34&gt;'Sale - Refinance'!$R$6,0,IF(E34&gt;='Sale - Refinance'!$H$6,INDEX(ROI!$D$26:$J$38,MATCH($E34,ROI!$D$26:$D$38,0),MATCH(ROI!$H$26,ROI!$D$26:$J$26,0)),0))</f>
        <v>0</v>
      </c>
      <c r="E34" s="1492">
        <f t="shared" si="1"/>
        <v>2038</v>
      </c>
      <c r="F34" s="196">
        <f>IF($E34&gt;'Sale - Refinance'!$R$6,0,IF(E34&gt;='Sale - Refinance'!$H$6,INDEX(ROI!$D$26:$J$38,MATCH($E34,ROI!$D$26:$D$38,0),MATCH(ROI!$J$26,ROI!$D$26:$J$26,0)),0))</f>
        <v>0</v>
      </c>
    </row>
    <row r="35" spans="4:6" x14ac:dyDescent="0.25">
      <c r="D35" s="197">
        <f>IF(E35&gt;'Sale - Refinance'!$R$6,0,IF(E35&gt;='Sale - Refinance'!$H$6,INDEX(ROI!$D$26:$J$38,MATCH($E35,ROI!$D$26:$D$38,0),MATCH(ROI!$H$26,ROI!$D$26:$J$26,0)),0))</f>
        <v>0</v>
      </c>
      <c r="E35" s="1493">
        <f t="shared" si="1"/>
        <v>2039</v>
      </c>
      <c r="F35" s="196">
        <f>IF($E35&gt;'Sale - Refinance'!$R$6,0,IF(E35&gt;='Sale - Refinance'!$H$6,INDEX(ROI!$D$26:$J$38,MATCH($E35,ROI!$D$26:$D$38,0),MATCH(ROI!$J$26,ROI!$D$26:$J$26,0)),0))</f>
        <v>0</v>
      </c>
    </row>
    <row r="36" spans="4:6" x14ac:dyDescent="0.25">
      <c r="D36" s="194">
        <f>IF(ROI!$H$15=0,0,SUM(D23:D35)/-D22)</f>
        <v>3.0238586685833919</v>
      </c>
      <c r="E36" s="78" t="s">
        <v>389</v>
      </c>
      <c r="F36" s="1488">
        <f>IF(ROI!$H$14=0,0,SUM(F23:F35)/-F22)</f>
        <v>0</v>
      </c>
    </row>
    <row r="37" spans="4:6" ht="15.75" thickBot="1" x14ac:dyDescent="0.3">
      <c r="D37" s="193">
        <f>IFERROR(IF(ROI!$H$15=0,0,IRR(D22:D35)),0)</f>
        <v>0.23465921443682203</v>
      </c>
      <c r="E37" s="1494" t="s">
        <v>1</v>
      </c>
      <c r="F37" s="1489">
        <f>IFERROR(IF(ROI!$H$14=0,0,IRR(F22:F35)),0)</f>
        <v>0</v>
      </c>
    </row>
  </sheetData>
  <mergeCells count="5">
    <mergeCell ref="M13:V14"/>
    <mergeCell ref="M12:V12"/>
    <mergeCell ref="B2:K2"/>
    <mergeCell ref="B4:E4"/>
    <mergeCell ref="B12:K12"/>
  </mergeCell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477EF-E236-4C02-B1BC-4F34388FC448}">
  <dimension ref="A1:CV56"/>
  <sheetViews>
    <sheetView zoomScale="110" zoomScaleNormal="110" workbookViewId="0">
      <selection activeCell="H25" sqref="H25"/>
    </sheetView>
  </sheetViews>
  <sheetFormatPr defaultRowHeight="15" outlineLevelRow="1" x14ac:dyDescent="0.25"/>
  <cols>
    <col min="1" max="1" width="9.140625" style="2"/>
    <col min="2" max="2" width="14.85546875" style="2" customWidth="1"/>
    <col min="3" max="4" width="4.7109375" style="2" customWidth="1"/>
    <col min="5" max="5" width="14.7109375" style="2" customWidth="1"/>
    <col min="6" max="6" width="4.85546875" style="2" customWidth="1"/>
    <col min="7" max="7" width="20.28515625" style="2" customWidth="1"/>
    <col min="8" max="18" width="13.7109375" style="2" customWidth="1"/>
    <col min="19" max="19" width="10" style="2" bestFit="1" customWidth="1"/>
    <col min="20" max="100" width="9.140625" style="2"/>
  </cols>
  <sheetData>
    <row r="1" spans="1:100" s="2" customFormat="1" x14ac:dyDescent="0.25"/>
    <row r="2" spans="1:100" s="32" customFormat="1" ht="15" customHeight="1" x14ac:dyDescent="0.25">
      <c r="B2" s="1546" t="s">
        <v>300</v>
      </c>
      <c r="C2" s="1547"/>
      <c r="D2" s="1547"/>
      <c r="E2" s="1547"/>
      <c r="F2" s="1547"/>
      <c r="G2" s="1547"/>
      <c r="H2" s="1547"/>
      <c r="I2" s="1547"/>
      <c r="J2" s="1547"/>
      <c r="K2" s="1547"/>
      <c r="L2" s="1547"/>
      <c r="M2" s="1547"/>
      <c r="N2" s="1547"/>
      <c r="O2" s="1547"/>
      <c r="P2" s="1547"/>
      <c r="Q2" s="1547"/>
      <c r="R2" s="1547"/>
      <c r="S2" s="52"/>
    </row>
    <row r="3" spans="1:100" s="31" customFormat="1" ht="15" customHeight="1" x14ac:dyDescent="0.25">
      <c r="A3" s="32"/>
      <c r="B3" s="1548"/>
      <c r="C3" s="1549"/>
      <c r="D3" s="1549"/>
      <c r="E3" s="1549"/>
      <c r="F3" s="1549"/>
      <c r="G3" s="1549"/>
      <c r="H3" s="1549"/>
      <c r="I3" s="1549"/>
      <c r="J3" s="1549"/>
      <c r="K3" s="1549"/>
      <c r="L3" s="1549"/>
      <c r="M3" s="1549"/>
      <c r="N3" s="1549"/>
      <c r="O3" s="1549"/>
      <c r="P3" s="1549"/>
      <c r="Q3" s="1549"/>
      <c r="R3" s="1549"/>
      <c r="S3" s="5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</row>
    <row r="4" spans="1:100" s="31" customFormat="1" ht="12" customHeight="1" x14ac:dyDescent="0.25">
      <c r="A4" s="32"/>
      <c r="B4" s="247"/>
      <c r="C4" s="245"/>
      <c r="D4" s="245"/>
      <c r="E4" s="246"/>
      <c r="F4" s="246"/>
      <c r="G4" s="245"/>
      <c r="H4" s="244">
        <f>'Operating Proforma'!G8</f>
        <v>0.1</v>
      </c>
      <c r="I4" s="244">
        <f>'Operating Proforma'!H8</f>
        <v>1</v>
      </c>
      <c r="J4" s="244">
        <f>'Operating Proforma'!I8</f>
        <v>2</v>
      </c>
      <c r="K4" s="244">
        <f>'Operating Proforma'!L8</f>
        <v>3</v>
      </c>
      <c r="L4" s="244">
        <f>'Operating Proforma'!M8</f>
        <v>4</v>
      </c>
      <c r="M4" s="244">
        <f>'Operating Proforma'!N8</f>
        <v>5</v>
      </c>
      <c r="N4" s="244">
        <f>'Operating Proforma'!O8</f>
        <v>6</v>
      </c>
      <c r="O4" s="244">
        <f>'Operating Proforma'!P8</f>
        <v>7</v>
      </c>
      <c r="P4" s="244">
        <f>'Operating Proforma'!Q8</f>
        <v>8</v>
      </c>
      <c r="Q4" s="244">
        <f>'Operating Proforma'!R8</f>
        <v>9</v>
      </c>
      <c r="R4" s="244">
        <f>'Operating Proforma'!S8</f>
        <v>10</v>
      </c>
      <c r="S4" s="5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</row>
    <row r="5" spans="1:100" s="31" customFormat="1" ht="12" customHeight="1" x14ac:dyDescent="0.25">
      <c r="A5" s="32"/>
      <c r="B5" s="43"/>
      <c r="C5" s="34"/>
      <c r="D5" s="34"/>
      <c r="E5" s="34"/>
      <c r="F5" s="34"/>
      <c r="G5" s="35"/>
      <c r="H5" s="68">
        <f>'Operating Proforma'!G9</f>
        <v>2027</v>
      </c>
      <c r="I5" s="68">
        <f>'Operating Proforma'!H9</f>
        <v>2028</v>
      </c>
      <c r="J5" s="68">
        <f>'Operating Proforma'!I9</f>
        <v>2029</v>
      </c>
      <c r="K5" s="68">
        <f>'Operating Proforma'!L9</f>
        <v>2030</v>
      </c>
      <c r="L5" s="68">
        <f>'Operating Proforma'!M9</f>
        <v>2031</v>
      </c>
      <c r="M5" s="68">
        <f>'Operating Proforma'!N9</f>
        <v>2032</v>
      </c>
      <c r="N5" s="68">
        <f>'Operating Proforma'!O9</f>
        <v>2033</v>
      </c>
      <c r="O5" s="68">
        <f>'Operating Proforma'!P9</f>
        <v>2034</v>
      </c>
      <c r="P5" s="68">
        <f>'Operating Proforma'!Q9</f>
        <v>2035</v>
      </c>
      <c r="Q5" s="68">
        <f>'Operating Proforma'!R9</f>
        <v>2036</v>
      </c>
      <c r="R5" s="68">
        <f>'Operating Proforma'!S9</f>
        <v>2037</v>
      </c>
      <c r="S5" s="5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</row>
    <row r="6" spans="1:100" ht="12" customHeight="1" x14ac:dyDescent="0.25">
      <c r="B6" s="17"/>
      <c r="C6" s="9"/>
      <c r="D6" s="9"/>
      <c r="E6" s="9"/>
      <c r="F6" s="9"/>
      <c r="G6" s="10"/>
      <c r="H6" s="227">
        <f>H5</f>
        <v>2027</v>
      </c>
      <c r="I6" s="227">
        <f t="shared" ref="I6:R6" si="0">I5</f>
        <v>2028</v>
      </c>
      <c r="J6" s="227">
        <f t="shared" si="0"/>
        <v>2029</v>
      </c>
      <c r="K6" s="227">
        <f t="shared" si="0"/>
        <v>2030</v>
      </c>
      <c r="L6" s="227">
        <f t="shared" si="0"/>
        <v>2031</v>
      </c>
      <c r="M6" s="227">
        <f t="shared" si="0"/>
        <v>2032</v>
      </c>
      <c r="N6" s="227">
        <f t="shared" si="0"/>
        <v>2033</v>
      </c>
      <c r="O6" s="227">
        <f t="shared" si="0"/>
        <v>2034</v>
      </c>
      <c r="P6" s="227">
        <f t="shared" si="0"/>
        <v>2035</v>
      </c>
      <c r="Q6" s="227">
        <f t="shared" si="0"/>
        <v>2036</v>
      </c>
      <c r="R6" s="227">
        <f t="shared" si="0"/>
        <v>2037</v>
      </c>
      <c r="S6" s="3"/>
    </row>
    <row r="7" spans="1:100" s="89" customFormat="1" ht="12" customHeight="1" x14ac:dyDescent="0.25">
      <c r="A7" s="34"/>
      <c r="B7" s="242" t="s">
        <v>69</v>
      </c>
      <c r="C7" s="241"/>
      <c r="D7" s="240"/>
      <c r="E7" s="1001">
        <v>6.1499999999999999E-2</v>
      </c>
      <c r="F7" s="239"/>
      <c r="G7" s="656" t="s">
        <v>4</v>
      </c>
      <c r="H7" s="238">
        <f>'Operating Proforma'!H$71/$E$7</f>
        <v>59879747.062327757</v>
      </c>
      <c r="I7" s="238">
        <f>'Operating Proforma'!H$71/$E$7</f>
        <v>59879747.062327757</v>
      </c>
      <c r="J7" s="238">
        <f>'Operating Proforma'!I$71/$E$7</f>
        <v>71924455.595493555</v>
      </c>
      <c r="K7" s="238">
        <f>'Operating Proforma'!L$71/$E$7</f>
        <v>73553021.580209896</v>
      </c>
      <c r="L7" s="238">
        <f>'Operating Proforma'!M$71/$E$7</f>
        <v>75181587.564926267</v>
      </c>
      <c r="M7" s="238">
        <f>'Operating Proforma'!N$71/$E$7</f>
        <v>76810153.549642578</v>
      </c>
      <c r="N7" s="238">
        <f>'Operating Proforma'!O$71/$E$7</f>
        <v>78438719.534358963</v>
      </c>
      <c r="O7" s="238">
        <f>'Operating Proforma'!P$71/$E$7</f>
        <v>80067285.519075289</v>
      </c>
      <c r="P7" s="238">
        <f>'Operating Proforma'!Q$71/$E$7</f>
        <v>81695851.503791586</v>
      </c>
      <c r="Q7" s="238">
        <f>'Operating Proforma'!R$71/$E$7</f>
        <v>83324417.488508001</v>
      </c>
      <c r="R7" s="657">
        <f>'Operating Proforma'!S$71/$E$7</f>
        <v>84952983.473224312</v>
      </c>
      <c r="S7" s="43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</row>
    <row r="8" spans="1:100" s="89" customFormat="1" ht="12" customHeight="1" x14ac:dyDescent="0.25">
      <c r="A8" s="34"/>
      <c r="B8" s="237" t="s">
        <v>70</v>
      </c>
      <c r="C8" s="236"/>
      <c r="D8" s="235"/>
      <c r="E8" s="1002">
        <v>0.01</v>
      </c>
      <c r="F8" s="576"/>
      <c r="G8" s="649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204"/>
      <c r="S8" s="43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</row>
    <row r="9" spans="1:100" s="89" customFormat="1" ht="12" customHeight="1" x14ac:dyDescent="0.25">
      <c r="A9" s="34"/>
      <c r="B9" s="219"/>
      <c r="C9" s="115"/>
      <c r="D9" s="115"/>
      <c r="E9" s="234"/>
      <c r="F9" s="578"/>
      <c r="G9" s="647" t="s">
        <v>299</v>
      </c>
      <c r="H9" s="209">
        <f>H7*$E$8</f>
        <v>598797.47062327759</v>
      </c>
      <c r="I9" s="209">
        <f t="shared" ref="I9:R9" si="1">I7*$E$8</f>
        <v>598797.47062327759</v>
      </c>
      <c r="J9" s="209">
        <f t="shared" si="1"/>
        <v>719244.55595493561</v>
      </c>
      <c r="K9" s="209">
        <f t="shared" si="1"/>
        <v>735530.21580209897</v>
      </c>
      <c r="L9" s="209">
        <f t="shared" si="1"/>
        <v>751815.87564926269</v>
      </c>
      <c r="M9" s="209">
        <f t="shared" si="1"/>
        <v>768101.53549642581</v>
      </c>
      <c r="N9" s="209">
        <f t="shared" si="1"/>
        <v>784387.19534358964</v>
      </c>
      <c r="O9" s="209">
        <f t="shared" si="1"/>
        <v>800672.85519075289</v>
      </c>
      <c r="P9" s="209">
        <f t="shared" si="1"/>
        <v>816958.5150379159</v>
      </c>
      <c r="Q9" s="209">
        <f t="shared" si="1"/>
        <v>833244.17488508008</v>
      </c>
      <c r="R9" s="658">
        <f t="shared" si="1"/>
        <v>849529.83473224309</v>
      </c>
      <c r="S9" s="43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</row>
    <row r="10" spans="1:100" s="89" customFormat="1" ht="12" customHeight="1" x14ac:dyDescent="0.25">
      <c r="A10" s="34"/>
      <c r="B10" s="217" t="s">
        <v>298</v>
      </c>
      <c r="C10" s="216"/>
      <c r="D10" s="212"/>
      <c r="E10" s="811" t="s">
        <v>68</v>
      </c>
      <c r="F10" s="3"/>
      <c r="G10" s="1283" t="s">
        <v>618</v>
      </c>
      <c r="H10" s="209">
        <f>IF($E$11&lt;$H$5,0,IF($E$11=H$5,INDEX('Monthly CF'!$B$129:$FT$133,MATCH('Monthly CF'!$B$133,'Monthly CF'!$B$129:$B$133,0),MATCH($E$13,'Monthly CF'!$B$129:$FT$129,0)),IF(OR($E$11&gt;H$5,H$5&gt;$E$11),INDEX('Monthly CF'!$B$129:$FT$133,MATCH('Monthly CF'!$B$133,'Monthly CF'!$B$129:$B$133,0),MATCH(DATE(H$5,12,31),'Monthly CF'!$B$129:$FT$129,0)))))</f>
        <v>46485000</v>
      </c>
      <c r="I10" s="209">
        <f>IF($E$11&lt;$H$5,0,IF($E$11=I$5,INDEX('Monthly CF'!$B$129:$FT$133,MATCH('Monthly CF'!$B$133,'Monthly CF'!$B$129:$B$133,0),MATCH($E$13,'Monthly CF'!$B$129:$FT$129,0)),IF(OR($E$11&gt;I$5,I$5&gt;$E$11),INDEX('Monthly CF'!$B$129:$FT$133,MATCH('Monthly CF'!$B$133,'Monthly CF'!$B$129:$B$133,0),MATCH(DATE(I$5,12,31),'Monthly CF'!$B$129:$FT$129,0)))))</f>
        <v>46485000</v>
      </c>
      <c r="J10" s="209">
        <f>IF($E$11&lt;$H$5,0,IF($E$11=J$5,INDEX('Monthly CF'!$B$129:$FT$133,MATCH('Monthly CF'!$B$133,'Monthly CF'!$B$129:$B$133,0),MATCH($E$13,'Monthly CF'!$B$129:$FT$129,0)),IF(OR($E$11&gt;J$5,J$5&gt;$E$11),INDEX('Monthly CF'!$B$129:$FT$133,MATCH('Monthly CF'!$B$133,'Monthly CF'!$B$129:$B$133,0),MATCH(DATE(J$5,12,31),'Monthly CF'!$B$129:$FT$129,0)))))</f>
        <v>46485000</v>
      </c>
      <c r="K10" s="209">
        <f>IF($E$11&lt;$H$5,0,IF($E$11=K$5,INDEX('Monthly CF'!$B$129:$FT$133,MATCH('Monthly CF'!$B$133,'Monthly CF'!$B$129:$B$133,0),MATCH($E$13,'Monthly CF'!$B$129:$FT$129,0)),IF(OR($E$11&gt;K$5,K$5&gt;$E$11),INDEX('Monthly CF'!$B$129:$FT$133,MATCH('Monthly CF'!$B$133,'Monthly CF'!$B$129:$B$133,0),MATCH(DATE(K$5,12,31),'Monthly CF'!$B$129:$FT$129,0)))))</f>
        <v>46485000</v>
      </c>
      <c r="L10" s="209">
        <f>IF($E$11&lt;$H$5,0,IF($E$11=L$5,INDEX('Monthly CF'!$B$129:$FT$133,MATCH('Monthly CF'!$B$133,'Monthly CF'!$B$129:$B$133,0),MATCH($E$13,'Monthly CF'!$B$129:$FT$129,0)),IF(OR($E$11&gt;L$5,L$5&gt;$E$11),INDEX('Monthly CF'!$B$129:$FT$133,MATCH('Monthly CF'!$B$133,'Monthly CF'!$B$129:$B$133,0),MATCH(DATE(L$5,12,31),'Monthly CF'!$B$129:$FT$129,0)))))</f>
        <v>46485000</v>
      </c>
      <c r="M10" s="209">
        <f>IF($E$11&lt;$H$5,0,IF($E$11=M$5,INDEX('Monthly CF'!$B$129:$FT$133,MATCH('Monthly CF'!$B$133,'Monthly CF'!$B$129:$B$133,0),MATCH($E$13,'Monthly CF'!$B$129:$FT$129,0)),IF(OR($E$11&gt;M$5,M$5&gt;$E$11),INDEX('Monthly CF'!$B$129:$FT$133,MATCH('Monthly CF'!$B$133,'Monthly CF'!$B$129:$B$133,0),MATCH(DATE(M$5,12,31),'Monthly CF'!$B$129:$FT$129,0)))))</f>
        <v>45901731.515182182</v>
      </c>
      <c r="N10" s="209">
        <f>IF($E$11&lt;$H$5,0,IF($E$11=N$5,INDEX('Monthly CF'!$B$129:$FT$133,MATCH('Monthly CF'!$B$133,'Monthly CF'!$B$129:$B$133,0),MATCH($E$13,'Monthly CF'!$B$129:$FT$129,0)),IF(OR($E$11&gt;N$5,N$5&gt;$E$11),INDEX('Monthly CF'!$B$129:$FT$133,MATCH('Monthly CF'!$B$133,'Monthly CF'!$B$129:$B$133,0),MATCH(DATE(N$5,12,31),'Monthly CF'!$B$129:$FT$129,0)))))</f>
        <v>44981372.046816282</v>
      </c>
      <c r="O10" s="209">
        <f>IF($E$11&lt;$H$5,0,IF($E$11=O$5,INDEX('Monthly CF'!$B$129:$FT$133,MATCH('Monthly CF'!$B$133,'Monthly CF'!$B$129:$B$133,0),MATCH($E$13,'Monthly CF'!$B$129:$FT$129,0)),IF(OR($E$11&gt;O$5,O$5&gt;$E$11),INDEX('Monthly CF'!$B$129:$FT$133,MATCH('Monthly CF'!$B$133,'Monthly CF'!$B$129:$B$133,0),MATCH(DATE(O$5,12,31),'Monthly CF'!$B$129:$FT$129,0)))))</f>
        <v>44003436.292399995</v>
      </c>
      <c r="P10" s="209">
        <f>IF($E$11&lt;$H$5,0,IF($E$11=P$5,INDEX('Monthly CF'!$B$129:$FT$133,MATCH('Monthly CF'!$B$133,'Monthly CF'!$B$129:$B$133,0),MATCH($E$13,'Monthly CF'!$B$129:$FT$129,0)),IF(OR($E$11&gt;P$5,P$5&gt;$E$11),INDEX('Monthly CF'!$B$129:$FT$133,MATCH('Monthly CF'!$B$133,'Monthly CF'!$B$129:$B$133,0),MATCH(DATE(P$5,12,31),'Monthly CF'!$B$129:$FT$129,0)))))</f>
        <v>42964322.367203169</v>
      </c>
      <c r="Q10" s="209">
        <f>IF($E$11&lt;$H$5,0,IF($E$11=Q$5,INDEX('Monthly CF'!$B$129:$FT$133,MATCH('Monthly CF'!$B$133,'Monthly CF'!$B$129:$B$133,0),MATCH($E$13,'Monthly CF'!$B$129:$FT$129,0)),IF(OR($E$11&gt;Q$5,Q$5&gt;$E$11),INDEX('Monthly CF'!$B$129:$FT$133,MATCH('Monthly CF'!$B$133,'Monthly CF'!$B$129:$B$133,0),MATCH(DATE(Q$5,12,31),'Monthly CF'!$B$129:$FT$129,0)))))</f>
        <v>41860203.058074899</v>
      </c>
      <c r="R10" s="209">
        <f>IF($E$11&lt;$H$5,0,IF($E$11=R$5,INDEX('Monthly CF'!$B$129:$FT$133,MATCH('Monthly CF'!$B$133,'Monthly CF'!$B$129:$B$133,0),MATCH($E$13,'Monthly CF'!$B$129:$FT$129,0)),IF(OR($E$11&gt;R$5,R$5&gt;$E$11),INDEX('Monthly CF'!$B$129:$FT$133,MATCH('Monthly CF'!$B$133,'Monthly CF'!$B$129:$B$133,0),MATCH(DATE(R$5,12,31),'Monthly CF'!$B$129:$FT$129,0)))))</f>
        <v>40687011.727240786</v>
      </c>
      <c r="S10" s="43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</row>
    <row r="11" spans="1:100" s="89" customFormat="1" ht="12" customHeight="1" x14ac:dyDescent="0.25">
      <c r="A11" s="34"/>
      <c r="B11" s="233" t="s">
        <v>266</v>
      </c>
      <c r="C11" s="225"/>
      <c r="D11" s="232"/>
      <c r="E11" s="231">
        <v>2032</v>
      </c>
      <c r="F11" s="3"/>
      <c r="G11" s="647" t="str">
        <f>IF('Financing Assumptions'!$P$8="No","payoff:",'Financing Assumptions'!$N$8&amp;" payoff:")</f>
        <v>payoff:</v>
      </c>
      <c r="H11" s="795">
        <f>IF($E$11&lt;$H$5,0,IF($E$11=H$5,INDEX('Monthly CF'!$H$135:$FT$140,MATCH('Monthly CF'!$B$140,'Monthly CF'!$B$135:$B$140,0),MATCH($E$13,'Monthly CF'!$H$135:$FT$135,0)),IF(OR($E$11&lt;H$5,$E$11&gt;H$5),INDEX('Monthly CF'!$H$135:$FT$140,MATCH('Monthly CF'!$B$140,'Monthly CF'!$B$135:$B$140,0),MATCH(DATE(H$5,12,31),'Monthly CF'!$H$135:$FT$135,0)))))</f>
        <v>0</v>
      </c>
      <c r="I11" s="795">
        <f>IF($E$11&lt;$H$5,0,IF($E$11=I$5,INDEX('Monthly CF'!$H$135:$FT$140,MATCH('Monthly CF'!$B$140,'Monthly CF'!$B$135:$B$140,0),MATCH($E$13,'Monthly CF'!$H$135:$FT$135,0)),IF(OR($E$11&lt;I$5,$E$11&gt;I$5),INDEX('Monthly CF'!$H$135:$FT$140,MATCH('Monthly CF'!$B$140,'Monthly CF'!$B$135:$B$140,0),MATCH(DATE(I$5,12,31),'Monthly CF'!$H$135:$FT$135,0)))))</f>
        <v>0</v>
      </c>
      <c r="J11" s="795">
        <f>IF($E$11&lt;$H$5,0,IF($E$11=J$5,INDEX('Monthly CF'!$H$135:$FT$140,MATCH('Monthly CF'!$B$140,'Monthly CF'!$B$135:$B$140,0),MATCH($E$13,'Monthly CF'!$H$135:$FT$135,0)),IF(OR($E$11&lt;J$5,$E$11&gt;J$5),INDEX('Monthly CF'!$H$135:$FT$140,MATCH('Monthly CF'!$B$140,'Monthly CF'!$B$135:$B$140,0),MATCH(DATE(J$5,12,31),'Monthly CF'!$H$135:$FT$135,0)))))</f>
        <v>0</v>
      </c>
      <c r="K11" s="795">
        <f>IF($E$11&lt;$H$5,0,IF($E$11=K$5,INDEX('Monthly CF'!$H$135:$FT$140,MATCH('Monthly CF'!$B$140,'Monthly CF'!$B$135:$B$140,0),MATCH($E$13,'Monthly CF'!$H$135:$FT$135,0)),IF(OR($E$11&lt;K$5,$E$11&gt;K$5),INDEX('Monthly CF'!$H$135:$FT$140,MATCH('Monthly CF'!$B$140,'Monthly CF'!$B$135:$B$140,0),MATCH(DATE(K$5,12,31),'Monthly CF'!$H$135:$FT$135,0)))))</f>
        <v>0</v>
      </c>
      <c r="L11" s="795">
        <f>IF($E$11&lt;$H$5,0,IF($E$11=L$5,INDEX('Monthly CF'!$H$135:$FT$140,MATCH('Monthly CF'!$B$140,'Monthly CF'!$B$135:$B$140,0),MATCH($E$13,'Monthly CF'!$H$135:$FT$135,0)),IF(OR($E$11&lt;L$5,$E$11&gt;L$5),INDEX('Monthly CF'!$H$135:$FT$140,MATCH('Monthly CF'!$B$140,'Monthly CF'!$B$135:$B$140,0),MATCH(DATE(L$5,12,31),'Monthly CF'!$H$135:$FT$135,0)))))</f>
        <v>0</v>
      </c>
      <c r="M11" s="795">
        <f>IF($E$11&lt;$H$5,0,IF($E$11=M$5,INDEX('Monthly CF'!$H$135:$FT$140,MATCH('Monthly CF'!$B$140,'Monthly CF'!$B$135:$B$140,0),MATCH($E$13,'Monthly CF'!$H$135:$FT$135,0)),IF(OR($E$11&lt;M$5,$E$11&gt;M$5),INDEX('Monthly CF'!$H$135:$FT$140,MATCH('Monthly CF'!$B$140,'Monthly CF'!$B$135:$B$140,0),MATCH(DATE(M$5,12,31),'Monthly CF'!$H$135:$FT$135,0)))))</f>
        <v>0</v>
      </c>
      <c r="N11" s="795">
        <f>IF($E$11&lt;$H$5,0,IF($E$11=N$5,INDEX('Monthly CF'!$H$135:$FT$140,MATCH('Monthly CF'!$B$140,'Monthly CF'!$B$135:$B$140,0),MATCH($E$13,'Monthly CF'!$H$135:$FT$135,0)),IF(OR($E$11&lt;N$5,$E$11&gt;N$5),INDEX('Monthly CF'!$H$135:$FT$140,MATCH('Monthly CF'!$B$140,'Monthly CF'!$B$135:$B$140,0),MATCH(DATE(N$5,12,31),'Monthly CF'!$H$135:$FT$135,0)))))</f>
        <v>0</v>
      </c>
      <c r="O11" s="795">
        <f>IF($E$11&lt;$H$5,0,IF($E$11=O$5,INDEX('Monthly CF'!$H$135:$FT$140,MATCH('Monthly CF'!$B$140,'Monthly CF'!$B$135:$B$140,0),MATCH($E$13,'Monthly CF'!$H$135:$FT$135,0)),IF(OR($E$11&lt;O$5,$E$11&gt;O$5),INDEX('Monthly CF'!$H$135:$FT$140,MATCH('Monthly CF'!$B$140,'Monthly CF'!$B$135:$B$140,0),MATCH(DATE(O$5,12,31),'Monthly CF'!$H$135:$FT$135,0)))))</f>
        <v>0</v>
      </c>
      <c r="P11" s="795">
        <f>IF($E$11&lt;$H$5,0,IF($E$11=P$5,INDEX('Monthly CF'!$H$135:$FT$140,MATCH('Monthly CF'!$B$140,'Monthly CF'!$B$135:$B$140,0),MATCH($E$13,'Monthly CF'!$H$135:$FT$135,0)),IF(OR($E$11&lt;P$5,$E$11&gt;P$5),INDEX('Monthly CF'!$H$135:$FT$140,MATCH('Monthly CF'!$B$140,'Monthly CF'!$B$135:$B$140,0),MATCH(DATE(P$5,12,31),'Monthly CF'!$H$135:$FT$135,0)))))</f>
        <v>0</v>
      </c>
      <c r="Q11" s="795">
        <f>IF($E$11&lt;$H$5,0,IF($E$11=Q$5,INDEX('Monthly CF'!$H$135:$FT$140,MATCH('Monthly CF'!$B$140,'Monthly CF'!$B$135:$B$140,0),MATCH($E$13,'Monthly CF'!$H$135:$FT$135,0)),IF(OR($E$11&lt;Q$5,$E$11&gt;Q$5),INDEX('Monthly CF'!$H$135:$FT$140,MATCH('Monthly CF'!$B$140,'Monthly CF'!$B$135:$B$140,0),MATCH(DATE(Q$5,12,31),'Monthly CF'!$H$135:$FT$135,0)))))</f>
        <v>0</v>
      </c>
      <c r="R11" s="795">
        <f>IF($E$11&lt;$H$5,0,IF($E$11=R$5,INDEX('Monthly CF'!$H$135:$FT$140,MATCH('Monthly CF'!$B$140,'Monthly CF'!$B$135:$B$140,0),MATCH($E$13,'Monthly CF'!$H$135:$FT$135,0)),IF(OR($E$11&lt;R$5,$E$11&gt;R$5),INDEX('Monthly CF'!$H$135:$FT$140,MATCH('Monthly CF'!$B$140,'Monthly CF'!$B$135:$B$140,0),MATCH(DATE(R$5,12,31),'Monthly CF'!$H$135:$FT$135,0)))))</f>
        <v>0</v>
      </c>
      <c r="S11" s="43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</row>
    <row r="12" spans="1:100" s="89" customFormat="1" ht="12" customHeight="1" x14ac:dyDescent="0.25">
      <c r="A12" s="34"/>
      <c r="B12" s="230" t="s">
        <v>267</v>
      </c>
      <c r="C12" s="225">
        <v>31</v>
      </c>
      <c r="D12" s="227">
        <f>IF(E12="January",31,IF(E12="February",28,IF(E12="March",31,IF(E12="April",30,IF(E12="May",31,IF(E12="June",30,IF(E12="July",31,IF(E12="August",31,IF(E12="September",30,IF(E12="October",31,IF(E12="November",30,IF(E12="December",31,0))))))))))))</f>
        <v>31</v>
      </c>
      <c r="E12" s="229" t="s">
        <v>423</v>
      </c>
      <c r="F12" s="777"/>
      <c r="G12" s="647" t="str">
        <f>IF('Financing Assumptions'!$T$8="No","payoff:",'Financing Assumptions'!$R$8&amp;" payoff:")</f>
        <v>payoff:</v>
      </c>
      <c r="H12" s="795">
        <f>IF($E$11&lt;$H$5,0,IF($E$11=H$5,INDEX('Monthly CF'!$H$142:$FT$147,MATCH('Monthly CF'!$B$147,'Monthly CF'!$B$142:$B$147,0),MATCH($E$13,'Monthly CF'!$H$142:$FT$142,0)),IF(OR($E$11&lt;H$5,$E$11&gt;H$5),INDEX('Monthly CF'!$H$142:$FT$147,MATCH('Monthly CF'!$B$147,'Monthly CF'!$B$142:$B$147,0),MATCH(DATE(H$5,12,31),'Monthly CF'!$H$142:$FT$142,0)))))</f>
        <v>0</v>
      </c>
      <c r="I12" s="795">
        <f>IF($E$11&lt;$H$5,0,IF($E$11=I$5,INDEX('Monthly CF'!$H$142:$FT$147,MATCH('Monthly CF'!$B$147,'Monthly CF'!$B$142:$B$147,0),MATCH($E$13,'Monthly CF'!$H$142:$FT$142,0)),IF(OR($E$11&lt;I$5,$E$11&gt;I$5),INDEX('Monthly CF'!$H$142:$FT$147,MATCH('Monthly CF'!$B$147,'Monthly CF'!$B$142:$B$147,0),MATCH(DATE(I$5,12,31),'Monthly CF'!$H$142:$FT$142,0)))))</f>
        <v>0</v>
      </c>
      <c r="J12" s="795">
        <f>IF($E$11&lt;$H$5,0,IF($E$11=J$5,INDEX('Monthly CF'!$H$142:$FT$147,MATCH('Monthly CF'!$B$147,'Monthly CF'!$B$142:$B$147,0),MATCH($E$13,'Monthly CF'!$H$142:$FT$142,0)),IF(OR($E$11&lt;J$5,$E$11&gt;J$5),INDEX('Monthly CF'!$H$142:$FT$147,MATCH('Monthly CF'!$B$147,'Monthly CF'!$B$142:$B$147,0),MATCH(DATE(J$5,12,31),'Monthly CF'!$H$142:$FT$142,0)))))</f>
        <v>0</v>
      </c>
      <c r="K12" s="795">
        <f>IF($E$11&lt;$H$5,0,IF($E$11=K$5,INDEX('Monthly CF'!$H$142:$FT$147,MATCH('Monthly CF'!$B$147,'Monthly CF'!$B$142:$B$147,0),MATCH($E$13,'Monthly CF'!$H$142:$FT$142,0)),IF(OR($E$11&lt;K$5,$E$11&gt;K$5),INDEX('Monthly CF'!$H$142:$FT$147,MATCH('Monthly CF'!$B$147,'Monthly CF'!$B$142:$B$147,0),MATCH(DATE(K$5,12,31),'Monthly CF'!$H$142:$FT$142,0)))))</f>
        <v>0</v>
      </c>
      <c r="L12" s="795">
        <f>IF($E$11&lt;$H$5,0,IF($E$11=L$5,INDEX('Monthly CF'!$H$142:$FT$147,MATCH('Monthly CF'!$B$147,'Monthly CF'!$B$142:$B$147,0),MATCH($E$13,'Monthly CF'!$H$142:$FT$142,0)),IF(OR($E$11&lt;L$5,$E$11&gt;L$5),INDEX('Monthly CF'!$H$142:$FT$147,MATCH('Monthly CF'!$B$147,'Monthly CF'!$B$142:$B$147,0),MATCH(DATE(L$5,12,31),'Monthly CF'!$H$142:$FT$142,0)))))</f>
        <v>0</v>
      </c>
      <c r="M12" s="795">
        <f>IF($E$11&lt;$H$5,0,IF($E$11=M$5,INDEX('Monthly CF'!$H$142:$FT$147,MATCH('Monthly CF'!$B$147,'Monthly CF'!$B$142:$B$147,0),MATCH($E$13,'Monthly CF'!$H$142:$FT$142,0)),IF(OR($E$11&lt;M$5,$E$11&gt;M$5),INDEX('Monthly CF'!$H$142:$FT$147,MATCH('Monthly CF'!$B$147,'Monthly CF'!$B$142:$B$147,0),MATCH(DATE(M$5,12,31),'Monthly CF'!$H$142:$FT$142,0)))))</f>
        <v>0</v>
      </c>
      <c r="N12" s="795">
        <f>IF($E$11&lt;$H$5,0,IF($E$11=N$5,INDEX('Monthly CF'!$H$142:$FT$147,MATCH('Monthly CF'!$B$147,'Monthly CF'!$B$142:$B$147,0),MATCH($E$13,'Monthly CF'!$H$142:$FT$142,0)),IF(OR($E$11&lt;N$5,$E$11&gt;N$5),INDEX('Monthly CF'!$H$142:$FT$147,MATCH('Monthly CF'!$B$147,'Monthly CF'!$B$142:$B$147,0),MATCH(DATE(N$5,12,31),'Monthly CF'!$H$142:$FT$142,0)))))</f>
        <v>0</v>
      </c>
      <c r="O12" s="795">
        <f>IF($E$11&lt;$H$5,0,IF($E$11=O$5,INDEX('Monthly CF'!$H$142:$FT$147,MATCH('Monthly CF'!$B$147,'Monthly CF'!$B$142:$B$147,0),MATCH($E$13,'Monthly CF'!$H$142:$FT$142,0)),IF(OR($E$11&lt;O$5,$E$11&gt;O$5),INDEX('Monthly CF'!$H$142:$FT$147,MATCH('Monthly CF'!$B$147,'Monthly CF'!$B$142:$B$147,0),MATCH(DATE(O$5,12,31),'Monthly CF'!$H$142:$FT$142,0)))))</f>
        <v>0</v>
      </c>
      <c r="P12" s="795">
        <f>IF($E$11&lt;$H$5,0,IF($E$11=P$5,INDEX('Monthly CF'!$H$142:$FT$147,MATCH('Monthly CF'!$B$147,'Monthly CF'!$B$142:$B$147,0),MATCH($E$13,'Monthly CF'!$H$142:$FT$142,0)),IF(OR($E$11&lt;P$5,$E$11&gt;P$5),INDEX('Monthly CF'!$H$142:$FT$147,MATCH('Monthly CF'!$B$147,'Monthly CF'!$B$142:$B$147,0),MATCH(DATE(P$5,12,31),'Monthly CF'!$H$142:$FT$142,0)))))</f>
        <v>0</v>
      </c>
      <c r="Q12" s="795">
        <f>IF($E$11&lt;$H$5,0,IF($E$11=Q$5,INDEX('Monthly CF'!$H$142:$FT$147,MATCH('Monthly CF'!$B$147,'Monthly CF'!$B$142:$B$147,0),MATCH($E$13,'Monthly CF'!$H$142:$FT$142,0)),IF(OR($E$11&lt;Q$5,$E$11&gt;Q$5),INDEX('Monthly CF'!$H$142:$FT$147,MATCH('Monthly CF'!$B$147,'Monthly CF'!$B$142:$B$147,0),MATCH(DATE(Q$5,12,31),'Monthly CF'!$H$142:$FT$142,0)))))</f>
        <v>0</v>
      </c>
      <c r="R12" s="795">
        <f>IF($E$11&lt;$H$5,0,IF($E$11=R$5,INDEX('Monthly CF'!$H$142:$FT$147,MATCH('Monthly CF'!$B$147,'Monthly CF'!$B$142:$B$147,0),MATCH($E$13,'Monthly CF'!$H$142:$FT$142,0)),IF(OR($E$11&lt;R$5,$E$11&gt;R$5),INDEX('Monthly CF'!$H$142:$FT$147,MATCH('Monthly CF'!$B$147,'Monthly CF'!$B$142:$B$147,0),MATCH(DATE(R$5,12,31),'Monthly CF'!$H$142:$FT$142,0)))))</f>
        <v>0</v>
      </c>
      <c r="S12" s="43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</row>
    <row r="13" spans="1:100" s="89" customFormat="1" ht="12" customHeight="1" thickBot="1" x14ac:dyDescent="0.3">
      <c r="A13" s="34"/>
      <c r="B13" s="228" t="s">
        <v>268</v>
      </c>
      <c r="C13" s="225">
        <v>1</v>
      </c>
      <c r="D13" s="227">
        <f>IF(E12="January",1,IF(E12="February",2,IF(E12="March",3,IF(E12="April",4,IF(E12="May",5,IF(E12="June",6,IF(E12="July",7,IF(E12="August",8,IF(E12="September",9,IF(E12="October",10,IF(E12="November",11,IF(E12="December",12,0))))))))))))</f>
        <v>12</v>
      </c>
      <c r="E13" s="226">
        <f>DATE(E11,D13,D12)</f>
        <v>48579</v>
      </c>
      <c r="F13" s="778"/>
      <c r="G13" s="660"/>
      <c r="H13" s="660"/>
      <c r="I13" s="660"/>
      <c r="J13" s="660"/>
      <c r="K13" s="660"/>
      <c r="L13" s="660"/>
      <c r="M13" s="660"/>
      <c r="N13" s="660"/>
      <c r="O13" s="660"/>
      <c r="P13" s="660"/>
      <c r="Q13" s="660"/>
      <c r="R13" s="661"/>
      <c r="S13" s="43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</row>
    <row r="14" spans="1:100" s="89" customFormat="1" ht="12" customHeight="1" thickTop="1" x14ac:dyDescent="0.25">
      <c r="A14" s="34"/>
      <c r="B14" s="205" t="s">
        <v>296</v>
      </c>
      <c r="C14" s="225"/>
      <c r="D14" s="224">
        <f>DATE(E11,C13,C12)</f>
        <v>48244</v>
      </c>
      <c r="E14" s="203">
        <f>HLOOKUP(E13,'Monthly CF'!$H$11:$FT$13,3)</f>
        <v>5</v>
      </c>
      <c r="F14" s="203"/>
      <c r="G14" s="650" t="s">
        <v>292</v>
      </c>
      <c r="H14" s="651">
        <f>H7-SUM(H9:H12)</f>
        <v>12795949.59170448</v>
      </c>
      <c r="I14" s="651">
        <f t="shared" ref="I14:R14" si="2">I7-SUM(I9:I12)</f>
        <v>12795949.59170448</v>
      </c>
      <c r="J14" s="651">
        <f>J7-SUM(J9:J12)</f>
        <v>24720211.039538622</v>
      </c>
      <c r="K14" s="651">
        <f>K7-SUM(K9:K12)</f>
        <v>26332491.3644078</v>
      </c>
      <c r="L14" s="651">
        <f t="shared" si="2"/>
        <v>27944771.689277001</v>
      </c>
      <c r="M14" s="651">
        <f t="shared" si="2"/>
        <v>30140320.498963967</v>
      </c>
      <c r="N14" s="651">
        <f t="shared" si="2"/>
        <v>32672960.29219909</v>
      </c>
      <c r="O14" s="651">
        <f t="shared" si="2"/>
        <v>35263176.37148454</v>
      </c>
      <c r="P14" s="651">
        <f t="shared" si="2"/>
        <v>37914570.6215505</v>
      </c>
      <c r="Q14" s="651">
        <f t="shared" si="2"/>
        <v>40630970.255548023</v>
      </c>
      <c r="R14" s="651">
        <f t="shared" si="2"/>
        <v>43416441.911251284</v>
      </c>
      <c r="S14" s="43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</row>
    <row r="15" spans="1:100" s="89" customFormat="1" ht="12" customHeight="1" x14ac:dyDescent="0.25">
      <c r="A15" s="34"/>
      <c r="B15" s="223" t="s">
        <v>269</v>
      </c>
      <c r="C15" s="222">
        <f>E13</f>
        <v>48579</v>
      </c>
      <c r="D15" s="222">
        <f>MONTH(E13-D14)</f>
        <v>11</v>
      </c>
      <c r="E15" s="201">
        <f>HLOOKUP(E13,'Monthly CF'!H$11:FT$13,2)</f>
        <v>83</v>
      </c>
      <c r="F15" s="578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74"/>
      <c r="S15" s="43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</row>
    <row r="16" spans="1:100" s="89" customFormat="1" ht="12" customHeight="1" x14ac:dyDescent="0.25">
      <c r="A16" s="34"/>
      <c r="B16" s="213" t="str">
        <f>G21</f>
        <v>NET Sale Proceeds</v>
      </c>
      <c r="C16" s="212"/>
      <c r="D16" s="211"/>
      <c r="E16" s="796">
        <f>INDEX(G4:R26,MATCH(B16,G4:G26,0),MATCH(E14,G4:R4,0))</f>
        <v>31391684.676550463</v>
      </c>
      <c r="F16" s="654"/>
      <c r="G16" s="649" t="s">
        <v>5</v>
      </c>
      <c r="H16" s="209">
        <f>IF(AND($E$21="Yes",H4=$E$25),'Financing Assumptions'!$H$54,0)</f>
        <v>0</v>
      </c>
      <c r="I16" s="209">
        <f>IF(AND($E$21="Yes",I4=$E$25),'Financing Assumptions'!$H$54,0)</f>
        <v>0</v>
      </c>
      <c r="J16" s="209">
        <f>IF(AND($E$21="Yes",J4=$E$25),'Financing Assumptions'!$H$54,0)</f>
        <v>0</v>
      </c>
      <c r="K16" s="209">
        <f>IF(AND($E$21="Yes",K4=$E$25),'Financing Assumptions'!$H$54,0)</f>
        <v>0</v>
      </c>
      <c r="L16" s="209">
        <f>IF(AND($E$21="Yes",L4=$E$25),'Financing Assumptions'!$H$54,0)</f>
        <v>0</v>
      </c>
      <c r="M16" s="209">
        <f>IF(AND($E$21="Yes",M4=$E$25),'Financing Assumptions'!$H$54,0)</f>
        <v>0</v>
      </c>
      <c r="N16" s="209">
        <f>IF(AND($E$21="Yes",N4=$E$25),'Financing Assumptions'!$H$54,0)</f>
        <v>0</v>
      </c>
      <c r="O16" s="209">
        <f>IF(AND($E$21="Yes",O4=$E$25),'Financing Assumptions'!$H$54,0)</f>
        <v>0</v>
      </c>
      <c r="P16" s="209">
        <f>IF(AND($E$21="Yes",P4=$E$25),'Financing Assumptions'!$H$54,0)</f>
        <v>0</v>
      </c>
      <c r="Q16" s="209">
        <f>IF(AND($E$21="Yes",Q4=$E$25),'Financing Assumptions'!$H$54,0)</f>
        <v>0</v>
      </c>
      <c r="R16" s="658">
        <f>IF(AND($E$21="Yes",R4=$E$25),'Financing Assumptions'!$H$54,0)</f>
        <v>0</v>
      </c>
      <c r="S16" s="43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</row>
    <row r="17" spans="1:100" s="89" customFormat="1" ht="12" customHeight="1" x14ac:dyDescent="0.25">
      <c r="A17" s="34"/>
      <c r="B17" s="205" t="s">
        <v>77</v>
      </c>
      <c r="C17" s="115"/>
      <c r="D17" s="204"/>
      <c r="E17" s="797">
        <f>E16/'Operating Assumptions'!$D$14</f>
        <v>130798.68615229359</v>
      </c>
      <c r="F17" s="221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74"/>
      <c r="S17" s="43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</row>
    <row r="18" spans="1:100" s="89" customFormat="1" ht="12" customHeight="1" x14ac:dyDescent="0.25">
      <c r="A18" s="34"/>
      <c r="B18" s="200" t="s">
        <v>338</v>
      </c>
      <c r="C18" s="199"/>
      <c r="D18" s="202"/>
      <c r="E18" s="798">
        <f>E16/'Operating Assumptions'!$D$11</f>
        <v>122.33608731245455</v>
      </c>
      <c r="F18" s="221"/>
      <c r="G18" s="649" t="s">
        <v>291</v>
      </c>
      <c r="H18" s="209">
        <f>IF('Operating Proforma'!G$131&lt;0,0,'Operating Proforma'!G$131)</f>
        <v>0</v>
      </c>
      <c r="I18" s="209">
        <f>IF('Operating Proforma'!H$131&lt;0,0,'Operating Proforma'!H$131)</f>
        <v>2033032.5693331573</v>
      </c>
      <c r="J18" s="209">
        <f>IF('Operating Proforma'!I$131&lt;0,0,'Operating Proforma'!I$131)</f>
        <v>1595516.5191228543</v>
      </c>
      <c r="K18" s="209">
        <f>IF('Operating Proforma'!L$131&lt;0,0,'Operating Proforma'!L$131)</f>
        <v>1695673.327182909</v>
      </c>
      <c r="L18" s="209">
        <f>IF('Operating Proforma'!M$131&lt;0,0,'Operating Proforma'!M$131)</f>
        <v>1795830.1352429655</v>
      </c>
      <c r="M18" s="209">
        <f>IF('Operating Proforma'!N$131&lt;0,0,'Operating Proforma'!N$131)</f>
        <v>1251364.1775864894</v>
      </c>
      <c r="N18" s="209">
        <f>IF('Operating Proforma'!O$131&lt;0,0,'Operating Proforma'!O$131)</f>
        <v>1136646.7304077032</v>
      </c>
      <c r="O18" s="209">
        <f>IF('Operating Proforma'!P$131&lt;0,0,'Operating Proforma'!P$131)</f>
        <v>1236803.5384677569</v>
      </c>
      <c r="P18" s="209">
        <f>IF('Operating Proforma'!Q$131&lt;0,0,'Operating Proforma'!Q$131)</f>
        <v>1336960.3465278097</v>
      </c>
      <c r="Q18" s="209">
        <f>IF('Operating Proforma'!R$131&lt;0,0,'Operating Proforma'!R$131)</f>
        <v>1437117.1545878691</v>
      </c>
      <c r="R18" s="209">
        <f>IF('Operating Proforma'!S$131&lt;0,0,'Operating Proforma'!S$131)</f>
        <v>1537273.9626479219</v>
      </c>
      <c r="S18" s="43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</row>
    <row r="19" spans="1:100" s="89" customFormat="1" ht="12" customHeight="1" x14ac:dyDescent="0.25">
      <c r="A19" s="34"/>
      <c r="B19" s="205"/>
      <c r="C19" s="115"/>
      <c r="D19" s="115"/>
      <c r="E19" s="220"/>
      <c r="F19" s="221"/>
      <c r="G19" s="652" t="s">
        <v>288</v>
      </c>
      <c r="H19" s="206">
        <f t="shared" ref="H19:R19" si="3">IF($E$10="No",0,IF($E$14&lt;&gt;H4,0,IF(AND($E$21="No",$E$14=H4),H18/12*$D$13,IF(AND($E$21="Yes",$E$25&lt;&gt;H4,$E$14=H4),H18/12*$D$13,IF(AND($E$21="Yes",$E$25=H4,$E$14=H4),((H18-H16)/12*$D$13)+H16)))))</f>
        <v>0</v>
      </c>
      <c r="I19" s="206">
        <f t="shared" si="3"/>
        <v>0</v>
      </c>
      <c r="J19" s="206">
        <f t="shared" si="3"/>
        <v>0</v>
      </c>
      <c r="K19" s="206">
        <f t="shared" si="3"/>
        <v>0</v>
      </c>
      <c r="L19" s="206">
        <f t="shared" si="3"/>
        <v>0</v>
      </c>
      <c r="M19" s="206">
        <f t="shared" si="3"/>
        <v>1251364.1775864894</v>
      </c>
      <c r="N19" s="206">
        <f t="shared" si="3"/>
        <v>0</v>
      </c>
      <c r="O19" s="206">
        <f t="shared" si="3"/>
        <v>0</v>
      </c>
      <c r="P19" s="206">
        <f t="shared" si="3"/>
        <v>0</v>
      </c>
      <c r="Q19" s="206">
        <f t="shared" si="3"/>
        <v>0</v>
      </c>
      <c r="R19" s="659">
        <f t="shared" si="3"/>
        <v>0</v>
      </c>
      <c r="S19" s="43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</row>
    <row r="20" spans="1:100" s="89" customFormat="1" ht="12" customHeight="1" thickBot="1" x14ac:dyDescent="0.3">
      <c r="A20" s="34"/>
      <c r="B20" s="219"/>
      <c r="C20" s="115"/>
      <c r="D20" s="115"/>
      <c r="E20" s="218"/>
      <c r="F20" s="662"/>
      <c r="G20" s="601"/>
      <c r="H20" s="601"/>
      <c r="I20" s="601"/>
      <c r="J20" s="601"/>
      <c r="K20" s="601"/>
      <c r="L20" s="601"/>
      <c r="M20" s="601"/>
      <c r="N20" s="601"/>
      <c r="O20" s="601"/>
      <c r="P20" s="601"/>
      <c r="Q20" s="601"/>
      <c r="R20" s="663"/>
      <c r="S20" s="43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</row>
    <row r="21" spans="1:100" s="89" customFormat="1" ht="12" customHeight="1" x14ac:dyDescent="0.25">
      <c r="A21" s="34"/>
      <c r="B21" s="217" t="s">
        <v>284</v>
      </c>
      <c r="C21" s="216"/>
      <c r="D21" s="215"/>
      <c r="E21" s="214" t="str">
        <f>IF('Financing Assumptions'!H44="Yes","Yes","No")</f>
        <v>No</v>
      </c>
      <c r="F21" s="655"/>
      <c r="G21" s="653" t="s">
        <v>285</v>
      </c>
      <c r="H21" s="648">
        <f>IF($E$14&lt;&gt;H4,(H7+H18)-SUM(H9:H12),IF($E$14=H4,(H7+H19)-(SUM(H9:H12))))</f>
        <v>12795949.59170448</v>
      </c>
      <c r="I21" s="648">
        <f>IF($E$14&lt;&gt;I4,(I7+I18)-SUM(I9:I12),IF($E$14=I4,(I7+I19)-(SUM(I9:I12))))</f>
        <v>14828982.161037639</v>
      </c>
      <c r="J21" s="648">
        <f t="shared" ref="J21:Q21" si="4">IF($E$14&lt;&gt;J4,(J7+J18)-SUM(J9:J12),IF($E$14=J4,(J7+J19)-(SUM(J9:J12))))</f>
        <v>26315727.558661476</v>
      </c>
      <c r="K21" s="648">
        <f t="shared" si="4"/>
        <v>28028164.691590704</v>
      </c>
      <c r="L21" s="648">
        <f t="shared" si="4"/>
        <v>29740601.82451997</v>
      </c>
      <c r="M21" s="648">
        <f t="shared" si="4"/>
        <v>31391684.676550463</v>
      </c>
      <c r="N21" s="648">
        <f t="shared" si="4"/>
        <v>33809607.02260679</v>
      </c>
      <c r="O21" s="648">
        <f t="shared" si="4"/>
        <v>36499979.90995229</v>
      </c>
      <c r="P21" s="648">
        <f t="shared" si="4"/>
        <v>39251530.968078315</v>
      </c>
      <c r="Q21" s="648">
        <f t="shared" si="4"/>
        <v>42068087.410135888</v>
      </c>
      <c r="R21" s="648">
        <f>IF($E$14&lt;&gt;R4,(R7+R18)-SUM(R9:R12),IF($E$14=R4,(R7+R19)-(SUM(R9:R12))))</f>
        <v>44953715.873899199</v>
      </c>
      <c r="S21" s="43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</row>
    <row r="22" spans="1:100" s="89" customFormat="1" ht="12" customHeight="1" x14ac:dyDescent="0.25">
      <c r="A22" s="34"/>
      <c r="B22" s="213" t="s">
        <v>221</v>
      </c>
      <c r="C22" s="212"/>
      <c r="D22" s="211"/>
      <c r="E22" s="210">
        <f>'Financing Assumptions'!H45</f>
        <v>2030</v>
      </c>
      <c r="F22" s="578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74"/>
      <c r="S22" s="43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</row>
    <row r="23" spans="1:100" s="89" customFormat="1" ht="12" customHeight="1" x14ac:dyDescent="0.25">
      <c r="A23" s="34"/>
      <c r="B23" s="205" t="s">
        <v>290</v>
      </c>
      <c r="C23" s="115"/>
      <c r="D23" s="204"/>
      <c r="E23" s="208" t="str">
        <f>'Financing Assumptions'!H46</f>
        <v>June</v>
      </c>
      <c r="F23" s="207"/>
      <c r="G23" s="1449" t="s">
        <v>297</v>
      </c>
      <c r="H23" s="1450">
        <f>ROI!H16</f>
        <v>10434034.356800005</v>
      </c>
      <c r="I23" s="1450">
        <f>H26</f>
        <v>10434034.356800005</v>
      </c>
      <c r="J23" s="1450">
        <f>I26</f>
        <v>8401001.7874668483</v>
      </c>
      <c r="K23" s="1450">
        <f>J26</f>
        <v>6805485.2683439944</v>
      </c>
      <c r="L23" s="1450">
        <f t="shared" ref="L23:R23" si="5">K26</f>
        <v>5109811.9411610849</v>
      </c>
      <c r="M23" s="1450">
        <f t="shared" si="5"/>
        <v>3313981.8059181194</v>
      </c>
      <c r="N23" s="1450">
        <f t="shared" si="5"/>
        <v>2062617.62833163</v>
      </c>
      <c r="O23" s="1450">
        <f t="shared" si="5"/>
        <v>925970.89792392682</v>
      </c>
      <c r="P23" s="1450">
        <f t="shared" si="5"/>
        <v>0</v>
      </c>
      <c r="Q23" s="1450">
        <f t="shared" si="5"/>
        <v>0</v>
      </c>
      <c r="R23" s="1450">
        <f t="shared" si="5"/>
        <v>0</v>
      </c>
      <c r="S23" s="43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</row>
    <row r="24" spans="1:100" s="89" customFormat="1" ht="12" customHeight="1" x14ac:dyDescent="0.25">
      <c r="A24" s="34"/>
      <c r="B24" s="205" t="s">
        <v>289</v>
      </c>
      <c r="C24" s="115"/>
      <c r="D24" s="204"/>
      <c r="E24" s="207">
        <f>'Financing Assumptions'!H47</f>
        <v>47664</v>
      </c>
      <c r="F24" s="203"/>
      <c r="G24" s="1451" t="s">
        <v>295</v>
      </c>
      <c r="H24" s="1452">
        <f>ROI!$H$15</f>
        <v>10434034.356800005</v>
      </c>
      <c r="I24" s="1452">
        <f>IF(OR('Financing Assumptions'!$J$18="No Cash Equity",'Financing Assumptions'!$J$18="GP Only"),0,IF(I23=0,0,IF(SUM($H$35:H$35)&gt;ROI!$H$15,0,IF(AND(SUM($H$35:H$35)&gt;ROI!$H$15,SUM($H$35:H$35)&lt;ROI!$H$15),0,IF(AND(SUM($H$35:H$35)&lt;ROI!$H$15,I25&gt;0),ROI!$H$15-SUM($H$35:H$35),IF(AND(SUM($H$35:H$35)&lt;ROI!$H$15,I25=0,H25&gt;0),(ROI!$H$15-SUM($H$35:H$35))-(SUM($H$37:H$37)-ROI!$H$14),IF(AND(SUM($H$35:H$35)&lt;ROI!$H$15,I25=0,H25=0),(ROI!$H$15-SUM($H$35:H$35))-(SUM($H$37:H$37)-ROI!$H$14))))))))</f>
        <v>10434034.356800005</v>
      </c>
      <c r="J24" s="1452">
        <f>IF(OR('Financing Assumptions'!$J$18="No Cash Equity",'Financing Assumptions'!$J$18="GP Only"),0,IF(J23=0,0,IF(SUM($H$35:I$35)&gt;ROI!$H$15,0,IF(AND(SUM($H$35:I$35)&gt;ROI!$H$15,SUM($H$35:I$35)&lt;ROI!$H$15),0,IF(AND(SUM($H$35:I$35)&lt;ROI!$H$15,J25&gt;0),ROI!$H$15-SUM($H$35:I$35),IF(AND(SUM($H$35:I$35)&lt;ROI!$H$15,J25=0,I25&gt;0),(ROI!$H$15-SUM($H$35:I$35))-(SUM($H$37:I$37)-ROI!$H$14),IF(AND(SUM($H$35:I$35)&lt;ROI!$H$15,J25=0,I25=0),(ROI!$H$15-SUM($H$35:I$35))-(SUM($H$37:I$37)-ROI!$H$14))))))))</f>
        <v>8401001.7874668483</v>
      </c>
      <c r="K24" s="1452">
        <f>IF(OR('Financing Assumptions'!$J$18="No Cash Equity",'Financing Assumptions'!$J$18="GP Only"),0,IF(K23=0,0,IF(SUM($H$35:J$35)&gt;ROI!$H$15,0,IF(AND(SUM($H$35:J$35)&gt;ROI!$H$15,SUM($H$35:J$35)&lt;ROI!$H$15),0,IF(AND(SUM($H$35:J$35)&lt;ROI!$H$15,K25&gt;0),ROI!$H$15-SUM($H$35:J$35),IF(AND(SUM($H$35:J$35)&lt;ROI!$H$15,K25=0,J25&gt;0),(ROI!$H$15-SUM($H$35:J$35))-(SUM($H$37:J$37)-ROI!$H$14),IF(AND(SUM($H$35:J$35)&lt;ROI!$H$15,K25=0,J25=0),(ROI!$H$15-SUM($H$35:J$35))-(SUM($H$37:J$37)-ROI!$H$14))))))))</f>
        <v>6805485.2683439935</v>
      </c>
      <c r="L24" s="1452">
        <f>IF(OR('Financing Assumptions'!$J$18="No Cash Equity",'Financing Assumptions'!$J$18="GP Only"),0,IF(L23=0,0,IF(SUM($H$35:K$35)&gt;ROI!$H$15,0,IF(AND(SUM($H$35:K$35)&gt;ROI!$H$15,SUM($H$35:K$35)&lt;ROI!$H$15),0,IF(AND(SUM($H$35:K$35)&lt;ROI!$H$15,L25&gt;0),ROI!$H$15-SUM($H$35:K$35),IF(AND(SUM($H$35:K$35)&lt;ROI!$H$15,L25=0,K25&gt;0),(ROI!$H$15-SUM($H$35:K$35))-(SUM($H$37:K$37)-ROI!$H$14),IF(AND(SUM($H$35:K$35)&lt;ROI!$H$15,L25=0,K25=0),(ROI!$H$15-SUM($H$35:K$35))-(SUM($H$37:K$37)-ROI!$H$14))))))))</f>
        <v>5109811.9411610849</v>
      </c>
      <c r="M24" s="1452">
        <f>IF(OR('Financing Assumptions'!$J$18="No Cash Equity",'Financing Assumptions'!$J$18="GP Only"),0,IF(M23=0,0,IF(SUM($H$35:L$35)&gt;ROI!$H$15,0,IF(AND(SUM($H$35:L$35)&gt;ROI!$H$15,SUM($H$35:L$35)&lt;ROI!$H$15),0,IF(AND(SUM($H$35:L$35)&lt;ROI!$H$15,M25&gt;0),ROI!$H$15-SUM($H$35:L$35),IF(AND(SUM($H$35:L$35)&lt;ROI!$H$15,M25=0,L25&gt;0),(ROI!$H$15-SUM($H$35:L$35))-(SUM($H$37:L$37)-ROI!$H$14),IF(AND(SUM($H$35:L$35)&lt;ROI!$H$15,M25=0,L25=0),(ROI!$H$15-SUM($H$35:L$35))-(SUM($H$37:L$37)-ROI!$H$14))))))))</f>
        <v>3313981.8059181198</v>
      </c>
      <c r="N24" s="1452">
        <f>IF(OR('Financing Assumptions'!$J$18="No Cash Equity",'Financing Assumptions'!$J$18="GP Only"),0,IF(N23=0,0,IF(SUM($H$35:M$35)&gt;ROI!$H$15,0,IF(AND(SUM($H$35:M$35)&gt;ROI!$H$15,SUM($H$35:M$35)&lt;ROI!$H$15),0,IF(AND(SUM($H$35:M$35)&lt;ROI!$H$15,N25&gt;0),ROI!$H$15-SUM($H$35:M$35),IF(AND(SUM($H$35:M$35)&lt;ROI!$H$15,N25=0,M25&gt;0),(ROI!$H$15-SUM($H$35:M$35))-(SUM($H$37:M$37)-ROI!$H$14),IF(AND(SUM($H$35:M$35)&lt;ROI!$H$15,N25=0,M25=0),(ROI!$H$15-SUM($H$35:M$35))-(SUM($H$37:M$37)-ROI!$H$14))))))))</f>
        <v>0</v>
      </c>
      <c r="O24" s="1452">
        <f>IF(OR('Financing Assumptions'!$J$18="No Cash Equity",'Financing Assumptions'!$J$18="GP Only"),0,IF(O23=0,0,IF(SUM($H$35:N$35)&gt;ROI!$H$15,0,IF(AND(SUM($H$35:N$35)&gt;ROI!$H$15,SUM($H$35:N$35)&lt;ROI!$H$15),0,IF(AND(SUM($H$35:N$35)&lt;ROI!$H$15,O25&gt;0),ROI!$H$15-SUM($H$35:N$35),IF(AND(SUM($H$35:N$35)&lt;ROI!$H$15,O25=0,N25&gt;0),(ROI!$H$15-SUM($H$35:N$35))-(SUM($H$37:N$37)-ROI!$H$14),IF(AND(SUM($H$35:N$35)&lt;ROI!$H$15,O25=0,N25=0),(ROI!$H$15-SUM($H$35:N$35))-(SUM($H$37:N$37)-ROI!$H$14))))))))</f>
        <v>0</v>
      </c>
      <c r="P24" s="1452">
        <f>IF(OR('Financing Assumptions'!$J$18="No Cash Equity",'Financing Assumptions'!$J$18="GP Only"),0,IF(P23=0,0,IF(SUM($H$35:O$35)&gt;ROI!$H$15,0,IF(AND(SUM($H$35:O$35)&gt;ROI!$H$15,SUM($H$35:O$35)&lt;ROI!$H$15),0,IF(AND(SUM($H$35:O$35)&lt;ROI!$H$15,P25&gt;0),ROI!$H$15-SUM($H$35:O$35),IF(AND(SUM($H$35:O$35)&lt;ROI!$H$15,P25=0,O25&gt;0),(ROI!$H$15-SUM($H$35:O$35))-(SUM($H$37:O$37)-ROI!$H$14),IF(AND(SUM($H$35:O$35)&lt;ROI!$H$15,P25=0,O25=0),(ROI!$H$15-SUM($H$35:O$35))-(SUM($H$37:O$37)-ROI!$H$14))))))))</f>
        <v>0</v>
      </c>
      <c r="Q24" s="1452">
        <f>IF(OR('Financing Assumptions'!$J$18="No Cash Equity",'Financing Assumptions'!$J$18="GP Only"),0,IF(Q23=0,0,IF(SUM($H$35:P$35)&gt;ROI!$H$15,0,IF(AND(SUM($H$35:P$35)&gt;ROI!$H$15,SUM($H$35:P$35)&lt;ROI!$H$15),0,IF(AND(SUM($H$35:P$35)&lt;ROI!$H$15,Q25&gt;0),ROI!$H$15-SUM($H$35:P$35),IF(AND(SUM($H$35:P$35)&lt;ROI!$H$15,Q25=0,P25&gt;0),(ROI!$H$15-SUM($H$35:P$35))-(SUM($H$37:P$37)-ROI!$H$14),IF(AND(SUM($H$35:P$35)&lt;ROI!$H$15,Q25=0,P25=0),(ROI!$H$15-SUM($H$35:P$35))-(SUM($H$37:P$37)-ROI!$H$14))))))))</f>
        <v>0</v>
      </c>
      <c r="R24" s="1452">
        <f>IF(OR('Financing Assumptions'!$J$18="No Cash Equity",'Financing Assumptions'!$J$18="GP Only"),0,IF(R23=0,0,IF(SUM($H$35:Q$35)&gt;ROI!$H$15,0,IF(AND(SUM($H$35:Q$35)&gt;ROI!$H$15,SUM($H$35:Q$35)&lt;ROI!$H$15),0,IF(AND(SUM($H$35:Q$35)&lt;ROI!$H$15,R25&gt;0),ROI!$H$15-SUM($H$35:Q$35),IF(AND(SUM($H$35:Q$35)&lt;ROI!$H$15,R25=0,Q25&gt;0),(ROI!$H$15-SUM($H$35:Q$35))-(SUM($H$37:Q$37)-ROI!$H$14),IF(AND(SUM($H$35:Q$35)&lt;ROI!$H$15,R25=0,Q25=0),(ROI!$H$15-SUM($H$35:Q$35))-(SUM($H$37:Q$37)-ROI!$H$14))))))))</f>
        <v>0</v>
      </c>
      <c r="S24" s="43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</row>
    <row r="25" spans="1:100" s="89" customFormat="1" ht="12" customHeight="1" x14ac:dyDescent="0.25">
      <c r="A25" s="34"/>
      <c r="B25" s="205" t="s">
        <v>287</v>
      </c>
      <c r="C25" s="115"/>
      <c r="D25" s="204"/>
      <c r="E25" s="203">
        <f>HLOOKUP(E24,'Monthly CF'!$H$11:$FT$13,3)</f>
        <v>3</v>
      </c>
      <c r="F25" s="578"/>
      <c r="G25" s="1451" t="s">
        <v>294</v>
      </c>
      <c r="H25" s="1452">
        <f>ROI!$H$14</f>
        <v>0</v>
      </c>
      <c r="I25" s="1452">
        <f>IF(OR('Financing Assumptions'!$J$18="No Cash Equity",'Financing Assumptions'!$J$18="LP Only"),0,IF(I23=0,0,IF(SUM($H$37:H$37)&gt;ROI!$H$14,0,IF(AND(SUM($H$37:H$37)&gt;ROI!$H$14,SUM($H$37:H$37)&lt;ROI!$H$14),0,IF(AND(SUM($H$37:H$37)&lt;ROI!$H$14,SUM($H$37:H$37)&lt;ROI!$H$14,SUM($H$35:H$35)&lt;ROI!$H$15),ROI!$H$14-SUM($H$37:H$37),IF(AND(SUM($H$37:H$37)&lt;ROI!$H$14,I24=0,H24&gt;0),(ROI!$H$14-SUM($H$37:H$37))-(SUM($H$35:H$35)-ROI!$H$15),IF(AND(SUM($H$37:H$37)&lt;ROI!$H$14,I24=0,H24=0),(ROI!$H$14-SUM($H$37:H$37)-(SUM($H$35:H$35)-ROI!$H$15)))))))))</f>
        <v>0</v>
      </c>
      <c r="J25" s="1452">
        <f>IF(OR('Financing Assumptions'!$J$18="No Cash Equity",'Financing Assumptions'!$J$18="LP Only"),0,IF(J23=0,0,IF(SUM($H$37:I$37)&gt;ROI!$H$14,0,IF(AND(SUM($H$37:I$37)&gt;ROI!$H$14,SUM($H$37:I$37)&lt;ROI!$H$14),0,IF(AND(SUM($H$37:I$37)&lt;ROI!$H$14,SUM($H$37:I$37)&lt;ROI!$H$14,SUM($H$35:I$35)&lt;ROI!$H$15),ROI!$H$14-SUM($H$37:I$37),IF(AND(SUM($H$37:I$37)&lt;ROI!$H$14,J24=0,I24&gt;0),(ROI!$H$14-SUM($H$37:I$37))-(SUM($H$35:I$35)-ROI!$H$15),IF(AND(SUM($H$37:I$37)&lt;ROI!$H$14,J24=0,I24=0),(ROI!$H$14-SUM($H$37:I$37)-(SUM($H$35:I$35)-ROI!$H$15)))))))))</f>
        <v>0</v>
      </c>
      <c r="K25" s="1452">
        <f>IF(OR('Financing Assumptions'!$J$18="No Cash Equity",'Financing Assumptions'!$J$18="LP Only"),0,IF(K23=0,0,IF(SUM($H$37:J$37)&gt;ROI!$H$14,0,IF(AND(SUM($H$37:J$37)&gt;ROI!$H$14,SUM($H$37:J$37)&lt;ROI!$H$14),0,IF(AND(SUM($H$37:J$37)&lt;ROI!$H$14,SUM($H$37:J$37)&lt;ROI!$H$14,SUM($H$35:J$35)&lt;ROI!$H$15),ROI!$H$14-SUM($H$37:J$37),IF(AND(SUM($H$37:J$37)&lt;ROI!$H$14,K24=0,J24&gt;0),(ROI!$H$14-SUM($H$37:J$37))-(SUM($H$35:J$35)-ROI!$H$15),IF(AND(SUM($H$37:J$37)&lt;ROI!$H$14,K24=0,J24=0),(ROI!$H$14-SUM($H$37:J$37)-(SUM($H$35:J$35)-ROI!$H$15)))))))))</f>
        <v>0</v>
      </c>
      <c r="L25" s="1452">
        <f>IF(OR('Financing Assumptions'!$J$18="No Cash Equity",'Financing Assumptions'!$J$18="LP Only"),0,IF(L23=0,0,IF(SUM($H$37:K$37)&gt;ROI!$H$14,0,IF(AND(SUM($H$37:K$37)&gt;ROI!$H$14,SUM($H$37:K$37)&lt;ROI!$H$14),0,IF(AND(SUM($H$37:K$37)&lt;ROI!$H$14,SUM($H$37:K$37)&lt;ROI!$H$14,SUM($H$35:K$35)&lt;ROI!$H$15),ROI!$H$14-SUM($H$37:K$37),IF(AND(SUM($H$37:K$37)&lt;ROI!$H$14,L24=0,K24&gt;0),(ROI!$H$14-SUM($H$37:K$37))-(SUM($H$35:K$35)-ROI!$H$15),IF(AND(SUM($H$37:K$37)&lt;ROI!$H$14,L24=0,K24=0),(ROI!$H$14-SUM($H$37:K$37)-(SUM($H$35:K$35)-ROI!$H$15)))))))))</f>
        <v>0</v>
      </c>
      <c r="M25" s="1452">
        <f>IF(OR('Financing Assumptions'!$J$18="No Cash Equity",'Financing Assumptions'!$J$18="LP Only"),0,IF(M23=0,0,IF(SUM($H$37:L$37)&gt;ROI!$H$14,0,IF(AND(SUM($H$37:L$37)&gt;ROI!$H$14,SUM($H$37:L$37)&lt;ROI!$H$14),0,IF(AND(SUM($H$37:L$37)&lt;ROI!$H$14,SUM($H$37:L$37)&lt;ROI!$H$14,SUM($H$35:L$35)&lt;ROI!$H$15),ROI!$H$14-SUM($H$37:L$37),IF(AND(SUM($H$37:L$37)&lt;ROI!$H$14,M24=0,L24&gt;0),(ROI!$H$14-SUM($H$37:L$37))-(SUM($H$35:L$35)-ROI!$H$15),IF(AND(SUM($H$37:L$37)&lt;ROI!$H$14,M24=0,L24=0),(ROI!$H$14-SUM($H$37:L$37)-(SUM($H$35:L$35)-ROI!$H$15)))))))))</f>
        <v>0</v>
      </c>
      <c r="N25" s="1452">
        <f>IF(OR('Financing Assumptions'!$J$18="No Cash Equity",'Financing Assumptions'!$J$18="LP Only"),0,IF(N23=0,0,IF(SUM($H$37:M$37)&gt;ROI!$H$14,0,IF(AND(SUM($H$37:M$37)&gt;ROI!$H$14,SUM($H$37:M$37)&lt;ROI!$H$14),0,IF(AND(SUM($H$37:M$37)&lt;ROI!$H$14,SUM($H$37:M$37)&lt;ROI!$H$14,SUM($H$35:M$35)&lt;ROI!$H$15),ROI!$H$14-SUM($H$37:M$37),IF(AND(SUM($H$37:M$37)&lt;ROI!$H$14,N24=0,M24&gt;0),(ROI!$H$14-SUM($H$37:M$37))-(SUM($H$35:M$35)-ROI!$H$15),IF(AND(SUM($H$37:M$37)&lt;ROI!$H$14,N24=0,M24=0),(ROI!$H$14-SUM($H$37:M$37)-(SUM($H$35:M$35)-ROI!$H$15)))))))))</f>
        <v>0</v>
      </c>
      <c r="O25" s="1452">
        <f>IF(OR('Financing Assumptions'!$J$18="No Cash Equity",'Financing Assumptions'!$J$18="LP Only"),0,IF(O23=0,0,IF(SUM($H$37:N$37)&gt;ROI!$H$14,0,IF(AND(SUM($H$37:N$37)&gt;ROI!$H$14,SUM($H$37:N$37)&lt;ROI!$H$14),0,IF(AND(SUM($H$37:N$37)&lt;ROI!$H$14,SUM($H$37:N$37)&lt;ROI!$H$14,SUM($H$35:N$35)&lt;ROI!$H$15),ROI!$H$14-SUM($H$37:N$37),IF(AND(SUM($H$37:N$37)&lt;ROI!$H$14,O24=0,N24&gt;0),(ROI!$H$14-SUM($H$37:N$37))-(SUM($H$35:N$35)-ROI!$H$15),IF(AND(SUM($H$37:N$37)&lt;ROI!$H$14,O24=0,N24=0),(ROI!$H$14-SUM($H$37:N$37)-(SUM($H$35:N$35)-ROI!$H$15)))))))))</f>
        <v>0</v>
      </c>
      <c r="P25" s="1452">
        <f>IF(OR('Financing Assumptions'!$J$18="No Cash Equity",'Financing Assumptions'!$J$18="LP Only"),0,IF(P23=0,0,IF(SUM($H$37:O$37)&gt;ROI!$H$14,0,IF(AND(SUM($H$37:O$37)&gt;ROI!$H$14,SUM($H$37:O$37)&lt;ROI!$H$14),0,IF(AND(SUM($H$37:O$37)&lt;ROI!$H$14,SUM($H$37:O$37)&lt;ROI!$H$14,SUM($H$35:O$35)&lt;ROI!$H$15),ROI!$H$14-SUM($H$37:O$37),IF(AND(SUM($H$37:O$37)&lt;ROI!$H$14,P24=0,O24&gt;0),(ROI!$H$14-SUM($H$37:O$37))-(SUM($H$35:O$35)-ROI!$H$15),IF(AND(SUM($H$37:O$37)&lt;ROI!$H$14,P24=0,O24=0),(ROI!$H$14-SUM($H$37:O$37)-(SUM($H$35:O$35)-ROI!$H$15)))))))))</f>
        <v>0</v>
      </c>
      <c r="Q25" s="1452">
        <f>IF(OR('Financing Assumptions'!$J$18="No Cash Equity",'Financing Assumptions'!$J$18="LP Only"),0,IF(Q23=0,0,IF(SUM($H$37:P$37)&gt;ROI!$H$14,0,IF(AND(SUM($H$37:P$37)&gt;ROI!$H$14,SUM($H$37:P$37)&lt;ROI!$H$14),0,IF(AND(SUM($H$37:P$37)&lt;ROI!$H$14,SUM($H$37:P$37)&lt;ROI!$H$14,SUM($H$35:P$35)&lt;ROI!$H$15),ROI!$H$14-SUM($H$37:P$37),IF(AND(SUM($H$37:P$37)&lt;ROI!$H$14,Q24=0,P24&gt;0),(ROI!$H$14-SUM($H$37:P$37))-(SUM($H$35:P$35)-ROI!$H$15),IF(AND(SUM($H$37:P$37)&lt;ROI!$H$14,Q24=0,P24=0),(ROI!$H$14-SUM($H$37:P$37)-(SUM($H$35:P$35)-ROI!$H$15)))))))))</f>
        <v>0</v>
      </c>
      <c r="R25" s="1452">
        <f>IF(OR('Financing Assumptions'!$J$18="No Cash Equity",'Financing Assumptions'!$J$18="LP Only"),0,IF(R23=0,0,IF(SUM($H$37:Q$37)&gt;ROI!$H$14,0,IF(AND(SUM($H$37:Q$37)&gt;ROI!$H$14,SUM($H$37:Q$37)&lt;ROI!$H$14),0,IF(AND(SUM($H$37:Q$37)&lt;ROI!$H$14,SUM($H$37:Q$37)&lt;ROI!$H$14,SUM($H$35:Q$35)&lt;ROI!$H$15),ROI!$H$14-SUM($H$37:Q$37),IF(AND(SUM($H$37:Q$37)&lt;ROI!$H$14,R24=0,Q24&gt;0),(ROI!$H$14-SUM($H$37:Q$37))-(SUM($H$35:Q$35)-ROI!$H$15),IF(AND(SUM($H$37:Q$37)&lt;ROI!$H$14,R24=0,Q24=0),(ROI!$H$14-SUM($H$37:Q$37)-(SUM($H$35:Q$35)-ROI!$H$15)))))))))</f>
        <v>0</v>
      </c>
      <c r="S25" s="43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</row>
    <row r="26" spans="1:100" s="89" customFormat="1" ht="12" customHeight="1" thickBot="1" x14ac:dyDescent="0.3">
      <c r="A26" s="34"/>
      <c r="B26" s="200" t="s">
        <v>286</v>
      </c>
      <c r="C26" s="199"/>
      <c r="D26" s="202"/>
      <c r="E26" s="201">
        <f>HLOOKUP(E24,'Monthly CF'!$H$11:$FT$13,2)</f>
        <v>53</v>
      </c>
      <c r="F26" s="679"/>
      <c r="G26" s="664" t="s">
        <v>293</v>
      </c>
      <c r="H26" s="665">
        <f>IF(H18&gt;ROI!H16,0,H23-H18)</f>
        <v>10434034.356800005</v>
      </c>
      <c r="I26" s="665">
        <f>IF(I23-'Operating Proforma'!H$131&lt;=0,0,I23-'Operating Proforma'!H$131)</f>
        <v>8401001.7874668483</v>
      </c>
      <c r="J26" s="665">
        <f>IF(J23-'Operating Proforma'!I$131&lt;=0,0,J23-'Operating Proforma'!I$131)</f>
        <v>6805485.2683439944</v>
      </c>
      <c r="K26" s="665">
        <f>IF(K23-'Operating Proforma'!L$131&lt;=0,0,K23-'Operating Proforma'!L$131)</f>
        <v>5109811.9411610849</v>
      </c>
      <c r="L26" s="665">
        <f>IF(L23-'Operating Proforma'!M$131&lt;=0,0,L23-'Operating Proforma'!M$131)</f>
        <v>3313981.8059181194</v>
      </c>
      <c r="M26" s="665">
        <f>IF(M23-'Operating Proforma'!N$131&lt;=0,0,M23-'Operating Proforma'!N$131)</f>
        <v>2062617.62833163</v>
      </c>
      <c r="N26" s="665">
        <f>IF(N23-'Operating Proforma'!O$131&lt;=0,0,N23-'Operating Proforma'!O$131)</f>
        <v>925970.89792392682</v>
      </c>
      <c r="O26" s="665">
        <f>IF(O23-'Operating Proforma'!P$131&lt;=0,0,O23-'Operating Proforma'!P$131)</f>
        <v>0</v>
      </c>
      <c r="P26" s="665">
        <f>IF(P23-'Operating Proforma'!Q$131&lt;=0,0,P23-'Operating Proforma'!Q$131)</f>
        <v>0</v>
      </c>
      <c r="Q26" s="665">
        <f>IF(Q23-'Operating Proforma'!R$131&lt;=0,0,Q23-'Operating Proforma'!R$131)</f>
        <v>0</v>
      </c>
      <c r="R26" s="666">
        <f>IF(R23-'Operating Proforma'!S$131&lt;=0,0,R23-'Operating Proforma'!S$131)</f>
        <v>0</v>
      </c>
      <c r="S26" s="43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</row>
    <row r="27" spans="1:100" s="89" customFormat="1" ht="12" customHeight="1" x14ac:dyDescent="0.25">
      <c r="A27" s="34"/>
      <c r="B27" s="200" t="s">
        <v>5</v>
      </c>
      <c r="C27" s="199"/>
      <c r="D27" s="199"/>
      <c r="E27" s="198">
        <f>SUM(H16:R16)</f>
        <v>0</v>
      </c>
      <c r="F27" s="574"/>
      <c r="G27" s="1453" t="s">
        <v>393</v>
      </c>
      <c r="H27" s="1454">
        <f>IF(H21&lt;0,0,IF(AND(H21&gt;0,H23&gt;=0),H21-H23))</f>
        <v>2361915.2349044755</v>
      </c>
      <c r="I27" s="1454">
        <f>IF(I21&lt;0,0,IF(AND(I21&gt;0,I23&gt;=0),I21-I23))</f>
        <v>4394947.8042376339</v>
      </c>
      <c r="J27" s="1454">
        <f t="shared" ref="J27:R27" si="6">IF(J21&lt;0,0,IF(AND(J21&gt;0,J23&gt;=0),J21-J23))</f>
        <v>17914725.771194629</v>
      </c>
      <c r="K27" s="1454">
        <f>IF(K21&lt;0,0,IF(AND(K21&gt;0,K23&gt;=0),K21-K23))</f>
        <v>21222679.423246711</v>
      </c>
      <c r="L27" s="1454">
        <f t="shared" si="6"/>
        <v>24630789.883358885</v>
      </c>
      <c r="M27" s="1454">
        <f t="shared" si="6"/>
        <v>28077702.870632343</v>
      </c>
      <c r="N27" s="1454">
        <f t="shared" si="6"/>
        <v>31746989.394275159</v>
      </c>
      <c r="O27" s="1454">
        <f t="shared" si="6"/>
        <v>35574009.012028366</v>
      </c>
      <c r="P27" s="1454">
        <f t="shared" si="6"/>
        <v>39251530.968078315</v>
      </c>
      <c r="Q27" s="1454">
        <f t="shared" si="6"/>
        <v>42068087.410135888</v>
      </c>
      <c r="R27" s="1454">
        <f t="shared" si="6"/>
        <v>44953715.873899199</v>
      </c>
      <c r="S27" s="43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</row>
    <row r="28" spans="1:100" s="89" customFormat="1" ht="12" customHeight="1" x14ac:dyDescent="0.25">
      <c r="A28" s="34"/>
      <c r="B28" s="572"/>
      <c r="C28" s="165"/>
      <c r="D28" s="165"/>
      <c r="E28" s="57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</row>
    <row r="29" spans="1:100" s="89" customFormat="1" ht="12" customHeight="1" thickBot="1" x14ac:dyDescent="0.3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</row>
    <row r="30" spans="1:100" s="89" customFormat="1" ht="12" customHeight="1" outlineLevel="1" x14ac:dyDescent="0.25">
      <c r="A30" s="34"/>
      <c r="B30" s="570" t="s">
        <v>3</v>
      </c>
      <c r="C30" s="574"/>
      <c r="D30" s="575"/>
      <c r="E30" s="571" t="s">
        <v>2</v>
      </c>
      <c r="F30" s="68"/>
      <c r="G30" s="592"/>
      <c r="H30" s="593"/>
      <c r="I30" s="593"/>
      <c r="J30" s="593"/>
      <c r="K30" s="593"/>
      <c r="L30" s="593"/>
      <c r="M30" s="593"/>
      <c r="N30" s="593"/>
      <c r="O30" s="593"/>
      <c r="P30" s="593"/>
      <c r="Q30" s="593"/>
      <c r="R30" s="59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</row>
    <row r="31" spans="1:100" s="89" customFormat="1" ht="12" customHeight="1" outlineLevel="1" x14ac:dyDescent="0.25">
      <c r="A31" s="34"/>
      <c r="B31" s="197">
        <f>IF($C31='Financing Assumptions'!$L$23,-'Financing Assumptions'!$D$18,0)</f>
        <v>-10434034.356800005</v>
      </c>
      <c r="C31" s="1550">
        <f>'Financing Assumptions'!L23</f>
        <v>2026</v>
      </c>
      <c r="D31" s="1551"/>
      <c r="E31" s="196">
        <f>IF($C31='Financing Assumptions'!$L$23,-'Financing Assumptions'!$D$17,0)</f>
        <v>0</v>
      </c>
      <c r="F31" s="149"/>
      <c r="G31" s="595" t="s">
        <v>309</v>
      </c>
      <c r="H31" s="606">
        <f t="shared" ref="H31:R31" si="7">H4</f>
        <v>0.1</v>
      </c>
      <c r="I31" s="606">
        <f t="shared" si="7"/>
        <v>1</v>
      </c>
      <c r="J31" s="606">
        <f t="shared" si="7"/>
        <v>2</v>
      </c>
      <c r="K31" s="606">
        <f t="shared" si="7"/>
        <v>3</v>
      </c>
      <c r="L31" s="606">
        <f t="shared" si="7"/>
        <v>4</v>
      </c>
      <c r="M31" s="606">
        <f t="shared" si="7"/>
        <v>5</v>
      </c>
      <c r="N31" s="606">
        <f t="shared" si="7"/>
        <v>6</v>
      </c>
      <c r="O31" s="606">
        <f t="shared" si="7"/>
        <v>7</v>
      </c>
      <c r="P31" s="606">
        <f t="shared" si="7"/>
        <v>8</v>
      </c>
      <c r="Q31" s="606">
        <f t="shared" si="7"/>
        <v>9</v>
      </c>
      <c r="R31" s="607">
        <f t="shared" si="7"/>
        <v>10</v>
      </c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</row>
    <row r="32" spans="1:100" s="89" customFormat="1" ht="12" customHeight="1" outlineLevel="1" x14ac:dyDescent="0.25">
      <c r="A32" s="34"/>
      <c r="B32" s="197">
        <f>IF(C32&gt;$R$6,0,IF(C32&gt;=$H$6,INDEX(ROI!$D$26:$J$38,MATCH($C32,ROI!$D$26:$D$38,0),MATCH(ROI!$H$26,ROI!$D$26:$J$26,0)),0))</f>
        <v>0</v>
      </c>
      <c r="C32" s="1538">
        <f>C31+1</f>
        <v>2027</v>
      </c>
      <c r="D32" s="1539"/>
      <c r="E32" s="196">
        <f>IF($C32&gt;$R$6,0,IF(C32&gt;=$H$6,INDEX(ROI!$D$26:$J$38,MATCH($C32,ROI!$D$26:$D$38,0),MATCH(ROI!$J$26,ROI!$D$26:$J$26,0)),0))</f>
        <v>0</v>
      </c>
      <c r="F32" s="149"/>
      <c r="G32" s="596"/>
      <c r="H32" s="577">
        <f t="shared" ref="H32:R32" si="8">H6</f>
        <v>2027</v>
      </c>
      <c r="I32" s="577">
        <f t="shared" si="8"/>
        <v>2028</v>
      </c>
      <c r="J32" s="577">
        <f t="shared" si="8"/>
        <v>2029</v>
      </c>
      <c r="K32" s="577">
        <f t="shared" si="8"/>
        <v>2030</v>
      </c>
      <c r="L32" s="577">
        <f t="shared" si="8"/>
        <v>2031</v>
      </c>
      <c r="M32" s="577">
        <f t="shared" si="8"/>
        <v>2032</v>
      </c>
      <c r="N32" s="577">
        <f t="shared" si="8"/>
        <v>2033</v>
      </c>
      <c r="O32" s="577">
        <f t="shared" si="8"/>
        <v>2034</v>
      </c>
      <c r="P32" s="577">
        <f t="shared" si="8"/>
        <v>2035</v>
      </c>
      <c r="Q32" s="577">
        <f t="shared" si="8"/>
        <v>2036</v>
      </c>
      <c r="R32" s="610">
        <f t="shared" si="8"/>
        <v>2037</v>
      </c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</row>
    <row r="33" spans="1:100" s="89" customFormat="1" ht="12" customHeight="1" outlineLevel="1" x14ac:dyDescent="0.25">
      <c r="A33" s="34"/>
      <c r="B33" s="197">
        <f>IF(C33&gt;$R$6,0,IF(C33&gt;=$H$6,INDEX(ROI!$D$26:$J$38,MATCH($C33,ROI!$D$26:$D$38,0),MATCH(ROI!$H$26,ROI!$D$26:$J$26,0)),0))</f>
        <v>2033032.5693331573</v>
      </c>
      <c r="C33" s="1538">
        <f>C32+1</f>
        <v>2028</v>
      </c>
      <c r="D33" s="1539"/>
      <c r="E33" s="196">
        <f>IF($C33&gt;$R$6,0,IF(C33&gt;=$H$6,INDEX(ROI!$D$26:$J$38,MATCH($C33,ROI!$D$26:$D$38,0),MATCH(ROI!$J$26,ROI!$D$26:$J$26,0)),0))</f>
        <v>0</v>
      </c>
      <c r="F33" s="149"/>
      <c r="G33" s="597"/>
      <c r="H33" s="590"/>
      <c r="I33" s="590"/>
      <c r="J33" s="590"/>
      <c r="K33" s="590"/>
      <c r="L33" s="591"/>
      <c r="M33" s="590"/>
      <c r="N33" s="590"/>
      <c r="O33" s="590"/>
      <c r="P33" s="590"/>
      <c r="Q33" s="590"/>
      <c r="R33" s="598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</row>
    <row r="34" spans="1:100" s="89" customFormat="1" ht="12" customHeight="1" outlineLevel="1" x14ac:dyDescent="0.25">
      <c r="A34" s="34"/>
      <c r="B34" s="197">
        <f>IF(C34&gt;$R$6,0,IF(C34&gt;=$H$6,INDEX(ROI!$D$26:$J$38,MATCH($C34,ROI!$D$26:$D$38,0),MATCH(ROI!$H$26,ROI!$D$26:$J$26,0)),0))</f>
        <v>1595516.5191228543</v>
      </c>
      <c r="C34" s="1538">
        <f t="shared" ref="C34:C44" si="9">C33+1</f>
        <v>2029</v>
      </c>
      <c r="D34" s="1539"/>
      <c r="E34" s="196">
        <f>IF($C34&gt;$R$6,0,IF(C34&gt;=$H$6,INDEX(ROI!$D$26:$J$38,MATCH($C34,ROI!$D$26:$D$38,0),MATCH(ROI!$J$26,ROI!$D$26:$J$26,0)),0))</f>
        <v>0</v>
      </c>
      <c r="F34" s="149"/>
      <c r="G34" s="596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605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</row>
    <row r="35" spans="1:100" s="89" customFormat="1" ht="12" customHeight="1" outlineLevel="1" x14ac:dyDescent="0.25">
      <c r="A35" s="34"/>
      <c r="B35" s="197">
        <f>IF(C35&gt;$R$6,0,IF(C35&gt;=$H$6,INDEX(ROI!$D$26:$J$38,MATCH($C35,ROI!$D$26:$D$38,0),MATCH(ROI!$H$26,ROI!$D$26:$J$26,0)),0))</f>
        <v>1695673.327182909</v>
      </c>
      <c r="C35" s="1538">
        <f t="shared" si="9"/>
        <v>2030</v>
      </c>
      <c r="D35" s="1539"/>
      <c r="E35" s="196">
        <f>IF($C35&gt;$R$6,0,IF(C35&gt;=$H$6,INDEX(ROI!$D$26:$J$38,MATCH($C35,ROI!$D$26:$D$38,0),MATCH(ROI!$J$26,ROI!$D$26:$J$26,0)),0))</f>
        <v>0</v>
      </c>
      <c r="F35" s="149"/>
      <c r="G35" s="609" t="s">
        <v>67</v>
      </c>
      <c r="H35" s="427">
        <f>IF(H$32&gt;$R$6,0,IF(H$32&gt;=H$6,INDEX(ROI!$D$26:$J$38,MATCH(H$32,ROI!$D$26:$D$38,0),MATCH(ROI!$H$26,ROI!$D$26:$J$26,0)),0))</f>
        <v>0</v>
      </c>
      <c r="I35" s="427">
        <f>IF(I$32&gt;$R$6,0,IF(I$32&gt;=I$6,INDEX(ROI!$D$26:$J$38,MATCH(I$32,ROI!$D$26:$D$38,0),MATCH(ROI!$H$26,ROI!$D$26:$J$26,0)),0))</f>
        <v>2033032.5693331573</v>
      </c>
      <c r="J35" s="427">
        <f>IF(J$32&gt;$R$6,0,IF(J$32&gt;=J$6,INDEX(ROI!$D$26:$J$38,MATCH(J$32,ROI!$D$26:$D$38,0),MATCH(ROI!$H$26,ROI!$D$26:$J$26,0)),0))</f>
        <v>1595516.5191228543</v>
      </c>
      <c r="K35" s="427">
        <f>IF(K$32&gt;$R$6,0,IF(K$32&gt;=K$6,INDEX(ROI!$D$26:$J$38,MATCH(K$32,ROI!$D$26:$D$38,0),MATCH(ROI!$H$26,ROI!$D$26:$J$26,0)),0))</f>
        <v>1695673.327182909</v>
      </c>
      <c r="L35" s="427">
        <f>IF(L$32&gt;$R$6,0,IF(L$32&gt;=L$6,INDEX(ROI!$D$26:$J$38,MATCH(L$32,ROI!$D$26:$D$38,0),MATCH(ROI!$H$26,ROI!$D$26:$J$26,0)),0))</f>
        <v>1795830.1352429655</v>
      </c>
      <c r="M35" s="427">
        <f>IF(M$32&gt;$R$6,0,IF(M$32&gt;=M$6,INDEX(ROI!$D$26:$J$38,MATCH(M$32,ROI!$D$26:$D$38,0),MATCH(ROI!$H$26,ROI!$D$26:$J$26,0)),0))</f>
        <v>23218790.63992396</v>
      </c>
      <c r="N35" s="427">
        <f>IF(N$32&gt;$R$6,0,IF(N$32&gt;=N$6,INDEX(ROI!$D$26:$J$38,MATCH(N$32,ROI!$D$26:$D$38,0),MATCH(ROI!$H$26,ROI!$D$26:$J$26,0)),0))</f>
        <v>0</v>
      </c>
      <c r="O35" s="427">
        <f>IF(O$32&gt;$R$6,0,IF(O$32&gt;=O$6,INDEX(ROI!$D$26:$J$38,MATCH(O$32,ROI!$D$26:$D$38,0),MATCH(ROI!$H$26,ROI!$D$26:$J$26,0)),0))</f>
        <v>0</v>
      </c>
      <c r="P35" s="427">
        <f>IF(P$32&gt;$R$6,0,IF(P$32&gt;=P$6,INDEX(ROI!$D$26:$J$38,MATCH(P$32,ROI!$D$26:$D$38,0),MATCH(ROI!$H$26,ROI!$D$26:$J$26,0)),0))</f>
        <v>0</v>
      </c>
      <c r="Q35" s="427">
        <f>IF(Q$32&gt;$R$6,0,IF(Q$32&gt;=Q$6,INDEX(ROI!$D$26:$J$38,MATCH(Q$32,ROI!$D$26:$D$38,0),MATCH(ROI!$H$26,ROI!$D$26:$J$26,0)),0))</f>
        <v>0</v>
      </c>
      <c r="R35" s="599">
        <f>IF(R$32&gt;$R$6,0,IF(R$32&gt;=R$6,INDEX(ROI!$D$26:$J$38,MATCH(R$32,ROI!$D$26:$D$38,0),MATCH(ROI!$H$26,ROI!$D$26:$J$26,0)),0))</f>
        <v>0</v>
      </c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</row>
    <row r="36" spans="1:100" s="89" customFormat="1" ht="12" customHeight="1" outlineLevel="1" x14ac:dyDescent="0.25">
      <c r="A36" s="34"/>
      <c r="B36" s="197">
        <f>IF(C36&gt;$R$6,0,IF(C36&gt;=$H$6,INDEX(ROI!$D$26:$J$38,MATCH($C36,ROI!$D$26:$D$38,0),MATCH(ROI!$H$26,ROI!$D$26:$J$26,0)),0))</f>
        <v>1795830.1352429655</v>
      </c>
      <c r="C36" s="1538">
        <f t="shared" si="9"/>
        <v>2031</v>
      </c>
      <c r="D36" s="1539"/>
      <c r="E36" s="196">
        <f>IF($C36&gt;$R$6,0,IF(C36&gt;=$H$6,INDEX(ROI!$D$26:$J$38,MATCH($C36,ROI!$D$26:$D$38,0),MATCH(ROI!$J$26,ROI!$D$26:$J$26,0)),0))</f>
        <v>0</v>
      </c>
      <c r="F36" s="579"/>
      <c r="G36" s="608"/>
      <c r="H36" s="427"/>
      <c r="I36" s="427"/>
      <c r="J36" s="427"/>
      <c r="K36" s="587"/>
      <c r="L36" s="589"/>
      <c r="M36" s="588"/>
      <c r="N36" s="588"/>
      <c r="O36" s="588"/>
      <c r="P36" s="427"/>
      <c r="Q36" s="427"/>
      <c r="R36" s="599"/>
      <c r="S36" s="195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</row>
    <row r="37" spans="1:100" s="89" customFormat="1" ht="12" customHeight="1" outlineLevel="1" x14ac:dyDescent="0.25">
      <c r="A37" s="34"/>
      <c r="B37" s="197">
        <f>IF(C37&gt;$R$6,0,IF(C37&gt;=$H$6,INDEX(ROI!$D$26:$J$38,MATCH($C37,ROI!$D$26:$D$38,0),MATCH(ROI!$H$26,ROI!$D$26:$J$26,0)),0))</f>
        <v>23218790.63992396</v>
      </c>
      <c r="C37" s="1538">
        <f t="shared" si="9"/>
        <v>2032</v>
      </c>
      <c r="D37" s="1539"/>
      <c r="E37" s="196">
        <f>IF($C37&gt;$R$6,0,IF(C37&gt;=$H$6,INDEX(ROI!$D$26:$J$38,MATCH($C37,ROI!$D$26:$D$38,0),MATCH(ROI!$J$26,ROI!$D$26:$J$26,0)),0))</f>
        <v>8172894.0366265029</v>
      </c>
      <c r="F37" s="579"/>
      <c r="G37" s="609" t="s">
        <v>71</v>
      </c>
      <c r="H37" s="427">
        <f>IF(H$32&gt;$R$6,0,IF(H32&gt;=H$6,INDEX(ROI!$D$26:$J$38,MATCH(H$32,ROI!$D$26:$D$38,0),MATCH(ROI!$J$26,ROI!$D$26:$J$26,0)),0))</f>
        <v>0</v>
      </c>
      <c r="I37" s="427">
        <f>IF(I$32&gt;$R$6,0,IF(I32&gt;=I$6,INDEX(ROI!$D$26:$J$38,MATCH(I$32,ROI!$D$26:$D$38,0),MATCH(ROI!$J$26,ROI!$D$26:$J$26,0)),0))</f>
        <v>0</v>
      </c>
      <c r="J37" s="427">
        <f>IF(J$32&gt;$R$6,0,IF(J32&gt;=J$6,INDEX(ROI!$D$26:$J$38,MATCH(J$32,ROI!$D$26:$D$38,0),MATCH(ROI!$J$26,ROI!$D$26:$J$26,0)),0))</f>
        <v>0</v>
      </c>
      <c r="K37" s="427">
        <f>IF(K$32&gt;$R$6,0,IF(K32&gt;=K$6,INDEX(ROI!$D$26:$J$38,MATCH(K$32,ROI!$D$26:$D$38,0),MATCH(ROI!$J$26,ROI!$D$26:$J$26,0)),0))</f>
        <v>0</v>
      </c>
      <c r="L37" s="427">
        <f>IF(L$32&gt;$R$6,0,IF(L32&gt;=L$6,INDEX(ROI!$D$26:$J$38,MATCH(L$32,ROI!$D$26:$D$38,0),MATCH(ROI!$J$26,ROI!$D$26:$J$26,0)),0))</f>
        <v>0</v>
      </c>
      <c r="M37" s="427">
        <f>IF(M$32&gt;$R$6,0,IF(M32&gt;=M$6,INDEX(ROI!$D$26:$J$38,MATCH(M$32,ROI!$D$26:$D$38,0),MATCH(ROI!$J$26,ROI!$D$26:$J$26,0)),0))</f>
        <v>8172894.0366265029</v>
      </c>
      <c r="N37" s="427">
        <f>IF(N$32&gt;$R$6,0,IF(N32&gt;=N$6,INDEX(ROI!$D$26:$J$38,MATCH(N$32,ROI!$D$26:$D$38,0),MATCH(ROI!$J$26,ROI!$D$26:$J$26,0)),0))</f>
        <v>0</v>
      </c>
      <c r="O37" s="427">
        <f>IF(O$32&gt;$R$6,0,IF(O32&gt;=O$6,INDEX(ROI!$D$26:$J$38,MATCH(O$32,ROI!$D$26:$D$38,0),MATCH(ROI!$J$26,ROI!$D$26:$J$26,0)),0))</f>
        <v>0</v>
      </c>
      <c r="P37" s="427">
        <f>IF(P$32&gt;$R$6,0,IF(P32&gt;=P$6,INDEX(ROI!$D$26:$J$38,MATCH(P$32,ROI!$D$26:$D$38,0),MATCH(ROI!$J$26,ROI!$D$26:$J$26,0)),0))</f>
        <v>0</v>
      </c>
      <c r="Q37" s="427">
        <f>IF(Q$32&gt;$R$6,0,IF(Q32&gt;=Q$6,INDEX(ROI!$D$26:$J$38,MATCH(Q$32,ROI!$D$26:$D$38,0),MATCH(ROI!$J$26,ROI!$D$26:$J$26,0)),0))</f>
        <v>0</v>
      </c>
      <c r="R37" s="599">
        <f>IF(R$32&gt;$R$6,0,IF(R32&gt;=R$6,INDEX(ROI!$D$26:$J$38,MATCH(R$32,ROI!$D$26:$D$38,0),MATCH(ROI!$J$26,ROI!$D$26:$J$26,0)),0))</f>
        <v>0</v>
      </c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</row>
    <row r="38" spans="1:100" s="89" customFormat="1" ht="12" customHeight="1" outlineLevel="1" thickBot="1" x14ac:dyDescent="0.3">
      <c r="A38" s="34"/>
      <c r="B38" s="197">
        <f>IF(C38&gt;$R$6,0,IF(C38&gt;=$H$6,INDEX(ROI!$D$26:$J$38,MATCH($C38,ROI!$D$26:$D$38,0),MATCH(ROI!$H$26,ROI!$D$26:$J$26,0)),0))</f>
        <v>0</v>
      </c>
      <c r="C38" s="1538">
        <f t="shared" si="9"/>
        <v>2033</v>
      </c>
      <c r="D38" s="1539"/>
      <c r="E38" s="196">
        <f>IF($C38&gt;$R$6,0,IF(C38&gt;=$H$6,INDEX(ROI!$D$26:$J$38,MATCH($C38,ROI!$D$26:$D$38,0),MATCH(ROI!$J$26,ROI!$D$26:$J$26,0)),0))</f>
        <v>0</v>
      </c>
      <c r="F38" s="579"/>
      <c r="G38" s="600"/>
      <c r="H38" s="601"/>
      <c r="I38" s="601"/>
      <c r="J38" s="601"/>
      <c r="K38" s="601"/>
      <c r="L38" s="602"/>
      <c r="M38" s="603"/>
      <c r="N38" s="603"/>
      <c r="O38" s="603"/>
      <c r="P38" s="603"/>
      <c r="Q38" s="603"/>
      <c r="R38" s="60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</row>
    <row r="39" spans="1:100" s="89" customFormat="1" ht="12" customHeight="1" outlineLevel="1" x14ac:dyDescent="0.25">
      <c r="A39" s="34"/>
      <c r="B39" s="197">
        <f>IF(C39&gt;$R$6,0,IF(C39&gt;=$H$6,INDEX(ROI!$D$26:$J$38,MATCH($C39,ROI!$D$26:$D$38,0),MATCH(ROI!$H$26,ROI!$D$26:$J$26,0)),0))</f>
        <v>0</v>
      </c>
      <c r="C39" s="1538">
        <f t="shared" si="9"/>
        <v>2034</v>
      </c>
      <c r="D39" s="1539"/>
      <c r="E39" s="196">
        <f>IF($C39&gt;$R$6,0,IF(C39&gt;=$H$6,INDEX(ROI!$D$26:$J$38,MATCH($C39,ROI!$D$26:$D$38,0),MATCH(ROI!$J$26,ROI!$D$26:$J$26,0)),0))</f>
        <v>0</v>
      </c>
      <c r="F39" s="579"/>
      <c r="G39" s="584"/>
      <c r="H39" s="34"/>
      <c r="I39" s="34"/>
      <c r="J39" s="34"/>
      <c r="K39" s="34"/>
      <c r="L39" s="582"/>
      <c r="M39" s="583"/>
      <c r="N39" s="583"/>
      <c r="O39" s="583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</row>
    <row r="40" spans="1:100" s="89" customFormat="1" ht="12" customHeight="1" outlineLevel="1" x14ac:dyDescent="0.25">
      <c r="A40" s="34"/>
      <c r="B40" s="197">
        <f>IF(C40&gt;$R$6,0,IF(C40&gt;=$H$6,INDEX(ROI!$D$26:$J$38,MATCH($C40,ROI!$D$26:$D$38,0),MATCH(ROI!$H$26,ROI!$D$26:$J$26,0)),0))</f>
        <v>0</v>
      </c>
      <c r="C40" s="1538">
        <f t="shared" si="9"/>
        <v>2035</v>
      </c>
      <c r="D40" s="1539"/>
      <c r="E40" s="196">
        <f>IF($C40&gt;$R$6,0,IF(C40&gt;=$H$6,INDEX(ROI!$D$26:$J$38,MATCH($C40,ROI!$D$26:$D$38,0),MATCH(ROI!$J$26,ROI!$D$26:$J$26,0)),0))</f>
        <v>0</v>
      </c>
      <c r="F40" s="579"/>
      <c r="G40" s="584"/>
      <c r="H40" s="34"/>
      <c r="I40" s="34"/>
      <c r="J40" s="34"/>
      <c r="K40" s="34"/>
      <c r="L40" s="582"/>
      <c r="M40" s="583"/>
      <c r="N40" s="583"/>
      <c r="O40" s="583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</row>
    <row r="41" spans="1:100" s="89" customFormat="1" ht="12" customHeight="1" outlineLevel="1" x14ac:dyDescent="0.25">
      <c r="A41" s="34"/>
      <c r="B41" s="197">
        <f>IF(C41&gt;$R$6,0,IF(C41&gt;=$H$6,INDEX(ROI!$D$26:$J$38,MATCH($C41,ROI!$D$26:$D$38,0),MATCH(ROI!$H$26,ROI!$D$26:$J$26,0)),0))</f>
        <v>0</v>
      </c>
      <c r="C41" s="1538">
        <f t="shared" si="9"/>
        <v>2036</v>
      </c>
      <c r="D41" s="1539"/>
      <c r="E41" s="196">
        <f>IF($C41&gt;$R$6,0,IF(C41&gt;=$H$6,INDEX(ROI!$D$26:$J$38,MATCH($C41,ROI!$D$26:$D$38,0),MATCH(ROI!$J$26,ROI!$D$26:$J$26,0)),0))</f>
        <v>0</v>
      </c>
      <c r="F41" s="579"/>
      <c r="G41" s="584"/>
      <c r="H41" s="34"/>
      <c r="I41" s="34"/>
      <c r="J41" s="34"/>
      <c r="K41" s="34"/>
      <c r="L41" s="34"/>
      <c r="M41" s="583"/>
      <c r="N41" s="583"/>
      <c r="O41" s="583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</row>
    <row r="42" spans="1:100" s="89" customFormat="1" ht="12" customHeight="1" outlineLevel="1" x14ac:dyDescent="0.25">
      <c r="A42" s="34"/>
      <c r="B42" s="197">
        <f>IF(C42&gt;$R$6,0,IF(C42&gt;=$H$6,INDEX(ROI!$D$26:$J$38,MATCH($C42,ROI!$D$26:$D$38,0),MATCH(ROI!$H$26,ROI!$D$26:$J$26,0)),0))</f>
        <v>0</v>
      </c>
      <c r="C42" s="1538">
        <f t="shared" si="9"/>
        <v>2037</v>
      </c>
      <c r="D42" s="1539"/>
      <c r="E42" s="196">
        <f>IF($C42&gt;$R$6,0,IF(C42&gt;=$H$6,INDEX(ROI!$D$26:$J$38,MATCH($C42,ROI!$D$26:$D$38,0),MATCH(ROI!$J$26,ROI!$D$26:$J$26,0)),0))</f>
        <v>0</v>
      </c>
      <c r="F42" s="579"/>
      <c r="G42" s="584"/>
      <c r="H42" s="34"/>
      <c r="I42" s="34"/>
      <c r="J42" s="34"/>
      <c r="K42" s="34"/>
      <c r="L42" s="582"/>
      <c r="M42" s="583"/>
      <c r="N42" s="583"/>
      <c r="O42" s="583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</row>
    <row r="43" spans="1:100" s="89" customFormat="1" ht="12" customHeight="1" outlineLevel="1" x14ac:dyDescent="0.25">
      <c r="A43" s="34"/>
      <c r="B43" s="197">
        <f>IF(C43&gt;$R$6,0,IF(C43&gt;=$H$6,INDEX(ROI!$D$26:$J$38,MATCH($C43,ROI!$D$26:$D$38,0),MATCH(ROI!$H$26,ROI!$D$26:$J$26,0)),0))</f>
        <v>0</v>
      </c>
      <c r="C43" s="1538">
        <f t="shared" si="9"/>
        <v>2038</v>
      </c>
      <c r="D43" s="1539"/>
      <c r="E43" s="196">
        <f>IF($C43&gt;$R$6,0,IF(C43&gt;=$H$6,INDEX(ROI!$D$26:$J$38,MATCH($C43,ROI!$D$26:$D$38,0),MATCH(ROI!$J$26,ROI!$D$26:$J$26,0)),0))</f>
        <v>0</v>
      </c>
      <c r="F43" s="579"/>
      <c r="G43" s="584"/>
      <c r="H43" s="34"/>
      <c r="I43" s="34"/>
      <c r="J43" s="34"/>
      <c r="K43" s="68"/>
      <c r="L43" s="582"/>
      <c r="M43" s="583"/>
      <c r="N43" s="583"/>
      <c r="O43" s="583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</row>
    <row r="44" spans="1:100" s="89" customFormat="1" ht="12" customHeight="1" outlineLevel="1" x14ac:dyDescent="0.25">
      <c r="A44" s="34"/>
      <c r="B44" s="197">
        <f>IF(C44&gt;$R$6,0,IF(C44&gt;=$H$6,INDEX(ROI!$D$26:$J$38,MATCH($C44,ROI!$D$26:$D$38,0),MATCH(ROI!$H$26,ROI!$D$26:$J$26,0)),0))</f>
        <v>0</v>
      </c>
      <c r="C44" s="1544">
        <f t="shared" si="9"/>
        <v>2039</v>
      </c>
      <c r="D44" s="1545"/>
      <c r="E44" s="196">
        <f>IF($C44&gt;$R$6,0,IF(C44&gt;=$H$6,INDEX(ROI!$D$26:$J$38,MATCH($C44,ROI!$D$26:$D$38,0),MATCH(ROI!$J$26,ROI!$D$26:$J$26,0)),0))</f>
        <v>0</v>
      </c>
      <c r="F44" s="579"/>
      <c r="G44" s="584"/>
      <c r="H44" s="34"/>
      <c r="I44" s="34"/>
      <c r="J44" s="34"/>
      <c r="K44" s="68"/>
      <c r="L44" s="582"/>
      <c r="M44" s="583"/>
      <c r="N44" s="583"/>
      <c r="O44" s="583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</row>
    <row r="45" spans="1:100" ht="12" customHeight="1" outlineLevel="1" x14ac:dyDescent="0.25">
      <c r="B45" s="194">
        <f>IF(ROI!$H$15=0,0,SUM(B32:B44)/-B31)</f>
        <v>2.9076809749081955</v>
      </c>
      <c r="C45" s="1540" t="s">
        <v>389</v>
      </c>
      <c r="D45" s="1541"/>
      <c r="E45" s="520">
        <f>IF(ROI!$H$14=0,0,SUM(E32:E44)/-E31)</f>
        <v>0</v>
      </c>
      <c r="F45" s="580"/>
      <c r="G45" s="30"/>
      <c r="K45" s="585"/>
      <c r="L45" s="7"/>
      <c r="M45" s="7"/>
      <c r="N45" s="30"/>
      <c r="O45" s="30"/>
      <c r="P45" s="30"/>
      <c r="Q45" s="30"/>
    </row>
    <row r="46" spans="1:100" ht="12" customHeight="1" outlineLevel="1" thickBot="1" x14ac:dyDescent="0.3">
      <c r="B46" s="193">
        <f>IFERROR(IF(ROI!$H$15=0,0,IRR(B31:B44)),0)</f>
        <v>0.226484962613275</v>
      </c>
      <c r="C46" s="1542" t="s">
        <v>1</v>
      </c>
      <c r="D46" s="1543"/>
      <c r="E46" s="192">
        <f>IFERROR(IF(ROI!$H$14=0,0,IRR(E31:E44)),0)</f>
        <v>0</v>
      </c>
      <c r="F46" s="581"/>
      <c r="G46" s="30"/>
      <c r="K46" s="586"/>
      <c r="L46" s="30"/>
      <c r="M46" s="30"/>
      <c r="N46" s="30"/>
      <c r="O46" s="30"/>
      <c r="P46" s="30"/>
      <c r="Q46" s="30"/>
    </row>
    <row r="47" spans="1:100" ht="12" customHeight="1" x14ac:dyDescent="0.25">
      <c r="E47" s="7"/>
    </row>
    <row r="48" spans="1:100" ht="9" customHeight="1" x14ac:dyDescent="0.25">
      <c r="E48" s="30"/>
    </row>
    <row r="49" spans="9:9" s="2" customFormat="1" ht="12" customHeight="1" x14ac:dyDescent="0.25">
      <c r="I49" s="1438"/>
    </row>
    <row r="50" spans="9:9" s="2" customFormat="1" ht="12" customHeight="1" x14ac:dyDescent="0.25"/>
    <row r="51" spans="9:9" s="2" customFormat="1" ht="12" customHeight="1" x14ac:dyDescent="0.25"/>
    <row r="52" spans="9:9" s="2" customFormat="1" ht="12" customHeight="1" x14ac:dyDescent="0.25"/>
    <row r="53" spans="9:9" s="2" customFormat="1" ht="12" customHeight="1" x14ac:dyDescent="0.25"/>
    <row r="54" spans="9:9" s="2" customFormat="1" ht="12" customHeight="1" x14ac:dyDescent="0.25"/>
    <row r="55" spans="9:9" s="2" customFormat="1" x14ac:dyDescent="0.25"/>
    <row r="56" spans="9:9" s="2" customFormat="1" x14ac:dyDescent="0.25"/>
  </sheetData>
  <mergeCells count="17">
    <mergeCell ref="B2:R3"/>
    <mergeCell ref="C40:D40"/>
    <mergeCell ref="C41:D41"/>
    <mergeCell ref="C42:D42"/>
    <mergeCell ref="C43:D43"/>
    <mergeCell ref="C35:D35"/>
    <mergeCell ref="C36:D36"/>
    <mergeCell ref="C37:D37"/>
    <mergeCell ref="C38:D38"/>
    <mergeCell ref="C39:D39"/>
    <mergeCell ref="C31:D31"/>
    <mergeCell ref="C32:D32"/>
    <mergeCell ref="C33:D33"/>
    <mergeCell ref="C34:D34"/>
    <mergeCell ref="C45:D45"/>
    <mergeCell ref="C46:D46"/>
    <mergeCell ref="C44:D44"/>
  </mergeCells>
  <conditionalFormatting sqref="B11">
    <cfRule type="expression" dxfId="124" priority="13">
      <formula>IF($E$10="No","TRUE","FALSE")</formula>
    </cfRule>
  </conditionalFormatting>
  <conditionalFormatting sqref="B12:B19">
    <cfRule type="expression" dxfId="123" priority="14">
      <formula>IF($E$10="No","TRUE","FALSE")</formula>
    </cfRule>
  </conditionalFormatting>
  <conditionalFormatting sqref="B22">
    <cfRule type="expression" dxfId="122" priority="6">
      <formula>IF($E$21="No","TRUE","FALSE")</formula>
    </cfRule>
  </conditionalFormatting>
  <conditionalFormatting sqref="B23:B26">
    <cfRule type="expression" dxfId="121" priority="7">
      <formula>IF($E$21="No","TRUE","FALSE")</formula>
    </cfRule>
  </conditionalFormatting>
  <conditionalFormatting sqref="B27">
    <cfRule type="expression" dxfId="120" priority="8">
      <formula>IF($E$21="No","TRUE","FALSE")</formula>
    </cfRule>
  </conditionalFormatting>
  <conditionalFormatting sqref="C12:D19">
    <cfRule type="expression" dxfId="119" priority="16">
      <formula>IF($E$10="No","TRUE","FALSE")</formula>
    </cfRule>
  </conditionalFormatting>
  <conditionalFormatting sqref="C27:D27">
    <cfRule type="expression" dxfId="118" priority="3">
      <formula>IF($E$21="No","TRUE","FALSE")</formula>
    </cfRule>
  </conditionalFormatting>
  <conditionalFormatting sqref="D11">
    <cfRule type="expression" dxfId="117" priority="11">
      <formula>IF($E$10="No","TRUE","FALSE")</formula>
    </cfRule>
  </conditionalFormatting>
  <conditionalFormatting sqref="D22">
    <cfRule type="expression" dxfId="116" priority="4">
      <formula>IF($E$21="No","TRUE","FALSE")</formula>
    </cfRule>
  </conditionalFormatting>
  <conditionalFormatting sqref="D23:D26">
    <cfRule type="expression" dxfId="115" priority="5">
      <formula>IF($E$21="No","TRUE","FALSE")</formula>
    </cfRule>
  </conditionalFormatting>
  <conditionalFormatting sqref="E11">
    <cfRule type="expression" dxfId="114" priority="10">
      <formula>IF($E$10="Yes","TRUE","FALSE")</formula>
    </cfRule>
    <cfRule type="expression" dxfId="113" priority="12">
      <formula>IF($E$10="No","TRUE","FALSE")</formula>
    </cfRule>
  </conditionalFormatting>
  <conditionalFormatting sqref="E12:E19">
    <cfRule type="expression" dxfId="112" priority="15">
      <formula>IF($E$10="No","TRUE","FALSE")</formula>
    </cfRule>
  </conditionalFormatting>
  <conditionalFormatting sqref="E22">
    <cfRule type="expression" dxfId="111" priority="2">
      <formula>IF($E$21="No","TRUE","FALSE")</formula>
    </cfRule>
  </conditionalFormatting>
  <conditionalFormatting sqref="E23:E26">
    <cfRule type="expression" dxfId="110" priority="9">
      <formula>IF($E$21="No","TRUE","FALSE")</formula>
    </cfRule>
  </conditionalFormatting>
  <conditionalFormatting sqref="E27">
    <cfRule type="expression" dxfId="109" priority="1">
      <formula>IF($E$21="No","TRUE","FALSE")</formula>
    </cfRule>
  </conditionalFormatting>
  <dataValidations count="1">
    <dataValidation type="list" allowBlank="1" showInputMessage="1" showErrorMessage="1" sqref="E10" xr:uid="{83E5A927-8EF9-4095-9FFF-EAE6ACD8170D}">
      <formula1>"Yes, No"</formula1>
    </dataValidation>
  </dataValidations>
  <pageMargins left="0.7" right="0.7" top="0.75" bottom="0.75" header="0.3" footer="0.3"/>
  <pageSetup orientation="portrait" r:id="rId1"/>
  <ignoredErrors>
    <ignoredError xmlns:x16r3="http://schemas.microsoft.com/office/spreadsheetml/2018/08/main" sqref="C15" x16r3:misleadingForma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D33B1-C7B4-4F67-9044-49D82C959CAD}">
  <dimension ref="A1:BD345"/>
  <sheetViews>
    <sheetView topLeftCell="B89" workbookViewId="0">
      <selection activeCell="I105" sqref="I105"/>
    </sheetView>
  </sheetViews>
  <sheetFormatPr defaultRowHeight="15" x14ac:dyDescent="0.25"/>
  <cols>
    <col min="1" max="1" width="3.85546875" customWidth="1"/>
    <col min="2" max="2" width="8.42578125" style="2" customWidth="1"/>
    <col min="3" max="3" width="35.140625" customWidth="1"/>
    <col min="4" max="7" width="14.7109375" customWidth="1"/>
    <col min="8" max="8" width="17.140625" customWidth="1"/>
    <col min="9" max="48" width="14.7109375" customWidth="1"/>
    <col min="49" max="52" width="11.7109375" customWidth="1"/>
  </cols>
  <sheetData>
    <row r="1" spans="1:56" ht="27" customHeight="1" x14ac:dyDescent="0.25">
      <c r="A1" s="34"/>
      <c r="B1" s="3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9"/>
      <c r="AZ1" s="9"/>
      <c r="BA1" s="9"/>
      <c r="BB1" s="9"/>
      <c r="BC1" s="2"/>
    </row>
    <row r="2" spans="1:56" s="2" customFormat="1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9"/>
      <c r="AZ2" s="9"/>
      <c r="BA2" s="9"/>
      <c r="BB2" s="9"/>
    </row>
    <row r="3" spans="1:56" s="2" customFormat="1" x14ac:dyDescent="0.25">
      <c r="A3" s="34"/>
      <c r="B3" s="34"/>
      <c r="C3" s="34" t="s">
        <v>669</v>
      </c>
      <c r="D3" s="34"/>
      <c r="E3" s="86" t="s">
        <v>1</v>
      </c>
      <c r="F3" s="34"/>
      <c r="G3" s="68" t="s">
        <v>545</v>
      </c>
      <c r="H3" s="68">
        <f>'Sale - Refinance'!E11</f>
        <v>2032</v>
      </c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9"/>
      <c r="AZ3" s="9"/>
      <c r="BA3" s="9"/>
      <c r="BB3" s="9"/>
    </row>
    <row r="4" spans="1:56" s="2" customFormat="1" x14ac:dyDescent="0.25">
      <c r="A4" s="34"/>
      <c r="B4" s="34"/>
      <c r="C4" s="34" t="s">
        <v>692</v>
      </c>
      <c r="D4" s="34"/>
      <c r="E4" s="86" t="s">
        <v>693</v>
      </c>
      <c r="F4" s="97">
        <f>IF(E4="2-Tier",2,IF(E4="3-Tier",3,IF(E4="4-Tier",4,IF(E4="5-Tier",5))))</f>
        <v>5</v>
      </c>
      <c r="G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9"/>
      <c r="AZ4" s="9"/>
      <c r="BA4" s="9"/>
      <c r="BB4" s="9"/>
    </row>
    <row r="5" spans="1:56" s="2" customFormat="1" x14ac:dyDescent="0.25">
      <c r="A5" s="34"/>
      <c r="B5" s="34"/>
      <c r="C5" s="34" t="s">
        <v>670</v>
      </c>
      <c r="D5" s="34"/>
      <c r="E5" s="86" t="s">
        <v>713</v>
      </c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9"/>
      <c r="AZ5" s="9"/>
      <c r="BA5" s="9"/>
      <c r="BB5" s="9"/>
    </row>
    <row r="6" spans="1:56" s="2" customFormat="1" x14ac:dyDescent="0.25">
      <c r="A6" s="34"/>
      <c r="B6" s="34"/>
      <c r="C6" s="1362" t="s">
        <v>678</v>
      </c>
      <c r="E6" s="35" t="s">
        <v>72</v>
      </c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9"/>
      <c r="AZ6" s="9"/>
      <c r="BA6" s="9"/>
      <c r="BB6" s="9"/>
    </row>
    <row r="7" spans="1:56" x14ac:dyDescent="0.25">
      <c r="A7" s="34"/>
      <c r="B7" s="34"/>
      <c r="C7" s="1383" t="s">
        <v>593</v>
      </c>
      <c r="D7" s="1259"/>
      <c r="E7" s="1259"/>
      <c r="F7" s="1259"/>
      <c r="G7" s="1259"/>
      <c r="H7" s="1259"/>
      <c r="I7" s="1259"/>
      <c r="J7" s="1259"/>
      <c r="K7" s="1259"/>
      <c r="L7" s="1259"/>
      <c r="M7" s="1259"/>
      <c r="N7" s="1259"/>
      <c r="O7" s="1259"/>
      <c r="P7" s="1259"/>
      <c r="Q7" s="1259"/>
      <c r="R7" s="514"/>
      <c r="S7" s="51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9"/>
      <c r="AZ7" s="9"/>
      <c r="BA7" s="9"/>
      <c r="BB7" s="9"/>
      <c r="BC7" s="2"/>
    </row>
    <row r="8" spans="1:56" s="2" customFormat="1" x14ac:dyDescent="0.25">
      <c r="A8" s="34"/>
      <c r="B8" s="34"/>
      <c r="C8" s="1362" t="s">
        <v>578</v>
      </c>
      <c r="D8" s="800">
        <f>'Financing Assumptions'!L19</f>
        <v>10434034.356800005</v>
      </c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9"/>
      <c r="AZ8" s="9"/>
      <c r="BA8" s="9"/>
      <c r="BB8" s="9"/>
    </row>
    <row r="9" spans="1:56" s="2" customFormat="1" x14ac:dyDescent="0.25">
      <c r="A9" s="34"/>
      <c r="B9" s="34"/>
      <c r="C9" s="1362" t="s">
        <v>582</v>
      </c>
      <c r="D9" s="86" t="s">
        <v>441</v>
      </c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9"/>
      <c r="AZ9" s="9"/>
      <c r="BA9" s="9"/>
      <c r="BB9" s="9"/>
    </row>
    <row r="10" spans="1:56" s="2" customFormat="1" x14ac:dyDescent="0.25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9"/>
      <c r="AZ10" s="9"/>
      <c r="BA10" s="9"/>
      <c r="BB10" s="9"/>
    </row>
    <row r="11" spans="1:56" s="2" customFormat="1" x14ac:dyDescent="0.25">
      <c r="A11" s="34"/>
      <c r="B11" s="34"/>
      <c r="C11" s="34"/>
      <c r="D11" s="68" t="str">
        <f>IF($D$9="$","Constribution",IF($D$9="%","Contribution %"))</f>
        <v>Contribution %</v>
      </c>
      <c r="E11" s="68" t="str">
        <f>IF($D$9="$","Contribution %",IF($D$9="%","Contribution"))</f>
        <v>Contribution</v>
      </c>
      <c r="F11" s="68" t="s">
        <v>558</v>
      </c>
      <c r="G11" s="68" t="s">
        <v>595</v>
      </c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9"/>
      <c r="AZ11" s="9"/>
      <c r="BA11" s="9"/>
      <c r="BB11" s="9"/>
    </row>
    <row r="12" spans="1:56" s="2" customFormat="1" x14ac:dyDescent="0.25">
      <c r="A12" s="34"/>
      <c r="B12" s="34"/>
      <c r="C12" s="34" t="s">
        <v>672</v>
      </c>
      <c r="D12" s="75">
        <v>1</v>
      </c>
      <c r="E12" s="35">
        <f>IF(D12=0,0,IF($D$9="$",D12/$D$8,D12*$D$8))</f>
        <v>10434034.356800005</v>
      </c>
      <c r="F12" s="140">
        <v>0.7</v>
      </c>
      <c r="G12" s="77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9"/>
      <c r="AZ12" s="9"/>
      <c r="BA12" s="9"/>
      <c r="BB12" s="9"/>
    </row>
    <row r="13" spans="1:56" s="2" customFormat="1" x14ac:dyDescent="0.25">
      <c r="A13" s="34"/>
      <c r="B13" s="34"/>
      <c r="C13" s="34" t="s">
        <v>671</v>
      </c>
      <c r="D13" s="75">
        <v>0</v>
      </c>
      <c r="E13" s="35">
        <f>IF(D13=0,0,IF($D$9="$",D13/$D$8,D13*$D$8))</f>
        <v>0</v>
      </c>
      <c r="F13" s="140">
        <v>0.3</v>
      </c>
      <c r="G13" s="77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9"/>
      <c r="AZ13" s="9"/>
      <c r="BA13" s="9"/>
      <c r="BB13" s="9"/>
    </row>
    <row r="14" spans="1:56" s="2" customFormat="1" x14ac:dyDescent="0.25">
      <c r="A14" s="34"/>
      <c r="B14" s="34"/>
      <c r="C14" s="34" t="s">
        <v>66</v>
      </c>
      <c r="D14" s="68">
        <f>SUM(D12:D13)</f>
        <v>1</v>
      </c>
      <c r="E14" s="68">
        <f>SUM(E12:E13)</f>
        <v>10434034.356800005</v>
      </c>
      <c r="F14" s="1404">
        <f>SUM(F12:F13)</f>
        <v>1</v>
      </c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9"/>
      <c r="AZ14" s="9"/>
      <c r="BA14" s="9"/>
      <c r="BB14" s="9"/>
    </row>
    <row r="15" spans="1:56" s="2" customFormat="1" x14ac:dyDescent="0.25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2"/>
      <c r="BD15" s="32"/>
    </row>
    <row r="16" spans="1:56" x14ac:dyDescent="0.25">
      <c r="A16" s="34"/>
      <c r="B16" s="34"/>
      <c r="C16" s="1382" t="s">
        <v>654</v>
      </c>
      <c r="D16" s="1259"/>
      <c r="E16" s="1259"/>
      <c r="F16" s="1259"/>
      <c r="G16" s="1379"/>
      <c r="H16" s="1259"/>
      <c r="I16" s="1259"/>
      <c r="J16" s="1259"/>
      <c r="K16" s="1382" t="s">
        <v>675</v>
      </c>
      <c r="L16" s="1382"/>
      <c r="M16" s="1259"/>
      <c r="N16" s="1259"/>
      <c r="O16" s="1259"/>
      <c r="P16" s="1259"/>
      <c r="Q16" s="1259"/>
      <c r="R16" s="514"/>
      <c r="S16" s="51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2"/>
      <c r="BD16" s="31"/>
    </row>
    <row r="17" spans="1:56" x14ac:dyDescent="0.25">
      <c r="A17" s="34"/>
      <c r="B17" s="34"/>
      <c r="C17" s="1402" t="s">
        <v>728</v>
      </c>
      <c r="D17" s="1403" t="str">
        <f>IF(E3="IRR","IRR",IF($E$3="EMx","EMx",IF(E78&gt;E197,"IRR","Emx")))</f>
        <v>IRR</v>
      </c>
      <c r="E17" s="1229" t="str">
        <f>IF(OR(E3="EMx",E3="IRR + EMx"),"EMx Hurdle","")</f>
        <v/>
      </c>
      <c r="F17" s="1229" t="str">
        <f>IF(OR(E3="IRR",E3="IRR + EMx"),"IRR Hurdle","")</f>
        <v>IRR Hurdle</v>
      </c>
      <c r="G17" s="1229" t="str">
        <f>IF(E3="IRR + Emx","","Tier Requirement")</f>
        <v>Tier Requirement</v>
      </c>
      <c r="H17" s="1229"/>
      <c r="I17" s="1229" t="s">
        <v>674</v>
      </c>
      <c r="J17" s="1259"/>
      <c r="K17" s="1229" t="s">
        <v>676</v>
      </c>
      <c r="L17" s="1229" t="s">
        <v>677</v>
      </c>
      <c r="M17" s="1259"/>
      <c r="N17" s="1259"/>
      <c r="O17" s="1259"/>
      <c r="P17" s="1259"/>
      <c r="Q17" s="1259"/>
      <c r="R17" s="514"/>
      <c r="S17" s="51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2"/>
      <c r="BD17" s="31"/>
    </row>
    <row r="18" spans="1:56" s="2" customFormat="1" x14ac:dyDescent="0.25">
      <c r="A18" s="34"/>
      <c r="B18" s="34"/>
      <c r="C18" s="34" t="s">
        <v>673</v>
      </c>
      <c r="E18" s="34"/>
      <c r="F18" s="34"/>
      <c r="G18" s="35">
        <f>IF($E$3="IRR",F19,IF($E$3="Emx",E19,0))</f>
        <v>0.08</v>
      </c>
      <c r="I18" s="34"/>
      <c r="J18" s="34"/>
      <c r="K18" s="1405">
        <v>0.1</v>
      </c>
      <c r="L18" s="1387">
        <f>IF(E5="Pari Passu",100%-K18,100%-K18)</f>
        <v>0.9</v>
      </c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2"/>
      <c r="BD18" s="32"/>
    </row>
    <row r="19" spans="1:56" s="2" customFormat="1" x14ac:dyDescent="0.25">
      <c r="A19" s="34"/>
      <c r="C19" s="34" t="s">
        <v>694</v>
      </c>
      <c r="E19" s="1406">
        <v>1.5</v>
      </c>
      <c r="F19" s="1407">
        <v>0.08</v>
      </c>
      <c r="G19" s="35">
        <f>IF($E$3="IRR",F20,IF($E$3="Emx",E20,0))</f>
        <v>0</v>
      </c>
      <c r="I19" s="1408">
        <v>0</v>
      </c>
      <c r="J19" s="34"/>
      <c r="K19" s="1387">
        <f>IF(AND($E$5="LP First",I19=0),$F$13,IF(AND($E$5="LP First",I19&gt;0),((100%-I19)*$F$13)+I19,IF(I19=0,$K$18,((100%-I19)*$K$18)+I19)))</f>
        <v>0.3</v>
      </c>
      <c r="L19" s="1387">
        <f>100%-K19</f>
        <v>0.7</v>
      </c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2"/>
      <c r="BD19" s="32"/>
    </row>
    <row r="20" spans="1:56" s="2" customFormat="1" x14ac:dyDescent="0.25">
      <c r="A20" s="34"/>
      <c r="C20" s="34" t="str">
        <f>IF($F$4&gt;=3,"Tier 3 (Promote)","Tier 3 (Not in Use)")</f>
        <v>Tier 3 (Promote)</v>
      </c>
      <c r="E20" s="1406">
        <v>1.75</v>
      </c>
      <c r="F20" s="1407">
        <v>0</v>
      </c>
      <c r="G20" s="35">
        <f>IF($E$3="IRR",F21,IF($E$3="Emx",E21,0))</f>
        <v>0</v>
      </c>
      <c r="I20" s="1408">
        <v>0</v>
      </c>
      <c r="J20" s="34"/>
      <c r="K20" s="1387">
        <f>IF(AND($E$5="LP First",I20=0),$F$13,IF(AND($E$5="LP First",I20&gt;0),((100%-I20)*$F$13)+I20,IF(I20=0,$K$18,((100%-I20)*$K$18)+I20)))</f>
        <v>0.3</v>
      </c>
      <c r="L20" s="1387">
        <f t="shared" ref="L20:L21" si="0">100%-K20</f>
        <v>0.7</v>
      </c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2"/>
      <c r="BD20" s="32"/>
    </row>
    <row r="21" spans="1:56" s="2" customFormat="1" x14ac:dyDescent="0.25">
      <c r="A21" s="34"/>
      <c r="C21" s="34" t="str">
        <f>IF($F$4&gt;=4,"Tier 4 (Promote)","Tier 4 (Not in Use)")</f>
        <v>Tier 4 (Promote)</v>
      </c>
      <c r="E21" s="1406">
        <v>2</v>
      </c>
      <c r="F21" s="1407">
        <v>0</v>
      </c>
      <c r="G21" s="35">
        <f>IF($E$3="IRR",F22,IF($E$3="Emx",E22,0))</f>
        <v>0</v>
      </c>
      <c r="I21" s="1408">
        <v>0</v>
      </c>
      <c r="J21" s="34"/>
      <c r="K21" s="1387">
        <f>IF(AND($E$5="LP First",I21=0),$F$13,IF(AND($E$5="LP First",I21&gt;0),((100%-I21)*$F$13)+I21,IF(I21=0,$K$18,((100%-I21)*$K$18)+I21)))</f>
        <v>0.3</v>
      </c>
      <c r="L21" s="1387">
        <f t="shared" si="0"/>
        <v>0.7</v>
      </c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2"/>
      <c r="BD21" s="32"/>
    </row>
    <row r="22" spans="1:56" s="2" customFormat="1" x14ac:dyDescent="0.25">
      <c r="A22" s="34"/>
      <c r="C22" s="34" t="str">
        <f>IF($F$4&gt;=5,"Tier 5 (Promote)","Tier 5 (Not in Use)")</f>
        <v>Tier 5 (Promote)</v>
      </c>
      <c r="E22" s="1406">
        <v>2.5</v>
      </c>
      <c r="F22" s="1407">
        <v>0</v>
      </c>
      <c r="G22" s="35"/>
      <c r="I22" s="1408">
        <v>0</v>
      </c>
      <c r="J22" s="34"/>
      <c r="K22" s="1387">
        <f>IF(AND($E$5="LP First",I22=0),$F$13,IF(AND($E$5="LP First",I22&gt;0),((100%-I22)*$F$13)+I22,IF(I22=0,$K$18,((100%-I22)*$K$18)+I22)))</f>
        <v>0.3</v>
      </c>
      <c r="L22" s="1387">
        <f>100%-K22</f>
        <v>0.7</v>
      </c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2"/>
      <c r="BD22" s="32"/>
    </row>
    <row r="23" spans="1:56" x14ac:dyDescent="0.25">
      <c r="A23" s="34"/>
      <c r="B23" s="34"/>
      <c r="C23" s="1382" t="s">
        <v>655</v>
      </c>
      <c r="D23" s="1259"/>
      <c r="E23" s="1259"/>
      <c r="F23" s="1259"/>
      <c r="G23" s="1229">
        <f>G48</f>
        <v>2026</v>
      </c>
      <c r="H23" s="1229">
        <f t="shared" ref="H23:S23" si="1">H48</f>
        <v>2027</v>
      </c>
      <c r="I23" s="1229">
        <f t="shared" si="1"/>
        <v>2028</v>
      </c>
      <c r="J23" s="1229">
        <f t="shared" si="1"/>
        <v>2029</v>
      </c>
      <c r="K23" s="1229">
        <f t="shared" si="1"/>
        <v>2030</v>
      </c>
      <c r="L23" s="1229">
        <f t="shared" si="1"/>
        <v>2031</v>
      </c>
      <c r="M23" s="1229">
        <f t="shared" si="1"/>
        <v>2032</v>
      </c>
      <c r="N23" s="1229">
        <f t="shared" si="1"/>
        <v>2033</v>
      </c>
      <c r="O23" s="1229">
        <f t="shared" si="1"/>
        <v>2034</v>
      </c>
      <c r="P23" s="1229">
        <f t="shared" si="1"/>
        <v>2035</v>
      </c>
      <c r="Q23" s="1229">
        <f t="shared" si="1"/>
        <v>2036</v>
      </c>
      <c r="R23" s="1229">
        <f t="shared" si="1"/>
        <v>2037</v>
      </c>
      <c r="S23" s="1229">
        <f t="shared" si="1"/>
        <v>2038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2"/>
      <c r="BD23" s="31"/>
    </row>
    <row r="24" spans="1:56" x14ac:dyDescent="0.25">
      <c r="A24" s="34"/>
      <c r="B24" s="34"/>
      <c r="C24" s="1259"/>
      <c r="D24" s="1259"/>
      <c r="E24" s="1259"/>
      <c r="F24" s="1259"/>
      <c r="G24" s="1384">
        <f>G49</f>
        <v>0</v>
      </c>
      <c r="H24" s="1384">
        <f t="shared" ref="H24:S24" si="2">H49</f>
        <v>0.1</v>
      </c>
      <c r="I24" s="1384">
        <f t="shared" si="2"/>
        <v>1</v>
      </c>
      <c r="J24" s="1384">
        <f t="shared" si="2"/>
        <v>2</v>
      </c>
      <c r="K24" s="1384">
        <f t="shared" si="2"/>
        <v>3</v>
      </c>
      <c r="L24" s="1384">
        <f t="shared" si="2"/>
        <v>4</v>
      </c>
      <c r="M24" s="1384">
        <f t="shared" si="2"/>
        <v>5</v>
      </c>
      <c r="N24" s="1384">
        <f t="shared" si="2"/>
        <v>6</v>
      </c>
      <c r="O24" s="1384">
        <f t="shared" si="2"/>
        <v>7</v>
      </c>
      <c r="P24" s="1384">
        <f t="shared" si="2"/>
        <v>8</v>
      </c>
      <c r="Q24" s="1384">
        <f t="shared" si="2"/>
        <v>9</v>
      </c>
      <c r="R24" s="1384">
        <f t="shared" si="2"/>
        <v>10</v>
      </c>
      <c r="S24" s="1384" t="e">
        <f t="shared" si="2"/>
        <v>#N/A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2"/>
      <c r="BD24" s="31"/>
    </row>
    <row r="25" spans="1:56" s="2" customFormat="1" x14ac:dyDescent="0.25">
      <c r="A25" s="34"/>
      <c r="B25" s="34"/>
      <c r="C25" s="781"/>
      <c r="D25" s="781"/>
      <c r="E25" s="781"/>
      <c r="F25" s="781"/>
      <c r="G25" s="781"/>
      <c r="H25" s="781"/>
      <c r="I25" s="781"/>
      <c r="J25" s="781"/>
      <c r="K25" s="781"/>
      <c r="L25" s="781"/>
      <c r="M25" s="781"/>
      <c r="N25" s="781"/>
      <c r="O25" s="781"/>
      <c r="P25" s="781"/>
      <c r="Q25" s="781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2"/>
      <c r="BD25" s="32"/>
    </row>
    <row r="26" spans="1:56" s="2" customFormat="1" x14ac:dyDescent="0.25">
      <c r="A26" s="34"/>
      <c r="B26" s="34"/>
      <c r="C26" s="48" t="s">
        <v>656</v>
      </c>
      <c r="D26" s="1392"/>
      <c r="E26" s="1392"/>
      <c r="F26" s="1392"/>
      <c r="G26" s="1392"/>
      <c r="H26" s="1392"/>
      <c r="I26" s="1392"/>
      <c r="J26" s="1392"/>
      <c r="K26" s="1392"/>
      <c r="L26" s="1392"/>
      <c r="M26" s="1392"/>
      <c r="N26" s="1392"/>
      <c r="O26" s="1392"/>
      <c r="P26" s="1392"/>
      <c r="Q26" s="1392"/>
      <c r="R26" s="1392"/>
      <c r="S26" s="1392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2"/>
      <c r="BD26" s="32"/>
    </row>
    <row r="27" spans="1:56" s="2" customFormat="1" x14ac:dyDescent="0.25">
      <c r="A27" s="34"/>
      <c r="B27" s="34"/>
      <c r="C27" s="34" t="s">
        <v>589</v>
      </c>
      <c r="D27" s="1392"/>
      <c r="E27" s="1391">
        <f>IF(D17="IRR",SUM(G107:R107)-E28,SUM(G226:R226)-E28)</f>
        <v>4707688.5170035027</v>
      </c>
      <c r="F27" s="1392"/>
      <c r="G27" s="1392">
        <f>MIN($E27-SUM($F27:F27),G31)</f>
        <v>0</v>
      </c>
      <c r="H27" s="1392">
        <f>MIN($E27-SUM($F27:G27),H31)</f>
        <v>0</v>
      </c>
      <c r="I27" s="1392">
        <f>MIN($E27-SUM($F27:H27),I31)</f>
        <v>1829729.3123998416</v>
      </c>
      <c r="J27" s="1392">
        <f>MIN($E27-SUM($F27:I27),J31)</f>
        <v>1435964.8672105689</v>
      </c>
      <c r="K27" s="1392">
        <f>MIN($E27-SUM($F27:J27),K31)</f>
        <v>1441994.337393092</v>
      </c>
      <c r="L27" s="1392">
        <f>MIN($E27-SUM($F27:K27),L31)</f>
        <v>0</v>
      </c>
      <c r="M27" s="1392">
        <f>MIN($E27-SUM($F27:L27),M31)</f>
        <v>0</v>
      </c>
      <c r="N27" s="1392">
        <f>MIN($E27-SUM($F27:M27),N31)</f>
        <v>0</v>
      </c>
      <c r="O27" s="1392">
        <f>MIN($E27-SUM($F27:N27),O31)</f>
        <v>0</v>
      </c>
      <c r="P27" s="1392">
        <f>MIN($E27-SUM($F27:O27),P31)</f>
        <v>0</v>
      </c>
      <c r="Q27" s="1392">
        <f>MIN($E27-SUM($F27:P27),Q31)</f>
        <v>0</v>
      </c>
      <c r="R27" s="1392">
        <f>MIN($E27-SUM($F27:Q27),R31)</f>
        <v>0</v>
      </c>
      <c r="S27" s="1392">
        <f>MIN($E27-SUM($F27:R27),S31)</f>
        <v>0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2"/>
      <c r="BD27" s="32"/>
    </row>
    <row r="28" spans="1:56" s="2" customFormat="1" x14ac:dyDescent="0.25">
      <c r="A28" s="34"/>
      <c r="B28" s="34"/>
      <c r="C28" s="34" t="s">
        <v>687</v>
      </c>
      <c r="D28" s="1392"/>
      <c r="E28" s="1391">
        <f>MIN(E31,E30)</f>
        <v>10434034.356800005</v>
      </c>
      <c r="F28" s="1392"/>
      <c r="G28" s="1392">
        <f>MIN($E28-SUM($F28:F28),G31-G27)</f>
        <v>0</v>
      </c>
      <c r="H28" s="1392">
        <f>MIN($E28-SUM($F28:G28),H31-H27)</f>
        <v>0</v>
      </c>
      <c r="I28" s="1392">
        <f>MIN($E28-SUM($F28:H28),I31-I27)</f>
        <v>0</v>
      </c>
      <c r="J28" s="1392">
        <f>MIN($E28-SUM($F28:I28),J31-J27)</f>
        <v>0</v>
      </c>
      <c r="K28" s="1392">
        <f>MIN($E28-SUM($F28:J28),K31-K27)</f>
        <v>84111.657071526162</v>
      </c>
      <c r="L28" s="1392">
        <f>MIN($E28-SUM($F28:K28),L31-L27)</f>
        <v>1616247.1217186691</v>
      </c>
      <c r="M28" s="1392">
        <f>MIN($E28-SUM($F28:L28),M31-M27)</f>
        <v>8733675.5780098103</v>
      </c>
      <c r="N28" s="1392">
        <f>MIN($E28-SUM($F28:M28),N31-N27)</f>
        <v>0</v>
      </c>
      <c r="O28" s="1392">
        <f>MIN($E28-SUM($F28:N28),O31-O27)</f>
        <v>0</v>
      </c>
      <c r="P28" s="1392">
        <f>MIN($E28-SUM($F28:O28),P31-P27)</f>
        <v>0</v>
      </c>
      <c r="Q28" s="1392">
        <f>MIN($E28-SUM($F28:P28),Q31-Q27)</f>
        <v>0</v>
      </c>
      <c r="R28" s="1392">
        <f>MIN($E28-SUM($F28:Q28),R31-R27)</f>
        <v>0</v>
      </c>
      <c r="S28" s="1392">
        <f>MIN($E28-SUM($F28:R28),S31-S27)</f>
        <v>0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2"/>
      <c r="BD28" s="32"/>
    </row>
    <row r="29" spans="1:56" s="2" customFormat="1" ht="17.25" x14ac:dyDescent="0.4">
      <c r="A29" s="34"/>
      <c r="B29" s="34"/>
      <c r="C29" s="34" t="s">
        <v>688</v>
      </c>
      <c r="D29" s="1392"/>
      <c r="E29" s="1410">
        <f>E31-E27-E28</f>
        <v>15181320.490688805</v>
      </c>
      <c r="F29" s="1392"/>
      <c r="G29" s="1409">
        <f t="shared" ref="G29:S29" si="3">G31-G27-G28</f>
        <v>0</v>
      </c>
      <c r="H29" s="1409">
        <f t="shared" si="3"/>
        <v>0</v>
      </c>
      <c r="I29" s="1409">
        <f t="shared" si="3"/>
        <v>0</v>
      </c>
      <c r="J29" s="1409">
        <f t="shared" si="3"/>
        <v>0</v>
      </c>
      <c r="K29" s="1409">
        <f t="shared" si="3"/>
        <v>0</v>
      </c>
      <c r="L29" s="1409">
        <f t="shared" si="3"/>
        <v>0</v>
      </c>
      <c r="M29" s="1409">
        <f t="shared" si="3"/>
        <v>15181320.490688805</v>
      </c>
      <c r="N29" s="1409">
        <f t="shared" si="3"/>
        <v>0</v>
      </c>
      <c r="O29" s="1409">
        <f t="shared" si="3"/>
        <v>0</v>
      </c>
      <c r="P29" s="1409">
        <f t="shared" si="3"/>
        <v>0</v>
      </c>
      <c r="Q29" s="1409">
        <f t="shared" si="3"/>
        <v>0</v>
      </c>
      <c r="R29" s="1409">
        <f t="shared" si="3"/>
        <v>0</v>
      </c>
      <c r="S29" s="1409">
        <f t="shared" si="3"/>
        <v>0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2"/>
      <c r="BD29" s="32"/>
    </row>
    <row r="30" spans="1:56" s="2" customFormat="1" x14ac:dyDescent="0.25">
      <c r="A30" s="34"/>
      <c r="B30" s="34"/>
      <c r="C30" s="34" t="s">
        <v>658</v>
      </c>
      <c r="D30" s="1392"/>
      <c r="E30" s="1391">
        <f>SUM(G30:S30)</f>
        <v>10434034.356800005</v>
      </c>
      <c r="F30" s="1392"/>
      <c r="G30" s="1392">
        <f>IF($D$17="IRR",G76,G195)</f>
        <v>10434034.356800005</v>
      </c>
      <c r="H30" s="1392">
        <f>IF($D$17="IRR",H76,H195)</f>
        <v>0</v>
      </c>
      <c r="I30" s="1392">
        <f>IF($D$17="IRR",I76,I195)</f>
        <v>0</v>
      </c>
      <c r="J30" s="1392">
        <f t="shared" ref="J30:R30" si="4">IF($D$17="IRR",J76,J195)</f>
        <v>0</v>
      </c>
      <c r="K30" s="1392">
        <f t="shared" si="4"/>
        <v>0</v>
      </c>
      <c r="L30" s="1392">
        <f t="shared" si="4"/>
        <v>0</v>
      </c>
      <c r="M30" s="1392">
        <f t="shared" si="4"/>
        <v>0</v>
      </c>
      <c r="N30" s="1392">
        <f t="shared" si="4"/>
        <v>0</v>
      </c>
      <c r="O30" s="1392">
        <f t="shared" si="4"/>
        <v>0</v>
      </c>
      <c r="P30" s="1392">
        <f t="shared" si="4"/>
        <v>0</v>
      </c>
      <c r="Q30" s="1392">
        <f t="shared" si="4"/>
        <v>0</v>
      </c>
      <c r="R30" s="1392">
        <f t="shared" si="4"/>
        <v>0</v>
      </c>
      <c r="S30" s="1392">
        <f t="shared" ref="S30" si="5">IF($D$17="IRR",S76,S195)</f>
        <v>0</v>
      </c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2"/>
      <c r="BD30" s="32"/>
    </row>
    <row r="31" spans="1:56" s="2" customFormat="1" x14ac:dyDescent="0.25">
      <c r="A31" s="34"/>
      <c r="B31" s="34"/>
      <c r="C31" s="34" t="s">
        <v>657</v>
      </c>
      <c r="D31" s="1392"/>
      <c r="E31" s="1391">
        <f>SUM(G31:S31)</f>
        <v>30323043.364492312</v>
      </c>
      <c r="F31" s="1392"/>
      <c r="G31" s="1392">
        <f t="shared" ref="G31:R31" si="6">IF($D$17="IRR",G75,G194)</f>
        <v>0</v>
      </c>
      <c r="H31" s="1392">
        <f t="shared" si="6"/>
        <v>0</v>
      </c>
      <c r="I31" s="1392">
        <f>IF($D$17="IRR",I75,I194)</f>
        <v>1829729.3123998416</v>
      </c>
      <c r="J31" s="1392">
        <f>IF($D$17="IRR",J75,J194)</f>
        <v>1435964.8672105689</v>
      </c>
      <c r="K31" s="1392">
        <f t="shared" si="6"/>
        <v>1526105.9944646182</v>
      </c>
      <c r="L31" s="1392">
        <f t="shared" si="6"/>
        <v>1616247.1217186691</v>
      </c>
      <c r="M31" s="1392">
        <f t="shared" si="6"/>
        <v>23914996.068698615</v>
      </c>
      <c r="N31" s="1392">
        <f t="shared" si="6"/>
        <v>0</v>
      </c>
      <c r="O31" s="1392">
        <f t="shared" si="6"/>
        <v>0</v>
      </c>
      <c r="P31" s="1392">
        <f t="shared" si="6"/>
        <v>0</v>
      </c>
      <c r="Q31" s="1392">
        <f t="shared" si="6"/>
        <v>0</v>
      </c>
      <c r="R31" s="1392">
        <f t="shared" si="6"/>
        <v>0</v>
      </c>
      <c r="S31" s="1392">
        <f t="shared" ref="S31" si="7">IF($D$17="IRR",S75,S194)</f>
        <v>0</v>
      </c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2"/>
      <c r="BD31" s="32"/>
    </row>
    <row r="32" spans="1:56" s="2" customFormat="1" x14ac:dyDescent="0.25">
      <c r="A32" s="34"/>
      <c r="B32" s="34"/>
      <c r="C32" s="34" t="s">
        <v>659</v>
      </c>
      <c r="D32" s="1392"/>
      <c r="E32" s="1377">
        <f>E31-E30</f>
        <v>19889009.007692307</v>
      </c>
      <c r="F32" s="1392"/>
      <c r="G32" s="1392"/>
      <c r="H32" s="1392"/>
      <c r="I32" s="1392"/>
      <c r="J32" s="1392"/>
      <c r="K32" s="1392"/>
      <c r="L32" s="1392"/>
      <c r="M32" s="1392"/>
      <c r="N32" s="1392"/>
      <c r="O32" s="1392"/>
      <c r="P32" s="1392"/>
      <c r="Q32" s="1392"/>
      <c r="R32" s="1392"/>
      <c r="S32" s="1392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2"/>
      <c r="BD32" s="32"/>
    </row>
    <row r="33" spans="1:56" s="2" customFormat="1" x14ac:dyDescent="0.25">
      <c r="A33" s="34"/>
      <c r="B33" s="34"/>
      <c r="C33" s="34" t="s">
        <v>660</v>
      </c>
      <c r="D33" s="1392"/>
      <c r="E33" s="1375">
        <f>IRR(G33:S33)</f>
        <v>0.22286066438800622</v>
      </c>
      <c r="F33" s="1392"/>
      <c r="G33" s="1392">
        <f t="shared" ref="G33:R33" si="8">(-G30)+G31</f>
        <v>-10434034.356800005</v>
      </c>
      <c r="H33" s="1392">
        <f t="shared" si="8"/>
        <v>0</v>
      </c>
      <c r="I33" s="1392">
        <f t="shared" si="8"/>
        <v>1829729.3123998416</v>
      </c>
      <c r="J33" s="1392">
        <f t="shared" si="8"/>
        <v>1435964.8672105689</v>
      </c>
      <c r="K33" s="1392">
        <f t="shared" si="8"/>
        <v>1526105.9944646182</v>
      </c>
      <c r="L33" s="1392">
        <f t="shared" si="8"/>
        <v>1616247.1217186691</v>
      </c>
      <c r="M33" s="1392">
        <f t="shared" si="8"/>
        <v>23914996.068698615</v>
      </c>
      <c r="N33" s="1392">
        <f t="shared" si="8"/>
        <v>0</v>
      </c>
      <c r="O33" s="1392">
        <f t="shared" si="8"/>
        <v>0</v>
      </c>
      <c r="P33" s="1392">
        <f t="shared" si="8"/>
        <v>0</v>
      </c>
      <c r="Q33" s="1392">
        <f t="shared" si="8"/>
        <v>0</v>
      </c>
      <c r="R33" s="1392">
        <f t="shared" si="8"/>
        <v>0</v>
      </c>
      <c r="S33" s="1392">
        <f t="shared" ref="S33" si="9">(-S30)+S31</f>
        <v>0</v>
      </c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2"/>
      <c r="BD33" s="32"/>
    </row>
    <row r="34" spans="1:56" s="2" customFormat="1" x14ac:dyDescent="0.25">
      <c r="A34" s="34"/>
      <c r="B34" s="34"/>
      <c r="C34" s="34" t="s">
        <v>661</v>
      </c>
      <c r="D34" s="1392"/>
      <c r="E34" s="1376">
        <f>E31/E30</f>
        <v>2.9061667163028235</v>
      </c>
      <c r="F34" s="1392"/>
      <c r="G34" s="1392"/>
      <c r="H34" s="1392"/>
      <c r="I34" s="1392"/>
      <c r="J34" s="1392"/>
      <c r="K34" s="1392"/>
      <c r="L34" s="1392"/>
      <c r="M34" s="1392"/>
      <c r="N34" s="1392"/>
      <c r="O34" s="1392"/>
      <c r="P34" s="1392"/>
      <c r="Q34" s="1392"/>
      <c r="R34" s="1392"/>
      <c r="S34" s="1392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2"/>
      <c r="BD34" s="32"/>
    </row>
    <row r="35" spans="1:56" s="2" customFormat="1" x14ac:dyDescent="0.25">
      <c r="A35" s="34"/>
      <c r="B35" s="34"/>
      <c r="C35" s="34"/>
      <c r="D35" s="1392"/>
      <c r="E35" s="1392"/>
      <c r="F35" s="1392"/>
      <c r="G35" s="1392"/>
      <c r="H35" s="1392"/>
      <c r="I35" s="1392"/>
      <c r="J35" s="1392"/>
      <c r="K35" s="1392"/>
      <c r="L35" s="1392"/>
      <c r="M35" s="1392"/>
      <c r="N35" s="1392"/>
      <c r="O35" s="1392"/>
      <c r="P35" s="1392"/>
      <c r="Q35" s="1392"/>
      <c r="R35" s="1392"/>
      <c r="S35" s="1392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2"/>
      <c r="BD35" s="32"/>
    </row>
    <row r="36" spans="1:56" s="2" customFormat="1" x14ac:dyDescent="0.25">
      <c r="A36" s="34"/>
      <c r="B36" s="34"/>
      <c r="C36" s="48" t="s">
        <v>662</v>
      </c>
      <c r="D36" s="1392"/>
      <c r="E36" s="1392"/>
      <c r="F36" s="1392"/>
      <c r="G36" s="1392"/>
      <c r="H36" s="1392"/>
      <c r="I36" s="1392"/>
      <c r="J36" s="1392"/>
      <c r="K36" s="1392"/>
      <c r="L36" s="1392"/>
      <c r="M36" s="1392"/>
      <c r="N36" s="1392"/>
      <c r="O36" s="1392"/>
      <c r="P36" s="1392"/>
      <c r="Q36" s="1392"/>
      <c r="R36" s="1392"/>
      <c r="S36" s="1392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2"/>
      <c r="BD36" s="32"/>
    </row>
    <row r="37" spans="1:56" s="2" customFormat="1" x14ac:dyDescent="0.25">
      <c r="A37" s="34"/>
      <c r="B37" s="34"/>
      <c r="C37" s="34" t="s">
        <v>589</v>
      </c>
      <c r="D37" s="1392"/>
      <c r="E37" s="1392">
        <f>IF(D17="IRR",SUM(G115:S115)-E38,SUM(G234:S234)-E38)</f>
        <v>1682413.6526448345</v>
      </c>
      <c r="F37" s="1392"/>
      <c r="G37" s="1392">
        <f>MIN($E37-SUM($F37:F37),G42)</f>
        <v>0</v>
      </c>
      <c r="H37" s="1392">
        <f>MIN($E37-SUM($F37:G37),H42)</f>
        <v>0</v>
      </c>
      <c r="I37" s="1392">
        <f>MIN($E37-SUM($F37:H37),I42)</f>
        <v>203303.25693331574</v>
      </c>
      <c r="J37" s="1392">
        <f>MIN($E37-SUM($F37:I37),J42)</f>
        <v>159551.65191228545</v>
      </c>
      <c r="K37" s="1392">
        <f>MIN($E37-SUM($F37:J37),K42)</f>
        <v>169567.33271829091</v>
      </c>
      <c r="L37" s="1392">
        <f>MIN($E37-SUM($F37:K37),L42)</f>
        <v>179583.01352429658</v>
      </c>
      <c r="M37" s="1392">
        <f>MIN($E37-SUM($F37:L37),M42)</f>
        <v>970408.3975566458</v>
      </c>
      <c r="N37" s="1392">
        <f>MIN($E37-SUM($F37:M37),N42)</f>
        <v>0</v>
      </c>
      <c r="O37" s="1392">
        <f>MIN($E37-SUM($F37:N37),O42)</f>
        <v>0</v>
      </c>
      <c r="P37" s="1392">
        <f>MIN($E37-SUM($F37:O37),P42)</f>
        <v>0</v>
      </c>
      <c r="Q37" s="1392">
        <f>MIN($E37-SUM($F37:P37),Q42)</f>
        <v>0</v>
      </c>
      <c r="R37" s="1392">
        <f>MIN($E37-SUM($F37:Q37),R42)</f>
        <v>0</v>
      </c>
      <c r="S37" s="1392">
        <f>MIN($E37-SUM($F37:R37),S42)</f>
        <v>0</v>
      </c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2"/>
      <c r="BD37" s="32"/>
    </row>
    <row r="38" spans="1:56" s="2" customFormat="1" x14ac:dyDescent="0.25">
      <c r="A38" s="34"/>
      <c r="B38" s="34"/>
      <c r="C38" s="34" t="s">
        <v>689</v>
      </c>
      <c r="D38" s="1392"/>
      <c r="E38" s="1392">
        <f>MIN(E41,E42)</f>
        <v>0</v>
      </c>
      <c r="F38" s="1392"/>
      <c r="G38" s="1392">
        <f>MIN($E38-SUM($F38:F38),G42-G37)</f>
        <v>0</v>
      </c>
      <c r="H38" s="1392">
        <f>MIN($E38-SUM($F38:G38),H42-H37)</f>
        <v>0</v>
      </c>
      <c r="I38" s="1392">
        <f>MIN($E38-SUM($F38:H38),I42-I37)</f>
        <v>0</v>
      </c>
      <c r="J38" s="1392">
        <f>MIN($E38-SUM($F38:I38),J42-J37)</f>
        <v>0</v>
      </c>
      <c r="K38" s="1392">
        <f>MIN($E38-SUM($F38:J38),K42-K37)</f>
        <v>0</v>
      </c>
      <c r="L38" s="1392">
        <f>MIN($E38-SUM($F38:K38),L42-L37)</f>
        <v>0</v>
      </c>
      <c r="M38" s="1392">
        <f>MIN($E38-SUM($F38:L38),M42-M37)</f>
        <v>0</v>
      </c>
      <c r="N38" s="1392">
        <f>MIN($E38-SUM($F38:M38),N42-N37)</f>
        <v>0</v>
      </c>
      <c r="O38" s="1392">
        <f>MIN($E38-SUM($F38:N38),O42-O37)</f>
        <v>0</v>
      </c>
      <c r="P38" s="1392">
        <f>MIN($E38-SUM($F38:O38),P42-P37)</f>
        <v>0</v>
      </c>
      <c r="Q38" s="1392">
        <f>MIN($E38-SUM($F38:P38),Q42-Q37)</f>
        <v>0</v>
      </c>
      <c r="R38" s="1392">
        <f>MIN($E38-SUM($F38:Q38),R42-R37)</f>
        <v>0</v>
      </c>
      <c r="S38" s="1392">
        <f>MIN($E38-SUM($F38:R38),S42-S37)</f>
        <v>0</v>
      </c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2"/>
      <c r="BD38" s="32"/>
    </row>
    <row r="39" spans="1:56" s="2" customFormat="1" x14ac:dyDescent="0.25">
      <c r="A39" s="34"/>
      <c r="B39" s="34"/>
      <c r="C39" s="34" t="s">
        <v>690</v>
      </c>
      <c r="D39" s="1392"/>
      <c r="E39" s="1392">
        <f>E42-E40-E38-E37</f>
        <v>6506280.210295205</v>
      </c>
      <c r="F39" s="1392"/>
      <c r="G39" s="1392">
        <f>G42-G40-G38-G37</f>
        <v>0</v>
      </c>
      <c r="H39" s="1392">
        <f t="shared" ref="H39:R39" si="10">H42-H40-H38-H37</f>
        <v>0</v>
      </c>
      <c r="I39" s="1392">
        <f t="shared" si="10"/>
        <v>0</v>
      </c>
      <c r="J39" s="1392">
        <f t="shared" si="10"/>
        <v>0</v>
      </c>
      <c r="K39" s="1392">
        <f t="shared" si="10"/>
        <v>0</v>
      </c>
      <c r="L39" s="1392">
        <f t="shared" si="10"/>
        <v>0</v>
      </c>
      <c r="M39" s="1392">
        <f t="shared" si="10"/>
        <v>6506280.210295205</v>
      </c>
      <c r="N39" s="1392">
        <f t="shared" si="10"/>
        <v>0</v>
      </c>
      <c r="O39" s="1392">
        <f t="shared" si="10"/>
        <v>0</v>
      </c>
      <c r="P39" s="1392">
        <f t="shared" si="10"/>
        <v>0</v>
      </c>
      <c r="Q39" s="1392">
        <f t="shared" si="10"/>
        <v>0</v>
      </c>
      <c r="R39" s="1392">
        <f t="shared" si="10"/>
        <v>0</v>
      </c>
      <c r="S39" s="1392">
        <f t="shared" ref="S39" si="11">S42-S40-S38-S37</f>
        <v>0</v>
      </c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2"/>
      <c r="BD39" s="32"/>
    </row>
    <row r="40" spans="1:56" s="2" customFormat="1" ht="17.25" x14ac:dyDescent="0.4">
      <c r="A40" s="34"/>
      <c r="B40" s="34"/>
      <c r="C40" s="34" t="s">
        <v>691</v>
      </c>
      <c r="D40" s="1392"/>
      <c r="E40" s="1409">
        <f>IF($D$9="$",E29/$E$12*$E$13,E29/$D$12*$D$13)</f>
        <v>0</v>
      </c>
      <c r="F40" s="1392"/>
      <c r="G40" s="1409">
        <f>IF($D$9="$",G29/$E$12*$E$13,G29/$D$12*$D$13)</f>
        <v>0</v>
      </c>
      <c r="H40" s="1409">
        <f t="shared" ref="H40:R40" si="12">IF($D$9="$",H29/$E$12*$E$13,H29/$D$12*$D$13)</f>
        <v>0</v>
      </c>
      <c r="I40" s="1409">
        <f t="shared" si="12"/>
        <v>0</v>
      </c>
      <c r="J40" s="1409">
        <f t="shared" si="12"/>
        <v>0</v>
      </c>
      <c r="K40" s="1409">
        <f t="shared" si="12"/>
        <v>0</v>
      </c>
      <c r="L40" s="1409">
        <f t="shared" si="12"/>
        <v>0</v>
      </c>
      <c r="M40" s="1409">
        <f t="shared" si="12"/>
        <v>0</v>
      </c>
      <c r="N40" s="1409">
        <f t="shared" si="12"/>
        <v>0</v>
      </c>
      <c r="O40" s="1409">
        <f t="shared" si="12"/>
        <v>0</v>
      </c>
      <c r="P40" s="1409">
        <f t="shared" si="12"/>
        <v>0</v>
      </c>
      <c r="Q40" s="1409">
        <f t="shared" si="12"/>
        <v>0</v>
      </c>
      <c r="R40" s="1409">
        <f t="shared" si="12"/>
        <v>0</v>
      </c>
      <c r="S40" s="1409">
        <f t="shared" ref="S40" si="13">IF($D$9="$",S29/$E$12*$E$13,S29/$D$12*$D$13)</f>
        <v>0</v>
      </c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2"/>
      <c r="BD40" s="32"/>
    </row>
    <row r="41" spans="1:56" s="2" customFormat="1" x14ac:dyDescent="0.25">
      <c r="A41" s="34"/>
      <c r="B41" s="34"/>
      <c r="C41" s="34" t="s">
        <v>664</v>
      </c>
      <c r="D41" s="1392"/>
      <c r="E41" s="1392">
        <f>SUM(G41:S41)</f>
        <v>0</v>
      </c>
      <c r="F41" s="1392"/>
      <c r="G41" s="1392">
        <f t="shared" ref="G41:S41" si="14">IF($D$17="IRR",G84,IF($D$17="EMx",G203))</f>
        <v>0</v>
      </c>
      <c r="H41" s="1392">
        <f t="shared" si="14"/>
        <v>0</v>
      </c>
      <c r="I41" s="1392">
        <f t="shared" si="14"/>
        <v>0</v>
      </c>
      <c r="J41" s="1392">
        <f t="shared" si="14"/>
        <v>0</v>
      </c>
      <c r="K41" s="1392">
        <f t="shared" si="14"/>
        <v>0</v>
      </c>
      <c r="L41" s="1392">
        <f t="shared" si="14"/>
        <v>0</v>
      </c>
      <c r="M41" s="1392">
        <f t="shared" si="14"/>
        <v>0</v>
      </c>
      <c r="N41" s="1392">
        <f t="shared" si="14"/>
        <v>0</v>
      </c>
      <c r="O41" s="1392">
        <f t="shared" si="14"/>
        <v>0</v>
      </c>
      <c r="P41" s="1392">
        <f t="shared" si="14"/>
        <v>0</v>
      </c>
      <c r="Q41" s="1392">
        <f t="shared" si="14"/>
        <v>0</v>
      </c>
      <c r="R41" s="1392">
        <f t="shared" si="14"/>
        <v>0</v>
      </c>
      <c r="S41" s="1392">
        <f t="shared" si="14"/>
        <v>0</v>
      </c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2"/>
      <c r="BD41" s="32"/>
    </row>
    <row r="42" spans="1:56" s="2" customFormat="1" x14ac:dyDescent="0.25">
      <c r="A42" s="34"/>
      <c r="B42" s="34"/>
      <c r="C42" s="34" t="s">
        <v>663</v>
      </c>
      <c r="D42" s="1392"/>
      <c r="E42" s="1392">
        <f>SUM(G42:S42)</f>
        <v>8188693.8629400395</v>
      </c>
      <c r="F42" s="1392"/>
      <c r="G42" s="1392">
        <f t="shared" ref="G42:S42" si="15">IF($D$17="IRR",G82,IF($D$17="EMx",G201))</f>
        <v>0</v>
      </c>
      <c r="H42" s="1392">
        <f t="shared" si="15"/>
        <v>0</v>
      </c>
      <c r="I42" s="1392">
        <f t="shared" si="15"/>
        <v>203303.25693331574</v>
      </c>
      <c r="J42" s="1392">
        <f t="shared" si="15"/>
        <v>159551.65191228545</v>
      </c>
      <c r="K42" s="1392">
        <f t="shared" si="15"/>
        <v>169567.33271829091</v>
      </c>
      <c r="L42" s="1392">
        <f t="shared" si="15"/>
        <v>179583.01352429658</v>
      </c>
      <c r="M42" s="1392">
        <f t="shared" si="15"/>
        <v>7476688.6078518508</v>
      </c>
      <c r="N42" s="1392">
        <f t="shared" si="15"/>
        <v>0</v>
      </c>
      <c r="O42" s="1392">
        <f t="shared" si="15"/>
        <v>0</v>
      </c>
      <c r="P42" s="1392">
        <f t="shared" si="15"/>
        <v>0</v>
      </c>
      <c r="Q42" s="1392">
        <f t="shared" si="15"/>
        <v>0</v>
      </c>
      <c r="R42" s="1392">
        <f t="shared" si="15"/>
        <v>0</v>
      </c>
      <c r="S42" s="1392">
        <f t="shared" si="15"/>
        <v>0</v>
      </c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2"/>
      <c r="BD42" s="32"/>
    </row>
    <row r="43" spans="1:56" s="2" customFormat="1" x14ac:dyDescent="0.25">
      <c r="A43" s="34"/>
      <c r="B43" s="34"/>
      <c r="C43" s="34" t="s">
        <v>686</v>
      </c>
      <c r="D43" s="1392"/>
      <c r="E43" s="1392">
        <f>SUM(G43:S43)</f>
        <v>0</v>
      </c>
      <c r="F43" s="1392"/>
      <c r="G43" s="1392">
        <f t="shared" ref="G43:R43" si="16">SUM(G51:G52)</f>
        <v>0</v>
      </c>
      <c r="H43" s="1392">
        <f t="shared" si="16"/>
        <v>0</v>
      </c>
      <c r="I43" s="1392">
        <f t="shared" si="16"/>
        <v>0</v>
      </c>
      <c r="J43" s="1392">
        <f t="shared" si="16"/>
        <v>0</v>
      </c>
      <c r="K43" s="1392">
        <f t="shared" si="16"/>
        <v>0</v>
      </c>
      <c r="L43" s="1392">
        <f t="shared" si="16"/>
        <v>0</v>
      </c>
      <c r="M43" s="1392">
        <f t="shared" si="16"/>
        <v>0</v>
      </c>
      <c r="N43" s="1392">
        <f t="shared" si="16"/>
        <v>0</v>
      </c>
      <c r="O43" s="1392">
        <f t="shared" si="16"/>
        <v>0</v>
      </c>
      <c r="P43" s="1392">
        <f t="shared" si="16"/>
        <v>0</v>
      </c>
      <c r="Q43" s="1392">
        <f t="shared" si="16"/>
        <v>0</v>
      </c>
      <c r="R43" s="1392">
        <f t="shared" si="16"/>
        <v>0</v>
      </c>
      <c r="S43" s="1392">
        <f t="shared" ref="S43" si="17">SUM(S51:S52)</f>
        <v>0</v>
      </c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2"/>
      <c r="BD43" s="32"/>
    </row>
    <row r="44" spans="1:56" s="2" customFormat="1" x14ac:dyDescent="0.25">
      <c r="A44" s="34"/>
      <c r="B44" s="34"/>
      <c r="C44" s="34" t="s">
        <v>665</v>
      </c>
      <c r="D44" s="1392"/>
      <c r="E44" s="1377">
        <f>E42-E41</f>
        <v>8188693.8629400395</v>
      </c>
      <c r="F44" s="1392"/>
      <c r="G44" s="1392"/>
      <c r="H44" s="1392"/>
      <c r="I44" s="1392"/>
      <c r="J44" s="1392"/>
      <c r="K44" s="1392"/>
      <c r="L44" s="1392"/>
      <c r="M44" s="1392"/>
      <c r="N44" s="1392"/>
      <c r="O44" s="1392"/>
      <c r="P44" s="1392"/>
      <c r="Q44" s="1392"/>
      <c r="R44" s="1392"/>
      <c r="S44" s="1392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2"/>
      <c r="BD44" s="32"/>
    </row>
    <row r="45" spans="1:56" s="2" customFormat="1" x14ac:dyDescent="0.25">
      <c r="A45" s="34"/>
      <c r="B45" s="34"/>
      <c r="C45" s="34" t="s">
        <v>666</v>
      </c>
      <c r="D45" s="1392"/>
      <c r="E45" s="1375" t="str">
        <f>IFERROR(IRR(G45:S45),"N/A")</f>
        <v>N/A</v>
      </c>
      <c r="F45" s="1392"/>
      <c r="G45" s="1392">
        <f>(-G41)+G42+G43</f>
        <v>0</v>
      </c>
      <c r="H45" s="1392">
        <f t="shared" ref="H45:R45" si="18">(-H41)+H42+H43</f>
        <v>0</v>
      </c>
      <c r="I45" s="1392">
        <f t="shared" si="18"/>
        <v>203303.25693331574</v>
      </c>
      <c r="J45" s="1392">
        <f t="shared" si="18"/>
        <v>159551.65191228545</v>
      </c>
      <c r="K45" s="1392">
        <f t="shared" si="18"/>
        <v>169567.33271829091</v>
      </c>
      <c r="L45" s="1392">
        <f t="shared" si="18"/>
        <v>179583.01352429658</v>
      </c>
      <c r="M45" s="1392">
        <f t="shared" si="18"/>
        <v>7476688.6078518508</v>
      </c>
      <c r="N45" s="1392">
        <f t="shared" si="18"/>
        <v>0</v>
      </c>
      <c r="O45" s="1392">
        <f t="shared" si="18"/>
        <v>0</v>
      </c>
      <c r="P45" s="1392">
        <f t="shared" si="18"/>
        <v>0</v>
      </c>
      <c r="Q45" s="1392">
        <f t="shared" si="18"/>
        <v>0</v>
      </c>
      <c r="R45" s="1392">
        <f t="shared" si="18"/>
        <v>0</v>
      </c>
      <c r="S45" s="1392">
        <f t="shared" ref="S45" si="19">(-S41)+S42+S43</f>
        <v>0</v>
      </c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2"/>
      <c r="BD45" s="32"/>
    </row>
    <row r="46" spans="1:56" s="2" customFormat="1" x14ac:dyDescent="0.25">
      <c r="A46" s="34"/>
      <c r="B46" s="34"/>
      <c r="C46" s="34" t="s">
        <v>667</v>
      </c>
      <c r="D46" s="1392"/>
      <c r="E46" s="1376" t="str">
        <f>IFERROR((E42+E43)/E41,"N/A")</f>
        <v>N/A</v>
      </c>
      <c r="F46" s="1392"/>
      <c r="G46" s="1392"/>
      <c r="H46" s="1392"/>
      <c r="I46" s="1392"/>
      <c r="J46" s="1392"/>
      <c r="K46" s="1392"/>
      <c r="L46" s="1392"/>
      <c r="M46" s="1392"/>
      <c r="N46" s="1392"/>
      <c r="O46" s="1392"/>
      <c r="P46" s="1392"/>
      <c r="Q46" s="1392"/>
      <c r="R46" s="1392"/>
      <c r="S46" s="1392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2"/>
      <c r="BD46" s="32"/>
    </row>
    <row r="47" spans="1:56" s="2" customFormat="1" x14ac:dyDescent="0.25">
      <c r="A47" s="34"/>
      <c r="B47" s="34"/>
      <c r="C47" s="34"/>
      <c r="D47" s="1392"/>
      <c r="E47" s="1392"/>
      <c r="F47" s="1392"/>
      <c r="G47" s="1392"/>
      <c r="H47" s="1392"/>
      <c r="I47" s="1392"/>
      <c r="J47" s="1392"/>
      <c r="K47" s="1392"/>
      <c r="L47" s="1392"/>
      <c r="M47" s="1392"/>
      <c r="N47" s="1392"/>
      <c r="O47" s="1392"/>
      <c r="P47" s="1392"/>
      <c r="Q47" s="1392"/>
      <c r="R47" s="1392"/>
      <c r="S47" s="1392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2"/>
      <c r="BD47" s="32"/>
    </row>
    <row r="48" spans="1:56" x14ac:dyDescent="0.25">
      <c r="A48" s="34"/>
      <c r="B48" s="34"/>
      <c r="C48" s="1382" t="s">
        <v>668</v>
      </c>
      <c r="D48" s="1259"/>
      <c r="E48" s="1259"/>
      <c r="F48" s="1259"/>
      <c r="G48" s="1229">
        <f>'Financing Assumptions'!L23</f>
        <v>2026</v>
      </c>
      <c r="H48" s="1229">
        <f>G48+1</f>
        <v>2027</v>
      </c>
      <c r="I48" s="1229">
        <f t="shared" ref="I48:S48" si="20">H48+1</f>
        <v>2028</v>
      </c>
      <c r="J48" s="1229">
        <f t="shared" si="20"/>
        <v>2029</v>
      </c>
      <c r="K48" s="1229">
        <f t="shared" si="20"/>
        <v>2030</v>
      </c>
      <c r="L48" s="1229">
        <f t="shared" si="20"/>
        <v>2031</v>
      </c>
      <c r="M48" s="1229">
        <f t="shared" si="20"/>
        <v>2032</v>
      </c>
      <c r="N48" s="1229">
        <f t="shared" si="20"/>
        <v>2033</v>
      </c>
      <c r="O48" s="1229">
        <f t="shared" si="20"/>
        <v>2034</v>
      </c>
      <c r="P48" s="1229">
        <f t="shared" si="20"/>
        <v>2035</v>
      </c>
      <c r="Q48" s="1229">
        <f t="shared" si="20"/>
        <v>2036</v>
      </c>
      <c r="R48" s="1229">
        <f t="shared" si="20"/>
        <v>2037</v>
      </c>
      <c r="S48" s="1229">
        <f t="shared" si="20"/>
        <v>2038</v>
      </c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2"/>
      <c r="BD48" s="31"/>
    </row>
    <row r="49" spans="1:56" x14ac:dyDescent="0.25">
      <c r="A49" s="34"/>
      <c r="B49" s="34"/>
      <c r="C49" s="1259"/>
      <c r="D49" s="1259"/>
      <c r="E49" s="1259"/>
      <c r="F49" s="1259"/>
      <c r="G49" s="1384">
        <v>0</v>
      </c>
      <c r="H49" s="1385">
        <f>IF(H48&lt;MIN('Operating Proforma'!$G$9:$S$9),0,INDEX('Operating Assumptions'!$P$7:$AA$8,MATCH('Operating Assumptions'!$P$8,'Operating Assumptions'!$P$7:$P$8,0),MATCH(H$48,'Operating Assumptions'!$P$7:$AA$7,0)))</f>
        <v>0.1</v>
      </c>
      <c r="I49" s="1385">
        <f>IF(I48&lt;MIN('Operating Proforma'!$G$9:$S$9),0,INDEX('Operating Assumptions'!$P$7:$AA$8,MATCH('Operating Assumptions'!$P$8,'Operating Assumptions'!$P$7:$P$8,0),MATCH(I$48,'Operating Assumptions'!$P$7:$AA$7,0)))</f>
        <v>1</v>
      </c>
      <c r="J49" s="1385">
        <f>IF(J48&lt;MIN('Operating Proforma'!$G$9:$S$9),0,INDEX('Operating Assumptions'!$P$7:$AA$8,MATCH('Operating Assumptions'!$P$8,'Operating Assumptions'!$P$7:$P$8,0),MATCH(J$48,'Operating Assumptions'!$P$7:$AA$7,0)))</f>
        <v>2</v>
      </c>
      <c r="K49" s="1385">
        <f>IF(K48&lt;MIN('Operating Proforma'!$G$9:$S$9),0,INDEX('Operating Assumptions'!$P$7:$AA$8,MATCH('Operating Assumptions'!$P$8,'Operating Assumptions'!$P$7:$P$8,0),MATCH(K$48,'Operating Assumptions'!$P$7:$AA$7,0)))</f>
        <v>3</v>
      </c>
      <c r="L49" s="1385">
        <f>IF(L48&lt;MIN('Operating Proforma'!$G$9:$S$9),0,INDEX('Operating Assumptions'!$P$7:$AA$8,MATCH('Operating Assumptions'!$P$8,'Operating Assumptions'!$P$7:$P$8,0),MATCH(L$48,'Operating Assumptions'!$P$7:$AA$7,0)))</f>
        <v>4</v>
      </c>
      <c r="M49" s="1385">
        <f>IF(M48&lt;MIN('Operating Proforma'!$G$9:$S$9),0,INDEX('Operating Assumptions'!$P$7:$AA$8,MATCH('Operating Assumptions'!$P$8,'Operating Assumptions'!$P$7:$P$8,0),MATCH(M$48,'Operating Assumptions'!$P$7:$AA$7,0)))</f>
        <v>5</v>
      </c>
      <c r="N49" s="1385">
        <f>IF(N48&lt;MIN('Operating Proforma'!$G$9:$S$9),0,INDEX('Operating Assumptions'!$P$7:$AA$8,MATCH('Operating Assumptions'!$P$8,'Operating Assumptions'!$P$7:$P$8,0),MATCH(N$48,'Operating Assumptions'!$P$7:$AA$7,0)))</f>
        <v>6</v>
      </c>
      <c r="O49" s="1385">
        <f>IF(O48&lt;MIN('Operating Proforma'!$G$9:$S$9),0,INDEX('Operating Assumptions'!$P$7:$AA$8,MATCH('Operating Assumptions'!$P$8,'Operating Assumptions'!$P$7:$P$8,0),MATCH(O$48,'Operating Assumptions'!$P$7:$AA$7,0)))</f>
        <v>7</v>
      </c>
      <c r="P49" s="1385">
        <f>IF(P48&lt;MIN('Operating Proforma'!$G$9:$S$9),0,INDEX('Operating Assumptions'!$P$7:$AA$8,MATCH('Operating Assumptions'!$P$8,'Operating Assumptions'!$P$7:$P$8,0),MATCH(P$48,'Operating Assumptions'!$P$7:$AA$7,0)))</f>
        <v>8</v>
      </c>
      <c r="Q49" s="1385">
        <f>IF(Q48&lt;MIN('Operating Proforma'!$G$9:$S$9),0,INDEX('Operating Assumptions'!$P$7:$AA$8,MATCH('Operating Assumptions'!$P$8,'Operating Assumptions'!$P$7:$P$8,0),MATCH(Q$48,'Operating Assumptions'!$P$7:$AA$7,0)))</f>
        <v>9</v>
      </c>
      <c r="R49" s="1385">
        <f>IF(R48&lt;MIN('Operating Proforma'!$G$9:$S$9),0,INDEX('Operating Assumptions'!$P$7:$AA$8,MATCH('Operating Assumptions'!$P$8,'Operating Assumptions'!$P$7:$P$8,0),MATCH(R$48,'Operating Assumptions'!$P$7:$AA$7,0)))</f>
        <v>10</v>
      </c>
      <c r="S49" s="1385" t="e">
        <f>IF(S48&lt;MIN('Operating Proforma'!$G$9:$S$9),0,INDEX('Operating Assumptions'!$P$7:$AA$8,MATCH('Operating Assumptions'!$P$8,'Operating Assumptions'!$P$7:$P$8,0),MATCH(S$48,'Operating Assumptions'!$P$7:$AA$7,0)))</f>
        <v>#N/A</v>
      </c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2"/>
      <c r="BD49" s="31"/>
    </row>
    <row r="50" spans="1:56" s="2" customFormat="1" x14ac:dyDescent="0.25">
      <c r="A50" s="34"/>
      <c r="B50" s="34"/>
      <c r="C50" s="34" t="s">
        <v>680</v>
      </c>
      <c r="D50" s="34"/>
      <c r="E50" s="34"/>
      <c r="F50" s="34"/>
      <c r="G50" s="1391">
        <f>-IF($D$9="$",$D$14,$E$14)</f>
        <v>-10434034.356800005</v>
      </c>
      <c r="H50" s="1391">
        <f>IF(H48&lt;'Sale - Refinance'!$H$5,0,IF(H48&lt;'Sale - Refinance'!$E$11,INDEX('Sale - Refinance'!$G$5:$R$21,MATCH('Sale - Refinance'!$G$18,'Sale - Refinance'!$G$5:$G$21,0),MATCH(H48,'Sale - Refinance'!$G$5:$R$5,0)),IF('Sale - Refinance'!$E$11=H48,INDEX('Sale - Refinance'!$G$5:$R$21,MATCH('Sale - Refinance'!$G$21,'Sale - Refinance'!$G$5:$G$21,0),MATCH(H48,'Sale - Refinance'!$G$5:$R$5,0)),IF(H48&gt;'Sale - Refinance'!$E$11,0))))</f>
        <v>0</v>
      </c>
      <c r="I50" s="1391">
        <f>IF(I48&lt;'Sale - Refinance'!$H$5,0,IF(I48&lt;'Sale - Refinance'!$E$11,INDEX('Sale - Refinance'!$G$5:$R$21,MATCH('Sale - Refinance'!$G$18,'Sale - Refinance'!$G$5:$G$21,0),MATCH(I48,'Sale - Refinance'!$G$5:$R$5,0)),IF('Sale - Refinance'!$E$11=I48,INDEX('Sale - Refinance'!$G$5:$R$21,MATCH('Sale - Refinance'!$G$21,'Sale - Refinance'!$G$5:$G$21,0),MATCH(I48,'Sale - Refinance'!$G$5:$R$5,0)),IF(I48&gt;'Sale - Refinance'!$E$11,0))))</f>
        <v>2033032.5693331573</v>
      </c>
      <c r="J50" s="1391">
        <f>IF(J48&lt;'Sale - Refinance'!$H$5,0,IF(J48&lt;'Sale - Refinance'!$E$11,INDEX('Sale - Refinance'!$G$5:$R$21,MATCH('Sale - Refinance'!$G$18,'Sale - Refinance'!$G$5:$G$21,0),MATCH(J48,'Sale - Refinance'!$G$5:$R$5,0)),IF('Sale - Refinance'!$E$11=J48,INDEX('Sale - Refinance'!$G$5:$R$21,MATCH('Sale - Refinance'!$G$21,'Sale - Refinance'!$G$5:$G$21,0),MATCH(J48,'Sale - Refinance'!$G$5:$R$5,0)),IF(J48&gt;'Sale - Refinance'!$E$11,0))))</f>
        <v>1595516.5191228543</v>
      </c>
      <c r="K50" s="1391">
        <f>IF(K48&lt;'Sale - Refinance'!$H$5,0,IF(K48&lt;'Sale - Refinance'!$E$11,INDEX('Sale - Refinance'!$G$5:$R$21,MATCH('Sale - Refinance'!$G$18,'Sale - Refinance'!$G$5:$G$21,0),MATCH(K48,'Sale - Refinance'!$G$5:$R$5,0)),IF('Sale - Refinance'!$E$11=K48,INDEX('Sale - Refinance'!$G$5:$R$21,MATCH('Sale - Refinance'!$G$21,'Sale - Refinance'!$G$5:$G$21,0),MATCH(K48,'Sale - Refinance'!$G$5:$R$5,0)),IF(K48&gt;'Sale - Refinance'!$E$11,0))))</f>
        <v>1695673.327182909</v>
      </c>
      <c r="L50" s="1391">
        <f>IF(L48&lt;'Sale - Refinance'!$H$5,0,IF(L48&lt;'Sale - Refinance'!$E$11,INDEX('Sale - Refinance'!$G$5:$R$21,MATCH('Sale - Refinance'!$G$18,'Sale - Refinance'!$G$5:$G$21,0),MATCH(L48,'Sale - Refinance'!$G$5:$R$5,0)),IF('Sale - Refinance'!$E$11=L48,INDEX('Sale - Refinance'!$G$5:$R$21,MATCH('Sale - Refinance'!$G$21,'Sale - Refinance'!$G$5:$G$21,0),MATCH(L48,'Sale - Refinance'!$G$5:$R$5,0)),IF(L48&gt;'Sale - Refinance'!$E$11,0))))</f>
        <v>1795830.1352429655</v>
      </c>
      <c r="M50" s="1391">
        <f>IF(M48&lt;'Sale - Refinance'!$H$5,0,IF(M48&lt;'Sale - Refinance'!$E$11,INDEX('Sale - Refinance'!$G$5:$R$21,MATCH('Sale - Refinance'!$G$18,'Sale - Refinance'!$G$5:$G$21,0),MATCH(M48,'Sale - Refinance'!$G$5:$R$5,0)),IF('Sale - Refinance'!$E$11=M48,INDEX('Sale - Refinance'!$G$5:$R$21,MATCH('Sale - Refinance'!$G$21,'Sale - Refinance'!$G$5:$G$21,0),MATCH(M48,'Sale - Refinance'!$G$5:$R$5,0)),IF(M48&gt;'Sale - Refinance'!$E$11,0))))</f>
        <v>31391684.676550463</v>
      </c>
      <c r="N50" s="1391">
        <f>IF(N48&lt;'Sale - Refinance'!$H$5,0,IF(N48&lt;'Sale - Refinance'!$E$11,INDEX('Sale - Refinance'!$G$5:$R$21,MATCH('Sale - Refinance'!$G$18,'Sale - Refinance'!$G$5:$G$21,0),MATCH(N48,'Sale - Refinance'!$G$5:$R$5,0)),IF('Sale - Refinance'!$E$11=N48,INDEX('Sale - Refinance'!$G$5:$R$21,MATCH('Sale - Refinance'!$G$21,'Sale - Refinance'!$G$5:$G$21,0),MATCH(N48,'Sale - Refinance'!$G$5:$R$5,0)),IF(N48&gt;'Sale - Refinance'!$E$11,0))))</f>
        <v>0</v>
      </c>
      <c r="O50" s="1391">
        <f>IF(O48&lt;'Sale - Refinance'!$H$5,0,IF(O48&lt;'Sale - Refinance'!$E$11,INDEX('Sale - Refinance'!$G$5:$R$21,MATCH('Sale - Refinance'!$G$18,'Sale - Refinance'!$G$5:$G$21,0),MATCH(O48,'Sale - Refinance'!$G$5:$R$5,0)),IF('Sale - Refinance'!$E$11=O48,INDEX('Sale - Refinance'!$G$5:$R$21,MATCH('Sale - Refinance'!$G$21,'Sale - Refinance'!$G$5:$G$21,0),MATCH(O48,'Sale - Refinance'!$G$5:$R$5,0)),IF(O48&gt;'Sale - Refinance'!$E$11,0))))</f>
        <v>0</v>
      </c>
      <c r="P50" s="1391">
        <f>IF(P48&lt;'Sale - Refinance'!$H$5,0,IF(P48&lt;'Sale - Refinance'!$E$11,INDEX('Sale - Refinance'!$G$5:$R$21,MATCH('Sale - Refinance'!$G$18,'Sale - Refinance'!$G$5:$G$21,0),MATCH(P48,'Sale - Refinance'!$G$5:$R$5,0)),IF('Sale - Refinance'!$E$11=P48,INDEX('Sale - Refinance'!$G$5:$R$21,MATCH('Sale - Refinance'!$G$21,'Sale - Refinance'!$G$5:$G$21,0),MATCH(P48,'Sale - Refinance'!$G$5:$R$5,0)),IF(P48&gt;'Sale - Refinance'!$E$11,0))))</f>
        <v>0</v>
      </c>
      <c r="Q50" s="1391">
        <f>IF(Q48&lt;'Sale - Refinance'!$H$5,0,IF(Q48&lt;'Sale - Refinance'!$E$11,INDEX('Sale - Refinance'!$G$5:$R$21,MATCH('Sale - Refinance'!$G$18,'Sale - Refinance'!$G$5:$G$21,0),MATCH(Q48,'Sale - Refinance'!$G$5:$R$5,0)),IF('Sale - Refinance'!$E$11=Q48,INDEX('Sale - Refinance'!$G$5:$R$21,MATCH('Sale - Refinance'!$G$21,'Sale - Refinance'!$G$5:$G$21,0),MATCH(Q48,'Sale - Refinance'!$G$5:$R$5,0)),IF(Q48&gt;'Sale - Refinance'!$E$11,0))))</f>
        <v>0</v>
      </c>
      <c r="R50" s="1391">
        <f>IF(R48&lt;'Sale - Refinance'!$H$5,0,IF(R48&lt;'Sale - Refinance'!$E$11,INDEX('Sale - Refinance'!$G$5:$R$21,MATCH('Sale - Refinance'!$G$18,'Sale - Refinance'!$G$5:$G$21,0),MATCH(R48,'Sale - Refinance'!$G$5:$R$5,0)),IF('Sale - Refinance'!$E$11=R48,INDEX('Sale - Refinance'!$G$5:$R$21,MATCH('Sale - Refinance'!$G$21,'Sale - Refinance'!$G$5:$G$21,0),MATCH(R48,'Sale - Refinance'!$G$5:$R$5,0)),IF(R48&gt;'Sale - Refinance'!$E$11,0))))</f>
        <v>0</v>
      </c>
      <c r="S50" s="1391">
        <f>IF(S48&lt;'Sale - Refinance'!$H$5,0,IF(S48&lt;'Sale - Refinance'!$E$11,INDEX('Sale - Refinance'!$G$5:$R$21,MATCH('Sale - Refinance'!$G$18,'Sale - Refinance'!$G$5:$G$21,0),MATCH(S48,'Sale - Refinance'!$G$5:$R$5,0)),IF('Sale - Refinance'!$E$11=S48,INDEX('Sale - Refinance'!$G$5:$R$21,MATCH('Sale - Refinance'!$G$21,'Sale - Refinance'!$G$5:$G$21,0),MATCH(S48,'Sale - Refinance'!$G$5:$R$5,0)),IF(S48&gt;'Sale - Refinance'!$E$11,0))))</f>
        <v>0</v>
      </c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2"/>
      <c r="BD50" s="32"/>
    </row>
    <row r="51" spans="1:56" s="2" customFormat="1" x14ac:dyDescent="0.25">
      <c r="A51" s="34"/>
      <c r="B51" s="34"/>
      <c r="C51" s="77" t="s">
        <v>681</v>
      </c>
      <c r="D51" s="34"/>
      <c r="E51" s="34"/>
      <c r="F51" s="34"/>
      <c r="G51" s="1391"/>
      <c r="H51" s="1391"/>
      <c r="I51" s="1391"/>
      <c r="J51" s="1391"/>
      <c r="K51" s="1391"/>
      <c r="L51" s="1391"/>
      <c r="M51" s="1391"/>
      <c r="N51" s="1391"/>
      <c r="O51" s="1391"/>
      <c r="P51" s="1391"/>
      <c r="Q51" s="1391"/>
      <c r="R51" s="1391"/>
      <c r="S51" s="1391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2"/>
      <c r="BD51" s="32"/>
    </row>
    <row r="52" spans="1:56" s="2" customFormat="1" x14ac:dyDescent="0.25">
      <c r="A52" s="34"/>
      <c r="B52" s="34"/>
      <c r="C52" s="77" t="s">
        <v>590</v>
      </c>
      <c r="D52" s="34"/>
      <c r="E52" s="34"/>
      <c r="F52" s="34"/>
      <c r="G52" s="1391"/>
      <c r="H52" s="1391"/>
      <c r="I52" s="1391"/>
      <c r="J52" s="1391"/>
      <c r="K52" s="1391"/>
      <c r="L52" s="1391"/>
      <c r="M52" s="1391"/>
      <c r="N52" s="1391"/>
      <c r="O52" s="1391"/>
      <c r="P52" s="1391"/>
      <c r="Q52" s="1391"/>
      <c r="R52" s="1391"/>
      <c r="S52" s="1391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2"/>
      <c r="BD52" s="32"/>
    </row>
    <row r="53" spans="1:56" s="2" customFormat="1" x14ac:dyDescent="0.25">
      <c r="A53" s="34"/>
      <c r="B53" s="34"/>
      <c r="C53" s="34" t="s">
        <v>682</v>
      </c>
      <c r="D53" s="34"/>
      <c r="E53" s="34"/>
      <c r="F53" s="34"/>
      <c r="G53" s="1391">
        <f>G50-G51-G52</f>
        <v>-10434034.356800005</v>
      </c>
      <c r="H53" s="1391">
        <f t="shared" ref="H53:R53" si="21">H50-H51-H52</f>
        <v>0</v>
      </c>
      <c r="I53" s="1391">
        <f t="shared" si="21"/>
        <v>2033032.5693331573</v>
      </c>
      <c r="J53" s="1391">
        <f t="shared" si="21"/>
        <v>1595516.5191228543</v>
      </c>
      <c r="K53" s="1391">
        <f t="shared" si="21"/>
        <v>1695673.327182909</v>
      </c>
      <c r="L53" s="1391">
        <f t="shared" si="21"/>
        <v>1795830.1352429655</v>
      </c>
      <c r="M53" s="1391">
        <f t="shared" si="21"/>
        <v>31391684.676550463</v>
      </c>
      <c r="N53" s="1391">
        <f t="shared" si="21"/>
        <v>0</v>
      </c>
      <c r="O53" s="1391">
        <f t="shared" si="21"/>
        <v>0</v>
      </c>
      <c r="P53" s="1391">
        <f t="shared" si="21"/>
        <v>0</v>
      </c>
      <c r="Q53" s="1391">
        <f t="shared" si="21"/>
        <v>0</v>
      </c>
      <c r="R53" s="1391">
        <f t="shared" si="21"/>
        <v>0</v>
      </c>
      <c r="S53" s="1391">
        <f t="shared" ref="S53" si="22">S50-S51-S52</f>
        <v>0</v>
      </c>
      <c r="T53" s="827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2"/>
      <c r="BD53" s="32"/>
    </row>
    <row r="54" spans="1:56" s="2" customFormat="1" x14ac:dyDescent="0.25">
      <c r="A54" s="34"/>
      <c r="B54" s="34"/>
      <c r="C54" s="34"/>
      <c r="D54" s="34"/>
      <c r="E54" s="34"/>
      <c r="F54" s="34"/>
      <c r="G54" s="1391"/>
      <c r="H54" s="1391"/>
      <c r="I54" s="1391"/>
      <c r="J54" s="1391"/>
      <c r="K54" s="1391"/>
      <c r="L54" s="1391"/>
      <c r="M54" s="1391"/>
      <c r="N54" s="1391"/>
      <c r="O54" s="1391"/>
      <c r="P54" s="1391"/>
      <c r="Q54" s="1391"/>
      <c r="R54" s="1391"/>
      <c r="S54" s="1391"/>
      <c r="T54" s="827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2"/>
      <c r="BD54" s="32"/>
    </row>
    <row r="55" spans="1:56" s="2" customFormat="1" x14ac:dyDescent="0.25">
      <c r="A55" s="34"/>
      <c r="B55" s="34"/>
      <c r="C55" s="34" t="s">
        <v>685</v>
      </c>
      <c r="D55" s="34"/>
      <c r="E55" s="1412">
        <f>SUM(G53:S53)</f>
        <v>28077702.870632343</v>
      </c>
      <c r="G55" s="1392"/>
      <c r="H55" s="1392"/>
      <c r="I55" s="1392"/>
      <c r="J55" s="1392"/>
      <c r="K55" s="1392"/>
      <c r="L55" s="1392"/>
      <c r="M55" s="1392"/>
      <c r="N55" s="1392"/>
      <c r="O55" s="1392"/>
      <c r="P55" s="1392"/>
      <c r="Q55" s="1392"/>
      <c r="R55" s="1392"/>
      <c r="S55" s="1392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2"/>
      <c r="BD55" s="32"/>
    </row>
    <row r="56" spans="1:56" s="2" customFormat="1" x14ac:dyDescent="0.25">
      <c r="A56" s="34"/>
      <c r="B56" s="34"/>
      <c r="C56" s="34" t="s">
        <v>683</v>
      </c>
      <c r="D56" s="34"/>
      <c r="E56" s="1375">
        <f>IRR(G53:S53)</f>
        <v>0.27662161079383574</v>
      </c>
      <c r="G56" s="1411"/>
      <c r="H56" s="1392"/>
      <c r="I56" s="1392"/>
      <c r="J56" s="1392"/>
      <c r="K56" s="1392"/>
      <c r="L56" s="1392"/>
      <c r="M56" s="1392"/>
      <c r="N56" s="1392"/>
      <c r="O56" s="1392"/>
      <c r="P56" s="1392"/>
      <c r="Q56" s="1392"/>
      <c r="R56" s="1392"/>
      <c r="S56" s="1392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2"/>
      <c r="BD56" s="32"/>
    </row>
    <row r="57" spans="1:56" s="2" customFormat="1" x14ac:dyDescent="0.25">
      <c r="A57" s="34"/>
      <c r="B57" s="34"/>
      <c r="C57" s="34" t="s">
        <v>684</v>
      </c>
      <c r="D57" s="34"/>
      <c r="E57" s="1376">
        <f>SUMIF(G53:S53,"&gt;0")/-SUMIF(G53:S53,"&lt;0")</f>
        <v>3.690972821297422</v>
      </c>
      <c r="G57" s="1411"/>
      <c r="H57" s="1392"/>
      <c r="I57" s="1392"/>
      <c r="J57" s="1392"/>
      <c r="K57" s="1392"/>
      <c r="L57" s="1392"/>
      <c r="M57" s="1392"/>
      <c r="N57" s="1392"/>
      <c r="O57" s="1392"/>
      <c r="P57" s="1392"/>
      <c r="Q57" s="1392"/>
      <c r="R57" s="1392"/>
      <c r="S57" s="1392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2"/>
      <c r="BD57" s="32"/>
    </row>
    <row r="58" spans="1:56" s="2" customFormat="1" x14ac:dyDescent="0.25">
      <c r="A58" s="34"/>
      <c r="B58" s="34"/>
      <c r="C58" s="34"/>
      <c r="D58" s="34"/>
      <c r="E58" s="34"/>
      <c r="F58" s="800"/>
      <c r="G58" s="1392"/>
      <c r="H58" s="1392"/>
      <c r="I58" s="1392"/>
      <c r="J58" s="1392"/>
      <c r="K58" s="1392"/>
      <c r="L58" s="1392"/>
      <c r="M58" s="1392"/>
      <c r="N58" s="1392"/>
      <c r="O58" s="1392"/>
      <c r="P58" s="1392"/>
      <c r="Q58" s="1392"/>
      <c r="R58" s="1392"/>
      <c r="S58" s="1392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2"/>
      <c r="BD58" s="32"/>
    </row>
    <row r="59" spans="1:56" x14ac:dyDescent="0.25">
      <c r="A59" s="34"/>
      <c r="B59" s="34"/>
      <c r="C59" s="514"/>
      <c r="D59" s="514"/>
      <c r="E59" s="514"/>
      <c r="F59" s="514"/>
      <c r="G59" s="514"/>
      <c r="H59" s="514"/>
      <c r="I59" s="514"/>
      <c r="J59" s="514"/>
      <c r="K59" s="514"/>
      <c r="L59" s="514"/>
      <c r="M59" s="514"/>
      <c r="N59" s="514"/>
      <c r="O59" s="514"/>
      <c r="P59" s="514"/>
      <c r="Q59" s="514"/>
      <c r="R59" s="514"/>
      <c r="S59" s="51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2"/>
      <c r="BD59" s="31"/>
    </row>
    <row r="60" spans="1:56" s="2" customFormat="1" ht="15" customHeight="1" x14ac:dyDescent="0.25">
      <c r="A60" s="34"/>
      <c r="B60" s="34"/>
      <c r="C60" s="1414"/>
      <c r="D60" s="1414"/>
      <c r="E60" s="1414"/>
      <c r="F60" s="1414"/>
      <c r="G60" s="1414"/>
      <c r="H60" s="1414"/>
      <c r="I60" s="1414"/>
      <c r="J60" s="1414"/>
      <c r="K60" s="1414"/>
      <c r="L60" s="1414"/>
      <c r="M60" s="1414"/>
      <c r="N60" s="1414"/>
      <c r="O60" s="1414"/>
      <c r="P60" s="1414"/>
      <c r="Q60" s="1414"/>
      <c r="R60" s="1414"/>
      <c r="S60" s="141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2"/>
      <c r="BD60" s="32"/>
    </row>
    <row r="61" spans="1:56" ht="27.95" customHeight="1" x14ac:dyDescent="0.25">
      <c r="A61" s="34"/>
      <c r="B61" s="34"/>
      <c r="C61" s="1380" t="s">
        <v>734</v>
      </c>
      <c r="D61" s="1415"/>
      <c r="E61" s="1415"/>
      <c r="F61" s="1415"/>
      <c r="G61" s="1415"/>
      <c r="H61" s="1415"/>
      <c r="I61" s="1415"/>
      <c r="J61" s="1415"/>
      <c r="K61" s="1415"/>
      <c r="L61" s="1415"/>
      <c r="M61" s="1415"/>
      <c r="N61" s="1415"/>
      <c r="O61" s="1415"/>
      <c r="P61" s="1415"/>
      <c r="Q61" s="1415"/>
      <c r="R61" s="1415"/>
      <c r="S61" s="1415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2"/>
      <c r="BD61" s="31"/>
    </row>
    <row r="62" spans="1:56" ht="15" customHeight="1" x14ac:dyDescent="0.25">
      <c r="A62" s="34"/>
      <c r="B62" s="34"/>
      <c r="C62" s="1395"/>
      <c r="D62" s="1395"/>
      <c r="E62" s="1395"/>
      <c r="F62" s="1395"/>
      <c r="G62" s="1395"/>
      <c r="H62" s="1395"/>
      <c r="I62" s="1395"/>
      <c r="J62" s="1395"/>
      <c r="K62" s="1395"/>
      <c r="L62" s="1395"/>
      <c r="M62" s="1395"/>
      <c r="N62" s="1395"/>
      <c r="O62" s="1395"/>
      <c r="P62" s="1395"/>
      <c r="Q62" s="1395"/>
      <c r="R62" s="1395"/>
      <c r="S62" s="1395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2"/>
      <c r="BD62" s="31"/>
    </row>
    <row r="63" spans="1:56" s="2" customFormat="1" ht="3" customHeight="1" x14ac:dyDescent="0.25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2"/>
      <c r="BD63" s="32"/>
    </row>
    <row r="64" spans="1:56" x14ac:dyDescent="0.25">
      <c r="A64" s="34"/>
      <c r="B64" s="34"/>
      <c r="C64" s="1380" t="str">
        <f>C16</f>
        <v>Promote Structure</v>
      </c>
      <c r="D64" s="1359"/>
      <c r="E64" s="1359"/>
      <c r="F64" s="1359"/>
      <c r="G64" s="1374"/>
      <c r="H64" s="1359"/>
      <c r="I64" s="1359"/>
      <c r="J64" s="1527" t="str">
        <f t="shared" ref="J64:J70" si="23">K16</f>
        <v>Distibution Split %</v>
      </c>
      <c r="K64" s="1527"/>
      <c r="L64" s="1359"/>
      <c r="M64" s="1359"/>
      <c r="N64" s="1359"/>
      <c r="O64" s="1359"/>
      <c r="P64" s="1359"/>
      <c r="Q64" s="1359"/>
      <c r="R64" s="1359"/>
      <c r="S64" s="1359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2"/>
      <c r="BD64" s="31"/>
    </row>
    <row r="65" spans="1:56" x14ac:dyDescent="0.25">
      <c r="A65" s="34"/>
      <c r="B65" s="34"/>
      <c r="C65" s="1359"/>
      <c r="D65" s="1359"/>
      <c r="E65" s="1370" t="str">
        <f>F17</f>
        <v>IRR Hurdle</v>
      </c>
      <c r="F65" s="1370" t="s">
        <v>679</v>
      </c>
      <c r="G65" s="1374"/>
      <c r="H65" s="1370" t="str">
        <f>I17</f>
        <v>GP Promote</v>
      </c>
      <c r="I65" s="1359"/>
      <c r="J65" s="1370" t="str">
        <f t="shared" si="23"/>
        <v>GP%</v>
      </c>
      <c r="K65" s="1370" t="str">
        <f t="shared" ref="K65:K70" si="24">L17</f>
        <v>LP%</v>
      </c>
      <c r="L65" s="1374"/>
      <c r="M65" s="1359"/>
      <c r="N65" s="1359"/>
      <c r="O65" s="1359"/>
      <c r="P65" s="1359"/>
      <c r="Q65" s="1359"/>
      <c r="R65" s="1359"/>
      <c r="S65" s="1359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2"/>
      <c r="BD65" s="31"/>
    </row>
    <row r="66" spans="1:56" s="2" customFormat="1" x14ac:dyDescent="0.25">
      <c r="A66" s="34"/>
      <c r="B66" s="34"/>
      <c r="C66" s="34" t="str">
        <f>C$18</f>
        <v>Tier 1 (Pref + Return of Capital)</v>
      </c>
      <c r="D66" s="34"/>
      <c r="E66" s="1389"/>
      <c r="F66" s="975">
        <f>E67</f>
        <v>0.08</v>
      </c>
      <c r="H66" s="34"/>
      <c r="I66" s="34"/>
      <c r="J66" s="1387">
        <f t="shared" si="23"/>
        <v>0.1</v>
      </c>
      <c r="K66" s="1387">
        <f t="shared" si="24"/>
        <v>0.9</v>
      </c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2"/>
      <c r="BD66" s="32"/>
    </row>
    <row r="67" spans="1:56" s="2" customFormat="1" x14ac:dyDescent="0.25">
      <c r="A67" s="34"/>
      <c r="B67" s="34"/>
      <c r="C67" s="34" t="str">
        <f>C$19</f>
        <v>Tier 2 (Promote)</v>
      </c>
      <c r="D67" s="34"/>
      <c r="E67" s="975">
        <f>IF(OR($E$3="IRR",$E$3="IRR + Emx"),F19,0)</f>
        <v>0.08</v>
      </c>
      <c r="F67" s="975">
        <f t="shared" ref="F67:F70" si="25">E68</f>
        <v>0</v>
      </c>
      <c r="H67" s="501">
        <f>I19</f>
        <v>0</v>
      </c>
      <c r="I67" s="34"/>
      <c r="J67" s="1387">
        <f t="shared" si="23"/>
        <v>0.3</v>
      </c>
      <c r="K67" s="1387">
        <f t="shared" si="24"/>
        <v>0.7</v>
      </c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2"/>
      <c r="BD67" s="32"/>
    </row>
    <row r="68" spans="1:56" s="2" customFormat="1" x14ac:dyDescent="0.25">
      <c r="A68" s="34"/>
      <c r="B68" s="34"/>
      <c r="C68" s="34" t="str">
        <f>C$20</f>
        <v>Tier 3 (Promote)</v>
      </c>
      <c r="D68" s="34"/>
      <c r="E68" s="975">
        <f>IF(OR($E$3="IRR",$E$3="IRR + Emx"),F20,0)</f>
        <v>0</v>
      </c>
      <c r="F68" s="975">
        <f t="shared" si="25"/>
        <v>0</v>
      </c>
      <c r="H68" s="501">
        <f>I20</f>
        <v>0</v>
      </c>
      <c r="I68" s="34"/>
      <c r="J68" s="1387">
        <f t="shared" si="23"/>
        <v>0.3</v>
      </c>
      <c r="K68" s="1387">
        <f t="shared" si="24"/>
        <v>0.7</v>
      </c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2"/>
      <c r="BD68" s="32"/>
    </row>
    <row r="69" spans="1:56" s="2" customFormat="1" x14ac:dyDescent="0.25">
      <c r="A69" s="34"/>
      <c r="B69" s="34"/>
      <c r="C69" s="34" t="str">
        <f>C$21</f>
        <v>Tier 4 (Promote)</v>
      </c>
      <c r="D69" s="34"/>
      <c r="E69" s="975">
        <f>IF(OR($E$3="IRR",$E$3="IRR + Emx"),F21,0)</f>
        <v>0</v>
      </c>
      <c r="F69" s="975">
        <f t="shared" si="25"/>
        <v>0</v>
      </c>
      <c r="H69" s="501">
        <f>I21</f>
        <v>0</v>
      </c>
      <c r="I69" s="34"/>
      <c r="J69" s="1387">
        <f t="shared" si="23"/>
        <v>0.3</v>
      </c>
      <c r="K69" s="1387">
        <f t="shared" si="24"/>
        <v>0.7</v>
      </c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2"/>
      <c r="BD69" s="32"/>
    </row>
    <row r="70" spans="1:56" s="2" customFormat="1" x14ac:dyDescent="0.25">
      <c r="A70" s="34"/>
      <c r="B70" s="34"/>
      <c r="C70" s="34" t="str">
        <f>C$22</f>
        <v>Tier 5 (Promote)</v>
      </c>
      <c r="D70" s="34"/>
      <c r="E70" s="975">
        <f>IF(OR($E$3="IRR",$E$3="IRR + Emx"),F22,0)</f>
        <v>0</v>
      </c>
      <c r="F70" s="975">
        <f t="shared" si="25"/>
        <v>0</v>
      </c>
      <c r="H70" s="501">
        <f>I22</f>
        <v>0</v>
      </c>
      <c r="I70" s="34"/>
      <c r="J70" s="1387">
        <f t="shared" si="23"/>
        <v>0.3</v>
      </c>
      <c r="K70" s="1387">
        <f t="shared" si="24"/>
        <v>0.7</v>
      </c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2"/>
      <c r="BD70" s="32"/>
    </row>
    <row r="71" spans="1:56" x14ac:dyDescent="0.25">
      <c r="A71" s="34"/>
      <c r="B71" s="34"/>
      <c r="C71" s="1380" t="s">
        <v>655</v>
      </c>
      <c r="D71" s="1359"/>
      <c r="E71" s="1359"/>
      <c r="F71" s="1359"/>
      <c r="G71" s="1370">
        <f t="shared" ref="G71:S71" si="26">G48</f>
        <v>2026</v>
      </c>
      <c r="H71" s="1370">
        <f t="shared" si="26"/>
        <v>2027</v>
      </c>
      <c r="I71" s="1370">
        <f t="shared" si="26"/>
        <v>2028</v>
      </c>
      <c r="J71" s="1370">
        <f t="shared" si="26"/>
        <v>2029</v>
      </c>
      <c r="K71" s="1370">
        <f t="shared" si="26"/>
        <v>2030</v>
      </c>
      <c r="L71" s="1370">
        <f t="shared" si="26"/>
        <v>2031</v>
      </c>
      <c r="M71" s="1370">
        <f t="shared" si="26"/>
        <v>2032</v>
      </c>
      <c r="N71" s="1370">
        <f t="shared" si="26"/>
        <v>2033</v>
      </c>
      <c r="O71" s="1370">
        <f t="shared" si="26"/>
        <v>2034</v>
      </c>
      <c r="P71" s="1370">
        <f t="shared" si="26"/>
        <v>2035</v>
      </c>
      <c r="Q71" s="1370">
        <f t="shared" si="26"/>
        <v>2036</v>
      </c>
      <c r="R71" s="1370">
        <f t="shared" si="26"/>
        <v>2037</v>
      </c>
      <c r="S71" s="1370">
        <f t="shared" si="26"/>
        <v>2038</v>
      </c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2"/>
      <c r="BD71" s="31"/>
    </row>
    <row r="72" spans="1:56" x14ac:dyDescent="0.25">
      <c r="A72" s="34"/>
      <c r="B72" s="34"/>
      <c r="C72" s="1359"/>
      <c r="D72" s="1359"/>
      <c r="E72" s="1359"/>
      <c r="F72" s="1359"/>
      <c r="G72" s="1378">
        <f t="shared" ref="G72:S72" si="27">G49</f>
        <v>0</v>
      </c>
      <c r="H72" s="1378">
        <f t="shared" si="27"/>
        <v>0.1</v>
      </c>
      <c r="I72" s="1378">
        <f t="shared" si="27"/>
        <v>1</v>
      </c>
      <c r="J72" s="1378">
        <f t="shared" si="27"/>
        <v>2</v>
      </c>
      <c r="K72" s="1378">
        <f t="shared" si="27"/>
        <v>3</v>
      </c>
      <c r="L72" s="1378">
        <f t="shared" si="27"/>
        <v>4</v>
      </c>
      <c r="M72" s="1378">
        <f t="shared" si="27"/>
        <v>5</v>
      </c>
      <c r="N72" s="1378">
        <f t="shared" si="27"/>
        <v>6</v>
      </c>
      <c r="O72" s="1378">
        <f t="shared" si="27"/>
        <v>7</v>
      </c>
      <c r="P72" s="1378">
        <f t="shared" si="27"/>
        <v>8</v>
      </c>
      <c r="Q72" s="1378">
        <f t="shared" si="27"/>
        <v>9</v>
      </c>
      <c r="R72" s="1378">
        <f t="shared" si="27"/>
        <v>10</v>
      </c>
      <c r="S72" s="1378" t="e">
        <f t="shared" si="27"/>
        <v>#N/A</v>
      </c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2"/>
      <c r="BD72" s="31"/>
    </row>
    <row r="73" spans="1:56" s="2" customFormat="1" x14ac:dyDescent="0.25">
      <c r="A73" s="34"/>
      <c r="B73" s="34"/>
      <c r="C73" s="34"/>
      <c r="D73" s="34"/>
      <c r="E73" s="34"/>
      <c r="F73" s="34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  <c r="S73" s="427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2"/>
      <c r="BD73" s="32"/>
    </row>
    <row r="74" spans="1:56" s="2" customFormat="1" x14ac:dyDescent="0.25">
      <c r="A74" s="34"/>
      <c r="B74" s="34"/>
      <c r="C74" s="48" t="s">
        <v>656</v>
      </c>
      <c r="D74" s="34"/>
      <c r="E74" s="34"/>
      <c r="F74" s="34"/>
      <c r="G74" s="1391"/>
      <c r="H74" s="1391"/>
      <c r="I74" s="1391"/>
      <c r="J74" s="1391"/>
      <c r="K74" s="1391"/>
      <c r="L74" s="1391"/>
      <c r="M74" s="1391"/>
      <c r="N74" s="1391"/>
      <c r="O74" s="1391"/>
      <c r="P74" s="1391"/>
      <c r="Q74" s="1391"/>
      <c r="R74" s="1391"/>
      <c r="S74" s="1391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2"/>
      <c r="BD74" s="32"/>
    </row>
    <row r="75" spans="1:56" s="2" customFormat="1" x14ac:dyDescent="0.25">
      <c r="A75" s="32"/>
      <c r="B75" s="32"/>
      <c r="C75" s="34" t="s">
        <v>657</v>
      </c>
      <c r="D75" s="34"/>
      <c r="E75" s="427">
        <f>SUM(G75:S75)</f>
        <v>30323043.364492312</v>
      </c>
      <c r="F75" s="34"/>
      <c r="G75" s="1391">
        <f>G110+G133+G149+G165+G173</f>
        <v>0</v>
      </c>
      <c r="H75" s="1391">
        <f t="shared" ref="H75:R75" si="28">H110+H133+H149+H165+H173</f>
        <v>0</v>
      </c>
      <c r="I75" s="1391">
        <f>I110+I133+I149+I165+I173</f>
        <v>1829729.3123998416</v>
      </c>
      <c r="J75" s="1391">
        <f t="shared" si="28"/>
        <v>1435964.8672105689</v>
      </c>
      <c r="K75" s="1391">
        <f t="shared" si="28"/>
        <v>1526105.9944646182</v>
      </c>
      <c r="L75" s="1391">
        <f t="shared" si="28"/>
        <v>1616247.1217186691</v>
      </c>
      <c r="M75" s="1391">
        <f t="shared" si="28"/>
        <v>23914996.068698615</v>
      </c>
      <c r="N75" s="1391">
        <f t="shared" si="28"/>
        <v>0</v>
      </c>
      <c r="O75" s="1391">
        <f t="shared" si="28"/>
        <v>0</v>
      </c>
      <c r="P75" s="1391">
        <f t="shared" si="28"/>
        <v>0</v>
      </c>
      <c r="Q75" s="1391">
        <f t="shared" si="28"/>
        <v>0</v>
      </c>
      <c r="R75" s="1391">
        <f t="shared" si="28"/>
        <v>0</v>
      </c>
      <c r="S75" s="1391">
        <f t="shared" ref="S75" si="29">S110+S133+S149+S165+S173</f>
        <v>0</v>
      </c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</row>
    <row r="76" spans="1:56" s="2" customFormat="1" x14ac:dyDescent="0.25">
      <c r="A76" s="32"/>
      <c r="B76" s="32"/>
      <c r="C76" s="34" t="s">
        <v>658</v>
      </c>
      <c r="D76" s="34"/>
      <c r="E76" s="427">
        <f>SUM(G76:S76)</f>
        <v>10434034.356800005</v>
      </c>
      <c r="F76" s="34"/>
      <c r="G76" s="1391">
        <f>G106</f>
        <v>10434034.356800005</v>
      </c>
      <c r="H76" s="1391"/>
      <c r="I76" s="1391"/>
      <c r="J76" s="1391"/>
      <c r="K76" s="1391"/>
      <c r="L76" s="1391"/>
      <c r="M76" s="1391"/>
      <c r="N76" s="1391"/>
      <c r="O76" s="1391"/>
      <c r="P76" s="1391"/>
      <c r="Q76" s="1391"/>
      <c r="R76" s="1391"/>
      <c r="S76" s="1391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</row>
    <row r="77" spans="1:56" s="2" customFormat="1" x14ac:dyDescent="0.25">
      <c r="A77" s="32"/>
      <c r="B77" s="32"/>
      <c r="C77" s="34" t="s">
        <v>659</v>
      </c>
      <c r="D77" s="34"/>
      <c r="E77" s="1377">
        <f>E75-E76</f>
        <v>19889009.007692307</v>
      </c>
      <c r="F77" s="34"/>
      <c r="G77" s="1391"/>
      <c r="H77" s="1391"/>
      <c r="I77" s="1391"/>
      <c r="J77" s="1391"/>
      <c r="K77" s="1391"/>
      <c r="L77" s="1391"/>
      <c r="M77" s="1391"/>
      <c r="N77" s="1391"/>
      <c r="O77" s="1391"/>
      <c r="P77" s="1391"/>
      <c r="Q77" s="1391"/>
      <c r="R77" s="1391"/>
      <c r="S77" s="1391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</row>
    <row r="78" spans="1:56" s="2" customFormat="1" x14ac:dyDescent="0.25">
      <c r="A78" s="32"/>
      <c r="B78" s="32"/>
      <c r="C78" s="34" t="s">
        <v>660</v>
      </c>
      <c r="D78" s="34"/>
      <c r="E78" s="1375">
        <f>IRR(G78:S78)</f>
        <v>0.22286066438800622</v>
      </c>
      <c r="F78" s="34"/>
      <c r="G78" s="1391">
        <f>(-G76)+G75</f>
        <v>-10434034.356800005</v>
      </c>
      <c r="H78" s="1391">
        <f t="shared" ref="H78:R78" si="30">(-H76)+H75</f>
        <v>0</v>
      </c>
      <c r="I78" s="1391">
        <f t="shared" si="30"/>
        <v>1829729.3123998416</v>
      </c>
      <c r="J78" s="1391">
        <f t="shared" si="30"/>
        <v>1435964.8672105689</v>
      </c>
      <c r="K78" s="1391">
        <f t="shared" si="30"/>
        <v>1526105.9944646182</v>
      </c>
      <c r="L78" s="1391">
        <f t="shared" si="30"/>
        <v>1616247.1217186691</v>
      </c>
      <c r="M78" s="1391">
        <f t="shared" si="30"/>
        <v>23914996.068698615</v>
      </c>
      <c r="N78" s="1391">
        <f t="shared" si="30"/>
        <v>0</v>
      </c>
      <c r="O78" s="1391">
        <f t="shared" si="30"/>
        <v>0</v>
      </c>
      <c r="P78" s="1391">
        <f t="shared" si="30"/>
        <v>0</v>
      </c>
      <c r="Q78" s="1391">
        <f t="shared" si="30"/>
        <v>0</v>
      </c>
      <c r="R78" s="1391">
        <f t="shared" si="30"/>
        <v>0</v>
      </c>
      <c r="S78" s="1391">
        <f t="shared" ref="S78" si="31">(-S76)+S75</f>
        <v>0</v>
      </c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</row>
    <row r="79" spans="1:56" s="2" customFormat="1" x14ac:dyDescent="0.25">
      <c r="A79" s="32"/>
      <c r="B79" s="32"/>
      <c r="C79" s="34" t="s">
        <v>661</v>
      </c>
      <c r="D79" s="34"/>
      <c r="E79" s="1413">
        <f>E75/E76</f>
        <v>2.9061667163028235</v>
      </c>
      <c r="F79" s="34"/>
      <c r="G79" s="1391"/>
      <c r="H79" s="1391"/>
      <c r="I79" s="1391"/>
      <c r="J79" s="1391"/>
      <c r="K79" s="1391"/>
      <c r="L79" s="1391"/>
      <c r="M79" s="1391"/>
      <c r="N79" s="1391"/>
      <c r="O79" s="1391"/>
      <c r="P79" s="1391"/>
      <c r="Q79" s="1391"/>
      <c r="R79" s="1391"/>
      <c r="S79" s="1391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</row>
    <row r="80" spans="1:56" s="2" customFormat="1" x14ac:dyDescent="0.25">
      <c r="A80" s="32"/>
      <c r="B80" s="32"/>
      <c r="C80" s="34"/>
      <c r="D80" s="34"/>
      <c r="E80" s="34"/>
      <c r="F80" s="34"/>
      <c r="G80" s="1391"/>
      <c r="H80" s="1391"/>
      <c r="I80" s="1391"/>
      <c r="J80" s="1391"/>
      <c r="K80" s="1391"/>
      <c r="L80" s="1391"/>
      <c r="M80" s="1391"/>
      <c r="N80" s="1391"/>
      <c r="O80" s="1391"/>
      <c r="P80" s="1391"/>
      <c r="Q80" s="1391"/>
      <c r="R80" s="1391"/>
      <c r="S80" s="1391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</row>
    <row r="81" spans="1:56" s="2" customFormat="1" x14ac:dyDescent="0.25">
      <c r="A81" s="32"/>
      <c r="B81" s="32"/>
      <c r="C81" s="48" t="s">
        <v>662</v>
      </c>
      <c r="D81" s="34"/>
      <c r="E81" s="34"/>
      <c r="F81" s="34"/>
      <c r="G81" s="1391"/>
      <c r="H81" s="1391"/>
      <c r="I81" s="1391"/>
      <c r="J81" s="1391"/>
      <c r="K81" s="1391"/>
      <c r="L81" s="1391"/>
      <c r="M81" s="1391"/>
      <c r="N81" s="1391"/>
      <c r="O81" s="1391"/>
      <c r="P81" s="1391"/>
      <c r="Q81" s="1391"/>
      <c r="R81" s="1391"/>
      <c r="S81" s="1391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</row>
    <row r="82" spans="1:56" s="2" customFormat="1" x14ac:dyDescent="0.25">
      <c r="A82" s="32"/>
      <c r="B82" s="32"/>
      <c r="C82" s="34" t="s">
        <v>663</v>
      </c>
      <c r="D82" s="34"/>
      <c r="E82" s="427">
        <f>SUM(G82:S82)</f>
        <v>8188693.8629400395</v>
      </c>
      <c r="F82" s="34"/>
      <c r="G82" s="1391">
        <f>G115+G134+G150+G166+G174</f>
        <v>0</v>
      </c>
      <c r="H82" s="1391">
        <f t="shared" ref="H82:R82" si="32">H115+H134+H150+H166+H174</f>
        <v>0</v>
      </c>
      <c r="I82" s="1391">
        <f t="shared" si="32"/>
        <v>203303.25693331574</v>
      </c>
      <c r="J82" s="1391">
        <f t="shared" si="32"/>
        <v>159551.65191228545</v>
      </c>
      <c r="K82" s="1391">
        <f t="shared" si="32"/>
        <v>169567.33271829091</v>
      </c>
      <c r="L82" s="1391">
        <f t="shared" si="32"/>
        <v>179583.01352429658</v>
      </c>
      <c r="M82" s="1391">
        <f t="shared" si="32"/>
        <v>7476688.6078518508</v>
      </c>
      <c r="N82" s="1391">
        <f t="shared" si="32"/>
        <v>0</v>
      </c>
      <c r="O82" s="1391">
        <f t="shared" si="32"/>
        <v>0</v>
      </c>
      <c r="P82" s="1391">
        <f t="shared" si="32"/>
        <v>0</v>
      </c>
      <c r="Q82" s="1391">
        <f t="shared" si="32"/>
        <v>0</v>
      </c>
      <c r="R82" s="1391">
        <f t="shared" si="32"/>
        <v>0</v>
      </c>
      <c r="S82" s="1391">
        <f t="shared" ref="S82" si="33">S115+S134+S150+S166+S174</f>
        <v>0</v>
      </c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</row>
    <row r="83" spans="1:56" s="2" customFormat="1" x14ac:dyDescent="0.25">
      <c r="A83" s="32"/>
      <c r="B83" s="32"/>
      <c r="C83" s="34" t="s">
        <v>686</v>
      </c>
      <c r="D83" s="34"/>
      <c r="E83" s="1391">
        <f>SUM(G83:S83)</f>
        <v>0</v>
      </c>
      <c r="F83" s="34"/>
      <c r="G83" s="1391">
        <f>SUM(G92:G93)</f>
        <v>0</v>
      </c>
      <c r="H83" s="1391">
        <f t="shared" ref="H83:R83" si="34">SUM(H92:H93)</f>
        <v>0</v>
      </c>
      <c r="I83" s="1391">
        <f t="shared" si="34"/>
        <v>0</v>
      </c>
      <c r="J83" s="1391">
        <f t="shared" si="34"/>
        <v>0</v>
      </c>
      <c r="K83" s="1391">
        <f t="shared" si="34"/>
        <v>0</v>
      </c>
      <c r="L83" s="1391">
        <f t="shared" si="34"/>
        <v>0</v>
      </c>
      <c r="M83" s="1391">
        <f t="shared" si="34"/>
        <v>0</v>
      </c>
      <c r="N83" s="1391">
        <f t="shared" si="34"/>
        <v>0</v>
      </c>
      <c r="O83" s="1391">
        <f t="shared" si="34"/>
        <v>0</v>
      </c>
      <c r="P83" s="1391">
        <f t="shared" si="34"/>
        <v>0</v>
      </c>
      <c r="Q83" s="1391">
        <f t="shared" si="34"/>
        <v>0</v>
      </c>
      <c r="R83" s="1391">
        <f t="shared" si="34"/>
        <v>0</v>
      </c>
      <c r="S83" s="1391">
        <f t="shared" ref="S83" si="35">SUM(S92:S93)</f>
        <v>0</v>
      </c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</row>
    <row r="84" spans="1:56" s="2" customFormat="1" x14ac:dyDescent="0.25">
      <c r="A84" s="32"/>
      <c r="B84" s="32"/>
      <c r="C84" s="34" t="s">
        <v>664</v>
      </c>
      <c r="D84" s="34"/>
      <c r="E84" s="1391">
        <f>G114</f>
        <v>0</v>
      </c>
      <c r="F84" s="34"/>
      <c r="G84" s="1391">
        <f>G114</f>
        <v>0</v>
      </c>
      <c r="H84" s="1391">
        <f t="shared" ref="H84:R84" si="36">H114</f>
        <v>0</v>
      </c>
      <c r="I84" s="1391">
        <f t="shared" si="36"/>
        <v>0</v>
      </c>
      <c r="J84" s="1391">
        <f t="shared" si="36"/>
        <v>0</v>
      </c>
      <c r="K84" s="1391">
        <f t="shared" si="36"/>
        <v>0</v>
      </c>
      <c r="L84" s="1391">
        <f t="shared" si="36"/>
        <v>0</v>
      </c>
      <c r="M84" s="1391">
        <f t="shared" si="36"/>
        <v>0</v>
      </c>
      <c r="N84" s="1391">
        <f t="shared" si="36"/>
        <v>0</v>
      </c>
      <c r="O84" s="1391">
        <f t="shared" si="36"/>
        <v>0</v>
      </c>
      <c r="P84" s="1391">
        <f t="shared" si="36"/>
        <v>0</v>
      </c>
      <c r="Q84" s="1391">
        <f t="shared" si="36"/>
        <v>0</v>
      </c>
      <c r="R84" s="1391">
        <f t="shared" si="36"/>
        <v>0</v>
      </c>
      <c r="S84" s="1391">
        <f t="shared" ref="S84" si="37">S114</f>
        <v>0</v>
      </c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</row>
    <row r="85" spans="1:56" s="2" customFormat="1" x14ac:dyDescent="0.25">
      <c r="A85" s="32"/>
      <c r="B85" s="32"/>
      <c r="C85" s="34" t="s">
        <v>665</v>
      </c>
      <c r="D85" s="34"/>
      <c r="E85" s="1377">
        <f>(E82+E83)-E84</f>
        <v>8188693.8629400395</v>
      </c>
      <c r="F85" s="34"/>
      <c r="G85" s="1391"/>
      <c r="H85" s="1391"/>
      <c r="I85" s="1391"/>
      <c r="J85" s="1391"/>
      <c r="K85" s="1391"/>
      <c r="L85" s="1391"/>
      <c r="M85" s="1391"/>
      <c r="N85" s="1391"/>
      <c r="O85" s="1391"/>
      <c r="P85" s="1391"/>
      <c r="Q85" s="1391"/>
      <c r="R85" s="1391"/>
      <c r="S85" s="1391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</row>
    <row r="86" spans="1:56" s="2" customFormat="1" x14ac:dyDescent="0.25">
      <c r="A86" s="32"/>
      <c r="B86" s="32"/>
      <c r="C86" s="34" t="s">
        <v>666</v>
      </c>
      <c r="D86" s="34"/>
      <c r="E86" s="1375" t="str">
        <f>IFERROR(IRR(G86:R86),"N/A")</f>
        <v>N/A</v>
      </c>
      <c r="F86" s="34"/>
      <c r="G86" s="1391">
        <f>(-G84)+G82+G83</f>
        <v>0</v>
      </c>
      <c r="H86" s="1391">
        <f t="shared" ref="H86:R86" si="38">(-H84)+H82+H83</f>
        <v>0</v>
      </c>
      <c r="I86" s="1391">
        <f t="shared" si="38"/>
        <v>203303.25693331574</v>
      </c>
      <c r="J86" s="1391">
        <f t="shared" si="38"/>
        <v>159551.65191228545</v>
      </c>
      <c r="K86" s="1391">
        <f t="shared" si="38"/>
        <v>169567.33271829091</v>
      </c>
      <c r="L86" s="1391">
        <f t="shared" si="38"/>
        <v>179583.01352429658</v>
      </c>
      <c r="M86" s="1391">
        <f t="shared" si="38"/>
        <v>7476688.6078518508</v>
      </c>
      <c r="N86" s="1391">
        <f t="shared" si="38"/>
        <v>0</v>
      </c>
      <c r="O86" s="1391">
        <f t="shared" si="38"/>
        <v>0</v>
      </c>
      <c r="P86" s="1391">
        <f t="shared" si="38"/>
        <v>0</v>
      </c>
      <c r="Q86" s="1391">
        <f t="shared" si="38"/>
        <v>0</v>
      </c>
      <c r="R86" s="1391">
        <f t="shared" si="38"/>
        <v>0</v>
      </c>
      <c r="S86" s="1391">
        <f t="shared" ref="S86" si="39">(-S84)+S82+S83</f>
        <v>0</v>
      </c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</row>
    <row r="87" spans="1:56" s="2" customFormat="1" x14ac:dyDescent="0.25">
      <c r="A87" s="32"/>
      <c r="B87" s="32"/>
      <c r="C87" s="34" t="s">
        <v>667</v>
      </c>
      <c r="D87" s="34"/>
      <c r="E87" s="1413" t="str">
        <f>IFERROR(E82/E84,"N/A")</f>
        <v>N/A</v>
      </c>
      <c r="F87" s="34"/>
      <c r="G87" s="1391"/>
      <c r="H87" s="1391"/>
      <c r="I87" s="1391"/>
      <c r="J87" s="1391"/>
      <c r="K87" s="1391"/>
      <c r="L87" s="1391"/>
      <c r="M87" s="1391"/>
      <c r="N87" s="1391"/>
      <c r="O87" s="1391"/>
      <c r="P87" s="1391"/>
      <c r="Q87" s="1391"/>
      <c r="R87" s="1391"/>
      <c r="S87" s="1391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</row>
    <row r="88" spans="1:56" s="2" customFormat="1" x14ac:dyDescent="0.25">
      <c r="A88" s="32"/>
      <c r="B88" s="32"/>
      <c r="C88" s="34"/>
      <c r="D88" s="34"/>
      <c r="E88" s="34"/>
      <c r="F88" s="34"/>
      <c r="G88" s="1399"/>
      <c r="H88" s="1399"/>
      <c r="I88" s="1399"/>
      <c r="J88" s="1399"/>
      <c r="K88" s="1399"/>
      <c r="L88" s="1399"/>
      <c r="M88" s="1399"/>
      <c r="N88" s="1399"/>
      <c r="O88" s="1399"/>
      <c r="P88" s="1399"/>
      <c r="Q88" s="1399"/>
      <c r="R88" s="1399"/>
      <c r="S88" s="1399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</row>
    <row r="89" spans="1:56" x14ac:dyDescent="0.25">
      <c r="A89" s="32"/>
      <c r="B89" s="32"/>
      <c r="C89" s="1380" t="s">
        <v>668</v>
      </c>
      <c r="D89" s="1372"/>
      <c r="E89" s="1372"/>
      <c r="F89" s="1372"/>
      <c r="G89" s="1370">
        <f t="shared" ref="G89:S89" si="40">G48</f>
        <v>2026</v>
      </c>
      <c r="H89" s="1370">
        <f t="shared" si="40"/>
        <v>2027</v>
      </c>
      <c r="I89" s="1370">
        <f t="shared" si="40"/>
        <v>2028</v>
      </c>
      <c r="J89" s="1370">
        <f t="shared" si="40"/>
        <v>2029</v>
      </c>
      <c r="K89" s="1370">
        <f t="shared" si="40"/>
        <v>2030</v>
      </c>
      <c r="L89" s="1370">
        <f t="shared" si="40"/>
        <v>2031</v>
      </c>
      <c r="M89" s="1370">
        <f t="shared" si="40"/>
        <v>2032</v>
      </c>
      <c r="N89" s="1370">
        <f t="shared" si="40"/>
        <v>2033</v>
      </c>
      <c r="O89" s="1370">
        <f t="shared" si="40"/>
        <v>2034</v>
      </c>
      <c r="P89" s="1370">
        <f t="shared" si="40"/>
        <v>2035</v>
      </c>
      <c r="Q89" s="1370">
        <f t="shared" si="40"/>
        <v>2036</v>
      </c>
      <c r="R89" s="1370">
        <f t="shared" si="40"/>
        <v>2037</v>
      </c>
      <c r="S89" s="1370">
        <f t="shared" si="40"/>
        <v>2038</v>
      </c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1"/>
    </row>
    <row r="90" spans="1:56" x14ac:dyDescent="0.25">
      <c r="A90" s="32"/>
      <c r="B90" s="32"/>
      <c r="C90" s="1359"/>
      <c r="D90" s="1372"/>
      <c r="E90" s="1372"/>
      <c r="F90" s="1372"/>
      <c r="G90" s="1378">
        <f t="shared" ref="G90:S90" si="41">G49</f>
        <v>0</v>
      </c>
      <c r="H90" s="1378">
        <f t="shared" si="41"/>
        <v>0.1</v>
      </c>
      <c r="I90" s="1378">
        <f t="shared" si="41"/>
        <v>1</v>
      </c>
      <c r="J90" s="1378">
        <f t="shared" si="41"/>
        <v>2</v>
      </c>
      <c r="K90" s="1378">
        <f t="shared" si="41"/>
        <v>3</v>
      </c>
      <c r="L90" s="1378">
        <f t="shared" si="41"/>
        <v>4</v>
      </c>
      <c r="M90" s="1378">
        <f t="shared" si="41"/>
        <v>5</v>
      </c>
      <c r="N90" s="1378">
        <f t="shared" si="41"/>
        <v>6</v>
      </c>
      <c r="O90" s="1378">
        <f t="shared" si="41"/>
        <v>7</v>
      </c>
      <c r="P90" s="1378">
        <f t="shared" si="41"/>
        <v>8</v>
      </c>
      <c r="Q90" s="1378">
        <f t="shared" si="41"/>
        <v>9</v>
      </c>
      <c r="R90" s="1378">
        <f t="shared" si="41"/>
        <v>10</v>
      </c>
      <c r="S90" s="1378" t="e">
        <f t="shared" si="41"/>
        <v>#N/A</v>
      </c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1"/>
    </row>
    <row r="91" spans="1:56" s="2" customFormat="1" x14ac:dyDescent="0.25">
      <c r="A91" s="32"/>
      <c r="B91" s="32"/>
      <c r="C91" s="34" t="s">
        <v>680</v>
      </c>
      <c r="D91" s="32"/>
      <c r="E91" s="32"/>
      <c r="F91" s="32"/>
      <c r="G91" s="1391">
        <f>G$50</f>
        <v>-10434034.356800005</v>
      </c>
      <c r="H91" s="1391">
        <f t="shared" ref="H91:S91" si="42">H$50</f>
        <v>0</v>
      </c>
      <c r="I91" s="1391">
        <f t="shared" si="42"/>
        <v>2033032.5693331573</v>
      </c>
      <c r="J91" s="1391">
        <f t="shared" si="42"/>
        <v>1595516.5191228543</v>
      </c>
      <c r="K91" s="1391">
        <f t="shared" si="42"/>
        <v>1695673.327182909</v>
      </c>
      <c r="L91" s="1391">
        <f t="shared" si="42"/>
        <v>1795830.1352429655</v>
      </c>
      <c r="M91" s="1391">
        <f t="shared" si="42"/>
        <v>31391684.676550463</v>
      </c>
      <c r="N91" s="1391">
        <f t="shared" si="42"/>
        <v>0</v>
      </c>
      <c r="O91" s="1391">
        <f t="shared" si="42"/>
        <v>0</v>
      </c>
      <c r="P91" s="1391">
        <f t="shared" si="42"/>
        <v>0</v>
      </c>
      <c r="Q91" s="1391">
        <f t="shared" si="42"/>
        <v>0</v>
      </c>
      <c r="R91" s="1391">
        <f t="shared" si="42"/>
        <v>0</v>
      </c>
      <c r="S91" s="1391">
        <f t="shared" si="42"/>
        <v>0</v>
      </c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</row>
    <row r="92" spans="1:56" s="2" customFormat="1" x14ac:dyDescent="0.25">
      <c r="A92" s="32"/>
      <c r="B92" s="32"/>
      <c r="C92" s="77" t="s">
        <v>681</v>
      </c>
      <c r="D92" s="32"/>
      <c r="E92" s="32"/>
      <c r="F92" s="32"/>
      <c r="G92" s="1400">
        <f>G$51</f>
        <v>0</v>
      </c>
      <c r="H92" s="1400">
        <f t="shared" ref="H92:S92" si="43">H$51</f>
        <v>0</v>
      </c>
      <c r="I92" s="1400">
        <f t="shared" si="43"/>
        <v>0</v>
      </c>
      <c r="J92" s="1400">
        <f t="shared" si="43"/>
        <v>0</v>
      </c>
      <c r="K92" s="1400">
        <f t="shared" si="43"/>
        <v>0</v>
      </c>
      <c r="L92" s="1400">
        <f t="shared" si="43"/>
        <v>0</v>
      </c>
      <c r="M92" s="1400">
        <f t="shared" si="43"/>
        <v>0</v>
      </c>
      <c r="N92" s="1400">
        <f t="shared" si="43"/>
        <v>0</v>
      </c>
      <c r="O92" s="1400">
        <f t="shared" si="43"/>
        <v>0</v>
      </c>
      <c r="P92" s="1400">
        <f t="shared" si="43"/>
        <v>0</v>
      </c>
      <c r="Q92" s="1400">
        <f t="shared" si="43"/>
        <v>0</v>
      </c>
      <c r="R92" s="1400">
        <f t="shared" si="43"/>
        <v>0</v>
      </c>
      <c r="S92" s="1400">
        <f t="shared" si="43"/>
        <v>0</v>
      </c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</row>
    <row r="93" spans="1:56" s="2" customFormat="1" x14ac:dyDescent="0.25">
      <c r="A93" s="32"/>
      <c r="B93" s="32"/>
      <c r="C93" s="77" t="s">
        <v>590</v>
      </c>
      <c r="D93" s="32"/>
      <c r="E93" s="32"/>
      <c r="F93" s="32"/>
      <c r="G93" s="1400">
        <f>G$52</f>
        <v>0</v>
      </c>
      <c r="H93" s="1400">
        <f t="shared" ref="H93:S93" si="44">H$52</f>
        <v>0</v>
      </c>
      <c r="I93" s="1400">
        <f t="shared" si="44"/>
        <v>0</v>
      </c>
      <c r="J93" s="1400">
        <f t="shared" si="44"/>
        <v>0</v>
      </c>
      <c r="K93" s="1400">
        <f t="shared" si="44"/>
        <v>0</v>
      </c>
      <c r="L93" s="1400">
        <f t="shared" si="44"/>
        <v>0</v>
      </c>
      <c r="M93" s="1400">
        <f t="shared" si="44"/>
        <v>0</v>
      </c>
      <c r="N93" s="1400">
        <f t="shared" si="44"/>
        <v>0</v>
      </c>
      <c r="O93" s="1400">
        <f t="shared" si="44"/>
        <v>0</v>
      </c>
      <c r="P93" s="1400">
        <f t="shared" si="44"/>
        <v>0</v>
      </c>
      <c r="Q93" s="1400">
        <f t="shared" si="44"/>
        <v>0</v>
      </c>
      <c r="R93" s="1400">
        <f t="shared" si="44"/>
        <v>0</v>
      </c>
      <c r="S93" s="1400">
        <f t="shared" si="44"/>
        <v>0</v>
      </c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</row>
    <row r="94" spans="1:56" s="2" customFormat="1" x14ac:dyDescent="0.25">
      <c r="A94" s="32"/>
      <c r="B94" s="32"/>
      <c r="C94" s="34" t="s">
        <v>682</v>
      </c>
      <c r="D94" s="32"/>
      <c r="E94" s="32"/>
      <c r="F94" s="32"/>
      <c r="G94" s="1401">
        <f>G$53</f>
        <v>-10434034.356800005</v>
      </c>
      <c r="H94" s="1401">
        <f t="shared" ref="H94:S94" si="45">H$53</f>
        <v>0</v>
      </c>
      <c r="I94" s="1401">
        <f t="shared" si="45"/>
        <v>2033032.5693331573</v>
      </c>
      <c r="J94" s="1401">
        <f t="shared" si="45"/>
        <v>1595516.5191228543</v>
      </c>
      <c r="K94" s="1401">
        <f t="shared" si="45"/>
        <v>1695673.327182909</v>
      </c>
      <c r="L94" s="1401">
        <f t="shared" si="45"/>
        <v>1795830.1352429655</v>
      </c>
      <c r="M94" s="1401">
        <f t="shared" si="45"/>
        <v>31391684.676550463</v>
      </c>
      <c r="N94" s="1401">
        <f t="shared" si="45"/>
        <v>0</v>
      </c>
      <c r="O94" s="1401">
        <f t="shared" si="45"/>
        <v>0</v>
      </c>
      <c r="P94" s="1401">
        <f t="shared" si="45"/>
        <v>0</v>
      </c>
      <c r="Q94" s="1401">
        <f t="shared" si="45"/>
        <v>0</v>
      </c>
      <c r="R94" s="1401">
        <f t="shared" si="45"/>
        <v>0</v>
      </c>
      <c r="S94" s="1401">
        <f t="shared" si="45"/>
        <v>0</v>
      </c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</row>
    <row r="95" spans="1:56" s="2" customFormat="1" x14ac:dyDescent="0.25">
      <c r="A95" s="32"/>
      <c r="B95" s="32"/>
      <c r="C95" s="34"/>
      <c r="D95" s="32"/>
      <c r="E95" s="32"/>
      <c r="F95" s="32"/>
      <c r="G95" s="1399"/>
      <c r="H95" s="1399"/>
      <c r="I95" s="1399"/>
      <c r="J95" s="1399"/>
      <c r="K95" s="1399"/>
      <c r="L95" s="1399"/>
      <c r="M95" s="1399"/>
      <c r="N95" s="1399"/>
      <c r="O95" s="1399"/>
      <c r="P95" s="1399"/>
      <c r="Q95" s="1399"/>
      <c r="R95" s="1399"/>
      <c r="S95" s="1399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</row>
    <row r="96" spans="1:56" s="2" customFormat="1" x14ac:dyDescent="0.25">
      <c r="A96" s="32"/>
      <c r="B96" s="32"/>
      <c r="C96" s="34" t="s">
        <v>683</v>
      </c>
      <c r="D96" s="32"/>
      <c r="E96" s="1375">
        <f>E56</f>
        <v>0.27662161079383574</v>
      </c>
      <c r="G96" s="1399"/>
      <c r="H96" s="1399"/>
      <c r="I96" s="1399"/>
      <c r="J96" s="1399"/>
      <c r="K96" s="1399"/>
      <c r="L96" s="1399"/>
      <c r="M96" s="1399"/>
      <c r="N96" s="1399"/>
      <c r="O96" s="1399"/>
      <c r="P96" s="1399"/>
      <c r="Q96" s="1399"/>
      <c r="R96" s="1399"/>
      <c r="S96" s="1399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</row>
    <row r="97" spans="1:56" s="2" customFormat="1" x14ac:dyDescent="0.25">
      <c r="A97" s="32"/>
      <c r="B97" s="32"/>
      <c r="C97" s="34" t="s">
        <v>684</v>
      </c>
      <c r="D97" s="32"/>
      <c r="E97" s="1376">
        <f>E57</f>
        <v>3.690972821297422</v>
      </c>
      <c r="G97" s="1399"/>
      <c r="H97" s="1399"/>
      <c r="I97" s="1399"/>
      <c r="J97" s="1399"/>
      <c r="K97" s="1399"/>
      <c r="L97" s="1399"/>
      <c r="M97" s="1399"/>
      <c r="N97" s="1399"/>
      <c r="O97" s="1399"/>
      <c r="P97" s="1399"/>
      <c r="Q97" s="1399"/>
      <c r="R97" s="1399"/>
      <c r="S97" s="1399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</row>
    <row r="98" spans="1:56" s="2" customFormat="1" x14ac:dyDescent="0.25">
      <c r="A98" s="32"/>
      <c r="B98" s="32"/>
      <c r="C98" s="34" t="s">
        <v>685</v>
      </c>
      <c r="D98" s="32"/>
      <c r="E98" s="1377">
        <f>E55</f>
        <v>28077702.870632343</v>
      </c>
      <c r="G98" s="1399"/>
      <c r="H98" s="1399"/>
      <c r="I98" s="1399"/>
      <c r="J98" s="1399"/>
      <c r="K98" s="1399"/>
      <c r="L98" s="1399"/>
      <c r="M98" s="1399"/>
      <c r="N98" s="1399"/>
      <c r="O98" s="1399"/>
      <c r="P98" s="1399"/>
      <c r="Q98" s="1399"/>
      <c r="R98" s="1399"/>
      <c r="S98" s="1399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</row>
    <row r="99" spans="1:56" s="2" customFormat="1" x14ac:dyDescent="0.25">
      <c r="A99" s="32"/>
      <c r="B99" s="32"/>
      <c r="C99" s="34"/>
      <c r="D99" s="32"/>
      <c r="E99" s="32"/>
      <c r="G99" s="1399"/>
      <c r="H99" s="1399"/>
      <c r="I99" s="1399"/>
      <c r="J99" s="1399"/>
      <c r="K99" s="1399"/>
      <c r="L99" s="1399"/>
      <c r="M99" s="1399"/>
      <c r="N99" s="1399"/>
      <c r="O99" s="1399"/>
      <c r="P99" s="1399"/>
      <c r="Q99" s="1399"/>
      <c r="R99" s="1399"/>
      <c r="S99" s="1399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</row>
    <row r="100" spans="1:56" x14ac:dyDescent="0.25">
      <c r="A100" s="32"/>
      <c r="B100" s="32"/>
      <c r="C100" s="1380" t="s">
        <v>695</v>
      </c>
      <c r="D100" s="1373" t="str">
        <f>"IRR"</f>
        <v>IRR</v>
      </c>
      <c r="E100" s="1372"/>
      <c r="F100" s="1372"/>
      <c r="G100" s="1370">
        <f>G89</f>
        <v>2026</v>
      </c>
      <c r="H100" s="1370">
        <f t="shared" ref="H100:R100" si="46">H89</f>
        <v>2027</v>
      </c>
      <c r="I100" s="1370">
        <f t="shared" si="46"/>
        <v>2028</v>
      </c>
      <c r="J100" s="1370">
        <f t="shared" si="46"/>
        <v>2029</v>
      </c>
      <c r="K100" s="1370">
        <f t="shared" si="46"/>
        <v>2030</v>
      </c>
      <c r="L100" s="1370">
        <f t="shared" si="46"/>
        <v>2031</v>
      </c>
      <c r="M100" s="1370">
        <f t="shared" si="46"/>
        <v>2032</v>
      </c>
      <c r="N100" s="1370">
        <f t="shared" si="46"/>
        <v>2033</v>
      </c>
      <c r="O100" s="1370">
        <f t="shared" si="46"/>
        <v>2034</v>
      </c>
      <c r="P100" s="1370">
        <f t="shared" si="46"/>
        <v>2035</v>
      </c>
      <c r="Q100" s="1370">
        <f t="shared" si="46"/>
        <v>2036</v>
      </c>
      <c r="R100" s="1370">
        <f t="shared" si="46"/>
        <v>2037</v>
      </c>
      <c r="S100" s="1370">
        <f t="shared" ref="S100" si="47">S89</f>
        <v>2038</v>
      </c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1"/>
    </row>
    <row r="101" spans="1:56" x14ac:dyDescent="0.25">
      <c r="A101" s="32"/>
      <c r="B101" s="32"/>
      <c r="C101" s="1381" t="s">
        <v>696</v>
      </c>
      <c r="D101" s="1390">
        <f>F66</f>
        <v>0.08</v>
      </c>
      <c r="E101" s="1372"/>
      <c r="F101" s="1372"/>
      <c r="G101" s="1378">
        <f>G90</f>
        <v>0</v>
      </c>
      <c r="H101" s="1378">
        <f t="shared" ref="H101:R101" si="48">H90</f>
        <v>0.1</v>
      </c>
      <c r="I101" s="1378">
        <f t="shared" si="48"/>
        <v>1</v>
      </c>
      <c r="J101" s="1378">
        <f t="shared" si="48"/>
        <v>2</v>
      </c>
      <c r="K101" s="1378">
        <f t="shared" si="48"/>
        <v>3</v>
      </c>
      <c r="L101" s="1378">
        <f t="shared" si="48"/>
        <v>4</v>
      </c>
      <c r="M101" s="1378">
        <f t="shared" si="48"/>
        <v>5</v>
      </c>
      <c r="N101" s="1378">
        <f t="shared" si="48"/>
        <v>6</v>
      </c>
      <c r="O101" s="1378">
        <f t="shared" si="48"/>
        <v>7</v>
      </c>
      <c r="P101" s="1378">
        <f t="shared" si="48"/>
        <v>8</v>
      </c>
      <c r="Q101" s="1378">
        <f t="shared" si="48"/>
        <v>9</v>
      </c>
      <c r="R101" s="1378">
        <f t="shared" si="48"/>
        <v>10</v>
      </c>
      <c r="S101" s="1378" t="e">
        <f t="shared" ref="S101" si="49">S90</f>
        <v>#N/A</v>
      </c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1"/>
    </row>
    <row r="102" spans="1:56" s="2" customFormat="1" x14ac:dyDescent="0.25">
      <c r="A102" s="32"/>
      <c r="B102" s="32"/>
      <c r="C102" s="1388"/>
      <c r="D102" s="1393"/>
      <c r="E102" s="32"/>
      <c r="F102" s="32"/>
      <c r="G102" s="1394"/>
      <c r="H102" s="1394"/>
      <c r="I102" s="1394"/>
      <c r="J102" s="1394"/>
      <c r="K102" s="1394"/>
      <c r="L102" s="1394"/>
      <c r="M102" s="1394"/>
      <c r="N102" s="1394"/>
      <c r="O102" s="1394"/>
      <c r="P102" s="1394"/>
      <c r="Q102" s="1394"/>
      <c r="R102" s="1394"/>
      <c r="S102" s="1394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</row>
    <row r="103" spans="1:56" s="2" customFormat="1" x14ac:dyDescent="0.25">
      <c r="A103" s="32"/>
      <c r="B103" s="32"/>
      <c r="C103" s="34" t="s">
        <v>697</v>
      </c>
      <c r="D103" s="34"/>
      <c r="E103" s="34"/>
      <c r="F103" s="34"/>
      <c r="G103" s="1391"/>
      <c r="H103" s="1391">
        <f>G108</f>
        <v>10434034.356800005</v>
      </c>
      <c r="I103" s="1391">
        <f>H108</f>
        <v>11268757.105344005</v>
      </c>
      <c r="J103" s="1391">
        <f>I108</f>
        <v>10340528.361371683</v>
      </c>
      <c r="K103" s="1391">
        <f t="shared" ref="K103:Q103" si="50">J108</f>
        <v>9731805.7630708497</v>
      </c>
      <c r="L103" s="1391">
        <f>K108</f>
        <v>8984244.2296518981</v>
      </c>
      <c r="M103" s="1391">
        <f t="shared" si="50"/>
        <v>8086736.6463053804</v>
      </c>
      <c r="N103" s="1391">
        <f t="shared" si="50"/>
        <v>0</v>
      </c>
      <c r="O103" s="1391">
        <f t="shared" si="50"/>
        <v>0</v>
      </c>
      <c r="P103" s="1391">
        <f t="shared" si="50"/>
        <v>0</v>
      </c>
      <c r="Q103" s="1391">
        <f t="shared" si="50"/>
        <v>0</v>
      </c>
      <c r="R103" s="1391">
        <f>Q108</f>
        <v>0</v>
      </c>
      <c r="S103" s="1391">
        <f>R108</f>
        <v>0</v>
      </c>
      <c r="T103" s="34"/>
      <c r="U103" s="34"/>
      <c r="V103" s="34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</row>
    <row r="104" spans="1:56" s="2" customFormat="1" x14ac:dyDescent="0.25">
      <c r="A104" s="32"/>
      <c r="B104" s="32"/>
      <c r="C104" s="34" t="s">
        <v>698</v>
      </c>
      <c r="D104" s="34"/>
      <c r="E104" s="34"/>
      <c r="F104" s="34"/>
      <c r="G104" s="1391"/>
      <c r="H104" s="1391">
        <f>H110-H105</f>
        <v>-834722.74854400044</v>
      </c>
      <c r="I104" s="1391">
        <f>I110-I105</f>
        <v>928228.74397232116</v>
      </c>
      <c r="J104" s="1391">
        <f>J110-J105</f>
        <v>608722.59830083419</v>
      </c>
      <c r="K104" s="1391">
        <f>K110-K105</f>
        <v>747561.53341895016</v>
      </c>
      <c r="L104" s="1391">
        <f>L110-L105</f>
        <v>897507.58334651717</v>
      </c>
      <c r="M104" s="1391">
        <f t="shared" ref="M104:R104" si="51">M110-M105</f>
        <v>8086736.6463053795</v>
      </c>
      <c r="N104" s="1391">
        <f t="shared" si="51"/>
        <v>0</v>
      </c>
      <c r="O104" s="1391">
        <f t="shared" si="51"/>
        <v>0</v>
      </c>
      <c r="P104" s="1391">
        <f t="shared" si="51"/>
        <v>0</v>
      </c>
      <c r="Q104" s="1391">
        <f t="shared" si="51"/>
        <v>0</v>
      </c>
      <c r="R104" s="1391">
        <f t="shared" si="51"/>
        <v>0</v>
      </c>
      <c r="S104" s="1391">
        <f t="shared" ref="S104" si="52">S110-S105</f>
        <v>0</v>
      </c>
      <c r="T104" s="34"/>
      <c r="U104" s="34"/>
      <c r="V104" s="34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</row>
    <row r="105" spans="1:56" s="2" customFormat="1" x14ac:dyDescent="0.25">
      <c r="A105" s="32"/>
      <c r="B105" s="32"/>
      <c r="C105" s="34" t="s">
        <v>699</v>
      </c>
      <c r="D105" s="34"/>
      <c r="E105" s="34"/>
      <c r="F105" s="34"/>
      <c r="G105" s="1391"/>
      <c r="H105" s="1391">
        <f>IF($D$100="Equity Multiple",G106*$D$101-G106,H103*$D$101)</f>
        <v>834722.74854400044</v>
      </c>
      <c r="I105" s="1391">
        <f>IF($D$100="Equity Multiple",H106*$D$101-H106,I103*$D$101)</f>
        <v>901500.56842752045</v>
      </c>
      <c r="J105" s="1391">
        <f t="shared" ref="J105:S105" si="53">IF($D$100="Equity Multiple",I106*$D$101-I106,J103*$D$101)</f>
        <v>827242.26890973467</v>
      </c>
      <c r="K105" s="1391">
        <f t="shared" si="53"/>
        <v>778544.46104566799</v>
      </c>
      <c r="L105" s="1391">
        <f t="shared" si="53"/>
        <v>718739.5383721519</v>
      </c>
      <c r="M105" s="1391">
        <f t="shared" si="53"/>
        <v>646938.93170443049</v>
      </c>
      <c r="N105" s="1391">
        <f t="shared" si="53"/>
        <v>0</v>
      </c>
      <c r="O105" s="1391">
        <f t="shared" si="53"/>
        <v>0</v>
      </c>
      <c r="P105" s="1391">
        <f t="shared" si="53"/>
        <v>0</v>
      </c>
      <c r="Q105" s="1391">
        <f t="shared" si="53"/>
        <v>0</v>
      </c>
      <c r="R105" s="1391">
        <f t="shared" si="53"/>
        <v>0</v>
      </c>
      <c r="S105" s="1391">
        <f t="shared" si="53"/>
        <v>0</v>
      </c>
      <c r="T105" s="34"/>
      <c r="U105" s="34"/>
      <c r="V105" s="34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</row>
    <row r="106" spans="1:56" s="2" customFormat="1" x14ac:dyDescent="0.25">
      <c r="A106" s="32"/>
      <c r="B106" s="32"/>
      <c r="C106" s="34" t="s">
        <v>700</v>
      </c>
      <c r="D106" s="34"/>
      <c r="E106" s="34"/>
      <c r="F106" s="34"/>
      <c r="G106" s="1391">
        <f>IF($D$9="$",$D$12,$E$12)</f>
        <v>10434034.356800005</v>
      </c>
      <c r="H106" s="1391">
        <f t="shared" ref="H106:S106" si="54">IF($D$9="$",-MIN(H$94*$E$12,0),-MIN(H$94*$D$12,0))</f>
        <v>0</v>
      </c>
      <c r="I106" s="1391">
        <f t="shared" si="54"/>
        <v>0</v>
      </c>
      <c r="J106" s="1391">
        <f t="shared" si="54"/>
        <v>0</v>
      </c>
      <c r="K106" s="1391">
        <f t="shared" si="54"/>
        <v>0</v>
      </c>
      <c r="L106" s="1391">
        <f t="shared" si="54"/>
        <v>0</v>
      </c>
      <c r="M106" s="1391">
        <f t="shared" si="54"/>
        <v>0</v>
      </c>
      <c r="N106" s="1391">
        <f t="shared" si="54"/>
        <v>0</v>
      </c>
      <c r="O106" s="1391">
        <f t="shared" si="54"/>
        <v>0</v>
      </c>
      <c r="P106" s="1391">
        <f t="shared" si="54"/>
        <v>0</v>
      </c>
      <c r="Q106" s="1391">
        <f t="shared" si="54"/>
        <v>0</v>
      </c>
      <c r="R106" s="1391">
        <f t="shared" si="54"/>
        <v>0</v>
      </c>
      <c r="S106" s="1391">
        <f t="shared" si="54"/>
        <v>0</v>
      </c>
      <c r="T106" s="34"/>
      <c r="U106" s="34"/>
      <c r="V106" s="34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</row>
    <row r="107" spans="1:56" s="2" customFormat="1" x14ac:dyDescent="0.25">
      <c r="C107" s="9" t="s">
        <v>701</v>
      </c>
      <c r="D107" s="34"/>
      <c r="E107" s="34"/>
      <c r="F107" s="34"/>
      <c r="G107" s="1391"/>
      <c r="H107" s="1391">
        <f>MIN(H103+H105,MAX(H94,0)*$K$66)</f>
        <v>0</v>
      </c>
      <c r="I107" s="1391">
        <f>MIN(I103+I105,MAX(I94,0)*$K$66)</f>
        <v>1829729.3123998416</v>
      </c>
      <c r="J107" s="1391">
        <f t="shared" ref="J107:Q107" si="55">MIN(J103+J105,MAX(J94,0)*$K$66)</f>
        <v>1435964.8672105689</v>
      </c>
      <c r="K107" s="1391">
        <f t="shared" si="55"/>
        <v>1526105.9944646182</v>
      </c>
      <c r="L107" s="1391">
        <f t="shared" si="55"/>
        <v>1616247.1217186691</v>
      </c>
      <c r="M107" s="1391">
        <f t="shared" si="55"/>
        <v>8733675.5780098103</v>
      </c>
      <c r="N107" s="1391">
        <f t="shared" si="55"/>
        <v>0</v>
      </c>
      <c r="O107" s="1391">
        <f t="shared" si="55"/>
        <v>0</v>
      </c>
      <c r="P107" s="1391">
        <f t="shared" si="55"/>
        <v>0</v>
      </c>
      <c r="Q107" s="1391">
        <f t="shared" si="55"/>
        <v>0</v>
      </c>
      <c r="R107" s="1391">
        <f>MIN(R103+R105,MAX(R94,0)*$K$66)</f>
        <v>0</v>
      </c>
      <c r="S107" s="1391">
        <f>MIN(S103+S105,MAX(S94,0)*$K$66)</f>
        <v>0</v>
      </c>
      <c r="T107" s="34"/>
      <c r="U107" s="34"/>
      <c r="V107" s="34"/>
    </row>
    <row r="108" spans="1:56" s="2" customFormat="1" x14ac:dyDescent="0.25">
      <c r="C108" s="9" t="s">
        <v>702</v>
      </c>
      <c r="D108" s="34"/>
      <c r="E108" s="34"/>
      <c r="F108" s="34"/>
      <c r="G108" s="1391">
        <f>SUM(G103+G105+G106-G107)</f>
        <v>10434034.356800005</v>
      </c>
      <c r="H108" s="1391">
        <f t="shared" ref="H108:R108" si="56">SUM(H103+H105+H106-H107)</f>
        <v>11268757.105344005</v>
      </c>
      <c r="I108" s="1391">
        <f>SUM(I103+I105+I106-I107)</f>
        <v>10340528.361371683</v>
      </c>
      <c r="J108" s="1391">
        <f t="shared" si="56"/>
        <v>9731805.7630708497</v>
      </c>
      <c r="K108" s="1391">
        <f t="shared" si="56"/>
        <v>8984244.2296518981</v>
      </c>
      <c r="L108" s="1391">
        <f t="shared" si="56"/>
        <v>8086736.6463053804</v>
      </c>
      <c r="M108" s="1391">
        <f t="shared" si="56"/>
        <v>0</v>
      </c>
      <c r="N108" s="1391">
        <f t="shared" si="56"/>
        <v>0</v>
      </c>
      <c r="O108" s="1391">
        <f t="shared" si="56"/>
        <v>0</v>
      </c>
      <c r="P108" s="1391">
        <f t="shared" si="56"/>
        <v>0</v>
      </c>
      <c r="Q108" s="1391">
        <f t="shared" si="56"/>
        <v>0</v>
      </c>
      <c r="R108" s="1391">
        <f t="shared" si="56"/>
        <v>0</v>
      </c>
      <c r="S108" s="1391">
        <f t="shared" ref="S108" si="57">SUM(S103+S105+S106-S107)</f>
        <v>0</v>
      </c>
      <c r="T108" s="34"/>
      <c r="U108" s="34"/>
      <c r="V108" s="34"/>
    </row>
    <row r="109" spans="1:56" s="2" customFormat="1" x14ac:dyDescent="0.25">
      <c r="C109" s="9" t="s">
        <v>703</v>
      </c>
      <c r="D109" s="34"/>
      <c r="E109" s="34"/>
      <c r="F109" s="1318">
        <f>IF($D$100="IRR",IRR(G109:S109),SUMIF(G109:S109,"&gt;0")/-SUMIF(G109:S109,"&lt;0"))</f>
        <v>8.0000000000000071E-2</v>
      </c>
      <c r="G109" s="1391">
        <f>-G106+G107</f>
        <v>-10434034.356800005</v>
      </c>
      <c r="H109" s="1391">
        <f>-H106+H107</f>
        <v>0</v>
      </c>
      <c r="I109" s="1391">
        <f>-I106+I107</f>
        <v>1829729.3123998416</v>
      </c>
      <c r="J109" s="1391">
        <f>-J106+J107</f>
        <v>1435964.8672105689</v>
      </c>
      <c r="K109" s="1391">
        <f t="shared" ref="K109:R109" si="58">-K106+K107</f>
        <v>1526105.9944646182</v>
      </c>
      <c r="L109" s="1391">
        <f>-L106+L107</f>
        <v>1616247.1217186691</v>
      </c>
      <c r="M109" s="1391">
        <f t="shared" si="58"/>
        <v>8733675.5780098103</v>
      </c>
      <c r="N109" s="1391">
        <f t="shared" si="58"/>
        <v>0</v>
      </c>
      <c r="O109" s="1391">
        <f t="shared" si="58"/>
        <v>0</v>
      </c>
      <c r="P109" s="1391">
        <f t="shared" si="58"/>
        <v>0</v>
      </c>
      <c r="Q109" s="1391">
        <f t="shared" si="58"/>
        <v>0</v>
      </c>
      <c r="R109" s="1391">
        <f t="shared" si="58"/>
        <v>0</v>
      </c>
      <c r="S109" s="1391">
        <f t="shared" ref="S109" si="59">-S106+S107</f>
        <v>0</v>
      </c>
      <c r="T109" s="34"/>
      <c r="U109" s="34"/>
      <c r="V109" s="34"/>
    </row>
    <row r="110" spans="1:56" s="2" customFormat="1" x14ac:dyDescent="0.25">
      <c r="C110" s="9" t="s">
        <v>704</v>
      </c>
      <c r="D110" s="34"/>
      <c r="E110" s="34"/>
      <c r="F110" s="34"/>
      <c r="G110" s="1391"/>
      <c r="H110" s="1391">
        <f>MIN(H103+H105,MAX(H94,0)*$K$66)</f>
        <v>0</v>
      </c>
      <c r="I110" s="1391">
        <f>MIN(I103+I105,MAX(I94,0)*$K$66)</f>
        <v>1829729.3123998416</v>
      </c>
      <c r="J110" s="1391">
        <f t="shared" ref="J110:R110" si="60">MIN(J103+J105,MAX(J94,0)*$K$66)</f>
        <v>1435964.8672105689</v>
      </c>
      <c r="K110" s="1391">
        <f t="shared" si="60"/>
        <v>1526105.9944646182</v>
      </c>
      <c r="L110" s="1391">
        <f>MIN(L103+L105,MAX(L94,0)*$K$66)</f>
        <v>1616247.1217186691</v>
      </c>
      <c r="M110" s="1391">
        <f t="shared" si="60"/>
        <v>8733675.5780098103</v>
      </c>
      <c r="N110" s="1391">
        <f t="shared" si="60"/>
        <v>0</v>
      </c>
      <c r="O110" s="1391">
        <f t="shared" si="60"/>
        <v>0</v>
      </c>
      <c r="P110" s="1391">
        <f t="shared" si="60"/>
        <v>0</v>
      </c>
      <c r="Q110" s="1391">
        <f t="shared" si="60"/>
        <v>0</v>
      </c>
      <c r="R110" s="1391">
        <f t="shared" si="60"/>
        <v>0</v>
      </c>
      <c r="S110" s="1391">
        <f t="shared" ref="S110" si="61">MIN(S103+S105,MAX(S94,0)*$K$66)</f>
        <v>0</v>
      </c>
      <c r="T110" s="34"/>
      <c r="U110" s="34"/>
      <c r="V110" s="34"/>
    </row>
    <row r="111" spans="1:56" s="2" customFormat="1" x14ac:dyDescent="0.25">
      <c r="C111" s="9"/>
      <c r="D111" s="34"/>
      <c r="E111" s="34"/>
      <c r="F111" s="34"/>
      <c r="G111" s="1391"/>
      <c r="H111" s="1391"/>
      <c r="I111" s="1391"/>
      <c r="J111" s="1391"/>
      <c r="K111" s="1391"/>
      <c r="L111" s="1391"/>
      <c r="M111" s="1391"/>
      <c r="N111" s="1391"/>
      <c r="O111" s="1391"/>
      <c r="P111" s="1391"/>
      <c r="Q111" s="1391"/>
      <c r="R111" s="1391"/>
      <c r="S111" s="1391"/>
      <c r="T111" s="34"/>
      <c r="U111" s="34"/>
      <c r="V111" s="34"/>
    </row>
    <row r="112" spans="1:56" s="2" customFormat="1" x14ac:dyDescent="0.25">
      <c r="C112" s="9" t="s">
        <v>705</v>
      </c>
      <c r="D112" s="34"/>
      <c r="E112" s="34"/>
      <c r="F112" s="34"/>
      <c r="G112" s="1391"/>
      <c r="H112" s="1391">
        <f>G116</f>
        <v>0</v>
      </c>
      <c r="I112" s="1391">
        <f>H116</f>
        <v>0</v>
      </c>
      <c r="J112" s="1391">
        <f t="shared" ref="J112:S112" si="62">I116</f>
        <v>-203303.25693331574</v>
      </c>
      <c r="K112" s="1391">
        <f t="shared" si="62"/>
        <v>-379119.16940026649</v>
      </c>
      <c r="L112" s="1391">
        <f t="shared" si="62"/>
        <v>-579016.03567057871</v>
      </c>
      <c r="M112" s="1391">
        <f t="shared" si="62"/>
        <v>-804920.33204852161</v>
      </c>
      <c r="N112" s="1391">
        <f t="shared" si="62"/>
        <v>-1839722.3561690492</v>
      </c>
      <c r="O112" s="1391">
        <f t="shared" si="62"/>
        <v>-1986900.144662573</v>
      </c>
      <c r="P112" s="1391">
        <f t="shared" si="62"/>
        <v>-2145852.1562355789</v>
      </c>
      <c r="Q112" s="1391">
        <f t="shared" si="62"/>
        <v>-2317520.3287344254</v>
      </c>
      <c r="R112" s="1391">
        <f t="shared" si="62"/>
        <v>-2502921.9550331794</v>
      </c>
      <c r="S112" s="1391">
        <f t="shared" si="62"/>
        <v>-2703155.7114358339</v>
      </c>
      <c r="T112" s="34"/>
      <c r="U112" s="34"/>
      <c r="V112" s="34"/>
    </row>
    <row r="113" spans="1:55" s="2" customFormat="1" x14ac:dyDescent="0.25">
      <c r="C113" s="9" t="s">
        <v>706</v>
      </c>
      <c r="D113" s="34"/>
      <c r="E113" s="34"/>
      <c r="F113" s="34"/>
      <c r="G113" s="1391"/>
      <c r="H113" s="1391">
        <f>IF($D$100="Equity Multiple",G114*$D$101-G114,H112*$D$101)</f>
        <v>0</v>
      </c>
      <c r="I113" s="1391">
        <f>IF($D$100="Equity Multiple",H114*$D$101-H114,I112*$D$101)</f>
        <v>0</v>
      </c>
      <c r="J113" s="1391">
        <f t="shared" ref="J113:S113" si="63">IF($D$100="Equity Multiple",I114*$D$101-I114,J112*$D$101)</f>
        <v>-16264.260554665259</v>
      </c>
      <c r="K113" s="1391">
        <f t="shared" si="63"/>
        <v>-30329.533552021319</v>
      </c>
      <c r="L113" s="1391">
        <f t="shared" si="63"/>
        <v>-46321.282853646298</v>
      </c>
      <c r="M113" s="1391">
        <f t="shared" si="63"/>
        <v>-64393.626563881728</v>
      </c>
      <c r="N113" s="1391">
        <f t="shared" si="63"/>
        <v>-147177.78849352393</v>
      </c>
      <c r="O113" s="1391">
        <f t="shared" si="63"/>
        <v>-158952.01157300585</v>
      </c>
      <c r="P113" s="1391">
        <f t="shared" si="63"/>
        <v>-171668.17249884631</v>
      </c>
      <c r="Q113" s="1391">
        <f t="shared" si="63"/>
        <v>-185401.62629875404</v>
      </c>
      <c r="R113" s="1391">
        <f t="shared" si="63"/>
        <v>-200233.75640265434</v>
      </c>
      <c r="S113" s="1391">
        <f t="shared" si="63"/>
        <v>-216252.45691486672</v>
      </c>
      <c r="T113" s="34"/>
      <c r="U113" s="34"/>
      <c r="V113" s="34"/>
    </row>
    <row r="114" spans="1:55" s="2" customFormat="1" x14ac:dyDescent="0.25">
      <c r="C114" s="9" t="s">
        <v>707</v>
      </c>
      <c r="D114" s="34"/>
      <c r="E114" s="34"/>
      <c r="F114" s="34"/>
      <c r="G114" s="1391">
        <f>IF($D$9="$",$D$13,$E$13)</f>
        <v>0</v>
      </c>
      <c r="H114" s="1391">
        <f t="shared" ref="H114:S114" si="64">IF($D$9="$",-MIN(H$94*$D$13,0),-MIN(H$94*$E$13,0))</f>
        <v>0</v>
      </c>
      <c r="I114" s="1391">
        <f t="shared" si="64"/>
        <v>0</v>
      </c>
      <c r="J114" s="1391">
        <f t="shared" si="64"/>
        <v>0</v>
      </c>
      <c r="K114" s="1391">
        <f t="shared" si="64"/>
        <v>0</v>
      </c>
      <c r="L114" s="1391">
        <f t="shared" si="64"/>
        <v>0</v>
      </c>
      <c r="M114" s="1391">
        <f t="shared" si="64"/>
        <v>0</v>
      </c>
      <c r="N114" s="1391">
        <f t="shared" si="64"/>
        <v>0</v>
      </c>
      <c r="O114" s="1391">
        <f t="shared" si="64"/>
        <v>0</v>
      </c>
      <c r="P114" s="1391">
        <f t="shared" si="64"/>
        <v>0</v>
      </c>
      <c r="Q114" s="1391">
        <f t="shared" si="64"/>
        <v>0</v>
      </c>
      <c r="R114" s="1391">
        <f t="shared" si="64"/>
        <v>0</v>
      </c>
      <c r="S114" s="1391">
        <f t="shared" si="64"/>
        <v>0</v>
      </c>
      <c r="T114" s="34"/>
      <c r="U114" s="34"/>
      <c r="V114" s="34"/>
    </row>
    <row r="115" spans="1:55" x14ac:dyDescent="0.25">
      <c r="A115" s="2"/>
      <c r="C115" s="9" t="s">
        <v>708</v>
      </c>
      <c r="D115" s="34"/>
      <c r="E115" s="34"/>
      <c r="F115" s="34"/>
      <c r="G115" s="1391"/>
      <c r="H115" s="1391">
        <f t="shared" ref="H115:S115" si="65">IF(OR($E$5="Pari Passu",AND($E$5="LP First",$E$6="No")),H107/$K$66*$J$66,MAX(MIN(H94-H110,H112+H113+H114),0))</f>
        <v>0</v>
      </c>
      <c r="I115" s="1391">
        <f>IF(OR($E$5="Pari Passu",AND($E$5="LP First",$E$6="No")),I107/$K$66*$J$66,MAX(MIN(I94-I110,I112+I113+I114),0))</f>
        <v>203303.25693331574</v>
      </c>
      <c r="J115" s="1391">
        <f t="shared" si="65"/>
        <v>159551.65191228545</v>
      </c>
      <c r="K115" s="1391">
        <f t="shared" si="65"/>
        <v>169567.33271829091</v>
      </c>
      <c r="L115" s="1391">
        <f t="shared" si="65"/>
        <v>179583.01352429658</v>
      </c>
      <c r="M115" s="1391">
        <f t="shared" si="65"/>
        <v>970408.39755664568</v>
      </c>
      <c r="N115" s="1391">
        <f t="shared" si="65"/>
        <v>0</v>
      </c>
      <c r="O115" s="1391">
        <f t="shared" si="65"/>
        <v>0</v>
      </c>
      <c r="P115" s="1391">
        <f t="shared" si="65"/>
        <v>0</v>
      </c>
      <c r="Q115" s="1391">
        <f t="shared" si="65"/>
        <v>0</v>
      </c>
      <c r="R115" s="1391">
        <f t="shared" si="65"/>
        <v>0</v>
      </c>
      <c r="S115" s="1391">
        <f t="shared" si="65"/>
        <v>0</v>
      </c>
      <c r="T115" s="34"/>
      <c r="U115" s="34"/>
      <c r="V115" s="34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</row>
    <row r="116" spans="1:55" s="2" customFormat="1" x14ac:dyDescent="0.25">
      <c r="C116" s="9" t="s">
        <v>709</v>
      </c>
      <c r="D116" s="34"/>
      <c r="E116" s="34"/>
      <c r="F116" s="34"/>
      <c r="G116" s="1391">
        <f>G112+G113+G114-G115</f>
        <v>0</v>
      </c>
      <c r="H116" s="1391">
        <f t="shared" ref="H116:R116" si="66">H112+H113+H114-H115</f>
        <v>0</v>
      </c>
      <c r="I116" s="1391">
        <f t="shared" si="66"/>
        <v>-203303.25693331574</v>
      </c>
      <c r="J116" s="1391">
        <f t="shared" si="66"/>
        <v>-379119.16940026649</v>
      </c>
      <c r="K116" s="1391">
        <f t="shared" si="66"/>
        <v>-579016.03567057871</v>
      </c>
      <c r="L116" s="1391">
        <f t="shared" si="66"/>
        <v>-804920.33204852161</v>
      </c>
      <c r="M116" s="1391">
        <f t="shared" si="66"/>
        <v>-1839722.3561690492</v>
      </c>
      <c r="N116" s="1391">
        <f t="shared" si="66"/>
        <v>-1986900.144662573</v>
      </c>
      <c r="O116" s="1391">
        <f t="shared" si="66"/>
        <v>-2145852.1562355789</v>
      </c>
      <c r="P116" s="1391">
        <f t="shared" si="66"/>
        <v>-2317520.3287344254</v>
      </c>
      <c r="Q116" s="1391">
        <f t="shared" si="66"/>
        <v>-2502921.9550331794</v>
      </c>
      <c r="R116" s="1391">
        <f t="shared" si="66"/>
        <v>-2703155.7114358339</v>
      </c>
      <c r="S116" s="1391">
        <f t="shared" ref="S116" si="67">S112+S113+S114-S115</f>
        <v>-2919408.1683507008</v>
      </c>
      <c r="T116" s="34"/>
      <c r="U116" s="34"/>
      <c r="V116" s="34"/>
    </row>
    <row r="117" spans="1:55" s="2" customFormat="1" x14ac:dyDescent="0.25">
      <c r="C117" s="9" t="s">
        <v>710</v>
      </c>
      <c r="D117" s="34"/>
      <c r="E117" s="34"/>
      <c r="F117" s="1318" t="str">
        <f>IFERROR(IF($D$100="IRR",IRR(G117:S117),SUMIF(G117:S117,"&gt;0")/-SUMIF(G117:S117,"&lt;0")),"N/A")</f>
        <v>N/A</v>
      </c>
      <c r="G117" s="1391">
        <f>-G114+G115</f>
        <v>0</v>
      </c>
      <c r="H117" s="1391">
        <f>-H114+H115</f>
        <v>0</v>
      </c>
      <c r="I117" s="1391">
        <f t="shared" ref="I117:R117" si="68">-I114+I115</f>
        <v>203303.25693331574</v>
      </c>
      <c r="J117" s="1391">
        <f t="shared" si="68"/>
        <v>159551.65191228545</v>
      </c>
      <c r="K117" s="1391">
        <f t="shared" si="68"/>
        <v>169567.33271829091</v>
      </c>
      <c r="L117" s="1391">
        <f t="shared" si="68"/>
        <v>179583.01352429658</v>
      </c>
      <c r="M117" s="1391">
        <f t="shared" si="68"/>
        <v>970408.39755664568</v>
      </c>
      <c r="N117" s="1391">
        <f t="shared" si="68"/>
        <v>0</v>
      </c>
      <c r="O117" s="1391">
        <f t="shared" si="68"/>
        <v>0</v>
      </c>
      <c r="P117" s="1391">
        <f t="shared" si="68"/>
        <v>0</v>
      </c>
      <c r="Q117" s="1391">
        <f t="shared" si="68"/>
        <v>0</v>
      </c>
      <c r="R117" s="1391">
        <f t="shared" si="68"/>
        <v>0</v>
      </c>
      <c r="S117" s="1391">
        <f t="shared" ref="S117" si="69">-S114+S115</f>
        <v>0</v>
      </c>
      <c r="T117" s="34"/>
      <c r="U117" s="34"/>
      <c r="V117" s="34"/>
    </row>
    <row r="118" spans="1:55" s="2" customFormat="1" x14ac:dyDescent="0.25">
      <c r="C118" s="9"/>
      <c r="D118" s="34"/>
      <c r="E118" s="34"/>
      <c r="F118" s="34"/>
      <c r="G118" s="1391"/>
      <c r="H118" s="1391"/>
      <c r="I118" s="1391"/>
      <c r="J118" s="1391"/>
      <c r="K118" s="1391"/>
      <c r="L118" s="1391"/>
      <c r="M118" s="1391"/>
      <c r="N118" s="1391"/>
      <c r="O118" s="1391"/>
      <c r="P118" s="1391"/>
      <c r="Q118" s="1391"/>
      <c r="R118" s="1391"/>
      <c r="S118" s="1391"/>
      <c r="T118" s="34"/>
      <c r="U118" s="34"/>
      <c r="V118" s="34"/>
    </row>
    <row r="119" spans="1:55" s="2" customFormat="1" x14ac:dyDescent="0.25">
      <c r="C119" s="9" t="s">
        <v>711</v>
      </c>
      <c r="D119" s="34"/>
      <c r="E119" s="34"/>
      <c r="F119" s="34"/>
      <c r="G119" s="1391">
        <f>G110+G115</f>
        <v>0</v>
      </c>
      <c r="H119" s="1391">
        <f t="shared" ref="H119:R119" si="70">H110+H115</f>
        <v>0</v>
      </c>
      <c r="I119" s="1391">
        <f t="shared" si="70"/>
        <v>2033032.5693331573</v>
      </c>
      <c r="J119" s="1391">
        <f t="shared" si="70"/>
        <v>1595516.5191228543</v>
      </c>
      <c r="K119" s="1391">
        <f t="shared" si="70"/>
        <v>1695673.327182909</v>
      </c>
      <c r="L119" s="1391">
        <f t="shared" si="70"/>
        <v>1795830.1352429655</v>
      </c>
      <c r="M119" s="1391">
        <f t="shared" si="70"/>
        <v>9704083.9755664561</v>
      </c>
      <c r="N119" s="1391">
        <f t="shared" si="70"/>
        <v>0</v>
      </c>
      <c r="O119" s="1391">
        <f t="shared" si="70"/>
        <v>0</v>
      </c>
      <c r="P119" s="1391">
        <f t="shared" si="70"/>
        <v>0</v>
      </c>
      <c r="Q119" s="1391">
        <f t="shared" si="70"/>
        <v>0</v>
      </c>
      <c r="R119" s="1391">
        <f t="shared" si="70"/>
        <v>0</v>
      </c>
      <c r="S119" s="1391">
        <f t="shared" ref="S119" si="71">S110+S115</f>
        <v>0</v>
      </c>
      <c r="T119" s="34"/>
      <c r="U119" s="34"/>
      <c r="V119" s="34"/>
    </row>
    <row r="120" spans="1:55" s="2" customFormat="1" x14ac:dyDescent="0.25">
      <c r="C120" s="9" t="s">
        <v>712</v>
      </c>
      <c r="D120" s="34"/>
      <c r="E120" s="34"/>
      <c r="F120" s="34"/>
      <c r="G120" s="1391">
        <f>MAX(G94-G119,0)</f>
        <v>0</v>
      </c>
      <c r="H120" s="1391">
        <f t="shared" ref="H120:Q120" si="72">MAX(H94-H119,0)</f>
        <v>0</v>
      </c>
      <c r="I120" s="1391">
        <f t="shared" si="72"/>
        <v>0</v>
      </c>
      <c r="J120" s="1391">
        <f t="shared" si="72"/>
        <v>0</v>
      </c>
      <c r="K120" s="1391">
        <f t="shared" si="72"/>
        <v>0</v>
      </c>
      <c r="L120" s="1391">
        <f t="shared" si="72"/>
        <v>0</v>
      </c>
      <c r="M120" s="1391">
        <f t="shared" si="72"/>
        <v>21687600.700984009</v>
      </c>
      <c r="N120" s="1391">
        <f t="shared" si="72"/>
        <v>0</v>
      </c>
      <c r="O120" s="1391">
        <f t="shared" si="72"/>
        <v>0</v>
      </c>
      <c r="P120" s="1391">
        <f t="shared" si="72"/>
        <v>0</v>
      </c>
      <c r="Q120" s="1391">
        <f t="shared" si="72"/>
        <v>0</v>
      </c>
      <c r="R120" s="1391">
        <f>MAX(R94-R119,0)</f>
        <v>0</v>
      </c>
      <c r="S120" s="1391">
        <f>MAX(S94-S119,0)</f>
        <v>0</v>
      </c>
      <c r="T120" s="34"/>
      <c r="U120" s="34"/>
      <c r="V120" s="34"/>
    </row>
    <row r="121" spans="1:55" s="2" customFormat="1" x14ac:dyDescent="0.25">
      <c r="C121" s="34"/>
      <c r="D121" s="34"/>
      <c r="E121" s="34"/>
      <c r="F121" s="34"/>
      <c r="G121" s="1391"/>
      <c r="H121" s="1391"/>
      <c r="I121" s="1391"/>
      <c r="J121" s="1391"/>
      <c r="K121" s="1391"/>
      <c r="L121" s="1391"/>
      <c r="M121" s="1391"/>
      <c r="N121" s="1391"/>
      <c r="O121" s="1391"/>
      <c r="P121" s="1391"/>
      <c r="Q121" s="1391"/>
      <c r="R121" s="1391"/>
      <c r="S121" s="1391"/>
      <c r="T121" s="34"/>
      <c r="U121" s="34"/>
      <c r="V121" s="34"/>
      <c r="W121" s="34"/>
      <c r="X121" s="34"/>
    </row>
    <row r="122" spans="1:55" x14ac:dyDescent="0.25">
      <c r="A122" s="2"/>
      <c r="C122" s="1380" t="str">
        <f>C67</f>
        <v>Tier 2 (Promote)</v>
      </c>
      <c r="D122" s="1373" t="str">
        <f>$D$100</f>
        <v>IRR</v>
      </c>
      <c r="E122" s="1359"/>
      <c r="F122" s="1359"/>
      <c r="G122" s="1370">
        <f>G100</f>
        <v>2026</v>
      </c>
      <c r="H122" s="1370">
        <f t="shared" ref="H122:R122" si="73">H100</f>
        <v>2027</v>
      </c>
      <c r="I122" s="1370">
        <f t="shared" si="73"/>
        <v>2028</v>
      </c>
      <c r="J122" s="1370">
        <f t="shared" si="73"/>
        <v>2029</v>
      </c>
      <c r="K122" s="1370">
        <f t="shared" si="73"/>
        <v>2030</v>
      </c>
      <c r="L122" s="1370">
        <f t="shared" si="73"/>
        <v>2031</v>
      </c>
      <c r="M122" s="1370">
        <f t="shared" si="73"/>
        <v>2032</v>
      </c>
      <c r="N122" s="1370">
        <f t="shared" si="73"/>
        <v>2033</v>
      </c>
      <c r="O122" s="1370">
        <f t="shared" si="73"/>
        <v>2034</v>
      </c>
      <c r="P122" s="1370">
        <f t="shared" si="73"/>
        <v>2035</v>
      </c>
      <c r="Q122" s="1370">
        <f t="shared" si="73"/>
        <v>2036</v>
      </c>
      <c r="R122" s="1370">
        <f t="shared" si="73"/>
        <v>2037</v>
      </c>
      <c r="S122" s="1370">
        <f t="shared" ref="S122" si="74">S100</f>
        <v>2038</v>
      </c>
      <c r="T122" s="34"/>
      <c r="U122" s="34"/>
      <c r="V122" s="34"/>
      <c r="W122" s="34"/>
      <c r="X122" s="34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</row>
    <row r="123" spans="1:55" x14ac:dyDescent="0.25">
      <c r="A123" s="2"/>
      <c r="C123" s="1381" t="s">
        <v>696</v>
      </c>
      <c r="D123" s="1390">
        <f>F67</f>
        <v>0</v>
      </c>
      <c r="E123" s="1359"/>
      <c r="F123" s="1359"/>
      <c r="G123" s="1378">
        <f>G101</f>
        <v>0</v>
      </c>
      <c r="H123" s="1378">
        <f t="shared" ref="H123:R123" si="75">H101</f>
        <v>0.1</v>
      </c>
      <c r="I123" s="1378">
        <f t="shared" si="75"/>
        <v>1</v>
      </c>
      <c r="J123" s="1378">
        <f t="shared" si="75"/>
        <v>2</v>
      </c>
      <c r="K123" s="1378">
        <f t="shared" si="75"/>
        <v>3</v>
      </c>
      <c r="L123" s="1378">
        <f t="shared" si="75"/>
        <v>4</v>
      </c>
      <c r="M123" s="1378">
        <f t="shared" si="75"/>
        <v>5</v>
      </c>
      <c r="N123" s="1378">
        <f t="shared" si="75"/>
        <v>6</v>
      </c>
      <c r="O123" s="1378">
        <f t="shared" si="75"/>
        <v>7</v>
      </c>
      <c r="P123" s="1378">
        <f t="shared" si="75"/>
        <v>8</v>
      </c>
      <c r="Q123" s="1378">
        <f t="shared" si="75"/>
        <v>9</v>
      </c>
      <c r="R123" s="1378">
        <f t="shared" si="75"/>
        <v>10</v>
      </c>
      <c r="S123" s="1378" t="e">
        <f t="shared" ref="S123" si="76">S101</f>
        <v>#N/A</v>
      </c>
      <c r="T123" s="34"/>
      <c r="U123" s="34"/>
      <c r="V123" s="34"/>
      <c r="W123" s="34"/>
      <c r="X123" s="34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</row>
    <row r="124" spans="1:55" s="2" customFormat="1" x14ac:dyDescent="0.25">
      <c r="C124" s="1388"/>
      <c r="D124" s="683"/>
      <c r="E124" s="34"/>
      <c r="F124" s="34"/>
      <c r="G124" s="1391"/>
      <c r="H124" s="1391"/>
      <c r="I124" s="1391"/>
      <c r="J124" s="1391"/>
      <c r="K124" s="1391"/>
      <c r="L124" s="1391"/>
      <c r="M124" s="1391"/>
      <c r="N124" s="1391"/>
      <c r="O124" s="1391"/>
      <c r="P124" s="1391"/>
      <c r="Q124" s="1391"/>
      <c r="R124" s="1391"/>
      <c r="S124" s="1391"/>
      <c r="T124" s="34"/>
      <c r="U124" s="34"/>
      <c r="V124" s="34"/>
      <c r="W124" s="34"/>
      <c r="X124" s="34"/>
    </row>
    <row r="125" spans="1:55" s="2" customFormat="1" x14ac:dyDescent="0.25">
      <c r="C125" s="34" t="s">
        <v>697</v>
      </c>
      <c r="D125" s="34"/>
      <c r="E125" s="34"/>
      <c r="F125" s="34"/>
      <c r="G125" s="1391">
        <f>F130</f>
        <v>0</v>
      </c>
      <c r="H125" s="1391">
        <f>G130</f>
        <v>10434034.356800005</v>
      </c>
      <c r="I125" s="1391">
        <f>H130</f>
        <v>10434034.356800005</v>
      </c>
      <c r="J125" s="1391">
        <f>I130</f>
        <v>8604305.044400163</v>
      </c>
      <c r="K125" s="1391">
        <f t="shared" ref="K125:S125" si="77">J130</f>
        <v>7168340.1771895941</v>
      </c>
      <c r="L125" s="1391">
        <f t="shared" si="77"/>
        <v>5642234.182724976</v>
      </c>
      <c r="M125" s="1391">
        <f t="shared" si="77"/>
        <v>4025987.0610063067</v>
      </c>
      <c r="N125" s="1391">
        <f t="shared" si="77"/>
        <v>0</v>
      </c>
      <c r="O125" s="1391">
        <f t="shared" si="77"/>
        <v>0</v>
      </c>
      <c r="P125" s="1391">
        <f t="shared" si="77"/>
        <v>0</v>
      </c>
      <c r="Q125" s="1391">
        <f t="shared" si="77"/>
        <v>0</v>
      </c>
      <c r="R125" s="1391">
        <f t="shared" si="77"/>
        <v>0</v>
      </c>
      <c r="S125" s="1391">
        <f t="shared" si="77"/>
        <v>0</v>
      </c>
      <c r="T125" s="34"/>
      <c r="U125" s="34"/>
      <c r="V125" s="34"/>
      <c r="W125" s="34"/>
      <c r="X125" s="34"/>
    </row>
    <row r="126" spans="1:55" s="2" customFormat="1" x14ac:dyDescent="0.25">
      <c r="C126" s="34" t="s">
        <v>714</v>
      </c>
      <c r="D126" s="34"/>
      <c r="E126" s="34"/>
      <c r="F126" s="34"/>
      <c r="G126" s="1391"/>
      <c r="H126" s="1391">
        <f t="shared" ref="H126:S126" si="78">IF($D$122="Equity Multiple",G127*$D$123-G127,IF($D$122="IRR",H125*$D$123,0))</f>
        <v>0</v>
      </c>
      <c r="I126" s="1391">
        <f t="shared" si="78"/>
        <v>0</v>
      </c>
      <c r="J126" s="1391">
        <f t="shared" si="78"/>
        <v>0</v>
      </c>
      <c r="K126" s="1391">
        <f t="shared" si="78"/>
        <v>0</v>
      </c>
      <c r="L126" s="1391">
        <f t="shared" si="78"/>
        <v>0</v>
      </c>
      <c r="M126" s="1391">
        <f t="shared" si="78"/>
        <v>0</v>
      </c>
      <c r="N126" s="1391">
        <f t="shared" si="78"/>
        <v>0</v>
      </c>
      <c r="O126" s="1391">
        <f t="shared" si="78"/>
        <v>0</v>
      </c>
      <c r="P126" s="1391">
        <f t="shared" si="78"/>
        <v>0</v>
      </c>
      <c r="Q126" s="1391">
        <f t="shared" si="78"/>
        <v>0</v>
      </c>
      <c r="R126" s="1391">
        <f t="shared" si="78"/>
        <v>0</v>
      </c>
      <c r="S126" s="1391">
        <f t="shared" si="78"/>
        <v>0</v>
      </c>
      <c r="T126" s="34"/>
      <c r="U126" s="34"/>
      <c r="V126" s="34"/>
      <c r="W126" s="34"/>
      <c r="X126" s="34"/>
    </row>
    <row r="127" spans="1:55" s="2" customFormat="1" x14ac:dyDescent="0.25">
      <c r="C127" s="34" t="s">
        <v>700</v>
      </c>
      <c r="D127" s="34"/>
      <c r="E127" s="34"/>
      <c r="F127" s="34"/>
      <c r="G127" s="1391">
        <f>IF($D$9="$",$D$12,$E$12)</f>
        <v>10434034.356800005</v>
      </c>
      <c r="H127" s="1391">
        <f t="shared" ref="H127:S127" si="79">IF($D$9="$",-MIN(H$94*$E$12,0),-MIN(H$94*$D$12,0))</f>
        <v>0</v>
      </c>
      <c r="I127" s="1391">
        <f t="shared" si="79"/>
        <v>0</v>
      </c>
      <c r="J127" s="1391">
        <f t="shared" si="79"/>
        <v>0</v>
      </c>
      <c r="K127" s="1391">
        <f t="shared" si="79"/>
        <v>0</v>
      </c>
      <c r="L127" s="1391">
        <f t="shared" si="79"/>
        <v>0</v>
      </c>
      <c r="M127" s="1391">
        <f t="shared" si="79"/>
        <v>0</v>
      </c>
      <c r="N127" s="1391">
        <f t="shared" si="79"/>
        <v>0</v>
      </c>
      <c r="O127" s="1391">
        <f t="shared" si="79"/>
        <v>0</v>
      </c>
      <c r="P127" s="1391">
        <f t="shared" si="79"/>
        <v>0</v>
      </c>
      <c r="Q127" s="1391">
        <f t="shared" si="79"/>
        <v>0</v>
      </c>
      <c r="R127" s="1391">
        <f t="shared" si="79"/>
        <v>0</v>
      </c>
      <c r="S127" s="1391">
        <f t="shared" si="79"/>
        <v>0</v>
      </c>
      <c r="T127" s="34"/>
      <c r="U127" s="34"/>
      <c r="V127" s="34"/>
      <c r="W127" s="34"/>
      <c r="X127" s="34"/>
    </row>
    <row r="128" spans="1:55" s="2" customFormat="1" x14ac:dyDescent="0.25">
      <c r="C128" s="34" t="s">
        <v>715</v>
      </c>
      <c r="D128" s="34"/>
      <c r="E128" s="34"/>
      <c r="F128" s="34"/>
      <c r="G128" s="1391">
        <f>G110</f>
        <v>0</v>
      </c>
      <c r="H128" s="1391">
        <f t="shared" ref="H128" si="80">H110</f>
        <v>0</v>
      </c>
      <c r="I128" s="1391">
        <f t="shared" ref="I128:R128" si="81">I110</f>
        <v>1829729.3123998416</v>
      </c>
      <c r="J128" s="1391">
        <f t="shared" si="81"/>
        <v>1435964.8672105689</v>
      </c>
      <c r="K128" s="1391">
        <f t="shared" si="81"/>
        <v>1526105.9944646182</v>
      </c>
      <c r="L128" s="1391">
        <f t="shared" si="81"/>
        <v>1616247.1217186691</v>
      </c>
      <c r="M128" s="1391">
        <f t="shared" si="81"/>
        <v>8733675.5780098103</v>
      </c>
      <c r="N128" s="1391">
        <f t="shared" si="81"/>
        <v>0</v>
      </c>
      <c r="O128" s="1391">
        <f t="shared" si="81"/>
        <v>0</v>
      </c>
      <c r="P128" s="1391">
        <f t="shared" si="81"/>
        <v>0</v>
      </c>
      <c r="Q128" s="1391">
        <f t="shared" si="81"/>
        <v>0</v>
      </c>
      <c r="R128" s="1391">
        <f t="shared" si="81"/>
        <v>0</v>
      </c>
      <c r="S128" s="1391">
        <f t="shared" ref="S128" si="82">S110</f>
        <v>0</v>
      </c>
      <c r="T128" s="34"/>
      <c r="U128" s="34"/>
      <c r="V128" s="34"/>
      <c r="W128" s="34"/>
      <c r="X128" s="34"/>
    </row>
    <row r="129" spans="1:55" s="2" customFormat="1" x14ac:dyDescent="0.25">
      <c r="C129" s="34" t="s">
        <v>716</v>
      </c>
      <c r="D129" s="34"/>
      <c r="E129" s="34"/>
      <c r="F129" s="34"/>
      <c r="G129" s="1391">
        <f>MIN(G125+G126-G128,G120*$K$67)</f>
        <v>0</v>
      </c>
      <c r="H129" s="1391">
        <f>MIN(H125+H126-H128,H120*$K$67)</f>
        <v>0</v>
      </c>
      <c r="I129" s="1391">
        <f t="shared" ref="I129:R129" si="83">MIN(I125+I126-I128,I120*$K$67)</f>
        <v>0</v>
      </c>
      <c r="J129" s="1391">
        <f t="shared" si="83"/>
        <v>0</v>
      </c>
      <c r="K129" s="1391">
        <f t="shared" si="83"/>
        <v>0</v>
      </c>
      <c r="L129" s="1391">
        <f t="shared" si="83"/>
        <v>0</v>
      </c>
      <c r="M129" s="1391">
        <f t="shared" si="83"/>
        <v>-4707688.5170035036</v>
      </c>
      <c r="N129" s="1391">
        <f t="shared" si="83"/>
        <v>0</v>
      </c>
      <c r="O129" s="1391">
        <f t="shared" si="83"/>
        <v>0</v>
      </c>
      <c r="P129" s="1391">
        <f t="shared" si="83"/>
        <v>0</v>
      </c>
      <c r="Q129" s="1391">
        <f t="shared" si="83"/>
        <v>0</v>
      </c>
      <c r="R129" s="1391">
        <f t="shared" si="83"/>
        <v>0</v>
      </c>
      <c r="S129" s="1391">
        <f t="shared" ref="S129" si="84">MIN(S125+S126-S128,S120*$K$67)</f>
        <v>0</v>
      </c>
      <c r="T129" s="34"/>
      <c r="U129" s="34"/>
      <c r="V129" s="34"/>
      <c r="W129" s="34"/>
      <c r="X129" s="34"/>
    </row>
    <row r="130" spans="1:55" s="2" customFormat="1" x14ac:dyDescent="0.25">
      <c r="C130" s="34" t="s">
        <v>702</v>
      </c>
      <c r="D130" s="34"/>
      <c r="E130" s="34"/>
      <c r="F130" s="34"/>
      <c r="G130" s="1391">
        <f>G125+G126+G127-G128-G129</f>
        <v>10434034.356800005</v>
      </c>
      <c r="H130" s="1391">
        <f>H125+H126+H127-H128-H129</f>
        <v>10434034.356800005</v>
      </c>
      <c r="I130" s="1391">
        <f>I125+I126+I127-I128-I129</f>
        <v>8604305.044400163</v>
      </c>
      <c r="J130" s="1391">
        <f t="shared" ref="J130:R130" si="85">J125+J126+J127-J128-J129</f>
        <v>7168340.1771895941</v>
      </c>
      <c r="K130" s="1391">
        <f t="shared" si="85"/>
        <v>5642234.182724976</v>
      </c>
      <c r="L130" s="1391">
        <f t="shared" si="85"/>
        <v>4025987.0610063067</v>
      </c>
      <c r="M130" s="1391">
        <f t="shared" si="85"/>
        <v>0</v>
      </c>
      <c r="N130" s="1391">
        <f t="shared" si="85"/>
        <v>0</v>
      </c>
      <c r="O130" s="1391">
        <f t="shared" si="85"/>
        <v>0</v>
      </c>
      <c r="P130" s="1391">
        <f t="shared" si="85"/>
        <v>0</v>
      </c>
      <c r="Q130" s="1391">
        <f t="shared" si="85"/>
        <v>0</v>
      </c>
      <c r="R130" s="1391">
        <f t="shared" si="85"/>
        <v>0</v>
      </c>
      <c r="S130" s="1391">
        <f t="shared" ref="S130" si="86">S125+S126+S127-S128-S129</f>
        <v>0</v>
      </c>
      <c r="T130" s="34"/>
      <c r="U130" s="34"/>
      <c r="V130" s="34"/>
      <c r="W130" s="34"/>
      <c r="X130" s="34"/>
    </row>
    <row r="131" spans="1:55" s="2" customFormat="1" x14ac:dyDescent="0.25">
      <c r="C131" s="34" t="s">
        <v>732</v>
      </c>
      <c r="D131" s="34"/>
      <c r="E131" s="34"/>
      <c r="F131" s="1318">
        <f>IF($D$122="IRR",IRR(G131:S131),SUMIF(G131:S131,"&gt;0")/-SUMIF(G131:S131,"&lt;0"))</f>
        <v>4.4408920985006262E-16</v>
      </c>
      <c r="G131" s="1391">
        <f>-G127+G128+G129</f>
        <v>-10434034.356800005</v>
      </c>
      <c r="H131" s="1391">
        <f t="shared" ref="H131:R131" si="87">-H127+H128+H129</f>
        <v>0</v>
      </c>
      <c r="I131" s="1391">
        <f>-I127+I128+I129</f>
        <v>1829729.3123998416</v>
      </c>
      <c r="J131" s="1391">
        <f t="shared" si="87"/>
        <v>1435964.8672105689</v>
      </c>
      <c r="K131" s="1391">
        <f t="shared" si="87"/>
        <v>1526105.9944646182</v>
      </c>
      <c r="L131" s="1391">
        <f t="shared" si="87"/>
        <v>1616247.1217186691</v>
      </c>
      <c r="M131" s="1391">
        <f t="shared" si="87"/>
        <v>4025987.0610063067</v>
      </c>
      <c r="N131" s="1391">
        <f t="shared" si="87"/>
        <v>0</v>
      </c>
      <c r="O131" s="1391">
        <f t="shared" si="87"/>
        <v>0</v>
      </c>
      <c r="P131" s="1391">
        <f t="shared" si="87"/>
        <v>0</v>
      </c>
      <c r="Q131" s="1391">
        <f t="shared" si="87"/>
        <v>0</v>
      </c>
      <c r="R131" s="1391">
        <f t="shared" si="87"/>
        <v>0</v>
      </c>
      <c r="S131" s="1391">
        <f t="shared" ref="S131" si="88">-S127+S128+S129</f>
        <v>0</v>
      </c>
      <c r="T131" s="34"/>
      <c r="U131" s="34"/>
      <c r="V131" s="34"/>
      <c r="W131" s="34"/>
      <c r="X131" s="34"/>
    </row>
    <row r="132" spans="1:55" s="2" customFormat="1" x14ac:dyDescent="0.25">
      <c r="C132" s="34"/>
      <c r="D132" s="34"/>
      <c r="E132" s="34"/>
      <c r="F132" s="34"/>
      <c r="G132" s="1391"/>
      <c r="H132" s="1391"/>
      <c r="I132" s="1391"/>
      <c r="J132" s="1391"/>
      <c r="K132" s="1391"/>
      <c r="L132" s="1391"/>
      <c r="M132" s="1391"/>
      <c r="N132" s="1391"/>
      <c r="O132" s="1391"/>
      <c r="P132" s="1391"/>
      <c r="Q132" s="1391"/>
      <c r="R132" s="1391"/>
      <c r="S132" s="1391"/>
      <c r="T132" s="34"/>
      <c r="U132" s="34"/>
      <c r="V132" s="34"/>
      <c r="W132" s="34"/>
      <c r="X132" s="34"/>
    </row>
    <row r="133" spans="1:55" s="2" customFormat="1" x14ac:dyDescent="0.25">
      <c r="C133" s="34" t="s">
        <v>704</v>
      </c>
      <c r="D133" s="34"/>
      <c r="E133" s="34"/>
      <c r="F133" s="34"/>
      <c r="G133" s="1391">
        <f>G129</f>
        <v>0</v>
      </c>
      <c r="H133" s="1391">
        <f t="shared" ref="H133:R133" si="89">H129</f>
        <v>0</v>
      </c>
      <c r="I133" s="1391">
        <f t="shared" si="89"/>
        <v>0</v>
      </c>
      <c r="J133" s="1391">
        <f t="shared" si="89"/>
        <v>0</v>
      </c>
      <c r="K133" s="1391">
        <f t="shared" si="89"/>
        <v>0</v>
      </c>
      <c r="L133" s="1391">
        <f t="shared" si="89"/>
        <v>0</v>
      </c>
      <c r="M133" s="1391">
        <f t="shared" si="89"/>
        <v>-4707688.5170035036</v>
      </c>
      <c r="N133" s="1391">
        <f t="shared" si="89"/>
        <v>0</v>
      </c>
      <c r="O133" s="1391">
        <f t="shared" si="89"/>
        <v>0</v>
      </c>
      <c r="P133" s="1391">
        <f t="shared" si="89"/>
        <v>0</v>
      </c>
      <c r="Q133" s="1391">
        <f t="shared" si="89"/>
        <v>0</v>
      </c>
      <c r="R133" s="1391">
        <f t="shared" si="89"/>
        <v>0</v>
      </c>
      <c r="S133" s="1391">
        <f t="shared" ref="S133" si="90">S129</f>
        <v>0</v>
      </c>
      <c r="T133" s="34"/>
      <c r="U133" s="34"/>
      <c r="V133" s="34"/>
      <c r="W133" s="34"/>
      <c r="X133" s="34"/>
    </row>
    <row r="134" spans="1:55" s="2" customFormat="1" x14ac:dyDescent="0.25">
      <c r="C134" s="34" t="s">
        <v>708</v>
      </c>
      <c r="D134" s="34"/>
      <c r="E134" s="34"/>
      <c r="F134" s="34"/>
      <c r="G134" s="1391">
        <f>G133/$K$67*$J$67</f>
        <v>0</v>
      </c>
      <c r="H134" s="1391">
        <f>H133/$K$67*$J$67</f>
        <v>0</v>
      </c>
      <c r="I134" s="1391">
        <f t="shared" ref="I134:R134" si="91">I133/$K$67*$J$67</f>
        <v>0</v>
      </c>
      <c r="J134" s="1391">
        <f t="shared" si="91"/>
        <v>0</v>
      </c>
      <c r="K134" s="1391">
        <f t="shared" si="91"/>
        <v>0</v>
      </c>
      <c r="L134" s="1391">
        <f t="shared" si="91"/>
        <v>0</v>
      </c>
      <c r="M134" s="1391">
        <f t="shared" si="91"/>
        <v>-2017580.7930015016</v>
      </c>
      <c r="N134" s="1391">
        <f t="shared" si="91"/>
        <v>0</v>
      </c>
      <c r="O134" s="1391">
        <f t="shared" si="91"/>
        <v>0</v>
      </c>
      <c r="P134" s="1391">
        <f t="shared" si="91"/>
        <v>0</v>
      </c>
      <c r="Q134" s="1391">
        <f t="shared" si="91"/>
        <v>0</v>
      </c>
      <c r="R134" s="1391">
        <f t="shared" si="91"/>
        <v>0</v>
      </c>
      <c r="S134" s="1391">
        <f t="shared" ref="S134" si="92">S133/$K$67*$J$67</f>
        <v>0</v>
      </c>
      <c r="T134" s="34"/>
      <c r="U134" s="34"/>
      <c r="V134" s="34"/>
      <c r="W134" s="34"/>
      <c r="X134" s="34"/>
    </row>
    <row r="135" spans="1:55" s="2" customFormat="1" x14ac:dyDescent="0.25">
      <c r="C135" s="34" t="s">
        <v>717</v>
      </c>
      <c r="D135" s="34"/>
      <c r="E135" s="34"/>
      <c r="F135" s="34"/>
      <c r="G135" s="1391">
        <f>G133+G134</f>
        <v>0</v>
      </c>
      <c r="H135" s="1391">
        <f t="shared" ref="H135:R135" si="93">H133+H134</f>
        <v>0</v>
      </c>
      <c r="I135" s="1391">
        <f t="shared" si="93"/>
        <v>0</v>
      </c>
      <c r="J135" s="1391">
        <f t="shared" si="93"/>
        <v>0</v>
      </c>
      <c r="K135" s="1391">
        <f t="shared" si="93"/>
        <v>0</v>
      </c>
      <c r="L135" s="1391">
        <f t="shared" si="93"/>
        <v>0</v>
      </c>
      <c r="M135" s="1391">
        <f t="shared" si="93"/>
        <v>-6725269.3100050054</v>
      </c>
      <c r="N135" s="1391">
        <f t="shared" si="93"/>
        <v>0</v>
      </c>
      <c r="O135" s="1391">
        <f t="shared" si="93"/>
        <v>0</v>
      </c>
      <c r="P135" s="1391">
        <f t="shared" si="93"/>
        <v>0</v>
      </c>
      <c r="Q135" s="1391">
        <f t="shared" si="93"/>
        <v>0</v>
      </c>
      <c r="R135" s="1391">
        <f t="shared" si="93"/>
        <v>0</v>
      </c>
      <c r="S135" s="1391">
        <f t="shared" ref="S135" si="94">S133+S134</f>
        <v>0</v>
      </c>
      <c r="T135" s="34"/>
      <c r="U135" s="34"/>
      <c r="V135" s="34"/>
      <c r="W135" s="34"/>
      <c r="X135" s="34"/>
    </row>
    <row r="136" spans="1:55" s="2" customFormat="1" x14ac:dyDescent="0.25">
      <c r="C136" s="34" t="s">
        <v>712</v>
      </c>
      <c r="D136" s="34"/>
      <c r="E136" s="34"/>
      <c r="F136" s="34"/>
      <c r="G136" s="1391">
        <f>MAX(G94-G119-G135,0)</f>
        <v>0</v>
      </c>
      <c r="H136" s="1391">
        <f t="shared" ref="H136:R136" si="95">MAX(H94-H119-H135,0)</f>
        <v>0</v>
      </c>
      <c r="I136" s="1391">
        <f t="shared" si="95"/>
        <v>0</v>
      </c>
      <c r="J136" s="1391">
        <f t="shared" si="95"/>
        <v>0</v>
      </c>
      <c r="K136" s="1391">
        <f t="shared" si="95"/>
        <v>0</v>
      </c>
      <c r="L136" s="1391">
        <f t="shared" si="95"/>
        <v>0</v>
      </c>
      <c r="M136" s="1391">
        <f t="shared" si="95"/>
        <v>28412870.010989014</v>
      </c>
      <c r="N136" s="1391">
        <f>MAX(N94-N119-N135,0)</f>
        <v>0</v>
      </c>
      <c r="O136" s="1391">
        <f t="shared" si="95"/>
        <v>0</v>
      </c>
      <c r="P136" s="1391">
        <f t="shared" si="95"/>
        <v>0</v>
      </c>
      <c r="Q136" s="1391">
        <f t="shared" si="95"/>
        <v>0</v>
      </c>
      <c r="R136" s="1391">
        <f t="shared" si="95"/>
        <v>0</v>
      </c>
      <c r="S136" s="1391">
        <f t="shared" ref="S136" si="96">MAX(S94-S119-S135,0)</f>
        <v>0</v>
      </c>
      <c r="T136" s="34"/>
      <c r="U136" s="34"/>
      <c r="V136" s="34"/>
      <c r="W136" s="34"/>
      <c r="X136" s="34"/>
    </row>
    <row r="137" spans="1:55" s="2" customFormat="1" x14ac:dyDescent="0.25">
      <c r="C137" s="34"/>
      <c r="D137" s="34"/>
      <c r="E137" s="34"/>
      <c r="F137" s="34"/>
      <c r="G137" s="1391"/>
      <c r="H137" s="1391"/>
      <c r="I137" s="1391"/>
      <c r="J137" s="1391"/>
      <c r="K137" s="1391"/>
      <c r="L137" s="1391"/>
      <c r="M137" s="1391"/>
      <c r="N137" s="1391"/>
      <c r="O137" s="1391"/>
      <c r="P137" s="1391"/>
      <c r="Q137" s="1391"/>
      <c r="R137" s="1391"/>
      <c r="S137" s="1391"/>
      <c r="T137" s="34"/>
      <c r="U137" s="34"/>
      <c r="V137" s="34"/>
      <c r="W137" s="34"/>
      <c r="X137" s="34"/>
    </row>
    <row r="138" spans="1:55" x14ac:dyDescent="0.25">
      <c r="A138" s="2"/>
      <c r="C138" s="1380" t="str">
        <f>C68</f>
        <v>Tier 3 (Promote)</v>
      </c>
      <c r="D138" s="1373" t="str">
        <f>$D$100</f>
        <v>IRR</v>
      </c>
      <c r="E138" s="1359"/>
      <c r="F138" s="1359"/>
      <c r="G138" s="1370">
        <f>G122</f>
        <v>2026</v>
      </c>
      <c r="H138" s="1370">
        <f t="shared" ref="H138:R138" si="97">H122</f>
        <v>2027</v>
      </c>
      <c r="I138" s="1370">
        <f t="shared" si="97"/>
        <v>2028</v>
      </c>
      <c r="J138" s="1370">
        <f t="shared" si="97"/>
        <v>2029</v>
      </c>
      <c r="K138" s="1370">
        <f t="shared" si="97"/>
        <v>2030</v>
      </c>
      <c r="L138" s="1370">
        <f t="shared" si="97"/>
        <v>2031</v>
      </c>
      <c r="M138" s="1370">
        <f t="shared" si="97"/>
        <v>2032</v>
      </c>
      <c r="N138" s="1370">
        <f t="shared" si="97"/>
        <v>2033</v>
      </c>
      <c r="O138" s="1370">
        <f t="shared" si="97"/>
        <v>2034</v>
      </c>
      <c r="P138" s="1370">
        <f t="shared" si="97"/>
        <v>2035</v>
      </c>
      <c r="Q138" s="1370">
        <f t="shared" si="97"/>
        <v>2036</v>
      </c>
      <c r="R138" s="1370">
        <f t="shared" si="97"/>
        <v>2037</v>
      </c>
      <c r="S138" s="1370">
        <f t="shared" ref="S138" si="98">S122</f>
        <v>2038</v>
      </c>
      <c r="T138" s="34"/>
      <c r="U138" s="34"/>
      <c r="V138" s="34"/>
      <c r="W138" s="34"/>
      <c r="X138" s="34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</row>
    <row r="139" spans="1:55" x14ac:dyDescent="0.25">
      <c r="A139" s="2"/>
      <c r="C139" s="1381" t="s">
        <v>696</v>
      </c>
      <c r="D139" s="1390">
        <f>F68</f>
        <v>0</v>
      </c>
      <c r="E139" s="1359"/>
      <c r="F139" s="1359"/>
      <c r="G139" s="1378">
        <f>G123</f>
        <v>0</v>
      </c>
      <c r="H139" s="1378">
        <f t="shared" ref="H139:R139" si="99">H123</f>
        <v>0.1</v>
      </c>
      <c r="I139" s="1378">
        <f t="shared" si="99"/>
        <v>1</v>
      </c>
      <c r="J139" s="1378">
        <f t="shared" si="99"/>
        <v>2</v>
      </c>
      <c r="K139" s="1378">
        <f t="shared" si="99"/>
        <v>3</v>
      </c>
      <c r="L139" s="1378">
        <f t="shared" si="99"/>
        <v>4</v>
      </c>
      <c r="M139" s="1378">
        <f t="shared" si="99"/>
        <v>5</v>
      </c>
      <c r="N139" s="1378">
        <f t="shared" si="99"/>
        <v>6</v>
      </c>
      <c r="O139" s="1378">
        <f t="shared" si="99"/>
        <v>7</v>
      </c>
      <c r="P139" s="1378">
        <f t="shared" si="99"/>
        <v>8</v>
      </c>
      <c r="Q139" s="1378">
        <f t="shared" si="99"/>
        <v>9</v>
      </c>
      <c r="R139" s="1378">
        <f t="shared" si="99"/>
        <v>10</v>
      </c>
      <c r="S139" s="1378" t="e">
        <f t="shared" ref="S139" si="100">S123</f>
        <v>#N/A</v>
      </c>
      <c r="T139" s="34"/>
      <c r="U139" s="34"/>
      <c r="V139" s="34"/>
      <c r="W139" s="34"/>
      <c r="X139" s="34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</row>
    <row r="140" spans="1:55" s="2" customFormat="1" x14ac:dyDescent="0.25">
      <c r="C140" s="34"/>
      <c r="D140" s="34"/>
      <c r="E140" s="34"/>
      <c r="F140" s="34"/>
      <c r="G140" s="1391"/>
      <c r="H140" s="1391"/>
      <c r="I140" s="1391"/>
      <c r="J140" s="1391"/>
      <c r="K140" s="1391"/>
      <c r="L140" s="1391"/>
      <c r="M140" s="1391"/>
      <c r="N140" s="1391"/>
      <c r="O140" s="1391"/>
      <c r="P140" s="1391"/>
      <c r="Q140" s="1391"/>
      <c r="R140" s="1391"/>
      <c r="S140" s="1391"/>
      <c r="T140" s="34"/>
      <c r="U140" s="34"/>
      <c r="V140" s="34"/>
      <c r="W140" s="34"/>
      <c r="X140" s="34"/>
    </row>
    <row r="141" spans="1:55" s="2" customFormat="1" x14ac:dyDescent="0.25">
      <c r="C141" s="34" t="s">
        <v>697</v>
      </c>
      <c r="D141" s="34"/>
      <c r="E141" s="34"/>
      <c r="F141" s="34"/>
      <c r="G141" s="1391">
        <f>F146</f>
        <v>0</v>
      </c>
      <c r="H141" s="1391">
        <f>G146</f>
        <v>10434034.356800005</v>
      </c>
      <c r="I141" s="1391">
        <f t="shared" ref="I141:S141" si="101">H146</f>
        <v>10434034.356800005</v>
      </c>
      <c r="J141" s="1391">
        <f>I146</f>
        <v>8604305.044400163</v>
      </c>
      <c r="K141" s="1391">
        <f t="shared" si="101"/>
        <v>7168340.1771895941</v>
      </c>
      <c r="L141" s="1391">
        <f t="shared" si="101"/>
        <v>5642234.182724976</v>
      </c>
      <c r="M141" s="1391">
        <f t="shared" si="101"/>
        <v>4025987.0610063067</v>
      </c>
      <c r="N141" s="1391">
        <f t="shared" si="101"/>
        <v>0</v>
      </c>
      <c r="O141" s="1391">
        <f t="shared" si="101"/>
        <v>0</v>
      </c>
      <c r="P141" s="1391">
        <f t="shared" si="101"/>
        <v>0</v>
      </c>
      <c r="Q141" s="1391">
        <f t="shared" si="101"/>
        <v>0</v>
      </c>
      <c r="R141" s="1391">
        <f t="shared" si="101"/>
        <v>0</v>
      </c>
      <c r="S141" s="1391">
        <f t="shared" si="101"/>
        <v>0</v>
      </c>
      <c r="T141" s="34"/>
      <c r="U141" s="34"/>
      <c r="V141" s="34"/>
      <c r="W141" s="34"/>
      <c r="X141" s="34"/>
    </row>
    <row r="142" spans="1:55" s="2" customFormat="1" x14ac:dyDescent="0.25">
      <c r="C142" s="34" t="s">
        <v>718</v>
      </c>
      <c r="D142" s="34"/>
      <c r="E142" s="34"/>
      <c r="F142" s="34"/>
      <c r="G142" s="1391"/>
      <c r="H142" s="1391">
        <f t="shared" ref="H142:S142" si="102">IF($D$138="Equity Multiple",G143*$D$139-G143,IF($D$138="IRR",H141*$D$139,0))</f>
        <v>0</v>
      </c>
      <c r="I142" s="1391">
        <f t="shared" si="102"/>
        <v>0</v>
      </c>
      <c r="J142" s="1391">
        <f t="shared" si="102"/>
        <v>0</v>
      </c>
      <c r="K142" s="1391">
        <f t="shared" si="102"/>
        <v>0</v>
      </c>
      <c r="L142" s="1391">
        <f t="shared" si="102"/>
        <v>0</v>
      </c>
      <c r="M142" s="1391">
        <f t="shared" si="102"/>
        <v>0</v>
      </c>
      <c r="N142" s="1391">
        <f t="shared" si="102"/>
        <v>0</v>
      </c>
      <c r="O142" s="1391">
        <f t="shared" si="102"/>
        <v>0</v>
      </c>
      <c r="P142" s="1391">
        <f t="shared" si="102"/>
        <v>0</v>
      </c>
      <c r="Q142" s="1391">
        <f t="shared" si="102"/>
        <v>0</v>
      </c>
      <c r="R142" s="1391">
        <f t="shared" si="102"/>
        <v>0</v>
      </c>
      <c r="S142" s="1391">
        <f t="shared" si="102"/>
        <v>0</v>
      </c>
      <c r="T142" s="34"/>
      <c r="U142" s="34"/>
      <c r="V142" s="34"/>
      <c r="W142" s="34"/>
      <c r="X142" s="34"/>
    </row>
    <row r="143" spans="1:55" s="2" customFormat="1" x14ac:dyDescent="0.25">
      <c r="C143" s="34" t="s">
        <v>700</v>
      </c>
      <c r="D143" s="34"/>
      <c r="E143" s="34"/>
      <c r="F143" s="34"/>
      <c r="G143" s="1391">
        <f>IF($D$9="$",$D$12,$E$12)</f>
        <v>10434034.356800005</v>
      </c>
      <c r="H143" s="1391">
        <f t="shared" ref="H143:Q143" si="103">IF($D$9="$",-MIN(H$94*$E$12,0),-MIN(H$94*$D$12,0))</f>
        <v>0</v>
      </c>
      <c r="I143" s="1391">
        <f t="shared" si="103"/>
        <v>0</v>
      </c>
      <c r="J143" s="1391">
        <f t="shared" si="103"/>
        <v>0</v>
      </c>
      <c r="K143" s="1391">
        <f t="shared" si="103"/>
        <v>0</v>
      </c>
      <c r="L143" s="1391">
        <f t="shared" si="103"/>
        <v>0</v>
      </c>
      <c r="M143" s="1391">
        <f t="shared" si="103"/>
        <v>0</v>
      </c>
      <c r="N143" s="1391">
        <f t="shared" si="103"/>
        <v>0</v>
      </c>
      <c r="O143" s="1391">
        <f t="shared" si="103"/>
        <v>0</v>
      </c>
      <c r="P143" s="1391">
        <f t="shared" si="103"/>
        <v>0</v>
      </c>
      <c r="Q143" s="1391">
        <f t="shared" si="103"/>
        <v>0</v>
      </c>
      <c r="R143" s="1391">
        <f>IF($D$9="$",-MIN(R$94*$D$12,0),-MIN(R$94*$E$12,0))</f>
        <v>0</v>
      </c>
      <c r="S143" s="1391">
        <f>IF($D$9="$",-MIN(S$94*$D$12,0),-MIN(S$94*$E$12,0))</f>
        <v>0</v>
      </c>
      <c r="T143" s="34"/>
      <c r="U143" s="34"/>
      <c r="V143" s="34"/>
      <c r="W143" s="34"/>
      <c r="X143" s="34"/>
    </row>
    <row r="144" spans="1:55" s="2" customFormat="1" x14ac:dyDescent="0.25">
      <c r="C144" s="34" t="s">
        <v>715</v>
      </c>
      <c r="D144" s="34"/>
      <c r="E144" s="34"/>
      <c r="F144" s="34"/>
      <c r="G144" s="1391">
        <f>G110+G129</f>
        <v>0</v>
      </c>
      <c r="H144" s="1391">
        <f>H110+H129</f>
        <v>0</v>
      </c>
      <c r="I144" s="1391">
        <f t="shared" ref="I144:R144" si="104">I110+I129</f>
        <v>1829729.3123998416</v>
      </c>
      <c r="J144" s="1391">
        <f t="shared" si="104"/>
        <v>1435964.8672105689</v>
      </c>
      <c r="K144" s="1391">
        <f t="shared" si="104"/>
        <v>1526105.9944646182</v>
      </c>
      <c r="L144" s="1391">
        <f t="shared" si="104"/>
        <v>1616247.1217186691</v>
      </c>
      <c r="M144" s="1391">
        <f t="shared" si="104"/>
        <v>4025987.0610063067</v>
      </c>
      <c r="N144" s="1391">
        <f t="shared" si="104"/>
        <v>0</v>
      </c>
      <c r="O144" s="1391">
        <f t="shared" si="104"/>
        <v>0</v>
      </c>
      <c r="P144" s="1391">
        <f t="shared" si="104"/>
        <v>0</v>
      </c>
      <c r="Q144" s="1391">
        <f t="shared" si="104"/>
        <v>0</v>
      </c>
      <c r="R144" s="1391">
        <f t="shared" si="104"/>
        <v>0</v>
      </c>
      <c r="S144" s="1391">
        <f t="shared" ref="S144" si="105">S110+S129</f>
        <v>0</v>
      </c>
      <c r="T144" s="34"/>
      <c r="U144" s="34"/>
      <c r="V144" s="34"/>
      <c r="W144" s="34"/>
      <c r="X144" s="34"/>
    </row>
    <row r="145" spans="1:55" s="2" customFormat="1" x14ac:dyDescent="0.25">
      <c r="C145" s="34" t="s">
        <v>719</v>
      </c>
      <c r="D145" s="34"/>
      <c r="E145" s="34"/>
      <c r="F145" s="34"/>
      <c r="G145" s="1391">
        <f>MIN(G141+G142-G144,G136*$K$68)</f>
        <v>0</v>
      </c>
      <c r="H145" s="1391">
        <f>MIN(H141+H142-H144,H136*$K$68)</f>
        <v>0</v>
      </c>
      <c r="I145" s="1391">
        <f t="shared" ref="I145:R145" si="106">MIN(I141+I142-I144,I136*$K$68)</f>
        <v>0</v>
      </c>
      <c r="J145" s="1391">
        <f t="shared" si="106"/>
        <v>0</v>
      </c>
      <c r="K145" s="1391">
        <f t="shared" si="106"/>
        <v>0</v>
      </c>
      <c r="L145" s="1391">
        <f t="shared" si="106"/>
        <v>0</v>
      </c>
      <c r="M145" s="1391">
        <f t="shared" si="106"/>
        <v>0</v>
      </c>
      <c r="N145" s="1391">
        <f t="shared" si="106"/>
        <v>0</v>
      </c>
      <c r="O145" s="1391">
        <f t="shared" si="106"/>
        <v>0</v>
      </c>
      <c r="P145" s="1391">
        <f t="shared" si="106"/>
        <v>0</v>
      </c>
      <c r="Q145" s="1391">
        <f t="shared" si="106"/>
        <v>0</v>
      </c>
      <c r="R145" s="1391">
        <f t="shared" si="106"/>
        <v>0</v>
      </c>
      <c r="S145" s="1391">
        <f t="shared" ref="S145" si="107">MIN(S141+S142-S144,S136*$K$68)</f>
        <v>0</v>
      </c>
      <c r="T145" s="34"/>
      <c r="U145" s="34"/>
      <c r="V145" s="34"/>
      <c r="W145" s="34"/>
      <c r="X145" s="34"/>
    </row>
    <row r="146" spans="1:55" s="2" customFormat="1" x14ac:dyDescent="0.25">
      <c r="C146" s="34" t="s">
        <v>702</v>
      </c>
      <c r="D146" s="34"/>
      <c r="E146" s="34"/>
      <c r="F146" s="34"/>
      <c r="G146" s="1391">
        <f>G141+G142+G143-G144-G145</f>
        <v>10434034.356800005</v>
      </c>
      <c r="H146" s="1391">
        <f>H141+H142+H143-H144-H145</f>
        <v>10434034.356800005</v>
      </c>
      <c r="I146" s="1391">
        <f t="shared" ref="I146:R146" si="108">I141+I142+I143-I144-I145</f>
        <v>8604305.044400163</v>
      </c>
      <c r="J146" s="1391">
        <f t="shared" si="108"/>
        <v>7168340.1771895941</v>
      </c>
      <c r="K146" s="1391">
        <f t="shared" si="108"/>
        <v>5642234.182724976</v>
      </c>
      <c r="L146" s="1391">
        <f t="shared" si="108"/>
        <v>4025987.0610063067</v>
      </c>
      <c r="M146" s="1391">
        <f t="shared" si="108"/>
        <v>0</v>
      </c>
      <c r="N146" s="1391">
        <f t="shared" si="108"/>
        <v>0</v>
      </c>
      <c r="O146" s="1391">
        <f t="shared" si="108"/>
        <v>0</v>
      </c>
      <c r="P146" s="1391">
        <f t="shared" si="108"/>
        <v>0</v>
      </c>
      <c r="Q146" s="1391">
        <f t="shared" si="108"/>
        <v>0</v>
      </c>
      <c r="R146" s="1391">
        <f t="shared" si="108"/>
        <v>0</v>
      </c>
      <c r="S146" s="1391">
        <f t="shared" ref="S146" si="109">S141+S142+S143-S144-S145</f>
        <v>0</v>
      </c>
      <c r="T146" s="34"/>
      <c r="U146" s="34"/>
      <c r="V146" s="34"/>
      <c r="W146" s="34"/>
      <c r="X146" s="34"/>
    </row>
    <row r="147" spans="1:55" s="2" customFormat="1" x14ac:dyDescent="0.25">
      <c r="C147" s="34" t="s">
        <v>732</v>
      </c>
      <c r="D147" s="34"/>
      <c r="E147" s="34"/>
      <c r="F147" s="1318">
        <f>IF($D$122="IRR",IRR(G147:S147),SUMIF(G147:S147,"&gt;0")/-SUMIF(G147:S147,"&lt;0"))</f>
        <v>4.4408920985006262E-16</v>
      </c>
      <c r="G147" s="1391">
        <f>-G143+G144+G145</f>
        <v>-10434034.356800005</v>
      </c>
      <c r="H147" s="1391">
        <f>-H143+H144+H145</f>
        <v>0</v>
      </c>
      <c r="I147" s="1391">
        <f t="shared" ref="I147:R147" si="110">-I143+I144+I145</f>
        <v>1829729.3123998416</v>
      </c>
      <c r="J147" s="1391">
        <f t="shared" si="110"/>
        <v>1435964.8672105689</v>
      </c>
      <c r="K147" s="1391">
        <f t="shared" si="110"/>
        <v>1526105.9944646182</v>
      </c>
      <c r="L147" s="1391">
        <f t="shared" si="110"/>
        <v>1616247.1217186691</v>
      </c>
      <c r="M147" s="1391">
        <f t="shared" si="110"/>
        <v>4025987.0610063067</v>
      </c>
      <c r="N147" s="1391">
        <f t="shared" si="110"/>
        <v>0</v>
      </c>
      <c r="O147" s="1391">
        <f t="shared" si="110"/>
        <v>0</v>
      </c>
      <c r="P147" s="1391">
        <f t="shared" si="110"/>
        <v>0</v>
      </c>
      <c r="Q147" s="1391">
        <f t="shared" si="110"/>
        <v>0</v>
      </c>
      <c r="R147" s="1391">
        <f t="shared" si="110"/>
        <v>0</v>
      </c>
      <c r="S147" s="1391">
        <f t="shared" ref="S147" si="111">-S143+S144+S145</f>
        <v>0</v>
      </c>
      <c r="T147" s="34"/>
      <c r="U147" s="34"/>
      <c r="V147" s="34"/>
      <c r="W147" s="34"/>
      <c r="X147" s="34"/>
    </row>
    <row r="148" spans="1:55" s="2" customFormat="1" x14ac:dyDescent="0.25">
      <c r="C148" s="34"/>
      <c r="D148" s="34"/>
      <c r="E148" s="34"/>
      <c r="F148" s="34"/>
      <c r="G148" s="1391"/>
      <c r="H148" s="1391"/>
      <c r="I148" s="1391"/>
      <c r="J148" s="1391"/>
      <c r="K148" s="1391"/>
      <c r="L148" s="1391"/>
      <c r="M148" s="1391"/>
      <c r="N148" s="1391"/>
      <c r="O148" s="1391"/>
      <c r="P148" s="1391"/>
      <c r="Q148" s="1391"/>
      <c r="R148" s="1391"/>
      <c r="S148" s="1391"/>
      <c r="T148" s="34"/>
      <c r="U148" s="34"/>
      <c r="V148" s="34"/>
      <c r="W148" s="34"/>
      <c r="X148" s="34"/>
    </row>
    <row r="149" spans="1:55" s="2" customFormat="1" x14ac:dyDescent="0.25">
      <c r="C149" s="34" t="s">
        <v>704</v>
      </c>
      <c r="D149" s="34"/>
      <c r="E149" s="34"/>
      <c r="F149" s="34"/>
      <c r="G149" s="1391">
        <f>G145</f>
        <v>0</v>
      </c>
      <c r="H149" s="1391">
        <f t="shared" ref="H149:R149" si="112">H145</f>
        <v>0</v>
      </c>
      <c r="I149" s="1391">
        <f t="shared" si="112"/>
        <v>0</v>
      </c>
      <c r="J149" s="1391">
        <f t="shared" si="112"/>
        <v>0</v>
      </c>
      <c r="K149" s="1391">
        <f t="shared" si="112"/>
        <v>0</v>
      </c>
      <c r="L149" s="1391">
        <f t="shared" si="112"/>
        <v>0</v>
      </c>
      <c r="M149" s="1391">
        <f t="shared" si="112"/>
        <v>0</v>
      </c>
      <c r="N149" s="1391">
        <f t="shared" si="112"/>
        <v>0</v>
      </c>
      <c r="O149" s="1391">
        <f t="shared" si="112"/>
        <v>0</v>
      </c>
      <c r="P149" s="1391">
        <f t="shared" si="112"/>
        <v>0</v>
      </c>
      <c r="Q149" s="1391">
        <f t="shared" si="112"/>
        <v>0</v>
      </c>
      <c r="R149" s="1391">
        <f t="shared" si="112"/>
        <v>0</v>
      </c>
      <c r="S149" s="1391">
        <f t="shared" ref="S149" si="113">S145</f>
        <v>0</v>
      </c>
      <c r="T149" s="34"/>
      <c r="U149" s="34"/>
      <c r="V149" s="34"/>
      <c r="W149" s="34"/>
      <c r="X149" s="34"/>
    </row>
    <row r="150" spans="1:55" s="2" customFormat="1" x14ac:dyDescent="0.25">
      <c r="C150" s="34" t="s">
        <v>708</v>
      </c>
      <c r="D150" s="34"/>
      <c r="E150" s="34"/>
      <c r="F150" s="34"/>
      <c r="G150" s="1391">
        <f>G149/$K$68*$J$68</f>
        <v>0</v>
      </c>
      <c r="H150" s="1391">
        <f t="shared" ref="H150:R150" si="114">H149/$K$68*$J$68</f>
        <v>0</v>
      </c>
      <c r="I150" s="1391">
        <f t="shared" si="114"/>
        <v>0</v>
      </c>
      <c r="J150" s="1391">
        <f t="shared" si="114"/>
        <v>0</v>
      </c>
      <c r="K150" s="1391">
        <f t="shared" si="114"/>
        <v>0</v>
      </c>
      <c r="L150" s="1391">
        <f t="shared" si="114"/>
        <v>0</v>
      </c>
      <c r="M150" s="1391">
        <f t="shared" si="114"/>
        <v>0</v>
      </c>
      <c r="N150" s="1391">
        <f t="shared" si="114"/>
        <v>0</v>
      </c>
      <c r="O150" s="1391">
        <f t="shared" si="114"/>
        <v>0</v>
      </c>
      <c r="P150" s="1391">
        <f t="shared" si="114"/>
        <v>0</v>
      </c>
      <c r="Q150" s="1391">
        <f t="shared" si="114"/>
        <v>0</v>
      </c>
      <c r="R150" s="1391">
        <f t="shared" si="114"/>
        <v>0</v>
      </c>
      <c r="S150" s="1391">
        <f t="shared" ref="S150" si="115">S149/$K$68*$J$68</f>
        <v>0</v>
      </c>
      <c r="T150" s="34"/>
      <c r="U150" s="34"/>
      <c r="V150" s="34"/>
      <c r="W150" s="34"/>
      <c r="X150" s="34"/>
    </row>
    <row r="151" spans="1:55" s="2" customFormat="1" x14ac:dyDescent="0.25">
      <c r="C151" s="34" t="s">
        <v>720</v>
      </c>
      <c r="D151" s="34"/>
      <c r="E151" s="34"/>
      <c r="F151" s="34"/>
      <c r="G151" s="1391">
        <f>G149+G150</f>
        <v>0</v>
      </c>
      <c r="H151" s="1391">
        <f t="shared" ref="H151:R151" si="116">H149+H150</f>
        <v>0</v>
      </c>
      <c r="I151" s="1391">
        <f t="shared" si="116"/>
        <v>0</v>
      </c>
      <c r="J151" s="1391">
        <f t="shared" si="116"/>
        <v>0</v>
      </c>
      <c r="K151" s="1391">
        <f t="shared" si="116"/>
        <v>0</v>
      </c>
      <c r="L151" s="1391">
        <f t="shared" si="116"/>
        <v>0</v>
      </c>
      <c r="M151" s="1391">
        <f t="shared" si="116"/>
        <v>0</v>
      </c>
      <c r="N151" s="1391">
        <f t="shared" si="116"/>
        <v>0</v>
      </c>
      <c r="O151" s="1391">
        <f t="shared" si="116"/>
        <v>0</v>
      </c>
      <c r="P151" s="1391">
        <f t="shared" si="116"/>
        <v>0</v>
      </c>
      <c r="Q151" s="1391">
        <f t="shared" si="116"/>
        <v>0</v>
      </c>
      <c r="R151" s="1391">
        <f t="shared" si="116"/>
        <v>0</v>
      </c>
      <c r="S151" s="1391">
        <f t="shared" ref="S151" si="117">S149+S150</f>
        <v>0</v>
      </c>
      <c r="T151" s="34"/>
      <c r="U151" s="34"/>
      <c r="V151" s="34"/>
      <c r="W151" s="34"/>
      <c r="X151" s="34"/>
    </row>
    <row r="152" spans="1:55" s="2" customFormat="1" x14ac:dyDescent="0.25">
      <c r="C152" s="34" t="s">
        <v>712</v>
      </c>
      <c r="D152" s="34"/>
      <c r="E152" s="34"/>
      <c r="F152" s="34"/>
      <c r="G152" s="1391">
        <f>MAX(G94-G119-G135-G151,0)</f>
        <v>0</v>
      </c>
      <c r="H152" s="1391">
        <f t="shared" ref="H152:Q152" si="118">MAX(H94-H119-H135-H151,0)</f>
        <v>0</v>
      </c>
      <c r="I152" s="1391">
        <f t="shared" si="118"/>
        <v>0</v>
      </c>
      <c r="J152" s="1391">
        <f t="shared" si="118"/>
        <v>0</v>
      </c>
      <c r="K152" s="1391">
        <f t="shared" si="118"/>
        <v>0</v>
      </c>
      <c r="L152" s="1391">
        <f t="shared" si="118"/>
        <v>0</v>
      </c>
      <c r="M152" s="1391">
        <f t="shared" si="118"/>
        <v>28412870.010989014</v>
      </c>
      <c r="N152" s="1391">
        <f t="shared" si="118"/>
        <v>0</v>
      </c>
      <c r="O152" s="1391">
        <f t="shared" si="118"/>
        <v>0</v>
      </c>
      <c r="P152" s="1391">
        <f t="shared" si="118"/>
        <v>0</v>
      </c>
      <c r="Q152" s="1391">
        <f t="shared" si="118"/>
        <v>0</v>
      </c>
      <c r="R152" s="1391">
        <f>MAX(R94-R119-R135-R151,0)</f>
        <v>0</v>
      </c>
      <c r="S152" s="1391">
        <f>MAX(S94-S119-S135-S151,0)</f>
        <v>0</v>
      </c>
      <c r="T152" s="34"/>
      <c r="U152" s="34"/>
      <c r="V152" s="34"/>
      <c r="W152" s="34"/>
      <c r="X152" s="34"/>
    </row>
    <row r="153" spans="1:55" s="2" customFormat="1" x14ac:dyDescent="0.25">
      <c r="C153" s="34"/>
      <c r="D153" s="34"/>
      <c r="E153" s="34"/>
      <c r="F153" s="34"/>
      <c r="G153" s="1391"/>
      <c r="H153" s="1391"/>
      <c r="I153" s="1391"/>
      <c r="J153" s="1391"/>
      <c r="K153" s="1391"/>
      <c r="L153" s="1391"/>
      <c r="M153" s="1391"/>
      <c r="N153" s="1391"/>
      <c r="O153" s="1391"/>
      <c r="P153" s="1391"/>
      <c r="Q153" s="1391"/>
      <c r="R153" s="1391"/>
      <c r="S153" s="1391"/>
      <c r="T153" s="34"/>
      <c r="U153" s="34"/>
      <c r="V153" s="34"/>
      <c r="W153" s="34"/>
      <c r="X153" s="34"/>
    </row>
    <row r="154" spans="1:55" x14ac:dyDescent="0.25">
      <c r="A154" s="2"/>
      <c r="C154" s="1380" t="str">
        <f>C69</f>
        <v>Tier 4 (Promote)</v>
      </c>
      <c r="D154" s="1373" t="str">
        <f>$D$100</f>
        <v>IRR</v>
      </c>
      <c r="E154" s="1359"/>
      <c r="F154" s="1359"/>
      <c r="G154" s="1370">
        <f>G138</f>
        <v>2026</v>
      </c>
      <c r="H154" s="1370">
        <f t="shared" ref="H154:R154" si="119">H138</f>
        <v>2027</v>
      </c>
      <c r="I154" s="1370">
        <f t="shared" si="119"/>
        <v>2028</v>
      </c>
      <c r="J154" s="1370">
        <f t="shared" si="119"/>
        <v>2029</v>
      </c>
      <c r="K154" s="1370">
        <f t="shared" si="119"/>
        <v>2030</v>
      </c>
      <c r="L154" s="1370">
        <f t="shared" si="119"/>
        <v>2031</v>
      </c>
      <c r="M154" s="1370">
        <f t="shared" si="119"/>
        <v>2032</v>
      </c>
      <c r="N154" s="1370">
        <f t="shared" si="119"/>
        <v>2033</v>
      </c>
      <c r="O154" s="1370">
        <f t="shared" si="119"/>
        <v>2034</v>
      </c>
      <c r="P154" s="1370">
        <f t="shared" si="119"/>
        <v>2035</v>
      </c>
      <c r="Q154" s="1370">
        <f t="shared" si="119"/>
        <v>2036</v>
      </c>
      <c r="R154" s="1370">
        <f t="shared" si="119"/>
        <v>2037</v>
      </c>
      <c r="S154" s="1370">
        <f t="shared" ref="S154" si="120">S138</f>
        <v>2038</v>
      </c>
      <c r="T154" s="34"/>
      <c r="U154" s="34"/>
      <c r="V154" s="34"/>
      <c r="W154" s="34"/>
      <c r="X154" s="34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</row>
    <row r="155" spans="1:55" x14ac:dyDescent="0.25">
      <c r="A155" s="2"/>
      <c r="C155" s="1381" t="s">
        <v>696</v>
      </c>
      <c r="D155" s="1390">
        <f>F69</f>
        <v>0</v>
      </c>
      <c r="E155" s="1359"/>
      <c r="F155" s="1359"/>
      <c r="G155" s="1378">
        <f>G139</f>
        <v>0</v>
      </c>
      <c r="H155" s="1378">
        <f t="shared" ref="H155:R155" si="121">H139</f>
        <v>0.1</v>
      </c>
      <c r="I155" s="1378">
        <f t="shared" si="121"/>
        <v>1</v>
      </c>
      <c r="J155" s="1378">
        <f t="shared" si="121"/>
        <v>2</v>
      </c>
      <c r="K155" s="1378">
        <f t="shared" si="121"/>
        <v>3</v>
      </c>
      <c r="L155" s="1378">
        <f t="shared" si="121"/>
        <v>4</v>
      </c>
      <c r="M155" s="1378">
        <f t="shared" si="121"/>
        <v>5</v>
      </c>
      <c r="N155" s="1378">
        <f t="shared" si="121"/>
        <v>6</v>
      </c>
      <c r="O155" s="1378">
        <f t="shared" si="121"/>
        <v>7</v>
      </c>
      <c r="P155" s="1378">
        <f t="shared" si="121"/>
        <v>8</v>
      </c>
      <c r="Q155" s="1378">
        <f t="shared" si="121"/>
        <v>9</v>
      </c>
      <c r="R155" s="1378">
        <f t="shared" si="121"/>
        <v>10</v>
      </c>
      <c r="S155" s="1378" t="e">
        <f t="shared" ref="S155" si="122">S139</f>
        <v>#N/A</v>
      </c>
      <c r="T155" s="34"/>
      <c r="U155" s="34"/>
      <c r="V155" s="34"/>
      <c r="W155" s="34"/>
      <c r="X155" s="34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</row>
    <row r="156" spans="1:55" s="2" customFormat="1" x14ac:dyDescent="0.25">
      <c r="C156" s="34"/>
      <c r="D156" s="34"/>
      <c r="E156" s="34"/>
      <c r="F156" s="34"/>
      <c r="G156" s="1391"/>
      <c r="H156" s="1391"/>
      <c r="I156" s="1391"/>
      <c r="J156" s="1391"/>
      <c r="K156" s="1391"/>
      <c r="L156" s="1391"/>
      <c r="M156" s="1391"/>
      <c r="N156" s="1391"/>
      <c r="O156" s="1391"/>
      <c r="P156" s="1391"/>
      <c r="Q156" s="1391"/>
      <c r="R156" s="1391"/>
      <c r="S156" s="1391"/>
      <c r="T156" s="34"/>
      <c r="U156" s="34"/>
      <c r="V156" s="34"/>
      <c r="W156" s="34"/>
      <c r="X156" s="34"/>
    </row>
    <row r="157" spans="1:55" s="2" customFormat="1" x14ac:dyDescent="0.25">
      <c r="C157" s="34" t="s">
        <v>697</v>
      </c>
      <c r="D157" s="34"/>
      <c r="E157" s="34"/>
      <c r="F157" s="34"/>
      <c r="G157" s="1391">
        <f>F162</f>
        <v>0</v>
      </c>
      <c r="H157" s="1391">
        <f>G162</f>
        <v>10434034.356800005</v>
      </c>
      <c r="I157" s="1391">
        <f t="shared" ref="I157:S157" si="123">H162</f>
        <v>10434034.356800005</v>
      </c>
      <c r="J157" s="1391">
        <f t="shared" si="123"/>
        <v>8604305.044400163</v>
      </c>
      <c r="K157" s="1391">
        <f t="shared" si="123"/>
        <v>7168340.1771895941</v>
      </c>
      <c r="L157" s="1391">
        <f t="shared" si="123"/>
        <v>5642234.182724976</v>
      </c>
      <c r="M157" s="1391">
        <f t="shared" si="123"/>
        <v>4025987.0610063067</v>
      </c>
      <c r="N157" s="1391">
        <f t="shared" si="123"/>
        <v>0</v>
      </c>
      <c r="O157" s="1391">
        <f t="shared" si="123"/>
        <v>0</v>
      </c>
      <c r="P157" s="1391">
        <f t="shared" si="123"/>
        <v>0</v>
      </c>
      <c r="Q157" s="1391">
        <f t="shared" si="123"/>
        <v>0</v>
      </c>
      <c r="R157" s="1391">
        <f t="shared" si="123"/>
        <v>0</v>
      </c>
      <c r="S157" s="1391">
        <f t="shared" si="123"/>
        <v>0</v>
      </c>
      <c r="T157" s="34"/>
      <c r="U157" s="34"/>
      <c r="V157" s="34"/>
      <c r="W157" s="34"/>
      <c r="X157" s="34"/>
    </row>
    <row r="158" spans="1:55" s="2" customFormat="1" x14ac:dyDescent="0.25">
      <c r="C158" s="34" t="s">
        <v>721</v>
      </c>
      <c r="D158" s="34"/>
      <c r="E158" s="34"/>
      <c r="F158" s="34"/>
      <c r="G158" s="1391"/>
      <c r="H158" s="1391">
        <f>IF($D$154="Equity Multiple",G159*$D$155-G159,IF($D$154="IRR",H157*$D$155,0))</f>
        <v>0</v>
      </c>
      <c r="I158" s="1391">
        <f t="shared" ref="I158:S158" si="124">IF($D$154="Equity Multiple",H159*$D$155-H159,IF($D$154="IRR",I157*$D$155,0))</f>
        <v>0</v>
      </c>
      <c r="J158" s="1391">
        <f t="shared" si="124"/>
        <v>0</v>
      </c>
      <c r="K158" s="1391">
        <f t="shared" si="124"/>
        <v>0</v>
      </c>
      <c r="L158" s="1391">
        <f t="shared" si="124"/>
        <v>0</v>
      </c>
      <c r="M158" s="1391">
        <f t="shared" si="124"/>
        <v>0</v>
      </c>
      <c r="N158" s="1391">
        <f t="shared" si="124"/>
        <v>0</v>
      </c>
      <c r="O158" s="1391">
        <f t="shared" si="124"/>
        <v>0</v>
      </c>
      <c r="P158" s="1391">
        <f t="shared" si="124"/>
        <v>0</v>
      </c>
      <c r="Q158" s="1391">
        <f t="shared" si="124"/>
        <v>0</v>
      </c>
      <c r="R158" s="1391">
        <f t="shared" si="124"/>
        <v>0</v>
      </c>
      <c r="S158" s="1391">
        <f t="shared" si="124"/>
        <v>0</v>
      </c>
      <c r="T158" s="34"/>
      <c r="U158" s="34"/>
      <c r="V158" s="34"/>
      <c r="W158" s="34"/>
      <c r="X158" s="34"/>
    </row>
    <row r="159" spans="1:55" s="2" customFormat="1" x14ac:dyDescent="0.25">
      <c r="C159" s="34" t="s">
        <v>700</v>
      </c>
      <c r="D159" s="34"/>
      <c r="E159" s="34"/>
      <c r="F159" s="34"/>
      <c r="G159" s="1391">
        <f>IF($D$9="$",$D$12,$E$12)</f>
        <v>10434034.356800005</v>
      </c>
      <c r="H159" s="1391">
        <f t="shared" ref="H159:S159" si="125">IF($D$9="$",-MIN(H$94*$E$12,0),-MIN(H$94*$D$12,0))</f>
        <v>0</v>
      </c>
      <c r="I159" s="1391">
        <f t="shared" si="125"/>
        <v>0</v>
      </c>
      <c r="J159" s="1391">
        <f t="shared" si="125"/>
        <v>0</v>
      </c>
      <c r="K159" s="1391">
        <f t="shared" si="125"/>
        <v>0</v>
      </c>
      <c r="L159" s="1391">
        <f t="shared" si="125"/>
        <v>0</v>
      </c>
      <c r="M159" s="1391">
        <f t="shared" si="125"/>
        <v>0</v>
      </c>
      <c r="N159" s="1391">
        <f t="shared" si="125"/>
        <v>0</v>
      </c>
      <c r="O159" s="1391">
        <f t="shared" si="125"/>
        <v>0</v>
      </c>
      <c r="P159" s="1391">
        <f t="shared" si="125"/>
        <v>0</v>
      </c>
      <c r="Q159" s="1391">
        <f t="shared" si="125"/>
        <v>0</v>
      </c>
      <c r="R159" s="1391">
        <f t="shared" si="125"/>
        <v>0</v>
      </c>
      <c r="S159" s="1391">
        <f t="shared" si="125"/>
        <v>0</v>
      </c>
      <c r="T159" s="34"/>
      <c r="U159" s="34"/>
      <c r="V159" s="34"/>
      <c r="W159" s="34"/>
      <c r="X159" s="34"/>
    </row>
    <row r="160" spans="1:55" s="2" customFormat="1" x14ac:dyDescent="0.25">
      <c r="C160" s="34" t="s">
        <v>715</v>
      </c>
      <c r="D160" s="34"/>
      <c r="E160" s="34"/>
      <c r="F160" s="34"/>
      <c r="G160" s="1391">
        <f>G110+G133+G149</f>
        <v>0</v>
      </c>
      <c r="H160" s="1391">
        <f>H110+H133+H149</f>
        <v>0</v>
      </c>
      <c r="I160" s="1391">
        <f t="shared" ref="I160:R160" si="126">I110+I133+I149</f>
        <v>1829729.3123998416</v>
      </c>
      <c r="J160" s="1391">
        <f t="shared" si="126"/>
        <v>1435964.8672105689</v>
      </c>
      <c r="K160" s="1391">
        <f t="shared" si="126"/>
        <v>1526105.9944646182</v>
      </c>
      <c r="L160" s="1391">
        <f t="shared" si="126"/>
        <v>1616247.1217186691</v>
      </c>
      <c r="M160" s="1391">
        <f t="shared" si="126"/>
        <v>4025987.0610063067</v>
      </c>
      <c r="N160" s="1391">
        <f t="shared" si="126"/>
        <v>0</v>
      </c>
      <c r="O160" s="1391">
        <f t="shared" si="126"/>
        <v>0</v>
      </c>
      <c r="P160" s="1391">
        <f t="shared" si="126"/>
        <v>0</v>
      </c>
      <c r="Q160" s="1391">
        <f t="shared" si="126"/>
        <v>0</v>
      </c>
      <c r="R160" s="1391">
        <f t="shared" si="126"/>
        <v>0</v>
      </c>
      <c r="S160" s="1391">
        <f t="shared" ref="S160" si="127">S110+S133+S149</f>
        <v>0</v>
      </c>
      <c r="T160" s="34"/>
      <c r="U160" s="34"/>
      <c r="V160" s="34"/>
      <c r="W160" s="34"/>
      <c r="X160" s="34"/>
    </row>
    <row r="161" spans="1:55" s="2" customFormat="1" x14ac:dyDescent="0.25">
      <c r="C161" s="34" t="s">
        <v>722</v>
      </c>
      <c r="D161" s="34"/>
      <c r="E161" s="34"/>
      <c r="F161" s="34"/>
      <c r="G161" s="1391">
        <f>MIN(G157+G158-G160,G152*$K$69)</f>
        <v>0</v>
      </c>
      <c r="H161" s="1391">
        <f>MIN(H157+H158-H160,H152*$K$69)</f>
        <v>0</v>
      </c>
      <c r="I161" s="1391">
        <f t="shared" ref="I161:R161" si="128">MIN(I157+I158-I160,I152*$K$69)</f>
        <v>0</v>
      </c>
      <c r="J161" s="1391">
        <f t="shared" si="128"/>
        <v>0</v>
      </c>
      <c r="K161" s="1391">
        <f t="shared" si="128"/>
        <v>0</v>
      </c>
      <c r="L161" s="1391">
        <f t="shared" si="128"/>
        <v>0</v>
      </c>
      <c r="M161" s="1391">
        <f t="shared" si="128"/>
        <v>0</v>
      </c>
      <c r="N161" s="1391">
        <f t="shared" si="128"/>
        <v>0</v>
      </c>
      <c r="O161" s="1391">
        <f t="shared" si="128"/>
        <v>0</v>
      </c>
      <c r="P161" s="1391">
        <f t="shared" si="128"/>
        <v>0</v>
      </c>
      <c r="Q161" s="1391">
        <f t="shared" si="128"/>
        <v>0</v>
      </c>
      <c r="R161" s="1391">
        <f t="shared" si="128"/>
        <v>0</v>
      </c>
      <c r="S161" s="1391">
        <f t="shared" ref="S161" si="129">MIN(S157+S158-S160,S152*$K$69)</f>
        <v>0</v>
      </c>
      <c r="T161" s="34"/>
      <c r="U161" s="34"/>
      <c r="V161" s="34"/>
      <c r="W161" s="34"/>
      <c r="X161" s="34"/>
    </row>
    <row r="162" spans="1:55" s="2" customFormat="1" x14ac:dyDescent="0.25">
      <c r="C162" s="34" t="s">
        <v>702</v>
      </c>
      <c r="D162" s="34"/>
      <c r="E162" s="34"/>
      <c r="F162" s="34"/>
      <c r="G162" s="1391">
        <f>G157+G158+G159-G160-G161</f>
        <v>10434034.356800005</v>
      </c>
      <c r="H162" s="1391">
        <f>H157+H158+H159-H160-H161</f>
        <v>10434034.356800005</v>
      </c>
      <c r="I162" s="1391">
        <f t="shared" ref="I162:R162" si="130">I157+I158+I159-I160-I161</f>
        <v>8604305.044400163</v>
      </c>
      <c r="J162" s="1391">
        <f t="shared" si="130"/>
        <v>7168340.1771895941</v>
      </c>
      <c r="K162" s="1391">
        <f t="shared" si="130"/>
        <v>5642234.182724976</v>
      </c>
      <c r="L162" s="1391">
        <f t="shared" si="130"/>
        <v>4025987.0610063067</v>
      </c>
      <c r="M162" s="1391">
        <f t="shared" si="130"/>
        <v>0</v>
      </c>
      <c r="N162" s="1391">
        <f t="shared" si="130"/>
        <v>0</v>
      </c>
      <c r="O162" s="1391">
        <f t="shared" si="130"/>
        <v>0</v>
      </c>
      <c r="P162" s="1391">
        <f t="shared" si="130"/>
        <v>0</v>
      </c>
      <c r="Q162" s="1391">
        <f t="shared" si="130"/>
        <v>0</v>
      </c>
      <c r="R162" s="1391">
        <f t="shared" si="130"/>
        <v>0</v>
      </c>
      <c r="S162" s="1391">
        <f t="shared" ref="S162" si="131">S157+S158+S159-S160-S161</f>
        <v>0</v>
      </c>
      <c r="T162" s="34"/>
      <c r="U162" s="34"/>
      <c r="V162" s="34"/>
      <c r="W162" s="34"/>
      <c r="X162" s="34"/>
    </row>
    <row r="163" spans="1:55" s="2" customFormat="1" x14ac:dyDescent="0.25">
      <c r="C163" s="34" t="s">
        <v>732</v>
      </c>
      <c r="D163" s="34"/>
      <c r="E163" s="34"/>
      <c r="F163" s="1318">
        <f>IF($D$122="IRR",IRR(G163:S163),SUMIF(G163:S163,"&gt;0")/-SUMIF(G163:S163,"&lt;0"))</f>
        <v>4.4408920985006262E-16</v>
      </c>
      <c r="G163" s="1391">
        <f>-G159+G160+G161</f>
        <v>-10434034.356800005</v>
      </c>
      <c r="H163" s="1391">
        <f>-H159+H160+H161</f>
        <v>0</v>
      </c>
      <c r="I163" s="1391">
        <f t="shared" ref="I163:R163" si="132">-I159+I160+I161</f>
        <v>1829729.3123998416</v>
      </c>
      <c r="J163" s="1391">
        <f t="shared" si="132"/>
        <v>1435964.8672105689</v>
      </c>
      <c r="K163" s="1391">
        <f t="shared" si="132"/>
        <v>1526105.9944646182</v>
      </c>
      <c r="L163" s="1391">
        <f t="shared" si="132"/>
        <v>1616247.1217186691</v>
      </c>
      <c r="M163" s="1391">
        <f t="shared" si="132"/>
        <v>4025987.0610063067</v>
      </c>
      <c r="N163" s="1391">
        <f t="shared" si="132"/>
        <v>0</v>
      </c>
      <c r="O163" s="1391">
        <f t="shared" si="132"/>
        <v>0</v>
      </c>
      <c r="P163" s="1391">
        <f t="shared" si="132"/>
        <v>0</v>
      </c>
      <c r="Q163" s="1391">
        <f t="shared" si="132"/>
        <v>0</v>
      </c>
      <c r="R163" s="1391">
        <f t="shared" si="132"/>
        <v>0</v>
      </c>
      <c r="S163" s="1391">
        <f t="shared" ref="S163" si="133">-S159+S160+S161</f>
        <v>0</v>
      </c>
      <c r="T163" s="34"/>
      <c r="U163" s="34"/>
      <c r="V163" s="34"/>
      <c r="W163" s="34"/>
      <c r="X163" s="34"/>
    </row>
    <row r="164" spans="1:55" s="2" customFormat="1" x14ac:dyDescent="0.25">
      <c r="C164" s="34"/>
      <c r="D164" s="34"/>
      <c r="E164" s="34"/>
      <c r="F164" s="34"/>
      <c r="G164" s="1391"/>
      <c r="H164" s="1391"/>
      <c r="I164" s="1391"/>
      <c r="J164" s="1391"/>
      <c r="K164" s="1391"/>
      <c r="L164" s="1391"/>
      <c r="M164" s="1391"/>
      <c r="N164" s="1391"/>
      <c r="O164" s="1391"/>
      <c r="P164" s="1391"/>
      <c r="Q164" s="1391"/>
      <c r="R164" s="1391"/>
      <c r="S164" s="1391"/>
      <c r="T164" s="34"/>
      <c r="U164" s="34"/>
      <c r="V164" s="34"/>
      <c r="W164" s="34"/>
      <c r="X164" s="34"/>
    </row>
    <row r="165" spans="1:55" s="2" customFormat="1" x14ac:dyDescent="0.25">
      <c r="C165" s="34" t="s">
        <v>704</v>
      </c>
      <c r="D165" s="34"/>
      <c r="E165" s="34"/>
      <c r="F165" s="34"/>
      <c r="G165" s="1391">
        <f>G161</f>
        <v>0</v>
      </c>
      <c r="H165" s="1391">
        <f t="shared" ref="H165:R165" si="134">H161</f>
        <v>0</v>
      </c>
      <c r="I165" s="1391">
        <f t="shared" si="134"/>
        <v>0</v>
      </c>
      <c r="J165" s="1391">
        <f t="shared" si="134"/>
        <v>0</v>
      </c>
      <c r="K165" s="1391">
        <f t="shared" si="134"/>
        <v>0</v>
      </c>
      <c r="L165" s="1391">
        <f t="shared" si="134"/>
        <v>0</v>
      </c>
      <c r="M165" s="1391">
        <f t="shared" si="134"/>
        <v>0</v>
      </c>
      <c r="N165" s="1391">
        <f t="shared" si="134"/>
        <v>0</v>
      </c>
      <c r="O165" s="1391">
        <f t="shared" si="134"/>
        <v>0</v>
      </c>
      <c r="P165" s="1391">
        <f t="shared" si="134"/>
        <v>0</v>
      </c>
      <c r="Q165" s="1391">
        <f t="shared" si="134"/>
        <v>0</v>
      </c>
      <c r="R165" s="1391">
        <f t="shared" si="134"/>
        <v>0</v>
      </c>
      <c r="S165" s="1391">
        <f t="shared" ref="S165" si="135">S161</f>
        <v>0</v>
      </c>
      <c r="T165" s="34"/>
      <c r="U165" s="34"/>
      <c r="V165" s="34"/>
      <c r="W165" s="34"/>
      <c r="X165" s="34"/>
    </row>
    <row r="166" spans="1:55" s="2" customFormat="1" x14ac:dyDescent="0.25">
      <c r="C166" s="34" t="s">
        <v>708</v>
      </c>
      <c r="D166" s="34"/>
      <c r="E166" s="34"/>
      <c r="F166" s="34"/>
      <c r="G166" s="1391">
        <f>G165/$K$69*$J$69</f>
        <v>0</v>
      </c>
      <c r="H166" s="1391">
        <f t="shared" ref="H166:R166" si="136">H165/$K$69*$J$69</f>
        <v>0</v>
      </c>
      <c r="I166" s="1391">
        <f t="shared" si="136"/>
        <v>0</v>
      </c>
      <c r="J166" s="1391">
        <f t="shared" si="136"/>
        <v>0</v>
      </c>
      <c r="K166" s="1391">
        <f t="shared" si="136"/>
        <v>0</v>
      </c>
      <c r="L166" s="1391">
        <f t="shared" si="136"/>
        <v>0</v>
      </c>
      <c r="M166" s="1391">
        <f t="shared" si="136"/>
        <v>0</v>
      </c>
      <c r="N166" s="1391">
        <f t="shared" si="136"/>
        <v>0</v>
      </c>
      <c r="O166" s="1391">
        <f t="shared" si="136"/>
        <v>0</v>
      </c>
      <c r="P166" s="1391">
        <f t="shared" si="136"/>
        <v>0</v>
      </c>
      <c r="Q166" s="1391">
        <f t="shared" si="136"/>
        <v>0</v>
      </c>
      <c r="R166" s="1391">
        <f t="shared" si="136"/>
        <v>0</v>
      </c>
      <c r="S166" s="1391">
        <f t="shared" ref="S166" si="137">S165/$K$69*$J$69</f>
        <v>0</v>
      </c>
      <c r="T166" s="34"/>
      <c r="U166" s="34"/>
      <c r="V166" s="34"/>
      <c r="W166" s="34"/>
      <c r="X166" s="34"/>
    </row>
    <row r="167" spans="1:55" s="2" customFormat="1" x14ac:dyDescent="0.25">
      <c r="C167" s="34" t="s">
        <v>723</v>
      </c>
      <c r="D167" s="34"/>
      <c r="E167" s="34"/>
      <c r="F167" s="34"/>
      <c r="G167" s="1391">
        <f>G165+G166</f>
        <v>0</v>
      </c>
      <c r="H167" s="1391">
        <f t="shared" ref="H167:R167" si="138">H165+H166</f>
        <v>0</v>
      </c>
      <c r="I167" s="1391">
        <f t="shared" si="138"/>
        <v>0</v>
      </c>
      <c r="J167" s="1391">
        <f t="shared" si="138"/>
        <v>0</v>
      </c>
      <c r="K167" s="1391">
        <f t="shared" si="138"/>
        <v>0</v>
      </c>
      <c r="L167" s="1391">
        <f t="shared" si="138"/>
        <v>0</v>
      </c>
      <c r="M167" s="1391">
        <f t="shared" si="138"/>
        <v>0</v>
      </c>
      <c r="N167" s="1391">
        <f t="shared" si="138"/>
        <v>0</v>
      </c>
      <c r="O167" s="1391">
        <f t="shared" si="138"/>
        <v>0</v>
      </c>
      <c r="P167" s="1391">
        <f t="shared" si="138"/>
        <v>0</v>
      </c>
      <c r="Q167" s="1391">
        <f t="shared" si="138"/>
        <v>0</v>
      </c>
      <c r="R167" s="1391">
        <f t="shared" si="138"/>
        <v>0</v>
      </c>
      <c r="S167" s="1391">
        <f t="shared" ref="S167" si="139">S165+S166</f>
        <v>0</v>
      </c>
      <c r="T167" s="34"/>
      <c r="U167" s="34"/>
      <c r="V167" s="34"/>
      <c r="W167" s="34"/>
      <c r="X167" s="34"/>
    </row>
    <row r="168" spans="1:55" s="2" customFormat="1" x14ac:dyDescent="0.25">
      <c r="C168" s="34" t="s">
        <v>712</v>
      </c>
      <c r="D168" s="34"/>
      <c r="E168" s="34"/>
      <c r="F168" s="34"/>
      <c r="G168" s="1391">
        <f>MAX(G94-G119-G135-G151-G167,0)</f>
        <v>0</v>
      </c>
      <c r="H168" s="1391">
        <f t="shared" ref="H168:R168" si="140">MAX(H94-H119-H135-H151-H167,0)</f>
        <v>0</v>
      </c>
      <c r="I168" s="1391">
        <f t="shared" si="140"/>
        <v>0</v>
      </c>
      <c r="J168" s="1391">
        <f t="shared" si="140"/>
        <v>0</v>
      </c>
      <c r="K168" s="1391">
        <f t="shared" si="140"/>
        <v>0</v>
      </c>
      <c r="L168" s="1391">
        <f t="shared" si="140"/>
        <v>0</v>
      </c>
      <c r="M168" s="1391">
        <f t="shared" si="140"/>
        <v>28412870.010989014</v>
      </c>
      <c r="N168" s="1391">
        <f t="shared" si="140"/>
        <v>0</v>
      </c>
      <c r="O168" s="1391">
        <f t="shared" si="140"/>
        <v>0</v>
      </c>
      <c r="P168" s="1391">
        <f t="shared" si="140"/>
        <v>0</v>
      </c>
      <c r="Q168" s="1391">
        <f t="shared" si="140"/>
        <v>0</v>
      </c>
      <c r="R168" s="1391">
        <f t="shared" si="140"/>
        <v>0</v>
      </c>
      <c r="S168" s="1391">
        <f t="shared" ref="S168" si="141">MAX(S94-S119-S135-S151-S167,0)</f>
        <v>0</v>
      </c>
      <c r="T168" s="34"/>
      <c r="U168" s="34"/>
      <c r="V168" s="34"/>
      <c r="W168" s="34"/>
      <c r="X168" s="34"/>
    </row>
    <row r="169" spans="1:55" s="2" customFormat="1" x14ac:dyDescent="0.25">
      <c r="C169" s="34"/>
      <c r="D169" s="34"/>
      <c r="E169" s="34"/>
      <c r="F169" s="34"/>
      <c r="G169" s="1392"/>
      <c r="H169" s="1392"/>
      <c r="I169" s="1392"/>
      <c r="J169" s="1392"/>
      <c r="K169" s="1392"/>
      <c r="L169" s="1392"/>
      <c r="M169" s="1392"/>
      <c r="N169" s="1392"/>
      <c r="O169" s="1392"/>
      <c r="P169" s="1392"/>
      <c r="Q169" s="1392"/>
      <c r="R169" s="1392"/>
      <c r="S169" s="1392"/>
      <c r="T169" s="34"/>
      <c r="U169" s="34"/>
      <c r="V169" s="34"/>
      <c r="W169" s="34"/>
      <c r="X169" s="34"/>
    </row>
    <row r="170" spans="1:55" x14ac:dyDescent="0.25">
      <c r="A170" s="2"/>
      <c r="C170" s="1380" t="str">
        <f>C70</f>
        <v>Tier 5 (Promote)</v>
      </c>
      <c r="D170" s="1373" t="str">
        <f>$D$100</f>
        <v>IRR</v>
      </c>
      <c r="E170" s="1359"/>
      <c r="F170" s="1359"/>
      <c r="G170" s="1370">
        <f>G154</f>
        <v>2026</v>
      </c>
      <c r="H170" s="1370">
        <f t="shared" ref="H170:R170" si="142">H154</f>
        <v>2027</v>
      </c>
      <c r="I170" s="1370">
        <f t="shared" si="142"/>
        <v>2028</v>
      </c>
      <c r="J170" s="1370">
        <f t="shared" si="142"/>
        <v>2029</v>
      </c>
      <c r="K170" s="1370">
        <f t="shared" si="142"/>
        <v>2030</v>
      </c>
      <c r="L170" s="1370">
        <f t="shared" si="142"/>
        <v>2031</v>
      </c>
      <c r="M170" s="1370">
        <f t="shared" si="142"/>
        <v>2032</v>
      </c>
      <c r="N170" s="1370">
        <f t="shared" si="142"/>
        <v>2033</v>
      </c>
      <c r="O170" s="1370">
        <f t="shared" si="142"/>
        <v>2034</v>
      </c>
      <c r="P170" s="1370">
        <f t="shared" si="142"/>
        <v>2035</v>
      </c>
      <c r="Q170" s="1370">
        <f t="shared" si="142"/>
        <v>2036</v>
      </c>
      <c r="R170" s="1370">
        <f t="shared" si="142"/>
        <v>2037</v>
      </c>
      <c r="S170" s="1370">
        <f t="shared" ref="S170" si="143">S154</f>
        <v>2038</v>
      </c>
      <c r="T170" s="34"/>
      <c r="U170" s="34"/>
      <c r="V170" s="34"/>
      <c r="W170" s="34"/>
      <c r="X170" s="34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</row>
    <row r="171" spans="1:55" x14ac:dyDescent="0.25">
      <c r="A171" s="2"/>
      <c r="C171" s="1381" t="s">
        <v>724</v>
      </c>
      <c r="D171" s="1390">
        <f>E70</f>
        <v>0</v>
      </c>
      <c r="E171" s="1359"/>
      <c r="F171" s="1359"/>
      <c r="G171" s="1378">
        <f>G155</f>
        <v>0</v>
      </c>
      <c r="H171" s="1378">
        <f t="shared" ref="H171:R171" si="144">H155</f>
        <v>0.1</v>
      </c>
      <c r="I171" s="1378">
        <f t="shared" si="144"/>
        <v>1</v>
      </c>
      <c r="J171" s="1378">
        <f t="shared" si="144"/>
        <v>2</v>
      </c>
      <c r="K171" s="1378">
        <f t="shared" si="144"/>
        <v>3</v>
      </c>
      <c r="L171" s="1378">
        <f t="shared" si="144"/>
        <v>4</v>
      </c>
      <c r="M171" s="1378">
        <f t="shared" si="144"/>
        <v>5</v>
      </c>
      <c r="N171" s="1378">
        <f t="shared" si="144"/>
        <v>6</v>
      </c>
      <c r="O171" s="1378">
        <f t="shared" si="144"/>
        <v>7</v>
      </c>
      <c r="P171" s="1378">
        <f t="shared" si="144"/>
        <v>8</v>
      </c>
      <c r="Q171" s="1378">
        <f t="shared" si="144"/>
        <v>9</v>
      </c>
      <c r="R171" s="1378">
        <f t="shared" si="144"/>
        <v>10</v>
      </c>
      <c r="S171" s="1378" t="e">
        <f t="shared" ref="S171" si="145">S155</f>
        <v>#N/A</v>
      </c>
      <c r="T171" s="34"/>
      <c r="U171" s="34"/>
      <c r="V171" s="34"/>
      <c r="W171" s="34"/>
      <c r="X171" s="34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</row>
    <row r="172" spans="1:55" s="2" customFormat="1" x14ac:dyDescent="0.25">
      <c r="C172" s="34"/>
      <c r="D172" s="34"/>
      <c r="E172" s="34"/>
      <c r="F172" s="34"/>
      <c r="G172" s="1392"/>
      <c r="H172" s="1392"/>
      <c r="I172" s="1392"/>
      <c r="J172" s="1392"/>
      <c r="K172" s="1392"/>
      <c r="L172" s="1392"/>
      <c r="M172" s="1392"/>
      <c r="N172" s="1392"/>
      <c r="O172" s="1392"/>
      <c r="P172" s="1392"/>
      <c r="Q172" s="1392"/>
      <c r="R172" s="1392"/>
      <c r="S172" s="1392"/>
      <c r="T172" s="34"/>
      <c r="U172" s="34"/>
      <c r="V172" s="34"/>
      <c r="W172" s="34"/>
      <c r="X172" s="34"/>
    </row>
    <row r="173" spans="1:55" s="2" customFormat="1" x14ac:dyDescent="0.25">
      <c r="C173" s="34" t="s">
        <v>704</v>
      </c>
      <c r="D173" s="34"/>
      <c r="E173" s="34"/>
      <c r="F173" s="34"/>
      <c r="G173" s="1391">
        <f>G168*$K$70</f>
        <v>0</v>
      </c>
      <c r="H173" s="1391">
        <f t="shared" ref="H173:R173" si="146">H168*$K$70</f>
        <v>0</v>
      </c>
      <c r="I173" s="1391">
        <f t="shared" si="146"/>
        <v>0</v>
      </c>
      <c r="J173" s="1391">
        <f t="shared" si="146"/>
        <v>0</v>
      </c>
      <c r="K173" s="1391">
        <f t="shared" si="146"/>
        <v>0</v>
      </c>
      <c r="L173" s="1391">
        <f t="shared" si="146"/>
        <v>0</v>
      </c>
      <c r="M173" s="1391">
        <f t="shared" si="146"/>
        <v>19889009.007692307</v>
      </c>
      <c r="N173" s="1391">
        <f t="shared" si="146"/>
        <v>0</v>
      </c>
      <c r="O173" s="1391">
        <f t="shared" si="146"/>
        <v>0</v>
      </c>
      <c r="P173" s="1391">
        <f t="shared" si="146"/>
        <v>0</v>
      </c>
      <c r="Q173" s="1391">
        <f>Q168*$K$70</f>
        <v>0</v>
      </c>
      <c r="R173" s="1391">
        <f t="shared" si="146"/>
        <v>0</v>
      </c>
      <c r="S173" s="1391">
        <f t="shared" ref="S173" si="147">S168*$K$70</f>
        <v>0</v>
      </c>
      <c r="T173" s="34"/>
      <c r="U173" s="34"/>
      <c r="V173" s="34"/>
      <c r="W173" s="34"/>
      <c r="X173" s="34"/>
    </row>
    <row r="174" spans="1:55" s="2" customFormat="1" x14ac:dyDescent="0.25">
      <c r="C174" s="34" t="s">
        <v>708</v>
      </c>
      <c r="D174" s="34"/>
      <c r="E174" s="34"/>
      <c r="F174" s="34"/>
      <c r="G174" s="1391">
        <f>G168-G173</f>
        <v>0</v>
      </c>
      <c r="H174" s="1391">
        <f t="shared" ref="H174:R174" si="148">H168-H173</f>
        <v>0</v>
      </c>
      <c r="I174" s="1391">
        <f t="shared" si="148"/>
        <v>0</v>
      </c>
      <c r="J174" s="1391">
        <f t="shared" si="148"/>
        <v>0</v>
      </c>
      <c r="K174" s="1391">
        <f t="shared" si="148"/>
        <v>0</v>
      </c>
      <c r="L174" s="1391">
        <f t="shared" si="148"/>
        <v>0</v>
      </c>
      <c r="M174" s="1391">
        <f t="shared" si="148"/>
        <v>8523861.0032967068</v>
      </c>
      <c r="N174" s="1391">
        <f t="shared" si="148"/>
        <v>0</v>
      </c>
      <c r="O174" s="1391">
        <f t="shared" si="148"/>
        <v>0</v>
      </c>
      <c r="P174" s="1391">
        <f t="shared" si="148"/>
        <v>0</v>
      </c>
      <c r="Q174" s="1391">
        <f t="shared" si="148"/>
        <v>0</v>
      </c>
      <c r="R174" s="1391">
        <f t="shared" si="148"/>
        <v>0</v>
      </c>
      <c r="S174" s="1391">
        <f t="shared" ref="S174" si="149">S168-S173</f>
        <v>0</v>
      </c>
      <c r="T174" s="34"/>
      <c r="U174" s="34"/>
      <c r="V174" s="34"/>
      <c r="W174" s="34"/>
      <c r="X174" s="34"/>
    </row>
    <row r="175" spans="1:55" s="2" customFormat="1" x14ac:dyDescent="0.25">
      <c r="C175" s="34" t="s">
        <v>725</v>
      </c>
      <c r="D175" s="34"/>
      <c r="E175" s="34"/>
      <c r="F175" s="34"/>
      <c r="G175" s="1391">
        <f>G173+G174</f>
        <v>0</v>
      </c>
      <c r="H175" s="1391">
        <f t="shared" ref="H175:R175" si="150">H173+H174</f>
        <v>0</v>
      </c>
      <c r="I175" s="1391">
        <f t="shared" si="150"/>
        <v>0</v>
      </c>
      <c r="J175" s="1391">
        <f t="shared" si="150"/>
        <v>0</v>
      </c>
      <c r="K175" s="1391">
        <f t="shared" si="150"/>
        <v>0</v>
      </c>
      <c r="L175" s="1391">
        <f t="shared" si="150"/>
        <v>0</v>
      </c>
      <c r="M175" s="1391">
        <f t="shared" si="150"/>
        <v>28412870.010989014</v>
      </c>
      <c r="N175" s="1391">
        <f t="shared" si="150"/>
        <v>0</v>
      </c>
      <c r="O175" s="1391">
        <f t="shared" si="150"/>
        <v>0</v>
      </c>
      <c r="P175" s="1391">
        <f t="shared" si="150"/>
        <v>0</v>
      </c>
      <c r="Q175" s="1391">
        <f t="shared" si="150"/>
        <v>0</v>
      </c>
      <c r="R175" s="1391">
        <f t="shared" si="150"/>
        <v>0</v>
      </c>
      <c r="S175" s="1391">
        <f t="shared" ref="S175" si="151">S173+S174</f>
        <v>0</v>
      </c>
      <c r="T175" s="34"/>
      <c r="U175" s="34"/>
      <c r="V175" s="34"/>
      <c r="W175" s="34"/>
      <c r="X175" s="34"/>
    </row>
    <row r="176" spans="1:55" s="2" customFormat="1" x14ac:dyDescent="0.25">
      <c r="C176" s="34" t="s">
        <v>712</v>
      </c>
      <c r="D176" s="34"/>
      <c r="E176" s="34"/>
      <c r="F176" s="34"/>
      <c r="G176" s="1391">
        <f>MAX(G94-G119-G135-G151-G167-G175,0)</f>
        <v>0</v>
      </c>
      <c r="H176" s="1391">
        <f t="shared" ref="H176:R176" si="152">MAX(H94-H119-H135-H151-H167-H175,0)</f>
        <v>0</v>
      </c>
      <c r="I176" s="1391">
        <f t="shared" si="152"/>
        <v>0</v>
      </c>
      <c r="J176" s="1391">
        <f t="shared" si="152"/>
        <v>0</v>
      </c>
      <c r="K176" s="1391">
        <f t="shared" si="152"/>
        <v>0</v>
      </c>
      <c r="L176" s="1391">
        <f t="shared" si="152"/>
        <v>0</v>
      </c>
      <c r="M176" s="1391">
        <f t="shared" si="152"/>
        <v>0</v>
      </c>
      <c r="N176" s="1391">
        <f t="shared" si="152"/>
        <v>0</v>
      </c>
      <c r="O176" s="1391">
        <f t="shared" si="152"/>
        <v>0</v>
      </c>
      <c r="P176" s="1391">
        <f t="shared" si="152"/>
        <v>0</v>
      </c>
      <c r="Q176" s="1391">
        <f t="shared" si="152"/>
        <v>0</v>
      </c>
      <c r="R176" s="1391">
        <f t="shared" si="152"/>
        <v>0</v>
      </c>
      <c r="S176" s="1391">
        <f t="shared" ref="S176" si="153">MAX(S94-S119-S135-S151-S167-S175,0)</f>
        <v>0</v>
      </c>
      <c r="T176" s="34"/>
      <c r="U176" s="34"/>
      <c r="V176" s="34"/>
      <c r="W176" s="34"/>
      <c r="X176" s="34"/>
    </row>
    <row r="177" spans="1:55" s="2" customFormat="1" x14ac:dyDescent="0.25">
      <c r="C177" s="34"/>
      <c r="D177" s="34"/>
      <c r="E177" s="34"/>
      <c r="F177" s="34"/>
      <c r="G177" s="1392"/>
      <c r="H177" s="1392"/>
      <c r="I177" s="1392"/>
      <c r="J177" s="1392"/>
      <c r="K177" s="1392"/>
      <c r="L177" s="1392"/>
      <c r="M177" s="1392"/>
      <c r="N177" s="1392"/>
      <c r="O177" s="1392"/>
      <c r="P177" s="1392"/>
      <c r="Q177" s="1392"/>
      <c r="R177" s="1392"/>
      <c r="S177" s="1392"/>
      <c r="T177" s="34"/>
      <c r="U177" s="34"/>
      <c r="V177" s="34"/>
      <c r="W177" s="34"/>
      <c r="X177" s="34"/>
    </row>
    <row r="178" spans="1:55" s="2" customFormat="1" x14ac:dyDescent="0.25">
      <c r="C178" s="1359"/>
      <c r="D178" s="1359"/>
      <c r="E178" s="1359"/>
      <c r="F178" s="1359"/>
      <c r="G178" s="1359"/>
      <c r="H178" s="1359"/>
      <c r="I178" s="1359"/>
      <c r="J178" s="1359"/>
      <c r="K178" s="1359"/>
      <c r="L178" s="1359"/>
      <c r="M178" s="1359"/>
      <c r="N178" s="1359"/>
      <c r="O178" s="1359"/>
      <c r="P178" s="1359"/>
      <c r="Q178" s="1359"/>
      <c r="R178" s="1359"/>
      <c r="S178" s="1359"/>
      <c r="T178" s="34"/>
      <c r="U178" s="34"/>
      <c r="V178" s="34"/>
      <c r="W178" s="34"/>
      <c r="X178" s="34"/>
    </row>
    <row r="179" spans="1:55" s="2" customFormat="1" x14ac:dyDescent="0.25">
      <c r="C179" s="1414"/>
      <c r="D179" s="1414"/>
      <c r="E179" s="1414"/>
      <c r="F179" s="1414"/>
      <c r="G179" s="1414"/>
      <c r="H179" s="1414"/>
      <c r="I179" s="1414"/>
      <c r="J179" s="1414"/>
      <c r="K179" s="1414"/>
      <c r="L179" s="1414"/>
      <c r="M179" s="1414"/>
      <c r="N179" s="1414"/>
      <c r="O179" s="1414"/>
      <c r="P179" s="1414"/>
      <c r="Q179" s="1414"/>
      <c r="R179" s="1414"/>
      <c r="S179" s="1414"/>
      <c r="T179" s="34"/>
      <c r="U179" s="34"/>
      <c r="V179" s="34"/>
      <c r="W179" s="34"/>
      <c r="X179" s="34"/>
    </row>
    <row r="180" spans="1:55" ht="27.95" customHeight="1" x14ac:dyDescent="0.25">
      <c r="A180" s="2"/>
      <c r="C180" s="1380" t="s">
        <v>735</v>
      </c>
      <c r="D180" s="1415"/>
      <c r="E180" s="1415"/>
      <c r="F180" s="1415"/>
      <c r="G180" s="1415"/>
      <c r="H180" s="1415"/>
      <c r="I180" s="1415"/>
      <c r="J180" s="1415"/>
      <c r="K180" s="1415"/>
      <c r="L180" s="1415"/>
      <c r="M180" s="1415"/>
      <c r="N180" s="1415"/>
      <c r="O180" s="1415"/>
      <c r="P180" s="1415"/>
      <c r="Q180" s="1415"/>
      <c r="R180" s="1415"/>
      <c r="S180" s="1415"/>
      <c r="T180" s="34"/>
      <c r="U180" s="34"/>
      <c r="V180" s="34"/>
      <c r="W180" s="34"/>
      <c r="X180" s="34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</row>
    <row r="181" spans="1:55" x14ac:dyDescent="0.25">
      <c r="A181" s="2"/>
      <c r="C181" s="1395"/>
      <c r="D181" s="1395"/>
      <c r="E181" s="1395"/>
      <c r="F181" s="1395"/>
      <c r="G181" s="1395"/>
      <c r="H181" s="1395"/>
      <c r="I181" s="1395"/>
      <c r="J181" s="1395"/>
      <c r="K181" s="1395"/>
      <c r="L181" s="1395"/>
      <c r="M181" s="1395"/>
      <c r="N181" s="1395"/>
      <c r="O181" s="1395"/>
      <c r="P181" s="1395"/>
      <c r="Q181" s="1395"/>
      <c r="R181" s="1395"/>
      <c r="S181" s="1395"/>
      <c r="T181" s="34"/>
      <c r="U181" s="34"/>
      <c r="V181" s="34"/>
      <c r="W181" s="34"/>
      <c r="X181" s="34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</row>
    <row r="182" spans="1:55" x14ac:dyDescent="0.25">
      <c r="A182" s="2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</row>
    <row r="183" spans="1:55" x14ac:dyDescent="0.25">
      <c r="A183" s="2"/>
      <c r="C183" s="1380" t="str">
        <f>C134</f>
        <v>Distribution to GP</v>
      </c>
      <c r="D183" s="1359"/>
      <c r="E183" s="1359"/>
      <c r="F183" s="1359"/>
      <c r="G183" s="1374"/>
      <c r="H183" s="1359"/>
      <c r="I183" s="1359"/>
      <c r="J183" s="1527" t="str">
        <f t="shared" ref="J183:J189" si="154">K16</f>
        <v>Distibution Split %</v>
      </c>
      <c r="K183" s="1527"/>
      <c r="L183" s="1359"/>
      <c r="M183" s="1359"/>
      <c r="N183" s="1359"/>
      <c r="O183" s="1359"/>
      <c r="P183" s="1359"/>
      <c r="Q183" s="1359"/>
      <c r="R183" s="1359"/>
      <c r="S183" s="1359"/>
      <c r="T183" s="34"/>
      <c r="U183" s="34"/>
      <c r="V183" s="34"/>
      <c r="W183" s="34"/>
      <c r="X183" s="34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</row>
    <row r="184" spans="1:55" x14ac:dyDescent="0.25">
      <c r="A184" s="2"/>
      <c r="C184" s="1359"/>
      <c r="D184" s="1359"/>
      <c r="E184" s="1370"/>
      <c r="F184" s="1370" t="s">
        <v>679</v>
      </c>
      <c r="G184" s="1374"/>
      <c r="H184" s="1370" t="str">
        <f>I17</f>
        <v>GP Promote</v>
      </c>
      <c r="I184" s="1359"/>
      <c r="J184" s="1370" t="str">
        <f t="shared" si="154"/>
        <v>GP%</v>
      </c>
      <c r="K184" s="1370" t="str">
        <f t="shared" ref="K184:K189" si="155">L17</f>
        <v>LP%</v>
      </c>
      <c r="L184" s="1374"/>
      <c r="M184" s="1359"/>
      <c r="N184" s="1359"/>
      <c r="O184" s="1359"/>
      <c r="P184" s="1359"/>
      <c r="Q184" s="1359"/>
      <c r="R184" s="1359"/>
      <c r="S184" s="1359"/>
      <c r="T184" s="34"/>
      <c r="U184" s="34"/>
      <c r="V184" s="34"/>
      <c r="W184" s="34"/>
      <c r="X184" s="34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</row>
    <row r="185" spans="1:55" x14ac:dyDescent="0.25">
      <c r="A185" s="2"/>
      <c r="C185" s="34" t="str">
        <f>C$18</f>
        <v>Tier 1 (Pref + Return of Capital)</v>
      </c>
      <c r="D185" s="34"/>
      <c r="E185" s="1389"/>
      <c r="F185" s="1397">
        <f>IF($E$3="EMx",G18,D186)</f>
        <v>1.5</v>
      </c>
      <c r="G185" s="2"/>
      <c r="H185" s="34"/>
      <c r="I185" s="34"/>
      <c r="J185" s="1387">
        <f t="shared" si="154"/>
        <v>0.1</v>
      </c>
      <c r="K185" s="1387">
        <f t="shared" si="155"/>
        <v>0.9</v>
      </c>
      <c r="L185" s="2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</row>
    <row r="186" spans="1:55" x14ac:dyDescent="0.25">
      <c r="A186" s="2"/>
      <c r="C186" s="34" t="str">
        <f>C$19</f>
        <v>Tier 2 (Promote)</v>
      </c>
      <c r="D186" s="1386">
        <f>E$19</f>
        <v>1.5</v>
      </c>
      <c r="E186" s="975"/>
      <c r="F186" s="1397">
        <f>IF($E$3="EMx",G19,D187)</f>
        <v>1.75</v>
      </c>
      <c r="G186" s="2"/>
      <c r="H186" s="501">
        <f>I19</f>
        <v>0</v>
      </c>
      <c r="I186" s="34"/>
      <c r="J186" s="1387">
        <f t="shared" si="154"/>
        <v>0.3</v>
      </c>
      <c r="K186" s="1387">
        <f t="shared" si="155"/>
        <v>0.7</v>
      </c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</row>
    <row r="187" spans="1:55" x14ac:dyDescent="0.25">
      <c r="A187" s="2"/>
      <c r="C187" s="34" t="str">
        <f>C$20</f>
        <v>Tier 3 (Promote)</v>
      </c>
      <c r="D187" s="1386">
        <f>E$20</f>
        <v>1.75</v>
      </c>
      <c r="E187" s="975"/>
      <c r="F187" s="1397">
        <f>IF($E$3="EMx",G20,D188)</f>
        <v>2</v>
      </c>
      <c r="G187" s="2"/>
      <c r="H187" s="501">
        <f>I20</f>
        <v>0</v>
      </c>
      <c r="I187" s="34"/>
      <c r="J187" s="1387">
        <f t="shared" si="154"/>
        <v>0.3</v>
      </c>
      <c r="K187" s="1387">
        <f t="shared" si="155"/>
        <v>0.7</v>
      </c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</row>
    <row r="188" spans="1:55" x14ac:dyDescent="0.25">
      <c r="A188" s="2"/>
      <c r="C188" s="34" t="str">
        <f>C$21</f>
        <v>Tier 4 (Promote)</v>
      </c>
      <c r="D188" s="1386">
        <f>E$21</f>
        <v>2</v>
      </c>
      <c r="E188" s="975"/>
      <c r="F188" s="1397">
        <f>IF($E$3="EMx",G21,D189)</f>
        <v>2.5</v>
      </c>
      <c r="G188" s="2"/>
      <c r="H188" s="501">
        <f>I21</f>
        <v>0</v>
      </c>
      <c r="I188" s="34"/>
      <c r="J188" s="1387">
        <f t="shared" si="154"/>
        <v>0.3</v>
      </c>
      <c r="K188" s="1387">
        <f t="shared" si="155"/>
        <v>0.7</v>
      </c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</row>
    <row r="189" spans="1:55" x14ac:dyDescent="0.25">
      <c r="A189" s="2"/>
      <c r="C189" s="34" t="str">
        <f>C$22</f>
        <v>Tier 5 (Promote)</v>
      </c>
      <c r="D189" s="1386">
        <f>E$22</f>
        <v>2.5</v>
      </c>
      <c r="E189" s="975"/>
      <c r="F189" s="1397">
        <f>IF($E$3="EMx",G22,0)</f>
        <v>0</v>
      </c>
      <c r="G189" s="2"/>
      <c r="H189" s="501">
        <f>I22</f>
        <v>0</v>
      </c>
      <c r="I189" s="34"/>
      <c r="J189" s="1387">
        <f t="shared" si="154"/>
        <v>0.3</v>
      </c>
      <c r="K189" s="1387">
        <f t="shared" si="155"/>
        <v>0.7</v>
      </c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</row>
    <row r="190" spans="1:55" x14ac:dyDescent="0.25">
      <c r="A190" s="2"/>
      <c r="C190" s="1380" t="s">
        <v>655</v>
      </c>
      <c r="D190" s="1359"/>
      <c r="E190" s="1359"/>
      <c r="F190" s="1359"/>
      <c r="G190" s="1370">
        <f>G$48</f>
        <v>2026</v>
      </c>
      <c r="H190" s="1370">
        <f t="shared" ref="H190:S190" si="156">H$48</f>
        <v>2027</v>
      </c>
      <c r="I190" s="1370">
        <f t="shared" si="156"/>
        <v>2028</v>
      </c>
      <c r="J190" s="1370">
        <f t="shared" si="156"/>
        <v>2029</v>
      </c>
      <c r="K190" s="1370">
        <f t="shared" si="156"/>
        <v>2030</v>
      </c>
      <c r="L190" s="1370">
        <f t="shared" si="156"/>
        <v>2031</v>
      </c>
      <c r="M190" s="1370">
        <f t="shared" si="156"/>
        <v>2032</v>
      </c>
      <c r="N190" s="1370">
        <f t="shared" si="156"/>
        <v>2033</v>
      </c>
      <c r="O190" s="1370">
        <f t="shared" si="156"/>
        <v>2034</v>
      </c>
      <c r="P190" s="1370">
        <f t="shared" si="156"/>
        <v>2035</v>
      </c>
      <c r="Q190" s="1370">
        <f t="shared" si="156"/>
        <v>2036</v>
      </c>
      <c r="R190" s="1370">
        <f t="shared" si="156"/>
        <v>2037</v>
      </c>
      <c r="S190" s="1370">
        <f t="shared" si="156"/>
        <v>2038</v>
      </c>
      <c r="T190" s="34"/>
      <c r="U190" s="34"/>
      <c r="V190" s="34"/>
      <c r="W190" s="34"/>
      <c r="X190" s="34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</row>
    <row r="191" spans="1:55" x14ac:dyDescent="0.25">
      <c r="A191" s="2"/>
      <c r="C191" s="1359"/>
      <c r="D191" s="1359"/>
      <c r="E191" s="1359"/>
      <c r="F191" s="1359"/>
      <c r="G191" s="1378">
        <f>G$49</f>
        <v>0</v>
      </c>
      <c r="H191" s="1378">
        <f t="shared" ref="H191:S191" si="157">H$49</f>
        <v>0.1</v>
      </c>
      <c r="I191" s="1378">
        <f t="shared" si="157"/>
        <v>1</v>
      </c>
      <c r="J191" s="1378">
        <f t="shared" si="157"/>
        <v>2</v>
      </c>
      <c r="K191" s="1378">
        <f t="shared" si="157"/>
        <v>3</v>
      </c>
      <c r="L191" s="1378">
        <f t="shared" si="157"/>
        <v>4</v>
      </c>
      <c r="M191" s="1378">
        <f t="shared" si="157"/>
        <v>5</v>
      </c>
      <c r="N191" s="1378">
        <f t="shared" si="157"/>
        <v>6</v>
      </c>
      <c r="O191" s="1378">
        <f t="shared" si="157"/>
        <v>7</v>
      </c>
      <c r="P191" s="1378">
        <f t="shared" si="157"/>
        <v>8</v>
      </c>
      <c r="Q191" s="1378">
        <f t="shared" si="157"/>
        <v>9</v>
      </c>
      <c r="R191" s="1378">
        <f t="shared" si="157"/>
        <v>10</v>
      </c>
      <c r="S191" s="1378" t="e">
        <f t="shared" si="157"/>
        <v>#N/A</v>
      </c>
      <c r="T191" s="34"/>
      <c r="U191" s="34"/>
      <c r="V191" s="34"/>
      <c r="W191" s="34"/>
      <c r="X191" s="34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</row>
    <row r="192" spans="1:55" x14ac:dyDescent="0.25">
      <c r="A192" s="2"/>
      <c r="C192" s="34"/>
      <c r="D192" s="34"/>
      <c r="E192" s="34"/>
      <c r="F192" s="34"/>
      <c r="G192" s="1391"/>
      <c r="H192" s="1391"/>
      <c r="I192" s="1391"/>
      <c r="J192" s="1391"/>
      <c r="K192" s="1391"/>
      <c r="L192" s="1391"/>
      <c r="M192" s="1391"/>
      <c r="N192" s="1391"/>
      <c r="O192" s="1391"/>
      <c r="P192" s="1391"/>
      <c r="Q192" s="1391"/>
      <c r="R192" s="1391"/>
      <c r="S192" s="1391"/>
      <c r="T192" s="34"/>
      <c r="U192" s="34"/>
      <c r="V192" s="34"/>
      <c r="W192" s="34"/>
      <c r="X192" s="34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</row>
    <row r="193" spans="1:55" x14ac:dyDescent="0.25">
      <c r="A193" s="2"/>
      <c r="C193" s="48" t="s">
        <v>656</v>
      </c>
      <c r="D193" s="34"/>
      <c r="E193" s="34"/>
      <c r="F193" s="34"/>
      <c r="G193" s="1391"/>
      <c r="H193" s="1391"/>
      <c r="I193" s="1391"/>
      <c r="J193" s="1391"/>
      <c r="K193" s="1391"/>
      <c r="L193" s="1391"/>
      <c r="M193" s="1391"/>
      <c r="N193" s="1391"/>
      <c r="O193" s="1391"/>
      <c r="P193" s="1391"/>
      <c r="Q193" s="1391"/>
      <c r="R193" s="1391"/>
      <c r="S193" s="1391"/>
      <c r="T193" s="34"/>
      <c r="U193" s="34"/>
      <c r="V193" s="34"/>
      <c r="W193" s="34"/>
      <c r="X193" s="34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</row>
    <row r="194" spans="1:55" x14ac:dyDescent="0.25">
      <c r="A194" s="2"/>
      <c r="C194" s="34" t="s">
        <v>657</v>
      </c>
      <c r="D194" s="34"/>
      <c r="E194" s="427">
        <f>SUM(G194:R194)</f>
        <v>26958216.059202641</v>
      </c>
      <c r="F194" s="34"/>
      <c r="G194" s="1391">
        <f>G229+G252+G268+G284+G292</f>
        <v>0</v>
      </c>
      <c r="H194" s="1391">
        <f t="shared" ref="H194:R194" si="158">H229+H252+H268+H284+H292</f>
        <v>0</v>
      </c>
      <c r="I194" s="1391">
        <f t="shared" si="158"/>
        <v>1423122.7985332101</v>
      </c>
      <c r="J194" s="1391">
        <f t="shared" si="158"/>
        <v>1116861.5633859979</v>
      </c>
      <c r="K194" s="1391">
        <f t="shared" si="158"/>
        <v>1186971.3290280362</v>
      </c>
      <c r="L194" s="1391">
        <f t="shared" si="158"/>
        <v>1257081.0946700757</v>
      </c>
      <c r="M194" s="1391">
        <f t="shared" si="158"/>
        <v>21974179.273585323</v>
      </c>
      <c r="N194" s="1391">
        <f t="shared" si="158"/>
        <v>0</v>
      </c>
      <c r="O194" s="1391">
        <f t="shared" si="158"/>
        <v>0</v>
      </c>
      <c r="P194" s="1391">
        <f t="shared" si="158"/>
        <v>0</v>
      </c>
      <c r="Q194" s="1391">
        <f t="shared" si="158"/>
        <v>0</v>
      </c>
      <c r="R194" s="1391">
        <f t="shared" si="158"/>
        <v>0</v>
      </c>
      <c r="S194" s="1391">
        <f t="shared" ref="S194" si="159">S229+S252+S268+S284+S292</f>
        <v>0</v>
      </c>
      <c r="T194" s="34"/>
      <c r="U194" s="34"/>
      <c r="V194" s="34"/>
      <c r="W194" s="34"/>
      <c r="X194" s="34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</row>
    <row r="195" spans="1:55" x14ac:dyDescent="0.25">
      <c r="A195" s="2"/>
      <c r="C195" s="34" t="s">
        <v>658</v>
      </c>
      <c r="D195" s="34"/>
      <c r="E195" s="427">
        <f>SUM(G195:R195)</f>
        <v>10434034.356800005</v>
      </c>
      <c r="F195" s="34"/>
      <c r="G195" s="1391">
        <f>G225</f>
        <v>10434034.356800005</v>
      </c>
      <c r="H195" s="1391">
        <f t="shared" ref="H195:R195" si="160">H225</f>
        <v>0</v>
      </c>
      <c r="I195" s="1391">
        <f t="shared" si="160"/>
        <v>0</v>
      </c>
      <c r="J195" s="1391">
        <f t="shared" si="160"/>
        <v>0</v>
      </c>
      <c r="K195" s="1391">
        <f t="shared" si="160"/>
        <v>0</v>
      </c>
      <c r="L195" s="1391">
        <f t="shared" si="160"/>
        <v>0</v>
      </c>
      <c r="M195" s="1391">
        <f t="shared" si="160"/>
        <v>0</v>
      </c>
      <c r="N195" s="1391">
        <f t="shared" si="160"/>
        <v>0</v>
      </c>
      <c r="O195" s="1391">
        <f t="shared" si="160"/>
        <v>0</v>
      </c>
      <c r="P195" s="1391">
        <f t="shared" si="160"/>
        <v>0</v>
      </c>
      <c r="Q195" s="1391">
        <f t="shared" si="160"/>
        <v>0</v>
      </c>
      <c r="R195" s="1391">
        <f t="shared" si="160"/>
        <v>0</v>
      </c>
      <c r="S195" s="1391">
        <f t="shared" ref="S195" si="161">S225</f>
        <v>0</v>
      </c>
      <c r="T195" s="34"/>
      <c r="U195" s="34"/>
      <c r="V195" s="34"/>
      <c r="W195" s="34"/>
      <c r="X195" s="34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</row>
    <row r="196" spans="1:55" x14ac:dyDescent="0.25">
      <c r="A196" s="2"/>
      <c r="C196" s="34" t="s">
        <v>659</v>
      </c>
      <c r="D196" s="34"/>
      <c r="E196" s="1377">
        <f>E194-E195</f>
        <v>16524181.702402636</v>
      </c>
      <c r="F196" s="34"/>
      <c r="G196" s="1391"/>
      <c r="H196" s="1391"/>
      <c r="I196" s="1391"/>
      <c r="J196" s="1391"/>
      <c r="K196" s="1391"/>
      <c r="L196" s="1391"/>
      <c r="M196" s="1391"/>
      <c r="N196" s="1391"/>
      <c r="O196" s="1391"/>
      <c r="P196" s="1391"/>
      <c r="Q196" s="1391"/>
      <c r="R196" s="1391"/>
      <c r="S196" s="1391"/>
      <c r="T196" s="34"/>
      <c r="U196" s="34"/>
      <c r="V196" s="34"/>
      <c r="W196" s="34"/>
      <c r="X196" s="34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</row>
    <row r="197" spans="1:55" x14ac:dyDescent="0.25">
      <c r="A197" s="2"/>
      <c r="C197" s="34" t="s">
        <v>660</v>
      </c>
      <c r="D197" s="34"/>
      <c r="E197" s="1375">
        <f>IRR(G197:R197)</f>
        <v>0.19195161124080751</v>
      </c>
      <c r="F197" s="34"/>
      <c r="G197" s="1391">
        <f>(-G195)+G194</f>
        <v>-10434034.356800005</v>
      </c>
      <c r="H197" s="1391">
        <f t="shared" ref="H197:R197" si="162">(-H195)+H194</f>
        <v>0</v>
      </c>
      <c r="I197" s="1391">
        <f t="shared" si="162"/>
        <v>1423122.7985332101</v>
      </c>
      <c r="J197" s="1391">
        <f t="shared" si="162"/>
        <v>1116861.5633859979</v>
      </c>
      <c r="K197" s="1391">
        <f t="shared" si="162"/>
        <v>1186971.3290280362</v>
      </c>
      <c r="L197" s="1391">
        <f t="shared" si="162"/>
        <v>1257081.0946700757</v>
      </c>
      <c r="M197" s="1391">
        <f t="shared" si="162"/>
        <v>21974179.273585323</v>
      </c>
      <c r="N197" s="1391">
        <f t="shared" si="162"/>
        <v>0</v>
      </c>
      <c r="O197" s="1391">
        <f t="shared" si="162"/>
        <v>0</v>
      </c>
      <c r="P197" s="1391">
        <f t="shared" si="162"/>
        <v>0</v>
      </c>
      <c r="Q197" s="1391">
        <f t="shared" si="162"/>
        <v>0</v>
      </c>
      <c r="R197" s="1391">
        <f t="shared" si="162"/>
        <v>0</v>
      </c>
      <c r="S197" s="1391">
        <f t="shared" ref="S197" si="163">(-S195)+S194</f>
        <v>0</v>
      </c>
      <c r="T197" s="34"/>
      <c r="U197" s="34"/>
      <c r="V197" s="34"/>
      <c r="W197" s="34"/>
      <c r="X197" s="34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</row>
    <row r="198" spans="1:55" x14ac:dyDescent="0.25">
      <c r="A198" s="2"/>
      <c r="C198" s="34" t="s">
        <v>661</v>
      </c>
      <c r="D198" s="34"/>
      <c r="E198" s="1413">
        <f>E194/E195</f>
        <v>2.5836809749081953</v>
      </c>
      <c r="F198" s="34"/>
      <c r="G198" s="1391"/>
      <c r="H198" s="1391"/>
      <c r="I198" s="1391"/>
      <c r="J198" s="1391"/>
      <c r="K198" s="1391"/>
      <c r="L198" s="1391"/>
      <c r="M198" s="1391"/>
      <c r="N198" s="1391"/>
      <c r="O198" s="1391"/>
      <c r="P198" s="1391"/>
      <c r="Q198" s="1391"/>
      <c r="R198" s="1391"/>
      <c r="S198" s="1391"/>
      <c r="T198" s="34"/>
      <c r="U198" s="34"/>
      <c r="V198" s="34"/>
      <c r="W198" s="34"/>
      <c r="X198" s="34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</row>
    <row r="199" spans="1:55" x14ac:dyDescent="0.25">
      <c r="A199" s="2"/>
      <c r="C199" s="34"/>
      <c r="D199" s="34"/>
      <c r="E199" s="34"/>
      <c r="F199" s="34"/>
      <c r="G199" s="1391"/>
      <c r="H199" s="1391"/>
      <c r="I199" s="1391"/>
      <c r="J199" s="1391"/>
      <c r="K199" s="1391"/>
      <c r="L199" s="1391"/>
      <c r="M199" s="1391"/>
      <c r="N199" s="1391"/>
      <c r="O199" s="1391"/>
      <c r="P199" s="1391"/>
      <c r="Q199" s="1391"/>
      <c r="R199" s="1391"/>
      <c r="S199" s="1391"/>
      <c r="T199" s="34"/>
      <c r="U199" s="34"/>
      <c r="V199" s="34"/>
      <c r="W199" s="34"/>
      <c r="X199" s="34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</row>
    <row r="200" spans="1:55" x14ac:dyDescent="0.25">
      <c r="A200" s="2"/>
      <c r="C200" s="48" t="s">
        <v>662</v>
      </c>
      <c r="D200" s="34"/>
      <c r="E200" s="34"/>
      <c r="F200" s="34"/>
      <c r="G200" s="1391"/>
      <c r="H200" s="1391"/>
      <c r="I200" s="1391"/>
      <c r="J200" s="1391"/>
      <c r="K200" s="1391"/>
      <c r="L200" s="1391"/>
      <c r="M200" s="1391"/>
      <c r="N200" s="1391"/>
      <c r="O200" s="1391"/>
      <c r="P200" s="1391"/>
      <c r="Q200" s="1391"/>
      <c r="R200" s="1391"/>
      <c r="S200" s="1391"/>
      <c r="T200" s="34"/>
      <c r="U200" s="34"/>
      <c r="V200" s="34"/>
      <c r="W200" s="34"/>
      <c r="X200" s="34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</row>
    <row r="201" spans="1:55" x14ac:dyDescent="0.25">
      <c r="A201" s="2"/>
      <c r="C201" s="34" t="s">
        <v>663</v>
      </c>
      <c r="D201" s="34"/>
      <c r="E201" s="427">
        <f>SUM(G201:R201)</f>
        <v>11553521.168229707</v>
      </c>
      <c r="F201" s="34"/>
      <c r="G201" s="1391">
        <f>G234+G253+G269+G285+G293</f>
        <v>0</v>
      </c>
      <c r="H201" s="1391">
        <f t="shared" ref="H201:R201" si="164">H234+H253+H269+H285+H293</f>
        <v>0</v>
      </c>
      <c r="I201" s="1391">
        <f t="shared" si="164"/>
        <v>609909.7707999472</v>
      </c>
      <c r="J201" s="1391">
        <f t="shared" si="164"/>
        <v>478654.95573685644</v>
      </c>
      <c r="K201" s="1391">
        <f t="shared" si="164"/>
        <v>508701.9981548728</v>
      </c>
      <c r="L201" s="1391">
        <f t="shared" si="164"/>
        <v>538749.04057288985</v>
      </c>
      <c r="M201" s="1391">
        <f t="shared" si="164"/>
        <v>9417505.4029651396</v>
      </c>
      <c r="N201" s="1391">
        <f t="shared" si="164"/>
        <v>0</v>
      </c>
      <c r="O201" s="1391">
        <f t="shared" si="164"/>
        <v>0</v>
      </c>
      <c r="P201" s="1391">
        <f t="shared" si="164"/>
        <v>0</v>
      </c>
      <c r="Q201" s="1391">
        <f t="shared" si="164"/>
        <v>0</v>
      </c>
      <c r="R201" s="1391">
        <f t="shared" si="164"/>
        <v>0</v>
      </c>
      <c r="S201" s="1391">
        <f t="shared" ref="S201" si="165">S234+S253+S269+S285+S293</f>
        <v>0</v>
      </c>
      <c r="T201" s="34"/>
      <c r="U201" s="34"/>
      <c r="V201" s="34"/>
      <c r="W201" s="34"/>
      <c r="X201" s="34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</row>
    <row r="202" spans="1:55" x14ac:dyDescent="0.25">
      <c r="A202" s="2"/>
      <c r="C202" s="34" t="s">
        <v>686</v>
      </c>
      <c r="D202" s="34"/>
      <c r="E202" s="427">
        <f>SUM(G202:R202)</f>
        <v>0</v>
      </c>
      <c r="F202" s="34"/>
      <c r="G202" s="1391">
        <f>SUM(G211:G212)</f>
        <v>0</v>
      </c>
      <c r="H202" s="1391">
        <f t="shared" ref="H202:R202" si="166">SUM(H211:H212)</f>
        <v>0</v>
      </c>
      <c r="I202" s="1391">
        <f t="shared" si="166"/>
        <v>0</v>
      </c>
      <c r="J202" s="1391">
        <f t="shared" si="166"/>
        <v>0</v>
      </c>
      <c r="K202" s="1391">
        <f t="shared" si="166"/>
        <v>0</v>
      </c>
      <c r="L202" s="1391">
        <f t="shared" si="166"/>
        <v>0</v>
      </c>
      <c r="M202" s="1391">
        <f t="shared" si="166"/>
        <v>0</v>
      </c>
      <c r="N202" s="1391">
        <f t="shared" si="166"/>
        <v>0</v>
      </c>
      <c r="O202" s="1391">
        <f t="shared" si="166"/>
        <v>0</v>
      </c>
      <c r="P202" s="1391">
        <f t="shared" si="166"/>
        <v>0</v>
      </c>
      <c r="Q202" s="1391">
        <f t="shared" si="166"/>
        <v>0</v>
      </c>
      <c r="R202" s="1391">
        <f t="shared" si="166"/>
        <v>0</v>
      </c>
      <c r="S202" s="1391">
        <f t="shared" ref="S202" si="167">SUM(S211:S212)</f>
        <v>0</v>
      </c>
      <c r="T202" s="34"/>
      <c r="U202" s="34"/>
      <c r="V202" s="34"/>
      <c r="W202" s="34"/>
      <c r="X202" s="34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</row>
    <row r="203" spans="1:55" x14ac:dyDescent="0.25">
      <c r="A203" s="2"/>
      <c r="C203" s="34" t="s">
        <v>664</v>
      </c>
      <c r="D203" s="34"/>
      <c r="E203" s="427">
        <f>G233</f>
        <v>0</v>
      </c>
      <c r="F203" s="34"/>
      <c r="G203" s="1391">
        <f>G225</f>
        <v>10434034.356800005</v>
      </c>
      <c r="H203" s="1391">
        <f t="shared" ref="H203:R203" si="168">H225</f>
        <v>0</v>
      </c>
      <c r="I203" s="1391">
        <f t="shared" si="168"/>
        <v>0</v>
      </c>
      <c r="J203" s="1391">
        <f t="shared" si="168"/>
        <v>0</v>
      </c>
      <c r="K203" s="1391">
        <f t="shared" si="168"/>
        <v>0</v>
      </c>
      <c r="L203" s="1391">
        <f t="shared" si="168"/>
        <v>0</v>
      </c>
      <c r="M203" s="1391">
        <f t="shared" si="168"/>
        <v>0</v>
      </c>
      <c r="N203" s="1391">
        <f t="shared" si="168"/>
        <v>0</v>
      </c>
      <c r="O203" s="1391">
        <f t="shared" si="168"/>
        <v>0</v>
      </c>
      <c r="P203" s="1391">
        <f t="shared" si="168"/>
        <v>0</v>
      </c>
      <c r="Q203" s="1391">
        <f t="shared" si="168"/>
        <v>0</v>
      </c>
      <c r="R203" s="1391">
        <f t="shared" si="168"/>
        <v>0</v>
      </c>
      <c r="S203" s="1391">
        <f t="shared" ref="S203" si="169">S225</f>
        <v>0</v>
      </c>
      <c r="T203" s="34"/>
      <c r="U203" s="34"/>
      <c r="V203" s="34"/>
      <c r="W203" s="34"/>
      <c r="X203" s="34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</row>
    <row r="204" spans="1:55" x14ac:dyDescent="0.25">
      <c r="A204" s="2"/>
      <c r="C204" s="34" t="s">
        <v>665</v>
      </c>
      <c r="D204" s="34"/>
      <c r="E204" s="1377">
        <f>(E201+E202)-E203</f>
        <v>11553521.168229707</v>
      </c>
      <c r="F204" s="34"/>
      <c r="G204" s="1391"/>
      <c r="H204" s="1391"/>
      <c r="I204" s="1391"/>
      <c r="J204" s="1391"/>
      <c r="K204" s="1391"/>
      <c r="L204" s="1391"/>
      <c r="M204" s="1391"/>
      <c r="N204" s="1391"/>
      <c r="O204" s="1391"/>
      <c r="P204" s="1391"/>
      <c r="Q204" s="1391"/>
      <c r="R204" s="1391"/>
      <c r="S204" s="1391"/>
      <c r="T204" s="34"/>
      <c r="U204" s="34"/>
      <c r="V204" s="34"/>
      <c r="W204" s="34"/>
      <c r="X204" s="34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</row>
    <row r="205" spans="1:55" x14ac:dyDescent="0.25">
      <c r="A205" s="2"/>
      <c r="C205" s="34" t="s">
        <v>666</v>
      </c>
      <c r="D205" s="34"/>
      <c r="E205" s="1375">
        <f>IRR(G205:R205)</f>
        <v>1.8640133624157951E-2</v>
      </c>
      <c r="F205" s="34"/>
      <c r="G205" s="1391">
        <f>(-G203)+G201+G202</f>
        <v>-10434034.356800005</v>
      </c>
      <c r="H205" s="1391">
        <f t="shared" ref="H205:R205" si="170">(-H203)+H201+H202</f>
        <v>0</v>
      </c>
      <c r="I205" s="1391">
        <f t="shared" si="170"/>
        <v>609909.7707999472</v>
      </c>
      <c r="J205" s="1391">
        <f t="shared" si="170"/>
        <v>478654.95573685644</v>
      </c>
      <c r="K205" s="1391">
        <f t="shared" si="170"/>
        <v>508701.9981548728</v>
      </c>
      <c r="L205" s="1391">
        <f t="shared" si="170"/>
        <v>538749.04057288985</v>
      </c>
      <c r="M205" s="1391">
        <f t="shared" si="170"/>
        <v>9417505.4029651396</v>
      </c>
      <c r="N205" s="1391">
        <f t="shared" si="170"/>
        <v>0</v>
      </c>
      <c r="O205" s="1391">
        <f t="shared" si="170"/>
        <v>0</v>
      </c>
      <c r="P205" s="1391">
        <f t="shared" si="170"/>
        <v>0</v>
      </c>
      <c r="Q205" s="1391">
        <f t="shared" si="170"/>
        <v>0</v>
      </c>
      <c r="R205" s="1391">
        <f t="shared" si="170"/>
        <v>0</v>
      </c>
      <c r="S205" s="1391">
        <f t="shared" ref="S205" si="171">(-S203)+S201+S202</f>
        <v>0</v>
      </c>
      <c r="T205" s="34"/>
      <c r="U205" s="34"/>
      <c r="V205" s="34"/>
      <c r="W205" s="34"/>
      <c r="X205" s="34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</row>
    <row r="206" spans="1:55" x14ac:dyDescent="0.25">
      <c r="A206" s="2"/>
      <c r="C206" s="34" t="s">
        <v>667</v>
      </c>
      <c r="D206" s="34"/>
      <c r="E206" s="1413">
        <f>(E201+E202)/E204</f>
        <v>1</v>
      </c>
      <c r="F206" s="34"/>
      <c r="G206" s="1391"/>
      <c r="H206" s="1391"/>
      <c r="I206" s="1391"/>
      <c r="J206" s="1391"/>
      <c r="K206" s="1391"/>
      <c r="L206" s="1391"/>
      <c r="M206" s="1391"/>
      <c r="N206" s="1391"/>
      <c r="O206" s="1391"/>
      <c r="P206" s="1391"/>
      <c r="Q206" s="1391"/>
      <c r="R206" s="1391"/>
      <c r="S206" s="1391"/>
      <c r="T206" s="34"/>
      <c r="U206" s="34"/>
      <c r="V206" s="34"/>
      <c r="W206" s="34"/>
      <c r="X206" s="34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</row>
    <row r="207" spans="1:55" x14ac:dyDescent="0.25">
      <c r="A207" s="2"/>
      <c r="C207" s="34"/>
      <c r="D207" s="34"/>
      <c r="E207" s="34"/>
      <c r="F207" s="34"/>
      <c r="G207" s="1399"/>
      <c r="H207" s="1399"/>
      <c r="I207" s="1399"/>
      <c r="J207" s="1399"/>
      <c r="K207" s="1399"/>
      <c r="L207" s="1399"/>
      <c r="M207" s="1399"/>
      <c r="N207" s="1399"/>
      <c r="O207" s="1399"/>
      <c r="P207" s="1399"/>
      <c r="Q207" s="1399"/>
      <c r="R207" s="1399"/>
      <c r="S207" s="1399"/>
      <c r="T207" s="34"/>
      <c r="U207" s="34"/>
      <c r="V207" s="34"/>
      <c r="W207" s="34"/>
      <c r="X207" s="34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</row>
    <row r="208" spans="1:55" x14ac:dyDescent="0.25">
      <c r="A208" s="2"/>
      <c r="C208" s="1380" t="s">
        <v>668</v>
      </c>
      <c r="D208" s="1372"/>
      <c r="E208" s="1372"/>
      <c r="F208" s="1372"/>
      <c r="G208" s="1370">
        <f>G$48</f>
        <v>2026</v>
      </c>
      <c r="H208" s="1370">
        <f t="shared" ref="H208:S208" si="172">H$48</f>
        <v>2027</v>
      </c>
      <c r="I208" s="1370">
        <f t="shared" si="172"/>
        <v>2028</v>
      </c>
      <c r="J208" s="1370">
        <f t="shared" si="172"/>
        <v>2029</v>
      </c>
      <c r="K208" s="1370">
        <f t="shared" si="172"/>
        <v>2030</v>
      </c>
      <c r="L208" s="1370">
        <f t="shared" si="172"/>
        <v>2031</v>
      </c>
      <c r="M208" s="1370">
        <f t="shared" si="172"/>
        <v>2032</v>
      </c>
      <c r="N208" s="1370">
        <f t="shared" si="172"/>
        <v>2033</v>
      </c>
      <c r="O208" s="1370">
        <f t="shared" si="172"/>
        <v>2034</v>
      </c>
      <c r="P208" s="1370">
        <f t="shared" si="172"/>
        <v>2035</v>
      </c>
      <c r="Q208" s="1370">
        <f t="shared" si="172"/>
        <v>2036</v>
      </c>
      <c r="R208" s="1370">
        <f t="shared" si="172"/>
        <v>2037</v>
      </c>
      <c r="S208" s="1370">
        <f t="shared" si="172"/>
        <v>2038</v>
      </c>
      <c r="T208" s="34"/>
      <c r="U208" s="34"/>
      <c r="V208" s="34"/>
      <c r="W208" s="34"/>
      <c r="X208" s="34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</row>
    <row r="209" spans="1:55" x14ac:dyDescent="0.25">
      <c r="A209" s="2"/>
      <c r="C209" s="1359"/>
      <c r="D209" s="1372"/>
      <c r="E209" s="1372"/>
      <c r="F209" s="1372"/>
      <c r="G209" s="1378">
        <f>G$49</f>
        <v>0</v>
      </c>
      <c r="H209" s="1378">
        <f t="shared" ref="H209:S209" si="173">H$49</f>
        <v>0.1</v>
      </c>
      <c r="I209" s="1378">
        <f t="shared" si="173"/>
        <v>1</v>
      </c>
      <c r="J209" s="1378">
        <f t="shared" si="173"/>
        <v>2</v>
      </c>
      <c r="K209" s="1378">
        <f t="shared" si="173"/>
        <v>3</v>
      </c>
      <c r="L209" s="1378">
        <f t="shared" si="173"/>
        <v>4</v>
      </c>
      <c r="M209" s="1378">
        <f t="shared" si="173"/>
        <v>5</v>
      </c>
      <c r="N209" s="1378">
        <f t="shared" si="173"/>
        <v>6</v>
      </c>
      <c r="O209" s="1378">
        <f t="shared" si="173"/>
        <v>7</v>
      </c>
      <c r="P209" s="1378">
        <f t="shared" si="173"/>
        <v>8</v>
      </c>
      <c r="Q209" s="1378">
        <f t="shared" si="173"/>
        <v>9</v>
      </c>
      <c r="R209" s="1378">
        <f t="shared" si="173"/>
        <v>10</v>
      </c>
      <c r="S209" s="1378" t="e">
        <f t="shared" si="173"/>
        <v>#N/A</v>
      </c>
      <c r="T209" s="34"/>
      <c r="U209" s="34"/>
      <c r="V209" s="34"/>
      <c r="W209" s="34"/>
      <c r="X209" s="34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</row>
    <row r="210" spans="1:55" x14ac:dyDescent="0.25">
      <c r="A210" s="2"/>
      <c r="C210" s="34" t="s">
        <v>680</v>
      </c>
      <c r="D210" s="32"/>
      <c r="E210" s="32"/>
      <c r="F210" s="32"/>
      <c r="G210" s="1391">
        <f>G$50</f>
        <v>-10434034.356800005</v>
      </c>
      <c r="H210" s="1391">
        <f t="shared" ref="H210:S210" si="174">H$50</f>
        <v>0</v>
      </c>
      <c r="I210" s="1391">
        <f t="shared" si="174"/>
        <v>2033032.5693331573</v>
      </c>
      <c r="J210" s="1391">
        <f t="shared" si="174"/>
        <v>1595516.5191228543</v>
      </c>
      <c r="K210" s="1391">
        <f t="shared" si="174"/>
        <v>1695673.327182909</v>
      </c>
      <c r="L210" s="1391">
        <f t="shared" si="174"/>
        <v>1795830.1352429655</v>
      </c>
      <c r="M210" s="1391">
        <f t="shared" si="174"/>
        <v>31391684.676550463</v>
      </c>
      <c r="N210" s="1391">
        <f t="shared" si="174"/>
        <v>0</v>
      </c>
      <c r="O210" s="1391">
        <f t="shared" si="174"/>
        <v>0</v>
      </c>
      <c r="P210" s="1391">
        <f t="shared" si="174"/>
        <v>0</v>
      </c>
      <c r="Q210" s="1391">
        <f t="shared" si="174"/>
        <v>0</v>
      </c>
      <c r="R210" s="1391">
        <f t="shared" si="174"/>
        <v>0</v>
      </c>
      <c r="S210" s="1391">
        <f t="shared" si="174"/>
        <v>0</v>
      </c>
      <c r="T210" s="34"/>
      <c r="U210" s="34"/>
      <c r="V210" s="34"/>
      <c r="W210" s="34"/>
      <c r="X210" s="34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</row>
    <row r="211" spans="1:55" x14ac:dyDescent="0.25">
      <c r="A211" s="2"/>
      <c r="C211" s="77" t="s">
        <v>681</v>
      </c>
      <c r="D211" s="32"/>
      <c r="E211" s="32"/>
      <c r="F211" s="32"/>
      <c r="G211" s="1400">
        <f>G$51</f>
        <v>0</v>
      </c>
      <c r="H211" s="1400">
        <f t="shared" ref="H211:S211" si="175">H$51</f>
        <v>0</v>
      </c>
      <c r="I211" s="1400">
        <f t="shared" si="175"/>
        <v>0</v>
      </c>
      <c r="J211" s="1400">
        <f t="shared" si="175"/>
        <v>0</v>
      </c>
      <c r="K211" s="1400">
        <f t="shared" si="175"/>
        <v>0</v>
      </c>
      <c r="L211" s="1400">
        <f t="shared" si="175"/>
        <v>0</v>
      </c>
      <c r="M211" s="1400">
        <f t="shared" si="175"/>
        <v>0</v>
      </c>
      <c r="N211" s="1400">
        <f t="shared" si="175"/>
        <v>0</v>
      </c>
      <c r="O211" s="1400">
        <f t="shared" si="175"/>
        <v>0</v>
      </c>
      <c r="P211" s="1400">
        <f t="shared" si="175"/>
        <v>0</v>
      </c>
      <c r="Q211" s="1400">
        <f t="shared" si="175"/>
        <v>0</v>
      </c>
      <c r="R211" s="1400">
        <f t="shared" si="175"/>
        <v>0</v>
      </c>
      <c r="S211" s="1400">
        <f t="shared" si="175"/>
        <v>0</v>
      </c>
      <c r="T211" s="34"/>
      <c r="U211" s="34"/>
      <c r="V211" s="34"/>
      <c r="W211" s="34"/>
      <c r="X211" s="34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</row>
    <row r="212" spans="1:55" x14ac:dyDescent="0.25">
      <c r="A212" s="2"/>
      <c r="C212" s="77" t="s">
        <v>590</v>
      </c>
      <c r="D212" s="32"/>
      <c r="E212" s="32"/>
      <c r="F212" s="32"/>
      <c r="G212" s="1400">
        <f>G$52</f>
        <v>0</v>
      </c>
      <c r="H212" s="1400">
        <f t="shared" ref="H212:S212" si="176">H$52</f>
        <v>0</v>
      </c>
      <c r="I212" s="1400">
        <f t="shared" si="176"/>
        <v>0</v>
      </c>
      <c r="J212" s="1400">
        <f t="shared" si="176"/>
        <v>0</v>
      </c>
      <c r="K212" s="1400">
        <f t="shared" si="176"/>
        <v>0</v>
      </c>
      <c r="L212" s="1400">
        <f t="shared" si="176"/>
        <v>0</v>
      </c>
      <c r="M212" s="1400">
        <f t="shared" si="176"/>
        <v>0</v>
      </c>
      <c r="N212" s="1400">
        <f t="shared" si="176"/>
        <v>0</v>
      </c>
      <c r="O212" s="1400">
        <f t="shared" si="176"/>
        <v>0</v>
      </c>
      <c r="P212" s="1400">
        <f t="shared" si="176"/>
        <v>0</v>
      </c>
      <c r="Q212" s="1400">
        <f t="shared" si="176"/>
        <v>0</v>
      </c>
      <c r="R212" s="1400">
        <f t="shared" si="176"/>
        <v>0</v>
      </c>
      <c r="S212" s="1400">
        <f t="shared" si="176"/>
        <v>0</v>
      </c>
      <c r="T212" s="34"/>
      <c r="U212" s="34"/>
      <c r="V212" s="34"/>
      <c r="W212" s="34"/>
      <c r="X212" s="34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</row>
    <row r="213" spans="1:55" x14ac:dyDescent="0.25">
      <c r="A213" s="2"/>
      <c r="C213" s="34" t="s">
        <v>682</v>
      </c>
      <c r="D213" s="32"/>
      <c r="E213" s="32"/>
      <c r="F213" s="32"/>
      <c r="G213" s="1401">
        <f>G$53</f>
        <v>-10434034.356800005</v>
      </c>
      <c r="H213" s="1401">
        <f t="shared" ref="H213:S213" si="177">H$53</f>
        <v>0</v>
      </c>
      <c r="I213" s="1401">
        <f t="shared" si="177"/>
        <v>2033032.5693331573</v>
      </c>
      <c r="J213" s="1401">
        <f t="shared" si="177"/>
        <v>1595516.5191228543</v>
      </c>
      <c r="K213" s="1401">
        <f t="shared" si="177"/>
        <v>1695673.327182909</v>
      </c>
      <c r="L213" s="1401">
        <f t="shared" si="177"/>
        <v>1795830.1352429655</v>
      </c>
      <c r="M213" s="1401">
        <f t="shared" si="177"/>
        <v>31391684.676550463</v>
      </c>
      <c r="N213" s="1401">
        <f t="shared" si="177"/>
        <v>0</v>
      </c>
      <c r="O213" s="1401">
        <f t="shared" si="177"/>
        <v>0</v>
      </c>
      <c r="P213" s="1401">
        <f t="shared" si="177"/>
        <v>0</v>
      </c>
      <c r="Q213" s="1401">
        <f t="shared" si="177"/>
        <v>0</v>
      </c>
      <c r="R213" s="1401">
        <f t="shared" si="177"/>
        <v>0</v>
      </c>
      <c r="S213" s="1401">
        <f t="shared" si="177"/>
        <v>0</v>
      </c>
      <c r="T213" s="34"/>
      <c r="U213" s="34"/>
      <c r="V213" s="34"/>
      <c r="W213" s="34"/>
      <c r="X213" s="34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</row>
    <row r="214" spans="1:55" x14ac:dyDescent="0.25">
      <c r="A214" s="2"/>
      <c r="C214" s="34"/>
      <c r="D214" s="32"/>
      <c r="E214" s="32"/>
      <c r="F214" s="32"/>
      <c r="G214" s="1399"/>
      <c r="H214" s="1399"/>
      <c r="I214" s="1399"/>
      <c r="J214" s="1399"/>
      <c r="K214" s="1399"/>
      <c r="L214" s="1399"/>
      <c r="M214" s="1399"/>
      <c r="N214" s="1399"/>
      <c r="O214" s="1399"/>
      <c r="P214" s="1399"/>
      <c r="Q214" s="1399"/>
      <c r="R214" s="1399"/>
      <c r="S214" s="1399"/>
      <c r="T214" s="34"/>
      <c r="U214" s="34"/>
      <c r="V214" s="34"/>
      <c r="W214" s="34"/>
      <c r="X214" s="34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</row>
    <row r="215" spans="1:55" x14ac:dyDescent="0.25">
      <c r="A215" s="2"/>
      <c r="C215" s="34" t="s">
        <v>683</v>
      </c>
      <c r="D215" s="32"/>
      <c r="E215" s="1375">
        <f>E56</f>
        <v>0.27662161079383574</v>
      </c>
      <c r="F215" s="2"/>
      <c r="G215" s="1399"/>
      <c r="H215" s="1399"/>
      <c r="I215" s="1399"/>
      <c r="J215" s="1399"/>
      <c r="K215" s="1399"/>
      <c r="L215" s="1399"/>
      <c r="M215" s="1399"/>
      <c r="N215" s="1399"/>
      <c r="O215" s="1399"/>
      <c r="P215" s="1399"/>
      <c r="Q215" s="1399"/>
      <c r="R215" s="1399"/>
      <c r="S215" s="1399"/>
      <c r="T215" s="34"/>
      <c r="U215" s="34"/>
      <c r="V215" s="34"/>
      <c r="W215" s="34"/>
      <c r="X215" s="34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</row>
    <row r="216" spans="1:55" x14ac:dyDescent="0.25">
      <c r="A216" s="2"/>
      <c r="C216" s="34" t="s">
        <v>684</v>
      </c>
      <c r="D216" s="32"/>
      <c r="E216" s="1376">
        <f>E57</f>
        <v>3.690972821297422</v>
      </c>
      <c r="F216" s="2"/>
      <c r="G216" s="1399"/>
      <c r="H216" s="1399"/>
      <c r="I216" s="1399"/>
      <c r="J216" s="1399"/>
      <c r="K216" s="1399"/>
      <c r="L216" s="1399"/>
      <c r="M216" s="1399"/>
      <c r="N216" s="1399"/>
      <c r="O216" s="1399"/>
      <c r="P216" s="1399"/>
      <c r="Q216" s="1399"/>
      <c r="R216" s="1399"/>
      <c r="S216" s="1399"/>
      <c r="T216" s="34"/>
      <c r="U216" s="34"/>
      <c r="V216" s="34"/>
      <c r="W216" s="34"/>
      <c r="X216" s="34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</row>
    <row r="217" spans="1:55" x14ac:dyDescent="0.25">
      <c r="A217" s="2"/>
      <c r="C217" s="34" t="s">
        <v>685</v>
      </c>
      <c r="D217" s="32"/>
      <c r="E217" s="1377">
        <f>E55</f>
        <v>28077702.870632343</v>
      </c>
      <c r="F217" s="2"/>
      <c r="G217" s="1399"/>
      <c r="H217" s="1399"/>
      <c r="I217" s="1399"/>
      <c r="J217" s="1399"/>
      <c r="K217" s="1399"/>
      <c r="L217" s="1399"/>
      <c r="M217" s="1399"/>
      <c r="N217" s="1399"/>
      <c r="O217" s="1399"/>
      <c r="P217" s="1399"/>
      <c r="Q217" s="1399"/>
      <c r="R217" s="1399"/>
      <c r="S217" s="1399"/>
      <c r="T217" s="34"/>
      <c r="U217" s="34"/>
      <c r="V217" s="34"/>
      <c r="W217" s="34"/>
      <c r="X217" s="34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</row>
    <row r="218" spans="1:55" x14ac:dyDescent="0.25">
      <c r="A218" s="2"/>
      <c r="C218" s="34"/>
      <c r="D218" s="32"/>
      <c r="E218" s="32"/>
      <c r="F218" s="2"/>
      <c r="G218" s="1399"/>
      <c r="H218" s="1399"/>
      <c r="I218" s="1399"/>
      <c r="J218" s="1399"/>
      <c r="K218" s="1399"/>
      <c r="L218" s="1399"/>
      <c r="M218" s="1399"/>
      <c r="N218" s="1399"/>
      <c r="O218" s="1399"/>
      <c r="P218" s="1399"/>
      <c r="Q218" s="1399"/>
      <c r="R218" s="1399"/>
      <c r="S218" s="1399"/>
      <c r="T218" s="34"/>
      <c r="U218" s="34"/>
      <c r="V218" s="34"/>
      <c r="W218" s="34"/>
      <c r="X218" s="34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</row>
    <row r="219" spans="1:55" x14ac:dyDescent="0.25">
      <c r="A219" s="2"/>
      <c r="C219" s="1380" t="s">
        <v>695</v>
      </c>
      <c r="D219" s="1373" t="str">
        <f>"EMx"</f>
        <v>EMx</v>
      </c>
      <c r="E219" s="1372"/>
      <c r="F219" s="1372"/>
      <c r="G219" s="1370">
        <f>G208</f>
        <v>2026</v>
      </c>
      <c r="H219" s="1370">
        <f t="shared" ref="H219:R219" si="178">H208</f>
        <v>2027</v>
      </c>
      <c r="I219" s="1370">
        <f t="shared" si="178"/>
        <v>2028</v>
      </c>
      <c r="J219" s="1370">
        <f t="shared" si="178"/>
        <v>2029</v>
      </c>
      <c r="K219" s="1370">
        <f t="shared" si="178"/>
        <v>2030</v>
      </c>
      <c r="L219" s="1370">
        <f t="shared" si="178"/>
        <v>2031</v>
      </c>
      <c r="M219" s="1370">
        <f t="shared" si="178"/>
        <v>2032</v>
      </c>
      <c r="N219" s="1370">
        <f t="shared" si="178"/>
        <v>2033</v>
      </c>
      <c r="O219" s="1370">
        <f t="shared" si="178"/>
        <v>2034</v>
      </c>
      <c r="P219" s="1370">
        <f t="shared" si="178"/>
        <v>2035</v>
      </c>
      <c r="Q219" s="1370">
        <f t="shared" si="178"/>
        <v>2036</v>
      </c>
      <c r="R219" s="1370">
        <f t="shared" si="178"/>
        <v>2037</v>
      </c>
      <c r="S219" s="1370">
        <f t="shared" ref="S219" si="179">S208</f>
        <v>2038</v>
      </c>
      <c r="T219" s="34"/>
      <c r="U219" s="34"/>
      <c r="V219" s="34"/>
      <c r="W219" s="34"/>
      <c r="X219" s="34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</row>
    <row r="220" spans="1:55" x14ac:dyDescent="0.25">
      <c r="A220" s="2"/>
      <c r="C220" s="1381" t="s">
        <v>696</v>
      </c>
      <c r="D220" s="1396">
        <f>IF($E$3="EMx",F185,IF($E$3="IRR",0,IF($E$3="IRR + Emx",D186)))</f>
        <v>0</v>
      </c>
      <c r="E220" s="1372"/>
      <c r="F220" s="1372"/>
      <c r="G220" s="1378">
        <f>G209</f>
        <v>0</v>
      </c>
      <c r="H220" s="1378">
        <f t="shared" ref="H220:R220" si="180">H209</f>
        <v>0.1</v>
      </c>
      <c r="I220" s="1378">
        <f t="shared" si="180"/>
        <v>1</v>
      </c>
      <c r="J220" s="1378">
        <f t="shared" si="180"/>
        <v>2</v>
      </c>
      <c r="K220" s="1378">
        <f t="shared" si="180"/>
        <v>3</v>
      </c>
      <c r="L220" s="1378">
        <f t="shared" si="180"/>
        <v>4</v>
      </c>
      <c r="M220" s="1378">
        <f t="shared" si="180"/>
        <v>5</v>
      </c>
      <c r="N220" s="1378">
        <f t="shared" si="180"/>
        <v>6</v>
      </c>
      <c r="O220" s="1378">
        <f t="shared" si="180"/>
        <v>7</v>
      </c>
      <c r="P220" s="1378">
        <f t="shared" si="180"/>
        <v>8</v>
      </c>
      <c r="Q220" s="1378">
        <f t="shared" si="180"/>
        <v>9</v>
      </c>
      <c r="R220" s="1378">
        <f t="shared" si="180"/>
        <v>10</v>
      </c>
      <c r="S220" s="1378" t="e">
        <f t="shared" ref="S220" si="181">S209</f>
        <v>#N/A</v>
      </c>
      <c r="T220" s="34"/>
      <c r="U220" s="34"/>
      <c r="V220" s="34"/>
      <c r="W220" s="34"/>
      <c r="X220" s="34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</row>
    <row r="221" spans="1:55" x14ac:dyDescent="0.25">
      <c r="A221" s="2"/>
      <c r="C221" s="1388"/>
      <c r="D221" s="1393"/>
      <c r="E221" s="32"/>
      <c r="F221" s="32"/>
      <c r="G221" s="1394"/>
      <c r="H221" s="1394"/>
      <c r="I221" s="1394"/>
      <c r="J221" s="1394"/>
      <c r="K221" s="1394"/>
      <c r="L221" s="1394"/>
      <c r="M221" s="1394"/>
      <c r="N221" s="1394"/>
      <c r="O221" s="1394"/>
      <c r="P221" s="1394"/>
      <c r="Q221" s="1394"/>
      <c r="R221" s="1394"/>
      <c r="S221" s="1394"/>
      <c r="T221" s="34"/>
      <c r="U221" s="34"/>
      <c r="V221" s="34"/>
      <c r="W221" s="34"/>
      <c r="X221" s="34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</row>
    <row r="222" spans="1:55" x14ac:dyDescent="0.25">
      <c r="A222" s="2"/>
      <c r="C222" s="34" t="s">
        <v>697</v>
      </c>
      <c r="D222" s="34"/>
      <c r="E222" s="34"/>
      <c r="F222" s="34"/>
      <c r="G222" s="1391"/>
      <c r="H222" s="1391">
        <f>G227</f>
        <v>10434034.356800005</v>
      </c>
      <c r="I222" s="1391">
        <f>H227</f>
        <v>0</v>
      </c>
      <c r="J222" s="1391">
        <f>I227</f>
        <v>0</v>
      </c>
      <c r="K222" s="1391">
        <f t="shared" ref="K222" si="182">J227</f>
        <v>0</v>
      </c>
      <c r="L222" s="1391">
        <f>K227</f>
        <v>0</v>
      </c>
      <c r="M222" s="1391">
        <f t="shared" ref="M222" si="183">L227</f>
        <v>0</v>
      </c>
      <c r="N222" s="1391">
        <f t="shared" ref="N222" si="184">M227</f>
        <v>0</v>
      </c>
      <c r="O222" s="1391">
        <f t="shared" ref="O222" si="185">N227</f>
        <v>0</v>
      </c>
      <c r="P222" s="1391">
        <f t="shared" ref="P222" si="186">O227</f>
        <v>0</v>
      </c>
      <c r="Q222" s="1391">
        <f t="shared" ref="Q222" si="187">P227</f>
        <v>0</v>
      </c>
      <c r="R222" s="1391">
        <f>Q227</f>
        <v>0</v>
      </c>
      <c r="S222" s="1391">
        <f>R227</f>
        <v>0</v>
      </c>
      <c r="T222" s="34"/>
      <c r="U222" s="34"/>
      <c r="V222" s="34"/>
      <c r="W222" s="34"/>
      <c r="X222" s="34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</row>
    <row r="223" spans="1:55" x14ac:dyDescent="0.25">
      <c r="A223" s="2"/>
      <c r="C223" s="34" t="s">
        <v>698</v>
      </c>
      <c r="D223" s="34"/>
      <c r="E223" s="34"/>
      <c r="F223" s="34"/>
      <c r="G223" s="1391"/>
      <c r="H223" s="1391">
        <f>H229-H224</f>
        <v>10434034.356800005</v>
      </c>
      <c r="I223" s="1391">
        <f>I229-I224</f>
        <v>0</v>
      </c>
      <c r="J223" s="1391">
        <f>J229-J224</f>
        <v>0</v>
      </c>
      <c r="K223" s="1391">
        <f>K229-K224</f>
        <v>0</v>
      </c>
      <c r="L223" s="1391">
        <f>L229-L224</f>
        <v>0</v>
      </c>
      <c r="M223" s="1391">
        <f t="shared" ref="M223:R223" si="188">M229-M224</f>
        <v>0</v>
      </c>
      <c r="N223" s="1391">
        <f t="shared" si="188"/>
        <v>0</v>
      </c>
      <c r="O223" s="1391">
        <f t="shared" si="188"/>
        <v>0</v>
      </c>
      <c r="P223" s="1391">
        <f t="shared" si="188"/>
        <v>0</v>
      </c>
      <c r="Q223" s="1391">
        <f t="shared" si="188"/>
        <v>0</v>
      </c>
      <c r="R223" s="1391">
        <f t="shared" si="188"/>
        <v>0</v>
      </c>
      <c r="S223" s="1391">
        <f t="shared" ref="S223" si="189">S229-S224</f>
        <v>0</v>
      </c>
      <c r="T223" s="34"/>
      <c r="U223" s="34"/>
      <c r="V223" s="34"/>
      <c r="W223" s="34"/>
      <c r="X223" s="34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</row>
    <row r="224" spans="1:55" x14ac:dyDescent="0.25">
      <c r="A224" s="2"/>
      <c r="C224" s="34" t="s">
        <v>699</v>
      </c>
      <c r="D224" s="34"/>
      <c r="E224" s="34"/>
      <c r="F224" s="34"/>
      <c r="G224" s="1391"/>
      <c r="H224" s="1391">
        <f t="shared" ref="H224:R224" si="190">IF($D$219="EMx",G225*$D$220-G225,H222*$D$220)</f>
        <v>-10434034.356800005</v>
      </c>
      <c r="I224" s="1391">
        <f t="shared" si="190"/>
        <v>0</v>
      </c>
      <c r="J224" s="1391">
        <f t="shared" si="190"/>
        <v>0</v>
      </c>
      <c r="K224" s="1391">
        <f t="shared" si="190"/>
        <v>0</v>
      </c>
      <c r="L224" s="1391">
        <f t="shared" si="190"/>
        <v>0</v>
      </c>
      <c r="M224" s="1391">
        <f t="shared" si="190"/>
        <v>0</v>
      </c>
      <c r="N224" s="1391">
        <f t="shared" si="190"/>
        <v>0</v>
      </c>
      <c r="O224" s="1391">
        <f t="shared" si="190"/>
        <v>0</v>
      </c>
      <c r="P224" s="1391">
        <f t="shared" si="190"/>
        <v>0</v>
      </c>
      <c r="Q224" s="1391">
        <f t="shared" si="190"/>
        <v>0</v>
      </c>
      <c r="R224" s="1391">
        <f t="shared" si="190"/>
        <v>0</v>
      </c>
      <c r="S224" s="1391">
        <f t="shared" ref="S224" si="191">IF($D$219="EMx",R225*$D$220-R225,S222*$D$220)</f>
        <v>0</v>
      </c>
      <c r="T224" s="34"/>
      <c r="U224" s="34"/>
      <c r="V224" s="34"/>
      <c r="W224" s="34"/>
      <c r="X224" s="34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</row>
    <row r="225" spans="1:55" x14ac:dyDescent="0.25">
      <c r="A225" s="2"/>
      <c r="C225" s="34" t="s">
        <v>700</v>
      </c>
      <c r="D225" s="34"/>
      <c r="E225" s="34"/>
      <c r="F225" s="34"/>
      <c r="G225" s="1391">
        <f>IF($D$9="$",$D$12,$E$12)</f>
        <v>10434034.356800005</v>
      </c>
      <c r="H225" s="1391">
        <f t="shared" ref="H225:S225" si="192">IF($D$9="$",-MIN(H$94*$E$12,0),-MIN(H$94*$D$12,0))</f>
        <v>0</v>
      </c>
      <c r="I225" s="1391">
        <f t="shared" si="192"/>
        <v>0</v>
      </c>
      <c r="J225" s="1391">
        <f t="shared" si="192"/>
        <v>0</v>
      </c>
      <c r="K225" s="1391">
        <f t="shared" si="192"/>
        <v>0</v>
      </c>
      <c r="L225" s="1391">
        <f t="shared" si="192"/>
        <v>0</v>
      </c>
      <c r="M225" s="1391">
        <f t="shared" si="192"/>
        <v>0</v>
      </c>
      <c r="N225" s="1391">
        <f t="shared" si="192"/>
        <v>0</v>
      </c>
      <c r="O225" s="1391">
        <f t="shared" si="192"/>
        <v>0</v>
      </c>
      <c r="P225" s="1391">
        <f t="shared" si="192"/>
        <v>0</v>
      </c>
      <c r="Q225" s="1391">
        <f t="shared" si="192"/>
        <v>0</v>
      </c>
      <c r="R225" s="1391">
        <f t="shared" si="192"/>
        <v>0</v>
      </c>
      <c r="S225" s="1391">
        <f t="shared" si="192"/>
        <v>0</v>
      </c>
      <c r="T225" s="34"/>
      <c r="U225" s="34"/>
      <c r="V225" s="34"/>
      <c r="W225" s="34"/>
      <c r="X225" s="34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</row>
    <row r="226" spans="1:55" x14ac:dyDescent="0.25">
      <c r="A226" s="2"/>
      <c r="C226" s="9" t="s">
        <v>701</v>
      </c>
      <c r="D226" s="34"/>
      <c r="E226" s="34"/>
      <c r="F226" s="34"/>
      <c r="G226" s="1391"/>
      <c r="H226" s="1391">
        <f>MIN(H222+H224,MAX(H213,0)*$K$66)</f>
        <v>0</v>
      </c>
      <c r="I226" s="1391">
        <f>MIN(I222+I224,MAX(I213,0)*$K$66)</f>
        <v>0</v>
      </c>
      <c r="J226" s="1391">
        <f t="shared" ref="J226:Q226" si="193">MIN(J222+J224,MAX(J213,0)*$K$66)</f>
        <v>0</v>
      </c>
      <c r="K226" s="1391">
        <f t="shared" si="193"/>
        <v>0</v>
      </c>
      <c r="L226" s="1391">
        <f t="shared" si="193"/>
        <v>0</v>
      </c>
      <c r="M226" s="1391">
        <f t="shared" si="193"/>
        <v>0</v>
      </c>
      <c r="N226" s="1391">
        <f t="shared" si="193"/>
        <v>0</v>
      </c>
      <c r="O226" s="1391">
        <f t="shared" si="193"/>
        <v>0</v>
      </c>
      <c r="P226" s="1391">
        <f t="shared" si="193"/>
        <v>0</v>
      </c>
      <c r="Q226" s="1391">
        <f t="shared" si="193"/>
        <v>0</v>
      </c>
      <c r="R226" s="1391">
        <f>MIN(R222+R224,MAX(R213,0)*$K$66)</f>
        <v>0</v>
      </c>
      <c r="S226" s="1391">
        <f>MIN(S222+S224,MAX(S213,0)*$K$66)</f>
        <v>0</v>
      </c>
      <c r="T226" s="34"/>
      <c r="U226" s="34"/>
      <c r="V226" s="34"/>
      <c r="W226" s="34"/>
      <c r="X226" s="34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</row>
    <row r="227" spans="1:55" x14ac:dyDescent="0.25">
      <c r="A227" s="2"/>
      <c r="C227" s="9" t="s">
        <v>702</v>
      </c>
      <c r="D227" s="34"/>
      <c r="E227" s="34"/>
      <c r="F227" s="34"/>
      <c r="G227" s="1391">
        <f>SUM(G222+G224+G225-G226)</f>
        <v>10434034.356800005</v>
      </c>
      <c r="H227" s="1391">
        <f t="shared" ref="H227:R227" si="194">SUM(H222+H224+H225-H226)</f>
        <v>0</v>
      </c>
      <c r="I227" s="1391">
        <f t="shared" si="194"/>
        <v>0</v>
      </c>
      <c r="J227" s="1391">
        <f t="shared" si="194"/>
        <v>0</v>
      </c>
      <c r="K227" s="1391">
        <f t="shared" si="194"/>
        <v>0</v>
      </c>
      <c r="L227" s="1391">
        <f t="shared" si="194"/>
        <v>0</v>
      </c>
      <c r="M227" s="1391">
        <f t="shared" si="194"/>
        <v>0</v>
      </c>
      <c r="N227" s="1391">
        <f t="shared" si="194"/>
        <v>0</v>
      </c>
      <c r="O227" s="1391">
        <f t="shared" si="194"/>
        <v>0</v>
      </c>
      <c r="P227" s="1391">
        <f t="shared" si="194"/>
        <v>0</v>
      </c>
      <c r="Q227" s="1391">
        <f t="shared" si="194"/>
        <v>0</v>
      </c>
      <c r="R227" s="1391">
        <f t="shared" si="194"/>
        <v>0</v>
      </c>
      <c r="S227" s="1391">
        <f t="shared" ref="S227" si="195">SUM(S222+S224+S225-S226)</f>
        <v>0</v>
      </c>
      <c r="T227" s="34"/>
      <c r="U227" s="34"/>
      <c r="V227" s="34"/>
      <c r="W227" s="34"/>
      <c r="X227" s="34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</row>
    <row r="228" spans="1:55" x14ac:dyDescent="0.25">
      <c r="A228" s="2"/>
      <c r="C228" s="9" t="s">
        <v>726</v>
      </c>
      <c r="D228" s="34"/>
      <c r="E228" s="34"/>
      <c r="F228" s="1398">
        <f>IF($D$219="IRR",IRR(G228:S228),SUMIF(G228:S228,"&gt;0")/-SUMIF(G228:S228,"&lt;0"))</f>
        <v>0</v>
      </c>
      <c r="G228" s="1391">
        <f>-G225+G226</f>
        <v>-10434034.356800005</v>
      </c>
      <c r="H228" s="1391">
        <f>-H225+H226</f>
        <v>0</v>
      </c>
      <c r="I228" s="1391">
        <f>-I225+I226</f>
        <v>0</v>
      </c>
      <c r="J228" s="1391">
        <f>-J225+J226</f>
        <v>0</v>
      </c>
      <c r="K228" s="1391">
        <f t="shared" ref="K228" si="196">-K225+K226</f>
        <v>0</v>
      </c>
      <c r="L228" s="1391">
        <f>-L225+L226</f>
        <v>0</v>
      </c>
      <c r="M228" s="1391">
        <f t="shared" ref="M228:R228" si="197">-M225+M226</f>
        <v>0</v>
      </c>
      <c r="N228" s="1391">
        <f t="shared" si="197"/>
        <v>0</v>
      </c>
      <c r="O228" s="1391">
        <f t="shared" si="197"/>
        <v>0</v>
      </c>
      <c r="P228" s="1391">
        <f t="shared" si="197"/>
        <v>0</v>
      </c>
      <c r="Q228" s="1391">
        <f t="shared" si="197"/>
        <v>0</v>
      </c>
      <c r="R228" s="1391">
        <f t="shared" si="197"/>
        <v>0</v>
      </c>
      <c r="S228" s="1391">
        <f t="shared" ref="S228" si="198">-S225+S226</f>
        <v>0</v>
      </c>
      <c r="T228" s="34"/>
      <c r="U228" s="34"/>
      <c r="V228" s="34"/>
      <c r="W228" s="34"/>
      <c r="X228" s="34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</row>
    <row r="229" spans="1:55" x14ac:dyDescent="0.25">
      <c r="A229" s="2"/>
      <c r="C229" s="9" t="s">
        <v>704</v>
      </c>
      <c r="D229" s="34"/>
      <c r="E229" s="34"/>
      <c r="F229" s="34"/>
      <c r="G229" s="1391"/>
      <c r="H229" s="1391">
        <f>MIN(H222+H224,MAX(H213,0)*$K$66)</f>
        <v>0</v>
      </c>
      <c r="I229" s="1391">
        <f>MIN(I222+I224,MAX(I213,0)*$K$66)</f>
        <v>0</v>
      </c>
      <c r="J229" s="1391">
        <f t="shared" ref="J229:K229" si="199">MIN(J222+J224,MAX(J213,0)*$K$66)</f>
        <v>0</v>
      </c>
      <c r="K229" s="1391">
        <f t="shared" si="199"/>
        <v>0</v>
      </c>
      <c r="L229" s="1391">
        <f>MIN(L222+L224,MAX(L213,0)*$K$66)</f>
        <v>0</v>
      </c>
      <c r="M229" s="1391">
        <f t="shared" ref="M229:R229" si="200">MIN(M222+M224,MAX(M213,0)*$K$66)</f>
        <v>0</v>
      </c>
      <c r="N229" s="1391">
        <f t="shared" si="200"/>
        <v>0</v>
      </c>
      <c r="O229" s="1391">
        <f t="shared" si="200"/>
        <v>0</v>
      </c>
      <c r="P229" s="1391">
        <f t="shared" si="200"/>
        <v>0</v>
      </c>
      <c r="Q229" s="1391">
        <f t="shared" si="200"/>
        <v>0</v>
      </c>
      <c r="R229" s="1391">
        <f t="shared" si="200"/>
        <v>0</v>
      </c>
      <c r="S229" s="1391">
        <f t="shared" ref="S229" si="201">MIN(S222+S224,MAX(S213,0)*$K$66)</f>
        <v>0</v>
      </c>
      <c r="T229" s="34"/>
      <c r="U229" s="34"/>
      <c r="V229" s="34"/>
      <c r="W229" s="34"/>
      <c r="X229" s="34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</row>
    <row r="230" spans="1:55" x14ac:dyDescent="0.25">
      <c r="A230" s="2"/>
      <c r="C230" s="9"/>
      <c r="D230" s="34"/>
      <c r="E230" s="34"/>
      <c r="F230" s="34"/>
      <c r="G230" s="1391"/>
      <c r="H230" s="1391"/>
      <c r="I230" s="1391"/>
      <c r="J230" s="1391"/>
      <c r="K230" s="1391"/>
      <c r="L230" s="1391"/>
      <c r="M230" s="1391"/>
      <c r="N230" s="1391"/>
      <c r="O230" s="1391"/>
      <c r="P230" s="1391"/>
      <c r="Q230" s="1391"/>
      <c r="R230" s="1391"/>
      <c r="S230" s="1391"/>
      <c r="T230" s="34"/>
      <c r="U230" s="34"/>
      <c r="V230" s="34"/>
      <c r="W230" s="34"/>
      <c r="X230" s="34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</row>
    <row r="231" spans="1:55" x14ac:dyDescent="0.25">
      <c r="A231" s="2"/>
      <c r="C231" s="9" t="s">
        <v>705</v>
      </c>
      <c r="D231" s="34"/>
      <c r="E231" s="34"/>
      <c r="F231" s="34"/>
      <c r="G231" s="1391"/>
      <c r="H231" s="1391">
        <f>G235</f>
        <v>0</v>
      </c>
      <c r="I231" s="1391">
        <f t="shared" ref="I231" si="202">H235</f>
        <v>0</v>
      </c>
      <c r="J231" s="1391">
        <f t="shared" ref="J231" si="203">I235</f>
        <v>0</v>
      </c>
      <c r="K231" s="1391">
        <f t="shared" ref="K231" si="204">J235</f>
        <v>0</v>
      </c>
      <c r="L231" s="1391">
        <f t="shared" ref="L231" si="205">K235</f>
        <v>0</v>
      </c>
      <c r="M231" s="1391">
        <f t="shared" ref="M231" si="206">L235</f>
        <v>0</v>
      </c>
      <c r="N231" s="1391">
        <f t="shared" ref="N231" si="207">M235</f>
        <v>0</v>
      </c>
      <c r="O231" s="1391">
        <f t="shared" ref="O231" si="208">N235</f>
        <v>0</v>
      </c>
      <c r="P231" s="1391">
        <f t="shared" ref="P231" si="209">O235</f>
        <v>0</v>
      </c>
      <c r="Q231" s="1391">
        <f t="shared" ref="Q231" si="210">P235</f>
        <v>0</v>
      </c>
      <c r="R231" s="1391">
        <f t="shared" ref="R231:S231" si="211">Q235</f>
        <v>0</v>
      </c>
      <c r="S231" s="1391">
        <f t="shared" si="211"/>
        <v>0</v>
      </c>
      <c r="T231" s="34"/>
      <c r="U231" s="34"/>
      <c r="V231" s="34"/>
      <c r="W231" s="34"/>
      <c r="X231" s="34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</row>
    <row r="232" spans="1:55" x14ac:dyDescent="0.25">
      <c r="A232" s="2"/>
      <c r="C232" s="9" t="s">
        <v>706</v>
      </c>
      <c r="D232" s="34"/>
      <c r="E232" s="34"/>
      <c r="F232" s="34"/>
      <c r="G232" s="1391"/>
      <c r="H232" s="1391">
        <f>IF($D$219="EMx",G233*$D$220-G233,H231*$D$220)</f>
        <v>0</v>
      </c>
      <c r="I232" s="1391">
        <f t="shared" ref="I232:S232" si="212">IF($D$219="EMx",H233*$D$220-H233,I231*$D$220)</f>
        <v>0</v>
      </c>
      <c r="J232" s="1391">
        <f t="shared" si="212"/>
        <v>0</v>
      </c>
      <c r="K232" s="1391">
        <f t="shared" si="212"/>
        <v>0</v>
      </c>
      <c r="L232" s="1391">
        <f t="shared" si="212"/>
        <v>0</v>
      </c>
      <c r="M232" s="1391">
        <f t="shared" si="212"/>
        <v>0</v>
      </c>
      <c r="N232" s="1391">
        <f t="shared" si="212"/>
        <v>0</v>
      </c>
      <c r="O232" s="1391">
        <f t="shared" si="212"/>
        <v>0</v>
      </c>
      <c r="P232" s="1391">
        <f t="shared" si="212"/>
        <v>0</v>
      </c>
      <c r="Q232" s="1391">
        <f t="shared" si="212"/>
        <v>0</v>
      </c>
      <c r="R232" s="1391">
        <f t="shared" si="212"/>
        <v>0</v>
      </c>
      <c r="S232" s="1391">
        <f t="shared" si="212"/>
        <v>0</v>
      </c>
      <c r="T232" s="34"/>
      <c r="U232" s="34"/>
      <c r="V232" s="34"/>
      <c r="W232" s="34"/>
      <c r="X232" s="34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</row>
    <row r="233" spans="1:55" x14ac:dyDescent="0.25">
      <c r="A233" s="2"/>
      <c r="C233" s="9" t="s">
        <v>707</v>
      </c>
      <c r="D233" s="34"/>
      <c r="E233" s="34"/>
      <c r="F233" s="34"/>
      <c r="G233" s="1391">
        <f>IF($D$9="$",$D$13,$E$13)</f>
        <v>0</v>
      </c>
      <c r="H233" s="1391">
        <f t="shared" ref="H233:S233" si="213">IF($D$9="$",-MIN(H$94*$D$13,0),-MIN(H$94*$E$13,0))</f>
        <v>0</v>
      </c>
      <c r="I233" s="1391">
        <f t="shared" si="213"/>
        <v>0</v>
      </c>
      <c r="J233" s="1391">
        <f t="shared" si="213"/>
        <v>0</v>
      </c>
      <c r="K233" s="1391">
        <f t="shared" si="213"/>
        <v>0</v>
      </c>
      <c r="L233" s="1391">
        <f t="shared" si="213"/>
        <v>0</v>
      </c>
      <c r="M233" s="1391">
        <f t="shared" si="213"/>
        <v>0</v>
      </c>
      <c r="N233" s="1391">
        <f t="shared" si="213"/>
        <v>0</v>
      </c>
      <c r="O233" s="1391">
        <f t="shared" si="213"/>
        <v>0</v>
      </c>
      <c r="P233" s="1391">
        <f t="shared" si="213"/>
        <v>0</v>
      </c>
      <c r="Q233" s="1391">
        <f t="shared" si="213"/>
        <v>0</v>
      </c>
      <c r="R233" s="1391">
        <f t="shared" si="213"/>
        <v>0</v>
      </c>
      <c r="S233" s="1391">
        <f t="shared" si="213"/>
        <v>0</v>
      </c>
      <c r="T233" s="34"/>
      <c r="U233" s="34"/>
      <c r="V233" s="34"/>
      <c r="W233" s="34"/>
      <c r="X233" s="34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</row>
    <row r="234" spans="1:55" x14ac:dyDescent="0.25">
      <c r="A234" s="2"/>
      <c r="C234" s="9" t="s">
        <v>708</v>
      </c>
      <c r="D234" s="34"/>
      <c r="E234" s="34"/>
      <c r="F234" s="34"/>
      <c r="G234" s="1391"/>
      <c r="H234" s="1391">
        <f t="shared" ref="H234:S234" si="214">IF(OR($E$5="Pari Passu",AND($E$5="LP First",$E$6="No")),H226/$K$66*$J$66,MAX(MIN(H213-H229,H231+H232+H233),0))</f>
        <v>0</v>
      </c>
      <c r="I234" s="1391">
        <f t="shared" si="214"/>
        <v>0</v>
      </c>
      <c r="J234" s="1391">
        <f t="shared" si="214"/>
        <v>0</v>
      </c>
      <c r="K234" s="1391">
        <f t="shared" si="214"/>
        <v>0</v>
      </c>
      <c r="L234" s="1391">
        <f t="shared" si="214"/>
        <v>0</v>
      </c>
      <c r="M234" s="1391">
        <f t="shared" si="214"/>
        <v>0</v>
      </c>
      <c r="N234" s="1391">
        <f t="shared" si="214"/>
        <v>0</v>
      </c>
      <c r="O234" s="1391">
        <f t="shared" si="214"/>
        <v>0</v>
      </c>
      <c r="P234" s="1391">
        <f t="shared" si="214"/>
        <v>0</v>
      </c>
      <c r="Q234" s="1391">
        <f t="shared" si="214"/>
        <v>0</v>
      </c>
      <c r="R234" s="1391">
        <f t="shared" si="214"/>
        <v>0</v>
      </c>
      <c r="S234" s="1391">
        <f t="shared" si="214"/>
        <v>0</v>
      </c>
      <c r="T234" s="34"/>
      <c r="U234" s="34"/>
      <c r="V234" s="34"/>
      <c r="W234" s="34"/>
      <c r="X234" s="34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</row>
    <row r="235" spans="1:55" x14ac:dyDescent="0.25">
      <c r="A235" s="2"/>
      <c r="C235" s="9" t="s">
        <v>709</v>
      </c>
      <c r="D235" s="34"/>
      <c r="E235" s="34"/>
      <c r="F235" s="34"/>
      <c r="G235" s="1391">
        <f>G231+G232+G233-G234</f>
        <v>0</v>
      </c>
      <c r="H235" s="1391">
        <f t="shared" ref="H235:R235" si="215">H231+H232+H233-H234</f>
        <v>0</v>
      </c>
      <c r="I235" s="1391">
        <f t="shared" si="215"/>
        <v>0</v>
      </c>
      <c r="J235" s="1391">
        <f t="shared" si="215"/>
        <v>0</v>
      </c>
      <c r="K235" s="1391">
        <f t="shared" si="215"/>
        <v>0</v>
      </c>
      <c r="L235" s="1391">
        <f t="shared" si="215"/>
        <v>0</v>
      </c>
      <c r="M235" s="1391">
        <f t="shared" si="215"/>
        <v>0</v>
      </c>
      <c r="N235" s="1391">
        <f t="shared" si="215"/>
        <v>0</v>
      </c>
      <c r="O235" s="1391">
        <f t="shared" si="215"/>
        <v>0</v>
      </c>
      <c r="P235" s="1391">
        <f t="shared" si="215"/>
        <v>0</v>
      </c>
      <c r="Q235" s="1391">
        <f t="shared" si="215"/>
        <v>0</v>
      </c>
      <c r="R235" s="1391">
        <f t="shared" si="215"/>
        <v>0</v>
      </c>
      <c r="S235" s="1391">
        <f t="shared" ref="S235" si="216">S231+S232+S233-S234</f>
        <v>0</v>
      </c>
      <c r="T235" s="34"/>
      <c r="U235" s="34"/>
      <c r="V235" s="34"/>
      <c r="W235" s="34"/>
      <c r="X235" s="34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</row>
    <row r="236" spans="1:55" x14ac:dyDescent="0.25">
      <c r="A236" s="2"/>
      <c r="C236" s="9" t="s">
        <v>727</v>
      </c>
      <c r="D236" s="34"/>
      <c r="E236" s="34"/>
      <c r="F236" s="1398" t="str">
        <f>IFERROR(IF($D$219="IRR",IRR(G236:S236),SUMIF(G236:S236,"&gt;0")/-SUMIF(G236:S236,"&lt;0")),"N/A")</f>
        <v>N/A</v>
      </c>
      <c r="G236" s="1391">
        <f>-G233+G234</f>
        <v>0</v>
      </c>
      <c r="H236" s="1391">
        <f>-H233+H234</f>
        <v>0</v>
      </c>
      <c r="I236" s="1391">
        <f t="shared" ref="I236:R236" si="217">-I233+I234</f>
        <v>0</v>
      </c>
      <c r="J236" s="1391">
        <f t="shared" si="217"/>
        <v>0</v>
      </c>
      <c r="K236" s="1391">
        <f t="shared" si="217"/>
        <v>0</v>
      </c>
      <c r="L236" s="1391">
        <f t="shared" si="217"/>
        <v>0</v>
      </c>
      <c r="M236" s="1391">
        <f t="shared" si="217"/>
        <v>0</v>
      </c>
      <c r="N236" s="1391">
        <f t="shared" si="217"/>
        <v>0</v>
      </c>
      <c r="O236" s="1391">
        <f t="shared" si="217"/>
        <v>0</v>
      </c>
      <c r="P236" s="1391">
        <f t="shared" si="217"/>
        <v>0</v>
      </c>
      <c r="Q236" s="1391">
        <f t="shared" si="217"/>
        <v>0</v>
      </c>
      <c r="R236" s="1391">
        <f t="shared" si="217"/>
        <v>0</v>
      </c>
      <c r="S236" s="1391">
        <f t="shared" ref="S236" si="218">-S233+S234</f>
        <v>0</v>
      </c>
      <c r="T236" s="34"/>
      <c r="U236" s="34"/>
      <c r="V236" s="34"/>
      <c r="W236" s="34"/>
      <c r="X236" s="34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</row>
    <row r="237" spans="1:55" x14ac:dyDescent="0.25">
      <c r="A237" s="2"/>
      <c r="C237" s="9"/>
      <c r="D237" s="34"/>
      <c r="E237" s="34"/>
      <c r="F237" s="34"/>
      <c r="G237" s="1391"/>
      <c r="H237" s="1391"/>
      <c r="I237" s="1391"/>
      <c r="J237" s="1391"/>
      <c r="K237" s="1391"/>
      <c r="L237" s="1391"/>
      <c r="M237" s="1391"/>
      <c r="N237" s="1391"/>
      <c r="O237" s="1391"/>
      <c r="P237" s="1391"/>
      <c r="Q237" s="1391"/>
      <c r="R237" s="1391"/>
      <c r="S237" s="1391"/>
      <c r="T237" s="34"/>
      <c r="U237" s="34"/>
      <c r="V237" s="34"/>
      <c r="W237" s="34"/>
      <c r="X237" s="34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</row>
    <row r="238" spans="1:55" x14ac:dyDescent="0.25">
      <c r="A238" s="2"/>
      <c r="C238" s="9" t="s">
        <v>711</v>
      </c>
      <c r="D238" s="34"/>
      <c r="E238" s="34"/>
      <c r="F238" s="34"/>
      <c r="G238" s="1391">
        <f>G229+G234</f>
        <v>0</v>
      </c>
      <c r="H238" s="1391">
        <f t="shared" ref="H238:R238" si="219">H229+H234</f>
        <v>0</v>
      </c>
      <c r="I238" s="1391">
        <f t="shared" si="219"/>
        <v>0</v>
      </c>
      <c r="J238" s="1391">
        <f t="shared" si="219"/>
        <v>0</v>
      </c>
      <c r="K238" s="1391">
        <f t="shared" si="219"/>
        <v>0</v>
      </c>
      <c r="L238" s="1391">
        <f t="shared" si="219"/>
        <v>0</v>
      </c>
      <c r="M238" s="1391">
        <f t="shared" si="219"/>
        <v>0</v>
      </c>
      <c r="N238" s="1391">
        <f t="shared" si="219"/>
        <v>0</v>
      </c>
      <c r="O238" s="1391">
        <f t="shared" si="219"/>
        <v>0</v>
      </c>
      <c r="P238" s="1391">
        <f t="shared" si="219"/>
        <v>0</v>
      </c>
      <c r="Q238" s="1391">
        <f t="shared" si="219"/>
        <v>0</v>
      </c>
      <c r="R238" s="1391">
        <f t="shared" si="219"/>
        <v>0</v>
      </c>
      <c r="S238" s="1391">
        <f t="shared" ref="S238" si="220">S229+S234</f>
        <v>0</v>
      </c>
      <c r="T238" s="34"/>
      <c r="U238" s="34"/>
      <c r="V238" s="34"/>
      <c r="W238" s="34"/>
      <c r="X238" s="34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</row>
    <row r="239" spans="1:55" x14ac:dyDescent="0.25">
      <c r="A239" s="2"/>
      <c r="C239" s="9" t="s">
        <v>712</v>
      </c>
      <c r="D239" s="34"/>
      <c r="E239" s="34"/>
      <c r="F239" s="34"/>
      <c r="G239" s="1391">
        <f>MAX(G213-G238,0)</f>
        <v>0</v>
      </c>
      <c r="H239" s="1391">
        <f t="shared" ref="H239:Q239" si="221">MAX(H213-H238,0)</f>
        <v>0</v>
      </c>
      <c r="I239" s="1391">
        <f t="shared" si="221"/>
        <v>2033032.5693331573</v>
      </c>
      <c r="J239" s="1391">
        <f t="shared" si="221"/>
        <v>1595516.5191228543</v>
      </c>
      <c r="K239" s="1391">
        <f t="shared" si="221"/>
        <v>1695673.327182909</v>
      </c>
      <c r="L239" s="1391">
        <f t="shared" si="221"/>
        <v>1795830.1352429655</v>
      </c>
      <c r="M239" s="1391">
        <f t="shared" si="221"/>
        <v>31391684.676550463</v>
      </c>
      <c r="N239" s="1391">
        <f t="shared" si="221"/>
        <v>0</v>
      </c>
      <c r="O239" s="1391">
        <f t="shared" si="221"/>
        <v>0</v>
      </c>
      <c r="P239" s="1391">
        <f t="shared" si="221"/>
        <v>0</v>
      </c>
      <c r="Q239" s="1391">
        <f t="shared" si="221"/>
        <v>0</v>
      </c>
      <c r="R239" s="1391">
        <f>MAX(R213-R238,0)</f>
        <v>0</v>
      </c>
      <c r="S239" s="1391">
        <f>MAX(S213-S238,0)</f>
        <v>0</v>
      </c>
      <c r="T239" s="34"/>
      <c r="U239" s="34"/>
      <c r="V239" s="34"/>
      <c r="W239" s="34"/>
      <c r="X239" s="34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</row>
    <row r="240" spans="1:55" x14ac:dyDescent="0.25">
      <c r="A240" s="2"/>
      <c r="C240" s="34"/>
      <c r="D240" s="34"/>
      <c r="E240" s="34"/>
      <c r="F240" s="34"/>
      <c r="G240" s="1391"/>
      <c r="H240" s="1391"/>
      <c r="I240" s="1391"/>
      <c r="J240" s="1391"/>
      <c r="K240" s="1391"/>
      <c r="L240" s="1391"/>
      <c r="M240" s="1391"/>
      <c r="N240" s="1391"/>
      <c r="O240" s="1391"/>
      <c r="P240" s="1391"/>
      <c r="Q240" s="1391"/>
      <c r="R240" s="1391"/>
      <c r="S240" s="1391"/>
      <c r="T240" s="34"/>
      <c r="U240" s="34"/>
      <c r="V240" s="34"/>
      <c r="W240" s="34"/>
      <c r="X240" s="34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</row>
    <row r="241" spans="1:55" x14ac:dyDescent="0.25">
      <c r="A241" s="2"/>
      <c r="C241" s="1380" t="str">
        <f>C186</f>
        <v>Tier 2 (Promote)</v>
      </c>
      <c r="D241" s="1373" t="str">
        <f>$D$219</f>
        <v>EMx</v>
      </c>
      <c r="E241" s="1359"/>
      <c r="F241" s="1359"/>
      <c r="G241" s="1370">
        <f>G219</f>
        <v>2026</v>
      </c>
      <c r="H241" s="1370">
        <f t="shared" ref="H241:R241" si="222">H219</f>
        <v>2027</v>
      </c>
      <c r="I241" s="1370">
        <f t="shared" si="222"/>
        <v>2028</v>
      </c>
      <c r="J241" s="1370">
        <f t="shared" si="222"/>
        <v>2029</v>
      </c>
      <c r="K241" s="1370">
        <f t="shared" si="222"/>
        <v>2030</v>
      </c>
      <c r="L241" s="1370">
        <f t="shared" si="222"/>
        <v>2031</v>
      </c>
      <c r="M241" s="1370">
        <f t="shared" si="222"/>
        <v>2032</v>
      </c>
      <c r="N241" s="1370">
        <f t="shared" si="222"/>
        <v>2033</v>
      </c>
      <c r="O241" s="1370">
        <f t="shared" si="222"/>
        <v>2034</v>
      </c>
      <c r="P241" s="1370">
        <f t="shared" si="222"/>
        <v>2035</v>
      </c>
      <c r="Q241" s="1370">
        <f t="shared" si="222"/>
        <v>2036</v>
      </c>
      <c r="R241" s="1370">
        <f t="shared" si="222"/>
        <v>2037</v>
      </c>
      <c r="S241" s="1370">
        <f t="shared" ref="S241" si="223">S219</f>
        <v>2038</v>
      </c>
      <c r="T241" s="34"/>
      <c r="U241" s="34"/>
      <c r="V241" s="34"/>
      <c r="W241" s="34"/>
      <c r="X241" s="34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</row>
    <row r="242" spans="1:55" x14ac:dyDescent="0.25">
      <c r="A242" s="2"/>
      <c r="C242" s="1381" t="s">
        <v>696</v>
      </c>
      <c r="D242" s="1396">
        <f>IF($E$3="EMx",F186,IF($E$3="IRR",0,IF($E$3="IRR + Emx",D187)))</f>
        <v>0</v>
      </c>
      <c r="E242" s="1359"/>
      <c r="F242" s="1359"/>
      <c r="G242" s="1378">
        <f>G220</f>
        <v>0</v>
      </c>
      <c r="H242" s="1378">
        <f t="shared" ref="H242:R242" si="224">H220</f>
        <v>0.1</v>
      </c>
      <c r="I242" s="1378">
        <f t="shared" si="224"/>
        <v>1</v>
      </c>
      <c r="J242" s="1378">
        <f t="shared" si="224"/>
        <v>2</v>
      </c>
      <c r="K242" s="1378">
        <f t="shared" si="224"/>
        <v>3</v>
      </c>
      <c r="L242" s="1378">
        <f t="shared" si="224"/>
        <v>4</v>
      </c>
      <c r="M242" s="1378">
        <f t="shared" si="224"/>
        <v>5</v>
      </c>
      <c r="N242" s="1378">
        <f t="shared" si="224"/>
        <v>6</v>
      </c>
      <c r="O242" s="1378">
        <f t="shared" si="224"/>
        <v>7</v>
      </c>
      <c r="P242" s="1378">
        <f t="shared" si="224"/>
        <v>8</v>
      </c>
      <c r="Q242" s="1378">
        <f t="shared" si="224"/>
        <v>9</v>
      </c>
      <c r="R242" s="1378">
        <f t="shared" si="224"/>
        <v>10</v>
      </c>
      <c r="S242" s="1378" t="e">
        <f t="shared" ref="S242" si="225">S220</f>
        <v>#N/A</v>
      </c>
      <c r="T242" s="34"/>
      <c r="U242" s="34"/>
      <c r="V242" s="34"/>
      <c r="W242" s="34"/>
      <c r="X242" s="34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</row>
    <row r="243" spans="1:55" x14ac:dyDescent="0.25">
      <c r="A243" s="2"/>
      <c r="C243" s="1388"/>
      <c r="D243" s="683"/>
      <c r="E243" s="34"/>
      <c r="F243" s="34"/>
      <c r="G243" s="1391"/>
      <c r="H243" s="1391"/>
      <c r="I243" s="1391"/>
      <c r="J243" s="1391"/>
      <c r="K243" s="1391"/>
      <c r="L243" s="1391"/>
      <c r="M243" s="1391"/>
      <c r="N243" s="1391"/>
      <c r="O243" s="1391"/>
      <c r="P243" s="1391"/>
      <c r="Q243" s="1391"/>
      <c r="R243" s="1391"/>
      <c r="S243" s="1391"/>
      <c r="T243" s="34"/>
      <c r="U243" s="34"/>
      <c r="V243" s="34"/>
      <c r="W243" s="34"/>
      <c r="X243" s="34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</row>
    <row r="244" spans="1:55" x14ac:dyDescent="0.25">
      <c r="A244" s="2"/>
      <c r="C244" s="34" t="s">
        <v>697</v>
      </c>
      <c r="D244" s="34"/>
      <c r="E244" s="34"/>
      <c r="F244" s="34"/>
      <c r="G244" s="1391">
        <f>F249</f>
        <v>0</v>
      </c>
      <c r="H244" s="1391">
        <f>G249</f>
        <v>10434034.356800005</v>
      </c>
      <c r="I244" s="1391">
        <f t="shared" ref="I244:S244" si="226">H249</f>
        <v>0</v>
      </c>
      <c r="J244" s="1391">
        <f t="shared" si="226"/>
        <v>0</v>
      </c>
      <c r="K244" s="1391">
        <f t="shared" si="226"/>
        <v>0</v>
      </c>
      <c r="L244" s="1391">
        <f t="shared" si="226"/>
        <v>0</v>
      </c>
      <c r="M244" s="1391">
        <f t="shared" si="226"/>
        <v>0</v>
      </c>
      <c r="N244" s="1391">
        <f t="shared" si="226"/>
        <v>0</v>
      </c>
      <c r="O244" s="1391">
        <f t="shared" si="226"/>
        <v>0</v>
      </c>
      <c r="P244" s="1391">
        <f t="shared" si="226"/>
        <v>0</v>
      </c>
      <c r="Q244" s="1391">
        <f t="shared" si="226"/>
        <v>0</v>
      </c>
      <c r="R244" s="1391">
        <f t="shared" si="226"/>
        <v>0</v>
      </c>
      <c r="S244" s="1391">
        <f t="shared" si="226"/>
        <v>0</v>
      </c>
      <c r="T244" s="34"/>
      <c r="U244" s="34"/>
      <c r="V244" s="34"/>
      <c r="W244" s="34"/>
      <c r="X244" s="34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</row>
    <row r="245" spans="1:55" x14ac:dyDescent="0.25">
      <c r="A245" s="2"/>
      <c r="C245" s="34" t="s">
        <v>714</v>
      </c>
      <c r="D245" s="34"/>
      <c r="E245" s="34"/>
      <c r="F245" s="34"/>
      <c r="G245" s="1391"/>
      <c r="H245" s="1391">
        <f t="shared" ref="H245:S245" si="227">IF($D$241="EMx",G246*$D$242-G246,IF($D$241="IRR",H244*$D$242,0))</f>
        <v>-10434034.356800005</v>
      </c>
      <c r="I245" s="1391">
        <f t="shared" si="227"/>
        <v>0</v>
      </c>
      <c r="J245" s="1391">
        <f t="shared" si="227"/>
        <v>0</v>
      </c>
      <c r="K245" s="1391">
        <f t="shared" si="227"/>
        <v>0</v>
      </c>
      <c r="L245" s="1391">
        <f t="shared" si="227"/>
        <v>0</v>
      </c>
      <c r="M245" s="1391">
        <f t="shared" si="227"/>
        <v>0</v>
      </c>
      <c r="N245" s="1391">
        <f t="shared" si="227"/>
        <v>0</v>
      </c>
      <c r="O245" s="1391">
        <f t="shared" si="227"/>
        <v>0</v>
      </c>
      <c r="P245" s="1391">
        <f t="shared" si="227"/>
        <v>0</v>
      </c>
      <c r="Q245" s="1391">
        <f t="shared" si="227"/>
        <v>0</v>
      </c>
      <c r="R245" s="1391">
        <f t="shared" si="227"/>
        <v>0</v>
      </c>
      <c r="S245" s="1391">
        <f t="shared" si="227"/>
        <v>0</v>
      </c>
      <c r="T245" s="34"/>
      <c r="U245" s="34"/>
      <c r="V245" s="34"/>
      <c r="W245" s="34"/>
      <c r="X245" s="34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</row>
    <row r="246" spans="1:55" x14ac:dyDescent="0.25">
      <c r="A246" s="2"/>
      <c r="C246" s="34" t="s">
        <v>700</v>
      </c>
      <c r="D246" s="34"/>
      <c r="E246" s="34"/>
      <c r="F246" s="34"/>
      <c r="G246" s="1391">
        <f>IF($D$9="$",$D$12,$E$12)</f>
        <v>10434034.356800005</v>
      </c>
      <c r="H246" s="1391">
        <f t="shared" ref="H246:S246" si="228">IF($D$9="$",-MIN(H$213*$E$12,0),-MIN(H$213*$D$12,0))</f>
        <v>0</v>
      </c>
      <c r="I246" s="1391">
        <f t="shared" si="228"/>
        <v>0</v>
      </c>
      <c r="J246" s="1391">
        <f t="shared" si="228"/>
        <v>0</v>
      </c>
      <c r="K246" s="1391">
        <f t="shared" si="228"/>
        <v>0</v>
      </c>
      <c r="L246" s="1391">
        <f t="shared" si="228"/>
        <v>0</v>
      </c>
      <c r="M246" s="1391">
        <f t="shared" si="228"/>
        <v>0</v>
      </c>
      <c r="N246" s="1391">
        <f t="shared" si="228"/>
        <v>0</v>
      </c>
      <c r="O246" s="1391">
        <f t="shared" si="228"/>
        <v>0</v>
      </c>
      <c r="P246" s="1391">
        <f t="shared" si="228"/>
        <v>0</v>
      </c>
      <c r="Q246" s="1391">
        <f t="shared" si="228"/>
        <v>0</v>
      </c>
      <c r="R246" s="1391">
        <f t="shared" si="228"/>
        <v>0</v>
      </c>
      <c r="S246" s="1391">
        <f t="shared" si="228"/>
        <v>0</v>
      </c>
      <c r="T246" s="34"/>
      <c r="U246" s="34"/>
      <c r="V246" s="34"/>
      <c r="W246" s="34"/>
      <c r="X246" s="34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</row>
    <row r="247" spans="1:55" x14ac:dyDescent="0.25">
      <c r="A247" s="2"/>
      <c r="C247" s="34" t="s">
        <v>715</v>
      </c>
      <c r="D247" s="34"/>
      <c r="E247" s="34"/>
      <c r="F247" s="34"/>
      <c r="G247" s="1391">
        <f>G229</f>
        <v>0</v>
      </c>
      <c r="H247" s="1391">
        <f>H229</f>
        <v>0</v>
      </c>
      <c r="I247" s="1391">
        <f t="shared" ref="I247:R247" si="229">I229</f>
        <v>0</v>
      </c>
      <c r="J247" s="1391">
        <f t="shared" si="229"/>
        <v>0</v>
      </c>
      <c r="K247" s="1391">
        <f t="shared" si="229"/>
        <v>0</v>
      </c>
      <c r="L247" s="1391">
        <f t="shared" si="229"/>
        <v>0</v>
      </c>
      <c r="M247" s="1391">
        <f t="shared" si="229"/>
        <v>0</v>
      </c>
      <c r="N247" s="1391">
        <f t="shared" si="229"/>
        <v>0</v>
      </c>
      <c r="O247" s="1391">
        <f t="shared" si="229"/>
        <v>0</v>
      </c>
      <c r="P247" s="1391">
        <f t="shared" si="229"/>
        <v>0</v>
      </c>
      <c r="Q247" s="1391">
        <f t="shared" si="229"/>
        <v>0</v>
      </c>
      <c r="R247" s="1391">
        <f t="shared" si="229"/>
        <v>0</v>
      </c>
      <c r="S247" s="1391">
        <f t="shared" ref="S247" si="230">S229</f>
        <v>0</v>
      </c>
      <c r="T247" s="34"/>
      <c r="U247" s="34"/>
      <c r="V247" s="34"/>
      <c r="W247" s="34"/>
      <c r="X247" s="34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</row>
    <row r="248" spans="1:55" x14ac:dyDescent="0.25">
      <c r="A248" s="2"/>
      <c r="C248" s="34" t="s">
        <v>716</v>
      </c>
      <c r="D248" s="34"/>
      <c r="E248" s="34"/>
      <c r="F248" s="34"/>
      <c r="G248" s="1391">
        <f>MIN(G244+G245-G247,G239*$K$67)</f>
        <v>0</v>
      </c>
      <c r="H248" s="1391">
        <f>MIN(H244+H245-H247,H239*$K$67)</f>
        <v>0</v>
      </c>
      <c r="I248" s="1391">
        <f t="shared" ref="I248" si="231">MIN(I244+I245-I247,I239*$K$67)</f>
        <v>0</v>
      </c>
      <c r="J248" s="1391">
        <f t="shared" ref="J248" si="232">MIN(J244+J245-J247,J239*$K$67)</f>
        <v>0</v>
      </c>
      <c r="K248" s="1391">
        <f t="shared" ref="K248" si="233">MIN(K244+K245-K247,K239*$K$67)</f>
        <v>0</v>
      </c>
      <c r="L248" s="1391">
        <f t="shared" ref="L248" si="234">MIN(L244+L245-L247,L239*$K$67)</f>
        <v>0</v>
      </c>
      <c r="M248" s="1391">
        <f t="shared" ref="M248" si="235">MIN(M244+M245-M247,M239*$K$67)</f>
        <v>0</v>
      </c>
      <c r="N248" s="1391">
        <f t="shared" ref="N248" si="236">MIN(N244+N245-N247,N239*$K$67)</f>
        <v>0</v>
      </c>
      <c r="O248" s="1391">
        <f t="shared" ref="O248" si="237">MIN(O244+O245-O247,O239*$K$67)</f>
        <v>0</v>
      </c>
      <c r="P248" s="1391">
        <f t="shared" ref="P248" si="238">MIN(P244+P245-P247,P239*$K$67)</f>
        <v>0</v>
      </c>
      <c r="Q248" s="1391">
        <f t="shared" ref="Q248" si="239">MIN(Q244+Q245-Q247,Q239*$K$67)</f>
        <v>0</v>
      </c>
      <c r="R248" s="1391">
        <f t="shared" ref="R248:S248" si="240">MIN(R244+R245-R247,R239*$K$67)</f>
        <v>0</v>
      </c>
      <c r="S248" s="1391">
        <f t="shared" si="240"/>
        <v>0</v>
      </c>
      <c r="T248" s="34"/>
      <c r="U248" s="34"/>
      <c r="V248" s="34"/>
      <c r="W248" s="34"/>
      <c r="X248" s="34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</row>
    <row r="249" spans="1:55" x14ac:dyDescent="0.25">
      <c r="A249" s="2"/>
      <c r="C249" s="34" t="s">
        <v>702</v>
      </c>
      <c r="D249" s="34"/>
      <c r="E249" s="34"/>
      <c r="F249" s="34"/>
      <c r="G249" s="1391">
        <f>G244+G245+G246-G247-G248</f>
        <v>10434034.356800005</v>
      </c>
      <c r="H249" s="1391">
        <f>H244+H245+H246-H247-H248</f>
        <v>0</v>
      </c>
      <c r="I249" s="1391">
        <f t="shared" ref="I249" si="241">I244+I245+I246-I247-I248</f>
        <v>0</v>
      </c>
      <c r="J249" s="1391">
        <f t="shared" ref="J249" si="242">J244+J245+J246-J247-J248</f>
        <v>0</v>
      </c>
      <c r="K249" s="1391">
        <f t="shared" ref="K249" si="243">K244+K245+K246-K247-K248</f>
        <v>0</v>
      </c>
      <c r="L249" s="1391">
        <f t="shared" ref="L249" si="244">L244+L245+L246-L247-L248</f>
        <v>0</v>
      </c>
      <c r="M249" s="1391">
        <f t="shared" ref="M249" si="245">M244+M245+M246-M247-M248</f>
        <v>0</v>
      </c>
      <c r="N249" s="1391">
        <f t="shared" ref="N249" si="246">N244+N245+N246-N247-N248</f>
        <v>0</v>
      </c>
      <c r="O249" s="1391">
        <f t="shared" ref="O249" si="247">O244+O245+O246-O247-O248</f>
        <v>0</v>
      </c>
      <c r="P249" s="1391">
        <f t="shared" ref="P249" si="248">P244+P245+P246-P247-P248</f>
        <v>0</v>
      </c>
      <c r="Q249" s="1391">
        <f t="shared" ref="Q249" si="249">Q244+Q245+Q246-Q247-Q248</f>
        <v>0</v>
      </c>
      <c r="R249" s="1391">
        <f t="shared" ref="R249:S249" si="250">R244+R245+R246-R247-R248</f>
        <v>0</v>
      </c>
      <c r="S249" s="1391">
        <f t="shared" si="250"/>
        <v>0</v>
      </c>
      <c r="T249" s="34"/>
      <c r="U249" s="34"/>
      <c r="V249" s="34"/>
      <c r="W249" s="34"/>
      <c r="X249" s="34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</row>
    <row r="250" spans="1:55" x14ac:dyDescent="0.25">
      <c r="A250" s="2"/>
      <c r="C250" s="34" t="s">
        <v>733</v>
      </c>
      <c r="D250" s="34"/>
      <c r="E250" s="34"/>
      <c r="F250" s="1398">
        <f>IF($D$219="IRR",IRR(G250:S250),SUMIF(G250:S250,"&gt;0")/-SUMIF(G250:S250,"&lt;0"))</f>
        <v>0</v>
      </c>
      <c r="G250" s="1391">
        <f>-G246+G247+G248</f>
        <v>-10434034.356800005</v>
      </c>
      <c r="H250" s="1391">
        <f>-H246+H247+H248</f>
        <v>0</v>
      </c>
      <c r="I250" s="1391">
        <f t="shared" ref="I250:R250" si="251">-I246+I247+I248</f>
        <v>0</v>
      </c>
      <c r="J250" s="1391">
        <f t="shared" si="251"/>
        <v>0</v>
      </c>
      <c r="K250" s="1391">
        <f t="shared" si="251"/>
        <v>0</v>
      </c>
      <c r="L250" s="1391">
        <f t="shared" si="251"/>
        <v>0</v>
      </c>
      <c r="M250" s="1391">
        <f t="shared" si="251"/>
        <v>0</v>
      </c>
      <c r="N250" s="1391">
        <f t="shared" si="251"/>
        <v>0</v>
      </c>
      <c r="O250" s="1391">
        <f t="shared" si="251"/>
        <v>0</v>
      </c>
      <c r="P250" s="1391">
        <f t="shared" si="251"/>
        <v>0</v>
      </c>
      <c r="Q250" s="1391">
        <f t="shared" si="251"/>
        <v>0</v>
      </c>
      <c r="R250" s="1391">
        <f t="shared" si="251"/>
        <v>0</v>
      </c>
      <c r="S250" s="1391">
        <f t="shared" ref="S250" si="252">-S246+S247+S248</f>
        <v>0</v>
      </c>
      <c r="T250" s="34"/>
      <c r="U250" s="34"/>
      <c r="V250" s="34"/>
      <c r="W250" s="34"/>
      <c r="X250" s="34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</row>
    <row r="251" spans="1:55" x14ac:dyDescent="0.25">
      <c r="A251" s="2"/>
      <c r="C251" s="34"/>
      <c r="D251" s="34"/>
      <c r="E251" s="34"/>
      <c r="F251" s="34"/>
      <c r="G251" s="1391"/>
      <c r="H251" s="1391"/>
      <c r="I251" s="1391"/>
      <c r="J251" s="1391"/>
      <c r="K251" s="1391"/>
      <c r="L251" s="1391"/>
      <c r="M251" s="1391"/>
      <c r="N251" s="1391"/>
      <c r="O251" s="1391"/>
      <c r="P251" s="1391"/>
      <c r="Q251" s="1391"/>
      <c r="R251" s="1391"/>
      <c r="S251" s="1391"/>
      <c r="T251" s="34"/>
      <c r="U251" s="34"/>
      <c r="V251" s="34"/>
      <c r="W251" s="34"/>
      <c r="X251" s="34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</row>
    <row r="252" spans="1:55" x14ac:dyDescent="0.25">
      <c r="A252" s="2"/>
      <c r="C252" s="34" t="s">
        <v>704</v>
      </c>
      <c r="D252" s="34"/>
      <c r="E252" s="34"/>
      <c r="F252" s="34"/>
      <c r="G252" s="1391">
        <f>G248</f>
        <v>0</v>
      </c>
      <c r="H252" s="1391">
        <f t="shared" ref="H252:R252" si="253">H248</f>
        <v>0</v>
      </c>
      <c r="I252" s="1391">
        <f t="shared" si="253"/>
        <v>0</v>
      </c>
      <c r="J252" s="1391">
        <f t="shared" si="253"/>
        <v>0</v>
      </c>
      <c r="K252" s="1391">
        <f t="shared" si="253"/>
        <v>0</v>
      </c>
      <c r="L252" s="1391">
        <f t="shared" si="253"/>
        <v>0</v>
      </c>
      <c r="M252" s="1391">
        <f t="shared" si="253"/>
        <v>0</v>
      </c>
      <c r="N252" s="1391">
        <f t="shared" si="253"/>
        <v>0</v>
      </c>
      <c r="O252" s="1391">
        <f t="shared" si="253"/>
        <v>0</v>
      </c>
      <c r="P252" s="1391">
        <f t="shared" si="253"/>
        <v>0</v>
      </c>
      <c r="Q252" s="1391">
        <f t="shared" si="253"/>
        <v>0</v>
      </c>
      <c r="R252" s="1391">
        <f t="shared" si="253"/>
        <v>0</v>
      </c>
      <c r="S252" s="1391">
        <f t="shared" ref="S252" si="254">S248</f>
        <v>0</v>
      </c>
      <c r="T252" s="34"/>
      <c r="U252" s="34"/>
      <c r="V252" s="34"/>
      <c r="W252" s="34"/>
      <c r="X252" s="34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</row>
    <row r="253" spans="1:55" x14ac:dyDescent="0.25">
      <c r="A253" s="2"/>
      <c r="C253" s="34" t="s">
        <v>708</v>
      </c>
      <c r="D253" s="34"/>
      <c r="E253" s="34"/>
      <c r="F253" s="34"/>
      <c r="G253" s="1391">
        <f>G252/$K$67*$J$67</f>
        <v>0</v>
      </c>
      <c r="H253" s="1391">
        <f>H252/$K$67*$J$67</f>
        <v>0</v>
      </c>
      <c r="I253" s="1391">
        <f t="shared" ref="I253" si="255">I252/$K$67*$J$67</f>
        <v>0</v>
      </c>
      <c r="J253" s="1391">
        <f t="shared" ref="J253" si="256">J252/$K$67*$J$67</f>
        <v>0</v>
      </c>
      <c r="K253" s="1391">
        <f t="shared" ref="K253" si="257">K252/$K$67*$J$67</f>
        <v>0</v>
      </c>
      <c r="L253" s="1391">
        <f t="shared" ref="L253" si="258">L252/$K$67*$J$67</f>
        <v>0</v>
      </c>
      <c r="M253" s="1391">
        <f t="shared" ref="M253" si="259">M252/$K$67*$J$67</f>
        <v>0</v>
      </c>
      <c r="N253" s="1391">
        <f t="shared" ref="N253" si="260">N252/$K$67*$J$67</f>
        <v>0</v>
      </c>
      <c r="O253" s="1391">
        <f t="shared" ref="O253" si="261">O252/$K$67*$J$67</f>
        <v>0</v>
      </c>
      <c r="P253" s="1391">
        <f t="shared" ref="P253" si="262">P252/$K$67*$J$67</f>
        <v>0</v>
      </c>
      <c r="Q253" s="1391">
        <f t="shared" ref="Q253" si="263">Q252/$K$67*$J$67</f>
        <v>0</v>
      </c>
      <c r="R253" s="1391">
        <f t="shared" ref="R253:S253" si="264">R252/$K$67*$J$67</f>
        <v>0</v>
      </c>
      <c r="S253" s="1391">
        <f t="shared" si="264"/>
        <v>0</v>
      </c>
      <c r="T253" s="34"/>
      <c r="U253" s="34"/>
      <c r="V253" s="34"/>
      <c r="W253" s="34"/>
      <c r="X253" s="34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</row>
    <row r="254" spans="1:55" x14ac:dyDescent="0.25">
      <c r="A254" s="2"/>
      <c r="C254" s="34" t="s">
        <v>717</v>
      </c>
      <c r="D254" s="34"/>
      <c r="E254" s="34"/>
      <c r="F254" s="34"/>
      <c r="G254" s="1391">
        <f>G252+G253</f>
        <v>0</v>
      </c>
      <c r="H254" s="1391">
        <f>H252+H253</f>
        <v>0</v>
      </c>
      <c r="I254" s="1391">
        <f t="shared" ref="I254" si="265">I252+I253</f>
        <v>0</v>
      </c>
      <c r="J254" s="1391">
        <f t="shared" ref="J254" si="266">J252+J253</f>
        <v>0</v>
      </c>
      <c r="K254" s="1391">
        <f t="shared" ref="K254" si="267">K252+K253</f>
        <v>0</v>
      </c>
      <c r="L254" s="1391">
        <f t="shared" ref="L254" si="268">L252+L253</f>
        <v>0</v>
      </c>
      <c r="M254" s="1391">
        <f t="shared" ref="M254" si="269">M252+M253</f>
        <v>0</v>
      </c>
      <c r="N254" s="1391">
        <f t="shared" ref="N254" si="270">N252+N253</f>
        <v>0</v>
      </c>
      <c r="O254" s="1391">
        <f t="shared" ref="O254" si="271">O252+O253</f>
        <v>0</v>
      </c>
      <c r="P254" s="1391">
        <f t="shared" ref="P254" si="272">P252+P253</f>
        <v>0</v>
      </c>
      <c r="Q254" s="1391">
        <f t="shared" ref="Q254" si="273">Q252+Q253</f>
        <v>0</v>
      </c>
      <c r="R254" s="1391">
        <f t="shared" ref="R254:S254" si="274">R252+R253</f>
        <v>0</v>
      </c>
      <c r="S254" s="1391">
        <f t="shared" si="274"/>
        <v>0</v>
      </c>
      <c r="T254" s="34"/>
      <c r="U254" s="34"/>
      <c r="V254" s="34"/>
      <c r="W254" s="34"/>
      <c r="X254" s="34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</row>
    <row r="255" spans="1:55" x14ac:dyDescent="0.25">
      <c r="A255" s="2"/>
      <c r="C255" s="34" t="s">
        <v>712</v>
      </c>
      <c r="D255" s="34"/>
      <c r="E255" s="34"/>
      <c r="F255" s="34"/>
      <c r="G255" s="1391">
        <f>MAX(G213-G238-G254,0)</f>
        <v>0</v>
      </c>
      <c r="H255" s="1391">
        <f>MAX(H213-H238-H254,0)</f>
        <v>0</v>
      </c>
      <c r="I255" s="1391">
        <f t="shared" ref="I255" si="275">MAX(I213-I238-I254,0)</f>
        <v>2033032.5693331573</v>
      </c>
      <c r="J255" s="1391">
        <f t="shared" ref="J255" si="276">MAX(J213-J238-J254,0)</f>
        <v>1595516.5191228543</v>
      </c>
      <c r="K255" s="1391">
        <f t="shared" ref="K255" si="277">MAX(K213-K238-K254,0)</f>
        <v>1695673.327182909</v>
      </c>
      <c r="L255" s="1391">
        <f t="shared" ref="L255" si="278">MAX(L213-L238-L254,0)</f>
        <v>1795830.1352429655</v>
      </c>
      <c r="M255" s="1391">
        <f t="shared" ref="M255" si="279">MAX(M213-M238-M254,0)</f>
        <v>31391684.676550463</v>
      </c>
      <c r="N255" s="1391">
        <f t="shared" ref="N255" si="280">MAX(N213-N238-N254,0)</f>
        <v>0</v>
      </c>
      <c r="O255" s="1391">
        <f t="shared" ref="O255" si="281">MAX(O213-O238-O254,0)</f>
        <v>0</v>
      </c>
      <c r="P255" s="1391">
        <f t="shared" ref="P255" si="282">MAX(P213-P238-P254,0)</f>
        <v>0</v>
      </c>
      <c r="Q255" s="1391">
        <f t="shared" ref="Q255" si="283">MAX(Q213-Q238-Q254,0)</f>
        <v>0</v>
      </c>
      <c r="R255" s="1391">
        <f t="shared" ref="R255:S255" si="284">MAX(R213-R238-R254,0)</f>
        <v>0</v>
      </c>
      <c r="S255" s="1391">
        <f t="shared" si="284"/>
        <v>0</v>
      </c>
      <c r="T255" s="34"/>
      <c r="U255" s="34"/>
      <c r="V255" s="34"/>
      <c r="W255" s="34"/>
      <c r="X255" s="34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</row>
    <row r="256" spans="1:55" x14ac:dyDescent="0.25">
      <c r="A256" s="2"/>
      <c r="C256" s="34"/>
      <c r="D256" s="34"/>
      <c r="E256" s="34"/>
      <c r="F256" s="34"/>
      <c r="G256" s="1391"/>
      <c r="H256" s="1391"/>
      <c r="I256" s="1391"/>
      <c r="J256" s="1391"/>
      <c r="K256" s="1391"/>
      <c r="L256" s="1391"/>
      <c r="M256" s="1391"/>
      <c r="N256" s="1391"/>
      <c r="O256" s="1391"/>
      <c r="P256" s="1391"/>
      <c r="Q256" s="1391"/>
      <c r="R256" s="1391"/>
      <c r="S256" s="1391"/>
      <c r="T256" s="34"/>
      <c r="U256" s="34"/>
      <c r="V256" s="34"/>
      <c r="W256" s="34"/>
      <c r="X256" s="34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</row>
    <row r="257" spans="1:55" x14ac:dyDescent="0.25">
      <c r="A257" s="2"/>
      <c r="C257" s="1380" t="str">
        <f>C187</f>
        <v>Tier 3 (Promote)</v>
      </c>
      <c r="D257" s="1373" t="str">
        <f>$D$219</f>
        <v>EMx</v>
      </c>
      <c r="E257" s="1359"/>
      <c r="F257" s="1359"/>
      <c r="G257" s="1370">
        <f>G241</f>
        <v>2026</v>
      </c>
      <c r="H257" s="1370">
        <f t="shared" ref="H257:R257" si="285">H241</f>
        <v>2027</v>
      </c>
      <c r="I257" s="1370">
        <f t="shared" si="285"/>
        <v>2028</v>
      </c>
      <c r="J257" s="1370">
        <f t="shared" si="285"/>
        <v>2029</v>
      </c>
      <c r="K257" s="1370">
        <f t="shared" si="285"/>
        <v>2030</v>
      </c>
      <c r="L257" s="1370">
        <f t="shared" si="285"/>
        <v>2031</v>
      </c>
      <c r="M257" s="1370">
        <f t="shared" si="285"/>
        <v>2032</v>
      </c>
      <c r="N257" s="1370">
        <f t="shared" si="285"/>
        <v>2033</v>
      </c>
      <c r="O257" s="1370">
        <f t="shared" si="285"/>
        <v>2034</v>
      </c>
      <c r="P257" s="1370">
        <f t="shared" si="285"/>
        <v>2035</v>
      </c>
      <c r="Q257" s="1370">
        <f t="shared" si="285"/>
        <v>2036</v>
      </c>
      <c r="R257" s="1370">
        <f t="shared" si="285"/>
        <v>2037</v>
      </c>
      <c r="S257" s="1370">
        <f t="shared" ref="S257" si="286">S241</f>
        <v>2038</v>
      </c>
      <c r="T257" s="34"/>
      <c r="U257" s="34"/>
      <c r="V257" s="34"/>
      <c r="W257" s="34"/>
      <c r="X257" s="34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</row>
    <row r="258" spans="1:55" x14ac:dyDescent="0.25">
      <c r="A258" s="2"/>
      <c r="C258" s="1381" t="s">
        <v>696</v>
      </c>
      <c r="D258" s="1396">
        <f>IF($E$3="EMx",F187,IF($E$3="IRR",0,IF($E$3="IRR + Emx",D188)))</f>
        <v>0</v>
      </c>
      <c r="E258" s="1359"/>
      <c r="F258" s="1359"/>
      <c r="G258" s="1378">
        <f>G242</f>
        <v>0</v>
      </c>
      <c r="H258" s="1378">
        <f t="shared" ref="H258:R258" si="287">H242</f>
        <v>0.1</v>
      </c>
      <c r="I258" s="1378">
        <f t="shared" si="287"/>
        <v>1</v>
      </c>
      <c r="J258" s="1378">
        <f t="shared" si="287"/>
        <v>2</v>
      </c>
      <c r="K258" s="1378">
        <f t="shared" si="287"/>
        <v>3</v>
      </c>
      <c r="L258" s="1378">
        <f t="shared" si="287"/>
        <v>4</v>
      </c>
      <c r="M258" s="1378">
        <f t="shared" si="287"/>
        <v>5</v>
      </c>
      <c r="N258" s="1378">
        <f t="shared" si="287"/>
        <v>6</v>
      </c>
      <c r="O258" s="1378">
        <f t="shared" si="287"/>
        <v>7</v>
      </c>
      <c r="P258" s="1378">
        <f t="shared" si="287"/>
        <v>8</v>
      </c>
      <c r="Q258" s="1378">
        <f t="shared" si="287"/>
        <v>9</v>
      </c>
      <c r="R258" s="1378">
        <f t="shared" si="287"/>
        <v>10</v>
      </c>
      <c r="S258" s="1378" t="e">
        <f t="shared" ref="S258" si="288">S242</f>
        <v>#N/A</v>
      </c>
      <c r="T258" s="34"/>
      <c r="U258" s="34"/>
      <c r="V258" s="34"/>
      <c r="W258" s="34"/>
      <c r="X258" s="34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</row>
    <row r="259" spans="1:55" x14ac:dyDescent="0.25">
      <c r="A259" s="2"/>
      <c r="C259" s="34"/>
      <c r="D259" s="34"/>
      <c r="E259" s="34"/>
      <c r="F259" s="34"/>
      <c r="G259" s="1391"/>
      <c r="H259" s="1391"/>
      <c r="I259" s="1391"/>
      <c r="J259" s="1391"/>
      <c r="K259" s="1391"/>
      <c r="L259" s="1391"/>
      <c r="M259" s="1391"/>
      <c r="N259" s="1391"/>
      <c r="O259" s="1391"/>
      <c r="P259" s="1391"/>
      <c r="Q259" s="1391"/>
      <c r="R259" s="1391"/>
      <c r="S259" s="1391"/>
      <c r="T259" s="34"/>
      <c r="U259" s="34"/>
      <c r="V259" s="34"/>
      <c r="W259" s="34"/>
      <c r="X259" s="34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</row>
    <row r="260" spans="1:55" x14ac:dyDescent="0.25">
      <c r="A260" s="2"/>
      <c r="C260" s="34" t="s">
        <v>697</v>
      </c>
      <c r="D260" s="34"/>
      <c r="E260" s="34"/>
      <c r="F260" s="34"/>
      <c r="G260" s="1391">
        <f>F265</f>
        <v>0</v>
      </c>
      <c r="H260" s="1391">
        <f>G265</f>
        <v>10434034.356800005</v>
      </c>
      <c r="I260" s="1391">
        <f t="shared" ref="I260" si="289">H265</f>
        <v>0</v>
      </c>
      <c r="J260" s="1391">
        <f>I265</f>
        <v>0</v>
      </c>
      <c r="K260" s="1391">
        <f t="shared" ref="K260:S260" si="290">J265</f>
        <v>0</v>
      </c>
      <c r="L260" s="1391">
        <f t="shared" si="290"/>
        <v>0</v>
      </c>
      <c r="M260" s="1391">
        <f t="shared" si="290"/>
        <v>0</v>
      </c>
      <c r="N260" s="1391">
        <f t="shared" si="290"/>
        <v>0</v>
      </c>
      <c r="O260" s="1391">
        <f t="shared" si="290"/>
        <v>0</v>
      </c>
      <c r="P260" s="1391">
        <f t="shared" si="290"/>
        <v>0</v>
      </c>
      <c r="Q260" s="1391">
        <f t="shared" si="290"/>
        <v>0</v>
      </c>
      <c r="R260" s="1391">
        <f t="shared" si="290"/>
        <v>0</v>
      </c>
      <c r="S260" s="1391">
        <f t="shared" si="290"/>
        <v>0</v>
      </c>
      <c r="T260" s="34"/>
      <c r="U260" s="34"/>
      <c r="V260" s="34"/>
      <c r="W260" s="34"/>
      <c r="X260" s="34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</row>
    <row r="261" spans="1:55" x14ac:dyDescent="0.25">
      <c r="A261" s="2"/>
      <c r="C261" s="34" t="s">
        <v>718</v>
      </c>
      <c r="D261" s="34"/>
      <c r="E261" s="34"/>
      <c r="F261" s="34"/>
      <c r="G261" s="1391"/>
      <c r="H261" s="1391">
        <f>IF($D$257="EMx",G262*$D$258-G262,IF($D$257="IRR",H260*$D$258,0))</f>
        <v>-10434034.356800005</v>
      </c>
      <c r="I261" s="1391">
        <f t="shared" ref="I261:S261" si="291">IF($D$257="EMx",H262*$D$258-H262,IF($D$257="IRR",I260*$D$258,0))</f>
        <v>0</v>
      </c>
      <c r="J261" s="1391">
        <f t="shared" si="291"/>
        <v>0</v>
      </c>
      <c r="K261" s="1391">
        <f t="shared" si="291"/>
        <v>0</v>
      </c>
      <c r="L261" s="1391">
        <f t="shared" si="291"/>
        <v>0</v>
      </c>
      <c r="M261" s="1391">
        <f t="shared" si="291"/>
        <v>0</v>
      </c>
      <c r="N261" s="1391">
        <f t="shared" si="291"/>
        <v>0</v>
      </c>
      <c r="O261" s="1391">
        <f t="shared" si="291"/>
        <v>0</v>
      </c>
      <c r="P261" s="1391">
        <f t="shared" si="291"/>
        <v>0</v>
      </c>
      <c r="Q261" s="1391">
        <f t="shared" si="291"/>
        <v>0</v>
      </c>
      <c r="R261" s="1391">
        <f t="shared" si="291"/>
        <v>0</v>
      </c>
      <c r="S261" s="1391">
        <f t="shared" si="291"/>
        <v>0</v>
      </c>
      <c r="T261" s="34"/>
      <c r="U261" s="34"/>
      <c r="V261" s="34"/>
      <c r="W261" s="34"/>
      <c r="X261" s="34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</row>
    <row r="262" spans="1:55" x14ac:dyDescent="0.25">
      <c r="A262" s="2"/>
      <c r="C262" s="34" t="s">
        <v>700</v>
      </c>
      <c r="D262" s="34"/>
      <c r="E262" s="34"/>
      <c r="F262" s="34"/>
      <c r="G262" s="1391">
        <f>IF($D$9="$",$D$12,$E$12)</f>
        <v>10434034.356800005</v>
      </c>
      <c r="H262" s="1391">
        <f t="shared" ref="H262:S262" si="292">IF($D$9="$",-MIN(H$213*$E$12,0),-MIN(H$213*$D$12,0))</f>
        <v>0</v>
      </c>
      <c r="I262" s="1391">
        <f t="shared" si="292"/>
        <v>0</v>
      </c>
      <c r="J262" s="1391">
        <f t="shared" si="292"/>
        <v>0</v>
      </c>
      <c r="K262" s="1391">
        <f t="shared" si="292"/>
        <v>0</v>
      </c>
      <c r="L262" s="1391">
        <f t="shared" si="292"/>
        <v>0</v>
      </c>
      <c r="M262" s="1391">
        <f t="shared" si="292"/>
        <v>0</v>
      </c>
      <c r="N262" s="1391">
        <f t="shared" si="292"/>
        <v>0</v>
      </c>
      <c r="O262" s="1391">
        <f t="shared" si="292"/>
        <v>0</v>
      </c>
      <c r="P262" s="1391">
        <f t="shared" si="292"/>
        <v>0</v>
      </c>
      <c r="Q262" s="1391">
        <f t="shared" si="292"/>
        <v>0</v>
      </c>
      <c r="R262" s="1391">
        <f t="shared" si="292"/>
        <v>0</v>
      </c>
      <c r="S262" s="1391">
        <f t="shared" si="292"/>
        <v>0</v>
      </c>
      <c r="T262" s="34"/>
      <c r="U262" s="34"/>
      <c r="V262" s="34"/>
      <c r="W262" s="34"/>
      <c r="X262" s="34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</row>
    <row r="263" spans="1:55" x14ac:dyDescent="0.25">
      <c r="A263" s="2"/>
      <c r="C263" s="34" t="s">
        <v>715</v>
      </c>
      <c r="D263" s="34"/>
      <c r="E263" s="34"/>
      <c r="F263" s="34"/>
      <c r="G263" s="1391">
        <f>G229+G248</f>
        <v>0</v>
      </c>
      <c r="H263" s="1391">
        <f>H229+H248</f>
        <v>0</v>
      </c>
      <c r="I263" s="1391">
        <f t="shared" ref="I263:R263" si="293">I229+I248</f>
        <v>0</v>
      </c>
      <c r="J263" s="1391">
        <f t="shared" si="293"/>
        <v>0</v>
      </c>
      <c r="K263" s="1391">
        <f t="shared" si="293"/>
        <v>0</v>
      </c>
      <c r="L263" s="1391">
        <f t="shared" si="293"/>
        <v>0</v>
      </c>
      <c r="M263" s="1391">
        <f t="shared" si="293"/>
        <v>0</v>
      </c>
      <c r="N263" s="1391">
        <f t="shared" si="293"/>
        <v>0</v>
      </c>
      <c r="O263" s="1391">
        <f t="shared" si="293"/>
        <v>0</v>
      </c>
      <c r="P263" s="1391">
        <f t="shared" si="293"/>
        <v>0</v>
      </c>
      <c r="Q263" s="1391">
        <f t="shared" si="293"/>
        <v>0</v>
      </c>
      <c r="R263" s="1391">
        <f t="shared" si="293"/>
        <v>0</v>
      </c>
      <c r="S263" s="1391">
        <f t="shared" ref="S263" si="294">S229+S248</f>
        <v>0</v>
      </c>
      <c r="T263" s="34"/>
      <c r="U263" s="34"/>
      <c r="V263" s="34"/>
      <c r="W263" s="34"/>
      <c r="X263" s="34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</row>
    <row r="264" spans="1:55" x14ac:dyDescent="0.25">
      <c r="A264" s="2"/>
      <c r="C264" s="34" t="s">
        <v>719</v>
      </c>
      <c r="D264" s="34"/>
      <c r="E264" s="34"/>
      <c r="F264" s="34"/>
      <c r="G264" s="1391">
        <f>MIN(G260+G261-G263,G255*$K$68)</f>
        <v>0</v>
      </c>
      <c r="H264" s="1391">
        <f>MIN(H260+H261-H263,H255*$K$68)</f>
        <v>0</v>
      </c>
      <c r="I264" s="1391">
        <f t="shared" ref="I264" si="295">MIN(I260+I261-I263,I255*$K$68)</f>
        <v>0</v>
      </c>
      <c r="J264" s="1391">
        <f t="shared" ref="J264" si="296">MIN(J260+J261-J263,J255*$K$68)</f>
        <v>0</v>
      </c>
      <c r="K264" s="1391">
        <f t="shared" ref="K264" si="297">MIN(K260+K261-K263,K255*$K$68)</f>
        <v>0</v>
      </c>
      <c r="L264" s="1391">
        <f t="shared" ref="L264" si="298">MIN(L260+L261-L263,L255*$K$68)</f>
        <v>0</v>
      </c>
      <c r="M264" s="1391">
        <f t="shared" ref="M264" si="299">MIN(M260+M261-M263,M255*$K$68)</f>
        <v>0</v>
      </c>
      <c r="N264" s="1391">
        <f t="shared" ref="N264" si="300">MIN(N260+N261-N263,N255*$K$68)</f>
        <v>0</v>
      </c>
      <c r="O264" s="1391">
        <f t="shared" ref="O264" si="301">MIN(O260+O261-O263,O255*$K$68)</f>
        <v>0</v>
      </c>
      <c r="P264" s="1391">
        <f t="shared" ref="P264" si="302">MIN(P260+P261-P263,P255*$K$68)</f>
        <v>0</v>
      </c>
      <c r="Q264" s="1391">
        <f t="shared" ref="Q264" si="303">MIN(Q260+Q261-Q263,Q255*$K$68)</f>
        <v>0</v>
      </c>
      <c r="R264" s="1391">
        <f t="shared" ref="R264:S264" si="304">MIN(R260+R261-R263,R255*$K$68)</f>
        <v>0</v>
      </c>
      <c r="S264" s="1391">
        <f t="shared" si="304"/>
        <v>0</v>
      </c>
      <c r="T264" s="34"/>
      <c r="U264" s="34"/>
      <c r="V264" s="34"/>
      <c r="W264" s="34"/>
      <c r="X264" s="34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</row>
    <row r="265" spans="1:55" x14ac:dyDescent="0.25">
      <c r="A265" s="2"/>
      <c r="C265" s="34" t="s">
        <v>702</v>
      </c>
      <c r="D265" s="34"/>
      <c r="E265" s="34"/>
      <c r="F265" s="34"/>
      <c r="G265" s="1391">
        <f>G260+G261+G262-G263-G264</f>
        <v>10434034.356800005</v>
      </c>
      <c r="H265" s="1391">
        <f>H260+H261+H262-H263-H264</f>
        <v>0</v>
      </c>
      <c r="I265" s="1391">
        <f t="shared" ref="I265" si="305">I260+I261+I262-I263-I264</f>
        <v>0</v>
      </c>
      <c r="J265" s="1391">
        <f t="shared" ref="J265" si="306">J260+J261+J262-J263-J264</f>
        <v>0</v>
      </c>
      <c r="K265" s="1391">
        <f t="shared" ref="K265" si="307">K260+K261+K262-K263-K264</f>
        <v>0</v>
      </c>
      <c r="L265" s="1391">
        <f t="shared" ref="L265" si="308">L260+L261+L262-L263-L264</f>
        <v>0</v>
      </c>
      <c r="M265" s="1391">
        <f t="shared" ref="M265" si="309">M260+M261+M262-M263-M264</f>
        <v>0</v>
      </c>
      <c r="N265" s="1391">
        <f t="shared" ref="N265" si="310">N260+N261+N262-N263-N264</f>
        <v>0</v>
      </c>
      <c r="O265" s="1391">
        <f t="shared" ref="O265" si="311">O260+O261+O262-O263-O264</f>
        <v>0</v>
      </c>
      <c r="P265" s="1391">
        <f t="shared" ref="P265" si="312">P260+P261+P262-P263-P264</f>
        <v>0</v>
      </c>
      <c r="Q265" s="1391">
        <f t="shared" ref="Q265" si="313">Q260+Q261+Q262-Q263-Q264</f>
        <v>0</v>
      </c>
      <c r="R265" s="1391">
        <f t="shared" ref="R265:S265" si="314">R260+R261+R262-R263-R264</f>
        <v>0</v>
      </c>
      <c r="S265" s="1391">
        <f t="shared" si="314"/>
        <v>0</v>
      </c>
      <c r="T265" s="34"/>
      <c r="U265" s="34"/>
      <c r="V265" s="34"/>
      <c r="W265" s="34"/>
      <c r="X265" s="34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</row>
    <row r="266" spans="1:55" x14ac:dyDescent="0.25">
      <c r="A266" s="2"/>
      <c r="C266" s="34" t="s">
        <v>733</v>
      </c>
      <c r="D266" s="34"/>
      <c r="E266" s="34"/>
      <c r="F266" s="1398">
        <f>IF($D$219="IRR",IRR(G266:S266),SUMIF(G266:S266,"&gt;0")/-SUMIF(G266:S266,"&lt;0"))</f>
        <v>0</v>
      </c>
      <c r="G266" s="1391">
        <f>-G262+G263+G264</f>
        <v>-10434034.356800005</v>
      </c>
      <c r="H266" s="1391">
        <f>-H262+H263+H264</f>
        <v>0</v>
      </c>
      <c r="I266" s="1391">
        <f t="shared" ref="I266:R266" si="315">-I262+I263+I264</f>
        <v>0</v>
      </c>
      <c r="J266" s="1391">
        <f t="shared" si="315"/>
        <v>0</v>
      </c>
      <c r="K266" s="1391">
        <f t="shared" si="315"/>
        <v>0</v>
      </c>
      <c r="L266" s="1391">
        <f t="shared" si="315"/>
        <v>0</v>
      </c>
      <c r="M266" s="1391">
        <f t="shared" si="315"/>
        <v>0</v>
      </c>
      <c r="N266" s="1391">
        <f t="shared" si="315"/>
        <v>0</v>
      </c>
      <c r="O266" s="1391">
        <f t="shared" si="315"/>
        <v>0</v>
      </c>
      <c r="P266" s="1391">
        <f t="shared" si="315"/>
        <v>0</v>
      </c>
      <c r="Q266" s="1391">
        <f t="shared" si="315"/>
        <v>0</v>
      </c>
      <c r="R266" s="1391">
        <f t="shared" si="315"/>
        <v>0</v>
      </c>
      <c r="S266" s="1391">
        <f t="shared" ref="S266" si="316">-S262+S263+S264</f>
        <v>0</v>
      </c>
      <c r="T266" s="34"/>
      <c r="U266" s="34"/>
      <c r="V266" s="34"/>
      <c r="W266" s="34"/>
      <c r="X266" s="34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</row>
    <row r="267" spans="1:55" x14ac:dyDescent="0.25">
      <c r="A267" s="2"/>
      <c r="C267" s="34"/>
      <c r="D267" s="34"/>
      <c r="E267" s="34"/>
      <c r="F267" s="34"/>
      <c r="G267" s="1391"/>
      <c r="H267" s="1391"/>
      <c r="I267" s="1391"/>
      <c r="J267" s="1391"/>
      <c r="K267" s="1391"/>
      <c r="L267" s="1391"/>
      <c r="M267" s="1391"/>
      <c r="N267" s="1391"/>
      <c r="O267" s="1391"/>
      <c r="P267" s="1391"/>
      <c r="Q267" s="1391"/>
      <c r="R267" s="1391"/>
      <c r="S267" s="1391"/>
      <c r="T267" s="34"/>
      <c r="U267" s="34"/>
      <c r="V267" s="34"/>
      <c r="W267" s="34"/>
      <c r="X267" s="34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</row>
    <row r="268" spans="1:55" x14ac:dyDescent="0.25">
      <c r="A268" s="2"/>
      <c r="C268" s="34" t="s">
        <v>704</v>
      </c>
      <c r="D268" s="34"/>
      <c r="E268" s="34"/>
      <c r="F268" s="34"/>
      <c r="G268" s="1391">
        <f>G264</f>
        <v>0</v>
      </c>
      <c r="H268" s="1391">
        <f t="shared" ref="H268:R268" si="317">H264</f>
        <v>0</v>
      </c>
      <c r="I268" s="1391">
        <f t="shared" si="317"/>
        <v>0</v>
      </c>
      <c r="J268" s="1391">
        <f t="shared" si="317"/>
        <v>0</v>
      </c>
      <c r="K268" s="1391">
        <f t="shared" si="317"/>
        <v>0</v>
      </c>
      <c r="L268" s="1391">
        <f t="shared" si="317"/>
        <v>0</v>
      </c>
      <c r="M268" s="1391">
        <f t="shared" si="317"/>
        <v>0</v>
      </c>
      <c r="N268" s="1391">
        <f t="shared" si="317"/>
        <v>0</v>
      </c>
      <c r="O268" s="1391">
        <f t="shared" si="317"/>
        <v>0</v>
      </c>
      <c r="P268" s="1391">
        <f t="shared" si="317"/>
        <v>0</v>
      </c>
      <c r="Q268" s="1391">
        <f t="shared" si="317"/>
        <v>0</v>
      </c>
      <c r="R268" s="1391">
        <f t="shared" si="317"/>
        <v>0</v>
      </c>
      <c r="S268" s="1391">
        <f t="shared" ref="S268" si="318">S264</f>
        <v>0</v>
      </c>
      <c r="T268" s="34"/>
      <c r="U268" s="34"/>
      <c r="V268" s="34"/>
      <c r="W268" s="34"/>
      <c r="X268" s="34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</row>
    <row r="269" spans="1:55" x14ac:dyDescent="0.25">
      <c r="A269" s="2"/>
      <c r="C269" s="34" t="s">
        <v>708</v>
      </c>
      <c r="D269" s="34"/>
      <c r="E269" s="34"/>
      <c r="F269" s="34"/>
      <c r="G269" s="1391">
        <f>G268/$K$68*$J$68</f>
        <v>0</v>
      </c>
      <c r="H269" s="1391">
        <f t="shared" ref="H269" si="319">H268/$K$68*$J$68</f>
        <v>0</v>
      </c>
      <c r="I269" s="1391">
        <f t="shared" ref="I269" si="320">I268/$K$68*$J$68</f>
        <v>0</v>
      </c>
      <c r="J269" s="1391">
        <f t="shared" ref="J269" si="321">J268/$K$68*$J$68</f>
        <v>0</v>
      </c>
      <c r="K269" s="1391">
        <f t="shared" ref="K269" si="322">K268/$K$68*$J$68</f>
        <v>0</v>
      </c>
      <c r="L269" s="1391">
        <f t="shared" ref="L269" si="323">L268/$K$68*$J$68</f>
        <v>0</v>
      </c>
      <c r="M269" s="1391">
        <f t="shared" ref="M269" si="324">M268/$K$68*$J$68</f>
        <v>0</v>
      </c>
      <c r="N269" s="1391">
        <f t="shared" ref="N269" si="325">N268/$K$68*$J$68</f>
        <v>0</v>
      </c>
      <c r="O269" s="1391">
        <f t="shared" ref="O269" si="326">O268/$K$68*$J$68</f>
        <v>0</v>
      </c>
      <c r="P269" s="1391">
        <f t="shared" ref="P269" si="327">P268/$K$68*$J$68</f>
        <v>0</v>
      </c>
      <c r="Q269" s="1391">
        <f t="shared" ref="Q269" si="328">Q268/$K$68*$J$68</f>
        <v>0</v>
      </c>
      <c r="R269" s="1391">
        <f t="shared" ref="R269:S269" si="329">R268/$K$68*$J$68</f>
        <v>0</v>
      </c>
      <c r="S269" s="1391">
        <f t="shared" si="329"/>
        <v>0</v>
      </c>
      <c r="T269" s="34"/>
      <c r="U269" s="34"/>
      <c r="V269" s="34"/>
      <c r="W269" s="34"/>
      <c r="X269" s="34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</row>
    <row r="270" spans="1:55" x14ac:dyDescent="0.25">
      <c r="A270" s="2"/>
      <c r="C270" s="34" t="s">
        <v>720</v>
      </c>
      <c r="D270" s="34"/>
      <c r="E270" s="34"/>
      <c r="F270" s="34"/>
      <c r="G270" s="1391">
        <f>G268+G269</f>
        <v>0</v>
      </c>
      <c r="H270" s="1391">
        <f t="shared" ref="H270" si="330">H268+H269</f>
        <v>0</v>
      </c>
      <c r="I270" s="1391">
        <f t="shared" ref="I270" si="331">I268+I269</f>
        <v>0</v>
      </c>
      <c r="J270" s="1391">
        <f t="shared" ref="J270" si="332">J268+J269</f>
        <v>0</v>
      </c>
      <c r="K270" s="1391">
        <f t="shared" ref="K270" si="333">K268+K269</f>
        <v>0</v>
      </c>
      <c r="L270" s="1391">
        <f t="shared" ref="L270" si="334">L268+L269</f>
        <v>0</v>
      </c>
      <c r="M270" s="1391">
        <f t="shared" ref="M270" si="335">M268+M269</f>
        <v>0</v>
      </c>
      <c r="N270" s="1391">
        <f t="shared" ref="N270" si="336">N268+N269</f>
        <v>0</v>
      </c>
      <c r="O270" s="1391">
        <f t="shared" ref="O270" si="337">O268+O269</f>
        <v>0</v>
      </c>
      <c r="P270" s="1391">
        <f t="shared" ref="P270" si="338">P268+P269</f>
        <v>0</v>
      </c>
      <c r="Q270" s="1391">
        <f t="shared" ref="Q270" si="339">Q268+Q269</f>
        <v>0</v>
      </c>
      <c r="R270" s="1391">
        <f t="shared" ref="R270:S270" si="340">R268+R269</f>
        <v>0</v>
      </c>
      <c r="S270" s="1391">
        <f t="shared" si="340"/>
        <v>0</v>
      </c>
      <c r="T270" s="34"/>
      <c r="U270" s="34"/>
      <c r="V270" s="34"/>
      <c r="W270" s="34"/>
      <c r="X270" s="34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</row>
    <row r="271" spans="1:55" x14ac:dyDescent="0.25">
      <c r="A271" s="2"/>
      <c r="C271" s="34" t="s">
        <v>712</v>
      </c>
      <c r="D271" s="34"/>
      <c r="E271" s="34"/>
      <c r="F271" s="34"/>
      <c r="G271" s="1391">
        <f>MAX(G213-G238-G254-G270,0)</f>
        <v>0</v>
      </c>
      <c r="H271" s="1391">
        <f t="shared" ref="H271" si="341">MAX(H213-H238-H254-H270,0)</f>
        <v>0</v>
      </c>
      <c r="I271" s="1391">
        <f t="shared" ref="I271" si="342">MAX(I213-I238-I254-I270,0)</f>
        <v>2033032.5693331573</v>
      </c>
      <c r="J271" s="1391">
        <f t="shared" ref="J271" si="343">MAX(J213-J238-J254-J270,0)</f>
        <v>1595516.5191228543</v>
      </c>
      <c r="K271" s="1391">
        <f t="shared" ref="K271" si="344">MAX(K213-K238-K254-K270,0)</f>
        <v>1695673.327182909</v>
      </c>
      <c r="L271" s="1391">
        <f t="shared" ref="L271" si="345">MAX(L213-L238-L254-L270,0)</f>
        <v>1795830.1352429655</v>
      </c>
      <c r="M271" s="1391">
        <f t="shared" ref="M271" si="346">MAX(M213-M238-M254-M270,0)</f>
        <v>31391684.676550463</v>
      </c>
      <c r="N271" s="1391">
        <f t="shared" ref="N271" si="347">MAX(N213-N238-N254-N270,0)</f>
        <v>0</v>
      </c>
      <c r="O271" s="1391">
        <f t="shared" ref="O271" si="348">MAX(O213-O238-O254-O270,0)</f>
        <v>0</v>
      </c>
      <c r="P271" s="1391">
        <f t="shared" ref="P271" si="349">MAX(P213-P238-P254-P270,0)</f>
        <v>0</v>
      </c>
      <c r="Q271" s="1391">
        <f t="shared" ref="Q271" si="350">MAX(Q213-Q238-Q254-Q270,0)</f>
        <v>0</v>
      </c>
      <c r="R271" s="1391">
        <f>MAX(R213-R238-R254-R270,0)</f>
        <v>0</v>
      </c>
      <c r="S271" s="1391">
        <f>MAX(S213-S238-S254-S270,0)</f>
        <v>0</v>
      </c>
      <c r="T271" s="34"/>
      <c r="U271" s="34"/>
      <c r="V271" s="34"/>
      <c r="W271" s="34"/>
      <c r="X271" s="34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</row>
    <row r="272" spans="1:55" x14ac:dyDescent="0.25">
      <c r="A272" s="2"/>
      <c r="C272" s="34"/>
      <c r="D272" s="34"/>
      <c r="E272" s="34"/>
      <c r="F272" s="34"/>
      <c r="G272" s="1391"/>
      <c r="H272" s="1391"/>
      <c r="I272" s="1391"/>
      <c r="J272" s="1391"/>
      <c r="K272" s="1391"/>
      <c r="L272" s="1391"/>
      <c r="M272" s="1391"/>
      <c r="N272" s="1391"/>
      <c r="O272" s="1391"/>
      <c r="P272" s="1391"/>
      <c r="Q272" s="1391"/>
      <c r="R272" s="1391"/>
      <c r="S272" s="1391"/>
      <c r="T272" s="34"/>
      <c r="U272" s="34"/>
      <c r="V272" s="34"/>
      <c r="W272" s="34"/>
      <c r="X272" s="34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</row>
    <row r="273" spans="1:55" x14ac:dyDescent="0.25">
      <c r="A273" s="2"/>
      <c r="C273" s="1380" t="str">
        <f>C188</f>
        <v>Tier 4 (Promote)</v>
      </c>
      <c r="D273" s="1373" t="str">
        <f>$D$219</f>
        <v>EMx</v>
      </c>
      <c r="E273" s="1359"/>
      <c r="F273" s="1359"/>
      <c r="G273" s="1370">
        <f>G257</f>
        <v>2026</v>
      </c>
      <c r="H273" s="1370">
        <f t="shared" ref="H273:R273" si="351">H257</f>
        <v>2027</v>
      </c>
      <c r="I273" s="1370">
        <f t="shared" si="351"/>
        <v>2028</v>
      </c>
      <c r="J273" s="1370">
        <f t="shared" si="351"/>
        <v>2029</v>
      </c>
      <c r="K273" s="1370">
        <f t="shared" si="351"/>
        <v>2030</v>
      </c>
      <c r="L273" s="1370">
        <f t="shared" si="351"/>
        <v>2031</v>
      </c>
      <c r="M273" s="1370">
        <f t="shared" si="351"/>
        <v>2032</v>
      </c>
      <c r="N273" s="1370">
        <f t="shared" si="351"/>
        <v>2033</v>
      </c>
      <c r="O273" s="1370">
        <f t="shared" si="351"/>
        <v>2034</v>
      </c>
      <c r="P273" s="1370">
        <f t="shared" si="351"/>
        <v>2035</v>
      </c>
      <c r="Q273" s="1370">
        <f t="shared" si="351"/>
        <v>2036</v>
      </c>
      <c r="R273" s="1370">
        <f t="shared" si="351"/>
        <v>2037</v>
      </c>
      <c r="S273" s="1370">
        <f t="shared" ref="S273" si="352">S257</f>
        <v>2038</v>
      </c>
      <c r="T273" s="34"/>
      <c r="U273" s="34"/>
      <c r="V273" s="34"/>
      <c r="W273" s="34"/>
      <c r="X273" s="34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</row>
    <row r="274" spans="1:55" x14ac:dyDescent="0.25">
      <c r="A274" s="2"/>
      <c r="C274" s="1381" t="s">
        <v>696</v>
      </c>
      <c r="D274" s="1396">
        <f>IF($E$3="EMx",F188,IF($E$3="IRR",0,IF($E$3="IRR + Emx",D189)))</f>
        <v>0</v>
      </c>
      <c r="E274" s="1359"/>
      <c r="F274" s="1359"/>
      <c r="G274" s="1378">
        <f>G258</f>
        <v>0</v>
      </c>
      <c r="H274" s="1378">
        <f t="shared" ref="H274:R274" si="353">H258</f>
        <v>0.1</v>
      </c>
      <c r="I274" s="1378">
        <f t="shared" si="353"/>
        <v>1</v>
      </c>
      <c r="J274" s="1378">
        <f t="shared" si="353"/>
        <v>2</v>
      </c>
      <c r="K274" s="1378">
        <f t="shared" si="353"/>
        <v>3</v>
      </c>
      <c r="L274" s="1378">
        <f t="shared" si="353"/>
        <v>4</v>
      </c>
      <c r="M274" s="1378">
        <f t="shared" si="353"/>
        <v>5</v>
      </c>
      <c r="N274" s="1378">
        <f t="shared" si="353"/>
        <v>6</v>
      </c>
      <c r="O274" s="1378">
        <f t="shared" si="353"/>
        <v>7</v>
      </c>
      <c r="P274" s="1378">
        <f t="shared" si="353"/>
        <v>8</v>
      </c>
      <c r="Q274" s="1378">
        <f t="shared" si="353"/>
        <v>9</v>
      </c>
      <c r="R274" s="1378">
        <f t="shared" si="353"/>
        <v>10</v>
      </c>
      <c r="S274" s="1378" t="e">
        <f t="shared" ref="S274" si="354">S258</f>
        <v>#N/A</v>
      </c>
      <c r="T274" s="34"/>
      <c r="U274" s="34"/>
      <c r="V274" s="34"/>
      <c r="W274" s="34"/>
      <c r="X274" s="34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</row>
    <row r="275" spans="1:55" x14ac:dyDescent="0.25">
      <c r="A275" s="2"/>
      <c r="C275" s="34"/>
      <c r="D275" s="34"/>
      <c r="E275" s="34"/>
      <c r="F275" s="34"/>
      <c r="G275" s="1391"/>
      <c r="H275" s="1391"/>
      <c r="I275" s="1391"/>
      <c r="J275" s="1391"/>
      <c r="K275" s="1391"/>
      <c r="L275" s="1391"/>
      <c r="M275" s="1391"/>
      <c r="N275" s="1391"/>
      <c r="O275" s="1391"/>
      <c r="P275" s="1391"/>
      <c r="Q275" s="1391"/>
      <c r="R275" s="1391"/>
      <c r="S275" s="1391"/>
      <c r="T275" s="34"/>
      <c r="U275" s="34"/>
      <c r="V275" s="34"/>
      <c r="W275" s="34"/>
      <c r="X275" s="34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</row>
    <row r="276" spans="1:55" x14ac:dyDescent="0.25">
      <c r="A276" s="2"/>
      <c r="C276" s="34" t="s">
        <v>697</v>
      </c>
      <c r="D276" s="34"/>
      <c r="E276" s="34"/>
      <c r="F276" s="34"/>
      <c r="G276" s="1391">
        <f>F281</f>
        <v>0</v>
      </c>
      <c r="H276" s="1391">
        <f>G281</f>
        <v>10434034.356800005</v>
      </c>
      <c r="I276" s="1391">
        <f t="shared" ref="I276:S276" si="355">H281</f>
        <v>0</v>
      </c>
      <c r="J276" s="1391">
        <f t="shared" si="355"/>
        <v>0</v>
      </c>
      <c r="K276" s="1391">
        <f t="shared" si="355"/>
        <v>0</v>
      </c>
      <c r="L276" s="1391">
        <f t="shared" si="355"/>
        <v>0</v>
      </c>
      <c r="M276" s="1391">
        <f t="shared" si="355"/>
        <v>0</v>
      </c>
      <c r="N276" s="1391">
        <f t="shared" si="355"/>
        <v>0</v>
      </c>
      <c r="O276" s="1391">
        <f t="shared" si="355"/>
        <v>0</v>
      </c>
      <c r="P276" s="1391">
        <f t="shared" si="355"/>
        <v>0</v>
      </c>
      <c r="Q276" s="1391">
        <f t="shared" si="355"/>
        <v>0</v>
      </c>
      <c r="R276" s="1391">
        <f t="shared" si="355"/>
        <v>0</v>
      </c>
      <c r="S276" s="1391">
        <f t="shared" si="355"/>
        <v>0</v>
      </c>
      <c r="T276" s="34"/>
      <c r="U276" s="34"/>
      <c r="V276" s="34"/>
      <c r="W276" s="34"/>
      <c r="X276" s="34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</row>
    <row r="277" spans="1:55" x14ac:dyDescent="0.25">
      <c r="A277" s="2"/>
      <c r="C277" s="34" t="s">
        <v>721</v>
      </c>
      <c r="D277" s="34"/>
      <c r="E277" s="34"/>
      <c r="F277" s="34"/>
      <c r="G277" s="1391"/>
      <c r="H277" s="1391">
        <f>IF($D$273="EMx",G278*$D$274-G278,IF($D$273="IRR",H276*$D$274,0))</f>
        <v>-10434034.356800005</v>
      </c>
      <c r="I277" s="1391">
        <f t="shared" ref="I277:S277" si="356">IF($D$273="EMx",H278*$D$274-H278,IF($D$273="IRR",I276*$D$274,0))</f>
        <v>0</v>
      </c>
      <c r="J277" s="1391">
        <f t="shared" si="356"/>
        <v>0</v>
      </c>
      <c r="K277" s="1391">
        <f t="shared" si="356"/>
        <v>0</v>
      </c>
      <c r="L277" s="1391">
        <f t="shared" si="356"/>
        <v>0</v>
      </c>
      <c r="M277" s="1391">
        <f t="shared" si="356"/>
        <v>0</v>
      </c>
      <c r="N277" s="1391">
        <f t="shared" si="356"/>
        <v>0</v>
      </c>
      <c r="O277" s="1391">
        <f t="shared" si="356"/>
        <v>0</v>
      </c>
      <c r="P277" s="1391">
        <f t="shared" si="356"/>
        <v>0</v>
      </c>
      <c r="Q277" s="1391">
        <f t="shared" si="356"/>
        <v>0</v>
      </c>
      <c r="R277" s="1391">
        <f t="shared" si="356"/>
        <v>0</v>
      </c>
      <c r="S277" s="1391">
        <f t="shared" si="356"/>
        <v>0</v>
      </c>
      <c r="T277" s="34"/>
      <c r="U277" s="34"/>
      <c r="V277" s="34"/>
      <c r="W277" s="34"/>
      <c r="X277" s="34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</row>
    <row r="278" spans="1:55" x14ac:dyDescent="0.25">
      <c r="A278" s="2"/>
      <c r="C278" s="34" t="s">
        <v>700</v>
      </c>
      <c r="D278" s="34"/>
      <c r="E278" s="34"/>
      <c r="F278" s="34"/>
      <c r="G278" s="1391">
        <f>IF($D$9="$",$D$12,$E$12)</f>
        <v>10434034.356800005</v>
      </c>
      <c r="H278" s="1391">
        <f t="shared" ref="H278:S278" si="357">IF($D$9="$",-MIN(H$213*$E$12,0),-MIN(H$213*$D$12,0))</f>
        <v>0</v>
      </c>
      <c r="I278" s="1391">
        <f t="shared" si="357"/>
        <v>0</v>
      </c>
      <c r="J278" s="1391">
        <f t="shared" si="357"/>
        <v>0</v>
      </c>
      <c r="K278" s="1391">
        <f t="shared" si="357"/>
        <v>0</v>
      </c>
      <c r="L278" s="1391">
        <f t="shared" si="357"/>
        <v>0</v>
      </c>
      <c r="M278" s="1391">
        <f t="shared" si="357"/>
        <v>0</v>
      </c>
      <c r="N278" s="1391">
        <f t="shared" si="357"/>
        <v>0</v>
      </c>
      <c r="O278" s="1391">
        <f t="shared" si="357"/>
        <v>0</v>
      </c>
      <c r="P278" s="1391">
        <f t="shared" si="357"/>
        <v>0</v>
      </c>
      <c r="Q278" s="1391">
        <f t="shared" si="357"/>
        <v>0</v>
      </c>
      <c r="R278" s="1391">
        <f t="shared" si="357"/>
        <v>0</v>
      </c>
      <c r="S278" s="1391">
        <f t="shared" si="357"/>
        <v>0</v>
      </c>
      <c r="T278" s="34"/>
      <c r="U278" s="34"/>
      <c r="V278" s="34"/>
      <c r="W278" s="34"/>
      <c r="X278" s="34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</row>
    <row r="279" spans="1:55" x14ac:dyDescent="0.25">
      <c r="A279" s="2"/>
      <c r="C279" s="34" t="s">
        <v>715</v>
      </c>
      <c r="D279" s="34"/>
      <c r="E279" s="34"/>
      <c r="F279" s="34"/>
      <c r="G279" s="1391">
        <f>G229+G252+G268</f>
        <v>0</v>
      </c>
      <c r="H279" s="1391">
        <f>H229+H252+H268</f>
        <v>0</v>
      </c>
      <c r="I279" s="1391">
        <f t="shared" ref="I279:R279" si="358">I229+I252+I268</f>
        <v>0</v>
      </c>
      <c r="J279" s="1391">
        <f t="shared" si="358"/>
        <v>0</v>
      </c>
      <c r="K279" s="1391">
        <f t="shared" si="358"/>
        <v>0</v>
      </c>
      <c r="L279" s="1391">
        <f t="shared" si="358"/>
        <v>0</v>
      </c>
      <c r="M279" s="1391">
        <f t="shared" si="358"/>
        <v>0</v>
      </c>
      <c r="N279" s="1391">
        <f t="shared" si="358"/>
        <v>0</v>
      </c>
      <c r="O279" s="1391">
        <f t="shared" si="358"/>
        <v>0</v>
      </c>
      <c r="P279" s="1391">
        <f t="shared" si="358"/>
        <v>0</v>
      </c>
      <c r="Q279" s="1391">
        <f t="shared" si="358"/>
        <v>0</v>
      </c>
      <c r="R279" s="1391">
        <f t="shared" si="358"/>
        <v>0</v>
      </c>
      <c r="S279" s="1391">
        <f t="shared" ref="S279" si="359">S229+S252+S268</f>
        <v>0</v>
      </c>
      <c r="T279" s="34"/>
      <c r="U279" s="34"/>
      <c r="V279" s="34"/>
      <c r="W279" s="34"/>
      <c r="X279" s="34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</row>
    <row r="280" spans="1:55" x14ac:dyDescent="0.25">
      <c r="A280" s="2"/>
      <c r="C280" s="34" t="s">
        <v>722</v>
      </c>
      <c r="D280" s="34"/>
      <c r="E280" s="34"/>
      <c r="F280" s="34"/>
      <c r="G280" s="1391">
        <f>MIN(G276+G277-G279,G271*$K$69)</f>
        <v>0</v>
      </c>
      <c r="H280" s="1391">
        <f>MIN(H276+H277-H279,H271*$K$69)</f>
        <v>0</v>
      </c>
      <c r="I280" s="1391">
        <f t="shared" ref="I280" si="360">MIN(I276+I277-I279,I271*$K$69)</f>
        <v>0</v>
      </c>
      <c r="J280" s="1391">
        <f t="shared" ref="J280" si="361">MIN(J276+J277-J279,J271*$K$69)</f>
        <v>0</v>
      </c>
      <c r="K280" s="1391">
        <f t="shared" ref="K280" si="362">MIN(K276+K277-K279,K271*$K$69)</f>
        <v>0</v>
      </c>
      <c r="L280" s="1391">
        <f t="shared" ref="L280" si="363">MIN(L276+L277-L279,L271*$K$69)</f>
        <v>0</v>
      </c>
      <c r="M280" s="1391">
        <f t="shared" ref="M280" si="364">MIN(M276+M277-M279,M271*$K$69)</f>
        <v>0</v>
      </c>
      <c r="N280" s="1391">
        <f t="shared" ref="N280" si="365">MIN(N276+N277-N279,N271*$K$69)</f>
        <v>0</v>
      </c>
      <c r="O280" s="1391">
        <f t="shared" ref="O280" si="366">MIN(O276+O277-O279,O271*$K$69)</f>
        <v>0</v>
      </c>
      <c r="P280" s="1391">
        <f t="shared" ref="P280" si="367">MIN(P276+P277-P279,P271*$K$69)</f>
        <v>0</v>
      </c>
      <c r="Q280" s="1391">
        <f t="shared" ref="Q280" si="368">MIN(Q276+Q277-Q279,Q271*$K$69)</f>
        <v>0</v>
      </c>
      <c r="R280" s="1391">
        <f t="shared" ref="R280:S280" si="369">MIN(R276+R277-R279,R271*$K$69)</f>
        <v>0</v>
      </c>
      <c r="S280" s="1391">
        <f t="shared" si="369"/>
        <v>0</v>
      </c>
      <c r="T280" s="34"/>
      <c r="U280" s="34"/>
      <c r="V280" s="34"/>
      <c r="W280" s="34"/>
      <c r="X280" s="34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</row>
    <row r="281" spans="1:55" x14ac:dyDescent="0.25">
      <c r="A281" s="2"/>
      <c r="C281" s="34" t="s">
        <v>702</v>
      </c>
      <c r="D281" s="34"/>
      <c r="E281" s="34"/>
      <c r="F281" s="34"/>
      <c r="G281" s="1391">
        <f>G276+G277+G278-G279-G280</f>
        <v>10434034.356800005</v>
      </c>
      <c r="H281" s="1391">
        <f>H276+H277+H278-H279-H280</f>
        <v>0</v>
      </c>
      <c r="I281" s="1391">
        <f t="shared" ref="I281" si="370">I276+I277+I278-I279-I280</f>
        <v>0</v>
      </c>
      <c r="J281" s="1391">
        <f t="shared" ref="J281" si="371">J276+J277+J278-J279-J280</f>
        <v>0</v>
      </c>
      <c r="K281" s="1391">
        <f t="shared" ref="K281" si="372">K276+K277+K278-K279-K280</f>
        <v>0</v>
      </c>
      <c r="L281" s="1391">
        <f t="shared" ref="L281" si="373">L276+L277+L278-L279-L280</f>
        <v>0</v>
      </c>
      <c r="M281" s="1391">
        <f t="shared" ref="M281" si="374">M276+M277+M278-M279-M280</f>
        <v>0</v>
      </c>
      <c r="N281" s="1391">
        <f t="shared" ref="N281" si="375">N276+N277+N278-N279-N280</f>
        <v>0</v>
      </c>
      <c r="O281" s="1391">
        <f t="shared" ref="O281" si="376">O276+O277+O278-O279-O280</f>
        <v>0</v>
      </c>
      <c r="P281" s="1391">
        <f t="shared" ref="P281" si="377">P276+P277+P278-P279-P280</f>
        <v>0</v>
      </c>
      <c r="Q281" s="1391">
        <f t="shared" ref="Q281" si="378">Q276+Q277+Q278-Q279-Q280</f>
        <v>0</v>
      </c>
      <c r="R281" s="1391">
        <f t="shared" ref="R281:S281" si="379">R276+R277+R278-R279-R280</f>
        <v>0</v>
      </c>
      <c r="S281" s="1391">
        <f t="shared" si="379"/>
        <v>0</v>
      </c>
      <c r="T281" s="34"/>
      <c r="U281" s="34"/>
      <c r="V281" s="34"/>
      <c r="W281" s="34"/>
      <c r="X281" s="34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</row>
    <row r="282" spans="1:55" x14ac:dyDescent="0.25">
      <c r="A282" s="2"/>
      <c r="C282" s="34" t="s">
        <v>733</v>
      </c>
      <c r="D282" s="34"/>
      <c r="E282" s="34"/>
      <c r="F282" s="1398">
        <f>IF($D$219="IRR",IRR(G282:S282),SUMIF(G282:S282,"&gt;0")/-SUMIF(G282:S282,"&lt;0"))</f>
        <v>0</v>
      </c>
      <c r="G282" s="1391">
        <f>-G278+G279+G280</f>
        <v>-10434034.356800005</v>
      </c>
      <c r="H282" s="1391">
        <f>-H278+H279+H280</f>
        <v>0</v>
      </c>
      <c r="I282" s="1391">
        <f t="shared" ref="I282:R282" si="380">-I278+I279+I280</f>
        <v>0</v>
      </c>
      <c r="J282" s="1391">
        <f t="shared" si="380"/>
        <v>0</v>
      </c>
      <c r="K282" s="1391">
        <f t="shared" si="380"/>
        <v>0</v>
      </c>
      <c r="L282" s="1391">
        <f t="shared" si="380"/>
        <v>0</v>
      </c>
      <c r="M282" s="1391">
        <f t="shared" si="380"/>
        <v>0</v>
      </c>
      <c r="N282" s="1391">
        <f t="shared" si="380"/>
        <v>0</v>
      </c>
      <c r="O282" s="1391">
        <f t="shared" si="380"/>
        <v>0</v>
      </c>
      <c r="P282" s="1391">
        <f t="shared" si="380"/>
        <v>0</v>
      </c>
      <c r="Q282" s="1391">
        <f t="shared" si="380"/>
        <v>0</v>
      </c>
      <c r="R282" s="1391">
        <f t="shared" si="380"/>
        <v>0</v>
      </c>
      <c r="S282" s="1391">
        <f t="shared" ref="S282" si="381">-S278+S279+S280</f>
        <v>0</v>
      </c>
      <c r="T282" s="34"/>
      <c r="U282" s="34"/>
      <c r="V282" s="34"/>
      <c r="W282" s="34"/>
      <c r="X282" s="34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</row>
    <row r="283" spans="1:55" x14ac:dyDescent="0.25">
      <c r="A283" s="2"/>
      <c r="C283" s="34"/>
      <c r="D283" s="34"/>
      <c r="E283" s="34"/>
      <c r="F283" s="34"/>
      <c r="G283" s="1391"/>
      <c r="H283" s="1391"/>
      <c r="I283" s="1391"/>
      <c r="J283" s="1391"/>
      <c r="K283" s="1391"/>
      <c r="L283" s="1391"/>
      <c r="M283" s="1391"/>
      <c r="N283" s="1391"/>
      <c r="O283" s="1391"/>
      <c r="P283" s="1391"/>
      <c r="Q283" s="1391"/>
      <c r="R283" s="1391"/>
      <c r="S283" s="1391"/>
      <c r="T283" s="34"/>
      <c r="U283" s="34"/>
      <c r="V283" s="34"/>
      <c r="W283" s="34"/>
      <c r="X283" s="34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</row>
    <row r="284" spans="1:55" x14ac:dyDescent="0.25">
      <c r="A284" s="2"/>
      <c r="C284" s="34" t="s">
        <v>704</v>
      </c>
      <c r="D284" s="34"/>
      <c r="E284" s="34"/>
      <c r="F284" s="34"/>
      <c r="G284" s="1391">
        <f>G280</f>
        <v>0</v>
      </c>
      <c r="H284" s="1391">
        <f t="shared" ref="H284:R284" si="382">H280</f>
        <v>0</v>
      </c>
      <c r="I284" s="1391">
        <f t="shared" si="382"/>
        <v>0</v>
      </c>
      <c r="J284" s="1391">
        <f t="shared" si="382"/>
        <v>0</v>
      </c>
      <c r="K284" s="1391">
        <f t="shared" si="382"/>
        <v>0</v>
      </c>
      <c r="L284" s="1391">
        <f t="shared" si="382"/>
        <v>0</v>
      </c>
      <c r="M284" s="1391">
        <f t="shared" si="382"/>
        <v>0</v>
      </c>
      <c r="N284" s="1391">
        <f t="shared" si="382"/>
        <v>0</v>
      </c>
      <c r="O284" s="1391">
        <f t="shared" si="382"/>
        <v>0</v>
      </c>
      <c r="P284" s="1391">
        <f t="shared" si="382"/>
        <v>0</v>
      </c>
      <c r="Q284" s="1391">
        <f t="shared" si="382"/>
        <v>0</v>
      </c>
      <c r="R284" s="1391">
        <f t="shared" si="382"/>
        <v>0</v>
      </c>
      <c r="S284" s="1391">
        <f t="shared" ref="S284" si="383">S280</f>
        <v>0</v>
      </c>
      <c r="T284" s="34"/>
      <c r="U284" s="34"/>
      <c r="V284" s="34"/>
      <c r="W284" s="34"/>
      <c r="X284" s="34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</row>
    <row r="285" spans="1:55" x14ac:dyDescent="0.25">
      <c r="A285" s="2"/>
      <c r="C285" s="34" t="s">
        <v>708</v>
      </c>
      <c r="D285" s="34"/>
      <c r="E285" s="34"/>
      <c r="F285" s="34"/>
      <c r="G285" s="1391">
        <f>G284/$K$69*$J$69</f>
        <v>0</v>
      </c>
      <c r="H285" s="1391">
        <f t="shared" ref="H285" si="384">H284/$K$69*$J$69</f>
        <v>0</v>
      </c>
      <c r="I285" s="1391">
        <f t="shared" ref="I285" si="385">I284/$K$69*$J$69</f>
        <v>0</v>
      </c>
      <c r="J285" s="1391">
        <f t="shared" ref="J285" si="386">J284/$K$69*$J$69</f>
        <v>0</v>
      </c>
      <c r="K285" s="1391">
        <f t="shared" ref="K285" si="387">K284/$K$69*$J$69</f>
        <v>0</v>
      </c>
      <c r="L285" s="1391">
        <f t="shared" ref="L285" si="388">L284/$K$69*$J$69</f>
        <v>0</v>
      </c>
      <c r="M285" s="1391">
        <f t="shared" ref="M285" si="389">M284/$K$69*$J$69</f>
        <v>0</v>
      </c>
      <c r="N285" s="1391">
        <f t="shared" ref="N285" si="390">N284/$K$69*$J$69</f>
        <v>0</v>
      </c>
      <c r="O285" s="1391">
        <f t="shared" ref="O285" si="391">O284/$K$69*$J$69</f>
        <v>0</v>
      </c>
      <c r="P285" s="1391">
        <f t="shared" ref="P285" si="392">P284/$K$69*$J$69</f>
        <v>0</v>
      </c>
      <c r="Q285" s="1391">
        <f t="shared" ref="Q285" si="393">Q284/$K$69*$J$69</f>
        <v>0</v>
      </c>
      <c r="R285" s="1391">
        <f t="shared" ref="R285:S285" si="394">R284/$K$69*$J$69</f>
        <v>0</v>
      </c>
      <c r="S285" s="1391">
        <f t="shared" si="394"/>
        <v>0</v>
      </c>
      <c r="T285" s="34"/>
      <c r="U285" s="34"/>
      <c r="V285" s="34"/>
      <c r="W285" s="34"/>
      <c r="X285" s="34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</row>
    <row r="286" spans="1:55" x14ac:dyDescent="0.25">
      <c r="A286" s="2"/>
      <c r="C286" s="34" t="s">
        <v>723</v>
      </c>
      <c r="D286" s="34"/>
      <c r="E286" s="34"/>
      <c r="F286" s="34"/>
      <c r="G286" s="1391">
        <f>G284+G285</f>
        <v>0</v>
      </c>
      <c r="H286" s="1391">
        <f t="shared" ref="H286" si="395">H284+H285</f>
        <v>0</v>
      </c>
      <c r="I286" s="1391">
        <f t="shared" ref="I286" si="396">I284+I285</f>
        <v>0</v>
      </c>
      <c r="J286" s="1391">
        <f t="shared" ref="J286" si="397">J284+J285</f>
        <v>0</v>
      </c>
      <c r="K286" s="1391">
        <f t="shared" ref="K286" si="398">K284+K285</f>
        <v>0</v>
      </c>
      <c r="L286" s="1391">
        <f t="shared" ref="L286" si="399">L284+L285</f>
        <v>0</v>
      </c>
      <c r="M286" s="1391">
        <f t="shared" ref="M286" si="400">M284+M285</f>
        <v>0</v>
      </c>
      <c r="N286" s="1391">
        <f t="shared" ref="N286" si="401">N284+N285</f>
        <v>0</v>
      </c>
      <c r="O286" s="1391">
        <f t="shared" ref="O286" si="402">O284+O285</f>
        <v>0</v>
      </c>
      <c r="P286" s="1391">
        <f t="shared" ref="P286" si="403">P284+P285</f>
        <v>0</v>
      </c>
      <c r="Q286" s="1391">
        <f t="shared" ref="Q286" si="404">Q284+Q285</f>
        <v>0</v>
      </c>
      <c r="R286" s="1391">
        <f t="shared" ref="R286:S286" si="405">R284+R285</f>
        <v>0</v>
      </c>
      <c r="S286" s="1391">
        <f t="shared" si="405"/>
        <v>0</v>
      </c>
      <c r="T286" s="34"/>
      <c r="U286" s="34"/>
      <c r="V286" s="34"/>
      <c r="W286" s="34"/>
      <c r="X286" s="34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</row>
    <row r="287" spans="1:55" x14ac:dyDescent="0.25">
      <c r="A287" s="2"/>
      <c r="C287" s="34" t="s">
        <v>712</v>
      </c>
      <c r="D287" s="34"/>
      <c r="E287" s="34"/>
      <c r="F287" s="34"/>
      <c r="G287" s="1391">
        <f>MAX(G213-G238-G254-G270-G286,0)</f>
        <v>0</v>
      </c>
      <c r="H287" s="1391">
        <f t="shared" ref="H287" si="406">MAX(H213-H238-H254-H270-H286,0)</f>
        <v>0</v>
      </c>
      <c r="I287" s="1391">
        <f t="shared" ref="I287" si="407">MAX(I213-I238-I254-I270-I286,0)</f>
        <v>2033032.5693331573</v>
      </c>
      <c r="J287" s="1391">
        <f t="shared" ref="J287" si="408">MAX(J213-J238-J254-J270-J286,0)</f>
        <v>1595516.5191228543</v>
      </c>
      <c r="K287" s="1391">
        <f t="shared" ref="K287" si="409">MAX(K213-K238-K254-K270-K286,0)</f>
        <v>1695673.327182909</v>
      </c>
      <c r="L287" s="1391">
        <f t="shared" ref="L287" si="410">MAX(L213-L238-L254-L270-L286,0)</f>
        <v>1795830.1352429655</v>
      </c>
      <c r="M287" s="1391">
        <f t="shared" ref="M287" si="411">MAX(M213-M238-M254-M270-M286,0)</f>
        <v>31391684.676550463</v>
      </c>
      <c r="N287" s="1391">
        <f t="shared" ref="N287" si="412">MAX(N213-N238-N254-N270-N286,0)</f>
        <v>0</v>
      </c>
      <c r="O287" s="1391">
        <f t="shared" ref="O287" si="413">MAX(O213-O238-O254-O270-O286,0)</f>
        <v>0</v>
      </c>
      <c r="P287" s="1391">
        <f t="shared" ref="P287" si="414">MAX(P213-P238-P254-P270-P286,0)</f>
        <v>0</v>
      </c>
      <c r="Q287" s="1391">
        <f t="shared" ref="Q287" si="415">MAX(Q213-Q238-Q254-Q270-Q286,0)</f>
        <v>0</v>
      </c>
      <c r="R287" s="1391">
        <f t="shared" ref="R287:S287" si="416">MAX(R213-R238-R254-R270-R286,0)</f>
        <v>0</v>
      </c>
      <c r="S287" s="1391">
        <f t="shared" si="416"/>
        <v>0</v>
      </c>
      <c r="T287" s="34"/>
      <c r="U287" s="34"/>
      <c r="V287" s="34"/>
      <c r="W287" s="34"/>
      <c r="X287" s="34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</row>
    <row r="288" spans="1:55" x14ac:dyDescent="0.25">
      <c r="A288" s="2"/>
      <c r="C288" s="34"/>
      <c r="D288" s="34"/>
      <c r="E288" s="34"/>
      <c r="F288" s="34"/>
      <c r="G288" s="1392"/>
      <c r="H288" s="1392"/>
      <c r="I288" s="1392"/>
      <c r="J288" s="1392"/>
      <c r="K288" s="1392"/>
      <c r="L288" s="1392"/>
      <c r="M288" s="1392"/>
      <c r="N288" s="1392"/>
      <c r="O288" s="1392"/>
      <c r="P288" s="1392"/>
      <c r="Q288" s="1392"/>
      <c r="R288" s="1392"/>
      <c r="S288" s="1392"/>
      <c r="T288" s="34"/>
      <c r="U288" s="34"/>
      <c r="V288" s="34"/>
      <c r="W288" s="34"/>
      <c r="X288" s="34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</row>
    <row r="289" spans="1:55" x14ac:dyDescent="0.25">
      <c r="A289" s="2"/>
      <c r="C289" s="1380" t="str">
        <f>C189</f>
        <v>Tier 5 (Promote)</v>
      </c>
      <c r="D289" s="1373" t="str">
        <f>$D$219</f>
        <v>EMx</v>
      </c>
      <c r="E289" s="1359"/>
      <c r="F289" s="1359"/>
      <c r="G289" s="1370">
        <f>G273</f>
        <v>2026</v>
      </c>
      <c r="H289" s="1370">
        <f t="shared" ref="H289:R289" si="417">H273</f>
        <v>2027</v>
      </c>
      <c r="I289" s="1370">
        <f t="shared" si="417"/>
        <v>2028</v>
      </c>
      <c r="J289" s="1370">
        <f t="shared" si="417"/>
        <v>2029</v>
      </c>
      <c r="K289" s="1370">
        <f t="shared" si="417"/>
        <v>2030</v>
      </c>
      <c r="L289" s="1370">
        <f t="shared" si="417"/>
        <v>2031</v>
      </c>
      <c r="M289" s="1370">
        <f t="shared" si="417"/>
        <v>2032</v>
      </c>
      <c r="N289" s="1370">
        <f t="shared" si="417"/>
        <v>2033</v>
      </c>
      <c r="O289" s="1370">
        <f t="shared" si="417"/>
        <v>2034</v>
      </c>
      <c r="P289" s="1370">
        <f t="shared" si="417"/>
        <v>2035</v>
      </c>
      <c r="Q289" s="1370">
        <f t="shared" si="417"/>
        <v>2036</v>
      </c>
      <c r="R289" s="1370">
        <f t="shared" si="417"/>
        <v>2037</v>
      </c>
      <c r="S289" s="1370">
        <f t="shared" ref="S289" si="418">S273</f>
        <v>2038</v>
      </c>
      <c r="T289" s="34"/>
      <c r="U289" s="34"/>
      <c r="V289" s="34"/>
      <c r="W289" s="34"/>
      <c r="X289" s="34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</row>
    <row r="290" spans="1:55" x14ac:dyDescent="0.25">
      <c r="A290" s="2"/>
      <c r="C290" s="1381" t="s">
        <v>724</v>
      </c>
      <c r="D290" s="1396">
        <f>IF($E$3="EMx",D189,IF($E$3="IRR",0,IF($E$3="IRR + Emx",D189)))</f>
        <v>0</v>
      </c>
      <c r="E290" s="1359"/>
      <c r="F290" s="1359"/>
      <c r="G290" s="1378">
        <f>G274</f>
        <v>0</v>
      </c>
      <c r="H290" s="1378">
        <f t="shared" ref="H290:R290" si="419">H274</f>
        <v>0.1</v>
      </c>
      <c r="I290" s="1378">
        <f t="shared" si="419"/>
        <v>1</v>
      </c>
      <c r="J290" s="1378">
        <f t="shared" si="419"/>
        <v>2</v>
      </c>
      <c r="K290" s="1378">
        <f t="shared" si="419"/>
        <v>3</v>
      </c>
      <c r="L290" s="1378">
        <f t="shared" si="419"/>
        <v>4</v>
      </c>
      <c r="M290" s="1378">
        <f t="shared" si="419"/>
        <v>5</v>
      </c>
      <c r="N290" s="1378">
        <f t="shared" si="419"/>
        <v>6</v>
      </c>
      <c r="O290" s="1378">
        <f t="shared" si="419"/>
        <v>7</v>
      </c>
      <c r="P290" s="1378">
        <f t="shared" si="419"/>
        <v>8</v>
      </c>
      <c r="Q290" s="1378">
        <f t="shared" si="419"/>
        <v>9</v>
      </c>
      <c r="R290" s="1378">
        <f t="shared" si="419"/>
        <v>10</v>
      </c>
      <c r="S290" s="1378" t="e">
        <f t="shared" ref="S290" si="420">S274</f>
        <v>#N/A</v>
      </c>
      <c r="T290" s="34"/>
      <c r="U290" s="34"/>
      <c r="V290" s="34"/>
      <c r="W290" s="34"/>
      <c r="X290" s="34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</row>
    <row r="291" spans="1:55" x14ac:dyDescent="0.25">
      <c r="A291" s="2"/>
      <c r="C291" s="34"/>
      <c r="D291" s="34"/>
      <c r="E291" s="34"/>
      <c r="F291" s="34"/>
      <c r="G291" s="1392"/>
      <c r="H291" s="1392"/>
      <c r="I291" s="1392"/>
      <c r="J291" s="1392"/>
      <c r="K291" s="1392"/>
      <c r="L291" s="1392"/>
      <c r="M291" s="1392"/>
      <c r="N291" s="1392"/>
      <c r="O291" s="1392"/>
      <c r="P291" s="1392"/>
      <c r="Q291" s="1392"/>
      <c r="R291" s="1392"/>
      <c r="S291" s="1392"/>
      <c r="T291" s="34"/>
      <c r="U291" s="34"/>
      <c r="V291" s="34"/>
      <c r="W291" s="34"/>
      <c r="X291" s="34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</row>
    <row r="292" spans="1:55" x14ac:dyDescent="0.25">
      <c r="A292" s="2"/>
      <c r="C292" s="34" t="s">
        <v>704</v>
      </c>
      <c r="D292" s="34"/>
      <c r="E292" s="34"/>
      <c r="F292" s="34"/>
      <c r="G292" s="1391">
        <f>G287*$K$189</f>
        <v>0</v>
      </c>
      <c r="H292" s="1391">
        <f t="shared" ref="H292:R292" si="421">H287*$K$189</f>
        <v>0</v>
      </c>
      <c r="I292" s="1391">
        <f t="shared" si="421"/>
        <v>1423122.7985332101</v>
      </c>
      <c r="J292" s="1391">
        <f t="shared" si="421"/>
        <v>1116861.5633859979</v>
      </c>
      <c r="K292" s="1391">
        <f t="shared" si="421"/>
        <v>1186971.3290280362</v>
      </c>
      <c r="L292" s="1391">
        <f t="shared" si="421"/>
        <v>1257081.0946700757</v>
      </c>
      <c r="M292" s="1391">
        <f t="shared" si="421"/>
        <v>21974179.273585323</v>
      </c>
      <c r="N292" s="1391">
        <f t="shared" si="421"/>
        <v>0</v>
      </c>
      <c r="O292" s="1391">
        <f t="shared" si="421"/>
        <v>0</v>
      </c>
      <c r="P292" s="1391">
        <f t="shared" si="421"/>
        <v>0</v>
      </c>
      <c r="Q292" s="1391">
        <f t="shared" si="421"/>
        <v>0</v>
      </c>
      <c r="R292" s="1391">
        <f t="shared" si="421"/>
        <v>0</v>
      </c>
      <c r="S292" s="1391">
        <f t="shared" ref="S292" si="422">S287*$K$189</f>
        <v>0</v>
      </c>
      <c r="T292" s="34"/>
      <c r="U292" s="34"/>
      <c r="V292" s="34"/>
      <c r="W292" s="34"/>
      <c r="X292" s="34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</row>
    <row r="293" spans="1:55" x14ac:dyDescent="0.25">
      <c r="A293" s="2"/>
      <c r="C293" s="34" t="s">
        <v>708</v>
      </c>
      <c r="D293" s="34"/>
      <c r="E293" s="34"/>
      <c r="F293" s="34"/>
      <c r="G293" s="1391">
        <f>G287-G292</f>
        <v>0</v>
      </c>
      <c r="H293" s="1391">
        <f t="shared" ref="H293" si="423">H287-H292</f>
        <v>0</v>
      </c>
      <c r="I293" s="1391">
        <f t="shared" ref="I293" si="424">I287-I292</f>
        <v>609909.7707999472</v>
      </c>
      <c r="J293" s="1391">
        <f t="shared" ref="J293" si="425">J287-J292</f>
        <v>478654.95573685644</v>
      </c>
      <c r="K293" s="1391">
        <f t="shared" ref="K293" si="426">K287-K292</f>
        <v>508701.9981548728</v>
      </c>
      <c r="L293" s="1391">
        <f t="shared" ref="L293" si="427">L287-L292</f>
        <v>538749.04057288985</v>
      </c>
      <c r="M293" s="1391">
        <f t="shared" ref="M293" si="428">M287-M292</f>
        <v>9417505.4029651396</v>
      </c>
      <c r="N293" s="1391">
        <f t="shared" ref="N293" si="429">N287-N292</f>
        <v>0</v>
      </c>
      <c r="O293" s="1391">
        <f t="shared" ref="O293" si="430">O287-O292</f>
        <v>0</v>
      </c>
      <c r="P293" s="1391">
        <f t="shared" ref="P293" si="431">P287-P292</f>
        <v>0</v>
      </c>
      <c r="Q293" s="1391">
        <f t="shared" ref="Q293" si="432">Q287-Q292</f>
        <v>0</v>
      </c>
      <c r="R293" s="1391">
        <f t="shared" ref="R293:S293" si="433">R287-R292</f>
        <v>0</v>
      </c>
      <c r="S293" s="1391">
        <f t="shared" si="433"/>
        <v>0</v>
      </c>
      <c r="T293" s="34"/>
      <c r="U293" s="34"/>
      <c r="V293" s="34"/>
      <c r="W293" s="34"/>
      <c r="X293" s="34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</row>
    <row r="294" spans="1:55" x14ac:dyDescent="0.25">
      <c r="A294" s="2"/>
      <c r="C294" s="34" t="s">
        <v>725</v>
      </c>
      <c r="D294" s="34"/>
      <c r="E294" s="34"/>
      <c r="F294" s="34"/>
      <c r="G294" s="1391">
        <f>G292+G293</f>
        <v>0</v>
      </c>
      <c r="H294" s="1391">
        <f t="shared" ref="H294" si="434">H292+H293</f>
        <v>0</v>
      </c>
      <c r="I294" s="1391">
        <f t="shared" ref="I294" si="435">I292+I293</f>
        <v>2033032.5693331573</v>
      </c>
      <c r="J294" s="1391">
        <f t="shared" ref="J294" si="436">J292+J293</f>
        <v>1595516.5191228543</v>
      </c>
      <c r="K294" s="1391">
        <f t="shared" ref="K294" si="437">K292+K293</f>
        <v>1695673.327182909</v>
      </c>
      <c r="L294" s="1391">
        <f t="shared" ref="L294" si="438">L292+L293</f>
        <v>1795830.1352429655</v>
      </c>
      <c r="M294" s="1391">
        <f t="shared" ref="M294" si="439">M292+M293</f>
        <v>31391684.676550463</v>
      </c>
      <c r="N294" s="1391">
        <f t="shared" ref="N294" si="440">N292+N293</f>
        <v>0</v>
      </c>
      <c r="O294" s="1391">
        <f t="shared" ref="O294" si="441">O292+O293</f>
        <v>0</v>
      </c>
      <c r="P294" s="1391">
        <f t="shared" ref="P294" si="442">P292+P293</f>
        <v>0</v>
      </c>
      <c r="Q294" s="1391">
        <f t="shared" ref="Q294" si="443">Q292+Q293</f>
        <v>0</v>
      </c>
      <c r="R294" s="1391">
        <f t="shared" ref="R294:S294" si="444">R292+R293</f>
        <v>0</v>
      </c>
      <c r="S294" s="1391">
        <f t="shared" si="444"/>
        <v>0</v>
      </c>
      <c r="T294" s="34"/>
      <c r="U294" s="34"/>
      <c r="V294" s="34"/>
      <c r="W294" s="34"/>
      <c r="X294" s="34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</row>
    <row r="295" spans="1:55" x14ac:dyDescent="0.25">
      <c r="A295" s="2"/>
      <c r="C295" s="34" t="s">
        <v>712</v>
      </c>
      <c r="D295" s="34"/>
      <c r="E295" s="34"/>
      <c r="F295" s="34"/>
      <c r="G295" s="1391">
        <f>MAX(G213-G238-G254-G270-G286-G294,0)</f>
        <v>0</v>
      </c>
      <c r="H295" s="1391">
        <f t="shared" ref="H295" si="445">MAX(H213-H238-H254-H270-H286-H294,0)</f>
        <v>0</v>
      </c>
      <c r="I295" s="1391">
        <f t="shared" ref="I295" si="446">MAX(I213-I238-I254-I270-I286-I294,0)</f>
        <v>0</v>
      </c>
      <c r="J295" s="1391">
        <f t="shared" ref="J295" si="447">MAX(J213-J238-J254-J270-J286-J294,0)</f>
        <v>0</v>
      </c>
      <c r="K295" s="1391">
        <f t="shared" ref="K295" si="448">MAX(K213-K238-K254-K270-K286-K294,0)</f>
        <v>0</v>
      </c>
      <c r="L295" s="1391">
        <f t="shared" ref="L295" si="449">MAX(L213-L238-L254-L270-L286-L294,0)</f>
        <v>0</v>
      </c>
      <c r="M295" s="1391">
        <f t="shared" ref="M295" si="450">MAX(M213-M238-M254-M270-M286-M294,0)</f>
        <v>0</v>
      </c>
      <c r="N295" s="1391">
        <f t="shared" ref="N295" si="451">MAX(N213-N238-N254-N270-N286-N294,0)</f>
        <v>0</v>
      </c>
      <c r="O295" s="1391">
        <f t="shared" ref="O295" si="452">MAX(O213-O238-O254-O270-O286-O294,0)</f>
        <v>0</v>
      </c>
      <c r="P295" s="1391">
        <f t="shared" ref="P295" si="453">MAX(P213-P238-P254-P270-P286-P294,0)</f>
        <v>0</v>
      </c>
      <c r="Q295" s="1391">
        <f t="shared" ref="Q295" si="454">MAX(Q213-Q238-Q254-Q270-Q286-Q294,0)</f>
        <v>0</v>
      </c>
      <c r="R295" s="1391">
        <f t="shared" ref="R295:S295" si="455">MAX(R213-R238-R254-R270-R286-R294,0)</f>
        <v>0</v>
      </c>
      <c r="S295" s="1391">
        <f t="shared" si="455"/>
        <v>0</v>
      </c>
      <c r="T295" s="34"/>
      <c r="U295" s="34"/>
      <c r="V295" s="34"/>
      <c r="W295" s="34"/>
      <c r="X295" s="34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</row>
    <row r="296" spans="1:55" x14ac:dyDescent="0.25">
      <c r="A296" s="2"/>
      <c r="C296" s="34"/>
      <c r="D296" s="34"/>
      <c r="E296" s="34"/>
      <c r="F296" s="34"/>
      <c r="G296" s="1392"/>
      <c r="H296" s="1392"/>
      <c r="I296" s="1392"/>
      <c r="J296" s="1392"/>
      <c r="K296" s="1392"/>
      <c r="L296" s="1392"/>
      <c r="M296" s="1392"/>
      <c r="N296" s="1392"/>
      <c r="O296" s="1392"/>
      <c r="P296" s="1392"/>
      <c r="Q296" s="1392"/>
      <c r="R296" s="1392"/>
      <c r="S296" s="1392"/>
      <c r="T296" s="34"/>
      <c r="U296" s="34"/>
      <c r="V296" s="34"/>
      <c r="W296" s="34"/>
      <c r="X296" s="34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</row>
    <row r="297" spans="1:55" s="2" customFormat="1" x14ac:dyDescent="0.25">
      <c r="C297" s="1359"/>
      <c r="D297" s="1359"/>
      <c r="E297" s="1359"/>
      <c r="F297" s="1359"/>
      <c r="G297" s="1359"/>
      <c r="H297" s="1359"/>
      <c r="I297" s="1359"/>
      <c r="J297" s="1359"/>
      <c r="K297" s="1359"/>
      <c r="L297" s="1359"/>
      <c r="M297" s="1359"/>
      <c r="N297" s="1359"/>
      <c r="O297" s="1359"/>
      <c r="P297" s="1359"/>
      <c r="Q297" s="1359"/>
      <c r="R297" s="1359"/>
      <c r="S297" s="1359"/>
      <c r="T297" s="34"/>
      <c r="U297" s="34"/>
      <c r="V297" s="34"/>
      <c r="W297" s="34"/>
      <c r="X297" s="34"/>
    </row>
    <row r="298" spans="1:55" s="2" customFormat="1" x14ac:dyDescent="0.25"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</row>
    <row r="299" spans="1:55" s="2" customFormat="1" x14ac:dyDescent="0.25"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</row>
    <row r="300" spans="1:55" s="2" customFormat="1" x14ac:dyDescent="0.25"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</row>
    <row r="301" spans="1:55" s="2" customFormat="1" x14ac:dyDescent="0.25"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</row>
    <row r="302" spans="1:55" s="2" customFormat="1" x14ac:dyDescent="0.25"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</row>
    <row r="303" spans="1:55" s="2" customFormat="1" x14ac:dyDescent="0.25"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</row>
    <row r="304" spans="1:55" s="2" customFormat="1" x14ac:dyDescent="0.25"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</row>
    <row r="305" spans="3:55" s="2" customFormat="1" x14ac:dyDescent="0.25"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</row>
    <row r="306" spans="3:55" s="2" customFormat="1" x14ac:dyDescent="0.25"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</row>
    <row r="307" spans="3:55" s="2" customFormat="1" x14ac:dyDescent="0.25"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</row>
    <row r="308" spans="3:55" s="2" customFormat="1" x14ac:dyDescent="0.25"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</row>
    <row r="309" spans="3:55" s="2" customFormat="1" x14ac:dyDescent="0.25"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</row>
    <row r="310" spans="3:55" s="2" customFormat="1" x14ac:dyDescent="0.25"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</row>
    <row r="311" spans="3:55" s="2" customFormat="1" x14ac:dyDescent="0.25"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</row>
    <row r="312" spans="3:55" s="2" customFormat="1" x14ac:dyDescent="0.25"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</row>
    <row r="313" spans="3:55" s="2" customFormat="1" x14ac:dyDescent="0.25"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</row>
    <row r="314" spans="3:55" s="2" customFormat="1" x14ac:dyDescent="0.25"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</row>
    <row r="315" spans="3:55" s="2" customFormat="1" x14ac:dyDescent="0.25"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</row>
    <row r="316" spans="3:55" s="2" customFormat="1" x14ac:dyDescent="0.25"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</row>
    <row r="317" spans="3:55" s="2" customFormat="1" x14ac:dyDescent="0.25"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</row>
    <row r="318" spans="3:55" s="2" customFormat="1" x14ac:dyDescent="0.25"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</row>
    <row r="319" spans="3:55" x14ac:dyDescent="0.25"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34"/>
      <c r="T319" s="34"/>
      <c r="U319" s="34"/>
      <c r="V319" s="34"/>
      <c r="W319" s="34"/>
      <c r="X319" s="34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</row>
    <row r="320" spans="3:55" x14ac:dyDescent="0.25"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34"/>
      <c r="T320" s="34"/>
      <c r="U320" s="34"/>
      <c r="V320" s="34"/>
      <c r="W320" s="34"/>
      <c r="X320" s="34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</row>
    <row r="321" spans="3:55" x14ac:dyDescent="0.25"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34"/>
      <c r="T321" s="34"/>
      <c r="U321" s="34"/>
      <c r="V321" s="34"/>
      <c r="W321" s="34"/>
      <c r="X321" s="34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</row>
    <row r="322" spans="3:55" x14ac:dyDescent="0.25"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34"/>
      <c r="T322" s="34"/>
      <c r="U322" s="34"/>
      <c r="V322" s="34"/>
      <c r="W322" s="34"/>
      <c r="X322" s="34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</row>
    <row r="323" spans="3:55" x14ac:dyDescent="0.25"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34"/>
      <c r="T323" s="34"/>
      <c r="U323" s="34"/>
      <c r="V323" s="34"/>
      <c r="W323" s="34"/>
      <c r="X323" s="34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</row>
    <row r="324" spans="3:55" x14ac:dyDescent="0.25"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34"/>
      <c r="T324" s="34"/>
      <c r="U324" s="34"/>
      <c r="V324" s="34"/>
      <c r="W324" s="34"/>
      <c r="X324" s="34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</row>
    <row r="325" spans="3:55" x14ac:dyDescent="0.25"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34"/>
      <c r="T325" s="34"/>
      <c r="U325" s="34"/>
      <c r="V325" s="34"/>
      <c r="W325" s="34"/>
      <c r="X325" s="34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</row>
    <row r="326" spans="3:55" x14ac:dyDescent="0.25"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34"/>
      <c r="T326" s="34"/>
      <c r="U326" s="34"/>
      <c r="V326" s="34"/>
      <c r="W326" s="34"/>
      <c r="X326" s="34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</row>
    <row r="327" spans="3:55" x14ac:dyDescent="0.25"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34"/>
      <c r="T327" s="34"/>
      <c r="U327" s="34"/>
      <c r="V327" s="34"/>
      <c r="W327" s="34"/>
      <c r="X327" s="34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</row>
    <row r="328" spans="3:55" x14ac:dyDescent="0.25"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34"/>
      <c r="T328" s="34"/>
      <c r="U328" s="34"/>
      <c r="V328" s="34"/>
      <c r="W328" s="34"/>
      <c r="X328" s="34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</row>
    <row r="329" spans="3:55" x14ac:dyDescent="0.25"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34"/>
      <c r="T329" s="34"/>
      <c r="U329" s="34"/>
      <c r="V329" s="34"/>
      <c r="W329" s="34"/>
      <c r="X329" s="34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</row>
    <row r="330" spans="3:55" x14ac:dyDescent="0.25"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34"/>
      <c r="T330" s="34"/>
      <c r="U330" s="34"/>
      <c r="V330" s="34"/>
      <c r="W330" s="34"/>
      <c r="X330" s="34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</row>
    <row r="331" spans="3:55" x14ac:dyDescent="0.25"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34"/>
      <c r="T331" s="34"/>
      <c r="U331" s="34"/>
      <c r="V331" s="34"/>
      <c r="W331" s="34"/>
      <c r="X331" s="34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</row>
    <row r="332" spans="3:55" x14ac:dyDescent="0.25"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34"/>
      <c r="T332" s="34"/>
      <c r="U332" s="34"/>
      <c r="V332" s="34"/>
      <c r="W332" s="34"/>
      <c r="X332" s="34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</row>
    <row r="333" spans="3:55" x14ac:dyDescent="0.25"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34"/>
      <c r="T333" s="34"/>
      <c r="U333" s="34"/>
      <c r="V333" s="34"/>
      <c r="W333" s="34"/>
      <c r="X333" s="34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</row>
    <row r="334" spans="3:55" x14ac:dyDescent="0.25"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34"/>
      <c r="T334" s="34"/>
      <c r="U334" s="34"/>
      <c r="V334" s="34"/>
      <c r="W334" s="34"/>
      <c r="X334" s="34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</row>
    <row r="335" spans="3:55" x14ac:dyDescent="0.25"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34"/>
      <c r="T335" s="34"/>
      <c r="U335" s="34"/>
      <c r="V335" s="34"/>
      <c r="W335" s="34"/>
      <c r="X335" s="34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</row>
    <row r="336" spans="3:55" x14ac:dyDescent="0.25"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34"/>
      <c r="T336" s="34"/>
      <c r="U336" s="34"/>
      <c r="V336" s="34"/>
      <c r="W336" s="34"/>
      <c r="X336" s="34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</row>
    <row r="337" spans="3:55" x14ac:dyDescent="0.25"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34"/>
      <c r="T337" s="34"/>
      <c r="U337" s="34"/>
      <c r="V337" s="34"/>
      <c r="W337" s="34"/>
      <c r="X337" s="34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</row>
    <row r="338" spans="3:55" x14ac:dyDescent="0.25"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</row>
    <row r="339" spans="3:55" x14ac:dyDescent="0.25"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</row>
    <row r="340" spans="3:55" x14ac:dyDescent="0.25"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</row>
    <row r="341" spans="3:55" x14ac:dyDescent="0.25"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</row>
    <row r="342" spans="3:55" x14ac:dyDescent="0.25"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</row>
    <row r="343" spans="3:55" x14ac:dyDescent="0.25"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</row>
    <row r="344" spans="3:55" x14ac:dyDescent="0.25"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</row>
    <row r="345" spans="3:55" x14ac:dyDescent="0.25"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</row>
  </sheetData>
  <mergeCells count="2">
    <mergeCell ref="J64:K64"/>
    <mergeCell ref="J183:K183"/>
  </mergeCells>
  <conditionalFormatting sqref="C6 E6">
    <cfRule type="expression" dxfId="108" priority="47">
      <formula>IF($E$5&lt;&gt;"LP First","TRUE","FALSE")</formula>
    </cfRule>
  </conditionalFormatting>
  <conditionalFormatting sqref="D12:D14">
    <cfRule type="expression" dxfId="107" priority="53">
      <formula>IF($D$9="$","TRUE","FALSE")</formula>
    </cfRule>
    <cfRule type="expression" dxfId="106" priority="54">
      <formula>IF($D$9="%","TRUE","FALSE")</formula>
    </cfRule>
  </conditionalFormatting>
  <conditionalFormatting sqref="D101:D102">
    <cfRule type="expression" dxfId="105" priority="32">
      <formula>IF($E$3="IRR","TRUE","FALSE")</formula>
    </cfRule>
  </conditionalFormatting>
  <conditionalFormatting sqref="D123:D124">
    <cfRule type="expression" dxfId="104" priority="30">
      <formula>IF($E$3="IRR","TRUE","FALSE")</formula>
    </cfRule>
  </conditionalFormatting>
  <conditionalFormatting sqref="D139">
    <cfRule type="expression" dxfId="103" priority="28">
      <formula>IF($E$3="IRR","TRUE","FALSE")</formula>
    </cfRule>
  </conditionalFormatting>
  <conditionalFormatting sqref="D155">
    <cfRule type="expression" dxfId="102" priority="26">
      <formula>IF($E$3="IRR","TRUE","FALSE")</formula>
    </cfRule>
  </conditionalFormatting>
  <conditionalFormatting sqref="D171">
    <cfRule type="expression" dxfId="101" priority="24">
      <formula>IF($E$3="IRR","TRUE","FALSE")</formula>
    </cfRule>
  </conditionalFormatting>
  <conditionalFormatting sqref="D220:D221">
    <cfRule type="expression" dxfId="100" priority="14">
      <formula>IF(OR($E$3="Emx",$E$3="IRR + Emx"),"TRUE","FALSE")</formula>
    </cfRule>
  </conditionalFormatting>
  <conditionalFormatting sqref="D242:D243">
    <cfRule type="expression" dxfId="99" priority="12">
      <formula>IF($E$3="Emx","TRUE","FALSE")</formula>
    </cfRule>
  </conditionalFormatting>
  <conditionalFormatting sqref="D258">
    <cfRule type="expression" dxfId="98" priority="4">
      <formula>IF($E$3="Emx","TRUE","FALSE")</formula>
    </cfRule>
  </conditionalFormatting>
  <conditionalFormatting sqref="D274">
    <cfRule type="expression" dxfId="97" priority="3">
      <formula>IF($E$3="Emx","TRUE","FALSE")</formula>
    </cfRule>
  </conditionalFormatting>
  <conditionalFormatting sqref="D290">
    <cfRule type="expression" dxfId="96" priority="2">
      <formula>IF($E$3="Emx","TRUE","FALSE")</formula>
    </cfRule>
  </conditionalFormatting>
  <conditionalFormatting sqref="D185:F189">
    <cfRule type="expression" dxfId="95" priority="5">
      <formula>IF($E$3="IRR","TRUE","FALSE")</formula>
    </cfRule>
  </conditionalFormatting>
  <conditionalFormatting sqref="E6">
    <cfRule type="expression" dxfId="94" priority="49">
      <formula>IF($E$5="LP First","TRUE","FALSE")</formula>
    </cfRule>
  </conditionalFormatting>
  <conditionalFormatting sqref="E12:E14">
    <cfRule type="expression" dxfId="93" priority="51">
      <formula>IF($D$9="%","TRUE","FALSE")</formula>
    </cfRule>
    <cfRule type="expression" dxfId="92" priority="52">
      <formula>IF($D$9="$","TRUE","FALSE")</formula>
    </cfRule>
  </conditionalFormatting>
  <conditionalFormatting sqref="E18:E22">
    <cfRule type="expression" dxfId="91" priority="1">
      <formula>IF($E$3="IRR","TRUE","FALSE")</formula>
    </cfRule>
  </conditionalFormatting>
  <conditionalFormatting sqref="E67:E70">
    <cfRule type="expression" dxfId="90" priority="36">
      <formula>IF($E$3="IRR","TRUE","FALSE")</formula>
    </cfRule>
  </conditionalFormatting>
  <conditionalFormatting sqref="E186:E189">
    <cfRule type="expression" dxfId="89" priority="18">
      <formula>IF($E$3="IRR","TRUE","FALSE")</formula>
    </cfRule>
  </conditionalFormatting>
  <conditionalFormatting sqref="E66:F70">
    <cfRule type="expression" dxfId="88" priority="33">
      <formula>IF($E$3="EMx","TRUE","FALSE")</formula>
    </cfRule>
  </conditionalFormatting>
  <conditionalFormatting sqref="E185:F189">
    <cfRule type="expression" dxfId="87" priority="16">
      <formula>IF($E$3="EMx","TRUE","FALSE")</formula>
    </cfRule>
  </conditionalFormatting>
  <conditionalFormatting sqref="F18:F22">
    <cfRule type="expression" dxfId="86" priority="19">
      <formula>IF($E$3="IRR + EMx","TRUE","FALSE")</formula>
    </cfRule>
    <cfRule type="expression" dxfId="85" priority="41">
      <formula>IF($E$3="EMx","TRUE","FALSE")</formula>
    </cfRule>
  </conditionalFormatting>
  <conditionalFormatting sqref="F19:F22">
    <cfRule type="expression" dxfId="84" priority="45">
      <formula>IF($E$3="IRR","TRUE","FALSE")</formula>
    </cfRule>
  </conditionalFormatting>
  <conditionalFormatting sqref="F66:F70">
    <cfRule type="expression" dxfId="83" priority="35">
      <formula>IF($E$3="IRR","TRUE","FALSE")</formula>
    </cfRule>
  </conditionalFormatting>
  <conditionalFormatting sqref="F185:F189">
    <cfRule type="expression" dxfId="82" priority="17">
      <formula>IF($E$3="IRR","TRUE","FALSE")</formula>
    </cfRule>
  </conditionalFormatting>
  <conditionalFormatting sqref="G18:G22">
    <cfRule type="expression" dxfId="81" priority="21">
      <formula>IF($E$3="IRR + EMx","TRUE","FALSE")</formula>
    </cfRule>
    <cfRule type="expression" dxfId="80" priority="22">
      <formula>IF($E$3="Emx","TRUE","FALSE")</formula>
    </cfRule>
    <cfRule type="expression" dxfId="79" priority="43">
      <formula>IF($E$3="IRR","TRUE","FALSE")</formula>
    </cfRule>
  </conditionalFormatting>
  <dataValidations count="5">
    <dataValidation type="list" allowBlank="1" showInputMessage="1" showErrorMessage="1" sqref="E3" xr:uid="{35179038-D38D-4BA8-BA91-4D03636D1A6D}">
      <formula1>"IRR, EMx, IRR + EMx"</formula1>
    </dataValidation>
    <dataValidation type="list" allowBlank="1" showInputMessage="1" showErrorMessage="1" sqref="D9" xr:uid="{9E266785-F7B0-401F-84B1-1D8AF0163BDE}">
      <formula1>"$,%"</formula1>
    </dataValidation>
    <dataValidation type="list" allowBlank="1" showInputMessage="1" showErrorMessage="1" sqref="E5" xr:uid="{E05F0290-1DD2-46F8-A6D3-FBA8810723DD}">
      <formula1>"Pari Passu, LP First"</formula1>
    </dataValidation>
    <dataValidation type="list" allowBlank="1" showInputMessage="1" showErrorMessage="1" sqref="E6" xr:uid="{4F78C295-E7EB-41CE-87D1-DBB255D1CF68}">
      <formula1>"Yes, No"</formula1>
    </dataValidation>
    <dataValidation type="list" allowBlank="1" showInputMessage="1" showErrorMessage="1" sqref="E4" xr:uid="{4EF92094-47EE-4252-9CB9-5D6967628D90}">
      <formula1>"2-Tier, 3-Tier, 4-Tier, 5-Tier"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469C3-2740-4CC4-A7BE-26B5F8B6EB05}">
  <dimension ref="A1:AG118"/>
  <sheetViews>
    <sheetView workbookViewId="0">
      <selection activeCell="O20" sqref="O20"/>
    </sheetView>
  </sheetViews>
  <sheetFormatPr defaultRowHeight="15" x14ac:dyDescent="0.25"/>
  <cols>
    <col min="1" max="1" width="9.140625" style="8"/>
    <col min="2" max="2" width="21.42578125" style="8" customWidth="1"/>
    <col min="3" max="3" width="10.28515625" style="8" customWidth="1"/>
    <col min="4" max="4" width="7.5703125" style="8" customWidth="1"/>
    <col min="5" max="5" width="14.5703125" style="8" customWidth="1"/>
    <col min="6" max="6" width="3.42578125" style="8" customWidth="1"/>
    <col min="7" max="7" width="20.28515625" style="8" customWidth="1"/>
    <col min="8" max="8" width="9.140625" style="8"/>
    <col min="9" max="9" width="13.42578125" style="8" bestFit="1" customWidth="1"/>
    <col min="10" max="10" width="3.42578125" style="8" customWidth="1"/>
    <col min="11" max="11" width="15.7109375" style="8" customWidth="1"/>
    <col min="12" max="15" width="9.140625" style="8"/>
    <col min="16" max="16" width="14.5703125" style="8" bestFit="1" customWidth="1"/>
    <col min="17" max="21" width="9.140625" style="8"/>
  </cols>
  <sheetData>
    <row r="1" spans="1:33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x14ac:dyDescent="0.25">
      <c r="A5" s="9"/>
      <c r="B5" s="9"/>
      <c r="C5" s="9"/>
      <c r="D5" s="9"/>
      <c r="E5" s="9"/>
      <c r="F5" s="9"/>
      <c r="G5" s="9" t="s">
        <v>484</v>
      </c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</row>
    <row r="6" spans="1:33" ht="12.75" customHeight="1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</row>
    <row r="7" spans="1:33" s="31" customFormat="1" ht="12.75" customHeight="1" x14ac:dyDescent="0.25">
      <c r="A7" s="34"/>
      <c r="B7" s="405" t="s">
        <v>144</v>
      </c>
      <c r="C7" s="404"/>
      <c r="D7" s="404"/>
      <c r="E7" s="403"/>
      <c r="F7" s="34"/>
      <c r="G7" s="1519" t="s">
        <v>183</v>
      </c>
      <c r="H7" s="1520"/>
      <c r="I7" s="1521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</row>
    <row r="8" spans="1:33" s="31" customFormat="1" ht="12.75" customHeight="1" x14ac:dyDescent="0.25">
      <c r="A8" s="34"/>
      <c r="B8" s="114" t="s">
        <v>446</v>
      </c>
      <c r="C8" s="113"/>
      <c r="D8" s="113"/>
      <c r="E8" s="492">
        <f>'Operating Assumptions'!$D$9</f>
        <v>2500000</v>
      </c>
      <c r="F8" s="34"/>
      <c r="G8" s="43"/>
      <c r="H8" s="34"/>
      <c r="I8" s="7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</row>
    <row r="9" spans="1:33" s="31" customFormat="1" ht="12.75" customHeight="1" x14ac:dyDescent="0.25">
      <c r="A9" s="34"/>
      <c r="B9" s="43" t="s">
        <v>129</v>
      </c>
      <c r="C9" s="34"/>
      <c r="D9" s="34"/>
      <c r="E9" s="93">
        <f>'Construction Budget'!G106</f>
        <v>38885935.920000002</v>
      </c>
      <c r="F9" s="34"/>
      <c r="G9" s="43" t="s">
        <v>184</v>
      </c>
      <c r="H9" s="34"/>
      <c r="I9" s="400">
        <v>100000</v>
      </c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</row>
    <row r="10" spans="1:33" s="31" customFormat="1" ht="12.75" customHeight="1" x14ac:dyDescent="0.25">
      <c r="A10" s="34"/>
      <c r="B10" s="43" t="s">
        <v>65</v>
      </c>
      <c r="C10" s="35" t="s">
        <v>180</v>
      </c>
      <c r="D10" s="812" t="s">
        <v>72</v>
      </c>
      <c r="E10" s="93">
        <f>IF(D10="Yes",SUM('Construction Budget'!G107:G108,'Construction Budget'!G109),0)</f>
        <v>0</v>
      </c>
      <c r="F10" s="34"/>
      <c r="G10" s="43" t="s">
        <v>165</v>
      </c>
      <c r="H10" s="34"/>
      <c r="I10" s="93">
        <f>'Construction Budget'!G116</f>
        <v>56919034.356800005</v>
      </c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</row>
    <row r="11" spans="1:33" s="31" customFormat="1" ht="12.75" customHeight="1" x14ac:dyDescent="0.25">
      <c r="A11" s="34"/>
      <c r="B11" s="43" t="s">
        <v>182</v>
      </c>
      <c r="C11" s="35" t="s">
        <v>180</v>
      </c>
      <c r="D11" s="812" t="s">
        <v>72</v>
      </c>
      <c r="E11" s="93">
        <f>IF(D11="Yes",'Construction Budget'!G113,0)</f>
        <v>0</v>
      </c>
      <c r="F11" s="34"/>
      <c r="G11" s="43"/>
      <c r="H11" s="34"/>
      <c r="I11" s="93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</row>
    <row r="12" spans="1:33" s="31" customFormat="1" ht="12.75" customHeight="1" x14ac:dyDescent="0.25">
      <c r="A12" s="34"/>
      <c r="B12" s="43" t="s">
        <v>151</v>
      </c>
      <c r="C12" s="35" t="s">
        <v>180</v>
      </c>
      <c r="D12" s="812" t="s">
        <v>72</v>
      </c>
      <c r="E12" s="93">
        <f>IF(D12="Yes",'Construction Budget'!G114,0)</f>
        <v>0</v>
      </c>
      <c r="F12" s="34"/>
      <c r="G12" s="43" t="s">
        <v>185</v>
      </c>
      <c r="H12" s="34"/>
      <c r="I12" s="93">
        <f>E21</f>
        <v>38075061.046400003</v>
      </c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</row>
    <row r="13" spans="1:33" s="31" customFormat="1" ht="12.75" customHeight="1" x14ac:dyDescent="0.25">
      <c r="A13" s="34"/>
      <c r="B13" s="43"/>
      <c r="C13" s="34"/>
      <c r="D13" s="34"/>
      <c r="E13" s="74"/>
      <c r="F13" s="34"/>
      <c r="G13" s="43" t="s">
        <v>186</v>
      </c>
      <c r="H13" s="34"/>
      <c r="I13" s="93">
        <f>I12-I9</f>
        <v>37975061.046400003</v>
      </c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</row>
    <row r="14" spans="1:33" s="31" customFormat="1" ht="12.75" customHeight="1" x14ac:dyDescent="0.25">
      <c r="A14" s="34"/>
      <c r="B14" s="50" t="s">
        <v>320</v>
      </c>
      <c r="C14" s="32"/>
      <c r="D14" s="32"/>
      <c r="E14" s="86" t="s">
        <v>740</v>
      </c>
      <c r="F14" s="34"/>
      <c r="G14" s="43" t="s">
        <v>319</v>
      </c>
      <c r="H14" s="34"/>
      <c r="I14" s="93">
        <f>E21*E24/100</f>
        <v>672576.15435291198</v>
      </c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</row>
    <row r="15" spans="1:33" s="31" customFormat="1" ht="12.75" customHeight="1" x14ac:dyDescent="0.25">
      <c r="A15" s="34"/>
      <c r="B15" s="52"/>
      <c r="C15" s="32"/>
      <c r="D15" s="32"/>
      <c r="E15" s="381"/>
      <c r="F15" s="34"/>
      <c r="G15" s="43" t="s">
        <v>187</v>
      </c>
      <c r="H15" s="34"/>
      <c r="I15" s="93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</row>
    <row r="16" spans="1:33" s="31" customFormat="1" ht="12.75" customHeight="1" x14ac:dyDescent="0.25">
      <c r="A16" s="34"/>
      <c r="B16" s="43" t="s">
        <v>181</v>
      </c>
      <c r="C16" s="34"/>
      <c r="D16" s="34"/>
      <c r="E16" s="399">
        <v>0.92</v>
      </c>
      <c r="F16" s="34"/>
      <c r="G16" s="43"/>
      <c r="H16" s="34"/>
      <c r="I16" s="7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</row>
    <row r="17" spans="1:33" s="31" customFormat="1" ht="12.75" customHeight="1" x14ac:dyDescent="0.25">
      <c r="A17" s="34"/>
      <c r="B17" s="43" t="s">
        <v>318</v>
      </c>
      <c r="C17" s="32"/>
      <c r="D17" s="32"/>
      <c r="E17" s="493">
        <f>DATE('Operating Assumptions'!C52,1,31)</f>
        <v>46418</v>
      </c>
      <c r="F17" s="34"/>
      <c r="G17" s="1552" t="s">
        <v>189</v>
      </c>
      <c r="H17" s="1527"/>
      <c r="I17" s="1553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</row>
    <row r="18" spans="1:33" s="31" customFormat="1" ht="12.75" customHeight="1" x14ac:dyDescent="0.25">
      <c r="A18" s="34"/>
      <c r="B18" s="43" t="s">
        <v>317</v>
      </c>
      <c r="C18" s="32"/>
      <c r="D18" s="32"/>
      <c r="E18" s="494">
        <f>HLOOKUP(E17,'Monthly CF'!$H$11:$FT$14,4)</f>
        <v>0.48</v>
      </c>
      <c r="F18" s="34"/>
      <c r="G18" s="43"/>
      <c r="H18" s="34"/>
      <c r="I18" s="7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</row>
    <row r="19" spans="1:33" s="31" customFormat="1" ht="12.75" customHeight="1" x14ac:dyDescent="0.25">
      <c r="A19" s="34"/>
      <c r="B19" s="43" t="s">
        <v>316</v>
      </c>
      <c r="C19" s="32"/>
      <c r="D19" s="32"/>
      <c r="E19" s="399">
        <v>0.65</v>
      </c>
      <c r="F19" s="34"/>
      <c r="G19" s="43" t="s">
        <v>190</v>
      </c>
      <c r="H19" s="34"/>
      <c r="I19" s="101">
        <v>7.0000000000000007E-2</v>
      </c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</row>
    <row r="20" spans="1:33" s="31" customFormat="1" ht="12.75" customHeight="1" x14ac:dyDescent="0.25">
      <c r="A20" s="34"/>
      <c r="B20" s="52"/>
      <c r="C20" s="32"/>
      <c r="D20" s="32"/>
      <c r="E20" s="381"/>
      <c r="F20" s="34"/>
      <c r="G20" s="43" t="s">
        <v>191</v>
      </c>
      <c r="H20" s="34"/>
      <c r="I20" s="398">
        <v>20</v>
      </c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</row>
    <row r="21" spans="1:33" s="31" customFormat="1" ht="12.75" customHeight="1" thickBot="1" x14ac:dyDescent="0.3">
      <c r="A21" s="34"/>
      <c r="B21" s="397" t="s">
        <v>315</v>
      </c>
      <c r="C21" s="396"/>
      <c r="D21" s="396"/>
      <c r="E21" s="395">
        <f>E16*SUM(E8:E12)</f>
        <v>38075061.046400003</v>
      </c>
      <c r="F21" s="34"/>
      <c r="G21" s="43" t="s">
        <v>188</v>
      </c>
      <c r="H21" s="34"/>
      <c r="I21" s="394">
        <f>ABS(PV(I19,I20,I14,0,1))</f>
        <v>7624051.0556378718</v>
      </c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</row>
    <row r="22" spans="1:33" s="31" customFormat="1" ht="12.75" customHeight="1" thickTop="1" thickBot="1" x14ac:dyDescent="0.3">
      <c r="A22" s="34"/>
      <c r="B22" s="393" t="s">
        <v>314</v>
      </c>
      <c r="C22" s="392"/>
      <c r="D22" s="392"/>
      <c r="E22" s="391">
        <f>E21*E18</f>
        <v>18276029.302271999</v>
      </c>
      <c r="F22" s="34"/>
      <c r="G22" s="43" t="s">
        <v>192</v>
      </c>
      <c r="H22" s="34"/>
      <c r="I22" s="390">
        <v>0.8</v>
      </c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</row>
    <row r="23" spans="1:33" s="31" customFormat="1" ht="12.75" customHeight="1" x14ac:dyDescent="0.25">
      <c r="A23" s="34"/>
      <c r="B23" s="81"/>
      <c r="C23" s="34"/>
      <c r="D23" s="34"/>
      <c r="E23" s="389"/>
      <c r="F23" s="34"/>
      <c r="G23" s="57" t="s">
        <v>193</v>
      </c>
      <c r="H23" s="39"/>
      <c r="I23" s="388">
        <f>I21*I22</f>
        <v>6099240.8445102982</v>
      </c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</row>
    <row r="24" spans="1:33" s="31" customFormat="1" ht="12.75" customHeight="1" x14ac:dyDescent="0.25">
      <c r="A24" s="34"/>
      <c r="B24" s="387" t="s">
        <v>313</v>
      </c>
      <c r="C24" s="34"/>
      <c r="D24" s="34"/>
      <c r="E24" s="534">
        <v>1.766448</v>
      </c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</row>
    <row r="25" spans="1:33" s="31" customFormat="1" ht="12.75" customHeight="1" x14ac:dyDescent="0.25">
      <c r="A25" s="34"/>
      <c r="B25" s="81"/>
      <c r="C25" s="34"/>
      <c r="D25" s="34"/>
      <c r="E25" s="381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1423"/>
      <c r="Q25" s="34"/>
      <c r="R25" s="34"/>
      <c r="S25" s="34"/>
      <c r="T25" s="34"/>
      <c r="U25" s="34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</row>
    <row r="26" spans="1:33" s="31" customFormat="1" ht="12.75" customHeight="1" x14ac:dyDescent="0.25">
      <c r="A26" s="34"/>
      <c r="B26" s="386" t="s">
        <v>312</v>
      </c>
      <c r="C26" s="385"/>
      <c r="D26" s="385"/>
      <c r="E26" s="384">
        <f>IF(E14="Full",E21*E24/100,IF(E14="Partial",E22*E24/100,IF(E14="Year 1 Discount",(E21*E24/100)*E19)))</f>
        <v>322836.55408939766</v>
      </c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</row>
    <row r="27" spans="1:33" s="31" customFormat="1" ht="12.75" customHeight="1" x14ac:dyDescent="0.25">
      <c r="A27" s="34"/>
      <c r="B27" s="77"/>
      <c r="C27" s="34"/>
      <c r="D27" s="34"/>
      <c r="E27" s="383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</row>
    <row r="28" spans="1:33" s="31" customFormat="1" ht="12.75" customHeight="1" x14ac:dyDescent="0.25">
      <c r="A28" s="34"/>
      <c r="B28" s="1512" t="s">
        <v>311</v>
      </c>
      <c r="C28" s="1513"/>
      <c r="D28" s="1513"/>
      <c r="E28" s="151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</row>
    <row r="29" spans="1:33" s="31" customFormat="1" ht="12.75" customHeight="1" x14ac:dyDescent="0.25">
      <c r="A29" s="34"/>
      <c r="B29" s="382" t="s">
        <v>310</v>
      </c>
      <c r="C29" s="34"/>
      <c r="D29" s="34"/>
      <c r="E29" s="111">
        <v>0.01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</row>
    <row r="30" spans="1:33" s="31" customFormat="1" ht="12.75" customHeight="1" x14ac:dyDescent="0.25">
      <c r="A30" s="34"/>
      <c r="B30" s="52"/>
      <c r="C30" s="32"/>
      <c r="D30" s="32"/>
      <c r="E30" s="243" t="s">
        <v>356</v>
      </c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</row>
    <row r="31" spans="1:33" s="31" customFormat="1" ht="12.75" customHeight="1" x14ac:dyDescent="0.25">
      <c r="A31" s="34"/>
      <c r="B31" s="491">
        <f>'Operating Assumptions'!Q8</f>
        <v>0.1</v>
      </c>
      <c r="C31" s="1018">
        <f>B31</f>
        <v>0.1</v>
      </c>
      <c r="D31" s="34"/>
      <c r="E31" s="141">
        <f>E26</f>
        <v>322836.55408939766</v>
      </c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</row>
    <row r="32" spans="1:33" s="31" customFormat="1" ht="12.75" customHeight="1" x14ac:dyDescent="0.25">
      <c r="A32" s="34"/>
      <c r="B32" s="491">
        <f>'Operating Assumptions'!R8</f>
        <v>1</v>
      </c>
      <c r="C32" s="1018">
        <f t="shared" ref="C32:C41" si="0">B32</f>
        <v>1</v>
      </c>
      <c r="D32" s="32"/>
      <c r="E32" s="141">
        <f>(E21*E24/100)*(1+$E$29)</f>
        <v>679301.91589644109</v>
      </c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</row>
    <row r="33" spans="1:33" s="31" customFormat="1" ht="12.75" customHeight="1" x14ac:dyDescent="0.25">
      <c r="A33" s="34"/>
      <c r="B33" s="491">
        <f>'Operating Assumptions'!S8</f>
        <v>2</v>
      </c>
      <c r="C33" s="1018">
        <f t="shared" si="0"/>
        <v>2</v>
      </c>
      <c r="D33" s="34"/>
      <c r="E33" s="141">
        <f t="shared" ref="E33:E41" si="1">E32*(1+$E$29)</f>
        <v>686094.93505540548</v>
      </c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</row>
    <row r="34" spans="1:33" s="31" customFormat="1" ht="12.75" customHeight="1" x14ac:dyDescent="0.25">
      <c r="A34" s="34"/>
      <c r="B34" s="491">
        <f>'Operating Assumptions'!T8</f>
        <v>3</v>
      </c>
      <c r="C34" s="1018">
        <f t="shared" si="0"/>
        <v>3</v>
      </c>
      <c r="D34" s="32"/>
      <c r="E34" s="141">
        <f t="shared" si="1"/>
        <v>692955.88440595951</v>
      </c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</row>
    <row r="35" spans="1:33" s="31" customFormat="1" ht="12.75" customHeight="1" x14ac:dyDescent="0.25">
      <c r="A35" s="34"/>
      <c r="B35" s="491">
        <f>'Operating Assumptions'!U8</f>
        <v>4</v>
      </c>
      <c r="C35" s="1018">
        <f t="shared" si="0"/>
        <v>4</v>
      </c>
      <c r="D35" s="32"/>
      <c r="E35" s="141">
        <f t="shared" si="1"/>
        <v>699885.4432500191</v>
      </c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</row>
    <row r="36" spans="1:33" ht="12.75" customHeight="1" x14ac:dyDescent="0.25">
      <c r="A36" s="9"/>
      <c r="B36" s="491">
        <f>'Operating Assumptions'!V8</f>
        <v>5</v>
      </c>
      <c r="C36" s="1018">
        <f t="shared" si="0"/>
        <v>5</v>
      </c>
      <c r="D36" s="32"/>
      <c r="E36" s="141">
        <f t="shared" si="1"/>
        <v>706884.2976825193</v>
      </c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 ht="12.75" customHeight="1" x14ac:dyDescent="0.25">
      <c r="A37" s="9"/>
      <c r="B37" s="491">
        <f>'Operating Assumptions'!W8</f>
        <v>6</v>
      </c>
      <c r="C37" s="1018">
        <f t="shared" si="0"/>
        <v>6</v>
      </c>
      <c r="D37" s="32"/>
      <c r="E37" s="141">
        <f t="shared" si="1"/>
        <v>713953.1406593445</v>
      </c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spans="1:33" ht="12.75" customHeight="1" x14ac:dyDescent="0.25">
      <c r="A38" s="9"/>
      <c r="B38" s="491">
        <f>'Operating Assumptions'!X8</f>
        <v>7</v>
      </c>
      <c r="C38" s="1018">
        <f t="shared" si="0"/>
        <v>7</v>
      </c>
      <c r="D38" s="9"/>
      <c r="E38" s="141">
        <f t="shared" si="1"/>
        <v>721092.67206593801</v>
      </c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spans="1:33" ht="12.75" customHeight="1" x14ac:dyDescent="0.25">
      <c r="A39" s="9"/>
      <c r="B39" s="491">
        <f>'Operating Assumptions'!Y8</f>
        <v>8</v>
      </c>
      <c r="C39" s="1018">
        <f t="shared" si="0"/>
        <v>8</v>
      </c>
      <c r="D39" s="9"/>
      <c r="E39" s="141">
        <f t="shared" si="1"/>
        <v>728303.59878659737</v>
      </c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pans="1:33" ht="12.75" customHeight="1" x14ac:dyDescent="0.25">
      <c r="A40" s="9"/>
      <c r="B40" s="491">
        <f>'Operating Assumptions'!Z8</f>
        <v>9</v>
      </c>
      <c r="C40" s="1018">
        <f t="shared" si="0"/>
        <v>9</v>
      </c>
      <c r="D40" s="9"/>
      <c r="E40" s="141">
        <f t="shared" si="1"/>
        <v>735586.63477446337</v>
      </c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ht="12.75" customHeight="1" x14ac:dyDescent="0.25">
      <c r="A41" s="9"/>
      <c r="B41" s="491">
        <f>'Operating Assumptions'!AA8</f>
        <v>10</v>
      </c>
      <c r="C41" s="1018">
        <f t="shared" si="0"/>
        <v>10</v>
      </c>
      <c r="D41" s="9"/>
      <c r="E41" s="141">
        <f t="shared" si="1"/>
        <v>742942.50112220796</v>
      </c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ht="12.75" customHeight="1" x14ac:dyDescent="0.25">
      <c r="A42" s="9"/>
      <c r="B42" s="18"/>
      <c r="C42" s="18"/>
      <c r="D42" s="18"/>
      <c r="E42" s="18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ht="12.75" customHeight="1" x14ac:dyDescent="0.2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ht="12.75" customHeight="1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ht="12.75" customHeight="1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ht="12.75" customHeight="1" x14ac:dyDescent="0.2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ht="12.75" customHeight="1" x14ac:dyDescent="0.2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ht="12.75" customHeight="1" x14ac:dyDescent="0.2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12.75" customHeight="1" x14ac:dyDescent="0.2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12.75" customHeight="1" x14ac:dyDescent="0.2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12.75" customHeight="1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12.75" customHeight="1" x14ac:dyDescent="0.2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12.75" customHeight="1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12.75" customHeight="1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12.75" customHeight="1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12.75" customHeight="1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12.75" customHeight="1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12.75" customHeight="1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12.75" customHeight="1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12.75" customHeight="1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12.75" customHeight="1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12.75" customHeight="1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12.75" customHeight="1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12.75" customHeight="1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12.75" customHeight="1" x14ac:dyDescent="0.2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12.75" customHeight="1" x14ac:dyDescent="0.2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12.75" customHeight="1" x14ac:dyDescent="0.2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12.75" customHeight="1" x14ac:dyDescent="0.2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12.75" customHeight="1" x14ac:dyDescent="0.2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12.75" customHeight="1" x14ac:dyDescent="0.2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12.75" customHeight="1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12.75" customHeight="1" x14ac:dyDescent="0.2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12.75" customHeight="1" x14ac:dyDescent="0.2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12.75" customHeight="1" x14ac:dyDescent="0.2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12.75" customHeight="1" x14ac:dyDescent="0.2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12.75" customHeight="1" x14ac:dyDescent="0.2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12.75" customHeight="1" x14ac:dyDescent="0.2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12.75" customHeight="1" x14ac:dyDescent="0.2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12.75" customHeight="1" x14ac:dyDescent="0.2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12.75" customHeight="1" x14ac:dyDescent="0.2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12.75" customHeight="1" x14ac:dyDescent="0.2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12.75" customHeight="1" x14ac:dyDescent="0.2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12.75" customHeight="1" x14ac:dyDescent="0.2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12.75" customHeight="1" x14ac:dyDescent="0.2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12.75" customHeight="1" x14ac:dyDescent="0.2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12.75" customHeight="1" x14ac:dyDescent="0.25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12.75" customHeight="1" x14ac:dyDescent="0.25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12.75" customHeight="1" x14ac:dyDescent="0.2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12.75" customHeight="1" x14ac:dyDescent="0.2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12.75" customHeight="1" x14ac:dyDescent="0.2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12.75" customHeight="1" x14ac:dyDescent="0.2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12.75" customHeight="1" x14ac:dyDescent="0.2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12.75" customHeight="1" x14ac:dyDescent="0.25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12.75" customHeight="1" x14ac:dyDescent="0.2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12.75" customHeight="1" x14ac:dyDescent="0.25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12.75" customHeight="1" x14ac:dyDescent="0.25"/>
    <row r="97" ht="12.75" customHeight="1" x14ac:dyDescent="0.25"/>
    <row r="98" ht="12.75" customHeight="1" x14ac:dyDescent="0.25"/>
    <row r="99" ht="12.75" customHeight="1" x14ac:dyDescent="0.25"/>
    <row r="100" ht="12.75" customHeight="1" x14ac:dyDescent="0.25"/>
    <row r="101" ht="12.75" customHeight="1" x14ac:dyDescent="0.25"/>
    <row r="102" ht="12.75" customHeight="1" x14ac:dyDescent="0.25"/>
    <row r="103" ht="12.75" customHeight="1" x14ac:dyDescent="0.25"/>
    <row r="104" ht="12.75" customHeight="1" x14ac:dyDescent="0.25"/>
    <row r="105" ht="12.75" customHeight="1" x14ac:dyDescent="0.25"/>
    <row r="106" ht="12.75" customHeight="1" x14ac:dyDescent="0.25"/>
    <row r="107" ht="12.75" customHeight="1" x14ac:dyDescent="0.25"/>
    <row r="108" ht="12.75" customHeight="1" x14ac:dyDescent="0.25"/>
    <row r="109" ht="12.75" customHeight="1" x14ac:dyDescent="0.25"/>
    <row r="110" ht="12.75" customHeight="1" x14ac:dyDescent="0.25"/>
    <row r="111" ht="12.75" customHeight="1" x14ac:dyDescent="0.25"/>
    <row r="112" ht="12.75" customHeight="1" x14ac:dyDescent="0.25"/>
    <row r="113" ht="12.75" customHeight="1" x14ac:dyDescent="0.25"/>
    <row r="114" ht="12.75" customHeight="1" x14ac:dyDescent="0.25"/>
    <row r="115" ht="12.75" customHeight="1" x14ac:dyDescent="0.25"/>
    <row r="116" ht="12.75" customHeight="1" x14ac:dyDescent="0.25"/>
    <row r="117" ht="12.75" customHeight="1" x14ac:dyDescent="0.25"/>
    <row r="118" ht="12.75" customHeight="1" x14ac:dyDescent="0.25"/>
  </sheetData>
  <mergeCells count="3">
    <mergeCell ref="B28:E28"/>
    <mergeCell ref="G7:I7"/>
    <mergeCell ref="G17:I17"/>
  </mergeCells>
  <conditionalFormatting sqref="B19:E19">
    <cfRule type="expression" dxfId="78" priority="1">
      <formula>IF($E$14&lt;&gt;"Year 1 Discount","TRUE","FALSE")</formula>
    </cfRule>
  </conditionalFormatting>
  <dataValidations count="2">
    <dataValidation type="list" allowBlank="1" showInputMessage="1" showErrorMessage="1" sqref="E14" xr:uid="{4601FD31-71D5-40F5-8535-7DF47245DB63}">
      <formula1>"Full, Partial, Year 1 Discount"</formula1>
    </dataValidation>
    <dataValidation type="list" allowBlank="1" showInputMessage="1" showErrorMessage="1" sqref="D10:D12" xr:uid="{5460AA80-1966-430D-BD81-6D10E1735174}">
      <formula1>"Yes, No"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F6F5A-FA8F-4070-89E5-1ADD245C7EB4}">
  <sheetPr>
    <pageSetUpPr fitToPage="1"/>
  </sheetPr>
  <dimension ref="A3:AM99"/>
  <sheetViews>
    <sheetView workbookViewId="0">
      <selection activeCell="B41" sqref="B41"/>
    </sheetView>
  </sheetViews>
  <sheetFormatPr defaultRowHeight="15" outlineLevelRow="1" x14ac:dyDescent="0.25"/>
  <cols>
    <col min="1" max="1" width="9.140625" style="895"/>
    <col min="2" max="2" width="21" style="895" customWidth="1"/>
    <col min="3" max="3" width="15.140625" style="895" bestFit="1" customWidth="1"/>
    <col min="4" max="4" width="7.7109375" style="895" customWidth="1"/>
    <col min="5" max="5" width="11.85546875" style="895" customWidth="1"/>
    <col min="6" max="6" width="11.28515625" style="895" customWidth="1"/>
    <col min="7" max="7" width="14" style="895" customWidth="1"/>
    <col min="8" max="8" width="15" style="895" customWidth="1"/>
    <col min="9" max="12" width="14.42578125" style="895" customWidth="1"/>
    <col min="13" max="17" width="14.42578125" style="900" customWidth="1"/>
    <col min="18" max="19" width="14.42578125" style="13" customWidth="1"/>
    <col min="20" max="20" width="14.42578125" style="14" customWidth="1"/>
    <col min="21" max="39" width="9.140625" style="15"/>
    <col min="40" max="16384" width="9.140625" style="11"/>
  </cols>
  <sheetData>
    <row r="3" spans="1:14" ht="12.75" customHeight="1" x14ac:dyDescent="0.25">
      <c r="B3" s="1556" t="str">
        <f>'Operating Assumptions'!D7</f>
        <v>Channahon, IL</v>
      </c>
      <c r="C3" s="1557"/>
      <c r="D3" s="896"/>
      <c r="E3" s="897"/>
      <c r="F3" s="898"/>
      <c r="G3" s="898"/>
      <c r="H3" s="898"/>
      <c r="I3" s="1560" t="s">
        <v>399</v>
      </c>
      <c r="J3" s="1560"/>
      <c r="K3" s="899"/>
    </row>
    <row r="4" spans="1:14" ht="12.75" customHeight="1" x14ac:dyDescent="0.25">
      <c r="B4" s="1558" t="s">
        <v>104</v>
      </c>
      <c r="C4" s="1559"/>
      <c r="D4" s="896"/>
      <c r="E4" s="901"/>
      <c r="F4" s="901"/>
      <c r="G4" s="901"/>
      <c r="H4" s="902"/>
      <c r="I4" s="902"/>
      <c r="J4" s="902"/>
      <c r="K4" s="903"/>
      <c r="M4" s="895"/>
    </row>
    <row r="5" spans="1:14" ht="12.75" customHeight="1" x14ac:dyDescent="0.25">
      <c r="B5" s="904">
        <f>'Operating Assumptions'!D37</f>
        <v>2026</v>
      </c>
      <c r="C5" s="905">
        <v>83200</v>
      </c>
      <c r="D5" s="906"/>
      <c r="E5" s="901"/>
      <c r="F5" s="901" t="s">
        <v>398</v>
      </c>
      <c r="G5" s="901" t="s">
        <v>83</v>
      </c>
      <c r="H5" s="901" t="s">
        <v>96</v>
      </c>
      <c r="I5" s="901" t="s">
        <v>213</v>
      </c>
      <c r="J5" s="901" t="s">
        <v>212</v>
      </c>
      <c r="K5" s="907" t="s">
        <v>112</v>
      </c>
    </row>
    <row r="6" spans="1:14" ht="12.75" customHeight="1" x14ac:dyDescent="0.25">
      <c r="B6" s="908" t="str">
        <f>'Operating Assumptions'!D37&amp;" 4P VLI"</f>
        <v>2026 4P VLI</v>
      </c>
      <c r="C6" s="909">
        <f>C5*0.5</f>
        <v>41600</v>
      </c>
      <c r="D6" s="910"/>
      <c r="E6" s="911" t="str">
        <f>'Unit Mix'!B17</f>
        <v>1 - Bedroom</v>
      </c>
      <c r="F6" s="912">
        <f>'Unit Mix'!$C17</f>
        <v>24</v>
      </c>
      <c r="G6" s="912">
        <f>'Unit Mix'!$D17</f>
        <v>620</v>
      </c>
      <c r="H6" s="913">
        <f>F6/$F$31</f>
        <v>0.1</v>
      </c>
      <c r="I6" s="914">
        <f>IF(E6="-",0,IF($C$17="AMI Tab",INDEX($F$43:$N$47,MATCH($E6,$F$43:$F$47,0),MATCH($C$18,$F$43:$N$43,0)),IF($C$17="Unit Mix",INDEX($F$43:$N$47,MATCH($E6,$F$43:$F$47,0),MATCH('Unit Mix'!$F$8,$F$43:$N$43,0)))))</f>
        <v>936</v>
      </c>
      <c r="J6" s="915">
        <f>IF($E6="-",0,$I6/$G6)</f>
        <v>1.5096774193548388</v>
      </c>
      <c r="K6" s="916">
        <f>IF($E6="Studio",$I6/$N$44,IF($E6="1 - Bedroom",$I6/$N$45,IF($E6="2 - Bedroom",$I6/$N$46,IF($E6="3 - Bedroom",$I6/$N$47,IF($E6="-",0)))))</f>
        <v>0.59961563100576554</v>
      </c>
      <c r="N6" s="895"/>
    </row>
    <row r="7" spans="1:14" ht="12.75" customHeight="1" x14ac:dyDescent="0.25">
      <c r="B7" s="917" t="s">
        <v>463</v>
      </c>
      <c r="C7" s="918">
        <v>0.03</v>
      </c>
      <c r="D7" s="919"/>
      <c r="E7" s="920" t="str">
        <f>'Unit Mix'!B18</f>
        <v>1 - Bedroom</v>
      </c>
      <c r="F7" s="921">
        <f>'Unit Mix'!$C18</f>
        <v>84</v>
      </c>
      <c r="G7" s="921">
        <f>'Unit Mix'!$D18</f>
        <v>750</v>
      </c>
      <c r="H7" s="922">
        <f t="shared" ref="H7:H30" si="0">F7/$F$31</f>
        <v>0.35</v>
      </c>
      <c r="I7" s="923">
        <f>IF(E7="-",0,IF($C$17="AMI Tab",INDEX($F$43:$N$47,MATCH($E7,$F$43:$F$47,0),MATCH($C$18,$F$43:$N$43,0)),IF($C$17="Unit Mix",INDEX($F$43:$N$47,MATCH($E7,$F$43:$F$47,0),MATCH('Unit Mix'!$F$8,$F$43:$N$43,0)))))</f>
        <v>936</v>
      </c>
      <c r="J7" s="924">
        <f t="shared" ref="J7:J30" si="1">IF($E7="-",0,$I7/$G7)</f>
        <v>1.248</v>
      </c>
      <c r="K7" s="922">
        <f t="shared" ref="K7:K21" si="2">IF($E7="Studio",$I7/$N$44,IF($E7="1 - Bedroom",$I7/$N$45,IF($E7="2 - Bedroom",$I7/$N$46,IF($E7="3 - Bedroom",$I7/$N$47,IF($E7="-",0)))))</f>
        <v>0.59961563100576554</v>
      </c>
      <c r="L7" s="925"/>
      <c r="N7" s="895"/>
    </row>
    <row r="8" spans="1:14" ht="12.75" customHeight="1" x14ac:dyDescent="0.25">
      <c r="A8" s="926"/>
      <c r="B8" s="927">
        <f>'Operating Assumptions'!D52</f>
        <v>46539</v>
      </c>
      <c r="C8" s="928">
        <f>INDEX(E74:J82,MATCH('Operating Assumptions'!$C$52,AMI!$E$74:$E$82,0),MATCH(AMI!$F$74,AMI!$E$74:$J$74,0))</f>
        <v>85696</v>
      </c>
      <c r="D8" s="929"/>
      <c r="E8" s="920" t="str">
        <f>'Unit Mix'!B19</f>
        <v>1 - Bedroom</v>
      </c>
      <c r="F8" s="921">
        <f>'Unit Mix'!$C19</f>
        <v>24</v>
      </c>
      <c r="G8" s="921">
        <f>'Unit Mix'!$D19</f>
        <v>825</v>
      </c>
      <c r="H8" s="922">
        <f t="shared" si="0"/>
        <v>0.1</v>
      </c>
      <c r="I8" s="923">
        <f>IF(E8="-",0,IF($C$17="AMI Tab",INDEX($F$43:$N$47,MATCH($E8,$F$43:$F$47,0),MATCH($C$18,$F$43:$N$43,0)),IF($C$17="Unit Mix",INDEX($F$43:$N$47,MATCH($E8,$F$43:$F$47,0),MATCH('Unit Mix'!$F$8,$F$43:$N$43,0)))))</f>
        <v>936</v>
      </c>
      <c r="J8" s="924">
        <f t="shared" si="1"/>
        <v>1.1345454545454545</v>
      </c>
      <c r="K8" s="922">
        <f t="shared" si="2"/>
        <v>0.59961563100576554</v>
      </c>
      <c r="L8" s="925"/>
      <c r="N8" s="895"/>
    </row>
    <row r="9" spans="1:14" ht="12.75" customHeight="1" x14ac:dyDescent="0.25">
      <c r="B9" s="930" t="str">
        <f>'Operating Assumptions'!$C$52&amp;" Est 4P VLI"</f>
        <v>2027 Est 4P VLI</v>
      </c>
      <c r="C9" s="931">
        <f>C8/2</f>
        <v>42848</v>
      </c>
      <c r="E9" s="920" t="str">
        <f>'Unit Mix'!B20</f>
        <v>2 - Bedroom</v>
      </c>
      <c r="F9" s="921">
        <f>'Unit Mix'!$C20</f>
        <v>84</v>
      </c>
      <c r="G9" s="921">
        <f>'Unit Mix'!$D20</f>
        <v>1050</v>
      </c>
      <c r="H9" s="922">
        <f t="shared" si="0"/>
        <v>0.35</v>
      </c>
      <c r="I9" s="923">
        <f>IF(E9="-",0,IF($C$17="AMI Tab",INDEX($F$43:$N$47,MATCH($E9,$F$43:$F$47,0),MATCH($C$18,$F$43:$N$43,0)),IF($C$17="Unit Mix",INDEX($F$43:$N$47,MATCH($E9,$F$43:$F$47,0),MATCH('Unit Mix'!$F$8,$F$43:$N$43,0)))))</f>
        <v>1123</v>
      </c>
      <c r="J9" s="924">
        <f>IF($E9="-",0,$I9/$G9)</f>
        <v>1.0695238095238095</v>
      </c>
      <c r="K9" s="922">
        <f t="shared" si="2"/>
        <v>0.59989316239316237</v>
      </c>
      <c r="L9" s="925"/>
      <c r="M9" s="932"/>
    </row>
    <row r="10" spans="1:14" ht="12.75" customHeight="1" x14ac:dyDescent="0.25">
      <c r="B10" s="997" t="s">
        <v>474</v>
      </c>
      <c r="C10" s="996" t="s">
        <v>475</v>
      </c>
      <c r="E10" s="920" t="str">
        <f>'Unit Mix'!B21</f>
        <v>3 - Bedroom</v>
      </c>
      <c r="F10" s="921">
        <f>'Unit Mix'!$C21</f>
        <v>24</v>
      </c>
      <c r="G10" s="921">
        <f>'Unit Mix'!$D21</f>
        <v>1343</v>
      </c>
      <c r="H10" s="922">
        <f t="shared" si="0"/>
        <v>0.1</v>
      </c>
      <c r="I10" s="923">
        <f>IF(E10="-",0,IF($C$17="AMI Tab",INDEX($F$43:$N$47,MATCH($E10,$F$43:$F$47,0),MATCH($C$18,$F$43:$N$43,0)),IF($C$17="Unit Mix",INDEX($F$43:$N$47,MATCH($E10,$F$43:$F$47,0),MATCH('Unit Mix'!$F$8,$F$43:$N$43,0)))))</f>
        <v>1185</v>
      </c>
      <c r="J10" s="924">
        <f t="shared" si="1"/>
        <v>0.88235294117647056</v>
      </c>
      <c r="K10" s="922">
        <f t="shared" si="2"/>
        <v>0.5996963562753036</v>
      </c>
      <c r="L10" s="925"/>
    </row>
    <row r="11" spans="1:14" ht="12.75" customHeight="1" x14ac:dyDescent="0.25">
      <c r="E11" s="920" t="str">
        <f>'Unit Mix'!B22</f>
        <v>-</v>
      </c>
      <c r="F11" s="921">
        <f>'Unit Mix'!$C22</f>
        <v>0</v>
      </c>
      <c r="G11" s="921">
        <f>'Unit Mix'!$D22</f>
        <v>0</v>
      </c>
      <c r="H11" s="922">
        <f t="shared" si="0"/>
        <v>0</v>
      </c>
      <c r="I11" s="923">
        <f>IF(E11="-",0,IF($C$17="AMI Tab",INDEX($F$43:$N$47,MATCH($E11,$F$43:$F$47,0),MATCH($C$18,$F$43:$N$43,0)),IF($C$17="Unit Mix",INDEX($F$43:$N$47,MATCH($E11,$F$43:$F$47,0),MATCH('Unit Mix'!$F$8,$F$43:$N$43,0)))))</f>
        <v>0</v>
      </c>
      <c r="J11" s="924">
        <f>IF($E11="-",0,$I11/$G11)</f>
        <v>0</v>
      </c>
      <c r="K11" s="922">
        <f>IF($E11="Studio",$I11/$N$44,IF($E11="1 - Bedroom",$I11/$N$45,IF($E11="2 - Bedroom",$I11/$N$46,IF($E11="3 - Bedroom",$I11/$N$47,IF($E11="-",0)))))</f>
        <v>0</v>
      </c>
      <c r="L11" s="925"/>
    </row>
    <row r="12" spans="1:14" ht="12.75" customHeight="1" x14ac:dyDescent="0.25">
      <c r="B12" s="1556" t="s">
        <v>116</v>
      </c>
      <c r="C12" s="1557"/>
      <c r="E12" s="920" t="str">
        <f>'Unit Mix'!B23</f>
        <v>-</v>
      </c>
      <c r="F12" s="921">
        <f>'Unit Mix'!$C23</f>
        <v>0</v>
      </c>
      <c r="G12" s="921">
        <f>'Unit Mix'!$D23</f>
        <v>0</v>
      </c>
      <c r="H12" s="922">
        <f t="shared" si="0"/>
        <v>0</v>
      </c>
      <c r="I12" s="923">
        <f>IF(E12="-",0,IF($C$17="AMI Tab",INDEX($F$43:$N$47,MATCH($E12,$F$43:$F$47,0),MATCH($C$18,$F$43:$N$43,0)),IF($C$17="Unit Mix",INDEX($F$43:$N$47,MATCH($E12,$F$43:$F$47,0),MATCH('Unit Mix'!$F$8,$F$43:$N$43,0)))))</f>
        <v>0</v>
      </c>
      <c r="J12" s="924">
        <f t="shared" si="1"/>
        <v>0</v>
      </c>
      <c r="K12" s="922">
        <f t="shared" si="2"/>
        <v>0</v>
      </c>
      <c r="L12" s="925"/>
    </row>
    <row r="13" spans="1:14" ht="12.75" customHeight="1" x14ac:dyDescent="0.25">
      <c r="B13" s="933" t="s">
        <v>468</v>
      </c>
      <c r="C13" s="934" t="s">
        <v>469</v>
      </c>
      <c r="E13" s="920" t="str">
        <f>'Unit Mix'!B24</f>
        <v>-</v>
      </c>
      <c r="F13" s="921">
        <f>'Unit Mix'!$C24</f>
        <v>0</v>
      </c>
      <c r="G13" s="921">
        <f>'Unit Mix'!$D24</f>
        <v>0</v>
      </c>
      <c r="H13" s="922">
        <f t="shared" si="0"/>
        <v>0</v>
      </c>
      <c r="I13" s="923">
        <f>IF(E13="-",0,IF($C$17="AMI Tab",INDEX($F$43:$N$47,MATCH($E13,$F$43:$F$47,0),MATCH($C$18,$F$43:$N$43,0)),IF($C$17="Unit Mix",INDEX($F$43:$N$47,MATCH($E13,$F$43:$F$47,0),MATCH('Unit Mix'!$F$8,$F$43:$N$43,0)))))</f>
        <v>0</v>
      </c>
      <c r="J13" s="924">
        <f>IF($E13="-",0,$I13/$G13)</f>
        <v>0</v>
      </c>
      <c r="K13" s="922">
        <f t="shared" si="2"/>
        <v>0</v>
      </c>
      <c r="L13" s="925"/>
    </row>
    <row r="14" spans="1:14" ht="12.75" customHeight="1" x14ac:dyDescent="0.25">
      <c r="B14" s="925" t="s">
        <v>113</v>
      </c>
      <c r="C14" s="935">
        <f>ROUNDUP($F$31*0.2,0)</f>
        <v>48</v>
      </c>
      <c r="E14" s="920" t="str">
        <f>'Unit Mix'!B25</f>
        <v>-</v>
      </c>
      <c r="F14" s="921">
        <f>'Unit Mix'!$C25</f>
        <v>0</v>
      </c>
      <c r="G14" s="921">
        <f>'Unit Mix'!$D25</f>
        <v>0</v>
      </c>
      <c r="H14" s="922">
        <f t="shared" si="0"/>
        <v>0</v>
      </c>
      <c r="I14" s="923">
        <f>IF(E14="-",0,IF($C$17="AMI Tab",INDEX($F$43:$N$47,MATCH($E14,$F$43:$F$47,0),MATCH($C$18,$F$43:$N$43,0)),IF($C$17="Unit Mix",INDEX($F$43:$N$47,MATCH($E14,$F$43:$F$47,0),MATCH('Unit Mix'!$F$8,$F$43:$N$43,0)))))</f>
        <v>0</v>
      </c>
      <c r="J14" s="924">
        <f t="shared" si="1"/>
        <v>0</v>
      </c>
      <c r="K14" s="922">
        <f t="shared" si="2"/>
        <v>0</v>
      </c>
      <c r="L14" s="925"/>
    </row>
    <row r="15" spans="1:14" ht="12.75" customHeight="1" x14ac:dyDescent="0.25">
      <c r="B15" s="936" t="s">
        <v>470</v>
      </c>
      <c r="C15" s="937">
        <f>ROUNDUP($F$31*40%,0)</f>
        <v>96</v>
      </c>
      <c r="E15" s="920" t="str">
        <f>'Unit Mix'!B26</f>
        <v>-</v>
      </c>
      <c r="F15" s="921">
        <f>'Unit Mix'!$C26</f>
        <v>0</v>
      </c>
      <c r="G15" s="921">
        <f>'Unit Mix'!$D26</f>
        <v>0</v>
      </c>
      <c r="H15" s="922">
        <f t="shared" si="0"/>
        <v>0</v>
      </c>
      <c r="I15" s="923">
        <f>IF(E15="-",0,IF($C$17="AMI Tab",INDEX($F$43:$N$47,MATCH($E15,$F$43:$F$47,0),MATCH($C$18,$F$43:$N$43,0)),IF($C$17="Unit Mix",INDEX($F$43:$N$47,MATCH($E15,$F$43:$F$47,0),MATCH('Unit Mix'!$F$8,$F$43:$N$43,0)))))</f>
        <v>0</v>
      </c>
      <c r="J15" s="924">
        <f t="shared" si="1"/>
        <v>0</v>
      </c>
      <c r="K15" s="922">
        <f t="shared" si="2"/>
        <v>0</v>
      </c>
      <c r="L15" s="925"/>
    </row>
    <row r="16" spans="1:14" ht="12.75" customHeight="1" x14ac:dyDescent="0.25">
      <c r="B16" s="1556" t="s">
        <v>207</v>
      </c>
      <c r="C16" s="1557"/>
      <c r="E16" s="920" t="str">
        <f>'Unit Mix'!B27</f>
        <v>-</v>
      </c>
      <c r="F16" s="921">
        <f>'Unit Mix'!$C27</f>
        <v>0</v>
      </c>
      <c r="G16" s="921">
        <f>'Unit Mix'!$D27</f>
        <v>0</v>
      </c>
      <c r="H16" s="922">
        <f t="shared" si="0"/>
        <v>0</v>
      </c>
      <c r="I16" s="923">
        <f>IF(E16="-",0,IF($C$17="AMI Tab",INDEX($F$43:$N$47,MATCH($E16,$F$43:$F$47,0),MATCH($C$18,$F$43:$N$43,0)),IF($C$17="Unit Mix",INDEX($F$43:$N$47,MATCH($E16,$F$43:$F$47,0),MATCH('Unit Mix'!$F$8,$F$43:$N$43,0)))))</f>
        <v>0</v>
      </c>
      <c r="J16" s="924">
        <f t="shared" si="1"/>
        <v>0</v>
      </c>
      <c r="K16" s="922">
        <f t="shared" si="2"/>
        <v>0</v>
      </c>
      <c r="L16" s="925"/>
    </row>
    <row r="17" spans="1:39" ht="12.75" customHeight="1" x14ac:dyDescent="0.25">
      <c r="B17" s="925" t="s">
        <v>216</v>
      </c>
      <c r="C17" s="938" t="s">
        <v>218</v>
      </c>
      <c r="E17" s="920" t="str">
        <f>'Unit Mix'!B28</f>
        <v>-</v>
      </c>
      <c r="F17" s="921">
        <f>'Unit Mix'!$C28</f>
        <v>0</v>
      </c>
      <c r="G17" s="921">
        <f>'Unit Mix'!$D28</f>
        <v>0</v>
      </c>
      <c r="H17" s="922">
        <f t="shared" si="0"/>
        <v>0</v>
      </c>
      <c r="I17" s="923">
        <f>IF(E17="-",0,IF($C$17="AMI Tab",INDEX($F$43:$N$47,MATCH($E17,$F$43:$F$47,0),MATCH($C$18,$F$43:$N$43,0)),IF($C$17="Unit Mix",INDEX($F$43:$N$47,MATCH($E17,$F$43:$F$47,0),MATCH('Unit Mix'!$F$8,$F$43:$N$43,0)))))</f>
        <v>0</v>
      </c>
      <c r="J17" s="924">
        <f t="shared" si="1"/>
        <v>0</v>
      </c>
      <c r="K17" s="922">
        <f t="shared" si="2"/>
        <v>0</v>
      </c>
      <c r="L17" s="925"/>
    </row>
    <row r="18" spans="1:39" ht="12.75" customHeight="1" x14ac:dyDescent="0.25">
      <c r="B18" s="939" t="s">
        <v>112</v>
      </c>
      <c r="C18" s="934" t="s">
        <v>101</v>
      </c>
      <c r="E18" s="920" t="str">
        <f>'Unit Mix'!B29</f>
        <v>-</v>
      </c>
      <c r="F18" s="921">
        <f>'Unit Mix'!$C29</f>
        <v>0</v>
      </c>
      <c r="G18" s="921">
        <f>'Unit Mix'!$D29</f>
        <v>0</v>
      </c>
      <c r="H18" s="922">
        <f t="shared" si="0"/>
        <v>0</v>
      </c>
      <c r="I18" s="923">
        <f>IF(E18="-",0,IF($C$17="AMI Tab",INDEX($F$43:$N$47,MATCH($E18,$F$43:$F$47,0),MATCH($C$18,$F$43:$N$43,0)),IF($C$17="Unit Mix",INDEX($F$43:$N$47,MATCH($E18,$F$43:$F$47,0),MATCH('Unit Mix'!$F$8,$F$43:$N$43,0)))))</f>
        <v>0</v>
      </c>
      <c r="J18" s="924">
        <f t="shared" si="1"/>
        <v>0</v>
      </c>
      <c r="K18" s="922">
        <f t="shared" si="2"/>
        <v>0</v>
      </c>
      <c r="L18" s="925"/>
    </row>
    <row r="19" spans="1:39" s="12" customFormat="1" ht="12.75" customHeight="1" x14ac:dyDescent="0.25">
      <c r="A19" s="895"/>
      <c r="B19" s="1556" t="s">
        <v>401</v>
      </c>
      <c r="C19" s="1557"/>
      <c r="D19" s="895"/>
      <c r="E19" s="920" t="str">
        <f>'Unit Mix'!B30</f>
        <v>-</v>
      </c>
      <c r="F19" s="921">
        <f>'Unit Mix'!$C30</f>
        <v>0</v>
      </c>
      <c r="G19" s="921">
        <f>'Unit Mix'!$D30</f>
        <v>0</v>
      </c>
      <c r="H19" s="922">
        <f t="shared" si="0"/>
        <v>0</v>
      </c>
      <c r="I19" s="923">
        <f>IF(E19="-",0,IF($C$17="AMI Tab",INDEX($F$43:$N$47,MATCH($E19,$F$43:$F$47,0),MATCH($C$18,$F$43:$N$43,0)),IF($C$17="Unit Mix",INDEX($F$43:$N$47,MATCH($E19,$F$43:$F$47,0),MATCH('Unit Mix'!$F$8,$F$43:$N$43,0)))))</f>
        <v>0</v>
      </c>
      <c r="J19" s="924">
        <f t="shared" si="1"/>
        <v>0</v>
      </c>
      <c r="K19" s="922">
        <f t="shared" si="2"/>
        <v>0</v>
      </c>
      <c r="L19" s="925"/>
      <c r="M19" s="900"/>
      <c r="N19" s="900"/>
      <c r="O19" s="900"/>
      <c r="P19" s="900"/>
      <c r="Q19" s="900"/>
      <c r="R19" s="13"/>
      <c r="S19" s="13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</row>
    <row r="20" spans="1:39" s="12" customFormat="1" ht="12.75" customHeight="1" x14ac:dyDescent="0.25">
      <c r="A20" s="895"/>
      <c r="B20" s="940" t="s">
        <v>214</v>
      </c>
      <c r="C20" s="941">
        <v>0.3</v>
      </c>
      <c r="D20" s="895"/>
      <c r="E20" s="920" t="str">
        <f>'Unit Mix'!B31</f>
        <v>-</v>
      </c>
      <c r="F20" s="921">
        <f>'Unit Mix'!$C31</f>
        <v>0</v>
      </c>
      <c r="G20" s="921">
        <f>'Unit Mix'!$D31</f>
        <v>0</v>
      </c>
      <c r="H20" s="922">
        <f t="shared" si="0"/>
        <v>0</v>
      </c>
      <c r="I20" s="923">
        <f>IF(E20="-",0,IF($C$17="AMI Tab",INDEX($F$43:$N$47,MATCH($E20,$F$43:$F$47,0),MATCH($C$18,$F$43:$N$43,0)),IF($C$17="Unit Mix",INDEX($F$43:$N$47,MATCH($E20,$F$43:$F$47,0),MATCH('Unit Mix'!$F$8,$F$43:$N$43,0)))))</f>
        <v>0</v>
      </c>
      <c r="J20" s="924">
        <f t="shared" si="1"/>
        <v>0</v>
      </c>
      <c r="K20" s="922">
        <f t="shared" si="2"/>
        <v>0</v>
      </c>
      <c r="L20" s="925"/>
      <c r="M20" s="900"/>
      <c r="N20" s="900"/>
      <c r="O20" s="900"/>
      <c r="P20" s="900"/>
      <c r="Q20" s="900"/>
      <c r="R20" s="13"/>
      <c r="S20" s="13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</row>
    <row r="21" spans="1:39" s="12" customFormat="1" ht="12.75" customHeight="1" thickBot="1" x14ac:dyDescent="0.3">
      <c r="A21" s="895"/>
      <c r="B21" s="936"/>
      <c r="C21" s="942">
        <v>12</v>
      </c>
      <c r="D21" s="895"/>
      <c r="E21" s="920" t="str">
        <f>'Unit Mix'!B32</f>
        <v>-</v>
      </c>
      <c r="F21" s="921">
        <f>'Unit Mix'!$C32</f>
        <v>0</v>
      </c>
      <c r="G21" s="921">
        <f>'Unit Mix'!$D32</f>
        <v>0</v>
      </c>
      <c r="H21" s="922">
        <f t="shared" si="0"/>
        <v>0</v>
      </c>
      <c r="I21" s="923">
        <f>IF(E21="-",0,IF($C$17="AMI Tab",INDEX($F$43:$N$47,MATCH($E21,$F$43:$F$47,0),MATCH($C$18,$F$43:$N$43,0)),IF($C$17="Unit Mix",INDEX($F$43:$N$47,MATCH($E21,$F$43:$F$47,0),MATCH('Unit Mix'!$F$8,$F$43:$N$43,0)))))</f>
        <v>0</v>
      </c>
      <c r="J21" s="924">
        <f t="shared" si="1"/>
        <v>0</v>
      </c>
      <c r="K21" s="922">
        <f t="shared" si="2"/>
        <v>0</v>
      </c>
      <c r="L21" s="925"/>
      <c r="M21" s="900"/>
      <c r="N21" s="900"/>
      <c r="O21" s="900"/>
      <c r="P21" s="900"/>
      <c r="R21" s="13"/>
      <c r="S21" s="13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</row>
    <row r="22" spans="1:39" s="12" customFormat="1" ht="12.75" hidden="1" customHeight="1" outlineLevel="1" x14ac:dyDescent="0.25">
      <c r="A22" s="895"/>
      <c r="B22" s="895"/>
      <c r="C22" s="895"/>
      <c r="D22" s="895"/>
      <c r="E22" s="920" t="str">
        <f>'Unit Mix'!B33</f>
        <v>-</v>
      </c>
      <c r="F22" s="921">
        <f>'Unit Mix'!$C33</f>
        <v>0</v>
      </c>
      <c r="G22" s="921">
        <f>'Unit Mix'!$D33</f>
        <v>0</v>
      </c>
      <c r="H22" s="922">
        <f t="shared" si="0"/>
        <v>0</v>
      </c>
      <c r="I22" s="923">
        <f>IF(E22="-",0,IF($C$17="AMI Tab",INDEX($F$43:$N$46,MATCH($E22,$F$43:$F$46,0),MATCH($C$18,$F$43:$N$43,0)),IF($C$17="Unit Mix",INDEX($F$43:$N$46,MATCH($E22,$F$43:$F$46,0),MATCH('Unit Mix'!$F$8,$F$43:$N$43,0)))))</f>
        <v>0</v>
      </c>
      <c r="J22" s="924">
        <f t="shared" si="1"/>
        <v>0</v>
      </c>
      <c r="K22" s="943">
        <f t="shared" ref="K22:K30" si="3">IF($E22="Studio",$I22/$N$44,IF($E22="1 - Bedroom",$I22/$N$45,IF($E22="2 - Bedroom",$I22/$N$46,IF($E22="-",0))))</f>
        <v>0</v>
      </c>
      <c r="L22" s="895"/>
      <c r="M22" s="900"/>
      <c r="N22" s="900"/>
      <c r="O22" s="900"/>
      <c r="P22" s="900"/>
      <c r="Q22" s="900"/>
      <c r="R22" s="13"/>
      <c r="S22" s="13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</row>
    <row r="23" spans="1:39" s="12" customFormat="1" ht="12.75" hidden="1" customHeight="1" outlineLevel="1" x14ac:dyDescent="0.25">
      <c r="A23" s="895"/>
      <c r="B23" s="895"/>
      <c r="C23" s="895"/>
      <c r="D23" s="895"/>
      <c r="E23" s="920" t="str">
        <f>'Unit Mix'!B34</f>
        <v>-</v>
      </c>
      <c r="F23" s="921">
        <f>'Unit Mix'!$C34</f>
        <v>0</v>
      </c>
      <c r="G23" s="921">
        <f>'Unit Mix'!$D34</f>
        <v>0</v>
      </c>
      <c r="H23" s="922">
        <f t="shared" si="0"/>
        <v>0</v>
      </c>
      <c r="I23" s="923">
        <f>IF(E23="-",0,IF($C$17="AMI Tab",INDEX($F$43:$N$46,MATCH($E23,$F$43:$F$46,0),MATCH($C$18,$F$43:$N$43,0)),IF($C$17="Unit Mix",INDEX($F$43:$N$46,MATCH($E23,$F$43:$F$46,0),MATCH('Unit Mix'!$F$8,$F$43:$N$43,0)))))</f>
        <v>0</v>
      </c>
      <c r="J23" s="924">
        <f t="shared" si="1"/>
        <v>0</v>
      </c>
      <c r="K23" s="943">
        <f t="shared" si="3"/>
        <v>0</v>
      </c>
      <c r="L23" s="895"/>
      <c r="M23" s="900"/>
      <c r="N23" s="900"/>
      <c r="O23" s="900"/>
      <c r="P23" s="900"/>
      <c r="Q23" s="900"/>
      <c r="R23" s="13"/>
      <c r="S23" s="13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</row>
    <row r="24" spans="1:39" s="12" customFormat="1" ht="12.75" hidden="1" customHeight="1" outlineLevel="1" x14ac:dyDescent="0.25">
      <c r="A24" s="895"/>
      <c r="B24" s="895"/>
      <c r="C24" s="895"/>
      <c r="D24" s="895"/>
      <c r="E24" s="920" t="str">
        <f>'Unit Mix'!B35</f>
        <v>-</v>
      </c>
      <c r="F24" s="921">
        <f>'Unit Mix'!$C35</f>
        <v>0</v>
      </c>
      <c r="G24" s="921">
        <f>'Unit Mix'!$D35</f>
        <v>0</v>
      </c>
      <c r="H24" s="922">
        <f t="shared" si="0"/>
        <v>0</v>
      </c>
      <c r="I24" s="923">
        <f>IF(E24="-",0,IF($C$17="AMI Tab",INDEX($F$43:$N$46,MATCH($E24,$F$43:$F$46,0),MATCH($C$18,$F$43:$N$43,0)),IF($C$17="Unit Mix",INDEX($F$43:$N$46,MATCH($E24,$F$43:$F$46,0),MATCH('Unit Mix'!$F$8,$F$43:$N$43,0)))))</f>
        <v>0</v>
      </c>
      <c r="J24" s="924">
        <f t="shared" si="1"/>
        <v>0</v>
      </c>
      <c r="K24" s="943">
        <f t="shared" si="3"/>
        <v>0</v>
      </c>
      <c r="L24" s="895"/>
      <c r="M24" s="900"/>
      <c r="N24" s="900"/>
      <c r="O24" s="900"/>
      <c r="P24" s="900"/>
      <c r="Q24" s="900"/>
      <c r="R24" s="13"/>
      <c r="S24" s="13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</row>
    <row r="25" spans="1:39" s="12" customFormat="1" ht="12.75" hidden="1" customHeight="1" outlineLevel="1" x14ac:dyDescent="0.25">
      <c r="A25" s="895"/>
      <c r="B25" s="895"/>
      <c r="C25" s="895"/>
      <c r="D25" s="895"/>
      <c r="E25" s="920" t="str">
        <f>'Unit Mix'!B36</f>
        <v>-</v>
      </c>
      <c r="F25" s="921">
        <f>'Unit Mix'!$C36</f>
        <v>0</v>
      </c>
      <c r="G25" s="921">
        <f>'Unit Mix'!$D36</f>
        <v>0</v>
      </c>
      <c r="H25" s="922">
        <f t="shared" si="0"/>
        <v>0</v>
      </c>
      <c r="I25" s="923">
        <f>IF(E25="-",0,IF($C$17="AMI Tab",INDEX($F$43:$N$46,MATCH($E25,$F$43:$F$46,0),MATCH($C$18,$F$43:$N$43,0)),IF($C$17="Unit Mix",INDEX($F$43:$N$46,MATCH($E25,$F$43:$F$46,0),MATCH('Unit Mix'!$F$8,$F$43:$N$43,0)))))</f>
        <v>0</v>
      </c>
      <c r="J25" s="924">
        <f t="shared" si="1"/>
        <v>0</v>
      </c>
      <c r="K25" s="943">
        <f t="shared" si="3"/>
        <v>0</v>
      </c>
      <c r="L25" s="895"/>
      <c r="M25" s="900"/>
      <c r="N25" s="900"/>
      <c r="O25" s="900"/>
      <c r="P25" s="900"/>
      <c r="Q25" s="900"/>
      <c r="R25" s="13"/>
      <c r="S25" s="13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</row>
    <row r="26" spans="1:39" s="12" customFormat="1" ht="12.75" hidden="1" customHeight="1" outlineLevel="1" x14ac:dyDescent="0.25">
      <c r="A26" s="895"/>
      <c r="B26" s="895"/>
      <c r="C26" s="895"/>
      <c r="D26" s="895"/>
      <c r="E26" s="920" t="str">
        <f>'Unit Mix'!B37</f>
        <v>-</v>
      </c>
      <c r="F26" s="921">
        <f>'Unit Mix'!$C37</f>
        <v>0</v>
      </c>
      <c r="G26" s="921">
        <f>'Unit Mix'!$D37</f>
        <v>0</v>
      </c>
      <c r="H26" s="922">
        <f t="shared" si="0"/>
        <v>0</v>
      </c>
      <c r="I26" s="923">
        <f>IF(E26="-",0,IF($C$17="AMI Tab",INDEX($F$43:$N$46,MATCH($E26,$F$43:$F$46,0),MATCH($C$18,$F$43:$N$43,0)),IF($C$17="Unit Mix",INDEX($F$43:$N$46,MATCH($E26,$F$43:$F$46,0),MATCH('Unit Mix'!$F$8,$F$43:$N$43,0)))))</f>
        <v>0</v>
      </c>
      <c r="J26" s="924">
        <f t="shared" si="1"/>
        <v>0</v>
      </c>
      <c r="K26" s="943">
        <f t="shared" si="3"/>
        <v>0</v>
      </c>
      <c r="L26" s="895"/>
      <c r="M26" s="900"/>
      <c r="N26" s="900"/>
      <c r="O26" s="900"/>
      <c r="P26" s="900"/>
      <c r="Q26" s="900"/>
      <c r="R26" s="13"/>
      <c r="S26" s="13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</row>
    <row r="27" spans="1:39" s="12" customFormat="1" ht="12.75" hidden="1" customHeight="1" outlineLevel="1" x14ac:dyDescent="0.25">
      <c r="A27" s="895"/>
      <c r="B27" s="895"/>
      <c r="C27" s="895"/>
      <c r="D27" s="895"/>
      <c r="E27" s="920" t="str">
        <f>'Unit Mix'!B38</f>
        <v>-</v>
      </c>
      <c r="F27" s="921">
        <f>'Unit Mix'!$C38</f>
        <v>0</v>
      </c>
      <c r="G27" s="921">
        <f>'Unit Mix'!$D38</f>
        <v>0</v>
      </c>
      <c r="H27" s="922">
        <f t="shared" si="0"/>
        <v>0</v>
      </c>
      <c r="I27" s="923">
        <f>IF(E27="-",0,IF($C$17="AMI Tab",INDEX($F$43:$N$46,MATCH($E27,$F$43:$F$46,0),MATCH($C$18,$F$43:$N$43,0)),IF($C$17="Unit Mix",INDEX($F$43:$N$46,MATCH($E27,$F$43:$F$46,0),MATCH('Unit Mix'!$F$8,$F$43:$N$43,0)))))</f>
        <v>0</v>
      </c>
      <c r="J27" s="924">
        <f t="shared" si="1"/>
        <v>0</v>
      </c>
      <c r="K27" s="943">
        <f t="shared" si="3"/>
        <v>0</v>
      </c>
      <c r="L27" s="895"/>
      <c r="M27" s="900"/>
      <c r="N27" s="900"/>
      <c r="O27" s="900"/>
      <c r="P27" s="900"/>
      <c r="Q27" s="900"/>
      <c r="R27" s="13"/>
      <c r="S27" s="13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</row>
    <row r="28" spans="1:39" s="12" customFormat="1" ht="12.75" hidden="1" customHeight="1" outlineLevel="1" x14ac:dyDescent="0.25">
      <c r="A28" s="895"/>
      <c r="B28" s="895"/>
      <c r="C28" s="895"/>
      <c r="D28" s="895"/>
      <c r="E28" s="920" t="str">
        <f>'Unit Mix'!B39</f>
        <v>-</v>
      </c>
      <c r="F28" s="921">
        <f>'Unit Mix'!$C39</f>
        <v>0</v>
      </c>
      <c r="G28" s="921">
        <f>'Unit Mix'!$D39</f>
        <v>0</v>
      </c>
      <c r="H28" s="922">
        <f t="shared" si="0"/>
        <v>0</v>
      </c>
      <c r="I28" s="923">
        <f>IF(E28="-",0,IF($C$17="AMI Tab",INDEX($F$43:$N$46,MATCH($E28,$F$43:$F$46,0),MATCH($C$18,$F$43:$N$43,0)),IF($C$17="Unit Mix",INDEX($F$43:$N$46,MATCH($E28,$F$43:$F$46,0),MATCH('Unit Mix'!$F$8,$F$43:$N$43,0)))))</f>
        <v>0</v>
      </c>
      <c r="J28" s="924">
        <f t="shared" si="1"/>
        <v>0</v>
      </c>
      <c r="K28" s="943">
        <f t="shared" si="3"/>
        <v>0</v>
      </c>
      <c r="L28" s="895"/>
      <c r="M28" s="900"/>
      <c r="N28" s="900"/>
      <c r="O28" s="900"/>
      <c r="P28" s="900"/>
      <c r="Q28" s="900"/>
      <c r="R28" s="13"/>
      <c r="S28" s="13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</row>
    <row r="29" spans="1:39" s="12" customFormat="1" ht="12.75" hidden="1" customHeight="1" outlineLevel="1" x14ac:dyDescent="0.25">
      <c r="A29" s="895"/>
      <c r="B29" s="895"/>
      <c r="C29" s="895"/>
      <c r="D29" s="895"/>
      <c r="E29" s="920" t="str">
        <f>'Unit Mix'!B40</f>
        <v>-</v>
      </c>
      <c r="F29" s="921">
        <f>'Unit Mix'!$C40</f>
        <v>0</v>
      </c>
      <c r="G29" s="921">
        <f>'Unit Mix'!$D40</f>
        <v>0</v>
      </c>
      <c r="H29" s="922">
        <f t="shared" si="0"/>
        <v>0</v>
      </c>
      <c r="I29" s="923">
        <f>IF(E29="-",0,IF($C$17="AMI Tab",INDEX($F$43:$N$46,MATCH($E29,$F$43:$F$46,0),MATCH($C$18,$F$43:$N$43,0)),IF($C$17="Unit Mix",INDEX($F$43:$N$46,MATCH($E29,$F$43:$F$46,0),MATCH('Unit Mix'!$F$8,$F$43:$N$43,0)))))</f>
        <v>0</v>
      </c>
      <c r="J29" s="924">
        <f t="shared" si="1"/>
        <v>0</v>
      </c>
      <c r="K29" s="943">
        <f t="shared" si="3"/>
        <v>0</v>
      </c>
      <c r="L29" s="895"/>
      <c r="M29" s="900"/>
      <c r="N29" s="900"/>
      <c r="O29" s="900"/>
      <c r="P29" s="900"/>
      <c r="Q29" s="900"/>
      <c r="R29" s="13"/>
      <c r="S29" s="13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</row>
    <row r="30" spans="1:39" s="12" customFormat="1" ht="12.75" hidden="1" customHeight="1" outlineLevel="1" thickBot="1" x14ac:dyDescent="0.3">
      <c r="A30" s="895"/>
      <c r="B30" s="895"/>
      <c r="C30" s="895"/>
      <c r="D30" s="895"/>
      <c r="E30" s="944" t="str">
        <f>'Unit Mix'!B41</f>
        <v>-</v>
      </c>
      <c r="F30" s="945">
        <f>'Unit Mix'!$C41</f>
        <v>0</v>
      </c>
      <c r="G30" s="945">
        <f>'Unit Mix'!$D41</f>
        <v>0</v>
      </c>
      <c r="H30" s="946">
        <f t="shared" si="0"/>
        <v>0</v>
      </c>
      <c r="I30" s="947">
        <f>IF(E30="-",0,IF($C$17="AMI Tab",INDEX($F$43:$N$46,MATCH($E30,$F$43:$F$46,0),MATCH($C$18,$F$43:$N$43,0)),IF($C$17="Unit Mix",INDEX($F$43:$N$46,MATCH($E30,$F$43:$F$46,0),MATCH('Unit Mix'!$F$8,$F$43:$N$43,0)))))</f>
        <v>0</v>
      </c>
      <c r="J30" s="948">
        <f t="shared" si="1"/>
        <v>0</v>
      </c>
      <c r="K30" s="949">
        <f t="shared" si="3"/>
        <v>0</v>
      </c>
      <c r="L30" s="895"/>
      <c r="M30" s="900"/>
      <c r="N30" s="900"/>
      <c r="O30" s="900"/>
      <c r="P30" s="900"/>
      <c r="Q30" s="900"/>
      <c r="R30" s="13"/>
      <c r="S30" s="13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</row>
    <row r="31" spans="1:39" s="12" customFormat="1" ht="12.75" customHeight="1" collapsed="1" thickTop="1" x14ac:dyDescent="0.25">
      <c r="A31" s="895"/>
      <c r="B31" s="895"/>
      <c r="C31" s="895"/>
      <c r="D31" s="895"/>
      <c r="E31" s="950" t="s">
        <v>215</v>
      </c>
      <c r="F31" s="951">
        <f>SUM(F6:F23)</f>
        <v>240</v>
      </c>
      <c r="G31" s="952">
        <f>AVERAGEIF(G6:G30,"&gt;"&amp;0)</f>
        <v>917.6</v>
      </c>
      <c r="H31" s="953">
        <f>SUMIF(H6:H30,"&gt;"&amp;0)</f>
        <v>0.99999999999999989</v>
      </c>
      <c r="I31" s="1297">
        <f>AVERAGEIF(I6:I30,"&gt;"&amp;0)</f>
        <v>1023.2</v>
      </c>
      <c r="J31" s="954">
        <f>AVERAGEIF(J6:J30,"&gt;"&amp;0)</f>
        <v>1.1688199249201148</v>
      </c>
      <c r="K31" s="955"/>
      <c r="L31" s="895"/>
      <c r="M31" s="900"/>
      <c r="N31" s="900"/>
      <c r="O31" s="900"/>
      <c r="P31" s="900"/>
      <c r="Q31" s="900"/>
      <c r="R31" s="13"/>
      <c r="S31" s="13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</row>
    <row r="32" spans="1:39" s="12" customFormat="1" ht="12.75" customHeight="1" x14ac:dyDescent="0.25">
      <c r="A32" s="895"/>
      <c r="B32" s="895"/>
      <c r="C32" s="895"/>
      <c r="D32" s="895"/>
      <c r="E32" s="895"/>
      <c r="F32" s="895"/>
      <c r="G32" s="895"/>
      <c r="H32" s="895"/>
      <c r="I32" s="895"/>
      <c r="J32" s="895"/>
      <c r="K32" s="895"/>
      <c r="L32" s="895"/>
      <c r="M32" s="900"/>
      <c r="N32" s="900"/>
      <c r="O32" s="900"/>
      <c r="P32" s="900"/>
      <c r="Q32" s="900"/>
      <c r="R32" s="13"/>
      <c r="S32" s="13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</row>
    <row r="33" spans="1:39" s="12" customFormat="1" ht="12.75" customHeight="1" x14ac:dyDescent="0.25">
      <c r="A33" s="895"/>
      <c r="B33" s="895"/>
      <c r="C33" s="895"/>
      <c r="D33" s="896"/>
      <c r="E33" s="1554" t="s">
        <v>472</v>
      </c>
      <c r="F33" s="1554"/>
      <c r="G33" s="1554"/>
      <c r="H33" s="1554"/>
      <c r="I33" s="1554"/>
      <c r="J33" s="1554"/>
      <c r="K33" s="1554"/>
      <c r="L33" s="1554"/>
      <c r="M33" s="1554"/>
      <c r="N33" s="1555"/>
      <c r="O33" s="956"/>
      <c r="P33" s="900"/>
      <c r="Q33" s="900"/>
      <c r="R33" s="13"/>
      <c r="S33" s="13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</row>
    <row r="34" spans="1:39" s="12" customFormat="1" ht="12.75" customHeight="1" x14ac:dyDescent="0.25">
      <c r="A34" s="895"/>
      <c r="B34" s="895"/>
      <c r="C34" s="895"/>
      <c r="D34" s="896"/>
      <c r="E34" s="998" t="str">
        <f>IF($C$10="Start Year",'Operating Assumptions'!D37&amp;" 4P VLI:",IF($C$10="Operation Year",'Operating Assumptions'!C52&amp;" 4P VLI:"))</f>
        <v>2026 4P VLI:</v>
      </c>
      <c r="F34" s="999">
        <f>IF($C$10="Start Year",$C$6,IF($C$10="Operation Year",$C$9))</f>
        <v>41600</v>
      </c>
      <c r="G34" s="980" t="s">
        <v>206</v>
      </c>
      <c r="H34" s="981"/>
      <c r="I34" s="980" t="s">
        <v>97</v>
      </c>
      <c r="J34" s="981"/>
      <c r="K34" s="981"/>
      <c r="L34" s="980" t="s">
        <v>98</v>
      </c>
      <c r="M34" s="981"/>
      <c r="N34" s="982"/>
      <c r="O34" s="900"/>
      <c r="P34" s="900"/>
      <c r="Q34" s="900"/>
      <c r="R34" s="13"/>
      <c r="S34" s="13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</row>
    <row r="35" spans="1:39" s="12" customFormat="1" ht="12.75" customHeight="1" x14ac:dyDescent="0.25">
      <c r="A35" s="895"/>
      <c r="B35" s="895"/>
      <c r="C35" s="895"/>
      <c r="D35" s="896"/>
      <c r="E35" s="925"/>
      <c r="F35" s="895"/>
      <c r="G35" s="983">
        <v>0.3</v>
      </c>
      <c r="H35" s="983">
        <v>0.4</v>
      </c>
      <c r="I35" s="983">
        <v>0.5</v>
      </c>
      <c r="J35" s="983">
        <v>0.6</v>
      </c>
      <c r="K35" s="983">
        <v>0.7</v>
      </c>
      <c r="L35" s="983">
        <v>0.8</v>
      </c>
      <c r="M35" s="983">
        <v>0.9</v>
      </c>
      <c r="N35" s="984">
        <v>1</v>
      </c>
      <c r="O35" s="900"/>
      <c r="P35" s="959"/>
      <c r="Q35" s="900"/>
      <c r="R35" s="13"/>
      <c r="S35" s="13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</row>
    <row r="36" spans="1:39" s="12" customFormat="1" ht="12.75" customHeight="1" x14ac:dyDescent="0.25">
      <c r="A36" s="895"/>
      <c r="B36" s="895"/>
      <c r="C36" s="895"/>
      <c r="D36" s="896"/>
      <c r="E36" s="985">
        <v>0.7</v>
      </c>
      <c r="F36" s="900" t="s">
        <v>105</v>
      </c>
      <c r="G36" s="960">
        <f>($I36*G$35)*2</f>
        <v>17490</v>
      </c>
      <c r="H36" s="960">
        <f>($I36*H$35)*2</f>
        <v>23320</v>
      </c>
      <c r="I36" s="960">
        <f t="shared" ref="I36:I38" si="4">IF($C$10="Start Year",+CEILING($C$6*$E36,50),IF($C$10="Operation Year",+CEILING($C$9*$E36,50)))</f>
        <v>29150</v>
      </c>
      <c r="J36" s="960">
        <f>($I36*J$35)*2</f>
        <v>34980</v>
      </c>
      <c r="K36" s="960">
        <f t="shared" ref="K36:N39" si="5">($I36*K$35)*2</f>
        <v>40810</v>
      </c>
      <c r="L36" s="960">
        <f t="shared" si="5"/>
        <v>46640</v>
      </c>
      <c r="M36" s="960">
        <f t="shared" si="5"/>
        <v>52470</v>
      </c>
      <c r="N36" s="961">
        <f t="shared" si="5"/>
        <v>58300</v>
      </c>
      <c r="O36" s="900"/>
      <c r="P36" s="900"/>
      <c r="Q36" s="962"/>
      <c r="R36" s="13"/>
      <c r="S36" s="13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</row>
    <row r="37" spans="1:39" s="12" customFormat="1" ht="12.75" customHeight="1" x14ac:dyDescent="0.25">
      <c r="A37" s="895"/>
      <c r="B37" s="895"/>
      <c r="C37" s="895"/>
      <c r="D37" s="896"/>
      <c r="E37" s="985">
        <v>0.8</v>
      </c>
      <c r="F37" s="900" t="s">
        <v>106</v>
      </c>
      <c r="G37" s="960">
        <f t="shared" ref="G37:H39" si="6">($I37*G$35)*2</f>
        <v>19980</v>
      </c>
      <c r="H37" s="960">
        <f t="shared" si="6"/>
        <v>26640</v>
      </c>
      <c r="I37" s="960">
        <f t="shared" si="4"/>
        <v>33300</v>
      </c>
      <c r="J37" s="960">
        <f t="shared" ref="J37:J39" si="7">($I37*J$35)*2</f>
        <v>39960</v>
      </c>
      <c r="K37" s="960">
        <f t="shared" si="5"/>
        <v>46620</v>
      </c>
      <c r="L37" s="960">
        <f t="shared" si="5"/>
        <v>53280</v>
      </c>
      <c r="M37" s="960">
        <f t="shared" si="5"/>
        <v>59940</v>
      </c>
      <c r="N37" s="961">
        <f t="shared" si="5"/>
        <v>66600</v>
      </c>
      <c r="O37" s="900"/>
      <c r="P37" s="900"/>
      <c r="Q37" s="962"/>
      <c r="R37" s="13"/>
      <c r="S37" s="13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</row>
    <row r="38" spans="1:39" s="12" customFormat="1" ht="12.75" customHeight="1" x14ac:dyDescent="0.25">
      <c r="A38" s="895"/>
      <c r="B38" s="895"/>
      <c r="C38" s="895"/>
      <c r="D38" s="896"/>
      <c r="E38" s="985">
        <v>0.9</v>
      </c>
      <c r="F38" s="900" t="s">
        <v>107</v>
      </c>
      <c r="G38" s="960">
        <f t="shared" si="6"/>
        <v>22470</v>
      </c>
      <c r="H38" s="960">
        <f t="shared" si="6"/>
        <v>29960</v>
      </c>
      <c r="I38" s="960">
        <f t="shared" si="4"/>
        <v>37450</v>
      </c>
      <c r="J38" s="960">
        <f t="shared" si="7"/>
        <v>44940</v>
      </c>
      <c r="K38" s="960">
        <f t="shared" si="5"/>
        <v>52430</v>
      </c>
      <c r="L38" s="960">
        <f t="shared" si="5"/>
        <v>59920</v>
      </c>
      <c r="M38" s="960">
        <f t="shared" si="5"/>
        <v>67410</v>
      </c>
      <c r="N38" s="961">
        <f t="shared" si="5"/>
        <v>74900</v>
      </c>
      <c r="O38" s="900"/>
      <c r="P38" s="979"/>
      <c r="Q38" s="900"/>
      <c r="R38" s="13"/>
      <c r="S38" s="13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</row>
    <row r="39" spans="1:39" s="12" customFormat="1" ht="12.75" customHeight="1" x14ac:dyDescent="0.25">
      <c r="A39" s="895"/>
      <c r="B39" s="895"/>
      <c r="C39" s="895"/>
      <c r="D39" s="896"/>
      <c r="E39" s="986">
        <v>1</v>
      </c>
      <c r="F39" s="963" t="s">
        <v>108</v>
      </c>
      <c r="G39" s="964">
        <f t="shared" si="6"/>
        <v>24960</v>
      </c>
      <c r="H39" s="964">
        <f t="shared" si="6"/>
        <v>33280</v>
      </c>
      <c r="I39" s="978">
        <f>IF($C$10="Start Year",+CEILING($C$6*$E39,50),IF($C$10="Operation Year",+CEILING($C$9*$E39,50)))</f>
        <v>41600</v>
      </c>
      <c r="J39" s="964">
        <f t="shared" si="7"/>
        <v>49920</v>
      </c>
      <c r="K39" s="964">
        <f t="shared" si="5"/>
        <v>58239.999999999993</v>
      </c>
      <c r="L39" s="964">
        <f t="shared" si="5"/>
        <v>66560</v>
      </c>
      <c r="M39" s="964">
        <f t="shared" si="5"/>
        <v>74880</v>
      </c>
      <c r="N39" s="965">
        <f t="shared" si="5"/>
        <v>83200</v>
      </c>
      <c r="O39" s="900"/>
      <c r="P39" s="900"/>
      <c r="Q39" s="900"/>
      <c r="R39" s="13"/>
      <c r="S39" s="13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</row>
    <row r="40" spans="1:39" s="12" customFormat="1" ht="12.75" customHeight="1" x14ac:dyDescent="0.25">
      <c r="A40" s="895"/>
      <c r="B40" s="895"/>
      <c r="C40" s="895"/>
      <c r="D40" s="895"/>
      <c r="E40" s="900"/>
      <c r="F40" s="900"/>
      <c r="G40" s="966"/>
      <c r="H40" s="966"/>
      <c r="I40" s="966"/>
      <c r="J40" s="966"/>
      <c r="K40" s="966"/>
      <c r="L40" s="966"/>
      <c r="M40" s="966"/>
      <c r="N40" s="966"/>
      <c r="O40" s="900"/>
      <c r="P40" s="900"/>
      <c r="Q40" s="900"/>
      <c r="R40" s="13"/>
      <c r="S40" s="13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</row>
    <row r="41" spans="1:39" s="12" customFormat="1" ht="12.75" customHeight="1" x14ac:dyDescent="0.25">
      <c r="A41" s="895"/>
      <c r="B41" s="895"/>
      <c r="C41" s="967"/>
      <c r="D41" s="896"/>
      <c r="E41" s="1554" t="s">
        <v>473</v>
      </c>
      <c r="F41" s="1554"/>
      <c r="G41" s="1554"/>
      <c r="H41" s="1554"/>
      <c r="I41" s="1554"/>
      <c r="J41" s="1554"/>
      <c r="K41" s="1554"/>
      <c r="L41" s="1554"/>
      <c r="M41" s="1554"/>
      <c r="N41" s="1555"/>
      <c r="O41" s="900"/>
      <c r="P41" s="900"/>
      <c r="Q41" s="900"/>
      <c r="R41" s="13"/>
      <c r="S41" s="13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</row>
    <row r="42" spans="1:39" s="14" customFormat="1" ht="12.75" customHeight="1" x14ac:dyDescent="0.25">
      <c r="A42" s="895"/>
      <c r="B42" s="895"/>
      <c r="C42" s="967"/>
      <c r="D42" s="896"/>
      <c r="E42" s="988"/>
      <c r="F42" s="989"/>
      <c r="G42" s="990"/>
      <c r="H42" s="989"/>
      <c r="I42" s="991"/>
      <c r="J42" s="991"/>
      <c r="K42" s="991"/>
      <c r="L42" s="991"/>
      <c r="M42" s="991"/>
      <c r="N42" s="992"/>
      <c r="O42" s="900"/>
      <c r="P42" s="900"/>
      <c r="Q42" s="900"/>
      <c r="R42" s="13"/>
      <c r="S42" s="13"/>
    </row>
    <row r="43" spans="1:39" s="12" customFormat="1" ht="12.75" customHeight="1" x14ac:dyDescent="0.25">
      <c r="A43" s="895"/>
      <c r="B43" s="969"/>
      <c r="C43" s="967"/>
      <c r="D43" s="896"/>
      <c r="E43" s="993"/>
      <c r="F43" s="968"/>
      <c r="G43" s="957" t="s">
        <v>110</v>
      </c>
      <c r="H43" s="957" t="s">
        <v>99</v>
      </c>
      <c r="I43" s="957" t="s">
        <v>100</v>
      </c>
      <c r="J43" s="957" t="s">
        <v>101</v>
      </c>
      <c r="K43" s="957" t="s">
        <v>102</v>
      </c>
      <c r="L43" s="957" t="s">
        <v>103</v>
      </c>
      <c r="M43" s="957" t="s">
        <v>111</v>
      </c>
      <c r="N43" s="958" t="s">
        <v>104</v>
      </c>
      <c r="O43" s="900"/>
      <c r="P43" s="900"/>
      <c r="Q43" s="900"/>
      <c r="R43" s="13"/>
      <c r="S43" s="13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</row>
    <row r="44" spans="1:39" s="12" customFormat="1" ht="12.75" customHeight="1" x14ac:dyDescent="0.25">
      <c r="A44" s="895"/>
      <c r="B44" s="969" t="s">
        <v>109</v>
      </c>
      <c r="C44" s="968"/>
      <c r="D44" s="970"/>
      <c r="E44" s="994" t="s">
        <v>105</v>
      </c>
      <c r="F44" s="995" t="s">
        <v>394</v>
      </c>
      <c r="G44" s="971">
        <f>+ROUNDDOWN(G36*$C$20/$C$21,0)</f>
        <v>437</v>
      </c>
      <c r="H44" s="971">
        <f t="shared" ref="H44:N44" si="8">+ROUNDDOWN(H36*$C$20/$C$21,0)</f>
        <v>583</v>
      </c>
      <c r="I44" s="971">
        <f>+ROUNDDOWN(I36*$C$20/$C$21,0)</f>
        <v>728</v>
      </c>
      <c r="J44" s="971">
        <f t="shared" si="8"/>
        <v>874</v>
      </c>
      <c r="K44" s="971">
        <f t="shared" si="8"/>
        <v>1020</v>
      </c>
      <c r="L44" s="971">
        <f t="shared" si="8"/>
        <v>1166</v>
      </c>
      <c r="M44" s="971">
        <f t="shared" si="8"/>
        <v>1311</v>
      </c>
      <c r="N44" s="972">
        <f t="shared" si="8"/>
        <v>1457</v>
      </c>
      <c r="O44" s="900"/>
      <c r="P44" s="900"/>
      <c r="Q44" s="900"/>
      <c r="R44" s="13"/>
      <c r="S44" s="13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</row>
    <row r="45" spans="1:39" s="12" customFormat="1" ht="12.75" customHeight="1" x14ac:dyDescent="0.25">
      <c r="A45" s="895"/>
      <c r="B45" s="969" t="s">
        <v>57</v>
      </c>
      <c r="C45" s="968"/>
      <c r="D45" s="970"/>
      <c r="E45" s="994" t="s">
        <v>471</v>
      </c>
      <c r="F45" s="900" t="s">
        <v>396</v>
      </c>
      <c r="G45" s="971">
        <f>+ROUNDDOWN(((G36+G37)/2)*$C$20/$C$21,0)</f>
        <v>468</v>
      </c>
      <c r="H45" s="971">
        <f t="shared" ref="H45:N45" si="9">+ROUNDDOWN(((H36+H37)/2)*$C$20/$C$21,0)</f>
        <v>624</v>
      </c>
      <c r="I45" s="971">
        <f t="shared" si="9"/>
        <v>780</v>
      </c>
      <c r="J45" s="971">
        <f t="shared" si="9"/>
        <v>936</v>
      </c>
      <c r="K45" s="971">
        <f t="shared" si="9"/>
        <v>1092</v>
      </c>
      <c r="L45" s="971">
        <f t="shared" si="9"/>
        <v>1249</v>
      </c>
      <c r="M45" s="971">
        <f t="shared" si="9"/>
        <v>1405</v>
      </c>
      <c r="N45" s="972">
        <f t="shared" si="9"/>
        <v>1561</v>
      </c>
      <c r="O45" s="900"/>
      <c r="P45" s="900"/>
      <c r="Q45" s="900"/>
      <c r="R45" s="13"/>
      <c r="S45" s="13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</row>
    <row r="46" spans="1:39" ht="12.75" customHeight="1" x14ac:dyDescent="0.25">
      <c r="B46" s="969"/>
      <c r="C46" s="967"/>
      <c r="D46" s="896"/>
      <c r="E46" s="994" t="s">
        <v>107</v>
      </c>
      <c r="F46" s="900" t="s">
        <v>397</v>
      </c>
      <c r="G46" s="971">
        <f>+ROUNDDOWN(G38*$C$20/$C$21,0)</f>
        <v>561</v>
      </c>
      <c r="H46" s="971">
        <f t="shared" ref="H46:N46" si="10">+ROUNDDOWN(H38*$C$20/$C$21,0)</f>
        <v>749</v>
      </c>
      <c r="I46" s="971">
        <f t="shared" si="10"/>
        <v>936</v>
      </c>
      <c r="J46" s="971">
        <f t="shared" si="10"/>
        <v>1123</v>
      </c>
      <c r="K46" s="971">
        <f t="shared" si="10"/>
        <v>1310</v>
      </c>
      <c r="L46" s="971">
        <f t="shared" si="10"/>
        <v>1498</v>
      </c>
      <c r="M46" s="971">
        <f t="shared" si="10"/>
        <v>1685</v>
      </c>
      <c r="N46" s="972">
        <f t="shared" si="10"/>
        <v>1872</v>
      </c>
    </row>
    <row r="47" spans="1:39" ht="12.75" customHeight="1" x14ac:dyDescent="0.25">
      <c r="E47" s="987" t="s">
        <v>400</v>
      </c>
      <c r="F47" s="963" t="s">
        <v>427</v>
      </c>
      <c r="G47" s="973">
        <f>+ROUNDDOWN(((G38+G39)/2)*$C$20/$C$21,0)</f>
        <v>592</v>
      </c>
      <c r="H47" s="973">
        <f t="shared" ref="H47:M47" si="11">+ROUNDDOWN(((H38+H39)/2)*$C$20/$C$21,0)</f>
        <v>790</v>
      </c>
      <c r="I47" s="973">
        <f t="shared" si="11"/>
        <v>988</v>
      </c>
      <c r="J47" s="973">
        <f t="shared" si="11"/>
        <v>1185</v>
      </c>
      <c r="K47" s="973">
        <f t="shared" si="11"/>
        <v>1383</v>
      </c>
      <c r="L47" s="973">
        <f t="shared" si="11"/>
        <v>1581</v>
      </c>
      <c r="M47" s="973">
        <f t="shared" si="11"/>
        <v>1778</v>
      </c>
      <c r="N47" s="974">
        <f>+ROUNDDOWN(((N38+N39)/2)*$C$20/$C$21,0)</f>
        <v>1976</v>
      </c>
    </row>
    <row r="48" spans="1:39" ht="12.75" customHeight="1" x14ac:dyDescent="0.25"/>
    <row r="49" spans="3:11" ht="12.75" customHeight="1" x14ac:dyDescent="0.25">
      <c r="C49" s="900"/>
    </row>
    <row r="50" spans="3:11" ht="12.75" customHeight="1" x14ac:dyDescent="0.25">
      <c r="K50" s="900"/>
    </row>
    <row r="51" spans="3:11" ht="12.75" customHeight="1" x14ac:dyDescent="0.25"/>
    <row r="52" spans="3:11" ht="12.75" customHeight="1" x14ac:dyDescent="0.25"/>
    <row r="53" spans="3:11" ht="12.75" customHeight="1" x14ac:dyDescent="0.25"/>
    <row r="54" spans="3:11" ht="12.75" customHeight="1" x14ac:dyDescent="0.25"/>
    <row r="55" spans="3:11" ht="12.75" customHeight="1" x14ac:dyDescent="0.25"/>
    <row r="56" spans="3:11" ht="12.75" customHeight="1" x14ac:dyDescent="0.25"/>
    <row r="57" spans="3:11" ht="12.75" customHeight="1" x14ac:dyDescent="0.25"/>
    <row r="58" spans="3:11" ht="12.75" customHeight="1" x14ac:dyDescent="0.25"/>
    <row r="59" spans="3:11" ht="12.75" customHeight="1" x14ac:dyDescent="0.25"/>
    <row r="60" spans="3:11" ht="12.75" customHeight="1" x14ac:dyDescent="0.25"/>
    <row r="61" spans="3:11" ht="12.75" customHeight="1" x14ac:dyDescent="0.25"/>
    <row r="62" spans="3:11" ht="12.75" customHeight="1" x14ac:dyDescent="0.25"/>
    <row r="63" spans="3:11" ht="12.75" customHeight="1" x14ac:dyDescent="0.25"/>
    <row r="64" spans="3:11" ht="12.75" customHeight="1" x14ac:dyDescent="0.25"/>
    <row r="65" spans="4:16" ht="12.75" customHeight="1" x14ac:dyDescent="0.25"/>
    <row r="66" spans="4:16" ht="12.75" customHeight="1" x14ac:dyDescent="0.25"/>
    <row r="67" spans="4:16" ht="12.75" customHeight="1" x14ac:dyDescent="0.25"/>
    <row r="68" spans="4:16" ht="12.75" customHeight="1" x14ac:dyDescent="0.25">
      <c r="P68" s="975"/>
    </row>
    <row r="69" spans="4:16" ht="12.75" customHeight="1" x14ac:dyDescent="0.25"/>
    <row r="70" spans="4:16" ht="12.75" customHeight="1" x14ac:dyDescent="0.25"/>
    <row r="71" spans="4:16" ht="12.75" customHeight="1" x14ac:dyDescent="0.25"/>
    <row r="72" spans="4:16" ht="12.75" customHeight="1" x14ac:dyDescent="0.25"/>
    <row r="73" spans="4:16" ht="12.75" customHeight="1" x14ac:dyDescent="0.25">
      <c r="I73" s="900" t="s">
        <v>479</v>
      </c>
      <c r="J73" s="900" t="s">
        <v>482</v>
      </c>
      <c r="K73" s="900" t="s">
        <v>476</v>
      </c>
      <c r="L73" s="900" t="s">
        <v>466</v>
      </c>
      <c r="M73" s="900" t="s">
        <v>467</v>
      </c>
    </row>
    <row r="74" spans="4:16" ht="12.75" customHeight="1" x14ac:dyDescent="0.25">
      <c r="E74" s="900" t="s">
        <v>380</v>
      </c>
      <c r="F74" s="900" t="s">
        <v>390</v>
      </c>
      <c r="G74" s="900" t="s">
        <v>464</v>
      </c>
      <c r="H74" s="900" t="s">
        <v>465</v>
      </c>
      <c r="I74" s="900" t="s">
        <v>480</v>
      </c>
      <c r="J74" s="900" t="s">
        <v>481</v>
      </c>
      <c r="K74" s="895" t="s">
        <v>477</v>
      </c>
      <c r="L74" s="900" t="str">
        <f>"+5% of VLI"</f>
        <v>+5% of VLI</v>
      </c>
      <c r="M74" s="900" t="str">
        <f>"-5% of VLI"</f>
        <v>-5% of VLI</v>
      </c>
      <c r="N74" s="957" t="s">
        <v>478</v>
      </c>
    </row>
    <row r="75" spans="4:16" ht="12.75" customHeight="1" x14ac:dyDescent="0.25">
      <c r="D75" s="900"/>
      <c r="E75" s="900">
        <f>'Operating Assumptions'!D37</f>
        <v>2026</v>
      </c>
      <c r="F75" s="971">
        <f>C5</f>
        <v>83200</v>
      </c>
      <c r="G75" s="976">
        <v>0</v>
      </c>
      <c r="H75" s="971">
        <f>F75*0.5</f>
        <v>41600</v>
      </c>
      <c r="J75" s="975"/>
      <c r="M75" s="895"/>
    </row>
    <row r="76" spans="4:16" ht="12.75" customHeight="1" x14ac:dyDescent="0.25">
      <c r="D76" s="900"/>
      <c r="E76" s="900">
        <f>E75+1</f>
        <v>2027</v>
      </c>
      <c r="F76" s="971">
        <f>$F75*(1+$C$7)</f>
        <v>85696</v>
      </c>
      <c r="G76" s="977">
        <f>F76-F75</f>
        <v>2496</v>
      </c>
      <c r="H76" s="971">
        <f>F76*0.5</f>
        <v>42848</v>
      </c>
      <c r="J76" s="975"/>
      <c r="L76" s="971">
        <f t="shared" ref="L76:L82" si="12">H75*(1+0.05)</f>
        <v>43680</v>
      </c>
      <c r="M76" s="971">
        <f t="shared" ref="M76:M82" si="13">H75*(1-0.05)</f>
        <v>39520</v>
      </c>
      <c r="N76" s="501"/>
    </row>
    <row r="77" spans="4:16" ht="12.75" customHeight="1" x14ac:dyDescent="0.25">
      <c r="D77" s="900"/>
      <c r="E77" s="900">
        <f t="shared" ref="E77:E82" si="14">E76+1</f>
        <v>2028</v>
      </c>
      <c r="F77" s="971">
        <f>$F76*(1+$C$7)</f>
        <v>88266.880000000005</v>
      </c>
      <c r="G77" s="977">
        <f t="shared" ref="G77:G82" si="15">F77-F76</f>
        <v>2570.8800000000047</v>
      </c>
      <c r="H77" s="971">
        <f t="shared" ref="H77:H82" si="16">F77*0.5</f>
        <v>44133.440000000002</v>
      </c>
      <c r="J77" s="975"/>
      <c r="L77" s="971">
        <f t="shared" si="12"/>
        <v>44990.400000000001</v>
      </c>
      <c r="M77" s="971">
        <f t="shared" si="13"/>
        <v>40705.599999999999</v>
      </c>
    </row>
    <row r="78" spans="4:16" ht="12.75" customHeight="1" x14ac:dyDescent="0.25">
      <c r="D78" s="900"/>
      <c r="E78" s="900">
        <f t="shared" si="14"/>
        <v>2029</v>
      </c>
      <c r="F78" s="971">
        <f t="shared" ref="F78:F82" si="17">$F77*(1+$C$7)</f>
        <v>90914.886400000003</v>
      </c>
      <c r="G78" s="977">
        <f t="shared" si="15"/>
        <v>2648.0063999999984</v>
      </c>
      <c r="H78" s="971">
        <f t="shared" si="16"/>
        <v>45457.443200000002</v>
      </c>
      <c r="J78" s="975"/>
      <c r="L78" s="971">
        <f t="shared" si="12"/>
        <v>46340.112000000001</v>
      </c>
      <c r="M78" s="971">
        <f t="shared" si="13"/>
        <v>41926.768000000004</v>
      </c>
    </row>
    <row r="79" spans="4:16" ht="12.75" customHeight="1" x14ac:dyDescent="0.25">
      <c r="D79" s="900"/>
      <c r="E79" s="900">
        <f t="shared" si="14"/>
        <v>2030</v>
      </c>
      <c r="F79" s="971">
        <f t="shared" si="17"/>
        <v>93642.332992000011</v>
      </c>
      <c r="G79" s="977">
        <f t="shared" si="15"/>
        <v>2727.4465920000075</v>
      </c>
      <c r="H79" s="971">
        <f t="shared" si="16"/>
        <v>46821.166496000005</v>
      </c>
      <c r="J79" s="975"/>
      <c r="L79" s="971">
        <f t="shared" si="12"/>
        <v>47730.315360000001</v>
      </c>
      <c r="M79" s="971">
        <f t="shared" si="13"/>
        <v>43184.571040000003</v>
      </c>
    </row>
    <row r="80" spans="4:16" ht="12.75" customHeight="1" x14ac:dyDescent="0.25">
      <c r="D80" s="900"/>
      <c r="E80" s="900">
        <f t="shared" si="14"/>
        <v>2031</v>
      </c>
      <c r="F80" s="971">
        <f t="shared" si="17"/>
        <v>96451.602981760007</v>
      </c>
      <c r="G80" s="977">
        <f t="shared" si="15"/>
        <v>2809.269989759996</v>
      </c>
      <c r="H80" s="971">
        <f t="shared" si="16"/>
        <v>48225.801490880003</v>
      </c>
      <c r="J80" s="975"/>
      <c r="L80" s="971">
        <f t="shared" si="12"/>
        <v>49162.224820800009</v>
      </c>
      <c r="M80" s="971">
        <f t="shared" si="13"/>
        <v>44480.108171200001</v>
      </c>
    </row>
    <row r="81" spans="4:13" ht="12.75" customHeight="1" x14ac:dyDescent="0.25">
      <c r="D81" s="900"/>
      <c r="E81" s="900">
        <f t="shared" si="14"/>
        <v>2032</v>
      </c>
      <c r="F81" s="971">
        <f t="shared" si="17"/>
        <v>99345.151071212807</v>
      </c>
      <c r="G81" s="977">
        <f t="shared" si="15"/>
        <v>2893.5480894528009</v>
      </c>
      <c r="H81" s="971">
        <f t="shared" si="16"/>
        <v>49672.575535606404</v>
      </c>
      <c r="J81" s="975"/>
      <c r="L81" s="971">
        <f t="shared" si="12"/>
        <v>50637.091565424009</v>
      </c>
      <c r="M81" s="971">
        <f t="shared" si="13"/>
        <v>45814.511416335998</v>
      </c>
    </row>
    <row r="82" spans="4:13" ht="12.75" customHeight="1" x14ac:dyDescent="0.25">
      <c r="D82" s="900"/>
      <c r="E82" s="900">
        <f t="shared" si="14"/>
        <v>2033</v>
      </c>
      <c r="F82" s="971">
        <f t="shared" si="17"/>
        <v>102325.5056033492</v>
      </c>
      <c r="G82" s="977">
        <f t="shared" si="15"/>
        <v>2980.3545321363927</v>
      </c>
      <c r="H82" s="971">
        <f t="shared" si="16"/>
        <v>51162.7528016746</v>
      </c>
      <c r="J82" s="975"/>
      <c r="L82" s="971">
        <f t="shared" si="12"/>
        <v>52156.204312386726</v>
      </c>
      <c r="M82" s="971">
        <f t="shared" si="13"/>
        <v>47188.946758826081</v>
      </c>
    </row>
    <row r="83" spans="4:13" ht="12.75" customHeight="1" x14ac:dyDescent="0.25"/>
    <row r="84" spans="4:13" ht="12.75" customHeight="1" x14ac:dyDescent="0.25"/>
    <row r="85" spans="4:13" ht="12.75" customHeight="1" x14ac:dyDescent="0.25"/>
    <row r="86" spans="4:13" ht="12.75" customHeight="1" x14ac:dyDescent="0.25"/>
    <row r="87" spans="4:13" ht="12.75" customHeight="1" x14ac:dyDescent="0.25"/>
    <row r="88" spans="4:13" ht="12.75" customHeight="1" x14ac:dyDescent="0.25"/>
    <row r="89" spans="4:13" ht="12.75" customHeight="1" x14ac:dyDescent="0.25"/>
    <row r="90" spans="4:13" ht="12.75" customHeight="1" x14ac:dyDescent="0.25"/>
    <row r="91" spans="4:13" ht="12.75" customHeight="1" x14ac:dyDescent="0.25"/>
    <row r="92" spans="4:13" ht="12.75" customHeight="1" x14ac:dyDescent="0.25"/>
    <row r="93" spans="4:13" ht="12.75" customHeight="1" x14ac:dyDescent="0.25"/>
    <row r="94" spans="4:13" ht="12.75" customHeight="1" x14ac:dyDescent="0.25"/>
    <row r="95" spans="4:13" ht="12.75" customHeight="1" x14ac:dyDescent="0.25"/>
    <row r="96" spans="4:13" ht="12.75" customHeight="1" x14ac:dyDescent="0.25"/>
    <row r="97" ht="12.75" customHeight="1" x14ac:dyDescent="0.25"/>
    <row r="98" ht="12.75" customHeight="1" x14ac:dyDescent="0.25"/>
    <row r="99" ht="12.75" customHeight="1" x14ac:dyDescent="0.25"/>
  </sheetData>
  <mergeCells count="8">
    <mergeCell ref="E41:N41"/>
    <mergeCell ref="E33:N33"/>
    <mergeCell ref="B12:C12"/>
    <mergeCell ref="B3:C3"/>
    <mergeCell ref="B16:C16"/>
    <mergeCell ref="B4:C4"/>
    <mergeCell ref="I3:J3"/>
    <mergeCell ref="B19:C19"/>
  </mergeCells>
  <conditionalFormatting sqref="C18">
    <cfRule type="expression" dxfId="77" priority="3">
      <formula>IF($C$17="Unit Mix","TRUE","FALSE")</formula>
    </cfRule>
  </conditionalFormatting>
  <conditionalFormatting sqref="F6:K30">
    <cfRule type="expression" dxfId="75" priority="2">
      <formula>IF($E6="-","TRUE","FALSE")</formula>
    </cfRule>
  </conditionalFormatting>
  <dataValidations count="4">
    <dataValidation type="list" allowBlank="1" showInputMessage="1" showErrorMessage="1" sqref="C18" xr:uid="{FA04465E-3A49-49B0-B248-E1AFFF98A69E}">
      <formula1>"30% AMI, 40% AMI, 50% AMI, 60% AMI, 70% AMI, 80% AMI, 90% AMI, 100% AMI"</formula1>
    </dataValidation>
    <dataValidation type="list" allowBlank="1" showInputMessage="1" showErrorMessage="1" sqref="C17" xr:uid="{DEF668CB-D311-4D0D-8887-8B8B557E1B89}">
      <formula1>"Unit Mix, AMI Tab"</formula1>
    </dataValidation>
    <dataValidation type="list" allowBlank="1" showInputMessage="1" showErrorMessage="1" sqref="C13" xr:uid="{5D0CBDB2-B04C-4AB4-8CE6-BA4BA898DA05}">
      <formula1>"40/60, 20/50, "</formula1>
    </dataValidation>
    <dataValidation type="list" allowBlank="1" showInputMessage="1" showErrorMessage="1" sqref="C10" xr:uid="{E2763D2A-F1D9-4B74-8D0C-91644477A59B}">
      <formula1>"Start Year, Operation Year"</formula1>
    </dataValidation>
  </dataValidations>
  <pageMargins left="0.25" right="0.25" top="0.75" bottom="0.75" header="0.3" footer="0.3"/>
  <pageSetup scale="30" orientation="landscape" r:id="rId1"/>
  <ignoredErrors>
    <ignoredError sqref="H31 G45:N45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8" id="{09BA92D6-6571-4FD8-B9D2-513B9E7B0FF6}">
            <xm:f>IF(AND('Unit Mix'!$C$8="Affordable",'Unit Mix'!$I17="Yes"),"TRUE","FALSE")</xm:f>
            <x14:dxf>
              <fill>
                <patternFill>
                  <bgColor theme="9" tint="0.79998168889431442"/>
                </patternFill>
              </fill>
            </x14:dxf>
          </x14:cfRule>
          <xm:sqref>E6:K30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BBE5E-B22F-420C-8250-583BD80646E2}">
  <sheetPr>
    <tabColor theme="4" tint="0.79998168889431442"/>
    <pageSetUpPr autoPageBreaks="0" fitToPage="1"/>
  </sheetPr>
  <dimension ref="A1:BT532"/>
  <sheetViews>
    <sheetView showGridLines="0" topLeftCell="A18" zoomScaleNormal="100" workbookViewId="0">
      <selection activeCell="L46" sqref="L46:Q46"/>
    </sheetView>
  </sheetViews>
  <sheetFormatPr defaultColWidth="16.140625" defaultRowHeight="12.75" outlineLevelCol="1" x14ac:dyDescent="0.2"/>
  <cols>
    <col min="1" max="1" width="7.42578125" style="1" customWidth="1"/>
    <col min="2" max="2" width="4.28515625" style="1162" hidden="1" customWidth="1" outlineLevel="1"/>
    <col min="3" max="3" width="5" style="406" hidden="1" customWidth="1" outlineLevel="1"/>
    <col min="4" max="5" width="3.7109375" style="22" hidden="1" customWidth="1" outlineLevel="1"/>
    <col min="6" max="6" width="14.140625" style="22" hidden="1" customWidth="1" outlineLevel="1"/>
    <col min="7" max="8" width="3.7109375" style="22" hidden="1" customWidth="1" outlineLevel="1"/>
    <col min="9" max="9" width="3.7109375" style="879" hidden="1" customWidth="1" outlineLevel="1"/>
    <col min="10" max="10" width="5.42578125" style="879" customWidth="1" collapsed="1"/>
    <col min="11" max="11" width="17.85546875" style="22" customWidth="1"/>
    <col min="12" max="13" width="14.28515625" style="22" customWidth="1"/>
    <col min="14" max="15" width="14.28515625" style="22" hidden="1" customWidth="1" outlineLevel="1"/>
    <col min="16" max="16" width="16.140625" style="22" collapsed="1"/>
    <col min="17" max="17" width="16.140625" style="22"/>
    <col min="18" max="18" width="18.28515625" style="22" hidden="1" customWidth="1" outlineLevel="1"/>
    <col min="19" max="19" width="18.140625" style="22" customWidth="1" collapsed="1"/>
    <col min="20" max="22" width="16.140625" style="22"/>
    <col min="23" max="24" width="16.140625" style="1"/>
    <col min="25" max="25" width="6.42578125" style="1" customWidth="1"/>
    <col min="26" max="29" width="18.7109375" style="1" hidden="1" customWidth="1" outlineLevel="1"/>
    <col min="30" max="30" width="16.140625" style="1" collapsed="1"/>
    <col min="31" max="31" width="9.28515625" style="1" customWidth="1"/>
    <col min="32" max="44" width="16.140625" style="1"/>
    <col min="45" max="45" width="23.28515625" style="1" customWidth="1"/>
    <col min="46" max="46" width="16.140625" style="1"/>
    <col min="47" max="47" width="12.140625" style="1" customWidth="1"/>
    <col min="48" max="16384" width="16.140625" style="1"/>
  </cols>
  <sheetData>
    <row r="1" spans="2:29" s="278" customFormat="1" ht="49.15" customHeight="1" x14ac:dyDescent="0.4">
      <c r="B1" s="1052"/>
      <c r="C1" s="409"/>
      <c r="D1" s="365"/>
      <c r="E1" s="365"/>
      <c r="F1" s="365"/>
      <c r="G1" s="365"/>
      <c r="H1" s="365"/>
      <c r="I1" s="876"/>
      <c r="J1" s="1053" t="s">
        <v>557</v>
      </c>
      <c r="K1" s="1054"/>
      <c r="L1" s="365"/>
      <c r="M1" s="366"/>
      <c r="N1" s="366"/>
      <c r="O1" s="366"/>
      <c r="P1" s="366"/>
      <c r="Q1" s="366"/>
      <c r="R1" s="366"/>
      <c r="S1" s="365"/>
      <c r="T1" s="279"/>
      <c r="U1" s="279"/>
      <c r="V1" s="279"/>
    </row>
    <row r="2" spans="2:29" s="278" customFormat="1" ht="4.5" customHeight="1" x14ac:dyDescent="0.25">
      <c r="B2" s="1052"/>
      <c r="C2" s="412"/>
      <c r="D2" s="280"/>
      <c r="E2" s="280"/>
      <c r="F2" s="280"/>
      <c r="G2" s="280"/>
      <c r="H2" s="280"/>
      <c r="I2" s="877"/>
      <c r="J2" s="877"/>
      <c r="K2" s="280"/>
      <c r="L2" s="280"/>
      <c r="M2" s="286"/>
      <c r="N2" s="286"/>
      <c r="O2" s="286"/>
      <c r="P2" s="286"/>
      <c r="Q2" s="286"/>
      <c r="R2" s="286"/>
      <c r="S2" s="280"/>
      <c r="T2" s="279"/>
      <c r="U2" s="279"/>
      <c r="V2" s="279"/>
    </row>
    <row r="3" spans="2:29" s="278" customFormat="1" ht="18" customHeight="1" x14ac:dyDescent="0.25">
      <c r="B3" s="1052"/>
      <c r="C3" s="409"/>
      <c r="D3" s="280"/>
      <c r="E3" s="280"/>
      <c r="F3" s="280"/>
      <c r="G3" s="280"/>
      <c r="H3" s="280"/>
      <c r="I3" s="877"/>
      <c r="J3" s="1564" t="s">
        <v>453</v>
      </c>
      <c r="K3" s="1564"/>
      <c r="L3" s="1564"/>
      <c r="M3" s="1565"/>
      <c r="N3" s="1313"/>
      <c r="O3" s="1313"/>
      <c r="P3" s="1055"/>
      <c r="S3" s="1561" t="s">
        <v>447</v>
      </c>
      <c r="T3" s="1562"/>
      <c r="U3" s="1562"/>
      <c r="V3" s="1563"/>
      <c r="Z3" s="1561" t="s">
        <v>458</v>
      </c>
      <c r="AA3" s="1562"/>
      <c r="AB3" s="1562"/>
      <c r="AC3" s="1563"/>
    </row>
    <row r="4" spans="2:29" s="278" customFormat="1" ht="12" customHeight="1" x14ac:dyDescent="0.25">
      <c r="B4" s="1052"/>
      <c r="C4" s="409"/>
      <c r="D4" s="291"/>
      <c r="E4" s="291"/>
      <c r="F4" s="291"/>
      <c r="G4" s="291"/>
      <c r="H4" s="291"/>
      <c r="I4" s="878"/>
      <c r="J4" s="1566" t="s">
        <v>448</v>
      </c>
      <c r="K4" s="1567"/>
      <c r="L4" s="360"/>
      <c r="M4" s="1173">
        <f>'Financing Assumptions'!$H$8</f>
        <v>46485000</v>
      </c>
      <c r="N4" s="1307"/>
      <c r="O4" s="1307"/>
      <c r="Q4" s="345"/>
      <c r="R4" s="345"/>
      <c r="S4" s="378" t="s">
        <v>449</v>
      </c>
      <c r="T4" s="1056">
        <f>INDEX($AV$22:$AW$34,MATCH(T$5,$AV$22:$AV$34,0),MATCH("Number",$AV$22:$AW$22,0))</f>
        <v>8</v>
      </c>
      <c r="U4" s="1056">
        <f>INDEX($AV$22:$AW$34,MATCH(U$5,$AV$22:$AV$34,0),MATCH("Number",$AV$22:$AW$22,0))</f>
        <v>3</v>
      </c>
      <c r="V4" s="1057" t="s">
        <v>379</v>
      </c>
      <c r="W4" s="873"/>
      <c r="X4" s="873"/>
      <c r="Z4" s="1058" t="s">
        <v>505</v>
      </c>
      <c r="AA4" s="1059" t="s">
        <v>506</v>
      </c>
      <c r="AB4" s="1059" t="s">
        <v>507</v>
      </c>
      <c r="AC4" s="1060" t="s">
        <v>508</v>
      </c>
    </row>
    <row r="5" spans="2:29" s="278" customFormat="1" ht="12" customHeight="1" x14ac:dyDescent="0.25">
      <c r="B5" s="1052"/>
      <c r="C5" s="409"/>
      <c r="D5" s="291"/>
      <c r="E5" s="291"/>
      <c r="F5" s="291"/>
      <c r="G5" s="291"/>
      <c r="H5" s="291"/>
      <c r="I5" s="878"/>
      <c r="J5" s="1568" t="s">
        <v>450</v>
      </c>
      <c r="K5" s="1569"/>
      <c r="L5" s="345"/>
      <c r="M5" s="1172">
        <f>'Financing Assumptions'!$H$13</f>
        <v>30</v>
      </c>
      <c r="N5" s="1308"/>
      <c r="O5" s="1308"/>
      <c r="Q5" s="875"/>
      <c r="R5" s="345"/>
      <c r="S5" s="379" t="str">
        <f>IF(V4="Annual","Payment Month",IF($V$4="Bi-Annual","Payment Months",IF($V$4="Monthly","Payment Start Month")))</f>
        <v>Payment Start Month</v>
      </c>
      <c r="T5" s="1061" t="s">
        <v>509</v>
      </c>
      <c r="U5" s="1061" t="s">
        <v>378</v>
      </c>
      <c r="V5" s="1062" t="str">
        <f>IF(V4="Monthly",L20,"")</f>
        <v>April</v>
      </c>
      <c r="W5" s="873"/>
      <c r="X5" s="873"/>
      <c r="Z5" s="1063" t="s">
        <v>455</v>
      </c>
      <c r="AA5" s="1064" t="s">
        <v>332</v>
      </c>
      <c r="AB5" s="1065">
        <v>250</v>
      </c>
      <c r="AC5" s="1066">
        <v>20000</v>
      </c>
    </row>
    <row r="6" spans="2:29" s="278" customFormat="1" ht="12" customHeight="1" x14ac:dyDescent="0.25">
      <c r="B6" s="1052"/>
      <c r="C6" s="409"/>
      <c r="D6" s="291"/>
      <c r="E6" s="291"/>
      <c r="F6" s="291"/>
      <c r="G6" s="291"/>
      <c r="H6" s="291"/>
      <c r="I6" s="878"/>
      <c r="J6" s="1570" t="s">
        <v>26</v>
      </c>
      <c r="K6" s="1571"/>
      <c r="L6" s="1067"/>
      <c r="M6" s="1171">
        <f>'Financing Assumptions'!$H$12</f>
        <v>0.06</v>
      </c>
      <c r="N6" s="1309"/>
      <c r="O6" s="1309"/>
      <c r="Q6" s="875"/>
      <c r="S6" s="1068" t="s">
        <v>429</v>
      </c>
      <c r="T6" s="1169">
        <f>'Financing Assumptions'!H20</f>
        <v>2026</v>
      </c>
      <c r="U6" s="360" t="s">
        <v>432</v>
      </c>
      <c r="V6" s="1169">
        <f>'Financing Assumptions'!$H$23</f>
        <v>2026</v>
      </c>
      <c r="W6" s="873"/>
      <c r="X6" s="873"/>
      <c r="Z6" s="1063" t="s">
        <v>456</v>
      </c>
      <c r="AA6" s="1064" t="s">
        <v>332</v>
      </c>
      <c r="AB6" s="1065">
        <v>1125</v>
      </c>
      <c r="AC6" s="1066">
        <v>0</v>
      </c>
    </row>
    <row r="7" spans="2:29" s="278" customFormat="1" ht="12" customHeight="1" x14ac:dyDescent="0.25">
      <c r="B7" s="1052"/>
      <c r="C7" s="409"/>
      <c r="D7" s="291"/>
      <c r="E7" s="291"/>
      <c r="F7" s="291"/>
      <c r="G7" s="291"/>
      <c r="H7" s="291"/>
      <c r="I7" s="878"/>
      <c r="J7" s="1069"/>
      <c r="K7" s="1070" t="s">
        <v>308</v>
      </c>
      <c r="L7" s="1071"/>
      <c r="M7" s="1171">
        <f>IF($K$7="Actual/360 Rate",($M$6/360)*365,IF($K$7="Base Rate",$M$6))</f>
        <v>6.083333333333333E-2</v>
      </c>
      <c r="N7" s="1309"/>
      <c r="O7" s="1309"/>
      <c r="Q7" s="345"/>
      <c r="S7" s="1072" t="s">
        <v>430</v>
      </c>
      <c r="T7" s="1170" t="str">
        <f>INDEX($AW$22:$AX$34,MATCH(MONTH('Financing Assumptions'!$H$22),$AW$22:$AW$34,0),MATCH("MONTH",$AW$22:$AX$22,0))</f>
        <v>March</v>
      </c>
      <c r="U7" s="342" t="s">
        <v>433</v>
      </c>
      <c r="V7" s="1170" t="str">
        <f>'Financing Assumptions'!$H$24</f>
        <v>April</v>
      </c>
      <c r="W7" s="345"/>
      <c r="X7" s="345"/>
      <c r="Z7" s="1073" t="s">
        <v>457</v>
      </c>
      <c r="AA7" s="1064" t="s">
        <v>332</v>
      </c>
      <c r="AB7" s="1074">
        <v>500</v>
      </c>
      <c r="AC7" s="1075">
        <v>0</v>
      </c>
    </row>
    <row r="8" spans="2:29" s="278" customFormat="1" ht="12" customHeight="1" x14ac:dyDescent="0.25">
      <c r="B8" s="1052"/>
      <c r="C8" s="409"/>
      <c r="D8" s="291"/>
      <c r="E8" s="291"/>
      <c r="F8" s="291"/>
      <c r="G8" s="291"/>
      <c r="H8" s="291"/>
      <c r="I8" s="878"/>
      <c r="J8" s="1566" t="s">
        <v>459</v>
      </c>
      <c r="K8" s="1567"/>
      <c r="L8" s="1076">
        <f>M8/12</f>
        <v>6</v>
      </c>
      <c r="M8" s="892">
        <f>'Financing Assumptions'!$H$14</f>
        <v>72</v>
      </c>
      <c r="N8" s="1310"/>
      <c r="O8" s="1310"/>
      <c r="S8" s="347" t="s">
        <v>462</v>
      </c>
      <c r="T8" s="345"/>
      <c r="U8" s="1077">
        <f>IF($V$4="Annual",$M$5,IF($V$4="Bi-Annual",$M$5*2,IF($V$4="Monthly",$M$5*12)))</f>
        <v>360</v>
      </c>
      <c r="V8" s="348"/>
      <c r="Z8" s="378" t="str">
        <f>"Total "&amp;Z5</f>
        <v>Total Collection Fee</v>
      </c>
      <c r="AA8" s="360"/>
      <c r="AB8" s="360"/>
      <c r="AC8" s="1078">
        <f>SUMIFS(Z20:Z379,J20:J379,"&lt;="&amp;$U$8)</f>
        <v>0</v>
      </c>
    </row>
    <row r="9" spans="2:29" s="278" customFormat="1" ht="11.85" customHeight="1" x14ac:dyDescent="0.25">
      <c r="B9" s="1052"/>
      <c r="C9" s="409"/>
      <c r="D9" s="291"/>
      <c r="E9" s="291"/>
      <c r="F9" s="291"/>
      <c r="G9" s="291"/>
      <c r="H9" s="291"/>
      <c r="I9" s="878"/>
      <c r="J9" s="1572" t="s">
        <v>162</v>
      </c>
      <c r="K9" s="1573"/>
      <c r="L9" s="1079">
        <f>M9/12</f>
        <v>2.1666666666666665</v>
      </c>
      <c r="M9" s="518">
        <f>'Financing Assumptions'!$G$15</f>
        <v>26</v>
      </c>
      <c r="N9" s="1310"/>
      <c r="O9" s="1310"/>
      <c r="S9" s="379" t="s">
        <v>510</v>
      </c>
      <c r="T9" s="342"/>
      <c r="U9" s="1080">
        <f>IF($V$4="Annual",$M$5-$AT$31,IF($V$4="Bi-Annual",($M$5*2)-$AT$31,IF($V$4="Monthly",($M$5*12)-$AT$31)))</f>
        <v>288</v>
      </c>
      <c r="V9" s="568"/>
      <c r="Z9" s="347" t="str">
        <f>"Total "&amp;Z6</f>
        <v>Total Lender Service Fee</v>
      </c>
      <c r="AA9"/>
      <c r="AB9"/>
      <c r="AC9" s="1081">
        <f>SUMIFS(AA20:AA379,J20:J379,"&lt;="&amp;$U$8)</f>
        <v>0</v>
      </c>
    </row>
    <row r="10" spans="2:29" s="278" customFormat="1" ht="11.85" customHeight="1" x14ac:dyDescent="0.25">
      <c r="B10" s="1052"/>
      <c r="C10" s="409"/>
      <c r="D10" s="291"/>
      <c r="E10" s="291"/>
      <c r="F10" s="291"/>
      <c r="G10" s="291"/>
      <c r="H10" s="291"/>
      <c r="I10" s="878"/>
      <c r="J10" s="378" t="s">
        <v>353</v>
      </c>
      <c r="K10" s="360"/>
      <c r="L10" s="360"/>
      <c r="M10" s="354" t="s">
        <v>341</v>
      </c>
      <c r="N10"/>
      <c r="O10"/>
      <c r="S10" s="347" t="s">
        <v>511</v>
      </c>
      <c r="T10" s="345"/>
      <c r="U10" s="345"/>
      <c r="V10" s="1082">
        <f>IF($V$4="Annual",PMT($M$7,($U$8-$AT$33),$M$4),IF($V$4="Bi-Annual",PMT($M$7/2,($U$8-$AT$33),$M$4),IF($V$4="Monthly",PMT($M$7/12,($U$8-$AT$31),$M$4))))</f>
        <v>-307277.87674628111</v>
      </c>
      <c r="Z10" s="379" t="str">
        <f>"Total "&amp;Z7</f>
        <v>Total County Admin Fee</v>
      </c>
      <c r="AA10" s="1050"/>
      <c r="AB10" s="1050"/>
      <c r="AC10" s="1083">
        <f>SUMIFS(AB20:AB379,J20:J379,"&lt;="&amp;$U$8)</f>
        <v>0</v>
      </c>
    </row>
    <row r="11" spans="2:29" s="278" customFormat="1" ht="11.85" customHeight="1" x14ac:dyDescent="0.25">
      <c r="B11" s="1052"/>
      <c r="C11" s="409"/>
      <c r="D11" s="291"/>
      <c r="E11" s="291"/>
      <c r="F11" s="291"/>
      <c r="G11" s="291"/>
      <c r="H11" s="291"/>
      <c r="I11" s="878"/>
      <c r="J11" s="379" t="s">
        <v>220</v>
      </c>
      <c r="K11" s="342"/>
      <c r="L11" s="1084">
        <f>'Operating Assumptions'!$C$48</f>
        <v>25</v>
      </c>
      <c r="M11" s="476">
        <f>ROUND((EOMONTH('Operating Assumptions'!$D$48,0)-EOMONTH('Financing Assumptions'!$H$25,0))/30,0)+1</f>
        <v>23</v>
      </c>
      <c r="N11" s="1310"/>
      <c r="O11" s="1310"/>
      <c r="Q11" s="315"/>
      <c r="R11" s="315"/>
      <c r="S11" s="347" t="s">
        <v>512</v>
      </c>
      <c r="T11" s="345"/>
      <c r="U11" s="345"/>
      <c r="V11" s="1085">
        <f>IF($V$4="Annual",$V$10,IF($V$4="Bi-Annual",$V$10*2,IF($V$4="Monthly",V10*12)))</f>
        <v>-3687334.5209553735</v>
      </c>
      <c r="Z11" s="378" t="s">
        <v>513</v>
      </c>
      <c r="AA11" s="360"/>
      <c r="AB11" s="360"/>
      <c r="AC11" s="1086">
        <f>SUM(SUMIFS($Z$20:$Z$379,$J$20:$J$379,"&lt;="&amp;$U$8),SUMIFS($AA$20:$AA$379,$J$20:$J$379,"&lt;="&amp;$U$8),SUMIFS($AB$20:$AB$379,$J$20:$J$379,"&lt;="&amp;$U$8))</f>
        <v>0</v>
      </c>
    </row>
    <row r="12" spans="2:29" s="278" customFormat="1" ht="11.85" customHeight="1" x14ac:dyDescent="0.25">
      <c r="B12" s="1052"/>
      <c r="C12" s="409"/>
      <c r="D12" s="291"/>
      <c r="E12" s="291"/>
      <c r="F12" s="291"/>
      <c r="G12" s="291"/>
      <c r="H12" s="291"/>
      <c r="I12" s="878"/>
      <c r="J12" s="378" t="s">
        <v>306</v>
      </c>
      <c r="K12" s="360"/>
      <c r="L12" s="360"/>
      <c r="M12" s="1087">
        <f>INDEX($C$19:$X$379,MATCH('Operating Assumptions'!$C$48,$C$19:$C$379,0),MATCH($V$19,$C$19:$X$19,0))</f>
        <v>-2486140.46875</v>
      </c>
      <c r="N12" s="1311"/>
      <c r="O12" s="1311"/>
      <c r="Q12" s="315"/>
      <c r="R12" s="315"/>
      <c r="S12" s="378" t="s">
        <v>514</v>
      </c>
      <c r="T12" s="360"/>
      <c r="U12" s="360"/>
      <c r="V12" s="1088">
        <f>SUM(V13:V14)</f>
        <v>-99336072.252928972</v>
      </c>
      <c r="Z12" s="379" t="s">
        <v>515</v>
      </c>
      <c r="AA12" s="1050"/>
      <c r="AB12" s="1050"/>
      <c r="AC12" s="1083">
        <f>SUMIFS(AC20:AC379,J20:J379,"&lt;="&amp;$U$8)</f>
        <v>-99336072.252929196</v>
      </c>
    </row>
    <row r="13" spans="2:29" s="278" customFormat="1" ht="11.85" customHeight="1" x14ac:dyDescent="0.25">
      <c r="B13" s="1052"/>
      <c r="C13" s="409"/>
      <c r="D13" s="291"/>
      <c r="E13" s="291"/>
      <c r="F13" s="291"/>
      <c r="G13" s="291"/>
      <c r="H13" s="291"/>
      <c r="I13" s="878"/>
      <c r="J13" s="1574" t="s">
        <v>516</v>
      </c>
      <c r="K13" s="1575"/>
      <c r="L13" s="1089"/>
      <c r="M13" s="1090">
        <f>IF($M$9=0,0,INDEX($J$19:$W$379,MATCH($AT$33,$J$19:$J$379,0),MATCH($V$19,$J$19:$W$19,0)))</f>
        <v>-3193099.84375</v>
      </c>
      <c r="N13" s="1312"/>
      <c r="O13" s="1312"/>
      <c r="Q13" s="315"/>
      <c r="R13" s="315"/>
      <c r="S13" s="347" t="s">
        <v>517</v>
      </c>
      <c r="T13" s="345"/>
      <c r="U13" s="345"/>
      <c r="V13" s="1174">
        <f>INDEX($J$19:$W$440,MATCH($U$8,$J$19:$J$440,0),MATCH($U$19,$J$19:$W$19,0))</f>
        <v>-46485000.00000003</v>
      </c>
    </row>
    <row r="14" spans="2:29" s="278" customFormat="1" ht="11.85" customHeight="1" x14ac:dyDescent="0.25">
      <c r="B14" s="1052"/>
      <c r="C14" s="409"/>
      <c r="D14" s="291"/>
      <c r="E14" s="291"/>
      <c r="F14" s="291"/>
      <c r="G14" s="291"/>
      <c r="H14" s="291"/>
      <c r="I14" s="878"/>
      <c r="J14" s="878"/>
      <c r="K14" s="279"/>
      <c r="L14" s="279"/>
      <c r="M14" s="279"/>
      <c r="N14" s="279"/>
      <c r="O14" s="279"/>
      <c r="P14" s="279"/>
      <c r="S14" s="379" t="s">
        <v>518</v>
      </c>
      <c r="T14" s="342"/>
      <c r="U14" s="342"/>
      <c r="V14" s="1175">
        <f>INDEX($J$19:$W$440,MATCH($U$8,$J$19:$J$440,0),MATCH($V$19,$J$19:$W$19,0))-M13</f>
        <v>-52851072.252928942</v>
      </c>
    </row>
    <row r="15" spans="2:29" s="278" customFormat="1" ht="11.85" customHeight="1" x14ac:dyDescent="0.25">
      <c r="B15" s="1052"/>
      <c r="C15" s="409"/>
      <c r="D15" s="291"/>
      <c r="E15" s="291"/>
      <c r="F15" s="291"/>
      <c r="G15" s="291"/>
      <c r="H15" s="291"/>
      <c r="I15" s="878"/>
      <c r="J15" s="878"/>
      <c r="K15" s="279"/>
      <c r="L15" s="279"/>
      <c r="M15" s="279"/>
      <c r="N15" s="279"/>
      <c r="O15" s="279"/>
      <c r="P15" s="279"/>
      <c r="Q15" s="315"/>
      <c r="R15" s="315"/>
      <c r="S15" s="379" t="s">
        <v>519</v>
      </c>
      <c r="T15" s="342">
        <f>IF($AU$43="Early Payoff",'Financing Assumptions'!$G$26,INDEX($C$19:$F$440,MATCH($V$15,$F$19:$F$440,0),MATCH("Month",$C$19:$F$19,0)))</f>
        <v>362</v>
      </c>
      <c r="U15" s="342">
        <f>INDEX($C$19:$J$440,MATCH($T$15,$C$19:$C$440,0),MATCH("Period",$C$19:$J$19,0))</f>
        <v>360</v>
      </c>
      <c r="V15" s="1091">
        <f>'Financing Assumptions'!$H$26</f>
        <v>57070</v>
      </c>
    </row>
    <row r="16" spans="2:29" s="278" customFormat="1" ht="11.85" customHeight="1" x14ac:dyDescent="0.25">
      <c r="B16" s="1052"/>
      <c r="C16" s="409"/>
      <c r="D16" s="291"/>
      <c r="E16" s="291"/>
      <c r="F16" s="291"/>
      <c r="G16" s="291"/>
      <c r="H16" s="291"/>
      <c r="I16" s="878"/>
      <c r="J16" s="878"/>
      <c r="K16" s="279"/>
      <c r="L16" s="279"/>
      <c r="M16" s="279"/>
      <c r="N16" s="279"/>
      <c r="O16" s="279"/>
      <c r="P16" s="279"/>
    </row>
    <row r="17" spans="2:70" s="278" customFormat="1" ht="11.85" customHeight="1" x14ac:dyDescent="0.25">
      <c r="B17" s="1052"/>
      <c r="C17" s="410"/>
      <c r="D17" s="280"/>
      <c r="E17" s="280"/>
      <c r="F17" s="280"/>
      <c r="G17" s="280"/>
      <c r="H17" s="280"/>
      <c r="I17" s="877"/>
      <c r="J17" s="877"/>
      <c r="K17" s="279"/>
      <c r="L17" s="279"/>
      <c r="P17" s="279"/>
    </row>
    <row r="18" spans="2:70" s="278" customFormat="1" ht="18" customHeight="1" x14ac:dyDescent="0.25">
      <c r="B18" s="1052"/>
      <c r="C18" s="410"/>
      <c r="D18" s="280"/>
      <c r="E18" s="280"/>
      <c r="F18" s="280"/>
      <c r="G18" s="280"/>
      <c r="H18" s="280"/>
      <c r="I18" s="877"/>
      <c r="J18" s="1576" t="s">
        <v>451</v>
      </c>
      <c r="K18" s="1577"/>
      <c r="L18" s="1577"/>
      <c r="M18" s="1577"/>
      <c r="N18" s="1577"/>
      <c r="O18" s="1577"/>
      <c r="P18" s="1577"/>
      <c r="Q18" s="1577"/>
      <c r="R18" s="1577"/>
      <c r="S18" s="1577"/>
      <c r="T18" s="1577"/>
      <c r="U18" s="1577"/>
      <c r="V18" s="1577"/>
      <c r="W18" s="1577"/>
      <c r="X18" s="1578"/>
      <c r="Z18" s="1561" t="s">
        <v>458</v>
      </c>
      <c r="AA18" s="1562"/>
      <c r="AB18" s="1562"/>
      <c r="AC18" s="1563"/>
      <c r="AE18" s="1561" t="s">
        <v>521</v>
      </c>
      <c r="AF18" s="1562"/>
      <c r="AG18" s="1562"/>
      <c r="AH18" s="1562"/>
      <c r="AI18" s="1562"/>
      <c r="AJ18" s="1562"/>
      <c r="AK18" s="1562"/>
      <c r="AL18" s="1562"/>
      <c r="AM18" s="1562"/>
      <c r="AN18" s="1562"/>
      <c r="AO18" s="1562"/>
      <c r="AP18" s="1563"/>
      <c r="AQ18" s="347"/>
      <c r="AX18" s="1092"/>
      <c r="AY18" s="1092"/>
      <c r="AZ18" s="1093"/>
    </row>
    <row r="19" spans="2:70" s="278" customFormat="1" ht="27" customHeight="1" x14ac:dyDescent="0.25">
      <c r="B19" s="1163" t="s">
        <v>522</v>
      </c>
      <c r="C19" s="1094" t="s">
        <v>33</v>
      </c>
      <c r="D19" s="893"/>
      <c r="E19" s="893"/>
      <c r="F19" s="1095" t="s">
        <v>227</v>
      </c>
      <c r="G19" s="893"/>
      <c r="H19" s="893"/>
      <c r="I19" s="894"/>
      <c r="J19" s="1096" t="s">
        <v>460</v>
      </c>
      <c r="K19" s="333" t="s">
        <v>452</v>
      </c>
      <c r="L19" s="332" t="s">
        <v>33</v>
      </c>
      <c r="M19" s="332" t="s">
        <v>32</v>
      </c>
      <c r="N19" s="332" t="s">
        <v>606</v>
      </c>
      <c r="O19" s="332" t="s">
        <v>607</v>
      </c>
      <c r="P19" s="332" t="s">
        <v>34</v>
      </c>
      <c r="Q19" s="332" t="s">
        <v>42</v>
      </c>
      <c r="R19" s="332" t="s">
        <v>523</v>
      </c>
      <c r="S19" s="332" t="s">
        <v>9</v>
      </c>
      <c r="T19" s="332" t="s">
        <v>43</v>
      </c>
      <c r="U19" s="334" t="s">
        <v>38</v>
      </c>
      <c r="V19" s="332" t="s">
        <v>39</v>
      </c>
      <c r="W19" s="332" t="s">
        <v>40</v>
      </c>
      <c r="X19" s="331" t="s">
        <v>524</v>
      </c>
      <c r="Z19" s="333" t="str">
        <f>Z5</f>
        <v>Collection Fee</v>
      </c>
      <c r="AA19" s="334" t="str">
        <f>Z6</f>
        <v>Lender Service Fee</v>
      </c>
      <c r="AB19" s="332" t="str">
        <f>Z7</f>
        <v>County Admin Fee</v>
      </c>
      <c r="AC19" s="331" t="s">
        <v>525</v>
      </c>
      <c r="AE19" s="335"/>
      <c r="AF19" s="332" t="s">
        <v>32</v>
      </c>
      <c r="AG19" s="332" t="s">
        <v>34</v>
      </c>
      <c r="AH19" s="332" t="s">
        <v>42</v>
      </c>
      <c r="AI19" s="332" t="s">
        <v>9</v>
      </c>
      <c r="AJ19" s="332" t="s">
        <v>43</v>
      </c>
      <c r="AK19" s="332" t="s">
        <v>419</v>
      </c>
      <c r="AL19" s="334" t="s">
        <v>38</v>
      </c>
      <c r="AM19" s="332" t="s">
        <v>39</v>
      </c>
      <c r="AN19" s="332" t="s">
        <v>526</v>
      </c>
      <c r="AO19" s="332" t="s">
        <v>40</v>
      </c>
      <c r="AP19" s="331" t="s">
        <v>524</v>
      </c>
      <c r="AQ19" s="345"/>
      <c r="AX19" s="345"/>
      <c r="AY19" s="1092"/>
      <c r="AZ19"/>
      <c r="BA19"/>
      <c r="BB19"/>
      <c r="BC19"/>
      <c r="BD19"/>
      <c r="BE19"/>
      <c r="BF19"/>
    </row>
    <row r="20" spans="2:70" s="278" customFormat="1" ht="12" customHeight="1" x14ac:dyDescent="0.25">
      <c r="B20" s="1108">
        <f>IF(C20&lt;'Financing Assumptions'!$G$25,0,IF(C20='Financing Assumptions'!$G$25,1,IF(C20&gt;'Financing Assumptions'!$G$25,B19+1)))</f>
        <v>1</v>
      </c>
      <c r="C20" s="1097">
        <f>HLOOKUP(F20,'Monthly CF'!$H$11:$FT$13,2)</f>
        <v>3</v>
      </c>
      <c r="D20" s="732">
        <f>DAY(EOMONTH(DATE($M20,$E20,1),0))</f>
        <v>30</v>
      </c>
      <c r="E20" s="35">
        <f>INDEX($AV$22:$AW$34,MATCH($L20,$AV$22:$AV$34,0),MATCH("Number",$AV$22:$AW$22,0))</f>
        <v>4</v>
      </c>
      <c r="F20" s="889">
        <f>DATE(M20,E20,D20)</f>
        <v>46142</v>
      </c>
      <c r="G20" s="822">
        <f>INDEX($AV$22:$AW$34,MATCH($L20,$AV$22:$AV$34,0),MATCH("Number",$AV$22:$AW$22,0))</f>
        <v>4</v>
      </c>
      <c r="H20" s="126">
        <f t="shared" ref="H20:H83" si="0">IF($V$4="Monthly",INDEX($AV$36:$AW$48,MATCH($L20,$AV$36:$AV$48,0),MATCH("Number",$AV$36:$AW$36,0)),0)</f>
        <v>0</v>
      </c>
      <c r="I20" s="1098">
        <f>IF($V$4="Annual",1,IF(AND($V$4="Bi-Annual",$G20&gt;$G21),1,IF(AND($V$4="Bi-Annual",$G20&lt;$G21),0,IF($V$4="Monthly",0,))))</f>
        <v>0</v>
      </c>
      <c r="J20" s="886">
        <v>1</v>
      </c>
      <c r="K20" s="1099">
        <f>IF($J20&lt;$AT$33,0,1)</f>
        <v>0</v>
      </c>
      <c r="L20" s="891" t="str">
        <f>IF($V$4="Annual",$T$5,IF(AND($V$4="Bi-Annual",($AU$23+1)&gt;MAX($T$4,$U$4)),INDEX($AW$22:$AX$34,MATCH(MIN($T$4,$U$4),$AW$22:$AW$34,0),MATCH("Month",$AW$22:$AX$22,0)),IF(AND($V$4="Bi-Annual",($AU$23+1)&lt;=MIN($T$4,$U$4)),INDEX($AW$22:$AX$34,MATCH(MIN($T$4,$U$4),$AW$22:$AW$34,0),MATCH("Month",$AW$22:$AX$22,0)),IF(AND($V$4="Bi-Annual",($AU$23+1)&gt;MIN($T$4,$U$4),($AU$23+1)&lt;=MAX($T$4,$U$4)),INDEX($AW$22:$AX$34,MATCH(MAX($T$4,$U$4),$AW$22:$AW$34,0),MATCH("Month",$AW$22:$AX$22,0)),IF($V$4="Monthly",INDEX($AW$22:$AX$34,MATCH($AU$23+1,$AW$22:$AW$34,0),MATCH("Month",$AW$22:$AX$22,0)))))))</f>
        <v>April</v>
      </c>
      <c r="M20" s="888">
        <f>IF(AND($V$4="Annual",($AU$23+1)&lt;$T$4),$T$6,IF(AND($V$4="Annual",($AU$23+1)&gt;$T$4),$T$6+1,IF(AND($V$4="Bi-Annual",($AU$23+1)&lt;MAX($T$4,$U$4)),$T$6,IF(AND($V$4="Bi-Annual",($AU$23+1)&gt;MAX($T$4,$U$4)),$T$6+1,IF(AND($V$4="Monthly",$T$7&lt;&gt;"December"),$T$6,IF(AND($V$4="Monthly",$T$7="December"),$T$6+1))))))</f>
        <v>2026</v>
      </c>
      <c r="N20" s="1284">
        <f>IF(B20=0,0,IF($B20&lt;=$M$11,INDEX($AZ$26:$BM$63,MATCH($B20,$AZ$26:$AZ$63,0),MATCH($M$10,$AZ$27:$BM$27,0)),0))</f>
        <v>743760</v>
      </c>
      <c r="O20" s="1284">
        <f>IF($B20&lt;=$M$11,INDEX($AZ$26:$BM$63,MATCH($B20,$AZ$26:$AZ$63,0),MATCH($M$10,$AZ$26:$BM$26,0)),0)</f>
        <v>743760</v>
      </c>
      <c r="P20" s="883">
        <f>IF(AND($AU$43="Early Payoff",$J20&gt;$U$15),0,IF(AND($AU$43="Early Payoff",$J20&lt;$U$15),SUM(N20,$W19),IF(AND($AU$43="Full-Term",$J20&lt;$U$15),SUM(N20,$W19),IF($J20&gt;$U$8,0,$W19))))</f>
        <v>743760</v>
      </c>
      <c r="Q20" s="883">
        <f>IF($J20&gt;$U$8,0,IF(AND($AT$33&gt;=0,$J20&lt;=$AT$33),0,IF(AND($AT$31&gt;=0,$J20&lt;=$AT$31),$T20,IF(AND($V$4="Annual",$AT$31&gt;=0,$AT$33&gt;=0,$J20&gt;$AT$31,$J20&gt;$AT$33),PMT($M$7,($U$8-$AT$31),$M$4),IF(AND($V$4="Bi-Annual",$AT$31&gt;=0,$AT$33&gt;=0,$J20&gt;$AT$31,$J20&gt;$AT$33),PMT($M$7/2,($U$8-$AT$31),$M$4),IF(AND($V$4="Monthly",$AT$31&gt;=0,$AT$33&gt;=0,$J20&gt;$AT$31,$J20&gt;$AT$33),PMT($M$7/12,($U$8-$AT$31),$M$4)))))))-R20</f>
        <v>0</v>
      </c>
      <c r="R20" s="1100"/>
      <c r="S20" s="883">
        <f t="shared" ref="S20:S83" si="1">IF(AND($AU$43="Early Payoff",J20&gt;=$U$15),0,IF($J20&gt;$U$8,0,IF(AND($AT$33&gt;0,$J20&lt;=$AT$33),0,+$Q20-$T20)))</f>
        <v>0</v>
      </c>
      <c r="T20" s="884">
        <f>IF($V$4="Annual",-$M$7*$P$20*1,IF($V$4="Bi-Annual",(-$M$7/2)*$P$20*1,IF($V$4="Monthly",(-$M$7/12)*0*1)))</f>
        <v>0</v>
      </c>
      <c r="U20" s="884">
        <f>IF(AND($AU$43="Early Payoff",J20&gt;$U$15),0,IF($J20&lt;=$U$8,SUM($S$20:$S20),0))</f>
        <v>0</v>
      </c>
      <c r="V20" s="884">
        <f>IF(AND($AU$43="Early Payoff",J20&gt;$U$15),0,IF($J20&lt;=$U$8,SUM($T$20:$T20),0))</f>
        <v>0</v>
      </c>
      <c r="W20" s="885">
        <f>IF($K20&lt;=$U$15,SUM($P20,$S20),0)</f>
        <v>743760</v>
      </c>
      <c r="X20" s="1101">
        <f>IF($C20&lt;$L$11,$M$4,$P20)</f>
        <v>46485000</v>
      </c>
      <c r="Z20" s="1102">
        <f t="shared" ref="Z20:Z83" si="2">IF($J20&gt;$U$8,0,IF($J20&lt;=$AT$31,0,IF(AND($AA$5="%/Payment",$AC$5=0),$Q20*$AB$5,IF(AND($AA$5="%/Payment",$AC$5&gt;0,($Q20*$AB$5)&lt;$AC$5),$Q20*$AB$5,IF(AND($AA$5="%/Payment",$AC$5&gt;0,($Q20*$AB$5)&gt;$AC$5),-$AC$5,IF(AND($AA$5="%/Balance",$AC$5=0),-$W20*$AB$5,IF(AND($AA$5="%/Balance",$AC$5&gt;0,($W20*$AB$5)&lt;$AC$5),-$W20*$AB$5,IF(AND($AA$5="%/Balance",$AC$5&gt;0,($W20*$AB$5)&gt;$AC$5),-$AC$5,IF($AA$5="Fixed Amount",-$AB$5,IF($AA$5="N/A",0))))))))))</f>
        <v>0</v>
      </c>
      <c r="AA20" s="873">
        <f t="shared" ref="AA20:AA83" si="3">IF($J20&gt;$U$8,0,IF($J20&lt;=$AT$31,0,IF(AND($AA$6="%/Payment",$AC$6=0),$Q20*$AB$6,IF(AND($AA$6="%/Payment",$AC$6&gt;0,($Q20*$AB$6)&lt;$AC$6),$Q20*$AB$6,IF(AND($AA$6="%/Payment",$AC$6&gt;0,($Q20*$AB$6)&gt;$AC$6),-$AC$6,IF(AND($AA$6="%/Balance",$AC$6=0),-$W20*$AB$6,IF(AND($AA$6="%/Balance",$AC$6&gt;0,($W20*$AB$6)&lt;$AC$6),-$W20*$AB$6,IF(AND($AA$6="%/Balance",$AC$6&gt;0,($W20*$AB$6)&gt;$AC$6),-$AC$6,IF($AA$6="Fixed Amount",-$AB$6,IF($AA$6="N/A",0))))))))))</f>
        <v>0</v>
      </c>
      <c r="AB20" s="873">
        <f t="shared" ref="AB20:AB83" si="4">IF($J20&gt;$U$8,0,IF($J20&lt;=$AT$31,0,IF(AND($AA$7="%/Payment",$AC$7=0),$Q20*$AB$7,IF(AND($AA$7="%/Payment",$AC$7&gt;0,($Q20*$AB$7)&lt;$AC$7),$Q20*$AB$7,IF(AND($AA$7="%/Payment",$AC$7&gt;0,($Q20*$AB$7)&gt;$AC$7),-$AC$7,IF(AND($AA$7="%/Balance",$AC$7=0),-$W20*$AB$7,IF(AND($AA$7="%/Balance",$AC$7&gt;0,($W20*$AB$7)&lt;$AC$7),-$W20*$AB$7,IF(AND($AA$7="%/Balance",$AC$7&gt;0,($Q20*$AB$7)&gt;$AC$7),-$AC$7,IF($AA$7="Fixed Amount",-$AB$7,IF($AA$7="N/A",0))))))))))</f>
        <v>0</v>
      </c>
      <c r="AC20" s="885">
        <f t="shared" ref="AC20:AC83" si="5">SUM($Q20,$Z20:$AB20)</f>
        <v>0</v>
      </c>
      <c r="AE20" s="355">
        <f>IF(AND(OR($V$4="Bi-Annual",$V$4="Annual"),$M$20=$T$6),0,IF(AND(OR($V$4="Bi-Annual",$V$4="Annual"),$M$20&gt;$T$6),1,IF(AND(V4="Monthly",$L$20="January"),1,IF(AND(V4="Monthly",$L$20&lt;&gt;"January"),0))))</f>
        <v>0</v>
      </c>
      <c r="AF20" s="1103">
        <f>$M$20</f>
        <v>2026</v>
      </c>
      <c r="AG20" s="1104">
        <f>INDEX($M$19:$P$379,MATCH($AF20,$M$19:$M$379,0),MATCH($AG$19,$M$19:$P$19,0))</f>
        <v>743760</v>
      </c>
      <c r="AH20" s="1104">
        <f>SUMIFS($AC$20:$AC$379,$M$20:$M$379,"="&amp;$AF20)</f>
        <v>0</v>
      </c>
      <c r="AI20" s="1104">
        <f>SUMIFS($S$20:$S$379,$M$20:$M$379,"="&amp;$AF20)</f>
        <v>0</v>
      </c>
      <c r="AJ20" s="1104">
        <f>SUMIFS($T$20:$T$379,$M$20:$M$379,"="&amp;$AF20)</f>
        <v>-187579.88749999998</v>
      </c>
      <c r="AK20" s="1104">
        <f>SUMIFS($Z$20:$Z$379,$M$20:$M$379,"="&amp;$AF20)+SUMIFS($AA$20:$AA$379,$M$20:$M$379,"="&amp;$AF20)+SUMIFS($AB$20:$AB$379,$M$20:$M$379,"="&amp;$AF20)</f>
        <v>0</v>
      </c>
      <c r="AL20" s="1104">
        <f>IF($AG20=0,0,SUM($AI$20:$AI20))</f>
        <v>0</v>
      </c>
      <c r="AM20" s="1104">
        <f>IF($AG20=0,0,SUM($AJ$20:$AJ20))</f>
        <v>-187579.88749999998</v>
      </c>
      <c r="AN20" s="1104">
        <f>SUM($AK$20:$AK20)</f>
        <v>0</v>
      </c>
      <c r="AO20" s="1105">
        <f>AG20+AI20</f>
        <v>743760</v>
      </c>
      <c r="AP20" s="1104"/>
      <c r="AQ20" s="347"/>
      <c r="AS20" s="1106" t="s">
        <v>44</v>
      </c>
      <c r="AT20" s="360"/>
      <c r="AU20" s="360"/>
      <c r="AV20" s="360"/>
      <c r="AW20" s="360"/>
      <c r="AX20" s="1107"/>
      <c r="AY20" s="1092"/>
      <c r="AZ20" s="470"/>
      <c r="BA20" s="438"/>
      <c r="BB20" s="469" t="s">
        <v>352</v>
      </c>
      <c r="BC20" s="475">
        <f>M4</f>
        <v>46485000</v>
      </c>
      <c r="BD20" s="474"/>
      <c r="BE20" s="469"/>
      <c r="BF20" s="473"/>
      <c r="BG20" s="472"/>
      <c r="BH20" s="471"/>
      <c r="BI20" s="438"/>
      <c r="BJ20" s="438"/>
      <c r="BK20" s="438"/>
      <c r="BL20" s="438"/>
      <c r="BM20" s="438"/>
      <c r="BN20" s="438"/>
      <c r="BO20"/>
      <c r="BP20" s="438"/>
      <c r="BQ20" s="438"/>
      <c r="BR20" s="438"/>
    </row>
    <row r="21" spans="2:70" s="278" customFormat="1" ht="12" customHeight="1" x14ac:dyDescent="0.25">
      <c r="B21" s="1108">
        <f>IF(C21&lt;'Financing Assumptions'!$G$25,0,IF(C21='Financing Assumptions'!$G$25,1,IF(C21&gt;'Financing Assumptions'!$G$25,B20+1)))</f>
        <v>2</v>
      </c>
      <c r="C21" s="1109">
        <f>C20+1</f>
        <v>4</v>
      </c>
      <c r="D21" s="732">
        <f t="shared" ref="D21:D83" si="6">DAY(EOMONTH(DATE($M21,$E21,1),0))</f>
        <v>31</v>
      </c>
      <c r="E21" s="35">
        <f t="shared" ref="E21:E83" si="7">INDEX($AV$22:$AW$34,MATCH($L21,$AV$22:$AV$34,0),MATCH("Number",$AV$22:$AW$22,0))</f>
        <v>5</v>
      </c>
      <c r="F21" s="889">
        <f>DATE(M21,E21,D21)</f>
        <v>46173</v>
      </c>
      <c r="G21" s="822">
        <f t="shared" ref="G21:G83" si="8">INDEX($AV$22:$AW$34,MATCH($L21,$AV$22:$AV$34,0),MATCH("Number",$AV$22:$AW$22,0))</f>
        <v>5</v>
      </c>
      <c r="H21" s="126">
        <f t="shared" si="0"/>
        <v>0</v>
      </c>
      <c r="I21" s="1098">
        <f>IF($V$4="Annual",1,IF(AND($V$4="Bi-Annual",$G21&gt;$G22),1,IF(AND($V$4="Bi-Annual",$G21&lt;$G22),0,IF($V$4="Monthly",0,))))</f>
        <v>0</v>
      </c>
      <c r="J21" s="887">
        <f>J20+1</f>
        <v>2</v>
      </c>
      <c r="K21" s="1099">
        <f t="shared" ref="K21:K84" si="9">IF($J21&lt;=$AT$33,0,IF($J20&gt;=$AT$33,$K20+1))</f>
        <v>0</v>
      </c>
      <c r="L21" s="891" t="str">
        <f>IF($V$4="Annual",$T$5,IF(AND($V$4="Bi-Annual",$G20&lt;MAX($T$4,$U$4)),INDEX($AW$22:$AX$34,MATCH(MAX($T$4,$U$4),$AW$22:$AW$34,0),MATCH("Month",$AW$22:$AX$22,0)),IF(AND($V$4="Bi-Annual",$G20=MAX($T$4,$U$4)),INDEX($AW$22:$AX$34,MATCH(MIN($T$4,$U$4),$AW$22:$AW$34,0),MATCH("Month",$AW$22:$AX$22,0)),IF(AND($V$4="Monthly",$G20&lt;12),INDEX($AW$22:$AX$34,MATCH($G20+1,$AW$22:$AW$34,0),MATCH("Month",$AW$22:$AX$22,0)),IF(AND($V$4="Monthly",$G20=12),INDEX($AW$22:$AX$34,MATCH($G20-11,$AW$22:$AW$34,0),MATCH("Month",$AW$22:$AX$22,0)))))))</f>
        <v>May</v>
      </c>
      <c r="M21" s="888">
        <f>IF($V$4="Annual",$M20+$I21,IF($V$4="Bi-Annual",$M20+$I20,IF($V$4="Monthly",$M20+$H20)))</f>
        <v>2026</v>
      </c>
      <c r="N21" s="1284">
        <f>IF(B21=0,0,IF($B21&lt;=$M$11,INDEX($AZ$26:$BM$63,MATCH($B21,$AZ$26:$AZ$63,0),MATCH($M$10,$AZ$27:$BM$27,0)),0))</f>
        <v>743760</v>
      </c>
      <c r="O21" s="1284">
        <f>IF($B21&lt;=$M$11,INDEX($AZ$26:$BM$63,MATCH($B21,$AZ$26:$AZ$63,0),MATCH($M$10,$AZ$26:$BM$26,0)),0)</f>
        <v>1487520</v>
      </c>
      <c r="P21" s="883">
        <f>IF(AND($AU$43="Early Payoff",$J21&gt;$U$15),0,IF(AND($AU$43="Early Payoff",$J21&lt;$U$15),SUM(N21,$W20),IF(AND($AU$43="Full-Term",$J21&lt;$U$15),SUM(N21,$W20),IF($J21&gt;$U$8,0,$W20))))</f>
        <v>1487520</v>
      </c>
      <c r="Q21" s="883">
        <f t="shared" ref="Q21:Q84" si="10">IF(AND($AU$43="Early Payoff",J21&gt;=$U$15),0,IF($J21&gt;$U$8,0,IF(AND($AT$33&gt;=0,$J21&lt;=$AT$33),0,IF(AND($AT$31&gt;=0,$J21&lt;=$AT$31),$T21,IF(AND($V$4="Annual",$AT$31&gt;=0,$AT$33&gt;=0,$J21&gt;$AT$31,$J21&gt;$AT$33),PMT($M$7,($U$8-$AT$31),$M$4),IF(AND($V$4="Bi-Annual",$AT$31&gt;=0,$AT$33&gt;=0,$J21&gt;$AT$31,$J21&gt;$AT$33),PMT($M$7/2,($U$8-$AT$31),$M$4),IF(AND($V$4="Monthly",$AT$31&gt;=0,$AT$33&gt;=0,$J21&gt;$AT$31,$J21&gt;$AT$33),PMT($M$7/12,($U$8-$AT$31),$M$4))))))))-R21</f>
        <v>0</v>
      </c>
      <c r="R21" s="1100"/>
      <c r="S21" s="883">
        <f t="shared" si="1"/>
        <v>0</v>
      </c>
      <c r="T21" s="884">
        <f>IF(AND($AU$43="Early Payoff",J21&gt;=$U$15),0,IF($V$4="Annual",-$M$7*$W20*1,IF($V$4="Bi-Annual",(-$M$7/2)*$W20*1,IF($V$4="Monthly",(-$M$7/12)*$W20*1))))</f>
        <v>-3770.45</v>
      </c>
      <c r="U21" s="884">
        <f>IF(AND($AU$43="Early Payoff",J21&gt;$U$15),0,IF($J21&lt;=$U$8,SUM($S$20:$S21),0))</f>
        <v>0</v>
      </c>
      <c r="V21" s="884">
        <f>IF(AND($AU$43="Early Payoff",J21&gt;$U$15),0,IF($J21&lt;=$U$8,SUM($T$20:$T21),0))</f>
        <v>-3770.45</v>
      </c>
      <c r="W21" s="885">
        <f t="shared" ref="W21:W84" si="11">IF($K21&lt;=$U$15,SUM($P21,$S21),0)</f>
        <v>1487520</v>
      </c>
      <c r="X21" s="1110">
        <f>IF($C21&lt;$L$11,$M$4,$P21)</f>
        <v>46485000</v>
      </c>
      <c r="Z21" s="1102">
        <f t="shared" si="2"/>
        <v>0</v>
      </c>
      <c r="AA21" s="873">
        <f t="shared" si="3"/>
        <v>0</v>
      </c>
      <c r="AB21" s="873">
        <f t="shared" si="4"/>
        <v>0</v>
      </c>
      <c r="AC21" s="885">
        <f t="shared" si="5"/>
        <v>0</v>
      </c>
      <c r="AE21" s="355">
        <f>AE20+1</f>
        <v>1</v>
      </c>
      <c r="AF21" s="1103">
        <f>AF20+1</f>
        <v>2027</v>
      </c>
      <c r="AG21" s="1104">
        <f t="shared" ref="AG21:AG49" si="12">INDEX($M$19:$P$379,MATCH($AF21,$M$19:$M$379,0),MATCH($AG$19,$M$19:$P$19,0))</f>
        <v>14968170</v>
      </c>
      <c r="AH21" s="1104">
        <f t="shared" ref="AH21:AH49" si="13">SUMIFS($AC$20:$AC$379,$M$20:$M$379,"="&amp;$AF21)</f>
        <v>0</v>
      </c>
      <c r="AI21" s="1104">
        <f t="shared" ref="AI21:AI49" si="14">SUMIFS($S$20:$S$379,$M$20:$M$379,"="&amp;$AF21)</f>
        <v>0</v>
      </c>
      <c r="AJ21" s="1104">
        <f t="shared" ref="AJ21:AJ49" si="15">SUMIFS($T$20:$T$379,$M$20:$M$379,"="&amp;$AF21)</f>
        <v>-1834323.9249999998</v>
      </c>
      <c r="AK21" s="1104">
        <f t="shared" ref="AK21:AK49" si="16">SUMIFS($Z$20:$Z$379,$M$20:$M$379,"="&amp;$AF21)+SUMIFS($AA$20:$AA$379,$M$20:$M$379,"="&amp;$AF21)+SUMIFS($AB$20:$AB$379,$M$20:$M$379,"="&amp;$AF21)</f>
        <v>0</v>
      </c>
      <c r="AL21" s="1104">
        <f>IF($AG21=0,0,SUM($AI$20:$AI21))</f>
        <v>0</v>
      </c>
      <c r="AM21" s="1104">
        <f>IF($AG21=0,0,SUM($AJ$20:$AJ21))</f>
        <v>-2021903.8124999998</v>
      </c>
      <c r="AN21" s="1104">
        <f>SUM($AK$20:$AK21)</f>
        <v>0</v>
      </c>
      <c r="AO21" s="1105">
        <f>AG21+AI21</f>
        <v>14968170</v>
      </c>
      <c r="AP21" s="1104"/>
      <c r="AQ21" s="347"/>
      <c r="AS21" s="347"/>
      <c r="AT21" s="345"/>
      <c r="AU21" s="345"/>
      <c r="AV21" s="345"/>
      <c r="AW21" s="1092"/>
      <c r="AX21" s="348"/>
      <c r="AY21" s="1092"/>
      <c r="AZ21" s="470"/>
      <c r="BA21" s="438"/>
      <c r="BB21" s="469" t="s">
        <v>351</v>
      </c>
      <c r="BC21" s="468">
        <f>M11</f>
        <v>23</v>
      </c>
      <c r="BD21" s="467"/>
      <c r="BE21" s="466"/>
      <c r="BF21" s="451"/>
      <c r="BG21" s="440"/>
      <c r="BH21" s="438"/>
      <c r="BI21" s="438"/>
      <c r="BJ21" s="438"/>
      <c r="BK21" s="438"/>
      <c r="BL21" s="438"/>
      <c r="BM21" s="438"/>
      <c r="BN21" s="438"/>
      <c r="BO21" s="465"/>
      <c r="BP21" s="440"/>
      <c r="BQ21" s="440"/>
      <c r="BR21" s="440"/>
    </row>
    <row r="22" spans="2:70" s="278" customFormat="1" ht="12" customHeight="1" x14ac:dyDescent="0.25">
      <c r="B22" s="1108">
        <f>IF(C22&lt;'Financing Assumptions'!$G$25,0,IF(C22='Financing Assumptions'!$G$25,1,IF(C22&gt;'Financing Assumptions'!$G$25,B21+1)))</f>
        <v>3</v>
      </c>
      <c r="C22" s="1109">
        <f t="shared" ref="C22:C85" si="17">C21+1</f>
        <v>5</v>
      </c>
      <c r="D22" s="732">
        <f t="shared" si="6"/>
        <v>30</v>
      </c>
      <c r="E22" s="35">
        <f t="shared" si="7"/>
        <v>6</v>
      </c>
      <c r="F22" s="889">
        <f>DATE(M22,E22,D22)</f>
        <v>46203</v>
      </c>
      <c r="G22" s="822">
        <f t="shared" si="8"/>
        <v>6</v>
      </c>
      <c r="H22" s="126">
        <f t="shared" si="0"/>
        <v>0</v>
      </c>
      <c r="I22" s="1098">
        <f>IF($V$4="Annual",1,IF(AND($V$4="Bi-Annual",$G22&gt;$G23),1,IF(AND($V$4="Bi-Annual",$G22&lt;$G23),0,IF($V$4="Monthly",0,))))</f>
        <v>0</v>
      </c>
      <c r="J22" s="887">
        <f t="shared" ref="J22:J85" si="18">J21+1</f>
        <v>3</v>
      </c>
      <c r="K22" s="1099">
        <f t="shared" si="9"/>
        <v>0</v>
      </c>
      <c r="L22" s="891" t="str">
        <f t="shared" ref="L22:L84" si="19">IF($V$4="Annual",$T$5,IF(AND($V$4="Bi-Annual",$G21&lt;MAX($T$4,$U$4)),INDEX($AW$22:$AX$34,MATCH(MAX($T$4,$U$4),$AW$22:$AW$34,0),MATCH("Month",$AW$22:$AX$22,0)),IF(AND($V$4="Bi-Annual",$G21=MAX($T$4,$U$4)),INDEX($AW$22:$AX$34,MATCH(MIN($T$4,$U$4),$AW$22:$AW$34,0),MATCH("Month",$AW$22:$AX$22,0)),IF(AND($V$4="Monthly",$G21&lt;12),INDEX($AW$22:$AX$34,MATCH($G21+1,$AW$22:$AW$34,0),MATCH("Month",$AW$22:$AX$22,0)),IF(AND($V$4="Monthly",$G21=12),INDEX($AW$22:$AX$34,MATCH($G21-11,$AW$22:$AW$34,0),MATCH("Month",$AW$22:$AX$22,0)))))))</f>
        <v>June</v>
      </c>
      <c r="M22" s="888">
        <f t="shared" ref="M22:M85" si="20">IF($V$4="Annual",$M21+$I22,IF($V$4="Bi-Annual",$M21+$I21,IF($V$4="Monthly",$M21+$H21)))</f>
        <v>2026</v>
      </c>
      <c r="N22" s="1284">
        <f>IF(B22=0,0,IF($B22&lt;=$M$11,INDEX($AZ$26:$BM$63,MATCH($B22,$AZ$26:$AZ$63,0),MATCH($M$10,$AZ$27:$BM$27,0)),0))</f>
        <v>836730</v>
      </c>
      <c r="O22" s="1284">
        <f t="shared" ref="O22:O85" si="21">IF($B22&lt;=$M$11,INDEX($AZ$26:$BM$63,MATCH($B22,$AZ$26:$AZ$63,0),MATCH($M$10,$AZ$26:$BM$26,0)),0)</f>
        <v>2324250</v>
      </c>
      <c r="P22" s="883">
        <f t="shared" ref="P22:P85" si="22">IF(AND($AU$43="Early Payoff",$J22&gt;$U$15),0,IF(AND($AU$43="Early Payoff",$J22&lt;$U$15),SUM(N22,$W21),IF(AND($AU$43="Full-Term",$J22&lt;$U$15),SUM(N22,$W21),IF($J22&gt;$U$8,0,$W21))))</f>
        <v>2324250</v>
      </c>
      <c r="Q22" s="883">
        <f t="shared" si="10"/>
        <v>0</v>
      </c>
      <c r="R22" s="1100"/>
      <c r="S22" s="883">
        <f t="shared" si="1"/>
        <v>0</v>
      </c>
      <c r="T22" s="884">
        <f>IF(AND($AU$43="Early Payoff",J22&gt;=$U$15),0,IF($V$4="Annual",-$M$7*$W21*1,IF($V$4="Bi-Annual",(-$M$7/2)*$W21*1,IF($V$4="Monthly",(-$M$7/12)*$W21*1))))</f>
        <v>-7540.9</v>
      </c>
      <c r="U22" s="884">
        <f>IF(AND($AU$43="Early Payoff",J22&gt;$U$15),0,IF($J22&lt;=$U$8,SUM($S$20:$S22),0))</f>
        <v>0</v>
      </c>
      <c r="V22" s="884">
        <f>IF(AND($AU$43="Early Payoff",J22&gt;$U$15),0,IF($J22&lt;=$U$8,SUM($T$20:$T22),0))</f>
        <v>-11311.349999999999</v>
      </c>
      <c r="W22" s="885">
        <f t="shared" si="11"/>
        <v>2324250</v>
      </c>
      <c r="X22" s="1110">
        <f t="shared" ref="X22:X84" si="23">IF($C22&lt;$L$11,$M$4,$P22)</f>
        <v>46485000</v>
      </c>
      <c r="Z22" s="1102">
        <f t="shared" si="2"/>
        <v>0</v>
      </c>
      <c r="AA22" s="873">
        <f t="shared" si="3"/>
        <v>0</v>
      </c>
      <c r="AB22" s="873">
        <f t="shared" si="4"/>
        <v>0</v>
      </c>
      <c r="AC22" s="885">
        <f t="shared" si="5"/>
        <v>0</v>
      </c>
      <c r="AE22" s="355">
        <f t="shared" ref="AE22:AF37" si="24">AE21+1</f>
        <v>2</v>
      </c>
      <c r="AF22" s="1103">
        <f t="shared" si="24"/>
        <v>2028</v>
      </c>
      <c r="AG22" s="1104">
        <f>INDEX($M$19:$P$379,MATCH($AF22,$M$19:$M$379,0),MATCH($AG$19,$M$19:$P$19,0))</f>
        <v>46020150</v>
      </c>
      <c r="AH22" s="1104">
        <f t="shared" si="13"/>
        <v>-1649571.8749999998</v>
      </c>
      <c r="AI22" s="1104">
        <f t="shared" si="14"/>
        <v>0</v>
      </c>
      <c r="AJ22" s="1104">
        <f t="shared" si="15"/>
        <v>-2820767.90625</v>
      </c>
      <c r="AK22" s="1104">
        <f t="shared" si="16"/>
        <v>0</v>
      </c>
      <c r="AL22" s="1104">
        <f>IF($AG22=0,0,SUM($AI$20:$AI22))</f>
        <v>0</v>
      </c>
      <c r="AM22" s="1104">
        <f>IF($AG22=0,0,SUM($AJ$20:$AJ22))</f>
        <v>-4842671.71875</v>
      </c>
      <c r="AN22" s="1104">
        <f>SUM($AK$20:$AK22)</f>
        <v>0</v>
      </c>
      <c r="AO22" s="1105">
        <f>AG22+AI22</f>
        <v>46020150</v>
      </c>
      <c r="AP22" s="1104"/>
      <c r="AQ22" s="347"/>
      <c r="AS22" s="1111" t="s">
        <v>429</v>
      </c>
      <c r="AT22" s="1112">
        <f>T6</f>
        <v>2026</v>
      </c>
      <c r="AU22" s="345"/>
      <c r="AV22" s="1113"/>
      <c r="AW22" s="1114" t="s">
        <v>527</v>
      </c>
      <c r="AX22" s="1115" t="s">
        <v>33</v>
      </c>
      <c r="AY22" s="1092"/>
      <c r="AZ22" s="451"/>
      <c r="BA22" s="438"/>
      <c r="BB22" s="451"/>
      <c r="BC22" s="438"/>
      <c r="BD22" s="438"/>
      <c r="BE22" s="451"/>
      <c r="BF22" s="438"/>
      <c r="BG22" s="451"/>
      <c r="BH22" s="438"/>
      <c r="BI22" s="451"/>
      <c r="BJ22" s="451"/>
      <c r="BK22" s="438"/>
      <c r="BL22" s="451"/>
      <c r="BM22" s="451"/>
      <c r="BN22" s="438"/>
      <c r="BO22" s="451"/>
      <c r="BP22" s="438"/>
      <c r="BQ22" s="451"/>
      <c r="BR22" s="438"/>
    </row>
    <row r="23" spans="2:70" s="278" customFormat="1" ht="12" customHeight="1" thickBot="1" x14ac:dyDescent="0.3">
      <c r="B23" s="1108">
        <f>IF(C23&lt;'Financing Assumptions'!$G$25,0,IF(C23='Financing Assumptions'!$G$25,1,IF(C23&gt;'Financing Assumptions'!$G$25,B22+1)))</f>
        <v>4</v>
      </c>
      <c r="C23" s="1109">
        <f t="shared" si="17"/>
        <v>6</v>
      </c>
      <c r="D23" s="732">
        <f t="shared" si="6"/>
        <v>31</v>
      </c>
      <c r="E23" s="35">
        <f t="shared" si="7"/>
        <v>7</v>
      </c>
      <c r="F23" s="889">
        <f t="shared" ref="F23:F86" si="25">DATE(M23,E23,D23)</f>
        <v>46234</v>
      </c>
      <c r="G23" s="822">
        <f t="shared" si="8"/>
        <v>7</v>
      </c>
      <c r="H23" s="126">
        <f t="shared" si="0"/>
        <v>0</v>
      </c>
      <c r="I23" s="1098">
        <f t="shared" ref="I23:I86" si="26">IF($V$4="Annual",1,IF(AND($V$4="Bi-Annual",$G23&gt;$G24),1,IF(AND($V$4="Bi-Annual",$G23&lt;$G24),0,IF($V$4="Monthly",0,))))</f>
        <v>0</v>
      </c>
      <c r="J23" s="887">
        <f t="shared" si="18"/>
        <v>4</v>
      </c>
      <c r="K23" s="1099">
        <f t="shared" si="9"/>
        <v>0</v>
      </c>
      <c r="L23" s="891" t="str">
        <f t="shared" si="19"/>
        <v>July</v>
      </c>
      <c r="M23" s="888">
        <f t="shared" si="20"/>
        <v>2026</v>
      </c>
      <c r="N23" s="1284">
        <f t="shared" ref="N23:N25" si="27">IF(B23=0,0,IF($B23&lt;=$M$11,INDEX($AZ$26:$BM$63,MATCH($B23,$AZ$26:$AZ$63,0),MATCH($M$10,$AZ$27:$BM$27,0)),0))</f>
        <v>929700.00000000047</v>
      </c>
      <c r="O23" s="1284">
        <f t="shared" si="21"/>
        <v>3253950.0000000005</v>
      </c>
      <c r="P23" s="883">
        <f t="shared" si="22"/>
        <v>3253950.0000000005</v>
      </c>
      <c r="Q23" s="883">
        <f t="shared" si="10"/>
        <v>0</v>
      </c>
      <c r="R23" s="1100"/>
      <c r="S23" s="883">
        <f t="shared" si="1"/>
        <v>0</v>
      </c>
      <c r="T23" s="884">
        <f>IF(AND($AU$43="Early Payoff",J23&gt;=$U$15),0,IF($V$4="Annual",-$M$7*$W22*1,IF($V$4="Bi-Annual",(-$M$7/2)*$W22*1,IF($V$4="Monthly",(-$M$7/12)*$W22*1))))</f>
        <v>-11782.65625</v>
      </c>
      <c r="U23" s="884">
        <f>IF(AND($AU$43="Early Payoff",J23&gt;$U$15),0,IF($J23&lt;=$U$8,SUM($S$20:$S23),0))</f>
        <v>0</v>
      </c>
      <c r="V23" s="884">
        <f>IF(AND($AU$43="Early Payoff",J23&gt;$U$15),0,IF($J23&lt;=$U$8,SUM($T$20:$T23),0))</f>
        <v>-23094.006249999999</v>
      </c>
      <c r="W23" s="885">
        <f t="shared" si="11"/>
        <v>3253950.0000000005</v>
      </c>
      <c r="X23" s="1110">
        <f>IF($C23&lt;$L$11,$M$4,$P23)</f>
        <v>46485000</v>
      </c>
      <c r="Z23" s="1102">
        <f t="shared" si="2"/>
        <v>0</v>
      </c>
      <c r="AA23" s="873">
        <f t="shared" si="3"/>
        <v>0</v>
      </c>
      <c r="AB23" s="873">
        <f t="shared" si="4"/>
        <v>0</v>
      </c>
      <c r="AC23" s="885">
        <f t="shared" si="5"/>
        <v>0</v>
      </c>
      <c r="AE23" s="355">
        <f t="shared" si="24"/>
        <v>3</v>
      </c>
      <c r="AF23" s="1103">
        <f t="shared" si="24"/>
        <v>2029</v>
      </c>
      <c r="AG23" s="1104">
        <f t="shared" si="12"/>
        <v>46485000</v>
      </c>
      <c r="AH23" s="1104">
        <f>SUMIFS($AC$20:$AC$379,$M$20:$M$379,"="&amp;$AF23)</f>
        <v>-2827837.4999999995</v>
      </c>
      <c r="AI23" s="1104">
        <f t="shared" si="14"/>
        <v>0</v>
      </c>
      <c r="AJ23" s="1104">
        <f t="shared" si="15"/>
        <v>-2827837.4999999995</v>
      </c>
      <c r="AK23" s="1104">
        <f t="shared" si="16"/>
        <v>0</v>
      </c>
      <c r="AL23" s="1104">
        <f>IF($AG23=0,0,SUM($AI$20:$AI23))</f>
        <v>0</v>
      </c>
      <c r="AM23" s="1104">
        <f>IF($AG23=0,0,SUM($AJ$20:$AJ23))</f>
        <v>-7670509.21875</v>
      </c>
      <c r="AN23" s="1104">
        <f>SUM($AK$20:$AK23)</f>
        <v>0</v>
      </c>
      <c r="AO23" s="1105">
        <f t="shared" ref="AO23:AO49" si="28">AG23+AI23</f>
        <v>46485000</v>
      </c>
      <c r="AP23" s="1104"/>
      <c r="AQ23" s="347"/>
      <c r="AS23" s="1111" t="s">
        <v>430</v>
      </c>
      <c r="AT23" s="1112" t="str">
        <f>T7</f>
        <v>March</v>
      </c>
      <c r="AU23" s="1116">
        <f>INDEX(AV22:AW34,MATCH(AT23,AV22:AV34,0),MATCH("Number",AV22:AW22,0))</f>
        <v>3</v>
      </c>
      <c r="AV23" s="1111" t="s">
        <v>425</v>
      </c>
      <c r="AW23" s="1117">
        <v>1</v>
      </c>
      <c r="AX23" s="348" t="str">
        <f>AV23</f>
        <v>January</v>
      </c>
      <c r="AY23" s="1092"/>
      <c r="AZ23" s="464"/>
      <c r="BA23" s="464"/>
      <c r="BB23" s="464"/>
      <c r="BC23" s="464"/>
      <c r="BD23" s="464"/>
      <c r="BE23" s="464"/>
      <c r="BF23" s="464"/>
      <c r="BG23" s="464"/>
      <c r="BH23" s="464"/>
      <c r="BI23" s="464"/>
      <c r="BJ23" s="464"/>
      <c r="BK23" s="464"/>
      <c r="BL23" s="464"/>
      <c r="BM23" s="464"/>
      <c r="BN23" s="464"/>
      <c r="BO23" s="464"/>
      <c r="BP23" s="464"/>
      <c r="BQ23" s="464"/>
      <c r="BR23" s="464"/>
    </row>
    <row r="24" spans="2:70" s="278" customFormat="1" ht="12" customHeight="1" x14ac:dyDescent="0.25">
      <c r="B24" s="1108">
        <f>IF(C24&lt;'Financing Assumptions'!$G$25,0,IF(C24='Financing Assumptions'!$G$25,1,IF(C24&gt;'Financing Assumptions'!$G$25,B23+1)))</f>
        <v>5</v>
      </c>
      <c r="C24" s="1109">
        <f t="shared" si="17"/>
        <v>7</v>
      </c>
      <c r="D24" s="732">
        <f t="shared" si="6"/>
        <v>31</v>
      </c>
      <c r="E24" s="35">
        <f t="shared" si="7"/>
        <v>8</v>
      </c>
      <c r="F24" s="889">
        <f t="shared" si="25"/>
        <v>46265</v>
      </c>
      <c r="G24" s="822">
        <f t="shared" si="8"/>
        <v>8</v>
      </c>
      <c r="H24" s="126">
        <f>IF($V$4="Monthly",INDEX($AV$36:$AW$48,MATCH($L24,$AV$36:$AV$48,0),MATCH("Number",$AV$36:$AW$36,0)),0)</f>
        <v>0</v>
      </c>
      <c r="I24" s="1098">
        <f t="shared" si="26"/>
        <v>0</v>
      </c>
      <c r="J24" s="887">
        <f t="shared" si="18"/>
        <v>5</v>
      </c>
      <c r="K24" s="1099">
        <f t="shared" si="9"/>
        <v>0</v>
      </c>
      <c r="L24" s="891" t="str">
        <f t="shared" si="19"/>
        <v>August</v>
      </c>
      <c r="M24" s="888">
        <f t="shared" si="20"/>
        <v>2026</v>
      </c>
      <c r="N24" s="1284">
        <f t="shared" si="27"/>
        <v>1673459.9999999995</v>
      </c>
      <c r="O24" s="1284">
        <f t="shared" si="21"/>
        <v>4927410</v>
      </c>
      <c r="P24" s="883">
        <f t="shared" si="22"/>
        <v>4927410</v>
      </c>
      <c r="Q24" s="883">
        <f t="shared" si="10"/>
        <v>0</v>
      </c>
      <c r="R24" s="1100"/>
      <c r="S24" s="883">
        <f t="shared" si="1"/>
        <v>0</v>
      </c>
      <c r="T24" s="884">
        <f t="shared" ref="T24:T84" si="29">IF(AND($AU$43="Early Payoff",J24&gt;=$U$15),0,IF($V$4="Annual",-$M$7*$W23*1,IF($V$4="Bi-Annual",(-$M$7/2)*$W23*1,IF($V$4="Monthly",(-$M$7/12)*$W23*1))))</f>
        <v>-16495.71875</v>
      </c>
      <c r="U24" s="884">
        <f>IF(AND($AU$43="Early Payoff",J24&gt;$U$15),0,IF($J24&lt;=$U$8,SUM($S$20:$S24),0))</f>
        <v>0</v>
      </c>
      <c r="V24" s="884">
        <f>IF(AND($AU$43="Early Payoff",J24&gt;$U$15),0,IF($J24&lt;=$U$8,SUM($T$20:$T24),0))</f>
        <v>-39589.724999999999</v>
      </c>
      <c r="W24" s="885">
        <f t="shared" si="11"/>
        <v>4927410</v>
      </c>
      <c r="X24" s="1110">
        <f>IF($C24&lt;$L$11,$M$4,$P24)</f>
        <v>46485000</v>
      </c>
      <c r="Z24" s="1102">
        <f t="shared" si="2"/>
        <v>0</v>
      </c>
      <c r="AA24" s="873">
        <f t="shared" si="3"/>
        <v>0</v>
      </c>
      <c r="AB24" s="873">
        <f t="shared" si="4"/>
        <v>0</v>
      </c>
      <c r="AC24" s="885">
        <f t="shared" si="5"/>
        <v>0</v>
      </c>
      <c r="AE24" s="355">
        <f t="shared" si="24"/>
        <v>4</v>
      </c>
      <c r="AF24" s="1103">
        <f t="shared" si="24"/>
        <v>2030</v>
      </c>
      <c r="AG24" s="1104">
        <f t="shared" si="12"/>
        <v>46485000</v>
      </c>
      <c r="AH24" s="1104">
        <f t="shared" si="13"/>
        <v>-2827837.4999999995</v>
      </c>
      <c r="AI24" s="1104">
        <f t="shared" si="14"/>
        <v>0</v>
      </c>
      <c r="AJ24" s="1104">
        <f t="shared" si="15"/>
        <v>-2827837.4999999995</v>
      </c>
      <c r="AK24" s="1104">
        <f t="shared" si="16"/>
        <v>0</v>
      </c>
      <c r="AL24" s="1104">
        <f>IF($AG24=0,0,SUM($AI$20:$AI24))</f>
        <v>0</v>
      </c>
      <c r="AM24" s="1104">
        <f>IF($AG24=0,0,SUM($AJ$20:$AJ24))</f>
        <v>-10498346.71875</v>
      </c>
      <c r="AN24" s="1104">
        <f>SUM($AK$20:$AK24)</f>
        <v>0</v>
      </c>
      <c r="AO24" s="1105">
        <f t="shared" si="28"/>
        <v>46485000</v>
      </c>
      <c r="AP24" s="1104"/>
      <c r="AQ24" s="347"/>
      <c r="AS24" s="1111" t="s">
        <v>431</v>
      </c>
      <c r="AT24" s="1118">
        <f>EOMONTH(DATE(AT22,INDEX($AV$22:$AW$34,MATCH($AT$23,$AV$22:$AV$34,0),MATCH("Number",$AV$22:$AW$22,0)),1),0)</f>
        <v>46112</v>
      </c>
      <c r="AU24" s="345"/>
      <c r="AV24" s="1111" t="s">
        <v>528</v>
      </c>
      <c r="AW24" s="1117">
        <v>2</v>
      </c>
      <c r="AX24" s="348" t="str">
        <f t="shared" ref="AX24:AX34" si="30">AV24</f>
        <v>February</v>
      </c>
      <c r="AY24" s="1092"/>
      <c r="AZ24" s="1119" t="s">
        <v>350</v>
      </c>
      <c r="BA24" s="1120" t="s">
        <v>349</v>
      </c>
      <c r="BB24" s="1121">
        <v>1</v>
      </c>
      <c r="BC24" s="1122"/>
      <c r="BD24" s="1123"/>
      <c r="BE24" s="1121">
        <v>2</v>
      </c>
      <c r="BF24" s="1122"/>
      <c r="BG24" s="1124"/>
      <c r="BH24" s="1121">
        <v>3</v>
      </c>
      <c r="BI24" s="1122"/>
      <c r="BJ24" s="1123"/>
      <c r="BK24" s="1121">
        <v>4</v>
      </c>
      <c r="BL24" s="1122"/>
      <c r="BM24" s="1123"/>
      <c r="BN24" s="1125"/>
      <c r="BO24" s="463"/>
      <c r="BP24" s="462"/>
      <c r="BQ24" s="462"/>
      <c r="BR24" s="461"/>
    </row>
    <row r="25" spans="2:70" s="278" customFormat="1" ht="12" customHeight="1" x14ac:dyDescent="0.25">
      <c r="B25" s="1108">
        <f>IF(C25&lt;'Financing Assumptions'!$G$25,0,IF(C25='Financing Assumptions'!$G$25,1,IF(C25&gt;'Financing Assumptions'!$G$25,B24+1)))</f>
        <v>6</v>
      </c>
      <c r="C25" s="1109">
        <f t="shared" si="17"/>
        <v>8</v>
      </c>
      <c r="D25" s="732">
        <f t="shared" si="6"/>
        <v>30</v>
      </c>
      <c r="E25" s="35">
        <f t="shared" si="7"/>
        <v>9</v>
      </c>
      <c r="F25" s="889">
        <f t="shared" si="25"/>
        <v>46295</v>
      </c>
      <c r="G25" s="822">
        <f t="shared" si="8"/>
        <v>9</v>
      </c>
      <c r="H25" s="126">
        <f>IF($V$4="Monthly",INDEX($AV$36:$AW$48,MATCH($L25,$AV$36:$AV$48,0),MATCH("Number",$AV$36:$AW$36,0)),0)</f>
        <v>0</v>
      </c>
      <c r="I25" s="1098">
        <f>IF($V$4="Annual",1,IF(AND($V$4="Bi-Annual",$G25&gt;$G26),1,IF(AND($V$4="Bi-Annual",$G25&lt;$G26),0,IF($V$4="Monthly",0,))))</f>
        <v>0</v>
      </c>
      <c r="J25" s="887">
        <f t="shared" si="18"/>
        <v>6</v>
      </c>
      <c r="K25" s="1099">
        <f t="shared" si="9"/>
        <v>0</v>
      </c>
      <c r="L25" s="891" t="str">
        <f t="shared" si="19"/>
        <v>September</v>
      </c>
      <c r="M25" s="888">
        <f t="shared" si="20"/>
        <v>2026</v>
      </c>
      <c r="N25" s="1284">
        <f t="shared" si="27"/>
        <v>1487520.0000000009</v>
      </c>
      <c r="O25" s="1284">
        <f t="shared" si="21"/>
        <v>6414930.0000000009</v>
      </c>
      <c r="P25" s="883">
        <f t="shared" si="22"/>
        <v>6414930.0000000009</v>
      </c>
      <c r="Q25" s="883">
        <f t="shared" si="10"/>
        <v>0</v>
      </c>
      <c r="R25" s="1100"/>
      <c r="S25" s="883">
        <f t="shared" si="1"/>
        <v>0</v>
      </c>
      <c r="T25" s="884">
        <f t="shared" si="29"/>
        <v>-24979.231249999997</v>
      </c>
      <c r="U25" s="884">
        <f>IF(AND($AU$43="Early Payoff",J25&gt;$U$15),0,IF($J25&lt;=$U$8,SUM($S$20:$S25),0))</f>
        <v>0</v>
      </c>
      <c r="V25" s="884">
        <f>IF(AND($AU$43="Early Payoff",J25&gt;$U$15),0,IF($J25&lt;=$U$8,SUM($T$20:$T25),0))</f>
        <v>-64568.956249999996</v>
      </c>
      <c r="W25" s="885">
        <f t="shared" si="11"/>
        <v>6414930.0000000009</v>
      </c>
      <c r="X25" s="1110">
        <f t="shared" si="23"/>
        <v>46485000</v>
      </c>
      <c r="Z25" s="1102">
        <f t="shared" si="2"/>
        <v>0</v>
      </c>
      <c r="AA25" s="873">
        <f t="shared" si="3"/>
        <v>0</v>
      </c>
      <c r="AB25" s="873">
        <f t="shared" si="4"/>
        <v>0</v>
      </c>
      <c r="AC25" s="885">
        <f t="shared" si="5"/>
        <v>0</v>
      </c>
      <c r="AE25" s="355">
        <f t="shared" si="24"/>
        <v>5</v>
      </c>
      <c r="AF25" s="1103">
        <f t="shared" si="24"/>
        <v>2031</v>
      </c>
      <c r="AG25" s="1104">
        <f t="shared" si="12"/>
        <v>46485000</v>
      </c>
      <c r="AH25" s="1104">
        <f t="shared" si="13"/>
        <v>-2827837.4999999995</v>
      </c>
      <c r="AI25" s="1104">
        <f t="shared" si="14"/>
        <v>0</v>
      </c>
      <c r="AJ25" s="1104">
        <f t="shared" si="15"/>
        <v>-2827837.4999999995</v>
      </c>
      <c r="AK25" s="1104">
        <f t="shared" si="16"/>
        <v>0</v>
      </c>
      <c r="AL25" s="1104">
        <f>IF($AG25=0,0,SUM($AI$20:$AI25))</f>
        <v>0</v>
      </c>
      <c r="AM25" s="1104">
        <f>IF($AG25=0,0,SUM($AJ$20:$AJ25))</f>
        <v>-13326184.21875</v>
      </c>
      <c r="AN25" s="1104">
        <f>SUM($AK$20:$AK25)</f>
        <v>0</v>
      </c>
      <c r="AO25" s="1105">
        <f t="shared" si="28"/>
        <v>46485000</v>
      </c>
      <c r="AP25" s="1104"/>
      <c r="AQ25" s="347"/>
      <c r="AS25" s="1111"/>
      <c r="AT25" s="1112"/>
      <c r="AU25" s="345"/>
      <c r="AV25" s="1111" t="s">
        <v>378</v>
      </c>
      <c r="AW25" s="1117">
        <v>3</v>
      </c>
      <c r="AX25" s="348" t="str">
        <f t="shared" si="30"/>
        <v>March</v>
      </c>
      <c r="AY25" s="1092"/>
      <c r="AZ25" s="1126" t="s">
        <v>348</v>
      </c>
      <c r="BA25" s="1127" t="s">
        <v>347</v>
      </c>
      <c r="BB25" s="1128" t="s">
        <v>346</v>
      </c>
      <c r="BC25" s="525" t="s">
        <v>345</v>
      </c>
      <c r="BD25" s="1129" t="s">
        <v>344</v>
      </c>
      <c r="BE25" s="1128" t="s">
        <v>346</v>
      </c>
      <c r="BF25" s="525" t="s">
        <v>345</v>
      </c>
      <c r="BG25" s="1129" t="s">
        <v>344</v>
      </c>
      <c r="BH25" s="1128" t="s">
        <v>346</v>
      </c>
      <c r="BI25" s="525" t="s">
        <v>345</v>
      </c>
      <c r="BJ25" s="1129" t="s">
        <v>344</v>
      </c>
      <c r="BK25" s="1128" t="s">
        <v>346</v>
      </c>
      <c r="BL25" s="525" t="s">
        <v>345</v>
      </c>
      <c r="BM25" s="1129" t="s">
        <v>344</v>
      </c>
      <c r="BN25" s="1125"/>
      <c r="BO25" s="460"/>
      <c r="BP25" s="459"/>
      <c r="BQ25" s="459"/>
      <c r="BR25" s="458"/>
    </row>
    <row r="26" spans="2:70" s="278" customFormat="1" ht="12" customHeight="1" thickBot="1" x14ac:dyDescent="0.3">
      <c r="B26" s="1108">
        <f>IF(C26&lt;'Financing Assumptions'!$G$25,0,IF(C26='Financing Assumptions'!$G$25,1,IF(C26&gt;'Financing Assumptions'!$G$25,B25+1)))</f>
        <v>7</v>
      </c>
      <c r="C26" s="1109">
        <f t="shared" si="17"/>
        <v>9</v>
      </c>
      <c r="D26" s="732">
        <f t="shared" si="6"/>
        <v>31</v>
      </c>
      <c r="E26" s="35">
        <f t="shared" si="7"/>
        <v>10</v>
      </c>
      <c r="F26" s="889">
        <f t="shared" si="25"/>
        <v>46326</v>
      </c>
      <c r="G26" s="822">
        <f>INDEX($AV$22:$AW$34,MATCH($L26,$AV$22:$AV$34,0),MATCH("Number",$AV$22:$AW$22,0))</f>
        <v>10</v>
      </c>
      <c r="H26" s="126">
        <f t="shared" si="0"/>
        <v>0</v>
      </c>
      <c r="I26" s="1098">
        <f t="shared" si="26"/>
        <v>0</v>
      </c>
      <c r="J26" s="887">
        <f t="shared" si="18"/>
        <v>7</v>
      </c>
      <c r="K26" s="1099">
        <f t="shared" si="9"/>
        <v>0</v>
      </c>
      <c r="L26" s="891" t="str">
        <f t="shared" si="19"/>
        <v>October</v>
      </c>
      <c r="M26" s="888">
        <f t="shared" si="20"/>
        <v>2026</v>
      </c>
      <c r="N26" s="1284">
        <f t="shared" ref="N26:N89" si="31">IF(B26=0,0,IF($B26&lt;=$M$11,INDEX($AZ$26:$BM$63,MATCH($B26,$AZ$26:$AZ$63,0),MATCH($M$10,$AZ$27:$BM$27,0)),0))</f>
        <v>1487520</v>
      </c>
      <c r="O26" s="1284">
        <f t="shared" si="21"/>
        <v>7902450.0000000009</v>
      </c>
      <c r="P26" s="883">
        <f t="shared" si="22"/>
        <v>7902450.0000000009</v>
      </c>
      <c r="Q26" s="883">
        <f t="shared" si="10"/>
        <v>0</v>
      </c>
      <c r="R26" s="1100"/>
      <c r="S26" s="883">
        <f t="shared" si="1"/>
        <v>0</v>
      </c>
      <c r="T26" s="884">
        <f t="shared" si="29"/>
        <v>-32520.131250000002</v>
      </c>
      <c r="U26" s="884">
        <f>IF(AND($AU$43="Early Payoff",J26&gt;$U$15),0,IF($J26&lt;=$U$8,SUM($S$20:$S26),0))</f>
        <v>0</v>
      </c>
      <c r="V26" s="884">
        <f>IF(AND($AU$43="Early Payoff",J26&gt;$U$15),0,IF($J26&lt;=$U$8,SUM($T$20:$T26),0))</f>
        <v>-97089.087499999994</v>
      </c>
      <c r="W26" s="885">
        <f t="shared" si="11"/>
        <v>7902450.0000000009</v>
      </c>
      <c r="X26" s="1110">
        <f t="shared" si="23"/>
        <v>46485000</v>
      </c>
      <c r="Z26" s="1102">
        <f t="shared" si="2"/>
        <v>0</v>
      </c>
      <c r="AA26" s="873">
        <f t="shared" si="3"/>
        <v>0</v>
      </c>
      <c r="AB26" s="873">
        <f t="shared" si="4"/>
        <v>0</v>
      </c>
      <c r="AC26" s="885">
        <f t="shared" si="5"/>
        <v>0</v>
      </c>
      <c r="AE26" s="355">
        <f t="shared" si="24"/>
        <v>6</v>
      </c>
      <c r="AF26" s="1103">
        <f t="shared" si="24"/>
        <v>2032</v>
      </c>
      <c r="AG26" s="1104">
        <f t="shared" si="12"/>
        <v>46485000</v>
      </c>
      <c r="AH26" s="1104">
        <f t="shared" si="13"/>
        <v>-3472460.2657165295</v>
      </c>
      <c r="AI26" s="1104">
        <f t="shared" si="14"/>
        <v>-657850.08374408807</v>
      </c>
      <c r="AJ26" s="1104">
        <f t="shared" si="15"/>
        <v>-2814610.1819724422</v>
      </c>
      <c r="AK26" s="1104">
        <f t="shared" si="16"/>
        <v>0</v>
      </c>
      <c r="AL26" s="1104">
        <f>IF($AG26=0,0,SUM($AI$20:$AI26))</f>
        <v>-657850.08374408807</v>
      </c>
      <c r="AM26" s="1104">
        <f>IF($AG26=0,0,SUM($AJ$20:$AJ26))</f>
        <v>-16140794.400722442</v>
      </c>
      <c r="AN26" s="1104">
        <f>SUM($AK$20:$AK26)</f>
        <v>0</v>
      </c>
      <c r="AO26" s="1105">
        <f t="shared" si="28"/>
        <v>45827149.916255914</v>
      </c>
      <c r="AP26" s="1104"/>
      <c r="AQ26" s="347"/>
      <c r="AS26" s="347" t="s">
        <v>432</v>
      </c>
      <c r="AT26" s="1112">
        <f>V6</f>
        <v>2026</v>
      </c>
      <c r="AU26" s="345"/>
      <c r="AV26" s="1111" t="s">
        <v>529</v>
      </c>
      <c r="AW26" s="1117">
        <v>4</v>
      </c>
      <c r="AX26" s="348" t="str">
        <f t="shared" si="30"/>
        <v>April</v>
      </c>
      <c r="AY26" s="1092"/>
      <c r="AZ26" s="1130"/>
      <c r="BA26" s="1131"/>
      <c r="BB26" s="1132" t="s">
        <v>343</v>
      </c>
      <c r="BC26" s="1133"/>
      <c r="BD26" s="1131"/>
      <c r="BE26" s="1132" t="s">
        <v>341</v>
      </c>
      <c r="BF26" s="1133"/>
      <c r="BG26" s="1131"/>
      <c r="BH26" s="1132" t="s">
        <v>340</v>
      </c>
      <c r="BI26" s="1133"/>
      <c r="BJ26" s="1131"/>
      <c r="BK26" s="1132" t="s">
        <v>339</v>
      </c>
      <c r="BL26" s="1133"/>
      <c r="BM26" s="1131"/>
      <c r="BN26" s="1127"/>
      <c r="BO26" s="457" t="s">
        <v>342</v>
      </c>
      <c r="BP26" s="456" t="s">
        <v>341</v>
      </c>
      <c r="BQ26" s="456" t="s">
        <v>340</v>
      </c>
      <c r="BR26" s="455" t="s">
        <v>339</v>
      </c>
    </row>
    <row r="27" spans="2:70" s="278" customFormat="1" ht="12" customHeight="1" x14ac:dyDescent="0.25">
      <c r="B27" s="1108">
        <f>IF(C27&lt;'Financing Assumptions'!$G$25,0,IF(C27='Financing Assumptions'!$G$25,1,IF(C27&gt;'Financing Assumptions'!$G$25,B26+1)))</f>
        <v>8</v>
      </c>
      <c r="C27" s="1109">
        <f t="shared" si="17"/>
        <v>10</v>
      </c>
      <c r="D27" s="732">
        <f t="shared" si="6"/>
        <v>30</v>
      </c>
      <c r="E27" s="35">
        <f t="shared" si="7"/>
        <v>11</v>
      </c>
      <c r="F27" s="889">
        <f t="shared" si="25"/>
        <v>46356</v>
      </c>
      <c r="G27" s="822">
        <f t="shared" si="8"/>
        <v>11</v>
      </c>
      <c r="H27" s="126">
        <f t="shared" si="0"/>
        <v>0</v>
      </c>
      <c r="I27" s="1098">
        <f t="shared" si="26"/>
        <v>0</v>
      </c>
      <c r="J27" s="887">
        <f t="shared" si="18"/>
        <v>8</v>
      </c>
      <c r="K27" s="1099">
        <f t="shared" si="9"/>
        <v>0</v>
      </c>
      <c r="L27" s="891" t="str">
        <f t="shared" si="19"/>
        <v>November</v>
      </c>
      <c r="M27" s="888">
        <f t="shared" si="20"/>
        <v>2026</v>
      </c>
      <c r="N27" s="1284">
        <f t="shared" si="31"/>
        <v>2045339.9999999991</v>
      </c>
      <c r="O27" s="1284">
        <f t="shared" si="21"/>
        <v>9947790</v>
      </c>
      <c r="P27" s="883">
        <f t="shared" si="22"/>
        <v>9947790</v>
      </c>
      <c r="Q27" s="883">
        <f t="shared" si="10"/>
        <v>0</v>
      </c>
      <c r="R27" s="1100"/>
      <c r="S27" s="883">
        <f t="shared" si="1"/>
        <v>0</v>
      </c>
      <c r="T27" s="884">
        <f t="shared" si="29"/>
        <v>-40061.03125</v>
      </c>
      <c r="U27" s="884">
        <f>IF(AND($AU$43="Early Payoff",J27&gt;$U$15),0,IF($J27&lt;=$U$8,SUM($S$20:$S27),0))</f>
        <v>0</v>
      </c>
      <c r="V27" s="884">
        <f>IF(AND($AU$43="Early Payoff",J27&gt;$U$15),0,IF($J27&lt;=$U$8,SUM($T$20:$T27),0))</f>
        <v>-137150.11874999999</v>
      </c>
      <c r="W27" s="885">
        <f t="shared" si="11"/>
        <v>9947790</v>
      </c>
      <c r="X27" s="1110">
        <f t="shared" si="23"/>
        <v>46485000</v>
      </c>
      <c r="Z27" s="1102">
        <f t="shared" si="2"/>
        <v>0</v>
      </c>
      <c r="AA27" s="873">
        <f t="shared" si="3"/>
        <v>0</v>
      </c>
      <c r="AB27" s="873">
        <f t="shared" si="4"/>
        <v>0</v>
      </c>
      <c r="AC27" s="885">
        <f t="shared" si="5"/>
        <v>0</v>
      </c>
      <c r="AE27" s="355">
        <f t="shared" si="24"/>
        <v>7</v>
      </c>
      <c r="AF27" s="1103">
        <f t="shared" si="24"/>
        <v>2033</v>
      </c>
      <c r="AG27" s="1104">
        <f t="shared" si="12"/>
        <v>45827149.916255921</v>
      </c>
      <c r="AH27" s="1104">
        <f t="shared" si="13"/>
        <v>-3687334.5209553731</v>
      </c>
      <c r="AI27" s="1104">
        <f t="shared" si="14"/>
        <v>-925025.17955969204</v>
      </c>
      <c r="AJ27" s="1104">
        <f t="shared" si="15"/>
        <v>-2762309.3413956813</v>
      </c>
      <c r="AK27" s="1104">
        <f t="shared" si="16"/>
        <v>0</v>
      </c>
      <c r="AL27" s="1104">
        <f>IF($AG27=0,0,SUM($AI$20:$AI27))</f>
        <v>-1582875.26330378</v>
      </c>
      <c r="AM27" s="1104">
        <f>IF($AG27=0,0,SUM($AJ$20:$AJ27))</f>
        <v>-18903103.742118124</v>
      </c>
      <c r="AN27" s="1104">
        <f>SUM($AK$20:$AK27)</f>
        <v>0</v>
      </c>
      <c r="AO27" s="1105">
        <f t="shared" si="28"/>
        <v>44902124.736696228</v>
      </c>
      <c r="AP27" s="1104"/>
      <c r="AQ27" s="347"/>
      <c r="AS27" s="347" t="s">
        <v>433</v>
      </c>
      <c r="AT27" s="1112" t="str">
        <f>V7</f>
        <v>April</v>
      </c>
      <c r="AU27" s="345"/>
      <c r="AV27" s="1111" t="s">
        <v>49</v>
      </c>
      <c r="AW27" s="1117">
        <v>5</v>
      </c>
      <c r="AX27" s="348" t="str">
        <f t="shared" si="30"/>
        <v>May</v>
      </c>
      <c r="AY27" s="1092"/>
      <c r="AZ27" s="1134">
        <v>0</v>
      </c>
      <c r="BA27" s="528"/>
      <c r="BB27" s="1135">
        <v>0</v>
      </c>
      <c r="BC27" s="528" t="str">
        <f>BB26</f>
        <v>Flat</v>
      </c>
      <c r="BD27" s="529"/>
      <c r="BE27" s="1134">
        <v>0</v>
      </c>
      <c r="BF27" s="528" t="str">
        <f>BE26</f>
        <v>Standard</v>
      </c>
      <c r="BG27" s="529"/>
      <c r="BH27" s="1134"/>
      <c r="BI27" s="528" t="str">
        <f>BH26</f>
        <v>Aggressive</v>
      </c>
      <c r="BJ27" s="529"/>
      <c r="BK27" s="1134"/>
      <c r="BL27" s="528" t="str">
        <f>BK26</f>
        <v>Regressive</v>
      </c>
      <c r="BM27" s="1136"/>
      <c r="BN27" s="1137"/>
      <c r="BO27" s="454"/>
      <c r="BP27" s="453"/>
      <c r="BQ27" s="453"/>
      <c r="BR27" s="452"/>
    </row>
    <row r="28" spans="2:70" s="278" customFormat="1" ht="12" customHeight="1" x14ac:dyDescent="0.25">
      <c r="B28" s="1108">
        <f>IF(C28&lt;'Financing Assumptions'!$G$25,0,IF(C28='Financing Assumptions'!$G$25,1,IF(C28&gt;'Financing Assumptions'!$G$25,B27+1)))</f>
        <v>9</v>
      </c>
      <c r="C28" s="1109">
        <f t="shared" si="17"/>
        <v>11</v>
      </c>
      <c r="D28" s="732">
        <f t="shared" si="6"/>
        <v>31</v>
      </c>
      <c r="E28" s="35">
        <f t="shared" si="7"/>
        <v>12</v>
      </c>
      <c r="F28" s="889">
        <f t="shared" si="25"/>
        <v>46387</v>
      </c>
      <c r="G28" s="822">
        <f t="shared" si="8"/>
        <v>12</v>
      </c>
      <c r="H28" s="126">
        <f t="shared" si="0"/>
        <v>1</v>
      </c>
      <c r="I28" s="1098">
        <f t="shared" si="26"/>
        <v>0</v>
      </c>
      <c r="J28" s="887">
        <f t="shared" si="18"/>
        <v>9</v>
      </c>
      <c r="K28" s="1099">
        <f t="shared" si="9"/>
        <v>0</v>
      </c>
      <c r="L28" s="891" t="str">
        <f t="shared" si="19"/>
        <v>December</v>
      </c>
      <c r="M28" s="888">
        <f t="shared" si="20"/>
        <v>2026</v>
      </c>
      <c r="N28" s="1284">
        <f t="shared" si="31"/>
        <v>2045340</v>
      </c>
      <c r="O28" s="1284">
        <f t="shared" si="21"/>
        <v>11993130</v>
      </c>
      <c r="P28" s="883">
        <f t="shared" si="22"/>
        <v>11993130</v>
      </c>
      <c r="Q28" s="883">
        <f>IF(AND($AU$43="Early Payoff",J28&gt;=$U$15),0,IF($J28&gt;$U$8,0,IF(AND($AT$33&gt;=0,$J28&lt;=$AT$33),0,IF(AND($AT$31&gt;=0,$J28&lt;=$AT$31),$T28,IF(AND($V$4="Annual",$AT$31&gt;=0,$AT$33&gt;=0,$J28&gt;$AT$31,$J28&gt;$AT$33),PMT($M$7,($U$8-$AT$31),$M$4),IF(AND($V$4="Bi-Annual",$AT$31&gt;=0,$AT$33&gt;=0,$J28&gt;$AT$31,$J28&gt;$AT$33),PMT($M$7/2,($U$8-$AT$31),$M$4),IF(AND($V$4="Monthly",$AT$31&gt;=0,$AT$33&gt;=0,$J28&gt;$AT$31,$J28&gt;$AT$33),PMT($M$7/12,($U$8-$AT$31),$M$4))))))))-R28</f>
        <v>0</v>
      </c>
      <c r="R28" s="1100"/>
      <c r="S28" s="883">
        <f>IF(AND($AU$43="Early Payoff",J28&gt;=$U$15),0,IF($J28&gt;$U$8,0,IF(AND($AT$33&gt;0,$J28&lt;=$AT$33),0,+$Q28-$T28)))</f>
        <v>0</v>
      </c>
      <c r="T28" s="884">
        <f t="shared" si="29"/>
        <v>-50429.768749999996</v>
      </c>
      <c r="U28" s="884">
        <f>IF(AND($AU$43="Early Payoff",J28&gt;$U$15),0,IF($J28&lt;=$U$8,SUM($S$20:$S28),0))</f>
        <v>0</v>
      </c>
      <c r="V28" s="884">
        <f>IF(AND($AU$43="Early Payoff",J28&gt;$U$15),0,IF($J28&lt;=$U$8,SUM($T$20:$T28),0))</f>
        <v>-187579.88749999998</v>
      </c>
      <c r="W28" s="885">
        <f t="shared" si="11"/>
        <v>11993130</v>
      </c>
      <c r="X28" s="1110">
        <f t="shared" si="23"/>
        <v>46485000</v>
      </c>
      <c r="Z28" s="1102">
        <f t="shared" si="2"/>
        <v>0</v>
      </c>
      <c r="AA28" s="873">
        <f t="shared" si="3"/>
        <v>0</v>
      </c>
      <c r="AB28" s="873">
        <f t="shared" si="4"/>
        <v>0</v>
      </c>
      <c r="AC28" s="885">
        <f t="shared" si="5"/>
        <v>0</v>
      </c>
      <c r="AE28" s="355">
        <f t="shared" si="24"/>
        <v>8</v>
      </c>
      <c r="AF28" s="1103">
        <f t="shared" si="24"/>
        <v>2034</v>
      </c>
      <c r="AG28" s="1104">
        <f t="shared" si="12"/>
        <v>44902124.736696221</v>
      </c>
      <c r="AH28" s="1104">
        <f t="shared" si="13"/>
        <v>-3687334.5209553731</v>
      </c>
      <c r="AI28" s="1104">
        <f t="shared" si="14"/>
        <v>-982893.3453935337</v>
      </c>
      <c r="AJ28" s="1104">
        <f t="shared" si="15"/>
        <v>-2704441.1755618397</v>
      </c>
      <c r="AK28" s="1104">
        <f t="shared" si="16"/>
        <v>0</v>
      </c>
      <c r="AL28" s="1104">
        <f>IF($AG28=0,0,SUM($AI$20:$AI28))</f>
        <v>-2565768.6086973138</v>
      </c>
      <c r="AM28" s="1104">
        <f>IF($AG28=0,0,SUM($AJ$20:$AJ28))</f>
        <v>-21607544.917679965</v>
      </c>
      <c r="AN28" s="1104">
        <f>SUM($AK$20:$AK28)</f>
        <v>0</v>
      </c>
      <c r="AO28" s="1105">
        <f t="shared" si="28"/>
        <v>43919231.39130269</v>
      </c>
      <c r="AP28" s="1104"/>
      <c r="AQ28" s="347"/>
      <c r="AS28" s="347" t="s">
        <v>434</v>
      </c>
      <c r="AT28" s="1118">
        <f>EOMONTH(DATE(AT26,INDEX($AV$22:$AW$34,MATCH($AT$27,$AV$22:$AV$34,0),MATCH("Number",$AV$22:$AW$22,0)),1),0)</f>
        <v>46142</v>
      </c>
      <c r="AU28" s="345"/>
      <c r="AV28" s="1111" t="s">
        <v>264</v>
      </c>
      <c r="AW28" s="1117">
        <v>6</v>
      </c>
      <c r="AX28" s="348" t="str">
        <f t="shared" si="30"/>
        <v>June</v>
      </c>
      <c r="AY28" s="1092"/>
      <c r="AZ28" s="1138">
        <v>1</v>
      </c>
      <c r="BA28" s="526">
        <f t="shared" ref="BA28:BA63" si="32">IF(AZ28="","",ROUND(+AZ28/$BC$21,2))</f>
        <v>0.04</v>
      </c>
      <c r="BB28" s="1139">
        <f t="shared" ref="BB28:BB63" si="33">IF(BA28="","",IF(BA28&gt;0,+$BC$20*BA28,""))</f>
        <v>1859400</v>
      </c>
      <c r="BC28" s="527">
        <f>IF(BB28="","",IF(BB28&gt;0,+BB28-BB27,""))</f>
        <v>1859400</v>
      </c>
      <c r="BD28" s="527">
        <f>BC20</f>
        <v>46485000</v>
      </c>
      <c r="BE28" s="1140">
        <f>IF(BA28="","",IF(BA28&gt;0,+$BC$20*(VLOOKUP(BA28,LIST,2,TRUE)),""))</f>
        <v>743760</v>
      </c>
      <c r="BF28" s="527">
        <f>IF(BE28="","",IF(BE28&gt;0,+BE28-BE27,""))</f>
        <v>743760</v>
      </c>
      <c r="BG28" s="527">
        <f>BC20</f>
        <v>46485000</v>
      </c>
      <c r="BH28" s="1140">
        <f t="shared" ref="BH28:BH63" si="34">IF(BA28="","",IF(BA28&gt;0,+$BC$20*(VLOOKUP(BA28,LIST,3,TRUE)),""))</f>
        <v>1301580</v>
      </c>
      <c r="BI28" s="527">
        <f>IF(BH28="","",IF(BH28&gt;0,+BH28-BH27,""))</f>
        <v>1301580</v>
      </c>
      <c r="BJ28" s="527">
        <f>BC20</f>
        <v>46485000</v>
      </c>
      <c r="BK28" s="1140">
        <f t="shared" ref="BK28:BK63" si="35">IF(BA28="","",IF(BA28&gt;0,+$BC$20*(VLOOKUP(BA28,LIST,4,TRUE)),""))</f>
        <v>371880</v>
      </c>
      <c r="BL28" s="527">
        <f>IF(BK28="","",IF(BK28&gt;0,+BK28-BK27,""))</f>
        <v>371880</v>
      </c>
      <c r="BM28" s="1141">
        <f>BC20</f>
        <v>46485000</v>
      </c>
      <c r="BN28" s="1137"/>
      <c r="BO28" s="447">
        <v>0</v>
      </c>
      <c r="BP28" s="450">
        <v>0</v>
      </c>
      <c r="BQ28" s="450">
        <v>0</v>
      </c>
      <c r="BR28" s="449">
        <v>0</v>
      </c>
    </row>
    <row r="29" spans="2:70" s="278" customFormat="1" ht="12" customHeight="1" x14ac:dyDescent="0.25">
      <c r="B29" s="1108">
        <f>IF(C29&lt;'Financing Assumptions'!$G$25,0,IF(C29='Financing Assumptions'!$G$25,1,IF(C29&gt;'Financing Assumptions'!$G$25,B28+1)))</f>
        <v>10</v>
      </c>
      <c r="C29" s="1109">
        <f t="shared" si="17"/>
        <v>12</v>
      </c>
      <c r="D29" s="732">
        <f t="shared" si="6"/>
        <v>31</v>
      </c>
      <c r="E29" s="35">
        <f t="shared" si="7"/>
        <v>1</v>
      </c>
      <c r="F29" s="889">
        <f t="shared" si="25"/>
        <v>46418</v>
      </c>
      <c r="G29" s="822">
        <f t="shared" si="8"/>
        <v>1</v>
      </c>
      <c r="H29" s="126">
        <f t="shared" si="0"/>
        <v>0</v>
      </c>
      <c r="I29" s="1098">
        <f t="shared" si="26"/>
        <v>0</v>
      </c>
      <c r="J29" s="887">
        <f t="shared" si="18"/>
        <v>10</v>
      </c>
      <c r="K29" s="1099">
        <f t="shared" si="9"/>
        <v>0</v>
      </c>
      <c r="L29" s="891" t="str">
        <f t="shared" si="19"/>
        <v>January</v>
      </c>
      <c r="M29" s="888">
        <f t="shared" si="20"/>
        <v>2027</v>
      </c>
      <c r="N29" s="1284">
        <f t="shared" si="31"/>
        <v>2975040</v>
      </c>
      <c r="O29" s="1284">
        <f t="shared" si="21"/>
        <v>14968170</v>
      </c>
      <c r="P29" s="883">
        <f t="shared" si="22"/>
        <v>14968170</v>
      </c>
      <c r="Q29" s="883">
        <f>IF(AND($AU$43="Early Payoff",J29&gt;=$U$15),0,IF($J29&gt;$U$8,0,IF(AND($AT$33&gt;=0,$J29&lt;=$AT$33),0,IF(AND($AT$31&gt;=0,$J29&lt;=$AT$31),$T29,IF(AND($V$4="Annual",$AT$31&gt;=0,$AT$33&gt;=0,$J29&gt;$AT$31,$J29&gt;$AT$33),PMT($M$7,($U$8-$AT$31),$M$4),IF(AND($V$4="Bi-Annual",$AT$31&gt;=0,$AT$33&gt;=0,$J29&gt;$AT$31,$J29&gt;$AT$33),PMT($M$7/2,($U$8-$AT$31),$M$4),IF(AND($V$4="Monthly",$AT$31&gt;=0,$AT$33&gt;=0,$J29&gt;$AT$31,$J29&gt;$AT$33),PMT($M$7/12,($U$8-$AT$31),$M$4))))))))-R29</f>
        <v>0</v>
      </c>
      <c r="R29" s="1100"/>
      <c r="S29" s="883">
        <f>IF(AND($AU$43="Early Payoff",J29&gt;=$U$15),0,IF($J29&gt;$U$8,0,IF(AND($AT$33&gt;0,$J29&lt;=$AT$33),0,+$Q29-$T29)))</f>
        <v>0</v>
      </c>
      <c r="T29" s="884">
        <f t="shared" si="29"/>
        <v>-60798.506249999999</v>
      </c>
      <c r="U29" s="884">
        <f>IF(AND($AU$43="Early Payoff",J29&gt;$U$15),0,IF($J29&lt;=$U$8,SUM($S$20:$S29),0))</f>
        <v>0</v>
      </c>
      <c r="V29" s="884">
        <f>IF(AND($AU$43="Early Payoff",J29&gt;$U$15),0,IF($J29&lt;=$U$8,SUM($T$20:$T29),0))</f>
        <v>-248378.39374999999</v>
      </c>
      <c r="W29" s="885">
        <f t="shared" si="11"/>
        <v>14968170</v>
      </c>
      <c r="X29" s="1110">
        <f t="shared" si="23"/>
        <v>46485000</v>
      </c>
      <c r="Z29" s="1102">
        <f t="shared" si="2"/>
        <v>0</v>
      </c>
      <c r="AA29" s="873">
        <f t="shared" si="3"/>
        <v>0</v>
      </c>
      <c r="AB29" s="873">
        <f t="shared" si="4"/>
        <v>0</v>
      </c>
      <c r="AC29" s="885">
        <f t="shared" si="5"/>
        <v>0</v>
      </c>
      <c r="AE29" s="355">
        <f t="shared" si="24"/>
        <v>9</v>
      </c>
      <c r="AF29" s="1103">
        <f t="shared" si="24"/>
        <v>2035</v>
      </c>
      <c r="AG29" s="1104">
        <f t="shared" si="12"/>
        <v>43919231.391302682</v>
      </c>
      <c r="AH29" s="1104">
        <f t="shared" si="13"/>
        <v>-3687334.5209553731</v>
      </c>
      <c r="AI29" s="1104">
        <f t="shared" si="14"/>
        <v>-1044381.6555120605</v>
      </c>
      <c r="AJ29" s="1104">
        <f t="shared" si="15"/>
        <v>-2642952.865443313</v>
      </c>
      <c r="AK29" s="1104">
        <f t="shared" si="16"/>
        <v>0</v>
      </c>
      <c r="AL29" s="1104">
        <f>IF($AG29=0,0,SUM($AI$20:$AI29))</f>
        <v>-3610150.2642093743</v>
      </c>
      <c r="AM29" s="1104">
        <f>IF($AG29=0,0,SUM($AJ$20:$AJ29))</f>
        <v>-24250497.783123277</v>
      </c>
      <c r="AN29" s="1104">
        <f>SUM($AK$20:$AK29)</f>
        <v>0</v>
      </c>
      <c r="AO29" s="1105">
        <f t="shared" si="28"/>
        <v>42874849.735790625</v>
      </c>
      <c r="AP29" s="1104"/>
      <c r="AQ29" s="347"/>
      <c r="AS29" s="347"/>
      <c r="AT29" s="345"/>
      <c r="AU29" s="345"/>
      <c r="AV29" s="1111" t="s">
        <v>530</v>
      </c>
      <c r="AW29" s="1117">
        <v>7</v>
      </c>
      <c r="AX29" s="348" t="str">
        <f t="shared" si="30"/>
        <v>July</v>
      </c>
      <c r="AY29" s="1092"/>
      <c r="AZ29" s="1138">
        <f t="shared" ref="AZ29:AZ63" si="36">IF(AZ28="","",IF(AND((AZ28+1)&lt;=BC$21,AZ28&gt;0),AZ28+1,""))</f>
        <v>2</v>
      </c>
      <c r="BA29" s="526">
        <f t="shared" si="32"/>
        <v>0.09</v>
      </c>
      <c r="BB29" s="1139">
        <f t="shared" si="33"/>
        <v>4183650</v>
      </c>
      <c r="BC29" s="527">
        <f>IF(BB29="","",IF(BB29&gt;0,+BB29-BB28,""))</f>
        <v>2324250</v>
      </c>
      <c r="BD29" s="527">
        <f>IF(BC28="","",ROUND(BD28-BC28,-4))</f>
        <v>44630000</v>
      </c>
      <c r="BE29" s="1140">
        <f t="shared" ref="BE29:BE63" si="37">IF(BA29="","",IF(BA29&gt;0,+$BC$20*(VLOOKUP(BA29,LIST,2,TRUE)),""))</f>
        <v>1487520</v>
      </c>
      <c r="BF29" s="527">
        <f t="shared" ref="BF29:BF63" si="38">IF(BE29="","",IF(BE29&gt;0,+BE29-BE28,""))</f>
        <v>743760</v>
      </c>
      <c r="BG29" s="527">
        <f>IF(BF28="","",ROUND(BG28-BF28,-4))</f>
        <v>45740000</v>
      </c>
      <c r="BH29" s="1140">
        <f t="shared" si="34"/>
        <v>2603160</v>
      </c>
      <c r="BI29" s="527">
        <f t="shared" ref="BI29:BI63" si="39">IF(BH29="","",IF(BH29&gt;0,+BH29-BH28,""))</f>
        <v>1301580</v>
      </c>
      <c r="BJ29" s="527">
        <f>IF(BI28="","",ROUND(BJ28-BI28,-4))</f>
        <v>45180000</v>
      </c>
      <c r="BK29" s="1140">
        <f>IF(BA29="","",IF(BA29&gt;0,+$BC$20*(VLOOKUP(BA29,LIST,4,TRUE)),""))</f>
        <v>743760</v>
      </c>
      <c r="BL29" s="527">
        <f t="shared" ref="BL29:BL63" si="40">IF(BK29="","",IF(BK29&gt;0,+BK29-BK28,""))</f>
        <v>371880</v>
      </c>
      <c r="BM29" s="1141">
        <f>IF(BL28="","",ROUND(BM28-BL28,-4))</f>
        <v>46110000</v>
      </c>
      <c r="BN29" s="1137"/>
      <c r="BO29" s="447">
        <f>BO28+0.02</f>
        <v>0.02</v>
      </c>
      <c r="BP29" s="450">
        <f>BP28+0.008</f>
        <v>8.0000000000000002E-3</v>
      </c>
      <c r="BQ29" s="450">
        <f>BQ28+0.014</f>
        <v>1.4E-2</v>
      </c>
      <c r="BR29" s="449">
        <f>BR28+0.004</f>
        <v>4.0000000000000001E-3</v>
      </c>
    </row>
    <row r="30" spans="2:70" s="278" customFormat="1" ht="12" customHeight="1" x14ac:dyDescent="0.25">
      <c r="B30" s="1108">
        <f>IF(C30&lt;'Financing Assumptions'!$G$25,0,IF(C30='Financing Assumptions'!$G$25,1,IF(C30&gt;'Financing Assumptions'!$G$25,B29+1)))</f>
        <v>11</v>
      </c>
      <c r="C30" s="1109">
        <f t="shared" si="17"/>
        <v>13</v>
      </c>
      <c r="D30" s="732">
        <f t="shared" si="6"/>
        <v>28</v>
      </c>
      <c r="E30" s="35">
        <f t="shared" si="7"/>
        <v>2</v>
      </c>
      <c r="F30" s="889">
        <f t="shared" si="25"/>
        <v>46446</v>
      </c>
      <c r="G30" s="822">
        <f t="shared" si="8"/>
        <v>2</v>
      </c>
      <c r="H30" s="126">
        <f t="shared" si="0"/>
        <v>0</v>
      </c>
      <c r="I30" s="1098">
        <f t="shared" si="26"/>
        <v>0</v>
      </c>
      <c r="J30" s="887">
        <f t="shared" si="18"/>
        <v>11</v>
      </c>
      <c r="K30" s="1099">
        <f t="shared" si="9"/>
        <v>0</v>
      </c>
      <c r="L30" s="891" t="str">
        <f t="shared" si="19"/>
        <v>February</v>
      </c>
      <c r="M30" s="888">
        <f t="shared" si="20"/>
        <v>2027</v>
      </c>
      <c r="N30" s="1284">
        <f t="shared" si="31"/>
        <v>3904740</v>
      </c>
      <c r="O30" s="1284">
        <f t="shared" si="21"/>
        <v>18872910</v>
      </c>
      <c r="P30" s="883">
        <f t="shared" si="22"/>
        <v>18872910</v>
      </c>
      <c r="Q30" s="883">
        <f t="shared" si="10"/>
        <v>0</v>
      </c>
      <c r="R30" s="1100"/>
      <c r="S30" s="883">
        <f t="shared" si="1"/>
        <v>0</v>
      </c>
      <c r="T30" s="884">
        <f t="shared" si="29"/>
        <v>-75880.306249999994</v>
      </c>
      <c r="U30" s="884">
        <f>IF(AND($AU$43="Early Payoff",J30&gt;$U$15),0,IF($J30&lt;=$U$8,SUM($S$20:$S30),0))</f>
        <v>0</v>
      </c>
      <c r="V30" s="884">
        <f>IF(AND($AU$43="Early Payoff",J30&gt;$U$15),0,IF($J30&lt;=$U$8,SUM($T$20:$T30),0))</f>
        <v>-324258.69999999995</v>
      </c>
      <c r="W30" s="885">
        <f t="shared" si="11"/>
        <v>18872910</v>
      </c>
      <c r="X30" s="1110">
        <f t="shared" si="23"/>
        <v>46485000</v>
      </c>
      <c r="Z30" s="1102">
        <f t="shared" si="2"/>
        <v>0</v>
      </c>
      <c r="AA30" s="873">
        <f t="shared" si="3"/>
        <v>0</v>
      </c>
      <c r="AB30" s="873">
        <f t="shared" si="4"/>
        <v>0</v>
      </c>
      <c r="AC30" s="885">
        <f t="shared" si="5"/>
        <v>0</v>
      </c>
      <c r="AE30" s="355">
        <f t="shared" si="24"/>
        <v>10</v>
      </c>
      <c r="AF30" s="1103">
        <f t="shared" si="24"/>
        <v>2036</v>
      </c>
      <c r="AG30" s="1104">
        <f t="shared" si="12"/>
        <v>42874849.735790625</v>
      </c>
      <c r="AH30" s="1104">
        <f t="shared" si="13"/>
        <v>-3687334.5209553731</v>
      </c>
      <c r="AI30" s="1104">
        <f t="shared" si="14"/>
        <v>-1109716.5806259483</v>
      </c>
      <c r="AJ30" s="1104">
        <f t="shared" si="15"/>
        <v>-2577617.9403294246</v>
      </c>
      <c r="AK30" s="1104">
        <f t="shared" si="16"/>
        <v>0</v>
      </c>
      <c r="AL30" s="1104">
        <f>IF($AG30=0,0,SUM($AI$20:$AI30))</f>
        <v>-4719866.8448353224</v>
      </c>
      <c r="AM30" s="1104">
        <f>IF($AG30=0,0,SUM($AJ$20:$AJ30))</f>
        <v>-26828115.723452702</v>
      </c>
      <c r="AN30" s="1104">
        <f>SUM($AK$20:$AK30)</f>
        <v>0</v>
      </c>
      <c r="AO30" s="1105">
        <f t="shared" si="28"/>
        <v>41765133.155164674</v>
      </c>
      <c r="AP30" s="1104"/>
      <c r="AQ30" s="347"/>
      <c r="AS30" s="347" t="s">
        <v>531</v>
      </c>
      <c r="AT30" s="1142">
        <f>M8</f>
        <v>72</v>
      </c>
      <c r="AU30" s="345"/>
      <c r="AV30" s="1111" t="s">
        <v>509</v>
      </c>
      <c r="AW30" s="1117">
        <v>8</v>
      </c>
      <c r="AX30" s="348" t="str">
        <f t="shared" si="30"/>
        <v>August</v>
      </c>
      <c r="AY30" s="1092"/>
      <c r="AZ30" s="1138">
        <f t="shared" si="36"/>
        <v>3</v>
      </c>
      <c r="BA30" s="526">
        <f t="shared" si="32"/>
        <v>0.13</v>
      </c>
      <c r="BB30" s="1139">
        <f t="shared" si="33"/>
        <v>6043050</v>
      </c>
      <c r="BC30" s="527">
        <f t="shared" ref="BC30:BC63" si="41">IF(BB30="","",IF(BB30&gt;0,+BB30-BB29,""))</f>
        <v>1859400</v>
      </c>
      <c r="BD30" s="527">
        <f t="shared" ref="BD30:BD63" si="42">IF(BC29="","",ROUND(BD29-BC29,-4))</f>
        <v>42310000</v>
      </c>
      <c r="BE30" s="1140">
        <f t="shared" si="37"/>
        <v>2324250</v>
      </c>
      <c r="BF30" s="527">
        <f t="shared" si="38"/>
        <v>836730</v>
      </c>
      <c r="BG30" s="527">
        <f t="shared" ref="BG30:BG63" si="43">IF(BF29="","",ROUND(BG29-BF29,-4))</f>
        <v>45000000</v>
      </c>
      <c r="BH30" s="1140">
        <f t="shared" si="34"/>
        <v>3904740.0000000005</v>
      </c>
      <c r="BI30" s="527">
        <f t="shared" si="39"/>
        <v>1301580.0000000005</v>
      </c>
      <c r="BJ30" s="527">
        <f t="shared" ref="BJ30:BJ63" si="44">IF(BI29="","",ROUND(BJ29-BI29,-4))</f>
        <v>43880000</v>
      </c>
      <c r="BK30" s="1140">
        <f t="shared" si="35"/>
        <v>1208610</v>
      </c>
      <c r="BL30" s="527">
        <f t="shared" si="40"/>
        <v>464850</v>
      </c>
      <c r="BM30" s="1141">
        <f>IF(BL29="","",ROUND(BM29-BL29,-4))</f>
        <v>45740000</v>
      </c>
      <c r="BN30" s="1137"/>
      <c r="BO30" s="447">
        <f t="shared" ref="BO30:BO68" si="45">BO29+0.02</f>
        <v>0.04</v>
      </c>
      <c r="BP30" s="450">
        <f>BP29+0.008</f>
        <v>1.6E-2</v>
      </c>
      <c r="BQ30" s="450">
        <f t="shared" ref="BQ30:BQ37" si="46">BQ29+0.014</f>
        <v>2.8000000000000001E-2</v>
      </c>
      <c r="BR30" s="449">
        <f>BR29+0.004</f>
        <v>8.0000000000000002E-3</v>
      </c>
    </row>
    <row r="31" spans="2:70" s="278" customFormat="1" ht="12" customHeight="1" x14ac:dyDescent="0.25">
      <c r="B31" s="1108">
        <f>IF(C31&lt;'Financing Assumptions'!$G$25,0,IF(C31='Financing Assumptions'!$G$25,1,IF(C31&gt;'Financing Assumptions'!$G$25,B30+1)))</f>
        <v>12</v>
      </c>
      <c r="C31" s="1109">
        <f t="shared" si="17"/>
        <v>14</v>
      </c>
      <c r="D31" s="732">
        <f t="shared" si="6"/>
        <v>31</v>
      </c>
      <c r="E31" s="35">
        <f t="shared" si="7"/>
        <v>3</v>
      </c>
      <c r="F31" s="889">
        <f t="shared" si="25"/>
        <v>46477</v>
      </c>
      <c r="G31" s="822">
        <f t="shared" si="8"/>
        <v>3</v>
      </c>
      <c r="H31" s="126">
        <f t="shared" si="0"/>
        <v>0</v>
      </c>
      <c r="I31" s="1098">
        <f t="shared" si="26"/>
        <v>0</v>
      </c>
      <c r="J31" s="887">
        <f t="shared" si="18"/>
        <v>12</v>
      </c>
      <c r="K31" s="1099">
        <f t="shared" si="9"/>
        <v>0</v>
      </c>
      <c r="L31" s="891" t="str">
        <f t="shared" si="19"/>
        <v>March</v>
      </c>
      <c r="M31" s="888">
        <f t="shared" si="20"/>
        <v>2027</v>
      </c>
      <c r="N31" s="1284">
        <f t="shared" si="31"/>
        <v>3904740</v>
      </c>
      <c r="O31" s="1284">
        <f t="shared" si="21"/>
        <v>22777650</v>
      </c>
      <c r="P31" s="883">
        <f t="shared" si="22"/>
        <v>22777650</v>
      </c>
      <c r="Q31" s="883">
        <f t="shared" si="10"/>
        <v>0</v>
      </c>
      <c r="R31" s="1100"/>
      <c r="S31" s="883">
        <f t="shared" si="1"/>
        <v>0</v>
      </c>
      <c r="T31" s="884">
        <f t="shared" si="29"/>
        <v>-95675.168749999997</v>
      </c>
      <c r="U31" s="884">
        <f>IF(AND($AU$43="Early Payoff",J31&gt;$U$15),0,IF($J31&lt;=$U$8,SUM($S$20:$S31),0))</f>
        <v>0</v>
      </c>
      <c r="V31" s="884">
        <f>IF(AND($AU$43="Early Payoff",J31&gt;$U$15),0,IF($J31&lt;=$U$8,SUM($T$20:$T31),0))</f>
        <v>-419933.86874999997</v>
      </c>
      <c r="W31" s="885">
        <f t="shared" si="11"/>
        <v>22777650</v>
      </c>
      <c r="X31" s="1110">
        <f t="shared" si="23"/>
        <v>46485000</v>
      </c>
      <c r="Z31" s="1102">
        <f t="shared" si="2"/>
        <v>0</v>
      </c>
      <c r="AA31" s="873">
        <f t="shared" si="3"/>
        <v>0</v>
      </c>
      <c r="AB31" s="873">
        <f t="shared" si="4"/>
        <v>0</v>
      </c>
      <c r="AC31" s="885">
        <f t="shared" si="5"/>
        <v>0</v>
      </c>
      <c r="AE31" s="355">
        <f t="shared" si="24"/>
        <v>11</v>
      </c>
      <c r="AF31" s="1103">
        <f t="shared" si="24"/>
        <v>2037</v>
      </c>
      <c r="AG31" s="1104">
        <f t="shared" si="12"/>
        <v>41765133.155164689</v>
      </c>
      <c r="AH31" s="1104">
        <f t="shared" si="13"/>
        <v>-3687334.5209553731</v>
      </c>
      <c r="AI31" s="1104">
        <f t="shared" si="14"/>
        <v>-1179138.7591084763</v>
      </c>
      <c r="AJ31" s="1104">
        <f t="shared" si="15"/>
        <v>-2508195.7618468967</v>
      </c>
      <c r="AK31" s="1104">
        <f t="shared" si="16"/>
        <v>0</v>
      </c>
      <c r="AL31" s="1104">
        <f>IF($AG31=0,0,SUM($AI$20:$AI31))</f>
        <v>-5899005.6039437987</v>
      </c>
      <c r="AM31" s="1104">
        <f>IF($AG31=0,0,SUM($AJ$20:$AJ31))</f>
        <v>-29336311.485299598</v>
      </c>
      <c r="AN31" s="1104">
        <f>SUM($AK$20:$AK31)</f>
        <v>0</v>
      </c>
      <c r="AO31" s="1105">
        <f t="shared" si="28"/>
        <v>40585994.396056212</v>
      </c>
      <c r="AP31" s="1104"/>
      <c r="AQ31" s="347"/>
      <c r="AS31" s="1143" t="s">
        <v>532</v>
      </c>
      <c r="AT31" s="1144">
        <f>IF($V$4="Annual",AT30/12,IF($V$4="Bi-Annual",(AT30/12)*2,IF($V$4="Monthly",AT30)))</f>
        <v>72</v>
      </c>
      <c r="AU31" s="345"/>
      <c r="AV31" s="1111" t="s">
        <v>461</v>
      </c>
      <c r="AW31" s="1117">
        <v>9</v>
      </c>
      <c r="AX31" s="348" t="str">
        <f t="shared" si="30"/>
        <v>September</v>
      </c>
      <c r="AY31" s="1092"/>
      <c r="AZ31" s="1138">
        <f t="shared" si="36"/>
        <v>4</v>
      </c>
      <c r="BA31" s="526">
        <f t="shared" si="32"/>
        <v>0.17</v>
      </c>
      <c r="BB31" s="1139">
        <f t="shared" si="33"/>
        <v>7902450.0000000009</v>
      </c>
      <c r="BC31" s="527">
        <f t="shared" si="41"/>
        <v>1859400.0000000009</v>
      </c>
      <c r="BD31" s="527">
        <f>IF(BC30="","",ROUND(BD30-BC30,-4))</f>
        <v>40450000</v>
      </c>
      <c r="BE31" s="1140">
        <f t="shared" si="37"/>
        <v>3253950.0000000005</v>
      </c>
      <c r="BF31" s="527">
        <f t="shared" si="38"/>
        <v>929700.00000000047</v>
      </c>
      <c r="BG31" s="527">
        <f t="shared" si="43"/>
        <v>44160000</v>
      </c>
      <c r="BH31" s="1140">
        <f t="shared" si="34"/>
        <v>5206320</v>
      </c>
      <c r="BI31" s="527">
        <f t="shared" si="39"/>
        <v>1301579.9999999995</v>
      </c>
      <c r="BJ31" s="527">
        <f t="shared" si="44"/>
        <v>42580000</v>
      </c>
      <c r="BK31" s="1140">
        <f t="shared" si="35"/>
        <v>1766430</v>
      </c>
      <c r="BL31" s="527">
        <f t="shared" si="40"/>
        <v>557820</v>
      </c>
      <c r="BM31" s="1141">
        <f t="shared" ref="BM31:BM63" si="47">IF(BL30="","",ROUND(BM30-BL30,-4))</f>
        <v>45280000</v>
      </c>
      <c r="BN31" s="1137"/>
      <c r="BO31" s="447">
        <f t="shared" si="45"/>
        <v>0.06</v>
      </c>
      <c r="BP31" s="450">
        <f>BP30+0.008</f>
        <v>2.4E-2</v>
      </c>
      <c r="BQ31" s="450">
        <f t="shared" si="46"/>
        <v>4.2000000000000003E-2</v>
      </c>
      <c r="BR31" s="449">
        <f>BR30+0.004</f>
        <v>1.2E-2</v>
      </c>
    </row>
    <row r="32" spans="2:70" s="278" customFormat="1" ht="12" customHeight="1" x14ac:dyDescent="0.25">
      <c r="B32" s="1108">
        <f>IF(C32&lt;'Financing Assumptions'!$G$25,0,IF(C32='Financing Assumptions'!$G$25,1,IF(C32&gt;'Financing Assumptions'!$G$25,B31+1)))</f>
        <v>13</v>
      </c>
      <c r="C32" s="1109">
        <f t="shared" si="17"/>
        <v>15</v>
      </c>
      <c r="D32" s="732">
        <f t="shared" si="6"/>
        <v>30</v>
      </c>
      <c r="E32" s="35">
        <f t="shared" si="7"/>
        <v>4</v>
      </c>
      <c r="F32" s="889">
        <f t="shared" si="25"/>
        <v>46507</v>
      </c>
      <c r="G32" s="822">
        <f t="shared" si="8"/>
        <v>4</v>
      </c>
      <c r="H32" s="126">
        <f t="shared" si="0"/>
        <v>0</v>
      </c>
      <c r="I32" s="1098">
        <f t="shared" si="26"/>
        <v>0</v>
      </c>
      <c r="J32" s="887">
        <f t="shared" si="18"/>
        <v>13</v>
      </c>
      <c r="K32" s="1099">
        <f t="shared" si="9"/>
        <v>0</v>
      </c>
      <c r="L32" s="891" t="str">
        <f t="shared" si="19"/>
        <v>April</v>
      </c>
      <c r="M32" s="888">
        <f t="shared" si="20"/>
        <v>2027</v>
      </c>
      <c r="N32" s="1284">
        <f t="shared" si="31"/>
        <v>5020380.0000000037</v>
      </c>
      <c r="O32" s="1284">
        <f t="shared" si="21"/>
        <v>27798030.000000004</v>
      </c>
      <c r="P32" s="883">
        <f t="shared" si="22"/>
        <v>27798030.000000004</v>
      </c>
      <c r="Q32" s="883">
        <f t="shared" si="10"/>
        <v>0</v>
      </c>
      <c r="R32" s="1100"/>
      <c r="S32" s="883">
        <f t="shared" si="1"/>
        <v>0</v>
      </c>
      <c r="T32" s="884">
        <f t="shared" si="29"/>
        <v>-115470.03125</v>
      </c>
      <c r="U32" s="884">
        <f>IF(AND($AU$43="Early Payoff",J32&gt;$U$15),0,IF($J32&lt;=$U$8,SUM($S$20:$S32),0))</f>
        <v>0</v>
      </c>
      <c r="V32" s="884">
        <f>IF(AND($AU$43="Early Payoff",J32&gt;$U$15),0,IF($J32&lt;=$U$8,SUM($T$20:$T32),0))</f>
        <v>-535403.89999999991</v>
      </c>
      <c r="W32" s="885">
        <f t="shared" si="11"/>
        <v>27798030.000000004</v>
      </c>
      <c r="X32" s="1110">
        <f t="shared" si="23"/>
        <v>46485000</v>
      </c>
      <c r="Z32" s="1102">
        <f t="shared" si="2"/>
        <v>0</v>
      </c>
      <c r="AA32" s="873">
        <f t="shared" si="3"/>
        <v>0</v>
      </c>
      <c r="AB32" s="873">
        <f t="shared" si="4"/>
        <v>0</v>
      </c>
      <c r="AC32" s="885">
        <f t="shared" si="5"/>
        <v>0</v>
      </c>
      <c r="AE32" s="355">
        <f t="shared" si="24"/>
        <v>12</v>
      </c>
      <c r="AF32" s="1103">
        <f t="shared" si="24"/>
        <v>2038</v>
      </c>
      <c r="AG32" s="1104">
        <f t="shared" si="12"/>
        <v>40585994.396056212</v>
      </c>
      <c r="AH32" s="1104">
        <f t="shared" si="13"/>
        <v>-3687334.5209553731</v>
      </c>
      <c r="AI32" s="1104">
        <f t="shared" si="14"/>
        <v>-1252903.8833029103</v>
      </c>
      <c r="AJ32" s="1104">
        <f t="shared" si="15"/>
        <v>-2434430.6376524628</v>
      </c>
      <c r="AK32" s="1104">
        <f t="shared" si="16"/>
        <v>0</v>
      </c>
      <c r="AL32" s="1104">
        <f>IF($AG32=0,0,SUM($AI$20:$AI32))</f>
        <v>-7151909.4872467089</v>
      </c>
      <c r="AM32" s="1104">
        <f>IF($AG32=0,0,SUM($AJ$20:$AJ32))</f>
        <v>-31770742.122952063</v>
      </c>
      <c r="AN32" s="1104">
        <f>SUM($AK$20:$AK32)</f>
        <v>0</v>
      </c>
      <c r="AO32" s="1105">
        <f t="shared" si="28"/>
        <v>39333090.5127533</v>
      </c>
      <c r="AP32" s="1104"/>
      <c r="AQ32" s="347"/>
      <c r="AS32" s="347" t="s">
        <v>162</v>
      </c>
      <c r="AT32" s="1142">
        <f>M9</f>
        <v>26</v>
      </c>
      <c r="AU32" s="345"/>
      <c r="AV32" s="1111" t="s">
        <v>533</v>
      </c>
      <c r="AW32" s="1117">
        <v>10</v>
      </c>
      <c r="AX32" s="348" t="str">
        <f t="shared" si="30"/>
        <v>October</v>
      </c>
      <c r="AY32" s="1092"/>
      <c r="AZ32" s="1138">
        <f t="shared" si="36"/>
        <v>5</v>
      </c>
      <c r="BA32" s="526">
        <f t="shared" si="32"/>
        <v>0.22</v>
      </c>
      <c r="BB32" s="1139">
        <f t="shared" si="33"/>
        <v>10226700</v>
      </c>
      <c r="BC32" s="527">
        <f t="shared" si="41"/>
        <v>2324249.9999999991</v>
      </c>
      <c r="BD32" s="527">
        <f t="shared" si="42"/>
        <v>38590000</v>
      </c>
      <c r="BE32" s="1140">
        <f t="shared" si="37"/>
        <v>4927410</v>
      </c>
      <c r="BF32" s="527">
        <f t="shared" si="38"/>
        <v>1673459.9999999995</v>
      </c>
      <c r="BG32" s="527">
        <f t="shared" si="43"/>
        <v>43230000</v>
      </c>
      <c r="BH32" s="1140">
        <f t="shared" si="34"/>
        <v>7809480.0000000009</v>
      </c>
      <c r="BI32" s="527">
        <f t="shared" si="39"/>
        <v>2603160.0000000009</v>
      </c>
      <c r="BJ32" s="527">
        <f t="shared" si="44"/>
        <v>41280000</v>
      </c>
      <c r="BK32" s="1140">
        <f t="shared" si="35"/>
        <v>2789100</v>
      </c>
      <c r="BL32" s="527">
        <f>IF(BK32="","",IF(BK32&gt;0,+BK32-BK31,""))</f>
        <v>1022670</v>
      </c>
      <c r="BM32" s="1141">
        <f t="shared" si="47"/>
        <v>44720000</v>
      </c>
      <c r="BN32" s="1137"/>
      <c r="BO32" s="447">
        <f t="shared" si="45"/>
        <v>0.08</v>
      </c>
      <c r="BP32" s="450">
        <f>BP31+0.008</f>
        <v>3.2000000000000001E-2</v>
      </c>
      <c r="BQ32" s="450">
        <f t="shared" si="46"/>
        <v>5.6000000000000001E-2</v>
      </c>
      <c r="BR32" s="449">
        <f>BR31+0.004</f>
        <v>1.6E-2</v>
      </c>
    </row>
    <row r="33" spans="2:70" s="278" customFormat="1" ht="12" customHeight="1" x14ac:dyDescent="0.25">
      <c r="B33" s="1108">
        <f>IF(C33&lt;'Financing Assumptions'!$G$25,0,IF(C33='Financing Assumptions'!$G$25,1,IF(C33&gt;'Financing Assumptions'!$G$25,B32+1)))</f>
        <v>14</v>
      </c>
      <c r="C33" s="1109">
        <f t="shared" si="17"/>
        <v>16</v>
      </c>
      <c r="D33" s="732">
        <f t="shared" si="6"/>
        <v>31</v>
      </c>
      <c r="E33" s="35">
        <f t="shared" si="7"/>
        <v>5</v>
      </c>
      <c r="F33" s="889">
        <f t="shared" si="25"/>
        <v>46538</v>
      </c>
      <c r="G33" s="822">
        <f t="shared" si="8"/>
        <v>5</v>
      </c>
      <c r="H33" s="126">
        <f t="shared" si="0"/>
        <v>0</v>
      </c>
      <c r="I33" s="1098">
        <f t="shared" si="26"/>
        <v>0</v>
      </c>
      <c r="J33" s="887">
        <f t="shared" si="18"/>
        <v>14</v>
      </c>
      <c r="K33" s="1099">
        <f t="shared" si="9"/>
        <v>0</v>
      </c>
      <c r="L33" s="891" t="str">
        <f t="shared" si="19"/>
        <v>May</v>
      </c>
      <c r="M33" s="888">
        <f t="shared" si="20"/>
        <v>2027</v>
      </c>
      <c r="N33" s="1284">
        <f t="shared" si="31"/>
        <v>3346919.9999999963</v>
      </c>
      <c r="O33" s="1284">
        <f t="shared" si="21"/>
        <v>31144950</v>
      </c>
      <c r="P33" s="883">
        <f t="shared" si="22"/>
        <v>31144950</v>
      </c>
      <c r="Q33" s="883">
        <f t="shared" si="10"/>
        <v>0</v>
      </c>
      <c r="R33" s="1100"/>
      <c r="S33" s="883">
        <f t="shared" si="1"/>
        <v>0</v>
      </c>
      <c r="T33" s="884">
        <f t="shared" si="29"/>
        <v>-140920.56875000001</v>
      </c>
      <c r="U33" s="884">
        <f>IF(AND($AU$43="Early Payoff",J33&gt;$U$15),0,IF($J33&lt;=$U$8,SUM($S$20:$S33),0))</f>
        <v>0</v>
      </c>
      <c r="V33" s="884">
        <f>IF(AND($AU$43="Early Payoff",J33&gt;$U$15),0,IF($J33&lt;=$U$8,SUM($T$20:$T33),0))</f>
        <v>-676324.46874999988</v>
      </c>
      <c r="W33" s="885">
        <f t="shared" si="11"/>
        <v>31144950</v>
      </c>
      <c r="X33" s="1110">
        <f t="shared" si="23"/>
        <v>46485000</v>
      </c>
      <c r="Z33" s="1102">
        <f t="shared" si="2"/>
        <v>0</v>
      </c>
      <c r="AA33" s="873">
        <f t="shared" si="3"/>
        <v>0</v>
      </c>
      <c r="AB33" s="873">
        <f t="shared" si="4"/>
        <v>0</v>
      </c>
      <c r="AC33" s="885">
        <f t="shared" si="5"/>
        <v>0</v>
      </c>
      <c r="AE33" s="355">
        <f t="shared" si="24"/>
        <v>13</v>
      </c>
      <c r="AF33" s="1103">
        <f t="shared" si="24"/>
        <v>2039</v>
      </c>
      <c r="AG33" s="1104">
        <f t="shared" si="12"/>
        <v>39333090.5127533</v>
      </c>
      <c r="AH33" s="1104">
        <f t="shared" si="13"/>
        <v>-3687334.5209553731</v>
      </c>
      <c r="AI33" s="1104">
        <f t="shared" si="14"/>
        <v>-1331283.6412759288</v>
      </c>
      <c r="AJ33" s="1104">
        <f t="shared" si="15"/>
        <v>-2356050.8796794447</v>
      </c>
      <c r="AK33" s="1104">
        <f t="shared" si="16"/>
        <v>0</v>
      </c>
      <c r="AL33" s="1104">
        <f>IF($AG33=0,0,SUM($AI$20:$AI33))</f>
        <v>-8483193.1285226382</v>
      </c>
      <c r="AM33" s="1104">
        <f>IF($AG33=0,0,SUM($AJ$20:$AJ33))</f>
        <v>-34126793.002631508</v>
      </c>
      <c r="AN33" s="1104">
        <f>SUM($AK$20:$AK33)</f>
        <v>0</v>
      </c>
      <c r="AO33" s="1105">
        <f t="shared" si="28"/>
        <v>38001806.871477373</v>
      </c>
      <c r="AP33" s="1104"/>
      <c r="AQ33" s="347"/>
      <c r="AS33" s="1143" t="s">
        <v>534</v>
      </c>
      <c r="AT33" s="1144">
        <f>IF($V$4="Annual",AT32/12,IF($V$4="Bi-Annual",(AT32/12)*2,IF($V$4="Monthly",AT32)))</f>
        <v>26</v>
      </c>
      <c r="AU33" s="345"/>
      <c r="AV33" s="1111" t="s">
        <v>535</v>
      </c>
      <c r="AW33" s="1117">
        <v>11</v>
      </c>
      <c r="AX33" s="348" t="str">
        <f t="shared" si="30"/>
        <v>November</v>
      </c>
      <c r="AY33" s="1092"/>
      <c r="AZ33" s="1138">
        <f t="shared" si="36"/>
        <v>6</v>
      </c>
      <c r="BA33" s="526">
        <f t="shared" si="32"/>
        <v>0.26</v>
      </c>
      <c r="BB33" s="1139">
        <f t="shared" si="33"/>
        <v>12086100</v>
      </c>
      <c r="BC33" s="527">
        <f t="shared" si="41"/>
        <v>1859400</v>
      </c>
      <c r="BD33" s="527">
        <f t="shared" si="42"/>
        <v>36270000</v>
      </c>
      <c r="BE33" s="1140">
        <f t="shared" si="37"/>
        <v>6414930.0000000009</v>
      </c>
      <c r="BF33" s="527">
        <f t="shared" si="38"/>
        <v>1487520.0000000009</v>
      </c>
      <c r="BG33" s="527">
        <f t="shared" si="43"/>
        <v>41560000</v>
      </c>
      <c r="BH33" s="1140">
        <f t="shared" si="34"/>
        <v>10412640</v>
      </c>
      <c r="BI33" s="527">
        <f t="shared" si="39"/>
        <v>2603159.9999999991</v>
      </c>
      <c r="BJ33" s="527">
        <f t="shared" si="44"/>
        <v>38680000</v>
      </c>
      <c r="BK33" s="1140">
        <f t="shared" si="35"/>
        <v>3718800</v>
      </c>
      <c r="BL33" s="527">
        <f t="shared" si="40"/>
        <v>929700</v>
      </c>
      <c r="BM33" s="1141">
        <f t="shared" si="47"/>
        <v>43700000</v>
      </c>
      <c r="BN33" s="1137"/>
      <c r="BO33" s="447">
        <f t="shared" si="45"/>
        <v>0.1</v>
      </c>
      <c r="BP33" s="450">
        <v>0.04</v>
      </c>
      <c r="BQ33" s="450">
        <v>7.0000000000000007E-2</v>
      </c>
      <c r="BR33" s="449">
        <v>0.02</v>
      </c>
    </row>
    <row r="34" spans="2:70" s="278" customFormat="1" ht="12" customHeight="1" x14ac:dyDescent="0.25">
      <c r="B34" s="1108">
        <f>IF(C34&lt;'Financing Assumptions'!$G$25,0,IF(C34='Financing Assumptions'!$G$25,1,IF(C34&gt;'Financing Assumptions'!$G$25,B33+1)))</f>
        <v>15</v>
      </c>
      <c r="C34" s="1109">
        <f t="shared" si="17"/>
        <v>17</v>
      </c>
      <c r="D34" s="732">
        <f t="shared" si="6"/>
        <v>30</v>
      </c>
      <c r="E34" s="35">
        <f t="shared" si="7"/>
        <v>6</v>
      </c>
      <c r="F34" s="889">
        <f t="shared" si="25"/>
        <v>46568</v>
      </c>
      <c r="G34" s="822">
        <f t="shared" si="8"/>
        <v>6</v>
      </c>
      <c r="H34" s="126">
        <f t="shared" si="0"/>
        <v>0</v>
      </c>
      <c r="I34" s="1098">
        <f t="shared" si="26"/>
        <v>0</v>
      </c>
      <c r="J34" s="887">
        <f t="shared" si="18"/>
        <v>15</v>
      </c>
      <c r="K34" s="1099">
        <f t="shared" si="9"/>
        <v>0</v>
      </c>
      <c r="L34" s="891" t="str">
        <f t="shared" si="19"/>
        <v>June</v>
      </c>
      <c r="M34" s="888">
        <f t="shared" si="20"/>
        <v>2027</v>
      </c>
      <c r="N34" s="1284">
        <f t="shared" si="31"/>
        <v>2417220.0000000075</v>
      </c>
      <c r="O34" s="1284">
        <f t="shared" si="21"/>
        <v>33562170.000000007</v>
      </c>
      <c r="P34" s="883">
        <f t="shared" si="22"/>
        <v>33562170.000000007</v>
      </c>
      <c r="Q34" s="883">
        <f t="shared" si="10"/>
        <v>0</v>
      </c>
      <c r="R34" s="1100"/>
      <c r="S34" s="883">
        <f t="shared" si="1"/>
        <v>0</v>
      </c>
      <c r="T34" s="884">
        <f t="shared" si="29"/>
        <v>-157887.59375</v>
      </c>
      <c r="U34" s="884">
        <f>IF(AND($AU$43="Early Payoff",J34&gt;$U$15),0,IF($J34&lt;=$U$8,SUM($S$20:$S34),0))</f>
        <v>0</v>
      </c>
      <c r="V34" s="884">
        <f>IF(AND($AU$43="Early Payoff",J34&gt;$U$15),0,IF($J34&lt;=$U$8,SUM($T$20:$T34),0))</f>
        <v>-834212.06249999988</v>
      </c>
      <c r="W34" s="885">
        <f t="shared" si="11"/>
        <v>33562170.000000007</v>
      </c>
      <c r="X34" s="1110">
        <f t="shared" si="23"/>
        <v>46485000</v>
      </c>
      <c r="Z34" s="1102">
        <f t="shared" si="2"/>
        <v>0</v>
      </c>
      <c r="AA34" s="873">
        <f t="shared" si="3"/>
        <v>0</v>
      </c>
      <c r="AB34" s="873">
        <f t="shared" si="4"/>
        <v>0</v>
      </c>
      <c r="AC34" s="885">
        <f t="shared" si="5"/>
        <v>0</v>
      </c>
      <c r="AE34" s="355">
        <f t="shared" si="24"/>
        <v>14</v>
      </c>
      <c r="AF34" s="1103">
        <f t="shared" si="24"/>
        <v>2040</v>
      </c>
      <c r="AG34" s="1104">
        <f t="shared" si="12"/>
        <v>38001806.871477373</v>
      </c>
      <c r="AH34" s="1104">
        <f t="shared" si="13"/>
        <v>-3687334.5209553731</v>
      </c>
      <c r="AI34" s="1104">
        <f t="shared" si="14"/>
        <v>-1414566.7174857096</v>
      </c>
      <c r="AJ34" s="1104">
        <f t="shared" si="15"/>
        <v>-2272767.8034696635</v>
      </c>
      <c r="AK34" s="1104">
        <f t="shared" si="16"/>
        <v>0</v>
      </c>
      <c r="AL34" s="1104">
        <f>IF($AG34=0,0,SUM($AI$20:$AI34))</f>
        <v>-9897759.8460083473</v>
      </c>
      <c r="AM34" s="1104">
        <f>IF($AG34=0,0,SUM($AJ$20:$AJ34))</f>
        <v>-36399560.806101173</v>
      </c>
      <c r="AN34" s="1104">
        <f>SUM($AK$20:$AK34)</f>
        <v>0</v>
      </c>
      <c r="AO34" s="1105">
        <f t="shared" si="28"/>
        <v>36587240.153991662</v>
      </c>
      <c r="AP34" s="1104"/>
      <c r="AQ34" s="347"/>
      <c r="AS34" s="347"/>
      <c r="AT34" s="345"/>
      <c r="AU34" s="345"/>
      <c r="AV34" s="1145" t="s">
        <v>423</v>
      </c>
      <c r="AW34" s="1146">
        <v>12</v>
      </c>
      <c r="AX34" s="568" t="str">
        <f t="shared" si="30"/>
        <v>December</v>
      </c>
      <c r="AY34" s="1092"/>
      <c r="AZ34" s="1138">
        <f t="shared" si="36"/>
        <v>7</v>
      </c>
      <c r="BA34" s="526">
        <f t="shared" si="32"/>
        <v>0.3</v>
      </c>
      <c r="BB34" s="1139">
        <f t="shared" si="33"/>
        <v>13945500</v>
      </c>
      <c r="BC34" s="527">
        <f t="shared" si="41"/>
        <v>1859400</v>
      </c>
      <c r="BD34" s="527">
        <f t="shared" si="42"/>
        <v>34410000</v>
      </c>
      <c r="BE34" s="1140">
        <f t="shared" si="37"/>
        <v>7902450.0000000009</v>
      </c>
      <c r="BF34" s="527">
        <f t="shared" si="38"/>
        <v>1487520</v>
      </c>
      <c r="BG34" s="527">
        <f t="shared" si="43"/>
        <v>40070000</v>
      </c>
      <c r="BH34" s="1140">
        <f t="shared" si="34"/>
        <v>13015800.000000002</v>
      </c>
      <c r="BI34" s="527">
        <f t="shared" si="39"/>
        <v>2603160.0000000019</v>
      </c>
      <c r="BJ34" s="527">
        <f t="shared" si="44"/>
        <v>36080000</v>
      </c>
      <c r="BK34" s="1140">
        <f t="shared" si="35"/>
        <v>4648500</v>
      </c>
      <c r="BL34" s="527">
        <f t="shared" si="40"/>
        <v>929700</v>
      </c>
      <c r="BM34" s="1141">
        <f t="shared" si="47"/>
        <v>42770000</v>
      </c>
      <c r="BN34" s="1137"/>
      <c r="BO34" s="447">
        <f t="shared" si="45"/>
        <v>0.12000000000000001</v>
      </c>
      <c r="BP34" s="450">
        <v>0.05</v>
      </c>
      <c r="BQ34" s="450">
        <f>BQ33+0.014</f>
        <v>8.4000000000000005E-2</v>
      </c>
      <c r="BR34" s="449">
        <f>BR33+0.006</f>
        <v>2.6000000000000002E-2</v>
      </c>
    </row>
    <row r="35" spans="2:70" s="278" customFormat="1" ht="12" customHeight="1" x14ac:dyDescent="0.25">
      <c r="B35" s="1108">
        <f>IF(C35&lt;'Financing Assumptions'!$G$25,0,IF(C35='Financing Assumptions'!$G$25,1,IF(C35&gt;'Financing Assumptions'!$G$25,B34+1)))</f>
        <v>16</v>
      </c>
      <c r="C35" s="1109">
        <f t="shared" si="17"/>
        <v>18</v>
      </c>
      <c r="D35" s="732">
        <f t="shared" si="6"/>
        <v>31</v>
      </c>
      <c r="E35" s="35">
        <f t="shared" si="7"/>
        <v>7</v>
      </c>
      <c r="F35" s="889">
        <f t="shared" si="25"/>
        <v>46599</v>
      </c>
      <c r="G35" s="822">
        <f t="shared" si="8"/>
        <v>7</v>
      </c>
      <c r="H35" s="126">
        <f t="shared" si="0"/>
        <v>0</v>
      </c>
      <c r="I35" s="1098">
        <f t="shared" si="26"/>
        <v>0</v>
      </c>
      <c r="J35" s="887">
        <f t="shared" si="18"/>
        <v>16</v>
      </c>
      <c r="K35" s="1099">
        <f t="shared" si="9"/>
        <v>0</v>
      </c>
      <c r="L35" s="891" t="str">
        <f t="shared" si="19"/>
        <v>July</v>
      </c>
      <c r="M35" s="888">
        <f t="shared" si="20"/>
        <v>2027</v>
      </c>
      <c r="N35" s="1284">
        <f t="shared" si="31"/>
        <v>2417220</v>
      </c>
      <c r="O35" s="1284">
        <f t="shared" si="21"/>
        <v>35979390.000000007</v>
      </c>
      <c r="P35" s="883">
        <f t="shared" si="22"/>
        <v>35979390.000000007</v>
      </c>
      <c r="Q35" s="883">
        <f t="shared" si="10"/>
        <v>0</v>
      </c>
      <c r="R35" s="1100"/>
      <c r="S35" s="883">
        <f t="shared" si="1"/>
        <v>0</v>
      </c>
      <c r="T35" s="884">
        <f t="shared" si="29"/>
        <v>-170141.55625000002</v>
      </c>
      <c r="U35" s="884">
        <f>IF(AND($AU$43="Early Payoff",J35&gt;$U$15),0,IF($J35&lt;=$U$8,SUM($S$20:$S35),0))</f>
        <v>0</v>
      </c>
      <c r="V35" s="884">
        <f>IF(AND($AU$43="Early Payoff",J35&gt;$U$15),0,IF($J35&lt;=$U$8,SUM($T$20:$T35),0))</f>
        <v>-1004353.6187499999</v>
      </c>
      <c r="W35" s="885">
        <f t="shared" si="11"/>
        <v>35979390.000000007</v>
      </c>
      <c r="X35" s="1110">
        <f t="shared" si="23"/>
        <v>46485000</v>
      </c>
      <c r="Z35" s="1102">
        <f t="shared" si="2"/>
        <v>0</v>
      </c>
      <c r="AA35" s="873">
        <f t="shared" si="3"/>
        <v>0</v>
      </c>
      <c r="AB35" s="873">
        <f t="shared" si="4"/>
        <v>0</v>
      </c>
      <c r="AC35" s="885">
        <f t="shared" si="5"/>
        <v>0</v>
      </c>
      <c r="AE35" s="355">
        <f t="shared" si="24"/>
        <v>15</v>
      </c>
      <c r="AF35" s="1103">
        <f t="shared" si="24"/>
        <v>2041</v>
      </c>
      <c r="AG35" s="1104">
        <f t="shared" si="12"/>
        <v>36587240.153991647</v>
      </c>
      <c r="AH35" s="1104">
        <f t="shared" si="13"/>
        <v>-3687334.5209553731</v>
      </c>
      <c r="AI35" s="1104">
        <f t="shared" si="14"/>
        <v>-1503059.8560502839</v>
      </c>
      <c r="AJ35" s="1104">
        <f t="shared" si="15"/>
        <v>-2184274.664905089</v>
      </c>
      <c r="AK35" s="1104">
        <f t="shared" si="16"/>
        <v>0</v>
      </c>
      <c r="AL35" s="1104">
        <f>IF($AG35=0,0,SUM($AI$20:$AI35))</f>
        <v>-11400819.702058632</v>
      </c>
      <c r="AM35" s="1104">
        <f>IF($AG35=0,0,SUM($AJ$20:$AJ35))</f>
        <v>-38583835.471006259</v>
      </c>
      <c r="AN35" s="1104">
        <f>SUM($AK$20:$AK35)</f>
        <v>0</v>
      </c>
      <c r="AO35" s="1105">
        <f t="shared" si="28"/>
        <v>35084180.297941364</v>
      </c>
      <c r="AP35" s="1104"/>
      <c r="AQ35" s="347"/>
      <c r="AS35" s="347" t="s">
        <v>536</v>
      </c>
      <c r="AT35" s="1103">
        <f>YEAR(AT37)</f>
        <v>2028</v>
      </c>
      <c r="AU35" s="345"/>
      <c r="AV35" s="1093"/>
      <c r="AW35" s="1092"/>
      <c r="AX35" s="1147"/>
      <c r="AY35" s="1092"/>
      <c r="AZ35" s="1138">
        <f t="shared" si="36"/>
        <v>8</v>
      </c>
      <c r="BA35" s="526">
        <f t="shared" si="32"/>
        <v>0.35</v>
      </c>
      <c r="BB35" s="1139">
        <f t="shared" si="33"/>
        <v>16269749.999999998</v>
      </c>
      <c r="BC35" s="527">
        <f t="shared" si="41"/>
        <v>2324249.9999999981</v>
      </c>
      <c r="BD35" s="527">
        <f t="shared" si="42"/>
        <v>32550000</v>
      </c>
      <c r="BE35" s="1140">
        <f t="shared" si="37"/>
        <v>9947790</v>
      </c>
      <c r="BF35" s="527">
        <f t="shared" si="38"/>
        <v>2045339.9999999991</v>
      </c>
      <c r="BG35" s="527">
        <f t="shared" si="43"/>
        <v>38580000</v>
      </c>
      <c r="BH35" s="1140">
        <f t="shared" si="34"/>
        <v>15618960.000000004</v>
      </c>
      <c r="BI35" s="527">
        <f t="shared" si="39"/>
        <v>2603160.0000000019</v>
      </c>
      <c r="BJ35" s="527">
        <f t="shared" si="44"/>
        <v>33480000</v>
      </c>
      <c r="BK35" s="1140">
        <f t="shared" si="35"/>
        <v>6136020</v>
      </c>
      <c r="BL35" s="527">
        <f t="shared" si="40"/>
        <v>1487520</v>
      </c>
      <c r="BM35" s="1141">
        <f t="shared" si="47"/>
        <v>41840000</v>
      </c>
      <c r="BN35" s="1137"/>
      <c r="BO35" s="447">
        <f t="shared" si="45"/>
        <v>0.14000000000000001</v>
      </c>
      <c r="BP35" s="450">
        <v>0.06</v>
      </c>
      <c r="BQ35" s="450">
        <f t="shared" si="46"/>
        <v>9.8000000000000004E-2</v>
      </c>
      <c r="BR35" s="449">
        <f>BR34+0.006</f>
        <v>3.2000000000000001E-2</v>
      </c>
    </row>
    <row r="36" spans="2:70" s="278" customFormat="1" ht="12" customHeight="1" x14ac:dyDescent="0.25">
      <c r="B36" s="1108">
        <f>IF(C36&lt;'Financing Assumptions'!$G$25,0,IF(C36='Financing Assumptions'!$G$25,1,IF(C36&gt;'Financing Assumptions'!$G$25,B35+1)))</f>
        <v>17</v>
      </c>
      <c r="C36" s="1109">
        <f t="shared" si="17"/>
        <v>19</v>
      </c>
      <c r="D36" s="732">
        <f t="shared" si="6"/>
        <v>31</v>
      </c>
      <c r="E36" s="35">
        <f t="shared" si="7"/>
        <v>8</v>
      </c>
      <c r="F36" s="889">
        <f t="shared" si="25"/>
        <v>46630</v>
      </c>
      <c r="G36" s="822">
        <f t="shared" si="8"/>
        <v>8</v>
      </c>
      <c r="H36" s="126">
        <f t="shared" si="0"/>
        <v>0</v>
      </c>
      <c r="I36" s="1098">
        <f t="shared" si="26"/>
        <v>0</v>
      </c>
      <c r="J36" s="887">
        <f t="shared" si="18"/>
        <v>17</v>
      </c>
      <c r="K36" s="1099">
        <f t="shared" si="9"/>
        <v>0</v>
      </c>
      <c r="L36" s="891" t="str">
        <f t="shared" si="19"/>
        <v>August</v>
      </c>
      <c r="M36" s="888">
        <f t="shared" si="20"/>
        <v>2027</v>
      </c>
      <c r="N36" s="1284">
        <f t="shared" si="31"/>
        <v>2138309.9999999925</v>
      </c>
      <c r="O36" s="1284">
        <f t="shared" si="21"/>
        <v>38117700</v>
      </c>
      <c r="P36" s="883">
        <f t="shared" si="22"/>
        <v>38117700</v>
      </c>
      <c r="Q36" s="883">
        <f t="shared" si="10"/>
        <v>0</v>
      </c>
      <c r="R36" s="1100"/>
      <c r="S36" s="883">
        <f t="shared" si="1"/>
        <v>0</v>
      </c>
      <c r="T36" s="884">
        <f t="shared" si="29"/>
        <v>-182395.51875000002</v>
      </c>
      <c r="U36" s="884">
        <f>IF(AND($AU$43="Early Payoff",J36&gt;$U$15),0,IF($J36&lt;=$U$8,SUM($S$20:$S36),0))</f>
        <v>0</v>
      </c>
      <c r="V36" s="884">
        <f>IF(AND($AU$43="Early Payoff",J36&gt;$U$15),0,IF($J36&lt;=$U$8,SUM($T$20:$T36),0))</f>
        <v>-1186749.1375</v>
      </c>
      <c r="W36" s="885">
        <f t="shared" si="11"/>
        <v>38117700</v>
      </c>
      <c r="X36" s="1110">
        <f t="shared" si="23"/>
        <v>46485000</v>
      </c>
      <c r="Z36" s="1102">
        <f t="shared" si="2"/>
        <v>0</v>
      </c>
      <c r="AA36" s="873">
        <f t="shared" si="3"/>
        <v>0</v>
      </c>
      <c r="AB36" s="873">
        <f t="shared" si="4"/>
        <v>0</v>
      </c>
      <c r="AC36" s="885">
        <f t="shared" si="5"/>
        <v>0</v>
      </c>
      <c r="AE36" s="355">
        <f t="shared" si="24"/>
        <v>16</v>
      </c>
      <c r="AF36" s="1103">
        <f t="shared" si="24"/>
        <v>2042</v>
      </c>
      <c r="AG36" s="1104">
        <f t="shared" si="12"/>
        <v>35084180.297941357</v>
      </c>
      <c r="AH36" s="1104">
        <f t="shared" si="13"/>
        <v>-3687334.5209553731</v>
      </c>
      <c r="AI36" s="1104">
        <f t="shared" si="14"/>
        <v>-1597088.9905323414</v>
      </c>
      <c r="AJ36" s="1104">
        <f t="shared" si="15"/>
        <v>-2090245.5304230314</v>
      </c>
      <c r="AK36" s="1104">
        <f t="shared" si="16"/>
        <v>0</v>
      </c>
      <c r="AL36" s="1104">
        <f>IF($AG36=0,0,SUM($AI$20:$AI36))</f>
        <v>-12997908.692590974</v>
      </c>
      <c r="AM36" s="1104">
        <f>IF($AG36=0,0,SUM($AJ$20:$AJ36))</f>
        <v>-40674081.00142929</v>
      </c>
      <c r="AN36" s="1104">
        <f>SUM($AK$20:$AK36)</f>
        <v>0</v>
      </c>
      <c r="AO36" s="1105">
        <f t="shared" si="28"/>
        <v>33487091.307409015</v>
      </c>
      <c r="AP36" s="1104"/>
      <c r="AQ36" s="347"/>
      <c r="AS36" s="347" t="s">
        <v>537</v>
      </c>
      <c r="AT36" s="1077" t="str">
        <f>INDEX($AW$22:$AX$34,MATCH(MONTH($AT$37),$AW$22:$AW$34,0),MATCH("Month",$AW$22:$AX$22,0))</f>
        <v>June</v>
      </c>
      <c r="AU36" s="345"/>
      <c r="AV36" s="1113"/>
      <c r="AW36" s="1148" t="s">
        <v>527</v>
      </c>
      <c r="AX36" s="1147"/>
      <c r="AZ36" s="1138">
        <f t="shared" si="36"/>
        <v>9</v>
      </c>
      <c r="BA36" s="526">
        <f t="shared" si="32"/>
        <v>0.39</v>
      </c>
      <c r="BB36" s="1139">
        <f t="shared" si="33"/>
        <v>18129150</v>
      </c>
      <c r="BC36" s="527">
        <f t="shared" si="41"/>
        <v>1859400.0000000019</v>
      </c>
      <c r="BD36" s="527">
        <f t="shared" si="42"/>
        <v>30230000</v>
      </c>
      <c r="BE36" s="1140">
        <f t="shared" si="37"/>
        <v>11993130</v>
      </c>
      <c r="BF36" s="527">
        <f t="shared" si="38"/>
        <v>2045340</v>
      </c>
      <c r="BG36" s="527">
        <f t="shared" si="43"/>
        <v>36530000</v>
      </c>
      <c r="BH36" s="1140">
        <f t="shared" si="34"/>
        <v>18222120.000000007</v>
      </c>
      <c r="BI36" s="527">
        <f t="shared" si="39"/>
        <v>2603160.0000000037</v>
      </c>
      <c r="BJ36" s="527">
        <f t="shared" si="44"/>
        <v>30880000</v>
      </c>
      <c r="BK36" s="1140">
        <f t="shared" si="35"/>
        <v>7623540.0000000019</v>
      </c>
      <c r="BL36" s="527">
        <f t="shared" si="40"/>
        <v>1487520.0000000019</v>
      </c>
      <c r="BM36" s="1141">
        <f t="shared" si="47"/>
        <v>40350000</v>
      </c>
      <c r="BN36" s="1137"/>
      <c r="BO36" s="447">
        <f t="shared" si="45"/>
        <v>0.16</v>
      </c>
      <c r="BP36" s="450">
        <v>7.0000000000000007E-2</v>
      </c>
      <c r="BQ36" s="450">
        <f t="shared" si="46"/>
        <v>0.112</v>
      </c>
      <c r="BR36" s="449">
        <f>BR35+0.006</f>
        <v>3.7999999999999999E-2</v>
      </c>
    </row>
    <row r="37" spans="2:70" s="278" customFormat="1" ht="12" customHeight="1" x14ac:dyDescent="0.25">
      <c r="B37" s="1108">
        <f>IF(C37&lt;'Financing Assumptions'!$G$25,0,IF(C37='Financing Assumptions'!$G$25,1,IF(C37&gt;'Financing Assumptions'!$G$25,B36+1)))</f>
        <v>18</v>
      </c>
      <c r="C37" s="1109">
        <f t="shared" si="17"/>
        <v>20</v>
      </c>
      <c r="D37" s="732">
        <f t="shared" si="6"/>
        <v>30</v>
      </c>
      <c r="E37" s="35">
        <f t="shared" si="7"/>
        <v>9</v>
      </c>
      <c r="F37" s="889">
        <f t="shared" si="25"/>
        <v>46660</v>
      </c>
      <c r="G37" s="822">
        <f t="shared" si="8"/>
        <v>9</v>
      </c>
      <c r="H37" s="126">
        <f t="shared" si="0"/>
        <v>0</v>
      </c>
      <c r="I37" s="1098">
        <f t="shared" si="26"/>
        <v>0</v>
      </c>
      <c r="J37" s="887">
        <f t="shared" si="18"/>
        <v>18</v>
      </c>
      <c r="K37" s="1099">
        <f t="shared" si="9"/>
        <v>0</v>
      </c>
      <c r="L37" s="891" t="str">
        <f t="shared" si="19"/>
        <v>September</v>
      </c>
      <c r="M37" s="888">
        <f t="shared" si="20"/>
        <v>2027</v>
      </c>
      <c r="N37" s="1284">
        <f t="shared" si="31"/>
        <v>1859400</v>
      </c>
      <c r="O37" s="1284">
        <f t="shared" si="21"/>
        <v>39977100</v>
      </c>
      <c r="P37" s="883">
        <f t="shared" si="22"/>
        <v>39977100</v>
      </c>
      <c r="Q37" s="883">
        <f t="shared" si="10"/>
        <v>0</v>
      </c>
      <c r="R37" s="1100"/>
      <c r="S37" s="883">
        <f t="shared" si="1"/>
        <v>0</v>
      </c>
      <c r="T37" s="884">
        <f t="shared" si="29"/>
        <v>-193235.5625</v>
      </c>
      <c r="U37" s="884">
        <f>IF(AND($AU$43="Early Payoff",J37&gt;$U$15),0,IF($J37&lt;=$U$8,SUM($S$20:$S37),0))</f>
        <v>0</v>
      </c>
      <c r="V37" s="884">
        <f>IF(AND($AU$43="Early Payoff",J37&gt;$U$15),0,IF($J37&lt;=$U$8,SUM($T$20:$T37),0))</f>
        <v>-1379984.7</v>
      </c>
      <c r="W37" s="885">
        <f t="shared" si="11"/>
        <v>39977100</v>
      </c>
      <c r="X37" s="1110">
        <f t="shared" si="23"/>
        <v>46485000</v>
      </c>
      <c r="Z37" s="1102">
        <f t="shared" si="2"/>
        <v>0</v>
      </c>
      <c r="AA37" s="873">
        <f t="shared" si="3"/>
        <v>0</v>
      </c>
      <c r="AB37" s="873">
        <f t="shared" si="4"/>
        <v>0</v>
      </c>
      <c r="AC37" s="885">
        <f t="shared" si="5"/>
        <v>0</v>
      </c>
      <c r="AE37" s="355">
        <f t="shared" si="24"/>
        <v>17</v>
      </c>
      <c r="AF37" s="1103">
        <f t="shared" si="24"/>
        <v>2043</v>
      </c>
      <c r="AG37" s="1104">
        <f t="shared" si="12"/>
        <v>33487091.307409022</v>
      </c>
      <c r="AH37" s="1104">
        <f t="shared" si="13"/>
        <v>-3687334.5209553731</v>
      </c>
      <c r="AI37" s="1104">
        <f t="shared" si="14"/>
        <v>-1697000.4444016507</v>
      </c>
      <c r="AJ37" s="1104">
        <f t="shared" si="15"/>
        <v>-1990334.0765537224</v>
      </c>
      <c r="AK37" s="1104">
        <f t="shared" si="16"/>
        <v>0</v>
      </c>
      <c r="AL37" s="1104">
        <f>IF($AG37=0,0,SUM($AI$20:$AI37))</f>
        <v>-14694909.136992626</v>
      </c>
      <c r="AM37" s="1104">
        <f>IF($AG37=0,0,SUM($AJ$20:$AJ37))</f>
        <v>-42664415.077983014</v>
      </c>
      <c r="AN37" s="1104">
        <f>SUM($AK$20:$AK37)</f>
        <v>0</v>
      </c>
      <c r="AO37" s="1105">
        <f t="shared" si="28"/>
        <v>31790090.86300737</v>
      </c>
      <c r="AP37" s="1104"/>
      <c r="AQ37" s="347"/>
      <c r="AS37" s="347" t="s">
        <v>538</v>
      </c>
      <c r="AT37" s="1118">
        <f>EOMONTH(AT24,AT32+1)</f>
        <v>46934</v>
      </c>
      <c r="AU37" s="345"/>
      <c r="AV37" s="1111" t="s">
        <v>425</v>
      </c>
      <c r="AW37" s="1149">
        <v>0</v>
      </c>
      <c r="AX37" s="1147"/>
      <c r="AZ37" s="1138">
        <f t="shared" si="36"/>
        <v>10</v>
      </c>
      <c r="BA37" s="526">
        <f t="shared" si="32"/>
        <v>0.43</v>
      </c>
      <c r="BB37" s="1139">
        <f t="shared" si="33"/>
        <v>19988550</v>
      </c>
      <c r="BC37" s="527">
        <f t="shared" si="41"/>
        <v>1859400</v>
      </c>
      <c r="BD37" s="527">
        <f t="shared" si="42"/>
        <v>28370000</v>
      </c>
      <c r="BE37" s="1140">
        <f t="shared" si="37"/>
        <v>14968170</v>
      </c>
      <c r="BF37" s="527">
        <f t="shared" si="38"/>
        <v>2975040</v>
      </c>
      <c r="BG37" s="527">
        <f t="shared" si="43"/>
        <v>34480000</v>
      </c>
      <c r="BH37" s="1140">
        <f t="shared" si="34"/>
        <v>21290130</v>
      </c>
      <c r="BI37" s="527">
        <f t="shared" si="39"/>
        <v>3068009.9999999925</v>
      </c>
      <c r="BJ37" s="527">
        <f t="shared" si="44"/>
        <v>28280000</v>
      </c>
      <c r="BK37" s="1140">
        <f t="shared" si="35"/>
        <v>9482940</v>
      </c>
      <c r="BL37" s="527">
        <f t="shared" si="40"/>
        <v>1859399.9999999981</v>
      </c>
      <c r="BM37" s="1141">
        <f t="shared" si="47"/>
        <v>38860000</v>
      </c>
      <c r="BN37" s="1137"/>
      <c r="BO37" s="447">
        <f t="shared" si="45"/>
        <v>0.18</v>
      </c>
      <c r="BP37" s="450">
        <v>0.08</v>
      </c>
      <c r="BQ37" s="450">
        <f t="shared" si="46"/>
        <v>0.126</v>
      </c>
      <c r="BR37" s="449">
        <f>BR36+0.006</f>
        <v>4.3999999999999997E-2</v>
      </c>
    </row>
    <row r="38" spans="2:70" s="278" customFormat="1" ht="12" customHeight="1" x14ac:dyDescent="0.25">
      <c r="B38" s="1108">
        <f>IF(C38&lt;'Financing Assumptions'!$G$25,0,IF(C38='Financing Assumptions'!$G$25,1,IF(C38&gt;'Financing Assumptions'!$G$25,B37+1)))</f>
        <v>19</v>
      </c>
      <c r="C38" s="1109">
        <f t="shared" si="17"/>
        <v>21</v>
      </c>
      <c r="D38" s="732">
        <f t="shared" si="6"/>
        <v>31</v>
      </c>
      <c r="E38" s="35">
        <f t="shared" si="7"/>
        <v>10</v>
      </c>
      <c r="F38" s="889">
        <f t="shared" si="25"/>
        <v>46691</v>
      </c>
      <c r="G38" s="822">
        <f t="shared" si="8"/>
        <v>10</v>
      </c>
      <c r="H38" s="126">
        <f t="shared" si="0"/>
        <v>0</v>
      </c>
      <c r="I38" s="1098">
        <f t="shared" si="26"/>
        <v>0</v>
      </c>
      <c r="J38" s="887">
        <f t="shared" si="18"/>
        <v>19</v>
      </c>
      <c r="K38" s="1099">
        <f t="shared" si="9"/>
        <v>0</v>
      </c>
      <c r="L38" s="891" t="str">
        <f t="shared" si="19"/>
        <v>October</v>
      </c>
      <c r="M38" s="888">
        <f t="shared" si="20"/>
        <v>2027</v>
      </c>
      <c r="N38" s="1284">
        <f t="shared" si="31"/>
        <v>2603160</v>
      </c>
      <c r="O38" s="1284">
        <f t="shared" si="21"/>
        <v>42580260</v>
      </c>
      <c r="P38" s="883">
        <f t="shared" si="22"/>
        <v>42580260</v>
      </c>
      <c r="Q38" s="883">
        <f t="shared" si="10"/>
        <v>0</v>
      </c>
      <c r="R38" s="1100"/>
      <c r="S38" s="883">
        <f t="shared" si="1"/>
        <v>0</v>
      </c>
      <c r="T38" s="884">
        <f t="shared" si="29"/>
        <v>-202661.6875</v>
      </c>
      <c r="U38" s="884">
        <f>IF(AND($AU$43="Early Payoff",J38&gt;$U$15),0,IF($J38&lt;=$U$8,SUM($S$20:$S38),0))</f>
        <v>0</v>
      </c>
      <c r="V38" s="884">
        <f>IF(AND($AU$43="Early Payoff",J38&gt;$U$15),0,IF($J38&lt;=$U$8,SUM($T$20:$T38),0))</f>
        <v>-1582646.3875</v>
      </c>
      <c r="W38" s="885">
        <f t="shared" si="11"/>
        <v>42580260</v>
      </c>
      <c r="X38" s="1110">
        <f t="shared" si="23"/>
        <v>46485000</v>
      </c>
      <c r="Z38" s="1102">
        <f t="shared" si="2"/>
        <v>0</v>
      </c>
      <c r="AA38" s="873">
        <f t="shared" si="3"/>
        <v>0</v>
      </c>
      <c r="AB38" s="873">
        <f t="shared" si="4"/>
        <v>0</v>
      </c>
      <c r="AC38" s="885">
        <f t="shared" si="5"/>
        <v>0</v>
      </c>
      <c r="AE38" s="355">
        <f t="shared" ref="AE38:AF41" si="48">AE37+1</f>
        <v>18</v>
      </c>
      <c r="AF38" s="1103">
        <f t="shared" si="48"/>
        <v>2044</v>
      </c>
      <c r="AG38" s="1104">
        <f t="shared" si="12"/>
        <v>31790090.86300737</v>
      </c>
      <c r="AH38" s="1104">
        <f t="shared" si="13"/>
        <v>-3687334.5209553731</v>
      </c>
      <c r="AI38" s="1104">
        <f t="shared" si="14"/>
        <v>-1803162.2065965792</v>
      </c>
      <c r="AJ38" s="1104">
        <f t="shared" si="15"/>
        <v>-1884172.3143587939</v>
      </c>
      <c r="AK38" s="1104">
        <f t="shared" si="16"/>
        <v>0</v>
      </c>
      <c r="AL38" s="1104">
        <f>IF($AG38=0,0,SUM($AI$20:$AI38))</f>
        <v>-16498071.343589205</v>
      </c>
      <c r="AM38" s="1104">
        <f>IF($AG38=0,0,SUM($AJ$20:$AJ38))</f>
        <v>-44548587.392341807</v>
      </c>
      <c r="AN38" s="1104">
        <f>SUM($AK$20:$AK38)</f>
        <v>0</v>
      </c>
      <c r="AO38" s="1105">
        <f t="shared" si="28"/>
        <v>29986928.656410791</v>
      </c>
      <c r="AP38" s="1104"/>
      <c r="AQ38" s="347"/>
      <c r="AS38" s="347"/>
      <c r="AT38" s="345"/>
      <c r="AU38" s="345"/>
      <c r="AV38" s="1111" t="s">
        <v>528</v>
      </c>
      <c r="AW38" s="1149">
        <v>0</v>
      </c>
      <c r="AX38" s="1147"/>
      <c r="AZ38" s="1138">
        <f t="shared" si="36"/>
        <v>11</v>
      </c>
      <c r="BA38" s="526">
        <f t="shared" si="32"/>
        <v>0.48</v>
      </c>
      <c r="BB38" s="1139">
        <f t="shared" si="33"/>
        <v>22312800</v>
      </c>
      <c r="BC38" s="527">
        <f t="shared" si="41"/>
        <v>2324250</v>
      </c>
      <c r="BD38" s="527">
        <f t="shared" si="42"/>
        <v>26510000</v>
      </c>
      <c r="BE38" s="1140">
        <f t="shared" si="37"/>
        <v>18872910</v>
      </c>
      <c r="BF38" s="527">
        <f t="shared" si="38"/>
        <v>3904740</v>
      </c>
      <c r="BG38" s="527">
        <f t="shared" si="43"/>
        <v>31500000</v>
      </c>
      <c r="BH38" s="1140">
        <f t="shared" si="34"/>
        <v>24822989.999999996</v>
      </c>
      <c r="BI38" s="527">
        <f t="shared" si="39"/>
        <v>3532859.9999999963</v>
      </c>
      <c r="BJ38" s="527">
        <f t="shared" si="44"/>
        <v>25210000</v>
      </c>
      <c r="BK38" s="1140">
        <f t="shared" si="35"/>
        <v>11714220</v>
      </c>
      <c r="BL38" s="527">
        <f t="shared" si="40"/>
        <v>2231280</v>
      </c>
      <c r="BM38" s="1141">
        <f t="shared" si="47"/>
        <v>37000000</v>
      </c>
      <c r="BN38" s="1137"/>
      <c r="BO38" s="447">
        <f t="shared" si="45"/>
        <v>0.19999999999999998</v>
      </c>
      <c r="BP38" s="450">
        <v>0.09</v>
      </c>
      <c r="BQ38" s="450">
        <v>0.14000000000000001</v>
      </c>
      <c r="BR38" s="449">
        <v>0.05</v>
      </c>
    </row>
    <row r="39" spans="2:70" s="278" customFormat="1" ht="12" customHeight="1" x14ac:dyDescent="0.25">
      <c r="B39" s="1108">
        <f>IF(C39&lt;'Financing Assumptions'!$G$25,0,IF(C39='Financing Assumptions'!$G$25,1,IF(C39&gt;'Financing Assumptions'!$G$25,B38+1)))</f>
        <v>20</v>
      </c>
      <c r="C39" s="1109">
        <f t="shared" si="17"/>
        <v>22</v>
      </c>
      <c r="D39" s="732">
        <f t="shared" si="6"/>
        <v>30</v>
      </c>
      <c r="E39" s="35">
        <f t="shared" si="7"/>
        <v>11</v>
      </c>
      <c r="F39" s="889">
        <f t="shared" si="25"/>
        <v>46721</v>
      </c>
      <c r="G39" s="822">
        <f t="shared" si="8"/>
        <v>11</v>
      </c>
      <c r="H39" s="126">
        <f t="shared" si="0"/>
        <v>0</v>
      </c>
      <c r="I39" s="1098">
        <f t="shared" si="26"/>
        <v>0</v>
      </c>
      <c r="J39" s="887">
        <f t="shared" si="18"/>
        <v>20</v>
      </c>
      <c r="K39" s="1099">
        <f t="shared" si="9"/>
        <v>0</v>
      </c>
      <c r="L39" s="891" t="str">
        <f t="shared" si="19"/>
        <v>November</v>
      </c>
      <c r="M39" s="888">
        <f t="shared" si="20"/>
        <v>2027</v>
      </c>
      <c r="N39" s="1284">
        <f t="shared" si="31"/>
        <v>1487520</v>
      </c>
      <c r="O39" s="1284">
        <f t="shared" si="21"/>
        <v>44067780</v>
      </c>
      <c r="P39" s="883">
        <f t="shared" si="22"/>
        <v>44067780</v>
      </c>
      <c r="Q39" s="883">
        <f t="shared" si="10"/>
        <v>0</v>
      </c>
      <c r="R39" s="1100"/>
      <c r="S39" s="883">
        <f t="shared" si="1"/>
        <v>0</v>
      </c>
      <c r="T39" s="884">
        <f t="shared" si="29"/>
        <v>-215858.26249999998</v>
      </c>
      <c r="U39" s="884">
        <f>IF(AND($AU$43="Early Payoff",J39&gt;$U$15),0,IF($J39&lt;=$U$8,SUM($S$20:$S39),0))</f>
        <v>0</v>
      </c>
      <c r="V39" s="884">
        <f>IF(AND($AU$43="Early Payoff",J39&gt;$U$15),0,IF($J39&lt;=$U$8,SUM($T$20:$T39),0))</f>
        <v>-1798504.65</v>
      </c>
      <c r="W39" s="885">
        <f t="shared" si="11"/>
        <v>44067780</v>
      </c>
      <c r="X39" s="1110">
        <f t="shared" si="23"/>
        <v>46485000</v>
      </c>
      <c r="Z39" s="1102">
        <f t="shared" si="2"/>
        <v>0</v>
      </c>
      <c r="AA39" s="873">
        <f t="shared" si="3"/>
        <v>0</v>
      </c>
      <c r="AB39" s="873">
        <f t="shared" si="4"/>
        <v>0</v>
      </c>
      <c r="AC39" s="885">
        <f t="shared" si="5"/>
        <v>0</v>
      </c>
      <c r="AE39" s="355">
        <f t="shared" si="48"/>
        <v>19</v>
      </c>
      <c r="AF39" s="1103">
        <f t="shared" si="48"/>
        <v>2045</v>
      </c>
      <c r="AG39" s="1104">
        <f t="shared" si="12"/>
        <v>29986928.656410791</v>
      </c>
      <c r="AH39" s="1104">
        <f t="shared" si="13"/>
        <v>-3687334.5209553731</v>
      </c>
      <c r="AI39" s="1104">
        <f t="shared" si="14"/>
        <v>-1915965.2868827987</v>
      </c>
      <c r="AJ39" s="1104">
        <f t="shared" si="15"/>
        <v>-1771369.2340725746</v>
      </c>
      <c r="AK39" s="1104">
        <f t="shared" si="16"/>
        <v>0</v>
      </c>
      <c r="AL39" s="1104">
        <f>IF($AG39=0,0,SUM($AI$20:$AI39))</f>
        <v>-18414036.630472004</v>
      </c>
      <c r="AM39" s="1104">
        <f>IF($AG39=0,0,SUM($AJ$20:$AJ39))</f>
        <v>-46319956.626414381</v>
      </c>
      <c r="AN39" s="1104">
        <f>SUM($AK$20:$AK39)</f>
        <v>0</v>
      </c>
      <c r="AO39" s="1105">
        <f t="shared" si="28"/>
        <v>28070963.369527992</v>
      </c>
      <c r="AP39" s="1104"/>
      <c r="AQ39" s="347"/>
      <c r="AS39" s="1111" t="s">
        <v>539</v>
      </c>
      <c r="AT39" s="1103">
        <f>YEAR(AT41)</f>
        <v>2032</v>
      </c>
      <c r="AU39" s="345"/>
      <c r="AV39" s="1111" t="s">
        <v>378</v>
      </c>
      <c r="AW39" s="1149">
        <v>0</v>
      </c>
      <c r="AX39" s="1147"/>
      <c r="AZ39" s="1138">
        <f t="shared" si="36"/>
        <v>12</v>
      </c>
      <c r="BA39" s="526">
        <f t="shared" si="32"/>
        <v>0.52</v>
      </c>
      <c r="BB39" s="1139">
        <f t="shared" si="33"/>
        <v>24172200</v>
      </c>
      <c r="BC39" s="527">
        <f t="shared" si="41"/>
        <v>1859400</v>
      </c>
      <c r="BD39" s="527">
        <f t="shared" si="42"/>
        <v>24190000</v>
      </c>
      <c r="BE39" s="1140">
        <f t="shared" si="37"/>
        <v>22777650</v>
      </c>
      <c r="BF39" s="527">
        <f t="shared" si="38"/>
        <v>3904740</v>
      </c>
      <c r="BG39" s="527">
        <f t="shared" si="43"/>
        <v>27600000</v>
      </c>
      <c r="BH39" s="1140">
        <f t="shared" si="34"/>
        <v>28355850</v>
      </c>
      <c r="BI39" s="527">
        <f t="shared" si="39"/>
        <v>3532860.0000000037</v>
      </c>
      <c r="BJ39" s="527">
        <f t="shared" si="44"/>
        <v>21680000</v>
      </c>
      <c r="BK39" s="1140">
        <f t="shared" si="35"/>
        <v>13945500</v>
      </c>
      <c r="BL39" s="527">
        <f t="shared" si="40"/>
        <v>2231280</v>
      </c>
      <c r="BM39" s="1141">
        <f t="shared" si="47"/>
        <v>34770000</v>
      </c>
      <c r="BN39" s="1137"/>
      <c r="BO39" s="447">
        <f t="shared" si="45"/>
        <v>0.21999999999999997</v>
      </c>
      <c r="BP39" s="450">
        <f>BP38+0.016</f>
        <v>0.106</v>
      </c>
      <c r="BQ39" s="450">
        <f>BQ38+0.028</f>
        <v>0.16800000000000001</v>
      </c>
      <c r="BR39" s="449">
        <f>BR38+0.01</f>
        <v>6.0000000000000005E-2</v>
      </c>
    </row>
    <row r="40" spans="2:70" s="278" customFormat="1" ht="12" customHeight="1" x14ac:dyDescent="0.25">
      <c r="B40" s="1108">
        <f>IF(C40&lt;'Financing Assumptions'!$G$25,0,IF(C40='Financing Assumptions'!$G$25,1,IF(C40&gt;'Financing Assumptions'!$G$25,B39+1)))</f>
        <v>21</v>
      </c>
      <c r="C40" s="1109">
        <f t="shared" si="17"/>
        <v>23</v>
      </c>
      <c r="D40" s="732">
        <f t="shared" si="6"/>
        <v>31</v>
      </c>
      <c r="E40" s="35">
        <f t="shared" si="7"/>
        <v>12</v>
      </c>
      <c r="F40" s="889">
        <f t="shared" si="25"/>
        <v>46752</v>
      </c>
      <c r="G40" s="822">
        <f t="shared" si="8"/>
        <v>12</v>
      </c>
      <c r="H40" s="126">
        <f t="shared" si="0"/>
        <v>1</v>
      </c>
      <c r="I40" s="1098">
        <f t="shared" si="26"/>
        <v>0</v>
      </c>
      <c r="J40" s="887">
        <f t="shared" si="18"/>
        <v>21</v>
      </c>
      <c r="K40" s="1099">
        <f t="shared" si="9"/>
        <v>0</v>
      </c>
      <c r="L40" s="891" t="str">
        <f t="shared" si="19"/>
        <v>December</v>
      </c>
      <c r="M40" s="888">
        <f t="shared" si="20"/>
        <v>2027</v>
      </c>
      <c r="N40" s="1284">
        <f t="shared" si="31"/>
        <v>1487520</v>
      </c>
      <c r="O40" s="1284">
        <f t="shared" si="21"/>
        <v>45555300</v>
      </c>
      <c r="P40" s="883">
        <f t="shared" si="22"/>
        <v>45555300</v>
      </c>
      <c r="Q40" s="883">
        <f t="shared" si="10"/>
        <v>0</v>
      </c>
      <c r="R40" s="1100"/>
      <c r="S40" s="883">
        <f t="shared" si="1"/>
        <v>0</v>
      </c>
      <c r="T40" s="884">
        <f t="shared" si="29"/>
        <v>-223399.16249999998</v>
      </c>
      <c r="U40" s="884">
        <f>IF(AND($AU$43="Early Payoff",J40&gt;$U$15),0,IF($J40&lt;=$U$8,SUM($S$20:$S40),0))</f>
        <v>0</v>
      </c>
      <c r="V40" s="884">
        <f>IF(AND($AU$43="Early Payoff",J40&gt;$U$15),0,IF($J40&lt;=$U$8,SUM($T$20:$T40),0))</f>
        <v>-2021903.8125</v>
      </c>
      <c r="W40" s="885">
        <f t="shared" si="11"/>
        <v>45555300</v>
      </c>
      <c r="X40" s="1110">
        <f t="shared" si="23"/>
        <v>46485000</v>
      </c>
      <c r="Z40" s="1102">
        <f t="shared" si="2"/>
        <v>0</v>
      </c>
      <c r="AA40" s="873">
        <f t="shared" si="3"/>
        <v>0</v>
      </c>
      <c r="AB40" s="873">
        <f t="shared" si="4"/>
        <v>0</v>
      </c>
      <c r="AC40" s="885">
        <f t="shared" si="5"/>
        <v>0</v>
      </c>
      <c r="AE40" s="355">
        <f t="shared" si="48"/>
        <v>20</v>
      </c>
      <c r="AF40" s="1103">
        <f t="shared" si="48"/>
        <v>2046</v>
      </c>
      <c r="AG40" s="1104">
        <f t="shared" si="12"/>
        <v>28070963.369527992</v>
      </c>
      <c r="AH40" s="1104">
        <f t="shared" si="13"/>
        <v>-3687334.5209553731</v>
      </c>
      <c r="AI40" s="1104">
        <f t="shared" si="14"/>
        <v>-2035825.1560011641</v>
      </c>
      <c r="AJ40" s="1104">
        <f t="shared" si="15"/>
        <v>-1651509.364954209</v>
      </c>
      <c r="AK40" s="1104">
        <f t="shared" si="16"/>
        <v>0</v>
      </c>
      <c r="AL40" s="1104">
        <f>IF($AG40=0,0,SUM($AI$20:$AI40))</f>
        <v>-20449861.78647317</v>
      </c>
      <c r="AM40" s="1104">
        <f>IF($AG40=0,0,SUM($AJ$20:$AJ40))</f>
        <v>-47971465.991368592</v>
      </c>
      <c r="AN40" s="1104">
        <f>SUM($AK$20:$AK40)</f>
        <v>0</v>
      </c>
      <c r="AO40" s="1105">
        <f t="shared" si="28"/>
        <v>26035138.213526826</v>
      </c>
      <c r="AP40" s="1104"/>
      <c r="AQ40" s="347"/>
      <c r="AS40" s="347" t="s">
        <v>540</v>
      </c>
      <c r="AT40" s="1077" t="str">
        <f>INDEX($AW$22:$AX$34,MATCH(MONTH($AT$41),$AW$22:$AW$34,0),MATCH("Month",$AW$22:$AX$22,0))</f>
        <v>April</v>
      </c>
      <c r="AU40" s="345"/>
      <c r="AV40" s="1111" t="s">
        <v>529</v>
      </c>
      <c r="AW40" s="1149">
        <v>0</v>
      </c>
      <c r="AX40" s="1147"/>
      <c r="AZ40" s="1138">
        <f t="shared" si="36"/>
        <v>13</v>
      </c>
      <c r="BA40" s="526">
        <f t="shared" si="32"/>
        <v>0.56999999999999995</v>
      </c>
      <c r="BB40" s="1139">
        <f t="shared" si="33"/>
        <v>26496449.999999996</v>
      </c>
      <c r="BC40" s="527">
        <f t="shared" si="41"/>
        <v>2324249.9999999963</v>
      </c>
      <c r="BD40" s="527">
        <f t="shared" si="42"/>
        <v>22330000</v>
      </c>
      <c r="BE40" s="1140">
        <f t="shared" si="37"/>
        <v>27798030.000000004</v>
      </c>
      <c r="BF40" s="527">
        <f t="shared" si="38"/>
        <v>5020380.0000000037</v>
      </c>
      <c r="BG40" s="527">
        <f t="shared" si="43"/>
        <v>23700000</v>
      </c>
      <c r="BH40" s="1140">
        <f t="shared" si="34"/>
        <v>33376230.000000004</v>
      </c>
      <c r="BI40" s="527">
        <f t="shared" si="39"/>
        <v>5020380.0000000037</v>
      </c>
      <c r="BJ40" s="527">
        <f t="shared" si="44"/>
        <v>18150000</v>
      </c>
      <c r="BK40" s="1140">
        <f t="shared" si="35"/>
        <v>19523699.999999996</v>
      </c>
      <c r="BL40" s="527">
        <f t="shared" si="40"/>
        <v>5578199.9999999963</v>
      </c>
      <c r="BM40" s="1141">
        <f t="shared" si="47"/>
        <v>32540000</v>
      </c>
      <c r="BN40" s="1137"/>
      <c r="BO40" s="447">
        <f t="shared" si="45"/>
        <v>0.23999999999999996</v>
      </c>
      <c r="BP40" s="450">
        <f>BP39+0.016</f>
        <v>0.122</v>
      </c>
      <c r="BQ40" s="450">
        <f t="shared" ref="BQ40:BQ47" si="49">BQ39+0.028</f>
        <v>0.19600000000000001</v>
      </c>
      <c r="BR40" s="449">
        <f>BR39+0.01</f>
        <v>7.0000000000000007E-2</v>
      </c>
    </row>
    <row r="41" spans="2:70" s="278" customFormat="1" ht="12" customHeight="1" x14ac:dyDescent="0.25">
      <c r="B41" s="1108">
        <f>IF(C41&lt;'Financing Assumptions'!$G$25,0,IF(C41='Financing Assumptions'!$G$25,1,IF(C41&gt;'Financing Assumptions'!$G$25,B40+1)))</f>
        <v>22</v>
      </c>
      <c r="C41" s="1109">
        <f t="shared" si="17"/>
        <v>24</v>
      </c>
      <c r="D41" s="732">
        <f t="shared" si="6"/>
        <v>31</v>
      </c>
      <c r="E41" s="35">
        <f t="shared" si="7"/>
        <v>1</v>
      </c>
      <c r="F41" s="889">
        <f t="shared" si="25"/>
        <v>46783</v>
      </c>
      <c r="G41" s="822">
        <f t="shared" si="8"/>
        <v>1</v>
      </c>
      <c r="H41" s="126">
        <f t="shared" si="0"/>
        <v>0</v>
      </c>
      <c r="I41" s="1098">
        <f t="shared" si="26"/>
        <v>0</v>
      </c>
      <c r="J41" s="887">
        <f t="shared" si="18"/>
        <v>22</v>
      </c>
      <c r="K41" s="1099">
        <f t="shared" si="9"/>
        <v>0</v>
      </c>
      <c r="L41" s="891" t="str">
        <f t="shared" si="19"/>
        <v>January</v>
      </c>
      <c r="M41" s="888">
        <f t="shared" si="20"/>
        <v>2028</v>
      </c>
      <c r="N41" s="1284">
        <f t="shared" si="31"/>
        <v>464850</v>
      </c>
      <c r="O41" s="1284">
        <f t="shared" si="21"/>
        <v>46020150</v>
      </c>
      <c r="P41" s="883">
        <f t="shared" si="22"/>
        <v>46020150</v>
      </c>
      <c r="Q41" s="883">
        <f t="shared" si="10"/>
        <v>0</v>
      </c>
      <c r="R41" s="1100"/>
      <c r="S41" s="883">
        <f t="shared" si="1"/>
        <v>0</v>
      </c>
      <c r="T41" s="884">
        <f t="shared" si="29"/>
        <v>-230940.0625</v>
      </c>
      <c r="U41" s="884">
        <f>IF(AND($AU$43="Early Payoff",J41&gt;$U$15),0,IF($J41&lt;=$U$8,SUM($S$20:$S41),0))</f>
        <v>0</v>
      </c>
      <c r="V41" s="884">
        <f>IF(AND($AU$43="Early Payoff",J41&gt;$U$15),0,IF($J41&lt;=$U$8,SUM($T$20:$T41),0))</f>
        <v>-2252843.875</v>
      </c>
      <c r="W41" s="885">
        <f t="shared" si="11"/>
        <v>46020150</v>
      </c>
      <c r="X41" s="1110">
        <f t="shared" si="23"/>
        <v>46485000</v>
      </c>
      <c r="Z41" s="1102">
        <f t="shared" si="2"/>
        <v>0</v>
      </c>
      <c r="AA41" s="873">
        <f t="shared" si="3"/>
        <v>0</v>
      </c>
      <c r="AB41" s="873">
        <f t="shared" si="4"/>
        <v>0</v>
      </c>
      <c r="AC41" s="885">
        <f t="shared" si="5"/>
        <v>0</v>
      </c>
      <c r="AE41" s="355">
        <f t="shared" si="48"/>
        <v>21</v>
      </c>
      <c r="AF41" s="1103">
        <f t="shared" si="48"/>
        <v>2047</v>
      </c>
      <c r="AG41" s="1104">
        <f t="shared" si="12"/>
        <v>26035138.213526826</v>
      </c>
      <c r="AH41" s="1104">
        <f t="shared" si="13"/>
        <v>-3687334.5209553731</v>
      </c>
      <c r="AI41" s="1104">
        <f t="shared" si="14"/>
        <v>-2163183.2759090546</v>
      </c>
      <c r="AJ41" s="1104">
        <f t="shared" si="15"/>
        <v>-1524151.2450463187</v>
      </c>
      <c r="AK41" s="1104">
        <f t="shared" si="16"/>
        <v>0</v>
      </c>
      <c r="AL41" s="1104">
        <f>IF($AG41=0,0,SUM($AI$20:$AI41))</f>
        <v>-22613045.062382225</v>
      </c>
      <c r="AM41" s="1104">
        <f>IF($AG41=0,0,SUM($AJ$20:$AJ41))</f>
        <v>-49495617.236414909</v>
      </c>
      <c r="AN41" s="1104">
        <f>SUM($AK$20:$AK41)</f>
        <v>0</v>
      </c>
      <c r="AO41" s="1105">
        <f t="shared" si="28"/>
        <v>23871954.937617771</v>
      </c>
      <c r="AP41" s="1104"/>
      <c r="AQ41" s="347"/>
      <c r="AS41" s="347" t="s">
        <v>541</v>
      </c>
      <c r="AT41" s="1118">
        <f>EOMONTH(AT24,AT31+1)</f>
        <v>48334</v>
      </c>
      <c r="AU41" s="345"/>
      <c r="AV41" s="1111" t="s">
        <v>49</v>
      </c>
      <c r="AW41" s="1149">
        <v>0</v>
      </c>
      <c r="AX41" s="1147"/>
      <c r="AY41" s="1092"/>
      <c r="AZ41" s="1138">
        <f t="shared" si="36"/>
        <v>14</v>
      </c>
      <c r="BA41" s="526">
        <f t="shared" si="32"/>
        <v>0.61</v>
      </c>
      <c r="BB41" s="1139">
        <f t="shared" si="33"/>
        <v>28355850</v>
      </c>
      <c r="BC41" s="527">
        <f t="shared" si="41"/>
        <v>1859400.0000000037</v>
      </c>
      <c r="BD41" s="527">
        <f t="shared" si="42"/>
        <v>20010000</v>
      </c>
      <c r="BE41" s="1140">
        <f t="shared" si="37"/>
        <v>31144950</v>
      </c>
      <c r="BF41" s="527">
        <f t="shared" si="38"/>
        <v>3346919.9999999963</v>
      </c>
      <c r="BG41" s="527">
        <f t="shared" si="43"/>
        <v>18680000</v>
      </c>
      <c r="BH41" s="1140">
        <f t="shared" si="34"/>
        <v>36723150</v>
      </c>
      <c r="BI41" s="527">
        <f t="shared" si="39"/>
        <v>3346919.9999999963</v>
      </c>
      <c r="BJ41" s="527">
        <f t="shared" si="44"/>
        <v>13130000</v>
      </c>
      <c r="BK41" s="1140">
        <f t="shared" si="35"/>
        <v>23242500</v>
      </c>
      <c r="BL41" s="527">
        <f t="shared" si="40"/>
        <v>3718800.0000000037</v>
      </c>
      <c r="BM41" s="1141">
        <f t="shared" si="47"/>
        <v>26960000</v>
      </c>
      <c r="BN41" s="1137"/>
      <c r="BO41" s="447">
        <f t="shared" si="45"/>
        <v>0.25999999999999995</v>
      </c>
      <c r="BP41" s="450">
        <f>BP40+0.016</f>
        <v>0.13800000000000001</v>
      </c>
      <c r="BQ41" s="450">
        <f t="shared" si="49"/>
        <v>0.224</v>
      </c>
      <c r="BR41" s="449">
        <f>BR40+0.01</f>
        <v>0.08</v>
      </c>
    </row>
    <row r="42" spans="2:70" s="278" customFormat="1" ht="12" customHeight="1" x14ac:dyDescent="0.25">
      <c r="B42" s="1108">
        <f>IF(C42&lt;'Financing Assumptions'!$G$25,0,IF(C42='Financing Assumptions'!$G$25,1,IF(C42&gt;'Financing Assumptions'!$G$25,B41+1)))</f>
        <v>23</v>
      </c>
      <c r="C42" s="1109">
        <f t="shared" si="17"/>
        <v>25</v>
      </c>
      <c r="D42" s="732">
        <f t="shared" si="6"/>
        <v>29</v>
      </c>
      <c r="E42" s="35">
        <f t="shared" si="7"/>
        <v>2</v>
      </c>
      <c r="F42" s="889">
        <f t="shared" si="25"/>
        <v>46812</v>
      </c>
      <c r="G42" s="822">
        <f t="shared" si="8"/>
        <v>2</v>
      </c>
      <c r="H42" s="126">
        <f t="shared" si="0"/>
        <v>0</v>
      </c>
      <c r="I42" s="1098">
        <f t="shared" si="26"/>
        <v>0</v>
      </c>
      <c r="J42" s="887">
        <f t="shared" si="18"/>
        <v>23</v>
      </c>
      <c r="K42" s="1099">
        <f t="shared" si="9"/>
        <v>0</v>
      </c>
      <c r="L42" s="891" t="str">
        <f t="shared" si="19"/>
        <v>February</v>
      </c>
      <c r="M42" s="888">
        <f t="shared" si="20"/>
        <v>2028</v>
      </c>
      <c r="N42" s="1284">
        <f t="shared" si="31"/>
        <v>464850</v>
      </c>
      <c r="O42" s="1284">
        <f t="shared" si="21"/>
        <v>46485000</v>
      </c>
      <c r="P42" s="883">
        <f t="shared" si="22"/>
        <v>46485000</v>
      </c>
      <c r="Q42" s="883">
        <f t="shared" si="10"/>
        <v>0</v>
      </c>
      <c r="R42" s="1100"/>
      <c r="S42" s="883">
        <f t="shared" si="1"/>
        <v>0</v>
      </c>
      <c r="T42" s="884">
        <f t="shared" si="29"/>
        <v>-233296.59375</v>
      </c>
      <c r="U42" s="884">
        <f>IF(AND($AU$43="Early Payoff",J42&gt;$U$15),0,IF($J42&lt;=$U$8,SUM($S$20:$S42),0))</f>
        <v>0</v>
      </c>
      <c r="V42" s="884">
        <f>IF(AND($AU$43="Early Payoff",J42&gt;$U$15),0,IF($J42&lt;=$U$8,SUM($T$20:$T42),0))</f>
        <v>-2486140.46875</v>
      </c>
      <c r="W42" s="885">
        <f t="shared" si="11"/>
        <v>46485000</v>
      </c>
      <c r="X42" s="1110">
        <f t="shared" si="23"/>
        <v>46485000</v>
      </c>
      <c r="Z42" s="1102">
        <f t="shared" si="2"/>
        <v>0</v>
      </c>
      <c r="AA42" s="873">
        <f t="shared" si="3"/>
        <v>0</v>
      </c>
      <c r="AB42" s="873">
        <f t="shared" si="4"/>
        <v>0</v>
      </c>
      <c r="AC42" s="885">
        <f t="shared" si="5"/>
        <v>0</v>
      </c>
      <c r="AE42" s="355">
        <f>AE41+1</f>
        <v>22</v>
      </c>
      <c r="AF42" s="1103">
        <f>AF41+1</f>
        <v>2048</v>
      </c>
      <c r="AG42" s="1104">
        <f t="shared" si="12"/>
        <v>23871954.937617771</v>
      </c>
      <c r="AH42" s="1104">
        <f t="shared" si="13"/>
        <v>-3687334.5209553731</v>
      </c>
      <c r="AI42" s="1104">
        <f t="shared" si="14"/>
        <v>-2298508.7257512766</v>
      </c>
      <c r="AJ42" s="1104">
        <f t="shared" si="15"/>
        <v>-1388825.7952040967</v>
      </c>
      <c r="AK42" s="1104">
        <f t="shared" si="16"/>
        <v>0</v>
      </c>
      <c r="AL42" s="1104">
        <f>IF($AG42=0,0,SUM($AI$20:$AI42))</f>
        <v>-24911553.788133502</v>
      </c>
      <c r="AM42" s="1104">
        <f>IF($AG42=0,0,SUM($AJ$20:$AJ42))</f>
        <v>-50884443.031619005</v>
      </c>
      <c r="AN42" s="1104">
        <f>SUM($AK$20:$AK42)</f>
        <v>0</v>
      </c>
      <c r="AO42" s="1105">
        <f t="shared" si="28"/>
        <v>21573446.211866494</v>
      </c>
      <c r="AP42" s="1104"/>
      <c r="AQ42" s="347"/>
      <c r="AS42" s="347"/>
      <c r="AT42" s="345"/>
      <c r="AU42" s="345"/>
      <c r="AV42" s="1111" t="s">
        <v>264</v>
      </c>
      <c r="AW42" s="1149">
        <v>0</v>
      </c>
      <c r="AX42" s="1147"/>
      <c r="AY42" s="1092"/>
      <c r="AZ42" s="1138">
        <f t="shared" si="36"/>
        <v>15</v>
      </c>
      <c r="BA42" s="526">
        <f t="shared" si="32"/>
        <v>0.65</v>
      </c>
      <c r="BB42" s="1139">
        <f t="shared" si="33"/>
        <v>30215250</v>
      </c>
      <c r="BC42" s="527">
        <f t="shared" si="41"/>
        <v>1859400</v>
      </c>
      <c r="BD42" s="527">
        <f t="shared" si="42"/>
        <v>18150000</v>
      </c>
      <c r="BE42" s="1140">
        <f t="shared" si="37"/>
        <v>33562170.000000007</v>
      </c>
      <c r="BF42" s="527">
        <f t="shared" si="38"/>
        <v>2417220.0000000075</v>
      </c>
      <c r="BG42" s="527">
        <f t="shared" si="43"/>
        <v>15330000</v>
      </c>
      <c r="BH42" s="1140">
        <f t="shared" si="34"/>
        <v>38768490</v>
      </c>
      <c r="BI42" s="527">
        <f t="shared" si="39"/>
        <v>2045340</v>
      </c>
      <c r="BJ42" s="527">
        <f t="shared" si="44"/>
        <v>9780000</v>
      </c>
      <c r="BK42" s="1140">
        <f t="shared" si="35"/>
        <v>28634760.000000004</v>
      </c>
      <c r="BL42" s="527">
        <f t="shared" si="40"/>
        <v>5392260.0000000037</v>
      </c>
      <c r="BM42" s="1141">
        <f t="shared" si="47"/>
        <v>23240000</v>
      </c>
      <c r="BN42" s="1137"/>
      <c r="BO42" s="447">
        <f t="shared" si="45"/>
        <v>0.27999999999999997</v>
      </c>
      <c r="BP42" s="450">
        <f>BP41+0.016</f>
        <v>0.15400000000000003</v>
      </c>
      <c r="BQ42" s="450">
        <f t="shared" si="49"/>
        <v>0.252</v>
      </c>
      <c r="BR42" s="449">
        <f>BR41+0.01</f>
        <v>0.09</v>
      </c>
    </row>
    <row r="43" spans="2:70" s="278" customFormat="1" ht="12" customHeight="1" x14ac:dyDescent="0.25">
      <c r="B43" s="1108">
        <f>IF(C43&lt;'Financing Assumptions'!$G$25,0,IF(C43='Financing Assumptions'!$G$25,1,IF(C43&gt;'Financing Assumptions'!$G$25,B42+1)))</f>
        <v>24</v>
      </c>
      <c r="C43" s="1109">
        <f t="shared" si="17"/>
        <v>26</v>
      </c>
      <c r="D43" s="732">
        <f t="shared" si="6"/>
        <v>31</v>
      </c>
      <c r="E43" s="35">
        <f t="shared" si="7"/>
        <v>3</v>
      </c>
      <c r="F43" s="889">
        <f t="shared" si="25"/>
        <v>46843</v>
      </c>
      <c r="G43" s="822">
        <f t="shared" si="8"/>
        <v>3</v>
      </c>
      <c r="H43" s="126">
        <f t="shared" si="0"/>
        <v>0</v>
      </c>
      <c r="I43" s="1098">
        <f t="shared" si="26"/>
        <v>0</v>
      </c>
      <c r="J43" s="887">
        <f t="shared" si="18"/>
        <v>24</v>
      </c>
      <c r="K43" s="1099">
        <f t="shared" si="9"/>
        <v>0</v>
      </c>
      <c r="L43" s="891" t="str">
        <f t="shared" si="19"/>
        <v>March</v>
      </c>
      <c r="M43" s="888">
        <f t="shared" si="20"/>
        <v>2028</v>
      </c>
      <c r="N43" s="1284">
        <f t="shared" si="31"/>
        <v>0</v>
      </c>
      <c r="O43" s="1284">
        <f t="shared" si="21"/>
        <v>0</v>
      </c>
      <c r="P43" s="883">
        <f t="shared" si="22"/>
        <v>46485000</v>
      </c>
      <c r="Q43" s="883">
        <f t="shared" si="10"/>
        <v>0</v>
      </c>
      <c r="R43" s="1100"/>
      <c r="S43" s="883">
        <f t="shared" si="1"/>
        <v>0</v>
      </c>
      <c r="T43" s="884">
        <f t="shared" si="29"/>
        <v>-235653.12499999997</v>
      </c>
      <c r="U43" s="884">
        <f>IF(AND($AU$43="Early Payoff",J43&gt;$U$15),0,IF($J43&lt;=$U$8,SUM($S$20:$S43),0))</f>
        <v>0</v>
      </c>
      <c r="V43" s="884">
        <f>IF(AND($AU$43="Early Payoff",J43&gt;$U$15),0,IF($J43&lt;=$U$8,SUM($T$20:$T43),0))</f>
        <v>-2721793.59375</v>
      </c>
      <c r="W43" s="885">
        <f t="shared" si="11"/>
        <v>46485000</v>
      </c>
      <c r="X43" s="1110">
        <f>IF($C43&lt;$L$11,$M$4,$P43)</f>
        <v>46485000</v>
      </c>
      <c r="Z43" s="1102">
        <f t="shared" si="2"/>
        <v>0</v>
      </c>
      <c r="AA43" s="873">
        <f t="shared" si="3"/>
        <v>0</v>
      </c>
      <c r="AB43" s="873">
        <f t="shared" si="4"/>
        <v>0</v>
      </c>
      <c r="AC43" s="885">
        <f t="shared" si="5"/>
        <v>0</v>
      </c>
      <c r="AE43" s="355">
        <f t="shared" ref="AE43:AF45" si="50">AE42+1</f>
        <v>23</v>
      </c>
      <c r="AF43" s="1103">
        <f t="shared" si="50"/>
        <v>2049</v>
      </c>
      <c r="AG43" s="1104">
        <f t="shared" si="12"/>
        <v>21573446.211866491</v>
      </c>
      <c r="AH43" s="1104">
        <f t="shared" si="13"/>
        <v>-3687334.5209553731</v>
      </c>
      <c r="AI43" s="1104">
        <f t="shared" si="14"/>
        <v>-2442299.9295492298</v>
      </c>
      <c r="AJ43" s="1104">
        <f t="shared" si="15"/>
        <v>-1245034.591406143</v>
      </c>
      <c r="AK43" s="1104">
        <f t="shared" si="16"/>
        <v>0</v>
      </c>
      <c r="AL43" s="1104">
        <f>IF($AG43=0,0,SUM($AI$20:$AI43))</f>
        <v>-27353853.71768273</v>
      </c>
      <c r="AM43" s="1104">
        <f>IF($AG43=0,0,SUM($AJ$20:$AJ43))</f>
        <v>-52129477.623025149</v>
      </c>
      <c r="AN43" s="1104">
        <f>SUM($AK$20:$AK43)</f>
        <v>0</v>
      </c>
      <c r="AO43" s="1105">
        <f t="shared" si="28"/>
        <v>19131146.282317262</v>
      </c>
      <c r="AP43" s="1104"/>
      <c r="AQ43" s="347"/>
      <c r="AS43" s="347" t="s">
        <v>542</v>
      </c>
      <c r="AT43" s="1103">
        <f>YEAR(V15)</f>
        <v>2056</v>
      </c>
      <c r="AU43" s="345" t="str">
        <f>IF(V15&lt;&gt;EOMONTH($AT$24,U8),"Early Payoff","Full-Term")</f>
        <v>Full-Term</v>
      </c>
      <c r="AV43" s="1111" t="s">
        <v>530</v>
      </c>
      <c r="AW43" s="1149">
        <v>0</v>
      </c>
      <c r="AX43" s="1147"/>
      <c r="AY43" s="1092"/>
      <c r="AZ43" s="1138">
        <f t="shared" si="36"/>
        <v>16</v>
      </c>
      <c r="BA43" s="526">
        <f t="shared" si="32"/>
        <v>0.7</v>
      </c>
      <c r="BB43" s="1139">
        <f t="shared" si="33"/>
        <v>32539499.999999996</v>
      </c>
      <c r="BC43" s="527">
        <f t="shared" si="41"/>
        <v>2324249.9999999963</v>
      </c>
      <c r="BD43" s="527">
        <f>IF(BC42="","",ROUND(BD42-BC42,-4))</f>
        <v>16290000</v>
      </c>
      <c r="BE43" s="1140">
        <f t="shared" si="37"/>
        <v>35979390.000000007</v>
      </c>
      <c r="BF43" s="527">
        <f t="shared" si="38"/>
        <v>2417220</v>
      </c>
      <c r="BG43" s="527">
        <f t="shared" si="43"/>
        <v>12910000</v>
      </c>
      <c r="BH43" s="1140">
        <f t="shared" si="34"/>
        <v>40813830.000000007</v>
      </c>
      <c r="BI43" s="527">
        <f t="shared" si="39"/>
        <v>2045340.0000000075</v>
      </c>
      <c r="BJ43" s="527">
        <f t="shared" si="44"/>
        <v>7730000</v>
      </c>
      <c r="BK43" s="1140">
        <f t="shared" si="35"/>
        <v>34027020.000000007</v>
      </c>
      <c r="BL43" s="527">
        <f t="shared" si="40"/>
        <v>5392260.0000000037</v>
      </c>
      <c r="BM43" s="1141">
        <f t="shared" si="47"/>
        <v>17850000</v>
      </c>
      <c r="BN43" s="1137"/>
      <c r="BO43" s="447">
        <f t="shared" si="45"/>
        <v>0.3</v>
      </c>
      <c r="BP43" s="450">
        <v>0.17</v>
      </c>
      <c r="BQ43" s="450">
        <v>0.28000000000000003</v>
      </c>
      <c r="BR43" s="449">
        <v>0.1</v>
      </c>
    </row>
    <row r="44" spans="2:70" s="278" customFormat="1" ht="12" customHeight="1" x14ac:dyDescent="0.25">
      <c r="B44" s="1108">
        <f>IF(C44&lt;'Financing Assumptions'!$G$25,0,IF(C44='Financing Assumptions'!$G$25,1,IF(C44&gt;'Financing Assumptions'!$G$25,B43+1)))</f>
        <v>25</v>
      </c>
      <c r="C44" s="1109">
        <f t="shared" si="17"/>
        <v>27</v>
      </c>
      <c r="D44" s="732">
        <f t="shared" si="6"/>
        <v>30</v>
      </c>
      <c r="E44" s="35">
        <f t="shared" si="7"/>
        <v>4</v>
      </c>
      <c r="F44" s="889">
        <f>DATE(M44,E44,D44)</f>
        <v>46873</v>
      </c>
      <c r="G44" s="822">
        <f t="shared" si="8"/>
        <v>4</v>
      </c>
      <c r="H44" s="126">
        <f t="shared" si="0"/>
        <v>0</v>
      </c>
      <c r="I44" s="1098">
        <f t="shared" si="26"/>
        <v>0</v>
      </c>
      <c r="J44" s="887">
        <f t="shared" si="18"/>
        <v>25</v>
      </c>
      <c r="K44" s="1099">
        <f t="shared" si="9"/>
        <v>0</v>
      </c>
      <c r="L44" s="891" t="str">
        <f t="shared" si="19"/>
        <v>April</v>
      </c>
      <c r="M44" s="888">
        <f t="shared" si="20"/>
        <v>2028</v>
      </c>
      <c r="N44" s="1284">
        <f t="shared" si="31"/>
        <v>0</v>
      </c>
      <c r="O44" s="1284">
        <f t="shared" si="21"/>
        <v>0</v>
      </c>
      <c r="P44" s="883">
        <f t="shared" si="22"/>
        <v>46485000</v>
      </c>
      <c r="Q44" s="883">
        <f t="shared" si="10"/>
        <v>0</v>
      </c>
      <c r="R44" s="1100"/>
      <c r="S44" s="883">
        <f t="shared" si="1"/>
        <v>0</v>
      </c>
      <c r="T44" s="884">
        <f t="shared" si="29"/>
        <v>-235653.12499999997</v>
      </c>
      <c r="U44" s="884">
        <f>IF(AND($AU$43="Early Payoff",J44&gt;$U$15),0,IF($J44&lt;=$U$8,SUM($S$20:$S44),0))</f>
        <v>0</v>
      </c>
      <c r="V44" s="884">
        <f>IF(AND($AU$43="Early Payoff",J44&gt;$U$15),0,IF($J44&lt;=$U$8,SUM($T$20:$T44),0))</f>
        <v>-2957446.71875</v>
      </c>
      <c r="W44" s="885">
        <f t="shared" si="11"/>
        <v>46485000</v>
      </c>
      <c r="X44" s="1110">
        <f>IF($C44&lt;$L$11,$M$4,$P44)</f>
        <v>46485000</v>
      </c>
      <c r="Z44" s="1102">
        <f t="shared" si="2"/>
        <v>0</v>
      </c>
      <c r="AA44" s="873">
        <f t="shared" si="3"/>
        <v>0</v>
      </c>
      <c r="AB44" s="873">
        <f t="shared" si="4"/>
        <v>0</v>
      </c>
      <c r="AC44" s="885">
        <f t="shared" si="5"/>
        <v>0</v>
      </c>
      <c r="AE44" s="355">
        <f t="shared" si="50"/>
        <v>24</v>
      </c>
      <c r="AF44" s="1103">
        <f t="shared" si="50"/>
        <v>2050</v>
      </c>
      <c r="AG44" s="1104">
        <f t="shared" si="12"/>
        <v>19131146.282317262</v>
      </c>
      <c r="AH44" s="1104">
        <f t="shared" si="13"/>
        <v>-3687334.5209553731</v>
      </c>
      <c r="AI44" s="1104">
        <f t="shared" si="14"/>
        <v>-2595086.4919716781</v>
      </c>
      <c r="AJ44" s="1104">
        <f t="shared" si="15"/>
        <v>-1092248.0289836945</v>
      </c>
      <c r="AK44" s="1104">
        <f t="shared" si="16"/>
        <v>0</v>
      </c>
      <c r="AL44" s="1104">
        <f>IF($AG44=0,0,SUM($AI$20:$AI44))</f>
        <v>-29948940.209654409</v>
      </c>
      <c r="AM44" s="1104">
        <f>IF($AG44=0,0,SUM($AJ$20:$AJ44))</f>
        <v>-53221725.652008846</v>
      </c>
      <c r="AN44" s="1104">
        <f>SUM($AK$20:$AK44)</f>
        <v>0</v>
      </c>
      <c r="AO44" s="1105">
        <f t="shared" si="28"/>
        <v>16536059.790345583</v>
      </c>
      <c r="AP44" s="1104"/>
      <c r="AQ44" s="347"/>
      <c r="AS44" s="347" t="s">
        <v>543</v>
      </c>
      <c r="AT44" s="1077" t="str">
        <f>INDEX($AW$22:$AX$34,MATCH(MONTH($V$15),$AW$22:$AW$34,0),MATCH("Month",$AW$22:$AX$22,0))</f>
        <v>March</v>
      </c>
      <c r="AU44" s="345">
        <f>INDEX(AV22:AW34,MATCH(AT44,AV22:AV34,0),MATCH("Number",AV22:AW22,0))</f>
        <v>3</v>
      </c>
      <c r="AV44" s="1111" t="s">
        <v>509</v>
      </c>
      <c r="AW44" s="1149">
        <v>0</v>
      </c>
      <c r="AX44" s="1147"/>
      <c r="AY44" s="1092"/>
      <c r="AZ44" s="1138">
        <f t="shared" si="36"/>
        <v>17</v>
      </c>
      <c r="BA44" s="526">
        <f t="shared" si="32"/>
        <v>0.74</v>
      </c>
      <c r="BB44" s="1139">
        <f t="shared" si="33"/>
        <v>34398900</v>
      </c>
      <c r="BC44" s="527">
        <f t="shared" si="41"/>
        <v>1859400.0000000037</v>
      </c>
      <c r="BD44" s="527">
        <f>IF(BC43="","",ROUND(BD43-BC43,-4))</f>
        <v>13970000</v>
      </c>
      <c r="BE44" s="1140">
        <f t="shared" si="37"/>
        <v>38117700</v>
      </c>
      <c r="BF44" s="527">
        <f t="shared" si="38"/>
        <v>2138309.9999999925</v>
      </c>
      <c r="BG44" s="527">
        <f t="shared" si="43"/>
        <v>10490000</v>
      </c>
      <c r="BH44" s="1140">
        <f t="shared" si="34"/>
        <v>42580260</v>
      </c>
      <c r="BI44" s="527">
        <f t="shared" si="39"/>
        <v>1766429.9999999925</v>
      </c>
      <c r="BJ44" s="527">
        <f t="shared" si="44"/>
        <v>5680000</v>
      </c>
      <c r="BK44" s="1140">
        <f t="shared" si="35"/>
        <v>38117700</v>
      </c>
      <c r="BL44" s="527">
        <f t="shared" si="40"/>
        <v>4090679.9999999925</v>
      </c>
      <c r="BM44" s="1141">
        <f t="shared" si="47"/>
        <v>12460000</v>
      </c>
      <c r="BN44" s="1137"/>
      <c r="BO44" s="447">
        <f t="shared" si="45"/>
        <v>0.32</v>
      </c>
      <c r="BP44" s="450">
        <f>BP43+0.022</f>
        <v>0.192</v>
      </c>
      <c r="BQ44" s="450">
        <f t="shared" si="49"/>
        <v>0.30800000000000005</v>
      </c>
      <c r="BR44" s="449">
        <f>BR43+0.016</f>
        <v>0.11600000000000001</v>
      </c>
    </row>
    <row r="45" spans="2:70" s="278" customFormat="1" ht="12" customHeight="1" x14ac:dyDescent="0.25">
      <c r="B45" s="1108">
        <f>IF(C45&lt;'Financing Assumptions'!$G$25,0,IF(C45='Financing Assumptions'!$G$25,1,IF(C45&gt;'Financing Assumptions'!$G$25,B44+1)))</f>
        <v>26</v>
      </c>
      <c r="C45" s="1109">
        <f t="shared" si="17"/>
        <v>28</v>
      </c>
      <c r="D45" s="732">
        <f t="shared" si="6"/>
        <v>31</v>
      </c>
      <c r="E45" s="35">
        <f t="shared" si="7"/>
        <v>5</v>
      </c>
      <c r="F45" s="889">
        <f t="shared" si="25"/>
        <v>46904</v>
      </c>
      <c r="G45" s="822">
        <f t="shared" si="8"/>
        <v>5</v>
      </c>
      <c r="H45" s="126">
        <f t="shared" si="0"/>
        <v>0</v>
      </c>
      <c r="I45" s="1098">
        <f t="shared" si="26"/>
        <v>0</v>
      </c>
      <c r="J45" s="887">
        <f t="shared" si="18"/>
        <v>26</v>
      </c>
      <c r="K45" s="1099">
        <f t="shared" si="9"/>
        <v>0</v>
      </c>
      <c r="L45" s="891" t="str">
        <f t="shared" si="19"/>
        <v>May</v>
      </c>
      <c r="M45" s="888">
        <f t="shared" si="20"/>
        <v>2028</v>
      </c>
      <c r="N45" s="1284">
        <f t="shared" si="31"/>
        <v>0</v>
      </c>
      <c r="O45" s="1284">
        <f t="shared" si="21"/>
        <v>0</v>
      </c>
      <c r="P45" s="883">
        <f t="shared" si="22"/>
        <v>46485000</v>
      </c>
      <c r="Q45" s="883">
        <f>IF(AND($AU$43="Early Payoff",J45&gt;=$U$15),0,IF($J45&gt;$U$8,0,IF(AND($AT$33&gt;=0,$J45&lt;=$AT$33),0,IF(AND($AT$31&gt;=0,$J45&lt;=$AT$31),$T45,IF(AND($V$4="Annual",$AT$31&gt;=0,$AT$33&gt;=0,$J45&gt;$AT$31,$J45&gt;$AT$33),PMT($M$7,($U$8-$AT$31),$M$4),IF(AND($V$4="Bi-Annual",$AT$31&gt;=0,$AT$33&gt;=0,$J45&gt;$AT$31,$J45&gt;$AT$33),PMT($M$7/2,($U$8-$AT$31),$M$4),IF(AND($V$4="Monthly",$AT$31&gt;=0,$AT$33&gt;=0,$J45&gt;$AT$31,$J45&gt;$AT$33),PMT($M$7/12,($U$8-$AT$31),$M$4))))))))-R45</f>
        <v>0</v>
      </c>
      <c r="R45" s="1100"/>
      <c r="S45" s="883">
        <f t="shared" si="1"/>
        <v>0</v>
      </c>
      <c r="T45" s="884">
        <f t="shared" si="29"/>
        <v>-235653.12499999997</v>
      </c>
      <c r="U45" s="884">
        <f>IF(AND($AU$43="Early Payoff",J45&gt;$U$15),0,IF($J45&lt;=$U$8,SUM($S$20:$S45),0))</f>
        <v>0</v>
      </c>
      <c r="V45" s="884">
        <f>IF(AND($AU$43="Early Payoff",J45&gt;$U$15),0,IF($J45&lt;=$U$8,SUM($T$20:$T45),0))</f>
        <v>-3193099.84375</v>
      </c>
      <c r="W45" s="885">
        <f t="shared" si="11"/>
        <v>46485000</v>
      </c>
      <c r="X45" s="1110">
        <f t="shared" si="23"/>
        <v>46485000</v>
      </c>
      <c r="Z45" s="1102">
        <f t="shared" si="2"/>
        <v>0</v>
      </c>
      <c r="AA45" s="873">
        <f t="shared" si="3"/>
        <v>0</v>
      </c>
      <c r="AB45" s="873">
        <f t="shared" si="4"/>
        <v>0</v>
      </c>
      <c r="AC45" s="885">
        <f t="shared" si="5"/>
        <v>0</v>
      </c>
      <c r="AE45" s="355">
        <f t="shared" si="50"/>
        <v>25</v>
      </c>
      <c r="AF45" s="1103">
        <f t="shared" si="50"/>
        <v>2051</v>
      </c>
      <c r="AG45" s="1104">
        <f t="shared" si="12"/>
        <v>16536059.790345585</v>
      </c>
      <c r="AH45" s="1104">
        <f t="shared" si="13"/>
        <v>-3687334.5209553731</v>
      </c>
      <c r="AI45" s="1104">
        <f t="shared" si="14"/>
        <v>-2757431.1489485414</v>
      </c>
      <c r="AJ45" s="1104">
        <f t="shared" si="15"/>
        <v>-929903.37200683192</v>
      </c>
      <c r="AK45" s="1104">
        <f t="shared" si="16"/>
        <v>0</v>
      </c>
      <c r="AL45" s="1104">
        <f>IF($AG45=0,0,SUM($AI$20:$AI45))</f>
        <v>-32706371.358602952</v>
      </c>
      <c r="AM45" s="1104">
        <f>IF($AG45=0,0,SUM($AJ$20:$AJ45))</f>
        <v>-54151629.02401568</v>
      </c>
      <c r="AN45" s="1104">
        <f>SUM($AK$20:$AK45)</f>
        <v>0</v>
      </c>
      <c r="AO45" s="1105">
        <f t="shared" si="28"/>
        <v>13778628.641397044</v>
      </c>
      <c r="AP45" s="1104"/>
      <c r="AQ45" s="347"/>
      <c r="AS45" s="347" t="s">
        <v>519</v>
      </c>
      <c r="AT45" s="1118">
        <f>V15</f>
        <v>57070</v>
      </c>
      <c r="AU45" s="345"/>
      <c r="AV45" s="1111" t="s">
        <v>461</v>
      </c>
      <c r="AW45" s="1149">
        <v>0</v>
      </c>
      <c r="AX45" s="1147"/>
      <c r="AY45" s="1092"/>
      <c r="AZ45" s="1138">
        <f t="shared" si="36"/>
        <v>18</v>
      </c>
      <c r="BA45" s="526">
        <f t="shared" si="32"/>
        <v>0.78</v>
      </c>
      <c r="BB45" s="1139">
        <f t="shared" si="33"/>
        <v>36258300</v>
      </c>
      <c r="BC45" s="527">
        <f t="shared" si="41"/>
        <v>1859400</v>
      </c>
      <c r="BD45" s="527">
        <f>IF(BC44="","",ROUND(BD44-BC44,-4))</f>
        <v>12110000</v>
      </c>
      <c r="BE45" s="1140">
        <f t="shared" si="37"/>
        <v>39977100</v>
      </c>
      <c r="BF45" s="527">
        <f t="shared" si="38"/>
        <v>1859400</v>
      </c>
      <c r="BG45" s="527">
        <f t="shared" si="43"/>
        <v>8350000</v>
      </c>
      <c r="BH45" s="1140">
        <f t="shared" si="34"/>
        <v>44067780</v>
      </c>
      <c r="BI45" s="527">
        <f t="shared" si="39"/>
        <v>1487520</v>
      </c>
      <c r="BJ45" s="527">
        <f t="shared" si="44"/>
        <v>3910000</v>
      </c>
      <c r="BK45" s="1140">
        <f t="shared" si="35"/>
        <v>40906800.000000007</v>
      </c>
      <c r="BL45" s="527">
        <f t="shared" si="40"/>
        <v>2789100.0000000075</v>
      </c>
      <c r="BM45" s="1141">
        <f t="shared" si="47"/>
        <v>8370000</v>
      </c>
      <c r="BN45" s="1137"/>
      <c r="BO45" s="447">
        <f t="shared" si="45"/>
        <v>0.34</v>
      </c>
      <c r="BP45" s="450">
        <f>BP44+0.022</f>
        <v>0.214</v>
      </c>
      <c r="BQ45" s="450">
        <f t="shared" si="49"/>
        <v>0.33600000000000008</v>
      </c>
      <c r="BR45" s="449">
        <f>BR44+0.016</f>
        <v>0.13200000000000001</v>
      </c>
    </row>
    <row r="46" spans="2:70" s="278" customFormat="1" ht="12" customHeight="1" x14ac:dyDescent="0.25">
      <c r="B46" s="1108">
        <f>IF(C46&lt;'Financing Assumptions'!$G$25,0,IF(C46='Financing Assumptions'!$G$25,1,IF(C46&gt;'Financing Assumptions'!$G$25,B45+1)))</f>
        <v>27</v>
      </c>
      <c r="C46" s="1109">
        <f t="shared" si="17"/>
        <v>29</v>
      </c>
      <c r="D46" s="732">
        <f t="shared" si="6"/>
        <v>30</v>
      </c>
      <c r="E46" s="35">
        <f t="shared" si="7"/>
        <v>6</v>
      </c>
      <c r="F46" s="889">
        <f t="shared" si="25"/>
        <v>46934</v>
      </c>
      <c r="G46" s="822">
        <f t="shared" si="8"/>
        <v>6</v>
      </c>
      <c r="H46" s="126">
        <f t="shared" si="0"/>
        <v>0</v>
      </c>
      <c r="I46" s="1098">
        <f t="shared" si="26"/>
        <v>0</v>
      </c>
      <c r="J46" s="887">
        <f t="shared" si="18"/>
        <v>27</v>
      </c>
      <c r="K46" s="1099">
        <f t="shared" si="9"/>
        <v>1</v>
      </c>
      <c r="L46" s="891" t="str">
        <f t="shared" si="19"/>
        <v>June</v>
      </c>
      <c r="M46" s="888">
        <f t="shared" si="20"/>
        <v>2028</v>
      </c>
      <c r="N46" s="1284">
        <f t="shared" si="31"/>
        <v>0</v>
      </c>
      <c r="O46" s="1284">
        <f t="shared" si="21"/>
        <v>0</v>
      </c>
      <c r="P46" s="883">
        <f t="shared" si="22"/>
        <v>46485000</v>
      </c>
      <c r="Q46" s="883">
        <f t="shared" si="10"/>
        <v>-235653.12499999997</v>
      </c>
      <c r="R46" s="1100"/>
      <c r="S46" s="883">
        <f t="shared" si="1"/>
        <v>0</v>
      </c>
      <c r="T46" s="884">
        <f t="shared" si="29"/>
        <v>-235653.12499999997</v>
      </c>
      <c r="U46" s="884">
        <f>IF(AND($AU$43="Early Payoff",J46&gt;$U$15),0,IF($J46&lt;=$U$8,SUM($S$20:$S46),0))</f>
        <v>0</v>
      </c>
      <c r="V46" s="884">
        <f>IF(AND($AU$43="Early Payoff",J46&gt;$U$15),0,IF($J46&lt;=$U$8,SUM($T$20:$T46),0))</f>
        <v>-3428752.96875</v>
      </c>
      <c r="W46" s="885">
        <f t="shared" si="11"/>
        <v>46485000</v>
      </c>
      <c r="X46" s="1110">
        <f t="shared" si="23"/>
        <v>46485000</v>
      </c>
      <c r="Z46" s="1102">
        <f t="shared" si="2"/>
        <v>0</v>
      </c>
      <c r="AA46" s="873">
        <f t="shared" si="3"/>
        <v>0</v>
      </c>
      <c r="AB46" s="873">
        <f t="shared" si="4"/>
        <v>0</v>
      </c>
      <c r="AC46" s="885">
        <f t="shared" si="5"/>
        <v>-235653.12499999997</v>
      </c>
      <c r="AE46" s="355">
        <f>AE45+1</f>
        <v>26</v>
      </c>
      <c r="AF46" s="1103">
        <f>AF45+1</f>
        <v>2052</v>
      </c>
      <c r="AG46" s="1104">
        <f t="shared" si="12"/>
        <v>13778628.641397046</v>
      </c>
      <c r="AH46" s="1104">
        <f t="shared" si="13"/>
        <v>-3687334.5209553731</v>
      </c>
      <c r="AI46" s="1104">
        <f t="shared" si="14"/>
        <v>-2929931.8403121075</v>
      </c>
      <c r="AJ46" s="1104">
        <f t="shared" si="15"/>
        <v>-757402.68064326595</v>
      </c>
      <c r="AK46" s="1104">
        <f t="shared" si="16"/>
        <v>0</v>
      </c>
      <c r="AL46" s="1104">
        <f>IF($AG46=0,0,SUM($AI$20:$AI46))</f>
        <v>-35636303.198915057</v>
      </c>
      <c r="AM46" s="1104">
        <f>IF($AG46=0,0,SUM($AJ$20:$AJ46))</f>
        <v>-54909031.704658948</v>
      </c>
      <c r="AN46" s="1104">
        <f>SUM($AK$20:$AK46)</f>
        <v>0</v>
      </c>
      <c r="AO46" s="1105">
        <f t="shared" si="28"/>
        <v>10848696.801084939</v>
      </c>
      <c r="AP46" s="1104"/>
      <c r="AQ46" s="347"/>
      <c r="AS46" s="347"/>
      <c r="AT46" s="345"/>
      <c r="AU46" s="345"/>
      <c r="AV46" s="1111" t="s">
        <v>533</v>
      </c>
      <c r="AW46" s="1149">
        <v>0</v>
      </c>
      <c r="AX46" s="1147"/>
      <c r="AY46" s="1092"/>
      <c r="AZ46" s="1138">
        <f t="shared" si="36"/>
        <v>19</v>
      </c>
      <c r="BA46" s="526">
        <f t="shared" si="32"/>
        <v>0.83</v>
      </c>
      <c r="BB46" s="1139">
        <f t="shared" si="33"/>
        <v>38582550</v>
      </c>
      <c r="BC46" s="527">
        <f t="shared" si="41"/>
        <v>2324250</v>
      </c>
      <c r="BD46" s="527">
        <f t="shared" si="42"/>
        <v>10250000</v>
      </c>
      <c r="BE46" s="1140">
        <f t="shared" si="37"/>
        <v>42580260</v>
      </c>
      <c r="BF46" s="527">
        <f t="shared" si="38"/>
        <v>2603160</v>
      </c>
      <c r="BG46" s="527">
        <f t="shared" si="43"/>
        <v>6490000</v>
      </c>
      <c r="BH46" s="1140">
        <f t="shared" si="34"/>
        <v>45564597</v>
      </c>
      <c r="BI46" s="527">
        <f t="shared" si="39"/>
        <v>1496817</v>
      </c>
      <c r="BJ46" s="527">
        <f t="shared" si="44"/>
        <v>2420000</v>
      </c>
      <c r="BK46" s="1140">
        <f t="shared" si="35"/>
        <v>44067780</v>
      </c>
      <c r="BL46" s="527">
        <f t="shared" si="40"/>
        <v>3160979.9999999925</v>
      </c>
      <c r="BM46" s="1141">
        <f>IF(BL45="","",ROUND(BM45-BL45,-4))</f>
        <v>5580000</v>
      </c>
      <c r="BN46" s="1137"/>
      <c r="BO46" s="447">
        <f t="shared" si="45"/>
        <v>0.36000000000000004</v>
      </c>
      <c r="BP46" s="450">
        <f>BP45+0.022</f>
        <v>0.23599999999999999</v>
      </c>
      <c r="BQ46" s="450">
        <f t="shared" si="49"/>
        <v>0.3640000000000001</v>
      </c>
      <c r="BR46" s="449">
        <f>BR45+0.016</f>
        <v>0.14800000000000002</v>
      </c>
    </row>
    <row r="47" spans="2:70" s="278" customFormat="1" ht="12" customHeight="1" x14ac:dyDescent="0.25">
      <c r="B47" s="1108">
        <f>IF(C47&lt;'Financing Assumptions'!$G$25,0,IF(C47='Financing Assumptions'!$G$25,1,IF(C47&gt;'Financing Assumptions'!$G$25,B46+1)))</f>
        <v>28</v>
      </c>
      <c r="C47" s="1109">
        <f t="shared" si="17"/>
        <v>30</v>
      </c>
      <c r="D47" s="732">
        <f t="shared" si="6"/>
        <v>31</v>
      </c>
      <c r="E47" s="35">
        <f t="shared" si="7"/>
        <v>7</v>
      </c>
      <c r="F47" s="889">
        <f t="shared" si="25"/>
        <v>46965</v>
      </c>
      <c r="G47" s="822">
        <f t="shared" si="8"/>
        <v>7</v>
      </c>
      <c r="H47" s="126">
        <f t="shared" si="0"/>
        <v>0</v>
      </c>
      <c r="I47" s="1098">
        <f t="shared" si="26"/>
        <v>0</v>
      </c>
      <c r="J47" s="887">
        <f t="shared" si="18"/>
        <v>28</v>
      </c>
      <c r="K47" s="1099">
        <f t="shared" si="9"/>
        <v>2</v>
      </c>
      <c r="L47" s="891" t="str">
        <f t="shared" si="19"/>
        <v>July</v>
      </c>
      <c r="M47" s="888">
        <f t="shared" si="20"/>
        <v>2028</v>
      </c>
      <c r="N47" s="1284">
        <f t="shared" si="31"/>
        <v>0</v>
      </c>
      <c r="O47" s="1284">
        <f t="shared" si="21"/>
        <v>0</v>
      </c>
      <c r="P47" s="883">
        <f t="shared" si="22"/>
        <v>46485000</v>
      </c>
      <c r="Q47" s="883">
        <f t="shared" si="10"/>
        <v>-235653.12499999997</v>
      </c>
      <c r="R47" s="1100"/>
      <c r="S47" s="883">
        <f t="shared" si="1"/>
        <v>0</v>
      </c>
      <c r="T47" s="884">
        <f t="shared" si="29"/>
        <v>-235653.12499999997</v>
      </c>
      <c r="U47" s="884">
        <f>IF(AND($AU$43="Early Payoff",J47&gt;$U$15),0,IF($J47&lt;=$U$8,SUM($S$20:$S47),0))</f>
        <v>0</v>
      </c>
      <c r="V47" s="884">
        <f>IF(AND($AU$43="Early Payoff",J47&gt;$U$15),0,IF($J47&lt;=$U$8,SUM($T$20:$T47),0))</f>
        <v>-3664406.09375</v>
      </c>
      <c r="W47" s="885">
        <f t="shared" si="11"/>
        <v>46485000</v>
      </c>
      <c r="X47" s="1110">
        <f t="shared" si="23"/>
        <v>46485000</v>
      </c>
      <c r="Z47" s="1102">
        <f t="shared" si="2"/>
        <v>0</v>
      </c>
      <c r="AA47" s="873">
        <f t="shared" si="3"/>
        <v>0</v>
      </c>
      <c r="AB47" s="873">
        <f t="shared" si="4"/>
        <v>0</v>
      </c>
      <c r="AC47" s="885">
        <f t="shared" si="5"/>
        <v>-235653.12499999997</v>
      </c>
      <c r="AE47" s="355">
        <f t="shared" ref="AE47:AF49" si="51">AE46+1</f>
        <v>27</v>
      </c>
      <c r="AF47" s="1103">
        <f t="shared" si="51"/>
        <v>2053</v>
      </c>
      <c r="AG47" s="1104">
        <f t="shared" si="12"/>
        <v>10848696.801084939</v>
      </c>
      <c r="AH47" s="1104">
        <f t="shared" si="13"/>
        <v>-3687334.5209553731</v>
      </c>
      <c r="AI47" s="1104">
        <f t="shared" si="14"/>
        <v>-3113223.9120995346</v>
      </c>
      <c r="AJ47" s="1104">
        <f t="shared" si="15"/>
        <v>-574110.60885583854</v>
      </c>
      <c r="AK47" s="1104">
        <f t="shared" si="16"/>
        <v>0</v>
      </c>
      <c r="AL47" s="1104">
        <f>IF($AG47=0,0,SUM($AI$20:$AI47))</f>
        <v>-38749527.11101459</v>
      </c>
      <c r="AM47" s="1104">
        <f>IF($AG47=0,0,SUM($AJ$20:$AJ47))</f>
        <v>-55483142.313514784</v>
      </c>
      <c r="AN47" s="1104">
        <f>SUM($AK$20:$AK47)</f>
        <v>0</v>
      </c>
      <c r="AO47" s="1105">
        <f t="shared" si="28"/>
        <v>7735472.8889854047</v>
      </c>
      <c r="AP47" s="1104"/>
      <c r="AQ47" s="347"/>
      <c r="AS47" s="347" t="s">
        <v>544</v>
      </c>
      <c r="AT47" s="1164" t="str">
        <f>'Sale - Refinance'!E10</f>
        <v>Yes</v>
      </c>
      <c r="AU47" s="345"/>
      <c r="AV47" s="1111" t="s">
        <v>535</v>
      </c>
      <c r="AW47" s="1149">
        <v>0</v>
      </c>
      <c r="AX47" s="1147"/>
      <c r="AY47" s="1092"/>
      <c r="AZ47" s="1138">
        <f t="shared" si="36"/>
        <v>20</v>
      </c>
      <c r="BA47" s="526">
        <f t="shared" si="32"/>
        <v>0.87</v>
      </c>
      <c r="BB47" s="1139">
        <f t="shared" si="33"/>
        <v>40441950</v>
      </c>
      <c r="BC47" s="527">
        <f t="shared" si="41"/>
        <v>1859400</v>
      </c>
      <c r="BD47" s="527">
        <f t="shared" si="42"/>
        <v>7930000</v>
      </c>
      <c r="BE47" s="1140">
        <f t="shared" si="37"/>
        <v>44067780</v>
      </c>
      <c r="BF47" s="527">
        <f t="shared" si="38"/>
        <v>1487520</v>
      </c>
      <c r="BG47" s="527">
        <f t="shared" si="43"/>
        <v>3890000</v>
      </c>
      <c r="BH47" s="1140">
        <f t="shared" si="34"/>
        <v>45583190.999999993</v>
      </c>
      <c r="BI47" s="527">
        <f t="shared" si="39"/>
        <v>18593.999999992549</v>
      </c>
      <c r="BJ47" s="527">
        <f t="shared" si="44"/>
        <v>920000</v>
      </c>
      <c r="BK47" s="1140">
        <f t="shared" si="35"/>
        <v>44811540</v>
      </c>
      <c r="BL47" s="527">
        <f t="shared" si="40"/>
        <v>743760</v>
      </c>
      <c r="BM47" s="1141">
        <f t="shared" si="47"/>
        <v>2420000</v>
      </c>
      <c r="BN47" s="1137"/>
      <c r="BO47" s="447">
        <f t="shared" si="45"/>
        <v>0.38000000000000006</v>
      </c>
      <c r="BP47" s="450">
        <f>BP46+0.022</f>
        <v>0.25800000000000001</v>
      </c>
      <c r="BQ47" s="450">
        <f t="shared" si="49"/>
        <v>0.39200000000000013</v>
      </c>
      <c r="BR47" s="449">
        <f>BR46+0.016</f>
        <v>0.16400000000000003</v>
      </c>
    </row>
    <row r="48" spans="2:70" s="278" customFormat="1" ht="12" customHeight="1" x14ac:dyDescent="0.25">
      <c r="B48" s="1108">
        <f>IF(C48&lt;'Financing Assumptions'!$G$25,0,IF(C48='Financing Assumptions'!$G$25,1,IF(C48&gt;'Financing Assumptions'!$G$25,B47+1)))</f>
        <v>29</v>
      </c>
      <c r="C48" s="1109">
        <f t="shared" si="17"/>
        <v>31</v>
      </c>
      <c r="D48" s="732">
        <f t="shared" si="6"/>
        <v>31</v>
      </c>
      <c r="E48" s="35">
        <f t="shared" si="7"/>
        <v>8</v>
      </c>
      <c r="F48" s="889">
        <f t="shared" si="25"/>
        <v>46996</v>
      </c>
      <c r="G48" s="822">
        <f t="shared" si="8"/>
        <v>8</v>
      </c>
      <c r="H48" s="126">
        <f t="shared" si="0"/>
        <v>0</v>
      </c>
      <c r="I48" s="1098">
        <f t="shared" si="26"/>
        <v>0</v>
      </c>
      <c r="J48" s="887">
        <f t="shared" si="18"/>
        <v>29</v>
      </c>
      <c r="K48" s="1099">
        <f t="shared" si="9"/>
        <v>3</v>
      </c>
      <c r="L48" s="891" t="str">
        <f t="shared" si="19"/>
        <v>August</v>
      </c>
      <c r="M48" s="888">
        <f t="shared" si="20"/>
        <v>2028</v>
      </c>
      <c r="N48" s="1284">
        <f t="shared" si="31"/>
        <v>0</v>
      </c>
      <c r="O48" s="1284">
        <f t="shared" si="21"/>
        <v>0</v>
      </c>
      <c r="P48" s="883">
        <f t="shared" si="22"/>
        <v>46485000</v>
      </c>
      <c r="Q48" s="883">
        <f t="shared" si="10"/>
        <v>-235653.12499999997</v>
      </c>
      <c r="R48" s="1100"/>
      <c r="S48" s="883">
        <f t="shared" si="1"/>
        <v>0</v>
      </c>
      <c r="T48" s="884">
        <f t="shared" si="29"/>
        <v>-235653.12499999997</v>
      </c>
      <c r="U48" s="884">
        <f>IF(AND($AU$43="Early Payoff",J48&gt;$U$15),0,IF($J48&lt;=$U$8,SUM($S$20:$S48),0))</f>
        <v>0</v>
      </c>
      <c r="V48" s="884">
        <f>IF(AND($AU$43="Early Payoff",J48&gt;$U$15),0,IF($J48&lt;=$U$8,SUM($T$20:$T48),0))</f>
        <v>-3900059.21875</v>
      </c>
      <c r="W48" s="885">
        <f t="shared" si="11"/>
        <v>46485000</v>
      </c>
      <c r="X48" s="1110">
        <f t="shared" si="23"/>
        <v>46485000</v>
      </c>
      <c r="Z48" s="1102">
        <f t="shared" si="2"/>
        <v>0</v>
      </c>
      <c r="AA48" s="873">
        <f t="shared" si="3"/>
        <v>0</v>
      </c>
      <c r="AB48" s="873">
        <f t="shared" si="4"/>
        <v>0</v>
      </c>
      <c r="AC48" s="885">
        <f t="shared" si="5"/>
        <v>-235653.12499999997</v>
      </c>
      <c r="AE48" s="355">
        <f t="shared" si="51"/>
        <v>28</v>
      </c>
      <c r="AF48" s="1103">
        <f t="shared" si="51"/>
        <v>2054</v>
      </c>
      <c r="AG48" s="1104">
        <f t="shared" si="12"/>
        <v>7735472.888985401</v>
      </c>
      <c r="AH48" s="1104">
        <f t="shared" si="13"/>
        <v>-3687334.5209553731</v>
      </c>
      <c r="AI48" s="1104">
        <f t="shared" si="14"/>
        <v>-3307982.4566280302</v>
      </c>
      <c r="AJ48" s="1104">
        <f t="shared" si="15"/>
        <v>-379352.06432734249</v>
      </c>
      <c r="AK48" s="1104">
        <f t="shared" si="16"/>
        <v>0</v>
      </c>
      <c r="AL48" s="1104">
        <f>IF($AG48=0,0,SUM($AI$20:$AI48))</f>
        <v>-42057509.567642622</v>
      </c>
      <c r="AM48" s="1104">
        <f>IF($AG48=0,0,SUM($AJ$20:$AJ48))</f>
        <v>-55862494.377842128</v>
      </c>
      <c r="AN48" s="1104">
        <f>SUM($AK$20:$AK48)</f>
        <v>0</v>
      </c>
      <c r="AO48" s="1105">
        <f t="shared" si="28"/>
        <v>4427490.4323573709</v>
      </c>
      <c r="AP48" s="1104"/>
      <c r="AQ48" s="347"/>
      <c r="AS48" s="347" t="s">
        <v>545</v>
      </c>
      <c r="AT48" s="1165">
        <f>'Sale - Refinance'!E11</f>
        <v>2032</v>
      </c>
      <c r="AU48" s="345"/>
      <c r="AV48" s="1145" t="s">
        <v>423</v>
      </c>
      <c r="AW48" s="1150">
        <v>1</v>
      </c>
      <c r="AX48" s="1147"/>
      <c r="AY48" s="1092"/>
      <c r="AZ48" s="1138">
        <f t="shared" si="36"/>
        <v>21</v>
      </c>
      <c r="BA48" s="526">
        <f t="shared" si="32"/>
        <v>0.91</v>
      </c>
      <c r="BB48" s="1139">
        <f t="shared" si="33"/>
        <v>42301350</v>
      </c>
      <c r="BC48" s="527">
        <f t="shared" si="41"/>
        <v>1859400</v>
      </c>
      <c r="BD48" s="527">
        <f t="shared" si="42"/>
        <v>6070000</v>
      </c>
      <c r="BE48" s="1140">
        <f t="shared" si="37"/>
        <v>45555300</v>
      </c>
      <c r="BF48" s="527">
        <f t="shared" si="38"/>
        <v>1487520</v>
      </c>
      <c r="BG48" s="527">
        <f t="shared" si="43"/>
        <v>2400000</v>
      </c>
      <c r="BH48" s="1140">
        <f t="shared" si="34"/>
        <v>46020150</v>
      </c>
      <c r="BI48" s="527">
        <f t="shared" si="39"/>
        <v>436959.00000000745</v>
      </c>
      <c r="BJ48" s="527">
        <f t="shared" si="44"/>
        <v>900000</v>
      </c>
      <c r="BK48" s="1140">
        <f t="shared" si="35"/>
        <v>45555300</v>
      </c>
      <c r="BL48" s="527">
        <f t="shared" si="40"/>
        <v>743760</v>
      </c>
      <c r="BM48" s="1141">
        <f t="shared" si="47"/>
        <v>1680000</v>
      </c>
      <c r="BN48" s="1137"/>
      <c r="BO48" s="447">
        <f t="shared" si="45"/>
        <v>0.40000000000000008</v>
      </c>
      <c r="BP48" s="450">
        <v>0.28000000000000003</v>
      </c>
      <c r="BQ48" s="450">
        <v>0.42</v>
      </c>
      <c r="BR48" s="449">
        <v>0.18</v>
      </c>
    </row>
    <row r="49" spans="1:70" s="278" customFormat="1" ht="12" customHeight="1" x14ac:dyDescent="0.25">
      <c r="B49" s="1108">
        <f>IF(C49&lt;'Financing Assumptions'!$G$25,0,IF(C49='Financing Assumptions'!$G$25,1,IF(C49&gt;'Financing Assumptions'!$G$25,B48+1)))</f>
        <v>30</v>
      </c>
      <c r="C49" s="1109">
        <f t="shared" si="17"/>
        <v>32</v>
      </c>
      <c r="D49" s="732">
        <f t="shared" si="6"/>
        <v>30</v>
      </c>
      <c r="E49" s="35">
        <f t="shared" si="7"/>
        <v>9</v>
      </c>
      <c r="F49" s="889">
        <f t="shared" si="25"/>
        <v>47026</v>
      </c>
      <c r="G49" s="822">
        <f t="shared" si="8"/>
        <v>9</v>
      </c>
      <c r="H49" s="126">
        <f t="shared" si="0"/>
        <v>0</v>
      </c>
      <c r="I49" s="1098">
        <f t="shared" si="26"/>
        <v>0</v>
      </c>
      <c r="J49" s="887">
        <f t="shared" si="18"/>
        <v>30</v>
      </c>
      <c r="K49" s="1099">
        <f t="shared" si="9"/>
        <v>4</v>
      </c>
      <c r="L49" s="891" t="str">
        <f t="shared" si="19"/>
        <v>September</v>
      </c>
      <c r="M49" s="888">
        <f t="shared" si="20"/>
        <v>2028</v>
      </c>
      <c r="N49" s="1284">
        <f t="shared" si="31"/>
        <v>0</v>
      </c>
      <c r="O49" s="1284">
        <f t="shared" si="21"/>
        <v>0</v>
      </c>
      <c r="P49" s="883">
        <f t="shared" si="22"/>
        <v>46485000</v>
      </c>
      <c r="Q49" s="883">
        <f t="shared" si="10"/>
        <v>-235653.12499999997</v>
      </c>
      <c r="R49" s="1100"/>
      <c r="S49" s="883">
        <f t="shared" si="1"/>
        <v>0</v>
      </c>
      <c r="T49" s="884">
        <f t="shared" si="29"/>
        <v>-235653.12499999997</v>
      </c>
      <c r="U49" s="884">
        <f>IF(AND($AU$43="Early Payoff",J49&gt;$U$15),0,IF($J49&lt;=$U$8,SUM($S$20:$S49),0))</f>
        <v>0</v>
      </c>
      <c r="V49" s="884">
        <f>IF(AND($AU$43="Early Payoff",J49&gt;$U$15),0,IF($J49&lt;=$U$8,SUM($T$20:$T49),0))</f>
        <v>-4135712.34375</v>
      </c>
      <c r="W49" s="885">
        <f t="shared" si="11"/>
        <v>46485000</v>
      </c>
      <c r="X49" s="1110">
        <f t="shared" si="23"/>
        <v>46485000</v>
      </c>
      <c r="Z49" s="1102">
        <f t="shared" si="2"/>
        <v>0</v>
      </c>
      <c r="AA49" s="873">
        <f t="shared" si="3"/>
        <v>0</v>
      </c>
      <c r="AB49" s="873">
        <f t="shared" si="4"/>
        <v>0</v>
      </c>
      <c r="AC49" s="885">
        <f t="shared" si="5"/>
        <v>-235653.12499999997</v>
      </c>
      <c r="AE49" s="1151">
        <f t="shared" si="51"/>
        <v>29</v>
      </c>
      <c r="AF49" s="1152">
        <f t="shared" si="51"/>
        <v>2055</v>
      </c>
      <c r="AG49" s="1153">
        <f t="shared" si="12"/>
        <v>4427490.4323573699</v>
      </c>
      <c r="AH49" s="1153">
        <f t="shared" si="13"/>
        <v>-3687334.5209553731</v>
      </c>
      <c r="AI49" s="1153">
        <f t="shared" si="14"/>
        <v>-3514924.7989615733</v>
      </c>
      <c r="AJ49" s="1153">
        <f t="shared" si="15"/>
        <v>-172409.72199379964</v>
      </c>
      <c r="AK49" s="1153">
        <f t="shared" si="16"/>
        <v>0</v>
      </c>
      <c r="AL49" s="1153">
        <f>IF($AG49=0,0,SUM($AI$20:$AI49))</f>
        <v>-45572434.366604194</v>
      </c>
      <c r="AM49" s="1153">
        <f>IF($AG49=0,0,SUM($AJ$20:$AJ49))</f>
        <v>-56034904.099835925</v>
      </c>
      <c r="AN49" s="1153">
        <f>SUM($AK$20:$AK49)</f>
        <v>0</v>
      </c>
      <c r="AO49" s="1154">
        <f t="shared" si="28"/>
        <v>912565.63339579664</v>
      </c>
      <c r="AP49" s="1154"/>
      <c r="AQ49" s="347"/>
      <c r="AS49" s="347" t="s">
        <v>267</v>
      </c>
      <c r="AT49" s="1164" t="str">
        <f>'Sale - Refinance'!E12</f>
        <v>December</v>
      </c>
      <c r="AU49" s="345">
        <f>INDEX(AV22:AW34,MATCH(AT49,AV22:AV34,0),MATCH("Number",AV22:AW22,0))</f>
        <v>12</v>
      </c>
      <c r="AV49" s="1093"/>
      <c r="AW49" s="1092"/>
      <c r="AX49" s="1147"/>
      <c r="AY49" s="1092"/>
      <c r="AZ49" s="1138">
        <f t="shared" si="36"/>
        <v>22</v>
      </c>
      <c r="BA49" s="526">
        <f t="shared" si="32"/>
        <v>0.96</v>
      </c>
      <c r="BB49" s="1139">
        <f t="shared" si="33"/>
        <v>44625600</v>
      </c>
      <c r="BC49" s="527">
        <f t="shared" si="41"/>
        <v>2324250</v>
      </c>
      <c r="BD49" s="527">
        <f t="shared" si="42"/>
        <v>4210000</v>
      </c>
      <c r="BE49" s="1140">
        <f t="shared" si="37"/>
        <v>46020150</v>
      </c>
      <c r="BF49" s="527">
        <f t="shared" si="38"/>
        <v>464850</v>
      </c>
      <c r="BG49" s="527">
        <f t="shared" si="43"/>
        <v>910000</v>
      </c>
      <c r="BH49" s="1140">
        <f t="shared" si="34"/>
        <v>46043392.5</v>
      </c>
      <c r="BI49" s="527">
        <f t="shared" si="39"/>
        <v>23242.5</v>
      </c>
      <c r="BJ49" s="527">
        <f t="shared" si="44"/>
        <v>460000</v>
      </c>
      <c r="BK49" s="1140">
        <f t="shared" si="35"/>
        <v>46020150</v>
      </c>
      <c r="BL49" s="527">
        <f t="shared" si="40"/>
        <v>464850</v>
      </c>
      <c r="BM49" s="1141">
        <f>IF(BL48="","",ROUND(BM48-BL48,-4))</f>
        <v>940000</v>
      </c>
      <c r="BN49" s="1137"/>
      <c r="BO49" s="447">
        <f t="shared" si="45"/>
        <v>0.4200000000000001</v>
      </c>
      <c r="BP49" s="450">
        <f>BP48+0.042</f>
        <v>0.32200000000000001</v>
      </c>
      <c r="BQ49" s="450">
        <f>BQ48+0.038</f>
        <v>0.45799999999999996</v>
      </c>
      <c r="BR49" s="449">
        <f>BR48+0.024</f>
        <v>0.20399999999999999</v>
      </c>
    </row>
    <row r="50" spans="1:70" s="278" customFormat="1" ht="12" customHeight="1" x14ac:dyDescent="0.25">
      <c r="B50" s="1108">
        <f>IF(C50&lt;'Financing Assumptions'!$G$25,0,IF(C50='Financing Assumptions'!$G$25,1,IF(C50&gt;'Financing Assumptions'!$G$25,B49+1)))</f>
        <v>31</v>
      </c>
      <c r="C50" s="1109">
        <f t="shared" si="17"/>
        <v>33</v>
      </c>
      <c r="D50" s="732">
        <f t="shared" si="6"/>
        <v>31</v>
      </c>
      <c r="E50" s="35">
        <f t="shared" si="7"/>
        <v>10</v>
      </c>
      <c r="F50" s="889">
        <f t="shared" si="25"/>
        <v>47057</v>
      </c>
      <c r="G50" s="822">
        <f t="shared" si="8"/>
        <v>10</v>
      </c>
      <c r="H50" s="126">
        <f t="shared" si="0"/>
        <v>0</v>
      </c>
      <c r="I50" s="1098">
        <f t="shared" si="26"/>
        <v>0</v>
      </c>
      <c r="J50" s="887">
        <f t="shared" si="18"/>
        <v>31</v>
      </c>
      <c r="K50" s="1099">
        <f t="shared" si="9"/>
        <v>5</v>
      </c>
      <c r="L50" s="891" t="str">
        <f t="shared" si="19"/>
        <v>October</v>
      </c>
      <c r="M50" s="888">
        <f t="shared" si="20"/>
        <v>2028</v>
      </c>
      <c r="N50" s="1284">
        <f t="shared" si="31"/>
        <v>0</v>
      </c>
      <c r="O50" s="1284">
        <f t="shared" si="21"/>
        <v>0</v>
      </c>
      <c r="P50" s="883">
        <f t="shared" si="22"/>
        <v>46485000</v>
      </c>
      <c r="Q50" s="883">
        <f t="shared" si="10"/>
        <v>-235653.12499999997</v>
      </c>
      <c r="R50" s="1100"/>
      <c r="S50" s="883">
        <f t="shared" si="1"/>
        <v>0</v>
      </c>
      <c r="T50" s="884">
        <f t="shared" si="29"/>
        <v>-235653.12499999997</v>
      </c>
      <c r="U50" s="884">
        <f>IF(AND($AU$43="Early Payoff",J50&gt;$U$15),0,IF($J50&lt;=$U$8,SUM($S$20:$S50),0))</f>
        <v>0</v>
      </c>
      <c r="V50" s="884">
        <f>IF(AND($AU$43="Early Payoff",J50&gt;$U$15),0,IF($J50&lt;=$U$8,SUM($T$20:$T50),0))</f>
        <v>-4371365.46875</v>
      </c>
      <c r="W50" s="885">
        <f t="shared" si="11"/>
        <v>46485000</v>
      </c>
      <c r="X50" s="1110">
        <f t="shared" si="23"/>
        <v>46485000</v>
      </c>
      <c r="Z50" s="1102">
        <f t="shared" si="2"/>
        <v>0</v>
      </c>
      <c r="AA50" s="873">
        <f t="shared" si="3"/>
        <v>0</v>
      </c>
      <c r="AB50" s="873">
        <f t="shared" si="4"/>
        <v>0</v>
      </c>
      <c r="AC50" s="885">
        <f t="shared" si="5"/>
        <v>-235653.12499999997</v>
      </c>
      <c r="AE50" s="360"/>
      <c r="AF50" s="360"/>
      <c r="AG50" s="360"/>
      <c r="AH50" s="360"/>
      <c r="AI50" s="360"/>
      <c r="AJ50" s="360"/>
      <c r="AK50" s="360"/>
      <c r="AL50" s="360"/>
      <c r="AM50" s="360"/>
      <c r="AN50" s="360"/>
      <c r="AO50" s="360"/>
      <c r="AP50" s="360"/>
      <c r="AS50" s="347" t="s">
        <v>268</v>
      </c>
      <c r="AT50" s="1118">
        <f>EOMONTH(DATE(AT48,INDEX($AV$22:$AW$34,MATCH($AT$49,$AV$22:$AV$34,0),MATCH("Number",$AV$22:$AW$22,0)),1),0)</f>
        <v>48579</v>
      </c>
      <c r="AU50" s="345"/>
      <c r="AV50" s="1093"/>
      <c r="AW50" s="1092"/>
      <c r="AX50" s="1147"/>
      <c r="AY50" s="1092"/>
      <c r="AZ50" s="1138">
        <f t="shared" si="36"/>
        <v>23</v>
      </c>
      <c r="BA50" s="526">
        <f t="shared" si="32"/>
        <v>1</v>
      </c>
      <c r="BB50" s="1139">
        <f t="shared" si="33"/>
        <v>46485000</v>
      </c>
      <c r="BC50" s="527">
        <f t="shared" si="41"/>
        <v>1859400</v>
      </c>
      <c r="BD50" s="527">
        <f>IF(BC49="","",ROUND(BD49-BC49,-4))</f>
        <v>1890000</v>
      </c>
      <c r="BE50" s="1140">
        <f t="shared" si="37"/>
        <v>46485000</v>
      </c>
      <c r="BF50" s="527">
        <f t="shared" si="38"/>
        <v>464850</v>
      </c>
      <c r="BG50" s="527">
        <f t="shared" si="43"/>
        <v>450000</v>
      </c>
      <c r="BH50" s="1140">
        <f t="shared" si="34"/>
        <v>46485000</v>
      </c>
      <c r="BI50" s="527">
        <f t="shared" si="39"/>
        <v>441607.5</v>
      </c>
      <c r="BJ50" s="527">
        <f t="shared" si="44"/>
        <v>440000</v>
      </c>
      <c r="BK50" s="1140">
        <f t="shared" si="35"/>
        <v>46485000</v>
      </c>
      <c r="BL50" s="527">
        <f t="shared" si="40"/>
        <v>464850</v>
      </c>
      <c r="BM50" s="1141">
        <f>IF(BL49="","",ROUND(BM49-BL49,-4))</f>
        <v>480000</v>
      </c>
      <c r="BN50" s="1137"/>
      <c r="BO50" s="447">
        <f t="shared" si="45"/>
        <v>0.44000000000000011</v>
      </c>
      <c r="BP50" s="450">
        <f>BP49+0.042</f>
        <v>0.36399999999999999</v>
      </c>
      <c r="BQ50" s="450">
        <f>BQ49+0.038</f>
        <v>0.49599999999999994</v>
      </c>
      <c r="BR50" s="449">
        <f>BR49+0.024</f>
        <v>0.22799999999999998</v>
      </c>
    </row>
    <row r="51" spans="1:70" s="278" customFormat="1" ht="12" customHeight="1" x14ac:dyDescent="0.25">
      <c r="B51" s="1108">
        <f>IF(C51&lt;'Financing Assumptions'!$G$25,0,IF(C51='Financing Assumptions'!$G$25,1,IF(C51&gt;'Financing Assumptions'!$G$25,B50+1)))</f>
        <v>32</v>
      </c>
      <c r="C51" s="1109">
        <f t="shared" si="17"/>
        <v>34</v>
      </c>
      <c r="D51" s="732">
        <f t="shared" si="6"/>
        <v>30</v>
      </c>
      <c r="E51" s="35">
        <f t="shared" si="7"/>
        <v>11</v>
      </c>
      <c r="F51" s="889">
        <f t="shared" si="25"/>
        <v>47087</v>
      </c>
      <c r="G51" s="822">
        <f t="shared" si="8"/>
        <v>11</v>
      </c>
      <c r="H51" s="126">
        <f t="shared" si="0"/>
        <v>0</v>
      </c>
      <c r="I51" s="1098">
        <f t="shared" si="26"/>
        <v>0</v>
      </c>
      <c r="J51" s="887">
        <f t="shared" si="18"/>
        <v>32</v>
      </c>
      <c r="K51" s="1099">
        <f t="shared" si="9"/>
        <v>6</v>
      </c>
      <c r="L51" s="891" t="str">
        <f t="shared" si="19"/>
        <v>November</v>
      </c>
      <c r="M51" s="888">
        <f t="shared" si="20"/>
        <v>2028</v>
      </c>
      <c r="N51" s="1284">
        <f t="shared" si="31"/>
        <v>0</v>
      </c>
      <c r="O51" s="1284">
        <f t="shared" si="21"/>
        <v>0</v>
      </c>
      <c r="P51" s="883">
        <f t="shared" si="22"/>
        <v>46485000</v>
      </c>
      <c r="Q51" s="883">
        <f t="shared" si="10"/>
        <v>-235653.12499999997</v>
      </c>
      <c r="R51" s="1100"/>
      <c r="S51" s="883">
        <f t="shared" si="1"/>
        <v>0</v>
      </c>
      <c r="T51" s="884">
        <f t="shared" si="29"/>
        <v>-235653.12499999997</v>
      </c>
      <c r="U51" s="884">
        <f>IF(AND($AU$43="Early Payoff",J51&gt;$U$15),0,IF($J51&lt;=$U$8,SUM($S$20:$S51),0))</f>
        <v>0</v>
      </c>
      <c r="V51" s="884">
        <f>IF(AND($AU$43="Early Payoff",J51&gt;$U$15),0,IF($J51&lt;=$U$8,SUM($T$20:$T51),0))</f>
        <v>-4607018.59375</v>
      </c>
      <c r="W51" s="885">
        <f t="shared" si="11"/>
        <v>46485000</v>
      </c>
      <c r="X51" s="1110">
        <f t="shared" si="23"/>
        <v>46485000</v>
      </c>
      <c r="Z51" s="1102">
        <f t="shared" si="2"/>
        <v>0</v>
      </c>
      <c r="AA51" s="873">
        <f t="shared" si="3"/>
        <v>0</v>
      </c>
      <c r="AB51" s="873">
        <f t="shared" si="4"/>
        <v>0</v>
      </c>
      <c r="AC51" s="885">
        <f t="shared" si="5"/>
        <v>-235653.12499999997</v>
      </c>
      <c r="AS51" s="347"/>
      <c r="AT51" s="345"/>
      <c r="AU51" s="345"/>
      <c r="AV51" s="1093"/>
      <c r="AW51" s="1092"/>
      <c r="AX51" s="1147"/>
      <c r="AY51" s="1092"/>
      <c r="AZ51" s="1138" t="str">
        <f t="shared" si="36"/>
        <v/>
      </c>
      <c r="BA51" s="526" t="str">
        <f t="shared" si="32"/>
        <v/>
      </c>
      <c r="BB51" s="1139" t="str">
        <f t="shared" si="33"/>
        <v/>
      </c>
      <c r="BC51" s="527" t="str">
        <f t="shared" si="41"/>
        <v/>
      </c>
      <c r="BD51" s="527">
        <f t="shared" si="42"/>
        <v>30000</v>
      </c>
      <c r="BE51" s="1140" t="str">
        <f t="shared" si="37"/>
        <v/>
      </c>
      <c r="BF51" s="527" t="str">
        <f t="shared" si="38"/>
        <v/>
      </c>
      <c r="BG51" s="527">
        <f t="shared" si="43"/>
        <v>-10000</v>
      </c>
      <c r="BH51" s="1140" t="str">
        <f t="shared" si="34"/>
        <v/>
      </c>
      <c r="BI51" s="527" t="str">
        <f t="shared" si="39"/>
        <v/>
      </c>
      <c r="BJ51" s="527">
        <f t="shared" si="44"/>
        <v>0</v>
      </c>
      <c r="BK51" s="1140" t="str">
        <f t="shared" si="35"/>
        <v/>
      </c>
      <c r="BL51" s="527" t="str">
        <f t="shared" si="40"/>
        <v/>
      </c>
      <c r="BM51" s="1141">
        <f t="shared" si="47"/>
        <v>20000</v>
      </c>
      <c r="BN51" s="1137"/>
      <c r="BO51" s="447">
        <f t="shared" si="45"/>
        <v>0.46000000000000013</v>
      </c>
      <c r="BP51" s="450">
        <f>BP50+0.042</f>
        <v>0.40599999999999997</v>
      </c>
      <c r="BQ51" s="450">
        <f>BQ50+0.038</f>
        <v>0.53399999999999992</v>
      </c>
      <c r="BR51" s="449">
        <f>BR50+0.024</f>
        <v>0.252</v>
      </c>
    </row>
    <row r="52" spans="1:70" s="278" customFormat="1" ht="12" customHeight="1" x14ac:dyDescent="0.25">
      <c r="B52" s="1108">
        <f>IF(C52&lt;'Financing Assumptions'!$G$25,0,IF(C52='Financing Assumptions'!$G$25,1,IF(C52&gt;'Financing Assumptions'!$G$25,B51+1)))</f>
        <v>33</v>
      </c>
      <c r="C52" s="1109">
        <f t="shared" si="17"/>
        <v>35</v>
      </c>
      <c r="D52" s="732">
        <f t="shared" si="6"/>
        <v>31</v>
      </c>
      <c r="E52" s="35">
        <f t="shared" si="7"/>
        <v>12</v>
      </c>
      <c r="F52" s="889">
        <f t="shared" si="25"/>
        <v>47118</v>
      </c>
      <c r="G52" s="822">
        <f t="shared" si="8"/>
        <v>12</v>
      </c>
      <c r="H52" s="126">
        <f t="shared" si="0"/>
        <v>1</v>
      </c>
      <c r="I52" s="1098">
        <f t="shared" si="26"/>
        <v>0</v>
      </c>
      <c r="J52" s="887">
        <f t="shared" si="18"/>
        <v>33</v>
      </c>
      <c r="K52" s="1099">
        <f t="shared" si="9"/>
        <v>7</v>
      </c>
      <c r="L52" s="891" t="str">
        <f t="shared" si="19"/>
        <v>December</v>
      </c>
      <c r="M52" s="888">
        <f t="shared" si="20"/>
        <v>2028</v>
      </c>
      <c r="N52" s="1284">
        <f t="shared" si="31"/>
        <v>0</v>
      </c>
      <c r="O52" s="1284">
        <f t="shared" si="21"/>
        <v>0</v>
      </c>
      <c r="P52" s="883">
        <f t="shared" si="22"/>
        <v>46485000</v>
      </c>
      <c r="Q52" s="883">
        <f t="shared" si="10"/>
        <v>-235653.12499999997</v>
      </c>
      <c r="R52" s="1100"/>
      <c r="S52" s="883">
        <f t="shared" si="1"/>
        <v>0</v>
      </c>
      <c r="T52" s="884">
        <f t="shared" si="29"/>
        <v>-235653.12499999997</v>
      </c>
      <c r="U52" s="884">
        <f>IF(AND($AU$43="Early Payoff",J52&gt;$U$15),0,IF($J52&lt;=$U$8,SUM($S$20:$S52),0))</f>
        <v>0</v>
      </c>
      <c r="V52" s="884">
        <f>IF(AND($AU$43="Early Payoff",J52&gt;$U$15),0,IF($J52&lt;=$U$8,SUM($T$20:$T52),0))</f>
        <v>-4842671.71875</v>
      </c>
      <c r="W52" s="885">
        <f t="shared" si="11"/>
        <v>46485000</v>
      </c>
      <c r="X52" s="1110">
        <f t="shared" si="23"/>
        <v>46485000</v>
      </c>
      <c r="Z52" s="1102">
        <f t="shared" si="2"/>
        <v>0</v>
      </c>
      <c r="AA52" s="873">
        <f t="shared" si="3"/>
        <v>0</v>
      </c>
      <c r="AB52" s="873">
        <f t="shared" si="4"/>
        <v>0</v>
      </c>
      <c r="AC52" s="885">
        <f t="shared" si="5"/>
        <v>-235653.12499999997</v>
      </c>
      <c r="AS52" s="347" t="s">
        <v>546</v>
      </c>
      <c r="AT52" s="1176"/>
      <c r="AU52" s="345"/>
      <c r="AV52" s="1093"/>
      <c r="AW52" s="1092"/>
      <c r="AX52" s="1147"/>
      <c r="AY52" s="1092"/>
      <c r="AZ52" s="1138" t="str">
        <f t="shared" si="36"/>
        <v/>
      </c>
      <c r="BA52" s="526" t="str">
        <f t="shared" si="32"/>
        <v/>
      </c>
      <c r="BB52" s="1139" t="str">
        <f t="shared" si="33"/>
        <v/>
      </c>
      <c r="BC52" s="527" t="str">
        <f t="shared" si="41"/>
        <v/>
      </c>
      <c r="BD52" s="527" t="str">
        <f t="shared" si="42"/>
        <v/>
      </c>
      <c r="BE52" s="1140" t="str">
        <f t="shared" si="37"/>
        <v/>
      </c>
      <c r="BF52" s="527" t="str">
        <f t="shared" si="38"/>
        <v/>
      </c>
      <c r="BG52" s="527" t="str">
        <f t="shared" si="43"/>
        <v/>
      </c>
      <c r="BH52" s="1140" t="str">
        <f t="shared" si="34"/>
        <v/>
      </c>
      <c r="BI52" s="527" t="str">
        <f t="shared" si="39"/>
        <v/>
      </c>
      <c r="BJ52" s="527" t="str">
        <f t="shared" si="44"/>
        <v/>
      </c>
      <c r="BK52" s="1140" t="str">
        <f t="shared" si="35"/>
        <v/>
      </c>
      <c r="BL52" s="527" t="str">
        <f t="shared" si="40"/>
        <v/>
      </c>
      <c r="BM52" s="1141" t="str">
        <f t="shared" si="47"/>
        <v/>
      </c>
      <c r="BN52" s="1137"/>
      <c r="BO52" s="447">
        <f t="shared" si="45"/>
        <v>0.48000000000000015</v>
      </c>
      <c r="BP52" s="450">
        <f>BP51+0.042</f>
        <v>0.44799999999999995</v>
      </c>
      <c r="BQ52" s="450">
        <f>BQ51+0.038</f>
        <v>0.57199999999999995</v>
      </c>
      <c r="BR52" s="449">
        <f>BR51+0.024</f>
        <v>0.27600000000000002</v>
      </c>
    </row>
    <row r="53" spans="1:70" s="278" customFormat="1" ht="12" customHeight="1" x14ac:dyDescent="0.25">
      <c r="B53" s="1108">
        <f>IF(C53&lt;'Financing Assumptions'!$G$25,0,IF(C53='Financing Assumptions'!$G$25,1,IF(C53&gt;'Financing Assumptions'!$G$25,B52+1)))</f>
        <v>34</v>
      </c>
      <c r="C53" s="1109">
        <f t="shared" si="17"/>
        <v>36</v>
      </c>
      <c r="D53" s="732">
        <f t="shared" si="6"/>
        <v>31</v>
      </c>
      <c r="E53" s="35">
        <f t="shared" si="7"/>
        <v>1</v>
      </c>
      <c r="F53" s="889">
        <f t="shared" si="25"/>
        <v>47149</v>
      </c>
      <c r="G53" s="822">
        <f t="shared" si="8"/>
        <v>1</v>
      </c>
      <c r="H53" s="126">
        <f t="shared" si="0"/>
        <v>0</v>
      </c>
      <c r="I53" s="1098">
        <f t="shared" si="26"/>
        <v>0</v>
      </c>
      <c r="J53" s="887">
        <f t="shared" si="18"/>
        <v>34</v>
      </c>
      <c r="K53" s="1099">
        <f t="shared" si="9"/>
        <v>8</v>
      </c>
      <c r="L53" s="891" t="str">
        <f t="shared" si="19"/>
        <v>January</v>
      </c>
      <c r="M53" s="888">
        <f t="shared" si="20"/>
        <v>2029</v>
      </c>
      <c r="N53" s="1284">
        <f t="shared" si="31"/>
        <v>0</v>
      </c>
      <c r="O53" s="1284">
        <f t="shared" si="21"/>
        <v>0</v>
      </c>
      <c r="P53" s="883">
        <f t="shared" si="22"/>
        <v>46485000</v>
      </c>
      <c r="Q53" s="883">
        <f t="shared" si="10"/>
        <v>-235653.12499999997</v>
      </c>
      <c r="R53" s="1100"/>
      <c r="S53" s="883">
        <f t="shared" si="1"/>
        <v>0</v>
      </c>
      <c r="T53" s="884">
        <f t="shared" si="29"/>
        <v>-235653.12499999997</v>
      </c>
      <c r="U53" s="884">
        <f>IF(AND($AU$43="Early Payoff",J53&gt;$U$15),0,IF($J53&lt;=$U$8,SUM($S$20:$S53),0))</f>
        <v>0</v>
      </c>
      <c r="V53" s="884">
        <f>IF(AND($AU$43="Early Payoff",J53&gt;$U$15),0,IF($J53&lt;=$U$8,SUM($T$20:$T53),0))</f>
        <v>-5078324.84375</v>
      </c>
      <c r="W53" s="885">
        <f t="shared" si="11"/>
        <v>46485000</v>
      </c>
      <c r="X53" s="1110">
        <f t="shared" si="23"/>
        <v>46485000</v>
      </c>
      <c r="Z53" s="1102">
        <f t="shared" si="2"/>
        <v>0</v>
      </c>
      <c r="AA53" s="873">
        <f t="shared" si="3"/>
        <v>0</v>
      </c>
      <c r="AB53" s="873">
        <f t="shared" si="4"/>
        <v>0</v>
      </c>
      <c r="AC53" s="885">
        <f t="shared" si="5"/>
        <v>-235653.12499999997</v>
      </c>
      <c r="AS53" s="379" t="s">
        <v>547</v>
      </c>
      <c r="AT53" s="1177"/>
      <c r="AU53" s="342"/>
      <c r="AV53" s="1166"/>
      <c r="AW53" s="1167"/>
      <c r="AX53" s="1168"/>
      <c r="AY53" s="1092"/>
      <c r="AZ53" s="1138" t="str">
        <f t="shared" si="36"/>
        <v/>
      </c>
      <c r="BA53" s="526" t="str">
        <f t="shared" si="32"/>
        <v/>
      </c>
      <c r="BB53" s="1139" t="str">
        <f t="shared" si="33"/>
        <v/>
      </c>
      <c r="BC53" s="527" t="str">
        <f t="shared" si="41"/>
        <v/>
      </c>
      <c r="BD53" s="527" t="str">
        <f t="shared" si="42"/>
        <v/>
      </c>
      <c r="BE53" s="1140" t="str">
        <f t="shared" si="37"/>
        <v/>
      </c>
      <c r="BF53" s="527" t="str">
        <f t="shared" si="38"/>
        <v/>
      </c>
      <c r="BG53" s="527" t="str">
        <f t="shared" si="43"/>
        <v/>
      </c>
      <c r="BH53" s="1140" t="str">
        <f t="shared" si="34"/>
        <v/>
      </c>
      <c r="BI53" s="527" t="str">
        <f t="shared" si="39"/>
        <v/>
      </c>
      <c r="BJ53" s="527" t="str">
        <f t="shared" si="44"/>
        <v/>
      </c>
      <c r="BK53" s="1140" t="str">
        <f t="shared" si="35"/>
        <v/>
      </c>
      <c r="BL53" s="527" t="str">
        <f t="shared" si="40"/>
        <v/>
      </c>
      <c r="BM53" s="1141" t="str">
        <f t="shared" si="47"/>
        <v/>
      </c>
      <c r="BN53" s="1155"/>
      <c r="BO53" s="447">
        <f t="shared" si="45"/>
        <v>0.50000000000000011</v>
      </c>
      <c r="BP53" s="450">
        <v>0.49</v>
      </c>
      <c r="BQ53" s="450">
        <v>0.61</v>
      </c>
      <c r="BR53" s="449">
        <v>0.3</v>
      </c>
    </row>
    <row r="54" spans="1:70" s="278" customFormat="1" ht="12" customHeight="1" x14ac:dyDescent="0.25">
      <c r="A54" s="880"/>
      <c r="B54" s="1108">
        <f>IF(C54&lt;'Financing Assumptions'!$G$25,0,IF(C54='Financing Assumptions'!$G$25,1,IF(C54&gt;'Financing Assumptions'!$G$25,B53+1)))</f>
        <v>35</v>
      </c>
      <c r="C54" s="1109">
        <f t="shared" si="17"/>
        <v>37</v>
      </c>
      <c r="D54" s="732">
        <f t="shared" si="6"/>
        <v>28</v>
      </c>
      <c r="E54" s="35">
        <f t="shared" si="7"/>
        <v>2</v>
      </c>
      <c r="F54" s="889">
        <f t="shared" si="25"/>
        <v>47177</v>
      </c>
      <c r="G54" s="822">
        <f t="shared" si="8"/>
        <v>2</v>
      </c>
      <c r="H54" s="126">
        <f t="shared" si="0"/>
        <v>0</v>
      </c>
      <c r="I54" s="1098">
        <f t="shared" si="26"/>
        <v>0</v>
      </c>
      <c r="J54" s="887">
        <f t="shared" si="18"/>
        <v>35</v>
      </c>
      <c r="K54" s="1099">
        <f t="shared" si="9"/>
        <v>9</v>
      </c>
      <c r="L54" s="891" t="str">
        <f t="shared" si="19"/>
        <v>February</v>
      </c>
      <c r="M54" s="888">
        <f t="shared" si="20"/>
        <v>2029</v>
      </c>
      <c r="N54" s="1284">
        <f t="shared" si="31"/>
        <v>0</v>
      </c>
      <c r="O54" s="1284">
        <f t="shared" si="21"/>
        <v>0</v>
      </c>
      <c r="P54" s="883">
        <f t="shared" si="22"/>
        <v>46485000</v>
      </c>
      <c r="Q54" s="883">
        <f t="shared" si="10"/>
        <v>-235653.12499999997</v>
      </c>
      <c r="R54" s="1100"/>
      <c r="S54" s="883">
        <f t="shared" si="1"/>
        <v>0</v>
      </c>
      <c r="T54" s="884">
        <f t="shared" si="29"/>
        <v>-235653.12499999997</v>
      </c>
      <c r="U54" s="884">
        <f>IF(AND($AU$43="Early Payoff",J54&gt;$U$15),0,IF($J54&lt;=$U$8,SUM($S$20:$S54),0))</f>
        <v>0</v>
      </c>
      <c r="V54" s="884">
        <f>IF(AND($AU$43="Early Payoff",J54&gt;$U$15),0,IF($J54&lt;=$U$8,SUM($T$20:$T54),0))</f>
        <v>-5313977.96875</v>
      </c>
      <c r="W54" s="885">
        <f t="shared" si="11"/>
        <v>46485000</v>
      </c>
      <c r="X54" s="1110">
        <f t="shared" si="23"/>
        <v>46485000</v>
      </c>
      <c r="Z54" s="1102">
        <f t="shared" si="2"/>
        <v>0</v>
      </c>
      <c r="AA54" s="873">
        <f t="shared" si="3"/>
        <v>0</v>
      </c>
      <c r="AB54" s="873">
        <f t="shared" si="4"/>
        <v>0</v>
      </c>
      <c r="AC54" s="885">
        <f t="shared" si="5"/>
        <v>-235653.12499999997</v>
      </c>
      <c r="AV54" s="1093"/>
      <c r="AW54" s="1092"/>
      <c r="AX54" s="1092"/>
      <c r="AY54" s="1092"/>
      <c r="AZ54" s="1138" t="str">
        <f t="shared" si="36"/>
        <v/>
      </c>
      <c r="BA54" s="526" t="str">
        <f t="shared" si="32"/>
        <v/>
      </c>
      <c r="BB54" s="1139" t="str">
        <f t="shared" si="33"/>
        <v/>
      </c>
      <c r="BC54" s="527" t="str">
        <f t="shared" si="41"/>
        <v/>
      </c>
      <c r="BD54" s="527" t="str">
        <f t="shared" si="42"/>
        <v/>
      </c>
      <c r="BE54" s="1140" t="str">
        <f t="shared" si="37"/>
        <v/>
      </c>
      <c r="BF54" s="527" t="str">
        <f t="shared" si="38"/>
        <v/>
      </c>
      <c r="BG54" s="527" t="str">
        <f t="shared" si="43"/>
        <v/>
      </c>
      <c r="BH54" s="1140" t="str">
        <f t="shared" si="34"/>
        <v/>
      </c>
      <c r="BI54" s="527" t="str">
        <f t="shared" si="39"/>
        <v/>
      </c>
      <c r="BJ54" s="527" t="str">
        <f t="shared" si="44"/>
        <v/>
      </c>
      <c r="BK54" s="1140" t="str">
        <f t="shared" si="35"/>
        <v/>
      </c>
      <c r="BL54" s="527" t="str">
        <f t="shared" si="40"/>
        <v/>
      </c>
      <c r="BM54" s="1141" t="str">
        <f t="shared" si="47"/>
        <v/>
      </c>
      <c r="BN54" s="1155"/>
      <c r="BO54" s="447">
        <f t="shared" si="45"/>
        <v>0.52000000000000013</v>
      </c>
      <c r="BP54" s="450">
        <f>BP53+0.036</f>
        <v>0.52600000000000002</v>
      </c>
      <c r="BQ54" s="450">
        <f>BQ53+0.036</f>
        <v>0.64600000000000002</v>
      </c>
      <c r="BR54" s="449">
        <f>BR53+0.04</f>
        <v>0.33999999999999997</v>
      </c>
    </row>
    <row r="55" spans="1:70" s="278" customFormat="1" ht="12" customHeight="1" x14ac:dyDescent="0.25">
      <c r="A55" s="880"/>
      <c r="B55" s="1108">
        <f>IF(C55&lt;'Financing Assumptions'!$G$25,0,IF(C55='Financing Assumptions'!$G$25,1,IF(C55&gt;'Financing Assumptions'!$G$25,B54+1)))</f>
        <v>36</v>
      </c>
      <c r="C55" s="1109">
        <f t="shared" si="17"/>
        <v>38</v>
      </c>
      <c r="D55" s="732">
        <f t="shared" si="6"/>
        <v>31</v>
      </c>
      <c r="E55" s="35">
        <f t="shared" si="7"/>
        <v>3</v>
      </c>
      <c r="F55" s="889">
        <f t="shared" si="25"/>
        <v>47208</v>
      </c>
      <c r="G55" s="822">
        <f t="shared" si="8"/>
        <v>3</v>
      </c>
      <c r="H55" s="126">
        <f t="shared" si="0"/>
        <v>0</v>
      </c>
      <c r="I55" s="1098">
        <f t="shared" si="26"/>
        <v>0</v>
      </c>
      <c r="J55" s="887">
        <f t="shared" si="18"/>
        <v>36</v>
      </c>
      <c r="K55" s="1099">
        <f t="shared" si="9"/>
        <v>10</v>
      </c>
      <c r="L55" s="891" t="str">
        <f t="shared" si="19"/>
        <v>March</v>
      </c>
      <c r="M55" s="888">
        <f t="shared" si="20"/>
        <v>2029</v>
      </c>
      <c r="N55" s="1284">
        <f t="shared" si="31"/>
        <v>0</v>
      </c>
      <c r="O55" s="1284">
        <f t="shared" si="21"/>
        <v>0</v>
      </c>
      <c r="P55" s="883">
        <f t="shared" si="22"/>
        <v>46485000</v>
      </c>
      <c r="Q55" s="883">
        <f t="shared" si="10"/>
        <v>-235653.12499999997</v>
      </c>
      <c r="R55" s="1100"/>
      <c r="S55" s="883">
        <f t="shared" si="1"/>
        <v>0</v>
      </c>
      <c r="T55" s="884">
        <f t="shared" si="29"/>
        <v>-235653.12499999997</v>
      </c>
      <c r="U55" s="884">
        <f>IF(AND($AU$43="Early Payoff",J55&gt;$U$15),0,IF($J55&lt;=$U$8,SUM($S$20:$S55),0))</f>
        <v>0</v>
      </c>
      <c r="V55" s="884">
        <f>IF(AND($AU$43="Early Payoff",J55&gt;$U$15),0,IF($J55&lt;=$U$8,SUM($T$20:$T55),0))</f>
        <v>-5549631.09375</v>
      </c>
      <c r="W55" s="885">
        <f t="shared" si="11"/>
        <v>46485000</v>
      </c>
      <c r="X55" s="1110">
        <f t="shared" si="23"/>
        <v>46485000</v>
      </c>
      <c r="Z55" s="1102">
        <f t="shared" si="2"/>
        <v>0</v>
      </c>
      <c r="AA55" s="873">
        <f t="shared" si="3"/>
        <v>0</v>
      </c>
      <c r="AB55" s="873">
        <f t="shared" si="4"/>
        <v>0</v>
      </c>
      <c r="AC55" s="885">
        <f t="shared" si="5"/>
        <v>-235653.12499999997</v>
      </c>
      <c r="AV55" s="1093"/>
      <c r="AW55" s="1092"/>
      <c r="AX55" s="1092"/>
      <c r="AY55" s="1092"/>
      <c r="AZ55" s="1138" t="str">
        <f t="shared" si="36"/>
        <v/>
      </c>
      <c r="BA55" s="526" t="str">
        <f t="shared" si="32"/>
        <v/>
      </c>
      <c r="BB55" s="1139" t="str">
        <f t="shared" si="33"/>
        <v/>
      </c>
      <c r="BC55" s="527" t="str">
        <f t="shared" si="41"/>
        <v/>
      </c>
      <c r="BD55" s="527" t="str">
        <f t="shared" si="42"/>
        <v/>
      </c>
      <c r="BE55" s="1140" t="str">
        <f t="shared" si="37"/>
        <v/>
      </c>
      <c r="BF55" s="527" t="str">
        <f t="shared" si="38"/>
        <v/>
      </c>
      <c r="BG55" s="527" t="str">
        <f t="shared" si="43"/>
        <v/>
      </c>
      <c r="BH55" s="1140" t="str">
        <f t="shared" si="34"/>
        <v/>
      </c>
      <c r="BI55" s="527" t="str">
        <f t="shared" si="39"/>
        <v/>
      </c>
      <c r="BJ55" s="527" t="str">
        <f t="shared" si="44"/>
        <v/>
      </c>
      <c r="BK55" s="1140" t="str">
        <f t="shared" si="35"/>
        <v/>
      </c>
      <c r="BL55" s="527" t="str">
        <f t="shared" si="40"/>
        <v/>
      </c>
      <c r="BM55" s="1141" t="str">
        <f t="shared" si="47"/>
        <v/>
      </c>
      <c r="BN55" s="1155"/>
      <c r="BO55" s="447">
        <f t="shared" si="45"/>
        <v>0.54000000000000015</v>
      </c>
      <c r="BP55" s="450">
        <f t="shared" ref="BP55:BQ57" si="52">BP54+0.036</f>
        <v>0.56200000000000006</v>
      </c>
      <c r="BQ55" s="450">
        <f t="shared" si="52"/>
        <v>0.68200000000000005</v>
      </c>
      <c r="BR55" s="449">
        <f>BR54+0.04</f>
        <v>0.37999999999999995</v>
      </c>
    </row>
    <row r="56" spans="1:70" s="278" customFormat="1" ht="12" customHeight="1" x14ac:dyDescent="0.25">
      <c r="A56" s="880"/>
      <c r="B56" s="1108">
        <f>IF(C56&lt;'Financing Assumptions'!$G$25,0,IF(C56='Financing Assumptions'!$G$25,1,IF(C56&gt;'Financing Assumptions'!$G$25,B55+1)))</f>
        <v>37</v>
      </c>
      <c r="C56" s="1109">
        <f t="shared" si="17"/>
        <v>39</v>
      </c>
      <c r="D56" s="732">
        <f t="shared" si="6"/>
        <v>30</v>
      </c>
      <c r="E56" s="35">
        <f t="shared" si="7"/>
        <v>4</v>
      </c>
      <c r="F56" s="889">
        <f t="shared" si="25"/>
        <v>47238</v>
      </c>
      <c r="G56" s="822">
        <f t="shared" si="8"/>
        <v>4</v>
      </c>
      <c r="H56" s="126">
        <f t="shared" si="0"/>
        <v>0</v>
      </c>
      <c r="I56" s="1098">
        <f t="shared" si="26"/>
        <v>0</v>
      </c>
      <c r="J56" s="887">
        <f t="shared" si="18"/>
        <v>37</v>
      </c>
      <c r="K56" s="1099">
        <f t="shared" si="9"/>
        <v>11</v>
      </c>
      <c r="L56" s="891" t="str">
        <f t="shared" si="19"/>
        <v>April</v>
      </c>
      <c r="M56" s="888">
        <f t="shared" si="20"/>
        <v>2029</v>
      </c>
      <c r="N56" s="1284">
        <f t="shared" si="31"/>
        <v>0</v>
      </c>
      <c r="O56" s="1284">
        <f t="shared" si="21"/>
        <v>0</v>
      </c>
      <c r="P56" s="883">
        <f t="shared" si="22"/>
        <v>46485000</v>
      </c>
      <c r="Q56" s="883">
        <f t="shared" si="10"/>
        <v>-235653.12499999997</v>
      </c>
      <c r="R56" s="1100"/>
      <c r="S56" s="883">
        <f t="shared" si="1"/>
        <v>0</v>
      </c>
      <c r="T56" s="884">
        <f t="shared" si="29"/>
        <v>-235653.12499999997</v>
      </c>
      <c r="U56" s="884">
        <f>IF(AND($AU$43="Early Payoff",J56&gt;$U$15),0,IF($J56&lt;=$U$8,SUM($S$20:$S56),0))</f>
        <v>0</v>
      </c>
      <c r="V56" s="884">
        <f>IF(AND($AU$43="Early Payoff",J56&gt;$U$15),0,IF($J56&lt;=$U$8,SUM($T$20:$T56),0))</f>
        <v>-5785284.21875</v>
      </c>
      <c r="W56" s="885">
        <f t="shared" si="11"/>
        <v>46485000</v>
      </c>
      <c r="X56" s="1110">
        <f t="shared" si="23"/>
        <v>46485000</v>
      </c>
      <c r="Z56" s="1102">
        <f t="shared" si="2"/>
        <v>0</v>
      </c>
      <c r="AA56" s="873">
        <f t="shared" si="3"/>
        <v>0</v>
      </c>
      <c r="AB56" s="873">
        <f t="shared" si="4"/>
        <v>0</v>
      </c>
      <c r="AC56" s="885">
        <f t="shared" si="5"/>
        <v>-235653.12499999997</v>
      </c>
      <c r="AV56" s="1093"/>
      <c r="AW56" s="1092"/>
      <c r="AX56" s="1092"/>
      <c r="AY56" s="1092"/>
      <c r="AZ56" s="1138" t="str">
        <f t="shared" si="36"/>
        <v/>
      </c>
      <c r="BA56" s="526" t="str">
        <f t="shared" si="32"/>
        <v/>
      </c>
      <c r="BB56" s="1139" t="str">
        <f t="shared" si="33"/>
        <v/>
      </c>
      <c r="BC56" s="527" t="str">
        <f t="shared" si="41"/>
        <v/>
      </c>
      <c r="BD56" s="527" t="str">
        <f t="shared" si="42"/>
        <v/>
      </c>
      <c r="BE56" s="1140" t="str">
        <f t="shared" si="37"/>
        <v/>
      </c>
      <c r="BF56" s="527" t="str">
        <f t="shared" si="38"/>
        <v/>
      </c>
      <c r="BG56" s="527" t="str">
        <f t="shared" si="43"/>
        <v/>
      </c>
      <c r="BH56" s="1140" t="str">
        <f t="shared" si="34"/>
        <v/>
      </c>
      <c r="BI56" s="527" t="str">
        <f t="shared" si="39"/>
        <v/>
      </c>
      <c r="BJ56" s="527" t="str">
        <f t="shared" si="44"/>
        <v/>
      </c>
      <c r="BK56" s="1140" t="str">
        <f t="shared" si="35"/>
        <v/>
      </c>
      <c r="BL56" s="527" t="str">
        <f t="shared" si="40"/>
        <v/>
      </c>
      <c r="BM56" s="1141" t="str">
        <f t="shared" si="47"/>
        <v/>
      </c>
      <c r="BN56" s="1155"/>
      <c r="BO56" s="447">
        <f t="shared" si="45"/>
        <v>0.56000000000000016</v>
      </c>
      <c r="BP56" s="450">
        <f t="shared" si="52"/>
        <v>0.59800000000000009</v>
      </c>
      <c r="BQ56" s="450">
        <f t="shared" si="52"/>
        <v>0.71800000000000008</v>
      </c>
      <c r="BR56" s="449">
        <f>BR55+0.04</f>
        <v>0.41999999999999993</v>
      </c>
    </row>
    <row r="57" spans="1:70" s="278" customFormat="1" ht="12" customHeight="1" x14ac:dyDescent="0.25">
      <c r="A57" s="880"/>
      <c r="B57" s="1108">
        <f>IF(C57&lt;'Financing Assumptions'!$G$25,0,IF(C57='Financing Assumptions'!$G$25,1,IF(C57&gt;'Financing Assumptions'!$G$25,B56+1)))</f>
        <v>38</v>
      </c>
      <c r="C57" s="1109">
        <f t="shared" si="17"/>
        <v>40</v>
      </c>
      <c r="D57" s="732">
        <f t="shared" si="6"/>
        <v>31</v>
      </c>
      <c r="E57" s="35">
        <f t="shared" si="7"/>
        <v>5</v>
      </c>
      <c r="F57" s="889">
        <f t="shared" si="25"/>
        <v>47269</v>
      </c>
      <c r="G57" s="822">
        <f t="shared" si="8"/>
        <v>5</v>
      </c>
      <c r="H57" s="126">
        <f t="shared" si="0"/>
        <v>0</v>
      </c>
      <c r="I57" s="1098">
        <f t="shared" si="26"/>
        <v>0</v>
      </c>
      <c r="J57" s="887">
        <f t="shared" si="18"/>
        <v>38</v>
      </c>
      <c r="K57" s="1099">
        <f t="shared" si="9"/>
        <v>12</v>
      </c>
      <c r="L57" s="891" t="str">
        <f t="shared" si="19"/>
        <v>May</v>
      </c>
      <c r="M57" s="888">
        <f t="shared" si="20"/>
        <v>2029</v>
      </c>
      <c r="N57" s="1284">
        <f t="shared" si="31"/>
        <v>0</v>
      </c>
      <c r="O57" s="1284">
        <f t="shared" si="21"/>
        <v>0</v>
      </c>
      <c r="P57" s="883">
        <f t="shared" si="22"/>
        <v>46485000</v>
      </c>
      <c r="Q57" s="883">
        <f t="shared" si="10"/>
        <v>-235653.12499999997</v>
      </c>
      <c r="R57" s="1100"/>
      <c r="S57" s="883">
        <f t="shared" si="1"/>
        <v>0</v>
      </c>
      <c r="T57" s="884">
        <f t="shared" si="29"/>
        <v>-235653.12499999997</v>
      </c>
      <c r="U57" s="884">
        <f>IF(AND($AU$43="Early Payoff",J57&gt;$U$15),0,IF($J57&lt;=$U$8,SUM($S$20:$S57),0))</f>
        <v>0</v>
      </c>
      <c r="V57" s="884">
        <f>IF(AND($AU$43="Early Payoff",J57&gt;$U$15),0,IF($J57&lt;=$U$8,SUM($T$20:$T57),0))</f>
        <v>-6020937.34375</v>
      </c>
      <c r="W57" s="885">
        <f t="shared" si="11"/>
        <v>46485000</v>
      </c>
      <c r="X57" s="1110">
        <f t="shared" si="23"/>
        <v>46485000</v>
      </c>
      <c r="Z57" s="1102">
        <f t="shared" si="2"/>
        <v>0</v>
      </c>
      <c r="AA57" s="873">
        <f t="shared" si="3"/>
        <v>0</v>
      </c>
      <c r="AB57" s="873">
        <f t="shared" si="4"/>
        <v>0</v>
      </c>
      <c r="AC57" s="885">
        <f t="shared" si="5"/>
        <v>-235653.12499999997</v>
      </c>
      <c r="AV57" s="1093"/>
      <c r="AW57" s="1092"/>
      <c r="AX57" s="1092"/>
      <c r="AY57" s="1092"/>
      <c r="AZ57" s="1138" t="str">
        <f t="shared" si="36"/>
        <v/>
      </c>
      <c r="BA57" s="526" t="str">
        <f t="shared" si="32"/>
        <v/>
      </c>
      <c r="BB57" s="1139" t="str">
        <f t="shared" si="33"/>
        <v/>
      </c>
      <c r="BC57" s="527" t="str">
        <f t="shared" si="41"/>
        <v/>
      </c>
      <c r="BD57" s="527" t="str">
        <f t="shared" si="42"/>
        <v/>
      </c>
      <c r="BE57" s="1140" t="str">
        <f t="shared" si="37"/>
        <v/>
      </c>
      <c r="BF57" s="527" t="str">
        <f t="shared" si="38"/>
        <v/>
      </c>
      <c r="BG57" s="527" t="str">
        <f t="shared" si="43"/>
        <v/>
      </c>
      <c r="BH57" s="1140" t="str">
        <f t="shared" si="34"/>
        <v/>
      </c>
      <c r="BI57" s="527" t="str">
        <f t="shared" si="39"/>
        <v/>
      </c>
      <c r="BJ57" s="527" t="str">
        <f t="shared" si="44"/>
        <v/>
      </c>
      <c r="BK57" s="1140" t="str">
        <f t="shared" si="35"/>
        <v/>
      </c>
      <c r="BL57" s="527" t="str">
        <f t="shared" si="40"/>
        <v/>
      </c>
      <c r="BM57" s="1141" t="str">
        <f t="shared" si="47"/>
        <v/>
      </c>
      <c r="BN57" s="1155"/>
      <c r="BO57" s="447">
        <f t="shared" si="45"/>
        <v>0.58000000000000018</v>
      </c>
      <c r="BP57" s="450">
        <f t="shared" si="52"/>
        <v>0.63400000000000012</v>
      </c>
      <c r="BQ57" s="450">
        <f t="shared" si="52"/>
        <v>0.75400000000000011</v>
      </c>
      <c r="BR57" s="449">
        <f>BR56+0.04</f>
        <v>0.45999999999999991</v>
      </c>
    </row>
    <row r="58" spans="1:70" s="278" customFormat="1" ht="12" customHeight="1" x14ac:dyDescent="0.25">
      <c r="A58" s="880"/>
      <c r="B58" s="1108">
        <f>IF(C58&lt;'Financing Assumptions'!$G$25,0,IF(C58='Financing Assumptions'!$G$25,1,IF(C58&gt;'Financing Assumptions'!$G$25,B57+1)))</f>
        <v>39</v>
      </c>
      <c r="C58" s="1109">
        <f t="shared" si="17"/>
        <v>41</v>
      </c>
      <c r="D58" s="732">
        <f t="shared" si="6"/>
        <v>30</v>
      </c>
      <c r="E58" s="35">
        <f t="shared" si="7"/>
        <v>6</v>
      </c>
      <c r="F58" s="889">
        <f t="shared" si="25"/>
        <v>47299</v>
      </c>
      <c r="G58" s="822">
        <f t="shared" si="8"/>
        <v>6</v>
      </c>
      <c r="H58" s="126">
        <f t="shared" si="0"/>
        <v>0</v>
      </c>
      <c r="I58" s="1098">
        <f t="shared" si="26"/>
        <v>0</v>
      </c>
      <c r="J58" s="887">
        <f t="shared" si="18"/>
        <v>39</v>
      </c>
      <c r="K58" s="1099">
        <f t="shared" si="9"/>
        <v>13</v>
      </c>
      <c r="L58" s="891" t="str">
        <f t="shared" si="19"/>
        <v>June</v>
      </c>
      <c r="M58" s="888">
        <f t="shared" si="20"/>
        <v>2029</v>
      </c>
      <c r="N58" s="1284">
        <f t="shared" si="31"/>
        <v>0</v>
      </c>
      <c r="O58" s="1284">
        <f t="shared" si="21"/>
        <v>0</v>
      </c>
      <c r="P58" s="883">
        <f t="shared" si="22"/>
        <v>46485000</v>
      </c>
      <c r="Q58" s="883">
        <f t="shared" si="10"/>
        <v>-235653.12499999997</v>
      </c>
      <c r="R58" s="1100"/>
      <c r="S58" s="883">
        <f t="shared" si="1"/>
        <v>0</v>
      </c>
      <c r="T58" s="884">
        <f t="shared" si="29"/>
        <v>-235653.12499999997</v>
      </c>
      <c r="U58" s="884">
        <f>IF(AND($AU$43="Early Payoff",J58&gt;$U$15),0,IF($J58&lt;=$U$8,SUM($S$20:$S58),0))</f>
        <v>0</v>
      </c>
      <c r="V58" s="884">
        <f>IF(AND($AU$43="Early Payoff",J58&gt;$U$15),0,IF($J58&lt;=$U$8,SUM($T$20:$T58),0))</f>
        <v>-6256590.46875</v>
      </c>
      <c r="W58" s="885">
        <f t="shared" si="11"/>
        <v>46485000</v>
      </c>
      <c r="X58" s="1110">
        <f>IF($C58&lt;$L$11,$M$4,$P58)</f>
        <v>46485000</v>
      </c>
      <c r="Z58" s="1102">
        <f t="shared" si="2"/>
        <v>0</v>
      </c>
      <c r="AA58" s="873">
        <f t="shared" si="3"/>
        <v>0</v>
      </c>
      <c r="AB58" s="873">
        <f t="shared" si="4"/>
        <v>0</v>
      </c>
      <c r="AC58" s="885">
        <f t="shared" si="5"/>
        <v>-235653.12499999997</v>
      </c>
      <c r="AV58" s="1093"/>
      <c r="AW58" s="1092"/>
      <c r="AX58" s="1092"/>
      <c r="AY58" s="1092"/>
      <c r="AZ58" s="1138" t="str">
        <f t="shared" si="36"/>
        <v/>
      </c>
      <c r="BA58" s="526" t="str">
        <f t="shared" si="32"/>
        <v/>
      </c>
      <c r="BB58" s="1139" t="str">
        <f t="shared" si="33"/>
        <v/>
      </c>
      <c r="BC58" s="527" t="str">
        <f t="shared" si="41"/>
        <v/>
      </c>
      <c r="BD58" s="527" t="str">
        <f t="shared" si="42"/>
        <v/>
      </c>
      <c r="BE58" s="1140" t="str">
        <f t="shared" si="37"/>
        <v/>
      </c>
      <c r="BF58" s="527" t="str">
        <f t="shared" si="38"/>
        <v/>
      </c>
      <c r="BG58" s="527" t="str">
        <f t="shared" si="43"/>
        <v/>
      </c>
      <c r="BH58" s="1140" t="str">
        <f t="shared" si="34"/>
        <v/>
      </c>
      <c r="BI58" s="527" t="str">
        <f t="shared" si="39"/>
        <v/>
      </c>
      <c r="BJ58" s="527" t="str">
        <f t="shared" si="44"/>
        <v/>
      </c>
      <c r="BK58" s="1140" t="str">
        <f t="shared" si="35"/>
        <v/>
      </c>
      <c r="BL58" s="527" t="str">
        <f t="shared" si="40"/>
        <v/>
      </c>
      <c r="BM58" s="1141" t="str">
        <f t="shared" si="47"/>
        <v/>
      </c>
      <c r="BN58" s="438"/>
      <c r="BO58" s="447">
        <f>BO57+0.02</f>
        <v>0.6000000000000002</v>
      </c>
      <c r="BP58" s="450">
        <v>0.67</v>
      </c>
      <c r="BQ58" s="450">
        <v>0.79</v>
      </c>
      <c r="BR58" s="449">
        <v>0.5</v>
      </c>
    </row>
    <row r="59" spans="1:70" s="278" customFormat="1" ht="12" customHeight="1" x14ac:dyDescent="0.25">
      <c r="A59" s="880"/>
      <c r="B59" s="1108">
        <f>IF(C59&lt;'Financing Assumptions'!$G$25,0,IF(C59='Financing Assumptions'!$G$25,1,IF(C59&gt;'Financing Assumptions'!$G$25,B58+1)))</f>
        <v>40</v>
      </c>
      <c r="C59" s="1109">
        <f t="shared" si="17"/>
        <v>42</v>
      </c>
      <c r="D59" s="732">
        <f t="shared" si="6"/>
        <v>31</v>
      </c>
      <c r="E59" s="35">
        <f t="shared" si="7"/>
        <v>7</v>
      </c>
      <c r="F59" s="889">
        <f t="shared" si="25"/>
        <v>47330</v>
      </c>
      <c r="G59" s="822">
        <f t="shared" si="8"/>
        <v>7</v>
      </c>
      <c r="H59" s="126">
        <f t="shared" si="0"/>
        <v>0</v>
      </c>
      <c r="I59" s="1098">
        <f t="shared" si="26"/>
        <v>0</v>
      </c>
      <c r="J59" s="887">
        <f t="shared" si="18"/>
        <v>40</v>
      </c>
      <c r="K59" s="1099">
        <f t="shared" si="9"/>
        <v>14</v>
      </c>
      <c r="L59" s="891" t="str">
        <f t="shared" si="19"/>
        <v>July</v>
      </c>
      <c r="M59" s="888">
        <f t="shared" si="20"/>
        <v>2029</v>
      </c>
      <c r="N59" s="1284">
        <f t="shared" si="31"/>
        <v>0</v>
      </c>
      <c r="O59" s="1284">
        <f t="shared" si="21"/>
        <v>0</v>
      </c>
      <c r="P59" s="883">
        <f t="shared" si="22"/>
        <v>46485000</v>
      </c>
      <c r="Q59" s="883">
        <f t="shared" si="10"/>
        <v>-235653.12499999997</v>
      </c>
      <c r="R59" s="1100"/>
      <c r="S59" s="883">
        <f t="shared" si="1"/>
        <v>0</v>
      </c>
      <c r="T59" s="884">
        <f t="shared" si="29"/>
        <v>-235653.12499999997</v>
      </c>
      <c r="U59" s="884">
        <f>IF(AND($AU$43="Early Payoff",J59&gt;$U$15),0,IF($J59&lt;=$U$8,SUM($S$20:$S59),0))</f>
        <v>0</v>
      </c>
      <c r="V59" s="884">
        <f>IF(AND($AU$43="Early Payoff",J59&gt;$U$15),0,IF($J59&lt;=$U$8,SUM($T$20:$T59),0))</f>
        <v>-6492243.59375</v>
      </c>
      <c r="W59" s="885">
        <f t="shared" si="11"/>
        <v>46485000</v>
      </c>
      <c r="X59" s="1110">
        <f t="shared" si="23"/>
        <v>46485000</v>
      </c>
      <c r="Z59" s="1102">
        <f t="shared" si="2"/>
        <v>0</v>
      </c>
      <c r="AA59" s="873">
        <f t="shared" si="3"/>
        <v>0</v>
      </c>
      <c r="AB59" s="873">
        <f t="shared" si="4"/>
        <v>0</v>
      </c>
      <c r="AC59" s="885">
        <f t="shared" si="5"/>
        <v>-235653.12499999997</v>
      </c>
      <c r="AV59" s="1093"/>
      <c r="AW59" s="1092"/>
      <c r="AX59" s="1092"/>
      <c r="AY59" s="1092"/>
      <c r="AZ59" s="1138" t="str">
        <f t="shared" si="36"/>
        <v/>
      </c>
      <c r="BA59" s="526" t="str">
        <f t="shared" si="32"/>
        <v/>
      </c>
      <c r="BB59" s="1139" t="str">
        <f t="shared" si="33"/>
        <v/>
      </c>
      <c r="BC59" s="527" t="str">
        <f t="shared" si="41"/>
        <v/>
      </c>
      <c r="BD59" s="527" t="str">
        <f t="shared" si="42"/>
        <v/>
      </c>
      <c r="BE59" s="1140" t="str">
        <f t="shared" si="37"/>
        <v/>
      </c>
      <c r="BF59" s="527" t="str">
        <f t="shared" si="38"/>
        <v/>
      </c>
      <c r="BG59" s="527" t="str">
        <f t="shared" si="43"/>
        <v/>
      </c>
      <c r="BH59" s="1140" t="str">
        <f t="shared" si="34"/>
        <v/>
      </c>
      <c r="BI59" s="527" t="str">
        <f t="shared" si="39"/>
        <v/>
      </c>
      <c r="BJ59" s="527" t="str">
        <f t="shared" si="44"/>
        <v/>
      </c>
      <c r="BK59" s="1140" t="str">
        <f t="shared" si="35"/>
        <v/>
      </c>
      <c r="BL59" s="527" t="str">
        <f t="shared" si="40"/>
        <v/>
      </c>
      <c r="BM59" s="1141" t="str">
        <f t="shared" si="47"/>
        <v/>
      </c>
      <c r="BN59" s="438"/>
      <c r="BO59" s="447">
        <f t="shared" si="45"/>
        <v>0.62000000000000022</v>
      </c>
      <c r="BP59" s="450">
        <f>BP58+0.026</f>
        <v>0.69600000000000006</v>
      </c>
      <c r="BQ59" s="450">
        <f>BQ58+0.022</f>
        <v>0.81200000000000006</v>
      </c>
      <c r="BR59" s="449">
        <f>BR58+0.058</f>
        <v>0.55800000000000005</v>
      </c>
    </row>
    <row r="60" spans="1:70" s="278" customFormat="1" ht="12" customHeight="1" x14ac:dyDescent="0.25">
      <c r="A60" s="880"/>
      <c r="B60" s="1108">
        <f>IF(C60&lt;'Financing Assumptions'!$G$25,0,IF(C60='Financing Assumptions'!$G$25,1,IF(C60&gt;'Financing Assumptions'!$G$25,B59+1)))</f>
        <v>41</v>
      </c>
      <c r="C60" s="1109">
        <f t="shared" si="17"/>
        <v>43</v>
      </c>
      <c r="D60" s="732">
        <f t="shared" si="6"/>
        <v>31</v>
      </c>
      <c r="E60" s="35">
        <f t="shared" si="7"/>
        <v>8</v>
      </c>
      <c r="F60" s="889">
        <f t="shared" si="25"/>
        <v>47361</v>
      </c>
      <c r="G60" s="822">
        <f t="shared" si="8"/>
        <v>8</v>
      </c>
      <c r="H60" s="126">
        <f t="shared" si="0"/>
        <v>0</v>
      </c>
      <c r="I60" s="1098">
        <f t="shared" si="26"/>
        <v>0</v>
      </c>
      <c r="J60" s="887">
        <f t="shared" si="18"/>
        <v>41</v>
      </c>
      <c r="K60" s="1099">
        <f t="shared" si="9"/>
        <v>15</v>
      </c>
      <c r="L60" s="891" t="str">
        <f t="shared" si="19"/>
        <v>August</v>
      </c>
      <c r="M60" s="888">
        <f t="shared" si="20"/>
        <v>2029</v>
      </c>
      <c r="N60" s="1284">
        <f t="shared" si="31"/>
        <v>0</v>
      </c>
      <c r="O60" s="1284">
        <f t="shared" si="21"/>
        <v>0</v>
      </c>
      <c r="P60" s="883">
        <f t="shared" si="22"/>
        <v>46485000</v>
      </c>
      <c r="Q60" s="883">
        <f t="shared" si="10"/>
        <v>-235653.12499999997</v>
      </c>
      <c r="R60" s="1100"/>
      <c r="S60" s="883">
        <f t="shared" si="1"/>
        <v>0</v>
      </c>
      <c r="T60" s="884">
        <f t="shared" si="29"/>
        <v>-235653.12499999997</v>
      </c>
      <c r="U60" s="884">
        <f>IF(AND($AU$43="Early Payoff",J60&gt;$U$15),0,IF($J60&lt;=$U$8,SUM($S$20:$S60),0))</f>
        <v>0</v>
      </c>
      <c r="V60" s="884">
        <f>IF(AND($AU$43="Early Payoff",J60&gt;$U$15),0,IF($J60&lt;=$U$8,SUM($T$20:$T60),0))</f>
        <v>-6727896.71875</v>
      </c>
      <c r="W60" s="885">
        <f t="shared" si="11"/>
        <v>46485000</v>
      </c>
      <c r="X60" s="1110">
        <f t="shared" si="23"/>
        <v>46485000</v>
      </c>
      <c r="Z60" s="1102">
        <f t="shared" si="2"/>
        <v>0</v>
      </c>
      <c r="AA60" s="873">
        <f t="shared" si="3"/>
        <v>0</v>
      </c>
      <c r="AB60" s="873">
        <f t="shared" si="4"/>
        <v>0</v>
      </c>
      <c r="AC60" s="885">
        <f t="shared" si="5"/>
        <v>-235653.12499999997</v>
      </c>
      <c r="AV60" s="1093"/>
      <c r="AW60" s="1092"/>
      <c r="AX60" s="1092"/>
      <c r="AY60" s="1092"/>
      <c r="AZ60" s="1138" t="str">
        <f t="shared" si="36"/>
        <v/>
      </c>
      <c r="BA60" s="526" t="str">
        <f t="shared" si="32"/>
        <v/>
      </c>
      <c r="BB60" s="1139" t="str">
        <f t="shared" si="33"/>
        <v/>
      </c>
      <c r="BC60" s="527" t="str">
        <f t="shared" si="41"/>
        <v/>
      </c>
      <c r="BD60" s="527" t="str">
        <f t="shared" si="42"/>
        <v/>
      </c>
      <c r="BE60" s="1140" t="str">
        <f t="shared" si="37"/>
        <v/>
      </c>
      <c r="BF60" s="527" t="str">
        <f t="shared" si="38"/>
        <v/>
      </c>
      <c r="BG60" s="527" t="str">
        <f t="shared" si="43"/>
        <v/>
      </c>
      <c r="BH60" s="1140" t="str">
        <f t="shared" si="34"/>
        <v/>
      </c>
      <c r="BI60" s="527" t="str">
        <f t="shared" si="39"/>
        <v/>
      </c>
      <c r="BJ60" s="527" t="str">
        <f t="shared" si="44"/>
        <v/>
      </c>
      <c r="BK60" s="1140" t="str">
        <f t="shared" si="35"/>
        <v/>
      </c>
      <c r="BL60" s="527" t="str">
        <f t="shared" si="40"/>
        <v/>
      </c>
      <c r="BM60" s="1141" t="str">
        <f t="shared" si="47"/>
        <v/>
      </c>
      <c r="BN60" s="438"/>
      <c r="BO60" s="447">
        <f t="shared" si="45"/>
        <v>0.64000000000000024</v>
      </c>
      <c r="BP60" s="450">
        <f>BP59+0.026</f>
        <v>0.72200000000000009</v>
      </c>
      <c r="BQ60" s="450">
        <f>BQ59+0.022</f>
        <v>0.83400000000000007</v>
      </c>
      <c r="BR60" s="449">
        <f>BR59+0.058</f>
        <v>0.6160000000000001</v>
      </c>
    </row>
    <row r="61" spans="1:70" s="278" customFormat="1" ht="12" customHeight="1" x14ac:dyDescent="0.25">
      <c r="A61" s="880"/>
      <c r="B61" s="1108">
        <f>IF(C61&lt;'Financing Assumptions'!$G$25,0,IF(C61='Financing Assumptions'!$G$25,1,IF(C61&gt;'Financing Assumptions'!$G$25,B60+1)))</f>
        <v>42</v>
      </c>
      <c r="C61" s="1109">
        <f t="shared" si="17"/>
        <v>44</v>
      </c>
      <c r="D61" s="732">
        <f t="shared" si="6"/>
        <v>30</v>
      </c>
      <c r="E61" s="35">
        <f t="shared" si="7"/>
        <v>9</v>
      </c>
      <c r="F61" s="889">
        <f t="shared" si="25"/>
        <v>47391</v>
      </c>
      <c r="G61" s="822">
        <f t="shared" si="8"/>
        <v>9</v>
      </c>
      <c r="H61" s="126">
        <f t="shared" si="0"/>
        <v>0</v>
      </c>
      <c r="I61" s="1098">
        <f t="shared" si="26"/>
        <v>0</v>
      </c>
      <c r="J61" s="887">
        <f t="shared" si="18"/>
        <v>42</v>
      </c>
      <c r="K61" s="1099">
        <f t="shared" si="9"/>
        <v>16</v>
      </c>
      <c r="L61" s="891" t="str">
        <f t="shared" si="19"/>
        <v>September</v>
      </c>
      <c r="M61" s="888">
        <f t="shared" si="20"/>
        <v>2029</v>
      </c>
      <c r="N61" s="1284">
        <f t="shared" si="31"/>
        <v>0</v>
      </c>
      <c r="O61" s="1284">
        <f t="shared" si="21"/>
        <v>0</v>
      </c>
      <c r="P61" s="883">
        <f t="shared" si="22"/>
        <v>46485000</v>
      </c>
      <c r="Q61" s="883">
        <f t="shared" si="10"/>
        <v>-235653.12499999997</v>
      </c>
      <c r="R61" s="1100"/>
      <c r="S61" s="883">
        <f t="shared" si="1"/>
        <v>0</v>
      </c>
      <c r="T61" s="884">
        <f t="shared" si="29"/>
        <v>-235653.12499999997</v>
      </c>
      <c r="U61" s="884">
        <f>IF(AND($AU$43="Early Payoff",J61&gt;$U$15),0,IF($J61&lt;=$U$8,SUM($S$20:$S61),0))</f>
        <v>0</v>
      </c>
      <c r="V61" s="884">
        <f>IF(AND($AU$43="Early Payoff",J61&gt;$U$15),0,IF($J61&lt;=$U$8,SUM($T$20:$T61),0))</f>
        <v>-6963549.84375</v>
      </c>
      <c r="W61" s="885">
        <f t="shared" si="11"/>
        <v>46485000</v>
      </c>
      <c r="X61" s="1110">
        <f t="shared" si="23"/>
        <v>46485000</v>
      </c>
      <c r="Z61" s="1102">
        <f t="shared" si="2"/>
        <v>0</v>
      </c>
      <c r="AA61" s="873">
        <f t="shared" si="3"/>
        <v>0</v>
      </c>
      <c r="AB61" s="873">
        <f t="shared" si="4"/>
        <v>0</v>
      </c>
      <c r="AC61" s="885">
        <f t="shared" si="5"/>
        <v>-235653.12499999997</v>
      </c>
      <c r="AV61" s="1093"/>
      <c r="AW61" s="1092"/>
      <c r="AX61" s="1092"/>
      <c r="AY61" s="1092"/>
      <c r="AZ61" s="1138" t="str">
        <f t="shared" si="36"/>
        <v/>
      </c>
      <c r="BA61" s="526" t="str">
        <f t="shared" si="32"/>
        <v/>
      </c>
      <c r="BB61" s="1139" t="str">
        <f t="shared" si="33"/>
        <v/>
      </c>
      <c r="BC61" s="527" t="str">
        <f t="shared" si="41"/>
        <v/>
      </c>
      <c r="BD61" s="527" t="str">
        <f t="shared" si="42"/>
        <v/>
      </c>
      <c r="BE61" s="1140" t="str">
        <f t="shared" si="37"/>
        <v/>
      </c>
      <c r="BF61" s="527" t="str">
        <f t="shared" si="38"/>
        <v/>
      </c>
      <c r="BG61" s="527" t="str">
        <f t="shared" si="43"/>
        <v/>
      </c>
      <c r="BH61" s="1140" t="str">
        <f t="shared" si="34"/>
        <v/>
      </c>
      <c r="BI61" s="527" t="str">
        <f t="shared" si="39"/>
        <v/>
      </c>
      <c r="BJ61" s="527" t="str">
        <f t="shared" si="44"/>
        <v/>
      </c>
      <c r="BK61" s="1140" t="str">
        <f t="shared" si="35"/>
        <v/>
      </c>
      <c r="BL61" s="527" t="str">
        <f t="shared" si="40"/>
        <v/>
      </c>
      <c r="BM61" s="1141" t="str">
        <f t="shared" si="47"/>
        <v/>
      </c>
      <c r="BN61" s="438"/>
      <c r="BO61" s="447">
        <f t="shared" si="45"/>
        <v>0.66000000000000025</v>
      </c>
      <c r="BP61" s="450">
        <f>BP60+0.026</f>
        <v>0.74800000000000011</v>
      </c>
      <c r="BQ61" s="450">
        <f>BQ60+0.022</f>
        <v>0.85600000000000009</v>
      </c>
      <c r="BR61" s="449">
        <f>BR60+0.058</f>
        <v>0.67400000000000015</v>
      </c>
    </row>
    <row r="62" spans="1:70" s="278" customFormat="1" ht="12" customHeight="1" x14ac:dyDescent="0.25">
      <c r="A62" s="880"/>
      <c r="B62" s="1108">
        <f>IF(C62&lt;'Financing Assumptions'!$G$25,0,IF(C62='Financing Assumptions'!$G$25,1,IF(C62&gt;'Financing Assumptions'!$G$25,B61+1)))</f>
        <v>43</v>
      </c>
      <c r="C62" s="1109">
        <f t="shared" si="17"/>
        <v>45</v>
      </c>
      <c r="D62" s="732">
        <f t="shared" si="6"/>
        <v>31</v>
      </c>
      <c r="E62" s="35">
        <f t="shared" si="7"/>
        <v>10</v>
      </c>
      <c r="F62" s="889">
        <f t="shared" si="25"/>
        <v>47422</v>
      </c>
      <c r="G62" s="822">
        <f t="shared" si="8"/>
        <v>10</v>
      </c>
      <c r="H62" s="126">
        <f t="shared" si="0"/>
        <v>0</v>
      </c>
      <c r="I62" s="1098">
        <f t="shared" si="26"/>
        <v>0</v>
      </c>
      <c r="J62" s="887">
        <f t="shared" si="18"/>
        <v>43</v>
      </c>
      <c r="K62" s="1099">
        <f t="shared" si="9"/>
        <v>17</v>
      </c>
      <c r="L62" s="891" t="str">
        <f t="shared" si="19"/>
        <v>October</v>
      </c>
      <c r="M62" s="888">
        <f t="shared" si="20"/>
        <v>2029</v>
      </c>
      <c r="N62" s="1284">
        <f t="shared" si="31"/>
        <v>0</v>
      </c>
      <c r="O62" s="1284">
        <f t="shared" si="21"/>
        <v>0</v>
      </c>
      <c r="P62" s="883">
        <f t="shared" si="22"/>
        <v>46485000</v>
      </c>
      <c r="Q62" s="883">
        <f t="shared" si="10"/>
        <v>-235653.12499999997</v>
      </c>
      <c r="R62" s="1100"/>
      <c r="S62" s="883">
        <f t="shared" si="1"/>
        <v>0</v>
      </c>
      <c r="T62" s="884">
        <f t="shared" si="29"/>
        <v>-235653.12499999997</v>
      </c>
      <c r="U62" s="884">
        <f>IF(AND($AU$43="Early Payoff",J62&gt;$U$15),0,IF($J62&lt;=$U$8,SUM($S$20:$S62),0))</f>
        <v>0</v>
      </c>
      <c r="V62" s="884">
        <f>IF(AND($AU$43="Early Payoff",J62&gt;$U$15),0,IF($J62&lt;=$U$8,SUM($T$20:$T62),0))</f>
        <v>-7199202.96875</v>
      </c>
      <c r="W62" s="885">
        <f t="shared" si="11"/>
        <v>46485000</v>
      </c>
      <c r="X62" s="1110">
        <f t="shared" si="23"/>
        <v>46485000</v>
      </c>
      <c r="Z62" s="1102">
        <f t="shared" si="2"/>
        <v>0</v>
      </c>
      <c r="AA62" s="873">
        <f t="shared" si="3"/>
        <v>0</v>
      </c>
      <c r="AB62" s="873">
        <f t="shared" si="4"/>
        <v>0</v>
      </c>
      <c r="AC62" s="885">
        <f t="shared" si="5"/>
        <v>-235653.12499999997</v>
      </c>
      <c r="AV62" s="1093"/>
      <c r="AW62" s="1092"/>
      <c r="AX62" s="1092"/>
      <c r="AY62" s="1092"/>
      <c r="AZ62" s="1138" t="str">
        <f t="shared" si="36"/>
        <v/>
      </c>
      <c r="BA62" s="526" t="str">
        <f t="shared" si="32"/>
        <v/>
      </c>
      <c r="BB62" s="1139" t="str">
        <f t="shared" si="33"/>
        <v/>
      </c>
      <c r="BC62" s="527" t="str">
        <f t="shared" si="41"/>
        <v/>
      </c>
      <c r="BD62" s="527" t="str">
        <f t="shared" si="42"/>
        <v/>
      </c>
      <c r="BE62" s="1140" t="str">
        <f t="shared" si="37"/>
        <v/>
      </c>
      <c r="BF62" s="527" t="str">
        <f t="shared" si="38"/>
        <v/>
      </c>
      <c r="BG62" s="527" t="str">
        <f t="shared" si="43"/>
        <v/>
      </c>
      <c r="BH62" s="1140" t="str">
        <f t="shared" si="34"/>
        <v/>
      </c>
      <c r="BI62" s="527" t="str">
        <f t="shared" si="39"/>
        <v/>
      </c>
      <c r="BJ62" s="527" t="str">
        <f t="shared" si="44"/>
        <v/>
      </c>
      <c r="BK62" s="1140" t="str">
        <f t="shared" si="35"/>
        <v/>
      </c>
      <c r="BL62" s="527" t="str">
        <f t="shared" si="40"/>
        <v/>
      </c>
      <c r="BM62" s="1141" t="str">
        <f t="shared" si="47"/>
        <v/>
      </c>
      <c r="BN62" s="438"/>
      <c r="BO62" s="447">
        <f t="shared" si="45"/>
        <v>0.68000000000000027</v>
      </c>
      <c r="BP62" s="450">
        <f>BP61+0.026</f>
        <v>0.77400000000000013</v>
      </c>
      <c r="BQ62" s="450">
        <f>BQ61+0.022</f>
        <v>0.87800000000000011</v>
      </c>
      <c r="BR62" s="449">
        <f>BR61+0.058</f>
        <v>0.73200000000000021</v>
      </c>
    </row>
    <row r="63" spans="1:70" s="278" customFormat="1" ht="12" customHeight="1" thickBot="1" x14ac:dyDescent="0.3">
      <c r="A63" s="880"/>
      <c r="B63" s="1108">
        <f>IF(C63&lt;'Financing Assumptions'!$G$25,0,IF(C63='Financing Assumptions'!$G$25,1,IF(C63&gt;'Financing Assumptions'!$G$25,B62+1)))</f>
        <v>44</v>
      </c>
      <c r="C63" s="1109">
        <f t="shared" si="17"/>
        <v>46</v>
      </c>
      <c r="D63" s="732">
        <f t="shared" si="6"/>
        <v>30</v>
      </c>
      <c r="E63" s="35">
        <f t="shared" si="7"/>
        <v>11</v>
      </c>
      <c r="F63" s="889">
        <f t="shared" si="25"/>
        <v>47452</v>
      </c>
      <c r="G63" s="822">
        <f t="shared" si="8"/>
        <v>11</v>
      </c>
      <c r="H63" s="126">
        <f t="shared" si="0"/>
        <v>0</v>
      </c>
      <c r="I63" s="1098">
        <f t="shared" si="26"/>
        <v>0</v>
      </c>
      <c r="J63" s="887">
        <f t="shared" si="18"/>
        <v>44</v>
      </c>
      <c r="K63" s="1099">
        <f t="shared" si="9"/>
        <v>18</v>
      </c>
      <c r="L63" s="891" t="str">
        <f t="shared" si="19"/>
        <v>November</v>
      </c>
      <c r="M63" s="888">
        <f t="shared" si="20"/>
        <v>2029</v>
      </c>
      <c r="N63" s="1284">
        <f t="shared" si="31"/>
        <v>0</v>
      </c>
      <c r="O63" s="1284">
        <f t="shared" si="21"/>
        <v>0</v>
      </c>
      <c r="P63" s="883">
        <f t="shared" si="22"/>
        <v>46485000</v>
      </c>
      <c r="Q63" s="883">
        <f t="shared" si="10"/>
        <v>-235653.12499999997</v>
      </c>
      <c r="R63" s="1100"/>
      <c r="S63" s="883">
        <f t="shared" si="1"/>
        <v>0</v>
      </c>
      <c r="T63" s="884">
        <f t="shared" si="29"/>
        <v>-235653.12499999997</v>
      </c>
      <c r="U63" s="884">
        <f>IF(AND($AU$43="Early Payoff",J63&gt;$U$15),0,IF($J63&lt;=$U$8,SUM($S$20:$S63),0))</f>
        <v>0</v>
      </c>
      <c r="V63" s="884">
        <f>IF(AND($AU$43="Early Payoff",J63&gt;$U$15),0,IF($J63&lt;=$U$8,SUM($T$20:$T63),0))</f>
        <v>-7434856.09375</v>
      </c>
      <c r="W63" s="885">
        <f t="shared" si="11"/>
        <v>46485000</v>
      </c>
      <c r="X63" s="1110">
        <f t="shared" si="23"/>
        <v>46485000</v>
      </c>
      <c r="Z63" s="1102">
        <f t="shared" si="2"/>
        <v>0</v>
      </c>
      <c r="AA63" s="873">
        <f t="shared" si="3"/>
        <v>0</v>
      </c>
      <c r="AB63" s="873">
        <f t="shared" si="4"/>
        <v>0</v>
      </c>
      <c r="AC63" s="885">
        <f t="shared" si="5"/>
        <v>-235653.12499999997</v>
      </c>
      <c r="AZ63" s="1138" t="str">
        <f t="shared" si="36"/>
        <v/>
      </c>
      <c r="BA63" s="526" t="str">
        <f t="shared" si="32"/>
        <v/>
      </c>
      <c r="BB63" s="1139" t="str">
        <f t="shared" si="33"/>
        <v/>
      </c>
      <c r="BC63" s="527" t="str">
        <f t="shared" si="41"/>
        <v/>
      </c>
      <c r="BD63" s="527" t="str">
        <f t="shared" si="42"/>
        <v/>
      </c>
      <c r="BE63" s="1140" t="str">
        <f t="shared" si="37"/>
        <v/>
      </c>
      <c r="BF63" s="527" t="str">
        <f t="shared" si="38"/>
        <v/>
      </c>
      <c r="BG63" s="527" t="str">
        <f t="shared" si="43"/>
        <v/>
      </c>
      <c r="BH63" s="1140" t="str">
        <f t="shared" si="34"/>
        <v/>
      </c>
      <c r="BI63" s="527" t="str">
        <f t="shared" si="39"/>
        <v/>
      </c>
      <c r="BJ63" s="527" t="str">
        <f t="shared" si="44"/>
        <v/>
      </c>
      <c r="BK63" s="1140" t="str">
        <f t="shared" si="35"/>
        <v/>
      </c>
      <c r="BL63" s="527" t="str">
        <f t="shared" si="40"/>
        <v/>
      </c>
      <c r="BM63" s="1141" t="str">
        <f t="shared" si="47"/>
        <v/>
      </c>
      <c r="BN63" s="438"/>
      <c r="BO63" s="447">
        <f t="shared" si="45"/>
        <v>0.70000000000000029</v>
      </c>
      <c r="BP63" s="450">
        <v>0.8</v>
      </c>
      <c r="BQ63" s="450">
        <v>0.9</v>
      </c>
      <c r="BR63" s="449">
        <v>0.79</v>
      </c>
    </row>
    <row r="64" spans="1:70" s="278" customFormat="1" ht="12" customHeight="1" thickTop="1" thickBot="1" x14ac:dyDescent="0.3">
      <c r="A64" s="880"/>
      <c r="B64" s="1108">
        <f>IF(C64&lt;'Financing Assumptions'!$G$25,0,IF(C64='Financing Assumptions'!$G$25,1,IF(C64&gt;'Financing Assumptions'!$G$25,B63+1)))</f>
        <v>45</v>
      </c>
      <c r="C64" s="1109">
        <f t="shared" si="17"/>
        <v>47</v>
      </c>
      <c r="D64" s="732">
        <f t="shared" si="6"/>
        <v>31</v>
      </c>
      <c r="E64" s="35">
        <f t="shared" si="7"/>
        <v>12</v>
      </c>
      <c r="F64" s="889">
        <f t="shared" si="25"/>
        <v>47483</v>
      </c>
      <c r="G64" s="822">
        <f t="shared" si="8"/>
        <v>12</v>
      </c>
      <c r="H64" s="126">
        <f t="shared" si="0"/>
        <v>1</v>
      </c>
      <c r="I64" s="1098">
        <f t="shared" si="26"/>
        <v>0</v>
      </c>
      <c r="J64" s="887">
        <f t="shared" si="18"/>
        <v>45</v>
      </c>
      <c r="K64" s="1099">
        <f t="shared" si="9"/>
        <v>19</v>
      </c>
      <c r="L64" s="891" t="str">
        <f t="shared" si="19"/>
        <v>December</v>
      </c>
      <c r="M64" s="888">
        <f t="shared" si="20"/>
        <v>2029</v>
      </c>
      <c r="N64" s="1284">
        <f t="shared" si="31"/>
        <v>0</v>
      </c>
      <c r="O64" s="1284">
        <f t="shared" si="21"/>
        <v>0</v>
      </c>
      <c r="P64" s="883">
        <f t="shared" si="22"/>
        <v>46485000</v>
      </c>
      <c r="Q64" s="883">
        <f t="shared" si="10"/>
        <v>-235653.12499999997</v>
      </c>
      <c r="R64" s="1100"/>
      <c r="S64" s="883">
        <f t="shared" si="1"/>
        <v>0</v>
      </c>
      <c r="T64" s="884">
        <f t="shared" si="29"/>
        <v>-235653.12499999997</v>
      </c>
      <c r="U64" s="884">
        <f>IF(AND($AU$43="Early Payoff",J64&gt;$U$15),0,IF($J64&lt;=$U$8,SUM($S$20:$S64),0))</f>
        <v>0</v>
      </c>
      <c r="V64" s="884">
        <f>IF(AND($AU$43="Early Payoff",J64&gt;$U$15),0,IF($J64&lt;=$U$8,SUM($T$20:$T64),0))</f>
        <v>-7670509.21875</v>
      </c>
      <c r="W64" s="885">
        <f t="shared" si="11"/>
        <v>46485000</v>
      </c>
      <c r="X64" s="1110">
        <f t="shared" si="23"/>
        <v>46485000</v>
      </c>
      <c r="Z64" s="1102">
        <f t="shared" si="2"/>
        <v>0</v>
      </c>
      <c r="AA64" s="873">
        <f t="shared" si="3"/>
        <v>0</v>
      </c>
      <c r="AB64" s="873">
        <f t="shared" si="4"/>
        <v>0</v>
      </c>
      <c r="AC64" s="885">
        <f t="shared" si="5"/>
        <v>-235653.12499999997</v>
      </c>
      <c r="AZ64" s="1156"/>
      <c r="BA64" s="1156"/>
      <c r="BB64" s="1156"/>
      <c r="BC64" s="1157">
        <f>SUM(BC27:BC63)</f>
        <v>46485000</v>
      </c>
      <c r="BD64" s="1157"/>
      <c r="BE64" s="1158"/>
      <c r="BF64" s="1157">
        <f>SUM(BF27:BF63)</f>
        <v>46485000</v>
      </c>
      <c r="BG64" s="1159"/>
      <c r="BH64" s="1158"/>
      <c r="BI64" s="1157">
        <f>SUM(BI27:BI63)</f>
        <v>46485000</v>
      </c>
      <c r="BJ64" s="1157"/>
      <c r="BK64" s="1160"/>
      <c r="BL64" s="1161">
        <f>SUM(BL27:BL63)</f>
        <v>46485000</v>
      </c>
      <c r="BM64" s="1158"/>
      <c r="BN64" s="438"/>
      <c r="BO64" s="447">
        <f t="shared" si="45"/>
        <v>0.72000000000000031</v>
      </c>
      <c r="BP64" s="450">
        <v>0.82</v>
      </c>
      <c r="BQ64" s="450">
        <f>BQ63+0.016</f>
        <v>0.91600000000000004</v>
      </c>
      <c r="BR64" s="449">
        <f>BR63+0.03</f>
        <v>0.82000000000000006</v>
      </c>
    </row>
    <row r="65" spans="1:70" s="278" customFormat="1" ht="12" customHeight="1" thickTop="1" x14ac:dyDescent="0.25">
      <c r="A65" s="880"/>
      <c r="B65" s="1108">
        <f>IF(C65&lt;'Financing Assumptions'!$G$25,0,IF(C65='Financing Assumptions'!$G$25,1,IF(C65&gt;'Financing Assumptions'!$G$25,B64+1)))</f>
        <v>46</v>
      </c>
      <c r="C65" s="1109">
        <f t="shared" si="17"/>
        <v>48</v>
      </c>
      <c r="D65" s="732">
        <f t="shared" si="6"/>
        <v>31</v>
      </c>
      <c r="E65" s="35">
        <f t="shared" si="7"/>
        <v>1</v>
      </c>
      <c r="F65" s="889">
        <f t="shared" si="25"/>
        <v>47514</v>
      </c>
      <c r="G65" s="822">
        <f t="shared" si="8"/>
        <v>1</v>
      </c>
      <c r="H65" s="126">
        <f t="shared" si="0"/>
        <v>0</v>
      </c>
      <c r="I65" s="1098">
        <f t="shared" si="26"/>
        <v>0</v>
      </c>
      <c r="J65" s="887">
        <f t="shared" si="18"/>
        <v>46</v>
      </c>
      <c r="K65" s="1099">
        <f t="shared" si="9"/>
        <v>20</v>
      </c>
      <c r="L65" s="891" t="str">
        <f t="shared" si="19"/>
        <v>January</v>
      </c>
      <c r="M65" s="888">
        <f t="shared" si="20"/>
        <v>2030</v>
      </c>
      <c r="N65" s="1284">
        <f t="shared" si="31"/>
        <v>0</v>
      </c>
      <c r="O65" s="1284">
        <f t="shared" si="21"/>
        <v>0</v>
      </c>
      <c r="P65" s="883">
        <f t="shared" si="22"/>
        <v>46485000</v>
      </c>
      <c r="Q65" s="883">
        <f t="shared" si="10"/>
        <v>-235653.12499999997</v>
      </c>
      <c r="R65" s="1100"/>
      <c r="S65" s="883">
        <f t="shared" si="1"/>
        <v>0</v>
      </c>
      <c r="T65" s="884">
        <f t="shared" si="29"/>
        <v>-235653.12499999997</v>
      </c>
      <c r="U65" s="884">
        <f>IF(AND($AU$43="Early Payoff",J65&gt;$U$15),0,IF($J65&lt;=$U$8,SUM($S$20:$S65),0))</f>
        <v>0</v>
      </c>
      <c r="V65" s="884">
        <f>IF(AND($AU$43="Early Payoff",J65&gt;$U$15),0,IF($J65&lt;=$U$8,SUM($T$20:$T65),0))</f>
        <v>-7906162.34375</v>
      </c>
      <c r="W65" s="885">
        <f t="shared" si="11"/>
        <v>46485000</v>
      </c>
      <c r="X65" s="1110">
        <f t="shared" si="23"/>
        <v>46485000</v>
      </c>
      <c r="Z65" s="1102">
        <f t="shared" si="2"/>
        <v>0</v>
      </c>
      <c r="AA65" s="873">
        <f t="shared" si="3"/>
        <v>0</v>
      </c>
      <c r="AB65" s="873">
        <f t="shared" si="4"/>
        <v>0</v>
      </c>
      <c r="AC65" s="885">
        <f t="shared" si="5"/>
        <v>-235653.12499999997</v>
      </c>
      <c r="AZ65" s="438"/>
      <c r="BA65" s="438"/>
      <c r="BB65" s="438"/>
      <c r="BC65" s="1156"/>
      <c r="BD65" s="451"/>
      <c r="BE65" s="438"/>
      <c r="BF65" s="1156"/>
      <c r="BG65" s="440"/>
      <c r="BH65" s="438"/>
      <c r="BI65" s="1156"/>
      <c r="BJ65" s="451"/>
      <c r="BK65" s="438"/>
      <c r="BL65" s="451"/>
      <c r="BM65" s="451"/>
      <c r="BN65" s="438"/>
      <c r="BO65" s="447">
        <f t="shared" si="45"/>
        <v>0.74000000000000032</v>
      </c>
      <c r="BP65" s="450">
        <v>0.84</v>
      </c>
      <c r="BQ65" s="450">
        <f>BQ64+0.016</f>
        <v>0.93200000000000005</v>
      </c>
      <c r="BR65" s="449">
        <f>BR64+0.03</f>
        <v>0.85000000000000009</v>
      </c>
    </row>
    <row r="66" spans="1:70" s="278" customFormat="1" ht="12" customHeight="1" x14ac:dyDescent="0.25">
      <c r="A66" s="880"/>
      <c r="B66" s="1108">
        <f>IF(C66&lt;'Financing Assumptions'!$G$25,0,IF(C66='Financing Assumptions'!$G$25,1,IF(C66&gt;'Financing Assumptions'!$G$25,B65+1)))</f>
        <v>47</v>
      </c>
      <c r="C66" s="1109">
        <f t="shared" si="17"/>
        <v>49</v>
      </c>
      <c r="D66" s="732">
        <f t="shared" si="6"/>
        <v>28</v>
      </c>
      <c r="E66" s="35">
        <f t="shared" si="7"/>
        <v>2</v>
      </c>
      <c r="F66" s="889">
        <f t="shared" si="25"/>
        <v>47542</v>
      </c>
      <c r="G66" s="822">
        <f t="shared" si="8"/>
        <v>2</v>
      </c>
      <c r="H66" s="126">
        <f t="shared" si="0"/>
        <v>0</v>
      </c>
      <c r="I66" s="1098">
        <f t="shared" si="26"/>
        <v>0</v>
      </c>
      <c r="J66" s="887">
        <f t="shared" si="18"/>
        <v>47</v>
      </c>
      <c r="K66" s="1099">
        <f t="shared" si="9"/>
        <v>21</v>
      </c>
      <c r="L66" s="891" t="str">
        <f t="shared" si="19"/>
        <v>February</v>
      </c>
      <c r="M66" s="888">
        <f t="shared" si="20"/>
        <v>2030</v>
      </c>
      <c r="N66" s="1284">
        <f t="shared" si="31"/>
        <v>0</v>
      </c>
      <c r="O66" s="1284">
        <f t="shared" si="21"/>
        <v>0</v>
      </c>
      <c r="P66" s="883">
        <f t="shared" si="22"/>
        <v>46485000</v>
      </c>
      <c r="Q66" s="883">
        <f t="shared" si="10"/>
        <v>-235653.12499999997</v>
      </c>
      <c r="R66" s="1100"/>
      <c r="S66" s="883">
        <f t="shared" si="1"/>
        <v>0</v>
      </c>
      <c r="T66" s="884">
        <f t="shared" si="29"/>
        <v>-235653.12499999997</v>
      </c>
      <c r="U66" s="884">
        <f>IF(AND($AU$43="Early Payoff",J66&gt;$U$15),0,IF($J66&lt;=$U$8,SUM($S$20:$S66),0))</f>
        <v>0</v>
      </c>
      <c r="V66" s="884">
        <f>IF(AND($AU$43="Early Payoff",J66&gt;$U$15),0,IF($J66&lt;=$U$8,SUM($T$20:$T66),0))</f>
        <v>-8141815.46875</v>
      </c>
      <c r="W66" s="885">
        <f t="shared" si="11"/>
        <v>46485000</v>
      </c>
      <c r="X66" s="1110">
        <f t="shared" si="23"/>
        <v>46485000</v>
      </c>
      <c r="Z66" s="1102">
        <f t="shared" si="2"/>
        <v>0</v>
      </c>
      <c r="AA66" s="873">
        <f t="shared" si="3"/>
        <v>0</v>
      </c>
      <c r="AB66" s="873">
        <f t="shared" si="4"/>
        <v>0</v>
      </c>
      <c r="AC66" s="885">
        <f t="shared" si="5"/>
        <v>-235653.12499999997</v>
      </c>
      <c r="AZ66" s="438"/>
      <c r="BA66" s="438"/>
      <c r="BB66" s="438"/>
      <c r="BC66" s="438"/>
      <c r="BD66" s="438"/>
      <c r="BE66" s="438"/>
      <c r="BF66" s="438"/>
      <c r="BG66" s="440"/>
      <c r="BH66" s="438"/>
      <c r="BI66" s="438"/>
      <c r="BJ66" s="438"/>
      <c r="BK66" s="438"/>
      <c r="BL66" s="438"/>
      <c r="BM66" s="438"/>
      <c r="BN66" s="438"/>
      <c r="BO66" s="447">
        <f t="shared" si="45"/>
        <v>0.76000000000000034</v>
      </c>
      <c r="BP66" s="450">
        <v>0.86</v>
      </c>
      <c r="BQ66" s="450">
        <f>BQ65+0.016</f>
        <v>0.94800000000000006</v>
      </c>
      <c r="BR66" s="449">
        <f>BR65+0.03</f>
        <v>0.88000000000000012</v>
      </c>
    </row>
    <row r="67" spans="1:70" s="278" customFormat="1" ht="12" customHeight="1" x14ac:dyDescent="0.25">
      <c r="A67" s="880"/>
      <c r="B67" s="1108">
        <f>IF(C67&lt;'Financing Assumptions'!$G$25,0,IF(C67='Financing Assumptions'!$G$25,1,IF(C67&gt;'Financing Assumptions'!$G$25,B66+1)))</f>
        <v>48</v>
      </c>
      <c r="C67" s="1109">
        <f t="shared" si="17"/>
        <v>50</v>
      </c>
      <c r="D67" s="732">
        <f t="shared" si="6"/>
        <v>31</v>
      </c>
      <c r="E67" s="35">
        <f t="shared" si="7"/>
        <v>3</v>
      </c>
      <c r="F67" s="889">
        <f t="shared" si="25"/>
        <v>47573</v>
      </c>
      <c r="G67" s="822">
        <f t="shared" si="8"/>
        <v>3</v>
      </c>
      <c r="H67" s="126">
        <f t="shared" si="0"/>
        <v>0</v>
      </c>
      <c r="I67" s="1098">
        <f t="shared" si="26"/>
        <v>0</v>
      </c>
      <c r="J67" s="887">
        <f t="shared" si="18"/>
        <v>48</v>
      </c>
      <c r="K67" s="1099">
        <f t="shared" si="9"/>
        <v>22</v>
      </c>
      <c r="L67" s="891" t="str">
        <f t="shared" si="19"/>
        <v>March</v>
      </c>
      <c r="M67" s="888">
        <f t="shared" si="20"/>
        <v>2030</v>
      </c>
      <c r="N67" s="1284">
        <f t="shared" si="31"/>
        <v>0</v>
      </c>
      <c r="O67" s="1284">
        <f t="shared" si="21"/>
        <v>0</v>
      </c>
      <c r="P67" s="883">
        <f t="shared" si="22"/>
        <v>46485000</v>
      </c>
      <c r="Q67" s="883">
        <f t="shared" si="10"/>
        <v>-235653.12499999997</v>
      </c>
      <c r="R67" s="1100"/>
      <c r="S67" s="883">
        <f t="shared" si="1"/>
        <v>0</v>
      </c>
      <c r="T67" s="884">
        <f t="shared" si="29"/>
        <v>-235653.12499999997</v>
      </c>
      <c r="U67" s="884">
        <f>IF(AND($AU$43="Early Payoff",J67&gt;$U$15),0,IF($J67&lt;=$U$8,SUM($S$20:$S67),0))</f>
        <v>0</v>
      </c>
      <c r="V67" s="884">
        <f>IF(AND($AU$43="Early Payoff",J67&gt;$U$15),0,IF($J67&lt;=$U$8,SUM($T$20:$T67),0))</f>
        <v>-8377468.59375</v>
      </c>
      <c r="W67" s="885">
        <f>IF($K67&lt;=$U$15,SUM($P67,$S67),0)</f>
        <v>46485000</v>
      </c>
      <c r="X67" s="1110">
        <f t="shared" si="23"/>
        <v>46485000</v>
      </c>
      <c r="Z67" s="1102">
        <f t="shared" si="2"/>
        <v>0</v>
      </c>
      <c r="AA67" s="873">
        <f t="shared" si="3"/>
        <v>0</v>
      </c>
      <c r="AB67" s="873">
        <f t="shared" si="4"/>
        <v>0</v>
      </c>
      <c r="AC67" s="885">
        <f t="shared" si="5"/>
        <v>-235653.12499999997</v>
      </c>
      <c r="AZ67" s="438"/>
      <c r="BA67" s="438"/>
      <c r="BB67" s="438"/>
      <c r="BC67" s="438"/>
      <c r="BD67" s="438"/>
      <c r="BE67" s="438"/>
      <c r="BF67" s="438"/>
      <c r="BG67" s="440"/>
      <c r="BH67" s="438"/>
      <c r="BI67" s="438"/>
      <c r="BJ67" s="438"/>
      <c r="BK67" s="438"/>
      <c r="BL67" s="438"/>
      <c r="BM67" s="438"/>
      <c r="BN67" s="438"/>
      <c r="BO67" s="447">
        <f t="shared" si="45"/>
        <v>0.78000000000000036</v>
      </c>
      <c r="BP67" s="450">
        <v>0.88</v>
      </c>
      <c r="BQ67" s="450">
        <f>BQ66+0.016</f>
        <v>0.96400000000000008</v>
      </c>
      <c r="BR67" s="449">
        <f>BR66+0.03</f>
        <v>0.91000000000000014</v>
      </c>
    </row>
    <row r="68" spans="1:70" s="278" customFormat="1" ht="12" customHeight="1" x14ac:dyDescent="0.25">
      <c r="A68" s="880"/>
      <c r="B68" s="1108">
        <f>IF(C68&lt;'Financing Assumptions'!$G$25,0,IF(C68='Financing Assumptions'!$G$25,1,IF(C68&gt;'Financing Assumptions'!$G$25,B67+1)))</f>
        <v>49</v>
      </c>
      <c r="C68" s="1109">
        <f t="shared" si="17"/>
        <v>51</v>
      </c>
      <c r="D68" s="732">
        <f t="shared" si="6"/>
        <v>30</v>
      </c>
      <c r="E68" s="35">
        <f t="shared" si="7"/>
        <v>4</v>
      </c>
      <c r="F68" s="889">
        <f t="shared" si="25"/>
        <v>47603</v>
      </c>
      <c r="G68" s="822">
        <f t="shared" si="8"/>
        <v>4</v>
      </c>
      <c r="H68" s="126">
        <f t="shared" si="0"/>
        <v>0</v>
      </c>
      <c r="I68" s="1098">
        <f t="shared" si="26"/>
        <v>0</v>
      </c>
      <c r="J68" s="887">
        <f t="shared" si="18"/>
        <v>49</v>
      </c>
      <c r="K68" s="1099">
        <f t="shared" si="9"/>
        <v>23</v>
      </c>
      <c r="L68" s="891" t="str">
        <f t="shared" si="19"/>
        <v>April</v>
      </c>
      <c r="M68" s="888">
        <f t="shared" si="20"/>
        <v>2030</v>
      </c>
      <c r="N68" s="1284">
        <f t="shared" si="31"/>
        <v>0</v>
      </c>
      <c r="O68" s="1284">
        <f t="shared" si="21"/>
        <v>0</v>
      </c>
      <c r="P68" s="883">
        <f t="shared" si="22"/>
        <v>46485000</v>
      </c>
      <c r="Q68" s="883">
        <f t="shared" si="10"/>
        <v>-235653.12499999997</v>
      </c>
      <c r="R68" s="1100"/>
      <c r="S68" s="883">
        <f t="shared" si="1"/>
        <v>0</v>
      </c>
      <c r="T68" s="884">
        <f t="shared" si="29"/>
        <v>-235653.12499999997</v>
      </c>
      <c r="U68" s="884">
        <f>IF(AND($AU$43="Early Payoff",J68&gt;$U$15),0,IF($J68&lt;=$U$8,SUM($S$20:$S68),0))</f>
        <v>0</v>
      </c>
      <c r="V68" s="884">
        <f>IF(AND($AU$43="Early Payoff",J68&gt;$U$15),0,IF($J68&lt;=$U$8,SUM($T$20:$T68),0))</f>
        <v>-8613121.71875</v>
      </c>
      <c r="W68" s="885">
        <f t="shared" si="11"/>
        <v>46485000</v>
      </c>
      <c r="X68" s="1110">
        <f t="shared" si="23"/>
        <v>46485000</v>
      </c>
      <c r="Z68" s="1102">
        <f t="shared" si="2"/>
        <v>0</v>
      </c>
      <c r="AA68" s="873">
        <f t="shared" si="3"/>
        <v>0</v>
      </c>
      <c r="AB68" s="873">
        <f t="shared" si="4"/>
        <v>0</v>
      </c>
      <c r="AC68" s="885">
        <f t="shared" si="5"/>
        <v>-235653.12499999997</v>
      </c>
      <c r="AZ68" s="438"/>
      <c r="BA68" s="438"/>
      <c r="BB68" s="438"/>
      <c r="BC68" s="438"/>
      <c r="BD68" s="438"/>
      <c r="BE68" s="438"/>
      <c r="BF68" s="438"/>
      <c r="BG68" s="440"/>
      <c r="BH68" s="438"/>
      <c r="BI68" s="438"/>
      <c r="BJ68" s="438"/>
      <c r="BK68" s="438"/>
      <c r="BL68" s="438"/>
      <c r="BM68" s="438"/>
      <c r="BN68" s="438"/>
      <c r="BO68" s="447">
        <f t="shared" si="45"/>
        <v>0.80000000000000038</v>
      </c>
      <c r="BP68" s="450">
        <v>0.9</v>
      </c>
      <c r="BQ68" s="450">
        <v>0.98</v>
      </c>
      <c r="BR68" s="449">
        <v>0.94</v>
      </c>
    </row>
    <row r="69" spans="1:70" s="278" customFormat="1" ht="12" customHeight="1" x14ac:dyDescent="0.25">
      <c r="A69" s="880"/>
      <c r="B69" s="1108">
        <f>IF(C69&lt;'Financing Assumptions'!$G$25,0,IF(C69='Financing Assumptions'!$G$25,1,IF(C69&gt;'Financing Assumptions'!$G$25,B68+1)))</f>
        <v>50</v>
      </c>
      <c r="C69" s="1109">
        <f t="shared" si="17"/>
        <v>52</v>
      </c>
      <c r="D69" s="732">
        <f t="shared" si="6"/>
        <v>31</v>
      </c>
      <c r="E69" s="35">
        <f t="shared" si="7"/>
        <v>5</v>
      </c>
      <c r="F69" s="889">
        <f t="shared" si="25"/>
        <v>47634</v>
      </c>
      <c r="G69" s="822">
        <f t="shared" si="8"/>
        <v>5</v>
      </c>
      <c r="H69" s="126">
        <f t="shared" si="0"/>
        <v>0</v>
      </c>
      <c r="I69" s="1098">
        <f t="shared" si="26"/>
        <v>0</v>
      </c>
      <c r="J69" s="887">
        <f t="shared" si="18"/>
        <v>50</v>
      </c>
      <c r="K69" s="1099">
        <f t="shared" si="9"/>
        <v>24</v>
      </c>
      <c r="L69" s="891" t="str">
        <f t="shared" si="19"/>
        <v>May</v>
      </c>
      <c r="M69" s="888">
        <f t="shared" si="20"/>
        <v>2030</v>
      </c>
      <c r="N69" s="1284">
        <f t="shared" si="31"/>
        <v>0</v>
      </c>
      <c r="O69" s="1284">
        <f t="shared" si="21"/>
        <v>0</v>
      </c>
      <c r="P69" s="883">
        <f t="shared" si="22"/>
        <v>46485000</v>
      </c>
      <c r="Q69" s="883">
        <f t="shared" si="10"/>
        <v>-235653.12499999997</v>
      </c>
      <c r="R69" s="1100"/>
      <c r="S69" s="883">
        <f t="shared" si="1"/>
        <v>0</v>
      </c>
      <c r="T69" s="884">
        <f t="shared" si="29"/>
        <v>-235653.12499999997</v>
      </c>
      <c r="U69" s="884">
        <f>IF(AND($AU$43="Early Payoff",J69&gt;$U$15),0,IF($J69&lt;=$U$8,SUM($S$20:$S69),0))</f>
        <v>0</v>
      </c>
      <c r="V69" s="884">
        <f>IF(AND($AU$43="Early Payoff",J69&gt;$U$15),0,IF($J69&lt;=$U$8,SUM($T$20:$T69),0))</f>
        <v>-8848774.84375</v>
      </c>
      <c r="W69" s="885">
        <f t="shared" si="11"/>
        <v>46485000</v>
      </c>
      <c r="X69" s="1110">
        <f t="shared" si="23"/>
        <v>46485000</v>
      </c>
      <c r="Z69" s="1102">
        <f t="shared" si="2"/>
        <v>0</v>
      </c>
      <c r="AA69" s="873">
        <f t="shared" si="3"/>
        <v>0</v>
      </c>
      <c r="AB69" s="873">
        <f t="shared" si="4"/>
        <v>0</v>
      </c>
      <c r="AC69" s="885">
        <f t="shared" si="5"/>
        <v>-235653.12499999997</v>
      </c>
      <c r="AZ69" s="438"/>
      <c r="BA69" s="438"/>
      <c r="BB69" s="438"/>
      <c r="BC69" s="438"/>
      <c r="BD69" s="438"/>
      <c r="BE69" s="438"/>
      <c r="BF69" s="438"/>
      <c r="BG69" s="440"/>
      <c r="BH69" s="438"/>
      <c r="BI69" s="438"/>
      <c r="BJ69" s="438"/>
      <c r="BK69" s="438"/>
      <c r="BL69" s="438"/>
      <c r="BM69" s="438"/>
      <c r="BN69" s="438"/>
      <c r="BO69" s="447">
        <f>BO68+0.01</f>
        <v>0.81000000000000039</v>
      </c>
      <c r="BP69" s="446">
        <f>(BP70+BP68)/2</f>
        <v>0.90800000000000003</v>
      </c>
      <c r="BQ69" s="446">
        <f>(BQ70+BQ68)/2</f>
        <v>0.98009999999999997</v>
      </c>
      <c r="BR69" s="445">
        <f>(BR70+BR68)/2</f>
        <v>0.94399999999999995</v>
      </c>
    </row>
    <row r="70" spans="1:70" s="278" customFormat="1" ht="12" customHeight="1" x14ac:dyDescent="0.25">
      <c r="A70" s="880"/>
      <c r="B70" s="1108">
        <f>IF(C70&lt;'Financing Assumptions'!$G$25,0,IF(C70='Financing Assumptions'!$G$25,1,IF(C70&gt;'Financing Assumptions'!$G$25,B69+1)))</f>
        <v>51</v>
      </c>
      <c r="C70" s="1109">
        <f t="shared" si="17"/>
        <v>53</v>
      </c>
      <c r="D70" s="732">
        <f t="shared" si="6"/>
        <v>30</v>
      </c>
      <c r="E70" s="35">
        <f t="shared" si="7"/>
        <v>6</v>
      </c>
      <c r="F70" s="889">
        <f t="shared" si="25"/>
        <v>47664</v>
      </c>
      <c r="G70" s="822">
        <f t="shared" si="8"/>
        <v>6</v>
      </c>
      <c r="H70" s="126">
        <f t="shared" si="0"/>
        <v>0</v>
      </c>
      <c r="I70" s="1098">
        <f t="shared" si="26"/>
        <v>0</v>
      </c>
      <c r="J70" s="887">
        <f t="shared" si="18"/>
        <v>51</v>
      </c>
      <c r="K70" s="1099">
        <f t="shared" si="9"/>
        <v>25</v>
      </c>
      <c r="L70" s="891" t="str">
        <f t="shared" si="19"/>
        <v>June</v>
      </c>
      <c r="M70" s="888">
        <f t="shared" si="20"/>
        <v>2030</v>
      </c>
      <c r="N70" s="1284">
        <f t="shared" si="31"/>
        <v>0</v>
      </c>
      <c r="O70" s="1284">
        <f t="shared" si="21"/>
        <v>0</v>
      </c>
      <c r="P70" s="883">
        <f t="shared" si="22"/>
        <v>46485000</v>
      </c>
      <c r="Q70" s="883">
        <f t="shared" si="10"/>
        <v>-235653.12499999997</v>
      </c>
      <c r="R70" s="1100"/>
      <c r="S70" s="883">
        <f t="shared" si="1"/>
        <v>0</v>
      </c>
      <c r="T70" s="884">
        <f t="shared" si="29"/>
        <v>-235653.12499999997</v>
      </c>
      <c r="U70" s="884">
        <f>IF(AND($AU$43="Early Payoff",J70&gt;$U$15),0,IF($J70&lt;=$U$8,SUM($S$20:$S70),0))</f>
        <v>0</v>
      </c>
      <c r="V70" s="884">
        <f>IF(AND($AU$43="Early Payoff",J70&gt;$U$15),0,IF($J70&lt;=$U$8,SUM($T$20:$T70),0))</f>
        <v>-9084427.96875</v>
      </c>
      <c r="W70" s="885">
        <f t="shared" si="11"/>
        <v>46485000</v>
      </c>
      <c r="X70" s="1110">
        <f t="shared" si="23"/>
        <v>46485000</v>
      </c>
      <c r="Z70" s="1102">
        <f t="shared" si="2"/>
        <v>0</v>
      </c>
      <c r="AA70" s="873">
        <f t="shared" si="3"/>
        <v>0</v>
      </c>
      <c r="AB70" s="873">
        <f t="shared" si="4"/>
        <v>0</v>
      </c>
      <c r="AC70" s="885">
        <f t="shared" si="5"/>
        <v>-235653.12499999997</v>
      </c>
      <c r="AZ70" s="438"/>
      <c r="BA70" s="438"/>
      <c r="BB70" s="438"/>
      <c r="BC70" s="438"/>
      <c r="BD70" s="438"/>
      <c r="BE70" s="438"/>
      <c r="BF70" s="438"/>
      <c r="BG70" s="440"/>
      <c r="BH70" s="438"/>
      <c r="BI70" s="438"/>
      <c r="BJ70" s="438"/>
      <c r="BK70" s="438"/>
      <c r="BL70" s="438"/>
      <c r="BM70" s="438"/>
      <c r="BN70" s="438"/>
      <c r="BO70" s="447">
        <f t="shared" ref="BO70:BO87" si="53">BO69+0.01</f>
        <v>0.8200000000000004</v>
      </c>
      <c r="BP70" s="446">
        <f>BP68+0.016</f>
        <v>0.91600000000000004</v>
      </c>
      <c r="BQ70" s="446">
        <f>BQ68+0.0002</f>
        <v>0.98019999999999996</v>
      </c>
      <c r="BR70" s="445">
        <f>BR68+0.008</f>
        <v>0.94799999999999995</v>
      </c>
    </row>
    <row r="71" spans="1:70" s="278" customFormat="1" ht="12" customHeight="1" x14ac:dyDescent="0.25">
      <c r="A71" s="880"/>
      <c r="B71" s="1108">
        <f>IF(C71&lt;'Financing Assumptions'!$G$25,0,IF(C71='Financing Assumptions'!$G$25,1,IF(C71&gt;'Financing Assumptions'!$G$25,B70+1)))</f>
        <v>52</v>
      </c>
      <c r="C71" s="1109">
        <f t="shared" si="17"/>
        <v>54</v>
      </c>
      <c r="D71" s="732">
        <f t="shared" si="6"/>
        <v>31</v>
      </c>
      <c r="E71" s="35">
        <f t="shared" si="7"/>
        <v>7</v>
      </c>
      <c r="F71" s="889">
        <f t="shared" si="25"/>
        <v>47695</v>
      </c>
      <c r="G71" s="822">
        <f t="shared" si="8"/>
        <v>7</v>
      </c>
      <c r="H71" s="126">
        <f t="shared" si="0"/>
        <v>0</v>
      </c>
      <c r="I71" s="1098">
        <f t="shared" si="26"/>
        <v>0</v>
      </c>
      <c r="J71" s="887">
        <f t="shared" si="18"/>
        <v>52</v>
      </c>
      <c r="K71" s="1099">
        <f t="shared" si="9"/>
        <v>26</v>
      </c>
      <c r="L71" s="891" t="str">
        <f t="shared" si="19"/>
        <v>July</v>
      </c>
      <c r="M71" s="888">
        <f t="shared" si="20"/>
        <v>2030</v>
      </c>
      <c r="N71" s="1284">
        <f t="shared" si="31"/>
        <v>0</v>
      </c>
      <c r="O71" s="1284">
        <f t="shared" si="21"/>
        <v>0</v>
      </c>
      <c r="P71" s="883">
        <f t="shared" si="22"/>
        <v>46485000</v>
      </c>
      <c r="Q71" s="883">
        <f t="shared" si="10"/>
        <v>-235653.12499999997</v>
      </c>
      <c r="R71" s="1100"/>
      <c r="S71" s="883">
        <f t="shared" si="1"/>
        <v>0</v>
      </c>
      <c r="T71" s="884">
        <f t="shared" si="29"/>
        <v>-235653.12499999997</v>
      </c>
      <c r="U71" s="884">
        <f>IF(AND($AU$43="Early Payoff",J71&gt;$U$15),0,IF($J71&lt;=$U$8,SUM($S$20:$S71),0))</f>
        <v>0</v>
      </c>
      <c r="V71" s="884">
        <f>IF(AND($AU$43="Early Payoff",J71&gt;$U$15),0,IF($J71&lt;=$U$8,SUM($T$20:$T71),0))</f>
        <v>-9320081.09375</v>
      </c>
      <c r="W71" s="885">
        <f t="shared" si="11"/>
        <v>46485000</v>
      </c>
      <c r="X71" s="1110">
        <f t="shared" si="23"/>
        <v>46485000</v>
      </c>
      <c r="Z71" s="1102">
        <f t="shared" si="2"/>
        <v>0</v>
      </c>
      <c r="AA71" s="873">
        <f t="shared" si="3"/>
        <v>0</v>
      </c>
      <c r="AB71" s="873">
        <f t="shared" si="4"/>
        <v>0</v>
      </c>
      <c r="AC71" s="885">
        <f t="shared" si="5"/>
        <v>-235653.12499999997</v>
      </c>
      <c r="AZ71" s="438"/>
      <c r="BA71" s="438"/>
      <c r="BB71" s="438"/>
      <c r="BC71" s="438"/>
      <c r="BD71" s="438"/>
      <c r="BE71" s="438"/>
      <c r="BF71" s="438"/>
      <c r="BG71" s="440"/>
      <c r="BH71" s="438"/>
      <c r="BI71" s="438"/>
      <c r="BJ71" s="438"/>
      <c r="BK71" s="438"/>
      <c r="BL71" s="438"/>
      <c r="BM71" s="438"/>
      <c r="BN71" s="438"/>
      <c r="BO71" s="447">
        <f t="shared" si="53"/>
        <v>0.8300000000000004</v>
      </c>
      <c r="BP71" s="446">
        <f>(BP72+BP70)/2</f>
        <v>0.92400000000000004</v>
      </c>
      <c r="BQ71" s="446">
        <f>(BQ72+BQ70)/2</f>
        <v>0.98029999999999995</v>
      </c>
      <c r="BR71" s="445">
        <f>(BR72+BR70)/2</f>
        <v>0.95199999999999996</v>
      </c>
    </row>
    <row r="72" spans="1:70" s="278" customFormat="1" ht="12" customHeight="1" x14ac:dyDescent="0.25">
      <c r="A72" s="299"/>
      <c r="B72" s="1108">
        <f>IF(C72&lt;'Financing Assumptions'!$G$25,0,IF(C72='Financing Assumptions'!$G$25,1,IF(C72&gt;'Financing Assumptions'!$G$25,B71+1)))</f>
        <v>53</v>
      </c>
      <c r="C72" s="1109">
        <f t="shared" si="17"/>
        <v>55</v>
      </c>
      <c r="D72" s="732">
        <f t="shared" si="6"/>
        <v>31</v>
      </c>
      <c r="E72" s="35">
        <f t="shared" si="7"/>
        <v>8</v>
      </c>
      <c r="F72" s="889">
        <f t="shared" si="25"/>
        <v>47726</v>
      </c>
      <c r="G72" s="822">
        <f t="shared" si="8"/>
        <v>8</v>
      </c>
      <c r="H72" s="126">
        <f t="shared" si="0"/>
        <v>0</v>
      </c>
      <c r="I72" s="1098">
        <f t="shared" si="26"/>
        <v>0</v>
      </c>
      <c r="J72" s="887">
        <f t="shared" si="18"/>
        <v>53</v>
      </c>
      <c r="K72" s="1099">
        <f t="shared" si="9"/>
        <v>27</v>
      </c>
      <c r="L72" s="891" t="str">
        <f t="shared" si="19"/>
        <v>August</v>
      </c>
      <c r="M72" s="888">
        <f t="shared" si="20"/>
        <v>2030</v>
      </c>
      <c r="N72" s="1284">
        <f t="shared" si="31"/>
        <v>0</v>
      </c>
      <c r="O72" s="1284">
        <f t="shared" si="21"/>
        <v>0</v>
      </c>
      <c r="P72" s="883">
        <f t="shared" si="22"/>
        <v>46485000</v>
      </c>
      <c r="Q72" s="883">
        <f t="shared" si="10"/>
        <v>-235653.12499999997</v>
      </c>
      <c r="R72" s="1100"/>
      <c r="S72" s="883">
        <f t="shared" si="1"/>
        <v>0</v>
      </c>
      <c r="T72" s="884">
        <f t="shared" si="29"/>
        <v>-235653.12499999997</v>
      </c>
      <c r="U72" s="884">
        <f>IF(AND($AU$43="Early Payoff",J72&gt;$U$15),0,IF($J72&lt;=$U$8,SUM($S$20:$S72),0))</f>
        <v>0</v>
      </c>
      <c r="V72" s="884">
        <f>IF(AND($AU$43="Early Payoff",J72&gt;$U$15),0,IF($J72&lt;=$U$8,SUM($T$20:$T72),0))</f>
        <v>-9555734.21875</v>
      </c>
      <c r="W72" s="885">
        <f t="shared" si="11"/>
        <v>46485000</v>
      </c>
      <c r="X72" s="1110">
        <f t="shared" si="23"/>
        <v>46485000</v>
      </c>
      <c r="Z72" s="1102">
        <f t="shared" si="2"/>
        <v>0</v>
      </c>
      <c r="AA72" s="873">
        <f t="shared" si="3"/>
        <v>0</v>
      </c>
      <c r="AB72" s="873">
        <f t="shared" si="4"/>
        <v>0</v>
      </c>
      <c r="AC72" s="885">
        <f t="shared" si="5"/>
        <v>-235653.12499999997</v>
      </c>
      <c r="AZ72" s="438"/>
      <c r="BA72" s="438"/>
      <c r="BB72" s="438"/>
      <c r="BC72" s="438"/>
      <c r="BD72" s="438"/>
      <c r="BE72" s="438"/>
      <c r="BF72" s="438"/>
      <c r="BG72" s="440"/>
      <c r="BH72" s="438"/>
      <c r="BI72" s="438"/>
      <c r="BJ72" s="438"/>
      <c r="BK72" s="438"/>
      <c r="BL72" s="438"/>
      <c r="BM72" s="438"/>
      <c r="BN72" s="438"/>
      <c r="BO72" s="447">
        <f t="shared" si="53"/>
        <v>0.84000000000000041</v>
      </c>
      <c r="BP72" s="446">
        <f>BP70+0.016</f>
        <v>0.93200000000000005</v>
      </c>
      <c r="BQ72" s="446">
        <f>BQ70+0.0002</f>
        <v>0.98039999999999994</v>
      </c>
      <c r="BR72" s="445">
        <f>BR70+0.008</f>
        <v>0.95599999999999996</v>
      </c>
    </row>
    <row r="73" spans="1:70" s="278" customFormat="1" ht="12" customHeight="1" x14ac:dyDescent="0.25">
      <c r="A73" s="299"/>
      <c r="B73" s="1108">
        <f>IF(C73&lt;'Financing Assumptions'!$G$25,0,IF(C73='Financing Assumptions'!$G$25,1,IF(C73&gt;'Financing Assumptions'!$G$25,B72+1)))</f>
        <v>54</v>
      </c>
      <c r="C73" s="1109">
        <f t="shared" si="17"/>
        <v>56</v>
      </c>
      <c r="D73" s="732">
        <f t="shared" si="6"/>
        <v>30</v>
      </c>
      <c r="E73" s="35">
        <f t="shared" si="7"/>
        <v>9</v>
      </c>
      <c r="F73" s="889">
        <f t="shared" si="25"/>
        <v>47756</v>
      </c>
      <c r="G73" s="822">
        <f t="shared" si="8"/>
        <v>9</v>
      </c>
      <c r="H73" s="126">
        <f t="shared" si="0"/>
        <v>0</v>
      </c>
      <c r="I73" s="1098">
        <f t="shared" si="26"/>
        <v>0</v>
      </c>
      <c r="J73" s="887">
        <f t="shared" si="18"/>
        <v>54</v>
      </c>
      <c r="K73" s="1099">
        <f t="shared" si="9"/>
        <v>28</v>
      </c>
      <c r="L73" s="891" t="str">
        <f t="shared" si="19"/>
        <v>September</v>
      </c>
      <c r="M73" s="888">
        <f t="shared" si="20"/>
        <v>2030</v>
      </c>
      <c r="N73" s="1284">
        <f t="shared" si="31"/>
        <v>0</v>
      </c>
      <c r="O73" s="1284">
        <f t="shared" si="21"/>
        <v>0</v>
      </c>
      <c r="P73" s="883">
        <f t="shared" si="22"/>
        <v>46485000</v>
      </c>
      <c r="Q73" s="883">
        <f t="shared" si="10"/>
        <v>-235653.12499999997</v>
      </c>
      <c r="R73" s="1100"/>
      <c r="S73" s="883">
        <f t="shared" si="1"/>
        <v>0</v>
      </c>
      <c r="T73" s="884">
        <f t="shared" si="29"/>
        <v>-235653.12499999997</v>
      </c>
      <c r="U73" s="884">
        <f>IF(AND($AU$43="Early Payoff",J73&gt;$U$15),0,IF($J73&lt;=$U$8,SUM($S$20:$S73),0))</f>
        <v>0</v>
      </c>
      <c r="V73" s="884">
        <f>IF(AND($AU$43="Early Payoff",J73&gt;$U$15),0,IF($J73&lt;=$U$8,SUM($T$20:$T73),0))</f>
        <v>-9791387.34375</v>
      </c>
      <c r="W73" s="885">
        <f t="shared" si="11"/>
        <v>46485000</v>
      </c>
      <c r="X73" s="1110">
        <f t="shared" si="23"/>
        <v>46485000</v>
      </c>
      <c r="Z73" s="1102">
        <f t="shared" si="2"/>
        <v>0</v>
      </c>
      <c r="AA73" s="873">
        <f t="shared" si="3"/>
        <v>0</v>
      </c>
      <c r="AB73" s="873">
        <f t="shared" si="4"/>
        <v>0</v>
      </c>
      <c r="AC73" s="885">
        <f t="shared" si="5"/>
        <v>-235653.12499999997</v>
      </c>
      <c r="AZ73" s="438"/>
      <c r="BA73" s="438"/>
      <c r="BB73" s="438"/>
      <c r="BC73" s="438"/>
      <c r="BD73" s="438"/>
      <c r="BE73" s="438"/>
      <c r="BF73" s="438"/>
      <c r="BG73" s="440"/>
      <c r="BH73" s="438"/>
      <c r="BI73" s="438"/>
      <c r="BJ73" s="438"/>
      <c r="BK73" s="438"/>
      <c r="BL73" s="438"/>
      <c r="BM73" s="438"/>
      <c r="BN73" s="438"/>
      <c r="BO73" s="447">
        <f t="shared" si="53"/>
        <v>0.85000000000000042</v>
      </c>
      <c r="BP73" s="446">
        <f>(BP74+BP72)/2</f>
        <v>0.94000000000000006</v>
      </c>
      <c r="BQ73" s="446">
        <f>(BQ74+BQ72)/2</f>
        <v>0.98049999999999993</v>
      </c>
      <c r="BR73" s="445">
        <f>(BR74+BR72)/2</f>
        <v>0.96</v>
      </c>
    </row>
    <row r="74" spans="1:70" s="278" customFormat="1" ht="12" customHeight="1" x14ac:dyDescent="0.25">
      <c r="A74" s="299"/>
      <c r="B74" s="1108">
        <f>IF(C74&lt;'Financing Assumptions'!$G$25,0,IF(C74='Financing Assumptions'!$G$25,1,IF(C74&gt;'Financing Assumptions'!$G$25,B73+1)))</f>
        <v>55</v>
      </c>
      <c r="C74" s="1109">
        <f t="shared" si="17"/>
        <v>57</v>
      </c>
      <c r="D74" s="732">
        <f t="shared" si="6"/>
        <v>31</v>
      </c>
      <c r="E74" s="35">
        <f t="shared" si="7"/>
        <v>10</v>
      </c>
      <c r="F74" s="889">
        <f t="shared" si="25"/>
        <v>47787</v>
      </c>
      <c r="G74" s="822">
        <f t="shared" si="8"/>
        <v>10</v>
      </c>
      <c r="H74" s="126">
        <f t="shared" si="0"/>
        <v>0</v>
      </c>
      <c r="I74" s="1098">
        <f t="shared" si="26"/>
        <v>0</v>
      </c>
      <c r="J74" s="887">
        <f t="shared" si="18"/>
        <v>55</v>
      </c>
      <c r="K74" s="1099">
        <f t="shared" si="9"/>
        <v>29</v>
      </c>
      <c r="L74" s="891" t="str">
        <f t="shared" si="19"/>
        <v>October</v>
      </c>
      <c r="M74" s="888">
        <f t="shared" si="20"/>
        <v>2030</v>
      </c>
      <c r="N74" s="1284">
        <f t="shared" si="31"/>
        <v>0</v>
      </c>
      <c r="O74" s="1284">
        <f t="shared" si="21"/>
        <v>0</v>
      </c>
      <c r="P74" s="883">
        <f t="shared" si="22"/>
        <v>46485000</v>
      </c>
      <c r="Q74" s="883">
        <f t="shared" si="10"/>
        <v>-235653.12499999997</v>
      </c>
      <c r="R74" s="1100"/>
      <c r="S74" s="883">
        <f t="shared" si="1"/>
        <v>0</v>
      </c>
      <c r="T74" s="884">
        <f t="shared" si="29"/>
        <v>-235653.12499999997</v>
      </c>
      <c r="U74" s="884">
        <f>IF(AND($AU$43="Early Payoff",J74&gt;$U$15),0,IF($J74&lt;=$U$8,SUM($S$20:$S74),0))</f>
        <v>0</v>
      </c>
      <c r="V74" s="884">
        <f>IF(AND($AU$43="Early Payoff",J74&gt;$U$15),0,IF($J74&lt;=$U$8,SUM($T$20:$T74),0))</f>
        <v>-10027040.46875</v>
      </c>
      <c r="W74" s="885">
        <f t="shared" si="11"/>
        <v>46485000</v>
      </c>
      <c r="X74" s="1110">
        <f t="shared" si="23"/>
        <v>46485000</v>
      </c>
      <c r="Z74" s="1102">
        <f t="shared" si="2"/>
        <v>0</v>
      </c>
      <c r="AA74" s="873">
        <f t="shared" si="3"/>
        <v>0</v>
      </c>
      <c r="AB74" s="873">
        <f t="shared" si="4"/>
        <v>0</v>
      </c>
      <c r="AC74" s="885">
        <f t="shared" si="5"/>
        <v>-235653.12499999997</v>
      </c>
      <c r="AZ74" s="438"/>
      <c r="BA74" s="438"/>
      <c r="BB74" s="438"/>
      <c r="BC74" s="438"/>
      <c r="BD74" s="438"/>
      <c r="BE74" s="438"/>
      <c r="BF74" s="438"/>
      <c r="BG74" s="440"/>
      <c r="BH74" s="438"/>
      <c r="BI74" s="438"/>
      <c r="BJ74" s="438"/>
      <c r="BK74" s="438"/>
      <c r="BL74" s="438"/>
      <c r="BM74" s="438"/>
      <c r="BN74" s="438"/>
      <c r="BO74" s="447">
        <f t="shared" si="53"/>
        <v>0.86000000000000043</v>
      </c>
      <c r="BP74" s="446">
        <f>BP72+0.016</f>
        <v>0.94800000000000006</v>
      </c>
      <c r="BQ74" s="446">
        <f>BQ72+0.0002</f>
        <v>0.98059999999999992</v>
      </c>
      <c r="BR74" s="445">
        <f>BR72+0.008</f>
        <v>0.96399999999999997</v>
      </c>
    </row>
    <row r="75" spans="1:70" s="278" customFormat="1" ht="12" customHeight="1" x14ac:dyDescent="0.25">
      <c r="B75" s="1108">
        <f>IF(C75&lt;'Financing Assumptions'!$G$25,0,IF(C75='Financing Assumptions'!$G$25,1,IF(C75&gt;'Financing Assumptions'!$G$25,B74+1)))</f>
        <v>56</v>
      </c>
      <c r="C75" s="1109">
        <f t="shared" si="17"/>
        <v>58</v>
      </c>
      <c r="D75" s="732">
        <f t="shared" si="6"/>
        <v>30</v>
      </c>
      <c r="E75" s="35">
        <f t="shared" si="7"/>
        <v>11</v>
      </c>
      <c r="F75" s="889">
        <f t="shared" si="25"/>
        <v>47817</v>
      </c>
      <c r="G75" s="822">
        <f t="shared" si="8"/>
        <v>11</v>
      </c>
      <c r="H75" s="126">
        <f t="shared" si="0"/>
        <v>0</v>
      </c>
      <c r="I75" s="1098">
        <f t="shared" si="26"/>
        <v>0</v>
      </c>
      <c r="J75" s="887">
        <f t="shared" si="18"/>
        <v>56</v>
      </c>
      <c r="K75" s="1099">
        <f t="shared" si="9"/>
        <v>30</v>
      </c>
      <c r="L75" s="891" t="str">
        <f t="shared" si="19"/>
        <v>November</v>
      </c>
      <c r="M75" s="888">
        <f t="shared" si="20"/>
        <v>2030</v>
      </c>
      <c r="N75" s="1284">
        <f t="shared" si="31"/>
        <v>0</v>
      </c>
      <c r="O75" s="1284">
        <f t="shared" si="21"/>
        <v>0</v>
      </c>
      <c r="P75" s="883">
        <f t="shared" si="22"/>
        <v>46485000</v>
      </c>
      <c r="Q75" s="883">
        <f t="shared" si="10"/>
        <v>-235653.12499999997</v>
      </c>
      <c r="R75" s="1100"/>
      <c r="S75" s="883">
        <f t="shared" si="1"/>
        <v>0</v>
      </c>
      <c r="T75" s="884">
        <f t="shared" si="29"/>
        <v>-235653.12499999997</v>
      </c>
      <c r="U75" s="884">
        <f>IF(AND($AU$43="Early Payoff",J75&gt;$U$15),0,IF($J75&lt;=$U$8,SUM($S$20:$S75),0))</f>
        <v>0</v>
      </c>
      <c r="V75" s="884">
        <f>IF(AND($AU$43="Early Payoff",J75&gt;$U$15),0,IF($J75&lt;=$U$8,SUM($T$20:$T75),0))</f>
        <v>-10262693.59375</v>
      </c>
      <c r="W75" s="885">
        <f t="shared" si="11"/>
        <v>46485000</v>
      </c>
      <c r="X75" s="1110">
        <f t="shared" si="23"/>
        <v>46485000</v>
      </c>
      <c r="Z75" s="1102">
        <f t="shared" si="2"/>
        <v>0</v>
      </c>
      <c r="AA75" s="873">
        <f t="shared" si="3"/>
        <v>0</v>
      </c>
      <c r="AB75" s="873">
        <f t="shared" si="4"/>
        <v>0</v>
      </c>
      <c r="AC75" s="885">
        <f t="shared" si="5"/>
        <v>-235653.12499999997</v>
      </c>
      <c r="AZ75" s="438"/>
      <c r="BA75" s="438"/>
      <c r="BB75" s="438"/>
      <c r="BC75" s="438"/>
      <c r="BD75" s="438"/>
      <c r="BE75" s="438"/>
      <c r="BF75" s="438"/>
      <c r="BG75" s="440"/>
      <c r="BH75" s="438"/>
      <c r="BI75" s="438"/>
      <c r="BJ75" s="438"/>
      <c r="BK75" s="438"/>
      <c r="BL75" s="438"/>
      <c r="BM75" s="438"/>
      <c r="BN75" s="438"/>
      <c r="BO75" s="447">
        <f t="shared" si="53"/>
        <v>0.87000000000000044</v>
      </c>
      <c r="BP75" s="446">
        <f>(BP76+BP74)/2</f>
        <v>0.95600000000000007</v>
      </c>
      <c r="BQ75" s="446">
        <f>(BQ76+BQ74)/2</f>
        <v>0.98069999999999991</v>
      </c>
      <c r="BR75" s="445">
        <f>(BR76+BR74)/2</f>
        <v>0.96799999999999997</v>
      </c>
    </row>
    <row r="76" spans="1:70" s="278" customFormat="1" ht="12" customHeight="1" x14ac:dyDescent="0.25">
      <c r="B76" s="1108">
        <f>IF(C76&lt;'Financing Assumptions'!$G$25,0,IF(C76='Financing Assumptions'!$G$25,1,IF(C76&gt;'Financing Assumptions'!$G$25,B75+1)))</f>
        <v>57</v>
      </c>
      <c r="C76" s="1109">
        <f t="shared" si="17"/>
        <v>59</v>
      </c>
      <c r="D76" s="732">
        <f t="shared" si="6"/>
        <v>31</v>
      </c>
      <c r="E76" s="35">
        <f t="shared" si="7"/>
        <v>12</v>
      </c>
      <c r="F76" s="889">
        <f t="shared" si="25"/>
        <v>47848</v>
      </c>
      <c r="G76" s="822">
        <f t="shared" si="8"/>
        <v>12</v>
      </c>
      <c r="H76" s="126">
        <f t="shared" si="0"/>
        <v>1</v>
      </c>
      <c r="I76" s="1098">
        <f t="shared" si="26"/>
        <v>0</v>
      </c>
      <c r="J76" s="887">
        <f t="shared" si="18"/>
        <v>57</v>
      </c>
      <c r="K76" s="1099">
        <f t="shared" si="9"/>
        <v>31</v>
      </c>
      <c r="L76" s="891" t="str">
        <f t="shared" si="19"/>
        <v>December</v>
      </c>
      <c r="M76" s="888">
        <f t="shared" si="20"/>
        <v>2030</v>
      </c>
      <c r="N76" s="1284">
        <f t="shared" si="31"/>
        <v>0</v>
      </c>
      <c r="O76" s="1284">
        <f t="shared" si="21"/>
        <v>0</v>
      </c>
      <c r="P76" s="883">
        <f t="shared" si="22"/>
        <v>46485000</v>
      </c>
      <c r="Q76" s="883">
        <f t="shared" si="10"/>
        <v>-235653.12499999997</v>
      </c>
      <c r="R76" s="1100"/>
      <c r="S76" s="883">
        <f t="shared" si="1"/>
        <v>0</v>
      </c>
      <c r="T76" s="884">
        <f t="shared" si="29"/>
        <v>-235653.12499999997</v>
      </c>
      <c r="U76" s="884">
        <f>IF(AND($AU$43="Early Payoff",J76&gt;$U$15),0,IF($J76&lt;=$U$8,SUM($S$20:$S76),0))</f>
        <v>0</v>
      </c>
      <c r="V76" s="884">
        <f>IF(AND($AU$43="Early Payoff",J76&gt;$U$15),0,IF($J76&lt;=$U$8,SUM($T$20:$T76),0))</f>
        <v>-10498346.71875</v>
      </c>
      <c r="W76" s="885">
        <f t="shared" si="11"/>
        <v>46485000</v>
      </c>
      <c r="X76" s="1110">
        <f t="shared" si="23"/>
        <v>46485000</v>
      </c>
      <c r="Z76" s="1102">
        <f t="shared" si="2"/>
        <v>0</v>
      </c>
      <c r="AA76" s="873">
        <f t="shared" si="3"/>
        <v>0</v>
      </c>
      <c r="AB76" s="873">
        <f t="shared" si="4"/>
        <v>0</v>
      </c>
      <c r="AC76" s="885">
        <f t="shared" si="5"/>
        <v>-235653.12499999997</v>
      </c>
      <c r="AZ76" s="438"/>
      <c r="BA76" s="438"/>
      <c r="BB76" s="438"/>
      <c r="BC76" s="438"/>
      <c r="BD76" s="438"/>
      <c r="BE76" s="438"/>
      <c r="BF76" s="438"/>
      <c r="BG76" s="440"/>
      <c r="BH76" s="438"/>
      <c r="BI76" s="438"/>
      <c r="BJ76" s="438"/>
      <c r="BK76" s="438"/>
      <c r="BL76" s="438"/>
      <c r="BM76" s="438"/>
      <c r="BN76" s="438"/>
      <c r="BO76" s="447">
        <f t="shared" si="53"/>
        <v>0.88000000000000045</v>
      </c>
      <c r="BP76" s="446">
        <f>BP74+0.016</f>
        <v>0.96400000000000008</v>
      </c>
      <c r="BQ76" s="448">
        <f>BQ74+0.0002</f>
        <v>0.98079999999999989</v>
      </c>
      <c r="BR76" s="445">
        <f>BR74+0.008</f>
        <v>0.97199999999999998</v>
      </c>
    </row>
    <row r="77" spans="1:70" s="278" customFormat="1" ht="12" customHeight="1" x14ac:dyDescent="0.25">
      <c r="B77" s="1108">
        <f>IF(C77&lt;'Financing Assumptions'!$G$25,0,IF(C77='Financing Assumptions'!$G$25,1,IF(C77&gt;'Financing Assumptions'!$G$25,B76+1)))</f>
        <v>58</v>
      </c>
      <c r="C77" s="1109">
        <f t="shared" si="17"/>
        <v>60</v>
      </c>
      <c r="D77" s="732">
        <f t="shared" si="6"/>
        <v>31</v>
      </c>
      <c r="E77" s="35">
        <f t="shared" si="7"/>
        <v>1</v>
      </c>
      <c r="F77" s="889">
        <f t="shared" si="25"/>
        <v>47879</v>
      </c>
      <c r="G77" s="822">
        <f t="shared" si="8"/>
        <v>1</v>
      </c>
      <c r="H77" s="126">
        <f t="shared" si="0"/>
        <v>0</v>
      </c>
      <c r="I77" s="1098">
        <f t="shared" si="26"/>
        <v>0</v>
      </c>
      <c r="J77" s="887">
        <f t="shared" si="18"/>
        <v>58</v>
      </c>
      <c r="K77" s="1099">
        <f t="shared" si="9"/>
        <v>32</v>
      </c>
      <c r="L77" s="891" t="str">
        <f t="shared" si="19"/>
        <v>January</v>
      </c>
      <c r="M77" s="888">
        <f t="shared" si="20"/>
        <v>2031</v>
      </c>
      <c r="N77" s="1284">
        <f t="shared" si="31"/>
        <v>0</v>
      </c>
      <c r="O77" s="1284">
        <f t="shared" si="21"/>
        <v>0</v>
      </c>
      <c r="P77" s="883">
        <f t="shared" si="22"/>
        <v>46485000</v>
      </c>
      <c r="Q77" s="883">
        <f t="shared" si="10"/>
        <v>-235653.12499999997</v>
      </c>
      <c r="R77" s="1100"/>
      <c r="S77" s="883">
        <f t="shared" si="1"/>
        <v>0</v>
      </c>
      <c r="T77" s="884">
        <f t="shared" si="29"/>
        <v>-235653.12499999997</v>
      </c>
      <c r="U77" s="884">
        <f>IF(AND($AU$43="Early Payoff",J77&gt;$U$15),0,IF($J77&lt;=$U$8,SUM($S$20:$S77),0))</f>
        <v>0</v>
      </c>
      <c r="V77" s="884">
        <f>IF(AND($AU$43="Early Payoff",J77&gt;$U$15),0,IF($J77&lt;=$U$8,SUM($T$20:$T77),0))</f>
        <v>-10733999.84375</v>
      </c>
      <c r="W77" s="885">
        <f t="shared" si="11"/>
        <v>46485000</v>
      </c>
      <c r="X77" s="1110">
        <f t="shared" si="23"/>
        <v>46485000</v>
      </c>
      <c r="Z77" s="1102">
        <f t="shared" si="2"/>
        <v>0</v>
      </c>
      <c r="AA77" s="873">
        <f t="shared" si="3"/>
        <v>0</v>
      </c>
      <c r="AB77" s="873">
        <f t="shared" si="4"/>
        <v>0</v>
      </c>
      <c r="AC77" s="885">
        <f t="shared" si="5"/>
        <v>-235653.12499999997</v>
      </c>
      <c r="AZ77" s="438"/>
      <c r="BA77" s="438"/>
      <c r="BB77" s="438"/>
      <c r="BC77" s="438"/>
      <c r="BD77" s="438"/>
      <c r="BE77" s="438"/>
      <c r="BF77" s="438"/>
      <c r="BG77" s="440"/>
      <c r="BH77" s="438"/>
      <c r="BI77" s="438"/>
      <c r="BJ77" s="438"/>
      <c r="BK77" s="438"/>
      <c r="BL77" s="438"/>
      <c r="BM77" s="438"/>
      <c r="BN77" s="438"/>
      <c r="BO77" s="447">
        <f t="shared" si="53"/>
        <v>0.89000000000000046</v>
      </c>
      <c r="BP77" s="446">
        <f>(BP78+BP76)/2</f>
        <v>0.97199999999999998</v>
      </c>
      <c r="BQ77" s="448">
        <f>(BQ78+BQ76)/2</f>
        <v>0.98539999999999994</v>
      </c>
      <c r="BR77" s="445">
        <f>(BR78+BR76)/2</f>
        <v>0.97599999999999998</v>
      </c>
    </row>
    <row r="78" spans="1:70" s="278" customFormat="1" ht="12" customHeight="1" x14ac:dyDescent="0.25">
      <c r="B78" s="1108">
        <f>IF(C78&lt;'Financing Assumptions'!$G$25,0,IF(C78='Financing Assumptions'!$G$25,1,IF(C78&gt;'Financing Assumptions'!$G$25,B77+1)))</f>
        <v>59</v>
      </c>
      <c r="C78" s="1109">
        <f t="shared" si="17"/>
        <v>61</v>
      </c>
      <c r="D78" s="732">
        <f t="shared" si="6"/>
        <v>28</v>
      </c>
      <c r="E78" s="35">
        <f t="shared" si="7"/>
        <v>2</v>
      </c>
      <c r="F78" s="889">
        <f t="shared" si="25"/>
        <v>47907</v>
      </c>
      <c r="G78" s="822">
        <f t="shared" si="8"/>
        <v>2</v>
      </c>
      <c r="H78" s="126">
        <f t="shared" si="0"/>
        <v>0</v>
      </c>
      <c r="I78" s="1098">
        <f t="shared" si="26"/>
        <v>0</v>
      </c>
      <c r="J78" s="887">
        <f t="shared" si="18"/>
        <v>59</v>
      </c>
      <c r="K78" s="1099">
        <f t="shared" si="9"/>
        <v>33</v>
      </c>
      <c r="L78" s="891" t="str">
        <f t="shared" si="19"/>
        <v>February</v>
      </c>
      <c r="M78" s="888">
        <f t="shared" si="20"/>
        <v>2031</v>
      </c>
      <c r="N78" s="1284">
        <f t="shared" si="31"/>
        <v>0</v>
      </c>
      <c r="O78" s="1284">
        <f t="shared" si="21"/>
        <v>0</v>
      </c>
      <c r="P78" s="883">
        <f t="shared" si="22"/>
        <v>46485000</v>
      </c>
      <c r="Q78" s="883">
        <f t="shared" si="10"/>
        <v>-235653.12499999997</v>
      </c>
      <c r="R78" s="1100"/>
      <c r="S78" s="883">
        <f t="shared" si="1"/>
        <v>0</v>
      </c>
      <c r="T78" s="884">
        <f t="shared" si="29"/>
        <v>-235653.12499999997</v>
      </c>
      <c r="U78" s="884">
        <f>IF(AND($AU$43="Early Payoff",J78&gt;$U$15),0,IF($J78&lt;=$U$8,SUM($S$20:$S78),0))</f>
        <v>0</v>
      </c>
      <c r="V78" s="884">
        <f>IF(AND($AU$43="Early Payoff",J78&gt;$U$15),0,IF($J78&lt;=$U$8,SUM($T$20:$T78),0))</f>
        <v>-10969652.96875</v>
      </c>
      <c r="W78" s="885">
        <f t="shared" si="11"/>
        <v>46485000</v>
      </c>
      <c r="X78" s="1110">
        <f t="shared" si="23"/>
        <v>46485000</v>
      </c>
      <c r="Z78" s="1102">
        <f t="shared" si="2"/>
        <v>0</v>
      </c>
      <c r="AA78" s="873">
        <f t="shared" si="3"/>
        <v>0</v>
      </c>
      <c r="AB78" s="873">
        <f t="shared" si="4"/>
        <v>0</v>
      </c>
      <c r="AC78" s="885">
        <f t="shared" si="5"/>
        <v>-235653.12499999997</v>
      </c>
      <c r="AZ78" s="438"/>
      <c r="BA78" s="438"/>
      <c r="BB78" s="438"/>
      <c r="BC78" s="438"/>
      <c r="BD78" s="438"/>
      <c r="BE78" s="438"/>
      <c r="BF78" s="438"/>
      <c r="BG78" s="440"/>
      <c r="BH78" s="438"/>
      <c r="BI78" s="438"/>
      <c r="BJ78" s="438"/>
      <c r="BK78" s="438"/>
      <c r="BL78" s="438"/>
      <c r="BM78" s="438"/>
      <c r="BN78" s="438"/>
      <c r="BO78" s="447">
        <f t="shared" si="53"/>
        <v>0.90000000000000047</v>
      </c>
      <c r="BP78" s="446">
        <v>0.98</v>
      </c>
      <c r="BQ78" s="448">
        <v>0.99</v>
      </c>
      <c r="BR78" s="445">
        <v>0.98</v>
      </c>
    </row>
    <row r="79" spans="1:70" s="278" customFormat="1" ht="12" customHeight="1" x14ac:dyDescent="0.25">
      <c r="B79" s="1108">
        <f>IF(C79&lt;'Financing Assumptions'!$G$25,0,IF(C79='Financing Assumptions'!$G$25,1,IF(C79&gt;'Financing Assumptions'!$G$25,B78+1)))</f>
        <v>60</v>
      </c>
      <c r="C79" s="1109">
        <f t="shared" si="17"/>
        <v>62</v>
      </c>
      <c r="D79" s="732">
        <f t="shared" si="6"/>
        <v>31</v>
      </c>
      <c r="E79" s="35">
        <f t="shared" si="7"/>
        <v>3</v>
      </c>
      <c r="F79" s="889">
        <f t="shared" si="25"/>
        <v>47938</v>
      </c>
      <c r="G79" s="822">
        <f t="shared" si="8"/>
        <v>3</v>
      </c>
      <c r="H79" s="126">
        <f t="shared" si="0"/>
        <v>0</v>
      </c>
      <c r="I79" s="1098">
        <f t="shared" si="26"/>
        <v>0</v>
      </c>
      <c r="J79" s="887">
        <f t="shared" si="18"/>
        <v>60</v>
      </c>
      <c r="K79" s="1099">
        <f t="shared" si="9"/>
        <v>34</v>
      </c>
      <c r="L79" s="891" t="str">
        <f t="shared" si="19"/>
        <v>March</v>
      </c>
      <c r="M79" s="888">
        <f t="shared" si="20"/>
        <v>2031</v>
      </c>
      <c r="N79" s="1284">
        <f t="shared" si="31"/>
        <v>0</v>
      </c>
      <c r="O79" s="1284">
        <f t="shared" si="21"/>
        <v>0</v>
      </c>
      <c r="P79" s="883">
        <f t="shared" si="22"/>
        <v>46485000</v>
      </c>
      <c r="Q79" s="883">
        <f t="shared" si="10"/>
        <v>-235653.12499999997</v>
      </c>
      <c r="R79" s="1100"/>
      <c r="S79" s="883">
        <f t="shared" si="1"/>
        <v>0</v>
      </c>
      <c r="T79" s="884">
        <f t="shared" si="29"/>
        <v>-235653.12499999997</v>
      </c>
      <c r="U79" s="884">
        <f>IF(AND($AU$43="Early Payoff",J79&gt;$U$15),0,IF($J79&lt;=$U$8,SUM($S$20:$S79),0))</f>
        <v>0</v>
      </c>
      <c r="V79" s="884">
        <f>IF(AND($AU$43="Early Payoff",J79&gt;$U$15),0,IF($J79&lt;=$U$8,SUM($T$20:$T79),0))</f>
        <v>-11205306.09375</v>
      </c>
      <c r="W79" s="885">
        <f t="shared" si="11"/>
        <v>46485000</v>
      </c>
      <c r="X79" s="1110">
        <f>IF($C79&lt;$L$11,$M$4,$P79)</f>
        <v>46485000</v>
      </c>
      <c r="Z79" s="1102">
        <f t="shared" si="2"/>
        <v>0</v>
      </c>
      <c r="AA79" s="873">
        <f t="shared" si="3"/>
        <v>0</v>
      </c>
      <c r="AB79" s="873">
        <f t="shared" si="4"/>
        <v>0</v>
      </c>
      <c r="AC79" s="885">
        <f t="shared" si="5"/>
        <v>-235653.12499999997</v>
      </c>
      <c r="AZ79" s="438"/>
      <c r="BA79" s="438"/>
      <c r="BB79" s="438"/>
      <c r="BC79" s="438"/>
      <c r="BD79" s="438"/>
      <c r="BE79" s="438"/>
      <c r="BF79" s="438"/>
      <c r="BG79" s="440"/>
      <c r="BH79" s="438"/>
      <c r="BI79" s="438"/>
      <c r="BJ79" s="438"/>
      <c r="BK79" s="438"/>
      <c r="BL79" s="438"/>
      <c r="BM79" s="438"/>
      <c r="BN79" s="438"/>
      <c r="BO79" s="447">
        <f t="shared" si="53"/>
        <v>0.91000000000000048</v>
      </c>
      <c r="BP79" s="446">
        <f>(BP80+BP78)/2</f>
        <v>0.98199999999999998</v>
      </c>
      <c r="BQ79" s="448">
        <f>(BQ80+BQ78)/2</f>
        <v>0.99009999999999998</v>
      </c>
      <c r="BR79" s="445">
        <f>(BR80+BR78)/2</f>
        <v>0.98199999999999998</v>
      </c>
    </row>
    <row r="80" spans="1:70" s="278" customFormat="1" ht="12" customHeight="1" x14ac:dyDescent="0.25">
      <c r="B80" s="1108">
        <f>IF(C80&lt;'Financing Assumptions'!$G$25,0,IF(C80='Financing Assumptions'!$G$25,1,IF(C80&gt;'Financing Assumptions'!$G$25,B79+1)))</f>
        <v>61</v>
      </c>
      <c r="C80" s="1109">
        <f t="shared" si="17"/>
        <v>63</v>
      </c>
      <c r="D80" s="732">
        <f t="shared" si="6"/>
        <v>30</v>
      </c>
      <c r="E80" s="35">
        <f t="shared" si="7"/>
        <v>4</v>
      </c>
      <c r="F80" s="889">
        <f t="shared" si="25"/>
        <v>47968</v>
      </c>
      <c r="G80" s="822">
        <f t="shared" si="8"/>
        <v>4</v>
      </c>
      <c r="H80" s="126">
        <f t="shared" si="0"/>
        <v>0</v>
      </c>
      <c r="I80" s="1098">
        <f t="shared" si="26"/>
        <v>0</v>
      </c>
      <c r="J80" s="887">
        <f t="shared" si="18"/>
        <v>61</v>
      </c>
      <c r="K80" s="1099">
        <f t="shared" si="9"/>
        <v>35</v>
      </c>
      <c r="L80" s="891" t="str">
        <f t="shared" si="19"/>
        <v>April</v>
      </c>
      <c r="M80" s="888">
        <f t="shared" si="20"/>
        <v>2031</v>
      </c>
      <c r="N80" s="1284">
        <f t="shared" si="31"/>
        <v>0</v>
      </c>
      <c r="O80" s="1284">
        <f t="shared" si="21"/>
        <v>0</v>
      </c>
      <c r="P80" s="883">
        <f t="shared" si="22"/>
        <v>46485000</v>
      </c>
      <c r="Q80" s="883">
        <f t="shared" si="10"/>
        <v>-235653.12499999997</v>
      </c>
      <c r="R80" s="1100"/>
      <c r="S80" s="883">
        <f t="shared" si="1"/>
        <v>0</v>
      </c>
      <c r="T80" s="884">
        <f t="shared" si="29"/>
        <v>-235653.12499999997</v>
      </c>
      <c r="U80" s="884">
        <f>IF(AND($AU$43="Early Payoff",J80&gt;$U$15),0,IF($J80&lt;=$U$8,SUM($S$20:$S80),0))</f>
        <v>0</v>
      </c>
      <c r="V80" s="884">
        <f>IF(AND($AU$43="Early Payoff",J80&gt;$U$15),0,IF($J80&lt;=$U$8,SUM($T$20:$T80),0))</f>
        <v>-11440959.21875</v>
      </c>
      <c r="W80" s="885">
        <f t="shared" si="11"/>
        <v>46485000</v>
      </c>
      <c r="X80" s="1110">
        <f t="shared" si="23"/>
        <v>46485000</v>
      </c>
      <c r="Z80" s="1102">
        <f t="shared" si="2"/>
        <v>0</v>
      </c>
      <c r="AA80" s="873">
        <f t="shared" si="3"/>
        <v>0</v>
      </c>
      <c r="AB80" s="873">
        <f t="shared" si="4"/>
        <v>0</v>
      </c>
      <c r="AC80" s="885">
        <f t="shared" si="5"/>
        <v>-235653.12499999997</v>
      </c>
      <c r="AZ80" s="438"/>
      <c r="BA80" s="438"/>
      <c r="BB80" s="438"/>
      <c r="BC80" s="438"/>
      <c r="BD80" s="438"/>
      <c r="BE80" s="438"/>
      <c r="BF80" s="438"/>
      <c r="BG80" s="440"/>
      <c r="BH80" s="438"/>
      <c r="BI80" s="438"/>
      <c r="BJ80" s="438"/>
      <c r="BK80" s="438"/>
      <c r="BL80" s="438"/>
      <c r="BM80" s="438"/>
      <c r="BN80" s="438"/>
      <c r="BO80" s="447">
        <f t="shared" si="53"/>
        <v>0.92000000000000048</v>
      </c>
      <c r="BP80" s="446">
        <f>BP78+0.004</f>
        <v>0.98399999999999999</v>
      </c>
      <c r="BQ80" s="448">
        <f>BQ78+0.0002</f>
        <v>0.99019999999999997</v>
      </c>
      <c r="BR80" s="445">
        <f>BR78+0.004</f>
        <v>0.98399999999999999</v>
      </c>
    </row>
    <row r="81" spans="2:72" s="278" customFormat="1" ht="12" customHeight="1" x14ac:dyDescent="0.25">
      <c r="B81" s="1108">
        <f>IF(C81&lt;'Financing Assumptions'!$G$25,0,IF(C81='Financing Assumptions'!$G$25,1,IF(C81&gt;'Financing Assumptions'!$G$25,B80+1)))</f>
        <v>62</v>
      </c>
      <c r="C81" s="1109">
        <f t="shared" si="17"/>
        <v>64</v>
      </c>
      <c r="D81" s="732">
        <f t="shared" si="6"/>
        <v>31</v>
      </c>
      <c r="E81" s="35">
        <f t="shared" si="7"/>
        <v>5</v>
      </c>
      <c r="F81" s="889">
        <f t="shared" si="25"/>
        <v>47999</v>
      </c>
      <c r="G81" s="822">
        <f t="shared" si="8"/>
        <v>5</v>
      </c>
      <c r="H81" s="126">
        <f t="shared" si="0"/>
        <v>0</v>
      </c>
      <c r="I81" s="1098">
        <f t="shared" si="26"/>
        <v>0</v>
      </c>
      <c r="J81" s="887">
        <f t="shared" si="18"/>
        <v>62</v>
      </c>
      <c r="K81" s="1099">
        <f t="shared" si="9"/>
        <v>36</v>
      </c>
      <c r="L81" s="891" t="str">
        <f t="shared" si="19"/>
        <v>May</v>
      </c>
      <c r="M81" s="888">
        <f t="shared" si="20"/>
        <v>2031</v>
      </c>
      <c r="N81" s="1284">
        <f t="shared" si="31"/>
        <v>0</v>
      </c>
      <c r="O81" s="1284">
        <f t="shared" si="21"/>
        <v>0</v>
      </c>
      <c r="P81" s="883">
        <f t="shared" si="22"/>
        <v>46485000</v>
      </c>
      <c r="Q81" s="883">
        <f t="shared" si="10"/>
        <v>-235653.12499999997</v>
      </c>
      <c r="R81" s="1100"/>
      <c r="S81" s="883">
        <f t="shared" si="1"/>
        <v>0</v>
      </c>
      <c r="T81" s="884">
        <f t="shared" si="29"/>
        <v>-235653.12499999997</v>
      </c>
      <c r="U81" s="884">
        <f>IF(AND($AU$43="Early Payoff",J81&gt;$U$15),0,IF($J81&lt;=$U$8,SUM($S$20:$S81),0))</f>
        <v>0</v>
      </c>
      <c r="V81" s="884">
        <f>IF(AND($AU$43="Early Payoff",J81&gt;$U$15),0,IF($J81&lt;=$U$8,SUM($T$20:$T81),0))</f>
        <v>-11676612.34375</v>
      </c>
      <c r="W81" s="885">
        <f t="shared" si="11"/>
        <v>46485000</v>
      </c>
      <c r="X81" s="1110">
        <f t="shared" si="23"/>
        <v>46485000</v>
      </c>
      <c r="Z81" s="1102">
        <f t="shared" si="2"/>
        <v>0</v>
      </c>
      <c r="AA81" s="873">
        <f t="shared" si="3"/>
        <v>0</v>
      </c>
      <c r="AB81" s="873">
        <f t="shared" si="4"/>
        <v>0</v>
      </c>
      <c r="AC81" s="885">
        <f t="shared" si="5"/>
        <v>-235653.12499999997</v>
      </c>
      <c r="AZ81" s="438"/>
      <c r="BA81" s="438"/>
      <c r="BB81" s="438"/>
      <c r="BC81" s="438"/>
      <c r="BD81" s="438"/>
      <c r="BE81" s="438"/>
      <c r="BF81" s="438"/>
      <c r="BG81" s="440"/>
      <c r="BH81" s="438"/>
      <c r="BI81" s="438"/>
      <c r="BJ81" s="438"/>
      <c r="BK81" s="438"/>
      <c r="BL81" s="438"/>
      <c r="BM81" s="438"/>
      <c r="BN81" s="438"/>
      <c r="BO81" s="447">
        <f t="shared" si="53"/>
        <v>0.93000000000000049</v>
      </c>
      <c r="BP81" s="446">
        <f>(BP82+BP80)/2</f>
        <v>0.98599999999999999</v>
      </c>
      <c r="BQ81" s="448">
        <f>(BQ82+BQ80)/2</f>
        <v>0.99029999999999996</v>
      </c>
      <c r="BR81" s="445">
        <f>(BR82+BR80)/2</f>
        <v>0.98599999999999999</v>
      </c>
    </row>
    <row r="82" spans="2:72" s="278" customFormat="1" ht="12" customHeight="1" x14ac:dyDescent="0.25">
      <c r="B82" s="1108">
        <f>IF(C82&lt;'Financing Assumptions'!$G$25,0,IF(C82='Financing Assumptions'!$G$25,1,IF(C82&gt;'Financing Assumptions'!$G$25,B81+1)))</f>
        <v>63</v>
      </c>
      <c r="C82" s="1109">
        <f t="shared" si="17"/>
        <v>65</v>
      </c>
      <c r="D82" s="732">
        <f t="shared" si="6"/>
        <v>30</v>
      </c>
      <c r="E82" s="35">
        <f t="shared" si="7"/>
        <v>6</v>
      </c>
      <c r="F82" s="889">
        <f t="shared" si="25"/>
        <v>48029</v>
      </c>
      <c r="G82" s="822">
        <f t="shared" si="8"/>
        <v>6</v>
      </c>
      <c r="H82" s="126">
        <f t="shared" si="0"/>
        <v>0</v>
      </c>
      <c r="I82" s="1098">
        <f t="shared" si="26"/>
        <v>0</v>
      </c>
      <c r="J82" s="887">
        <f t="shared" si="18"/>
        <v>63</v>
      </c>
      <c r="K82" s="1099">
        <f t="shared" si="9"/>
        <v>37</v>
      </c>
      <c r="L82" s="891" t="str">
        <f t="shared" si="19"/>
        <v>June</v>
      </c>
      <c r="M82" s="888">
        <f t="shared" si="20"/>
        <v>2031</v>
      </c>
      <c r="N82" s="1284">
        <f t="shared" si="31"/>
        <v>0</v>
      </c>
      <c r="O82" s="1284">
        <f t="shared" si="21"/>
        <v>0</v>
      </c>
      <c r="P82" s="883">
        <f t="shared" si="22"/>
        <v>46485000</v>
      </c>
      <c r="Q82" s="883">
        <f t="shared" si="10"/>
        <v>-235653.12499999997</v>
      </c>
      <c r="R82" s="1100"/>
      <c r="S82" s="883">
        <f t="shared" si="1"/>
        <v>0</v>
      </c>
      <c r="T82" s="884">
        <f t="shared" si="29"/>
        <v>-235653.12499999997</v>
      </c>
      <c r="U82" s="884">
        <f>IF(AND($AU$43="Early Payoff",J82&gt;$U$15),0,IF($J82&lt;=$U$8,SUM($S$20:$S82),0))</f>
        <v>0</v>
      </c>
      <c r="V82" s="884">
        <f>IF(AND($AU$43="Early Payoff",J82&gt;$U$15),0,IF($J82&lt;=$U$8,SUM($T$20:$T82),0))</f>
        <v>-11912265.46875</v>
      </c>
      <c r="W82" s="885">
        <f t="shared" si="11"/>
        <v>46485000</v>
      </c>
      <c r="X82" s="1110">
        <f t="shared" si="23"/>
        <v>46485000</v>
      </c>
      <c r="Z82" s="1102">
        <f t="shared" si="2"/>
        <v>0</v>
      </c>
      <c r="AA82" s="873">
        <f t="shared" si="3"/>
        <v>0</v>
      </c>
      <c r="AB82" s="873">
        <f t="shared" si="4"/>
        <v>0</v>
      </c>
      <c r="AC82" s="885">
        <f t="shared" si="5"/>
        <v>-235653.12499999997</v>
      </c>
      <c r="AZ82" s="438"/>
      <c r="BA82" s="438"/>
      <c r="BB82" s="438"/>
      <c r="BC82" s="438"/>
      <c r="BD82" s="438"/>
      <c r="BE82" s="438"/>
      <c r="BF82" s="438"/>
      <c r="BG82" s="440"/>
      <c r="BH82" s="438"/>
      <c r="BI82" s="438"/>
      <c r="BJ82" s="438"/>
      <c r="BK82" s="438"/>
      <c r="BL82" s="438"/>
      <c r="BM82" s="438"/>
      <c r="BN82" s="438"/>
      <c r="BO82" s="447">
        <f t="shared" si="53"/>
        <v>0.9400000000000005</v>
      </c>
      <c r="BP82" s="446">
        <f>BP80+0.004</f>
        <v>0.98799999999999999</v>
      </c>
      <c r="BQ82" s="448">
        <f>BQ80+0.0002</f>
        <v>0.99039999999999995</v>
      </c>
      <c r="BR82" s="445">
        <f>BR80+0.004</f>
        <v>0.98799999999999999</v>
      </c>
    </row>
    <row r="83" spans="2:72" s="278" customFormat="1" ht="12" customHeight="1" x14ac:dyDescent="0.25">
      <c r="B83" s="1108">
        <f>IF(C83&lt;'Financing Assumptions'!$G$25,0,IF(C83='Financing Assumptions'!$G$25,1,IF(C83&gt;'Financing Assumptions'!$G$25,B82+1)))</f>
        <v>64</v>
      </c>
      <c r="C83" s="1109">
        <f t="shared" si="17"/>
        <v>66</v>
      </c>
      <c r="D83" s="732">
        <f t="shared" si="6"/>
        <v>31</v>
      </c>
      <c r="E83" s="35">
        <f t="shared" si="7"/>
        <v>7</v>
      </c>
      <c r="F83" s="889">
        <f t="shared" si="25"/>
        <v>48060</v>
      </c>
      <c r="G83" s="822">
        <f t="shared" si="8"/>
        <v>7</v>
      </c>
      <c r="H83" s="126">
        <f t="shared" si="0"/>
        <v>0</v>
      </c>
      <c r="I83" s="1098">
        <f t="shared" si="26"/>
        <v>0</v>
      </c>
      <c r="J83" s="887">
        <f t="shared" si="18"/>
        <v>64</v>
      </c>
      <c r="K83" s="1099">
        <f t="shared" si="9"/>
        <v>38</v>
      </c>
      <c r="L83" s="891" t="str">
        <f t="shared" si="19"/>
        <v>July</v>
      </c>
      <c r="M83" s="888">
        <f t="shared" si="20"/>
        <v>2031</v>
      </c>
      <c r="N83" s="1284">
        <f t="shared" si="31"/>
        <v>0</v>
      </c>
      <c r="O83" s="1284">
        <f t="shared" si="21"/>
        <v>0</v>
      </c>
      <c r="P83" s="883">
        <f t="shared" si="22"/>
        <v>46485000</v>
      </c>
      <c r="Q83" s="883">
        <f t="shared" si="10"/>
        <v>-235653.12499999997</v>
      </c>
      <c r="R83" s="1100"/>
      <c r="S83" s="883">
        <f t="shared" si="1"/>
        <v>0</v>
      </c>
      <c r="T83" s="884">
        <f t="shared" si="29"/>
        <v>-235653.12499999997</v>
      </c>
      <c r="U83" s="884">
        <f>IF(AND($AU$43="Early Payoff",J83&gt;$U$15),0,IF($J83&lt;=$U$8,SUM($S$20:$S83),0))</f>
        <v>0</v>
      </c>
      <c r="V83" s="884">
        <f>IF(AND($AU$43="Early Payoff",J83&gt;$U$15),0,IF($J83&lt;=$U$8,SUM($T$20:$T83),0))</f>
        <v>-12147918.59375</v>
      </c>
      <c r="W83" s="885">
        <f t="shared" si="11"/>
        <v>46485000</v>
      </c>
      <c r="X83" s="1110">
        <f t="shared" si="23"/>
        <v>46485000</v>
      </c>
      <c r="Z83" s="1102">
        <f t="shared" si="2"/>
        <v>0</v>
      </c>
      <c r="AA83" s="873">
        <f t="shared" si="3"/>
        <v>0</v>
      </c>
      <c r="AB83" s="873">
        <f t="shared" si="4"/>
        <v>0</v>
      </c>
      <c r="AC83" s="885">
        <f t="shared" si="5"/>
        <v>-235653.12499999997</v>
      </c>
      <c r="AZ83" s="438"/>
      <c r="BA83" s="438"/>
      <c r="BB83" s="438"/>
      <c r="BC83" s="438"/>
      <c r="BD83" s="438"/>
      <c r="BE83" s="438"/>
      <c r="BF83" s="438"/>
      <c r="BG83" s="440"/>
      <c r="BH83" s="438"/>
      <c r="BI83" s="438"/>
      <c r="BJ83" s="438"/>
      <c r="BK83" s="438"/>
      <c r="BL83" s="438"/>
      <c r="BM83" s="438"/>
      <c r="BN83" s="438"/>
      <c r="BO83" s="447">
        <f t="shared" si="53"/>
        <v>0.95000000000000051</v>
      </c>
      <c r="BP83" s="446">
        <f>(BP84+BP82)/2</f>
        <v>0.99</v>
      </c>
      <c r="BQ83" s="446">
        <f>(BQ84+BQ82)/2</f>
        <v>0.99049999999999994</v>
      </c>
      <c r="BR83" s="445">
        <f>(BR84+BR82)/2</f>
        <v>0.99</v>
      </c>
    </row>
    <row r="84" spans="2:72" s="278" customFormat="1" ht="12" customHeight="1" x14ac:dyDescent="0.25">
      <c r="B84" s="1108">
        <f>IF(C84&lt;'Financing Assumptions'!$G$25,0,IF(C84='Financing Assumptions'!$G$25,1,IF(C84&gt;'Financing Assumptions'!$G$25,B83+1)))</f>
        <v>65</v>
      </c>
      <c r="C84" s="1109">
        <f t="shared" si="17"/>
        <v>67</v>
      </c>
      <c r="D84" s="732">
        <f t="shared" ref="D84:D147" si="54">DAY(EOMONTH(DATE($M84,$E84,1),0))</f>
        <v>31</v>
      </c>
      <c r="E84" s="35">
        <f t="shared" ref="E84:E147" si="55">INDEX($AV$22:$AW$34,MATCH($L84,$AV$22:$AV$34,0),MATCH("Number",$AV$22:$AW$22,0))</f>
        <v>8</v>
      </c>
      <c r="F84" s="889">
        <f t="shared" si="25"/>
        <v>48091</v>
      </c>
      <c r="G84" s="822">
        <f t="shared" ref="G84:G147" si="56">INDEX($AV$22:$AW$34,MATCH($L84,$AV$22:$AV$34,0),MATCH("Number",$AV$22:$AW$22,0))</f>
        <v>8</v>
      </c>
      <c r="H84" s="126">
        <f t="shared" ref="H84:H147" si="57">IF($V$4="Monthly",INDEX($AV$36:$AW$48,MATCH($L84,$AV$36:$AV$48,0),MATCH("Number",$AV$36:$AW$36,0)),0)</f>
        <v>0</v>
      </c>
      <c r="I84" s="1098">
        <f t="shared" si="26"/>
        <v>0</v>
      </c>
      <c r="J84" s="887">
        <f t="shared" si="18"/>
        <v>65</v>
      </c>
      <c r="K84" s="1099">
        <f t="shared" si="9"/>
        <v>39</v>
      </c>
      <c r="L84" s="891" t="str">
        <f t="shared" si="19"/>
        <v>August</v>
      </c>
      <c r="M84" s="888">
        <f t="shared" si="20"/>
        <v>2031</v>
      </c>
      <c r="N84" s="1284">
        <f t="shared" si="31"/>
        <v>0</v>
      </c>
      <c r="O84" s="1284">
        <f t="shared" si="21"/>
        <v>0</v>
      </c>
      <c r="P84" s="883">
        <f t="shared" si="22"/>
        <v>46485000</v>
      </c>
      <c r="Q84" s="883">
        <f t="shared" si="10"/>
        <v>-235653.12499999997</v>
      </c>
      <c r="R84" s="1100"/>
      <c r="S84" s="883">
        <f t="shared" ref="S84:S147" si="58">IF(AND($AU$43="Early Payoff",J84&gt;=$U$15),0,IF($J84&gt;$U$8,0,IF(AND($AT$33&gt;0,$J84&lt;=$AT$33),0,+$Q84-$T84)))</f>
        <v>0</v>
      </c>
      <c r="T84" s="884">
        <f t="shared" si="29"/>
        <v>-235653.12499999997</v>
      </c>
      <c r="U84" s="884">
        <f>IF(AND($AU$43="Early Payoff",J84&gt;$U$15),0,IF($J84&lt;=$U$8,SUM($S$20:$S84),0))</f>
        <v>0</v>
      </c>
      <c r="V84" s="884">
        <f>IF(AND($AU$43="Early Payoff",J84&gt;$U$15),0,IF($J84&lt;=$U$8,SUM($T$20:$T84),0))</f>
        <v>-12383571.71875</v>
      </c>
      <c r="W84" s="885">
        <f t="shared" si="11"/>
        <v>46485000</v>
      </c>
      <c r="X84" s="1110">
        <f t="shared" si="23"/>
        <v>46485000</v>
      </c>
      <c r="Z84" s="1102">
        <f t="shared" ref="Z84:Z147" si="59">IF($J84&gt;$U$8,0,IF($J84&lt;=$AT$31,0,IF(AND($AA$5="%/Payment",$AC$5=0),$Q84*$AB$5,IF(AND($AA$5="%/Payment",$AC$5&gt;0,($Q84*$AB$5)&lt;$AC$5),$Q84*$AB$5,IF(AND($AA$5="%/Payment",$AC$5&gt;0,($Q84*$AB$5)&gt;$AC$5),-$AC$5,IF(AND($AA$5="%/Balance",$AC$5=0),-$W84*$AB$5,IF(AND($AA$5="%/Balance",$AC$5&gt;0,($W84*$AB$5)&lt;$AC$5),-$W84*$AB$5,IF(AND($AA$5="%/Balance",$AC$5&gt;0,($W84*$AB$5)&gt;$AC$5),-$AC$5,IF($AA$5="Fixed Amount",-$AB$5,IF($AA$5="N/A",0))))))))))</f>
        <v>0</v>
      </c>
      <c r="AA84" s="873">
        <f t="shared" ref="AA84:AA147" si="60">IF($J84&gt;$U$8,0,IF($J84&lt;=$AT$31,0,IF(AND($AA$6="%/Payment",$AC$6=0),$Q84*$AB$6,IF(AND($AA$6="%/Payment",$AC$6&gt;0,($Q84*$AB$6)&lt;$AC$6),$Q84*$AB$6,IF(AND($AA$6="%/Payment",$AC$6&gt;0,($Q84*$AB$6)&gt;$AC$6),-$AC$6,IF(AND($AA$6="%/Balance",$AC$6=0),-$W84*$AB$6,IF(AND($AA$6="%/Balance",$AC$6&gt;0,($W84*$AB$6)&lt;$AC$6),-$W84*$AB$6,IF(AND($AA$6="%/Balance",$AC$6&gt;0,($W84*$AB$6)&gt;$AC$6),-$AC$6,IF($AA$6="Fixed Amount",-$AB$6,IF($AA$6="N/A",0))))))))))</f>
        <v>0</v>
      </c>
      <c r="AB84" s="873">
        <f t="shared" ref="AB84:AB147" si="61">IF($J84&gt;$U$8,0,IF($J84&lt;=$AT$31,0,IF(AND($AA$7="%/Payment",$AC$7=0),$Q84*$AB$7,IF(AND($AA$7="%/Payment",$AC$7&gt;0,($Q84*$AB$7)&lt;$AC$7),$Q84*$AB$7,IF(AND($AA$7="%/Payment",$AC$7&gt;0,($Q84*$AB$7)&gt;$AC$7),-$AC$7,IF(AND($AA$7="%/Balance",$AC$7=0),-$W84*$AB$7,IF(AND($AA$7="%/Balance",$AC$7&gt;0,($W84*$AB$7)&lt;$AC$7),-$W84*$AB$7,IF(AND($AA$7="%/Balance",$AC$7&gt;0,($Q84*$AB$7)&gt;$AC$7),-$AC$7,IF($AA$7="Fixed Amount",-$AB$7,IF($AA$7="N/A",0))))))))))</f>
        <v>0</v>
      </c>
      <c r="AC84" s="885">
        <f t="shared" ref="AC84:AC147" si="62">SUM($Q84,$Z84:$AB84)</f>
        <v>-235653.12499999997</v>
      </c>
      <c r="AZ84" s="438"/>
      <c r="BA84" s="438"/>
      <c r="BB84" s="438"/>
      <c r="BC84" s="438"/>
      <c r="BD84" s="438"/>
      <c r="BE84" s="438"/>
      <c r="BF84" s="438"/>
      <c r="BG84" s="440"/>
      <c r="BH84" s="438"/>
      <c r="BI84" s="438"/>
      <c r="BJ84" s="438"/>
      <c r="BK84" s="438"/>
      <c r="BL84" s="438"/>
      <c r="BM84" s="438"/>
      <c r="BN84" s="438"/>
      <c r="BO84" s="447">
        <f t="shared" si="53"/>
        <v>0.96000000000000052</v>
      </c>
      <c r="BP84" s="446">
        <f>BP82+0.004</f>
        <v>0.99199999999999999</v>
      </c>
      <c r="BQ84" s="446">
        <f>BQ82+0.0002</f>
        <v>0.99059999999999993</v>
      </c>
      <c r="BR84" s="445">
        <f>BR82+0.004</f>
        <v>0.99199999999999999</v>
      </c>
    </row>
    <row r="85" spans="2:72" s="278" customFormat="1" ht="12" customHeight="1" x14ac:dyDescent="0.25">
      <c r="B85" s="1108">
        <f>IF(C85&lt;'Financing Assumptions'!$G$25,0,IF(C85='Financing Assumptions'!$G$25,1,IF(C85&gt;'Financing Assumptions'!$G$25,B84+1)))</f>
        <v>66</v>
      </c>
      <c r="C85" s="1109">
        <f t="shared" si="17"/>
        <v>68</v>
      </c>
      <c r="D85" s="732">
        <f t="shared" si="54"/>
        <v>30</v>
      </c>
      <c r="E85" s="35">
        <f t="shared" si="55"/>
        <v>9</v>
      </c>
      <c r="F85" s="889">
        <f t="shared" si="25"/>
        <v>48121</v>
      </c>
      <c r="G85" s="822">
        <f t="shared" si="56"/>
        <v>9</v>
      </c>
      <c r="H85" s="126">
        <f t="shared" si="57"/>
        <v>0</v>
      </c>
      <c r="I85" s="1098">
        <f t="shared" si="26"/>
        <v>0</v>
      </c>
      <c r="J85" s="887">
        <f t="shared" si="18"/>
        <v>66</v>
      </c>
      <c r="K85" s="1099">
        <f t="shared" ref="K85:K148" si="63">IF($J85&lt;=$AT$33,0,IF($J84&gt;=$AT$33,$K84+1))</f>
        <v>40</v>
      </c>
      <c r="L85" s="891" t="str">
        <f t="shared" ref="L85:L148" si="64">IF($V$4="Annual",$T$5,IF(AND($V$4="Bi-Annual",$G84&lt;MAX($T$4,$U$4)),INDEX($AW$22:$AX$34,MATCH(MAX($T$4,$U$4),$AW$22:$AW$34,0),MATCH("Month",$AW$22:$AX$22,0)),IF(AND($V$4="Bi-Annual",$G84=MAX($T$4,$U$4)),INDEX($AW$22:$AX$34,MATCH(MIN($T$4,$U$4),$AW$22:$AW$34,0),MATCH("Month",$AW$22:$AX$22,0)),IF(AND($V$4="Monthly",$G84&lt;12),INDEX($AW$22:$AX$34,MATCH($G84+1,$AW$22:$AW$34,0),MATCH("Month",$AW$22:$AX$22,0)),IF(AND($V$4="Monthly",$G84=12),INDEX($AW$22:$AX$34,MATCH($G84-11,$AW$22:$AW$34,0),MATCH("Month",$AW$22:$AX$22,0)))))))</f>
        <v>September</v>
      </c>
      <c r="M85" s="888">
        <f t="shared" si="20"/>
        <v>2031</v>
      </c>
      <c r="N85" s="1284">
        <f t="shared" si="31"/>
        <v>0</v>
      </c>
      <c r="O85" s="1284">
        <f t="shared" si="21"/>
        <v>0</v>
      </c>
      <c r="P85" s="883">
        <f t="shared" si="22"/>
        <v>46485000</v>
      </c>
      <c r="Q85" s="883">
        <f t="shared" ref="Q85:Q148" si="65">IF(AND($AU$43="Early Payoff",J85&gt;=$U$15),0,IF($J85&gt;$U$8,0,IF(AND($AT$33&gt;=0,$J85&lt;=$AT$33),0,IF(AND($AT$31&gt;=0,$J85&lt;=$AT$31),$T85,IF(AND($V$4="Annual",$AT$31&gt;=0,$AT$33&gt;=0,$J85&gt;$AT$31,$J85&gt;$AT$33),PMT($M$7,($U$8-$AT$31),$M$4),IF(AND($V$4="Bi-Annual",$AT$31&gt;=0,$AT$33&gt;=0,$J85&gt;$AT$31,$J85&gt;$AT$33),PMT($M$7/2,($U$8-$AT$31),$M$4),IF(AND($V$4="Monthly",$AT$31&gt;=0,$AT$33&gt;=0,$J85&gt;$AT$31,$J85&gt;$AT$33),PMT($M$7/12,($U$8-$AT$31),$M$4))))))))-R85</f>
        <v>-235653.12499999997</v>
      </c>
      <c r="R85" s="1100"/>
      <c r="S85" s="883">
        <f t="shared" si="58"/>
        <v>0</v>
      </c>
      <c r="T85" s="884">
        <f t="shared" ref="T85:T148" si="66">IF(AND($AU$43="Early Payoff",J85&gt;=$U$15),0,IF($V$4="Annual",-$M$7*$W84*1,IF($V$4="Bi-Annual",(-$M$7/2)*$W84*1,IF($V$4="Monthly",(-$M$7/12)*$W84*1))))</f>
        <v>-235653.12499999997</v>
      </c>
      <c r="U85" s="884">
        <f>IF(AND($AU$43="Early Payoff",J85&gt;$U$15),0,IF($J85&lt;=$U$8,SUM($S$20:$S85),0))</f>
        <v>0</v>
      </c>
      <c r="V85" s="884">
        <f>IF(AND($AU$43="Early Payoff",J85&gt;$U$15),0,IF($J85&lt;=$U$8,SUM($T$20:$T85),0))</f>
        <v>-12619224.84375</v>
      </c>
      <c r="W85" s="885">
        <f t="shared" ref="W85:W148" si="67">IF($K85&lt;=$U$15,SUM($P85,$S85),0)</f>
        <v>46485000</v>
      </c>
      <c r="X85" s="1110">
        <f t="shared" ref="X85:X148" si="68">IF($C85&lt;$L$11,$M$4,$P85)</f>
        <v>46485000</v>
      </c>
      <c r="Z85" s="1102">
        <f t="shared" si="59"/>
        <v>0</v>
      </c>
      <c r="AA85" s="873">
        <f t="shared" si="60"/>
        <v>0</v>
      </c>
      <c r="AB85" s="873">
        <f t="shared" si="61"/>
        <v>0</v>
      </c>
      <c r="AC85" s="885">
        <f t="shared" si="62"/>
        <v>-235653.12499999997</v>
      </c>
      <c r="AZ85" s="438"/>
      <c r="BA85" s="438"/>
      <c r="BB85" s="438"/>
      <c r="BC85" s="438"/>
      <c r="BD85" s="438"/>
      <c r="BE85" s="438"/>
      <c r="BF85" s="438"/>
      <c r="BG85" s="440"/>
      <c r="BH85" s="438"/>
      <c r="BI85" s="438"/>
      <c r="BJ85" s="438"/>
      <c r="BK85" s="438"/>
      <c r="BL85" s="438"/>
      <c r="BM85" s="438"/>
      <c r="BN85" s="438"/>
      <c r="BO85" s="447">
        <f t="shared" si="53"/>
        <v>0.97000000000000053</v>
      </c>
      <c r="BP85" s="446">
        <f>(BP86+BP84)/2</f>
        <v>0.99399999999999999</v>
      </c>
      <c r="BQ85" s="446">
        <f>(BQ86+BQ84)/2</f>
        <v>0.99069999999999991</v>
      </c>
      <c r="BR85" s="445">
        <f>(BR86+BR84)/2</f>
        <v>0.99399999999999999</v>
      </c>
    </row>
    <row r="86" spans="2:72" s="278" customFormat="1" ht="12" customHeight="1" x14ac:dyDescent="0.25">
      <c r="B86" s="1108">
        <f>IF(C86&lt;'Financing Assumptions'!$G$25,0,IF(C86='Financing Assumptions'!$G$25,1,IF(C86&gt;'Financing Assumptions'!$G$25,B85+1)))</f>
        <v>67</v>
      </c>
      <c r="C86" s="1109">
        <f t="shared" ref="C86:C149" si="69">C85+1</f>
        <v>69</v>
      </c>
      <c r="D86" s="732">
        <f t="shared" si="54"/>
        <v>31</v>
      </c>
      <c r="E86" s="35">
        <f t="shared" si="55"/>
        <v>10</v>
      </c>
      <c r="F86" s="889">
        <f t="shared" si="25"/>
        <v>48152</v>
      </c>
      <c r="G86" s="822">
        <f t="shared" si="56"/>
        <v>10</v>
      </c>
      <c r="H86" s="126">
        <f t="shared" si="57"/>
        <v>0</v>
      </c>
      <c r="I86" s="1098">
        <f t="shared" si="26"/>
        <v>0</v>
      </c>
      <c r="J86" s="887">
        <f t="shared" ref="J86:J149" si="70">J85+1</f>
        <v>67</v>
      </c>
      <c r="K86" s="1099">
        <f t="shared" si="63"/>
        <v>41</v>
      </c>
      <c r="L86" s="891" t="str">
        <f t="shared" si="64"/>
        <v>October</v>
      </c>
      <c r="M86" s="888">
        <f t="shared" ref="M86:M149" si="71">IF($V$4="Annual",$M85+$I86,IF($V$4="Bi-Annual",$M85+$I85,IF($V$4="Monthly",$M85+$H85)))</f>
        <v>2031</v>
      </c>
      <c r="N86" s="1284">
        <f t="shared" si="31"/>
        <v>0</v>
      </c>
      <c r="O86" s="1284">
        <f t="shared" ref="O86:O149" si="72">IF($B86&lt;=$M$11,INDEX($AZ$26:$BM$63,MATCH($B86,$AZ$26:$AZ$63,0),MATCH($M$10,$AZ$26:$BM$26,0)),0)</f>
        <v>0</v>
      </c>
      <c r="P86" s="883">
        <f t="shared" ref="P86:P149" si="73">IF(AND($AU$43="Early Payoff",$J86&gt;$U$15),0,IF(AND($AU$43="Early Payoff",$J86&lt;$U$15),SUM(N86,$W85),IF(AND($AU$43="Full-Term",$J86&lt;$U$15),SUM(N86,$W85),IF($J86&gt;$U$8,0,$W85))))</f>
        <v>46485000</v>
      </c>
      <c r="Q86" s="883">
        <f t="shared" si="65"/>
        <v>-235653.12499999997</v>
      </c>
      <c r="R86" s="1100"/>
      <c r="S86" s="883">
        <f t="shared" si="58"/>
        <v>0</v>
      </c>
      <c r="T86" s="884">
        <f t="shared" si="66"/>
        <v>-235653.12499999997</v>
      </c>
      <c r="U86" s="884">
        <f>IF(AND($AU$43="Early Payoff",J86&gt;$U$15),0,IF($J86&lt;=$U$8,SUM($S$20:$S86),0))</f>
        <v>0</v>
      </c>
      <c r="V86" s="884">
        <f>IF(AND($AU$43="Early Payoff",J86&gt;$U$15),0,IF($J86&lt;=$U$8,SUM($T$20:$T86),0))</f>
        <v>-12854877.96875</v>
      </c>
      <c r="W86" s="885">
        <f t="shared" si="67"/>
        <v>46485000</v>
      </c>
      <c r="X86" s="1110">
        <f t="shared" si="68"/>
        <v>46485000</v>
      </c>
      <c r="Z86" s="1102">
        <f t="shared" si="59"/>
        <v>0</v>
      </c>
      <c r="AA86" s="873">
        <f t="shared" si="60"/>
        <v>0</v>
      </c>
      <c r="AB86" s="873">
        <f t="shared" si="61"/>
        <v>0</v>
      </c>
      <c r="AC86" s="885">
        <f t="shared" si="62"/>
        <v>-235653.12499999997</v>
      </c>
      <c r="AZ86" s="438"/>
      <c r="BA86" s="438"/>
      <c r="BB86" s="438"/>
      <c r="BC86" s="438"/>
      <c r="BD86" s="438"/>
      <c r="BE86" s="438"/>
      <c r="BF86" s="438"/>
      <c r="BG86" s="440"/>
      <c r="BH86" s="438"/>
      <c r="BI86" s="438"/>
      <c r="BJ86" s="438"/>
      <c r="BK86" s="438"/>
      <c r="BL86" s="438"/>
      <c r="BM86" s="438"/>
      <c r="BN86" s="438"/>
      <c r="BO86" s="447">
        <f t="shared" si="53"/>
        <v>0.98000000000000054</v>
      </c>
      <c r="BP86" s="446">
        <f>BP84+0.004</f>
        <v>0.996</v>
      </c>
      <c r="BQ86" s="446">
        <f>BQ84+0.0002</f>
        <v>0.9907999999999999</v>
      </c>
      <c r="BR86" s="445">
        <f>BR84+0.004</f>
        <v>0.996</v>
      </c>
    </row>
    <row r="87" spans="2:72" s="278" customFormat="1" ht="12" customHeight="1" x14ac:dyDescent="0.25">
      <c r="B87" s="1108">
        <f>IF(C87&lt;'Financing Assumptions'!$G$25,0,IF(C87='Financing Assumptions'!$G$25,1,IF(C87&gt;'Financing Assumptions'!$G$25,B86+1)))</f>
        <v>68</v>
      </c>
      <c r="C87" s="1109">
        <f t="shared" si="69"/>
        <v>70</v>
      </c>
      <c r="D87" s="732">
        <f t="shared" si="54"/>
        <v>30</v>
      </c>
      <c r="E87" s="35">
        <f t="shared" si="55"/>
        <v>11</v>
      </c>
      <c r="F87" s="889">
        <f t="shared" ref="F87:F150" si="74">DATE(M87,E87,D87)</f>
        <v>48182</v>
      </c>
      <c r="G87" s="822">
        <f t="shared" si="56"/>
        <v>11</v>
      </c>
      <c r="H87" s="126">
        <f t="shared" si="57"/>
        <v>0</v>
      </c>
      <c r="I87" s="1098">
        <f t="shared" ref="I87:I150" si="75">IF($V$4="Annual",1,IF(AND($V$4="Bi-Annual",$G87&gt;$G88),1,IF(AND($V$4="Bi-Annual",$G87&lt;$G88),0,IF($V$4="Monthly",0,))))</f>
        <v>0</v>
      </c>
      <c r="J87" s="887">
        <f t="shared" si="70"/>
        <v>68</v>
      </c>
      <c r="K87" s="1099">
        <f t="shared" si="63"/>
        <v>42</v>
      </c>
      <c r="L87" s="891" t="str">
        <f t="shared" si="64"/>
        <v>November</v>
      </c>
      <c r="M87" s="888">
        <f t="shared" si="71"/>
        <v>2031</v>
      </c>
      <c r="N87" s="1284">
        <f t="shared" si="31"/>
        <v>0</v>
      </c>
      <c r="O87" s="1284">
        <f t="shared" si="72"/>
        <v>0</v>
      </c>
      <c r="P87" s="883">
        <f t="shared" si="73"/>
        <v>46485000</v>
      </c>
      <c r="Q87" s="883">
        <f t="shared" si="65"/>
        <v>-235653.12499999997</v>
      </c>
      <c r="R87" s="1100"/>
      <c r="S87" s="883">
        <f t="shared" si="58"/>
        <v>0</v>
      </c>
      <c r="T87" s="884">
        <f t="shared" si="66"/>
        <v>-235653.12499999997</v>
      </c>
      <c r="U87" s="884">
        <f>IF(AND($AU$43="Early Payoff",J87&gt;$U$15),0,IF($J87&lt;=$U$8,SUM($S$20:$S87),0))</f>
        <v>0</v>
      </c>
      <c r="V87" s="884">
        <f>IF(AND($AU$43="Early Payoff",J87&gt;$U$15),0,IF($J87&lt;=$U$8,SUM($T$20:$T87),0))</f>
        <v>-13090531.09375</v>
      </c>
      <c r="W87" s="885">
        <f t="shared" si="67"/>
        <v>46485000</v>
      </c>
      <c r="X87" s="1110">
        <f t="shared" si="68"/>
        <v>46485000</v>
      </c>
      <c r="Z87" s="1102">
        <f t="shared" si="59"/>
        <v>0</v>
      </c>
      <c r="AA87" s="873">
        <f t="shared" si="60"/>
        <v>0</v>
      </c>
      <c r="AB87" s="873">
        <f t="shared" si="61"/>
        <v>0</v>
      </c>
      <c r="AC87" s="885">
        <f t="shared" si="62"/>
        <v>-235653.12499999997</v>
      </c>
      <c r="AZ87" s="438"/>
      <c r="BA87" s="438"/>
      <c r="BB87" s="438"/>
      <c r="BC87" s="438"/>
      <c r="BD87" s="438"/>
      <c r="BE87" s="438"/>
      <c r="BF87" s="438"/>
      <c r="BG87" s="440"/>
      <c r="BH87" s="438"/>
      <c r="BI87" s="438"/>
      <c r="BJ87" s="438"/>
      <c r="BK87" s="438"/>
      <c r="BL87" s="438"/>
      <c r="BM87" s="438"/>
      <c r="BN87" s="438"/>
      <c r="BO87" s="447">
        <f t="shared" si="53"/>
        <v>0.99000000000000055</v>
      </c>
      <c r="BP87" s="446">
        <f>(BP88+BP86)/2</f>
        <v>0.998</v>
      </c>
      <c r="BQ87" s="446">
        <f>(BQ88+BQ86)/2</f>
        <v>0.99539999999999995</v>
      </c>
      <c r="BR87" s="445">
        <f>(BR88+BR86)/2</f>
        <v>0.998</v>
      </c>
    </row>
    <row r="88" spans="2:72" s="278" customFormat="1" ht="12" customHeight="1" thickBot="1" x14ac:dyDescent="0.3">
      <c r="B88" s="1108">
        <f>IF(C88&lt;'Financing Assumptions'!$G$25,0,IF(C88='Financing Assumptions'!$G$25,1,IF(C88&gt;'Financing Assumptions'!$G$25,B87+1)))</f>
        <v>69</v>
      </c>
      <c r="C88" s="1109">
        <f t="shared" si="69"/>
        <v>71</v>
      </c>
      <c r="D88" s="732">
        <f t="shared" si="54"/>
        <v>31</v>
      </c>
      <c r="E88" s="35">
        <f t="shared" si="55"/>
        <v>12</v>
      </c>
      <c r="F88" s="889">
        <f t="shared" si="74"/>
        <v>48213</v>
      </c>
      <c r="G88" s="822">
        <f t="shared" si="56"/>
        <v>12</v>
      </c>
      <c r="H88" s="126">
        <f t="shared" si="57"/>
        <v>1</v>
      </c>
      <c r="I88" s="1098">
        <f t="shared" si="75"/>
        <v>0</v>
      </c>
      <c r="J88" s="887">
        <f t="shared" si="70"/>
        <v>69</v>
      </c>
      <c r="K88" s="1099">
        <f t="shared" si="63"/>
        <v>43</v>
      </c>
      <c r="L88" s="891" t="str">
        <f t="shared" si="64"/>
        <v>December</v>
      </c>
      <c r="M88" s="888">
        <f t="shared" si="71"/>
        <v>2031</v>
      </c>
      <c r="N88" s="1284">
        <f t="shared" si="31"/>
        <v>0</v>
      </c>
      <c r="O88" s="1284">
        <f t="shared" si="72"/>
        <v>0</v>
      </c>
      <c r="P88" s="883">
        <f t="shared" si="73"/>
        <v>46485000</v>
      </c>
      <c r="Q88" s="883">
        <f t="shared" si="65"/>
        <v>-235653.12499999997</v>
      </c>
      <c r="R88" s="1100"/>
      <c r="S88" s="883">
        <f t="shared" si="58"/>
        <v>0</v>
      </c>
      <c r="T88" s="884">
        <f t="shared" si="66"/>
        <v>-235653.12499999997</v>
      </c>
      <c r="U88" s="884">
        <f>IF(AND($AU$43="Early Payoff",J88&gt;$U$15),0,IF($J88&lt;=$U$8,SUM($S$20:$S88),0))</f>
        <v>0</v>
      </c>
      <c r="V88" s="884">
        <f>IF(AND($AU$43="Early Payoff",J88&gt;$U$15),0,IF($J88&lt;=$U$8,SUM($T$20:$T88),0))</f>
        <v>-13326184.21875</v>
      </c>
      <c r="W88" s="885">
        <f t="shared" si="67"/>
        <v>46485000</v>
      </c>
      <c r="X88" s="1110">
        <f t="shared" si="68"/>
        <v>46485000</v>
      </c>
      <c r="Z88" s="1102">
        <f t="shared" si="59"/>
        <v>0</v>
      </c>
      <c r="AA88" s="873">
        <f t="shared" si="60"/>
        <v>0</v>
      </c>
      <c r="AB88" s="873">
        <f t="shared" si="61"/>
        <v>0</v>
      </c>
      <c r="AC88" s="885">
        <f t="shared" si="62"/>
        <v>-235653.12499999997</v>
      </c>
      <c r="AZ88" s="438"/>
      <c r="BA88" s="438"/>
      <c r="BB88" s="438"/>
      <c r="BC88" s="438"/>
      <c r="BD88" s="438"/>
      <c r="BE88" s="438"/>
      <c r="BF88" s="438"/>
      <c r="BG88" s="440"/>
      <c r="BH88" s="438"/>
      <c r="BI88" s="438"/>
      <c r="BJ88" s="438"/>
      <c r="BK88" s="438"/>
      <c r="BL88" s="438"/>
      <c r="BM88" s="438"/>
      <c r="BN88" s="438"/>
      <c r="BO88" s="444">
        <v>1</v>
      </c>
      <c r="BP88" s="443">
        <v>1</v>
      </c>
      <c r="BQ88" s="443">
        <v>1</v>
      </c>
      <c r="BR88" s="442">
        <v>1</v>
      </c>
    </row>
    <row r="89" spans="2:72" s="278" customFormat="1" ht="12" customHeight="1" x14ac:dyDescent="0.25">
      <c r="B89" s="1108">
        <f>IF(C89&lt;'Financing Assumptions'!$G$25,0,IF(C89='Financing Assumptions'!$G$25,1,IF(C89&gt;'Financing Assumptions'!$G$25,B88+1)))</f>
        <v>70</v>
      </c>
      <c r="C89" s="1109">
        <f t="shared" si="69"/>
        <v>72</v>
      </c>
      <c r="D89" s="732">
        <f t="shared" si="54"/>
        <v>31</v>
      </c>
      <c r="E89" s="35">
        <f t="shared" si="55"/>
        <v>1</v>
      </c>
      <c r="F89" s="889">
        <f t="shared" si="74"/>
        <v>48244</v>
      </c>
      <c r="G89" s="822">
        <f t="shared" si="56"/>
        <v>1</v>
      </c>
      <c r="H89" s="126">
        <f t="shared" si="57"/>
        <v>0</v>
      </c>
      <c r="I89" s="1098">
        <f t="shared" si="75"/>
        <v>0</v>
      </c>
      <c r="J89" s="887">
        <f t="shared" si="70"/>
        <v>70</v>
      </c>
      <c r="K89" s="1099">
        <f t="shared" si="63"/>
        <v>44</v>
      </c>
      <c r="L89" s="891" t="str">
        <f t="shared" si="64"/>
        <v>January</v>
      </c>
      <c r="M89" s="888">
        <f t="shared" si="71"/>
        <v>2032</v>
      </c>
      <c r="N89" s="1284">
        <f t="shared" si="31"/>
        <v>0</v>
      </c>
      <c r="O89" s="1284">
        <f t="shared" si="72"/>
        <v>0</v>
      </c>
      <c r="P89" s="883">
        <f t="shared" si="73"/>
        <v>46485000</v>
      </c>
      <c r="Q89" s="883">
        <f t="shared" si="65"/>
        <v>-235653.12499999997</v>
      </c>
      <c r="R89" s="1100"/>
      <c r="S89" s="883">
        <f t="shared" si="58"/>
        <v>0</v>
      </c>
      <c r="T89" s="884">
        <f t="shared" si="66"/>
        <v>-235653.12499999997</v>
      </c>
      <c r="U89" s="884">
        <f>IF(AND($AU$43="Early Payoff",J89&gt;$U$15),0,IF($J89&lt;=$U$8,SUM($S$20:$S89),0))</f>
        <v>0</v>
      </c>
      <c r="V89" s="884">
        <f>IF(AND($AU$43="Early Payoff",J89&gt;$U$15),0,IF($J89&lt;=$U$8,SUM($T$20:$T89),0))</f>
        <v>-13561837.34375</v>
      </c>
      <c r="W89" s="885">
        <f t="shared" si="67"/>
        <v>46485000</v>
      </c>
      <c r="X89" s="1110">
        <f t="shared" si="68"/>
        <v>46485000</v>
      </c>
      <c r="Z89" s="1102">
        <f t="shared" si="59"/>
        <v>0</v>
      </c>
      <c r="AA89" s="873">
        <f t="shared" si="60"/>
        <v>0</v>
      </c>
      <c r="AB89" s="873">
        <f t="shared" si="61"/>
        <v>0</v>
      </c>
      <c r="AC89" s="885">
        <f t="shared" si="62"/>
        <v>-235653.12499999997</v>
      </c>
      <c r="AZ89" s="438"/>
      <c r="BA89" s="438"/>
      <c r="BB89" s="438"/>
      <c r="BC89" s="438"/>
      <c r="BD89" s="438"/>
      <c r="BE89" s="438"/>
      <c r="BF89" s="438"/>
      <c r="BG89" s="440"/>
      <c r="BH89" s="438"/>
      <c r="BI89" s="438"/>
      <c r="BJ89" s="438"/>
      <c r="BK89" s="438"/>
      <c r="BL89" s="438"/>
      <c r="BM89" s="438"/>
      <c r="BN89" s="438"/>
      <c r="BO89" s="441"/>
      <c r="BP89" s="440"/>
      <c r="BQ89" s="440"/>
      <c r="BR89" s="440"/>
      <c r="BS89"/>
      <c r="BT89" s="1"/>
    </row>
    <row r="90" spans="2:72" s="278" customFormat="1" ht="12" customHeight="1" x14ac:dyDescent="0.25">
      <c r="B90" s="1108">
        <f>IF(C90&lt;'Financing Assumptions'!$G$25,0,IF(C90='Financing Assumptions'!$G$25,1,IF(C90&gt;'Financing Assumptions'!$G$25,B89+1)))</f>
        <v>71</v>
      </c>
      <c r="C90" s="1109">
        <f t="shared" si="69"/>
        <v>73</v>
      </c>
      <c r="D90" s="732">
        <f t="shared" si="54"/>
        <v>29</v>
      </c>
      <c r="E90" s="35">
        <f t="shared" si="55"/>
        <v>2</v>
      </c>
      <c r="F90" s="889">
        <f t="shared" si="74"/>
        <v>48273</v>
      </c>
      <c r="G90" s="822">
        <f t="shared" si="56"/>
        <v>2</v>
      </c>
      <c r="H90" s="126">
        <f t="shared" si="57"/>
        <v>0</v>
      </c>
      <c r="I90" s="1098">
        <f t="shared" si="75"/>
        <v>0</v>
      </c>
      <c r="J90" s="887">
        <f t="shared" si="70"/>
        <v>71</v>
      </c>
      <c r="K90" s="1099">
        <f t="shared" si="63"/>
        <v>45</v>
      </c>
      <c r="L90" s="891" t="str">
        <f t="shared" si="64"/>
        <v>February</v>
      </c>
      <c r="M90" s="888">
        <f t="shared" si="71"/>
        <v>2032</v>
      </c>
      <c r="N90" s="1284">
        <f t="shared" ref="N90:N153" si="76">IF(B90=0,0,IF($B90&lt;=$M$11,INDEX($AZ$26:$BM$63,MATCH($B90,$AZ$26:$AZ$63,0),MATCH($M$10,$AZ$27:$BM$27,0)),0))</f>
        <v>0</v>
      </c>
      <c r="O90" s="1284">
        <f t="shared" si="72"/>
        <v>0</v>
      </c>
      <c r="P90" s="883">
        <f t="shared" si="73"/>
        <v>46485000</v>
      </c>
      <c r="Q90" s="883">
        <f t="shared" si="65"/>
        <v>-235653.12499999997</v>
      </c>
      <c r="R90" s="1100"/>
      <c r="S90" s="883">
        <f t="shared" si="58"/>
        <v>0</v>
      </c>
      <c r="T90" s="884">
        <f t="shared" si="66"/>
        <v>-235653.12499999997</v>
      </c>
      <c r="U90" s="884">
        <f>IF(AND($AU$43="Early Payoff",J90&gt;$U$15),0,IF($J90&lt;=$U$8,SUM($S$20:$S90),0))</f>
        <v>0</v>
      </c>
      <c r="V90" s="884">
        <f>IF(AND($AU$43="Early Payoff",J90&gt;$U$15),0,IF($J90&lt;=$U$8,SUM($T$20:$T90),0))</f>
        <v>-13797490.46875</v>
      </c>
      <c r="W90" s="885">
        <f t="shared" si="67"/>
        <v>46485000</v>
      </c>
      <c r="X90" s="1110">
        <f t="shared" si="68"/>
        <v>46485000</v>
      </c>
      <c r="Z90" s="1102">
        <f t="shared" si="59"/>
        <v>0</v>
      </c>
      <c r="AA90" s="873">
        <f t="shared" si="60"/>
        <v>0</v>
      </c>
      <c r="AB90" s="873">
        <f t="shared" si="61"/>
        <v>0</v>
      </c>
      <c r="AC90" s="885">
        <f t="shared" si="62"/>
        <v>-235653.12499999997</v>
      </c>
      <c r="AZ90" s="438"/>
      <c r="BA90" s="438"/>
      <c r="BB90" s="438"/>
      <c r="BC90" s="438"/>
      <c r="BD90" s="438"/>
      <c r="BE90" s="438"/>
      <c r="BF90" s="438"/>
      <c r="BG90" s="440"/>
      <c r="BH90" s="438"/>
      <c r="BI90" s="438"/>
      <c r="BJ90" s="438"/>
      <c r="BK90" s="438"/>
      <c r="BL90" s="438"/>
      <c r="BM90" s="438"/>
      <c r="BN90" s="438"/>
      <c r="BO90" s="441"/>
      <c r="BP90" s="440"/>
      <c r="BQ90" s="440"/>
      <c r="BR90" s="440"/>
      <c r="BS90"/>
      <c r="BT90" s="1"/>
    </row>
    <row r="91" spans="2:72" s="278" customFormat="1" ht="12" customHeight="1" x14ac:dyDescent="0.25">
      <c r="B91" s="1108">
        <f>IF(C91&lt;'Financing Assumptions'!$G$25,0,IF(C91='Financing Assumptions'!$G$25,1,IF(C91&gt;'Financing Assumptions'!$G$25,B90+1)))</f>
        <v>72</v>
      </c>
      <c r="C91" s="1109">
        <f t="shared" si="69"/>
        <v>74</v>
      </c>
      <c r="D91" s="732">
        <f t="shared" si="54"/>
        <v>31</v>
      </c>
      <c r="E91" s="35">
        <f t="shared" si="55"/>
        <v>3</v>
      </c>
      <c r="F91" s="889">
        <f t="shared" si="74"/>
        <v>48304</v>
      </c>
      <c r="G91" s="822">
        <f t="shared" si="56"/>
        <v>3</v>
      </c>
      <c r="H91" s="126">
        <f t="shared" si="57"/>
        <v>0</v>
      </c>
      <c r="I91" s="1098">
        <f t="shared" si="75"/>
        <v>0</v>
      </c>
      <c r="J91" s="887">
        <f t="shared" si="70"/>
        <v>72</v>
      </c>
      <c r="K91" s="1099">
        <f t="shared" si="63"/>
        <v>46</v>
      </c>
      <c r="L91" s="891" t="str">
        <f t="shared" si="64"/>
        <v>March</v>
      </c>
      <c r="M91" s="888">
        <f t="shared" si="71"/>
        <v>2032</v>
      </c>
      <c r="N91" s="1284">
        <f t="shared" si="76"/>
        <v>0</v>
      </c>
      <c r="O91" s="1284">
        <f t="shared" si="72"/>
        <v>0</v>
      </c>
      <c r="P91" s="883">
        <f t="shared" si="73"/>
        <v>46485000</v>
      </c>
      <c r="Q91" s="883">
        <f t="shared" si="65"/>
        <v>-235653.12499999997</v>
      </c>
      <c r="R91" s="1100"/>
      <c r="S91" s="883">
        <f t="shared" si="58"/>
        <v>0</v>
      </c>
      <c r="T91" s="884">
        <f t="shared" si="66"/>
        <v>-235653.12499999997</v>
      </c>
      <c r="U91" s="884">
        <f>IF(AND($AU$43="Early Payoff",J91&gt;$U$15),0,IF($J91&lt;=$U$8,SUM($S$20:$S91),0))</f>
        <v>0</v>
      </c>
      <c r="V91" s="884">
        <f>IF(AND($AU$43="Early Payoff",J91&gt;$U$15),0,IF($J91&lt;=$U$8,SUM($T$20:$T91),0))</f>
        <v>-14033143.59375</v>
      </c>
      <c r="W91" s="885">
        <f t="shared" si="67"/>
        <v>46485000</v>
      </c>
      <c r="X91" s="1110">
        <f t="shared" si="68"/>
        <v>46485000</v>
      </c>
      <c r="Z91" s="1102">
        <f t="shared" si="59"/>
        <v>0</v>
      </c>
      <c r="AA91" s="873">
        <f t="shared" si="60"/>
        <v>0</v>
      </c>
      <c r="AB91" s="873">
        <f t="shared" si="61"/>
        <v>0</v>
      </c>
      <c r="AC91" s="885">
        <f t="shared" si="62"/>
        <v>-235653.12499999997</v>
      </c>
      <c r="AZ91" s="438"/>
      <c r="BA91" s="438"/>
      <c r="BB91" s="438"/>
      <c r="BC91" s="438"/>
      <c r="BD91" s="438"/>
      <c r="BE91" s="438"/>
      <c r="BF91" s="438"/>
      <c r="BG91" s="440"/>
      <c r="BH91" s="438"/>
      <c r="BI91" s="438"/>
      <c r="BJ91" s="438"/>
      <c r="BK91" s="438"/>
      <c r="BL91" s="438"/>
      <c r="BM91" s="438"/>
      <c r="BN91" s="438"/>
      <c r="BO91" s="441"/>
      <c r="BP91" s="440"/>
      <c r="BQ91" s="440"/>
      <c r="BR91" s="440"/>
      <c r="BS91"/>
      <c r="BT91" s="1"/>
    </row>
    <row r="92" spans="2:72" s="278" customFormat="1" ht="12" customHeight="1" x14ac:dyDescent="0.25">
      <c r="B92" s="1108">
        <f>IF(C92&lt;'Financing Assumptions'!$G$25,0,IF(C92='Financing Assumptions'!$G$25,1,IF(C92&gt;'Financing Assumptions'!$G$25,B91+1)))</f>
        <v>73</v>
      </c>
      <c r="C92" s="1109">
        <f t="shared" si="69"/>
        <v>75</v>
      </c>
      <c r="D92" s="732">
        <f t="shared" si="54"/>
        <v>30</v>
      </c>
      <c r="E92" s="35">
        <f t="shared" si="55"/>
        <v>4</v>
      </c>
      <c r="F92" s="889">
        <f t="shared" si="74"/>
        <v>48334</v>
      </c>
      <c r="G92" s="822">
        <f t="shared" si="56"/>
        <v>4</v>
      </c>
      <c r="H92" s="126">
        <f t="shared" si="57"/>
        <v>0</v>
      </c>
      <c r="I92" s="1098">
        <f t="shared" si="75"/>
        <v>0</v>
      </c>
      <c r="J92" s="887">
        <f t="shared" si="70"/>
        <v>73</v>
      </c>
      <c r="K92" s="1099">
        <f t="shared" si="63"/>
        <v>47</v>
      </c>
      <c r="L92" s="891" t="str">
        <f t="shared" si="64"/>
        <v>April</v>
      </c>
      <c r="M92" s="888">
        <f t="shared" si="71"/>
        <v>2032</v>
      </c>
      <c r="N92" s="1284">
        <f t="shared" si="76"/>
        <v>0</v>
      </c>
      <c r="O92" s="1284">
        <f t="shared" si="72"/>
        <v>0</v>
      </c>
      <c r="P92" s="883">
        <f t="shared" si="73"/>
        <v>46485000</v>
      </c>
      <c r="Q92" s="883">
        <f t="shared" si="65"/>
        <v>-307277.87674628111</v>
      </c>
      <c r="R92" s="1100"/>
      <c r="S92" s="883">
        <f t="shared" si="58"/>
        <v>-71624.751746281137</v>
      </c>
      <c r="T92" s="884">
        <f t="shared" si="66"/>
        <v>-235653.12499999997</v>
      </c>
      <c r="U92" s="884">
        <f>IF(AND($AU$43="Early Payoff",J92&gt;$U$15),0,IF($J92&lt;=$U$8,SUM($S$20:$S92),0))</f>
        <v>-71624.751746281137</v>
      </c>
      <c r="V92" s="884">
        <f>IF(AND($AU$43="Early Payoff",J92&gt;$U$15),0,IF($J92&lt;=$U$8,SUM($T$20:$T92),0))</f>
        <v>-14268796.71875</v>
      </c>
      <c r="W92" s="885">
        <f t="shared" si="67"/>
        <v>46413375.248253718</v>
      </c>
      <c r="X92" s="1110">
        <f t="shared" si="68"/>
        <v>46485000</v>
      </c>
      <c r="Z92" s="1102">
        <f t="shared" si="59"/>
        <v>0</v>
      </c>
      <c r="AA92" s="873">
        <f t="shared" si="60"/>
        <v>0</v>
      </c>
      <c r="AB92" s="873">
        <f t="shared" si="61"/>
        <v>0</v>
      </c>
      <c r="AC92" s="885">
        <f t="shared" si="62"/>
        <v>-307277.87674628111</v>
      </c>
      <c r="AZ92" s="438"/>
      <c r="BA92" s="438"/>
      <c r="BB92" s="438"/>
      <c r="BC92" s="438"/>
      <c r="BD92" s="438"/>
      <c r="BE92" s="438"/>
      <c r="BF92" s="438"/>
      <c r="BG92" s="440"/>
      <c r="BH92" s="438"/>
      <c r="BI92" s="438"/>
      <c r="BJ92" s="438"/>
      <c r="BK92" s="438"/>
      <c r="BL92" s="438"/>
      <c r="BM92" s="438"/>
      <c r="BN92" s="438"/>
      <c r="BO92" s="441"/>
      <c r="BP92" s="440"/>
      <c r="BQ92" s="440"/>
      <c r="BR92" s="440"/>
      <c r="BS92"/>
      <c r="BT92" s="1"/>
    </row>
    <row r="93" spans="2:72" s="278" customFormat="1" ht="12" customHeight="1" x14ac:dyDescent="0.25">
      <c r="B93" s="1108">
        <f>IF(C93&lt;'Financing Assumptions'!$G$25,0,IF(C93='Financing Assumptions'!$G$25,1,IF(C93&gt;'Financing Assumptions'!$G$25,B92+1)))</f>
        <v>74</v>
      </c>
      <c r="C93" s="1109">
        <f t="shared" si="69"/>
        <v>76</v>
      </c>
      <c r="D93" s="732">
        <f t="shared" si="54"/>
        <v>31</v>
      </c>
      <c r="E93" s="35">
        <f t="shared" si="55"/>
        <v>5</v>
      </c>
      <c r="F93" s="889">
        <f t="shared" si="74"/>
        <v>48365</v>
      </c>
      <c r="G93" s="822">
        <f t="shared" si="56"/>
        <v>5</v>
      </c>
      <c r="H93" s="126">
        <f t="shared" si="57"/>
        <v>0</v>
      </c>
      <c r="I93" s="1098">
        <f t="shared" si="75"/>
        <v>0</v>
      </c>
      <c r="J93" s="887">
        <f t="shared" si="70"/>
        <v>74</v>
      </c>
      <c r="K93" s="1099">
        <f t="shared" si="63"/>
        <v>48</v>
      </c>
      <c r="L93" s="891" t="str">
        <f t="shared" si="64"/>
        <v>May</v>
      </c>
      <c r="M93" s="888">
        <f t="shared" si="71"/>
        <v>2032</v>
      </c>
      <c r="N93" s="1284">
        <f t="shared" si="76"/>
        <v>0</v>
      </c>
      <c r="O93" s="1284">
        <f t="shared" si="72"/>
        <v>0</v>
      </c>
      <c r="P93" s="883">
        <f t="shared" si="73"/>
        <v>46413375.248253718</v>
      </c>
      <c r="Q93" s="883">
        <f t="shared" si="65"/>
        <v>-307277.87674628111</v>
      </c>
      <c r="R93" s="1100"/>
      <c r="S93" s="883">
        <f t="shared" si="58"/>
        <v>-71987.849446106033</v>
      </c>
      <c r="T93" s="884">
        <f t="shared" si="66"/>
        <v>-235290.02730017508</v>
      </c>
      <c r="U93" s="884">
        <f>IF(AND($AU$43="Early Payoff",J93&gt;$U$15),0,IF($J93&lt;=$U$8,SUM($S$20:$S93),0))</f>
        <v>-143612.60119238717</v>
      </c>
      <c r="V93" s="884">
        <f>IF(AND($AU$43="Early Payoff",J93&gt;$U$15),0,IF($J93&lt;=$U$8,SUM($T$20:$T93),0))</f>
        <v>-14504086.746050175</v>
      </c>
      <c r="W93" s="885">
        <f t="shared" si="67"/>
        <v>46341387.398807615</v>
      </c>
      <c r="X93" s="1110">
        <f t="shared" si="68"/>
        <v>46413375.248253718</v>
      </c>
      <c r="Z93" s="1102">
        <f t="shared" si="59"/>
        <v>0</v>
      </c>
      <c r="AA93" s="873">
        <f t="shared" si="60"/>
        <v>0</v>
      </c>
      <c r="AB93" s="873">
        <f t="shared" si="61"/>
        <v>0</v>
      </c>
      <c r="AC93" s="885">
        <f t="shared" si="62"/>
        <v>-307277.87674628111</v>
      </c>
      <c r="AZ93" s="438"/>
      <c r="BA93" s="438"/>
      <c r="BB93" s="438"/>
      <c r="BC93" s="438"/>
      <c r="BD93" s="438"/>
      <c r="BE93" s="438"/>
      <c r="BF93" s="438"/>
      <c r="BG93" s="440"/>
      <c r="BH93" s="438"/>
      <c r="BI93" s="438"/>
      <c r="BJ93" s="438"/>
      <c r="BK93" s="438"/>
      <c r="BL93" s="438"/>
      <c r="BM93" s="438"/>
      <c r="BN93" s="438"/>
      <c r="BO93" s="441"/>
      <c r="BP93" s="440"/>
      <c r="BQ93" s="440"/>
      <c r="BR93" s="440"/>
      <c r="BS93"/>
      <c r="BT93" s="1"/>
    </row>
    <row r="94" spans="2:72" s="278" customFormat="1" ht="12" customHeight="1" x14ac:dyDescent="0.25">
      <c r="B94" s="1108">
        <f>IF(C94&lt;'Financing Assumptions'!$G$25,0,IF(C94='Financing Assumptions'!$G$25,1,IF(C94&gt;'Financing Assumptions'!$G$25,B93+1)))</f>
        <v>75</v>
      </c>
      <c r="C94" s="1109">
        <f t="shared" si="69"/>
        <v>77</v>
      </c>
      <c r="D94" s="732">
        <f t="shared" si="54"/>
        <v>30</v>
      </c>
      <c r="E94" s="35">
        <f t="shared" si="55"/>
        <v>6</v>
      </c>
      <c r="F94" s="889">
        <f t="shared" si="74"/>
        <v>48395</v>
      </c>
      <c r="G94" s="822">
        <f t="shared" si="56"/>
        <v>6</v>
      </c>
      <c r="H94" s="126">
        <f t="shared" si="57"/>
        <v>0</v>
      </c>
      <c r="I94" s="1098">
        <f t="shared" si="75"/>
        <v>0</v>
      </c>
      <c r="J94" s="887">
        <f t="shared" si="70"/>
        <v>75</v>
      </c>
      <c r="K94" s="1099">
        <f t="shared" si="63"/>
        <v>49</v>
      </c>
      <c r="L94" s="891" t="str">
        <f t="shared" si="64"/>
        <v>June</v>
      </c>
      <c r="M94" s="888">
        <f t="shared" si="71"/>
        <v>2032</v>
      </c>
      <c r="N94" s="1284">
        <f t="shared" si="76"/>
        <v>0</v>
      </c>
      <c r="O94" s="1284">
        <f t="shared" si="72"/>
        <v>0</v>
      </c>
      <c r="P94" s="883">
        <f t="shared" si="73"/>
        <v>46341387.398807615</v>
      </c>
      <c r="Q94" s="883">
        <f t="shared" si="65"/>
        <v>-307277.87674628111</v>
      </c>
      <c r="R94" s="1100"/>
      <c r="S94" s="883">
        <f t="shared" si="58"/>
        <v>-72352.787849548069</v>
      </c>
      <c r="T94" s="884">
        <f t="shared" si="66"/>
        <v>-234925.08889673304</v>
      </c>
      <c r="U94" s="884">
        <f>IF(AND($AU$43="Early Payoff",J94&gt;$U$15),0,IF($J94&lt;=$U$8,SUM($S$20:$S94),0))</f>
        <v>-215965.38904193524</v>
      </c>
      <c r="V94" s="884">
        <f>IF(AND($AU$43="Early Payoff",J94&gt;$U$15),0,IF($J94&lt;=$U$8,SUM($T$20:$T94),0))</f>
        <v>-14739011.834946908</v>
      </c>
      <c r="W94" s="885">
        <f t="shared" si="67"/>
        <v>46269034.61095807</v>
      </c>
      <c r="X94" s="1110">
        <f t="shared" si="68"/>
        <v>46341387.398807615</v>
      </c>
      <c r="Z94" s="1102">
        <f t="shared" si="59"/>
        <v>0</v>
      </c>
      <c r="AA94" s="873">
        <f t="shared" si="60"/>
        <v>0</v>
      </c>
      <c r="AB94" s="873">
        <f t="shared" si="61"/>
        <v>0</v>
      </c>
      <c r="AC94" s="885">
        <f t="shared" si="62"/>
        <v>-307277.87674628111</v>
      </c>
      <c r="AZ94" s="438"/>
      <c r="BA94" s="438"/>
      <c r="BB94" s="438"/>
      <c r="BC94" s="438"/>
      <c r="BD94" s="438"/>
      <c r="BE94" s="438"/>
      <c r="BF94" s="438"/>
      <c r="BG94" s="440"/>
      <c r="BH94" s="438"/>
      <c r="BI94" s="438"/>
      <c r="BJ94" s="438"/>
      <c r="BK94" s="438"/>
      <c r="BL94" s="438"/>
      <c r="BM94" s="438"/>
      <c r="BN94" s="438"/>
      <c r="BO94" s="441"/>
      <c r="BP94" s="440"/>
      <c r="BQ94" s="440"/>
      <c r="BR94" s="440"/>
      <c r="BS94"/>
      <c r="BT94" s="1"/>
    </row>
    <row r="95" spans="2:72" s="278" customFormat="1" ht="12" customHeight="1" x14ac:dyDescent="0.25">
      <c r="B95" s="1108">
        <f>IF(C95&lt;'Financing Assumptions'!$G$25,0,IF(C95='Financing Assumptions'!$G$25,1,IF(C95&gt;'Financing Assumptions'!$G$25,B94+1)))</f>
        <v>76</v>
      </c>
      <c r="C95" s="1109">
        <f t="shared" si="69"/>
        <v>78</v>
      </c>
      <c r="D95" s="732">
        <f t="shared" si="54"/>
        <v>31</v>
      </c>
      <c r="E95" s="35">
        <f t="shared" si="55"/>
        <v>7</v>
      </c>
      <c r="F95" s="889">
        <f t="shared" si="74"/>
        <v>48426</v>
      </c>
      <c r="G95" s="822">
        <f t="shared" si="56"/>
        <v>7</v>
      </c>
      <c r="H95" s="126">
        <f t="shared" si="57"/>
        <v>0</v>
      </c>
      <c r="I95" s="1098">
        <f t="shared" si="75"/>
        <v>0</v>
      </c>
      <c r="J95" s="887">
        <f t="shared" si="70"/>
        <v>76</v>
      </c>
      <c r="K95" s="1099">
        <f t="shared" si="63"/>
        <v>50</v>
      </c>
      <c r="L95" s="891" t="str">
        <f t="shared" si="64"/>
        <v>July</v>
      </c>
      <c r="M95" s="888">
        <f t="shared" si="71"/>
        <v>2032</v>
      </c>
      <c r="N95" s="1284">
        <f t="shared" si="76"/>
        <v>0</v>
      </c>
      <c r="O95" s="1284">
        <f t="shared" si="72"/>
        <v>0</v>
      </c>
      <c r="P95" s="883">
        <f t="shared" si="73"/>
        <v>46269034.61095807</v>
      </c>
      <c r="Q95" s="883">
        <f t="shared" si="65"/>
        <v>-307277.87674628111</v>
      </c>
      <c r="R95" s="1100"/>
      <c r="S95" s="883">
        <f t="shared" si="58"/>
        <v>-72719.576287952019</v>
      </c>
      <c r="T95" s="884">
        <f t="shared" si="66"/>
        <v>-234558.30045832909</v>
      </c>
      <c r="U95" s="884">
        <f>IF(AND($AU$43="Early Payoff",J95&gt;$U$15),0,IF($J95&lt;=$U$8,SUM($S$20:$S95),0))</f>
        <v>-288684.96532988723</v>
      </c>
      <c r="V95" s="884">
        <f>IF(AND($AU$43="Early Payoff",J95&gt;$U$15),0,IF($J95&lt;=$U$8,SUM($T$20:$T95),0))</f>
        <v>-14973570.135405237</v>
      </c>
      <c r="W95" s="885">
        <f t="shared" si="67"/>
        <v>46196315.034670115</v>
      </c>
      <c r="X95" s="1110">
        <f t="shared" si="68"/>
        <v>46269034.61095807</v>
      </c>
      <c r="Z95" s="1102">
        <f t="shared" si="59"/>
        <v>0</v>
      </c>
      <c r="AA95" s="873">
        <f t="shared" si="60"/>
        <v>0</v>
      </c>
      <c r="AB95" s="873">
        <f t="shared" si="61"/>
        <v>0</v>
      </c>
      <c r="AC95" s="885">
        <f t="shared" si="62"/>
        <v>-307277.87674628111</v>
      </c>
      <c r="AZ95" s="438"/>
      <c r="BA95" s="438"/>
      <c r="BB95" s="438"/>
      <c r="BC95" s="438"/>
      <c r="BD95" s="438"/>
      <c r="BE95" s="438"/>
      <c r="BF95" s="438"/>
      <c r="BG95" s="440"/>
      <c r="BH95" s="438"/>
      <c r="BI95" s="438"/>
      <c r="BJ95" s="438"/>
      <c r="BK95" s="438"/>
      <c r="BL95" s="438"/>
      <c r="BM95" s="438"/>
      <c r="BN95" s="438"/>
      <c r="BO95" s="441"/>
      <c r="BP95" s="440"/>
      <c r="BQ95" s="440"/>
      <c r="BR95" s="440"/>
      <c r="BS95"/>
      <c r="BT95" s="1"/>
    </row>
    <row r="96" spans="2:72" s="278" customFormat="1" ht="12" customHeight="1" x14ac:dyDescent="0.25">
      <c r="B96" s="1108">
        <f>IF(C96&lt;'Financing Assumptions'!$G$25,0,IF(C96='Financing Assumptions'!$G$25,1,IF(C96&gt;'Financing Assumptions'!$G$25,B95+1)))</f>
        <v>77</v>
      </c>
      <c r="C96" s="1109">
        <f t="shared" si="69"/>
        <v>79</v>
      </c>
      <c r="D96" s="732">
        <f t="shared" si="54"/>
        <v>31</v>
      </c>
      <c r="E96" s="35">
        <f t="shared" si="55"/>
        <v>8</v>
      </c>
      <c r="F96" s="889">
        <f t="shared" si="74"/>
        <v>48457</v>
      </c>
      <c r="G96" s="822">
        <f t="shared" si="56"/>
        <v>8</v>
      </c>
      <c r="H96" s="126">
        <f t="shared" si="57"/>
        <v>0</v>
      </c>
      <c r="I96" s="1098">
        <f t="shared" si="75"/>
        <v>0</v>
      </c>
      <c r="J96" s="887">
        <f t="shared" si="70"/>
        <v>77</v>
      </c>
      <c r="K96" s="1099">
        <f t="shared" si="63"/>
        <v>51</v>
      </c>
      <c r="L96" s="891" t="str">
        <f t="shared" si="64"/>
        <v>August</v>
      </c>
      <c r="M96" s="888">
        <f t="shared" si="71"/>
        <v>2032</v>
      </c>
      <c r="N96" s="1284">
        <f t="shared" si="76"/>
        <v>0</v>
      </c>
      <c r="O96" s="1284">
        <f t="shared" si="72"/>
        <v>0</v>
      </c>
      <c r="P96" s="883">
        <f t="shared" si="73"/>
        <v>46196315.034670115</v>
      </c>
      <c r="Q96" s="883">
        <f t="shared" si="65"/>
        <v>-307277.87674628111</v>
      </c>
      <c r="R96" s="1100"/>
      <c r="S96" s="883">
        <f t="shared" si="58"/>
        <v>-73088.224139967351</v>
      </c>
      <c r="T96" s="884">
        <f t="shared" si="66"/>
        <v>-234189.65260631376</v>
      </c>
      <c r="U96" s="884">
        <f>IF(AND($AU$43="Early Payoff",J96&gt;$U$15),0,IF($J96&lt;=$U$8,SUM($S$20:$S96),0))</f>
        <v>-361773.18946985458</v>
      </c>
      <c r="V96" s="884">
        <f>IF(AND($AU$43="Early Payoff",J96&gt;$U$15),0,IF($J96&lt;=$U$8,SUM($T$20:$T96),0))</f>
        <v>-15207759.788011551</v>
      </c>
      <c r="W96" s="885">
        <f t="shared" si="67"/>
        <v>46123226.810530148</v>
      </c>
      <c r="X96" s="1110">
        <f t="shared" si="68"/>
        <v>46196315.034670115</v>
      </c>
      <c r="Z96" s="1102">
        <f t="shared" si="59"/>
        <v>0</v>
      </c>
      <c r="AA96" s="873">
        <f t="shared" si="60"/>
        <v>0</v>
      </c>
      <c r="AB96" s="873">
        <f t="shared" si="61"/>
        <v>0</v>
      </c>
      <c r="AC96" s="885">
        <f t="shared" si="62"/>
        <v>-307277.87674628111</v>
      </c>
      <c r="AZ96" s="438"/>
      <c r="BA96" s="438"/>
      <c r="BB96" s="438"/>
      <c r="BC96" s="438"/>
      <c r="BD96" s="438"/>
      <c r="BE96" s="438"/>
      <c r="BF96" s="438"/>
      <c r="BG96" s="440"/>
      <c r="BH96" s="438"/>
      <c r="BI96" s="438"/>
      <c r="BJ96" s="438"/>
      <c r="BK96" s="438"/>
      <c r="BL96" s="438"/>
      <c r="BM96" s="438"/>
      <c r="BN96" s="438"/>
      <c r="BO96" s="441"/>
      <c r="BP96" s="440"/>
      <c r="BQ96" s="440"/>
      <c r="BR96" s="440"/>
      <c r="BS96"/>
      <c r="BT96" s="1"/>
    </row>
    <row r="97" spans="2:72" s="278" customFormat="1" ht="12" customHeight="1" x14ac:dyDescent="0.25">
      <c r="B97" s="1108">
        <f>IF(C97&lt;'Financing Assumptions'!$G$25,0,IF(C97='Financing Assumptions'!$G$25,1,IF(C97&gt;'Financing Assumptions'!$G$25,B96+1)))</f>
        <v>78</v>
      </c>
      <c r="C97" s="1109">
        <f t="shared" si="69"/>
        <v>80</v>
      </c>
      <c r="D97" s="732">
        <f t="shared" si="54"/>
        <v>30</v>
      </c>
      <c r="E97" s="35">
        <f t="shared" si="55"/>
        <v>9</v>
      </c>
      <c r="F97" s="889">
        <f t="shared" si="74"/>
        <v>48487</v>
      </c>
      <c r="G97" s="822">
        <f t="shared" si="56"/>
        <v>9</v>
      </c>
      <c r="H97" s="126">
        <f t="shared" si="57"/>
        <v>0</v>
      </c>
      <c r="I97" s="1098">
        <f t="shared" si="75"/>
        <v>0</v>
      </c>
      <c r="J97" s="887">
        <f t="shared" si="70"/>
        <v>78</v>
      </c>
      <c r="K97" s="1099">
        <f t="shared" si="63"/>
        <v>52</v>
      </c>
      <c r="L97" s="891" t="str">
        <f t="shared" si="64"/>
        <v>September</v>
      </c>
      <c r="M97" s="888">
        <f t="shared" si="71"/>
        <v>2032</v>
      </c>
      <c r="N97" s="1284">
        <f t="shared" si="76"/>
        <v>0</v>
      </c>
      <c r="O97" s="1284">
        <f t="shared" si="72"/>
        <v>0</v>
      </c>
      <c r="P97" s="883">
        <f t="shared" si="73"/>
        <v>46123226.810530148</v>
      </c>
      <c r="Q97" s="883">
        <f t="shared" si="65"/>
        <v>-307277.87674628111</v>
      </c>
      <c r="R97" s="1100"/>
      <c r="S97" s="883">
        <f t="shared" si="58"/>
        <v>-73458.740831788018</v>
      </c>
      <c r="T97" s="884">
        <f t="shared" si="66"/>
        <v>-233819.13591449309</v>
      </c>
      <c r="U97" s="884">
        <f>IF(AND($AU$43="Early Payoff",J97&gt;$U$15),0,IF($J97&lt;=$U$8,SUM($S$20:$S97),0))</f>
        <v>-435231.93030164263</v>
      </c>
      <c r="V97" s="884">
        <f>IF(AND($AU$43="Early Payoff",J97&gt;$U$15),0,IF($J97&lt;=$U$8,SUM($T$20:$T97),0))</f>
        <v>-15441578.923926044</v>
      </c>
      <c r="W97" s="885">
        <f t="shared" si="67"/>
        <v>46049768.069698364</v>
      </c>
      <c r="X97" s="1110">
        <f t="shared" si="68"/>
        <v>46123226.810530148</v>
      </c>
      <c r="Z97" s="1102">
        <f t="shared" si="59"/>
        <v>0</v>
      </c>
      <c r="AA97" s="873">
        <f t="shared" si="60"/>
        <v>0</v>
      </c>
      <c r="AB97" s="873">
        <f t="shared" si="61"/>
        <v>0</v>
      </c>
      <c r="AC97" s="885">
        <f t="shared" si="62"/>
        <v>-307277.87674628111</v>
      </c>
      <c r="AZ97" s="438"/>
      <c r="BA97" s="438"/>
      <c r="BB97" s="438"/>
      <c r="BC97" s="438"/>
      <c r="BD97" s="438"/>
      <c r="BE97" s="438"/>
      <c r="BF97" s="438"/>
      <c r="BG97" s="440"/>
      <c r="BH97" s="438"/>
      <c r="BI97" s="438"/>
      <c r="BJ97" s="438"/>
      <c r="BK97" s="438"/>
      <c r="BL97" s="438"/>
      <c r="BM97" s="438"/>
      <c r="BN97" s="438"/>
      <c r="BO97" s="441"/>
      <c r="BP97" s="440"/>
      <c r="BQ97" s="440"/>
      <c r="BR97" s="440"/>
      <c r="BS97"/>
      <c r="BT97" s="1"/>
    </row>
    <row r="98" spans="2:72" s="278" customFormat="1" ht="12" customHeight="1" x14ac:dyDescent="0.25">
      <c r="B98" s="1108">
        <f>IF(C98&lt;'Financing Assumptions'!$G$25,0,IF(C98='Financing Assumptions'!$G$25,1,IF(C98&gt;'Financing Assumptions'!$G$25,B97+1)))</f>
        <v>79</v>
      </c>
      <c r="C98" s="1109">
        <f t="shared" si="69"/>
        <v>81</v>
      </c>
      <c r="D98" s="732">
        <f t="shared" si="54"/>
        <v>31</v>
      </c>
      <c r="E98" s="35">
        <f t="shared" si="55"/>
        <v>10</v>
      </c>
      <c r="F98" s="889">
        <f t="shared" si="74"/>
        <v>48518</v>
      </c>
      <c r="G98" s="822">
        <f t="shared" si="56"/>
        <v>10</v>
      </c>
      <c r="H98" s="126">
        <f t="shared" si="57"/>
        <v>0</v>
      </c>
      <c r="I98" s="1098">
        <f t="shared" si="75"/>
        <v>0</v>
      </c>
      <c r="J98" s="887">
        <f t="shared" si="70"/>
        <v>79</v>
      </c>
      <c r="K98" s="1099">
        <f t="shared" si="63"/>
        <v>53</v>
      </c>
      <c r="L98" s="891" t="str">
        <f t="shared" si="64"/>
        <v>October</v>
      </c>
      <c r="M98" s="888">
        <f t="shared" si="71"/>
        <v>2032</v>
      </c>
      <c r="N98" s="1284">
        <f t="shared" si="76"/>
        <v>0</v>
      </c>
      <c r="O98" s="1284">
        <f t="shared" si="72"/>
        <v>0</v>
      </c>
      <c r="P98" s="883">
        <f t="shared" si="73"/>
        <v>46049768.069698364</v>
      </c>
      <c r="Q98" s="883">
        <f t="shared" si="65"/>
        <v>-307277.87674628111</v>
      </c>
      <c r="R98" s="1100"/>
      <c r="S98" s="883">
        <f t="shared" si="58"/>
        <v>-73831.13583739358</v>
      </c>
      <c r="T98" s="884">
        <f t="shared" si="66"/>
        <v>-233446.74090888753</v>
      </c>
      <c r="U98" s="884">
        <f>IF(AND($AU$43="Early Payoff",J98&gt;$U$15),0,IF($J98&lt;=$U$8,SUM($S$20:$S98),0))</f>
        <v>-509063.06613903621</v>
      </c>
      <c r="V98" s="884">
        <f>IF(AND($AU$43="Early Payoff",J98&gt;$U$15),0,IF($J98&lt;=$U$8,SUM($T$20:$T98),0))</f>
        <v>-15675025.664834931</v>
      </c>
      <c r="W98" s="885">
        <f t="shared" si="67"/>
        <v>45975936.933860973</v>
      </c>
      <c r="X98" s="1110">
        <f t="shared" si="68"/>
        <v>46049768.069698364</v>
      </c>
      <c r="Z98" s="1102">
        <f t="shared" si="59"/>
        <v>0</v>
      </c>
      <c r="AA98" s="873">
        <f t="shared" si="60"/>
        <v>0</v>
      </c>
      <c r="AB98" s="873">
        <f t="shared" si="61"/>
        <v>0</v>
      </c>
      <c r="AC98" s="885">
        <f t="shared" si="62"/>
        <v>-307277.87674628111</v>
      </c>
      <c r="AZ98" s="438"/>
      <c r="BA98" s="438"/>
      <c r="BB98" s="438"/>
      <c r="BC98" s="438"/>
      <c r="BD98" s="438"/>
      <c r="BE98" s="438"/>
      <c r="BF98" s="438"/>
      <c r="BG98" s="440"/>
      <c r="BH98" s="438"/>
      <c r="BI98" s="438"/>
      <c r="BJ98" s="438"/>
      <c r="BK98" s="438"/>
      <c r="BL98" s="438"/>
      <c r="BM98" s="438"/>
      <c r="BN98" s="438"/>
      <c r="BO98" s="441"/>
      <c r="BP98" s="440"/>
      <c r="BQ98" s="440"/>
      <c r="BR98" s="440"/>
      <c r="BS98"/>
      <c r="BT98" s="1"/>
    </row>
    <row r="99" spans="2:72" s="278" customFormat="1" ht="12" customHeight="1" x14ac:dyDescent="0.25">
      <c r="B99" s="1108">
        <f>IF(C99&lt;'Financing Assumptions'!$G$25,0,IF(C99='Financing Assumptions'!$G$25,1,IF(C99&gt;'Financing Assumptions'!$G$25,B98+1)))</f>
        <v>80</v>
      </c>
      <c r="C99" s="1109">
        <f t="shared" si="69"/>
        <v>82</v>
      </c>
      <c r="D99" s="732">
        <f t="shared" si="54"/>
        <v>30</v>
      </c>
      <c r="E99" s="35">
        <f t="shared" si="55"/>
        <v>11</v>
      </c>
      <c r="F99" s="889">
        <f t="shared" si="74"/>
        <v>48548</v>
      </c>
      <c r="G99" s="822">
        <f t="shared" si="56"/>
        <v>11</v>
      </c>
      <c r="H99" s="126">
        <f t="shared" si="57"/>
        <v>0</v>
      </c>
      <c r="I99" s="1098">
        <f t="shared" si="75"/>
        <v>0</v>
      </c>
      <c r="J99" s="887">
        <f t="shared" si="70"/>
        <v>80</v>
      </c>
      <c r="K99" s="1099">
        <f t="shared" si="63"/>
        <v>54</v>
      </c>
      <c r="L99" s="891" t="str">
        <f t="shared" si="64"/>
        <v>November</v>
      </c>
      <c r="M99" s="888">
        <f t="shared" si="71"/>
        <v>2032</v>
      </c>
      <c r="N99" s="1284">
        <f t="shared" si="76"/>
        <v>0</v>
      </c>
      <c r="O99" s="1284">
        <f t="shared" si="72"/>
        <v>0</v>
      </c>
      <c r="P99" s="883">
        <f t="shared" si="73"/>
        <v>45975936.933860973</v>
      </c>
      <c r="Q99" s="883">
        <f t="shared" si="65"/>
        <v>-307277.87674628111</v>
      </c>
      <c r="R99" s="1100"/>
      <c r="S99" s="883">
        <f t="shared" si="58"/>
        <v>-74205.418678791466</v>
      </c>
      <c r="T99" s="884">
        <f t="shared" si="66"/>
        <v>-233072.45806748964</v>
      </c>
      <c r="U99" s="884">
        <f>IF(AND($AU$43="Early Payoff",J99&gt;$U$15),0,IF($J99&lt;=$U$8,SUM($S$20:$S99),0))</f>
        <v>-583268.4848178277</v>
      </c>
      <c r="V99" s="884">
        <f>IF(AND($AU$43="Early Payoff",J99&gt;$U$15),0,IF($J99&lt;=$U$8,SUM($T$20:$T99),0))</f>
        <v>-15908098.122902421</v>
      </c>
      <c r="W99" s="885">
        <f t="shared" si="67"/>
        <v>45901731.515182182</v>
      </c>
      <c r="X99" s="1110">
        <f t="shared" si="68"/>
        <v>45975936.933860973</v>
      </c>
      <c r="Z99" s="1102">
        <f t="shared" si="59"/>
        <v>0</v>
      </c>
      <c r="AA99" s="873">
        <f t="shared" si="60"/>
        <v>0</v>
      </c>
      <c r="AB99" s="873">
        <f t="shared" si="61"/>
        <v>0</v>
      </c>
      <c r="AC99" s="885">
        <f t="shared" si="62"/>
        <v>-307277.87674628111</v>
      </c>
      <c r="AZ99" s="438"/>
      <c r="BA99" s="438"/>
      <c r="BB99" s="438"/>
      <c r="BC99" s="438"/>
      <c r="BD99" s="438"/>
      <c r="BE99" s="438"/>
      <c r="BF99" s="438"/>
      <c r="BG99" s="440"/>
      <c r="BH99" s="438"/>
      <c r="BI99" s="438"/>
      <c r="BJ99" s="438"/>
      <c r="BK99" s="438"/>
      <c r="BL99" s="438"/>
      <c r="BM99" s="438"/>
      <c r="BN99" s="438"/>
      <c r="BO99" s="441"/>
      <c r="BP99" s="440"/>
      <c r="BQ99" s="440"/>
      <c r="BR99" s="440"/>
      <c r="BS99"/>
      <c r="BT99" s="1"/>
    </row>
    <row r="100" spans="2:72" s="278" customFormat="1" ht="12" customHeight="1" x14ac:dyDescent="0.25">
      <c r="B100" s="1108">
        <f>IF(C100&lt;'Financing Assumptions'!$G$25,0,IF(C100='Financing Assumptions'!$G$25,1,IF(C100&gt;'Financing Assumptions'!$G$25,B99+1)))</f>
        <v>81</v>
      </c>
      <c r="C100" s="1109">
        <f t="shared" si="69"/>
        <v>83</v>
      </c>
      <c r="D100" s="732">
        <f t="shared" si="54"/>
        <v>31</v>
      </c>
      <c r="E100" s="35">
        <f t="shared" si="55"/>
        <v>12</v>
      </c>
      <c r="F100" s="889">
        <f t="shared" si="74"/>
        <v>48579</v>
      </c>
      <c r="G100" s="822">
        <f t="shared" si="56"/>
        <v>12</v>
      </c>
      <c r="H100" s="126">
        <f t="shared" si="57"/>
        <v>1</v>
      </c>
      <c r="I100" s="1098">
        <f t="shared" si="75"/>
        <v>0</v>
      </c>
      <c r="J100" s="887">
        <f t="shared" si="70"/>
        <v>81</v>
      </c>
      <c r="K100" s="1099">
        <f t="shared" si="63"/>
        <v>55</v>
      </c>
      <c r="L100" s="891" t="str">
        <f t="shared" si="64"/>
        <v>December</v>
      </c>
      <c r="M100" s="888">
        <f t="shared" si="71"/>
        <v>2032</v>
      </c>
      <c r="N100" s="1284">
        <f t="shared" si="76"/>
        <v>0</v>
      </c>
      <c r="O100" s="1284">
        <f t="shared" si="72"/>
        <v>0</v>
      </c>
      <c r="P100" s="883">
        <f t="shared" si="73"/>
        <v>45901731.515182182</v>
      </c>
      <c r="Q100" s="883">
        <f t="shared" si="65"/>
        <v>-307277.87674628111</v>
      </c>
      <c r="R100" s="1100"/>
      <c r="S100" s="883">
        <f t="shared" si="58"/>
        <v>-74581.59892626034</v>
      </c>
      <c r="T100" s="884">
        <f t="shared" si="66"/>
        <v>-232696.27782002077</v>
      </c>
      <c r="U100" s="884">
        <f>IF(AND($AU$43="Early Payoff",J100&gt;$U$15),0,IF($J100&lt;=$U$8,SUM($S$20:$S100),0))</f>
        <v>-657850.08374408807</v>
      </c>
      <c r="V100" s="884">
        <f>IF(AND($AU$43="Early Payoff",J100&gt;$U$15),0,IF($J100&lt;=$U$8,SUM($T$20:$T100),0))</f>
        <v>-16140794.400722442</v>
      </c>
      <c r="W100" s="885">
        <f t="shared" si="67"/>
        <v>45827149.916255921</v>
      </c>
      <c r="X100" s="1110">
        <f t="shared" si="68"/>
        <v>45901731.515182182</v>
      </c>
      <c r="Z100" s="1102">
        <f t="shared" si="59"/>
        <v>0</v>
      </c>
      <c r="AA100" s="873">
        <f t="shared" si="60"/>
        <v>0</v>
      </c>
      <c r="AB100" s="873">
        <f t="shared" si="61"/>
        <v>0</v>
      </c>
      <c r="AC100" s="885">
        <f t="shared" si="62"/>
        <v>-307277.87674628111</v>
      </c>
      <c r="AZ100" s="438"/>
      <c r="BA100" s="438"/>
      <c r="BB100" s="438"/>
      <c r="BC100" s="438"/>
      <c r="BD100" s="438"/>
      <c r="BE100" s="438"/>
      <c r="BF100" s="438"/>
      <c r="BG100" s="440"/>
      <c r="BH100" s="438"/>
      <c r="BI100" s="438"/>
      <c r="BJ100" s="438"/>
      <c r="BK100" s="438"/>
      <c r="BL100" s="438"/>
      <c r="BM100" s="438"/>
      <c r="BN100" s="438"/>
      <c r="BO100" s="439"/>
      <c r="BP100" s="438"/>
      <c r="BQ100" s="438"/>
      <c r="BR100" s="438"/>
      <c r="BS100"/>
      <c r="BT100" s="1"/>
    </row>
    <row r="101" spans="2:72" s="278" customFormat="1" ht="12" customHeight="1" x14ac:dyDescent="0.25">
      <c r="B101" s="1108">
        <f>IF(C101&lt;'Financing Assumptions'!$G$25,0,IF(C101='Financing Assumptions'!$G$25,1,IF(C101&gt;'Financing Assumptions'!$G$25,B100+1)))</f>
        <v>82</v>
      </c>
      <c r="C101" s="1109">
        <f t="shared" si="69"/>
        <v>84</v>
      </c>
      <c r="D101" s="732">
        <f t="shared" si="54"/>
        <v>31</v>
      </c>
      <c r="E101" s="35">
        <f t="shared" si="55"/>
        <v>1</v>
      </c>
      <c r="F101" s="889">
        <f t="shared" si="74"/>
        <v>48610</v>
      </c>
      <c r="G101" s="822">
        <f t="shared" si="56"/>
        <v>1</v>
      </c>
      <c r="H101" s="126">
        <f t="shared" si="57"/>
        <v>0</v>
      </c>
      <c r="I101" s="1098">
        <f t="shared" si="75"/>
        <v>0</v>
      </c>
      <c r="J101" s="887">
        <f t="shared" si="70"/>
        <v>82</v>
      </c>
      <c r="K101" s="1099">
        <f t="shared" si="63"/>
        <v>56</v>
      </c>
      <c r="L101" s="891" t="str">
        <f t="shared" si="64"/>
        <v>January</v>
      </c>
      <c r="M101" s="888">
        <f t="shared" si="71"/>
        <v>2033</v>
      </c>
      <c r="N101" s="1284">
        <f t="shared" si="76"/>
        <v>0</v>
      </c>
      <c r="O101" s="1284">
        <f t="shared" si="72"/>
        <v>0</v>
      </c>
      <c r="P101" s="883">
        <f t="shared" si="73"/>
        <v>45827149.916255921</v>
      </c>
      <c r="Q101" s="883">
        <f t="shared" si="65"/>
        <v>-307277.87674628111</v>
      </c>
      <c r="R101" s="1100"/>
      <c r="S101" s="883">
        <f t="shared" si="58"/>
        <v>-74959.686198594864</v>
      </c>
      <c r="T101" s="884">
        <f t="shared" si="66"/>
        <v>-232318.19054768624</v>
      </c>
      <c r="U101" s="884">
        <f>IF(AND($AU$43="Early Payoff",J101&gt;$U$15),0,IF($J101&lt;=$U$8,SUM($S$20:$S101),0))</f>
        <v>-732809.76994268293</v>
      </c>
      <c r="V101" s="884">
        <f>IF(AND($AU$43="Early Payoff",J101&gt;$U$15),0,IF($J101&lt;=$U$8,SUM($T$20:$T101),0))</f>
        <v>-16373112.591270128</v>
      </c>
      <c r="W101" s="885">
        <f t="shared" si="67"/>
        <v>45752190.230057329</v>
      </c>
      <c r="X101" s="1110">
        <f t="shared" si="68"/>
        <v>45827149.916255921</v>
      </c>
      <c r="Z101" s="1102">
        <f t="shared" si="59"/>
        <v>0</v>
      </c>
      <c r="AA101" s="873">
        <f t="shared" si="60"/>
        <v>0</v>
      </c>
      <c r="AB101" s="873">
        <f t="shared" si="61"/>
        <v>0</v>
      </c>
      <c r="AC101" s="885">
        <f t="shared" si="62"/>
        <v>-307277.87674628111</v>
      </c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/>
      <c r="BT101" s="1"/>
    </row>
    <row r="102" spans="2:72" s="278" customFormat="1" ht="12" customHeight="1" x14ac:dyDescent="0.25">
      <c r="B102" s="1108">
        <f>IF(C102&lt;'Financing Assumptions'!$G$25,0,IF(C102='Financing Assumptions'!$G$25,1,IF(C102&gt;'Financing Assumptions'!$G$25,B101+1)))</f>
        <v>83</v>
      </c>
      <c r="C102" s="1109">
        <f t="shared" si="69"/>
        <v>85</v>
      </c>
      <c r="D102" s="732">
        <f t="shared" si="54"/>
        <v>28</v>
      </c>
      <c r="E102" s="35">
        <f t="shared" si="55"/>
        <v>2</v>
      </c>
      <c r="F102" s="889">
        <f t="shared" si="74"/>
        <v>48638</v>
      </c>
      <c r="G102" s="822">
        <f t="shared" si="56"/>
        <v>2</v>
      </c>
      <c r="H102" s="126">
        <f t="shared" si="57"/>
        <v>0</v>
      </c>
      <c r="I102" s="1098">
        <f t="shared" si="75"/>
        <v>0</v>
      </c>
      <c r="J102" s="887">
        <f t="shared" si="70"/>
        <v>83</v>
      </c>
      <c r="K102" s="1099">
        <f t="shared" si="63"/>
        <v>57</v>
      </c>
      <c r="L102" s="891" t="str">
        <f t="shared" si="64"/>
        <v>February</v>
      </c>
      <c r="M102" s="888">
        <f t="shared" si="71"/>
        <v>2033</v>
      </c>
      <c r="N102" s="1284">
        <f t="shared" si="76"/>
        <v>0</v>
      </c>
      <c r="O102" s="1284">
        <f t="shared" si="72"/>
        <v>0</v>
      </c>
      <c r="P102" s="883">
        <f t="shared" si="73"/>
        <v>45752190.230057329</v>
      </c>
      <c r="Q102" s="883">
        <f t="shared" si="65"/>
        <v>-307277.87674628111</v>
      </c>
      <c r="R102" s="1100"/>
      <c r="S102" s="883">
        <f t="shared" si="58"/>
        <v>-75339.690163351595</v>
      </c>
      <c r="T102" s="884">
        <f t="shared" si="66"/>
        <v>-231938.18658292951</v>
      </c>
      <c r="U102" s="884">
        <f>IF(AND($AU$43="Early Payoff",J102&gt;$U$15),0,IF($J102&lt;=$U$8,SUM($S$20:$S102),0))</f>
        <v>-808149.46010603453</v>
      </c>
      <c r="V102" s="884">
        <f>IF(AND($AU$43="Early Payoff",J102&gt;$U$15),0,IF($J102&lt;=$U$8,SUM($T$20:$T102),0))</f>
        <v>-16605050.777853059</v>
      </c>
      <c r="W102" s="885">
        <f t="shared" si="67"/>
        <v>45676850.539893977</v>
      </c>
      <c r="X102" s="1110">
        <f t="shared" si="68"/>
        <v>45752190.230057329</v>
      </c>
      <c r="Z102" s="1102">
        <f t="shared" si="59"/>
        <v>0</v>
      </c>
      <c r="AA102" s="873">
        <f t="shared" si="60"/>
        <v>0</v>
      </c>
      <c r="AB102" s="873">
        <f t="shared" si="61"/>
        <v>0</v>
      </c>
      <c r="AC102" s="885">
        <f t="shared" si="62"/>
        <v>-307277.87674628111</v>
      </c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</row>
    <row r="103" spans="2:72" s="278" customFormat="1" ht="12" customHeight="1" x14ac:dyDescent="0.25">
      <c r="B103" s="1108">
        <f>IF(C103&lt;'Financing Assumptions'!$G$25,0,IF(C103='Financing Assumptions'!$G$25,1,IF(C103&gt;'Financing Assumptions'!$G$25,B102+1)))</f>
        <v>84</v>
      </c>
      <c r="C103" s="1109">
        <f t="shared" si="69"/>
        <v>86</v>
      </c>
      <c r="D103" s="732">
        <f t="shared" si="54"/>
        <v>31</v>
      </c>
      <c r="E103" s="35">
        <f t="shared" si="55"/>
        <v>3</v>
      </c>
      <c r="F103" s="889">
        <f t="shared" si="74"/>
        <v>48669</v>
      </c>
      <c r="G103" s="822">
        <f t="shared" si="56"/>
        <v>3</v>
      </c>
      <c r="H103" s="126">
        <f t="shared" si="57"/>
        <v>0</v>
      </c>
      <c r="I103" s="1098">
        <f t="shared" si="75"/>
        <v>0</v>
      </c>
      <c r="J103" s="887">
        <f t="shared" si="70"/>
        <v>84</v>
      </c>
      <c r="K103" s="1099">
        <f t="shared" si="63"/>
        <v>58</v>
      </c>
      <c r="L103" s="891" t="str">
        <f t="shared" si="64"/>
        <v>March</v>
      </c>
      <c r="M103" s="888">
        <f t="shared" si="71"/>
        <v>2033</v>
      </c>
      <c r="N103" s="1284">
        <f t="shared" si="76"/>
        <v>0</v>
      </c>
      <c r="O103" s="1284">
        <f t="shared" si="72"/>
        <v>0</v>
      </c>
      <c r="P103" s="883">
        <f t="shared" si="73"/>
        <v>45676850.539893977</v>
      </c>
      <c r="Q103" s="883">
        <f t="shared" si="65"/>
        <v>-307277.87674628111</v>
      </c>
      <c r="R103" s="1100"/>
      <c r="S103" s="883">
        <f t="shared" si="58"/>
        <v>-75721.620537096373</v>
      </c>
      <c r="T103" s="884">
        <f t="shared" si="66"/>
        <v>-231556.25620918474</v>
      </c>
      <c r="U103" s="884">
        <f>IF(AND($AU$43="Early Payoff",J103&gt;$U$15),0,IF($J103&lt;=$U$8,SUM($S$20:$S103),0))</f>
        <v>-883871.08064313093</v>
      </c>
      <c r="V103" s="884">
        <f>IF(AND($AU$43="Early Payoff",J103&gt;$U$15),0,IF($J103&lt;=$U$8,SUM($T$20:$T103),0))</f>
        <v>-16836607.034062244</v>
      </c>
      <c r="W103" s="885">
        <f t="shared" si="67"/>
        <v>45601128.919356883</v>
      </c>
      <c r="X103" s="1110">
        <f t="shared" si="68"/>
        <v>45676850.539893977</v>
      </c>
      <c r="Z103" s="1102">
        <f t="shared" si="59"/>
        <v>0</v>
      </c>
      <c r="AA103" s="873">
        <f t="shared" si="60"/>
        <v>0</v>
      </c>
      <c r="AB103" s="873">
        <f t="shared" si="61"/>
        <v>0</v>
      </c>
      <c r="AC103" s="885">
        <f t="shared" si="62"/>
        <v>-307277.87674628111</v>
      </c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</row>
    <row r="104" spans="2:72" s="278" customFormat="1" ht="12" customHeight="1" x14ac:dyDescent="0.25">
      <c r="B104" s="1108">
        <f>IF(C104&lt;'Financing Assumptions'!$G$25,0,IF(C104='Financing Assumptions'!$G$25,1,IF(C104&gt;'Financing Assumptions'!$G$25,B103+1)))</f>
        <v>85</v>
      </c>
      <c r="C104" s="1109">
        <f t="shared" si="69"/>
        <v>87</v>
      </c>
      <c r="D104" s="732">
        <f t="shared" si="54"/>
        <v>30</v>
      </c>
      <c r="E104" s="35">
        <f t="shared" si="55"/>
        <v>4</v>
      </c>
      <c r="F104" s="889">
        <f t="shared" si="74"/>
        <v>48699</v>
      </c>
      <c r="G104" s="822">
        <f t="shared" si="56"/>
        <v>4</v>
      </c>
      <c r="H104" s="126">
        <f t="shared" si="57"/>
        <v>0</v>
      </c>
      <c r="I104" s="1098">
        <f t="shared" si="75"/>
        <v>0</v>
      </c>
      <c r="J104" s="887">
        <f t="shared" si="70"/>
        <v>85</v>
      </c>
      <c r="K104" s="1099">
        <f t="shared" si="63"/>
        <v>59</v>
      </c>
      <c r="L104" s="891" t="str">
        <f t="shared" si="64"/>
        <v>April</v>
      </c>
      <c r="M104" s="888">
        <f t="shared" si="71"/>
        <v>2033</v>
      </c>
      <c r="N104" s="1284">
        <f t="shared" si="76"/>
        <v>0</v>
      </c>
      <c r="O104" s="1284">
        <f t="shared" si="72"/>
        <v>0</v>
      </c>
      <c r="P104" s="883">
        <f t="shared" si="73"/>
        <v>45601128.919356883</v>
      </c>
      <c r="Q104" s="883">
        <f t="shared" si="65"/>
        <v>-307277.87674628111</v>
      </c>
      <c r="R104" s="1100"/>
      <c r="S104" s="883">
        <f t="shared" si="58"/>
        <v>-76105.487085652479</v>
      </c>
      <c r="T104" s="884">
        <f t="shared" si="66"/>
        <v>-231172.38966062863</v>
      </c>
      <c r="U104" s="884">
        <f>IF(AND($AU$43="Early Payoff",J104&gt;$U$15),0,IF($J104&lt;=$U$8,SUM($S$20:$S104),0))</f>
        <v>-959976.56772878347</v>
      </c>
      <c r="V104" s="884">
        <f>IF(AND($AU$43="Early Payoff",J104&gt;$U$15),0,IF($J104&lt;=$U$8,SUM($T$20:$T104),0))</f>
        <v>-17067779.423722874</v>
      </c>
      <c r="W104" s="885">
        <f t="shared" si="67"/>
        <v>45525023.432271227</v>
      </c>
      <c r="X104" s="1110">
        <f t="shared" si="68"/>
        <v>45601128.919356883</v>
      </c>
      <c r="Z104" s="1102">
        <f t="shared" si="59"/>
        <v>0</v>
      </c>
      <c r="AA104" s="873">
        <f t="shared" si="60"/>
        <v>0</v>
      </c>
      <c r="AB104" s="873">
        <f t="shared" si="61"/>
        <v>0</v>
      </c>
      <c r="AC104" s="885">
        <f t="shared" si="62"/>
        <v>-307277.87674628111</v>
      </c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</row>
    <row r="105" spans="2:72" s="278" customFormat="1" ht="12" customHeight="1" x14ac:dyDescent="0.25">
      <c r="B105" s="1108">
        <f>IF(C105&lt;'Financing Assumptions'!$G$25,0,IF(C105='Financing Assumptions'!$G$25,1,IF(C105&gt;'Financing Assumptions'!$G$25,B104+1)))</f>
        <v>86</v>
      </c>
      <c r="C105" s="1109">
        <f t="shared" si="69"/>
        <v>88</v>
      </c>
      <c r="D105" s="732">
        <f t="shared" si="54"/>
        <v>31</v>
      </c>
      <c r="E105" s="35">
        <f t="shared" si="55"/>
        <v>5</v>
      </c>
      <c r="F105" s="889">
        <f t="shared" si="74"/>
        <v>48730</v>
      </c>
      <c r="G105" s="822">
        <f t="shared" si="56"/>
        <v>5</v>
      </c>
      <c r="H105" s="126">
        <f t="shared" si="57"/>
        <v>0</v>
      </c>
      <c r="I105" s="1098">
        <f t="shared" si="75"/>
        <v>0</v>
      </c>
      <c r="J105" s="887">
        <f t="shared" si="70"/>
        <v>86</v>
      </c>
      <c r="K105" s="1099">
        <f t="shared" si="63"/>
        <v>60</v>
      </c>
      <c r="L105" s="891" t="str">
        <f t="shared" si="64"/>
        <v>May</v>
      </c>
      <c r="M105" s="888">
        <f t="shared" si="71"/>
        <v>2033</v>
      </c>
      <c r="N105" s="1284">
        <f t="shared" si="76"/>
        <v>0</v>
      </c>
      <c r="O105" s="1284">
        <f t="shared" si="72"/>
        <v>0</v>
      </c>
      <c r="P105" s="883">
        <f t="shared" si="73"/>
        <v>45525023.432271227</v>
      </c>
      <c r="Q105" s="883">
        <f t="shared" si="65"/>
        <v>-307277.87674628111</v>
      </c>
      <c r="R105" s="1100"/>
      <c r="S105" s="883">
        <f t="shared" si="58"/>
        <v>-76491.299624350591</v>
      </c>
      <c r="T105" s="884">
        <f t="shared" si="66"/>
        <v>-230786.57712193052</v>
      </c>
      <c r="U105" s="884">
        <f>IF(AND($AU$43="Early Payoff",J105&gt;$U$15),0,IF($J105&lt;=$U$8,SUM($S$20:$S105),0))</f>
        <v>-1036467.8673531341</v>
      </c>
      <c r="V105" s="884">
        <f>IF(AND($AU$43="Early Payoff",J105&gt;$U$15),0,IF($J105&lt;=$U$8,SUM($T$20:$T105),0))</f>
        <v>-17298566.000844806</v>
      </c>
      <c r="W105" s="885">
        <f t="shared" si="67"/>
        <v>45448532.132646874</v>
      </c>
      <c r="X105" s="1110">
        <f t="shared" si="68"/>
        <v>45525023.432271227</v>
      </c>
      <c r="Z105" s="1102">
        <f t="shared" si="59"/>
        <v>0</v>
      </c>
      <c r="AA105" s="873">
        <f t="shared" si="60"/>
        <v>0</v>
      </c>
      <c r="AB105" s="873">
        <f t="shared" si="61"/>
        <v>0</v>
      </c>
      <c r="AC105" s="885">
        <f t="shared" si="62"/>
        <v>-307277.87674628111</v>
      </c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</row>
    <row r="106" spans="2:72" s="278" customFormat="1" ht="12" customHeight="1" x14ac:dyDescent="0.25">
      <c r="B106" s="1108">
        <f>IF(C106&lt;'Financing Assumptions'!$G$25,0,IF(C106='Financing Assumptions'!$G$25,1,IF(C106&gt;'Financing Assumptions'!$G$25,B105+1)))</f>
        <v>87</v>
      </c>
      <c r="C106" s="1109">
        <f t="shared" si="69"/>
        <v>89</v>
      </c>
      <c r="D106" s="732">
        <f t="shared" si="54"/>
        <v>30</v>
      </c>
      <c r="E106" s="35">
        <f t="shared" si="55"/>
        <v>6</v>
      </c>
      <c r="F106" s="889">
        <f t="shared" si="74"/>
        <v>48760</v>
      </c>
      <c r="G106" s="822">
        <f t="shared" si="56"/>
        <v>6</v>
      </c>
      <c r="H106" s="126">
        <f t="shared" si="57"/>
        <v>0</v>
      </c>
      <c r="I106" s="1098">
        <f t="shared" si="75"/>
        <v>0</v>
      </c>
      <c r="J106" s="887">
        <f t="shared" si="70"/>
        <v>87</v>
      </c>
      <c r="K106" s="1099">
        <f t="shared" si="63"/>
        <v>61</v>
      </c>
      <c r="L106" s="891" t="str">
        <f t="shared" si="64"/>
        <v>June</v>
      </c>
      <c r="M106" s="888">
        <f t="shared" si="71"/>
        <v>2033</v>
      </c>
      <c r="N106" s="1284">
        <f t="shared" si="76"/>
        <v>0</v>
      </c>
      <c r="O106" s="1284">
        <f t="shared" si="72"/>
        <v>0</v>
      </c>
      <c r="P106" s="883">
        <f t="shared" si="73"/>
        <v>45448532.132646874</v>
      </c>
      <c r="Q106" s="883">
        <f t="shared" si="65"/>
        <v>-307277.87674628111</v>
      </c>
      <c r="R106" s="1100"/>
      <c r="S106" s="883">
        <f t="shared" si="58"/>
        <v>-76879.06801827962</v>
      </c>
      <c r="T106" s="884">
        <f t="shared" si="66"/>
        <v>-230398.80872800149</v>
      </c>
      <c r="U106" s="884">
        <f>IF(AND($AU$43="Early Payoff",J106&gt;$U$15),0,IF($J106&lt;=$U$8,SUM($S$20:$S106),0))</f>
        <v>-1113346.9353714138</v>
      </c>
      <c r="V106" s="884">
        <f>IF(AND($AU$43="Early Payoff",J106&gt;$U$15),0,IF($J106&lt;=$U$8,SUM($T$20:$T106),0))</f>
        <v>-17528964.809572808</v>
      </c>
      <c r="W106" s="885">
        <f t="shared" si="67"/>
        <v>45371653.064628594</v>
      </c>
      <c r="X106" s="1110">
        <f t="shared" si="68"/>
        <v>45448532.132646874</v>
      </c>
      <c r="Z106" s="1102">
        <f t="shared" si="59"/>
        <v>0</v>
      </c>
      <c r="AA106" s="873">
        <f t="shared" si="60"/>
        <v>0</v>
      </c>
      <c r="AB106" s="873">
        <f t="shared" si="61"/>
        <v>0</v>
      </c>
      <c r="AC106" s="885">
        <f t="shared" si="62"/>
        <v>-307277.87674628111</v>
      </c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</row>
    <row r="107" spans="2:72" s="278" customFormat="1" ht="12" customHeight="1" x14ac:dyDescent="0.25">
      <c r="B107" s="1108">
        <f>IF(C107&lt;'Financing Assumptions'!$G$25,0,IF(C107='Financing Assumptions'!$G$25,1,IF(C107&gt;'Financing Assumptions'!$G$25,B106+1)))</f>
        <v>88</v>
      </c>
      <c r="C107" s="1109">
        <f t="shared" si="69"/>
        <v>90</v>
      </c>
      <c r="D107" s="732">
        <f t="shared" si="54"/>
        <v>31</v>
      </c>
      <c r="E107" s="35">
        <f t="shared" si="55"/>
        <v>7</v>
      </c>
      <c r="F107" s="889">
        <f t="shared" si="74"/>
        <v>48791</v>
      </c>
      <c r="G107" s="822">
        <f t="shared" si="56"/>
        <v>7</v>
      </c>
      <c r="H107" s="126">
        <f t="shared" si="57"/>
        <v>0</v>
      </c>
      <c r="I107" s="1098">
        <f t="shared" si="75"/>
        <v>0</v>
      </c>
      <c r="J107" s="887">
        <f t="shared" si="70"/>
        <v>88</v>
      </c>
      <c r="K107" s="1099">
        <f t="shared" si="63"/>
        <v>62</v>
      </c>
      <c r="L107" s="891" t="str">
        <f t="shared" si="64"/>
        <v>July</v>
      </c>
      <c r="M107" s="888">
        <f t="shared" si="71"/>
        <v>2033</v>
      </c>
      <c r="N107" s="1284">
        <f t="shared" si="76"/>
        <v>0</v>
      </c>
      <c r="O107" s="1284">
        <f t="shared" si="72"/>
        <v>0</v>
      </c>
      <c r="P107" s="883">
        <f t="shared" si="73"/>
        <v>45371653.064628594</v>
      </c>
      <c r="Q107" s="883">
        <f t="shared" si="65"/>
        <v>-307277.87674628111</v>
      </c>
      <c r="R107" s="1100"/>
      <c r="S107" s="883">
        <f t="shared" si="58"/>
        <v>-77268.802182538959</v>
      </c>
      <c r="T107" s="884">
        <f t="shared" si="66"/>
        <v>-230009.07456374215</v>
      </c>
      <c r="U107" s="884">
        <f>IF(AND($AU$43="Early Payoff",J107&gt;$U$15),0,IF($J107&lt;=$U$8,SUM($S$20:$S107),0))</f>
        <v>-1190615.7375539527</v>
      </c>
      <c r="V107" s="884">
        <f>IF(AND($AU$43="Early Payoff",J107&gt;$U$15),0,IF($J107&lt;=$U$8,SUM($T$20:$T107),0))</f>
        <v>-17758973.88413655</v>
      </c>
      <c r="W107" s="885">
        <f t="shared" si="67"/>
        <v>45294384.262446053</v>
      </c>
      <c r="X107" s="1110">
        <f t="shared" si="68"/>
        <v>45371653.064628594</v>
      </c>
      <c r="Z107" s="1102">
        <f t="shared" si="59"/>
        <v>0</v>
      </c>
      <c r="AA107" s="873">
        <f t="shared" si="60"/>
        <v>0</v>
      </c>
      <c r="AB107" s="873">
        <f t="shared" si="61"/>
        <v>0</v>
      </c>
      <c r="AC107" s="885">
        <f t="shared" si="62"/>
        <v>-307277.87674628111</v>
      </c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</row>
    <row r="108" spans="2:72" s="278" customFormat="1" ht="12" customHeight="1" x14ac:dyDescent="0.25">
      <c r="B108" s="1108">
        <f>IF(C108&lt;'Financing Assumptions'!$G$25,0,IF(C108='Financing Assumptions'!$G$25,1,IF(C108&gt;'Financing Assumptions'!$G$25,B107+1)))</f>
        <v>89</v>
      </c>
      <c r="C108" s="1109">
        <f t="shared" si="69"/>
        <v>91</v>
      </c>
      <c r="D108" s="732">
        <f t="shared" si="54"/>
        <v>31</v>
      </c>
      <c r="E108" s="35">
        <f t="shared" si="55"/>
        <v>8</v>
      </c>
      <c r="F108" s="889">
        <f t="shared" si="74"/>
        <v>48822</v>
      </c>
      <c r="G108" s="822">
        <f t="shared" si="56"/>
        <v>8</v>
      </c>
      <c r="H108" s="126">
        <f t="shared" si="57"/>
        <v>0</v>
      </c>
      <c r="I108" s="1098">
        <f t="shared" si="75"/>
        <v>0</v>
      </c>
      <c r="J108" s="887">
        <f t="shared" si="70"/>
        <v>89</v>
      </c>
      <c r="K108" s="1099">
        <f t="shared" si="63"/>
        <v>63</v>
      </c>
      <c r="L108" s="891" t="str">
        <f t="shared" si="64"/>
        <v>August</v>
      </c>
      <c r="M108" s="888">
        <f t="shared" si="71"/>
        <v>2033</v>
      </c>
      <c r="N108" s="1284">
        <f t="shared" si="76"/>
        <v>0</v>
      </c>
      <c r="O108" s="1284">
        <f t="shared" si="72"/>
        <v>0</v>
      </c>
      <c r="P108" s="883">
        <f t="shared" si="73"/>
        <v>45294384.262446053</v>
      </c>
      <c r="Q108" s="883">
        <f t="shared" si="65"/>
        <v>-307277.87674628111</v>
      </c>
      <c r="R108" s="1100"/>
      <c r="S108" s="883">
        <f t="shared" si="58"/>
        <v>-77660.512082492089</v>
      </c>
      <c r="T108" s="884">
        <f t="shared" si="66"/>
        <v>-229617.36466378902</v>
      </c>
      <c r="U108" s="884">
        <f>IF(AND($AU$43="Early Payoff",J108&gt;$U$15),0,IF($J108&lt;=$U$8,SUM($S$20:$S108),0))</f>
        <v>-1268276.2496364447</v>
      </c>
      <c r="V108" s="884">
        <f>IF(AND($AU$43="Early Payoff",J108&gt;$U$15),0,IF($J108&lt;=$U$8,SUM($T$20:$T108),0))</f>
        <v>-17988591.248800337</v>
      </c>
      <c r="W108" s="885">
        <f t="shared" si="67"/>
        <v>45216723.750363559</v>
      </c>
      <c r="X108" s="1110">
        <f t="shared" si="68"/>
        <v>45294384.262446053</v>
      </c>
      <c r="Z108" s="1102">
        <f t="shared" si="59"/>
        <v>0</v>
      </c>
      <c r="AA108" s="873">
        <f t="shared" si="60"/>
        <v>0</v>
      </c>
      <c r="AB108" s="873">
        <f t="shared" si="61"/>
        <v>0</v>
      </c>
      <c r="AC108" s="885">
        <f t="shared" si="62"/>
        <v>-307277.87674628111</v>
      </c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</row>
    <row r="109" spans="2:72" s="278" customFormat="1" ht="12" customHeight="1" x14ac:dyDescent="0.25">
      <c r="B109" s="1108">
        <f>IF(C109&lt;'Financing Assumptions'!$G$25,0,IF(C109='Financing Assumptions'!$G$25,1,IF(C109&gt;'Financing Assumptions'!$G$25,B108+1)))</f>
        <v>90</v>
      </c>
      <c r="C109" s="1109">
        <f t="shared" si="69"/>
        <v>92</v>
      </c>
      <c r="D109" s="732">
        <f t="shared" si="54"/>
        <v>30</v>
      </c>
      <c r="E109" s="35">
        <f t="shared" si="55"/>
        <v>9</v>
      </c>
      <c r="F109" s="889">
        <f t="shared" si="74"/>
        <v>48852</v>
      </c>
      <c r="G109" s="822">
        <f t="shared" si="56"/>
        <v>9</v>
      </c>
      <c r="H109" s="126">
        <f t="shared" si="57"/>
        <v>0</v>
      </c>
      <c r="I109" s="1098">
        <f t="shared" si="75"/>
        <v>0</v>
      </c>
      <c r="J109" s="887">
        <f t="shared" si="70"/>
        <v>90</v>
      </c>
      <c r="K109" s="1099">
        <f t="shared" si="63"/>
        <v>64</v>
      </c>
      <c r="L109" s="891" t="str">
        <f t="shared" si="64"/>
        <v>September</v>
      </c>
      <c r="M109" s="888">
        <f t="shared" si="71"/>
        <v>2033</v>
      </c>
      <c r="N109" s="1284">
        <f t="shared" si="76"/>
        <v>0</v>
      </c>
      <c r="O109" s="1284">
        <f t="shared" si="72"/>
        <v>0</v>
      </c>
      <c r="P109" s="883">
        <f t="shared" si="73"/>
        <v>45216723.750363559</v>
      </c>
      <c r="Q109" s="883">
        <f t="shared" si="65"/>
        <v>-307277.87674628111</v>
      </c>
      <c r="R109" s="1100"/>
      <c r="S109" s="883">
        <f t="shared" si="58"/>
        <v>-78054.207734021416</v>
      </c>
      <c r="T109" s="884">
        <f t="shared" si="66"/>
        <v>-229223.66901225969</v>
      </c>
      <c r="U109" s="884">
        <f>IF(AND($AU$43="Early Payoff",J109&gt;$U$15),0,IF($J109&lt;=$U$8,SUM($S$20:$S109),0))</f>
        <v>-1346330.4573704661</v>
      </c>
      <c r="V109" s="884">
        <f>IF(AND($AU$43="Early Payoff",J109&gt;$U$15),0,IF($J109&lt;=$U$8,SUM($T$20:$T109),0))</f>
        <v>-18217814.917812597</v>
      </c>
      <c r="W109" s="885">
        <f t="shared" si="67"/>
        <v>45138669.54262954</v>
      </c>
      <c r="X109" s="1110">
        <f t="shared" si="68"/>
        <v>45216723.750363559</v>
      </c>
      <c r="Z109" s="1102">
        <f t="shared" si="59"/>
        <v>0</v>
      </c>
      <c r="AA109" s="873">
        <f t="shared" si="60"/>
        <v>0</v>
      </c>
      <c r="AB109" s="873">
        <f t="shared" si="61"/>
        <v>0</v>
      </c>
      <c r="AC109" s="885">
        <f t="shared" si="62"/>
        <v>-307277.87674628111</v>
      </c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</row>
    <row r="110" spans="2:72" s="278" customFormat="1" ht="12" customHeight="1" x14ac:dyDescent="0.25">
      <c r="B110" s="1108">
        <f>IF(C110&lt;'Financing Assumptions'!$G$25,0,IF(C110='Financing Assumptions'!$G$25,1,IF(C110&gt;'Financing Assumptions'!$G$25,B109+1)))</f>
        <v>91</v>
      </c>
      <c r="C110" s="1109">
        <f t="shared" si="69"/>
        <v>93</v>
      </c>
      <c r="D110" s="732">
        <f t="shared" si="54"/>
        <v>31</v>
      </c>
      <c r="E110" s="35">
        <f t="shared" si="55"/>
        <v>10</v>
      </c>
      <c r="F110" s="889">
        <f t="shared" si="74"/>
        <v>48883</v>
      </c>
      <c r="G110" s="822">
        <f t="shared" si="56"/>
        <v>10</v>
      </c>
      <c r="H110" s="126">
        <f t="shared" si="57"/>
        <v>0</v>
      </c>
      <c r="I110" s="1098">
        <f t="shared" si="75"/>
        <v>0</v>
      </c>
      <c r="J110" s="887">
        <f t="shared" si="70"/>
        <v>91</v>
      </c>
      <c r="K110" s="1099">
        <f t="shared" si="63"/>
        <v>65</v>
      </c>
      <c r="L110" s="891" t="str">
        <f t="shared" si="64"/>
        <v>October</v>
      </c>
      <c r="M110" s="888">
        <f t="shared" si="71"/>
        <v>2033</v>
      </c>
      <c r="N110" s="1284">
        <f t="shared" si="76"/>
        <v>0</v>
      </c>
      <c r="O110" s="1284">
        <f t="shared" si="72"/>
        <v>0</v>
      </c>
      <c r="P110" s="883">
        <f t="shared" si="73"/>
        <v>45138669.54262954</v>
      </c>
      <c r="Q110" s="883">
        <f t="shared" si="65"/>
        <v>-307277.87674628111</v>
      </c>
      <c r="R110" s="1100"/>
      <c r="S110" s="883">
        <f t="shared" si="58"/>
        <v>-78449.899203784153</v>
      </c>
      <c r="T110" s="884">
        <f t="shared" si="66"/>
        <v>-228827.97754249696</v>
      </c>
      <c r="U110" s="884">
        <f>IF(AND($AU$43="Early Payoff",J110&gt;$U$15),0,IF($J110&lt;=$U$8,SUM($S$20:$S110),0))</f>
        <v>-1424780.3565742502</v>
      </c>
      <c r="V110" s="884">
        <f>IF(AND($AU$43="Early Payoff",J110&gt;$U$15),0,IF($J110&lt;=$U$8,SUM($T$20:$T110),0))</f>
        <v>-18446642.895355094</v>
      </c>
      <c r="W110" s="885">
        <f t="shared" si="67"/>
        <v>45060219.643425755</v>
      </c>
      <c r="X110" s="1110">
        <f t="shared" si="68"/>
        <v>45138669.54262954</v>
      </c>
      <c r="Z110" s="1102">
        <f t="shared" si="59"/>
        <v>0</v>
      </c>
      <c r="AA110" s="873">
        <f t="shared" si="60"/>
        <v>0</v>
      </c>
      <c r="AB110" s="873">
        <f t="shared" si="61"/>
        <v>0</v>
      </c>
      <c r="AC110" s="885">
        <f t="shared" si="62"/>
        <v>-307277.87674628111</v>
      </c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</row>
    <row r="111" spans="2:72" s="278" customFormat="1" ht="12" customHeight="1" x14ac:dyDescent="0.25">
      <c r="B111" s="1108">
        <f>IF(C111&lt;'Financing Assumptions'!$G$25,0,IF(C111='Financing Assumptions'!$G$25,1,IF(C111&gt;'Financing Assumptions'!$G$25,B110+1)))</f>
        <v>92</v>
      </c>
      <c r="C111" s="1109">
        <f t="shared" si="69"/>
        <v>94</v>
      </c>
      <c r="D111" s="732">
        <f t="shared" si="54"/>
        <v>30</v>
      </c>
      <c r="E111" s="35">
        <f t="shared" si="55"/>
        <v>11</v>
      </c>
      <c r="F111" s="889">
        <f t="shared" si="74"/>
        <v>48913</v>
      </c>
      <c r="G111" s="822">
        <f t="shared" si="56"/>
        <v>11</v>
      </c>
      <c r="H111" s="126">
        <f t="shared" si="57"/>
        <v>0</v>
      </c>
      <c r="I111" s="1098">
        <f t="shared" si="75"/>
        <v>0</v>
      </c>
      <c r="J111" s="887">
        <f t="shared" si="70"/>
        <v>92</v>
      </c>
      <c r="K111" s="1099">
        <f t="shared" si="63"/>
        <v>66</v>
      </c>
      <c r="L111" s="891" t="str">
        <f t="shared" si="64"/>
        <v>November</v>
      </c>
      <c r="M111" s="888">
        <f t="shared" si="71"/>
        <v>2033</v>
      </c>
      <c r="N111" s="1284">
        <f t="shared" si="76"/>
        <v>0</v>
      </c>
      <c r="O111" s="1284">
        <f t="shared" si="72"/>
        <v>0</v>
      </c>
      <c r="P111" s="883">
        <f t="shared" si="73"/>
        <v>45060219.643425755</v>
      </c>
      <c r="Q111" s="883">
        <f t="shared" si="65"/>
        <v>-307277.87674628111</v>
      </c>
      <c r="R111" s="1100"/>
      <c r="S111" s="883">
        <f t="shared" si="58"/>
        <v>-78847.596609469998</v>
      </c>
      <c r="T111" s="884">
        <f t="shared" si="66"/>
        <v>-228430.28013681111</v>
      </c>
      <c r="U111" s="884">
        <f>IF(AND($AU$43="Early Payoff",J111&gt;$U$15),0,IF($J111&lt;=$U$8,SUM($S$20:$S111),0))</f>
        <v>-1503627.9531837201</v>
      </c>
      <c r="V111" s="884">
        <f>IF(AND($AU$43="Early Payoff",J111&gt;$U$15),0,IF($J111&lt;=$U$8,SUM($T$20:$T111),0))</f>
        <v>-18675073.175491907</v>
      </c>
      <c r="W111" s="885">
        <f t="shared" si="67"/>
        <v>44981372.046816282</v>
      </c>
      <c r="X111" s="1110">
        <f t="shared" si="68"/>
        <v>45060219.643425755</v>
      </c>
      <c r="Z111" s="1102">
        <f t="shared" si="59"/>
        <v>0</v>
      </c>
      <c r="AA111" s="873">
        <f t="shared" si="60"/>
        <v>0</v>
      </c>
      <c r="AB111" s="873">
        <f t="shared" si="61"/>
        <v>0</v>
      </c>
      <c r="AC111" s="885">
        <f t="shared" si="62"/>
        <v>-307277.87674628111</v>
      </c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</row>
    <row r="112" spans="2:72" s="278" customFormat="1" ht="12" customHeight="1" x14ac:dyDescent="0.25">
      <c r="B112" s="1108">
        <f>IF(C112&lt;'Financing Assumptions'!$G$25,0,IF(C112='Financing Assumptions'!$G$25,1,IF(C112&gt;'Financing Assumptions'!$G$25,B111+1)))</f>
        <v>93</v>
      </c>
      <c r="C112" s="1109">
        <f t="shared" si="69"/>
        <v>95</v>
      </c>
      <c r="D112" s="732">
        <f t="shared" si="54"/>
        <v>31</v>
      </c>
      <c r="E112" s="35">
        <f t="shared" si="55"/>
        <v>12</v>
      </c>
      <c r="F112" s="889">
        <f t="shared" si="74"/>
        <v>48944</v>
      </c>
      <c r="G112" s="822">
        <f t="shared" si="56"/>
        <v>12</v>
      </c>
      <c r="H112" s="126">
        <f t="shared" si="57"/>
        <v>1</v>
      </c>
      <c r="I112" s="1098">
        <f t="shared" si="75"/>
        <v>0</v>
      </c>
      <c r="J112" s="887">
        <f t="shared" si="70"/>
        <v>93</v>
      </c>
      <c r="K112" s="1099">
        <f t="shared" si="63"/>
        <v>67</v>
      </c>
      <c r="L112" s="891" t="str">
        <f t="shared" si="64"/>
        <v>December</v>
      </c>
      <c r="M112" s="888">
        <f t="shared" si="71"/>
        <v>2033</v>
      </c>
      <c r="N112" s="1284">
        <f t="shared" si="76"/>
        <v>0</v>
      </c>
      <c r="O112" s="1284">
        <f t="shared" si="72"/>
        <v>0</v>
      </c>
      <c r="P112" s="883">
        <f t="shared" si="73"/>
        <v>44981372.046816282</v>
      </c>
      <c r="Q112" s="883">
        <f t="shared" si="65"/>
        <v>-307277.87674628111</v>
      </c>
      <c r="R112" s="1100"/>
      <c r="S112" s="883">
        <f t="shared" si="58"/>
        <v>-79247.310120059701</v>
      </c>
      <c r="T112" s="884">
        <f t="shared" si="66"/>
        <v>-228030.56662622141</v>
      </c>
      <c r="U112" s="884">
        <f>IF(AND($AU$43="Early Payoff",J112&gt;$U$15),0,IF($J112&lt;=$U$8,SUM($S$20:$S112),0))</f>
        <v>-1582875.2633037798</v>
      </c>
      <c r="V112" s="884">
        <f>IF(AND($AU$43="Early Payoff",J112&gt;$U$15),0,IF($J112&lt;=$U$8,SUM($T$20:$T112),0))</f>
        <v>-18903103.742118128</v>
      </c>
      <c r="W112" s="885">
        <f t="shared" si="67"/>
        <v>44902124.736696221</v>
      </c>
      <c r="X112" s="1110">
        <f t="shared" si="68"/>
        <v>44981372.046816282</v>
      </c>
      <c r="Z112" s="1102">
        <f t="shared" si="59"/>
        <v>0</v>
      </c>
      <c r="AA112" s="873">
        <f t="shared" si="60"/>
        <v>0</v>
      </c>
      <c r="AB112" s="873">
        <f t="shared" si="61"/>
        <v>0</v>
      </c>
      <c r="AC112" s="885">
        <f t="shared" si="62"/>
        <v>-307277.87674628111</v>
      </c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</row>
    <row r="113" spans="2:71" s="278" customFormat="1" ht="12" customHeight="1" x14ac:dyDescent="0.25">
      <c r="B113" s="1108">
        <f>IF(C113&lt;'Financing Assumptions'!$G$25,0,IF(C113='Financing Assumptions'!$G$25,1,IF(C113&gt;'Financing Assumptions'!$G$25,B112+1)))</f>
        <v>94</v>
      </c>
      <c r="C113" s="1109">
        <f t="shared" si="69"/>
        <v>96</v>
      </c>
      <c r="D113" s="732">
        <f t="shared" si="54"/>
        <v>31</v>
      </c>
      <c r="E113" s="35">
        <f t="shared" si="55"/>
        <v>1</v>
      </c>
      <c r="F113" s="889">
        <f t="shared" si="74"/>
        <v>48975</v>
      </c>
      <c r="G113" s="822">
        <f t="shared" si="56"/>
        <v>1</v>
      </c>
      <c r="H113" s="126">
        <f t="shared" si="57"/>
        <v>0</v>
      </c>
      <c r="I113" s="1098">
        <f t="shared" si="75"/>
        <v>0</v>
      </c>
      <c r="J113" s="887">
        <f t="shared" si="70"/>
        <v>94</v>
      </c>
      <c r="K113" s="1099">
        <f t="shared" si="63"/>
        <v>68</v>
      </c>
      <c r="L113" s="891" t="str">
        <f t="shared" si="64"/>
        <v>January</v>
      </c>
      <c r="M113" s="888">
        <f t="shared" si="71"/>
        <v>2034</v>
      </c>
      <c r="N113" s="1284">
        <f t="shared" si="76"/>
        <v>0</v>
      </c>
      <c r="O113" s="1284">
        <f t="shared" si="72"/>
        <v>0</v>
      </c>
      <c r="P113" s="883">
        <f t="shared" si="73"/>
        <v>44902124.736696221</v>
      </c>
      <c r="Q113" s="883">
        <f t="shared" si="65"/>
        <v>-307277.87674628111</v>
      </c>
      <c r="R113" s="1100"/>
      <c r="S113" s="883">
        <f t="shared" si="58"/>
        <v>-79649.049956085015</v>
      </c>
      <c r="T113" s="884">
        <f t="shared" si="66"/>
        <v>-227628.82679019609</v>
      </c>
      <c r="U113" s="884">
        <f>IF(AND($AU$43="Early Payoff",J113&gt;$U$15),0,IF($J113&lt;=$U$8,SUM($S$20:$S113),0))</f>
        <v>-1662524.3132598647</v>
      </c>
      <c r="V113" s="884">
        <f>IF(AND($AU$43="Early Payoff",J113&gt;$U$15),0,IF($J113&lt;=$U$8,SUM($T$20:$T113),0))</f>
        <v>-19130732.568908323</v>
      </c>
      <c r="W113" s="885">
        <f t="shared" si="67"/>
        <v>44822475.686740138</v>
      </c>
      <c r="X113" s="1110">
        <f t="shared" si="68"/>
        <v>44902124.736696221</v>
      </c>
      <c r="Z113" s="1102">
        <f t="shared" si="59"/>
        <v>0</v>
      </c>
      <c r="AA113" s="873">
        <f t="shared" si="60"/>
        <v>0</v>
      </c>
      <c r="AB113" s="873">
        <f t="shared" si="61"/>
        <v>0</v>
      </c>
      <c r="AC113" s="885">
        <f t="shared" si="62"/>
        <v>-307277.87674628111</v>
      </c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</row>
    <row r="114" spans="2:71" s="278" customFormat="1" ht="12" customHeight="1" x14ac:dyDescent="0.25">
      <c r="B114" s="1108">
        <f>IF(C114&lt;'Financing Assumptions'!$G$25,0,IF(C114='Financing Assumptions'!$G$25,1,IF(C114&gt;'Financing Assumptions'!$G$25,B113+1)))</f>
        <v>95</v>
      </c>
      <c r="C114" s="1109">
        <f t="shared" si="69"/>
        <v>97</v>
      </c>
      <c r="D114" s="732">
        <f t="shared" si="54"/>
        <v>28</v>
      </c>
      <c r="E114" s="35">
        <f t="shared" si="55"/>
        <v>2</v>
      </c>
      <c r="F114" s="889">
        <f t="shared" si="74"/>
        <v>49003</v>
      </c>
      <c r="G114" s="822">
        <f t="shared" si="56"/>
        <v>2</v>
      </c>
      <c r="H114" s="126">
        <f t="shared" si="57"/>
        <v>0</v>
      </c>
      <c r="I114" s="1098">
        <f t="shared" si="75"/>
        <v>0</v>
      </c>
      <c r="J114" s="887">
        <f t="shared" si="70"/>
        <v>95</v>
      </c>
      <c r="K114" s="1099">
        <f t="shared" si="63"/>
        <v>69</v>
      </c>
      <c r="L114" s="891" t="str">
        <f t="shared" si="64"/>
        <v>February</v>
      </c>
      <c r="M114" s="888">
        <f t="shared" si="71"/>
        <v>2034</v>
      </c>
      <c r="N114" s="1284">
        <f t="shared" si="76"/>
        <v>0</v>
      </c>
      <c r="O114" s="1284">
        <f t="shared" si="72"/>
        <v>0</v>
      </c>
      <c r="P114" s="883">
        <f t="shared" si="73"/>
        <v>44822475.686740138</v>
      </c>
      <c r="Q114" s="883">
        <f t="shared" si="65"/>
        <v>-307277.87674628111</v>
      </c>
      <c r="R114" s="1100"/>
      <c r="S114" s="883">
        <f t="shared" si="58"/>
        <v>-80052.826389890135</v>
      </c>
      <c r="T114" s="884">
        <f t="shared" si="66"/>
        <v>-227225.05035639097</v>
      </c>
      <c r="U114" s="884">
        <f>IF(AND($AU$43="Early Payoff",J114&gt;$U$15),0,IF($J114&lt;=$U$8,SUM($S$20:$S114),0))</f>
        <v>-1742577.1396497549</v>
      </c>
      <c r="V114" s="884">
        <f>IF(AND($AU$43="Early Payoff",J114&gt;$U$15),0,IF($J114&lt;=$U$8,SUM($T$20:$T114),0))</f>
        <v>-19357957.619264714</v>
      </c>
      <c r="W114" s="885">
        <f t="shared" si="67"/>
        <v>44742422.860350251</v>
      </c>
      <c r="X114" s="1110">
        <f t="shared" si="68"/>
        <v>44822475.686740138</v>
      </c>
      <c r="Z114" s="1102">
        <f t="shared" si="59"/>
        <v>0</v>
      </c>
      <c r="AA114" s="873">
        <f t="shared" si="60"/>
        <v>0</v>
      </c>
      <c r="AB114" s="873">
        <f t="shared" si="61"/>
        <v>0</v>
      </c>
      <c r="AC114" s="885">
        <f t="shared" si="62"/>
        <v>-307277.87674628111</v>
      </c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</row>
    <row r="115" spans="2:71" s="278" customFormat="1" ht="12" customHeight="1" x14ac:dyDescent="0.25">
      <c r="B115" s="1108">
        <f>IF(C115&lt;'Financing Assumptions'!$G$25,0,IF(C115='Financing Assumptions'!$G$25,1,IF(C115&gt;'Financing Assumptions'!$G$25,B114+1)))</f>
        <v>96</v>
      </c>
      <c r="C115" s="1109">
        <f t="shared" si="69"/>
        <v>98</v>
      </c>
      <c r="D115" s="732">
        <f t="shared" si="54"/>
        <v>31</v>
      </c>
      <c r="E115" s="35">
        <f t="shared" si="55"/>
        <v>3</v>
      </c>
      <c r="F115" s="889">
        <f t="shared" si="74"/>
        <v>49034</v>
      </c>
      <c r="G115" s="822">
        <f t="shared" si="56"/>
        <v>3</v>
      </c>
      <c r="H115" s="126">
        <f t="shared" si="57"/>
        <v>0</v>
      </c>
      <c r="I115" s="1098">
        <f t="shared" si="75"/>
        <v>0</v>
      </c>
      <c r="J115" s="887">
        <f t="shared" si="70"/>
        <v>96</v>
      </c>
      <c r="K115" s="1099">
        <f t="shared" si="63"/>
        <v>70</v>
      </c>
      <c r="L115" s="891" t="str">
        <f t="shared" si="64"/>
        <v>March</v>
      </c>
      <c r="M115" s="888">
        <f t="shared" si="71"/>
        <v>2034</v>
      </c>
      <c r="N115" s="1284">
        <f t="shared" si="76"/>
        <v>0</v>
      </c>
      <c r="O115" s="1284">
        <f t="shared" si="72"/>
        <v>0</v>
      </c>
      <c r="P115" s="883">
        <f t="shared" si="73"/>
        <v>44742422.860350251</v>
      </c>
      <c r="Q115" s="883">
        <f t="shared" si="65"/>
        <v>-307277.87674628111</v>
      </c>
      <c r="R115" s="1100"/>
      <c r="S115" s="883">
        <f t="shared" si="58"/>
        <v>-80458.649745894421</v>
      </c>
      <c r="T115" s="884">
        <f t="shared" si="66"/>
        <v>-226819.22700038669</v>
      </c>
      <c r="U115" s="884">
        <f>IF(AND($AU$43="Early Payoff",J115&gt;$U$15),0,IF($J115&lt;=$U$8,SUM($S$20:$S115),0))</f>
        <v>-1823035.7893956492</v>
      </c>
      <c r="V115" s="884">
        <f>IF(AND($AU$43="Early Payoff",J115&gt;$U$15),0,IF($J115&lt;=$U$8,SUM($T$20:$T115),0))</f>
        <v>-19584776.8462651</v>
      </c>
      <c r="W115" s="885">
        <f t="shared" si="67"/>
        <v>44661964.210604355</v>
      </c>
      <c r="X115" s="1110">
        <f t="shared" si="68"/>
        <v>44742422.860350251</v>
      </c>
      <c r="Z115" s="1102">
        <f t="shared" si="59"/>
        <v>0</v>
      </c>
      <c r="AA115" s="873">
        <f t="shared" si="60"/>
        <v>0</v>
      </c>
      <c r="AB115" s="873">
        <f t="shared" si="61"/>
        <v>0</v>
      </c>
      <c r="AC115" s="885">
        <f t="shared" si="62"/>
        <v>-307277.87674628111</v>
      </c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</row>
    <row r="116" spans="2:71" s="278" customFormat="1" ht="12" customHeight="1" x14ac:dyDescent="0.25">
      <c r="B116" s="1108">
        <f>IF(C116&lt;'Financing Assumptions'!$G$25,0,IF(C116='Financing Assumptions'!$G$25,1,IF(C116&gt;'Financing Assumptions'!$G$25,B115+1)))</f>
        <v>97</v>
      </c>
      <c r="C116" s="1109">
        <f t="shared" si="69"/>
        <v>99</v>
      </c>
      <c r="D116" s="732">
        <f t="shared" si="54"/>
        <v>30</v>
      </c>
      <c r="E116" s="35">
        <f t="shared" si="55"/>
        <v>4</v>
      </c>
      <c r="F116" s="889">
        <f t="shared" si="74"/>
        <v>49064</v>
      </c>
      <c r="G116" s="822">
        <f t="shared" si="56"/>
        <v>4</v>
      </c>
      <c r="H116" s="126">
        <f t="shared" si="57"/>
        <v>0</v>
      </c>
      <c r="I116" s="1098">
        <f t="shared" si="75"/>
        <v>0</v>
      </c>
      <c r="J116" s="887">
        <f t="shared" si="70"/>
        <v>97</v>
      </c>
      <c r="K116" s="1099">
        <f t="shared" si="63"/>
        <v>71</v>
      </c>
      <c r="L116" s="891" t="str">
        <f t="shared" si="64"/>
        <v>April</v>
      </c>
      <c r="M116" s="888">
        <f t="shared" si="71"/>
        <v>2034</v>
      </c>
      <c r="N116" s="1284">
        <f t="shared" si="76"/>
        <v>0</v>
      </c>
      <c r="O116" s="1284">
        <f t="shared" si="72"/>
        <v>0</v>
      </c>
      <c r="P116" s="883">
        <f t="shared" si="73"/>
        <v>44661964.210604355</v>
      </c>
      <c r="Q116" s="883">
        <f t="shared" si="65"/>
        <v>-307277.87674628111</v>
      </c>
      <c r="R116" s="1100"/>
      <c r="S116" s="883">
        <f t="shared" si="58"/>
        <v>-80866.530400856282</v>
      </c>
      <c r="T116" s="884">
        <f t="shared" si="66"/>
        <v>-226411.34634542483</v>
      </c>
      <c r="U116" s="884">
        <f>IF(AND($AU$43="Early Payoff",J116&gt;$U$15),0,IF($J116&lt;=$U$8,SUM($S$20:$S116),0))</f>
        <v>-1903902.3197965054</v>
      </c>
      <c r="V116" s="884">
        <f>IF(AND($AU$43="Early Payoff",J116&gt;$U$15),0,IF($J116&lt;=$U$8,SUM($T$20:$T116),0))</f>
        <v>-19811188.192610525</v>
      </c>
      <c r="W116" s="885">
        <f t="shared" si="67"/>
        <v>44581097.680203497</v>
      </c>
      <c r="X116" s="1110">
        <f t="shared" si="68"/>
        <v>44661964.210604355</v>
      </c>
      <c r="Z116" s="1102">
        <f t="shared" si="59"/>
        <v>0</v>
      </c>
      <c r="AA116" s="873">
        <f t="shared" si="60"/>
        <v>0</v>
      </c>
      <c r="AB116" s="873">
        <f t="shared" si="61"/>
        <v>0</v>
      </c>
      <c r="AC116" s="885">
        <f t="shared" si="62"/>
        <v>-307277.87674628111</v>
      </c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</row>
    <row r="117" spans="2:71" s="278" customFormat="1" ht="12" customHeight="1" x14ac:dyDescent="0.25">
      <c r="B117" s="1108">
        <f>IF(C117&lt;'Financing Assumptions'!$G$25,0,IF(C117='Financing Assumptions'!$G$25,1,IF(C117&gt;'Financing Assumptions'!$G$25,B116+1)))</f>
        <v>98</v>
      </c>
      <c r="C117" s="1109">
        <f t="shared" si="69"/>
        <v>100</v>
      </c>
      <c r="D117" s="732">
        <f t="shared" si="54"/>
        <v>31</v>
      </c>
      <c r="E117" s="35">
        <f t="shared" si="55"/>
        <v>5</v>
      </c>
      <c r="F117" s="889">
        <f t="shared" si="74"/>
        <v>49095</v>
      </c>
      <c r="G117" s="822">
        <f t="shared" si="56"/>
        <v>5</v>
      </c>
      <c r="H117" s="126">
        <f t="shared" si="57"/>
        <v>0</v>
      </c>
      <c r="I117" s="1098">
        <f t="shared" si="75"/>
        <v>0</v>
      </c>
      <c r="J117" s="887">
        <f t="shared" si="70"/>
        <v>98</v>
      </c>
      <c r="K117" s="1099">
        <f t="shared" si="63"/>
        <v>72</v>
      </c>
      <c r="L117" s="891" t="str">
        <f t="shared" si="64"/>
        <v>May</v>
      </c>
      <c r="M117" s="888">
        <f t="shared" si="71"/>
        <v>2034</v>
      </c>
      <c r="N117" s="1284">
        <f t="shared" si="76"/>
        <v>0</v>
      </c>
      <c r="O117" s="1284">
        <f t="shared" si="72"/>
        <v>0</v>
      </c>
      <c r="P117" s="883">
        <f t="shared" si="73"/>
        <v>44581097.680203497</v>
      </c>
      <c r="Q117" s="883">
        <f t="shared" si="65"/>
        <v>-307277.87674628111</v>
      </c>
      <c r="R117" s="1100"/>
      <c r="S117" s="883">
        <f t="shared" si="58"/>
        <v>-81276.478784138395</v>
      </c>
      <c r="T117" s="884">
        <f t="shared" si="66"/>
        <v>-226001.39796214271</v>
      </c>
      <c r="U117" s="884">
        <f>IF(AND($AU$43="Early Payoff",J117&gt;$U$15),0,IF($J117&lt;=$U$8,SUM($S$20:$S117),0))</f>
        <v>-1985178.7985806437</v>
      </c>
      <c r="V117" s="884">
        <f>IF(AND($AU$43="Early Payoff",J117&gt;$U$15),0,IF($J117&lt;=$U$8,SUM($T$20:$T117),0))</f>
        <v>-20037189.590572666</v>
      </c>
      <c r="W117" s="885">
        <f t="shared" si="67"/>
        <v>44499821.201419361</v>
      </c>
      <c r="X117" s="1110">
        <f t="shared" si="68"/>
        <v>44581097.680203497</v>
      </c>
      <c r="Z117" s="1102">
        <f t="shared" si="59"/>
        <v>0</v>
      </c>
      <c r="AA117" s="873">
        <f t="shared" si="60"/>
        <v>0</v>
      </c>
      <c r="AB117" s="873">
        <f t="shared" si="61"/>
        <v>0</v>
      </c>
      <c r="AC117" s="885">
        <f t="shared" si="62"/>
        <v>-307277.87674628111</v>
      </c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</row>
    <row r="118" spans="2:71" s="278" customFormat="1" ht="12" customHeight="1" x14ac:dyDescent="0.25">
      <c r="B118" s="1108">
        <f>IF(C118&lt;'Financing Assumptions'!$G$25,0,IF(C118='Financing Assumptions'!$G$25,1,IF(C118&gt;'Financing Assumptions'!$G$25,B117+1)))</f>
        <v>99</v>
      </c>
      <c r="C118" s="1109">
        <f t="shared" si="69"/>
        <v>101</v>
      </c>
      <c r="D118" s="732">
        <f t="shared" si="54"/>
        <v>30</v>
      </c>
      <c r="E118" s="35">
        <f t="shared" si="55"/>
        <v>6</v>
      </c>
      <c r="F118" s="889">
        <f t="shared" si="74"/>
        <v>49125</v>
      </c>
      <c r="G118" s="822">
        <f t="shared" si="56"/>
        <v>6</v>
      </c>
      <c r="H118" s="126">
        <f t="shared" si="57"/>
        <v>0</v>
      </c>
      <c r="I118" s="1098">
        <f t="shared" si="75"/>
        <v>0</v>
      </c>
      <c r="J118" s="887">
        <f t="shared" si="70"/>
        <v>99</v>
      </c>
      <c r="K118" s="1099">
        <f t="shared" si="63"/>
        <v>73</v>
      </c>
      <c r="L118" s="891" t="str">
        <f t="shared" si="64"/>
        <v>June</v>
      </c>
      <c r="M118" s="888">
        <f t="shared" si="71"/>
        <v>2034</v>
      </c>
      <c r="N118" s="1284">
        <f t="shared" si="76"/>
        <v>0</v>
      </c>
      <c r="O118" s="1284">
        <f t="shared" si="72"/>
        <v>0</v>
      </c>
      <c r="P118" s="883">
        <f t="shared" si="73"/>
        <v>44499821.201419361</v>
      </c>
      <c r="Q118" s="883">
        <f t="shared" si="65"/>
        <v>-307277.87674628111</v>
      </c>
      <c r="R118" s="1100"/>
      <c r="S118" s="883">
        <f t="shared" si="58"/>
        <v>-81688.505377974652</v>
      </c>
      <c r="T118" s="884">
        <f t="shared" si="66"/>
        <v>-225589.37136830646</v>
      </c>
      <c r="U118" s="884">
        <f>IF(AND($AU$43="Early Payoff",J118&gt;$U$15),0,IF($J118&lt;=$U$8,SUM($S$20:$S118),0))</f>
        <v>-2066867.3039586183</v>
      </c>
      <c r="V118" s="884">
        <f>IF(AND($AU$43="Early Payoff",J118&gt;$U$15),0,IF($J118&lt;=$U$8,SUM($T$20:$T118),0))</f>
        <v>-20262778.961940974</v>
      </c>
      <c r="W118" s="885">
        <f t="shared" si="67"/>
        <v>44418132.696041383</v>
      </c>
      <c r="X118" s="1110">
        <f t="shared" si="68"/>
        <v>44499821.201419361</v>
      </c>
      <c r="Z118" s="1102">
        <f t="shared" si="59"/>
        <v>0</v>
      </c>
      <c r="AA118" s="873">
        <f t="shared" si="60"/>
        <v>0</v>
      </c>
      <c r="AB118" s="873">
        <f t="shared" si="61"/>
        <v>0</v>
      </c>
      <c r="AC118" s="885">
        <f t="shared" si="62"/>
        <v>-307277.87674628111</v>
      </c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</row>
    <row r="119" spans="2:71" s="278" customFormat="1" ht="12" customHeight="1" x14ac:dyDescent="0.25">
      <c r="B119" s="1108">
        <f>IF(C119&lt;'Financing Assumptions'!$G$25,0,IF(C119='Financing Assumptions'!$G$25,1,IF(C119&gt;'Financing Assumptions'!$G$25,B118+1)))</f>
        <v>100</v>
      </c>
      <c r="C119" s="1109">
        <f t="shared" si="69"/>
        <v>102</v>
      </c>
      <c r="D119" s="732">
        <f t="shared" si="54"/>
        <v>31</v>
      </c>
      <c r="E119" s="35">
        <f t="shared" si="55"/>
        <v>7</v>
      </c>
      <c r="F119" s="889">
        <f t="shared" si="74"/>
        <v>49156</v>
      </c>
      <c r="G119" s="822">
        <f t="shared" si="56"/>
        <v>7</v>
      </c>
      <c r="H119" s="126">
        <f t="shared" si="57"/>
        <v>0</v>
      </c>
      <c r="I119" s="1098">
        <f t="shared" si="75"/>
        <v>0</v>
      </c>
      <c r="J119" s="887">
        <f t="shared" si="70"/>
        <v>100</v>
      </c>
      <c r="K119" s="1099">
        <f t="shared" si="63"/>
        <v>74</v>
      </c>
      <c r="L119" s="891" t="str">
        <f t="shared" si="64"/>
        <v>July</v>
      </c>
      <c r="M119" s="888">
        <f t="shared" si="71"/>
        <v>2034</v>
      </c>
      <c r="N119" s="1284">
        <f t="shared" si="76"/>
        <v>0</v>
      </c>
      <c r="O119" s="1284">
        <f t="shared" si="72"/>
        <v>0</v>
      </c>
      <c r="P119" s="883">
        <f t="shared" si="73"/>
        <v>44418132.696041383</v>
      </c>
      <c r="Q119" s="883">
        <f t="shared" si="65"/>
        <v>-307277.87674628111</v>
      </c>
      <c r="R119" s="1100"/>
      <c r="S119" s="883">
        <f t="shared" si="58"/>
        <v>-82102.620717737998</v>
      </c>
      <c r="T119" s="884">
        <f t="shared" si="66"/>
        <v>-225175.25602854311</v>
      </c>
      <c r="U119" s="884">
        <f>IF(AND($AU$43="Early Payoff",J119&gt;$U$15),0,IF($J119&lt;=$U$8,SUM($S$20:$S119),0))</f>
        <v>-2148969.9246763564</v>
      </c>
      <c r="V119" s="884">
        <f>IF(AND($AU$43="Early Payoff",J119&gt;$U$15),0,IF($J119&lt;=$U$8,SUM($T$20:$T119),0))</f>
        <v>-20487954.217969518</v>
      </c>
      <c r="W119" s="885">
        <f t="shared" si="67"/>
        <v>44336030.075323641</v>
      </c>
      <c r="X119" s="1110">
        <f t="shared" si="68"/>
        <v>44418132.696041383</v>
      </c>
      <c r="Z119" s="1102">
        <f t="shared" si="59"/>
        <v>0</v>
      </c>
      <c r="AA119" s="873">
        <f t="shared" si="60"/>
        <v>0</v>
      </c>
      <c r="AB119" s="873">
        <f t="shared" si="61"/>
        <v>0</v>
      </c>
      <c r="AC119" s="885">
        <f t="shared" si="62"/>
        <v>-307277.87674628111</v>
      </c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</row>
    <row r="120" spans="2:71" s="278" customFormat="1" ht="12" customHeight="1" x14ac:dyDescent="0.25">
      <c r="B120" s="1108">
        <f>IF(C120&lt;'Financing Assumptions'!$G$25,0,IF(C120='Financing Assumptions'!$G$25,1,IF(C120&gt;'Financing Assumptions'!$G$25,B119+1)))</f>
        <v>101</v>
      </c>
      <c r="C120" s="1109">
        <f t="shared" si="69"/>
        <v>103</v>
      </c>
      <c r="D120" s="732">
        <f t="shared" si="54"/>
        <v>31</v>
      </c>
      <c r="E120" s="35">
        <f t="shared" si="55"/>
        <v>8</v>
      </c>
      <c r="F120" s="889">
        <f t="shared" si="74"/>
        <v>49187</v>
      </c>
      <c r="G120" s="822">
        <f t="shared" si="56"/>
        <v>8</v>
      </c>
      <c r="H120" s="126">
        <f t="shared" si="57"/>
        <v>0</v>
      </c>
      <c r="I120" s="1098">
        <f t="shared" si="75"/>
        <v>0</v>
      </c>
      <c r="J120" s="887">
        <f t="shared" si="70"/>
        <v>101</v>
      </c>
      <c r="K120" s="1099">
        <f t="shared" si="63"/>
        <v>75</v>
      </c>
      <c r="L120" s="891" t="str">
        <f t="shared" si="64"/>
        <v>August</v>
      </c>
      <c r="M120" s="888">
        <f t="shared" si="71"/>
        <v>2034</v>
      </c>
      <c r="N120" s="1284">
        <f t="shared" si="76"/>
        <v>0</v>
      </c>
      <c r="O120" s="1284">
        <f t="shared" si="72"/>
        <v>0</v>
      </c>
      <c r="P120" s="883">
        <f t="shared" si="73"/>
        <v>44336030.075323641</v>
      </c>
      <c r="Q120" s="883">
        <f t="shared" si="65"/>
        <v>-307277.87674628111</v>
      </c>
      <c r="R120" s="1100"/>
      <c r="S120" s="883">
        <f t="shared" si="58"/>
        <v>-82518.835392209876</v>
      </c>
      <c r="T120" s="884">
        <f t="shared" si="66"/>
        <v>-224759.04135407123</v>
      </c>
      <c r="U120" s="884">
        <f>IF(AND($AU$43="Early Payoff",J120&gt;$U$15),0,IF($J120&lt;=$U$8,SUM($S$20:$S120),0))</f>
        <v>-2231488.7600685661</v>
      </c>
      <c r="V120" s="884">
        <f>IF(AND($AU$43="Early Payoff",J120&gt;$U$15),0,IF($J120&lt;=$U$8,SUM($T$20:$T120),0))</f>
        <v>-20712713.25932359</v>
      </c>
      <c r="W120" s="885">
        <f t="shared" si="67"/>
        <v>44253511.239931434</v>
      </c>
      <c r="X120" s="1110">
        <f t="shared" si="68"/>
        <v>44336030.075323641</v>
      </c>
      <c r="Z120" s="1102">
        <f t="shared" si="59"/>
        <v>0</v>
      </c>
      <c r="AA120" s="873">
        <f t="shared" si="60"/>
        <v>0</v>
      </c>
      <c r="AB120" s="873">
        <f t="shared" si="61"/>
        <v>0</v>
      </c>
      <c r="AC120" s="885">
        <f t="shared" si="62"/>
        <v>-307277.87674628111</v>
      </c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</row>
    <row r="121" spans="2:71" s="278" customFormat="1" ht="12" customHeight="1" x14ac:dyDescent="0.25">
      <c r="B121" s="1108">
        <f>IF(C121&lt;'Financing Assumptions'!$G$25,0,IF(C121='Financing Assumptions'!$G$25,1,IF(C121&gt;'Financing Assumptions'!$G$25,B120+1)))</f>
        <v>102</v>
      </c>
      <c r="C121" s="1109">
        <f t="shared" si="69"/>
        <v>104</v>
      </c>
      <c r="D121" s="732">
        <f t="shared" si="54"/>
        <v>30</v>
      </c>
      <c r="E121" s="35">
        <f t="shared" si="55"/>
        <v>9</v>
      </c>
      <c r="F121" s="889">
        <f t="shared" si="74"/>
        <v>49217</v>
      </c>
      <c r="G121" s="822">
        <f t="shared" si="56"/>
        <v>9</v>
      </c>
      <c r="H121" s="126">
        <f t="shared" si="57"/>
        <v>0</v>
      </c>
      <c r="I121" s="1098">
        <f t="shared" si="75"/>
        <v>0</v>
      </c>
      <c r="J121" s="887">
        <f t="shared" si="70"/>
        <v>102</v>
      </c>
      <c r="K121" s="1099">
        <f t="shared" si="63"/>
        <v>76</v>
      </c>
      <c r="L121" s="891" t="str">
        <f t="shared" si="64"/>
        <v>September</v>
      </c>
      <c r="M121" s="888">
        <f t="shared" si="71"/>
        <v>2034</v>
      </c>
      <c r="N121" s="1284">
        <f t="shared" si="76"/>
        <v>0</v>
      </c>
      <c r="O121" s="1284">
        <f t="shared" si="72"/>
        <v>0</v>
      </c>
      <c r="P121" s="883">
        <f t="shared" si="73"/>
        <v>44253511.239931434</v>
      </c>
      <c r="Q121" s="883">
        <f t="shared" si="65"/>
        <v>-307277.87674628111</v>
      </c>
      <c r="R121" s="1100"/>
      <c r="S121" s="883">
        <f t="shared" si="58"/>
        <v>-82937.160043850949</v>
      </c>
      <c r="T121" s="884">
        <f t="shared" si="66"/>
        <v>-224340.71670243016</v>
      </c>
      <c r="U121" s="884">
        <f>IF(AND($AU$43="Early Payoff",J121&gt;$U$15),0,IF($J121&lt;=$U$8,SUM($S$20:$S121),0))</f>
        <v>-2314425.9201124171</v>
      </c>
      <c r="V121" s="884">
        <f>IF(AND($AU$43="Early Payoff",J121&gt;$U$15),0,IF($J121&lt;=$U$8,SUM($T$20:$T121),0))</f>
        <v>-20937053.976026021</v>
      </c>
      <c r="W121" s="885">
        <f t="shared" si="67"/>
        <v>44170574.079887584</v>
      </c>
      <c r="X121" s="1110">
        <f t="shared" si="68"/>
        <v>44253511.239931434</v>
      </c>
      <c r="Z121" s="1102">
        <f t="shared" si="59"/>
        <v>0</v>
      </c>
      <c r="AA121" s="873">
        <f t="shared" si="60"/>
        <v>0</v>
      </c>
      <c r="AB121" s="873">
        <f t="shared" si="61"/>
        <v>0</v>
      </c>
      <c r="AC121" s="885">
        <f t="shared" si="62"/>
        <v>-307277.87674628111</v>
      </c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</row>
    <row r="122" spans="2:71" s="278" customFormat="1" ht="12" customHeight="1" x14ac:dyDescent="0.25">
      <c r="B122" s="1108">
        <f>IF(C122&lt;'Financing Assumptions'!$G$25,0,IF(C122='Financing Assumptions'!$G$25,1,IF(C122&gt;'Financing Assumptions'!$G$25,B121+1)))</f>
        <v>103</v>
      </c>
      <c r="C122" s="1109">
        <f t="shared" si="69"/>
        <v>105</v>
      </c>
      <c r="D122" s="732">
        <f t="shared" si="54"/>
        <v>31</v>
      </c>
      <c r="E122" s="35">
        <f t="shared" si="55"/>
        <v>10</v>
      </c>
      <c r="F122" s="889">
        <f t="shared" si="74"/>
        <v>49248</v>
      </c>
      <c r="G122" s="822">
        <f t="shared" si="56"/>
        <v>10</v>
      </c>
      <c r="H122" s="126">
        <f t="shared" si="57"/>
        <v>0</v>
      </c>
      <c r="I122" s="1098">
        <f t="shared" si="75"/>
        <v>0</v>
      </c>
      <c r="J122" s="887">
        <f t="shared" si="70"/>
        <v>103</v>
      </c>
      <c r="K122" s="1099">
        <f t="shared" si="63"/>
        <v>77</v>
      </c>
      <c r="L122" s="891" t="str">
        <f t="shared" si="64"/>
        <v>October</v>
      </c>
      <c r="M122" s="888">
        <f t="shared" si="71"/>
        <v>2034</v>
      </c>
      <c r="N122" s="1284">
        <f t="shared" si="76"/>
        <v>0</v>
      </c>
      <c r="O122" s="1284">
        <f t="shared" si="72"/>
        <v>0</v>
      </c>
      <c r="P122" s="883">
        <f t="shared" si="73"/>
        <v>44170574.079887584</v>
      </c>
      <c r="Q122" s="883">
        <f t="shared" si="65"/>
        <v>-307277.87674628111</v>
      </c>
      <c r="R122" s="1100"/>
      <c r="S122" s="883">
        <f t="shared" si="58"/>
        <v>-83357.605369073222</v>
      </c>
      <c r="T122" s="884">
        <f t="shared" si="66"/>
        <v>-223920.27137720789</v>
      </c>
      <c r="U122" s="884">
        <f>IF(AND($AU$43="Early Payoff",J122&gt;$U$15),0,IF($J122&lt;=$U$8,SUM($S$20:$S122),0))</f>
        <v>-2397783.5254814904</v>
      </c>
      <c r="V122" s="884">
        <f>IF(AND($AU$43="Early Payoff",J122&gt;$U$15),0,IF($J122&lt;=$U$8,SUM($T$20:$T122),0))</f>
        <v>-21160974.247403231</v>
      </c>
      <c r="W122" s="885">
        <f t="shared" si="67"/>
        <v>44087216.474518508</v>
      </c>
      <c r="X122" s="1110">
        <f t="shared" si="68"/>
        <v>44170574.079887584</v>
      </c>
      <c r="Z122" s="1102">
        <f t="shared" si="59"/>
        <v>0</v>
      </c>
      <c r="AA122" s="873">
        <f t="shared" si="60"/>
        <v>0</v>
      </c>
      <c r="AB122" s="873">
        <f t="shared" si="61"/>
        <v>0</v>
      </c>
      <c r="AC122" s="885">
        <f t="shared" si="62"/>
        <v>-307277.87674628111</v>
      </c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</row>
    <row r="123" spans="2:71" s="278" customFormat="1" ht="12" customHeight="1" x14ac:dyDescent="0.25">
      <c r="B123" s="1108">
        <f>IF(C123&lt;'Financing Assumptions'!$G$25,0,IF(C123='Financing Assumptions'!$G$25,1,IF(C123&gt;'Financing Assumptions'!$G$25,B122+1)))</f>
        <v>104</v>
      </c>
      <c r="C123" s="1109">
        <f t="shared" si="69"/>
        <v>106</v>
      </c>
      <c r="D123" s="732">
        <f t="shared" si="54"/>
        <v>30</v>
      </c>
      <c r="E123" s="35">
        <f t="shared" si="55"/>
        <v>11</v>
      </c>
      <c r="F123" s="889">
        <f t="shared" si="74"/>
        <v>49278</v>
      </c>
      <c r="G123" s="822">
        <f t="shared" si="56"/>
        <v>11</v>
      </c>
      <c r="H123" s="126">
        <f t="shared" si="57"/>
        <v>0</v>
      </c>
      <c r="I123" s="1098">
        <f t="shared" si="75"/>
        <v>0</v>
      </c>
      <c r="J123" s="887">
        <f t="shared" si="70"/>
        <v>104</v>
      </c>
      <c r="K123" s="1099">
        <f t="shared" si="63"/>
        <v>78</v>
      </c>
      <c r="L123" s="891" t="str">
        <f t="shared" si="64"/>
        <v>November</v>
      </c>
      <c r="M123" s="888">
        <f t="shared" si="71"/>
        <v>2034</v>
      </c>
      <c r="N123" s="1284">
        <f t="shared" si="76"/>
        <v>0</v>
      </c>
      <c r="O123" s="1284">
        <f t="shared" si="72"/>
        <v>0</v>
      </c>
      <c r="P123" s="883">
        <f t="shared" si="73"/>
        <v>44087216.474518508</v>
      </c>
      <c r="Q123" s="883">
        <f t="shared" si="65"/>
        <v>-307277.87674628111</v>
      </c>
      <c r="R123" s="1100"/>
      <c r="S123" s="883">
        <f t="shared" si="58"/>
        <v>-83780.18211851368</v>
      </c>
      <c r="T123" s="884">
        <f t="shared" si="66"/>
        <v>-223497.69462776743</v>
      </c>
      <c r="U123" s="884">
        <f>IF(AND($AU$43="Early Payoff",J123&gt;$U$15),0,IF($J123&lt;=$U$8,SUM($S$20:$S123),0))</f>
        <v>-2481563.707600004</v>
      </c>
      <c r="V123" s="884">
        <f>IF(AND($AU$43="Early Payoff",J123&gt;$U$15),0,IF($J123&lt;=$U$8,SUM($T$20:$T123),0))</f>
        <v>-21384471.942030996</v>
      </c>
      <c r="W123" s="885">
        <f t="shared" si="67"/>
        <v>44003436.292399995</v>
      </c>
      <c r="X123" s="1110">
        <f t="shared" si="68"/>
        <v>44087216.474518508</v>
      </c>
      <c r="Z123" s="1102">
        <f t="shared" si="59"/>
        <v>0</v>
      </c>
      <c r="AA123" s="873">
        <f t="shared" si="60"/>
        <v>0</v>
      </c>
      <c r="AB123" s="873">
        <f t="shared" si="61"/>
        <v>0</v>
      </c>
      <c r="AC123" s="885">
        <f t="shared" si="62"/>
        <v>-307277.87674628111</v>
      </c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</row>
    <row r="124" spans="2:71" s="278" customFormat="1" ht="12" customHeight="1" x14ac:dyDescent="0.25">
      <c r="B124" s="1108">
        <f>IF(C124&lt;'Financing Assumptions'!$G$25,0,IF(C124='Financing Assumptions'!$G$25,1,IF(C124&gt;'Financing Assumptions'!$G$25,B123+1)))</f>
        <v>105</v>
      </c>
      <c r="C124" s="1109">
        <f t="shared" si="69"/>
        <v>107</v>
      </c>
      <c r="D124" s="732">
        <f t="shared" si="54"/>
        <v>31</v>
      </c>
      <c r="E124" s="35">
        <f t="shared" si="55"/>
        <v>12</v>
      </c>
      <c r="F124" s="889">
        <f t="shared" si="74"/>
        <v>49309</v>
      </c>
      <c r="G124" s="822">
        <f t="shared" si="56"/>
        <v>12</v>
      </c>
      <c r="H124" s="126">
        <f t="shared" si="57"/>
        <v>1</v>
      </c>
      <c r="I124" s="1098">
        <f t="shared" si="75"/>
        <v>0</v>
      </c>
      <c r="J124" s="887">
        <f t="shared" si="70"/>
        <v>105</v>
      </c>
      <c r="K124" s="1099">
        <f t="shared" si="63"/>
        <v>79</v>
      </c>
      <c r="L124" s="891" t="str">
        <f t="shared" si="64"/>
        <v>December</v>
      </c>
      <c r="M124" s="888">
        <f t="shared" si="71"/>
        <v>2034</v>
      </c>
      <c r="N124" s="1284">
        <f t="shared" si="76"/>
        <v>0</v>
      </c>
      <c r="O124" s="1284">
        <f t="shared" si="72"/>
        <v>0</v>
      </c>
      <c r="P124" s="883">
        <f t="shared" si="73"/>
        <v>44003436.292399995</v>
      </c>
      <c r="Q124" s="883">
        <f t="shared" si="65"/>
        <v>-307277.87674628111</v>
      </c>
      <c r="R124" s="1100"/>
      <c r="S124" s="883">
        <f t="shared" si="58"/>
        <v>-84204.901097308932</v>
      </c>
      <c r="T124" s="884">
        <f t="shared" si="66"/>
        <v>-223072.97564897218</v>
      </c>
      <c r="U124" s="884">
        <f>IF(AND($AU$43="Early Payoff",J124&gt;$U$15),0,IF($J124&lt;=$U$8,SUM($S$20:$S124),0))</f>
        <v>-2565768.6086973129</v>
      </c>
      <c r="V124" s="884">
        <f>IF(AND($AU$43="Early Payoff",J124&gt;$U$15),0,IF($J124&lt;=$U$8,SUM($T$20:$T124),0))</f>
        <v>-21607544.917679969</v>
      </c>
      <c r="W124" s="885">
        <f t="shared" si="67"/>
        <v>43919231.391302682</v>
      </c>
      <c r="X124" s="1110">
        <f t="shared" si="68"/>
        <v>44003436.292399995</v>
      </c>
      <c r="Z124" s="1102">
        <f t="shared" si="59"/>
        <v>0</v>
      </c>
      <c r="AA124" s="873">
        <f t="shared" si="60"/>
        <v>0</v>
      </c>
      <c r="AB124" s="873">
        <f t="shared" si="61"/>
        <v>0</v>
      </c>
      <c r="AC124" s="885">
        <f t="shared" si="62"/>
        <v>-307277.87674628111</v>
      </c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</row>
    <row r="125" spans="2:71" s="278" customFormat="1" ht="12" customHeight="1" x14ac:dyDescent="0.25">
      <c r="B125" s="1108">
        <f>IF(C125&lt;'Financing Assumptions'!$G$25,0,IF(C125='Financing Assumptions'!$G$25,1,IF(C125&gt;'Financing Assumptions'!$G$25,B124+1)))</f>
        <v>106</v>
      </c>
      <c r="C125" s="1109">
        <f t="shared" si="69"/>
        <v>108</v>
      </c>
      <c r="D125" s="732">
        <f t="shared" si="54"/>
        <v>31</v>
      </c>
      <c r="E125" s="35">
        <f t="shared" si="55"/>
        <v>1</v>
      </c>
      <c r="F125" s="889">
        <f t="shared" si="74"/>
        <v>49340</v>
      </c>
      <c r="G125" s="822">
        <f t="shared" si="56"/>
        <v>1</v>
      </c>
      <c r="H125" s="126">
        <f t="shared" si="57"/>
        <v>0</v>
      </c>
      <c r="I125" s="1098">
        <f t="shared" si="75"/>
        <v>0</v>
      </c>
      <c r="J125" s="887">
        <f t="shared" si="70"/>
        <v>106</v>
      </c>
      <c r="K125" s="1099">
        <f t="shared" si="63"/>
        <v>80</v>
      </c>
      <c r="L125" s="891" t="str">
        <f t="shared" si="64"/>
        <v>January</v>
      </c>
      <c r="M125" s="888">
        <f t="shared" si="71"/>
        <v>2035</v>
      </c>
      <c r="N125" s="1284">
        <f t="shared" si="76"/>
        <v>0</v>
      </c>
      <c r="O125" s="1284">
        <f t="shared" si="72"/>
        <v>0</v>
      </c>
      <c r="P125" s="883">
        <f t="shared" si="73"/>
        <v>43919231.391302682</v>
      </c>
      <c r="Q125" s="883">
        <f t="shared" si="65"/>
        <v>-307277.87674628111</v>
      </c>
      <c r="R125" s="1100"/>
      <c r="S125" s="883">
        <f t="shared" si="58"/>
        <v>-84631.773165371676</v>
      </c>
      <c r="T125" s="884">
        <f t="shared" si="66"/>
        <v>-222646.10358090943</v>
      </c>
      <c r="U125" s="884">
        <f>IF(AND($AU$43="Early Payoff",J125&gt;$U$15),0,IF($J125&lt;=$U$8,SUM($S$20:$S125),0))</f>
        <v>-2650400.3818626846</v>
      </c>
      <c r="V125" s="884">
        <f>IF(AND($AU$43="Early Payoff",J125&gt;$U$15),0,IF($J125&lt;=$U$8,SUM($T$20:$T125),0))</f>
        <v>-21830191.02126088</v>
      </c>
      <c r="W125" s="885">
        <f t="shared" si="67"/>
        <v>43834599.618137307</v>
      </c>
      <c r="X125" s="1110">
        <f t="shared" si="68"/>
        <v>43919231.391302682</v>
      </c>
      <c r="Z125" s="1102">
        <f t="shared" si="59"/>
        <v>0</v>
      </c>
      <c r="AA125" s="873">
        <f t="shared" si="60"/>
        <v>0</v>
      </c>
      <c r="AB125" s="873">
        <f t="shared" si="61"/>
        <v>0</v>
      </c>
      <c r="AC125" s="885">
        <f t="shared" si="62"/>
        <v>-307277.87674628111</v>
      </c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</row>
    <row r="126" spans="2:71" s="278" customFormat="1" ht="12" customHeight="1" x14ac:dyDescent="0.25">
      <c r="B126" s="1108">
        <f>IF(C126&lt;'Financing Assumptions'!$G$25,0,IF(C126='Financing Assumptions'!$G$25,1,IF(C126&gt;'Financing Assumptions'!$G$25,B125+1)))</f>
        <v>107</v>
      </c>
      <c r="C126" s="1109">
        <f t="shared" si="69"/>
        <v>109</v>
      </c>
      <c r="D126" s="732">
        <f t="shared" si="54"/>
        <v>28</v>
      </c>
      <c r="E126" s="35">
        <f t="shared" si="55"/>
        <v>2</v>
      </c>
      <c r="F126" s="889">
        <f t="shared" si="74"/>
        <v>49368</v>
      </c>
      <c r="G126" s="822">
        <f t="shared" si="56"/>
        <v>2</v>
      </c>
      <c r="H126" s="126">
        <f t="shared" si="57"/>
        <v>0</v>
      </c>
      <c r="I126" s="1098">
        <f t="shared" si="75"/>
        <v>0</v>
      </c>
      <c r="J126" s="887">
        <f t="shared" si="70"/>
        <v>107</v>
      </c>
      <c r="K126" s="1099">
        <f t="shared" si="63"/>
        <v>81</v>
      </c>
      <c r="L126" s="891" t="str">
        <f t="shared" si="64"/>
        <v>February</v>
      </c>
      <c r="M126" s="888">
        <f t="shared" si="71"/>
        <v>2035</v>
      </c>
      <c r="N126" s="1284">
        <f t="shared" si="76"/>
        <v>0</v>
      </c>
      <c r="O126" s="1284">
        <f t="shared" si="72"/>
        <v>0</v>
      </c>
      <c r="P126" s="883">
        <f t="shared" si="73"/>
        <v>43834599.618137307</v>
      </c>
      <c r="Q126" s="883">
        <f t="shared" si="65"/>
        <v>-307277.87674628111</v>
      </c>
      <c r="R126" s="1100"/>
      <c r="S126" s="883">
        <f t="shared" si="58"/>
        <v>-85060.809237668378</v>
      </c>
      <c r="T126" s="884">
        <f t="shared" si="66"/>
        <v>-222217.06750861273</v>
      </c>
      <c r="U126" s="884">
        <f>IF(AND($AU$43="Early Payoff",J126&gt;$U$15),0,IF($J126&lt;=$U$8,SUM($S$20:$S126),0))</f>
        <v>-2735461.1911003529</v>
      </c>
      <c r="V126" s="884">
        <f>IF(AND($AU$43="Early Payoff",J126&gt;$U$15),0,IF($J126&lt;=$U$8,SUM($T$20:$T126),0))</f>
        <v>-22052408.088769492</v>
      </c>
      <c r="W126" s="885">
        <f t="shared" si="67"/>
        <v>43749538.808899641</v>
      </c>
      <c r="X126" s="1110">
        <f t="shared" si="68"/>
        <v>43834599.618137307</v>
      </c>
      <c r="Z126" s="1102">
        <f t="shared" si="59"/>
        <v>0</v>
      </c>
      <c r="AA126" s="873">
        <f t="shared" si="60"/>
        <v>0</v>
      </c>
      <c r="AB126" s="873">
        <f t="shared" si="61"/>
        <v>0</v>
      </c>
      <c r="AC126" s="885">
        <f t="shared" si="62"/>
        <v>-307277.87674628111</v>
      </c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</row>
    <row r="127" spans="2:71" s="278" customFormat="1" ht="12" customHeight="1" x14ac:dyDescent="0.25">
      <c r="B127" s="1108">
        <f>IF(C127&lt;'Financing Assumptions'!$G$25,0,IF(C127='Financing Assumptions'!$G$25,1,IF(C127&gt;'Financing Assumptions'!$G$25,B126+1)))</f>
        <v>108</v>
      </c>
      <c r="C127" s="1109">
        <f t="shared" si="69"/>
        <v>110</v>
      </c>
      <c r="D127" s="732">
        <f t="shared" si="54"/>
        <v>31</v>
      </c>
      <c r="E127" s="35">
        <f t="shared" si="55"/>
        <v>3</v>
      </c>
      <c r="F127" s="889">
        <f t="shared" si="74"/>
        <v>49399</v>
      </c>
      <c r="G127" s="822">
        <f t="shared" si="56"/>
        <v>3</v>
      </c>
      <c r="H127" s="126">
        <f t="shared" si="57"/>
        <v>0</v>
      </c>
      <c r="I127" s="1098">
        <f t="shared" si="75"/>
        <v>0</v>
      </c>
      <c r="J127" s="887">
        <f t="shared" si="70"/>
        <v>108</v>
      </c>
      <c r="K127" s="1099">
        <f t="shared" si="63"/>
        <v>82</v>
      </c>
      <c r="L127" s="891" t="str">
        <f t="shared" si="64"/>
        <v>March</v>
      </c>
      <c r="M127" s="888">
        <f t="shared" si="71"/>
        <v>2035</v>
      </c>
      <c r="N127" s="1284">
        <f t="shared" si="76"/>
        <v>0</v>
      </c>
      <c r="O127" s="1284">
        <f t="shared" si="72"/>
        <v>0</v>
      </c>
      <c r="P127" s="883">
        <f t="shared" si="73"/>
        <v>43749538.808899641</v>
      </c>
      <c r="Q127" s="883">
        <f t="shared" si="65"/>
        <v>-307277.87674628111</v>
      </c>
      <c r="R127" s="1100"/>
      <c r="S127" s="883">
        <f t="shared" si="58"/>
        <v>-85492.020284498227</v>
      </c>
      <c r="T127" s="884">
        <f t="shared" si="66"/>
        <v>-221785.85646178288</v>
      </c>
      <c r="U127" s="884">
        <f>IF(AND($AU$43="Early Payoff",J127&gt;$U$15),0,IF($J127&lt;=$U$8,SUM($S$20:$S127),0))</f>
        <v>-2820953.211384851</v>
      </c>
      <c r="V127" s="884">
        <f>IF(AND($AU$43="Early Payoff",J127&gt;$U$15),0,IF($J127&lt;=$U$8,SUM($T$20:$T127),0))</f>
        <v>-22274193.945231274</v>
      </c>
      <c r="W127" s="885">
        <f t="shared" si="67"/>
        <v>43664046.788615145</v>
      </c>
      <c r="X127" s="1110">
        <f t="shared" si="68"/>
        <v>43749538.808899641</v>
      </c>
      <c r="Z127" s="1102">
        <f t="shared" si="59"/>
        <v>0</v>
      </c>
      <c r="AA127" s="873">
        <f t="shared" si="60"/>
        <v>0</v>
      </c>
      <c r="AB127" s="873">
        <f t="shared" si="61"/>
        <v>0</v>
      </c>
      <c r="AC127" s="885">
        <f t="shared" si="62"/>
        <v>-307277.87674628111</v>
      </c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</row>
    <row r="128" spans="2:71" s="278" customFormat="1" ht="12" customHeight="1" x14ac:dyDescent="0.25">
      <c r="B128" s="1108">
        <f>IF(C128&lt;'Financing Assumptions'!$G$25,0,IF(C128='Financing Assumptions'!$G$25,1,IF(C128&gt;'Financing Assumptions'!$G$25,B127+1)))</f>
        <v>109</v>
      </c>
      <c r="C128" s="1109">
        <f t="shared" si="69"/>
        <v>111</v>
      </c>
      <c r="D128" s="732">
        <f t="shared" si="54"/>
        <v>30</v>
      </c>
      <c r="E128" s="35">
        <f t="shared" si="55"/>
        <v>4</v>
      </c>
      <c r="F128" s="889">
        <f t="shared" si="74"/>
        <v>49429</v>
      </c>
      <c r="G128" s="822">
        <f t="shared" si="56"/>
        <v>4</v>
      </c>
      <c r="H128" s="126">
        <f t="shared" si="57"/>
        <v>0</v>
      </c>
      <c r="I128" s="1098">
        <f t="shared" si="75"/>
        <v>0</v>
      </c>
      <c r="J128" s="887">
        <f t="shared" si="70"/>
        <v>109</v>
      </c>
      <c r="K128" s="1099">
        <f t="shared" si="63"/>
        <v>83</v>
      </c>
      <c r="L128" s="891" t="str">
        <f t="shared" si="64"/>
        <v>April</v>
      </c>
      <c r="M128" s="888">
        <f t="shared" si="71"/>
        <v>2035</v>
      </c>
      <c r="N128" s="1284">
        <f t="shared" si="76"/>
        <v>0</v>
      </c>
      <c r="O128" s="1284">
        <f t="shared" si="72"/>
        <v>0</v>
      </c>
      <c r="P128" s="883">
        <f t="shared" si="73"/>
        <v>43664046.788615145</v>
      </c>
      <c r="Q128" s="883">
        <f t="shared" si="65"/>
        <v>-307277.87674628111</v>
      </c>
      <c r="R128" s="1100"/>
      <c r="S128" s="883">
        <f t="shared" si="58"/>
        <v>-85925.417331773788</v>
      </c>
      <c r="T128" s="884">
        <f t="shared" si="66"/>
        <v>-221352.45941450732</v>
      </c>
      <c r="U128" s="884">
        <f>IF(AND($AU$43="Early Payoff",J128&gt;$U$15),0,IF($J128&lt;=$U$8,SUM($S$20:$S128),0))</f>
        <v>-2906878.6287166248</v>
      </c>
      <c r="V128" s="884">
        <f>IF(AND($AU$43="Early Payoff",J128&gt;$U$15),0,IF($J128&lt;=$U$8,SUM($T$20:$T128),0))</f>
        <v>-22495546.404645782</v>
      </c>
      <c r="W128" s="885">
        <f t="shared" si="67"/>
        <v>43578121.371283367</v>
      </c>
      <c r="X128" s="1110">
        <f t="shared" si="68"/>
        <v>43664046.788615145</v>
      </c>
      <c r="Z128" s="1102">
        <f t="shared" si="59"/>
        <v>0</v>
      </c>
      <c r="AA128" s="873">
        <f t="shared" si="60"/>
        <v>0</v>
      </c>
      <c r="AB128" s="873">
        <f t="shared" si="61"/>
        <v>0</v>
      </c>
      <c r="AC128" s="885">
        <f t="shared" si="62"/>
        <v>-307277.87674628111</v>
      </c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</row>
    <row r="129" spans="2:71" s="278" customFormat="1" ht="12" customHeight="1" x14ac:dyDescent="0.25">
      <c r="B129" s="1108">
        <f>IF(C129&lt;'Financing Assumptions'!$G$25,0,IF(C129='Financing Assumptions'!$G$25,1,IF(C129&gt;'Financing Assumptions'!$G$25,B128+1)))</f>
        <v>110</v>
      </c>
      <c r="C129" s="1109">
        <f t="shared" si="69"/>
        <v>112</v>
      </c>
      <c r="D129" s="732">
        <f t="shared" si="54"/>
        <v>31</v>
      </c>
      <c r="E129" s="35">
        <f t="shared" si="55"/>
        <v>5</v>
      </c>
      <c r="F129" s="889">
        <f t="shared" si="74"/>
        <v>49460</v>
      </c>
      <c r="G129" s="822">
        <f t="shared" si="56"/>
        <v>5</v>
      </c>
      <c r="H129" s="126">
        <f t="shared" si="57"/>
        <v>0</v>
      </c>
      <c r="I129" s="1098">
        <f t="shared" si="75"/>
        <v>0</v>
      </c>
      <c r="J129" s="887">
        <f t="shared" si="70"/>
        <v>110</v>
      </c>
      <c r="K129" s="1099">
        <f t="shared" si="63"/>
        <v>84</v>
      </c>
      <c r="L129" s="891" t="str">
        <f t="shared" si="64"/>
        <v>May</v>
      </c>
      <c r="M129" s="888">
        <f t="shared" si="71"/>
        <v>2035</v>
      </c>
      <c r="N129" s="1284">
        <f t="shared" si="76"/>
        <v>0</v>
      </c>
      <c r="O129" s="1284">
        <f t="shared" si="72"/>
        <v>0</v>
      </c>
      <c r="P129" s="883">
        <f t="shared" si="73"/>
        <v>43578121.371283367</v>
      </c>
      <c r="Q129" s="883">
        <f t="shared" si="65"/>
        <v>-307277.87674628111</v>
      </c>
      <c r="R129" s="1100"/>
      <c r="S129" s="883">
        <f t="shared" si="58"/>
        <v>-86361.011461302929</v>
      </c>
      <c r="T129" s="884">
        <f t="shared" si="66"/>
        <v>-220916.86528497818</v>
      </c>
      <c r="U129" s="884">
        <f>IF(AND($AU$43="Early Payoff",J129&gt;$U$15),0,IF($J129&lt;=$U$8,SUM($S$20:$S129),0))</f>
        <v>-2993239.6401779279</v>
      </c>
      <c r="V129" s="884">
        <f>IF(AND($AU$43="Early Payoff",J129&gt;$U$15),0,IF($J129&lt;=$U$8,SUM($T$20:$T129),0))</f>
        <v>-22716463.269930761</v>
      </c>
      <c r="W129" s="885">
        <f t="shared" si="67"/>
        <v>43491760.359822065</v>
      </c>
      <c r="X129" s="1110">
        <f t="shared" si="68"/>
        <v>43578121.371283367</v>
      </c>
      <c r="Z129" s="1102">
        <f t="shared" si="59"/>
        <v>0</v>
      </c>
      <c r="AA129" s="873">
        <f t="shared" si="60"/>
        <v>0</v>
      </c>
      <c r="AB129" s="873">
        <f t="shared" si="61"/>
        <v>0</v>
      </c>
      <c r="AC129" s="885">
        <f t="shared" si="62"/>
        <v>-307277.87674628111</v>
      </c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</row>
    <row r="130" spans="2:71" s="278" customFormat="1" ht="12" customHeight="1" x14ac:dyDescent="0.25">
      <c r="B130" s="1108">
        <f>IF(C130&lt;'Financing Assumptions'!$G$25,0,IF(C130='Financing Assumptions'!$G$25,1,IF(C130&gt;'Financing Assumptions'!$G$25,B129+1)))</f>
        <v>111</v>
      </c>
      <c r="C130" s="1109">
        <f t="shared" si="69"/>
        <v>113</v>
      </c>
      <c r="D130" s="732">
        <f t="shared" si="54"/>
        <v>30</v>
      </c>
      <c r="E130" s="35">
        <f t="shared" si="55"/>
        <v>6</v>
      </c>
      <c r="F130" s="889">
        <f t="shared" si="74"/>
        <v>49490</v>
      </c>
      <c r="G130" s="822">
        <f t="shared" si="56"/>
        <v>6</v>
      </c>
      <c r="H130" s="126">
        <f t="shared" si="57"/>
        <v>0</v>
      </c>
      <c r="I130" s="1098">
        <f t="shared" si="75"/>
        <v>0</v>
      </c>
      <c r="J130" s="887">
        <f t="shared" si="70"/>
        <v>111</v>
      </c>
      <c r="K130" s="1099">
        <f t="shared" si="63"/>
        <v>85</v>
      </c>
      <c r="L130" s="891" t="str">
        <f t="shared" si="64"/>
        <v>June</v>
      </c>
      <c r="M130" s="888">
        <f t="shared" si="71"/>
        <v>2035</v>
      </c>
      <c r="N130" s="1284">
        <f t="shared" si="76"/>
        <v>0</v>
      </c>
      <c r="O130" s="1284">
        <f t="shared" si="72"/>
        <v>0</v>
      </c>
      <c r="P130" s="883">
        <f t="shared" si="73"/>
        <v>43491760.359822065</v>
      </c>
      <c r="Q130" s="883">
        <f t="shared" si="65"/>
        <v>-307277.87674628111</v>
      </c>
      <c r="R130" s="1100"/>
      <c r="S130" s="883">
        <f t="shared" si="58"/>
        <v>-86798.813811072032</v>
      </c>
      <c r="T130" s="884">
        <f t="shared" si="66"/>
        <v>-220479.06293520908</v>
      </c>
      <c r="U130" s="884">
        <f>IF(AND($AU$43="Early Payoff",J130&gt;$U$15),0,IF($J130&lt;=$U$8,SUM($S$20:$S130),0))</f>
        <v>-3080038.4539890001</v>
      </c>
      <c r="V130" s="884">
        <f>IF(AND($AU$43="Early Payoff",J130&gt;$U$15),0,IF($J130&lt;=$U$8,SUM($T$20:$T130),0))</f>
        <v>-22936942.332865972</v>
      </c>
      <c r="W130" s="885">
        <f t="shared" si="67"/>
        <v>43404961.546010993</v>
      </c>
      <c r="X130" s="1110">
        <f t="shared" si="68"/>
        <v>43491760.359822065</v>
      </c>
      <c r="Z130" s="1102">
        <f t="shared" si="59"/>
        <v>0</v>
      </c>
      <c r="AA130" s="873">
        <f t="shared" si="60"/>
        <v>0</v>
      </c>
      <c r="AB130" s="873">
        <f t="shared" si="61"/>
        <v>0</v>
      </c>
      <c r="AC130" s="885">
        <f t="shared" si="62"/>
        <v>-307277.87674628111</v>
      </c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</row>
    <row r="131" spans="2:71" s="278" customFormat="1" ht="12" customHeight="1" x14ac:dyDescent="0.25">
      <c r="B131" s="1108">
        <f>IF(C131&lt;'Financing Assumptions'!$G$25,0,IF(C131='Financing Assumptions'!$G$25,1,IF(C131&gt;'Financing Assumptions'!$G$25,B130+1)))</f>
        <v>112</v>
      </c>
      <c r="C131" s="1109">
        <f t="shared" si="69"/>
        <v>114</v>
      </c>
      <c r="D131" s="732">
        <f t="shared" si="54"/>
        <v>31</v>
      </c>
      <c r="E131" s="35">
        <f t="shared" si="55"/>
        <v>7</v>
      </c>
      <c r="F131" s="889">
        <f t="shared" si="74"/>
        <v>49521</v>
      </c>
      <c r="G131" s="822">
        <f t="shared" si="56"/>
        <v>7</v>
      </c>
      <c r="H131" s="126">
        <f t="shared" si="57"/>
        <v>0</v>
      </c>
      <c r="I131" s="1098">
        <f t="shared" si="75"/>
        <v>0</v>
      </c>
      <c r="J131" s="887">
        <f t="shared" si="70"/>
        <v>112</v>
      </c>
      <c r="K131" s="1099">
        <f t="shared" si="63"/>
        <v>86</v>
      </c>
      <c r="L131" s="891" t="str">
        <f t="shared" si="64"/>
        <v>July</v>
      </c>
      <c r="M131" s="888">
        <f t="shared" si="71"/>
        <v>2035</v>
      </c>
      <c r="N131" s="1284">
        <f t="shared" si="76"/>
        <v>0</v>
      </c>
      <c r="O131" s="1284">
        <f t="shared" si="72"/>
        <v>0</v>
      </c>
      <c r="P131" s="883">
        <f t="shared" si="73"/>
        <v>43404961.546010993</v>
      </c>
      <c r="Q131" s="883">
        <f t="shared" si="65"/>
        <v>-307277.87674628111</v>
      </c>
      <c r="R131" s="1100"/>
      <c r="S131" s="883">
        <f t="shared" si="58"/>
        <v>-87238.835575530946</v>
      </c>
      <c r="T131" s="884">
        <f t="shared" si="66"/>
        <v>-220039.04117075016</v>
      </c>
      <c r="U131" s="884">
        <f>IF(AND($AU$43="Early Payoff",J131&gt;$U$15),0,IF($J131&lt;=$U$8,SUM($S$20:$S131),0))</f>
        <v>-3167277.2895645308</v>
      </c>
      <c r="V131" s="884">
        <f>IF(AND($AU$43="Early Payoff",J131&gt;$U$15),0,IF($J131&lt;=$U$8,SUM($T$20:$T131),0))</f>
        <v>-23156981.374036722</v>
      </c>
      <c r="W131" s="885">
        <f t="shared" si="67"/>
        <v>43317722.710435465</v>
      </c>
      <c r="X131" s="1110">
        <f t="shared" si="68"/>
        <v>43404961.546010993</v>
      </c>
      <c r="Z131" s="1102">
        <f t="shared" si="59"/>
        <v>0</v>
      </c>
      <c r="AA131" s="873">
        <f t="shared" si="60"/>
        <v>0</v>
      </c>
      <c r="AB131" s="873">
        <f t="shared" si="61"/>
        <v>0</v>
      </c>
      <c r="AC131" s="885">
        <f t="shared" si="62"/>
        <v>-307277.87674628111</v>
      </c>
    </row>
    <row r="132" spans="2:71" s="278" customFormat="1" ht="12" customHeight="1" x14ac:dyDescent="0.25">
      <c r="B132" s="1108">
        <f>IF(C132&lt;'Financing Assumptions'!$G$25,0,IF(C132='Financing Assumptions'!$G$25,1,IF(C132&gt;'Financing Assumptions'!$G$25,B131+1)))</f>
        <v>113</v>
      </c>
      <c r="C132" s="1109">
        <f t="shared" si="69"/>
        <v>115</v>
      </c>
      <c r="D132" s="732">
        <f t="shared" si="54"/>
        <v>31</v>
      </c>
      <c r="E132" s="35">
        <f t="shared" si="55"/>
        <v>8</v>
      </c>
      <c r="F132" s="889">
        <f t="shared" si="74"/>
        <v>49552</v>
      </c>
      <c r="G132" s="822">
        <f t="shared" si="56"/>
        <v>8</v>
      </c>
      <c r="H132" s="126">
        <f t="shared" si="57"/>
        <v>0</v>
      </c>
      <c r="I132" s="1098">
        <f t="shared" si="75"/>
        <v>0</v>
      </c>
      <c r="J132" s="887">
        <f t="shared" si="70"/>
        <v>113</v>
      </c>
      <c r="K132" s="1099">
        <f t="shared" si="63"/>
        <v>87</v>
      </c>
      <c r="L132" s="891" t="str">
        <f t="shared" si="64"/>
        <v>August</v>
      </c>
      <c r="M132" s="888">
        <f t="shared" si="71"/>
        <v>2035</v>
      </c>
      <c r="N132" s="1284">
        <f t="shared" si="76"/>
        <v>0</v>
      </c>
      <c r="O132" s="1284">
        <f t="shared" si="72"/>
        <v>0</v>
      </c>
      <c r="P132" s="883">
        <f t="shared" si="73"/>
        <v>43317722.710435465</v>
      </c>
      <c r="Q132" s="883">
        <f t="shared" si="65"/>
        <v>-307277.87674628111</v>
      </c>
      <c r="R132" s="1100"/>
      <c r="S132" s="883">
        <f t="shared" si="58"/>
        <v>-87681.088005879108</v>
      </c>
      <c r="T132" s="884">
        <f t="shared" si="66"/>
        <v>-219596.788740402</v>
      </c>
      <c r="U132" s="884">
        <f>IF(AND($AU$43="Early Payoff",J132&gt;$U$15),0,IF($J132&lt;=$U$8,SUM($S$20:$S132),0))</f>
        <v>-3254958.3775704098</v>
      </c>
      <c r="V132" s="884">
        <f>IF(AND($AU$43="Early Payoff",J132&gt;$U$15),0,IF($J132&lt;=$U$8,SUM($T$20:$T132),0))</f>
        <v>-23376578.162777122</v>
      </c>
      <c r="W132" s="885">
        <f t="shared" si="67"/>
        <v>43230041.622429587</v>
      </c>
      <c r="X132" s="1110">
        <f t="shared" si="68"/>
        <v>43317722.710435465</v>
      </c>
      <c r="Z132" s="1102">
        <f t="shared" si="59"/>
        <v>0</v>
      </c>
      <c r="AA132" s="873">
        <f t="shared" si="60"/>
        <v>0</v>
      </c>
      <c r="AB132" s="873">
        <f t="shared" si="61"/>
        <v>0</v>
      </c>
      <c r="AC132" s="885">
        <f t="shared" si="62"/>
        <v>-307277.87674628111</v>
      </c>
    </row>
    <row r="133" spans="2:71" s="278" customFormat="1" ht="12" customHeight="1" x14ac:dyDescent="0.25">
      <c r="B133" s="1108">
        <f>IF(C133&lt;'Financing Assumptions'!$G$25,0,IF(C133='Financing Assumptions'!$G$25,1,IF(C133&gt;'Financing Assumptions'!$G$25,B132+1)))</f>
        <v>114</v>
      </c>
      <c r="C133" s="1109">
        <f t="shared" si="69"/>
        <v>116</v>
      </c>
      <c r="D133" s="732">
        <f t="shared" si="54"/>
        <v>30</v>
      </c>
      <c r="E133" s="35">
        <f t="shared" si="55"/>
        <v>9</v>
      </c>
      <c r="F133" s="889">
        <f t="shared" si="74"/>
        <v>49582</v>
      </c>
      <c r="G133" s="822">
        <f t="shared" si="56"/>
        <v>9</v>
      </c>
      <c r="H133" s="126">
        <f t="shared" si="57"/>
        <v>0</v>
      </c>
      <c r="I133" s="1098">
        <f t="shared" si="75"/>
        <v>0</v>
      </c>
      <c r="J133" s="887">
        <f t="shared" si="70"/>
        <v>114</v>
      </c>
      <c r="K133" s="1099">
        <f t="shared" si="63"/>
        <v>88</v>
      </c>
      <c r="L133" s="891" t="str">
        <f t="shared" si="64"/>
        <v>September</v>
      </c>
      <c r="M133" s="888">
        <f t="shared" si="71"/>
        <v>2035</v>
      </c>
      <c r="N133" s="1284">
        <f t="shared" si="76"/>
        <v>0</v>
      </c>
      <c r="O133" s="1284">
        <f t="shared" si="72"/>
        <v>0</v>
      </c>
      <c r="P133" s="883">
        <f t="shared" si="73"/>
        <v>43230041.622429587</v>
      </c>
      <c r="Q133" s="883">
        <f t="shared" si="65"/>
        <v>-307277.87674628111</v>
      </c>
      <c r="R133" s="1100"/>
      <c r="S133" s="883">
        <f t="shared" si="58"/>
        <v>-88125.582410353352</v>
      </c>
      <c r="T133" s="884">
        <f t="shared" si="66"/>
        <v>-219152.29433592776</v>
      </c>
      <c r="U133" s="884">
        <f>IF(AND($AU$43="Early Payoff",J133&gt;$U$15),0,IF($J133&lt;=$U$8,SUM($S$20:$S133),0))</f>
        <v>-3343083.959980763</v>
      </c>
      <c r="V133" s="884">
        <f>IF(AND($AU$43="Early Payoff",J133&gt;$U$15),0,IF($J133&lt;=$U$8,SUM($T$20:$T133),0))</f>
        <v>-23595730.45711305</v>
      </c>
      <c r="W133" s="885">
        <f t="shared" si="67"/>
        <v>43141916.040019237</v>
      </c>
      <c r="X133" s="1110">
        <f t="shared" si="68"/>
        <v>43230041.622429587</v>
      </c>
      <c r="Z133" s="1102">
        <f t="shared" si="59"/>
        <v>0</v>
      </c>
      <c r="AA133" s="873">
        <f t="shared" si="60"/>
        <v>0</v>
      </c>
      <c r="AB133" s="873">
        <f t="shared" si="61"/>
        <v>0</v>
      </c>
      <c r="AC133" s="885">
        <f t="shared" si="62"/>
        <v>-307277.87674628111</v>
      </c>
    </row>
    <row r="134" spans="2:71" s="278" customFormat="1" ht="12" customHeight="1" x14ac:dyDescent="0.25">
      <c r="B134" s="1108">
        <f>IF(C134&lt;'Financing Assumptions'!$G$25,0,IF(C134='Financing Assumptions'!$G$25,1,IF(C134&gt;'Financing Assumptions'!$G$25,B133+1)))</f>
        <v>115</v>
      </c>
      <c r="C134" s="1109">
        <f t="shared" si="69"/>
        <v>117</v>
      </c>
      <c r="D134" s="732">
        <f t="shared" si="54"/>
        <v>31</v>
      </c>
      <c r="E134" s="35">
        <f t="shared" si="55"/>
        <v>10</v>
      </c>
      <c r="F134" s="889">
        <f t="shared" si="74"/>
        <v>49613</v>
      </c>
      <c r="G134" s="822">
        <f t="shared" si="56"/>
        <v>10</v>
      </c>
      <c r="H134" s="126">
        <f t="shared" si="57"/>
        <v>0</v>
      </c>
      <c r="I134" s="1098">
        <f t="shared" si="75"/>
        <v>0</v>
      </c>
      <c r="J134" s="887">
        <f t="shared" si="70"/>
        <v>115</v>
      </c>
      <c r="K134" s="1099">
        <f t="shared" si="63"/>
        <v>89</v>
      </c>
      <c r="L134" s="891" t="str">
        <f t="shared" si="64"/>
        <v>October</v>
      </c>
      <c r="M134" s="888">
        <f t="shared" si="71"/>
        <v>2035</v>
      </c>
      <c r="N134" s="1284">
        <f t="shared" si="76"/>
        <v>0</v>
      </c>
      <c r="O134" s="1284">
        <f t="shared" si="72"/>
        <v>0</v>
      </c>
      <c r="P134" s="883">
        <f t="shared" si="73"/>
        <v>43141916.040019237</v>
      </c>
      <c r="Q134" s="883">
        <f t="shared" si="65"/>
        <v>-307277.87674628111</v>
      </c>
      <c r="R134" s="1100"/>
      <c r="S134" s="883">
        <f t="shared" si="58"/>
        <v>-88572.330154516938</v>
      </c>
      <c r="T134" s="884">
        <f t="shared" si="66"/>
        <v>-218705.54659176417</v>
      </c>
      <c r="U134" s="884">
        <f>IF(AND($AU$43="Early Payoff",J134&gt;$U$15),0,IF($J134&lt;=$U$8,SUM($S$20:$S134),0))</f>
        <v>-3431656.2901352798</v>
      </c>
      <c r="V134" s="884">
        <f>IF(AND($AU$43="Early Payoff",J134&gt;$U$15),0,IF($J134&lt;=$U$8,SUM($T$20:$T134),0))</f>
        <v>-23814436.003704812</v>
      </c>
      <c r="W134" s="885">
        <f t="shared" si="67"/>
        <v>43053343.709864721</v>
      </c>
      <c r="X134" s="1110">
        <f t="shared" si="68"/>
        <v>43141916.040019237</v>
      </c>
      <c r="Z134" s="1102">
        <f t="shared" si="59"/>
        <v>0</v>
      </c>
      <c r="AA134" s="873">
        <f t="shared" si="60"/>
        <v>0</v>
      </c>
      <c r="AB134" s="873">
        <f t="shared" si="61"/>
        <v>0</v>
      </c>
      <c r="AC134" s="885">
        <f t="shared" si="62"/>
        <v>-307277.87674628111</v>
      </c>
    </row>
    <row r="135" spans="2:71" s="278" customFormat="1" ht="12" customHeight="1" x14ac:dyDescent="0.25">
      <c r="B135" s="1108">
        <f>IF(C135&lt;'Financing Assumptions'!$G$25,0,IF(C135='Financing Assumptions'!$G$25,1,IF(C135&gt;'Financing Assumptions'!$G$25,B134+1)))</f>
        <v>116</v>
      </c>
      <c r="C135" s="1109">
        <f t="shared" si="69"/>
        <v>118</v>
      </c>
      <c r="D135" s="732">
        <f t="shared" si="54"/>
        <v>30</v>
      </c>
      <c r="E135" s="35">
        <f t="shared" si="55"/>
        <v>11</v>
      </c>
      <c r="F135" s="889">
        <f t="shared" si="74"/>
        <v>49643</v>
      </c>
      <c r="G135" s="822">
        <f t="shared" si="56"/>
        <v>11</v>
      </c>
      <c r="H135" s="126">
        <f t="shared" si="57"/>
        <v>0</v>
      </c>
      <c r="I135" s="1098">
        <f t="shared" si="75"/>
        <v>0</v>
      </c>
      <c r="J135" s="887">
        <f t="shared" si="70"/>
        <v>116</v>
      </c>
      <c r="K135" s="1099">
        <f t="shared" si="63"/>
        <v>90</v>
      </c>
      <c r="L135" s="891" t="str">
        <f t="shared" si="64"/>
        <v>November</v>
      </c>
      <c r="M135" s="888">
        <f t="shared" si="71"/>
        <v>2035</v>
      </c>
      <c r="N135" s="1284">
        <f t="shared" si="76"/>
        <v>0</v>
      </c>
      <c r="O135" s="1284">
        <f t="shared" si="72"/>
        <v>0</v>
      </c>
      <c r="P135" s="883">
        <f t="shared" si="73"/>
        <v>43053343.709864721</v>
      </c>
      <c r="Q135" s="883">
        <f t="shared" si="65"/>
        <v>-307277.87674628111</v>
      </c>
      <c r="R135" s="1100"/>
      <c r="S135" s="883">
        <f t="shared" si="58"/>
        <v>-89021.342661550239</v>
      </c>
      <c r="T135" s="884">
        <f t="shared" si="66"/>
        <v>-218256.53408473087</v>
      </c>
      <c r="U135" s="884">
        <f>IF(AND($AU$43="Early Payoff",J135&gt;$U$15),0,IF($J135&lt;=$U$8,SUM($S$20:$S135),0))</f>
        <v>-3520677.63279683</v>
      </c>
      <c r="V135" s="884">
        <f>IF(AND($AU$43="Early Payoff",J135&gt;$U$15),0,IF($J135&lt;=$U$8,SUM($T$20:$T135),0))</f>
        <v>-24032692.537789542</v>
      </c>
      <c r="W135" s="885">
        <f t="shared" si="67"/>
        <v>42964322.367203169</v>
      </c>
      <c r="X135" s="1110">
        <f t="shared" si="68"/>
        <v>43053343.709864721</v>
      </c>
      <c r="Z135" s="1102">
        <f t="shared" si="59"/>
        <v>0</v>
      </c>
      <c r="AA135" s="873">
        <f t="shared" si="60"/>
        <v>0</v>
      </c>
      <c r="AB135" s="873">
        <f t="shared" si="61"/>
        <v>0</v>
      </c>
      <c r="AC135" s="885">
        <f t="shared" si="62"/>
        <v>-307277.87674628111</v>
      </c>
    </row>
    <row r="136" spans="2:71" s="278" customFormat="1" ht="12" customHeight="1" x14ac:dyDescent="0.25">
      <c r="B136" s="1108">
        <f>IF(C136&lt;'Financing Assumptions'!$G$25,0,IF(C136='Financing Assumptions'!$G$25,1,IF(C136&gt;'Financing Assumptions'!$G$25,B135+1)))</f>
        <v>117</v>
      </c>
      <c r="C136" s="1109">
        <f t="shared" si="69"/>
        <v>119</v>
      </c>
      <c r="D136" s="732">
        <f t="shared" si="54"/>
        <v>31</v>
      </c>
      <c r="E136" s="35">
        <f t="shared" si="55"/>
        <v>12</v>
      </c>
      <c r="F136" s="889">
        <f t="shared" si="74"/>
        <v>49674</v>
      </c>
      <c r="G136" s="822">
        <f t="shared" si="56"/>
        <v>12</v>
      </c>
      <c r="H136" s="126">
        <f t="shared" si="57"/>
        <v>1</v>
      </c>
      <c r="I136" s="1098">
        <f t="shared" si="75"/>
        <v>0</v>
      </c>
      <c r="J136" s="887">
        <f t="shared" si="70"/>
        <v>117</v>
      </c>
      <c r="K136" s="1099">
        <f t="shared" si="63"/>
        <v>91</v>
      </c>
      <c r="L136" s="891" t="str">
        <f t="shared" si="64"/>
        <v>December</v>
      </c>
      <c r="M136" s="888">
        <f t="shared" si="71"/>
        <v>2035</v>
      </c>
      <c r="N136" s="1284">
        <f t="shared" si="76"/>
        <v>0</v>
      </c>
      <c r="O136" s="1284">
        <f t="shared" si="72"/>
        <v>0</v>
      </c>
      <c r="P136" s="883">
        <f t="shared" si="73"/>
        <v>42964322.367203169</v>
      </c>
      <c r="Q136" s="883">
        <f t="shared" si="65"/>
        <v>-307277.87674628111</v>
      </c>
      <c r="R136" s="1100"/>
      <c r="S136" s="883">
        <f t="shared" si="58"/>
        <v>-89472.631412542833</v>
      </c>
      <c r="T136" s="884">
        <f t="shared" si="66"/>
        <v>-217805.24533373828</v>
      </c>
      <c r="U136" s="884">
        <f>IF(AND($AU$43="Early Payoff",J136&gt;$U$15),0,IF($J136&lt;=$U$8,SUM($S$20:$S136),0))</f>
        <v>-3610150.2642093729</v>
      </c>
      <c r="V136" s="884">
        <f>IF(AND($AU$43="Early Payoff",J136&gt;$U$15),0,IF($J136&lt;=$U$8,SUM($T$20:$T136),0))</f>
        <v>-24250497.783123281</v>
      </c>
      <c r="W136" s="885">
        <f t="shared" si="67"/>
        <v>42874849.735790625</v>
      </c>
      <c r="X136" s="1110">
        <f t="shared" si="68"/>
        <v>42964322.367203169</v>
      </c>
      <c r="Z136" s="1102">
        <f t="shared" si="59"/>
        <v>0</v>
      </c>
      <c r="AA136" s="873">
        <f t="shared" si="60"/>
        <v>0</v>
      </c>
      <c r="AB136" s="873">
        <f t="shared" si="61"/>
        <v>0</v>
      </c>
      <c r="AC136" s="885">
        <f t="shared" si="62"/>
        <v>-307277.87674628111</v>
      </c>
    </row>
    <row r="137" spans="2:71" s="278" customFormat="1" ht="12" customHeight="1" x14ac:dyDescent="0.25">
      <c r="B137" s="1108">
        <f>IF(C137&lt;'Financing Assumptions'!$G$25,0,IF(C137='Financing Assumptions'!$G$25,1,IF(C137&gt;'Financing Assumptions'!$G$25,B136+1)))</f>
        <v>118</v>
      </c>
      <c r="C137" s="1109">
        <f t="shared" si="69"/>
        <v>120</v>
      </c>
      <c r="D137" s="732">
        <f t="shared" si="54"/>
        <v>31</v>
      </c>
      <c r="E137" s="35">
        <f t="shared" si="55"/>
        <v>1</v>
      </c>
      <c r="F137" s="889">
        <f t="shared" si="74"/>
        <v>49705</v>
      </c>
      <c r="G137" s="822">
        <f t="shared" si="56"/>
        <v>1</v>
      </c>
      <c r="H137" s="126">
        <f t="shared" si="57"/>
        <v>0</v>
      </c>
      <c r="I137" s="1098">
        <f t="shared" si="75"/>
        <v>0</v>
      </c>
      <c r="J137" s="887">
        <f t="shared" si="70"/>
        <v>118</v>
      </c>
      <c r="K137" s="1099">
        <f t="shared" si="63"/>
        <v>92</v>
      </c>
      <c r="L137" s="891" t="str">
        <f t="shared" si="64"/>
        <v>January</v>
      </c>
      <c r="M137" s="888">
        <f t="shared" si="71"/>
        <v>2036</v>
      </c>
      <c r="N137" s="1284">
        <f t="shared" si="76"/>
        <v>0</v>
      </c>
      <c r="O137" s="1284">
        <f t="shared" si="72"/>
        <v>0</v>
      </c>
      <c r="P137" s="883">
        <f t="shared" si="73"/>
        <v>42874849.735790625</v>
      </c>
      <c r="Q137" s="883">
        <f t="shared" si="65"/>
        <v>-307277.87674628111</v>
      </c>
      <c r="R137" s="1100"/>
      <c r="S137" s="883">
        <f t="shared" si="58"/>
        <v>-89926.207946786977</v>
      </c>
      <c r="T137" s="884">
        <f t="shared" si="66"/>
        <v>-217351.66879949413</v>
      </c>
      <c r="U137" s="884">
        <f>IF(AND($AU$43="Early Payoff",J137&gt;$U$15),0,IF($J137&lt;=$U$8,SUM($S$20:$S137),0))</f>
        <v>-3700076.47215616</v>
      </c>
      <c r="V137" s="884">
        <f>IF(AND($AU$43="Early Payoff",J137&gt;$U$15),0,IF($J137&lt;=$U$8,SUM($T$20:$T137),0))</f>
        <v>-24467849.451922774</v>
      </c>
      <c r="W137" s="885">
        <f t="shared" si="67"/>
        <v>42784923.52784384</v>
      </c>
      <c r="X137" s="1110">
        <f t="shared" si="68"/>
        <v>42874849.735790625</v>
      </c>
      <c r="Z137" s="1102">
        <f t="shared" si="59"/>
        <v>0</v>
      </c>
      <c r="AA137" s="873">
        <f t="shared" si="60"/>
        <v>0</v>
      </c>
      <c r="AB137" s="873">
        <f t="shared" si="61"/>
        <v>0</v>
      </c>
      <c r="AC137" s="885">
        <f t="shared" si="62"/>
        <v>-307277.87674628111</v>
      </c>
    </row>
    <row r="138" spans="2:71" s="278" customFormat="1" ht="12" customHeight="1" x14ac:dyDescent="0.25">
      <c r="B138" s="1108">
        <f>IF(C138&lt;'Financing Assumptions'!$G$25,0,IF(C138='Financing Assumptions'!$G$25,1,IF(C138&gt;'Financing Assumptions'!$G$25,B137+1)))</f>
        <v>119</v>
      </c>
      <c r="C138" s="1109">
        <f t="shared" si="69"/>
        <v>121</v>
      </c>
      <c r="D138" s="732">
        <f t="shared" si="54"/>
        <v>29</v>
      </c>
      <c r="E138" s="35">
        <f t="shared" si="55"/>
        <v>2</v>
      </c>
      <c r="F138" s="889">
        <f t="shared" si="74"/>
        <v>49734</v>
      </c>
      <c r="G138" s="822">
        <f t="shared" si="56"/>
        <v>2</v>
      </c>
      <c r="H138" s="126">
        <f t="shared" si="57"/>
        <v>0</v>
      </c>
      <c r="I138" s="1098">
        <f t="shared" si="75"/>
        <v>0</v>
      </c>
      <c r="J138" s="887">
        <f t="shared" si="70"/>
        <v>119</v>
      </c>
      <c r="K138" s="1099">
        <f t="shared" si="63"/>
        <v>93</v>
      </c>
      <c r="L138" s="891" t="str">
        <f t="shared" si="64"/>
        <v>February</v>
      </c>
      <c r="M138" s="888">
        <f t="shared" si="71"/>
        <v>2036</v>
      </c>
      <c r="N138" s="1284">
        <f t="shared" si="76"/>
        <v>0</v>
      </c>
      <c r="O138" s="1284">
        <f t="shared" si="72"/>
        <v>0</v>
      </c>
      <c r="P138" s="883">
        <f t="shared" si="73"/>
        <v>42784923.52784384</v>
      </c>
      <c r="Q138" s="883">
        <f t="shared" si="65"/>
        <v>-307277.87674628111</v>
      </c>
      <c r="R138" s="1100"/>
      <c r="S138" s="883">
        <f t="shared" si="58"/>
        <v>-90382.083862072759</v>
      </c>
      <c r="T138" s="884">
        <f t="shared" si="66"/>
        <v>-216895.79288420835</v>
      </c>
      <c r="U138" s="884">
        <f>IF(AND($AU$43="Early Payoff",J138&gt;$U$15),0,IF($J138&lt;=$U$8,SUM($S$20:$S138),0))</f>
        <v>-3790458.5560182328</v>
      </c>
      <c r="V138" s="884">
        <f>IF(AND($AU$43="Early Payoff",J138&gt;$U$15),0,IF($J138&lt;=$U$8,SUM($T$20:$T138),0))</f>
        <v>-24684745.244806983</v>
      </c>
      <c r="W138" s="885">
        <f t="shared" si="67"/>
        <v>42694541.443981767</v>
      </c>
      <c r="X138" s="1110">
        <f t="shared" si="68"/>
        <v>42784923.52784384</v>
      </c>
      <c r="Z138" s="1102">
        <f t="shared" si="59"/>
        <v>0</v>
      </c>
      <c r="AA138" s="873">
        <f t="shared" si="60"/>
        <v>0</v>
      </c>
      <c r="AB138" s="873">
        <f t="shared" si="61"/>
        <v>0</v>
      </c>
      <c r="AC138" s="885">
        <f t="shared" si="62"/>
        <v>-307277.87674628111</v>
      </c>
    </row>
    <row r="139" spans="2:71" s="278" customFormat="1" ht="12" customHeight="1" x14ac:dyDescent="0.25">
      <c r="B139" s="1108">
        <f>IF(C139&lt;'Financing Assumptions'!$G$25,0,IF(C139='Financing Assumptions'!$G$25,1,IF(C139&gt;'Financing Assumptions'!$G$25,B138+1)))</f>
        <v>120</v>
      </c>
      <c r="C139" s="1109">
        <f t="shared" si="69"/>
        <v>122</v>
      </c>
      <c r="D139" s="732">
        <f t="shared" si="54"/>
        <v>31</v>
      </c>
      <c r="E139" s="35">
        <f t="shared" si="55"/>
        <v>3</v>
      </c>
      <c r="F139" s="889">
        <f t="shared" si="74"/>
        <v>49765</v>
      </c>
      <c r="G139" s="822">
        <f t="shared" si="56"/>
        <v>3</v>
      </c>
      <c r="H139" s="126">
        <f t="shared" si="57"/>
        <v>0</v>
      </c>
      <c r="I139" s="1098">
        <f t="shared" si="75"/>
        <v>0</v>
      </c>
      <c r="J139" s="887">
        <f t="shared" si="70"/>
        <v>120</v>
      </c>
      <c r="K139" s="1099">
        <f t="shared" si="63"/>
        <v>94</v>
      </c>
      <c r="L139" s="891" t="str">
        <f t="shared" si="64"/>
        <v>March</v>
      </c>
      <c r="M139" s="888">
        <f t="shared" si="71"/>
        <v>2036</v>
      </c>
      <c r="N139" s="1284">
        <f t="shared" si="76"/>
        <v>0</v>
      </c>
      <c r="O139" s="1284">
        <f t="shared" si="72"/>
        <v>0</v>
      </c>
      <c r="P139" s="883">
        <f t="shared" si="73"/>
        <v>42694541.443981767</v>
      </c>
      <c r="Q139" s="883">
        <f t="shared" si="65"/>
        <v>-307277.87674628111</v>
      </c>
      <c r="R139" s="1100"/>
      <c r="S139" s="883">
        <f t="shared" si="58"/>
        <v>-90840.270814984659</v>
      </c>
      <c r="T139" s="884">
        <f t="shared" si="66"/>
        <v>-216437.60593129645</v>
      </c>
      <c r="U139" s="884">
        <f>IF(AND($AU$43="Early Payoff",J139&gt;$U$15),0,IF($J139&lt;=$U$8,SUM($S$20:$S139),0))</f>
        <v>-3881298.8268332174</v>
      </c>
      <c r="V139" s="884">
        <f>IF(AND($AU$43="Early Payoff",J139&gt;$U$15),0,IF($J139&lt;=$U$8,SUM($T$20:$T139),0))</f>
        <v>-24901182.85073828</v>
      </c>
      <c r="W139" s="885">
        <f t="shared" si="67"/>
        <v>42603701.173166782</v>
      </c>
      <c r="X139" s="1110">
        <f t="shared" si="68"/>
        <v>42694541.443981767</v>
      </c>
      <c r="Z139" s="1102">
        <f t="shared" si="59"/>
        <v>0</v>
      </c>
      <c r="AA139" s="873">
        <f t="shared" si="60"/>
        <v>0</v>
      </c>
      <c r="AB139" s="873">
        <f t="shared" si="61"/>
        <v>0</v>
      </c>
      <c r="AC139" s="885">
        <f t="shared" si="62"/>
        <v>-307277.87674628111</v>
      </c>
    </row>
    <row r="140" spans="2:71" s="278" customFormat="1" ht="12" customHeight="1" x14ac:dyDescent="0.25">
      <c r="B140" s="1108">
        <f>IF(C140&lt;'Financing Assumptions'!$G$25,0,IF(C140='Financing Assumptions'!$G$25,1,IF(C140&gt;'Financing Assumptions'!$G$25,B139+1)))</f>
        <v>121</v>
      </c>
      <c r="C140" s="1109">
        <f t="shared" si="69"/>
        <v>123</v>
      </c>
      <c r="D140" s="732">
        <f t="shared" si="54"/>
        <v>30</v>
      </c>
      <c r="E140" s="35">
        <f t="shared" si="55"/>
        <v>4</v>
      </c>
      <c r="F140" s="889">
        <f t="shared" si="74"/>
        <v>49795</v>
      </c>
      <c r="G140" s="822">
        <f t="shared" si="56"/>
        <v>4</v>
      </c>
      <c r="H140" s="126">
        <f t="shared" si="57"/>
        <v>0</v>
      </c>
      <c r="I140" s="1098">
        <f t="shared" si="75"/>
        <v>0</v>
      </c>
      <c r="J140" s="887">
        <f t="shared" si="70"/>
        <v>121</v>
      </c>
      <c r="K140" s="1099">
        <f t="shared" si="63"/>
        <v>95</v>
      </c>
      <c r="L140" s="891" t="str">
        <f t="shared" si="64"/>
        <v>April</v>
      </c>
      <c r="M140" s="888">
        <f t="shared" si="71"/>
        <v>2036</v>
      </c>
      <c r="N140" s="1284">
        <f t="shared" si="76"/>
        <v>0</v>
      </c>
      <c r="O140" s="1284">
        <f t="shared" si="72"/>
        <v>0</v>
      </c>
      <c r="P140" s="883">
        <f t="shared" si="73"/>
        <v>42603701.173166782</v>
      </c>
      <c r="Q140" s="883">
        <f t="shared" si="65"/>
        <v>-307277.87674628111</v>
      </c>
      <c r="R140" s="1100"/>
      <c r="S140" s="883">
        <f t="shared" si="58"/>
        <v>-91300.780521199515</v>
      </c>
      <c r="T140" s="884">
        <f t="shared" si="66"/>
        <v>-215977.09622508159</v>
      </c>
      <c r="U140" s="884">
        <f>IF(AND($AU$43="Early Payoff",J140&gt;$U$15),0,IF($J140&lt;=$U$8,SUM($S$20:$S140),0))</f>
        <v>-3972599.607354417</v>
      </c>
      <c r="V140" s="884">
        <f>IF(AND($AU$43="Early Payoff",J140&gt;$U$15),0,IF($J140&lt;=$U$8,SUM($T$20:$T140),0))</f>
        <v>-25117159.946963362</v>
      </c>
      <c r="W140" s="885">
        <f t="shared" si="67"/>
        <v>42512400.392645583</v>
      </c>
      <c r="X140" s="1110">
        <f t="shared" si="68"/>
        <v>42603701.173166782</v>
      </c>
      <c r="Z140" s="1102">
        <f t="shared" si="59"/>
        <v>0</v>
      </c>
      <c r="AA140" s="873">
        <f t="shared" si="60"/>
        <v>0</v>
      </c>
      <c r="AB140" s="873">
        <f t="shared" si="61"/>
        <v>0</v>
      </c>
      <c r="AC140" s="885">
        <f t="shared" si="62"/>
        <v>-307277.87674628111</v>
      </c>
    </row>
    <row r="141" spans="2:71" s="278" customFormat="1" ht="12" customHeight="1" x14ac:dyDescent="0.25">
      <c r="B141" s="1108">
        <f>IF(C141&lt;'Financing Assumptions'!$G$25,0,IF(C141='Financing Assumptions'!$G$25,1,IF(C141&gt;'Financing Assumptions'!$G$25,B140+1)))</f>
        <v>122</v>
      </c>
      <c r="C141" s="1109">
        <f t="shared" si="69"/>
        <v>124</v>
      </c>
      <c r="D141" s="732">
        <f t="shared" si="54"/>
        <v>31</v>
      </c>
      <c r="E141" s="35">
        <f t="shared" si="55"/>
        <v>5</v>
      </c>
      <c r="F141" s="889">
        <f t="shared" si="74"/>
        <v>49826</v>
      </c>
      <c r="G141" s="822">
        <f t="shared" si="56"/>
        <v>5</v>
      </c>
      <c r="H141" s="126">
        <f t="shared" si="57"/>
        <v>0</v>
      </c>
      <c r="I141" s="1098">
        <f t="shared" si="75"/>
        <v>0</v>
      </c>
      <c r="J141" s="887">
        <f t="shared" si="70"/>
        <v>122</v>
      </c>
      <c r="K141" s="1099">
        <f t="shared" si="63"/>
        <v>96</v>
      </c>
      <c r="L141" s="891" t="str">
        <f t="shared" si="64"/>
        <v>May</v>
      </c>
      <c r="M141" s="888">
        <f t="shared" si="71"/>
        <v>2036</v>
      </c>
      <c r="N141" s="1284">
        <f t="shared" si="76"/>
        <v>0</v>
      </c>
      <c r="O141" s="1284">
        <f t="shared" si="72"/>
        <v>0</v>
      </c>
      <c r="P141" s="883">
        <f t="shared" si="73"/>
        <v>42512400.392645583</v>
      </c>
      <c r="Q141" s="883">
        <f t="shared" si="65"/>
        <v>-307277.87674628111</v>
      </c>
      <c r="R141" s="1100"/>
      <c r="S141" s="883">
        <f t="shared" si="58"/>
        <v>-91763.62475578615</v>
      </c>
      <c r="T141" s="884">
        <f t="shared" si="66"/>
        <v>-215514.25199049496</v>
      </c>
      <c r="U141" s="884">
        <f>IF(AND($AU$43="Early Payoff",J141&gt;$U$15),0,IF($J141&lt;=$U$8,SUM($S$20:$S141),0))</f>
        <v>-4064363.2321102032</v>
      </c>
      <c r="V141" s="884">
        <f>IF(AND($AU$43="Early Payoff",J141&gt;$U$15),0,IF($J141&lt;=$U$8,SUM($T$20:$T141),0))</f>
        <v>-25332674.198953856</v>
      </c>
      <c r="W141" s="885">
        <f t="shared" si="67"/>
        <v>42420636.767889798</v>
      </c>
      <c r="X141" s="1110">
        <f t="shared" si="68"/>
        <v>42512400.392645583</v>
      </c>
      <c r="Z141" s="1102">
        <f t="shared" si="59"/>
        <v>0</v>
      </c>
      <c r="AA141" s="873">
        <f t="shared" si="60"/>
        <v>0</v>
      </c>
      <c r="AB141" s="873">
        <f t="shared" si="61"/>
        <v>0</v>
      </c>
      <c r="AC141" s="885">
        <f t="shared" si="62"/>
        <v>-307277.87674628111</v>
      </c>
    </row>
    <row r="142" spans="2:71" s="278" customFormat="1" ht="12" customHeight="1" x14ac:dyDescent="0.25">
      <c r="B142" s="1108">
        <f>IF(C142&lt;'Financing Assumptions'!$G$25,0,IF(C142='Financing Assumptions'!$G$25,1,IF(C142&gt;'Financing Assumptions'!$G$25,B141+1)))</f>
        <v>123</v>
      </c>
      <c r="C142" s="1109">
        <f t="shared" si="69"/>
        <v>125</v>
      </c>
      <c r="D142" s="732">
        <f t="shared" si="54"/>
        <v>30</v>
      </c>
      <c r="E142" s="35">
        <f t="shared" si="55"/>
        <v>6</v>
      </c>
      <c r="F142" s="889">
        <f t="shared" si="74"/>
        <v>49856</v>
      </c>
      <c r="G142" s="822">
        <f t="shared" si="56"/>
        <v>6</v>
      </c>
      <c r="H142" s="126">
        <f t="shared" si="57"/>
        <v>0</v>
      </c>
      <c r="I142" s="1098">
        <f t="shared" si="75"/>
        <v>0</v>
      </c>
      <c r="J142" s="887">
        <f t="shared" si="70"/>
        <v>123</v>
      </c>
      <c r="K142" s="1099">
        <f t="shared" si="63"/>
        <v>97</v>
      </c>
      <c r="L142" s="891" t="str">
        <f t="shared" si="64"/>
        <v>June</v>
      </c>
      <c r="M142" s="888">
        <f t="shared" si="71"/>
        <v>2036</v>
      </c>
      <c r="N142" s="1284">
        <f t="shared" si="76"/>
        <v>0</v>
      </c>
      <c r="O142" s="1284">
        <f t="shared" si="72"/>
        <v>0</v>
      </c>
      <c r="P142" s="883">
        <f t="shared" si="73"/>
        <v>42420636.767889798</v>
      </c>
      <c r="Q142" s="883">
        <f t="shared" si="65"/>
        <v>-307277.87674628111</v>
      </c>
      <c r="R142" s="1100"/>
      <c r="S142" s="883">
        <f t="shared" si="58"/>
        <v>-92228.815353506448</v>
      </c>
      <c r="T142" s="884">
        <f t="shared" si="66"/>
        <v>-215049.06139277466</v>
      </c>
      <c r="U142" s="884">
        <f>IF(AND($AU$43="Early Payoff",J142&gt;$U$15),0,IF($J142&lt;=$U$8,SUM($S$20:$S142),0))</f>
        <v>-4156592.0474637095</v>
      </c>
      <c r="V142" s="884">
        <f>IF(AND($AU$43="Early Payoff",J142&gt;$U$15),0,IF($J142&lt;=$U$8,SUM($T$20:$T142),0))</f>
        <v>-25547723.260346629</v>
      </c>
      <c r="W142" s="885">
        <f t="shared" si="67"/>
        <v>42328407.952536292</v>
      </c>
      <c r="X142" s="1110">
        <f t="shared" si="68"/>
        <v>42420636.767889798</v>
      </c>
      <c r="Z142" s="1102">
        <f t="shared" si="59"/>
        <v>0</v>
      </c>
      <c r="AA142" s="873">
        <f t="shared" si="60"/>
        <v>0</v>
      </c>
      <c r="AB142" s="873">
        <f t="shared" si="61"/>
        <v>0</v>
      </c>
      <c r="AC142" s="885">
        <f t="shared" si="62"/>
        <v>-307277.87674628111</v>
      </c>
    </row>
    <row r="143" spans="2:71" s="278" customFormat="1" ht="12" customHeight="1" x14ac:dyDescent="0.25">
      <c r="B143" s="1108">
        <f>IF(C143&lt;'Financing Assumptions'!$G$25,0,IF(C143='Financing Assumptions'!$G$25,1,IF(C143&gt;'Financing Assumptions'!$G$25,B142+1)))</f>
        <v>124</v>
      </c>
      <c r="C143" s="1109">
        <f t="shared" si="69"/>
        <v>126</v>
      </c>
      <c r="D143" s="732">
        <f t="shared" si="54"/>
        <v>31</v>
      </c>
      <c r="E143" s="35">
        <f t="shared" si="55"/>
        <v>7</v>
      </c>
      <c r="F143" s="889">
        <f t="shared" si="74"/>
        <v>49887</v>
      </c>
      <c r="G143" s="822">
        <f t="shared" si="56"/>
        <v>7</v>
      </c>
      <c r="H143" s="126">
        <f t="shared" si="57"/>
        <v>0</v>
      </c>
      <c r="I143" s="1098">
        <f t="shared" si="75"/>
        <v>0</v>
      </c>
      <c r="J143" s="887">
        <f t="shared" si="70"/>
        <v>124</v>
      </c>
      <c r="K143" s="1099">
        <f t="shared" si="63"/>
        <v>98</v>
      </c>
      <c r="L143" s="891" t="str">
        <f t="shared" si="64"/>
        <v>July</v>
      </c>
      <c r="M143" s="888">
        <f t="shared" si="71"/>
        <v>2036</v>
      </c>
      <c r="N143" s="1284">
        <f t="shared" si="76"/>
        <v>0</v>
      </c>
      <c r="O143" s="1284">
        <f t="shared" si="72"/>
        <v>0</v>
      </c>
      <c r="P143" s="883">
        <f t="shared" si="73"/>
        <v>42328407.952536292</v>
      </c>
      <c r="Q143" s="883">
        <f t="shared" si="65"/>
        <v>-307277.87674628111</v>
      </c>
      <c r="R143" s="1100"/>
      <c r="S143" s="883">
        <f t="shared" si="58"/>
        <v>-92696.364209117979</v>
      </c>
      <c r="T143" s="884">
        <f t="shared" si="66"/>
        <v>-214581.51253716313</v>
      </c>
      <c r="U143" s="884">
        <f>IF(AND($AU$43="Early Payoff",J143&gt;$U$15),0,IF($J143&lt;=$U$8,SUM($S$20:$S143),0))</f>
        <v>-4249288.4116728278</v>
      </c>
      <c r="V143" s="884">
        <f>IF(AND($AU$43="Early Payoff",J143&gt;$U$15),0,IF($J143&lt;=$U$8,SUM($T$20:$T143),0))</f>
        <v>-25762304.772883791</v>
      </c>
      <c r="W143" s="885">
        <f t="shared" si="67"/>
        <v>42235711.588327177</v>
      </c>
      <c r="X143" s="1110">
        <f t="shared" si="68"/>
        <v>42328407.952536292</v>
      </c>
      <c r="Z143" s="1102">
        <f t="shared" si="59"/>
        <v>0</v>
      </c>
      <c r="AA143" s="873">
        <f t="shared" si="60"/>
        <v>0</v>
      </c>
      <c r="AB143" s="873">
        <f t="shared" si="61"/>
        <v>0</v>
      </c>
      <c r="AC143" s="885">
        <f t="shared" si="62"/>
        <v>-307277.87674628111</v>
      </c>
    </row>
    <row r="144" spans="2:71" s="278" customFormat="1" ht="12" customHeight="1" x14ac:dyDescent="0.25">
      <c r="B144" s="1108">
        <f>IF(C144&lt;'Financing Assumptions'!$G$25,0,IF(C144='Financing Assumptions'!$G$25,1,IF(C144&gt;'Financing Assumptions'!$G$25,B143+1)))</f>
        <v>125</v>
      </c>
      <c r="C144" s="1109">
        <f t="shared" si="69"/>
        <v>127</v>
      </c>
      <c r="D144" s="732">
        <f t="shared" si="54"/>
        <v>31</v>
      </c>
      <c r="E144" s="35">
        <f t="shared" si="55"/>
        <v>8</v>
      </c>
      <c r="F144" s="889">
        <f t="shared" si="74"/>
        <v>49918</v>
      </c>
      <c r="G144" s="822">
        <f t="shared" si="56"/>
        <v>8</v>
      </c>
      <c r="H144" s="126">
        <f t="shared" si="57"/>
        <v>0</v>
      </c>
      <c r="I144" s="1098">
        <f t="shared" si="75"/>
        <v>0</v>
      </c>
      <c r="J144" s="887">
        <f t="shared" si="70"/>
        <v>125</v>
      </c>
      <c r="K144" s="1099">
        <f t="shared" si="63"/>
        <v>99</v>
      </c>
      <c r="L144" s="891" t="str">
        <f t="shared" si="64"/>
        <v>August</v>
      </c>
      <c r="M144" s="888">
        <f t="shared" si="71"/>
        <v>2036</v>
      </c>
      <c r="N144" s="1284">
        <f t="shared" si="76"/>
        <v>0</v>
      </c>
      <c r="O144" s="1284">
        <f t="shared" si="72"/>
        <v>0</v>
      </c>
      <c r="P144" s="883">
        <f t="shared" si="73"/>
        <v>42235711.588327177</v>
      </c>
      <c r="Q144" s="883">
        <f t="shared" si="65"/>
        <v>-307277.87674628111</v>
      </c>
      <c r="R144" s="1100"/>
      <c r="S144" s="883">
        <f t="shared" si="58"/>
        <v>-93166.283277678071</v>
      </c>
      <c r="T144" s="884">
        <f t="shared" si="66"/>
        <v>-214111.59346860304</v>
      </c>
      <c r="U144" s="884">
        <f>IF(AND($AU$43="Early Payoff",J144&gt;$U$15),0,IF($J144&lt;=$U$8,SUM($S$20:$S144),0))</f>
        <v>-4342454.6949505061</v>
      </c>
      <c r="V144" s="884">
        <f>IF(AND($AU$43="Early Payoff",J144&gt;$U$15),0,IF($J144&lt;=$U$8,SUM($T$20:$T144),0))</f>
        <v>-25976416.366352394</v>
      </c>
      <c r="W144" s="885">
        <f t="shared" si="67"/>
        <v>42142545.305049501</v>
      </c>
      <c r="X144" s="1110">
        <f t="shared" si="68"/>
        <v>42235711.588327177</v>
      </c>
      <c r="Z144" s="1102">
        <f t="shared" si="59"/>
        <v>0</v>
      </c>
      <c r="AA144" s="873">
        <f t="shared" si="60"/>
        <v>0</v>
      </c>
      <c r="AB144" s="873">
        <f t="shared" si="61"/>
        <v>0</v>
      </c>
      <c r="AC144" s="885">
        <f t="shared" si="62"/>
        <v>-307277.87674628111</v>
      </c>
    </row>
    <row r="145" spans="2:29" s="278" customFormat="1" ht="12" customHeight="1" x14ac:dyDescent="0.25">
      <c r="B145" s="1108">
        <f>IF(C145&lt;'Financing Assumptions'!$G$25,0,IF(C145='Financing Assumptions'!$G$25,1,IF(C145&gt;'Financing Assumptions'!$G$25,B144+1)))</f>
        <v>126</v>
      </c>
      <c r="C145" s="1109">
        <f t="shared" si="69"/>
        <v>128</v>
      </c>
      <c r="D145" s="732">
        <f t="shared" si="54"/>
        <v>30</v>
      </c>
      <c r="E145" s="35">
        <f t="shared" si="55"/>
        <v>9</v>
      </c>
      <c r="F145" s="889">
        <f t="shared" si="74"/>
        <v>49948</v>
      </c>
      <c r="G145" s="822">
        <f t="shared" si="56"/>
        <v>9</v>
      </c>
      <c r="H145" s="126">
        <f t="shared" si="57"/>
        <v>0</v>
      </c>
      <c r="I145" s="1098">
        <f t="shared" si="75"/>
        <v>0</v>
      </c>
      <c r="J145" s="887">
        <f t="shared" si="70"/>
        <v>126</v>
      </c>
      <c r="K145" s="1099">
        <f t="shared" si="63"/>
        <v>100</v>
      </c>
      <c r="L145" s="891" t="str">
        <f t="shared" si="64"/>
        <v>September</v>
      </c>
      <c r="M145" s="888">
        <f t="shared" si="71"/>
        <v>2036</v>
      </c>
      <c r="N145" s="1284">
        <f t="shared" si="76"/>
        <v>0</v>
      </c>
      <c r="O145" s="1284">
        <f t="shared" si="72"/>
        <v>0</v>
      </c>
      <c r="P145" s="883">
        <f t="shared" si="73"/>
        <v>42142545.305049501</v>
      </c>
      <c r="Q145" s="883">
        <f t="shared" si="65"/>
        <v>-307277.87674628111</v>
      </c>
      <c r="R145" s="1100"/>
      <c r="S145" s="883">
        <f t="shared" si="58"/>
        <v>-93638.584574849636</v>
      </c>
      <c r="T145" s="884">
        <f t="shared" si="66"/>
        <v>-213639.29217143147</v>
      </c>
      <c r="U145" s="884">
        <f>IF(AND($AU$43="Early Payoff",J145&gt;$U$15),0,IF($J145&lt;=$U$8,SUM($S$20:$S145),0))</f>
        <v>-4436093.2795253554</v>
      </c>
      <c r="V145" s="884">
        <f>IF(AND($AU$43="Early Payoff",J145&gt;$U$15),0,IF($J145&lt;=$U$8,SUM($T$20:$T145),0))</f>
        <v>-26190055.658523824</v>
      </c>
      <c r="W145" s="885">
        <f t="shared" si="67"/>
        <v>42048906.720474653</v>
      </c>
      <c r="X145" s="1110">
        <f t="shared" si="68"/>
        <v>42142545.305049501</v>
      </c>
      <c r="Z145" s="1102">
        <f t="shared" si="59"/>
        <v>0</v>
      </c>
      <c r="AA145" s="873">
        <f t="shared" si="60"/>
        <v>0</v>
      </c>
      <c r="AB145" s="873">
        <f t="shared" si="61"/>
        <v>0</v>
      </c>
      <c r="AC145" s="885">
        <f t="shared" si="62"/>
        <v>-307277.87674628111</v>
      </c>
    </row>
    <row r="146" spans="2:29" s="278" customFormat="1" ht="12" customHeight="1" x14ac:dyDescent="0.25">
      <c r="B146" s="1108">
        <f>IF(C146&lt;'Financing Assumptions'!$G$25,0,IF(C146='Financing Assumptions'!$G$25,1,IF(C146&gt;'Financing Assumptions'!$G$25,B145+1)))</f>
        <v>127</v>
      </c>
      <c r="C146" s="1109">
        <f t="shared" si="69"/>
        <v>129</v>
      </c>
      <c r="D146" s="732">
        <f t="shared" si="54"/>
        <v>31</v>
      </c>
      <c r="E146" s="35">
        <f t="shared" si="55"/>
        <v>10</v>
      </c>
      <c r="F146" s="889">
        <f t="shared" si="74"/>
        <v>49979</v>
      </c>
      <c r="G146" s="822">
        <f t="shared" si="56"/>
        <v>10</v>
      </c>
      <c r="H146" s="126">
        <f t="shared" si="57"/>
        <v>0</v>
      </c>
      <c r="I146" s="1098">
        <f t="shared" si="75"/>
        <v>0</v>
      </c>
      <c r="J146" s="887">
        <f t="shared" si="70"/>
        <v>127</v>
      </c>
      <c r="K146" s="1099">
        <f t="shared" si="63"/>
        <v>101</v>
      </c>
      <c r="L146" s="891" t="str">
        <f t="shared" si="64"/>
        <v>October</v>
      </c>
      <c r="M146" s="888">
        <f t="shared" si="71"/>
        <v>2036</v>
      </c>
      <c r="N146" s="1284">
        <f t="shared" si="76"/>
        <v>0</v>
      </c>
      <c r="O146" s="1284">
        <f t="shared" si="72"/>
        <v>0</v>
      </c>
      <c r="P146" s="883">
        <f t="shared" si="73"/>
        <v>42048906.720474653</v>
      </c>
      <c r="Q146" s="883">
        <f t="shared" si="65"/>
        <v>-307277.87674628111</v>
      </c>
      <c r="R146" s="1100"/>
      <c r="S146" s="883">
        <f t="shared" si="58"/>
        <v>-94113.280177208217</v>
      </c>
      <c r="T146" s="884">
        <f t="shared" si="66"/>
        <v>-213164.59656907289</v>
      </c>
      <c r="U146" s="884">
        <f>IF(AND($AU$43="Early Payoff",J146&gt;$U$15),0,IF($J146&lt;=$U$8,SUM($S$20:$S146),0))</f>
        <v>-4530206.559702564</v>
      </c>
      <c r="V146" s="884">
        <f>IF(AND($AU$43="Early Payoff",J146&gt;$U$15),0,IF($J146&lt;=$U$8,SUM($T$20:$T146),0))</f>
        <v>-26403220.255092897</v>
      </c>
      <c r="W146" s="885">
        <f t="shared" si="67"/>
        <v>41954793.440297447</v>
      </c>
      <c r="X146" s="1110">
        <f t="shared" si="68"/>
        <v>42048906.720474653</v>
      </c>
      <c r="Z146" s="1102">
        <f t="shared" si="59"/>
        <v>0</v>
      </c>
      <c r="AA146" s="873">
        <f t="shared" si="60"/>
        <v>0</v>
      </c>
      <c r="AB146" s="873">
        <f t="shared" si="61"/>
        <v>0</v>
      </c>
      <c r="AC146" s="885">
        <f t="shared" si="62"/>
        <v>-307277.87674628111</v>
      </c>
    </row>
    <row r="147" spans="2:29" s="278" customFormat="1" ht="12" customHeight="1" x14ac:dyDescent="0.25">
      <c r="B147" s="1108">
        <f>IF(C147&lt;'Financing Assumptions'!$G$25,0,IF(C147='Financing Assumptions'!$G$25,1,IF(C147&gt;'Financing Assumptions'!$G$25,B146+1)))</f>
        <v>128</v>
      </c>
      <c r="C147" s="1109">
        <f t="shared" si="69"/>
        <v>130</v>
      </c>
      <c r="D147" s="732">
        <f t="shared" si="54"/>
        <v>30</v>
      </c>
      <c r="E147" s="35">
        <f t="shared" si="55"/>
        <v>11</v>
      </c>
      <c r="F147" s="889">
        <f t="shared" si="74"/>
        <v>50009</v>
      </c>
      <c r="G147" s="822">
        <f t="shared" si="56"/>
        <v>11</v>
      </c>
      <c r="H147" s="126">
        <f t="shared" si="57"/>
        <v>0</v>
      </c>
      <c r="I147" s="1098">
        <f t="shared" si="75"/>
        <v>0</v>
      </c>
      <c r="J147" s="887">
        <f t="shared" si="70"/>
        <v>128</v>
      </c>
      <c r="K147" s="1099">
        <f t="shared" si="63"/>
        <v>102</v>
      </c>
      <c r="L147" s="891" t="str">
        <f t="shared" si="64"/>
        <v>November</v>
      </c>
      <c r="M147" s="888">
        <f t="shared" si="71"/>
        <v>2036</v>
      </c>
      <c r="N147" s="1284">
        <f t="shared" si="76"/>
        <v>0</v>
      </c>
      <c r="O147" s="1284">
        <f t="shared" si="72"/>
        <v>0</v>
      </c>
      <c r="P147" s="883">
        <f t="shared" si="73"/>
        <v>41954793.440297447</v>
      </c>
      <c r="Q147" s="883">
        <f t="shared" si="65"/>
        <v>-307277.87674628111</v>
      </c>
      <c r="R147" s="1100"/>
      <c r="S147" s="883">
        <f t="shared" si="58"/>
        <v>-94590.382222551008</v>
      </c>
      <c r="T147" s="884">
        <f t="shared" si="66"/>
        <v>-212687.4945237301</v>
      </c>
      <c r="U147" s="884">
        <f>IF(AND($AU$43="Early Payoff",J147&gt;$U$15),0,IF($J147&lt;=$U$8,SUM($S$20:$S147),0))</f>
        <v>-4624796.941925115</v>
      </c>
      <c r="V147" s="884">
        <f>IF(AND($AU$43="Early Payoff",J147&gt;$U$15),0,IF($J147&lt;=$U$8,SUM($T$20:$T147),0))</f>
        <v>-26615907.749616627</v>
      </c>
      <c r="W147" s="885">
        <f t="shared" si="67"/>
        <v>41860203.058074899</v>
      </c>
      <c r="X147" s="1110">
        <f t="shared" si="68"/>
        <v>41954793.440297447</v>
      </c>
      <c r="Z147" s="1102">
        <f t="shared" si="59"/>
        <v>0</v>
      </c>
      <c r="AA147" s="873">
        <f t="shared" si="60"/>
        <v>0</v>
      </c>
      <c r="AB147" s="873">
        <f t="shared" si="61"/>
        <v>0</v>
      </c>
      <c r="AC147" s="885">
        <f t="shared" si="62"/>
        <v>-307277.87674628111</v>
      </c>
    </row>
    <row r="148" spans="2:29" s="278" customFormat="1" ht="12" customHeight="1" x14ac:dyDescent="0.25">
      <c r="B148" s="1108">
        <f>IF(C148&lt;'Financing Assumptions'!$G$25,0,IF(C148='Financing Assumptions'!$G$25,1,IF(C148&gt;'Financing Assumptions'!$G$25,B147+1)))</f>
        <v>129</v>
      </c>
      <c r="C148" s="1109">
        <f t="shared" si="69"/>
        <v>131</v>
      </c>
      <c r="D148" s="732">
        <f t="shared" ref="D148:D211" si="77">DAY(EOMONTH(DATE($M148,$E148,1),0))</f>
        <v>31</v>
      </c>
      <c r="E148" s="35">
        <f t="shared" ref="E148:E211" si="78">INDEX($AV$22:$AW$34,MATCH($L148,$AV$22:$AV$34,0),MATCH("Number",$AV$22:$AW$22,0))</f>
        <v>12</v>
      </c>
      <c r="F148" s="889">
        <f t="shared" si="74"/>
        <v>50040</v>
      </c>
      <c r="G148" s="822">
        <f t="shared" ref="G148:G211" si="79">INDEX($AV$22:$AW$34,MATCH($L148,$AV$22:$AV$34,0),MATCH("Number",$AV$22:$AW$22,0))</f>
        <v>12</v>
      </c>
      <c r="H148" s="126">
        <f t="shared" ref="H148:H211" si="80">IF($V$4="Monthly",INDEX($AV$36:$AW$48,MATCH($L148,$AV$36:$AV$48,0),MATCH("Number",$AV$36:$AW$36,0)),0)</f>
        <v>1</v>
      </c>
      <c r="I148" s="1098">
        <f t="shared" si="75"/>
        <v>0</v>
      </c>
      <c r="J148" s="887">
        <f t="shared" si="70"/>
        <v>129</v>
      </c>
      <c r="K148" s="1099">
        <f t="shared" si="63"/>
        <v>103</v>
      </c>
      <c r="L148" s="891" t="str">
        <f t="shared" si="64"/>
        <v>December</v>
      </c>
      <c r="M148" s="888">
        <f t="shared" si="71"/>
        <v>2036</v>
      </c>
      <c r="N148" s="1284">
        <f t="shared" si="76"/>
        <v>0</v>
      </c>
      <c r="O148" s="1284">
        <f t="shared" si="72"/>
        <v>0</v>
      </c>
      <c r="P148" s="883">
        <f t="shared" si="73"/>
        <v>41860203.058074899</v>
      </c>
      <c r="Q148" s="883">
        <f t="shared" si="65"/>
        <v>-307277.87674628111</v>
      </c>
      <c r="R148" s="1100"/>
      <c r="S148" s="883">
        <f t="shared" ref="S148:S211" si="81">IF(AND($AU$43="Early Payoff",J148&gt;=$U$15),0,IF($J148&gt;$U$8,0,IF(AND($AT$33&gt;0,$J148&lt;=$AT$33),0,+$Q148-$T148)))</f>
        <v>-95069.902910206991</v>
      </c>
      <c r="T148" s="884">
        <f t="shared" si="66"/>
        <v>-212207.97383607412</v>
      </c>
      <c r="U148" s="884">
        <f>IF(AND($AU$43="Early Payoff",J148&gt;$U$15),0,IF($J148&lt;=$U$8,SUM($S$20:$S148),0))</f>
        <v>-4719866.8448353224</v>
      </c>
      <c r="V148" s="884">
        <f>IF(AND($AU$43="Early Payoff",J148&gt;$U$15),0,IF($J148&lt;=$U$8,SUM($T$20:$T148),0))</f>
        <v>-26828115.723452702</v>
      </c>
      <c r="W148" s="885">
        <f t="shared" si="67"/>
        <v>41765133.155164689</v>
      </c>
      <c r="X148" s="1110">
        <f t="shared" si="68"/>
        <v>41860203.058074899</v>
      </c>
      <c r="Z148" s="1102">
        <f t="shared" ref="Z148:Z211" si="82">IF($J148&gt;$U$8,0,IF($J148&lt;=$AT$31,0,IF(AND($AA$5="%/Payment",$AC$5=0),$Q148*$AB$5,IF(AND($AA$5="%/Payment",$AC$5&gt;0,($Q148*$AB$5)&lt;$AC$5),$Q148*$AB$5,IF(AND($AA$5="%/Payment",$AC$5&gt;0,($Q148*$AB$5)&gt;$AC$5),-$AC$5,IF(AND($AA$5="%/Balance",$AC$5=0),-$W148*$AB$5,IF(AND($AA$5="%/Balance",$AC$5&gt;0,($W148*$AB$5)&lt;$AC$5),-$W148*$AB$5,IF(AND($AA$5="%/Balance",$AC$5&gt;0,($W148*$AB$5)&gt;$AC$5),-$AC$5,IF($AA$5="Fixed Amount",-$AB$5,IF($AA$5="N/A",0))))))))))</f>
        <v>0</v>
      </c>
      <c r="AA148" s="873">
        <f t="shared" ref="AA148:AA211" si="83">IF($J148&gt;$U$8,0,IF($J148&lt;=$AT$31,0,IF(AND($AA$6="%/Payment",$AC$6=0),$Q148*$AB$6,IF(AND($AA$6="%/Payment",$AC$6&gt;0,($Q148*$AB$6)&lt;$AC$6),$Q148*$AB$6,IF(AND($AA$6="%/Payment",$AC$6&gt;0,($Q148*$AB$6)&gt;$AC$6),-$AC$6,IF(AND($AA$6="%/Balance",$AC$6=0),-$W148*$AB$6,IF(AND($AA$6="%/Balance",$AC$6&gt;0,($W148*$AB$6)&lt;$AC$6),-$W148*$AB$6,IF(AND($AA$6="%/Balance",$AC$6&gt;0,($W148*$AB$6)&gt;$AC$6),-$AC$6,IF($AA$6="Fixed Amount",-$AB$6,IF($AA$6="N/A",0))))))))))</f>
        <v>0</v>
      </c>
      <c r="AB148" s="873">
        <f t="shared" ref="AB148:AB211" si="84">IF($J148&gt;$U$8,0,IF($J148&lt;=$AT$31,0,IF(AND($AA$7="%/Payment",$AC$7=0),$Q148*$AB$7,IF(AND($AA$7="%/Payment",$AC$7&gt;0,($Q148*$AB$7)&lt;$AC$7),$Q148*$AB$7,IF(AND($AA$7="%/Payment",$AC$7&gt;0,($Q148*$AB$7)&gt;$AC$7),-$AC$7,IF(AND($AA$7="%/Balance",$AC$7=0),-$W148*$AB$7,IF(AND($AA$7="%/Balance",$AC$7&gt;0,($W148*$AB$7)&lt;$AC$7),-$W148*$AB$7,IF(AND($AA$7="%/Balance",$AC$7&gt;0,($Q148*$AB$7)&gt;$AC$7),-$AC$7,IF($AA$7="Fixed Amount",-$AB$7,IF($AA$7="N/A",0))))))))))</f>
        <v>0</v>
      </c>
      <c r="AC148" s="885">
        <f t="shared" ref="AC148:AC211" si="85">SUM($Q148,$Z148:$AB148)</f>
        <v>-307277.87674628111</v>
      </c>
    </row>
    <row r="149" spans="2:29" s="278" customFormat="1" ht="12" customHeight="1" x14ac:dyDescent="0.25">
      <c r="B149" s="1108">
        <f>IF(C149&lt;'Financing Assumptions'!$G$25,0,IF(C149='Financing Assumptions'!$G$25,1,IF(C149&gt;'Financing Assumptions'!$G$25,B148+1)))</f>
        <v>130</v>
      </c>
      <c r="C149" s="1109">
        <f t="shared" si="69"/>
        <v>132</v>
      </c>
      <c r="D149" s="732">
        <f t="shared" si="77"/>
        <v>31</v>
      </c>
      <c r="E149" s="35">
        <f t="shared" si="78"/>
        <v>1</v>
      </c>
      <c r="F149" s="889">
        <f t="shared" si="74"/>
        <v>50071</v>
      </c>
      <c r="G149" s="822">
        <f t="shared" si="79"/>
        <v>1</v>
      </c>
      <c r="H149" s="126">
        <f t="shared" si="80"/>
        <v>0</v>
      </c>
      <c r="I149" s="1098">
        <f t="shared" si="75"/>
        <v>0</v>
      </c>
      <c r="J149" s="887">
        <f t="shared" si="70"/>
        <v>130</v>
      </c>
      <c r="K149" s="1099">
        <f t="shared" ref="K149:K212" si="86">IF($J149&lt;=$AT$33,0,IF($J148&gt;=$AT$33,$K148+1))</f>
        <v>104</v>
      </c>
      <c r="L149" s="891" t="str">
        <f t="shared" ref="L149:L212" si="87">IF($V$4="Annual",$T$5,IF(AND($V$4="Bi-Annual",$G148&lt;MAX($T$4,$U$4)),INDEX($AW$22:$AX$34,MATCH(MAX($T$4,$U$4),$AW$22:$AW$34,0),MATCH("Month",$AW$22:$AX$22,0)),IF(AND($V$4="Bi-Annual",$G148=MAX($T$4,$U$4)),INDEX($AW$22:$AX$34,MATCH(MIN($T$4,$U$4),$AW$22:$AW$34,0),MATCH("Month",$AW$22:$AX$22,0)),IF(AND($V$4="Monthly",$G148&lt;12),INDEX($AW$22:$AX$34,MATCH($G148+1,$AW$22:$AW$34,0),MATCH("Month",$AW$22:$AX$22,0)),IF(AND($V$4="Monthly",$G148=12),INDEX($AW$22:$AX$34,MATCH($G148-11,$AW$22:$AW$34,0),MATCH("Month",$AW$22:$AX$22,0)))))))</f>
        <v>January</v>
      </c>
      <c r="M149" s="888">
        <f t="shared" si="71"/>
        <v>2037</v>
      </c>
      <c r="N149" s="1284">
        <f t="shared" si="76"/>
        <v>0</v>
      </c>
      <c r="O149" s="1284">
        <f t="shared" si="72"/>
        <v>0</v>
      </c>
      <c r="P149" s="883">
        <f t="shared" si="73"/>
        <v>41765133.155164689</v>
      </c>
      <c r="Q149" s="883">
        <f t="shared" ref="Q149:Q212" si="88">IF(AND($AU$43="Early Payoff",J149&gt;=$U$15),0,IF($J149&gt;$U$8,0,IF(AND($AT$33&gt;=0,$J149&lt;=$AT$33),0,IF(AND($AT$31&gt;=0,$J149&lt;=$AT$31),$T149,IF(AND($V$4="Annual",$AT$31&gt;=0,$AT$33&gt;=0,$J149&gt;$AT$31,$J149&gt;$AT$33),PMT($M$7,($U$8-$AT$31),$M$4),IF(AND($V$4="Bi-Annual",$AT$31&gt;=0,$AT$33&gt;=0,$J149&gt;$AT$31,$J149&gt;$AT$33),PMT($M$7/2,($U$8-$AT$31),$M$4),IF(AND($V$4="Monthly",$AT$31&gt;=0,$AT$33&gt;=0,$J149&gt;$AT$31,$J149&gt;$AT$33),PMT($M$7/12,($U$8-$AT$31),$M$4))))))))-R149</f>
        <v>-307277.87674628111</v>
      </c>
      <c r="R149" s="1100"/>
      <c r="S149" s="883">
        <f t="shared" si="81"/>
        <v>-95551.854501349007</v>
      </c>
      <c r="T149" s="884">
        <f t="shared" ref="T149:T212" si="89">IF(AND($AU$43="Early Payoff",J149&gt;=$U$15),0,IF($V$4="Annual",-$M$7*$W148*1,IF($V$4="Bi-Annual",(-$M$7/2)*$W148*1,IF($V$4="Monthly",(-$M$7/12)*$W148*1))))</f>
        <v>-211726.0222449321</v>
      </c>
      <c r="U149" s="884">
        <f>IF(AND($AU$43="Early Payoff",J149&gt;$U$15),0,IF($J149&lt;=$U$8,SUM($S$20:$S149),0))</f>
        <v>-4815418.6993366713</v>
      </c>
      <c r="V149" s="884">
        <f>IF(AND($AU$43="Early Payoff",J149&gt;$U$15),0,IF($J149&lt;=$U$8,SUM($T$20:$T149),0))</f>
        <v>-27039841.745697632</v>
      </c>
      <c r="W149" s="885">
        <f t="shared" ref="W149:W212" si="90">IF($K149&lt;=$U$15,SUM($P149,$S149),0)</f>
        <v>41669581.300663337</v>
      </c>
      <c r="X149" s="1110">
        <f t="shared" ref="X149:X212" si="91">IF($C149&lt;$L$11,$M$4,$P149)</f>
        <v>41765133.155164689</v>
      </c>
      <c r="Z149" s="1102">
        <f t="shared" si="82"/>
        <v>0</v>
      </c>
      <c r="AA149" s="873">
        <f t="shared" si="83"/>
        <v>0</v>
      </c>
      <c r="AB149" s="873">
        <f t="shared" si="84"/>
        <v>0</v>
      </c>
      <c r="AC149" s="885">
        <f t="shared" si="85"/>
        <v>-307277.87674628111</v>
      </c>
    </row>
    <row r="150" spans="2:29" s="278" customFormat="1" ht="12" customHeight="1" x14ac:dyDescent="0.25">
      <c r="B150" s="1108">
        <f>IF(C150&lt;'Financing Assumptions'!$G$25,0,IF(C150='Financing Assumptions'!$G$25,1,IF(C150&gt;'Financing Assumptions'!$G$25,B149+1)))</f>
        <v>131</v>
      </c>
      <c r="C150" s="1109">
        <f t="shared" ref="C150:C213" si="92">C149+1</f>
        <v>133</v>
      </c>
      <c r="D150" s="732">
        <f t="shared" si="77"/>
        <v>28</v>
      </c>
      <c r="E150" s="35">
        <f t="shared" si="78"/>
        <v>2</v>
      </c>
      <c r="F150" s="889">
        <f t="shared" si="74"/>
        <v>50099</v>
      </c>
      <c r="G150" s="822">
        <f t="shared" si="79"/>
        <v>2</v>
      </c>
      <c r="H150" s="126">
        <f t="shared" si="80"/>
        <v>0</v>
      </c>
      <c r="I150" s="1098">
        <f t="shared" si="75"/>
        <v>0</v>
      </c>
      <c r="J150" s="887">
        <f t="shared" ref="J150:J213" si="93">J149+1</f>
        <v>131</v>
      </c>
      <c r="K150" s="1099">
        <f t="shared" si="86"/>
        <v>105</v>
      </c>
      <c r="L150" s="891" t="str">
        <f t="shared" si="87"/>
        <v>February</v>
      </c>
      <c r="M150" s="888">
        <f t="shared" ref="M150:M213" si="94">IF($V$4="Annual",$M149+$I150,IF($V$4="Bi-Annual",$M149+$I149,IF($V$4="Monthly",$M149+$H149)))</f>
        <v>2037</v>
      </c>
      <c r="N150" s="1284">
        <f t="shared" si="76"/>
        <v>0</v>
      </c>
      <c r="O150" s="1284">
        <f t="shared" ref="O150:O213" si="95">IF($B150&lt;=$M$11,INDEX($AZ$26:$BM$63,MATCH($B150,$AZ$26:$AZ$63,0),MATCH($M$10,$AZ$26:$BM$26,0)),0)</f>
        <v>0</v>
      </c>
      <c r="P150" s="883">
        <f t="shared" ref="P150:P213" si="96">IF(AND($AU$43="Early Payoff",$J150&gt;$U$15),0,IF(AND($AU$43="Early Payoff",$J150&lt;$U$15),SUM(N150,$W149),IF(AND($AU$43="Full-Term",$J150&lt;$U$15),SUM(N150,$W149),IF($J150&gt;$U$8,0,$W149))))</f>
        <v>41669581.300663337</v>
      </c>
      <c r="Q150" s="883">
        <f t="shared" si="88"/>
        <v>-307277.87674628111</v>
      </c>
      <c r="R150" s="1100"/>
      <c r="S150" s="883">
        <f t="shared" si="81"/>
        <v>-96036.249319307273</v>
      </c>
      <c r="T150" s="884">
        <f t="shared" si="89"/>
        <v>-211241.62742697384</v>
      </c>
      <c r="U150" s="884">
        <f>IF(AND($AU$43="Early Payoff",J150&gt;$U$15),0,IF($J150&lt;=$U$8,SUM($S$20:$S150),0))</f>
        <v>-4911454.9486559788</v>
      </c>
      <c r="V150" s="884">
        <f>IF(AND($AU$43="Early Payoff",J150&gt;$U$15),0,IF($J150&lt;=$U$8,SUM($T$20:$T150),0))</f>
        <v>-27251083.373124607</v>
      </c>
      <c r="W150" s="885">
        <f t="shared" si="90"/>
        <v>41573545.05134403</v>
      </c>
      <c r="X150" s="1110">
        <f t="shared" si="91"/>
        <v>41669581.300663337</v>
      </c>
      <c r="Z150" s="1102">
        <f t="shared" si="82"/>
        <v>0</v>
      </c>
      <c r="AA150" s="873">
        <f t="shared" si="83"/>
        <v>0</v>
      </c>
      <c r="AB150" s="873">
        <f t="shared" si="84"/>
        <v>0</v>
      </c>
      <c r="AC150" s="885">
        <f t="shared" si="85"/>
        <v>-307277.87674628111</v>
      </c>
    </row>
    <row r="151" spans="2:29" s="278" customFormat="1" ht="12" customHeight="1" x14ac:dyDescent="0.25">
      <c r="B151" s="1108">
        <f>IF(C151&lt;'Financing Assumptions'!$G$25,0,IF(C151='Financing Assumptions'!$G$25,1,IF(C151&gt;'Financing Assumptions'!$G$25,B150+1)))</f>
        <v>132</v>
      </c>
      <c r="C151" s="1109">
        <f t="shared" si="92"/>
        <v>134</v>
      </c>
      <c r="D151" s="732">
        <f t="shared" si="77"/>
        <v>31</v>
      </c>
      <c r="E151" s="35">
        <f t="shared" si="78"/>
        <v>3</v>
      </c>
      <c r="F151" s="889">
        <f t="shared" ref="F151:F214" si="97">DATE(M151,E151,D151)</f>
        <v>50130</v>
      </c>
      <c r="G151" s="822">
        <f t="shared" si="79"/>
        <v>3</v>
      </c>
      <c r="H151" s="126">
        <f t="shared" si="80"/>
        <v>0</v>
      </c>
      <c r="I151" s="1098">
        <f t="shared" ref="I151:I214" si="98">IF($V$4="Annual",1,IF(AND($V$4="Bi-Annual",$G151&gt;$G152),1,IF(AND($V$4="Bi-Annual",$G151&lt;$G152),0,IF($V$4="Monthly",0,))))</f>
        <v>0</v>
      </c>
      <c r="J151" s="887">
        <f t="shared" si="93"/>
        <v>132</v>
      </c>
      <c r="K151" s="1099">
        <f t="shared" si="86"/>
        <v>106</v>
      </c>
      <c r="L151" s="891" t="str">
        <f t="shared" si="87"/>
        <v>March</v>
      </c>
      <c r="M151" s="888">
        <f t="shared" si="94"/>
        <v>2037</v>
      </c>
      <c r="N151" s="1284">
        <f t="shared" si="76"/>
        <v>0</v>
      </c>
      <c r="O151" s="1284">
        <f t="shared" si="95"/>
        <v>0</v>
      </c>
      <c r="P151" s="883">
        <f t="shared" si="96"/>
        <v>41573545.05134403</v>
      </c>
      <c r="Q151" s="883">
        <f t="shared" si="88"/>
        <v>-307277.87674628111</v>
      </c>
      <c r="R151" s="1100"/>
      <c r="S151" s="883">
        <f t="shared" si="81"/>
        <v>-96523.099749884306</v>
      </c>
      <c r="T151" s="884">
        <f t="shared" si="89"/>
        <v>-210754.7769963968</v>
      </c>
      <c r="U151" s="884">
        <f>IF(AND($AU$43="Early Payoff",J151&gt;$U$15),0,IF($J151&lt;=$U$8,SUM($S$20:$S151),0))</f>
        <v>-5007978.0484058633</v>
      </c>
      <c r="V151" s="884">
        <f>IF(AND($AU$43="Early Payoff",J151&gt;$U$15),0,IF($J151&lt;=$U$8,SUM($T$20:$T151),0))</f>
        <v>-27461838.150121003</v>
      </c>
      <c r="W151" s="885">
        <f t="shared" si="90"/>
        <v>41477021.951594144</v>
      </c>
      <c r="X151" s="1110">
        <f t="shared" si="91"/>
        <v>41573545.05134403</v>
      </c>
      <c r="Z151" s="1102">
        <f t="shared" si="82"/>
        <v>0</v>
      </c>
      <c r="AA151" s="873">
        <f t="shared" si="83"/>
        <v>0</v>
      </c>
      <c r="AB151" s="873">
        <f t="shared" si="84"/>
        <v>0</v>
      </c>
      <c r="AC151" s="885">
        <f t="shared" si="85"/>
        <v>-307277.87674628111</v>
      </c>
    </row>
    <row r="152" spans="2:29" s="278" customFormat="1" ht="12" customHeight="1" x14ac:dyDescent="0.25">
      <c r="B152" s="1108">
        <f>IF(C152&lt;'Financing Assumptions'!$G$25,0,IF(C152='Financing Assumptions'!$G$25,1,IF(C152&gt;'Financing Assumptions'!$G$25,B151+1)))</f>
        <v>133</v>
      </c>
      <c r="C152" s="1109">
        <f t="shared" si="92"/>
        <v>135</v>
      </c>
      <c r="D152" s="732">
        <f t="shared" si="77"/>
        <v>30</v>
      </c>
      <c r="E152" s="35">
        <f t="shared" si="78"/>
        <v>4</v>
      </c>
      <c r="F152" s="889">
        <f t="shared" si="97"/>
        <v>50160</v>
      </c>
      <c r="G152" s="822">
        <f t="shared" si="79"/>
        <v>4</v>
      </c>
      <c r="H152" s="126">
        <f t="shared" si="80"/>
        <v>0</v>
      </c>
      <c r="I152" s="1098">
        <f t="shared" si="98"/>
        <v>0</v>
      </c>
      <c r="J152" s="887">
        <f t="shared" si="93"/>
        <v>133</v>
      </c>
      <c r="K152" s="1099">
        <f t="shared" si="86"/>
        <v>107</v>
      </c>
      <c r="L152" s="891" t="str">
        <f t="shared" si="87"/>
        <v>April</v>
      </c>
      <c r="M152" s="888">
        <f t="shared" si="94"/>
        <v>2037</v>
      </c>
      <c r="N152" s="1284">
        <f t="shared" si="76"/>
        <v>0</v>
      </c>
      <c r="O152" s="1284">
        <f t="shared" si="95"/>
        <v>0</v>
      </c>
      <c r="P152" s="883">
        <f t="shared" si="96"/>
        <v>41477021.951594144</v>
      </c>
      <c r="Q152" s="883">
        <f t="shared" si="88"/>
        <v>-307277.87674628111</v>
      </c>
      <c r="R152" s="1100"/>
      <c r="S152" s="883">
        <f t="shared" si="81"/>
        <v>-97012.418241671927</v>
      </c>
      <c r="T152" s="884">
        <f t="shared" si="89"/>
        <v>-210265.45850460918</v>
      </c>
      <c r="U152" s="884">
        <f>IF(AND($AU$43="Early Payoff",J152&gt;$U$15),0,IF($J152&lt;=$U$8,SUM($S$20:$S152),0))</f>
        <v>-5104990.4666475356</v>
      </c>
      <c r="V152" s="884">
        <f>IF(AND($AU$43="Early Payoff",J152&gt;$U$15),0,IF($J152&lt;=$U$8,SUM($T$20:$T152),0))</f>
        <v>-27672103.608625613</v>
      </c>
      <c r="W152" s="885">
        <f t="shared" si="90"/>
        <v>41380009.533352472</v>
      </c>
      <c r="X152" s="1110">
        <f t="shared" si="91"/>
        <v>41477021.951594144</v>
      </c>
      <c r="Z152" s="1102">
        <f t="shared" si="82"/>
        <v>0</v>
      </c>
      <c r="AA152" s="873">
        <f t="shared" si="83"/>
        <v>0</v>
      </c>
      <c r="AB152" s="873">
        <f t="shared" si="84"/>
        <v>0</v>
      </c>
      <c r="AC152" s="885">
        <f t="shared" si="85"/>
        <v>-307277.87674628111</v>
      </c>
    </row>
    <row r="153" spans="2:29" s="278" customFormat="1" ht="12" customHeight="1" x14ac:dyDescent="0.25">
      <c r="B153" s="1108">
        <f>IF(C153&lt;'Financing Assumptions'!$G$25,0,IF(C153='Financing Assumptions'!$G$25,1,IF(C153&gt;'Financing Assumptions'!$G$25,B152+1)))</f>
        <v>134</v>
      </c>
      <c r="C153" s="1109">
        <f t="shared" si="92"/>
        <v>136</v>
      </c>
      <c r="D153" s="732">
        <f t="shared" si="77"/>
        <v>31</v>
      </c>
      <c r="E153" s="35">
        <f t="shared" si="78"/>
        <v>5</v>
      </c>
      <c r="F153" s="889">
        <f t="shared" si="97"/>
        <v>50191</v>
      </c>
      <c r="G153" s="822">
        <f t="shared" si="79"/>
        <v>5</v>
      </c>
      <c r="H153" s="126">
        <f t="shared" si="80"/>
        <v>0</v>
      </c>
      <c r="I153" s="1098">
        <f t="shared" si="98"/>
        <v>0</v>
      </c>
      <c r="J153" s="887">
        <f t="shared" si="93"/>
        <v>134</v>
      </c>
      <c r="K153" s="1099">
        <f t="shared" si="86"/>
        <v>108</v>
      </c>
      <c r="L153" s="891" t="str">
        <f t="shared" si="87"/>
        <v>May</v>
      </c>
      <c r="M153" s="888">
        <f t="shared" si="94"/>
        <v>2037</v>
      </c>
      <c r="N153" s="1284">
        <f t="shared" si="76"/>
        <v>0</v>
      </c>
      <c r="O153" s="1284">
        <f t="shared" si="95"/>
        <v>0</v>
      </c>
      <c r="P153" s="883">
        <f t="shared" si="96"/>
        <v>41380009.533352472</v>
      </c>
      <c r="Q153" s="883">
        <f t="shared" si="88"/>
        <v>-307277.87674628111</v>
      </c>
      <c r="R153" s="1100"/>
      <c r="S153" s="883">
        <f t="shared" si="81"/>
        <v>-97504.217306369275</v>
      </c>
      <c r="T153" s="884">
        <f t="shared" si="89"/>
        <v>-209773.65943991183</v>
      </c>
      <c r="U153" s="884">
        <f>IF(AND($AU$43="Early Payoff",J153&gt;$U$15),0,IF($J153&lt;=$U$8,SUM($S$20:$S153),0))</f>
        <v>-5202494.6839539045</v>
      </c>
      <c r="V153" s="884">
        <f>IF(AND($AU$43="Early Payoff",J153&gt;$U$15),0,IF($J153&lt;=$U$8,SUM($T$20:$T153),0))</f>
        <v>-27881877.268065523</v>
      </c>
      <c r="W153" s="885">
        <f t="shared" si="90"/>
        <v>41282505.316046104</v>
      </c>
      <c r="X153" s="1110">
        <f t="shared" si="91"/>
        <v>41380009.533352472</v>
      </c>
      <c r="Z153" s="1102">
        <f t="shared" si="82"/>
        <v>0</v>
      </c>
      <c r="AA153" s="873">
        <f t="shared" si="83"/>
        <v>0</v>
      </c>
      <c r="AB153" s="873">
        <f t="shared" si="84"/>
        <v>0</v>
      </c>
      <c r="AC153" s="885">
        <f t="shared" si="85"/>
        <v>-307277.87674628111</v>
      </c>
    </row>
    <row r="154" spans="2:29" s="278" customFormat="1" ht="12" customHeight="1" x14ac:dyDescent="0.25">
      <c r="B154" s="1108">
        <f>IF(C154&lt;'Financing Assumptions'!$G$25,0,IF(C154='Financing Assumptions'!$G$25,1,IF(C154&gt;'Financing Assumptions'!$G$25,B153+1)))</f>
        <v>135</v>
      </c>
      <c r="C154" s="1109">
        <f t="shared" si="92"/>
        <v>137</v>
      </c>
      <c r="D154" s="732">
        <f t="shared" si="77"/>
        <v>30</v>
      </c>
      <c r="E154" s="35">
        <f t="shared" si="78"/>
        <v>6</v>
      </c>
      <c r="F154" s="889">
        <f t="shared" si="97"/>
        <v>50221</v>
      </c>
      <c r="G154" s="822">
        <f t="shared" si="79"/>
        <v>6</v>
      </c>
      <c r="H154" s="126">
        <f t="shared" si="80"/>
        <v>0</v>
      </c>
      <c r="I154" s="1098">
        <f t="shared" si="98"/>
        <v>0</v>
      </c>
      <c r="J154" s="887">
        <f t="shared" si="93"/>
        <v>135</v>
      </c>
      <c r="K154" s="1099">
        <f t="shared" si="86"/>
        <v>109</v>
      </c>
      <c r="L154" s="891" t="str">
        <f t="shared" si="87"/>
        <v>June</v>
      </c>
      <c r="M154" s="888">
        <f t="shared" si="94"/>
        <v>2037</v>
      </c>
      <c r="N154" s="1284">
        <f t="shared" ref="N154:N217" si="99">IF(B154=0,0,IF($B154&lt;=$M$11,INDEX($AZ$26:$BM$63,MATCH($B154,$AZ$26:$AZ$63,0),MATCH($M$10,$AZ$27:$BM$27,0)),0))</f>
        <v>0</v>
      </c>
      <c r="O154" s="1284">
        <f t="shared" si="95"/>
        <v>0</v>
      </c>
      <c r="P154" s="883">
        <f t="shared" si="96"/>
        <v>41282505.316046104</v>
      </c>
      <c r="Q154" s="883">
        <f t="shared" si="88"/>
        <v>-307277.87674628111</v>
      </c>
      <c r="R154" s="1100"/>
      <c r="S154" s="883">
        <f t="shared" si="81"/>
        <v>-97998.509519102954</v>
      </c>
      <c r="T154" s="884">
        <f t="shared" si="89"/>
        <v>-209279.36722717815</v>
      </c>
      <c r="U154" s="884">
        <f>IF(AND($AU$43="Early Payoff",J154&gt;$U$15),0,IF($J154&lt;=$U$8,SUM($S$20:$S154),0))</f>
        <v>-5300493.1934730075</v>
      </c>
      <c r="V154" s="884">
        <f>IF(AND($AU$43="Early Payoff",J154&gt;$U$15),0,IF($J154&lt;=$U$8,SUM($T$20:$T154),0))</f>
        <v>-28091156.635292701</v>
      </c>
      <c r="W154" s="885">
        <f t="shared" si="90"/>
        <v>41184506.806527004</v>
      </c>
      <c r="X154" s="1110">
        <f t="shared" si="91"/>
        <v>41282505.316046104</v>
      </c>
      <c r="Z154" s="1102">
        <f t="shared" si="82"/>
        <v>0</v>
      </c>
      <c r="AA154" s="873">
        <f t="shared" si="83"/>
        <v>0</v>
      </c>
      <c r="AB154" s="873">
        <f t="shared" si="84"/>
        <v>0</v>
      </c>
      <c r="AC154" s="885">
        <f t="shared" si="85"/>
        <v>-307277.87674628111</v>
      </c>
    </row>
    <row r="155" spans="2:29" s="278" customFormat="1" ht="12" customHeight="1" x14ac:dyDescent="0.25">
      <c r="B155" s="1108">
        <f>IF(C155&lt;'Financing Assumptions'!$G$25,0,IF(C155='Financing Assumptions'!$G$25,1,IF(C155&gt;'Financing Assumptions'!$G$25,B154+1)))</f>
        <v>136</v>
      </c>
      <c r="C155" s="1109">
        <f t="shared" si="92"/>
        <v>138</v>
      </c>
      <c r="D155" s="732">
        <f t="shared" si="77"/>
        <v>31</v>
      </c>
      <c r="E155" s="35">
        <f t="shared" si="78"/>
        <v>7</v>
      </c>
      <c r="F155" s="889">
        <f t="shared" si="97"/>
        <v>50252</v>
      </c>
      <c r="G155" s="822">
        <f t="shared" si="79"/>
        <v>7</v>
      </c>
      <c r="H155" s="126">
        <f t="shared" si="80"/>
        <v>0</v>
      </c>
      <c r="I155" s="1098">
        <f t="shared" si="98"/>
        <v>0</v>
      </c>
      <c r="J155" s="887">
        <f t="shared" si="93"/>
        <v>136</v>
      </c>
      <c r="K155" s="1099">
        <f t="shared" si="86"/>
        <v>110</v>
      </c>
      <c r="L155" s="891" t="str">
        <f t="shared" si="87"/>
        <v>July</v>
      </c>
      <c r="M155" s="888">
        <f t="shared" si="94"/>
        <v>2037</v>
      </c>
      <c r="N155" s="1284">
        <f t="shared" si="99"/>
        <v>0</v>
      </c>
      <c r="O155" s="1284">
        <f t="shared" si="95"/>
        <v>0</v>
      </c>
      <c r="P155" s="883">
        <f t="shared" si="96"/>
        <v>41184506.806527004</v>
      </c>
      <c r="Q155" s="883">
        <f t="shared" si="88"/>
        <v>-307277.87674628111</v>
      </c>
      <c r="R155" s="1100"/>
      <c r="S155" s="883">
        <f t="shared" si="81"/>
        <v>-98495.307518748392</v>
      </c>
      <c r="T155" s="884">
        <f t="shared" si="89"/>
        <v>-208782.56922753272</v>
      </c>
      <c r="U155" s="884">
        <f>IF(AND($AU$43="Early Payoff",J155&gt;$U$15),0,IF($J155&lt;=$U$8,SUM($S$20:$S155),0))</f>
        <v>-5398988.5009917561</v>
      </c>
      <c r="V155" s="884">
        <f>IF(AND($AU$43="Early Payoff",J155&gt;$U$15),0,IF($J155&lt;=$U$8,SUM($T$20:$T155),0))</f>
        <v>-28299939.204520233</v>
      </c>
      <c r="W155" s="885">
        <f t="shared" si="90"/>
        <v>41086011.499008253</v>
      </c>
      <c r="X155" s="1110">
        <f t="shared" si="91"/>
        <v>41184506.806527004</v>
      </c>
      <c r="Z155" s="1102">
        <f t="shared" si="82"/>
        <v>0</v>
      </c>
      <c r="AA155" s="873">
        <f t="shared" si="83"/>
        <v>0</v>
      </c>
      <c r="AB155" s="873">
        <f t="shared" si="84"/>
        <v>0</v>
      </c>
      <c r="AC155" s="885">
        <f t="shared" si="85"/>
        <v>-307277.87674628111</v>
      </c>
    </row>
    <row r="156" spans="2:29" s="278" customFormat="1" ht="12" customHeight="1" x14ac:dyDescent="0.25">
      <c r="B156" s="1108">
        <f>IF(C156&lt;'Financing Assumptions'!$G$25,0,IF(C156='Financing Assumptions'!$G$25,1,IF(C156&gt;'Financing Assumptions'!$G$25,B155+1)))</f>
        <v>137</v>
      </c>
      <c r="C156" s="1109">
        <f t="shared" si="92"/>
        <v>139</v>
      </c>
      <c r="D156" s="732">
        <f t="shared" si="77"/>
        <v>31</v>
      </c>
      <c r="E156" s="35">
        <f t="shared" si="78"/>
        <v>8</v>
      </c>
      <c r="F156" s="889">
        <f t="shared" si="97"/>
        <v>50283</v>
      </c>
      <c r="G156" s="822">
        <f t="shared" si="79"/>
        <v>8</v>
      </c>
      <c r="H156" s="126">
        <f t="shared" si="80"/>
        <v>0</v>
      </c>
      <c r="I156" s="1098">
        <f t="shared" si="98"/>
        <v>0</v>
      </c>
      <c r="J156" s="887">
        <f t="shared" si="93"/>
        <v>137</v>
      </c>
      <c r="K156" s="1099">
        <f t="shared" si="86"/>
        <v>111</v>
      </c>
      <c r="L156" s="891" t="str">
        <f t="shared" si="87"/>
        <v>August</v>
      </c>
      <c r="M156" s="888">
        <f t="shared" si="94"/>
        <v>2037</v>
      </c>
      <c r="N156" s="1284">
        <f t="shared" si="99"/>
        <v>0</v>
      </c>
      <c r="O156" s="1284">
        <f t="shared" si="95"/>
        <v>0</v>
      </c>
      <c r="P156" s="883">
        <f t="shared" si="96"/>
        <v>41086011.499008253</v>
      </c>
      <c r="Q156" s="883">
        <f t="shared" si="88"/>
        <v>-307277.87674628111</v>
      </c>
      <c r="R156" s="1100"/>
      <c r="S156" s="883">
        <f t="shared" si="81"/>
        <v>-98994.624008253159</v>
      </c>
      <c r="T156" s="884">
        <f t="shared" si="89"/>
        <v>-208283.25273802795</v>
      </c>
      <c r="U156" s="884">
        <f>IF(AND($AU$43="Early Payoff",J156&gt;$U$15),0,IF($J156&lt;=$U$8,SUM($S$20:$S156),0))</f>
        <v>-5497983.1250000093</v>
      </c>
      <c r="V156" s="884">
        <f>IF(AND($AU$43="Early Payoff",J156&gt;$U$15),0,IF($J156&lt;=$U$8,SUM($T$20:$T156),0))</f>
        <v>-28508222.457258262</v>
      </c>
      <c r="W156" s="885">
        <f t="shared" si="90"/>
        <v>40987016.875</v>
      </c>
      <c r="X156" s="1110">
        <f t="shared" si="91"/>
        <v>41086011.499008253</v>
      </c>
      <c r="Z156" s="1102">
        <f t="shared" si="82"/>
        <v>0</v>
      </c>
      <c r="AA156" s="873">
        <f t="shared" si="83"/>
        <v>0</v>
      </c>
      <c r="AB156" s="873">
        <f t="shared" si="84"/>
        <v>0</v>
      </c>
      <c r="AC156" s="885">
        <f t="shared" si="85"/>
        <v>-307277.87674628111</v>
      </c>
    </row>
    <row r="157" spans="2:29" s="278" customFormat="1" ht="12" customHeight="1" x14ac:dyDescent="0.25">
      <c r="B157" s="1108">
        <f>IF(C157&lt;'Financing Assumptions'!$G$25,0,IF(C157='Financing Assumptions'!$G$25,1,IF(C157&gt;'Financing Assumptions'!$G$25,B156+1)))</f>
        <v>138</v>
      </c>
      <c r="C157" s="1109">
        <f t="shared" si="92"/>
        <v>140</v>
      </c>
      <c r="D157" s="732">
        <f t="shared" si="77"/>
        <v>30</v>
      </c>
      <c r="E157" s="35">
        <f t="shared" si="78"/>
        <v>9</v>
      </c>
      <c r="F157" s="889">
        <f t="shared" si="97"/>
        <v>50313</v>
      </c>
      <c r="G157" s="822">
        <f t="shared" si="79"/>
        <v>9</v>
      </c>
      <c r="H157" s="126">
        <f t="shared" si="80"/>
        <v>0</v>
      </c>
      <c r="I157" s="1098">
        <f t="shared" si="98"/>
        <v>0</v>
      </c>
      <c r="J157" s="887">
        <f t="shared" si="93"/>
        <v>138</v>
      </c>
      <c r="K157" s="1099">
        <f t="shared" si="86"/>
        <v>112</v>
      </c>
      <c r="L157" s="891" t="str">
        <f t="shared" si="87"/>
        <v>September</v>
      </c>
      <c r="M157" s="888">
        <f t="shared" si="94"/>
        <v>2037</v>
      </c>
      <c r="N157" s="1284">
        <f t="shared" si="99"/>
        <v>0</v>
      </c>
      <c r="O157" s="1284">
        <f t="shared" si="95"/>
        <v>0</v>
      </c>
      <c r="P157" s="883">
        <f t="shared" si="96"/>
        <v>40987016.875</v>
      </c>
      <c r="Q157" s="883">
        <f t="shared" si="88"/>
        <v>-307277.87674628111</v>
      </c>
      <c r="R157" s="1100"/>
      <c r="S157" s="883">
        <f t="shared" si="81"/>
        <v>-99496.471754961676</v>
      </c>
      <c r="T157" s="884">
        <f t="shared" si="89"/>
        <v>-207781.40499131943</v>
      </c>
      <c r="U157" s="884">
        <f>IF(AND($AU$43="Early Payoff",J157&gt;$U$15),0,IF($J157&lt;=$U$8,SUM($S$20:$S157),0))</f>
        <v>-5597479.596754971</v>
      </c>
      <c r="V157" s="884">
        <f>IF(AND($AU$43="Early Payoff",J157&gt;$U$15),0,IF($J157&lt;=$U$8,SUM($T$20:$T157),0))</f>
        <v>-28716003.862249583</v>
      </c>
      <c r="W157" s="885">
        <f t="shared" si="90"/>
        <v>40887520.403245039</v>
      </c>
      <c r="X157" s="1110">
        <f t="shared" si="91"/>
        <v>40987016.875</v>
      </c>
      <c r="Z157" s="1102">
        <f t="shared" si="82"/>
        <v>0</v>
      </c>
      <c r="AA157" s="873">
        <f t="shared" si="83"/>
        <v>0</v>
      </c>
      <c r="AB157" s="873">
        <f t="shared" si="84"/>
        <v>0</v>
      </c>
      <c r="AC157" s="885">
        <f t="shared" si="85"/>
        <v>-307277.87674628111</v>
      </c>
    </row>
    <row r="158" spans="2:29" s="278" customFormat="1" ht="12" customHeight="1" x14ac:dyDescent="0.25">
      <c r="B158" s="1108">
        <f>IF(C158&lt;'Financing Assumptions'!$G$25,0,IF(C158='Financing Assumptions'!$G$25,1,IF(C158&gt;'Financing Assumptions'!$G$25,B157+1)))</f>
        <v>139</v>
      </c>
      <c r="C158" s="1109">
        <f t="shared" si="92"/>
        <v>141</v>
      </c>
      <c r="D158" s="732">
        <f t="shared" si="77"/>
        <v>31</v>
      </c>
      <c r="E158" s="35">
        <f t="shared" si="78"/>
        <v>10</v>
      </c>
      <c r="F158" s="889">
        <f t="shared" si="97"/>
        <v>50344</v>
      </c>
      <c r="G158" s="822">
        <f t="shared" si="79"/>
        <v>10</v>
      </c>
      <c r="H158" s="126">
        <f t="shared" si="80"/>
        <v>0</v>
      </c>
      <c r="I158" s="1098">
        <f t="shared" si="98"/>
        <v>0</v>
      </c>
      <c r="J158" s="887">
        <f t="shared" si="93"/>
        <v>139</v>
      </c>
      <c r="K158" s="1099">
        <f t="shared" si="86"/>
        <v>113</v>
      </c>
      <c r="L158" s="891" t="str">
        <f t="shared" si="87"/>
        <v>October</v>
      </c>
      <c r="M158" s="888">
        <f t="shared" si="94"/>
        <v>2037</v>
      </c>
      <c r="N158" s="1284">
        <f t="shared" si="99"/>
        <v>0</v>
      </c>
      <c r="O158" s="1284">
        <f t="shared" si="95"/>
        <v>0</v>
      </c>
      <c r="P158" s="883">
        <f t="shared" si="96"/>
        <v>40887520.403245039</v>
      </c>
      <c r="Q158" s="883">
        <f t="shared" si="88"/>
        <v>-307277.87674628111</v>
      </c>
      <c r="R158" s="1100"/>
      <c r="S158" s="883">
        <f t="shared" si="81"/>
        <v>-100000.86359094168</v>
      </c>
      <c r="T158" s="884">
        <f t="shared" si="89"/>
        <v>-207277.01315533943</v>
      </c>
      <c r="U158" s="884">
        <f>IF(AND($AU$43="Early Payoff",J158&gt;$U$15),0,IF($J158&lt;=$U$8,SUM($S$20:$S158),0))</f>
        <v>-5697480.4603459127</v>
      </c>
      <c r="V158" s="884">
        <f>IF(AND($AU$43="Early Payoff",J158&gt;$U$15),0,IF($J158&lt;=$U$8,SUM($T$20:$T158),0))</f>
        <v>-28923280.875404924</v>
      </c>
      <c r="W158" s="885">
        <f t="shared" si="90"/>
        <v>40787519.539654098</v>
      </c>
      <c r="X158" s="1110">
        <f t="shared" si="91"/>
        <v>40887520.403245039</v>
      </c>
      <c r="Z158" s="1102">
        <f t="shared" si="82"/>
        <v>0</v>
      </c>
      <c r="AA158" s="873">
        <f t="shared" si="83"/>
        <v>0</v>
      </c>
      <c r="AB158" s="873">
        <f t="shared" si="84"/>
        <v>0</v>
      </c>
      <c r="AC158" s="885">
        <f t="shared" si="85"/>
        <v>-307277.87674628111</v>
      </c>
    </row>
    <row r="159" spans="2:29" s="278" customFormat="1" ht="12" customHeight="1" x14ac:dyDescent="0.25">
      <c r="B159" s="1108">
        <f>IF(C159&lt;'Financing Assumptions'!$G$25,0,IF(C159='Financing Assumptions'!$G$25,1,IF(C159&gt;'Financing Assumptions'!$G$25,B158+1)))</f>
        <v>140</v>
      </c>
      <c r="C159" s="1109">
        <f t="shared" si="92"/>
        <v>142</v>
      </c>
      <c r="D159" s="732">
        <f t="shared" si="77"/>
        <v>30</v>
      </c>
      <c r="E159" s="35">
        <f t="shared" si="78"/>
        <v>11</v>
      </c>
      <c r="F159" s="889">
        <f t="shared" si="97"/>
        <v>50374</v>
      </c>
      <c r="G159" s="822">
        <f t="shared" si="79"/>
        <v>11</v>
      </c>
      <c r="H159" s="126">
        <f t="shared" si="80"/>
        <v>0</v>
      </c>
      <c r="I159" s="1098">
        <f t="shared" si="98"/>
        <v>0</v>
      </c>
      <c r="J159" s="887">
        <f t="shared" si="93"/>
        <v>140</v>
      </c>
      <c r="K159" s="1099">
        <f t="shared" si="86"/>
        <v>114</v>
      </c>
      <c r="L159" s="891" t="str">
        <f t="shared" si="87"/>
        <v>November</v>
      </c>
      <c r="M159" s="888">
        <f t="shared" si="94"/>
        <v>2037</v>
      </c>
      <c r="N159" s="1284">
        <f t="shared" si="99"/>
        <v>0</v>
      </c>
      <c r="O159" s="1284">
        <f t="shared" si="95"/>
        <v>0</v>
      </c>
      <c r="P159" s="883">
        <f t="shared" si="96"/>
        <v>40787519.539654098</v>
      </c>
      <c r="Q159" s="883">
        <f t="shared" si="88"/>
        <v>-307277.87674628111</v>
      </c>
      <c r="R159" s="1100"/>
      <c r="S159" s="883">
        <f t="shared" si="81"/>
        <v>-100507.81241331244</v>
      </c>
      <c r="T159" s="884">
        <f t="shared" si="89"/>
        <v>-206770.06433296867</v>
      </c>
      <c r="U159" s="884">
        <f>IF(AND($AU$43="Early Payoff",J159&gt;$U$15),0,IF($J159&lt;=$U$8,SUM($S$20:$S159),0))</f>
        <v>-5797988.2727592252</v>
      </c>
      <c r="V159" s="884">
        <f>IF(AND($AU$43="Early Payoff",J159&gt;$U$15),0,IF($J159&lt;=$U$8,SUM($T$20:$T159),0))</f>
        <v>-29130050.939737894</v>
      </c>
      <c r="W159" s="885">
        <f t="shared" si="90"/>
        <v>40687011.727240786</v>
      </c>
      <c r="X159" s="1110">
        <f t="shared" si="91"/>
        <v>40787519.539654098</v>
      </c>
      <c r="Z159" s="1102">
        <f t="shared" si="82"/>
        <v>0</v>
      </c>
      <c r="AA159" s="873">
        <f t="shared" si="83"/>
        <v>0</v>
      </c>
      <c r="AB159" s="873">
        <f t="shared" si="84"/>
        <v>0</v>
      </c>
      <c r="AC159" s="885">
        <f t="shared" si="85"/>
        <v>-307277.87674628111</v>
      </c>
    </row>
    <row r="160" spans="2:29" s="278" customFormat="1" ht="12" customHeight="1" x14ac:dyDescent="0.25">
      <c r="B160" s="1108">
        <f>IF(C160&lt;'Financing Assumptions'!$G$25,0,IF(C160='Financing Assumptions'!$G$25,1,IF(C160&gt;'Financing Assumptions'!$G$25,B159+1)))</f>
        <v>141</v>
      </c>
      <c r="C160" s="1109">
        <f t="shared" si="92"/>
        <v>143</v>
      </c>
      <c r="D160" s="732">
        <f t="shared" si="77"/>
        <v>31</v>
      </c>
      <c r="E160" s="35">
        <f t="shared" si="78"/>
        <v>12</v>
      </c>
      <c r="F160" s="889">
        <f t="shared" si="97"/>
        <v>50405</v>
      </c>
      <c r="G160" s="822">
        <f t="shared" si="79"/>
        <v>12</v>
      </c>
      <c r="H160" s="126">
        <f t="shared" si="80"/>
        <v>1</v>
      </c>
      <c r="I160" s="1098">
        <f t="shared" si="98"/>
        <v>0</v>
      </c>
      <c r="J160" s="887">
        <f t="shared" si="93"/>
        <v>141</v>
      </c>
      <c r="K160" s="1099">
        <f t="shared" si="86"/>
        <v>115</v>
      </c>
      <c r="L160" s="891" t="str">
        <f t="shared" si="87"/>
        <v>December</v>
      </c>
      <c r="M160" s="888">
        <f t="shared" si="94"/>
        <v>2037</v>
      </c>
      <c r="N160" s="1284">
        <f t="shared" si="99"/>
        <v>0</v>
      </c>
      <c r="O160" s="1284">
        <f t="shared" si="95"/>
        <v>0</v>
      </c>
      <c r="P160" s="883">
        <f t="shared" si="96"/>
        <v>40687011.727240786</v>
      </c>
      <c r="Q160" s="883">
        <f t="shared" si="88"/>
        <v>-307277.87674628111</v>
      </c>
      <c r="R160" s="1100"/>
      <c r="S160" s="883">
        <f t="shared" si="81"/>
        <v>-101017.33118457434</v>
      </c>
      <c r="T160" s="884">
        <f t="shared" si="89"/>
        <v>-206260.54556170676</v>
      </c>
      <c r="U160" s="884">
        <f>IF(AND($AU$43="Early Payoff",J160&gt;$U$15),0,IF($J160&lt;=$U$8,SUM($S$20:$S160),0))</f>
        <v>-5899005.6039437996</v>
      </c>
      <c r="V160" s="884">
        <f>IF(AND($AU$43="Early Payoff",J160&gt;$U$15),0,IF($J160&lt;=$U$8,SUM($T$20:$T160),0))</f>
        <v>-29336311.485299602</v>
      </c>
      <c r="W160" s="885">
        <f t="shared" si="90"/>
        <v>40585994.396056212</v>
      </c>
      <c r="X160" s="1110">
        <f t="shared" si="91"/>
        <v>40687011.727240786</v>
      </c>
      <c r="Z160" s="1102">
        <f t="shared" si="82"/>
        <v>0</v>
      </c>
      <c r="AA160" s="873">
        <f t="shared" si="83"/>
        <v>0</v>
      </c>
      <c r="AB160" s="873">
        <f t="shared" si="84"/>
        <v>0</v>
      </c>
      <c r="AC160" s="885">
        <f t="shared" si="85"/>
        <v>-307277.87674628111</v>
      </c>
    </row>
    <row r="161" spans="2:29" s="278" customFormat="1" ht="12" customHeight="1" x14ac:dyDescent="0.25">
      <c r="B161" s="1108">
        <f>IF(C161&lt;'Financing Assumptions'!$G$25,0,IF(C161='Financing Assumptions'!$G$25,1,IF(C161&gt;'Financing Assumptions'!$G$25,B160+1)))</f>
        <v>142</v>
      </c>
      <c r="C161" s="1109">
        <f t="shared" si="92"/>
        <v>144</v>
      </c>
      <c r="D161" s="732">
        <f t="shared" si="77"/>
        <v>31</v>
      </c>
      <c r="E161" s="35">
        <f t="shared" si="78"/>
        <v>1</v>
      </c>
      <c r="F161" s="889">
        <f t="shared" si="97"/>
        <v>50436</v>
      </c>
      <c r="G161" s="822">
        <f t="shared" si="79"/>
        <v>1</v>
      </c>
      <c r="H161" s="126">
        <f t="shared" si="80"/>
        <v>0</v>
      </c>
      <c r="I161" s="1098">
        <f t="shared" si="98"/>
        <v>0</v>
      </c>
      <c r="J161" s="887">
        <f t="shared" si="93"/>
        <v>142</v>
      </c>
      <c r="K161" s="1099">
        <f t="shared" si="86"/>
        <v>116</v>
      </c>
      <c r="L161" s="891" t="str">
        <f t="shared" si="87"/>
        <v>January</v>
      </c>
      <c r="M161" s="888">
        <f t="shared" si="94"/>
        <v>2038</v>
      </c>
      <c r="N161" s="1284">
        <f t="shared" si="99"/>
        <v>0</v>
      </c>
      <c r="O161" s="1284">
        <f t="shared" si="95"/>
        <v>0</v>
      </c>
      <c r="P161" s="883">
        <f t="shared" si="96"/>
        <v>40585994.396056212</v>
      </c>
      <c r="Q161" s="883">
        <f t="shared" si="88"/>
        <v>-307277.87674628111</v>
      </c>
      <c r="R161" s="1100"/>
      <c r="S161" s="883">
        <f t="shared" si="81"/>
        <v>-101529.4329329406</v>
      </c>
      <c r="T161" s="884">
        <f t="shared" si="89"/>
        <v>-205748.44381334051</v>
      </c>
      <c r="U161" s="884">
        <f>IF(AND($AU$43="Early Payoff",J161&gt;$U$15),0,IF($J161&lt;=$U$8,SUM($S$20:$S161),0))</f>
        <v>-6000535.0368767399</v>
      </c>
      <c r="V161" s="884">
        <f>IF(AND($AU$43="Early Payoff",J161&gt;$U$15),0,IF($J161&lt;=$U$8,SUM($T$20:$T161),0))</f>
        <v>-29542059.929112941</v>
      </c>
      <c r="W161" s="885">
        <f t="shared" si="90"/>
        <v>40484464.963123269</v>
      </c>
      <c r="X161" s="1110">
        <f t="shared" si="91"/>
        <v>40585994.396056212</v>
      </c>
      <c r="Z161" s="1102">
        <f t="shared" si="82"/>
        <v>0</v>
      </c>
      <c r="AA161" s="873">
        <f t="shared" si="83"/>
        <v>0</v>
      </c>
      <c r="AB161" s="873">
        <f t="shared" si="84"/>
        <v>0</v>
      </c>
      <c r="AC161" s="885">
        <f t="shared" si="85"/>
        <v>-307277.87674628111</v>
      </c>
    </row>
    <row r="162" spans="2:29" s="278" customFormat="1" ht="12" customHeight="1" x14ac:dyDescent="0.25">
      <c r="B162" s="1108">
        <f>IF(C162&lt;'Financing Assumptions'!$G$25,0,IF(C162='Financing Assumptions'!$G$25,1,IF(C162&gt;'Financing Assumptions'!$G$25,B161+1)))</f>
        <v>143</v>
      </c>
      <c r="C162" s="1109">
        <f t="shared" si="92"/>
        <v>145</v>
      </c>
      <c r="D162" s="732">
        <f t="shared" si="77"/>
        <v>28</v>
      </c>
      <c r="E162" s="35">
        <f t="shared" si="78"/>
        <v>2</v>
      </c>
      <c r="F162" s="889">
        <f t="shared" si="97"/>
        <v>50464</v>
      </c>
      <c r="G162" s="822">
        <f t="shared" si="79"/>
        <v>2</v>
      </c>
      <c r="H162" s="126">
        <f t="shared" si="80"/>
        <v>0</v>
      </c>
      <c r="I162" s="1098">
        <f t="shared" si="98"/>
        <v>0</v>
      </c>
      <c r="J162" s="887">
        <f t="shared" si="93"/>
        <v>143</v>
      </c>
      <c r="K162" s="1099">
        <f t="shared" si="86"/>
        <v>117</v>
      </c>
      <c r="L162" s="891" t="str">
        <f t="shared" si="87"/>
        <v>February</v>
      </c>
      <c r="M162" s="888">
        <f t="shared" si="94"/>
        <v>2038</v>
      </c>
      <c r="N162" s="1284">
        <f t="shared" si="99"/>
        <v>0</v>
      </c>
      <c r="O162" s="1284">
        <f t="shared" si="95"/>
        <v>0</v>
      </c>
      <c r="P162" s="883">
        <f t="shared" si="96"/>
        <v>40484464.963123269</v>
      </c>
      <c r="Q162" s="883">
        <f t="shared" si="88"/>
        <v>-307277.87674628111</v>
      </c>
      <c r="R162" s="1100"/>
      <c r="S162" s="883">
        <f t="shared" si="81"/>
        <v>-102044.13075267011</v>
      </c>
      <c r="T162" s="884">
        <f t="shared" si="89"/>
        <v>-205233.745993611</v>
      </c>
      <c r="U162" s="884">
        <f>IF(AND($AU$43="Early Payoff",J162&gt;$U$15),0,IF($J162&lt;=$U$8,SUM($S$20:$S162),0))</f>
        <v>-6102579.1676294096</v>
      </c>
      <c r="V162" s="884">
        <f>IF(AND($AU$43="Early Payoff",J162&gt;$U$15),0,IF($J162&lt;=$U$8,SUM($T$20:$T162),0))</f>
        <v>-29747293.675106551</v>
      </c>
      <c r="W162" s="885">
        <f t="shared" si="90"/>
        <v>40382420.832370602</v>
      </c>
      <c r="X162" s="1110">
        <f t="shared" si="91"/>
        <v>40484464.963123269</v>
      </c>
      <c r="Z162" s="1102">
        <f t="shared" si="82"/>
        <v>0</v>
      </c>
      <c r="AA162" s="873">
        <f t="shared" si="83"/>
        <v>0</v>
      </c>
      <c r="AB162" s="873">
        <f t="shared" si="84"/>
        <v>0</v>
      </c>
      <c r="AC162" s="885">
        <f t="shared" si="85"/>
        <v>-307277.87674628111</v>
      </c>
    </row>
    <row r="163" spans="2:29" s="278" customFormat="1" ht="12" customHeight="1" x14ac:dyDescent="0.25">
      <c r="B163" s="1108">
        <f>IF(C163&lt;'Financing Assumptions'!$G$25,0,IF(C163='Financing Assumptions'!$G$25,1,IF(C163&gt;'Financing Assumptions'!$G$25,B162+1)))</f>
        <v>144</v>
      </c>
      <c r="C163" s="1109">
        <f t="shared" si="92"/>
        <v>146</v>
      </c>
      <c r="D163" s="732">
        <f t="shared" si="77"/>
        <v>31</v>
      </c>
      <c r="E163" s="35">
        <f t="shared" si="78"/>
        <v>3</v>
      </c>
      <c r="F163" s="889">
        <f t="shared" si="97"/>
        <v>50495</v>
      </c>
      <c r="G163" s="822">
        <f t="shared" si="79"/>
        <v>3</v>
      </c>
      <c r="H163" s="126">
        <f t="shared" si="80"/>
        <v>0</v>
      </c>
      <c r="I163" s="1098">
        <f t="shared" si="98"/>
        <v>0</v>
      </c>
      <c r="J163" s="887">
        <f t="shared" si="93"/>
        <v>144</v>
      </c>
      <c r="K163" s="1099">
        <f t="shared" si="86"/>
        <v>118</v>
      </c>
      <c r="L163" s="891" t="str">
        <f t="shared" si="87"/>
        <v>March</v>
      </c>
      <c r="M163" s="888">
        <f t="shared" si="94"/>
        <v>2038</v>
      </c>
      <c r="N163" s="1284">
        <f t="shared" si="99"/>
        <v>0</v>
      </c>
      <c r="O163" s="1284">
        <f t="shared" si="95"/>
        <v>0</v>
      </c>
      <c r="P163" s="883">
        <f t="shared" si="96"/>
        <v>40382420.832370602</v>
      </c>
      <c r="Q163" s="883">
        <f t="shared" si="88"/>
        <v>-307277.87674628111</v>
      </c>
      <c r="R163" s="1100"/>
      <c r="S163" s="883">
        <f t="shared" si="81"/>
        <v>-102561.43780440238</v>
      </c>
      <c r="T163" s="884">
        <f t="shared" si="89"/>
        <v>-204716.43894187873</v>
      </c>
      <c r="U163" s="884">
        <f>IF(AND($AU$43="Early Payoff",J163&gt;$U$15),0,IF($J163&lt;=$U$8,SUM($S$20:$S163),0))</f>
        <v>-6205140.6054338124</v>
      </c>
      <c r="V163" s="884">
        <f>IF(AND($AU$43="Early Payoff",J163&gt;$U$15),0,IF($J163&lt;=$U$8,SUM($T$20:$T163),0))</f>
        <v>-29952010.114048429</v>
      </c>
      <c r="W163" s="885">
        <f t="shared" si="90"/>
        <v>40279859.394566201</v>
      </c>
      <c r="X163" s="1110">
        <f t="shared" si="91"/>
        <v>40382420.832370602</v>
      </c>
      <c r="Z163" s="1102">
        <f t="shared" si="82"/>
        <v>0</v>
      </c>
      <c r="AA163" s="873">
        <f t="shared" si="83"/>
        <v>0</v>
      </c>
      <c r="AB163" s="873">
        <f t="shared" si="84"/>
        <v>0</v>
      </c>
      <c r="AC163" s="885">
        <f t="shared" si="85"/>
        <v>-307277.87674628111</v>
      </c>
    </row>
    <row r="164" spans="2:29" s="278" customFormat="1" ht="12" customHeight="1" x14ac:dyDescent="0.25">
      <c r="B164" s="1108">
        <f>IF(C164&lt;'Financing Assumptions'!$G$25,0,IF(C164='Financing Assumptions'!$G$25,1,IF(C164&gt;'Financing Assumptions'!$G$25,B163+1)))</f>
        <v>145</v>
      </c>
      <c r="C164" s="1109">
        <f t="shared" si="92"/>
        <v>147</v>
      </c>
      <c r="D164" s="732">
        <f t="shared" si="77"/>
        <v>30</v>
      </c>
      <c r="E164" s="35">
        <f t="shared" si="78"/>
        <v>4</v>
      </c>
      <c r="F164" s="889">
        <f t="shared" si="97"/>
        <v>50525</v>
      </c>
      <c r="G164" s="822">
        <f t="shared" si="79"/>
        <v>4</v>
      </c>
      <c r="H164" s="126">
        <f t="shared" si="80"/>
        <v>0</v>
      </c>
      <c r="I164" s="1098">
        <f t="shared" si="98"/>
        <v>0</v>
      </c>
      <c r="J164" s="887">
        <f t="shared" si="93"/>
        <v>145</v>
      </c>
      <c r="K164" s="1099">
        <f t="shared" si="86"/>
        <v>119</v>
      </c>
      <c r="L164" s="891" t="str">
        <f t="shared" si="87"/>
        <v>April</v>
      </c>
      <c r="M164" s="888">
        <f t="shared" si="94"/>
        <v>2038</v>
      </c>
      <c r="N164" s="1284">
        <f t="shared" si="99"/>
        <v>0</v>
      </c>
      <c r="O164" s="1284">
        <f t="shared" si="95"/>
        <v>0</v>
      </c>
      <c r="P164" s="883">
        <f t="shared" si="96"/>
        <v>40279859.394566201</v>
      </c>
      <c r="Q164" s="883">
        <f t="shared" si="88"/>
        <v>-307277.87674628111</v>
      </c>
      <c r="R164" s="1100"/>
      <c r="S164" s="883">
        <f t="shared" si="81"/>
        <v>-103081.36731549414</v>
      </c>
      <c r="T164" s="884">
        <f t="shared" si="89"/>
        <v>-204196.50943078697</v>
      </c>
      <c r="U164" s="884">
        <f>IF(AND($AU$43="Early Payoff",J164&gt;$U$15),0,IF($J164&lt;=$U$8,SUM($S$20:$S164),0))</f>
        <v>-6308221.9727493068</v>
      </c>
      <c r="V164" s="884">
        <f>IF(AND($AU$43="Early Payoff",J164&gt;$U$15),0,IF($J164&lt;=$U$8,SUM($T$20:$T164),0))</f>
        <v>-30156206.623479217</v>
      </c>
      <c r="W164" s="885">
        <f t="shared" si="90"/>
        <v>40176778.027250707</v>
      </c>
      <c r="X164" s="1110">
        <f t="shared" si="91"/>
        <v>40279859.394566201</v>
      </c>
      <c r="Z164" s="1102">
        <f t="shared" si="82"/>
        <v>0</v>
      </c>
      <c r="AA164" s="873">
        <f t="shared" si="83"/>
        <v>0</v>
      </c>
      <c r="AB164" s="873">
        <f t="shared" si="84"/>
        <v>0</v>
      </c>
      <c r="AC164" s="885">
        <f t="shared" si="85"/>
        <v>-307277.87674628111</v>
      </c>
    </row>
    <row r="165" spans="2:29" s="278" customFormat="1" ht="12" customHeight="1" x14ac:dyDescent="0.25">
      <c r="B165" s="1108">
        <f>IF(C165&lt;'Financing Assumptions'!$G$25,0,IF(C165='Financing Assumptions'!$G$25,1,IF(C165&gt;'Financing Assumptions'!$G$25,B164+1)))</f>
        <v>146</v>
      </c>
      <c r="C165" s="1109">
        <f t="shared" si="92"/>
        <v>148</v>
      </c>
      <c r="D165" s="732">
        <f t="shared" si="77"/>
        <v>31</v>
      </c>
      <c r="E165" s="35">
        <f t="shared" si="78"/>
        <v>5</v>
      </c>
      <c r="F165" s="889">
        <f t="shared" si="97"/>
        <v>50556</v>
      </c>
      <c r="G165" s="822">
        <f t="shared" si="79"/>
        <v>5</v>
      </c>
      <c r="H165" s="126">
        <f t="shared" si="80"/>
        <v>0</v>
      </c>
      <c r="I165" s="1098">
        <f t="shared" si="98"/>
        <v>0</v>
      </c>
      <c r="J165" s="887">
        <f t="shared" si="93"/>
        <v>146</v>
      </c>
      <c r="K165" s="1099">
        <f t="shared" si="86"/>
        <v>120</v>
      </c>
      <c r="L165" s="891" t="str">
        <f t="shared" si="87"/>
        <v>May</v>
      </c>
      <c r="M165" s="888">
        <f t="shared" si="94"/>
        <v>2038</v>
      </c>
      <c r="N165" s="1284">
        <f t="shared" si="99"/>
        <v>0</v>
      </c>
      <c r="O165" s="1284">
        <f t="shared" si="95"/>
        <v>0</v>
      </c>
      <c r="P165" s="883">
        <f t="shared" si="96"/>
        <v>40176778.027250707</v>
      </c>
      <c r="Q165" s="883">
        <f t="shared" si="88"/>
        <v>-307277.87674628111</v>
      </c>
      <c r="R165" s="1100"/>
      <c r="S165" s="883">
        <f t="shared" si="81"/>
        <v>-103603.93258035739</v>
      </c>
      <c r="T165" s="884">
        <f t="shared" si="89"/>
        <v>-203673.94416592372</v>
      </c>
      <c r="U165" s="884">
        <f>IF(AND($AU$43="Early Payoff",J165&gt;$U$15),0,IF($J165&lt;=$U$8,SUM($S$20:$S165),0))</f>
        <v>-6411825.9053296642</v>
      </c>
      <c r="V165" s="884">
        <f>IF(AND($AU$43="Early Payoff",J165&gt;$U$15),0,IF($J165&lt;=$U$8,SUM($T$20:$T165),0))</f>
        <v>-30359880.56764514</v>
      </c>
      <c r="W165" s="885">
        <f t="shared" si="90"/>
        <v>40073174.094670348</v>
      </c>
      <c r="X165" s="1110">
        <f t="shared" si="91"/>
        <v>40176778.027250707</v>
      </c>
      <c r="Z165" s="1102">
        <f t="shared" si="82"/>
        <v>0</v>
      </c>
      <c r="AA165" s="873">
        <f t="shared" si="83"/>
        <v>0</v>
      </c>
      <c r="AB165" s="873">
        <f t="shared" si="84"/>
        <v>0</v>
      </c>
      <c r="AC165" s="885">
        <f t="shared" si="85"/>
        <v>-307277.87674628111</v>
      </c>
    </row>
    <row r="166" spans="2:29" s="278" customFormat="1" ht="12" customHeight="1" x14ac:dyDescent="0.25">
      <c r="B166" s="1108">
        <f>IF(C166&lt;'Financing Assumptions'!$G$25,0,IF(C166='Financing Assumptions'!$G$25,1,IF(C166&gt;'Financing Assumptions'!$G$25,B165+1)))</f>
        <v>147</v>
      </c>
      <c r="C166" s="1109">
        <f t="shared" si="92"/>
        <v>149</v>
      </c>
      <c r="D166" s="732">
        <f t="shared" si="77"/>
        <v>30</v>
      </c>
      <c r="E166" s="35">
        <f t="shared" si="78"/>
        <v>6</v>
      </c>
      <c r="F166" s="889">
        <f t="shared" si="97"/>
        <v>50586</v>
      </c>
      <c r="G166" s="822">
        <f t="shared" si="79"/>
        <v>6</v>
      </c>
      <c r="H166" s="126">
        <f t="shared" si="80"/>
        <v>0</v>
      </c>
      <c r="I166" s="1098">
        <f t="shared" si="98"/>
        <v>0</v>
      </c>
      <c r="J166" s="887">
        <f t="shared" si="93"/>
        <v>147</v>
      </c>
      <c r="K166" s="1099">
        <f t="shared" si="86"/>
        <v>121</v>
      </c>
      <c r="L166" s="891" t="str">
        <f t="shared" si="87"/>
        <v>June</v>
      </c>
      <c r="M166" s="888">
        <f t="shared" si="94"/>
        <v>2038</v>
      </c>
      <c r="N166" s="1284">
        <f t="shared" si="99"/>
        <v>0</v>
      </c>
      <c r="O166" s="1284">
        <f t="shared" si="95"/>
        <v>0</v>
      </c>
      <c r="P166" s="883">
        <f t="shared" si="96"/>
        <v>40073174.094670348</v>
      </c>
      <c r="Q166" s="883">
        <f t="shared" si="88"/>
        <v>-307277.87674628111</v>
      </c>
      <c r="R166" s="1100"/>
      <c r="S166" s="883">
        <f t="shared" si="81"/>
        <v>-104129.14696079949</v>
      </c>
      <c r="T166" s="884">
        <f t="shared" si="89"/>
        <v>-203148.72978548161</v>
      </c>
      <c r="U166" s="884">
        <f>IF(AND($AU$43="Early Payoff",J166&gt;$U$15),0,IF($J166&lt;=$U$8,SUM($S$20:$S166),0))</f>
        <v>-6515955.0522904638</v>
      </c>
      <c r="V166" s="884">
        <f>IF(AND($AU$43="Early Payoff",J166&gt;$U$15),0,IF($J166&lt;=$U$8,SUM($T$20:$T166),0))</f>
        <v>-30563029.297430623</v>
      </c>
      <c r="W166" s="885">
        <f t="shared" si="90"/>
        <v>39969044.947709545</v>
      </c>
      <c r="X166" s="1110">
        <f t="shared" si="91"/>
        <v>40073174.094670348</v>
      </c>
      <c r="Z166" s="1102">
        <f t="shared" si="82"/>
        <v>0</v>
      </c>
      <c r="AA166" s="873">
        <f t="shared" si="83"/>
        <v>0</v>
      </c>
      <c r="AB166" s="873">
        <f t="shared" si="84"/>
        <v>0</v>
      </c>
      <c r="AC166" s="885">
        <f t="shared" si="85"/>
        <v>-307277.87674628111</v>
      </c>
    </row>
    <row r="167" spans="2:29" s="278" customFormat="1" ht="12" customHeight="1" x14ac:dyDescent="0.25">
      <c r="B167" s="1108">
        <f>IF(C167&lt;'Financing Assumptions'!$G$25,0,IF(C167='Financing Assumptions'!$G$25,1,IF(C167&gt;'Financing Assumptions'!$G$25,B166+1)))</f>
        <v>148</v>
      </c>
      <c r="C167" s="1109">
        <f t="shared" si="92"/>
        <v>150</v>
      </c>
      <c r="D167" s="732">
        <f t="shared" si="77"/>
        <v>31</v>
      </c>
      <c r="E167" s="35">
        <f t="shared" si="78"/>
        <v>7</v>
      </c>
      <c r="F167" s="889">
        <f t="shared" si="97"/>
        <v>50617</v>
      </c>
      <c r="G167" s="822">
        <f t="shared" si="79"/>
        <v>7</v>
      </c>
      <c r="H167" s="126">
        <f t="shared" si="80"/>
        <v>0</v>
      </c>
      <c r="I167" s="1098">
        <f t="shared" si="98"/>
        <v>0</v>
      </c>
      <c r="J167" s="887">
        <f t="shared" si="93"/>
        <v>148</v>
      </c>
      <c r="K167" s="1099">
        <f t="shared" si="86"/>
        <v>122</v>
      </c>
      <c r="L167" s="891" t="str">
        <f t="shared" si="87"/>
        <v>July</v>
      </c>
      <c r="M167" s="888">
        <f t="shared" si="94"/>
        <v>2038</v>
      </c>
      <c r="N167" s="1284">
        <f t="shared" si="99"/>
        <v>0</v>
      </c>
      <c r="O167" s="1284">
        <f t="shared" si="95"/>
        <v>0</v>
      </c>
      <c r="P167" s="883">
        <f t="shared" si="96"/>
        <v>39969044.947709545</v>
      </c>
      <c r="Q167" s="883">
        <f t="shared" si="88"/>
        <v>-307277.87674628111</v>
      </c>
      <c r="R167" s="1100"/>
      <c r="S167" s="883">
        <f t="shared" si="81"/>
        <v>-104657.02388636468</v>
      </c>
      <c r="T167" s="884">
        <f t="shared" si="89"/>
        <v>-202620.85285991643</v>
      </c>
      <c r="U167" s="884">
        <f>IF(AND($AU$43="Early Payoff",J167&gt;$U$15),0,IF($J167&lt;=$U$8,SUM($S$20:$S167),0))</f>
        <v>-6620612.0761768287</v>
      </c>
      <c r="V167" s="884">
        <f>IF(AND($AU$43="Early Payoff",J167&gt;$U$15),0,IF($J167&lt;=$U$8,SUM($T$20:$T167),0))</f>
        <v>-30765650.150290541</v>
      </c>
      <c r="W167" s="885">
        <f t="shared" si="90"/>
        <v>39864387.923823178</v>
      </c>
      <c r="X167" s="1110">
        <f t="shared" si="91"/>
        <v>39969044.947709545</v>
      </c>
      <c r="Z167" s="1102">
        <f t="shared" si="82"/>
        <v>0</v>
      </c>
      <c r="AA167" s="873">
        <f t="shared" si="83"/>
        <v>0</v>
      </c>
      <c r="AB167" s="873">
        <f t="shared" si="84"/>
        <v>0</v>
      </c>
      <c r="AC167" s="885">
        <f t="shared" si="85"/>
        <v>-307277.87674628111</v>
      </c>
    </row>
    <row r="168" spans="2:29" s="278" customFormat="1" ht="12" customHeight="1" x14ac:dyDescent="0.25">
      <c r="B168" s="1108">
        <f>IF(C168&lt;'Financing Assumptions'!$G$25,0,IF(C168='Financing Assumptions'!$G$25,1,IF(C168&gt;'Financing Assumptions'!$G$25,B167+1)))</f>
        <v>149</v>
      </c>
      <c r="C168" s="1109">
        <f t="shared" si="92"/>
        <v>151</v>
      </c>
      <c r="D168" s="732">
        <f t="shared" si="77"/>
        <v>31</v>
      </c>
      <c r="E168" s="35">
        <f t="shared" si="78"/>
        <v>8</v>
      </c>
      <c r="F168" s="889">
        <f t="shared" si="97"/>
        <v>50648</v>
      </c>
      <c r="G168" s="822">
        <f t="shared" si="79"/>
        <v>8</v>
      </c>
      <c r="H168" s="126">
        <f t="shared" si="80"/>
        <v>0</v>
      </c>
      <c r="I168" s="1098">
        <f t="shared" si="98"/>
        <v>0</v>
      </c>
      <c r="J168" s="887">
        <f t="shared" si="93"/>
        <v>149</v>
      </c>
      <c r="K168" s="1099">
        <f t="shared" si="86"/>
        <v>123</v>
      </c>
      <c r="L168" s="891" t="str">
        <f t="shared" si="87"/>
        <v>August</v>
      </c>
      <c r="M168" s="888">
        <f t="shared" si="94"/>
        <v>2038</v>
      </c>
      <c r="N168" s="1284">
        <f t="shared" si="99"/>
        <v>0</v>
      </c>
      <c r="O168" s="1284">
        <f t="shared" si="95"/>
        <v>0</v>
      </c>
      <c r="P168" s="883">
        <f t="shared" si="96"/>
        <v>39864387.923823178</v>
      </c>
      <c r="Q168" s="883">
        <f t="shared" si="88"/>
        <v>-307277.87674628111</v>
      </c>
      <c r="R168" s="1100"/>
      <c r="S168" s="883">
        <f t="shared" si="81"/>
        <v>-105187.57685467752</v>
      </c>
      <c r="T168" s="884">
        <f t="shared" si="89"/>
        <v>-202090.29989160359</v>
      </c>
      <c r="U168" s="884">
        <f>IF(AND($AU$43="Early Payoff",J168&gt;$U$15),0,IF($J168&lt;=$U$8,SUM($S$20:$S168),0))</f>
        <v>-6725799.6530315066</v>
      </c>
      <c r="V168" s="884">
        <f>IF(AND($AU$43="Early Payoff",J168&gt;$U$15),0,IF($J168&lt;=$U$8,SUM($T$20:$T168),0))</f>
        <v>-30967740.450182144</v>
      </c>
      <c r="W168" s="885">
        <f t="shared" si="90"/>
        <v>39759200.346968502</v>
      </c>
      <c r="X168" s="1110">
        <f t="shared" si="91"/>
        <v>39864387.923823178</v>
      </c>
      <c r="Z168" s="1102">
        <f t="shared" si="82"/>
        <v>0</v>
      </c>
      <c r="AA168" s="873">
        <f t="shared" si="83"/>
        <v>0</v>
      </c>
      <c r="AB168" s="873">
        <f t="shared" si="84"/>
        <v>0</v>
      </c>
      <c r="AC168" s="885">
        <f t="shared" si="85"/>
        <v>-307277.87674628111</v>
      </c>
    </row>
    <row r="169" spans="2:29" s="278" customFormat="1" ht="12" customHeight="1" x14ac:dyDescent="0.25">
      <c r="B169" s="1108">
        <f>IF(C169&lt;'Financing Assumptions'!$G$25,0,IF(C169='Financing Assumptions'!$G$25,1,IF(C169&gt;'Financing Assumptions'!$G$25,B168+1)))</f>
        <v>150</v>
      </c>
      <c r="C169" s="1109">
        <f t="shared" si="92"/>
        <v>152</v>
      </c>
      <c r="D169" s="732">
        <f t="shared" si="77"/>
        <v>30</v>
      </c>
      <c r="E169" s="35">
        <f t="shared" si="78"/>
        <v>9</v>
      </c>
      <c r="F169" s="889">
        <f t="shared" si="97"/>
        <v>50678</v>
      </c>
      <c r="G169" s="822">
        <f t="shared" si="79"/>
        <v>9</v>
      </c>
      <c r="H169" s="126">
        <f t="shared" si="80"/>
        <v>0</v>
      </c>
      <c r="I169" s="1098">
        <f t="shared" si="98"/>
        <v>0</v>
      </c>
      <c r="J169" s="887">
        <f t="shared" si="93"/>
        <v>150</v>
      </c>
      <c r="K169" s="1099">
        <f t="shared" si="86"/>
        <v>124</v>
      </c>
      <c r="L169" s="891" t="str">
        <f t="shared" si="87"/>
        <v>September</v>
      </c>
      <c r="M169" s="888">
        <f t="shared" si="94"/>
        <v>2038</v>
      </c>
      <c r="N169" s="1284">
        <f t="shared" si="99"/>
        <v>0</v>
      </c>
      <c r="O169" s="1284">
        <f t="shared" si="95"/>
        <v>0</v>
      </c>
      <c r="P169" s="883">
        <f t="shared" si="96"/>
        <v>39759200.346968502</v>
      </c>
      <c r="Q169" s="883">
        <f t="shared" si="88"/>
        <v>-307277.87674628111</v>
      </c>
      <c r="R169" s="1100"/>
      <c r="S169" s="883">
        <f t="shared" si="81"/>
        <v>-105720.81943178803</v>
      </c>
      <c r="T169" s="884">
        <f t="shared" si="89"/>
        <v>-201557.05731449308</v>
      </c>
      <c r="U169" s="884">
        <f>IF(AND($AU$43="Early Payoff",J169&gt;$U$15),0,IF($J169&lt;=$U$8,SUM($S$20:$S169),0))</f>
        <v>-6831520.4724632949</v>
      </c>
      <c r="V169" s="884">
        <f>IF(AND($AU$43="Early Payoff",J169&gt;$U$15),0,IF($J169&lt;=$U$8,SUM($T$20:$T169),0))</f>
        <v>-31169297.507496636</v>
      </c>
      <c r="W169" s="885">
        <f t="shared" si="90"/>
        <v>39653479.527536713</v>
      </c>
      <c r="X169" s="1110">
        <f t="shared" si="91"/>
        <v>39759200.346968502</v>
      </c>
      <c r="Z169" s="1102">
        <f t="shared" si="82"/>
        <v>0</v>
      </c>
      <c r="AA169" s="873">
        <f t="shared" si="83"/>
        <v>0</v>
      </c>
      <c r="AB169" s="873">
        <f t="shared" si="84"/>
        <v>0</v>
      </c>
      <c r="AC169" s="885">
        <f t="shared" si="85"/>
        <v>-307277.87674628111</v>
      </c>
    </row>
    <row r="170" spans="2:29" s="278" customFormat="1" ht="12" customHeight="1" x14ac:dyDescent="0.25">
      <c r="B170" s="1108">
        <f>IF(C170&lt;'Financing Assumptions'!$G$25,0,IF(C170='Financing Assumptions'!$G$25,1,IF(C170&gt;'Financing Assumptions'!$G$25,B169+1)))</f>
        <v>151</v>
      </c>
      <c r="C170" s="1109">
        <f t="shared" si="92"/>
        <v>153</v>
      </c>
      <c r="D170" s="732">
        <f t="shared" si="77"/>
        <v>31</v>
      </c>
      <c r="E170" s="35">
        <f t="shared" si="78"/>
        <v>10</v>
      </c>
      <c r="F170" s="889">
        <f t="shared" si="97"/>
        <v>50709</v>
      </c>
      <c r="G170" s="822">
        <f t="shared" si="79"/>
        <v>10</v>
      </c>
      <c r="H170" s="126">
        <f t="shared" si="80"/>
        <v>0</v>
      </c>
      <c r="I170" s="1098">
        <f t="shared" si="98"/>
        <v>0</v>
      </c>
      <c r="J170" s="887">
        <f t="shared" si="93"/>
        <v>151</v>
      </c>
      <c r="K170" s="1099">
        <f t="shared" si="86"/>
        <v>125</v>
      </c>
      <c r="L170" s="891" t="str">
        <f t="shared" si="87"/>
        <v>October</v>
      </c>
      <c r="M170" s="888">
        <f t="shared" si="94"/>
        <v>2038</v>
      </c>
      <c r="N170" s="1284">
        <f t="shared" si="99"/>
        <v>0</v>
      </c>
      <c r="O170" s="1284">
        <f t="shared" si="95"/>
        <v>0</v>
      </c>
      <c r="P170" s="883">
        <f t="shared" si="96"/>
        <v>39653479.527536713</v>
      </c>
      <c r="Q170" s="883">
        <f t="shared" si="88"/>
        <v>-307277.87674628111</v>
      </c>
      <c r="R170" s="1100"/>
      <c r="S170" s="883">
        <f t="shared" si="81"/>
        <v>-106256.76525251861</v>
      </c>
      <c r="T170" s="884">
        <f t="shared" si="89"/>
        <v>-201021.1114937625</v>
      </c>
      <c r="U170" s="884">
        <f>IF(AND($AU$43="Early Payoff",J170&gt;$U$15),0,IF($J170&lt;=$U$8,SUM($S$20:$S170),0))</f>
        <v>-6937777.2377158133</v>
      </c>
      <c r="V170" s="884">
        <f>IF(AND($AU$43="Early Payoff",J170&gt;$U$15),0,IF($J170&lt;=$U$8,SUM($T$20:$T170),0))</f>
        <v>-31370318.618990399</v>
      </c>
      <c r="W170" s="885">
        <f t="shared" si="90"/>
        <v>39547222.762284197</v>
      </c>
      <c r="X170" s="1110">
        <f t="shared" si="91"/>
        <v>39653479.527536713</v>
      </c>
      <c r="Z170" s="1102">
        <f t="shared" si="82"/>
        <v>0</v>
      </c>
      <c r="AA170" s="873">
        <f t="shared" si="83"/>
        <v>0</v>
      </c>
      <c r="AB170" s="873">
        <f t="shared" si="84"/>
        <v>0</v>
      </c>
      <c r="AC170" s="885">
        <f t="shared" si="85"/>
        <v>-307277.87674628111</v>
      </c>
    </row>
    <row r="171" spans="2:29" s="278" customFormat="1" ht="12" customHeight="1" x14ac:dyDescent="0.25">
      <c r="B171" s="1108">
        <f>IF(C171&lt;'Financing Assumptions'!$G$25,0,IF(C171='Financing Assumptions'!$G$25,1,IF(C171&gt;'Financing Assumptions'!$G$25,B170+1)))</f>
        <v>152</v>
      </c>
      <c r="C171" s="1109">
        <f t="shared" si="92"/>
        <v>154</v>
      </c>
      <c r="D171" s="732">
        <f t="shared" si="77"/>
        <v>30</v>
      </c>
      <c r="E171" s="35">
        <f t="shared" si="78"/>
        <v>11</v>
      </c>
      <c r="F171" s="889">
        <f t="shared" si="97"/>
        <v>50739</v>
      </c>
      <c r="G171" s="822">
        <f t="shared" si="79"/>
        <v>11</v>
      </c>
      <c r="H171" s="126">
        <f t="shared" si="80"/>
        <v>0</v>
      </c>
      <c r="I171" s="1098">
        <f t="shared" si="98"/>
        <v>0</v>
      </c>
      <c r="J171" s="887">
        <f t="shared" si="93"/>
        <v>152</v>
      </c>
      <c r="K171" s="1099">
        <f t="shared" si="86"/>
        <v>126</v>
      </c>
      <c r="L171" s="891" t="str">
        <f t="shared" si="87"/>
        <v>November</v>
      </c>
      <c r="M171" s="888">
        <f t="shared" si="94"/>
        <v>2038</v>
      </c>
      <c r="N171" s="1284">
        <f t="shared" si="99"/>
        <v>0</v>
      </c>
      <c r="O171" s="1284">
        <f t="shared" si="95"/>
        <v>0</v>
      </c>
      <c r="P171" s="883">
        <f t="shared" si="96"/>
        <v>39547222.762284197</v>
      </c>
      <c r="Q171" s="883">
        <f t="shared" si="88"/>
        <v>-307277.87674628111</v>
      </c>
      <c r="R171" s="1100"/>
      <c r="S171" s="883">
        <f t="shared" si="81"/>
        <v>-106795.42802081263</v>
      </c>
      <c r="T171" s="884">
        <f t="shared" si="89"/>
        <v>-200482.44872546848</v>
      </c>
      <c r="U171" s="884">
        <f>IF(AND($AU$43="Early Payoff",J171&gt;$U$15),0,IF($J171&lt;=$U$8,SUM($S$20:$S171),0))</f>
        <v>-7044572.6657366259</v>
      </c>
      <c r="V171" s="884">
        <f>IF(AND($AU$43="Early Payoff",J171&gt;$U$15),0,IF($J171&lt;=$U$8,SUM($T$20:$T171),0))</f>
        <v>-31570801.067715868</v>
      </c>
      <c r="W171" s="885">
        <f t="shared" si="90"/>
        <v>39440427.334263384</v>
      </c>
      <c r="X171" s="1110">
        <f t="shared" si="91"/>
        <v>39547222.762284197</v>
      </c>
      <c r="Z171" s="1102">
        <f t="shared" si="82"/>
        <v>0</v>
      </c>
      <c r="AA171" s="873">
        <f t="shared" si="83"/>
        <v>0</v>
      </c>
      <c r="AB171" s="873">
        <f t="shared" si="84"/>
        <v>0</v>
      </c>
      <c r="AC171" s="885">
        <f t="shared" si="85"/>
        <v>-307277.87674628111</v>
      </c>
    </row>
    <row r="172" spans="2:29" s="278" customFormat="1" ht="12" customHeight="1" x14ac:dyDescent="0.25">
      <c r="B172" s="1108">
        <f>IF(C172&lt;'Financing Assumptions'!$G$25,0,IF(C172='Financing Assumptions'!$G$25,1,IF(C172&gt;'Financing Assumptions'!$G$25,B171+1)))</f>
        <v>153</v>
      </c>
      <c r="C172" s="1109">
        <f t="shared" si="92"/>
        <v>155</v>
      </c>
      <c r="D172" s="732">
        <f t="shared" si="77"/>
        <v>31</v>
      </c>
      <c r="E172" s="35">
        <f t="shared" si="78"/>
        <v>12</v>
      </c>
      <c r="F172" s="889">
        <f t="shared" si="97"/>
        <v>50770</v>
      </c>
      <c r="G172" s="822">
        <f t="shared" si="79"/>
        <v>12</v>
      </c>
      <c r="H172" s="126">
        <f t="shared" si="80"/>
        <v>1</v>
      </c>
      <c r="I172" s="1098">
        <f t="shared" si="98"/>
        <v>0</v>
      </c>
      <c r="J172" s="887">
        <f t="shared" si="93"/>
        <v>153</v>
      </c>
      <c r="K172" s="1099">
        <f t="shared" si="86"/>
        <v>127</v>
      </c>
      <c r="L172" s="891" t="str">
        <f t="shared" si="87"/>
        <v>December</v>
      </c>
      <c r="M172" s="888">
        <f t="shared" si="94"/>
        <v>2038</v>
      </c>
      <c r="N172" s="1284">
        <f t="shared" si="99"/>
        <v>0</v>
      </c>
      <c r="O172" s="1284">
        <f t="shared" si="95"/>
        <v>0</v>
      </c>
      <c r="P172" s="883">
        <f t="shared" si="96"/>
        <v>39440427.334263384</v>
      </c>
      <c r="Q172" s="883">
        <f t="shared" si="88"/>
        <v>-307277.87674628111</v>
      </c>
      <c r="R172" s="1100"/>
      <c r="S172" s="883">
        <f t="shared" si="81"/>
        <v>-107336.82151008479</v>
      </c>
      <c r="T172" s="884">
        <f t="shared" si="89"/>
        <v>-199941.05523619632</v>
      </c>
      <c r="U172" s="884">
        <f>IF(AND($AU$43="Early Payoff",J172&gt;$U$15),0,IF($J172&lt;=$U$8,SUM($S$20:$S172),0))</f>
        <v>-7151909.4872467108</v>
      </c>
      <c r="V172" s="884">
        <f>IF(AND($AU$43="Early Payoff",J172&gt;$U$15),0,IF($J172&lt;=$U$8,SUM($T$20:$T172),0))</f>
        <v>-31770742.122952066</v>
      </c>
      <c r="W172" s="885">
        <f t="shared" si="90"/>
        <v>39333090.5127533</v>
      </c>
      <c r="X172" s="1110">
        <f t="shared" si="91"/>
        <v>39440427.334263384</v>
      </c>
      <c r="Z172" s="1102">
        <f t="shared" si="82"/>
        <v>0</v>
      </c>
      <c r="AA172" s="873">
        <f t="shared" si="83"/>
        <v>0</v>
      </c>
      <c r="AB172" s="873">
        <f t="shared" si="84"/>
        <v>0</v>
      </c>
      <c r="AC172" s="885">
        <f t="shared" si="85"/>
        <v>-307277.87674628111</v>
      </c>
    </row>
    <row r="173" spans="2:29" s="278" customFormat="1" ht="12" customHeight="1" x14ac:dyDescent="0.25">
      <c r="B173" s="1108">
        <f>IF(C173&lt;'Financing Assumptions'!$G$25,0,IF(C173='Financing Assumptions'!$G$25,1,IF(C173&gt;'Financing Assumptions'!$G$25,B172+1)))</f>
        <v>154</v>
      </c>
      <c r="C173" s="1109">
        <f t="shared" si="92"/>
        <v>156</v>
      </c>
      <c r="D173" s="732">
        <f t="shared" si="77"/>
        <v>31</v>
      </c>
      <c r="E173" s="35">
        <f t="shared" si="78"/>
        <v>1</v>
      </c>
      <c r="F173" s="889">
        <f t="shared" si="97"/>
        <v>50801</v>
      </c>
      <c r="G173" s="822">
        <f t="shared" si="79"/>
        <v>1</v>
      </c>
      <c r="H173" s="126">
        <f t="shared" si="80"/>
        <v>0</v>
      </c>
      <c r="I173" s="1098">
        <f t="shared" si="98"/>
        <v>0</v>
      </c>
      <c r="J173" s="887">
        <f t="shared" si="93"/>
        <v>154</v>
      </c>
      <c r="K173" s="1099">
        <f t="shared" si="86"/>
        <v>128</v>
      </c>
      <c r="L173" s="891" t="str">
        <f t="shared" si="87"/>
        <v>January</v>
      </c>
      <c r="M173" s="888">
        <f t="shared" si="94"/>
        <v>2039</v>
      </c>
      <c r="N173" s="1284">
        <f t="shared" si="99"/>
        <v>0</v>
      </c>
      <c r="O173" s="1284">
        <f t="shared" si="95"/>
        <v>0</v>
      </c>
      <c r="P173" s="883">
        <f t="shared" si="96"/>
        <v>39333090.5127533</v>
      </c>
      <c r="Q173" s="883">
        <f t="shared" si="88"/>
        <v>-307277.87674628111</v>
      </c>
      <c r="R173" s="1100"/>
      <c r="S173" s="883">
        <f t="shared" si="81"/>
        <v>-107880.95956357341</v>
      </c>
      <c r="T173" s="884">
        <f t="shared" si="89"/>
        <v>-199396.91718270769</v>
      </c>
      <c r="U173" s="884">
        <f>IF(AND($AU$43="Early Payoff",J173&gt;$U$15),0,IF($J173&lt;=$U$8,SUM($S$20:$S173),0))</f>
        <v>-7259790.4468102846</v>
      </c>
      <c r="V173" s="884">
        <f>IF(AND($AU$43="Early Payoff",J173&gt;$U$15),0,IF($J173&lt;=$U$8,SUM($T$20:$T173),0))</f>
        <v>-31970139.040134773</v>
      </c>
      <c r="W173" s="885">
        <f t="shared" si="90"/>
        <v>39225209.553189725</v>
      </c>
      <c r="X173" s="1110">
        <f t="shared" si="91"/>
        <v>39333090.5127533</v>
      </c>
      <c r="Z173" s="1102">
        <f t="shared" si="82"/>
        <v>0</v>
      </c>
      <c r="AA173" s="873">
        <f t="shared" si="83"/>
        <v>0</v>
      </c>
      <c r="AB173" s="873">
        <f t="shared" si="84"/>
        <v>0</v>
      </c>
      <c r="AC173" s="885">
        <f t="shared" si="85"/>
        <v>-307277.87674628111</v>
      </c>
    </row>
    <row r="174" spans="2:29" s="278" customFormat="1" ht="12" customHeight="1" x14ac:dyDescent="0.25">
      <c r="B174" s="1108">
        <f>IF(C174&lt;'Financing Assumptions'!$G$25,0,IF(C174='Financing Assumptions'!$G$25,1,IF(C174&gt;'Financing Assumptions'!$G$25,B173+1)))</f>
        <v>155</v>
      </c>
      <c r="C174" s="1109">
        <f t="shared" si="92"/>
        <v>157</v>
      </c>
      <c r="D174" s="732">
        <f t="shared" si="77"/>
        <v>28</v>
      </c>
      <c r="E174" s="35">
        <f t="shared" si="78"/>
        <v>2</v>
      </c>
      <c r="F174" s="889">
        <f t="shared" si="97"/>
        <v>50829</v>
      </c>
      <c r="G174" s="822">
        <f t="shared" si="79"/>
        <v>2</v>
      </c>
      <c r="H174" s="126">
        <f t="shared" si="80"/>
        <v>0</v>
      </c>
      <c r="I174" s="1098">
        <f t="shared" si="98"/>
        <v>0</v>
      </c>
      <c r="J174" s="887">
        <f t="shared" si="93"/>
        <v>155</v>
      </c>
      <c r="K174" s="1099">
        <f t="shared" si="86"/>
        <v>129</v>
      </c>
      <c r="L174" s="891" t="str">
        <f t="shared" si="87"/>
        <v>February</v>
      </c>
      <c r="M174" s="888">
        <f t="shared" si="94"/>
        <v>2039</v>
      </c>
      <c r="N174" s="1284">
        <f t="shared" si="99"/>
        <v>0</v>
      </c>
      <c r="O174" s="1284">
        <f t="shared" si="95"/>
        <v>0</v>
      </c>
      <c r="P174" s="883">
        <f t="shared" si="96"/>
        <v>39225209.553189725</v>
      </c>
      <c r="Q174" s="883">
        <f t="shared" si="88"/>
        <v>-307277.87674628111</v>
      </c>
      <c r="R174" s="1100"/>
      <c r="S174" s="883">
        <f t="shared" si="81"/>
        <v>-108427.85609469432</v>
      </c>
      <c r="T174" s="884">
        <f t="shared" si="89"/>
        <v>-198850.02065158679</v>
      </c>
      <c r="U174" s="884">
        <f>IF(AND($AU$43="Early Payoff",J174&gt;$U$15),0,IF($J174&lt;=$U$8,SUM($S$20:$S174),0))</f>
        <v>-7368218.3029049793</v>
      </c>
      <c r="V174" s="884">
        <f>IF(AND($AU$43="Early Payoff",J174&gt;$U$15),0,IF($J174&lt;=$U$8,SUM($T$20:$T174),0))</f>
        <v>-32168989.060786359</v>
      </c>
      <c r="W174" s="885">
        <f t="shared" si="90"/>
        <v>39116781.697095029</v>
      </c>
      <c r="X174" s="1110">
        <f t="shared" si="91"/>
        <v>39225209.553189725</v>
      </c>
      <c r="Z174" s="1102">
        <f t="shared" si="82"/>
        <v>0</v>
      </c>
      <c r="AA174" s="873">
        <f t="shared" si="83"/>
        <v>0</v>
      </c>
      <c r="AB174" s="873">
        <f t="shared" si="84"/>
        <v>0</v>
      </c>
      <c r="AC174" s="885">
        <f t="shared" si="85"/>
        <v>-307277.87674628111</v>
      </c>
    </row>
    <row r="175" spans="2:29" s="278" customFormat="1" ht="12" customHeight="1" x14ac:dyDescent="0.25">
      <c r="B175" s="1108">
        <f>IF(C175&lt;'Financing Assumptions'!$G$25,0,IF(C175='Financing Assumptions'!$G$25,1,IF(C175&gt;'Financing Assumptions'!$G$25,B174+1)))</f>
        <v>156</v>
      </c>
      <c r="C175" s="1109">
        <f t="shared" si="92"/>
        <v>158</v>
      </c>
      <c r="D175" s="732">
        <f t="shared" si="77"/>
        <v>31</v>
      </c>
      <c r="E175" s="35">
        <f t="shared" si="78"/>
        <v>3</v>
      </c>
      <c r="F175" s="889">
        <f t="shared" si="97"/>
        <v>50860</v>
      </c>
      <c r="G175" s="822">
        <f t="shared" si="79"/>
        <v>3</v>
      </c>
      <c r="H175" s="126">
        <f t="shared" si="80"/>
        <v>0</v>
      </c>
      <c r="I175" s="1098">
        <f t="shared" si="98"/>
        <v>0</v>
      </c>
      <c r="J175" s="887">
        <f t="shared" si="93"/>
        <v>156</v>
      </c>
      <c r="K175" s="1099">
        <f t="shared" si="86"/>
        <v>130</v>
      </c>
      <c r="L175" s="891" t="str">
        <f t="shared" si="87"/>
        <v>March</v>
      </c>
      <c r="M175" s="888">
        <f t="shared" si="94"/>
        <v>2039</v>
      </c>
      <c r="N175" s="1284">
        <f t="shared" si="99"/>
        <v>0</v>
      </c>
      <c r="O175" s="1284">
        <f t="shared" si="95"/>
        <v>0</v>
      </c>
      <c r="P175" s="883">
        <f t="shared" si="96"/>
        <v>39116781.697095029</v>
      </c>
      <c r="Q175" s="883">
        <f t="shared" si="88"/>
        <v>-307277.87674628111</v>
      </c>
      <c r="R175" s="1100"/>
      <c r="S175" s="883">
        <f t="shared" si="81"/>
        <v>-108977.52508739659</v>
      </c>
      <c r="T175" s="884">
        <f t="shared" si="89"/>
        <v>-198300.35165888452</v>
      </c>
      <c r="U175" s="884">
        <f>IF(AND($AU$43="Early Payoff",J175&gt;$U$15),0,IF($J175&lt;=$U$8,SUM($S$20:$S175),0))</f>
        <v>-7477195.8279923759</v>
      </c>
      <c r="V175" s="884">
        <f>IF(AND($AU$43="Early Payoff",J175&gt;$U$15),0,IF($J175&lt;=$U$8,SUM($T$20:$T175),0))</f>
        <v>-32367289.412445243</v>
      </c>
      <c r="W175" s="885">
        <f t="shared" si="90"/>
        <v>39007804.172007635</v>
      </c>
      <c r="X175" s="1110">
        <f t="shared" si="91"/>
        <v>39116781.697095029</v>
      </c>
      <c r="Z175" s="1102">
        <f t="shared" si="82"/>
        <v>0</v>
      </c>
      <c r="AA175" s="873">
        <f t="shared" si="83"/>
        <v>0</v>
      </c>
      <c r="AB175" s="873">
        <f t="shared" si="84"/>
        <v>0</v>
      </c>
      <c r="AC175" s="885">
        <f t="shared" si="85"/>
        <v>-307277.87674628111</v>
      </c>
    </row>
    <row r="176" spans="2:29" s="278" customFormat="1" ht="12" customHeight="1" x14ac:dyDescent="0.25">
      <c r="B176" s="1108">
        <f>IF(C176&lt;'Financing Assumptions'!$G$25,0,IF(C176='Financing Assumptions'!$G$25,1,IF(C176&gt;'Financing Assumptions'!$G$25,B175+1)))</f>
        <v>157</v>
      </c>
      <c r="C176" s="1109">
        <f t="shared" si="92"/>
        <v>159</v>
      </c>
      <c r="D176" s="732">
        <f t="shared" si="77"/>
        <v>30</v>
      </c>
      <c r="E176" s="35">
        <f t="shared" si="78"/>
        <v>4</v>
      </c>
      <c r="F176" s="889">
        <f t="shared" si="97"/>
        <v>50890</v>
      </c>
      <c r="G176" s="822">
        <f t="shared" si="79"/>
        <v>4</v>
      </c>
      <c r="H176" s="126">
        <f t="shared" si="80"/>
        <v>0</v>
      </c>
      <c r="I176" s="1098">
        <f t="shared" si="98"/>
        <v>0</v>
      </c>
      <c r="J176" s="887">
        <f t="shared" si="93"/>
        <v>157</v>
      </c>
      <c r="K176" s="1099">
        <f t="shared" si="86"/>
        <v>131</v>
      </c>
      <c r="L176" s="891" t="str">
        <f t="shared" si="87"/>
        <v>April</v>
      </c>
      <c r="M176" s="888">
        <f t="shared" si="94"/>
        <v>2039</v>
      </c>
      <c r="N176" s="1284">
        <f t="shared" si="99"/>
        <v>0</v>
      </c>
      <c r="O176" s="1284">
        <f t="shared" si="95"/>
        <v>0</v>
      </c>
      <c r="P176" s="883">
        <f t="shared" si="96"/>
        <v>39007804.172007635</v>
      </c>
      <c r="Q176" s="883">
        <f t="shared" si="88"/>
        <v>-307277.87674628111</v>
      </c>
      <c r="R176" s="1100"/>
      <c r="S176" s="883">
        <f t="shared" si="81"/>
        <v>-109529.98059652018</v>
      </c>
      <c r="T176" s="884">
        <f t="shared" si="89"/>
        <v>-197747.89614976093</v>
      </c>
      <c r="U176" s="884">
        <f>IF(AND($AU$43="Early Payoff",J176&gt;$U$15),0,IF($J176&lt;=$U$8,SUM($S$20:$S176),0))</f>
        <v>-7586725.8085888959</v>
      </c>
      <c r="V176" s="884">
        <f>IF(AND($AU$43="Early Payoff",J176&gt;$U$15),0,IF($J176&lt;=$U$8,SUM($T$20:$T176),0))</f>
        <v>-32565037.308595005</v>
      </c>
      <c r="W176" s="885">
        <f t="shared" si="90"/>
        <v>38898274.191411115</v>
      </c>
      <c r="X176" s="1110">
        <f t="shared" si="91"/>
        <v>39007804.172007635</v>
      </c>
      <c r="Z176" s="1102">
        <f t="shared" si="82"/>
        <v>0</v>
      </c>
      <c r="AA176" s="873">
        <f t="shared" si="83"/>
        <v>0</v>
      </c>
      <c r="AB176" s="873">
        <f t="shared" si="84"/>
        <v>0</v>
      </c>
      <c r="AC176" s="885">
        <f t="shared" si="85"/>
        <v>-307277.87674628111</v>
      </c>
    </row>
    <row r="177" spans="2:29" s="278" customFormat="1" ht="12" customHeight="1" x14ac:dyDescent="0.25">
      <c r="B177" s="1108">
        <f>IF(C177&lt;'Financing Assumptions'!$G$25,0,IF(C177='Financing Assumptions'!$G$25,1,IF(C177&gt;'Financing Assumptions'!$G$25,B176+1)))</f>
        <v>158</v>
      </c>
      <c r="C177" s="1109">
        <f t="shared" si="92"/>
        <v>160</v>
      </c>
      <c r="D177" s="732">
        <f t="shared" si="77"/>
        <v>31</v>
      </c>
      <c r="E177" s="35">
        <f t="shared" si="78"/>
        <v>5</v>
      </c>
      <c r="F177" s="889">
        <f t="shared" si="97"/>
        <v>50921</v>
      </c>
      <c r="G177" s="822">
        <f t="shared" si="79"/>
        <v>5</v>
      </c>
      <c r="H177" s="126">
        <f t="shared" si="80"/>
        <v>0</v>
      </c>
      <c r="I177" s="1098">
        <f t="shared" si="98"/>
        <v>0</v>
      </c>
      <c r="J177" s="887">
        <f t="shared" si="93"/>
        <v>158</v>
      </c>
      <c r="K177" s="1099">
        <f t="shared" si="86"/>
        <v>132</v>
      </c>
      <c r="L177" s="891" t="str">
        <f t="shared" si="87"/>
        <v>May</v>
      </c>
      <c r="M177" s="888">
        <f t="shared" si="94"/>
        <v>2039</v>
      </c>
      <c r="N177" s="1284">
        <f t="shared" si="99"/>
        <v>0</v>
      </c>
      <c r="O177" s="1284">
        <f t="shared" si="95"/>
        <v>0</v>
      </c>
      <c r="P177" s="883">
        <f t="shared" si="96"/>
        <v>38898274.191411115</v>
      </c>
      <c r="Q177" s="883">
        <f t="shared" si="88"/>
        <v>-307277.87674628111</v>
      </c>
      <c r="R177" s="1100"/>
      <c r="S177" s="883">
        <f t="shared" si="81"/>
        <v>-110085.23674815532</v>
      </c>
      <c r="T177" s="884">
        <f t="shared" si="89"/>
        <v>-197192.63999812579</v>
      </c>
      <c r="U177" s="884">
        <f>IF(AND($AU$43="Early Payoff",J177&gt;$U$15),0,IF($J177&lt;=$U$8,SUM($S$20:$S177),0))</f>
        <v>-7696811.0453370512</v>
      </c>
      <c r="V177" s="884">
        <f>IF(AND($AU$43="Early Payoff",J177&gt;$U$15),0,IF($J177&lt;=$U$8,SUM($T$20:$T177),0))</f>
        <v>-32762229.948593132</v>
      </c>
      <c r="W177" s="885">
        <f t="shared" si="90"/>
        <v>38788188.954662956</v>
      </c>
      <c r="X177" s="1110">
        <f t="shared" si="91"/>
        <v>38898274.191411115</v>
      </c>
      <c r="Z177" s="1102">
        <f t="shared" si="82"/>
        <v>0</v>
      </c>
      <c r="AA177" s="873">
        <f t="shared" si="83"/>
        <v>0</v>
      </c>
      <c r="AB177" s="873">
        <f t="shared" si="84"/>
        <v>0</v>
      </c>
      <c r="AC177" s="885">
        <f t="shared" si="85"/>
        <v>-307277.87674628111</v>
      </c>
    </row>
    <row r="178" spans="2:29" s="278" customFormat="1" ht="12" customHeight="1" x14ac:dyDescent="0.25">
      <c r="B178" s="1108">
        <f>IF(C178&lt;'Financing Assumptions'!$G$25,0,IF(C178='Financing Assumptions'!$G$25,1,IF(C178&gt;'Financing Assumptions'!$G$25,B177+1)))</f>
        <v>159</v>
      </c>
      <c r="C178" s="1109">
        <f t="shared" si="92"/>
        <v>161</v>
      </c>
      <c r="D178" s="732">
        <f t="shared" si="77"/>
        <v>30</v>
      </c>
      <c r="E178" s="35">
        <f t="shared" si="78"/>
        <v>6</v>
      </c>
      <c r="F178" s="889">
        <f t="shared" si="97"/>
        <v>50951</v>
      </c>
      <c r="G178" s="822">
        <f t="shared" si="79"/>
        <v>6</v>
      </c>
      <c r="H178" s="126">
        <f t="shared" si="80"/>
        <v>0</v>
      </c>
      <c r="I178" s="1098">
        <f t="shared" si="98"/>
        <v>0</v>
      </c>
      <c r="J178" s="887">
        <f t="shared" si="93"/>
        <v>159</v>
      </c>
      <c r="K178" s="1099">
        <f t="shared" si="86"/>
        <v>133</v>
      </c>
      <c r="L178" s="891" t="str">
        <f t="shared" si="87"/>
        <v>June</v>
      </c>
      <c r="M178" s="888">
        <f t="shared" si="94"/>
        <v>2039</v>
      </c>
      <c r="N178" s="1284">
        <f t="shared" si="99"/>
        <v>0</v>
      </c>
      <c r="O178" s="1284">
        <f t="shared" si="95"/>
        <v>0</v>
      </c>
      <c r="P178" s="883">
        <f t="shared" si="96"/>
        <v>38788188.954662956</v>
      </c>
      <c r="Q178" s="883">
        <f t="shared" si="88"/>
        <v>-307277.87674628111</v>
      </c>
      <c r="R178" s="1100"/>
      <c r="S178" s="883">
        <f t="shared" si="81"/>
        <v>-110643.30774000363</v>
      </c>
      <c r="T178" s="884">
        <f t="shared" si="89"/>
        <v>-196634.56900627748</v>
      </c>
      <c r="U178" s="884">
        <f>IF(AND($AU$43="Early Payoff",J178&gt;$U$15),0,IF($J178&lt;=$U$8,SUM($S$20:$S178),0))</f>
        <v>-7807454.353077055</v>
      </c>
      <c r="V178" s="884">
        <f>IF(AND($AU$43="Early Payoff",J178&gt;$U$15),0,IF($J178&lt;=$U$8,SUM($T$20:$T178),0))</f>
        <v>-32958864.517599411</v>
      </c>
      <c r="W178" s="885">
        <f t="shared" si="90"/>
        <v>38677545.646922953</v>
      </c>
      <c r="X178" s="1110">
        <f t="shared" si="91"/>
        <v>38788188.954662956</v>
      </c>
      <c r="Z178" s="1102">
        <f t="shared" si="82"/>
        <v>0</v>
      </c>
      <c r="AA178" s="873">
        <f t="shared" si="83"/>
        <v>0</v>
      </c>
      <c r="AB178" s="873">
        <f t="shared" si="84"/>
        <v>0</v>
      </c>
      <c r="AC178" s="885">
        <f t="shared" si="85"/>
        <v>-307277.87674628111</v>
      </c>
    </row>
    <row r="179" spans="2:29" s="278" customFormat="1" ht="12" customHeight="1" x14ac:dyDescent="0.25">
      <c r="B179" s="1108">
        <f>IF(C179&lt;'Financing Assumptions'!$G$25,0,IF(C179='Financing Assumptions'!$G$25,1,IF(C179&gt;'Financing Assumptions'!$G$25,B178+1)))</f>
        <v>160</v>
      </c>
      <c r="C179" s="1109">
        <f t="shared" si="92"/>
        <v>162</v>
      </c>
      <c r="D179" s="732">
        <f t="shared" si="77"/>
        <v>31</v>
      </c>
      <c r="E179" s="35">
        <f t="shared" si="78"/>
        <v>7</v>
      </c>
      <c r="F179" s="889">
        <f t="shared" si="97"/>
        <v>50982</v>
      </c>
      <c r="G179" s="822">
        <f t="shared" si="79"/>
        <v>7</v>
      </c>
      <c r="H179" s="126">
        <f t="shared" si="80"/>
        <v>0</v>
      </c>
      <c r="I179" s="1098">
        <f t="shared" si="98"/>
        <v>0</v>
      </c>
      <c r="J179" s="887">
        <f t="shared" si="93"/>
        <v>160</v>
      </c>
      <c r="K179" s="1099">
        <f t="shared" si="86"/>
        <v>134</v>
      </c>
      <c r="L179" s="891" t="str">
        <f t="shared" si="87"/>
        <v>July</v>
      </c>
      <c r="M179" s="888">
        <f t="shared" si="94"/>
        <v>2039</v>
      </c>
      <c r="N179" s="1284">
        <f t="shared" si="99"/>
        <v>0</v>
      </c>
      <c r="O179" s="1284">
        <f t="shared" si="95"/>
        <v>0</v>
      </c>
      <c r="P179" s="883">
        <f t="shared" si="96"/>
        <v>38677545.646922953</v>
      </c>
      <c r="Q179" s="883">
        <f t="shared" si="88"/>
        <v>-307277.87674628111</v>
      </c>
      <c r="R179" s="1100"/>
      <c r="S179" s="883">
        <f t="shared" si="81"/>
        <v>-111204.20784174115</v>
      </c>
      <c r="T179" s="884">
        <f t="shared" si="89"/>
        <v>-196073.66890453995</v>
      </c>
      <c r="U179" s="884">
        <f>IF(AND($AU$43="Early Payoff",J179&gt;$U$15),0,IF($J179&lt;=$U$8,SUM($S$20:$S179),0))</f>
        <v>-7918658.5609187959</v>
      </c>
      <c r="V179" s="884">
        <f>IF(AND($AU$43="Early Payoff",J179&gt;$U$15),0,IF($J179&lt;=$U$8,SUM($T$20:$T179),0))</f>
        <v>-33154938.186503951</v>
      </c>
      <c r="W179" s="885">
        <f t="shared" si="90"/>
        <v>38566341.439081214</v>
      </c>
      <c r="X179" s="1110">
        <f t="shared" si="91"/>
        <v>38677545.646922953</v>
      </c>
      <c r="Z179" s="1102">
        <f t="shared" si="82"/>
        <v>0</v>
      </c>
      <c r="AA179" s="873">
        <f t="shared" si="83"/>
        <v>0</v>
      </c>
      <c r="AB179" s="873">
        <f t="shared" si="84"/>
        <v>0</v>
      </c>
      <c r="AC179" s="885">
        <f t="shared" si="85"/>
        <v>-307277.87674628111</v>
      </c>
    </row>
    <row r="180" spans="2:29" s="278" customFormat="1" ht="12" customHeight="1" x14ac:dyDescent="0.25">
      <c r="B180" s="1108">
        <f>IF(C180&lt;'Financing Assumptions'!$G$25,0,IF(C180='Financing Assumptions'!$G$25,1,IF(C180&gt;'Financing Assumptions'!$G$25,B179+1)))</f>
        <v>161</v>
      </c>
      <c r="C180" s="1109">
        <f t="shared" si="92"/>
        <v>163</v>
      </c>
      <c r="D180" s="732">
        <f t="shared" si="77"/>
        <v>31</v>
      </c>
      <c r="E180" s="35">
        <f t="shared" si="78"/>
        <v>8</v>
      </c>
      <c r="F180" s="889">
        <f t="shared" si="97"/>
        <v>51013</v>
      </c>
      <c r="G180" s="822">
        <f t="shared" si="79"/>
        <v>8</v>
      </c>
      <c r="H180" s="126">
        <f t="shared" si="80"/>
        <v>0</v>
      </c>
      <c r="I180" s="1098">
        <f t="shared" si="98"/>
        <v>0</v>
      </c>
      <c r="J180" s="887">
        <f t="shared" si="93"/>
        <v>161</v>
      </c>
      <c r="K180" s="1099">
        <f t="shared" si="86"/>
        <v>135</v>
      </c>
      <c r="L180" s="891" t="str">
        <f t="shared" si="87"/>
        <v>August</v>
      </c>
      <c r="M180" s="888">
        <f t="shared" si="94"/>
        <v>2039</v>
      </c>
      <c r="N180" s="1284">
        <f t="shared" si="99"/>
        <v>0</v>
      </c>
      <c r="O180" s="1284">
        <f t="shared" si="95"/>
        <v>0</v>
      </c>
      <c r="P180" s="883">
        <f t="shared" si="96"/>
        <v>38566341.439081214</v>
      </c>
      <c r="Q180" s="883">
        <f t="shared" si="88"/>
        <v>-307277.87674628111</v>
      </c>
      <c r="R180" s="1100"/>
      <c r="S180" s="883">
        <f t="shared" si="81"/>
        <v>-111767.95139538331</v>
      </c>
      <c r="T180" s="884">
        <f t="shared" si="89"/>
        <v>-195509.9253508978</v>
      </c>
      <c r="U180" s="884">
        <f>IF(AND($AU$43="Early Payoff",J180&gt;$U$15),0,IF($J180&lt;=$U$8,SUM($S$20:$S180),0))</f>
        <v>-8030426.512314179</v>
      </c>
      <c r="V180" s="884">
        <f>IF(AND($AU$43="Early Payoff",J180&gt;$U$15),0,IF($J180&lt;=$U$8,SUM($T$20:$T180),0))</f>
        <v>-33350448.111854848</v>
      </c>
      <c r="W180" s="885">
        <f t="shared" si="90"/>
        <v>38454573.487685829</v>
      </c>
      <c r="X180" s="1110">
        <f t="shared" si="91"/>
        <v>38566341.439081214</v>
      </c>
      <c r="Z180" s="1102">
        <f t="shared" si="82"/>
        <v>0</v>
      </c>
      <c r="AA180" s="873">
        <f t="shared" si="83"/>
        <v>0</v>
      </c>
      <c r="AB180" s="873">
        <f t="shared" si="84"/>
        <v>0</v>
      </c>
      <c r="AC180" s="885">
        <f t="shared" si="85"/>
        <v>-307277.87674628111</v>
      </c>
    </row>
    <row r="181" spans="2:29" s="278" customFormat="1" ht="12" customHeight="1" x14ac:dyDescent="0.25">
      <c r="B181" s="1108">
        <f>IF(C181&lt;'Financing Assumptions'!$G$25,0,IF(C181='Financing Assumptions'!$G$25,1,IF(C181&gt;'Financing Assumptions'!$G$25,B180+1)))</f>
        <v>162</v>
      </c>
      <c r="C181" s="1109">
        <f t="shared" si="92"/>
        <v>164</v>
      </c>
      <c r="D181" s="732">
        <f t="shared" si="77"/>
        <v>30</v>
      </c>
      <c r="E181" s="35">
        <f t="shared" si="78"/>
        <v>9</v>
      </c>
      <c r="F181" s="889">
        <f t="shared" si="97"/>
        <v>51043</v>
      </c>
      <c r="G181" s="822">
        <f t="shared" si="79"/>
        <v>9</v>
      </c>
      <c r="H181" s="126">
        <f t="shared" si="80"/>
        <v>0</v>
      </c>
      <c r="I181" s="1098">
        <f t="shared" si="98"/>
        <v>0</v>
      </c>
      <c r="J181" s="887">
        <f t="shared" si="93"/>
        <v>162</v>
      </c>
      <c r="K181" s="1099">
        <f t="shared" si="86"/>
        <v>136</v>
      </c>
      <c r="L181" s="891" t="str">
        <f t="shared" si="87"/>
        <v>September</v>
      </c>
      <c r="M181" s="888">
        <f t="shared" si="94"/>
        <v>2039</v>
      </c>
      <c r="N181" s="1284">
        <f t="shared" si="99"/>
        <v>0</v>
      </c>
      <c r="O181" s="1284">
        <f t="shared" si="95"/>
        <v>0</v>
      </c>
      <c r="P181" s="883">
        <f t="shared" si="96"/>
        <v>38454573.487685829</v>
      </c>
      <c r="Q181" s="883">
        <f t="shared" si="88"/>
        <v>-307277.87674628111</v>
      </c>
      <c r="R181" s="1100"/>
      <c r="S181" s="883">
        <f t="shared" si="81"/>
        <v>-112334.55281565158</v>
      </c>
      <c r="T181" s="884">
        <f t="shared" si="89"/>
        <v>-194943.32393062953</v>
      </c>
      <c r="U181" s="884">
        <f>IF(AND($AU$43="Early Payoff",J181&gt;$U$15),0,IF($J181&lt;=$U$8,SUM($S$20:$S181),0))</f>
        <v>-8142761.0651298305</v>
      </c>
      <c r="V181" s="884">
        <f>IF(AND($AU$43="Early Payoff",J181&gt;$U$15),0,IF($J181&lt;=$U$8,SUM($T$20:$T181),0))</f>
        <v>-33545391.435785476</v>
      </c>
      <c r="W181" s="885">
        <f t="shared" si="90"/>
        <v>38342238.934870176</v>
      </c>
      <c r="X181" s="1110">
        <f t="shared" si="91"/>
        <v>38454573.487685829</v>
      </c>
      <c r="Z181" s="1102">
        <f t="shared" si="82"/>
        <v>0</v>
      </c>
      <c r="AA181" s="873">
        <f t="shared" si="83"/>
        <v>0</v>
      </c>
      <c r="AB181" s="873">
        <f t="shared" si="84"/>
        <v>0</v>
      </c>
      <c r="AC181" s="885">
        <f t="shared" si="85"/>
        <v>-307277.87674628111</v>
      </c>
    </row>
    <row r="182" spans="2:29" s="278" customFormat="1" ht="12" customHeight="1" x14ac:dyDescent="0.25">
      <c r="B182" s="1108">
        <f>IF(C182&lt;'Financing Assumptions'!$G$25,0,IF(C182='Financing Assumptions'!$G$25,1,IF(C182&gt;'Financing Assumptions'!$G$25,B181+1)))</f>
        <v>163</v>
      </c>
      <c r="C182" s="1109">
        <f t="shared" si="92"/>
        <v>165</v>
      </c>
      <c r="D182" s="732">
        <f t="shared" si="77"/>
        <v>31</v>
      </c>
      <c r="E182" s="35">
        <f t="shared" si="78"/>
        <v>10</v>
      </c>
      <c r="F182" s="889">
        <f t="shared" si="97"/>
        <v>51074</v>
      </c>
      <c r="G182" s="822">
        <f t="shared" si="79"/>
        <v>10</v>
      </c>
      <c r="H182" s="126">
        <f t="shared" si="80"/>
        <v>0</v>
      </c>
      <c r="I182" s="1098">
        <f t="shared" si="98"/>
        <v>0</v>
      </c>
      <c r="J182" s="887">
        <f t="shared" si="93"/>
        <v>163</v>
      </c>
      <c r="K182" s="1099">
        <f t="shared" si="86"/>
        <v>137</v>
      </c>
      <c r="L182" s="891" t="str">
        <f t="shared" si="87"/>
        <v>October</v>
      </c>
      <c r="M182" s="888">
        <f t="shared" si="94"/>
        <v>2039</v>
      </c>
      <c r="N182" s="1284">
        <f t="shared" si="99"/>
        <v>0</v>
      </c>
      <c r="O182" s="1284">
        <f t="shared" si="95"/>
        <v>0</v>
      </c>
      <c r="P182" s="883">
        <f t="shared" si="96"/>
        <v>38342238.934870176</v>
      </c>
      <c r="Q182" s="883">
        <f t="shared" si="88"/>
        <v>-307277.87674628111</v>
      </c>
      <c r="R182" s="1100"/>
      <c r="S182" s="883">
        <f t="shared" si="81"/>
        <v>-112904.02659034202</v>
      </c>
      <c r="T182" s="884">
        <f t="shared" si="89"/>
        <v>-194373.85015593909</v>
      </c>
      <c r="U182" s="884">
        <f>IF(AND($AU$43="Early Payoff",J182&gt;$U$15),0,IF($J182&lt;=$U$8,SUM($S$20:$S182),0))</f>
        <v>-8255665.0917201722</v>
      </c>
      <c r="V182" s="884">
        <f>IF(AND($AU$43="Early Payoff",J182&gt;$U$15),0,IF($J182&lt;=$U$8,SUM($T$20:$T182),0))</f>
        <v>-33739765.285941415</v>
      </c>
      <c r="W182" s="885">
        <f t="shared" si="90"/>
        <v>38229334.908279836</v>
      </c>
      <c r="X182" s="1110">
        <f t="shared" si="91"/>
        <v>38342238.934870176</v>
      </c>
      <c r="Z182" s="1102">
        <f t="shared" si="82"/>
        <v>0</v>
      </c>
      <c r="AA182" s="873">
        <f t="shared" si="83"/>
        <v>0</v>
      </c>
      <c r="AB182" s="873">
        <f t="shared" si="84"/>
        <v>0</v>
      </c>
      <c r="AC182" s="885">
        <f t="shared" si="85"/>
        <v>-307277.87674628111</v>
      </c>
    </row>
    <row r="183" spans="2:29" s="278" customFormat="1" ht="12" customHeight="1" x14ac:dyDescent="0.25">
      <c r="B183" s="1108">
        <f>IF(C183&lt;'Financing Assumptions'!$G$25,0,IF(C183='Financing Assumptions'!$G$25,1,IF(C183&gt;'Financing Assumptions'!$G$25,B182+1)))</f>
        <v>164</v>
      </c>
      <c r="C183" s="1109">
        <f t="shared" si="92"/>
        <v>166</v>
      </c>
      <c r="D183" s="732">
        <f t="shared" si="77"/>
        <v>30</v>
      </c>
      <c r="E183" s="35">
        <f t="shared" si="78"/>
        <v>11</v>
      </c>
      <c r="F183" s="889">
        <f t="shared" si="97"/>
        <v>51104</v>
      </c>
      <c r="G183" s="822">
        <f t="shared" si="79"/>
        <v>11</v>
      </c>
      <c r="H183" s="126">
        <f t="shared" si="80"/>
        <v>0</v>
      </c>
      <c r="I183" s="1098">
        <f t="shared" si="98"/>
        <v>0</v>
      </c>
      <c r="J183" s="887">
        <f t="shared" si="93"/>
        <v>164</v>
      </c>
      <c r="K183" s="1099">
        <f t="shared" si="86"/>
        <v>138</v>
      </c>
      <c r="L183" s="891" t="str">
        <f t="shared" si="87"/>
        <v>November</v>
      </c>
      <c r="M183" s="888">
        <f t="shared" si="94"/>
        <v>2039</v>
      </c>
      <c r="N183" s="1284">
        <f t="shared" si="99"/>
        <v>0</v>
      </c>
      <c r="O183" s="1284">
        <f t="shared" si="95"/>
        <v>0</v>
      </c>
      <c r="P183" s="883">
        <f t="shared" si="96"/>
        <v>38229334.908279836</v>
      </c>
      <c r="Q183" s="883">
        <f t="shared" si="88"/>
        <v>-307277.87674628111</v>
      </c>
      <c r="R183" s="1100"/>
      <c r="S183" s="883">
        <f t="shared" si="81"/>
        <v>-113476.38728069584</v>
      </c>
      <c r="T183" s="884">
        <f t="shared" si="89"/>
        <v>-193801.48946558527</v>
      </c>
      <c r="U183" s="884">
        <f>IF(AND($AU$43="Early Payoff",J183&gt;$U$15),0,IF($J183&lt;=$U$8,SUM($S$20:$S183),0))</f>
        <v>-8369141.4790008683</v>
      </c>
      <c r="V183" s="884">
        <f>IF(AND($AU$43="Early Payoff",J183&gt;$U$15),0,IF($J183&lt;=$U$8,SUM($T$20:$T183),0))</f>
        <v>-33933566.775407001</v>
      </c>
      <c r="W183" s="885">
        <f t="shared" si="90"/>
        <v>38115858.520999141</v>
      </c>
      <c r="X183" s="1110">
        <f t="shared" si="91"/>
        <v>38229334.908279836</v>
      </c>
      <c r="Z183" s="1102">
        <f t="shared" si="82"/>
        <v>0</v>
      </c>
      <c r="AA183" s="873">
        <f t="shared" si="83"/>
        <v>0</v>
      </c>
      <c r="AB183" s="873">
        <f t="shared" si="84"/>
        <v>0</v>
      </c>
      <c r="AC183" s="885">
        <f t="shared" si="85"/>
        <v>-307277.87674628111</v>
      </c>
    </row>
    <row r="184" spans="2:29" s="278" customFormat="1" ht="12" customHeight="1" x14ac:dyDescent="0.25">
      <c r="B184" s="1108">
        <f>IF(C184&lt;'Financing Assumptions'!$G$25,0,IF(C184='Financing Assumptions'!$G$25,1,IF(C184&gt;'Financing Assumptions'!$G$25,B183+1)))</f>
        <v>165</v>
      </c>
      <c r="C184" s="1109">
        <f t="shared" si="92"/>
        <v>167</v>
      </c>
      <c r="D184" s="732">
        <f t="shared" si="77"/>
        <v>31</v>
      </c>
      <c r="E184" s="35">
        <f t="shared" si="78"/>
        <v>12</v>
      </c>
      <c r="F184" s="889">
        <f t="shared" si="97"/>
        <v>51135</v>
      </c>
      <c r="G184" s="822">
        <f t="shared" si="79"/>
        <v>12</v>
      </c>
      <c r="H184" s="126">
        <f t="shared" si="80"/>
        <v>1</v>
      </c>
      <c r="I184" s="1098">
        <f t="shared" si="98"/>
        <v>0</v>
      </c>
      <c r="J184" s="887">
        <f t="shared" si="93"/>
        <v>165</v>
      </c>
      <c r="K184" s="1099">
        <f t="shared" si="86"/>
        <v>139</v>
      </c>
      <c r="L184" s="891" t="str">
        <f t="shared" si="87"/>
        <v>December</v>
      </c>
      <c r="M184" s="888">
        <f t="shared" si="94"/>
        <v>2039</v>
      </c>
      <c r="N184" s="1284">
        <f t="shared" si="99"/>
        <v>0</v>
      </c>
      <c r="O184" s="1284">
        <f t="shared" si="95"/>
        <v>0</v>
      </c>
      <c r="P184" s="883">
        <f t="shared" si="96"/>
        <v>38115858.520999141</v>
      </c>
      <c r="Q184" s="883">
        <f t="shared" si="88"/>
        <v>-307277.87674628111</v>
      </c>
      <c r="R184" s="1100"/>
      <c r="S184" s="883">
        <f t="shared" si="81"/>
        <v>-114051.64952177159</v>
      </c>
      <c r="T184" s="884">
        <f t="shared" si="89"/>
        <v>-193226.22722450952</v>
      </c>
      <c r="U184" s="884">
        <f>IF(AND($AU$43="Early Payoff",J184&gt;$U$15),0,IF($J184&lt;=$U$8,SUM($S$20:$S184),0))</f>
        <v>-8483193.1285226401</v>
      </c>
      <c r="V184" s="884">
        <f>IF(AND($AU$43="Early Payoff",J184&gt;$U$15),0,IF($J184&lt;=$U$8,SUM($T$20:$T184),0))</f>
        <v>-34126793.002631508</v>
      </c>
      <c r="W184" s="885">
        <f t="shared" si="90"/>
        <v>38001806.871477373</v>
      </c>
      <c r="X184" s="1110">
        <f t="shared" si="91"/>
        <v>38115858.520999141</v>
      </c>
      <c r="Z184" s="1102">
        <f t="shared" si="82"/>
        <v>0</v>
      </c>
      <c r="AA184" s="873">
        <f t="shared" si="83"/>
        <v>0</v>
      </c>
      <c r="AB184" s="873">
        <f t="shared" si="84"/>
        <v>0</v>
      </c>
      <c r="AC184" s="885">
        <f t="shared" si="85"/>
        <v>-307277.87674628111</v>
      </c>
    </row>
    <row r="185" spans="2:29" s="278" customFormat="1" ht="12" customHeight="1" x14ac:dyDescent="0.25">
      <c r="B185" s="1108">
        <f>IF(C185&lt;'Financing Assumptions'!$G$25,0,IF(C185='Financing Assumptions'!$G$25,1,IF(C185&gt;'Financing Assumptions'!$G$25,B184+1)))</f>
        <v>166</v>
      </c>
      <c r="C185" s="1109">
        <f t="shared" si="92"/>
        <v>168</v>
      </c>
      <c r="D185" s="732">
        <f t="shared" si="77"/>
        <v>31</v>
      </c>
      <c r="E185" s="35">
        <f t="shared" si="78"/>
        <v>1</v>
      </c>
      <c r="F185" s="889">
        <f t="shared" si="97"/>
        <v>51166</v>
      </c>
      <c r="G185" s="822">
        <f t="shared" si="79"/>
        <v>1</v>
      </c>
      <c r="H185" s="126">
        <f t="shared" si="80"/>
        <v>0</v>
      </c>
      <c r="I185" s="1098">
        <f t="shared" si="98"/>
        <v>0</v>
      </c>
      <c r="J185" s="887">
        <f t="shared" si="93"/>
        <v>166</v>
      </c>
      <c r="K185" s="1099">
        <f t="shared" si="86"/>
        <v>140</v>
      </c>
      <c r="L185" s="891" t="str">
        <f t="shared" si="87"/>
        <v>January</v>
      </c>
      <c r="M185" s="888">
        <f t="shared" si="94"/>
        <v>2040</v>
      </c>
      <c r="N185" s="1284">
        <f t="shared" si="99"/>
        <v>0</v>
      </c>
      <c r="O185" s="1284">
        <f t="shared" si="95"/>
        <v>0</v>
      </c>
      <c r="P185" s="883">
        <f t="shared" si="96"/>
        <v>38001806.871477373</v>
      </c>
      <c r="Q185" s="883">
        <f t="shared" si="88"/>
        <v>-307277.87674628111</v>
      </c>
      <c r="R185" s="1100"/>
      <c r="S185" s="883">
        <f t="shared" si="81"/>
        <v>-114629.82802281945</v>
      </c>
      <c r="T185" s="884">
        <f t="shared" si="89"/>
        <v>-192648.04872346166</v>
      </c>
      <c r="U185" s="884">
        <f>IF(AND($AU$43="Early Payoff",J185&gt;$U$15),0,IF($J185&lt;=$U$8,SUM($S$20:$S185),0))</f>
        <v>-8597822.9565454591</v>
      </c>
      <c r="V185" s="884">
        <f>IF(AND($AU$43="Early Payoff",J185&gt;$U$15),0,IF($J185&lt;=$U$8,SUM($T$20:$T185),0))</f>
        <v>-34319441.051354967</v>
      </c>
      <c r="W185" s="885">
        <f t="shared" si="90"/>
        <v>37887177.04345455</v>
      </c>
      <c r="X185" s="1110">
        <f t="shared" si="91"/>
        <v>38001806.871477373</v>
      </c>
      <c r="Z185" s="1102">
        <f t="shared" si="82"/>
        <v>0</v>
      </c>
      <c r="AA185" s="873">
        <f t="shared" si="83"/>
        <v>0</v>
      </c>
      <c r="AB185" s="873">
        <f t="shared" si="84"/>
        <v>0</v>
      </c>
      <c r="AC185" s="885">
        <f t="shared" si="85"/>
        <v>-307277.87674628111</v>
      </c>
    </row>
    <row r="186" spans="2:29" s="278" customFormat="1" ht="12" customHeight="1" x14ac:dyDescent="0.25">
      <c r="B186" s="1108">
        <f>IF(C186&lt;'Financing Assumptions'!$G$25,0,IF(C186='Financing Assumptions'!$G$25,1,IF(C186&gt;'Financing Assumptions'!$G$25,B185+1)))</f>
        <v>167</v>
      </c>
      <c r="C186" s="1109">
        <f t="shared" si="92"/>
        <v>169</v>
      </c>
      <c r="D186" s="732">
        <f t="shared" si="77"/>
        <v>29</v>
      </c>
      <c r="E186" s="35">
        <f t="shared" si="78"/>
        <v>2</v>
      </c>
      <c r="F186" s="889">
        <f t="shared" si="97"/>
        <v>51195</v>
      </c>
      <c r="G186" s="822">
        <f t="shared" si="79"/>
        <v>2</v>
      </c>
      <c r="H186" s="126">
        <f t="shared" si="80"/>
        <v>0</v>
      </c>
      <c r="I186" s="1098">
        <f t="shared" si="98"/>
        <v>0</v>
      </c>
      <c r="J186" s="887">
        <f t="shared" si="93"/>
        <v>167</v>
      </c>
      <c r="K186" s="1099">
        <f t="shared" si="86"/>
        <v>141</v>
      </c>
      <c r="L186" s="891" t="str">
        <f t="shared" si="87"/>
        <v>February</v>
      </c>
      <c r="M186" s="888">
        <f t="shared" si="94"/>
        <v>2040</v>
      </c>
      <c r="N186" s="1284">
        <f t="shared" si="99"/>
        <v>0</v>
      </c>
      <c r="O186" s="1284">
        <f t="shared" si="95"/>
        <v>0</v>
      </c>
      <c r="P186" s="883">
        <f t="shared" si="96"/>
        <v>37887177.04345455</v>
      </c>
      <c r="Q186" s="883">
        <f t="shared" si="88"/>
        <v>-307277.87674628111</v>
      </c>
      <c r="R186" s="1100"/>
      <c r="S186" s="883">
        <f t="shared" si="81"/>
        <v>-115210.93756765735</v>
      </c>
      <c r="T186" s="884">
        <f t="shared" si="89"/>
        <v>-192066.93917862375</v>
      </c>
      <c r="U186" s="884">
        <f>IF(AND($AU$43="Early Payoff",J186&gt;$U$15),0,IF($J186&lt;=$U$8,SUM($S$20:$S186),0))</f>
        <v>-8713033.894113116</v>
      </c>
      <c r="V186" s="884">
        <f>IF(AND($AU$43="Early Payoff",J186&gt;$U$15),0,IF($J186&lt;=$U$8,SUM($T$20:$T186),0))</f>
        <v>-34511507.99053359</v>
      </c>
      <c r="W186" s="885">
        <f t="shared" si="90"/>
        <v>37771966.105886891</v>
      </c>
      <c r="X186" s="1110">
        <f t="shared" si="91"/>
        <v>37887177.04345455</v>
      </c>
      <c r="Z186" s="1102">
        <f t="shared" si="82"/>
        <v>0</v>
      </c>
      <c r="AA186" s="873">
        <f t="shared" si="83"/>
        <v>0</v>
      </c>
      <c r="AB186" s="873">
        <f t="shared" si="84"/>
        <v>0</v>
      </c>
      <c r="AC186" s="885">
        <f t="shared" si="85"/>
        <v>-307277.87674628111</v>
      </c>
    </row>
    <row r="187" spans="2:29" s="278" customFormat="1" ht="12" customHeight="1" x14ac:dyDescent="0.25">
      <c r="B187" s="1108">
        <f>IF(C187&lt;'Financing Assumptions'!$G$25,0,IF(C187='Financing Assumptions'!$G$25,1,IF(C187&gt;'Financing Assumptions'!$G$25,B186+1)))</f>
        <v>168</v>
      </c>
      <c r="C187" s="1109">
        <f t="shared" si="92"/>
        <v>170</v>
      </c>
      <c r="D187" s="732">
        <f t="shared" si="77"/>
        <v>31</v>
      </c>
      <c r="E187" s="35">
        <f t="shared" si="78"/>
        <v>3</v>
      </c>
      <c r="F187" s="889">
        <f t="shared" si="97"/>
        <v>51226</v>
      </c>
      <c r="G187" s="822">
        <f t="shared" si="79"/>
        <v>3</v>
      </c>
      <c r="H187" s="126">
        <f t="shared" si="80"/>
        <v>0</v>
      </c>
      <c r="I187" s="1098">
        <f t="shared" si="98"/>
        <v>0</v>
      </c>
      <c r="J187" s="887">
        <f t="shared" si="93"/>
        <v>168</v>
      </c>
      <c r="K187" s="1099">
        <f t="shared" si="86"/>
        <v>142</v>
      </c>
      <c r="L187" s="891" t="str">
        <f t="shared" si="87"/>
        <v>March</v>
      </c>
      <c r="M187" s="888">
        <f t="shared" si="94"/>
        <v>2040</v>
      </c>
      <c r="N187" s="1284">
        <f t="shared" si="99"/>
        <v>0</v>
      </c>
      <c r="O187" s="1284">
        <f t="shared" si="95"/>
        <v>0</v>
      </c>
      <c r="P187" s="883">
        <f t="shared" si="96"/>
        <v>37771966.105886891</v>
      </c>
      <c r="Q187" s="883">
        <f t="shared" si="88"/>
        <v>-307277.87674628111</v>
      </c>
      <c r="R187" s="1100"/>
      <c r="S187" s="883">
        <f t="shared" si="81"/>
        <v>-115794.99301504897</v>
      </c>
      <c r="T187" s="884">
        <f t="shared" si="89"/>
        <v>-191482.88373123214</v>
      </c>
      <c r="U187" s="884">
        <f>IF(AND($AU$43="Early Payoff",J187&gt;$U$15),0,IF($J187&lt;=$U$8,SUM($S$20:$S187),0))</f>
        <v>-8828828.887128165</v>
      </c>
      <c r="V187" s="884">
        <f>IF(AND($AU$43="Early Payoff",J187&gt;$U$15),0,IF($J187&lt;=$U$8,SUM($T$20:$T187),0))</f>
        <v>-34702990.874264821</v>
      </c>
      <c r="W187" s="885">
        <f t="shared" si="90"/>
        <v>37656171.112871841</v>
      </c>
      <c r="X187" s="1110">
        <f t="shared" si="91"/>
        <v>37771966.105886891</v>
      </c>
      <c r="Z187" s="1102">
        <f t="shared" si="82"/>
        <v>0</v>
      </c>
      <c r="AA187" s="873">
        <f t="shared" si="83"/>
        <v>0</v>
      </c>
      <c r="AB187" s="873">
        <f t="shared" si="84"/>
        <v>0</v>
      </c>
      <c r="AC187" s="885">
        <f t="shared" si="85"/>
        <v>-307277.87674628111</v>
      </c>
    </row>
    <row r="188" spans="2:29" s="278" customFormat="1" ht="12" customHeight="1" x14ac:dyDescent="0.25">
      <c r="B188" s="1108">
        <f>IF(C188&lt;'Financing Assumptions'!$G$25,0,IF(C188='Financing Assumptions'!$G$25,1,IF(C188&gt;'Financing Assumptions'!$G$25,B187+1)))</f>
        <v>169</v>
      </c>
      <c r="C188" s="1109">
        <f t="shared" si="92"/>
        <v>171</v>
      </c>
      <c r="D188" s="732">
        <f t="shared" si="77"/>
        <v>30</v>
      </c>
      <c r="E188" s="35">
        <f t="shared" si="78"/>
        <v>4</v>
      </c>
      <c r="F188" s="889">
        <f t="shared" si="97"/>
        <v>51256</v>
      </c>
      <c r="G188" s="822">
        <f t="shared" si="79"/>
        <v>4</v>
      </c>
      <c r="H188" s="126">
        <f t="shared" si="80"/>
        <v>0</v>
      </c>
      <c r="I188" s="1098">
        <f t="shared" si="98"/>
        <v>0</v>
      </c>
      <c r="J188" s="887">
        <f t="shared" si="93"/>
        <v>169</v>
      </c>
      <c r="K188" s="1099">
        <f t="shared" si="86"/>
        <v>143</v>
      </c>
      <c r="L188" s="891" t="str">
        <f t="shared" si="87"/>
        <v>April</v>
      </c>
      <c r="M188" s="888">
        <f t="shared" si="94"/>
        <v>2040</v>
      </c>
      <c r="N188" s="1284">
        <f t="shared" si="99"/>
        <v>0</v>
      </c>
      <c r="O188" s="1284">
        <f t="shared" si="95"/>
        <v>0</v>
      </c>
      <c r="P188" s="883">
        <f t="shared" si="96"/>
        <v>37656171.112871841</v>
      </c>
      <c r="Q188" s="883">
        <f t="shared" si="88"/>
        <v>-307277.87674628111</v>
      </c>
      <c r="R188" s="1100"/>
      <c r="S188" s="883">
        <f t="shared" si="81"/>
        <v>-116382.00929908358</v>
      </c>
      <c r="T188" s="884">
        <f t="shared" si="89"/>
        <v>-190895.86744719752</v>
      </c>
      <c r="U188" s="884">
        <f>IF(AND($AU$43="Early Payoff",J188&gt;$U$15),0,IF($J188&lt;=$U$8,SUM($S$20:$S188),0))</f>
        <v>-8945210.8964272477</v>
      </c>
      <c r="V188" s="884">
        <f>IF(AND($AU$43="Early Payoff",J188&gt;$U$15),0,IF($J188&lt;=$U$8,SUM($T$20:$T188),0))</f>
        <v>-34893886.741712019</v>
      </c>
      <c r="W188" s="885">
        <f t="shared" si="90"/>
        <v>37539789.103572756</v>
      </c>
      <c r="X188" s="1110">
        <f t="shared" si="91"/>
        <v>37656171.112871841</v>
      </c>
      <c r="Z188" s="1102">
        <f t="shared" si="82"/>
        <v>0</v>
      </c>
      <c r="AA188" s="873">
        <f t="shared" si="83"/>
        <v>0</v>
      </c>
      <c r="AB188" s="873">
        <f t="shared" si="84"/>
        <v>0</v>
      </c>
      <c r="AC188" s="885">
        <f t="shared" si="85"/>
        <v>-307277.87674628111</v>
      </c>
    </row>
    <row r="189" spans="2:29" s="278" customFormat="1" ht="12" customHeight="1" x14ac:dyDescent="0.25">
      <c r="B189" s="1108">
        <f>IF(C189&lt;'Financing Assumptions'!$G$25,0,IF(C189='Financing Assumptions'!$G$25,1,IF(C189&gt;'Financing Assumptions'!$G$25,B188+1)))</f>
        <v>170</v>
      </c>
      <c r="C189" s="1109">
        <f t="shared" si="92"/>
        <v>172</v>
      </c>
      <c r="D189" s="732">
        <f t="shared" si="77"/>
        <v>31</v>
      </c>
      <c r="E189" s="35">
        <f t="shared" si="78"/>
        <v>5</v>
      </c>
      <c r="F189" s="889">
        <f t="shared" si="97"/>
        <v>51287</v>
      </c>
      <c r="G189" s="822">
        <f t="shared" si="79"/>
        <v>5</v>
      </c>
      <c r="H189" s="126">
        <f t="shared" si="80"/>
        <v>0</v>
      </c>
      <c r="I189" s="1098">
        <f t="shared" si="98"/>
        <v>0</v>
      </c>
      <c r="J189" s="887">
        <f t="shared" si="93"/>
        <v>170</v>
      </c>
      <c r="K189" s="1099">
        <f t="shared" si="86"/>
        <v>144</v>
      </c>
      <c r="L189" s="891" t="str">
        <f t="shared" si="87"/>
        <v>May</v>
      </c>
      <c r="M189" s="888">
        <f t="shared" si="94"/>
        <v>2040</v>
      </c>
      <c r="N189" s="1284">
        <f t="shared" si="99"/>
        <v>0</v>
      </c>
      <c r="O189" s="1284">
        <f t="shared" si="95"/>
        <v>0</v>
      </c>
      <c r="P189" s="883">
        <f t="shared" si="96"/>
        <v>37539789.103572756</v>
      </c>
      <c r="Q189" s="883">
        <f t="shared" si="88"/>
        <v>-307277.87674628111</v>
      </c>
      <c r="R189" s="1100"/>
      <c r="S189" s="883">
        <f t="shared" si="81"/>
        <v>-116972.00142955812</v>
      </c>
      <c r="T189" s="884">
        <f t="shared" si="89"/>
        <v>-190305.87531672299</v>
      </c>
      <c r="U189" s="884">
        <f>IF(AND($AU$43="Early Payoff",J189&gt;$U$15),0,IF($J189&lt;=$U$8,SUM($S$20:$S189),0))</f>
        <v>-9062182.8978568055</v>
      </c>
      <c r="V189" s="884">
        <f>IF(AND($AU$43="Early Payoff",J189&gt;$U$15),0,IF($J189&lt;=$U$8,SUM($T$20:$T189),0))</f>
        <v>-35084192.617028743</v>
      </c>
      <c r="W189" s="885">
        <f t="shared" si="90"/>
        <v>37422817.102143198</v>
      </c>
      <c r="X189" s="1110">
        <f t="shared" si="91"/>
        <v>37539789.103572756</v>
      </c>
      <c r="Z189" s="1102">
        <f t="shared" si="82"/>
        <v>0</v>
      </c>
      <c r="AA189" s="873">
        <f t="shared" si="83"/>
        <v>0</v>
      </c>
      <c r="AB189" s="873">
        <f t="shared" si="84"/>
        <v>0</v>
      </c>
      <c r="AC189" s="885">
        <f t="shared" si="85"/>
        <v>-307277.87674628111</v>
      </c>
    </row>
    <row r="190" spans="2:29" s="278" customFormat="1" ht="12" customHeight="1" x14ac:dyDescent="0.25">
      <c r="B190" s="1108">
        <f>IF(C190&lt;'Financing Assumptions'!$G$25,0,IF(C190='Financing Assumptions'!$G$25,1,IF(C190&gt;'Financing Assumptions'!$G$25,B189+1)))</f>
        <v>171</v>
      </c>
      <c r="C190" s="1109">
        <f t="shared" si="92"/>
        <v>173</v>
      </c>
      <c r="D190" s="732">
        <f t="shared" si="77"/>
        <v>30</v>
      </c>
      <c r="E190" s="35">
        <f t="shared" si="78"/>
        <v>6</v>
      </c>
      <c r="F190" s="889">
        <f t="shared" si="97"/>
        <v>51317</v>
      </c>
      <c r="G190" s="822">
        <f t="shared" si="79"/>
        <v>6</v>
      </c>
      <c r="H190" s="126">
        <f t="shared" si="80"/>
        <v>0</v>
      </c>
      <c r="I190" s="1098">
        <f t="shared" si="98"/>
        <v>0</v>
      </c>
      <c r="J190" s="887">
        <f t="shared" si="93"/>
        <v>171</v>
      </c>
      <c r="K190" s="1099">
        <f t="shared" si="86"/>
        <v>145</v>
      </c>
      <c r="L190" s="891" t="str">
        <f t="shared" si="87"/>
        <v>June</v>
      </c>
      <c r="M190" s="888">
        <f t="shared" si="94"/>
        <v>2040</v>
      </c>
      <c r="N190" s="1284">
        <f t="shared" si="99"/>
        <v>0</v>
      </c>
      <c r="O190" s="1284">
        <f t="shared" si="95"/>
        <v>0</v>
      </c>
      <c r="P190" s="883">
        <f t="shared" si="96"/>
        <v>37422817.102143198</v>
      </c>
      <c r="Q190" s="883">
        <f t="shared" si="88"/>
        <v>-307277.87674628111</v>
      </c>
      <c r="R190" s="1100"/>
      <c r="S190" s="883">
        <f t="shared" si="81"/>
        <v>-117564.98449236073</v>
      </c>
      <c r="T190" s="884">
        <f t="shared" si="89"/>
        <v>-189712.89225392038</v>
      </c>
      <c r="U190" s="884">
        <f>IF(AND($AU$43="Early Payoff",J190&gt;$U$15),0,IF($J190&lt;=$U$8,SUM($S$20:$S190),0))</f>
        <v>-9179747.882349167</v>
      </c>
      <c r="V190" s="884">
        <f>IF(AND($AU$43="Early Payoff",J190&gt;$U$15),0,IF($J190&lt;=$U$8,SUM($T$20:$T190),0))</f>
        <v>-35273905.509282663</v>
      </c>
      <c r="W190" s="885">
        <f t="shared" si="90"/>
        <v>37305252.117650837</v>
      </c>
      <c r="X190" s="1110">
        <f t="shared" si="91"/>
        <v>37422817.102143198</v>
      </c>
      <c r="Z190" s="1102">
        <f t="shared" si="82"/>
        <v>0</v>
      </c>
      <c r="AA190" s="873">
        <f t="shared" si="83"/>
        <v>0</v>
      </c>
      <c r="AB190" s="873">
        <f t="shared" si="84"/>
        <v>0</v>
      </c>
      <c r="AC190" s="885">
        <f t="shared" si="85"/>
        <v>-307277.87674628111</v>
      </c>
    </row>
    <row r="191" spans="2:29" s="278" customFormat="1" ht="12" customHeight="1" x14ac:dyDescent="0.25">
      <c r="B191" s="1108">
        <f>IF(C191&lt;'Financing Assumptions'!$G$25,0,IF(C191='Financing Assumptions'!$G$25,1,IF(C191&gt;'Financing Assumptions'!$G$25,B190+1)))</f>
        <v>172</v>
      </c>
      <c r="C191" s="1109">
        <f t="shared" si="92"/>
        <v>174</v>
      </c>
      <c r="D191" s="732">
        <f t="shared" si="77"/>
        <v>31</v>
      </c>
      <c r="E191" s="35">
        <f t="shared" si="78"/>
        <v>7</v>
      </c>
      <c r="F191" s="889">
        <f t="shared" si="97"/>
        <v>51348</v>
      </c>
      <c r="G191" s="822">
        <f t="shared" si="79"/>
        <v>7</v>
      </c>
      <c r="H191" s="126">
        <f t="shared" si="80"/>
        <v>0</v>
      </c>
      <c r="I191" s="1098">
        <f t="shared" si="98"/>
        <v>0</v>
      </c>
      <c r="J191" s="887">
        <f t="shared" si="93"/>
        <v>172</v>
      </c>
      <c r="K191" s="1099">
        <f t="shared" si="86"/>
        <v>146</v>
      </c>
      <c r="L191" s="891" t="str">
        <f t="shared" si="87"/>
        <v>July</v>
      </c>
      <c r="M191" s="888">
        <f t="shared" si="94"/>
        <v>2040</v>
      </c>
      <c r="N191" s="1284">
        <f t="shared" si="99"/>
        <v>0</v>
      </c>
      <c r="O191" s="1284">
        <f t="shared" si="95"/>
        <v>0</v>
      </c>
      <c r="P191" s="883">
        <f t="shared" si="96"/>
        <v>37305252.117650837</v>
      </c>
      <c r="Q191" s="883">
        <f t="shared" si="88"/>
        <v>-307277.87674628111</v>
      </c>
      <c r="R191" s="1100"/>
      <c r="S191" s="883">
        <f t="shared" si="81"/>
        <v>-118160.97364985675</v>
      </c>
      <c r="T191" s="884">
        <f t="shared" si="89"/>
        <v>-189116.90309642436</v>
      </c>
      <c r="U191" s="884">
        <f>IF(AND($AU$43="Early Payoff",J191&gt;$U$15),0,IF($J191&lt;=$U$8,SUM($S$20:$S191),0))</f>
        <v>-9297908.8559990246</v>
      </c>
      <c r="V191" s="884">
        <f>IF(AND($AU$43="Early Payoff",J191&gt;$U$15),0,IF($J191&lt;=$U$8,SUM($T$20:$T191),0))</f>
        <v>-35463022.412379086</v>
      </c>
      <c r="W191" s="885">
        <f t="shared" si="90"/>
        <v>37187091.144000977</v>
      </c>
      <c r="X191" s="1110">
        <f t="shared" si="91"/>
        <v>37305252.117650837</v>
      </c>
      <c r="Z191" s="1102">
        <f t="shared" si="82"/>
        <v>0</v>
      </c>
      <c r="AA191" s="873">
        <f t="shared" si="83"/>
        <v>0</v>
      </c>
      <c r="AB191" s="873">
        <f t="shared" si="84"/>
        <v>0</v>
      </c>
      <c r="AC191" s="885">
        <f t="shared" si="85"/>
        <v>-307277.87674628111</v>
      </c>
    </row>
    <row r="192" spans="2:29" s="278" customFormat="1" ht="12" customHeight="1" x14ac:dyDescent="0.25">
      <c r="B192" s="1108">
        <f>IF(C192&lt;'Financing Assumptions'!$G$25,0,IF(C192='Financing Assumptions'!$G$25,1,IF(C192&gt;'Financing Assumptions'!$G$25,B191+1)))</f>
        <v>173</v>
      </c>
      <c r="C192" s="1109">
        <f t="shared" si="92"/>
        <v>175</v>
      </c>
      <c r="D192" s="732">
        <f t="shared" si="77"/>
        <v>31</v>
      </c>
      <c r="E192" s="35">
        <f t="shared" si="78"/>
        <v>8</v>
      </c>
      <c r="F192" s="889">
        <f t="shared" si="97"/>
        <v>51379</v>
      </c>
      <c r="G192" s="822">
        <f t="shared" si="79"/>
        <v>8</v>
      </c>
      <c r="H192" s="126">
        <f t="shared" si="80"/>
        <v>0</v>
      </c>
      <c r="I192" s="1098">
        <f t="shared" si="98"/>
        <v>0</v>
      </c>
      <c r="J192" s="887">
        <f t="shared" si="93"/>
        <v>173</v>
      </c>
      <c r="K192" s="1099">
        <f t="shared" si="86"/>
        <v>147</v>
      </c>
      <c r="L192" s="891" t="str">
        <f t="shared" si="87"/>
        <v>August</v>
      </c>
      <c r="M192" s="888">
        <f t="shared" si="94"/>
        <v>2040</v>
      </c>
      <c r="N192" s="1284">
        <f t="shared" si="99"/>
        <v>0</v>
      </c>
      <c r="O192" s="1284">
        <f t="shared" si="95"/>
        <v>0</v>
      </c>
      <c r="P192" s="883">
        <f t="shared" si="96"/>
        <v>37187091.144000977</v>
      </c>
      <c r="Q192" s="883">
        <f t="shared" si="88"/>
        <v>-307277.87674628111</v>
      </c>
      <c r="R192" s="1100"/>
      <c r="S192" s="883">
        <f t="shared" si="81"/>
        <v>-118759.98414127616</v>
      </c>
      <c r="T192" s="884">
        <f t="shared" si="89"/>
        <v>-188517.89260500495</v>
      </c>
      <c r="U192" s="884">
        <f>IF(AND($AU$43="Early Payoff",J192&gt;$U$15),0,IF($J192&lt;=$U$8,SUM($S$20:$S192),0))</f>
        <v>-9416668.8401402999</v>
      </c>
      <c r="V192" s="884">
        <f>IF(AND($AU$43="Early Payoff",J192&gt;$U$15),0,IF($J192&lt;=$U$8,SUM($T$20:$T192),0))</f>
        <v>-35651540.304984093</v>
      </c>
      <c r="W192" s="885">
        <f t="shared" si="90"/>
        <v>37068331.159859702</v>
      </c>
      <c r="X192" s="1110">
        <f t="shared" si="91"/>
        <v>37187091.144000977</v>
      </c>
      <c r="Z192" s="1102">
        <f t="shared" si="82"/>
        <v>0</v>
      </c>
      <c r="AA192" s="873">
        <f t="shared" si="83"/>
        <v>0</v>
      </c>
      <c r="AB192" s="873">
        <f t="shared" si="84"/>
        <v>0</v>
      </c>
      <c r="AC192" s="885">
        <f t="shared" si="85"/>
        <v>-307277.87674628111</v>
      </c>
    </row>
    <row r="193" spans="2:29" s="278" customFormat="1" ht="12" customHeight="1" x14ac:dyDescent="0.25">
      <c r="B193" s="1108">
        <f>IF(C193&lt;'Financing Assumptions'!$G$25,0,IF(C193='Financing Assumptions'!$G$25,1,IF(C193&gt;'Financing Assumptions'!$G$25,B192+1)))</f>
        <v>174</v>
      </c>
      <c r="C193" s="1109">
        <f t="shared" si="92"/>
        <v>176</v>
      </c>
      <c r="D193" s="732">
        <f t="shared" si="77"/>
        <v>30</v>
      </c>
      <c r="E193" s="35">
        <f t="shared" si="78"/>
        <v>9</v>
      </c>
      <c r="F193" s="889">
        <f t="shared" si="97"/>
        <v>51409</v>
      </c>
      <c r="G193" s="822">
        <f t="shared" si="79"/>
        <v>9</v>
      </c>
      <c r="H193" s="126">
        <f t="shared" si="80"/>
        <v>0</v>
      </c>
      <c r="I193" s="1098">
        <f t="shared" si="98"/>
        <v>0</v>
      </c>
      <c r="J193" s="887">
        <f t="shared" si="93"/>
        <v>174</v>
      </c>
      <c r="K193" s="1099">
        <f t="shared" si="86"/>
        <v>148</v>
      </c>
      <c r="L193" s="891" t="str">
        <f t="shared" si="87"/>
        <v>September</v>
      </c>
      <c r="M193" s="888">
        <f t="shared" si="94"/>
        <v>2040</v>
      </c>
      <c r="N193" s="1284">
        <f t="shared" si="99"/>
        <v>0</v>
      </c>
      <c r="O193" s="1284">
        <f t="shared" si="95"/>
        <v>0</v>
      </c>
      <c r="P193" s="883">
        <f t="shared" si="96"/>
        <v>37068331.159859702</v>
      </c>
      <c r="Q193" s="883">
        <f t="shared" si="88"/>
        <v>-307277.87674628111</v>
      </c>
      <c r="R193" s="1100"/>
      <c r="S193" s="883">
        <f t="shared" si="81"/>
        <v>-119362.03128310345</v>
      </c>
      <c r="T193" s="884">
        <f t="shared" si="89"/>
        <v>-187915.84546317765</v>
      </c>
      <c r="U193" s="884">
        <f>IF(AND($AU$43="Early Payoff",J193&gt;$U$15),0,IF($J193&lt;=$U$8,SUM($S$20:$S193),0))</f>
        <v>-9536030.8714234028</v>
      </c>
      <c r="V193" s="884">
        <f>IF(AND($AU$43="Early Payoff",J193&gt;$U$15),0,IF($J193&lt;=$U$8,SUM($T$20:$T193),0))</f>
        <v>-35839456.150447272</v>
      </c>
      <c r="W193" s="885">
        <f t="shared" si="90"/>
        <v>36948969.128576599</v>
      </c>
      <c r="X193" s="1110">
        <f t="shared" si="91"/>
        <v>37068331.159859702</v>
      </c>
      <c r="Z193" s="1102">
        <f t="shared" si="82"/>
        <v>0</v>
      </c>
      <c r="AA193" s="873">
        <f t="shared" si="83"/>
        <v>0</v>
      </c>
      <c r="AB193" s="873">
        <f t="shared" si="84"/>
        <v>0</v>
      </c>
      <c r="AC193" s="885">
        <f t="shared" si="85"/>
        <v>-307277.87674628111</v>
      </c>
    </row>
    <row r="194" spans="2:29" s="278" customFormat="1" ht="12" customHeight="1" x14ac:dyDescent="0.25">
      <c r="B194" s="1108">
        <f>IF(C194&lt;'Financing Assumptions'!$G$25,0,IF(C194='Financing Assumptions'!$G$25,1,IF(C194&gt;'Financing Assumptions'!$G$25,B193+1)))</f>
        <v>175</v>
      </c>
      <c r="C194" s="1109">
        <f t="shared" si="92"/>
        <v>177</v>
      </c>
      <c r="D194" s="732">
        <f t="shared" si="77"/>
        <v>31</v>
      </c>
      <c r="E194" s="35">
        <f t="shared" si="78"/>
        <v>10</v>
      </c>
      <c r="F194" s="889">
        <f t="shared" si="97"/>
        <v>51440</v>
      </c>
      <c r="G194" s="822">
        <f t="shared" si="79"/>
        <v>10</v>
      </c>
      <c r="H194" s="126">
        <f t="shared" si="80"/>
        <v>0</v>
      </c>
      <c r="I194" s="1098">
        <f t="shared" si="98"/>
        <v>0</v>
      </c>
      <c r="J194" s="887">
        <f t="shared" si="93"/>
        <v>175</v>
      </c>
      <c r="K194" s="1099">
        <f t="shared" si="86"/>
        <v>149</v>
      </c>
      <c r="L194" s="891" t="str">
        <f t="shared" si="87"/>
        <v>October</v>
      </c>
      <c r="M194" s="888">
        <f t="shared" si="94"/>
        <v>2040</v>
      </c>
      <c r="N194" s="1284">
        <f t="shared" si="99"/>
        <v>0</v>
      </c>
      <c r="O194" s="1284">
        <f t="shared" si="95"/>
        <v>0</v>
      </c>
      <c r="P194" s="883">
        <f t="shared" si="96"/>
        <v>36948969.128576599</v>
      </c>
      <c r="Q194" s="883">
        <f t="shared" si="88"/>
        <v>-307277.87674628111</v>
      </c>
      <c r="R194" s="1100"/>
      <c r="S194" s="883">
        <f t="shared" si="81"/>
        <v>-119967.13046946921</v>
      </c>
      <c r="T194" s="884">
        <f t="shared" si="89"/>
        <v>-187310.7462768119</v>
      </c>
      <c r="U194" s="884">
        <f>IF(AND($AU$43="Early Payoff",J194&gt;$U$15),0,IF($J194&lt;=$U$8,SUM($S$20:$S194),0))</f>
        <v>-9655998.0018928722</v>
      </c>
      <c r="V194" s="884">
        <f>IF(AND($AU$43="Early Payoff",J194&gt;$U$15),0,IF($J194&lt;=$U$8,SUM($T$20:$T194),0))</f>
        <v>-36026766.896724083</v>
      </c>
      <c r="W194" s="885">
        <f t="shared" si="90"/>
        <v>36829001.998107128</v>
      </c>
      <c r="X194" s="1110">
        <f t="shared" si="91"/>
        <v>36948969.128576599</v>
      </c>
      <c r="Z194" s="1102">
        <f t="shared" si="82"/>
        <v>0</v>
      </c>
      <c r="AA194" s="873">
        <f t="shared" si="83"/>
        <v>0</v>
      </c>
      <c r="AB194" s="873">
        <f t="shared" si="84"/>
        <v>0</v>
      </c>
      <c r="AC194" s="885">
        <f t="shared" si="85"/>
        <v>-307277.87674628111</v>
      </c>
    </row>
    <row r="195" spans="2:29" s="278" customFormat="1" ht="12" customHeight="1" x14ac:dyDescent="0.25">
      <c r="B195" s="1108">
        <f>IF(C195&lt;'Financing Assumptions'!$G$25,0,IF(C195='Financing Assumptions'!$G$25,1,IF(C195&gt;'Financing Assumptions'!$G$25,B194+1)))</f>
        <v>176</v>
      </c>
      <c r="C195" s="1109">
        <f t="shared" si="92"/>
        <v>178</v>
      </c>
      <c r="D195" s="732">
        <f t="shared" si="77"/>
        <v>30</v>
      </c>
      <c r="E195" s="35">
        <f t="shared" si="78"/>
        <v>11</v>
      </c>
      <c r="F195" s="889">
        <f t="shared" si="97"/>
        <v>51470</v>
      </c>
      <c r="G195" s="822">
        <f t="shared" si="79"/>
        <v>11</v>
      </c>
      <c r="H195" s="126">
        <f t="shared" si="80"/>
        <v>0</v>
      </c>
      <c r="I195" s="1098">
        <f t="shared" si="98"/>
        <v>0</v>
      </c>
      <c r="J195" s="887">
        <f t="shared" si="93"/>
        <v>176</v>
      </c>
      <c r="K195" s="1099">
        <f t="shared" si="86"/>
        <v>150</v>
      </c>
      <c r="L195" s="891" t="str">
        <f t="shared" si="87"/>
        <v>November</v>
      </c>
      <c r="M195" s="888">
        <f t="shared" si="94"/>
        <v>2040</v>
      </c>
      <c r="N195" s="1284">
        <f t="shared" si="99"/>
        <v>0</v>
      </c>
      <c r="O195" s="1284">
        <f t="shared" si="95"/>
        <v>0</v>
      </c>
      <c r="P195" s="883">
        <f t="shared" si="96"/>
        <v>36829001.998107128</v>
      </c>
      <c r="Q195" s="883">
        <f t="shared" si="88"/>
        <v>-307277.87674628111</v>
      </c>
      <c r="R195" s="1100"/>
      <c r="S195" s="883">
        <f t="shared" si="81"/>
        <v>-120575.29717254359</v>
      </c>
      <c r="T195" s="884">
        <f t="shared" si="89"/>
        <v>-186702.57957373752</v>
      </c>
      <c r="U195" s="884">
        <f>IF(AND($AU$43="Early Payoff",J195&gt;$U$15),0,IF($J195&lt;=$U$8,SUM($S$20:$S195),0))</f>
        <v>-9776573.2990654148</v>
      </c>
      <c r="V195" s="884">
        <f>IF(AND($AU$43="Early Payoff",J195&gt;$U$15),0,IF($J195&lt;=$U$8,SUM($T$20:$T195),0))</f>
        <v>-36213469.476297818</v>
      </c>
      <c r="W195" s="885">
        <f t="shared" si="90"/>
        <v>36708426.700934581</v>
      </c>
      <c r="X195" s="1110">
        <f t="shared" si="91"/>
        <v>36829001.998107128</v>
      </c>
      <c r="Z195" s="1102">
        <f t="shared" si="82"/>
        <v>0</v>
      </c>
      <c r="AA195" s="873">
        <f t="shared" si="83"/>
        <v>0</v>
      </c>
      <c r="AB195" s="873">
        <f t="shared" si="84"/>
        <v>0</v>
      </c>
      <c r="AC195" s="885">
        <f t="shared" si="85"/>
        <v>-307277.87674628111</v>
      </c>
    </row>
    <row r="196" spans="2:29" s="278" customFormat="1" ht="12" customHeight="1" x14ac:dyDescent="0.25">
      <c r="B196" s="1108">
        <f>IF(C196&lt;'Financing Assumptions'!$G$25,0,IF(C196='Financing Assumptions'!$G$25,1,IF(C196&gt;'Financing Assumptions'!$G$25,B195+1)))</f>
        <v>177</v>
      </c>
      <c r="C196" s="1109">
        <f t="shared" si="92"/>
        <v>179</v>
      </c>
      <c r="D196" s="732">
        <f t="shared" si="77"/>
        <v>31</v>
      </c>
      <c r="E196" s="35">
        <f t="shared" si="78"/>
        <v>12</v>
      </c>
      <c r="F196" s="889">
        <f t="shared" si="97"/>
        <v>51501</v>
      </c>
      <c r="G196" s="822">
        <f t="shared" si="79"/>
        <v>12</v>
      </c>
      <c r="H196" s="126">
        <f t="shared" si="80"/>
        <v>1</v>
      </c>
      <c r="I196" s="1098">
        <f t="shared" si="98"/>
        <v>0</v>
      </c>
      <c r="J196" s="887">
        <f t="shared" si="93"/>
        <v>177</v>
      </c>
      <c r="K196" s="1099">
        <f t="shared" si="86"/>
        <v>151</v>
      </c>
      <c r="L196" s="891" t="str">
        <f t="shared" si="87"/>
        <v>December</v>
      </c>
      <c r="M196" s="888">
        <f t="shared" si="94"/>
        <v>2040</v>
      </c>
      <c r="N196" s="1284">
        <f t="shared" si="99"/>
        <v>0</v>
      </c>
      <c r="O196" s="1284">
        <f t="shared" si="95"/>
        <v>0</v>
      </c>
      <c r="P196" s="883">
        <f t="shared" si="96"/>
        <v>36708426.700934581</v>
      </c>
      <c r="Q196" s="883">
        <f t="shared" si="88"/>
        <v>-307277.87674628111</v>
      </c>
      <c r="R196" s="1100"/>
      <c r="S196" s="883">
        <f t="shared" si="81"/>
        <v>-121186.54694293221</v>
      </c>
      <c r="T196" s="884">
        <f t="shared" si="89"/>
        <v>-186091.3298033489</v>
      </c>
      <c r="U196" s="884">
        <f>IF(AND($AU$43="Early Payoff",J196&gt;$U$15),0,IF($J196&lt;=$U$8,SUM($S$20:$S196),0))</f>
        <v>-9897759.8460083473</v>
      </c>
      <c r="V196" s="884">
        <f>IF(AND($AU$43="Early Payoff",J196&gt;$U$15),0,IF($J196&lt;=$U$8,SUM($T$20:$T196),0))</f>
        <v>-36399560.806101166</v>
      </c>
      <c r="W196" s="885">
        <f t="shared" si="90"/>
        <v>36587240.153991647</v>
      </c>
      <c r="X196" s="1110">
        <f t="shared" si="91"/>
        <v>36708426.700934581</v>
      </c>
      <c r="Z196" s="1102">
        <f t="shared" si="82"/>
        <v>0</v>
      </c>
      <c r="AA196" s="873">
        <f t="shared" si="83"/>
        <v>0</v>
      </c>
      <c r="AB196" s="873">
        <f t="shared" si="84"/>
        <v>0</v>
      </c>
      <c r="AC196" s="885">
        <f t="shared" si="85"/>
        <v>-307277.87674628111</v>
      </c>
    </row>
    <row r="197" spans="2:29" s="278" customFormat="1" ht="12" customHeight="1" x14ac:dyDescent="0.25">
      <c r="B197" s="1108">
        <f>IF(C197&lt;'Financing Assumptions'!$G$25,0,IF(C197='Financing Assumptions'!$G$25,1,IF(C197&gt;'Financing Assumptions'!$G$25,B196+1)))</f>
        <v>178</v>
      </c>
      <c r="C197" s="1109">
        <f t="shared" si="92"/>
        <v>180</v>
      </c>
      <c r="D197" s="732">
        <f t="shared" si="77"/>
        <v>31</v>
      </c>
      <c r="E197" s="35">
        <f t="shared" si="78"/>
        <v>1</v>
      </c>
      <c r="F197" s="889">
        <f t="shared" si="97"/>
        <v>51532</v>
      </c>
      <c r="G197" s="822">
        <f t="shared" si="79"/>
        <v>1</v>
      </c>
      <c r="H197" s="126">
        <f t="shared" si="80"/>
        <v>0</v>
      </c>
      <c r="I197" s="1098">
        <f t="shared" si="98"/>
        <v>0</v>
      </c>
      <c r="J197" s="887">
        <f t="shared" si="93"/>
        <v>178</v>
      </c>
      <c r="K197" s="1099">
        <f t="shared" si="86"/>
        <v>152</v>
      </c>
      <c r="L197" s="891" t="str">
        <f t="shared" si="87"/>
        <v>January</v>
      </c>
      <c r="M197" s="888">
        <f t="shared" si="94"/>
        <v>2041</v>
      </c>
      <c r="N197" s="1284">
        <f t="shared" si="99"/>
        <v>0</v>
      </c>
      <c r="O197" s="1284">
        <f t="shared" si="95"/>
        <v>0</v>
      </c>
      <c r="P197" s="883">
        <f t="shared" si="96"/>
        <v>36587240.153991647</v>
      </c>
      <c r="Q197" s="883">
        <f t="shared" si="88"/>
        <v>-307277.87674628111</v>
      </c>
      <c r="R197" s="1100"/>
      <c r="S197" s="883">
        <f t="shared" si="81"/>
        <v>-121800.89541007346</v>
      </c>
      <c r="T197" s="884">
        <f t="shared" si="89"/>
        <v>-185476.98133620765</v>
      </c>
      <c r="U197" s="884">
        <f>IF(AND($AU$43="Early Payoff",J197&gt;$U$15),0,IF($J197&lt;=$U$8,SUM($S$20:$S197),0))</f>
        <v>-10019560.741418421</v>
      </c>
      <c r="V197" s="884">
        <f>IF(AND($AU$43="Early Payoff",J197&gt;$U$15),0,IF($J197&lt;=$U$8,SUM($T$20:$T197),0))</f>
        <v>-36585037.787437372</v>
      </c>
      <c r="W197" s="885">
        <f t="shared" si="90"/>
        <v>36465439.258581571</v>
      </c>
      <c r="X197" s="1110">
        <f t="shared" si="91"/>
        <v>36587240.153991647</v>
      </c>
      <c r="Z197" s="1102">
        <f t="shared" si="82"/>
        <v>0</v>
      </c>
      <c r="AA197" s="873">
        <f t="shared" si="83"/>
        <v>0</v>
      </c>
      <c r="AB197" s="873">
        <f t="shared" si="84"/>
        <v>0</v>
      </c>
      <c r="AC197" s="885">
        <f t="shared" si="85"/>
        <v>-307277.87674628111</v>
      </c>
    </row>
    <row r="198" spans="2:29" s="278" customFormat="1" ht="12" customHeight="1" x14ac:dyDescent="0.25">
      <c r="B198" s="1108">
        <f>IF(C198&lt;'Financing Assumptions'!$G$25,0,IF(C198='Financing Assumptions'!$G$25,1,IF(C198&gt;'Financing Assumptions'!$G$25,B197+1)))</f>
        <v>179</v>
      </c>
      <c r="C198" s="1109">
        <f t="shared" si="92"/>
        <v>181</v>
      </c>
      <c r="D198" s="732">
        <f t="shared" si="77"/>
        <v>28</v>
      </c>
      <c r="E198" s="35">
        <f t="shared" si="78"/>
        <v>2</v>
      </c>
      <c r="F198" s="889">
        <f t="shared" si="97"/>
        <v>51560</v>
      </c>
      <c r="G198" s="822">
        <f t="shared" si="79"/>
        <v>2</v>
      </c>
      <c r="H198" s="126">
        <f t="shared" si="80"/>
        <v>0</v>
      </c>
      <c r="I198" s="1098">
        <f t="shared" si="98"/>
        <v>0</v>
      </c>
      <c r="J198" s="887">
        <f t="shared" si="93"/>
        <v>179</v>
      </c>
      <c r="K198" s="1099">
        <f t="shared" si="86"/>
        <v>153</v>
      </c>
      <c r="L198" s="891" t="str">
        <f t="shared" si="87"/>
        <v>February</v>
      </c>
      <c r="M198" s="888">
        <f t="shared" si="94"/>
        <v>2041</v>
      </c>
      <c r="N198" s="1284">
        <f t="shared" si="99"/>
        <v>0</v>
      </c>
      <c r="O198" s="1284">
        <f t="shared" si="95"/>
        <v>0</v>
      </c>
      <c r="P198" s="883">
        <f t="shared" si="96"/>
        <v>36465439.258581571</v>
      </c>
      <c r="Q198" s="883">
        <f t="shared" si="88"/>
        <v>-307277.87674628111</v>
      </c>
      <c r="R198" s="1100"/>
      <c r="S198" s="883">
        <f t="shared" si="81"/>
        <v>-122418.35828263842</v>
      </c>
      <c r="T198" s="884">
        <f t="shared" si="89"/>
        <v>-184859.51846364269</v>
      </c>
      <c r="U198" s="884">
        <f>IF(AND($AU$43="Early Payoff",J198&gt;$U$15),0,IF($J198&lt;=$U$8,SUM($S$20:$S198),0))</f>
        <v>-10141979.09970106</v>
      </c>
      <c r="V198" s="884">
        <f>IF(AND($AU$43="Early Payoff",J198&gt;$U$15),0,IF($J198&lt;=$U$8,SUM($T$20:$T198),0))</f>
        <v>-36769897.305901013</v>
      </c>
      <c r="W198" s="885">
        <f t="shared" si="90"/>
        <v>36343020.900298931</v>
      </c>
      <c r="X198" s="1110">
        <f t="shared" si="91"/>
        <v>36465439.258581571</v>
      </c>
      <c r="Z198" s="1102">
        <f t="shared" si="82"/>
        <v>0</v>
      </c>
      <c r="AA198" s="873">
        <f t="shared" si="83"/>
        <v>0</v>
      </c>
      <c r="AB198" s="873">
        <f t="shared" si="84"/>
        <v>0</v>
      </c>
      <c r="AC198" s="885">
        <f t="shared" si="85"/>
        <v>-307277.87674628111</v>
      </c>
    </row>
    <row r="199" spans="2:29" s="278" customFormat="1" ht="12" customHeight="1" x14ac:dyDescent="0.25">
      <c r="B199" s="1108">
        <f>IF(C199&lt;'Financing Assumptions'!$G$25,0,IF(C199='Financing Assumptions'!$G$25,1,IF(C199&gt;'Financing Assumptions'!$G$25,B198+1)))</f>
        <v>180</v>
      </c>
      <c r="C199" s="1109">
        <f t="shared" si="92"/>
        <v>182</v>
      </c>
      <c r="D199" s="732">
        <f t="shared" si="77"/>
        <v>31</v>
      </c>
      <c r="E199" s="35">
        <f t="shared" si="78"/>
        <v>3</v>
      </c>
      <c r="F199" s="889">
        <f t="shared" si="97"/>
        <v>51591</v>
      </c>
      <c r="G199" s="822">
        <f t="shared" si="79"/>
        <v>3</v>
      </c>
      <c r="H199" s="126">
        <f t="shared" si="80"/>
        <v>0</v>
      </c>
      <c r="I199" s="1098">
        <f t="shared" si="98"/>
        <v>0</v>
      </c>
      <c r="J199" s="887">
        <f t="shared" si="93"/>
        <v>180</v>
      </c>
      <c r="K199" s="1099">
        <f t="shared" si="86"/>
        <v>154</v>
      </c>
      <c r="L199" s="891" t="str">
        <f t="shared" si="87"/>
        <v>March</v>
      </c>
      <c r="M199" s="888">
        <f t="shared" si="94"/>
        <v>2041</v>
      </c>
      <c r="N199" s="1284">
        <f t="shared" si="99"/>
        <v>0</v>
      </c>
      <c r="O199" s="1284">
        <f t="shared" si="95"/>
        <v>0</v>
      </c>
      <c r="P199" s="883">
        <f t="shared" si="96"/>
        <v>36343020.900298931</v>
      </c>
      <c r="Q199" s="883">
        <f t="shared" si="88"/>
        <v>-307277.87674628111</v>
      </c>
      <c r="R199" s="1100"/>
      <c r="S199" s="883">
        <f t="shared" si="81"/>
        <v>-123038.95134893237</v>
      </c>
      <c r="T199" s="884">
        <f t="shared" si="89"/>
        <v>-184238.92539734874</v>
      </c>
      <c r="U199" s="884">
        <f>IF(AND($AU$43="Early Payoff",J199&gt;$U$15),0,IF($J199&lt;=$U$8,SUM($S$20:$S199),0))</f>
        <v>-10265018.051049992</v>
      </c>
      <c r="V199" s="884">
        <f>IF(AND($AU$43="Early Payoff",J199&gt;$U$15),0,IF($J199&lt;=$U$8,SUM($T$20:$T199),0))</f>
        <v>-36954136.231298365</v>
      </c>
      <c r="W199" s="885">
        <f t="shared" si="90"/>
        <v>36219981.94895</v>
      </c>
      <c r="X199" s="1110">
        <f t="shared" si="91"/>
        <v>36343020.900298931</v>
      </c>
      <c r="Z199" s="1102">
        <f t="shared" si="82"/>
        <v>0</v>
      </c>
      <c r="AA199" s="873">
        <f t="shared" si="83"/>
        <v>0</v>
      </c>
      <c r="AB199" s="873">
        <f t="shared" si="84"/>
        <v>0</v>
      </c>
      <c r="AC199" s="885">
        <f t="shared" si="85"/>
        <v>-307277.87674628111</v>
      </c>
    </row>
    <row r="200" spans="2:29" s="278" customFormat="1" ht="12" customHeight="1" x14ac:dyDescent="0.25">
      <c r="B200" s="1108">
        <f>IF(C200&lt;'Financing Assumptions'!$G$25,0,IF(C200='Financing Assumptions'!$G$25,1,IF(C200&gt;'Financing Assumptions'!$G$25,B199+1)))</f>
        <v>181</v>
      </c>
      <c r="C200" s="1109">
        <f t="shared" si="92"/>
        <v>183</v>
      </c>
      <c r="D200" s="732">
        <f t="shared" si="77"/>
        <v>30</v>
      </c>
      <c r="E200" s="35">
        <f t="shared" si="78"/>
        <v>4</v>
      </c>
      <c r="F200" s="889">
        <f t="shared" si="97"/>
        <v>51621</v>
      </c>
      <c r="G200" s="822">
        <f t="shared" si="79"/>
        <v>4</v>
      </c>
      <c r="H200" s="126">
        <f t="shared" si="80"/>
        <v>0</v>
      </c>
      <c r="I200" s="1098">
        <f t="shared" si="98"/>
        <v>0</v>
      </c>
      <c r="J200" s="887">
        <f t="shared" si="93"/>
        <v>181</v>
      </c>
      <c r="K200" s="1099">
        <f t="shared" si="86"/>
        <v>155</v>
      </c>
      <c r="L200" s="891" t="str">
        <f t="shared" si="87"/>
        <v>April</v>
      </c>
      <c r="M200" s="888">
        <f t="shared" si="94"/>
        <v>2041</v>
      </c>
      <c r="N200" s="1284">
        <f t="shared" si="99"/>
        <v>0</v>
      </c>
      <c r="O200" s="1284">
        <f t="shared" si="95"/>
        <v>0</v>
      </c>
      <c r="P200" s="883">
        <f t="shared" si="96"/>
        <v>36219981.94895</v>
      </c>
      <c r="Q200" s="883">
        <f t="shared" si="88"/>
        <v>-307277.87674628111</v>
      </c>
      <c r="R200" s="1100"/>
      <c r="S200" s="883">
        <f t="shared" si="81"/>
        <v>-123662.69047729849</v>
      </c>
      <c r="T200" s="884">
        <f t="shared" si="89"/>
        <v>-183615.18626898262</v>
      </c>
      <c r="U200" s="884">
        <f>IF(AND($AU$43="Early Payoff",J200&gt;$U$15),0,IF($J200&lt;=$U$8,SUM($S$20:$S200),0))</f>
        <v>-10388680.741527291</v>
      </c>
      <c r="V200" s="884">
        <f>IF(AND($AU$43="Early Payoff",J200&gt;$U$15),0,IF($J200&lt;=$U$8,SUM($T$20:$T200),0))</f>
        <v>-37137751.41756735</v>
      </c>
      <c r="W200" s="885">
        <f t="shared" si="90"/>
        <v>36096319.258472703</v>
      </c>
      <c r="X200" s="1110">
        <f t="shared" si="91"/>
        <v>36219981.94895</v>
      </c>
      <c r="Z200" s="1102">
        <f t="shared" si="82"/>
        <v>0</v>
      </c>
      <c r="AA200" s="873">
        <f t="shared" si="83"/>
        <v>0</v>
      </c>
      <c r="AB200" s="873">
        <f t="shared" si="84"/>
        <v>0</v>
      </c>
      <c r="AC200" s="885">
        <f t="shared" si="85"/>
        <v>-307277.87674628111</v>
      </c>
    </row>
    <row r="201" spans="2:29" s="278" customFormat="1" ht="12" customHeight="1" x14ac:dyDescent="0.25">
      <c r="B201" s="1108">
        <f>IF(C201&lt;'Financing Assumptions'!$G$25,0,IF(C201='Financing Assumptions'!$G$25,1,IF(C201&gt;'Financing Assumptions'!$G$25,B200+1)))</f>
        <v>182</v>
      </c>
      <c r="C201" s="1109">
        <f t="shared" si="92"/>
        <v>184</v>
      </c>
      <c r="D201" s="732">
        <f t="shared" si="77"/>
        <v>31</v>
      </c>
      <c r="E201" s="35">
        <f t="shared" si="78"/>
        <v>5</v>
      </c>
      <c r="F201" s="889">
        <f t="shared" si="97"/>
        <v>51652</v>
      </c>
      <c r="G201" s="822">
        <f t="shared" si="79"/>
        <v>5</v>
      </c>
      <c r="H201" s="126">
        <f t="shared" si="80"/>
        <v>0</v>
      </c>
      <c r="I201" s="1098">
        <f t="shared" si="98"/>
        <v>0</v>
      </c>
      <c r="J201" s="887">
        <f t="shared" si="93"/>
        <v>182</v>
      </c>
      <c r="K201" s="1099">
        <f t="shared" si="86"/>
        <v>156</v>
      </c>
      <c r="L201" s="891" t="str">
        <f t="shared" si="87"/>
        <v>May</v>
      </c>
      <c r="M201" s="888">
        <f t="shared" si="94"/>
        <v>2041</v>
      </c>
      <c r="N201" s="1284">
        <f t="shared" si="99"/>
        <v>0</v>
      </c>
      <c r="O201" s="1284">
        <f t="shared" si="95"/>
        <v>0</v>
      </c>
      <c r="P201" s="883">
        <f t="shared" si="96"/>
        <v>36096319.258472703</v>
      </c>
      <c r="Q201" s="883">
        <f t="shared" si="88"/>
        <v>-307277.87674628111</v>
      </c>
      <c r="R201" s="1100"/>
      <c r="S201" s="883">
        <f t="shared" si="81"/>
        <v>-124289.59161652366</v>
      </c>
      <c r="T201" s="884">
        <f t="shared" si="89"/>
        <v>-182988.28512975745</v>
      </c>
      <c r="U201" s="884">
        <f>IF(AND($AU$43="Early Payoff",J201&gt;$U$15),0,IF($J201&lt;=$U$8,SUM($S$20:$S201),0))</f>
        <v>-10512970.333143815</v>
      </c>
      <c r="V201" s="884">
        <f>IF(AND($AU$43="Early Payoff",J201&gt;$U$15),0,IF($J201&lt;=$U$8,SUM($T$20:$T201),0))</f>
        <v>-37320739.702697106</v>
      </c>
      <c r="W201" s="885">
        <f t="shared" si="90"/>
        <v>35972029.666856177</v>
      </c>
      <c r="X201" s="1110">
        <f t="shared" si="91"/>
        <v>36096319.258472703</v>
      </c>
      <c r="Z201" s="1102">
        <f t="shared" si="82"/>
        <v>0</v>
      </c>
      <c r="AA201" s="873">
        <f t="shared" si="83"/>
        <v>0</v>
      </c>
      <c r="AB201" s="873">
        <f t="shared" si="84"/>
        <v>0</v>
      </c>
      <c r="AC201" s="885">
        <f t="shared" si="85"/>
        <v>-307277.87674628111</v>
      </c>
    </row>
    <row r="202" spans="2:29" s="278" customFormat="1" ht="12" customHeight="1" x14ac:dyDescent="0.25">
      <c r="B202" s="1108">
        <f>IF(C202&lt;'Financing Assumptions'!$G$25,0,IF(C202='Financing Assumptions'!$G$25,1,IF(C202&gt;'Financing Assumptions'!$G$25,B201+1)))</f>
        <v>183</v>
      </c>
      <c r="C202" s="1109">
        <f t="shared" si="92"/>
        <v>185</v>
      </c>
      <c r="D202" s="732">
        <f t="shared" si="77"/>
        <v>30</v>
      </c>
      <c r="E202" s="35">
        <f t="shared" si="78"/>
        <v>6</v>
      </c>
      <c r="F202" s="889">
        <f t="shared" si="97"/>
        <v>51682</v>
      </c>
      <c r="G202" s="822">
        <f t="shared" si="79"/>
        <v>6</v>
      </c>
      <c r="H202" s="126">
        <f t="shared" si="80"/>
        <v>0</v>
      </c>
      <c r="I202" s="1098">
        <f t="shared" si="98"/>
        <v>0</v>
      </c>
      <c r="J202" s="887">
        <f t="shared" si="93"/>
        <v>183</v>
      </c>
      <c r="K202" s="1099">
        <f t="shared" si="86"/>
        <v>157</v>
      </c>
      <c r="L202" s="891" t="str">
        <f t="shared" si="87"/>
        <v>June</v>
      </c>
      <c r="M202" s="888">
        <f t="shared" si="94"/>
        <v>2041</v>
      </c>
      <c r="N202" s="1284">
        <f t="shared" si="99"/>
        <v>0</v>
      </c>
      <c r="O202" s="1284">
        <f t="shared" si="95"/>
        <v>0</v>
      </c>
      <c r="P202" s="883">
        <f t="shared" si="96"/>
        <v>35972029.666856177</v>
      </c>
      <c r="Q202" s="883">
        <f t="shared" si="88"/>
        <v>-307277.87674628111</v>
      </c>
      <c r="R202" s="1100"/>
      <c r="S202" s="883">
        <f t="shared" si="81"/>
        <v>-124919.67079624633</v>
      </c>
      <c r="T202" s="884">
        <f t="shared" si="89"/>
        <v>-182358.20595003478</v>
      </c>
      <c r="U202" s="884">
        <f>IF(AND($AU$43="Early Payoff",J202&gt;$U$15),0,IF($J202&lt;=$U$8,SUM($S$20:$S202),0))</f>
        <v>-10637890.003940063</v>
      </c>
      <c r="V202" s="884">
        <f>IF(AND($AU$43="Early Payoff",J202&gt;$U$15),0,IF($J202&lt;=$U$8,SUM($T$20:$T202),0))</f>
        <v>-37503097.908647142</v>
      </c>
      <c r="W202" s="885">
        <f t="shared" si="90"/>
        <v>35847109.996059932</v>
      </c>
      <c r="X202" s="1110">
        <f t="shared" si="91"/>
        <v>35972029.666856177</v>
      </c>
      <c r="Z202" s="1102">
        <f t="shared" si="82"/>
        <v>0</v>
      </c>
      <c r="AA202" s="873">
        <f t="shared" si="83"/>
        <v>0</v>
      </c>
      <c r="AB202" s="873">
        <f t="shared" si="84"/>
        <v>0</v>
      </c>
      <c r="AC202" s="885">
        <f t="shared" si="85"/>
        <v>-307277.87674628111</v>
      </c>
    </row>
    <row r="203" spans="2:29" s="278" customFormat="1" ht="12" customHeight="1" x14ac:dyDescent="0.25">
      <c r="B203" s="1108">
        <f>IF(C203&lt;'Financing Assumptions'!$G$25,0,IF(C203='Financing Assumptions'!$G$25,1,IF(C203&gt;'Financing Assumptions'!$G$25,B202+1)))</f>
        <v>184</v>
      </c>
      <c r="C203" s="1109">
        <f t="shared" si="92"/>
        <v>186</v>
      </c>
      <c r="D203" s="732">
        <f t="shared" si="77"/>
        <v>31</v>
      </c>
      <c r="E203" s="35">
        <f t="shared" si="78"/>
        <v>7</v>
      </c>
      <c r="F203" s="889">
        <f t="shared" si="97"/>
        <v>51713</v>
      </c>
      <c r="G203" s="822">
        <f t="shared" si="79"/>
        <v>7</v>
      </c>
      <c r="H203" s="126">
        <f t="shared" si="80"/>
        <v>0</v>
      </c>
      <c r="I203" s="1098">
        <f t="shared" si="98"/>
        <v>0</v>
      </c>
      <c r="J203" s="887">
        <f t="shared" si="93"/>
        <v>184</v>
      </c>
      <c r="K203" s="1099">
        <f t="shared" si="86"/>
        <v>158</v>
      </c>
      <c r="L203" s="891" t="str">
        <f t="shared" si="87"/>
        <v>July</v>
      </c>
      <c r="M203" s="888">
        <f t="shared" si="94"/>
        <v>2041</v>
      </c>
      <c r="N203" s="1284">
        <f t="shared" si="99"/>
        <v>0</v>
      </c>
      <c r="O203" s="1284">
        <f t="shared" si="95"/>
        <v>0</v>
      </c>
      <c r="P203" s="883">
        <f t="shared" si="96"/>
        <v>35847109.996059932</v>
      </c>
      <c r="Q203" s="883">
        <f t="shared" si="88"/>
        <v>-307277.87674628111</v>
      </c>
      <c r="R203" s="1100"/>
      <c r="S203" s="883">
        <f t="shared" si="81"/>
        <v>-125552.94412736618</v>
      </c>
      <c r="T203" s="884">
        <f t="shared" si="89"/>
        <v>-181724.93261891493</v>
      </c>
      <c r="U203" s="884">
        <f>IF(AND($AU$43="Early Payoff",J203&gt;$U$15),0,IF($J203&lt;=$U$8,SUM($S$20:$S203),0))</f>
        <v>-10763442.948067429</v>
      </c>
      <c r="V203" s="884">
        <f>IF(AND($AU$43="Early Payoff",J203&gt;$U$15),0,IF($J203&lt;=$U$8,SUM($T$20:$T203),0))</f>
        <v>-37684822.841266058</v>
      </c>
      <c r="W203" s="885">
        <f t="shared" si="90"/>
        <v>35721557.051932566</v>
      </c>
      <c r="X203" s="1110">
        <f t="shared" si="91"/>
        <v>35847109.996059932</v>
      </c>
      <c r="Z203" s="1102">
        <f t="shared" si="82"/>
        <v>0</v>
      </c>
      <c r="AA203" s="873">
        <f t="shared" si="83"/>
        <v>0</v>
      </c>
      <c r="AB203" s="873">
        <f t="shared" si="84"/>
        <v>0</v>
      </c>
      <c r="AC203" s="885">
        <f t="shared" si="85"/>
        <v>-307277.87674628111</v>
      </c>
    </row>
    <row r="204" spans="2:29" s="278" customFormat="1" ht="12" customHeight="1" x14ac:dyDescent="0.25">
      <c r="B204" s="1108">
        <f>IF(C204&lt;'Financing Assumptions'!$G$25,0,IF(C204='Financing Assumptions'!$G$25,1,IF(C204&gt;'Financing Assumptions'!$G$25,B203+1)))</f>
        <v>185</v>
      </c>
      <c r="C204" s="1109">
        <f t="shared" si="92"/>
        <v>187</v>
      </c>
      <c r="D204" s="732">
        <f t="shared" si="77"/>
        <v>31</v>
      </c>
      <c r="E204" s="35">
        <f t="shared" si="78"/>
        <v>8</v>
      </c>
      <c r="F204" s="889">
        <f t="shared" si="97"/>
        <v>51744</v>
      </c>
      <c r="G204" s="822">
        <f t="shared" si="79"/>
        <v>8</v>
      </c>
      <c r="H204" s="126">
        <f t="shared" si="80"/>
        <v>0</v>
      </c>
      <c r="I204" s="1098">
        <f t="shared" si="98"/>
        <v>0</v>
      </c>
      <c r="J204" s="887">
        <f t="shared" si="93"/>
        <v>185</v>
      </c>
      <c r="K204" s="1099">
        <f t="shared" si="86"/>
        <v>159</v>
      </c>
      <c r="L204" s="891" t="str">
        <f t="shared" si="87"/>
        <v>August</v>
      </c>
      <c r="M204" s="888">
        <f t="shared" si="94"/>
        <v>2041</v>
      </c>
      <c r="N204" s="1284">
        <f t="shared" si="99"/>
        <v>0</v>
      </c>
      <c r="O204" s="1284">
        <f t="shared" si="95"/>
        <v>0</v>
      </c>
      <c r="P204" s="883">
        <f t="shared" si="96"/>
        <v>35721557.051932566</v>
      </c>
      <c r="Q204" s="883">
        <f t="shared" si="88"/>
        <v>-307277.87674628111</v>
      </c>
      <c r="R204" s="1100"/>
      <c r="S204" s="883">
        <f t="shared" si="81"/>
        <v>-126189.42780245631</v>
      </c>
      <c r="T204" s="884">
        <f t="shared" si="89"/>
        <v>-181088.4489438248</v>
      </c>
      <c r="U204" s="884">
        <f>IF(AND($AU$43="Early Payoff",J204&gt;$U$15),0,IF($J204&lt;=$U$8,SUM($S$20:$S204),0))</f>
        <v>-10889632.375869885</v>
      </c>
      <c r="V204" s="884">
        <f>IF(AND($AU$43="Early Payoff",J204&gt;$U$15),0,IF($J204&lt;=$U$8,SUM($T$20:$T204),0))</f>
        <v>-37865911.290209882</v>
      </c>
      <c r="W204" s="885">
        <f t="shared" si="90"/>
        <v>35595367.624130107</v>
      </c>
      <c r="X204" s="1110">
        <f t="shared" si="91"/>
        <v>35721557.051932566</v>
      </c>
      <c r="Z204" s="1102">
        <f t="shared" si="82"/>
        <v>0</v>
      </c>
      <c r="AA204" s="873">
        <f t="shared" si="83"/>
        <v>0</v>
      </c>
      <c r="AB204" s="873">
        <f t="shared" si="84"/>
        <v>0</v>
      </c>
      <c r="AC204" s="885">
        <f t="shared" si="85"/>
        <v>-307277.87674628111</v>
      </c>
    </row>
    <row r="205" spans="2:29" s="278" customFormat="1" ht="12" customHeight="1" x14ac:dyDescent="0.25">
      <c r="B205" s="1108">
        <f>IF(C205&lt;'Financing Assumptions'!$G$25,0,IF(C205='Financing Assumptions'!$G$25,1,IF(C205&gt;'Financing Assumptions'!$G$25,B204+1)))</f>
        <v>186</v>
      </c>
      <c r="C205" s="1109">
        <f t="shared" si="92"/>
        <v>188</v>
      </c>
      <c r="D205" s="732">
        <f t="shared" si="77"/>
        <v>30</v>
      </c>
      <c r="E205" s="35">
        <f t="shared" si="78"/>
        <v>9</v>
      </c>
      <c r="F205" s="889">
        <f t="shared" si="97"/>
        <v>51774</v>
      </c>
      <c r="G205" s="822">
        <f t="shared" si="79"/>
        <v>9</v>
      </c>
      <c r="H205" s="126">
        <f t="shared" si="80"/>
        <v>0</v>
      </c>
      <c r="I205" s="1098">
        <f t="shared" si="98"/>
        <v>0</v>
      </c>
      <c r="J205" s="887">
        <f t="shared" si="93"/>
        <v>186</v>
      </c>
      <c r="K205" s="1099">
        <f t="shared" si="86"/>
        <v>160</v>
      </c>
      <c r="L205" s="891" t="str">
        <f t="shared" si="87"/>
        <v>September</v>
      </c>
      <c r="M205" s="888">
        <f t="shared" si="94"/>
        <v>2041</v>
      </c>
      <c r="N205" s="1284">
        <f t="shared" si="99"/>
        <v>0</v>
      </c>
      <c r="O205" s="1284">
        <f t="shared" si="95"/>
        <v>0</v>
      </c>
      <c r="P205" s="883">
        <f t="shared" si="96"/>
        <v>35595367.624130107</v>
      </c>
      <c r="Q205" s="883">
        <f t="shared" si="88"/>
        <v>-307277.87674628111</v>
      </c>
      <c r="R205" s="1100"/>
      <c r="S205" s="883">
        <f t="shared" si="81"/>
        <v>-126829.13809617711</v>
      </c>
      <c r="T205" s="884">
        <f t="shared" si="89"/>
        <v>-180448.738650104</v>
      </c>
      <c r="U205" s="884">
        <f>IF(AND($AU$43="Early Payoff",J205&gt;$U$15),0,IF($J205&lt;=$U$8,SUM($S$20:$S205),0))</f>
        <v>-11016461.513966063</v>
      </c>
      <c r="V205" s="884">
        <f>IF(AND($AU$43="Early Payoff",J205&gt;$U$15),0,IF($J205&lt;=$U$8,SUM($T$20:$T205),0))</f>
        <v>-38046360.028859988</v>
      </c>
      <c r="W205" s="885">
        <f t="shared" si="90"/>
        <v>35468538.486033931</v>
      </c>
      <c r="X205" s="1110">
        <f t="shared" si="91"/>
        <v>35595367.624130107</v>
      </c>
      <c r="Z205" s="1102">
        <f t="shared" si="82"/>
        <v>0</v>
      </c>
      <c r="AA205" s="873">
        <f t="shared" si="83"/>
        <v>0</v>
      </c>
      <c r="AB205" s="873">
        <f t="shared" si="84"/>
        <v>0</v>
      </c>
      <c r="AC205" s="885">
        <f t="shared" si="85"/>
        <v>-307277.87674628111</v>
      </c>
    </row>
    <row r="206" spans="2:29" s="278" customFormat="1" ht="12" customHeight="1" x14ac:dyDescent="0.25">
      <c r="B206" s="1108">
        <f>IF(C206&lt;'Financing Assumptions'!$G$25,0,IF(C206='Financing Assumptions'!$G$25,1,IF(C206&gt;'Financing Assumptions'!$G$25,B205+1)))</f>
        <v>187</v>
      </c>
      <c r="C206" s="1109">
        <f t="shared" si="92"/>
        <v>189</v>
      </c>
      <c r="D206" s="732">
        <f t="shared" si="77"/>
        <v>31</v>
      </c>
      <c r="E206" s="35">
        <f t="shared" si="78"/>
        <v>10</v>
      </c>
      <c r="F206" s="889">
        <f t="shared" si="97"/>
        <v>51805</v>
      </c>
      <c r="G206" s="822">
        <f t="shared" si="79"/>
        <v>10</v>
      </c>
      <c r="H206" s="126">
        <f t="shared" si="80"/>
        <v>0</v>
      </c>
      <c r="I206" s="1098">
        <f t="shared" si="98"/>
        <v>0</v>
      </c>
      <c r="J206" s="887">
        <f t="shared" si="93"/>
        <v>187</v>
      </c>
      <c r="K206" s="1099">
        <f t="shared" si="86"/>
        <v>161</v>
      </c>
      <c r="L206" s="891" t="str">
        <f t="shared" si="87"/>
        <v>October</v>
      </c>
      <c r="M206" s="888">
        <f t="shared" si="94"/>
        <v>2041</v>
      </c>
      <c r="N206" s="1284">
        <f t="shared" si="99"/>
        <v>0</v>
      </c>
      <c r="O206" s="1284">
        <f t="shared" si="95"/>
        <v>0</v>
      </c>
      <c r="P206" s="883">
        <f t="shared" si="96"/>
        <v>35468538.486033931</v>
      </c>
      <c r="Q206" s="883">
        <f t="shared" si="88"/>
        <v>-307277.87674628111</v>
      </c>
      <c r="R206" s="1100"/>
      <c r="S206" s="883">
        <f t="shared" si="81"/>
        <v>-127472.09136569244</v>
      </c>
      <c r="T206" s="884">
        <f t="shared" si="89"/>
        <v>-179805.78538058867</v>
      </c>
      <c r="U206" s="884">
        <f>IF(AND($AU$43="Early Payoff",J206&gt;$U$15),0,IF($J206&lt;=$U$8,SUM($S$20:$S206),0))</f>
        <v>-11143933.605331756</v>
      </c>
      <c r="V206" s="884">
        <f>IF(AND($AU$43="Early Payoff",J206&gt;$U$15),0,IF($J206&lt;=$U$8,SUM($T$20:$T206),0))</f>
        <v>-38226165.814240575</v>
      </c>
      <c r="W206" s="885">
        <f t="shared" si="90"/>
        <v>35341066.394668236</v>
      </c>
      <c r="X206" s="1110">
        <f t="shared" si="91"/>
        <v>35468538.486033931</v>
      </c>
      <c r="Z206" s="1102">
        <f t="shared" si="82"/>
        <v>0</v>
      </c>
      <c r="AA206" s="873">
        <f t="shared" si="83"/>
        <v>0</v>
      </c>
      <c r="AB206" s="873">
        <f t="shared" si="84"/>
        <v>0</v>
      </c>
      <c r="AC206" s="885">
        <f t="shared" si="85"/>
        <v>-307277.87674628111</v>
      </c>
    </row>
    <row r="207" spans="2:29" s="278" customFormat="1" ht="12" customHeight="1" x14ac:dyDescent="0.25">
      <c r="B207" s="1108">
        <f>IF(C207&lt;'Financing Assumptions'!$G$25,0,IF(C207='Financing Assumptions'!$G$25,1,IF(C207&gt;'Financing Assumptions'!$G$25,B206+1)))</f>
        <v>188</v>
      </c>
      <c r="C207" s="1109">
        <f t="shared" si="92"/>
        <v>190</v>
      </c>
      <c r="D207" s="732">
        <f t="shared" si="77"/>
        <v>30</v>
      </c>
      <c r="E207" s="35">
        <f t="shared" si="78"/>
        <v>11</v>
      </c>
      <c r="F207" s="889">
        <f t="shared" si="97"/>
        <v>51835</v>
      </c>
      <c r="G207" s="822">
        <f t="shared" si="79"/>
        <v>11</v>
      </c>
      <c r="H207" s="126">
        <f t="shared" si="80"/>
        <v>0</v>
      </c>
      <c r="I207" s="1098">
        <f t="shared" si="98"/>
        <v>0</v>
      </c>
      <c r="J207" s="887">
        <f t="shared" si="93"/>
        <v>188</v>
      </c>
      <c r="K207" s="1099">
        <f t="shared" si="86"/>
        <v>162</v>
      </c>
      <c r="L207" s="891" t="str">
        <f t="shared" si="87"/>
        <v>November</v>
      </c>
      <c r="M207" s="888">
        <f t="shared" si="94"/>
        <v>2041</v>
      </c>
      <c r="N207" s="1284">
        <f t="shared" si="99"/>
        <v>0</v>
      </c>
      <c r="O207" s="1284">
        <f t="shared" si="95"/>
        <v>0</v>
      </c>
      <c r="P207" s="883">
        <f t="shared" si="96"/>
        <v>35341066.394668236</v>
      </c>
      <c r="Q207" s="883">
        <f t="shared" si="88"/>
        <v>-307277.87674628111</v>
      </c>
      <c r="R207" s="1100"/>
      <c r="S207" s="883">
        <f t="shared" si="81"/>
        <v>-128118.30405108797</v>
      </c>
      <c r="T207" s="884">
        <f t="shared" si="89"/>
        <v>-179159.57269519314</v>
      </c>
      <c r="U207" s="884">
        <f>IF(AND($AU$43="Early Payoff",J207&gt;$U$15),0,IF($J207&lt;=$U$8,SUM($S$20:$S207),0))</f>
        <v>-11272051.909382844</v>
      </c>
      <c r="V207" s="884">
        <f>IF(AND($AU$43="Early Payoff",J207&gt;$U$15),0,IF($J207&lt;=$U$8,SUM($T$20:$T207),0))</f>
        <v>-38405325.386935771</v>
      </c>
      <c r="W207" s="885">
        <f t="shared" si="90"/>
        <v>35212948.09061715</v>
      </c>
      <c r="X207" s="1110">
        <f t="shared" si="91"/>
        <v>35341066.394668236</v>
      </c>
      <c r="Z207" s="1102">
        <f t="shared" si="82"/>
        <v>0</v>
      </c>
      <c r="AA207" s="873">
        <f t="shared" si="83"/>
        <v>0</v>
      </c>
      <c r="AB207" s="873">
        <f t="shared" si="84"/>
        <v>0</v>
      </c>
      <c r="AC207" s="885">
        <f t="shared" si="85"/>
        <v>-307277.87674628111</v>
      </c>
    </row>
    <row r="208" spans="2:29" s="278" customFormat="1" ht="12" customHeight="1" x14ac:dyDescent="0.25">
      <c r="B208" s="1108">
        <f>IF(C208&lt;'Financing Assumptions'!$G$25,0,IF(C208='Financing Assumptions'!$G$25,1,IF(C208&gt;'Financing Assumptions'!$G$25,B207+1)))</f>
        <v>189</v>
      </c>
      <c r="C208" s="1109">
        <f t="shared" si="92"/>
        <v>191</v>
      </c>
      <c r="D208" s="732">
        <f t="shared" si="77"/>
        <v>31</v>
      </c>
      <c r="E208" s="35">
        <f t="shared" si="78"/>
        <v>12</v>
      </c>
      <c r="F208" s="889">
        <f t="shared" si="97"/>
        <v>51866</v>
      </c>
      <c r="G208" s="822">
        <f t="shared" si="79"/>
        <v>12</v>
      </c>
      <c r="H208" s="126">
        <f t="shared" si="80"/>
        <v>1</v>
      </c>
      <c r="I208" s="1098">
        <f t="shared" si="98"/>
        <v>0</v>
      </c>
      <c r="J208" s="887">
        <f t="shared" si="93"/>
        <v>189</v>
      </c>
      <c r="K208" s="1099">
        <f t="shared" si="86"/>
        <v>163</v>
      </c>
      <c r="L208" s="891" t="str">
        <f t="shared" si="87"/>
        <v>December</v>
      </c>
      <c r="M208" s="888">
        <f t="shared" si="94"/>
        <v>2041</v>
      </c>
      <c r="N208" s="1284">
        <f t="shared" si="99"/>
        <v>0</v>
      </c>
      <c r="O208" s="1284">
        <f t="shared" si="95"/>
        <v>0</v>
      </c>
      <c r="P208" s="883">
        <f t="shared" si="96"/>
        <v>35212948.09061715</v>
      </c>
      <c r="Q208" s="883">
        <f t="shared" si="88"/>
        <v>-307277.87674628111</v>
      </c>
      <c r="R208" s="1100"/>
      <c r="S208" s="883">
        <f t="shared" si="81"/>
        <v>-128767.7926757914</v>
      </c>
      <c r="T208" s="884">
        <f t="shared" si="89"/>
        <v>-178510.08407048971</v>
      </c>
      <c r="U208" s="884">
        <f>IF(AND($AU$43="Early Payoff",J208&gt;$U$15),0,IF($J208&lt;=$U$8,SUM($S$20:$S208),0))</f>
        <v>-11400819.702058636</v>
      </c>
      <c r="V208" s="884">
        <f>IF(AND($AU$43="Early Payoff",J208&gt;$U$15),0,IF($J208&lt;=$U$8,SUM($T$20:$T208),0))</f>
        <v>-38583835.471006259</v>
      </c>
      <c r="W208" s="885">
        <f t="shared" si="90"/>
        <v>35084180.297941357</v>
      </c>
      <c r="X208" s="1110">
        <f t="shared" si="91"/>
        <v>35212948.09061715</v>
      </c>
      <c r="Z208" s="1102">
        <f t="shared" si="82"/>
        <v>0</v>
      </c>
      <c r="AA208" s="873">
        <f t="shared" si="83"/>
        <v>0</v>
      </c>
      <c r="AB208" s="873">
        <f t="shared" si="84"/>
        <v>0</v>
      </c>
      <c r="AC208" s="885">
        <f t="shared" si="85"/>
        <v>-307277.87674628111</v>
      </c>
    </row>
    <row r="209" spans="2:29" s="278" customFormat="1" ht="12" customHeight="1" x14ac:dyDescent="0.25">
      <c r="B209" s="1108">
        <f>IF(C209&lt;'Financing Assumptions'!$G$25,0,IF(C209='Financing Assumptions'!$G$25,1,IF(C209&gt;'Financing Assumptions'!$G$25,B208+1)))</f>
        <v>190</v>
      </c>
      <c r="C209" s="1109">
        <f t="shared" si="92"/>
        <v>192</v>
      </c>
      <c r="D209" s="732">
        <f t="shared" si="77"/>
        <v>31</v>
      </c>
      <c r="E209" s="35">
        <f t="shared" si="78"/>
        <v>1</v>
      </c>
      <c r="F209" s="889">
        <f t="shared" si="97"/>
        <v>51897</v>
      </c>
      <c r="G209" s="822">
        <f t="shared" si="79"/>
        <v>1</v>
      </c>
      <c r="H209" s="126">
        <f t="shared" si="80"/>
        <v>0</v>
      </c>
      <c r="I209" s="1098">
        <f t="shared" si="98"/>
        <v>0</v>
      </c>
      <c r="J209" s="887">
        <f t="shared" si="93"/>
        <v>190</v>
      </c>
      <c r="K209" s="1099">
        <f t="shared" si="86"/>
        <v>164</v>
      </c>
      <c r="L209" s="891" t="str">
        <f t="shared" si="87"/>
        <v>January</v>
      </c>
      <c r="M209" s="888">
        <f t="shared" si="94"/>
        <v>2042</v>
      </c>
      <c r="N209" s="1284">
        <f t="shared" si="99"/>
        <v>0</v>
      </c>
      <c r="O209" s="1284">
        <f t="shared" si="95"/>
        <v>0</v>
      </c>
      <c r="P209" s="883">
        <f t="shared" si="96"/>
        <v>35084180.297941357</v>
      </c>
      <c r="Q209" s="883">
        <f t="shared" si="88"/>
        <v>-307277.87674628111</v>
      </c>
      <c r="R209" s="1100"/>
      <c r="S209" s="883">
        <f t="shared" si="81"/>
        <v>-129420.57384699507</v>
      </c>
      <c r="T209" s="884">
        <f t="shared" si="89"/>
        <v>-177857.30289928603</v>
      </c>
      <c r="U209" s="884">
        <f>IF(AND($AU$43="Early Payoff",J209&gt;$U$15),0,IF($J209&lt;=$U$8,SUM($S$20:$S209),0))</f>
        <v>-11530240.275905631</v>
      </c>
      <c r="V209" s="884">
        <f>IF(AND($AU$43="Early Payoff",J209&gt;$U$15),0,IF($J209&lt;=$U$8,SUM($T$20:$T209),0))</f>
        <v>-38761692.773905545</v>
      </c>
      <c r="W209" s="885">
        <f t="shared" si="90"/>
        <v>34954759.724094361</v>
      </c>
      <c r="X209" s="1110">
        <f t="shared" si="91"/>
        <v>35084180.297941357</v>
      </c>
      <c r="Z209" s="1102">
        <f t="shared" si="82"/>
        <v>0</v>
      </c>
      <c r="AA209" s="873">
        <f t="shared" si="83"/>
        <v>0</v>
      </c>
      <c r="AB209" s="873">
        <f t="shared" si="84"/>
        <v>0</v>
      </c>
      <c r="AC209" s="885">
        <f t="shared" si="85"/>
        <v>-307277.87674628111</v>
      </c>
    </row>
    <row r="210" spans="2:29" s="278" customFormat="1" ht="12" customHeight="1" x14ac:dyDescent="0.25">
      <c r="B210" s="1108">
        <f>IF(C210&lt;'Financing Assumptions'!$G$25,0,IF(C210='Financing Assumptions'!$G$25,1,IF(C210&gt;'Financing Assumptions'!$G$25,B209+1)))</f>
        <v>191</v>
      </c>
      <c r="C210" s="1109">
        <f t="shared" si="92"/>
        <v>193</v>
      </c>
      <c r="D210" s="732">
        <f t="shared" si="77"/>
        <v>28</v>
      </c>
      <c r="E210" s="35">
        <f t="shared" si="78"/>
        <v>2</v>
      </c>
      <c r="F210" s="889">
        <f t="shared" si="97"/>
        <v>51925</v>
      </c>
      <c r="G210" s="822">
        <f t="shared" si="79"/>
        <v>2</v>
      </c>
      <c r="H210" s="126">
        <f t="shared" si="80"/>
        <v>0</v>
      </c>
      <c r="I210" s="1098">
        <f t="shared" si="98"/>
        <v>0</v>
      </c>
      <c r="J210" s="887">
        <f t="shared" si="93"/>
        <v>191</v>
      </c>
      <c r="K210" s="1099">
        <f t="shared" si="86"/>
        <v>165</v>
      </c>
      <c r="L210" s="891" t="str">
        <f t="shared" si="87"/>
        <v>February</v>
      </c>
      <c r="M210" s="888">
        <f t="shared" si="94"/>
        <v>2042</v>
      </c>
      <c r="N210" s="1284">
        <f t="shared" si="99"/>
        <v>0</v>
      </c>
      <c r="O210" s="1284">
        <f t="shared" si="95"/>
        <v>0</v>
      </c>
      <c r="P210" s="883">
        <f t="shared" si="96"/>
        <v>34954759.724094361</v>
      </c>
      <c r="Q210" s="883">
        <f t="shared" si="88"/>
        <v>-307277.87674628111</v>
      </c>
      <c r="R210" s="1100"/>
      <c r="S210" s="883">
        <f t="shared" si="81"/>
        <v>-130076.66425608055</v>
      </c>
      <c r="T210" s="884">
        <f t="shared" si="89"/>
        <v>-177201.21249020056</v>
      </c>
      <c r="U210" s="884">
        <f>IF(AND($AU$43="Early Payoff",J210&gt;$U$15),0,IF($J210&lt;=$U$8,SUM($S$20:$S210),0))</f>
        <v>-11660316.940161712</v>
      </c>
      <c r="V210" s="884">
        <f>IF(AND($AU$43="Early Payoff",J210&gt;$U$15),0,IF($J210&lt;=$U$8,SUM($T$20:$T210),0))</f>
        <v>-38938893.986395746</v>
      </c>
      <c r="W210" s="885">
        <f t="shared" si="90"/>
        <v>34824683.05983828</v>
      </c>
      <c r="X210" s="1110">
        <f t="shared" si="91"/>
        <v>34954759.724094361</v>
      </c>
      <c r="Z210" s="1102">
        <f t="shared" si="82"/>
        <v>0</v>
      </c>
      <c r="AA210" s="873">
        <f t="shared" si="83"/>
        <v>0</v>
      </c>
      <c r="AB210" s="873">
        <f t="shared" si="84"/>
        <v>0</v>
      </c>
      <c r="AC210" s="885">
        <f t="shared" si="85"/>
        <v>-307277.87674628111</v>
      </c>
    </row>
    <row r="211" spans="2:29" s="278" customFormat="1" ht="12" customHeight="1" x14ac:dyDescent="0.25">
      <c r="B211" s="1108">
        <f>IF(C211&lt;'Financing Assumptions'!$G$25,0,IF(C211='Financing Assumptions'!$G$25,1,IF(C211&gt;'Financing Assumptions'!$G$25,B210+1)))</f>
        <v>192</v>
      </c>
      <c r="C211" s="1109">
        <f t="shared" si="92"/>
        <v>194</v>
      </c>
      <c r="D211" s="732">
        <f t="shared" si="77"/>
        <v>31</v>
      </c>
      <c r="E211" s="35">
        <f t="shared" si="78"/>
        <v>3</v>
      </c>
      <c r="F211" s="889">
        <f t="shared" si="97"/>
        <v>51956</v>
      </c>
      <c r="G211" s="822">
        <f t="shared" si="79"/>
        <v>3</v>
      </c>
      <c r="H211" s="126">
        <f t="shared" si="80"/>
        <v>0</v>
      </c>
      <c r="I211" s="1098">
        <f t="shared" si="98"/>
        <v>0</v>
      </c>
      <c r="J211" s="887">
        <f t="shared" si="93"/>
        <v>192</v>
      </c>
      <c r="K211" s="1099">
        <f t="shared" si="86"/>
        <v>166</v>
      </c>
      <c r="L211" s="891" t="str">
        <f t="shared" si="87"/>
        <v>March</v>
      </c>
      <c r="M211" s="888">
        <f t="shared" si="94"/>
        <v>2042</v>
      </c>
      <c r="N211" s="1284">
        <f t="shared" si="99"/>
        <v>0</v>
      </c>
      <c r="O211" s="1284">
        <f t="shared" si="95"/>
        <v>0</v>
      </c>
      <c r="P211" s="883">
        <f t="shared" si="96"/>
        <v>34824683.05983828</v>
      </c>
      <c r="Q211" s="883">
        <f t="shared" si="88"/>
        <v>-307277.87674628111</v>
      </c>
      <c r="R211" s="1100"/>
      <c r="S211" s="883">
        <f t="shared" si="81"/>
        <v>-130736.08067904541</v>
      </c>
      <c r="T211" s="884">
        <f t="shared" si="89"/>
        <v>-176541.7960672357</v>
      </c>
      <c r="U211" s="884">
        <f>IF(AND($AU$43="Early Payoff",J211&gt;$U$15),0,IF($J211&lt;=$U$8,SUM($S$20:$S211),0))</f>
        <v>-11791053.020840758</v>
      </c>
      <c r="V211" s="884">
        <f>IF(AND($AU$43="Early Payoff",J211&gt;$U$15),0,IF($J211&lt;=$U$8,SUM($T$20:$T211),0))</f>
        <v>-39115435.782462984</v>
      </c>
      <c r="W211" s="885">
        <f t="shared" si="90"/>
        <v>34693946.979159236</v>
      </c>
      <c r="X211" s="1110">
        <f t="shared" si="91"/>
        <v>34824683.05983828</v>
      </c>
      <c r="Z211" s="1102">
        <f t="shared" si="82"/>
        <v>0</v>
      </c>
      <c r="AA211" s="873">
        <f t="shared" si="83"/>
        <v>0</v>
      </c>
      <c r="AB211" s="873">
        <f t="shared" si="84"/>
        <v>0</v>
      </c>
      <c r="AC211" s="885">
        <f t="shared" si="85"/>
        <v>-307277.87674628111</v>
      </c>
    </row>
    <row r="212" spans="2:29" s="278" customFormat="1" ht="12" customHeight="1" x14ac:dyDescent="0.25">
      <c r="B212" s="1108">
        <f>IF(C212&lt;'Financing Assumptions'!$G$25,0,IF(C212='Financing Assumptions'!$G$25,1,IF(C212&gt;'Financing Assumptions'!$G$25,B211+1)))</f>
        <v>193</v>
      </c>
      <c r="C212" s="1109">
        <f t="shared" si="92"/>
        <v>195</v>
      </c>
      <c r="D212" s="732">
        <f t="shared" ref="D212:D275" si="100">DAY(EOMONTH(DATE($M212,$E212,1),0))</f>
        <v>30</v>
      </c>
      <c r="E212" s="35">
        <f t="shared" ref="E212:E275" si="101">INDEX($AV$22:$AW$34,MATCH($L212,$AV$22:$AV$34,0),MATCH("Number",$AV$22:$AW$22,0))</f>
        <v>4</v>
      </c>
      <c r="F212" s="889">
        <f t="shared" si="97"/>
        <v>51986</v>
      </c>
      <c r="G212" s="822">
        <f t="shared" ref="G212:G275" si="102">INDEX($AV$22:$AW$34,MATCH($L212,$AV$22:$AV$34,0),MATCH("Number",$AV$22:$AW$22,0))</f>
        <v>4</v>
      </c>
      <c r="H212" s="126">
        <f t="shared" ref="H212:H275" si="103">IF($V$4="Monthly",INDEX($AV$36:$AW$48,MATCH($L212,$AV$36:$AV$48,0),MATCH("Number",$AV$36:$AW$36,0)),0)</f>
        <v>0</v>
      </c>
      <c r="I212" s="1098">
        <f t="shared" si="98"/>
        <v>0</v>
      </c>
      <c r="J212" s="887">
        <f t="shared" si="93"/>
        <v>193</v>
      </c>
      <c r="K212" s="1099">
        <f t="shared" si="86"/>
        <v>167</v>
      </c>
      <c r="L212" s="891" t="str">
        <f t="shared" si="87"/>
        <v>April</v>
      </c>
      <c r="M212" s="888">
        <f t="shared" si="94"/>
        <v>2042</v>
      </c>
      <c r="N212" s="1284">
        <f t="shared" si="99"/>
        <v>0</v>
      </c>
      <c r="O212" s="1284">
        <f t="shared" si="95"/>
        <v>0</v>
      </c>
      <c r="P212" s="883">
        <f t="shared" si="96"/>
        <v>34693946.979159236</v>
      </c>
      <c r="Q212" s="883">
        <f t="shared" si="88"/>
        <v>-307277.87674628111</v>
      </c>
      <c r="R212" s="1100"/>
      <c r="S212" s="883">
        <f t="shared" ref="S212:S275" si="104">IF(AND($AU$43="Early Payoff",J212&gt;=$U$15),0,IF($J212&gt;$U$8,0,IF(AND($AT$33&gt;0,$J212&lt;=$AT$33),0,+$Q212-$T212)))</f>
        <v>-131398.83997693221</v>
      </c>
      <c r="T212" s="884">
        <f t="shared" si="89"/>
        <v>-175879.0367693489</v>
      </c>
      <c r="U212" s="884">
        <f>IF(AND($AU$43="Early Payoff",J212&gt;$U$15),0,IF($J212&lt;=$U$8,SUM($S$20:$S212),0))</f>
        <v>-11922451.860817691</v>
      </c>
      <c r="V212" s="884">
        <f>IF(AND($AU$43="Early Payoff",J212&gt;$U$15),0,IF($J212&lt;=$U$8,SUM($T$20:$T212),0))</f>
        <v>-39291314.81923233</v>
      </c>
      <c r="W212" s="885">
        <f t="shared" si="90"/>
        <v>34562548.139182307</v>
      </c>
      <c r="X212" s="1110">
        <f t="shared" si="91"/>
        <v>34693946.979159236</v>
      </c>
      <c r="Z212" s="1102">
        <f t="shared" ref="Z212:Z275" si="105">IF($J212&gt;$U$8,0,IF($J212&lt;=$AT$31,0,IF(AND($AA$5="%/Payment",$AC$5=0),$Q212*$AB$5,IF(AND($AA$5="%/Payment",$AC$5&gt;0,($Q212*$AB$5)&lt;$AC$5),$Q212*$AB$5,IF(AND($AA$5="%/Payment",$AC$5&gt;0,($Q212*$AB$5)&gt;$AC$5),-$AC$5,IF(AND($AA$5="%/Balance",$AC$5=0),-$W212*$AB$5,IF(AND($AA$5="%/Balance",$AC$5&gt;0,($W212*$AB$5)&lt;$AC$5),-$W212*$AB$5,IF(AND($AA$5="%/Balance",$AC$5&gt;0,($W212*$AB$5)&gt;$AC$5),-$AC$5,IF($AA$5="Fixed Amount",-$AB$5,IF($AA$5="N/A",0))))))))))</f>
        <v>0</v>
      </c>
      <c r="AA212" s="873">
        <f t="shared" ref="AA212:AA275" si="106">IF($J212&gt;$U$8,0,IF($J212&lt;=$AT$31,0,IF(AND($AA$6="%/Payment",$AC$6=0),$Q212*$AB$6,IF(AND($AA$6="%/Payment",$AC$6&gt;0,($Q212*$AB$6)&lt;$AC$6),$Q212*$AB$6,IF(AND($AA$6="%/Payment",$AC$6&gt;0,($Q212*$AB$6)&gt;$AC$6),-$AC$6,IF(AND($AA$6="%/Balance",$AC$6=0),-$W212*$AB$6,IF(AND($AA$6="%/Balance",$AC$6&gt;0,($W212*$AB$6)&lt;$AC$6),-$W212*$AB$6,IF(AND($AA$6="%/Balance",$AC$6&gt;0,($W212*$AB$6)&gt;$AC$6),-$AC$6,IF($AA$6="Fixed Amount",-$AB$6,IF($AA$6="N/A",0))))))))))</f>
        <v>0</v>
      </c>
      <c r="AB212" s="873">
        <f t="shared" ref="AB212:AB275" si="107">IF($J212&gt;$U$8,0,IF($J212&lt;=$AT$31,0,IF(AND($AA$7="%/Payment",$AC$7=0),$Q212*$AB$7,IF(AND($AA$7="%/Payment",$AC$7&gt;0,($Q212*$AB$7)&lt;$AC$7),$Q212*$AB$7,IF(AND($AA$7="%/Payment",$AC$7&gt;0,($Q212*$AB$7)&gt;$AC$7),-$AC$7,IF(AND($AA$7="%/Balance",$AC$7=0),-$W212*$AB$7,IF(AND($AA$7="%/Balance",$AC$7&gt;0,($W212*$AB$7)&lt;$AC$7),-$W212*$AB$7,IF(AND($AA$7="%/Balance",$AC$7&gt;0,($Q212*$AB$7)&gt;$AC$7),-$AC$7,IF($AA$7="Fixed Amount",-$AB$7,IF($AA$7="N/A",0))))))))))</f>
        <v>0</v>
      </c>
      <c r="AC212" s="885">
        <f t="shared" ref="AC212:AC275" si="108">SUM($Q212,$Z212:$AB212)</f>
        <v>-307277.87674628111</v>
      </c>
    </row>
    <row r="213" spans="2:29" s="278" customFormat="1" ht="12" customHeight="1" x14ac:dyDescent="0.25">
      <c r="B213" s="1108">
        <f>IF(C213&lt;'Financing Assumptions'!$G$25,0,IF(C213='Financing Assumptions'!$G$25,1,IF(C213&gt;'Financing Assumptions'!$G$25,B212+1)))</f>
        <v>194</v>
      </c>
      <c r="C213" s="1109">
        <f t="shared" si="92"/>
        <v>196</v>
      </c>
      <c r="D213" s="732">
        <f t="shared" si="100"/>
        <v>31</v>
      </c>
      <c r="E213" s="35">
        <f t="shared" si="101"/>
        <v>5</v>
      </c>
      <c r="F213" s="889">
        <f t="shared" si="97"/>
        <v>52017</v>
      </c>
      <c r="G213" s="822">
        <f t="shared" si="102"/>
        <v>5</v>
      </c>
      <c r="H213" s="126">
        <f t="shared" si="103"/>
        <v>0</v>
      </c>
      <c r="I213" s="1098">
        <f t="shared" si="98"/>
        <v>0</v>
      </c>
      <c r="J213" s="887">
        <f t="shared" si="93"/>
        <v>194</v>
      </c>
      <c r="K213" s="1099">
        <f t="shared" ref="K213:K276" si="109">IF($J213&lt;=$AT$33,0,IF($J212&gt;=$AT$33,$K212+1))</f>
        <v>168</v>
      </c>
      <c r="L213" s="891" t="str">
        <f t="shared" ref="L213:L276" si="110">IF($V$4="Annual",$T$5,IF(AND($V$4="Bi-Annual",$G212&lt;MAX($T$4,$U$4)),INDEX($AW$22:$AX$34,MATCH(MAX($T$4,$U$4),$AW$22:$AW$34,0),MATCH("Month",$AW$22:$AX$22,0)),IF(AND($V$4="Bi-Annual",$G212=MAX($T$4,$U$4)),INDEX($AW$22:$AX$34,MATCH(MIN($T$4,$U$4),$AW$22:$AW$34,0),MATCH("Month",$AW$22:$AX$22,0)),IF(AND($V$4="Monthly",$G212&lt;12),INDEX($AW$22:$AX$34,MATCH($G212+1,$AW$22:$AW$34,0),MATCH("Month",$AW$22:$AX$22,0)),IF(AND($V$4="Monthly",$G212=12),INDEX($AW$22:$AX$34,MATCH($G212-11,$AW$22:$AW$34,0),MATCH("Month",$AW$22:$AX$22,0)))))))</f>
        <v>May</v>
      </c>
      <c r="M213" s="888">
        <f t="shared" si="94"/>
        <v>2042</v>
      </c>
      <c r="N213" s="1284">
        <f t="shared" si="99"/>
        <v>0</v>
      </c>
      <c r="O213" s="1284">
        <f t="shared" si="95"/>
        <v>0</v>
      </c>
      <c r="P213" s="883">
        <f t="shared" si="96"/>
        <v>34562548.139182307</v>
      </c>
      <c r="Q213" s="883">
        <f t="shared" ref="Q213:Q276" si="111">IF(AND($AU$43="Early Payoff",J213&gt;=$U$15),0,IF($J213&gt;$U$8,0,IF(AND($AT$33&gt;=0,$J213&lt;=$AT$33),0,IF(AND($AT$31&gt;=0,$J213&lt;=$AT$31),$T213,IF(AND($V$4="Annual",$AT$31&gt;=0,$AT$33&gt;=0,$J213&gt;$AT$31,$J213&gt;$AT$33),PMT($M$7,($U$8-$AT$31),$M$4),IF(AND($V$4="Bi-Annual",$AT$31&gt;=0,$AT$33&gt;=0,$J213&gt;$AT$31,$J213&gt;$AT$33),PMT($M$7/2,($U$8-$AT$31),$M$4),IF(AND($V$4="Monthly",$AT$31&gt;=0,$AT$33&gt;=0,$J213&gt;$AT$31,$J213&gt;$AT$33),PMT($M$7/12,($U$8-$AT$31),$M$4))))))))-R213</f>
        <v>-307277.87674628111</v>
      </c>
      <c r="R213" s="1100"/>
      <c r="S213" s="883">
        <f t="shared" si="104"/>
        <v>-132064.9590962597</v>
      </c>
      <c r="T213" s="884">
        <f t="shared" ref="T213:T276" si="112">IF(AND($AU$43="Early Payoff",J213&gt;=$U$15),0,IF($V$4="Annual",-$M$7*$W212*1,IF($V$4="Bi-Annual",(-$M$7/2)*$W212*1,IF($V$4="Monthly",(-$M$7/12)*$W212*1))))</f>
        <v>-175212.91765002141</v>
      </c>
      <c r="U213" s="884">
        <f>IF(AND($AU$43="Early Payoff",J213&gt;$U$15),0,IF($J213&lt;=$U$8,SUM($S$20:$S213),0))</f>
        <v>-12054516.819913952</v>
      </c>
      <c r="V213" s="884">
        <f>IF(AND($AU$43="Early Payoff",J213&gt;$U$15),0,IF($J213&lt;=$U$8,SUM($T$20:$T213),0))</f>
        <v>-39466527.736882351</v>
      </c>
      <c r="W213" s="885">
        <f t="shared" ref="W213:W276" si="113">IF($K213&lt;=$U$15,SUM($P213,$S213),0)</f>
        <v>34430483.180086046</v>
      </c>
      <c r="X213" s="1110">
        <f t="shared" ref="X213:X276" si="114">IF($C213&lt;$L$11,$M$4,$P213)</f>
        <v>34562548.139182307</v>
      </c>
      <c r="Z213" s="1102">
        <f t="shared" si="105"/>
        <v>0</v>
      </c>
      <c r="AA213" s="873">
        <f t="shared" si="106"/>
        <v>0</v>
      </c>
      <c r="AB213" s="873">
        <f t="shared" si="107"/>
        <v>0</v>
      </c>
      <c r="AC213" s="885">
        <f t="shared" si="108"/>
        <v>-307277.87674628111</v>
      </c>
    </row>
    <row r="214" spans="2:29" s="278" customFormat="1" ht="12" customHeight="1" x14ac:dyDescent="0.25">
      <c r="B214" s="1108">
        <f>IF(C214&lt;'Financing Assumptions'!$G$25,0,IF(C214='Financing Assumptions'!$G$25,1,IF(C214&gt;'Financing Assumptions'!$G$25,B213+1)))</f>
        <v>195</v>
      </c>
      <c r="C214" s="1109">
        <f t="shared" ref="C214:C277" si="115">C213+1</f>
        <v>197</v>
      </c>
      <c r="D214" s="732">
        <f t="shared" si="100"/>
        <v>30</v>
      </c>
      <c r="E214" s="35">
        <f t="shared" si="101"/>
        <v>6</v>
      </c>
      <c r="F214" s="889">
        <f t="shared" si="97"/>
        <v>52047</v>
      </c>
      <c r="G214" s="822">
        <f t="shared" si="102"/>
        <v>6</v>
      </c>
      <c r="H214" s="126">
        <f t="shared" si="103"/>
        <v>0</v>
      </c>
      <c r="I214" s="1098">
        <f t="shared" si="98"/>
        <v>0</v>
      </c>
      <c r="J214" s="887">
        <f t="shared" ref="J214:J277" si="116">J213+1</f>
        <v>195</v>
      </c>
      <c r="K214" s="1099">
        <f t="shared" si="109"/>
        <v>169</v>
      </c>
      <c r="L214" s="891" t="str">
        <f t="shared" si="110"/>
        <v>June</v>
      </c>
      <c r="M214" s="888">
        <f t="shared" ref="M214:M277" si="117">IF($V$4="Annual",$M213+$I214,IF($V$4="Bi-Annual",$M213+$I213,IF($V$4="Monthly",$M213+$H213)))</f>
        <v>2042</v>
      </c>
      <c r="N214" s="1284">
        <f t="shared" si="99"/>
        <v>0</v>
      </c>
      <c r="O214" s="1284">
        <f t="shared" ref="O214:O277" si="118">IF($B214&lt;=$M$11,INDEX($AZ$26:$BM$63,MATCH($B214,$AZ$26:$AZ$63,0),MATCH($M$10,$AZ$26:$BM$26,0)),0)</f>
        <v>0</v>
      </c>
      <c r="P214" s="883">
        <f t="shared" ref="P214:P277" si="119">IF(AND($AU$43="Early Payoff",$J214&gt;$U$15),0,IF(AND($AU$43="Early Payoff",$J214&lt;$U$15),SUM(N214,$W213),IF(AND($AU$43="Full-Term",$J214&lt;$U$15),SUM(N214,$W213),IF($J214&gt;$U$8,0,$W213))))</f>
        <v>34430483.180086046</v>
      </c>
      <c r="Q214" s="883">
        <f t="shared" si="111"/>
        <v>-307277.87674628111</v>
      </c>
      <c r="R214" s="1100"/>
      <c r="S214" s="883">
        <f t="shared" si="104"/>
        <v>-132734.45506945602</v>
      </c>
      <c r="T214" s="884">
        <f t="shared" si="112"/>
        <v>-174543.42167682509</v>
      </c>
      <c r="U214" s="884">
        <f>IF(AND($AU$43="Early Payoff",J214&gt;$U$15),0,IF($J214&lt;=$U$8,SUM($S$20:$S214),0))</f>
        <v>-12187251.274983408</v>
      </c>
      <c r="V214" s="884">
        <f>IF(AND($AU$43="Early Payoff",J214&gt;$U$15),0,IF($J214&lt;=$U$8,SUM($T$20:$T214),0))</f>
        <v>-39641071.158559173</v>
      </c>
      <c r="W214" s="885">
        <f t="shared" si="113"/>
        <v>34297748.725016594</v>
      </c>
      <c r="X214" s="1110">
        <f>IF($C214&lt;$L$11,$M$4,$P214)</f>
        <v>34430483.180086046</v>
      </c>
      <c r="Z214" s="1102">
        <f t="shared" si="105"/>
        <v>0</v>
      </c>
      <c r="AA214" s="873">
        <f t="shared" si="106"/>
        <v>0</v>
      </c>
      <c r="AB214" s="873">
        <f t="shared" si="107"/>
        <v>0</v>
      </c>
      <c r="AC214" s="885">
        <f t="shared" si="108"/>
        <v>-307277.87674628111</v>
      </c>
    </row>
    <row r="215" spans="2:29" s="278" customFormat="1" ht="12" customHeight="1" x14ac:dyDescent="0.25">
      <c r="B215" s="1108">
        <f>IF(C215&lt;'Financing Assumptions'!$G$25,0,IF(C215='Financing Assumptions'!$G$25,1,IF(C215&gt;'Financing Assumptions'!$G$25,B214+1)))</f>
        <v>196</v>
      </c>
      <c r="C215" s="1109">
        <f t="shared" si="115"/>
        <v>198</v>
      </c>
      <c r="D215" s="732">
        <f t="shared" si="100"/>
        <v>31</v>
      </c>
      <c r="E215" s="35">
        <f t="shared" si="101"/>
        <v>7</v>
      </c>
      <c r="F215" s="889">
        <f t="shared" ref="F215:F278" si="120">DATE(M215,E215,D215)</f>
        <v>52078</v>
      </c>
      <c r="G215" s="822">
        <f t="shared" si="102"/>
        <v>7</v>
      </c>
      <c r="H215" s="126">
        <f t="shared" si="103"/>
        <v>0</v>
      </c>
      <c r="I215" s="1098">
        <f t="shared" ref="I215:I278" si="121">IF($V$4="Annual",1,IF(AND($V$4="Bi-Annual",$G215&gt;$G216),1,IF(AND($V$4="Bi-Annual",$G215&lt;$G216),0,IF($V$4="Monthly",0,))))</f>
        <v>0</v>
      </c>
      <c r="J215" s="887">
        <f t="shared" si="116"/>
        <v>196</v>
      </c>
      <c r="K215" s="1099">
        <f t="shared" si="109"/>
        <v>170</v>
      </c>
      <c r="L215" s="891" t="str">
        <f t="shared" si="110"/>
        <v>July</v>
      </c>
      <c r="M215" s="888">
        <f t="shared" si="117"/>
        <v>2042</v>
      </c>
      <c r="N215" s="1284">
        <f t="shared" si="99"/>
        <v>0</v>
      </c>
      <c r="O215" s="1284">
        <f t="shared" si="118"/>
        <v>0</v>
      </c>
      <c r="P215" s="883">
        <f t="shared" si="119"/>
        <v>34297748.725016594</v>
      </c>
      <c r="Q215" s="883">
        <f t="shared" si="111"/>
        <v>-307277.87674628111</v>
      </c>
      <c r="R215" s="1100"/>
      <c r="S215" s="883">
        <f t="shared" si="104"/>
        <v>-133407.34501529421</v>
      </c>
      <c r="T215" s="884">
        <f t="shared" si="112"/>
        <v>-173870.5317309869</v>
      </c>
      <c r="U215" s="884">
        <f>IF(AND($AU$43="Early Payoff",J215&gt;$U$15),0,IF($J215&lt;=$U$8,SUM($S$20:$S215),0))</f>
        <v>-12320658.619998703</v>
      </c>
      <c r="V215" s="884">
        <f>IF(AND($AU$43="Early Payoff",J215&gt;$U$15),0,IF($J215&lt;=$U$8,SUM($T$20:$T215),0))</f>
        <v>-39814941.69029016</v>
      </c>
      <c r="W215" s="885">
        <f t="shared" si="113"/>
        <v>34164341.380001299</v>
      </c>
      <c r="X215" s="1110">
        <f t="shared" si="114"/>
        <v>34297748.725016594</v>
      </c>
      <c r="Z215" s="1102">
        <f t="shared" si="105"/>
        <v>0</v>
      </c>
      <c r="AA215" s="873">
        <f t="shared" si="106"/>
        <v>0</v>
      </c>
      <c r="AB215" s="873">
        <f t="shared" si="107"/>
        <v>0</v>
      </c>
      <c r="AC215" s="885">
        <f t="shared" si="108"/>
        <v>-307277.87674628111</v>
      </c>
    </row>
    <row r="216" spans="2:29" s="278" customFormat="1" ht="12" customHeight="1" x14ac:dyDescent="0.25">
      <c r="B216" s="1108">
        <f>IF(C216&lt;'Financing Assumptions'!$G$25,0,IF(C216='Financing Assumptions'!$G$25,1,IF(C216&gt;'Financing Assumptions'!$G$25,B215+1)))</f>
        <v>197</v>
      </c>
      <c r="C216" s="1109">
        <f t="shared" si="115"/>
        <v>199</v>
      </c>
      <c r="D216" s="732">
        <f t="shared" si="100"/>
        <v>31</v>
      </c>
      <c r="E216" s="35">
        <f t="shared" si="101"/>
        <v>8</v>
      </c>
      <c r="F216" s="889">
        <f t="shared" si="120"/>
        <v>52109</v>
      </c>
      <c r="G216" s="822">
        <f t="shared" si="102"/>
        <v>8</v>
      </c>
      <c r="H216" s="126">
        <f t="shared" si="103"/>
        <v>0</v>
      </c>
      <c r="I216" s="1098">
        <f t="shared" si="121"/>
        <v>0</v>
      </c>
      <c r="J216" s="887">
        <f t="shared" si="116"/>
        <v>197</v>
      </c>
      <c r="K216" s="1099">
        <f t="shared" si="109"/>
        <v>171</v>
      </c>
      <c r="L216" s="891" t="str">
        <f t="shared" si="110"/>
        <v>August</v>
      </c>
      <c r="M216" s="888">
        <f t="shared" si="117"/>
        <v>2042</v>
      </c>
      <c r="N216" s="1284">
        <f t="shared" si="99"/>
        <v>0</v>
      </c>
      <c r="O216" s="1284">
        <f t="shared" si="118"/>
        <v>0</v>
      </c>
      <c r="P216" s="883">
        <f t="shared" si="119"/>
        <v>34164341.380001299</v>
      </c>
      <c r="Q216" s="883">
        <f t="shared" si="111"/>
        <v>-307277.87674628111</v>
      </c>
      <c r="R216" s="1100"/>
      <c r="S216" s="883">
        <f t="shared" si="104"/>
        <v>-134083.64613933009</v>
      </c>
      <c r="T216" s="884">
        <f t="shared" si="112"/>
        <v>-173194.23060695102</v>
      </c>
      <c r="U216" s="884">
        <f>IF(AND($AU$43="Early Payoff",J216&gt;$U$15),0,IF($J216&lt;=$U$8,SUM($S$20:$S216),0))</f>
        <v>-12454742.266138032</v>
      </c>
      <c r="V216" s="884">
        <f>IF(AND($AU$43="Early Payoff",J216&gt;$U$15),0,IF($J216&lt;=$U$8,SUM($T$20:$T216),0))</f>
        <v>-39988135.920897111</v>
      </c>
      <c r="W216" s="885">
        <f t="shared" si="113"/>
        <v>34030257.733861968</v>
      </c>
      <c r="X216" s="1110">
        <f t="shared" si="114"/>
        <v>34164341.380001299</v>
      </c>
      <c r="Z216" s="1102">
        <f t="shared" si="105"/>
        <v>0</v>
      </c>
      <c r="AA216" s="873">
        <f t="shared" si="106"/>
        <v>0</v>
      </c>
      <c r="AB216" s="873">
        <f t="shared" si="107"/>
        <v>0</v>
      </c>
      <c r="AC216" s="885">
        <f t="shared" si="108"/>
        <v>-307277.87674628111</v>
      </c>
    </row>
    <row r="217" spans="2:29" s="278" customFormat="1" ht="12" customHeight="1" x14ac:dyDescent="0.25">
      <c r="B217" s="1108">
        <f>IF(C217&lt;'Financing Assumptions'!$G$25,0,IF(C217='Financing Assumptions'!$G$25,1,IF(C217&gt;'Financing Assumptions'!$G$25,B216+1)))</f>
        <v>198</v>
      </c>
      <c r="C217" s="1109">
        <f t="shared" si="115"/>
        <v>200</v>
      </c>
      <c r="D217" s="732">
        <f t="shared" si="100"/>
        <v>30</v>
      </c>
      <c r="E217" s="35">
        <f t="shared" si="101"/>
        <v>9</v>
      </c>
      <c r="F217" s="889">
        <f t="shared" si="120"/>
        <v>52139</v>
      </c>
      <c r="G217" s="822">
        <f t="shared" si="102"/>
        <v>9</v>
      </c>
      <c r="H217" s="126">
        <f t="shared" si="103"/>
        <v>0</v>
      </c>
      <c r="I217" s="1098">
        <f t="shared" si="121"/>
        <v>0</v>
      </c>
      <c r="J217" s="887">
        <f t="shared" si="116"/>
        <v>198</v>
      </c>
      <c r="K217" s="1099">
        <f t="shared" si="109"/>
        <v>172</v>
      </c>
      <c r="L217" s="891" t="str">
        <f t="shared" si="110"/>
        <v>September</v>
      </c>
      <c r="M217" s="888">
        <f t="shared" si="117"/>
        <v>2042</v>
      </c>
      <c r="N217" s="1284">
        <f t="shared" si="99"/>
        <v>0</v>
      </c>
      <c r="O217" s="1284">
        <f t="shared" si="118"/>
        <v>0</v>
      </c>
      <c r="P217" s="883">
        <f t="shared" si="119"/>
        <v>34030257.733861968</v>
      </c>
      <c r="Q217" s="883">
        <f t="shared" si="111"/>
        <v>-307277.87674628111</v>
      </c>
      <c r="R217" s="1100"/>
      <c r="S217" s="883">
        <f t="shared" si="104"/>
        <v>-134763.37573434197</v>
      </c>
      <c r="T217" s="884">
        <f t="shared" si="112"/>
        <v>-172514.50101193914</v>
      </c>
      <c r="U217" s="884">
        <f>IF(AND($AU$43="Early Payoff",J217&gt;$U$15),0,IF($J217&lt;=$U$8,SUM($S$20:$S217),0))</f>
        <v>-12589505.641872374</v>
      </c>
      <c r="V217" s="884">
        <f>IF(AND($AU$43="Early Payoff",J217&gt;$U$15),0,IF($J217&lt;=$U$8,SUM($T$20:$T217),0))</f>
        <v>-40160650.421909049</v>
      </c>
      <c r="W217" s="885">
        <f t="shared" si="113"/>
        <v>33895494.358127624</v>
      </c>
      <c r="X217" s="1110">
        <f t="shared" si="114"/>
        <v>34030257.733861968</v>
      </c>
      <c r="Z217" s="1102">
        <f t="shared" si="105"/>
        <v>0</v>
      </c>
      <c r="AA217" s="873">
        <f t="shared" si="106"/>
        <v>0</v>
      </c>
      <c r="AB217" s="873">
        <f t="shared" si="107"/>
        <v>0</v>
      </c>
      <c r="AC217" s="885">
        <f t="shared" si="108"/>
        <v>-307277.87674628111</v>
      </c>
    </row>
    <row r="218" spans="2:29" s="278" customFormat="1" ht="12" customHeight="1" x14ac:dyDescent="0.25">
      <c r="B218" s="1108">
        <f>IF(C218&lt;'Financing Assumptions'!$G$25,0,IF(C218='Financing Assumptions'!$G$25,1,IF(C218&gt;'Financing Assumptions'!$G$25,B217+1)))</f>
        <v>199</v>
      </c>
      <c r="C218" s="1109">
        <f t="shared" si="115"/>
        <v>201</v>
      </c>
      <c r="D218" s="732">
        <f t="shared" si="100"/>
        <v>31</v>
      </c>
      <c r="E218" s="35">
        <f t="shared" si="101"/>
        <v>10</v>
      </c>
      <c r="F218" s="889">
        <f t="shared" si="120"/>
        <v>52170</v>
      </c>
      <c r="G218" s="822">
        <f t="shared" si="102"/>
        <v>10</v>
      </c>
      <c r="H218" s="126">
        <f t="shared" si="103"/>
        <v>0</v>
      </c>
      <c r="I218" s="1098">
        <f t="shared" si="121"/>
        <v>0</v>
      </c>
      <c r="J218" s="887">
        <f t="shared" si="116"/>
        <v>199</v>
      </c>
      <c r="K218" s="1099">
        <f t="shared" si="109"/>
        <v>173</v>
      </c>
      <c r="L218" s="891" t="str">
        <f t="shared" si="110"/>
        <v>October</v>
      </c>
      <c r="M218" s="888">
        <f t="shared" si="117"/>
        <v>2042</v>
      </c>
      <c r="N218" s="1284">
        <f t="shared" ref="N218:N281" si="122">IF(B218=0,0,IF($B218&lt;=$M$11,INDEX($AZ$26:$BM$63,MATCH($B218,$AZ$26:$AZ$63,0),MATCH($M$10,$AZ$27:$BM$27,0)),0))</f>
        <v>0</v>
      </c>
      <c r="O218" s="1284">
        <f t="shared" si="118"/>
        <v>0</v>
      </c>
      <c r="P218" s="883">
        <f t="shared" si="119"/>
        <v>33895494.358127624</v>
      </c>
      <c r="Q218" s="883">
        <f t="shared" si="111"/>
        <v>-307277.87674628111</v>
      </c>
      <c r="R218" s="1100"/>
      <c r="S218" s="883">
        <f t="shared" si="104"/>
        <v>-135446.55118077304</v>
      </c>
      <c r="T218" s="884">
        <f t="shared" si="112"/>
        <v>-171831.32556550807</v>
      </c>
      <c r="U218" s="884">
        <f>IF(AND($AU$43="Early Payoff",J218&gt;$U$15),0,IF($J218&lt;=$U$8,SUM($S$20:$S218),0))</f>
        <v>-12724952.193053147</v>
      </c>
      <c r="V218" s="884">
        <f>IF(AND($AU$43="Early Payoff",J218&gt;$U$15),0,IF($J218&lt;=$U$8,SUM($T$20:$T218),0))</f>
        <v>-40332481.747474559</v>
      </c>
      <c r="W218" s="885">
        <f t="shared" si="113"/>
        <v>33760047.806946851</v>
      </c>
      <c r="X218" s="1110">
        <f t="shared" si="114"/>
        <v>33895494.358127624</v>
      </c>
      <c r="Z218" s="1102">
        <f t="shared" si="105"/>
        <v>0</v>
      </c>
      <c r="AA218" s="873">
        <f t="shared" si="106"/>
        <v>0</v>
      </c>
      <c r="AB218" s="873">
        <f t="shared" si="107"/>
        <v>0</v>
      </c>
      <c r="AC218" s="885">
        <f t="shared" si="108"/>
        <v>-307277.87674628111</v>
      </c>
    </row>
    <row r="219" spans="2:29" s="278" customFormat="1" ht="12" customHeight="1" x14ac:dyDescent="0.25">
      <c r="B219" s="1108">
        <f>IF(C219&lt;'Financing Assumptions'!$G$25,0,IF(C219='Financing Assumptions'!$G$25,1,IF(C219&gt;'Financing Assumptions'!$G$25,B218+1)))</f>
        <v>200</v>
      </c>
      <c r="C219" s="1109">
        <f t="shared" si="115"/>
        <v>202</v>
      </c>
      <c r="D219" s="732">
        <f t="shared" si="100"/>
        <v>30</v>
      </c>
      <c r="E219" s="35">
        <f t="shared" si="101"/>
        <v>11</v>
      </c>
      <c r="F219" s="889">
        <f t="shared" si="120"/>
        <v>52200</v>
      </c>
      <c r="G219" s="822">
        <f t="shared" si="102"/>
        <v>11</v>
      </c>
      <c r="H219" s="126">
        <f t="shared" si="103"/>
        <v>0</v>
      </c>
      <c r="I219" s="1098">
        <f t="shared" si="121"/>
        <v>0</v>
      </c>
      <c r="J219" s="887">
        <f t="shared" si="116"/>
        <v>200</v>
      </c>
      <c r="K219" s="1099">
        <f t="shared" si="109"/>
        <v>174</v>
      </c>
      <c r="L219" s="891" t="str">
        <f t="shared" si="110"/>
        <v>November</v>
      </c>
      <c r="M219" s="888">
        <f t="shared" si="117"/>
        <v>2042</v>
      </c>
      <c r="N219" s="1284">
        <f t="shared" si="122"/>
        <v>0</v>
      </c>
      <c r="O219" s="1284">
        <f t="shared" si="118"/>
        <v>0</v>
      </c>
      <c r="P219" s="883">
        <f t="shared" si="119"/>
        <v>33760047.806946851</v>
      </c>
      <c r="Q219" s="883">
        <f t="shared" si="111"/>
        <v>-307277.87674628111</v>
      </c>
      <c r="R219" s="1100"/>
      <c r="S219" s="883">
        <f t="shared" si="104"/>
        <v>-136133.18994717556</v>
      </c>
      <c r="T219" s="884">
        <f t="shared" si="112"/>
        <v>-171144.68679910555</v>
      </c>
      <c r="U219" s="884">
        <f>IF(AND($AU$43="Early Payoff",J219&gt;$U$15),0,IF($J219&lt;=$U$8,SUM($S$20:$S219),0))</f>
        <v>-12861085.383000322</v>
      </c>
      <c r="V219" s="884">
        <f>IF(AND($AU$43="Early Payoff",J219&gt;$U$15),0,IF($J219&lt;=$U$8,SUM($T$20:$T219),0))</f>
        <v>-40503626.434273668</v>
      </c>
      <c r="W219" s="885">
        <f t="shared" si="113"/>
        <v>33623914.616999678</v>
      </c>
      <c r="X219" s="1110">
        <f t="shared" si="114"/>
        <v>33760047.806946851</v>
      </c>
      <c r="Z219" s="1102">
        <f t="shared" si="105"/>
        <v>0</v>
      </c>
      <c r="AA219" s="873">
        <f t="shared" si="106"/>
        <v>0</v>
      </c>
      <c r="AB219" s="873">
        <f t="shared" si="107"/>
        <v>0</v>
      </c>
      <c r="AC219" s="885">
        <f t="shared" si="108"/>
        <v>-307277.87674628111</v>
      </c>
    </row>
    <row r="220" spans="2:29" s="278" customFormat="1" ht="12" customHeight="1" x14ac:dyDescent="0.25">
      <c r="B220" s="1108">
        <f>IF(C220&lt;'Financing Assumptions'!$G$25,0,IF(C220='Financing Assumptions'!$G$25,1,IF(C220&gt;'Financing Assumptions'!$G$25,B219+1)))</f>
        <v>201</v>
      </c>
      <c r="C220" s="1109">
        <f t="shared" si="115"/>
        <v>203</v>
      </c>
      <c r="D220" s="732">
        <f t="shared" si="100"/>
        <v>31</v>
      </c>
      <c r="E220" s="35">
        <f t="shared" si="101"/>
        <v>12</v>
      </c>
      <c r="F220" s="889">
        <f t="shared" si="120"/>
        <v>52231</v>
      </c>
      <c r="G220" s="822">
        <f t="shared" si="102"/>
        <v>12</v>
      </c>
      <c r="H220" s="126">
        <f t="shared" si="103"/>
        <v>1</v>
      </c>
      <c r="I220" s="1098">
        <f t="shared" si="121"/>
        <v>0</v>
      </c>
      <c r="J220" s="887">
        <f t="shared" si="116"/>
        <v>201</v>
      </c>
      <c r="K220" s="1099">
        <f t="shared" si="109"/>
        <v>175</v>
      </c>
      <c r="L220" s="891" t="str">
        <f t="shared" si="110"/>
        <v>December</v>
      </c>
      <c r="M220" s="888">
        <f t="shared" si="117"/>
        <v>2042</v>
      </c>
      <c r="N220" s="1284">
        <f t="shared" si="122"/>
        <v>0</v>
      </c>
      <c r="O220" s="1284">
        <f t="shared" si="118"/>
        <v>0</v>
      </c>
      <c r="P220" s="883">
        <f t="shared" si="119"/>
        <v>33623914.616999678</v>
      </c>
      <c r="Q220" s="883">
        <f t="shared" si="111"/>
        <v>-307277.87674628111</v>
      </c>
      <c r="R220" s="1100"/>
      <c r="S220" s="883">
        <f t="shared" si="104"/>
        <v>-136823.30959065774</v>
      </c>
      <c r="T220" s="884">
        <f t="shared" si="112"/>
        <v>-170454.56715562337</v>
      </c>
      <c r="U220" s="884">
        <f>IF(AND($AU$43="Early Payoff",J220&gt;$U$15),0,IF($J220&lt;=$U$8,SUM($S$20:$S220),0))</f>
        <v>-12997908.69259098</v>
      </c>
      <c r="V220" s="884">
        <f>IF(AND($AU$43="Early Payoff",J220&gt;$U$15),0,IF($J220&lt;=$U$8,SUM($T$20:$T220),0))</f>
        <v>-40674081.00142929</v>
      </c>
      <c r="W220" s="885">
        <f t="shared" si="113"/>
        <v>33487091.307409022</v>
      </c>
      <c r="X220" s="1110">
        <f t="shared" si="114"/>
        <v>33623914.616999678</v>
      </c>
      <c r="Z220" s="1102">
        <f t="shared" si="105"/>
        <v>0</v>
      </c>
      <c r="AA220" s="873">
        <f t="shared" si="106"/>
        <v>0</v>
      </c>
      <c r="AB220" s="873">
        <f t="shared" si="107"/>
        <v>0</v>
      </c>
      <c r="AC220" s="885">
        <f t="shared" si="108"/>
        <v>-307277.87674628111</v>
      </c>
    </row>
    <row r="221" spans="2:29" s="278" customFormat="1" ht="12" customHeight="1" x14ac:dyDescent="0.25">
      <c r="B221" s="1108">
        <f>IF(C221&lt;'Financing Assumptions'!$G$25,0,IF(C221='Financing Assumptions'!$G$25,1,IF(C221&gt;'Financing Assumptions'!$G$25,B220+1)))</f>
        <v>202</v>
      </c>
      <c r="C221" s="1109">
        <f t="shared" si="115"/>
        <v>204</v>
      </c>
      <c r="D221" s="732">
        <f t="shared" si="100"/>
        <v>31</v>
      </c>
      <c r="E221" s="35">
        <f t="shared" si="101"/>
        <v>1</v>
      </c>
      <c r="F221" s="889">
        <f t="shared" si="120"/>
        <v>52262</v>
      </c>
      <c r="G221" s="822">
        <f t="shared" si="102"/>
        <v>1</v>
      </c>
      <c r="H221" s="126">
        <f t="shared" si="103"/>
        <v>0</v>
      </c>
      <c r="I221" s="1098">
        <f t="shared" si="121"/>
        <v>0</v>
      </c>
      <c r="J221" s="887">
        <f t="shared" si="116"/>
        <v>202</v>
      </c>
      <c r="K221" s="1099">
        <f t="shared" si="109"/>
        <v>176</v>
      </c>
      <c r="L221" s="891" t="str">
        <f t="shared" si="110"/>
        <v>January</v>
      </c>
      <c r="M221" s="888">
        <f t="shared" si="117"/>
        <v>2043</v>
      </c>
      <c r="N221" s="1284">
        <f t="shared" si="122"/>
        <v>0</v>
      </c>
      <c r="O221" s="1284">
        <f t="shared" si="118"/>
        <v>0</v>
      </c>
      <c r="P221" s="883">
        <f t="shared" si="119"/>
        <v>33487091.307409022</v>
      </c>
      <c r="Q221" s="883">
        <f t="shared" si="111"/>
        <v>-307277.87674628111</v>
      </c>
      <c r="R221" s="1100"/>
      <c r="S221" s="883">
        <f t="shared" si="104"/>
        <v>-137516.9277573326</v>
      </c>
      <c r="T221" s="884">
        <f t="shared" si="112"/>
        <v>-169760.94898894851</v>
      </c>
      <c r="U221" s="884">
        <f>IF(AND($AU$43="Early Payoff",J221&gt;$U$15),0,IF($J221&lt;=$U$8,SUM($S$20:$S221),0))</f>
        <v>-13135425.620348312</v>
      </c>
      <c r="V221" s="884">
        <f>IF(AND($AU$43="Early Payoff",J221&gt;$U$15),0,IF($J221&lt;=$U$8,SUM($T$20:$T221),0))</f>
        <v>-40843841.950418241</v>
      </c>
      <c r="W221" s="885">
        <f t="shared" si="113"/>
        <v>33349574.379651688</v>
      </c>
      <c r="X221" s="1110">
        <f t="shared" si="114"/>
        <v>33487091.307409022</v>
      </c>
      <c r="Z221" s="1102">
        <f t="shared" si="105"/>
        <v>0</v>
      </c>
      <c r="AA221" s="873">
        <f t="shared" si="106"/>
        <v>0</v>
      </c>
      <c r="AB221" s="873">
        <f t="shared" si="107"/>
        <v>0</v>
      </c>
      <c r="AC221" s="885">
        <f t="shared" si="108"/>
        <v>-307277.87674628111</v>
      </c>
    </row>
    <row r="222" spans="2:29" s="278" customFormat="1" ht="12" customHeight="1" x14ac:dyDescent="0.25">
      <c r="B222" s="1108">
        <f>IF(C222&lt;'Financing Assumptions'!$G$25,0,IF(C222='Financing Assumptions'!$G$25,1,IF(C222&gt;'Financing Assumptions'!$G$25,B221+1)))</f>
        <v>203</v>
      </c>
      <c r="C222" s="1109">
        <f t="shared" si="115"/>
        <v>205</v>
      </c>
      <c r="D222" s="732">
        <f t="shared" si="100"/>
        <v>28</v>
      </c>
      <c r="E222" s="35">
        <f t="shared" si="101"/>
        <v>2</v>
      </c>
      <c r="F222" s="889">
        <f t="shared" si="120"/>
        <v>52290</v>
      </c>
      <c r="G222" s="822">
        <f t="shared" si="102"/>
        <v>2</v>
      </c>
      <c r="H222" s="126">
        <f t="shared" si="103"/>
        <v>0</v>
      </c>
      <c r="I222" s="1098">
        <f t="shared" si="121"/>
        <v>0</v>
      </c>
      <c r="J222" s="887">
        <f t="shared" si="116"/>
        <v>203</v>
      </c>
      <c r="K222" s="1099">
        <f t="shared" si="109"/>
        <v>177</v>
      </c>
      <c r="L222" s="891" t="str">
        <f t="shared" si="110"/>
        <v>February</v>
      </c>
      <c r="M222" s="888">
        <f t="shared" si="117"/>
        <v>2043</v>
      </c>
      <c r="N222" s="1284">
        <f t="shared" si="122"/>
        <v>0</v>
      </c>
      <c r="O222" s="1284">
        <f t="shared" si="118"/>
        <v>0</v>
      </c>
      <c r="P222" s="883">
        <f t="shared" si="119"/>
        <v>33349574.379651688</v>
      </c>
      <c r="Q222" s="883">
        <f t="shared" si="111"/>
        <v>-307277.87674628111</v>
      </c>
      <c r="R222" s="1100"/>
      <c r="S222" s="883">
        <f t="shared" si="104"/>
        <v>-138214.06218276909</v>
      </c>
      <c r="T222" s="884">
        <f t="shared" si="112"/>
        <v>-169063.81456351202</v>
      </c>
      <c r="U222" s="884">
        <f>IF(AND($AU$43="Early Payoff",J222&gt;$U$15),0,IF($J222&lt;=$U$8,SUM($S$20:$S222),0))</f>
        <v>-13273639.682531081</v>
      </c>
      <c r="V222" s="884">
        <f>IF(AND($AU$43="Early Payoff",J222&gt;$U$15),0,IF($J222&lt;=$U$8,SUM($T$20:$T222),0))</f>
        <v>-41012905.764981754</v>
      </c>
      <c r="W222" s="885">
        <f t="shared" si="113"/>
        <v>33211360.317468919</v>
      </c>
      <c r="X222" s="1110">
        <f t="shared" si="114"/>
        <v>33349574.379651688</v>
      </c>
      <c r="Z222" s="1102">
        <f t="shared" si="105"/>
        <v>0</v>
      </c>
      <c r="AA222" s="873">
        <f t="shared" si="106"/>
        <v>0</v>
      </c>
      <c r="AB222" s="873">
        <f t="shared" si="107"/>
        <v>0</v>
      </c>
      <c r="AC222" s="885">
        <f t="shared" si="108"/>
        <v>-307277.87674628111</v>
      </c>
    </row>
    <row r="223" spans="2:29" s="278" customFormat="1" ht="12" customHeight="1" x14ac:dyDescent="0.25">
      <c r="B223" s="1108">
        <f>IF(C223&lt;'Financing Assumptions'!$G$25,0,IF(C223='Financing Assumptions'!$G$25,1,IF(C223&gt;'Financing Assumptions'!$G$25,B222+1)))</f>
        <v>204</v>
      </c>
      <c r="C223" s="1109">
        <f t="shared" si="115"/>
        <v>206</v>
      </c>
      <c r="D223" s="732">
        <f t="shared" si="100"/>
        <v>31</v>
      </c>
      <c r="E223" s="35">
        <f t="shared" si="101"/>
        <v>3</v>
      </c>
      <c r="F223" s="889">
        <f t="shared" si="120"/>
        <v>52321</v>
      </c>
      <c r="G223" s="822">
        <f t="shared" si="102"/>
        <v>3</v>
      </c>
      <c r="H223" s="126">
        <f t="shared" si="103"/>
        <v>0</v>
      </c>
      <c r="I223" s="1098">
        <f t="shared" si="121"/>
        <v>0</v>
      </c>
      <c r="J223" s="887">
        <f t="shared" si="116"/>
        <v>204</v>
      </c>
      <c r="K223" s="1099">
        <f t="shared" si="109"/>
        <v>178</v>
      </c>
      <c r="L223" s="891" t="str">
        <f t="shared" si="110"/>
        <v>March</v>
      </c>
      <c r="M223" s="888">
        <f t="shared" si="117"/>
        <v>2043</v>
      </c>
      <c r="N223" s="1284">
        <f t="shared" si="122"/>
        <v>0</v>
      </c>
      <c r="O223" s="1284">
        <f t="shared" si="118"/>
        <v>0</v>
      </c>
      <c r="P223" s="883">
        <f t="shared" si="119"/>
        <v>33211360.317468919</v>
      </c>
      <c r="Q223" s="883">
        <f t="shared" si="111"/>
        <v>-307277.87674628111</v>
      </c>
      <c r="R223" s="1100"/>
      <c r="S223" s="883">
        <f t="shared" si="104"/>
        <v>-138914.73069244562</v>
      </c>
      <c r="T223" s="884">
        <f t="shared" si="112"/>
        <v>-168363.14605383549</v>
      </c>
      <c r="U223" s="884">
        <f>IF(AND($AU$43="Early Payoff",J223&gt;$U$15),0,IF($J223&lt;=$U$8,SUM($S$20:$S223),0))</f>
        <v>-13412554.413223527</v>
      </c>
      <c r="V223" s="884">
        <f>IF(AND($AU$43="Early Payoff",J223&gt;$U$15),0,IF($J223&lt;=$U$8,SUM($T$20:$T223),0))</f>
        <v>-41181268.91103559</v>
      </c>
      <c r="W223" s="885">
        <f t="shared" si="113"/>
        <v>33072445.586776473</v>
      </c>
      <c r="X223" s="1110">
        <f t="shared" si="114"/>
        <v>33211360.317468919</v>
      </c>
      <c r="Z223" s="1102">
        <f t="shared" si="105"/>
        <v>0</v>
      </c>
      <c r="AA223" s="873">
        <f t="shared" si="106"/>
        <v>0</v>
      </c>
      <c r="AB223" s="873">
        <f t="shared" si="107"/>
        <v>0</v>
      </c>
      <c r="AC223" s="885">
        <f t="shared" si="108"/>
        <v>-307277.87674628111</v>
      </c>
    </row>
    <row r="224" spans="2:29" s="278" customFormat="1" ht="12" customHeight="1" x14ac:dyDescent="0.25">
      <c r="B224" s="1108">
        <f>IF(C224&lt;'Financing Assumptions'!$G$25,0,IF(C224='Financing Assumptions'!$G$25,1,IF(C224&gt;'Financing Assumptions'!$G$25,B223+1)))</f>
        <v>205</v>
      </c>
      <c r="C224" s="1109">
        <f t="shared" si="115"/>
        <v>207</v>
      </c>
      <c r="D224" s="732">
        <f t="shared" si="100"/>
        <v>30</v>
      </c>
      <c r="E224" s="35">
        <f t="shared" si="101"/>
        <v>4</v>
      </c>
      <c r="F224" s="889">
        <f t="shared" si="120"/>
        <v>52351</v>
      </c>
      <c r="G224" s="822">
        <f t="shared" si="102"/>
        <v>4</v>
      </c>
      <c r="H224" s="126">
        <f t="shared" si="103"/>
        <v>0</v>
      </c>
      <c r="I224" s="1098">
        <f t="shared" si="121"/>
        <v>0</v>
      </c>
      <c r="J224" s="887">
        <f t="shared" si="116"/>
        <v>205</v>
      </c>
      <c r="K224" s="1099">
        <f t="shared" si="109"/>
        <v>179</v>
      </c>
      <c r="L224" s="891" t="str">
        <f t="shared" si="110"/>
        <v>April</v>
      </c>
      <c r="M224" s="888">
        <f t="shared" si="117"/>
        <v>2043</v>
      </c>
      <c r="N224" s="1284">
        <f t="shared" si="122"/>
        <v>0</v>
      </c>
      <c r="O224" s="1284">
        <f t="shared" si="118"/>
        <v>0</v>
      </c>
      <c r="P224" s="883">
        <f t="shared" si="119"/>
        <v>33072445.586776473</v>
      </c>
      <c r="Q224" s="883">
        <f t="shared" si="111"/>
        <v>-307277.87674628111</v>
      </c>
      <c r="R224" s="1100"/>
      <c r="S224" s="883">
        <f t="shared" si="104"/>
        <v>-139618.95120220594</v>
      </c>
      <c r="T224" s="884">
        <f t="shared" si="112"/>
        <v>-167658.92554407517</v>
      </c>
      <c r="U224" s="884">
        <f>IF(AND($AU$43="Early Payoff",J224&gt;$U$15),0,IF($J224&lt;=$U$8,SUM($S$20:$S224),0))</f>
        <v>-13552173.364425734</v>
      </c>
      <c r="V224" s="884">
        <f>IF(AND($AU$43="Early Payoff",J224&gt;$U$15),0,IF($J224&lt;=$U$8,SUM($T$20:$T224),0))</f>
        <v>-41348927.836579666</v>
      </c>
      <c r="W224" s="885">
        <f t="shared" si="113"/>
        <v>32932826.635574266</v>
      </c>
      <c r="X224" s="1110">
        <f t="shared" si="114"/>
        <v>33072445.586776473</v>
      </c>
      <c r="Z224" s="1102">
        <f t="shared" si="105"/>
        <v>0</v>
      </c>
      <c r="AA224" s="873">
        <f t="shared" si="106"/>
        <v>0</v>
      </c>
      <c r="AB224" s="873">
        <f t="shared" si="107"/>
        <v>0</v>
      </c>
      <c r="AC224" s="885">
        <f t="shared" si="108"/>
        <v>-307277.87674628111</v>
      </c>
    </row>
    <row r="225" spans="2:29" s="278" customFormat="1" ht="12" customHeight="1" x14ac:dyDescent="0.25">
      <c r="B225" s="1108">
        <f>IF(C225&lt;'Financing Assumptions'!$G$25,0,IF(C225='Financing Assumptions'!$G$25,1,IF(C225&gt;'Financing Assumptions'!$G$25,B224+1)))</f>
        <v>206</v>
      </c>
      <c r="C225" s="1109">
        <f t="shared" si="115"/>
        <v>208</v>
      </c>
      <c r="D225" s="732">
        <f t="shared" si="100"/>
        <v>31</v>
      </c>
      <c r="E225" s="35">
        <f t="shared" si="101"/>
        <v>5</v>
      </c>
      <c r="F225" s="889">
        <f t="shared" si="120"/>
        <v>52382</v>
      </c>
      <c r="G225" s="822">
        <f t="shared" si="102"/>
        <v>5</v>
      </c>
      <c r="H225" s="126">
        <f t="shared" si="103"/>
        <v>0</v>
      </c>
      <c r="I225" s="1098">
        <f t="shared" si="121"/>
        <v>0</v>
      </c>
      <c r="J225" s="887">
        <f t="shared" si="116"/>
        <v>206</v>
      </c>
      <c r="K225" s="1099">
        <f t="shared" si="109"/>
        <v>180</v>
      </c>
      <c r="L225" s="891" t="str">
        <f t="shared" si="110"/>
        <v>May</v>
      </c>
      <c r="M225" s="888">
        <f t="shared" si="117"/>
        <v>2043</v>
      </c>
      <c r="N225" s="1284">
        <f t="shared" si="122"/>
        <v>0</v>
      </c>
      <c r="O225" s="1284">
        <f t="shared" si="118"/>
        <v>0</v>
      </c>
      <c r="P225" s="883">
        <f t="shared" si="119"/>
        <v>32932826.635574266</v>
      </c>
      <c r="Q225" s="883">
        <f t="shared" si="111"/>
        <v>-307277.87674628111</v>
      </c>
      <c r="R225" s="1100"/>
      <c r="S225" s="883">
        <f t="shared" si="104"/>
        <v>-140326.74171871712</v>
      </c>
      <c r="T225" s="884">
        <f t="shared" si="112"/>
        <v>-166951.13502756399</v>
      </c>
      <c r="U225" s="884">
        <f>IF(AND($AU$43="Early Payoff",J225&gt;$U$15),0,IF($J225&lt;=$U$8,SUM($S$20:$S225),0))</f>
        <v>-13692500.106144451</v>
      </c>
      <c r="V225" s="884">
        <f>IF(AND($AU$43="Early Payoff",J225&gt;$U$15),0,IF($J225&lt;=$U$8,SUM($T$20:$T225),0))</f>
        <v>-41515878.971607231</v>
      </c>
      <c r="W225" s="885">
        <f t="shared" si="113"/>
        <v>32792499.893855549</v>
      </c>
      <c r="X225" s="1110">
        <f t="shared" si="114"/>
        <v>32932826.635574266</v>
      </c>
      <c r="Z225" s="1102">
        <f t="shared" si="105"/>
        <v>0</v>
      </c>
      <c r="AA225" s="873">
        <f t="shared" si="106"/>
        <v>0</v>
      </c>
      <c r="AB225" s="873">
        <f t="shared" si="107"/>
        <v>0</v>
      </c>
      <c r="AC225" s="885">
        <f t="shared" si="108"/>
        <v>-307277.87674628111</v>
      </c>
    </row>
    <row r="226" spans="2:29" s="278" customFormat="1" ht="12" customHeight="1" x14ac:dyDescent="0.25">
      <c r="B226" s="1108">
        <f>IF(C226&lt;'Financing Assumptions'!$G$25,0,IF(C226='Financing Assumptions'!$G$25,1,IF(C226&gt;'Financing Assumptions'!$G$25,B225+1)))</f>
        <v>207</v>
      </c>
      <c r="C226" s="1109">
        <f t="shared" si="115"/>
        <v>209</v>
      </c>
      <c r="D226" s="732">
        <f t="shared" si="100"/>
        <v>30</v>
      </c>
      <c r="E226" s="35">
        <f t="shared" si="101"/>
        <v>6</v>
      </c>
      <c r="F226" s="889">
        <f t="shared" si="120"/>
        <v>52412</v>
      </c>
      <c r="G226" s="822">
        <f t="shared" si="102"/>
        <v>6</v>
      </c>
      <c r="H226" s="126">
        <f t="shared" si="103"/>
        <v>0</v>
      </c>
      <c r="I226" s="1098">
        <f t="shared" si="121"/>
        <v>0</v>
      </c>
      <c r="J226" s="887">
        <f t="shared" si="116"/>
        <v>207</v>
      </c>
      <c r="K226" s="1099">
        <f t="shared" si="109"/>
        <v>181</v>
      </c>
      <c r="L226" s="891" t="str">
        <f t="shared" si="110"/>
        <v>June</v>
      </c>
      <c r="M226" s="888">
        <f t="shared" si="117"/>
        <v>2043</v>
      </c>
      <c r="N226" s="1284">
        <f t="shared" si="122"/>
        <v>0</v>
      </c>
      <c r="O226" s="1284">
        <f t="shared" si="118"/>
        <v>0</v>
      </c>
      <c r="P226" s="883">
        <f t="shared" si="119"/>
        <v>32792499.893855549</v>
      </c>
      <c r="Q226" s="883">
        <f t="shared" si="111"/>
        <v>-307277.87674628111</v>
      </c>
      <c r="R226" s="1100"/>
      <c r="S226" s="883">
        <f t="shared" si="104"/>
        <v>-141038.12033993006</v>
      </c>
      <c r="T226" s="884">
        <f t="shared" si="112"/>
        <v>-166239.75640635105</v>
      </c>
      <c r="U226" s="884">
        <f>IF(AND($AU$43="Early Payoff",J226&gt;$U$15),0,IF($J226&lt;=$U$8,SUM($S$20:$S226),0))</f>
        <v>-13833538.226484381</v>
      </c>
      <c r="V226" s="884">
        <f>IF(AND($AU$43="Early Payoff",J226&gt;$U$15),0,IF($J226&lt;=$U$8,SUM($T$20:$T226),0))</f>
        <v>-41682118.728013583</v>
      </c>
      <c r="W226" s="885">
        <f t="shared" si="113"/>
        <v>32651461.773515619</v>
      </c>
      <c r="X226" s="1110">
        <f t="shared" si="114"/>
        <v>32792499.893855549</v>
      </c>
      <c r="Z226" s="1102">
        <f t="shared" si="105"/>
        <v>0</v>
      </c>
      <c r="AA226" s="873">
        <f t="shared" si="106"/>
        <v>0</v>
      </c>
      <c r="AB226" s="873">
        <f t="shared" si="107"/>
        <v>0</v>
      </c>
      <c r="AC226" s="885">
        <f t="shared" si="108"/>
        <v>-307277.87674628111</v>
      </c>
    </row>
    <row r="227" spans="2:29" s="278" customFormat="1" ht="12" customHeight="1" x14ac:dyDescent="0.25">
      <c r="B227" s="1108">
        <f>IF(C227&lt;'Financing Assumptions'!$G$25,0,IF(C227='Financing Assumptions'!$G$25,1,IF(C227&gt;'Financing Assumptions'!$G$25,B226+1)))</f>
        <v>208</v>
      </c>
      <c r="C227" s="1109">
        <f t="shared" si="115"/>
        <v>210</v>
      </c>
      <c r="D227" s="732">
        <f t="shared" si="100"/>
        <v>31</v>
      </c>
      <c r="E227" s="35">
        <f t="shared" si="101"/>
        <v>7</v>
      </c>
      <c r="F227" s="889">
        <f t="shared" si="120"/>
        <v>52443</v>
      </c>
      <c r="G227" s="822">
        <f t="shared" si="102"/>
        <v>7</v>
      </c>
      <c r="H227" s="126">
        <f t="shared" si="103"/>
        <v>0</v>
      </c>
      <c r="I227" s="1098">
        <f t="shared" si="121"/>
        <v>0</v>
      </c>
      <c r="J227" s="887">
        <f t="shared" si="116"/>
        <v>208</v>
      </c>
      <c r="K227" s="1099">
        <f t="shared" si="109"/>
        <v>182</v>
      </c>
      <c r="L227" s="891" t="str">
        <f t="shared" si="110"/>
        <v>July</v>
      </c>
      <c r="M227" s="888">
        <f t="shared" si="117"/>
        <v>2043</v>
      </c>
      <c r="N227" s="1284">
        <f t="shared" si="122"/>
        <v>0</v>
      </c>
      <c r="O227" s="1284">
        <f t="shared" si="118"/>
        <v>0</v>
      </c>
      <c r="P227" s="883">
        <f t="shared" si="119"/>
        <v>32651461.773515619</v>
      </c>
      <c r="Q227" s="883">
        <f t="shared" si="111"/>
        <v>-307277.87674628111</v>
      </c>
      <c r="R227" s="1100"/>
      <c r="S227" s="883">
        <f t="shared" si="104"/>
        <v>-141753.10525554221</v>
      </c>
      <c r="T227" s="884">
        <f t="shared" si="112"/>
        <v>-165524.7714907389</v>
      </c>
      <c r="U227" s="884">
        <f>IF(AND($AU$43="Early Payoff",J227&gt;$U$15),0,IF($J227&lt;=$U$8,SUM($S$20:$S227),0))</f>
        <v>-13975291.331739923</v>
      </c>
      <c r="V227" s="884">
        <f>IF(AND($AU$43="Early Payoff",J227&gt;$U$15),0,IF($J227&lt;=$U$8,SUM($T$20:$T227),0))</f>
        <v>-41847643.49950432</v>
      </c>
      <c r="W227" s="885">
        <f t="shared" si="113"/>
        <v>32509708.668260079</v>
      </c>
      <c r="X227" s="1110">
        <f t="shared" si="114"/>
        <v>32651461.773515619</v>
      </c>
      <c r="Z227" s="1102">
        <f t="shared" si="105"/>
        <v>0</v>
      </c>
      <c r="AA227" s="873">
        <f t="shared" si="106"/>
        <v>0</v>
      </c>
      <c r="AB227" s="873">
        <f t="shared" si="107"/>
        <v>0</v>
      </c>
      <c r="AC227" s="885">
        <f t="shared" si="108"/>
        <v>-307277.87674628111</v>
      </c>
    </row>
    <row r="228" spans="2:29" s="278" customFormat="1" ht="12" customHeight="1" x14ac:dyDescent="0.25">
      <c r="B228" s="1108">
        <f>IF(C228&lt;'Financing Assumptions'!$G$25,0,IF(C228='Financing Assumptions'!$G$25,1,IF(C228&gt;'Financing Assumptions'!$G$25,B227+1)))</f>
        <v>209</v>
      </c>
      <c r="C228" s="1109">
        <f t="shared" si="115"/>
        <v>211</v>
      </c>
      <c r="D228" s="732">
        <f t="shared" si="100"/>
        <v>31</v>
      </c>
      <c r="E228" s="35">
        <f t="shared" si="101"/>
        <v>8</v>
      </c>
      <c r="F228" s="889">
        <f t="shared" si="120"/>
        <v>52474</v>
      </c>
      <c r="G228" s="822">
        <f t="shared" si="102"/>
        <v>8</v>
      </c>
      <c r="H228" s="126">
        <f t="shared" si="103"/>
        <v>0</v>
      </c>
      <c r="I228" s="1098">
        <f t="shared" si="121"/>
        <v>0</v>
      </c>
      <c r="J228" s="887">
        <f t="shared" si="116"/>
        <v>209</v>
      </c>
      <c r="K228" s="1099">
        <f t="shared" si="109"/>
        <v>183</v>
      </c>
      <c r="L228" s="891" t="str">
        <f t="shared" si="110"/>
        <v>August</v>
      </c>
      <c r="M228" s="888">
        <f t="shared" si="117"/>
        <v>2043</v>
      </c>
      <c r="N228" s="1284">
        <f t="shared" si="122"/>
        <v>0</v>
      </c>
      <c r="O228" s="1284">
        <f t="shared" si="118"/>
        <v>0</v>
      </c>
      <c r="P228" s="883">
        <f t="shared" si="119"/>
        <v>32509708.668260079</v>
      </c>
      <c r="Q228" s="883">
        <f t="shared" si="111"/>
        <v>-307277.87674628111</v>
      </c>
      <c r="R228" s="1100"/>
      <c r="S228" s="883">
        <f t="shared" si="104"/>
        <v>-142471.71474746265</v>
      </c>
      <c r="T228" s="884">
        <f t="shared" si="112"/>
        <v>-164806.16199881845</v>
      </c>
      <c r="U228" s="884">
        <f>IF(AND($AU$43="Early Payoff",J228&gt;$U$15),0,IF($J228&lt;=$U$8,SUM($S$20:$S228),0))</f>
        <v>-14117763.046487385</v>
      </c>
      <c r="V228" s="884">
        <f>IF(AND($AU$43="Early Payoff",J228&gt;$U$15),0,IF($J228&lt;=$U$8,SUM($T$20:$T228),0))</f>
        <v>-42012449.661503136</v>
      </c>
      <c r="W228" s="885">
        <f t="shared" si="113"/>
        <v>32367236.953512616</v>
      </c>
      <c r="X228" s="1110">
        <f t="shared" si="114"/>
        <v>32509708.668260079</v>
      </c>
      <c r="Z228" s="1102">
        <f t="shared" si="105"/>
        <v>0</v>
      </c>
      <c r="AA228" s="873">
        <f t="shared" si="106"/>
        <v>0</v>
      </c>
      <c r="AB228" s="873">
        <f t="shared" si="107"/>
        <v>0</v>
      </c>
      <c r="AC228" s="885">
        <f t="shared" si="108"/>
        <v>-307277.87674628111</v>
      </c>
    </row>
    <row r="229" spans="2:29" s="278" customFormat="1" ht="12" customHeight="1" x14ac:dyDescent="0.25">
      <c r="B229" s="1108">
        <f>IF(C229&lt;'Financing Assumptions'!$G$25,0,IF(C229='Financing Assumptions'!$G$25,1,IF(C229&gt;'Financing Assumptions'!$G$25,B228+1)))</f>
        <v>210</v>
      </c>
      <c r="C229" s="1109">
        <f t="shared" si="115"/>
        <v>212</v>
      </c>
      <c r="D229" s="732">
        <f t="shared" si="100"/>
        <v>30</v>
      </c>
      <c r="E229" s="35">
        <f t="shared" si="101"/>
        <v>9</v>
      </c>
      <c r="F229" s="889">
        <f t="shared" si="120"/>
        <v>52504</v>
      </c>
      <c r="G229" s="822">
        <f t="shared" si="102"/>
        <v>9</v>
      </c>
      <c r="H229" s="126">
        <f t="shared" si="103"/>
        <v>0</v>
      </c>
      <c r="I229" s="1098">
        <f t="shared" si="121"/>
        <v>0</v>
      </c>
      <c r="J229" s="887">
        <f t="shared" si="116"/>
        <v>210</v>
      </c>
      <c r="K229" s="1099">
        <f t="shared" si="109"/>
        <v>184</v>
      </c>
      <c r="L229" s="891" t="str">
        <f t="shared" si="110"/>
        <v>September</v>
      </c>
      <c r="M229" s="888">
        <f t="shared" si="117"/>
        <v>2043</v>
      </c>
      <c r="N229" s="1284">
        <f t="shared" si="122"/>
        <v>0</v>
      </c>
      <c r="O229" s="1284">
        <f t="shared" si="118"/>
        <v>0</v>
      </c>
      <c r="P229" s="883">
        <f t="shared" si="119"/>
        <v>32367236.953512616</v>
      </c>
      <c r="Q229" s="883">
        <f t="shared" si="111"/>
        <v>-307277.87674628111</v>
      </c>
      <c r="R229" s="1100"/>
      <c r="S229" s="883">
        <f t="shared" si="104"/>
        <v>-143193.96719027965</v>
      </c>
      <c r="T229" s="884">
        <f t="shared" si="112"/>
        <v>-164083.90955600145</v>
      </c>
      <c r="U229" s="884">
        <f>IF(AND($AU$43="Early Payoff",J229&gt;$U$15),0,IF($J229&lt;=$U$8,SUM($S$20:$S229),0))</f>
        <v>-14260957.013677666</v>
      </c>
      <c r="V229" s="884">
        <f>IF(AND($AU$43="Early Payoff",J229&gt;$U$15),0,IF($J229&lt;=$U$8,SUM($T$20:$T229),0))</f>
        <v>-42176533.571059138</v>
      </c>
      <c r="W229" s="885">
        <f t="shared" si="113"/>
        <v>32224042.986322336</v>
      </c>
      <c r="X229" s="1110">
        <f t="shared" si="114"/>
        <v>32367236.953512616</v>
      </c>
      <c r="Z229" s="1102">
        <f t="shared" si="105"/>
        <v>0</v>
      </c>
      <c r="AA229" s="873">
        <f t="shared" si="106"/>
        <v>0</v>
      </c>
      <c r="AB229" s="873">
        <f t="shared" si="107"/>
        <v>0</v>
      </c>
      <c r="AC229" s="885">
        <f t="shared" si="108"/>
        <v>-307277.87674628111</v>
      </c>
    </row>
    <row r="230" spans="2:29" s="278" customFormat="1" ht="12" customHeight="1" x14ac:dyDescent="0.25">
      <c r="B230" s="1108">
        <f>IF(C230&lt;'Financing Assumptions'!$G$25,0,IF(C230='Financing Assumptions'!$G$25,1,IF(C230&gt;'Financing Assumptions'!$G$25,B229+1)))</f>
        <v>211</v>
      </c>
      <c r="C230" s="1109">
        <f t="shared" si="115"/>
        <v>213</v>
      </c>
      <c r="D230" s="732">
        <f t="shared" si="100"/>
        <v>31</v>
      </c>
      <c r="E230" s="35">
        <f t="shared" si="101"/>
        <v>10</v>
      </c>
      <c r="F230" s="889">
        <f t="shared" si="120"/>
        <v>52535</v>
      </c>
      <c r="G230" s="822">
        <f t="shared" si="102"/>
        <v>10</v>
      </c>
      <c r="H230" s="126">
        <f t="shared" si="103"/>
        <v>0</v>
      </c>
      <c r="I230" s="1098">
        <f t="shared" si="121"/>
        <v>0</v>
      </c>
      <c r="J230" s="887">
        <f t="shared" si="116"/>
        <v>211</v>
      </c>
      <c r="K230" s="1099">
        <f t="shared" si="109"/>
        <v>185</v>
      </c>
      <c r="L230" s="891" t="str">
        <f t="shared" si="110"/>
        <v>October</v>
      </c>
      <c r="M230" s="888">
        <f t="shared" si="117"/>
        <v>2043</v>
      </c>
      <c r="N230" s="1284">
        <f t="shared" si="122"/>
        <v>0</v>
      </c>
      <c r="O230" s="1284">
        <f t="shared" si="118"/>
        <v>0</v>
      </c>
      <c r="P230" s="883">
        <f t="shared" si="119"/>
        <v>32224042.986322336</v>
      </c>
      <c r="Q230" s="883">
        <f t="shared" si="111"/>
        <v>-307277.87674628111</v>
      </c>
      <c r="R230" s="1100"/>
      <c r="S230" s="883">
        <f t="shared" si="104"/>
        <v>-143919.88105173039</v>
      </c>
      <c r="T230" s="884">
        <f t="shared" si="112"/>
        <v>-163357.99569455071</v>
      </c>
      <c r="U230" s="884">
        <f>IF(AND($AU$43="Early Payoff",J230&gt;$U$15),0,IF($J230&lt;=$U$8,SUM($S$20:$S230),0))</f>
        <v>-14404876.894729396</v>
      </c>
      <c r="V230" s="884">
        <f>IF(AND($AU$43="Early Payoff",J230&gt;$U$15),0,IF($J230&lt;=$U$8,SUM($T$20:$T230),0))</f>
        <v>-42339891.566753685</v>
      </c>
      <c r="W230" s="885">
        <f t="shared" si="113"/>
        <v>32080123.105270606</v>
      </c>
      <c r="X230" s="1110">
        <f t="shared" si="114"/>
        <v>32224042.986322336</v>
      </c>
      <c r="Z230" s="1102">
        <f t="shared" si="105"/>
        <v>0</v>
      </c>
      <c r="AA230" s="873">
        <f t="shared" si="106"/>
        <v>0</v>
      </c>
      <c r="AB230" s="873">
        <f t="shared" si="107"/>
        <v>0</v>
      </c>
      <c r="AC230" s="885">
        <f t="shared" si="108"/>
        <v>-307277.87674628111</v>
      </c>
    </row>
    <row r="231" spans="2:29" s="278" customFormat="1" ht="12" customHeight="1" x14ac:dyDescent="0.25">
      <c r="B231" s="1108">
        <f>IF(C231&lt;'Financing Assumptions'!$G$25,0,IF(C231='Financing Assumptions'!$G$25,1,IF(C231&gt;'Financing Assumptions'!$G$25,B230+1)))</f>
        <v>212</v>
      </c>
      <c r="C231" s="1109">
        <f t="shared" si="115"/>
        <v>214</v>
      </c>
      <c r="D231" s="732">
        <f t="shared" si="100"/>
        <v>30</v>
      </c>
      <c r="E231" s="35">
        <f t="shared" si="101"/>
        <v>11</v>
      </c>
      <c r="F231" s="889">
        <f t="shared" si="120"/>
        <v>52565</v>
      </c>
      <c r="G231" s="822">
        <f t="shared" si="102"/>
        <v>11</v>
      </c>
      <c r="H231" s="126">
        <f t="shared" si="103"/>
        <v>0</v>
      </c>
      <c r="I231" s="1098">
        <f t="shared" si="121"/>
        <v>0</v>
      </c>
      <c r="J231" s="887">
        <f t="shared" si="116"/>
        <v>212</v>
      </c>
      <c r="K231" s="1099">
        <f t="shared" si="109"/>
        <v>186</v>
      </c>
      <c r="L231" s="891" t="str">
        <f t="shared" si="110"/>
        <v>November</v>
      </c>
      <c r="M231" s="888">
        <f t="shared" si="117"/>
        <v>2043</v>
      </c>
      <c r="N231" s="1284">
        <f t="shared" si="122"/>
        <v>0</v>
      </c>
      <c r="O231" s="1284">
        <f t="shared" si="118"/>
        <v>0</v>
      </c>
      <c r="P231" s="883">
        <f t="shared" si="119"/>
        <v>32080123.105270606</v>
      </c>
      <c r="Q231" s="883">
        <f t="shared" si="111"/>
        <v>-307277.87674628111</v>
      </c>
      <c r="R231" s="1100"/>
      <c r="S231" s="883">
        <f t="shared" si="104"/>
        <v>-144649.47489317317</v>
      </c>
      <c r="T231" s="884">
        <f t="shared" si="112"/>
        <v>-162628.40185310793</v>
      </c>
      <c r="U231" s="884">
        <f>IF(AND($AU$43="Early Payoff",J231&gt;$U$15),0,IF($J231&lt;=$U$8,SUM($S$20:$S231),0))</f>
        <v>-14549526.36962257</v>
      </c>
      <c r="V231" s="884">
        <f>IF(AND($AU$43="Early Payoff",J231&gt;$U$15),0,IF($J231&lt;=$U$8,SUM($T$20:$T231),0))</f>
        <v>-42502519.968606792</v>
      </c>
      <c r="W231" s="885">
        <f t="shared" si="113"/>
        <v>31935473.630377434</v>
      </c>
      <c r="X231" s="1110">
        <f t="shared" si="114"/>
        <v>32080123.105270606</v>
      </c>
      <c r="Z231" s="1102">
        <f t="shared" si="105"/>
        <v>0</v>
      </c>
      <c r="AA231" s="873">
        <f t="shared" si="106"/>
        <v>0</v>
      </c>
      <c r="AB231" s="873">
        <f t="shared" si="107"/>
        <v>0</v>
      </c>
      <c r="AC231" s="885">
        <f t="shared" si="108"/>
        <v>-307277.87674628111</v>
      </c>
    </row>
    <row r="232" spans="2:29" s="278" customFormat="1" ht="12" customHeight="1" x14ac:dyDescent="0.25">
      <c r="B232" s="1108">
        <f>IF(C232&lt;'Financing Assumptions'!$G$25,0,IF(C232='Financing Assumptions'!$G$25,1,IF(C232&gt;'Financing Assumptions'!$G$25,B231+1)))</f>
        <v>213</v>
      </c>
      <c r="C232" s="1109">
        <f t="shared" si="115"/>
        <v>215</v>
      </c>
      <c r="D232" s="732">
        <f t="shared" si="100"/>
        <v>31</v>
      </c>
      <c r="E232" s="35">
        <f t="shared" si="101"/>
        <v>12</v>
      </c>
      <c r="F232" s="889">
        <f t="shared" si="120"/>
        <v>52596</v>
      </c>
      <c r="G232" s="822">
        <f t="shared" si="102"/>
        <v>12</v>
      </c>
      <c r="H232" s="126">
        <f t="shared" si="103"/>
        <v>1</v>
      </c>
      <c r="I232" s="1098">
        <f t="shared" si="121"/>
        <v>0</v>
      </c>
      <c r="J232" s="887">
        <f t="shared" si="116"/>
        <v>213</v>
      </c>
      <c r="K232" s="1099">
        <f t="shared" si="109"/>
        <v>187</v>
      </c>
      <c r="L232" s="891" t="str">
        <f t="shared" si="110"/>
        <v>December</v>
      </c>
      <c r="M232" s="888">
        <f t="shared" si="117"/>
        <v>2043</v>
      </c>
      <c r="N232" s="1284">
        <f t="shared" si="122"/>
        <v>0</v>
      </c>
      <c r="O232" s="1284">
        <f t="shared" si="118"/>
        <v>0</v>
      </c>
      <c r="P232" s="883">
        <f t="shared" si="119"/>
        <v>31935473.630377434</v>
      </c>
      <c r="Q232" s="883">
        <f t="shared" si="111"/>
        <v>-307277.87674628111</v>
      </c>
      <c r="R232" s="1100"/>
      <c r="S232" s="883">
        <f t="shared" si="104"/>
        <v>-145382.76737006218</v>
      </c>
      <c r="T232" s="884">
        <f t="shared" si="112"/>
        <v>-161895.10937621893</v>
      </c>
      <c r="U232" s="884">
        <f>IF(AND($AU$43="Early Payoff",J232&gt;$U$15),0,IF($J232&lt;=$U$8,SUM($S$20:$S232),0))</f>
        <v>-14694909.136992631</v>
      </c>
      <c r="V232" s="884">
        <f>IF(AND($AU$43="Early Payoff",J232&gt;$U$15),0,IF($J232&lt;=$U$8,SUM($T$20:$T232),0))</f>
        <v>-42664415.077983014</v>
      </c>
      <c r="W232" s="885">
        <f t="shared" si="113"/>
        <v>31790090.86300737</v>
      </c>
      <c r="X232" s="1110">
        <f t="shared" si="114"/>
        <v>31935473.630377434</v>
      </c>
      <c r="Z232" s="1102">
        <f t="shared" si="105"/>
        <v>0</v>
      </c>
      <c r="AA232" s="873">
        <f t="shared" si="106"/>
        <v>0</v>
      </c>
      <c r="AB232" s="873">
        <f t="shared" si="107"/>
        <v>0</v>
      </c>
      <c r="AC232" s="885">
        <f t="shared" si="108"/>
        <v>-307277.87674628111</v>
      </c>
    </row>
    <row r="233" spans="2:29" s="278" customFormat="1" ht="12" customHeight="1" x14ac:dyDescent="0.25">
      <c r="B233" s="1108">
        <f>IF(C233&lt;'Financing Assumptions'!$G$25,0,IF(C233='Financing Assumptions'!$G$25,1,IF(C233&gt;'Financing Assumptions'!$G$25,B232+1)))</f>
        <v>214</v>
      </c>
      <c r="C233" s="1109">
        <f t="shared" si="115"/>
        <v>216</v>
      </c>
      <c r="D233" s="732">
        <f t="shared" si="100"/>
        <v>31</v>
      </c>
      <c r="E233" s="35">
        <f t="shared" si="101"/>
        <v>1</v>
      </c>
      <c r="F233" s="889">
        <f t="shared" si="120"/>
        <v>52627</v>
      </c>
      <c r="G233" s="822">
        <f t="shared" si="102"/>
        <v>1</v>
      </c>
      <c r="H233" s="126">
        <f t="shared" si="103"/>
        <v>0</v>
      </c>
      <c r="I233" s="1098">
        <f t="shared" si="121"/>
        <v>0</v>
      </c>
      <c r="J233" s="887">
        <f t="shared" si="116"/>
        <v>214</v>
      </c>
      <c r="K233" s="1099">
        <f t="shared" si="109"/>
        <v>188</v>
      </c>
      <c r="L233" s="891" t="str">
        <f t="shared" si="110"/>
        <v>January</v>
      </c>
      <c r="M233" s="888">
        <f t="shared" si="117"/>
        <v>2044</v>
      </c>
      <c r="N233" s="1284">
        <f t="shared" si="122"/>
        <v>0</v>
      </c>
      <c r="O233" s="1284">
        <f t="shared" si="118"/>
        <v>0</v>
      </c>
      <c r="P233" s="883">
        <f t="shared" si="119"/>
        <v>31790090.86300737</v>
      </c>
      <c r="Q233" s="883">
        <f t="shared" si="111"/>
        <v>-307277.87674628111</v>
      </c>
      <c r="R233" s="1100"/>
      <c r="S233" s="883">
        <f t="shared" si="104"/>
        <v>-146119.7772324243</v>
      </c>
      <c r="T233" s="884">
        <f t="shared" si="112"/>
        <v>-161158.09951385681</v>
      </c>
      <c r="U233" s="884">
        <f>IF(AND($AU$43="Early Payoff",J233&gt;$U$15),0,IF($J233&lt;=$U$8,SUM($S$20:$S233),0))</f>
        <v>-14841028.914225055</v>
      </c>
      <c r="V233" s="884">
        <f>IF(AND($AU$43="Early Payoff",J233&gt;$U$15),0,IF($J233&lt;=$U$8,SUM($T$20:$T233),0))</f>
        <v>-42825573.177496873</v>
      </c>
      <c r="W233" s="885">
        <f t="shared" si="113"/>
        <v>31643971.085774947</v>
      </c>
      <c r="X233" s="1110">
        <f t="shared" si="114"/>
        <v>31790090.86300737</v>
      </c>
      <c r="Z233" s="1102">
        <f t="shared" si="105"/>
        <v>0</v>
      </c>
      <c r="AA233" s="873">
        <f t="shared" si="106"/>
        <v>0</v>
      </c>
      <c r="AB233" s="873">
        <f t="shared" si="107"/>
        <v>0</v>
      </c>
      <c r="AC233" s="885">
        <f t="shared" si="108"/>
        <v>-307277.87674628111</v>
      </c>
    </row>
    <row r="234" spans="2:29" s="278" customFormat="1" ht="12" customHeight="1" x14ac:dyDescent="0.25">
      <c r="B234" s="1108">
        <f>IF(C234&lt;'Financing Assumptions'!$G$25,0,IF(C234='Financing Assumptions'!$G$25,1,IF(C234&gt;'Financing Assumptions'!$G$25,B233+1)))</f>
        <v>215</v>
      </c>
      <c r="C234" s="1109">
        <f t="shared" si="115"/>
        <v>217</v>
      </c>
      <c r="D234" s="732">
        <f t="shared" si="100"/>
        <v>29</v>
      </c>
      <c r="E234" s="35">
        <f t="shared" si="101"/>
        <v>2</v>
      </c>
      <c r="F234" s="889">
        <f t="shared" si="120"/>
        <v>52656</v>
      </c>
      <c r="G234" s="822">
        <f t="shared" si="102"/>
        <v>2</v>
      </c>
      <c r="H234" s="126">
        <f t="shared" si="103"/>
        <v>0</v>
      </c>
      <c r="I234" s="1098">
        <f t="shared" si="121"/>
        <v>0</v>
      </c>
      <c r="J234" s="887">
        <f t="shared" si="116"/>
        <v>215</v>
      </c>
      <c r="K234" s="1099">
        <f t="shared" si="109"/>
        <v>189</v>
      </c>
      <c r="L234" s="891" t="str">
        <f t="shared" si="110"/>
        <v>February</v>
      </c>
      <c r="M234" s="888">
        <f t="shared" si="117"/>
        <v>2044</v>
      </c>
      <c r="N234" s="1284">
        <f t="shared" si="122"/>
        <v>0</v>
      </c>
      <c r="O234" s="1284">
        <f t="shared" si="118"/>
        <v>0</v>
      </c>
      <c r="P234" s="883">
        <f t="shared" si="119"/>
        <v>31643971.085774947</v>
      </c>
      <c r="Q234" s="883">
        <f t="shared" si="111"/>
        <v>-307277.87674628111</v>
      </c>
      <c r="R234" s="1100"/>
      <c r="S234" s="883">
        <f t="shared" si="104"/>
        <v>-146860.52332533867</v>
      </c>
      <c r="T234" s="884">
        <f t="shared" si="112"/>
        <v>-160417.35342094244</v>
      </c>
      <c r="U234" s="884">
        <f>IF(AND($AU$43="Early Payoff",J234&gt;$U$15),0,IF($J234&lt;=$U$8,SUM($S$20:$S234),0))</f>
        <v>-14987889.437550394</v>
      </c>
      <c r="V234" s="884">
        <f>IF(AND($AU$43="Early Payoff",J234&gt;$U$15),0,IF($J234&lt;=$U$8,SUM($T$20:$T234),0))</f>
        <v>-42985990.530917816</v>
      </c>
      <c r="W234" s="885">
        <f t="shared" si="113"/>
        <v>31497110.562449608</v>
      </c>
      <c r="X234" s="1110">
        <f t="shared" si="114"/>
        <v>31643971.085774947</v>
      </c>
      <c r="Z234" s="1102">
        <f t="shared" si="105"/>
        <v>0</v>
      </c>
      <c r="AA234" s="873">
        <f t="shared" si="106"/>
        <v>0</v>
      </c>
      <c r="AB234" s="873">
        <f t="shared" si="107"/>
        <v>0</v>
      </c>
      <c r="AC234" s="885">
        <f t="shared" si="108"/>
        <v>-307277.87674628111</v>
      </c>
    </row>
    <row r="235" spans="2:29" s="278" customFormat="1" ht="12" customHeight="1" x14ac:dyDescent="0.25">
      <c r="B235" s="1108">
        <f>IF(C235&lt;'Financing Assumptions'!$G$25,0,IF(C235='Financing Assumptions'!$G$25,1,IF(C235&gt;'Financing Assumptions'!$G$25,B234+1)))</f>
        <v>216</v>
      </c>
      <c r="C235" s="1109">
        <f t="shared" si="115"/>
        <v>218</v>
      </c>
      <c r="D235" s="732">
        <f t="shared" si="100"/>
        <v>31</v>
      </c>
      <c r="E235" s="35">
        <f t="shared" si="101"/>
        <v>3</v>
      </c>
      <c r="F235" s="889">
        <f t="shared" si="120"/>
        <v>52687</v>
      </c>
      <c r="G235" s="822">
        <f t="shared" si="102"/>
        <v>3</v>
      </c>
      <c r="H235" s="126">
        <f t="shared" si="103"/>
        <v>0</v>
      </c>
      <c r="I235" s="1098">
        <f t="shared" si="121"/>
        <v>0</v>
      </c>
      <c r="J235" s="887">
        <f t="shared" si="116"/>
        <v>216</v>
      </c>
      <c r="K235" s="1099">
        <f t="shared" si="109"/>
        <v>190</v>
      </c>
      <c r="L235" s="891" t="str">
        <f t="shared" si="110"/>
        <v>March</v>
      </c>
      <c r="M235" s="888">
        <f t="shared" si="117"/>
        <v>2044</v>
      </c>
      <c r="N235" s="1284">
        <f t="shared" si="122"/>
        <v>0</v>
      </c>
      <c r="O235" s="1284">
        <f t="shared" si="118"/>
        <v>0</v>
      </c>
      <c r="P235" s="883">
        <f t="shared" si="119"/>
        <v>31497110.562449608</v>
      </c>
      <c r="Q235" s="883">
        <f t="shared" si="111"/>
        <v>-307277.87674628111</v>
      </c>
      <c r="R235" s="1100"/>
      <c r="S235" s="883">
        <f t="shared" si="104"/>
        <v>-147605.02458941852</v>
      </c>
      <c r="T235" s="884">
        <f t="shared" si="112"/>
        <v>-159672.85215686259</v>
      </c>
      <c r="U235" s="884">
        <f>IF(AND($AU$43="Early Payoff",J235&gt;$U$15),0,IF($J235&lt;=$U$8,SUM($S$20:$S235),0))</f>
        <v>-15135494.462139813</v>
      </c>
      <c r="V235" s="884">
        <f>IF(AND($AU$43="Early Payoff",J235&gt;$U$15),0,IF($J235&lt;=$U$8,SUM($T$20:$T235),0))</f>
        <v>-43145663.383074678</v>
      </c>
      <c r="W235" s="885">
        <f t="shared" si="113"/>
        <v>31349505.537860189</v>
      </c>
      <c r="X235" s="1110">
        <f t="shared" si="114"/>
        <v>31497110.562449608</v>
      </c>
      <c r="Z235" s="1102">
        <f t="shared" si="105"/>
        <v>0</v>
      </c>
      <c r="AA235" s="873">
        <f t="shared" si="106"/>
        <v>0</v>
      </c>
      <c r="AB235" s="873">
        <f t="shared" si="107"/>
        <v>0</v>
      </c>
      <c r="AC235" s="885">
        <f t="shared" si="108"/>
        <v>-307277.87674628111</v>
      </c>
    </row>
    <row r="236" spans="2:29" s="278" customFormat="1" ht="12" customHeight="1" x14ac:dyDescent="0.25">
      <c r="B236" s="1108">
        <f>IF(C236&lt;'Financing Assumptions'!$G$25,0,IF(C236='Financing Assumptions'!$G$25,1,IF(C236&gt;'Financing Assumptions'!$G$25,B235+1)))</f>
        <v>217</v>
      </c>
      <c r="C236" s="1109">
        <f t="shared" si="115"/>
        <v>219</v>
      </c>
      <c r="D236" s="732">
        <f t="shared" si="100"/>
        <v>30</v>
      </c>
      <c r="E236" s="35">
        <f t="shared" si="101"/>
        <v>4</v>
      </c>
      <c r="F236" s="889">
        <f t="shared" si="120"/>
        <v>52717</v>
      </c>
      <c r="G236" s="822">
        <f t="shared" si="102"/>
        <v>4</v>
      </c>
      <c r="H236" s="126">
        <f t="shared" si="103"/>
        <v>0</v>
      </c>
      <c r="I236" s="1098">
        <f t="shared" si="121"/>
        <v>0</v>
      </c>
      <c r="J236" s="887">
        <f t="shared" si="116"/>
        <v>217</v>
      </c>
      <c r="K236" s="1099">
        <f t="shared" si="109"/>
        <v>191</v>
      </c>
      <c r="L236" s="891" t="str">
        <f t="shared" si="110"/>
        <v>April</v>
      </c>
      <c r="M236" s="888">
        <f t="shared" si="117"/>
        <v>2044</v>
      </c>
      <c r="N236" s="1284">
        <f t="shared" si="122"/>
        <v>0</v>
      </c>
      <c r="O236" s="1284">
        <f t="shared" si="118"/>
        <v>0</v>
      </c>
      <c r="P236" s="883">
        <f t="shared" si="119"/>
        <v>31349505.537860189</v>
      </c>
      <c r="Q236" s="883">
        <f t="shared" si="111"/>
        <v>-307277.87674628111</v>
      </c>
      <c r="R236" s="1100"/>
      <c r="S236" s="883">
        <f t="shared" si="104"/>
        <v>-148353.30006129545</v>
      </c>
      <c r="T236" s="884">
        <f t="shared" si="112"/>
        <v>-158924.57668498566</v>
      </c>
      <c r="U236" s="884">
        <f>IF(AND($AU$43="Early Payoff",J236&gt;$U$15),0,IF($J236&lt;=$U$8,SUM($S$20:$S236),0))</f>
        <v>-15283847.762201108</v>
      </c>
      <c r="V236" s="884">
        <f>IF(AND($AU$43="Early Payoff",J236&gt;$U$15),0,IF($J236&lt;=$U$8,SUM($T$20:$T236),0))</f>
        <v>-43304587.959759668</v>
      </c>
      <c r="W236" s="885">
        <f t="shared" si="113"/>
        <v>31201152.237798892</v>
      </c>
      <c r="X236" s="1110">
        <f t="shared" si="114"/>
        <v>31349505.537860189</v>
      </c>
      <c r="Z236" s="1102">
        <f t="shared" si="105"/>
        <v>0</v>
      </c>
      <c r="AA236" s="873">
        <f t="shared" si="106"/>
        <v>0</v>
      </c>
      <c r="AB236" s="873">
        <f t="shared" si="107"/>
        <v>0</v>
      </c>
      <c r="AC236" s="885">
        <f t="shared" si="108"/>
        <v>-307277.87674628111</v>
      </c>
    </row>
    <row r="237" spans="2:29" s="278" customFormat="1" ht="12" customHeight="1" x14ac:dyDescent="0.25">
      <c r="B237" s="1108">
        <f>IF(C237&lt;'Financing Assumptions'!$G$25,0,IF(C237='Financing Assumptions'!$G$25,1,IF(C237&gt;'Financing Assumptions'!$G$25,B236+1)))</f>
        <v>218</v>
      </c>
      <c r="C237" s="1109">
        <f t="shared" si="115"/>
        <v>220</v>
      </c>
      <c r="D237" s="732">
        <f t="shared" si="100"/>
        <v>31</v>
      </c>
      <c r="E237" s="35">
        <f t="shared" si="101"/>
        <v>5</v>
      </c>
      <c r="F237" s="889">
        <f t="shared" si="120"/>
        <v>52748</v>
      </c>
      <c r="G237" s="822">
        <f t="shared" si="102"/>
        <v>5</v>
      </c>
      <c r="H237" s="126">
        <f t="shared" si="103"/>
        <v>0</v>
      </c>
      <c r="I237" s="1098">
        <f t="shared" si="121"/>
        <v>0</v>
      </c>
      <c r="J237" s="887">
        <f t="shared" si="116"/>
        <v>218</v>
      </c>
      <c r="K237" s="1099">
        <f t="shared" si="109"/>
        <v>192</v>
      </c>
      <c r="L237" s="891" t="str">
        <f t="shared" si="110"/>
        <v>May</v>
      </c>
      <c r="M237" s="888">
        <f t="shared" si="117"/>
        <v>2044</v>
      </c>
      <c r="N237" s="1284">
        <f t="shared" si="122"/>
        <v>0</v>
      </c>
      <c r="O237" s="1284">
        <f t="shared" si="118"/>
        <v>0</v>
      </c>
      <c r="P237" s="883">
        <f t="shared" si="119"/>
        <v>31201152.237798892</v>
      </c>
      <c r="Q237" s="883">
        <f t="shared" si="111"/>
        <v>-307277.87674628111</v>
      </c>
      <c r="R237" s="1100"/>
      <c r="S237" s="883">
        <f t="shared" si="104"/>
        <v>-149105.36887410618</v>
      </c>
      <c r="T237" s="884">
        <f t="shared" si="112"/>
        <v>-158172.50787217493</v>
      </c>
      <c r="U237" s="884">
        <f>IF(AND($AU$43="Early Payoff",J237&gt;$U$15),0,IF($J237&lt;=$U$8,SUM($S$20:$S237),0))</f>
        <v>-15432953.131075215</v>
      </c>
      <c r="V237" s="884">
        <f>IF(AND($AU$43="Early Payoff",J237&gt;$U$15),0,IF($J237&lt;=$U$8,SUM($T$20:$T237),0))</f>
        <v>-43462760.467631839</v>
      </c>
      <c r="W237" s="885">
        <f t="shared" si="113"/>
        <v>31052046.868924785</v>
      </c>
      <c r="X237" s="1110">
        <f t="shared" si="114"/>
        <v>31201152.237798892</v>
      </c>
      <c r="Z237" s="1102">
        <f t="shared" si="105"/>
        <v>0</v>
      </c>
      <c r="AA237" s="873">
        <f t="shared" si="106"/>
        <v>0</v>
      </c>
      <c r="AB237" s="873">
        <f t="shared" si="107"/>
        <v>0</v>
      </c>
      <c r="AC237" s="885">
        <f t="shared" si="108"/>
        <v>-307277.87674628111</v>
      </c>
    </row>
    <row r="238" spans="2:29" s="278" customFormat="1" ht="12" customHeight="1" x14ac:dyDescent="0.25">
      <c r="B238" s="1108">
        <f>IF(C238&lt;'Financing Assumptions'!$G$25,0,IF(C238='Financing Assumptions'!$G$25,1,IF(C238&gt;'Financing Assumptions'!$G$25,B237+1)))</f>
        <v>219</v>
      </c>
      <c r="C238" s="1109">
        <f t="shared" si="115"/>
        <v>221</v>
      </c>
      <c r="D238" s="732">
        <f t="shared" si="100"/>
        <v>30</v>
      </c>
      <c r="E238" s="35">
        <f t="shared" si="101"/>
        <v>6</v>
      </c>
      <c r="F238" s="889">
        <f t="shared" si="120"/>
        <v>52778</v>
      </c>
      <c r="G238" s="822">
        <f t="shared" si="102"/>
        <v>6</v>
      </c>
      <c r="H238" s="126">
        <f t="shared" si="103"/>
        <v>0</v>
      </c>
      <c r="I238" s="1098">
        <f t="shared" si="121"/>
        <v>0</v>
      </c>
      <c r="J238" s="887">
        <f t="shared" si="116"/>
        <v>219</v>
      </c>
      <c r="K238" s="1099">
        <f t="shared" si="109"/>
        <v>193</v>
      </c>
      <c r="L238" s="891" t="str">
        <f t="shared" si="110"/>
        <v>June</v>
      </c>
      <c r="M238" s="888">
        <f t="shared" si="117"/>
        <v>2044</v>
      </c>
      <c r="N238" s="1284">
        <f t="shared" si="122"/>
        <v>0</v>
      </c>
      <c r="O238" s="1284">
        <f t="shared" si="118"/>
        <v>0</v>
      </c>
      <c r="P238" s="883">
        <f t="shared" si="119"/>
        <v>31052046.868924785</v>
      </c>
      <c r="Q238" s="883">
        <f t="shared" si="111"/>
        <v>-307277.87674628111</v>
      </c>
      <c r="R238" s="1100"/>
      <c r="S238" s="883">
        <f t="shared" si="104"/>
        <v>-149861.25025798185</v>
      </c>
      <c r="T238" s="884">
        <f t="shared" si="112"/>
        <v>-157416.62648829925</v>
      </c>
      <c r="U238" s="884">
        <f>IF(AND($AU$43="Early Payoff",J238&gt;$U$15),0,IF($J238&lt;=$U$8,SUM($S$20:$S238),0))</f>
        <v>-15582814.381333197</v>
      </c>
      <c r="V238" s="884">
        <f>IF(AND($AU$43="Early Payoff",J238&gt;$U$15),0,IF($J238&lt;=$U$8,SUM($T$20:$T238),0))</f>
        <v>-43620177.094120137</v>
      </c>
      <c r="W238" s="885">
        <f t="shared" si="113"/>
        <v>30902185.618666805</v>
      </c>
      <c r="X238" s="1110">
        <f t="shared" si="114"/>
        <v>31052046.868924785</v>
      </c>
      <c r="Z238" s="1102">
        <f t="shared" si="105"/>
        <v>0</v>
      </c>
      <c r="AA238" s="873">
        <f t="shared" si="106"/>
        <v>0</v>
      </c>
      <c r="AB238" s="873">
        <f t="shared" si="107"/>
        <v>0</v>
      </c>
      <c r="AC238" s="885">
        <f t="shared" si="108"/>
        <v>-307277.87674628111</v>
      </c>
    </row>
    <row r="239" spans="2:29" s="278" customFormat="1" ht="12" customHeight="1" x14ac:dyDescent="0.25">
      <c r="B239" s="1108">
        <f>IF(C239&lt;'Financing Assumptions'!$G$25,0,IF(C239='Financing Assumptions'!$G$25,1,IF(C239&gt;'Financing Assumptions'!$G$25,B238+1)))</f>
        <v>220</v>
      </c>
      <c r="C239" s="1109">
        <f t="shared" si="115"/>
        <v>222</v>
      </c>
      <c r="D239" s="732">
        <f t="shared" si="100"/>
        <v>31</v>
      </c>
      <c r="E239" s="35">
        <f t="shared" si="101"/>
        <v>7</v>
      </c>
      <c r="F239" s="889">
        <f t="shared" si="120"/>
        <v>52809</v>
      </c>
      <c r="G239" s="822">
        <f t="shared" si="102"/>
        <v>7</v>
      </c>
      <c r="H239" s="126">
        <f t="shared" si="103"/>
        <v>0</v>
      </c>
      <c r="I239" s="1098">
        <f t="shared" si="121"/>
        <v>0</v>
      </c>
      <c r="J239" s="887">
        <f t="shared" si="116"/>
        <v>220</v>
      </c>
      <c r="K239" s="1099">
        <f t="shared" si="109"/>
        <v>194</v>
      </c>
      <c r="L239" s="891" t="str">
        <f t="shared" si="110"/>
        <v>July</v>
      </c>
      <c r="M239" s="888">
        <f t="shared" si="117"/>
        <v>2044</v>
      </c>
      <c r="N239" s="1284">
        <f t="shared" si="122"/>
        <v>0</v>
      </c>
      <c r="O239" s="1284">
        <f t="shared" si="118"/>
        <v>0</v>
      </c>
      <c r="P239" s="883">
        <f t="shared" si="119"/>
        <v>30902185.618666805</v>
      </c>
      <c r="Q239" s="883">
        <f t="shared" si="111"/>
        <v>-307277.87674628111</v>
      </c>
      <c r="R239" s="1100"/>
      <c r="S239" s="883">
        <f t="shared" si="104"/>
        <v>-150620.96354053967</v>
      </c>
      <c r="T239" s="884">
        <f t="shared" si="112"/>
        <v>-156656.91320574144</v>
      </c>
      <c r="U239" s="884">
        <f>IF(AND($AU$43="Early Payoff",J239&gt;$U$15),0,IF($J239&lt;=$U$8,SUM($S$20:$S239),0))</f>
        <v>-15733435.344873736</v>
      </c>
      <c r="V239" s="884">
        <f>IF(AND($AU$43="Early Payoff",J239&gt;$U$15),0,IF($J239&lt;=$U$8,SUM($T$20:$T239),0))</f>
        <v>-43776834.00732588</v>
      </c>
      <c r="W239" s="885">
        <f t="shared" si="113"/>
        <v>30751564.655126266</v>
      </c>
      <c r="X239" s="1110">
        <f t="shared" si="114"/>
        <v>30902185.618666805</v>
      </c>
      <c r="Z239" s="1102">
        <f t="shared" si="105"/>
        <v>0</v>
      </c>
      <c r="AA239" s="873">
        <f t="shared" si="106"/>
        <v>0</v>
      </c>
      <c r="AB239" s="873">
        <f t="shared" si="107"/>
        <v>0</v>
      </c>
      <c r="AC239" s="885">
        <f t="shared" si="108"/>
        <v>-307277.87674628111</v>
      </c>
    </row>
    <row r="240" spans="2:29" s="278" customFormat="1" ht="12" customHeight="1" x14ac:dyDescent="0.25">
      <c r="B240" s="1108">
        <f>IF(C240&lt;'Financing Assumptions'!$G$25,0,IF(C240='Financing Assumptions'!$G$25,1,IF(C240&gt;'Financing Assumptions'!$G$25,B239+1)))</f>
        <v>221</v>
      </c>
      <c r="C240" s="1109">
        <f t="shared" si="115"/>
        <v>223</v>
      </c>
      <c r="D240" s="732">
        <f t="shared" si="100"/>
        <v>31</v>
      </c>
      <c r="E240" s="35">
        <f t="shared" si="101"/>
        <v>8</v>
      </c>
      <c r="F240" s="889">
        <f t="shared" si="120"/>
        <v>52840</v>
      </c>
      <c r="G240" s="822">
        <f t="shared" si="102"/>
        <v>8</v>
      </c>
      <c r="H240" s="126">
        <f t="shared" si="103"/>
        <v>0</v>
      </c>
      <c r="I240" s="1098">
        <f t="shared" si="121"/>
        <v>0</v>
      </c>
      <c r="J240" s="887">
        <f t="shared" si="116"/>
        <v>221</v>
      </c>
      <c r="K240" s="1099">
        <f t="shared" si="109"/>
        <v>195</v>
      </c>
      <c r="L240" s="891" t="str">
        <f t="shared" si="110"/>
        <v>August</v>
      </c>
      <c r="M240" s="888">
        <f t="shared" si="117"/>
        <v>2044</v>
      </c>
      <c r="N240" s="1284">
        <f t="shared" si="122"/>
        <v>0</v>
      </c>
      <c r="O240" s="1284">
        <f t="shared" si="118"/>
        <v>0</v>
      </c>
      <c r="P240" s="883">
        <f t="shared" si="119"/>
        <v>30751564.655126266</v>
      </c>
      <c r="Q240" s="883">
        <f t="shared" si="111"/>
        <v>-307277.87674628111</v>
      </c>
      <c r="R240" s="1100"/>
      <c r="S240" s="883">
        <f t="shared" si="104"/>
        <v>-151384.52814737713</v>
      </c>
      <c r="T240" s="884">
        <f t="shared" si="112"/>
        <v>-155893.34859890398</v>
      </c>
      <c r="U240" s="884">
        <f>IF(AND($AU$43="Early Payoff",J240&gt;$U$15),0,IF($J240&lt;=$U$8,SUM($S$20:$S240),0))</f>
        <v>-15884819.873021113</v>
      </c>
      <c r="V240" s="884">
        <f>IF(AND($AU$43="Early Payoff",J240&gt;$U$15),0,IF($J240&lt;=$U$8,SUM($T$20:$T240),0))</f>
        <v>-43932727.355924785</v>
      </c>
      <c r="W240" s="885">
        <f t="shared" si="113"/>
        <v>30600180.126978889</v>
      </c>
      <c r="X240" s="1110">
        <f t="shared" si="114"/>
        <v>30751564.655126266</v>
      </c>
      <c r="Z240" s="1102">
        <f t="shared" si="105"/>
        <v>0</v>
      </c>
      <c r="AA240" s="873">
        <f t="shared" si="106"/>
        <v>0</v>
      </c>
      <c r="AB240" s="873">
        <f t="shared" si="107"/>
        <v>0</v>
      </c>
      <c r="AC240" s="885">
        <f t="shared" si="108"/>
        <v>-307277.87674628111</v>
      </c>
    </row>
    <row r="241" spans="2:29" s="278" customFormat="1" ht="12" customHeight="1" x14ac:dyDescent="0.25">
      <c r="B241" s="1108">
        <f>IF(C241&lt;'Financing Assumptions'!$G$25,0,IF(C241='Financing Assumptions'!$G$25,1,IF(C241&gt;'Financing Assumptions'!$G$25,B240+1)))</f>
        <v>222</v>
      </c>
      <c r="C241" s="1109">
        <f t="shared" si="115"/>
        <v>224</v>
      </c>
      <c r="D241" s="732">
        <f t="shared" si="100"/>
        <v>30</v>
      </c>
      <c r="E241" s="35">
        <f t="shared" si="101"/>
        <v>9</v>
      </c>
      <c r="F241" s="889">
        <f t="shared" si="120"/>
        <v>52870</v>
      </c>
      <c r="G241" s="822">
        <f t="shared" si="102"/>
        <v>9</v>
      </c>
      <c r="H241" s="126">
        <f t="shared" si="103"/>
        <v>0</v>
      </c>
      <c r="I241" s="1098">
        <f t="shared" si="121"/>
        <v>0</v>
      </c>
      <c r="J241" s="887">
        <f t="shared" si="116"/>
        <v>222</v>
      </c>
      <c r="K241" s="1099">
        <f t="shared" si="109"/>
        <v>196</v>
      </c>
      <c r="L241" s="891" t="str">
        <f t="shared" si="110"/>
        <v>September</v>
      </c>
      <c r="M241" s="888">
        <f t="shared" si="117"/>
        <v>2044</v>
      </c>
      <c r="N241" s="1284">
        <f t="shared" si="122"/>
        <v>0</v>
      </c>
      <c r="O241" s="1284">
        <f t="shared" si="118"/>
        <v>0</v>
      </c>
      <c r="P241" s="883">
        <f t="shared" si="119"/>
        <v>30600180.126978889</v>
      </c>
      <c r="Q241" s="883">
        <f t="shared" si="111"/>
        <v>-307277.87674628111</v>
      </c>
      <c r="R241" s="1100"/>
      <c r="S241" s="883">
        <f t="shared" si="104"/>
        <v>-152151.96360256869</v>
      </c>
      <c r="T241" s="884">
        <f t="shared" si="112"/>
        <v>-155125.91314371242</v>
      </c>
      <c r="U241" s="884">
        <f>IF(AND($AU$43="Early Payoff",J241&gt;$U$15),0,IF($J241&lt;=$U$8,SUM($S$20:$S241),0))</f>
        <v>-16036971.836623682</v>
      </c>
      <c r="V241" s="884">
        <f>IF(AND($AU$43="Early Payoff",J241&gt;$U$15),0,IF($J241&lt;=$U$8,SUM($T$20:$T241),0))</f>
        <v>-44087853.269068494</v>
      </c>
      <c r="W241" s="885">
        <f t="shared" si="113"/>
        <v>30448028.16337632</v>
      </c>
      <c r="X241" s="1110">
        <f t="shared" si="114"/>
        <v>30600180.126978889</v>
      </c>
      <c r="Z241" s="1102">
        <f t="shared" si="105"/>
        <v>0</v>
      </c>
      <c r="AA241" s="873">
        <f t="shared" si="106"/>
        <v>0</v>
      </c>
      <c r="AB241" s="873">
        <f t="shared" si="107"/>
        <v>0</v>
      </c>
      <c r="AC241" s="885">
        <f t="shared" si="108"/>
        <v>-307277.87674628111</v>
      </c>
    </row>
    <row r="242" spans="2:29" s="278" customFormat="1" ht="12" customHeight="1" x14ac:dyDescent="0.25">
      <c r="B242" s="1108">
        <f>IF(C242&lt;'Financing Assumptions'!$G$25,0,IF(C242='Financing Assumptions'!$G$25,1,IF(C242&gt;'Financing Assumptions'!$G$25,B241+1)))</f>
        <v>223</v>
      </c>
      <c r="C242" s="1109">
        <f t="shared" si="115"/>
        <v>225</v>
      </c>
      <c r="D242" s="732">
        <f t="shared" si="100"/>
        <v>31</v>
      </c>
      <c r="E242" s="35">
        <f t="shared" si="101"/>
        <v>10</v>
      </c>
      <c r="F242" s="889">
        <f t="shared" si="120"/>
        <v>52901</v>
      </c>
      <c r="G242" s="822">
        <f t="shared" si="102"/>
        <v>10</v>
      </c>
      <c r="H242" s="126">
        <f t="shared" si="103"/>
        <v>0</v>
      </c>
      <c r="I242" s="1098">
        <f t="shared" si="121"/>
        <v>0</v>
      </c>
      <c r="J242" s="887">
        <f t="shared" si="116"/>
        <v>223</v>
      </c>
      <c r="K242" s="1099">
        <f t="shared" si="109"/>
        <v>197</v>
      </c>
      <c r="L242" s="891" t="str">
        <f t="shared" si="110"/>
        <v>October</v>
      </c>
      <c r="M242" s="888">
        <f t="shared" si="117"/>
        <v>2044</v>
      </c>
      <c r="N242" s="1284">
        <f t="shared" si="122"/>
        <v>0</v>
      </c>
      <c r="O242" s="1284">
        <f t="shared" si="118"/>
        <v>0</v>
      </c>
      <c r="P242" s="883">
        <f t="shared" si="119"/>
        <v>30448028.16337632</v>
      </c>
      <c r="Q242" s="883">
        <f t="shared" si="111"/>
        <v>-307277.87674628111</v>
      </c>
      <c r="R242" s="1100"/>
      <c r="S242" s="883">
        <f t="shared" si="104"/>
        <v>-152923.28952916505</v>
      </c>
      <c r="T242" s="884">
        <f t="shared" si="112"/>
        <v>-154354.58721711606</v>
      </c>
      <c r="U242" s="884">
        <f>IF(AND($AU$43="Early Payoff",J242&gt;$U$15),0,IF($J242&lt;=$U$8,SUM($S$20:$S242),0))</f>
        <v>-16189895.126152847</v>
      </c>
      <c r="V242" s="884">
        <f>IF(AND($AU$43="Early Payoff",J242&gt;$U$15),0,IF($J242&lt;=$U$8,SUM($T$20:$T242),0))</f>
        <v>-44242207.856285609</v>
      </c>
      <c r="W242" s="885">
        <f t="shared" si="113"/>
        <v>30295104.873847157</v>
      </c>
      <c r="X242" s="1110">
        <f t="shared" si="114"/>
        <v>30448028.16337632</v>
      </c>
      <c r="Z242" s="1102">
        <f t="shared" si="105"/>
        <v>0</v>
      </c>
      <c r="AA242" s="873">
        <f t="shared" si="106"/>
        <v>0</v>
      </c>
      <c r="AB242" s="873">
        <f t="shared" si="107"/>
        <v>0</v>
      </c>
      <c r="AC242" s="885">
        <f t="shared" si="108"/>
        <v>-307277.87674628111</v>
      </c>
    </row>
    <row r="243" spans="2:29" s="278" customFormat="1" ht="12" customHeight="1" x14ac:dyDescent="0.25">
      <c r="B243" s="1108">
        <f>IF(C243&lt;'Financing Assumptions'!$G$25,0,IF(C243='Financing Assumptions'!$G$25,1,IF(C243&gt;'Financing Assumptions'!$G$25,B242+1)))</f>
        <v>224</v>
      </c>
      <c r="C243" s="1109">
        <f t="shared" si="115"/>
        <v>226</v>
      </c>
      <c r="D243" s="732">
        <f t="shared" si="100"/>
        <v>30</v>
      </c>
      <c r="E243" s="35">
        <f t="shared" si="101"/>
        <v>11</v>
      </c>
      <c r="F243" s="889">
        <f t="shared" si="120"/>
        <v>52931</v>
      </c>
      <c r="G243" s="822">
        <f t="shared" si="102"/>
        <v>11</v>
      </c>
      <c r="H243" s="126">
        <f t="shared" si="103"/>
        <v>0</v>
      </c>
      <c r="I243" s="1098">
        <f t="shared" si="121"/>
        <v>0</v>
      </c>
      <c r="J243" s="887">
        <f t="shared" si="116"/>
        <v>224</v>
      </c>
      <c r="K243" s="1099">
        <f t="shared" si="109"/>
        <v>198</v>
      </c>
      <c r="L243" s="891" t="str">
        <f t="shared" si="110"/>
        <v>November</v>
      </c>
      <c r="M243" s="888">
        <f t="shared" si="117"/>
        <v>2044</v>
      </c>
      <c r="N243" s="1284">
        <f t="shared" si="122"/>
        <v>0</v>
      </c>
      <c r="O243" s="1284">
        <f t="shared" si="118"/>
        <v>0</v>
      </c>
      <c r="P243" s="883">
        <f t="shared" si="119"/>
        <v>30295104.873847157</v>
      </c>
      <c r="Q243" s="883">
        <f t="shared" si="111"/>
        <v>-307277.87674628111</v>
      </c>
      <c r="R243" s="1100"/>
      <c r="S243" s="883">
        <f t="shared" si="104"/>
        <v>-153698.52564969484</v>
      </c>
      <c r="T243" s="884">
        <f t="shared" si="112"/>
        <v>-153579.35109658627</v>
      </c>
      <c r="U243" s="884">
        <f>IF(AND($AU$43="Early Payoff",J243&gt;$U$15),0,IF($J243&lt;=$U$8,SUM($S$20:$S243),0))</f>
        <v>-16343593.651802542</v>
      </c>
      <c r="V243" s="884">
        <f>IF(AND($AU$43="Early Payoff",J243&gt;$U$15),0,IF($J243&lt;=$U$8,SUM($T$20:$T243),0))</f>
        <v>-44395787.207382195</v>
      </c>
      <c r="W243" s="885">
        <f t="shared" si="113"/>
        <v>30141406.34819746</v>
      </c>
      <c r="X243" s="1110">
        <f t="shared" si="114"/>
        <v>30295104.873847157</v>
      </c>
      <c r="Z243" s="1102">
        <f t="shared" si="105"/>
        <v>0</v>
      </c>
      <c r="AA243" s="873">
        <f t="shared" si="106"/>
        <v>0</v>
      </c>
      <c r="AB243" s="873">
        <f t="shared" si="107"/>
        <v>0</v>
      </c>
      <c r="AC243" s="885">
        <f t="shared" si="108"/>
        <v>-307277.87674628111</v>
      </c>
    </row>
    <row r="244" spans="2:29" s="278" customFormat="1" ht="12" customHeight="1" x14ac:dyDescent="0.25">
      <c r="B244" s="1108">
        <f>IF(C244&lt;'Financing Assumptions'!$G$25,0,IF(C244='Financing Assumptions'!$G$25,1,IF(C244&gt;'Financing Assumptions'!$G$25,B243+1)))</f>
        <v>225</v>
      </c>
      <c r="C244" s="1109">
        <f t="shared" si="115"/>
        <v>227</v>
      </c>
      <c r="D244" s="732">
        <f t="shared" si="100"/>
        <v>31</v>
      </c>
      <c r="E244" s="35">
        <f t="shared" si="101"/>
        <v>12</v>
      </c>
      <c r="F244" s="889">
        <f t="shared" si="120"/>
        <v>52962</v>
      </c>
      <c r="G244" s="822">
        <f t="shared" si="102"/>
        <v>12</v>
      </c>
      <c r="H244" s="126">
        <f t="shared" si="103"/>
        <v>1</v>
      </c>
      <c r="I244" s="1098">
        <f t="shared" si="121"/>
        <v>0</v>
      </c>
      <c r="J244" s="887">
        <f t="shared" si="116"/>
        <v>225</v>
      </c>
      <c r="K244" s="1099">
        <f t="shared" si="109"/>
        <v>199</v>
      </c>
      <c r="L244" s="891" t="str">
        <f t="shared" si="110"/>
        <v>December</v>
      </c>
      <c r="M244" s="888">
        <f t="shared" si="117"/>
        <v>2044</v>
      </c>
      <c r="N244" s="1284">
        <f t="shared" si="122"/>
        <v>0</v>
      </c>
      <c r="O244" s="1284">
        <f t="shared" si="118"/>
        <v>0</v>
      </c>
      <c r="P244" s="883">
        <f t="shared" si="119"/>
        <v>30141406.34819746</v>
      </c>
      <c r="Q244" s="883">
        <f t="shared" si="111"/>
        <v>-307277.87674628111</v>
      </c>
      <c r="R244" s="1100"/>
      <c r="S244" s="883">
        <f t="shared" si="104"/>
        <v>-154477.69178666899</v>
      </c>
      <c r="T244" s="884">
        <f t="shared" si="112"/>
        <v>-152800.18495961212</v>
      </c>
      <c r="U244" s="884">
        <f>IF(AND($AU$43="Early Payoff",J244&gt;$U$15),0,IF($J244&lt;=$U$8,SUM($S$20:$S244),0))</f>
        <v>-16498071.343589211</v>
      </c>
      <c r="V244" s="884">
        <f>IF(AND($AU$43="Early Payoff",J244&gt;$U$15),0,IF($J244&lt;=$U$8,SUM($T$20:$T244),0))</f>
        <v>-44548587.392341807</v>
      </c>
      <c r="W244" s="885">
        <f t="shared" si="113"/>
        <v>29986928.656410791</v>
      </c>
      <c r="X244" s="1110">
        <f t="shared" si="114"/>
        <v>30141406.34819746</v>
      </c>
      <c r="Z244" s="1102">
        <f t="shared" si="105"/>
        <v>0</v>
      </c>
      <c r="AA244" s="873">
        <f t="shared" si="106"/>
        <v>0</v>
      </c>
      <c r="AB244" s="873">
        <f t="shared" si="107"/>
        <v>0</v>
      </c>
      <c r="AC244" s="885">
        <f t="shared" si="108"/>
        <v>-307277.87674628111</v>
      </c>
    </row>
    <row r="245" spans="2:29" s="278" customFormat="1" ht="12" customHeight="1" x14ac:dyDescent="0.25">
      <c r="B245" s="1108">
        <f>IF(C245&lt;'Financing Assumptions'!$G$25,0,IF(C245='Financing Assumptions'!$G$25,1,IF(C245&gt;'Financing Assumptions'!$G$25,B244+1)))</f>
        <v>226</v>
      </c>
      <c r="C245" s="1109">
        <f t="shared" si="115"/>
        <v>228</v>
      </c>
      <c r="D245" s="732">
        <f t="shared" si="100"/>
        <v>31</v>
      </c>
      <c r="E245" s="35">
        <f t="shared" si="101"/>
        <v>1</v>
      </c>
      <c r="F245" s="889">
        <f t="shared" si="120"/>
        <v>52993</v>
      </c>
      <c r="G245" s="822">
        <f t="shared" si="102"/>
        <v>1</v>
      </c>
      <c r="H245" s="126">
        <f t="shared" si="103"/>
        <v>0</v>
      </c>
      <c r="I245" s="1098">
        <f t="shared" si="121"/>
        <v>0</v>
      </c>
      <c r="J245" s="887">
        <f t="shared" si="116"/>
        <v>226</v>
      </c>
      <c r="K245" s="1099">
        <f t="shared" si="109"/>
        <v>200</v>
      </c>
      <c r="L245" s="891" t="str">
        <f t="shared" si="110"/>
        <v>January</v>
      </c>
      <c r="M245" s="888">
        <f t="shared" si="117"/>
        <v>2045</v>
      </c>
      <c r="N245" s="1284">
        <f t="shared" si="122"/>
        <v>0</v>
      </c>
      <c r="O245" s="1284">
        <f t="shared" si="118"/>
        <v>0</v>
      </c>
      <c r="P245" s="883">
        <f t="shared" si="119"/>
        <v>29986928.656410791</v>
      </c>
      <c r="Q245" s="883">
        <f t="shared" si="111"/>
        <v>-307277.87674628111</v>
      </c>
      <c r="R245" s="1100"/>
      <c r="S245" s="883">
        <f t="shared" si="104"/>
        <v>-155260.80786308754</v>
      </c>
      <c r="T245" s="884">
        <f t="shared" si="112"/>
        <v>-152017.06888319357</v>
      </c>
      <c r="U245" s="884">
        <f>IF(AND($AU$43="Early Payoff",J245&gt;$U$15),0,IF($J245&lt;=$U$8,SUM($S$20:$S245),0))</f>
        <v>-16653332.151452299</v>
      </c>
      <c r="V245" s="884">
        <f>IF(AND($AU$43="Early Payoff",J245&gt;$U$15),0,IF($J245&lt;=$U$8,SUM($T$20:$T245),0))</f>
        <v>-44700604.461225003</v>
      </c>
      <c r="W245" s="885">
        <f t="shared" si="113"/>
        <v>29831667.848547705</v>
      </c>
      <c r="X245" s="1110">
        <f t="shared" si="114"/>
        <v>29986928.656410791</v>
      </c>
      <c r="Z245" s="1102">
        <f t="shared" si="105"/>
        <v>0</v>
      </c>
      <c r="AA245" s="873">
        <f t="shared" si="106"/>
        <v>0</v>
      </c>
      <c r="AB245" s="873">
        <f t="shared" si="107"/>
        <v>0</v>
      </c>
      <c r="AC245" s="885">
        <f t="shared" si="108"/>
        <v>-307277.87674628111</v>
      </c>
    </row>
    <row r="246" spans="2:29" s="278" customFormat="1" ht="12" customHeight="1" x14ac:dyDescent="0.25">
      <c r="B246" s="1108">
        <f>IF(C246&lt;'Financing Assumptions'!$G$25,0,IF(C246='Financing Assumptions'!$G$25,1,IF(C246&gt;'Financing Assumptions'!$G$25,B245+1)))</f>
        <v>227</v>
      </c>
      <c r="C246" s="1109">
        <f t="shared" si="115"/>
        <v>229</v>
      </c>
      <c r="D246" s="732">
        <f t="shared" si="100"/>
        <v>28</v>
      </c>
      <c r="E246" s="35">
        <f t="shared" si="101"/>
        <v>2</v>
      </c>
      <c r="F246" s="889">
        <f t="shared" si="120"/>
        <v>53021</v>
      </c>
      <c r="G246" s="822">
        <f t="shared" si="102"/>
        <v>2</v>
      </c>
      <c r="H246" s="126">
        <f t="shared" si="103"/>
        <v>0</v>
      </c>
      <c r="I246" s="1098">
        <f t="shared" si="121"/>
        <v>0</v>
      </c>
      <c r="J246" s="887">
        <f t="shared" si="116"/>
        <v>227</v>
      </c>
      <c r="K246" s="1099">
        <f t="shared" si="109"/>
        <v>201</v>
      </c>
      <c r="L246" s="891" t="str">
        <f t="shared" si="110"/>
        <v>February</v>
      </c>
      <c r="M246" s="888">
        <f t="shared" si="117"/>
        <v>2045</v>
      </c>
      <c r="N246" s="1284">
        <f t="shared" si="122"/>
        <v>0</v>
      </c>
      <c r="O246" s="1284">
        <f t="shared" si="118"/>
        <v>0</v>
      </c>
      <c r="P246" s="883">
        <f t="shared" si="119"/>
        <v>29831667.848547705</v>
      </c>
      <c r="Q246" s="883">
        <f t="shared" si="111"/>
        <v>-307277.87674628111</v>
      </c>
      <c r="R246" s="1100"/>
      <c r="S246" s="883">
        <f t="shared" si="104"/>
        <v>-156047.893902949</v>
      </c>
      <c r="T246" s="884">
        <f t="shared" si="112"/>
        <v>-151229.98284333211</v>
      </c>
      <c r="U246" s="884">
        <f>IF(AND($AU$43="Early Payoff",J246&gt;$U$15),0,IF($J246&lt;=$U$8,SUM($S$20:$S246),0))</f>
        <v>-16809380.045355249</v>
      </c>
      <c r="V246" s="884">
        <f>IF(AND($AU$43="Early Payoff",J246&gt;$U$15),0,IF($J246&lt;=$U$8,SUM($T$20:$T246),0))</f>
        <v>-44851834.444068335</v>
      </c>
      <c r="W246" s="885">
        <f t="shared" si="113"/>
        <v>29675619.954644755</v>
      </c>
      <c r="X246" s="1110">
        <f t="shared" si="114"/>
        <v>29831667.848547705</v>
      </c>
      <c r="Z246" s="1102">
        <f t="shared" si="105"/>
        <v>0</v>
      </c>
      <c r="AA246" s="873">
        <f t="shared" si="106"/>
        <v>0</v>
      </c>
      <c r="AB246" s="873">
        <f t="shared" si="107"/>
        <v>0</v>
      </c>
      <c r="AC246" s="885">
        <f t="shared" si="108"/>
        <v>-307277.87674628111</v>
      </c>
    </row>
    <row r="247" spans="2:29" s="278" customFormat="1" ht="12" customHeight="1" x14ac:dyDescent="0.25">
      <c r="B247" s="1108">
        <f>IF(C247&lt;'Financing Assumptions'!$G$25,0,IF(C247='Financing Assumptions'!$G$25,1,IF(C247&gt;'Financing Assumptions'!$G$25,B246+1)))</f>
        <v>228</v>
      </c>
      <c r="C247" s="1109">
        <f t="shared" si="115"/>
        <v>230</v>
      </c>
      <c r="D247" s="732">
        <f t="shared" si="100"/>
        <v>31</v>
      </c>
      <c r="E247" s="35">
        <f t="shared" si="101"/>
        <v>3</v>
      </c>
      <c r="F247" s="889">
        <f t="shared" si="120"/>
        <v>53052</v>
      </c>
      <c r="G247" s="822">
        <f t="shared" si="102"/>
        <v>3</v>
      </c>
      <c r="H247" s="126">
        <f t="shared" si="103"/>
        <v>0</v>
      </c>
      <c r="I247" s="1098">
        <f t="shared" si="121"/>
        <v>0</v>
      </c>
      <c r="J247" s="887">
        <f t="shared" si="116"/>
        <v>228</v>
      </c>
      <c r="K247" s="1099">
        <f t="shared" si="109"/>
        <v>202</v>
      </c>
      <c r="L247" s="891" t="str">
        <f t="shared" si="110"/>
        <v>March</v>
      </c>
      <c r="M247" s="888">
        <f t="shared" si="117"/>
        <v>2045</v>
      </c>
      <c r="N247" s="1284">
        <f t="shared" si="122"/>
        <v>0</v>
      </c>
      <c r="O247" s="1284">
        <f t="shared" si="118"/>
        <v>0</v>
      </c>
      <c r="P247" s="883">
        <f t="shared" si="119"/>
        <v>29675619.954644755</v>
      </c>
      <c r="Q247" s="883">
        <f t="shared" si="111"/>
        <v>-307277.87674628111</v>
      </c>
      <c r="R247" s="1100"/>
      <c r="S247" s="883">
        <f t="shared" si="104"/>
        <v>-156838.97003176258</v>
      </c>
      <c r="T247" s="884">
        <f t="shared" si="112"/>
        <v>-150438.90671451853</v>
      </c>
      <c r="U247" s="884">
        <f>IF(AND($AU$43="Early Payoff",J247&gt;$U$15),0,IF($J247&lt;=$U$8,SUM($S$20:$S247),0))</f>
        <v>-16966219.015387014</v>
      </c>
      <c r="V247" s="884">
        <f>IF(AND($AU$43="Early Payoff",J247&gt;$U$15),0,IF($J247&lt;=$U$8,SUM($T$20:$T247),0))</f>
        <v>-45002273.350782856</v>
      </c>
      <c r="W247" s="885">
        <f t="shared" si="113"/>
        <v>29518780.98461299</v>
      </c>
      <c r="X247" s="1110">
        <f t="shared" si="114"/>
        <v>29675619.954644755</v>
      </c>
      <c r="Z247" s="1102">
        <f t="shared" si="105"/>
        <v>0</v>
      </c>
      <c r="AA247" s="873">
        <f t="shared" si="106"/>
        <v>0</v>
      </c>
      <c r="AB247" s="873">
        <f t="shared" si="107"/>
        <v>0</v>
      </c>
      <c r="AC247" s="885">
        <f t="shared" si="108"/>
        <v>-307277.87674628111</v>
      </c>
    </row>
    <row r="248" spans="2:29" s="278" customFormat="1" ht="12" customHeight="1" x14ac:dyDescent="0.25">
      <c r="B248" s="1108">
        <f>IF(C248&lt;'Financing Assumptions'!$G$25,0,IF(C248='Financing Assumptions'!$G$25,1,IF(C248&gt;'Financing Assumptions'!$G$25,B247+1)))</f>
        <v>229</v>
      </c>
      <c r="C248" s="1109">
        <f t="shared" si="115"/>
        <v>231</v>
      </c>
      <c r="D248" s="732">
        <f t="shared" si="100"/>
        <v>30</v>
      </c>
      <c r="E248" s="35">
        <f t="shared" si="101"/>
        <v>4</v>
      </c>
      <c r="F248" s="889">
        <f t="shared" si="120"/>
        <v>53082</v>
      </c>
      <c r="G248" s="822">
        <f t="shared" si="102"/>
        <v>4</v>
      </c>
      <c r="H248" s="126">
        <f t="shared" si="103"/>
        <v>0</v>
      </c>
      <c r="I248" s="1098">
        <f t="shared" si="121"/>
        <v>0</v>
      </c>
      <c r="J248" s="887">
        <f t="shared" si="116"/>
        <v>229</v>
      </c>
      <c r="K248" s="1099">
        <f t="shared" si="109"/>
        <v>203</v>
      </c>
      <c r="L248" s="891" t="str">
        <f t="shared" si="110"/>
        <v>April</v>
      </c>
      <c r="M248" s="888">
        <f t="shared" si="117"/>
        <v>2045</v>
      </c>
      <c r="N248" s="1284">
        <f t="shared" si="122"/>
        <v>0</v>
      </c>
      <c r="O248" s="1284">
        <f t="shared" si="118"/>
        <v>0</v>
      </c>
      <c r="P248" s="883">
        <f t="shared" si="119"/>
        <v>29518780.98461299</v>
      </c>
      <c r="Q248" s="883">
        <f t="shared" si="111"/>
        <v>-307277.87674628111</v>
      </c>
      <c r="R248" s="1100"/>
      <c r="S248" s="883">
        <f t="shared" si="104"/>
        <v>-157634.05647706249</v>
      </c>
      <c r="T248" s="884">
        <f t="shared" si="112"/>
        <v>-149643.82026921862</v>
      </c>
      <c r="U248" s="884">
        <f>IF(AND($AU$43="Early Payoff",J248&gt;$U$15),0,IF($J248&lt;=$U$8,SUM($S$20:$S248),0))</f>
        <v>-17123853.071864076</v>
      </c>
      <c r="V248" s="884">
        <f>IF(AND($AU$43="Early Payoff",J248&gt;$U$15),0,IF($J248&lt;=$U$8,SUM($T$20:$T248),0))</f>
        <v>-45151917.171052076</v>
      </c>
      <c r="W248" s="885">
        <f t="shared" si="113"/>
        <v>29361146.928135928</v>
      </c>
      <c r="X248" s="1110">
        <f t="shared" si="114"/>
        <v>29518780.98461299</v>
      </c>
      <c r="Z248" s="1102">
        <f t="shared" si="105"/>
        <v>0</v>
      </c>
      <c r="AA248" s="873">
        <f t="shared" si="106"/>
        <v>0</v>
      </c>
      <c r="AB248" s="873">
        <f t="shared" si="107"/>
        <v>0</v>
      </c>
      <c r="AC248" s="885">
        <f t="shared" si="108"/>
        <v>-307277.87674628111</v>
      </c>
    </row>
    <row r="249" spans="2:29" s="278" customFormat="1" ht="12" customHeight="1" x14ac:dyDescent="0.25">
      <c r="B249" s="1108">
        <f>IF(C249&lt;'Financing Assumptions'!$G$25,0,IF(C249='Financing Assumptions'!$G$25,1,IF(C249&gt;'Financing Assumptions'!$G$25,B248+1)))</f>
        <v>230</v>
      </c>
      <c r="C249" s="1109">
        <f t="shared" si="115"/>
        <v>232</v>
      </c>
      <c r="D249" s="732">
        <f t="shared" si="100"/>
        <v>31</v>
      </c>
      <c r="E249" s="35">
        <f t="shared" si="101"/>
        <v>5</v>
      </c>
      <c r="F249" s="889">
        <f t="shared" si="120"/>
        <v>53113</v>
      </c>
      <c r="G249" s="822">
        <f t="shared" si="102"/>
        <v>5</v>
      </c>
      <c r="H249" s="126">
        <f t="shared" si="103"/>
        <v>0</v>
      </c>
      <c r="I249" s="1098">
        <f t="shared" si="121"/>
        <v>0</v>
      </c>
      <c r="J249" s="887">
        <f t="shared" si="116"/>
        <v>230</v>
      </c>
      <c r="K249" s="1099">
        <f t="shared" si="109"/>
        <v>204</v>
      </c>
      <c r="L249" s="891" t="str">
        <f t="shared" si="110"/>
        <v>May</v>
      </c>
      <c r="M249" s="888">
        <f t="shared" si="117"/>
        <v>2045</v>
      </c>
      <c r="N249" s="1284">
        <f t="shared" si="122"/>
        <v>0</v>
      </c>
      <c r="O249" s="1284">
        <f t="shared" si="118"/>
        <v>0</v>
      </c>
      <c r="P249" s="883">
        <f t="shared" si="119"/>
        <v>29361146.928135928</v>
      </c>
      <c r="Q249" s="883">
        <f t="shared" si="111"/>
        <v>-307277.87674628111</v>
      </c>
      <c r="R249" s="1100"/>
      <c r="S249" s="883">
        <f t="shared" si="104"/>
        <v>-158433.17356892538</v>
      </c>
      <c r="T249" s="884">
        <f t="shared" si="112"/>
        <v>-148844.70317735572</v>
      </c>
      <c r="U249" s="884">
        <f>IF(AND($AU$43="Early Payoff",J249&gt;$U$15),0,IF($J249&lt;=$U$8,SUM($S$20:$S249),0))</f>
        <v>-17282286.245433003</v>
      </c>
      <c r="V249" s="884">
        <f>IF(AND($AU$43="Early Payoff",J249&gt;$U$15),0,IF($J249&lt;=$U$8,SUM($T$20:$T249),0))</f>
        <v>-45300761.874229431</v>
      </c>
      <c r="W249" s="885">
        <f t="shared" si="113"/>
        <v>29202713.754567001</v>
      </c>
      <c r="X249" s="1110">
        <f t="shared" si="114"/>
        <v>29361146.928135928</v>
      </c>
      <c r="Z249" s="1102">
        <f t="shared" si="105"/>
        <v>0</v>
      </c>
      <c r="AA249" s="873">
        <f t="shared" si="106"/>
        <v>0</v>
      </c>
      <c r="AB249" s="873">
        <f t="shared" si="107"/>
        <v>0</v>
      </c>
      <c r="AC249" s="885">
        <f t="shared" si="108"/>
        <v>-307277.87674628111</v>
      </c>
    </row>
    <row r="250" spans="2:29" s="278" customFormat="1" ht="12" customHeight="1" x14ac:dyDescent="0.25">
      <c r="B250" s="1108">
        <f>IF(C250&lt;'Financing Assumptions'!$G$25,0,IF(C250='Financing Assumptions'!$G$25,1,IF(C250&gt;'Financing Assumptions'!$G$25,B249+1)))</f>
        <v>231</v>
      </c>
      <c r="C250" s="1109">
        <f t="shared" si="115"/>
        <v>233</v>
      </c>
      <c r="D250" s="732">
        <f t="shared" si="100"/>
        <v>30</v>
      </c>
      <c r="E250" s="35">
        <f t="shared" si="101"/>
        <v>6</v>
      </c>
      <c r="F250" s="889">
        <f t="shared" si="120"/>
        <v>53143</v>
      </c>
      <c r="G250" s="822">
        <f t="shared" si="102"/>
        <v>6</v>
      </c>
      <c r="H250" s="126">
        <f t="shared" si="103"/>
        <v>0</v>
      </c>
      <c r="I250" s="1098">
        <f t="shared" si="121"/>
        <v>0</v>
      </c>
      <c r="J250" s="887">
        <f t="shared" si="116"/>
        <v>231</v>
      </c>
      <c r="K250" s="1099">
        <f t="shared" si="109"/>
        <v>205</v>
      </c>
      <c r="L250" s="891" t="str">
        <f t="shared" si="110"/>
        <v>June</v>
      </c>
      <c r="M250" s="888">
        <f t="shared" si="117"/>
        <v>2045</v>
      </c>
      <c r="N250" s="1284">
        <f t="shared" si="122"/>
        <v>0</v>
      </c>
      <c r="O250" s="1284">
        <f t="shared" si="118"/>
        <v>0</v>
      </c>
      <c r="P250" s="883">
        <f t="shared" si="119"/>
        <v>29202713.754567001</v>
      </c>
      <c r="Q250" s="883">
        <f t="shared" si="111"/>
        <v>-307277.87674628111</v>
      </c>
      <c r="R250" s="1100"/>
      <c r="S250" s="883">
        <f t="shared" si="104"/>
        <v>-159236.34174049008</v>
      </c>
      <c r="T250" s="884">
        <f t="shared" si="112"/>
        <v>-148041.53500579103</v>
      </c>
      <c r="U250" s="884">
        <f>IF(AND($AU$43="Early Payoff",J250&gt;$U$15),0,IF($J250&lt;=$U$8,SUM($S$20:$S250),0))</f>
        <v>-17441522.587173492</v>
      </c>
      <c r="V250" s="884">
        <f>IF(AND($AU$43="Early Payoff",J250&gt;$U$15),0,IF($J250&lt;=$U$8,SUM($T$20:$T250),0))</f>
        <v>-45448803.409235224</v>
      </c>
      <c r="W250" s="885">
        <f t="shared" si="113"/>
        <v>29043477.412826512</v>
      </c>
      <c r="X250" s="1110">
        <f t="shared" si="114"/>
        <v>29202713.754567001</v>
      </c>
      <c r="Z250" s="1102">
        <f t="shared" si="105"/>
        <v>0</v>
      </c>
      <c r="AA250" s="873">
        <f t="shared" si="106"/>
        <v>0</v>
      </c>
      <c r="AB250" s="873">
        <f t="shared" si="107"/>
        <v>0</v>
      </c>
      <c r="AC250" s="885">
        <f t="shared" si="108"/>
        <v>-307277.87674628111</v>
      </c>
    </row>
    <row r="251" spans="2:29" s="278" customFormat="1" ht="12" customHeight="1" x14ac:dyDescent="0.25">
      <c r="B251" s="1108">
        <f>IF(C251&lt;'Financing Assumptions'!$G$25,0,IF(C251='Financing Assumptions'!$G$25,1,IF(C251&gt;'Financing Assumptions'!$G$25,B250+1)))</f>
        <v>232</v>
      </c>
      <c r="C251" s="1109">
        <f t="shared" si="115"/>
        <v>234</v>
      </c>
      <c r="D251" s="732">
        <f t="shared" si="100"/>
        <v>31</v>
      </c>
      <c r="E251" s="35">
        <f t="shared" si="101"/>
        <v>7</v>
      </c>
      <c r="F251" s="889">
        <f t="shared" si="120"/>
        <v>53174</v>
      </c>
      <c r="G251" s="822">
        <f t="shared" si="102"/>
        <v>7</v>
      </c>
      <c r="H251" s="126">
        <f t="shared" si="103"/>
        <v>0</v>
      </c>
      <c r="I251" s="1098">
        <f t="shared" si="121"/>
        <v>0</v>
      </c>
      <c r="J251" s="887">
        <f t="shared" si="116"/>
        <v>232</v>
      </c>
      <c r="K251" s="1099">
        <f t="shared" si="109"/>
        <v>206</v>
      </c>
      <c r="L251" s="891" t="str">
        <f t="shared" si="110"/>
        <v>July</v>
      </c>
      <c r="M251" s="888">
        <f t="shared" si="117"/>
        <v>2045</v>
      </c>
      <c r="N251" s="1284">
        <f t="shared" si="122"/>
        <v>0</v>
      </c>
      <c r="O251" s="1284">
        <f t="shared" si="118"/>
        <v>0</v>
      </c>
      <c r="P251" s="883">
        <f t="shared" si="119"/>
        <v>29043477.412826512</v>
      </c>
      <c r="Q251" s="883">
        <f t="shared" si="111"/>
        <v>-307277.87674628111</v>
      </c>
      <c r="R251" s="1100"/>
      <c r="S251" s="883">
        <f t="shared" si="104"/>
        <v>-160043.58152848005</v>
      </c>
      <c r="T251" s="884">
        <f t="shared" si="112"/>
        <v>-147234.29521780106</v>
      </c>
      <c r="U251" s="884">
        <f>IF(AND($AU$43="Early Payoff",J251&gt;$U$15),0,IF($J251&lt;=$U$8,SUM($S$20:$S251),0))</f>
        <v>-17601566.168701973</v>
      </c>
      <c r="V251" s="884">
        <f>IF(AND($AU$43="Early Payoff",J251&gt;$U$15),0,IF($J251&lt;=$U$8,SUM($T$20:$T251),0))</f>
        <v>-45596037.704453029</v>
      </c>
      <c r="W251" s="885">
        <f t="shared" si="113"/>
        <v>28883433.831298031</v>
      </c>
      <c r="X251" s="1110">
        <f t="shared" si="114"/>
        <v>29043477.412826512</v>
      </c>
      <c r="Z251" s="1102">
        <f t="shared" si="105"/>
        <v>0</v>
      </c>
      <c r="AA251" s="873">
        <f t="shared" si="106"/>
        <v>0</v>
      </c>
      <c r="AB251" s="873">
        <f t="shared" si="107"/>
        <v>0</v>
      </c>
      <c r="AC251" s="885">
        <f t="shared" si="108"/>
        <v>-307277.87674628111</v>
      </c>
    </row>
    <row r="252" spans="2:29" s="278" customFormat="1" ht="12" customHeight="1" x14ac:dyDescent="0.25">
      <c r="B252" s="1108">
        <f>IF(C252&lt;'Financing Assumptions'!$G$25,0,IF(C252='Financing Assumptions'!$G$25,1,IF(C252&gt;'Financing Assumptions'!$G$25,B251+1)))</f>
        <v>233</v>
      </c>
      <c r="C252" s="1109">
        <f t="shared" si="115"/>
        <v>235</v>
      </c>
      <c r="D252" s="732">
        <f t="shared" si="100"/>
        <v>31</v>
      </c>
      <c r="E252" s="35">
        <f t="shared" si="101"/>
        <v>8</v>
      </c>
      <c r="F252" s="889">
        <f t="shared" si="120"/>
        <v>53205</v>
      </c>
      <c r="G252" s="822">
        <f t="shared" si="102"/>
        <v>8</v>
      </c>
      <c r="H252" s="126">
        <f t="shared" si="103"/>
        <v>0</v>
      </c>
      <c r="I252" s="1098">
        <f t="shared" si="121"/>
        <v>0</v>
      </c>
      <c r="J252" s="887">
        <f t="shared" si="116"/>
        <v>233</v>
      </c>
      <c r="K252" s="1099">
        <f t="shared" si="109"/>
        <v>207</v>
      </c>
      <c r="L252" s="891" t="str">
        <f t="shared" si="110"/>
        <v>August</v>
      </c>
      <c r="M252" s="888">
        <f t="shared" si="117"/>
        <v>2045</v>
      </c>
      <c r="N252" s="1284">
        <f t="shared" si="122"/>
        <v>0</v>
      </c>
      <c r="O252" s="1284">
        <f t="shared" si="118"/>
        <v>0</v>
      </c>
      <c r="P252" s="883">
        <f t="shared" si="119"/>
        <v>28883433.831298031</v>
      </c>
      <c r="Q252" s="883">
        <f t="shared" si="111"/>
        <v>-307277.87674628111</v>
      </c>
      <c r="R252" s="1100"/>
      <c r="S252" s="883">
        <f t="shared" si="104"/>
        <v>-160854.91357372861</v>
      </c>
      <c r="T252" s="884">
        <f t="shared" si="112"/>
        <v>-146422.9631725525</v>
      </c>
      <c r="U252" s="884">
        <f>IF(AND($AU$43="Early Payoff",J252&gt;$U$15),0,IF($J252&lt;=$U$8,SUM($S$20:$S252),0))</f>
        <v>-17762421.0822757</v>
      </c>
      <c r="V252" s="884">
        <f>IF(AND($AU$43="Early Payoff",J252&gt;$U$15),0,IF($J252&lt;=$U$8,SUM($T$20:$T252),0))</f>
        <v>-45742460.667625584</v>
      </c>
      <c r="W252" s="885">
        <f t="shared" si="113"/>
        <v>28722578.917724304</v>
      </c>
      <c r="X252" s="1110">
        <f t="shared" si="114"/>
        <v>28883433.831298031</v>
      </c>
      <c r="Z252" s="1102">
        <f t="shared" si="105"/>
        <v>0</v>
      </c>
      <c r="AA252" s="873">
        <f t="shared" si="106"/>
        <v>0</v>
      </c>
      <c r="AB252" s="873">
        <f t="shared" si="107"/>
        <v>0</v>
      </c>
      <c r="AC252" s="885">
        <f t="shared" si="108"/>
        <v>-307277.87674628111</v>
      </c>
    </row>
    <row r="253" spans="2:29" s="278" customFormat="1" ht="12" customHeight="1" x14ac:dyDescent="0.25">
      <c r="B253" s="1108">
        <f>IF(C253&lt;'Financing Assumptions'!$G$25,0,IF(C253='Financing Assumptions'!$G$25,1,IF(C253&gt;'Financing Assumptions'!$G$25,B252+1)))</f>
        <v>234</v>
      </c>
      <c r="C253" s="1109">
        <f t="shared" si="115"/>
        <v>236</v>
      </c>
      <c r="D253" s="732">
        <f t="shared" si="100"/>
        <v>30</v>
      </c>
      <c r="E253" s="35">
        <f t="shared" si="101"/>
        <v>9</v>
      </c>
      <c r="F253" s="889">
        <f t="shared" si="120"/>
        <v>53235</v>
      </c>
      <c r="G253" s="822">
        <f t="shared" si="102"/>
        <v>9</v>
      </c>
      <c r="H253" s="126">
        <f t="shared" si="103"/>
        <v>0</v>
      </c>
      <c r="I253" s="1098">
        <f t="shared" si="121"/>
        <v>0</v>
      </c>
      <c r="J253" s="887">
        <f t="shared" si="116"/>
        <v>234</v>
      </c>
      <c r="K253" s="1099">
        <f t="shared" si="109"/>
        <v>208</v>
      </c>
      <c r="L253" s="891" t="str">
        <f t="shared" si="110"/>
        <v>September</v>
      </c>
      <c r="M253" s="888">
        <f t="shared" si="117"/>
        <v>2045</v>
      </c>
      <c r="N253" s="1284">
        <f t="shared" si="122"/>
        <v>0</v>
      </c>
      <c r="O253" s="1284">
        <f t="shared" si="118"/>
        <v>0</v>
      </c>
      <c r="P253" s="883">
        <f t="shared" si="119"/>
        <v>28722578.917724304</v>
      </c>
      <c r="Q253" s="883">
        <f t="shared" si="111"/>
        <v>-307277.87674628111</v>
      </c>
      <c r="R253" s="1100"/>
      <c r="S253" s="883">
        <f t="shared" si="104"/>
        <v>-161670.35862170652</v>
      </c>
      <c r="T253" s="884">
        <f t="shared" si="112"/>
        <v>-145607.51812457459</v>
      </c>
      <c r="U253" s="884">
        <f>IF(AND($AU$43="Early Payoff",J253&gt;$U$15),0,IF($J253&lt;=$U$8,SUM($S$20:$S253),0))</f>
        <v>-17924091.440897405</v>
      </c>
      <c r="V253" s="884">
        <f>IF(AND($AU$43="Early Payoff",J253&gt;$U$15),0,IF($J253&lt;=$U$8,SUM($T$20:$T253),0))</f>
        <v>-45888068.185750157</v>
      </c>
      <c r="W253" s="885">
        <f t="shared" si="113"/>
        <v>28560908.559102599</v>
      </c>
      <c r="X253" s="1110">
        <f t="shared" si="114"/>
        <v>28722578.917724304</v>
      </c>
      <c r="Z253" s="1102">
        <f t="shared" si="105"/>
        <v>0</v>
      </c>
      <c r="AA253" s="873">
        <f t="shared" si="106"/>
        <v>0</v>
      </c>
      <c r="AB253" s="873">
        <f t="shared" si="107"/>
        <v>0</v>
      </c>
      <c r="AC253" s="885">
        <f t="shared" si="108"/>
        <v>-307277.87674628111</v>
      </c>
    </row>
    <row r="254" spans="2:29" s="278" customFormat="1" ht="12" customHeight="1" x14ac:dyDescent="0.25">
      <c r="B254" s="1108">
        <f>IF(C254&lt;'Financing Assumptions'!$G$25,0,IF(C254='Financing Assumptions'!$G$25,1,IF(C254&gt;'Financing Assumptions'!$G$25,B253+1)))</f>
        <v>235</v>
      </c>
      <c r="C254" s="1109">
        <f t="shared" si="115"/>
        <v>237</v>
      </c>
      <c r="D254" s="732">
        <f t="shared" si="100"/>
        <v>31</v>
      </c>
      <c r="E254" s="35">
        <f t="shared" si="101"/>
        <v>10</v>
      </c>
      <c r="F254" s="889">
        <f t="shared" si="120"/>
        <v>53266</v>
      </c>
      <c r="G254" s="822">
        <f t="shared" si="102"/>
        <v>10</v>
      </c>
      <c r="H254" s="126">
        <f t="shared" si="103"/>
        <v>0</v>
      </c>
      <c r="I254" s="1098">
        <f t="shared" si="121"/>
        <v>0</v>
      </c>
      <c r="J254" s="887">
        <f t="shared" si="116"/>
        <v>235</v>
      </c>
      <c r="K254" s="1099">
        <f t="shared" si="109"/>
        <v>209</v>
      </c>
      <c r="L254" s="891" t="str">
        <f t="shared" si="110"/>
        <v>October</v>
      </c>
      <c r="M254" s="888">
        <f t="shared" si="117"/>
        <v>2045</v>
      </c>
      <c r="N254" s="1284">
        <f t="shared" si="122"/>
        <v>0</v>
      </c>
      <c r="O254" s="1284">
        <f t="shared" si="118"/>
        <v>0</v>
      </c>
      <c r="P254" s="883">
        <f t="shared" si="119"/>
        <v>28560908.559102599</v>
      </c>
      <c r="Q254" s="883">
        <f t="shared" si="111"/>
        <v>-307277.87674628111</v>
      </c>
      <c r="R254" s="1100"/>
      <c r="S254" s="883">
        <f t="shared" si="104"/>
        <v>-162489.93752305268</v>
      </c>
      <c r="T254" s="884">
        <f t="shared" si="112"/>
        <v>-144787.93922322843</v>
      </c>
      <c r="U254" s="884">
        <f>IF(AND($AU$43="Early Payoff",J254&gt;$U$15),0,IF($J254&lt;=$U$8,SUM($S$20:$S254),0))</f>
        <v>-18086581.378420457</v>
      </c>
      <c r="V254" s="884">
        <f>IF(AND($AU$43="Early Payoff",J254&gt;$U$15),0,IF($J254&lt;=$U$8,SUM($T$20:$T254),0))</f>
        <v>-46032856.124973387</v>
      </c>
      <c r="W254" s="885">
        <f t="shared" si="113"/>
        <v>28398418.621579546</v>
      </c>
      <c r="X254" s="1110">
        <f t="shared" si="114"/>
        <v>28560908.559102599</v>
      </c>
      <c r="Z254" s="1102">
        <f t="shared" si="105"/>
        <v>0</v>
      </c>
      <c r="AA254" s="873">
        <f t="shared" si="106"/>
        <v>0</v>
      </c>
      <c r="AB254" s="873">
        <f t="shared" si="107"/>
        <v>0</v>
      </c>
      <c r="AC254" s="885">
        <f t="shared" si="108"/>
        <v>-307277.87674628111</v>
      </c>
    </row>
    <row r="255" spans="2:29" s="278" customFormat="1" ht="12" customHeight="1" x14ac:dyDescent="0.25">
      <c r="B255" s="1108">
        <f>IF(C255&lt;'Financing Assumptions'!$G$25,0,IF(C255='Financing Assumptions'!$G$25,1,IF(C255&gt;'Financing Assumptions'!$G$25,B254+1)))</f>
        <v>236</v>
      </c>
      <c r="C255" s="1109">
        <f t="shared" si="115"/>
        <v>238</v>
      </c>
      <c r="D255" s="732">
        <f t="shared" si="100"/>
        <v>30</v>
      </c>
      <c r="E255" s="35">
        <f t="shared" si="101"/>
        <v>11</v>
      </c>
      <c r="F255" s="889">
        <f t="shared" si="120"/>
        <v>53296</v>
      </c>
      <c r="G255" s="822">
        <f t="shared" si="102"/>
        <v>11</v>
      </c>
      <c r="H255" s="126">
        <f t="shared" si="103"/>
        <v>0</v>
      </c>
      <c r="I255" s="1098">
        <f t="shared" si="121"/>
        <v>0</v>
      </c>
      <c r="J255" s="887">
        <f t="shared" si="116"/>
        <v>236</v>
      </c>
      <c r="K255" s="1099">
        <f t="shared" si="109"/>
        <v>210</v>
      </c>
      <c r="L255" s="891" t="str">
        <f t="shared" si="110"/>
        <v>November</v>
      </c>
      <c r="M255" s="888">
        <f t="shared" si="117"/>
        <v>2045</v>
      </c>
      <c r="N255" s="1284">
        <f t="shared" si="122"/>
        <v>0</v>
      </c>
      <c r="O255" s="1284">
        <f t="shared" si="118"/>
        <v>0</v>
      </c>
      <c r="P255" s="883">
        <f t="shared" si="119"/>
        <v>28398418.621579546</v>
      </c>
      <c r="Q255" s="883">
        <f t="shared" si="111"/>
        <v>-307277.87674628111</v>
      </c>
      <c r="R255" s="1100"/>
      <c r="S255" s="883">
        <f t="shared" si="104"/>
        <v>-163313.67123410702</v>
      </c>
      <c r="T255" s="884">
        <f t="shared" si="112"/>
        <v>-143964.20551217409</v>
      </c>
      <c r="U255" s="884">
        <f>IF(AND($AU$43="Early Payoff",J255&gt;$U$15),0,IF($J255&lt;=$U$8,SUM($S$20:$S255),0))</f>
        <v>-18249895.049654566</v>
      </c>
      <c r="V255" s="884">
        <f>IF(AND($AU$43="Early Payoff",J255&gt;$U$15),0,IF($J255&lt;=$U$8,SUM($T$20:$T255),0))</f>
        <v>-46176820.33048556</v>
      </c>
      <c r="W255" s="885">
        <f t="shared" si="113"/>
        <v>28235104.950345438</v>
      </c>
      <c r="X255" s="1110">
        <f t="shared" si="114"/>
        <v>28398418.621579546</v>
      </c>
      <c r="Z255" s="1102">
        <f t="shared" si="105"/>
        <v>0</v>
      </c>
      <c r="AA255" s="873">
        <f t="shared" si="106"/>
        <v>0</v>
      </c>
      <c r="AB255" s="873">
        <f t="shared" si="107"/>
        <v>0</v>
      </c>
      <c r="AC255" s="885">
        <f t="shared" si="108"/>
        <v>-307277.87674628111</v>
      </c>
    </row>
    <row r="256" spans="2:29" s="278" customFormat="1" ht="12" customHeight="1" x14ac:dyDescent="0.25">
      <c r="B256" s="1108">
        <f>IF(C256&lt;'Financing Assumptions'!$G$25,0,IF(C256='Financing Assumptions'!$G$25,1,IF(C256&gt;'Financing Assumptions'!$G$25,B255+1)))</f>
        <v>237</v>
      </c>
      <c r="C256" s="1109">
        <f t="shared" si="115"/>
        <v>239</v>
      </c>
      <c r="D256" s="732">
        <f t="shared" si="100"/>
        <v>31</v>
      </c>
      <c r="E256" s="35">
        <f t="shared" si="101"/>
        <v>12</v>
      </c>
      <c r="F256" s="889">
        <f t="shared" si="120"/>
        <v>53327</v>
      </c>
      <c r="G256" s="822">
        <f t="shared" si="102"/>
        <v>12</v>
      </c>
      <c r="H256" s="126">
        <f t="shared" si="103"/>
        <v>1</v>
      </c>
      <c r="I256" s="1098">
        <f t="shared" si="121"/>
        <v>0</v>
      </c>
      <c r="J256" s="887">
        <f t="shared" si="116"/>
        <v>237</v>
      </c>
      <c r="K256" s="1099">
        <f t="shared" si="109"/>
        <v>211</v>
      </c>
      <c r="L256" s="891" t="str">
        <f t="shared" si="110"/>
        <v>December</v>
      </c>
      <c r="M256" s="888">
        <f t="shared" si="117"/>
        <v>2045</v>
      </c>
      <c r="N256" s="1284">
        <f t="shared" si="122"/>
        <v>0</v>
      </c>
      <c r="O256" s="1284">
        <f t="shared" si="118"/>
        <v>0</v>
      </c>
      <c r="P256" s="883">
        <f t="shared" si="119"/>
        <v>28235104.950345438</v>
      </c>
      <c r="Q256" s="883">
        <f t="shared" si="111"/>
        <v>-307277.87674628111</v>
      </c>
      <c r="R256" s="1100"/>
      <c r="S256" s="883">
        <f t="shared" si="104"/>
        <v>-164141.58081744661</v>
      </c>
      <c r="T256" s="884">
        <f t="shared" si="112"/>
        <v>-143136.2959288345</v>
      </c>
      <c r="U256" s="884">
        <f>IF(AND($AU$43="Early Payoff",J256&gt;$U$15),0,IF($J256&lt;=$U$8,SUM($S$20:$S256),0))</f>
        <v>-18414036.630472012</v>
      </c>
      <c r="V256" s="884">
        <f>IF(AND($AU$43="Early Payoff",J256&gt;$U$15),0,IF($J256&lt;=$U$8,SUM($T$20:$T256),0))</f>
        <v>-46319956.626414396</v>
      </c>
      <c r="W256" s="885">
        <f t="shared" si="113"/>
        <v>28070963.369527992</v>
      </c>
      <c r="X256" s="1110">
        <f t="shared" si="114"/>
        <v>28235104.950345438</v>
      </c>
      <c r="Z256" s="1102">
        <f t="shared" si="105"/>
        <v>0</v>
      </c>
      <c r="AA256" s="873">
        <f t="shared" si="106"/>
        <v>0</v>
      </c>
      <c r="AB256" s="873">
        <f t="shared" si="107"/>
        <v>0</v>
      </c>
      <c r="AC256" s="885">
        <f t="shared" si="108"/>
        <v>-307277.87674628111</v>
      </c>
    </row>
    <row r="257" spans="2:29" s="278" customFormat="1" ht="12" customHeight="1" x14ac:dyDescent="0.25">
      <c r="B257" s="1108">
        <f>IF(C257&lt;'Financing Assumptions'!$G$25,0,IF(C257='Financing Assumptions'!$G$25,1,IF(C257&gt;'Financing Assumptions'!$G$25,B256+1)))</f>
        <v>238</v>
      </c>
      <c r="C257" s="1109">
        <f t="shared" si="115"/>
        <v>240</v>
      </c>
      <c r="D257" s="732">
        <f t="shared" si="100"/>
        <v>31</v>
      </c>
      <c r="E257" s="35">
        <f t="shared" si="101"/>
        <v>1</v>
      </c>
      <c r="F257" s="889">
        <f t="shared" si="120"/>
        <v>53358</v>
      </c>
      <c r="G257" s="822">
        <f t="shared" si="102"/>
        <v>1</v>
      </c>
      <c r="H257" s="126">
        <f t="shared" si="103"/>
        <v>0</v>
      </c>
      <c r="I257" s="1098">
        <f t="shared" si="121"/>
        <v>0</v>
      </c>
      <c r="J257" s="887">
        <f t="shared" si="116"/>
        <v>238</v>
      </c>
      <c r="K257" s="1099">
        <f t="shared" si="109"/>
        <v>212</v>
      </c>
      <c r="L257" s="891" t="str">
        <f t="shared" si="110"/>
        <v>January</v>
      </c>
      <c r="M257" s="888">
        <f t="shared" si="117"/>
        <v>2046</v>
      </c>
      <c r="N257" s="1284">
        <f t="shared" si="122"/>
        <v>0</v>
      </c>
      <c r="O257" s="1284">
        <f t="shared" si="118"/>
        <v>0</v>
      </c>
      <c r="P257" s="883">
        <f t="shared" si="119"/>
        <v>28070963.369527992</v>
      </c>
      <c r="Q257" s="883">
        <f t="shared" si="111"/>
        <v>-307277.87674628111</v>
      </c>
      <c r="R257" s="1100"/>
      <c r="S257" s="883">
        <f t="shared" si="104"/>
        <v>-164973.68744242395</v>
      </c>
      <c r="T257" s="884">
        <f t="shared" si="112"/>
        <v>-142304.18930385716</v>
      </c>
      <c r="U257" s="884">
        <f>IF(AND($AU$43="Early Payoff",J257&gt;$U$15),0,IF($J257&lt;=$U$8,SUM($S$20:$S257),0))</f>
        <v>-18579010.317914438</v>
      </c>
      <c r="V257" s="884">
        <f>IF(AND($AU$43="Early Payoff",J257&gt;$U$15),0,IF($J257&lt;=$U$8,SUM($T$20:$T257),0))</f>
        <v>-46462260.815718256</v>
      </c>
      <c r="W257" s="885">
        <f t="shared" si="113"/>
        <v>27905989.682085566</v>
      </c>
      <c r="X257" s="1110">
        <f t="shared" si="114"/>
        <v>28070963.369527992</v>
      </c>
      <c r="Z257" s="1102">
        <f t="shared" si="105"/>
        <v>0</v>
      </c>
      <c r="AA257" s="873">
        <f t="shared" si="106"/>
        <v>0</v>
      </c>
      <c r="AB257" s="873">
        <f t="shared" si="107"/>
        <v>0</v>
      </c>
      <c r="AC257" s="885">
        <f t="shared" si="108"/>
        <v>-307277.87674628111</v>
      </c>
    </row>
    <row r="258" spans="2:29" s="278" customFormat="1" ht="12" customHeight="1" x14ac:dyDescent="0.25">
      <c r="B258" s="1108">
        <f>IF(C258&lt;'Financing Assumptions'!$G$25,0,IF(C258='Financing Assumptions'!$G$25,1,IF(C258&gt;'Financing Assumptions'!$G$25,B257+1)))</f>
        <v>239</v>
      </c>
      <c r="C258" s="1109">
        <f t="shared" si="115"/>
        <v>241</v>
      </c>
      <c r="D258" s="732">
        <f t="shared" si="100"/>
        <v>28</v>
      </c>
      <c r="E258" s="35">
        <f t="shared" si="101"/>
        <v>2</v>
      </c>
      <c r="F258" s="889">
        <f t="shared" si="120"/>
        <v>53386</v>
      </c>
      <c r="G258" s="822">
        <f t="shared" si="102"/>
        <v>2</v>
      </c>
      <c r="H258" s="126">
        <f t="shared" si="103"/>
        <v>0</v>
      </c>
      <c r="I258" s="1098">
        <f t="shared" si="121"/>
        <v>0</v>
      </c>
      <c r="J258" s="887">
        <f t="shared" si="116"/>
        <v>239</v>
      </c>
      <c r="K258" s="1099">
        <f t="shared" si="109"/>
        <v>213</v>
      </c>
      <c r="L258" s="891" t="str">
        <f t="shared" si="110"/>
        <v>February</v>
      </c>
      <c r="M258" s="888">
        <f t="shared" si="117"/>
        <v>2046</v>
      </c>
      <c r="N258" s="1284">
        <f t="shared" si="122"/>
        <v>0</v>
      </c>
      <c r="O258" s="1284">
        <f t="shared" si="118"/>
        <v>0</v>
      </c>
      <c r="P258" s="883">
        <f t="shared" si="119"/>
        <v>27905989.682085566</v>
      </c>
      <c r="Q258" s="883">
        <f t="shared" si="111"/>
        <v>-307277.87674628111</v>
      </c>
      <c r="R258" s="1100"/>
      <c r="S258" s="883">
        <f t="shared" si="104"/>
        <v>-165810.01238570845</v>
      </c>
      <c r="T258" s="884">
        <f t="shared" si="112"/>
        <v>-141467.86436057265</v>
      </c>
      <c r="U258" s="884">
        <f>IF(AND($AU$43="Early Payoff",J258&gt;$U$15),0,IF($J258&lt;=$U$8,SUM($S$20:$S258),0))</f>
        <v>-18744820.330300145</v>
      </c>
      <c r="V258" s="884">
        <f>IF(AND($AU$43="Early Payoff",J258&gt;$U$15),0,IF($J258&lt;=$U$8,SUM($T$20:$T258),0))</f>
        <v>-46603728.680078827</v>
      </c>
      <c r="W258" s="885">
        <f t="shared" si="113"/>
        <v>27740179.669699859</v>
      </c>
      <c r="X258" s="1110">
        <f t="shared" si="114"/>
        <v>27905989.682085566</v>
      </c>
      <c r="Z258" s="1102">
        <f t="shared" si="105"/>
        <v>0</v>
      </c>
      <c r="AA258" s="873">
        <f t="shared" si="106"/>
        <v>0</v>
      </c>
      <c r="AB258" s="873">
        <f t="shared" si="107"/>
        <v>0</v>
      </c>
      <c r="AC258" s="885">
        <f t="shared" si="108"/>
        <v>-307277.87674628111</v>
      </c>
    </row>
    <row r="259" spans="2:29" s="278" customFormat="1" ht="12" customHeight="1" x14ac:dyDescent="0.25">
      <c r="B259" s="1108">
        <f>IF(C259&lt;'Financing Assumptions'!$G$25,0,IF(C259='Financing Assumptions'!$G$25,1,IF(C259&gt;'Financing Assumptions'!$G$25,B258+1)))</f>
        <v>240</v>
      </c>
      <c r="C259" s="1109">
        <f t="shared" si="115"/>
        <v>242</v>
      </c>
      <c r="D259" s="732">
        <f t="shared" si="100"/>
        <v>31</v>
      </c>
      <c r="E259" s="35">
        <f t="shared" si="101"/>
        <v>3</v>
      </c>
      <c r="F259" s="889">
        <f t="shared" si="120"/>
        <v>53417</v>
      </c>
      <c r="G259" s="822">
        <f t="shared" si="102"/>
        <v>3</v>
      </c>
      <c r="H259" s="126">
        <f t="shared" si="103"/>
        <v>0</v>
      </c>
      <c r="I259" s="1098">
        <f t="shared" si="121"/>
        <v>0</v>
      </c>
      <c r="J259" s="887">
        <f t="shared" si="116"/>
        <v>240</v>
      </c>
      <c r="K259" s="1099">
        <f t="shared" si="109"/>
        <v>214</v>
      </c>
      <c r="L259" s="891" t="str">
        <f t="shared" si="110"/>
        <v>March</v>
      </c>
      <c r="M259" s="888">
        <f t="shared" si="117"/>
        <v>2046</v>
      </c>
      <c r="N259" s="1284">
        <f t="shared" si="122"/>
        <v>0</v>
      </c>
      <c r="O259" s="1284">
        <f t="shared" si="118"/>
        <v>0</v>
      </c>
      <c r="P259" s="883">
        <f t="shared" si="119"/>
        <v>27740179.669699859</v>
      </c>
      <c r="Q259" s="883">
        <f t="shared" si="111"/>
        <v>-307277.87674628111</v>
      </c>
      <c r="R259" s="1100"/>
      <c r="S259" s="883">
        <f t="shared" si="104"/>
        <v>-166650.57703183044</v>
      </c>
      <c r="T259" s="884">
        <f t="shared" si="112"/>
        <v>-140627.29971445067</v>
      </c>
      <c r="U259" s="884">
        <f>IF(AND($AU$43="Early Payoff",J259&gt;$U$15),0,IF($J259&lt;=$U$8,SUM($S$20:$S259),0))</f>
        <v>-18911470.907331977</v>
      </c>
      <c r="V259" s="884">
        <f>IF(AND($AU$43="Early Payoff",J259&gt;$U$15),0,IF($J259&lt;=$U$8,SUM($T$20:$T259),0))</f>
        <v>-46744355.97979328</v>
      </c>
      <c r="W259" s="885">
        <f t="shared" si="113"/>
        <v>27573529.092668027</v>
      </c>
      <c r="X259" s="1110">
        <f t="shared" si="114"/>
        <v>27740179.669699859</v>
      </c>
      <c r="Z259" s="1102">
        <f t="shared" si="105"/>
        <v>0</v>
      </c>
      <c r="AA259" s="873">
        <f t="shared" si="106"/>
        <v>0</v>
      </c>
      <c r="AB259" s="873">
        <f t="shared" si="107"/>
        <v>0</v>
      </c>
      <c r="AC259" s="885">
        <f t="shared" si="108"/>
        <v>-307277.87674628111</v>
      </c>
    </row>
    <row r="260" spans="2:29" s="278" customFormat="1" ht="12" customHeight="1" x14ac:dyDescent="0.25">
      <c r="B260" s="1108">
        <f>IF(C260&lt;'Financing Assumptions'!$G$25,0,IF(C260='Financing Assumptions'!$G$25,1,IF(C260&gt;'Financing Assumptions'!$G$25,B259+1)))</f>
        <v>241</v>
      </c>
      <c r="C260" s="1109">
        <f t="shared" si="115"/>
        <v>243</v>
      </c>
      <c r="D260" s="732">
        <f t="shared" si="100"/>
        <v>30</v>
      </c>
      <c r="E260" s="35">
        <f t="shared" si="101"/>
        <v>4</v>
      </c>
      <c r="F260" s="889">
        <f t="shared" si="120"/>
        <v>53447</v>
      </c>
      <c r="G260" s="822">
        <f t="shared" si="102"/>
        <v>4</v>
      </c>
      <c r="H260" s="126">
        <f t="shared" si="103"/>
        <v>0</v>
      </c>
      <c r="I260" s="1098">
        <f t="shared" si="121"/>
        <v>0</v>
      </c>
      <c r="J260" s="887">
        <f t="shared" si="116"/>
        <v>241</v>
      </c>
      <c r="K260" s="1099">
        <f t="shared" si="109"/>
        <v>215</v>
      </c>
      <c r="L260" s="891" t="str">
        <f t="shared" si="110"/>
        <v>April</v>
      </c>
      <c r="M260" s="888">
        <f t="shared" si="117"/>
        <v>2046</v>
      </c>
      <c r="N260" s="1284">
        <f t="shared" si="122"/>
        <v>0</v>
      </c>
      <c r="O260" s="1284">
        <f t="shared" si="118"/>
        <v>0</v>
      </c>
      <c r="P260" s="883">
        <f t="shared" si="119"/>
        <v>27573529.092668027</v>
      </c>
      <c r="Q260" s="883">
        <f t="shared" si="111"/>
        <v>-307277.87674628111</v>
      </c>
      <c r="R260" s="1100"/>
      <c r="S260" s="883">
        <f t="shared" si="104"/>
        <v>-167495.40287372793</v>
      </c>
      <c r="T260" s="884">
        <f t="shared" si="112"/>
        <v>-139782.47387255318</v>
      </c>
      <c r="U260" s="884">
        <f>IF(AND($AU$43="Early Payoff",J260&gt;$U$15),0,IF($J260&lt;=$U$8,SUM($S$20:$S260),0))</f>
        <v>-19078966.310205705</v>
      </c>
      <c r="V260" s="884">
        <f>IF(AND($AU$43="Early Payoff",J260&gt;$U$15),0,IF($J260&lt;=$U$8,SUM($T$20:$T260),0))</f>
        <v>-46884138.45366583</v>
      </c>
      <c r="W260" s="885">
        <f t="shared" si="113"/>
        <v>27406033.689794298</v>
      </c>
      <c r="X260" s="1110">
        <f t="shared" si="114"/>
        <v>27573529.092668027</v>
      </c>
      <c r="Z260" s="1102">
        <f t="shared" si="105"/>
        <v>0</v>
      </c>
      <c r="AA260" s="873">
        <f t="shared" si="106"/>
        <v>0</v>
      </c>
      <c r="AB260" s="873">
        <f t="shared" si="107"/>
        <v>0</v>
      </c>
      <c r="AC260" s="885">
        <f t="shared" si="108"/>
        <v>-307277.87674628111</v>
      </c>
    </row>
    <row r="261" spans="2:29" s="278" customFormat="1" ht="12" customHeight="1" x14ac:dyDescent="0.25">
      <c r="B261" s="1108">
        <f>IF(C261&lt;'Financing Assumptions'!$G$25,0,IF(C261='Financing Assumptions'!$G$25,1,IF(C261&gt;'Financing Assumptions'!$G$25,B260+1)))</f>
        <v>242</v>
      </c>
      <c r="C261" s="1109">
        <f t="shared" si="115"/>
        <v>244</v>
      </c>
      <c r="D261" s="732">
        <f t="shared" si="100"/>
        <v>31</v>
      </c>
      <c r="E261" s="35">
        <f t="shared" si="101"/>
        <v>5</v>
      </c>
      <c r="F261" s="889">
        <f t="shared" si="120"/>
        <v>53478</v>
      </c>
      <c r="G261" s="822">
        <f t="shared" si="102"/>
        <v>5</v>
      </c>
      <c r="H261" s="126">
        <f t="shared" si="103"/>
        <v>0</v>
      </c>
      <c r="I261" s="1098">
        <f t="shared" si="121"/>
        <v>0</v>
      </c>
      <c r="J261" s="887">
        <f t="shared" si="116"/>
        <v>242</v>
      </c>
      <c r="K261" s="1099">
        <f t="shared" si="109"/>
        <v>216</v>
      </c>
      <c r="L261" s="891" t="str">
        <f t="shared" si="110"/>
        <v>May</v>
      </c>
      <c r="M261" s="888">
        <f t="shared" si="117"/>
        <v>2046</v>
      </c>
      <c r="N261" s="1284">
        <f t="shared" si="122"/>
        <v>0</v>
      </c>
      <c r="O261" s="1284">
        <f t="shared" si="118"/>
        <v>0</v>
      </c>
      <c r="P261" s="883">
        <f t="shared" si="119"/>
        <v>27406033.689794298</v>
      </c>
      <c r="Q261" s="883">
        <f t="shared" si="111"/>
        <v>-307277.87674628111</v>
      </c>
      <c r="R261" s="1100"/>
      <c r="S261" s="883">
        <f t="shared" si="104"/>
        <v>-168344.51151329614</v>
      </c>
      <c r="T261" s="884">
        <f t="shared" si="112"/>
        <v>-138933.36523298497</v>
      </c>
      <c r="U261" s="884">
        <f>IF(AND($AU$43="Early Payoff",J261&gt;$U$15),0,IF($J261&lt;=$U$8,SUM($S$20:$S261),0))</f>
        <v>-19247310.821719002</v>
      </c>
      <c r="V261" s="884">
        <f>IF(AND($AU$43="Early Payoff",J261&gt;$U$15),0,IF($J261&lt;=$U$8,SUM($T$20:$T261),0))</f>
        <v>-47023071.818898812</v>
      </c>
      <c r="W261" s="885">
        <f t="shared" si="113"/>
        <v>27237689.178281002</v>
      </c>
      <c r="X261" s="1110">
        <f t="shared" si="114"/>
        <v>27406033.689794298</v>
      </c>
      <c r="Z261" s="1102">
        <f t="shared" si="105"/>
        <v>0</v>
      </c>
      <c r="AA261" s="873">
        <f t="shared" si="106"/>
        <v>0</v>
      </c>
      <c r="AB261" s="873">
        <f t="shared" si="107"/>
        <v>0</v>
      </c>
      <c r="AC261" s="885">
        <f t="shared" si="108"/>
        <v>-307277.87674628111</v>
      </c>
    </row>
    <row r="262" spans="2:29" s="278" customFormat="1" ht="12" customHeight="1" x14ac:dyDescent="0.25">
      <c r="B262" s="1108">
        <f>IF(C262&lt;'Financing Assumptions'!$G$25,0,IF(C262='Financing Assumptions'!$G$25,1,IF(C262&gt;'Financing Assumptions'!$G$25,B261+1)))</f>
        <v>243</v>
      </c>
      <c r="C262" s="1109">
        <f t="shared" si="115"/>
        <v>245</v>
      </c>
      <c r="D262" s="732">
        <f t="shared" si="100"/>
        <v>30</v>
      </c>
      <c r="E262" s="35">
        <f t="shared" si="101"/>
        <v>6</v>
      </c>
      <c r="F262" s="889">
        <f t="shared" si="120"/>
        <v>53508</v>
      </c>
      <c r="G262" s="822">
        <f t="shared" si="102"/>
        <v>6</v>
      </c>
      <c r="H262" s="126">
        <f t="shared" si="103"/>
        <v>0</v>
      </c>
      <c r="I262" s="1098">
        <f t="shared" si="121"/>
        <v>0</v>
      </c>
      <c r="J262" s="887">
        <f t="shared" si="116"/>
        <v>243</v>
      </c>
      <c r="K262" s="1099">
        <f t="shared" si="109"/>
        <v>217</v>
      </c>
      <c r="L262" s="891" t="str">
        <f t="shared" si="110"/>
        <v>June</v>
      </c>
      <c r="M262" s="888">
        <f t="shared" si="117"/>
        <v>2046</v>
      </c>
      <c r="N262" s="1284">
        <f t="shared" si="122"/>
        <v>0</v>
      </c>
      <c r="O262" s="1284">
        <f t="shared" si="118"/>
        <v>0</v>
      </c>
      <c r="P262" s="883">
        <f t="shared" si="119"/>
        <v>27237689.178281002</v>
      </c>
      <c r="Q262" s="883">
        <f t="shared" si="111"/>
        <v>-307277.87674628111</v>
      </c>
      <c r="R262" s="1100"/>
      <c r="S262" s="883">
        <f t="shared" si="104"/>
        <v>-169197.92466193993</v>
      </c>
      <c r="T262" s="884">
        <f t="shared" si="112"/>
        <v>-138079.95208434117</v>
      </c>
      <c r="U262" s="884">
        <f>IF(AND($AU$43="Early Payoff",J262&gt;$U$15),0,IF($J262&lt;=$U$8,SUM($S$20:$S262),0))</f>
        <v>-19416508.74638094</v>
      </c>
      <c r="V262" s="884">
        <f>IF(AND($AU$43="Early Payoff",J262&gt;$U$15),0,IF($J262&lt;=$U$8,SUM($T$20:$T262),0))</f>
        <v>-47161151.770983152</v>
      </c>
      <c r="W262" s="885">
        <f t="shared" si="113"/>
        <v>27068491.253619064</v>
      </c>
      <c r="X262" s="1110">
        <f t="shared" si="114"/>
        <v>27237689.178281002</v>
      </c>
      <c r="Z262" s="1102">
        <f t="shared" si="105"/>
        <v>0</v>
      </c>
      <c r="AA262" s="873">
        <f t="shared" si="106"/>
        <v>0</v>
      </c>
      <c r="AB262" s="873">
        <f t="shared" si="107"/>
        <v>0</v>
      </c>
      <c r="AC262" s="885">
        <f t="shared" si="108"/>
        <v>-307277.87674628111</v>
      </c>
    </row>
    <row r="263" spans="2:29" s="278" customFormat="1" ht="12" customHeight="1" x14ac:dyDescent="0.25">
      <c r="B263" s="1108">
        <f>IF(C263&lt;'Financing Assumptions'!$G$25,0,IF(C263='Financing Assumptions'!$G$25,1,IF(C263&gt;'Financing Assumptions'!$G$25,B262+1)))</f>
        <v>244</v>
      </c>
      <c r="C263" s="1109">
        <f t="shared" si="115"/>
        <v>246</v>
      </c>
      <c r="D263" s="732">
        <f t="shared" si="100"/>
        <v>31</v>
      </c>
      <c r="E263" s="35">
        <f t="shared" si="101"/>
        <v>7</v>
      </c>
      <c r="F263" s="889">
        <f t="shared" si="120"/>
        <v>53539</v>
      </c>
      <c r="G263" s="822">
        <f t="shared" si="102"/>
        <v>7</v>
      </c>
      <c r="H263" s="126">
        <f t="shared" si="103"/>
        <v>0</v>
      </c>
      <c r="I263" s="1098">
        <f t="shared" si="121"/>
        <v>0</v>
      </c>
      <c r="J263" s="887">
        <f t="shared" si="116"/>
        <v>244</v>
      </c>
      <c r="K263" s="1099">
        <f t="shared" si="109"/>
        <v>218</v>
      </c>
      <c r="L263" s="891" t="str">
        <f t="shared" si="110"/>
        <v>July</v>
      </c>
      <c r="M263" s="888">
        <f t="shared" si="117"/>
        <v>2046</v>
      </c>
      <c r="N263" s="1284">
        <f t="shared" si="122"/>
        <v>0</v>
      </c>
      <c r="O263" s="1284">
        <f t="shared" si="118"/>
        <v>0</v>
      </c>
      <c r="P263" s="883">
        <f t="shared" si="119"/>
        <v>27068491.253619064</v>
      </c>
      <c r="Q263" s="883">
        <f t="shared" si="111"/>
        <v>-307277.87674628111</v>
      </c>
      <c r="R263" s="1100"/>
      <c r="S263" s="883">
        <f t="shared" si="104"/>
        <v>-170055.66414112892</v>
      </c>
      <c r="T263" s="884">
        <f t="shared" si="112"/>
        <v>-137222.21260515219</v>
      </c>
      <c r="U263" s="884">
        <f>IF(AND($AU$43="Early Payoff",J263&gt;$U$15),0,IF($J263&lt;=$U$8,SUM($S$20:$S263),0))</f>
        <v>-19586564.41052207</v>
      </c>
      <c r="V263" s="884">
        <f>IF(AND($AU$43="Early Payoff",J263&gt;$U$15),0,IF($J263&lt;=$U$8,SUM($T$20:$T263),0))</f>
        <v>-47298373.983588301</v>
      </c>
      <c r="W263" s="885">
        <f t="shared" si="113"/>
        <v>26898435.589477934</v>
      </c>
      <c r="X263" s="1110">
        <f t="shared" si="114"/>
        <v>27068491.253619064</v>
      </c>
      <c r="Z263" s="1102">
        <f t="shared" si="105"/>
        <v>0</v>
      </c>
      <c r="AA263" s="873">
        <f t="shared" si="106"/>
        <v>0</v>
      </c>
      <c r="AB263" s="873">
        <f t="shared" si="107"/>
        <v>0</v>
      </c>
      <c r="AC263" s="885">
        <f t="shared" si="108"/>
        <v>-307277.87674628111</v>
      </c>
    </row>
    <row r="264" spans="2:29" s="278" customFormat="1" ht="12" customHeight="1" x14ac:dyDescent="0.25">
      <c r="B264" s="1108">
        <f>IF(C264&lt;'Financing Assumptions'!$G$25,0,IF(C264='Financing Assumptions'!$G$25,1,IF(C264&gt;'Financing Assumptions'!$G$25,B263+1)))</f>
        <v>245</v>
      </c>
      <c r="C264" s="1109">
        <f t="shared" si="115"/>
        <v>247</v>
      </c>
      <c r="D264" s="732">
        <f t="shared" si="100"/>
        <v>31</v>
      </c>
      <c r="E264" s="35">
        <f t="shared" si="101"/>
        <v>8</v>
      </c>
      <c r="F264" s="889">
        <f t="shared" si="120"/>
        <v>53570</v>
      </c>
      <c r="G264" s="822">
        <f t="shared" si="102"/>
        <v>8</v>
      </c>
      <c r="H264" s="126">
        <f t="shared" si="103"/>
        <v>0</v>
      </c>
      <c r="I264" s="1098">
        <f t="shared" si="121"/>
        <v>0</v>
      </c>
      <c r="J264" s="887">
        <f t="shared" si="116"/>
        <v>245</v>
      </c>
      <c r="K264" s="1099">
        <f t="shared" si="109"/>
        <v>219</v>
      </c>
      <c r="L264" s="891" t="str">
        <f t="shared" si="110"/>
        <v>August</v>
      </c>
      <c r="M264" s="888">
        <f t="shared" si="117"/>
        <v>2046</v>
      </c>
      <c r="N264" s="1284">
        <f t="shared" si="122"/>
        <v>0</v>
      </c>
      <c r="O264" s="1284">
        <f t="shared" si="118"/>
        <v>0</v>
      </c>
      <c r="P264" s="883">
        <f t="shared" si="119"/>
        <v>26898435.589477934</v>
      </c>
      <c r="Q264" s="883">
        <f t="shared" si="111"/>
        <v>-307277.87674628111</v>
      </c>
      <c r="R264" s="1100"/>
      <c r="S264" s="883">
        <f t="shared" si="104"/>
        <v>-170917.75188295549</v>
      </c>
      <c r="T264" s="884">
        <f t="shared" si="112"/>
        <v>-136360.12486332562</v>
      </c>
      <c r="U264" s="884">
        <f>IF(AND($AU$43="Early Payoff",J264&gt;$U$15),0,IF($J264&lt;=$U$8,SUM($S$20:$S264),0))</f>
        <v>-19757482.162405025</v>
      </c>
      <c r="V264" s="884">
        <f>IF(AND($AU$43="Early Payoff",J264&gt;$U$15),0,IF($J264&lt;=$U$8,SUM($T$20:$T264),0))</f>
        <v>-47434734.108451627</v>
      </c>
      <c r="W264" s="885">
        <f t="shared" si="113"/>
        <v>26727517.837594979</v>
      </c>
      <c r="X264" s="1110">
        <f t="shared" si="114"/>
        <v>26898435.589477934</v>
      </c>
      <c r="Z264" s="1102">
        <f t="shared" si="105"/>
        <v>0</v>
      </c>
      <c r="AA264" s="873">
        <f t="shared" si="106"/>
        <v>0</v>
      </c>
      <c r="AB264" s="873">
        <f t="shared" si="107"/>
        <v>0</v>
      </c>
      <c r="AC264" s="885">
        <f t="shared" si="108"/>
        <v>-307277.87674628111</v>
      </c>
    </row>
    <row r="265" spans="2:29" s="278" customFormat="1" ht="12" customHeight="1" x14ac:dyDescent="0.25">
      <c r="B265" s="1108">
        <f>IF(C265&lt;'Financing Assumptions'!$G$25,0,IF(C265='Financing Assumptions'!$G$25,1,IF(C265&gt;'Financing Assumptions'!$G$25,B264+1)))</f>
        <v>246</v>
      </c>
      <c r="C265" s="1109">
        <f t="shared" si="115"/>
        <v>248</v>
      </c>
      <c r="D265" s="732">
        <f t="shared" si="100"/>
        <v>30</v>
      </c>
      <c r="E265" s="35">
        <f t="shared" si="101"/>
        <v>9</v>
      </c>
      <c r="F265" s="889">
        <f t="shared" si="120"/>
        <v>53600</v>
      </c>
      <c r="G265" s="822">
        <f t="shared" si="102"/>
        <v>9</v>
      </c>
      <c r="H265" s="126">
        <f t="shared" si="103"/>
        <v>0</v>
      </c>
      <c r="I265" s="1098">
        <f t="shared" si="121"/>
        <v>0</v>
      </c>
      <c r="J265" s="887">
        <f t="shared" si="116"/>
        <v>246</v>
      </c>
      <c r="K265" s="1099">
        <f t="shared" si="109"/>
        <v>220</v>
      </c>
      <c r="L265" s="891" t="str">
        <f t="shared" si="110"/>
        <v>September</v>
      </c>
      <c r="M265" s="888">
        <f t="shared" si="117"/>
        <v>2046</v>
      </c>
      <c r="N265" s="1284">
        <f t="shared" si="122"/>
        <v>0</v>
      </c>
      <c r="O265" s="1284">
        <f t="shared" si="118"/>
        <v>0</v>
      </c>
      <c r="P265" s="883">
        <f t="shared" si="119"/>
        <v>26727517.837594979</v>
      </c>
      <c r="Q265" s="883">
        <f t="shared" si="111"/>
        <v>-307277.87674628111</v>
      </c>
      <c r="R265" s="1100"/>
      <c r="S265" s="883">
        <f t="shared" si="104"/>
        <v>-171784.20993069545</v>
      </c>
      <c r="T265" s="884">
        <f t="shared" si="112"/>
        <v>-135493.66681558566</v>
      </c>
      <c r="U265" s="884">
        <f>IF(AND($AU$43="Early Payoff",J265&gt;$U$15),0,IF($J265&lt;=$U$8,SUM($S$20:$S265),0))</f>
        <v>-19929266.372335721</v>
      </c>
      <c r="V265" s="884">
        <f>IF(AND($AU$43="Early Payoff",J265&gt;$U$15),0,IF($J265&lt;=$U$8,SUM($T$20:$T265),0))</f>
        <v>-47570227.775267214</v>
      </c>
      <c r="W265" s="885">
        <f t="shared" si="113"/>
        <v>26555733.627664283</v>
      </c>
      <c r="X265" s="1110">
        <f t="shared" si="114"/>
        <v>26727517.837594979</v>
      </c>
      <c r="Z265" s="1102">
        <f t="shared" si="105"/>
        <v>0</v>
      </c>
      <c r="AA265" s="873">
        <f t="shared" si="106"/>
        <v>0</v>
      </c>
      <c r="AB265" s="873">
        <f t="shared" si="107"/>
        <v>0</v>
      </c>
      <c r="AC265" s="885">
        <f t="shared" si="108"/>
        <v>-307277.87674628111</v>
      </c>
    </row>
    <row r="266" spans="2:29" s="278" customFormat="1" ht="12" customHeight="1" x14ac:dyDescent="0.25">
      <c r="B266" s="1108">
        <f>IF(C266&lt;'Financing Assumptions'!$G$25,0,IF(C266='Financing Assumptions'!$G$25,1,IF(C266&gt;'Financing Assumptions'!$G$25,B265+1)))</f>
        <v>247</v>
      </c>
      <c r="C266" s="1109">
        <f t="shared" si="115"/>
        <v>249</v>
      </c>
      <c r="D266" s="732">
        <f t="shared" si="100"/>
        <v>31</v>
      </c>
      <c r="E266" s="35">
        <f t="shared" si="101"/>
        <v>10</v>
      </c>
      <c r="F266" s="889">
        <f t="shared" si="120"/>
        <v>53631</v>
      </c>
      <c r="G266" s="822">
        <f t="shared" si="102"/>
        <v>10</v>
      </c>
      <c r="H266" s="126">
        <f t="shared" si="103"/>
        <v>0</v>
      </c>
      <c r="I266" s="1098">
        <f t="shared" si="121"/>
        <v>0</v>
      </c>
      <c r="J266" s="887">
        <f t="shared" si="116"/>
        <v>247</v>
      </c>
      <c r="K266" s="1099">
        <f t="shared" si="109"/>
        <v>221</v>
      </c>
      <c r="L266" s="891" t="str">
        <f t="shared" si="110"/>
        <v>October</v>
      </c>
      <c r="M266" s="888">
        <f t="shared" si="117"/>
        <v>2046</v>
      </c>
      <c r="N266" s="1284">
        <f t="shared" si="122"/>
        <v>0</v>
      </c>
      <c r="O266" s="1284">
        <f t="shared" si="118"/>
        <v>0</v>
      </c>
      <c r="P266" s="883">
        <f t="shared" si="119"/>
        <v>26555733.627664283</v>
      </c>
      <c r="Q266" s="883">
        <f t="shared" si="111"/>
        <v>-307277.87674628111</v>
      </c>
      <c r="R266" s="1100"/>
      <c r="S266" s="883">
        <f t="shared" si="104"/>
        <v>-172655.06043937191</v>
      </c>
      <c r="T266" s="884">
        <f t="shared" si="112"/>
        <v>-134622.8163069092</v>
      </c>
      <c r="U266" s="884">
        <f>IF(AND($AU$43="Early Payoff",J266&gt;$U$15),0,IF($J266&lt;=$U$8,SUM($S$20:$S266),0))</f>
        <v>-20101921.432775091</v>
      </c>
      <c r="V266" s="884">
        <f>IF(AND($AU$43="Early Payoff",J266&gt;$U$15),0,IF($J266&lt;=$U$8,SUM($T$20:$T266),0))</f>
        <v>-47704850.591574125</v>
      </c>
      <c r="W266" s="885">
        <f t="shared" si="113"/>
        <v>26383078.567224912</v>
      </c>
      <c r="X266" s="1110">
        <f t="shared" si="114"/>
        <v>26555733.627664283</v>
      </c>
      <c r="Z266" s="1102">
        <f t="shared" si="105"/>
        <v>0</v>
      </c>
      <c r="AA266" s="873">
        <f t="shared" si="106"/>
        <v>0</v>
      </c>
      <c r="AB266" s="873">
        <f t="shared" si="107"/>
        <v>0</v>
      </c>
      <c r="AC266" s="885">
        <f t="shared" si="108"/>
        <v>-307277.87674628111</v>
      </c>
    </row>
    <row r="267" spans="2:29" s="278" customFormat="1" ht="12" customHeight="1" x14ac:dyDescent="0.25">
      <c r="B267" s="1108">
        <f>IF(C267&lt;'Financing Assumptions'!$G$25,0,IF(C267='Financing Assumptions'!$G$25,1,IF(C267&gt;'Financing Assumptions'!$G$25,B266+1)))</f>
        <v>248</v>
      </c>
      <c r="C267" s="1109">
        <f t="shared" si="115"/>
        <v>250</v>
      </c>
      <c r="D267" s="732">
        <f t="shared" si="100"/>
        <v>30</v>
      </c>
      <c r="E267" s="35">
        <f t="shared" si="101"/>
        <v>11</v>
      </c>
      <c r="F267" s="889">
        <f t="shared" si="120"/>
        <v>53661</v>
      </c>
      <c r="G267" s="822">
        <f t="shared" si="102"/>
        <v>11</v>
      </c>
      <c r="H267" s="126">
        <f t="shared" si="103"/>
        <v>0</v>
      </c>
      <c r="I267" s="1098">
        <f t="shared" si="121"/>
        <v>0</v>
      </c>
      <c r="J267" s="887">
        <f t="shared" si="116"/>
        <v>248</v>
      </c>
      <c r="K267" s="1099">
        <f t="shared" si="109"/>
        <v>222</v>
      </c>
      <c r="L267" s="891" t="str">
        <f t="shared" si="110"/>
        <v>November</v>
      </c>
      <c r="M267" s="888">
        <f t="shared" si="117"/>
        <v>2046</v>
      </c>
      <c r="N267" s="1284">
        <f t="shared" si="122"/>
        <v>0</v>
      </c>
      <c r="O267" s="1284">
        <f t="shared" si="118"/>
        <v>0</v>
      </c>
      <c r="P267" s="883">
        <f t="shared" si="119"/>
        <v>26383078.567224912</v>
      </c>
      <c r="Q267" s="883">
        <f t="shared" si="111"/>
        <v>-307277.87674628111</v>
      </c>
      <c r="R267" s="1100"/>
      <c r="S267" s="883">
        <f t="shared" si="104"/>
        <v>-173530.32567632149</v>
      </c>
      <c r="T267" s="884">
        <f t="shared" si="112"/>
        <v>-133747.55106995962</v>
      </c>
      <c r="U267" s="884">
        <f>IF(AND($AU$43="Early Payoff",J267&gt;$U$15),0,IF($J267&lt;=$U$8,SUM($S$20:$S267),0))</f>
        <v>-20275451.758451413</v>
      </c>
      <c r="V267" s="884">
        <f>IF(AND($AU$43="Early Payoff",J267&gt;$U$15),0,IF($J267&lt;=$U$8,SUM($T$20:$T267),0))</f>
        <v>-47838598.142644085</v>
      </c>
      <c r="W267" s="885">
        <f t="shared" si="113"/>
        <v>26209548.24154859</v>
      </c>
      <c r="X267" s="1110">
        <f t="shared" si="114"/>
        <v>26383078.567224912</v>
      </c>
      <c r="Z267" s="1102">
        <f t="shared" si="105"/>
        <v>0</v>
      </c>
      <c r="AA267" s="873">
        <f t="shared" si="106"/>
        <v>0</v>
      </c>
      <c r="AB267" s="873">
        <f t="shared" si="107"/>
        <v>0</v>
      </c>
      <c r="AC267" s="885">
        <f t="shared" si="108"/>
        <v>-307277.87674628111</v>
      </c>
    </row>
    <row r="268" spans="2:29" s="278" customFormat="1" ht="12" customHeight="1" x14ac:dyDescent="0.25">
      <c r="B268" s="1108">
        <f>IF(C268&lt;'Financing Assumptions'!$G$25,0,IF(C268='Financing Assumptions'!$G$25,1,IF(C268&gt;'Financing Assumptions'!$G$25,B267+1)))</f>
        <v>249</v>
      </c>
      <c r="C268" s="1109">
        <f t="shared" si="115"/>
        <v>251</v>
      </c>
      <c r="D268" s="732">
        <f t="shared" si="100"/>
        <v>31</v>
      </c>
      <c r="E268" s="35">
        <f t="shared" si="101"/>
        <v>12</v>
      </c>
      <c r="F268" s="889">
        <f t="shared" si="120"/>
        <v>53692</v>
      </c>
      <c r="G268" s="822">
        <f t="shared" si="102"/>
        <v>12</v>
      </c>
      <c r="H268" s="126">
        <f t="shared" si="103"/>
        <v>1</v>
      </c>
      <c r="I268" s="1098">
        <f t="shared" si="121"/>
        <v>0</v>
      </c>
      <c r="J268" s="887">
        <f t="shared" si="116"/>
        <v>249</v>
      </c>
      <c r="K268" s="1099">
        <f t="shared" si="109"/>
        <v>223</v>
      </c>
      <c r="L268" s="891" t="str">
        <f t="shared" si="110"/>
        <v>December</v>
      </c>
      <c r="M268" s="888">
        <f t="shared" si="117"/>
        <v>2046</v>
      </c>
      <c r="N268" s="1284">
        <f t="shared" si="122"/>
        <v>0</v>
      </c>
      <c r="O268" s="1284">
        <f t="shared" si="118"/>
        <v>0</v>
      </c>
      <c r="P268" s="883">
        <f t="shared" si="119"/>
        <v>26209548.24154859</v>
      </c>
      <c r="Q268" s="883">
        <f t="shared" si="111"/>
        <v>-307277.87674628111</v>
      </c>
      <c r="R268" s="1100"/>
      <c r="S268" s="883">
        <f t="shared" si="104"/>
        <v>-174410.02802176395</v>
      </c>
      <c r="T268" s="884">
        <f t="shared" si="112"/>
        <v>-132867.84872451716</v>
      </c>
      <c r="U268" s="884">
        <f>IF(AND($AU$43="Early Payoff",J268&gt;$U$15),0,IF($J268&lt;=$U$8,SUM($S$20:$S268),0))</f>
        <v>-20449861.786473177</v>
      </c>
      <c r="V268" s="884">
        <f>IF(AND($AU$43="Early Payoff",J268&gt;$U$15),0,IF($J268&lt;=$U$8,SUM($T$20:$T268),0))</f>
        <v>-47971465.991368599</v>
      </c>
      <c r="W268" s="885">
        <f t="shared" si="113"/>
        <v>26035138.213526826</v>
      </c>
      <c r="X268" s="1110">
        <f t="shared" si="114"/>
        <v>26209548.24154859</v>
      </c>
      <c r="Z268" s="1102">
        <f t="shared" si="105"/>
        <v>0</v>
      </c>
      <c r="AA268" s="873">
        <f t="shared" si="106"/>
        <v>0</v>
      </c>
      <c r="AB268" s="873">
        <f t="shared" si="107"/>
        <v>0</v>
      </c>
      <c r="AC268" s="885">
        <f t="shared" si="108"/>
        <v>-307277.87674628111</v>
      </c>
    </row>
    <row r="269" spans="2:29" s="278" customFormat="1" ht="12" customHeight="1" x14ac:dyDescent="0.25">
      <c r="B269" s="1108">
        <f>IF(C269&lt;'Financing Assumptions'!$G$25,0,IF(C269='Financing Assumptions'!$G$25,1,IF(C269&gt;'Financing Assumptions'!$G$25,B268+1)))</f>
        <v>250</v>
      </c>
      <c r="C269" s="1109">
        <f t="shared" si="115"/>
        <v>252</v>
      </c>
      <c r="D269" s="732">
        <f t="shared" si="100"/>
        <v>31</v>
      </c>
      <c r="E269" s="35">
        <f t="shared" si="101"/>
        <v>1</v>
      </c>
      <c r="F269" s="889">
        <f t="shared" si="120"/>
        <v>53723</v>
      </c>
      <c r="G269" s="822">
        <f t="shared" si="102"/>
        <v>1</v>
      </c>
      <c r="H269" s="126">
        <f t="shared" si="103"/>
        <v>0</v>
      </c>
      <c r="I269" s="1098">
        <f t="shared" si="121"/>
        <v>0</v>
      </c>
      <c r="J269" s="887">
        <f t="shared" si="116"/>
        <v>250</v>
      </c>
      <c r="K269" s="1099">
        <f t="shared" si="109"/>
        <v>224</v>
      </c>
      <c r="L269" s="891" t="str">
        <f t="shared" si="110"/>
        <v>January</v>
      </c>
      <c r="M269" s="888">
        <f t="shared" si="117"/>
        <v>2047</v>
      </c>
      <c r="N269" s="1284">
        <f t="shared" si="122"/>
        <v>0</v>
      </c>
      <c r="O269" s="1284">
        <f t="shared" si="118"/>
        <v>0</v>
      </c>
      <c r="P269" s="883">
        <f t="shared" si="119"/>
        <v>26035138.213526826</v>
      </c>
      <c r="Q269" s="883">
        <f t="shared" si="111"/>
        <v>-307277.87674628111</v>
      </c>
      <c r="R269" s="1100"/>
      <c r="S269" s="883">
        <f t="shared" si="104"/>
        <v>-175294.18996937427</v>
      </c>
      <c r="T269" s="884">
        <f t="shared" si="112"/>
        <v>-131983.68677690683</v>
      </c>
      <c r="U269" s="884">
        <f>IF(AND($AU$43="Early Payoff",J269&gt;$U$15),0,IF($J269&lt;=$U$8,SUM($S$20:$S269),0))</f>
        <v>-20625155.976442553</v>
      </c>
      <c r="V269" s="884">
        <f>IF(AND($AU$43="Early Payoff",J269&gt;$U$15),0,IF($J269&lt;=$U$8,SUM($T$20:$T269),0))</f>
        <v>-48103449.678145505</v>
      </c>
      <c r="W269" s="885">
        <f t="shared" si="113"/>
        <v>25859844.023557451</v>
      </c>
      <c r="X269" s="1110">
        <f t="shared" si="114"/>
        <v>26035138.213526826</v>
      </c>
      <c r="Z269" s="1102">
        <f t="shared" si="105"/>
        <v>0</v>
      </c>
      <c r="AA269" s="873">
        <f t="shared" si="106"/>
        <v>0</v>
      </c>
      <c r="AB269" s="873">
        <f t="shared" si="107"/>
        <v>0</v>
      </c>
      <c r="AC269" s="885">
        <f t="shared" si="108"/>
        <v>-307277.87674628111</v>
      </c>
    </row>
    <row r="270" spans="2:29" s="278" customFormat="1" ht="12" customHeight="1" x14ac:dyDescent="0.25">
      <c r="B270" s="1108">
        <f>IF(C270&lt;'Financing Assumptions'!$G$25,0,IF(C270='Financing Assumptions'!$G$25,1,IF(C270&gt;'Financing Assumptions'!$G$25,B269+1)))</f>
        <v>251</v>
      </c>
      <c r="C270" s="1109">
        <f t="shared" si="115"/>
        <v>253</v>
      </c>
      <c r="D270" s="732">
        <f t="shared" si="100"/>
        <v>28</v>
      </c>
      <c r="E270" s="35">
        <f t="shared" si="101"/>
        <v>2</v>
      </c>
      <c r="F270" s="889">
        <f t="shared" si="120"/>
        <v>53751</v>
      </c>
      <c r="G270" s="822">
        <f t="shared" si="102"/>
        <v>2</v>
      </c>
      <c r="H270" s="126">
        <f t="shared" si="103"/>
        <v>0</v>
      </c>
      <c r="I270" s="1098">
        <f t="shared" si="121"/>
        <v>0</v>
      </c>
      <c r="J270" s="887">
        <f t="shared" si="116"/>
        <v>251</v>
      </c>
      <c r="K270" s="1099">
        <f t="shared" si="109"/>
        <v>225</v>
      </c>
      <c r="L270" s="891" t="str">
        <f t="shared" si="110"/>
        <v>February</v>
      </c>
      <c r="M270" s="888">
        <f t="shared" si="117"/>
        <v>2047</v>
      </c>
      <c r="N270" s="1284">
        <f t="shared" si="122"/>
        <v>0</v>
      </c>
      <c r="O270" s="1284">
        <f t="shared" si="118"/>
        <v>0</v>
      </c>
      <c r="P270" s="883">
        <f t="shared" si="119"/>
        <v>25859844.023557451</v>
      </c>
      <c r="Q270" s="883">
        <f t="shared" si="111"/>
        <v>-307277.87674628111</v>
      </c>
      <c r="R270" s="1100"/>
      <c r="S270" s="883">
        <f t="shared" si="104"/>
        <v>-176182.83412685792</v>
      </c>
      <c r="T270" s="884">
        <f t="shared" si="112"/>
        <v>-131095.04261942318</v>
      </c>
      <c r="U270" s="884">
        <f>IF(AND($AU$43="Early Payoff",J270&gt;$U$15),0,IF($J270&lt;=$U$8,SUM($S$20:$S270),0))</f>
        <v>-20801338.810569409</v>
      </c>
      <c r="V270" s="884">
        <f>IF(AND($AU$43="Early Payoff",J270&gt;$U$15),0,IF($J270&lt;=$U$8,SUM($T$20:$T270),0))</f>
        <v>-48234544.720764928</v>
      </c>
      <c r="W270" s="885">
        <f t="shared" si="113"/>
        <v>25683661.189430594</v>
      </c>
      <c r="X270" s="1110">
        <f t="shared" si="114"/>
        <v>25859844.023557451</v>
      </c>
      <c r="Z270" s="1102">
        <f t="shared" si="105"/>
        <v>0</v>
      </c>
      <c r="AA270" s="873">
        <f t="shared" si="106"/>
        <v>0</v>
      </c>
      <c r="AB270" s="873">
        <f t="shared" si="107"/>
        <v>0</v>
      </c>
      <c r="AC270" s="885">
        <f t="shared" si="108"/>
        <v>-307277.87674628111</v>
      </c>
    </row>
    <row r="271" spans="2:29" s="278" customFormat="1" ht="12" customHeight="1" x14ac:dyDescent="0.25">
      <c r="B271" s="1108">
        <f>IF(C271&lt;'Financing Assumptions'!$G$25,0,IF(C271='Financing Assumptions'!$G$25,1,IF(C271&gt;'Financing Assumptions'!$G$25,B270+1)))</f>
        <v>252</v>
      </c>
      <c r="C271" s="1109">
        <f t="shared" si="115"/>
        <v>254</v>
      </c>
      <c r="D271" s="732">
        <f t="shared" si="100"/>
        <v>31</v>
      </c>
      <c r="E271" s="35">
        <f t="shared" si="101"/>
        <v>3</v>
      </c>
      <c r="F271" s="889">
        <f t="shared" si="120"/>
        <v>53782</v>
      </c>
      <c r="G271" s="822">
        <f t="shared" si="102"/>
        <v>3</v>
      </c>
      <c r="H271" s="126">
        <f t="shared" si="103"/>
        <v>0</v>
      </c>
      <c r="I271" s="1098">
        <f t="shared" si="121"/>
        <v>0</v>
      </c>
      <c r="J271" s="887">
        <f t="shared" si="116"/>
        <v>252</v>
      </c>
      <c r="K271" s="1099">
        <f t="shared" si="109"/>
        <v>226</v>
      </c>
      <c r="L271" s="891" t="str">
        <f t="shared" si="110"/>
        <v>March</v>
      </c>
      <c r="M271" s="888">
        <f t="shared" si="117"/>
        <v>2047</v>
      </c>
      <c r="N271" s="1284">
        <f t="shared" si="122"/>
        <v>0</v>
      </c>
      <c r="O271" s="1284">
        <f t="shared" si="118"/>
        <v>0</v>
      </c>
      <c r="P271" s="883">
        <f t="shared" si="119"/>
        <v>25683661.189430594</v>
      </c>
      <c r="Q271" s="883">
        <f t="shared" si="111"/>
        <v>-307277.87674628111</v>
      </c>
      <c r="R271" s="1100"/>
      <c r="S271" s="883">
        <f t="shared" si="104"/>
        <v>-177075.98321652878</v>
      </c>
      <c r="T271" s="884">
        <f t="shared" si="112"/>
        <v>-130201.89352975231</v>
      </c>
      <c r="U271" s="884">
        <f>IF(AND($AU$43="Early Payoff",J271&gt;$U$15),0,IF($J271&lt;=$U$8,SUM($S$20:$S271),0))</f>
        <v>-20978414.793785937</v>
      </c>
      <c r="V271" s="884">
        <f>IF(AND($AU$43="Early Payoff",J271&gt;$U$15),0,IF($J271&lt;=$U$8,SUM($T$20:$T271),0))</f>
        <v>-48364746.614294678</v>
      </c>
      <c r="W271" s="885">
        <f t="shared" si="113"/>
        <v>25506585.206214067</v>
      </c>
      <c r="X271" s="1110">
        <f t="shared" si="114"/>
        <v>25683661.189430594</v>
      </c>
      <c r="Z271" s="1102">
        <f t="shared" si="105"/>
        <v>0</v>
      </c>
      <c r="AA271" s="873">
        <f t="shared" si="106"/>
        <v>0</v>
      </c>
      <c r="AB271" s="873">
        <f t="shared" si="107"/>
        <v>0</v>
      </c>
      <c r="AC271" s="885">
        <f t="shared" si="108"/>
        <v>-307277.87674628111</v>
      </c>
    </row>
    <row r="272" spans="2:29" s="278" customFormat="1" ht="12" customHeight="1" x14ac:dyDescent="0.25">
      <c r="B272" s="1108">
        <f>IF(C272&lt;'Financing Assumptions'!$G$25,0,IF(C272='Financing Assumptions'!$G$25,1,IF(C272&gt;'Financing Assumptions'!$G$25,B271+1)))</f>
        <v>253</v>
      </c>
      <c r="C272" s="1109">
        <f t="shared" si="115"/>
        <v>255</v>
      </c>
      <c r="D272" s="732">
        <f t="shared" si="100"/>
        <v>30</v>
      </c>
      <c r="E272" s="35">
        <f t="shared" si="101"/>
        <v>4</v>
      </c>
      <c r="F272" s="889">
        <f t="shared" si="120"/>
        <v>53812</v>
      </c>
      <c r="G272" s="822">
        <f t="shared" si="102"/>
        <v>4</v>
      </c>
      <c r="H272" s="126">
        <f t="shared" si="103"/>
        <v>0</v>
      </c>
      <c r="I272" s="1098">
        <f t="shared" si="121"/>
        <v>0</v>
      </c>
      <c r="J272" s="887">
        <f t="shared" si="116"/>
        <v>253</v>
      </c>
      <c r="K272" s="1099">
        <f t="shared" si="109"/>
        <v>227</v>
      </c>
      <c r="L272" s="891" t="str">
        <f t="shared" si="110"/>
        <v>April</v>
      </c>
      <c r="M272" s="888">
        <f t="shared" si="117"/>
        <v>2047</v>
      </c>
      <c r="N272" s="1284">
        <f t="shared" si="122"/>
        <v>0</v>
      </c>
      <c r="O272" s="1284">
        <f t="shared" si="118"/>
        <v>0</v>
      </c>
      <c r="P272" s="883">
        <f t="shared" si="119"/>
        <v>25506585.206214067</v>
      </c>
      <c r="Q272" s="883">
        <f t="shared" si="111"/>
        <v>-307277.87674628111</v>
      </c>
      <c r="R272" s="1100"/>
      <c r="S272" s="883">
        <f t="shared" si="104"/>
        <v>-177973.66007589037</v>
      </c>
      <c r="T272" s="884">
        <f t="shared" si="112"/>
        <v>-129304.21667039074</v>
      </c>
      <c r="U272" s="884">
        <f>IF(AND($AU$43="Early Payoff",J272&gt;$U$15),0,IF($J272&lt;=$U$8,SUM($S$20:$S272),0))</f>
        <v>-21156388.453861829</v>
      </c>
      <c r="V272" s="884">
        <f>IF(AND($AU$43="Early Payoff",J272&gt;$U$15),0,IF($J272&lt;=$U$8,SUM($T$20:$T272),0))</f>
        <v>-48494050.830965072</v>
      </c>
      <c r="W272" s="885">
        <f t="shared" si="113"/>
        <v>25328611.546138175</v>
      </c>
      <c r="X272" s="1110">
        <f t="shared" si="114"/>
        <v>25506585.206214067</v>
      </c>
      <c r="Z272" s="1102">
        <f t="shared" si="105"/>
        <v>0</v>
      </c>
      <c r="AA272" s="873">
        <f t="shared" si="106"/>
        <v>0</v>
      </c>
      <c r="AB272" s="873">
        <f t="shared" si="107"/>
        <v>0</v>
      </c>
      <c r="AC272" s="885">
        <f t="shared" si="108"/>
        <v>-307277.87674628111</v>
      </c>
    </row>
    <row r="273" spans="2:29" s="278" customFormat="1" ht="12" customHeight="1" x14ac:dyDescent="0.25">
      <c r="B273" s="1108">
        <f>IF(C273&lt;'Financing Assumptions'!$G$25,0,IF(C273='Financing Assumptions'!$G$25,1,IF(C273&gt;'Financing Assumptions'!$G$25,B272+1)))</f>
        <v>254</v>
      </c>
      <c r="C273" s="1109">
        <f t="shared" si="115"/>
        <v>256</v>
      </c>
      <c r="D273" s="732">
        <f t="shared" si="100"/>
        <v>31</v>
      </c>
      <c r="E273" s="35">
        <f t="shared" si="101"/>
        <v>5</v>
      </c>
      <c r="F273" s="889">
        <f t="shared" si="120"/>
        <v>53843</v>
      </c>
      <c r="G273" s="822">
        <f t="shared" si="102"/>
        <v>5</v>
      </c>
      <c r="H273" s="126">
        <f t="shared" si="103"/>
        <v>0</v>
      </c>
      <c r="I273" s="1098">
        <f t="shared" si="121"/>
        <v>0</v>
      </c>
      <c r="J273" s="887">
        <f t="shared" si="116"/>
        <v>254</v>
      </c>
      <c r="K273" s="1099">
        <f t="shared" si="109"/>
        <v>228</v>
      </c>
      <c r="L273" s="891" t="str">
        <f t="shared" si="110"/>
        <v>May</v>
      </c>
      <c r="M273" s="888">
        <f t="shared" si="117"/>
        <v>2047</v>
      </c>
      <c r="N273" s="1284">
        <f t="shared" si="122"/>
        <v>0</v>
      </c>
      <c r="O273" s="1284">
        <f t="shared" si="118"/>
        <v>0</v>
      </c>
      <c r="P273" s="883">
        <f t="shared" si="119"/>
        <v>25328611.546138175</v>
      </c>
      <c r="Q273" s="883">
        <f t="shared" si="111"/>
        <v>-307277.87674628111</v>
      </c>
      <c r="R273" s="1100"/>
      <c r="S273" s="883">
        <f t="shared" si="104"/>
        <v>-178875.88765821955</v>
      </c>
      <c r="T273" s="884">
        <f t="shared" si="112"/>
        <v>-128401.98908806157</v>
      </c>
      <c r="U273" s="884">
        <f>IF(AND($AU$43="Early Payoff",J273&gt;$U$15),0,IF($J273&lt;=$U$8,SUM($S$20:$S273),0))</f>
        <v>-21335264.341520049</v>
      </c>
      <c r="V273" s="884">
        <f>IF(AND($AU$43="Early Payoff",J273&gt;$U$15),0,IF($J273&lt;=$U$8,SUM($T$20:$T273),0))</f>
        <v>-48622452.82005313</v>
      </c>
      <c r="W273" s="885">
        <f t="shared" si="113"/>
        <v>25149735.658479955</v>
      </c>
      <c r="X273" s="1110">
        <f t="shared" si="114"/>
        <v>25328611.546138175</v>
      </c>
      <c r="Z273" s="1102">
        <f t="shared" si="105"/>
        <v>0</v>
      </c>
      <c r="AA273" s="873">
        <f t="shared" si="106"/>
        <v>0</v>
      </c>
      <c r="AB273" s="873">
        <f t="shared" si="107"/>
        <v>0</v>
      </c>
      <c r="AC273" s="885">
        <f t="shared" si="108"/>
        <v>-307277.87674628111</v>
      </c>
    </row>
    <row r="274" spans="2:29" s="278" customFormat="1" ht="12" customHeight="1" x14ac:dyDescent="0.25">
      <c r="B274" s="1108">
        <f>IF(C274&lt;'Financing Assumptions'!$G$25,0,IF(C274='Financing Assumptions'!$G$25,1,IF(C274&gt;'Financing Assumptions'!$G$25,B273+1)))</f>
        <v>255</v>
      </c>
      <c r="C274" s="1109">
        <f t="shared" si="115"/>
        <v>257</v>
      </c>
      <c r="D274" s="732">
        <f t="shared" si="100"/>
        <v>30</v>
      </c>
      <c r="E274" s="35">
        <f t="shared" si="101"/>
        <v>6</v>
      </c>
      <c r="F274" s="889">
        <f t="shared" si="120"/>
        <v>53873</v>
      </c>
      <c r="G274" s="822">
        <f t="shared" si="102"/>
        <v>6</v>
      </c>
      <c r="H274" s="126">
        <f t="shared" si="103"/>
        <v>0</v>
      </c>
      <c r="I274" s="1098">
        <f t="shared" si="121"/>
        <v>0</v>
      </c>
      <c r="J274" s="887">
        <f t="shared" si="116"/>
        <v>255</v>
      </c>
      <c r="K274" s="1099">
        <f t="shared" si="109"/>
        <v>229</v>
      </c>
      <c r="L274" s="891" t="str">
        <f t="shared" si="110"/>
        <v>June</v>
      </c>
      <c r="M274" s="888">
        <f t="shared" si="117"/>
        <v>2047</v>
      </c>
      <c r="N274" s="1284">
        <f t="shared" si="122"/>
        <v>0</v>
      </c>
      <c r="O274" s="1284">
        <f t="shared" si="118"/>
        <v>0</v>
      </c>
      <c r="P274" s="883">
        <f t="shared" si="119"/>
        <v>25149735.658479955</v>
      </c>
      <c r="Q274" s="883">
        <f t="shared" si="111"/>
        <v>-307277.87674628111</v>
      </c>
      <c r="R274" s="1100"/>
      <c r="S274" s="883">
        <f t="shared" si="104"/>
        <v>-179782.68903315358</v>
      </c>
      <c r="T274" s="884">
        <f t="shared" si="112"/>
        <v>-127495.18771312754</v>
      </c>
      <c r="U274" s="884">
        <f>IF(AND($AU$43="Early Payoff",J274&gt;$U$15),0,IF($J274&lt;=$U$8,SUM($S$20:$S274),0))</f>
        <v>-21515047.030553203</v>
      </c>
      <c r="V274" s="884">
        <f>IF(AND($AU$43="Early Payoff",J274&gt;$U$15),0,IF($J274&lt;=$U$8,SUM($T$20:$T274),0))</f>
        <v>-48749948.007766254</v>
      </c>
      <c r="W274" s="885">
        <f t="shared" si="113"/>
        <v>24969952.969446801</v>
      </c>
      <c r="X274" s="1110">
        <f t="shared" si="114"/>
        <v>25149735.658479955</v>
      </c>
      <c r="Z274" s="1102">
        <f t="shared" si="105"/>
        <v>0</v>
      </c>
      <c r="AA274" s="873">
        <f t="shared" si="106"/>
        <v>0</v>
      </c>
      <c r="AB274" s="873">
        <f t="shared" si="107"/>
        <v>0</v>
      </c>
      <c r="AC274" s="885">
        <f t="shared" si="108"/>
        <v>-307277.87674628111</v>
      </c>
    </row>
    <row r="275" spans="2:29" s="278" customFormat="1" ht="12" customHeight="1" x14ac:dyDescent="0.25">
      <c r="B275" s="1108">
        <f>IF(C275&lt;'Financing Assumptions'!$G$25,0,IF(C275='Financing Assumptions'!$G$25,1,IF(C275&gt;'Financing Assumptions'!$G$25,B274+1)))</f>
        <v>256</v>
      </c>
      <c r="C275" s="1109">
        <f t="shared" si="115"/>
        <v>258</v>
      </c>
      <c r="D275" s="732">
        <f t="shared" si="100"/>
        <v>31</v>
      </c>
      <c r="E275" s="35">
        <f t="shared" si="101"/>
        <v>7</v>
      </c>
      <c r="F275" s="889">
        <f t="shared" si="120"/>
        <v>53904</v>
      </c>
      <c r="G275" s="822">
        <f t="shared" si="102"/>
        <v>7</v>
      </c>
      <c r="H275" s="126">
        <f t="shared" si="103"/>
        <v>0</v>
      </c>
      <c r="I275" s="1098">
        <f t="shared" si="121"/>
        <v>0</v>
      </c>
      <c r="J275" s="887">
        <f t="shared" si="116"/>
        <v>256</v>
      </c>
      <c r="K275" s="1099">
        <f t="shared" si="109"/>
        <v>230</v>
      </c>
      <c r="L275" s="891" t="str">
        <f t="shared" si="110"/>
        <v>July</v>
      </c>
      <c r="M275" s="888">
        <f t="shared" si="117"/>
        <v>2047</v>
      </c>
      <c r="N275" s="1284">
        <f t="shared" si="122"/>
        <v>0</v>
      </c>
      <c r="O275" s="1284">
        <f t="shared" si="118"/>
        <v>0</v>
      </c>
      <c r="P275" s="883">
        <f t="shared" si="119"/>
        <v>24969952.969446801</v>
      </c>
      <c r="Q275" s="883">
        <f t="shared" si="111"/>
        <v>-307277.87674628111</v>
      </c>
      <c r="R275" s="1100"/>
      <c r="S275" s="883">
        <f t="shared" si="104"/>
        <v>-180694.08738727996</v>
      </c>
      <c r="T275" s="884">
        <f t="shared" si="112"/>
        <v>-126583.78935900114</v>
      </c>
      <c r="U275" s="884">
        <f>IF(AND($AU$43="Early Payoff",J275&gt;$U$15),0,IF($J275&lt;=$U$8,SUM($S$20:$S275),0))</f>
        <v>-21695741.117940482</v>
      </c>
      <c r="V275" s="884">
        <f>IF(AND($AU$43="Early Payoff",J275&gt;$U$15),0,IF($J275&lt;=$U$8,SUM($T$20:$T275),0))</f>
        <v>-48876531.797125258</v>
      </c>
      <c r="W275" s="885">
        <f t="shared" si="113"/>
        <v>24789258.882059522</v>
      </c>
      <c r="X275" s="1110">
        <f t="shared" si="114"/>
        <v>24969952.969446801</v>
      </c>
      <c r="Z275" s="1102">
        <f t="shared" si="105"/>
        <v>0</v>
      </c>
      <c r="AA275" s="873">
        <f t="shared" si="106"/>
        <v>0</v>
      </c>
      <c r="AB275" s="873">
        <f t="shared" si="107"/>
        <v>0</v>
      </c>
      <c r="AC275" s="885">
        <f t="shared" si="108"/>
        <v>-307277.87674628111</v>
      </c>
    </row>
    <row r="276" spans="2:29" s="278" customFormat="1" ht="12" customHeight="1" x14ac:dyDescent="0.25">
      <c r="B276" s="1108">
        <f>IF(C276&lt;'Financing Assumptions'!$G$25,0,IF(C276='Financing Assumptions'!$G$25,1,IF(C276&gt;'Financing Assumptions'!$G$25,B275+1)))</f>
        <v>257</v>
      </c>
      <c r="C276" s="1109">
        <f t="shared" si="115"/>
        <v>259</v>
      </c>
      <c r="D276" s="732">
        <f t="shared" ref="D276:D339" si="123">DAY(EOMONTH(DATE($M276,$E276,1),0))</f>
        <v>31</v>
      </c>
      <c r="E276" s="35">
        <f t="shared" ref="E276:E339" si="124">INDEX($AV$22:$AW$34,MATCH($L276,$AV$22:$AV$34,0),MATCH("Number",$AV$22:$AW$22,0))</f>
        <v>8</v>
      </c>
      <c r="F276" s="889">
        <f t="shared" si="120"/>
        <v>53935</v>
      </c>
      <c r="G276" s="822">
        <f t="shared" ref="G276:G339" si="125">INDEX($AV$22:$AW$34,MATCH($L276,$AV$22:$AV$34,0),MATCH("Number",$AV$22:$AW$22,0))</f>
        <v>8</v>
      </c>
      <c r="H276" s="126">
        <f t="shared" ref="H276:H339" si="126">IF($V$4="Monthly",INDEX($AV$36:$AW$48,MATCH($L276,$AV$36:$AV$48,0),MATCH("Number",$AV$36:$AW$36,0)),0)</f>
        <v>0</v>
      </c>
      <c r="I276" s="1098">
        <f t="shared" si="121"/>
        <v>0</v>
      </c>
      <c r="J276" s="887">
        <f t="shared" si="116"/>
        <v>257</v>
      </c>
      <c r="K276" s="1099">
        <f t="shared" si="109"/>
        <v>231</v>
      </c>
      <c r="L276" s="891" t="str">
        <f t="shared" si="110"/>
        <v>August</v>
      </c>
      <c r="M276" s="888">
        <f t="shared" si="117"/>
        <v>2047</v>
      </c>
      <c r="N276" s="1284">
        <f t="shared" si="122"/>
        <v>0</v>
      </c>
      <c r="O276" s="1284">
        <f t="shared" si="118"/>
        <v>0</v>
      </c>
      <c r="P276" s="883">
        <f t="shared" si="119"/>
        <v>24789258.882059522</v>
      </c>
      <c r="Q276" s="883">
        <f t="shared" si="111"/>
        <v>-307277.87674628111</v>
      </c>
      <c r="R276" s="1100"/>
      <c r="S276" s="883">
        <f t="shared" ref="S276:S339" si="127">IF(AND($AU$43="Early Payoff",J276&gt;=$U$15),0,IF($J276&gt;$U$8,0,IF(AND($AT$33&gt;0,$J276&lt;=$AT$33),0,+$Q276-$T276)))</f>
        <v>-181610.10602472938</v>
      </c>
      <c r="T276" s="884">
        <f t="shared" si="112"/>
        <v>-125667.77072155173</v>
      </c>
      <c r="U276" s="884">
        <f>IF(AND($AU$43="Early Payoff",J276&gt;$U$15),0,IF($J276&lt;=$U$8,SUM($S$20:$S276),0))</f>
        <v>-21877351.223965213</v>
      </c>
      <c r="V276" s="884">
        <f>IF(AND($AU$43="Early Payoff",J276&gt;$U$15),0,IF($J276&lt;=$U$8,SUM($T$20:$T276),0))</f>
        <v>-49002199.567846812</v>
      </c>
      <c r="W276" s="885">
        <f t="shared" si="113"/>
        <v>24607648.776034791</v>
      </c>
      <c r="X276" s="1110">
        <f t="shared" si="114"/>
        <v>24789258.882059522</v>
      </c>
      <c r="Z276" s="1102">
        <f t="shared" ref="Z276:Z339" si="128">IF($J276&gt;$U$8,0,IF($J276&lt;=$AT$31,0,IF(AND($AA$5="%/Payment",$AC$5=0),$Q276*$AB$5,IF(AND($AA$5="%/Payment",$AC$5&gt;0,($Q276*$AB$5)&lt;$AC$5),$Q276*$AB$5,IF(AND($AA$5="%/Payment",$AC$5&gt;0,($Q276*$AB$5)&gt;$AC$5),-$AC$5,IF(AND($AA$5="%/Balance",$AC$5=0),-$W276*$AB$5,IF(AND($AA$5="%/Balance",$AC$5&gt;0,($W276*$AB$5)&lt;$AC$5),-$W276*$AB$5,IF(AND($AA$5="%/Balance",$AC$5&gt;0,($W276*$AB$5)&gt;$AC$5),-$AC$5,IF($AA$5="Fixed Amount",-$AB$5,IF($AA$5="N/A",0))))))))))</f>
        <v>0</v>
      </c>
      <c r="AA276" s="873">
        <f t="shared" ref="AA276:AA339" si="129">IF($J276&gt;$U$8,0,IF($J276&lt;=$AT$31,0,IF(AND($AA$6="%/Payment",$AC$6=0),$Q276*$AB$6,IF(AND($AA$6="%/Payment",$AC$6&gt;0,($Q276*$AB$6)&lt;$AC$6),$Q276*$AB$6,IF(AND($AA$6="%/Payment",$AC$6&gt;0,($Q276*$AB$6)&gt;$AC$6),-$AC$6,IF(AND($AA$6="%/Balance",$AC$6=0),-$W276*$AB$6,IF(AND($AA$6="%/Balance",$AC$6&gt;0,($W276*$AB$6)&lt;$AC$6),-$W276*$AB$6,IF(AND($AA$6="%/Balance",$AC$6&gt;0,($W276*$AB$6)&gt;$AC$6),-$AC$6,IF($AA$6="Fixed Amount",-$AB$6,IF($AA$6="N/A",0))))))))))</f>
        <v>0</v>
      </c>
      <c r="AB276" s="873">
        <f t="shared" ref="AB276:AB339" si="130">IF($J276&gt;$U$8,0,IF($J276&lt;=$AT$31,0,IF(AND($AA$7="%/Payment",$AC$7=0),$Q276*$AB$7,IF(AND($AA$7="%/Payment",$AC$7&gt;0,($Q276*$AB$7)&lt;$AC$7),$Q276*$AB$7,IF(AND($AA$7="%/Payment",$AC$7&gt;0,($Q276*$AB$7)&gt;$AC$7),-$AC$7,IF(AND($AA$7="%/Balance",$AC$7=0),-$W276*$AB$7,IF(AND($AA$7="%/Balance",$AC$7&gt;0,($W276*$AB$7)&lt;$AC$7),-$W276*$AB$7,IF(AND($AA$7="%/Balance",$AC$7&gt;0,($Q276*$AB$7)&gt;$AC$7),-$AC$7,IF($AA$7="Fixed Amount",-$AB$7,IF($AA$7="N/A",0))))))))))</f>
        <v>0</v>
      </c>
      <c r="AC276" s="885">
        <f t="shared" ref="AC276:AC339" si="131">SUM($Q276,$Z276:$AB276)</f>
        <v>-307277.87674628111</v>
      </c>
    </row>
    <row r="277" spans="2:29" s="278" customFormat="1" ht="12" customHeight="1" x14ac:dyDescent="0.25">
      <c r="B277" s="1108">
        <f>IF(C277&lt;'Financing Assumptions'!$G$25,0,IF(C277='Financing Assumptions'!$G$25,1,IF(C277&gt;'Financing Assumptions'!$G$25,B276+1)))</f>
        <v>258</v>
      </c>
      <c r="C277" s="1109">
        <f t="shared" si="115"/>
        <v>260</v>
      </c>
      <c r="D277" s="732">
        <f t="shared" si="123"/>
        <v>30</v>
      </c>
      <c r="E277" s="35">
        <f t="shared" si="124"/>
        <v>9</v>
      </c>
      <c r="F277" s="889">
        <f t="shared" si="120"/>
        <v>53965</v>
      </c>
      <c r="G277" s="822">
        <f t="shared" si="125"/>
        <v>9</v>
      </c>
      <c r="H277" s="126">
        <f t="shared" si="126"/>
        <v>0</v>
      </c>
      <c r="I277" s="1098">
        <f t="shared" si="121"/>
        <v>0</v>
      </c>
      <c r="J277" s="887">
        <f t="shared" si="116"/>
        <v>258</v>
      </c>
      <c r="K277" s="1099">
        <f t="shared" ref="K277:K340" si="132">IF($J277&lt;=$AT$33,0,IF($J276&gt;=$AT$33,$K276+1))</f>
        <v>232</v>
      </c>
      <c r="L277" s="891" t="str">
        <f t="shared" ref="L277:L340" si="133">IF($V$4="Annual",$T$5,IF(AND($V$4="Bi-Annual",$G276&lt;MAX($T$4,$U$4)),INDEX($AW$22:$AX$34,MATCH(MAX($T$4,$U$4),$AW$22:$AW$34,0),MATCH("Month",$AW$22:$AX$22,0)),IF(AND($V$4="Bi-Annual",$G276=MAX($T$4,$U$4)),INDEX($AW$22:$AX$34,MATCH(MIN($T$4,$U$4),$AW$22:$AW$34,0),MATCH("Month",$AW$22:$AX$22,0)),IF(AND($V$4="Monthly",$G276&lt;12),INDEX($AW$22:$AX$34,MATCH($G276+1,$AW$22:$AW$34,0),MATCH("Month",$AW$22:$AX$22,0)),IF(AND($V$4="Monthly",$G276=12),INDEX($AW$22:$AX$34,MATCH($G276-11,$AW$22:$AW$34,0),MATCH("Month",$AW$22:$AX$22,0)))))))</f>
        <v>September</v>
      </c>
      <c r="M277" s="888">
        <f t="shared" si="117"/>
        <v>2047</v>
      </c>
      <c r="N277" s="1284">
        <f t="shared" si="122"/>
        <v>0</v>
      </c>
      <c r="O277" s="1284">
        <f t="shared" si="118"/>
        <v>0</v>
      </c>
      <c r="P277" s="883">
        <f t="shared" si="119"/>
        <v>24607648.776034791</v>
      </c>
      <c r="Q277" s="883">
        <f t="shared" ref="Q277:Q340" si="134">IF(AND($AU$43="Early Payoff",J277&gt;=$U$15),0,IF($J277&gt;$U$8,0,IF(AND($AT$33&gt;=0,$J277&lt;=$AT$33),0,IF(AND($AT$31&gt;=0,$J277&lt;=$AT$31),$T277,IF(AND($V$4="Annual",$AT$31&gt;=0,$AT$33&gt;=0,$J277&gt;$AT$31,$J277&gt;$AT$33),PMT($M$7,($U$8-$AT$31),$M$4),IF(AND($V$4="Bi-Annual",$AT$31&gt;=0,$AT$33&gt;=0,$J277&gt;$AT$31,$J277&gt;$AT$33),PMT($M$7/2,($U$8-$AT$31),$M$4),IF(AND($V$4="Monthly",$AT$31&gt;=0,$AT$33&gt;=0,$J277&gt;$AT$31,$J277&gt;$AT$33),PMT($M$7/12,($U$8-$AT$31),$M$4))))))))-R277</f>
        <v>-307277.87674628111</v>
      </c>
      <c r="R277" s="1100"/>
      <c r="S277" s="883">
        <f t="shared" si="127"/>
        <v>-182530.76836777141</v>
      </c>
      <c r="T277" s="884">
        <f t="shared" ref="T277:T340" si="135">IF(AND($AU$43="Early Payoff",J277&gt;=$U$15),0,IF($V$4="Annual",-$M$7*$W276*1,IF($V$4="Bi-Annual",(-$M$7/2)*$W276*1,IF($V$4="Monthly",(-$M$7/12)*$W276*1))))</f>
        <v>-124747.1083785097</v>
      </c>
      <c r="U277" s="884">
        <f>IF(AND($AU$43="Early Payoff",J277&gt;$U$15),0,IF($J277&lt;=$U$8,SUM($S$20:$S277),0))</f>
        <v>-22059881.992332984</v>
      </c>
      <c r="V277" s="884">
        <f>IF(AND($AU$43="Early Payoff",J277&gt;$U$15),0,IF($J277&lt;=$U$8,SUM($T$20:$T277),0))</f>
        <v>-49126946.67622532</v>
      </c>
      <c r="W277" s="885">
        <f t="shared" ref="W277:W340" si="136">IF($K277&lt;=$U$15,SUM($P277,$S277),0)</f>
        <v>24425118.00766702</v>
      </c>
      <c r="X277" s="1110">
        <f t="shared" ref="X277:X340" si="137">IF($C277&lt;$L$11,$M$4,$P277)</f>
        <v>24607648.776034791</v>
      </c>
      <c r="Z277" s="1102">
        <f t="shared" si="128"/>
        <v>0</v>
      </c>
      <c r="AA277" s="873">
        <f t="shared" si="129"/>
        <v>0</v>
      </c>
      <c r="AB277" s="873">
        <f t="shared" si="130"/>
        <v>0</v>
      </c>
      <c r="AC277" s="885">
        <f t="shared" si="131"/>
        <v>-307277.87674628111</v>
      </c>
    </row>
    <row r="278" spans="2:29" s="278" customFormat="1" ht="12" customHeight="1" x14ac:dyDescent="0.25">
      <c r="B278" s="1108">
        <f>IF(C278&lt;'Financing Assumptions'!$G$25,0,IF(C278='Financing Assumptions'!$G$25,1,IF(C278&gt;'Financing Assumptions'!$G$25,B277+1)))</f>
        <v>259</v>
      </c>
      <c r="C278" s="1109">
        <f t="shared" ref="C278:C341" si="138">C277+1</f>
        <v>261</v>
      </c>
      <c r="D278" s="732">
        <f t="shared" si="123"/>
        <v>31</v>
      </c>
      <c r="E278" s="35">
        <f t="shared" si="124"/>
        <v>10</v>
      </c>
      <c r="F278" s="889">
        <f t="shared" si="120"/>
        <v>53996</v>
      </c>
      <c r="G278" s="822">
        <f t="shared" si="125"/>
        <v>10</v>
      </c>
      <c r="H278" s="126">
        <f t="shared" si="126"/>
        <v>0</v>
      </c>
      <c r="I278" s="1098">
        <f t="shared" si="121"/>
        <v>0</v>
      </c>
      <c r="J278" s="887">
        <f t="shared" ref="J278:J341" si="139">J277+1</f>
        <v>259</v>
      </c>
      <c r="K278" s="1099">
        <f t="shared" si="132"/>
        <v>233</v>
      </c>
      <c r="L278" s="891" t="str">
        <f t="shared" si="133"/>
        <v>October</v>
      </c>
      <c r="M278" s="888">
        <f t="shared" ref="M278:M341" si="140">IF($V$4="Annual",$M277+$I278,IF($V$4="Bi-Annual",$M277+$I277,IF($V$4="Monthly",$M277+$H277)))</f>
        <v>2047</v>
      </c>
      <c r="N278" s="1284">
        <f t="shared" si="122"/>
        <v>0</v>
      </c>
      <c r="O278" s="1284">
        <f t="shared" ref="O278:O341" si="141">IF($B278&lt;=$M$11,INDEX($AZ$26:$BM$63,MATCH($B278,$AZ$26:$AZ$63,0),MATCH($M$10,$AZ$26:$BM$26,0)),0)</f>
        <v>0</v>
      </c>
      <c r="P278" s="883">
        <f t="shared" ref="P278:P341" si="142">IF(AND($AU$43="Early Payoff",$J278&gt;$U$15),0,IF(AND($AU$43="Early Payoff",$J278&lt;$U$15),SUM(N278,$W277),IF(AND($AU$43="Full-Term",$J278&lt;$U$15),SUM(N278,$W277),IF($J278&gt;$U$8,0,$W277))))</f>
        <v>24425118.00766702</v>
      </c>
      <c r="Q278" s="883">
        <f t="shared" si="134"/>
        <v>-307277.87674628111</v>
      </c>
      <c r="R278" s="1100"/>
      <c r="S278" s="883">
        <f t="shared" si="127"/>
        <v>-183456.09795741359</v>
      </c>
      <c r="T278" s="884">
        <f t="shared" si="135"/>
        <v>-123821.77878886752</v>
      </c>
      <c r="U278" s="884">
        <f>IF(AND($AU$43="Early Payoff",J278&gt;$U$15),0,IF($J278&lt;=$U$8,SUM($S$20:$S278),0))</f>
        <v>-22243338.090290397</v>
      </c>
      <c r="V278" s="884">
        <f>IF(AND($AU$43="Early Payoff",J278&gt;$U$15),0,IF($J278&lt;=$U$8,SUM($T$20:$T278),0))</f>
        <v>-49250768.455014184</v>
      </c>
      <c r="W278" s="885">
        <f t="shared" si="136"/>
        <v>24241661.909709606</v>
      </c>
      <c r="X278" s="1110">
        <f t="shared" si="137"/>
        <v>24425118.00766702</v>
      </c>
      <c r="Z278" s="1102">
        <f t="shared" si="128"/>
        <v>0</v>
      </c>
      <c r="AA278" s="873">
        <f t="shared" si="129"/>
        <v>0</v>
      </c>
      <c r="AB278" s="873">
        <f t="shared" si="130"/>
        <v>0</v>
      </c>
      <c r="AC278" s="885">
        <f t="shared" si="131"/>
        <v>-307277.87674628111</v>
      </c>
    </row>
    <row r="279" spans="2:29" s="278" customFormat="1" ht="12" customHeight="1" x14ac:dyDescent="0.25">
      <c r="B279" s="1108">
        <f>IF(C279&lt;'Financing Assumptions'!$G$25,0,IF(C279='Financing Assumptions'!$G$25,1,IF(C279&gt;'Financing Assumptions'!$G$25,B278+1)))</f>
        <v>260</v>
      </c>
      <c r="C279" s="1109">
        <f t="shared" si="138"/>
        <v>262</v>
      </c>
      <c r="D279" s="732">
        <f t="shared" si="123"/>
        <v>30</v>
      </c>
      <c r="E279" s="35">
        <f t="shared" si="124"/>
        <v>11</v>
      </c>
      <c r="F279" s="889">
        <f t="shared" ref="F279:F342" si="143">DATE(M279,E279,D279)</f>
        <v>54026</v>
      </c>
      <c r="G279" s="822">
        <f t="shared" si="125"/>
        <v>11</v>
      </c>
      <c r="H279" s="126">
        <f t="shared" si="126"/>
        <v>0</v>
      </c>
      <c r="I279" s="1098">
        <f t="shared" ref="I279:I342" si="144">IF($V$4="Annual",1,IF(AND($V$4="Bi-Annual",$G279&gt;$G280),1,IF(AND($V$4="Bi-Annual",$G279&lt;$G280),0,IF($V$4="Monthly",0,))))</f>
        <v>0</v>
      </c>
      <c r="J279" s="887">
        <f t="shared" si="139"/>
        <v>260</v>
      </c>
      <c r="K279" s="1099">
        <f t="shared" si="132"/>
        <v>234</v>
      </c>
      <c r="L279" s="891" t="str">
        <f t="shared" si="133"/>
        <v>November</v>
      </c>
      <c r="M279" s="888">
        <f t="shared" si="140"/>
        <v>2047</v>
      </c>
      <c r="N279" s="1284">
        <f t="shared" si="122"/>
        <v>0</v>
      </c>
      <c r="O279" s="1284">
        <f t="shared" si="141"/>
        <v>0</v>
      </c>
      <c r="P279" s="883">
        <f t="shared" si="142"/>
        <v>24241661.909709606</v>
      </c>
      <c r="Q279" s="883">
        <f t="shared" si="134"/>
        <v>-307277.87674628111</v>
      </c>
      <c r="R279" s="1100"/>
      <c r="S279" s="883">
        <f t="shared" si="127"/>
        <v>-184386.11845400324</v>
      </c>
      <c r="T279" s="884">
        <f t="shared" si="135"/>
        <v>-122891.75829227785</v>
      </c>
      <c r="U279" s="884">
        <f>IF(AND($AU$43="Early Payoff",J279&gt;$U$15),0,IF($J279&lt;=$U$8,SUM($S$20:$S279),0))</f>
        <v>-22427724.208744399</v>
      </c>
      <c r="V279" s="884">
        <f>IF(AND($AU$43="Early Payoff",J279&gt;$U$15),0,IF($J279&lt;=$U$8,SUM($T$20:$T279),0))</f>
        <v>-49373660.213306464</v>
      </c>
      <c r="W279" s="885">
        <f t="shared" si="136"/>
        <v>24057275.791255604</v>
      </c>
      <c r="X279" s="1110">
        <f t="shared" si="137"/>
        <v>24241661.909709606</v>
      </c>
      <c r="Z279" s="1102">
        <f t="shared" si="128"/>
        <v>0</v>
      </c>
      <c r="AA279" s="873">
        <f t="shared" si="129"/>
        <v>0</v>
      </c>
      <c r="AB279" s="873">
        <f t="shared" si="130"/>
        <v>0</v>
      </c>
      <c r="AC279" s="885">
        <f t="shared" si="131"/>
        <v>-307277.87674628111</v>
      </c>
    </row>
    <row r="280" spans="2:29" s="278" customFormat="1" ht="12" customHeight="1" x14ac:dyDescent="0.25">
      <c r="B280" s="1108">
        <f>IF(C280&lt;'Financing Assumptions'!$G$25,0,IF(C280='Financing Assumptions'!$G$25,1,IF(C280&gt;'Financing Assumptions'!$G$25,B279+1)))</f>
        <v>261</v>
      </c>
      <c r="C280" s="1109">
        <f t="shared" si="138"/>
        <v>263</v>
      </c>
      <c r="D280" s="732">
        <f t="shared" si="123"/>
        <v>31</v>
      </c>
      <c r="E280" s="35">
        <f t="shared" si="124"/>
        <v>12</v>
      </c>
      <c r="F280" s="889">
        <f t="shared" si="143"/>
        <v>54057</v>
      </c>
      <c r="G280" s="822">
        <f t="shared" si="125"/>
        <v>12</v>
      </c>
      <c r="H280" s="126">
        <f t="shared" si="126"/>
        <v>1</v>
      </c>
      <c r="I280" s="1098">
        <f t="shared" si="144"/>
        <v>0</v>
      </c>
      <c r="J280" s="887">
        <f t="shared" si="139"/>
        <v>261</v>
      </c>
      <c r="K280" s="1099">
        <f t="shared" si="132"/>
        <v>235</v>
      </c>
      <c r="L280" s="891" t="str">
        <f t="shared" si="133"/>
        <v>December</v>
      </c>
      <c r="M280" s="888">
        <f t="shared" si="140"/>
        <v>2047</v>
      </c>
      <c r="N280" s="1284">
        <f t="shared" si="122"/>
        <v>0</v>
      </c>
      <c r="O280" s="1284">
        <f t="shared" si="141"/>
        <v>0</v>
      </c>
      <c r="P280" s="883">
        <f t="shared" si="142"/>
        <v>24057275.791255604</v>
      </c>
      <c r="Q280" s="883">
        <f t="shared" si="134"/>
        <v>-307277.87674628111</v>
      </c>
      <c r="R280" s="1100"/>
      <c r="S280" s="883">
        <f t="shared" si="127"/>
        <v>-185320.85363783257</v>
      </c>
      <c r="T280" s="884">
        <f t="shared" si="135"/>
        <v>-121957.02310844854</v>
      </c>
      <c r="U280" s="884">
        <f>IF(AND($AU$43="Early Payoff",J280&gt;$U$15),0,IF($J280&lt;=$U$8,SUM($S$20:$S280),0))</f>
        <v>-22613045.062382232</v>
      </c>
      <c r="V280" s="884">
        <f>IF(AND($AU$43="Early Payoff",J280&gt;$U$15),0,IF($J280&lt;=$U$8,SUM($T$20:$T280),0))</f>
        <v>-49495617.236414909</v>
      </c>
      <c r="W280" s="885">
        <f t="shared" si="136"/>
        <v>23871954.937617771</v>
      </c>
      <c r="X280" s="1110">
        <f t="shared" si="137"/>
        <v>24057275.791255604</v>
      </c>
      <c r="Z280" s="1102">
        <f t="shared" si="128"/>
        <v>0</v>
      </c>
      <c r="AA280" s="873">
        <f t="shared" si="129"/>
        <v>0</v>
      </c>
      <c r="AB280" s="873">
        <f t="shared" si="130"/>
        <v>0</v>
      </c>
      <c r="AC280" s="885">
        <f t="shared" si="131"/>
        <v>-307277.87674628111</v>
      </c>
    </row>
    <row r="281" spans="2:29" s="278" customFormat="1" ht="12" customHeight="1" x14ac:dyDescent="0.25">
      <c r="B281" s="1108">
        <f>IF(C281&lt;'Financing Assumptions'!$G$25,0,IF(C281='Financing Assumptions'!$G$25,1,IF(C281&gt;'Financing Assumptions'!$G$25,B280+1)))</f>
        <v>262</v>
      </c>
      <c r="C281" s="1109">
        <f t="shared" si="138"/>
        <v>264</v>
      </c>
      <c r="D281" s="732">
        <f t="shared" si="123"/>
        <v>31</v>
      </c>
      <c r="E281" s="35">
        <f t="shared" si="124"/>
        <v>1</v>
      </c>
      <c r="F281" s="889">
        <f t="shared" si="143"/>
        <v>54088</v>
      </c>
      <c r="G281" s="822">
        <f t="shared" si="125"/>
        <v>1</v>
      </c>
      <c r="H281" s="126">
        <f t="shared" si="126"/>
        <v>0</v>
      </c>
      <c r="I281" s="1098">
        <f t="shared" si="144"/>
        <v>0</v>
      </c>
      <c r="J281" s="887">
        <f t="shared" si="139"/>
        <v>262</v>
      </c>
      <c r="K281" s="1099">
        <f t="shared" si="132"/>
        <v>236</v>
      </c>
      <c r="L281" s="891" t="str">
        <f t="shared" si="133"/>
        <v>January</v>
      </c>
      <c r="M281" s="888">
        <f t="shared" si="140"/>
        <v>2048</v>
      </c>
      <c r="N281" s="1284">
        <f t="shared" si="122"/>
        <v>0</v>
      </c>
      <c r="O281" s="1284">
        <f t="shared" si="141"/>
        <v>0</v>
      </c>
      <c r="P281" s="883">
        <f t="shared" si="142"/>
        <v>23871954.937617771</v>
      </c>
      <c r="Q281" s="883">
        <f t="shared" si="134"/>
        <v>-307277.87674628111</v>
      </c>
      <c r="R281" s="1100"/>
      <c r="S281" s="883">
        <f t="shared" si="127"/>
        <v>-186260.32740974659</v>
      </c>
      <c r="T281" s="884">
        <f t="shared" si="135"/>
        <v>-121017.54933653453</v>
      </c>
      <c r="U281" s="884">
        <f>IF(AND($AU$43="Early Payoff",J281&gt;$U$15),0,IF($J281&lt;=$U$8,SUM($S$20:$S281),0))</f>
        <v>-22799305.38979198</v>
      </c>
      <c r="V281" s="884">
        <f>IF(AND($AU$43="Early Payoff",J281&gt;$U$15),0,IF($J281&lt;=$U$8,SUM($T$20:$T281),0))</f>
        <v>-49616634.785751447</v>
      </c>
      <c r="W281" s="885">
        <f t="shared" si="136"/>
        <v>23685694.610208023</v>
      </c>
      <c r="X281" s="1110">
        <f t="shared" si="137"/>
        <v>23871954.937617771</v>
      </c>
      <c r="Z281" s="1102">
        <f t="shared" si="128"/>
        <v>0</v>
      </c>
      <c r="AA281" s="873">
        <f t="shared" si="129"/>
        <v>0</v>
      </c>
      <c r="AB281" s="873">
        <f t="shared" si="130"/>
        <v>0</v>
      </c>
      <c r="AC281" s="885">
        <f t="shared" si="131"/>
        <v>-307277.87674628111</v>
      </c>
    </row>
    <row r="282" spans="2:29" s="278" customFormat="1" ht="12" customHeight="1" x14ac:dyDescent="0.25">
      <c r="B282" s="1108">
        <f>IF(C282&lt;'Financing Assumptions'!$G$25,0,IF(C282='Financing Assumptions'!$G$25,1,IF(C282&gt;'Financing Assumptions'!$G$25,B281+1)))</f>
        <v>263</v>
      </c>
      <c r="C282" s="1109">
        <f t="shared" si="138"/>
        <v>265</v>
      </c>
      <c r="D282" s="732">
        <f t="shared" si="123"/>
        <v>29</v>
      </c>
      <c r="E282" s="35">
        <f t="shared" si="124"/>
        <v>2</v>
      </c>
      <c r="F282" s="889">
        <f t="shared" si="143"/>
        <v>54117</v>
      </c>
      <c r="G282" s="822">
        <f t="shared" si="125"/>
        <v>2</v>
      </c>
      <c r="H282" s="126">
        <f t="shared" si="126"/>
        <v>0</v>
      </c>
      <c r="I282" s="1098">
        <f t="shared" si="144"/>
        <v>0</v>
      </c>
      <c r="J282" s="887">
        <f t="shared" si="139"/>
        <v>263</v>
      </c>
      <c r="K282" s="1099">
        <f t="shared" si="132"/>
        <v>237</v>
      </c>
      <c r="L282" s="891" t="str">
        <f t="shared" si="133"/>
        <v>February</v>
      </c>
      <c r="M282" s="888">
        <f t="shared" si="140"/>
        <v>2048</v>
      </c>
      <c r="N282" s="1284">
        <f t="shared" ref="N282:N345" si="145">IF(B282=0,0,IF($B282&lt;=$M$11,INDEX($AZ$26:$BM$63,MATCH($B282,$AZ$26:$AZ$63,0),MATCH($M$10,$AZ$27:$BM$27,0)),0))</f>
        <v>0</v>
      </c>
      <c r="O282" s="1284">
        <f t="shared" si="141"/>
        <v>0</v>
      </c>
      <c r="P282" s="883">
        <f t="shared" si="142"/>
        <v>23685694.610208023</v>
      </c>
      <c r="Q282" s="883">
        <f t="shared" si="134"/>
        <v>-307277.87674628111</v>
      </c>
      <c r="R282" s="1100"/>
      <c r="S282" s="883">
        <f t="shared" si="127"/>
        <v>-187204.56379175434</v>
      </c>
      <c r="T282" s="884">
        <f t="shared" si="135"/>
        <v>-120073.31295452677</v>
      </c>
      <c r="U282" s="884">
        <f>IF(AND($AU$43="Early Payoff",J282&gt;$U$15),0,IF($J282&lt;=$U$8,SUM($S$20:$S282),0))</f>
        <v>-22986509.953583736</v>
      </c>
      <c r="V282" s="884">
        <f>IF(AND($AU$43="Early Payoff",J282&gt;$U$15),0,IF($J282&lt;=$U$8,SUM($T$20:$T282),0))</f>
        <v>-49736708.098705977</v>
      </c>
      <c r="W282" s="885">
        <f t="shared" si="136"/>
        <v>23498490.046416268</v>
      </c>
      <c r="X282" s="1110">
        <f t="shared" si="137"/>
        <v>23685694.610208023</v>
      </c>
      <c r="Z282" s="1102">
        <f t="shared" si="128"/>
        <v>0</v>
      </c>
      <c r="AA282" s="873">
        <f t="shared" si="129"/>
        <v>0</v>
      </c>
      <c r="AB282" s="873">
        <f t="shared" si="130"/>
        <v>0</v>
      </c>
      <c r="AC282" s="885">
        <f t="shared" si="131"/>
        <v>-307277.87674628111</v>
      </c>
    </row>
    <row r="283" spans="2:29" s="278" customFormat="1" ht="12" customHeight="1" x14ac:dyDescent="0.25">
      <c r="B283" s="1108">
        <f>IF(C283&lt;'Financing Assumptions'!$G$25,0,IF(C283='Financing Assumptions'!$G$25,1,IF(C283&gt;'Financing Assumptions'!$G$25,B282+1)))</f>
        <v>264</v>
      </c>
      <c r="C283" s="1109">
        <f t="shared" si="138"/>
        <v>266</v>
      </c>
      <c r="D283" s="732">
        <f t="shared" si="123"/>
        <v>31</v>
      </c>
      <c r="E283" s="35">
        <f t="shared" si="124"/>
        <v>3</v>
      </c>
      <c r="F283" s="889">
        <f t="shared" si="143"/>
        <v>54148</v>
      </c>
      <c r="G283" s="822">
        <f t="shared" si="125"/>
        <v>3</v>
      </c>
      <c r="H283" s="126">
        <f t="shared" si="126"/>
        <v>0</v>
      </c>
      <c r="I283" s="1098">
        <f t="shared" si="144"/>
        <v>0</v>
      </c>
      <c r="J283" s="887">
        <f t="shared" si="139"/>
        <v>264</v>
      </c>
      <c r="K283" s="1099">
        <f t="shared" si="132"/>
        <v>238</v>
      </c>
      <c r="L283" s="891" t="str">
        <f t="shared" si="133"/>
        <v>March</v>
      </c>
      <c r="M283" s="888">
        <f t="shared" si="140"/>
        <v>2048</v>
      </c>
      <c r="N283" s="1284">
        <f t="shared" si="145"/>
        <v>0</v>
      </c>
      <c r="O283" s="1284">
        <f t="shared" si="141"/>
        <v>0</v>
      </c>
      <c r="P283" s="883">
        <f t="shared" si="142"/>
        <v>23498490.046416268</v>
      </c>
      <c r="Q283" s="883">
        <f t="shared" si="134"/>
        <v>-307277.87674628111</v>
      </c>
      <c r="R283" s="1100"/>
      <c r="S283" s="883">
        <f t="shared" si="127"/>
        <v>-188153.5869276431</v>
      </c>
      <c r="T283" s="884">
        <f t="shared" si="135"/>
        <v>-119124.28981863802</v>
      </c>
      <c r="U283" s="884">
        <f>IF(AND($AU$43="Early Payoff",J283&gt;$U$15),0,IF($J283&lt;=$U$8,SUM($S$20:$S283),0))</f>
        <v>-23174663.540511381</v>
      </c>
      <c r="V283" s="884">
        <f>IF(AND($AU$43="Early Payoff",J283&gt;$U$15),0,IF($J283&lt;=$U$8,SUM($T$20:$T283),0))</f>
        <v>-49855832.388524614</v>
      </c>
      <c r="W283" s="885">
        <f t="shared" si="136"/>
        <v>23310336.459488623</v>
      </c>
      <c r="X283" s="1110">
        <f t="shared" si="137"/>
        <v>23498490.046416268</v>
      </c>
      <c r="Z283" s="1102">
        <f t="shared" si="128"/>
        <v>0</v>
      </c>
      <c r="AA283" s="873">
        <f t="shared" si="129"/>
        <v>0</v>
      </c>
      <c r="AB283" s="873">
        <f t="shared" si="130"/>
        <v>0</v>
      </c>
      <c r="AC283" s="885">
        <f t="shared" si="131"/>
        <v>-307277.87674628111</v>
      </c>
    </row>
    <row r="284" spans="2:29" s="278" customFormat="1" ht="12" customHeight="1" x14ac:dyDescent="0.25">
      <c r="B284" s="1108">
        <f>IF(C284&lt;'Financing Assumptions'!$G$25,0,IF(C284='Financing Assumptions'!$G$25,1,IF(C284&gt;'Financing Assumptions'!$G$25,B283+1)))</f>
        <v>265</v>
      </c>
      <c r="C284" s="1109">
        <f t="shared" si="138"/>
        <v>267</v>
      </c>
      <c r="D284" s="732">
        <f t="shared" si="123"/>
        <v>30</v>
      </c>
      <c r="E284" s="35">
        <f t="shared" si="124"/>
        <v>4</v>
      </c>
      <c r="F284" s="889">
        <f t="shared" si="143"/>
        <v>54178</v>
      </c>
      <c r="G284" s="822">
        <f t="shared" si="125"/>
        <v>4</v>
      </c>
      <c r="H284" s="126">
        <f t="shared" si="126"/>
        <v>0</v>
      </c>
      <c r="I284" s="1098">
        <f t="shared" si="144"/>
        <v>0</v>
      </c>
      <c r="J284" s="887">
        <f t="shared" si="139"/>
        <v>265</v>
      </c>
      <c r="K284" s="1099">
        <f t="shared" si="132"/>
        <v>239</v>
      </c>
      <c r="L284" s="891" t="str">
        <f t="shared" si="133"/>
        <v>April</v>
      </c>
      <c r="M284" s="888">
        <f t="shared" si="140"/>
        <v>2048</v>
      </c>
      <c r="N284" s="1284">
        <f t="shared" si="145"/>
        <v>0</v>
      </c>
      <c r="O284" s="1284">
        <f t="shared" si="141"/>
        <v>0</v>
      </c>
      <c r="P284" s="883">
        <f t="shared" si="142"/>
        <v>23310336.459488623</v>
      </c>
      <c r="Q284" s="883">
        <f t="shared" si="134"/>
        <v>-307277.87674628111</v>
      </c>
      <c r="R284" s="1100"/>
      <c r="S284" s="883">
        <f t="shared" si="127"/>
        <v>-189107.42108359572</v>
      </c>
      <c r="T284" s="884">
        <f t="shared" si="135"/>
        <v>-118170.45566268537</v>
      </c>
      <c r="U284" s="884">
        <f>IF(AND($AU$43="Early Payoff",J284&gt;$U$15),0,IF($J284&lt;=$U$8,SUM($S$20:$S284),0))</f>
        <v>-23363770.961594976</v>
      </c>
      <c r="V284" s="884">
        <f>IF(AND($AU$43="Early Payoff",J284&gt;$U$15),0,IF($J284&lt;=$U$8,SUM($T$20:$T284),0))</f>
        <v>-49974002.844187297</v>
      </c>
      <c r="W284" s="885">
        <f t="shared" si="136"/>
        <v>23121229.038405027</v>
      </c>
      <c r="X284" s="1110">
        <f t="shared" si="137"/>
        <v>23310336.459488623</v>
      </c>
      <c r="Z284" s="1102">
        <f t="shared" si="128"/>
        <v>0</v>
      </c>
      <c r="AA284" s="873">
        <f t="shared" si="129"/>
        <v>0</v>
      </c>
      <c r="AB284" s="873">
        <f t="shared" si="130"/>
        <v>0</v>
      </c>
      <c r="AC284" s="885">
        <f t="shared" si="131"/>
        <v>-307277.87674628111</v>
      </c>
    </row>
    <row r="285" spans="2:29" s="278" customFormat="1" ht="12" customHeight="1" x14ac:dyDescent="0.25">
      <c r="B285" s="1108">
        <f>IF(C285&lt;'Financing Assumptions'!$G$25,0,IF(C285='Financing Assumptions'!$G$25,1,IF(C285&gt;'Financing Assumptions'!$G$25,B284+1)))</f>
        <v>266</v>
      </c>
      <c r="C285" s="1109">
        <f t="shared" si="138"/>
        <v>268</v>
      </c>
      <c r="D285" s="732">
        <f t="shared" si="123"/>
        <v>31</v>
      </c>
      <c r="E285" s="35">
        <f t="shared" si="124"/>
        <v>5</v>
      </c>
      <c r="F285" s="889">
        <f t="shared" si="143"/>
        <v>54209</v>
      </c>
      <c r="G285" s="822">
        <f t="shared" si="125"/>
        <v>5</v>
      </c>
      <c r="H285" s="126">
        <f t="shared" si="126"/>
        <v>0</v>
      </c>
      <c r="I285" s="1098">
        <f t="shared" si="144"/>
        <v>0</v>
      </c>
      <c r="J285" s="887">
        <f t="shared" si="139"/>
        <v>266</v>
      </c>
      <c r="K285" s="1099">
        <f t="shared" si="132"/>
        <v>240</v>
      </c>
      <c r="L285" s="891" t="str">
        <f t="shared" si="133"/>
        <v>May</v>
      </c>
      <c r="M285" s="888">
        <f t="shared" si="140"/>
        <v>2048</v>
      </c>
      <c r="N285" s="1284">
        <f t="shared" si="145"/>
        <v>0</v>
      </c>
      <c r="O285" s="1284">
        <f t="shared" si="141"/>
        <v>0</v>
      </c>
      <c r="P285" s="883">
        <f t="shared" si="142"/>
        <v>23121229.038405027</v>
      </c>
      <c r="Q285" s="883">
        <f t="shared" si="134"/>
        <v>-307277.87674628111</v>
      </c>
      <c r="R285" s="1100"/>
      <c r="S285" s="883">
        <f t="shared" si="127"/>
        <v>-190066.09064881119</v>
      </c>
      <c r="T285" s="884">
        <f t="shared" si="135"/>
        <v>-117211.78609746993</v>
      </c>
      <c r="U285" s="884">
        <f>IF(AND($AU$43="Early Payoff",J285&gt;$U$15),0,IF($J285&lt;=$U$8,SUM($S$20:$S285),0))</f>
        <v>-23553837.052243788</v>
      </c>
      <c r="V285" s="884">
        <f>IF(AND($AU$43="Early Payoff",J285&gt;$U$15),0,IF($J285&lt;=$U$8,SUM($T$20:$T285),0))</f>
        <v>-50091214.630284764</v>
      </c>
      <c r="W285" s="885">
        <f t="shared" si="136"/>
        <v>22931162.947756216</v>
      </c>
      <c r="X285" s="1110">
        <f t="shared" si="137"/>
        <v>23121229.038405027</v>
      </c>
      <c r="Z285" s="1102">
        <f t="shared" si="128"/>
        <v>0</v>
      </c>
      <c r="AA285" s="873">
        <f t="shared" si="129"/>
        <v>0</v>
      </c>
      <c r="AB285" s="873">
        <f t="shared" si="130"/>
        <v>0</v>
      </c>
      <c r="AC285" s="885">
        <f t="shared" si="131"/>
        <v>-307277.87674628111</v>
      </c>
    </row>
    <row r="286" spans="2:29" s="278" customFormat="1" ht="12" customHeight="1" x14ac:dyDescent="0.25">
      <c r="B286" s="1108">
        <f>IF(C286&lt;'Financing Assumptions'!$G$25,0,IF(C286='Financing Assumptions'!$G$25,1,IF(C286&gt;'Financing Assumptions'!$G$25,B285+1)))</f>
        <v>267</v>
      </c>
      <c r="C286" s="1109">
        <f t="shared" si="138"/>
        <v>269</v>
      </c>
      <c r="D286" s="732">
        <f t="shared" si="123"/>
        <v>30</v>
      </c>
      <c r="E286" s="35">
        <f t="shared" si="124"/>
        <v>6</v>
      </c>
      <c r="F286" s="889">
        <f t="shared" si="143"/>
        <v>54239</v>
      </c>
      <c r="G286" s="822">
        <f t="shared" si="125"/>
        <v>6</v>
      </c>
      <c r="H286" s="126">
        <f t="shared" si="126"/>
        <v>0</v>
      </c>
      <c r="I286" s="1098">
        <f t="shared" si="144"/>
        <v>0</v>
      </c>
      <c r="J286" s="887">
        <f t="shared" si="139"/>
        <v>267</v>
      </c>
      <c r="K286" s="1099">
        <f t="shared" si="132"/>
        <v>241</v>
      </c>
      <c r="L286" s="891" t="str">
        <f t="shared" si="133"/>
        <v>June</v>
      </c>
      <c r="M286" s="888">
        <f t="shared" si="140"/>
        <v>2048</v>
      </c>
      <c r="N286" s="1284">
        <f t="shared" si="145"/>
        <v>0</v>
      </c>
      <c r="O286" s="1284">
        <f t="shared" si="141"/>
        <v>0</v>
      </c>
      <c r="P286" s="883">
        <f t="shared" si="142"/>
        <v>22931162.947756216</v>
      </c>
      <c r="Q286" s="883">
        <f t="shared" si="134"/>
        <v>-307277.87674628111</v>
      </c>
      <c r="R286" s="1100"/>
      <c r="S286" s="883">
        <f t="shared" si="127"/>
        <v>-191029.6201361281</v>
      </c>
      <c r="T286" s="884">
        <f t="shared" si="135"/>
        <v>-116248.25661015302</v>
      </c>
      <c r="U286" s="884">
        <f>IF(AND($AU$43="Early Payoff",J286&gt;$U$15),0,IF($J286&lt;=$U$8,SUM($S$20:$S286),0))</f>
        <v>-23744866.672379915</v>
      </c>
      <c r="V286" s="884">
        <f>IF(AND($AU$43="Early Payoff",J286&gt;$U$15),0,IF($J286&lt;=$U$8,SUM($T$20:$T286),0))</f>
        <v>-50207462.886894919</v>
      </c>
      <c r="W286" s="885">
        <f t="shared" si="136"/>
        <v>22740133.327620089</v>
      </c>
      <c r="X286" s="1110">
        <f t="shared" si="137"/>
        <v>22931162.947756216</v>
      </c>
      <c r="Z286" s="1102">
        <f t="shared" si="128"/>
        <v>0</v>
      </c>
      <c r="AA286" s="873">
        <f t="shared" si="129"/>
        <v>0</v>
      </c>
      <c r="AB286" s="873">
        <f t="shared" si="130"/>
        <v>0</v>
      </c>
      <c r="AC286" s="885">
        <f t="shared" si="131"/>
        <v>-307277.87674628111</v>
      </c>
    </row>
    <row r="287" spans="2:29" s="278" customFormat="1" ht="12" customHeight="1" x14ac:dyDescent="0.25">
      <c r="B287" s="1108">
        <f>IF(C287&lt;'Financing Assumptions'!$G$25,0,IF(C287='Financing Assumptions'!$G$25,1,IF(C287&gt;'Financing Assumptions'!$G$25,B286+1)))</f>
        <v>268</v>
      </c>
      <c r="C287" s="1109">
        <f t="shared" si="138"/>
        <v>270</v>
      </c>
      <c r="D287" s="732">
        <f t="shared" si="123"/>
        <v>31</v>
      </c>
      <c r="E287" s="35">
        <f t="shared" si="124"/>
        <v>7</v>
      </c>
      <c r="F287" s="889">
        <f t="shared" si="143"/>
        <v>54270</v>
      </c>
      <c r="G287" s="822">
        <f t="shared" si="125"/>
        <v>7</v>
      </c>
      <c r="H287" s="126">
        <f t="shared" si="126"/>
        <v>0</v>
      </c>
      <c r="I287" s="1098">
        <f t="shared" si="144"/>
        <v>0</v>
      </c>
      <c r="J287" s="887">
        <f t="shared" si="139"/>
        <v>268</v>
      </c>
      <c r="K287" s="1099">
        <f t="shared" si="132"/>
        <v>242</v>
      </c>
      <c r="L287" s="891" t="str">
        <f t="shared" si="133"/>
        <v>July</v>
      </c>
      <c r="M287" s="888">
        <f t="shared" si="140"/>
        <v>2048</v>
      </c>
      <c r="N287" s="1284">
        <f t="shared" si="145"/>
        <v>0</v>
      </c>
      <c r="O287" s="1284">
        <f t="shared" si="141"/>
        <v>0</v>
      </c>
      <c r="P287" s="883">
        <f t="shared" si="142"/>
        <v>22740133.327620089</v>
      </c>
      <c r="Q287" s="883">
        <f t="shared" si="134"/>
        <v>-307277.87674628111</v>
      </c>
      <c r="R287" s="1100"/>
      <c r="S287" s="883">
        <f t="shared" si="127"/>
        <v>-191998.03418265149</v>
      </c>
      <c r="T287" s="884">
        <f t="shared" si="135"/>
        <v>-115279.84256362962</v>
      </c>
      <c r="U287" s="884">
        <f>IF(AND($AU$43="Early Payoff",J287&gt;$U$15),0,IF($J287&lt;=$U$8,SUM($S$20:$S287),0))</f>
        <v>-23936864.706562568</v>
      </c>
      <c r="V287" s="884">
        <f>IF(AND($AU$43="Early Payoff",J287&gt;$U$15),0,IF($J287&lt;=$U$8,SUM($T$20:$T287),0))</f>
        <v>-50322742.729458548</v>
      </c>
      <c r="W287" s="885">
        <f t="shared" si="136"/>
        <v>22548135.293437436</v>
      </c>
      <c r="X287" s="1110">
        <f t="shared" si="137"/>
        <v>22740133.327620089</v>
      </c>
      <c r="Z287" s="1102">
        <f t="shared" si="128"/>
        <v>0</v>
      </c>
      <c r="AA287" s="873">
        <f t="shared" si="129"/>
        <v>0</v>
      </c>
      <c r="AB287" s="873">
        <f t="shared" si="130"/>
        <v>0</v>
      </c>
      <c r="AC287" s="885">
        <f t="shared" si="131"/>
        <v>-307277.87674628111</v>
      </c>
    </row>
    <row r="288" spans="2:29" s="278" customFormat="1" ht="12" customHeight="1" x14ac:dyDescent="0.25">
      <c r="B288" s="1108">
        <f>IF(C288&lt;'Financing Assumptions'!$G$25,0,IF(C288='Financing Assumptions'!$G$25,1,IF(C288&gt;'Financing Assumptions'!$G$25,B287+1)))</f>
        <v>269</v>
      </c>
      <c r="C288" s="1109">
        <f t="shared" si="138"/>
        <v>271</v>
      </c>
      <c r="D288" s="732">
        <f t="shared" si="123"/>
        <v>31</v>
      </c>
      <c r="E288" s="35">
        <f t="shared" si="124"/>
        <v>8</v>
      </c>
      <c r="F288" s="889">
        <f t="shared" si="143"/>
        <v>54301</v>
      </c>
      <c r="G288" s="822">
        <f t="shared" si="125"/>
        <v>8</v>
      </c>
      <c r="H288" s="126">
        <f t="shared" si="126"/>
        <v>0</v>
      </c>
      <c r="I288" s="1098">
        <f t="shared" si="144"/>
        <v>0</v>
      </c>
      <c r="J288" s="887">
        <f t="shared" si="139"/>
        <v>269</v>
      </c>
      <c r="K288" s="1099">
        <f t="shared" si="132"/>
        <v>243</v>
      </c>
      <c r="L288" s="891" t="str">
        <f t="shared" si="133"/>
        <v>August</v>
      </c>
      <c r="M288" s="888">
        <f t="shared" si="140"/>
        <v>2048</v>
      </c>
      <c r="N288" s="1284">
        <f t="shared" si="145"/>
        <v>0</v>
      </c>
      <c r="O288" s="1284">
        <f t="shared" si="141"/>
        <v>0</v>
      </c>
      <c r="P288" s="883">
        <f t="shared" si="142"/>
        <v>22548135.293437436</v>
      </c>
      <c r="Q288" s="883">
        <f t="shared" si="134"/>
        <v>-307277.87674628111</v>
      </c>
      <c r="R288" s="1100"/>
      <c r="S288" s="883">
        <f t="shared" si="127"/>
        <v>-192971.35755038302</v>
      </c>
      <c r="T288" s="884">
        <f t="shared" si="135"/>
        <v>-114306.5191958981</v>
      </c>
      <c r="U288" s="884">
        <f>IF(AND($AU$43="Early Payoff",J288&gt;$U$15),0,IF($J288&lt;=$U$8,SUM($S$20:$S288),0))</f>
        <v>-24129836.06411295</v>
      </c>
      <c r="V288" s="884">
        <f>IF(AND($AU$43="Early Payoff",J288&gt;$U$15),0,IF($J288&lt;=$U$8,SUM($T$20:$T288),0))</f>
        <v>-50437049.248654447</v>
      </c>
      <c r="W288" s="885">
        <f t="shared" si="136"/>
        <v>22355163.935887054</v>
      </c>
      <c r="X288" s="1110">
        <f t="shared" si="137"/>
        <v>22548135.293437436</v>
      </c>
      <c r="Z288" s="1102">
        <f t="shared" si="128"/>
        <v>0</v>
      </c>
      <c r="AA288" s="873">
        <f t="shared" si="129"/>
        <v>0</v>
      </c>
      <c r="AB288" s="873">
        <f t="shared" si="130"/>
        <v>0</v>
      </c>
      <c r="AC288" s="885">
        <f t="shared" si="131"/>
        <v>-307277.87674628111</v>
      </c>
    </row>
    <row r="289" spans="2:29" s="278" customFormat="1" ht="12" customHeight="1" x14ac:dyDescent="0.25">
      <c r="B289" s="1108">
        <f>IF(C289&lt;'Financing Assumptions'!$G$25,0,IF(C289='Financing Assumptions'!$G$25,1,IF(C289&gt;'Financing Assumptions'!$G$25,B288+1)))</f>
        <v>270</v>
      </c>
      <c r="C289" s="1109">
        <f t="shared" si="138"/>
        <v>272</v>
      </c>
      <c r="D289" s="732">
        <f t="shared" si="123"/>
        <v>30</v>
      </c>
      <c r="E289" s="35">
        <f t="shared" si="124"/>
        <v>9</v>
      </c>
      <c r="F289" s="889">
        <f t="shared" si="143"/>
        <v>54331</v>
      </c>
      <c r="G289" s="822">
        <f t="shared" si="125"/>
        <v>9</v>
      </c>
      <c r="H289" s="126">
        <f t="shared" si="126"/>
        <v>0</v>
      </c>
      <c r="I289" s="1098">
        <f t="shared" si="144"/>
        <v>0</v>
      </c>
      <c r="J289" s="887">
        <f t="shared" si="139"/>
        <v>270</v>
      </c>
      <c r="K289" s="1099">
        <f t="shared" si="132"/>
        <v>244</v>
      </c>
      <c r="L289" s="891" t="str">
        <f t="shared" si="133"/>
        <v>September</v>
      </c>
      <c r="M289" s="888">
        <f t="shared" si="140"/>
        <v>2048</v>
      </c>
      <c r="N289" s="1284">
        <f t="shared" si="145"/>
        <v>0</v>
      </c>
      <c r="O289" s="1284">
        <f t="shared" si="141"/>
        <v>0</v>
      </c>
      <c r="P289" s="883">
        <f t="shared" si="142"/>
        <v>22355163.935887054</v>
      </c>
      <c r="Q289" s="883">
        <f t="shared" si="134"/>
        <v>-307277.87674628111</v>
      </c>
      <c r="R289" s="1100"/>
      <c r="S289" s="883">
        <f t="shared" si="127"/>
        <v>-193949.61512685369</v>
      </c>
      <c r="T289" s="884">
        <f t="shared" si="135"/>
        <v>-113328.26161942742</v>
      </c>
      <c r="U289" s="884">
        <f>IF(AND($AU$43="Early Payoff",J289&gt;$U$15),0,IF($J289&lt;=$U$8,SUM($S$20:$S289),0))</f>
        <v>-24323785.679239802</v>
      </c>
      <c r="V289" s="884">
        <f>IF(AND($AU$43="Early Payoff",J289&gt;$U$15),0,IF($J289&lt;=$U$8,SUM($T$20:$T289),0))</f>
        <v>-50550377.510273874</v>
      </c>
      <c r="W289" s="885">
        <f t="shared" si="136"/>
        <v>22161214.320760202</v>
      </c>
      <c r="X289" s="1110">
        <f t="shared" si="137"/>
        <v>22355163.935887054</v>
      </c>
      <c r="Z289" s="1102">
        <f t="shared" si="128"/>
        <v>0</v>
      </c>
      <c r="AA289" s="873">
        <f t="shared" si="129"/>
        <v>0</v>
      </c>
      <c r="AB289" s="873">
        <f t="shared" si="130"/>
        <v>0</v>
      </c>
      <c r="AC289" s="885">
        <f t="shared" si="131"/>
        <v>-307277.87674628111</v>
      </c>
    </row>
    <row r="290" spans="2:29" s="278" customFormat="1" ht="12" customHeight="1" x14ac:dyDescent="0.25">
      <c r="B290" s="1108">
        <f>IF(C290&lt;'Financing Assumptions'!$G$25,0,IF(C290='Financing Assumptions'!$G$25,1,IF(C290&gt;'Financing Assumptions'!$G$25,B289+1)))</f>
        <v>271</v>
      </c>
      <c r="C290" s="1109">
        <f t="shared" si="138"/>
        <v>273</v>
      </c>
      <c r="D290" s="732">
        <f t="shared" si="123"/>
        <v>31</v>
      </c>
      <c r="E290" s="35">
        <f t="shared" si="124"/>
        <v>10</v>
      </c>
      <c r="F290" s="889">
        <f t="shared" si="143"/>
        <v>54362</v>
      </c>
      <c r="G290" s="822">
        <f t="shared" si="125"/>
        <v>10</v>
      </c>
      <c r="H290" s="126">
        <f t="shared" si="126"/>
        <v>0</v>
      </c>
      <c r="I290" s="1098">
        <f t="shared" si="144"/>
        <v>0</v>
      </c>
      <c r="J290" s="887">
        <f t="shared" si="139"/>
        <v>271</v>
      </c>
      <c r="K290" s="1099">
        <f t="shared" si="132"/>
        <v>245</v>
      </c>
      <c r="L290" s="891" t="str">
        <f t="shared" si="133"/>
        <v>October</v>
      </c>
      <c r="M290" s="888">
        <f t="shared" si="140"/>
        <v>2048</v>
      </c>
      <c r="N290" s="1284">
        <f t="shared" si="145"/>
        <v>0</v>
      </c>
      <c r="O290" s="1284">
        <f t="shared" si="141"/>
        <v>0</v>
      </c>
      <c r="P290" s="883">
        <f t="shared" si="142"/>
        <v>22161214.320760202</v>
      </c>
      <c r="Q290" s="883">
        <f t="shared" si="134"/>
        <v>-307277.87674628111</v>
      </c>
      <c r="R290" s="1100"/>
      <c r="S290" s="883">
        <f t="shared" si="127"/>
        <v>-194932.83192576066</v>
      </c>
      <c r="T290" s="884">
        <f t="shared" si="135"/>
        <v>-112345.04482052046</v>
      </c>
      <c r="U290" s="884">
        <f>IF(AND($AU$43="Early Payoff",J290&gt;$U$15),0,IF($J290&lt;=$U$8,SUM($S$20:$S290),0))</f>
        <v>-24518718.511165563</v>
      </c>
      <c r="V290" s="884">
        <f>IF(AND($AU$43="Early Payoff",J290&gt;$U$15),0,IF($J290&lt;=$U$8,SUM($T$20:$T290),0))</f>
        <v>-50662722.555094391</v>
      </c>
      <c r="W290" s="885">
        <f t="shared" si="136"/>
        <v>21966281.488834441</v>
      </c>
      <c r="X290" s="1110">
        <f t="shared" si="137"/>
        <v>22161214.320760202</v>
      </c>
      <c r="Z290" s="1102">
        <f t="shared" si="128"/>
        <v>0</v>
      </c>
      <c r="AA290" s="873">
        <f t="shared" si="129"/>
        <v>0</v>
      </c>
      <c r="AB290" s="873">
        <f t="shared" si="130"/>
        <v>0</v>
      </c>
      <c r="AC290" s="885">
        <f t="shared" si="131"/>
        <v>-307277.87674628111</v>
      </c>
    </row>
    <row r="291" spans="2:29" s="278" customFormat="1" ht="12" customHeight="1" x14ac:dyDescent="0.25">
      <c r="B291" s="1108">
        <f>IF(C291&lt;'Financing Assumptions'!$G$25,0,IF(C291='Financing Assumptions'!$G$25,1,IF(C291&gt;'Financing Assumptions'!$G$25,B290+1)))</f>
        <v>272</v>
      </c>
      <c r="C291" s="1109">
        <f t="shared" si="138"/>
        <v>274</v>
      </c>
      <c r="D291" s="732">
        <f t="shared" si="123"/>
        <v>30</v>
      </c>
      <c r="E291" s="35">
        <f t="shared" si="124"/>
        <v>11</v>
      </c>
      <c r="F291" s="889">
        <f t="shared" si="143"/>
        <v>54392</v>
      </c>
      <c r="G291" s="822">
        <f t="shared" si="125"/>
        <v>11</v>
      </c>
      <c r="H291" s="126">
        <f t="shared" si="126"/>
        <v>0</v>
      </c>
      <c r="I291" s="1098">
        <f t="shared" si="144"/>
        <v>0</v>
      </c>
      <c r="J291" s="887">
        <f t="shared" si="139"/>
        <v>272</v>
      </c>
      <c r="K291" s="1099">
        <f t="shared" si="132"/>
        <v>246</v>
      </c>
      <c r="L291" s="891" t="str">
        <f t="shared" si="133"/>
        <v>November</v>
      </c>
      <c r="M291" s="888">
        <f t="shared" si="140"/>
        <v>2048</v>
      </c>
      <c r="N291" s="1284">
        <f t="shared" si="145"/>
        <v>0</v>
      </c>
      <c r="O291" s="1284">
        <f t="shared" si="141"/>
        <v>0</v>
      </c>
      <c r="P291" s="883">
        <f t="shared" si="142"/>
        <v>21966281.488834441</v>
      </c>
      <c r="Q291" s="883">
        <f t="shared" si="134"/>
        <v>-307277.87674628111</v>
      </c>
      <c r="R291" s="1100"/>
      <c r="S291" s="883">
        <f t="shared" si="127"/>
        <v>-195921.03308760654</v>
      </c>
      <c r="T291" s="884">
        <f t="shared" si="135"/>
        <v>-111356.84365867458</v>
      </c>
      <c r="U291" s="884">
        <f>IF(AND($AU$43="Early Payoff",J291&gt;$U$15),0,IF($J291&lt;=$U$8,SUM($S$20:$S291),0))</f>
        <v>-24714639.54425317</v>
      </c>
      <c r="V291" s="884">
        <f>IF(AND($AU$43="Early Payoff",J291&gt;$U$15),0,IF($J291&lt;=$U$8,SUM($T$20:$T291),0))</f>
        <v>-50774079.398753069</v>
      </c>
      <c r="W291" s="885">
        <f t="shared" si="136"/>
        <v>21770360.455746833</v>
      </c>
      <c r="X291" s="1110">
        <f t="shared" si="137"/>
        <v>21966281.488834441</v>
      </c>
      <c r="Z291" s="1102">
        <f t="shared" si="128"/>
        <v>0</v>
      </c>
      <c r="AA291" s="873">
        <f t="shared" si="129"/>
        <v>0</v>
      </c>
      <c r="AB291" s="873">
        <f t="shared" si="130"/>
        <v>0</v>
      </c>
      <c r="AC291" s="885">
        <f t="shared" si="131"/>
        <v>-307277.87674628111</v>
      </c>
    </row>
    <row r="292" spans="2:29" s="278" customFormat="1" ht="12" customHeight="1" x14ac:dyDescent="0.25">
      <c r="B292" s="1108">
        <f>IF(C292&lt;'Financing Assumptions'!$G$25,0,IF(C292='Financing Assumptions'!$G$25,1,IF(C292&gt;'Financing Assumptions'!$G$25,B291+1)))</f>
        <v>273</v>
      </c>
      <c r="C292" s="1109">
        <f t="shared" si="138"/>
        <v>275</v>
      </c>
      <c r="D292" s="732">
        <f t="shared" si="123"/>
        <v>31</v>
      </c>
      <c r="E292" s="35">
        <f t="shared" si="124"/>
        <v>12</v>
      </c>
      <c r="F292" s="889">
        <f t="shared" si="143"/>
        <v>54423</v>
      </c>
      <c r="G292" s="822">
        <f t="shared" si="125"/>
        <v>12</v>
      </c>
      <c r="H292" s="126">
        <f t="shared" si="126"/>
        <v>1</v>
      </c>
      <c r="I292" s="1098">
        <f t="shared" si="144"/>
        <v>0</v>
      </c>
      <c r="J292" s="887">
        <f t="shared" si="139"/>
        <v>273</v>
      </c>
      <c r="K292" s="1099">
        <f t="shared" si="132"/>
        <v>247</v>
      </c>
      <c r="L292" s="891" t="str">
        <f t="shared" si="133"/>
        <v>December</v>
      </c>
      <c r="M292" s="888">
        <f t="shared" si="140"/>
        <v>2048</v>
      </c>
      <c r="N292" s="1284">
        <f t="shared" si="145"/>
        <v>0</v>
      </c>
      <c r="O292" s="1284">
        <f t="shared" si="141"/>
        <v>0</v>
      </c>
      <c r="P292" s="883">
        <f t="shared" si="142"/>
        <v>21770360.455746833</v>
      </c>
      <c r="Q292" s="883">
        <f t="shared" si="134"/>
        <v>-307277.87674628111</v>
      </c>
      <c r="R292" s="1100"/>
      <c r="S292" s="883">
        <f t="shared" si="127"/>
        <v>-196914.24388034231</v>
      </c>
      <c r="T292" s="884">
        <f t="shared" si="135"/>
        <v>-110363.63286593879</v>
      </c>
      <c r="U292" s="884">
        <f>IF(AND($AU$43="Early Payoff",J292&gt;$U$15),0,IF($J292&lt;=$U$8,SUM($S$20:$S292),0))</f>
        <v>-24911553.788133513</v>
      </c>
      <c r="V292" s="884">
        <f>IF(AND($AU$43="Early Payoff",J292&gt;$U$15),0,IF($J292&lt;=$U$8,SUM($T$20:$T292),0))</f>
        <v>-50884443.031619005</v>
      </c>
      <c r="W292" s="885">
        <f t="shared" si="136"/>
        <v>21573446.211866491</v>
      </c>
      <c r="X292" s="1110">
        <f t="shared" si="137"/>
        <v>21770360.455746833</v>
      </c>
      <c r="Z292" s="1102">
        <f t="shared" si="128"/>
        <v>0</v>
      </c>
      <c r="AA292" s="873">
        <f t="shared" si="129"/>
        <v>0</v>
      </c>
      <c r="AB292" s="873">
        <f t="shared" si="130"/>
        <v>0</v>
      </c>
      <c r="AC292" s="885">
        <f t="shared" si="131"/>
        <v>-307277.87674628111</v>
      </c>
    </row>
    <row r="293" spans="2:29" s="278" customFormat="1" ht="12" customHeight="1" x14ac:dyDescent="0.25">
      <c r="B293" s="1108">
        <f>IF(C293&lt;'Financing Assumptions'!$G$25,0,IF(C293='Financing Assumptions'!$G$25,1,IF(C293&gt;'Financing Assumptions'!$G$25,B292+1)))</f>
        <v>274</v>
      </c>
      <c r="C293" s="1109">
        <f t="shared" si="138"/>
        <v>276</v>
      </c>
      <c r="D293" s="732">
        <f t="shared" si="123"/>
        <v>31</v>
      </c>
      <c r="E293" s="35">
        <f t="shared" si="124"/>
        <v>1</v>
      </c>
      <c r="F293" s="889">
        <f t="shared" si="143"/>
        <v>54454</v>
      </c>
      <c r="G293" s="822">
        <f t="shared" si="125"/>
        <v>1</v>
      </c>
      <c r="H293" s="126">
        <f t="shared" si="126"/>
        <v>0</v>
      </c>
      <c r="I293" s="1098">
        <f t="shared" si="144"/>
        <v>0</v>
      </c>
      <c r="J293" s="887">
        <f t="shared" si="139"/>
        <v>274</v>
      </c>
      <c r="K293" s="1099">
        <f t="shared" si="132"/>
        <v>248</v>
      </c>
      <c r="L293" s="891" t="str">
        <f t="shared" si="133"/>
        <v>January</v>
      </c>
      <c r="M293" s="888">
        <f t="shared" si="140"/>
        <v>2049</v>
      </c>
      <c r="N293" s="1284">
        <f t="shared" si="145"/>
        <v>0</v>
      </c>
      <c r="O293" s="1284">
        <f t="shared" si="141"/>
        <v>0</v>
      </c>
      <c r="P293" s="883">
        <f t="shared" si="142"/>
        <v>21573446.211866491</v>
      </c>
      <c r="Q293" s="883">
        <f t="shared" si="134"/>
        <v>-307277.87674628111</v>
      </c>
      <c r="R293" s="1100"/>
      <c r="S293" s="883">
        <f t="shared" si="127"/>
        <v>-197912.48970001348</v>
      </c>
      <c r="T293" s="884">
        <f t="shared" si="135"/>
        <v>-109365.38704626761</v>
      </c>
      <c r="U293" s="884">
        <f>IF(AND($AU$43="Early Payoff",J293&gt;$U$15),0,IF($J293&lt;=$U$8,SUM($S$20:$S293),0))</f>
        <v>-25109466.277833525</v>
      </c>
      <c r="V293" s="884">
        <f>IF(AND($AU$43="Early Payoff",J293&gt;$U$15),0,IF($J293&lt;=$U$8,SUM($T$20:$T293),0))</f>
        <v>-50993808.418665275</v>
      </c>
      <c r="W293" s="885">
        <f t="shared" si="136"/>
        <v>21375533.722166479</v>
      </c>
      <c r="X293" s="1110">
        <f t="shared" si="137"/>
        <v>21573446.211866491</v>
      </c>
      <c r="Z293" s="1102">
        <f t="shared" si="128"/>
        <v>0</v>
      </c>
      <c r="AA293" s="873">
        <f t="shared" si="129"/>
        <v>0</v>
      </c>
      <c r="AB293" s="873">
        <f t="shared" si="130"/>
        <v>0</v>
      </c>
      <c r="AC293" s="885">
        <f t="shared" si="131"/>
        <v>-307277.87674628111</v>
      </c>
    </row>
    <row r="294" spans="2:29" s="278" customFormat="1" ht="12" customHeight="1" x14ac:dyDescent="0.25">
      <c r="B294" s="1108">
        <f>IF(C294&lt;'Financing Assumptions'!$G$25,0,IF(C294='Financing Assumptions'!$G$25,1,IF(C294&gt;'Financing Assumptions'!$G$25,B293+1)))</f>
        <v>275</v>
      </c>
      <c r="C294" s="1109">
        <f t="shared" si="138"/>
        <v>277</v>
      </c>
      <c r="D294" s="732">
        <f t="shared" si="123"/>
        <v>28</v>
      </c>
      <c r="E294" s="35">
        <f t="shared" si="124"/>
        <v>2</v>
      </c>
      <c r="F294" s="889">
        <f t="shared" si="143"/>
        <v>54482</v>
      </c>
      <c r="G294" s="822">
        <f t="shared" si="125"/>
        <v>2</v>
      </c>
      <c r="H294" s="126">
        <f t="shared" si="126"/>
        <v>0</v>
      </c>
      <c r="I294" s="1098">
        <f t="shared" si="144"/>
        <v>0</v>
      </c>
      <c r="J294" s="887">
        <f t="shared" si="139"/>
        <v>275</v>
      </c>
      <c r="K294" s="1099">
        <f t="shared" si="132"/>
        <v>249</v>
      </c>
      <c r="L294" s="891" t="str">
        <f t="shared" si="133"/>
        <v>February</v>
      </c>
      <c r="M294" s="888">
        <f t="shared" si="140"/>
        <v>2049</v>
      </c>
      <c r="N294" s="1284">
        <f t="shared" si="145"/>
        <v>0</v>
      </c>
      <c r="O294" s="1284">
        <f t="shared" si="141"/>
        <v>0</v>
      </c>
      <c r="P294" s="883">
        <f t="shared" si="142"/>
        <v>21375533.722166479</v>
      </c>
      <c r="Q294" s="883">
        <f t="shared" si="134"/>
        <v>-307277.87674628111</v>
      </c>
      <c r="R294" s="1100"/>
      <c r="S294" s="883">
        <f t="shared" si="127"/>
        <v>-198915.79607140936</v>
      </c>
      <c r="T294" s="884">
        <f t="shared" si="135"/>
        <v>-108362.08067487173</v>
      </c>
      <c r="U294" s="884">
        <f>IF(AND($AU$43="Early Payoff",J294&gt;$U$15),0,IF($J294&lt;=$U$8,SUM($S$20:$S294),0))</f>
        <v>-25308382.073904935</v>
      </c>
      <c r="V294" s="884">
        <f>IF(AND($AU$43="Early Payoff",J294&gt;$U$15),0,IF($J294&lt;=$U$8,SUM($T$20:$T294),0))</f>
        <v>-51102170.499340147</v>
      </c>
      <c r="W294" s="885">
        <f t="shared" si="136"/>
        <v>21176617.926095068</v>
      </c>
      <c r="X294" s="1110">
        <f t="shared" si="137"/>
        <v>21375533.722166479</v>
      </c>
      <c r="Z294" s="1102">
        <f t="shared" si="128"/>
        <v>0</v>
      </c>
      <c r="AA294" s="873">
        <f t="shared" si="129"/>
        <v>0</v>
      </c>
      <c r="AB294" s="873">
        <f t="shared" si="130"/>
        <v>0</v>
      </c>
      <c r="AC294" s="885">
        <f t="shared" si="131"/>
        <v>-307277.87674628111</v>
      </c>
    </row>
    <row r="295" spans="2:29" s="278" customFormat="1" ht="12" customHeight="1" x14ac:dyDescent="0.25">
      <c r="B295" s="1108">
        <f>IF(C295&lt;'Financing Assumptions'!$G$25,0,IF(C295='Financing Assumptions'!$G$25,1,IF(C295&gt;'Financing Assumptions'!$G$25,B294+1)))</f>
        <v>276</v>
      </c>
      <c r="C295" s="1109">
        <f t="shared" si="138"/>
        <v>278</v>
      </c>
      <c r="D295" s="732">
        <f t="shared" si="123"/>
        <v>31</v>
      </c>
      <c r="E295" s="35">
        <f t="shared" si="124"/>
        <v>3</v>
      </c>
      <c r="F295" s="889">
        <f t="shared" si="143"/>
        <v>54513</v>
      </c>
      <c r="G295" s="822">
        <f t="shared" si="125"/>
        <v>3</v>
      </c>
      <c r="H295" s="126">
        <f t="shared" si="126"/>
        <v>0</v>
      </c>
      <c r="I295" s="1098">
        <f t="shared" si="144"/>
        <v>0</v>
      </c>
      <c r="J295" s="887">
        <f t="shared" si="139"/>
        <v>276</v>
      </c>
      <c r="K295" s="1099">
        <f t="shared" si="132"/>
        <v>250</v>
      </c>
      <c r="L295" s="891" t="str">
        <f t="shared" si="133"/>
        <v>March</v>
      </c>
      <c r="M295" s="888">
        <f t="shared" si="140"/>
        <v>2049</v>
      </c>
      <c r="N295" s="1284">
        <f t="shared" si="145"/>
        <v>0</v>
      </c>
      <c r="O295" s="1284">
        <f t="shared" si="141"/>
        <v>0</v>
      </c>
      <c r="P295" s="883">
        <f t="shared" si="142"/>
        <v>21176617.926095068</v>
      </c>
      <c r="Q295" s="883">
        <f t="shared" si="134"/>
        <v>-307277.87674628111</v>
      </c>
      <c r="R295" s="1100"/>
      <c r="S295" s="883">
        <f t="shared" si="127"/>
        <v>-199924.18864871585</v>
      </c>
      <c r="T295" s="884">
        <f t="shared" si="135"/>
        <v>-107353.68809756527</v>
      </c>
      <c r="U295" s="884">
        <f>IF(AND($AU$43="Early Payoff",J295&gt;$U$15),0,IF($J295&lt;=$U$8,SUM($S$20:$S295),0))</f>
        <v>-25508306.262553651</v>
      </c>
      <c r="V295" s="884">
        <f>IF(AND($AU$43="Early Payoff",J295&gt;$U$15),0,IF($J295&lt;=$U$8,SUM($T$20:$T295),0))</f>
        <v>-51209524.187437713</v>
      </c>
      <c r="W295" s="885">
        <f t="shared" si="136"/>
        <v>20976693.737446353</v>
      </c>
      <c r="X295" s="1110">
        <f t="shared" si="137"/>
        <v>21176617.926095068</v>
      </c>
      <c r="Z295" s="1102">
        <f t="shared" si="128"/>
        <v>0</v>
      </c>
      <c r="AA295" s="873">
        <f t="shared" si="129"/>
        <v>0</v>
      </c>
      <c r="AB295" s="873">
        <f t="shared" si="130"/>
        <v>0</v>
      </c>
      <c r="AC295" s="885">
        <f t="shared" si="131"/>
        <v>-307277.87674628111</v>
      </c>
    </row>
    <row r="296" spans="2:29" s="278" customFormat="1" ht="12" customHeight="1" x14ac:dyDescent="0.25">
      <c r="B296" s="1108">
        <f>IF(C296&lt;'Financing Assumptions'!$G$25,0,IF(C296='Financing Assumptions'!$G$25,1,IF(C296&gt;'Financing Assumptions'!$G$25,B295+1)))</f>
        <v>277</v>
      </c>
      <c r="C296" s="1109">
        <f t="shared" si="138"/>
        <v>279</v>
      </c>
      <c r="D296" s="732">
        <f t="shared" si="123"/>
        <v>30</v>
      </c>
      <c r="E296" s="35">
        <f t="shared" si="124"/>
        <v>4</v>
      </c>
      <c r="F296" s="889">
        <f t="shared" si="143"/>
        <v>54543</v>
      </c>
      <c r="G296" s="822">
        <f t="shared" si="125"/>
        <v>4</v>
      </c>
      <c r="H296" s="126">
        <f t="shared" si="126"/>
        <v>0</v>
      </c>
      <c r="I296" s="1098">
        <f t="shared" si="144"/>
        <v>0</v>
      </c>
      <c r="J296" s="887">
        <f t="shared" si="139"/>
        <v>277</v>
      </c>
      <c r="K296" s="1099">
        <f t="shared" si="132"/>
        <v>251</v>
      </c>
      <c r="L296" s="891" t="str">
        <f t="shared" si="133"/>
        <v>April</v>
      </c>
      <c r="M296" s="888">
        <f t="shared" si="140"/>
        <v>2049</v>
      </c>
      <c r="N296" s="1284">
        <f t="shared" si="145"/>
        <v>0</v>
      </c>
      <c r="O296" s="1284">
        <f t="shared" si="141"/>
        <v>0</v>
      </c>
      <c r="P296" s="883">
        <f t="shared" si="142"/>
        <v>20976693.737446353</v>
      </c>
      <c r="Q296" s="883">
        <f t="shared" si="134"/>
        <v>-307277.87674628111</v>
      </c>
      <c r="R296" s="1100"/>
      <c r="S296" s="883">
        <f>IF(AND($AU$43="Early Payoff",J296&gt;=$U$15),0,IF($J296&gt;$U$8,0,IF(AND($AT$33&gt;0,$J296&lt;=$AT$33),0,+$Q296-$T296)))</f>
        <v>-200937.69321617112</v>
      </c>
      <c r="T296" s="884">
        <f>IF(AND($AU$43="Early Payoff",J296&gt;=$U$15),0,IF($V$4="Annual",-$M$7*$W295*1,IF($V$4="Bi-Annual",(-$M$7/2)*$W295*1,IF($V$4="Monthly",(-$M$7/12)*$W295*1))))</f>
        <v>-106340.18353010998</v>
      </c>
      <c r="U296" s="884">
        <f>IF(AND($AU$43="Early Payoff",J296&gt;$U$15),0,IF($J296&lt;=$U$8,SUM($S$20:$S296),0))</f>
        <v>-25709243.955769822</v>
      </c>
      <c r="V296" s="884">
        <f>IF(AND($AU$43="Early Payoff",J296&gt;$U$15),0,IF($J296&lt;=$U$8,SUM($T$20:$T296),0))</f>
        <v>-51315864.37096782</v>
      </c>
      <c r="W296" s="885">
        <f t="shared" si="136"/>
        <v>20775756.044230182</v>
      </c>
      <c r="X296" s="1110">
        <f t="shared" si="137"/>
        <v>20976693.737446353</v>
      </c>
      <c r="Z296" s="1102">
        <f t="shared" si="128"/>
        <v>0</v>
      </c>
      <c r="AA296" s="873">
        <f t="shared" si="129"/>
        <v>0</v>
      </c>
      <c r="AB296" s="873">
        <f t="shared" si="130"/>
        <v>0</v>
      </c>
      <c r="AC296" s="885">
        <f t="shared" si="131"/>
        <v>-307277.87674628111</v>
      </c>
    </row>
    <row r="297" spans="2:29" s="278" customFormat="1" ht="12" customHeight="1" x14ac:dyDescent="0.25">
      <c r="B297" s="1108">
        <f>IF(C297&lt;'Financing Assumptions'!$G$25,0,IF(C297='Financing Assumptions'!$G$25,1,IF(C297&gt;'Financing Assumptions'!$G$25,B296+1)))</f>
        <v>278</v>
      </c>
      <c r="C297" s="1109">
        <f t="shared" si="138"/>
        <v>280</v>
      </c>
      <c r="D297" s="732">
        <f t="shared" si="123"/>
        <v>31</v>
      </c>
      <c r="E297" s="35">
        <f t="shared" si="124"/>
        <v>5</v>
      </c>
      <c r="F297" s="889">
        <f t="shared" si="143"/>
        <v>54574</v>
      </c>
      <c r="G297" s="822">
        <f t="shared" si="125"/>
        <v>5</v>
      </c>
      <c r="H297" s="126">
        <f t="shared" si="126"/>
        <v>0</v>
      </c>
      <c r="I297" s="1098">
        <f t="shared" si="144"/>
        <v>0</v>
      </c>
      <c r="J297" s="887">
        <f t="shared" si="139"/>
        <v>278</v>
      </c>
      <c r="K297" s="1099">
        <f t="shared" si="132"/>
        <v>252</v>
      </c>
      <c r="L297" s="891" t="str">
        <f t="shared" si="133"/>
        <v>May</v>
      </c>
      <c r="M297" s="888">
        <f t="shared" si="140"/>
        <v>2049</v>
      </c>
      <c r="N297" s="1284">
        <f t="shared" si="145"/>
        <v>0</v>
      </c>
      <c r="O297" s="1284">
        <f t="shared" si="141"/>
        <v>0</v>
      </c>
      <c r="P297" s="883">
        <f t="shared" si="142"/>
        <v>20775756.044230182</v>
      </c>
      <c r="Q297" s="883">
        <f t="shared" si="134"/>
        <v>-307277.87674628111</v>
      </c>
      <c r="R297" s="1100"/>
      <c r="S297" s="883">
        <f t="shared" si="127"/>
        <v>-201956.33568872535</v>
      </c>
      <c r="T297" s="884">
        <f>IF(AND($AU$43="Early Payoff",J297&gt;=$U$15),0,IF($V$4="Annual",-$M$7*$W296*1,IF($V$4="Bi-Annual",(-$M$7/2)*$W296*1,IF($V$4="Monthly",(-$M$7/12)*$W296*1))))</f>
        <v>-105321.54105755578</v>
      </c>
      <c r="U297" s="884">
        <f>IF(AND($AU$43="Early Payoff",J297&gt;$U$15),0,IF($J297&lt;=$U$8,SUM($S$20:$S297),0))</f>
        <v>-25911200.291458547</v>
      </c>
      <c r="V297" s="884">
        <f>IF(AND($AU$43="Early Payoff",J297&gt;$U$15),0,IF($J297&lt;=$U$8,SUM($T$20:$T297),0))</f>
        <v>-51421185.912025377</v>
      </c>
      <c r="W297" s="885">
        <f t="shared" si="136"/>
        <v>20573799.708541457</v>
      </c>
      <c r="X297" s="1110">
        <f t="shared" si="137"/>
        <v>20775756.044230182</v>
      </c>
      <c r="Z297" s="1102">
        <f t="shared" si="128"/>
        <v>0</v>
      </c>
      <c r="AA297" s="873">
        <f t="shared" si="129"/>
        <v>0</v>
      </c>
      <c r="AB297" s="873">
        <f t="shared" si="130"/>
        <v>0</v>
      </c>
      <c r="AC297" s="885">
        <f t="shared" si="131"/>
        <v>-307277.87674628111</v>
      </c>
    </row>
    <row r="298" spans="2:29" s="278" customFormat="1" ht="12" customHeight="1" x14ac:dyDescent="0.25">
      <c r="B298" s="1108">
        <f>IF(C298&lt;'Financing Assumptions'!$G$25,0,IF(C298='Financing Assumptions'!$G$25,1,IF(C298&gt;'Financing Assumptions'!$G$25,B297+1)))</f>
        <v>279</v>
      </c>
      <c r="C298" s="1109">
        <f t="shared" si="138"/>
        <v>281</v>
      </c>
      <c r="D298" s="732">
        <f t="shared" si="123"/>
        <v>30</v>
      </c>
      <c r="E298" s="35">
        <f t="shared" si="124"/>
        <v>6</v>
      </c>
      <c r="F298" s="889">
        <f t="shared" si="143"/>
        <v>54604</v>
      </c>
      <c r="G298" s="822">
        <f t="shared" si="125"/>
        <v>6</v>
      </c>
      <c r="H298" s="126">
        <f t="shared" si="126"/>
        <v>0</v>
      </c>
      <c r="I298" s="1098">
        <f t="shared" si="144"/>
        <v>0</v>
      </c>
      <c r="J298" s="887">
        <f t="shared" si="139"/>
        <v>279</v>
      </c>
      <c r="K298" s="1099">
        <f t="shared" si="132"/>
        <v>253</v>
      </c>
      <c r="L298" s="891" t="str">
        <f t="shared" si="133"/>
        <v>June</v>
      </c>
      <c r="M298" s="888">
        <f t="shared" si="140"/>
        <v>2049</v>
      </c>
      <c r="N298" s="1284">
        <f t="shared" si="145"/>
        <v>0</v>
      </c>
      <c r="O298" s="1284">
        <f t="shared" si="141"/>
        <v>0</v>
      </c>
      <c r="P298" s="883">
        <f t="shared" si="142"/>
        <v>20573799.708541457</v>
      </c>
      <c r="Q298" s="883">
        <f t="shared" si="134"/>
        <v>-307277.87674628111</v>
      </c>
      <c r="R298" s="1100"/>
      <c r="S298" s="883">
        <f t="shared" si="127"/>
        <v>-202980.14211270289</v>
      </c>
      <c r="T298" s="884">
        <f t="shared" si="135"/>
        <v>-104297.73463357821</v>
      </c>
      <c r="U298" s="884">
        <f>IF(AND($AU$43="Early Payoff",J298&gt;$U$15),0,IF($J298&lt;=$U$8,SUM($S$20:$S298),0))</f>
        <v>-26114180.433571249</v>
      </c>
      <c r="V298" s="884">
        <f>IF(AND($AU$43="Early Payoff",J298&gt;$U$15),0,IF($J298&lt;=$U$8,SUM($T$20:$T298),0))</f>
        <v>-51525483.646658957</v>
      </c>
      <c r="W298" s="885">
        <f t="shared" si="136"/>
        <v>20370819.566428754</v>
      </c>
      <c r="X298" s="1110">
        <f t="shared" si="137"/>
        <v>20573799.708541457</v>
      </c>
      <c r="Z298" s="1102">
        <f t="shared" si="128"/>
        <v>0</v>
      </c>
      <c r="AA298" s="873">
        <f t="shared" si="129"/>
        <v>0</v>
      </c>
      <c r="AB298" s="873">
        <f t="shared" si="130"/>
        <v>0</v>
      </c>
      <c r="AC298" s="885">
        <f t="shared" si="131"/>
        <v>-307277.87674628111</v>
      </c>
    </row>
    <row r="299" spans="2:29" s="278" customFormat="1" ht="12" customHeight="1" x14ac:dyDescent="0.25">
      <c r="B299" s="1108">
        <f>IF(C299&lt;'Financing Assumptions'!$G$25,0,IF(C299='Financing Assumptions'!$G$25,1,IF(C299&gt;'Financing Assumptions'!$G$25,B298+1)))</f>
        <v>280</v>
      </c>
      <c r="C299" s="1109">
        <f t="shared" si="138"/>
        <v>282</v>
      </c>
      <c r="D299" s="732">
        <f t="shared" si="123"/>
        <v>31</v>
      </c>
      <c r="E299" s="35">
        <f t="shared" si="124"/>
        <v>7</v>
      </c>
      <c r="F299" s="889">
        <f t="shared" si="143"/>
        <v>54635</v>
      </c>
      <c r="G299" s="822">
        <f t="shared" si="125"/>
        <v>7</v>
      </c>
      <c r="H299" s="126">
        <f t="shared" si="126"/>
        <v>0</v>
      </c>
      <c r="I299" s="1098">
        <f t="shared" si="144"/>
        <v>0</v>
      </c>
      <c r="J299" s="887">
        <f t="shared" si="139"/>
        <v>280</v>
      </c>
      <c r="K299" s="1099">
        <f t="shared" si="132"/>
        <v>254</v>
      </c>
      <c r="L299" s="891" t="str">
        <f t="shared" si="133"/>
        <v>July</v>
      </c>
      <c r="M299" s="888">
        <f t="shared" si="140"/>
        <v>2049</v>
      </c>
      <c r="N299" s="1284">
        <f t="shared" si="145"/>
        <v>0</v>
      </c>
      <c r="O299" s="1284">
        <f t="shared" si="141"/>
        <v>0</v>
      </c>
      <c r="P299" s="883">
        <f t="shared" si="142"/>
        <v>20370819.566428754</v>
      </c>
      <c r="Q299" s="883">
        <f t="shared" si="134"/>
        <v>-307277.87674628111</v>
      </c>
      <c r="R299" s="1100"/>
      <c r="S299" s="883">
        <f t="shared" si="127"/>
        <v>-204009.13866646867</v>
      </c>
      <c r="T299" s="884">
        <f t="shared" si="135"/>
        <v>-103268.73807981244</v>
      </c>
      <c r="U299" s="884">
        <f>IF(AND($AU$43="Early Payoff",J299&gt;$U$15),0,IF($J299&lt;=$U$8,SUM($S$20:$S299),0))</f>
        <v>-26318189.572237719</v>
      </c>
      <c r="V299" s="884">
        <f>IF(AND($AU$43="Early Payoff",J299&gt;$U$15),0,IF($J299&lt;=$U$8,SUM($T$20:$T299),0))</f>
        <v>-51628752.384738773</v>
      </c>
      <c r="W299" s="885">
        <f t="shared" si="136"/>
        <v>20166810.427762285</v>
      </c>
      <c r="X299" s="1110">
        <f t="shared" si="137"/>
        <v>20370819.566428754</v>
      </c>
      <c r="Z299" s="1102">
        <f t="shared" si="128"/>
        <v>0</v>
      </c>
      <c r="AA299" s="873">
        <f t="shared" si="129"/>
        <v>0</v>
      </c>
      <c r="AB299" s="873">
        <f t="shared" si="130"/>
        <v>0</v>
      </c>
      <c r="AC299" s="885">
        <f t="shared" si="131"/>
        <v>-307277.87674628111</v>
      </c>
    </row>
    <row r="300" spans="2:29" s="278" customFormat="1" ht="12" customHeight="1" x14ac:dyDescent="0.25">
      <c r="B300" s="1108">
        <f>IF(C300&lt;'Financing Assumptions'!$G$25,0,IF(C300='Financing Assumptions'!$G$25,1,IF(C300&gt;'Financing Assumptions'!$G$25,B299+1)))</f>
        <v>281</v>
      </c>
      <c r="C300" s="1109">
        <f t="shared" si="138"/>
        <v>283</v>
      </c>
      <c r="D300" s="732">
        <f t="shared" si="123"/>
        <v>31</v>
      </c>
      <c r="E300" s="35">
        <f t="shared" si="124"/>
        <v>8</v>
      </c>
      <c r="F300" s="889">
        <f t="shared" si="143"/>
        <v>54666</v>
      </c>
      <c r="G300" s="822">
        <f t="shared" si="125"/>
        <v>8</v>
      </c>
      <c r="H300" s="126">
        <f t="shared" si="126"/>
        <v>0</v>
      </c>
      <c r="I300" s="1098">
        <f t="shared" si="144"/>
        <v>0</v>
      </c>
      <c r="J300" s="887">
        <f t="shared" si="139"/>
        <v>281</v>
      </c>
      <c r="K300" s="1099">
        <f t="shared" si="132"/>
        <v>255</v>
      </c>
      <c r="L300" s="891" t="str">
        <f t="shared" si="133"/>
        <v>August</v>
      </c>
      <c r="M300" s="888">
        <f t="shared" si="140"/>
        <v>2049</v>
      </c>
      <c r="N300" s="1284">
        <f t="shared" si="145"/>
        <v>0</v>
      </c>
      <c r="O300" s="1284">
        <f t="shared" si="141"/>
        <v>0</v>
      </c>
      <c r="P300" s="883">
        <f t="shared" si="142"/>
        <v>20166810.427762285</v>
      </c>
      <c r="Q300" s="883">
        <f t="shared" si="134"/>
        <v>-307277.87674628111</v>
      </c>
      <c r="R300" s="1100"/>
      <c r="S300" s="883">
        <f t="shared" si="127"/>
        <v>-205043.35166109732</v>
      </c>
      <c r="T300" s="884">
        <f t="shared" si="135"/>
        <v>-102234.52508518379</v>
      </c>
      <c r="U300" s="884">
        <f>IF(AND($AU$43="Early Payoff",J300&gt;$U$15),0,IF($J300&lt;=$U$8,SUM($S$20:$S300),0))</f>
        <v>-26523232.923898816</v>
      </c>
      <c r="V300" s="884">
        <f>IF(AND($AU$43="Early Payoff",J300&gt;$U$15),0,IF($J300&lt;=$U$8,SUM($T$20:$T300),0))</f>
        <v>-51730986.909823954</v>
      </c>
      <c r="W300" s="885">
        <f t="shared" si="136"/>
        <v>19961767.076101188</v>
      </c>
      <c r="X300" s="1110">
        <f t="shared" si="137"/>
        <v>20166810.427762285</v>
      </c>
      <c r="Z300" s="1102">
        <f t="shared" si="128"/>
        <v>0</v>
      </c>
      <c r="AA300" s="873">
        <f t="shared" si="129"/>
        <v>0</v>
      </c>
      <c r="AB300" s="873">
        <f t="shared" si="130"/>
        <v>0</v>
      </c>
      <c r="AC300" s="885">
        <f t="shared" si="131"/>
        <v>-307277.87674628111</v>
      </c>
    </row>
    <row r="301" spans="2:29" s="278" customFormat="1" ht="12" customHeight="1" x14ac:dyDescent="0.25">
      <c r="B301" s="1108">
        <f>IF(C301&lt;'Financing Assumptions'!$G$25,0,IF(C301='Financing Assumptions'!$G$25,1,IF(C301&gt;'Financing Assumptions'!$G$25,B300+1)))</f>
        <v>282</v>
      </c>
      <c r="C301" s="1109">
        <f t="shared" si="138"/>
        <v>284</v>
      </c>
      <c r="D301" s="732">
        <f t="shared" si="123"/>
        <v>30</v>
      </c>
      <c r="E301" s="35">
        <f t="shared" si="124"/>
        <v>9</v>
      </c>
      <c r="F301" s="889">
        <f t="shared" si="143"/>
        <v>54696</v>
      </c>
      <c r="G301" s="822">
        <f t="shared" si="125"/>
        <v>9</v>
      </c>
      <c r="H301" s="126">
        <f t="shared" si="126"/>
        <v>0</v>
      </c>
      <c r="I301" s="1098">
        <f t="shared" si="144"/>
        <v>0</v>
      </c>
      <c r="J301" s="887">
        <f t="shared" si="139"/>
        <v>282</v>
      </c>
      <c r="K301" s="1099">
        <f t="shared" si="132"/>
        <v>256</v>
      </c>
      <c r="L301" s="891" t="str">
        <f t="shared" si="133"/>
        <v>September</v>
      </c>
      <c r="M301" s="888">
        <f t="shared" si="140"/>
        <v>2049</v>
      </c>
      <c r="N301" s="1284">
        <f t="shared" si="145"/>
        <v>0</v>
      </c>
      <c r="O301" s="1284">
        <f t="shared" si="141"/>
        <v>0</v>
      </c>
      <c r="P301" s="883">
        <f t="shared" si="142"/>
        <v>19961767.076101188</v>
      </c>
      <c r="Q301" s="883">
        <f t="shared" si="134"/>
        <v>-307277.87674628111</v>
      </c>
      <c r="R301" s="1100"/>
      <c r="S301" s="883">
        <f t="shared" si="127"/>
        <v>-206082.80754104594</v>
      </c>
      <c r="T301" s="884">
        <f t="shared" si="135"/>
        <v>-101195.06920523518</v>
      </c>
      <c r="U301" s="884">
        <f>IF(AND($AU$43="Early Payoff",J301&gt;$U$15),0,IF($J301&lt;=$U$8,SUM($S$20:$S301),0))</f>
        <v>-26729315.731439862</v>
      </c>
      <c r="V301" s="884">
        <f>IF(AND($AU$43="Early Payoff",J301&gt;$U$15),0,IF($J301&lt;=$U$8,SUM($T$20:$T301),0))</f>
        <v>-51832181.979029186</v>
      </c>
      <c r="W301" s="885">
        <f t="shared" si="136"/>
        <v>19755684.268560141</v>
      </c>
      <c r="X301" s="1110">
        <f t="shared" si="137"/>
        <v>19961767.076101188</v>
      </c>
      <c r="Z301" s="1102">
        <f t="shared" si="128"/>
        <v>0</v>
      </c>
      <c r="AA301" s="873">
        <f t="shared" si="129"/>
        <v>0</v>
      </c>
      <c r="AB301" s="873">
        <f t="shared" si="130"/>
        <v>0</v>
      </c>
      <c r="AC301" s="885">
        <f t="shared" si="131"/>
        <v>-307277.87674628111</v>
      </c>
    </row>
    <row r="302" spans="2:29" s="278" customFormat="1" ht="12" customHeight="1" x14ac:dyDescent="0.25">
      <c r="B302" s="1108">
        <f>IF(C302&lt;'Financing Assumptions'!$G$25,0,IF(C302='Financing Assumptions'!$G$25,1,IF(C302&gt;'Financing Assumptions'!$G$25,B301+1)))</f>
        <v>283</v>
      </c>
      <c r="C302" s="1109">
        <f t="shared" si="138"/>
        <v>285</v>
      </c>
      <c r="D302" s="732">
        <f t="shared" si="123"/>
        <v>31</v>
      </c>
      <c r="E302" s="35">
        <f t="shared" si="124"/>
        <v>10</v>
      </c>
      <c r="F302" s="889">
        <f t="shared" si="143"/>
        <v>54727</v>
      </c>
      <c r="G302" s="822">
        <f t="shared" si="125"/>
        <v>10</v>
      </c>
      <c r="H302" s="126">
        <f t="shared" si="126"/>
        <v>0</v>
      </c>
      <c r="I302" s="1098">
        <f t="shared" si="144"/>
        <v>0</v>
      </c>
      <c r="J302" s="887">
        <f t="shared" si="139"/>
        <v>283</v>
      </c>
      <c r="K302" s="1099">
        <f t="shared" si="132"/>
        <v>257</v>
      </c>
      <c r="L302" s="891" t="str">
        <f t="shared" si="133"/>
        <v>October</v>
      </c>
      <c r="M302" s="888">
        <f t="shared" si="140"/>
        <v>2049</v>
      </c>
      <c r="N302" s="1284">
        <f t="shared" si="145"/>
        <v>0</v>
      </c>
      <c r="O302" s="1284">
        <f t="shared" si="141"/>
        <v>0</v>
      </c>
      <c r="P302" s="883">
        <f t="shared" si="142"/>
        <v>19755684.268560141</v>
      </c>
      <c r="Q302" s="883">
        <f t="shared" si="134"/>
        <v>-307277.87674628111</v>
      </c>
      <c r="R302" s="1100"/>
      <c r="S302" s="883">
        <f t="shared" si="127"/>
        <v>-207127.53288483041</v>
      </c>
      <c r="T302" s="884">
        <f t="shared" si="135"/>
        <v>-100150.3438614507</v>
      </c>
      <c r="U302" s="884">
        <f>IF(AND($AU$43="Early Payoff",J302&gt;$U$15),0,IF($J302&lt;=$U$8,SUM($S$20:$S302),0))</f>
        <v>-26936443.264324691</v>
      </c>
      <c r="V302" s="884">
        <f>IF(AND($AU$43="Early Payoff",J302&gt;$U$15),0,IF($J302&lt;=$U$8,SUM($T$20:$T302),0))</f>
        <v>-51932332.322890639</v>
      </c>
      <c r="W302" s="885">
        <f t="shared" si="136"/>
        <v>19548556.735675313</v>
      </c>
      <c r="X302" s="1110">
        <f t="shared" si="137"/>
        <v>19755684.268560141</v>
      </c>
      <c r="Z302" s="1102">
        <f t="shared" si="128"/>
        <v>0</v>
      </c>
      <c r="AA302" s="873">
        <f t="shared" si="129"/>
        <v>0</v>
      </c>
      <c r="AB302" s="873">
        <f t="shared" si="130"/>
        <v>0</v>
      </c>
      <c r="AC302" s="885">
        <f t="shared" si="131"/>
        <v>-307277.87674628111</v>
      </c>
    </row>
    <row r="303" spans="2:29" s="278" customFormat="1" ht="12" customHeight="1" x14ac:dyDescent="0.25">
      <c r="B303" s="1108">
        <f>IF(C303&lt;'Financing Assumptions'!$G$25,0,IF(C303='Financing Assumptions'!$G$25,1,IF(C303&gt;'Financing Assumptions'!$G$25,B302+1)))</f>
        <v>284</v>
      </c>
      <c r="C303" s="1109">
        <f t="shared" si="138"/>
        <v>286</v>
      </c>
      <c r="D303" s="732">
        <f t="shared" si="123"/>
        <v>30</v>
      </c>
      <c r="E303" s="35">
        <f t="shared" si="124"/>
        <v>11</v>
      </c>
      <c r="F303" s="889">
        <f t="shared" si="143"/>
        <v>54757</v>
      </c>
      <c r="G303" s="822">
        <f t="shared" si="125"/>
        <v>11</v>
      </c>
      <c r="H303" s="126">
        <f t="shared" si="126"/>
        <v>0</v>
      </c>
      <c r="I303" s="1098">
        <f t="shared" si="144"/>
        <v>0</v>
      </c>
      <c r="J303" s="887">
        <f t="shared" si="139"/>
        <v>284</v>
      </c>
      <c r="K303" s="1099">
        <f t="shared" si="132"/>
        <v>258</v>
      </c>
      <c r="L303" s="891" t="str">
        <f t="shared" si="133"/>
        <v>November</v>
      </c>
      <c r="M303" s="888">
        <f t="shared" si="140"/>
        <v>2049</v>
      </c>
      <c r="N303" s="1284">
        <f t="shared" si="145"/>
        <v>0</v>
      </c>
      <c r="O303" s="1284">
        <f t="shared" si="141"/>
        <v>0</v>
      </c>
      <c r="P303" s="883">
        <f t="shared" si="142"/>
        <v>19548556.735675313</v>
      </c>
      <c r="Q303" s="883">
        <f t="shared" si="134"/>
        <v>-307277.87674628111</v>
      </c>
      <c r="R303" s="1100"/>
      <c r="S303" s="883">
        <f t="shared" si="127"/>
        <v>-208177.5544057049</v>
      </c>
      <c r="T303" s="884">
        <f t="shared" si="135"/>
        <v>-99100.322340576226</v>
      </c>
      <c r="U303" s="884">
        <f>IF(AND($AU$43="Early Payoff",J303&gt;$U$15),0,IF($J303&lt;=$U$8,SUM($S$20:$S303),0))</f>
        <v>-27144620.818730395</v>
      </c>
      <c r="V303" s="884">
        <f>IF(AND($AU$43="Early Payoff",J303&gt;$U$15),0,IF($J303&lt;=$U$8,SUM($T$20:$T303),0))</f>
        <v>-52031432.645231217</v>
      </c>
      <c r="W303" s="885">
        <f t="shared" si="136"/>
        <v>19340379.181269608</v>
      </c>
      <c r="X303" s="1110">
        <f t="shared" si="137"/>
        <v>19548556.735675313</v>
      </c>
      <c r="Z303" s="1102">
        <f t="shared" si="128"/>
        <v>0</v>
      </c>
      <c r="AA303" s="873">
        <f t="shared" si="129"/>
        <v>0</v>
      </c>
      <c r="AB303" s="873">
        <f t="shared" si="130"/>
        <v>0</v>
      </c>
      <c r="AC303" s="885">
        <f t="shared" si="131"/>
        <v>-307277.87674628111</v>
      </c>
    </row>
    <row r="304" spans="2:29" s="278" customFormat="1" ht="12" customHeight="1" x14ac:dyDescent="0.25">
      <c r="B304" s="1108">
        <f>IF(C304&lt;'Financing Assumptions'!$G$25,0,IF(C304='Financing Assumptions'!$G$25,1,IF(C304&gt;'Financing Assumptions'!$G$25,B303+1)))</f>
        <v>285</v>
      </c>
      <c r="C304" s="1109">
        <f t="shared" si="138"/>
        <v>287</v>
      </c>
      <c r="D304" s="732">
        <f t="shared" si="123"/>
        <v>31</v>
      </c>
      <c r="E304" s="35">
        <f t="shared" si="124"/>
        <v>12</v>
      </c>
      <c r="F304" s="889">
        <f t="shared" si="143"/>
        <v>54788</v>
      </c>
      <c r="G304" s="822">
        <f t="shared" si="125"/>
        <v>12</v>
      </c>
      <c r="H304" s="126">
        <f t="shared" si="126"/>
        <v>1</v>
      </c>
      <c r="I304" s="1098">
        <f t="shared" si="144"/>
        <v>0</v>
      </c>
      <c r="J304" s="887">
        <f t="shared" si="139"/>
        <v>285</v>
      </c>
      <c r="K304" s="1099">
        <f t="shared" si="132"/>
        <v>259</v>
      </c>
      <c r="L304" s="891" t="str">
        <f t="shared" si="133"/>
        <v>December</v>
      </c>
      <c r="M304" s="888">
        <f t="shared" si="140"/>
        <v>2049</v>
      </c>
      <c r="N304" s="1284">
        <f t="shared" si="145"/>
        <v>0</v>
      </c>
      <c r="O304" s="1284">
        <f t="shared" si="141"/>
        <v>0</v>
      </c>
      <c r="P304" s="883">
        <f t="shared" si="142"/>
        <v>19340379.181269608</v>
      </c>
      <c r="Q304" s="883">
        <f t="shared" si="134"/>
        <v>-307277.87674628111</v>
      </c>
      <c r="R304" s="1100"/>
      <c r="S304" s="883">
        <f t="shared" si="127"/>
        <v>-209232.8989523449</v>
      </c>
      <c r="T304" s="884">
        <f t="shared" si="135"/>
        <v>-98044.97779393621</v>
      </c>
      <c r="U304" s="884">
        <f>IF(AND($AU$43="Early Payoff",J304&gt;$U$15),0,IF($J304&lt;=$U$8,SUM($S$20:$S304),0))</f>
        <v>-27353853.717682742</v>
      </c>
      <c r="V304" s="884">
        <f>IF(AND($AU$43="Early Payoff",J304&gt;$U$15),0,IF($J304&lt;=$U$8,SUM($T$20:$T304),0))</f>
        <v>-52129477.623025157</v>
      </c>
      <c r="W304" s="885">
        <f t="shared" si="136"/>
        <v>19131146.282317262</v>
      </c>
      <c r="X304" s="1110">
        <f t="shared" si="137"/>
        <v>19340379.181269608</v>
      </c>
      <c r="Z304" s="1102">
        <f t="shared" si="128"/>
        <v>0</v>
      </c>
      <c r="AA304" s="873">
        <f t="shared" si="129"/>
        <v>0</v>
      </c>
      <c r="AB304" s="873">
        <f t="shared" si="130"/>
        <v>0</v>
      </c>
      <c r="AC304" s="885">
        <f t="shared" si="131"/>
        <v>-307277.87674628111</v>
      </c>
    </row>
    <row r="305" spans="2:29" s="278" customFormat="1" ht="12" customHeight="1" x14ac:dyDescent="0.25">
      <c r="B305" s="1108">
        <f>IF(C305&lt;'Financing Assumptions'!$G$25,0,IF(C305='Financing Assumptions'!$G$25,1,IF(C305&gt;'Financing Assumptions'!$G$25,B304+1)))</f>
        <v>286</v>
      </c>
      <c r="C305" s="1109">
        <f t="shared" si="138"/>
        <v>288</v>
      </c>
      <c r="D305" s="732">
        <f t="shared" si="123"/>
        <v>31</v>
      </c>
      <c r="E305" s="35">
        <f t="shared" si="124"/>
        <v>1</v>
      </c>
      <c r="F305" s="889">
        <f t="shared" si="143"/>
        <v>54819</v>
      </c>
      <c r="G305" s="822">
        <f t="shared" si="125"/>
        <v>1</v>
      </c>
      <c r="H305" s="126">
        <f t="shared" si="126"/>
        <v>0</v>
      </c>
      <c r="I305" s="1098">
        <f t="shared" si="144"/>
        <v>0</v>
      </c>
      <c r="J305" s="887">
        <f t="shared" si="139"/>
        <v>286</v>
      </c>
      <c r="K305" s="1099">
        <f t="shared" si="132"/>
        <v>260</v>
      </c>
      <c r="L305" s="891" t="str">
        <f t="shared" si="133"/>
        <v>January</v>
      </c>
      <c r="M305" s="888">
        <f t="shared" si="140"/>
        <v>2050</v>
      </c>
      <c r="N305" s="1284">
        <f t="shared" si="145"/>
        <v>0</v>
      </c>
      <c r="O305" s="1284">
        <f t="shared" si="141"/>
        <v>0</v>
      </c>
      <c r="P305" s="883">
        <f t="shared" si="142"/>
        <v>19131146.282317262</v>
      </c>
      <c r="Q305" s="883">
        <f t="shared" si="134"/>
        <v>-307277.87674628111</v>
      </c>
      <c r="R305" s="1100"/>
      <c r="S305" s="883">
        <f t="shared" si="127"/>
        <v>-210293.59350953388</v>
      </c>
      <c r="T305" s="884">
        <f t="shared" si="135"/>
        <v>-96984.283236747229</v>
      </c>
      <c r="U305" s="884">
        <f>IF(AND($AU$43="Early Payoff",J305&gt;$U$15),0,IF($J305&lt;=$U$8,SUM($S$20:$S305),0))</f>
        <v>-27564147.311192274</v>
      </c>
      <c r="V305" s="884">
        <f>IF(AND($AU$43="Early Payoff",J305&gt;$U$15),0,IF($J305&lt;=$U$8,SUM($T$20:$T305),0))</f>
        <v>-52226461.906261906</v>
      </c>
      <c r="W305" s="885">
        <f t="shared" si="136"/>
        <v>18920852.68880773</v>
      </c>
      <c r="X305" s="1110">
        <f t="shared" si="137"/>
        <v>19131146.282317262</v>
      </c>
      <c r="Z305" s="1102">
        <f t="shared" si="128"/>
        <v>0</v>
      </c>
      <c r="AA305" s="873">
        <f t="shared" si="129"/>
        <v>0</v>
      </c>
      <c r="AB305" s="873">
        <f t="shared" si="130"/>
        <v>0</v>
      </c>
      <c r="AC305" s="885">
        <f t="shared" si="131"/>
        <v>-307277.87674628111</v>
      </c>
    </row>
    <row r="306" spans="2:29" s="278" customFormat="1" ht="12" customHeight="1" x14ac:dyDescent="0.25">
      <c r="B306" s="1108">
        <f>IF(C306&lt;'Financing Assumptions'!$G$25,0,IF(C306='Financing Assumptions'!$G$25,1,IF(C306&gt;'Financing Assumptions'!$G$25,B305+1)))</f>
        <v>287</v>
      </c>
      <c r="C306" s="1109">
        <f t="shared" si="138"/>
        <v>289</v>
      </c>
      <c r="D306" s="732">
        <f t="shared" si="123"/>
        <v>28</v>
      </c>
      <c r="E306" s="35">
        <f t="shared" si="124"/>
        <v>2</v>
      </c>
      <c r="F306" s="889">
        <f t="shared" si="143"/>
        <v>54847</v>
      </c>
      <c r="G306" s="822">
        <f t="shared" si="125"/>
        <v>2</v>
      </c>
      <c r="H306" s="126">
        <f t="shared" si="126"/>
        <v>0</v>
      </c>
      <c r="I306" s="1098">
        <f t="shared" si="144"/>
        <v>0</v>
      </c>
      <c r="J306" s="887">
        <f t="shared" si="139"/>
        <v>287</v>
      </c>
      <c r="K306" s="1099">
        <f t="shared" si="132"/>
        <v>261</v>
      </c>
      <c r="L306" s="891" t="str">
        <f t="shared" si="133"/>
        <v>February</v>
      </c>
      <c r="M306" s="888">
        <f t="shared" si="140"/>
        <v>2050</v>
      </c>
      <c r="N306" s="1284">
        <f t="shared" si="145"/>
        <v>0</v>
      </c>
      <c r="O306" s="1284">
        <f t="shared" si="141"/>
        <v>0</v>
      </c>
      <c r="P306" s="883">
        <f t="shared" si="142"/>
        <v>18920852.68880773</v>
      </c>
      <c r="Q306" s="883">
        <f t="shared" si="134"/>
        <v>-307277.87674628111</v>
      </c>
      <c r="R306" s="1100"/>
      <c r="S306" s="883">
        <f t="shared" si="127"/>
        <v>-211359.66519885304</v>
      </c>
      <c r="T306" s="884">
        <f t="shared" si="135"/>
        <v>-95918.211547428073</v>
      </c>
      <c r="U306" s="884">
        <f>IF(AND($AU$43="Early Payoff",J306&gt;$U$15),0,IF($J306&lt;=$U$8,SUM($S$20:$S306),0))</f>
        <v>-27775506.976391125</v>
      </c>
      <c r="V306" s="884">
        <f>IF(AND($AU$43="Early Payoff",J306&gt;$U$15),0,IF($J306&lt;=$U$8,SUM($T$20:$T306),0))</f>
        <v>-52322380.117809333</v>
      </c>
      <c r="W306" s="885">
        <f t="shared" si="136"/>
        <v>18709493.023608878</v>
      </c>
      <c r="X306" s="1110">
        <f t="shared" si="137"/>
        <v>18920852.68880773</v>
      </c>
      <c r="Z306" s="1102">
        <f t="shared" si="128"/>
        <v>0</v>
      </c>
      <c r="AA306" s="873">
        <f t="shared" si="129"/>
        <v>0</v>
      </c>
      <c r="AB306" s="873">
        <f t="shared" si="130"/>
        <v>0</v>
      </c>
      <c r="AC306" s="885">
        <f t="shared" si="131"/>
        <v>-307277.87674628111</v>
      </c>
    </row>
    <row r="307" spans="2:29" s="278" customFormat="1" ht="12" customHeight="1" x14ac:dyDescent="0.25">
      <c r="B307" s="1108">
        <f>IF(C307&lt;'Financing Assumptions'!$G$25,0,IF(C307='Financing Assumptions'!$G$25,1,IF(C307&gt;'Financing Assumptions'!$G$25,B306+1)))</f>
        <v>288</v>
      </c>
      <c r="C307" s="1109">
        <f t="shared" si="138"/>
        <v>290</v>
      </c>
      <c r="D307" s="732">
        <f t="shared" si="123"/>
        <v>31</v>
      </c>
      <c r="E307" s="35">
        <f t="shared" si="124"/>
        <v>3</v>
      </c>
      <c r="F307" s="889">
        <f t="shared" si="143"/>
        <v>54878</v>
      </c>
      <c r="G307" s="822">
        <f t="shared" si="125"/>
        <v>3</v>
      </c>
      <c r="H307" s="126">
        <f t="shared" si="126"/>
        <v>0</v>
      </c>
      <c r="I307" s="1098">
        <f t="shared" si="144"/>
        <v>0</v>
      </c>
      <c r="J307" s="887">
        <f t="shared" si="139"/>
        <v>288</v>
      </c>
      <c r="K307" s="1099">
        <f t="shared" si="132"/>
        <v>262</v>
      </c>
      <c r="L307" s="891" t="str">
        <f t="shared" si="133"/>
        <v>March</v>
      </c>
      <c r="M307" s="888">
        <f t="shared" si="140"/>
        <v>2050</v>
      </c>
      <c r="N307" s="1284">
        <f t="shared" si="145"/>
        <v>0</v>
      </c>
      <c r="O307" s="1284">
        <f t="shared" si="141"/>
        <v>0</v>
      </c>
      <c r="P307" s="883">
        <f t="shared" si="142"/>
        <v>18709493.023608878</v>
      </c>
      <c r="Q307" s="883">
        <f t="shared" si="134"/>
        <v>-307277.87674628111</v>
      </c>
      <c r="R307" s="1100"/>
      <c r="S307" s="883">
        <f t="shared" si="127"/>
        <v>-212431.14127937501</v>
      </c>
      <c r="T307" s="884">
        <f t="shared" si="135"/>
        <v>-94846.735466906117</v>
      </c>
      <c r="U307" s="884">
        <f>IF(AND($AU$43="Early Payoff",J307&gt;$U$15),0,IF($J307&lt;=$U$8,SUM($S$20:$S307),0))</f>
        <v>-27987938.117670499</v>
      </c>
      <c r="V307" s="884">
        <f>IF(AND($AU$43="Early Payoff",J307&gt;$U$15),0,IF($J307&lt;=$U$8,SUM($T$20:$T307),0))</f>
        <v>-52417226.853276238</v>
      </c>
      <c r="W307" s="885">
        <f t="shared" si="136"/>
        <v>18497061.882329505</v>
      </c>
      <c r="X307" s="1110">
        <f t="shared" si="137"/>
        <v>18709493.023608878</v>
      </c>
      <c r="Z307" s="1102">
        <f t="shared" si="128"/>
        <v>0</v>
      </c>
      <c r="AA307" s="873">
        <f t="shared" si="129"/>
        <v>0</v>
      </c>
      <c r="AB307" s="873">
        <f t="shared" si="130"/>
        <v>0</v>
      </c>
      <c r="AC307" s="885">
        <f t="shared" si="131"/>
        <v>-307277.87674628111</v>
      </c>
    </row>
    <row r="308" spans="2:29" s="278" customFormat="1" ht="12" customHeight="1" x14ac:dyDescent="0.25">
      <c r="B308" s="1108">
        <f>IF(C308&lt;'Financing Assumptions'!$G$25,0,IF(C308='Financing Assumptions'!$G$25,1,IF(C308&gt;'Financing Assumptions'!$G$25,B307+1)))</f>
        <v>289</v>
      </c>
      <c r="C308" s="1109">
        <f t="shared" si="138"/>
        <v>291</v>
      </c>
      <c r="D308" s="732">
        <f t="shared" si="123"/>
        <v>30</v>
      </c>
      <c r="E308" s="35">
        <f t="shared" si="124"/>
        <v>4</v>
      </c>
      <c r="F308" s="889">
        <f t="shared" si="143"/>
        <v>54908</v>
      </c>
      <c r="G308" s="822">
        <f t="shared" si="125"/>
        <v>4</v>
      </c>
      <c r="H308" s="126">
        <f t="shared" si="126"/>
        <v>0</v>
      </c>
      <c r="I308" s="1098">
        <f t="shared" si="144"/>
        <v>0</v>
      </c>
      <c r="J308" s="887">
        <f t="shared" si="139"/>
        <v>289</v>
      </c>
      <c r="K308" s="1099">
        <f t="shared" si="132"/>
        <v>263</v>
      </c>
      <c r="L308" s="891" t="str">
        <f t="shared" si="133"/>
        <v>April</v>
      </c>
      <c r="M308" s="888">
        <f t="shared" si="140"/>
        <v>2050</v>
      </c>
      <c r="N308" s="1284">
        <f t="shared" si="145"/>
        <v>0</v>
      </c>
      <c r="O308" s="1284">
        <f t="shared" si="141"/>
        <v>0</v>
      </c>
      <c r="P308" s="883">
        <f t="shared" si="142"/>
        <v>18497061.882329505</v>
      </c>
      <c r="Q308" s="883">
        <f t="shared" si="134"/>
        <v>-307277.87674628111</v>
      </c>
      <c r="R308" s="1100"/>
      <c r="S308" s="883">
        <f t="shared" si="127"/>
        <v>-213508.0491483607</v>
      </c>
      <c r="T308" s="884">
        <f t="shared" si="135"/>
        <v>-93769.827597920405</v>
      </c>
      <c r="U308" s="884">
        <f>IF(AND($AU$43="Early Payoff",J308&gt;$U$15),0,IF($J308&lt;=$U$8,SUM($S$20:$S308),0))</f>
        <v>-28201446.166818861</v>
      </c>
      <c r="V308" s="884">
        <f>IF(AND($AU$43="Early Payoff",J308&gt;$U$15),0,IF($J308&lt;=$U$8,SUM($T$20:$T308),0))</f>
        <v>-52510996.680874161</v>
      </c>
      <c r="W308" s="885">
        <f t="shared" si="136"/>
        <v>18283553.833181143</v>
      </c>
      <c r="X308" s="1110">
        <f t="shared" si="137"/>
        <v>18497061.882329505</v>
      </c>
      <c r="Z308" s="1102">
        <f t="shared" si="128"/>
        <v>0</v>
      </c>
      <c r="AA308" s="873">
        <f t="shared" si="129"/>
        <v>0</v>
      </c>
      <c r="AB308" s="873">
        <f t="shared" si="130"/>
        <v>0</v>
      </c>
      <c r="AC308" s="885">
        <f t="shared" si="131"/>
        <v>-307277.87674628111</v>
      </c>
    </row>
    <row r="309" spans="2:29" s="278" customFormat="1" ht="12" customHeight="1" x14ac:dyDescent="0.25">
      <c r="B309" s="1108">
        <f>IF(C309&lt;'Financing Assumptions'!$G$25,0,IF(C309='Financing Assumptions'!$G$25,1,IF(C309&gt;'Financing Assumptions'!$G$25,B308+1)))</f>
        <v>290</v>
      </c>
      <c r="C309" s="1109">
        <f t="shared" si="138"/>
        <v>292</v>
      </c>
      <c r="D309" s="732">
        <f t="shared" si="123"/>
        <v>31</v>
      </c>
      <c r="E309" s="35">
        <f t="shared" si="124"/>
        <v>5</v>
      </c>
      <c r="F309" s="889">
        <f t="shared" si="143"/>
        <v>54939</v>
      </c>
      <c r="G309" s="822">
        <f t="shared" si="125"/>
        <v>5</v>
      </c>
      <c r="H309" s="126">
        <f t="shared" si="126"/>
        <v>0</v>
      </c>
      <c r="I309" s="1098">
        <f t="shared" si="144"/>
        <v>0</v>
      </c>
      <c r="J309" s="887">
        <f t="shared" si="139"/>
        <v>290</v>
      </c>
      <c r="K309" s="1099">
        <f t="shared" si="132"/>
        <v>264</v>
      </c>
      <c r="L309" s="891" t="str">
        <f t="shared" si="133"/>
        <v>May</v>
      </c>
      <c r="M309" s="888">
        <f t="shared" si="140"/>
        <v>2050</v>
      </c>
      <c r="N309" s="1284">
        <f t="shared" si="145"/>
        <v>0</v>
      </c>
      <c r="O309" s="1284">
        <f t="shared" si="141"/>
        <v>0</v>
      </c>
      <c r="P309" s="883">
        <f t="shared" si="142"/>
        <v>18283553.833181143</v>
      </c>
      <c r="Q309" s="883">
        <f t="shared" si="134"/>
        <v>-307277.87674628111</v>
      </c>
      <c r="R309" s="1100"/>
      <c r="S309" s="883">
        <f t="shared" si="127"/>
        <v>-214590.41634196002</v>
      </c>
      <c r="T309" s="884">
        <f t="shared" si="135"/>
        <v>-92687.460404321071</v>
      </c>
      <c r="U309" s="884">
        <f>IF(AND($AU$43="Early Payoff",J309&gt;$U$15),0,IF($J309&lt;=$U$8,SUM($S$20:$S309),0))</f>
        <v>-28416036.583160821</v>
      </c>
      <c r="V309" s="884">
        <f>IF(AND($AU$43="Early Payoff",J309&gt;$U$15),0,IF($J309&lt;=$U$8,SUM($T$20:$T309),0))</f>
        <v>-52603684.141278483</v>
      </c>
      <c r="W309" s="885">
        <f t="shared" si="136"/>
        <v>18068963.416839182</v>
      </c>
      <c r="X309" s="1110">
        <f t="shared" si="137"/>
        <v>18283553.833181143</v>
      </c>
      <c r="Z309" s="1102">
        <f t="shared" si="128"/>
        <v>0</v>
      </c>
      <c r="AA309" s="873">
        <f t="shared" si="129"/>
        <v>0</v>
      </c>
      <c r="AB309" s="873">
        <f t="shared" si="130"/>
        <v>0</v>
      </c>
      <c r="AC309" s="885">
        <f t="shared" si="131"/>
        <v>-307277.87674628111</v>
      </c>
    </row>
    <row r="310" spans="2:29" s="278" customFormat="1" ht="12" customHeight="1" x14ac:dyDescent="0.25">
      <c r="B310" s="1108">
        <f>IF(C310&lt;'Financing Assumptions'!$G$25,0,IF(C310='Financing Assumptions'!$G$25,1,IF(C310&gt;'Financing Assumptions'!$G$25,B309+1)))</f>
        <v>291</v>
      </c>
      <c r="C310" s="1109">
        <f t="shared" si="138"/>
        <v>293</v>
      </c>
      <c r="D310" s="732">
        <f t="shared" si="123"/>
        <v>30</v>
      </c>
      <c r="E310" s="35">
        <f t="shared" si="124"/>
        <v>6</v>
      </c>
      <c r="F310" s="889">
        <f t="shared" si="143"/>
        <v>54969</v>
      </c>
      <c r="G310" s="822">
        <f t="shared" si="125"/>
        <v>6</v>
      </c>
      <c r="H310" s="126">
        <f t="shared" si="126"/>
        <v>0</v>
      </c>
      <c r="I310" s="1098">
        <f t="shared" si="144"/>
        <v>0</v>
      </c>
      <c r="J310" s="887">
        <f t="shared" si="139"/>
        <v>291</v>
      </c>
      <c r="K310" s="1099">
        <f t="shared" si="132"/>
        <v>265</v>
      </c>
      <c r="L310" s="891" t="str">
        <f t="shared" si="133"/>
        <v>June</v>
      </c>
      <c r="M310" s="888">
        <f t="shared" si="140"/>
        <v>2050</v>
      </c>
      <c r="N310" s="1284">
        <f t="shared" si="145"/>
        <v>0</v>
      </c>
      <c r="O310" s="1284">
        <f t="shared" si="141"/>
        <v>0</v>
      </c>
      <c r="P310" s="883">
        <f t="shared" si="142"/>
        <v>18068963.416839182</v>
      </c>
      <c r="Q310" s="883">
        <f t="shared" si="134"/>
        <v>-307277.87674628111</v>
      </c>
      <c r="R310" s="1100"/>
      <c r="S310" s="883">
        <f t="shared" si="127"/>
        <v>-215678.2705359158</v>
      </c>
      <c r="T310" s="884">
        <f t="shared" si="135"/>
        <v>-91599.606210365295</v>
      </c>
      <c r="U310" s="884">
        <f>IF(AND($AU$43="Early Payoff",J310&gt;$U$15),0,IF($J310&lt;=$U$8,SUM($S$20:$S310),0))</f>
        <v>-28631714.853696737</v>
      </c>
      <c r="V310" s="884">
        <f>IF(AND($AU$43="Early Payoff",J310&gt;$U$15),0,IF($J310&lt;=$U$8,SUM($T$20:$T310),0))</f>
        <v>-52695283.747488849</v>
      </c>
      <c r="W310" s="885">
        <f t="shared" si="136"/>
        <v>17853285.146303266</v>
      </c>
      <c r="X310" s="1110">
        <f t="shared" si="137"/>
        <v>18068963.416839182</v>
      </c>
      <c r="Z310" s="1102">
        <f t="shared" si="128"/>
        <v>0</v>
      </c>
      <c r="AA310" s="873">
        <f t="shared" si="129"/>
        <v>0</v>
      </c>
      <c r="AB310" s="873">
        <f t="shared" si="130"/>
        <v>0</v>
      </c>
      <c r="AC310" s="885">
        <f t="shared" si="131"/>
        <v>-307277.87674628111</v>
      </c>
    </row>
    <row r="311" spans="2:29" s="278" customFormat="1" ht="12" customHeight="1" x14ac:dyDescent="0.25">
      <c r="B311" s="1108">
        <f>IF(C311&lt;'Financing Assumptions'!$G$25,0,IF(C311='Financing Assumptions'!$G$25,1,IF(C311&gt;'Financing Assumptions'!$G$25,B310+1)))</f>
        <v>292</v>
      </c>
      <c r="C311" s="1109">
        <f t="shared" si="138"/>
        <v>294</v>
      </c>
      <c r="D311" s="732">
        <f t="shared" si="123"/>
        <v>31</v>
      </c>
      <c r="E311" s="35">
        <f t="shared" si="124"/>
        <v>7</v>
      </c>
      <c r="F311" s="889">
        <f t="shared" si="143"/>
        <v>55000</v>
      </c>
      <c r="G311" s="822">
        <f t="shared" si="125"/>
        <v>7</v>
      </c>
      <c r="H311" s="126">
        <f t="shared" si="126"/>
        <v>0</v>
      </c>
      <c r="I311" s="1098">
        <f t="shared" si="144"/>
        <v>0</v>
      </c>
      <c r="J311" s="887">
        <f t="shared" si="139"/>
        <v>292</v>
      </c>
      <c r="K311" s="1099">
        <f t="shared" si="132"/>
        <v>266</v>
      </c>
      <c r="L311" s="891" t="str">
        <f t="shared" si="133"/>
        <v>July</v>
      </c>
      <c r="M311" s="888">
        <f t="shared" si="140"/>
        <v>2050</v>
      </c>
      <c r="N311" s="1284">
        <f t="shared" si="145"/>
        <v>0</v>
      </c>
      <c r="O311" s="1284">
        <f t="shared" si="141"/>
        <v>0</v>
      </c>
      <c r="P311" s="883">
        <f t="shared" si="142"/>
        <v>17853285.146303266</v>
      </c>
      <c r="Q311" s="883">
        <f t="shared" si="134"/>
        <v>-307277.87674628111</v>
      </c>
      <c r="R311" s="1100"/>
      <c r="S311" s="883">
        <f t="shared" si="127"/>
        <v>-216771.6395462715</v>
      </c>
      <c r="T311" s="884">
        <f t="shared" si="135"/>
        <v>-90506.237200009607</v>
      </c>
      <c r="U311" s="884">
        <f>IF(AND($AU$43="Early Payoff",J311&gt;$U$15),0,IF($J311&lt;=$U$8,SUM($S$20:$S311),0))</f>
        <v>-28848486.493243009</v>
      </c>
      <c r="V311" s="884">
        <f>IF(AND($AU$43="Early Payoff",J311&gt;$U$15),0,IF($J311&lt;=$U$8,SUM($T$20:$T311),0))</f>
        <v>-52785789.984688856</v>
      </c>
      <c r="W311" s="885">
        <f t="shared" si="136"/>
        <v>17636513.506756995</v>
      </c>
      <c r="X311" s="1110">
        <f t="shared" si="137"/>
        <v>17853285.146303266</v>
      </c>
      <c r="Z311" s="1102">
        <f t="shared" si="128"/>
        <v>0</v>
      </c>
      <c r="AA311" s="873">
        <f t="shared" si="129"/>
        <v>0</v>
      </c>
      <c r="AB311" s="873">
        <f t="shared" si="130"/>
        <v>0</v>
      </c>
      <c r="AC311" s="885">
        <f t="shared" si="131"/>
        <v>-307277.87674628111</v>
      </c>
    </row>
    <row r="312" spans="2:29" s="278" customFormat="1" ht="12" customHeight="1" x14ac:dyDescent="0.25">
      <c r="B312" s="1108">
        <f>IF(C312&lt;'Financing Assumptions'!$G$25,0,IF(C312='Financing Assumptions'!$G$25,1,IF(C312&gt;'Financing Assumptions'!$G$25,B311+1)))</f>
        <v>293</v>
      </c>
      <c r="C312" s="1109">
        <f t="shared" si="138"/>
        <v>295</v>
      </c>
      <c r="D312" s="732">
        <f t="shared" si="123"/>
        <v>31</v>
      </c>
      <c r="E312" s="35">
        <f t="shared" si="124"/>
        <v>8</v>
      </c>
      <c r="F312" s="889">
        <f t="shared" si="143"/>
        <v>55031</v>
      </c>
      <c r="G312" s="822">
        <f t="shared" si="125"/>
        <v>8</v>
      </c>
      <c r="H312" s="126">
        <f t="shared" si="126"/>
        <v>0</v>
      </c>
      <c r="I312" s="1098">
        <f t="shared" si="144"/>
        <v>0</v>
      </c>
      <c r="J312" s="887">
        <f t="shared" si="139"/>
        <v>293</v>
      </c>
      <c r="K312" s="1099">
        <f t="shared" si="132"/>
        <v>267</v>
      </c>
      <c r="L312" s="891" t="str">
        <f t="shared" si="133"/>
        <v>August</v>
      </c>
      <c r="M312" s="888">
        <f t="shared" si="140"/>
        <v>2050</v>
      </c>
      <c r="N312" s="1284">
        <f t="shared" si="145"/>
        <v>0</v>
      </c>
      <c r="O312" s="1284">
        <f t="shared" si="141"/>
        <v>0</v>
      </c>
      <c r="P312" s="883">
        <f t="shared" si="142"/>
        <v>17636513.506756995</v>
      </c>
      <c r="Q312" s="883">
        <f t="shared" si="134"/>
        <v>-307277.87674628111</v>
      </c>
      <c r="R312" s="1100"/>
      <c r="S312" s="883">
        <f t="shared" si="127"/>
        <v>-217870.55133008247</v>
      </c>
      <c r="T312" s="884">
        <f t="shared" si="135"/>
        <v>-89407.325416198655</v>
      </c>
      <c r="U312" s="884">
        <f>IF(AND($AU$43="Early Payoff",J312&gt;$U$15),0,IF($J312&lt;=$U$8,SUM($S$20:$S312),0))</f>
        <v>-29066357.044573091</v>
      </c>
      <c r="V312" s="884">
        <f>IF(AND($AU$43="Early Payoff",J312&gt;$U$15),0,IF($J312&lt;=$U$8,SUM($T$20:$T312),0))</f>
        <v>-52875197.310105056</v>
      </c>
      <c r="W312" s="885">
        <f t="shared" si="136"/>
        <v>17418642.955426913</v>
      </c>
      <c r="X312" s="1110">
        <f t="shared" si="137"/>
        <v>17636513.506756995</v>
      </c>
      <c r="Z312" s="1102">
        <f t="shared" si="128"/>
        <v>0</v>
      </c>
      <c r="AA312" s="873">
        <f t="shared" si="129"/>
        <v>0</v>
      </c>
      <c r="AB312" s="873">
        <f t="shared" si="130"/>
        <v>0</v>
      </c>
      <c r="AC312" s="885">
        <f t="shared" si="131"/>
        <v>-307277.87674628111</v>
      </c>
    </row>
    <row r="313" spans="2:29" s="278" customFormat="1" ht="12" customHeight="1" x14ac:dyDescent="0.25">
      <c r="B313" s="1108">
        <f>IF(C313&lt;'Financing Assumptions'!$G$25,0,IF(C313='Financing Assumptions'!$G$25,1,IF(C313&gt;'Financing Assumptions'!$G$25,B312+1)))</f>
        <v>294</v>
      </c>
      <c r="C313" s="1109">
        <f t="shared" si="138"/>
        <v>296</v>
      </c>
      <c r="D313" s="732">
        <f t="shared" si="123"/>
        <v>30</v>
      </c>
      <c r="E313" s="35">
        <f t="shared" si="124"/>
        <v>9</v>
      </c>
      <c r="F313" s="889">
        <f t="shared" si="143"/>
        <v>55061</v>
      </c>
      <c r="G313" s="822">
        <f t="shared" si="125"/>
        <v>9</v>
      </c>
      <c r="H313" s="126">
        <f t="shared" si="126"/>
        <v>0</v>
      </c>
      <c r="I313" s="1098">
        <f t="shared" si="144"/>
        <v>0</v>
      </c>
      <c r="J313" s="887">
        <f t="shared" si="139"/>
        <v>294</v>
      </c>
      <c r="K313" s="1099">
        <f t="shared" si="132"/>
        <v>268</v>
      </c>
      <c r="L313" s="891" t="str">
        <f t="shared" si="133"/>
        <v>September</v>
      </c>
      <c r="M313" s="888">
        <f t="shared" si="140"/>
        <v>2050</v>
      </c>
      <c r="N313" s="1284">
        <f t="shared" si="145"/>
        <v>0</v>
      </c>
      <c r="O313" s="1284">
        <f t="shared" si="141"/>
        <v>0</v>
      </c>
      <c r="P313" s="883">
        <f t="shared" si="142"/>
        <v>17418642.955426913</v>
      </c>
      <c r="Q313" s="883">
        <f t="shared" si="134"/>
        <v>-307277.87674628111</v>
      </c>
      <c r="R313" s="1100"/>
      <c r="S313" s="883">
        <f t="shared" si="127"/>
        <v>-218975.03398613079</v>
      </c>
      <c r="T313" s="884">
        <f t="shared" si="135"/>
        <v>-88302.842760150321</v>
      </c>
      <c r="U313" s="884">
        <f>IF(AND($AU$43="Early Payoff",J313&gt;$U$15),0,IF($J313&lt;=$U$8,SUM($S$20:$S313),0))</f>
        <v>-29285332.078559224</v>
      </c>
      <c r="V313" s="884">
        <f>IF(AND($AU$43="Early Payoff",J313&gt;$U$15),0,IF($J313&lt;=$U$8,SUM($T$20:$T313),0))</f>
        <v>-52963500.152865209</v>
      </c>
      <c r="W313" s="885">
        <f t="shared" si="136"/>
        <v>17199667.92144078</v>
      </c>
      <c r="X313" s="1110">
        <f t="shared" si="137"/>
        <v>17418642.955426913</v>
      </c>
      <c r="Z313" s="1102">
        <f t="shared" si="128"/>
        <v>0</v>
      </c>
      <c r="AA313" s="873">
        <f t="shared" si="129"/>
        <v>0</v>
      </c>
      <c r="AB313" s="873">
        <f t="shared" si="130"/>
        <v>0</v>
      </c>
      <c r="AC313" s="885">
        <f t="shared" si="131"/>
        <v>-307277.87674628111</v>
      </c>
    </row>
    <row r="314" spans="2:29" s="278" customFormat="1" ht="12" customHeight="1" x14ac:dyDescent="0.25">
      <c r="B314" s="1108">
        <f>IF(C314&lt;'Financing Assumptions'!$G$25,0,IF(C314='Financing Assumptions'!$G$25,1,IF(C314&gt;'Financing Assumptions'!$G$25,B313+1)))</f>
        <v>295</v>
      </c>
      <c r="C314" s="1109">
        <f t="shared" si="138"/>
        <v>297</v>
      </c>
      <c r="D314" s="732">
        <f t="shared" si="123"/>
        <v>31</v>
      </c>
      <c r="E314" s="35">
        <f t="shared" si="124"/>
        <v>10</v>
      </c>
      <c r="F314" s="889">
        <f t="shared" si="143"/>
        <v>55092</v>
      </c>
      <c r="G314" s="822">
        <f t="shared" si="125"/>
        <v>10</v>
      </c>
      <c r="H314" s="126">
        <f t="shared" si="126"/>
        <v>0</v>
      </c>
      <c r="I314" s="1098">
        <f t="shared" si="144"/>
        <v>0</v>
      </c>
      <c r="J314" s="887">
        <f t="shared" si="139"/>
        <v>295</v>
      </c>
      <c r="K314" s="1099">
        <f t="shared" si="132"/>
        <v>269</v>
      </c>
      <c r="L314" s="891" t="str">
        <f t="shared" si="133"/>
        <v>October</v>
      </c>
      <c r="M314" s="888">
        <f t="shared" si="140"/>
        <v>2050</v>
      </c>
      <c r="N314" s="1284">
        <f t="shared" si="145"/>
        <v>0</v>
      </c>
      <c r="O314" s="1284">
        <f t="shared" si="141"/>
        <v>0</v>
      </c>
      <c r="P314" s="883">
        <f t="shared" si="142"/>
        <v>17199667.92144078</v>
      </c>
      <c r="Q314" s="883">
        <f t="shared" si="134"/>
        <v>-307277.87674628111</v>
      </c>
      <c r="R314" s="1100"/>
      <c r="S314" s="883">
        <f t="shared" si="127"/>
        <v>-220085.11575564381</v>
      </c>
      <c r="T314" s="884">
        <f t="shared" si="135"/>
        <v>-87192.760990637282</v>
      </c>
      <c r="U314" s="884">
        <f>IF(AND($AU$43="Early Payoff",J314&gt;$U$15),0,IF($J314&lt;=$U$8,SUM($S$20:$S314),0))</f>
        <v>-29505417.194314867</v>
      </c>
      <c r="V314" s="884">
        <f>IF(AND($AU$43="Early Payoff",J314&gt;$U$15),0,IF($J314&lt;=$U$8,SUM($T$20:$T314),0))</f>
        <v>-53050692.913855843</v>
      </c>
      <c r="W314" s="885">
        <f t="shared" si="136"/>
        <v>16979582.805685136</v>
      </c>
      <c r="X314" s="1110">
        <f t="shared" si="137"/>
        <v>17199667.92144078</v>
      </c>
      <c r="Z314" s="1102">
        <f t="shared" si="128"/>
        <v>0</v>
      </c>
      <c r="AA314" s="873">
        <f t="shared" si="129"/>
        <v>0</v>
      </c>
      <c r="AB314" s="873">
        <f t="shared" si="130"/>
        <v>0</v>
      </c>
      <c r="AC314" s="885">
        <f t="shared" si="131"/>
        <v>-307277.87674628111</v>
      </c>
    </row>
    <row r="315" spans="2:29" s="278" customFormat="1" ht="12" customHeight="1" x14ac:dyDescent="0.25">
      <c r="B315" s="1108">
        <f>IF(C315&lt;'Financing Assumptions'!$G$25,0,IF(C315='Financing Assumptions'!$G$25,1,IF(C315&gt;'Financing Assumptions'!$G$25,B314+1)))</f>
        <v>296</v>
      </c>
      <c r="C315" s="1109">
        <f t="shared" si="138"/>
        <v>298</v>
      </c>
      <c r="D315" s="732">
        <f t="shared" si="123"/>
        <v>30</v>
      </c>
      <c r="E315" s="35">
        <f t="shared" si="124"/>
        <v>11</v>
      </c>
      <c r="F315" s="889">
        <f t="shared" si="143"/>
        <v>55122</v>
      </c>
      <c r="G315" s="822">
        <f t="shared" si="125"/>
        <v>11</v>
      </c>
      <c r="H315" s="126">
        <f t="shared" si="126"/>
        <v>0</v>
      </c>
      <c r="I315" s="1098">
        <f t="shared" si="144"/>
        <v>0</v>
      </c>
      <c r="J315" s="887">
        <f t="shared" si="139"/>
        <v>296</v>
      </c>
      <c r="K315" s="1099">
        <f t="shared" si="132"/>
        <v>270</v>
      </c>
      <c r="L315" s="891" t="str">
        <f t="shared" si="133"/>
        <v>November</v>
      </c>
      <c r="M315" s="888">
        <f t="shared" si="140"/>
        <v>2050</v>
      </c>
      <c r="N315" s="1284">
        <f t="shared" si="145"/>
        <v>0</v>
      </c>
      <c r="O315" s="1284">
        <f t="shared" si="141"/>
        <v>0</v>
      </c>
      <c r="P315" s="883">
        <f t="shared" si="142"/>
        <v>16979582.805685136</v>
      </c>
      <c r="Q315" s="883">
        <f t="shared" si="134"/>
        <v>-307277.87674628111</v>
      </c>
      <c r="R315" s="1100"/>
      <c r="S315" s="883">
        <f t="shared" si="127"/>
        <v>-221200.82502301619</v>
      </c>
      <c r="T315" s="884">
        <f t="shared" si="135"/>
        <v>-86077.051723264929</v>
      </c>
      <c r="U315" s="884">
        <f>IF(AND($AU$43="Early Payoff",J315&gt;$U$15),0,IF($J315&lt;=$U$8,SUM($S$20:$S315),0))</f>
        <v>-29726618.019337885</v>
      </c>
      <c r="V315" s="884">
        <f>IF(AND($AU$43="Early Payoff",J315&gt;$U$15),0,IF($J315&lt;=$U$8,SUM($T$20:$T315),0))</f>
        <v>-53136769.965579107</v>
      </c>
      <c r="W315" s="885">
        <f t="shared" si="136"/>
        <v>16758381.980662121</v>
      </c>
      <c r="X315" s="1110">
        <f t="shared" si="137"/>
        <v>16979582.805685136</v>
      </c>
      <c r="Z315" s="1102">
        <f t="shared" si="128"/>
        <v>0</v>
      </c>
      <c r="AA315" s="873">
        <f t="shared" si="129"/>
        <v>0</v>
      </c>
      <c r="AB315" s="873">
        <f t="shared" si="130"/>
        <v>0</v>
      </c>
      <c r="AC315" s="885">
        <f t="shared" si="131"/>
        <v>-307277.87674628111</v>
      </c>
    </row>
    <row r="316" spans="2:29" s="278" customFormat="1" ht="12" customHeight="1" x14ac:dyDescent="0.25">
      <c r="B316" s="1108">
        <f>IF(C316&lt;'Financing Assumptions'!$G$25,0,IF(C316='Financing Assumptions'!$G$25,1,IF(C316&gt;'Financing Assumptions'!$G$25,B315+1)))</f>
        <v>297</v>
      </c>
      <c r="C316" s="1109">
        <f t="shared" si="138"/>
        <v>299</v>
      </c>
      <c r="D316" s="732">
        <f t="shared" si="123"/>
        <v>31</v>
      </c>
      <c r="E316" s="35">
        <f t="shared" si="124"/>
        <v>12</v>
      </c>
      <c r="F316" s="889">
        <f t="shared" si="143"/>
        <v>55153</v>
      </c>
      <c r="G316" s="822">
        <f t="shared" si="125"/>
        <v>12</v>
      </c>
      <c r="H316" s="126">
        <f t="shared" si="126"/>
        <v>1</v>
      </c>
      <c r="I316" s="1098">
        <f t="shared" si="144"/>
        <v>0</v>
      </c>
      <c r="J316" s="887">
        <f t="shared" si="139"/>
        <v>297</v>
      </c>
      <c r="K316" s="1099">
        <f t="shared" si="132"/>
        <v>271</v>
      </c>
      <c r="L316" s="891" t="str">
        <f t="shared" si="133"/>
        <v>December</v>
      </c>
      <c r="M316" s="888">
        <f t="shared" si="140"/>
        <v>2050</v>
      </c>
      <c r="N316" s="1284">
        <f t="shared" si="145"/>
        <v>0</v>
      </c>
      <c r="O316" s="1284">
        <f t="shared" si="141"/>
        <v>0</v>
      </c>
      <c r="P316" s="883">
        <f t="shared" si="142"/>
        <v>16758381.980662121</v>
      </c>
      <c r="Q316" s="883">
        <f t="shared" si="134"/>
        <v>-307277.87674628111</v>
      </c>
      <c r="R316" s="1100"/>
      <c r="S316" s="883">
        <f t="shared" si="127"/>
        <v>-222322.19031653565</v>
      </c>
      <c r="T316" s="884">
        <f t="shared" si="135"/>
        <v>-84955.686429745459</v>
      </c>
      <c r="U316" s="884">
        <f>IF(AND($AU$43="Early Payoff",J316&gt;$U$15),0,IF($J316&lt;=$U$8,SUM($S$20:$S316),0))</f>
        <v>-29948940.209654421</v>
      </c>
      <c r="V316" s="884">
        <f>IF(AND($AU$43="Early Payoff",J316&gt;$U$15),0,IF($J316&lt;=$U$8,SUM($T$20:$T316),0))</f>
        <v>-53221725.652008854</v>
      </c>
      <c r="W316" s="885">
        <f t="shared" si="136"/>
        <v>16536059.790345585</v>
      </c>
      <c r="X316" s="1110">
        <f t="shared" si="137"/>
        <v>16758381.980662121</v>
      </c>
      <c r="Z316" s="1102">
        <f t="shared" si="128"/>
        <v>0</v>
      </c>
      <c r="AA316" s="873">
        <f t="shared" si="129"/>
        <v>0</v>
      </c>
      <c r="AB316" s="873">
        <f t="shared" si="130"/>
        <v>0</v>
      </c>
      <c r="AC316" s="885">
        <f t="shared" si="131"/>
        <v>-307277.87674628111</v>
      </c>
    </row>
    <row r="317" spans="2:29" s="278" customFormat="1" ht="12" customHeight="1" x14ac:dyDescent="0.25">
      <c r="B317" s="1108">
        <f>IF(C317&lt;'Financing Assumptions'!$G$25,0,IF(C317='Financing Assumptions'!$G$25,1,IF(C317&gt;'Financing Assumptions'!$G$25,B316+1)))</f>
        <v>298</v>
      </c>
      <c r="C317" s="1109">
        <f t="shared" si="138"/>
        <v>300</v>
      </c>
      <c r="D317" s="732">
        <f t="shared" si="123"/>
        <v>31</v>
      </c>
      <c r="E317" s="35">
        <f t="shared" si="124"/>
        <v>1</v>
      </c>
      <c r="F317" s="889">
        <f t="shared" si="143"/>
        <v>55184</v>
      </c>
      <c r="G317" s="822">
        <f t="shared" si="125"/>
        <v>1</v>
      </c>
      <c r="H317" s="126">
        <f t="shared" si="126"/>
        <v>0</v>
      </c>
      <c r="I317" s="1098">
        <f t="shared" si="144"/>
        <v>0</v>
      </c>
      <c r="J317" s="887">
        <f t="shared" si="139"/>
        <v>298</v>
      </c>
      <c r="K317" s="1099">
        <f t="shared" si="132"/>
        <v>272</v>
      </c>
      <c r="L317" s="891" t="str">
        <f t="shared" si="133"/>
        <v>January</v>
      </c>
      <c r="M317" s="888">
        <f t="shared" si="140"/>
        <v>2051</v>
      </c>
      <c r="N317" s="1284">
        <f t="shared" si="145"/>
        <v>0</v>
      </c>
      <c r="O317" s="1284">
        <f t="shared" si="141"/>
        <v>0</v>
      </c>
      <c r="P317" s="883">
        <f t="shared" si="142"/>
        <v>16536059.790345585</v>
      </c>
      <c r="Q317" s="883">
        <f t="shared" si="134"/>
        <v>-307277.87674628111</v>
      </c>
      <c r="R317" s="1100"/>
      <c r="S317" s="883">
        <f t="shared" si="127"/>
        <v>-223449.24030911253</v>
      </c>
      <c r="T317" s="884">
        <f t="shared" si="135"/>
        <v>-83828.636437168592</v>
      </c>
      <c r="U317" s="884">
        <f>IF(AND($AU$43="Early Payoff",J317&gt;$U$15),0,IF($J317&lt;=$U$8,SUM($S$20:$S317),0))</f>
        <v>-30172389.449963532</v>
      </c>
      <c r="V317" s="884">
        <f>IF(AND($AU$43="Early Payoff",J317&gt;$U$15),0,IF($J317&lt;=$U$8,SUM($T$20:$T317),0))</f>
        <v>-53305554.288446024</v>
      </c>
      <c r="W317" s="885">
        <f t="shared" si="136"/>
        <v>16312610.550036473</v>
      </c>
      <c r="X317" s="1110">
        <f t="shared" si="137"/>
        <v>16536059.790345585</v>
      </c>
      <c r="Z317" s="1102">
        <f t="shared" si="128"/>
        <v>0</v>
      </c>
      <c r="AA317" s="873">
        <f t="shared" si="129"/>
        <v>0</v>
      </c>
      <c r="AB317" s="873">
        <f t="shared" si="130"/>
        <v>0</v>
      </c>
      <c r="AC317" s="885">
        <f t="shared" si="131"/>
        <v>-307277.87674628111</v>
      </c>
    </row>
    <row r="318" spans="2:29" s="278" customFormat="1" ht="12" customHeight="1" x14ac:dyDescent="0.25">
      <c r="B318" s="1108">
        <f>IF(C318&lt;'Financing Assumptions'!$G$25,0,IF(C318='Financing Assumptions'!$G$25,1,IF(C318&gt;'Financing Assumptions'!$G$25,B317+1)))</f>
        <v>299</v>
      </c>
      <c r="C318" s="1109">
        <f t="shared" si="138"/>
        <v>301</v>
      </c>
      <c r="D318" s="732">
        <f t="shared" si="123"/>
        <v>28</v>
      </c>
      <c r="E318" s="35">
        <f t="shared" si="124"/>
        <v>2</v>
      </c>
      <c r="F318" s="889">
        <f t="shared" si="143"/>
        <v>55212</v>
      </c>
      <c r="G318" s="822">
        <f t="shared" si="125"/>
        <v>2</v>
      </c>
      <c r="H318" s="126">
        <f t="shared" si="126"/>
        <v>0</v>
      </c>
      <c r="I318" s="1098">
        <f t="shared" si="144"/>
        <v>0</v>
      </c>
      <c r="J318" s="887">
        <f t="shared" si="139"/>
        <v>299</v>
      </c>
      <c r="K318" s="1099">
        <f t="shared" si="132"/>
        <v>273</v>
      </c>
      <c r="L318" s="891" t="str">
        <f t="shared" si="133"/>
        <v>February</v>
      </c>
      <c r="M318" s="888">
        <f t="shared" si="140"/>
        <v>2051</v>
      </c>
      <c r="N318" s="1284">
        <f t="shared" si="145"/>
        <v>0</v>
      </c>
      <c r="O318" s="1284">
        <f t="shared" si="141"/>
        <v>0</v>
      </c>
      <c r="P318" s="883">
        <f t="shared" si="142"/>
        <v>16312610.550036473</v>
      </c>
      <c r="Q318" s="883">
        <f t="shared" si="134"/>
        <v>-307277.87674628111</v>
      </c>
      <c r="R318" s="1100"/>
      <c r="S318" s="883">
        <f t="shared" si="127"/>
        <v>-224582.0038190129</v>
      </c>
      <c r="T318" s="884">
        <f t="shared" si="135"/>
        <v>-82695.872927268225</v>
      </c>
      <c r="U318" s="884">
        <f>IF(AND($AU$43="Early Payoff",J318&gt;$U$15),0,IF($J318&lt;=$U$8,SUM($S$20:$S318),0))</f>
        <v>-30396971.453782544</v>
      </c>
      <c r="V318" s="884">
        <f>IF(AND($AU$43="Early Payoff",J318&gt;$U$15),0,IF($J318&lt;=$U$8,SUM($T$20:$T318),0))</f>
        <v>-53388250.161373295</v>
      </c>
      <c r="W318" s="885">
        <f t="shared" si="136"/>
        <v>16088028.54621746</v>
      </c>
      <c r="X318" s="1110">
        <f t="shared" si="137"/>
        <v>16312610.550036473</v>
      </c>
      <c r="Z318" s="1102">
        <f t="shared" si="128"/>
        <v>0</v>
      </c>
      <c r="AA318" s="873">
        <f t="shared" si="129"/>
        <v>0</v>
      </c>
      <c r="AB318" s="873">
        <f t="shared" si="130"/>
        <v>0</v>
      </c>
      <c r="AC318" s="885">
        <f t="shared" si="131"/>
        <v>-307277.87674628111</v>
      </c>
    </row>
    <row r="319" spans="2:29" s="278" customFormat="1" ht="12" customHeight="1" x14ac:dyDescent="0.25">
      <c r="B319" s="1108">
        <f>IF(C319&lt;'Financing Assumptions'!$G$25,0,IF(C319='Financing Assumptions'!$G$25,1,IF(C319&gt;'Financing Assumptions'!$G$25,B318+1)))</f>
        <v>300</v>
      </c>
      <c r="C319" s="1109">
        <f t="shared" si="138"/>
        <v>302</v>
      </c>
      <c r="D319" s="732">
        <f t="shared" si="123"/>
        <v>31</v>
      </c>
      <c r="E319" s="35">
        <f t="shared" si="124"/>
        <v>3</v>
      </c>
      <c r="F319" s="889">
        <f t="shared" si="143"/>
        <v>55243</v>
      </c>
      <c r="G319" s="822">
        <f t="shared" si="125"/>
        <v>3</v>
      </c>
      <c r="H319" s="126">
        <f t="shared" si="126"/>
        <v>0</v>
      </c>
      <c r="I319" s="1098">
        <f t="shared" si="144"/>
        <v>0</v>
      </c>
      <c r="J319" s="887">
        <f t="shared" si="139"/>
        <v>300</v>
      </c>
      <c r="K319" s="1099">
        <f t="shared" si="132"/>
        <v>274</v>
      </c>
      <c r="L319" s="891" t="str">
        <f t="shared" si="133"/>
        <v>March</v>
      </c>
      <c r="M319" s="888">
        <f t="shared" si="140"/>
        <v>2051</v>
      </c>
      <c r="N319" s="1284">
        <f t="shared" si="145"/>
        <v>0</v>
      </c>
      <c r="O319" s="1284">
        <f t="shared" si="141"/>
        <v>0</v>
      </c>
      <c r="P319" s="883">
        <f t="shared" si="142"/>
        <v>16088028.54621746</v>
      </c>
      <c r="Q319" s="883">
        <f t="shared" si="134"/>
        <v>-307277.87674628111</v>
      </c>
      <c r="R319" s="1100"/>
      <c r="S319" s="883">
        <f t="shared" si="127"/>
        <v>-225720.50981059537</v>
      </c>
      <c r="T319" s="884">
        <f t="shared" si="135"/>
        <v>-81557.366935685728</v>
      </c>
      <c r="U319" s="884">
        <f>IF(AND($AU$43="Early Payoff",J319&gt;$U$15),0,IF($J319&lt;=$U$8,SUM($S$20:$S319),0))</f>
        <v>-30622691.96359314</v>
      </c>
      <c r="V319" s="884">
        <f>IF(AND($AU$43="Early Payoff",J319&gt;$U$15),0,IF($J319&lt;=$U$8,SUM($T$20:$T319),0))</f>
        <v>-53469807.52830898</v>
      </c>
      <c r="W319" s="885">
        <f t="shared" si="136"/>
        <v>15862308.036406865</v>
      </c>
      <c r="X319" s="1110">
        <f t="shared" si="137"/>
        <v>16088028.54621746</v>
      </c>
      <c r="Z319" s="1102">
        <f t="shared" si="128"/>
        <v>0</v>
      </c>
      <c r="AA319" s="873">
        <f t="shared" si="129"/>
        <v>0</v>
      </c>
      <c r="AB319" s="873">
        <f t="shared" si="130"/>
        <v>0</v>
      </c>
      <c r="AC319" s="885">
        <f t="shared" si="131"/>
        <v>-307277.87674628111</v>
      </c>
    </row>
    <row r="320" spans="2:29" s="278" customFormat="1" ht="12" customHeight="1" x14ac:dyDescent="0.25">
      <c r="B320" s="1108">
        <f>IF(C320&lt;'Financing Assumptions'!$G$25,0,IF(C320='Financing Assumptions'!$G$25,1,IF(C320&gt;'Financing Assumptions'!$G$25,B319+1)))</f>
        <v>301</v>
      </c>
      <c r="C320" s="1109">
        <f t="shared" si="138"/>
        <v>303</v>
      </c>
      <c r="D320" s="732">
        <f t="shared" si="123"/>
        <v>30</v>
      </c>
      <c r="E320" s="35">
        <f t="shared" si="124"/>
        <v>4</v>
      </c>
      <c r="F320" s="889">
        <f t="shared" si="143"/>
        <v>55273</v>
      </c>
      <c r="G320" s="822">
        <f t="shared" si="125"/>
        <v>4</v>
      </c>
      <c r="H320" s="126">
        <f t="shared" si="126"/>
        <v>0</v>
      </c>
      <c r="I320" s="1098">
        <f t="shared" si="144"/>
        <v>0</v>
      </c>
      <c r="J320" s="887">
        <f t="shared" si="139"/>
        <v>301</v>
      </c>
      <c r="K320" s="1099">
        <f t="shared" si="132"/>
        <v>275</v>
      </c>
      <c r="L320" s="891" t="str">
        <f t="shared" si="133"/>
        <v>April</v>
      </c>
      <c r="M320" s="888">
        <f t="shared" si="140"/>
        <v>2051</v>
      </c>
      <c r="N320" s="1284">
        <f t="shared" si="145"/>
        <v>0</v>
      </c>
      <c r="O320" s="1284">
        <f t="shared" si="141"/>
        <v>0</v>
      </c>
      <c r="P320" s="883">
        <f t="shared" si="142"/>
        <v>15862308.036406865</v>
      </c>
      <c r="Q320" s="883">
        <f t="shared" si="134"/>
        <v>-307277.87674628111</v>
      </c>
      <c r="R320" s="1100"/>
      <c r="S320" s="883">
        <f t="shared" si="127"/>
        <v>-226864.78739505186</v>
      </c>
      <c r="T320" s="884">
        <f t="shared" si="135"/>
        <v>-80413.089351229239</v>
      </c>
      <c r="U320" s="884">
        <f>IF(AND($AU$43="Early Payoff",J320&gt;$U$15),0,IF($J320&lt;=$U$8,SUM($S$20:$S320),0))</f>
        <v>-30849556.750988193</v>
      </c>
      <c r="V320" s="884">
        <f>IF(AND($AU$43="Early Payoff",J320&gt;$U$15),0,IF($J320&lt;=$U$8,SUM($T$20:$T320),0))</f>
        <v>-53550220.61766021</v>
      </c>
      <c r="W320" s="885">
        <f t="shared" si="136"/>
        <v>15635443.249011813</v>
      </c>
      <c r="X320" s="1110">
        <f t="shared" si="137"/>
        <v>15862308.036406865</v>
      </c>
      <c r="Z320" s="1102">
        <f t="shared" si="128"/>
        <v>0</v>
      </c>
      <c r="AA320" s="873">
        <f t="shared" si="129"/>
        <v>0</v>
      </c>
      <c r="AB320" s="873">
        <f t="shared" si="130"/>
        <v>0</v>
      </c>
      <c r="AC320" s="885">
        <f t="shared" si="131"/>
        <v>-307277.87674628111</v>
      </c>
    </row>
    <row r="321" spans="2:29" s="278" customFormat="1" ht="12" customHeight="1" x14ac:dyDescent="0.25">
      <c r="B321" s="1108">
        <f>IF(C321&lt;'Financing Assumptions'!$G$25,0,IF(C321='Financing Assumptions'!$G$25,1,IF(C321&gt;'Financing Assumptions'!$G$25,B320+1)))</f>
        <v>302</v>
      </c>
      <c r="C321" s="1109">
        <f t="shared" si="138"/>
        <v>304</v>
      </c>
      <c r="D321" s="732">
        <f t="shared" si="123"/>
        <v>31</v>
      </c>
      <c r="E321" s="35">
        <f t="shared" si="124"/>
        <v>5</v>
      </c>
      <c r="F321" s="889">
        <f t="shared" si="143"/>
        <v>55304</v>
      </c>
      <c r="G321" s="822">
        <f t="shared" si="125"/>
        <v>5</v>
      </c>
      <c r="H321" s="126">
        <f t="shared" si="126"/>
        <v>0</v>
      </c>
      <c r="I321" s="1098">
        <f t="shared" si="144"/>
        <v>0</v>
      </c>
      <c r="J321" s="887">
        <f t="shared" si="139"/>
        <v>302</v>
      </c>
      <c r="K321" s="1099">
        <f t="shared" si="132"/>
        <v>276</v>
      </c>
      <c r="L321" s="891" t="str">
        <f t="shared" si="133"/>
        <v>May</v>
      </c>
      <c r="M321" s="888">
        <f t="shared" si="140"/>
        <v>2051</v>
      </c>
      <c r="N321" s="1284">
        <f t="shared" si="145"/>
        <v>0</v>
      </c>
      <c r="O321" s="1284">
        <f t="shared" si="141"/>
        <v>0</v>
      </c>
      <c r="P321" s="883">
        <f t="shared" si="142"/>
        <v>15635443.249011813</v>
      </c>
      <c r="Q321" s="883">
        <f t="shared" si="134"/>
        <v>-307277.87674628111</v>
      </c>
      <c r="R321" s="1100"/>
      <c r="S321" s="883">
        <f t="shared" si="127"/>
        <v>-228014.86583115178</v>
      </c>
      <c r="T321" s="884">
        <f t="shared" si="135"/>
        <v>-79263.010915129329</v>
      </c>
      <c r="U321" s="884">
        <f>IF(AND($AU$43="Early Payoff",J321&gt;$U$15),0,IF($J321&lt;=$U$8,SUM($S$20:$S321),0))</f>
        <v>-31077571.616819344</v>
      </c>
      <c r="V321" s="884">
        <f>IF(AND($AU$43="Early Payoff",J321&gt;$U$15),0,IF($J321&lt;=$U$8,SUM($T$20:$T321),0))</f>
        <v>-53629483.62857534</v>
      </c>
      <c r="W321" s="885">
        <f t="shared" si="136"/>
        <v>15407428.383180661</v>
      </c>
      <c r="X321" s="1110">
        <f t="shared" si="137"/>
        <v>15635443.249011813</v>
      </c>
      <c r="Z321" s="1102">
        <f t="shared" si="128"/>
        <v>0</v>
      </c>
      <c r="AA321" s="873">
        <f t="shared" si="129"/>
        <v>0</v>
      </c>
      <c r="AB321" s="873">
        <f t="shared" si="130"/>
        <v>0</v>
      </c>
      <c r="AC321" s="885">
        <f t="shared" si="131"/>
        <v>-307277.87674628111</v>
      </c>
    </row>
    <row r="322" spans="2:29" s="278" customFormat="1" ht="12" customHeight="1" x14ac:dyDescent="0.25">
      <c r="B322" s="1108">
        <f>IF(C322&lt;'Financing Assumptions'!$G$25,0,IF(C322='Financing Assumptions'!$G$25,1,IF(C322&gt;'Financing Assumptions'!$G$25,B321+1)))</f>
        <v>303</v>
      </c>
      <c r="C322" s="1109">
        <f t="shared" si="138"/>
        <v>305</v>
      </c>
      <c r="D322" s="732">
        <f t="shared" si="123"/>
        <v>30</v>
      </c>
      <c r="E322" s="35">
        <f t="shared" si="124"/>
        <v>6</v>
      </c>
      <c r="F322" s="889">
        <f t="shared" si="143"/>
        <v>55334</v>
      </c>
      <c r="G322" s="822">
        <f t="shared" si="125"/>
        <v>6</v>
      </c>
      <c r="H322" s="126">
        <f t="shared" si="126"/>
        <v>0</v>
      </c>
      <c r="I322" s="1098">
        <f t="shared" si="144"/>
        <v>0</v>
      </c>
      <c r="J322" s="887">
        <f t="shared" si="139"/>
        <v>303</v>
      </c>
      <c r="K322" s="1099">
        <f t="shared" si="132"/>
        <v>277</v>
      </c>
      <c r="L322" s="891" t="str">
        <f t="shared" si="133"/>
        <v>June</v>
      </c>
      <c r="M322" s="888">
        <f t="shared" si="140"/>
        <v>2051</v>
      </c>
      <c r="N322" s="1284">
        <f t="shared" si="145"/>
        <v>0</v>
      </c>
      <c r="O322" s="1284">
        <f t="shared" si="141"/>
        <v>0</v>
      </c>
      <c r="P322" s="883">
        <f t="shared" si="142"/>
        <v>15407428.383180661</v>
      </c>
      <c r="Q322" s="883">
        <f t="shared" si="134"/>
        <v>-307277.87674628111</v>
      </c>
      <c r="R322" s="1100"/>
      <c r="S322" s="883">
        <f t="shared" si="127"/>
        <v>-229170.77452599024</v>
      </c>
      <c r="T322" s="884">
        <f t="shared" si="135"/>
        <v>-78107.10222029085</v>
      </c>
      <c r="U322" s="884">
        <f>IF(AND($AU$43="Early Payoff",J322&gt;$U$15),0,IF($J322&lt;=$U$8,SUM($S$20:$S322),0))</f>
        <v>-31306742.391345333</v>
      </c>
      <c r="V322" s="884">
        <f>IF(AND($AU$43="Early Payoff",J322&gt;$U$15),0,IF($J322&lt;=$U$8,SUM($T$20:$T322),0))</f>
        <v>-53707590.730795629</v>
      </c>
      <c r="W322" s="885">
        <f t="shared" si="136"/>
        <v>15178257.60865467</v>
      </c>
      <c r="X322" s="1110">
        <f t="shared" si="137"/>
        <v>15407428.383180661</v>
      </c>
      <c r="Z322" s="1102">
        <f t="shared" si="128"/>
        <v>0</v>
      </c>
      <c r="AA322" s="873">
        <f t="shared" si="129"/>
        <v>0</v>
      </c>
      <c r="AB322" s="873">
        <f t="shared" si="130"/>
        <v>0</v>
      </c>
      <c r="AC322" s="885">
        <f t="shared" si="131"/>
        <v>-307277.87674628111</v>
      </c>
    </row>
    <row r="323" spans="2:29" s="278" customFormat="1" ht="12" customHeight="1" x14ac:dyDescent="0.25">
      <c r="B323" s="1108">
        <f>IF(C323&lt;'Financing Assumptions'!$G$25,0,IF(C323='Financing Assumptions'!$G$25,1,IF(C323&gt;'Financing Assumptions'!$G$25,B322+1)))</f>
        <v>304</v>
      </c>
      <c r="C323" s="1109">
        <f t="shared" si="138"/>
        <v>306</v>
      </c>
      <c r="D323" s="732">
        <f t="shared" si="123"/>
        <v>31</v>
      </c>
      <c r="E323" s="35">
        <f t="shared" si="124"/>
        <v>7</v>
      </c>
      <c r="F323" s="889">
        <f t="shared" si="143"/>
        <v>55365</v>
      </c>
      <c r="G323" s="822">
        <f t="shared" si="125"/>
        <v>7</v>
      </c>
      <c r="H323" s="126">
        <f t="shared" si="126"/>
        <v>0</v>
      </c>
      <c r="I323" s="1098">
        <f t="shared" si="144"/>
        <v>0</v>
      </c>
      <c r="J323" s="887">
        <f t="shared" si="139"/>
        <v>304</v>
      </c>
      <c r="K323" s="1099">
        <f t="shared" si="132"/>
        <v>278</v>
      </c>
      <c r="L323" s="891" t="str">
        <f t="shared" si="133"/>
        <v>July</v>
      </c>
      <c r="M323" s="888">
        <f t="shared" si="140"/>
        <v>2051</v>
      </c>
      <c r="N323" s="1284">
        <f t="shared" si="145"/>
        <v>0</v>
      </c>
      <c r="O323" s="1284">
        <f t="shared" si="141"/>
        <v>0</v>
      </c>
      <c r="P323" s="883">
        <f t="shared" si="142"/>
        <v>15178257.60865467</v>
      </c>
      <c r="Q323" s="883">
        <f t="shared" si="134"/>
        <v>-307277.87674628111</v>
      </c>
      <c r="R323" s="1100"/>
      <c r="S323" s="883">
        <f t="shared" si="127"/>
        <v>-230332.54303574009</v>
      </c>
      <c r="T323" s="884">
        <f t="shared" si="135"/>
        <v>-76945.333710541032</v>
      </c>
      <c r="U323" s="884">
        <f>IF(AND($AU$43="Early Payoff",J323&gt;$U$15),0,IF($J323&lt;=$U$8,SUM($S$20:$S323),0))</f>
        <v>-31537074.934381075</v>
      </c>
      <c r="V323" s="884">
        <f>IF(AND($AU$43="Early Payoff",J323&gt;$U$15),0,IF($J323&lt;=$U$8,SUM($T$20:$T323),0))</f>
        <v>-53784536.064506173</v>
      </c>
      <c r="W323" s="885">
        <f t="shared" si="136"/>
        <v>14947925.06561893</v>
      </c>
      <c r="X323" s="1110">
        <f t="shared" si="137"/>
        <v>15178257.60865467</v>
      </c>
      <c r="Z323" s="1102">
        <f t="shared" si="128"/>
        <v>0</v>
      </c>
      <c r="AA323" s="873">
        <f t="shared" si="129"/>
        <v>0</v>
      </c>
      <c r="AB323" s="873">
        <f t="shared" si="130"/>
        <v>0</v>
      </c>
      <c r="AC323" s="885">
        <f t="shared" si="131"/>
        <v>-307277.87674628111</v>
      </c>
    </row>
    <row r="324" spans="2:29" s="278" customFormat="1" ht="12" customHeight="1" x14ac:dyDescent="0.25">
      <c r="B324" s="1108">
        <f>IF(C324&lt;'Financing Assumptions'!$G$25,0,IF(C324='Financing Assumptions'!$G$25,1,IF(C324&gt;'Financing Assumptions'!$G$25,B323+1)))</f>
        <v>305</v>
      </c>
      <c r="C324" s="1109">
        <f t="shared" si="138"/>
        <v>307</v>
      </c>
      <c r="D324" s="732">
        <f t="shared" si="123"/>
        <v>31</v>
      </c>
      <c r="E324" s="35">
        <f t="shared" si="124"/>
        <v>8</v>
      </c>
      <c r="F324" s="889">
        <f t="shared" si="143"/>
        <v>55396</v>
      </c>
      <c r="G324" s="822">
        <f t="shared" si="125"/>
        <v>8</v>
      </c>
      <c r="H324" s="126">
        <f t="shared" si="126"/>
        <v>0</v>
      </c>
      <c r="I324" s="1098">
        <f t="shared" si="144"/>
        <v>0</v>
      </c>
      <c r="J324" s="887">
        <f t="shared" si="139"/>
        <v>305</v>
      </c>
      <c r="K324" s="1099">
        <f t="shared" si="132"/>
        <v>279</v>
      </c>
      <c r="L324" s="891" t="str">
        <f t="shared" si="133"/>
        <v>August</v>
      </c>
      <c r="M324" s="888">
        <f t="shared" si="140"/>
        <v>2051</v>
      </c>
      <c r="N324" s="1284">
        <f t="shared" si="145"/>
        <v>0</v>
      </c>
      <c r="O324" s="1284">
        <f t="shared" si="141"/>
        <v>0</v>
      </c>
      <c r="P324" s="883">
        <f t="shared" si="142"/>
        <v>14947925.06561893</v>
      </c>
      <c r="Q324" s="883">
        <f t="shared" si="134"/>
        <v>-307277.87674628111</v>
      </c>
      <c r="R324" s="1100"/>
      <c r="S324" s="883">
        <f t="shared" si="127"/>
        <v>-231500.20106640738</v>
      </c>
      <c r="T324" s="884">
        <f t="shared" si="135"/>
        <v>-75777.675679873733</v>
      </c>
      <c r="U324" s="884">
        <f>IF(AND($AU$43="Early Payoff",J324&gt;$U$15),0,IF($J324&lt;=$U$8,SUM($S$20:$S324),0))</f>
        <v>-31768575.135447484</v>
      </c>
      <c r="V324" s="884">
        <f>IF(AND($AU$43="Early Payoff",J324&gt;$U$15),0,IF($J324&lt;=$U$8,SUM($T$20:$T324),0))</f>
        <v>-53860313.740186051</v>
      </c>
      <c r="W324" s="885">
        <f t="shared" si="136"/>
        <v>14716424.864552524</v>
      </c>
      <c r="X324" s="1110">
        <f t="shared" si="137"/>
        <v>14947925.06561893</v>
      </c>
      <c r="Z324" s="1102">
        <f t="shared" si="128"/>
        <v>0</v>
      </c>
      <c r="AA324" s="873">
        <f t="shared" si="129"/>
        <v>0</v>
      </c>
      <c r="AB324" s="873">
        <f t="shared" si="130"/>
        <v>0</v>
      </c>
      <c r="AC324" s="885">
        <f t="shared" si="131"/>
        <v>-307277.87674628111</v>
      </c>
    </row>
    <row r="325" spans="2:29" s="278" customFormat="1" ht="12" customHeight="1" x14ac:dyDescent="0.25">
      <c r="B325" s="1108">
        <f>IF(C325&lt;'Financing Assumptions'!$G$25,0,IF(C325='Financing Assumptions'!$G$25,1,IF(C325&gt;'Financing Assumptions'!$G$25,B324+1)))</f>
        <v>306</v>
      </c>
      <c r="C325" s="1109">
        <f t="shared" si="138"/>
        <v>308</v>
      </c>
      <c r="D325" s="732">
        <f t="shared" si="123"/>
        <v>30</v>
      </c>
      <c r="E325" s="35">
        <f t="shared" si="124"/>
        <v>9</v>
      </c>
      <c r="F325" s="889">
        <f t="shared" si="143"/>
        <v>55426</v>
      </c>
      <c r="G325" s="822">
        <f t="shared" si="125"/>
        <v>9</v>
      </c>
      <c r="H325" s="126">
        <f t="shared" si="126"/>
        <v>0</v>
      </c>
      <c r="I325" s="1098">
        <f t="shared" si="144"/>
        <v>0</v>
      </c>
      <c r="J325" s="887">
        <f t="shared" si="139"/>
        <v>306</v>
      </c>
      <c r="K325" s="1099">
        <f t="shared" si="132"/>
        <v>280</v>
      </c>
      <c r="L325" s="891" t="str">
        <f t="shared" si="133"/>
        <v>September</v>
      </c>
      <c r="M325" s="888">
        <f t="shared" si="140"/>
        <v>2051</v>
      </c>
      <c r="N325" s="1284">
        <f t="shared" si="145"/>
        <v>0</v>
      </c>
      <c r="O325" s="1284">
        <f t="shared" si="141"/>
        <v>0</v>
      </c>
      <c r="P325" s="883">
        <f t="shared" si="142"/>
        <v>14716424.864552524</v>
      </c>
      <c r="Q325" s="883">
        <f t="shared" si="134"/>
        <v>-307277.87674628111</v>
      </c>
      <c r="R325" s="1100"/>
      <c r="S325" s="883">
        <f t="shared" si="127"/>
        <v>-232673.77847459124</v>
      </c>
      <c r="T325" s="884">
        <f t="shared" si="135"/>
        <v>-74604.098271689872</v>
      </c>
      <c r="U325" s="884">
        <f>IF(AND($AU$43="Early Payoff",J325&gt;$U$15),0,IF($J325&lt;=$U$8,SUM($S$20:$S325),0))</f>
        <v>-32001248.913922075</v>
      </c>
      <c r="V325" s="884">
        <f>IF(AND($AU$43="Early Payoff",J325&gt;$U$15),0,IF($J325&lt;=$U$8,SUM($T$20:$T325),0))</f>
        <v>-53934917.838457741</v>
      </c>
      <c r="W325" s="885">
        <f t="shared" si="136"/>
        <v>14483751.086077932</v>
      </c>
      <c r="X325" s="1110">
        <f t="shared" si="137"/>
        <v>14716424.864552524</v>
      </c>
      <c r="Z325" s="1102">
        <f t="shared" si="128"/>
        <v>0</v>
      </c>
      <c r="AA325" s="873">
        <f t="shared" si="129"/>
        <v>0</v>
      </c>
      <c r="AB325" s="873">
        <f t="shared" si="130"/>
        <v>0</v>
      </c>
      <c r="AC325" s="885">
        <f t="shared" si="131"/>
        <v>-307277.87674628111</v>
      </c>
    </row>
    <row r="326" spans="2:29" s="278" customFormat="1" ht="12" customHeight="1" x14ac:dyDescent="0.25">
      <c r="B326" s="1108">
        <f>IF(C326&lt;'Financing Assumptions'!$G$25,0,IF(C326='Financing Assumptions'!$G$25,1,IF(C326&gt;'Financing Assumptions'!$G$25,B325+1)))</f>
        <v>307</v>
      </c>
      <c r="C326" s="1109">
        <f t="shared" si="138"/>
        <v>309</v>
      </c>
      <c r="D326" s="732">
        <f t="shared" si="123"/>
        <v>31</v>
      </c>
      <c r="E326" s="35">
        <f t="shared" si="124"/>
        <v>10</v>
      </c>
      <c r="F326" s="889">
        <f t="shared" si="143"/>
        <v>55457</v>
      </c>
      <c r="G326" s="822">
        <f t="shared" si="125"/>
        <v>10</v>
      </c>
      <c r="H326" s="126">
        <f t="shared" si="126"/>
        <v>0</v>
      </c>
      <c r="I326" s="1098">
        <f t="shared" si="144"/>
        <v>0</v>
      </c>
      <c r="J326" s="887">
        <f t="shared" si="139"/>
        <v>307</v>
      </c>
      <c r="K326" s="1099">
        <f t="shared" si="132"/>
        <v>281</v>
      </c>
      <c r="L326" s="891" t="str">
        <f t="shared" si="133"/>
        <v>October</v>
      </c>
      <c r="M326" s="888">
        <f t="shared" si="140"/>
        <v>2051</v>
      </c>
      <c r="N326" s="1284">
        <f t="shared" si="145"/>
        <v>0</v>
      </c>
      <c r="O326" s="1284">
        <f t="shared" si="141"/>
        <v>0</v>
      </c>
      <c r="P326" s="883">
        <f t="shared" si="142"/>
        <v>14483751.086077932</v>
      </c>
      <c r="Q326" s="883">
        <f t="shared" si="134"/>
        <v>-307277.87674628111</v>
      </c>
      <c r="R326" s="1100"/>
      <c r="S326" s="883">
        <f t="shared" si="127"/>
        <v>-233853.30526824715</v>
      </c>
      <c r="T326" s="884">
        <f t="shared" si="135"/>
        <v>-73424.571478033962</v>
      </c>
      <c r="U326" s="884">
        <f>IF(AND($AU$43="Early Payoff",J326&gt;$U$15),0,IF($J326&lt;=$U$8,SUM($S$20:$S326),0))</f>
        <v>-32235102.219190322</v>
      </c>
      <c r="V326" s="884">
        <f>IF(AND($AU$43="Early Payoff",J326&gt;$U$15),0,IF($J326&lt;=$U$8,SUM($T$20:$T326),0))</f>
        <v>-54008342.409935772</v>
      </c>
      <c r="W326" s="885">
        <f t="shared" si="136"/>
        <v>14249897.780809686</v>
      </c>
      <c r="X326" s="1110">
        <f t="shared" si="137"/>
        <v>14483751.086077932</v>
      </c>
      <c r="Z326" s="1102">
        <f t="shared" si="128"/>
        <v>0</v>
      </c>
      <c r="AA326" s="873">
        <f t="shared" si="129"/>
        <v>0</v>
      </c>
      <c r="AB326" s="873">
        <f t="shared" si="130"/>
        <v>0</v>
      </c>
      <c r="AC326" s="885">
        <f t="shared" si="131"/>
        <v>-307277.87674628111</v>
      </c>
    </row>
    <row r="327" spans="2:29" s="278" customFormat="1" ht="12" customHeight="1" x14ac:dyDescent="0.25">
      <c r="B327" s="1108">
        <f>IF(C327&lt;'Financing Assumptions'!$G$25,0,IF(C327='Financing Assumptions'!$G$25,1,IF(C327&gt;'Financing Assumptions'!$G$25,B326+1)))</f>
        <v>308</v>
      </c>
      <c r="C327" s="1109">
        <f t="shared" si="138"/>
        <v>310</v>
      </c>
      <c r="D327" s="732">
        <f t="shared" si="123"/>
        <v>30</v>
      </c>
      <c r="E327" s="35">
        <f t="shared" si="124"/>
        <v>11</v>
      </c>
      <c r="F327" s="889">
        <f t="shared" si="143"/>
        <v>55487</v>
      </c>
      <c r="G327" s="822">
        <f t="shared" si="125"/>
        <v>11</v>
      </c>
      <c r="H327" s="126">
        <f t="shared" si="126"/>
        <v>0</v>
      </c>
      <c r="I327" s="1098">
        <f t="shared" si="144"/>
        <v>0</v>
      </c>
      <c r="J327" s="887">
        <f t="shared" si="139"/>
        <v>308</v>
      </c>
      <c r="K327" s="1099">
        <f t="shared" si="132"/>
        <v>282</v>
      </c>
      <c r="L327" s="891" t="str">
        <f t="shared" si="133"/>
        <v>November</v>
      </c>
      <c r="M327" s="888">
        <f t="shared" si="140"/>
        <v>2051</v>
      </c>
      <c r="N327" s="1284">
        <f t="shared" si="145"/>
        <v>0</v>
      </c>
      <c r="O327" s="1284">
        <f t="shared" si="141"/>
        <v>0</v>
      </c>
      <c r="P327" s="883">
        <f t="shared" si="142"/>
        <v>14249897.780809686</v>
      </c>
      <c r="Q327" s="883">
        <f t="shared" si="134"/>
        <v>-307277.87674628111</v>
      </c>
      <c r="R327" s="1100"/>
      <c r="S327" s="883">
        <f t="shared" si="127"/>
        <v>-235038.81160745423</v>
      </c>
      <c r="T327" s="884">
        <f t="shared" si="135"/>
        <v>-72239.065138826874</v>
      </c>
      <c r="U327" s="884">
        <f>IF(AND($AU$43="Early Payoff",J327&gt;$U$15),0,IF($J327&lt;=$U$8,SUM($S$20:$S327),0))</f>
        <v>-32470141.030797776</v>
      </c>
      <c r="V327" s="884">
        <f>IF(AND($AU$43="Early Payoff",J327&gt;$U$15),0,IF($J327&lt;=$U$8,SUM($T$20:$T327),0))</f>
        <v>-54080581.475074597</v>
      </c>
      <c r="W327" s="885">
        <f t="shared" si="136"/>
        <v>14014858.969202232</v>
      </c>
      <c r="X327" s="1110">
        <f t="shared" si="137"/>
        <v>14249897.780809686</v>
      </c>
      <c r="Z327" s="1102">
        <f t="shared" si="128"/>
        <v>0</v>
      </c>
      <c r="AA327" s="873">
        <f t="shared" si="129"/>
        <v>0</v>
      </c>
      <c r="AB327" s="873">
        <f t="shared" si="130"/>
        <v>0</v>
      </c>
      <c r="AC327" s="885">
        <f t="shared" si="131"/>
        <v>-307277.87674628111</v>
      </c>
    </row>
    <row r="328" spans="2:29" s="278" customFormat="1" ht="12" customHeight="1" x14ac:dyDescent="0.25">
      <c r="B328" s="1108">
        <f>IF(C328&lt;'Financing Assumptions'!$G$25,0,IF(C328='Financing Assumptions'!$G$25,1,IF(C328&gt;'Financing Assumptions'!$G$25,B327+1)))</f>
        <v>309</v>
      </c>
      <c r="C328" s="1109">
        <f t="shared" si="138"/>
        <v>311</v>
      </c>
      <c r="D328" s="732">
        <f t="shared" si="123"/>
        <v>31</v>
      </c>
      <c r="E328" s="35">
        <f t="shared" si="124"/>
        <v>12</v>
      </c>
      <c r="F328" s="889">
        <f t="shared" si="143"/>
        <v>55518</v>
      </c>
      <c r="G328" s="822">
        <f t="shared" si="125"/>
        <v>12</v>
      </c>
      <c r="H328" s="126">
        <f t="shared" si="126"/>
        <v>1</v>
      </c>
      <c r="I328" s="1098">
        <f t="shared" si="144"/>
        <v>0</v>
      </c>
      <c r="J328" s="887">
        <f t="shared" si="139"/>
        <v>309</v>
      </c>
      <c r="K328" s="1099">
        <f t="shared" si="132"/>
        <v>283</v>
      </c>
      <c r="L328" s="891" t="str">
        <f t="shared" si="133"/>
        <v>December</v>
      </c>
      <c r="M328" s="888">
        <f t="shared" si="140"/>
        <v>2051</v>
      </c>
      <c r="N328" s="1284">
        <f t="shared" si="145"/>
        <v>0</v>
      </c>
      <c r="O328" s="1284">
        <f t="shared" si="141"/>
        <v>0</v>
      </c>
      <c r="P328" s="883">
        <f t="shared" si="142"/>
        <v>14014858.969202232</v>
      </c>
      <c r="Q328" s="883">
        <f t="shared" si="134"/>
        <v>-307277.87674628111</v>
      </c>
      <c r="R328" s="1100"/>
      <c r="S328" s="883">
        <f t="shared" si="127"/>
        <v>-236230.32780518645</v>
      </c>
      <c r="T328" s="884">
        <f t="shared" si="135"/>
        <v>-71047.548941094647</v>
      </c>
      <c r="U328" s="884">
        <f>IF(AND($AU$43="Early Payoff",J328&gt;$U$15),0,IF($J328&lt;=$U$8,SUM($S$20:$S328),0))</f>
        <v>-32706371.358602963</v>
      </c>
      <c r="V328" s="884">
        <f>IF(AND($AU$43="Early Payoff",J328&gt;$U$15),0,IF($J328&lt;=$U$8,SUM($T$20:$T328),0))</f>
        <v>-54151629.024015695</v>
      </c>
      <c r="W328" s="885">
        <f t="shared" si="136"/>
        <v>13778628.641397046</v>
      </c>
      <c r="X328" s="1110">
        <f t="shared" si="137"/>
        <v>14014858.969202232</v>
      </c>
      <c r="Z328" s="1102">
        <f t="shared" si="128"/>
        <v>0</v>
      </c>
      <c r="AA328" s="873">
        <f t="shared" si="129"/>
        <v>0</v>
      </c>
      <c r="AB328" s="873">
        <f t="shared" si="130"/>
        <v>0</v>
      </c>
      <c r="AC328" s="885">
        <f t="shared" si="131"/>
        <v>-307277.87674628111</v>
      </c>
    </row>
    <row r="329" spans="2:29" s="278" customFormat="1" ht="12" customHeight="1" x14ac:dyDescent="0.25">
      <c r="B329" s="1108">
        <f>IF(C329&lt;'Financing Assumptions'!$G$25,0,IF(C329='Financing Assumptions'!$G$25,1,IF(C329&gt;'Financing Assumptions'!$G$25,B328+1)))</f>
        <v>310</v>
      </c>
      <c r="C329" s="1109">
        <f t="shared" si="138"/>
        <v>312</v>
      </c>
      <c r="D329" s="732">
        <f t="shared" si="123"/>
        <v>31</v>
      </c>
      <c r="E329" s="35">
        <f t="shared" si="124"/>
        <v>1</v>
      </c>
      <c r="F329" s="889">
        <f t="shared" si="143"/>
        <v>55549</v>
      </c>
      <c r="G329" s="822">
        <f t="shared" si="125"/>
        <v>1</v>
      </c>
      <c r="H329" s="126">
        <f t="shared" si="126"/>
        <v>0</v>
      </c>
      <c r="I329" s="1098">
        <f t="shared" si="144"/>
        <v>0</v>
      </c>
      <c r="J329" s="887">
        <f t="shared" si="139"/>
        <v>310</v>
      </c>
      <c r="K329" s="1099">
        <f t="shared" si="132"/>
        <v>284</v>
      </c>
      <c r="L329" s="891" t="str">
        <f t="shared" si="133"/>
        <v>January</v>
      </c>
      <c r="M329" s="888">
        <f t="shared" si="140"/>
        <v>2052</v>
      </c>
      <c r="N329" s="1284">
        <f t="shared" si="145"/>
        <v>0</v>
      </c>
      <c r="O329" s="1284">
        <f t="shared" si="141"/>
        <v>0</v>
      </c>
      <c r="P329" s="883">
        <f t="shared" si="142"/>
        <v>13778628.641397046</v>
      </c>
      <c r="Q329" s="883">
        <f t="shared" si="134"/>
        <v>-307277.87674628111</v>
      </c>
      <c r="R329" s="1100"/>
      <c r="S329" s="883">
        <f t="shared" si="127"/>
        <v>-237427.88432808773</v>
      </c>
      <c r="T329" s="884">
        <f t="shared" si="135"/>
        <v>-69849.99241819336</v>
      </c>
      <c r="U329" s="884">
        <f>IF(AND($AU$43="Early Payoff",J329&gt;$U$15),0,IF($J329&lt;=$U$8,SUM($S$20:$S329),0))</f>
        <v>-32943799.242931049</v>
      </c>
      <c r="V329" s="884">
        <f>IF(AND($AU$43="Early Payoff",J329&gt;$U$15),0,IF($J329&lt;=$U$8,SUM($T$20:$T329),0))</f>
        <v>-54221479.016433887</v>
      </c>
      <c r="W329" s="885">
        <f t="shared" si="136"/>
        <v>13541200.757068958</v>
      </c>
      <c r="X329" s="1110">
        <f t="shared" si="137"/>
        <v>13778628.641397046</v>
      </c>
      <c r="Z329" s="1102">
        <f t="shared" si="128"/>
        <v>0</v>
      </c>
      <c r="AA329" s="873">
        <f t="shared" si="129"/>
        <v>0</v>
      </c>
      <c r="AB329" s="873">
        <f t="shared" si="130"/>
        <v>0</v>
      </c>
      <c r="AC329" s="885">
        <f t="shared" si="131"/>
        <v>-307277.87674628111</v>
      </c>
    </row>
    <row r="330" spans="2:29" s="278" customFormat="1" ht="12" customHeight="1" x14ac:dyDescent="0.25">
      <c r="B330" s="1108">
        <f>IF(C330&lt;'Financing Assumptions'!$G$25,0,IF(C330='Financing Assumptions'!$G$25,1,IF(C330&gt;'Financing Assumptions'!$G$25,B329+1)))</f>
        <v>311</v>
      </c>
      <c r="C330" s="1109">
        <f t="shared" si="138"/>
        <v>313</v>
      </c>
      <c r="D330" s="732">
        <f t="shared" si="123"/>
        <v>29</v>
      </c>
      <c r="E330" s="35">
        <f t="shared" si="124"/>
        <v>2</v>
      </c>
      <c r="F330" s="889">
        <f t="shared" si="143"/>
        <v>55578</v>
      </c>
      <c r="G330" s="822">
        <f t="shared" si="125"/>
        <v>2</v>
      </c>
      <c r="H330" s="126">
        <f t="shared" si="126"/>
        <v>0</v>
      </c>
      <c r="I330" s="1098">
        <f t="shared" si="144"/>
        <v>0</v>
      </c>
      <c r="J330" s="887">
        <f t="shared" si="139"/>
        <v>311</v>
      </c>
      <c r="K330" s="1099">
        <f t="shared" si="132"/>
        <v>285</v>
      </c>
      <c r="L330" s="891" t="str">
        <f t="shared" si="133"/>
        <v>February</v>
      </c>
      <c r="M330" s="888">
        <f t="shared" si="140"/>
        <v>2052</v>
      </c>
      <c r="N330" s="1284">
        <f t="shared" si="145"/>
        <v>0</v>
      </c>
      <c r="O330" s="1284">
        <f t="shared" si="141"/>
        <v>0</v>
      </c>
      <c r="P330" s="883">
        <f t="shared" si="142"/>
        <v>13541200.757068958</v>
      </c>
      <c r="Q330" s="883">
        <f t="shared" si="134"/>
        <v>-307277.87674628111</v>
      </c>
      <c r="R330" s="1100"/>
      <c r="S330" s="883">
        <f t="shared" si="127"/>
        <v>-238631.51179725098</v>
      </c>
      <c r="T330" s="884">
        <f t="shared" si="135"/>
        <v>-68646.364949030132</v>
      </c>
      <c r="U330" s="884">
        <f>IF(AND($AU$43="Early Payoff",J330&gt;$U$15),0,IF($J330&lt;=$U$8,SUM($S$20:$S330),0))</f>
        <v>-33182430.754728299</v>
      </c>
      <c r="V330" s="884">
        <f>IF(AND($AU$43="Early Payoff",J330&gt;$U$15),0,IF($J330&lt;=$U$8,SUM($T$20:$T330),0))</f>
        <v>-54290125.38138292</v>
      </c>
      <c r="W330" s="885">
        <f t="shared" si="136"/>
        <v>13302569.245271707</v>
      </c>
      <c r="X330" s="1110">
        <f t="shared" si="137"/>
        <v>13541200.757068958</v>
      </c>
      <c r="Z330" s="1102">
        <f t="shared" si="128"/>
        <v>0</v>
      </c>
      <c r="AA330" s="873">
        <f t="shared" si="129"/>
        <v>0</v>
      </c>
      <c r="AB330" s="873">
        <f t="shared" si="130"/>
        <v>0</v>
      </c>
      <c r="AC330" s="885">
        <f t="shared" si="131"/>
        <v>-307277.87674628111</v>
      </c>
    </row>
    <row r="331" spans="2:29" s="278" customFormat="1" ht="12" customHeight="1" x14ac:dyDescent="0.25">
      <c r="B331" s="1108">
        <f>IF(C331&lt;'Financing Assumptions'!$G$25,0,IF(C331='Financing Assumptions'!$G$25,1,IF(C331&gt;'Financing Assumptions'!$G$25,B330+1)))</f>
        <v>312</v>
      </c>
      <c r="C331" s="1109">
        <f t="shared" si="138"/>
        <v>314</v>
      </c>
      <c r="D331" s="732">
        <f t="shared" si="123"/>
        <v>31</v>
      </c>
      <c r="E331" s="35">
        <f t="shared" si="124"/>
        <v>3</v>
      </c>
      <c r="F331" s="889">
        <f t="shared" si="143"/>
        <v>55609</v>
      </c>
      <c r="G331" s="822">
        <f t="shared" si="125"/>
        <v>3</v>
      </c>
      <c r="H331" s="126">
        <f t="shared" si="126"/>
        <v>0</v>
      </c>
      <c r="I331" s="1098">
        <f t="shared" si="144"/>
        <v>0</v>
      </c>
      <c r="J331" s="887">
        <f t="shared" si="139"/>
        <v>312</v>
      </c>
      <c r="K331" s="1099">
        <f t="shared" si="132"/>
        <v>286</v>
      </c>
      <c r="L331" s="891" t="str">
        <f t="shared" si="133"/>
        <v>March</v>
      </c>
      <c r="M331" s="888">
        <f t="shared" si="140"/>
        <v>2052</v>
      </c>
      <c r="N331" s="1284">
        <f t="shared" si="145"/>
        <v>0</v>
      </c>
      <c r="O331" s="1284">
        <f t="shared" si="141"/>
        <v>0</v>
      </c>
      <c r="P331" s="883">
        <f t="shared" si="142"/>
        <v>13302569.245271707</v>
      </c>
      <c r="Q331" s="883">
        <f t="shared" si="134"/>
        <v>-307277.87674628111</v>
      </c>
      <c r="R331" s="1100"/>
      <c r="S331" s="883">
        <f t="shared" si="127"/>
        <v>-239841.24098900094</v>
      </c>
      <c r="T331" s="884">
        <f t="shared" si="135"/>
        <v>-67436.635757280179</v>
      </c>
      <c r="U331" s="884">
        <f>IF(AND($AU$43="Early Payoff",J331&gt;$U$15),0,IF($J331&lt;=$U$8,SUM($S$20:$S331),0))</f>
        <v>-33422271.995717298</v>
      </c>
      <c r="V331" s="884">
        <f>IF(AND($AU$43="Early Payoff",J331&gt;$U$15),0,IF($J331&lt;=$U$8,SUM($T$20:$T331),0))</f>
        <v>-54357562.017140202</v>
      </c>
      <c r="W331" s="885">
        <f t="shared" si="136"/>
        <v>13062728.004282705</v>
      </c>
      <c r="X331" s="1110">
        <f t="shared" si="137"/>
        <v>13302569.245271707</v>
      </c>
      <c r="Z331" s="1102">
        <f t="shared" si="128"/>
        <v>0</v>
      </c>
      <c r="AA331" s="873">
        <f t="shared" si="129"/>
        <v>0</v>
      </c>
      <c r="AB331" s="873">
        <f t="shared" si="130"/>
        <v>0</v>
      </c>
      <c r="AC331" s="885">
        <f t="shared" si="131"/>
        <v>-307277.87674628111</v>
      </c>
    </row>
    <row r="332" spans="2:29" s="278" customFormat="1" ht="12" customHeight="1" x14ac:dyDescent="0.25">
      <c r="B332" s="1108">
        <f>IF(C332&lt;'Financing Assumptions'!$G$25,0,IF(C332='Financing Assumptions'!$G$25,1,IF(C332&gt;'Financing Assumptions'!$G$25,B331+1)))</f>
        <v>313</v>
      </c>
      <c r="C332" s="1109">
        <f t="shared" si="138"/>
        <v>315</v>
      </c>
      <c r="D332" s="732">
        <f t="shared" si="123"/>
        <v>30</v>
      </c>
      <c r="E332" s="35">
        <f t="shared" si="124"/>
        <v>4</v>
      </c>
      <c r="F332" s="889">
        <f t="shared" si="143"/>
        <v>55639</v>
      </c>
      <c r="G332" s="822">
        <f t="shared" si="125"/>
        <v>4</v>
      </c>
      <c r="H332" s="126">
        <f t="shared" si="126"/>
        <v>0</v>
      </c>
      <c r="I332" s="1098">
        <f t="shared" si="144"/>
        <v>0</v>
      </c>
      <c r="J332" s="887">
        <f t="shared" si="139"/>
        <v>313</v>
      </c>
      <c r="K332" s="1099">
        <f t="shared" si="132"/>
        <v>287</v>
      </c>
      <c r="L332" s="891" t="str">
        <f t="shared" si="133"/>
        <v>April</v>
      </c>
      <c r="M332" s="888">
        <f t="shared" si="140"/>
        <v>2052</v>
      </c>
      <c r="N332" s="1284">
        <f t="shared" si="145"/>
        <v>0</v>
      </c>
      <c r="O332" s="1284">
        <f t="shared" si="141"/>
        <v>0</v>
      </c>
      <c r="P332" s="883">
        <f t="shared" si="142"/>
        <v>13062728.004282705</v>
      </c>
      <c r="Q332" s="883">
        <f t="shared" si="134"/>
        <v>-307277.87674628111</v>
      </c>
      <c r="R332" s="1100"/>
      <c r="S332" s="883">
        <f t="shared" si="127"/>
        <v>-241057.10283568129</v>
      </c>
      <c r="T332" s="884">
        <f t="shared" si="135"/>
        <v>-66220.773910599819</v>
      </c>
      <c r="U332" s="884">
        <f>IF(AND($AU$43="Early Payoff",J332&gt;$U$15),0,IF($J332&lt;=$U$8,SUM($S$20:$S332),0))</f>
        <v>-33663329.09855298</v>
      </c>
      <c r="V332" s="884">
        <f>IF(AND($AU$43="Early Payoff",J332&gt;$U$15),0,IF($J332&lt;=$U$8,SUM($T$20:$T332),0))</f>
        <v>-54423782.791050799</v>
      </c>
      <c r="W332" s="885">
        <f t="shared" si="136"/>
        <v>12821670.901447024</v>
      </c>
      <c r="X332" s="1110">
        <f t="shared" si="137"/>
        <v>13062728.004282705</v>
      </c>
      <c r="Z332" s="1102">
        <f t="shared" si="128"/>
        <v>0</v>
      </c>
      <c r="AA332" s="873">
        <f t="shared" si="129"/>
        <v>0</v>
      </c>
      <c r="AB332" s="873">
        <f t="shared" si="130"/>
        <v>0</v>
      </c>
      <c r="AC332" s="885">
        <f t="shared" si="131"/>
        <v>-307277.87674628111</v>
      </c>
    </row>
    <row r="333" spans="2:29" s="278" customFormat="1" ht="12" customHeight="1" x14ac:dyDescent="0.25">
      <c r="B333" s="1108">
        <f>IF(C333&lt;'Financing Assumptions'!$G$25,0,IF(C333='Financing Assumptions'!$G$25,1,IF(C333&gt;'Financing Assumptions'!$G$25,B332+1)))</f>
        <v>314</v>
      </c>
      <c r="C333" s="1109">
        <f t="shared" si="138"/>
        <v>316</v>
      </c>
      <c r="D333" s="732">
        <f t="shared" si="123"/>
        <v>31</v>
      </c>
      <c r="E333" s="35">
        <f t="shared" si="124"/>
        <v>5</v>
      </c>
      <c r="F333" s="889">
        <f t="shared" si="143"/>
        <v>55670</v>
      </c>
      <c r="G333" s="822">
        <f t="shared" si="125"/>
        <v>5</v>
      </c>
      <c r="H333" s="126">
        <f t="shared" si="126"/>
        <v>0</v>
      </c>
      <c r="I333" s="1098">
        <f t="shared" si="144"/>
        <v>0</v>
      </c>
      <c r="J333" s="887">
        <f t="shared" si="139"/>
        <v>314</v>
      </c>
      <c r="K333" s="1099">
        <f t="shared" si="132"/>
        <v>288</v>
      </c>
      <c r="L333" s="891" t="str">
        <f t="shared" si="133"/>
        <v>May</v>
      </c>
      <c r="M333" s="888">
        <f t="shared" si="140"/>
        <v>2052</v>
      </c>
      <c r="N333" s="1284">
        <f t="shared" si="145"/>
        <v>0</v>
      </c>
      <c r="O333" s="1284">
        <f t="shared" si="141"/>
        <v>0</v>
      </c>
      <c r="P333" s="883">
        <f t="shared" si="142"/>
        <v>12821670.901447024</v>
      </c>
      <c r="Q333" s="883">
        <f t="shared" si="134"/>
        <v>-307277.87674628111</v>
      </c>
      <c r="R333" s="1100"/>
      <c r="S333" s="883">
        <f t="shared" si="127"/>
        <v>-242279.1284264455</v>
      </c>
      <c r="T333" s="884">
        <f t="shared" si="135"/>
        <v>-64998.748319835606</v>
      </c>
      <c r="U333" s="884">
        <f>IF(AND($AU$43="Early Payoff",J333&gt;$U$15),0,IF($J333&lt;=$U$8,SUM($S$20:$S333),0))</f>
        <v>-33905608.226979427</v>
      </c>
      <c r="V333" s="884">
        <f>IF(AND($AU$43="Early Payoff",J333&gt;$U$15),0,IF($J333&lt;=$U$8,SUM($T$20:$T333),0))</f>
        <v>-54488781.539370634</v>
      </c>
      <c r="W333" s="885">
        <f t="shared" si="136"/>
        <v>12579391.773020579</v>
      </c>
      <c r="X333" s="1110">
        <f t="shared" si="137"/>
        <v>12821670.901447024</v>
      </c>
      <c r="Z333" s="1102">
        <f t="shared" si="128"/>
        <v>0</v>
      </c>
      <c r="AA333" s="873">
        <f t="shared" si="129"/>
        <v>0</v>
      </c>
      <c r="AB333" s="873">
        <f t="shared" si="130"/>
        <v>0</v>
      </c>
      <c r="AC333" s="885">
        <f t="shared" si="131"/>
        <v>-307277.87674628111</v>
      </c>
    </row>
    <row r="334" spans="2:29" s="278" customFormat="1" ht="12" customHeight="1" x14ac:dyDescent="0.25">
      <c r="B334" s="1108">
        <f>IF(C334&lt;'Financing Assumptions'!$G$25,0,IF(C334='Financing Assumptions'!$G$25,1,IF(C334&gt;'Financing Assumptions'!$G$25,B333+1)))</f>
        <v>315</v>
      </c>
      <c r="C334" s="1109">
        <f t="shared" si="138"/>
        <v>317</v>
      </c>
      <c r="D334" s="732">
        <f t="shared" si="123"/>
        <v>30</v>
      </c>
      <c r="E334" s="35">
        <f t="shared" si="124"/>
        <v>6</v>
      </c>
      <c r="F334" s="889">
        <f t="shared" si="143"/>
        <v>55700</v>
      </c>
      <c r="G334" s="822">
        <f t="shared" si="125"/>
        <v>6</v>
      </c>
      <c r="H334" s="126">
        <f t="shared" si="126"/>
        <v>0</v>
      </c>
      <c r="I334" s="1098">
        <f t="shared" si="144"/>
        <v>0</v>
      </c>
      <c r="J334" s="887">
        <f t="shared" si="139"/>
        <v>315</v>
      </c>
      <c r="K334" s="1099">
        <f t="shared" si="132"/>
        <v>289</v>
      </c>
      <c r="L334" s="891" t="str">
        <f t="shared" si="133"/>
        <v>June</v>
      </c>
      <c r="M334" s="888">
        <f t="shared" si="140"/>
        <v>2052</v>
      </c>
      <c r="N334" s="1284">
        <f t="shared" si="145"/>
        <v>0</v>
      </c>
      <c r="O334" s="1284">
        <f t="shared" si="141"/>
        <v>0</v>
      </c>
      <c r="P334" s="883">
        <f t="shared" si="142"/>
        <v>12579391.773020579</v>
      </c>
      <c r="Q334" s="883">
        <f t="shared" si="134"/>
        <v>-307277.87674628111</v>
      </c>
      <c r="R334" s="1100"/>
      <c r="S334" s="883">
        <f t="shared" si="127"/>
        <v>-243507.34900805179</v>
      </c>
      <c r="T334" s="884">
        <f t="shared" si="135"/>
        <v>-63770.527738229321</v>
      </c>
      <c r="U334" s="884">
        <f>IF(AND($AU$43="Early Payoff",J334&gt;$U$15),0,IF($J334&lt;=$U$8,SUM($S$20:$S334),0))</f>
        <v>-34149115.575987481</v>
      </c>
      <c r="V334" s="884">
        <f>IF(AND($AU$43="Early Payoff",J334&gt;$U$15),0,IF($J334&lt;=$U$8,SUM($T$20:$T334),0))</f>
        <v>-54552552.067108862</v>
      </c>
      <c r="W334" s="885">
        <f t="shared" si="136"/>
        <v>12335884.424012527</v>
      </c>
      <c r="X334" s="1110">
        <f t="shared" si="137"/>
        <v>12579391.773020579</v>
      </c>
      <c r="Z334" s="1102">
        <f t="shared" si="128"/>
        <v>0</v>
      </c>
      <c r="AA334" s="873">
        <f t="shared" si="129"/>
        <v>0</v>
      </c>
      <c r="AB334" s="873">
        <f t="shared" si="130"/>
        <v>0</v>
      </c>
      <c r="AC334" s="885">
        <f t="shared" si="131"/>
        <v>-307277.87674628111</v>
      </c>
    </row>
    <row r="335" spans="2:29" s="278" customFormat="1" ht="12" customHeight="1" x14ac:dyDescent="0.25">
      <c r="B335" s="1108">
        <f>IF(C335&lt;'Financing Assumptions'!$G$25,0,IF(C335='Financing Assumptions'!$G$25,1,IF(C335&gt;'Financing Assumptions'!$G$25,B334+1)))</f>
        <v>316</v>
      </c>
      <c r="C335" s="1109">
        <f t="shared" si="138"/>
        <v>318</v>
      </c>
      <c r="D335" s="732">
        <f t="shared" si="123"/>
        <v>31</v>
      </c>
      <c r="E335" s="35">
        <f t="shared" si="124"/>
        <v>7</v>
      </c>
      <c r="F335" s="889">
        <f t="shared" si="143"/>
        <v>55731</v>
      </c>
      <c r="G335" s="822">
        <f t="shared" si="125"/>
        <v>7</v>
      </c>
      <c r="H335" s="126">
        <f t="shared" si="126"/>
        <v>0</v>
      </c>
      <c r="I335" s="1098">
        <f t="shared" si="144"/>
        <v>0</v>
      </c>
      <c r="J335" s="887">
        <f t="shared" si="139"/>
        <v>316</v>
      </c>
      <c r="K335" s="1099">
        <f t="shared" si="132"/>
        <v>290</v>
      </c>
      <c r="L335" s="891" t="str">
        <f t="shared" si="133"/>
        <v>July</v>
      </c>
      <c r="M335" s="888">
        <f t="shared" si="140"/>
        <v>2052</v>
      </c>
      <c r="N335" s="1284">
        <f t="shared" si="145"/>
        <v>0</v>
      </c>
      <c r="O335" s="1284">
        <f t="shared" si="141"/>
        <v>0</v>
      </c>
      <c r="P335" s="883">
        <f t="shared" si="142"/>
        <v>12335884.424012527</v>
      </c>
      <c r="Q335" s="883">
        <f t="shared" si="134"/>
        <v>-307277.87674628111</v>
      </c>
      <c r="R335" s="1100"/>
      <c r="S335" s="883">
        <f t="shared" si="127"/>
        <v>-244741.79598566206</v>
      </c>
      <c r="T335" s="884">
        <f t="shared" si="135"/>
        <v>-62536.080760619057</v>
      </c>
      <c r="U335" s="884">
        <f>IF(AND($AU$43="Early Payoff",J335&gt;$U$15),0,IF($J335&lt;=$U$8,SUM($S$20:$S335),0))</f>
        <v>-34393857.371973142</v>
      </c>
      <c r="V335" s="884">
        <f>IF(AND($AU$43="Early Payoff",J335&gt;$U$15),0,IF($J335&lt;=$U$8,SUM($T$20:$T335),0))</f>
        <v>-54615088.147869483</v>
      </c>
      <c r="W335" s="885">
        <f t="shared" si="136"/>
        <v>12091142.628026865</v>
      </c>
      <c r="X335" s="1110">
        <f t="shared" si="137"/>
        <v>12335884.424012527</v>
      </c>
      <c r="Z335" s="1102">
        <f t="shared" si="128"/>
        <v>0</v>
      </c>
      <c r="AA335" s="873">
        <f t="shared" si="129"/>
        <v>0</v>
      </c>
      <c r="AB335" s="873">
        <f t="shared" si="130"/>
        <v>0</v>
      </c>
      <c r="AC335" s="885">
        <f t="shared" si="131"/>
        <v>-307277.87674628111</v>
      </c>
    </row>
    <row r="336" spans="2:29" s="278" customFormat="1" ht="12" customHeight="1" x14ac:dyDescent="0.25">
      <c r="B336" s="1108">
        <f>IF(C336&lt;'Financing Assumptions'!$G$25,0,IF(C336='Financing Assumptions'!$G$25,1,IF(C336&gt;'Financing Assumptions'!$G$25,B335+1)))</f>
        <v>317</v>
      </c>
      <c r="C336" s="1109">
        <f t="shared" si="138"/>
        <v>319</v>
      </c>
      <c r="D336" s="732">
        <f t="shared" si="123"/>
        <v>31</v>
      </c>
      <c r="E336" s="35">
        <f t="shared" si="124"/>
        <v>8</v>
      </c>
      <c r="F336" s="889">
        <f t="shared" si="143"/>
        <v>55762</v>
      </c>
      <c r="G336" s="822">
        <f t="shared" si="125"/>
        <v>8</v>
      </c>
      <c r="H336" s="126">
        <f t="shared" si="126"/>
        <v>0</v>
      </c>
      <c r="I336" s="1098">
        <f t="shared" si="144"/>
        <v>0</v>
      </c>
      <c r="J336" s="887">
        <f t="shared" si="139"/>
        <v>317</v>
      </c>
      <c r="K336" s="1099">
        <f t="shared" si="132"/>
        <v>291</v>
      </c>
      <c r="L336" s="891" t="str">
        <f t="shared" si="133"/>
        <v>August</v>
      </c>
      <c r="M336" s="888">
        <f t="shared" si="140"/>
        <v>2052</v>
      </c>
      <c r="N336" s="1284">
        <f t="shared" si="145"/>
        <v>0</v>
      </c>
      <c r="O336" s="1284">
        <f t="shared" si="141"/>
        <v>0</v>
      </c>
      <c r="P336" s="883">
        <f t="shared" si="142"/>
        <v>12091142.628026865</v>
      </c>
      <c r="Q336" s="883">
        <f t="shared" si="134"/>
        <v>-307277.87674628111</v>
      </c>
      <c r="R336" s="1100"/>
      <c r="S336" s="883">
        <f t="shared" si="127"/>
        <v>-245982.50092364493</v>
      </c>
      <c r="T336" s="884">
        <f t="shared" si="135"/>
        <v>-61295.37582263619</v>
      </c>
      <c r="U336" s="884">
        <f>IF(AND($AU$43="Early Payoff",J336&gt;$U$15),0,IF($J336&lt;=$U$8,SUM($S$20:$S336),0))</f>
        <v>-34639839.872896791</v>
      </c>
      <c r="V336" s="884">
        <f>IF(AND($AU$43="Early Payoff",J336&gt;$U$15),0,IF($J336&lt;=$U$8,SUM($T$20:$T336),0))</f>
        <v>-54676383.523692116</v>
      </c>
      <c r="W336" s="885">
        <f t="shared" si="136"/>
        <v>11845160.127103221</v>
      </c>
      <c r="X336" s="1110">
        <f t="shared" si="137"/>
        <v>12091142.628026865</v>
      </c>
      <c r="Z336" s="1102">
        <f t="shared" si="128"/>
        <v>0</v>
      </c>
      <c r="AA336" s="873">
        <f t="shared" si="129"/>
        <v>0</v>
      </c>
      <c r="AB336" s="873">
        <f t="shared" si="130"/>
        <v>0</v>
      </c>
      <c r="AC336" s="885">
        <f t="shared" si="131"/>
        <v>-307277.87674628111</v>
      </c>
    </row>
    <row r="337" spans="2:29" s="278" customFormat="1" ht="12" customHeight="1" x14ac:dyDescent="0.25">
      <c r="B337" s="1108">
        <f>IF(C337&lt;'Financing Assumptions'!$G$25,0,IF(C337='Financing Assumptions'!$G$25,1,IF(C337&gt;'Financing Assumptions'!$G$25,B336+1)))</f>
        <v>318</v>
      </c>
      <c r="C337" s="1109">
        <f t="shared" si="138"/>
        <v>320</v>
      </c>
      <c r="D337" s="732">
        <f t="shared" si="123"/>
        <v>30</v>
      </c>
      <c r="E337" s="35">
        <f t="shared" si="124"/>
        <v>9</v>
      </c>
      <c r="F337" s="889">
        <f t="shared" si="143"/>
        <v>55792</v>
      </c>
      <c r="G337" s="822">
        <f t="shared" si="125"/>
        <v>9</v>
      </c>
      <c r="H337" s="126">
        <f t="shared" si="126"/>
        <v>0</v>
      </c>
      <c r="I337" s="1098">
        <f t="shared" si="144"/>
        <v>0</v>
      </c>
      <c r="J337" s="887">
        <f t="shared" si="139"/>
        <v>318</v>
      </c>
      <c r="K337" s="1099">
        <f t="shared" si="132"/>
        <v>292</v>
      </c>
      <c r="L337" s="891" t="str">
        <f t="shared" si="133"/>
        <v>September</v>
      </c>
      <c r="M337" s="888">
        <f t="shared" si="140"/>
        <v>2052</v>
      </c>
      <c r="N337" s="1284">
        <f t="shared" si="145"/>
        <v>0</v>
      </c>
      <c r="O337" s="1284">
        <f t="shared" si="141"/>
        <v>0</v>
      </c>
      <c r="P337" s="883">
        <f t="shared" si="142"/>
        <v>11845160.127103221</v>
      </c>
      <c r="Q337" s="883">
        <f t="shared" si="134"/>
        <v>-307277.87674628111</v>
      </c>
      <c r="R337" s="1100"/>
      <c r="S337" s="883">
        <f t="shared" si="127"/>
        <v>-247229.49554638285</v>
      </c>
      <c r="T337" s="884">
        <f t="shared" si="135"/>
        <v>-60048.381199898271</v>
      </c>
      <c r="U337" s="884">
        <f>IF(AND($AU$43="Early Payoff",J337&gt;$U$15),0,IF($J337&lt;=$U$8,SUM($S$20:$S337),0))</f>
        <v>-34887069.368443176</v>
      </c>
      <c r="V337" s="884">
        <f>IF(AND($AU$43="Early Payoff",J337&gt;$U$15),0,IF($J337&lt;=$U$8,SUM($T$20:$T337),0))</f>
        <v>-54736431.904892012</v>
      </c>
      <c r="W337" s="885">
        <f t="shared" si="136"/>
        <v>11597930.631556839</v>
      </c>
      <c r="X337" s="1110">
        <f t="shared" si="137"/>
        <v>11845160.127103221</v>
      </c>
      <c r="Z337" s="1102">
        <f t="shared" si="128"/>
        <v>0</v>
      </c>
      <c r="AA337" s="873">
        <f t="shared" si="129"/>
        <v>0</v>
      </c>
      <c r="AB337" s="873">
        <f t="shared" si="130"/>
        <v>0</v>
      </c>
      <c r="AC337" s="885">
        <f t="shared" si="131"/>
        <v>-307277.87674628111</v>
      </c>
    </row>
    <row r="338" spans="2:29" s="278" customFormat="1" ht="12" customHeight="1" x14ac:dyDescent="0.25">
      <c r="B338" s="1108">
        <f>IF(C338&lt;'Financing Assumptions'!$G$25,0,IF(C338='Financing Assumptions'!$G$25,1,IF(C338&gt;'Financing Assumptions'!$G$25,B337+1)))</f>
        <v>319</v>
      </c>
      <c r="C338" s="1109">
        <f t="shared" si="138"/>
        <v>321</v>
      </c>
      <c r="D338" s="732">
        <f t="shared" si="123"/>
        <v>31</v>
      </c>
      <c r="E338" s="35">
        <f t="shared" si="124"/>
        <v>10</v>
      </c>
      <c r="F338" s="889">
        <f t="shared" si="143"/>
        <v>55823</v>
      </c>
      <c r="G338" s="822">
        <f t="shared" si="125"/>
        <v>10</v>
      </c>
      <c r="H338" s="126">
        <f t="shared" si="126"/>
        <v>0</v>
      </c>
      <c r="I338" s="1098">
        <f t="shared" si="144"/>
        <v>0</v>
      </c>
      <c r="J338" s="887">
        <f t="shared" si="139"/>
        <v>319</v>
      </c>
      <c r="K338" s="1099">
        <f t="shared" si="132"/>
        <v>293</v>
      </c>
      <c r="L338" s="891" t="str">
        <f t="shared" si="133"/>
        <v>October</v>
      </c>
      <c r="M338" s="888">
        <f t="shared" si="140"/>
        <v>2052</v>
      </c>
      <c r="N338" s="1284">
        <f t="shared" si="145"/>
        <v>0</v>
      </c>
      <c r="O338" s="1284">
        <f t="shared" si="141"/>
        <v>0</v>
      </c>
      <c r="P338" s="883">
        <f t="shared" si="142"/>
        <v>11597930.631556839</v>
      </c>
      <c r="Q338" s="883">
        <f t="shared" si="134"/>
        <v>-307277.87674628111</v>
      </c>
      <c r="R338" s="1100"/>
      <c r="S338" s="883">
        <f t="shared" si="127"/>
        <v>-248482.81173908326</v>
      </c>
      <c r="T338" s="884">
        <f t="shared" si="135"/>
        <v>-58795.06500719786</v>
      </c>
      <c r="U338" s="884">
        <f>IF(AND($AU$43="Early Payoff",J338&gt;$U$15),0,IF($J338&lt;=$U$8,SUM($S$20:$S338),0))</f>
        <v>-35135552.180182256</v>
      </c>
      <c r="V338" s="884">
        <f>IF(AND($AU$43="Early Payoff",J338&gt;$U$15),0,IF($J338&lt;=$U$8,SUM($T$20:$T338),0))</f>
        <v>-54795226.969899207</v>
      </c>
      <c r="W338" s="885">
        <f t="shared" si="136"/>
        <v>11349447.819817755</v>
      </c>
      <c r="X338" s="1110">
        <f t="shared" si="137"/>
        <v>11597930.631556839</v>
      </c>
      <c r="Z338" s="1102">
        <f t="shared" si="128"/>
        <v>0</v>
      </c>
      <c r="AA338" s="873">
        <f t="shared" si="129"/>
        <v>0</v>
      </c>
      <c r="AB338" s="873">
        <f t="shared" si="130"/>
        <v>0</v>
      </c>
      <c r="AC338" s="885">
        <f t="shared" si="131"/>
        <v>-307277.87674628111</v>
      </c>
    </row>
    <row r="339" spans="2:29" s="278" customFormat="1" ht="12" customHeight="1" x14ac:dyDescent="0.25">
      <c r="B339" s="1108">
        <f>IF(C339&lt;'Financing Assumptions'!$G$25,0,IF(C339='Financing Assumptions'!$G$25,1,IF(C339&gt;'Financing Assumptions'!$G$25,B338+1)))</f>
        <v>320</v>
      </c>
      <c r="C339" s="1109">
        <f t="shared" si="138"/>
        <v>322</v>
      </c>
      <c r="D339" s="732">
        <f t="shared" si="123"/>
        <v>30</v>
      </c>
      <c r="E339" s="35">
        <f t="shared" si="124"/>
        <v>11</v>
      </c>
      <c r="F339" s="889">
        <f t="shared" si="143"/>
        <v>55853</v>
      </c>
      <c r="G339" s="822">
        <f t="shared" si="125"/>
        <v>11</v>
      </c>
      <c r="H339" s="126">
        <f t="shared" si="126"/>
        <v>0</v>
      </c>
      <c r="I339" s="1098">
        <f t="shared" si="144"/>
        <v>0</v>
      </c>
      <c r="J339" s="887">
        <f t="shared" si="139"/>
        <v>320</v>
      </c>
      <c r="K339" s="1099">
        <f t="shared" si="132"/>
        <v>294</v>
      </c>
      <c r="L339" s="891" t="str">
        <f t="shared" si="133"/>
        <v>November</v>
      </c>
      <c r="M339" s="888">
        <f t="shared" si="140"/>
        <v>2052</v>
      </c>
      <c r="N339" s="1284">
        <f t="shared" si="145"/>
        <v>0</v>
      </c>
      <c r="O339" s="1284">
        <f t="shared" si="141"/>
        <v>0</v>
      </c>
      <c r="P339" s="883">
        <f t="shared" si="142"/>
        <v>11349447.819817755</v>
      </c>
      <c r="Q339" s="883">
        <f t="shared" si="134"/>
        <v>-307277.87674628111</v>
      </c>
      <c r="R339" s="1100"/>
      <c r="S339" s="883">
        <f t="shared" si="127"/>
        <v>-249742.48154859387</v>
      </c>
      <c r="T339" s="884">
        <f t="shared" si="135"/>
        <v>-57535.395197687227</v>
      </c>
      <c r="U339" s="884">
        <f>IF(AND($AU$43="Early Payoff",J339&gt;$U$15),0,IF($J339&lt;=$U$8,SUM($S$20:$S339),0))</f>
        <v>-35385294.661730848</v>
      </c>
      <c r="V339" s="884">
        <f>IF(AND($AU$43="Early Payoff",J339&gt;$U$15),0,IF($J339&lt;=$U$8,SUM($T$20:$T339),0))</f>
        <v>-54852762.365096897</v>
      </c>
      <c r="W339" s="885">
        <f t="shared" si="136"/>
        <v>11099705.338269161</v>
      </c>
      <c r="X339" s="1110">
        <f t="shared" si="137"/>
        <v>11349447.819817755</v>
      </c>
      <c r="Z339" s="1102">
        <f t="shared" si="128"/>
        <v>0</v>
      </c>
      <c r="AA339" s="873">
        <f t="shared" si="129"/>
        <v>0</v>
      </c>
      <c r="AB339" s="873">
        <f t="shared" si="130"/>
        <v>0</v>
      </c>
      <c r="AC339" s="885">
        <f t="shared" si="131"/>
        <v>-307277.87674628111</v>
      </c>
    </row>
    <row r="340" spans="2:29" s="278" customFormat="1" ht="12" customHeight="1" x14ac:dyDescent="0.25">
      <c r="B340" s="1108">
        <f>IF(C340&lt;'Financing Assumptions'!$G$25,0,IF(C340='Financing Assumptions'!$G$25,1,IF(C340&gt;'Financing Assumptions'!$G$25,B339+1)))</f>
        <v>321</v>
      </c>
      <c r="C340" s="1109">
        <f t="shared" si="138"/>
        <v>323</v>
      </c>
      <c r="D340" s="732">
        <f t="shared" ref="D340:D403" si="146">DAY(EOMONTH(DATE($M340,$E340,1),0))</f>
        <v>31</v>
      </c>
      <c r="E340" s="35">
        <f t="shared" ref="E340:E403" si="147">INDEX($AV$22:$AW$34,MATCH($L340,$AV$22:$AV$34,0),MATCH("Number",$AV$22:$AW$22,0))</f>
        <v>12</v>
      </c>
      <c r="F340" s="889">
        <f t="shared" si="143"/>
        <v>55884</v>
      </c>
      <c r="G340" s="822">
        <f t="shared" ref="G340:G403" si="148">INDEX($AV$22:$AW$34,MATCH($L340,$AV$22:$AV$34,0),MATCH("Number",$AV$22:$AW$22,0))</f>
        <v>12</v>
      </c>
      <c r="H340" s="126">
        <f t="shared" ref="H340:H403" si="149">IF($V$4="Monthly",INDEX($AV$36:$AW$48,MATCH($L340,$AV$36:$AV$48,0),MATCH("Number",$AV$36:$AW$36,0)),0)</f>
        <v>1</v>
      </c>
      <c r="I340" s="1098">
        <f t="shared" si="144"/>
        <v>0</v>
      </c>
      <c r="J340" s="887">
        <f t="shared" si="139"/>
        <v>321</v>
      </c>
      <c r="K340" s="1099">
        <f t="shared" si="132"/>
        <v>295</v>
      </c>
      <c r="L340" s="891" t="str">
        <f t="shared" si="133"/>
        <v>December</v>
      </c>
      <c r="M340" s="888">
        <f t="shared" si="140"/>
        <v>2052</v>
      </c>
      <c r="N340" s="1284">
        <f t="shared" si="145"/>
        <v>0</v>
      </c>
      <c r="O340" s="1284">
        <f t="shared" si="141"/>
        <v>0</v>
      </c>
      <c r="P340" s="883">
        <f t="shared" si="142"/>
        <v>11099705.338269161</v>
      </c>
      <c r="Q340" s="883">
        <f t="shared" si="134"/>
        <v>-307277.87674628111</v>
      </c>
      <c r="R340" s="1100"/>
      <c r="S340" s="883">
        <f t="shared" ref="S340:S378" si="150">IF(AND($AU$43="Early Payoff",J340&gt;=$U$15),0,IF($J340&gt;$U$8,0,IF(AND($AT$33&gt;0,$J340&lt;=$AT$33),0,+$Q340-$T340)))</f>
        <v>-251008.53718422216</v>
      </c>
      <c r="T340" s="884">
        <f t="shared" si="135"/>
        <v>-56269.339562058936</v>
      </c>
      <c r="U340" s="884">
        <f>IF(AND($AU$43="Early Payoff",J340&gt;$U$15),0,IF($J340&lt;=$U$8,SUM($S$20:$S340),0))</f>
        <v>-35636303.198915072</v>
      </c>
      <c r="V340" s="884">
        <f>IF(AND($AU$43="Early Payoff",J340&gt;$U$15),0,IF($J340&lt;=$U$8,SUM($T$20:$T340),0))</f>
        <v>-54909031.704658955</v>
      </c>
      <c r="W340" s="885">
        <f t="shared" si="136"/>
        <v>10848696.801084939</v>
      </c>
      <c r="X340" s="1110">
        <f t="shared" si="137"/>
        <v>11099705.338269161</v>
      </c>
      <c r="Z340" s="1102">
        <f t="shared" ref="Z340:Z379" si="151">IF($J340&gt;$U$8,0,IF($J340&lt;=$AT$31,0,IF(AND($AA$5="%/Payment",$AC$5=0),$Q340*$AB$5,IF(AND($AA$5="%/Payment",$AC$5&gt;0,($Q340*$AB$5)&lt;$AC$5),$Q340*$AB$5,IF(AND($AA$5="%/Payment",$AC$5&gt;0,($Q340*$AB$5)&gt;$AC$5),-$AC$5,IF(AND($AA$5="%/Balance",$AC$5=0),-$W340*$AB$5,IF(AND($AA$5="%/Balance",$AC$5&gt;0,($W340*$AB$5)&lt;$AC$5),-$W340*$AB$5,IF(AND($AA$5="%/Balance",$AC$5&gt;0,($W340*$AB$5)&gt;$AC$5),-$AC$5,IF($AA$5="Fixed Amount",-$AB$5,IF($AA$5="N/A",0))))))))))</f>
        <v>0</v>
      </c>
      <c r="AA340" s="873">
        <f t="shared" ref="AA340:AA379" si="152">IF($J340&gt;$U$8,0,IF($J340&lt;=$AT$31,0,IF(AND($AA$6="%/Payment",$AC$6=0),$Q340*$AB$6,IF(AND($AA$6="%/Payment",$AC$6&gt;0,($Q340*$AB$6)&lt;$AC$6),$Q340*$AB$6,IF(AND($AA$6="%/Payment",$AC$6&gt;0,($Q340*$AB$6)&gt;$AC$6),-$AC$6,IF(AND($AA$6="%/Balance",$AC$6=0),-$W340*$AB$6,IF(AND($AA$6="%/Balance",$AC$6&gt;0,($W340*$AB$6)&lt;$AC$6),-$W340*$AB$6,IF(AND($AA$6="%/Balance",$AC$6&gt;0,($W340*$AB$6)&gt;$AC$6),-$AC$6,IF($AA$6="Fixed Amount",-$AB$6,IF($AA$6="N/A",0))))))))))</f>
        <v>0</v>
      </c>
      <c r="AB340" s="873">
        <f t="shared" ref="AB340:AB379" si="153">IF($J340&gt;$U$8,0,IF($J340&lt;=$AT$31,0,IF(AND($AA$7="%/Payment",$AC$7=0),$Q340*$AB$7,IF(AND($AA$7="%/Payment",$AC$7&gt;0,($Q340*$AB$7)&lt;$AC$7),$Q340*$AB$7,IF(AND($AA$7="%/Payment",$AC$7&gt;0,($Q340*$AB$7)&gt;$AC$7),-$AC$7,IF(AND($AA$7="%/Balance",$AC$7=0),-$W340*$AB$7,IF(AND($AA$7="%/Balance",$AC$7&gt;0,($W340*$AB$7)&lt;$AC$7),-$W340*$AB$7,IF(AND($AA$7="%/Balance",$AC$7&gt;0,($Q340*$AB$7)&gt;$AC$7),-$AC$7,IF($AA$7="Fixed Amount",-$AB$7,IF($AA$7="N/A",0))))))))))</f>
        <v>0</v>
      </c>
      <c r="AC340" s="885">
        <f t="shared" ref="AC340:AC379" si="154">SUM($Q340,$Z340:$AB340)</f>
        <v>-307277.87674628111</v>
      </c>
    </row>
    <row r="341" spans="2:29" s="278" customFormat="1" ht="12" customHeight="1" x14ac:dyDescent="0.25">
      <c r="B341" s="1108">
        <f>IF(C341&lt;'Financing Assumptions'!$G$25,0,IF(C341='Financing Assumptions'!$G$25,1,IF(C341&gt;'Financing Assumptions'!$G$25,B340+1)))</f>
        <v>322</v>
      </c>
      <c r="C341" s="1109">
        <f t="shared" si="138"/>
        <v>324</v>
      </c>
      <c r="D341" s="732">
        <f t="shared" si="146"/>
        <v>31</v>
      </c>
      <c r="E341" s="35">
        <f t="shared" si="147"/>
        <v>1</v>
      </c>
      <c r="F341" s="889">
        <f t="shared" si="143"/>
        <v>55915</v>
      </c>
      <c r="G341" s="822">
        <f t="shared" si="148"/>
        <v>1</v>
      </c>
      <c r="H341" s="126">
        <f t="shared" si="149"/>
        <v>0</v>
      </c>
      <c r="I341" s="1098">
        <f t="shared" si="144"/>
        <v>0</v>
      </c>
      <c r="J341" s="887">
        <f t="shared" si="139"/>
        <v>322</v>
      </c>
      <c r="K341" s="1099">
        <f t="shared" ref="K341:K404" si="155">IF($J341&lt;=$AT$33,0,IF($J340&gt;=$AT$33,$K340+1))</f>
        <v>296</v>
      </c>
      <c r="L341" s="891" t="str">
        <f t="shared" ref="L341:L404" si="156">IF($V$4="Annual",$T$5,IF(AND($V$4="Bi-Annual",$G340&lt;MAX($T$4,$U$4)),INDEX($AW$22:$AX$34,MATCH(MAX($T$4,$U$4),$AW$22:$AW$34,0),MATCH("Month",$AW$22:$AX$22,0)),IF(AND($V$4="Bi-Annual",$G340=MAX($T$4,$U$4)),INDEX($AW$22:$AX$34,MATCH(MIN($T$4,$U$4),$AW$22:$AW$34,0),MATCH("Month",$AW$22:$AX$22,0)),IF(AND($V$4="Monthly",$G340&lt;12),INDEX($AW$22:$AX$34,MATCH($G340+1,$AW$22:$AW$34,0),MATCH("Month",$AW$22:$AX$22,0)),IF(AND($V$4="Monthly",$G340=12),INDEX($AW$22:$AX$34,MATCH($G340-11,$AW$22:$AW$34,0),MATCH("Month",$AW$22:$AX$22,0)))))))</f>
        <v>January</v>
      </c>
      <c r="M341" s="888">
        <f t="shared" si="140"/>
        <v>2053</v>
      </c>
      <c r="N341" s="1284">
        <f t="shared" si="145"/>
        <v>0</v>
      </c>
      <c r="O341" s="1284">
        <f t="shared" si="141"/>
        <v>0</v>
      </c>
      <c r="P341" s="883">
        <f t="shared" si="142"/>
        <v>10848696.801084939</v>
      </c>
      <c r="Q341" s="883">
        <f t="shared" ref="Q341:Q378" si="157">IF(AND($AU$43="Early Payoff",J341&gt;=$U$15),0,IF($J341&gt;$U$8,0,IF(AND($AT$33&gt;=0,$J341&lt;=$AT$33),0,IF(AND($AT$31&gt;=0,$J341&lt;=$AT$31),$T341,IF(AND($V$4="Annual",$AT$31&gt;=0,$AT$33&gt;=0,$J341&gt;$AT$31,$J341&gt;$AT$33),PMT($M$7,($U$8-$AT$31),$M$4),IF(AND($V$4="Bi-Annual",$AT$31&gt;=0,$AT$33&gt;=0,$J341&gt;$AT$31,$J341&gt;$AT$33),PMT($M$7/2,($U$8-$AT$31),$M$4),IF(AND($V$4="Monthly",$AT$31&gt;=0,$AT$33&gt;=0,$J341&gt;$AT$31,$J341&gt;$AT$33),PMT($M$7/12,($U$8-$AT$31),$M$4))))))))-R341</f>
        <v>-307277.87674628111</v>
      </c>
      <c r="R341" s="1100"/>
      <c r="S341" s="883">
        <f t="shared" si="150"/>
        <v>-252281.01101855884</v>
      </c>
      <c r="T341" s="884">
        <f t="shared" ref="T341:T378" si="158">IF(AND($AU$43="Early Payoff",J341&gt;=$U$15),0,IF($V$4="Annual",-$M$7*$W340*1,IF($V$4="Bi-Annual",(-$M$7/2)*$W340*1,IF($V$4="Monthly",(-$M$7/12)*$W340*1))))</f>
        <v>-54996.865727722259</v>
      </c>
      <c r="U341" s="884">
        <f>IF(AND($AU$43="Early Payoff",J341&gt;$U$15),0,IF($J341&lt;=$U$8,SUM($S$20:$S341),0))</f>
        <v>-35888584.209933631</v>
      </c>
      <c r="V341" s="884">
        <f>IF(AND($AU$43="Early Payoff",J341&gt;$U$15),0,IF($J341&lt;=$U$8,SUM($T$20:$T341),0))</f>
        <v>-54964028.570386678</v>
      </c>
      <c r="W341" s="885">
        <f t="shared" ref="W341:W404" si="159">IF($K341&lt;=$U$15,SUM($P341,$S341),0)</f>
        <v>10596415.79006638</v>
      </c>
      <c r="X341" s="1110">
        <f t="shared" ref="X341:X404" si="160">IF($C341&lt;$L$11,$M$4,$P341)</f>
        <v>10848696.801084939</v>
      </c>
      <c r="Z341" s="1102">
        <f t="shared" si="151"/>
        <v>0</v>
      </c>
      <c r="AA341" s="873">
        <f t="shared" si="152"/>
        <v>0</v>
      </c>
      <c r="AB341" s="873">
        <f t="shared" si="153"/>
        <v>0</v>
      </c>
      <c r="AC341" s="885">
        <f t="shared" si="154"/>
        <v>-307277.87674628111</v>
      </c>
    </row>
    <row r="342" spans="2:29" s="278" customFormat="1" ht="12" customHeight="1" x14ac:dyDescent="0.25">
      <c r="B342" s="1108">
        <f>IF(C342&lt;'Financing Assumptions'!$G$25,0,IF(C342='Financing Assumptions'!$G$25,1,IF(C342&gt;'Financing Assumptions'!$G$25,B341+1)))</f>
        <v>323</v>
      </c>
      <c r="C342" s="1109">
        <f t="shared" ref="C342:C405" si="161">C341+1</f>
        <v>325</v>
      </c>
      <c r="D342" s="732">
        <f t="shared" si="146"/>
        <v>28</v>
      </c>
      <c r="E342" s="35">
        <f t="shared" si="147"/>
        <v>2</v>
      </c>
      <c r="F342" s="889">
        <f t="shared" si="143"/>
        <v>55943</v>
      </c>
      <c r="G342" s="822">
        <f t="shared" si="148"/>
        <v>2</v>
      </c>
      <c r="H342" s="126">
        <f t="shared" si="149"/>
        <v>0</v>
      </c>
      <c r="I342" s="1098">
        <f t="shared" si="144"/>
        <v>0</v>
      </c>
      <c r="J342" s="887">
        <f t="shared" ref="J342:J405" si="162">J341+1</f>
        <v>323</v>
      </c>
      <c r="K342" s="1099">
        <f t="shared" si="155"/>
        <v>297</v>
      </c>
      <c r="L342" s="891" t="str">
        <f t="shared" si="156"/>
        <v>February</v>
      </c>
      <c r="M342" s="888">
        <f t="shared" ref="M342:M405" si="163">IF($V$4="Annual",$M341+$I342,IF($V$4="Bi-Annual",$M341+$I341,IF($V$4="Monthly",$M341+$H341)))</f>
        <v>2053</v>
      </c>
      <c r="N342" s="1284">
        <f t="shared" si="145"/>
        <v>0</v>
      </c>
      <c r="O342" s="1284">
        <f t="shared" ref="O342:O405" si="164">IF($B342&lt;=$M$11,INDEX($AZ$26:$BM$63,MATCH($B342,$AZ$26:$AZ$63,0),MATCH($M$10,$AZ$26:$BM$26,0)),0)</f>
        <v>0</v>
      </c>
      <c r="P342" s="883">
        <f t="shared" ref="P342:P378" si="165">IF(AND($AU$43="Early Payoff",$J342&gt;$U$15),0,IF(AND($AU$43="Early Payoff",$J342&lt;$U$15),SUM(N342,$W341),IF(AND($AU$43="Full-Term",$J342&lt;$U$15),SUM(N342,$W341),IF($J342&gt;$U$8,0,$W341))))</f>
        <v>10596415.79006638</v>
      </c>
      <c r="Q342" s="883">
        <f t="shared" si="157"/>
        <v>-307277.87674628111</v>
      </c>
      <c r="R342" s="1100"/>
      <c r="S342" s="883">
        <f t="shared" si="150"/>
        <v>-253559.9355883057</v>
      </c>
      <c r="T342" s="884">
        <f t="shared" si="158"/>
        <v>-53717.941157975394</v>
      </c>
      <c r="U342" s="884">
        <f>IF(AND($AU$43="Early Payoff",J342&gt;$U$15),0,IF($J342&lt;=$U$8,SUM($S$20:$S342),0))</f>
        <v>-36142144.145521939</v>
      </c>
      <c r="V342" s="884">
        <f>IF(AND($AU$43="Early Payoff",J342&gt;$U$15),0,IF($J342&lt;=$U$8,SUM($T$20:$T342),0))</f>
        <v>-55017746.511544652</v>
      </c>
      <c r="W342" s="885">
        <f t="shared" si="159"/>
        <v>10342855.854478074</v>
      </c>
      <c r="X342" s="1110">
        <f t="shared" si="160"/>
        <v>10596415.79006638</v>
      </c>
      <c r="Z342" s="1102">
        <f t="shared" si="151"/>
        <v>0</v>
      </c>
      <c r="AA342" s="873">
        <f t="shared" si="152"/>
        <v>0</v>
      </c>
      <c r="AB342" s="873">
        <f t="shared" si="153"/>
        <v>0</v>
      </c>
      <c r="AC342" s="885">
        <f t="shared" si="154"/>
        <v>-307277.87674628111</v>
      </c>
    </row>
    <row r="343" spans="2:29" s="278" customFormat="1" ht="12" customHeight="1" x14ac:dyDescent="0.25">
      <c r="B343" s="1108">
        <f>IF(C343&lt;'Financing Assumptions'!$G$25,0,IF(C343='Financing Assumptions'!$G$25,1,IF(C343&gt;'Financing Assumptions'!$G$25,B342+1)))</f>
        <v>324</v>
      </c>
      <c r="C343" s="1109">
        <f t="shared" si="161"/>
        <v>326</v>
      </c>
      <c r="D343" s="732">
        <f t="shared" si="146"/>
        <v>31</v>
      </c>
      <c r="E343" s="35">
        <f t="shared" si="147"/>
        <v>3</v>
      </c>
      <c r="F343" s="889">
        <f t="shared" ref="F343:F379" si="166">DATE(M343,E343,D343)</f>
        <v>55974</v>
      </c>
      <c r="G343" s="822">
        <f t="shared" si="148"/>
        <v>3</v>
      </c>
      <c r="H343" s="126">
        <f t="shared" si="149"/>
        <v>0</v>
      </c>
      <c r="I343" s="1098">
        <f t="shared" ref="I343:I406" si="167">IF($V$4="Annual",1,IF(AND($V$4="Bi-Annual",$G343&gt;$G344),1,IF(AND($V$4="Bi-Annual",$G343&lt;$G344),0,IF($V$4="Monthly",0,))))</f>
        <v>0</v>
      </c>
      <c r="J343" s="887">
        <f t="shared" si="162"/>
        <v>324</v>
      </c>
      <c r="K343" s="1099">
        <f t="shared" si="155"/>
        <v>298</v>
      </c>
      <c r="L343" s="891" t="str">
        <f t="shared" si="156"/>
        <v>March</v>
      </c>
      <c r="M343" s="888">
        <f t="shared" si="163"/>
        <v>2053</v>
      </c>
      <c r="N343" s="1284">
        <f t="shared" si="145"/>
        <v>0</v>
      </c>
      <c r="O343" s="1284">
        <f t="shared" si="164"/>
        <v>0</v>
      </c>
      <c r="P343" s="883">
        <f t="shared" si="165"/>
        <v>10342855.854478074</v>
      </c>
      <c r="Q343" s="883">
        <f t="shared" si="157"/>
        <v>-307277.87674628111</v>
      </c>
      <c r="R343" s="1100"/>
      <c r="S343" s="883">
        <f t="shared" si="150"/>
        <v>-254845.34359510755</v>
      </c>
      <c r="T343" s="884">
        <f t="shared" si="158"/>
        <v>-52432.533151173564</v>
      </c>
      <c r="U343" s="884">
        <f>IF(AND($AU$43="Early Payoff",J343&gt;$U$15),0,IF($J343&lt;=$U$8,SUM($S$20:$S343),0))</f>
        <v>-36396989.489117049</v>
      </c>
      <c r="V343" s="884">
        <f>IF(AND($AU$43="Early Payoff",J343&gt;$U$15),0,IF($J343&lt;=$U$8,SUM($T$20:$T343),0))</f>
        <v>-55070179.044695824</v>
      </c>
      <c r="W343" s="885">
        <f t="shared" si="159"/>
        <v>10088010.510882966</v>
      </c>
      <c r="X343" s="1110">
        <f t="shared" si="160"/>
        <v>10342855.854478074</v>
      </c>
      <c r="Z343" s="1102">
        <f t="shared" si="151"/>
        <v>0</v>
      </c>
      <c r="AA343" s="873">
        <f t="shared" si="152"/>
        <v>0</v>
      </c>
      <c r="AB343" s="873">
        <f t="shared" si="153"/>
        <v>0</v>
      </c>
      <c r="AC343" s="885">
        <f t="shared" si="154"/>
        <v>-307277.87674628111</v>
      </c>
    </row>
    <row r="344" spans="2:29" s="278" customFormat="1" ht="12" customHeight="1" x14ac:dyDescent="0.25">
      <c r="B344" s="1108">
        <f>IF(C344&lt;'Financing Assumptions'!$G$25,0,IF(C344='Financing Assumptions'!$G$25,1,IF(C344&gt;'Financing Assumptions'!$G$25,B343+1)))</f>
        <v>325</v>
      </c>
      <c r="C344" s="1109">
        <f t="shared" si="161"/>
        <v>327</v>
      </c>
      <c r="D344" s="732">
        <f t="shared" si="146"/>
        <v>30</v>
      </c>
      <c r="E344" s="35">
        <f t="shared" si="147"/>
        <v>4</v>
      </c>
      <c r="F344" s="889">
        <f t="shared" si="166"/>
        <v>56004</v>
      </c>
      <c r="G344" s="822">
        <f t="shared" si="148"/>
        <v>4</v>
      </c>
      <c r="H344" s="126">
        <f t="shared" si="149"/>
        <v>0</v>
      </c>
      <c r="I344" s="1098">
        <f t="shared" si="167"/>
        <v>0</v>
      </c>
      <c r="J344" s="887">
        <f t="shared" si="162"/>
        <v>325</v>
      </c>
      <c r="K344" s="1099">
        <f t="shared" si="155"/>
        <v>299</v>
      </c>
      <c r="L344" s="891" t="str">
        <f t="shared" si="156"/>
        <v>April</v>
      </c>
      <c r="M344" s="888">
        <f t="shared" si="163"/>
        <v>2053</v>
      </c>
      <c r="N344" s="1284">
        <f t="shared" si="145"/>
        <v>0</v>
      </c>
      <c r="O344" s="1284">
        <f t="shared" si="164"/>
        <v>0</v>
      </c>
      <c r="P344" s="883">
        <f t="shared" si="165"/>
        <v>10088010.510882966</v>
      </c>
      <c r="Q344" s="883">
        <f t="shared" si="157"/>
        <v>-307277.87674628111</v>
      </c>
      <c r="R344" s="1100"/>
      <c r="S344" s="883">
        <f t="shared" si="150"/>
        <v>-256137.2679063883</v>
      </c>
      <c r="T344" s="884">
        <f t="shared" si="158"/>
        <v>-51140.608839892811</v>
      </c>
      <c r="U344" s="884">
        <f>IF(AND($AU$43="Early Payoff",J344&gt;$U$15),0,IF($J344&lt;=$U$8,SUM($S$20:$S344),0))</f>
        <v>-36653126.757023439</v>
      </c>
      <c r="V344" s="884">
        <f>IF(AND($AU$43="Early Payoff",J344&gt;$U$15),0,IF($J344&lt;=$U$8,SUM($T$20:$T344),0))</f>
        <v>-55121319.653535716</v>
      </c>
      <c r="W344" s="885">
        <f t="shared" si="159"/>
        <v>9831873.242976578</v>
      </c>
      <c r="X344" s="1110">
        <f t="shared" si="160"/>
        <v>10088010.510882966</v>
      </c>
      <c r="Z344" s="1102">
        <f t="shared" si="151"/>
        <v>0</v>
      </c>
      <c r="AA344" s="873">
        <f t="shared" si="152"/>
        <v>0</v>
      </c>
      <c r="AB344" s="873">
        <f t="shared" si="153"/>
        <v>0</v>
      </c>
      <c r="AC344" s="885">
        <f t="shared" si="154"/>
        <v>-307277.87674628111</v>
      </c>
    </row>
    <row r="345" spans="2:29" s="278" customFormat="1" ht="12" customHeight="1" x14ac:dyDescent="0.25">
      <c r="B345" s="1108">
        <f>IF(C345&lt;'Financing Assumptions'!$G$25,0,IF(C345='Financing Assumptions'!$G$25,1,IF(C345&gt;'Financing Assumptions'!$G$25,B344+1)))</f>
        <v>326</v>
      </c>
      <c r="C345" s="1109">
        <f t="shared" si="161"/>
        <v>328</v>
      </c>
      <c r="D345" s="732">
        <f t="shared" si="146"/>
        <v>31</v>
      </c>
      <c r="E345" s="35">
        <f t="shared" si="147"/>
        <v>5</v>
      </c>
      <c r="F345" s="889">
        <f t="shared" si="166"/>
        <v>56035</v>
      </c>
      <c r="G345" s="822">
        <f t="shared" si="148"/>
        <v>5</v>
      </c>
      <c r="H345" s="126">
        <f t="shared" si="149"/>
        <v>0</v>
      </c>
      <c r="I345" s="1098">
        <f t="shared" si="167"/>
        <v>0</v>
      </c>
      <c r="J345" s="887">
        <f t="shared" si="162"/>
        <v>326</v>
      </c>
      <c r="K345" s="1099">
        <f t="shared" si="155"/>
        <v>300</v>
      </c>
      <c r="L345" s="891" t="str">
        <f t="shared" si="156"/>
        <v>May</v>
      </c>
      <c r="M345" s="888">
        <f t="shared" si="163"/>
        <v>2053</v>
      </c>
      <c r="N345" s="1284">
        <f t="shared" si="145"/>
        <v>0</v>
      </c>
      <c r="O345" s="1284">
        <f t="shared" si="164"/>
        <v>0</v>
      </c>
      <c r="P345" s="883">
        <f t="shared" si="165"/>
        <v>9831873.242976578</v>
      </c>
      <c r="Q345" s="883">
        <f t="shared" si="157"/>
        <v>-307277.87674628111</v>
      </c>
      <c r="R345" s="1100"/>
      <c r="S345" s="883">
        <f t="shared" si="150"/>
        <v>-257435.74155619153</v>
      </c>
      <c r="T345" s="884">
        <f t="shared" si="158"/>
        <v>-49842.135190089597</v>
      </c>
      <c r="U345" s="884">
        <f>IF(AND($AU$43="Early Payoff",J345&gt;$U$15),0,IF($J345&lt;=$U$8,SUM($S$20:$S345),0))</f>
        <v>-36910562.498579629</v>
      </c>
      <c r="V345" s="884">
        <f>IF(AND($AU$43="Early Payoff",J345&gt;$U$15),0,IF($J345&lt;=$U$8,SUM($T$20:$T345),0))</f>
        <v>-55171161.788725808</v>
      </c>
      <c r="W345" s="885">
        <f t="shared" si="159"/>
        <v>9574437.5014203861</v>
      </c>
      <c r="X345" s="1110">
        <f t="shared" si="160"/>
        <v>9831873.242976578</v>
      </c>
      <c r="Z345" s="1102">
        <f t="shared" si="151"/>
        <v>0</v>
      </c>
      <c r="AA345" s="873">
        <f t="shared" si="152"/>
        <v>0</v>
      </c>
      <c r="AB345" s="873">
        <f t="shared" si="153"/>
        <v>0</v>
      </c>
      <c r="AC345" s="885">
        <f t="shared" si="154"/>
        <v>-307277.87674628111</v>
      </c>
    </row>
    <row r="346" spans="2:29" s="278" customFormat="1" ht="12" customHeight="1" x14ac:dyDescent="0.25">
      <c r="B346" s="1108">
        <f>IF(C346&lt;'Financing Assumptions'!$G$25,0,IF(C346='Financing Assumptions'!$G$25,1,IF(C346&gt;'Financing Assumptions'!$G$25,B345+1)))</f>
        <v>327</v>
      </c>
      <c r="C346" s="1109">
        <f t="shared" si="161"/>
        <v>329</v>
      </c>
      <c r="D346" s="732">
        <f t="shared" si="146"/>
        <v>30</v>
      </c>
      <c r="E346" s="35">
        <f t="shared" si="147"/>
        <v>6</v>
      </c>
      <c r="F346" s="889">
        <f t="shared" si="166"/>
        <v>56065</v>
      </c>
      <c r="G346" s="822">
        <f t="shared" si="148"/>
        <v>6</v>
      </c>
      <c r="H346" s="126">
        <f t="shared" si="149"/>
        <v>0</v>
      </c>
      <c r="I346" s="1098">
        <f t="shared" si="167"/>
        <v>0</v>
      </c>
      <c r="J346" s="887">
        <f t="shared" si="162"/>
        <v>327</v>
      </c>
      <c r="K346" s="1099">
        <f t="shared" si="155"/>
        <v>301</v>
      </c>
      <c r="L346" s="891" t="str">
        <f t="shared" si="156"/>
        <v>June</v>
      </c>
      <c r="M346" s="888">
        <f t="shared" si="163"/>
        <v>2053</v>
      </c>
      <c r="N346" s="1284">
        <f t="shared" ref="N346:N378" si="168">IF(B346=0,0,IF($B346&lt;=$M$11,INDEX($AZ$26:$BM$63,MATCH($B346,$AZ$26:$AZ$63,0),MATCH($M$10,$AZ$27:$BM$27,0)),0))</f>
        <v>0</v>
      </c>
      <c r="O346" s="1284">
        <f t="shared" si="164"/>
        <v>0</v>
      </c>
      <c r="P346" s="883">
        <f t="shared" si="165"/>
        <v>9574437.5014203861</v>
      </c>
      <c r="Q346" s="883">
        <f t="shared" si="157"/>
        <v>-307277.87674628111</v>
      </c>
      <c r="R346" s="1100"/>
      <c r="S346" s="883">
        <f t="shared" si="150"/>
        <v>-258740.797746025</v>
      </c>
      <c r="T346" s="884">
        <f t="shared" si="158"/>
        <v>-48537.079000256119</v>
      </c>
      <c r="U346" s="884">
        <f>IF(AND($AU$43="Early Payoff",J346&gt;$U$15),0,IF($J346&lt;=$U$8,SUM($S$20:$S346),0))</f>
        <v>-37169303.296325654</v>
      </c>
      <c r="V346" s="884">
        <f>IF(AND($AU$43="Early Payoff",J346&gt;$U$15),0,IF($J346&lt;=$U$8,SUM($T$20:$T346),0))</f>
        <v>-55219698.867726065</v>
      </c>
      <c r="W346" s="885">
        <f t="shared" si="159"/>
        <v>9315696.7036743611</v>
      </c>
      <c r="X346" s="1110">
        <f t="shared" si="160"/>
        <v>9574437.5014203861</v>
      </c>
      <c r="Z346" s="1102">
        <f t="shared" si="151"/>
        <v>0</v>
      </c>
      <c r="AA346" s="873">
        <f t="shared" si="152"/>
        <v>0</v>
      </c>
      <c r="AB346" s="873">
        <f t="shared" si="153"/>
        <v>0</v>
      </c>
      <c r="AC346" s="885">
        <f t="shared" si="154"/>
        <v>-307277.87674628111</v>
      </c>
    </row>
    <row r="347" spans="2:29" s="278" customFormat="1" ht="12" customHeight="1" x14ac:dyDescent="0.25">
      <c r="B347" s="1108">
        <f>IF(C347&lt;'Financing Assumptions'!$G$25,0,IF(C347='Financing Assumptions'!$G$25,1,IF(C347&gt;'Financing Assumptions'!$G$25,B346+1)))</f>
        <v>328</v>
      </c>
      <c r="C347" s="1109">
        <f t="shared" si="161"/>
        <v>330</v>
      </c>
      <c r="D347" s="732">
        <f t="shared" si="146"/>
        <v>31</v>
      </c>
      <c r="E347" s="35">
        <f t="shared" si="147"/>
        <v>7</v>
      </c>
      <c r="F347" s="889">
        <f t="shared" si="166"/>
        <v>56096</v>
      </c>
      <c r="G347" s="822">
        <f t="shared" si="148"/>
        <v>7</v>
      </c>
      <c r="H347" s="126">
        <f t="shared" si="149"/>
        <v>0</v>
      </c>
      <c r="I347" s="1098">
        <f t="shared" si="167"/>
        <v>0</v>
      </c>
      <c r="J347" s="887">
        <f t="shared" si="162"/>
        <v>328</v>
      </c>
      <c r="K347" s="1099">
        <f t="shared" si="155"/>
        <v>302</v>
      </c>
      <c r="L347" s="891" t="str">
        <f t="shared" si="156"/>
        <v>July</v>
      </c>
      <c r="M347" s="888">
        <f t="shared" si="163"/>
        <v>2053</v>
      </c>
      <c r="N347" s="1284">
        <f t="shared" si="168"/>
        <v>0</v>
      </c>
      <c r="O347" s="1284">
        <f t="shared" si="164"/>
        <v>0</v>
      </c>
      <c r="P347" s="883">
        <f t="shared" si="165"/>
        <v>9315696.7036743611</v>
      </c>
      <c r="Q347" s="883">
        <f t="shared" si="157"/>
        <v>-307277.87674628111</v>
      </c>
      <c r="R347" s="1100"/>
      <c r="S347" s="883">
        <f t="shared" si="150"/>
        <v>-260052.46984570968</v>
      </c>
      <c r="T347" s="884">
        <f t="shared" si="158"/>
        <v>-47225.406900571412</v>
      </c>
      <c r="U347" s="884">
        <f>IF(AND($AU$43="Early Payoff",J347&gt;$U$15),0,IF($J347&lt;=$U$8,SUM($S$20:$S347),0))</f>
        <v>-37429355.766171366</v>
      </c>
      <c r="V347" s="884">
        <f>IF(AND($AU$43="Early Payoff",J347&gt;$U$15),0,IF($J347&lt;=$U$8,SUM($T$20:$T347),0))</f>
        <v>-55266924.274626635</v>
      </c>
      <c r="W347" s="885">
        <f t="shared" si="159"/>
        <v>9055644.2338286508</v>
      </c>
      <c r="X347" s="1110">
        <f t="shared" si="160"/>
        <v>9315696.7036743611</v>
      </c>
      <c r="Z347" s="1102">
        <f t="shared" si="151"/>
        <v>0</v>
      </c>
      <c r="AA347" s="873">
        <f t="shared" si="152"/>
        <v>0</v>
      </c>
      <c r="AB347" s="873">
        <f t="shared" si="153"/>
        <v>0</v>
      </c>
      <c r="AC347" s="885">
        <f t="shared" si="154"/>
        <v>-307277.87674628111</v>
      </c>
    </row>
    <row r="348" spans="2:29" s="278" customFormat="1" ht="12" customHeight="1" x14ac:dyDescent="0.25">
      <c r="B348" s="1108">
        <f>IF(C348&lt;'Financing Assumptions'!$G$25,0,IF(C348='Financing Assumptions'!$G$25,1,IF(C348&gt;'Financing Assumptions'!$G$25,B347+1)))</f>
        <v>329</v>
      </c>
      <c r="C348" s="1109">
        <f t="shared" si="161"/>
        <v>331</v>
      </c>
      <c r="D348" s="732">
        <f t="shared" si="146"/>
        <v>31</v>
      </c>
      <c r="E348" s="35">
        <f t="shared" si="147"/>
        <v>8</v>
      </c>
      <c r="F348" s="889">
        <f t="shared" si="166"/>
        <v>56127</v>
      </c>
      <c r="G348" s="822">
        <f t="shared" si="148"/>
        <v>8</v>
      </c>
      <c r="H348" s="126">
        <f t="shared" si="149"/>
        <v>0</v>
      </c>
      <c r="I348" s="1098">
        <f t="shared" si="167"/>
        <v>0</v>
      </c>
      <c r="J348" s="887">
        <f t="shared" si="162"/>
        <v>329</v>
      </c>
      <c r="K348" s="1099">
        <f t="shared" si="155"/>
        <v>303</v>
      </c>
      <c r="L348" s="891" t="str">
        <f t="shared" si="156"/>
        <v>August</v>
      </c>
      <c r="M348" s="888">
        <f t="shared" si="163"/>
        <v>2053</v>
      </c>
      <c r="N348" s="1284">
        <f t="shared" si="168"/>
        <v>0</v>
      </c>
      <c r="O348" s="1284">
        <f t="shared" si="164"/>
        <v>0</v>
      </c>
      <c r="P348" s="883">
        <f t="shared" si="165"/>
        <v>9055644.2338286508</v>
      </c>
      <c r="Q348" s="883">
        <f t="shared" si="157"/>
        <v>-307277.87674628111</v>
      </c>
      <c r="R348" s="1100"/>
      <c r="S348" s="883">
        <f t="shared" si="150"/>
        <v>-261370.79139423309</v>
      </c>
      <c r="T348" s="884">
        <f t="shared" si="158"/>
        <v>-45907.085352048016</v>
      </c>
      <c r="U348" s="884">
        <f>IF(AND($AU$43="Early Payoff",J348&gt;$U$15),0,IF($J348&lt;=$U$8,SUM($S$20:$S348),0))</f>
        <v>-37690726.5575656</v>
      </c>
      <c r="V348" s="884">
        <f>IF(AND($AU$43="Early Payoff",J348&gt;$U$15),0,IF($J348&lt;=$U$8,SUM($T$20:$T348),0))</f>
        <v>-55312831.359978683</v>
      </c>
      <c r="W348" s="885">
        <f t="shared" si="159"/>
        <v>8794273.4424344171</v>
      </c>
      <c r="X348" s="1110">
        <f t="shared" si="160"/>
        <v>9055644.2338286508</v>
      </c>
      <c r="Z348" s="1102">
        <f t="shared" si="151"/>
        <v>0</v>
      </c>
      <c r="AA348" s="873">
        <f t="shared" si="152"/>
        <v>0</v>
      </c>
      <c r="AB348" s="873">
        <f t="shared" si="153"/>
        <v>0</v>
      </c>
      <c r="AC348" s="885">
        <f t="shared" si="154"/>
        <v>-307277.87674628111</v>
      </c>
    </row>
    <row r="349" spans="2:29" s="278" customFormat="1" ht="12" customHeight="1" x14ac:dyDescent="0.25">
      <c r="B349" s="1108">
        <f>IF(C349&lt;'Financing Assumptions'!$G$25,0,IF(C349='Financing Assumptions'!$G$25,1,IF(C349&gt;'Financing Assumptions'!$G$25,B348+1)))</f>
        <v>330</v>
      </c>
      <c r="C349" s="1109">
        <f t="shared" si="161"/>
        <v>332</v>
      </c>
      <c r="D349" s="732">
        <f t="shared" si="146"/>
        <v>30</v>
      </c>
      <c r="E349" s="35">
        <f t="shared" si="147"/>
        <v>9</v>
      </c>
      <c r="F349" s="889">
        <f t="shared" si="166"/>
        <v>56157</v>
      </c>
      <c r="G349" s="822">
        <f t="shared" si="148"/>
        <v>9</v>
      </c>
      <c r="H349" s="126">
        <f t="shared" si="149"/>
        <v>0</v>
      </c>
      <c r="I349" s="1098">
        <f t="shared" si="167"/>
        <v>0</v>
      </c>
      <c r="J349" s="887">
        <f t="shared" si="162"/>
        <v>330</v>
      </c>
      <c r="K349" s="1099">
        <f t="shared" si="155"/>
        <v>304</v>
      </c>
      <c r="L349" s="891" t="str">
        <f t="shared" si="156"/>
        <v>September</v>
      </c>
      <c r="M349" s="888">
        <f t="shared" si="163"/>
        <v>2053</v>
      </c>
      <c r="N349" s="1284">
        <f t="shared" si="168"/>
        <v>0</v>
      </c>
      <c r="O349" s="1284">
        <f t="shared" si="164"/>
        <v>0</v>
      </c>
      <c r="P349" s="883">
        <f t="shared" si="165"/>
        <v>8794273.4424344171</v>
      </c>
      <c r="Q349" s="883">
        <f t="shared" si="157"/>
        <v>-307277.87674628111</v>
      </c>
      <c r="R349" s="1100"/>
      <c r="S349" s="883">
        <f t="shared" si="150"/>
        <v>-262695.79610060662</v>
      </c>
      <c r="T349" s="884">
        <f t="shared" si="158"/>
        <v>-44582.080645674476</v>
      </c>
      <c r="U349" s="884">
        <f>IF(AND($AU$43="Early Payoff",J349&gt;$U$15),0,IF($J349&lt;=$U$8,SUM($S$20:$S349),0))</f>
        <v>-37953422.353666209</v>
      </c>
      <c r="V349" s="884">
        <f>IF(AND($AU$43="Early Payoff",J349&gt;$U$15),0,IF($J349&lt;=$U$8,SUM($T$20:$T349),0))</f>
        <v>-55357413.440624356</v>
      </c>
      <c r="W349" s="885">
        <f t="shared" si="159"/>
        <v>8531577.6463338099</v>
      </c>
      <c r="X349" s="1110">
        <f t="shared" si="160"/>
        <v>8794273.4424344171</v>
      </c>
      <c r="Z349" s="1102">
        <f t="shared" si="151"/>
        <v>0</v>
      </c>
      <c r="AA349" s="873">
        <f t="shared" si="152"/>
        <v>0</v>
      </c>
      <c r="AB349" s="873">
        <f t="shared" si="153"/>
        <v>0</v>
      </c>
      <c r="AC349" s="885">
        <f t="shared" si="154"/>
        <v>-307277.87674628111</v>
      </c>
    </row>
    <row r="350" spans="2:29" s="278" customFormat="1" ht="12" customHeight="1" x14ac:dyDescent="0.25">
      <c r="B350" s="1108">
        <f>IF(C350&lt;'Financing Assumptions'!$G$25,0,IF(C350='Financing Assumptions'!$G$25,1,IF(C350&gt;'Financing Assumptions'!$G$25,B349+1)))</f>
        <v>331</v>
      </c>
      <c r="C350" s="1109">
        <f t="shared" si="161"/>
        <v>333</v>
      </c>
      <c r="D350" s="732">
        <f t="shared" si="146"/>
        <v>31</v>
      </c>
      <c r="E350" s="35">
        <f t="shared" si="147"/>
        <v>10</v>
      </c>
      <c r="F350" s="889">
        <f t="shared" si="166"/>
        <v>56188</v>
      </c>
      <c r="G350" s="822">
        <f t="shared" si="148"/>
        <v>10</v>
      </c>
      <c r="H350" s="126">
        <f t="shared" si="149"/>
        <v>0</v>
      </c>
      <c r="I350" s="1098">
        <f t="shared" si="167"/>
        <v>0</v>
      </c>
      <c r="J350" s="887">
        <f t="shared" si="162"/>
        <v>331</v>
      </c>
      <c r="K350" s="1099">
        <f t="shared" si="155"/>
        <v>305</v>
      </c>
      <c r="L350" s="891" t="str">
        <f t="shared" si="156"/>
        <v>October</v>
      </c>
      <c r="M350" s="888">
        <f t="shared" si="163"/>
        <v>2053</v>
      </c>
      <c r="N350" s="1284">
        <f t="shared" si="168"/>
        <v>0</v>
      </c>
      <c r="O350" s="1284">
        <f t="shared" si="164"/>
        <v>0</v>
      </c>
      <c r="P350" s="883">
        <f t="shared" si="165"/>
        <v>8531577.6463338099</v>
      </c>
      <c r="Q350" s="883">
        <f t="shared" si="157"/>
        <v>-307277.87674628111</v>
      </c>
      <c r="R350" s="1100"/>
      <c r="S350" s="883">
        <f t="shared" si="150"/>
        <v>-264027.51784472779</v>
      </c>
      <c r="T350" s="884">
        <f t="shared" si="158"/>
        <v>-43250.358901553336</v>
      </c>
      <c r="U350" s="884">
        <f>IF(AND($AU$43="Early Payoff",J350&gt;$U$15),0,IF($J350&lt;=$U$8,SUM($S$20:$S350),0))</f>
        <v>-38217449.871510938</v>
      </c>
      <c r="V350" s="884">
        <f>IF(AND($AU$43="Early Payoff",J350&gt;$U$15),0,IF($J350&lt;=$U$8,SUM($T$20:$T350),0))</f>
        <v>-55400663.799525909</v>
      </c>
      <c r="W350" s="885">
        <f t="shared" si="159"/>
        <v>8267550.1284890817</v>
      </c>
      <c r="X350" s="1110">
        <f t="shared" si="160"/>
        <v>8531577.6463338099</v>
      </c>
      <c r="Z350" s="1102">
        <f t="shared" si="151"/>
        <v>0</v>
      </c>
      <c r="AA350" s="873">
        <f t="shared" si="152"/>
        <v>0</v>
      </c>
      <c r="AB350" s="873">
        <f t="shared" si="153"/>
        <v>0</v>
      </c>
      <c r="AC350" s="885">
        <f t="shared" si="154"/>
        <v>-307277.87674628111</v>
      </c>
    </row>
    <row r="351" spans="2:29" s="278" customFormat="1" ht="12" customHeight="1" x14ac:dyDescent="0.25">
      <c r="B351" s="1108">
        <f>IF(C351&lt;'Financing Assumptions'!$G$25,0,IF(C351='Financing Assumptions'!$G$25,1,IF(C351&gt;'Financing Assumptions'!$G$25,B350+1)))</f>
        <v>332</v>
      </c>
      <c r="C351" s="1109">
        <f t="shared" si="161"/>
        <v>334</v>
      </c>
      <c r="D351" s="732">
        <f t="shared" si="146"/>
        <v>30</v>
      </c>
      <c r="E351" s="35">
        <f t="shared" si="147"/>
        <v>11</v>
      </c>
      <c r="F351" s="889">
        <f t="shared" si="166"/>
        <v>56218</v>
      </c>
      <c r="G351" s="822">
        <f t="shared" si="148"/>
        <v>11</v>
      </c>
      <c r="H351" s="126">
        <f t="shared" si="149"/>
        <v>0</v>
      </c>
      <c r="I351" s="1098">
        <f t="shared" si="167"/>
        <v>0</v>
      </c>
      <c r="J351" s="887">
        <f t="shared" si="162"/>
        <v>332</v>
      </c>
      <c r="K351" s="1099">
        <f t="shared" si="155"/>
        <v>306</v>
      </c>
      <c r="L351" s="891" t="str">
        <f t="shared" si="156"/>
        <v>November</v>
      </c>
      <c r="M351" s="888">
        <f t="shared" si="163"/>
        <v>2053</v>
      </c>
      <c r="N351" s="1284">
        <f t="shared" si="168"/>
        <v>0</v>
      </c>
      <c r="O351" s="1284">
        <f t="shared" si="164"/>
        <v>0</v>
      </c>
      <c r="P351" s="883">
        <f t="shared" si="165"/>
        <v>8267550.1284890817</v>
      </c>
      <c r="Q351" s="883">
        <f t="shared" si="157"/>
        <v>-307277.87674628111</v>
      </c>
      <c r="R351" s="1100"/>
      <c r="S351" s="883">
        <f t="shared" si="150"/>
        <v>-265365.99067824619</v>
      </c>
      <c r="T351" s="884">
        <f t="shared" si="158"/>
        <v>-41911.886068034924</v>
      </c>
      <c r="U351" s="884">
        <f>IF(AND($AU$43="Early Payoff",J351&gt;$U$15),0,IF($J351&lt;=$U$8,SUM($S$20:$S351),0))</f>
        <v>-38482815.862189181</v>
      </c>
      <c r="V351" s="884">
        <f>IF(AND($AU$43="Early Payoff",J351&gt;$U$15),0,IF($J351&lt;=$U$8,SUM($T$20:$T351),0))</f>
        <v>-55442575.685593948</v>
      </c>
      <c r="W351" s="885">
        <f t="shared" si="159"/>
        <v>8002184.1378108356</v>
      </c>
      <c r="X351" s="1110">
        <f t="shared" si="160"/>
        <v>8267550.1284890817</v>
      </c>
      <c r="Z351" s="1102">
        <f t="shared" si="151"/>
        <v>0</v>
      </c>
      <c r="AA351" s="873">
        <f t="shared" si="152"/>
        <v>0</v>
      </c>
      <c r="AB351" s="873">
        <f t="shared" si="153"/>
        <v>0</v>
      </c>
      <c r="AC351" s="885">
        <f t="shared" si="154"/>
        <v>-307277.87674628111</v>
      </c>
    </row>
    <row r="352" spans="2:29" s="278" customFormat="1" ht="12" customHeight="1" x14ac:dyDescent="0.25">
      <c r="B352" s="1108">
        <f>IF(C352&lt;'Financing Assumptions'!$G$25,0,IF(C352='Financing Assumptions'!$G$25,1,IF(C352&gt;'Financing Assumptions'!$G$25,B351+1)))</f>
        <v>333</v>
      </c>
      <c r="C352" s="1109">
        <f t="shared" si="161"/>
        <v>335</v>
      </c>
      <c r="D352" s="732">
        <f t="shared" si="146"/>
        <v>31</v>
      </c>
      <c r="E352" s="35">
        <f t="shared" si="147"/>
        <v>12</v>
      </c>
      <c r="F352" s="889">
        <f t="shared" si="166"/>
        <v>56249</v>
      </c>
      <c r="G352" s="822">
        <f t="shared" si="148"/>
        <v>12</v>
      </c>
      <c r="H352" s="126">
        <f t="shared" si="149"/>
        <v>1</v>
      </c>
      <c r="I352" s="1098">
        <f t="shared" si="167"/>
        <v>0</v>
      </c>
      <c r="J352" s="887">
        <f t="shared" si="162"/>
        <v>333</v>
      </c>
      <c r="K352" s="1099">
        <f t="shared" si="155"/>
        <v>307</v>
      </c>
      <c r="L352" s="891" t="str">
        <f t="shared" si="156"/>
        <v>December</v>
      </c>
      <c r="M352" s="888">
        <f t="shared" si="163"/>
        <v>2053</v>
      </c>
      <c r="N352" s="1284">
        <f t="shared" si="168"/>
        <v>0</v>
      </c>
      <c r="O352" s="1284">
        <f t="shared" si="164"/>
        <v>0</v>
      </c>
      <c r="P352" s="883">
        <f t="shared" si="165"/>
        <v>8002184.1378108356</v>
      </c>
      <c r="Q352" s="883">
        <f t="shared" si="157"/>
        <v>-307277.87674628111</v>
      </c>
      <c r="R352" s="1100"/>
      <c r="S352" s="883">
        <f t="shared" si="150"/>
        <v>-266711.24882543454</v>
      </c>
      <c r="T352" s="884">
        <f t="shared" si="158"/>
        <v>-40566.627920846593</v>
      </c>
      <c r="U352" s="884">
        <f>IF(AND($AU$43="Early Payoff",J352&gt;$U$15),0,IF($J352&lt;=$U$8,SUM($S$20:$S352),0))</f>
        <v>-38749527.111014612</v>
      </c>
      <c r="V352" s="884">
        <f>IF(AND($AU$43="Early Payoff",J352&gt;$U$15),0,IF($J352&lt;=$U$8,SUM($T$20:$T352),0))</f>
        <v>-55483142.313514791</v>
      </c>
      <c r="W352" s="885">
        <f t="shared" si="159"/>
        <v>7735472.888985401</v>
      </c>
      <c r="X352" s="1110">
        <f t="shared" si="160"/>
        <v>8002184.1378108356</v>
      </c>
      <c r="Z352" s="1102">
        <f t="shared" si="151"/>
        <v>0</v>
      </c>
      <c r="AA352" s="873">
        <f t="shared" si="152"/>
        <v>0</v>
      </c>
      <c r="AB352" s="873">
        <f t="shared" si="153"/>
        <v>0</v>
      </c>
      <c r="AC352" s="885">
        <f t="shared" si="154"/>
        <v>-307277.87674628111</v>
      </c>
    </row>
    <row r="353" spans="2:29" s="278" customFormat="1" ht="12" customHeight="1" x14ac:dyDescent="0.25">
      <c r="B353" s="1108">
        <f>IF(C353&lt;'Financing Assumptions'!$G$25,0,IF(C353='Financing Assumptions'!$G$25,1,IF(C353&gt;'Financing Assumptions'!$G$25,B352+1)))</f>
        <v>334</v>
      </c>
      <c r="C353" s="1109">
        <f t="shared" si="161"/>
        <v>336</v>
      </c>
      <c r="D353" s="732">
        <f t="shared" si="146"/>
        <v>31</v>
      </c>
      <c r="E353" s="35">
        <f t="shared" si="147"/>
        <v>1</v>
      </c>
      <c r="F353" s="889">
        <f t="shared" si="166"/>
        <v>56280</v>
      </c>
      <c r="G353" s="822">
        <f t="shared" si="148"/>
        <v>1</v>
      </c>
      <c r="H353" s="126">
        <f t="shared" si="149"/>
        <v>0</v>
      </c>
      <c r="I353" s="1098">
        <f t="shared" si="167"/>
        <v>0</v>
      </c>
      <c r="J353" s="887">
        <f t="shared" si="162"/>
        <v>334</v>
      </c>
      <c r="K353" s="1099">
        <f t="shared" si="155"/>
        <v>308</v>
      </c>
      <c r="L353" s="891" t="str">
        <f t="shared" si="156"/>
        <v>January</v>
      </c>
      <c r="M353" s="888">
        <f t="shared" si="163"/>
        <v>2054</v>
      </c>
      <c r="N353" s="1284">
        <f t="shared" si="168"/>
        <v>0</v>
      </c>
      <c r="O353" s="1284">
        <f t="shared" si="164"/>
        <v>0</v>
      </c>
      <c r="P353" s="883">
        <f t="shared" si="165"/>
        <v>7735472.888985401</v>
      </c>
      <c r="Q353" s="883">
        <f t="shared" si="157"/>
        <v>-307277.87674628111</v>
      </c>
      <c r="R353" s="1100"/>
      <c r="S353" s="883">
        <f t="shared" si="150"/>
        <v>-268063.32668406348</v>
      </c>
      <c r="T353" s="884">
        <f t="shared" si="158"/>
        <v>-39214.550062217655</v>
      </c>
      <c r="U353" s="884">
        <f>IF(AND($AU$43="Early Payoff",J353&gt;$U$15),0,IF($J353&lt;=$U$8,SUM($S$20:$S353),0))</f>
        <v>-39017590.437698677</v>
      </c>
      <c r="V353" s="884">
        <f>IF(AND($AU$43="Early Payoff",J353&gt;$U$15),0,IF($J353&lt;=$U$8,SUM($T$20:$T353),0))</f>
        <v>-55522356.863577008</v>
      </c>
      <c r="W353" s="885">
        <f t="shared" si="159"/>
        <v>7467409.5623013377</v>
      </c>
      <c r="X353" s="1110">
        <f t="shared" si="160"/>
        <v>7735472.888985401</v>
      </c>
      <c r="Z353" s="1102">
        <f t="shared" si="151"/>
        <v>0</v>
      </c>
      <c r="AA353" s="873">
        <f t="shared" si="152"/>
        <v>0</v>
      </c>
      <c r="AB353" s="873">
        <f t="shared" si="153"/>
        <v>0</v>
      </c>
      <c r="AC353" s="885">
        <f t="shared" si="154"/>
        <v>-307277.87674628111</v>
      </c>
    </row>
    <row r="354" spans="2:29" s="278" customFormat="1" ht="12" customHeight="1" x14ac:dyDescent="0.25">
      <c r="B354" s="1108">
        <f>IF(C354&lt;'Financing Assumptions'!$G$25,0,IF(C354='Financing Assumptions'!$G$25,1,IF(C354&gt;'Financing Assumptions'!$G$25,B353+1)))</f>
        <v>335</v>
      </c>
      <c r="C354" s="1109">
        <f t="shared" si="161"/>
        <v>337</v>
      </c>
      <c r="D354" s="732">
        <f t="shared" si="146"/>
        <v>28</v>
      </c>
      <c r="E354" s="35">
        <f t="shared" si="147"/>
        <v>2</v>
      </c>
      <c r="F354" s="889">
        <f t="shared" si="166"/>
        <v>56308</v>
      </c>
      <c r="G354" s="822">
        <f t="shared" si="148"/>
        <v>2</v>
      </c>
      <c r="H354" s="126">
        <f t="shared" si="149"/>
        <v>0</v>
      </c>
      <c r="I354" s="1098">
        <f t="shared" si="167"/>
        <v>0</v>
      </c>
      <c r="J354" s="887">
        <f t="shared" si="162"/>
        <v>335</v>
      </c>
      <c r="K354" s="1099">
        <f t="shared" si="155"/>
        <v>309</v>
      </c>
      <c r="L354" s="891" t="str">
        <f t="shared" si="156"/>
        <v>February</v>
      </c>
      <c r="M354" s="888">
        <f t="shared" si="163"/>
        <v>2054</v>
      </c>
      <c r="N354" s="1284">
        <f t="shared" si="168"/>
        <v>0</v>
      </c>
      <c r="O354" s="1284">
        <f t="shared" si="164"/>
        <v>0</v>
      </c>
      <c r="P354" s="883">
        <f t="shared" si="165"/>
        <v>7467409.5623013377</v>
      </c>
      <c r="Q354" s="883">
        <f t="shared" si="157"/>
        <v>-307277.87674628111</v>
      </c>
      <c r="R354" s="1100"/>
      <c r="S354" s="883">
        <f t="shared" si="150"/>
        <v>-269422.25882628129</v>
      </c>
      <c r="T354" s="884">
        <f t="shared" si="158"/>
        <v>-37855.617919999837</v>
      </c>
      <c r="U354" s="884">
        <f>IF(AND($AU$43="Early Payoff",J354&gt;$U$15),0,IF($J354&lt;=$U$8,SUM($S$20:$S354),0))</f>
        <v>-39287012.696524955</v>
      </c>
      <c r="V354" s="884">
        <f>IF(AND($AU$43="Early Payoff",J354&gt;$U$15),0,IF($J354&lt;=$U$8,SUM($T$20:$T354),0))</f>
        <v>-55560212.481497005</v>
      </c>
      <c r="W354" s="885">
        <f t="shared" si="159"/>
        <v>7197987.3034750568</v>
      </c>
      <c r="X354" s="1110">
        <f t="shared" si="160"/>
        <v>7467409.5623013377</v>
      </c>
      <c r="Z354" s="1102">
        <f t="shared" si="151"/>
        <v>0</v>
      </c>
      <c r="AA354" s="873">
        <f t="shared" si="152"/>
        <v>0</v>
      </c>
      <c r="AB354" s="873">
        <f t="shared" si="153"/>
        <v>0</v>
      </c>
      <c r="AC354" s="885">
        <f t="shared" si="154"/>
        <v>-307277.87674628111</v>
      </c>
    </row>
    <row r="355" spans="2:29" s="278" customFormat="1" ht="12" customHeight="1" x14ac:dyDescent="0.25">
      <c r="B355" s="1108">
        <f>IF(C355&lt;'Financing Assumptions'!$G$25,0,IF(C355='Financing Assumptions'!$G$25,1,IF(C355&gt;'Financing Assumptions'!$G$25,B354+1)))</f>
        <v>336</v>
      </c>
      <c r="C355" s="1109">
        <f t="shared" si="161"/>
        <v>338</v>
      </c>
      <c r="D355" s="732">
        <f t="shared" si="146"/>
        <v>31</v>
      </c>
      <c r="E355" s="35">
        <f t="shared" si="147"/>
        <v>3</v>
      </c>
      <c r="F355" s="889">
        <f t="shared" si="166"/>
        <v>56339</v>
      </c>
      <c r="G355" s="822">
        <f t="shared" si="148"/>
        <v>3</v>
      </c>
      <c r="H355" s="126">
        <f t="shared" si="149"/>
        <v>0</v>
      </c>
      <c r="I355" s="1098">
        <f t="shared" si="167"/>
        <v>0</v>
      </c>
      <c r="J355" s="887">
        <f t="shared" si="162"/>
        <v>336</v>
      </c>
      <c r="K355" s="1099">
        <f t="shared" si="155"/>
        <v>310</v>
      </c>
      <c r="L355" s="891" t="str">
        <f t="shared" si="156"/>
        <v>March</v>
      </c>
      <c r="M355" s="888">
        <f t="shared" si="163"/>
        <v>2054</v>
      </c>
      <c r="N355" s="1284">
        <f t="shared" si="168"/>
        <v>0</v>
      </c>
      <c r="O355" s="1284">
        <f t="shared" si="164"/>
        <v>0</v>
      </c>
      <c r="P355" s="883">
        <f t="shared" si="165"/>
        <v>7197987.3034750568</v>
      </c>
      <c r="Q355" s="883">
        <f t="shared" si="157"/>
        <v>-307277.87674628111</v>
      </c>
      <c r="R355" s="1100"/>
      <c r="S355" s="883">
        <f t="shared" si="150"/>
        <v>-270788.07999949786</v>
      </c>
      <c r="T355" s="884">
        <f t="shared" si="158"/>
        <v>-36489.796746783271</v>
      </c>
      <c r="U355" s="884">
        <f>IF(AND($AU$43="Early Payoff",J355&gt;$U$15),0,IF($J355&lt;=$U$8,SUM($S$20:$S355),0))</f>
        <v>-39557800.776524454</v>
      </c>
      <c r="V355" s="884">
        <f>IF(AND($AU$43="Early Payoff",J355&gt;$U$15),0,IF($J355&lt;=$U$8,SUM($T$20:$T355),0))</f>
        <v>-55596702.278243788</v>
      </c>
      <c r="W355" s="885">
        <f t="shared" si="159"/>
        <v>6927199.2234755587</v>
      </c>
      <c r="X355" s="1110">
        <f t="shared" si="160"/>
        <v>7197987.3034750568</v>
      </c>
      <c r="Z355" s="1102">
        <f t="shared" si="151"/>
        <v>0</v>
      </c>
      <c r="AA355" s="873">
        <f t="shared" si="152"/>
        <v>0</v>
      </c>
      <c r="AB355" s="873">
        <f t="shared" si="153"/>
        <v>0</v>
      </c>
      <c r="AC355" s="885">
        <f t="shared" si="154"/>
        <v>-307277.87674628111</v>
      </c>
    </row>
    <row r="356" spans="2:29" s="278" customFormat="1" ht="12" customHeight="1" x14ac:dyDescent="0.25">
      <c r="B356" s="1108">
        <f>IF(C356&lt;'Financing Assumptions'!$G$25,0,IF(C356='Financing Assumptions'!$G$25,1,IF(C356&gt;'Financing Assumptions'!$G$25,B355+1)))</f>
        <v>337</v>
      </c>
      <c r="C356" s="1109">
        <f t="shared" si="161"/>
        <v>339</v>
      </c>
      <c r="D356" s="732">
        <f t="shared" si="146"/>
        <v>30</v>
      </c>
      <c r="E356" s="35">
        <f t="shared" si="147"/>
        <v>4</v>
      </c>
      <c r="F356" s="889">
        <f t="shared" si="166"/>
        <v>56369</v>
      </c>
      <c r="G356" s="822">
        <f t="shared" si="148"/>
        <v>4</v>
      </c>
      <c r="H356" s="126">
        <f t="shared" si="149"/>
        <v>0</v>
      </c>
      <c r="I356" s="1098">
        <f t="shared" si="167"/>
        <v>0</v>
      </c>
      <c r="J356" s="887">
        <f t="shared" si="162"/>
        <v>337</v>
      </c>
      <c r="K356" s="1099">
        <f t="shared" si="155"/>
        <v>311</v>
      </c>
      <c r="L356" s="891" t="str">
        <f t="shared" si="156"/>
        <v>April</v>
      </c>
      <c r="M356" s="888">
        <f t="shared" si="163"/>
        <v>2054</v>
      </c>
      <c r="N356" s="1284">
        <f t="shared" si="168"/>
        <v>0</v>
      </c>
      <c r="O356" s="1284">
        <f t="shared" si="164"/>
        <v>0</v>
      </c>
      <c r="P356" s="883">
        <f t="shared" si="165"/>
        <v>6927199.2234755587</v>
      </c>
      <c r="Q356" s="883">
        <f t="shared" si="157"/>
        <v>-307277.87674628111</v>
      </c>
      <c r="R356" s="1100"/>
      <c r="S356" s="883">
        <f t="shared" si="150"/>
        <v>-272160.8251272731</v>
      </c>
      <c r="T356" s="884">
        <f t="shared" si="158"/>
        <v>-35117.051619008038</v>
      </c>
      <c r="U356" s="884">
        <f>IF(AND($AU$43="Early Payoff",J356&gt;$U$15),0,IF($J356&lt;=$U$8,SUM($S$20:$S356),0))</f>
        <v>-39829961.601651728</v>
      </c>
      <c r="V356" s="884">
        <f>IF(AND($AU$43="Early Payoff",J356&gt;$U$15),0,IF($J356&lt;=$U$8,SUM($T$20:$T356),0))</f>
        <v>-55631819.329862796</v>
      </c>
      <c r="W356" s="885">
        <f t="shared" si="159"/>
        <v>6655038.3983482858</v>
      </c>
      <c r="X356" s="1110">
        <f t="shared" si="160"/>
        <v>6927199.2234755587</v>
      </c>
      <c r="Z356" s="1102">
        <f t="shared" si="151"/>
        <v>0</v>
      </c>
      <c r="AA356" s="873">
        <f t="shared" si="152"/>
        <v>0</v>
      </c>
      <c r="AB356" s="873">
        <f t="shared" si="153"/>
        <v>0</v>
      </c>
      <c r="AC356" s="885">
        <f t="shared" si="154"/>
        <v>-307277.87674628111</v>
      </c>
    </row>
    <row r="357" spans="2:29" s="278" customFormat="1" ht="12" customHeight="1" x14ac:dyDescent="0.25">
      <c r="B357" s="1108">
        <f>IF(C357&lt;'Financing Assumptions'!$G$25,0,IF(C357='Financing Assumptions'!$G$25,1,IF(C357&gt;'Financing Assumptions'!$G$25,B356+1)))</f>
        <v>338</v>
      </c>
      <c r="C357" s="1109">
        <f t="shared" si="161"/>
        <v>340</v>
      </c>
      <c r="D357" s="732">
        <f t="shared" si="146"/>
        <v>31</v>
      </c>
      <c r="E357" s="35">
        <f t="shared" si="147"/>
        <v>5</v>
      </c>
      <c r="F357" s="889">
        <f t="shared" si="166"/>
        <v>56400</v>
      </c>
      <c r="G357" s="822">
        <f t="shared" si="148"/>
        <v>5</v>
      </c>
      <c r="H357" s="126">
        <f t="shared" si="149"/>
        <v>0</v>
      </c>
      <c r="I357" s="1098">
        <f t="shared" si="167"/>
        <v>0</v>
      </c>
      <c r="J357" s="887">
        <f t="shared" si="162"/>
        <v>338</v>
      </c>
      <c r="K357" s="1099">
        <f t="shared" si="155"/>
        <v>312</v>
      </c>
      <c r="L357" s="891" t="str">
        <f t="shared" si="156"/>
        <v>May</v>
      </c>
      <c r="M357" s="888">
        <f t="shared" si="163"/>
        <v>2054</v>
      </c>
      <c r="N357" s="1284">
        <f t="shared" si="168"/>
        <v>0</v>
      </c>
      <c r="O357" s="1284">
        <f t="shared" si="164"/>
        <v>0</v>
      </c>
      <c r="P357" s="883">
        <f t="shared" si="165"/>
        <v>6655038.3983482858</v>
      </c>
      <c r="Q357" s="883">
        <f t="shared" si="157"/>
        <v>-307277.87674628111</v>
      </c>
      <c r="R357" s="1100"/>
      <c r="S357" s="883">
        <f t="shared" si="150"/>
        <v>-273540.52931020991</v>
      </c>
      <c r="T357" s="884">
        <f t="shared" si="158"/>
        <v>-33737.34743607117</v>
      </c>
      <c r="U357" s="884">
        <f>IF(AND($AU$43="Early Payoff",J357&gt;$U$15),0,IF($J357&lt;=$U$8,SUM($S$20:$S357),0))</f>
        <v>-40103502.13096194</v>
      </c>
      <c r="V357" s="884">
        <f>IF(AND($AU$43="Early Payoff",J357&gt;$U$15),0,IF($J357&lt;=$U$8,SUM($T$20:$T357),0))</f>
        <v>-55665556.677298866</v>
      </c>
      <c r="W357" s="885">
        <f t="shared" si="159"/>
        <v>6381497.8690380761</v>
      </c>
      <c r="X357" s="1110">
        <f t="shared" si="160"/>
        <v>6655038.3983482858</v>
      </c>
      <c r="Z357" s="1102">
        <f t="shared" si="151"/>
        <v>0</v>
      </c>
      <c r="AA357" s="873">
        <f t="shared" si="152"/>
        <v>0</v>
      </c>
      <c r="AB357" s="873">
        <f t="shared" si="153"/>
        <v>0</v>
      </c>
      <c r="AC357" s="885">
        <f t="shared" si="154"/>
        <v>-307277.87674628111</v>
      </c>
    </row>
    <row r="358" spans="2:29" s="278" customFormat="1" ht="12" customHeight="1" x14ac:dyDescent="0.25">
      <c r="B358" s="1108">
        <f>IF(C358&lt;'Financing Assumptions'!$G$25,0,IF(C358='Financing Assumptions'!$G$25,1,IF(C358&gt;'Financing Assumptions'!$G$25,B357+1)))</f>
        <v>339</v>
      </c>
      <c r="C358" s="1109">
        <f t="shared" si="161"/>
        <v>341</v>
      </c>
      <c r="D358" s="732">
        <f t="shared" si="146"/>
        <v>30</v>
      </c>
      <c r="E358" s="35">
        <f t="shared" si="147"/>
        <v>6</v>
      </c>
      <c r="F358" s="889">
        <f t="shared" si="166"/>
        <v>56430</v>
      </c>
      <c r="G358" s="822">
        <f t="shared" si="148"/>
        <v>6</v>
      </c>
      <c r="H358" s="126">
        <f t="shared" si="149"/>
        <v>0</v>
      </c>
      <c r="I358" s="1098">
        <f t="shared" si="167"/>
        <v>0</v>
      </c>
      <c r="J358" s="887">
        <f t="shared" si="162"/>
        <v>339</v>
      </c>
      <c r="K358" s="1099">
        <f t="shared" si="155"/>
        <v>313</v>
      </c>
      <c r="L358" s="891" t="str">
        <f t="shared" si="156"/>
        <v>June</v>
      </c>
      <c r="M358" s="888">
        <f t="shared" si="163"/>
        <v>2054</v>
      </c>
      <c r="N358" s="1284">
        <f t="shared" si="168"/>
        <v>0</v>
      </c>
      <c r="O358" s="1284">
        <f t="shared" si="164"/>
        <v>0</v>
      </c>
      <c r="P358" s="883">
        <f t="shared" si="165"/>
        <v>6381497.8690380761</v>
      </c>
      <c r="Q358" s="883">
        <f t="shared" si="157"/>
        <v>-307277.87674628111</v>
      </c>
      <c r="R358" s="1100"/>
      <c r="S358" s="883">
        <f t="shared" si="150"/>
        <v>-274927.227826852</v>
      </c>
      <c r="T358" s="884">
        <f t="shared" si="158"/>
        <v>-32350.648919429135</v>
      </c>
      <c r="U358" s="884">
        <f>IF(AND($AU$43="Early Payoff",J358&gt;$U$15),0,IF($J358&lt;=$U$8,SUM($S$20:$S358),0))</f>
        <v>-40378429.358788788</v>
      </c>
      <c r="V358" s="884">
        <f>IF(AND($AU$43="Early Payoff",J358&gt;$U$15),0,IF($J358&lt;=$U$8,SUM($T$20:$T358),0))</f>
        <v>-55697907.326218292</v>
      </c>
      <c r="W358" s="885">
        <f t="shared" si="159"/>
        <v>6106570.6412112238</v>
      </c>
      <c r="X358" s="1110">
        <f t="shared" si="160"/>
        <v>6381497.8690380761</v>
      </c>
      <c r="Z358" s="1102">
        <f t="shared" si="151"/>
        <v>0</v>
      </c>
      <c r="AA358" s="873">
        <f t="shared" si="152"/>
        <v>0</v>
      </c>
      <c r="AB358" s="873">
        <f t="shared" si="153"/>
        <v>0</v>
      </c>
      <c r="AC358" s="885">
        <f t="shared" si="154"/>
        <v>-307277.87674628111</v>
      </c>
    </row>
    <row r="359" spans="2:29" s="278" customFormat="1" ht="12" customHeight="1" x14ac:dyDescent="0.25">
      <c r="B359" s="1108">
        <f>IF(C359&lt;'Financing Assumptions'!$G$25,0,IF(C359='Financing Assumptions'!$G$25,1,IF(C359&gt;'Financing Assumptions'!$G$25,B358+1)))</f>
        <v>340</v>
      </c>
      <c r="C359" s="1109">
        <f t="shared" si="161"/>
        <v>342</v>
      </c>
      <c r="D359" s="732">
        <f t="shared" si="146"/>
        <v>31</v>
      </c>
      <c r="E359" s="35">
        <f t="shared" si="147"/>
        <v>7</v>
      </c>
      <c r="F359" s="889">
        <f t="shared" si="166"/>
        <v>56461</v>
      </c>
      <c r="G359" s="822">
        <f t="shared" si="148"/>
        <v>7</v>
      </c>
      <c r="H359" s="126">
        <f t="shared" si="149"/>
        <v>0</v>
      </c>
      <c r="I359" s="1098">
        <f t="shared" si="167"/>
        <v>0</v>
      </c>
      <c r="J359" s="887">
        <f t="shared" si="162"/>
        <v>340</v>
      </c>
      <c r="K359" s="1099">
        <f t="shared" si="155"/>
        <v>314</v>
      </c>
      <c r="L359" s="891" t="str">
        <f t="shared" si="156"/>
        <v>July</v>
      </c>
      <c r="M359" s="888">
        <f t="shared" si="163"/>
        <v>2054</v>
      </c>
      <c r="N359" s="1284">
        <f t="shared" si="168"/>
        <v>0</v>
      </c>
      <c r="O359" s="1284">
        <f t="shared" si="164"/>
        <v>0</v>
      </c>
      <c r="P359" s="883">
        <f t="shared" si="165"/>
        <v>6106570.6412112238</v>
      </c>
      <c r="Q359" s="883">
        <f t="shared" si="157"/>
        <v>-307277.87674628111</v>
      </c>
      <c r="R359" s="1100"/>
      <c r="S359" s="883">
        <f t="shared" si="150"/>
        <v>-276320.95613458531</v>
      </c>
      <c r="T359" s="884">
        <f t="shared" si="158"/>
        <v>-30956.920611695787</v>
      </c>
      <c r="U359" s="884">
        <f>IF(AND($AU$43="Early Payoff",J359&gt;$U$15),0,IF($J359&lt;=$U$8,SUM($S$20:$S359),0))</f>
        <v>-40654750.314923376</v>
      </c>
      <c r="V359" s="884">
        <f>IF(AND($AU$43="Early Payoff",J359&gt;$U$15),0,IF($J359&lt;=$U$8,SUM($T$20:$T359),0))</f>
        <v>-55728864.246829987</v>
      </c>
      <c r="W359" s="885">
        <f t="shared" si="159"/>
        <v>5830249.6850766381</v>
      </c>
      <c r="X359" s="1110">
        <f t="shared" si="160"/>
        <v>6106570.6412112238</v>
      </c>
      <c r="Z359" s="1102">
        <f t="shared" si="151"/>
        <v>0</v>
      </c>
      <c r="AA359" s="873">
        <f t="shared" si="152"/>
        <v>0</v>
      </c>
      <c r="AB359" s="873">
        <f t="shared" si="153"/>
        <v>0</v>
      </c>
      <c r="AC359" s="885">
        <f t="shared" si="154"/>
        <v>-307277.87674628111</v>
      </c>
    </row>
    <row r="360" spans="2:29" s="278" customFormat="1" ht="12" customHeight="1" x14ac:dyDescent="0.25">
      <c r="B360" s="1108">
        <f>IF(C360&lt;'Financing Assumptions'!$G$25,0,IF(C360='Financing Assumptions'!$G$25,1,IF(C360&gt;'Financing Assumptions'!$G$25,B359+1)))</f>
        <v>341</v>
      </c>
      <c r="C360" s="1109">
        <f t="shared" si="161"/>
        <v>343</v>
      </c>
      <c r="D360" s="732">
        <f t="shared" si="146"/>
        <v>31</v>
      </c>
      <c r="E360" s="35">
        <f t="shared" si="147"/>
        <v>8</v>
      </c>
      <c r="F360" s="889">
        <f t="shared" si="166"/>
        <v>56492</v>
      </c>
      <c r="G360" s="822">
        <f t="shared" si="148"/>
        <v>8</v>
      </c>
      <c r="H360" s="126">
        <f t="shared" si="149"/>
        <v>0</v>
      </c>
      <c r="I360" s="1098">
        <f t="shared" si="167"/>
        <v>0</v>
      </c>
      <c r="J360" s="887">
        <f t="shared" si="162"/>
        <v>341</v>
      </c>
      <c r="K360" s="1099">
        <f t="shared" si="155"/>
        <v>315</v>
      </c>
      <c r="L360" s="891" t="str">
        <f t="shared" si="156"/>
        <v>August</v>
      </c>
      <c r="M360" s="888">
        <f t="shared" si="163"/>
        <v>2054</v>
      </c>
      <c r="N360" s="1284">
        <f t="shared" si="168"/>
        <v>0</v>
      </c>
      <c r="O360" s="1284">
        <f t="shared" si="164"/>
        <v>0</v>
      </c>
      <c r="P360" s="883">
        <f t="shared" si="165"/>
        <v>5830249.6850766381</v>
      </c>
      <c r="Q360" s="883">
        <f t="shared" si="157"/>
        <v>-307277.87674628111</v>
      </c>
      <c r="R360" s="1100"/>
      <c r="S360" s="883">
        <f t="shared" si="150"/>
        <v>-277721.74987054535</v>
      </c>
      <c r="T360" s="884">
        <f t="shared" si="158"/>
        <v>-29556.126875735732</v>
      </c>
      <c r="U360" s="884">
        <f>IF(AND($AU$43="Early Payoff",J360&gt;$U$15),0,IF($J360&lt;=$U$8,SUM($S$20:$S360),0))</f>
        <v>-40932472.064793922</v>
      </c>
      <c r="V360" s="884">
        <f>IF(AND($AU$43="Early Payoff",J360&gt;$U$15),0,IF($J360&lt;=$U$8,SUM($T$20:$T360),0))</f>
        <v>-55758420.373705722</v>
      </c>
      <c r="W360" s="885">
        <f t="shared" si="159"/>
        <v>5552527.9352060929</v>
      </c>
      <c r="X360" s="1110">
        <f t="shared" si="160"/>
        <v>5830249.6850766381</v>
      </c>
      <c r="Z360" s="1102">
        <f t="shared" si="151"/>
        <v>0</v>
      </c>
      <c r="AA360" s="873">
        <f t="shared" si="152"/>
        <v>0</v>
      </c>
      <c r="AB360" s="873">
        <f t="shared" si="153"/>
        <v>0</v>
      </c>
      <c r="AC360" s="885">
        <f t="shared" si="154"/>
        <v>-307277.87674628111</v>
      </c>
    </row>
    <row r="361" spans="2:29" s="278" customFormat="1" ht="12" customHeight="1" x14ac:dyDescent="0.25">
      <c r="B361" s="1108">
        <f>IF(C361&lt;'Financing Assumptions'!$G$25,0,IF(C361='Financing Assumptions'!$G$25,1,IF(C361&gt;'Financing Assumptions'!$G$25,B360+1)))</f>
        <v>342</v>
      </c>
      <c r="C361" s="1109">
        <f t="shared" si="161"/>
        <v>344</v>
      </c>
      <c r="D361" s="732">
        <f t="shared" si="146"/>
        <v>30</v>
      </c>
      <c r="E361" s="35">
        <f t="shared" si="147"/>
        <v>9</v>
      </c>
      <c r="F361" s="889">
        <f t="shared" si="166"/>
        <v>56522</v>
      </c>
      <c r="G361" s="822">
        <f t="shared" si="148"/>
        <v>9</v>
      </c>
      <c r="H361" s="126">
        <f t="shared" si="149"/>
        <v>0</v>
      </c>
      <c r="I361" s="1098">
        <f t="shared" si="167"/>
        <v>0</v>
      </c>
      <c r="J361" s="887">
        <f t="shared" si="162"/>
        <v>342</v>
      </c>
      <c r="K361" s="1099">
        <f t="shared" si="155"/>
        <v>316</v>
      </c>
      <c r="L361" s="891" t="str">
        <f t="shared" si="156"/>
        <v>September</v>
      </c>
      <c r="M361" s="888">
        <f t="shared" si="163"/>
        <v>2054</v>
      </c>
      <c r="N361" s="1284">
        <f t="shared" si="168"/>
        <v>0</v>
      </c>
      <c r="O361" s="1284">
        <f t="shared" si="164"/>
        <v>0</v>
      </c>
      <c r="P361" s="883">
        <f t="shared" si="165"/>
        <v>5552527.9352060929</v>
      </c>
      <c r="Q361" s="883">
        <f t="shared" si="157"/>
        <v>-307277.87674628111</v>
      </c>
      <c r="R361" s="1100"/>
      <c r="S361" s="883">
        <f t="shared" si="150"/>
        <v>-279129.644852528</v>
      </c>
      <c r="T361" s="884">
        <f t="shared" si="158"/>
        <v>-28148.231893753109</v>
      </c>
      <c r="U361" s="884">
        <f>IF(AND($AU$43="Early Payoff",J361&gt;$U$15),0,IF($J361&lt;=$U$8,SUM($S$20:$S361),0))</f>
        <v>-41211601.709646448</v>
      </c>
      <c r="V361" s="884">
        <f>IF(AND($AU$43="Early Payoff",J361&gt;$U$15),0,IF($J361&lt;=$U$8,SUM($T$20:$T361),0))</f>
        <v>-55786568.605599478</v>
      </c>
      <c r="W361" s="885">
        <f t="shared" si="159"/>
        <v>5273398.2903535645</v>
      </c>
      <c r="X361" s="1110">
        <f t="shared" si="160"/>
        <v>5552527.9352060929</v>
      </c>
      <c r="Z361" s="1102">
        <f t="shared" si="151"/>
        <v>0</v>
      </c>
      <c r="AA361" s="873">
        <f t="shared" si="152"/>
        <v>0</v>
      </c>
      <c r="AB361" s="873">
        <f t="shared" si="153"/>
        <v>0</v>
      </c>
      <c r="AC361" s="885">
        <f t="shared" si="154"/>
        <v>-307277.87674628111</v>
      </c>
    </row>
    <row r="362" spans="2:29" s="278" customFormat="1" ht="12" customHeight="1" x14ac:dyDescent="0.25">
      <c r="B362" s="1108">
        <f>IF(C362&lt;'Financing Assumptions'!$G$25,0,IF(C362='Financing Assumptions'!$G$25,1,IF(C362&gt;'Financing Assumptions'!$G$25,B361+1)))</f>
        <v>343</v>
      </c>
      <c r="C362" s="1109">
        <f t="shared" si="161"/>
        <v>345</v>
      </c>
      <c r="D362" s="732">
        <f t="shared" si="146"/>
        <v>31</v>
      </c>
      <c r="E362" s="35">
        <f t="shared" si="147"/>
        <v>10</v>
      </c>
      <c r="F362" s="889">
        <f t="shared" si="166"/>
        <v>56553</v>
      </c>
      <c r="G362" s="822">
        <f t="shared" si="148"/>
        <v>10</v>
      </c>
      <c r="H362" s="126">
        <f t="shared" si="149"/>
        <v>0</v>
      </c>
      <c r="I362" s="1098">
        <f t="shared" si="167"/>
        <v>0</v>
      </c>
      <c r="J362" s="887">
        <f t="shared" si="162"/>
        <v>343</v>
      </c>
      <c r="K362" s="1099">
        <f t="shared" si="155"/>
        <v>317</v>
      </c>
      <c r="L362" s="891" t="str">
        <f t="shared" si="156"/>
        <v>October</v>
      </c>
      <c r="M362" s="888">
        <f t="shared" si="163"/>
        <v>2054</v>
      </c>
      <c r="N362" s="1284">
        <f t="shared" si="168"/>
        <v>0</v>
      </c>
      <c r="O362" s="1284">
        <f t="shared" si="164"/>
        <v>0</v>
      </c>
      <c r="P362" s="883">
        <f t="shared" si="165"/>
        <v>5273398.2903535645</v>
      </c>
      <c r="Q362" s="883">
        <f t="shared" si="157"/>
        <v>-307277.87674628111</v>
      </c>
      <c r="R362" s="1100"/>
      <c r="S362" s="883">
        <f t="shared" si="150"/>
        <v>-280544.67707990541</v>
      </c>
      <c r="T362" s="884">
        <f t="shared" si="158"/>
        <v>-26733.199666375709</v>
      </c>
      <c r="U362" s="884">
        <f>IF(AND($AU$43="Early Payoff",J362&gt;$U$15),0,IF($J362&lt;=$U$8,SUM($S$20:$S362),0))</f>
        <v>-41492146.386726357</v>
      </c>
      <c r="V362" s="884">
        <f>IF(AND($AU$43="Early Payoff",J362&gt;$U$15),0,IF($J362&lt;=$U$8,SUM($T$20:$T362),0))</f>
        <v>-55813301.805265851</v>
      </c>
      <c r="W362" s="885">
        <f t="shared" si="159"/>
        <v>4992853.6132736588</v>
      </c>
      <c r="X362" s="1110">
        <f t="shared" si="160"/>
        <v>5273398.2903535645</v>
      </c>
      <c r="Z362" s="1102">
        <f t="shared" si="151"/>
        <v>0</v>
      </c>
      <c r="AA362" s="873">
        <f t="shared" si="152"/>
        <v>0</v>
      </c>
      <c r="AB362" s="873">
        <f t="shared" si="153"/>
        <v>0</v>
      </c>
      <c r="AC362" s="885">
        <f t="shared" si="154"/>
        <v>-307277.87674628111</v>
      </c>
    </row>
    <row r="363" spans="2:29" s="278" customFormat="1" ht="12" customHeight="1" x14ac:dyDescent="0.25">
      <c r="B363" s="1108">
        <f>IF(C363&lt;'Financing Assumptions'!$G$25,0,IF(C363='Financing Assumptions'!$G$25,1,IF(C363&gt;'Financing Assumptions'!$G$25,B362+1)))</f>
        <v>344</v>
      </c>
      <c r="C363" s="1109">
        <f t="shared" si="161"/>
        <v>346</v>
      </c>
      <c r="D363" s="732">
        <f t="shared" si="146"/>
        <v>30</v>
      </c>
      <c r="E363" s="35">
        <f t="shared" si="147"/>
        <v>11</v>
      </c>
      <c r="F363" s="889">
        <f t="shared" si="166"/>
        <v>56583</v>
      </c>
      <c r="G363" s="822">
        <f t="shared" si="148"/>
        <v>11</v>
      </c>
      <c r="H363" s="126">
        <f t="shared" si="149"/>
        <v>0</v>
      </c>
      <c r="I363" s="1098">
        <f t="shared" si="167"/>
        <v>0</v>
      </c>
      <c r="J363" s="887">
        <f t="shared" si="162"/>
        <v>344</v>
      </c>
      <c r="K363" s="1099">
        <f t="shared" si="155"/>
        <v>318</v>
      </c>
      <c r="L363" s="891" t="str">
        <f t="shared" si="156"/>
        <v>November</v>
      </c>
      <c r="M363" s="888">
        <f t="shared" si="163"/>
        <v>2054</v>
      </c>
      <c r="N363" s="1284">
        <f t="shared" si="168"/>
        <v>0</v>
      </c>
      <c r="O363" s="1284">
        <f t="shared" si="164"/>
        <v>0</v>
      </c>
      <c r="P363" s="883">
        <f t="shared" si="165"/>
        <v>4992853.6132736588</v>
      </c>
      <c r="Q363" s="883">
        <f t="shared" si="157"/>
        <v>-307277.87674628111</v>
      </c>
      <c r="R363" s="1100"/>
      <c r="S363" s="883">
        <f t="shared" si="150"/>
        <v>-281966.88273454661</v>
      </c>
      <c r="T363" s="884">
        <f t="shared" si="158"/>
        <v>-25310.994011734518</v>
      </c>
      <c r="U363" s="884">
        <f>IF(AND($AU$43="Early Payoff",J363&gt;$U$15),0,IF($J363&lt;=$U$8,SUM($S$20:$S363),0))</f>
        <v>-41774113.269460902</v>
      </c>
      <c r="V363" s="884">
        <f>IF(AND($AU$43="Early Payoff",J363&gt;$U$15),0,IF($J363&lt;=$U$8,SUM($T$20:$T363),0))</f>
        <v>-55838612.799277589</v>
      </c>
      <c r="W363" s="885">
        <f t="shared" si="159"/>
        <v>4710886.7305391124</v>
      </c>
      <c r="X363" s="1110">
        <f t="shared" si="160"/>
        <v>4992853.6132736588</v>
      </c>
      <c r="Z363" s="1102">
        <f t="shared" si="151"/>
        <v>0</v>
      </c>
      <c r="AA363" s="873">
        <f t="shared" si="152"/>
        <v>0</v>
      </c>
      <c r="AB363" s="873">
        <f t="shared" si="153"/>
        <v>0</v>
      </c>
      <c r="AC363" s="885">
        <f t="shared" si="154"/>
        <v>-307277.87674628111</v>
      </c>
    </row>
    <row r="364" spans="2:29" s="278" customFormat="1" ht="12" customHeight="1" x14ac:dyDescent="0.25">
      <c r="B364" s="1108">
        <f>IF(C364&lt;'Financing Assumptions'!$G$25,0,IF(C364='Financing Assumptions'!$G$25,1,IF(C364&gt;'Financing Assumptions'!$G$25,B363+1)))</f>
        <v>345</v>
      </c>
      <c r="C364" s="1109">
        <f t="shared" si="161"/>
        <v>347</v>
      </c>
      <c r="D364" s="732">
        <f t="shared" si="146"/>
        <v>31</v>
      </c>
      <c r="E364" s="35">
        <f t="shared" si="147"/>
        <v>12</v>
      </c>
      <c r="F364" s="889">
        <f t="shared" si="166"/>
        <v>56614</v>
      </c>
      <c r="G364" s="822">
        <f t="shared" si="148"/>
        <v>12</v>
      </c>
      <c r="H364" s="126">
        <f t="shared" si="149"/>
        <v>1</v>
      </c>
      <c r="I364" s="1098">
        <f t="shared" si="167"/>
        <v>0</v>
      </c>
      <c r="J364" s="887">
        <f t="shared" si="162"/>
        <v>345</v>
      </c>
      <c r="K364" s="1099">
        <f t="shared" si="155"/>
        <v>319</v>
      </c>
      <c r="L364" s="891" t="str">
        <f t="shared" si="156"/>
        <v>December</v>
      </c>
      <c r="M364" s="888">
        <f t="shared" si="163"/>
        <v>2054</v>
      </c>
      <c r="N364" s="1284">
        <f t="shared" si="168"/>
        <v>0</v>
      </c>
      <c r="O364" s="1284">
        <f t="shared" si="164"/>
        <v>0</v>
      </c>
      <c r="P364" s="883">
        <f t="shared" si="165"/>
        <v>4710886.7305391124</v>
      </c>
      <c r="Q364" s="883">
        <f t="shared" si="157"/>
        <v>-307277.87674628111</v>
      </c>
      <c r="R364" s="1100"/>
      <c r="S364" s="883">
        <f t="shared" si="150"/>
        <v>-283396.29818174255</v>
      </c>
      <c r="T364" s="884">
        <f t="shared" si="158"/>
        <v>-23881.578564538555</v>
      </c>
      <c r="U364" s="884">
        <f>IF(AND($AU$43="Early Payoff",J364&gt;$U$15),0,IF($J364&lt;=$U$8,SUM($S$20:$S364),0))</f>
        <v>-42057509.567642644</v>
      </c>
      <c r="V364" s="884">
        <f>IF(AND($AU$43="Early Payoff",J364&gt;$U$15),0,IF($J364&lt;=$U$8,SUM($T$20:$T364),0))</f>
        <v>-55862494.377842128</v>
      </c>
      <c r="W364" s="885">
        <f t="shared" si="159"/>
        <v>4427490.4323573699</v>
      </c>
      <c r="X364" s="1110">
        <f t="shared" si="160"/>
        <v>4710886.7305391124</v>
      </c>
      <c r="Z364" s="1102">
        <f t="shared" si="151"/>
        <v>0</v>
      </c>
      <c r="AA364" s="873">
        <f t="shared" si="152"/>
        <v>0</v>
      </c>
      <c r="AB364" s="873">
        <f t="shared" si="153"/>
        <v>0</v>
      </c>
      <c r="AC364" s="885">
        <f t="shared" si="154"/>
        <v>-307277.87674628111</v>
      </c>
    </row>
    <row r="365" spans="2:29" s="278" customFormat="1" ht="12" customHeight="1" x14ac:dyDescent="0.25">
      <c r="B365" s="1108">
        <f>IF(C365&lt;'Financing Assumptions'!$G$25,0,IF(C365='Financing Assumptions'!$G$25,1,IF(C365&gt;'Financing Assumptions'!$G$25,B364+1)))</f>
        <v>346</v>
      </c>
      <c r="C365" s="1109">
        <f t="shared" si="161"/>
        <v>348</v>
      </c>
      <c r="D365" s="732">
        <f t="shared" si="146"/>
        <v>31</v>
      </c>
      <c r="E365" s="35">
        <f t="shared" si="147"/>
        <v>1</v>
      </c>
      <c r="F365" s="889">
        <f t="shared" si="166"/>
        <v>56645</v>
      </c>
      <c r="G365" s="822">
        <f t="shared" si="148"/>
        <v>1</v>
      </c>
      <c r="H365" s="126">
        <f t="shared" si="149"/>
        <v>0</v>
      </c>
      <c r="I365" s="1098">
        <f t="shared" si="167"/>
        <v>0</v>
      </c>
      <c r="J365" s="887">
        <f t="shared" si="162"/>
        <v>346</v>
      </c>
      <c r="K365" s="1099">
        <f t="shared" si="155"/>
        <v>320</v>
      </c>
      <c r="L365" s="891" t="str">
        <f t="shared" si="156"/>
        <v>January</v>
      </c>
      <c r="M365" s="888">
        <f t="shared" si="163"/>
        <v>2055</v>
      </c>
      <c r="N365" s="1284">
        <f t="shared" si="168"/>
        <v>0</v>
      </c>
      <c r="O365" s="1284">
        <f t="shared" si="164"/>
        <v>0</v>
      </c>
      <c r="P365" s="883">
        <f t="shared" si="165"/>
        <v>4427490.4323573699</v>
      </c>
      <c r="Q365" s="883">
        <f t="shared" si="157"/>
        <v>-307277.87674628111</v>
      </c>
      <c r="R365" s="1100"/>
      <c r="S365" s="883">
        <f t="shared" si="150"/>
        <v>-284832.95997113612</v>
      </c>
      <c r="T365" s="884">
        <f t="shared" si="158"/>
        <v>-22444.916775145</v>
      </c>
      <c r="U365" s="884">
        <f>IF(AND($AU$43="Early Payoff",J365&gt;$U$15),0,IF($J365&lt;=$U$8,SUM($S$20:$S365),0))</f>
        <v>-42342342.527613781</v>
      </c>
      <c r="V365" s="884">
        <f>IF(AND($AU$43="Early Payoff",J365&gt;$U$15),0,IF($J365&lt;=$U$8,SUM($T$20:$T365),0))</f>
        <v>-55884939.294617273</v>
      </c>
      <c r="W365" s="885">
        <f t="shared" si="159"/>
        <v>4142657.472386234</v>
      </c>
      <c r="X365" s="1110">
        <f t="shared" si="160"/>
        <v>4427490.4323573699</v>
      </c>
      <c r="Z365" s="1102">
        <f t="shared" si="151"/>
        <v>0</v>
      </c>
      <c r="AA365" s="873">
        <f t="shared" si="152"/>
        <v>0</v>
      </c>
      <c r="AB365" s="873">
        <f t="shared" si="153"/>
        <v>0</v>
      </c>
      <c r="AC365" s="885">
        <f t="shared" si="154"/>
        <v>-307277.87674628111</v>
      </c>
    </row>
    <row r="366" spans="2:29" s="278" customFormat="1" ht="12" customHeight="1" x14ac:dyDescent="0.25">
      <c r="B366" s="1108">
        <f>IF(C366&lt;'Financing Assumptions'!$G$25,0,IF(C366='Financing Assumptions'!$G$25,1,IF(C366&gt;'Financing Assumptions'!$G$25,B365+1)))</f>
        <v>347</v>
      </c>
      <c r="C366" s="1109">
        <f t="shared" si="161"/>
        <v>349</v>
      </c>
      <c r="D366" s="732">
        <f t="shared" si="146"/>
        <v>28</v>
      </c>
      <c r="E366" s="35">
        <f t="shared" si="147"/>
        <v>2</v>
      </c>
      <c r="F366" s="889">
        <f t="shared" si="166"/>
        <v>56673</v>
      </c>
      <c r="G366" s="822">
        <f t="shared" si="148"/>
        <v>2</v>
      </c>
      <c r="H366" s="126">
        <f t="shared" si="149"/>
        <v>0</v>
      </c>
      <c r="I366" s="1098">
        <f t="shared" si="167"/>
        <v>0</v>
      </c>
      <c r="J366" s="887">
        <f t="shared" si="162"/>
        <v>347</v>
      </c>
      <c r="K366" s="1099">
        <f t="shared" si="155"/>
        <v>321</v>
      </c>
      <c r="L366" s="891" t="str">
        <f t="shared" si="156"/>
        <v>February</v>
      </c>
      <c r="M366" s="888">
        <f t="shared" si="163"/>
        <v>2055</v>
      </c>
      <c r="N366" s="1284">
        <f t="shared" si="168"/>
        <v>0</v>
      </c>
      <c r="O366" s="1284">
        <f t="shared" si="164"/>
        <v>0</v>
      </c>
      <c r="P366" s="883">
        <f t="shared" si="165"/>
        <v>4142657.472386234</v>
      </c>
      <c r="Q366" s="883">
        <f t="shared" si="157"/>
        <v>-307277.87674628111</v>
      </c>
      <c r="R366" s="1100"/>
      <c r="S366" s="883">
        <f t="shared" si="150"/>
        <v>-286276.90483765648</v>
      </c>
      <c r="T366" s="884">
        <f t="shared" si="158"/>
        <v>-21000.971908624659</v>
      </c>
      <c r="U366" s="884">
        <f>IF(AND($AU$43="Early Payoff",J366&gt;$U$15),0,IF($J366&lt;=$U$8,SUM($S$20:$S366),0))</f>
        <v>-42628619.432451434</v>
      </c>
      <c r="V366" s="884">
        <f>IF(AND($AU$43="Early Payoff",J366&gt;$U$15),0,IF($J366&lt;=$U$8,SUM($T$20:$T366),0))</f>
        <v>-55905940.266525894</v>
      </c>
      <c r="W366" s="885">
        <f t="shared" si="159"/>
        <v>3856380.5675485777</v>
      </c>
      <c r="X366" s="1110">
        <f t="shared" si="160"/>
        <v>4142657.472386234</v>
      </c>
      <c r="Z366" s="1102">
        <f t="shared" si="151"/>
        <v>0</v>
      </c>
      <c r="AA366" s="873">
        <f t="shared" si="152"/>
        <v>0</v>
      </c>
      <c r="AB366" s="873">
        <f t="shared" si="153"/>
        <v>0</v>
      </c>
      <c r="AC366" s="885">
        <f t="shared" si="154"/>
        <v>-307277.87674628111</v>
      </c>
    </row>
    <row r="367" spans="2:29" s="278" customFormat="1" ht="12" customHeight="1" x14ac:dyDescent="0.25">
      <c r="B367" s="1108">
        <f>IF(C367&lt;'Financing Assumptions'!$G$25,0,IF(C367='Financing Assumptions'!$G$25,1,IF(C367&gt;'Financing Assumptions'!$G$25,B366+1)))</f>
        <v>348</v>
      </c>
      <c r="C367" s="1109">
        <f t="shared" si="161"/>
        <v>350</v>
      </c>
      <c r="D367" s="732">
        <f t="shared" si="146"/>
        <v>31</v>
      </c>
      <c r="E367" s="35">
        <f t="shared" si="147"/>
        <v>3</v>
      </c>
      <c r="F367" s="889">
        <f t="shared" si="166"/>
        <v>56704</v>
      </c>
      <c r="G367" s="822">
        <f t="shared" si="148"/>
        <v>3</v>
      </c>
      <c r="H367" s="126">
        <f t="shared" si="149"/>
        <v>0</v>
      </c>
      <c r="I367" s="1098">
        <f t="shared" si="167"/>
        <v>0</v>
      </c>
      <c r="J367" s="887">
        <f t="shared" si="162"/>
        <v>348</v>
      </c>
      <c r="K367" s="1099">
        <f t="shared" si="155"/>
        <v>322</v>
      </c>
      <c r="L367" s="891" t="str">
        <f t="shared" si="156"/>
        <v>March</v>
      </c>
      <c r="M367" s="888">
        <f t="shared" si="163"/>
        <v>2055</v>
      </c>
      <c r="N367" s="1284">
        <f t="shared" si="168"/>
        <v>0</v>
      </c>
      <c r="O367" s="1284">
        <f t="shared" si="164"/>
        <v>0</v>
      </c>
      <c r="P367" s="883">
        <f t="shared" si="165"/>
        <v>3856380.5675485777</v>
      </c>
      <c r="Q367" s="883">
        <f t="shared" si="157"/>
        <v>-307277.87674628111</v>
      </c>
      <c r="R367" s="1100"/>
      <c r="S367" s="883">
        <f t="shared" si="150"/>
        <v>-287728.16970245843</v>
      </c>
      <c r="T367" s="884">
        <f t="shared" si="158"/>
        <v>-19549.707043822651</v>
      </c>
      <c r="U367" s="884">
        <f>IF(AND($AU$43="Early Payoff",J367&gt;$U$15),0,IF($J367&lt;=$U$8,SUM($S$20:$S367),0))</f>
        <v>-42916347.60215389</v>
      </c>
      <c r="V367" s="884">
        <f>IF(AND($AU$43="Early Payoff",J367&gt;$U$15),0,IF($J367&lt;=$U$8,SUM($T$20:$T367),0))</f>
        <v>-55925489.973569714</v>
      </c>
      <c r="W367" s="885">
        <f t="shared" si="159"/>
        <v>3568652.3978461195</v>
      </c>
      <c r="X367" s="1110">
        <f t="shared" si="160"/>
        <v>3856380.5675485777</v>
      </c>
      <c r="Z367" s="1102">
        <f t="shared" si="151"/>
        <v>0</v>
      </c>
      <c r="AA367" s="873">
        <f t="shared" si="152"/>
        <v>0</v>
      </c>
      <c r="AB367" s="873">
        <f t="shared" si="153"/>
        <v>0</v>
      </c>
      <c r="AC367" s="885">
        <f t="shared" si="154"/>
        <v>-307277.87674628111</v>
      </c>
    </row>
    <row r="368" spans="2:29" s="278" customFormat="1" ht="12" customHeight="1" x14ac:dyDescent="0.25">
      <c r="B368" s="1108">
        <f>IF(C368&lt;'Financing Assumptions'!$G$25,0,IF(C368='Financing Assumptions'!$G$25,1,IF(C368&gt;'Financing Assumptions'!$G$25,B367+1)))</f>
        <v>349</v>
      </c>
      <c r="C368" s="1109">
        <f t="shared" si="161"/>
        <v>351</v>
      </c>
      <c r="D368" s="732">
        <f t="shared" si="146"/>
        <v>30</v>
      </c>
      <c r="E368" s="35">
        <f t="shared" si="147"/>
        <v>4</v>
      </c>
      <c r="F368" s="889">
        <f t="shared" si="166"/>
        <v>56734</v>
      </c>
      <c r="G368" s="822">
        <f t="shared" si="148"/>
        <v>4</v>
      </c>
      <c r="H368" s="126">
        <f t="shared" si="149"/>
        <v>0</v>
      </c>
      <c r="I368" s="1098">
        <f t="shared" si="167"/>
        <v>0</v>
      </c>
      <c r="J368" s="887">
        <f t="shared" si="162"/>
        <v>349</v>
      </c>
      <c r="K368" s="1099">
        <f t="shared" si="155"/>
        <v>323</v>
      </c>
      <c r="L368" s="891" t="str">
        <f t="shared" si="156"/>
        <v>April</v>
      </c>
      <c r="M368" s="888">
        <f t="shared" si="163"/>
        <v>2055</v>
      </c>
      <c r="N368" s="1284">
        <f t="shared" si="168"/>
        <v>0</v>
      </c>
      <c r="O368" s="1284">
        <f t="shared" si="164"/>
        <v>0</v>
      </c>
      <c r="P368" s="883">
        <f t="shared" si="165"/>
        <v>3568652.3978461195</v>
      </c>
      <c r="Q368" s="883">
        <f t="shared" si="157"/>
        <v>-307277.87674628111</v>
      </c>
      <c r="R368" s="1100"/>
      <c r="S368" s="883">
        <f t="shared" si="150"/>
        <v>-289186.79167386674</v>
      </c>
      <c r="T368" s="884">
        <f t="shared" si="158"/>
        <v>-18091.085072414353</v>
      </c>
      <c r="U368" s="884">
        <f>IF(AND($AU$43="Early Payoff",J368&gt;$U$15),0,IF($J368&lt;=$U$8,SUM($S$20:$S368),0))</f>
        <v>-43205534.393827759</v>
      </c>
      <c r="V368" s="884">
        <f>IF(AND($AU$43="Early Payoff",J368&gt;$U$15),0,IF($J368&lt;=$U$8,SUM($T$20:$T368),0))</f>
        <v>-55943581.058642127</v>
      </c>
      <c r="W368" s="885">
        <f t="shared" si="159"/>
        <v>3279465.6061722529</v>
      </c>
      <c r="X368" s="1110">
        <f t="shared" si="160"/>
        <v>3568652.3978461195</v>
      </c>
      <c r="Z368" s="1102">
        <f t="shared" si="151"/>
        <v>0</v>
      </c>
      <c r="AA368" s="873">
        <f t="shared" si="152"/>
        <v>0</v>
      </c>
      <c r="AB368" s="873">
        <f t="shared" si="153"/>
        <v>0</v>
      </c>
      <c r="AC368" s="885">
        <f t="shared" si="154"/>
        <v>-307277.87674628111</v>
      </c>
    </row>
    <row r="369" spans="2:29" s="278" customFormat="1" ht="12" customHeight="1" x14ac:dyDescent="0.25">
      <c r="B369" s="1108">
        <f>IF(C369&lt;'Financing Assumptions'!$G$25,0,IF(C369='Financing Assumptions'!$G$25,1,IF(C369&gt;'Financing Assumptions'!$G$25,B368+1)))</f>
        <v>350</v>
      </c>
      <c r="C369" s="1109">
        <f t="shared" si="161"/>
        <v>352</v>
      </c>
      <c r="D369" s="732">
        <f t="shared" si="146"/>
        <v>31</v>
      </c>
      <c r="E369" s="35">
        <f t="shared" si="147"/>
        <v>5</v>
      </c>
      <c r="F369" s="889">
        <f t="shared" si="166"/>
        <v>56765</v>
      </c>
      <c r="G369" s="822">
        <f t="shared" si="148"/>
        <v>5</v>
      </c>
      <c r="H369" s="126">
        <f t="shared" si="149"/>
        <v>0</v>
      </c>
      <c r="I369" s="1098">
        <f t="shared" si="167"/>
        <v>0</v>
      </c>
      <c r="J369" s="887">
        <f t="shared" si="162"/>
        <v>350</v>
      </c>
      <c r="K369" s="1099">
        <f t="shared" si="155"/>
        <v>324</v>
      </c>
      <c r="L369" s="891" t="str">
        <f t="shared" si="156"/>
        <v>May</v>
      </c>
      <c r="M369" s="888">
        <f t="shared" si="163"/>
        <v>2055</v>
      </c>
      <c r="N369" s="1284">
        <f t="shared" si="168"/>
        <v>0</v>
      </c>
      <c r="O369" s="1284">
        <f t="shared" si="164"/>
        <v>0</v>
      </c>
      <c r="P369" s="883">
        <f t="shared" si="165"/>
        <v>3279465.6061722529</v>
      </c>
      <c r="Q369" s="883">
        <f t="shared" si="157"/>
        <v>-307277.87674628111</v>
      </c>
      <c r="R369" s="1100"/>
      <c r="S369" s="883">
        <f t="shared" si="150"/>
        <v>-290652.80804832454</v>
      </c>
      <c r="T369" s="884">
        <f t="shared" si="158"/>
        <v>-16625.068697956558</v>
      </c>
      <c r="U369" s="884">
        <f>IF(AND($AU$43="Early Payoff",J369&gt;$U$15),0,IF($J369&lt;=$U$8,SUM($S$20:$S369),0))</f>
        <v>-43496187.201876082</v>
      </c>
      <c r="V369" s="884">
        <f>IF(AND($AU$43="Early Payoff",J369&gt;$U$15),0,IF($J369&lt;=$U$8,SUM($T$20:$T369),0))</f>
        <v>-55960206.127340086</v>
      </c>
      <c r="W369" s="885">
        <f t="shared" si="159"/>
        <v>2988812.7981239283</v>
      </c>
      <c r="X369" s="1110">
        <f t="shared" si="160"/>
        <v>3279465.6061722529</v>
      </c>
      <c r="Z369" s="1102">
        <f t="shared" si="151"/>
        <v>0</v>
      </c>
      <c r="AA369" s="873">
        <f t="shared" si="152"/>
        <v>0</v>
      </c>
      <c r="AB369" s="873">
        <f t="shared" si="153"/>
        <v>0</v>
      </c>
      <c r="AC369" s="885">
        <f t="shared" si="154"/>
        <v>-307277.87674628111</v>
      </c>
    </row>
    <row r="370" spans="2:29" s="278" customFormat="1" ht="12" customHeight="1" x14ac:dyDescent="0.25">
      <c r="B370" s="1108">
        <f>IF(C370&lt;'Financing Assumptions'!$G$25,0,IF(C370='Financing Assumptions'!$G$25,1,IF(C370&gt;'Financing Assumptions'!$G$25,B369+1)))</f>
        <v>351</v>
      </c>
      <c r="C370" s="1109">
        <f t="shared" si="161"/>
        <v>353</v>
      </c>
      <c r="D370" s="732">
        <f t="shared" si="146"/>
        <v>30</v>
      </c>
      <c r="E370" s="35">
        <f t="shared" si="147"/>
        <v>6</v>
      </c>
      <c r="F370" s="889">
        <f t="shared" si="166"/>
        <v>56795</v>
      </c>
      <c r="G370" s="822">
        <f t="shared" si="148"/>
        <v>6</v>
      </c>
      <c r="H370" s="126">
        <f t="shared" si="149"/>
        <v>0</v>
      </c>
      <c r="I370" s="1098">
        <f t="shared" si="167"/>
        <v>0</v>
      </c>
      <c r="J370" s="887">
        <f t="shared" si="162"/>
        <v>351</v>
      </c>
      <c r="K370" s="1099">
        <f t="shared" si="155"/>
        <v>325</v>
      </c>
      <c r="L370" s="891" t="str">
        <f t="shared" si="156"/>
        <v>June</v>
      </c>
      <c r="M370" s="888">
        <f t="shared" si="163"/>
        <v>2055</v>
      </c>
      <c r="N370" s="1284">
        <f t="shared" si="168"/>
        <v>0</v>
      </c>
      <c r="O370" s="1284">
        <f t="shared" si="164"/>
        <v>0</v>
      </c>
      <c r="P370" s="883">
        <f t="shared" si="165"/>
        <v>2988812.7981239283</v>
      </c>
      <c r="Q370" s="883">
        <f t="shared" si="157"/>
        <v>-307277.87674628111</v>
      </c>
      <c r="R370" s="1100"/>
      <c r="S370" s="883">
        <f t="shared" si="150"/>
        <v>-292126.2563113473</v>
      </c>
      <c r="T370" s="884">
        <f t="shared" si="158"/>
        <v>-15151.620434933802</v>
      </c>
      <c r="U370" s="884">
        <f>IF(AND($AU$43="Early Payoff",J370&gt;$U$15),0,IF($J370&lt;=$U$8,SUM($S$20:$S370),0))</f>
        <v>-43788313.458187431</v>
      </c>
      <c r="V370" s="884">
        <f>IF(AND($AU$43="Early Payoff",J370&gt;$U$15),0,IF($J370&lt;=$U$8,SUM($T$20:$T370),0))</f>
        <v>-55975357.747775018</v>
      </c>
      <c r="W370" s="885">
        <f t="shared" si="159"/>
        <v>2696686.541812581</v>
      </c>
      <c r="X370" s="1110">
        <f t="shared" si="160"/>
        <v>2988812.7981239283</v>
      </c>
      <c r="Z370" s="1102">
        <f t="shared" si="151"/>
        <v>0</v>
      </c>
      <c r="AA370" s="873">
        <f t="shared" si="152"/>
        <v>0</v>
      </c>
      <c r="AB370" s="873">
        <f t="shared" si="153"/>
        <v>0</v>
      </c>
      <c r="AC370" s="885">
        <f t="shared" si="154"/>
        <v>-307277.87674628111</v>
      </c>
    </row>
    <row r="371" spans="2:29" s="278" customFormat="1" ht="12" customHeight="1" x14ac:dyDescent="0.25">
      <c r="B371" s="1108">
        <f>IF(C371&lt;'Financing Assumptions'!$G$25,0,IF(C371='Financing Assumptions'!$G$25,1,IF(C371&gt;'Financing Assumptions'!$G$25,B370+1)))</f>
        <v>352</v>
      </c>
      <c r="C371" s="1109">
        <f t="shared" si="161"/>
        <v>354</v>
      </c>
      <c r="D371" s="732">
        <f t="shared" si="146"/>
        <v>31</v>
      </c>
      <c r="E371" s="35">
        <f t="shared" si="147"/>
        <v>7</v>
      </c>
      <c r="F371" s="889">
        <f t="shared" si="166"/>
        <v>56826</v>
      </c>
      <c r="G371" s="822">
        <f t="shared" si="148"/>
        <v>7</v>
      </c>
      <c r="H371" s="126">
        <f t="shared" si="149"/>
        <v>0</v>
      </c>
      <c r="I371" s="1098">
        <f t="shared" si="167"/>
        <v>0</v>
      </c>
      <c r="J371" s="887">
        <f t="shared" si="162"/>
        <v>352</v>
      </c>
      <c r="K371" s="1099">
        <f t="shared" si="155"/>
        <v>326</v>
      </c>
      <c r="L371" s="891" t="str">
        <f t="shared" si="156"/>
        <v>July</v>
      </c>
      <c r="M371" s="888">
        <f t="shared" si="163"/>
        <v>2055</v>
      </c>
      <c r="N371" s="1284">
        <f t="shared" si="168"/>
        <v>0</v>
      </c>
      <c r="O371" s="1284">
        <f t="shared" si="164"/>
        <v>0</v>
      </c>
      <c r="P371" s="883">
        <f t="shared" si="165"/>
        <v>2696686.541812581</v>
      </c>
      <c r="Q371" s="883">
        <f t="shared" si="157"/>
        <v>-307277.87674628111</v>
      </c>
      <c r="R371" s="1100"/>
      <c r="S371" s="883">
        <f t="shared" si="150"/>
        <v>-293607.1741384812</v>
      </c>
      <c r="T371" s="884">
        <f t="shared" si="158"/>
        <v>-13670.702607799889</v>
      </c>
      <c r="U371" s="884">
        <f>IF(AND($AU$43="Early Payoff",J371&gt;$U$15),0,IF($J371&lt;=$U$8,SUM($S$20:$S371),0))</f>
        <v>-44081920.63232591</v>
      </c>
      <c r="V371" s="884">
        <f>IF(AND($AU$43="Early Payoff",J371&gt;$U$15),0,IF($J371&lt;=$U$8,SUM($T$20:$T371),0))</f>
        <v>-55989028.450382821</v>
      </c>
      <c r="W371" s="885">
        <f t="shared" si="159"/>
        <v>2403079.3676740997</v>
      </c>
      <c r="X371" s="1110">
        <f t="shared" si="160"/>
        <v>2696686.541812581</v>
      </c>
      <c r="Z371" s="1102">
        <f t="shared" si="151"/>
        <v>0</v>
      </c>
      <c r="AA371" s="873">
        <f t="shared" si="152"/>
        <v>0</v>
      </c>
      <c r="AB371" s="873">
        <f t="shared" si="153"/>
        <v>0</v>
      </c>
      <c r="AC371" s="885">
        <f t="shared" si="154"/>
        <v>-307277.87674628111</v>
      </c>
    </row>
    <row r="372" spans="2:29" s="278" customFormat="1" ht="12" customHeight="1" x14ac:dyDescent="0.25">
      <c r="B372" s="1108">
        <f>IF(C372&lt;'Financing Assumptions'!$G$25,0,IF(C372='Financing Assumptions'!$G$25,1,IF(C372&gt;'Financing Assumptions'!$G$25,B371+1)))</f>
        <v>353</v>
      </c>
      <c r="C372" s="1109">
        <f t="shared" si="161"/>
        <v>355</v>
      </c>
      <c r="D372" s="732">
        <f t="shared" si="146"/>
        <v>31</v>
      </c>
      <c r="E372" s="35">
        <f t="shared" si="147"/>
        <v>8</v>
      </c>
      <c r="F372" s="889">
        <f t="shared" si="166"/>
        <v>56857</v>
      </c>
      <c r="G372" s="822">
        <f t="shared" si="148"/>
        <v>8</v>
      </c>
      <c r="H372" s="126">
        <f t="shared" si="149"/>
        <v>0</v>
      </c>
      <c r="I372" s="1098">
        <f t="shared" si="167"/>
        <v>0</v>
      </c>
      <c r="J372" s="887">
        <f t="shared" si="162"/>
        <v>353</v>
      </c>
      <c r="K372" s="1099">
        <f t="shared" si="155"/>
        <v>327</v>
      </c>
      <c r="L372" s="891" t="str">
        <f t="shared" si="156"/>
        <v>August</v>
      </c>
      <c r="M372" s="888">
        <f t="shared" si="163"/>
        <v>2055</v>
      </c>
      <c r="N372" s="1284">
        <f t="shared" si="168"/>
        <v>0</v>
      </c>
      <c r="O372" s="1284">
        <f t="shared" si="164"/>
        <v>0</v>
      </c>
      <c r="P372" s="883">
        <f t="shared" si="165"/>
        <v>2403079.3676740997</v>
      </c>
      <c r="Q372" s="883">
        <f t="shared" si="157"/>
        <v>-307277.87674628111</v>
      </c>
      <c r="R372" s="1100"/>
      <c r="S372" s="883">
        <f t="shared" si="150"/>
        <v>-295095.59939626657</v>
      </c>
      <c r="T372" s="884">
        <f t="shared" si="158"/>
        <v>-12182.277350014532</v>
      </c>
      <c r="U372" s="884">
        <f>IF(AND($AU$43="Early Payoff",J372&gt;$U$15),0,IF($J372&lt;=$U$8,SUM($S$20:$S372),0))</f>
        <v>-44377016.231722176</v>
      </c>
      <c r="V372" s="884">
        <f>IF(AND($AU$43="Early Payoff",J372&gt;$U$15),0,IF($J372&lt;=$U$8,SUM($T$20:$T372),0))</f>
        <v>-56001210.727732837</v>
      </c>
      <c r="W372" s="885">
        <f t="shared" si="159"/>
        <v>2107983.7682778332</v>
      </c>
      <c r="X372" s="1110">
        <f t="shared" si="160"/>
        <v>2403079.3676740997</v>
      </c>
      <c r="Z372" s="1102">
        <f t="shared" si="151"/>
        <v>0</v>
      </c>
      <c r="AA372" s="873">
        <f t="shared" si="152"/>
        <v>0</v>
      </c>
      <c r="AB372" s="873">
        <f t="shared" si="153"/>
        <v>0</v>
      </c>
      <c r="AC372" s="885">
        <f t="shared" si="154"/>
        <v>-307277.87674628111</v>
      </c>
    </row>
    <row r="373" spans="2:29" s="278" customFormat="1" ht="12" customHeight="1" x14ac:dyDescent="0.25">
      <c r="B373" s="1108">
        <f>IF(C373&lt;'Financing Assumptions'!$G$25,0,IF(C373='Financing Assumptions'!$G$25,1,IF(C373&gt;'Financing Assumptions'!$G$25,B372+1)))</f>
        <v>354</v>
      </c>
      <c r="C373" s="1109">
        <f t="shared" si="161"/>
        <v>356</v>
      </c>
      <c r="D373" s="732">
        <f t="shared" si="146"/>
        <v>30</v>
      </c>
      <c r="E373" s="35">
        <f t="shared" si="147"/>
        <v>9</v>
      </c>
      <c r="F373" s="889">
        <f t="shared" si="166"/>
        <v>56887</v>
      </c>
      <c r="G373" s="822">
        <f t="shared" si="148"/>
        <v>9</v>
      </c>
      <c r="H373" s="126">
        <f t="shared" si="149"/>
        <v>0</v>
      </c>
      <c r="I373" s="1098">
        <f t="shared" si="167"/>
        <v>0</v>
      </c>
      <c r="J373" s="887">
        <f t="shared" si="162"/>
        <v>354</v>
      </c>
      <c r="K373" s="1099">
        <f t="shared" si="155"/>
        <v>328</v>
      </c>
      <c r="L373" s="891" t="str">
        <f t="shared" si="156"/>
        <v>September</v>
      </c>
      <c r="M373" s="888">
        <f t="shared" si="163"/>
        <v>2055</v>
      </c>
      <c r="N373" s="1284">
        <f t="shared" si="168"/>
        <v>0</v>
      </c>
      <c r="O373" s="1284">
        <f t="shared" si="164"/>
        <v>0</v>
      </c>
      <c r="P373" s="883">
        <f t="shared" si="165"/>
        <v>2107983.7682778332</v>
      </c>
      <c r="Q373" s="883">
        <f t="shared" si="157"/>
        <v>-307277.87674628111</v>
      </c>
      <c r="R373" s="1100"/>
      <c r="S373" s="883">
        <f t="shared" si="150"/>
        <v>-296591.57014320599</v>
      </c>
      <c r="T373" s="884">
        <f t="shared" si="158"/>
        <v>-10686.306603075127</v>
      </c>
      <c r="U373" s="884">
        <f>IF(AND($AU$43="Early Payoff",J373&gt;$U$15),0,IF($J373&lt;=$U$8,SUM($S$20:$S373),0))</f>
        <v>-44673607.801865384</v>
      </c>
      <c r="V373" s="884">
        <f>IF(AND($AU$43="Early Payoff",J373&gt;$U$15),0,IF($J373&lt;=$U$8,SUM($T$20:$T373),0))</f>
        <v>-56011897.034335911</v>
      </c>
      <c r="W373" s="885">
        <f t="shared" si="159"/>
        <v>1811392.1981346272</v>
      </c>
      <c r="X373" s="1110">
        <f t="shared" si="160"/>
        <v>2107983.7682778332</v>
      </c>
      <c r="Z373" s="1102">
        <f t="shared" si="151"/>
        <v>0</v>
      </c>
      <c r="AA373" s="873">
        <f t="shared" si="152"/>
        <v>0</v>
      </c>
      <c r="AB373" s="873">
        <f t="shared" si="153"/>
        <v>0</v>
      </c>
      <c r="AC373" s="885">
        <f t="shared" si="154"/>
        <v>-307277.87674628111</v>
      </c>
    </row>
    <row r="374" spans="2:29" s="278" customFormat="1" ht="12" customHeight="1" x14ac:dyDescent="0.25">
      <c r="B374" s="1108">
        <f>IF(C374&lt;'Financing Assumptions'!$G$25,0,IF(C374='Financing Assumptions'!$G$25,1,IF(C374&gt;'Financing Assumptions'!$G$25,B373+1)))</f>
        <v>355</v>
      </c>
      <c r="C374" s="1109">
        <f t="shared" si="161"/>
        <v>357</v>
      </c>
      <c r="D374" s="732">
        <f t="shared" si="146"/>
        <v>31</v>
      </c>
      <c r="E374" s="35">
        <f t="shared" si="147"/>
        <v>10</v>
      </c>
      <c r="F374" s="889">
        <f t="shared" si="166"/>
        <v>56918</v>
      </c>
      <c r="G374" s="822">
        <f t="shared" si="148"/>
        <v>10</v>
      </c>
      <c r="H374" s="126">
        <f t="shared" si="149"/>
        <v>0</v>
      </c>
      <c r="I374" s="1098">
        <f t="shared" si="167"/>
        <v>0</v>
      </c>
      <c r="J374" s="887">
        <f t="shared" si="162"/>
        <v>355</v>
      </c>
      <c r="K374" s="1099">
        <f t="shared" si="155"/>
        <v>329</v>
      </c>
      <c r="L374" s="891" t="str">
        <f t="shared" si="156"/>
        <v>October</v>
      </c>
      <c r="M374" s="888">
        <f t="shared" si="163"/>
        <v>2055</v>
      </c>
      <c r="N374" s="1284">
        <f t="shared" si="168"/>
        <v>0</v>
      </c>
      <c r="O374" s="1284">
        <f t="shared" si="164"/>
        <v>0</v>
      </c>
      <c r="P374" s="883">
        <f t="shared" si="165"/>
        <v>1811392.1981346272</v>
      </c>
      <c r="Q374" s="883">
        <f t="shared" si="157"/>
        <v>-307277.87674628111</v>
      </c>
      <c r="R374" s="1100"/>
      <c r="S374" s="883">
        <f t="shared" si="150"/>
        <v>-298095.12463073753</v>
      </c>
      <c r="T374" s="884">
        <f t="shared" si="158"/>
        <v>-9182.7521155435952</v>
      </c>
      <c r="U374" s="884">
        <f>IF(AND($AU$43="Early Payoff",J374&gt;$U$15),0,IF($J374&lt;=$U$8,SUM($S$20:$S374),0))</f>
        <v>-44971702.926496118</v>
      </c>
      <c r="V374" s="884">
        <f>IF(AND($AU$43="Early Payoff",J374&gt;$U$15),0,IF($J374&lt;=$U$8,SUM($T$20:$T374),0))</f>
        <v>-56021079.786451451</v>
      </c>
      <c r="W374" s="885">
        <f t="shared" si="159"/>
        <v>1513297.0735038896</v>
      </c>
      <c r="X374" s="1110">
        <f t="shared" si="160"/>
        <v>1811392.1981346272</v>
      </c>
      <c r="Z374" s="1102">
        <f t="shared" si="151"/>
        <v>0</v>
      </c>
      <c r="AA374" s="873">
        <f t="shared" si="152"/>
        <v>0</v>
      </c>
      <c r="AB374" s="873">
        <f t="shared" si="153"/>
        <v>0</v>
      </c>
      <c r="AC374" s="885">
        <f t="shared" si="154"/>
        <v>-307277.87674628111</v>
      </c>
    </row>
    <row r="375" spans="2:29" s="278" customFormat="1" ht="12" customHeight="1" x14ac:dyDescent="0.25">
      <c r="B375" s="1108">
        <f>IF(C375&lt;'Financing Assumptions'!$G$25,0,IF(C375='Financing Assumptions'!$G$25,1,IF(C375&gt;'Financing Assumptions'!$G$25,B374+1)))</f>
        <v>356</v>
      </c>
      <c r="C375" s="1109">
        <f t="shared" si="161"/>
        <v>358</v>
      </c>
      <c r="D375" s="732">
        <f t="shared" si="146"/>
        <v>30</v>
      </c>
      <c r="E375" s="35">
        <f t="shared" si="147"/>
        <v>11</v>
      </c>
      <c r="F375" s="889">
        <f t="shared" si="166"/>
        <v>56948</v>
      </c>
      <c r="G375" s="822">
        <f t="shared" si="148"/>
        <v>11</v>
      </c>
      <c r="H375" s="126">
        <f t="shared" si="149"/>
        <v>0</v>
      </c>
      <c r="I375" s="1098">
        <f t="shared" si="167"/>
        <v>0</v>
      </c>
      <c r="J375" s="887">
        <f t="shared" si="162"/>
        <v>356</v>
      </c>
      <c r="K375" s="1099">
        <f t="shared" si="155"/>
        <v>330</v>
      </c>
      <c r="L375" s="891" t="str">
        <f t="shared" si="156"/>
        <v>November</v>
      </c>
      <c r="M375" s="888">
        <f t="shared" si="163"/>
        <v>2055</v>
      </c>
      <c r="N375" s="1284">
        <f t="shared" si="168"/>
        <v>0</v>
      </c>
      <c r="O375" s="1284">
        <f t="shared" si="164"/>
        <v>0</v>
      </c>
      <c r="P375" s="883">
        <f t="shared" si="165"/>
        <v>1513297.0735038896</v>
      </c>
      <c r="Q375" s="883">
        <f t="shared" si="157"/>
        <v>-307277.87674628111</v>
      </c>
      <c r="R375" s="1100"/>
      <c r="S375" s="883">
        <f t="shared" si="150"/>
        <v>-299606.30130421277</v>
      </c>
      <c r="T375" s="884">
        <f t="shared" si="158"/>
        <v>-7671.5754420683288</v>
      </c>
      <c r="U375" s="884">
        <f>IF(AND($AU$43="Early Payoff",J375&gt;$U$15),0,IF($J375&lt;=$U$8,SUM($S$20:$S375),0))</f>
        <v>-45271309.227800332</v>
      </c>
      <c r="V375" s="884">
        <f>IF(AND($AU$43="Early Payoff",J375&gt;$U$15),0,IF($J375&lt;=$U$8,SUM($T$20:$T375),0))</f>
        <v>-56028751.36189352</v>
      </c>
      <c r="W375" s="885">
        <f t="shared" si="159"/>
        <v>1213690.7721996768</v>
      </c>
      <c r="X375" s="1110">
        <f t="shared" si="160"/>
        <v>1513297.0735038896</v>
      </c>
      <c r="Z375" s="1102">
        <f t="shared" si="151"/>
        <v>0</v>
      </c>
      <c r="AA375" s="873">
        <f t="shared" si="152"/>
        <v>0</v>
      </c>
      <c r="AB375" s="873">
        <f t="shared" si="153"/>
        <v>0</v>
      </c>
      <c r="AC375" s="885">
        <f t="shared" si="154"/>
        <v>-307277.87674628111</v>
      </c>
    </row>
    <row r="376" spans="2:29" s="278" customFormat="1" ht="12" customHeight="1" x14ac:dyDescent="0.25">
      <c r="B376" s="1108">
        <f>IF(C376&lt;'Financing Assumptions'!$G$25,0,IF(C376='Financing Assumptions'!$G$25,1,IF(C376&gt;'Financing Assumptions'!$G$25,B375+1)))</f>
        <v>357</v>
      </c>
      <c r="C376" s="1109">
        <f t="shared" si="161"/>
        <v>359</v>
      </c>
      <c r="D376" s="732">
        <f t="shared" si="146"/>
        <v>31</v>
      </c>
      <c r="E376" s="35">
        <f t="shared" si="147"/>
        <v>12</v>
      </c>
      <c r="F376" s="889">
        <f t="shared" si="166"/>
        <v>56979</v>
      </c>
      <c r="G376" s="822">
        <f t="shared" si="148"/>
        <v>12</v>
      </c>
      <c r="H376" s="126">
        <f t="shared" si="149"/>
        <v>1</v>
      </c>
      <c r="I376" s="1098">
        <f t="shared" si="167"/>
        <v>0</v>
      </c>
      <c r="J376" s="887">
        <f t="shared" si="162"/>
        <v>357</v>
      </c>
      <c r="K376" s="1099">
        <f t="shared" si="155"/>
        <v>331</v>
      </c>
      <c r="L376" s="891" t="str">
        <f>IF($V$4="Annual",$T$5,IF(AND($V$4="Bi-Annual",$G375&lt;MAX($T$4,$U$4)),INDEX($AW$22:$AX$34,MATCH(MAX($T$4,$U$4),$AW$22:$AW$34,0),MATCH("Month",$AW$22:$AX$22,0)),IF(AND($V$4="Bi-Annual",$G375=MAX($T$4,$U$4)),INDEX($AW$22:$AX$34,MATCH(MIN($T$4,$U$4),$AW$22:$AW$34,0),MATCH("Month",$AW$22:$AX$22,0)),IF(AND($V$4="Monthly",$G375&lt;12),INDEX($AW$22:$AX$34,MATCH($G375+1,$AW$22:$AW$34,0),MATCH("Month",$AW$22:$AX$22,0)),IF(AND($V$4="Monthly",$G375=12),INDEX($AW$22:$AX$34,MATCH($G375-11,$AW$22:$AW$34,0),MATCH("Month",$AW$22:$AX$22,0)))))))</f>
        <v>December</v>
      </c>
      <c r="M376" s="888">
        <f t="shared" si="163"/>
        <v>2055</v>
      </c>
      <c r="N376" s="1284">
        <f t="shared" si="168"/>
        <v>0</v>
      </c>
      <c r="O376" s="1284">
        <f t="shared" si="164"/>
        <v>0</v>
      </c>
      <c r="P376" s="883">
        <f t="shared" si="165"/>
        <v>1213690.7721996768</v>
      </c>
      <c r="Q376" s="883">
        <f t="shared" si="157"/>
        <v>-307277.87674628111</v>
      </c>
      <c r="R376" s="1100"/>
      <c r="S376" s="883">
        <f t="shared" si="150"/>
        <v>-301125.13880387996</v>
      </c>
      <c r="T376" s="884">
        <f t="shared" si="158"/>
        <v>-6152.7379424011388</v>
      </c>
      <c r="U376" s="884">
        <f>IF(AND($AU$43="Early Payoff",J376&gt;$U$15),0,IF($J376&lt;=$U$8,SUM($S$20:$S376),0))</f>
        <v>-45572434.366604209</v>
      </c>
      <c r="V376" s="884">
        <f>IF(AND($AU$43="Early Payoff",J376&gt;$U$15),0,IF($J376&lt;=$U$8,SUM($T$20:$T376),0))</f>
        <v>-56034904.099835917</v>
      </c>
      <c r="W376" s="885">
        <f t="shared" si="159"/>
        <v>912565.63339579687</v>
      </c>
      <c r="X376" s="1110">
        <f t="shared" si="160"/>
        <v>1213690.7721996768</v>
      </c>
      <c r="Z376" s="1102">
        <f t="shared" si="151"/>
        <v>0</v>
      </c>
      <c r="AA376" s="873">
        <f t="shared" si="152"/>
        <v>0</v>
      </c>
      <c r="AB376" s="873">
        <f t="shared" si="153"/>
        <v>0</v>
      </c>
      <c r="AC376" s="885">
        <f t="shared" si="154"/>
        <v>-307277.87674628111</v>
      </c>
    </row>
    <row r="377" spans="2:29" s="278" customFormat="1" ht="12" customHeight="1" x14ac:dyDescent="0.25">
      <c r="B377" s="1108">
        <f>IF(C377&lt;'Financing Assumptions'!$G$25,0,IF(C377='Financing Assumptions'!$G$25,1,IF(C377&gt;'Financing Assumptions'!$G$25,B376+1)))</f>
        <v>358</v>
      </c>
      <c r="C377" s="1109">
        <f t="shared" si="161"/>
        <v>360</v>
      </c>
      <c r="D377" s="732">
        <f t="shared" si="146"/>
        <v>31</v>
      </c>
      <c r="E377" s="35">
        <f t="shared" si="147"/>
        <v>1</v>
      </c>
      <c r="F377" s="889">
        <f t="shared" si="166"/>
        <v>57010</v>
      </c>
      <c r="G377" s="822">
        <f t="shared" si="148"/>
        <v>1</v>
      </c>
      <c r="H377" s="126">
        <f t="shared" si="149"/>
        <v>0</v>
      </c>
      <c r="I377" s="1098">
        <f t="shared" si="167"/>
        <v>0</v>
      </c>
      <c r="J377" s="887">
        <f t="shared" si="162"/>
        <v>358</v>
      </c>
      <c r="K377" s="1099">
        <f t="shared" si="155"/>
        <v>332</v>
      </c>
      <c r="L377" s="891" t="str">
        <f t="shared" si="156"/>
        <v>January</v>
      </c>
      <c r="M377" s="888">
        <f t="shared" si="163"/>
        <v>2056</v>
      </c>
      <c r="N377" s="1284">
        <f t="shared" si="168"/>
        <v>0</v>
      </c>
      <c r="O377" s="1284">
        <f t="shared" si="164"/>
        <v>0</v>
      </c>
      <c r="P377" s="883">
        <f t="shared" si="165"/>
        <v>912565.63339579687</v>
      </c>
      <c r="Q377" s="883">
        <f t="shared" si="157"/>
        <v>-307277.87674628111</v>
      </c>
      <c r="R377" s="1100"/>
      <c r="S377" s="883">
        <f t="shared" si="150"/>
        <v>-302651.67596587184</v>
      </c>
      <c r="T377" s="884">
        <f t="shared" si="158"/>
        <v>-4626.2007804092482</v>
      </c>
      <c r="U377" s="884">
        <f>IF(AND($AU$43="Early Payoff",J377&gt;$U$15),0,IF($J377&lt;=$U$8,SUM($S$20:$S377),0))</f>
        <v>-45875086.042570084</v>
      </c>
      <c r="V377" s="884">
        <f>IF(AND($AU$43="Early Payoff",J377&gt;$U$15),0,IF($J377&lt;=$U$8,SUM($T$20:$T377),0))</f>
        <v>-56039530.300616324</v>
      </c>
      <c r="W377" s="885">
        <f t="shared" si="159"/>
        <v>609913.95742992498</v>
      </c>
      <c r="X377" s="1110">
        <f t="shared" si="160"/>
        <v>912565.63339579687</v>
      </c>
      <c r="Z377" s="1102">
        <f t="shared" si="151"/>
        <v>0</v>
      </c>
      <c r="AA377" s="873">
        <f t="shared" si="152"/>
        <v>0</v>
      </c>
      <c r="AB377" s="873">
        <f t="shared" si="153"/>
        <v>0</v>
      </c>
      <c r="AC377" s="885">
        <f t="shared" si="154"/>
        <v>-307277.87674628111</v>
      </c>
    </row>
    <row r="378" spans="2:29" s="278" customFormat="1" ht="12" customHeight="1" x14ac:dyDescent="0.25">
      <c r="B378" s="1108">
        <f>IF(C378&lt;'Financing Assumptions'!$G$25,0,IF(C378='Financing Assumptions'!$G$25,1,IF(C378&gt;'Financing Assumptions'!$G$25,B377+1)))</f>
        <v>359</v>
      </c>
      <c r="C378" s="1109">
        <f t="shared" si="161"/>
        <v>361</v>
      </c>
      <c r="D378" s="732">
        <f t="shared" si="146"/>
        <v>29</v>
      </c>
      <c r="E378" s="35">
        <f t="shared" si="147"/>
        <v>2</v>
      </c>
      <c r="F378" s="889">
        <f t="shared" si="166"/>
        <v>57039</v>
      </c>
      <c r="G378" s="822">
        <f t="shared" si="148"/>
        <v>2</v>
      </c>
      <c r="H378" s="126">
        <f t="shared" si="149"/>
        <v>0</v>
      </c>
      <c r="I378" s="1098">
        <f t="shared" si="167"/>
        <v>0</v>
      </c>
      <c r="J378" s="887">
        <f t="shared" si="162"/>
        <v>359</v>
      </c>
      <c r="K378" s="1099">
        <f t="shared" si="155"/>
        <v>333</v>
      </c>
      <c r="L378" s="891" t="str">
        <f t="shared" si="156"/>
        <v>February</v>
      </c>
      <c r="M378" s="888">
        <f t="shared" si="163"/>
        <v>2056</v>
      </c>
      <c r="N378" s="1284">
        <f t="shared" si="168"/>
        <v>0</v>
      </c>
      <c r="O378" s="1284">
        <f t="shared" si="164"/>
        <v>0</v>
      </c>
      <c r="P378" s="883">
        <f t="shared" si="165"/>
        <v>609913.95742992498</v>
      </c>
      <c r="Q378" s="883">
        <f t="shared" si="157"/>
        <v>-307277.87674628111</v>
      </c>
      <c r="R378" s="1100"/>
      <c r="S378" s="883">
        <f t="shared" si="150"/>
        <v>-304185.95182319888</v>
      </c>
      <c r="T378" s="884">
        <f t="shared" si="158"/>
        <v>-3091.9249230822584</v>
      </c>
      <c r="U378" s="884">
        <f>IF(AND($AU$43="Early Payoff",J378&gt;$U$15),0,IF($J378&lt;=$U$8,SUM($S$20:$S378),0))</f>
        <v>-46179271.994393282</v>
      </c>
      <c r="V378" s="884">
        <f>IF(AND($AU$43="Early Payoff",J378&gt;$U$15),0,IF($J378&lt;=$U$8,SUM($T$20:$T378),0))</f>
        <v>-56042622.225539409</v>
      </c>
      <c r="W378" s="885">
        <f t="shared" si="159"/>
        <v>305728.0056067261</v>
      </c>
      <c r="X378" s="1110">
        <f t="shared" si="160"/>
        <v>609913.95742992498</v>
      </c>
      <c r="Z378" s="1102">
        <f t="shared" si="151"/>
        <v>0</v>
      </c>
      <c r="AA378" s="873">
        <f t="shared" si="152"/>
        <v>0</v>
      </c>
      <c r="AB378" s="873">
        <f t="shared" si="153"/>
        <v>0</v>
      </c>
      <c r="AC378" s="885">
        <f t="shared" si="154"/>
        <v>-307277.87674628111</v>
      </c>
    </row>
    <row r="379" spans="2:29" s="278" customFormat="1" ht="12" customHeight="1" x14ac:dyDescent="0.25">
      <c r="B379" s="1108">
        <f>IF(C379&lt;'Financing Assumptions'!$G$25,0,IF(C379='Financing Assumptions'!$G$25,1,IF(C379&gt;'Financing Assumptions'!$G$25,B378+1)))</f>
        <v>360</v>
      </c>
      <c r="C379" s="1109">
        <f t="shared" si="161"/>
        <v>362</v>
      </c>
      <c r="D379" s="732">
        <f t="shared" si="146"/>
        <v>31</v>
      </c>
      <c r="E379" s="35">
        <f t="shared" si="147"/>
        <v>3</v>
      </c>
      <c r="F379" s="889">
        <f t="shared" si="166"/>
        <v>57070</v>
      </c>
      <c r="G379" s="822">
        <f t="shared" si="148"/>
        <v>3</v>
      </c>
      <c r="H379" s="126">
        <f t="shared" si="149"/>
        <v>0</v>
      </c>
      <c r="I379" s="1332">
        <f t="shared" si="167"/>
        <v>0</v>
      </c>
      <c r="J379" s="887">
        <f t="shared" si="162"/>
        <v>360</v>
      </c>
      <c r="K379" s="1099">
        <f t="shared" si="155"/>
        <v>334</v>
      </c>
      <c r="L379" s="891" t="str">
        <f t="shared" si="156"/>
        <v>March</v>
      </c>
      <c r="M379" s="888">
        <f t="shared" si="163"/>
        <v>2056</v>
      </c>
      <c r="N379" s="1284">
        <f t="shared" ref="N379" si="169">IF(B379=0,0,IF($B379&lt;=$M$11,INDEX($AZ$26:$BM$63,MATCH($B379,$AZ$26:$AZ$63,0),MATCH($M$10,$AZ$27:$BM$27,0)),0))</f>
        <v>0</v>
      </c>
      <c r="O379" s="1284">
        <f t="shared" si="164"/>
        <v>0</v>
      </c>
      <c r="P379" s="883">
        <f t="shared" ref="P379" si="170">IF(AND($AU$43="Early Payoff",$J379&gt;$U$15),0,IF(AND($AU$43="Early Payoff",$J379&lt;$U$15),SUM(N379,$W378),IF(AND($AU$43="Full-Term",$J379&lt;$U$15),SUM(N379,$W378),IF($J379&gt;$U$8,0,$W378))))</f>
        <v>305728.0056067261</v>
      </c>
      <c r="Q379" s="883">
        <f t="shared" ref="Q379" si="171">IF(AND($AU$43="Early Payoff",J379&gt;=$U$15),0,IF($J379&gt;$U$8,0,IF(AND($AT$33&gt;=0,$J379&lt;=$AT$33),0,IF(AND($AT$31&gt;=0,$J379&lt;=$AT$31),$T379,IF(AND($V$4="Annual",$AT$31&gt;=0,$AT$33&gt;=0,$J379&gt;$AT$31,$J379&gt;$AT$33),PMT($M$7,($U$8-$AT$31),$M$4),IF(AND($V$4="Bi-Annual",$AT$31&gt;=0,$AT$33&gt;=0,$J379&gt;$AT$31,$J379&gt;$AT$33),PMT($M$7/2,($U$8-$AT$31),$M$4),IF(AND($V$4="Monthly",$AT$31&gt;=0,$AT$33&gt;=0,$J379&gt;$AT$31,$J379&gt;$AT$33),PMT($M$7/12,($U$8-$AT$31),$M$4))))))))-R379</f>
        <v>-307277.87674628111</v>
      </c>
      <c r="R379" s="1100"/>
      <c r="S379" s="883">
        <f t="shared" ref="S379" si="172">IF(AND($AU$43="Early Payoff",J379&gt;=$U$15),0,IF($J379&gt;$U$8,0,IF(AND($AT$33&gt;0,$J379&lt;=$AT$33),0,+$Q379-$T379)))</f>
        <v>-305728.005606747</v>
      </c>
      <c r="T379" s="884">
        <f t="shared" ref="T379" si="173">IF(AND($AU$43="Early Payoff",J379&gt;=$U$15),0,IF($V$4="Annual",-$M$7*$W378*1,IF($V$4="Bi-Annual",(-$M$7/2)*$W378*1,IF($V$4="Monthly",(-$M$7/12)*$W378*1))))</f>
        <v>-1549.8711395340974</v>
      </c>
      <c r="U379" s="884">
        <f>IF(AND($AU$43="Early Payoff",J379&gt;$U$15),0,IF($J379&lt;=$U$8,SUM($S$20:$S379),0))</f>
        <v>-46485000.00000003</v>
      </c>
      <c r="V379" s="884">
        <f>IF(AND($AU$43="Early Payoff",J379&gt;$U$15),0,IF($J379&lt;=$U$8,SUM($T$20:$T379),0))</f>
        <v>-56044172.096678942</v>
      </c>
      <c r="W379" s="885">
        <f t="shared" si="159"/>
        <v>-2.0896550267934799E-8</v>
      </c>
      <c r="X379" s="1110">
        <f t="shared" si="160"/>
        <v>305728.0056067261</v>
      </c>
      <c r="Z379" s="1102">
        <f t="shared" si="151"/>
        <v>0</v>
      </c>
      <c r="AA379" s="873">
        <f t="shared" si="152"/>
        <v>0</v>
      </c>
      <c r="AB379" s="873">
        <f t="shared" si="153"/>
        <v>0</v>
      </c>
      <c r="AC379" s="885">
        <f t="shared" si="154"/>
        <v>-307277.87674628111</v>
      </c>
    </row>
    <row r="380" spans="2:29" s="278" customFormat="1" ht="13.5" x14ac:dyDescent="0.25">
      <c r="B380" s="1108">
        <f>IF(C380&lt;'Financing Assumptions'!$G$25,0,IF(C380='Financing Assumptions'!$G$25,1,IF(C380&gt;'Financing Assumptions'!$G$25,B379+1)))</f>
        <v>361</v>
      </c>
      <c r="C380" s="1109">
        <f t="shared" si="161"/>
        <v>363</v>
      </c>
      <c r="D380" s="732">
        <f t="shared" si="146"/>
        <v>30</v>
      </c>
      <c r="E380" s="35">
        <f t="shared" si="147"/>
        <v>4</v>
      </c>
      <c r="F380" s="889">
        <f t="shared" ref="F380" si="174">DATE(M380,E380,D380)</f>
        <v>57100</v>
      </c>
      <c r="G380" s="822">
        <f t="shared" si="148"/>
        <v>4</v>
      </c>
      <c r="H380" s="126">
        <f t="shared" si="149"/>
        <v>0</v>
      </c>
      <c r="I380" s="1098">
        <f t="shared" si="167"/>
        <v>0</v>
      </c>
      <c r="J380" s="1419">
        <f t="shared" si="162"/>
        <v>361</v>
      </c>
      <c r="K380" s="1099">
        <f t="shared" si="155"/>
        <v>335</v>
      </c>
      <c r="L380" s="891" t="str">
        <f t="shared" si="156"/>
        <v>April</v>
      </c>
      <c r="M380" s="888">
        <f t="shared" si="163"/>
        <v>2056</v>
      </c>
      <c r="N380" s="1284">
        <f t="shared" ref="N380:N440" si="175">IF(B380=0,0,IF($B380&lt;=$M$11,INDEX($AZ$26:$BM$63,MATCH($B380,$AZ$26:$AZ$63,0),MATCH($M$10,$AZ$27:$BM$27,0)),0))</f>
        <v>0</v>
      </c>
      <c r="O380" s="1284">
        <f t="shared" si="164"/>
        <v>0</v>
      </c>
      <c r="P380" s="883">
        <f t="shared" ref="P380:P440" si="176">IF(AND($AU$43="Early Payoff",$J380&gt;$U$15),0,IF(AND($AU$43="Early Payoff",$J380&lt;$U$15),SUM(N380,$W379),IF(AND($AU$43="Full-Term",$J380&lt;$U$15),SUM(N380,$W379),IF($J380&gt;$U$8,0,$W379))))</f>
        <v>0</v>
      </c>
      <c r="Q380" s="883">
        <f t="shared" ref="Q380:Q440" si="177">IF(AND($AU$43="Early Payoff",J380&gt;=$U$15),0,IF($J380&gt;$U$8,0,IF(AND($AT$33&gt;=0,$J380&lt;=$AT$33),0,IF(AND($AT$31&gt;=0,$J380&lt;=$AT$31),$T380,IF(AND($V$4="Annual",$AT$31&gt;=0,$AT$33&gt;=0,$J380&gt;$AT$31,$J380&gt;$AT$33),PMT($M$7,($U$8-$AT$31),$M$4),IF(AND($V$4="Bi-Annual",$AT$31&gt;=0,$AT$33&gt;=0,$J380&gt;$AT$31,$J380&gt;$AT$33),PMT($M$7/2,($U$8-$AT$31),$M$4),IF(AND($V$4="Monthly",$AT$31&gt;=0,$AT$33&gt;=0,$J380&gt;$AT$31,$J380&gt;$AT$33),PMT($M$7/12,($U$8-$AT$31),$M$4))))))))-R380</f>
        <v>0</v>
      </c>
      <c r="R380" s="1100"/>
      <c r="S380" s="883">
        <f t="shared" ref="S380:S440" si="178">IF(AND($AU$43="Early Payoff",J380&gt;=$U$15),0,IF($J380&gt;$U$8,0,IF(AND($AT$33&gt;0,$J380&lt;=$AT$33),0,+$Q380-$T380)))</f>
        <v>0</v>
      </c>
      <c r="T380" s="884">
        <f t="shared" ref="T380:T440" si="179">IF(AND($AU$43="Early Payoff",J380&gt;=$U$15),0,IF($V$4="Annual",-$M$7*$W379*1,IF($V$4="Bi-Annual",(-$M$7/2)*$W379*1,IF($V$4="Monthly",(-$M$7/12)*$W379*1))))</f>
        <v>1.0593390066383612E-10</v>
      </c>
      <c r="U380" s="884">
        <f>IF(AND($AU$43="Early Payoff",J380&gt;$U$15),0,IF($J380&lt;=$U$8,SUM($S$20:$S380),0))</f>
        <v>0</v>
      </c>
      <c r="V380" s="884">
        <f>IF(AND($AU$43="Early Payoff",J380&gt;$U$15),0,IF($J380&lt;=$U$8,SUM($T$20:$T380),0))</f>
        <v>0</v>
      </c>
      <c r="W380" s="885">
        <f t="shared" si="159"/>
        <v>0</v>
      </c>
      <c r="X380" s="1110">
        <f t="shared" si="160"/>
        <v>0</v>
      </c>
      <c r="Z380" s="360"/>
      <c r="AA380" s="360"/>
      <c r="AB380" s="360"/>
      <c r="AC380" s="360"/>
    </row>
    <row r="381" spans="2:29" s="278" customFormat="1" ht="13.5" x14ac:dyDescent="0.25">
      <c r="B381" s="1108">
        <f>IF(C381&lt;'Financing Assumptions'!$G$25,0,IF(C381='Financing Assumptions'!$G$25,1,IF(C381&gt;'Financing Assumptions'!$G$25,B380+1)))</f>
        <v>362</v>
      </c>
      <c r="C381" s="1109">
        <f t="shared" si="161"/>
        <v>364</v>
      </c>
      <c r="D381" s="732">
        <f t="shared" si="146"/>
        <v>31</v>
      </c>
      <c r="E381" s="35">
        <f t="shared" si="147"/>
        <v>5</v>
      </c>
      <c r="F381" s="889">
        <f t="shared" ref="F381:F440" si="180">DATE(M381,E381,D381)</f>
        <v>57131</v>
      </c>
      <c r="G381" s="822">
        <f t="shared" si="148"/>
        <v>5</v>
      </c>
      <c r="H381" s="126">
        <f t="shared" si="149"/>
        <v>0</v>
      </c>
      <c r="I381" s="1098">
        <f t="shared" si="167"/>
        <v>0</v>
      </c>
      <c r="J381" s="887">
        <f t="shared" si="162"/>
        <v>362</v>
      </c>
      <c r="K381" s="1099">
        <f t="shared" si="155"/>
        <v>336</v>
      </c>
      <c r="L381" s="891" t="str">
        <f t="shared" si="156"/>
        <v>May</v>
      </c>
      <c r="M381" s="888">
        <f t="shared" si="163"/>
        <v>2056</v>
      </c>
      <c r="N381" s="1284">
        <f t="shared" si="175"/>
        <v>0</v>
      </c>
      <c r="O381" s="1284">
        <f t="shared" si="164"/>
        <v>0</v>
      </c>
      <c r="P381" s="883">
        <f t="shared" si="176"/>
        <v>0</v>
      </c>
      <c r="Q381" s="883">
        <f t="shared" si="177"/>
        <v>0</v>
      </c>
      <c r="R381" s="1100"/>
      <c r="S381" s="883">
        <f t="shared" si="178"/>
        <v>0</v>
      </c>
      <c r="T381" s="884">
        <f t="shared" si="179"/>
        <v>0</v>
      </c>
      <c r="U381" s="884">
        <f>IF(AND($AU$43="Early Payoff",J381&gt;$U$15),0,IF($J381&lt;=$U$8,SUM($S$20:$S381),0))</f>
        <v>0</v>
      </c>
      <c r="V381" s="884">
        <f>IF(AND($AU$43="Early Payoff",J381&gt;$U$15),0,IF($J381&lt;=$U$8,SUM($T$20:$T381),0))</f>
        <v>0</v>
      </c>
      <c r="W381" s="885">
        <f t="shared" si="159"/>
        <v>0</v>
      </c>
      <c r="X381" s="1110">
        <f t="shared" si="160"/>
        <v>0</v>
      </c>
      <c r="Z381" s="345"/>
      <c r="AA381" s="345"/>
      <c r="AB381" s="345"/>
      <c r="AC381" s="345"/>
    </row>
    <row r="382" spans="2:29" s="278" customFormat="1" ht="13.5" x14ac:dyDescent="0.25">
      <c r="B382" s="1108">
        <f>IF(C382&lt;'Financing Assumptions'!$G$25,0,IF(C382='Financing Assumptions'!$G$25,1,IF(C382&gt;'Financing Assumptions'!$G$25,B381+1)))</f>
        <v>363</v>
      </c>
      <c r="C382" s="1109">
        <f t="shared" si="161"/>
        <v>365</v>
      </c>
      <c r="D382" s="732">
        <f t="shared" si="146"/>
        <v>30</v>
      </c>
      <c r="E382" s="35">
        <f t="shared" si="147"/>
        <v>6</v>
      </c>
      <c r="F382" s="889">
        <f t="shared" si="180"/>
        <v>57161</v>
      </c>
      <c r="G382" s="822">
        <f t="shared" si="148"/>
        <v>6</v>
      </c>
      <c r="H382" s="126">
        <f t="shared" si="149"/>
        <v>0</v>
      </c>
      <c r="I382" s="1098">
        <f t="shared" si="167"/>
        <v>0</v>
      </c>
      <c r="J382" s="887">
        <f t="shared" si="162"/>
        <v>363</v>
      </c>
      <c r="K382" s="1099">
        <f t="shared" si="155"/>
        <v>337</v>
      </c>
      <c r="L382" s="891" t="str">
        <f t="shared" si="156"/>
        <v>June</v>
      </c>
      <c r="M382" s="888">
        <f t="shared" si="163"/>
        <v>2056</v>
      </c>
      <c r="N382" s="1284">
        <f t="shared" si="175"/>
        <v>0</v>
      </c>
      <c r="O382" s="1284">
        <f t="shared" si="164"/>
        <v>0</v>
      </c>
      <c r="P382" s="883">
        <f t="shared" si="176"/>
        <v>0</v>
      </c>
      <c r="Q382" s="883">
        <f t="shared" si="177"/>
        <v>0</v>
      </c>
      <c r="R382" s="1100"/>
      <c r="S382" s="883">
        <f t="shared" si="178"/>
        <v>0</v>
      </c>
      <c r="T382" s="884">
        <f t="shared" si="179"/>
        <v>0</v>
      </c>
      <c r="U382" s="884">
        <f>IF(AND($AU$43="Early Payoff",J382&gt;$U$15),0,IF($J382&lt;=$U$8,SUM($S$20:$S382),0))</f>
        <v>0</v>
      </c>
      <c r="V382" s="884">
        <f>IF(AND($AU$43="Early Payoff",J382&gt;$U$15),0,IF($J382&lt;=$U$8,SUM($T$20:$T382),0))</f>
        <v>0</v>
      </c>
      <c r="W382" s="885">
        <f t="shared" si="159"/>
        <v>0</v>
      </c>
      <c r="X382" s="1110">
        <f t="shared" si="160"/>
        <v>0</v>
      </c>
      <c r="Z382" s="345"/>
      <c r="AA382" s="345"/>
      <c r="AB382" s="345"/>
      <c r="AC382" s="345"/>
    </row>
    <row r="383" spans="2:29" s="278" customFormat="1" ht="13.5" x14ac:dyDescent="0.25">
      <c r="B383" s="1108">
        <f>IF(C383&lt;'Financing Assumptions'!$G$25,0,IF(C383='Financing Assumptions'!$G$25,1,IF(C383&gt;'Financing Assumptions'!$G$25,B382+1)))</f>
        <v>364</v>
      </c>
      <c r="C383" s="1109">
        <f t="shared" si="161"/>
        <v>366</v>
      </c>
      <c r="D383" s="732">
        <f t="shared" si="146"/>
        <v>31</v>
      </c>
      <c r="E383" s="35">
        <f t="shared" si="147"/>
        <v>7</v>
      </c>
      <c r="F383" s="889">
        <f t="shared" si="180"/>
        <v>57192</v>
      </c>
      <c r="G383" s="822">
        <f t="shared" si="148"/>
        <v>7</v>
      </c>
      <c r="H383" s="126">
        <f t="shared" si="149"/>
        <v>0</v>
      </c>
      <c r="I383" s="1098">
        <f t="shared" si="167"/>
        <v>0</v>
      </c>
      <c r="J383" s="887">
        <f t="shared" si="162"/>
        <v>364</v>
      </c>
      <c r="K383" s="1099">
        <f t="shared" si="155"/>
        <v>338</v>
      </c>
      <c r="L383" s="891" t="str">
        <f t="shared" si="156"/>
        <v>July</v>
      </c>
      <c r="M383" s="888">
        <f t="shared" si="163"/>
        <v>2056</v>
      </c>
      <c r="N383" s="1284">
        <f t="shared" si="175"/>
        <v>0</v>
      </c>
      <c r="O383" s="1284">
        <f t="shared" si="164"/>
        <v>0</v>
      </c>
      <c r="P383" s="883">
        <f t="shared" si="176"/>
        <v>0</v>
      </c>
      <c r="Q383" s="883">
        <f t="shared" si="177"/>
        <v>0</v>
      </c>
      <c r="R383" s="1100"/>
      <c r="S383" s="883">
        <f t="shared" si="178"/>
        <v>0</v>
      </c>
      <c r="T383" s="884">
        <f t="shared" si="179"/>
        <v>0</v>
      </c>
      <c r="U383" s="884">
        <f>IF(AND($AU$43="Early Payoff",J383&gt;$U$15),0,IF($J383&lt;=$U$8,SUM($S$20:$S383),0))</f>
        <v>0</v>
      </c>
      <c r="V383" s="884">
        <f>IF(AND($AU$43="Early Payoff",J383&gt;$U$15),0,IF($J383&lt;=$U$8,SUM($T$20:$T383),0))</f>
        <v>0</v>
      </c>
      <c r="W383" s="885">
        <f t="shared" si="159"/>
        <v>0</v>
      </c>
      <c r="X383" s="1110">
        <f t="shared" si="160"/>
        <v>0</v>
      </c>
    </row>
    <row r="384" spans="2:29" s="278" customFormat="1" ht="13.5" x14ac:dyDescent="0.25">
      <c r="B384" s="1108">
        <f>IF(C384&lt;'Financing Assumptions'!$G$25,0,IF(C384='Financing Assumptions'!$G$25,1,IF(C384&gt;'Financing Assumptions'!$G$25,B383+1)))</f>
        <v>365</v>
      </c>
      <c r="C384" s="1109">
        <f t="shared" si="161"/>
        <v>367</v>
      </c>
      <c r="D384" s="732">
        <f t="shared" si="146"/>
        <v>31</v>
      </c>
      <c r="E384" s="35">
        <f t="shared" si="147"/>
        <v>8</v>
      </c>
      <c r="F384" s="889">
        <f t="shared" si="180"/>
        <v>57223</v>
      </c>
      <c r="G384" s="822">
        <f t="shared" si="148"/>
        <v>8</v>
      </c>
      <c r="H384" s="126">
        <f t="shared" si="149"/>
        <v>0</v>
      </c>
      <c r="I384" s="1098">
        <f t="shared" si="167"/>
        <v>0</v>
      </c>
      <c r="J384" s="887">
        <f t="shared" si="162"/>
        <v>365</v>
      </c>
      <c r="K384" s="1099">
        <f t="shared" si="155"/>
        <v>339</v>
      </c>
      <c r="L384" s="891" t="str">
        <f t="shared" si="156"/>
        <v>August</v>
      </c>
      <c r="M384" s="888">
        <f t="shared" si="163"/>
        <v>2056</v>
      </c>
      <c r="N384" s="1284">
        <f t="shared" si="175"/>
        <v>0</v>
      </c>
      <c r="O384" s="1284">
        <f t="shared" si="164"/>
        <v>0</v>
      </c>
      <c r="P384" s="883">
        <f t="shared" si="176"/>
        <v>0</v>
      </c>
      <c r="Q384" s="883">
        <f t="shared" si="177"/>
        <v>0</v>
      </c>
      <c r="R384" s="1100"/>
      <c r="S384" s="883">
        <f t="shared" si="178"/>
        <v>0</v>
      </c>
      <c r="T384" s="884">
        <f t="shared" si="179"/>
        <v>0</v>
      </c>
      <c r="U384" s="884">
        <f>IF(AND($AU$43="Early Payoff",J384&gt;$U$15),0,IF($J384&lt;=$U$8,SUM($S$20:$S384),0))</f>
        <v>0</v>
      </c>
      <c r="V384" s="884">
        <f>IF(AND($AU$43="Early Payoff",J384&gt;$U$15),0,IF($J384&lt;=$U$8,SUM($T$20:$T384),0))</f>
        <v>0</v>
      </c>
      <c r="W384" s="885">
        <f t="shared" si="159"/>
        <v>0</v>
      </c>
      <c r="X384" s="1110">
        <f t="shared" si="160"/>
        <v>0</v>
      </c>
    </row>
    <row r="385" spans="2:24" s="278" customFormat="1" ht="13.5" x14ac:dyDescent="0.25">
      <c r="B385" s="1108">
        <f>IF(C385&lt;'Financing Assumptions'!$G$25,0,IF(C385='Financing Assumptions'!$G$25,1,IF(C385&gt;'Financing Assumptions'!$G$25,B384+1)))</f>
        <v>366</v>
      </c>
      <c r="C385" s="1109">
        <f t="shared" si="161"/>
        <v>368</v>
      </c>
      <c r="D385" s="732">
        <f t="shared" si="146"/>
        <v>30</v>
      </c>
      <c r="E385" s="35">
        <f t="shared" si="147"/>
        <v>9</v>
      </c>
      <c r="F385" s="889">
        <f>DATE(M385,E385,D385)</f>
        <v>57253</v>
      </c>
      <c r="G385" s="822">
        <f t="shared" si="148"/>
        <v>9</v>
      </c>
      <c r="H385" s="126">
        <f t="shared" si="149"/>
        <v>0</v>
      </c>
      <c r="I385" s="1098">
        <f t="shared" si="167"/>
        <v>0</v>
      </c>
      <c r="J385" s="887">
        <f t="shared" si="162"/>
        <v>366</v>
      </c>
      <c r="K385" s="1099">
        <f t="shared" si="155"/>
        <v>340</v>
      </c>
      <c r="L385" s="891" t="str">
        <f t="shared" si="156"/>
        <v>September</v>
      </c>
      <c r="M385" s="888">
        <f t="shared" si="163"/>
        <v>2056</v>
      </c>
      <c r="N385" s="1284">
        <f t="shared" si="175"/>
        <v>0</v>
      </c>
      <c r="O385" s="1284">
        <f t="shared" si="164"/>
        <v>0</v>
      </c>
      <c r="P385" s="883">
        <f t="shared" si="176"/>
        <v>0</v>
      </c>
      <c r="Q385" s="883">
        <f t="shared" si="177"/>
        <v>0</v>
      </c>
      <c r="R385" s="1100"/>
      <c r="S385" s="883">
        <f t="shared" si="178"/>
        <v>0</v>
      </c>
      <c r="T385" s="884">
        <f t="shared" si="179"/>
        <v>0</v>
      </c>
      <c r="U385" s="884">
        <f>IF(AND($AU$43="Early Payoff",J385&gt;$U$15),0,IF($J385&lt;=$U$8,SUM($S$20:$S385),0))</f>
        <v>0</v>
      </c>
      <c r="V385" s="884">
        <f>IF(AND($AU$43="Early Payoff",J385&gt;$U$15),0,IF($J385&lt;=$U$8,SUM($T$20:$T385),0))</f>
        <v>0</v>
      </c>
      <c r="W385" s="885">
        <f t="shared" si="159"/>
        <v>0</v>
      </c>
      <c r="X385" s="1110">
        <f t="shared" si="160"/>
        <v>0</v>
      </c>
    </row>
    <row r="386" spans="2:24" s="278" customFormat="1" ht="13.5" x14ac:dyDescent="0.25">
      <c r="B386" s="1108">
        <f>IF(C386&lt;'Financing Assumptions'!$G$25,0,IF(C386='Financing Assumptions'!$G$25,1,IF(C386&gt;'Financing Assumptions'!$G$25,B385+1)))</f>
        <v>367</v>
      </c>
      <c r="C386" s="1109">
        <f t="shared" si="161"/>
        <v>369</v>
      </c>
      <c r="D386" s="732">
        <f t="shared" si="146"/>
        <v>31</v>
      </c>
      <c r="E386" s="35">
        <f t="shared" si="147"/>
        <v>10</v>
      </c>
      <c r="F386" s="889">
        <f t="shared" si="180"/>
        <v>57284</v>
      </c>
      <c r="G386" s="822">
        <f t="shared" si="148"/>
        <v>10</v>
      </c>
      <c r="H386" s="126">
        <f t="shared" si="149"/>
        <v>0</v>
      </c>
      <c r="I386" s="1098">
        <f t="shared" si="167"/>
        <v>0</v>
      </c>
      <c r="J386" s="887">
        <f t="shared" si="162"/>
        <v>367</v>
      </c>
      <c r="K386" s="1099">
        <f t="shared" si="155"/>
        <v>341</v>
      </c>
      <c r="L386" s="891" t="str">
        <f t="shared" si="156"/>
        <v>October</v>
      </c>
      <c r="M386" s="888">
        <f t="shared" si="163"/>
        <v>2056</v>
      </c>
      <c r="N386" s="1284">
        <f t="shared" si="175"/>
        <v>0</v>
      </c>
      <c r="O386" s="1284">
        <f t="shared" si="164"/>
        <v>0</v>
      </c>
      <c r="P386" s="883">
        <f t="shared" si="176"/>
        <v>0</v>
      </c>
      <c r="Q386" s="883">
        <f t="shared" si="177"/>
        <v>0</v>
      </c>
      <c r="R386" s="1100"/>
      <c r="S386" s="883">
        <f t="shared" si="178"/>
        <v>0</v>
      </c>
      <c r="T386" s="884">
        <f t="shared" si="179"/>
        <v>0</v>
      </c>
      <c r="U386" s="884">
        <f>IF(AND($AU$43="Early Payoff",J386&gt;$U$15),0,IF($J386&lt;=$U$8,SUM($S$20:$S386),0))</f>
        <v>0</v>
      </c>
      <c r="V386" s="884">
        <f>IF(AND($AU$43="Early Payoff",J386&gt;$U$15),0,IF($J386&lt;=$U$8,SUM($T$20:$T386),0))</f>
        <v>0</v>
      </c>
      <c r="W386" s="885">
        <f t="shared" si="159"/>
        <v>0</v>
      </c>
      <c r="X386" s="1110">
        <f t="shared" si="160"/>
        <v>0</v>
      </c>
    </row>
    <row r="387" spans="2:24" s="278" customFormat="1" ht="13.5" x14ac:dyDescent="0.25">
      <c r="B387" s="1108">
        <f>IF(C387&lt;'Financing Assumptions'!$G$25,0,IF(C387='Financing Assumptions'!$G$25,1,IF(C387&gt;'Financing Assumptions'!$G$25,B386+1)))</f>
        <v>368</v>
      </c>
      <c r="C387" s="1109">
        <f t="shared" si="161"/>
        <v>370</v>
      </c>
      <c r="D387" s="732">
        <f t="shared" si="146"/>
        <v>30</v>
      </c>
      <c r="E387" s="35">
        <f t="shared" si="147"/>
        <v>11</v>
      </c>
      <c r="F387" s="889">
        <f t="shared" si="180"/>
        <v>57314</v>
      </c>
      <c r="G387" s="822">
        <f t="shared" si="148"/>
        <v>11</v>
      </c>
      <c r="H387" s="126">
        <f t="shared" si="149"/>
        <v>0</v>
      </c>
      <c r="I387" s="1098">
        <f t="shared" si="167"/>
        <v>0</v>
      </c>
      <c r="J387" s="887">
        <f t="shared" si="162"/>
        <v>368</v>
      </c>
      <c r="K387" s="1099">
        <f t="shared" si="155"/>
        <v>342</v>
      </c>
      <c r="L387" s="891" t="str">
        <f t="shared" si="156"/>
        <v>November</v>
      </c>
      <c r="M387" s="888">
        <f t="shared" si="163"/>
        <v>2056</v>
      </c>
      <c r="N387" s="1284">
        <f t="shared" si="175"/>
        <v>0</v>
      </c>
      <c r="O387" s="1284">
        <f t="shared" si="164"/>
        <v>0</v>
      </c>
      <c r="P387" s="883">
        <f t="shared" si="176"/>
        <v>0</v>
      </c>
      <c r="Q387" s="883">
        <f t="shared" si="177"/>
        <v>0</v>
      </c>
      <c r="R387" s="1100"/>
      <c r="S387" s="883">
        <f t="shared" si="178"/>
        <v>0</v>
      </c>
      <c r="T387" s="884">
        <f t="shared" si="179"/>
        <v>0</v>
      </c>
      <c r="U387" s="884">
        <f>IF(AND($AU$43="Early Payoff",J387&gt;$U$15),0,IF($J387&lt;=$U$8,SUM($S$20:$S387),0))</f>
        <v>0</v>
      </c>
      <c r="V387" s="884">
        <f>IF(AND($AU$43="Early Payoff",J387&gt;$U$15),0,IF($J387&lt;=$U$8,SUM($T$20:$T387),0))</f>
        <v>0</v>
      </c>
      <c r="W387" s="885">
        <f t="shared" si="159"/>
        <v>0</v>
      </c>
      <c r="X387" s="1110">
        <f t="shared" si="160"/>
        <v>0</v>
      </c>
    </row>
    <row r="388" spans="2:24" s="278" customFormat="1" ht="13.5" x14ac:dyDescent="0.25">
      <c r="B388" s="1108">
        <f>IF(C388&lt;'Financing Assumptions'!$G$25,0,IF(C388='Financing Assumptions'!$G$25,1,IF(C388&gt;'Financing Assumptions'!$G$25,B387+1)))</f>
        <v>369</v>
      </c>
      <c r="C388" s="1109">
        <f t="shared" si="161"/>
        <v>371</v>
      </c>
      <c r="D388" s="732">
        <f t="shared" si="146"/>
        <v>31</v>
      </c>
      <c r="E388" s="35">
        <f t="shared" si="147"/>
        <v>12</v>
      </c>
      <c r="F388" s="889">
        <f t="shared" si="180"/>
        <v>57345</v>
      </c>
      <c r="G388" s="822">
        <f t="shared" si="148"/>
        <v>12</v>
      </c>
      <c r="H388" s="126">
        <f t="shared" si="149"/>
        <v>1</v>
      </c>
      <c r="I388" s="1098">
        <f t="shared" si="167"/>
        <v>0</v>
      </c>
      <c r="J388" s="887">
        <f t="shared" si="162"/>
        <v>369</v>
      </c>
      <c r="K388" s="1099">
        <f t="shared" si="155"/>
        <v>343</v>
      </c>
      <c r="L388" s="891" t="str">
        <f t="shared" si="156"/>
        <v>December</v>
      </c>
      <c r="M388" s="888">
        <f t="shared" si="163"/>
        <v>2056</v>
      </c>
      <c r="N388" s="1284">
        <f t="shared" si="175"/>
        <v>0</v>
      </c>
      <c r="O388" s="1284">
        <f t="shared" si="164"/>
        <v>0</v>
      </c>
      <c r="P388" s="883">
        <f t="shared" si="176"/>
        <v>0</v>
      </c>
      <c r="Q388" s="883">
        <f t="shared" si="177"/>
        <v>0</v>
      </c>
      <c r="R388" s="1100"/>
      <c r="S388" s="883">
        <f t="shared" si="178"/>
        <v>0</v>
      </c>
      <c r="T388" s="884">
        <f t="shared" si="179"/>
        <v>0</v>
      </c>
      <c r="U388" s="884">
        <f>IF(AND($AU$43="Early Payoff",J388&gt;$U$15),0,IF($J388&lt;=$U$8,SUM($S$20:$S388),0))</f>
        <v>0</v>
      </c>
      <c r="V388" s="884">
        <f>IF(AND($AU$43="Early Payoff",J388&gt;$U$15),0,IF($J388&lt;=$U$8,SUM($T$20:$T388),0))</f>
        <v>0</v>
      </c>
      <c r="W388" s="885">
        <f t="shared" si="159"/>
        <v>0</v>
      </c>
      <c r="X388" s="1110">
        <f t="shared" si="160"/>
        <v>0</v>
      </c>
    </row>
    <row r="389" spans="2:24" s="278" customFormat="1" ht="13.5" x14ac:dyDescent="0.25">
      <c r="B389" s="1108">
        <f>IF(C389&lt;'Financing Assumptions'!$G$25,0,IF(C389='Financing Assumptions'!$G$25,1,IF(C389&gt;'Financing Assumptions'!$G$25,B388+1)))</f>
        <v>370</v>
      </c>
      <c r="C389" s="1109">
        <f t="shared" si="161"/>
        <v>372</v>
      </c>
      <c r="D389" s="732">
        <f t="shared" si="146"/>
        <v>31</v>
      </c>
      <c r="E389" s="35">
        <f t="shared" si="147"/>
        <v>1</v>
      </c>
      <c r="F389" s="889">
        <f t="shared" si="180"/>
        <v>57376</v>
      </c>
      <c r="G389" s="822">
        <f t="shared" si="148"/>
        <v>1</v>
      </c>
      <c r="H389" s="126">
        <f t="shared" si="149"/>
        <v>0</v>
      </c>
      <c r="I389" s="1098">
        <f t="shared" si="167"/>
        <v>0</v>
      </c>
      <c r="J389" s="887">
        <f t="shared" si="162"/>
        <v>370</v>
      </c>
      <c r="K389" s="1099">
        <f t="shared" si="155"/>
        <v>344</v>
      </c>
      <c r="L389" s="891" t="str">
        <f t="shared" si="156"/>
        <v>January</v>
      </c>
      <c r="M389" s="888">
        <f t="shared" si="163"/>
        <v>2057</v>
      </c>
      <c r="N389" s="1284">
        <f t="shared" si="175"/>
        <v>0</v>
      </c>
      <c r="O389" s="1284">
        <f t="shared" si="164"/>
        <v>0</v>
      </c>
      <c r="P389" s="883">
        <f t="shared" si="176"/>
        <v>0</v>
      </c>
      <c r="Q389" s="883">
        <f t="shared" si="177"/>
        <v>0</v>
      </c>
      <c r="R389" s="1100"/>
      <c r="S389" s="883">
        <f t="shared" si="178"/>
        <v>0</v>
      </c>
      <c r="T389" s="884">
        <f t="shared" si="179"/>
        <v>0</v>
      </c>
      <c r="U389" s="884">
        <f>IF(AND($AU$43="Early Payoff",J389&gt;$U$15),0,IF($J389&lt;=$U$8,SUM($S$20:$S389),0))</f>
        <v>0</v>
      </c>
      <c r="V389" s="884">
        <f>IF(AND($AU$43="Early Payoff",J389&gt;$U$15),0,IF($J389&lt;=$U$8,SUM($T$20:$T389),0))</f>
        <v>0</v>
      </c>
      <c r="W389" s="885">
        <f t="shared" si="159"/>
        <v>0</v>
      </c>
      <c r="X389" s="1110">
        <f t="shared" si="160"/>
        <v>0</v>
      </c>
    </row>
    <row r="390" spans="2:24" s="278" customFormat="1" ht="13.5" x14ac:dyDescent="0.25">
      <c r="B390" s="1108">
        <f>IF(C390&lt;'Financing Assumptions'!$G$25,0,IF(C390='Financing Assumptions'!$G$25,1,IF(C390&gt;'Financing Assumptions'!$G$25,B389+1)))</f>
        <v>371</v>
      </c>
      <c r="C390" s="1109">
        <f t="shared" si="161"/>
        <v>373</v>
      </c>
      <c r="D390" s="732">
        <f t="shared" si="146"/>
        <v>28</v>
      </c>
      <c r="E390" s="35">
        <f t="shared" si="147"/>
        <v>2</v>
      </c>
      <c r="F390" s="889">
        <f t="shared" si="180"/>
        <v>57404</v>
      </c>
      <c r="G390" s="822">
        <f t="shared" si="148"/>
        <v>2</v>
      </c>
      <c r="H390" s="126">
        <f t="shared" si="149"/>
        <v>0</v>
      </c>
      <c r="I390" s="1098">
        <f t="shared" si="167"/>
        <v>0</v>
      </c>
      <c r="J390" s="887">
        <f t="shared" si="162"/>
        <v>371</v>
      </c>
      <c r="K390" s="1099">
        <f t="shared" si="155"/>
        <v>345</v>
      </c>
      <c r="L390" s="891" t="str">
        <f t="shared" si="156"/>
        <v>February</v>
      </c>
      <c r="M390" s="888">
        <f t="shared" si="163"/>
        <v>2057</v>
      </c>
      <c r="N390" s="1284">
        <f t="shared" si="175"/>
        <v>0</v>
      </c>
      <c r="O390" s="1284">
        <f t="shared" si="164"/>
        <v>0</v>
      </c>
      <c r="P390" s="883">
        <f t="shared" si="176"/>
        <v>0</v>
      </c>
      <c r="Q390" s="883">
        <f t="shared" si="177"/>
        <v>0</v>
      </c>
      <c r="R390" s="1100"/>
      <c r="S390" s="883">
        <f t="shared" si="178"/>
        <v>0</v>
      </c>
      <c r="T390" s="884">
        <f t="shared" si="179"/>
        <v>0</v>
      </c>
      <c r="U390" s="884">
        <f>IF(AND($AU$43="Early Payoff",J390&gt;$U$15),0,IF($J390&lt;=$U$8,SUM($S$20:$S390),0))</f>
        <v>0</v>
      </c>
      <c r="V390" s="884">
        <f>IF(AND($AU$43="Early Payoff",J390&gt;$U$15),0,IF($J390&lt;=$U$8,SUM($T$20:$T390),0))</f>
        <v>0</v>
      </c>
      <c r="W390" s="885">
        <f t="shared" si="159"/>
        <v>0</v>
      </c>
      <c r="X390" s="1110">
        <f t="shared" si="160"/>
        <v>0</v>
      </c>
    </row>
    <row r="391" spans="2:24" s="278" customFormat="1" ht="13.5" x14ac:dyDescent="0.25">
      <c r="B391" s="1108">
        <f>IF(C391&lt;'Financing Assumptions'!$G$25,0,IF(C391='Financing Assumptions'!$G$25,1,IF(C391&gt;'Financing Assumptions'!$G$25,B390+1)))</f>
        <v>372</v>
      </c>
      <c r="C391" s="1109">
        <f t="shared" si="161"/>
        <v>374</v>
      </c>
      <c r="D391" s="732">
        <f t="shared" si="146"/>
        <v>31</v>
      </c>
      <c r="E391" s="35">
        <f t="shared" si="147"/>
        <v>3</v>
      </c>
      <c r="F391" s="889">
        <f t="shared" si="180"/>
        <v>57435</v>
      </c>
      <c r="G391" s="822">
        <f t="shared" si="148"/>
        <v>3</v>
      </c>
      <c r="H391" s="126">
        <f t="shared" si="149"/>
        <v>0</v>
      </c>
      <c r="I391" s="1098">
        <f t="shared" si="167"/>
        <v>0</v>
      </c>
      <c r="J391" s="887">
        <f t="shared" si="162"/>
        <v>372</v>
      </c>
      <c r="K391" s="1099">
        <f t="shared" si="155"/>
        <v>346</v>
      </c>
      <c r="L391" s="891" t="str">
        <f t="shared" si="156"/>
        <v>March</v>
      </c>
      <c r="M391" s="888">
        <f t="shared" si="163"/>
        <v>2057</v>
      </c>
      <c r="N391" s="1284">
        <f t="shared" si="175"/>
        <v>0</v>
      </c>
      <c r="O391" s="1284">
        <f t="shared" si="164"/>
        <v>0</v>
      </c>
      <c r="P391" s="883">
        <f t="shared" si="176"/>
        <v>0</v>
      </c>
      <c r="Q391" s="883">
        <f t="shared" si="177"/>
        <v>0</v>
      </c>
      <c r="R391" s="1100"/>
      <c r="S391" s="883">
        <f t="shared" si="178"/>
        <v>0</v>
      </c>
      <c r="T391" s="884">
        <f t="shared" si="179"/>
        <v>0</v>
      </c>
      <c r="U391" s="884">
        <f>IF(AND($AU$43="Early Payoff",J391&gt;$U$15),0,IF($J391&lt;=$U$8,SUM($S$20:$S391),0))</f>
        <v>0</v>
      </c>
      <c r="V391" s="884">
        <f>IF(AND($AU$43="Early Payoff",J391&gt;$U$15),0,IF($J391&lt;=$U$8,SUM($T$20:$T391),0))</f>
        <v>0</v>
      </c>
      <c r="W391" s="885">
        <f t="shared" si="159"/>
        <v>0</v>
      </c>
      <c r="X391" s="1110">
        <f t="shared" si="160"/>
        <v>0</v>
      </c>
    </row>
    <row r="392" spans="2:24" s="278" customFormat="1" ht="13.5" x14ac:dyDescent="0.25">
      <c r="B392" s="1108">
        <f>IF(C392&lt;'Financing Assumptions'!$G$25,0,IF(C392='Financing Assumptions'!$G$25,1,IF(C392&gt;'Financing Assumptions'!$G$25,B391+1)))</f>
        <v>373</v>
      </c>
      <c r="C392" s="1109">
        <f t="shared" si="161"/>
        <v>375</v>
      </c>
      <c r="D392" s="732">
        <f t="shared" si="146"/>
        <v>30</v>
      </c>
      <c r="E392" s="35">
        <f t="shared" si="147"/>
        <v>4</v>
      </c>
      <c r="F392" s="889">
        <f t="shared" si="180"/>
        <v>57465</v>
      </c>
      <c r="G392" s="822">
        <f t="shared" si="148"/>
        <v>4</v>
      </c>
      <c r="H392" s="126">
        <f t="shared" si="149"/>
        <v>0</v>
      </c>
      <c r="I392" s="1098">
        <f t="shared" si="167"/>
        <v>0</v>
      </c>
      <c r="J392" s="887">
        <f t="shared" si="162"/>
        <v>373</v>
      </c>
      <c r="K392" s="1099">
        <f t="shared" si="155"/>
        <v>347</v>
      </c>
      <c r="L392" s="891" t="str">
        <f t="shared" si="156"/>
        <v>April</v>
      </c>
      <c r="M392" s="888">
        <f t="shared" si="163"/>
        <v>2057</v>
      </c>
      <c r="N392" s="1284">
        <f t="shared" si="175"/>
        <v>0</v>
      </c>
      <c r="O392" s="1284">
        <f t="shared" si="164"/>
        <v>0</v>
      </c>
      <c r="P392" s="883">
        <f t="shared" si="176"/>
        <v>0</v>
      </c>
      <c r="Q392" s="883">
        <f t="shared" si="177"/>
        <v>0</v>
      </c>
      <c r="R392" s="1100"/>
      <c r="S392" s="883">
        <f t="shared" si="178"/>
        <v>0</v>
      </c>
      <c r="T392" s="884">
        <f t="shared" si="179"/>
        <v>0</v>
      </c>
      <c r="U392" s="884">
        <f>IF(AND($AU$43="Early Payoff",J392&gt;$U$15),0,IF($J392&lt;=$U$8,SUM($S$20:$S392),0))</f>
        <v>0</v>
      </c>
      <c r="V392" s="884">
        <f>IF(AND($AU$43="Early Payoff",J392&gt;$U$15),0,IF($J392&lt;=$U$8,SUM($T$20:$T392),0))</f>
        <v>0</v>
      </c>
      <c r="W392" s="885">
        <f t="shared" si="159"/>
        <v>0</v>
      </c>
      <c r="X392" s="1110">
        <f t="shared" si="160"/>
        <v>0</v>
      </c>
    </row>
    <row r="393" spans="2:24" s="278" customFormat="1" ht="13.5" x14ac:dyDescent="0.25">
      <c r="B393" s="1108">
        <f>IF(C393&lt;'Financing Assumptions'!$G$25,0,IF(C393='Financing Assumptions'!$G$25,1,IF(C393&gt;'Financing Assumptions'!$G$25,B392+1)))</f>
        <v>374</v>
      </c>
      <c r="C393" s="1109">
        <f t="shared" si="161"/>
        <v>376</v>
      </c>
      <c r="D393" s="732">
        <f t="shared" si="146"/>
        <v>31</v>
      </c>
      <c r="E393" s="35">
        <f t="shared" si="147"/>
        <v>5</v>
      </c>
      <c r="F393" s="889">
        <f t="shared" si="180"/>
        <v>57496</v>
      </c>
      <c r="G393" s="822">
        <f t="shared" si="148"/>
        <v>5</v>
      </c>
      <c r="H393" s="126">
        <f t="shared" si="149"/>
        <v>0</v>
      </c>
      <c r="I393" s="1098">
        <f t="shared" si="167"/>
        <v>0</v>
      </c>
      <c r="J393" s="887">
        <f t="shared" si="162"/>
        <v>374</v>
      </c>
      <c r="K393" s="1099">
        <f t="shared" si="155"/>
        <v>348</v>
      </c>
      <c r="L393" s="891" t="str">
        <f t="shared" si="156"/>
        <v>May</v>
      </c>
      <c r="M393" s="888">
        <f t="shared" si="163"/>
        <v>2057</v>
      </c>
      <c r="N393" s="1284">
        <f t="shared" si="175"/>
        <v>0</v>
      </c>
      <c r="O393" s="1284">
        <f t="shared" si="164"/>
        <v>0</v>
      </c>
      <c r="P393" s="883">
        <f t="shared" si="176"/>
        <v>0</v>
      </c>
      <c r="Q393" s="883">
        <f t="shared" si="177"/>
        <v>0</v>
      </c>
      <c r="R393" s="1100"/>
      <c r="S393" s="883">
        <f t="shared" si="178"/>
        <v>0</v>
      </c>
      <c r="T393" s="884">
        <f t="shared" si="179"/>
        <v>0</v>
      </c>
      <c r="U393" s="884">
        <f>IF(AND($AU$43="Early Payoff",J393&gt;$U$15),0,IF($J393&lt;=$U$8,SUM($S$20:$S393),0))</f>
        <v>0</v>
      </c>
      <c r="V393" s="884">
        <f>IF(AND($AU$43="Early Payoff",J393&gt;$U$15),0,IF($J393&lt;=$U$8,SUM($T$20:$T393),0))</f>
        <v>0</v>
      </c>
      <c r="W393" s="885">
        <f t="shared" si="159"/>
        <v>0</v>
      </c>
      <c r="X393" s="1110">
        <f t="shared" si="160"/>
        <v>0</v>
      </c>
    </row>
    <row r="394" spans="2:24" s="278" customFormat="1" ht="13.5" x14ac:dyDescent="0.25">
      <c r="B394" s="1108">
        <f>IF(C394&lt;'Financing Assumptions'!$G$25,0,IF(C394='Financing Assumptions'!$G$25,1,IF(C394&gt;'Financing Assumptions'!$G$25,B393+1)))</f>
        <v>375</v>
      </c>
      <c r="C394" s="1109">
        <f t="shared" si="161"/>
        <v>377</v>
      </c>
      <c r="D394" s="732">
        <f t="shared" si="146"/>
        <v>30</v>
      </c>
      <c r="E394" s="35">
        <f t="shared" si="147"/>
        <v>6</v>
      </c>
      <c r="F394" s="889">
        <f t="shared" si="180"/>
        <v>57526</v>
      </c>
      <c r="G394" s="822">
        <f t="shared" si="148"/>
        <v>6</v>
      </c>
      <c r="H394" s="126">
        <f t="shared" si="149"/>
        <v>0</v>
      </c>
      <c r="I394" s="1098">
        <f t="shared" si="167"/>
        <v>0</v>
      </c>
      <c r="J394" s="887">
        <f t="shared" si="162"/>
        <v>375</v>
      </c>
      <c r="K394" s="1099">
        <f t="shared" si="155"/>
        <v>349</v>
      </c>
      <c r="L394" s="891" t="str">
        <f t="shared" si="156"/>
        <v>June</v>
      </c>
      <c r="M394" s="888">
        <f t="shared" si="163"/>
        <v>2057</v>
      </c>
      <c r="N394" s="1284">
        <f t="shared" si="175"/>
        <v>0</v>
      </c>
      <c r="O394" s="1284">
        <f t="shared" si="164"/>
        <v>0</v>
      </c>
      <c r="P394" s="883">
        <f t="shared" si="176"/>
        <v>0</v>
      </c>
      <c r="Q394" s="883">
        <f t="shared" si="177"/>
        <v>0</v>
      </c>
      <c r="R394" s="1100"/>
      <c r="S394" s="883">
        <f t="shared" si="178"/>
        <v>0</v>
      </c>
      <c r="T394" s="884">
        <f t="shared" si="179"/>
        <v>0</v>
      </c>
      <c r="U394" s="884">
        <f>IF(AND($AU$43="Early Payoff",J394&gt;$U$15),0,IF($J394&lt;=$U$8,SUM($S$20:$S394),0))</f>
        <v>0</v>
      </c>
      <c r="V394" s="884">
        <f>IF(AND($AU$43="Early Payoff",J394&gt;$U$15),0,IF($J394&lt;=$U$8,SUM($T$20:$T394),0))</f>
        <v>0</v>
      </c>
      <c r="W394" s="885">
        <f t="shared" si="159"/>
        <v>0</v>
      </c>
      <c r="X394" s="1110">
        <f t="shared" si="160"/>
        <v>0</v>
      </c>
    </row>
    <row r="395" spans="2:24" s="278" customFormat="1" ht="13.5" x14ac:dyDescent="0.25">
      <c r="B395" s="1108">
        <f>IF(C395&lt;'Financing Assumptions'!$G$25,0,IF(C395='Financing Assumptions'!$G$25,1,IF(C395&gt;'Financing Assumptions'!$G$25,B394+1)))</f>
        <v>376</v>
      </c>
      <c r="C395" s="1109">
        <f t="shared" si="161"/>
        <v>378</v>
      </c>
      <c r="D395" s="732">
        <f t="shared" si="146"/>
        <v>31</v>
      </c>
      <c r="E395" s="35">
        <f t="shared" si="147"/>
        <v>7</v>
      </c>
      <c r="F395" s="889">
        <f t="shared" si="180"/>
        <v>57557</v>
      </c>
      <c r="G395" s="822">
        <f t="shared" si="148"/>
        <v>7</v>
      </c>
      <c r="H395" s="126">
        <f t="shared" si="149"/>
        <v>0</v>
      </c>
      <c r="I395" s="1098">
        <f t="shared" si="167"/>
        <v>0</v>
      </c>
      <c r="J395" s="887">
        <f t="shared" si="162"/>
        <v>376</v>
      </c>
      <c r="K395" s="1099">
        <f t="shared" si="155"/>
        <v>350</v>
      </c>
      <c r="L395" s="891" t="str">
        <f t="shared" si="156"/>
        <v>July</v>
      </c>
      <c r="M395" s="888">
        <f t="shared" si="163"/>
        <v>2057</v>
      </c>
      <c r="N395" s="1284">
        <f t="shared" si="175"/>
        <v>0</v>
      </c>
      <c r="O395" s="1284">
        <f t="shared" si="164"/>
        <v>0</v>
      </c>
      <c r="P395" s="883">
        <f t="shared" si="176"/>
        <v>0</v>
      </c>
      <c r="Q395" s="883">
        <f t="shared" si="177"/>
        <v>0</v>
      </c>
      <c r="R395" s="1100"/>
      <c r="S395" s="883">
        <f t="shared" si="178"/>
        <v>0</v>
      </c>
      <c r="T395" s="884">
        <f t="shared" si="179"/>
        <v>0</v>
      </c>
      <c r="U395" s="884">
        <f>IF(AND($AU$43="Early Payoff",J395&gt;$U$15),0,IF($J395&lt;=$U$8,SUM($S$20:$S395),0))</f>
        <v>0</v>
      </c>
      <c r="V395" s="884">
        <f>IF(AND($AU$43="Early Payoff",J395&gt;$U$15),0,IF($J395&lt;=$U$8,SUM($T$20:$T395),0))</f>
        <v>0</v>
      </c>
      <c r="W395" s="885">
        <f t="shared" si="159"/>
        <v>0</v>
      </c>
      <c r="X395" s="1110">
        <f t="shared" si="160"/>
        <v>0</v>
      </c>
    </row>
    <row r="396" spans="2:24" s="278" customFormat="1" ht="13.5" x14ac:dyDescent="0.25">
      <c r="B396" s="1108">
        <f>IF(C396&lt;'Financing Assumptions'!$G$25,0,IF(C396='Financing Assumptions'!$G$25,1,IF(C396&gt;'Financing Assumptions'!$G$25,B395+1)))</f>
        <v>377</v>
      </c>
      <c r="C396" s="1109">
        <f t="shared" si="161"/>
        <v>379</v>
      </c>
      <c r="D396" s="732">
        <f t="shared" si="146"/>
        <v>31</v>
      </c>
      <c r="E396" s="35">
        <f t="shared" si="147"/>
        <v>8</v>
      </c>
      <c r="F396" s="889">
        <f t="shared" si="180"/>
        <v>57588</v>
      </c>
      <c r="G396" s="822">
        <f t="shared" si="148"/>
        <v>8</v>
      </c>
      <c r="H396" s="126">
        <f t="shared" si="149"/>
        <v>0</v>
      </c>
      <c r="I396" s="1098">
        <f t="shared" si="167"/>
        <v>0</v>
      </c>
      <c r="J396" s="887">
        <f t="shared" si="162"/>
        <v>377</v>
      </c>
      <c r="K396" s="1099">
        <f t="shared" si="155"/>
        <v>351</v>
      </c>
      <c r="L396" s="891" t="str">
        <f t="shared" si="156"/>
        <v>August</v>
      </c>
      <c r="M396" s="888">
        <f t="shared" si="163"/>
        <v>2057</v>
      </c>
      <c r="N396" s="1284">
        <f t="shared" si="175"/>
        <v>0</v>
      </c>
      <c r="O396" s="1284">
        <f t="shared" si="164"/>
        <v>0</v>
      </c>
      <c r="P396" s="883">
        <f t="shared" si="176"/>
        <v>0</v>
      </c>
      <c r="Q396" s="883">
        <f t="shared" si="177"/>
        <v>0</v>
      </c>
      <c r="R396" s="1100"/>
      <c r="S396" s="883">
        <f t="shared" si="178"/>
        <v>0</v>
      </c>
      <c r="T396" s="884">
        <f t="shared" si="179"/>
        <v>0</v>
      </c>
      <c r="U396" s="884">
        <f>IF(AND($AU$43="Early Payoff",J396&gt;$U$15),0,IF($J396&lt;=$U$8,SUM($S$20:$S396),0))</f>
        <v>0</v>
      </c>
      <c r="V396" s="884">
        <f>IF(AND($AU$43="Early Payoff",J396&gt;$U$15),0,IF($J396&lt;=$U$8,SUM($T$20:$T396),0))</f>
        <v>0</v>
      </c>
      <c r="W396" s="885">
        <f t="shared" si="159"/>
        <v>0</v>
      </c>
      <c r="X396" s="1110">
        <f t="shared" si="160"/>
        <v>0</v>
      </c>
    </row>
    <row r="397" spans="2:24" s="278" customFormat="1" ht="13.5" x14ac:dyDescent="0.25">
      <c r="B397" s="1108">
        <f>IF(C397&lt;'Financing Assumptions'!$G$25,0,IF(C397='Financing Assumptions'!$G$25,1,IF(C397&gt;'Financing Assumptions'!$G$25,B396+1)))</f>
        <v>378</v>
      </c>
      <c r="C397" s="1109">
        <f t="shared" si="161"/>
        <v>380</v>
      </c>
      <c r="D397" s="732">
        <f t="shared" si="146"/>
        <v>30</v>
      </c>
      <c r="E397" s="35">
        <f t="shared" si="147"/>
        <v>9</v>
      </c>
      <c r="F397" s="889">
        <f t="shared" si="180"/>
        <v>57618</v>
      </c>
      <c r="G397" s="822">
        <f t="shared" si="148"/>
        <v>9</v>
      </c>
      <c r="H397" s="126">
        <f t="shared" si="149"/>
        <v>0</v>
      </c>
      <c r="I397" s="1098">
        <f t="shared" si="167"/>
        <v>0</v>
      </c>
      <c r="J397" s="887">
        <f t="shared" si="162"/>
        <v>378</v>
      </c>
      <c r="K397" s="1099">
        <f t="shared" si="155"/>
        <v>352</v>
      </c>
      <c r="L397" s="891" t="str">
        <f t="shared" si="156"/>
        <v>September</v>
      </c>
      <c r="M397" s="888">
        <f t="shared" si="163"/>
        <v>2057</v>
      </c>
      <c r="N397" s="1284">
        <f t="shared" si="175"/>
        <v>0</v>
      </c>
      <c r="O397" s="1284">
        <f t="shared" si="164"/>
        <v>0</v>
      </c>
      <c r="P397" s="883">
        <f t="shared" si="176"/>
        <v>0</v>
      </c>
      <c r="Q397" s="883">
        <f t="shared" si="177"/>
        <v>0</v>
      </c>
      <c r="R397" s="1100"/>
      <c r="S397" s="883">
        <f t="shared" si="178"/>
        <v>0</v>
      </c>
      <c r="T397" s="884">
        <f t="shared" si="179"/>
        <v>0</v>
      </c>
      <c r="U397" s="884">
        <f>IF(AND($AU$43="Early Payoff",J397&gt;$U$15),0,IF($J397&lt;=$U$8,SUM($S$20:$S397),0))</f>
        <v>0</v>
      </c>
      <c r="V397" s="884">
        <f>IF(AND($AU$43="Early Payoff",J397&gt;$U$15),0,IF($J397&lt;=$U$8,SUM($T$20:$T397),0))</f>
        <v>0</v>
      </c>
      <c r="W397" s="885">
        <f t="shared" si="159"/>
        <v>0</v>
      </c>
      <c r="X397" s="1110">
        <f t="shared" si="160"/>
        <v>0</v>
      </c>
    </row>
    <row r="398" spans="2:24" ht="13.5" x14ac:dyDescent="0.25">
      <c r="B398" s="1108">
        <f>IF(C398&lt;'Financing Assumptions'!$G$25,0,IF(C398='Financing Assumptions'!$G$25,1,IF(C398&gt;'Financing Assumptions'!$G$25,B397+1)))</f>
        <v>379</v>
      </c>
      <c r="C398" s="1109">
        <f t="shared" si="161"/>
        <v>381</v>
      </c>
      <c r="D398" s="732">
        <f t="shared" si="146"/>
        <v>31</v>
      </c>
      <c r="E398" s="35">
        <f t="shared" si="147"/>
        <v>10</v>
      </c>
      <c r="F398" s="889">
        <f t="shared" si="180"/>
        <v>57649</v>
      </c>
      <c r="G398" s="822">
        <f t="shared" si="148"/>
        <v>10</v>
      </c>
      <c r="H398" s="126">
        <f t="shared" si="149"/>
        <v>0</v>
      </c>
      <c r="I398" s="1098">
        <f t="shared" si="167"/>
        <v>0</v>
      </c>
      <c r="J398" s="887">
        <f t="shared" si="162"/>
        <v>379</v>
      </c>
      <c r="K398" s="1099">
        <f t="shared" si="155"/>
        <v>353</v>
      </c>
      <c r="L398" s="891" t="str">
        <f t="shared" si="156"/>
        <v>October</v>
      </c>
      <c r="M398" s="888">
        <f t="shared" si="163"/>
        <v>2057</v>
      </c>
      <c r="N398" s="1284">
        <f t="shared" si="175"/>
        <v>0</v>
      </c>
      <c r="O398" s="1284">
        <f t="shared" si="164"/>
        <v>0</v>
      </c>
      <c r="P398" s="883">
        <f t="shared" si="176"/>
        <v>0</v>
      </c>
      <c r="Q398" s="883">
        <f t="shared" si="177"/>
        <v>0</v>
      </c>
      <c r="R398" s="1100"/>
      <c r="S398" s="883">
        <f t="shared" si="178"/>
        <v>0</v>
      </c>
      <c r="T398" s="884">
        <f t="shared" si="179"/>
        <v>0</v>
      </c>
      <c r="U398" s="884">
        <f>IF(AND($AU$43="Early Payoff",J398&gt;$U$15),0,IF($J398&lt;=$U$8,SUM($S$20:$S398),0))</f>
        <v>0</v>
      </c>
      <c r="V398" s="884">
        <f>IF(AND($AU$43="Early Payoff",J398&gt;$U$15),0,IF($J398&lt;=$U$8,SUM($T$20:$T398),0))</f>
        <v>0</v>
      </c>
      <c r="W398" s="885">
        <f t="shared" si="159"/>
        <v>0</v>
      </c>
      <c r="X398" s="1110">
        <f t="shared" si="160"/>
        <v>0</v>
      </c>
    </row>
    <row r="399" spans="2:24" ht="13.5" x14ac:dyDescent="0.25">
      <c r="B399" s="1108">
        <f>IF(C399&lt;'Financing Assumptions'!$G$25,0,IF(C399='Financing Assumptions'!$G$25,1,IF(C399&gt;'Financing Assumptions'!$G$25,B398+1)))</f>
        <v>380</v>
      </c>
      <c r="C399" s="1109">
        <f t="shared" si="161"/>
        <v>382</v>
      </c>
      <c r="D399" s="732">
        <f t="shared" si="146"/>
        <v>30</v>
      </c>
      <c r="E399" s="35">
        <f t="shared" si="147"/>
        <v>11</v>
      </c>
      <c r="F399" s="889">
        <f t="shared" si="180"/>
        <v>57679</v>
      </c>
      <c r="G399" s="822">
        <f t="shared" si="148"/>
        <v>11</v>
      </c>
      <c r="H399" s="126">
        <f t="shared" si="149"/>
        <v>0</v>
      </c>
      <c r="I399" s="1098">
        <f t="shared" si="167"/>
        <v>0</v>
      </c>
      <c r="J399" s="887">
        <f t="shared" si="162"/>
        <v>380</v>
      </c>
      <c r="K399" s="1099">
        <f t="shared" si="155"/>
        <v>354</v>
      </c>
      <c r="L399" s="891" t="str">
        <f t="shared" si="156"/>
        <v>November</v>
      </c>
      <c r="M399" s="888">
        <f t="shared" si="163"/>
        <v>2057</v>
      </c>
      <c r="N399" s="1284">
        <f t="shared" si="175"/>
        <v>0</v>
      </c>
      <c r="O399" s="1284">
        <f t="shared" si="164"/>
        <v>0</v>
      </c>
      <c r="P399" s="883">
        <f t="shared" si="176"/>
        <v>0</v>
      </c>
      <c r="Q399" s="883">
        <f t="shared" si="177"/>
        <v>0</v>
      </c>
      <c r="R399" s="1100"/>
      <c r="S399" s="883">
        <f t="shared" si="178"/>
        <v>0</v>
      </c>
      <c r="T399" s="884">
        <f t="shared" si="179"/>
        <v>0</v>
      </c>
      <c r="U399" s="884">
        <f>IF(AND($AU$43="Early Payoff",J399&gt;$U$15),0,IF($J399&lt;=$U$8,SUM($S$20:$S399),0))</f>
        <v>0</v>
      </c>
      <c r="V399" s="884">
        <f>IF(AND($AU$43="Early Payoff",J399&gt;$U$15),0,IF($J399&lt;=$U$8,SUM($T$20:$T399),0))</f>
        <v>0</v>
      </c>
      <c r="W399" s="885">
        <f t="shared" si="159"/>
        <v>0</v>
      </c>
      <c r="X399" s="1110">
        <f t="shared" si="160"/>
        <v>0</v>
      </c>
    </row>
    <row r="400" spans="2:24" ht="13.5" x14ac:dyDescent="0.25">
      <c r="B400" s="1108">
        <f>IF(C400&lt;'Financing Assumptions'!$G$25,0,IF(C400='Financing Assumptions'!$G$25,1,IF(C400&gt;'Financing Assumptions'!$G$25,B399+1)))</f>
        <v>381</v>
      </c>
      <c r="C400" s="1109">
        <f t="shared" si="161"/>
        <v>383</v>
      </c>
      <c r="D400" s="732">
        <f t="shared" si="146"/>
        <v>31</v>
      </c>
      <c r="E400" s="35">
        <f t="shared" si="147"/>
        <v>12</v>
      </c>
      <c r="F400" s="889">
        <f t="shared" si="180"/>
        <v>57710</v>
      </c>
      <c r="G400" s="822">
        <f t="shared" si="148"/>
        <v>12</v>
      </c>
      <c r="H400" s="126">
        <f t="shared" si="149"/>
        <v>1</v>
      </c>
      <c r="I400" s="1098">
        <f t="shared" si="167"/>
        <v>0</v>
      </c>
      <c r="J400" s="887">
        <f t="shared" si="162"/>
        <v>381</v>
      </c>
      <c r="K400" s="1099">
        <f t="shared" si="155"/>
        <v>355</v>
      </c>
      <c r="L400" s="891" t="str">
        <f t="shared" si="156"/>
        <v>December</v>
      </c>
      <c r="M400" s="888">
        <f t="shared" si="163"/>
        <v>2057</v>
      </c>
      <c r="N400" s="1284">
        <f t="shared" si="175"/>
        <v>0</v>
      </c>
      <c r="O400" s="1284">
        <f t="shared" si="164"/>
        <v>0</v>
      </c>
      <c r="P400" s="883">
        <f t="shared" si="176"/>
        <v>0</v>
      </c>
      <c r="Q400" s="883">
        <f t="shared" si="177"/>
        <v>0</v>
      </c>
      <c r="R400" s="1100"/>
      <c r="S400" s="883">
        <f t="shared" si="178"/>
        <v>0</v>
      </c>
      <c r="T400" s="884">
        <f t="shared" si="179"/>
        <v>0</v>
      </c>
      <c r="U400" s="884">
        <f>IF(AND($AU$43="Early Payoff",J400&gt;$U$15),0,IF($J400&lt;=$U$8,SUM($S$20:$S400),0))</f>
        <v>0</v>
      </c>
      <c r="V400" s="884">
        <f>IF(AND($AU$43="Early Payoff",J400&gt;$U$15),0,IF($J400&lt;=$U$8,SUM($T$20:$T400),0))</f>
        <v>0</v>
      </c>
      <c r="W400" s="885">
        <f t="shared" si="159"/>
        <v>0</v>
      </c>
      <c r="X400" s="1110">
        <f t="shared" si="160"/>
        <v>0</v>
      </c>
    </row>
    <row r="401" spans="1:52" ht="13.5" x14ac:dyDescent="0.25">
      <c r="B401" s="1108">
        <f>IF(C401&lt;'Financing Assumptions'!$G$25,0,IF(C401='Financing Assumptions'!$G$25,1,IF(C401&gt;'Financing Assumptions'!$G$25,B400+1)))</f>
        <v>382</v>
      </c>
      <c r="C401" s="1109">
        <f t="shared" si="161"/>
        <v>384</v>
      </c>
      <c r="D401" s="732">
        <f t="shared" si="146"/>
        <v>31</v>
      </c>
      <c r="E401" s="35">
        <f t="shared" si="147"/>
        <v>1</v>
      </c>
      <c r="F401" s="889">
        <f t="shared" si="180"/>
        <v>57741</v>
      </c>
      <c r="G401" s="822">
        <f t="shared" si="148"/>
        <v>1</v>
      </c>
      <c r="H401" s="126">
        <f t="shared" si="149"/>
        <v>0</v>
      </c>
      <c r="I401" s="1098">
        <f t="shared" si="167"/>
        <v>0</v>
      </c>
      <c r="J401" s="887">
        <f t="shared" si="162"/>
        <v>382</v>
      </c>
      <c r="K401" s="1099">
        <f t="shared" si="155"/>
        <v>356</v>
      </c>
      <c r="L401" s="891" t="str">
        <f t="shared" si="156"/>
        <v>January</v>
      </c>
      <c r="M401" s="888">
        <f t="shared" si="163"/>
        <v>2058</v>
      </c>
      <c r="N401" s="1284">
        <f t="shared" si="175"/>
        <v>0</v>
      </c>
      <c r="O401" s="1284">
        <f t="shared" si="164"/>
        <v>0</v>
      </c>
      <c r="P401" s="883">
        <f t="shared" si="176"/>
        <v>0</v>
      </c>
      <c r="Q401" s="883">
        <f t="shared" si="177"/>
        <v>0</v>
      </c>
      <c r="R401" s="1100"/>
      <c r="S401" s="883">
        <f t="shared" si="178"/>
        <v>0</v>
      </c>
      <c r="T401" s="884">
        <f t="shared" si="179"/>
        <v>0</v>
      </c>
      <c r="U401" s="884">
        <f>IF(AND($AU$43="Early Payoff",J401&gt;$U$15),0,IF($J401&lt;=$U$8,SUM($S$20:$S401),0))</f>
        <v>0</v>
      </c>
      <c r="V401" s="884">
        <f>IF(AND($AU$43="Early Payoff",J401&gt;$U$15),0,IF($J401&lt;=$U$8,SUM($T$20:$T401),0))</f>
        <v>0</v>
      </c>
      <c r="W401" s="885">
        <f t="shared" si="159"/>
        <v>0</v>
      </c>
      <c r="X401" s="1110">
        <f t="shared" si="160"/>
        <v>0</v>
      </c>
    </row>
    <row r="402" spans="1:52" ht="13.5" x14ac:dyDescent="0.25">
      <c r="B402" s="1108">
        <f>IF(C402&lt;'Financing Assumptions'!$G$25,0,IF(C402='Financing Assumptions'!$G$25,1,IF(C402&gt;'Financing Assumptions'!$G$25,B401+1)))</f>
        <v>383</v>
      </c>
      <c r="C402" s="1109">
        <f t="shared" si="161"/>
        <v>385</v>
      </c>
      <c r="D402" s="732">
        <f t="shared" si="146"/>
        <v>28</v>
      </c>
      <c r="E402" s="35">
        <f t="shared" si="147"/>
        <v>2</v>
      </c>
      <c r="F402" s="889">
        <f t="shared" si="180"/>
        <v>57769</v>
      </c>
      <c r="G402" s="822">
        <f t="shared" si="148"/>
        <v>2</v>
      </c>
      <c r="H402" s="126">
        <f t="shared" si="149"/>
        <v>0</v>
      </c>
      <c r="I402" s="1098">
        <f t="shared" si="167"/>
        <v>0</v>
      </c>
      <c r="J402" s="887">
        <f t="shared" si="162"/>
        <v>383</v>
      </c>
      <c r="K402" s="1099">
        <f t="shared" si="155"/>
        <v>357</v>
      </c>
      <c r="L402" s="891" t="str">
        <f t="shared" si="156"/>
        <v>February</v>
      </c>
      <c r="M402" s="888">
        <f t="shared" si="163"/>
        <v>2058</v>
      </c>
      <c r="N402" s="1284">
        <f t="shared" si="175"/>
        <v>0</v>
      </c>
      <c r="O402" s="1284">
        <f t="shared" si="164"/>
        <v>0</v>
      </c>
      <c r="P402" s="883">
        <f t="shared" si="176"/>
        <v>0</v>
      </c>
      <c r="Q402" s="883">
        <f t="shared" si="177"/>
        <v>0</v>
      </c>
      <c r="R402" s="1100"/>
      <c r="S402" s="883">
        <f t="shared" si="178"/>
        <v>0</v>
      </c>
      <c r="T402" s="884">
        <f t="shared" si="179"/>
        <v>0</v>
      </c>
      <c r="U402" s="884">
        <f>IF(AND($AU$43="Early Payoff",J402&gt;$U$15),0,IF($J402&lt;=$U$8,SUM($S$20:$S402),0))</f>
        <v>0</v>
      </c>
      <c r="V402" s="884">
        <f>IF(AND($AU$43="Early Payoff",J402&gt;$U$15),0,IF($J402&lt;=$U$8,SUM($T$20:$T402),0))</f>
        <v>0</v>
      </c>
      <c r="W402" s="885">
        <f t="shared" si="159"/>
        <v>0</v>
      </c>
      <c r="X402" s="1110">
        <f t="shared" si="160"/>
        <v>0</v>
      </c>
    </row>
    <row r="403" spans="1:52" ht="13.5" x14ac:dyDescent="0.25">
      <c r="B403" s="1108">
        <f>IF(C403&lt;'Financing Assumptions'!$G$25,0,IF(C403='Financing Assumptions'!$G$25,1,IF(C403&gt;'Financing Assumptions'!$G$25,B402+1)))</f>
        <v>384</v>
      </c>
      <c r="C403" s="1109">
        <f t="shared" si="161"/>
        <v>386</v>
      </c>
      <c r="D403" s="732">
        <f t="shared" si="146"/>
        <v>31</v>
      </c>
      <c r="E403" s="35">
        <f t="shared" si="147"/>
        <v>3</v>
      </c>
      <c r="F403" s="889">
        <f t="shared" si="180"/>
        <v>57800</v>
      </c>
      <c r="G403" s="822">
        <f t="shared" si="148"/>
        <v>3</v>
      </c>
      <c r="H403" s="126">
        <f t="shared" si="149"/>
        <v>0</v>
      </c>
      <c r="I403" s="1098">
        <f t="shared" si="167"/>
        <v>0</v>
      </c>
      <c r="J403" s="887">
        <f t="shared" si="162"/>
        <v>384</v>
      </c>
      <c r="K403" s="1099">
        <f t="shared" si="155"/>
        <v>358</v>
      </c>
      <c r="L403" s="891" t="str">
        <f t="shared" si="156"/>
        <v>March</v>
      </c>
      <c r="M403" s="888">
        <f t="shared" si="163"/>
        <v>2058</v>
      </c>
      <c r="N403" s="1284">
        <f t="shared" si="175"/>
        <v>0</v>
      </c>
      <c r="O403" s="1284">
        <f t="shared" si="164"/>
        <v>0</v>
      </c>
      <c r="P403" s="883">
        <f t="shared" si="176"/>
        <v>0</v>
      </c>
      <c r="Q403" s="883">
        <f t="shared" si="177"/>
        <v>0</v>
      </c>
      <c r="R403" s="1100"/>
      <c r="S403" s="883">
        <f t="shared" si="178"/>
        <v>0</v>
      </c>
      <c r="T403" s="884">
        <f t="shared" si="179"/>
        <v>0</v>
      </c>
      <c r="U403" s="884">
        <f>IF(AND($AU$43="Early Payoff",J403&gt;$U$15),0,IF($J403&lt;=$U$8,SUM($S$20:$S403),0))</f>
        <v>0</v>
      </c>
      <c r="V403" s="884">
        <f>IF(AND($AU$43="Early Payoff",J403&gt;$U$15),0,IF($J403&lt;=$U$8,SUM($T$20:$T403),0))</f>
        <v>0</v>
      </c>
      <c r="W403" s="885">
        <f t="shared" si="159"/>
        <v>0</v>
      </c>
      <c r="X403" s="1110">
        <f t="shared" si="160"/>
        <v>0</v>
      </c>
    </row>
    <row r="404" spans="1:52" ht="13.5" x14ac:dyDescent="0.25">
      <c r="B404" s="1108">
        <f>IF(C404&lt;'Financing Assumptions'!$G$25,0,IF(C404='Financing Assumptions'!$G$25,1,IF(C404&gt;'Financing Assumptions'!$G$25,B403+1)))</f>
        <v>385</v>
      </c>
      <c r="C404" s="1109">
        <f t="shared" si="161"/>
        <v>387</v>
      </c>
      <c r="D404" s="732">
        <f t="shared" ref="D404:D440" si="181">DAY(EOMONTH(DATE($M404,$E404,1),0))</f>
        <v>30</v>
      </c>
      <c r="E404" s="35">
        <f t="shared" ref="E404:E440" si="182">INDEX($AV$22:$AW$34,MATCH($L404,$AV$22:$AV$34,0),MATCH("Number",$AV$22:$AW$22,0))</f>
        <v>4</v>
      </c>
      <c r="F404" s="889">
        <f t="shared" si="180"/>
        <v>57830</v>
      </c>
      <c r="G404" s="822">
        <f t="shared" ref="G404:G440" si="183">INDEX($AV$22:$AW$34,MATCH($L404,$AV$22:$AV$34,0),MATCH("Number",$AV$22:$AW$22,0))</f>
        <v>4</v>
      </c>
      <c r="H404" s="126">
        <f t="shared" ref="H404:H440" si="184">IF($V$4="Monthly",INDEX($AV$36:$AW$48,MATCH($L404,$AV$36:$AV$48,0),MATCH("Number",$AV$36:$AW$36,0)),0)</f>
        <v>0</v>
      </c>
      <c r="I404" s="1098">
        <f t="shared" si="167"/>
        <v>0</v>
      </c>
      <c r="J404" s="887">
        <f t="shared" si="162"/>
        <v>385</v>
      </c>
      <c r="K404" s="1099">
        <f t="shared" si="155"/>
        <v>359</v>
      </c>
      <c r="L404" s="891" t="str">
        <f t="shared" si="156"/>
        <v>April</v>
      </c>
      <c r="M404" s="888">
        <f t="shared" si="163"/>
        <v>2058</v>
      </c>
      <c r="N404" s="1284">
        <f t="shared" si="175"/>
        <v>0</v>
      </c>
      <c r="O404" s="1284">
        <f t="shared" si="164"/>
        <v>0</v>
      </c>
      <c r="P404" s="883">
        <f t="shared" si="176"/>
        <v>0</v>
      </c>
      <c r="Q404" s="883">
        <f t="shared" si="177"/>
        <v>0</v>
      </c>
      <c r="R404" s="1100"/>
      <c r="S404" s="883">
        <f t="shared" si="178"/>
        <v>0</v>
      </c>
      <c r="T404" s="884">
        <f t="shared" si="179"/>
        <v>0</v>
      </c>
      <c r="U404" s="884">
        <f>IF(AND($AU$43="Early Payoff",J404&gt;$U$15),0,IF($J404&lt;=$U$8,SUM($S$20:$S404),0))</f>
        <v>0</v>
      </c>
      <c r="V404" s="884">
        <f>IF(AND($AU$43="Early Payoff",J404&gt;$U$15),0,IF($J404&lt;=$U$8,SUM($T$20:$T404),0))</f>
        <v>0</v>
      </c>
      <c r="W404" s="885">
        <f t="shared" si="159"/>
        <v>0</v>
      </c>
      <c r="X404" s="1110">
        <f t="shared" si="160"/>
        <v>0</v>
      </c>
    </row>
    <row r="405" spans="1:52" s="22" customFormat="1" ht="13.5" x14ac:dyDescent="0.25">
      <c r="A405" s="1"/>
      <c r="B405" s="1108">
        <f>IF(C405&lt;'Financing Assumptions'!$G$25,0,IF(C405='Financing Assumptions'!$G$25,1,IF(C405&gt;'Financing Assumptions'!$G$25,B404+1)))</f>
        <v>386</v>
      </c>
      <c r="C405" s="1109">
        <f t="shared" si="161"/>
        <v>388</v>
      </c>
      <c r="D405" s="732">
        <f t="shared" si="181"/>
        <v>31</v>
      </c>
      <c r="E405" s="35">
        <f t="shared" si="182"/>
        <v>5</v>
      </c>
      <c r="F405" s="889">
        <f t="shared" si="180"/>
        <v>57861</v>
      </c>
      <c r="G405" s="822">
        <f t="shared" si="183"/>
        <v>5</v>
      </c>
      <c r="H405" s="126">
        <f t="shared" si="184"/>
        <v>0</v>
      </c>
      <c r="I405" s="1098">
        <f t="shared" si="167"/>
        <v>0</v>
      </c>
      <c r="J405" s="887">
        <f t="shared" si="162"/>
        <v>386</v>
      </c>
      <c r="K405" s="1099">
        <f t="shared" ref="K405:K440" si="185">IF($J405&lt;=$AT$33,0,IF($J404&gt;=$AT$33,$K404+1))</f>
        <v>360</v>
      </c>
      <c r="L405" s="891" t="str">
        <f t="shared" ref="L405:L440" si="186">IF($V$4="Annual",$T$5,IF(AND($V$4="Bi-Annual",$G404&lt;MAX($T$4,$U$4)),INDEX($AW$22:$AX$34,MATCH(MAX($T$4,$U$4),$AW$22:$AW$34,0),MATCH("Month",$AW$22:$AX$22,0)),IF(AND($V$4="Bi-Annual",$G404=MAX($T$4,$U$4)),INDEX($AW$22:$AX$34,MATCH(MIN($T$4,$U$4),$AW$22:$AW$34,0),MATCH("Month",$AW$22:$AX$22,0)),IF(AND($V$4="Monthly",$G404&lt;12),INDEX($AW$22:$AX$34,MATCH($G404+1,$AW$22:$AW$34,0),MATCH("Month",$AW$22:$AX$22,0)),IF(AND($V$4="Monthly",$G404=12),INDEX($AW$22:$AX$34,MATCH($G404-11,$AW$22:$AW$34,0),MATCH("Month",$AW$22:$AX$22,0)))))))</f>
        <v>May</v>
      </c>
      <c r="M405" s="888">
        <f t="shared" si="163"/>
        <v>2058</v>
      </c>
      <c r="N405" s="1284">
        <f t="shared" si="175"/>
        <v>0</v>
      </c>
      <c r="O405" s="1284">
        <f t="shared" si="164"/>
        <v>0</v>
      </c>
      <c r="P405" s="883">
        <f t="shared" si="176"/>
        <v>0</v>
      </c>
      <c r="Q405" s="883">
        <f t="shared" si="177"/>
        <v>0</v>
      </c>
      <c r="R405" s="1100"/>
      <c r="S405" s="883">
        <f t="shared" si="178"/>
        <v>0</v>
      </c>
      <c r="T405" s="884">
        <f t="shared" si="179"/>
        <v>0</v>
      </c>
      <c r="U405" s="884">
        <f>IF(AND($AU$43="Early Payoff",J405&gt;$U$15),0,IF($J405&lt;=$U$8,SUM($S$20:$S405),0))</f>
        <v>0</v>
      </c>
      <c r="V405" s="884">
        <f>IF(AND($AU$43="Early Payoff",J405&gt;$U$15),0,IF($J405&lt;=$U$8,SUM($T$20:$T405),0))</f>
        <v>0</v>
      </c>
      <c r="W405" s="885">
        <f t="shared" ref="W405:W440" si="187">IF($K405&lt;=$U$15,SUM($P405,$S405),0)</f>
        <v>0</v>
      </c>
      <c r="X405" s="1110">
        <f t="shared" ref="X405:X440" si="188">IF($C405&lt;$L$11,$M$4,$P405)</f>
        <v>0</v>
      </c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</row>
    <row r="406" spans="1:52" s="22" customFormat="1" ht="13.5" x14ac:dyDescent="0.25">
      <c r="A406" s="1"/>
      <c r="B406" s="1108">
        <f>IF(C406&lt;'Financing Assumptions'!$G$25,0,IF(C406='Financing Assumptions'!$G$25,1,IF(C406&gt;'Financing Assumptions'!$G$25,B405+1)))</f>
        <v>387</v>
      </c>
      <c r="C406" s="1109">
        <f t="shared" ref="C406:C440" si="189">C405+1</f>
        <v>389</v>
      </c>
      <c r="D406" s="732">
        <f t="shared" si="181"/>
        <v>30</v>
      </c>
      <c r="E406" s="35">
        <f t="shared" si="182"/>
        <v>6</v>
      </c>
      <c r="F406" s="889">
        <f t="shared" si="180"/>
        <v>57891</v>
      </c>
      <c r="G406" s="822">
        <f t="shared" si="183"/>
        <v>6</v>
      </c>
      <c r="H406" s="126">
        <f t="shared" si="184"/>
        <v>0</v>
      </c>
      <c r="I406" s="1098">
        <f t="shared" si="167"/>
        <v>0</v>
      </c>
      <c r="J406" s="887">
        <f t="shared" ref="J406:J440" si="190">J405+1</f>
        <v>387</v>
      </c>
      <c r="K406" s="1099">
        <f t="shared" si="185"/>
        <v>361</v>
      </c>
      <c r="L406" s="891" t="str">
        <f t="shared" si="186"/>
        <v>June</v>
      </c>
      <c r="M406" s="888">
        <f t="shared" ref="M406:M440" si="191">IF($V$4="Annual",$M405+$I406,IF($V$4="Bi-Annual",$M405+$I405,IF($V$4="Monthly",$M405+$H405)))</f>
        <v>2058</v>
      </c>
      <c r="N406" s="1284">
        <f t="shared" si="175"/>
        <v>0</v>
      </c>
      <c r="O406" s="1284">
        <f t="shared" ref="O406:O440" si="192">IF($B406&lt;=$M$11,INDEX($AZ$26:$BM$63,MATCH($B406,$AZ$26:$AZ$63,0),MATCH($M$10,$AZ$26:$BM$26,0)),0)</f>
        <v>0</v>
      </c>
      <c r="P406" s="883">
        <f t="shared" si="176"/>
        <v>0</v>
      </c>
      <c r="Q406" s="883">
        <f t="shared" si="177"/>
        <v>0</v>
      </c>
      <c r="R406" s="1100"/>
      <c r="S406" s="883">
        <f t="shared" si="178"/>
        <v>0</v>
      </c>
      <c r="T406" s="884">
        <f t="shared" si="179"/>
        <v>0</v>
      </c>
      <c r="U406" s="884">
        <f>IF(AND($AU$43="Early Payoff",J406&gt;$U$15),0,IF($J406&lt;=$U$8,SUM($S$20:$S406),0))</f>
        <v>0</v>
      </c>
      <c r="V406" s="884">
        <f>IF(AND($AU$43="Early Payoff",J406&gt;$U$15),0,IF($J406&lt;=$U$8,SUM($T$20:$T406),0))</f>
        <v>0</v>
      </c>
      <c r="W406" s="885">
        <f t="shared" si="187"/>
        <v>0</v>
      </c>
      <c r="X406" s="1110">
        <f t="shared" si="188"/>
        <v>0</v>
      </c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</row>
    <row r="407" spans="1:52" s="22" customFormat="1" ht="13.5" x14ac:dyDescent="0.25">
      <c r="A407" s="1"/>
      <c r="B407" s="1108">
        <f>IF(C407&lt;'Financing Assumptions'!$G$25,0,IF(C407='Financing Assumptions'!$G$25,1,IF(C407&gt;'Financing Assumptions'!$G$25,B406+1)))</f>
        <v>388</v>
      </c>
      <c r="C407" s="1109">
        <f t="shared" si="189"/>
        <v>390</v>
      </c>
      <c r="D407" s="732">
        <f t="shared" si="181"/>
        <v>31</v>
      </c>
      <c r="E407" s="35">
        <f t="shared" si="182"/>
        <v>7</v>
      </c>
      <c r="F407" s="889">
        <f t="shared" si="180"/>
        <v>57922</v>
      </c>
      <c r="G407" s="822">
        <f t="shared" si="183"/>
        <v>7</v>
      </c>
      <c r="H407" s="126">
        <f t="shared" si="184"/>
        <v>0</v>
      </c>
      <c r="I407" s="1098">
        <f t="shared" ref="I407:I440" si="193">IF($V$4="Annual",1,IF(AND($V$4="Bi-Annual",$G407&gt;$G408),1,IF(AND($V$4="Bi-Annual",$G407&lt;$G408),0,IF($V$4="Monthly",0,))))</f>
        <v>0</v>
      </c>
      <c r="J407" s="887">
        <f t="shared" si="190"/>
        <v>388</v>
      </c>
      <c r="K407" s="1099">
        <f t="shared" si="185"/>
        <v>362</v>
      </c>
      <c r="L407" s="891" t="str">
        <f t="shared" si="186"/>
        <v>July</v>
      </c>
      <c r="M407" s="888">
        <f t="shared" si="191"/>
        <v>2058</v>
      </c>
      <c r="N407" s="1284">
        <f t="shared" si="175"/>
        <v>0</v>
      </c>
      <c r="O407" s="1284">
        <f t="shared" si="192"/>
        <v>0</v>
      </c>
      <c r="P407" s="883">
        <f t="shared" si="176"/>
        <v>0</v>
      </c>
      <c r="Q407" s="883">
        <f t="shared" si="177"/>
        <v>0</v>
      </c>
      <c r="R407" s="1100"/>
      <c r="S407" s="883">
        <f t="shared" si="178"/>
        <v>0</v>
      </c>
      <c r="T407" s="884">
        <f t="shared" si="179"/>
        <v>0</v>
      </c>
      <c r="U407" s="884">
        <f>IF(AND($AU$43="Early Payoff",J407&gt;$U$15),0,IF($J407&lt;=$U$8,SUM($S$20:$S407),0))</f>
        <v>0</v>
      </c>
      <c r="V407" s="884">
        <f>IF(AND($AU$43="Early Payoff",J407&gt;$U$15),0,IF($J407&lt;=$U$8,SUM($T$20:$T407),0))</f>
        <v>0</v>
      </c>
      <c r="W407" s="885">
        <f t="shared" si="187"/>
        <v>0</v>
      </c>
      <c r="X407" s="1110">
        <f t="shared" si="188"/>
        <v>0</v>
      </c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</row>
    <row r="408" spans="1:52" s="22" customFormat="1" ht="13.5" x14ac:dyDescent="0.25">
      <c r="A408" s="1"/>
      <c r="B408" s="1108">
        <f>IF(C408&lt;'Financing Assumptions'!$G$25,0,IF(C408='Financing Assumptions'!$G$25,1,IF(C408&gt;'Financing Assumptions'!$G$25,B407+1)))</f>
        <v>389</v>
      </c>
      <c r="C408" s="1109">
        <f t="shared" si="189"/>
        <v>391</v>
      </c>
      <c r="D408" s="732">
        <f t="shared" si="181"/>
        <v>31</v>
      </c>
      <c r="E408" s="35">
        <f t="shared" si="182"/>
        <v>8</v>
      </c>
      <c r="F408" s="889">
        <f t="shared" si="180"/>
        <v>57953</v>
      </c>
      <c r="G408" s="822">
        <f t="shared" si="183"/>
        <v>8</v>
      </c>
      <c r="H408" s="126">
        <f t="shared" si="184"/>
        <v>0</v>
      </c>
      <c r="I408" s="1098">
        <f t="shared" si="193"/>
        <v>0</v>
      </c>
      <c r="J408" s="887">
        <f t="shared" si="190"/>
        <v>389</v>
      </c>
      <c r="K408" s="1099">
        <f t="shared" si="185"/>
        <v>363</v>
      </c>
      <c r="L408" s="891" t="str">
        <f t="shared" si="186"/>
        <v>August</v>
      </c>
      <c r="M408" s="888">
        <f t="shared" si="191"/>
        <v>2058</v>
      </c>
      <c r="N408" s="1284">
        <f t="shared" si="175"/>
        <v>0</v>
      </c>
      <c r="O408" s="1284">
        <f t="shared" si="192"/>
        <v>0</v>
      </c>
      <c r="P408" s="883">
        <f t="shared" si="176"/>
        <v>0</v>
      </c>
      <c r="Q408" s="883">
        <f t="shared" si="177"/>
        <v>0</v>
      </c>
      <c r="R408" s="1100"/>
      <c r="S408" s="883">
        <f t="shared" si="178"/>
        <v>0</v>
      </c>
      <c r="T408" s="884">
        <f t="shared" si="179"/>
        <v>0</v>
      </c>
      <c r="U408" s="884">
        <f>IF(AND($AU$43="Early Payoff",J408&gt;$U$15),0,IF($J408&lt;=$U$8,SUM($S$20:$S408),0))</f>
        <v>0</v>
      </c>
      <c r="V408" s="884">
        <f>IF(AND($AU$43="Early Payoff",J408&gt;$U$15),0,IF($J408&lt;=$U$8,SUM($T$20:$T408),0))</f>
        <v>0</v>
      </c>
      <c r="W408" s="885">
        <f t="shared" si="187"/>
        <v>0</v>
      </c>
      <c r="X408" s="1110">
        <f t="shared" si="188"/>
        <v>0</v>
      </c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</row>
    <row r="409" spans="1:52" s="22" customFormat="1" ht="13.5" x14ac:dyDescent="0.25">
      <c r="A409" s="1"/>
      <c r="B409" s="1108">
        <f>IF(C409&lt;'Financing Assumptions'!$G$25,0,IF(C409='Financing Assumptions'!$G$25,1,IF(C409&gt;'Financing Assumptions'!$G$25,B408+1)))</f>
        <v>390</v>
      </c>
      <c r="C409" s="1109">
        <f t="shared" si="189"/>
        <v>392</v>
      </c>
      <c r="D409" s="732">
        <f t="shared" si="181"/>
        <v>30</v>
      </c>
      <c r="E409" s="35">
        <f t="shared" si="182"/>
        <v>9</v>
      </c>
      <c r="F409" s="889">
        <f t="shared" si="180"/>
        <v>57983</v>
      </c>
      <c r="G409" s="822">
        <f t="shared" si="183"/>
        <v>9</v>
      </c>
      <c r="H409" s="126">
        <f t="shared" si="184"/>
        <v>0</v>
      </c>
      <c r="I409" s="1098">
        <f t="shared" si="193"/>
        <v>0</v>
      </c>
      <c r="J409" s="887">
        <f t="shared" si="190"/>
        <v>390</v>
      </c>
      <c r="K409" s="1099">
        <f t="shared" si="185"/>
        <v>364</v>
      </c>
      <c r="L409" s="891" t="str">
        <f t="shared" si="186"/>
        <v>September</v>
      </c>
      <c r="M409" s="888">
        <f t="shared" si="191"/>
        <v>2058</v>
      </c>
      <c r="N409" s="1284">
        <f t="shared" si="175"/>
        <v>0</v>
      </c>
      <c r="O409" s="1284">
        <f t="shared" si="192"/>
        <v>0</v>
      </c>
      <c r="P409" s="883">
        <f t="shared" si="176"/>
        <v>0</v>
      </c>
      <c r="Q409" s="883">
        <f t="shared" si="177"/>
        <v>0</v>
      </c>
      <c r="R409" s="1100"/>
      <c r="S409" s="883">
        <f t="shared" si="178"/>
        <v>0</v>
      </c>
      <c r="T409" s="884">
        <f t="shared" si="179"/>
        <v>0</v>
      </c>
      <c r="U409" s="884">
        <f>IF(AND($AU$43="Early Payoff",J409&gt;$U$15),0,IF($J409&lt;=$U$8,SUM($S$20:$S409),0))</f>
        <v>0</v>
      </c>
      <c r="V409" s="884">
        <f>IF(AND($AU$43="Early Payoff",J409&gt;$U$15),0,IF($J409&lt;=$U$8,SUM($T$20:$T409),0))</f>
        <v>0</v>
      </c>
      <c r="W409" s="885">
        <f t="shared" si="187"/>
        <v>0</v>
      </c>
      <c r="X409" s="1110">
        <f t="shared" si="188"/>
        <v>0</v>
      </c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</row>
    <row r="410" spans="1:52" s="22" customFormat="1" ht="13.5" x14ac:dyDescent="0.25">
      <c r="A410" s="1"/>
      <c r="B410" s="1108">
        <f>IF(C410&lt;'Financing Assumptions'!$G$25,0,IF(C410='Financing Assumptions'!$G$25,1,IF(C410&gt;'Financing Assumptions'!$G$25,B409+1)))</f>
        <v>391</v>
      </c>
      <c r="C410" s="1109">
        <f t="shared" si="189"/>
        <v>393</v>
      </c>
      <c r="D410" s="732">
        <f t="shared" si="181"/>
        <v>31</v>
      </c>
      <c r="E410" s="35">
        <f t="shared" si="182"/>
        <v>10</v>
      </c>
      <c r="F410" s="889">
        <f t="shared" si="180"/>
        <v>58014</v>
      </c>
      <c r="G410" s="822">
        <f t="shared" si="183"/>
        <v>10</v>
      </c>
      <c r="H410" s="126">
        <f t="shared" si="184"/>
        <v>0</v>
      </c>
      <c r="I410" s="1098">
        <f t="shared" si="193"/>
        <v>0</v>
      </c>
      <c r="J410" s="887">
        <f t="shared" si="190"/>
        <v>391</v>
      </c>
      <c r="K410" s="1099">
        <f t="shared" si="185"/>
        <v>365</v>
      </c>
      <c r="L410" s="891" t="str">
        <f t="shared" si="186"/>
        <v>October</v>
      </c>
      <c r="M410" s="888">
        <f t="shared" si="191"/>
        <v>2058</v>
      </c>
      <c r="N410" s="1284">
        <f t="shared" si="175"/>
        <v>0</v>
      </c>
      <c r="O410" s="1284">
        <f t="shared" si="192"/>
        <v>0</v>
      </c>
      <c r="P410" s="883">
        <f t="shared" si="176"/>
        <v>0</v>
      </c>
      <c r="Q410" s="883">
        <f t="shared" si="177"/>
        <v>0</v>
      </c>
      <c r="R410" s="1100"/>
      <c r="S410" s="883">
        <f t="shared" si="178"/>
        <v>0</v>
      </c>
      <c r="T410" s="884">
        <f t="shared" si="179"/>
        <v>0</v>
      </c>
      <c r="U410" s="884">
        <f>IF(AND($AU$43="Early Payoff",J410&gt;$U$15),0,IF($J410&lt;=$U$8,SUM($S$20:$S410),0))</f>
        <v>0</v>
      </c>
      <c r="V410" s="884">
        <f>IF(AND($AU$43="Early Payoff",J410&gt;$U$15),0,IF($J410&lt;=$U$8,SUM($T$20:$T410),0))</f>
        <v>0</v>
      </c>
      <c r="W410" s="885">
        <f t="shared" si="187"/>
        <v>0</v>
      </c>
      <c r="X410" s="1110">
        <f t="shared" si="188"/>
        <v>0</v>
      </c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</row>
    <row r="411" spans="1:52" s="22" customFormat="1" ht="13.5" x14ac:dyDescent="0.25">
      <c r="A411" s="1"/>
      <c r="B411" s="1108">
        <f>IF(C411&lt;'Financing Assumptions'!$G$25,0,IF(C411='Financing Assumptions'!$G$25,1,IF(C411&gt;'Financing Assumptions'!$G$25,B410+1)))</f>
        <v>392</v>
      </c>
      <c r="C411" s="1109">
        <f t="shared" si="189"/>
        <v>394</v>
      </c>
      <c r="D411" s="732">
        <f t="shared" si="181"/>
        <v>30</v>
      </c>
      <c r="E411" s="35">
        <f t="shared" si="182"/>
        <v>11</v>
      </c>
      <c r="F411" s="889">
        <f t="shared" si="180"/>
        <v>58044</v>
      </c>
      <c r="G411" s="822">
        <f t="shared" si="183"/>
        <v>11</v>
      </c>
      <c r="H411" s="126">
        <f t="shared" si="184"/>
        <v>0</v>
      </c>
      <c r="I411" s="1098">
        <f t="shared" si="193"/>
        <v>0</v>
      </c>
      <c r="J411" s="887">
        <f t="shared" si="190"/>
        <v>392</v>
      </c>
      <c r="K411" s="1099">
        <f t="shared" si="185"/>
        <v>366</v>
      </c>
      <c r="L411" s="891" t="str">
        <f t="shared" si="186"/>
        <v>November</v>
      </c>
      <c r="M411" s="888">
        <f t="shared" si="191"/>
        <v>2058</v>
      </c>
      <c r="N411" s="1284">
        <f t="shared" si="175"/>
        <v>0</v>
      </c>
      <c r="O411" s="1284">
        <f t="shared" si="192"/>
        <v>0</v>
      </c>
      <c r="P411" s="883">
        <f t="shared" si="176"/>
        <v>0</v>
      </c>
      <c r="Q411" s="883">
        <f t="shared" si="177"/>
        <v>0</v>
      </c>
      <c r="R411" s="1100"/>
      <c r="S411" s="883">
        <f t="shared" si="178"/>
        <v>0</v>
      </c>
      <c r="T411" s="884">
        <f t="shared" si="179"/>
        <v>0</v>
      </c>
      <c r="U411" s="884">
        <f>IF(AND($AU$43="Early Payoff",J411&gt;$U$15),0,IF($J411&lt;=$U$8,SUM($S$20:$S411),0))</f>
        <v>0</v>
      </c>
      <c r="V411" s="884">
        <f>IF(AND($AU$43="Early Payoff",J411&gt;$U$15),0,IF($J411&lt;=$U$8,SUM($T$20:$T411),0))</f>
        <v>0</v>
      </c>
      <c r="W411" s="885">
        <f t="shared" si="187"/>
        <v>0</v>
      </c>
      <c r="X411" s="1110">
        <f t="shared" si="188"/>
        <v>0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</row>
    <row r="412" spans="1:52" s="22" customFormat="1" ht="13.5" x14ac:dyDescent="0.25">
      <c r="A412" s="1"/>
      <c r="B412" s="1108">
        <f>IF(C412&lt;'Financing Assumptions'!$G$25,0,IF(C412='Financing Assumptions'!$G$25,1,IF(C412&gt;'Financing Assumptions'!$G$25,B411+1)))</f>
        <v>393</v>
      </c>
      <c r="C412" s="1109">
        <f t="shared" si="189"/>
        <v>395</v>
      </c>
      <c r="D412" s="732">
        <f t="shared" si="181"/>
        <v>31</v>
      </c>
      <c r="E412" s="35">
        <f t="shared" si="182"/>
        <v>12</v>
      </c>
      <c r="F412" s="889">
        <f t="shared" si="180"/>
        <v>58075</v>
      </c>
      <c r="G412" s="822">
        <f t="shared" si="183"/>
        <v>12</v>
      </c>
      <c r="H412" s="126">
        <f t="shared" si="184"/>
        <v>1</v>
      </c>
      <c r="I412" s="1098">
        <f t="shared" si="193"/>
        <v>0</v>
      </c>
      <c r="J412" s="887">
        <f t="shared" si="190"/>
        <v>393</v>
      </c>
      <c r="K412" s="1099">
        <f t="shared" si="185"/>
        <v>367</v>
      </c>
      <c r="L412" s="891" t="str">
        <f t="shared" si="186"/>
        <v>December</v>
      </c>
      <c r="M412" s="888">
        <f t="shared" si="191"/>
        <v>2058</v>
      </c>
      <c r="N412" s="1284">
        <f t="shared" si="175"/>
        <v>0</v>
      </c>
      <c r="O412" s="1284">
        <f t="shared" si="192"/>
        <v>0</v>
      </c>
      <c r="P412" s="883">
        <f t="shared" si="176"/>
        <v>0</v>
      </c>
      <c r="Q412" s="883">
        <f t="shared" si="177"/>
        <v>0</v>
      </c>
      <c r="R412" s="1100"/>
      <c r="S412" s="883">
        <f t="shared" si="178"/>
        <v>0</v>
      </c>
      <c r="T412" s="884">
        <f t="shared" si="179"/>
        <v>0</v>
      </c>
      <c r="U412" s="884">
        <f>IF(AND($AU$43="Early Payoff",J412&gt;$U$15),0,IF($J412&lt;=$U$8,SUM($S$20:$S412),0))</f>
        <v>0</v>
      </c>
      <c r="V412" s="884">
        <f>IF(AND($AU$43="Early Payoff",J412&gt;$U$15),0,IF($J412&lt;=$U$8,SUM($T$20:$T412),0))</f>
        <v>0</v>
      </c>
      <c r="W412" s="885">
        <f t="shared" si="187"/>
        <v>0</v>
      </c>
      <c r="X412" s="1110">
        <f t="shared" si="188"/>
        <v>0</v>
      </c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</row>
    <row r="413" spans="1:52" s="22" customFormat="1" ht="13.5" x14ac:dyDescent="0.25">
      <c r="A413" s="1"/>
      <c r="B413" s="1108">
        <f>IF(C413&lt;'Financing Assumptions'!$G$25,0,IF(C413='Financing Assumptions'!$G$25,1,IF(C413&gt;'Financing Assumptions'!$G$25,B412+1)))</f>
        <v>394</v>
      </c>
      <c r="C413" s="1109">
        <f t="shared" si="189"/>
        <v>396</v>
      </c>
      <c r="D413" s="732">
        <f t="shared" si="181"/>
        <v>31</v>
      </c>
      <c r="E413" s="35">
        <f t="shared" si="182"/>
        <v>1</v>
      </c>
      <c r="F413" s="889">
        <f t="shared" si="180"/>
        <v>58106</v>
      </c>
      <c r="G413" s="822">
        <f t="shared" si="183"/>
        <v>1</v>
      </c>
      <c r="H413" s="126">
        <f t="shared" si="184"/>
        <v>0</v>
      </c>
      <c r="I413" s="1098">
        <f t="shared" si="193"/>
        <v>0</v>
      </c>
      <c r="J413" s="887">
        <f t="shared" si="190"/>
        <v>394</v>
      </c>
      <c r="K413" s="1099">
        <f t="shared" si="185"/>
        <v>368</v>
      </c>
      <c r="L413" s="891" t="str">
        <f t="shared" si="186"/>
        <v>January</v>
      </c>
      <c r="M413" s="888">
        <f t="shared" si="191"/>
        <v>2059</v>
      </c>
      <c r="N413" s="1284">
        <f t="shared" si="175"/>
        <v>0</v>
      </c>
      <c r="O413" s="1284">
        <f t="shared" si="192"/>
        <v>0</v>
      </c>
      <c r="P413" s="883">
        <f t="shared" si="176"/>
        <v>0</v>
      </c>
      <c r="Q413" s="883">
        <f t="shared" si="177"/>
        <v>0</v>
      </c>
      <c r="R413" s="1100"/>
      <c r="S413" s="883">
        <f t="shared" si="178"/>
        <v>0</v>
      </c>
      <c r="T413" s="884">
        <f t="shared" si="179"/>
        <v>0</v>
      </c>
      <c r="U413" s="884">
        <f>IF(AND($AU$43="Early Payoff",J413&gt;$U$15),0,IF($J413&lt;=$U$8,SUM($S$20:$S413),0))</f>
        <v>0</v>
      </c>
      <c r="V413" s="884">
        <f>IF(AND($AU$43="Early Payoff",J413&gt;$U$15),0,IF($J413&lt;=$U$8,SUM($T$20:$T413),0))</f>
        <v>0</v>
      </c>
      <c r="W413" s="885">
        <f t="shared" si="187"/>
        <v>0</v>
      </c>
      <c r="X413" s="1110">
        <f t="shared" si="188"/>
        <v>0</v>
      </c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</row>
    <row r="414" spans="1:52" s="22" customFormat="1" ht="13.5" x14ac:dyDescent="0.25">
      <c r="A414" s="1"/>
      <c r="B414" s="1108">
        <f>IF(C414&lt;'Financing Assumptions'!$G$25,0,IF(C414='Financing Assumptions'!$G$25,1,IF(C414&gt;'Financing Assumptions'!$G$25,B413+1)))</f>
        <v>395</v>
      </c>
      <c r="C414" s="1109">
        <f t="shared" si="189"/>
        <v>397</v>
      </c>
      <c r="D414" s="732">
        <f t="shared" si="181"/>
        <v>28</v>
      </c>
      <c r="E414" s="35">
        <f t="shared" si="182"/>
        <v>2</v>
      </c>
      <c r="F414" s="889">
        <f t="shared" si="180"/>
        <v>58134</v>
      </c>
      <c r="G414" s="822">
        <f t="shared" si="183"/>
        <v>2</v>
      </c>
      <c r="H414" s="126">
        <f t="shared" si="184"/>
        <v>0</v>
      </c>
      <c r="I414" s="1098">
        <f t="shared" si="193"/>
        <v>0</v>
      </c>
      <c r="J414" s="887">
        <f t="shared" si="190"/>
        <v>395</v>
      </c>
      <c r="K414" s="1099">
        <f t="shared" si="185"/>
        <v>369</v>
      </c>
      <c r="L414" s="891" t="str">
        <f t="shared" si="186"/>
        <v>February</v>
      </c>
      <c r="M414" s="888">
        <f t="shared" si="191"/>
        <v>2059</v>
      </c>
      <c r="N414" s="1284">
        <f t="shared" si="175"/>
        <v>0</v>
      </c>
      <c r="O414" s="1284">
        <f t="shared" si="192"/>
        <v>0</v>
      </c>
      <c r="P414" s="883">
        <f t="shared" si="176"/>
        <v>0</v>
      </c>
      <c r="Q414" s="883">
        <f t="shared" si="177"/>
        <v>0</v>
      </c>
      <c r="R414" s="1100"/>
      <c r="S414" s="883">
        <f t="shared" si="178"/>
        <v>0</v>
      </c>
      <c r="T414" s="884">
        <f t="shared" si="179"/>
        <v>0</v>
      </c>
      <c r="U414" s="884">
        <f>IF(AND($AU$43="Early Payoff",J414&gt;$U$15),0,IF($J414&lt;=$U$8,SUM($S$20:$S414),0))</f>
        <v>0</v>
      </c>
      <c r="V414" s="884">
        <f>IF(AND($AU$43="Early Payoff",J414&gt;$U$15),0,IF($J414&lt;=$U$8,SUM($T$20:$T414),0))</f>
        <v>0</v>
      </c>
      <c r="W414" s="885">
        <f t="shared" si="187"/>
        <v>0</v>
      </c>
      <c r="X414" s="1110">
        <f t="shared" si="188"/>
        <v>0</v>
      </c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</row>
    <row r="415" spans="1:52" s="22" customFormat="1" ht="13.5" x14ac:dyDescent="0.25">
      <c r="A415" s="1"/>
      <c r="B415" s="1108">
        <f>IF(C415&lt;'Financing Assumptions'!$G$25,0,IF(C415='Financing Assumptions'!$G$25,1,IF(C415&gt;'Financing Assumptions'!$G$25,B414+1)))</f>
        <v>396</v>
      </c>
      <c r="C415" s="1109">
        <f t="shared" si="189"/>
        <v>398</v>
      </c>
      <c r="D415" s="732">
        <f t="shared" si="181"/>
        <v>31</v>
      </c>
      <c r="E415" s="35">
        <f t="shared" si="182"/>
        <v>3</v>
      </c>
      <c r="F415" s="889">
        <f t="shared" si="180"/>
        <v>58165</v>
      </c>
      <c r="G415" s="822">
        <f t="shared" si="183"/>
        <v>3</v>
      </c>
      <c r="H415" s="126">
        <f t="shared" si="184"/>
        <v>0</v>
      </c>
      <c r="I415" s="1098">
        <f t="shared" si="193"/>
        <v>0</v>
      </c>
      <c r="J415" s="887">
        <f t="shared" si="190"/>
        <v>396</v>
      </c>
      <c r="K415" s="1099">
        <f t="shared" si="185"/>
        <v>370</v>
      </c>
      <c r="L415" s="891" t="str">
        <f t="shared" si="186"/>
        <v>March</v>
      </c>
      <c r="M415" s="888">
        <f t="shared" si="191"/>
        <v>2059</v>
      </c>
      <c r="N415" s="1284">
        <f t="shared" si="175"/>
        <v>0</v>
      </c>
      <c r="O415" s="1284">
        <f t="shared" si="192"/>
        <v>0</v>
      </c>
      <c r="P415" s="883">
        <f t="shared" si="176"/>
        <v>0</v>
      </c>
      <c r="Q415" s="883">
        <f t="shared" si="177"/>
        <v>0</v>
      </c>
      <c r="R415" s="1100"/>
      <c r="S415" s="883">
        <f t="shared" si="178"/>
        <v>0</v>
      </c>
      <c r="T415" s="884">
        <f t="shared" si="179"/>
        <v>0</v>
      </c>
      <c r="U415" s="884">
        <f>IF(AND($AU$43="Early Payoff",J415&gt;$U$15),0,IF($J415&lt;=$U$8,SUM($S$20:$S415),0))</f>
        <v>0</v>
      </c>
      <c r="V415" s="884">
        <f>IF(AND($AU$43="Early Payoff",J415&gt;$U$15),0,IF($J415&lt;=$U$8,SUM($T$20:$T415),0))</f>
        <v>0</v>
      </c>
      <c r="W415" s="885">
        <f t="shared" si="187"/>
        <v>0</v>
      </c>
      <c r="X415" s="1110">
        <f t="shared" si="188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</row>
    <row r="416" spans="1:52" s="22" customFormat="1" ht="13.5" x14ac:dyDescent="0.25">
      <c r="A416" s="1"/>
      <c r="B416" s="1108">
        <f>IF(C416&lt;'Financing Assumptions'!$G$25,0,IF(C416='Financing Assumptions'!$G$25,1,IF(C416&gt;'Financing Assumptions'!$G$25,B415+1)))</f>
        <v>397</v>
      </c>
      <c r="C416" s="1109">
        <f t="shared" si="189"/>
        <v>399</v>
      </c>
      <c r="D416" s="732">
        <f t="shared" si="181"/>
        <v>30</v>
      </c>
      <c r="E416" s="35">
        <f t="shared" si="182"/>
        <v>4</v>
      </c>
      <c r="F416" s="889">
        <f t="shared" si="180"/>
        <v>58195</v>
      </c>
      <c r="G416" s="822">
        <f t="shared" si="183"/>
        <v>4</v>
      </c>
      <c r="H416" s="126">
        <f t="shared" si="184"/>
        <v>0</v>
      </c>
      <c r="I416" s="1098">
        <f t="shared" si="193"/>
        <v>0</v>
      </c>
      <c r="J416" s="887">
        <f t="shared" si="190"/>
        <v>397</v>
      </c>
      <c r="K416" s="1099">
        <f t="shared" si="185"/>
        <v>371</v>
      </c>
      <c r="L416" s="891" t="str">
        <f t="shared" si="186"/>
        <v>April</v>
      </c>
      <c r="M416" s="888">
        <f t="shared" si="191"/>
        <v>2059</v>
      </c>
      <c r="N416" s="1284">
        <f t="shared" si="175"/>
        <v>0</v>
      </c>
      <c r="O416" s="1284">
        <f t="shared" si="192"/>
        <v>0</v>
      </c>
      <c r="P416" s="883">
        <f t="shared" si="176"/>
        <v>0</v>
      </c>
      <c r="Q416" s="883">
        <f t="shared" si="177"/>
        <v>0</v>
      </c>
      <c r="R416" s="1100"/>
      <c r="S416" s="883">
        <f t="shared" si="178"/>
        <v>0</v>
      </c>
      <c r="T416" s="884">
        <f t="shared" si="179"/>
        <v>0</v>
      </c>
      <c r="U416" s="884">
        <f>IF(AND($AU$43="Early Payoff",J416&gt;$U$15),0,IF($J416&lt;=$U$8,SUM($S$20:$S416),0))</f>
        <v>0</v>
      </c>
      <c r="V416" s="884">
        <f>IF(AND($AU$43="Early Payoff",J416&gt;$U$15),0,IF($J416&lt;=$U$8,SUM($T$20:$T416),0))</f>
        <v>0</v>
      </c>
      <c r="W416" s="885">
        <f t="shared" si="187"/>
        <v>0</v>
      </c>
      <c r="X416" s="1110">
        <f t="shared" si="188"/>
        <v>0</v>
      </c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</row>
    <row r="417" spans="1:52" s="22" customFormat="1" ht="13.5" x14ac:dyDescent="0.25">
      <c r="A417" s="1"/>
      <c r="B417" s="1108">
        <f>IF(C417&lt;'Financing Assumptions'!$G$25,0,IF(C417='Financing Assumptions'!$G$25,1,IF(C417&gt;'Financing Assumptions'!$G$25,B416+1)))</f>
        <v>398</v>
      </c>
      <c r="C417" s="1109">
        <f t="shared" si="189"/>
        <v>400</v>
      </c>
      <c r="D417" s="732">
        <f t="shared" si="181"/>
        <v>31</v>
      </c>
      <c r="E417" s="35">
        <f t="shared" si="182"/>
        <v>5</v>
      </c>
      <c r="F417" s="889">
        <f t="shared" si="180"/>
        <v>58226</v>
      </c>
      <c r="G417" s="822">
        <f t="shared" si="183"/>
        <v>5</v>
      </c>
      <c r="H417" s="126">
        <f t="shared" si="184"/>
        <v>0</v>
      </c>
      <c r="I417" s="1098">
        <f t="shared" si="193"/>
        <v>0</v>
      </c>
      <c r="J417" s="887">
        <f t="shared" si="190"/>
        <v>398</v>
      </c>
      <c r="K417" s="1099">
        <f t="shared" si="185"/>
        <v>372</v>
      </c>
      <c r="L417" s="891" t="str">
        <f t="shared" si="186"/>
        <v>May</v>
      </c>
      <c r="M417" s="888">
        <f t="shared" si="191"/>
        <v>2059</v>
      </c>
      <c r="N417" s="1284">
        <f t="shared" si="175"/>
        <v>0</v>
      </c>
      <c r="O417" s="1284">
        <f t="shared" si="192"/>
        <v>0</v>
      </c>
      <c r="P417" s="883">
        <f t="shared" si="176"/>
        <v>0</v>
      </c>
      <c r="Q417" s="883">
        <f t="shared" si="177"/>
        <v>0</v>
      </c>
      <c r="R417" s="1100"/>
      <c r="S417" s="883">
        <f t="shared" si="178"/>
        <v>0</v>
      </c>
      <c r="T417" s="884">
        <f t="shared" si="179"/>
        <v>0</v>
      </c>
      <c r="U417" s="884">
        <f>IF(AND($AU$43="Early Payoff",J417&gt;$U$15),0,IF($J417&lt;=$U$8,SUM($S$20:$S417),0))</f>
        <v>0</v>
      </c>
      <c r="V417" s="884">
        <f>IF(AND($AU$43="Early Payoff",J417&gt;$U$15),0,IF($J417&lt;=$U$8,SUM($T$20:$T417),0))</f>
        <v>0</v>
      </c>
      <c r="W417" s="885">
        <f t="shared" si="187"/>
        <v>0</v>
      </c>
      <c r="X417" s="1110">
        <f t="shared" si="188"/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</row>
    <row r="418" spans="1:52" ht="13.5" x14ac:dyDescent="0.25">
      <c r="B418" s="1108">
        <f>IF(C418&lt;'Financing Assumptions'!$G$25,0,IF(C418='Financing Assumptions'!$G$25,1,IF(C418&gt;'Financing Assumptions'!$G$25,B417+1)))</f>
        <v>399</v>
      </c>
      <c r="C418" s="1109">
        <f t="shared" si="189"/>
        <v>401</v>
      </c>
      <c r="D418" s="732">
        <f t="shared" si="181"/>
        <v>30</v>
      </c>
      <c r="E418" s="35">
        <f t="shared" si="182"/>
        <v>6</v>
      </c>
      <c r="F418" s="889">
        <f t="shared" si="180"/>
        <v>58256</v>
      </c>
      <c r="G418" s="822">
        <f t="shared" si="183"/>
        <v>6</v>
      </c>
      <c r="H418" s="126">
        <f t="shared" si="184"/>
        <v>0</v>
      </c>
      <c r="I418" s="1098">
        <f t="shared" si="193"/>
        <v>0</v>
      </c>
      <c r="J418" s="887">
        <f t="shared" si="190"/>
        <v>399</v>
      </c>
      <c r="K418" s="1099">
        <f t="shared" si="185"/>
        <v>373</v>
      </c>
      <c r="L418" s="891" t="str">
        <f t="shared" si="186"/>
        <v>June</v>
      </c>
      <c r="M418" s="888">
        <f t="shared" si="191"/>
        <v>2059</v>
      </c>
      <c r="N418" s="1284">
        <f t="shared" si="175"/>
        <v>0</v>
      </c>
      <c r="O418" s="1284">
        <f t="shared" si="192"/>
        <v>0</v>
      </c>
      <c r="P418" s="883">
        <f t="shared" si="176"/>
        <v>0</v>
      </c>
      <c r="Q418" s="883">
        <f t="shared" si="177"/>
        <v>0</v>
      </c>
      <c r="R418" s="1100"/>
      <c r="S418" s="883">
        <f t="shared" si="178"/>
        <v>0</v>
      </c>
      <c r="T418" s="884">
        <f t="shared" si="179"/>
        <v>0</v>
      </c>
      <c r="U418" s="884">
        <f>IF(AND($AU$43="Early Payoff",J418&gt;$U$15),0,IF($J418&lt;=$U$8,SUM($S$20:$S418),0))</f>
        <v>0</v>
      </c>
      <c r="V418" s="884">
        <f>IF(AND($AU$43="Early Payoff",J418&gt;$U$15),0,IF($J418&lt;=$U$8,SUM($T$20:$T418),0))</f>
        <v>0</v>
      </c>
      <c r="W418" s="885">
        <f t="shared" si="187"/>
        <v>0</v>
      </c>
      <c r="X418" s="1110">
        <f t="shared" si="188"/>
        <v>0</v>
      </c>
    </row>
    <row r="419" spans="1:52" ht="13.5" x14ac:dyDescent="0.25">
      <c r="B419" s="1108">
        <f>IF(C419&lt;'Financing Assumptions'!$G$25,0,IF(C419='Financing Assumptions'!$G$25,1,IF(C419&gt;'Financing Assumptions'!$G$25,B418+1)))</f>
        <v>400</v>
      </c>
      <c r="C419" s="1109">
        <f t="shared" si="189"/>
        <v>402</v>
      </c>
      <c r="D419" s="732">
        <f t="shared" si="181"/>
        <v>31</v>
      </c>
      <c r="E419" s="35">
        <f t="shared" si="182"/>
        <v>7</v>
      </c>
      <c r="F419" s="889">
        <f t="shared" si="180"/>
        <v>58287</v>
      </c>
      <c r="G419" s="822">
        <f t="shared" si="183"/>
        <v>7</v>
      </c>
      <c r="H419" s="126">
        <f t="shared" si="184"/>
        <v>0</v>
      </c>
      <c r="I419" s="1098">
        <f t="shared" si="193"/>
        <v>0</v>
      </c>
      <c r="J419" s="887">
        <f t="shared" si="190"/>
        <v>400</v>
      </c>
      <c r="K419" s="1099">
        <f t="shared" si="185"/>
        <v>374</v>
      </c>
      <c r="L419" s="891" t="str">
        <f t="shared" si="186"/>
        <v>July</v>
      </c>
      <c r="M419" s="888">
        <f t="shared" si="191"/>
        <v>2059</v>
      </c>
      <c r="N419" s="1284">
        <f t="shared" si="175"/>
        <v>0</v>
      </c>
      <c r="O419" s="1284">
        <f t="shared" si="192"/>
        <v>0</v>
      </c>
      <c r="P419" s="883">
        <f t="shared" si="176"/>
        <v>0</v>
      </c>
      <c r="Q419" s="883">
        <f t="shared" si="177"/>
        <v>0</v>
      </c>
      <c r="R419" s="1100"/>
      <c r="S419" s="883">
        <f t="shared" si="178"/>
        <v>0</v>
      </c>
      <c r="T419" s="884">
        <f t="shared" si="179"/>
        <v>0</v>
      </c>
      <c r="U419" s="884">
        <f>IF(AND($AU$43="Early Payoff",J419&gt;$U$15),0,IF($J419&lt;=$U$8,SUM($S$20:$S419),0))</f>
        <v>0</v>
      </c>
      <c r="V419" s="884">
        <f>IF(AND($AU$43="Early Payoff",J419&gt;$U$15),0,IF($J419&lt;=$U$8,SUM($T$20:$T419),0))</f>
        <v>0</v>
      </c>
      <c r="W419" s="885">
        <f t="shared" si="187"/>
        <v>0</v>
      </c>
      <c r="X419" s="1110">
        <f t="shared" si="188"/>
        <v>0</v>
      </c>
    </row>
    <row r="420" spans="1:52" ht="13.5" x14ac:dyDescent="0.25">
      <c r="B420" s="1108">
        <f>IF(C420&lt;'Financing Assumptions'!$G$25,0,IF(C420='Financing Assumptions'!$G$25,1,IF(C420&gt;'Financing Assumptions'!$G$25,B419+1)))</f>
        <v>401</v>
      </c>
      <c r="C420" s="1109">
        <f t="shared" si="189"/>
        <v>403</v>
      </c>
      <c r="D420" s="732">
        <f t="shared" si="181"/>
        <v>31</v>
      </c>
      <c r="E420" s="35">
        <f t="shared" si="182"/>
        <v>8</v>
      </c>
      <c r="F420" s="889">
        <f t="shared" si="180"/>
        <v>58318</v>
      </c>
      <c r="G420" s="822">
        <f t="shared" si="183"/>
        <v>8</v>
      </c>
      <c r="H420" s="126">
        <f t="shared" si="184"/>
        <v>0</v>
      </c>
      <c r="I420" s="1098">
        <f t="shared" si="193"/>
        <v>0</v>
      </c>
      <c r="J420" s="887">
        <f t="shared" si="190"/>
        <v>401</v>
      </c>
      <c r="K420" s="1099">
        <f t="shared" si="185"/>
        <v>375</v>
      </c>
      <c r="L420" s="891" t="str">
        <f t="shared" si="186"/>
        <v>August</v>
      </c>
      <c r="M420" s="888">
        <f t="shared" si="191"/>
        <v>2059</v>
      </c>
      <c r="N420" s="1284">
        <f t="shared" si="175"/>
        <v>0</v>
      </c>
      <c r="O420" s="1284">
        <f t="shared" si="192"/>
        <v>0</v>
      </c>
      <c r="P420" s="883">
        <f t="shared" si="176"/>
        <v>0</v>
      </c>
      <c r="Q420" s="883">
        <f t="shared" si="177"/>
        <v>0</v>
      </c>
      <c r="R420" s="1100"/>
      <c r="S420" s="883">
        <f t="shared" si="178"/>
        <v>0</v>
      </c>
      <c r="T420" s="884">
        <f t="shared" si="179"/>
        <v>0</v>
      </c>
      <c r="U420" s="884">
        <f>IF(AND($AU$43="Early Payoff",J420&gt;$U$15),0,IF($J420&lt;=$U$8,SUM($S$20:$S420),0))</f>
        <v>0</v>
      </c>
      <c r="V420" s="884">
        <f>IF(AND($AU$43="Early Payoff",J420&gt;$U$15),0,IF($J420&lt;=$U$8,SUM($T$20:$T420),0))</f>
        <v>0</v>
      </c>
      <c r="W420" s="885">
        <f t="shared" si="187"/>
        <v>0</v>
      </c>
      <c r="X420" s="1110">
        <f t="shared" si="188"/>
        <v>0</v>
      </c>
    </row>
    <row r="421" spans="1:52" ht="13.5" x14ac:dyDescent="0.25">
      <c r="B421" s="1108">
        <f>IF(C421&lt;'Financing Assumptions'!$G$25,0,IF(C421='Financing Assumptions'!$G$25,1,IF(C421&gt;'Financing Assumptions'!$G$25,B420+1)))</f>
        <v>402</v>
      </c>
      <c r="C421" s="1109">
        <f t="shared" si="189"/>
        <v>404</v>
      </c>
      <c r="D421" s="732">
        <f t="shared" si="181"/>
        <v>30</v>
      </c>
      <c r="E421" s="35">
        <f t="shared" si="182"/>
        <v>9</v>
      </c>
      <c r="F421" s="889">
        <f t="shared" si="180"/>
        <v>58348</v>
      </c>
      <c r="G421" s="822">
        <f t="shared" si="183"/>
        <v>9</v>
      </c>
      <c r="H421" s="126">
        <f t="shared" si="184"/>
        <v>0</v>
      </c>
      <c r="I421" s="1098">
        <f t="shared" si="193"/>
        <v>0</v>
      </c>
      <c r="J421" s="887">
        <f t="shared" si="190"/>
        <v>402</v>
      </c>
      <c r="K421" s="1099">
        <f t="shared" si="185"/>
        <v>376</v>
      </c>
      <c r="L421" s="891" t="str">
        <f t="shared" si="186"/>
        <v>September</v>
      </c>
      <c r="M421" s="888">
        <f t="shared" si="191"/>
        <v>2059</v>
      </c>
      <c r="N421" s="1284">
        <f t="shared" si="175"/>
        <v>0</v>
      </c>
      <c r="O421" s="1284">
        <f t="shared" si="192"/>
        <v>0</v>
      </c>
      <c r="P421" s="883">
        <f t="shared" si="176"/>
        <v>0</v>
      </c>
      <c r="Q421" s="883">
        <f t="shared" si="177"/>
        <v>0</v>
      </c>
      <c r="R421" s="1100"/>
      <c r="S421" s="883">
        <f t="shared" si="178"/>
        <v>0</v>
      </c>
      <c r="T421" s="884">
        <f t="shared" si="179"/>
        <v>0</v>
      </c>
      <c r="U421" s="884">
        <f>IF(AND($AU$43="Early Payoff",J421&gt;$U$15),0,IF($J421&lt;=$U$8,SUM($S$20:$S421),0))</f>
        <v>0</v>
      </c>
      <c r="V421" s="884">
        <f>IF(AND($AU$43="Early Payoff",J421&gt;$U$15),0,IF($J421&lt;=$U$8,SUM($T$20:$T421),0))</f>
        <v>0</v>
      </c>
      <c r="W421" s="885">
        <f t="shared" si="187"/>
        <v>0</v>
      </c>
      <c r="X421" s="1110">
        <f t="shared" si="188"/>
        <v>0</v>
      </c>
    </row>
    <row r="422" spans="1:52" ht="13.5" x14ac:dyDescent="0.25">
      <c r="B422" s="1108">
        <f>IF(C422&lt;'Financing Assumptions'!$G$25,0,IF(C422='Financing Assumptions'!$G$25,1,IF(C422&gt;'Financing Assumptions'!$G$25,B421+1)))</f>
        <v>403</v>
      </c>
      <c r="C422" s="1109">
        <f t="shared" si="189"/>
        <v>405</v>
      </c>
      <c r="D422" s="732">
        <f t="shared" si="181"/>
        <v>31</v>
      </c>
      <c r="E422" s="35">
        <f t="shared" si="182"/>
        <v>10</v>
      </c>
      <c r="F422" s="889">
        <f t="shared" si="180"/>
        <v>58379</v>
      </c>
      <c r="G422" s="822">
        <f t="shared" si="183"/>
        <v>10</v>
      </c>
      <c r="H422" s="126">
        <f t="shared" si="184"/>
        <v>0</v>
      </c>
      <c r="I422" s="1098">
        <f t="shared" si="193"/>
        <v>0</v>
      </c>
      <c r="J422" s="887">
        <f t="shared" si="190"/>
        <v>403</v>
      </c>
      <c r="K422" s="1099">
        <f t="shared" si="185"/>
        <v>377</v>
      </c>
      <c r="L422" s="891" t="str">
        <f t="shared" si="186"/>
        <v>October</v>
      </c>
      <c r="M422" s="888">
        <f t="shared" si="191"/>
        <v>2059</v>
      </c>
      <c r="N422" s="1284">
        <f t="shared" si="175"/>
        <v>0</v>
      </c>
      <c r="O422" s="1284">
        <f t="shared" si="192"/>
        <v>0</v>
      </c>
      <c r="P422" s="883">
        <f t="shared" si="176"/>
        <v>0</v>
      </c>
      <c r="Q422" s="883">
        <f t="shared" si="177"/>
        <v>0</v>
      </c>
      <c r="R422" s="1100"/>
      <c r="S422" s="883">
        <f t="shared" si="178"/>
        <v>0</v>
      </c>
      <c r="T422" s="884">
        <f t="shared" si="179"/>
        <v>0</v>
      </c>
      <c r="U422" s="884">
        <f>IF(AND($AU$43="Early Payoff",J422&gt;$U$15),0,IF($J422&lt;=$U$8,SUM($S$20:$S422),0))</f>
        <v>0</v>
      </c>
      <c r="V422" s="884">
        <f>IF(AND($AU$43="Early Payoff",J422&gt;$U$15),0,IF($J422&lt;=$U$8,SUM($T$20:$T422),0))</f>
        <v>0</v>
      </c>
      <c r="W422" s="885">
        <f t="shared" si="187"/>
        <v>0</v>
      </c>
      <c r="X422" s="1110">
        <f t="shared" si="188"/>
        <v>0</v>
      </c>
    </row>
    <row r="423" spans="1:52" ht="13.5" x14ac:dyDescent="0.25">
      <c r="B423" s="1108">
        <f>IF(C423&lt;'Financing Assumptions'!$G$25,0,IF(C423='Financing Assumptions'!$G$25,1,IF(C423&gt;'Financing Assumptions'!$G$25,B422+1)))</f>
        <v>404</v>
      </c>
      <c r="C423" s="1109">
        <f t="shared" si="189"/>
        <v>406</v>
      </c>
      <c r="D423" s="732">
        <f t="shared" si="181"/>
        <v>30</v>
      </c>
      <c r="E423" s="35">
        <f t="shared" si="182"/>
        <v>11</v>
      </c>
      <c r="F423" s="889">
        <f t="shared" si="180"/>
        <v>58409</v>
      </c>
      <c r="G423" s="822">
        <f t="shared" si="183"/>
        <v>11</v>
      </c>
      <c r="H423" s="126">
        <f t="shared" si="184"/>
        <v>0</v>
      </c>
      <c r="I423" s="1098">
        <f t="shared" si="193"/>
        <v>0</v>
      </c>
      <c r="J423" s="887">
        <f t="shared" si="190"/>
        <v>404</v>
      </c>
      <c r="K423" s="1099">
        <f t="shared" si="185"/>
        <v>378</v>
      </c>
      <c r="L423" s="891" t="str">
        <f t="shared" si="186"/>
        <v>November</v>
      </c>
      <c r="M423" s="888">
        <f t="shared" si="191"/>
        <v>2059</v>
      </c>
      <c r="N423" s="1284">
        <f t="shared" si="175"/>
        <v>0</v>
      </c>
      <c r="O423" s="1284">
        <f t="shared" si="192"/>
        <v>0</v>
      </c>
      <c r="P423" s="883">
        <f t="shared" si="176"/>
        <v>0</v>
      </c>
      <c r="Q423" s="883">
        <f t="shared" si="177"/>
        <v>0</v>
      </c>
      <c r="R423" s="1100"/>
      <c r="S423" s="883">
        <f t="shared" si="178"/>
        <v>0</v>
      </c>
      <c r="T423" s="884">
        <f t="shared" si="179"/>
        <v>0</v>
      </c>
      <c r="U423" s="884">
        <f>IF(AND($AU$43="Early Payoff",J423&gt;$U$15),0,IF($J423&lt;=$U$8,SUM($S$20:$S423),0))</f>
        <v>0</v>
      </c>
      <c r="V423" s="884">
        <f>IF(AND($AU$43="Early Payoff",J423&gt;$U$15),0,IF($J423&lt;=$U$8,SUM($T$20:$T423),0))</f>
        <v>0</v>
      </c>
      <c r="W423" s="885">
        <f t="shared" si="187"/>
        <v>0</v>
      </c>
      <c r="X423" s="1110">
        <f t="shared" si="188"/>
        <v>0</v>
      </c>
    </row>
    <row r="424" spans="1:52" ht="13.5" x14ac:dyDescent="0.25">
      <c r="B424" s="1108">
        <f>IF(C424&lt;'Financing Assumptions'!$G$25,0,IF(C424='Financing Assumptions'!$G$25,1,IF(C424&gt;'Financing Assumptions'!$G$25,B423+1)))</f>
        <v>405</v>
      </c>
      <c r="C424" s="1109">
        <f t="shared" si="189"/>
        <v>407</v>
      </c>
      <c r="D424" s="732">
        <f t="shared" si="181"/>
        <v>31</v>
      </c>
      <c r="E424" s="35">
        <f t="shared" si="182"/>
        <v>12</v>
      </c>
      <c r="F424" s="889">
        <f t="shared" si="180"/>
        <v>58440</v>
      </c>
      <c r="G424" s="822">
        <f t="shared" si="183"/>
        <v>12</v>
      </c>
      <c r="H424" s="126">
        <f t="shared" si="184"/>
        <v>1</v>
      </c>
      <c r="I424" s="1098">
        <f t="shared" si="193"/>
        <v>0</v>
      </c>
      <c r="J424" s="887">
        <f t="shared" si="190"/>
        <v>405</v>
      </c>
      <c r="K424" s="1099">
        <f t="shared" si="185"/>
        <v>379</v>
      </c>
      <c r="L424" s="891" t="str">
        <f t="shared" si="186"/>
        <v>December</v>
      </c>
      <c r="M424" s="888">
        <f t="shared" si="191"/>
        <v>2059</v>
      </c>
      <c r="N424" s="1284">
        <f t="shared" si="175"/>
        <v>0</v>
      </c>
      <c r="O424" s="1284">
        <f t="shared" si="192"/>
        <v>0</v>
      </c>
      <c r="P424" s="883">
        <f t="shared" si="176"/>
        <v>0</v>
      </c>
      <c r="Q424" s="883">
        <f t="shared" si="177"/>
        <v>0</v>
      </c>
      <c r="R424" s="1100"/>
      <c r="S424" s="883">
        <f t="shared" si="178"/>
        <v>0</v>
      </c>
      <c r="T424" s="884">
        <f t="shared" si="179"/>
        <v>0</v>
      </c>
      <c r="U424" s="884">
        <f>IF(AND($AU$43="Early Payoff",J424&gt;$U$15),0,IF($J424&lt;=$U$8,SUM($S$20:$S424),0))</f>
        <v>0</v>
      </c>
      <c r="V424" s="884">
        <f>IF(AND($AU$43="Early Payoff",J424&gt;$U$15),0,IF($J424&lt;=$U$8,SUM($T$20:$T424),0))</f>
        <v>0</v>
      </c>
      <c r="W424" s="885">
        <f t="shared" si="187"/>
        <v>0</v>
      </c>
      <c r="X424" s="1110">
        <f t="shared" si="188"/>
        <v>0</v>
      </c>
    </row>
    <row r="425" spans="1:52" ht="13.5" x14ac:dyDescent="0.25">
      <c r="B425" s="1108">
        <f>IF(C425&lt;'Financing Assumptions'!$G$25,0,IF(C425='Financing Assumptions'!$G$25,1,IF(C425&gt;'Financing Assumptions'!$G$25,B424+1)))</f>
        <v>406</v>
      </c>
      <c r="C425" s="1109">
        <f t="shared" si="189"/>
        <v>408</v>
      </c>
      <c r="D425" s="732">
        <f t="shared" si="181"/>
        <v>31</v>
      </c>
      <c r="E425" s="35">
        <f t="shared" si="182"/>
        <v>1</v>
      </c>
      <c r="F425" s="889">
        <f t="shared" si="180"/>
        <v>58471</v>
      </c>
      <c r="G425" s="822">
        <f t="shared" si="183"/>
        <v>1</v>
      </c>
      <c r="H425" s="126">
        <f t="shared" si="184"/>
        <v>0</v>
      </c>
      <c r="I425" s="1098">
        <f t="shared" si="193"/>
        <v>0</v>
      </c>
      <c r="J425" s="887">
        <f t="shared" si="190"/>
        <v>406</v>
      </c>
      <c r="K425" s="1099">
        <f t="shared" si="185"/>
        <v>380</v>
      </c>
      <c r="L425" s="891" t="str">
        <f t="shared" si="186"/>
        <v>January</v>
      </c>
      <c r="M425" s="888">
        <f t="shared" si="191"/>
        <v>2060</v>
      </c>
      <c r="N425" s="1284">
        <f t="shared" si="175"/>
        <v>0</v>
      </c>
      <c r="O425" s="1284">
        <f t="shared" si="192"/>
        <v>0</v>
      </c>
      <c r="P425" s="883">
        <f t="shared" si="176"/>
        <v>0</v>
      </c>
      <c r="Q425" s="883">
        <f t="shared" si="177"/>
        <v>0</v>
      </c>
      <c r="R425" s="1100"/>
      <c r="S425" s="883">
        <f t="shared" si="178"/>
        <v>0</v>
      </c>
      <c r="T425" s="884">
        <f t="shared" si="179"/>
        <v>0</v>
      </c>
      <c r="U425" s="884">
        <f>IF(AND($AU$43="Early Payoff",J425&gt;$U$15),0,IF($J425&lt;=$U$8,SUM($S$20:$S425),0))</f>
        <v>0</v>
      </c>
      <c r="V425" s="884">
        <f>IF(AND($AU$43="Early Payoff",J425&gt;$U$15),0,IF($J425&lt;=$U$8,SUM($T$20:$T425),0))</f>
        <v>0</v>
      </c>
      <c r="W425" s="885">
        <f t="shared" si="187"/>
        <v>0</v>
      </c>
      <c r="X425" s="1110">
        <f t="shared" si="188"/>
        <v>0</v>
      </c>
    </row>
    <row r="426" spans="1:52" ht="13.5" x14ac:dyDescent="0.25">
      <c r="B426" s="1108">
        <f>IF(C426&lt;'Financing Assumptions'!$G$25,0,IF(C426='Financing Assumptions'!$G$25,1,IF(C426&gt;'Financing Assumptions'!$G$25,B425+1)))</f>
        <v>407</v>
      </c>
      <c r="C426" s="1109">
        <f t="shared" si="189"/>
        <v>409</v>
      </c>
      <c r="D426" s="732">
        <f t="shared" si="181"/>
        <v>29</v>
      </c>
      <c r="E426" s="35">
        <f t="shared" si="182"/>
        <v>2</v>
      </c>
      <c r="F426" s="889">
        <f t="shared" si="180"/>
        <v>58500</v>
      </c>
      <c r="G426" s="822">
        <f t="shared" si="183"/>
        <v>2</v>
      </c>
      <c r="H426" s="126">
        <f t="shared" si="184"/>
        <v>0</v>
      </c>
      <c r="I426" s="1098">
        <f t="shared" si="193"/>
        <v>0</v>
      </c>
      <c r="J426" s="887">
        <f t="shared" si="190"/>
        <v>407</v>
      </c>
      <c r="K426" s="1099">
        <f t="shared" si="185"/>
        <v>381</v>
      </c>
      <c r="L426" s="891" t="str">
        <f t="shared" si="186"/>
        <v>February</v>
      </c>
      <c r="M426" s="888">
        <f t="shared" si="191"/>
        <v>2060</v>
      </c>
      <c r="N426" s="1284">
        <f t="shared" si="175"/>
        <v>0</v>
      </c>
      <c r="O426" s="1284">
        <f t="shared" si="192"/>
        <v>0</v>
      </c>
      <c r="P426" s="883">
        <f t="shared" si="176"/>
        <v>0</v>
      </c>
      <c r="Q426" s="883">
        <f t="shared" si="177"/>
        <v>0</v>
      </c>
      <c r="R426" s="1100"/>
      <c r="S426" s="883">
        <f t="shared" si="178"/>
        <v>0</v>
      </c>
      <c r="T426" s="884">
        <f t="shared" si="179"/>
        <v>0</v>
      </c>
      <c r="U426" s="884">
        <f>IF(AND($AU$43="Early Payoff",J426&gt;$U$15),0,IF($J426&lt;=$U$8,SUM($S$20:$S426),0))</f>
        <v>0</v>
      </c>
      <c r="V426" s="884">
        <f>IF(AND($AU$43="Early Payoff",J426&gt;$U$15),0,IF($J426&lt;=$U$8,SUM($T$20:$T426),0))</f>
        <v>0</v>
      </c>
      <c r="W426" s="885">
        <f t="shared" si="187"/>
        <v>0</v>
      </c>
      <c r="X426" s="1110">
        <f t="shared" si="188"/>
        <v>0</v>
      </c>
    </row>
    <row r="427" spans="1:52" ht="13.5" x14ac:dyDescent="0.25">
      <c r="B427" s="1108">
        <f>IF(C427&lt;'Financing Assumptions'!$G$25,0,IF(C427='Financing Assumptions'!$G$25,1,IF(C427&gt;'Financing Assumptions'!$G$25,B426+1)))</f>
        <v>408</v>
      </c>
      <c r="C427" s="1109">
        <f t="shared" si="189"/>
        <v>410</v>
      </c>
      <c r="D427" s="732">
        <f t="shared" si="181"/>
        <v>31</v>
      </c>
      <c r="E427" s="35">
        <f t="shared" si="182"/>
        <v>3</v>
      </c>
      <c r="F427" s="889">
        <f t="shared" si="180"/>
        <v>58531</v>
      </c>
      <c r="G427" s="822">
        <f t="shared" si="183"/>
        <v>3</v>
      </c>
      <c r="H427" s="126">
        <f t="shared" si="184"/>
        <v>0</v>
      </c>
      <c r="I427" s="1098">
        <f t="shared" si="193"/>
        <v>0</v>
      </c>
      <c r="J427" s="887">
        <f t="shared" si="190"/>
        <v>408</v>
      </c>
      <c r="K427" s="1099">
        <f t="shared" si="185"/>
        <v>382</v>
      </c>
      <c r="L427" s="891" t="str">
        <f t="shared" si="186"/>
        <v>March</v>
      </c>
      <c r="M427" s="888">
        <f t="shared" si="191"/>
        <v>2060</v>
      </c>
      <c r="N427" s="1284">
        <f t="shared" si="175"/>
        <v>0</v>
      </c>
      <c r="O427" s="1284">
        <f t="shared" si="192"/>
        <v>0</v>
      </c>
      <c r="P427" s="883">
        <f t="shared" si="176"/>
        <v>0</v>
      </c>
      <c r="Q427" s="883">
        <f t="shared" si="177"/>
        <v>0</v>
      </c>
      <c r="R427" s="1100"/>
      <c r="S427" s="883">
        <f t="shared" si="178"/>
        <v>0</v>
      </c>
      <c r="T427" s="884">
        <f t="shared" si="179"/>
        <v>0</v>
      </c>
      <c r="U427" s="884">
        <f>IF(AND($AU$43="Early Payoff",J427&gt;$U$15),0,IF($J427&lt;=$U$8,SUM($S$20:$S427),0))</f>
        <v>0</v>
      </c>
      <c r="V427" s="884">
        <f>IF(AND($AU$43="Early Payoff",J427&gt;$U$15),0,IF($J427&lt;=$U$8,SUM($T$20:$T427),0))</f>
        <v>0</v>
      </c>
      <c r="W427" s="885">
        <f t="shared" si="187"/>
        <v>0</v>
      </c>
      <c r="X427" s="1110">
        <f t="shared" si="188"/>
        <v>0</v>
      </c>
    </row>
    <row r="428" spans="1:52" ht="13.5" x14ac:dyDescent="0.25">
      <c r="B428" s="1108">
        <f>IF(C428&lt;'Financing Assumptions'!$G$25,0,IF(C428='Financing Assumptions'!$G$25,1,IF(C428&gt;'Financing Assumptions'!$G$25,B427+1)))</f>
        <v>409</v>
      </c>
      <c r="C428" s="1109">
        <f t="shared" si="189"/>
        <v>411</v>
      </c>
      <c r="D428" s="732">
        <f t="shared" si="181"/>
        <v>30</v>
      </c>
      <c r="E428" s="35">
        <f t="shared" si="182"/>
        <v>4</v>
      </c>
      <c r="F428" s="889">
        <f t="shared" si="180"/>
        <v>58561</v>
      </c>
      <c r="G428" s="822">
        <f t="shared" si="183"/>
        <v>4</v>
      </c>
      <c r="H428" s="126">
        <f t="shared" si="184"/>
        <v>0</v>
      </c>
      <c r="I428" s="1098">
        <f t="shared" si="193"/>
        <v>0</v>
      </c>
      <c r="J428" s="887">
        <f t="shared" si="190"/>
        <v>409</v>
      </c>
      <c r="K428" s="1099">
        <f t="shared" si="185"/>
        <v>383</v>
      </c>
      <c r="L428" s="891" t="str">
        <f t="shared" si="186"/>
        <v>April</v>
      </c>
      <c r="M428" s="888">
        <f t="shared" si="191"/>
        <v>2060</v>
      </c>
      <c r="N428" s="1284">
        <f t="shared" si="175"/>
        <v>0</v>
      </c>
      <c r="O428" s="1284">
        <f t="shared" si="192"/>
        <v>0</v>
      </c>
      <c r="P428" s="883">
        <f t="shared" si="176"/>
        <v>0</v>
      </c>
      <c r="Q428" s="883">
        <f t="shared" si="177"/>
        <v>0</v>
      </c>
      <c r="R428" s="1100"/>
      <c r="S428" s="883">
        <f t="shared" si="178"/>
        <v>0</v>
      </c>
      <c r="T428" s="884">
        <f t="shared" si="179"/>
        <v>0</v>
      </c>
      <c r="U428" s="884">
        <f>IF(AND($AU$43="Early Payoff",J428&gt;$U$15),0,IF($J428&lt;=$U$8,SUM($S$20:$S428),0))</f>
        <v>0</v>
      </c>
      <c r="V428" s="884">
        <f>IF(AND($AU$43="Early Payoff",J428&gt;$U$15),0,IF($J428&lt;=$U$8,SUM($T$20:$T428),0))</f>
        <v>0</v>
      </c>
      <c r="W428" s="885">
        <f t="shared" si="187"/>
        <v>0</v>
      </c>
      <c r="X428" s="1110">
        <f t="shared" si="188"/>
        <v>0</v>
      </c>
    </row>
    <row r="429" spans="1:52" ht="13.5" x14ac:dyDescent="0.25">
      <c r="B429" s="1108">
        <f>IF(C429&lt;'Financing Assumptions'!$G$25,0,IF(C429='Financing Assumptions'!$G$25,1,IF(C429&gt;'Financing Assumptions'!$G$25,B428+1)))</f>
        <v>410</v>
      </c>
      <c r="C429" s="1109">
        <f t="shared" si="189"/>
        <v>412</v>
      </c>
      <c r="D429" s="732">
        <f t="shared" si="181"/>
        <v>31</v>
      </c>
      <c r="E429" s="35">
        <f t="shared" si="182"/>
        <v>5</v>
      </c>
      <c r="F429" s="889">
        <f t="shared" si="180"/>
        <v>58592</v>
      </c>
      <c r="G429" s="822">
        <f t="shared" si="183"/>
        <v>5</v>
      </c>
      <c r="H429" s="126">
        <f t="shared" si="184"/>
        <v>0</v>
      </c>
      <c r="I429" s="1098">
        <f t="shared" si="193"/>
        <v>0</v>
      </c>
      <c r="J429" s="887">
        <f t="shared" si="190"/>
        <v>410</v>
      </c>
      <c r="K429" s="1099">
        <f t="shared" si="185"/>
        <v>384</v>
      </c>
      <c r="L429" s="891" t="str">
        <f t="shared" si="186"/>
        <v>May</v>
      </c>
      <c r="M429" s="888">
        <f t="shared" si="191"/>
        <v>2060</v>
      </c>
      <c r="N429" s="1284">
        <f t="shared" si="175"/>
        <v>0</v>
      </c>
      <c r="O429" s="1284">
        <f t="shared" si="192"/>
        <v>0</v>
      </c>
      <c r="P429" s="883">
        <f t="shared" si="176"/>
        <v>0</v>
      </c>
      <c r="Q429" s="883">
        <f t="shared" si="177"/>
        <v>0</v>
      </c>
      <c r="R429" s="1100"/>
      <c r="S429" s="883">
        <f t="shared" si="178"/>
        <v>0</v>
      </c>
      <c r="T429" s="884">
        <f t="shared" si="179"/>
        <v>0</v>
      </c>
      <c r="U429" s="884">
        <f>IF(AND($AU$43="Early Payoff",J429&gt;$U$15),0,IF($J429&lt;=$U$8,SUM($S$20:$S429),0))</f>
        <v>0</v>
      </c>
      <c r="V429" s="884">
        <f>IF(AND($AU$43="Early Payoff",J429&gt;$U$15),0,IF($J429&lt;=$U$8,SUM($T$20:$T429),0))</f>
        <v>0</v>
      </c>
      <c r="W429" s="885">
        <f t="shared" si="187"/>
        <v>0</v>
      </c>
      <c r="X429" s="1110">
        <f t="shared" si="188"/>
        <v>0</v>
      </c>
    </row>
    <row r="430" spans="1:52" ht="13.5" x14ac:dyDescent="0.25">
      <c r="B430" s="1108">
        <f>IF(C430&lt;'Financing Assumptions'!$G$25,0,IF(C430='Financing Assumptions'!$G$25,1,IF(C430&gt;'Financing Assumptions'!$G$25,B429+1)))</f>
        <v>411</v>
      </c>
      <c r="C430" s="1109">
        <f t="shared" si="189"/>
        <v>413</v>
      </c>
      <c r="D430" s="732">
        <f t="shared" si="181"/>
        <v>30</v>
      </c>
      <c r="E430" s="35">
        <f t="shared" si="182"/>
        <v>6</v>
      </c>
      <c r="F430" s="889">
        <f t="shared" si="180"/>
        <v>58622</v>
      </c>
      <c r="G430" s="822">
        <f t="shared" si="183"/>
        <v>6</v>
      </c>
      <c r="H430" s="126">
        <f t="shared" si="184"/>
        <v>0</v>
      </c>
      <c r="I430" s="1098">
        <f t="shared" si="193"/>
        <v>0</v>
      </c>
      <c r="J430" s="887">
        <f t="shared" si="190"/>
        <v>411</v>
      </c>
      <c r="K430" s="1099">
        <f t="shared" si="185"/>
        <v>385</v>
      </c>
      <c r="L430" s="891" t="str">
        <f t="shared" si="186"/>
        <v>June</v>
      </c>
      <c r="M430" s="888">
        <f t="shared" si="191"/>
        <v>2060</v>
      </c>
      <c r="N430" s="1284">
        <f t="shared" si="175"/>
        <v>0</v>
      </c>
      <c r="O430" s="1284">
        <f t="shared" si="192"/>
        <v>0</v>
      </c>
      <c r="P430" s="883">
        <f t="shared" si="176"/>
        <v>0</v>
      </c>
      <c r="Q430" s="883">
        <f t="shared" si="177"/>
        <v>0</v>
      </c>
      <c r="R430" s="1100"/>
      <c r="S430" s="883">
        <f t="shared" si="178"/>
        <v>0</v>
      </c>
      <c r="T430" s="884">
        <f t="shared" si="179"/>
        <v>0</v>
      </c>
      <c r="U430" s="884">
        <f>IF(AND($AU$43="Early Payoff",J430&gt;$U$15),0,IF($J430&lt;=$U$8,SUM($S$20:$S430),0))</f>
        <v>0</v>
      </c>
      <c r="V430" s="884">
        <f>IF(AND($AU$43="Early Payoff",J430&gt;$U$15),0,IF($J430&lt;=$U$8,SUM($T$20:$T430),0))</f>
        <v>0</v>
      </c>
      <c r="W430" s="885">
        <f t="shared" si="187"/>
        <v>0</v>
      </c>
      <c r="X430" s="1110">
        <f t="shared" si="188"/>
        <v>0</v>
      </c>
    </row>
    <row r="431" spans="1:52" ht="13.5" x14ac:dyDescent="0.25">
      <c r="B431" s="1108">
        <f>IF(C431&lt;'Financing Assumptions'!$G$25,0,IF(C431='Financing Assumptions'!$G$25,1,IF(C431&gt;'Financing Assumptions'!$G$25,B430+1)))</f>
        <v>412</v>
      </c>
      <c r="C431" s="1109">
        <f t="shared" si="189"/>
        <v>414</v>
      </c>
      <c r="D431" s="732">
        <f t="shared" si="181"/>
        <v>31</v>
      </c>
      <c r="E431" s="35">
        <f t="shared" si="182"/>
        <v>7</v>
      </c>
      <c r="F431" s="889">
        <f t="shared" si="180"/>
        <v>58653</v>
      </c>
      <c r="G431" s="822">
        <f t="shared" si="183"/>
        <v>7</v>
      </c>
      <c r="H431" s="126">
        <f t="shared" si="184"/>
        <v>0</v>
      </c>
      <c r="I431" s="1098">
        <f t="shared" si="193"/>
        <v>0</v>
      </c>
      <c r="J431" s="887">
        <f t="shared" si="190"/>
        <v>412</v>
      </c>
      <c r="K431" s="1099">
        <f t="shared" si="185"/>
        <v>386</v>
      </c>
      <c r="L431" s="891" t="str">
        <f t="shared" si="186"/>
        <v>July</v>
      </c>
      <c r="M431" s="888">
        <f t="shared" si="191"/>
        <v>2060</v>
      </c>
      <c r="N431" s="1284">
        <f t="shared" si="175"/>
        <v>0</v>
      </c>
      <c r="O431" s="1284">
        <f t="shared" si="192"/>
        <v>0</v>
      </c>
      <c r="P431" s="883">
        <f t="shared" si="176"/>
        <v>0</v>
      </c>
      <c r="Q431" s="883">
        <f t="shared" si="177"/>
        <v>0</v>
      </c>
      <c r="R431" s="1100"/>
      <c r="S431" s="883">
        <f t="shared" si="178"/>
        <v>0</v>
      </c>
      <c r="T431" s="884">
        <f t="shared" si="179"/>
        <v>0</v>
      </c>
      <c r="U431" s="884">
        <f>IF(AND($AU$43="Early Payoff",J431&gt;$U$15),0,IF($J431&lt;=$U$8,SUM($S$20:$S431),0))</f>
        <v>0</v>
      </c>
      <c r="V431" s="884">
        <f>IF(AND($AU$43="Early Payoff",J431&gt;$U$15),0,IF($J431&lt;=$U$8,SUM($T$20:$T431),0))</f>
        <v>0</v>
      </c>
      <c r="W431" s="885">
        <f t="shared" si="187"/>
        <v>0</v>
      </c>
      <c r="X431" s="1110">
        <f t="shared" si="188"/>
        <v>0</v>
      </c>
    </row>
    <row r="432" spans="1:52" ht="13.5" x14ac:dyDescent="0.25">
      <c r="B432" s="1108">
        <f>IF(C432&lt;'Financing Assumptions'!$G$25,0,IF(C432='Financing Assumptions'!$G$25,1,IF(C432&gt;'Financing Assumptions'!$G$25,B431+1)))</f>
        <v>413</v>
      </c>
      <c r="C432" s="1109">
        <f t="shared" si="189"/>
        <v>415</v>
      </c>
      <c r="D432" s="732">
        <f t="shared" si="181"/>
        <v>31</v>
      </c>
      <c r="E432" s="35">
        <f t="shared" si="182"/>
        <v>8</v>
      </c>
      <c r="F432" s="889">
        <f t="shared" si="180"/>
        <v>58684</v>
      </c>
      <c r="G432" s="822">
        <f t="shared" si="183"/>
        <v>8</v>
      </c>
      <c r="H432" s="126">
        <f t="shared" si="184"/>
        <v>0</v>
      </c>
      <c r="I432" s="1098">
        <f t="shared" si="193"/>
        <v>0</v>
      </c>
      <c r="J432" s="887">
        <f t="shared" si="190"/>
        <v>413</v>
      </c>
      <c r="K432" s="1099">
        <f t="shared" si="185"/>
        <v>387</v>
      </c>
      <c r="L432" s="891" t="str">
        <f t="shared" si="186"/>
        <v>August</v>
      </c>
      <c r="M432" s="888">
        <f t="shared" si="191"/>
        <v>2060</v>
      </c>
      <c r="N432" s="1284">
        <f t="shared" si="175"/>
        <v>0</v>
      </c>
      <c r="O432" s="1284">
        <f t="shared" si="192"/>
        <v>0</v>
      </c>
      <c r="P432" s="883">
        <f t="shared" si="176"/>
        <v>0</v>
      </c>
      <c r="Q432" s="883">
        <f t="shared" si="177"/>
        <v>0</v>
      </c>
      <c r="R432" s="1100"/>
      <c r="S432" s="883">
        <f t="shared" si="178"/>
        <v>0</v>
      </c>
      <c r="T432" s="884">
        <f t="shared" si="179"/>
        <v>0</v>
      </c>
      <c r="U432" s="884">
        <f>IF(AND($AU$43="Early Payoff",J432&gt;$U$15),0,IF($J432&lt;=$U$8,SUM($S$20:$S432),0))</f>
        <v>0</v>
      </c>
      <c r="V432" s="884">
        <f>IF(AND($AU$43="Early Payoff",J432&gt;$U$15),0,IF($J432&lt;=$U$8,SUM($T$20:$T432),0))</f>
        <v>0</v>
      </c>
      <c r="W432" s="885">
        <f t="shared" si="187"/>
        <v>0</v>
      </c>
      <c r="X432" s="1110">
        <f t="shared" si="188"/>
        <v>0</v>
      </c>
    </row>
    <row r="433" spans="2:24" ht="13.5" x14ac:dyDescent="0.25">
      <c r="B433" s="1108">
        <f>IF(C433&lt;'Financing Assumptions'!$G$25,0,IF(C433='Financing Assumptions'!$G$25,1,IF(C433&gt;'Financing Assumptions'!$G$25,B432+1)))</f>
        <v>414</v>
      </c>
      <c r="C433" s="1109">
        <f t="shared" si="189"/>
        <v>416</v>
      </c>
      <c r="D433" s="732">
        <f t="shared" si="181"/>
        <v>30</v>
      </c>
      <c r="E433" s="35">
        <f t="shared" si="182"/>
        <v>9</v>
      </c>
      <c r="F433" s="889">
        <f t="shared" si="180"/>
        <v>58714</v>
      </c>
      <c r="G433" s="822">
        <f t="shared" si="183"/>
        <v>9</v>
      </c>
      <c r="H433" s="126">
        <f t="shared" si="184"/>
        <v>0</v>
      </c>
      <c r="I433" s="1098">
        <f t="shared" si="193"/>
        <v>0</v>
      </c>
      <c r="J433" s="887">
        <f t="shared" si="190"/>
        <v>414</v>
      </c>
      <c r="K433" s="1099">
        <f t="shared" si="185"/>
        <v>388</v>
      </c>
      <c r="L433" s="891" t="str">
        <f t="shared" si="186"/>
        <v>September</v>
      </c>
      <c r="M433" s="888">
        <f t="shared" si="191"/>
        <v>2060</v>
      </c>
      <c r="N433" s="1284">
        <f t="shared" si="175"/>
        <v>0</v>
      </c>
      <c r="O433" s="1284">
        <f t="shared" si="192"/>
        <v>0</v>
      </c>
      <c r="P433" s="883">
        <f t="shared" si="176"/>
        <v>0</v>
      </c>
      <c r="Q433" s="883">
        <f t="shared" si="177"/>
        <v>0</v>
      </c>
      <c r="R433" s="1100"/>
      <c r="S433" s="883">
        <f t="shared" si="178"/>
        <v>0</v>
      </c>
      <c r="T433" s="884">
        <f t="shared" si="179"/>
        <v>0</v>
      </c>
      <c r="U433" s="884">
        <f>IF(AND($AU$43="Early Payoff",J433&gt;$U$15),0,IF($J433&lt;=$U$8,SUM($S$20:$S433),0))</f>
        <v>0</v>
      </c>
      <c r="V433" s="884">
        <f>IF(AND($AU$43="Early Payoff",J433&gt;$U$15),0,IF($J433&lt;=$U$8,SUM($T$20:$T433),0))</f>
        <v>0</v>
      </c>
      <c r="W433" s="885">
        <f t="shared" si="187"/>
        <v>0</v>
      </c>
      <c r="X433" s="1110">
        <f t="shared" si="188"/>
        <v>0</v>
      </c>
    </row>
    <row r="434" spans="2:24" ht="13.5" x14ac:dyDescent="0.25">
      <c r="B434" s="1108">
        <f>IF(C434&lt;'Financing Assumptions'!$G$25,0,IF(C434='Financing Assumptions'!$G$25,1,IF(C434&gt;'Financing Assumptions'!$G$25,B433+1)))</f>
        <v>415</v>
      </c>
      <c r="C434" s="1109">
        <f t="shared" si="189"/>
        <v>417</v>
      </c>
      <c r="D434" s="732">
        <f t="shared" si="181"/>
        <v>31</v>
      </c>
      <c r="E434" s="35">
        <f t="shared" si="182"/>
        <v>10</v>
      </c>
      <c r="F434" s="889">
        <f t="shared" si="180"/>
        <v>58745</v>
      </c>
      <c r="G434" s="822">
        <f t="shared" si="183"/>
        <v>10</v>
      </c>
      <c r="H434" s="126">
        <f t="shared" si="184"/>
        <v>0</v>
      </c>
      <c r="I434" s="1098">
        <f t="shared" si="193"/>
        <v>0</v>
      </c>
      <c r="J434" s="887">
        <f t="shared" si="190"/>
        <v>415</v>
      </c>
      <c r="K434" s="1099">
        <f t="shared" si="185"/>
        <v>389</v>
      </c>
      <c r="L434" s="891" t="str">
        <f t="shared" si="186"/>
        <v>October</v>
      </c>
      <c r="M434" s="888">
        <f t="shared" si="191"/>
        <v>2060</v>
      </c>
      <c r="N434" s="1284">
        <f t="shared" si="175"/>
        <v>0</v>
      </c>
      <c r="O434" s="1284">
        <f t="shared" si="192"/>
        <v>0</v>
      </c>
      <c r="P434" s="883">
        <f t="shared" si="176"/>
        <v>0</v>
      </c>
      <c r="Q434" s="883">
        <f t="shared" si="177"/>
        <v>0</v>
      </c>
      <c r="R434" s="1100"/>
      <c r="S434" s="883">
        <f t="shared" si="178"/>
        <v>0</v>
      </c>
      <c r="T434" s="884">
        <f t="shared" si="179"/>
        <v>0</v>
      </c>
      <c r="U434" s="884">
        <f>IF(AND($AU$43="Early Payoff",J434&gt;$U$15),0,IF($J434&lt;=$U$8,SUM($S$20:$S434),0))</f>
        <v>0</v>
      </c>
      <c r="V434" s="884">
        <f>IF(AND($AU$43="Early Payoff",J434&gt;$U$15),0,IF($J434&lt;=$U$8,SUM($T$20:$T434),0))</f>
        <v>0</v>
      </c>
      <c r="W434" s="885">
        <f t="shared" si="187"/>
        <v>0</v>
      </c>
      <c r="X434" s="1110">
        <f t="shared" si="188"/>
        <v>0</v>
      </c>
    </row>
    <row r="435" spans="2:24" ht="13.5" x14ac:dyDescent="0.25">
      <c r="B435" s="1108">
        <f>IF(C435&lt;'Financing Assumptions'!$G$25,0,IF(C435='Financing Assumptions'!$G$25,1,IF(C435&gt;'Financing Assumptions'!$G$25,B434+1)))</f>
        <v>416</v>
      </c>
      <c r="C435" s="1109">
        <f t="shared" si="189"/>
        <v>418</v>
      </c>
      <c r="D435" s="732">
        <f t="shared" si="181"/>
        <v>30</v>
      </c>
      <c r="E435" s="35">
        <f t="shared" si="182"/>
        <v>11</v>
      </c>
      <c r="F435" s="889">
        <f t="shared" si="180"/>
        <v>58775</v>
      </c>
      <c r="G435" s="822">
        <f t="shared" si="183"/>
        <v>11</v>
      </c>
      <c r="H435" s="126">
        <f t="shared" si="184"/>
        <v>0</v>
      </c>
      <c r="I435" s="1098">
        <f t="shared" si="193"/>
        <v>0</v>
      </c>
      <c r="J435" s="887">
        <f t="shared" si="190"/>
        <v>416</v>
      </c>
      <c r="K435" s="1099">
        <f t="shared" si="185"/>
        <v>390</v>
      </c>
      <c r="L435" s="891" t="str">
        <f t="shared" si="186"/>
        <v>November</v>
      </c>
      <c r="M435" s="888">
        <f t="shared" si="191"/>
        <v>2060</v>
      </c>
      <c r="N435" s="1284">
        <f t="shared" si="175"/>
        <v>0</v>
      </c>
      <c r="O435" s="1284">
        <f t="shared" si="192"/>
        <v>0</v>
      </c>
      <c r="P435" s="883">
        <f t="shared" si="176"/>
        <v>0</v>
      </c>
      <c r="Q435" s="883">
        <f t="shared" si="177"/>
        <v>0</v>
      </c>
      <c r="R435" s="1100"/>
      <c r="S435" s="883">
        <f t="shared" si="178"/>
        <v>0</v>
      </c>
      <c r="T435" s="884">
        <f t="shared" si="179"/>
        <v>0</v>
      </c>
      <c r="U435" s="884">
        <f>IF(AND($AU$43="Early Payoff",J435&gt;$U$15),0,IF($J435&lt;=$U$8,SUM($S$20:$S435),0))</f>
        <v>0</v>
      </c>
      <c r="V435" s="884">
        <f>IF(AND($AU$43="Early Payoff",J435&gt;$U$15),0,IF($J435&lt;=$U$8,SUM($T$20:$T435),0))</f>
        <v>0</v>
      </c>
      <c r="W435" s="885">
        <f t="shared" si="187"/>
        <v>0</v>
      </c>
      <c r="X435" s="1110">
        <f t="shared" si="188"/>
        <v>0</v>
      </c>
    </row>
    <row r="436" spans="2:24" ht="13.5" x14ac:dyDescent="0.25">
      <c r="B436" s="1108">
        <f>IF(C436&lt;'Financing Assumptions'!$G$25,0,IF(C436='Financing Assumptions'!$G$25,1,IF(C436&gt;'Financing Assumptions'!$G$25,B435+1)))</f>
        <v>417</v>
      </c>
      <c r="C436" s="1109">
        <f t="shared" si="189"/>
        <v>419</v>
      </c>
      <c r="D436" s="732">
        <f t="shared" si="181"/>
        <v>31</v>
      </c>
      <c r="E436" s="35">
        <f t="shared" si="182"/>
        <v>12</v>
      </c>
      <c r="F436" s="889">
        <f t="shared" si="180"/>
        <v>58806</v>
      </c>
      <c r="G436" s="822">
        <f t="shared" si="183"/>
        <v>12</v>
      </c>
      <c r="H436" s="126">
        <f t="shared" si="184"/>
        <v>1</v>
      </c>
      <c r="I436" s="1098">
        <f t="shared" si="193"/>
        <v>0</v>
      </c>
      <c r="J436" s="887">
        <f t="shared" si="190"/>
        <v>417</v>
      </c>
      <c r="K436" s="1099">
        <f t="shared" si="185"/>
        <v>391</v>
      </c>
      <c r="L436" s="891" t="str">
        <f t="shared" si="186"/>
        <v>December</v>
      </c>
      <c r="M436" s="888">
        <f t="shared" si="191"/>
        <v>2060</v>
      </c>
      <c r="N436" s="1284">
        <f t="shared" si="175"/>
        <v>0</v>
      </c>
      <c r="O436" s="1284">
        <f t="shared" si="192"/>
        <v>0</v>
      </c>
      <c r="P436" s="883">
        <f t="shared" si="176"/>
        <v>0</v>
      </c>
      <c r="Q436" s="883">
        <f t="shared" si="177"/>
        <v>0</v>
      </c>
      <c r="R436" s="1100"/>
      <c r="S436" s="883">
        <f t="shared" si="178"/>
        <v>0</v>
      </c>
      <c r="T436" s="884">
        <f t="shared" si="179"/>
        <v>0</v>
      </c>
      <c r="U436" s="884">
        <f>IF(AND($AU$43="Early Payoff",J436&gt;$U$15),0,IF($J436&lt;=$U$8,SUM($S$20:$S436),0))</f>
        <v>0</v>
      </c>
      <c r="V436" s="884">
        <f>IF(AND($AU$43="Early Payoff",J436&gt;$U$15),0,IF($J436&lt;=$U$8,SUM($T$20:$T436),0))</f>
        <v>0</v>
      </c>
      <c r="W436" s="885">
        <f t="shared" si="187"/>
        <v>0</v>
      </c>
      <c r="X436" s="1110">
        <f t="shared" si="188"/>
        <v>0</v>
      </c>
    </row>
    <row r="437" spans="2:24" ht="13.5" x14ac:dyDescent="0.25">
      <c r="B437" s="1108">
        <f>IF(C437&lt;'Financing Assumptions'!$G$25,0,IF(C437='Financing Assumptions'!$G$25,1,IF(C437&gt;'Financing Assumptions'!$G$25,B436+1)))</f>
        <v>418</v>
      </c>
      <c r="C437" s="1109">
        <f t="shared" si="189"/>
        <v>420</v>
      </c>
      <c r="D437" s="732">
        <f t="shared" si="181"/>
        <v>31</v>
      </c>
      <c r="E437" s="35">
        <f t="shared" si="182"/>
        <v>1</v>
      </c>
      <c r="F437" s="889">
        <f t="shared" si="180"/>
        <v>58837</v>
      </c>
      <c r="G437" s="822">
        <f t="shared" si="183"/>
        <v>1</v>
      </c>
      <c r="H437" s="126">
        <f t="shared" si="184"/>
        <v>0</v>
      </c>
      <c r="I437" s="1098">
        <f t="shared" si="193"/>
        <v>0</v>
      </c>
      <c r="J437" s="887">
        <f t="shared" si="190"/>
        <v>418</v>
      </c>
      <c r="K437" s="1099">
        <f t="shared" si="185"/>
        <v>392</v>
      </c>
      <c r="L437" s="891" t="str">
        <f t="shared" si="186"/>
        <v>January</v>
      </c>
      <c r="M437" s="888">
        <f t="shared" si="191"/>
        <v>2061</v>
      </c>
      <c r="N437" s="1284">
        <f t="shared" si="175"/>
        <v>0</v>
      </c>
      <c r="O437" s="1284">
        <f t="shared" si="192"/>
        <v>0</v>
      </c>
      <c r="P437" s="883">
        <f t="shared" si="176"/>
        <v>0</v>
      </c>
      <c r="Q437" s="883">
        <f t="shared" si="177"/>
        <v>0</v>
      </c>
      <c r="R437" s="1100"/>
      <c r="S437" s="883">
        <f t="shared" si="178"/>
        <v>0</v>
      </c>
      <c r="T437" s="884">
        <f t="shared" si="179"/>
        <v>0</v>
      </c>
      <c r="U437" s="884">
        <f>IF(AND($AU$43="Early Payoff",J437&gt;$U$15),0,IF($J437&lt;=$U$8,SUM($S$20:$S437),0))</f>
        <v>0</v>
      </c>
      <c r="V437" s="884">
        <f>IF(AND($AU$43="Early Payoff",J437&gt;$U$15),0,IF($J437&lt;=$U$8,SUM($T$20:$T437),0))</f>
        <v>0</v>
      </c>
      <c r="W437" s="885">
        <f t="shared" si="187"/>
        <v>0</v>
      </c>
      <c r="X437" s="1110">
        <f t="shared" si="188"/>
        <v>0</v>
      </c>
    </row>
    <row r="438" spans="2:24" ht="13.5" x14ac:dyDescent="0.25">
      <c r="B438" s="1108">
        <f>IF(C438&lt;'Financing Assumptions'!$G$25,0,IF(C438='Financing Assumptions'!$G$25,1,IF(C438&gt;'Financing Assumptions'!$G$25,B437+1)))</f>
        <v>419</v>
      </c>
      <c r="C438" s="1109">
        <f t="shared" si="189"/>
        <v>421</v>
      </c>
      <c r="D438" s="732">
        <f t="shared" si="181"/>
        <v>28</v>
      </c>
      <c r="E438" s="35">
        <f t="shared" si="182"/>
        <v>2</v>
      </c>
      <c r="F438" s="889">
        <f t="shared" si="180"/>
        <v>58865</v>
      </c>
      <c r="G438" s="822">
        <f t="shared" si="183"/>
        <v>2</v>
      </c>
      <c r="H438" s="126">
        <f t="shared" si="184"/>
        <v>0</v>
      </c>
      <c r="I438" s="1098">
        <f t="shared" si="193"/>
        <v>0</v>
      </c>
      <c r="J438" s="887">
        <f t="shared" si="190"/>
        <v>419</v>
      </c>
      <c r="K438" s="1099">
        <f t="shared" si="185"/>
        <v>393</v>
      </c>
      <c r="L438" s="891" t="str">
        <f t="shared" si="186"/>
        <v>February</v>
      </c>
      <c r="M438" s="888">
        <f t="shared" si="191"/>
        <v>2061</v>
      </c>
      <c r="N438" s="1284">
        <f t="shared" si="175"/>
        <v>0</v>
      </c>
      <c r="O438" s="1284">
        <f t="shared" si="192"/>
        <v>0</v>
      </c>
      <c r="P438" s="883">
        <f t="shared" si="176"/>
        <v>0</v>
      </c>
      <c r="Q438" s="883">
        <f t="shared" si="177"/>
        <v>0</v>
      </c>
      <c r="R438" s="1100"/>
      <c r="S438" s="883">
        <f t="shared" si="178"/>
        <v>0</v>
      </c>
      <c r="T438" s="884">
        <f t="shared" si="179"/>
        <v>0</v>
      </c>
      <c r="U438" s="884">
        <f>IF(AND($AU$43="Early Payoff",J438&gt;$U$15),0,IF($J438&lt;=$U$8,SUM($S$20:$S438),0))</f>
        <v>0</v>
      </c>
      <c r="V438" s="884">
        <f>IF(AND($AU$43="Early Payoff",J438&gt;$U$15),0,IF($J438&lt;=$U$8,SUM($T$20:$T438),0))</f>
        <v>0</v>
      </c>
      <c r="W438" s="885">
        <f t="shared" si="187"/>
        <v>0</v>
      </c>
      <c r="X438" s="1110">
        <f t="shared" si="188"/>
        <v>0</v>
      </c>
    </row>
    <row r="439" spans="2:24" ht="13.5" x14ac:dyDescent="0.25">
      <c r="B439" s="1108">
        <f>IF(C439&lt;'Financing Assumptions'!$G$25,0,IF(C439='Financing Assumptions'!$G$25,1,IF(C439&gt;'Financing Assumptions'!$G$25,B438+1)))</f>
        <v>420</v>
      </c>
      <c r="C439" s="1109">
        <f t="shared" si="189"/>
        <v>422</v>
      </c>
      <c r="D439" s="732">
        <f t="shared" si="181"/>
        <v>31</v>
      </c>
      <c r="E439" s="35">
        <f t="shared" si="182"/>
        <v>3</v>
      </c>
      <c r="F439" s="889">
        <f t="shared" si="180"/>
        <v>58896</v>
      </c>
      <c r="G439" s="822">
        <f t="shared" si="183"/>
        <v>3</v>
      </c>
      <c r="H439" s="126">
        <f t="shared" si="184"/>
        <v>0</v>
      </c>
      <c r="I439" s="1098">
        <f t="shared" si="193"/>
        <v>0</v>
      </c>
      <c r="J439" s="887">
        <f t="shared" si="190"/>
        <v>420</v>
      </c>
      <c r="K439" s="1099">
        <f t="shared" si="185"/>
        <v>394</v>
      </c>
      <c r="L439" s="891" t="str">
        <f t="shared" si="186"/>
        <v>March</v>
      </c>
      <c r="M439" s="888">
        <f t="shared" si="191"/>
        <v>2061</v>
      </c>
      <c r="N439" s="1284">
        <f t="shared" si="175"/>
        <v>0</v>
      </c>
      <c r="O439" s="1284">
        <f t="shared" si="192"/>
        <v>0</v>
      </c>
      <c r="P439" s="883">
        <f t="shared" si="176"/>
        <v>0</v>
      </c>
      <c r="Q439" s="883">
        <f>IF(AND($AU$43="Early Payoff",J439&gt;=$U$15),0,IF($J439&gt;$U$8,0,IF(AND($AT$33&gt;=0,$J439&lt;=$AT$33),0,IF(AND($AT$31&gt;=0,$J439&lt;=$AT$31),$T439,IF(AND($V$4="Annual",$AT$31&gt;=0,$AT$33&gt;=0,$J439&gt;$AT$31,$J439&gt;$AT$33),PMT($M$7,($U$8-$AT$31),$M$4),IF(AND($V$4="Bi-Annual",$AT$31&gt;=0,$AT$33&gt;=0,$J439&gt;$AT$31,$J439&gt;$AT$33),PMT($M$7/2,($U$8-$AT$31),$M$4),IF(AND($V$4="Monthly",$AT$31&gt;=0,$AT$33&gt;=0,$J439&gt;$AT$31,$J439&gt;$AT$33),PMT($M$7/12,($U$8-$AT$31),$M$4))))))))-R439</f>
        <v>0</v>
      </c>
      <c r="R439" s="1100"/>
      <c r="S439" s="883">
        <f t="shared" si="178"/>
        <v>0</v>
      </c>
      <c r="T439" s="884">
        <f>IF(AND($AU$43="Early Payoff",J439&gt;=$U$15),0,IF($V$4="Annual",-$M$7*$W438*1,IF($V$4="Bi-Annual",(-$M$7/2)*$W438*1,IF($V$4="Monthly",(-$M$7/12)*$W438*1))))</f>
        <v>0</v>
      </c>
      <c r="U439" s="884">
        <f>IF(AND($AU$43="Early Payoff",J439&gt;$U$15),0,IF($J439&lt;=$U$8,SUM($S$20:$S439),0))</f>
        <v>0</v>
      </c>
      <c r="V439" s="884">
        <f>IF(AND($AU$43="Early Payoff",J439&gt;$U$15),0,IF($J439&lt;=$U$8,SUM($T$20:$T439),0))</f>
        <v>0</v>
      </c>
      <c r="W439" s="885">
        <f>IF($K439&lt;=$U$15,SUM($P439,$S439),0)</f>
        <v>0</v>
      </c>
      <c r="X439" s="1110">
        <f t="shared" si="188"/>
        <v>0</v>
      </c>
    </row>
    <row r="440" spans="2:24" ht="13.5" x14ac:dyDescent="0.25">
      <c r="B440" s="1108">
        <f>IF(C440&lt;'Financing Assumptions'!$G$25,0,IF(C440='Financing Assumptions'!$G$25,1,IF(C440&gt;'Financing Assumptions'!$G$25,B439+1)))</f>
        <v>421</v>
      </c>
      <c r="C440" s="1109">
        <f t="shared" si="189"/>
        <v>423</v>
      </c>
      <c r="D440" s="732">
        <f t="shared" si="181"/>
        <v>30</v>
      </c>
      <c r="E440" s="35">
        <f t="shared" si="182"/>
        <v>4</v>
      </c>
      <c r="F440" s="889">
        <f t="shared" si="180"/>
        <v>58926</v>
      </c>
      <c r="G440" s="822">
        <f t="shared" si="183"/>
        <v>4</v>
      </c>
      <c r="H440" s="126">
        <f t="shared" si="184"/>
        <v>0</v>
      </c>
      <c r="I440" s="1098">
        <f t="shared" si="193"/>
        <v>0</v>
      </c>
      <c r="J440" s="887">
        <f t="shared" si="190"/>
        <v>421</v>
      </c>
      <c r="K440" s="1099">
        <f t="shared" si="185"/>
        <v>395</v>
      </c>
      <c r="L440" s="891" t="str">
        <f t="shared" si="186"/>
        <v>April</v>
      </c>
      <c r="M440" s="888">
        <f t="shared" si="191"/>
        <v>2061</v>
      </c>
      <c r="N440" s="1284">
        <f t="shared" si="175"/>
        <v>0</v>
      </c>
      <c r="O440" s="1284">
        <f t="shared" si="192"/>
        <v>0</v>
      </c>
      <c r="P440" s="883">
        <f t="shared" si="176"/>
        <v>0</v>
      </c>
      <c r="Q440" s="883">
        <f t="shared" si="177"/>
        <v>0</v>
      </c>
      <c r="R440" s="1100"/>
      <c r="S440" s="883">
        <f t="shared" si="178"/>
        <v>0</v>
      </c>
      <c r="T440" s="884">
        <f t="shared" si="179"/>
        <v>0</v>
      </c>
      <c r="U440" s="884">
        <f>IF(AND($AU$43="Early Payoff",J440&gt;$U$15),0,IF($J440&lt;=$U$8,SUM($S$20:$S440),0))</f>
        <v>0</v>
      </c>
      <c r="V440" s="884">
        <f>IF(AND($AU$43="Early Payoff",J440&gt;$U$15),0,IF($J440&lt;=$U$8,SUM($T$20:$T440),0))</f>
        <v>0</v>
      </c>
      <c r="W440" s="885">
        <f t="shared" si="187"/>
        <v>0</v>
      </c>
      <c r="X440" s="1110">
        <f t="shared" si="188"/>
        <v>0</v>
      </c>
    </row>
    <row r="441" spans="2:24" x14ac:dyDescent="0.2">
      <c r="B441" s="1420"/>
      <c r="C441" s="1421"/>
      <c r="D441" s="1417"/>
      <c r="E441" s="1417"/>
      <c r="F441" s="1417"/>
      <c r="G441" s="1417"/>
      <c r="H441" s="1417"/>
      <c r="I441" s="1416"/>
      <c r="J441" s="1416"/>
      <c r="K441" s="1417"/>
      <c r="L441" s="1417"/>
      <c r="M441" s="1417"/>
      <c r="N441" s="1417"/>
      <c r="O441" s="1417"/>
      <c r="P441" s="1417"/>
      <c r="Q441" s="1417"/>
      <c r="R441" s="1417"/>
      <c r="S441" s="1417"/>
      <c r="T441" s="1417"/>
      <c r="U441" s="1417"/>
      <c r="V441" s="1417"/>
      <c r="W441" s="1418"/>
      <c r="X441" s="1418"/>
    </row>
    <row r="483" spans="1:52" s="22" customFormat="1" x14ac:dyDescent="0.2">
      <c r="A483" s="1"/>
      <c r="B483" s="1162"/>
      <c r="C483" s="406"/>
      <c r="I483" s="879"/>
      <c r="J483" s="879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</row>
    <row r="484" spans="1:52" s="22" customFormat="1" x14ac:dyDescent="0.2">
      <c r="A484" s="1"/>
      <c r="B484" s="1162"/>
      <c r="C484" s="406"/>
      <c r="I484" s="879"/>
      <c r="J484" s="879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</row>
    <row r="485" spans="1:52" s="22" customFormat="1" x14ac:dyDescent="0.2">
      <c r="A485" s="1"/>
      <c r="B485" s="1162"/>
      <c r="C485" s="406"/>
      <c r="I485" s="879"/>
      <c r="J485" s="879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</row>
    <row r="486" spans="1:52" s="22" customFormat="1" x14ac:dyDescent="0.2">
      <c r="A486" s="1"/>
      <c r="B486" s="1162"/>
      <c r="C486" s="406"/>
      <c r="I486" s="879"/>
      <c r="J486" s="879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</row>
    <row r="487" spans="1:52" s="22" customFormat="1" x14ac:dyDescent="0.2">
      <c r="A487" s="1"/>
      <c r="B487" s="1162"/>
      <c r="C487" s="406"/>
      <c r="I487" s="879"/>
      <c r="J487" s="879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</row>
    <row r="488" spans="1:52" s="22" customFormat="1" x14ac:dyDescent="0.2">
      <c r="A488" s="1"/>
      <c r="B488" s="1162"/>
      <c r="C488" s="406"/>
      <c r="I488" s="879"/>
      <c r="J488" s="879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</row>
    <row r="489" spans="1:52" s="22" customFormat="1" x14ac:dyDescent="0.2">
      <c r="A489" s="1"/>
      <c r="B489" s="1162"/>
      <c r="C489" s="406"/>
      <c r="I489" s="879"/>
      <c r="J489" s="879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</row>
    <row r="490" spans="1:52" s="22" customFormat="1" x14ac:dyDescent="0.2">
      <c r="A490" s="1"/>
      <c r="B490" s="1162"/>
      <c r="C490" s="406"/>
      <c r="I490" s="879"/>
      <c r="J490" s="879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</row>
    <row r="491" spans="1:52" s="22" customFormat="1" x14ac:dyDescent="0.2">
      <c r="A491" s="1"/>
      <c r="B491" s="1162"/>
      <c r="C491" s="406"/>
      <c r="I491" s="879"/>
      <c r="J491" s="879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</row>
    <row r="492" spans="1:52" s="22" customFormat="1" x14ac:dyDescent="0.2">
      <c r="A492" s="1"/>
      <c r="B492" s="1162"/>
      <c r="C492" s="406"/>
      <c r="I492" s="879"/>
      <c r="J492" s="879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</row>
    <row r="493" spans="1:52" s="22" customFormat="1" x14ac:dyDescent="0.2">
      <c r="A493" s="1"/>
      <c r="B493" s="1162"/>
      <c r="C493" s="406"/>
      <c r="I493" s="879"/>
      <c r="J493" s="879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</row>
    <row r="494" spans="1:52" s="22" customFormat="1" x14ac:dyDescent="0.2">
      <c r="A494" s="1"/>
      <c r="B494" s="1162"/>
      <c r="C494" s="406"/>
      <c r="I494" s="879"/>
      <c r="J494" s="879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</row>
    <row r="495" spans="1:52" s="22" customFormat="1" x14ac:dyDescent="0.2">
      <c r="A495" s="1"/>
      <c r="B495" s="1162"/>
      <c r="C495" s="406"/>
      <c r="I495" s="879"/>
      <c r="J495" s="879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</row>
    <row r="496" spans="1:52" s="22" customFormat="1" x14ac:dyDescent="0.2">
      <c r="A496" s="1"/>
      <c r="B496" s="1162"/>
      <c r="C496" s="406"/>
      <c r="I496" s="879"/>
      <c r="J496" s="879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</row>
    <row r="497" spans="1:52" s="22" customFormat="1" x14ac:dyDescent="0.2">
      <c r="A497" s="1"/>
      <c r="B497" s="1162"/>
      <c r="C497" s="406"/>
      <c r="I497" s="879"/>
      <c r="J497" s="879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</row>
    <row r="498" spans="1:52" s="22" customFormat="1" x14ac:dyDescent="0.2">
      <c r="A498" s="1"/>
      <c r="B498" s="1162"/>
      <c r="C498" s="406"/>
      <c r="I498" s="879"/>
      <c r="J498" s="879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</row>
    <row r="499" spans="1:52" s="22" customFormat="1" x14ac:dyDescent="0.2">
      <c r="A499" s="1"/>
      <c r="B499" s="1162"/>
      <c r="C499" s="406"/>
      <c r="I499" s="879"/>
      <c r="J499" s="879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</row>
    <row r="500" spans="1:52" s="22" customFormat="1" x14ac:dyDescent="0.2">
      <c r="A500" s="1"/>
      <c r="B500" s="1162"/>
      <c r="C500" s="406"/>
      <c r="I500" s="879"/>
      <c r="J500" s="879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</row>
    <row r="501" spans="1:52" s="22" customFormat="1" x14ac:dyDescent="0.2">
      <c r="A501" s="1"/>
      <c r="B501" s="1162"/>
      <c r="C501" s="406"/>
      <c r="I501" s="879"/>
      <c r="J501" s="879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</row>
    <row r="502" spans="1:52" s="22" customFormat="1" x14ac:dyDescent="0.2">
      <c r="A502" s="1"/>
      <c r="B502" s="1162"/>
      <c r="C502" s="406"/>
      <c r="I502" s="879"/>
      <c r="J502" s="879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</row>
    <row r="503" spans="1:52" s="22" customFormat="1" x14ac:dyDescent="0.2">
      <c r="A503" s="1"/>
      <c r="B503" s="1162"/>
      <c r="C503" s="406"/>
      <c r="I503" s="879"/>
      <c r="J503" s="879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</row>
    <row r="504" spans="1:52" s="22" customFormat="1" x14ac:dyDescent="0.2">
      <c r="A504" s="1"/>
      <c r="B504" s="1162"/>
      <c r="C504" s="406"/>
      <c r="I504" s="879"/>
      <c r="J504" s="879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</row>
    <row r="505" spans="1:52" s="22" customFormat="1" x14ac:dyDescent="0.2">
      <c r="A505" s="1"/>
      <c r="B505" s="1162"/>
      <c r="C505" s="406"/>
      <c r="I505" s="879"/>
      <c r="J505" s="879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</row>
    <row r="506" spans="1:52" s="22" customFormat="1" x14ac:dyDescent="0.2">
      <c r="A506" s="1"/>
      <c r="B506" s="1162"/>
      <c r="C506" s="406"/>
      <c r="I506" s="879"/>
      <c r="J506" s="879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</row>
    <row r="507" spans="1:52" s="22" customFormat="1" x14ac:dyDescent="0.2">
      <c r="A507" s="1"/>
      <c r="B507" s="1162"/>
      <c r="C507" s="406"/>
      <c r="I507" s="879"/>
      <c r="J507" s="879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</row>
    <row r="508" spans="1:52" s="22" customFormat="1" x14ac:dyDescent="0.2">
      <c r="A508" s="1"/>
      <c r="B508" s="1162"/>
      <c r="C508" s="406"/>
      <c r="I508" s="879"/>
      <c r="J508" s="879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</row>
    <row r="509" spans="1:52" s="22" customFormat="1" x14ac:dyDescent="0.2">
      <c r="A509" s="1"/>
      <c r="B509" s="1162"/>
      <c r="C509" s="406"/>
      <c r="I509" s="879"/>
      <c r="J509" s="879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</row>
    <row r="510" spans="1:52" s="22" customFormat="1" x14ac:dyDescent="0.2">
      <c r="A510" s="1"/>
      <c r="B510" s="1162"/>
      <c r="C510" s="406"/>
      <c r="I510" s="879"/>
      <c r="J510" s="879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</row>
    <row r="511" spans="1:52" s="22" customFormat="1" x14ac:dyDescent="0.2">
      <c r="A511" s="1"/>
      <c r="B511" s="1162"/>
      <c r="C511" s="406"/>
      <c r="I511" s="879"/>
      <c r="J511" s="879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</row>
    <row r="512" spans="1:52" s="22" customFormat="1" x14ac:dyDescent="0.2">
      <c r="A512" s="1"/>
      <c r="B512" s="1162"/>
      <c r="C512" s="406"/>
      <c r="I512" s="879"/>
      <c r="J512" s="879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</row>
    <row r="513" spans="1:52" s="22" customFormat="1" x14ac:dyDescent="0.2">
      <c r="A513" s="1"/>
      <c r="B513" s="1162"/>
      <c r="C513" s="406"/>
      <c r="I513" s="879"/>
      <c r="J513" s="879"/>
      <c r="AQ513" s="1"/>
      <c r="AR513" s="1"/>
      <c r="AS513" s="1"/>
      <c r="AT513" s="1"/>
      <c r="AU513" s="1"/>
      <c r="AV513" s="1"/>
      <c r="AW513" s="1"/>
      <c r="AX513" s="1"/>
      <c r="AY513" s="1"/>
      <c r="AZ513" s="1"/>
    </row>
    <row r="514" spans="1:52" s="22" customFormat="1" x14ac:dyDescent="0.2">
      <c r="A514" s="1"/>
      <c r="B514" s="1162"/>
      <c r="C514" s="406"/>
      <c r="I514" s="879"/>
      <c r="J514" s="879"/>
      <c r="AQ514" s="1"/>
      <c r="AR514" s="1"/>
      <c r="AS514" s="1"/>
      <c r="AT514" s="1"/>
      <c r="AU514" s="1"/>
      <c r="AV514" s="1"/>
      <c r="AW514" s="1"/>
      <c r="AX514" s="1"/>
      <c r="AY514" s="1"/>
      <c r="AZ514" s="1"/>
    </row>
    <row r="515" spans="1:52" s="22" customFormat="1" x14ac:dyDescent="0.2">
      <c r="A515" s="1"/>
      <c r="B515" s="1162"/>
      <c r="C515" s="406"/>
      <c r="I515" s="879"/>
      <c r="J515" s="879"/>
      <c r="AQ515" s="1"/>
      <c r="AR515" s="1"/>
      <c r="AS515" s="1"/>
      <c r="AT515" s="1"/>
      <c r="AU515" s="1"/>
      <c r="AV515" s="1"/>
      <c r="AW515" s="1"/>
      <c r="AX515" s="1"/>
      <c r="AY515" s="1"/>
      <c r="AZ515" s="1"/>
    </row>
    <row r="516" spans="1:52" s="22" customFormat="1" x14ac:dyDescent="0.2">
      <c r="A516" s="1"/>
      <c r="B516" s="1162"/>
      <c r="C516" s="406"/>
      <c r="I516" s="879"/>
      <c r="J516" s="879"/>
      <c r="AQ516" s="1"/>
      <c r="AR516" s="1"/>
      <c r="AS516" s="1"/>
      <c r="AT516" s="1"/>
      <c r="AU516" s="1"/>
      <c r="AV516" s="1"/>
      <c r="AW516" s="1"/>
      <c r="AX516" s="1"/>
      <c r="AY516" s="1"/>
      <c r="AZ516" s="1"/>
    </row>
    <row r="517" spans="1:52" s="22" customFormat="1" x14ac:dyDescent="0.2">
      <c r="A517" s="1"/>
      <c r="B517" s="1162"/>
      <c r="C517" s="406"/>
      <c r="I517" s="879"/>
      <c r="J517" s="879"/>
      <c r="AQ517" s="1"/>
      <c r="AR517" s="1"/>
      <c r="AS517" s="1"/>
      <c r="AT517" s="1"/>
      <c r="AU517" s="1"/>
      <c r="AV517" s="1"/>
      <c r="AW517" s="1"/>
      <c r="AX517" s="1"/>
      <c r="AY517" s="1"/>
      <c r="AZ517" s="1"/>
    </row>
    <row r="518" spans="1:52" s="22" customFormat="1" x14ac:dyDescent="0.2">
      <c r="A518" s="1"/>
      <c r="B518" s="1162"/>
      <c r="C518" s="406"/>
      <c r="I518" s="879"/>
      <c r="J518" s="879"/>
      <c r="AQ518" s="1"/>
      <c r="AR518" s="1"/>
      <c r="AS518" s="1"/>
      <c r="AT518" s="1"/>
      <c r="AU518" s="1"/>
      <c r="AV518" s="1"/>
      <c r="AW518" s="1"/>
      <c r="AX518" s="1"/>
      <c r="AY518" s="1"/>
      <c r="AZ518" s="1"/>
    </row>
    <row r="519" spans="1:52" s="22" customFormat="1" x14ac:dyDescent="0.2">
      <c r="A519" s="1"/>
      <c r="B519" s="1162"/>
      <c r="C519" s="406"/>
      <c r="I519" s="879"/>
      <c r="J519" s="879"/>
      <c r="AQ519" s="1"/>
      <c r="AR519" s="1"/>
      <c r="AS519" s="1"/>
      <c r="AT519" s="1"/>
      <c r="AU519" s="1"/>
      <c r="AV519" s="1"/>
      <c r="AW519" s="1"/>
      <c r="AX519" s="1"/>
      <c r="AY519" s="1"/>
      <c r="AZ519" s="1"/>
    </row>
    <row r="520" spans="1:52" s="22" customFormat="1" x14ac:dyDescent="0.2">
      <c r="A520" s="1"/>
      <c r="B520" s="1162"/>
      <c r="C520" s="406"/>
      <c r="I520" s="879"/>
      <c r="J520" s="879"/>
      <c r="AQ520" s="1"/>
      <c r="AR520" s="1"/>
      <c r="AS520" s="1"/>
      <c r="AT520" s="1"/>
      <c r="AU520" s="1"/>
      <c r="AV520" s="1"/>
      <c r="AW520" s="1"/>
      <c r="AX520" s="1"/>
      <c r="AY520" s="1"/>
      <c r="AZ520" s="1"/>
    </row>
    <row r="521" spans="1:52" s="22" customFormat="1" x14ac:dyDescent="0.2">
      <c r="A521" s="1"/>
      <c r="B521" s="1162"/>
      <c r="C521" s="406"/>
      <c r="I521" s="879"/>
      <c r="J521" s="879"/>
      <c r="AQ521" s="1"/>
      <c r="AR521" s="1"/>
      <c r="AS521" s="1"/>
      <c r="AT521" s="1"/>
      <c r="AU521" s="1"/>
      <c r="AV521" s="1"/>
      <c r="AW521" s="1"/>
      <c r="AX521" s="1"/>
      <c r="AY521" s="1"/>
      <c r="AZ521" s="1"/>
    </row>
    <row r="522" spans="1:52" s="22" customFormat="1" x14ac:dyDescent="0.2">
      <c r="A522" s="1"/>
      <c r="B522" s="1162"/>
      <c r="C522" s="406"/>
      <c r="I522" s="879"/>
      <c r="J522" s="879"/>
      <c r="AQ522" s="1"/>
      <c r="AR522" s="1"/>
      <c r="AS522" s="1"/>
      <c r="AT522" s="1"/>
      <c r="AU522" s="1"/>
      <c r="AV522" s="1"/>
      <c r="AW522" s="1"/>
      <c r="AX522" s="1"/>
      <c r="AY522" s="1"/>
      <c r="AZ522" s="1"/>
    </row>
    <row r="523" spans="1:52" s="22" customFormat="1" x14ac:dyDescent="0.2">
      <c r="A523" s="1"/>
      <c r="B523" s="1162"/>
      <c r="C523" s="406"/>
      <c r="I523" s="879"/>
      <c r="J523" s="879"/>
      <c r="AQ523" s="1"/>
      <c r="AR523" s="1"/>
      <c r="AS523" s="1"/>
      <c r="AT523" s="1"/>
      <c r="AU523" s="1"/>
      <c r="AV523" s="1"/>
      <c r="AW523" s="1"/>
      <c r="AX523" s="1"/>
      <c r="AY523" s="1"/>
      <c r="AZ523" s="1"/>
    </row>
    <row r="524" spans="1:52" s="22" customFormat="1" x14ac:dyDescent="0.2">
      <c r="A524" s="1"/>
      <c r="B524" s="1162"/>
      <c r="C524" s="406"/>
      <c r="I524" s="879"/>
      <c r="J524" s="879"/>
      <c r="AQ524" s="1"/>
      <c r="AR524" s="1"/>
      <c r="AS524" s="1"/>
      <c r="AT524" s="1"/>
      <c r="AU524" s="1"/>
      <c r="AV524" s="1"/>
      <c r="AW524" s="1"/>
      <c r="AX524" s="1"/>
      <c r="AY524" s="1"/>
      <c r="AZ524" s="1"/>
    </row>
    <row r="525" spans="1:52" s="22" customFormat="1" x14ac:dyDescent="0.2">
      <c r="A525" s="1"/>
      <c r="B525" s="1162"/>
      <c r="C525" s="406"/>
      <c r="I525" s="879"/>
      <c r="J525" s="879"/>
      <c r="AQ525" s="1"/>
      <c r="AR525" s="1"/>
      <c r="AS525" s="1"/>
      <c r="AT525" s="1"/>
      <c r="AU525" s="1"/>
      <c r="AV525" s="1"/>
      <c r="AW525" s="1"/>
      <c r="AX525" s="1"/>
      <c r="AY525" s="1"/>
      <c r="AZ525" s="1"/>
    </row>
    <row r="526" spans="1:52" s="22" customFormat="1" x14ac:dyDescent="0.2">
      <c r="A526" s="1"/>
      <c r="B526" s="1162"/>
      <c r="C526" s="406"/>
      <c r="I526" s="879"/>
      <c r="J526" s="879"/>
      <c r="AQ526" s="1"/>
      <c r="AR526" s="1"/>
      <c r="AS526" s="1"/>
      <c r="AT526" s="1"/>
      <c r="AU526" s="1"/>
      <c r="AV526" s="1"/>
      <c r="AW526" s="1"/>
      <c r="AX526" s="1"/>
      <c r="AY526" s="1"/>
      <c r="AZ526" s="1"/>
    </row>
    <row r="527" spans="1:52" s="22" customFormat="1" x14ac:dyDescent="0.2">
      <c r="A527" s="1"/>
      <c r="B527" s="1162"/>
      <c r="C527" s="406"/>
      <c r="I527" s="879"/>
      <c r="J527" s="879"/>
      <c r="AQ527" s="1"/>
      <c r="AR527" s="1"/>
      <c r="AS527" s="1"/>
      <c r="AT527" s="1"/>
      <c r="AU527" s="1"/>
      <c r="AV527" s="1"/>
      <c r="AW527" s="1"/>
      <c r="AX527" s="1"/>
      <c r="AY527" s="1"/>
      <c r="AZ527" s="1"/>
    </row>
    <row r="528" spans="1:52" s="22" customFormat="1" x14ac:dyDescent="0.2">
      <c r="A528" s="1"/>
      <c r="B528" s="1162"/>
      <c r="C528" s="406"/>
      <c r="I528" s="879"/>
      <c r="J528" s="879"/>
      <c r="AQ528" s="1"/>
      <c r="AR528" s="1"/>
      <c r="AS528" s="1"/>
      <c r="AT528" s="1"/>
      <c r="AU528" s="1"/>
      <c r="AV528" s="1"/>
      <c r="AW528" s="1"/>
      <c r="AX528" s="1"/>
      <c r="AY528" s="1"/>
      <c r="AZ528" s="1"/>
    </row>
    <row r="529" spans="1:52" s="22" customFormat="1" x14ac:dyDescent="0.2">
      <c r="A529" s="1"/>
      <c r="B529" s="1162"/>
      <c r="C529" s="406"/>
      <c r="I529" s="879"/>
      <c r="J529" s="879"/>
      <c r="AQ529" s="1"/>
      <c r="AR529" s="1"/>
      <c r="AS529" s="1"/>
      <c r="AT529" s="1"/>
      <c r="AU529" s="1"/>
      <c r="AV529" s="1"/>
      <c r="AW529" s="1"/>
      <c r="AX529" s="1"/>
      <c r="AY529" s="1"/>
      <c r="AZ529" s="1"/>
    </row>
    <row r="530" spans="1:52" s="22" customFormat="1" x14ac:dyDescent="0.2">
      <c r="A530" s="1"/>
      <c r="B530" s="1162"/>
      <c r="C530" s="406"/>
      <c r="I530" s="879"/>
      <c r="J530" s="879"/>
      <c r="AQ530" s="1"/>
      <c r="AR530" s="1"/>
      <c r="AS530" s="1"/>
      <c r="AT530" s="1"/>
      <c r="AU530" s="1"/>
      <c r="AV530" s="1"/>
      <c r="AW530" s="1"/>
      <c r="AX530" s="1"/>
      <c r="AY530" s="1"/>
      <c r="AZ530" s="1"/>
    </row>
    <row r="531" spans="1:52" s="22" customFormat="1" x14ac:dyDescent="0.2">
      <c r="A531" s="1"/>
      <c r="B531" s="1162"/>
      <c r="C531" s="406"/>
      <c r="I531" s="879"/>
      <c r="J531" s="879"/>
      <c r="AQ531" s="1"/>
      <c r="AR531" s="1"/>
      <c r="AS531" s="1"/>
      <c r="AT531" s="1"/>
      <c r="AU531" s="1"/>
      <c r="AV531" s="1"/>
      <c r="AW531" s="1"/>
      <c r="AX531" s="1"/>
      <c r="AY531" s="1"/>
      <c r="AZ531" s="1"/>
    </row>
    <row r="532" spans="1:52" s="22" customFormat="1" x14ac:dyDescent="0.2">
      <c r="A532" s="1"/>
      <c r="B532" s="1162"/>
      <c r="C532" s="406"/>
      <c r="I532" s="879"/>
      <c r="J532" s="879"/>
      <c r="AQ532" s="1"/>
      <c r="AR532" s="1"/>
      <c r="AS532" s="1"/>
      <c r="AT532" s="1"/>
      <c r="AU532" s="1"/>
      <c r="AV532" s="1"/>
      <c r="AW532" s="1"/>
      <c r="AX532" s="1"/>
      <c r="AY532" s="1"/>
      <c r="AZ532" s="1"/>
    </row>
  </sheetData>
  <sheetProtection formatColumns="0"/>
  <mergeCells count="12">
    <mergeCell ref="AE18:AP18"/>
    <mergeCell ref="J3:M3"/>
    <mergeCell ref="S3:V3"/>
    <mergeCell ref="Z3:AC3"/>
    <mergeCell ref="J4:K4"/>
    <mergeCell ref="J5:K5"/>
    <mergeCell ref="J6:K6"/>
    <mergeCell ref="J8:K8"/>
    <mergeCell ref="J9:K9"/>
    <mergeCell ref="J13:K13"/>
    <mergeCell ref="J18:X18"/>
    <mergeCell ref="Z18:AC18"/>
  </mergeCells>
  <conditionalFormatting sqref="B20:M440 Z20:AC379">
    <cfRule type="expression" dxfId="74" priority="14">
      <formula>IF($J20=$U$8,"TRUE","FALSE")</formula>
    </cfRule>
    <cfRule type="expression" dxfId="73" priority="15">
      <formula>IF($J20&gt;$U$8,"TRUE","FALSE")</formula>
    </cfRule>
  </conditionalFormatting>
  <conditionalFormatting sqref="E20:H440">
    <cfRule type="expression" dxfId="72" priority="12">
      <formula>IF($I$8="No","TRUE","FALSE")</formula>
    </cfRule>
  </conditionalFormatting>
  <conditionalFormatting sqref="N20:X440">
    <cfRule type="expression" dxfId="71" priority="1">
      <formula>IF($J20=$U$8,"TRUE","FALSE")</formula>
    </cfRule>
    <cfRule type="expression" dxfId="70" priority="2">
      <formula>IF($J20&gt;$U$8,"TRUE","FALSE")</formula>
    </cfRule>
  </conditionalFormatting>
  <conditionalFormatting sqref="T5">
    <cfRule type="expression" dxfId="69" priority="7">
      <formula>IF($V$4="Monthly","TRUE","FALSE")</formula>
    </cfRule>
  </conditionalFormatting>
  <conditionalFormatting sqref="U5">
    <cfRule type="expression" dxfId="68" priority="13">
      <formula>IF(OR($V$4="Annual",$V$4="Monthly"),"TRUE","FALSE")</formula>
    </cfRule>
  </conditionalFormatting>
  <conditionalFormatting sqref="AB5:AB7">
    <cfRule type="expression" dxfId="67" priority="9">
      <formula>IF($AA5="N/A","TRUE","FALSE")</formula>
    </cfRule>
    <cfRule type="expression" dxfId="66" priority="10">
      <formula>IF($AA5="Fixed Amount","TRUE","FALSE")</formula>
    </cfRule>
    <cfRule type="expression" dxfId="65" priority="11">
      <formula>IF(OR($AA5="%/Payment",$AA5="%/Balance"),"TRUE","FALSE")</formula>
    </cfRule>
  </conditionalFormatting>
  <conditionalFormatting sqref="AC5:AC7">
    <cfRule type="expression" dxfId="64" priority="8">
      <formula>IF(OR($AA5="N/A",$AA5="Fixed Amount"),"TRUE","FALSE")</formula>
    </cfRule>
  </conditionalFormatting>
  <conditionalFormatting sqref="AE20:AP49">
    <cfRule type="expression" dxfId="63" priority="5">
      <formula>IF($AE20&gt;$M$5,"TRUE","FALSE")</formula>
    </cfRule>
    <cfRule type="expression" dxfId="62" priority="6">
      <formula>IF($AE20=$M$5,"TRUE","FALSE")</formula>
    </cfRule>
  </conditionalFormatting>
  <dataValidations count="3">
    <dataValidation type="list" allowBlank="1" showInputMessage="1" showErrorMessage="1" sqref="M10" xr:uid="{FB8FBE7F-7D67-4017-941D-34F865121FA2}">
      <formula1>"Flat, Standard, Aggressive, Regressive"</formula1>
    </dataValidation>
    <dataValidation type="list" allowBlank="1" showInputMessage="1" showErrorMessage="1" sqref="AA5:AA7" xr:uid="{E5E60989-9D0E-4EB5-B7D1-24A5D1EAE5BE}">
      <formula1>"%/Payment, %/Balance, Fixed Amount, N/A"</formula1>
    </dataValidation>
    <dataValidation type="list" allowBlank="1" showInputMessage="1" showErrorMessage="1" sqref="K7" xr:uid="{6702D813-B538-4596-AD7D-1239F6E1CE85}">
      <formula1>"Base Rate,Actual/360 Rate,Actual/365 Rate"</formula1>
    </dataValidation>
  </dataValidations>
  <printOptions horizontalCentered="1"/>
  <pageMargins left="0.65" right="0.65" top="0.65" bottom="0.65" header="0.5" footer="0.5"/>
  <pageSetup scale="63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B4649-6A68-46C3-A826-BD08F6F3FAED}">
  <sheetPr>
    <tabColor theme="4" tint="0.79998168889431442"/>
    <pageSetUpPr autoPageBreaks="0" fitToPage="1"/>
  </sheetPr>
  <dimension ref="A1:AW532"/>
  <sheetViews>
    <sheetView showGridLines="0" topLeftCell="M1" zoomScaleNormal="100" workbookViewId="0">
      <selection activeCell="U12" sqref="U12"/>
    </sheetView>
  </sheetViews>
  <sheetFormatPr defaultColWidth="16.140625" defaultRowHeight="12.75" outlineLevelCol="1" x14ac:dyDescent="0.2"/>
  <cols>
    <col min="1" max="1" width="7.42578125" style="1" customWidth="1"/>
    <col min="2" max="2" width="6.140625" style="406" hidden="1" customWidth="1" outlineLevel="1"/>
    <col min="3" max="4" width="3.7109375" style="22" hidden="1" customWidth="1" outlineLevel="1"/>
    <col min="5" max="5" width="14.140625" style="22" hidden="1" customWidth="1" outlineLevel="1"/>
    <col min="6" max="7" width="3.7109375" style="22" hidden="1" customWidth="1" outlineLevel="1"/>
    <col min="8" max="8" width="3.7109375" style="879" hidden="1" customWidth="1" outlineLevel="1"/>
    <col min="9" max="9" width="5.42578125" style="879" customWidth="1" collapsed="1"/>
    <col min="10" max="10" width="17.85546875" style="22" customWidth="1"/>
    <col min="11" max="12" width="14.28515625" style="22" customWidth="1"/>
    <col min="13" max="14" width="16.140625" style="22"/>
    <col min="15" max="15" width="18.28515625" style="22" hidden="1" customWidth="1" outlineLevel="1"/>
    <col min="16" max="16" width="18.140625" style="22" customWidth="1" collapsed="1"/>
    <col min="17" max="19" width="16.140625" style="22"/>
    <col min="20" max="21" width="16.140625" style="1"/>
    <col min="22" max="22" width="6.42578125" style="1" customWidth="1"/>
    <col min="23" max="26" width="18.7109375" style="1" hidden="1" customWidth="1" outlineLevel="1"/>
    <col min="27" max="27" width="16.140625" style="1" collapsed="1"/>
    <col min="28" max="28" width="9.28515625" style="1" customWidth="1"/>
    <col min="29" max="41" width="16.140625" style="1"/>
    <col min="42" max="42" width="23.28515625" style="1" customWidth="1"/>
    <col min="43" max="43" width="16.140625" style="1"/>
    <col min="44" max="44" width="12.140625" style="1" customWidth="1"/>
    <col min="45" max="16384" width="16.140625" style="1"/>
  </cols>
  <sheetData>
    <row r="1" spans="2:26" s="278" customFormat="1" ht="49.15" customHeight="1" x14ac:dyDescent="0.4">
      <c r="B1" s="409"/>
      <c r="C1" s="365"/>
      <c r="D1" s="365"/>
      <c r="E1" s="365"/>
      <c r="F1" s="365"/>
      <c r="G1" s="365"/>
      <c r="H1" s="876"/>
      <c r="I1" s="1053" t="s">
        <v>504</v>
      </c>
      <c r="J1" s="1054"/>
      <c r="K1" s="365"/>
      <c r="L1" s="366"/>
      <c r="M1" s="366"/>
      <c r="N1" s="366"/>
      <c r="O1" s="366"/>
      <c r="P1" s="365"/>
      <c r="Q1" s="279"/>
      <c r="R1" s="279"/>
      <c r="S1" s="279"/>
    </row>
    <row r="2" spans="2:26" s="278" customFormat="1" ht="4.5" customHeight="1" x14ac:dyDescent="0.25">
      <c r="B2" s="412"/>
      <c r="C2" s="280"/>
      <c r="D2" s="280"/>
      <c r="E2" s="280"/>
      <c r="F2" s="280"/>
      <c r="G2" s="280"/>
      <c r="H2" s="877"/>
      <c r="I2" s="877"/>
      <c r="J2" s="280"/>
      <c r="K2" s="280"/>
      <c r="L2" s="286"/>
      <c r="M2" s="286"/>
      <c r="N2" s="286"/>
      <c r="O2" s="286"/>
      <c r="P2" s="280"/>
      <c r="Q2" s="279"/>
      <c r="R2" s="279"/>
      <c r="S2" s="279"/>
    </row>
    <row r="3" spans="2:26" s="278" customFormat="1" ht="18" customHeight="1" x14ac:dyDescent="0.25">
      <c r="B3" s="409"/>
      <c r="C3" s="280"/>
      <c r="D3" s="280"/>
      <c r="E3" s="280"/>
      <c r="F3" s="280"/>
      <c r="G3" s="280"/>
      <c r="H3" s="877"/>
      <c r="I3" s="1564" t="s">
        <v>453</v>
      </c>
      <c r="J3" s="1564"/>
      <c r="K3" s="1564"/>
      <c r="L3" s="1565"/>
      <c r="M3" s="1055"/>
      <c r="P3" s="1561" t="s">
        <v>447</v>
      </c>
      <c r="Q3" s="1562"/>
      <c r="R3" s="1562"/>
      <c r="S3" s="1563"/>
      <c r="W3" s="1561" t="s">
        <v>458</v>
      </c>
      <c r="X3" s="1562"/>
      <c r="Y3" s="1562"/>
      <c r="Z3" s="1563"/>
    </row>
    <row r="4" spans="2:26" s="278" customFormat="1" ht="12" customHeight="1" x14ac:dyDescent="0.25">
      <c r="B4" s="409"/>
      <c r="C4" s="291"/>
      <c r="D4" s="291"/>
      <c r="E4" s="291"/>
      <c r="F4" s="291"/>
      <c r="G4" s="291"/>
      <c r="H4" s="878"/>
      <c r="I4" s="1566" t="s">
        <v>448</v>
      </c>
      <c r="J4" s="1567"/>
      <c r="K4" s="360"/>
      <c r="L4" s="874">
        <f>IF('Financing Assumptions'!$H$30="No",0,'Financing Assumptions'!$H$36)</f>
        <v>0</v>
      </c>
      <c r="P4" s="378" t="s">
        <v>449</v>
      </c>
      <c r="Q4" s="1056">
        <f>INDEX($AS$22:$AT$34,MATCH(Q$5,$AS$22:$AS$34,0),MATCH("Number",$AS$22:$AT$22,0))</f>
        <v>8</v>
      </c>
      <c r="R4" s="1056">
        <f>INDEX($AS$22:$AT$34,MATCH(R$5,$AS$22:$AS$34,0),MATCH("Number",$AS$22:$AT$22,0))</f>
        <v>3</v>
      </c>
      <c r="S4" s="1057" t="s">
        <v>379</v>
      </c>
      <c r="T4" s="873"/>
      <c r="U4" s="873"/>
      <c r="W4" s="1058" t="s">
        <v>505</v>
      </c>
      <c r="X4" s="1059" t="s">
        <v>506</v>
      </c>
      <c r="Y4" s="1059" t="s">
        <v>507</v>
      </c>
      <c r="Z4" s="1060" t="s">
        <v>508</v>
      </c>
    </row>
    <row r="5" spans="2:26" s="278" customFormat="1" ht="12" customHeight="1" x14ac:dyDescent="0.25">
      <c r="B5" s="409"/>
      <c r="C5" s="291"/>
      <c r="D5" s="291"/>
      <c r="E5" s="291"/>
      <c r="F5" s="291"/>
      <c r="G5" s="291"/>
      <c r="H5" s="878"/>
      <c r="I5" s="1568" t="s">
        <v>450</v>
      </c>
      <c r="J5" s="1569"/>
      <c r="K5" s="345"/>
      <c r="L5" s="1172">
        <f>IF('Financing Assumptions'!$H$30="No",0,'Financing Assumptions'!$H$38)</f>
        <v>0</v>
      </c>
      <c r="N5" s="875"/>
      <c r="P5" s="347" t="str">
        <f>IF(S4="Annual","Payment Month",IF($S$4="Bi-Annual","Payment Months",IF($S$4="Monthly","Payment Start Month")))</f>
        <v>Payment Start Month</v>
      </c>
      <c r="Q5" s="1179" t="s">
        <v>509</v>
      </c>
      <c r="R5" s="1179" t="s">
        <v>378</v>
      </c>
      <c r="S5" s="1180" t="str">
        <f>IF(S4="Monthly",K20,"")</f>
        <v>October</v>
      </c>
      <c r="T5" s="873"/>
      <c r="U5" s="873"/>
      <c r="W5" s="1063" t="s">
        <v>455</v>
      </c>
      <c r="X5" s="1064" t="s">
        <v>332</v>
      </c>
      <c r="Y5" s="1065">
        <v>250</v>
      </c>
      <c r="Z5" s="1066">
        <v>20000</v>
      </c>
    </row>
    <row r="6" spans="2:26" s="278" customFormat="1" ht="12" customHeight="1" x14ac:dyDescent="0.25">
      <c r="B6" s="409"/>
      <c r="C6" s="291"/>
      <c r="D6" s="291"/>
      <c r="E6" s="291"/>
      <c r="F6" s="291"/>
      <c r="G6" s="291"/>
      <c r="H6" s="878"/>
      <c r="I6" s="1570" t="s">
        <v>26</v>
      </c>
      <c r="J6" s="1571"/>
      <c r="K6" s="1067"/>
      <c r="L6" s="1171">
        <f>IF('Financing Assumptions'!$H$30="No",0,'Financing Assumptions'!$H$37)</f>
        <v>0</v>
      </c>
      <c r="N6" s="875"/>
      <c r="P6" s="378" t="s">
        <v>462</v>
      </c>
      <c r="Q6" s="360"/>
      <c r="R6" s="1181">
        <f>IF($S$4="Annual",$L$5,IF($S$4="Bi-Annual",$L$5*2,IF($S$4="Monthly",$L$5*12)))</f>
        <v>0</v>
      </c>
      <c r="S6" s="1107"/>
      <c r="T6" s="873"/>
      <c r="U6" s="873"/>
      <c r="W6" s="1063" t="s">
        <v>456</v>
      </c>
      <c r="X6" s="1064" t="s">
        <v>332</v>
      </c>
      <c r="Y6" s="1065">
        <v>1125</v>
      </c>
      <c r="Z6" s="1066">
        <v>0</v>
      </c>
    </row>
    <row r="7" spans="2:26" s="278" customFormat="1" ht="12" customHeight="1" x14ac:dyDescent="0.25">
      <c r="B7" s="409"/>
      <c r="C7" s="291"/>
      <c r="D7" s="291"/>
      <c r="E7" s="291"/>
      <c r="F7" s="291"/>
      <c r="G7" s="291"/>
      <c r="H7" s="878"/>
      <c r="I7" s="1069"/>
      <c r="J7" s="1070" t="s">
        <v>308</v>
      </c>
      <c r="K7" s="1071"/>
      <c r="L7" s="1171">
        <f>IF($J$7="Actual/360 Rate",($L$6/360)*365,IF($J$7="Base Rate",$L$6))</f>
        <v>0</v>
      </c>
      <c r="P7" s="379" t="s">
        <v>510</v>
      </c>
      <c r="Q7" s="342"/>
      <c r="R7" s="1080">
        <f>IF($S$4="Annual",$L$5-$AQ$27,IF($S$4="Bi-Annual",($L$5*2)-$AQ$27,IF($S$4="Monthly",($L$5*12)-$AQ$27)))</f>
        <v>0</v>
      </c>
      <c r="S7" s="568"/>
      <c r="T7" s="345"/>
      <c r="U7" s="345"/>
      <c r="W7" s="1073" t="s">
        <v>457</v>
      </c>
      <c r="X7" s="1064" t="s">
        <v>332</v>
      </c>
      <c r="Y7" s="1074">
        <v>500</v>
      </c>
      <c r="Z7" s="1075">
        <v>0</v>
      </c>
    </row>
    <row r="8" spans="2:26" s="278" customFormat="1" ht="12" customHeight="1" x14ac:dyDescent="0.25">
      <c r="B8" s="409"/>
      <c r="C8" s="291"/>
      <c r="D8" s="291"/>
      <c r="E8" s="291"/>
      <c r="F8" s="291"/>
      <c r="G8" s="291"/>
      <c r="H8" s="878"/>
      <c r="I8" s="1568" t="s">
        <v>431</v>
      </c>
      <c r="J8" s="1569"/>
      <c r="K8" s="881"/>
      <c r="L8" s="1182">
        <f>YEAR('Financing Assumptions'!$H$34)</f>
        <v>2027</v>
      </c>
      <c r="P8" s="347" t="s">
        <v>511</v>
      </c>
      <c r="Q8" s="345"/>
      <c r="R8" s="345"/>
      <c r="S8" s="1082">
        <f>IF('Financing Assumptions'!$H$30="No",0,IF($S$4="Annual",PMT($L$7,($R$6-$AQ$29),$L$4),IF($S$4="Bi-Annual",PMT($L$7/2,($R$6-$AQ$29),$L$4),IF($S$4="Monthly",PMT($L$7/12,($R$6-$AQ$27),$L$4)))))</f>
        <v>0</v>
      </c>
      <c r="W8" s="378" t="str">
        <f>"Total "&amp;W5</f>
        <v>Total Collection Fee</v>
      </c>
      <c r="X8" s="360"/>
      <c r="Y8" s="360"/>
      <c r="Z8" s="1078">
        <f>SUMIFS(W20:W379,I20:I379,"&lt;="&amp;$R$6)</f>
        <v>0</v>
      </c>
    </row>
    <row r="9" spans="2:26" s="278" customFormat="1" ht="11.85" customHeight="1" x14ac:dyDescent="0.25">
      <c r="B9" s="409"/>
      <c r="C9" s="291"/>
      <c r="D9" s="291"/>
      <c r="E9" s="291"/>
      <c r="F9" s="291"/>
      <c r="G9" s="291"/>
      <c r="H9" s="878"/>
      <c r="I9" s="1579" t="s">
        <v>430</v>
      </c>
      <c r="J9" s="1580"/>
      <c r="K9" s="1183"/>
      <c r="L9" s="1455" t="str">
        <f>INDEX($AT$22:$AU$34,MATCH(MONTH('Financing Assumptions'!$H$34),$AT$22:$AT$34,0),MATCH("MONTH",$AT$22:$AU$22,0))</f>
        <v>September</v>
      </c>
      <c r="P9" s="347" t="s">
        <v>512</v>
      </c>
      <c r="Q9" s="345"/>
      <c r="R9" s="345"/>
      <c r="S9" s="1085">
        <f>IF('Financing Assumptions'!$H$30="No",0,IF($S$4="Annual",$S$8,IF($S$4="Bi-Annual",$S$8*2,IF($S$4="Monthly",S8*12))))</f>
        <v>0</v>
      </c>
      <c r="W9" s="347" t="str">
        <f>"Total "&amp;W6</f>
        <v>Total Lender Service Fee</v>
      </c>
      <c r="X9"/>
      <c r="Y9"/>
      <c r="Z9" s="1081">
        <f>SUMIFS(X20:X379,I20:I379,"&lt;="&amp;$R$6)</f>
        <v>0</v>
      </c>
    </row>
    <row r="10" spans="2:26" s="278" customFormat="1" ht="11.85" customHeight="1" x14ac:dyDescent="0.25">
      <c r="B10" s="409"/>
      <c r="C10" s="291"/>
      <c r="D10" s="291"/>
      <c r="E10" s="291"/>
      <c r="F10" s="291"/>
      <c r="G10" s="291"/>
      <c r="H10" s="878"/>
      <c r="I10" s="1579" t="s">
        <v>431</v>
      </c>
      <c r="J10" s="1580"/>
      <c r="K10" s="1183"/>
      <c r="L10" s="1456">
        <f>AQ24</f>
        <v>46660</v>
      </c>
      <c r="P10" s="378" t="s">
        <v>514</v>
      </c>
      <c r="Q10" s="360"/>
      <c r="R10" s="360"/>
      <c r="S10" s="1088">
        <f>IF('Financing Assumptions'!$H$30="No",0,SUM(S11:S12))</f>
        <v>0</v>
      </c>
      <c r="U10" s="1186"/>
      <c r="W10" s="379" t="str">
        <f>"Total "&amp;W7</f>
        <v>Total County Admin Fee</v>
      </c>
      <c r="X10" s="1050"/>
      <c r="Y10" s="1050"/>
      <c r="Z10" s="1083">
        <f>SUMIFS(Y20:Y379,I20:I379,"&lt;="&amp;$R$6)</f>
        <v>0</v>
      </c>
    </row>
    <row r="11" spans="2:26" s="278" customFormat="1" ht="11.85" customHeight="1" x14ac:dyDescent="0.25">
      <c r="B11" s="409"/>
      <c r="C11" s="291"/>
      <c r="D11" s="291"/>
      <c r="E11" s="291"/>
      <c r="F11" s="291"/>
      <c r="G11" s="291"/>
      <c r="H11" s="878"/>
      <c r="I11" s="1566" t="s">
        <v>459</v>
      </c>
      <c r="J11" s="1567"/>
      <c r="K11" s="1076">
        <f>L11/12</f>
        <v>0</v>
      </c>
      <c r="L11" s="892">
        <f>IF('Financing Assumptions'!$H$30="No",0,'Financing Assumptions'!$H$39)</f>
        <v>0</v>
      </c>
      <c r="N11" s="315"/>
      <c r="O11" s="315"/>
      <c r="P11" s="347" t="s">
        <v>517</v>
      </c>
      <c r="Q11" s="345"/>
      <c r="R11" s="345"/>
      <c r="S11" s="1174">
        <f>IF('Financing Assumptions'!$H$30="No",0,INDEX($I$19:$T$440,MATCH($R$6,$I$19:$I$440,0),MATCH($R$19,$I$19:$T$19,0)))</f>
        <v>0</v>
      </c>
      <c r="W11" s="378" t="s">
        <v>513</v>
      </c>
      <c r="X11" s="360"/>
      <c r="Y11" s="360"/>
      <c r="Z11" s="1086">
        <f>SUM(SUMIFS($W$20:$W$379,$I$20:$I$379,"&lt;="&amp;$R$6),SUMIFS($X$20:$X$379,$I$20:$I$379,"&lt;="&amp;$R$6),SUMIFS($Y$20:$Y$379,$I$20:$I$379,"&lt;="&amp;$R$6))</f>
        <v>0</v>
      </c>
    </row>
    <row r="12" spans="2:26" s="278" customFormat="1" ht="11.85" customHeight="1" x14ac:dyDescent="0.25">
      <c r="B12" s="409"/>
      <c r="C12" s="291"/>
      <c r="D12" s="291"/>
      <c r="E12" s="291"/>
      <c r="F12" s="291"/>
      <c r="G12" s="291"/>
      <c r="H12" s="878"/>
      <c r="I12" s="1572" t="s">
        <v>162</v>
      </c>
      <c r="J12" s="1573"/>
      <c r="K12" s="1079">
        <f>L12/12</f>
        <v>0</v>
      </c>
      <c r="L12" s="518">
        <f>IF('Financing Assumptions'!$H$30="No",0,0)</f>
        <v>0</v>
      </c>
      <c r="N12" s="315"/>
      <c r="O12" s="315"/>
      <c r="P12" s="347" t="s">
        <v>518</v>
      </c>
      <c r="Q12" s="345"/>
      <c r="R12" s="345"/>
      <c r="S12" s="1174">
        <f>IF('Financing Assumptions'!$H$30="No",0,INDEX($I$19:$T$440,MATCH($R$6,$I$19:$I$440,0),MATCH($S$19,$I$19:$T$19,0))-L13)</f>
        <v>0</v>
      </c>
      <c r="W12" s="379" t="s">
        <v>515</v>
      </c>
      <c r="X12" s="1050"/>
      <c r="Y12" s="1050"/>
      <c r="Z12" s="1083">
        <f>SUMIFS(Z20:Z379,I20:I379,"&lt;="&amp;$R$6)</f>
        <v>0</v>
      </c>
    </row>
    <row r="13" spans="2:26" s="278" customFormat="1" ht="11.85" customHeight="1" x14ac:dyDescent="0.25">
      <c r="B13" s="409"/>
      <c r="C13" s="291"/>
      <c r="D13" s="291"/>
      <c r="E13" s="291"/>
      <c r="F13" s="291"/>
      <c r="G13" s="291"/>
      <c r="H13" s="878"/>
      <c r="I13" s="1581" t="s">
        <v>516</v>
      </c>
      <c r="J13" s="1582"/>
      <c r="K13" s="1187"/>
      <c r="L13" s="1188">
        <f>IF($L$12=0,0,INDEX($I$19:$T$379,MATCH($AQ$29,$I$19:$I$379,0),MATCH($S$19,$I$19:$T$19,0)))</f>
        <v>0</v>
      </c>
      <c r="N13" s="315"/>
      <c r="O13" s="315"/>
      <c r="P13" s="378" t="s">
        <v>546</v>
      </c>
      <c r="Q13" s="360"/>
      <c r="R13" s="1457">
        <f>IF($S$4="Monthly",INDEX($B$19:$I$440,MATCH($S$13,$E$19:$E$440,0),MATCH("Period",$B$19:$I$19,0)),IF(AND($S$4="Annual",$AR$40&gt;$Q$4),INDEX($B$19:$I$440,MATCH(EOMONTH(DATE(YEAR($S$13)+1,$Q$4,1),0),$E$19:$E$440,0),MATCH("Period",$B$19:$I$19,0)),IF(AND($S$4="Annual",$AR$40&lt;=$Q$4),INDEX($B$19:$I$440,MATCH(EOMONTH(DATE(YEAR($S$13),$Q$4,1),0),$E$19:$E$440,0),MATCH("Period",$B$19:$I$19,0)),IF(AND($S$4="Bi-Annual",$AR$40&gt;MAX($Q$4,$R$4)),INDEX($B$19:$I$440,MATCH(EOMONTH(DATE(YEAR($S$13)+1,MIN($Q$4,$R$4),1),0),$E$19:$E$440,0),MATCH("Period",$B$19:$I$19,0)),IF(AND($S$4="Bi-Annual",$AR$40&lt;MIN($Q$4,$R$4)),INDEX($B$19:$I$440,MATCH(EOMONTH(DATE(YEAR($S$13)-1,MAX($Q$4,$R$4),1),0),$E$19:$E$440,0),MATCH("Period",$B$19:$I$19,0)),IF(AND($S$4="Bi-Annual",$AR$40&gt;MIN($Q$4,$R$4),$AR$40&lt;MAX($Q$4,$R$4)),INDEX($B$19:$I$440,MATCH(EOMONTH(DATE(YEAR($S$13),MAX($Q$4,$R$4),1),0),$E$19:$E$440,0),MATCH("Period",$B$19:$I$19,0)),IF(AND($S$4="Bi-Annual",$AR$40=MIN($Q$4,$R$4)),INDEX($B$19:$I$440,MATCH(EOMONTH(DATE(YEAR($S$13),MAX($Q$4,$R$4),1),0),$E$19:$E$440,0),MATCH("Period",$B$19:$I$19,0)),IF(AND($S$4="Bi-Annual",$AR$40=MAX($Q$4,$R$4)),INDEX($B$19:$I$440,MATCH(EOMONTH(DATE(YEAR($S$13)+1,MIN($Q$4,$R$4),1),0),$E$19:$E$440,0),MATCH("Period",$B$19:$I$19,0))))))))))</f>
        <v>419</v>
      </c>
      <c r="S13" s="1189">
        <f>'Financing Assumptions'!H35</f>
        <v>59414</v>
      </c>
    </row>
    <row r="14" spans="2:26" s="278" customFormat="1" ht="11.85" customHeight="1" x14ac:dyDescent="0.25">
      <c r="B14" s="409"/>
      <c r="C14" s="291"/>
      <c r="D14" s="291"/>
      <c r="E14" s="291"/>
      <c r="F14" s="291"/>
      <c r="G14" s="291"/>
      <c r="H14" s="878"/>
      <c r="I14" s="878"/>
      <c r="J14" s="279"/>
      <c r="K14" s="279"/>
      <c r="L14" s="279"/>
      <c r="M14" s="279"/>
      <c r="P14" s="379" t="s">
        <v>547</v>
      </c>
      <c r="Q14" s="342"/>
      <c r="R14" s="1458">
        <f>IF($AR$39="Full-Term",$R$13,$R$13-1)</f>
        <v>418</v>
      </c>
      <c r="S14" s="1091">
        <f>INDEX($E$19:$I$440,MATCH($R$14,$I$19:$I$440,0),MATCH("Date",$E$19:$I$19,0))</f>
        <v>59383</v>
      </c>
    </row>
    <row r="15" spans="2:26" s="278" customFormat="1" ht="11.85" customHeight="1" x14ac:dyDescent="0.25">
      <c r="B15" s="409"/>
      <c r="C15" s="291"/>
      <c r="D15" s="291"/>
      <c r="E15" s="291"/>
      <c r="F15" s="291"/>
      <c r="G15" s="291"/>
      <c r="H15" s="878"/>
      <c r="I15" s="878"/>
      <c r="J15" s="279"/>
      <c r="K15" s="279"/>
      <c r="L15" s="279"/>
      <c r="M15" s="279"/>
      <c r="N15" s="315"/>
      <c r="O15" s="315"/>
      <c r="R15" s="279"/>
      <c r="S15" s="279"/>
    </row>
    <row r="16" spans="2:26" s="278" customFormat="1" ht="11.85" customHeight="1" x14ac:dyDescent="0.25">
      <c r="B16" s="409"/>
      <c r="C16" s="291"/>
      <c r="D16" s="291"/>
      <c r="E16" s="291"/>
      <c r="F16" s="291"/>
      <c r="G16" s="291"/>
      <c r="H16" s="878"/>
      <c r="I16" s="878"/>
      <c r="J16" s="279"/>
      <c r="K16" s="279"/>
      <c r="L16" s="279"/>
      <c r="M16" s="279"/>
    </row>
    <row r="17" spans="2:49" s="278" customFormat="1" ht="11.85" customHeight="1" x14ac:dyDescent="0.25">
      <c r="B17" s="410"/>
      <c r="C17" s="280"/>
      <c r="D17" s="280"/>
      <c r="E17" s="280"/>
      <c r="F17" s="280"/>
      <c r="G17" s="280"/>
      <c r="H17" s="877"/>
      <c r="I17" s="877"/>
      <c r="J17" s="279"/>
      <c r="K17" s="279"/>
      <c r="M17" s="279"/>
    </row>
    <row r="18" spans="2:49" s="278" customFormat="1" ht="18" customHeight="1" x14ac:dyDescent="0.25">
      <c r="B18" s="410"/>
      <c r="C18" s="280" t="s">
        <v>520</v>
      </c>
      <c r="D18" s="280"/>
      <c r="E18" s="280"/>
      <c r="F18" s="280"/>
      <c r="G18" s="280"/>
      <c r="H18" s="877"/>
      <c r="I18" s="1576" t="s">
        <v>451</v>
      </c>
      <c r="J18" s="1577"/>
      <c r="K18" s="1577"/>
      <c r="L18" s="1577"/>
      <c r="M18" s="1577"/>
      <c r="N18" s="1577"/>
      <c r="O18" s="1577"/>
      <c r="P18" s="1577"/>
      <c r="Q18" s="1577"/>
      <c r="R18" s="1577"/>
      <c r="S18" s="1577"/>
      <c r="T18" s="1577"/>
      <c r="U18" s="1578"/>
      <c r="W18" s="1561" t="s">
        <v>458</v>
      </c>
      <c r="X18" s="1562"/>
      <c r="Y18" s="1562"/>
      <c r="Z18" s="1563"/>
      <c r="AB18" s="1561" t="s">
        <v>521</v>
      </c>
      <c r="AC18" s="1562"/>
      <c r="AD18" s="1562"/>
      <c r="AE18" s="1562"/>
      <c r="AF18" s="1562"/>
      <c r="AG18" s="1562"/>
      <c r="AH18" s="1562"/>
      <c r="AI18" s="1562"/>
      <c r="AJ18" s="1562"/>
      <c r="AK18" s="1562"/>
      <c r="AL18" s="1562"/>
      <c r="AM18" s="1563"/>
      <c r="AU18" s="1092"/>
      <c r="AV18" s="1092"/>
      <c r="AW18" s="1093"/>
    </row>
    <row r="19" spans="2:49" s="278" customFormat="1" ht="27" customHeight="1" x14ac:dyDescent="0.25">
      <c r="B19" s="1094" t="s">
        <v>33</v>
      </c>
      <c r="C19" s="893"/>
      <c r="D19" s="893"/>
      <c r="E19" s="1095" t="s">
        <v>227</v>
      </c>
      <c r="F19" s="893"/>
      <c r="G19" s="893"/>
      <c r="H19" s="894"/>
      <c r="I19" s="1190" t="s">
        <v>460</v>
      </c>
      <c r="J19" s="333" t="s">
        <v>452</v>
      </c>
      <c r="K19" s="332" t="s">
        <v>33</v>
      </c>
      <c r="L19" s="332" t="s">
        <v>32</v>
      </c>
      <c r="M19" s="332" t="s">
        <v>34</v>
      </c>
      <c r="N19" s="332" t="s">
        <v>42</v>
      </c>
      <c r="O19" s="332" t="s">
        <v>523</v>
      </c>
      <c r="P19" s="332" t="s">
        <v>9</v>
      </c>
      <c r="Q19" s="332" t="s">
        <v>43</v>
      </c>
      <c r="R19" s="334" t="s">
        <v>38</v>
      </c>
      <c r="S19" s="332" t="s">
        <v>39</v>
      </c>
      <c r="T19" s="332" t="s">
        <v>40</v>
      </c>
      <c r="U19" s="331" t="s">
        <v>524</v>
      </c>
      <c r="W19" s="333" t="str">
        <f>W5</f>
        <v>Collection Fee</v>
      </c>
      <c r="X19" s="334" t="str">
        <f>W6</f>
        <v>Lender Service Fee</v>
      </c>
      <c r="Y19" s="332" t="str">
        <f>W7</f>
        <v>County Admin Fee</v>
      </c>
      <c r="Z19" s="331" t="s">
        <v>525</v>
      </c>
      <c r="AB19" s="335"/>
      <c r="AC19" s="332" t="s">
        <v>32</v>
      </c>
      <c r="AD19" s="332" t="s">
        <v>34</v>
      </c>
      <c r="AE19" s="332" t="s">
        <v>42</v>
      </c>
      <c r="AF19" s="332" t="s">
        <v>9</v>
      </c>
      <c r="AG19" s="332" t="s">
        <v>43</v>
      </c>
      <c r="AH19" s="332" t="s">
        <v>419</v>
      </c>
      <c r="AI19" s="334" t="s">
        <v>38</v>
      </c>
      <c r="AJ19" s="332" t="s">
        <v>39</v>
      </c>
      <c r="AK19" s="332" t="s">
        <v>526</v>
      </c>
      <c r="AL19" s="332" t="s">
        <v>40</v>
      </c>
      <c r="AM19" s="331"/>
      <c r="AU19" s="345"/>
      <c r="AV19" s="1092"/>
      <c r="AW19" s="1093"/>
    </row>
    <row r="20" spans="2:49" s="278" customFormat="1" ht="12" customHeight="1" x14ac:dyDescent="0.25">
      <c r="B20" s="1191">
        <f>'Financing Assumptions'!G34</f>
        <v>20</v>
      </c>
      <c r="C20" s="732">
        <f t="shared" ref="C20:C83" si="0">DAY(EOMONTH(DATE($L20,$D20,1),0))</f>
        <v>31</v>
      </c>
      <c r="D20" s="35">
        <f t="shared" ref="D20:D83" si="1">INDEX($AS$22:$AT$34,MATCH($K20,$AS$22:$AS$34,0),MATCH("Number",$AS$22:$AT$22,0))</f>
        <v>10</v>
      </c>
      <c r="E20" s="889">
        <f>DATE(L20,D20,C20)</f>
        <v>46691</v>
      </c>
      <c r="F20" s="822">
        <f t="shared" ref="F20:F83" si="2">INDEX($AS$22:$AT$34,MATCH($K20,$AS$22:$AS$34,0),MATCH("Number",$AS$22:$AT$22,0))</f>
        <v>10</v>
      </c>
      <c r="G20" s="126">
        <f t="shared" ref="G20:G83" si="3">IF($S$4="Monthly",INDEX($AS$36:$AT$48,MATCH($K20,$AS$36:$AS$48,0),MATCH("Number",$AS$36:$AT$36,0)),0)</f>
        <v>0</v>
      </c>
      <c r="H20" s="1098">
        <f>IF($S$4="Annual",1,IF(AND($S$4="Bi-Annual",$F20&gt;$F21),1,IF(AND($S$4="Bi-Annual",$F20&lt;$F21),0,IF($S$4="Monthly",0,))))</f>
        <v>0</v>
      </c>
      <c r="I20" s="886">
        <v>1</v>
      </c>
      <c r="J20" s="1099">
        <f>IF($I20&lt;$AQ$29,0,1)</f>
        <v>1</v>
      </c>
      <c r="K20" s="891" t="str">
        <f>IF($S$4="Annual",$Q$5,IF(AND($S$4="Bi-Annual",($AR$23+1)&gt;MAX($Q$4,$R$4)),INDEX($AT$22:$AU$34,MATCH(MIN($Q$4,$R$4),$AT$22:$AT$34,0),MATCH("Month",$AT$22:$AU$22,0)),IF(AND($S$4="Bi-Annual",($AR$23+1)&lt;=MIN($Q$4,$R$4)),INDEX($AT$22:$AU$34,MATCH(MIN($Q$4,$R$4),$AT$22:$AT$34,0),MATCH("Month",$AT$22:$AU$22,0)),IF(AND($S$4="Bi-Annual",($AR$23+1)&gt;MIN($Q$4,$R$4),($AR$23+1)&lt;=MAX($Q$4,$R$4)),INDEX($AT$22:$AU$34,MATCH(MAX($Q$4,$R$4),$AT$22:$AT$34,0),MATCH("Month",$AT$22:$AU$22,0)),IF($S$4="Monthly",INDEX($AT$22:$AU$34,MATCH($AR$23+1,$AT$22:$AT$34,0),MATCH("Month",$AT$22:$AU$22,0)))))))</f>
        <v>October</v>
      </c>
      <c r="L20" s="888">
        <f>IF(AND($S$4="Annual",($AR$23+1)&lt;$Q$4),$L$8,IF(AND($S$4="Annual",($AR$23+1)&gt;$Q$4),$L$8+1,IF(AND($S$4="Bi-Annual",($AR$23+1)&lt;MAX($Q$4,$R$4)),$L$8,IF(AND($S$4="Bi-Annual",($AR$23+1)&gt;MAX($Q$4,$R$4)),$L$8+1,IF(AND($S$4="Monthly",$L$9&lt;&gt;"December"),$L$8,IF(AND($S$4="Monthly",$L$9="December"),L8+1))))))</f>
        <v>2027</v>
      </c>
      <c r="M20" s="883">
        <f>L4</f>
        <v>0</v>
      </c>
      <c r="N20" s="883">
        <f>IF($I20&gt;$R$6,0,IF(AND($AQ$29&gt;=0,$I20&lt;=$AQ$29),0,IF(AND($AQ$27&gt;=0,$I20&lt;=$AQ$27),$Q20,IF(AND($S$4="Annual",$AQ$27&gt;=0,$AQ$29&gt;=0,$I20&gt;$AQ$27,$I20&gt;$AQ$29),PMT($L$7,($R$6-$AQ$27),$L$4),IF(AND($S$4="Bi-Annual",$AQ$27&gt;=0,$AQ$29&gt;=0,$I20&gt;$AQ$27,$I20&gt;$AQ$29),PMT($L$7/2,($R$6-$AQ$27),$L$4),IF(AND($S$4="Monthly",$AQ$27&gt;=0,$AQ$29&gt;=0,$I20&gt;$AQ$27,$I20&gt;$AQ$29),PMT($L$7/12,($R$6-$AQ$27),$L$4)))))))-O20</f>
        <v>0</v>
      </c>
      <c r="O20" s="1100">
        <v>0</v>
      </c>
      <c r="P20" s="883">
        <f t="shared" ref="P20:P83" si="4">IF(AND($AR$39="Early Payoff",I20&gt;=$R$13),0,IF($I20&gt;$R$6,0,IF(AND($AQ$29&gt;0,$I20&lt;=$AQ$29),0,+$N20-$Q20)))</f>
        <v>0</v>
      </c>
      <c r="Q20" s="884">
        <f>IF($S$4="Annual",-$L$7*$L$4*1,IF($S$4="Bi-Annual",(-$L$7/2)*$L$4*1,IF($S$4="Monthly",(-$L$7/12)*$L$4*1)))</f>
        <v>0</v>
      </c>
      <c r="R20" s="884">
        <f>IF($I20&lt;=$R$6,SUM($P$20:$P20),0)</f>
        <v>0</v>
      </c>
      <c r="S20" s="884">
        <f>IF($I20&lt;=$R$6,SUM($Q$20:$Q20),0)</f>
        <v>0</v>
      </c>
      <c r="T20" s="873">
        <f>IF($J20&lt;=$R$13,SUM($M20,$P20),0)</f>
        <v>0</v>
      </c>
      <c r="U20" s="1110">
        <f>IF($S$4="Monthly",$M20,IF(AND(OR($S$4="Annual",$S$4="Bi-Annual"),$I20=$AQ$49),INDEX($I$19:$T$379,MATCH($AQ$49,$I$19:$I$2379,0),MATCH($T$19,$I$19:$T$19,0)),IF(AND(OR($S$4="Annual",$S$4="Bi-Annual"),$I20&lt;=$AQ$49),$M20,0)))</f>
        <v>0</v>
      </c>
      <c r="W20" s="1102">
        <f t="shared" ref="W20:W83" si="5">IF($I20&gt;$R$6,0,IF($I20&lt;=$AQ$27,0,IF(AND($X$5="%/Payment",$Z$5=0),$N20*$Y$5,IF(AND($X$5="%/Payment",$Z$5&gt;0,($N20*$Y$5)&lt;$Z$5),$N20*$Y$5,IF(AND($X$5="%/Payment",$Z$5&gt;0,($N20*$Y$5)&gt;$Z$5),-$Z$5,IF(AND($X$5="%/Balance",$Z$5=0),-$T20*$Y$5,IF(AND($X$5="%/Balance",$Z$5&gt;0,($T20*$Y$5)&lt;$Z$5),-$T20*$Y$5,IF(AND($X$5="%/Balance",$Z$5&gt;0,($T20*$Y$5)&gt;$Z$5),-$Z$5,IF($X$5="Fixed Amount",-$Y$5,IF($X$5="N/A",0))))))))))</f>
        <v>0</v>
      </c>
      <c r="X20" s="873">
        <f t="shared" ref="X20:X83" si="6">IF($I20&gt;$R$6,0,IF($I20&lt;=$AQ$27,0,IF(AND($X$6="%/Payment",$Z$6=0),$N20*$Y$6,IF(AND($X$6="%/Payment",$Z$6&gt;0,($N20*$Y$6)&lt;$Z$6),$N20*$Y$6,IF(AND($X$6="%/Payment",$Z$6&gt;0,($N20*$Y$6)&gt;$Z$6),-$Z$6,IF(AND($X$6="%/Balance",$Z$6=0),-$T20*$Y$6,IF(AND($X$6="%/Balance",$Z$6&gt;0,($T20*$Y$6)&lt;$Z$6),-$T20*$Y$6,IF(AND($X$6="%/Balance",$Z$6&gt;0,($T20*$Y$6)&gt;$Z$6),-$Z$6,IF($X$6="Fixed Amount",-$Y$6,IF($X$6="N/A",0))))))))))</f>
        <v>0</v>
      </c>
      <c r="Y20" s="873">
        <f t="shared" ref="Y20:Y83" si="7">IF($I20&gt;$R$6,0,IF($I20&lt;=$AQ$27,0,IF(AND($X$7="%/Payment",$Z$7=0),$N20*$Y$7,IF(AND($X$7="%/Payment",$Z$7&gt;0,($N20*$Y$7)&lt;$Z$7),$N20*$Y$7,IF(AND($X$7="%/Payment",$Z$7&gt;0,($N20*$Y$7)&gt;$Z$7),-$Z$7,IF(AND($X$7="%/Balance",$Z$7=0),-$T20*$Y$7,IF(AND($X$7="%/Balance",$Z$7&gt;0,($T20*$Y$7)&lt;$Z$7),-$T20*$Y$7,IF(AND($X$7="%/Balance",$Z$7&gt;0,($N20*$Y$7)&gt;$Z$7),-$Z$7,IF($X$7="Fixed Amount",-$Y$7,IF($X$7="N/A",0))))))))))</f>
        <v>0</v>
      </c>
      <c r="Z20" s="885">
        <f t="shared" ref="Z20:Z83" si="8">SUM($N20,$W20:$Y20)</f>
        <v>0</v>
      </c>
      <c r="AB20" s="355">
        <f>IF(AND($S$4="Annual",$L$20=$L$8,$Q$4&gt;$AR$23),1,IF(AND($S$4="Annual",$L$20&gt;$L$8),1,IF(AND($S$4="Annual",$L$20=$L$8),0,IF(AND($S$4="Bi-Annual",$L$20=$L$8),0,IF(AND($S$4="Bi-Annual",$L$20&gt;$L$8),1,IF(AND(S4="Monthly",$K$20="January"),1,IF(AND(S4="Monthly",$K$20&lt;&gt;"January"),0)))))))</f>
        <v>0</v>
      </c>
      <c r="AC20" s="1103">
        <f>$L$20</f>
        <v>2027</v>
      </c>
      <c r="AD20" s="1104">
        <f>INDEX($L$19:$M$379,MATCH($AC20,$L$19:$L$379,0),MATCH($AD$19,$L$19:$M$19,0))</f>
        <v>0</v>
      </c>
      <c r="AE20" s="1104">
        <f>SUMIFS($Z$20:$Z$379,$L$20:$L$379,"="&amp;$AC20)</f>
        <v>0</v>
      </c>
      <c r="AF20" s="1104">
        <f>SUMIFS($P$20:$P$379,$L$20:$L$379,"="&amp;$AC20)</f>
        <v>0</v>
      </c>
      <c r="AG20" s="1104">
        <f>SUMIFS($Q$20:$Q$379,$L$20:$L$379,"="&amp;$AC20)</f>
        <v>0</v>
      </c>
      <c r="AH20" s="1104">
        <f>SUMIFS($W$20:$W$379,$L$20:$L$379,"="&amp;$AC20)+SUMIFS($X$20:$X$379,$L$20:$L$379,"="&amp;$AC20)+SUMIFS($Y$20:$Y$379,$L$20:$L$379,"="&amp;$AC20)</f>
        <v>0</v>
      </c>
      <c r="AI20" s="1104">
        <f>IF($AD20=0,0,SUM($AF$20:$AF20))</f>
        <v>0</v>
      </c>
      <c r="AJ20" s="1104">
        <f>IF($AD20=0,0,SUM($AG$20:$AG20))</f>
        <v>0</v>
      </c>
      <c r="AK20" s="1104">
        <f>SUM($AH$20:$AH20)</f>
        <v>0</v>
      </c>
      <c r="AL20" s="1104">
        <f>AD20+AF20</f>
        <v>0</v>
      </c>
      <c r="AM20" s="1104"/>
      <c r="AN20" s="347"/>
      <c r="AP20" s="1106" t="s">
        <v>44</v>
      </c>
      <c r="AQ20" s="360"/>
      <c r="AR20" s="360"/>
      <c r="AS20" s="360"/>
      <c r="AT20" s="360"/>
      <c r="AU20" s="1107"/>
      <c r="AV20" s="1092"/>
      <c r="AW20" s="1093"/>
    </row>
    <row r="21" spans="2:49" s="278" customFormat="1" ht="12" customHeight="1" x14ac:dyDescent="0.25">
      <c r="B21" s="1192">
        <f>B20+1</f>
        <v>21</v>
      </c>
      <c r="C21" s="732">
        <f>DAY(EOMONTH(DATE($L21,$D21,1),0))</f>
        <v>30</v>
      </c>
      <c r="D21" s="35">
        <f t="shared" si="1"/>
        <v>11</v>
      </c>
      <c r="E21" s="889">
        <f>DATE(L21,D21,C21)</f>
        <v>46721</v>
      </c>
      <c r="F21" s="822">
        <f t="shared" si="2"/>
        <v>11</v>
      </c>
      <c r="G21" s="126">
        <f t="shared" si="3"/>
        <v>0</v>
      </c>
      <c r="H21" s="1098">
        <f>IF($S$4="Annual",1,IF(AND($S$4="Bi-Annual",$F21&gt;$F22),1,IF(AND($S$4="Bi-Annual",$F21&lt;$F22),0,IF($S$4="Monthly",0,))))</f>
        <v>0</v>
      </c>
      <c r="I21" s="887">
        <f>I20+1</f>
        <v>2</v>
      </c>
      <c r="J21" s="1099">
        <f t="shared" ref="J21:J84" si="9">IF($I21&lt;=$AQ$29,0,IF($I20&gt;=$AQ$29,$J20+1))</f>
        <v>2</v>
      </c>
      <c r="K21" s="891" t="str">
        <f t="shared" ref="K21:K84" si="10">IF($S$4="Annual",$Q$5,IF(AND($S$4="Bi-Annual",$F20&lt;MAX($Q$4,$R$4)),INDEX($AT$22:$AU$34,MATCH(MAX($Q$4,$R$4),$AT$22:$AT$34,0),MATCH("Month",$AT$22:$AU$22,0)),IF(AND($S$4="Bi-Annual",$F20=MAX($Q$4,$R$4)),INDEX($AT$22:$AU$34,MATCH(MIN($Q$4,$R$4),$AT$22:$AT$34,0),MATCH("Month",$AT$22:$AU$22,0)),IF(AND($S$4="Monthly",$F20&lt;12),INDEX($AT$22:$AU$34,MATCH($F20+1,$AT$22:$AT$34,0),MATCH("Month",$AT$22:$AU$22,0)),IF(AND($S$4="Monthly",$F20=12),INDEX($AT$22:$AU$34,MATCH($F20-11,$AT$22:$AT$34,0),MATCH("Month",$AT$22:$AU$22,0)))))))</f>
        <v>November</v>
      </c>
      <c r="L21" s="888">
        <f>IF($S$4="Annual",$L20+$H21,IF($S$4="Bi-Annual",$L20+$H20,IF($S$4="Monthly",$L20+$G20)))</f>
        <v>2027</v>
      </c>
      <c r="M21" s="883">
        <f>IF(AND($AR$39="Early Payoff",$I21&gt;$R$13),0,IF(AND($AR$39="Early Payoff",$I21&lt;$R$13),$T20,IF($I21&gt;$R$6,0,$T20)))</f>
        <v>0</v>
      </c>
      <c r="N21" s="883">
        <f t="shared" ref="N21:N84" si="11">IF(AND($AR$39="Early Payoff",I21&gt;=$R$13),0,IF($I21&gt;$R$6,0,IF(AND($AQ$29&gt;=0,$I21&lt;=$AQ$29),0,IF(AND($AQ$27&gt;=0,$I21&lt;=$AQ$27),$Q21,IF(AND($S$4="Annual",$AQ$27&gt;=0,$AQ$29&gt;=0,$I21&gt;$AQ$27,$I21&gt;$AQ$29),PMT($L$7,($R$6-$AQ$27),$L$4),IF(AND($S$4="Bi-Annual",$AQ$27&gt;=0,$AQ$29&gt;=0,$I21&gt;$AQ$27,$I21&gt;$AQ$29),PMT($L$7/2,($R$6-$AQ$27),$L$4),IF(AND($S$4="Monthly",$AQ$27&gt;=0,$AQ$29&gt;=0,$I21&gt;$AQ$27,$I21&gt;$AQ$29),PMT($L$7/12,($R$6-$AQ$27),$L$4))))))))-O21</f>
        <v>0</v>
      </c>
      <c r="O21" s="1100">
        <v>0</v>
      </c>
      <c r="P21" s="883">
        <f t="shared" si="4"/>
        <v>0</v>
      </c>
      <c r="Q21" s="884">
        <f>IF(AND($AR$39="Early Payoff",I21&gt;=$R$13),0,IF($S$4="Annual",-$L$7*$T20*1,IF($S$4="Bi-Annual",(-$L$7/2)*$T20*1,IF($S$4="Monthly",(-$L$7/12)*$T20*1))))</f>
        <v>0</v>
      </c>
      <c r="R21" s="884">
        <f>IF(AND($AR$39="Early Payoff",I21&gt;=$R$13),0,IF($I21&lt;=$R$6,SUM($P$20:$P21),0))</f>
        <v>0</v>
      </c>
      <c r="S21" s="884">
        <f>IF(AND($AR$39="Early Payoff",I21&gt;=$R$13),0,IF($I21&lt;=$R$6,SUM($Q$20:$Q21),0))</f>
        <v>0</v>
      </c>
      <c r="T21" s="873">
        <f t="shared" ref="T21:T84" si="12">IF($J21&lt;=$R$13,SUM($M21,$P21),0)</f>
        <v>0</v>
      </c>
      <c r="U21" s="1110">
        <f t="shared" ref="U21:U84" si="13">IF($S$4="Monthly",$M21,IF(AND(OR($S$4="Annual",$S$4="Bi-Annual"),$I21=$AQ$49),INDEX($I$19:$T$379,MATCH($AQ$49,$I$19:$I$2379,0),MATCH($T$19,$I$19:$T$19,0)),IF(AND(OR($S$4="Annual",$S$4="Bi-Annual"),$I21&lt;=$AQ$49),$M21,0)))</f>
        <v>0</v>
      </c>
      <c r="W21" s="1102">
        <f t="shared" si="5"/>
        <v>0</v>
      </c>
      <c r="X21" s="873">
        <f t="shared" si="6"/>
        <v>0</v>
      </c>
      <c r="Y21" s="873">
        <f t="shared" si="7"/>
        <v>0</v>
      </c>
      <c r="Z21" s="885">
        <f t="shared" si="8"/>
        <v>0</v>
      </c>
      <c r="AB21" s="355">
        <f>AB20+1</f>
        <v>1</v>
      </c>
      <c r="AC21" s="1103">
        <f>AC20+1</f>
        <v>2028</v>
      </c>
      <c r="AD21" s="1104">
        <f t="shared" ref="AD21:AD49" si="14">INDEX($L$19:$M$379,MATCH($AC21,$L$19:$L$379,0),MATCH($AD$19,$L$19:$M$19,0))</f>
        <v>0</v>
      </c>
      <c r="AE21" s="1104">
        <f t="shared" ref="AE21:AE49" si="15">SUMIFS($Z$20:$Z$379,$L$20:$L$379,"="&amp;$AC21)</f>
        <v>0</v>
      </c>
      <c r="AF21" s="1104">
        <f t="shared" ref="AF21:AF49" si="16">SUMIFS($P$20:$P$379,$L$20:$L$379,"="&amp;$AC21)</f>
        <v>0</v>
      </c>
      <c r="AG21" s="1104">
        <f t="shared" ref="AG21:AG49" si="17">SUMIFS($Q$20:$Q$379,$L$20:$L$379,"="&amp;$AC21)</f>
        <v>0</v>
      </c>
      <c r="AH21" s="1104">
        <f t="shared" ref="AH21:AH49" si="18">SUMIFS($W$20:$W$379,$L$20:$L$379,"="&amp;$AC21)+SUMIFS($X$20:$X$379,$L$20:$L$379,"="&amp;$AC21)+SUMIFS($Y$20:$Y$379,$L$20:$L$379,"="&amp;$AC21)</f>
        <v>0</v>
      </c>
      <c r="AI21" s="1104">
        <f>IF($AD21=0,0,SUM($AF$20:$AF21))</f>
        <v>0</v>
      </c>
      <c r="AJ21" s="1104">
        <f>IF($AD21=0,0,SUM($AG$20:$AG21))</f>
        <v>0</v>
      </c>
      <c r="AK21" s="1104">
        <f>SUM($AH$20:$AH21)</f>
        <v>0</v>
      </c>
      <c r="AL21" s="1104">
        <f>AD21+AF21</f>
        <v>0</v>
      </c>
      <c r="AM21" s="1104"/>
      <c r="AN21" s="347"/>
      <c r="AP21" s="347"/>
      <c r="AQ21" s="345"/>
      <c r="AR21" s="345"/>
      <c r="AS21" s="345"/>
      <c r="AT21" s="1092"/>
      <c r="AU21" s="348"/>
      <c r="AV21" s="1092"/>
      <c r="AW21" s="1093"/>
    </row>
    <row r="22" spans="2:49" s="278" customFormat="1" ht="12" customHeight="1" x14ac:dyDescent="0.25">
      <c r="B22" s="1192">
        <f t="shared" ref="B22:B85" si="19">B21+1</f>
        <v>22</v>
      </c>
      <c r="C22" s="732">
        <f t="shared" si="0"/>
        <v>31</v>
      </c>
      <c r="D22" s="35">
        <f t="shared" si="1"/>
        <v>12</v>
      </c>
      <c r="E22" s="889">
        <f>DATE(L22,D22,C22)</f>
        <v>46752</v>
      </c>
      <c r="F22" s="822">
        <f t="shared" si="2"/>
        <v>12</v>
      </c>
      <c r="G22" s="126">
        <f t="shared" si="3"/>
        <v>1</v>
      </c>
      <c r="H22" s="1098">
        <f>IF($S$4="Annual",1,IF(AND($S$4="Bi-Annual",$F22&gt;$F23),1,IF(AND($S$4="Bi-Annual",$F22&lt;$F23),0,IF($S$4="Monthly",0,))))</f>
        <v>0</v>
      </c>
      <c r="I22" s="887">
        <f t="shared" ref="I22:I85" si="20">I21+1</f>
        <v>3</v>
      </c>
      <c r="J22" s="1099">
        <f t="shared" si="9"/>
        <v>3</v>
      </c>
      <c r="K22" s="891" t="str">
        <f t="shared" si="10"/>
        <v>December</v>
      </c>
      <c r="L22" s="888">
        <f t="shared" ref="L22:L85" si="21">IF($S$4="Annual",$L21+$H22,IF($S$4="Bi-Annual",$L21+$H21,IF($S$4="Monthly",$L21+$G21)))</f>
        <v>2027</v>
      </c>
      <c r="M22" s="883">
        <f t="shared" ref="M22:M84" si="22">IF(AND($AR$39="Early Payoff",$I22&gt;$R$13),0,IF(AND($AR$39="Early Payoff",$I22&lt;$R$13),$T21,IF($I22&gt;$R$6,0,$T21)))</f>
        <v>0</v>
      </c>
      <c r="N22" s="883">
        <f t="shared" si="11"/>
        <v>0</v>
      </c>
      <c r="O22" s="1100">
        <v>0</v>
      </c>
      <c r="P22" s="883">
        <f t="shared" si="4"/>
        <v>0</v>
      </c>
      <c r="Q22" s="884">
        <f t="shared" ref="Q22:Q84" si="23">IF(AND($AR$39="Early Payoff",I22&gt;=$R$13),0,IF($S$4="Annual",-$L$7*$T21*1,IF($S$4="Bi-Annual",(-$L$7/2)*$T21*1,IF($S$4="Monthly",(-$L$7/12)*$T21*1))))</f>
        <v>0</v>
      </c>
      <c r="R22" s="884">
        <f>IF(AND($AR$39="Early Payoff",I22&gt;=$R$13),0,IF($I22&lt;=$R$6,SUM($P$20:$P22),0))</f>
        <v>0</v>
      </c>
      <c r="S22" s="884">
        <f>IF(AND($AR$39="Early Payoff",I22&gt;=$R$13),0,IF($I22&lt;=$R$6,SUM($Q$20:$Q22),0))</f>
        <v>0</v>
      </c>
      <c r="T22" s="873">
        <f t="shared" si="12"/>
        <v>0</v>
      </c>
      <c r="U22" s="1110">
        <f t="shared" si="13"/>
        <v>0</v>
      </c>
      <c r="W22" s="1102">
        <f t="shared" si="5"/>
        <v>0</v>
      </c>
      <c r="X22" s="873">
        <f t="shared" si="6"/>
        <v>0</v>
      </c>
      <c r="Y22" s="873">
        <f t="shared" si="7"/>
        <v>0</v>
      </c>
      <c r="Z22" s="885">
        <f t="shared" si="8"/>
        <v>0</v>
      </c>
      <c r="AB22" s="355">
        <f t="shared" ref="AB22:AC37" si="24">AB21+1</f>
        <v>2</v>
      </c>
      <c r="AC22" s="1103">
        <f t="shared" si="24"/>
        <v>2029</v>
      </c>
      <c r="AD22" s="1104">
        <f t="shared" si="14"/>
        <v>0</v>
      </c>
      <c r="AE22" s="1104">
        <f t="shared" si="15"/>
        <v>0</v>
      </c>
      <c r="AF22" s="1104">
        <f t="shared" si="16"/>
        <v>0</v>
      </c>
      <c r="AG22" s="1104">
        <f t="shared" si="17"/>
        <v>0</v>
      </c>
      <c r="AH22" s="1104">
        <f t="shared" si="18"/>
        <v>0</v>
      </c>
      <c r="AI22" s="1104">
        <f>IF($AD22=0,0,SUM($AF$20:$AF22))</f>
        <v>0</v>
      </c>
      <c r="AJ22" s="1104">
        <f>IF($AD22=0,0,SUM($AG$20:$AG22))</f>
        <v>0</v>
      </c>
      <c r="AK22" s="1104">
        <f>SUM($AH$20:$AH22)</f>
        <v>0</v>
      </c>
      <c r="AL22" s="1104">
        <f t="shared" ref="AL22:AL49" si="25">AD22+AF22</f>
        <v>0</v>
      </c>
      <c r="AM22" s="1104"/>
      <c r="AN22" s="347"/>
      <c r="AP22" s="1111" t="s">
        <v>429</v>
      </c>
      <c r="AQ22" s="1112">
        <f>L8</f>
        <v>2027</v>
      </c>
      <c r="AR22" s="345"/>
      <c r="AS22" s="1113"/>
      <c r="AT22" s="1114" t="s">
        <v>527</v>
      </c>
      <c r="AU22" s="1115" t="s">
        <v>33</v>
      </c>
      <c r="AV22" s="1092"/>
      <c r="AW22" s="1093"/>
    </row>
    <row r="23" spans="2:49" s="278" customFormat="1" ht="12" customHeight="1" x14ac:dyDescent="0.25">
      <c r="B23" s="1192">
        <f t="shared" si="19"/>
        <v>23</v>
      </c>
      <c r="C23" s="732">
        <f t="shared" si="0"/>
        <v>31</v>
      </c>
      <c r="D23" s="35">
        <f t="shared" si="1"/>
        <v>1</v>
      </c>
      <c r="E23" s="889">
        <f t="shared" ref="E23:E86" si="26">DATE(L23,D23,C23)</f>
        <v>46783</v>
      </c>
      <c r="F23" s="822">
        <f t="shared" si="2"/>
        <v>1</v>
      </c>
      <c r="G23" s="126">
        <f t="shared" si="3"/>
        <v>0</v>
      </c>
      <c r="H23" s="1098">
        <f t="shared" ref="H23:H86" si="27">IF($S$4="Annual",1,IF(AND($S$4="Bi-Annual",$F23&gt;$F24),1,IF(AND($S$4="Bi-Annual",$F23&lt;$F24),0,IF($S$4="Monthly",0,))))</f>
        <v>0</v>
      </c>
      <c r="I23" s="887">
        <f t="shared" si="20"/>
        <v>4</v>
      </c>
      <c r="J23" s="1099">
        <f t="shared" si="9"/>
        <v>4</v>
      </c>
      <c r="K23" s="891" t="str">
        <f t="shared" si="10"/>
        <v>January</v>
      </c>
      <c r="L23" s="888">
        <f t="shared" si="21"/>
        <v>2028</v>
      </c>
      <c r="M23" s="883">
        <f t="shared" si="22"/>
        <v>0</v>
      </c>
      <c r="N23" s="883">
        <f t="shared" si="11"/>
        <v>0</v>
      </c>
      <c r="O23" s="1100">
        <v>0</v>
      </c>
      <c r="P23" s="883">
        <f>IF(AND($AR$39="Early Payoff",I23&gt;=$R$13),0,IF($I23&gt;$R$6,0,IF(AND($AQ$29&gt;0,$I23&lt;=$AQ$29),0,+$N23-$Q23)))</f>
        <v>0</v>
      </c>
      <c r="Q23" s="884">
        <f t="shared" si="23"/>
        <v>0</v>
      </c>
      <c r="R23" s="884">
        <f>IF(AND($AR$39="Early Payoff",I23&gt;=$R$13),0,IF($I23&lt;=$R$6,SUM($P$20:$P23),0))</f>
        <v>0</v>
      </c>
      <c r="S23" s="884">
        <f>IF(AND($AR$39="Early Payoff",I23&gt;=$R$13),0,IF($I23&lt;=$R$6,SUM($Q$20:$Q23),0))</f>
        <v>0</v>
      </c>
      <c r="T23" s="873">
        <f t="shared" si="12"/>
        <v>0</v>
      </c>
      <c r="U23" s="1110">
        <f t="shared" si="13"/>
        <v>0</v>
      </c>
      <c r="W23" s="1102">
        <f t="shared" si="5"/>
        <v>0</v>
      </c>
      <c r="X23" s="873">
        <f t="shared" si="6"/>
        <v>0</v>
      </c>
      <c r="Y23" s="873">
        <f t="shared" si="7"/>
        <v>0</v>
      </c>
      <c r="Z23" s="885">
        <f t="shared" si="8"/>
        <v>0</v>
      </c>
      <c r="AB23" s="355">
        <f t="shared" si="24"/>
        <v>3</v>
      </c>
      <c r="AC23" s="1103">
        <f t="shared" si="24"/>
        <v>2030</v>
      </c>
      <c r="AD23" s="1104">
        <f t="shared" si="14"/>
        <v>0</v>
      </c>
      <c r="AE23" s="1104">
        <f t="shared" si="15"/>
        <v>0</v>
      </c>
      <c r="AF23" s="1104">
        <f t="shared" si="16"/>
        <v>0</v>
      </c>
      <c r="AG23" s="1104">
        <f t="shared" si="17"/>
        <v>0</v>
      </c>
      <c r="AH23" s="1104">
        <f t="shared" si="18"/>
        <v>0</v>
      </c>
      <c r="AI23" s="1104">
        <f>IF($AD23=0,0,SUM($AF$20:$AF23))</f>
        <v>0</v>
      </c>
      <c r="AJ23" s="1104">
        <f>IF($AD23=0,0,SUM($AG$20:$AG23))</f>
        <v>0</v>
      </c>
      <c r="AK23" s="1104">
        <f>SUM($AH$20:$AH23)</f>
        <v>0</v>
      </c>
      <c r="AL23" s="1104">
        <f t="shared" si="25"/>
        <v>0</v>
      </c>
      <c r="AM23" s="1104"/>
      <c r="AN23" s="347"/>
      <c r="AP23" s="1111" t="s">
        <v>430</v>
      </c>
      <c r="AQ23" s="1112" t="str">
        <f>L9</f>
        <v>September</v>
      </c>
      <c r="AR23" s="1422">
        <f>INDEX(AS22:AT34,MATCH(AQ23,AS22:AS34,0),MATCH("Number",AS22:AT22,0))</f>
        <v>9</v>
      </c>
      <c r="AS23" s="1111" t="s">
        <v>425</v>
      </c>
      <c r="AT23" s="1117">
        <v>1</v>
      </c>
      <c r="AU23" s="348" t="str">
        <f>AS23</f>
        <v>January</v>
      </c>
      <c r="AV23" s="1092"/>
      <c r="AW23" s="1093"/>
    </row>
    <row r="24" spans="2:49" s="278" customFormat="1" ht="12" customHeight="1" x14ac:dyDescent="0.25">
      <c r="B24" s="1192">
        <f t="shared" si="19"/>
        <v>24</v>
      </c>
      <c r="C24" s="732">
        <f t="shared" si="0"/>
        <v>29</v>
      </c>
      <c r="D24" s="35">
        <f t="shared" si="1"/>
        <v>2</v>
      </c>
      <c r="E24" s="889">
        <f t="shared" si="26"/>
        <v>46812</v>
      </c>
      <c r="F24" s="822">
        <f t="shared" si="2"/>
        <v>2</v>
      </c>
      <c r="G24" s="126">
        <f t="shared" si="3"/>
        <v>0</v>
      </c>
      <c r="H24" s="1098">
        <f t="shared" si="27"/>
        <v>0</v>
      </c>
      <c r="I24" s="887">
        <f t="shared" si="20"/>
        <v>5</v>
      </c>
      <c r="J24" s="1099">
        <f t="shared" si="9"/>
        <v>5</v>
      </c>
      <c r="K24" s="891" t="str">
        <f t="shared" si="10"/>
        <v>February</v>
      </c>
      <c r="L24" s="888">
        <f t="shared" si="21"/>
        <v>2028</v>
      </c>
      <c r="M24" s="883">
        <f t="shared" si="22"/>
        <v>0</v>
      </c>
      <c r="N24" s="883">
        <f t="shared" si="11"/>
        <v>0</v>
      </c>
      <c r="O24" s="1100">
        <v>0</v>
      </c>
      <c r="P24" s="883">
        <f t="shared" si="4"/>
        <v>0</v>
      </c>
      <c r="Q24" s="884">
        <f t="shared" si="23"/>
        <v>0</v>
      </c>
      <c r="R24" s="884">
        <f>IF(AND($AR$39="Early Payoff",I24&gt;=$R$13),0,IF($I24&lt;=$R$6,SUM($P$20:$P24),0))</f>
        <v>0</v>
      </c>
      <c r="S24" s="884">
        <f>IF(AND($AR$39="Early Payoff",I24&gt;=$R$13),0,IF($I24&lt;=$R$6,SUM($Q$20:$Q24),0))</f>
        <v>0</v>
      </c>
      <c r="T24" s="873">
        <f t="shared" si="12"/>
        <v>0</v>
      </c>
      <c r="U24" s="1110">
        <f t="shared" si="13"/>
        <v>0</v>
      </c>
      <c r="W24" s="1102">
        <f t="shared" si="5"/>
        <v>0</v>
      </c>
      <c r="X24" s="873">
        <f t="shared" si="6"/>
        <v>0</v>
      </c>
      <c r="Y24" s="873">
        <f t="shared" si="7"/>
        <v>0</v>
      </c>
      <c r="Z24" s="885">
        <f t="shared" si="8"/>
        <v>0</v>
      </c>
      <c r="AB24" s="355">
        <f t="shared" si="24"/>
        <v>4</v>
      </c>
      <c r="AC24" s="1103">
        <f t="shared" si="24"/>
        <v>2031</v>
      </c>
      <c r="AD24" s="1104">
        <f t="shared" si="14"/>
        <v>0</v>
      </c>
      <c r="AE24" s="1104">
        <f t="shared" si="15"/>
        <v>0</v>
      </c>
      <c r="AF24" s="1104">
        <f t="shared" si="16"/>
        <v>0</v>
      </c>
      <c r="AG24" s="1104">
        <f t="shared" si="17"/>
        <v>0</v>
      </c>
      <c r="AH24" s="1104">
        <f t="shared" si="18"/>
        <v>0</v>
      </c>
      <c r="AI24" s="1104">
        <f>IF($AD24=0,0,SUM($AF$20:$AF24))</f>
        <v>0</v>
      </c>
      <c r="AJ24" s="1104">
        <f>IF($AD24=0,0,SUM($AG$20:$AG24))</f>
        <v>0</v>
      </c>
      <c r="AK24" s="1104">
        <f>SUM($AH$20:$AH24)</f>
        <v>0</v>
      </c>
      <c r="AL24" s="1104">
        <f t="shared" si="25"/>
        <v>0</v>
      </c>
      <c r="AM24" s="1104"/>
      <c r="AN24" s="347"/>
      <c r="AP24" s="1111" t="s">
        <v>431</v>
      </c>
      <c r="AQ24" s="1118">
        <f>EOMONTH(DATE(AQ22,INDEX($AS$22:$AT$34,MATCH($AQ$23,$AS$22:$AS$34,0),MATCH("Number",$AS$22:$AT$22,0)),1),0)</f>
        <v>46660</v>
      </c>
      <c r="AR24" s="345"/>
      <c r="AS24" s="1111" t="s">
        <v>528</v>
      </c>
      <c r="AT24" s="1117">
        <v>2</v>
      </c>
      <c r="AU24" s="348" t="str">
        <f t="shared" ref="AU24:AU34" si="28">AS24</f>
        <v>February</v>
      </c>
      <c r="AV24" s="1092"/>
      <c r="AW24" s="1093"/>
    </row>
    <row r="25" spans="2:49" s="278" customFormat="1" ht="12" customHeight="1" x14ac:dyDescent="0.25">
      <c r="B25" s="1192">
        <f t="shared" si="19"/>
        <v>25</v>
      </c>
      <c r="C25" s="732">
        <f t="shared" si="0"/>
        <v>31</v>
      </c>
      <c r="D25" s="35">
        <f t="shared" si="1"/>
        <v>3</v>
      </c>
      <c r="E25" s="889">
        <f t="shared" si="26"/>
        <v>46843</v>
      </c>
      <c r="F25" s="822">
        <f t="shared" si="2"/>
        <v>3</v>
      </c>
      <c r="G25" s="126">
        <f t="shared" si="3"/>
        <v>0</v>
      </c>
      <c r="H25" s="1098">
        <f t="shared" si="27"/>
        <v>0</v>
      </c>
      <c r="I25" s="887">
        <f t="shared" si="20"/>
        <v>6</v>
      </c>
      <c r="J25" s="1099">
        <f t="shared" si="9"/>
        <v>6</v>
      </c>
      <c r="K25" s="891" t="str">
        <f t="shared" si="10"/>
        <v>March</v>
      </c>
      <c r="L25" s="888">
        <f t="shared" si="21"/>
        <v>2028</v>
      </c>
      <c r="M25" s="883">
        <f t="shared" si="22"/>
        <v>0</v>
      </c>
      <c r="N25" s="883">
        <f t="shared" si="11"/>
        <v>0</v>
      </c>
      <c r="O25" s="1100">
        <v>0</v>
      </c>
      <c r="P25" s="883">
        <f t="shared" si="4"/>
        <v>0</v>
      </c>
      <c r="Q25" s="884">
        <f t="shared" si="23"/>
        <v>0</v>
      </c>
      <c r="R25" s="884">
        <f>IF(AND($AR$39="Early Payoff",I25&gt;=$R$13),0,IF($I25&lt;=$R$6,SUM($P$20:$P25),0))</f>
        <v>0</v>
      </c>
      <c r="S25" s="884">
        <f>IF(AND($AR$39="Early Payoff",I25&gt;=$R$13),0,IF($I25&lt;=$R$6,SUM($Q$20:$Q25),0))</f>
        <v>0</v>
      </c>
      <c r="T25" s="873">
        <f t="shared" si="12"/>
        <v>0</v>
      </c>
      <c r="U25" s="1110">
        <f t="shared" si="13"/>
        <v>0</v>
      </c>
      <c r="W25" s="1102">
        <f t="shared" si="5"/>
        <v>0</v>
      </c>
      <c r="X25" s="873">
        <f t="shared" si="6"/>
        <v>0</v>
      </c>
      <c r="Y25" s="873">
        <f t="shared" si="7"/>
        <v>0</v>
      </c>
      <c r="Z25" s="885">
        <f t="shared" si="8"/>
        <v>0</v>
      </c>
      <c r="AB25" s="355">
        <f t="shared" si="24"/>
        <v>5</v>
      </c>
      <c r="AC25" s="1103">
        <f t="shared" si="24"/>
        <v>2032</v>
      </c>
      <c r="AD25" s="1104">
        <f t="shared" si="14"/>
        <v>0</v>
      </c>
      <c r="AE25" s="1104">
        <f t="shared" si="15"/>
        <v>0</v>
      </c>
      <c r="AF25" s="1104">
        <f t="shared" si="16"/>
        <v>0</v>
      </c>
      <c r="AG25" s="1104">
        <f t="shared" si="17"/>
        <v>0</v>
      </c>
      <c r="AH25" s="1104">
        <f t="shared" si="18"/>
        <v>0</v>
      </c>
      <c r="AI25" s="1104">
        <f>IF($AD25=0,0,SUM($AF$20:$AF25))</f>
        <v>0</v>
      </c>
      <c r="AJ25" s="1104">
        <f>IF($AD25=0,0,SUM($AG$20:$AG25))</f>
        <v>0</v>
      </c>
      <c r="AK25" s="1104">
        <f>SUM($AH$20:$AH25)</f>
        <v>0</v>
      </c>
      <c r="AL25" s="1104">
        <f t="shared" si="25"/>
        <v>0</v>
      </c>
      <c r="AM25" s="1104"/>
      <c r="AN25" s="347"/>
      <c r="AP25" s="1111"/>
      <c r="AQ25" s="1112"/>
      <c r="AR25" s="345"/>
      <c r="AS25" s="1111" t="s">
        <v>378</v>
      </c>
      <c r="AT25" s="1117">
        <v>3</v>
      </c>
      <c r="AU25" s="348" t="str">
        <f t="shared" si="28"/>
        <v>March</v>
      </c>
      <c r="AV25" s="1092"/>
      <c r="AW25" s="1093"/>
    </row>
    <row r="26" spans="2:49" s="278" customFormat="1" ht="12" customHeight="1" x14ac:dyDescent="0.25">
      <c r="B26" s="1192">
        <f t="shared" si="19"/>
        <v>26</v>
      </c>
      <c r="C26" s="732">
        <f t="shared" si="0"/>
        <v>30</v>
      </c>
      <c r="D26" s="35">
        <f t="shared" si="1"/>
        <v>4</v>
      </c>
      <c r="E26" s="889">
        <f t="shared" si="26"/>
        <v>46873</v>
      </c>
      <c r="F26" s="822">
        <f t="shared" si="2"/>
        <v>4</v>
      </c>
      <c r="G26" s="126">
        <f t="shared" si="3"/>
        <v>0</v>
      </c>
      <c r="H26" s="1098">
        <f t="shared" si="27"/>
        <v>0</v>
      </c>
      <c r="I26" s="887">
        <f t="shared" si="20"/>
        <v>7</v>
      </c>
      <c r="J26" s="1099">
        <f t="shared" si="9"/>
        <v>7</v>
      </c>
      <c r="K26" s="891" t="str">
        <f t="shared" si="10"/>
        <v>April</v>
      </c>
      <c r="L26" s="888">
        <f t="shared" si="21"/>
        <v>2028</v>
      </c>
      <c r="M26" s="883">
        <f t="shared" si="22"/>
        <v>0</v>
      </c>
      <c r="N26" s="883">
        <f t="shared" si="11"/>
        <v>0</v>
      </c>
      <c r="O26" s="1100">
        <v>0</v>
      </c>
      <c r="P26" s="883">
        <f t="shared" si="4"/>
        <v>0</v>
      </c>
      <c r="Q26" s="884">
        <f t="shared" si="23"/>
        <v>0</v>
      </c>
      <c r="R26" s="884">
        <f>IF(AND($AR$39="Early Payoff",I26&gt;=$R$13),0,IF($I26&lt;=$R$6,SUM($P$20:$P26),0))</f>
        <v>0</v>
      </c>
      <c r="S26" s="884">
        <f>IF(AND($AR$39="Early Payoff",I26&gt;=$R$13),0,IF($I26&lt;=$R$6,SUM($Q$20:$Q26),0))</f>
        <v>0</v>
      </c>
      <c r="T26" s="873">
        <f t="shared" si="12"/>
        <v>0</v>
      </c>
      <c r="U26" s="1110">
        <f t="shared" si="13"/>
        <v>0</v>
      </c>
      <c r="W26" s="1102">
        <f t="shared" si="5"/>
        <v>0</v>
      </c>
      <c r="X26" s="873">
        <f t="shared" si="6"/>
        <v>0</v>
      </c>
      <c r="Y26" s="873">
        <f t="shared" si="7"/>
        <v>0</v>
      </c>
      <c r="Z26" s="885">
        <f t="shared" si="8"/>
        <v>0</v>
      </c>
      <c r="AB26" s="355">
        <f t="shared" si="24"/>
        <v>6</v>
      </c>
      <c r="AC26" s="1103">
        <f t="shared" si="24"/>
        <v>2033</v>
      </c>
      <c r="AD26" s="1104">
        <f t="shared" si="14"/>
        <v>0</v>
      </c>
      <c r="AE26" s="1104">
        <f t="shared" si="15"/>
        <v>0</v>
      </c>
      <c r="AF26" s="1104">
        <f t="shared" si="16"/>
        <v>0</v>
      </c>
      <c r="AG26" s="1104">
        <f t="shared" si="17"/>
        <v>0</v>
      </c>
      <c r="AH26" s="1104">
        <f t="shared" si="18"/>
        <v>0</v>
      </c>
      <c r="AI26" s="1104">
        <f>IF($AD26=0,0,SUM($AF$20:$AF26))</f>
        <v>0</v>
      </c>
      <c r="AJ26" s="1104">
        <f>IF($AD26=0,0,SUM($AG$20:$AG26))</f>
        <v>0</v>
      </c>
      <c r="AK26" s="1104">
        <f>SUM($AH$20:$AH26)</f>
        <v>0</v>
      </c>
      <c r="AL26" s="1104">
        <f t="shared" si="25"/>
        <v>0</v>
      </c>
      <c r="AM26" s="1104"/>
      <c r="AN26" s="347"/>
      <c r="AP26" s="347" t="s">
        <v>531</v>
      </c>
      <c r="AQ26" s="1142">
        <f>L11</f>
        <v>0</v>
      </c>
      <c r="AR26" s="345"/>
      <c r="AS26" s="1111" t="s">
        <v>529</v>
      </c>
      <c r="AT26" s="1117">
        <v>4</v>
      </c>
      <c r="AU26" s="348" t="str">
        <f t="shared" si="28"/>
        <v>April</v>
      </c>
      <c r="AV26" s="1092"/>
      <c r="AW26" s="1093"/>
    </row>
    <row r="27" spans="2:49" s="278" customFormat="1" ht="12" customHeight="1" x14ac:dyDescent="0.25">
      <c r="B27" s="1192">
        <f t="shared" si="19"/>
        <v>27</v>
      </c>
      <c r="C27" s="732">
        <f t="shared" si="0"/>
        <v>31</v>
      </c>
      <c r="D27" s="35">
        <f t="shared" si="1"/>
        <v>5</v>
      </c>
      <c r="E27" s="889">
        <f t="shared" si="26"/>
        <v>46904</v>
      </c>
      <c r="F27" s="822">
        <f t="shared" si="2"/>
        <v>5</v>
      </c>
      <c r="G27" s="126">
        <f t="shared" si="3"/>
        <v>0</v>
      </c>
      <c r="H27" s="1098">
        <f t="shared" si="27"/>
        <v>0</v>
      </c>
      <c r="I27" s="887">
        <f t="shared" si="20"/>
        <v>8</v>
      </c>
      <c r="J27" s="1099">
        <f t="shared" si="9"/>
        <v>8</v>
      </c>
      <c r="K27" s="891" t="str">
        <f t="shared" si="10"/>
        <v>May</v>
      </c>
      <c r="L27" s="888">
        <f t="shared" si="21"/>
        <v>2028</v>
      </c>
      <c r="M27" s="883">
        <f t="shared" si="22"/>
        <v>0</v>
      </c>
      <c r="N27" s="883">
        <f t="shared" si="11"/>
        <v>0</v>
      </c>
      <c r="O27" s="1100">
        <v>0</v>
      </c>
      <c r="P27" s="883">
        <f t="shared" si="4"/>
        <v>0</v>
      </c>
      <c r="Q27" s="884">
        <f t="shared" si="23"/>
        <v>0</v>
      </c>
      <c r="R27" s="884">
        <f>IF(AND($AR$39="Early Payoff",I27&gt;=$R$13),0,IF($I27&lt;=$R$6,SUM($P$20:$P27),0))</f>
        <v>0</v>
      </c>
      <c r="S27" s="884">
        <f>IF(AND($AR$39="Early Payoff",I27&gt;=$R$13),0,IF($I27&lt;=$R$6,SUM($Q$20:$Q27),0))</f>
        <v>0</v>
      </c>
      <c r="T27" s="873">
        <f t="shared" si="12"/>
        <v>0</v>
      </c>
      <c r="U27" s="1110">
        <f t="shared" si="13"/>
        <v>0</v>
      </c>
      <c r="W27" s="1102">
        <f t="shared" si="5"/>
        <v>0</v>
      </c>
      <c r="X27" s="873">
        <f t="shared" si="6"/>
        <v>0</v>
      </c>
      <c r="Y27" s="873">
        <f t="shared" si="7"/>
        <v>0</v>
      </c>
      <c r="Z27" s="885">
        <f t="shared" si="8"/>
        <v>0</v>
      </c>
      <c r="AB27" s="355">
        <f t="shared" si="24"/>
        <v>7</v>
      </c>
      <c r="AC27" s="1103">
        <f t="shared" si="24"/>
        <v>2034</v>
      </c>
      <c r="AD27" s="1104">
        <f t="shared" si="14"/>
        <v>0</v>
      </c>
      <c r="AE27" s="1104">
        <f t="shared" si="15"/>
        <v>0</v>
      </c>
      <c r="AF27" s="1104">
        <f t="shared" si="16"/>
        <v>0</v>
      </c>
      <c r="AG27" s="1104">
        <f t="shared" si="17"/>
        <v>0</v>
      </c>
      <c r="AH27" s="1104">
        <f t="shared" si="18"/>
        <v>0</v>
      </c>
      <c r="AI27" s="1104">
        <f>IF($AD27=0,0,SUM($AF$20:$AF27))</f>
        <v>0</v>
      </c>
      <c r="AJ27" s="1104">
        <f>IF($AD27=0,0,SUM($AG$20:$AG27))</f>
        <v>0</v>
      </c>
      <c r="AK27" s="1104">
        <f>SUM($AH$20:$AH27)</f>
        <v>0</v>
      </c>
      <c r="AL27" s="1104">
        <f t="shared" si="25"/>
        <v>0</v>
      </c>
      <c r="AM27" s="1104"/>
      <c r="AN27" s="347"/>
      <c r="AP27" s="1143" t="s">
        <v>532</v>
      </c>
      <c r="AQ27" s="1144">
        <f>IF($S$4="Annual",AQ26/12,IF($S$4="Bi-Annual",(AQ26/12)*2,IF($S$4="Monthly",AQ26)))</f>
        <v>0</v>
      </c>
      <c r="AR27" s="345"/>
      <c r="AS27" s="1111" t="s">
        <v>49</v>
      </c>
      <c r="AT27" s="1117">
        <v>5</v>
      </c>
      <c r="AU27" s="348" t="str">
        <f t="shared" si="28"/>
        <v>May</v>
      </c>
      <c r="AV27" s="1092"/>
      <c r="AW27" s="1093"/>
    </row>
    <row r="28" spans="2:49" s="278" customFormat="1" ht="12" customHeight="1" x14ac:dyDescent="0.25">
      <c r="B28" s="1192">
        <f t="shared" si="19"/>
        <v>28</v>
      </c>
      <c r="C28" s="732">
        <f t="shared" si="0"/>
        <v>30</v>
      </c>
      <c r="D28" s="35">
        <f t="shared" si="1"/>
        <v>6</v>
      </c>
      <c r="E28" s="889">
        <f t="shared" si="26"/>
        <v>46934</v>
      </c>
      <c r="F28" s="822">
        <f t="shared" si="2"/>
        <v>6</v>
      </c>
      <c r="G28" s="126">
        <f t="shared" si="3"/>
        <v>0</v>
      </c>
      <c r="H28" s="1098">
        <f t="shared" si="27"/>
        <v>0</v>
      </c>
      <c r="I28" s="887">
        <f t="shared" si="20"/>
        <v>9</v>
      </c>
      <c r="J28" s="1099">
        <f t="shared" si="9"/>
        <v>9</v>
      </c>
      <c r="K28" s="891" t="str">
        <f t="shared" si="10"/>
        <v>June</v>
      </c>
      <c r="L28" s="888">
        <f t="shared" si="21"/>
        <v>2028</v>
      </c>
      <c r="M28" s="883">
        <f t="shared" si="22"/>
        <v>0</v>
      </c>
      <c r="N28" s="883">
        <f t="shared" si="11"/>
        <v>0</v>
      </c>
      <c r="O28" s="1100"/>
      <c r="P28" s="883">
        <f t="shared" si="4"/>
        <v>0</v>
      </c>
      <c r="Q28" s="884">
        <f t="shared" si="23"/>
        <v>0</v>
      </c>
      <c r="R28" s="884">
        <f>IF(AND($AR$39="Early Payoff",I28&gt;=$R$13),0,IF($I28&lt;=$R$6,SUM($P$20:$P28),0))</f>
        <v>0</v>
      </c>
      <c r="S28" s="884">
        <f>IF(AND($AR$39="Early Payoff",I28&gt;=$R$13),0,IF($I28&lt;=$R$6,SUM($Q$20:$Q28),0))</f>
        <v>0</v>
      </c>
      <c r="T28" s="873">
        <f t="shared" si="12"/>
        <v>0</v>
      </c>
      <c r="U28" s="1110">
        <f t="shared" si="13"/>
        <v>0</v>
      </c>
      <c r="W28" s="1102">
        <f t="shared" si="5"/>
        <v>0</v>
      </c>
      <c r="X28" s="873">
        <f t="shared" si="6"/>
        <v>0</v>
      </c>
      <c r="Y28" s="873">
        <f t="shared" si="7"/>
        <v>0</v>
      </c>
      <c r="Z28" s="885">
        <f t="shared" si="8"/>
        <v>0</v>
      </c>
      <c r="AB28" s="355">
        <f t="shared" si="24"/>
        <v>8</v>
      </c>
      <c r="AC28" s="1103">
        <f t="shared" si="24"/>
        <v>2035</v>
      </c>
      <c r="AD28" s="1104">
        <f t="shared" si="14"/>
        <v>0</v>
      </c>
      <c r="AE28" s="1104">
        <f t="shared" si="15"/>
        <v>0</v>
      </c>
      <c r="AF28" s="1104">
        <f t="shared" si="16"/>
        <v>0</v>
      </c>
      <c r="AG28" s="1104">
        <f t="shared" si="17"/>
        <v>0</v>
      </c>
      <c r="AH28" s="1104">
        <f t="shared" si="18"/>
        <v>0</v>
      </c>
      <c r="AI28" s="1104">
        <f>IF($AD28=0,0,SUM($AF$20:$AF28))</f>
        <v>0</v>
      </c>
      <c r="AJ28" s="1104">
        <f>IF($AD28=0,0,SUM($AG$20:$AG28))</f>
        <v>0</v>
      </c>
      <c r="AK28" s="1104">
        <f>SUM($AH$20:$AH28)</f>
        <v>0</v>
      </c>
      <c r="AL28" s="1104">
        <f t="shared" si="25"/>
        <v>0</v>
      </c>
      <c r="AM28" s="1104"/>
      <c r="AN28" s="347"/>
      <c r="AP28" s="347" t="s">
        <v>162</v>
      </c>
      <c r="AQ28" s="1142">
        <f>L12</f>
        <v>0</v>
      </c>
      <c r="AR28" s="345"/>
      <c r="AS28" s="1111" t="s">
        <v>264</v>
      </c>
      <c r="AT28" s="1117">
        <v>6</v>
      </c>
      <c r="AU28" s="348" t="str">
        <f t="shared" si="28"/>
        <v>June</v>
      </c>
      <c r="AV28" s="1092"/>
      <c r="AW28" s="1093"/>
    </row>
    <row r="29" spans="2:49" s="278" customFormat="1" ht="12" customHeight="1" x14ac:dyDescent="0.25">
      <c r="B29" s="1192">
        <f t="shared" si="19"/>
        <v>29</v>
      </c>
      <c r="C29" s="732">
        <f t="shared" si="0"/>
        <v>31</v>
      </c>
      <c r="D29" s="35">
        <f t="shared" si="1"/>
        <v>7</v>
      </c>
      <c r="E29" s="889">
        <f t="shared" si="26"/>
        <v>46965</v>
      </c>
      <c r="F29" s="822">
        <f t="shared" si="2"/>
        <v>7</v>
      </c>
      <c r="G29" s="126">
        <f t="shared" si="3"/>
        <v>0</v>
      </c>
      <c r="H29" s="1098">
        <f t="shared" si="27"/>
        <v>0</v>
      </c>
      <c r="I29" s="887">
        <f t="shared" si="20"/>
        <v>10</v>
      </c>
      <c r="J29" s="1099">
        <f t="shared" si="9"/>
        <v>10</v>
      </c>
      <c r="K29" s="891" t="str">
        <f t="shared" si="10"/>
        <v>July</v>
      </c>
      <c r="L29" s="888">
        <f t="shared" si="21"/>
        <v>2028</v>
      </c>
      <c r="M29" s="883">
        <f t="shared" si="22"/>
        <v>0</v>
      </c>
      <c r="N29" s="883">
        <f t="shared" si="11"/>
        <v>0</v>
      </c>
      <c r="O29" s="1100"/>
      <c r="P29" s="883">
        <f t="shared" si="4"/>
        <v>0</v>
      </c>
      <c r="Q29" s="884">
        <f t="shared" si="23"/>
        <v>0</v>
      </c>
      <c r="R29" s="884">
        <f>IF(AND($AR$39="Early Payoff",I29&gt;=$R$13),0,IF($I29&lt;=$R$6,SUM($P$20:$P29),0))</f>
        <v>0</v>
      </c>
      <c r="S29" s="884">
        <f>IF(AND($AR$39="Early Payoff",I29&gt;=$R$13),0,IF($I29&lt;=$R$6,SUM($Q$20:$Q29),0))</f>
        <v>0</v>
      </c>
      <c r="T29" s="873">
        <f t="shared" si="12"/>
        <v>0</v>
      </c>
      <c r="U29" s="1110">
        <f t="shared" si="13"/>
        <v>0</v>
      </c>
      <c r="W29" s="1102">
        <f t="shared" si="5"/>
        <v>0</v>
      </c>
      <c r="X29" s="873">
        <f t="shared" si="6"/>
        <v>0</v>
      </c>
      <c r="Y29" s="873">
        <f t="shared" si="7"/>
        <v>0</v>
      </c>
      <c r="Z29" s="885">
        <f t="shared" si="8"/>
        <v>0</v>
      </c>
      <c r="AB29" s="355">
        <f t="shared" si="24"/>
        <v>9</v>
      </c>
      <c r="AC29" s="1103">
        <f t="shared" si="24"/>
        <v>2036</v>
      </c>
      <c r="AD29" s="1104">
        <f t="shared" si="14"/>
        <v>0</v>
      </c>
      <c r="AE29" s="1104">
        <f t="shared" si="15"/>
        <v>0</v>
      </c>
      <c r="AF29" s="1104">
        <f t="shared" si="16"/>
        <v>0</v>
      </c>
      <c r="AG29" s="1104">
        <f t="shared" si="17"/>
        <v>0</v>
      </c>
      <c r="AH29" s="1104">
        <f t="shared" si="18"/>
        <v>0</v>
      </c>
      <c r="AI29" s="1104">
        <f>IF($AD29=0,0,SUM($AF$20:$AF29))</f>
        <v>0</v>
      </c>
      <c r="AJ29" s="1104">
        <f>IF($AD29=0,0,SUM($AG$20:$AG29))</f>
        <v>0</v>
      </c>
      <c r="AK29" s="1104">
        <f>SUM($AH$20:$AH29)</f>
        <v>0</v>
      </c>
      <c r="AL29" s="1104">
        <f t="shared" si="25"/>
        <v>0</v>
      </c>
      <c r="AM29" s="1104"/>
      <c r="AN29" s="347"/>
      <c r="AP29" s="1143" t="s">
        <v>534</v>
      </c>
      <c r="AQ29" s="1144">
        <f>IF($S$4="Annual",AQ28/12,IF($S$4="Bi-Annual",(AQ28/12)*2,IF($S$4="Monthly",AQ28)))</f>
        <v>0</v>
      </c>
      <c r="AR29" s="345"/>
      <c r="AS29" s="1111" t="s">
        <v>530</v>
      </c>
      <c r="AT29" s="1117">
        <v>7</v>
      </c>
      <c r="AU29" s="348" t="str">
        <f t="shared" si="28"/>
        <v>July</v>
      </c>
      <c r="AV29" s="1092"/>
      <c r="AW29" s="1093"/>
    </row>
    <row r="30" spans="2:49" s="278" customFormat="1" ht="12" customHeight="1" x14ac:dyDescent="0.25">
      <c r="B30" s="1192">
        <f t="shared" si="19"/>
        <v>30</v>
      </c>
      <c r="C30" s="732">
        <f t="shared" si="0"/>
        <v>31</v>
      </c>
      <c r="D30" s="35">
        <f t="shared" si="1"/>
        <v>8</v>
      </c>
      <c r="E30" s="889">
        <f t="shared" si="26"/>
        <v>46996</v>
      </c>
      <c r="F30" s="822">
        <f t="shared" si="2"/>
        <v>8</v>
      </c>
      <c r="G30" s="126">
        <f t="shared" si="3"/>
        <v>0</v>
      </c>
      <c r="H30" s="1098">
        <f t="shared" si="27"/>
        <v>0</v>
      </c>
      <c r="I30" s="887">
        <f t="shared" si="20"/>
        <v>11</v>
      </c>
      <c r="J30" s="1099">
        <f t="shared" si="9"/>
        <v>11</v>
      </c>
      <c r="K30" s="891" t="str">
        <f t="shared" si="10"/>
        <v>August</v>
      </c>
      <c r="L30" s="888">
        <f t="shared" si="21"/>
        <v>2028</v>
      </c>
      <c r="M30" s="883">
        <f t="shared" si="22"/>
        <v>0</v>
      </c>
      <c r="N30" s="883">
        <f t="shared" si="11"/>
        <v>0</v>
      </c>
      <c r="O30" s="1100"/>
      <c r="P30" s="883">
        <f t="shared" si="4"/>
        <v>0</v>
      </c>
      <c r="Q30" s="884">
        <f t="shared" si="23"/>
        <v>0</v>
      </c>
      <c r="R30" s="884">
        <f>IF(AND($AR$39="Early Payoff",I30&gt;=$R$13),0,IF($I30&lt;=$R$6,SUM($P$20:$P30),0))</f>
        <v>0</v>
      </c>
      <c r="S30" s="884">
        <f>IF(AND($AR$39="Early Payoff",I30&gt;=$R$13),0,IF($I30&lt;=$R$6,SUM($Q$20:$Q30),0))</f>
        <v>0</v>
      </c>
      <c r="T30" s="873">
        <f t="shared" si="12"/>
        <v>0</v>
      </c>
      <c r="U30" s="1110">
        <f t="shared" si="13"/>
        <v>0</v>
      </c>
      <c r="W30" s="1102">
        <f t="shared" si="5"/>
        <v>0</v>
      </c>
      <c r="X30" s="873">
        <f t="shared" si="6"/>
        <v>0</v>
      </c>
      <c r="Y30" s="873">
        <f t="shared" si="7"/>
        <v>0</v>
      </c>
      <c r="Z30" s="885">
        <f t="shared" si="8"/>
        <v>0</v>
      </c>
      <c r="AB30" s="355">
        <f t="shared" si="24"/>
        <v>10</v>
      </c>
      <c r="AC30" s="1103">
        <f t="shared" si="24"/>
        <v>2037</v>
      </c>
      <c r="AD30" s="1104">
        <f t="shared" si="14"/>
        <v>0</v>
      </c>
      <c r="AE30" s="1104">
        <f t="shared" si="15"/>
        <v>0</v>
      </c>
      <c r="AF30" s="1104">
        <f t="shared" si="16"/>
        <v>0</v>
      </c>
      <c r="AG30" s="1104">
        <f t="shared" si="17"/>
        <v>0</v>
      </c>
      <c r="AH30" s="1104">
        <f t="shared" si="18"/>
        <v>0</v>
      </c>
      <c r="AI30" s="1104">
        <f>IF($AD30=0,0,SUM($AF$20:$AF30))</f>
        <v>0</v>
      </c>
      <c r="AJ30" s="1104">
        <f>IF($AD30=0,0,SUM($AG$20:$AG30))</f>
        <v>0</v>
      </c>
      <c r="AK30" s="1104">
        <f>SUM($AH$20:$AH30)</f>
        <v>0</v>
      </c>
      <c r="AL30" s="1104">
        <f t="shared" si="25"/>
        <v>0</v>
      </c>
      <c r="AM30" s="1104"/>
      <c r="AN30" s="347"/>
      <c r="AP30" s="347"/>
      <c r="AQ30" s="345"/>
      <c r="AR30" s="345"/>
      <c r="AS30" s="1111" t="s">
        <v>509</v>
      </c>
      <c r="AT30" s="1117">
        <v>8</v>
      </c>
      <c r="AU30" s="348" t="str">
        <f t="shared" si="28"/>
        <v>August</v>
      </c>
      <c r="AV30" s="1092"/>
      <c r="AW30" s="1093"/>
    </row>
    <row r="31" spans="2:49" s="278" customFormat="1" ht="12" customHeight="1" x14ac:dyDescent="0.25">
      <c r="B31" s="1192">
        <f t="shared" si="19"/>
        <v>31</v>
      </c>
      <c r="C31" s="732">
        <f t="shared" si="0"/>
        <v>30</v>
      </c>
      <c r="D31" s="35">
        <f t="shared" si="1"/>
        <v>9</v>
      </c>
      <c r="E31" s="889">
        <f t="shared" si="26"/>
        <v>47026</v>
      </c>
      <c r="F31" s="822">
        <f t="shared" si="2"/>
        <v>9</v>
      </c>
      <c r="G31" s="126">
        <f t="shared" si="3"/>
        <v>0</v>
      </c>
      <c r="H31" s="1098">
        <f t="shared" si="27"/>
        <v>0</v>
      </c>
      <c r="I31" s="887">
        <f t="shared" si="20"/>
        <v>12</v>
      </c>
      <c r="J31" s="1099">
        <f t="shared" si="9"/>
        <v>12</v>
      </c>
      <c r="K31" s="891" t="str">
        <f t="shared" si="10"/>
        <v>September</v>
      </c>
      <c r="L31" s="888">
        <f t="shared" si="21"/>
        <v>2028</v>
      </c>
      <c r="M31" s="883">
        <f t="shared" si="22"/>
        <v>0</v>
      </c>
      <c r="N31" s="883">
        <f t="shared" si="11"/>
        <v>0</v>
      </c>
      <c r="O31" s="1100"/>
      <c r="P31" s="883">
        <f t="shared" si="4"/>
        <v>0</v>
      </c>
      <c r="Q31" s="884">
        <f t="shared" si="23"/>
        <v>0</v>
      </c>
      <c r="R31" s="884">
        <f>IF(AND($AR$39="Early Payoff",I31&gt;=$R$13),0,IF($I31&lt;=$R$6,SUM($P$20:$P31),0))</f>
        <v>0</v>
      </c>
      <c r="S31" s="884">
        <f>IF(AND($AR$39="Early Payoff",I31&gt;=$R$13),0,IF($I31&lt;=$R$6,SUM($Q$20:$Q31),0))</f>
        <v>0</v>
      </c>
      <c r="T31" s="873">
        <f t="shared" si="12"/>
        <v>0</v>
      </c>
      <c r="U31" s="1110">
        <f t="shared" si="13"/>
        <v>0</v>
      </c>
      <c r="W31" s="1102">
        <f t="shared" si="5"/>
        <v>0</v>
      </c>
      <c r="X31" s="873">
        <f t="shared" si="6"/>
        <v>0</v>
      </c>
      <c r="Y31" s="873">
        <f t="shared" si="7"/>
        <v>0</v>
      </c>
      <c r="Z31" s="885">
        <f t="shared" si="8"/>
        <v>0</v>
      </c>
      <c r="AB31" s="355">
        <f t="shared" si="24"/>
        <v>11</v>
      </c>
      <c r="AC31" s="1103">
        <f t="shared" si="24"/>
        <v>2038</v>
      </c>
      <c r="AD31" s="1104">
        <f t="shared" si="14"/>
        <v>0</v>
      </c>
      <c r="AE31" s="1104">
        <f t="shared" si="15"/>
        <v>0</v>
      </c>
      <c r="AF31" s="1104">
        <f t="shared" si="16"/>
        <v>0</v>
      </c>
      <c r="AG31" s="1104">
        <f t="shared" si="17"/>
        <v>0</v>
      </c>
      <c r="AH31" s="1104">
        <f t="shared" si="18"/>
        <v>0</v>
      </c>
      <c r="AI31" s="1104">
        <f>IF($AD31=0,0,SUM($AF$20:$AF31))</f>
        <v>0</v>
      </c>
      <c r="AJ31" s="1104">
        <f>IF($AD31=0,0,SUM($AG$20:$AG31))</f>
        <v>0</v>
      </c>
      <c r="AK31" s="1104">
        <f>SUM($AH$20:$AH31)</f>
        <v>0</v>
      </c>
      <c r="AL31" s="1104">
        <f t="shared" si="25"/>
        <v>0</v>
      </c>
      <c r="AM31" s="1104"/>
      <c r="AN31" s="347"/>
      <c r="AP31" s="347" t="s">
        <v>536</v>
      </c>
      <c r="AQ31" s="1103">
        <f>YEAR(AQ33)</f>
        <v>2027</v>
      </c>
      <c r="AR31" s="345"/>
      <c r="AS31" s="1111" t="s">
        <v>461</v>
      </c>
      <c r="AT31" s="1117">
        <v>9</v>
      </c>
      <c r="AU31" s="348" t="str">
        <f t="shared" si="28"/>
        <v>September</v>
      </c>
      <c r="AV31" s="1092"/>
      <c r="AW31" s="1093"/>
    </row>
    <row r="32" spans="2:49" s="278" customFormat="1" ht="12" customHeight="1" x14ac:dyDescent="0.25">
      <c r="B32" s="1192">
        <f t="shared" si="19"/>
        <v>32</v>
      </c>
      <c r="C32" s="732">
        <f t="shared" si="0"/>
        <v>31</v>
      </c>
      <c r="D32" s="35">
        <f t="shared" si="1"/>
        <v>10</v>
      </c>
      <c r="E32" s="889">
        <f t="shared" si="26"/>
        <v>47057</v>
      </c>
      <c r="F32" s="822">
        <f t="shared" si="2"/>
        <v>10</v>
      </c>
      <c r="G32" s="126">
        <f t="shared" si="3"/>
        <v>0</v>
      </c>
      <c r="H32" s="1098">
        <f t="shared" si="27"/>
        <v>0</v>
      </c>
      <c r="I32" s="887">
        <f t="shared" si="20"/>
        <v>13</v>
      </c>
      <c r="J32" s="1099">
        <f t="shared" si="9"/>
        <v>13</v>
      </c>
      <c r="K32" s="891" t="str">
        <f t="shared" si="10"/>
        <v>October</v>
      </c>
      <c r="L32" s="888">
        <f t="shared" si="21"/>
        <v>2028</v>
      </c>
      <c r="M32" s="883">
        <f t="shared" si="22"/>
        <v>0</v>
      </c>
      <c r="N32" s="883">
        <f t="shared" si="11"/>
        <v>0</v>
      </c>
      <c r="O32" s="1100"/>
      <c r="P32" s="883">
        <f t="shared" si="4"/>
        <v>0</v>
      </c>
      <c r="Q32" s="884">
        <f t="shared" si="23"/>
        <v>0</v>
      </c>
      <c r="R32" s="884">
        <f>IF(AND($AR$39="Early Payoff",I32&gt;=$R$13),0,IF($I32&lt;=$R$6,SUM($P$20:$P32),0))</f>
        <v>0</v>
      </c>
      <c r="S32" s="884">
        <f>IF(AND($AR$39="Early Payoff",I32&gt;=$R$13),0,IF($I32&lt;=$R$6,SUM($Q$20:$Q32),0))</f>
        <v>0</v>
      </c>
      <c r="T32" s="873">
        <f t="shared" si="12"/>
        <v>0</v>
      </c>
      <c r="U32" s="1110">
        <f t="shared" si="13"/>
        <v>0</v>
      </c>
      <c r="W32" s="1102">
        <f t="shared" si="5"/>
        <v>0</v>
      </c>
      <c r="X32" s="873">
        <f t="shared" si="6"/>
        <v>0</v>
      </c>
      <c r="Y32" s="873">
        <f t="shared" si="7"/>
        <v>0</v>
      </c>
      <c r="Z32" s="885">
        <f t="shared" si="8"/>
        <v>0</v>
      </c>
      <c r="AB32" s="355">
        <f t="shared" si="24"/>
        <v>12</v>
      </c>
      <c r="AC32" s="1103">
        <f t="shared" si="24"/>
        <v>2039</v>
      </c>
      <c r="AD32" s="1104">
        <f t="shared" si="14"/>
        <v>0</v>
      </c>
      <c r="AE32" s="1104">
        <f t="shared" si="15"/>
        <v>0</v>
      </c>
      <c r="AF32" s="1104">
        <f t="shared" si="16"/>
        <v>0</v>
      </c>
      <c r="AG32" s="1104">
        <f t="shared" si="17"/>
        <v>0</v>
      </c>
      <c r="AH32" s="1104">
        <f t="shared" si="18"/>
        <v>0</v>
      </c>
      <c r="AI32" s="1104">
        <f>IF($AD32=0,0,SUM($AF$20:$AF32))</f>
        <v>0</v>
      </c>
      <c r="AJ32" s="1104">
        <f>IF($AD32=0,0,SUM($AG$20:$AG32))</f>
        <v>0</v>
      </c>
      <c r="AK32" s="1104">
        <f>SUM($AH$20:$AH32)</f>
        <v>0</v>
      </c>
      <c r="AL32" s="1104">
        <f t="shared" si="25"/>
        <v>0</v>
      </c>
      <c r="AM32" s="1104"/>
      <c r="AN32" s="347"/>
      <c r="AP32" s="347" t="s">
        <v>537</v>
      </c>
      <c r="AQ32" s="1077" t="str">
        <f>INDEX($AT$22:$AU$34,MATCH(MONTH($AQ$33),$AT$22:$AT$34,0),MATCH("Month",$AT$22:$AU$22,0))</f>
        <v>October</v>
      </c>
      <c r="AR32" s="345"/>
      <c r="AS32" s="1111" t="s">
        <v>533</v>
      </c>
      <c r="AT32" s="1117">
        <v>10</v>
      </c>
      <c r="AU32" s="348" t="str">
        <f t="shared" si="28"/>
        <v>October</v>
      </c>
      <c r="AV32" s="1092"/>
      <c r="AW32" s="1093"/>
    </row>
    <row r="33" spans="2:49" s="278" customFormat="1" ht="12" customHeight="1" x14ac:dyDescent="0.25">
      <c r="B33" s="1192">
        <f t="shared" si="19"/>
        <v>33</v>
      </c>
      <c r="C33" s="732">
        <f t="shared" si="0"/>
        <v>30</v>
      </c>
      <c r="D33" s="35">
        <f t="shared" si="1"/>
        <v>11</v>
      </c>
      <c r="E33" s="889">
        <f t="shared" si="26"/>
        <v>47087</v>
      </c>
      <c r="F33" s="822">
        <f t="shared" si="2"/>
        <v>11</v>
      </c>
      <c r="G33" s="126">
        <f t="shared" si="3"/>
        <v>0</v>
      </c>
      <c r="H33" s="1098">
        <f t="shared" si="27"/>
        <v>0</v>
      </c>
      <c r="I33" s="887">
        <f t="shared" si="20"/>
        <v>14</v>
      </c>
      <c r="J33" s="1099">
        <f t="shared" si="9"/>
        <v>14</v>
      </c>
      <c r="K33" s="891" t="str">
        <f t="shared" si="10"/>
        <v>November</v>
      </c>
      <c r="L33" s="888">
        <f t="shared" si="21"/>
        <v>2028</v>
      </c>
      <c r="M33" s="883">
        <f t="shared" si="22"/>
        <v>0</v>
      </c>
      <c r="N33" s="883">
        <f t="shared" si="11"/>
        <v>0</v>
      </c>
      <c r="O33" s="1100"/>
      <c r="P33" s="883">
        <f t="shared" si="4"/>
        <v>0</v>
      </c>
      <c r="Q33" s="884">
        <f t="shared" si="23"/>
        <v>0</v>
      </c>
      <c r="R33" s="884">
        <f>IF(AND($AR$39="Early Payoff",I33&gt;=$R$13),0,IF($I33&lt;=$R$6,SUM($P$20:$P33),0))</f>
        <v>0</v>
      </c>
      <c r="S33" s="884">
        <f>IF(AND($AR$39="Early Payoff",I33&gt;=$R$13),0,IF($I33&lt;=$R$6,SUM($Q$20:$Q33),0))</f>
        <v>0</v>
      </c>
      <c r="T33" s="873">
        <f t="shared" si="12"/>
        <v>0</v>
      </c>
      <c r="U33" s="1110">
        <f t="shared" si="13"/>
        <v>0</v>
      </c>
      <c r="W33" s="1102">
        <f t="shared" si="5"/>
        <v>0</v>
      </c>
      <c r="X33" s="873">
        <f t="shared" si="6"/>
        <v>0</v>
      </c>
      <c r="Y33" s="873">
        <f t="shared" si="7"/>
        <v>0</v>
      </c>
      <c r="Z33" s="885">
        <f t="shared" si="8"/>
        <v>0</v>
      </c>
      <c r="AB33" s="355">
        <f t="shared" si="24"/>
        <v>13</v>
      </c>
      <c r="AC33" s="1103">
        <f t="shared" si="24"/>
        <v>2040</v>
      </c>
      <c r="AD33" s="1104">
        <f t="shared" si="14"/>
        <v>0</v>
      </c>
      <c r="AE33" s="1104">
        <f t="shared" si="15"/>
        <v>0</v>
      </c>
      <c r="AF33" s="1104">
        <f t="shared" si="16"/>
        <v>0</v>
      </c>
      <c r="AG33" s="1104">
        <f t="shared" si="17"/>
        <v>0</v>
      </c>
      <c r="AH33" s="1104">
        <f t="shared" si="18"/>
        <v>0</v>
      </c>
      <c r="AI33" s="1104">
        <f>IF($AD33=0,0,SUM($AF$20:$AF33))</f>
        <v>0</v>
      </c>
      <c r="AJ33" s="1104">
        <f>IF($AD33=0,0,SUM($AG$20:$AG33))</f>
        <v>0</v>
      </c>
      <c r="AK33" s="1104">
        <f>SUM($AH$20:$AH33)</f>
        <v>0</v>
      </c>
      <c r="AL33" s="1104">
        <f t="shared" si="25"/>
        <v>0</v>
      </c>
      <c r="AM33" s="1104"/>
      <c r="AN33" s="347"/>
      <c r="AP33" s="347" t="s">
        <v>538</v>
      </c>
      <c r="AQ33" s="1118">
        <f>EOMONTH(AQ24,AQ28+1)</f>
        <v>46691</v>
      </c>
      <c r="AR33" s="345"/>
      <c r="AS33" s="1111" t="s">
        <v>535</v>
      </c>
      <c r="AT33" s="1117">
        <v>11</v>
      </c>
      <c r="AU33" s="348" t="str">
        <f t="shared" si="28"/>
        <v>November</v>
      </c>
      <c r="AV33" s="1092"/>
      <c r="AW33" s="1093"/>
    </row>
    <row r="34" spans="2:49" s="278" customFormat="1" ht="12" customHeight="1" x14ac:dyDescent="0.25">
      <c r="B34" s="1192">
        <f t="shared" si="19"/>
        <v>34</v>
      </c>
      <c r="C34" s="732">
        <f t="shared" si="0"/>
        <v>31</v>
      </c>
      <c r="D34" s="35">
        <f t="shared" si="1"/>
        <v>12</v>
      </c>
      <c r="E34" s="889">
        <f t="shared" si="26"/>
        <v>47118</v>
      </c>
      <c r="F34" s="822">
        <f t="shared" si="2"/>
        <v>12</v>
      </c>
      <c r="G34" s="126">
        <f t="shared" si="3"/>
        <v>1</v>
      </c>
      <c r="H34" s="1098">
        <f t="shared" si="27"/>
        <v>0</v>
      </c>
      <c r="I34" s="887">
        <f t="shared" si="20"/>
        <v>15</v>
      </c>
      <c r="J34" s="1099">
        <f t="shared" si="9"/>
        <v>15</v>
      </c>
      <c r="K34" s="891" t="str">
        <f t="shared" si="10"/>
        <v>December</v>
      </c>
      <c r="L34" s="888">
        <f t="shared" si="21"/>
        <v>2028</v>
      </c>
      <c r="M34" s="883">
        <f t="shared" si="22"/>
        <v>0</v>
      </c>
      <c r="N34" s="883">
        <f t="shared" si="11"/>
        <v>0</v>
      </c>
      <c r="O34" s="1100"/>
      <c r="P34" s="883">
        <f t="shared" si="4"/>
        <v>0</v>
      </c>
      <c r="Q34" s="884">
        <f t="shared" si="23"/>
        <v>0</v>
      </c>
      <c r="R34" s="884">
        <f>IF(AND($AR$39="Early Payoff",I34&gt;=$R$13),0,IF($I34&lt;=$R$6,SUM($P$20:$P34),0))</f>
        <v>0</v>
      </c>
      <c r="S34" s="884">
        <f>IF(AND($AR$39="Early Payoff",I34&gt;=$R$13),0,IF($I34&lt;=$R$6,SUM($Q$20:$Q34),0))</f>
        <v>0</v>
      </c>
      <c r="T34" s="873">
        <f t="shared" si="12"/>
        <v>0</v>
      </c>
      <c r="U34" s="1110">
        <f t="shared" si="13"/>
        <v>0</v>
      </c>
      <c r="W34" s="1102">
        <f t="shared" si="5"/>
        <v>0</v>
      </c>
      <c r="X34" s="873">
        <f t="shared" si="6"/>
        <v>0</v>
      </c>
      <c r="Y34" s="873">
        <f t="shared" si="7"/>
        <v>0</v>
      </c>
      <c r="Z34" s="885">
        <f t="shared" si="8"/>
        <v>0</v>
      </c>
      <c r="AB34" s="355">
        <f t="shared" si="24"/>
        <v>14</v>
      </c>
      <c r="AC34" s="1103">
        <f t="shared" si="24"/>
        <v>2041</v>
      </c>
      <c r="AD34" s="1104">
        <f t="shared" si="14"/>
        <v>0</v>
      </c>
      <c r="AE34" s="1104">
        <f t="shared" si="15"/>
        <v>0</v>
      </c>
      <c r="AF34" s="1104">
        <f t="shared" si="16"/>
        <v>0</v>
      </c>
      <c r="AG34" s="1104">
        <f t="shared" si="17"/>
        <v>0</v>
      </c>
      <c r="AH34" s="1104">
        <f t="shared" si="18"/>
        <v>0</v>
      </c>
      <c r="AI34" s="1104">
        <f>IF($AD34=0,0,SUM($AF$20:$AF34))</f>
        <v>0</v>
      </c>
      <c r="AJ34" s="1104">
        <f>IF($AD34=0,0,SUM($AG$20:$AG34))</f>
        <v>0</v>
      </c>
      <c r="AK34" s="1104">
        <f>SUM($AH$20:$AH34)</f>
        <v>0</v>
      </c>
      <c r="AL34" s="1104">
        <f t="shared" si="25"/>
        <v>0</v>
      </c>
      <c r="AM34" s="1104"/>
      <c r="AN34" s="347"/>
      <c r="AP34" s="347"/>
      <c r="AQ34" s="345"/>
      <c r="AR34" s="345"/>
      <c r="AS34" s="1145" t="s">
        <v>423</v>
      </c>
      <c r="AT34" s="1146">
        <v>12</v>
      </c>
      <c r="AU34" s="568" t="str">
        <f t="shared" si="28"/>
        <v>December</v>
      </c>
      <c r="AV34" s="1092"/>
      <c r="AW34" s="1093"/>
    </row>
    <row r="35" spans="2:49" s="278" customFormat="1" ht="12" customHeight="1" x14ac:dyDescent="0.25">
      <c r="B35" s="1192">
        <f t="shared" si="19"/>
        <v>35</v>
      </c>
      <c r="C35" s="732">
        <f t="shared" si="0"/>
        <v>31</v>
      </c>
      <c r="D35" s="35">
        <f t="shared" si="1"/>
        <v>1</v>
      </c>
      <c r="E35" s="889">
        <f t="shared" si="26"/>
        <v>47149</v>
      </c>
      <c r="F35" s="822">
        <f t="shared" si="2"/>
        <v>1</v>
      </c>
      <c r="G35" s="126">
        <f t="shared" si="3"/>
        <v>0</v>
      </c>
      <c r="H35" s="1098">
        <f t="shared" si="27"/>
        <v>0</v>
      </c>
      <c r="I35" s="887">
        <f t="shared" si="20"/>
        <v>16</v>
      </c>
      <c r="J35" s="1099">
        <f t="shared" si="9"/>
        <v>16</v>
      </c>
      <c r="K35" s="891" t="str">
        <f t="shared" si="10"/>
        <v>January</v>
      </c>
      <c r="L35" s="888">
        <f t="shared" si="21"/>
        <v>2029</v>
      </c>
      <c r="M35" s="883">
        <f t="shared" si="22"/>
        <v>0</v>
      </c>
      <c r="N35" s="883">
        <f t="shared" si="11"/>
        <v>0</v>
      </c>
      <c r="O35" s="1100"/>
      <c r="P35" s="883">
        <f t="shared" si="4"/>
        <v>0</v>
      </c>
      <c r="Q35" s="884">
        <f t="shared" si="23"/>
        <v>0</v>
      </c>
      <c r="R35" s="884">
        <f>IF(AND($AR$39="Early Payoff",I35&gt;=$R$13),0,IF($I35&lt;=$R$6,SUM($P$20:$P35),0))</f>
        <v>0</v>
      </c>
      <c r="S35" s="884">
        <f>IF(AND($AR$39="Early Payoff",I35&gt;=$R$13),0,IF($I35&lt;=$R$6,SUM($Q$20:$Q35),0))</f>
        <v>0</v>
      </c>
      <c r="T35" s="873">
        <f t="shared" si="12"/>
        <v>0</v>
      </c>
      <c r="U35" s="1110">
        <f t="shared" si="13"/>
        <v>0</v>
      </c>
      <c r="W35" s="1102">
        <f t="shared" si="5"/>
        <v>0</v>
      </c>
      <c r="X35" s="873">
        <f t="shared" si="6"/>
        <v>0</v>
      </c>
      <c r="Y35" s="873">
        <f t="shared" si="7"/>
        <v>0</v>
      </c>
      <c r="Z35" s="885">
        <f t="shared" si="8"/>
        <v>0</v>
      </c>
      <c r="AB35" s="355">
        <f t="shared" si="24"/>
        <v>15</v>
      </c>
      <c r="AC35" s="1103">
        <f t="shared" si="24"/>
        <v>2042</v>
      </c>
      <c r="AD35" s="1104">
        <f t="shared" si="14"/>
        <v>0</v>
      </c>
      <c r="AE35" s="1104">
        <f t="shared" si="15"/>
        <v>0</v>
      </c>
      <c r="AF35" s="1104">
        <f t="shared" si="16"/>
        <v>0</v>
      </c>
      <c r="AG35" s="1104">
        <f t="shared" si="17"/>
        <v>0</v>
      </c>
      <c r="AH35" s="1104">
        <f t="shared" si="18"/>
        <v>0</v>
      </c>
      <c r="AI35" s="1104">
        <f>IF($AD35=0,0,SUM($AF$20:$AF35))</f>
        <v>0</v>
      </c>
      <c r="AJ35" s="1104">
        <f>IF($AD35=0,0,SUM($AG$20:$AG35))</f>
        <v>0</v>
      </c>
      <c r="AK35" s="1104">
        <f>SUM($AH$20:$AH35)</f>
        <v>0</v>
      </c>
      <c r="AL35" s="1104">
        <f t="shared" si="25"/>
        <v>0</v>
      </c>
      <c r="AM35" s="1104"/>
      <c r="AN35" s="347"/>
      <c r="AP35" s="1111" t="s">
        <v>539</v>
      </c>
      <c r="AQ35" s="1103">
        <f>YEAR(AQ37)</f>
        <v>2027</v>
      </c>
      <c r="AR35" s="345"/>
      <c r="AS35" s="1093"/>
      <c r="AT35" s="1092"/>
      <c r="AU35" s="1147"/>
      <c r="AV35" s="1092"/>
      <c r="AW35" s="1093"/>
    </row>
    <row r="36" spans="2:49" s="278" customFormat="1" ht="12" customHeight="1" x14ac:dyDescent="0.25">
      <c r="B36" s="1192">
        <f t="shared" si="19"/>
        <v>36</v>
      </c>
      <c r="C36" s="732">
        <f t="shared" si="0"/>
        <v>28</v>
      </c>
      <c r="D36" s="35">
        <f t="shared" si="1"/>
        <v>2</v>
      </c>
      <c r="E36" s="889">
        <f t="shared" si="26"/>
        <v>47177</v>
      </c>
      <c r="F36" s="822">
        <f t="shared" si="2"/>
        <v>2</v>
      </c>
      <c r="G36" s="126">
        <f t="shared" si="3"/>
        <v>0</v>
      </c>
      <c r="H36" s="1098">
        <f t="shared" si="27"/>
        <v>0</v>
      </c>
      <c r="I36" s="887">
        <f t="shared" si="20"/>
        <v>17</v>
      </c>
      <c r="J36" s="1099">
        <f t="shared" si="9"/>
        <v>17</v>
      </c>
      <c r="K36" s="891" t="str">
        <f t="shared" si="10"/>
        <v>February</v>
      </c>
      <c r="L36" s="888">
        <f t="shared" si="21"/>
        <v>2029</v>
      </c>
      <c r="M36" s="883">
        <f t="shared" si="22"/>
        <v>0</v>
      </c>
      <c r="N36" s="883">
        <f t="shared" si="11"/>
        <v>0</v>
      </c>
      <c r="O36" s="1100"/>
      <c r="P36" s="883">
        <f t="shared" si="4"/>
        <v>0</v>
      </c>
      <c r="Q36" s="884">
        <f t="shared" si="23"/>
        <v>0</v>
      </c>
      <c r="R36" s="884">
        <f>IF(AND($AR$39="Early Payoff",I36&gt;=$R$13),0,IF($I36&lt;=$R$6,SUM($P$20:$P36),0))</f>
        <v>0</v>
      </c>
      <c r="S36" s="884">
        <f>IF(AND($AR$39="Early Payoff",I36&gt;=$R$13),0,IF($I36&lt;=$R$6,SUM($Q$20:$Q36),0))</f>
        <v>0</v>
      </c>
      <c r="T36" s="873">
        <f t="shared" si="12"/>
        <v>0</v>
      </c>
      <c r="U36" s="1110">
        <f t="shared" si="13"/>
        <v>0</v>
      </c>
      <c r="W36" s="1102">
        <f t="shared" si="5"/>
        <v>0</v>
      </c>
      <c r="X36" s="873">
        <f t="shared" si="6"/>
        <v>0</v>
      </c>
      <c r="Y36" s="873">
        <f t="shared" si="7"/>
        <v>0</v>
      </c>
      <c r="Z36" s="885">
        <f t="shared" si="8"/>
        <v>0</v>
      </c>
      <c r="AB36" s="355">
        <f t="shared" si="24"/>
        <v>16</v>
      </c>
      <c r="AC36" s="1103">
        <f t="shared" si="24"/>
        <v>2043</v>
      </c>
      <c r="AD36" s="1104">
        <f t="shared" si="14"/>
        <v>0</v>
      </c>
      <c r="AE36" s="1104">
        <f t="shared" si="15"/>
        <v>0</v>
      </c>
      <c r="AF36" s="1104">
        <f t="shared" si="16"/>
        <v>0</v>
      </c>
      <c r="AG36" s="1104">
        <f t="shared" si="17"/>
        <v>0</v>
      </c>
      <c r="AH36" s="1104">
        <f t="shared" si="18"/>
        <v>0</v>
      </c>
      <c r="AI36" s="1104">
        <f>IF($AD36=0,0,SUM($AF$20:$AF36))</f>
        <v>0</v>
      </c>
      <c r="AJ36" s="1104">
        <f>IF($AD36=0,0,SUM($AG$20:$AG36))</f>
        <v>0</v>
      </c>
      <c r="AK36" s="1104">
        <f>SUM($AH$20:$AH36)</f>
        <v>0</v>
      </c>
      <c r="AL36" s="1104">
        <f t="shared" si="25"/>
        <v>0</v>
      </c>
      <c r="AM36" s="1104"/>
      <c r="AN36" s="347"/>
      <c r="AP36" s="347" t="s">
        <v>540</v>
      </c>
      <c r="AQ36" s="1077" t="str">
        <f>INDEX($AT$22:$AU$34,MATCH(MONTH($AQ$37),$AT$22:$AT$34,0),MATCH("Month",$AT$22:$AU$22,0))</f>
        <v>October</v>
      </c>
      <c r="AR36" s="345"/>
      <c r="AS36" s="1113"/>
      <c r="AT36" s="1148" t="s">
        <v>527</v>
      </c>
      <c r="AU36" s="1147"/>
    </row>
    <row r="37" spans="2:49" s="278" customFormat="1" ht="12" customHeight="1" x14ac:dyDescent="0.25">
      <c r="B37" s="1192">
        <f t="shared" si="19"/>
        <v>37</v>
      </c>
      <c r="C37" s="732">
        <f t="shared" si="0"/>
        <v>31</v>
      </c>
      <c r="D37" s="35">
        <f t="shared" si="1"/>
        <v>3</v>
      </c>
      <c r="E37" s="889">
        <f t="shared" si="26"/>
        <v>47208</v>
      </c>
      <c r="F37" s="822">
        <f t="shared" si="2"/>
        <v>3</v>
      </c>
      <c r="G37" s="126">
        <f t="shared" si="3"/>
        <v>0</v>
      </c>
      <c r="H37" s="1098">
        <f t="shared" si="27"/>
        <v>0</v>
      </c>
      <c r="I37" s="887">
        <f t="shared" si="20"/>
        <v>18</v>
      </c>
      <c r="J37" s="1099">
        <f t="shared" si="9"/>
        <v>18</v>
      </c>
      <c r="K37" s="891" t="str">
        <f t="shared" si="10"/>
        <v>March</v>
      </c>
      <c r="L37" s="888">
        <f t="shared" si="21"/>
        <v>2029</v>
      </c>
      <c r="M37" s="883">
        <f t="shared" si="22"/>
        <v>0</v>
      </c>
      <c r="N37" s="883">
        <f t="shared" si="11"/>
        <v>0</v>
      </c>
      <c r="O37" s="1100"/>
      <c r="P37" s="883">
        <f t="shared" si="4"/>
        <v>0</v>
      </c>
      <c r="Q37" s="884">
        <f t="shared" si="23"/>
        <v>0</v>
      </c>
      <c r="R37" s="884">
        <f>IF(AND($AR$39="Early Payoff",I37&gt;=$R$13),0,IF($I37&lt;=$R$6,SUM($P$20:$P37),0))</f>
        <v>0</v>
      </c>
      <c r="S37" s="884">
        <f>IF(AND($AR$39="Early Payoff",I37&gt;=$R$13),0,IF($I37&lt;=$R$6,SUM($Q$20:$Q37),0))</f>
        <v>0</v>
      </c>
      <c r="T37" s="873">
        <f t="shared" si="12"/>
        <v>0</v>
      </c>
      <c r="U37" s="1110">
        <f t="shared" si="13"/>
        <v>0</v>
      </c>
      <c r="W37" s="1102">
        <f t="shared" si="5"/>
        <v>0</v>
      </c>
      <c r="X37" s="873">
        <f t="shared" si="6"/>
        <v>0</v>
      </c>
      <c r="Y37" s="873">
        <f t="shared" si="7"/>
        <v>0</v>
      </c>
      <c r="Z37" s="885">
        <f t="shared" si="8"/>
        <v>0</v>
      </c>
      <c r="AB37" s="355">
        <f t="shared" si="24"/>
        <v>17</v>
      </c>
      <c r="AC37" s="1103">
        <f t="shared" si="24"/>
        <v>2044</v>
      </c>
      <c r="AD37" s="1104">
        <f t="shared" si="14"/>
        <v>0</v>
      </c>
      <c r="AE37" s="1104">
        <f t="shared" si="15"/>
        <v>0</v>
      </c>
      <c r="AF37" s="1104">
        <f t="shared" si="16"/>
        <v>0</v>
      </c>
      <c r="AG37" s="1104">
        <f t="shared" si="17"/>
        <v>0</v>
      </c>
      <c r="AH37" s="1104">
        <f t="shared" si="18"/>
        <v>0</v>
      </c>
      <c r="AI37" s="1104">
        <f>IF($AD37=0,0,SUM($AF$20:$AF37))</f>
        <v>0</v>
      </c>
      <c r="AJ37" s="1104">
        <f>IF($AD37=0,0,SUM($AG$20:$AG37))</f>
        <v>0</v>
      </c>
      <c r="AK37" s="1104">
        <f>SUM($AH$20:$AH37)</f>
        <v>0</v>
      </c>
      <c r="AL37" s="1104">
        <f t="shared" si="25"/>
        <v>0</v>
      </c>
      <c r="AM37" s="1104"/>
      <c r="AN37" s="347"/>
      <c r="AP37" s="347" t="s">
        <v>541</v>
      </c>
      <c r="AQ37" s="1118">
        <f>EOMONTH(AQ24,AQ27+1)</f>
        <v>46691</v>
      </c>
      <c r="AR37" s="345"/>
      <c r="AS37" s="1111" t="s">
        <v>425</v>
      </c>
      <c r="AT37" s="1149">
        <v>0</v>
      </c>
      <c r="AU37" s="1147"/>
    </row>
    <row r="38" spans="2:49" s="278" customFormat="1" ht="12" customHeight="1" x14ac:dyDescent="0.25">
      <c r="B38" s="1192">
        <f t="shared" si="19"/>
        <v>38</v>
      </c>
      <c r="C38" s="732">
        <f t="shared" si="0"/>
        <v>30</v>
      </c>
      <c r="D38" s="35">
        <f t="shared" si="1"/>
        <v>4</v>
      </c>
      <c r="E38" s="889">
        <f t="shared" si="26"/>
        <v>47238</v>
      </c>
      <c r="F38" s="822">
        <f t="shared" si="2"/>
        <v>4</v>
      </c>
      <c r="G38" s="126">
        <f t="shared" si="3"/>
        <v>0</v>
      </c>
      <c r="H38" s="1098">
        <f t="shared" si="27"/>
        <v>0</v>
      </c>
      <c r="I38" s="887">
        <f t="shared" si="20"/>
        <v>19</v>
      </c>
      <c r="J38" s="1099">
        <f t="shared" si="9"/>
        <v>19</v>
      </c>
      <c r="K38" s="891" t="str">
        <f t="shared" si="10"/>
        <v>April</v>
      </c>
      <c r="L38" s="888">
        <f t="shared" si="21"/>
        <v>2029</v>
      </c>
      <c r="M38" s="883">
        <f t="shared" si="22"/>
        <v>0</v>
      </c>
      <c r="N38" s="883">
        <f t="shared" si="11"/>
        <v>0</v>
      </c>
      <c r="O38" s="1100"/>
      <c r="P38" s="883">
        <f t="shared" si="4"/>
        <v>0</v>
      </c>
      <c r="Q38" s="884">
        <f t="shared" si="23"/>
        <v>0</v>
      </c>
      <c r="R38" s="884">
        <f>IF(AND($AR$39="Early Payoff",I38&gt;=$R$13),0,IF($I38&lt;=$R$6,SUM($P$20:$P38),0))</f>
        <v>0</v>
      </c>
      <c r="S38" s="884">
        <f>IF(AND($AR$39="Early Payoff",I38&gt;=$R$13),0,IF($I38&lt;=$R$6,SUM($Q$20:$Q38),0))</f>
        <v>0</v>
      </c>
      <c r="T38" s="873">
        <f t="shared" si="12"/>
        <v>0</v>
      </c>
      <c r="U38" s="1110">
        <f t="shared" si="13"/>
        <v>0</v>
      </c>
      <c r="W38" s="1102">
        <f t="shared" si="5"/>
        <v>0</v>
      </c>
      <c r="X38" s="873">
        <f t="shared" si="6"/>
        <v>0</v>
      </c>
      <c r="Y38" s="873">
        <f t="shared" si="7"/>
        <v>0</v>
      </c>
      <c r="Z38" s="885">
        <f t="shared" si="8"/>
        <v>0</v>
      </c>
      <c r="AB38" s="355">
        <f t="shared" ref="AB38:AC41" si="29">AB37+1</f>
        <v>18</v>
      </c>
      <c r="AC38" s="1103">
        <f t="shared" si="29"/>
        <v>2045</v>
      </c>
      <c r="AD38" s="1104">
        <f t="shared" si="14"/>
        <v>0</v>
      </c>
      <c r="AE38" s="1104">
        <f t="shared" si="15"/>
        <v>0</v>
      </c>
      <c r="AF38" s="1104">
        <f t="shared" si="16"/>
        <v>0</v>
      </c>
      <c r="AG38" s="1104">
        <f t="shared" si="17"/>
        <v>0</v>
      </c>
      <c r="AH38" s="1104">
        <f t="shared" si="18"/>
        <v>0</v>
      </c>
      <c r="AI38" s="1104">
        <f>IF($AD38=0,0,SUM($AF$20:$AF38))</f>
        <v>0</v>
      </c>
      <c r="AJ38" s="1104">
        <f>IF($AD38=0,0,SUM($AG$20:$AG38))</f>
        <v>0</v>
      </c>
      <c r="AK38" s="1104">
        <f>SUM($AH$20:$AH38)</f>
        <v>0</v>
      </c>
      <c r="AL38" s="1104">
        <f t="shared" si="25"/>
        <v>0</v>
      </c>
      <c r="AM38" s="1104"/>
      <c r="AN38" s="347"/>
      <c r="AP38" s="347"/>
      <c r="AQ38" s="345"/>
      <c r="AR38" s="345"/>
      <c r="AS38" s="1111" t="s">
        <v>528</v>
      </c>
      <c r="AT38" s="1149">
        <v>0</v>
      </c>
      <c r="AU38" s="1147"/>
    </row>
    <row r="39" spans="2:49" s="278" customFormat="1" ht="12" customHeight="1" x14ac:dyDescent="0.25">
      <c r="B39" s="1192">
        <f t="shared" si="19"/>
        <v>39</v>
      </c>
      <c r="C39" s="732">
        <f t="shared" si="0"/>
        <v>31</v>
      </c>
      <c r="D39" s="35">
        <f t="shared" si="1"/>
        <v>5</v>
      </c>
      <c r="E39" s="889">
        <f t="shared" si="26"/>
        <v>47269</v>
      </c>
      <c r="F39" s="822">
        <f t="shared" si="2"/>
        <v>5</v>
      </c>
      <c r="G39" s="126">
        <f t="shared" si="3"/>
        <v>0</v>
      </c>
      <c r="H39" s="1098">
        <f t="shared" si="27"/>
        <v>0</v>
      </c>
      <c r="I39" s="887">
        <f t="shared" si="20"/>
        <v>20</v>
      </c>
      <c r="J39" s="1099">
        <f t="shared" si="9"/>
        <v>20</v>
      </c>
      <c r="K39" s="891" t="str">
        <f t="shared" si="10"/>
        <v>May</v>
      </c>
      <c r="L39" s="888">
        <f t="shared" si="21"/>
        <v>2029</v>
      </c>
      <c r="M39" s="883">
        <f t="shared" si="22"/>
        <v>0</v>
      </c>
      <c r="N39" s="883">
        <f t="shared" si="11"/>
        <v>0</v>
      </c>
      <c r="O39" s="1100"/>
      <c r="P39" s="883">
        <f t="shared" si="4"/>
        <v>0</v>
      </c>
      <c r="Q39" s="884">
        <f t="shared" si="23"/>
        <v>0</v>
      </c>
      <c r="R39" s="884">
        <f>IF(AND($AR$39="Early Payoff",I39&gt;=$R$13),0,IF($I39&lt;=$R$6,SUM($P$20:$P39),0))</f>
        <v>0</v>
      </c>
      <c r="S39" s="884">
        <f>IF(AND($AR$39="Early Payoff",I39&gt;=$R$13),0,IF($I39&lt;=$R$6,SUM($Q$20:$Q39),0))</f>
        <v>0</v>
      </c>
      <c r="T39" s="873">
        <f t="shared" si="12"/>
        <v>0</v>
      </c>
      <c r="U39" s="1110">
        <f t="shared" si="13"/>
        <v>0</v>
      </c>
      <c r="W39" s="1102">
        <f t="shared" si="5"/>
        <v>0</v>
      </c>
      <c r="X39" s="873">
        <f t="shared" si="6"/>
        <v>0</v>
      </c>
      <c r="Y39" s="873">
        <f t="shared" si="7"/>
        <v>0</v>
      </c>
      <c r="Z39" s="885">
        <f t="shared" si="8"/>
        <v>0</v>
      </c>
      <c r="AB39" s="355">
        <f t="shared" si="29"/>
        <v>19</v>
      </c>
      <c r="AC39" s="1103">
        <f t="shared" si="29"/>
        <v>2046</v>
      </c>
      <c r="AD39" s="1104">
        <f t="shared" si="14"/>
        <v>0</v>
      </c>
      <c r="AE39" s="1104">
        <f t="shared" si="15"/>
        <v>0</v>
      </c>
      <c r="AF39" s="1104">
        <f t="shared" si="16"/>
        <v>0</v>
      </c>
      <c r="AG39" s="1104">
        <f t="shared" si="17"/>
        <v>0</v>
      </c>
      <c r="AH39" s="1104">
        <f t="shared" si="18"/>
        <v>0</v>
      </c>
      <c r="AI39" s="1104">
        <f>IF($AD39=0,0,SUM($AF$20:$AF39))</f>
        <v>0</v>
      </c>
      <c r="AJ39" s="1104">
        <f>IF($AD39=0,0,SUM($AG$20:$AG39))</f>
        <v>0</v>
      </c>
      <c r="AK39" s="1104">
        <f>SUM($AH$20:$AH39)</f>
        <v>0</v>
      </c>
      <c r="AL39" s="1104">
        <f t="shared" si="25"/>
        <v>0</v>
      </c>
      <c r="AM39" s="1104"/>
      <c r="AN39" s="347"/>
      <c r="AP39" s="347" t="s">
        <v>542</v>
      </c>
      <c r="AQ39" s="1103">
        <f>YEAR(S13)</f>
        <v>2062</v>
      </c>
      <c r="AR39" s="345" t="str">
        <f>IF('Financing Assumptions'!H30="No","N/A",IF('Financing Assumptions'!H44="Yes","Early Payoff",IF('Financing Assumptions'!H44="No","Full-Term")))</f>
        <v>N/A</v>
      </c>
      <c r="AS39" s="1111" t="s">
        <v>378</v>
      </c>
      <c r="AT39" s="1149">
        <v>0</v>
      </c>
      <c r="AU39" s="1147"/>
    </row>
    <row r="40" spans="2:49" s="278" customFormat="1" ht="12" customHeight="1" x14ac:dyDescent="0.25">
      <c r="B40" s="1192">
        <f t="shared" si="19"/>
        <v>40</v>
      </c>
      <c r="C40" s="732">
        <f t="shared" si="0"/>
        <v>30</v>
      </c>
      <c r="D40" s="35">
        <f t="shared" si="1"/>
        <v>6</v>
      </c>
      <c r="E40" s="889">
        <f t="shared" si="26"/>
        <v>47299</v>
      </c>
      <c r="F40" s="822">
        <f t="shared" si="2"/>
        <v>6</v>
      </c>
      <c r="G40" s="126">
        <f t="shared" si="3"/>
        <v>0</v>
      </c>
      <c r="H40" s="1098">
        <f t="shared" si="27"/>
        <v>0</v>
      </c>
      <c r="I40" s="887">
        <f t="shared" si="20"/>
        <v>21</v>
      </c>
      <c r="J40" s="1099">
        <f t="shared" si="9"/>
        <v>21</v>
      </c>
      <c r="K40" s="891" t="str">
        <f t="shared" si="10"/>
        <v>June</v>
      </c>
      <c r="L40" s="888">
        <f t="shared" si="21"/>
        <v>2029</v>
      </c>
      <c r="M40" s="883">
        <f t="shared" si="22"/>
        <v>0</v>
      </c>
      <c r="N40" s="883">
        <f t="shared" si="11"/>
        <v>0</v>
      </c>
      <c r="O40" s="1100">
        <v>0</v>
      </c>
      <c r="P40" s="883">
        <f t="shared" si="4"/>
        <v>0</v>
      </c>
      <c r="Q40" s="884">
        <f t="shared" si="23"/>
        <v>0</v>
      </c>
      <c r="R40" s="884">
        <f>IF(AND($AR$39="Early Payoff",I40&gt;=$R$13),0,IF($I40&lt;=$R$6,SUM($P$20:$P40),0))</f>
        <v>0</v>
      </c>
      <c r="S40" s="884">
        <f>IF(AND($AR$39="Early Payoff",I40&gt;=$R$13),0,IF($I40&lt;=$R$6,SUM($Q$20:$Q40),0))</f>
        <v>0</v>
      </c>
      <c r="T40" s="873">
        <f t="shared" si="12"/>
        <v>0</v>
      </c>
      <c r="U40" s="1110">
        <f t="shared" si="13"/>
        <v>0</v>
      </c>
      <c r="W40" s="1102">
        <f t="shared" si="5"/>
        <v>0</v>
      </c>
      <c r="X40" s="873">
        <f t="shared" si="6"/>
        <v>0</v>
      </c>
      <c r="Y40" s="873">
        <f t="shared" si="7"/>
        <v>0</v>
      </c>
      <c r="Z40" s="885">
        <f t="shared" si="8"/>
        <v>0</v>
      </c>
      <c r="AB40" s="355">
        <f t="shared" si="29"/>
        <v>20</v>
      </c>
      <c r="AC40" s="1103">
        <f t="shared" si="29"/>
        <v>2047</v>
      </c>
      <c r="AD40" s="1104">
        <f t="shared" si="14"/>
        <v>0</v>
      </c>
      <c r="AE40" s="1104">
        <f t="shared" si="15"/>
        <v>0</v>
      </c>
      <c r="AF40" s="1104">
        <f t="shared" si="16"/>
        <v>0</v>
      </c>
      <c r="AG40" s="1104">
        <f t="shared" si="17"/>
        <v>0</v>
      </c>
      <c r="AH40" s="1104">
        <f t="shared" si="18"/>
        <v>0</v>
      </c>
      <c r="AI40" s="1104">
        <f>IF($AD40=0,0,SUM($AF$20:$AF40))</f>
        <v>0</v>
      </c>
      <c r="AJ40" s="1104">
        <f>IF($AD40=0,0,SUM($AG$20:$AG40))</f>
        <v>0</v>
      </c>
      <c r="AK40" s="1104">
        <f>SUM($AH$20:$AH40)</f>
        <v>0</v>
      </c>
      <c r="AL40" s="1104">
        <f t="shared" si="25"/>
        <v>0</v>
      </c>
      <c r="AM40" s="1104"/>
      <c r="AN40" s="347"/>
      <c r="AP40" s="347" t="s">
        <v>543</v>
      </c>
      <c r="AQ40" s="1077" t="str">
        <f>INDEX($AT$22:$AU$34,MATCH(MONTH($S$13),$AT$22:$AT$34,0),MATCH("Month",$AT$22:$AU$22,0))</f>
        <v>August</v>
      </c>
      <c r="AR40" s="345">
        <f>INDEX(AS22:AT34,MATCH(AQ40,AS22:AS34,0),MATCH("Number",AS22:AT22,0))</f>
        <v>8</v>
      </c>
      <c r="AS40" s="1111" t="s">
        <v>529</v>
      </c>
      <c r="AT40" s="1149">
        <v>0</v>
      </c>
      <c r="AU40" s="1147"/>
    </row>
    <row r="41" spans="2:49" s="278" customFormat="1" ht="12" customHeight="1" x14ac:dyDescent="0.25">
      <c r="B41" s="1192">
        <f t="shared" si="19"/>
        <v>41</v>
      </c>
      <c r="C41" s="732">
        <f t="shared" si="0"/>
        <v>31</v>
      </c>
      <c r="D41" s="35">
        <f t="shared" si="1"/>
        <v>7</v>
      </c>
      <c r="E41" s="889">
        <f t="shared" si="26"/>
        <v>47330</v>
      </c>
      <c r="F41" s="822">
        <f t="shared" si="2"/>
        <v>7</v>
      </c>
      <c r="G41" s="126">
        <f t="shared" si="3"/>
        <v>0</v>
      </c>
      <c r="H41" s="1098">
        <f t="shared" si="27"/>
        <v>0</v>
      </c>
      <c r="I41" s="887">
        <f t="shared" si="20"/>
        <v>22</v>
      </c>
      <c r="J41" s="1099">
        <f t="shared" si="9"/>
        <v>22</v>
      </c>
      <c r="K41" s="891" t="str">
        <f t="shared" si="10"/>
        <v>July</v>
      </c>
      <c r="L41" s="888">
        <f t="shared" si="21"/>
        <v>2029</v>
      </c>
      <c r="M41" s="883">
        <f t="shared" si="22"/>
        <v>0</v>
      </c>
      <c r="N41" s="883">
        <f t="shared" si="11"/>
        <v>0</v>
      </c>
      <c r="O41" s="1100"/>
      <c r="P41" s="883">
        <f t="shared" si="4"/>
        <v>0</v>
      </c>
      <c r="Q41" s="884">
        <f t="shared" si="23"/>
        <v>0</v>
      </c>
      <c r="R41" s="884">
        <f>IF(AND($AR$39="Early Payoff",I41&gt;=$R$13),0,IF($I41&lt;=$R$6,SUM($P$20:$P41),0))</f>
        <v>0</v>
      </c>
      <c r="S41" s="884">
        <f>IF(AND($AR$39="Early Payoff",I41&gt;=$R$13),0,IF($I41&lt;=$R$6,SUM($Q$20:$Q41),0))</f>
        <v>0</v>
      </c>
      <c r="T41" s="873">
        <f t="shared" si="12"/>
        <v>0</v>
      </c>
      <c r="U41" s="1110">
        <f t="shared" si="13"/>
        <v>0</v>
      </c>
      <c r="W41" s="1102">
        <f t="shared" si="5"/>
        <v>0</v>
      </c>
      <c r="X41" s="873">
        <f t="shared" si="6"/>
        <v>0</v>
      </c>
      <c r="Y41" s="873">
        <f t="shared" si="7"/>
        <v>0</v>
      </c>
      <c r="Z41" s="885">
        <f t="shared" si="8"/>
        <v>0</v>
      </c>
      <c r="AB41" s="355">
        <f t="shared" si="29"/>
        <v>21</v>
      </c>
      <c r="AC41" s="1103">
        <f t="shared" si="29"/>
        <v>2048</v>
      </c>
      <c r="AD41" s="1104">
        <f t="shared" si="14"/>
        <v>0</v>
      </c>
      <c r="AE41" s="1104">
        <f t="shared" si="15"/>
        <v>0</v>
      </c>
      <c r="AF41" s="1104">
        <f t="shared" si="16"/>
        <v>0</v>
      </c>
      <c r="AG41" s="1104">
        <f t="shared" si="17"/>
        <v>0</v>
      </c>
      <c r="AH41" s="1104">
        <f t="shared" si="18"/>
        <v>0</v>
      </c>
      <c r="AI41" s="1104">
        <f>IF($AD41=0,0,SUM($AF$20:$AF41))</f>
        <v>0</v>
      </c>
      <c r="AJ41" s="1104">
        <f>IF($AD41=0,0,SUM($AG$20:$AG41))</f>
        <v>0</v>
      </c>
      <c r="AK41" s="1104">
        <f>SUM($AH$20:$AH41)</f>
        <v>0</v>
      </c>
      <c r="AL41" s="1104">
        <f t="shared" si="25"/>
        <v>0</v>
      </c>
      <c r="AM41" s="1104"/>
      <c r="AN41" s="347"/>
      <c r="AP41" s="347" t="s">
        <v>519</v>
      </c>
      <c r="AQ41" s="1118">
        <f>S13</f>
        <v>59414</v>
      </c>
      <c r="AR41" s="345"/>
      <c r="AS41" s="1111" t="s">
        <v>49</v>
      </c>
      <c r="AT41" s="1149">
        <v>0</v>
      </c>
      <c r="AU41" s="1147"/>
      <c r="AV41" s="1092"/>
      <c r="AW41" s="1093"/>
    </row>
    <row r="42" spans="2:49" s="278" customFormat="1" ht="12" customHeight="1" x14ac:dyDescent="0.25">
      <c r="B42" s="1192">
        <f t="shared" si="19"/>
        <v>42</v>
      </c>
      <c r="C42" s="732">
        <f t="shared" si="0"/>
        <v>31</v>
      </c>
      <c r="D42" s="35">
        <f t="shared" si="1"/>
        <v>8</v>
      </c>
      <c r="E42" s="889">
        <f t="shared" si="26"/>
        <v>47361</v>
      </c>
      <c r="F42" s="822">
        <f t="shared" si="2"/>
        <v>8</v>
      </c>
      <c r="G42" s="126">
        <f t="shared" si="3"/>
        <v>0</v>
      </c>
      <c r="H42" s="1098">
        <f t="shared" si="27"/>
        <v>0</v>
      </c>
      <c r="I42" s="887">
        <f t="shared" si="20"/>
        <v>23</v>
      </c>
      <c r="J42" s="1099">
        <f t="shared" si="9"/>
        <v>23</v>
      </c>
      <c r="K42" s="891" t="str">
        <f t="shared" si="10"/>
        <v>August</v>
      </c>
      <c r="L42" s="888">
        <f t="shared" si="21"/>
        <v>2029</v>
      </c>
      <c r="M42" s="883">
        <f t="shared" si="22"/>
        <v>0</v>
      </c>
      <c r="N42" s="883">
        <f t="shared" si="11"/>
        <v>0</v>
      </c>
      <c r="O42" s="1100"/>
      <c r="P42" s="883">
        <f t="shared" si="4"/>
        <v>0</v>
      </c>
      <c r="Q42" s="884">
        <f t="shared" si="23"/>
        <v>0</v>
      </c>
      <c r="R42" s="884">
        <f>IF(AND($AR$39="Early Payoff",I42&gt;=$R$13),0,IF($I42&lt;=$R$6,SUM($P$20:$P42),0))</f>
        <v>0</v>
      </c>
      <c r="S42" s="884">
        <f>IF(AND($AR$39="Early Payoff",I42&gt;=$R$13),0,IF($I42&lt;=$R$6,SUM($Q$20:$Q42),0))</f>
        <v>0</v>
      </c>
      <c r="T42" s="873">
        <f t="shared" si="12"/>
        <v>0</v>
      </c>
      <c r="U42" s="1110">
        <f t="shared" si="13"/>
        <v>0</v>
      </c>
      <c r="W42" s="1102">
        <f t="shared" si="5"/>
        <v>0</v>
      </c>
      <c r="X42" s="873">
        <f t="shared" si="6"/>
        <v>0</v>
      </c>
      <c r="Y42" s="873">
        <f t="shared" si="7"/>
        <v>0</v>
      </c>
      <c r="Z42" s="885">
        <f t="shared" si="8"/>
        <v>0</v>
      </c>
      <c r="AB42" s="355">
        <f>AB41+1</f>
        <v>22</v>
      </c>
      <c r="AC42" s="1103">
        <f>AC41+1</f>
        <v>2049</v>
      </c>
      <c r="AD42" s="1104">
        <f t="shared" si="14"/>
        <v>0</v>
      </c>
      <c r="AE42" s="1104">
        <f t="shared" si="15"/>
        <v>0</v>
      </c>
      <c r="AF42" s="1104">
        <f t="shared" si="16"/>
        <v>0</v>
      </c>
      <c r="AG42" s="1104">
        <f t="shared" si="17"/>
        <v>0</v>
      </c>
      <c r="AH42" s="1104">
        <f t="shared" si="18"/>
        <v>0</v>
      </c>
      <c r="AI42" s="1104">
        <f>IF($AD42=0,0,SUM($AF$20:$AF42))</f>
        <v>0</v>
      </c>
      <c r="AJ42" s="1104">
        <f>IF($AD42=0,0,SUM($AG$20:$AG42))</f>
        <v>0</v>
      </c>
      <c r="AK42" s="1104">
        <f>SUM($AH$20:$AH42)</f>
        <v>0</v>
      </c>
      <c r="AL42" s="1104">
        <f t="shared" si="25"/>
        <v>0</v>
      </c>
      <c r="AM42" s="1104"/>
      <c r="AN42" s="347"/>
      <c r="AP42" s="347"/>
      <c r="AQ42" s="345"/>
      <c r="AR42" s="345"/>
      <c r="AS42" s="1111" t="s">
        <v>264</v>
      </c>
      <c r="AT42" s="1149">
        <v>0</v>
      </c>
      <c r="AU42" s="1147"/>
      <c r="AV42" s="1092"/>
      <c r="AW42" s="1093"/>
    </row>
    <row r="43" spans="2:49" s="278" customFormat="1" ht="12" customHeight="1" x14ac:dyDescent="0.25">
      <c r="B43" s="1192">
        <f t="shared" si="19"/>
        <v>43</v>
      </c>
      <c r="C43" s="732">
        <f t="shared" si="0"/>
        <v>30</v>
      </c>
      <c r="D43" s="35">
        <f t="shared" si="1"/>
        <v>9</v>
      </c>
      <c r="E43" s="889">
        <f t="shared" si="26"/>
        <v>47391</v>
      </c>
      <c r="F43" s="822">
        <f t="shared" si="2"/>
        <v>9</v>
      </c>
      <c r="G43" s="126">
        <f t="shared" si="3"/>
        <v>0</v>
      </c>
      <c r="H43" s="1098">
        <f t="shared" si="27"/>
        <v>0</v>
      </c>
      <c r="I43" s="887">
        <f t="shared" si="20"/>
        <v>24</v>
      </c>
      <c r="J43" s="1099">
        <f t="shared" si="9"/>
        <v>24</v>
      </c>
      <c r="K43" s="891" t="str">
        <f t="shared" si="10"/>
        <v>September</v>
      </c>
      <c r="L43" s="888">
        <f t="shared" si="21"/>
        <v>2029</v>
      </c>
      <c r="M43" s="883">
        <f t="shared" si="22"/>
        <v>0</v>
      </c>
      <c r="N43" s="883">
        <f t="shared" si="11"/>
        <v>0</v>
      </c>
      <c r="O43" s="1100"/>
      <c r="P43" s="883">
        <f t="shared" si="4"/>
        <v>0</v>
      </c>
      <c r="Q43" s="884">
        <f t="shared" si="23"/>
        <v>0</v>
      </c>
      <c r="R43" s="884">
        <f>IF(AND($AR$39="Early Payoff",I43&gt;=$R$13),0,IF($I43&lt;=$R$6,SUM($P$20:$P43),0))</f>
        <v>0</v>
      </c>
      <c r="S43" s="884">
        <f>IF(AND($AR$39="Early Payoff",I43&gt;=$R$13),0,IF($I43&lt;=$R$6,SUM($Q$20:$Q43),0))</f>
        <v>0</v>
      </c>
      <c r="T43" s="873">
        <f t="shared" si="12"/>
        <v>0</v>
      </c>
      <c r="U43" s="1110">
        <f t="shared" si="13"/>
        <v>0</v>
      </c>
      <c r="W43" s="1102">
        <f t="shared" si="5"/>
        <v>0</v>
      </c>
      <c r="X43" s="873">
        <f t="shared" si="6"/>
        <v>0</v>
      </c>
      <c r="Y43" s="873">
        <f t="shared" si="7"/>
        <v>0</v>
      </c>
      <c r="Z43" s="885">
        <f t="shared" si="8"/>
        <v>0</v>
      </c>
      <c r="AB43" s="355">
        <f t="shared" ref="AB43:AC45" si="30">AB42+1</f>
        <v>23</v>
      </c>
      <c r="AC43" s="1103">
        <f t="shared" si="30"/>
        <v>2050</v>
      </c>
      <c r="AD43" s="1104">
        <f t="shared" si="14"/>
        <v>0</v>
      </c>
      <c r="AE43" s="1104">
        <f t="shared" si="15"/>
        <v>0</v>
      </c>
      <c r="AF43" s="1104">
        <f t="shared" si="16"/>
        <v>0</v>
      </c>
      <c r="AG43" s="1104">
        <f t="shared" si="17"/>
        <v>0</v>
      </c>
      <c r="AH43" s="1104">
        <f t="shared" si="18"/>
        <v>0</v>
      </c>
      <c r="AI43" s="1104">
        <f>IF($AD43=0,0,SUM($AF$20:$AF43))</f>
        <v>0</v>
      </c>
      <c r="AJ43" s="1104">
        <f>IF($AD43=0,0,SUM($AG$20:$AG43))</f>
        <v>0</v>
      </c>
      <c r="AK43" s="1104">
        <f>SUM($AH$20:$AH43)</f>
        <v>0</v>
      </c>
      <c r="AL43" s="1104">
        <f t="shared" si="25"/>
        <v>0</v>
      </c>
      <c r="AM43" s="1104"/>
      <c r="AN43" s="347"/>
      <c r="AP43" s="347" t="s">
        <v>544</v>
      </c>
      <c r="AQ43" s="1077" t="str">
        <f>'Sale - Refinance'!$E$10</f>
        <v>Yes</v>
      </c>
      <c r="AR43" s="345"/>
      <c r="AS43" s="1111" t="s">
        <v>530</v>
      </c>
      <c r="AT43" s="1149">
        <v>0</v>
      </c>
      <c r="AU43" s="1147"/>
      <c r="AV43" s="1092"/>
      <c r="AW43" s="1093"/>
    </row>
    <row r="44" spans="2:49" s="278" customFormat="1" ht="12" customHeight="1" x14ac:dyDescent="0.25">
      <c r="B44" s="1192">
        <f t="shared" si="19"/>
        <v>44</v>
      </c>
      <c r="C44" s="732">
        <f t="shared" si="0"/>
        <v>31</v>
      </c>
      <c r="D44" s="35">
        <f t="shared" si="1"/>
        <v>10</v>
      </c>
      <c r="E44" s="889">
        <f t="shared" si="26"/>
        <v>47422</v>
      </c>
      <c r="F44" s="822">
        <f t="shared" si="2"/>
        <v>10</v>
      </c>
      <c r="G44" s="126">
        <f t="shared" si="3"/>
        <v>0</v>
      </c>
      <c r="H44" s="1098">
        <f t="shared" si="27"/>
        <v>0</v>
      </c>
      <c r="I44" s="887">
        <f t="shared" si="20"/>
        <v>25</v>
      </c>
      <c r="J44" s="1099">
        <f t="shared" si="9"/>
        <v>25</v>
      </c>
      <c r="K44" s="891" t="str">
        <f t="shared" si="10"/>
        <v>October</v>
      </c>
      <c r="L44" s="888">
        <f t="shared" si="21"/>
        <v>2029</v>
      </c>
      <c r="M44" s="883">
        <f t="shared" si="22"/>
        <v>0</v>
      </c>
      <c r="N44" s="883">
        <f t="shared" si="11"/>
        <v>0</v>
      </c>
      <c r="O44" s="1100"/>
      <c r="P44" s="883">
        <f t="shared" si="4"/>
        <v>0</v>
      </c>
      <c r="Q44" s="884">
        <f t="shared" si="23"/>
        <v>0</v>
      </c>
      <c r="R44" s="884">
        <f>IF(AND($AR$39="Early Payoff",I44&gt;=$R$13),0,IF($I44&lt;=$R$6,SUM($P$20:$P44),0))</f>
        <v>0</v>
      </c>
      <c r="S44" s="884">
        <f>IF(AND($AR$39="Early Payoff",I44&gt;=$R$13),0,IF($I44&lt;=$R$6,SUM($Q$20:$Q44),0))</f>
        <v>0</v>
      </c>
      <c r="T44" s="873">
        <f t="shared" si="12"/>
        <v>0</v>
      </c>
      <c r="U44" s="1110">
        <f t="shared" si="13"/>
        <v>0</v>
      </c>
      <c r="W44" s="1102">
        <f t="shared" si="5"/>
        <v>0</v>
      </c>
      <c r="X44" s="873">
        <f t="shared" si="6"/>
        <v>0</v>
      </c>
      <c r="Y44" s="873">
        <f t="shared" si="7"/>
        <v>0</v>
      </c>
      <c r="Z44" s="885">
        <f t="shared" si="8"/>
        <v>0</v>
      </c>
      <c r="AB44" s="355">
        <f t="shared" si="30"/>
        <v>24</v>
      </c>
      <c r="AC44" s="1103">
        <f t="shared" si="30"/>
        <v>2051</v>
      </c>
      <c r="AD44" s="1104">
        <f t="shared" si="14"/>
        <v>0</v>
      </c>
      <c r="AE44" s="1104">
        <f t="shared" si="15"/>
        <v>0</v>
      </c>
      <c r="AF44" s="1104">
        <f t="shared" si="16"/>
        <v>0</v>
      </c>
      <c r="AG44" s="1104">
        <f t="shared" si="17"/>
        <v>0</v>
      </c>
      <c r="AH44" s="1104">
        <f t="shared" si="18"/>
        <v>0</v>
      </c>
      <c r="AI44" s="1104">
        <f>IF($AD44=0,0,SUM($AF$20:$AF44))</f>
        <v>0</v>
      </c>
      <c r="AJ44" s="1104">
        <f>IF($AD44=0,0,SUM($AG$20:$AG44))</f>
        <v>0</v>
      </c>
      <c r="AK44" s="1104">
        <f>SUM($AH$20:$AH44)</f>
        <v>0</v>
      </c>
      <c r="AL44" s="1104">
        <f t="shared" si="25"/>
        <v>0</v>
      </c>
      <c r="AM44" s="1104"/>
      <c r="AN44" s="347"/>
      <c r="AP44" s="347" t="s">
        <v>545</v>
      </c>
      <c r="AQ44" s="1103">
        <f>'Sale - Refinance'!E11</f>
        <v>2032</v>
      </c>
      <c r="AR44" s="345"/>
      <c r="AS44" s="1111" t="s">
        <v>509</v>
      </c>
      <c r="AT44" s="1149">
        <v>0</v>
      </c>
      <c r="AU44" s="1147"/>
      <c r="AV44" s="1092"/>
      <c r="AW44" s="1093"/>
    </row>
    <row r="45" spans="2:49" s="278" customFormat="1" ht="12" customHeight="1" x14ac:dyDescent="0.25">
      <c r="B45" s="1192">
        <f t="shared" si="19"/>
        <v>45</v>
      </c>
      <c r="C45" s="732">
        <f t="shared" si="0"/>
        <v>30</v>
      </c>
      <c r="D45" s="35">
        <f t="shared" si="1"/>
        <v>11</v>
      </c>
      <c r="E45" s="889">
        <f t="shared" si="26"/>
        <v>47452</v>
      </c>
      <c r="F45" s="822">
        <f t="shared" si="2"/>
        <v>11</v>
      </c>
      <c r="G45" s="126">
        <f t="shared" si="3"/>
        <v>0</v>
      </c>
      <c r="H45" s="1098">
        <f t="shared" si="27"/>
        <v>0</v>
      </c>
      <c r="I45" s="887">
        <f t="shared" si="20"/>
        <v>26</v>
      </c>
      <c r="J45" s="1099">
        <f t="shared" si="9"/>
        <v>26</v>
      </c>
      <c r="K45" s="891" t="str">
        <f t="shared" si="10"/>
        <v>November</v>
      </c>
      <c r="L45" s="888">
        <f t="shared" si="21"/>
        <v>2029</v>
      </c>
      <c r="M45" s="883">
        <f t="shared" si="22"/>
        <v>0</v>
      </c>
      <c r="N45" s="883">
        <f t="shared" si="11"/>
        <v>0</v>
      </c>
      <c r="O45" s="1100"/>
      <c r="P45" s="883">
        <f t="shared" si="4"/>
        <v>0</v>
      </c>
      <c r="Q45" s="884">
        <f t="shared" si="23"/>
        <v>0</v>
      </c>
      <c r="R45" s="884">
        <f>IF(AND($AR$39="Early Payoff",I45&gt;=$R$13),0,IF($I45&lt;=$R$6,SUM($P$20:$P45),0))</f>
        <v>0</v>
      </c>
      <c r="S45" s="884">
        <f>IF(AND($AR$39="Early Payoff",I45&gt;=$R$13),0,IF($I45&lt;=$R$6,SUM($Q$20:$Q45),0))</f>
        <v>0</v>
      </c>
      <c r="T45" s="873">
        <f t="shared" si="12"/>
        <v>0</v>
      </c>
      <c r="U45" s="1110">
        <f t="shared" si="13"/>
        <v>0</v>
      </c>
      <c r="W45" s="1102">
        <f t="shared" si="5"/>
        <v>0</v>
      </c>
      <c r="X45" s="873">
        <f t="shared" si="6"/>
        <v>0</v>
      </c>
      <c r="Y45" s="873">
        <f t="shared" si="7"/>
        <v>0</v>
      </c>
      <c r="Z45" s="885">
        <f t="shared" si="8"/>
        <v>0</v>
      </c>
      <c r="AB45" s="355">
        <f t="shared" si="30"/>
        <v>25</v>
      </c>
      <c r="AC45" s="1103">
        <f t="shared" si="30"/>
        <v>2052</v>
      </c>
      <c r="AD45" s="1104">
        <f t="shared" si="14"/>
        <v>0</v>
      </c>
      <c r="AE45" s="1104">
        <f t="shared" si="15"/>
        <v>0</v>
      </c>
      <c r="AF45" s="1104">
        <f t="shared" si="16"/>
        <v>0</v>
      </c>
      <c r="AG45" s="1104">
        <f t="shared" si="17"/>
        <v>0</v>
      </c>
      <c r="AH45" s="1104">
        <f t="shared" si="18"/>
        <v>0</v>
      </c>
      <c r="AI45" s="1104">
        <f>IF($AD45=0,0,SUM($AF$20:$AF45))</f>
        <v>0</v>
      </c>
      <c r="AJ45" s="1104">
        <f>IF($AD45=0,0,SUM($AG$20:$AG45))</f>
        <v>0</v>
      </c>
      <c r="AK45" s="1104">
        <f>SUM($AH$20:$AH45)</f>
        <v>0</v>
      </c>
      <c r="AL45" s="1104">
        <f t="shared" si="25"/>
        <v>0</v>
      </c>
      <c r="AM45" s="1104"/>
      <c r="AN45" s="347"/>
      <c r="AP45" s="347" t="s">
        <v>267</v>
      </c>
      <c r="AQ45" s="1077" t="str">
        <f>'Sale - Refinance'!E12</f>
        <v>December</v>
      </c>
      <c r="AR45" s="345">
        <f>INDEX(AS22:AT34,MATCH(AQ45,AS22:AS34,0),MATCH("Number",AS22:AT22,0))</f>
        <v>12</v>
      </c>
      <c r="AS45" s="1111" t="s">
        <v>461</v>
      </c>
      <c r="AT45" s="1149">
        <v>0</v>
      </c>
      <c r="AU45" s="1147"/>
      <c r="AV45" s="1092"/>
      <c r="AW45" s="1093"/>
    </row>
    <row r="46" spans="2:49" s="278" customFormat="1" ht="12" customHeight="1" x14ac:dyDescent="0.25">
      <c r="B46" s="1192">
        <f t="shared" si="19"/>
        <v>46</v>
      </c>
      <c r="C46" s="732">
        <f t="shared" si="0"/>
        <v>31</v>
      </c>
      <c r="D46" s="35">
        <f t="shared" si="1"/>
        <v>12</v>
      </c>
      <c r="E46" s="889">
        <f t="shared" si="26"/>
        <v>47483</v>
      </c>
      <c r="F46" s="822">
        <f t="shared" si="2"/>
        <v>12</v>
      </c>
      <c r="G46" s="126">
        <f t="shared" si="3"/>
        <v>1</v>
      </c>
      <c r="H46" s="1098">
        <f t="shared" si="27"/>
        <v>0</v>
      </c>
      <c r="I46" s="887">
        <f t="shared" si="20"/>
        <v>27</v>
      </c>
      <c r="J46" s="1099">
        <f t="shared" si="9"/>
        <v>27</v>
      </c>
      <c r="K46" s="891" t="str">
        <f t="shared" si="10"/>
        <v>December</v>
      </c>
      <c r="L46" s="888">
        <f t="shared" si="21"/>
        <v>2029</v>
      </c>
      <c r="M46" s="883">
        <f t="shared" si="22"/>
        <v>0</v>
      </c>
      <c r="N46" s="883">
        <f t="shared" si="11"/>
        <v>0</v>
      </c>
      <c r="O46" s="1100"/>
      <c r="P46" s="883">
        <f t="shared" si="4"/>
        <v>0</v>
      </c>
      <c r="Q46" s="884">
        <f t="shared" si="23"/>
        <v>0</v>
      </c>
      <c r="R46" s="884">
        <f>IF(AND($AR$39="Early Payoff",I46&gt;=$R$13),0,IF($I46&lt;=$R$6,SUM($P$20:$P46),0))</f>
        <v>0</v>
      </c>
      <c r="S46" s="884">
        <f>IF(AND($AR$39="Early Payoff",I46&gt;=$R$13),0,IF($I46&lt;=$R$6,SUM($Q$20:$Q46),0))</f>
        <v>0</v>
      </c>
      <c r="T46" s="873">
        <f t="shared" si="12"/>
        <v>0</v>
      </c>
      <c r="U46" s="1110">
        <f t="shared" si="13"/>
        <v>0</v>
      </c>
      <c r="W46" s="1102">
        <f t="shared" si="5"/>
        <v>0</v>
      </c>
      <c r="X46" s="873">
        <f t="shared" si="6"/>
        <v>0</v>
      </c>
      <c r="Y46" s="873">
        <f t="shared" si="7"/>
        <v>0</v>
      </c>
      <c r="Z46" s="885">
        <f t="shared" si="8"/>
        <v>0</v>
      </c>
      <c r="AB46" s="355">
        <f>AB45+1</f>
        <v>26</v>
      </c>
      <c r="AC46" s="1103">
        <f>AC45+1</f>
        <v>2053</v>
      </c>
      <c r="AD46" s="1104">
        <f t="shared" si="14"/>
        <v>0</v>
      </c>
      <c r="AE46" s="1104">
        <f t="shared" si="15"/>
        <v>0</v>
      </c>
      <c r="AF46" s="1104">
        <f t="shared" si="16"/>
        <v>0</v>
      </c>
      <c r="AG46" s="1104">
        <f t="shared" si="17"/>
        <v>0</v>
      </c>
      <c r="AH46" s="1104">
        <f t="shared" si="18"/>
        <v>0</v>
      </c>
      <c r="AI46" s="1104">
        <f>IF($AD46=0,0,SUM($AF$20:$AF46))</f>
        <v>0</v>
      </c>
      <c r="AJ46" s="1104">
        <f>IF($AD46=0,0,SUM($AG$20:$AG46))</f>
        <v>0</v>
      </c>
      <c r="AK46" s="1104">
        <f>SUM($AH$20:$AH46)</f>
        <v>0</v>
      </c>
      <c r="AL46" s="1104">
        <f t="shared" si="25"/>
        <v>0</v>
      </c>
      <c r="AM46" s="1104"/>
      <c r="AN46" s="347"/>
      <c r="AP46" s="347" t="s">
        <v>268</v>
      </c>
      <c r="AQ46" s="1118">
        <f>EOMONTH(DATE(AQ44,INDEX($AS$22:$AT$34,MATCH($AQ$45,$AS$22:$AS$34,0),MATCH("Number",$AS$22:$AT$22,0)),1),0)</f>
        <v>48579</v>
      </c>
      <c r="AS46" s="1111" t="s">
        <v>533</v>
      </c>
      <c r="AT46" s="1149">
        <v>0</v>
      </c>
      <c r="AU46" s="1147"/>
      <c r="AV46" s="1092"/>
      <c r="AW46" s="1093"/>
    </row>
    <row r="47" spans="2:49" s="278" customFormat="1" ht="12" customHeight="1" x14ac:dyDescent="0.25">
      <c r="B47" s="1192">
        <f t="shared" si="19"/>
        <v>47</v>
      </c>
      <c r="C47" s="732">
        <f t="shared" si="0"/>
        <v>31</v>
      </c>
      <c r="D47" s="35">
        <f t="shared" si="1"/>
        <v>1</v>
      </c>
      <c r="E47" s="889">
        <f t="shared" si="26"/>
        <v>47514</v>
      </c>
      <c r="F47" s="822">
        <f t="shared" si="2"/>
        <v>1</v>
      </c>
      <c r="G47" s="126">
        <f t="shared" si="3"/>
        <v>0</v>
      </c>
      <c r="H47" s="1098">
        <f t="shared" si="27"/>
        <v>0</v>
      </c>
      <c r="I47" s="887">
        <f t="shared" si="20"/>
        <v>28</v>
      </c>
      <c r="J47" s="1099">
        <f t="shared" si="9"/>
        <v>28</v>
      </c>
      <c r="K47" s="891" t="str">
        <f t="shared" si="10"/>
        <v>January</v>
      </c>
      <c r="L47" s="888">
        <f t="shared" si="21"/>
        <v>2030</v>
      </c>
      <c r="M47" s="883">
        <f t="shared" si="22"/>
        <v>0</v>
      </c>
      <c r="N47" s="883">
        <f t="shared" si="11"/>
        <v>0</v>
      </c>
      <c r="O47" s="1100"/>
      <c r="P47" s="883">
        <f t="shared" si="4"/>
        <v>0</v>
      </c>
      <c r="Q47" s="884">
        <f t="shared" si="23"/>
        <v>0</v>
      </c>
      <c r="R47" s="884">
        <f>IF(AND($AR$39="Early Payoff",I47&gt;=$R$13),0,IF($I47&lt;=$R$6,SUM($P$20:$P47),0))</f>
        <v>0</v>
      </c>
      <c r="S47" s="884">
        <f>IF(AND($AR$39="Early Payoff",I47&gt;=$R$13),0,IF($I47&lt;=$R$6,SUM($Q$20:$Q47),0))</f>
        <v>0</v>
      </c>
      <c r="T47" s="873">
        <f t="shared" si="12"/>
        <v>0</v>
      </c>
      <c r="U47" s="1110">
        <f t="shared" si="13"/>
        <v>0</v>
      </c>
      <c r="W47" s="1102">
        <f t="shared" si="5"/>
        <v>0</v>
      </c>
      <c r="X47" s="873">
        <f t="shared" si="6"/>
        <v>0</v>
      </c>
      <c r="Y47" s="873">
        <f t="shared" si="7"/>
        <v>0</v>
      </c>
      <c r="Z47" s="885">
        <f t="shared" si="8"/>
        <v>0</v>
      </c>
      <c r="AB47" s="355">
        <f t="shared" ref="AB47:AC49" si="31">AB46+1</f>
        <v>27</v>
      </c>
      <c r="AC47" s="1103">
        <f t="shared" si="31"/>
        <v>2054</v>
      </c>
      <c r="AD47" s="1104">
        <f t="shared" si="14"/>
        <v>0</v>
      </c>
      <c r="AE47" s="1104">
        <f t="shared" si="15"/>
        <v>0</v>
      </c>
      <c r="AF47" s="1104">
        <f t="shared" si="16"/>
        <v>0</v>
      </c>
      <c r="AG47" s="1104">
        <f t="shared" si="17"/>
        <v>0</v>
      </c>
      <c r="AH47" s="1104">
        <f t="shared" si="18"/>
        <v>0</v>
      </c>
      <c r="AI47" s="1104">
        <f>IF($AD47=0,0,SUM($AF$20:$AF47))</f>
        <v>0</v>
      </c>
      <c r="AJ47" s="1104">
        <f>IF($AD47=0,0,SUM($AG$20:$AG47))</f>
        <v>0</v>
      </c>
      <c r="AK47" s="1104">
        <f>SUM($AH$20:$AH47)</f>
        <v>0</v>
      </c>
      <c r="AL47" s="1104">
        <f t="shared" si="25"/>
        <v>0</v>
      </c>
      <c r="AM47" s="1104"/>
      <c r="AN47" s="347"/>
      <c r="AP47" s="347"/>
      <c r="AR47" s="345"/>
      <c r="AS47" s="1111" t="s">
        <v>535</v>
      </c>
      <c r="AT47" s="1149">
        <v>0</v>
      </c>
      <c r="AU47" s="1147"/>
      <c r="AV47" s="1092"/>
      <c r="AW47" s="1093"/>
    </row>
    <row r="48" spans="2:49" s="278" customFormat="1" ht="12" customHeight="1" x14ac:dyDescent="0.25">
      <c r="B48" s="1192">
        <f t="shared" si="19"/>
        <v>48</v>
      </c>
      <c r="C48" s="732">
        <f t="shared" si="0"/>
        <v>28</v>
      </c>
      <c r="D48" s="35">
        <f t="shared" si="1"/>
        <v>2</v>
      </c>
      <c r="E48" s="889">
        <f t="shared" si="26"/>
        <v>47542</v>
      </c>
      <c r="F48" s="822">
        <f t="shared" si="2"/>
        <v>2</v>
      </c>
      <c r="G48" s="126">
        <f t="shared" si="3"/>
        <v>0</v>
      </c>
      <c r="H48" s="1098">
        <f t="shared" si="27"/>
        <v>0</v>
      </c>
      <c r="I48" s="887">
        <f t="shared" si="20"/>
        <v>29</v>
      </c>
      <c r="J48" s="1099">
        <f t="shared" si="9"/>
        <v>29</v>
      </c>
      <c r="K48" s="891" t="str">
        <f t="shared" si="10"/>
        <v>February</v>
      </c>
      <c r="L48" s="888">
        <f t="shared" si="21"/>
        <v>2030</v>
      </c>
      <c r="M48" s="883">
        <f t="shared" si="22"/>
        <v>0</v>
      </c>
      <c r="N48" s="883">
        <f t="shared" si="11"/>
        <v>0</v>
      </c>
      <c r="O48" s="1100"/>
      <c r="P48" s="883">
        <f t="shared" si="4"/>
        <v>0</v>
      </c>
      <c r="Q48" s="884">
        <f t="shared" si="23"/>
        <v>0</v>
      </c>
      <c r="R48" s="884">
        <f>IF(AND($AR$39="Early Payoff",I48&gt;=$R$13),0,IF($I48&lt;=$R$6,SUM($P$20:$P48),0))</f>
        <v>0</v>
      </c>
      <c r="S48" s="884">
        <f>IF(AND($AR$39="Early Payoff",I48&gt;=$R$13),0,IF($I48&lt;=$R$6,SUM($Q$20:$Q48),0))</f>
        <v>0</v>
      </c>
      <c r="T48" s="873">
        <f t="shared" si="12"/>
        <v>0</v>
      </c>
      <c r="U48" s="1110">
        <f t="shared" si="13"/>
        <v>0</v>
      </c>
      <c r="W48" s="1102">
        <f t="shared" si="5"/>
        <v>0</v>
      </c>
      <c r="X48" s="873">
        <f t="shared" si="6"/>
        <v>0</v>
      </c>
      <c r="Y48" s="873">
        <f t="shared" si="7"/>
        <v>0</v>
      </c>
      <c r="Z48" s="885">
        <f t="shared" si="8"/>
        <v>0</v>
      </c>
      <c r="AB48" s="355">
        <f t="shared" si="31"/>
        <v>28</v>
      </c>
      <c r="AC48" s="1103">
        <f t="shared" si="31"/>
        <v>2055</v>
      </c>
      <c r="AD48" s="1104">
        <f t="shared" si="14"/>
        <v>0</v>
      </c>
      <c r="AE48" s="1104">
        <f t="shared" si="15"/>
        <v>0</v>
      </c>
      <c r="AF48" s="1104">
        <f t="shared" si="16"/>
        <v>0</v>
      </c>
      <c r="AG48" s="1104">
        <f t="shared" si="17"/>
        <v>0</v>
      </c>
      <c r="AH48" s="1104">
        <f t="shared" si="18"/>
        <v>0</v>
      </c>
      <c r="AI48" s="1104">
        <f>IF($AD48=0,0,SUM($AF$20:$AF48))</f>
        <v>0</v>
      </c>
      <c r="AJ48" s="1104">
        <f>IF($AD48=0,0,SUM($AG$20:$AG48))</f>
        <v>0</v>
      </c>
      <c r="AK48" s="1104">
        <f>SUM($AH$20:$AH48)</f>
        <v>0</v>
      </c>
      <c r="AL48" s="1104">
        <f t="shared" si="25"/>
        <v>0</v>
      </c>
      <c r="AM48" s="1104"/>
      <c r="AN48" s="347"/>
      <c r="AP48" s="347" t="s">
        <v>546</v>
      </c>
      <c r="AQ48" s="1077">
        <f>IF($S$13&lt;$AQ$46,$R$13,IF($S$4="Monthly",INDEX($B$19:$I$379,MATCH($AQ$46,$E$19:$E$379,0),MATCH("Period",$B$19:$I$19,0)),IF(AND($S$4="Annual",$AR$45&gt;$Q$4),INDEX($B$19:$I$379,MATCH(EOMONTH(DATE(YEAR($AQ$46)+1,$Q$4,1),0),$E$19:$E$379,0),MATCH("Period",$B$19:$I$19,0)),IF(AND($S$4="Annual",$AR$45&lt;=$Q$4),INDEX($B$19:$I$379,MATCH(EOMONTH(DATE(YEAR($AQ$46),$Q$4,1),0),$E$19:$E$379,0),MATCH("Period",$B$19:$I$19,0)),IF(AND($S$4="Bi-Annual",$AR$45&gt;MAX($Q$4,$R$4)),INDEX($B$19:$I$379,MATCH(EOMONTH(DATE(YEAR($AQ$46)+1,MIN($Q$4,$R$4),1),0),$E$19:$E$379,0),MATCH("Period",$B$19:$I$19,0)),IF(AND($S$4="Bi-Annual",$AR$45&lt;MIN($Q$4,$R$4)),INDEX($B$19:$I$379,MATCH(EOMONTH(DATE(YEAR($AQ$46)-1,MAX($Q$4,$R$4),1),0),$E$19:$E$379,0),MATCH("Period",$B$19:$I$19,0)),IF(AND($S$4="Bi-Annual",$AR$45&gt;MIN($Q$4,$R$4),$AR$45&lt;MAX($Q$4,$R$4)),INDEX($B$19:$I$379,MATCH(EOMONTH(DATE(YEAR($AQ$46),MAX($Q$4,$R$4),1),0),$E$19:$E$379,0),MATCH("Period",$B$19:$I$19,0)),IF(AND($S$4="Bi-Annual",$AR$45=MIN($Q$4,$R$4)),INDEX($B$19:$I$379,MATCH(EOMONTH(DATE(YEAR($AQ$46),MAX($Q$4,$R$4),1),0),$E$19:$E$379,0),MATCH("Period",$B$19:$I$19,0)),IF(AND($S$4="Bi-Annual",$AR$45=MAX($Q$4,$R$4)),INDEX($B$19:$I$379,MATCH(EOMONTH(DATE(YEAR($AQ$46)+1,MIN($Q$4,$R$4),1),0),$E$19:$E$379,0),MATCH("Period",$B$19:$I$19,0)))))))))))</f>
        <v>63</v>
      </c>
      <c r="AR48" s="345"/>
      <c r="AS48" s="1145" t="s">
        <v>423</v>
      </c>
      <c r="AT48" s="1150">
        <v>1</v>
      </c>
      <c r="AU48" s="1147"/>
      <c r="AV48" s="1092"/>
      <c r="AW48" s="1093"/>
    </row>
    <row r="49" spans="1:49" s="278" customFormat="1" ht="12" customHeight="1" x14ac:dyDescent="0.25">
      <c r="B49" s="1192">
        <f t="shared" si="19"/>
        <v>49</v>
      </c>
      <c r="C49" s="732">
        <f t="shared" si="0"/>
        <v>31</v>
      </c>
      <c r="D49" s="35">
        <f t="shared" si="1"/>
        <v>3</v>
      </c>
      <c r="E49" s="889">
        <f t="shared" si="26"/>
        <v>47573</v>
      </c>
      <c r="F49" s="822">
        <f t="shared" si="2"/>
        <v>3</v>
      </c>
      <c r="G49" s="126">
        <f t="shared" si="3"/>
        <v>0</v>
      </c>
      <c r="H49" s="1098">
        <f t="shared" si="27"/>
        <v>0</v>
      </c>
      <c r="I49" s="887">
        <f t="shared" si="20"/>
        <v>30</v>
      </c>
      <c r="J49" s="1099">
        <f t="shared" si="9"/>
        <v>30</v>
      </c>
      <c r="K49" s="891" t="str">
        <f t="shared" si="10"/>
        <v>March</v>
      </c>
      <c r="L49" s="888">
        <f t="shared" si="21"/>
        <v>2030</v>
      </c>
      <c r="M49" s="883">
        <f t="shared" si="22"/>
        <v>0</v>
      </c>
      <c r="N49" s="883">
        <f t="shared" si="11"/>
        <v>0</v>
      </c>
      <c r="O49" s="1100"/>
      <c r="P49" s="883">
        <f t="shared" si="4"/>
        <v>0</v>
      </c>
      <c r="Q49" s="884">
        <f t="shared" si="23"/>
        <v>0</v>
      </c>
      <c r="R49" s="884">
        <f>IF(AND($AR$39="Early Payoff",I49&gt;=$R$13),0,IF($I49&lt;=$R$6,SUM($P$20:$P49),0))</f>
        <v>0</v>
      </c>
      <c r="S49" s="884">
        <f>IF(AND($AR$39="Early Payoff",I49&gt;=$R$13),0,IF($I49&lt;=$R$6,SUM($Q$20:$Q49),0))</f>
        <v>0</v>
      </c>
      <c r="T49" s="873">
        <f t="shared" si="12"/>
        <v>0</v>
      </c>
      <c r="U49" s="1110">
        <f t="shared" si="13"/>
        <v>0</v>
      </c>
      <c r="W49" s="1102">
        <f t="shared" si="5"/>
        <v>0</v>
      </c>
      <c r="X49" s="873">
        <f t="shared" si="6"/>
        <v>0</v>
      </c>
      <c r="Y49" s="873">
        <f t="shared" si="7"/>
        <v>0</v>
      </c>
      <c r="Z49" s="885">
        <f t="shared" si="8"/>
        <v>0</v>
      </c>
      <c r="AB49" s="355">
        <f t="shared" si="31"/>
        <v>29</v>
      </c>
      <c r="AC49" s="1103">
        <f t="shared" si="31"/>
        <v>2056</v>
      </c>
      <c r="AD49" s="1104">
        <f t="shared" si="14"/>
        <v>0</v>
      </c>
      <c r="AE49" s="1104">
        <f t="shared" si="15"/>
        <v>0</v>
      </c>
      <c r="AF49" s="1104">
        <f t="shared" si="16"/>
        <v>0</v>
      </c>
      <c r="AG49" s="1104">
        <f t="shared" si="17"/>
        <v>0</v>
      </c>
      <c r="AH49" s="1104">
        <f t="shared" si="18"/>
        <v>0</v>
      </c>
      <c r="AI49" s="1104">
        <f>IF($AD49=0,0,SUM($AF$20:$AF49))</f>
        <v>0</v>
      </c>
      <c r="AJ49" s="1104">
        <f>IF($AD49=0,0,SUM($AG$20:$AG49))</f>
        <v>0</v>
      </c>
      <c r="AK49" s="1104">
        <f>SUM($AH$20:$AH49)</f>
        <v>0</v>
      </c>
      <c r="AL49" s="1104">
        <f t="shared" si="25"/>
        <v>0</v>
      </c>
      <c r="AM49" s="1104"/>
      <c r="AN49" s="347"/>
      <c r="AP49" s="379" t="s">
        <v>547</v>
      </c>
      <c r="AQ49" s="882">
        <f>AQ48-1</f>
        <v>62</v>
      </c>
      <c r="AR49" s="342"/>
      <c r="AS49" s="1166"/>
      <c r="AT49" s="1167"/>
      <c r="AU49" s="1168"/>
      <c r="AV49" s="1092"/>
      <c r="AW49" s="1093"/>
    </row>
    <row r="50" spans="1:49" s="278" customFormat="1" ht="12" customHeight="1" x14ac:dyDescent="0.25">
      <c r="B50" s="1192">
        <f t="shared" si="19"/>
        <v>50</v>
      </c>
      <c r="C50" s="732">
        <f t="shared" si="0"/>
        <v>30</v>
      </c>
      <c r="D50" s="35">
        <f t="shared" si="1"/>
        <v>4</v>
      </c>
      <c r="E50" s="889">
        <f t="shared" si="26"/>
        <v>47603</v>
      </c>
      <c r="F50" s="822">
        <f t="shared" si="2"/>
        <v>4</v>
      </c>
      <c r="G50" s="126">
        <f t="shared" si="3"/>
        <v>0</v>
      </c>
      <c r="H50" s="1098">
        <f t="shared" si="27"/>
        <v>0</v>
      </c>
      <c r="I50" s="887">
        <f t="shared" si="20"/>
        <v>31</v>
      </c>
      <c r="J50" s="1099">
        <f t="shared" si="9"/>
        <v>31</v>
      </c>
      <c r="K50" s="891" t="str">
        <f t="shared" si="10"/>
        <v>April</v>
      </c>
      <c r="L50" s="888">
        <f t="shared" si="21"/>
        <v>2030</v>
      </c>
      <c r="M50" s="883">
        <f t="shared" si="22"/>
        <v>0</v>
      </c>
      <c r="N50" s="883">
        <f t="shared" si="11"/>
        <v>0</v>
      </c>
      <c r="O50" s="1100"/>
      <c r="P50" s="883">
        <f t="shared" si="4"/>
        <v>0</v>
      </c>
      <c r="Q50" s="884">
        <f t="shared" si="23"/>
        <v>0</v>
      </c>
      <c r="R50" s="884">
        <f>IF(AND($AR$39="Early Payoff",I50&gt;=$R$13),0,IF($I50&lt;=$R$6,SUM($P$20:$P50),0))</f>
        <v>0</v>
      </c>
      <c r="S50" s="884">
        <f>IF(AND($AR$39="Early Payoff",I50&gt;=$R$13),0,IF($I50&lt;=$R$6,SUM($Q$20:$Q50),0))</f>
        <v>0</v>
      </c>
      <c r="T50" s="873">
        <f t="shared" si="12"/>
        <v>0</v>
      </c>
      <c r="U50" s="1110">
        <f t="shared" si="13"/>
        <v>0</v>
      </c>
      <c r="W50" s="1102">
        <f t="shared" si="5"/>
        <v>0</v>
      </c>
      <c r="X50" s="873">
        <f t="shared" si="6"/>
        <v>0</v>
      </c>
      <c r="Y50" s="873">
        <f t="shared" si="7"/>
        <v>0</v>
      </c>
      <c r="Z50" s="885">
        <f t="shared" si="8"/>
        <v>0</v>
      </c>
      <c r="AB50" s="360"/>
      <c r="AC50" s="360"/>
      <c r="AD50" s="360"/>
      <c r="AE50" s="360"/>
      <c r="AF50" s="360"/>
      <c r="AG50" s="360"/>
      <c r="AH50" s="360"/>
      <c r="AI50" s="360"/>
      <c r="AJ50" s="360"/>
      <c r="AK50" s="360"/>
      <c r="AL50" s="360"/>
      <c r="AM50" s="360"/>
      <c r="AP50" s="345"/>
      <c r="AQ50" s="345"/>
      <c r="AR50" s="345"/>
      <c r="AS50" s="1093"/>
      <c r="AT50" s="1092"/>
      <c r="AU50" s="1092"/>
      <c r="AV50" s="1092"/>
      <c r="AW50" s="1093"/>
    </row>
    <row r="51" spans="1:49" s="278" customFormat="1" ht="12" customHeight="1" x14ac:dyDescent="0.25">
      <c r="B51" s="1192">
        <f t="shared" si="19"/>
        <v>51</v>
      </c>
      <c r="C51" s="732">
        <f t="shared" si="0"/>
        <v>31</v>
      </c>
      <c r="D51" s="35">
        <f t="shared" si="1"/>
        <v>5</v>
      </c>
      <c r="E51" s="889">
        <f t="shared" si="26"/>
        <v>47634</v>
      </c>
      <c r="F51" s="822">
        <f t="shared" si="2"/>
        <v>5</v>
      </c>
      <c r="G51" s="126">
        <f t="shared" si="3"/>
        <v>0</v>
      </c>
      <c r="H51" s="1098">
        <f t="shared" si="27"/>
        <v>0</v>
      </c>
      <c r="I51" s="887">
        <f t="shared" si="20"/>
        <v>32</v>
      </c>
      <c r="J51" s="1099">
        <f t="shared" si="9"/>
        <v>32</v>
      </c>
      <c r="K51" s="891" t="str">
        <f t="shared" si="10"/>
        <v>May</v>
      </c>
      <c r="L51" s="888">
        <f t="shared" si="21"/>
        <v>2030</v>
      </c>
      <c r="M51" s="883">
        <f t="shared" si="22"/>
        <v>0</v>
      </c>
      <c r="N51" s="883">
        <f t="shared" si="11"/>
        <v>0</v>
      </c>
      <c r="O51" s="1100"/>
      <c r="P51" s="883">
        <f t="shared" si="4"/>
        <v>0</v>
      </c>
      <c r="Q51" s="884">
        <f t="shared" si="23"/>
        <v>0</v>
      </c>
      <c r="R51" s="884">
        <f>IF(AND($AR$39="Early Payoff",I51&gt;=$R$13),0,IF($I51&lt;=$R$6,SUM($P$20:$P51),0))</f>
        <v>0</v>
      </c>
      <c r="S51" s="884">
        <f>IF(AND($AR$39="Early Payoff",I51&gt;=$R$13),0,IF($I51&lt;=$R$6,SUM($Q$20:$Q51),0))</f>
        <v>0</v>
      </c>
      <c r="T51" s="873">
        <f t="shared" si="12"/>
        <v>0</v>
      </c>
      <c r="U51" s="1110">
        <f t="shared" si="13"/>
        <v>0</v>
      </c>
      <c r="W51" s="1102">
        <f t="shared" si="5"/>
        <v>0</v>
      </c>
      <c r="X51" s="873">
        <f t="shared" si="6"/>
        <v>0</v>
      </c>
      <c r="Y51" s="873">
        <f t="shared" si="7"/>
        <v>0</v>
      </c>
      <c r="Z51" s="885">
        <f t="shared" si="8"/>
        <v>0</v>
      </c>
      <c r="AS51" s="1093"/>
      <c r="AT51" s="1092"/>
      <c r="AU51" s="1092"/>
      <c r="AV51" s="1092"/>
      <c r="AW51" s="1093"/>
    </row>
    <row r="52" spans="1:49" s="278" customFormat="1" ht="12" customHeight="1" x14ac:dyDescent="0.25">
      <c r="B52" s="1192">
        <f t="shared" si="19"/>
        <v>52</v>
      </c>
      <c r="C52" s="732">
        <f t="shared" si="0"/>
        <v>30</v>
      </c>
      <c r="D52" s="35">
        <f t="shared" si="1"/>
        <v>6</v>
      </c>
      <c r="E52" s="889">
        <f t="shared" si="26"/>
        <v>47664</v>
      </c>
      <c r="F52" s="822">
        <f t="shared" si="2"/>
        <v>6</v>
      </c>
      <c r="G52" s="126">
        <f t="shared" si="3"/>
        <v>0</v>
      </c>
      <c r="H52" s="1098">
        <f t="shared" si="27"/>
        <v>0</v>
      </c>
      <c r="I52" s="887">
        <f t="shared" si="20"/>
        <v>33</v>
      </c>
      <c r="J52" s="1099">
        <f t="shared" si="9"/>
        <v>33</v>
      </c>
      <c r="K52" s="891" t="str">
        <f t="shared" si="10"/>
        <v>June</v>
      </c>
      <c r="L52" s="888">
        <f t="shared" si="21"/>
        <v>2030</v>
      </c>
      <c r="M52" s="883">
        <f t="shared" si="22"/>
        <v>0</v>
      </c>
      <c r="N52" s="883">
        <f t="shared" si="11"/>
        <v>0</v>
      </c>
      <c r="O52" s="1100"/>
      <c r="P52" s="883">
        <f t="shared" si="4"/>
        <v>0</v>
      </c>
      <c r="Q52" s="884">
        <f t="shared" si="23"/>
        <v>0</v>
      </c>
      <c r="R52" s="884">
        <f>IF(AND($AR$39="Early Payoff",I52&gt;=$R$13),0,IF($I52&lt;=$R$6,SUM($P$20:$P52),0))</f>
        <v>0</v>
      </c>
      <c r="S52" s="884">
        <f>IF(AND($AR$39="Early Payoff",I52&gt;=$R$13),0,IF($I52&lt;=$R$6,SUM($Q$20:$Q52),0))</f>
        <v>0</v>
      </c>
      <c r="T52" s="873">
        <f t="shared" si="12"/>
        <v>0</v>
      </c>
      <c r="U52" s="1110">
        <f t="shared" si="13"/>
        <v>0</v>
      </c>
      <c r="W52" s="1102">
        <f t="shared" si="5"/>
        <v>0</v>
      </c>
      <c r="X52" s="873">
        <f t="shared" si="6"/>
        <v>0</v>
      </c>
      <c r="Y52" s="873">
        <f t="shared" si="7"/>
        <v>0</v>
      </c>
      <c r="Z52" s="885">
        <f t="shared" si="8"/>
        <v>0</v>
      </c>
      <c r="AS52" s="1093"/>
      <c r="AT52" s="1092"/>
      <c r="AU52" s="1092"/>
      <c r="AV52" s="1092"/>
      <c r="AW52" s="1093"/>
    </row>
    <row r="53" spans="1:49" s="278" customFormat="1" ht="12" customHeight="1" x14ac:dyDescent="0.25">
      <c r="B53" s="1192">
        <f t="shared" si="19"/>
        <v>53</v>
      </c>
      <c r="C53" s="732">
        <f t="shared" si="0"/>
        <v>31</v>
      </c>
      <c r="D53" s="35">
        <f t="shared" si="1"/>
        <v>7</v>
      </c>
      <c r="E53" s="889">
        <f t="shared" si="26"/>
        <v>47695</v>
      </c>
      <c r="F53" s="822">
        <f t="shared" si="2"/>
        <v>7</v>
      </c>
      <c r="G53" s="126">
        <f t="shared" si="3"/>
        <v>0</v>
      </c>
      <c r="H53" s="1098">
        <f t="shared" si="27"/>
        <v>0</v>
      </c>
      <c r="I53" s="887">
        <f t="shared" si="20"/>
        <v>34</v>
      </c>
      <c r="J53" s="1099">
        <f t="shared" si="9"/>
        <v>34</v>
      </c>
      <c r="K53" s="891" t="str">
        <f t="shared" si="10"/>
        <v>July</v>
      </c>
      <c r="L53" s="888">
        <f t="shared" si="21"/>
        <v>2030</v>
      </c>
      <c r="M53" s="883">
        <f t="shared" si="22"/>
        <v>0</v>
      </c>
      <c r="N53" s="883">
        <f t="shared" si="11"/>
        <v>0</v>
      </c>
      <c r="O53" s="1100"/>
      <c r="P53" s="883">
        <f t="shared" si="4"/>
        <v>0</v>
      </c>
      <c r="Q53" s="884">
        <f t="shared" si="23"/>
        <v>0</v>
      </c>
      <c r="R53" s="884">
        <f>IF(AND($AR$39="Early Payoff",I53&gt;=$R$13),0,IF($I53&lt;=$R$6,SUM($P$20:$P53),0))</f>
        <v>0</v>
      </c>
      <c r="S53" s="884">
        <f>IF(AND($AR$39="Early Payoff",I53&gt;=$R$13),0,IF($I53&lt;=$R$6,SUM($Q$20:$Q53),0))</f>
        <v>0</v>
      </c>
      <c r="T53" s="873">
        <f t="shared" si="12"/>
        <v>0</v>
      </c>
      <c r="U53" s="1110">
        <f t="shared" si="13"/>
        <v>0</v>
      </c>
      <c r="W53" s="1102">
        <f t="shared" si="5"/>
        <v>0</v>
      </c>
      <c r="X53" s="873">
        <f t="shared" si="6"/>
        <v>0</v>
      </c>
      <c r="Y53" s="873">
        <f t="shared" si="7"/>
        <v>0</v>
      </c>
      <c r="Z53" s="885">
        <f t="shared" si="8"/>
        <v>0</v>
      </c>
      <c r="AS53" s="1093"/>
      <c r="AT53" s="1092"/>
      <c r="AU53" s="1092"/>
      <c r="AV53" s="1092"/>
      <c r="AW53" s="1093"/>
    </row>
    <row r="54" spans="1:49" s="278" customFormat="1" ht="12" customHeight="1" x14ac:dyDescent="0.25">
      <c r="A54" s="880"/>
      <c r="B54" s="1192">
        <f t="shared" si="19"/>
        <v>54</v>
      </c>
      <c r="C54" s="732">
        <f t="shared" si="0"/>
        <v>31</v>
      </c>
      <c r="D54" s="35">
        <f t="shared" si="1"/>
        <v>8</v>
      </c>
      <c r="E54" s="889">
        <f t="shared" si="26"/>
        <v>47726</v>
      </c>
      <c r="F54" s="822">
        <f t="shared" si="2"/>
        <v>8</v>
      </c>
      <c r="G54" s="126">
        <f t="shared" si="3"/>
        <v>0</v>
      </c>
      <c r="H54" s="1098">
        <f t="shared" si="27"/>
        <v>0</v>
      </c>
      <c r="I54" s="887">
        <f t="shared" si="20"/>
        <v>35</v>
      </c>
      <c r="J54" s="1099">
        <f t="shared" si="9"/>
        <v>35</v>
      </c>
      <c r="K54" s="891" t="str">
        <f t="shared" si="10"/>
        <v>August</v>
      </c>
      <c r="L54" s="888">
        <f t="shared" si="21"/>
        <v>2030</v>
      </c>
      <c r="M54" s="883">
        <f t="shared" si="22"/>
        <v>0</v>
      </c>
      <c r="N54" s="883">
        <f t="shared" si="11"/>
        <v>0</v>
      </c>
      <c r="O54" s="1100"/>
      <c r="P54" s="883">
        <f t="shared" si="4"/>
        <v>0</v>
      </c>
      <c r="Q54" s="884">
        <f t="shared" si="23"/>
        <v>0</v>
      </c>
      <c r="R54" s="884">
        <f>IF(AND($AR$39="Early Payoff",I54&gt;=$R$13),0,IF($I54&lt;=$R$6,SUM($P$20:$P54),0))</f>
        <v>0</v>
      </c>
      <c r="S54" s="884">
        <f>IF(AND($AR$39="Early Payoff",I54&gt;=$R$13),0,IF($I54&lt;=$R$6,SUM($Q$20:$Q54),0))</f>
        <v>0</v>
      </c>
      <c r="T54" s="873">
        <f t="shared" si="12"/>
        <v>0</v>
      </c>
      <c r="U54" s="1110">
        <f t="shared" si="13"/>
        <v>0</v>
      </c>
      <c r="W54" s="1102">
        <f t="shared" si="5"/>
        <v>0</v>
      </c>
      <c r="X54" s="873">
        <f t="shared" si="6"/>
        <v>0</v>
      </c>
      <c r="Y54" s="873">
        <f t="shared" si="7"/>
        <v>0</v>
      </c>
      <c r="Z54" s="885">
        <f t="shared" si="8"/>
        <v>0</v>
      </c>
      <c r="AS54" s="1093"/>
      <c r="AT54" s="1092"/>
      <c r="AU54" s="1092"/>
      <c r="AV54" s="1092"/>
      <c r="AW54" s="1093"/>
    </row>
    <row r="55" spans="1:49" s="278" customFormat="1" ht="12" customHeight="1" x14ac:dyDescent="0.25">
      <c r="A55" s="880"/>
      <c r="B55" s="1192">
        <f t="shared" si="19"/>
        <v>55</v>
      </c>
      <c r="C55" s="732">
        <f t="shared" si="0"/>
        <v>30</v>
      </c>
      <c r="D55" s="35">
        <f t="shared" si="1"/>
        <v>9</v>
      </c>
      <c r="E55" s="889">
        <f t="shared" si="26"/>
        <v>47756</v>
      </c>
      <c r="F55" s="822">
        <f t="shared" si="2"/>
        <v>9</v>
      </c>
      <c r="G55" s="126">
        <f t="shared" si="3"/>
        <v>0</v>
      </c>
      <c r="H55" s="1098">
        <f t="shared" si="27"/>
        <v>0</v>
      </c>
      <c r="I55" s="887">
        <f t="shared" si="20"/>
        <v>36</v>
      </c>
      <c r="J55" s="1099">
        <f t="shared" si="9"/>
        <v>36</v>
      </c>
      <c r="K55" s="891" t="str">
        <f t="shared" si="10"/>
        <v>September</v>
      </c>
      <c r="L55" s="888">
        <f t="shared" si="21"/>
        <v>2030</v>
      </c>
      <c r="M55" s="883">
        <f t="shared" si="22"/>
        <v>0</v>
      </c>
      <c r="N55" s="883">
        <f t="shared" si="11"/>
        <v>0</v>
      </c>
      <c r="O55" s="1100"/>
      <c r="P55" s="883">
        <f t="shared" si="4"/>
        <v>0</v>
      </c>
      <c r="Q55" s="884">
        <f t="shared" si="23"/>
        <v>0</v>
      </c>
      <c r="R55" s="884">
        <f>IF(AND($AR$39="Early Payoff",I55&gt;=$R$13),0,IF($I55&lt;=$R$6,SUM($P$20:$P55),0))</f>
        <v>0</v>
      </c>
      <c r="S55" s="884">
        <f>IF(AND($AR$39="Early Payoff",I55&gt;=$R$13),0,IF($I55&lt;=$R$6,SUM($Q$20:$Q55),0))</f>
        <v>0</v>
      </c>
      <c r="T55" s="873">
        <f t="shared" si="12"/>
        <v>0</v>
      </c>
      <c r="U55" s="1110">
        <f t="shared" si="13"/>
        <v>0</v>
      </c>
      <c r="W55" s="1102">
        <f t="shared" si="5"/>
        <v>0</v>
      </c>
      <c r="X55" s="873">
        <f t="shared" si="6"/>
        <v>0</v>
      </c>
      <c r="Y55" s="873">
        <f t="shared" si="7"/>
        <v>0</v>
      </c>
      <c r="Z55" s="885">
        <f t="shared" si="8"/>
        <v>0</v>
      </c>
      <c r="AS55" s="1093"/>
      <c r="AT55" s="1092"/>
      <c r="AU55" s="1092"/>
      <c r="AV55" s="1092"/>
      <c r="AW55" s="1093"/>
    </row>
    <row r="56" spans="1:49" s="278" customFormat="1" ht="12" customHeight="1" x14ac:dyDescent="0.25">
      <c r="A56" s="880"/>
      <c r="B56" s="1192">
        <f t="shared" si="19"/>
        <v>56</v>
      </c>
      <c r="C56" s="732">
        <f t="shared" si="0"/>
        <v>31</v>
      </c>
      <c r="D56" s="35">
        <f t="shared" si="1"/>
        <v>10</v>
      </c>
      <c r="E56" s="889">
        <f t="shared" si="26"/>
        <v>47787</v>
      </c>
      <c r="F56" s="822">
        <f t="shared" si="2"/>
        <v>10</v>
      </c>
      <c r="G56" s="126">
        <f t="shared" si="3"/>
        <v>0</v>
      </c>
      <c r="H56" s="1098">
        <f t="shared" si="27"/>
        <v>0</v>
      </c>
      <c r="I56" s="887">
        <f t="shared" si="20"/>
        <v>37</v>
      </c>
      <c r="J56" s="1099">
        <f t="shared" si="9"/>
        <v>37</v>
      </c>
      <c r="K56" s="891" t="str">
        <f t="shared" si="10"/>
        <v>October</v>
      </c>
      <c r="L56" s="888">
        <f t="shared" si="21"/>
        <v>2030</v>
      </c>
      <c r="M56" s="883">
        <f t="shared" si="22"/>
        <v>0</v>
      </c>
      <c r="N56" s="883">
        <f t="shared" si="11"/>
        <v>0</v>
      </c>
      <c r="O56" s="1100"/>
      <c r="P56" s="883">
        <f t="shared" si="4"/>
        <v>0</v>
      </c>
      <c r="Q56" s="884">
        <f t="shared" si="23"/>
        <v>0</v>
      </c>
      <c r="R56" s="884">
        <f>IF(AND($AR$39="Early Payoff",I56&gt;=$R$13),0,IF($I56&lt;=$R$6,SUM($P$20:$P56),0))</f>
        <v>0</v>
      </c>
      <c r="S56" s="884">
        <f>IF(AND($AR$39="Early Payoff",I56&gt;=$R$13),0,IF($I56&lt;=$R$6,SUM($Q$20:$Q56),0))</f>
        <v>0</v>
      </c>
      <c r="T56" s="873">
        <f t="shared" si="12"/>
        <v>0</v>
      </c>
      <c r="U56" s="1110">
        <f t="shared" si="13"/>
        <v>0</v>
      </c>
      <c r="W56" s="1102">
        <f t="shared" si="5"/>
        <v>0</v>
      </c>
      <c r="X56" s="873">
        <f t="shared" si="6"/>
        <v>0</v>
      </c>
      <c r="Y56" s="873">
        <f t="shared" si="7"/>
        <v>0</v>
      </c>
      <c r="Z56" s="885">
        <f t="shared" si="8"/>
        <v>0</v>
      </c>
      <c r="AS56" s="1093"/>
      <c r="AT56" s="1092"/>
      <c r="AU56" s="1092"/>
      <c r="AV56" s="1092"/>
      <c r="AW56" s="1093"/>
    </row>
    <row r="57" spans="1:49" s="278" customFormat="1" ht="12" customHeight="1" x14ac:dyDescent="0.25">
      <c r="A57" s="880"/>
      <c r="B57" s="1192">
        <f t="shared" si="19"/>
        <v>57</v>
      </c>
      <c r="C57" s="732">
        <f t="shared" si="0"/>
        <v>30</v>
      </c>
      <c r="D57" s="35">
        <f t="shared" si="1"/>
        <v>11</v>
      </c>
      <c r="E57" s="889">
        <f t="shared" si="26"/>
        <v>47817</v>
      </c>
      <c r="F57" s="822">
        <f t="shared" si="2"/>
        <v>11</v>
      </c>
      <c r="G57" s="126">
        <f t="shared" si="3"/>
        <v>0</v>
      </c>
      <c r="H57" s="1098">
        <f t="shared" si="27"/>
        <v>0</v>
      </c>
      <c r="I57" s="887">
        <f t="shared" si="20"/>
        <v>38</v>
      </c>
      <c r="J57" s="1099">
        <f t="shared" si="9"/>
        <v>38</v>
      </c>
      <c r="K57" s="891" t="str">
        <f t="shared" si="10"/>
        <v>November</v>
      </c>
      <c r="L57" s="888">
        <f t="shared" si="21"/>
        <v>2030</v>
      </c>
      <c r="M57" s="883">
        <f t="shared" si="22"/>
        <v>0</v>
      </c>
      <c r="N57" s="883">
        <f t="shared" si="11"/>
        <v>0</v>
      </c>
      <c r="O57" s="1100"/>
      <c r="P57" s="883">
        <f t="shared" si="4"/>
        <v>0</v>
      </c>
      <c r="Q57" s="884">
        <f t="shared" si="23"/>
        <v>0</v>
      </c>
      <c r="R57" s="884">
        <f>IF(AND($AR$39="Early Payoff",I57&gt;=$R$13),0,IF($I57&lt;=$R$6,SUM($P$20:$P57),0))</f>
        <v>0</v>
      </c>
      <c r="S57" s="884">
        <f>IF(AND($AR$39="Early Payoff",I57&gt;=$R$13),0,IF($I57&lt;=$R$6,SUM($Q$20:$Q57),0))</f>
        <v>0</v>
      </c>
      <c r="T57" s="873">
        <f t="shared" si="12"/>
        <v>0</v>
      </c>
      <c r="U57" s="1110">
        <f t="shared" si="13"/>
        <v>0</v>
      </c>
      <c r="W57" s="1102">
        <f t="shared" si="5"/>
        <v>0</v>
      </c>
      <c r="X57" s="873">
        <f t="shared" si="6"/>
        <v>0</v>
      </c>
      <c r="Y57" s="873">
        <f t="shared" si="7"/>
        <v>0</v>
      </c>
      <c r="Z57" s="885">
        <f t="shared" si="8"/>
        <v>0</v>
      </c>
      <c r="AS57" s="1093"/>
      <c r="AT57" s="1092"/>
      <c r="AU57" s="1092"/>
      <c r="AV57" s="1092"/>
      <c r="AW57" s="1093"/>
    </row>
    <row r="58" spans="1:49" s="278" customFormat="1" ht="12" customHeight="1" x14ac:dyDescent="0.25">
      <c r="A58" s="880"/>
      <c r="B58" s="1192">
        <f t="shared" si="19"/>
        <v>58</v>
      </c>
      <c r="C58" s="732">
        <f t="shared" si="0"/>
        <v>31</v>
      </c>
      <c r="D58" s="35">
        <f t="shared" si="1"/>
        <v>12</v>
      </c>
      <c r="E58" s="889">
        <f t="shared" si="26"/>
        <v>47848</v>
      </c>
      <c r="F58" s="822">
        <f t="shared" si="2"/>
        <v>12</v>
      </c>
      <c r="G58" s="126">
        <f t="shared" si="3"/>
        <v>1</v>
      </c>
      <c r="H58" s="1098">
        <f t="shared" si="27"/>
        <v>0</v>
      </c>
      <c r="I58" s="887">
        <f t="shared" si="20"/>
        <v>39</v>
      </c>
      <c r="J58" s="1099">
        <f t="shared" si="9"/>
        <v>39</v>
      </c>
      <c r="K58" s="891" t="str">
        <f t="shared" si="10"/>
        <v>December</v>
      </c>
      <c r="L58" s="888">
        <f t="shared" si="21"/>
        <v>2030</v>
      </c>
      <c r="M58" s="883">
        <f t="shared" si="22"/>
        <v>0</v>
      </c>
      <c r="N58" s="883">
        <f t="shared" si="11"/>
        <v>0</v>
      </c>
      <c r="O58" s="1100"/>
      <c r="P58" s="883">
        <f t="shared" si="4"/>
        <v>0</v>
      </c>
      <c r="Q58" s="884">
        <f t="shared" si="23"/>
        <v>0</v>
      </c>
      <c r="R58" s="884">
        <f>IF(AND($AR$39="Early Payoff",I58&gt;=$R$13),0,IF($I58&lt;=$R$6,SUM($P$20:$P58),0))</f>
        <v>0</v>
      </c>
      <c r="S58" s="884">
        <f>IF(AND($AR$39="Early Payoff",I58&gt;=$R$13),0,IF($I58&lt;=$R$6,SUM($Q$20:$Q58),0))</f>
        <v>0</v>
      </c>
      <c r="T58" s="873">
        <f t="shared" si="12"/>
        <v>0</v>
      </c>
      <c r="U58" s="1110">
        <f t="shared" si="13"/>
        <v>0</v>
      </c>
      <c r="W58" s="1102">
        <f t="shared" si="5"/>
        <v>0</v>
      </c>
      <c r="X58" s="873">
        <f t="shared" si="6"/>
        <v>0</v>
      </c>
      <c r="Y58" s="873">
        <f t="shared" si="7"/>
        <v>0</v>
      </c>
      <c r="Z58" s="885">
        <f t="shared" si="8"/>
        <v>0</v>
      </c>
      <c r="AS58" s="1093"/>
      <c r="AT58" s="1092"/>
      <c r="AU58" s="1092"/>
      <c r="AV58" s="1092"/>
      <c r="AW58" s="1093"/>
    </row>
    <row r="59" spans="1:49" s="278" customFormat="1" ht="12" customHeight="1" x14ac:dyDescent="0.25">
      <c r="A59" s="880"/>
      <c r="B59" s="1192">
        <f t="shared" si="19"/>
        <v>59</v>
      </c>
      <c r="C59" s="732">
        <f t="shared" si="0"/>
        <v>31</v>
      </c>
      <c r="D59" s="35">
        <f t="shared" si="1"/>
        <v>1</v>
      </c>
      <c r="E59" s="889">
        <f t="shared" si="26"/>
        <v>47879</v>
      </c>
      <c r="F59" s="822">
        <f t="shared" si="2"/>
        <v>1</v>
      </c>
      <c r="G59" s="126">
        <f t="shared" si="3"/>
        <v>0</v>
      </c>
      <c r="H59" s="1098">
        <f t="shared" si="27"/>
        <v>0</v>
      </c>
      <c r="I59" s="887">
        <f t="shared" si="20"/>
        <v>40</v>
      </c>
      <c r="J59" s="1099">
        <f t="shared" si="9"/>
        <v>40</v>
      </c>
      <c r="K59" s="891" t="str">
        <f t="shared" si="10"/>
        <v>January</v>
      </c>
      <c r="L59" s="888">
        <f t="shared" si="21"/>
        <v>2031</v>
      </c>
      <c r="M59" s="883">
        <f t="shared" si="22"/>
        <v>0</v>
      </c>
      <c r="N59" s="883">
        <f t="shared" si="11"/>
        <v>0</v>
      </c>
      <c r="O59" s="1100"/>
      <c r="P59" s="883">
        <f t="shared" si="4"/>
        <v>0</v>
      </c>
      <c r="Q59" s="884">
        <f t="shared" si="23"/>
        <v>0</v>
      </c>
      <c r="R59" s="884">
        <f>IF(AND($AR$39="Early Payoff",I59&gt;=$R$13),0,IF($I59&lt;=$R$6,SUM($P$20:$P59),0))</f>
        <v>0</v>
      </c>
      <c r="S59" s="884">
        <f>IF(AND($AR$39="Early Payoff",I59&gt;=$R$13),0,IF($I59&lt;=$R$6,SUM($Q$20:$Q59),0))</f>
        <v>0</v>
      </c>
      <c r="T59" s="873">
        <f t="shared" si="12"/>
        <v>0</v>
      </c>
      <c r="U59" s="1110">
        <f t="shared" si="13"/>
        <v>0</v>
      </c>
      <c r="W59" s="1102">
        <f t="shared" si="5"/>
        <v>0</v>
      </c>
      <c r="X59" s="873">
        <f t="shared" si="6"/>
        <v>0</v>
      </c>
      <c r="Y59" s="873">
        <f t="shared" si="7"/>
        <v>0</v>
      </c>
      <c r="Z59" s="885">
        <f t="shared" si="8"/>
        <v>0</v>
      </c>
      <c r="AS59" s="1093"/>
      <c r="AT59" s="1092"/>
      <c r="AU59" s="1092"/>
      <c r="AV59" s="1092"/>
      <c r="AW59" s="1093"/>
    </row>
    <row r="60" spans="1:49" s="278" customFormat="1" ht="12" customHeight="1" x14ac:dyDescent="0.25">
      <c r="A60" s="880"/>
      <c r="B60" s="1192">
        <f t="shared" si="19"/>
        <v>60</v>
      </c>
      <c r="C60" s="732">
        <f t="shared" si="0"/>
        <v>28</v>
      </c>
      <c r="D60" s="35">
        <f t="shared" si="1"/>
        <v>2</v>
      </c>
      <c r="E60" s="889">
        <f t="shared" si="26"/>
        <v>47907</v>
      </c>
      <c r="F60" s="822">
        <f t="shared" si="2"/>
        <v>2</v>
      </c>
      <c r="G60" s="126">
        <f t="shared" si="3"/>
        <v>0</v>
      </c>
      <c r="H60" s="1098">
        <f t="shared" si="27"/>
        <v>0</v>
      </c>
      <c r="I60" s="887">
        <f t="shared" si="20"/>
        <v>41</v>
      </c>
      <c r="J60" s="1099">
        <f t="shared" si="9"/>
        <v>41</v>
      </c>
      <c r="K60" s="891" t="str">
        <f t="shared" si="10"/>
        <v>February</v>
      </c>
      <c r="L60" s="888">
        <f t="shared" si="21"/>
        <v>2031</v>
      </c>
      <c r="M60" s="883">
        <f t="shared" si="22"/>
        <v>0</v>
      </c>
      <c r="N60" s="883">
        <f t="shared" si="11"/>
        <v>0</v>
      </c>
      <c r="O60" s="1100"/>
      <c r="P60" s="883">
        <f t="shared" si="4"/>
        <v>0</v>
      </c>
      <c r="Q60" s="884">
        <f t="shared" si="23"/>
        <v>0</v>
      </c>
      <c r="R60" s="884">
        <f>IF(AND($AR$39="Early Payoff",I60&gt;=$R$13),0,IF($I60&lt;=$R$6,SUM($P$20:$P60),0))</f>
        <v>0</v>
      </c>
      <c r="S60" s="884">
        <f>IF(AND($AR$39="Early Payoff",I60&gt;=$R$13),0,IF($I60&lt;=$R$6,SUM($Q$20:$Q60),0))</f>
        <v>0</v>
      </c>
      <c r="T60" s="873">
        <f t="shared" si="12"/>
        <v>0</v>
      </c>
      <c r="U60" s="1110">
        <f t="shared" si="13"/>
        <v>0</v>
      </c>
      <c r="W60" s="1102">
        <f t="shared" si="5"/>
        <v>0</v>
      </c>
      <c r="X60" s="873">
        <f t="shared" si="6"/>
        <v>0</v>
      </c>
      <c r="Y60" s="873">
        <f t="shared" si="7"/>
        <v>0</v>
      </c>
      <c r="Z60" s="885">
        <f t="shared" si="8"/>
        <v>0</v>
      </c>
      <c r="AS60" s="1093"/>
      <c r="AT60" s="1092"/>
      <c r="AU60" s="1092"/>
      <c r="AV60" s="1092"/>
      <c r="AW60" s="1093"/>
    </row>
    <row r="61" spans="1:49" s="278" customFormat="1" ht="12" customHeight="1" x14ac:dyDescent="0.25">
      <c r="A61" s="880"/>
      <c r="B61" s="1192">
        <f t="shared" si="19"/>
        <v>61</v>
      </c>
      <c r="C61" s="732">
        <f t="shared" si="0"/>
        <v>31</v>
      </c>
      <c r="D61" s="35">
        <f t="shared" si="1"/>
        <v>3</v>
      </c>
      <c r="E61" s="889">
        <f t="shared" si="26"/>
        <v>47938</v>
      </c>
      <c r="F61" s="822">
        <f t="shared" si="2"/>
        <v>3</v>
      </c>
      <c r="G61" s="126">
        <f t="shared" si="3"/>
        <v>0</v>
      </c>
      <c r="H61" s="1098">
        <f t="shared" si="27"/>
        <v>0</v>
      </c>
      <c r="I61" s="887">
        <f t="shared" si="20"/>
        <v>42</v>
      </c>
      <c r="J61" s="1099">
        <f t="shared" si="9"/>
        <v>42</v>
      </c>
      <c r="K61" s="891" t="str">
        <f t="shared" si="10"/>
        <v>March</v>
      </c>
      <c r="L61" s="888">
        <f t="shared" si="21"/>
        <v>2031</v>
      </c>
      <c r="M61" s="883">
        <f t="shared" si="22"/>
        <v>0</v>
      </c>
      <c r="N61" s="883">
        <f t="shared" si="11"/>
        <v>0</v>
      </c>
      <c r="O61" s="1100"/>
      <c r="P61" s="883">
        <f t="shared" si="4"/>
        <v>0</v>
      </c>
      <c r="Q61" s="884">
        <f t="shared" si="23"/>
        <v>0</v>
      </c>
      <c r="R61" s="884">
        <f>IF(AND($AR$39="Early Payoff",I61&gt;=$R$13),0,IF($I61&lt;=$R$6,SUM($P$20:$P61),0))</f>
        <v>0</v>
      </c>
      <c r="S61" s="884">
        <f>IF(AND($AR$39="Early Payoff",I61&gt;=$R$13),0,IF($I61&lt;=$R$6,SUM($Q$20:$Q61),0))</f>
        <v>0</v>
      </c>
      <c r="T61" s="873">
        <f t="shared" si="12"/>
        <v>0</v>
      </c>
      <c r="U61" s="1110">
        <f t="shared" si="13"/>
        <v>0</v>
      </c>
      <c r="W61" s="1102">
        <f t="shared" si="5"/>
        <v>0</v>
      </c>
      <c r="X61" s="873">
        <f t="shared" si="6"/>
        <v>0</v>
      </c>
      <c r="Y61" s="873">
        <f t="shared" si="7"/>
        <v>0</v>
      </c>
      <c r="Z61" s="885">
        <f t="shared" si="8"/>
        <v>0</v>
      </c>
      <c r="AS61" s="1093"/>
      <c r="AT61" s="1092"/>
      <c r="AU61" s="1092"/>
      <c r="AV61" s="1092"/>
      <c r="AW61" s="1093"/>
    </row>
    <row r="62" spans="1:49" s="278" customFormat="1" ht="12" customHeight="1" x14ac:dyDescent="0.25">
      <c r="A62" s="880"/>
      <c r="B62" s="1192">
        <f t="shared" si="19"/>
        <v>62</v>
      </c>
      <c r="C62" s="732">
        <f t="shared" si="0"/>
        <v>30</v>
      </c>
      <c r="D62" s="35">
        <f t="shared" si="1"/>
        <v>4</v>
      </c>
      <c r="E62" s="889">
        <f t="shared" si="26"/>
        <v>47968</v>
      </c>
      <c r="F62" s="822">
        <f t="shared" si="2"/>
        <v>4</v>
      </c>
      <c r="G62" s="126">
        <f t="shared" si="3"/>
        <v>0</v>
      </c>
      <c r="H62" s="1098">
        <f t="shared" si="27"/>
        <v>0</v>
      </c>
      <c r="I62" s="887">
        <f t="shared" si="20"/>
        <v>43</v>
      </c>
      <c r="J62" s="1099">
        <f t="shared" si="9"/>
        <v>43</v>
      </c>
      <c r="K62" s="891" t="str">
        <f t="shared" si="10"/>
        <v>April</v>
      </c>
      <c r="L62" s="888">
        <f t="shared" si="21"/>
        <v>2031</v>
      </c>
      <c r="M62" s="883">
        <f t="shared" si="22"/>
        <v>0</v>
      </c>
      <c r="N62" s="883">
        <f t="shared" si="11"/>
        <v>0</v>
      </c>
      <c r="O62" s="1100"/>
      <c r="P62" s="883">
        <f t="shared" si="4"/>
        <v>0</v>
      </c>
      <c r="Q62" s="884">
        <f t="shared" si="23"/>
        <v>0</v>
      </c>
      <c r="R62" s="884">
        <f>IF(AND($AR$39="Early Payoff",I62&gt;=$R$13),0,IF($I62&lt;=$R$6,SUM($P$20:$P62),0))</f>
        <v>0</v>
      </c>
      <c r="S62" s="884">
        <f>IF(AND($AR$39="Early Payoff",I62&gt;=$R$13),0,IF($I62&lt;=$R$6,SUM($Q$20:$Q62),0))</f>
        <v>0</v>
      </c>
      <c r="T62" s="873">
        <f t="shared" si="12"/>
        <v>0</v>
      </c>
      <c r="U62" s="1110">
        <f t="shared" si="13"/>
        <v>0</v>
      </c>
      <c r="W62" s="1102">
        <f t="shared" si="5"/>
        <v>0</v>
      </c>
      <c r="X62" s="873">
        <f t="shared" si="6"/>
        <v>0</v>
      </c>
      <c r="Y62" s="873">
        <f t="shared" si="7"/>
        <v>0</v>
      </c>
      <c r="Z62" s="885">
        <f t="shared" si="8"/>
        <v>0</v>
      </c>
      <c r="AS62" s="1093"/>
      <c r="AT62" s="1092"/>
      <c r="AU62" s="1092"/>
      <c r="AV62" s="1092"/>
      <c r="AW62" s="1093"/>
    </row>
    <row r="63" spans="1:49" s="278" customFormat="1" ht="12" customHeight="1" x14ac:dyDescent="0.25">
      <c r="A63" s="880"/>
      <c r="B63" s="1192">
        <f t="shared" si="19"/>
        <v>63</v>
      </c>
      <c r="C63" s="732">
        <f t="shared" si="0"/>
        <v>31</v>
      </c>
      <c r="D63" s="35">
        <f t="shared" si="1"/>
        <v>5</v>
      </c>
      <c r="E63" s="889">
        <f t="shared" si="26"/>
        <v>47999</v>
      </c>
      <c r="F63" s="822">
        <f t="shared" si="2"/>
        <v>5</v>
      </c>
      <c r="G63" s="126">
        <f t="shared" si="3"/>
        <v>0</v>
      </c>
      <c r="H63" s="1098">
        <f t="shared" si="27"/>
        <v>0</v>
      </c>
      <c r="I63" s="887">
        <f t="shared" si="20"/>
        <v>44</v>
      </c>
      <c r="J63" s="1099">
        <f t="shared" si="9"/>
        <v>44</v>
      </c>
      <c r="K63" s="891" t="str">
        <f t="shared" si="10"/>
        <v>May</v>
      </c>
      <c r="L63" s="888">
        <f t="shared" si="21"/>
        <v>2031</v>
      </c>
      <c r="M63" s="883">
        <f t="shared" si="22"/>
        <v>0</v>
      </c>
      <c r="N63" s="883">
        <f t="shared" si="11"/>
        <v>0</v>
      </c>
      <c r="O63" s="1100"/>
      <c r="P63" s="883">
        <f t="shared" si="4"/>
        <v>0</v>
      </c>
      <c r="Q63" s="884">
        <f t="shared" si="23"/>
        <v>0</v>
      </c>
      <c r="R63" s="884">
        <f>IF(AND($AR$39="Early Payoff",I63&gt;=$R$13),0,IF($I63&lt;=$R$6,SUM($P$20:$P63),0))</f>
        <v>0</v>
      </c>
      <c r="S63" s="884">
        <f>IF(AND($AR$39="Early Payoff",I63&gt;=$R$13),0,IF($I63&lt;=$R$6,SUM($Q$20:$Q63),0))</f>
        <v>0</v>
      </c>
      <c r="T63" s="873">
        <f t="shared" si="12"/>
        <v>0</v>
      </c>
      <c r="U63" s="1110">
        <f t="shared" si="13"/>
        <v>0</v>
      </c>
      <c r="W63" s="1102">
        <f t="shared" si="5"/>
        <v>0</v>
      </c>
      <c r="X63" s="873">
        <f t="shared" si="6"/>
        <v>0</v>
      </c>
      <c r="Y63" s="873">
        <f t="shared" si="7"/>
        <v>0</v>
      </c>
      <c r="Z63" s="885">
        <f t="shared" si="8"/>
        <v>0</v>
      </c>
    </row>
    <row r="64" spans="1:49" s="278" customFormat="1" ht="12" customHeight="1" x14ac:dyDescent="0.25">
      <c r="A64" s="880"/>
      <c r="B64" s="1192">
        <f t="shared" si="19"/>
        <v>64</v>
      </c>
      <c r="C64" s="732">
        <f t="shared" si="0"/>
        <v>30</v>
      </c>
      <c r="D64" s="35">
        <f t="shared" si="1"/>
        <v>6</v>
      </c>
      <c r="E64" s="889">
        <f t="shared" si="26"/>
        <v>48029</v>
      </c>
      <c r="F64" s="822">
        <f t="shared" si="2"/>
        <v>6</v>
      </c>
      <c r="G64" s="126">
        <f t="shared" si="3"/>
        <v>0</v>
      </c>
      <c r="H64" s="1098">
        <f t="shared" si="27"/>
        <v>0</v>
      </c>
      <c r="I64" s="887">
        <f t="shared" si="20"/>
        <v>45</v>
      </c>
      <c r="J64" s="1099">
        <f t="shared" si="9"/>
        <v>45</v>
      </c>
      <c r="K64" s="891" t="str">
        <f t="shared" si="10"/>
        <v>June</v>
      </c>
      <c r="L64" s="888">
        <f t="shared" si="21"/>
        <v>2031</v>
      </c>
      <c r="M64" s="883">
        <f t="shared" si="22"/>
        <v>0</v>
      </c>
      <c r="N64" s="883">
        <f t="shared" si="11"/>
        <v>0</v>
      </c>
      <c r="O64" s="1100"/>
      <c r="P64" s="883">
        <f t="shared" si="4"/>
        <v>0</v>
      </c>
      <c r="Q64" s="884">
        <f t="shared" si="23"/>
        <v>0</v>
      </c>
      <c r="R64" s="884">
        <f>IF(AND($AR$39="Early Payoff",I64&gt;=$R$13),0,IF($I64&lt;=$R$6,SUM($P$20:$P64),0))</f>
        <v>0</v>
      </c>
      <c r="S64" s="884">
        <f>IF(AND($AR$39="Early Payoff",I64&gt;=$R$13),0,IF($I64&lt;=$R$6,SUM($Q$20:$Q64),0))</f>
        <v>0</v>
      </c>
      <c r="T64" s="873">
        <f t="shared" si="12"/>
        <v>0</v>
      </c>
      <c r="U64" s="1110">
        <f t="shared" si="13"/>
        <v>0</v>
      </c>
      <c r="W64" s="1102">
        <f t="shared" si="5"/>
        <v>0</v>
      </c>
      <c r="X64" s="873">
        <f t="shared" si="6"/>
        <v>0</v>
      </c>
      <c r="Y64" s="873">
        <f t="shared" si="7"/>
        <v>0</v>
      </c>
      <c r="Z64" s="885">
        <f t="shared" si="8"/>
        <v>0</v>
      </c>
    </row>
    <row r="65" spans="1:26" s="278" customFormat="1" ht="12" customHeight="1" x14ac:dyDescent="0.25">
      <c r="A65" s="880"/>
      <c r="B65" s="1192">
        <f t="shared" si="19"/>
        <v>65</v>
      </c>
      <c r="C65" s="732">
        <f t="shared" si="0"/>
        <v>31</v>
      </c>
      <c r="D65" s="35">
        <f t="shared" si="1"/>
        <v>7</v>
      </c>
      <c r="E65" s="889">
        <f t="shared" si="26"/>
        <v>48060</v>
      </c>
      <c r="F65" s="822">
        <f t="shared" si="2"/>
        <v>7</v>
      </c>
      <c r="G65" s="126">
        <f t="shared" si="3"/>
        <v>0</v>
      </c>
      <c r="H65" s="1098">
        <f t="shared" si="27"/>
        <v>0</v>
      </c>
      <c r="I65" s="887">
        <f t="shared" si="20"/>
        <v>46</v>
      </c>
      <c r="J65" s="1099">
        <f t="shared" si="9"/>
        <v>46</v>
      </c>
      <c r="K65" s="891" t="str">
        <f t="shared" si="10"/>
        <v>July</v>
      </c>
      <c r="L65" s="888">
        <f t="shared" si="21"/>
        <v>2031</v>
      </c>
      <c r="M65" s="883">
        <f t="shared" si="22"/>
        <v>0</v>
      </c>
      <c r="N65" s="883">
        <f t="shared" si="11"/>
        <v>0</v>
      </c>
      <c r="O65" s="1100"/>
      <c r="P65" s="883">
        <f t="shared" si="4"/>
        <v>0</v>
      </c>
      <c r="Q65" s="884">
        <f t="shared" si="23"/>
        <v>0</v>
      </c>
      <c r="R65" s="884">
        <f>IF(AND($AR$39="Early Payoff",I65&gt;=$R$13),0,IF($I65&lt;=$R$6,SUM($P$20:$P65),0))</f>
        <v>0</v>
      </c>
      <c r="S65" s="884">
        <f>IF(AND($AR$39="Early Payoff",I65&gt;=$R$13),0,IF($I65&lt;=$R$6,SUM($Q$20:$Q65),0))</f>
        <v>0</v>
      </c>
      <c r="T65" s="873">
        <f t="shared" si="12"/>
        <v>0</v>
      </c>
      <c r="U65" s="1110">
        <f t="shared" si="13"/>
        <v>0</v>
      </c>
      <c r="W65" s="1102">
        <f t="shared" si="5"/>
        <v>0</v>
      </c>
      <c r="X65" s="873">
        <f t="shared" si="6"/>
        <v>0</v>
      </c>
      <c r="Y65" s="873">
        <f t="shared" si="7"/>
        <v>0</v>
      </c>
      <c r="Z65" s="885">
        <f t="shared" si="8"/>
        <v>0</v>
      </c>
    </row>
    <row r="66" spans="1:26" s="278" customFormat="1" ht="12" customHeight="1" x14ac:dyDescent="0.25">
      <c r="A66" s="880"/>
      <c r="B66" s="1192">
        <f t="shared" si="19"/>
        <v>66</v>
      </c>
      <c r="C66" s="732">
        <f t="shared" si="0"/>
        <v>31</v>
      </c>
      <c r="D66" s="35">
        <f t="shared" si="1"/>
        <v>8</v>
      </c>
      <c r="E66" s="889">
        <f t="shared" si="26"/>
        <v>48091</v>
      </c>
      <c r="F66" s="822">
        <f t="shared" si="2"/>
        <v>8</v>
      </c>
      <c r="G66" s="126">
        <f t="shared" si="3"/>
        <v>0</v>
      </c>
      <c r="H66" s="1098">
        <f t="shared" si="27"/>
        <v>0</v>
      </c>
      <c r="I66" s="887">
        <f t="shared" si="20"/>
        <v>47</v>
      </c>
      <c r="J66" s="1099">
        <f t="shared" si="9"/>
        <v>47</v>
      </c>
      <c r="K66" s="891" t="str">
        <f t="shared" si="10"/>
        <v>August</v>
      </c>
      <c r="L66" s="888">
        <f t="shared" si="21"/>
        <v>2031</v>
      </c>
      <c r="M66" s="883">
        <f t="shared" si="22"/>
        <v>0</v>
      </c>
      <c r="N66" s="883">
        <f t="shared" si="11"/>
        <v>0</v>
      </c>
      <c r="O66" s="1100"/>
      <c r="P66" s="883">
        <f t="shared" si="4"/>
        <v>0</v>
      </c>
      <c r="Q66" s="884">
        <f t="shared" si="23"/>
        <v>0</v>
      </c>
      <c r="R66" s="884">
        <f>IF(AND($AR$39="Early Payoff",I66&gt;=$R$13),0,IF($I66&lt;=$R$6,SUM($P$20:$P66),0))</f>
        <v>0</v>
      </c>
      <c r="S66" s="884">
        <f>IF(AND($AR$39="Early Payoff",I66&gt;=$R$13),0,IF($I66&lt;=$R$6,SUM($Q$20:$Q66),0))</f>
        <v>0</v>
      </c>
      <c r="T66" s="873">
        <f t="shared" si="12"/>
        <v>0</v>
      </c>
      <c r="U66" s="1110">
        <f t="shared" si="13"/>
        <v>0</v>
      </c>
      <c r="W66" s="1102">
        <f t="shared" si="5"/>
        <v>0</v>
      </c>
      <c r="X66" s="873">
        <f t="shared" si="6"/>
        <v>0</v>
      </c>
      <c r="Y66" s="873">
        <f t="shared" si="7"/>
        <v>0</v>
      </c>
      <c r="Z66" s="885">
        <f t="shared" si="8"/>
        <v>0</v>
      </c>
    </row>
    <row r="67" spans="1:26" s="278" customFormat="1" ht="12" customHeight="1" x14ac:dyDescent="0.25">
      <c r="A67" s="880"/>
      <c r="B67" s="1192">
        <f t="shared" si="19"/>
        <v>67</v>
      </c>
      <c r="C67" s="732">
        <f t="shared" si="0"/>
        <v>30</v>
      </c>
      <c r="D67" s="35">
        <f t="shared" si="1"/>
        <v>9</v>
      </c>
      <c r="E67" s="889">
        <f t="shared" si="26"/>
        <v>48121</v>
      </c>
      <c r="F67" s="822">
        <f t="shared" si="2"/>
        <v>9</v>
      </c>
      <c r="G67" s="126">
        <f t="shared" si="3"/>
        <v>0</v>
      </c>
      <c r="H67" s="1098">
        <f t="shared" si="27"/>
        <v>0</v>
      </c>
      <c r="I67" s="887">
        <f t="shared" si="20"/>
        <v>48</v>
      </c>
      <c r="J67" s="1099">
        <f t="shared" si="9"/>
        <v>48</v>
      </c>
      <c r="K67" s="891" t="str">
        <f t="shared" si="10"/>
        <v>September</v>
      </c>
      <c r="L67" s="888">
        <f t="shared" si="21"/>
        <v>2031</v>
      </c>
      <c r="M67" s="883">
        <f t="shared" si="22"/>
        <v>0</v>
      </c>
      <c r="N67" s="883">
        <f t="shared" si="11"/>
        <v>0</v>
      </c>
      <c r="O67" s="1100"/>
      <c r="P67" s="883">
        <f t="shared" si="4"/>
        <v>0</v>
      </c>
      <c r="Q67" s="884">
        <f t="shared" si="23"/>
        <v>0</v>
      </c>
      <c r="R67" s="884">
        <f>IF(AND($AR$39="Early Payoff",I67&gt;=$R$13),0,IF($I67&lt;=$R$6,SUM($P$20:$P67),0))</f>
        <v>0</v>
      </c>
      <c r="S67" s="884">
        <f>IF(AND($AR$39="Early Payoff",I67&gt;=$R$13),0,IF($I67&lt;=$R$6,SUM($Q$20:$Q67),0))</f>
        <v>0</v>
      </c>
      <c r="T67" s="873">
        <f t="shared" si="12"/>
        <v>0</v>
      </c>
      <c r="U67" s="1110">
        <f t="shared" si="13"/>
        <v>0</v>
      </c>
      <c r="W67" s="1102">
        <f t="shared" si="5"/>
        <v>0</v>
      </c>
      <c r="X67" s="873">
        <f t="shared" si="6"/>
        <v>0</v>
      </c>
      <c r="Y67" s="873">
        <f t="shared" si="7"/>
        <v>0</v>
      </c>
      <c r="Z67" s="885">
        <f t="shared" si="8"/>
        <v>0</v>
      </c>
    </row>
    <row r="68" spans="1:26" s="278" customFormat="1" ht="12" customHeight="1" x14ac:dyDescent="0.25">
      <c r="A68" s="880"/>
      <c r="B68" s="1192">
        <f t="shared" si="19"/>
        <v>68</v>
      </c>
      <c r="C68" s="732">
        <f t="shared" si="0"/>
        <v>31</v>
      </c>
      <c r="D68" s="35">
        <f t="shared" si="1"/>
        <v>10</v>
      </c>
      <c r="E68" s="889">
        <f t="shared" si="26"/>
        <v>48152</v>
      </c>
      <c r="F68" s="822">
        <f t="shared" si="2"/>
        <v>10</v>
      </c>
      <c r="G68" s="126">
        <f t="shared" si="3"/>
        <v>0</v>
      </c>
      <c r="H68" s="1098">
        <f t="shared" si="27"/>
        <v>0</v>
      </c>
      <c r="I68" s="887">
        <f t="shared" si="20"/>
        <v>49</v>
      </c>
      <c r="J68" s="1099">
        <f t="shared" si="9"/>
        <v>49</v>
      </c>
      <c r="K68" s="891" t="str">
        <f t="shared" si="10"/>
        <v>October</v>
      </c>
      <c r="L68" s="888">
        <f t="shared" si="21"/>
        <v>2031</v>
      </c>
      <c r="M68" s="883">
        <f t="shared" si="22"/>
        <v>0</v>
      </c>
      <c r="N68" s="883">
        <f t="shared" si="11"/>
        <v>0</v>
      </c>
      <c r="O68" s="1100"/>
      <c r="P68" s="883">
        <f t="shared" si="4"/>
        <v>0</v>
      </c>
      <c r="Q68" s="884">
        <f t="shared" si="23"/>
        <v>0</v>
      </c>
      <c r="R68" s="884">
        <f>IF(AND($AR$39="Early Payoff",I68&gt;=$R$13),0,IF($I68&lt;=$R$6,SUM($P$20:$P68),0))</f>
        <v>0</v>
      </c>
      <c r="S68" s="884">
        <f>IF(AND($AR$39="Early Payoff",I68&gt;=$R$13),0,IF($I68&lt;=$R$6,SUM($Q$20:$Q68),0))</f>
        <v>0</v>
      </c>
      <c r="T68" s="873">
        <f t="shared" si="12"/>
        <v>0</v>
      </c>
      <c r="U68" s="1110">
        <f t="shared" si="13"/>
        <v>0</v>
      </c>
      <c r="W68" s="1102">
        <f t="shared" si="5"/>
        <v>0</v>
      </c>
      <c r="X68" s="873">
        <f t="shared" si="6"/>
        <v>0</v>
      </c>
      <c r="Y68" s="873">
        <f t="shared" si="7"/>
        <v>0</v>
      </c>
      <c r="Z68" s="885">
        <f t="shared" si="8"/>
        <v>0</v>
      </c>
    </row>
    <row r="69" spans="1:26" s="278" customFormat="1" ht="12" customHeight="1" x14ac:dyDescent="0.25">
      <c r="A69" s="880"/>
      <c r="B69" s="1192">
        <f t="shared" si="19"/>
        <v>69</v>
      </c>
      <c r="C69" s="732">
        <f t="shared" si="0"/>
        <v>30</v>
      </c>
      <c r="D69" s="35">
        <f t="shared" si="1"/>
        <v>11</v>
      </c>
      <c r="E69" s="889">
        <f t="shared" si="26"/>
        <v>48182</v>
      </c>
      <c r="F69" s="822">
        <f t="shared" si="2"/>
        <v>11</v>
      </c>
      <c r="G69" s="126">
        <f t="shared" si="3"/>
        <v>0</v>
      </c>
      <c r="H69" s="1098">
        <f t="shared" si="27"/>
        <v>0</v>
      </c>
      <c r="I69" s="887">
        <f t="shared" si="20"/>
        <v>50</v>
      </c>
      <c r="J69" s="1099">
        <f t="shared" si="9"/>
        <v>50</v>
      </c>
      <c r="K69" s="891" t="str">
        <f t="shared" si="10"/>
        <v>November</v>
      </c>
      <c r="L69" s="888">
        <f t="shared" si="21"/>
        <v>2031</v>
      </c>
      <c r="M69" s="883">
        <f t="shared" si="22"/>
        <v>0</v>
      </c>
      <c r="N69" s="883">
        <f t="shared" si="11"/>
        <v>0</v>
      </c>
      <c r="O69" s="1100"/>
      <c r="P69" s="883">
        <f t="shared" si="4"/>
        <v>0</v>
      </c>
      <c r="Q69" s="884">
        <f t="shared" si="23"/>
        <v>0</v>
      </c>
      <c r="R69" s="884">
        <f>IF(AND($AR$39="Early Payoff",I69&gt;=$R$13),0,IF($I69&lt;=$R$6,SUM($P$20:$P69),0))</f>
        <v>0</v>
      </c>
      <c r="S69" s="884">
        <f>IF(AND($AR$39="Early Payoff",I69&gt;=$R$13),0,IF($I69&lt;=$R$6,SUM($Q$20:$Q69),0))</f>
        <v>0</v>
      </c>
      <c r="T69" s="873">
        <f t="shared" si="12"/>
        <v>0</v>
      </c>
      <c r="U69" s="1110">
        <f t="shared" si="13"/>
        <v>0</v>
      </c>
      <c r="W69" s="1102">
        <f t="shared" si="5"/>
        <v>0</v>
      </c>
      <c r="X69" s="873">
        <f t="shared" si="6"/>
        <v>0</v>
      </c>
      <c r="Y69" s="873">
        <f t="shared" si="7"/>
        <v>0</v>
      </c>
      <c r="Z69" s="885">
        <f t="shared" si="8"/>
        <v>0</v>
      </c>
    </row>
    <row r="70" spans="1:26" s="278" customFormat="1" ht="12" customHeight="1" x14ac:dyDescent="0.25">
      <c r="A70" s="880"/>
      <c r="B70" s="1192">
        <f t="shared" si="19"/>
        <v>70</v>
      </c>
      <c r="C70" s="732">
        <f t="shared" si="0"/>
        <v>31</v>
      </c>
      <c r="D70" s="35">
        <f t="shared" si="1"/>
        <v>12</v>
      </c>
      <c r="E70" s="889">
        <f t="shared" si="26"/>
        <v>48213</v>
      </c>
      <c r="F70" s="822">
        <f t="shared" si="2"/>
        <v>12</v>
      </c>
      <c r="G70" s="126">
        <f t="shared" si="3"/>
        <v>1</v>
      </c>
      <c r="H70" s="1098">
        <f t="shared" si="27"/>
        <v>0</v>
      </c>
      <c r="I70" s="887">
        <f t="shared" si="20"/>
        <v>51</v>
      </c>
      <c r="J70" s="1099">
        <f t="shared" si="9"/>
        <v>51</v>
      </c>
      <c r="K70" s="891" t="str">
        <f t="shared" si="10"/>
        <v>December</v>
      </c>
      <c r="L70" s="888">
        <f t="shared" si="21"/>
        <v>2031</v>
      </c>
      <c r="M70" s="883">
        <f t="shared" si="22"/>
        <v>0</v>
      </c>
      <c r="N70" s="883">
        <f t="shared" si="11"/>
        <v>0</v>
      </c>
      <c r="O70" s="1100"/>
      <c r="P70" s="883">
        <f t="shared" si="4"/>
        <v>0</v>
      </c>
      <c r="Q70" s="884">
        <f t="shared" si="23"/>
        <v>0</v>
      </c>
      <c r="R70" s="884">
        <f>IF(AND($AR$39="Early Payoff",I70&gt;=$R$13),0,IF($I70&lt;=$R$6,SUM($P$20:$P70),0))</f>
        <v>0</v>
      </c>
      <c r="S70" s="884">
        <f>IF(AND($AR$39="Early Payoff",I70&gt;=$R$13),0,IF($I70&lt;=$R$6,SUM($Q$20:$Q70),0))</f>
        <v>0</v>
      </c>
      <c r="T70" s="873">
        <f t="shared" si="12"/>
        <v>0</v>
      </c>
      <c r="U70" s="1110">
        <f t="shared" si="13"/>
        <v>0</v>
      </c>
      <c r="W70" s="1102">
        <f t="shared" si="5"/>
        <v>0</v>
      </c>
      <c r="X70" s="873">
        <f t="shared" si="6"/>
        <v>0</v>
      </c>
      <c r="Y70" s="873">
        <f t="shared" si="7"/>
        <v>0</v>
      </c>
      <c r="Z70" s="885">
        <f t="shared" si="8"/>
        <v>0</v>
      </c>
    </row>
    <row r="71" spans="1:26" s="278" customFormat="1" ht="12" customHeight="1" x14ac:dyDescent="0.25">
      <c r="A71" s="880"/>
      <c r="B71" s="1192">
        <f t="shared" si="19"/>
        <v>71</v>
      </c>
      <c r="C71" s="732">
        <f t="shared" si="0"/>
        <v>31</v>
      </c>
      <c r="D71" s="35">
        <f t="shared" si="1"/>
        <v>1</v>
      </c>
      <c r="E71" s="889">
        <f t="shared" si="26"/>
        <v>48244</v>
      </c>
      <c r="F71" s="822">
        <f t="shared" si="2"/>
        <v>1</v>
      </c>
      <c r="G71" s="126">
        <f t="shared" si="3"/>
        <v>0</v>
      </c>
      <c r="H71" s="1098">
        <f t="shared" si="27"/>
        <v>0</v>
      </c>
      <c r="I71" s="887">
        <f t="shared" si="20"/>
        <v>52</v>
      </c>
      <c r="J71" s="1099">
        <f t="shared" si="9"/>
        <v>52</v>
      </c>
      <c r="K71" s="891" t="str">
        <f t="shared" si="10"/>
        <v>January</v>
      </c>
      <c r="L71" s="888">
        <f t="shared" si="21"/>
        <v>2032</v>
      </c>
      <c r="M71" s="883">
        <f t="shared" si="22"/>
        <v>0</v>
      </c>
      <c r="N71" s="883">
        <f t="shared" si="11"/>
        <v>0</v>
      </c>
      <c r="O71" s="1100"/>
      <c r="P71" s="883">
        <f t="shared" si="4"/>
        <v>0</v>
      </c>
      <c r="Q71" s="884">
        <f t="shared" si="23"/>
        <v>0</v>
      </c>
      <c r="R71" s="884">
        <f>IF(AND($AR$39="Early Payoff",I71&gt;=$R$13),0,IF($I71&lt;=$R$6,SUM($P$20:$P71),0))</f>
        <v>0</v>
      </c>
      <c r="S71" s="884">
        <f>IF(AND($AR$39="Early Payoff",I71&gt;=$R$13),0,IF($I71&lt;=$R$6,SUM($Q$20:$Q71),0))</f>
        <v>0</v>
      </c>
      <c r="T71" s="873">
        <f t="shared" si="12"/>
        <v>0</v>
      </c>
      <c r="U71" s="1110">
        <f t="shared" si="13"/>
        <v>0</v>
      </c>
      <c r="W71" s="1102">
        <f t="shared" si="5"/>
        <v>0</v>
      </c>
      <c r="X71" s="873">
        <f t="shared" si="6"/>
        <v>0</v>
      </c>
      <c r="Y71" s="873">
        <f t="shared" si="7"/>
        <v>0</v>
      </c>
      <c r="Z71" s="885">
        <f t="shared" si="8"/>
        <v>0</v>
      </c>
    </row>
    <row r="72" spans="1:26" s="278" customFormat="1" ht="12" customHeight="1" x14ac:dyDescent="0.25">
      <c r="A72" s="299"/>
      <c r="B72" s="1192">
        <f t="shared" si="19"/>
        <v>72</v>
      </c>
      <c r="C72" s="732">
        <f t="shared" si="0"/>
        <v>29</v>
      </c>
      <c r="D72" s="35">
        <f t="shared" si="1"/>
        <v>2</v>
      </c>
      <c r="E72" s="889">
        <f t="shared" si="26"/>
        <v>48273</v>
      </c>
      <c r="F72" s="822">
        <f t="shared" si="2"/>
        <v>2</v>
      </c>
      <c r="G72" s="126">
        <f t="shared" si="3"/>
        <v>0</v>
      </c>
      <c r="H72" s="1098">
        <f t="shared" si="27"/>
        <v>0</v>
      </c>
      <c r="I72" s="887">
        <f t="shared" si="20"/>
        <v>53</v>
      </c>
      <c r="J72" s="1099">
        <f t="shared" si="9"/>
        <v>53</v>
      </c>
      <c r="K72" s="891" t="str">
        <f t="shared" si="10"/>
        <v>February</v>
      </c>
      <c r="L72" s="888">
        <f t="shared" si="21"/>
        <v>2032</v>
      </c>
      <c r="M72" s="883">
        <f t="shared" si="22"/>
        <v>0</v>
      </c>
      <c r="N72" s="883">
        <f t="shared" si="11"/>
        <v>0</v>
      </c>
      <c r="O72" s="1100"/>
      <c r="P72" s="883">
        <f t="shared" si="4"/>
        <v>0</v>
      </c>
      <c r="Q72" s="884">
        <f t="shared" si="23"/>
        <v>0</v>
      </c>
      <c r="R72" s="884">
        <f>IF(AND($AR$39="Early Payoff",I72&gt;=$R$13),0,IF($I72&lt;=$R$6,SUM($P$20:$P72),0))</f>
        <v>0</v>
      </c>
      <c r="S72" s="884">
        <f>IF(AND($AR$39="Early Payoff",I72&gt;=$R$13),0,IF($I72&lt;=$R$6,SUM($Q$20:$Q72),0))</f>
        <v>0</v>
      </c>
      <c r="T72" s="873">
        <f t="shared" si="12"/>
        <v>0</v>
      </c>
      <c r="U72" s="1110">
        <f t="shared" si="13"/>
        <v>0</v>
      </c>
      <c r="W72" s="1102">
        <f t="shared" si="5"/>
        <v>0</v>
      </c>
      <c r="X72" s="873">
        <f t="shared" si="6"/>
        <v>0</v>
      </c>
      <c r="Y72" s="873">
        <f t="shared" si="7"/>
        <v>0</v>
      </c>
      <c r="Z72" s="885">
        <f t="shared" si="8"/>
        <v>0</v>
      </c>
    </row>
    <row r="73" spans="1:26" s="278" customFormat="1" ht="12" customHeight="1" x14ac:dyDescent="0.25">
      <c r="A73" s="299"/>
      <c r="B73" s="1192">
        <f t="shared" si="19"/>
        <v>73</v>
      </c>
      <c r="C73" s="732">
        <f t="shared" si="0"/>
        <v>31</v>
      </c>
      <c r="D73" s="35">
        <f t="shared" si="1"/>
        <v>3</v>
      </c>
      <c r="E73" s="889">
        <f t="shared" si="26"/>
        <v>48304</v>
      </c>
      <c r="F73" s="822">
        <f t="shared" si="2"/>
        <v>3</v>
      </c>
      <c r="G73" s="126">
        <f t="shared" si="3"/>
        <v>0</v>
      </c>
      <c r="H73" s="1098">
        <f t="shared" si="27"/>
        <v>0</v>
      </c>
      <c r="I73" s="887">
        <f t="shared" si="20"/>
        <v>54</v>
      </c>
      <c r="J73" s="1099">
        <f t="shared" si="9"/>
        <v>54</v>
      </c>
      <c r="K73" s="891" t="str">
        <f t="shared" si="10"/>
        <v>March</v>
      </c>
      <c r="L73" s="888">
        <f t="shared" si="21"/>
        <v>2032</v>
      </c>
      <c r="M73" s="883">
        <f t="shared" si="22"/>
        <v>0</v>
      </c>
      <c r="N73" s="883">
        <f t="shared" si="11"/>
        <v>0</v>
      </c>
      <c r="O73" s="1100"/>
      <c r="P73" s="883">
        <f t="shared" si="4"/>
        <v>0</v>
      </c>
      <c r="Q73" s="884">
        <f t="shared" si="23"/>
        <v>0</v>
      </c>
      <c r="R73" s="884">
        <f>IF(AND($AR$39="Early Payoff",I73&gt;=$R$13),0,IF($I73&lt;=$R$6,SUM($P$20:$P73),0))</f>
        <v>0</v>
      </c>
      <c r="S73" s="884">
        <f>IF(AND($AR$39="Early Payoff",I73&gt;=$R$13),0,IF($I73&lt;=$R$6,SUM($Q$20:$Q73),0))</f>
        <v>0</v>
      </c>
      <c r="T73" s="873">
        <f t="shared" si="12"/>
        <v>0</v>
      </c>
      <c r="U73" s="1110">
        <f t="shared" si="13"/>
        <v>0</v>
      </c>
      <c r="W73" s="1102">
        <f t="shared" si="5"/>
        <v>0</v>
      </c>
      <c r="X73" s="873">
        <f t="shared" si="6"/>
        <v>0</v>
      </c>
      <c r="Y73" s="873">
        <f t="shared" si="7"/>
        <v>0</v>
      </c>
      <c r="Z73" s="885">
        <f t="shared" si="8"/>
        <v>0</v>
      </c>
    </row>
    <row r="74" spans="1:26" s="278" customFormat="1" ht="12" customHeight="1" x14ac:dyDescent="0.25">
      <c r="A74" s="299"/>
      <c r="B74" s="1192">
        <f t="shared" si="19"/>
        <v>74</v>
      </c>
      <c r="C74" s="732">
        <f t="shared" si="0"/>
        <v>30</v>
      </c>
      <c r="D74" s="35">
        <f t="shared" si="1"/>
        <v>4</v>
      </c>
      <c r="E74" s="889">
        <f t="shared" si="26"/>
        <v>48334</v>
      </c>
      <c r="F74" s="822">
        <f t="shared" si="2"/>
        <v>4</v>
      </c>
      <c r="G74" s="126">
        <f t="shared" si="3"/>
        <v>0</v>
      </c>
      <c r="H74" s="1098">
        <f t="shared" si="27"/>
        <v>0</v>
      </c>
      <c r="I74" s="887">
        <f t="shared" si="20"/>
        <v>55</v>
      </c>
      <c r="J74" s="1099">
        <f t="shared" si="9"/>
        <v>55</v>
      </c>
      <c r="K74" s="891" t="str">
        <f t="shared" si="10"/>
        <v>April</v>
      </c>
      <c r="L74" s="888">
        <f t="shared" si="21"/>
        <v>2032</v>
      </c>
      <c r="M74" s="883">
        <f t="shared" si="22"/>
        <v>0</v>
      </c>
      <c r="N74" s="883">
        <f t="shared" si="11"/>
        <v>0</v>
      </c>
      <c r="O74" s="1100"/>
      <c r="P74" s="883">
        <f t="shared" si="4"/>
        <v>0</v>
      </c>
      <c r="Q74" s="884">
        <f t="shared" si="23"/>
        <v>0</v>
      </c>
      <c r="R74" s="884">
        <f>IF(AND($AR$39="Early Payoff",I74&gt;=$R$13),0,IF($I74&lt;=$R$6,SUM($P$20:$P74),0))</f>
        <v>0</v>
      </c>
      <c r="S74" s="884">
        <f>IF(AND($AR$39="Early Payoff",I74&gt;=$R$13),0,IF($I74&lt;=$R$6,SUM($Q$20:$Q74),0))</f>
        <v>0</v>
      </c>
      <c r="T74" s="873">
        <f t="shared" si="12"/>
        <v>0</v>
      </c>
      <c r="U74" s="1110">
        <f t="shared" si="13"/>
        <v>0</v>
      </c>
      <c r="W74" s="1102">
        <f t="shared" si="5"/>
        <v>0</v>
      </c>
      <c r="X74" s="873">
        <f t="shared" si="6"/>
        <v>0</v>
      </c>
      <c r="Y74" s="873">
        <f t="shared" si="7"/>
        <v>0</v>
      </c>
      <c r="Z74" s="885">
        <f t="shared" si="8"/>
        <v>0</v>
      </c>
    </row>
    <row r="75" spans="1:26" s="278" customFormat="1" ht="12" customHeight="1" x14ac:dyDescent="0.25">
      <c r="B75" s="1192">
        <f t="shared" si="19"/>
        <v>75</v>
      </c>
      <c r="C75" s="732">
        <f t="shared" si="0"/>
        <v>31</v>
      </c>
      <c r="D75" s="35">
        <f t="shared" si="1"/>
        <v>5</v>
      </c>
      <c r="E75" s="889">
        <f t="shared" si="26"/>
        <v>48365</v>
      </c>
      <c r="F75" s="822">
        <f t="shared" si="2"/>
        <v>5</v>
      </c>
      <c r="G75" s="126">
        <f t="shared" si="3"/>
        <v>0</v>
      </c>
      <c r="H75" s="1098">
        <f t="shared" si="27"/>
        <v>0</v>
      </c>
      <c r="I75" s="887">
        <f t="shared" si="20"/>
        <v>56</v>
      </c>
      <c r="J75" s="1099">
        <f t="shared" si="9"/>
        <v>56</v>
      </c>
      <c r="K75" s="891" t="str">
        <f t="shared" si="10"/>
        <v>May</v>
      </c>
      <c r="L75" s="888">
        <f t="shared" si="21"/>
        <v>2032</v>
      </c>
      <c r="M75" s="883">
        <f t="shared" si="22"/>
        <v>0</v>
      </c>
      <c r="N75" s="883">
        <f t="shared" si="11"/>
        <v>0</v>
      </c>
      <c r="O75" s="1100"/>
      <c r="P75" s="883">
        <f t="shared" si="4"/>
        <v>0</v>
      </c>
      <c r="Q75" s="884">
        <f t="shared" si="23"/>
        <v>0</v>
      </c>
      <c r="R75" s="884">
        <f>IF(AND($AR$39="Early Payoff",I75&gt;=$R$13),0,IF($I75&lt;=$R$6,SUM($P$20:$P75),0))</f>
        <v>0</v>
      </c>
      <c r="S75" s="884">
        <f>IF(AND($AR$39="Early Payoff",I75&gt;=$R$13),0,IF($I75&lt;=$R$6,SUM($Q$20:$Q75),0))</f>
        <v>0</v>
      </c>
      <c r="T75" s="873">
        <f t="shared" si="12"/>
        <v>0</v>
      </c>
      <c r="U75" s="1110">
        <f t="shared" si="13"/>
        <v>0</v>
      </c>
      <c r="W75" s="1102">
        <f t="shared" si="5"/>
        <v>0</v>
      </c>
      <c r="X75" s="873">
        <f t="shared" si="6"/>
        <v>0</v>
      </c>
      <c r="Y75" s="873">
        <f t="shared" si="7"/>
        <v>0</v>
      </c>
      <c r="Z75" s="885">
        <f t="shared" si="8"/>
        <v>0</v>
      </c>
    </row>
    <row r="76" spans="1:26" s="278" customFormat="1" ht="12" customHeight="1" x14ac:dyDescent="0.25">
      <c r="B76" s="1192">
        <f t="shared" si="19"/>
        <v>76</v>
      </c>
      <c r="C76" s="732">
        <f t="shared" si="0"/>
        <v>30</v>
      </c>
      <c r="D76" s="35">
        <f t="shared" si="1"/>
        <v>6</v>
      </c>
      <c r="E76" s="889">
        <f t="shared" si="26"/>
        <v>48395</v>
      </c>
      <c r="F76" s="822">
        <f t="shared" si="2"/>
        <v>6</v>
      </c>
      <c r="G76" s="126">
        <f t="shared" si="3"/>
        <v>0</v>
      </c>
      <c r="H76" s="1098">
        <f t="shared" si="27"/>
        <v>0</v>
      </c>
      <c r="I76" s="887">
        <f t="shared" si="20"/>
        <v>57</v>
      </c>
      <c r="J76" s="1099">
        <f t="shared" si="9"/>
        <v>57</v>
      </c>
      <c r="K76" s="891" t="str">
        <f t="shared" si="10"/>
        <v>June</v>
      </c>
      <c r="L76" s="888">
        <f t="shared" si="21"/>
        <v>2032</v>
      </c>
      <c r="M76" s="883">
        <f t="shared" si="22"/>
        <v>0</v>
      </c>
      <c r="N76" s="883">
        <f t="shared" si="11"/>
        <v>0</v>
      </c>
      <c r="O76" s="1100"/>
      <c r="P76" s="883">
        <f t="shared" si="4"/>
        <v>0</v>
      </c>
      <c r="Q76" s="884">
        <f t="shared" si="23"/>
        <v>0</v>
      </c>
      <c r="R76" s="884">
        <f>IF(AND($AR$39="Early Payoff",I76&gt;=$R$13),0,IF($I76&lt;=$R$6,SUM($P$20:$P76),0))</f>
        <v>0</v>
      </c>
      <c r="S76" s="884">
        <f>IF(AND($AR$39="Early Payoff",I76&gt;=$R$13),0,IF($I76&lt;=$R$6,SUM($Q$20:$Q76),0))</f>
        <v>0</v>
      </c>
      <c r="T76" s="873">
        <f t="shared" si="12"/>
        <v>0</v>
      </c>
      <c r="U76" s="1110">
        <f t="shared" si="13"/>
        <v>0</v>
      </c>
      <c r="W76" s="1102">
        <f t="shared" si="5"/>
        <v>0</v>
      </c>
      <c r="X76" s="873">
        <f t="shared" si="6"/>
        <v>0</v>
      </c>
      <c r="Y76" s="873">
        <f t="shared" si="7"/>
        <v>0</v>
      </c>
      <c r="Z76" s="885">
        <f t="shared" si="8"/>
        <v>0</v>
      </c>
    </row>
    <row r="77" spans="1:26" s="278" customFormat="1" ht="12" customHeight="1" x14ac:dyDescent="0.25">
      <c r="B77" s="1192">
        <f t="shared" si="19"/>
        <v>77</v>
      </c>
      <c r="C77" s="732">
        <f t="shared" si="0"/>
        <v>31</v>
      </c>
      <c r="D77" s="35">
        <f t="shared" si="1"/>
        <v>7</v>
      </c>
      <c r="E77" s="889">
        <f t="shared" si="26"/>
        <v>48426</v>
      </c>
      <c r="F77" s="822">
        <f t="shared" si="2"/>
        <v>7</v>
      </c>
      <c r="G77" s="126">
        <f t="shared" si="3"/>
        <v>0</v>
      </c>
      <c r="H77" s="1098">
        <f t="shared" si="27"/>
        <v>0</v>
      </c>
      <c r="I77" s="887">
        <f t="shared" si="20"/>
        <v>58</v>
      </c>
      <c r="J77" s="1099">
        <f t="shared" si="9"/>
        <v>58</v>
      </c>
      <c r="K77" s="891" t="str">
        <f t="shared" si="10"/>
        <v>July</v>
      </c>
      <c r="L77" s="888">
        <f t="shared" si="21"/>
        <v>2032</v>
      </c>
      <c r="M77" s="883">
        <f t="shared" si="22"/>
        <v>0</v>
      </c>
      <c r="N77" s="883">
        <f t="shared" si="11"/>
        <v>0</v>
      </c>
      <c r="O77" s="1100"/>
      <c r="P77" s="883">
        <f t="shared" si="4"/>
        <v>0</v>
      </c>
      <c r="Q77" s="884">
        <f t="shared" si="23"/>
        <v>0</v>
      </c>
      <c r="R77" s="884">
        <f>IF(AND($AR$39="Early Payoff",I77&gt;=$R$13),0,IF($I77&lt;=$R$6,SUM($P$20:$P77),0))</f>
        <v>0</v>
      </c>
      <c r="S77" s="884">
        <f>IF(AND($AR$39="Early Payoff",I77&gt;=$R$13),0,IF($I77&lt;=$R$6,SUM($Q$20:$Q77),0))</f>
        <v>0</v>
      </c>
      <c r="T77" s="873">
        <f t="shared" si="12"/>
        <v>0</v>
      </c>
      <c r="U77" s="1110">
        <f t="shared" si="13"/>
        <v>0</v>
      </c>
      <c r="W77" s="1102">
        <f t="shared" si="5"/>
        <v>0</v>
      </c>
      <c r="X77" s="873">
        <f t="shared" si="6"/>
        <v>0</v>
      </c>
      <c r="Y77" s="873">
        <f t="shared" si="7"/>
        <v>0</v>
      </c>
      <c r="Z77" s="885">
        <f t="shared" si="8"/>
        <v>0</v>
      </c>
    </row>
    <row r="78" spans="1:26" s="278" customFormat="1" ht="12" customHeight="1" x14ac:dyDescent="0.25">
      <c r="B78" s="1192">
        <f t="shared" si="19"/>
        <v>78</v>
      </c>
      <c r="C78" s="732">
        <f t="shared" si="0"/>
        <v>31</v>
      </c>
      <c r="D78" s="35">
        <f t="shared" si="1"/>
        <v>8</v>
      </c>
      <c r="E78" s="889">
        <f t="shared" si="26"/>
        <v>48457</v>
      </c>
      <c r="F78" s="822">
        <f t="shared" si="2"/>
        <v>8</v>
      </c>
      <c r="G78" s="126">
        <f t="shared" si="3"/>
        <v>0</v>
      </c>
      <c r="H78" s="1098">
        <f t="shared" si="27"/>
        <v>0</v>
      </c>
      <c r="I78" s="887">
        <f t="shared" si="20"/>
        <v>59</v>
      </c>
      <c r="J78" s="1099">
        <f t="shared" si="9"/>
        <v>59</v>
      </c>
      <c r="K78" s="891" t="str">
        <f t="shared" si="10"/>
        <v>August</v>
      </c>
      <c r="L78" s="888">
        <f t="shared" si="21"/>
        <v>2032</v>
      </c>
      <c r="M78" s="883">
        <f t="shared" si="22"/>
        <v>0</v>
      </c>
      <c r="N78" s="883">
        <f t="shared" si="11"/>
        <v>0</v>
      </c>
      <c r="O78" s="1100"/>
      <c r="P78" s="883">
        <f t="shared" si="4"/>
        <v>0</v>
      </c>
      <c r="Q78" s="884">
        <f t="shared" si="23"/>
        <v>0</v>
      </c>
      <c r="R78" s="884">
        <f>IF(AND($AR$39="Early Payoff",I78&gt;=$R$13),0,IF($I78&lt;=$R$6,SUM($P$20:$P78),0))</f>
        <v>0</v>
      </c>
      <c r="S78" s="884">
        <f>IF(AND($AR$39="Early Payoff",I78&gt;=$R$13),0,IF($I78&lt;=$R$6,SUM($Q$20:$Q78),0))</f>
        <v>0</v>
      </c>
      <c r="T78" s="873">
        <f t="shared" si="12"/>
        <v>0</v>
      </c>
      <c r="U78" s="1110">
        <f t="shared" si="13"/>
        <v>0</v>
      </c>
      <c r="W78" s="1102">
        <f t="shared" si="5"/>
        <v>0</v>
      </c>
      <c r="X78" s="873">
        <f t="shared" si="6"/>
        <v>0</v>
      </c>
      <c r="Y78" s="873">
        <f t="shared" si="7"/>
        <v>0</v>
      </c>
      <c r="Z78" s="885">
        <f t="shared" si="8"/>
        <v>0</v>
      </c>
    </row>
    <row r="79" spans="1:26" s="278" customFormat="1" ht="12" customHeight="1" x14ac:dyDescent="0.25">
      <c r="B79" s="1192">
        <f t="shared" si="19"/>
        <v>79</v>
      </c>
      <c r="C79" s="732">
        <f t="shared" si="0"/>
        <v>30</v>
      </c>
      <c r="D79" s="35">
        <f t="shared" si="1"/>
        <v>9</v>
      </c>
      <c r="E79" s="889">
        <f t="shared" si="26"/>
        <v>48487</v>
      </c>
      <c r="F79" s="822">
        <f t="shared" si="2"/>
        <v>9</v>
      </c>
      <c r="G79" s="126">
        <f t="shared" si="3"/>
        <v>0</v>
      </c>
      <c r="H79" s="1098">
        <f t="shared" si="27"/>
        <v>0</v>
      </c>
      <c r="I79" s="887">
        <f t="shared" si="20"/>
        <v>60</v>
      </c>
      <c r="J79" s="1099">
        <f t="shared" si="9"/>
        <v>60</v>
      </c>
      <c r="K79" s="891" t="str">
        <f t="shared" si="10"/>
        <v>September</v>
      </c>
      <c r="L79" s="888">
        <f t="shared" si="21"/>
        <v>2032</v>
      </c>
      <c r="M79" s="883">
        <f t="shared" si="22"/>
        <v>0</v>
      </c>
      <c r="N79" s="883">
        <f t="shared" si="11"/>
        <v>0</v>
      </c>
      <c r="O79" s="1100"/>
      <c r="P79" s="883">
        <f t="shared" si="4"/>
        <v>0</v>
      </c>
      <c r="Q79" s="884">
        <f t="shared" si="23"/>
        <v>0</v>
      </c>
      <c r="R79" s="884">
        <f>IF(AND($AR$39="Early Payoff",I79&gt;=$R$13),0,IF($I79&lt;=$R$6,SUM($P$20:$P79),0))</f>
        <v>0</v>
      </c>
      <c r="S79" s="884">
        <f>IF(AND($AR$39="Early Payoff",I79&gt;=$R$13),0,IF($I79&lt;=$R$6,SUM($Q$20:$Q79),0))</f>
        <v>0</v>
      </c>
      <c r="T79" s="873">
        <f t="shared" si="12"/>
        <v>0</v>
      </c>
      <c r="U79" s="1110">
        <f t="shared" si="13"/>
        <v>0</v>
      </c>
      <c r="W79" s="1102">
        <f t="shared" si="5"/>
        <v>0</v>
      </c>
      <c r="X79" s="873">
        <f t="shared" si="6"/>
        <v>0</v>
      </c>
      <c r="Y79" s="873">
        <f t="shared" si="7"/>
        <v>0</v>
      </c>
      <c r="Z79" s="885">
        <f t="shared" si="8"/>
        <v>0</v>
      </c>
    </row>
    <row r="80" spans="1:26" s="278" customFormat="1" ht="12" customHeight="1" x14ac:dyDescent="0.25">
      <c r="B80" s="1192">
        <f t="shared" si="19"/>
        <v>80</v>
      </c>
      <c r="C80" s="732">
        <f t="shared" si="0"/>
        <v>31</v>
      </c>
      <c r="D80" s="35">
        <f t="shared" si="1"/>
        <v>10</v>
      </c>
      <c r="E80" s="889">
        <f t="shared" si="26"/>
        <v>48518</v>
      </c>
      <c r="F80" s="822">
        <f t="shared" si="2"/>
        <v>10</v>
      </c>
      <c r="G80" s="126">
        <f t="shared" si="3"/>
        <v>0</v>
      </c>
      <c r="H80" s="1098">
        <f t="shared" si="27"/>
        <v>0</v>
      </c>
      <c r="I80" s="887">
        <f t="shared" si="20"/>
        <v>61</v>
      </c>
      <c r="J80" s="1099">
        <f t="shared" si="9"/>
        <v>61</v>
      </c>
      <c r="K80" s="891" t="str">
        <f t="shared" si="10"/>
        <v>October</v>
      </c>
      <c r="L80" s="888">
        <f t="shared" si="21"/>
        <v>2032</v>
      </c>
      <c r="M80" s="883">
        <f t="shared" si="22"/>
        <v>0</v>
      </c>
      <c r="N80" s="883">
        <f t="shared" si="11"/>
        <v>0</v>
      </c>
      <c r="O80" s="1100"/>
      <c r="P80" s="883">
        <f t="shared" si="4"/>
        <v>0</v>
      </c>
      <c r="Q80" s="884">
        <f t="shared" si="23"/>
        <v>0</v>
      </c>
      <c r="R80" s="884">
        <f>IF(AND($AR$39="Early Payoff",I80&gt;=$R$13),0,IF($I80&lt;=$R$6,SUM($P$20:$P80),0))</f>
        <v>0</v>
      </c>
      <c r="S80" s="884">
        <f>IF(AND($AR$39="Early Payoff",I80&gt;=$R$13),0,IF($I80&lt;=$R$6,SUM($Q$20:$Q80),0))</f>
        <v>0</v>
      </c>
      <c r="T80" s="873">
        <f t="shared" si="12"/>
        <v>0</v>
      </c>
      <c r="U80" s="1110">
        <f t="shared" si="13"/>
        <v>0</v>
      </c>
      <c r="W80" s="1102">
        <f t="shared" si="5"/>
        <v>0</v>
      </c>
      <c r="X80" s="873">
        <f t="shared" si="6"/>
        <v>0</v>
      </c>
      <c r="Y80" s="873">
        <f t="shared" si="7"/>
        <v>0</v>
      </c>
      <c r="Z80" s="885">
        <f t="shared" si="8"/>
        <v>0</v>
      </c>
    </row>
    <row r="81" spans="2:26" s="278" customFormat="1" ht="12" customHeight="1" x14ac:dyDescent="0.25">
      <c r="B81" s="1192">
        <f t="shared" si="19"/>
        <v>81</v>
      </c>
      <c r="C81" s="732">
        <f t="shared" si="0"/>
        <v>30</v>
      </c>
      <c r="D81" s="35">
        <f t="shared" si="1"/>
        <v>11</v>
      </c>
      <c r="E81" s="889">
        <f t="shared" si="26"/>
        <v>48548</v>
      </c>
      <c r="F81" s="822">
        <f t="shared" si="2"/>
        <v>11</v>
      </c>
      <c r="G81" s="126">
        <f t="shared" si="3"/>
        <v>0</v>
      </c>
      <c r="H81" s="1098">
        <f t="shared" si="27"/>
        <v>0</v>
      </c>
      <c r="I81" s="887">
        <f t="shared" si="20"/>
        <v>62</v>
      </c>
      <c r="J81" s="1099">
        <f t="shared" si="9"/>
        <v>62</v>
      </c>
      <c r="K81" s="891" t="str">
        <f t="shared" si="10"/>
        <v>November</v>
      </c>
      <c r="L81" s="888">
        <f t="shared" si="21"/>
        <v>2032</v>
      </c>
      <c r="M81" s="883">
        <f t="shared" si="22"/>
        <v>0</v>
      </c>
      <c r="N81" s="883">
        <f t="shared" si="11"/>
        <v>0</v>
      </c>
      <c r="O81" s="1100"/>
      <c r="P81" s="883">
        <f t="shared" si="4"/>
        <v>0</v>
      </c>
      <c r="Q81" s="884">
        <f t="shared" si="23"/>
        <v>0</v>
      </c>
      <c r="R81" s="884">
        <f>IF(AND($AR$39="Early Payoff",I81&gt;=$R$13),0,IF($I81&lt;=$R$6,SUM($P$20:$P81),0))</f>
        <v>0</v>
      </c>
      <c r="S81" s="884">
        <f>IF(AND($AR$39="Early Payoff",I81&gt;=$R$13),0,IF($I81&lt;=$R$6,SUM($Q$20:$Q81),0))</f>
        <v>0</v>
      </c>
      <c r="T81" s="873">
        <f t="shared" si="12"/>
        <v>0</v>
      </c>
      <c r="U81" s="1110">
        <f t="shared" si="13"/>
        <v>0</v>
      </c>
      <c r="W81" s="1102">
        <f t="shared" si="5"/>
        <v>0</v>
      </c>
      <c r="X81" s="873">
        <f t="shared" si="6"/>
        <v>0</v>
      </c>
      <c r="Y81" s="873">
        <f t="shared" si="7"/>
        <v>0</v>
      </c>
      <c r="Z81" s="885">
        <f t="shared" si="8"/>
        <v>0</v>
      </c>
    </row>
    <row r="82" spans="2:26" s="278" customFormat="1" ht="12" customHeight="1" x14ac:dyDescent="0.25">
      <c r="B82" s="1192">
        <f t="shared" si="19"/>
        <v>82</v>
      </c>
      <c r="C82" s="732">
        <f t="shared" si="0"/>
        <v>31</v>
      </c>
      <c r="D82" s="35">
        <f t="shared" si="1"/>
        <v>12</v>
      </c>
      <c r="E82" s="889">
        <f t="shared" si="26"/>
        <v>48579</v>
      </c>
      <c r="F82" s="822">
        <f t="shared" si="2"/>
        <v>12</v>
      </c>
      <c r="G82" s="126">
        <f t="shared" si="3"/>
        <v>1</v>
      </c>
      <c r="H82" s="1098">
        <f t="shared" si="27"/>
        <v>0</v>
      </c>
      <c r="I82" s="887">
        <f t="shared" si="20"/>
        <v>63</v>
      </c>
      <c r="J82" s="1099">
        <f t="shared" si="9"/>
        <v>63</v>
      </c>
      <c r="K82" s="891" t="str">
        <f t="shared" si="10"/>
        <v>December</v>
      </c>
      <c r="L82" s="888">
        <f t="shared" si="21"/>
        <v>2032</v>
      </c>
      <c r="M82" s="883">
        <f t="shared" si="22"/>
        <v>0</v>
      </c>
      <c r="N82" s="883">
        <f t="shared" si="11"/>
        <v>0</v>
      </c>
      <c r="O82" s="1100"/>
      <c r="P82" s="883">
        <f t="shared" si="4"/>
        <v>0</v>
      </c>
      <c r="Q82" s="884">
        <f t="shared" si="23"/>
        <v>0</v>
      </c>
      <c r="R82" s="884">
        <f>IF(AND($AR$39="Early Payoff",I82&gt;=$R$13),0,IF($I82&lt;=$R$6,SUM($P$20:$P82),0))</f>
        <v>0</v>
      </c>
      <c r="S82" s="884">
        <f>IF(AND($AR$39="Early Payoff",I82&gt;=$R$13),0,IF($I82&lt;=$R$6,SUM($Q$20:$Q82),0))</f>
        <v>0</v>
      </c>
      <c r="T82" s="873">
        <f t="shared" si="12"/>
        <v>0</v>
      </c>
      <c r="U82" s="1110">
        <f t="shared" si="13"/>
        <v>0</v>
      </c>
      <c r="W82" s="1102">
        <f t="shared" si="5"/>
        <v>0</v>
      </c>
      <c r="X82" s="873">
        <f t="shared" si="6"/>
        <v>0</v>
      </c>
      <c r="Y82" s="873">
        <f t="shared" si="7"/>
        <v>0</v>
      </c>
      <c r="Z82" s="885">
        <f t="shared" si="8"/>
        <v>0</v>
      </c>
    </row>
    <row r="83" spans="2:26" s="278" customFormat="1" ht="12" customHeight="1" x14ac:dyDescent="0.25">
      <c r="B83" s="1192">
        <f t="shared" si="19"/>
        <v>83</v>
      </c>
      <c r="C83" s="732">
        <f t="shared" si="0"/>
        <v>31</v>
      </c>
      <c r="D83" s="35">
        <f t="shared" si="1"/>
        <v>1</v>
      </c>
      <c r="E83" s="889">
        <f t="shared" si="26"/>
        <v>48610</v>
      </c>
      <c r="F83" s="822">
        <f t="shared" si="2"/>
        <v>1</v>
      </c>
      <c r="G83" s="126">
        <f t="shared" si="3"/>
        <v>0</v>
      </c>
      <c r="H83" s="1098">
        <f t="shared" si="27"/>
        <v>0</v>
      </c>
      <c r="I83" s="887">
        <f t="shared" si="20"/>
        <v>64</v>
      </c>
      <c r="J83" s="1099">
        <f t="shared" si="9"/>
        <v>64</v>
      </c>
      <c r="K83" s="891" t="str">
        <f t="shared" si="10"/>
        <v>January</v>
      </c>
      <c r="L83" s="888">
        <f t="shared" si="21"/>
        <v>2033</v>
      </c>
      <c r="M83" s="883">
        <f t="shared" si="22"/>
        <v>0</v>
      </c>
      <c r="N83" s="883">
        <f t="shared" si="11"/>
        <v>0</v>
      </c>
      <c r="O83" s="1100"/>
      <c r="P83" s="883">
        <f t="shared" si="4"/>
        <v>0</v>
      </c>
      <c r="Q83" s="884">
        <f t="shared" si="23"/>
        <v>0</v>
      </c>
      <c r="R83" s="884">
        <f>IF(AND($AR$39="Early Payoff",I83&gt;=$R$13),0,IF($I83&lt;=$R$6,SUM($P$20:$P83),0))</f>
        <v>0</v>
      </c>
      <c r="S83" s="884">
        <f>IF(AND($AR$39="Early Payoff",I83&gt;=$R$13),0,IF($I83&lt;=$R$6,SUM($Q$20:$Q83),0))</f>
        <v>0</v>
      </c>
      <c r="T83" s="873">
        <f t="shared" si="12"/>
        <v>0</v>
      </c>
      <c r="U83" s="1110">
        <f t="shared" si="13"/>
        <v>0</v>
      </c>
      <c r="W83" s="1102">
        <f t="shared" si="5"/>
        <v>0</v>
      </c>
      <c r="X83" s="873">
        <f t="shared" si="6"/>
        <v>0</v>
      </c>
      <c r="Y83" s="873">
        <f t="shared" si="7"/>
        <v>0</v>
      </c>
      <c r="Z83" s="885">
        <f t="shared" si="8"/>
        <v>0</v>
      </c>
    </row>
    <row r="84" spans="2:26" s="278" customFormat="1" ht="12" customHeight="1" x14ac:dyDescent="0.25">
      <c r="B84" s="1192">
        <f t="shared" si="19"/>
        <v>84</v>
      </c>
      <c r="C84" s="732">
        <f t="shared" ref="C84:C147" si="32">DAY(EOMONTH(DATE($L84,$D84,1),0))</f>
        <v>28</v>
      </c>
      <c r="D84" s="35">
        <f t="shared" ref="D84:D147" si="33">INDEX($AS$22:$AT$34,MATCH($K84,$AS$22:$AS$34,0),MATCH("Number",$AS$22:$AT$22,0))</f>
        <v>2</v>
      </c>
      <c r="E84" s="889">
        <f t="shared" si="26"/>
        <v>48638</v>
      </c>
      <c r="F84" s="822">
        <f t="shared" ref="F84:F147" si="34">INDEX($AS$22:$AT$34,MATCH($K84,$AS$22:$AS$34,0),MATCH("Number",$AS$22:$AT$22,0))</f>
        <v>2</v>
      </c>
      <c r="G84" s="126">
        <f t="shared" ref="G84:G147" si="35">IF($S$4="Monthly",INDEX($AS$36:$AT$48,MATCH($K84,$AS$36:$AS$48,0),MATCH("Number",$AS$36:$AT$36,0)),0)</f>
        <v>0</v>
      </c>
      <c r="H84" s="1098">
        <f t="shared" si="27"/>
        <v>0</v>
      </c>
      <c r="I84" s="887">
        <f t="shared" si="20"/>
        <v>65</v>
      </c>
      <c r="J84" s="1099">
        <f t="shared" si="9"/>
        <v>65</v>
      </c>
      <c r="K84" s="891" t="str">
        <f t="shared" si="10"/>
        <v>February</v>
      </c>
      <c r="L84" s="888">
        <f t="shared" si="21"/>
        <v>2033</v>
      </c>
      <c r="M84" s="883">
        <f t="shared" si="22"/>
        <v>0</v>
      </c>
      <c r="N84" s="883">
        <f t="shared" si="11"/>
        <v>0</v>
      </c>
      <c r="O84" s="1100"/>
      <c r="P84" s="883">
        <f t="shared" ref="P84:P147" si="36">IF(AND($AR$39="Early Payoff",I84&gt;=$R$13),0,IF($I84&gt;$R$6,0,IF(AND($AQ$29&gt;0,$I84&lt;=$AQ$29),0,+$N84-$Q84)))</f>
        <v>0</v>
      </c>
      <c r="Q84" s="884">
        <f t="shared" si="23"/>
        <v>0</v>
      </c>
      <c r="R84" s="884">
        <f>IF(AND($AR$39="Early Payoff",I84&gt;=$R$13),0,IF($I84&lt;=$R$6,SUM($P$20:$P84),0))</f>
        <v>0</v>
      </c>
      <c r="S84" s="884">
        <f>IF(AND($AR$39="Early Payoff",I84&gt;=$R$13),0,IF($I84&lt;=$R$6,SUM($Q$20:$Q84),0))</f>
        <v>0</v>
      </c>
      <c r="T84" s="873">
        <f t="shared" si="12"/>
        <v>0</v>
      </c>
      <c r="U84" s="1110">
        <f t="shared" si="13"/>
        <v>0</v>
      </c>
      <c r="W84" s="1102">
        <f t="shared" ref="W84:W147" si="37">IF($I84&gt;$R$6,0,IF($I84&lt;=$AQ$27,0,IF(AND($X$5="%/Payment",$Z$5=0),$N84*$Y$5,IF(AND($X$5="%/Payment",$Z$5&gt;0,($N84*$Y$5)&lt;$Z$5),$N84*$Y$5,IF(AND($X$5="%/Payment",$Z$5&gt;0,($N84*$Y$5)&gt;$Z$5),-$Z$5,IF(AND($X$5="%/Balance",$Z$5=0),-$T84*$Y$5,IF(AND($X$5="%/Balance",$Z$5&gt;0,($T84*$Y$5)&lt;$Z$5),-$T84*$Y$5,IF(AND($X$5="%/Balance",$Z$5&gt;0,($T84*$Y$5)&gt;$Z$5),-$Z$5,IF($X$5="Fixed Amount",-$Y$5,IF($X$5="N/A",0))))))))))</f>
        <v>0</v>
      </c>
      <c r="X84" s="873">
        <f t="shared" ref="X84:X147" si="38">IF($I84&gt;$R$6,0,IF($I84&lt;=$AQ$27,0,IF(AND($X$6="%/Payment",$Z$6=0),$N84*$Y$6,IF(AND($X$6="%/Payment",$Z$6&gt;0,($N84*$Y$6)&lt;$Z$6),$N84*$Y$6,IF(AND($X$6="%/Payment",$Z$6&gt;0,($N84*$Y$6)&gt;$Z$6),-$Z$6,IF(AND($X$6="%/Balance",$Z$6=0),-$T84*$Y$6,IF(AND($X$6="%/Balance",$Z$6&gt;0,($T84*$Y$6)&lt;$Z$6),-$T84*$Y$6,IF(AND($X$6="%/Balance",$Z$6&gt;0,($T84*$Y$6)&gt;$Z$6),-$Z$6,IF($X$6="Fixed Amount",-$Y$6,IF($X$6="N/A",0))))))))))</f>
        <v>0</v>
      </c>
      <c r="Y84" s="873">
        <f t="shared" ref="Y84:Y147" si="39">IF($I84&gt;$R$6,0,IF($I84&lt;=$AQ$27,0,IF(AND($X$7="%/Payment",$Z$7=0),$N84*$Y$7,IF(AND($X$7="%/Payment",$Z$7&gt;0,($N84*$Y$7)&lt;$Z$7),$N84*$Y$7,IF(AND($X$7="%/Payment",$Z$7&gt;0,($N84*$Y$7)&gt;$Z$7),-$Z$7,IF(AND($X$7="%/Balance",$Z$7=0),-$T84*$Y$7,IF(AND($X$7="%/Balance",$Z$7&gt;0,($T84*$Y$7)&lt;$Z$7),-$T84*$Y$7,IF(AND($X$7="%/Balance",$Z$7&gt;0,($N84*$Y$7)&gt;$Z$7),-$Z$7,IF($X$7="Fixed Amount",-$Y$7,IF($X$7="N/A",0))))))))))</f>
        <v>0</v>
      </c>
      <c r="Z84" s="885">
        <f t="shared" ref="Z84:Z147" si="40">SUM($N84,$W84:$Y84)</f>
        <v>0</v>
      </c>
    </row>
    <row r="85" spans="2:26" s="278" customFormat="1" ht="12" customHeight="1" x14ac:dyDescent="0.25">
      <c r="B85" s="1192">
        <f t="shared" si="19"/>
        <v>85</v>
      </c>
      <c r="C85" s="732">
        <f t="shared" si="32"/>
        <v>31</v>
      </c>
      <c r="D85" s="35">
        <f t="shared" si="33"/>
        <v>3</v>
      </c>
      <c r="E85" s="889">
        <f t="shared" si="26"/>
        <v>48669</v>
      </c>
      <c r="F85" s="822">
        <f t="shared" si="34"/>
        <v>3</v>
      </c>
      <c r="G85" s="126">
        <f t="shared" si="35"/>
        <v>0</v>
      </c>
      <c r="H85" s="1098">
        <f t="shared" si="27"/>
        <v>0</v>
      </c>
      <c r="I85" s="887">
        <f t="shared" si="20"/>
        <v>66</v>
      </c>
      <c r="J85" s="1099">
        <f t="shared" ref="J85:J148" si="41">IF($I85&lt;=$AQ$29,0,IF($I84&gt;=$AQ$29,$J84+1))</f>
        <v>66</v>
      </c>
      <c r="K85" s="891" t="str">
        <f t="shared" ref="K85:K148" si="42">IF($S$4="Annual",$Q$5,IF(AND($S$4="Bi-Annual",$F84&lt;MAX($Q$4,$R$4)),INDEX($AT$22:$AU$34,MATCH(MAX($Q$4,$R$4),$AT$22:$AT$34,0),MATCH("Month",$AT$22:$AU$22,0)),IF(AND($S$4="Bi-Annual",$F84=MAX($Q$4,$R$4)),INDEX($AT$22:$AU$34,MATCH(MIN($Q$4,$R$4),$AT$22:$AT$34,0),MATCH("Month",$AT$22:$AU$22,0)),IF(AND($S$4="Monthly",$F84&lt;12),INDEX($AT$22:$AU$34,MATCH($F84+1,$AT$22:$AT$34,0),MATCH("Month",$AT$22:$AU$22,0)),IF(AND($S$4="Monthly",$F84=12),INDEX($AT$22:$AU$34,MATCH($F84-11,$AT$22:$AT$34,0),MATCH("Month",$AT$22:$AU$22,0)))))))</f>
        <v>March</v>
      </c>
      <c r="L85" s="888">
        <f t="shared" si="21"/>
        <v>2033</v>
      </c>
      <c r="M85" s="883">
        <f t="shared" ref="M85:M148" si="43">IF(AND($AR$39="Early Payoff",$I85&gt;$R$13),0,IF(AND($AR$39="Early Payoff",$I85&lt;$R$13),$T84,IF($I85&gt;$R$6,0,$T84)))</f>
        <v>0</v>
      </c>
      <c r="N85" s="883">
        <f t="shared" ref="N85:N148" si="44">IF(AND($AR$39="Early Payoff",I85&gt;=$R$13),0,IF($I85&gt;$R$6,0,IF(AND($AQ$29&gt;=0,$I85&lt;=$AQ$29),0,IF(AND($AQ$27&gt;=0,$I85&lt;=$AQ$27),$Q85,IF(AND($S$4="Annual",$AQ$27&gt;=0,$AQ$29&gt;=0,$I85&gt;$AQ$27,$I85&gt;$AQ$29),PMT($L$7,($R$6-$AQ$27),$L$4),IF(AND($S$4="Bi-Annual",$AQ$27&gt;=0,$AQ$29&gt;=0,$I85&gt;$AQ$27,$I85&gt;$AQ$29),PMT($L$7/2,($R$6-$AQ$27),$L$4),IF(AND($S$4="Monthly",$AQ$27&gt;=0,$AQ$29&gt;=0,$I85&gt;$AQ$27,$I85&gt;$AQ$29),PMT($L$7/12,($R$6-$AQ$27),$L$4))))))))-O85</f>
        <v>0</v>
      </c>
      <c r="O85" s="1100"/>
      <c r="P85" s="883">
        <f t="shared" si="36"/>
        <v>0</v>
      </c>
      <c r="Q85" s="884">
        <f t="shared" ref="Q85:Q148" si="45">IF(AND($AR$39="Early Payoff",I85&gt;=$R$13),0,IF($S$4="Annual",-$L$7*$T84*1,IF($S$4="Bi-Annual",(-$L$7/2)*$T84*1,IF($S$4="Monthly",(-$L$7/12)*$T84*1))))</f>
        <v>0</v>
      </c>
      <c r="R85" s="884">
        <f>IF(AND($AR$39="Early Payoff",I85&gt;=$R$13),0,IF($I85&lt;=$R$6,SUM($P$20:$P85),0))</f>
        <v>0</v>
      </c>
      <c r="S85" s="884">
        <f>IF(AND($AR$39="Early Payoff",I85&gt;=$R$13),0,IF($I85&lt;=$R$6,SUM($Q$20:$Q85),0))</f>
        <v>0</v>
      </c>
      <c r="T85" s="873">
        <f t="shared" ref="T85:T148" si="46">IF($J85&lt;=$R$13,SUM($M85,$P85),0)</f>
        <v>0</v>
      </c>
      <c r="U85" s="1110">
        <f t="shared" ref="U85:U148" si="47">IF($S$4="Monthly",$M85,IF(AND(OR($S$4="Annual",$S$4="Bi-Annual"),$I85=$AQ$49),INDEX($I$19:$T$379,MATCH($AQ$49,$I$19:$I$2379,0),MATCH($T$19,$I$19:$T$19,0)),IF(AND(OR($S$4="Annual",$S$4="Bi-Annual"),$I85&lt;=$AQ$49),$M85,0)))</f>
        <v>0</v>
      </c>
      <c r="W85" s="1102">
        <f t="shared" si="37"/>
        <v>0</v>
      </c>
      <c r="X85" s="873">
        <f t="shared" si="38"/>
        <v>0</v>
      </c>
      <c r="Y85" s="873">
        <f t="shared" si="39"/>
        <v>0</v>
      </c>
      <c r="Z85" s="885">
        <f t="shared" si="40"/>
        <v>0</v>
      </c>
    </row>
    <row r="86" spans="2:26" s="278" customFormat="1" ht="12" customHeight="1" x14ac:dyDescent="0.25">
      <c r="B86" s="1192">
        <f t="shared" ref="B86:B149" si="48">B85+1</f>
        <v>86</v>
      </c>
      <c r="C86" s="732">
        <f t="shared" si="32"/>
        <v>30</v>
      </c>
      <c r="D86" s="35">
        <f t="shared" si="33"/>
        <v>4</v>
      </c>
      <c r="E86" s="889">
        <f t="shared" si="26"/>
        <v>48699</v>
      </c>
      <c r="F86" s="822">
        <f t="shared" si="34"/>
        <v>4</v>
      </c>
      <c r="G86" s="126">
        <f t="shared" si="35"/>
        <v>0</v>
      </c>
      <c r="H86" s="1098">
        <f t="shared" si="27"/>
        <v>0</v>
      </c>
      <c r="I86" s="887">
        <f t="shared" ref="I86:I149" si="49">I85+1</f>
        <v>67</v>
      </c>
      <c r="J86" s="1099">
        <f t="shared" si="41"/>
        <v>67</v>
      </c>
      <c r="K86" s="891" t="str">
        <f t="shared" si="42"/>
        <v>April</v>
      </c>
      <c r="L86" s="888">
        <f t="shared" ref="L86:L149" si="50">IF($S$4="Annual",$L85+$H86,IF($S$4="Bi-Annual",$L85+$H85,IF($S$4="Monthly",$L85+$G85)))</f>
        <v>2033</v>
      </c>
      <c r="M86" s="883">
        <f t="shared" si="43"/>
        <v>0</v>
      </c>
      <c r="N86" s="883">
        <f t="shared" si="44"/>
        <v>0</v>
      </c>
      <c r="O86" s="1100"/>
      <c r="P86" s="883">
        <f t="shared" si="36"/>
        <v>0</v>
      </c>
      <c r="Q86" s="884">
        <f t="shared" si="45"/>
        <v>0</v>
      </c>
      <c r="R86" s="884">
        <f>IF(AND($AR$39="Early Payoff",I86&gt;=$R$13),0,IF($I86&lt;=$R$6,SUM($P$20:$P86),0))</f>
        <v>0</v>
      </c>
      <c r="S86" s="884">
        <f>IF(AND($AR$39="Early Payoff",I86&gt;=$R$13),0,IF($I86&lt;=$R$6,SUM($Q$20:$Q86),0))</f>
        <v>0</v>
      </c>
      <c r="T86" s="873">
        <f t="shared" si="46"/>
        <v>0</v>
      </c>
      <c r="U86" s="1110">
        <f t="shared" si="47"/>
        <v>0</v>
      </c>
      <c r="W86" s="1102">
        <f t="shared" si="37"/>
        <v>0</v>
      </c>
      <c r="X86" s="873">
        <f t="shared" si="38"/>
        <v>0</v>
      </c>
      <c r="Y86" s="873">
        <f t="shared" si="39"/>
        <v>0</v>
      </c>
      <c r="Z86" s="885">
        <f t="shared" si="40"/>
        <v>0</v>
      </c>
    </row>
    <row r="87" spans="2:26" s="278" customFormat="1" ht="12" customHeight="1" x14ac:dyDescent="0.25">
      <c r="B87" s="1192">
        <f t="shared" si="48"/>
        <v>87</v>
      </c>
      <c r="C87" s="732">
        <f t="shared" si="32"/>
        <v>31</v>
      </c>
      <c r="D87" s="35">
        <f t="shared" si="33"/>
        <v>5</v>
      </c>
      <c r="E87" s="889">
        <f t="shared" ref="E87:E150" si="51">DATE(L87,D87,C87)</f>
        <v>48730</v>
      </c>
      <c r="F87" s="822">
        <f t="shared" si="34"/>
        <v>5</v>
      </c>
      <c r="G87" s="126">
        <f t="shared" si="35"/>
        <v>0</v>
      </c>
      <c r="H87" s="1098">
        <f t="shared" ref="H87:H150" si="52">IF($S$4="Annual",1,IF(AND($S$4="Bi-Annual",$F87&gt;$F88),1,IF(AND($S$4="Bi-Annual",$F87&lt;$F88),0,IF($S$4="Monthly",0,))))</f>
        <v>0</v>
      </c>
      <c r="I87" s="887">
        <f t="shared" si="49"/>
        <v>68</v>
      </c>
      <c r="J87" s="1099">
        <f t="shared" si="41"/>
        <v>68</v>
      </c>
      <c r="K87" s="891" t="str">
        <f t="shared" si="42"/>
        <v>May</v>
      </c>
      <c r="L87" s="888">
        <f t="shared" si="50"/>
        <v>2033</v>
      </c>
      <c r="M87" s="883">
        <f t="shared" si="43"/>
        <v>0</v>
      </c>
      <c r="N87" s="883">
        <f t="shared" si="44"/>
        <v>0</v>
      </c>
      <c r="O87" s="1100"/>
      <c r="P87" s="883">
        <f t="shared" si="36"/>
        <v>0</v>
      </c>
      <c r="Q87" s="884">
        <f t="shared" si="45"/>
        <v>0</v>
      </c>
      <c r="R87" s="884">
        <f>IF(AND($AR$39="Early Payoff",I87&gt;=$R$13),0,IF($I87&lt;=$R$6,SUM($P$20:$P87),0))</f>
        <v>0</v>
      </c>
      <c r="S87" s="884">
        <f>IF(AND($AR$39="Early Payoff",I87&gt;=$R$13),0,IF($I87&lt;=$R$6,SUM($Q$20:$Q87),0))</f>
        <v>0</v>
      </c>
      <c r="T87" s="873">
        <f t="shared" si="46"/>
        <v>0</v>
      </c>
      <c r="U87" s="1110">
        <f t="shared" si="47"/>
        <v>0</v>
      </c>
      <c r="W87" s="1102">
        <f t="shared" si="37"/>
        <v>0</v>
      </c>
      <c r="X87" s="873">
        <f t="shared" si="38"/>
        <v>0</v>
      </c>
      <c r="Y87" s="873">
        <f t="shared" si="39"/>
        <v>0</v>
      </c>
      <c r="Z87" s="885">
        <f t="shared" si="40"/>
        <v>0</v>
      </c>
    </row>
    <row r="88" spans="2:26" s="278" customFormat="1" ht="12" customHeight="1" x14ac:dyDescent="0.25">
      <c r="B88" s="1192">
        <f t="shared" si="48"/>
        <v>88</v>
      </c>
      <c r="C88" s="732">
        <f t="shared" si="32"/>
        <v>30</v>
      </c>
      <c r="D88" s="35">
        <f t="shared" si="33"/>
        <v>6</v>
      </c>
      <c r="E88" s="889">
        <f t="shared" si="51"/>
        <v>48760</v>
      </c>
      <c r="F88" s="822">
        <f t="shared" si="34"/>
        <v>6</v>
      </c>
      <c r="G88" s="126">
        <f t="shared" si="35"/>
        <v>0</v>
      </c>
      <c r="H88" s="1098">
        <f t="shared" si="52"/>
        <v>0</v>
      </c>
      <c r="I88" s="887">
        <f t="shared" si="49"/>
        <v>69</v>
      </c>
      <c r="J88" s="1099">
        <f t="shared" si="41"/>
        <v>69</v>
      </c>
      <c r="K88" s="891" t="str">
        <f t="shared" si="42"/>
        <v>June</v>
      </c>
      <c r="L88" s="888">
        <f t="shared" si="50"/>
        <v>2033</v>
      </c>
      <c r="M88" s="883">
        <f t="shared" si="43"/>
        <v>0</v>
      </c>
      <c r="N88" s="883">
        <f t="shared" si="44"/>
        <v>0</v>
      </c>
      <c r="O88" s="1100"/>
      <c r="P88" s="883">
        <f t="shared" si="36"/>
        <v>0</v>
      </c>
      <c r="Q88" s="884">
        <f t="shared" si="45"/>
        <v>0</v>
      </c>
      <c r="R88" s="884">
        <f>IF(AND($AR$39="Early Payoff",I88&gt;=$R$13),0,IF($I88&lt;=$R$6,SUM($P$20:$P88),0))</f>
        <v>0</v>
      </c>
      <c r="S88" s="884">
        <f>IF(AND($AR$39="Early Payoff",I88&gt;=$R$13),0,IF($I88&lt;=$R$6,SUM($Q$20:$Q88),0))</f>
        <v>0</v>
      </c>
      <c r="T88" s="873">
        <f t="shared" si="46"/>
        <v>0</v>
      </c>
      <c r="U88" s="1110">
        <f t="shared" si="47"/>
        <v>0</v>
      </c>
      <c r="W88" s="1102">
        <f t="shared" si="37"/>
        <v>0</v>
      </c>
      <c r="X88" s="873">
        <f t="shared" si="38"/>
        <v>0</v>
      </c>
      <c r="Y88" s="873">
        <f t="shared" si="39"/>
        <v>0</v>
      </c>
      <c r="Z88" s="885">
        <f t="shared" si="40"/>
        <v>0</v>
      </c>
    </row>
    <row r="89" spans="2:26" s="278" customFormat="1" ht="12" customHeight="1" x14ac:dyDescent="0.25">
      <c r="B89" s="1192">
        <f t="shared" si="48"/>
        <v>89</v>
      </c>
      <c r="C89" s="732">
        <f t="shared" si="32"/>
        <v>31</v>
      </c>
      <c r="D89" s="35">
        <f t="shared" si="33"/>
        <v>7</v>
      </c>
      <c r="E89" s="889">
        <f t="shared" si="51"/>
        <v>48791</v>
      </c>
      <c r="F89" s="822">
        <f t="shared" si="34"/>
        <v>7</v>
      </c>
      <c r="G89" s="126">
        <f t="shared" si="35"/>
        <v>0</v>
      </c>
      <c r="H89" s="1098">
        <f t="shared" si="52"/>
        <v>0</v>
      </c>
      <c r="I89" s="887">
        <f t="shared" si="49"/>
        <v>70</v>
      </c>
      <c r="J89" s="1099">
        <f t="shared" si="41"/>
        <v>70</v>
      </c>
      <c r="K89" s="891" t="str">
        <f t="shared" si="42"/>
        <v>July</v>
      </c>
      <c r="L89" s="888">
        <f t="shared" si="50"/>
        <v>2033</v>
      </c>
      <c r="M89" s="883">
        <f t="shared" si="43"/>
        <v>0</v>
      </c>
      <c r="N89" s="883">
        <f t="shared" si="44"/>
        <v>0</v>
      </c>
      <c r="O89" s="1100"/>
      <c r="P89" s="883">
        <f t="shared" si="36"/>
        <v>0</v>
      </c>
      <c r="Q89" s="884">
        <f t="shared" si="45"/>
        <v>0</v>
      </c>
      <c r="R89" s="884">
        <f>IF(AND($AR$39="Early Payoff",I89&gt;=$R$13),0,IF($I89&lt;=$R$6,SUM($P$20:$P89),0))</f>
        <v>0</v>
      </c>
      <c r="S89" s="884">
        <f>IF(AND($AR$39="Early Payoff",I89&gt;=$R$13),0,IF($I89&lt;=$R$6,SUM($Q$20:$Q89),0))</f>
        <v>0</v>
      </c>
      <c r="T89" s="873">
        <f t="shared" si="46"/>
        <v>0</v>
      </c>
      <c r="U89" s="1110">
        <f t="shared" si="47"/>
        <v>0</v>
      </c>
      <c r="W89" s="1102">
        <f t="shared" si="37"/>
        <v>0</v>
      </c>
      <c r="X89" s="873">
        <f t="shared" si="38"/>
        <v>0</v>
      </c>
      <c r="Y89" s="873">
        <f t="shared" si="39"/>
        <v>0</v>
      </c>
      <c r="Z89" s="885">
        <f t="shared" si="40"/>
        <v>0</v>
      </c>
    </row>
    <row r="90" spans="2:26" s="278" customFormat="1" ht="12" customHeight="1" x14ac:dyDescent="0.25">
      <c r="B90" s="1192">
        <f t="shared" si="48"/>
        <v>90</v>
      </c>
      <c r="C90" s="732">
        <f t="shared" si="32"/>
        <v>31</v>
      </c>
      <c r="D90" s="35">
        <f t="shared" si="33"/>
        <v>8</v>
      </c>
      <c r="E90" s="889">
        <f t="shared" si="51"/>
        <v>48822</v>
      </c>
      <c r="F90" s="822">
        <f t="shared" si="34"/>
        <v>8</v>
      </c>
      <c r="G90" s="126">
        <f t="shared" si="35"/>
        <v>0</v>
      </c>
      <c r="H90" s="1098">
        <f t="shared" si="52"/>
        <v>0</v>
      </c>
      <c r="I90" s="887">
        <f t="shared" si="49"/>
        <v>71</v>
      </c>
      <c r="J90" s="1099">
        <f t="shared" si="41"/>
        <v>71</v>
      </c>
      <c r="K90" s="891" t="str">
        <f t="shared" si="42"/>
        <v>August</v>
      </c>
      <c r="L90" s="888">
        <f t="shared" si="50"/>
        <v>2033</v>
      </c>
      <c r="M90" s="883">
        <f t="shared" si="43"/>
        <v>0</v>
      </c>
      <c r="N90" s="883">
        <f t="shared" si="44"/>
        <v>0</v>
      </c>
      <c r="O90" s="1100"/>
      <c r="P90" s="883">
        <f t="shared" si="36"/>
        <v>0</v>
      </c>
      <c r="Q90" s="884">
        <f t="shared" si="45"/>
        <v>0</v>
      </c>
      <c r="R90" s="884">
        <f>IF(AND($AR$39="Early Payoff",I90&gt;=$R$13),0,IF($I90&lt;=$R$6,SUM($P$20:$P90),0))</f>
        <v>0</v>
      </c>
      <c r="S90" s="884">
        <f>IF(AND($AR$39="Early Payoff",I90&gt;=$R$13),0,IF($I90&lt;=$R$6,SUM($Q$20:$Q90),0))</f>
        <v>0</v>
      </c>
      <c r="T90" s="873">
        <f t="shared" si="46"/>
        <v>0</v>
      </c>
      <c r="U90" s="1110">
        <f t="shared" si="47"/>
        <v>0</v>
      </c>
      <c r="W90" s="1102">
        <f t="shared" si="37"/>
        <v>0</v>
      </c>
      <c r="X90" s="873">
        <f t="shared" si="38"/>
        <v>0</v>
      </c>
      <c r="Y90" s="873">
        <f t="shared" si="39"/>
        <v>0</v>
      </c>
      <c r="Z90" s="885">
        <f t="shared" si="40"/>
        <v>0</v>
      </c>
    </row>
    <row r="91" spans="2:26" s="278" customFormat="1" ht="12" customHeight="1" x14ac:dyDescent="0.25">
      <c r="B91" s="1192">
        <f t="shared" si="48"/>
        <v>91</v>
      </c>
      <c r="C91" s="732">
        <f t="shared" si="32"/>
        <v>30</v>
      </c>
      <c r="D91" s="35">
        <f t="shared" si="33"/>
        <v>9</v>
      </c>
      <c r="E91" s="889">
        <f t="shared" si="51"/>
        <v>48852</v>
      </c>
      <c r="F91" s="822">
        <f t="shared" si="34"/>
        <v>9</v>
      </c>
      <c r="G91" s="126">
        <f t="shared" si="35"/>
        <v>0</v>
      </c>
      <c r="H91" s="1098">
        <f t="shared" si="52"/>
        <v>0</v>
      </c>
      <c r="I91" s="887">
        <f t="shared" si="49"/>
        <v>72</v>
      </c>
      <c r="J91" s="1099">
        <f t="shared" si="41"/>
        <v>72</v>
      </c>
      <c r="K91" s="891" t="str">
        <f t="shared" si="42"/>
        <v>September</v>
      </c>
      <c r="L91" s="888">
        <f t="shared" si="50"/>
        <v>2033</v>
      </c>
      <c r="M91" s="883">
        <f t="shared" si="43"/>
        <v>0</v>
      </c>
      <c r="N91" s="883">
        <f t="shared" si="44"/>
        <v>0</v>
      </c>
      <c r="O91" s="1100"/>
      <c r="P91" s="883">
        <f t="shared" si="36"/>
        <v>0</v>
      </c>
      <c r="Q91" s="884">
        <f t="shared" si="45"/>
        <v>0</v>
      </c>
      <c r="R91" s="884">
        <f>IF(AND($AR$39="Early Payoff",I91&gt;=$R$13),0,IF($I91&lt;=$R$6,SUM($P$20:$P91),0))</f>
        <v>0</v>
      </c>
      <c r="S91" s="884">
        <f>IF(AND($AR$39="Early Payoff",I91&gt;=$R$13),0,IF($I91&lt;=$R$6,SUM($Q$20:$Q91),0))</f>
        <v>0</v>
      </c>
      <c r="T91" s="873">
        <f t="shared" si="46"/>
        <v>0</v>
      </c>
      <c r="U91" s="1110">
        <f t="shared" si="47"/>
        <v>0</v>
      </c>
      <c r="W91" s="1102">
        <f t="shared" si="37"/>
        <v>0</v>
      </c>
      <c r="X91" s="873">
        <f t="shared" si="38"/>
        <v>0</v>
      </c>
      <c r="Y91" s="873">
        <f t="shared" si="39"/>
        <v>0</v>
      </c>
      <c r="Z91" s="885">
        <f t="shared" si="40"/>
        <v>0</v>
      </c>
    </row>
    <row r="92" spans="2:26" s="278" customFormat="1" ht="12" customHeight="1" x14ac:dyDescent="0.25">
      <c r="B92" s="1192">
        <f t="shared" si="48"/>
        <v>92</v>
      </c>
      <c r="C92" s="732">
        <f t="shared" si="32"/>
        <v>31</v>
      </c>
      <c r="D92" s="35">
        <f t="shared" si="33"/>
        <v>10</v>
      </c>
      <c r="E92" s="889">
        <f t="shared" si="51"/>
        <v>48883</v>
      </c>
      <c r="F92" s="822">
        <f t="shared" si="34"/>
        <v>10</v>
      </c>
      <c r="G92" s="126">
        <f t="shared" si="35"/>
        <v>0</v>
      </c>
      <c r="H92" s="1098">
        <f t="shared" si="52"/>
        <v>0</v>
      </c>
      <c r="I92" s="887">
        <f t="shared" si="49"/>
        <v>73</v>
      </c>
      <c r="J92" s="1099">
        <f t="shared" si="41"/>
        <v>73</v>
      </c>
      <c r="K92" s="891" t="str">
        <f t="shared" si="42"/>
        <v>October</v>
      </c>
      <c r="L92" s="888">
        <f t="shared" si="50"/>
        <v>2033</v>
      </c>
      <c r="M92" s="883">
        <f t="shared" si="43"/>
        <v>0</v>
      </c>
      <c r="N92" s="883">
        <f t="shared" si="44"/>
        <v>0</v>
      </c>
      <c r="O92" s="1100"/>
      <c r="P92" s="883">
        <f t="shared" si="36"/>
        <v>0</v>
      </c>
      <c r="Q92" s="884">
        <f t="shared" si="45"/>
        <v>0</v>
      </c>
      <c r="R92" s="884">
        <f>IF(AND($AR$39="Early Payoff",I92&gt;=$R$13),0,IF($I92&lt;=$R$6,SUM($P$20:$P92),0))</f>
        <v>0</v>
      </c>
      <c r="S92" s="884">
        <f>IF(AND($AR$39="Early Payoff",I92&gt;=$R$13),0,IF($I92&lt;=$R$6,SUM($Q$20:$Q92),0))</f>
        <v>0</v>
      </c>
      <c r="T92" s="873">
        <f t="shared" si="46"/>
        <v>0</v>
      </c>
      <c r="U92" s="1110">
        <f t="shared" si="47"/>
        <v>0</v>
      </c>
      <c r="W92" s="1102">
        <f t="shared" si="37"/>
        <v>0</v>
      </c>
      <c r="X92" s="873">
        <f t="shared" si="38"/>
        <v>0</v>
      </c>
      <c r="Y92" s="873">
        <f t="shared" si="39"/>
        <v>0</v>
      </c>
      <c r="Z92" s="885">
        <f t="shared" si="40"/>
        <v>0</v>
      </c>
    </row>
    <row r="93" spans="2:26" s="278" customFormat="1" ht="12" customHeight="1" x14ac:dyDescent="0.25">
      <c r="B93" s="1192">
        <f t="shared" si="48"/>
        <v>93</v>
      </c>
      <c r="C93" s="732">
        <f t="shared" si="32"/>
        <v>30</v>
      </c>
      <c r="D93" s="35">
        <f t="shared" si="33"/>
        <v>11</v>
      </c>
      <c r="E93" s="889">
        <f t="shared" si="51"/>
        <v>48913</v>
      </c>
      <c r="F93" s="822">
        <f t="shared" si="34"/>
        <v>11</v>
      </c>
      <c r="G93" s="126">
        <f t="shared" si="35"/>
        <v>0</v>
      </c>
      <c r="H93" s="1098">
        <f t="shared" si="52"/>
        <v>0</v>
      </c>
      <c r="I93" s="887">
        <f t="shared" si="49"/>
        <v>74</v>
      </c>
      <c r="J93" s="1099">
        <f t="shared" si="41"/>
        <v>74</v>
      </c>
      <c r="K93" s="891" t="str">
        <f t="shared" si="42"/>
        <v>November</v>
      </c>
      <c r="L93" s="888">
        <f t="shared" si="50"/>
        <v>2033</v>
      </c>
      <c r="M93" s="883">
        <f t="shared" si="43"/>
        <v>0</v>
      </c>
      <c r="N93" s="883">
        <f t="shared" si="44"/>
        <v>0</v>
      </c>
      <c r="O93" s="1100"/>
      <c r="P93" s="883">
        <f t="shared" si="36"/>
        <v>0</v>
      </c>
      <c r="Q93" s="884">
        <f t="shared" si="45"/>
        <v>0</v>
      </c>
      <c r="R93" s="884">
        <f>IF(AND($AR$39="Early Payoff",I93&gt;=$R$13),0,IF($I93&lt;=$R$6,SUM($P$20:$P93),0))</f>
        <v>0</v>
      </c>
      <c r="S93" s="884">
        <f>IF(AND($AR$39="Early Payoff",I93&gt;=$R$13),0,IF($I93&lt;=$R$6,SUM($Q$20:$Q93),0))</f>
        <v>0</v>
      </c>
      <c r="T93" s="873">
        <f t="shared" si="46"/>
        <v>0</v>
      </c>
      <c r="U93" s="1110">
        <f t="shared" si="47"/>
        <v>0</v>
      </c>
      <c r="W93" s="1102">
        <f t="shared" si="37"/>
        <v>0</v>
      </c>
      <c r="X93" s="873">
        <f t="shared" si="38"/>
        <v>0</v>
      </c>
      <c r="Y93" s="873">
        <f t="shared" si="39"/>
        <v>0</v>
      </c>
      <c r="Z93" s="885">
        <f t="shared" si="40"/>
        <v>0</v>
      </c>
    </row>
    <row r="94" spans="2:26" s="278" customFormat="1" ht="12" customHeight="1" x14ac:dyDescent="0.25">
      <c r="B94" s="1192">
        <f t="shared" si="48"/>
        <v>94</v>
      </c>
      <c r="C94" s="732">
        <f t="shared" si="32"/>
        <v>31</v>
      </c>
      <c r="D94" s="35">
        <f t="shared" si="33"/>
        <v>12</v>
      </c>
      <c r="E94" s="889">
        <f t="shared" si="51"/>
        <v>48944</v>
      </c>
      <c r="F94" s="822">
        <f t="shared" si="34"/>
        <v>12</v>
      </c>
      <c r="G94" s="126">
        <f t="shared" si="35"/>
        <v>1</v>
      </c>
      <c r="H94" s="1098">
        <f t="shared" si="52"/>
        <v>0</v>
      </c>
      <c r="I94" s="887">
        <f t="shared" si="49"/>
        <v>75</v>
      </c>
      <c r="J94" s="1099">
        <f t="shared" si="41"/>
        <v>75</v>
      </c>
      <c r="K94" s="891" t="str">
        <f t="shared" si="42"/>
        <v>December</v>
      </c>
      <c r="L94" s="888">
        <f t="shared" si="50"/>
        <v>2033</v>
      </c>
      <c r="M94" s="883">
        <f t="shared" si="43"/>
        <v>0</v>
      </c>
      <c r="N94" s="883">
        <f t="shared" si="44"/>
        <v>0</v>
      </c>
      <c r="O94" s="1100"/>
      <c r="P94" s="883">
        <f t="shared" si="36"/>
        <v>0</v>
      </c>
      <c r="Q94" s="884">
        <f t="shared" si="45"/>
        <v>0</v>
      </c>
      <c r="R94" s="884">
        <f>IF(AND($AR$39="Early Payoff",I94&gt;=$R$13),0,IF($I94&lt;=$R$6,SUM($P$20:$P94),0))</f>
        <v>0</v>
      </c>
      <c r="S94" s="884">
        <f>IF(AND($AR$39="Early Payoff",I94&gt;=$R$13),0,IF($I94&lt;=$R$6,SUM($Q$20:$Q94),0))</f>
        <v>0</v>
      </c>
      <c r="T94" s="873">
        <f t="shared" si="46"/>
        <v>0</v>
      </c>
      <c r="U94" s="1110">
        <f t="shared" si="47"/>
        <v>0</v>
      </c>
      <c r="W94" s="1102">
        <f t="shared" si="37"/>
        <v>0</v>
      </c>
      <c r="X94" s="873">
        <f t="shared" si="38"/>
        <v>0</v>
      </c>
      <c r="Y94" s="873">
        <f t="shared" si="39"/>
        <v>0</v>
      </c>
      <c r="Z94" s="885">
        <f t="shared" si="40"/>
        <v>0</v>
      </c>
    </row>
    <row r="95" spans="2:26" s="278" customFormat="1" ht="12" customHeight="1" x14ac:dyDescent="0.25">
      <c r="B95" s="1192">
        <f t="shared" si="48"/>
        <v>95</v>
      </c>
      <c r="C95" s="732">
        <f t="shared" si="32"/>
        <v>31</v>
      </c>
      <c r="D95" s="35">
        <f t="shared" si="33"/>
        <v>1</v>
      </c>
      <c r="E95" s="889">
        <f t="shared" si="51"/>
        <v>48975</v>
      </c>
      <c r="F95" s="822">
        <f t="shared" si="34"/>
        <v>1</v>
      </c>
      <c r="G95" s="126">
        <f t="shared" si="35"/>
        <v>0</v>
      </c>
      <c r="H95" s="1098">
        <f t="shared" si="52"/>
        <v>0</v>
      </c>
      <c r="I95" s="887">
        <f t="shared" si="49"/>
        <v>76</v>
      </c>
      <c r="J95" s="1099">
        <f t="shared" si="41"/>
        <v>76</v>
      </c>
      <c r="K95" s="891" t="str">
        <f t="shared" si="42"/>
        <v>January</v>
      </c>
      <c r="L95" s="888">
        <f t="shared" si="50"/>
        <v>2034</v>
      </c>
      <c r="M95" s="883">
        <f t="shared" si="43"/>
        <v>0</v>
      </c>
      <c r="N95" s="883">
        <f t="shared" si="44"/>
        <v>0</v>
      </c>
      <c r="O95" s="1100"/>
      <c r="P95" s="883">
        <f t="shared" si="36"/>
        <v>0</v>
      </c>
      <c r="Q95" s="884">
        <f t="shared" si="45"/>
        <v>0</v>
      </c>
      <c r="R95" s="884">
        <f>IF(AND($AR$39="Early Payoff",I95&gt;=$R$13),0,IF($I95&lt;=$R$6,SUM($P$20:$P95),0))</f>
        <v>0</v>
      </c>
      <c r="S95" s="884">
        <f>IF(AND($AR$39="Early Payoff",I95&gt;=$R$13),0,IF($I95&lt;=$R$6,SUM($Q$20:$Q95),0))</f>
        <v>0</v>
      </c>
      <c r="T95" s="873">
        <f t="shared" si="46"/>
        <v>0</v>
      </c>
      <c r="U95" s="1110">
        <f t="shared" si="47"/>
        <v>0</v>
      </c>
      <c r="W95" s="1102">
        <f t="shared" si="37"/>
        <v>0</v>
      </c>
      <c r="X95" s="873">
        <f t="shared" si="38"/>
        <v>0</v>
      </c>
      <c r="Y95" s="873">
        <f t="shared" si="39"/>
        <v>0</v>
      </c>
      <c r="Z95" s="885">
        <f t="shared" si="40"/>
        <v>0</v>
      </c>
    </row>
    <row r="96" spans="2:26" s="278" customFormat="1" ht="12" customHeight="1" x14ac:dyDescent="0.25">
      <c r="B96" s="1192">
        <f t="shared" si="48"/>
        <v>96</v>
      </c>
      <c r="C96" s="732">
        <f t="shared" si="32"/>
        <v>28</v>
      </c>
      <c r="D96" s="35">
        <f t="shared" si="33"/>
        <v>2</v>
      </c>
      <c r="E96" s="889">
        <f t="shared" si="51"/>
        <v>49003</v>
      </c>
      <c r="F96" s="822">
        <f t="shared" si="34"/>
        <v>2</v>
      </c>
      <c r="G96" s="126">
        <f t="shared" si="35"/>
        <v>0</v>
      </c>
      <c r="H96" s="1098">
        <f t="shared" si="52"/>
        <v>0</v>
      </c>
      <c r="I96" s="887">
        <f t="shared" si="49"/>
        <v>77</v>
      </c>
      <c r="J96" s="1099">
        <f t="shared" si="41"/>
        <v>77</v>
      </c>
      <c r="K96" s="891" t="str">
        <f t="shared" si="42"/>
        <v>February</v>
      </c>
      <c r="L96" s="888">
        <f t="shared" si="50"/>
        <v>2034</v>
      </c>
      <c r="M96" s="883">
        <f t="shared" si="43"/>
        <v>0</v>
      </c>
      <c r="N96" s="883">
        <f t="shared" si="44"/>
        <v>0</v>
      </c>
      <c r="O96" s="1100"/>
      <c r="P96" s="883">
        <f t="shared" si="36"/>
        <v>0</v>
      </c>
      <c r="Q96" s="884">
        <f t="shared" si="45"/>
        <v>0</v>
      </c>
      <c r="R96" s="884">
        <f>IF(AND($AR$39="Early Payoff",I96&gt;=$R$13),0,IF($I96&lt;=$R$6,SUM($P$20:$P96),0))</f>
        <v>0</v>
      </c>
      <c r="S96" s="884">
        <f>IF(AND($AR$39="Early Payoff",I96&gt;=$R$13),0,IF($I96&lt;=$R$6,SUM($Q$20:$Q96),0))</f>
        <v>0</v>
      </c>
      <c r="T96" s="873">
        <f t="shared" si="46"/>
        <v>0</v>
      </c>
      <c r="U96" s="1110">
        <f t="shared" si="47"/>
        <v>0</v>
      </c>
      <c r="W96" s="1102">
        <f t="shared" si="37"/>
        <v>0</v>
      </c>
      <c r="X96" s="873">
        <f t="shared" si="38"/>
        <v>0</v>
      </c>
      <c r="Y96" s="873">
        <f t="shared" si="39"/>
        <v>0</v>
      </c>
      <c r="Z96" s="885">
        <f t="shared" si="40"/>
        <v>0</v>
      </c>
    </row>
    <row r="97" spans="2:26" s="278" customFormat="1" ht="12" customHeight="1" x14ac:dyDescent="0.25">
      <c r="B97" s="1192">
        <f t="shared" si="48"/>
        <v>97</v>
      </c>
      <c r="C97" s="732">
        <f t="shared" si="32"/>
        <v>31</v>
      </c>
      <c r="D97" s="35">
        <f t="shared" si="33"/>
        <v>3</v>
      </c>
      <c r="E97" s="889">
        <f t="shared" si="51"/>
        <v>49034</v>
      </c>
      <c r="F97" s="822">
        <f t="shared" si="34"/>
        <v>3</v>
      </c>
      <c r="G97" s="126">
        <f t="shared" si="35"/>
        <v>0</v>
      </c>
      <c r="H97" s="1098">
        <f t="shared" si="52"/>
        <v>0</v>
      </c>
      <c r="I97" s="887">
        <f t="shared" si="49"/>
        <v>78</v>
      </c>
      <c r="J97" s="1099">
        <f t="shared" si="41"/>
        <v>78</v>
      </c>
      <c r="K97" s="891" t="str">
        <f t="shared" si="42"/>
        <v>March</v>
      </c>
      <c r="L97" s="888">
        <f t="shared" si="50"/>
        <v>2034</v>
      </c>
      <c r="M97" s="883">
        <f t="shared" si="43"/>
        <v>0</v>
      </c>
      <c r="N97" s="883">
        <f t="shared" si="44"/>
        <v>0</v>
      </c>
      <c r="O97" s="1100"/>
      <c r="P97" s="883">
        <f t="shared" si="36"/>
        <v>0</v>
      </c>
      <c r="Q97" s="884">
        <f t="shared" si="45"/>
        <v>0</v>
      </c>
      <c r="R97" s="884">
        <f>IF(AND($AR$39="Early Payoff",I97&gt;=$R$13),0,IF($I97&lt;=$R$6,SUM($P$20:$P97),0))</f>
        <v>0</v>
      </c>
      <c r="S97" s="884">
        <f>IF(AND($AR$39="Early Payoff",I97&gt;=$R$13),0,IF($I97&lt;=$R$6,SUM($Q$20:$Q97),0))</f>
        <v>0</v>
      </c>
      <c r="T97" s="873">
        <f t="shared" si="46"/>
        <v>0</v>
      </c>
      <c r="U97" s="1110">
        <f t="shared" si="47"/>
        <v>0</v>
      </c>
      <c r="W97" s="1102">
        <f t="shared" si="37"/>
        <v>0</v>
      </c>
      <c r="X97" s="873">
        <f t="shared" si="38"/>
        <v>0</v>
      </c>
      <c r="Y97" s="873">
        <f t="shared" si="39"/>
        <v>0</v>
      </c>
      <c r="Z97" s="885">
        <f t="shared" si="40"/>
        <v>0</v>
      </c>
    </row>
    <row r="98" spans="2:26" s="278" customFormat="1" ht="12" customHeight="1" x14ac:dyDescent="0.25">
      <c r="B98" s="1192">
        <f t="shared" si="48"/>
        <v>98</v>
      </c>
      <c r="C98" s="732">
        <f t="shared" si="32"/>
        <v>30</v>
      </c>
      <c r="D98" s="35">
        <f t="shared" si="33"/>
        <v>4</v>
      </c>
      <c r="E98" s="889">
        <f t="shared" si="51"/>
        <v>49064</v>
      </c>
      <c r="F98" s="822">
        <f t="shared" si="34"/>
        <v>4</v>
      </c>
      <c r="G98" s="126">
        <f t="shared" si="35"/>
        <v>0</v>
      </c>
      <c r="H98" s="1098">
        <f t="shared" si="52"/>
        <v>0</v>
      </c>
      <c r="I98" s="887">
        <f t="shared" si="49"/>
        <v>79</v>
      </c>
      <c r="J98" s="1099">
        <f t="shared" si="41"/>
        <v>79</v>
      </c>
      <c r="K98" s="891" t="str">
        <f t="shared" si="42"/>
        <v>April</v>
      </c>
      <c r="L98" s="888">
        <f t="shared" si="50"/>
        <v>2034</v>
      </c>
      <c r="M98" s="883">
        <f t="shared" si="43"/>
        <v>0</v>
      </c>
      <c r="N98" s="883">
        <f t="shared" si="44"/>
        <v>0</v>
      </c>
      <c r="O98" s="1100"/>
      <c r="P98" s="883">
        <f t="shared" si="36"/>
        <v>0</v>
      </c>
      <c r="Q98" s="884">
        <f t="shared" si="45"/>
        <v>0</v>
      </c>
      <c r="R98" s="884">
        <f>IF(AND($AR$39="Early Payoff",I98&gt;=$R$13),0,IF($I98&lt;=$R$6,SUM($P$20:$P98),0))</f>
        <v>0</v>
      </c>
      <c r="S98" s="884">
        <f>IF(AND($AR$39="Early Payoff",I98&gt;=$R$13),0,IF($I98&lt;=$R$6,SUM($Q$20:$Q98),0))</f>
        <v>0</v>
      </c>
      <c r="T98" s="873">
        <f t="shared" si="46"/>
        <v>0</v>
      </c>
      <c r="U98" s="1110">
        <f t="shared" si="47"/>
        <v>0</v>
      </c>
      <c r="W98" s="1102">
        <f t="shared" si="37"/>
        <v>0</v>
      </c>
      <c r="X98" s="873">
        <f t="shared" si="38"/>
        <v>0</v>
      </c>
      <c r="Y98" s="873">
        <f t="shared" si="39"/>
        <v>0</v>
      </c>
      <c r="Z98" s="885">
        <f t="shared" si="40"/>
        <v>0</v>
      </c>
    </row>
    <row r="99" spans="2:26" s="278" customFormat="1" ht="12" customHeight="1" x14ac:dyDescent="0.25">
      <c r="B99" s="1192">
        <f t="shared" si="48"/>
        <v>99</v>
      </c>
      <c r="C99" s="732">
        <f t="shared" si="32"/>
        <v>31</v>
      </c>
      <c r="D99" s="35">
        <f t="shared" si="33"/>
        <v>5</v>
      </c>
      <c r="E99" s="889">
        <f t="shared" si="51"/>
        <v>49095</v>
      </c>
      <c r="F99" s="822">
        <f t="shared" si="34"/>
        <v>5</v>
      </c>
      <c r="G99" s="126">
        <f t="shared" si="35"/>
        <v>0</v>
      </c>
      <c r="H99" s="1098">
        <f t="shared" si="52"/>
        <v>0</v>
      </c>
      <c r="I99" s="887">
        <f t="shared" si="49"/>
        <v>80</v>
      </c>
      <c r="J99" s="1099">
        <f t="shared" si="41"/>
        <v>80</v>
      </c>
      <c r="K99" s="891" t="str">
        <f t="shared" si="42"/>
        <v>May</v>
      </c>
      <c r="L99" s="888">
        <f t="shared" si="50"/>
        <v>2034</v>
      </c>
      <c r="M99" s="883">
        <f t="shared" si="43"/>
        <v>0</v>
      </c>
      <c r="N99" s="883">
        <f t="shared" si="44"/>
        <v>0</v>
      </c>
      <c r="O99" s="1100"/>
      <c r="P99" s="883">
        <f t="shared" si="36"/>
        <v>0</v>
      </c>
      <c r="Q99" s="884">
        <f t="shared" si="45"/>
        <v>0</v>
      </c>
      <c r="R99" s="884">
        <f>IF(AND($AR$39="Early Payoff",I99&gt;=$R$13),0,IF($I99&lt;=$R$6,SUM($P$20:$P99),0))</f>
        <v>0</v>
      </c>
      <c r="S99" s="884">
        <f>IF(AND($AR$39="Early Payoff",I99&gt;=$R$13),0,IF($I99&lt;=$R$6,SUM($Q$20:$Q99),0))</f>
        <v>0</v>
      </c>
      <c r="T99" s="873">
        <f t="shared" si="46"/>
        <v>0</v>
      </c>
      <c r="U99" s="1110">
        <f t="shared" si="47"/>
        <v>0</v>
      </c>
      <c r="W99" s="1102">
        <f t="shared" si="37"/>
        <v>0</v>
      </c>
      <c r="X99" s="873">
        <f t="shared" si="38"/>
        <v>0</v>
      </c>
      <c r="Y99" s="873">
        <f t="shared" si="39"/>
        <v>0</v>
      </c>
      <c r="Z99" s="885">
        <f t="shared" si="40"/>
        <v>0</v>
      </c>
    </row>
    <row r="100" spans="2:26" s="278" customFormat="1" ht="12" customHeight="1" x14ac:dyDescent="0.25">
      <c r="B100" s="1192">
        <f t="shared" si="48"/>
        <v>100</v>
      </c>
      <c r="C100" s="732">
        <f t="shared" si="32"/>
        <v>30</v>
      </c>
      <c r="D100" s="35">
        <f t="shared" si="33"/>
        <v>6</v>
      </c>
      <c r="E100" s="889">
        <f t="shared" si="51"/>
        <v>49125</v>
      </c>
      <c r="F100" s="822">
        <f t="shared" si="34"/>
        <v>6</v>
      </c>
      <c r="G100" s="126">
        <f t="shared" si="35"/>
        <v>0</v>
      </c>
      <c r="H100" s="1098">
        <f t="shared" si="52"/>
        <v>0</v>
      </c>
      <c r="I100" s="887">
        <f t="shared" si="49"/>
        <v>81</v>
      </c>
      <c r="J100" s="1099">
        <f t="shared" si="41"/>
        <v>81</v>
      </c>
      <c r="K100" s="891" t="str">
        <f t="shared" si="42"/>
        <v>June</v>
      </c>
      <c r="L100" s="888">
        <f t="shared" si="50"/>
        <v>2034</v>
      </c>
      <c r="M100" s="883">
        <f t="shared" si="43"/>
        <v>0</v>
      </c>
      <c r="N100" s="883">
        <f t="shared" si="44"/>
        <v>0</v>
      </c>
      <c r="O100" s="1100"/>
      <c r="P100" s="883">
        <f t="shared" si="36"/>
        <v>0</v>
      </c>
      <c r="Q100" s="884">
        <f t="shared" si="45"/>
        <v>0</v>
      </c>
      <c r="R100" s="884">
        <f>IF(AND($AR$39="Early Payoff",I100&gt;=$R$13),0,IF($I100&lt;=$R$6,SUM($P$20:$P100),0))</f>
        <v>0</v>
      </c>
      <c r="S100" s="884">
        <f>IF(AND($AR$39="Early Payoff",I100&gt;=$R$13),0,IF($I100&lt;=$R$6,SUM($Q$20:$Q100),0))</f>
        <v>0</v>
      </c>
      <c r="T100" s="873">
        <f t="shared" si="46"/>
        <v>0</v>
      </c>
      <c r="U100" s="1110">
        <f t="shared" si="47"/>
        <v>0</v>
      </c>
      <c r="W100" s="1102">
        <f t="shared" si="37"/>
        <v>0</v>
      </c>
      <c r="X100" s="873">
        <f t="shared" si="38"/>
        <v>0</v>
      </c>
      <c r="Y100" s="873">
        <f t="shared" si="39"/>
        <v>0</v>
      </c>
      <c r="Z100" s="885">
        <f t="shared" si="40"/>
        <v>0</v>
      </c>
    </row>
    <row r="101" spans="2:26" s="278" customFormat="1" ht="12" customHeight="1" x14ac:dyDescent="0.25">
      <c r="B101" s="1192">
        <f t="shared" si="48"/>
        <v>101</v>
      </c>
      <c r="C101" s="732">
        <f t="shared" si="32"/>
        <v>31</v>
      </c>
      <c r="D101" s="35">
        <f t="shared" si="33"/>
        <v>7</v>
      </c>
      <c r="E101" s="889">
        <f t="shared" si="51"/>
        <v>49156</v>
      </c>
      <c r="F101" s="822">
        <f t="shared" si="34"/>
        <v>7</v>
      </c>
      <c r="G101" s="126">
        <f t="shared" si="35"/>
        <v>0</v>
      </c>
      <c r="H101" s="1098">
        <f t="shared" si="52"/>
        <v>0</v>
      </c>
      <c r="I101" s="887">
        <f t="shared" si="49"/>
        <v>82</v>
      </c>
      <c r="J101" s="1099">
        <f t="shared" si="41"/>
        <v>82</v>
      </c>
      <c r="K101" s="891" t="str">
        <f t="shared" si="42"/>
        <v>July</v>
      </c>
      <c r="L101" s="888">
        <f t="shared" si="50"/>
        <v>2034</v>
      </c>
      <c r="M101" s="883">
        <f t="shared" si="43"/>
        <v>0</v>
      </c>
      <c r="N101" s="883">
        <f t="shared" si="44"/>
        <v>0</v>
      </c>
      <c r="O101" s="1100"/>
      <c r="P101" s="883">
        <f t="shared" si="36"/>
        <v>0</v>
      </c>
      <c r="Q101" s="884">
        <f t="shared" si="45"/>
        <v>0</v>
      </c>
      <c r="R101" s="884">
        <f>IF(AND($AR$39="Early Payoff",I101&gt;=$R$13),0,IF($I101&lt;=$R$6,SUM($P$20:$P101),0))</f>
        <v>0</v>
      </c>
      <c r="S101" s="884">
        <f>IF(AND($AR$39="Early Payoff",I101&gt;=$R$13),0,IF($I101&lt;=$R$6,SUM($Q$20:$Q101),0))</f>
        <v>0</v>
      </c>
      <c r="T101" s="873">
        <f t="shared" si="46"/>
        <v>0</v>
      </c>
      <c r="U101" s="1110">
        <f t="shared" si="47"/>
        <v>0</v>
      </c>
      <c r="W101" s="1102">
        <f t="shared" si="37"/>
        <v>0</v>
      </c>
      <c r="X101" s="873">
        <f t="shared" si="38"/>
        <v>0</v>
      </c>
      <c r="Y101" s="873">
        <f t="shared" si="39"/>
        <v>0</v>
      </c>
      <c r="Z101" s="885">
        <f t="shared" si="40"/>
        <v>0</v>
      </c>
    </row>
    <row r="102" spans="2:26" s="278" customFormat="1" ht="12" customHeight="1" x14ac:dyDescent="0.25">
      <c r="B102" s="1192">
        <f t="shared" si="48"/>
        <v>102</v>
      </c>
      <c r="C102" s="732">
        <f t="shared" si="32"/>
        <v>31</v>
      </c>
      <c r="D102" s="35">
        <f t="shared" si="33"/>
        <v>8</v>
      </c>
      <c r="E102" s="889">
        <f t="shared" si="51"/>
        <v>49187</v>
      </c>
      <c r="F102" s="822">
        <f t="shared" si="34"/>
        <v>8</v>
      </c>
      <c r="G102" s="126">
        <f t="shared" si="35"/>
        <v>0</v>
      </c>
      <c r="H102" s="1098">
        <f t="shared" si="52"/>
        <v>0</v>
      </c>
      <c r="I102" s="887">
        <f t="shared" si="49"/>
        <v>83</v>
      </c>
      <c r="J102" s="1099">
        <f t="shared" si="41"/>
        <v>83</v>
      </c>
      <c r="K102" s="891" t="str">
        <f t="shared" si="42"/>
        <v>August</v>
      </c>
      <c r="L102" s="888">
        <f t="shared" si="50"/>
        <v>2034</v>
      </c>
      <c r="M102" s="883">
        <f t="shared" si="43"/>
        <v>0</v>
      </c>
      <c r="N102" s="883">
        <f t="shared" si="44"/>
        <v>0</v>
      </c>
      <c r="O102" s="1100"/>
      <c r="P102" s="883">
        <f t="shared" si="36"/>
        <v>0</v>
      </c>
      <c r="Q102" s="884">
        <f t="shared" si="45"/>
        <v>0</v>
      </c>
      <c r="R102" s="884">
        <f>IF(AND($AR$39="Early Payoff",I102&gt;=$R$13),0,IF($I102&lt;=$R$6,SUM($P$20:$P102),0))</f>
        <v>0</v>
      </c>
      <c r="S102" s="884">
        <f>IF(AND($AR$39="Early Payoff",I102&gt;=$R$13),0,IF($I102&lt;=$R$6,SUM($Q$20:$Q102),0))</f>
        <v>0</v>
      </c>
      <c r="T102" s="873">
        <f t="shared" si="46"/>
        <v>0</v>
      </c>
      <c r="U102" s="1110">
        <f t="shared" si="47"/>
        <v>0</v>
      </c>
      <c r="W102" s="1102">
        <f t="shared" si="37"/>
        <v>0</v>
      </c>
      <c r="X102" s="873">
        <f t="shared" si="38"/>
        <v>0</v>
      </c>
      <c r="Y102" s="873">
        <f t="shared" si="39"/>
        <v>0</v>
      </c>
      <c r="Z102" s="885">
        <f t="shared" si="40"/>
        <v>0</v>
      </c>
    </row>
    <row r="103" spans="2:26" s="278" customFormat="1" ht="12" customHeight="1" x14ac:dyDescent="0.25">
      <c r="B103" s="1192">
        <f t="shared" si="48"/>
        <v>103</v>
      </c>
      <c r="C103" s="732">
        <f t="shared" si="32"/>
        <v>30</v>
      </c>
      <c r="D103" s="35">
        <f t="shared" si="33"/>
        <v>9</v>
      </c>
      <c r="E103" s="889">
        <f t="shared" si="51"/>
        <v>49217</v>
      </c>
      <c r="F103" s="822">
        <f t="shared" si="34"/>
        <v>9</v>
      </c>
      <c r="G103" s="126">
        <f t="shared" si="35"/>
        <v>0</v>
      </c>
      <c r="H103" s="1098">
        <f t="shared" si="52"/>
        <v>0</v>
      </c>
      <c r="I103" s="887">
        <f t="shared" si="49"/>
        <v>84</v>
      </c>
      <c r="J103" s="1099">
        <f t="shared" si="41"/>
        <v>84</v>
      </c>
      <c r="K103" s="891" t="str">
        <f t="shared" si="42"/>
        <v>September</v>
      </c>
      <c r="L103" s="888">
        <f t="shared" si="50"/>
        <v>2034</v>
      </c>
      <c r="M103" s="883">
        <f t="shared" si="43"/>
        <v>0</v>
      </c>
      <c r="N103" s="883">
        <f t="shared" si="44"/>
        <v>0</v>
      </c>
      <c r="O103" s="1100"/>
      <c r="P103" s="883">
        <f t="shared" si="36"/>
        <v>0</v>
      </c>
      <c r="Q103" s="884">
        <f t="shared" si="45"/>
        <v>0</v>
      </c>
      <c r="R103" s="884">
        <f>IF(AND($AR$39="Early Payoff",I103&gt;=$R$13),0,IF($I103&lt;=$R$6,SUM($P$20:$P103),0))</f>
        <v>0</v>
      </c>
      <c r="S103" s="884">
        <f>IF(AND($AR$39="Early Payoff",I103&gt;=$R$13),0,IF($I103&lt;=$R$6,SUM($Q$20:$Q103),0))</f>
        <v>0</v>
      </c>
      <c r="T103" s="873">
        <f t="shared" si="46"/>
        <v>0</v>
      </c>
      <c r="U103" s="1110">
        <f t="shared" si="47"/>
        <v>0</v>
      </c>
      <c r="W103" s="1102">
        <f t="shared" si="37"/>
        <v>0</v>
      </c>
      <c r="X103" s="873">
        <f t="shared" si="38"/>
        <v>0</v>
      </c>
      <c r="Y103" s="873">
        <f t="shared" si="39"/>
        <v>0</v>
      </c>
      <c r="Z103" s="885">
        <f t="shared" si="40"/>
        <v>0</v>
      </c>
    </row>
    <row r="104" spans="2:26" s="278" customFormat="1" ht="12" customHeight="1" x14ac:dyDescent="0.25">
      <c r="B104" s="1192">
        <f t="shared" si="48"/>
        <v>104</v>
      </c>
      <c r="C104" s="732">
        <f t="shared" si="32"/>
        <v>31</v>
      </c>
      <c r="D104" s="35">
        <f t="shared" si="33"/>
        <v>10</v>
      </c>
      <c r="E104" s="889">
        <f t="shared" si="51"/>
        <v>49248</v>
      </c>
      <c r="F104" s="822">
        <f t="shared" si="34"/>
        <v>10</v>
      </c>
      <c r="G104" s="126">
        <f t="shared" si="35"/>
        <v>0</v>
      </c>
      <c r="H104" s="1098">
        <f t="shared" si="52"/>
        <v>0</v>
      </c>
      <c r="I104" s="887">
        <f t="shared" si="49"/>
        <v>85</v>
      </c>
      <c r="J104" s="1099">
        <f t="shared" si="41"/>
        <v>85</v>
      </c>
      <c r="K104" s="891" t="str">
        <f t="shared" si="42"/>
        <v>October</v>
      </c>
      <c r="L104" s="888">
        <f t="shared" si="50"/>
        <v>2034</v>
      </c>
      <c r="M104" s="883">
        <f t="shared" si="43"/>
        <v>0</v>
      </c>
      <c r="N104" s="883">
        <f t="shared" si="44"/>
        <v>0</v>
      </c>
      <c r="O104" s="1100"/>
      <c r="P104" s="883">
        <f t="shared" si="36"/>
        <v>0</v>
      </c>
      <c r="Q104" s="884">
        <f t="shared" si="45"/>
        <v>0</v>
      </c>
      <c r="R104" s="884">
        <f>IF(AND($AR$39="Early Payoff",I104&gt;=$R$13),0,IF($I104&lt;=$R$6,SUM($P$20:$P104),0))</f>
        <v>0</v>
      </c>
      <c r="S104" s="884">
        <f>IF(AND($AR$39="Early Payoff",I104&gt;=$R$13),0,IF($I104&lt;=$R$6,SUM($Q$20:$Q104),0))</f>
        <v>0</v>
      </c>
      <c r="T104" s="873">
        <f t="shared" si="46"/>
        <v>0</v>
      </c>
      <c r="U104" s="1110">
        <f t="shared" si="47"/>
        <v>0</v>
      </c>
      <c r="W104" s="1102">
        <f t="shared" si="37"/>
        <v>0</v>
      </c>
      <c r="X104" s="873">
        <f t="shared" si="38"/>
        <v>0</v>
      </c>
      <c r="Y104" s="873">
        <f t="shared" si="39"/>
        <v>0</v>
      </c>
      <c r="Z104" s="885">
        <f t="shared" si="40"/>
        <v>0</v>
      </c>
    </row>
    <row r="105" spans="2:26" s="278" customFormat="1" ht="12" customHeight="1" x14ac:dyDescent="0.25">
      <c r="B105" s="1192">
        <f t="shared" si="48"/>
        <v>105</v>
      </c>
      <c r="C105" s="732">
        <f t="shared" si="32"/>
        <v>30</v>
      </c>
      <c r="D105" s="35">
        <f t="shared" si="33"/>
        <v>11</v>
      </c>
      <c r="E105" s="889">
        <f t="shared" si="51"/>
        <v>49278</v>
      </c>
      <c r="F105" s="822">
        <f t="shared" si="34"/>
        <v>11</v>
      </c>
      <c r="G105" s="126">
        <f t="shared" si="35"/>
        <v>0</v>
      </c>
      <c r="H105" s="1098">
        <f t="shared" si="52"/>
        <v>0</v>
      </c>
      <c r="I105" s="887">
        <f t="shared" si="49"/>
        <v>86</v>
      </c>
      <c r="J105" s="1099">
        <f t="shared" si="41"/>
        <v>86</v>
      </c>
      <c r="K105" s="891" t="str">
        <f t="shared" si="42"/>
        <v>November</v>
      </c>
      <c r="L105" s="888">
        <f t="shared" si="50"/>
        <v>2034</v>
      </c>
      <c r="M105" s="883">
        <f t="shared" si="43"/>
        <v>0</v>
      </c>
      <c r="N105" s="883">
        <f t="shared" si="44"/>
        <v>0</v>
      </c>
      <c r="O105" s="1100"/>
      <c r="P105" s="883">
        <f t="shared" si="36"/>
        <v>0</v>
      </c>
      <c r="Q105" s="884">
        <f t="shared" si="45"/>
        <v>0</v>
      </c>
      <c r="R105" s="884">
        <f>IF(AND($AR$39="Early Payoff",I105&gt;=$R$13),0,IF($I105&lt;=$R$6,SUM($P$20:$P105),0))</f>
        <v>0</v>
      </c>
      <c r="S105" s="884">
        <f>IF(AND($AR$39="Early Payoff",I105&gt;=$R$13),0,IF($I105&lt;=$R$6,SUM($Q$20:$Q105),0))</f>
        <v>0</v>
      </c>
      <c r="T105" s="873">
        <f t="shared" si="46"/>
        <v>0</v>
      </c>
      <c r="U105" s="1110">
        <f t="shared" si="47"/>
        <v>0</v>
      </c>
      <c r="W105" s="1102">
        <f t="shared" si="37"/>
        <v>0</v>
      </c>
      <c r="X105" s="873">
        <f t="shared" si="38"/>
        <v>0</v>
      </c>
      <c r="Y105" s="873">
        <f t="shared" si="39"/>
        <v>0</v>
      </c>
      <c r="Z105" s="885">
        <f t="shared" si="40"/>
        <v>0</v>
      </c>
    </row>
    <row r="106" spans="2:26" s="278" customFormat="1" ht="12" customHeight="1" x14ac:dyDescent="0.25">
      <c r="B106" s="1192">
        <f t="shared" si="48"/>
        <v>106</v>
      </c>
      <c r="C106" s="732">
        <f t="shared" si="32"/>
        <v>31</v>
      </c>
      <c r="D106" s="35">
        <f t="shared" si="33"/>
        <v>12</v>
      </c>
      <c r="E106" s="889">
        <f t="shared" si="51"/>
        <v>49309</v>
      </c>
      <c r="F106" s="822">
        <f t="shared" si="34"/>
        <v>12</v>
      </c>
      <c r="G106" s="126">
        <f t="shared" si="35"/>
        <v>1</v>
      </c>
      <c r="H106" s="1098">
        <f t="shared" si="52"/>
        <v>0</v>
      </c>
      <c r="I106" s="887">
        <f t="shared" si="49"/>
        <v>87</v>
      </c>
      <c r="J106" s="1099">
        <f t="shared" si="41"/>
        <v>87</v>
      </c>
      <c r="K106" s="891" t="str">
        <f t="shared" si="42"/>
        <v>December</v>
      </c>
      <c r="L106" s="888">
        <f t="shared" si="50"/>
        <v>2034</v>
      </c>
      <c r="M106" s="883">
        <f t="shared" si="43"/>
        <v>0</v>
      </c>
      <c r="N106" s="883">
        <f t="shared" si="44"/>
        <v>0</v>
      </c>
      <c r="O106" s="1100"/>
      <c r="P106" s="883">
        <f t="shared" si="36"/>
        <v>0</v>
      </c>
      <c r="Q106" s="884">
        <f t="shared" si="45"/>
        <v>0</v>
      </c>
      <c r="R106" s="884">
        <f>IF(AND($AR$39="Early Payoff",I106&gt;=$R$13),0,IF($I106&lt;=$R$6,SUM($P$20:$P106),0))</f>
        <v>0</v>
      </c>
      <c r="S106" s="884">
        <f>IF(AND($AR$39="Early Payoff",I106&gt;=$R$13),0,IF($I106&lt;=$R$6,SUM($Q$20:$Q106),0))</f>
        <v>0</v>
      </c>
      <c r="T106" s="873">
        <f t="shared" si="46"/>
        <v>0</v>
      </c>
      <c r="U106" s="1110">
        <f t="shared" si="47"/>
        <v>0</v>
      </c>
      <c r="W106" s="1102">
        <f t="shared" si="37"/>
        <v>0</v>
      </c>
      <c r="X106" s="873">
        <f t="shared" si="38"/>
        <v>0</v>
      </c>
      <c r="Y106" s="873">
        <f t="shared" si="39"/>
        <v>0</v>
      </c>
      <c r="Z106" s="885">
        <f t="shared" si="40"/>
        <v>0</v>
      </c>
    </row>
    <row r="107" spans="2:26" s="278" customFormat="1" ht="12" customHeight="1" x14ac:dyDescent="0.25">
      <c r="B107" s="1192">
        <f t="shared" si="48"/>
        <v>107</v>
      </c>
      <c r="C107" s="732">
        <f t="shared" si="32"/>
        <v>31</v>
      </c>
      <c r="D107" s="35">
        <f t="shared" si="33"/>
        <v>1</v>
      </c>
      <c r="E107" s="889">
        <f t="shared" si="51"/>
        <v>49340</v>
      </c>
      <c r="F107" s="822">
        <f t="shared" si="34"/>
        <v>1</v>
      </c>
      <c r="G107" s="126">
        <f t="shared" si="35"/>
        <v>0</v>
      </c>
      <c r="H107" s="1098">
        <f t="shared" si="52"/>
        <v>0</v>
      </c>
      <c r="I107" s="887">
        <f t="shared" si="49"/>
        <v>88</v>
      </c>
      <c r="J107" s="1099">
        <f t="shared" si="41"/>
        <v>88</v>
      </c>
      <c r="K107" s="891" t="str">
        <f t="shared" si="42"/>
        <v>January</v>
      </c>
      <c r="L107" s="888">
        <f t="shared" si="50"/>
        <v>2035</v>
      </c>
      <c r="M107" s="883">
        <f t="shared" si="43"/>
        <v>0</v>
      </c>
      <c r="N107" s="883">
        <f t="shared" si="44"/>
        <v>0</v>
      </c>
      <c r="O107" s="1100"/>
      <c r="P107" s="883">
        <f t="shared" si="36"/>
        <v>0</v>
      </c>
      <c r="Q107" s="884">
        <f t="shared" si="45"/>
        <v>0</v>
      </c>
      <c r="R107" s="884">
        <f>IF(AND($AR$39="Early Payoff",I107&gt;=$R$13),0,IF($I107&lt;=$R$6,SUM($P$20:$P107),0))</f>
        <v>0</v>
      </c>
      <c r="S107" s="884">
        <f>IF(AND($AR$39="Early Payoff",I107&gt;=$R$13),0,IF($I107&lt;=$R$6,SUM($Q$20:$Q107),0))</f>
        <v>0</v>
      </c>
      <c r="T107" s="873">
        <f t="shared" si="46"/>
        <v>0</v>
      </c>
      <c r="U107" s="1110">
        <f t="shared" si="47"/>
        <v>0</v>
      </c>
      <c r="W107" s="1102">
        <f t="shared" si="37"/>
        <v>0</v>
      </c>
      <c r="X107" s="873">
        <f t="shared" si="38"/>
        <v>0</v>
      </c>
      <c r="Y107" s="873">
        <f t="shared" si="39"/>
        <v>0</v>
      </c>
      <c r="Z107" s="885">
        <f t="shared" si="40"/>
        <v>0</v>
      </c>
    </row>
    <row r="108" spans="2:26" s="278" customFormat="1" ht="12" customHeight="1" x14ac:dyDescent="0.25">
      <c r="B108" s="1192">
        <f t="shared" si="48"/>
        <v>108</v>
      </c>
      <c r="C108" s="732">
        <f t="shared" si="32"/>
        <v>28</v>
      </c>
      <c r="D108" s="35">
        <f t="shared" si="33"/>
        <v>2</v>
      </c>
      <c r="E108" s="889">
        <f t="shared" si="51"/>
        <v>49368</v>
      </c>
      <c r="F108" s="822">
        <f t="shared" si="34"/>
        <v>2</v>
      </c>
      <c r="G108" s="126">
        <f t="shared" si="35"/>
        <v>0</v>
      </c>
      <c r="H108" s="1098">
        <f t="shared" si="52"/>
        <v>0</v>
      </c>
      <c r="I108" s="887">
        <f t="shared" si="49"/>
        <v>89</v>
      </c>
      <c r="J108" s="1099">
        <f t="shared" si="41"/>
        <v>89</v>
      </c>
      <c r="K108" s="891" t="str">
        <f t="shared" si="42"/>
        <v>February</v>
      </c>
      <c r="L108" s="888">
        <f t="shared" si="50"/>
        <v>2035</v>
      </c>
      <c r="M108" s="883">
        <f t="shared" si="43"/>
        <v>0</v>
      </c>
      <c r="N108" s="883">
        <f t="shared" si="44"/>
        <v>0</v>
      </c>
      <c r="O108" s="1100"/>
      <c r="P108" s="883">
        <f t="shared" si="36"/>
        <v>0</v>
      </c>
      <c r="Q108" s="884">
        <f t="shared" si="45"/>
        <v>0</v>
      </c>
      <c r="R108" s="884">
        <f>IF(AND($AR$39="Early Payoff",I108&gt;=$R$13),0,IF($I108&lt;=$R$6,SUM($P$20:$P108),0))</f>
        <v>0</v>
      </c>
      <c r="S108" s="884">
        <f>IF(AND($AR$39="Early Payoff",I108&gt;=$R$13),0,IF($I108&lt;=$R$6,SUM($Q$20:$Q108),0))</f>
        <v>0</v>
      </c>
      <c r="T108" s="873">
        <f t="shared" si="46"/>
        <v>0</v>
      </c>
      <c r="U108" s="1110">
        <f t="shared" si="47"/>
        <v>0</v>
      </c>
      <c r="W108" s="1102">
        <f t="shared" si="37"/>
        <v>0</v>
      </c>
      <c r="X108" s="873">
        <f t="shared" si="38"/>
        <v>0</v>
      </c>
      <c r="Y108" s="873">
        <f t="shared" si="39"/>
        <v>0</v>
      </c>
      <c r="Z108" s="885">
        <f t="shared" si="40"/>
        <v>0</v>
      </c>
    </row>
    <row r="109" spans="2:26" s="278" customFormat="1" ht="12" customHeight="1" x14ac:dyDescent="0.25">
      <c r="B109" s="1192">
        <f t="shared" si="48"/>
        <v>109</v>
      </c>
      <c r="C109" s="732">
        <f t="shared" si="32"/>
        <v>31</v>
      </c>
      <c r="D109" s="35">
        <f t="shared" si="33"/>
        <v>3</v>
      </c>
      <c r="E109" s="889">
        <f t="shared" si="51"/>
        <v>49399</v>
      </c>
      <c r="F109" s="822">
        <f t="shared" si="34"/>
        <v>3</v>
      </c>
      <c r="G109" s="126">
        <f t="shared" si="35"/>
        <v>0</v>
      </c>
      <c r="H109" s="1098">
        <f t="shared" si="52"/>
        <v>0</v>
      </c>
      <c r="I109" s="887">
        <f t="shared" si="49"/>
        <v>90</v>
      </c>
      <c r="J109" s="1099">
        <f t="shared" si="41"/>
        <v>90</v>
      </c>
      <c r="K109" s="891" t="str">
        <f t="shared" si="42"/>
        <v>March</v>
      </c>
      <c r="L109" s="888">
        <f t="shared" si="50"/>
        <v>2035</v>
      </c>
      <c r="M109" s="883">
        <f t="shared" si="43"/>
        <v>0</v>
      </c>
      <c r="N109" s="883">
        <f t="shared" si="44"/>
        <v>0</v>
      </c>
      <c r="O109" s="1100"/>
      <c r="P109" s="883">
        <f t="shared" si="36"/>
        <v>0</v>
      </c>
      <c r="Q109" s="884">
        <f t="shared" si="45"/>
        <v>0</v>
      </c>
      <c r="R109" s="884">
        <f>IF(AND($AR$39="Early Payoff",I109&gt;=$R$13),0,IF($I109&lt;=$R$6,SUM($P$20:$P109),0))</f>
        <v>0</v>
      </c>
      <c r="S109" s="884">
        <f>IF(AND($AR$39="Early Payoff",I109&gt;=$R$13),0,IF($I109&lt;=$R$6,SUM($Q$20:$Q109),0))</f>
        <v>0</v>
      </c>
      <c r="T109" s="873">
        <f t="shared" si="46"/>
        <v>0</v>
      </c>
      <c r="U109" s="1110">
        <f t="shared" si="47"/>
        <v>0</v>
      </c>
      <c r="W109" s="1102">
        <f t="shared" si="37"/>
        <v>0</v>
      </c>
      <c r="X109" s="873">
        <f t="shared" si="38"/>
        <v>0</v>
      </c>
      <c r="Y109" s="873">
        <f t="shared" si="39"/>
        <v>0</v>
      </c>
      <c r="Z109" s="885">
        <f t="shared" si="40"/>
        <v>0</v>
      </c>
    </row>
    <row r="110" spans="2:26" s="278" customFormat="1" ht="12" customHeight="1" x14ac:dyDescent="0.25">
      <c r="B110" s="1192">
        <f t="shared" si="48"/>
        <v>110</v>
      </c>
      <c r="C110" s="732">
        <f t="shared" si="32"/>
        <v>30</v>
      </c>
      <c r="D110" s="35">
        <f t="shared" si="33"/>
        <v>4</v>
      </c>
      <c r="E110" s="889">
        <f t="shared" si="51"/>
        <v>49429</v>
      </c>
      <c r="F110" s="822">
        <f t="shared" si="34"/>
        <v>4</v>
      </c>
      <c r="G110" s="126">
        <f t="shared" si="35"/>
        <v>0</v>
      </c>
      <c r="H110" s="1098">
        <f t="shared" si="52"/>
        <v>0</v>
      </c>
      <c r="I110" s="887">
        <f t="shared" si="49"/>
        <v>91</v>
      </c>
      <c r="J110" s="1099">
        <f t="shared" si="41"/>
        <v>91</v>
      </c>
      <c r="K110" s="891" t="str">
        <f t="shared" si="42"/>
        <v>April</v>
      </c>
      <c r="L110" s="888">
        <f t="shared" si="50"/>
        <v>2035</v>
      </c>
      <c r="M110" s="883">
        <f t="shared" si="43"/>
        <v>0</v>
      </c>
      <c r="N110" s="883">
        <f t="shared" si="44"/>
        <v>0</v>
      </c>
      <c r="O110" s="1100"/>
      <c r="P110" s="883">
        <f t="shared" si="36"/>
        <v>0</v>
      </c>
      <c r="Q110" s="884">
        <f t="shared" si="45"/>
        <v>0</v>
      </c>
      <c r="R110" s="884">
        <f>IF(AND($AR$39="Early Payoff",I110&gt;=$R$13),0,IF($I110&lt;=$R$6,SUM($P$20:$P110),0))</f>
        <v>0</v>
      </c>
      <c r="S110" s="884">
        <f>IF(AND($AR$39="Early Payoff",I110&gt;=$R$13),0,IF($I110&lt;=$R$6,SUM($Q$20:$Q110),0))</f>
        <v>0</v>
      </c>
      <c r="T110" s="873">
        <f t="shared" si="46"/>
        <v>0</v>
      </c>
      <c r="U110" s="1110">
        <f t="shared" si="47"/>
        <v>0</v>
      </c>
      <c r="W110" s="1102">
        <f t="shared" si="37"/>
        <v>0</v>
      </c>
      <c r="X110" s="873">
        <f t="shared" si="38"/>
        <v>0</v>
      </c>
      <c r="Y110" s="873">
        <f t="shared" si="39"/>
        <v>0</v>
      </c>
      <c r="Z110" s="885">
        <f t="shared" si="40"/>
        <v>0</v>
      </c>
    </row>
    <row r="111" spans="2:26" s="278" customFormat="1" ht="12" customHeight="1" x14ac:dyDescent="0.25">
      <c r="B111" s="1192">
        <f t="shared" si="48"/>
        <v>111</v>
      </c>
      <c r="C111" s="732">
        <f t="shared" si="32"/>
        <v>31</v>
      </c>
      <c r="D111" s="35">
        <f t="shared" si="33"/>
        <v>5</v>
      </c>
      <c r="E111" s="889">
        <f t="shared" si="51"/>
        <v>49460</v>
      </c>
      <c r="F111" s="822">
        <f t="shared" si="34"/>
        <v>5</v>
      </c>
      <c r="G111" s="126">
        <f t="shared" si="35"/>
        <v>0</v>
      </c>
      <c r="H111" s="1098">
        <f t="shared" si="52"/>
        <v>0</v>
      </c>
      <c r="I111" s="887">
        <f t="shared" si="49"/>
        <v>92</v>
      </c>
      <c r="J111" s="1099">
        <f t="shared" si="41"/>
        <v>92</v>
      </c>
      <c r="K111" s="891" t="str">
        <f t="shared" si="42"/>
        <v>May</v>
      </c>
      <c r="L111" s="888">
        <f t="shared" si="50"/>
        <v>2035</v>
      </c>
      <c r="M111" s="883">
        <f t="shared" si="43"/>
        <v>0</v>
      </c>
      <c r="N111" s="883">
        <f t="shared" si="44"/>
        <v>0</v>
      </c>
      <c r="O111" s="1100"/>
      <c r="P111" s="883">
        <f t="shared" si="36"/>
        <v>0</v>
      </c>
      <c r="Q111" s="884">
        <f t="shared" si="45"/>
        <v>0</v>
      </c>
      <c r="R111" s="884">
        <f>IF(AND($AR$39="Early Payoff",I111&gt;=$R$13),0,IF($I111&lt;=$R$6,SUM($P$20:$P111),0))</f>
        <v>0</v>
      </c>
      <c r="S111" s="884">
        <f>IF(AND($AR$39="Early Payoff",I111&gt;=$R$13),0,IF($I111&lt;=$R$6,SUM($Q$20:$Q111),0))</f>
        <v>0</v>
      </c>
      <c r="T111" s="873">
        <f t="shared" si="46"/>
        <v>0</v>
      </c>
      <c r="U111" s="1110">
        <f t="shared" si="47"/>
        <v>0</v>
      </c>
      <c r="W111" s="1102">
        <f t="shared" si="37"/>
        <v>0</v>
      </c>
      <c r="X111" s="873">
        <f t="shared" si="38"/>
        <v>0</v>
      </c>
      <c r="Y111" s="873">
        <f t="shared" si="39"/>
        <v>0</v>
      </c>
      <c r="Z111" s="885">
        <f t="shared" si="40"/>
        <v>0</v>
      </c>
    </row>
    <row r="112" spans="2:26" s="278" customFormat="1" ht="12" customHeight="1" x14ac:dyDescent="0.25">
      <c r="B112" s="1192">
        <f t="shared" si="48"/>
        <v>112</v>
      </c>
      <c r="C112" s="732">
        <f t="shared" si="32"/>
        <v>30</v>
      </c>
      <c r="D112" s="35">
        <f t="shared" si="33"/>
        <v>6</v>
      </c>
      <c r="E112" s="889">
        <f t="shared" si="51"/>
        <v>49490</v>
      </c>
      <c r="F112" s="822">
        <f t="shared" si="34"/>
        <v>6</v>
      </c>
      <c r="G112" s="126">
        <f t="shared" si="35"/>
        <v>0</v>
      </c>
      <c r="H112" s="1098">
        <f t="shared" si="52"/>
        <v>0</v>
      </c>
      <c r="I112" s="887">
        <f t="shared" si="49"/>
        <v>93</v>
      </c>
      <c r="J112" s="1099">
        <f t="shared" si="41"/>
        <v>93</v>
      </c>
      <c r="K112" s="891" t="str">
        <f t="shared" si="42"/>
        <v>June</v>
      </c>
      <c r="L112" s="888">
        <f t="shared" si="50"/>
        <v>2035</v>
      </c>
      <c r="M112" s="883">
        <f t="shared" si="43"/>
        <v>0</v>
      </c>
      <c r="N112" s="883">
        <f t="shared" si="44"/>
        <v>0</v>
      </c>
      <c r="O112" s="1100"/>
      <c r="P112" s="883">
        <f t="shared" si="36"/>
        <v>0</v>
      </c>
      <c r="Q112" s="884">
        <f t="shared" si="45"/>
        <v>0</v>
      </c>
      <c r="R112" s="884">
        <f>IF(AND($AR$39="Early Payoff",I112&gt;=$R$13),0,IF($I112&lt;=$R$6,SUM($P$20:$P112),0))</f>
        <v>0</v>
      </c>
      <c r="S112" s="884">
        <f>IF(AND($AR$39="Early Payoff",I112&gt;=$R$13),0,IF($I112&lt;=$R$6,SUM($Q$20:$Q112),0))</f>
        <v>0</v>
      </c>
      <c r="T112" s="873">
        <f t="shared" si="46"/>
        <v>0</v>
      </c>
      <c r="U112" s="1110">
        <f t="shared" si="47"/>
        <v>0</v>
      </c>
      <c r="W112" s="1102">
        <f t="shared" si="37"/>
        <v>0</v>
      </c>
      <c r="X112" s="873">
        <f t="shared" si="38"/>
        <v>0</v>
      </c>
      <c r="Y112" s="873">
        <f t="shared" si="39"/>
        <v>0</v>
      </c>
      <c r="Z112" s="885">
        <f t="shared" si="40"/>
        <v>0</v>
      </c>
    </row>
    <row r="113" spans="2:26" s="278" customFormat="1" ht="12" customHeight="1" x14ac:dyDescent="0.25">
      <c r="B113" s="1192">
        <f t="shared" si="48"/>
        <v>113</v>
      </c>
      <c r="C113" s="732">
        <f t="shared" si="32"/>
        <v>31</v>
      </c>
      <c r="D113" s="35">
        <f t="shared" si="33"/>
        <v>7</v>
      </c>
      <c r="E113" s="889">
        <f t="shared" si="51"/>
        <v>49521</v>
      </c>
      <c r="F113" s="822">
        <f t="shared" si="34"/>
        <v>7</v>
      </c>
      <c r="G113" s="126">
        <f t="shared" si="35"/>
        <v>0</v>
      </c>
      <c r="H113" s="1098">
        <f t="shared" si="52"/>
        <v>0</v>
      </c>
      <c r="I113" s="887">
        <f t="shared" si="49"/>
        <v>94</v>
      </c>
      <c r="J113" s="1099">
        <f t="shared" si="41"/>
        <v>94</v>
      </c>
      <c r="K113" s="891" t="str">
        <f t="shared" si="42"/>
        <v>July</v>
      </c>
      <c r="L113" s="888">
        <f t="shared" si="50"/>
        <v>2035</v>
      </c>
      <c r="M113" s="883">
        <f t="shared" si="43"/>
        <v>0</v>
      </c>
      <c r="N113" s="883">
        <f t="shared" si="44"/>
        <v>0</v>
      </c>
      <c r="O113" s="1100"/>
      <c r="P113" s="883">
        <f t="shared" si="36"/>
        <v>0</v>
      </c>
      <c r="Q113" s="884">
        <f t="shared" si="45"/>
        <v>0</v>
      </c>
      <c r="R113" s="884">
        <f>IF(AND($AR$39="Early Payoff",I113&gt;=$R$13),0,IF($I113&lt;=$R$6,SUM($P$20:$P113),0))</f>
        <v>0</v>
      </c>
      <c r="S113" s="884">
        <f>IF(AND($AR$39="Early Payoff",I113&gt;=$R$13),0,IF($I113&lt;=$R$6,SUM($Q$20:$Q113),0))</f>
        <v>0</v>
      </c>
      <c r="T113" s="873">
        <f t="shared" si="46"/>
        <v>0</v>
      </c>
      <c r="U113" s="1110">
        <f t="shared" si="47"/>
        <v>0</v>
      </c>
      <c r="W113" s="1102">
        <f t="shared" si="37"/>
        <v>0</v>
      </c>
      <c r="X113" s="873">
        <f t="shared" si="38"/>
        <v>0</v>
      </c>
      <c r="Y113" s="873">
        <f t="shared" si="39"/>
        <v>0</v>
      </c>
      <c r="Z113" s="885">
        <f t="shared" si="40"/>
        <v>0</v>
      </c>
    </row>
    <row r="114" spans="2:26" s="278" customFormat="1" ht="12" customHeight="1" x14ac:dyDescent="0.25">
      <c r="B114" s="1192">
        <f t="shared" si="48"/>
        <v>114</v>
      </c>
      <c r="C114" s="732">
        <f t="shared" si="32"/>
        <v>31</v>
      </c>
      <c r="D114" s="35">
        <f t="shared" si="33"/>
        <v>8</v>
      </c>
      <c r="E114" s="889">
        <f t="shared" si="51"/>
        <v>49552</v>
      </c>
      <c r="F114" s="822">
        <f t="shared" si="34"/>
        <v>8</v>
      </c>
      <c r="G114" s="126">
        <f t="shared" si="35"/>
        <v>0</v>
      </c>
      <c r="H114" s="1098">
        <f t="shared" si="52"/>
        <v>0</v>
      </c>
      <c r="I114" s="887">
        <f t="shared" si="49"/>
        <v>95</v>
      </c>
      <c r="J114" s="1099">
        <f t="shared" si="41"/>
        <v>95</v>
      </c>
      <c r="K114" s="891" t="str">
        <f t="shared" si="42"/>
        <v>August</v>
      </c>
      <c r="L114" s="888">
        <f t="shared" si="50"/>
        <v>2035</v>
      </c>
      <c r="M114" s="883">
        <f t="shared" si="43"/>
        <v>0</v>
      </c>
      <c r="N114" s="883">
        <f t="shared" si="44"/>
        <v>0</v>
      </c>
      <c r="O114" s="1100"/>
      <c r="P114" s="883">
        <f t="shared" si="36"/>
        <v>0</v>
      </c>
      <c r="Q114" s="884">
        <f t="shared" si="45"/>
        <v>0</v>
      </c>
      <c r="R114" s="884">
        <f>IF(AND($AR$39="Early Payoff",I114&gt;=$R$13),0,IF($I114&lt;=$R$6,SUM($P$20:$P114),0))</f>
        <v>0</v>
      </c>
      <c r="S114" s="884">
        <f>IF(AND($AR$39="Early Payoff",I114&gt;=$R$13),0,IF($I114&lt;=$R$6,SUM($Q$20:$Q114),0))</f>
        <v>0</v>
      </c>
      <c r="T114" s="873">
        <f t="shared" si="46"/>
        <v>0</v>
      </c>
      <c r="U114" s="1110">
        <f t="shared" si="47"/>
        <v>0</v>
      </c>
      <c r="W114" s="1102">
        <f t="shared" si="37"/>
        <v>0</v>
      </c>
      <c r="X114" s="873">
        <f t="shared" si="38"/>
        <v>0</v>
      </c>
      <c r="Y114" s="873">
        <f t="shared" si="39"/>
        <v>0</v>
      </c>
      <c r="Z114" s="885">
        <f t="shared" si="40"/>
        <v>0</v>
      </c>
    </row>
    <row r="115" spans="2:26" s="278" customFormat="1" ht="12" customHeight="1" x14ac:dyDescent="0.25">
      <c r="B115" s="1192">
        <f t="shared" si="48"/>
        <v>115</v>
      </c>
      <c r="C115" s="732">
        <f t="shared" si="32"/>
        <v>30</v>
      </c>
      <c r="D115" s="35">
        <f t="shared" si="33"/>
        <v>9</v>
      </c>
      <c r="E115" s="889">
        <f t="shared" si="51"/>
        <v>49582</v>
      </c>
      <c r="F115" s="822">
        <f t="shared" si="34"/>
        <v>9</v>
      </c>
      <c r="G115" s="126">
        <f t="shared" si="35"/>
        <v>0</v>
      </c>
      <c r="H115" s="1098">
        <f t="shared" si="52"/>
        <v>0</v>
      </c>
      <c r="I115" s="887">
        <f t="shared" si="49"/>
        <v>96</v>
      </c>
      <c r="J115" s="1099">
        <f t="shared" si="41"/>
        <v>96</v>
      </c>
      <c r="K115" s="891" t="str">
        <f t="shared" si="42"/>
        <v>September</v>
      </c>
      <c r="L115" s="888">
        <f t="shared" si="50"/>
        <v>2035</v>
      </c>
      <c r="M115" s="883">
        <f t="shared" si="43"/>
        <v>0</v>
      </c>
      <c r="N115" s="883">
        <f t="shared" si="44"/>
        <v>0</v>
      </c>
      <c r="O115" s="1100"/>
      <c r="P115" s="883">
        <f t="shared" si="36"/>
        <v>0</v>
      </c>
      <c r="Q115" s="884">
        <f t="shared" si="45"/>
        <v>0</v>
      </c>
      <c r="R115" s="884">
        <f>IF(AND($AR$39="Early Payoff",I115&gt;=$R$13),0,IF($I115&lt;=$R$6,SUM($P$20:$P115),0))</f>
        <v>0</v>
      </c>
      <c r="S115" s="884">
        <f>IF(AND($AR$39="Early Payoff",I115&gt;=$R$13),0,IF($I115&lt;=$R$6,SUM($Q$20:$Q115),0))</f>
        <v>0</v>
      </c>
      <c r="T115" s="873">
        <f t="shared" si="46"/>
        <v>0</v>
      </c>
      <c r="U115" s="1110">
        <f t="shared" si="47"/>
        <v>0</v>
      </c>
      <c r="W115" s="1102">
        <f t="shared" si="37"/>
        <v>0</v>
      </c>
      <c r="X115" s="873">
        <f t="shared" si="38"/>
        <v>0</v>
      </c>
      <c r="Y115" s="873">
        <f t="shared" si="39"/>
        <v>0</v>
      </c>
      <c r="Z115" s="885">
        <f t="shared" si="40"/>
        <v>0</v>
      </c>
    </row>
    <row r="116" spans="2:26" s="278" customFormat="1" ht="12" customHeight="1" x14ac:dyDescent="0.25">
      <c r="B116" s="1192">
        <f t="shared" si="48"/>
        <v>116</v>
      </c>
      <c r="C116" s="732">
        <f t="shared" si="32"/>
        <v>31</v>
      </c>
      <c r="D116" s="35">
        <f t="shared" si="33"/>
        <v>10</v>
      </c>
      <c r="E116" s="889">
        <f t="shared" si="51"/>
        <v>49613</v>
      </c>
      <c r="F116" s="822">
        <f t="shared" si="34"/>
        <v>10</v>
      </c>
      <c r="G116" s="126">
        <f t="shared" si="35"/>
        <v>0</v>
      </c>
      <c r="H116" s="1098">
        <f t="shared" si="52"/>
        <v>0</v>
      </c>
      <c r="I116" s="887">
        <f t="shared" si="49"/>
        <v>97</v>
      </c>
      <c r="J116" s="1099">
        <f t="shared" si="41"/>
        <v>97</v>
      </c>
      <c r="K116" s="891" t="str">
        <f t="shared" si="42"/>
        <v>October</v>
      </c>
      <c r="L116" s="888">
        <f t="shared" si="50"/>
        <v>2035</v>
      </c>
      <c r="M116" s="883">
        <f t="shared" si="43"/>
        <v>0</v>
      </c>
      <c r="N116" s="883">
        <f t="shared" si="44"/>
        <v>0</v>
      </c>
      <c r="O116" s="1100"/>
      <c r="P116" s="883">
        <f t="shared" si="36"/>
        <v>0</v>
      </c>
      <c r="Q116" s="884">
        <f t="shared" si="45"/>
        <v>0</v>
      </c>
      <c r="R116" s="884">
        <f>IF(AND($AR$39="Early Payoff",I116&gt;=$R$13),0,IF($I116&lt;=$R$6,SUM($P$20:$P116),0))</f>
        <v>0</v>
      </c>
      <c r="S116" s="884">
        <f>IF(AND($AR$39="Early Payoff",I116&gt;=$R$13),0,IF($I116&lt;=$R$6,SUM($Q$20:$Q116),0))</f>
        <v>0</v>
      </c>
      <c r="T116" s="873">
        <f t="shared" si="46"/>
        <v>0</v>
      </c>
      <c r="U116" s="1110">
        <f t="shared" si="47"/>
        <v>0</v>
      </c>
      <c r="W116" s="1102">
        <f t="shared" si="37"/>
        <v>0</v>
      </c>
      <c r="X116" s="873">
        <f t="shared" si="38"/>
        <v>0</v>
      </c>
      <c r="Y116" s="873">
        <f t="shared" si="39"/>
        <v>0</v>
      </c>
      <c r="Z116" s="885">
        <f t="shared" si="40"/>
        <v>0</v>
      </c>
    </row>
    <row r="117" spans="2:26" s="278" customFormat="1" ht="12" customHeight="1" x14ac:dyDescent="0.25">
      <c r="B117" s="1192">
        <f t="shared" si="48"/>
        <v>117</v>
      </c>
      <c r="C117" s="732">
        <f t="shared" si="32"/>
        <v>30</v>
      </c>
      <c r="D117" s="35">
        <f t="shared" si="33"/>
        <v>11</v>
      </c>
      <c r="E117" s="889">
        <f t="shared" si="51"/>
        <v>49643</v>
      </c>
      <c r="F117" s="822">
        <f t="shared" si="34"/>
        <v>11</v>
      </c>
      <c r="G117" s="126">
        <f t="shared" si="35"/>
        <v>0</v>
      </c>
      <c r="H117" s="1098">
        <f t="shared" si="52"/>
        <v>0</v>
      </c>
      <c r="I117" s="887">
        <f t="shared" si="49"/>
        <v>98</v>
      </c>
      <c r="J117" s="1099">
        <f t="shared" si="41"/>
        <v>98</v>
      </c>
      <c r="K117" s="891" t="str">
        <f t="shared" si="42"/>
        <v>November</v>
      </c>
      <c r="L117" s="888">
        <f t="shared" si="50"/>
        <v>2035</v>
      </c>
      <c r="M117" s="883">
        <f t="shared" si="43"/>
        <v>0</v>
      </c>
      <c r="N117" s="883">
        <f t="shared" si="44"/>
        <v>0</v>
      </c>
      <c r="O117" s="1100"/>
      <c r="P117" s="883">
        <f t="shared" si="36"/>
        <v>0</v>
      </c>
      <c r="Q117" s="884">
        <f t="shared" si="45"/>
        <v>0</v>
      </c>
      <c r="R117" s="884">
        <f>IF(AND($AR$39="Early Payoff",I117&gt;=$R$13),0,IF($I117&lt;=$R$6,SUM($P$20:$P117),0))</f>
        <v>0</v>
      </c>
      <c r="S117" s="884">
        <f>IF(AND($AR$39="Early Payoff",I117&gt;=$R$13),0,IF($I117&lt;=$R$6,SUM($Q$20:$Q117),0))</f>
        <v>0</v>
      </c>
      <c r="T117" s="873">
        <f t="shared" si="46"/>
        <v>0</v>
      </c>
      <c r="U117" s="1110">
        <f t="shared" si="47"/>
        <v>0</v>
      </c>
      <c r="W117" s="1102">
        <f t="shared" si="37"/>
        <v>0</v>
      </c>
      <c r="X117" s="873">
        <f t="shared" si="38"/>
        <v>0</v>
      </c>
      <c r="Y117" s="873">
        <f t="shared" si="39"/>
        <v>0</v>
      </c>
      <c r="Z117" s="885">
        <f t="shared" si="40"/>
        <v>0</v>
      </c>
    </row>
    <row r="118" spans="2:26" s="278" customFormat="1" ht="12" customHeight="1" x14ac:dyDescent="0.25">
      <c r="B118" s="1192">
        <f t="shared" si="48"/>
        <v>118</v>
      </c>
      <c r="C118" s="732">
        <f t="shared" si="32"/>
        <v>31</v>
      </c>
      <c r="D118" s="35">
        <f t="shared" si="33"/>
        <v>12</v>
      </c>
      <c r="E118" s="889">
        <f t="shared" si="51"/>
        <v>49674</v>
      </c>
      <c r="F118" s="822">
        <f t="shared" si="34"/>
        <v>12</v>
      </c>
      <c r="G118" s="126">
        <f t="shared" si="35"/>
        <v>1</v>
      </c>
      <c r="H118" s="1098">
        <f t="shared" si="52"/>
        <v>0</v>
      </c>
      <c r="I118" s="887">
        <f t="shared" si="49"/>
        <v>99</v>
      </c>
      <c r="J118" s="1099">
        <f t="shared" si="41"/>
        <v>99</v>
      </c>
      <c r="K118" s="891" t="str">
        <f t="shared" si="42"/>
        <v>December</v>
      </c>
      <c r="L118" s="888">
        <f t="shared" si="50"/>
        <v>2035</v>
      </c>
      <c r="M118" s="883">
        <f t="shared" si="43"/>
        <v>0</v>
      </c>
      <c r="N118" s="883">
        <f t="shared" si="44"/>
        <v>0</v>
      </c>
      <c r="O118" s="1100"/>
      <c r="P118" s="883">
        <f t="shared" si="36"/>
        <v>0</v>
      </c>
      <c r="Q118" s="884">
        <f t="shared" si="45"/>
        <v>0</v>
      </c>
      <c r="R118" s="884">
        <f>IF(AND($AR$39="Early Payoff",I118&gt;=$R$13),0,IF($I118&lt;=$R$6,SUM($P$20:$P118),0))</f>
        <v>0</v>
      </c>
      <c r="S118" s="884">
        <f>IF(AND($AR$39="Early Payoff",I118&gt;=$R$13),0,IF($I118&lt;=$R$6,SUM($Q$20:$Q118),0))</f>
        <v>0</v>
      </c>
      <c r="T118" s="873">
        <f t="shared" si="46"/>
        <v>0</v>
      </c>
      <c r="U118" s="1110">
        <f t="shared" si="47"/>
        <v>0</v>
      </c>
      <c r="W118" s="1102">
        <f t="shared" si="37"/>
        <v>0</v>
      </c>
      <c r="X118" s="873">
        <f t="shared" si="38"/>
        <v>0</v>
      </c>
      <c r="Y118" s="873">
        <f t="shared" si="39"/>
        <v>0</v>
      </c>
      <c r="Z118" s="885">
        <f t="shared" si="40"/>
        <v>0</v>
      </c>
    </row>
    <row r="119" spans="2:26" s="278" customFormat="1" ht="12" customHeight="1" x14ac:dyDescent="0.25">
      <c r="B119" s="1192">
        <f t="shared" si="48"/>
        <v>119</v>
      </c>
      <c r="C119" s="732">
        <f t="shared" si="32"/>
        <v>31</v>
      </c>
      <c r="D119" s="35">
        <f t="shared" si="33"/>
        <v>1</v>
      </c>
      <c r="E119" s="889">
        <f t="shared" si="51"/>
        <v>49705</v>
      </c>
      <c r="F119" s="822">
        <f t="shared" si="34"/>
        <v>1</v>
      </c>
      <c r="G119" s="126">
        <f t="shared" si="35"/>
        <v>0</v>
      </c>
      <c r="H119" s="1098">
        <f t="shared" si="52"/>
        <v>0</v>
      </c>
      <c r="I119" s="887">
        <f t="shared" si="49"/>
        <v>100</v>
      </c>
      <c r="J119" s="1099">
        <f t="shared" si="41"/>
        <v>100</v>
      </c>
      <c r="K119" s="891" t="str">
        <f t="shared" si="42"/>
        <v>January</v>
      </c>
      <c r="L119" s="888">
        <f t="shared" si="50"/>
        <v>2036</v>
      </c>
      <c r="M119" s="883">
        <f t="shared" si="43"/>
        <v>0</v>
      </c>
      <c r="N119" s="883">
        <f t="shared" si="44"/>
        <v>0</v>
      </c>
      <c r="O119" s="1100"/>
      <c r="P119" s="883">
        <f t="shared" si="36"/>
        <v>0</v>
      </c>
      <c r="Q119" s="884">
        <f t="shared" si="45"/>
        <v>0</v>
      </c>
      <c r="R119" s="884">
        <f>IF(AND($AR$39="Early Payoff",I119&gt;=$R$13),0,IF($I119&lt;=$R$6,SUM($P$20:$P119),0))</f>
        <v>0</v>
      </c>
      <c r="S119" s="884">
        <f>IF(AND($AR$39="Early Payoff",I119&gt;=$R$13),0,IF($I119&lt;=$R$6,SUM($Q$20:$Q119),0))</f>
        <v>0</v>
      </c>
      <c r="T119" s="873">
        <f t="shared" si="46"/>
        <v>0</v>
      </c>
      <c r="U119" s="1110">
        <f t="shared" si="47"/>
        <v>0</v>
      </c>
      <c r="W119" s="1102">
        <f t="shared" si="37"/>
        <v>0</v>
      </c>
      <c r="X119" s="873">
        <f t="shared" si="38"/>
        <v>0</v>
      </c>
      <c r="Y119" s="873">
        <f t="shared" si="39"/>
        <v>0</v>
      </c>
      <c r="Z119" s="885">
        <f t="shared" si="40"/>
        <v>0</v>
      </c>
    </row>
    <row r="120" spans="2:26" s="278" customFormat="1" ht="12" customHeight="1" x14ac:dyDescent="0.25">
      <c r="B120" s="1192">
        <f t="shared" si="48"/>
        <v>120</v>
      </c>
      <c r="C120" s="732">
        <f t="shared" si="32"/>
        <v>29</v>
      </c>
      <c r="D120" s="35">
        <f t="shared" si="33"/>
        <v>2</v>
      </c>
      <c r="E120" s="889">
        <f t="shared" si="51"/>
        <v>49734</v>
      </c>
      <c r="F120" s="822">
        <f t="shared" si="34"/>
        <v>2</v>
      </c>
      <c r="G120" s="126">
        <f t="shared" si="35"/>
        <v>0</v>
      </c>
      <c r="H120" s="1098">
        <f t="shared" si="52"/>
        <v>0</v>
      </c>
      <c r="I120" s="887">
        <f t="shared" si="49"/>
        <v>101</v>
      </c>
      <c r="J120" s="1099">
        <f t="shared" si="41"/>
        <v>101</v>
      </c>
      <c r="K120" s="891" t="str">
        <f t="shared" si="42"/>
        <v>February</v>
      </c>
      <c r="L120" s="888">
        <f t="shared" si="50"/>
        <v>2036</v>
      </c>
      <c r="M120" s="883">
        <f t="shared" si="43"/>
        <v>0</v>
      </c>
      <c r="N120" s="883">
        <f t="shared" si="44"/>
        <v>0</v>
      </c>
      <c r="O120" s="1100"/>
      <c r="P120" s="883">
        <f t="shared" si="36"/>
        <v>0</v>
      </c>
      <c r="Q120" s="884">
        <f t="shared" si="45"/>
        <v>0</v>
      </c>
      <c r="R120" s="884">
        <f>IF(AND($AR$39="Early Payoff",I120&gt;=$R$13),0,IF($I120&lt;=$R$6,SUM($P$20:$P120),0))</f>
        <v>0</v>
      </c>
      <c r="S120" s="884">
        <f>IF(AND($AR$39="Early Payoff",I120&gt;=$R$13),0,IF($I120&lt;=$R$6,SUM($Q$20:$Q120),0))</f>
        <v>0</v>
      </c>
      <c r="T120" s="873">
        <f t="shared" si="46"/>
        <v>0</v>
      </c>
      <c r="U120" s="1110">
        <f t="shared" si="47"/>
        <v>0</v>
      </c>
      <c r="W120" s="1102">
        <f t="shared" si="37"/>
        <v>0</v>
      </c>
      <c r="X120" s="873">
        <f t="shared" si="38"/>
        <v>0</v>
      </c>
      <c r="Y120" s="873">
        <f t="shared" si="39"/>
        <v>0</v>
      </c>
      <c r="Z120" s="885">
        <f t="shared" si="40"/>
        <v>0</v>
      </c>
    </row>
    <row r="121" spans="2:26" s="278" customFormat="1" ht="12" customHeight="1" x14ac:dyDescent="0.25">
      <c r="B121" s="1192">
        <f t="shared" si="48"/>
        <v>121</v>
      </c>
      <c r="C121" s="732">
        <f t="shared" si="32"/>
        <v>31</v>
      </c>
      <c r="D121" s="35">
        <f t="shared" si="33"/>
        <v>3</v>
      </c>
      <c r="E121" s="889">
        <f t="shared" si="51"/>
        <v>49765</v>
      </c>
      <c r="F121" s="822">
        <f t="shared" si="34"/>
        <v>3</v>
      </c>
      <c r="G121" s="126">
        <f t="shared" si="35"/>
        <v>0</v>
      </c>
      <c r="H121" s="1098">
        <f t="shared" si="52"/>
        <v>0</v>
      </c>
      <c r="I121" s="887">
        <f t="shared" si="49"/>
        <v>102</v>
      </c>
      <c r="J121" s="1099">
        <f t="shared" si="41"/>
        <v>102</v>
      </c>
      <c r="K121" s="891" t="str">
        <f t="shared" si="42"/>
        <v>March</v>
      </c>
      <c r="L121" s="888">
        <f t="shared" si="50"/>
        <v>2036</v>
      </c>
      <c r="M121" s="883">
        <f t="shared" si="43"/>
        <v>0</v>
      </c>
      <c r="N121" s="883">
        <f t="shared" si="44"/>
        <v>0</v>
      </c>
      <c r="O121" s="1100"/>
      <c r="P121" s="883">
        <f t="shared" si="36"/>
        <v>0</v>
      </c>
      <c r="Q121" s="884">
        <f t="shared" si="45"/>
        <v>0</v>
      </c>
      <c r="R121" s="884">
        <f>IF(AND($AR$39="Early Payoff",I121&gt;=$R$13),0,IF($I121&lt;=$R$6,SUM($P$20:$P121),0))</f>
        <v>0</v>
      </c>
      <c r="S121" s="884">
        <f>IF(AND($AR$39="Early Payoff",I121&gt;=$R$13),0,IF($I121&lt;=$R$6,SUM($Q$20:$Q121),0))</f>
        <v>0</v>
      </c>
      <c r="T121" s="873">
        <f t="shared" si="46"/>
        <v>0</v>
      </c>
      <c r="U121" s="1110">
        <f t="shared" si="47"/>
        <v>0</v>
      </c>
      <c r="W121" s="1102">
        <f t="shared" si="37"/>
        <v>0</v>
      </c>
      <c r="X121" s="873">
        <f t="shared" si="38"/>
        <v>0</v>
      </c>
      <c r="Y121" s="873">
        <f t="shared" si="39"/>
        <v>0</v>
      </c>
      <c r="Z121" s="885">
        <f t="shared" si="40"/>
        <v>0</v>
      </c>
    </row>
    <row r="122" spans="2:26" s="278" customFormat="1" ht="12" customHeight="1" x14ac:dyDescent="0.25">
      <c r="B122" s="1192">
        <f t="shared" si="48"/>
        <v>122</v>
      </c>
      <c r="C122" s="732">
        <f t="shared" si="32"/>
        <v>30</v>
      </c>
      <c r="D122" s="35">
        <f t="shared" si="33"/>
        <v>4</v>
      </c>
      <c r="E122" s="889">
        <f t="shared" si="51"/>
        <v>49795</v>
      </c>
      <c r="F122" s="822">
        <f t="shared" si="34"/>
        <v>4</v>
      </c>
      <c r="G122" s="126">
        <f t="shared" si="35"/>
        <v>0</v>
      </c>
      <c r="H122" s="1098">
        <f t="shared" si="52"/>
        <v>0</v>
      </c>
      <c r="I122" s="887">
        <f t="shared" si="49"/>
        <v>103</v>
      </c>
      <c r="J122" s="1099">
        <f t="shared" si="41"/>
        <v>103</v>
      </c>
      <c r="K122" s="891" t="str">
        <f t="shared" si="42"/>
        <v>April</v>
      </c>
      <c r="L122" s="888">
        <f t="shared" si="50"/>
        <v>2036</v>
      </c>
      <c r="M122" s="883">
        <f t="shared" si="43"/>
        <v>0</v>
      </c>
      <c r="N122" s="883">
        <f t="shared" si="44"/>
        <v>0</v>
      </c>
      <c r="O122" s="1100"/>
      <c r="P122" s="883">
        <f t="shared" si="36"/>
        <v>0</v>
      </c>
      <c r="Q122" s="884">
        <f t="shared" si="45"/>
        <v>0</v>
      </c>
      <c r="R122" s="884">
        <f>IF(AND($AR$39="Early Payoff",I122&gt;=$R$13),0,IF($I122&lt;=$R$6,SUM($P$20:$P122),0))</f>
        <v>0</v>
      </c>
      <c r="S122" s="884">
        <f>IF(AND($AR$39="Early Payoff",I122&gt;=$R$13),0,IF($I122&lt;=$R$6,SUM($Q$20:$Q122),0))</f>
        <v>0</v>
      </c>
      <c r="T122" s="873">
        <f t="shared" si="46"/>
        <v>0</v>
      </c>
      <c r="U122" s="1110">
        <f t="shared" si="47"/>
        <v>0</v>
      </c>
      <c r="W122" s="1102">
        <f t="shared" si="37"/>
        <v>0</v>
      </c>
      <c r="X122" s="873">
        <f t="shared" si="38"/>
        <v>0</v>
      </c>
      <c r="Y122" s="873">
        <f t="shared" si="39"/>
        <v>0</v>
      </c>
      <c r="Z122" s="885">
        <f t="shared" si="40"/>
        <v>0</v>
      </c>
    </row>
    <row r="123" spans="2:26" s="278" customFormat="1" ht="12" customHeight="1" x14ac:dyDescent="0.25">
      <c r="B123" s="1192">
        <f t="shared" si="48"/>
        <v>123</v>
      </c>
      <c r="C123" s="732">
        <f t="shared" si="32"/>
        <v>31</v>
      </c>
      <c r="D123" s="35">
        <f t="shared" si="33"/>
        <v>5</v>
      </c>
      <c r="E123" s="889">
        <f t="shared" si="51"/>
        <v>49826</v>
      </c>
      <c r="F123" s="822">
        <f t="shared" si="34"/>
        <v>5</v>
      </c>
      <c r="G123" s="126">
        <f t="shared" si="35"/>
        <v>0</v>
      </c>
      <c r="H123" s="1098">
        <f t="shared" si="52"/>
        <v>0</v>
      </c>
      <c r="I123" s="887">
        <f t="shared" si="49"/>
        <v>104</v>
      </c>
      <c r="J123" s="1099">
        <f t="shared" si="41"/>
        <v>104</v>
      </c>
      <c r="K123" s="891" t="str">
        <f t="shared" si="42"/>
        <v>May</v>
      </c>
      <c r="L123" s="888">
        <f t="shared" si="50"/>
        <v>2036</v>
      </c>
      <c r="M123" s="883">
        <f t="shared" si="43"/>
        <v>0</v>
      </c>
      <c r="N123" s="883">
        <f t="shared" si="44"/>
        <v>0</v>
      </c>
      <c r="O123" s="1100"/>
      <c r="P123" s="883">
        <f t="shared" si="36"/>
        <v>0</v>
      </c>
      <c r="Q123" s="884">
        <f t="shared" si="45"/>
        <v>0</v>
      </c>
      <c r="R123" s="884">
        <f>IF(AND($AR$39="Early Payoff",I123&gt;=$R$13),0,IF($I123&lt;=$R$6,SUM($P$20:$P123),0))</f>
        <v>0</v>
      </c>
      <c r="S123" s="884">
        <f>IF(AND($AR$39="Early Payoff",I123&gt;=$R$13),0,IF($I123&lt;=$R$6,SUM($Q$20:$Q123),0))</f>
        <v>0</v>
      </c>
      <c r="T123" s="873">
        <f t="shared" si="46"/>
        <v>0</v>
      </c>
      <c r="U123" s="1110">
        <f t="shared" si="47"/>
        <v>0</v>
      </c>
      <c r="W123" s="1102">
        <f t="shared" si="37"/>
        <v>0</v>
      </c>
      <c r="X123" s="873">
        <f t="shared" si="38"/>
        <v>0</v>
      </c>
      <c r="Y123" s="873">
        <f t="shared" si="39"/>
        <v>0</v>
      </c>
      <c r="Z123" s="885">
        <f t="shared" si="40"/>
        <v>0</v>
      </c>
    </row>
    <row r="124" spans="2:26" s="278" customFormat="1" ht="12" customHeight="1" x14ac:dyDescent="0.25">
      <c r="B124" s="1192">
        <f t="shared" si="48"/>
        <v>124</v>
      </c>
      <c r="C124" s="732">
        <f t="shared" si="32"/>
        <v>30</v>
      </c>
      <c r="D124" s="35">
        <f t="shared" si="33"/>
        <v>6</v>
      </c>
      <c r="E124" s="889">
        <f t="shared" si="51"/>
        <v>49856</v>
      </c>
      <c r="F124" s="822">
        <f t="shared" si="34"/>
        <v>6</v>
      </c>
      <c r="G124" s="126">
        <f t="shared" si="35"/>
        <v>0</v>
      </c>
      <c r="H124" s="1098">
        <f t="shared" si="52"/>
        <v>0</v>
      </c>
      <c r="I124" s="887">
        <f t="shared" si="49"/>
        <v>105</v>
      </c>
      <c r="J124" s="1099">
        <f t="shared" si="41"/>
        <v>105</v>
      </c>
      <c r="K124" s="891" t="str">
        <f t="shared" si="42"/>
        <v>June</v>
      </c>
      <c r="L124" s="888">
        <f t="shared" si="50"/>
        <v>2036</v>
      </c>
      <c r="M124" s="883">
        <f t="shared" si="43"/>
        <v>0</v>
      </c>
      <c r="N124" s="883">
        <f t="shared" si="44"/>
        <v>0</v>
      </c>
      <c r="O124" s="1100"/>
      <c r="P124" s="883">
        <f t="shared" si="36"/>
        <v>0</v>
      </c>
      <c r="Q124" s="884">
        <f t="shared" si="45"/>
        <v>0</v>
      </c>
      <c r="R124" s="884">
        <f>IF(AND($AR$39="Early Payoff",I124&gt;=$R$13),0,IF($I124&lt;=$R$6,SUM($P$20:$P124),0))</f>
        <v>0</v>
      </c>
      <c r="S124" s="884">
        <f>IF(AND($AR$39="Early Payoff",I124&gt;=$R$13),0,IF($I124&lt;=$R$6,SUM($Q$20:$Q124),0))</f>
        <v>0</v>
      </c>
      <c r="T124" s="873">
        <f t="shared" si="46"/>
        <v>0</v>
      </c>
      <c r="U124" s="1110">
        <f t="shared" si="47"/>
        <v>0</v>
      </c>
      <c r="W124" s="1102">
        <f t="shared" si="37"/>
        <v>0</v>
      </c>
      <c r="X124" s="873">
        <f t="shared" si="38"/>
        <v>0</v>
      </c>
      <c r="Y124" s="873">
        <f t="shared" si="39"/>
        <v>0</v>
      </c>
      <c r="Z124" s="885">
        <f t="shared" si="40"/>
        <v>0</v>
      </c>
    </row>
    <row r="125" spans="2:26" s="278" customFormat="1" ht="12" customHeight="1" x14ac:dyDescent="0.25">
      <c r="B125" s="1192">
        <f t="shared" si="48"/>
        <v>125</v>
      </c>
      <c r="C125" s="732">
        <f t="shared" si="32"/>
        <v>31</v>
      </c>
      <c r="D125" s="35">
        <f t="shared" si="33"/>
        <v>7</v>
      </c>
      <c r="E125" s="889">
        <f t="shared" si="51"/>
        <v>49887</v>
      </c>
      <c r="F125" s="822">
        <f t="shared" si="34"/>
        <v>7</v>
      </c>
      <c r="G125" s="126">
        <f t="shared" si="35"/>
        <v>0</v>
      </c>
      <c r="H125" s="1098">
        <f t="shared" si="52"/>
        <v>0</v>
      </c>
      <c r="I125" s="887">
        <f t="shared" si="49"/>
        <v>106</v>
      </c>
      <c r="J125" s="1099">
        <f t="shared" si="41"/>
        <v>106</v>
      </c>
      <c r="K125" s="891" t="str">
        <f t="shared" si="42"/>
        <v>July</v>
      </c>
      <c r="L125" s="888">
        <f t="shared" si="50"/>
        <v>2036</v>
      </c>
      <c r="M125" s="883">
        <f t="shared" si="43"/>
        <v>0</v>
      </c>
      <c r="N125" s="883">
        <f t="shared" si="44"/>
        <v>0</v>
      </c>
      <c r="O125" s="1100"/>
      <c r="P125" s="883">
        <f t="shared" si="36"/>
        <v>0</v>
      </c>
      <c r="Q125" s="884">
        <f t="shared" si="45"/>
        <v>0</v>
      </c>
      <c r="R125" s="884">
        <f>IF(AND($AR$39="Early Payoff",I125&gt;=$R$13),0,IF($I125&lt;=$R$6,SUM($P$20:$P125),0))</f>
        <v>0</v>
      </c>
      <c r="S125" s="884">
        <f>IF(AND($AR$39="Early Payoff",I125&gt;=$R$13),0,IF($I125&lt;=$R$6,SUM($Q$20:$Q125),0))</f>
        <v>0</v>
      </c>
      <c r="T125" s="873">
        <f t="shared" si="46"/>
        <v>0</v>
      </c>
      <c r="U125" s="1110">
        <f t="shared" si="47"/>
        <v>0</v>
      </c>
      <c r="W125" s="1102">
        <f t="shared" si="37"/>
        <v>0</v>
      </c>
      <c r="X125" s="873">
        <f t="shared" si="38"/>
        <v>0</v>
      </c>
      <c r="Y125" s="873">
        <f t="shared" si="39"/>
        <v>0</v>
      </c>
      <c r="Z125" s="885">
        <f t="shared" si="40"/>
        <v>0</v>
      </c>
    </row>
    <row r="126" spans="2:26" s="278" customFormat="1" ht="12" customHeight="1" x14ac:dyDescent="0.25">
      <c r="B126" s="1192">
        <f t="shared" si="48"/>
        <v>126</v>
      </c>
      <c r="C126" s="732">
        <f t="shared" si="32"/>
        <v>31</v>
      </c>
      <c r="D126" s="35">
        <f t="shared" si="33"/>
        <v>8</v>
      </c>
      <c r="E126" s="889">
        <f t="shared" si="51"/>
        <v>49918</v>
      </c>
      <c r="F126" s="822">
        <f t="shared" si="34"/>
        <v>8</v>
      </c>
      <c r="G126" s="126">
        <f t="shared" si="35"/>
        <v>0</v>
      </c>
      <c r="H126" s="1098">
        <f t="shared" si="52"/>
        <v>0</v>
      </c>
      <c r="I126" s="887">
        <f t="shared" si="49"/>
        <v>107</v>
      </c>
      <c r="J126" s="1099">
        <f t="shared" si="41"/>
        <v>107</v>
      </c>
      <c r="K126" s="891" t="str">
        <f t="shared" si="42"/>
        <v>August</v>
      </c>
      <c r="L126" s="888">
        <f t="shared" si="50"/>
        <v>2036</v>
      </c>
      <c r="M126" s="883">
        <f t="shared" si="43"/>
        <v>0</v>
      </c>
      <c r="N126" s="883">
        <f t="shared" si="44"/>
        <v>0</v>
      </c>
      <c r="O126" s="1100"/>
      <c r="P126" s="883">
        <f t="shared" si="36"/>
        <v>0</v>
      </c>
      <c r="Q126" s="884">
        <f t="shared" si="45"/>
        <v>0</v>
      </c>
      <c r="R126" s="884">
        <f>IF(AND($AR$39="Early Payoff",I126&gt;=$R$13),0,IF($I126&lt;=$R$6,SUM($P$20:$P126),0))</f>
        <v>0</v>
      </c>
      <c r="S126" s="884">
        <f>IF(AND($AR$39="Early Payoff",I126&gt;=$R$13),0,IF($I126&lt;=$R$6,SUM($Q$20:$Q126),0))</f>
        <v>0</v>
      </c>
      <c r="T126" s="873">
        <f t="shared" si="46"/>
        <v>0</v>
      </c>
      <c r="U126" s="1110">
        <f t="shared" si="47"/>
        <v>0</v>
      </c>
      <c r="W126" s="1102">
        <f t="shared" si="37"/>
        <v>0</v>
      </c>
      <c r="X126" s="873">
        <f t="shared" si="38"/>
        <v>0</v>
      </c>
      <c r="Y126" s="873">
        <f t="shared" si="39"/>
        <v>0</v>
      </c>
      <c r="Z126" s="885">
        <f t="shared" si="40"/>
        <v>0</v>
      </c>
    </row>
    <row r="127" spans="2:26" s="278" customFormat="1" ht="12" customHeight="1" x14ac:dyDescent="0.25">
      <c r="B127" s="1192">
        <f t="shared" si="48"/>
        <v>127</v>
      </c>
      <c r="C127" s="732">
        <f t="shared" si="32"/>
        <v>30</v>
      </c>
      <c r="D127" s="35">
        <f t="shared" si="33"/>
        <v>9</v>
      </c>
      <c r="E127" s="889">
        <f t="shared" si="51"/>
        <v>49948</v>
      </c>
      <c r="F127" s="822">
        <f t="shared" si="34"/>
        <v>9</v>
      </c>
      <c r="G127" s="126">
        <f t="shared" si="35"/>
        <v>0</v>
      </c>
      <c r="H127" s="1098">
        <f t="shared" si="52"/>
        <v>0</v>
      </c>
      <c r="I127" s="887">
        <f t="shared" si="49"/>
        <v>108</v>
      </c>
      <c r="J127" s="1099">
        <f t="shared" si="41"/>
        <v>108</v>
      </c>
      <c r="K127" s="891" t="str">
        <f t="shared" si="42"/>
        <v>September</v>
      </c>
      <c r="L127" s="888">
        <f t="shared" si="50"/>
        <v>2036</v>
      </c>
      <c r="M127" s="883">
        <f t="shared" si="43"/>
        <v>0</v>
      </c>
      <c r="N127" s="883">
        <f t="shared" si="44"/>
        <v>0</v>
      </c>
      <c r="O127" s="1100"/>
      <c r="P127" s="883">
        <f t="shared" si="36"/>
        <v>0</v>
      </c>
      <c r="Q127" s="884">
        <f t="shared" si="45"/>
        <v>0</v>
      </c>
      <c r="R127" s="884">
        <f>IF(AND($AR$39="Early Payoff",I127&gt;=$R$13),0,IF($I127&lt;=$R$6,SUM($P$20:$P127),0))</f>
        <v>0</v>
      </c>
      <c r="S127" s="884">
        <f>IF(AND($AR$39="Early Payoff",I127&gt;=$R$13),0,IF($I127&lt;=$R$6,SUM($Q$20:$Q127),0))</f>
        <v>0</v>
      </c>
      <c r="T127" s="873">
        <f t="shared" si="46"/>
        <v>0</v>
      </c>
      <c r="U127" s="1110">
        <f t="shared" si="47"/>
        <v>0</v>
      </c>
      <c r="W127" s="1102">
        <f t="shared" si="37"/>
        <v>0</v>
      </c>
      <c r="X127" s="873">
        <f t="shared" si="38"/>
        <v>0</v>
      </c>
      <c r="Y127" s="873">
        <f t="shared" si="39"/>
        <v>0</v>
      </c>
      <c r="Z127" s="885">
        <f t="shared" si="40"/>
        <v>0</v>
      </c>
    </row>
    <row r="128" spans="2:26" s="278" customFormat="1" ht="12" customHeight="1" x14ac:dyDescent="0.25">
      <c r="B128" s="1192">
        <f t="shared" si="48"/>
        <v>128</v>
      </c>
      <c r="C128" s="732">
        <f t="shared" si="32"/>
        <v>31</v>
      </c>
      <c r="D128" s="35">
        <f t="shared" si="33"/>
        <v>10</v>
      </c>
      <c r="E128" s="889">
        <f t="shared" si="51"/>
        <v>49979</v>
      </c>
      <c r="F128" s="822">
        <f t="shared" si="34"/>
        <v>10</v>
      </c>
      <c r="G128" s="126">
        <f t="shared" si="35"/>
        <v>0</v>
      </c>
      <c r="H128" s="1098">
        <f t="shared" si="52"/>
        <v>0</v>
      </c>
      <c r="I128" s="887">
        <f t="shared" si="49"/>
        <v>109</v>
      </c>
      <c r="J128" s="1099">
        <f t="shared" si="41"/>
        <v>109</v>
      </c>
      <c r="K128" s="891" t="str">
        <f t="shared" si="42"/>
        <v>October</v>
      </c>
      <c r="L128" s="888">
        <f t="shared" si="50"/>
        <v>2036</v>
      </c>
      <c r="M128" s="883">
        <f t="shared" si="43"/>
        <v>0</v>
      </c>
      <c r="N128" s="883">
        <f t="shared" si="44"/>
        <v>0</v>
      </c>
      <c r="O128" s="1100"/>
      <c r="P128" s="883">
        <f t="shared" si="36"/>
        <v>0</v>
      </c>
      <c r="Q128" s="884">
        <f t="shared" si="45"/>
        <v>0</v>
      </c>
      <c r="R128" s="884">
        <f>IF(AND($AR$39="Early Payoff",I128&gt;=$R$13),0,IF($I128&lt;=$R$6,SUM($P$20:$P128),0))</f>
        <v>0</v>
      </c>
      <c r="S128" s="884">
        <f>IF(AND($AR$39="Early Payoff",I128&gt;=$R$13),0,IF($I128&lt;=$R$6,SUM($Q$20:$Q128),0))</f>
        <v>0</v>
      </c>
      <c r="T128" s="873">
        <f t="shared" si="46"/>
        <v>0</v>
      </c>
      <c r="U128" s="1110">
        <f t="shared" si="47"/>
        <v>0</v>
      </c>
      <c r="W128" s="1102">
        <f t="shared" si="37"/>
        <v>0</v>
      </c>
      <c r="X128" s="873">
        <f t="shared" si="38"/>
        <v>0</v>
      </c>
      <c r="Y128" s="873">
        <f t="shared" si="39"/>
        <v>0</v>
      </c>
      <c r="Z128" s="885">
        <f t="shared" si="40"/>
        <v>0</v>
      </c>
    </row>
    <row r="129" spans="2:26" s="278" customFormat="1" ht="12" customHeight="1" x14ac:dyDescent="0.25">
      <c r="B129" s="1192">
        <f t="shared" si="48"/>
        <v>129</v>
      </c>
      <c r="C129" s="732">
        <f t="shared" si="32"/>
        <v>30</v>
      </c>
      <c r="D129" s="35">
        <f t="shared" si="33"/>
        <v>11</v>
      </c>
      <c r="E129" s="889">
        <f t="shared" si="51"/>
        <v>50009</v>
      </c>
      <c r="F129" s="822">
        <f t="shared" si="34"/>
        <v>11</v>
      </c>
      <c r="G129" s="126">
        <f t="shared" si="35"/>
        <v>0</v>
      </c>
      <c r="H129" s="1098">
        <f t="shared" si="52"/>
        <v>0</v>
      </c>
      <c r="I129" s="887">
        <f t="shared" si="49"/>
        <v>110</v>
      </c>
      <c r="J129" s="1099">
        <f t="shared" si="41"/>
        <v>110</v>
      </c>
      <c r="K129" s="891" t="str">
        <f t="shared" si="42"/>
        <v>November</v>
      </c>
      <c r="L129" s="888">
        <f t="shared" si="50"/>
        <v>2036</v>
      </c>
      <c r="M129" s="883">
        <f t="shared" si="43"/>
        <v>0</v>
      </c>
      <c r="N129" s="883">
        <f t="shared" si="44"/>
        <v>0</v>
      </c>
      <c r="O129" s="1100"/>
      <c r="P129" s="883">
        <f t="shared" si="36"/>
        <v>0</v>
      </c>
      <c r="Q129" s="884">
        <f t="shared" si="45"/>
        <v>0</v>
      </c>
      <c r="R129" s="884">
        <f>IF(AND($AR$39="Early Payoff",I129&gt;=$R$13),0,IF($I129&lt;=$R$6,SUM($P$20:$P129),0))</f>
        <v>0</v>
      </c>
      <c r="S129" s="884">
        <f>IF(AND($AR$39="Early Payoff",I129&gt;=$R$13),0,IF($I129&lt;=$R$6,SUM($Q$20:$Q129),0))</f>
        <v>0</v>
      </c>
      <c r="T129" s="873">
        <f t="shared" si="46"/>
        <v>0</v>
      </c>
      <c r="U129" s="1110">
        <f t="shared" si="47"/>
        <v>0</v>
      </c>
      <c r="W129" s="1102">
        <f t="shared" si="37"/>
        <v>0</v>
      </c>
      <c r="X129" s="873">
        <f t="shared" si="38"/>
        <v>0</v>
      </c>
      <c r="Y129" s="873">
        <f t="shared" si="39"/>
        <v>0</v>
      </c>
      <c r="Z129" s="885">
        <f t="shared" si="40"/>
        <v>0</v>
      </c>
    </row>
    <row r="130" spans="2:26" s="278" customFormat="1" ht="12" customHeight="1" x14ac:dyDescent="0.25">
      <c r="B130" s="1192">
        <f t="shared" si="48"/>
        <v>130</v>
      </c>
      <c r="C130" s="732">
        <f t="shared" si="32"/>
        <v>31</v>
      </c>
      <c r="D130" s="35">
        <f t="shared" si="33"/>
        <v>12</v>
      </c>
      <c r="E130" s="889">
        <f t="shared" si="51"/>
        <v>50040</v>
      </c>
      <c r="F130" s="822">
        <f t="shared" si="34"/>
        <v>12</v>
      </c>
      <c r="G130" s="126">
        <f t="shared" si="35"/>
        <v>1</v>
      </c>
      <c r="H130" s="1098">
        <f t="shared" si="52"/>
        <v>0</v>
      </c>
      <c r="I130" s="887">
        <f t="shared" si="49"/>
        <v>111</v>
      </c>
      <c r="J130" s="1099">
        <f t="shared" si="41"/>
        <v>111</v>
      </c>
      <c r="K130" s="891" t="str">
        <f t="shared" si="42"/>
        <v>December</v>
      </c>
      <c r="L130" s="888">
        <f t="shared" si="50"/>
        <v>2036</v>
      </c>
      <c r="M130" s="883">
        <f t="shared" si="43"/>
        <v>0</v>
      </c>
      <c r="N130" s="883">
        <f t="shared" si="44"/>
        <v>0</v>
      </c>
      <c r="O130" s="1100"/>
      <c r="P130" s="883">
        <f t="shared" si="36"/>
        <v>0</v>
      </c>
      <c r="Q130" s="884">
        <f t="shared" si="45"/>
        <v>0</v>
      </c>
      <c r="R130" s="884">
        <f>IF(AND($AR$39="Early Payoff",I130&gt;=$R$13),0,IF($I130&lt;=$R$6,SUM($P$20:$P130),0))</f>
        <v>0</v>
      </c>
      <c r="S130" s="884">
        <f>IF(AND($AR$39="Early Payoff",I130&gt;=$R$13),0,IF($I130&lt;=$R$6,SUM($Q$20:$Q130),0))</f>
        <v>0</v>
      </c>
      <c r="T130" s="873">
        <f t="shared" si="46"/>
        <v>0</v>
      </c>
      <c r="U130" s="1110">
        <f t="shared" si="47"/>
        <v>0</v>
      </c>
      <c r="W130" s="1102">
        <f t="shared" si="37"/>
        <v>0</v>
      </c>
      <c r="X130" s="873">
        <f t="shared" si="38"/>
        <v>0</v>
      </c>
      <c r="Y130" s="873">
        <f t="shared" si="39"/>
        <v>0</v>
      </c>
      <c r="Z130" s="885">
        <f t="shared" si="40"/>
        <v>0</v>
      </c>
    </row>
    <row r="131" spans="2:26" s="278" customFormat="1" ht="12" customHeight="1" x14ac:dyDescent="0.25">
      <c r="B131" s="1192">
        <f t="shared" si="48"/>
        <v>131</v>
      </c>
      <c r="C131" s="732">
        <f t="shared" si="32"/>
        <v>31</v>
      </c>
      <c r="D131" s="35">
        <f t="shared" si="33"/>
        <v>1</v>
      </c>
      <c r="E131" s="889">
        <f t="shared" si="51"/>
        <v>50071</v>
      </c>
      <c r="F131" s="822">
        <f t="shared" si="34"/>
        <v>1</v>
      </c>
      <c r="G131" s="126">
        <f t="shared" si="35"/>
        <v>0</v>
      </c>
      <c r="H131" s="1098">
        <f t="shared" si="52"/>
        <v>0</v>
      </c>
      <c r="I131" s="887">
        <f t="shared" si="49"/>
        <v>112</v>
      </c>
      <c r="J131" s="1099">
        <f t="shared" si="41"/>
        <v>112</v>
      </c>
      <c r="K131" s="891" t="str">
        <f t="shared" si="42"/>
        <v>January</v>
      </c>
      <c r="L131" s="888">
        <f t="shared" si="50"/>
        <v>2037</v>
      </c>
      <c r="M131" s="883">
        <f t="shared" si="43"/>
        <v>0</v>
      </c>
      <c r="N131" s="883">
        <f t="shared" si="44"/>
        <v>0</v>
      </c>
      <c r="O131" s="1100"/>
      <c r="P131" s="883">
        <f t="shared" si="36"/>
        <v>0</v>
      </c>
      <c r="Q131" s="884">
        <f t="shared" si="45"/>
        <v>0</v>
      </c>
      <c r="R131" s="884">
        <f>IF(AND($AR$39="Early Payoff",I131&gt;=$R$13),0,IF($I131&lt;=$R$6,SUM($P$20:$P131),0))</f>
        <v>0</v>
      </c>
      <c r="S131" s="884">
        <f>IF(AND($AR$39="Early Payoff",I131&gt;=$R$13),0,IF($I131&lt;=$R$6,SUM($Q$20:$Q131),0))</f>
        <v>0</v>
      </c>
      <c r="T131" s="873">
        <f t="shared" si="46"/>
        <v>0</v>
      </c>
      <c r="U131" s="1110">
        <f t="shared" si="47"/>
        <v>0</v>
      </c>
      <c r="W131" s="1102">
        <f t="shared" si="37"/>
        <v>0</v>
      </c>
      <c r="X131" s="873">
        <f t="shared" si="38"/>
        <v>0</v>
      </c>
      <c r="Y131" s="873">
        <f t="shared" si="39"/>
        <v>0</v>
      </c>
      <c r="Z131" s="885">
        <f t="shared" si="40"/>
        <v>0</v>
      </c>
    </row>
    <row r="132" spans="2:26" s="278" customFormat="1" ht="12" customHeight="1" x14ac:dyDescent="0.25">
      <c r="B132" s="1192">
        <f t="shared" si="48"/>
        <v>132</v>
      </c>
      <c r="C132" s="732">
        <f t="shared" si="32"/>
        <v>28</v>
      </c>
      <c r="D132" s="35">
        <f t="shared" si="33"/>
        <v>2</v>
      </c>
      <c r="E132" s="889">
        <f t="shared" si="51"/>
        <v>50099</v>
      </c>
      <c r="F132" s="822">
        <f t="shared" si="34"/>
        <v>2</v>
      </c>
      <c r="G132" s="126">
        <f t="shared" si="35"/>
        <v>0</v>
      </c>
      <c r="H132" s="1098">
        <f t="shared" si="52"/>
        <v>0</v>
      </c>
      <c r="I132" s="887">
        <f t="shared" si="49"/>
        <v>113</v>
      </c>
      <c r="J132" s="1099">
        <f t="shared" si="41"/>
        <v>113</v>
      </c>
      <c r="K132" s="891" t="str">
        <f t="shared" si="42"/>
        <v>February</v>
      </c>
      <c r="L132" s="888">
        <f t="shared" si="50"/>
        <v>2037</v>
      </c>
      <c r="M132" s="883">
        <f t="shared" si="43"/>
        <v>0</v>
      </c>
      <c r="N132" s="883">
        <f t="shared" si="44"/>
        <v>0</v>
      </c>
      <c r="O132" s="1100"/>
      <c r="P132" s="883">
        <f t="shared" si="36"/>
        <v>0</v>
      </c>
      <c r="Q132" s="884">
        <f t="shared" si="45"/>
        <v>0</v>
      </c>
      <c r="R132" s="884">
        <f>IF(AND($AR$39="Early Payoff",I132&gt;=$R$13),0,IF($I132&lt;=$R$6,SUM($P$20:$P132),0))</f>
        <v>0</v>
      </c>
      <c r="S132" s="884">
        <f>IF(AND($AR$39="Early Payoff",I132&gt;=$R$13),0,IF($I132&lt;=$R$6,SUM($Q$20:$Q132),0))</f>
        <v>0</v>
      </c>
      <c r="T132" s="873">
        <f t="shared" si="46"/>
        <v>0</v>
      </c>
      <c r="U132" s="1110">
        <f t="shared" si="47"/>
        <v>0</v>
      </c>
      <c r="W132" s="1102">
        <f t="shared" si="37"/>
        <v>0</v>
      </c>
      <c r="X132" s="873">
        <f t="shared" si="38"/>
        <v>0</v>
      </c>
      <c r="Y132" s="873">
        <f t="shared" si="39"/>
        <v>0</v>
      </c>
      <c r="Z132" s="885">
        <f t="shared" si="40"/>
        <v>0</v>
      </c>
    </row>
    <row r="133" spans="2:26" s="278" customFormat="1" ht="12" customHeight="1" x14ac:dyDescent="0.25">
      <c r="B133" s="1192">
        <f t="shared" si="48"/>
        <v>133</v>
      </c>
      <c r="C133" s="732">
        <f t="shared" si="32"/>
        <v>31</v>
      </c>
      <c r="D133" s="35">
        <f t="shared" si="33"/>
        <v>3</v>
      </c>
      <c r="E133" s="889">
        <f t="shared" si="51"/>
        <v>50130</v>
      </c>
      <c r="F133" s="822">
        <f t="shared" si="34"/>
        <v>3</v>
      </c>
      <c r="G133" s="126">
        <f t="shared" si="35"/>
        <v>0</v>
      </c>
      <c r="H133" s="1098">
        <f t="shared" si="52"/>
        <v>0</v>
      </c>
      <c r="I133" s="887">
        <f t="shared" si="49"/>
        <v>114</v>
      </c>
      <c r="J133" s="1099">
        <f t="shared" si="41"/>
        <v>114</v>
      </c>
      <c r="K133" s="891" t="str">
        <f t="shared" si="42"/>
        <v>March</v>
      </c>
      <c r="L133" s="888">
        <f t="shared" si="50"/>
        <v>2037</v>
      </c>
      <c r="M133" s="883">
        <f t="shared" si="43"/>
        <v>0</v>
      </c>
      <c r="N133" s="883">
        <f t="shared" si="44"/>
        <v>0</v>
      </c>
      <c r="O133" s="1100"/>
      <c r="P133" s="883">
        <f t="shared" si="36"/>
        <v>0</v>
      </c>
      <c r="Q133" s="884">
        <f t="shared" si="45"/>
        <v>0</v>
      </c>
      <c r="R133" s="884">
        <f>IF(AND($AR$39="Early Payoff",I133&gt;=$R$13),0,IF($I133&lt;=$R$6,SUM($P$20:$P133),0))</f>
        <v>0</v>
      </c>
      <c r="S133" s="884">
        <f>IF(AND($AR$39="Early Payoff",I133&gt;=$R$13),0,IF($I133&lt;=$R$6,SUM($Q$20:$Q133),0))</f>
        <v>0</v>
      </c>
      <c r="T133" s="873">
        <f t="shared" si="46"/>
        <v>0</v>
      </c>
      <c r="U133" s="1110">
        <f t="shared" si="47"/>
        <v>0</v>
      </c>
      <c r="W133" s="1102">
        <f t="shared" si="37"/>
        <v>0</v>
      </c>
      <c r="X133" s="873">
        <f t="shared" si="38"/>
        <v>0</v>
      </c>
      <c r="Y133" s="873">
        <f t="shared" si="39"/>
        <v>0</v>
      </c>
      <c r="Z133" s="885">
        <f t="shared" si="40"/>
        <v>0</v>
      </c>
    </row>
    <row r="134" spans="2:26" s="278" customFormat="1" ht="12" customHeight="1" x14ac:dyDescent="0.25">
      <c r="B134" s="1192">
        <f t="shared" si="48"/>
        <v>134</v>
      </c>
      <c r="C134" s="732">
        <f t="shared" si="32"/>
        <v>30</v>
      </c>
      <c r="D134" s="35">
        <f t="shared" si="33"/>
        <v>4</v>
      </c>
      <c r="E134" s="889">
        <f t="shared" si="51"/>
        <v>50160</v>
      </c>
      <c r="F134" s="822">
        <f t="shared" si="34"/>
        <v>4</v>
      </c>
      <c r="G134" s="126">
        <f t="shared" si="35"/>
        <v>0</v>
      </c>
      <c r="H134" s="1098">
        <f t="shared" si="52"/>
        <v>0</v>
      </c>
      <c r="I134" s="887">
        <f t="shared" si="49"/>
        <v>115</v>
      </c>
      <c r="J134" s="1099">
        <f t="shared" si="41"/>
        <v>115</v>
      </c>
      <c r="K134" s="891" t="str">
        <f t="shared" si="42"/>
        <v>April</v>
      </c>
      <c r="L134" s="888">
        <f t="shared" si="50"/>
        <v>2037</v>
      </c>
      <c r="M134" s="883">
        <f t="shared" si="43"/>
        <v>0</v>
      </c>
      <c r="N134" s="883">
        <f t="shared" si="44"/>
        <v>0</v>
      </c>
      <c r="O134" s="1100"/>
      <c r="P134" s="883">
        <f t="shared" si="36"/>
        <v>0</v>
      </c>
      <c r="Q134" s="884">
        <f t="shared" si="45"/>
        <v>0</v>
      </c>
      <c r="R134" s="884">
        <f>IF(AND($AR$39="Early Payoff",I134&gt;=$R$13),0,IF($I134&lt;=$R$6,SUM($P$20:$P134),0))</f>
        <v>0</v>
      </c>
      <c r="S134" s="884">
        <f>IF(AND($AR$39="Early Payoff",I134&gt;=$R$13),0,IF($I134&lt;=$R$6,SUM($Q$20:$Q134),0))</f>
        <v>0</v>
      </c>
      <c r="T134" s="873">
        <f t="shared" si="46"/>
        <v>0</v>
      </c>
      <c r="U134" s="1110">
        <f t="shared" si="47"/>
        <v>0</v>
      </c>
      <c r="W134" s="1102">
        <f t="shared" si="37"/>
        <v>0</v>
      </c>
      <c r="X134" s="873">
        <f t="shared" si="38"/>
        <v>0</v>
      </c>
      <c r="Y134" s="873">
        <f t="shared" si="39"/>
        <v>0</v>
      </c>
      <c r="Z134" s="885">
        <f t="shared" si="40"/>
        <v>0</v>
      </c>
    </row>
    <row r="135" spans="2:26" s="278" customFormat="1" ht="12" customHeight="1" x14ac:dyDescent="0.25">
      <c r="B135" s="1192">
        <f t="shared" si="48"/>
        <v>135</v>
      </c>
      <c r="C135" s="732">
        <f t="shared" si="32"/>
        <v>31</v>
      </c>
      <c r="D135" s="35">
        <f t="shared" si="33"/>
        <v>5</v>
      </c>
      <c r="E135" s="889">
        <f t="shared" si="51"/>
        <v>50191</v>
      </c>
      <c r="F135" s="822">
        <f t="shared" si="34"/>
        <v>5</v>
      </c>
      <c r="G135" s="126">
        <f t="shared" si="35"/>
        <v>0</v>
      </c>
      <c r="H135" s="1098">
        <f t="shared" si="52"/>
        <v>0</v>
      </c>
      <c r="I135" s="887">
        <f t="shared" si="49"/>
        <v>116</v>
      </c>
      <c r="J135" s="1099">
        <f t="shared" si="41"/>
        <v>116</v>
      </c>
      <c r="K135" s="891" t="str">
        <f t="shared" si="42"/>
        <v>May</v>
      </c>
      <c r="L135" s="888">
        <f t="shared" si="50"/>
        <v>2037</v>
      </c>
      <c r="M135" s="883">
        <f t="shared" si="43"/>
        <v>0</v>
      </c>
      <c r="N135" s="883">
        <f t="shared" si="44"/>
        <v>0</v>
      </c>
      <c r="O135" s="1100"/>
      <c r="P135" s="883">
        <f t="shared" si="36"/>
        <v>0</v>
      </c>
      <c r="Q135" s="884">
        <f t="shared" si="45"/>
        <v>0</v>
      </c>
      <c r="R135" s="884">
        <f>IF(AND($AR$39="Early Payoff",I135&gt;=$R$13),0,IF($I135&lt;=$R$6,SUM($P$20:$P135),0))</f>
        <v>0</v>
      </c>
      <c r="S135" s="884">
        <f>IF(AND($AR$39="Early Payoff",I135&gt;=$R$13),0,IF($I135&lt;=$R$6,SUM($Q$20:$Q135),0))</f>
        <v>0</v>
      </c>
      <c r="T135" s="873">
        <f t="shared" si="46"/>
        <v>0</v>
      </c>
      <c r="U135" s="1110">
        <f t="shared" si="47"/>
        <v>0</v>
      </c>
      <c r="W135" s="1102">
        <f t="shared" si="37"/>
        <v>0</v>
      </c>
      <c r="X135" s="873">
        <f t="shared" si="38"/>
        <v>0</v>
      </c>
      <c r="Y135" s="873">
        <f t="shared" si="39"/>
        <v>0</v>
      </c>
      <c r="Z135" s="885">
        <f t="shared" si="40"/>
        <v>0</v>
      </c>
    </row>
    <row r="136" spans="2:26" s="278" customFormat="1" ht="12" customHeight="1" x14ac:dyDescent="0.25">
      <c r="B136" s="1192">
        <f t="shared" si="48"/>
        <v>136</v>
      </c>
      <c r="C136" s="732">
        <f t="shared" si="32"/>
        <v>30</v>
      </c>
      <c r="D136" s="35">
        <f t="shared" si="33"/>
        <v>6</v>
      </c>
      <c r="E136" s="889">
        <f t="shared" si="51"/>
        <v>50221</v>
      </c>
      <c r="F136" s="822">
        <f t="shared" si="34"/>
        <v>6</v>
      </c>
      <c r="G136" s="126">
        <f t="shared" si="35"/>
        <v>0</v>
      </c>
      <c r="H136" s="1098">
        <f t="shared" si="52"/>
        <v>0</v>
      </c>
      <c r="I136" s="887">
        <f t="shared" si="49"/>
        <v>117</v>
      </c>
      <c r="J136" s="1099">
        <f t="shared" si="41"/>
        <v>117</v>
      </c>
      <c r="K136" s="891" t="str">
        <f t="shared" si="42"/>
        <v>June</v>
      </c>
      <c r="L136" s="888">
        <f t="shared" si="50"/>
        <v>2037</v>
      </c>
      <c r="M136" s="883">
        <f t="shared" si="43"/>
        <v>0</v>
      </c>
      <c r="N136" s="883">
        <f t="shared" si="44"/>
        <v>0</v>
      </c>
      <c r="O136" s="1100"/>
      <c r="P136" s="883">
        <f t="shared" si="36"/>
        <v>0</v>
      </c>
      <c r="Q136" s="884">
        <f t="shared" si="45"/>
        <v>0</v>
      </c>
      <c r="R136" s="884">
        <f>IF(AND($AR$39="Early Payoff",I136&gt;=$R$13),0,IF($I136&lt;=$R$6,SUM($P$20:$P136),0))</f>
        <v>0</v>
      </c>
      <c r="S136" s="884">
        <f>IF(AND($AR$39="Early Payoff",I136&gt;=$R$13),0,IF($I136&lt;=$R$6,SUM($Q$20:$Q136),0))</f>
        <v>0</v>
      </c>
      <c r="T136" s="873">
        <f t="shared" si="46"/>
        <v>0</v>
      </c>
      <c r="U136" s="1110">
        <f t="shared" si="47"/>
        <v>0</v>
      </c>
      <c r="W136" s="1102">
        <f t="shared" si="37"/>
        <v>0</v>
      </c>
      <c r="X136" s="873">
        <f t="shared" si="38"/>
        <v>0</v>
      </c>
      <c r="Y136" s="873">
        <f t="shared" si="39"/>
        <v>0</v>
      </c>
      <c r="Z136" s="885">
        <f t="shared" si="40"/>
        <v>0</v>
      </c>
    </row>
    <row r="137" spans="2:26" s="278" customFormat="1" ht="12" customHeight="1" x14ac:dyDescent="0.25">
      <c r="B137" s="1192">
        <f t="shared" si="48"/>
        <v>137</v>
      </c>
      <c r="C137" s="732">
        <f t="shared" si="32"/>
        <v>31</v>
      </c>
      <c r="D137" s="35">
        <f t="shared" si="33"/>
        <v>7</v>
      </c>
      <c r="E137" s="889">
        <f t="shared" si="51"/>
        <v>50252</v>
      </c>
      <c r="F137" s="822">
        <f t="shared" si="34"/>
        <v>7</v>
      </c>
      <c r="G137" s="126">
        <f t="shared" si="35"/>
        <v>0</v>
      </c>
      <c r="H137" s="1098">
        <f t="shared" si="52"/>
        <v>0</v>
      </c>
      <c r="I137" s="887">
        <f t="shared" si="49"/>
        <v>118</v>
      </c>
      <c r="J137" s="1099">
        <f t="shared" si="41"/>
        <v>118</v>
      </c>
      <c r="K137" s="891" t="str">
        <f t="shared" si="42"/>
        <v>July</v>
      </c>
      <c r="L137" s="888">
        <f t="shared" si="50"/>
        <v>2037</v>
      </c>
      <c r="M137" s="883">
        <f t="shared" si="43"/>
        <v>0</v>
      </c>
      <c r="N137" s="883">
        <f t="shared" si="44"/>
        <v>0</v>
      </c>
      <c r="O137" s="1100"/>
      <c r="P137" s="883">
        <f t="shared" si="36"/>
        <v>0</v>
      </c>
      <c r="Q137" s="884">
        <f t="shared" si="45"/>
        <v>0</v>
      </c>
      <c r="R137" s="884">
        <f>IF(AND($AR$39="Early Payoff",I137&gt;=$R$13),0,IF($I137&lt;=$R$6,SUM($P$20:$P137),0))</f>
        <v>0</v>
      </c>
      <c r="S137" s="884">
        <f>IF(AND($AR$39="Early Payoff",I137&gt;=$R$13),0,IF($I137&lt;=$R$6,SUM($Q$20:$Q137),0))</f>
        <v>0</v>
      </c>
      <c r="T137" s="873">
        <f t="shared" si="46"/>
        <v>0</v>
      </c>
      <c r="U137" s="1110">
        <f t="shared" si="47"/>
        <v>0</v>
      </c>
      <c r="W137" s="1102">
        <f t="shared" si="37"/>
        <v>0</v>
      </c>
      <c r="X137" s="873">
        <f t="shared" si="38"/>
        <v>0</v>
      </c>
      <c r="Y137" s="873">
        <f t="shared" si="39"/>
        <v>0</v>
      </c>
      <c r="Z137" s="885">
        <f t="shared" si="40"/>
        <v>0</v>
      </c>
    </row>
    <row r="138" spans="2:26" s="278" customFormat="1" ht="12" customHeight="1" x14ac:dyDescent="0.25">
      <c r="B138" s="1192">
        <f t="shared" si="48"/>
        <v>138</v>
      </c>
      <c r="C138" s="732">
        <f t="shared" si="32"/>
        <v>31</v>
      </c>
      <c r="D138" s="35">
        <f t="shared" si="33"/>
        <v>8</v>
      </c>
      <c r="E138" s="889">
        <f t="shared" si="51"/>
        <v>50283</v>
      </c>
      <c r="F138" s="822">
        <f t="shared" si="34"/>
        <v>8</v>
      </c>
      <c r="G138" s="126">
        <f t="shared" si="35"/>
        <v>0</v>
      </c>
      <c r="H138" s="1098">
        <f t="shared" si="52"/>
        <v>0</v>
      </c>
      <c r="I138" s="887">
        <f t="shared" si="49"/>
        <v>119</v>
      </c>
      <c r="J138" s="1099">
        <f t="shared" si="41"/>
        <v>119</v>
      </c>
      <c r="K138" s="891" t="str">
        <f t="shared" si="42"/>
        <v>August</v>
      </c>
      <c r="L138" s="888">
        <f t="shared" si="50"/>
        <v>2037</v>
      </c>
      <c r="M138" s="883">
        <f t="shared" si="43"/>
        <v>0</v>
      </c>
      <c r="N138" s="883">
        <f t="shared" si="44"/>
        <v>0</v>
      </c>
      <c r="O138" s="1100"/>
      <c r="P138" s="883">
        <f t="shared" si="36"/>
        <v>0</v>
      </c>
      <c r="Q138" s="884">
        <f t="shared" si="45"/>
        <v>0</v>
      </c>
      <c r="R138" s="884">
        <f>IF(AND($AR$39="Early Payoff",I138&gt;=$R$13),0,IF($I138&lt;=$R$6,SUM($P$20:$P138),0))</f>
        <v>0</v>
      </c>
      <c r="S138" s="884">
        <f>IF(AND($AR$39="Early Payoff",I138&gt;=$R$13),0,IF($I138&lt;=$R$6,SUM($Q$20:$Q138),0))</f>
        <v>0</v>
      </c>
      <c r="T138" s="873">
        <f t="shared" si="46"/>
        <v>0</v>
      </c>
      <c r="U138" s="1110">
        <f t="shared" si="47"/>
        <v>0</v>
      </c>
      <c r="W138" s="1102">
        <f t="shared" si="37"/>
        <v>0</v>
      </c>
      <c r="X138" s="873">
        <f t="shared" si="38"/>
        <v>0</v>
      </c>
      <c r="Y138" s="873">
        <f t="shared" si="39"/>
        <v>0</v>
      </c>
      <c r="Z138" s="885">
        <f t="shared" si="40"/>
        <v>0</v>
      </c>
    </row>
    <row r="139" spans="2:26" s="278" customFormat="1" ht="12" customHeight="1" x14ac:dyDescent="0.25">
      <c r="B139" s="1192">
        <f t="shared" si="48"/>
        <v>139</v>
      </c>
      <c r="C139" s="732">
        <f t="shared" si="32"/>
        <v>30</v>
      </c>
      <c r="D139" s="35">
        <f t="shared" si="33"/>
        <v>9</v>
      </c>
      <c r="E139" s="889">
        <f t="shared" si="51"/>
        <v>50313</v>
      </c>
      <c r="F139" s="822">
        <f t="shared" si="34"/>
        <v>9</v>
      </c>
      <c r="G139" s="126">
        <f t="shared" si="35"/>
        <v>0</v>
      </c>
      <c r="H139" s="1098">
        <f t="shared" si="52"/>
        <v>0</v>
      </c>
      <c r="I139" s="887">
        <f t="shared" si="49"/>
        <v>120</v>
      </c>
      <c r="J139" s="1099">
        <f t="shared" si="41"/>
        <v>120</v>
      </c>
      <c r="K139" s="891" t="str">
        <f t="shared" si="42"/>
        <v>September</v>
      </c>
      <c r="L139" s="888">
        <f t="shared" si="50"/>
        <v>2037</v>
      </c>
      <c r="M139" s="883">
        <f t="shared" si="43"/>
        <v>0</v>
      </c>
      <c r="N139" s="883">
        <f t="shared" si="44"/>
        <v>0</v>
      </c>
      <c r="O139" s="1100"/>
      <c r="P139" s="883">
        <f t="shared" si="36"/>
        <v>0</v>
      </c>
      <c r="Q139" s="884">
        <f t="shared" si="45"/>
        <v>0</v>
      </c>
      <c r="R139" s="884">
        <f>IF(AND($AR$39="Early Payoff",I139&gt;=$R$13),0,IF($I139&lt;=$R$6,SUM($P$20:$P139),0))</f>
        <v>0</v>
      </c>
      <c r="S139" s="884">
        <f>IF(AND($AR$39="Early Payoff",I139&gt;=$R$13),0,IF($I139&lt;=$R$6,SUM($Q$20:$Q139),0))</f>
        <v>0</v>
      </c>
      <c r="T139" s="873">
        <f t="shared" si="46"/>
        <v>0</v>
      </c>
      <c r="U139" s="1110">
        <f t="shared" si="47"/>
        <v>0</v>
      </c>
      <c r="W139" s="1102">
        <f t="shared" si="37"/>
        <v>0</v>
      </c>
      <c r="X139" s="873">
        <f t="shared" si="38"/>
        <v>0</v>
      </c>
      <c r="Y139" s="873">
        <f t="shared" si="39"/>
        <v>0</v>
      </c>
      <c r="Z139" s="885">
        <f t="shared" si="40"/>
        <v>0</v>
      </c>
    </row>
    <row r="140" spans="2:26" s="278" customFormat="1" ht="12" customHeight="1" x14ac:dyDescent="0.25">
      <c r="B140" s="1192">
        <f t="shared" si="48"/>
        <v>140</v>
      </c>
      <c r="C140" s="732">
        <f t="shared" si="32"/>
        <v>31</v>
      </c>
      <c r="D140" s="35">
        <f t="shared" si="33"/>
        <v>10</v>
      </c>
      <c r="E140" s="889">
        <f t="shared" si="51"/>
        <v>50344</v>
      </c>
      <c r="F140" s="822">
        <f t="shared" si="34"/>
        <v>10</v>
      </c>
      <c r="G140" s="126">
        <f t="shared" si="35"/>
        <v>0</v>
      </c>
      <c r="H140" s="1098">
        <f t="shared" si="52"/>
        <v>0</v>
      </c>
      <c r="I140" s="887">
        <f t="shared" si="49"/>
        <v>121</v>
      </c>
      <c r="J140" s="1099">
        <f t="shared" si="41"/>
        <v>121</v>
      </c>
      <c r="K140" s="891" t="str">
        <f t="shared" si="42"/>
        <v>October</v>
      </c>
      <c r="L140" s="888">
        <f t="shared" si="50"/>
        <v>2037</v>
      </c>
      <c r="M140" s="883">
        <f t="shared" si="43"/>
        <v>0</v>
      </c>
      <c r="N140" s="883">
        <f t="shared" si="44"/>
        <v>0</v>
      </c>
      <c r="O140" s="1100"/>
      <c r="P140" s="883">
        <f t="shared" si="36"/>
        <v>0</v>
      </c>
      <c r="Q140" s="884">
        <f t="shared" si="45"/>
        <v>0</v>
      </c>
      <c r="R140" s="884">
        <f>IF(AND($AR$39="Early Payoff",I140&gt;=$R$13),0,IF($I140&lt;=$R$6,SUM($P$20:$P140),0))</f>
        <v>0</v>
      </c>
      <c r="S140" s="884">
        <f>IF(AND($AR$39="Early Payoff",I140&gt;=$R$13),0,IF($I140&lt;=$R$6,SUM($Q$20:$Q140),0))</f>
        <v>0</v>
      </c>
      <c r="T140" s="873">
        <f t="shared" si="46"/>
        <v>0</v>
      </c>
      <c r="U140" s="1110">
        <f t="shared" si="47"/>
        <v>0</v>
      </c>
      <c r="W140" s="1102">
        <f t="shared" si="37"/>
        <v>0</v>
      </c>
      <c r="X140" s="873">
        <f t="shared" si="38"/>
        <v>0</v>
      </c>
      <c r="Y140" s="873">
        <f t="shared" si="39"/>
        <v>0</v>
      </c>
      <c r="Z140" s="885">
        <f t="shared" si="40"/>
        <v>0</v>
      </c>
    </row>
    <row r="141" spans="2:26" s="278" customFormat="1" ht="12" customHeight="1" x14ac:dyDescent="0.25">
      <c r="B141" s="1192">
        <f t="shared" si="48"/>
        <v>141</v>
      </c>
      <c r="C141" s="732">
        <f t="shared" si="32"/>
        <v>30</v>
      </c>
      <c r="D141" s="35">
        <f t="shared" si="33"/>
        <v>11</v>
      </c>
      <c r="E141" s="889">
        <f t="shared" si="51"/>
        <v>50374</v>
      </c>
      <c r="F141" s="822">
        <f t="shared" si="34"/>
        <v>11</v>
      </c>
      <c r="G141" s="126">
        <f t="shared" si="35"/>
        <v>0</v>
      </c>
      <c r="H141" s="1098">
        <f t="shared" si="52"/>
        <v>0</v>
      </c>
      <c r="I141" s="887">
        <f t="shared" si="49"/>
        <v>122</v>
      </c>
      <c r="J141" s="1099">
        <f t="shared" si="41"/>
        <v>122</v>
      </c>
      <c r="K141" s="891" t="str">
        <f t="shared" si="42"/>
        <v>November</v>
      </c>
      <c r="L141" s="888">
        <f t="shared" si="50"/>
        <v>2037</v>
      </c>
      <c r="M141" s="883">
        <f t="shared" si="43"/>
        <v>0</v>
      </c>
      <c r="N141" s="883">
        <f t="shared" si="44"/>
        <v>0</v>
      </c>
      <c r="O141" s="1100"/>
      <c r="P141" s="883">
        <f t="shared" si="36"/>
        <v>0</v>
      </c>
      <c r="Q141" s="884">
        <f t="shared" si="45"/>
        <v>0</v>
      </c>
      <c r="R141" s="884">
        <f>IF(AND($AR$39="Early Payoff",I141&gt;=$R$13),0,IF($I141&lt;=$R$6,SUM($P$20:$P141),0))</f>
        <v>0</v>
      </c>
      <c r="S141" s="884">
        <f>IF(AND($AR$39="Early Payoff",I141&gt;=$R$13),0,IF($I141&lt;=$R$6,SUM($Q$20:$Q141),0))</f>
        <v>0</v>
      </c>
      <c r="T141" s="873">
        <f t="shared" si="46"/>
        <v>0</v>
      </c>
      <c r="U141" s="1110">
        <f t="shared" si="47"/>
        <v>0</v>
      </c>
      <c r="W141" s="1102">
        <f t="shared" si="37"/>
        <v>0</v>
      </c>
      <c r="X141" s="873">
        <f t="shared" si="38"/>
        <v>0</v>
      </c>
      <c r="Y141" s="873">
        <f t="shared" si="39"/>
        <v>0</v>
      </c>
      <c r="Z141" s="885">
        <f t="shared" si="40"/>
        <v>0</v>
      </c>
    </row>
    <row r="142" spans="2:26" s="278" customFormat="1" ht="12" customHeight="1" x14ac:dyDescent="0.25">
      <c r="B142" s="1192">
        <f t="shared" si="48"/>
        <v>142</v>
      </c>
      <c r="C142" s="732">
        <f t="shared" si="32"/>
        <v>31</v>
      </c>
      <c r="D142" s="35">
        <f t="shared" si="33"/>
        <v>12</v>
      </c>
      <c r="E142" s="889">
        <f t="shared" si="51"/>
        <v>50405</v>
      </c>
      <c r="F142" s="822">
        <f t="shared" si="34"/>
        <v>12</v>
      </c>
      <c r="G142" s="126">
        <f t="shared" si="35"/>
        <v>1</v>
      </c>
      <c r="H142" s="1098">
        <f t="shared" si="52"/>
        <v>0</v>
      </c>
      <c r="I142" s="887">
        <f t="shared" si="49"/>
        <v>123</v>
      </c>
      <c r="J142" s="1099">
        <f t="shared" si="41"/>
        <v>123</v>
      </c>
      <c r="K142" s="891" t="str">
        <f t="shared" si="42"/>
        <v>December</v>
      </c>
      <c r="L142" s="888">
        <f t="shared" si="50"/>
        <v>2037</v>
      </c>
      <c r="M142" s="883">
        <f t="shared" si="43"/>
        <v>0</v>
      </c>
      <c r="N142" s="883">
        <f t="shared" si="44"/>
        <v>0</v>
      </c>
      <c r="O142" s="1100"/>
      <c r="P142" s="883">
        <f t="shared" si="36"/>
        <v>0</v>
      </c>
      <c r="Q142" s="884">
        <f t="shared" si="45"/>
        <v>0</v>
      </c>
      <c r="R142" s="884">
        <f>IF(AND($AR$39="Early Payoff",I142&gt;=$R$13),0,IF($I142&lt;=$R$6,SUM($P$20:$P142),0))</f>
        <v>0</v>
      </c>
      <c r="S142" s="884">
        <f>IF(AND($AR$39="Early Payoff",I142&gt;=$R$13),0,IF($I142&lt;=$R$6,SUM($Q$20:$Q142),0))</f>
        <v>0</v>
      </c>
      <c r="T142" s="873">
        <f t="shared" si="46"/>
        <v>0</v>
      </c>
      <c r="U142" s="1110">
        <f t="shared" si="47"/>
        <v>0</v>
      </c>
      <c r="W142" s="1102">
        <f t="shared" si="37"/>
        <v>0</v>
      </c>
      <c r="X142" s="873">
        <f t="shared" si="38"/>
        <v>0</v>
      </c>
      <c r="Y142" s="873">
        <f t="shared" si="39"/>
        <v>0</v>
      </c>
      <c r="Z142" s="885">
        <f t="shared" si="40"/>
        <v>0</v>
      </c>
    </row>
    <row r="143" spans="2:26" s="278" customFormat="1" ht="12" customHeight="1" x14ac:dyDescent="0.25">
      <c r="B143" s="1192">
        <f t="shared" si="48"/>
        <v>143</v>
      </c>
      <c r="C143" s="732">
        <f t="shared" si="32"/>
        <v>31</v>
      </c>
      <c r="D143" s="35">
        <f t="shared" si="33"/>
        <v>1</v>
      </c>
      <c r="E143" s="889">
        <f t="shared" si="51"/>
        <v>50436</v>
      </c>
      <c r="F143" s="822">
        <f t="shared" si="34"/>
        <v>1</v>
      </c>
      <c r="G143" s="126">
        <f t="shared" si="35"/>
        <v>0</v>
      </c>
      <c r="H143" s="1098">
        <f t="shared" si="52"/>
        <v>0</v>
      </c>
      <c r="I143" s="887">
        <f t="shared" si="49"/>
        <v>124</v>
      </c>
      <c r="J143" s="1099">
        <f t="shared" si="41"/>
        <v>124</v>
      </c>
      <c r="K143" s="891" t="str">
        <f t="shared" si="42"/>
        <v>January</v>
      </c>
      <c r="L143" s="888">
        <f t="shared" si="50"/>
        <v>2038</v>
      </c>
      <c r="M143" s="883">
        <f t="shared" si="43"/>
        <v>0</v>
      </c>
      <c r="N143" s="883">
        <f t="shared" si="44"/>
        <v>0</v>
      </c>
      <c r="O143" s="1100"/>
      <c r="P143" s="883">
        <f t="shared" si="36"/>
        <v>0</v>
      </c>
      <c r="Q143" s="884">
        <f t="shared" si="45"/>
        <v>0</v>
      </c>
      <c r="R143" s="884">
        <f>IF(AND($AR$39="Early Payoff",I143&gt;=$R$13),0,IF($I143&lt;=$R$6,SUM($P$20:$P143),0))</f>
        <v>0</v>
      </c>
      <c r="S143" s="884">
        <f>IF(AND($AR$39="Early Payoff",I143&gt;=$R$13),0,IF($I143&lt;=$R$6,SUM($Q$20:$Q143),0))</f>
        <v>0</v>
      </c>
      <c r="T143" s="873">
        <f t="shared" si="46"/>
        <v>0</v>
      </c>
      <c r="U143" s="1110">
        <f t="shared" si="47"/>
        <v>0</v>
      </c>
      <c r="W143" s="1102">
        <f t="shared" si="37"/>
        <v>0</v>
      </c>
      <c r="X143" s="873">
        <f t="shared" si="38"/>
        <v>0</v>
      </c>
      <c r="Y143" s="873">
        <f t="shared" si="39"/>
        <v>0</v>
      </c>
      <c r="Z143" s="885">
        <f t="shared" si="40"/>
        <v>0</v>
      </c>
    </row>
    <row r="144" spans="2:26" s="278" customFormat="1" ht="12" customHeight="1" x14ac:dyDescent="0.25">
      <c r="B144" s="1192">
        <f t="shared" si="48"/>
        <v>144</v>
      </c>
      <c r="C144" s="732">
        <f t="shared" si="32"/>
        <v>28</v>
      </c>
      <c r="D144" s="35">
        <f t="shared" si="33"/>
        <v>2</v>
      </c>
      <c r="E144" s="889">
        <f t="shared" si="51"/>
        <v>50464</v>
      </c>
      <c r="F144" s="822">
        <f t="shared" si="34"/>
        <v>2</v>
      </c>
      <c r="G144" s="126">
        <f t="shared" si="35"/>
        <v>0</v>
      </c>
      <c r="H144" s="1098">
        <f t="shared" si="52"/>
        <v>0</v>
      </c>
      <c r="I144" s="887">
        <f t="shared" si="49"/>
        <v>125</v>
      </c>
      <c r="J144" s="1099">
        <f t="shared" si="41"/>
        <v>125</v>
      </c>
      <c r="K144" s="891" t="str">
        <f t="shared" si="42"/>
        <v>February</v>
      </c>
      <c r="L144" s="888">
        <f t="shared" si="50"/>
        <v>2038</v>
      </c>
      <c r="M144" s="883">
        <f t="shared" si="43"/>
        <v>0</v>
      </c>
      <c r="N144" s="883">
        <f t="shared" si="44"/>
        <v>0</v>
      </c>
      <c r="O144" s="1100"/>
      <c r="P144" s="883">
        <f t="shared" si="36"/>
        <v>0</v>
      </c>
      <c r="Q144" s="884">
        <f t="shared" si="45"/>
        <v>0</v>
      </c>
      <c r="R144" s="884">
        <f>IF(AND($AR$39="Early Payoff",I144&gt;=$R$13),0,IF($I144&lt;=$R$6,SUM($P$20:$P144),0))</f>
        <v>0</v>
      </c>
      <c r="S144" s="884">
        <f>IF(AND($AR$39="Early Payoff",I144&gt;=$R$13),0,IF($I144&lt;=$R$6,SUM($Q$20:$Q144),0))</f>
        <v>0</v>
      </c>
      <c r="T144" s="873">
        <f t="shared" si="46"/>
        <v>0</v>
      </c>
      <c r="U144" s="1110">
        <f t="shared" si="47"/>
        <v>0</v>
      </c>
      <c r="W144" s="1102">
        <f t="shared" si="37"/>
        <v>0</v>
      </c>
      <c r="X144" s="873">
        <f t="shared" si="38"/>
        <v>0</v>
      </c>
      <c r="Y144" s="873">
        <f t="shared" si="39"/>
        <v>0</v>
      </c>
      <c r="Z144" s="885">
        <f t="shared" si="40"/>
        <v>0</v>
      </c>
    </row>
    <row r="145" spans="2:26" s="278" customFormat="1" ht="12" customHeight="1" x14ac:dyDescent="0.25">
      <c r="B145" s="1192">
        <f t="shared" si="48"/>
        <v>145</v>
      </c>
      <c r="C145" s="732">
        <f t="shared" si="32"/>
        <v>31</v>
      </c>
      <c r="D145" s="35">
        <f t="shared" si="33"/>
        <v>3</v>
      </c>
      <c r="E145" s="889">
        <f t="shared" si="51"/>
        <v>50495</v>
      </c>
      <c r="F145" s="822">
        <f t="shared" si="34"/>
        <v>3</v>
      </c>
      <c r="G145" s="126">
        <f t="shared" si="35"/>
        <v>0</v>
      </c>
      <c r="H145" s="1098">
        <f t="shared" si="52"/>
        <v>0</v>
      </c>
      <c r="I145" s="887">
        <f t="shared" si="49"/>
        <v>126</v>
      </c>
      <c r="J145" s="1099">
        <f t="shared" si="41"/>
        <v>126</v>
      </c>
      <c r="K145" s="891" t="str">
        <f t="shared" si="42"/>
        <v>March</v>
      </c>
      <c r="L145" s="888">
        <f t="shared" si="50"/>
        <v>2038</v>
      </c>
      <c r="M145" s="883">
        <f t="shared" si="43"/>
        <v>0</v>
      </c>
      <c r="N145" s="883">
        <f t="shared" si="44"/>
        <v>0</v>
      </c>
      <c r="O145" s="1100"/>
      <c r="P145" s="883">
        <f t="shared" si="36"/>
        <v>0</v>
      </c>
      <c r="Q145" s="884">
        <f t="shared" si="45"/>
        <v>0</v>
      </c>
      <c r="R145" s="884">
        <f>IF(AND($AR$39="Early Payoff",I145&gt;=$R$13),0,IF($I145&lt;=$R$6,SUM($P$20:$P145),0))</f>
        <v>0</v>
      </c>
      <c r="S145" s="884">
        <f>IF(AND($AR$39="Early Payoff",I145&gt;=$R$13),0,IF($I145&lt;=$R$6,SUM($Q$20:$Q145),0))</f>
        <v>0</v>
      </c>
      <c r="T145" s="873">
        <f t="shared" si="46"/>
        <v>0</v>
      </c>
      <c r="U145" s="1110">
        <f t="shared" si="47"/>
        <v>0</v>
      </c>
      <c r="W145" s="1102">
        <f t="shared" si="37"/>
        <v>0</v>
      </c>
      <c r="X145" s="873">
        <f t="shared" si="38"/>
        <v>0</v>
      </c>
      <c r="Y145" s="873">
        <f t="shared" si="39"/>
        <v>0</v>
      </c>
      <c r="Z145" s="885">
        <f t="shared" si="40"/>
        <v>0</v>
      </c>
    </row>
    <row r="146" spans="2:26" s="278" customFormat="1" ht="12" customHeight="1" x14ac:dyDescent="0.25">
      <c r="B146" s="1192">
        <f t="shared" si="48"/>
        <v>146</v>
      </c>
      <c r="C146" s="732">
        <f t="shared" si="32"/>
        <v>30</v>
      </c>
      <c r="D146" s="35">
        <f t="shared" si="33"/>
        <v>4</v>
      </c>
      <c r="E146" s="889">
        <f t="shared" si="51"/>
        <v>50525</v>
      </c>
      <c r="F146" s="822">
        <f t="shared" si="34"/>
        <v>4</v>
      </c>
      <c r="G146" s="126">
        <f t="shared" si="35"/>
        <v>0</v>
      </c>
      <c r="H146" s="1098">
        <f t="shared" si="52"/>
        <v>0</v>
      </c>
      <c r="I146" s="887">
        <f t="shared" si="49"/>
        <v>127</v>
      </c>
      <c r="J146" s="1099">
        <f t="shared" si="41"/>
        <v>127</v>
      </c>
      <c r="K146" s="891" t="str">
        <f t="shared" si="42"/>
        <v>April</v>
      </c>
      <c r="L146" s="888">
        <f t="shared" si="50"/>
        <v>2038</v>
      </c>
      <c r="M146" s="883">
        <f t="shared" si="43"/>
        <v>0</v>
      </c>
      <c r="N146" s="883">
        <f t="shared" si="44"/>
        <v>0</v>
      </c>
      <c r="O146" s="1100"/>
      <c r="P146" s="883">
        <f t="shared" si="36"/>
        <v>0</v>
      </c>
      <c r="Q146" s="884">
        <f t="shared" si="45"/>
        <v>0</v>
      </c>
      <c r="R146" s="884">
        <f>IF(AND($AR$39="Early Payoff",I146&gt;=$R$13),0,IF($I146&lt;=$R$6,SUM($P$20:$P146),0))</f>
        <v>0</v>
      </c>
      <c r="S146" s="884">
        <f>IF(AND($AR$39="Early Payoff",I146&gt;=$R$13),0,IF($I146&lt;=$R$6,SUM($Q$20:$Q146),0))</f>
        <v>0</v>
      </c>
      <c r="T146" s="873">
        <f t="shared" si="46"/>
        <v>0</v>
      </c>
      <c r="U146" s="1110">
        <f t="shared" si="47"/>
        <v>0</v>
      </c>
      <c r="W146" s="1102">
        <f t="shared" si="37"/>
        <v>0</v>
      </c>
      <c r="X146" s="873">
        <f t="shared" si="38"/>
        <v>0</v>
      </c>
      <c r="Y146" s="873">
        <f t="shared" si="39"/>
        <v>0</v>
      </c>
      <c r="Z146" s="885">
        <f t="shared" si="40"/>
        <v>0</v>
      </c>
    </row>
    <row r="147" spans="2:26" s="278" customFormat="1" ht="12" customHeight="1" x14ac:dyDescent="0.25">
      <c r="B147" s="1192">
        <f t="shared" si="48"/>
        <v>147</v>
      </c>
      <c r="C147" s="732">
        <f t="shared" si="32"/>
        <v>31</v>
      </c>
      <c r="D147" s="35">
        <f t="shared" si="33"/>
        <v>5</v>
      </c>
      <c r="E147" s="889">
        <f t="shared" si="51"/>
        <v>50556</v>
      </c>
      <c r="F147" s="822">
        <f t="shared" si="34"/>
        <v>5</v>
      </c>
      <c r="G147" s="126">
        <f t="shared" si="35"/>
        <v>0</v>
      </c>
      <c r="H147" s="1098">
        <f t="shared" si="52"/>
        <v>0</v>
      </c>
      <c r="I147" s="887">
        <f t="shared" si="49"/>
        <v>128</v>
      </c>
      <c r="J147" s="1099">
        <f t="shared" si="41"/>
        <v>128</v>
      </c>
      <c r="K147" s="891" t="str">
        <f t="shared" si="42"/>
        <v>May</v>
      </c>
      <c r="L147" s="888">
        <f t="shared" si="50"/>
        <v>2038</v>
      </c>
      <c r="M147" s="883">
        <f t="shared" si="43"/>
        <v>0</v>
      </c>
      <c r="N147" s="883">
        <f t="shared" si="44"/>
        <v>0</v>
      </c>
      <c r="O147" s="1100"/>
      <c r="P147" s="883">
        <f t="shared" si="36"/>
        <v>0</v>
      </c>
      <c r="Q147" s="884">
        <f t="shared" si="45"/>
        <v>0</v>
      </c>
      <c r="R147" s="884">
        <f>IF(AND($AR$39="Early Payoff",I147&gt;=$R$13),0,IF($I147&lt;=$R$6,SUM($P$20:$P147),0))</f>
        <v>0</v>
      </c>
      <c r="S147" s="884">
        <f>IF(AND($AR$39="Early Payoff",I147&gt;=$R$13),0,IF($I147&lt;=$R$6,SUM($Q$20:$Q147),0))</f>
        <v>0</v>
      </c>
      <c r="T147" s="873">
        <f t="shared" si="46"/>
        <v>0</v>
      </c>
      <c r="U147" s="1110">
        <f t="shared" si="47"/>
        <v>0</v>
      </c>
      <c r="W147" s="1102">
        <f t="shared" si="37"/>
        <v>0</v>
      </c>
      <c r="X147" s="873">
        <f t="shared" si="38"/>
        <v>0</v>
      </c>
      <c r="Y147" s="873">
        <f t="shared" si="39"/>
        <v>0</v>
      </c>
      <c r="Z147" s="885">
        <f t="shared" si="40"/>
        <v>0</v>
      </c>
    </row>
    <row r="148" spans="2:26" s="278" customFormat="1" ht="12" customHeight="1" x14ac:dyDescent="0.25">
      <c r="B148" s="1192">
        <f t="shared" si="48"/>
        <v>148</v>
      </c>
      <c r="C148" s="732">
        <f t="shared" ref="C148:C211" si="53">DAY(EOMONTH(DATE($L148,$D148,1),0))</f>
        <v>30</v>
      </c>
      <c r="D148" s="35">
        <f t="shared" ref="D148:D211" si="54">INDEX($AS$22:$AT$34,MATCH($K148,$AS$22:$AS$34,0),MATCH("Number",$AS$22:$AT$22,0))</f>
        <v>6</v>
      </c>
      <c r="E148" s="889">
        <f t="shared" si="51"/>
        <v>50586</v>
      </c>
      <c r="F148" s="822">
        <f t="shared" ref="F148:F211" si="55">INDEX($AS$22:$AT$34,MATCH($K148,$AS$22:$AS$34,0),MATCH("Number",$AS$22:$AT$22,0))</f>
        <v>6</v>
      </c>
      <c r="G148" s="126">
        <f t="shared" ref="G148:G211" si="56">IF($S$4="Monthly",INDEX($AS$36:$AT$48,MATCH($K148,$AS$36:$AS$48,0),MATCH("Number",$AS$36:$AT$36,0)),0)</f>
        <v>0</v>
      </c>
      <c r="H148" s="1098">
        <f t="shared" si="52"/>
        <v>0</v>
      </c>
      <c r="I148" s="887">
        <f t="shared" si="49"/>
        <v>129</v>
      </c>
      <c r="J148" s="1099">
        <f t="shared" si="41"/>
        <v>129</v>
      </c>
      <c r="K148" s="891" t="str">
        <f t="shared" si="42"/>
        <v>June</v>
      </c>
      <c r="L148" s="888">
        <f t="shared" si="50"/>
        <v>2038</v>
      </c>
      <c r="M148" s="883">
        <f t="shared" si="43"/>
        <v>0</v>
      </c>
      <c r="N148" s="883">
        <f t="shared" si="44"/>
        <v>0</v>
      </c>
      <c r="O148" s="1100"/>
      <c r="P148" s="883">
        <f t="shared" ref="P148:P211" si="57">IF(AND($AR$39="Early Payoff",I148&gt;=$R$13),0,IF($I148&gt;$R$6,0,IF(AND($AQ$29&gt;0,$I148&lt;=$AQ$29),0,+$N148-$Q148)))</f>
        <v>0</v>
      </c>
      <c r="Q148" s="884">
        <f t="shared" si="45"/>
        <v>0</v>
      </c>
      <c r="R148" s="884">
        <f>IF(AND($AR$39="Early Payoff",I148&gt;=$R$13),0,IF($I148&lt;=$R$6,SUM($P$20:$P148),0))</f>
        <v>0</v>
      </c>
      <c r="S148" s="884">
        <f>IF(AND($AR$39="Early Payoff",I148&gt;=$R$13),0,IF($I148&lt;=$R$6,SUM($Q$20:$Q148),0))</f>
        <v>0</v>
      </c>
      <c r="T148" s="873">
        <f t="shared" si="46"/>
        <v>0</v>
      </c>
      <c r="U148" s="1110">
        <f t="shared" si="47"/>
        <v>0</v>
      </c>
      <c r="W148" s="1102">
        <f t="shared" ref="W148:W211" si="58">IF($I148&gt;$R$6,0,IF($I148&lt;=$AQ$27,0,IF(AND($X$5="%/Payment",$Z$5=0),$N148*$Y$5,IF(AND($X$5="%/Payment",$Z$5&gt;0,($N148*$Y$5)&lt;$Z$5),$N148*$Y$5,IF(AND($X$5="%/Payment",$Z$5&gt;0,($N148*$Y$5)&gt;$Z$5),-$Z$5,IF(AND($X$5="%/Balance",$Z$5=0),-$T148*$Y$5,IF(AND($X$5="%/Balance",$Z$5&gt;0,($T148*$Y$5)&lt;$Z$5),-$T148*$Y$5,IF(AND($X$5="%/Balance",$Z$5&gt;0,($T148*$Y$5)&gt;$Z$5),-$Z$5,IF($X$5="Fixed Amount",-$Y$5,IF($X$5="N/A",0))))))))))</f>
        <v>0</v>
      </c>
      <c r="X148" s="873">
        <f t="shared" ref="X148:X211" si="59">IF($I148&gt;$R$6,0,IF($I148&lt;=$AQ$27,0,IF(AND($X$6="%/Payment",$Z$6=0),$N148*$Y$6,IF(AND($X$6="%/Payment",$Z$6&gt;0,($N148*$Y$6)&lt;$Z$6),$N148*$Y$6,IF(AND($X$6="%/Payment",$Z$6&gt;0,($N148*$Y$6)&gt;$Z$6),-$Z$6,IF(AND($X$6="%/Balance",$Z$6=0),-$T148*$Y$6,IF(AND($X$6="%/Balance",$Z$6&gt;0,($T148*$Y$6)&lt;$Z$6),-$T148*$Y$6,IF(AND($X$6="%/Balance",$Z$6&gt;0,($T148*$Y$6)&gt;$Z$6),-$Z$6,IF($X$6="Fixed Amount",-$Y$6,IF($X$6="N/A",0))))))))))</f>
        <v>0</v>
      </c>
      <c r="Y148" s="873">
        <f t="shared" ref="Y148:Y211" si="60">IF($I148&gt;$R$6,0,IF($I148&lt;=$AQ$27,0,IF(AND($X$7="%/Payment",$Z$7=0),$N148*$Y$7,IF(AND($X$7="%/Payment",$Z$7&gt;0,($N148*$Y$7)&lt;$Z$7),$N148*$Y$7,IF(AND($X$7="%/Payment",$Z$7&gt;0,($N148*$Y$7)&gt;$Z$7),-$Z$7,IF(AND($X$7="%/Balance",$Z$7=0),-$T148*$Y$7,IF(AND($X$7="%/Balance",$Z$7&gt;0,($T148*$Y$7)&lt;$Z$7),-$T148*$Y$7,IF(AND($X$7="%/Balance",$Z$7&gt;0,($N148*$Y$7)&gt;$Z$7),-$Z$7,IF($X$7="Fixed Amount",-$Y$7,IF($X$7="N/A",0))))))))))</f>
        <v>0</v>
      </c>
      <c r="Z148" s="885">
        <f t="shared" ref="Z148:Z211" si="61">SUM($N148,$W148:$Y148)</f>
        <v>0</v>
      </c>
    </row>
    <row r="149" spans="2:26" s="278" customFormat="1" ht="12" customHeight="1" x14ac:dyDescent="0.25">
      <c r="B149" s="1192">
        <f t="shared" si="48"/>
        <v>149</v>
      </c>
      <c r="C149" s="732">
        <f t="shared" si="53"/>
        <v>31</v>
      </c>
      <c r="D149" s="35">
        <f t="shared" si="54"/>
        <v>7</v>
      </c>
      <c r="E149" s="889">
        <f t="shared" si="51"/>
        <v>50617</v>
      </c>
      <c r="F149" s="822">
        <f t="shared" si="55"/>
        <v>7</v>
      </c>
      <c r="G149" s="126">
        <f t="shared" si="56"/>
        <v>0</v>
      </c>
      <c r="H149" s="1098">
        <f t="shared" si="52"/>
        <v>0</v>
      </c>
      <c r="I149" s="887">
        <f t="shared" si="49"/>
        <v>130</v>
      </c>
      <c r="J149" s="1099">
        <f t="shared" ref="J149:J212" si="62">IF($I149&lt;=$AQ$29,0,IF($I148&gt;=$AQ$29,$J148+1))</f>
        <v>130</v>
      </c>
      <c r="K149" s="891" t="str">
        <f t="shared" ref="K149:K212" si="63">IF($S$4="Annual",$Q$5,IF(AND($S$4="Bi-Annual",$F148&lt;MAX($Q$4,$R$4)),INDEX($AT$22:$AU$34,MATCH(MAX($Q$4,$R$4),$AT$22:$AT$34,0),MATCH("Month",$AT$22:$AU$22,0)),IF(AND($S$4="Bi-Annual",$F148=MAX($Q$4,$R$4)),INDEX($AT$22:$AU$34,MATCH(MIN($Q$4,$R$4),$AT$22:$AT$34,0),MATCH("Month",$AT$22:$AU$22,0)),IF(AND($S$4="Monthly",$F148&lt;12),INDEX($AT$22:$AU$34,MATCH($F148+1,$AT$22:$AT$34,0),MATCH("Month",$AT$22:$AU$22,0)),IF(AND($S$4="Monthly",$F148=12),INDEX($AT$22:$AU$34,MATCH($F148-11,$AT$22:$AT$34,0),MATCH("Month",$AT$22:$AU$22,0)))))))</f>
        <v>July</v>
      </c>
      <c r="L149" s="888">
        <f t="shared" si="50"/>
        <v>2038</v>
      </c>
      <c r="M149" s="883">
        <f t="shared" ref="M149:M212" si="64">IF(AND($AR$39="Early Payoff",$I149&gt;$R$13),0,IF(AND($AR$39="Early Payoff",$I149&lt;$R$13),$T148,IF($I149&gt;$R$6,0,$T148)))</f>
        <v>0</v>
      </c>
      <c r="N149" s="883">
        <f t="shared" ref="N149:N212" si="65">IF(AND($AR$39="Early Payoff",I149&gt;=$R$13),0,IF($I149&gt;$R$6,0,IF(AND($AQ$29&gt;=0,$I149&lt;=$AQ$29),0,IF(AND($AQ$27&gt;=0,$I149&lt;=$AQ$27),$Q149,IF(AND($S$4="Annual",$AQ$27&gt;=0,$AQ$29&gt;=0,$I149&gt;$AQ$27,$I149&gt;$AQ$29),PMT($L$7,($R$6-$AQ$27),$L$4),IF(AND($S$4="Bi-Annual",$AQ$27&gt;=0,$AQ$29&gt;=0,$I149&gt;$AQ$27,$I149&gt;$AQ$29),PMT($L$7/2,($R$6-$AQ$27),$L$4),IF(AND($S$4="Monthly",$AQ$27&gt;=0,$AQ$29&gt;=0,$I149&gt;$AQ$27,$I149&gt;$AQ$29),PMT($L$7/12,($R$6-$AQ$27),$L$4))))))))-O149</f>
        <v>0</v>
      </c>
      <c r="O149" s="1100"/>
      <c r="P149" s="883">
        <f t="shared" si="57"/>
        <v>0</v>
      </c>
      <c r="Q149" s="884">
        <f t="shared" ref="Q149:Q212" si="66">IF(AND($AR$39="Early Payoff",I149&gt;=$R$13),0,IF($S$4="Annual",-$L$7*$T148*1,IF($S$4="Bi-Annual",(-$L$7/2)*$T148*1,IF($S$4="Monthly",(-$L$7/12)*$T148*1))))</f>
        <v>0</v>
      </c>
      <c r="R149" s="884">
        <f>IF(AND($AR$39="Early Payoff",I149&gt;=$R$13),0,IF($I149&lt;=$R$6,SUM($P$20:$P149),0))</f>
        <v>0</v>
      </c>
      <c r="S149" s="884">
        <f>IF(AND($AR$39="Early Payoff",I149&gt;=$R$13),0,IF($I149&lt;=$R$6,SUM($Q$20:$Q149),0))</f>
        <v>0</v>
      </c>
      <c r="T149" s="873">
        <f t="shared" ref="T149:T212" si="67">IF($J149&lt;=$R$13,SUM($M149,$P149),0)</f>
        <v>0</v>
      </c>
      <c r="U149" s="1110">
        <f t="shared" ref="U149:U212" si="68">IF($S$4="Monthly",$M149,IF(AND(OR($S$4="Annual",$S$4="Bi-Annual"),$I149=$AQ$49),INDEX($I$19:$T$379,MATCH($AQ$49,$I$19:$I$2379,0),MATCH($T$19,$I$19:$T$19,0)),IF(AND(OR($S$4="Annual",$S$4="Bi-Annual"),$I149&lt;=$AQ$49),$M149,0)))</f>
        <v>0</v>
      </c>
      <c r="W149" s="1102">
        <f t="shared" si="58"/>
        <v>0</v>
      </c>
      <c r="X149" s="873">
        <f t="shared" si="59"/>
        <v>0</v>
      </c>
      <c r="Y149" s="873">
        <f t="shared" si="60"/>
        <v>0</v>
      </c>
      <c r="Z149" s="885">
        <f t="shared" si="61"/>
        <v>0</v>
      </c>
    </row>
    <row r="150" spans="2:26" s="278" customFormat="1" ht="12" customHeight="1" x14ac:dyDescent="0.25">
      <c r="B150" s="1192">
        <f t="shared" ref="B150:B213" si="69">B149+1</f>
        <v>150</v>
      </c>
      <c r="C150" s="732">
        <f t="shared" si="53"/>
        <v>31</v>
      </c>
      <c r="D150" s="35">
        <f t="shared" si="54"/>
        <v>8</v>
      </c>
      <c r="E150" s="889">
        <f t="shared" si="51"/>
        <v>50648</v>
      </c>
      <c r="F150" s="822">
        <f t="shared" si="55"/>
        <v>8</v>
      </c>
      <c r="G150" s="126">
        <f t="shared" si="56"/>
        <v>0</v>
      </c>
      <c r="H150" s="1098">
        <f t="shared" si="52"/>
        <v>0</v>
      </c>
      <c r="I150" s="887">
        <f t="shared" ref="I150:I213" si="70">I149+1</f>
        <v>131</v>
      </c>
      <c r="J150" s="1099">
        <f t="shared" si="62"/>
        <v>131</v>
      </c>
      <c r="K150" s="891" t="str">
        <f t="shared" si="63"/>
        <v>August</v>
      </c>
      <c r="L150" s="888">
        <f t="shared" ref="L150:L213" si="71">IF($S$4="Annual",$L149+$H150,IF($S$4="Bi-Annual",$L149+$H149,IF($S$4="Monthly",$L149+$G149)))</f>
        <v>2038</v>
      </c>
      <c r="M150" s="883">
        <f t="shared" si="64"/>
        <v>0</v>
      </c>
      <c r="N150" s="883">
        <f t="shared" si="65"/>
        <v>0</v>
      </c>
      <c r="O150" s="1100"/>
      <c r="P150" s="883">
        <f t="shared" si="57"/>
        <v>0</v>
      </c>
      <c r="Q150" s="884">
        <f t="shared" si="66"/>
        <v>0</v>
      </c>
      <c r="R150" s="884">
        <f>IF(AND($AR$39="Early Payoff",I150&gt;=$R$13),0,IF($I150&lt;=$R$6,SUM($P$20:$P150),0))</f>
        <v>0</v>
      </c>
      <c r="S150" s="884">
        <f>IF(AND($AR$39="Early Payoff",I150&gt;=$R$13),0,IF($I150&lt;=$R$6,SUM($Q$20:$Q150),0))</f>
        <v>0</v>
      </c>
      <c r="T150" s="873">
        <f t="shared" si="67"/>
        <v>0</v>
      </c>
      <c r="U150" s="1110">
        <f t="shared" si="68"/>
        <v>0</v>
      </c>
      <c r="W150" s="1102">
        <f t="shared" si="58"/>
        <v>0</v>
      </c>
      <c r="X150" s="873">
        <f t="shared" si="59"/>
        <v>0</v>
      </c>
      <c r="Y150" s="873">
        <f t="shared" si="60"/>
        <v>0</v>
      </c>
      <c r="Z150" s="885">
        <f t="shared" si="61"/>
        <v>0</v>
      </c>
    </row>
    <row r="151" spans="2:26" s="278" customFormat="1" ht="12" customHeight="1" x14ac:dyDescent="0.25">
      <c r="B151" s="1192">
        <f t="shared" si="69"/>
        <v>151</v>
      </c>
      <c r="C151" s="732">
        <f t="shared" si="53"/>
        <v>30</v>
      </c>
      <c r="D151" s="35">
        <f t="shared" si="54"/>
        <v>9</v>
      </c>
      <c r="E151" s="889">
        <f t="shared" ref="E151:E214" si="72">DATE(L151,D151,C151)</f>
        <v>50678</v>
      </c>
      <c r="F151" s="822">
        <f t="shared" si="55"/>
        <v>9</v>
      </c>
      <c r="G151" s="126">
        <f t="shared" si="56"/>
        <v>0</v>
      </c>
      <c r="H151" s="1098">
        <f t="shared" ref="H151:H214" si="73">IF($S$4="Annual",1,IF(AND($S$4="Bi-Annual",$F151&gt;$F152),1,IF(AND($S$4="Bi-Annual",$F151&lt;$F152),0,IF($S$4="Monthly",0,))))</f>
        <v>0</v>
      </c>
      <c r="I151" s="887">
        <f t="shared" si="70"/>
        <v>132</v>
      </c>
      <c r="J151" s="1099">
        <f t="shared" si="62"/>
        <v>132</v>
      </c>
      <c r="K151" s="891" t="str">
        <f t="shared" si="63"/>
        <v>September</v>
      </c>
      <c r="L151" s="888">
        <f t="shared" si="71"/>
        <v>2038</v>
      </c>
      <c r="M151" s="883">
        <f t="shared" si="64"/>
        <v>0</v>
      </c>
      <c r="N151" s="883">
        <f t="shared" si="65"/>
        <v>0</v>
      </c>
      <c r="O151" s="1100"/>
      <c r="P151" s="883">
        <f t="shared" si="57"/>
        <v>0</v>
      </c>
      <c r="Q151" s="884">
        <f t="shared" si="66"/>
        <v>0</v>
      </c>
      <c r="R151" s="884">
        <f>IF(AND($AR$39="Early Payoff",I151&gt;=$R$13),0,IF($I151&lt;=$R$6,SUM($P$20:$P151),0))</f>
        <v>0</v>
      </c>
      <c r="S151" s="884">
        <f>IF(AND($AR$39="Early Payoff",I151&gt;=$R$13),0,IF($I151&lt;=$R$6,SUM($Q$20:$Q151),0))</f>
        <v>0</v>
      </c>
      <c r="T151" s="873">
        <f t="shared" si="67"/>
        <v>0</v>
      </c>
      <c r="U151" s="1110">
        <f t="shared" si="68"/>
        <v>0</v>
      </c>
      <c r="W151" s="1102">
        <f t="shared" si="58"/>
        <v>0</v>
      </c>
      <c r="X151" s="873">
        <f t="shared" si="59"/>
        <v>0</v>
      </c>
      <c r="Y151" s="873">
        <f t="shared" si="60"/>
        <v>0</v>
      </c>
      <c r="Z151" s="885">
        <f t="shared" si="61"/>
        <v>0</v>
      </c>
    </row>
    <row r="152" spans="2:26" s="278" customFormat="1" ht="12" customHeight="1" x14ac:dyDescent="0.25">
      <c r="B152" s="1192">
        <f t="shared" si="69"/>
        <v>152</v>
      </c>
      <c r="C152" s="732">
        <f t="shared" si="53"/>
        <v>31</v>
      </c>
      <c r="D152" s="35">
        <f t="shared" si="54"/>
        <v>10</v>
      </c>
      <c r="E152" s="889">
        <f t="shared" si="72"/>
        <v>50709</v>
      </c>
      <c r="F152" s="822">
        <f t="shared" si="55"/>
        <v>10</v>
      </c>
      <c r="G152" s="126">
        <f t="shared" si="56"/>
        <v>0</v>
      </c>
      <c r="H152" s="1098">
        <f t="shared" si="73"/>
        <v>0</v>
      </c>
      <c r="I152" s="887">
        <f t="shared" si="70"/>
        <v>133</v>
      </c>
      <c r="J152" s="1099">
        <f t="shared" si="62"/>
        <v>133</v>
      </c>
      <c r="K152" s="891" t="str">
        <f t="shared" si="63"/>
        <v>October</v>
      </c>
      <c r="L152" s="888">
        <f t="shared" si="71"/>
        <v>2038</v>
      </c>
      <c r="M152" s="883">
        <f t="shared" si="64"/>
        <v>0</v>
      </c>
      <c r="N152" s="883">
        <f t="shared" si="65"/>
        <v>0</v>
      </c>
      <c r="O152" s="1100"/>
      <c r="P152" s="883">
        <f t="shared" si="57"/>
        <v>0</v>
      </c>
      <c r="Q152" s="884">
        <f t="shared" si="66"/>
        <v>0</v>
      </c>
      <c r="R152" s="884">
        <f>IF(AND($AR$39="Early Payoff",I152&gt;=$R$13),0,IF($I152&lt;=$R$6,SUM($P$20:$P152),0))</f>
        <v>0</v>
      </c>
      <c r="S152" s="884">
        <f>IF(AND($AR$39="Early Payoff",I152&gt;=$R$13),0,IF($I152&lt;=$R$6,SUM($Q$20:$Q152),0))</f>
        <v>0</v>
      </c>
      <c r="T152" s="873">
        <f t="shared" si="67"/>
        <v>0</v>
      </c>
      <c r="U152" s="1110">
        <f t="shared" si="68"/>
        <v>0</v>
      </c>
      <c r="W152" s="1102">
        <f t="shared" si="58"/>
        <v>0</v>
      </c>
      <c r="X152" s="873">
        <f t="shared" si="59"/>
        <v>0</v>
      </c>
      <c r="Y152" s="873">
        <f t="shared" si="60"/>
        <v>0</v>
      </c>
      <c r="Z152" s="885">
        <f t="shared" si="61"/>
        <v>0</v>
      </c>
    </row>
    <row r="153" spans="2:26" s="278" customFormat="1" ht="12" customHeight="1" x14ac:dyDescent="0.25">
      <c r="B153" s="1192">
        <f t="shared" si="69"/>
        <v>153</v>
      </c>
      <c r="C153" s="732">
        <f t="shared" si="53"/>
        <v>30</v>
      </c>
      <c r="D153" s="35">
        <f t="shared" si="54"/>
        <v>11</v>
      </c>
      <c r="E153" s="889">
        <f t="shared" si="72"/>
        <v>50739</v>
      </c>
      <c r="F153" s="822">
        <f t="shared" si="55"/>
        <v>11</v>
      </c>
      <c r="G153" s="126">
        <f t="shared" si="56"/>
        <v>0</v>
      </c>
      <c r="H153" s="1098">
        <f t="shared" si="73"/>
        <v>0</v>
      </c>
      <c r="I153" s="887">
        <f t="shared" si="70"/>
        <v>134</v>
      </c>
      <c r="J153" s="1099">
        <f t="shared" si="62"/>
        <v>134</v>
      </c>
      <c r="K153" s="891" t="str">
        <f t="shared" si="63"/>
        <v>November</v>
      </c>
      <c r="L153" s="888">
        <f t="shared" si="71"/>
        <v>2038</v>
      </c>
      <c r="M153" s="883">
        <f t="shared" si="64"/>
        <v>0</v>
      </c>
      <c r="N153" s="883">
        <f t="shared" si="65"/>
        <v>0</v>
      </c>
      <c r="O153" s="1100"/>
      <c r="P153" s="883">
        <f t="shared" si="57"/>
        <v>0</v>
      </c>
      <c r="Q153" s="884">
        <f t="shared" si="66"/>
        <v>0</v>
      </c>
      <c r="R153" s="884">
        <f>IF(AND($AR$39="Early Payoff",I153&gt;=$R$13),0,IF($I153&lt;=$R$6,SUM($P$20:$P153),0))</f>
        <v>0</v>
      </c>
      <c r="S153" s="884">
        <f>IF(AND($AR$39="Early Payoff",I153&gt;=$R$13),0,IF($I153&lt;=$R$6,SUM($Q$20:$Q153),0))</f>
        <v>0</v>
      </c>
      <c r="T153" s="873">
        <f t="shared" si="67"/>
        <v>0</v>
      </c>
      <c r="U153" s="1110">
        <f t="shared" si="68"/>
        <v>0</v>
      </c>
      <c r="W153" s="1102">
        <f t="shared" si="58"/>
        <v>0</v>
      </c>
      <c r="X153" s="873">
        <f t="shared" si="59"/>
        <v>0</v>
      </c>
      <c r="Y153" s="873">
        <f t="shared" si="60"/>
        <v>0</v>
      </c>
      <c r="Z153" s="885">
        <f t="shared" si="61"/>
        <v>0</v>
      </c>
    </row>
    <row r="154" spans="2:26" s="278" customFormat="1" ht="12" customHeight="1" x14ac:dyDescent="0.25">
      <c r="B154" s="1192">
        <f t="shared" si="69"/>
        <v>154</v>
      </c>
      <c r="C154" s="732">
        <f t="shared" si="53"/>
        <v>31</v>
      </c>
      <c r="D154" s="35">
        <f t="shared" si="54"/>
        <v>12</v>
      </c>
      <c r="E154" s="889">
        <f t="shared" si="72"/>
        <v>50770</v>
      </c>
      <c r="F154" s="822">
        <f t="shared" si="55"/>
        <v>12</v>
      </c>
      <c r="G154" s="126">
        <f t="shared" si="56"/>
        <v>1</v>
      </c>
      <c r="H154" s="1098">
        <f t="shared" si="73"/>
        <v>0</v>
      </c>
      <c r="I154" s="887">
        <f t="shared" si="70"/>
        <v>135</v>
      </c>
      <c r="J154" s="1099">
        <f t="shared" si="62"/>
        <v>135</v>
      </c>
      <c r="K154" s="891" t="str">
        <f t="shared" si="63"/>
        <v>December</v>
      </c>
      <c r="L154" s="888">
        <f t="shared" si="71"/>
        <v>2038</v>
      </c>
      <c r="M154" s="883">
        <f t="shared" si="64"/>
        <v>0</v>
      </c>
      <c r="N154" s="883">
        <f t="shared" si="65"/>
        <v>0</v>
      </c>
      <c r="O154" s="1100"/>
      <c r="P154" s="883">
        <f t="shared" si="57"/>
        <v>0</v>
      </c>
      <c r="Q154" s="884">
        <f t="shared" si="66"/>
        <v>0</v>
      </c>
      <c r="R154" s="884">
        <f>IF(AND($AR$39="Early Payoff",I154&gt;=$R$13),0,IF($I154&lt;=$R$6,SUM($P$20:$P154),0))</f>
        <v>0</v>
      </c>
      <c r="S154" s="884">
        <f>IF(AND($AR$39="Early Payoff",I154&gt;=$R$13),0,IF($I154&lt;=$R$6,SUM($Q$20:$Q154),0))</f>
        <v>0</v>
      </c>
      <c r="T154" s="873">
        <f t="shared" si="67"/>
        <v>0</v>
      </c>
      <c r="U154" s="1110">
        <f t="shared" si="68"/>
        <v>0</v>
      </c>
      <c r="W154" s="1102">
        <f t="shared" si="58"/>
        <v>0</v>
      </c>
      <c r="X154" s="873">
        <f t="shared" si="59"/>
        <v>0</v>
      </c>
      <c r="Y154" s="873">
        <f t="shared" si="60"/>
        <v>0</v>
      </c>
      <c r="Z154" s="885">
        <f t="shared" si="61"/>
        <v>0</v>
      </c>
    </row>
    <row r="155" spans="2:26" s="278" customFormat="1" ht="12" customHeight="1" x14ac:dyDescent="0.25">
      <c r="B155" s="1192">
        <f t="shared" si="69"/>
        <v>155</v>
      </c>
      <c r="C155" s="732">
        <f t="shared" si="53"/>
        <v>31</v>
      </c>
      <c r="D155" s="35">
        <f t="shared" si="54"/>
        <v>1</v>
      </c>
      <c r="E155" s="889">
        <f t="shared" si="72"/>
        <v>50801</v>
      </c>
      <c r="F155" s="822">
        <f t="shared" si="55"/>
        <v>1</v>
      </c>
      <c r="G155" s="126">
        <f t="shared" si="56"/>
        <v>0</v>
      </c>
      <c r="H155" s="1098">
        <f t="shared" si="73"/>
        <v>0</v>
      </c>
      <c r="I155" s="887">
        <f t="shared" si="70"/>
        <v>136</v>
      </c>
      <c r="J155" s="1099">
        <f t="shared" si="62"/>
        <v>136</v>
      </c>
      <c r="K155" s="891" t="str">
        <f t="shared" si="63"/>
        <v>January</v>
      </c>
      <c r="L155" s="888">
        <f t="shared" si="71"/>
        <v>2039</v>
      </c>
      <c r="M155" s="883">
        <f t="shared" si="64"/>
        <v>0</v>
      </c>
      <c r="N155" s="883">
        <f t="shared" si="65"/>
        <v>0</v>
      </c>
      <c r="O155" s="1100"/>
      <c r="P155" s="883">
        <f t="shared" si="57"/>
        <v>0</v>
      </c>
      <c r="Q155" s="884">
        <f t="shared" si="66"/>
        <v>0</v>
      </c>
      <c r="R155" s="884">
        <f>IF(AND($AR$39="Early Payoff",I155&gt;=$R$13),0,IF($I155&lt;=$R$6,SUM($P$20:$P155),0))</f>
        <v>0</v>
      </c>
      <c r="S155" s="884">
        <f>IF(AND($AR$39="Early Payoff",I155&gt;=$R$13),0,IF($I155&lt;=$R$6,SUM($Q$20:$Q155),0))</f>
        <v>0</v>
      </c>
      <c r="T155" s="873">
        <f t="shared" si="67"/>
        <v>0</v>
      </c>
      <c r="U155" s="1110">
        <f t="shared" si="68"/>
        <v>0</v>
      </c>
      <c r="W155" s="1102">
        <f t="shared" si="58"/>
        <v>0</v>
      </c>
      <c r="X155" s="873">
        <f t="shared" si="59"/>
        <v>0</v>
      </c>
      <c r="Y155" s="873">
        <f t="shared" si="60"/>
        <v>0</v>
      </c>
      <c r="Z155" s="885">
        <f t="shared" si="61"/>
        <v>0</v>
      </c>
    </row>
    <row r="156" spans="2:26" s="278" customFormat="1" ht="12" customHeight="1" x14ac:dyDescent="0.25">
      <c r="B156" s="1192">
        <f t="shared" si="69"/>
        <v>156</v>
      </c>
      <c r="C156" s="732">
        <f t="shared" si="53"/>
        <v>28</v>
      </c>
      <c r="D156" s="35">
        <f t="shared" si="54"/>
        <v>2</v>
      </c>
      <c r="E156" s="889">
        <f t="shared" si="72"/>
        <v>50829</v>
      </c>
      <c r="F156" s="822">
        <f t="shared" si="55"/>
        <v>2</v>
      </c>
      <c r="G156" s="126">
        <f t="shared" si="56"/>
        <v>0</v>
      </c>
      <c r="H156" s="1098">
        <f t="shared" si="73"/>
        <v>0</v>
      </c>
      <c r="I156" s="887">
        <f t="shared" si="70"/>
        <v>137</v>
      </c>
      <c r="J156" s="1099">
        <f t="shared" si="62"/>
        <v>137</v>
      </c>
      <c r="K156" s="891" t="str">
        <f t="shared" si="63"/>
        <v>February</v>
      </c>
      <c r="L156" s="888">
        <f t="shared" si="71"/>
        <v>2039</v>
      </c>
      <c r="M156" s="883">
        <f t="shared" si="64"/>
        <v>0</v>
      </c>
      <c r="N156" s="883">
        <f t="shared" si="65"/>
        <v>0</v>
      </c>
      <c r="O156" s="1100"/>
      <c r="P156" s="883">
        <f t="shared" si="57"/>
        <v>0</v>
      </c>
      <c r="Q156" s="884">
        <f t="shared" si="66"/>
        <v>0</v>
      </c>
      <c r="R156" s="884">
        <f>IF(AND($AR$39="Early Payoff",I156&gt;=$R$13),0,IF($I156&lt;=$R$6,SUM($P$20:$P156),0))</f>
        <v>0</v>
      </c>
      <c r="S156" s="884">
        <f>IF(AND($AR$39="Early Payoff",I156&gt;=$R$13),0,IF($I156&lt;=$R$6,SUM($Q$20:$Q156),0))</f>
        <v>0</v>
      </c>
      <c r="T156" s="873">
        <f t="shared" si="67"/>
        <v>0</v>
      </c>
      <c r="U156" s="1110">
        <f t="shared" si="68"/>
        <v>0</v>
      </c>
      <c r="W156" s="1102">
        <f t="shared" si="58"/>
        <v>0</v>
      </c>
      <c r="X156" s="873">
        <f t="shared" si="59"/>
        <v>0</v>
      </c>
      <c r="Y156" s="873">
        <f t="shared" si="60"/>
        <v>0</v>
      </c>
      <c r="Z156" s="885">
        <f t="shared" si="61"/>
        <v>0</v>
      </c>
    </row>
    <row r="157" spans="2:26" s="278" customFormat="1" ht="12" customHeight="1" x14ac:dyDescent="0.25">
      <c r="B157" s="1192">
        <f t="shared" si="69"/>
        <v>157</v>
      </c>
      <c r="C157" s="732">
        <f t="shared" si="53"/>
        <v>31</v>
      </c>
      <c r="D157" s="35">
        <f t="shared" si="54"/>
        <v>3</v>
      </c>
      <c r="E157" s="889">
        <f t="shared" si="72"/>
        <v>50860</v>
      </c>
      <c r="F157" s="822">
        <f t="shared" si="55"/>
        <v>3</v>
      </c>
      <c r="G157" s="126">
        <f t="shared" si="56"/>
        <v>0</v>
      </c>
      <c r="H157" s="1098">
        <f t="shared" si="73"/>
        <v>0</v>
      </c>
      <c r="I157" s="887">
        <f t="shared" si="70"/>
        <v>138</v>
      </c>
      <c r="J157" s="1099">
        <f t="shared" si="62"/>
        <v>138</v>
      </c>
      <c r="K157" s="891" t="str">
        <f t="shared" si="63"/>
        <v>March</v>
      </c>
      <c r="L157" s="888">
        <f t="shared" si="71"/>
        <v>2039</v>
      </c>
      <c r="M157" s="883">
        <f t="shared" si="64"/>
        <v>0</v>
      </c>
      <c r="N157" s="883">
        <f t="shared" si="65"/>
        <v>0</v>
      </c>
      <c r="O157" s="1100"/>
      <c r="P157" s="883">
        <f t="shared" si="57"/>
        <v>0</v>
      </c>
      <c r="Q157" s="884">
        <f t="shared" si="66"/>
        <v>0</v>
      </c>
      <c r="R157" s="884">
        <f>IF(AND($AR$39="Early Payoff",I157&gt;=$R$13),0,IF($I157&lt;=$R$6,SUM($P$20:$P157),0))</f>
        <v>0</v>
      </c>
      <c r="S157" s="884">
        <f>IF(AND($AR$39="Early Payoff",I157&gt;=$R$13),0,IF($I157&lt;=$R$6,SUM($Q$20:$Q157),0))</f>
        <v>0</v>
      </c>
      <c r="T157" s="873">
        <f t="shared" si="67"/>
        <v>0</v>
      </c>
      <c r="U157" s="1110">
        <f t="shared" si="68"/>
        <v>0</v>
      </c>
      <c r="W157" s="1102">
        <f t="shared" si="58"/>
        <v>0</v>
      </c>
      <c r="X157" s="873">
        <f t="shared" si="59"/>
        <v>0</v>
      </c>
      <c r="Y157" s="873">
        <f t="shared" si="60"/>
        <v>0</v>
      </c>
      <c r="Z157" s="885">
        <f t="shared" si="61"/>
        <v>0</v>
      </c>
    </row>
    <row r="158" spans="2:26" s="278" customFormat="1" ht="12" customHeight="1" x14ac:dyDescent="0.25">
      <c r="B158" s="1192">
        <f t="shared" si="69"/>
        <v>158</v>
      </c>
      <c r="C158" s="732">
        <f t="shared" si="53"/>
        <v>30</v>
      </c>
      <c r="D158" s="35">
        <f t="shared" si="54"/>
        <v>4</v>
      </c>
      <c r="E158" s="889">
        <f t="shared" si="72"/>
        <v>50890</v>
      </c>
      <c r="F158" s="822">
        <f t="shared" si="55"/>
        <v>4</v>
      </c>
      <c r="G158" s="126">
        <f t="shared" si="56"/>
        <v>0</v>
      </c>
      <c r="H158" s="1098">
        <f t="shared" si="73"/>
        <v>0</v>
      </c>
      <c r="I158" s="887">
        <f t="shared" si="70"/>
        <v>139</v>
      </c>
      <c r="J158" s="1099">
        <f t="shared" si="62"/>
        <v>139</v>
      </c>
      <c r="K158" s="891" t="str">
        <f t="shared" si="63"/>
        <v>April</v>
      </c>
      <c r="L158" s="888">
        <f t="shared" si="71"/>
        <v>2039</v>
      </c>
      <c r="M158" s="883">
        <f t="shared" si="64"/>
        <v>0</v>
      </c>
      <c r="N158" s="883">
        <f t="shared" si="65"/>
        <v>0</v>
      </c>
      <c r="O158" s="1100"/>
      <c r="P158" s="883">
        <f t="shared" si="57"/>
        <v>0</v>
      </c>
      <c r="Q158" s="884">
        <f t="shared" si="66"/>
        <v>0</v>
      </c>
      <c r="R158" s="884">
        <f>IF(AND($AR$39="Early Payoff",I158&gt;=$R$13),0,IF($I158&lt;=$R$6,SUM($P$20:$P158),0))</f>
        <v>0</v>
      </c>
      <c r="S158" s="884">
        <f>IF(AND($AR$39="Early Payoff",I158&gt;=$R$13),0,IF($I158&lt;=$R$6,SUM($Q$20:$Q158),0))</f>
        <v>0</v>
      </c>
      <c r="T158" s="873">
        <f t="shared" si="67"/>
        <v>0</v>
      </c>
      <c r="U158" s="1110">
        <f t="shared" si="68"/>
        <v>0</v>
      </c>
      <c r="W158" s="1102">
        <f t="shared" si="58"/>
        <v>0</v>
      </c>
      <c r="X158" s="873">
        <f t="shared" si="59"/>
        <v>0</v>
      </c>
      <c r="Y158" s="873">
        <f t="shared" si="60"/>
        <v>0</v>
      </c>
      <c r="Z158" s="885">
        <f t="shared" si="61"/>
        <v>0</v>
      </c>
    </row>
    <row r="159" spans="2:26" s="278" customFormat="1" ht="12" customHeight="1" x14ac:dyDescent="0.25">
      <c r="B159" s="1192">
        <f t="shared" si="69"/>
        <v>159</v>
      </c>
      <c r="C159" s="732">
        <f t="shared" si="53"/>
        <v>31</v>
      </c>
      <c r="D159" s="35">
        <f t="shared" si="54"/>
        <v>5</v>
      </c>
      <c r="E159" s="889">
        <f t="shared" si="72"/>
        <v>50921</v>
      </c>
      <c r="F159" s="822">
        <f t="shared" si="55"/>
        <v>5</v>
      </c>
      <c r="G159" s="126">
        <f t="shared" si="56"/>
        <v>0</v>
      </c>
      <c r="H159" s="1098">
        <f t="shared" si="73"/>
        <v>0</v>
      </c>
      <c r="I159" s="887">
        <f t="shared" si="70"/>
        <v>140</v>
      </c>
      <c r="J159" s="1099">
        <f t="shared" si="62"/>
        <v>140</v>
      </c>
      <c r="K159" s="891" t="str">
        <f t="shared" si="63"/>
        <v>May</v>
      </c>
      <c r="L159" s="888">
        <f t="shared" si="71"/>
        <v>2039</v>
      </c>
      <c r="M159" s="883">
        <f t="shared" si="64"/>
        <v>0</v>
      </c>
      <c r="N159" s="883">
        <f t="shared" si="65"/>
        <v>0</v>
      </c>
      <c r="O159" s="1100"/>
      <c r="P159" s="883">
        <f t="shared" si="57"/>
        <v>0</v>
      </c>
      <c r="Q159" s="884">
        <f t="shared" si="66"/>
        <v>0</v>
      </c>
      <c r="R159" s="884">
        <f>IF(AND($AR$39="Early Payoff",I159&gt;=$R$13),0,IF($I159&lt;=$R$6,SUM($P$20:$P159),0))</f>
        <v>0</v>
      </c>
      <c r="S159" s="884">
        <f>IF(AND($AR$39="Early Payoff",I159&gt;=$R$13),0,IF($I159&lt;=$R$6,SUM($Q$20:$Q159),0))</f>
        <v>0</v>
      </c>
      <c r="T159" s="873">
        <f t="shared" si="67"/>
        <v>0</v>
      </c>
      <c r="U159" s="1110">
        <f t="shared" si="68"/>
        <v>0</v>
      </c>
      <c r="W159" s="1102">
        <f t="shared" si="58"/>
        <v>0</v>
      </c>
      <c r="X159" s="873">
        <f t="shared" si="59"/>
        <v>0</v>
      </c>
      <c r="Y159" s="873">
        <f t="shared" si="60"/>
        <v>0</v>
      </c>
      <c r="Z159" s="885">
        <f t="shared" si="61"/>
        <v>0</v>
      </c>
    </row>
    <row r="160" spans="2:26" s="278" customFormat="1" ht="12" customHeight="1" x14ac:dyDescent="0.25">
      <c r="B160" s="1192">
        <f t="shared" si="69"/>
        <v>160</v>
      </c>
      <c r="C160" s="732">
        <f t="shared" si="53"/>
        <v>30</v>
      </c>
      <c r="D160" s="35">
        <f t="shared" si="54"/>
        <v>6</v>
      </c>
      <c r="E160" s="889">
        <f t="shared" si="72"/>
        <v>50951</v>
      </c>
      <c r="F160" s="822">
        <f t="shared" si="55"/>
        <v>6</v>
      </c>
      <c r="G160" s="126">
        <f t="shared" si="56"/>
        <v>0</v>
      </c>
      <c r="H160" s="1098">
        <f t="shared" si="73"/>
        <v>0</v>
      </c>
      <c r="I160" s="887">
        <f t="shared" si="70"/>
        <v>141</v>
      </c>
      <c r="J160" s="1099">
        <f t="shared" si="62"/>
        <v>141</v>
      </c>
      <c r="K160" s="891" t="str">
        <f t="shared" si="63"/>
        <v>June</v>
      </c>
      <c r="L160" s="888">
        <f t="shared" si="71"/>
        <v>2039</v>
      </c>
      <c r="M160" s="883">
        <f t="shared" si="64"/>
        <v>0</v>
      </c>
      <c r="N160" s="883">
        <f t="shared" si="65"/>
        <v>0</v>
      </c>
      <c r="O160" s="1100"/>
      <c r="P160" s="883">
        <f t="shared" si="57"/>
        <v>0</v>
      </c>
      <c r="Q160" s="884">
        <f t="shared" si="66"/>
        <v>0</v>
      </c>
      <c r="R160" s="884">
        <f>IF(AND($AR$39="Early Payoff",I160&gt;=$R$13),0,IF($I160&lt;=$R$6,SUM($P$20:$P160),0))</f>
        <v>0</v>
      </c>
      <c r="S160" s="884">
        <f>IF(AND($AR$39="Early Payoff",I160&gt;=$R$13),0,IF($I160&lt;=$R$6,SUM($Q$20:$Q160),0))</f>
        <v>0</v>
      </c>
      <c r="T160" s="873">
        <f t="shared" si="67"/>
        <v>0</v>
      </c>
      <c r="U160" s="1110">
        <f t="shared" si="68"/>
        <v>0</v>
      </c>
      <c r="W160" s="1102">
        <f t="shared" si="58"/>
        <v>0</v>
      </c>
      <c r="X160" s="873">
        <f t="shared" si="59"/>
        <v>0</v>
      </c>
      <c r="Y160" s="873">
        <f t="shared" si="60"/>
        <v>0</v>
      </c>
      <c r="Z160" s="885">
        <f t="shared" si="61"/>
        <v>0</v>
      </c>
    </row>
    <row r="161" spans="2:26" s="278" customFormat="1" ht="12" customHeight="1" x14ac:dyDescent="0.25">
      <c r="B161" s="1192">
        <f t="shared" si="69"/>
        <v>161</v>
      </c>
      <c r="C161" s="732">
        <f t="shared" si="53"/>
        <v>31</v>
      </c>
      <c r="D161" s="35">
        <f t="shared" si="54"/>
        <v>7</v>
      </c>
      <c r="E161" s="889">
        <f t="shared" si="72"/>
        <v>50982</v>
      </c>
      <c r="F161" s="822">
        <f t="shared" si="55"/>
        <v>7</v>
      </c>
      <c r="G161" s="126">
        <f t="shared" si="56"/>
        <v>0</v>
      </c>
      <c r="H161" s="1098">
        <f t="shared" si="73"/>
        <v>0</v>
      </c>
      <c r="I161" s="887">
        <f t="shared" si="70"/>
        <v>142</v>
      </c>
      <c r="J161" s="1099">
        <f t="shared" si="62"/>
        <v>142</v>
      </c>
      <c r="K161" s="891" t="str">
        <f t="shared" si="63"/>
        <v>July</v>
      </c>
      <c r="L161" s="888">
        <f t="shared" si="71"/>
        <v>2039</v>
      </c>
      <c r="M161" s="883">
        <f t="shared" si="64"/>
        <v>0</v>
      </c>
      <c r="N161" s="883">
        <f t="shared" si="65"/>
        <v>0</v>
      </c>
      <c r="O161" s="1100"/>
      <c r="P161" s="883">
        <f t="shared" si="57"/>
        <v>0</v>
      </c>
      <c r="Q161" s="884">
        <f t="shared" si="66"/>
        <v>0</v>
      </c>
      <c r="R161" s="884">
        <f>IF(AND($AR$39="Early Payoff",I161&gt;=$R$13),0,IF($I161&lt;=$R$6,SUM($P$20:$P161),0))</f>
        <v>0</v>
      </c>
      <c r="S161" s="884">
        <f>IF(AND($AR$39="Early Payoff",I161&gt;=$R$13),0,IF($I161&lt;=$R$6,SUM($Q$20:$Q161),0))</f>
        <v>0</v>
      </c>
      <c r="T161" s="873">
        <f t="shared" si="67"/>
        <v>0</v>
      </c>
      <c r="U161" s="1110">
        <f t="shared" si="68"/>
        <v>0</v>
      </c>
      <c r="W161" s="1102">
        <f t="shared" si="58"/>
        <v>0</v>
      </c>
      <c r="X161" s="873">
        <f t="shared" si="59"/>
        <v>0</v>
      </c>
      <c r="Y161" s="873">
        <f t="shared" si="60"/>
        <v>0</v>
      </c>
      <c r="Z161" s="885">
        <f t="shared" si="61"/>
        <v>0</v>
      </c>
    </row>
    <row r="162" spans="2:26" s="278" customFormat="1" ht="12" customHeight="1" x14ac:dyDescent="0.25">
      <c r="B162" s="1192">
        <f t="shared" si="69"/>
        <v>162</v>
      </c>
      <c r="C162" s="732">
        <f t="shared" si="53"/>
        <v>31</v>
      </c>
      <c r="D162" s="35">
        <f t="shared" si="54"/>
        <v>8</v>
      </c>
      <c r="E162" s="889">
        <f t="shared" si="72"/>
        <v>51013</v>
      </c>
      <c r="F162" s="822">
        <f t="shared" si="55"/>
        <v>8</v>
      </c>
      <c r="G162" s="126">
        <f t="shared" si="56"/>
        <v>0</v>
      </c>
      <c r="H162" s="1098">
        <f t="shared" si="73"/>
        <v>0</v>
      </c>
      <c r="I162" s="887">
        <f t="shared" si="70"/>
        <v>143</v>
      </c>
      <c r="J162" s="1099">
        <f t="shared" si="62"/>
        <v>143</v>
      </c>
      <c r="K162" s="891" t="str">
        <f t="shared" si="63"/>
        <v>August</v>
      </c>
      <c r="L162" s="888">
        <f t="shared" si="71"/>
        <v>2039</v>
      </c>
      <c r="M162" s="883">
        <f t="shared" si="64"/>
        <v>0</v>
      </c>
      <c r="N162" s="883">
        <f t="shared" si="65"/>
        <v>0</v>
      </c>
      <c r="O162" s="1100"/>
      <c r="P162" s="883">
        <f t="shared" si="57"/>
        <v>0</v>
      </c>
      <c r="Q162" s="884">
        <f t="shared" si="66"/>
        <v>0</v>
      </c>
      <c r="R162" s="884">
        <f>IF(AND($AR$39="Early Payoff",I162&gt;=$R$13),0,IF($I162&lt;=$R$6,SUM($P$20:$P162),0))</f>
        <v>0</v>
      </c>
      <c r="S162" s="884">
        <f>IF(AND($AR$39="Early Payoff",I162&gt;=$R$13),0,IF($I162&lt;=$R$6,SUM($Q$20:$Q162),0))</f>
        <v>0</v>
      </c>
      <c r="T162" s="873">
        <f t="shared" si="67"/>
        <v>0</v>
      </c>
      <c r="U162" s="1110">
        <f t="shared" si="68"/>
        <v>0</v>
      </c>
      <c r="W162" s="1102">
        <f t="shared" si="58"/>
        <v>0</v>
      </c>
      <c r="X162" s="873">
        <f t="shared" si="59"/>
        <v>0</v>
      </c>
      <c r="Y162" s="873">
        <f t="shared" si="60"/>
        <v>0</v>
      </c>
      <c r="Z162" s="885">
        <f t="shared" si="61"/>
        <v>0</v>
      </c>
    </row>
    <row r="163" spans="2:26" s="278" customFormat="1" ht="12" customHeight="1" x14ac:dyDescent="0.25">
      <c r="B163" s="1192">
        <f t="shared" si="69"/>
        <v>163</v>
      </c>
      <c r="C163" s="732">
        <f t="shared" si="53"/>
        <v>30</v>
      </c>
      <c r="D163" s="35">
        <f t="shared" si="54"/>
        <v>9</v>
      </c>
      <c r="E163" s="889">
        <f t="shared" si="72"/>
        <v>51043</v>
      </c>
      <c r="F163" s="822">
        <f t="shared" si="55"/>
        <v>9</v>
      </c>
      <c r="G163" s="126">
        <f t="shared" si="56"/>
        <v>0</v>
      </c>
      <c r="H163" s="1098">
        <f t="shared" si="73"/>
        <v>0</v>
      </c>
      <c r="I163" s="887">
        <f t="shared" si="70"/>
        <v>144</v>
      </c>
      <c r="J163" s="1099">
        <f t="shared" si="62"/>
        <v>144</v>
      </c>
      <c r="K163" s="891" t="str">
        <f t="shared" si="63"/>
        <v>September</v>
      </c>
      <c r="L163" s="888">
        <f t="shared" si="71"/>
        <v>2039</v>
      </c>
      <c r="M163" s="883">
        <f t="shared" si="64"/>
        <v>0</v>
      </c>
      <c r="N163" s="883">
        <f t="shared" si="65"/>
        <v>0</v>
      </c>
      <c r="O163" s="1100"/>
      <c r="P163" s="883">
        <f t="shared" si="57"/>
        <v>0</v>
      </c>
      <c r="Q163" s="884">
        <f t="shared" si="66"/>
        <v>0</v>
      </c>
      <c r="R163" s="884">
        <f>IF(AND($AR$39="Early Payoff",I163&gt;=$R$13),0,IF($I163&lt;=$R$6,SUM($P$20:$P163),0))</f>
        <v>0</v>
      </c>
      <c r="S163" s="884">
        <f>IF(AND($AR$39="Early Payoff",I163&gt;=$R$13),0,IF($I163&lt;=$R$6,SUM($Q$20:$Q163),0))</f>
        <v>0</v>
      </c>
      <c r="T163" s="873">
        <f t="shared" si="67"/>
        <v>0</v>
      </c>
      <c r="U163" s="1110">
        <f t="shared" si="68"/>
        <v>0</v>
      </c>
      <c r="W163" s="1102">
        <f t="shared" si="58"/>
        <v>0</v>
      </c>
      <c r="X163" s="873">
        <f t="shared" si="59"/>
        <v>0</v>
      </c>
      <c r="Y163" s="873">
        <f t="shared" si="60"/>
        <v>0</v>
      </c>
      <c r="Z163" s="885">
        <f t="shared" si="61"/>
        <v>0</v>
      </c>
    </row>
    <row r="164" spans="2:26" s="278" customFormat="1" ht="12" customHeight="1" x14ac:dyDescent="0.25">
      <c r="B164" s="1192">
        <f t="shared" si="69"/>
        <v>164</v>
      </c>
      <c r="C164" s="732">
        <f t="shared" si="53"/>
        <v>31</v>
      </c>
      <c r="D164" s="35">
        <f t="shared" si="54"/>
        <v>10</v>
      </c>
      <c r="E164" s="889">
        <f t="shared" si="72"/>
        <v>51074</v>
      </c>
      <c r="F164" s="822">
        <f t="shared" si="55"/>
        <v>10</v>
      </c>
      <c r="G164" s="126">
        <f t="shared" si="56"/>
        <v>0</v>
      </c>
      <c r="H164" s="1098">
        <f t="shared" si="73"/>
        <v>0</v>
      </c>
      <c r="I164" s="887">
        <f t="shared" si="70"/>
        <v>145</v>
      </c>
      <c r="J164" s="1099">
        <f t="shared" si="62"/>
        <v>145</v>
      </c>
      <c r="K164" s="891" t="str">
        <f t="shared" si="63"/>
        <v>October</v>
      </c>
      <c r="L164" s="888">
        <f t="shared" si="71"/>
        <v>2039</v>
      </c>
      <c r="M164" s="883">
        <f t="shared" si="64"/>
        <v>0</v>
      </c>
      <c r="N164" s="883">
        <f t="shared" si="65"/>
        <v>0</v>
      </c>
      <c r="O164" s="1100"/>
      <c r="P164" s="883">
        <f t="shared" si="57"/>
        <v>0</v>
      </c>
      <c r="Q164" s="884">
        <f t="shared" si="66"/>
        <v>0</v>
      </c>
      <c r="R164" s="884">
        <f>IF(AND($AR$39="Early Payoff",I164&gt;=$R$13),0,IF($I164&lt;=$R$6,SUM($P$20:$P164),0))</f>
        <v>0</v>
      </c>
      <c r="S164" s="884">
        <f>IF(AND($AR$39="Early Payoff",I164&gt;=$R$13),0,IF($I164&lt;=$R$6,SUM($Q$20:$Q164),0))</f>
        <v>0</v>
      </c>
      <c r="T164" s="873">
        <f t="shared" si="67"/>
        <v>0</v>
      </c>
      <c r="U164" s="1110">
        <f t="shared" si="68"/>
        <v>0</v>
      </c>
      <c r="W164" s="1102">
        <f t="shared" si="58"/>
        <v>0</v>
      </c>
      <c r="X164" s="873">
        <f t="shared" si="59"/>
        <v>0</v>
      </c>
      <c r="Y164" s="873">
        <f t="shared" si="60"/>
        <v>0</v>
      </c>
      <c r="Z164" s="885">
        <f t="shared" si="61"/>
        <v>0</v>
      </c>
    </row>
    <row r="165" spans="2:26" s="278" customFormat="1" ht="12" customHeight="1" x14ac:dyDescent="0.25">
      <c r="B165" s="1192">
        <f t="shared" si="69"/>
        <v>165</v>
      </c>
      <c r="C165" s="732">
        <f t="shared" si="53"/>
        <v>30</v>
      </c>
      <c r="D165" s="35">
        <f t="shared" si="54"/>
        <v>11</v>
      </c>
      <c r="E165" s="889">
        <f t="shared" si="72"/>
        <v>51104</v>
      </c>
      <c r="F165" s="822">
        <f t="shared" si="55"/>
        <v>11</v>
      </c>
      <c r="G165" s="126">
        <f t="shared" si="56"/>
        <v>0</v>
      </c>
      <c r="H165" s="1098">
        <f t="shared" si="73"/>
        <v>0</v>
      </c>
      <c r="I165" s="887">
        <f t="shared" si="70"/>
        <v>146</v>
      </c>
      <c r="J165" s="1099">
        <f t="shared" si="62"/>
        <v>146</v>
      </c>
      <c r="K165" s="891" t="str">
        <f t="shared" si="63"/>
        <v>November</v>
      </c>
      <c r="L165" s="888">
        <f t="shared" si="71"/>
        <v>2039</v>
      </c>
      <c r="M165" s="883">
        <f t="shared" si="64"/>
        <v>0</v>
      </c>
      <c r="N165" s="883">
        <f t="shared" si="65"/>
        <v>0</v>
      </c>
      <c r="O165" s="1100"/>
      <c r="P165" s="883">
        <f t="shared" si="57"/>
        <v>0</v>
      </c>
      <c r="Q165" s="884">
        <f t="shared" si="66"/>
        <v>0</v>
      </c>
      <c r="R165" s="884">
        <f>IF(AND($AR$39="Early Payoff",I165&gt;=$R$13),0,IF($I165&lt;=$R$6,SUM($P$20:$P165),0))</f>
        <v>0</v>
      </c>
      <c r="S165" s="884">
        <f>IF(AND($AR$39="Early Payoff",I165&gt;=$R$13),0,IF($I165&lt;=$R$6,SUM($Q$20:$Q165),0))</f>
        <v>0</v>
      </c>
      <c r="T165" s="873">
        <f t="shared" si="67"/>
        <v>0</v>
      </c>
      <c r="U165" s="1110">
        <f t="shared" si="68"/>
        <v>0</v>
      </c>
      <c r="W165" s="1102">
        <f t="shared" si="58"/>
        <v>0</v>
      </c>
      <c r="X165" s="873">
        <f t="shared" si="59"/>
        <v>0</v>
      </c>
      <c r="Y165" s="873">
        <f t="shared" si="60"/>
        <v>0</v>
      </c>
      <c r="Z165" s="885">
        <f t="shared" si="61"/>
        <v>0</v>
      </c>
    </row>
    <row r="166" spans="2:26" s="278" customFormat="1" ht="12" customHeight="1" x14ac:dyDescent="0.25">
      <c r="B166" s="1192">
        <f t="shared" si="69"/>
        <v>166</v>
      </c>
      <c r="C166" s="732">
        <f t="shared" si="53"/>
        <v>31</v>
      </c>
      <c r="D166" s="35">
        <f t="shared" si="54"/>
        <v>12</v>
      </c>
      <c r="E166" s="889">
        <f t="shared" si="72"/>
        <v>51135</v>
      </c>
      <c r="F166" s="822">
        <f t="shared" si="55"/>
        <v>12</v>
      </c>
      <c r="G166" s="126">
        <f t="shared" si="56"/>
        <v>1</v>
      </c>
      <c r="H166" s="1098">
        <f t="shared" si="73"/>
        <v>0</v>
      </c>
      <c r="I166" s="887">
        <f t="shared" si="70"/>
        <v>147</v>
      </c>
      <c r="J166" s="1099">
        <f t="shared" si="62"/>
        <v>147</v>
      </c>
      <c r="K166" s="891" t="str">
        <f t="shared" si="63"/>
        <v>December</v>
      </c>
      <c r="L166" s="888">
        <f t="shared" si="71"/>
        <v>2039</v>
      </c>
      <c r="M166" s="883">
        <f t="shared" si="64"/>
        <v>0</v>
      </c>
      <c r="N166" s="883">
        <f t="shared" si="65"/>
        <v>0</v>
      </c>
      <c r="O166" s="1100"/>
      <c r="P166" s="883">
        <f t="shared" si="57"/>
        <v>0</v>
      </c>
      <c r="Q166" s="884">
        <f t="shared" si="66"/>
        <v>0</v>
      </c>
      <c r="R166" s="884">
        <f>IF(AND($AR$39="Early Payoff",I166&gt;=$R$13),0,IF($I166&lt;=$R$6,SUM($P$20:$P166),0))</f>
        <v>0</v>
      </c>
      <c r="S166" s="884">
        <f>IF(AND($AR$39="Early Payoff",I166&gt;=$R$13),0,IF($I166&lt;=$R$6,SUM($Q$20:$Q166),0))</f>
        <v>0</v>
      </c>
      <c r="T166" s="873">
        <f t="shared" si="67"/>
        <v>0</v>
      </c>
      <c r="U166" s="1110">
        <f t="shared" si="68"/>
        <v>0</v>
      </c>
      <c r="W166" s="1102">
        <f t="shared" si="58"/>
        <v>0</v>
      </c>
      <c r="X166" s="873">
        <f t="shared" si="59"/>
        <v>0</v>
      </c>
      <c r="Y166" s="873">
        <f t="shared" si="60"/>
        <v>0</v>
      </c>
      <c r="Z166" s="885">
        <f t="shared" si="61"/>
        <v>0</v>
      </c>
    </row>
    <row r="167" spans="2:26" s="278" customFormat="1" ht="12" customHeight="1" x14ac:dyDescent="0.25">
      <c r="B167" s="1192">
        <f t="shared" si="69"/>
        <v>167</v>
      </c>
      <c r="C167" s="732">
        <f t="shared" si="53"/>
        <v>31</v>
      </c>
      <c r="D167" s="35">
        <f t="shared" si="54"/>
        <v>1</v>
      </c>
      <c r="E167" s="889">
        <f t="shared" si="72"/>
        <v>51166</v>
      </c>
      <c r="F167" s="822">
        <f t="shared" si="55"/>
        <v>1</v>
      </c>
      <c r="G167" s="126">
        <f t="shared" si="56"/>
        <v>0</v>
      </c>
      <c r="H167" s="1098">
        <f t="shared" si="73"/>
        <v>0</v>
      </c>
      <c r="I167" s="887">
        <f t="shared" si="70"/>
        <v>148</v>
      </c>
      <c r="J167" s="1099">
        <f t="shared" si="62"/>
        <v>148</v>
      </c>
      <c r="K167" s="891" t="str">
        <f t="shared" si="63"/>
        <v>January</v>
      </c>
      <c r="L167" s="888">
        <f t="shared" si="71"/>
        <v>2040</v>
      </c>
      <c r="M167" s="883">
        <f t="shared" si="64"/>
        <v>0</v>
      </c>
      <c r="N167" s="883">
        <f t="shared" si="65"/>
        <v>0</v>
      </c>
      <c r="O167" s="1100"/>
      <c r="P167" s="883">
        <f t="shared" si="57"/>
        <v>0</v>
      </c>
      <c r="Q167" s="884">
        <f t="shared" si="66"/>
        <v>0</v>
      </c>
      <c r="R167" s="884">
        <f>IF(AND($AR$39="Early Payoff",I167&gt;=$R$13),0,IF($I167&lt;=$R$6,SUM($P$20:$P167),0))</f>
        <v>0</v>
      </c>
      <c r="S167" s="884">
        <f>IF(AND($AR$39="Early Payoff",I167&gt;=$R$13),0,IF($I167&lt;=$R$6,SUM($Q$20:$Q167),0))</f>
        <v>0</v>
      </c>
      <c r="T167" s="873">
        <f t="shared" si="67"/>
        <v>0</v>
      </c>
      <c r="U167" s="1110">
        <f t="shared" si="68"/>
        <v>0</v>
      </c>
      <c r="W167" s="1102">
        <f t="shared" si="58"/>
        <v>0</v>
      </c>
      <c r="X167" s="873">
        <f t="shared" si="59"/>
        <v>0</v>
      </c>
      <c r="Y167" s="873">
        <f t="shared" si="60"/>
        <v>0</v>
      </c>
      <c r="Z167" s="885">
        <f t="shared" si="61"/>
        <v>0</v>
      </c>
    </row>
    <row r="168" spans="2:26" s="278" customFormat="1" ht="12" customHeight="1" x14ac:dyDescent="0.25">
      <c r="B168" s="1192">
        <f t="shared" si="69"/>
        <v>168</v>
      </c>
      <c r="C168" s="732">
        <f t="shared" si="53"/>
        <v>29</v>
      </c>
      <c r="D168" s="35">
        <f t="shared" si="54"/>
        <v>2</v>
      </c>
      <c r="E168" s="889">
        <f t="shared" si="72"/>
        <v>51195</v>
      </c>
      <c r="F168" s="822">
        <f t="shared" si="55"/>
        <v>2</v>
      </c>
      <c r="G168" s="126">
        <f t="shared" si="56"/>
        <v>0</v>
      </c>
      <c r="H168" s="1098">
        <f t="shared" si="73"/>
        <v>0</v>
      </c>
      <c r="I168" s="887">
        <f t="shared" si="70"/>
        <v>149</v>
      </c>
      <c r="J168" s="1099">
        <f t="shared" si="62"/>
        <v>149</v>
      </c>
      <c r="K168" s="891" t="str">
        <f t="shared" si="63"/>
        <v>February</v>
      </c>
      <c r="L168" s="888">
        <f t="shared" si="71"/>
        <v>2040</v>
      </c>
      <c r="M168" s="883">
        <f t="shared" si="64"/>
        <v>0</v>
      </c>
      <c r="N168" s="883">
        <f t="shared" si="65"/>
        <v>0</v>
      </c>
      <c r="O168" s="1100"/>
      <c r="P168" s="883">
        <f t="shared" si="57"/>
        <v>0</v>
      </c>
      <c r="Q168" s="884">
        <f t="shared" si="66"/>
        <v>0</v>
      </c>
      <c r="R168" s="884">
        <f>IF(AND($AR$39="Early Payoff",I168&gt;=$R$13),0,IF($I168&lt;=$R$6,SUM($P$20:$P168),0))</f>
        <v>0</v>
      </c>
      <c r="S168" s="884">
        <f>IF(AND($AR$39="Early Payoff",I168&gt;=$R$13),0,IF($I168&lt;=$R$6,SUM($Q$20:$Q168),0))</f>
        <v>0</v>
      </c>
      <c r="T168" s="873">
        <f t="shared" si="67"/>
        <v>0</v>
      </c>
      <c r="U168" s="1110">
        <f t="shared" si="68"/>
        <v>0</v>
      </c>
      <c r="W168" s="1102">
        <f t="shared" si="58"/>
        <v>0</v>
      </c>
      <c r="X168" s="873">
        <f t="shared" si="59"/>
        <v>0</v>
      </c>
      <c r="Y168" s="873">
        <f t="shared" si="60"/>
        <v>0</v>
      </c>
      <c r="Z168" s="885">
        <f t="shared" si="61"/>
        <v>0</v>
      </c>
    </row>
    <row r="169" spans="2:26" s="278" customFormat="1" ht="12" customHeight="1" x14ac:dyDescent="0.25">
      <c r="B169" s="1192">
        <f t="shared" si="69"/>
        <v>169</v>
      </c>
      <c r="C169" s="732">
        <f t="shared" si="53"/>
        <v>31</v>
      </c>
      <c r="D169" s="35">
        <f t="shared" si="54"/>
        <v>3</v>
      </c>
      <c r="E169" s="889">
        <f t="shared" si="72"/>
        <v>51226</v>
      </c>
      <c r="F169" s="822">
        <f t="shared" si="55"/>
        <v>3</v>
      </c>
      <c r="G169" s="126">
        <f t="shared" si="56"/>
        <v>0</v>
      </c>
      <c r="H169" s="1098">
        <f t="shared" si="73"/>
        <v>0</v>
      </c>
      <c r="I169" s="887">
        <f t="shared" si="70"/>
        <v>150</v>
      </c>
      <c r="J169" s="1099">
        <f t="shared" si="62"/>
        <v>150</v>
      </c>
      <c r="K169" s="891" t="str">
        <f t="shared" si="63"/>
        <v>March</v>
      </c>
      <c r="L169" s="888">
        <f t="shared" si="71"/>
        <v>2040</v>
      </c>
      <c r="M169" s="883">
        <f t="shared" si="64"/>
        <v>0</v>
      </c>
      <c r="N169" s="883">
        <f t="shared" si="65"/>
        <v>0</v>
      </c>
      <c r="O169" s="1100"/>
      <c r="P169" s="883">
        <f t="shared" si="57"/>
        <v>0</v>
      </c>
      <c r="Q169" s="884">
        <f t="shared" si="66"/>
        <v>0</v>
      </c>
      <c r="R169" s="884">
        <f>IF(AND($AR$39="Early Payoff",I169&gt;=$R$13),0,IF($I169&lt;=$R$6,SUM($P$20:$P169),0))</f>
        <v>0</v>
      </c>
      <c r="S169" s="884">
        <f>IF(AND($AR$39="Early Payoff",I169&gt;=$R$13),0,IF($I169&lt;=$R$6,SUM($Q$20:$Q169),0))</f>
        <v>0</v>
      </c>
      <c r="T169" s="873">
        <f t="shared" si="67"/>
        <v>0</v>
      </c>
      <c r="U169" s="1110">
        <f t="shared" si="68"/>
        <v>0</v>
      </c>
      <c r="W169" s="1102">
        <f t="shared" si="58"/>
        <v>0</v>
      </c>
      <c r="X169" s="873">
        <f t="shared" si="59"/>
        <v>0</v>
      </c>
      <c r="Y169" s="873">
        <f t="shared" si="60"/>
        <v>0</v>
      </c>
      <c r="Z169" s="885">
        <f t="shared" si="61"/>
        <v>0</v>
      </c>
    </row>
    <row r="170" spans="2:26" s="278" customFormat="1" ht="12" customHeight="1" x14ac:dyDescent="0.25">
      <c r="B170" s="1192">
        <f t="shared" si="69"/>
        <v>170</v>
      </c>
      <c r="C170" s="732">
        <f t="shared" si="53"/>
        <v>30</v>
      </c>
      <c r="D170" s="35">
        <f t="shared" si="54"/>
        <v>4</v>
      </c>
      <c r="E170" s="889">
        <f t="shared" si="72"/>
        <v>51256</v>
      </c>
      <c r="F170" s="822">
        <f t="shared" si="55"/>
        <v>4</v>
      </c>
      <c r="G170" s="126">
        <f t="shared" si="56"/>
        <v>0</v>
      </c>
      <c r="H170" s="1098">
        <f t="shared" si="73"/>
        <v>0</v>
      </c>
      <c r="I170" s="887">
        <f t="shared" si="70"/>
        <v>151</v>
      </c>
      <c r="J170" s="1099">
        <f t="shared" si="62"/>
        <v>151</v>
      </c>
      <c r="K170" s="891" t="str">
        <f t="shared" si="63"/>
        <v>April</v>
      </c>
      <c r="L170" s="888">
        <f t="shared" si="71"/>
        <v>2040</v>
      </c>
      <c r="M170" s="883">
        <f t="shared" si="64"/>
        <v>0</v>
      </c>
      <c r="N170" s="883">
        <f t="shared" si="65"/>
        <v>0</v>
      </c>
      <c r="O170" s="1100"/>
      <c r="P170" s="883">
        <f t="shared" si="57"/>
        <v>0</v>
      </c>
      <c r="Q170" s="884">
        <f t="shared" si="66"/>
        <v>0</v>
      </c>
      <c r="R170" s="884">
        <f>IF(AND($AR$39="Early Payoff",I170&gt;=$R$13),0,IF($I170&lt;=$R$6,SUM($P$20:$P170),0))</f>
        <v>0</v>
      </c>
      <c r="S170" s="884">
        <f>IF(AND($AR$39="Early Payoff",I170&gt;=$R$13),0,IF($I170&lt;=$R$6,SUM($Q$20:$Q170),0))</f>
        <v>0</v>
      </c>
      <c r="T170" s="873">
        <f t="shared" si="67"/>
        <v>0</v>
      </c>
      <c r="U170" s="1110">
        <f t="shared" si="68"/>
        <v>0</v>
      </c>
      <c r="W170" s="1102">
        <f t="shared" si="58"/>
        <v>0</v>
      </c>
      <c r="X170" s="873">
        <f t="shared" si="59"/>
        <v>0</v>
      </c>
      <c r="Y170" s="873">
        <f t="shared" si="60"/>
        <v>0</v>
      </c>
      <c r="Z170" s="885">
        <f t="shared" si="61"/>
        <v>0</v>
      </c>
    </row>
    <row r="171" spans="2:26" s="278" customFormat="1" ht="12" customHeight="1" x14ac:dyDescent="0.25">
      <c r="B171" s="1192">
        <f t="shared" si="69"/>
        <v>171</v>
      </c>
      <c r="C171" s="732">
        <f t="shared" si="53"/>
        <v>31</v>
      </c>
      <c r="D171" s="35">
        <f t="shared" si="54"/>
        <v>5</v>
      </c>
      <c r="E171" s="889">
        <f t="shared" si="72"/>
        <v>51287</v>
      </c>
      <c r="F171" s="822">
        <f t="shared" si="55"/>
        <v>5</v>
      </c>
      <c r="G171" s="126">
        <f t="shared" si="56"/>
        <v>0</v>
      </c>
      <c r="H171" s="1098">
        <f t="shared" si="73"/>
        <v>0</v>
      </c>
      <c r="I171" s="887">
        <f t="shared" si="70"/>
        <v>152</v>
      </c>
      <c r="J171" s="1099">
        <f t="shared" si="62"/>
        <v>152</v>
      </c>
      <c r="K171" s="891" t="str">
        <f t="shared" si="63"/>
        <v>May</v>
      </c>
      <c r="L171" s="888">
        <f t="shared" si="71"/>
        <v>2040</v>
      </c>
      <c r="M171" s="883">
        <f t="shared" si="64"/>
        <v>0</v>
      </c>
      <c r="N171" s="883">
        <f t="shared" si="65"/>
        <v>0</v>
      </c>
      <c r="O171" s="1100"/>
      <c r="P171" s="883">
        <f t="shared" si="57"/>
        <v>0</v>
      </c>
      <c r="Q171" s="884">
        <f t="shared" si="66"/>
        <v>0</v>
      </c>
      <c r="R171" s="884">
        <f>IF(AND($AR$39="Early Payoff",I171&gt;=$R$13),0,IF($I171&lt;=$R$6,SUM($P$20:$P171),0))</f>
        <v>0</v>
      </c>
      <c r="S171" s="884">
        <f>IF(AND($AR$39="Early Payoff",I171&gt;=$R$13),0,IF($I171&lt;=$R$6,SUM($Q$20:$Q171),0))</f>
        <v>0</v>
      </c>
      <c r="T171" s="873">
        <f t="shared" si="67"/>
        <v>0</v>
      </c>
      <c r="U171" s="1110">
        <f t="shared" si="68"/>
        <v>0</v>
      </c>
      <c r="W171" s="1102">
        <f t="shared" si="58"/>
        <v>0</v>
      </c>
      <c r="X171" s="873">
        <f t="shared" si="59"/>
        <v>0</v>
      </c>
      <c r="Y171" s="873">
        <f t="shared" si="60"/>
        <v>0</v>
      </c>
      <c r="Z171" s="885">
        <f t="shared" si="61"/>
        <v>0</v>
      </c>
    </row>
    <row r="172" spans="2:26" s="278" customFormat="1" ht="12" customHeight="1" x14ac:dyDescent="0.25">
      <c r="B172" s="1192">
        <f t="shared" si="69"/>
        <v>172</v>
      </c>
      <c r="C172" s="732">
        <f t="shared" si="53"/>
        <v>30</v>
      </c>
      <c r="D172" s="35">
        <f t="shared" si="54"/>
        <v>6</v>
      </c>
      <c r="E172" s="889">
        <f t="shared" si="72"/>
        <v>51317</v>
      </c>
      <c r="F172" s="822">
        <f t="shared" si="55"/>
        <v>6</v>
      </c>
      <c r="G172" s="126">
        <f t="shared" si="56"/>
        <v>0</v>
      </c>
      <c r="H172" s="1098">
        <f t="shared" si="73"/>
        <v>0</v>
      </c>
      <c r="I172" s="887">
        <f t="shared" si="70"/>
        <v>153</v>
      </c>
      <c r="J172" s="1099">
        <f t="shared" si="62"/>
        <v>153</v>
      </c>
      <c r="K172" s="891" t="str">
        <f t="shared" si="63"/>
        <v>June</v>
      </c>
      <c r="L172" s="888">
        <f t="shared" si="71"/>
        <v>2040</v>
      </c>
      <c r="M172" s="883">
        <f t="shared" si="64"/>
        <v>0</v>
      </c>
      <c r="N172" s="883">
        <f t="shared" si="65"/>
        <v>0</v>
      </c>
      <c r="O172" s="1100"/>
      <c r="P172" s="883">
        <f t="shared" si="57"/>
        <v>0</v>
      </c>
      <c r="Q172" s="884">
        <f t="shared" si="66"/>
        <v>0</v>
      </c>
      <c r="R172" s="884">
        <f>IF(AND($AR$39="Early Payoff",I172&gt;=$R$13),0,IF($I172&lt;=$R$6,SUM($P$20:$P172),0))</f>
        <v>0</v>
      </c>
      <c r="S172" s="884">
        <f>IF(AND($AR$39="Early Payoff",I172&gt;=$R$13),0,IF($I172&lt;=$R$6,SUM($Q$20:$Q172),0))</f>
        <v>0</v>
      </c>
      <c r="T172" s="873">
        <f t="shared" si="67"/>
        <v>0</v>
      </c>
      <c r="U172" s="1110">
        <f t="shared" si="68"/>
        <v>0</v>
      </c>
      <c r="W172" s="1102">
        <f t="shared" si="58"/>
        <v>0</v>
      </c>
      <c r="X172" s="873">
        <f t="shared" si="59"/>
        <v>0</v>
      </c>
      <c r="Y172" s="873">
        <f t="shared" si="60"/>
        <v>0</v>
      </c>
      <c r="Z172" s="885">
        <f t="shared" si="61"/>
        <v>0</v>
      </c>
    </row>
    <row r="173" spans="2:26" s="278" customFormat="1" ht="12" customHeight="1" x14ac:dyDescent="0.25">
      <c r="B173" s="1192">
        <f t="shared" si="69"/>
        <v>173</v>
      </c>
      <c r="C173" s="732">
        <f t="shared" si="53"/>
        <v>31</v>
      </c>
      <c r="D173" s="35">
        <f t="shared" si="54"/>
        <v>7</v>
      </c>
      <c r="E173" s="889">
        <f t="shared" si="72"/>
        <v>51348</v>
      </c>
      <c r="F173" s="822">
        <f t="shared" si="55"/>
        <v>7</v>
      </c>
      <c r="G173" s="126">
        <f t="shared" si="56"/>
        <v>0</v>
      </c>
      <c r="H173" s="1098">
        <f t="shared" si="73"/>
        <v>0</v>
      </c>
      <c r="I173" s="887">
        <f t="shared" si="70"/>
        <v>154</v>
      </c>
      <c r="J173" s="1099">
        <f t="shared" si="62"/>
        <v>154</v>
      </c>
      <c r="K173" s="891" t="str">
        <f t="shared" si="63"/>
        <v>July</v>
      </c>
      <c r="L173" s="888">
        <f t="shared" si="71"/>
        <v>2040</v>
      </c>
      <c r="M173" s="883">
        <f t="shared" si="64"/>
        <v>0</v>
      </c>
      <c r="N173" s="883">
        <f t="shared" si="65"/>
        <v>0</v>
      </c>
      <c r="O173" s="1100"/>
      <c r="P173" s="883">
        <f t="shared" si="57"/>
        <v>0</v>
      </c>
      <c r="Q173" s="884">
        <f t="shared" si="66"/>
        <v>0</v>
      </c>
      <c r="R173" s="884">
        <f>IF(AND($AR$39="Early Payoff",I173&gt;=$R$13),0,IF($I173&lt;=$R$6,SUM($P$20:$P173),0))</f>
        <v>0</v>
      </c>
      <c r="S173" s="884">
        <f>IF(AND($AR$39="Early Payoff",I173&gt;=$R$13),0,IF($I173&lt;=$R$6,SUM($Q$20:$Q173),0))</f>
        <v>0</v>
      </c>
      <c r="T173" s="873">
        <f t="shared" si="67"/>
        <v>0</v>
      </c>
      <c r="U173" s="1110">
        <f t="shared" si="68"/>
        <v>0</v>
      </c>
      <c r="W173" s="1102">
        <f t="shared" si="58"/>
        <v>0</v>
      </c>
      <c r="X173" s="873">
        <f t="shared" si="59"/>
        <v>0</v>
      </c>
      <c r="Y173" s="873">
        <f t="shared" si="60"/>
        <v>0</v>
      </c>
      <c r="Z173" s="885">
        <f t="shared" si="61"/>
        <v>0</v>
      </c>
    </row>
    <row r="174" spans="2:26" s="278" customFormat="1" ht="12" customHeight="1" x14ac:dyDescent="0.25">
      <c r="B174" s="1192">
        <f t="shared" si="69"/>
        <v>174</v>
      </c>
      <c r="C174" s="732">
        <f t="shared" si="53"/>
        <v>31</v>
      </c>
      <c r="D174" s="35">
        <f t="shared" si="54"/>
        <v>8</v>
      </c>
      <c r="E174" s="889">
        <f t="shared" si="72"/>
        <v>51379</v>
      </c>
      <c r="F174" s="822">
        <f t="shared" si="55"/>
        <v>8</v>
      </c>
      <c r="G174" s="126">
        <f t="shared" si="56"/>
        <v>0</v>
      </c>
      <c r="H174" s="1098">
        <f t="shared" si="73"/>
        <v>0</v>
      </c>
      <c r="I174" s="887">
        <f t="shared" si="70"/>
        <v>155</v>
      </c>
      <c r="J174" s="1099">
        <f t="shared" si="62"/>
        <v>155</v>
      </c>
      <c r="K174" s="891" t="str">
        <f t="shared" si="63"/>
        <v>August</v>
      </c>
      <c r="L174" s="888">
        <f t="shared" si="71"/>
        <v>2040</v>
      </c>
      <c r="M174" s="883">
        <f t="shared" si="64"/>
        <v>0</v>
      </c>
      <c r="N174" s="883">
        <f t="shared" si="65"/>
        <v>0</v>
      </c>
      <c r="O174" s="1100"/>
      <c r="P174" s="883">
        <f t="shared" si="57"/>
        <v>0</v>
      </c>
      <c r="Q174" s="884">
        <f t="shared" si="66"/>
        <v>0</v>
      </c>
      <c r="R174" s="884">
        <f>IF(AND($AR$39="Early Payoff",I174&gt;=$R$13),0,IF($I174&lt;=$R$6,SUM($P$20:$P174),0))</f>
        <v>0</v>
      </c>
      <c r="S174" s="884">
        <f>IF(AND($AR$39="Early Payoff",I174&gt;=$R$13),0,IF($I174&lt;=$R$6,SUM($Q$20:$Q174),0))</f>
        <v>0</v>
      </c>
      <c r="T174" s="873">
        <f t="shared" si="67"/>
        <v>0</v>
      </c>
      <c r="U174" s="1110">
        <f t="shared" si="68"/>
        <v>0</v>
      </c>
      <c r="W174" s="1102">
        <f t="shared" si="58"/>
        <v>0</v>
      </c>
      <c r="X174" s="873">
        <f t="shared" si="59"/>
        <v>0</v>
      </c>
      <c r="Y174" s="873">
        <f t="shared" si="60"/>
        <v>0</v>
      </c>
      <c r="Z174" s="885">
        <f t="shared" si="61"/>
        <v>0</v>
      </c>
    </row>
    <row r="175" spans="2:26" s="278" customFormat="1" ht="12" customHeight="1" x14ac:dyDescent="0.25">
      <c r="B175" s="1192">
        <f t="shared" si="69"/>
        <v>175</v>
      </c>
      <c r="C175" s="732">
        <f t="shared" si="53"/>
        <v>30</v>
      </c>
      <c r="D175" s="35">
        <f t="shared" si="54"/>
        <v>9</v>
      </c>
      <c r="E175" s="889">
        <f t="shared" si="72"/>
        <v>51409</v>
      </c>
      <c r="F175" s="822">
        <f t="shared" si="55"/>
        <v>9</v>
      </c>
      <c r="G175" s="126">
        <f t="shared" si="56"/>
        <v>0</v>
      </c>
      <c r="H175" s="1098">
        <f t="shared" si="73"/>
        <v>0</v>
      </c>
      <c r="I175" s="887">
        <f t="shared" si="70"/>
        <v>156</v>
      </c>
      <c r="J175" s="1099">
        <f t="shared" si="62"/>
        <v>156</v>
      </c>
      <c r="K175" s="891" t="str">
        <f t="shared" si="63"/>
        <v>September</v>
      </c>
      <c r="L175" s="888">
        <f t="shared" si="71"/>
        <v>2040</v>
      </c>
      <c r="M175" s="883">
        <f t="shared" si="64"/>
        <v>0</v>
      </c>
      <c r="N175" s="883">
        <f t="shared" si="65"/>
        <v>0</v>
      </c>
      <c r="O175" s="1100"/>
      <c r="P175" s="883">
        <f t="shared" si="57"/>
        <v>0</v>
      </c>
      <c r="Q175" s="884">
        <f t="shared" si="66"/>
        <v>0</v>
      </c>
      <c r="R175" s="884">
        <f>IF(AND($AR$39="Early Payoff",I175&gt;=$R$13),0,IF($I175&lt;=$R$6,SUM($P$20:$P175),0))</f>
        <v>0</v>
      </c>
      <c r="S175" s="884">
        <f>IF(AND($AR$39="Early Payoff",I175&gt;=$R$13),0,IF($I175&lt;=$R$6,SUM($Q$20:$Q175),0))</f>
        <v>0</v>
      </c>
      <c r="T175" s="873">
        <f t="shared" si="67"/>
        <v>0</v>
      </c>
      <c r="U175" s="1110">
        <f t="shared" si="68"/>
        <v>0</v>
      </c>
      <c r="W175" s="1102">
        <f t="shared" si="58"/>
        <v>0</v>
      </c>
      <c r="X175" s="873">
        <f t="shared" si="59"/>
        <v>0</v>
      </c>
      <c r="Y175" s="873">
        <f t="shared" si="60"/>
        <v>0</v>
      </c>
      <c r="Z175" s="885">
        <f t="shared" si="61"/>
        <v>0</v>
      </c>
    </row>
    <row r="176" spans="2:26" s="278" customFormat="1" ht="12" customHeight="1" x14ac:dyDescent="0.25">
      <c r="B176" s="1192">
        <f t="shared" si="69"/>
        <v>176</v>
      </c>
      <c r="C176" s="732">
        <f t="shared" si="53"/>
        <v>31</v>
      </c>
      <c r="D176" s="35">
        <f t="shared" si="54"/>
        <v>10</v>
      </c>
      <c r="E176" s="889">
        <f t="shared" si="72"/>
        <v>51440</v>
      </c>
      <c r="F176" s="822">
        <f t="shared" si="55"/>
        <v>10</v>
      </c>
      <c r="G176" s="126">
        <f t="shared" si="56"/>
        <v>0</v>
      </c>
      <c r="H176" s="1098">
        <f t="shared" si="73"/>
        <v>0</v>
      </c>
      <c r="I176" s="887">
        <f t="shared" si="70"/>
        <v>157</v>
      </c>
      <c r="J176" s="1099">
        <f t="shared" si="62"/>
        <v>157</v>
      </c>
      <c r="K176" s="891" t="str">
        <f t="shared" si="63"/>
        <v>October</v>
      </c>
      <c r="L176" s="888">
        <f t="shared" si="71"/>
        <v>2040</v>
      </c>
      <c r="M176" s="883">
        <f t="shared" si="64"/>
        <v>0</v>
      </c>
      <c r="N176" s="883">
        <f t="shared" si="65"/>
        <v>0</v>
      </c>
      <c r="O176" s="1100"/>
      <c r="P176" s="883">
        <f t="shared" si="57"/>
        <v>0</v>
      </c>
      <c r="Q176" s="884">
        <f t="shared" si="66"/>
        <v>0</v>
      </c>
      <c r="R176" s="884">
        <f>IF(AND($AR$39="Early Payoff",I176&gt;=$R$13),0,IF($I176&lt;=$R$6,SUM($P$20:$P176),0))</f>
        <v>0</v>
      </c>
      <c r="S176" s="884">
        <f>IF(AND($AR$39="Early Payoff",I176&gt;=$R$13),0,IF($I176&lt;=$R$6,SUM($Q$20:$Q176),0))</f>
        <v>0</v>
      </c>
      <c r="T176" s="873">
        <f t="shared" si="67"/>
        <v>0</v>
      </c>
      <c r="U176" s="1110">
        <f t="shared" si="68"/>
        <v>0</v>
      </c>
      <c r="W176" s="1102">
        <f t="shared" si="58"/>
        <v>0</v>
      </c>
      <c r="X176" s="873">
        <f t="shared" si="59"/>
        <v>0</v>
      </c>
      <c r="Y176" s="873">
        <f t="shared" si="60"/>
        <v>0</v>
      </c>
      <c r="Z176" s="885">
        <f t="shared" si="61"/>
        <v>0</v>
      </c>
    </row>
    <row r="177" spans="2:26" s="278" customFormat="1" ht="12" customHeight="1" x14ac:dyDescent="0.25">
      <c r="B177" s="1192">
        <f t="shared" si="69"/>
        <v>177</v>
      </c>
      <c r="C177" s="732">
        <f t="shared" si="53"/>
        <v>30</v>
      </c>
      <c r="D177" s="35">
        <f t="shared" si="54"/>
        <v>11</v>
      </c>
      <c r="E177" s="889">
        <f t="shared" si="72"/>
        <v>51470</v>
      </c>
      <c r="F177" s="822">
        <f t="shared" si="55"/>
        <v>11</v>
      </c>
      <c r="G177" s="126">
        <f t="shared" si="56"/>
        <v>0</v>
      </c>
      <c r="H177" s="1098">
        <f t="shared" si="73"/>
        <v>0</v>
      </c>
      <c r="I177" s="887">
        <f t="shared" si="70"/>
        <v>158</v>
      </c>
      <c r="J177" s="1099">
        <f t="shared" si="62"/>
        <v>158</v>
      </c>
      <c r="K177" s="891" t="str">
        <f t="shared" si="63"/>
        <v>November</v>
      </c>
      <c r="L177" s="888">
        <f t="shared" si="71"/>
        <v>2040</v>
      </c>
      <c r="M177" s="883">
        <f t="shared" si="64"/>
        <v>0</v>
      </c>
      <c r="N177" s="883">
        <f t="shared" si="65"/>
        <v>0</v>
      </c>
      <c r="O177" s="1100"/>
      <c r="P177" s="883">
        <f t="shared" si="57"/>
        <v>0</v>
      </c>
      <c r="Q177" s="884">
        <f t="shared" si="66"/>
        <v>0</v>
      </c>
      <c r="R177" s="884">
        <f>IF(AND($AR$39="Early Payoff",I177&gt;=$R$13),0,IF($I177&lt;=$R$6,SUM($P$20:$P177),0))</f>
        <v>0</v>
      </c>
      <c r="S177" s="884">
        <f>IF(AND($AR$39="Early Payoff",I177&gt;=$R$13),0,IF($I177&lt;=$R$6,SUM($Q$20:$Q177),0))</f>
        <v>0</v>
      </c>
      <c r="T177" s="873">
        <f t="shared" si="67"/>
        <v>0</v>
      </c>
      <c r="U177" s="1110">
        <f t="shared" si="68"/>
        <v>0</v>
      </c>
      <c r="W177" s="1102">
        <f t="shared" si="58"/>
        <v>0</v>
      </c>
      <c r="X177" s="873">
        <f t="shared" si="59"/>
        <v>0</v>
      </c>
      <c r="Y177" s="873">
        <f t="shared" si="60"/>
        <v>0</v>
      </c>
      <c r="Z177" s="885">
        <f t="shared" si="61"/>
        <v>0</v>
      </c>
    </row>
    <row r="178" spans="2:26" s="278" customFormat="1" ht="12" customHeight="1" x14ac:dyDescent="0.25">
      <c r="B178" s="1192">
        <f t="shared" si="69"/>
        <v>178</v>
      </c>
      <c r="C178" s="732">
        <f t="shared" si="53"/>
        <v>31</v>
      </c>
      <c r="D178" s="35">
        <f t="shared" si="54"/>
        <v>12</v>
      </c>
      <c r="E178" s="889">
        <f t="shared" si="72"/>
        <v>51501</v>
      </c>
      <c r="F178" s="822">
        <f t="shared" si="55"/>
        <v>12</v>
      </c>
      <c r="G178" s="126">
        <f t="shared" si="56"/>
        <v>1</v>
      </c>
      <c r="H178" s="1098">
        <f t="shared" si="73"/>
        <v>0</v>
      </c>
      <c r="I178" s="887">
        <f t="shared" si="70"/>
        <v>159</v>
      </c>
      <c r="J178" s="1099">
        <f t="shared" si="62"/>
        <v>159</v>
      </c>
      <c r="K178" s="891" t="str">
        <f t="shared" si="63"/>
        <v>December</v>
      </c>
      <c r="L178" s="888">
        <f t="shared" si="71"/>
        <v>2040</v>
      </c>
      <c r="M178" s="883">
        <f t="shared" si="64"/>
        <v>0</v>
      </c>
      <c r="N178" s="883">
        <f t="shared" si="65"/>
        <v>0</v>
      </c>
      <c r="O178" s="1100"/>
      <c r="P178" s="883">
        <f t="shared" si="57"/>
        <v>0</v>
      </c>
      <c r="Q178" s="884">
        <f t="shared" si="66"/>
        <v>0</v>
      </c>
      <c r="R178" s="884">
        <f>IF(AND($AR$39="Early Payoff",I178&gt;=$R$13),0,IF($I178&lt;=$R$6,SUM($P$20:$P178),0))</f>
        <v>0</v>
      </c>
      <c r="S178" s="884">
        <f>IF(AND($AR$39="Early Payoff",I178&gt;=$R$13),0,IF($I178&lt;=$R$6,SUM($Q$20:$Q178),0))</f>
        <v>0</v>
      </c>
      <c r="T178" s="873">
        <f t="shared" si="67"/>
        <v>0</v>
      </c>
      <c r="U178" s="1110">
        <f t="shared" si="68"/>
        <v>0</v>
      </c>
      <c r="W178" s="1102">
        <f t="shared" si="58"/>
        <v>0</v>
      </c>
      <c r="X178" s="873">
        <f t="shared" si="59"/>
        <v>0</v>
      </c>
      <c r="Y178" s="873">
        <f t="shared" si="60"/>
        <v>0</v>
      </c>
      <c r="Z178" s="885">
        <f t="shared" si="61"/>
        <v>0</v>
      </c>
    </row>
    <row r="179" spans="2:26" s="278" customFormat="1" ht="12" customHeight="1" x14ac:dyDescent="0.25">
      <c r="B179" s="1192">
        <f t="shared" si="69"/>
        <v>179</v>
      </c>
      <c r="C179" s="732">
        <f t="shared" si="53"/>
        <v>31</v>
      </c>
      <c r="D179" s="35">
        <f t="shared" si="54"/>
        <v>1</v>
      </c>
      <c r="E179" s="889">
        <f t="shared" si="72"/>
        <v>51532</v>
      </c>
      <c r="F179" s="822">
        <f t="shared" si="55"/>
        <v>1</v>
      </c>
      <c r="G179" s="126">
        <f t="shared" si="56"/>
        <v>0</v>
      </c>
      <c r="H179" s="1098">
        <f t="shared" si="73"/>
        <v>0</v>
      </c>
      <c r="I179" s="887">
        <f t="shared" si="70"/>
        <v>160</v>
      </c>
      <c r="J179" s="1099">
        <f t="shared" si="62"/>
        <v>160</v>
      </c>
      <c r="K179" s="891" t="str">
        <f t="shared" si="63"/>
        <v>January</v>
      </c>
      <c r="L179" s="888">
        <f t="shared" si="71"/>
        <v>2041</v>
      </c>
      <c r="M179" s="883">
        <f t="shared" si="64"/>
        <v>0</v>
      </c>
      <c r="N179" s="883">
        <f t="shared" si="65"/>
        <v>0</v>
      </c>
      <c r="O179" s="1100"/>
      <c r="P179" s="883">
        <f t="shared" si="57"/>
        <v>0</v>
      </c>
      <c r="Q179" s="884">
        <f t="shared" si="66"/>
        <v>0</v>
      </c>
      <c r="R179" s="884">
        <f>IF(AND($AR$39="Early Payoff",I179&gt;=$R$13),0,IF($I179&lt;=$R$6,SUM($P$20:$P179),0))</f>
        <v>0</v>
      </c>
      <c r="S179" s="884">
        <f>IF(AND($AR$39="Early Payoff",I179&gt;=$R$13),0,IF($I179&lt;=$R$6,SUM($Q$20:$Q179),0))</f>
        <v>0</v>
      </c>
      <c r="T179" s="873">
        <f t="shared" si="67"/>
        <v>0</v>
      </c>
      <c r="U179" s="1110">
        <f t="shared" si="68"/>
        <v>0</v>
      </c>
      <c r="W179" s="1102">
        <f t="shared" si="58"/>
        <v>0</v>
      </c>
      <c r="X179" s="873">
        <f t="shared" si="59"/>
        <v>0</v>
      </c>
      <c r="Y179" s="873">
        <f t="shared" si="60"/>
        <v>0</v>
      </c>
      <c r="Z179" s="885">
        <f t="shared" si="61"/>
        <v>0</v>
      </c>
    </row>
    <row r="180" spans="2:26" s="278" customFormat="1" ht="12" customHeight="1" x14ac:dyDescent="0.25">
      <c r="B180" s="1192">
        <f t="shared" si="69"/>
        <v>180</v>
      </c>
      <c r="C180" s="732">
        <f t="shared" si="53"/>
        <v>28</v>
      </c>
      <c r="D180" s="35">
        <f t="shared" si="54"/>
        <v>2</v>
      </c>
      <c r="E180" s="889">
        <f t="shared" si="72"/>
        <v>51560</v>
      </c>
      <c r="F180" s="822">
        <f t="shared" si="55"/>
        <v>2</v>
      </c>
      <c r="G180" s="126">
        <f t="shared" si="56"/>
        <v>0</v>
      </c>
      <c r="H180" s="1098">
        <f t="shared" si="73"/>
        <v>0</v>
      </c>
      <c r="I180" s="887">
        <f t="shared" si="70"/>
        <v>161</v>
      </c>
      <c r="J180" s="1099">
        <f t="shared" si="62"/>
        <v>161</v>
      </c>
      <c r="K180" s="891" t="str">
        <f t="shared" si="63"/>
        <v>February</v>
      </c>
      <c r="L180" s="888">
        <f t="shared" si="71"/>
        <v>2041</v>
      </c>
      <c r="M180" s="883">
        <f t="shared" si="64"/>
        <v>0</v>
      </c>
      <c r="N180" s="883">
        <f t="shared" si="65"/>
        <v>0</v>
      </c>
      <c r="O180" s="1100"/>
      <c r="P180" s="883">
        <f t="shared" si="57"/>
        <v>0</v>
      </c>
      <c r="Q180" s="884">
        <f t="shared" si="66"/>
        <v>0</v>
      </c>
      <c r="R180" s="884">
        <f>IF(AND($AR$39="Early Payoff",I180&gt;=$R$13),0,IF($I180&lt;=$R$6,SUM($P$20:$P180),0))</f>
        <v>0</v>
      </c>
      <c r="S180" s="884">
        <f>IF(AND($AR$39="Early Payoff",I180&gt;=$R$13),0,IF($I180&lt;=$R$6,SUM($Q$20:$Q180),0))</f>
        <v>0</v>
      </c>
      <c r="T180" s="873">
        <f t="shared" si="67"/>
        <v>0</v>
      </c>
      <c r="U180" s="1110">
        <f t="shared" si="68"/>
        <v>0</v>
      </c>
      <c r="W180" s="1102">
        <f t="shared" si="58"/>
        <v>0</v>
      </c>
      <c r="X180" s="873">
        <f t="shared" si="59"/>
        <v>0</v>
      </c>
      <c r="Y180" s="873">
        <f t="shared" si="60"/>
        <v>0</v>
      </c>
      <c r="Z180" s="885">
        <f t="shared" si="61"/>
        <v>0</v>
      </c>
    </row>
    <row r="181" spans="2:26" s="278" customFormat="1" ht="12" customHeight="1" x14ac:dyDescent="0.25">
      <c r="B181" s="1192">
        <f t="shared" si="69"/>
        <v>181</v>
      </c>
      <c r="C181" s="732">
        <f t="shared" si="53"/>
        <v>31</v>
      </c>
      <c r="D181" s="35">
        <f t="shared" si="54"/>
        <v>3</v>
      </c>
      <c r="E181" s="889">
        <f t="shared" si="72"/>
        <v>51591</v>
      </c>
      <c r="F181" s="822">
        <f t="shared" si="55"/>
        <v>3</v>
      </c>
      <c r="G181" s="126">
        <f t="shared" si="56"/>
        <v>0</v>
      </c>
      <c r="H181" s="1098">
        <f t="shared" si="73"/>
        <v>0</v>
      </c>
      <c r="I181" s="887">
        <f t="shared" si="70"/>
        <v>162</v>
      </c>
      <c r="J181" s="1099">
        <f t="shared" si="62"/>
        <v>162</v>
      </c>
      <c r="K181" s="891" t="str">
        <f t="shared" si="63"/>
        <v>March</v>
      </c>
      <c r="L181" s="888">
        <f t="shared" si="71"/>
        <v>2041</v>
      </c>
      <c r="M181" s="883">
        <f t="shared" si="64"/>
        <v>0</v>
      </c>
      <c r="N181" s="883">
        <f t="shared" si="65"/>
        <v>0</v>
      </c>
      <c r="O181" s="1100"/>
      <c r="P181" s="883">
        <f t="shared" si="57"/>
        <v>0</v>
      </c>
      <c r="Q181" s="884">
        <f t="shared" si="66"/>
        <v>0</v>
      </c>
      <c r="R181" s="884">
        <f>IF(AND($AR$39="Early Payoff",I181&gt;=$R$13),0,IF($I181&lt;=$R$6,SUM($P$20:$P181),0))</f>
        <v>0</v>
      </c>
      <c r="S181" s="884">
        <f>IF(AND($AR$39="Early Payoff",I181&gt;=$R$13),0,IF($I181&lt;=$R$6,SUM($Q$20:$Q181),0))</f>
        <v>0</v>
      </c>
      <c r="T181" s="873">
        <f t="shared" si="67"/>
        <v>0</v>
      </c>
      <c r="U181" s="1110">
        <f t="shared" si="68"/>
        <v>0</v>
      </c>
      <c r="W181" s="1102">
        <f t="shared" si="58"/>
        <v>0</v>
      </c>
      <c r="X181" s="873">
        <f t="shared" si="59"/>
        <v>0</v>
      </c>
      <c r="Y181" s="873">
        <f t="shared" si="60"/>
        <v>0</v>
      </c>
      <c r="Z181" s="885">
        <f t="shared" si="61"/>
        <v>0</v>
      </c>
    </row>
    <row r="182" spans="2:26" s="278" customFormat="1" ht="12" customHeight="1" x14ac:dyDescent="0.25">
      <c r="B182" s="1192">
        <f t="shared" si="69"/>
        <v>182</v>
      </c>
      <c r="C182" s="732">
        <f t="shared" si="53"/>
        <v>30</v>
      </c>
      <c r="D182" s="35">
        <f t="shared" si="54"/>
        <v>4</v>
      </c>
      <c r="E182" s="889">
        <f t="shared" si="72"/>
        <v>51621</v>
      </c>
      <c r="F182" s="822">
        <f t="shared" si="55"/>
        <v>4</v>
      </c>
      <c r="G182" s="126">
        <f t="shared" si="56"/>
        <v>0</v>
      </c>
      <c r="H182" s="1098">
        <f t="shared" si="73"/>
        <v>0</v>
      </c>
      <c r="I182" s="887">
        <f t="shared" si="70"/>
        <v>163</v>
      </c>
      <c r="J182" s="1099">
        <f t="shared" si="62"/>
        <v>163</v>
      </c>
      <c r="K182" s="891" t="str">
        <f t="shared" si="63"/>
        <v>April</v>
      </c>
      <c r="L182" s="888">
        <f t="shared" si="71"/>
        <v>2041</v>
      </c>
      <c r="M182" s="883">
        <f t="shared" si="64"/>
        <v>0</v>
      </c>
      <c r="N182" s="883">
        <f t="shared" si="65"/>
        <v>0</v>
      </c>
      <c r="O182" s="1100"/>
      <c r="P182" s="883">
        <f t="shared" si="57"/>
        <v>0</v>
      </c>
      <c r="Q182" s="884">
        <f t="shared" si="66"/>
        <v>0</v>
      </c>
      <c r="R182" s="884">
        <f>IF(AND($AR$39="Early Payoff",I182&gt;=$R$13),0,IF($I182&lt;=$R$6,SUM($P$20:$P182),0))</f>
        <v>0</v>
      </c>
      <c r="S182" s="884">
        <f>IF(AND($AR$39="Early Payoff",I182&gt;=$R$13),0,IF($I182&lt;=$R$6,SUM($Q$20:$Q182),0))</f>
        <v>0</v>
      </c>
      <c r="T182" s="873">
        <f t="shared" si="67"/>
        <v>0</v>
      </c>
      <c r="U182" s="1110">
        <f t="shared" si="68"/>
        <v>0</v>
      </c>
      <c r="W182" s="1102">
        <f t="shared" si="58"/>
        <v>0</v>
      </c>
      <c r="X182" s="873">
        <f t="shared" si="59"/>
        <v>0</v>
      </c>
      <c r="Y182" s="873">
        <f t="shared" si="60"/>
        <v>0</v>
      </c>
      <c r="Z182" s="885">
        <f t="shared" si="61"/>
        <v>0</v>
      </c>
    </row>
    <row r="183" spans="2:26" s="278" customFormat="1" ht="12" customHeight="1" x14ac:dyDescent="0.25">
      <c r="B183" s="1192">
        <f t="shared" si="69"/>
        <v>183</v>
      </c>
      <c r="C183" s="732">
        <f t="shared" si="53"/>
        <v>31</v>
      </c>
      <c r="D183" s="35">
        <f t="shared" si="54"/>
        <v>5</v>
      </c>
      <c r="E183" s="889">
        <f t="shared" si="72"/>
        <v>51652</v>
      </c>
      <c r="F183" s="822">
        <f t="shared" si="55"/>
        <v>5</v>
      </c>
      <c r="G183" s="126">
        <f t="shared" si="56"/>
        <v>0</v>
      </c>
      <c r="H183" s="1098">
        <f t="shared" si="73"/>
        <v>0</v>
      </c>
      <c r="I183" s="887">
        <f t="shared" si="70"/>
        <v>164</v>
      </c>
      <c r="J183" s="1099">
        <f t="shared" si="62"/>
        <v>164</v>
      </c>
      <c r="K183" s="891" t="str">
        <f t="shared" si="63"/>
        <v>May</v>
      </c>
      <c r="L183" s="888">
        <f t="shared" si="71"/>
        <v>2041</v>
      </c>
      <c r="M183" s="883">
        <f t="shared" si="64"/>
        <v>0</v>
      </c>
      <c r="N183" s="883">
        <f t="shared" si="65"/>
        <v>0</v>
      </c>
      <c r="O183" s="1100"/>
      <c r="P183" s="883">
        <f t="shared" si="57"/>
        <v>0</v>
      </c>
      <c r="Q183" s="884">
        <f t="shared" si="66"/>
        <v>0</v>
      </c>
      <c r="R183" s="884">
        <f>IF(AND($AR$39="Early Payoff",I183&gt;=$R$13),0,IF($I183&lt;=$R$6,SUM($P$20:$P183),0))</f>
        <v>0</v>
      </c>
      <c r="S183" s="884">
        <f>IF(AND($AR$39="Early Payoff",I183&gt;=$R$13),0,IF($I183&lt;=$R$6,SUM($Q$20:$Q183),0))</f>
        <v>0</v>
      </c>
      <c r="T183" s="873">
        <f t="shared" si="67"/>
        <v>0</v>
      </c>
      <c r="U183" s="1110">
        <f t="shared" si="68"/>
        <v>0</v>
      </c>
      <c r="W183" s="1102">
        <f t="shared" si="58"/>
        <v>0</v>
      </c>
      <c r="X183" s="873">
        <f t="shared" si="59"/>
        <v>0</v>
      </c>
      <c r="Y183" s="873">
        <f t="shared" si="60"/>
        <v>0</v>
      </c>
      <c r="Z183" s="885">
        <f t="shared" si="61"/>
        <v>0</v>
      </c>
    </row>
    <row r="184" spans="2:26" s="278" customFormat="1" ht="12" customHeight="1" x14ac:dyDescent="0.25">
      <c r="B184" s="1192">
        <f t="shared" si="69"/>
        <v>184</v>
      </c>
      <c r="C184" s="732">
        <f t="shared" si="53"/>
        <v>30</v>
      </c>
      <c r="D184" s="35">
        <f t="shared" si="54"/>
        <v>6</v>
      </c>
      <c r="E184" s="889">
        <f t="shared" si="72"/>
        <v>51682</v>
      </c>
      <c r="F184" s="822">
        <f t="shared" si="55"/>
        <v>6</v>
      </c>
      <c r="G184" s="126">
        <f t="shared" si="56"/>
        <v>0</v>
      </c>
      <c r="H184" s="1098">
        <f t="shared" si="73"/>
        <v>0</v>
      </c>
      <c r="I184" s="887">
        <f t="shared" si="70"/>
        <v>165</v>
      </c>
      <c r="J184" s="1099">
        <f t="shared" si="62"/>
        <v>165</v>
      </c>
      <c r="K184" s="891" t="str">
        <f t="shared" si="63"/>
        <v>June</v>
      </c>
      <c r="L184" s="888">
        <f t="shared" si="71"/>
        <v>2041</v>
      </c>
      <c r="M184" s="883">
        <f t="shared" si="64"/>
        <v>0</v>
      </c>
      <c r="N184" s="883">
        <f t="shared" si="65"/>
        <v>0</v>
      </c>
      <c r="O184" s="1100"/>
      <c r="P184" s="883">
        <f t="shared" si="57"/>
        <v>0</v>
      </c>
      <c r="Q184" s="884">
        <f t="shared" si="66"/>
        <v>0</v>
      </c>
      <c r="R184" s="884">
        <f>IF(AND($AR$39="Early Payoff",I184&gt;=$R$13),0,IF($I184&lt;=$R$6,SUM($P$20:$P184),0))</f>
        <v>0</v>
      </c>
      <c r="S184" s="884">
        <f>IF(AND($AR$39="Early Payoff",I184&gt;=$R$13),0,IF($I184&lt;=$R$6,SUM($Q$20:$Q184),0))</f>
        <v>0</v>
      </c>
      <c r="T184" s="873">
        <f t="shared" si="67"/>
        <v>0</v>
      </c>
      <c r="U184" s="1110">
        <f t="shared" si="68"/>
        <v>0</v>
      </c>
      <c r="W184" s="1102">
        <f t="shared" si="58"/>
        <v>0</v>
      </c>
      <c r="X184" s="873">
        <f t="shared" si="59"/>
        <v>0</v>
      </c>
      <c r="Y184" s="873">
        <f t="shared" si="60"/>
        <v>0</v>
      </c>
      <c r="Z184" s="885">
        <f t="shared" si="61"/>
        <v>0</v>
      </c>
    </row>
    <row r="185" spans="2:26" s="278" customFormat="1" ht="12" customHeight="1" x14ac:dyDescent="0.25">
      <c r="B185" s="1192">
        <f t="shared" si="69"/>
        <v>185</v>
      </c>
      <c r="C185" s="732">
        <f t="shared" si="53"/>
        <v>31</v>
      </c>
      <c r="D185" s="35">
        <f t="shared" si="54"/>
        <v>7</v>
      </c>
      <c r="E185" s="889">
        <f t="shared" si="72"/>
        <v>51713</v>
      </c>
      <c r="F185" s="822">
        <f t="shared" si="55"/>
        <v>7</v>
      </c>
      <c r="G185" s="126">
        <f t="shared" si="56"/>
        <v>0</v>
      </c>
      <c r="H185" s="1098">
        <f t="shared" si="73"/>
        <v>0</v>
      </c>
      <c r="I185" s="887">
        <f t="shared" si="70"/>
        <v>166</v>
      </c>
      <c r="J185" s="1099">
        <f t="shared" si="62"/>
        <v>166</v>
      </c>
      <c r="K185" s="891" t="str">
        <f t="shared" si="63"/>
        <v>July</v>
      </c>
      <c r="L185" s="888">
        <f t="shared" si="71"/>
        <v>2041</v>
      </c>
      <c r="M185" s="883">
        <f t="shared" si="64"/>
        <v>0</v>
      </c>
      <c r="N185" s="883">
        <f t="shared" si="65"/>
        <v>0</v>
      </c>
      <c r="O185" s="1100"/>
      <c r="P185" s="883">
        <f t="shared" si="57"/>
        <v>0</v>
      </c>
      <c r="Q185" s="884">
        <f t="shared" si="66"/>
        <v>0</v>
      </c>
      <c r="R185" s="884">
        <f>IF(AND($AR$39="Early Payoff",I185&gt;=$R$13),0,IF($I185&lt;=$R$6,SUM($P$20:$P185),0))</f>
        <v>0</v>
      </c>
      <c r="S185" s="884">
        <f>IF(AND($AR$39="Early Payoff",I185&gt;=$R$13),0,IF($I185&lt;=$R$6,SUM($Q$20:$Q185),0))</f>
        <v>0</v>
      </c>
      <c r="T185" s="873">
        <f t="shared" si="67"/>
        <v>0</v>
      </c>
      <c r="U185" s="1110">
        <f t="shared" si="68"/>
        <v>0</v>
      </c>
      <c r="W185" s="1102">
        <f t="shared" si="58"/>
        <v>0</v>
      </c>
      <c r="X185" s="873">
        <f t="shared" si="59"/>
        <v>0</v>
      </c>
      <c r="Y185" s="873">
        <f t="shared" si="60"/>
        <v>0</v>
      </c>
      <c r="Z185" s="885">
        <f t="shared" si="61"/>
        <v>0</v>
      </c>
    </row>
    <row r="186" spans="2:26" s="278" customFormat="1" ht="12" customHeight="1" x14ac:dyDescent="0.25">
      <c r="B186" s="1192">
        <f t="shared" si="69"/>
        <v>186</v>
      </c>
      <c r="C186" s="732">
        <f t="shared" si="53"/>
        <v>31</v>
      </c>
      <c r="D186" s="35">
        <f t="shared" si="54"/>
        <v>8</v>
      </c>
      <c r="E186" s="889">
        <f t="shared" si="72"/>
        <v>51744</v>
      </c>
      <c r="F186" s="822">
        <f t="shared" si="55"/>
        <v>8</v>
      </c>
      <c r="G186" s="126">
        <f t="shared" si="56"/>
        <v>0</v>
      </c>
      <c r="H186" s="1098">
        <f t="shared" si="73"/>
        <v>0</v>
      </c>
      <c r="I186" s="887">
        <f t="shared" si="70"/>
        <v>167</v>
      </c>
      <c r="J186" s="1099">
        <f t="shared" si="62"/>
        <v>167</v>
      </c>
      <c r="K186" s="891" t="str">
        <f t="shared" si="63"/>
        <v>August</v>
      </c>
      <c r="L186" s="888">
        <f t="shared" si="71"/>
        <v>2041</v>
      </c>
      <c r="M186" s="883">
        <f t="shared" si="64"/>
        <v>0</v>
      </c>
      <c r="N186" s="883">
        <f t="shared" si="65"/>
        <v>0</v>
      </c>
      <c r="O186" s="1100"/>
      <c r="P186" s="883">
        <f t="shared" si="57"/>
        <v>0</v>
      </c>
      <c r="Q186" s="884">
        <f t="shared" si="66"/>
        <v>0</v>
      </c>
      <c r="R186" s="884">
        <f>IF(AND($AR$39="Early Payoff",I186&gt;=$R$13),0,IF($I186&lt;=$R$6,SUM($P$20:$P186),0))</f>
        <v>0</v>
      </c>
      <c r="S186" s="884">
        <f>IF(AND($AR$39="Early Payoff",I186&gt;=$R$13),0,IF($I186&lt;=$R$6,SUM($Q$20:$Q186),0))</f>
        <v>0</v>
      </c>
      <c r="T186" s="873">
        <f t="shared" si="67"/>
        <v>0</v>
      </c>
      <c r="U186" s="1110">
        <f t="shared" si="68"/>
        <v>0</v>
      </c>
      <c r="W186" s="1102">
        <f t="shared" si="58"/>
        <v>0</v>
      </c>
      <c r="X186" s="873">
        <f t="shared" si="59"/>
        <v>0</v>
      </c>
      <c r="Y186" s="873">
        <f t="shared" si="60"/>
        <v>0</v>
      </c>
      <c r="Z186" s="885">
        <f t="shared" si="61"/>
        <v>0</v>
      </c>
    </row>
    <row r="187" spans="2:26" s="278" customFormat="1" ht="12" customHeight="1" x14ac:dyDescent="0.25">
      <c r="B187" s="1192">
        <f t="shared" si="69"/>
        <v>187</v>
      </c>
      <c r="C187" s="732">
        <f t="shared" si="53"/>
        <v>30</v>
      </c>
      <c r="D187" s="35">
        <f t="shared" si="54"/>
        <v>9</v>
      </c>
      <c r="E187" s="889">
        <f t="shared" si="72"/>
        <v>51774</v>
      </c>
      <c r="F187" s="822">
        <f t="shared" si="55"/>
        <v>9</v>
      </c>
      <c r="G187" s="126">
        <f t="shared" si="56"/>
        <v>0</v>
      </c>
      <c r="H187" s="1098">
        <f t="shared" si="73"/>
        <v>0</v>
      </c>
      <c r="I187" s="887">
        <f t="shared" si="70"/>
        <v>168</v>
      </c>
      <c r="J187" s="1099">
        <f t="shared" si="62"/>
        <v>168</v>
      </c>
      <c r="K187" s="891" t="str">
        <f t="shared" si="63"/>
        <v>September</v>
      </c>
      <c r="L187" s="888">
        <f t="shared" si="71"/>
        <v>2041</v>
      </c>
      <c r="M187" s="883">
        <f t="shared" si="64"/>
        <v>0</v>
      </c>
      <c r="N187" s="883">
        <f t="shared" si="65"/>
        <v>0</v>
      </c>
      <c r="O187" s="1100"/>
      <c r="P187" s="883">
        <f t="shared" si="57"/>
        <v>0</v>
      </c>
      <c r="Q187" s="884">
        <f t="shared" si="66"/>
        <v>0</v>
      </c>
      <c r="R187" s="884">
        <f>IF(AND($AR$39="Early Payoff",I187&gt;=$R$13),0,IF($I187&lt;=$R$6,SUM($P$20:$P187),0))</f>
        <v>0</v>
      </c>
      <c r="S187" s="884">
        <f>IF(AND($AR$39="Early Payoff",I187&gt;=$R$13),0,IF($I187&lt;=$R$6,SUM($Q$20:$Q187),0))</f>
        <v>0</v>
      </c>
      <c r="T187" s="873">
        <f t="shared" si="67"/>
        <v>0</v>
      </c>
      <c r="U187" s="1110">
        <f t="shared" si="68"/>
        <v>0</v>
      </c>
      <c r="W187" s="1102">
        <f t="shared" si="58"/>
        <v>0</v>
      </c>
      <c r="X187" s="873">
        <f t="shared" si="59"/>
        <v>0</v>
      </c>
      <c r="Y187" s="873">
        <f t="shared" si="60"/>
        <v>0</v>
      </c>
      <c r="Z187" s="885">
        <f t="shared" si="61"/>
        <v>0</v>
      </c>
    </row>
    <row r="188" spans="2:26" s="278" customFormat="1" ht="12" customHeight="1" x14ac:dyDescent="0.25">
      <c r="B188" s="1192">
        <f t="shared" si="69"/>
        <v>188</v>
      </c>
      <c r="C188" s="732">
        <f t="shared" si="53"/>
        <v>31</v>
      </c>
      <c r="D188" s="35">
        <f t="shared" si="54"/>
        <v>10</v>
      </c>
      <c r="E188" s="889">
        <f t="shared" si="72"/>
        <v>51805</v>
      </c>
      <c r="F188" s="822">
        <f t="shared" si="55"/>
        <v>10</v>
      </c>
      <c r="G188" s="126">
        <f t="shared" si="56"/>
        <v>0</v>
      </c>
      <c r="H188" s="1098">
        <f t="shared" si="73"/>
        <v>0</v>
      </c>
      <c r="I188" s="887">
        <f t="shared" si="70"/>
        <v>169</v>
      </c>
      <c r="J188" s="1099">
        <f t="shared" si="62"/>
        <v>169</v>
      </c>
      <c r="K188" s="891" t="str">
        <f t="shared" si="63"/>
        <v>October</v>
      </c>
      <c r="L188" s="888">
        <f t="shared" si="71"/>
        <v>2041</v>
      </c>
      <c r="M188" s="883">
        <f t="shared" si="64"/>
        <v>0</v>
      </c>
      <c r="N188" s="883">
        <f t="shared" si="65"/>
        <v>0</v>
      </c>
      <c r="O188" s="1100"/>
      <c r="P188" s="883">
        <f t="shared" si="57"/>
        <v>0</v>
      </c>
      <c r="Q188" s="884">
        <f t="shared" si="66"/>
        <v>0</v>
      </c>
      <c r="R188" s="884">
        <f>IF(AND($AR$39="Early Payoff",I188&gt;=$R$13),0,IF($I188&lt;=$R$6,SUM($P$20:$P188),0))</f>
        <v>0</v>
      </c>
      <c r="S188" s="884">
        <f>IF(AND($AR$39="Early Payoff",I188&gt;=$R$13),0,IF($I188&lt;=$R$6,SUM($Q$20:$Q188),0))</f>
        <v>0</v>
      </c>
      <c r="T188" s="873">
        <f t="shared" si="67"/>
        <v>0</v>
      </c>
      <c r="U188" s="1110">
        <f t="shared" si="68"/>
        <v>0</v>
      </c>
      <c r="W188" s="1102">
        <f t="shared" si="58"/>
        <v>0</v>
      </c>
      <c r="X188" s="873">
        <f t="shared" si="59"/>
        <v>0</v>
      </c>
      <c r="Y188" s="873">
        <f t="shared" si="60"/>
        <v>0</v>
      </c>
      <c r="Z188" s="885">
        <f t="shared" si="61"/>
        <v>0</v>
      </c>
    </row>
    <row r="189" spans="2:26" s="278" customFormat="1" ht="12" customHeight="1" x14ac:dyDescent="0.25">
      <c r="B189" s="1192">
        <f t="shared" si="69"/>
        <v>189</v>
      </c>
      <c r="C189" s="732">
        <f t="shared" si="53"/>
        <v>30</v>
      </c>
      <c r="D189" s="35">
        <f t="shared" si="54"/>
        <v>11</v>
      </c>
      <c r="E189" s="889">
        <f t="shared" si="72"/>
        <v>51835</v>
      </c>
      <c r="F189" s="822">
        <f t="shared" si="55"/>
        <v>11</v>
      </c>
      <c r="G189" s="126">
        <f t="shared" si="56"/>
        <v>0</v>
      </c>
      <c r="H189" s="1098">
        <f t="shared" si="73"/>
        <v>0</v>
      </c>
      <c r="I189" s="887">
        <f t="shared" si="70"/>
        <v>170</v>
      </c>
      <c r="J189" s="1099">
        <f t="shared" si="62"/>
        <v>170</v>
      </c>
      <c r="K189" s="891" t="str">
        <f t="shared" si="63"/>
        <v>November</v>
      </c>
      <c r="L189" s="888">
        <f t="shared" si="71"/>
        <v>2041</v>
      </c>
      <c r="M189" s="883">
        <f t="shared" si="64"/>
        <v>0</v>
      </c>
      <c r="N189" s="883">
        <f t="shared" si="65"/>
        <v>0</v>
      </c>
      <c r="O189" s="1100"/>
      <c r="P189" s="883">
        <f t="shared" si="57"/>
        <v>0</v>
      </c>
      <c r="Q189" s="884">
        <f t="shared" si="66"/>
        <v>0</v>
      </c>
      <c r="R189" s="884">
        <f>IF(AND($AR$39="Early Payoff",I189&gt;=$R$13),0,IF($I189&lt;=$R$6,SUM($P$20:$P189),0))</f>
        <v>0</v>
      </c>
      <c r="S189" s="884">
        <f>IF(AND($AR$39="Early Payoff",I189&gt;=$R$13),0,IF($I189&lt;=$R$6,SUM($Q$20:$Q189),0))</f>
        <v>0</v>
      </c>
      <c r="T189" s="873">
        <f t="shared" si="67"/>
        <v>0</v>
      </c>
      <c r="U189" s="1110">
        <f t="shared" si="68"/>
        <v>0</v>
      </c>
      <c r="W189" s="1102">
        <f t="shared" si="58"/>
        <v>0</v>
      </c>
      <c r="X189" s="873">
        <f t="shared" si="59"/>
        <v>0</v>
      </c>
      <c r="Y189" s="873">
        <f t="shared" si="60"/>
        <v>0</v>
      </c>
      <c r="Z189" s="885">
        <f t="shared" si="61"/>
        <v>0</v>
      </c>
    </row>
    <row r="190" spans="2:26" s="278" customFormat="1" ht="12" customHeight="1" x14ac:dyDescent="0.25">
      <c r="B190" s="1192">
        <f t="shared" si="69"/>
        <v>190</v>
      </c>
      <c r="C190" s="732">
        <f t="shared" si="53"/>
        <v>31</v>
      </c>
      <c r="D190" s="35">
        <f t="shared" si="54"/>
        <v>12</v>
      </c>
      <c r="E190" s="889">
        <f t="shared" si="72"/>
        <v>51866</v>
      </c>
      <c r="F190" s="822">
        <f t="shared" si="55"/>
        <v>12</v>
      </c>
      <c r="G190" s="126">
        <f t="shared" si="56"/>
        <v>1</v>
      </c>
      <c r="H190" s="1098">
        <f t="shared" si="73"/>
        <v>0</v>
      </c>
      <c r="I190" s="887">
        <f t="shared" si="70"/>
        <v>171</v>
      </c>
      <c r="J190" s="1099">
        <f t="shared" si="62"/>
        <v>171</v>
      </c>
      <c r="K190" s="891" t="str">
        <f t="shared" si="63"/>
        <v>December</v>
      </c>
      <c r="L190" s="888">
        <f t="shared" si="71"/>
        <v>2041</v>
      </c>
      <c r="M190" s="883">
        <f t="shared" si="64"/>
        <v>0</v>
      </c>
      <c r="N190" s="883">
        <f t="shared" si="65"/>
        <v>0</v>
      </c>
      <c r="O190" s="1100"/>
      <c r="P190" s="883">
        <f t="shared" si="57"/>
        <v>0</v>
      </c>
      <c r="Q190" s="884">
        <f t="shared" si="66"/>
        <v>0</v>
      </c>
      <c r="R190" s="884">
        <f>IF(AND($AR$39="Early Payoff",I190&gt;=$R$13),0,IF($I190&lt;=$R$6,SUM($P$20:$P190),0))</f>
        <v>0</v>
      </c>
      <c r="S190" s="884">
        <f>IF(AND($AR$39="Early Payoff",I190&gt;=$R$13),0,IF($I190&lt;=$R$6,SUM($Q$20:$Q190),0))</f>
        <v>0</v>
      </c>
      <c r="T190" s="873">
        <f t="shared" si="67"/>
        <v>0</v>
      </c>
      <c r="U190" s="1110">
        <f t="shared" si="68"/>
        <v>0</v>
      </c>
      <c r="W190" s="1102">
        <f t="shared" si="58"/>
        <v>0</v>
      </c>
      <c r="X190" s="873">
        <f t="shared" si="59"/>
        <v>0</v>
      </c>
      <c r="Y190" s="873">
        <f t="shared" si="60"/>
        <v>0</v>
      </c>
      <c r="Z190" s="885">
        <f t="shared" si="61"/>
        <v>0</v>
      </c>
    </row>
    <row r="191" spans="2:26" s="278" customFormat="1" ht="12" customHeight="1" x14ac:dyDescent="0.25">
      <c r="B191" s="1192">
        <f t="shared" si="69"/>
        <v>191</v>
      </c>
      <c r="C191" s="732">
        <f t="shared" si="53"/>
        <v>31</v>
      </c>
      <c r="D191" s="35">
        <f t="shared" si="54"/>
        <v>1</v>
      </c>
      <c r="E191" s="889">
        <f t="shared" si="72"/>
        <v>51897</v>
      </c>
      <c r="F191" s="822">
        <f t="shared" si="55"/>
        <v>1</v>
      </c>
      <c r="G191" s="126">
        <f t="shared" si="56"/>
        <v>0</v>
      </c>
      <c r="H191" s="1098">
        <f t="shared" si="73"/>
        <v>0</v>
      </c>
      <c r="I191" s="887">
        <f t="shared" si="70"/>
        <v>172</v>
      </c>
      <c r="J191" s="1099">
        <f t="shared" si="62"/>
        <v>172</v>
      </c>
      <c r="K191" s="891" t="str">
        <f t="shared" si="63"/>
        <v>January</v>
      </c>
      <c r="L191" s="888">
        <f t="shared" si="71"/>
        <v>2042</v>
      </c>
      <c r="M191" s="883">
        <f t="shared" si="64"/>
        <v>0</v>
      </c>
      <c r="N191" s="883">
        <f t="shared" si="65"/>
        <v>0</v>
      </c>
      <c r="O191" s="1100"/>
      <c r="P191" s="883">
        <f t="shared" si="57"/>
        <v>0</v>
      </c>
      <c r="Q191" s="884">
        <f t="shared" si="66"/>
        <v>0</v>
      </c>
      <c r="R191" s="884">
        <f>IF(AND($AR$39="Early Payoff",I191&gt;=$R$13),0,IF($I191&lt;=$R$6,SUM($P$20:$P191),0))</f>
        <v>0</v>
      </c>
      <c r="S191" s="884">
        <f>IF(AND($AR$39="Early Payoff",I191&gt;=$R$13),0,IF($I191&lt;=$R$6,SUM($Q$20:$Q191),0))</f>
        <v>0</v>
      </c>
      <c r="T191" s="873">
        <f t="shared" si="67"/>
        <v>0</v>
      </c>
      <c r="U191" s="1110">
        <f t="shared" si="68"/>
        <v>0</v>
      </c>
      <c r="W191" s="1102">
        <f t="shared" si="58"/>
        <v>0</v>
      </c>
      <c r="X191" s="873">
        <f t="shared" si="59"/>
        <v>0</v>
      </c>
      <c r="Y191" s="873">
        <f t="shared" si="60"/>
        <v>0</v>
      </c>
      <c r="Z191" s="885">
        <f t="shared" si="61"/>
        <v>0</v>
      </c>
    </row>
    <row r="192" spans="2:26" s="278" customFormat="1" ht="12" customHeight="1" x14ac:dyDescent="0.25">
      <c r="B192" s="1192">
        <f t="shared" si="69"/>
        <v>192</v>
      </c>
      <c r="C192" s="732">
        <f t="shared" si="53"/>
        <v>28</v>
      </c>
      <c r="D192" s="35">
        <f t="shared" si="54"/>
        <v>2</v>
      </c>
      <c r="E192" s="889">
        <f t="shared" si="72"/>
        <v>51925</v>
      </c>
      <c r="F192" s="822">
        <f t="shared" si="55"/>
        <v>2</v>
      </c>
      <c r="G192" s="126">
        <f t="shared" si="56"/>
        <v>0</v>
      </c>
      <c r="H192" s="1098">
        <f t="shared" si="73"/>
        <v>0</v>
      </c>
      <c r="I192" s="887">
        <f t="shared" si="70"/>
        <v>173</v>
      </c>
      <c r="J192" s="1099">
        <f t="shared" si="62"/>
        <v>173</v>
      </c>
      <c r="K192" s="891" t="str">
        <f t="shared" si="63"/>
        <v>February</v>
      </c>
      <c r="L192" s="888">
        <f t="shared" si="71"/>
        <v>2042</v>
      </c>
      <c r="M192" s="883">
        <f t="shared" si="64"/>
        <v>0</v>
      </c>
      <c r="N192" s="883">
        <f t="shared" si="65"/>
        <v>0</v>
      </c>
      <c r="O192" s="1100"/>
      <c r="P192" s="883">
        <f t="shared" si="57"/>
        <v>0</v>
      </c>
      <c r="Q192" s="884">
        <f t="shared" si="66"/>
        <v>0</v>
      </c>
      <c r="R192" s="884">
        <f>IF(AND($AR$39="Early Payoff",I192&gt;=$R$13),0,IF($I192&lt;=$R$6,SUM($P$20:$P192),0))</f>
        <v>0</v>
      </c>
      <c r="S192" s="884">
        <f>IF(AND($AR$39="Early Payoff",I192&gt;=$R$13),0,IF($I192&lt;=$R$6,SUM($Q$20:$Q192),0))</f>
        <v>0</v>
      </c>
      <c r="T192" s="873">
        <f t="shared" si="67"/>
        <v>0</v>
      </c>
      <c r="U192" s="1110">
        <f t="shared" si="68"/>
        <v>0</v>
      </c>
      <c r="W192" s="1102">
        <f t="shared" si="58"/>
        <v>0</v>
      </c>
      <c r="X192" s="873">
        <f t="shared" si="59"/>
        <v>0</v>
      </c>
      <c r="Y192" s="873">
        <f t="shared" si="60"/>
        <v>0</v>
      </c>
      <c r="Z192" s="885">
        <f t="shared" si="61"/>
        <v>0</v>
      </c>
    </row>
    <row r="193" spans="2:26" s="278" customFormat="1" ht="12" customHeight="1" x14ac:dyDescent="0.25">
      <c r="B193" s="1192">
        <f t="shared" si="69"/>
        <v>193</v>
      </c>
      <c r="C193" s="732">
        <f t="shared" si="53"/>
        <v>31</v>
      </c>
      <c r="D193" s="35">
        <f t="shared" si="54"/>
        <v>3</v>
      </c>
      <c r="E193" s="889">
        <f t="shared" si="72"/>
        <v>51956</v>
      </c>
      <c r="F193" s="822">
        <f t="shared" si="55"/>
        <v>3</v>
      </c>
      <c r="G193" s="126">
        <f t="shared" si="56"/>
        <v>0</v>
      </c>
      <c r="H193" s="1098">
        <f t="shared" si="73"/>
        <v>0</v>
      </c>
      <c r="I193" s="887">
        <f t="shared" si="70"/>
        <v>174</v>
      </c>
      <c r="J193" s="1099">
        <f t="shared" si="62"/>
        <v>174</v>
      </c>
      <c r="K193" s="891" t="str">
        <f t="shared" si="63"/>
        <v>March</v>
      </c>
      <c r="L193" s="888">
        <f t="shared" si="71"/>
        <v>2042</v>
      </c>
      <c r="M193" s="883">
        <f t="shared" si="64"/>
        <v>0</v>
      </c>
      <c r="N193" s="883">
        <f t="shared" si="65"/>
        <v>0</v>
      </c>
      <c r="O193" s="1100"/>
      <c r="P193" s="883">
        <f t="shared" si="57"/>
        <v>0</v>
      </c>
      <c r="Q193" s="884">
        <f t="shared" si="66"/>
        <v>0</v>
      </c>
      <c r="R193" s="884">
        <f>IF(AND($AR$39="Early Payoff",I193&gt;=$R$13),0,IF($I193&lt;=$R$6,SUM($P$20:$P193),0))</f>
        <v>0</v>
      </c>
      <c r="S193" s="884">
        <f>IF(AND($AR$39="Early Payoff",I193&gt;=$R$13),0,IF($I193&lt;=$R$6,SUM($Q$20:$Q193),0))</f>
        <v>0</v>
      </c>
      <c r="T193" s="873">
        <f t="shared" si="67"/>
        <v>0</v>
      </c>
      <c r="U193" s="1110">
        <f t="shared" si="68"/>
        <v>0</v>
      </c>
      <c r="W193" s="1102">
        <f t="shared" si="58"/>
        <v>0</v>
      </c>
      <c r="X193" s="873">
        <f t="shared" si="59"/>
        <v>0</v>
      </c>
      <c r="Y193" s="873">
        <f t="shared" si="60"/>
        <v>0</v>
      </c>
      <c r="Z193" s="885">
        <f t="shared" si="61"/>
        <v>0</v>
      </c>
    </row>
    <row r="194" spans="2:26" s="278" customFormat="1" ht="12" customHeight="1" x14ac:dyDescent="0.25">
      <c r="B194" s="1192">
        <f t="shared" si="69"/>
        <v>194</v>
      </c>
      <c r="C194" s="732">
        <f t="shared" si="53"/>
        <v>30</v>
      </c>
      <c r="D194" s="35">
        <f t="shared" si="54"/>
        <v>4</v>
      </c>
      <c r="E194" s="889">
        <f t="shared" si="72"/>
        <v>51986</v>
      </c>
      <c r="F194" s="822">
        <f t="shared" si="55"/>
        <v>4</v>
      </c>
      <c r="G194" s="126">
        <f t="shared" si="56"/>
        <v>0</v>
      </c>
      <c r="H194" s="1098">
        <f t="shared" si="73"/>
        <v>0</v>
      </c>
      <c r="I194" s="887">
        <f t="shared" si="70"/>
        <v>175</v>
      </c>
      <c r="J194" s="1099">
        <f t="shared" si="62"/>
        <v>175</v>
      </c>
      <c r="K194" s="891" t="str">
        <f t="shared" si="63"/>
        <v>April</v>
      </c>
      <c r="L194" s="888">
        <f t="shared" si="71"/>
        <v>2042</v>
      </c>
      <c r="M194" s="883">
        <f t="shared" si="64"/>
        <v>0</v>
      </c>
      <c r="N194" s="883">
        <f t="shared" si="65"/>
        <v>0</v>
      </c>
      <c r="O194" s="1100"/>
      <c r="P194" s="883">
        <f t="shared" si="57"/>
        <v>0</v>
      </c>
      <c r="Q194" s="884">
        <f t="shared" si="66"/>
        <v>0</v>
      </c>
      <c r="R194" s="884">
        <f>IF(AND($AR$39="Early Payoff",I194&gt;=$R$13),0,IF($I194&lt;=$R$6,SUM($P$20:$P194),0))</f>
        <v>0</v>
      </c>
      <c r="S194" s="884">
        <f>IF(AND($AR$39="Early Payoff",I194&gt;=$R$13),0,IF($I194&lt;=$R$6,SUM($Q$20:$Q194),0))</f>
        <v>0</v>
      </c>
      <c r="T194" s="873">
        <f t="shared" si="67"/>
        <v>0</v>
      </c>
      <c r="U194" s="1110">
        <f t="shared" si="68"/>
        <v>0</v>
      </c>
      <c r="W194" s="1102">
        <f t="shared" si="58"/>
        <v>0</v>
      </c>
      <c r="X194" s="873">
        <f t="shared" si="59"/>
        <v>0</v>
      </c>
      <c r="Y194" s="873">
        <f t="shared" si="60"/>
        <v>0</v>
      </c>
      <c r="Z194" s="885">
        <f t="shared" si="61"/>
        <v>0</v>
      </c>
    </row>
    <row r="195" spans="2:26" s="278" customFormat="1" ht="12" customHeight="1" x14ac:dyDescent="0.25">
      <c r="B195" s="1192">
        <f t="shared" si="69"/>
        <v>195</v>
      </c>
      <c r="C195" s="732">
        <f t="shared" si="53"/>
        <v>31</v>
      </c>
      <c r="D195" s="35">
        <f t="shared" si="54"/>
        <v>5</v>
      </c>
      <c r="E195" s="889">
        <f t="shared" si="72"/>
        <v>52017</v>
      </c>
      <c r="F195" s="822">
        <f t="shared" si="55"/>
        <v>5</v>
      </c>
      <c r="G195" s="126">
        <f t="shared" si="56"/>
        <v>0</v>
      </c>
      <c r="H195" s="1098">
        <f t="shared" si="73"/>
        <v>0</v>
      </c>
      <c r="I195" s="887">
        <f t="shared" si="70"/>
        <v>176</v>
      </c>
      <c r="J195" s="1099">
        <f t="shared" si="62"/>
        <v>176</v>
      </c>
      <c r="K195" s="891" t="str">
        <f t="shared" si="63"/>
        <v>May</v>
      </c>
      <c r="L195" s="888">
        <f t="shared" si="71"/>
        <v>2042</v>
      </c>
      <c r="M195" s="883">
        <f t="shared" si="64"/>
        <v>0</v>
      </c>
      <c r="N195" s="883">
        <f t="shared" si="65"/>
        <v>0</v>
      </c>
      <c r="O195" s="1100"/>
      <c r="P195" s="883">
        <f t="shared" si="57"/>
        <v>0</v>
      </c>
      <c r="Q195" s="884">
        <f t="shared" si="66"/>
        <v>0</v>
      </c>
      <c r="R195" s="884">
        <f>IF(AND($AR$39="Early Payoff",I195&gt;=$R$13),0,IF($I195&lt;=$R$6,SUM($P$20:$P195),0))</f>
        <v>0</v>
      </c>
      <c r="S195" s="884">
        <f>IF(AND($AR$39="Early Payoff",I195&gt;=$R$13),0,IF($I195&lt;=$R$6,SUM($Q$20:$Q195),0))</f>
        <v>0</v>
      </c>
      <c r="T195" s="873">
        <f t="shared" si="67"/>
        <v>0</v>
      </c>
      <c r="U195" s="1110">
        <f t="shared" si="68"/>
        <v>0</v>
      </c>
      <c r="W195" s="1102">
        <f t="shared" si="58"/>
        <v>0</v>
      </c>
      <c r="X195" s="873">
        <f t="shared" si="59"/>
        <v>0</v>
      </c>
      <c r="Y195" s="873">
        <f t="shared" si="60"/>
        <v>0</v>
      </c>
      <c r="Z195" s="885">
        <f t="shared" si="61"/>
        <v>0</v>
      </c>
    </row>
    <row r="196" spans="2:26" s="278" customFormat="1" ht="12" customHeight="1" x14ac:dyDescent="0.25">
      <c r="B196" s="1192">
        <f t="shared" si="69"/>
        <v>196</v>
      </c>
      <c r="C196" s="732">
        <f t="shared" si="53"/>
        <v>30</v>
      </c>
      <c r="D196" s="35">
        <f t="shared" si="54"/>
        <v>6</v>
      </c>
      <c r="E196" s="889">
        <f t="shared" si="72"/>
        <v>52047</v>
      </c>
      <c r="F196" s="822">
        <f t="shared" si="55"/>
        <v>6</v>
      </c>
      <c r="G196" s="126">
        <f t="shared" si="56"/>
        <v>0</v>
      </c>
      <c r="H196" s="1098">
        <f t="shared" si="73"/>
        <v>0</v>
      </c>
      <c r="I196" s="887">
        <f t="shared" si="70"/>
        <v>177</v>
      </c>
      <c r="J196" s="1099">
        <f t="shared" si="62"/>
        <v>177</v>
      </c>
      <c r="K196" s="891" t="str">
        <f t="shared" si="63"/>
        <v>June</v>
      </c>
      <c r="L196" s="888">
        <f t="shared" si="71"/>
        <v>2042</v>
      </c>
      <c r="M196" s="883">
        <f t="shared" si="64"/>
        <v>0</v>
      </c>
      <c r="N196" s="883">
        <f t="shared" si="65"/>
        <v>0</v>
      </c>
      <c r="O196" s="1100"/>
      <c r="P196" s="883">
        <f t="shared" si="57"/>
        <v>0</v>
      </c>
      <c r="Q196" s="884">
        <f t="shared" si="66"/>
        <v>0</v>
      </c>
      <c r="R196" s="884">
        <f>IF(AND($AR$39="Early Payoff",I196&gt;=$R$13),0,IF($I196&lt;=$R$6,SUM($P$20:$P196),0))</f>
        <v>0</v>
      </c>
      <c r="S196" s="884">
        <f>IF(AND($AR$39="Early Payoff",I196&gt;=$R$13),0,IF($I196&lt;=$R$6,SUM($Q$20:$Q196),0))</f>
        <v>0</v>
      </c>
      <c r="T196" s="873">
        <f t="shared" si="67"/>
        <v>0</v>
      </c>
      <c r="U196" s="1110">
        <f t="shared" si="68"/>
        <v>0</v>
      </c>
      <c r="W196" s="1102">
        <f t="shared" si="58"/>
        <v>0</v>
      </c>
      <c r="X196" s="873">
        <f t="shared" si="59"/>
        <v>0</v>
      </c>
      <c r="Y196" s="873">
        <f t="shared" si="60"/>
        <v>0</v>
      </c>
      <c r="Z196" s="885">
        <f t="shared" si="61"/>
        <v>0</v>
      </c>
    </row>
    <row r="197" spans="2:26" s="278" customFormat="1" ht="12" customHeight="1" x14ac:dyDescent="0.25">
      <c r="B197" s="1192">
        <f t="shared" si="69"/>
        <v>197</v>
      </c>
      <c r="C197" s="732">
        <f t="shared" si="53"/>
        <v>31</v>
      </c>
      <c r="D197" s="35">
        <f t="shared" si="54"/>
        <v>7</v>
      </c>
      <c r="E197" s="889">
        <f t="shared" si="72"/>
        <v>52078</v>
      </c>
      <c r="F197" s="822">
        <f t="shared" si="55"/>
        <v>7</v>
      </c>
      <c r="G197" s="126">
        <f t="shared" si="56"/>
        <v>0</v>
      </c>
      <c r="H197" s="1098">
        <f t="shared" si="73"/>
        <v>0</v>
      </c>
      <c r="I197" s="887">
        <f t="shared" si="70"/>
        <v>178</v>
      </c>
      <c r="J197" s="1099">
        <f t="shared" si="62"/>
        <v>178</v>
      </c>
      <c r="K197" s="891" t="str">
        <f t="shared" si="63"/>
        <v>July</v>
      </c>
      <c r="L197" s="888">
        <f t="shared" si="71"/>
        <v>2042</v>
      </c>
      <c r="M197" s="883">
        <f t="shared" si="64"/>
        <v>0</v>
      </c>
      <c r="N197" s="883">
        <f t="shared" si="65"/>
        <v>0</v>
      </c>
      <c r="O197" s="1100"/>
      <c r="P197" s="883">
        <f t="shared" si="57"/>
        <v>0</v>
      </c>
      <c r="Q197" s="884">
        <f t="shared" si="66"/>
        <v>0</v>
      </c>
      <c r="R197" s="884">
        <f>IF(AND($AR$39="Early Payoff",I197&gt;=$R$13),0,IF($I197&lt;=$R$6,SUM($P$20:$P197),0))</f>
        <v>0</v>
      </c>
      <c r="S197" s="884">
        <f>IF(AND($AR$39="Early Payoff",I197&gt;=$R$13),0,IF($I197&lt;=$R$6,SUM($Q$20:$Q197),0))</f>
        <v>0</v>
      </c>
      <c r="T197" s="873">
        <f t="shared" si="67"/>
        <v>0</v>
      </c>
      <c r="U197" s="1110">
        <f t="shared" si="68"/>
        <v>0</v>
      </c>
      <c r="W197" s="1102">
        <f t="shared" si="58"/>
        <v>0</v>
      </c>
      <c r="X197" s="873">
        <f t="shared" si="59"/>
        <v>0</v>
      </c>
      <c r="Y197" s="873">
        <f t="shared" si="60"/>
        <v>0</v>
      </c>
      <c r="Z197" s="885">
        <f t="shared" si="61"/>
        <v>0</v>
      </c>
    </row>
    <row r="198" spans="2:26" s="278" customFormat="1" ht="12" customHeight="1" x14ac:dyDescent="0.25">
      <c r="B198" s="1192">
        <f t="shared" si="69"/>
        <v>198</v>
      </c>
      <c r="C198" s="732">
        <f t="shared" si="53"/>
        <v>31</v>
      </c>
      <c r="D198" s="35">
        <f t="shared" si="54"/>
        <v>8</v>
      </c>
      <c r="E198" s="889">
        <f t="shared" si="72"/>
        <v>52109</v>
      </c>
      <c r="F198" s="822">
        <f t="shared" si="55"/>
        <v>8</v>
      </c>
      <c r="G198" s="126">
        <f t="shared" si="56"/>
        <v>0</v>
      </c>
      <c r="H198" s="1098">
        <f t="shared" si="73"/>
        <v>0</v>
      </c>
      <c r="I198" s="887">
        <f t="shared" si="70"/>
        <v>179</v>
      </c>
      <c r="J198" s="1099">
        <f t="shared" si="62"/>
        <v>179</v>
      </c>
      <c r="K198" s="891" t="str">
        <f t="shared" si="63"/>
        <v>August</v>
      </c>
      <c r="L198" s="888">
        <f t="shared" si="71"/>
        <v>2042</v>
      </c>
      <c r="M198" s="883">
        <f t="shared" si="64"/>
        <v>0</v>
      </c>
      <c r="N198" s="883">
        <f t="shared" si="65"/>
        <v>0</v>
      </c>
      <c r="O198" s="1100"/>
      <c r="P198" s="883">
        <f t="shared" si="57"/>
        <v>0</v>
      </c>
      <c r="Q198" s="884">
        <f t="shared" si="66"/>
        <v>0</v>
      </c>
      <c r="R198" s="884">
        <f>IF(AND($AR$39="Early Payoff",I198&gt;=$R$13),0,IF($I198&lt;=$R$6,SUM($P$20:$P198),0))</f>
        <v>0</v>
      </c>
      <c r="S198" s="884">
        <f>IF(AND($AR$39="Early Payoff",I198&gt;=$R$13),0,IF($I198&lt;=$R$6,SUM($Q$20:$Q198),0))</f>
        <v>0</v>
      </c>
      <c r="T198" s="873">
        <f t="shared" si="67"/>
        <v>0</v>
      </c>
      <c r="U198" s="1110">
        <f t="shared" si="68"/>
        <v>0</v>
      </c>
      <c r="W198" s="1102">
        <f t="shared" si="58"/>
        <v>0</v>
      </c>
      <c r="X198" s="873">
        <f t="shared" si="59"/>
        <v>0</v>
      </c>
      <c r="Y198" s="873">
        <f t="shared" si="60"/>
        <v>0</v>
      </c>
      <c r="Z198" s="885">
        <f t="shared" si="61"/>
        <v>0</v>
      </c>
    </row>
    <row r="199" spans="2:26" s="278" customFormat="1" ht="12" customHeight="1" x14ac:dyDescent="0.25">
      <c r="B199" s="1192">
        <f t="shared" si="69"/>
        <v>199</v>
      </c>
      <c r="C199" s="732">
        <f t="shared" si="53"/>
        <v>30</v>
      </c>
      <c r="D199" s="35">
        <f t="shared" si="54"/>
        <v>9</v>
      </c>
      <c r="E199" s="889">
        <f t="shared" si="72"/>
        <v>52139</v>
      </c>
      <c r="F199" s="822">
        <f t="shared" si="55"/>
        <v>9</v>
      </c>
      <c r="G199" s="126">
        <f t="shared" si="56"/>
        <v>0</v>
      </c>
      <c r="H199" s="1098">
        <f t="shared" si="73"/>
        <v>0</v>
      </c>
      <c r="I199" s="887">
        <f t="shared" si="70"/>
        <v>180</v>
      </c>
      <c r="J199" s="1099">
        <f t="shared" si="62"/>
        <v>180</v>
      </c>
      <c r="K199" s="891" t="str">
        <f t="shared" si="63"/>
        <v>September</v>
      </c>
      <c r="L199" s="888">
        <f t="shared" si="71"/>
        <v>2042</v>
      </c>
      <c r="M199" s="883">
        <f t="shared" si="64"/>
        <v>0</v>
      </c>
      <c r="N199" s="883">
        <f t="shared" si="65"/>
        <v>0</v>
      </c>
      <c r="O199" s="1100"/>
      <c r="P199" s="883">
        <f t="shared" si="57"/>
        <v>0</v>
      </c>
      <c r="Q199" s="884">
        <f t="shared" si="66"/>
        <v>0</v>
      </c>
      <c r="R199" s="884">
        <f>IF(AND($AR$39="Early Payoff",I199&gt;=$R$13),0,IF($I199&lt;=$R$6,SUM($P$20:$P199),0))</f>
        <v>0</v>
      </c>
      <c r="S199" s="884">
        <f>IF(AND($AR$39="Early Payoff",I199&gt;=$R$13),0,IF($I199&lt;=$R$6,SUM($Q$20:$Q199),0))</f>
        <v>0</v>
      </c>
      <c r="T199" s="873">
        <f t="shared" si="67"/>
        <v>0</v>
      </c>
      <c r="U199" s="1110">
        <f t="shared" si="68"/>
        <v>0</v>
      </c>
      <c r="W199" s="1102">
        <f t="shared" si="58"/>
        <v>0</v>
      </c>
      <c r="X199" s="873">
        <f t="shared" si="59"/>
        <v>0</v>
      </c>
      <c r="Y199" s="873">
        <f t="shared" si="60"/>
        <v>0</v>
      </c>
      <c r="Z199" s="885">
        <f t="shared" si="61"/>
        <v>0</v>
      </c>
    </row>
    <row r="200" spans="2:26" s="278" customFormat="1" ht="12" customHeight="1" x14ac:dyDescent="0.25">
      <c r="B200" s="1192">
        <f t="shared" si="69"/>
        <v>200</v>
      </c>
      <c r="C200" s="732">
        <f t="shared" si="53"/>
        <v>31</v>
      </c>
      <c r="D200" s="35">
        <f t="shared" si="54"/>
        <v>10</v>
      </c>
      <c r="E200" s="889">
        <f t="shared" si="72"/>
        <v>52170</v>
      </c>
      <c r="F200" s="822">
        <f t="shared" si="55"/>
        <v>10</v>
      </c>
      <c r="G200" s="126">
        <f t="shared" si="56"/>
        <v>0</v>
      </c>
      <c r="H200" s="1098">
        <f t="shared" si="73"/>
        <v>0</v>
      </c>
      <c r="I200" s="887">
        <f t="shared" si="70"/>
        <v>181</v>
      </c>
      <c r="J200" s="1099">
        <f t="shared" si="62"/>
        <v>181</v>
      </c>
      <c r="K200" s="891" t="str">
        <f t="shared" si="63"/>
        <v>October</v>
      </c>
      <c r="L200" s="888">
        <f t="shared" si="71"/>
        <v>2042</v>
      </c>
      <c r="M200" s="883">
        <f t="shared" si="64"/>
        <v>0</v>
      </c>
      <c r="N200" s="883">
        <f t="shared" si="65"/>
        <v>0</v>
      </c>
      <c r="O200" s="1100"/>
      <c r="P200" s="883">
        <f t="shared" si="57"/>
        <v>0</v>
      </c>
      <c r="Q200" s="884">
        <f t="shared" si="66"/>
        <v>0</v>
      </c>
      <c r="R200" s="884">
        <f>IF(AND($AR$39="Early Payoff",I200&gt;=$R$13),0,IF($I200&lt;=$R$6,SUM($P$20:$P200),0))</f>
        <v>0</v>
      </c>
      <c r="S200" s="884">
        <f>IF(AND($AR$39="Early Payoff",I200&gt;=$R$13),0,IF($I200&lt;=$R$6,SUM($Q$20:$Q200),0))</f>
        <v>0</v>
      </c>
      <c r="T200" s="873">
        <f t="shared" si="67"/>
        <v>0</v>
      </c>
      <c r="U200" s="1110">
        <f t="shared" si="68"/>
        <v>0</v>
      </c>
      <c r="W200" s="1102">
        <f t="shared" si="58"/>
        <v>0</v>
      </c>
      <c r="X200" s="873">
        <f t="shared" si="59"/>
        <v>0</v>
      </c>
      <c r="Y200" s="873">
        <f t="shared" si="60"/>
        <v>0</v>
      </c>
      <c r="Z200" s="885">
        <f t="shared" si="61"/>
        <v>0</v>
      </c>
    </row>
    <row r="201" spans="2:26" s="278" customFormat="1" ht="12" customHeight="1" x14ac:dyDescent="0.25">
      <c r="B201" s="1192">
        <f t="shared" si="69"/>
        <v>201</v>
      </c>
      <c r="C201" s="732">
        <f t="shared" si="53"/>
        <v>30</v>
      </c>
      <c r="D201" s="35">
        <f t="shared" si="54"/>
        <v>11</v>
      </c>
      <c r="E201" s="889">
        <f t="shared" si="72"/>
        <v>52200</v>
      </c>
      <c r="F201" s="822">
        <f t="shared" si="55"/>
        <v>11</v>
      </c>
      <c r="G201" s="126">
        <f t="shared" si="56"/>
        <v>0</v>
      </c>
      <c r="H201" s="1098">
        <f t="shared" si="73"/>
        <v>0</v>
      </c>
      <c r="I201" s="887">
        <f t="shared" si="70"/>
        <v>182</v>
      </c>
      <c r="J201" s="1099">
        <f t="shared" si="62"/>
        <v>182</v>
      </c>
      <c r="K201" s="891" t="str">
        <f t="shared" si="63"/>
        <v>November</v>
      </c>
      <c r="L201" s="888">
        <f t="shared" si="71"/>
        <v>2042</v>
      </c>
      <c r="M201" s="883">
        <f t="shared" si="64"/>
        <v>0</v>
      </c>
      <c r="N201" s="883">
        <f t="shared" si="65"/>
        <v>0</v>
      </c>
      <c r="O201" s="1100"/>
      <c r="P201" s="883">
        <f t="shared" si="57"/>
        <v>0</v>
      </c>
      <c r="Q201" s="884">
        <f t="shared" si="66"/>
        <v>0</v>
      </c>
      <c r="R201" s="884">
        <f>IF(AND($AR$39="Early Payoff",I201&gt;=$R$13),0,IF($I201&lt;=$R$6,SUM($P$20:$P201),0))</f>
        <v>0</v>
      </c>
      <c r="S201" s="884">
        <f>IF(AND($AR$39="Early Payoff",I201&gt;=$R$13),0,IF($I201&lt;=$R$6,SUM($Q$20:$Q201),0))</f>
        <v>0</v>
      </c>
      <c r="T201" s="873">
        <f t="shared" si="67"/>
        <v>0</v>
      </c>
      <c r="U201" s="1110">
        <f t="shared" si="68"/>
        <v>0</v>
      </c>
      <c r="W201" s="1102">
        <f t="shared" si="58"/>
        <v>0</v>
      </c>
      <c r="X201" s="873">
        <f t="shared" si="59"/>
        <v>0</v>
      </c>
      <c r="Y201" s="873">
        <f t="shared" si="60"/>
        <v>0</v>
      </c>
      <c r="Z201" s="885">
        <f t="shared" si="61"/>
        <v>0</v>
      </c>
    </row>
    <row r="202" spans="2:26" s="278" customFormat="1" ht="12" customHeight="1" x14ac:dyDescent="0.25">
      <c r="B202" s="1192">
        <f t="shared" si="69"/>
        <v>202</v>
      </c>
      <c r="C202" s="732">
        <f t="shared" si="53"/>
        <v>31</v>
      </c>
      <c r="D202" s="35">
        <f t="shared" si="54"/>
        <v>12</v>
      </c>
      <c r="E202" s="889">
        <f t="shared" si="72"/>
        <v>52231</v>
      </c>
      <c r="F202" s="822">
        <f t="shared" si="55"/>
        <v>12</v>
      </c>
      <c r="G202" s="126">
        <f t="shared" si="56"/>
        <v>1</v>
      </c>
      <c r="H202" s="1098">
        <f t="shared" si="73"/>
        <v>0</v>
      </c>
      <c r="I202" s="887">
        <f t="shared" si="70"/>
        <v>183</v>
      </c>
      <c r="J202" s="1099">
        <f t="shared" si="62"/>
        <v>183</v>
      </c>
      <c r="K202" s="891" t="str">
        <f t="shared" si="63"/>
        <v>December</v>
      </c>
      <c r="L202" s="888">
        <f t="shared" si="71"/>
        <v>2042</v>
      </c>
      <c r="M202" s="883">
        <f t="shared" si="64"/>
        <v>0</v>
      </c>
      <c r="N202" s="883">
        <f t="shared" si="65"/>
        <v>0</v>
      </c>
      <c r="O202" s="1100"/>
      <c r="P202" s="883">
        <f t="shared" si="57"/>
        <v>0</v>
      </c>
      <c r="Q202" s="884">
        <f t="shared" si="66"/>
        <v>0</v>
      </c>
      <c r="R202" s="884">
        <f>IF(AND($AR$39="Early Payoff",I202&gt;=$R$13),0,IF($I202&lt;=$R$6,SUM($P$20:$P202),0))</f>
        <v>0</v>
      </c>
      <c r="S202" s="884">
        <f>IF(AND($AR$39="Early Payoff",I202&gt;=$R$13),0,IF($I202&lt;=$R$6,SUM($Q$20:$Q202),0))</f>
        <v>0</v>
      </c>
      <c r="T202" s="873">
        <f t="shared" si="67"/>
        <v>0</v>
      </c>
      <c r="U202" s="1110">
        <f t="shared" si="68"/>
        <v>0</v>
      </c>
      <c r="W202" s="1102">
        <f t="shared" si="58"/>
        <v>0</v>
      </c>
      <c r="X202" s="873">
        <f t="shared" si="59"/>
        <v>0</v>
      </c>
      <c r="Y202" s="873">
        <f t="shared" si="60"/>
        <v>0</v>
      </c>
      <c r="Z202" s="885">
        <f t="shared" si="61"/>
        <v>0</v>
      </c>
    </row>
    <row r="203" spans="2:26" s="278" customFormat="1" ht="12" customHeight="1" x14ac:dyDescent="0.25">
      <c r="B203" s="1192">
        <f t="shared" si="69"/>
        <v>203</v>
      </c>
      <c r="C203" s="732">
        <f t="shared" si="53"/>
        <v>31</v>
      </c>
      <c r="D203" s="35">
        <f t="shared" si="54"/>
        <v>1</v>
      </c>
      <c r="E203" s="889">
        <f t="shared" si="72"/>
        <v>52262</v>
      </c>
      <c r="F203" s="822">
        <f t="shared" si="55"/>
        <v>1</v>
      </c>
      <c r="G203" s="126">
        <f t="shared" si="56"/>
        <v>0</v>
      </c>
      <c r="H203" s="1098">
        <f t="shared" si="73"/>
        <v>0</v>
      </c>
      <c r="I203" s="887">
        <f t="shared" si="70"/>
        <v>184</v>
      </c>
      <c r="J203" s="1099">
        <f t="shared" si="62"/>
        <v>184</v>
      </c>
      <c r="K203" s="891" t="str">
        <f t="shared" si="63"/>
        <v>January</v>
      </c>
      <c r="L203" s="888">
        <f t="shared" si="71"/>
        <v>2043</v>
      </c>
      <c r="M203" s="883">
        <f t="shared" si="64"/>
        <v>0</v>
      </c>
      <c r="N203" s="883">
        <f t="shared" si="65"/>
        <v>0</v>
      </c>
      <c r="O203" s="1100"/>
      <c r="P203" s="883">
        <f t="shared" si="57"/>
        <v>0</v>
      </c>
      <c r="Q203" s="884">
        <f t="shared" si="66"/>
        <v>0</v>
      </c>
      <c r="R203" s="884">
        <f>IF(AND($AR$39="Early Payoff",I203&gt;=$R$13),0,IF($I203&lt;=$R$6,SUM($P$20:$P203),0))</f>
        <v>0</v>
      </c>
      <c r="S203" s="884">
        <f>IF(AND($AR$39="Early Payoff",I203&gt;=$R$13),0,IF($I203&lt;=$R$6,SUM($Q$20:$Q203),0))</f>
        <v>0</v>
      </c>
      <c r="T203" s="873">
        <f t="shared" si="67"/>
        <v>0</v>
      </c>
      <c r="U203" s="1110">
        <f t="shared" si="68"/>
        <v>0</v>
      </c>
      <c r="W203" s="1102">
        <f t="shared" si="58"/>
        <v>0</v>
      </c>
      <c r="X203" s="873">
        <f t="shared" si="59"/>
        <v>0</v>
      </c>
      <c r="Y203" s="873">
        <f t="shared" si="60"/>
        <v>0</v>
      </c>
      <c r="Z203" s="885">
        <f t="shared" si="61"/>
        <v>0</v>
      </c>
    </row>
    <row r="204" spans="2:26" s="278" customFormat="1" ht="12" customHeight="1" x14ac:dyDescent="0.25">
      <c r="B204" s="1192">
        <f t="shared" si="69"/>
        <v>204</v>
      </c>
      <c r="C204" s="732">
        <f t="shared" si="53"/>
        <v>28</v>
      </c>
      <c r="D204" s="35">
        <f t="shared" si="54"/>
        <v>2</v>
      </c>
      <c r="E204" s="889">
        <f t="shared" si="72"/>
        <v>52290</v>
      </c>
      <c r="F204" s="822">
        <f t="shared" si="55"/>
        <v>2</v>
      </c>
      <c r="G204" s="126">
        <f t="shared" si="56"/>
        <v>0</v>
      </c>
      <c r="H204" s="1098">
        <f t="shared" si="73"/>
        <v>0</v>
      </c>
      <c r="I204" s="887">
        <f t="shared" si="70"/>
        <v>185</v>
      </c>
      <c r="J204" s="1099">
        <f t="shared" si="62"/>
        <v>185</v>
      </c>
      <c r="K204" s="891" t="str">
        <f t="shared" si="63"/>
        <v>February</v>
      </c>
      <c r="L204" s="888">
        <f t="shared" si="71"/>
        <v>2043</v>
      </c>
      <c r="M204" s="883">
        <f t="shared" si="64"/>
        <v>0</v>
      </c>
      <c r="N204" s="883">
        <f t="shared" si="65"/>
        <v>0</v>
      </c>
      <c r="O204" s="1100"/>
      <c r="P204" s="883">
        <f t="shared" si="57"/>
        <v>0</v>
      </c>
      <c r="Q204" s="884">
        <f t="shared" si="66"/>
        <v>0</v>
      </c>
      <c r="R204" s="884">
        <f>IF(AND($AR$39="Early Payoff",I204&gt;=$R$13),0,IF($I204&lt;=$R$6,SUM($P$20:$P204),0))</f>
        <v>0</v>
      </c>
      <c r="S204" s="884">
        <f>IF(AND($AR$39="Early Payoff",I204&gt;=$R$13),0,IF($I204&lt;=$R$6,SUM($Q$20:$Q204),0))</f>
        <v>0</v>
      </c>
      <c r="T204" s="873">
        <f t="shared" si="67"/>
        <v>0</v>
      </c>
      <c r="U204" s="1110">
        <f t="shared" si="68"/>
        <v>0</v>
      </c>
      <c r="W204" s="1102">
        <f t="shared" si="58"/>
        <v>0</v>
      </c>
      <c r="X204" s="873">
        <f t="shared" si="59"/>
        <v>0</v>
      </c>
      <c r="Y204" s="873">
        <f t="shared" si="60"/>
        <v>0</v>
      </c>
      <c r="Z204" s="885">
        <f t="shared" si="61"/>
        <v>0</v>
      </c>
    </row>
    <row r="205" spans="2:26" s="278" customFormat="1" ht="12" customHeight="1" x14ac:dyDescent="0.25">
      <c r="B205" s="1192">
        <f t="shared" si="69"/>
        <v>205</v>
      </c>
      <c r="C205" s="732">
        <f t="shared" si="53"/>
        <v>31</v>
      </c>
      <c r="D205" s="35">
        <f t="shared" si="54"/>
        <v>3</v>
      </c>
      <c r="E205" s="889">
        <f t="shared" si="72"/>
        <v>52321</v>
      </c>
      <c r="F205" s="822">
        <f t="shared" si="55"/>
        <v>3</v>
      </c>
      <c r="G205" s="126">
        <f t="shared" si="56"/>
        <v>0</v>
      </c>
      <c r="H205" s="1098">
        <f t="shared" si="73"/>
        <v>0</v>
      </c>
      <c r="I205" s="887">
        <f t="shared" si="70"/>
        <v>186</v>
      </c>
      <c r="J205" s="1099">
        <f t="shared" si="62"/>
        <v>186</v>
      </c>
      <c r="K205" s="891" t="str">
        <f t="shared" si="63"/>
        <v>March</v>
      </c>
      <c r="L205" s="888">
        <f t="shared" si="71"/>
        <v>2043</v>
      </c>
      <c r="M205" s="883">
        <f t="shared" si="64"/>
        <v>0</v>
      </c>
      <c r="N205" s="883">
        <f t="shared" si="65"/>
        <v>0</v>
      </c>
      <c r="O205" s="1100"/>
      <c r="P205" s="883">
        <f t="shared" si="57"/>
        <v>0</v>
      </c>
      <c r="Q205" s="884">
        <f t="shared" si="66"/>
        <v>0</v>
      </c>
      <c r="R205" s="884">
        <f>IF(AND($AR$39="Early Payoff",I205&gt;=$R$13),0,IF($I205&lt;=$R$6,SUM($P$20:$P205),0))</f>
        <v>0</v>
      </c>
      <c r="S205" s="884">
        <f>IF(AND($AR$39="Early Payoff",I205&gt;=$R$13),0,IF($I205&lt;=$R$6,SUM($Q$20:$Q205),0))</f>
        <v>0</v>
      </c>
      <c r="T205" s="873">
        <f t="shared" si="67"/>
        <v>0</v>
      </c>
      <c r="U205" s="1110">
        <f t="shared" si="68"/>
        <v>0</v>
      </c>
      <c r="W205" s="1102">
        <f t="shared" si="58"/>
        <v>0</v>
      </c>
      <c r="X205" s="873">
        <f t="shared" si="59"/>
        <v>0</v>
      </c>
      <c r="Y205" s="873">
        <f t="shared" si="60"/>
        <v>0</v>
      </c>
      <c r="Z205" s="885">
        <f t="shared" si="61"/>
        <v>0</v>
      </c>
    </row>
    <row r="206" spans="2:26" s="278" customFormat="1" ht="12" customHeight="1" x14ac:dyDescent="0.25">
      <c r="B206" s="1192">
        <f t="shared" si="69"/>
        <v>206</v>
      </c>
      <c r="C206" s="732">
        <f t="shared" si="53"/>
        <v>30</v>
      </c>
      <c r="D206" s="35">
        <f t="shared" si="54"/>
        <v>4</v>
      </c>
      <c r="E206" s="889">
        <f t="shared" si="72"/>
        <v>52351</v>
      </c>
      <c r="F206" s="822">
        <f t="shared" si="55"/>
        <v>4</v>
      </c>
      <c r="G206" s="126">
        <f t="shared" si="56"/>
        <v>0</v>
      </c>
      <c r="H206" s="1098">
        <f t="shared" si="73"/>
        <v>0</v>
      </c>
      <c r="I206" s="887">
        <f t="shared" si="70"/>
        <v>187</v>
      </c>
      <c r="J206" s="1099">
        <f t="shared" si="62"/>
        <v>187</v>
      </c>
      <c r="K206" s="891" t="str">
        <f t="shared" si="63"/>
        <v>April</v>
      </c>
      <c r="L206" s="888">
        <f t="shared" si="71"/>
        <v>2043</v>
      </c>
      <c r="M206" s="883">
        <f t="shared" si="64"/>
        <v>0</v>
      </c>
      <c r="N206" s="883">
        <f t="shared" si="65"/>
        <v>0</v>
      </c>
      <c r="O206" s="1100"/>
      <c r="P206" s="883">
        <f t="shared" si="57"/>
        <v>0</v>
      </c>
      <c r="Q206" s="884">
        <f t="shared" si="66"/>
        <v>0</v>
      </c>
      <c r="R206" s="884">
        <f>IF(AND($AR$39="Early Payoff",I206&gt;=$R$13),0,IF($I206&lt;=$R$6,SUM($P$20:$P206),0))</f>
        <v>0</v>
      </c>
      <c r="S206" s="884">
        <f>IF(AND($AR$39="Early Payoff",I206&gt;=$R$13),0,IF($I206&lt;=$R$6,SUM($Q$20:$Q206),0))</f>
        <v>0</v>
      </c>
      <c r="T206" s="873">
        <f t="shared" si="67"/>
        <v>0</v>
      </c>
      <c r="U206" s="1110">
        <f t="shared" si="68"/>
        <v>0</v>
      </c>
      <c r="W206" s="1102">
        <f t="shared" si="58"/>
        <v>0</v>
      </c>
      <c r="X206" s="873">
        <f t="shared" si="59"/>
        <v>0</v>
      </c>
      <c r="Y206" s="873">
        <f t="shared" si="60"/>
        <v>0</v>
      </c>
      <c r="Z206" s="885">
        <f t="shared" si="61"/>
        <v>0</v>
      </c>
    </row>
    <row r="207" spans="2:26" s="278" customFormat="1" ht="12" customHeight="1" x14ac:dyDescent="0.25">
      <c r="B207" s="1192">
        <f t="shared" si="69"/>
        <v>207</v>
      </c>
      <c r="C207" s="732">
        <f t="shared" si="53"/>
        <v>31</v>
      </c>
      <c r="D207" s="35">
        <f t="shared" si="54"/>
        <v>5</v>
      </c>
      <c r="E207" s="889">
        <f t="shared" si="72"/>
        <v>52382</v>
      </c>
      <c r="F207" s="822">
        <f t="shared" si="55"/>
        <v>5</v>
      </c>
      <c r="G207" s="126">
        <f t="shared" si="56"/>
        <v>0</v>
      </c>
      <c r="H207" s="1098">
        <f t="shared" si="73"/>
        <v>0</v>
      </c>
      <c r="I207" s="887">
        <f t="shared" si="70"/>
        <v>188</v>
      </c>
      <c r="J207" s="1099">
        <f t="shared" si="62"/>
        <v>188</v>
      </c>
      <c r="K207" s="891" t="str">
        <f t="shared" si="63"/>
        <v>May</v>
      </c>
      <c r="L207" s="888">
        <f t="shared" si="71"/>
        <v>2043</v>
      </c>
      <c r="M207" s="883">
        <f t="shared" si="64"/>
        <v>0</v>
      </c>
      <c r="N207" s="883">
        <f t="shared" si="65"/>
        <v>0</v>
      </c>
      <c r="O207" s="1100"/>
      <c r="P207" s="883">
        <f t="shared" si="57"/>
        <v>0</v>
      </c>
      <c r="Q207" s="884">
        <f t="shared" si="66"/>
        <v>0</v>
      </c>
      <c r="R207" s="884">
        <f>IF(AND($AR$39="Early Payoff",I207&gt;=$R$13),0,IF($I207&lt;=$R$6,SUM($P$20:$P207),0))</f>
        <v>0</v>
      </c>
      <c r="S207" s="884">
        <f>IF(AND($AR$39="Early Payoff",I207&gt;=$R$13),0,IF($I207&lt;=$R$6,SUM($Q$20:$Q207),0))</f>
        <v>0</v>
      </c>
      <c r="T207" s="873">
        <f t="shared" si="67"/>
        <v>0</v>
      </c>
      <c r="U207" s="1110">
        <f t="shared" si="68"/>
        <v>0</v>
      </c>
      <c r="W207" s="1102">
        <f t="shared" si="58"/>
        <v>0</v>
      </c>
      <c r="X207" s="873">
        <f t="shared" si="59"/>
        <v>0</v>
      </c>
      <c r="Y207" s="873">
        <f t="shared" si="60"/>
        <v>0</v>
      </c>
      <c r="Z207" s="885">
        <f t="shared" si="61"/>
        <v>0</v>
      </c>
    </row>
    <row r="208" spans="2:26" s="278" customFormat="1" ht="12" customHeight="1" x14ac:dyDescent="0.25">
      <c r="B208" s="1192">
        <f t="shared" si="69"/>
        <v>208</v>
      </c>
      <c r="C208" s="732">
        <f t="shared" si="53"/>
        <v>30</v>
      </c>
      <c r="D208" s="35">
        <f t="shared" si="54"/>
        <v>6</v>
      </c>
      <c r="E208" s="889">
        <f t="shared" si="72"/>
        <v>52412</v>
      </c>
      <c r="F208" s="822">
        <f t="shared" si="55"/>
        <v>6</v>
      </c>
      <c r="G208" s="126">
        <f t="shared" si="56"/>
        <v>0</v>
      </c>
      <c r="H208" s="1098">
        <f t="shared" si="73"/>
        <v>0</v>
      </c>
      <c r="I208" s="887">
        <f t="shared" si="70"/>
        <v>189</v>
      </c>
      <c r="J208" s="1099">
        <f t="shared" si="62"/>
        <v>189</v>
      </c>
      <c r="K208" s="891" t="str">
        <f t="shared" si="63"/>
        <v>June</v>
      </c>
      <c r="L208" s="888">
        <f t="shared" si="71"/>
        <v>2043</v>
      </c>
      <c r="M208" s="883">
        <f t="shared" si="64"/>
        <v>0</v>
      </c>
      <c r="N208" s="883">
        <f t="shared" si="65"/>
        <v>0</v>
      </c>
      <c r="O208" s="1100"/>
      <c r="P208" s="883">
        <f t="shared" si="57"/>
        <v>0</v>
      </c>
      <c r="Q208" s="884">
        <f t="shared" si="66"/>
        <v>0</v>
      </c>
      <c r="R208" s="884">
        <f>IF(AND($AR$39="Early Payoff",I208&gt;=$R$13),0,IF($I208&lt;=$R$6,SUM($P$20:$P208),0))</f>
        <v>0</v>
      </c>
      <c r="S208" s="884">
        <f>IF(AND($AR$39="Early Payoff",I208&gt;=$R$13),0,IF($I208&lt;=$R$6,SUM($Q$20:$Q208),0))</f>
        <v>0</v>
      </c>
      <c r="T208" s="873">
        <f t="shared" si="67"/>
        <v>0</v>
      </c>
      <c r="U208" s="1110">
        <f t="shared" si="68"/>
        <v>0</v>
      </c>
      <c r="W208" s="1102">
        <f t="shared" si="58"/>
        <v>0</v>
      </c>
      <c r="X208" s="873">
        <f t="shared" si="59"/>
        <v>0</v>
      </c>
      <c r="Y208" s="873">
        <f t="shared" si="60"/>
        <v>0</v>
      </c>
      <c r="Z208" s="885">
        <f t="shared" si="61"/>
        <v>0</v>
      </c>
    </row>
    <row r="209" spans="2:26" s="278" customFormat="1" ht="12" customHeight="1" x14ac:dyDescent="0.25">
      <c r="B209" s="1192">
        <f t="shared" si="69"/>
        <v>209</v>
      </c>
      <c r="C209" s="732">
        <f t="shared" si="53"/>
        <v>31</v>
      </c>
      <c r="D209" s="35">
        <f t="shared" si="54"/>
        <v>7</v>
      </c>
      <c r="E209" s="889">
        <f t="shared" si="72"/>
        <v>52443</v>
      </c>
      <c r="F209" s="822">
        <f t="shared" si="55"/>
        <v>7</v>
      </c>
      <c r="G209" s="126">
        <f t="shared" si="56"/>
        <v>0</v>
      </c>
      <c r="H209" s="1098">
        <f t="shared" si="73"/>
        <v>0</v>
      </c>
      <c r="I209" s="887">
        <f t="shared" si="70"/>
        <v>190</v>
      </c>
      <c r="J209" s="1099">
        <f t="shared" si="62"/>
        <v>190</v>
      </c>
      <c r="K209" s="891" t="str">
        <f t="shared" si="63"/>
        <v>July</v>
      </c>
      <c r="L209" s="888">
        <f t="shared" si="71"/>
        <v>2043</v>
      </c>
      <c r="M209" s="883">
        <f t="shared" si="64"/>
        <v>0</v>
      </c>
      <c r="N209" s="883">
        <f t="shared" si="65"/>
        <v>0</v>
      </c>
      <c r="O209" s="1100"/>
      <c r="P209" s="883">
        <f t="shared" si="57"/>
        <v>0</v>
      </c>
      <c r="Q209" s="884">
        <f t="shared" si="66"/>
        <v>0</v>
      </c>
      <c r="R209" s="884">
        <f>IF(AND($AR$39="Early Payoff",I209&gt;=$R$13),0,IF($I209&lt;=$R$6,SUM($P$20:$P209),0))</f>
        <v>0</v>
      </c>
      <c r="S209" s="884">
        <f>IF(AND($AR$39="Early Payoff",I209&gt;=$R$13),0,IF($I209&lt;=$R$6,SUM($Q$20:$Q209),0))</f>
        <v>0</v>
      </c>
      <c r="T209" s="873">
        <f t="shared" si="67"/>
        <v>0</v>
      </c>
      <c r="U209" s="1110">
        <f t="shared" si="68"/>
        <v>0</v>
      </c>
      <c r="W209" s="1102">
        <f t="shared" si="58"/>
        <v>0</v>
      </c>
      <c r="X209" s="873">
        <f t="shared" si="59"/>
        <v>0</v>
      </c>
      <c r="Y209" s="873">
        <f t="shared" si="60"/>
        <v>0</v>
      </c>
      <c r="Z209" s="885">
        <f t="shared" si="61"/>
        <v>0</v>
      </c>
    </row>
    <row r="210" spans="2:26" s="278" customFormat="1" ht="12" customHeight="1" x14ac:dyDescent="0.25">
      <c r="B210" s="1192">
        <f t="shared" si="69"/>
        <v>210</v>
      </c>
      <c r="C210" s="732">
        <f t="shared" si="53"/>
        <v>31</v>
      </c>
      <c r="D210" s="35">
        <f t="shared" si="54"/>
        <v>8</v>
      </c>
      <c r="E210" s="889">
        <f t="shared" si="72"/>
        <v>52474</v>
      </c>
      <c r="F210" s="822">
        <f t="shared" si="55"/>
        <v>8</v>
      </c>
      <c r="G210" s="126">
        <f t="shared" si="56"/>
        <v>0</v>
      </c>
      <c r="H210" s="1098">
        <f t="shared" si="73"/>
        <v>0</v>
      </c>
      <c r="I210" s="887">
        <f t="shared" si="70"/>
        <v>191</v>
      </c>
      <c r="J210" s="1099">
        <f t="shared" si="62"/>
        <v>191</v>
      </c>
      <c r="K210" s="891" t="str">
        <f t="shared" si="63"/>
        <v>August</v>
      </c>
      <c r="L210" s="888">
        <f t="shared" si="71"/>
        <v>2043</v>
      </c>
      <c r="M210" s="883">
        <f t="shared" si="64"/>
        <v>0</v>
      </c>
      <c r="N210" s="883">
        <f t="shared" si="65"/>
        <v>0</v>
      </c>
      <c r="O210" s="1100"/>
      <c r="P210" s="883">
        <f t="shared" si="57"/>
        <v>0</v>
      </c>
      <c r="Q210" s="884">
        <f t="shared" si="66"/>
        <v>0</v>
      </c>
      <c r="R210" s="884">
        <f>IF(AND($AR$39="Early Payoff",I210&gt;=$R$13),0,IF($I210&lt;=$R$6,SUM($P$20:$P210),0))</f>
        <v>0</v>
      </c>
      <c r="S210" s="884">
        <f>IF(AND($AR$39="Early Payoff",I210&gt;=$R$13),0,IF($I210&lt;=$R$6,SUM($Q$20:$Q210),0))</f>
        <v>0</v>
      </c>
      <c r="T210" s="873">
        <f t="shared" si="67"/>
        <v>0</v>
      </c>
      <c r="U210" s="1110">
        <f t="shared" si="68"/>
        <v>0</v>
      </c>
      <c r="W210" s="1102">
        <f t="shared" si="58"/>
        <v>0</v>
      </c>
      <c r="X210" s="873">
        <f t="shared" si="59"/>
        <v>0</v>
      </c>
      <c r="Y210" s="873">
        <f t="shared" si="60"/>
        <v>0</v>
      </c>
      <c r="Z210" s="885">
        <f t="shared" si="61"/>
        <v>0</v>
      </c>
    </row>
    <row r="211" spans="2:26" s="278" customFormat="1" ht="12" customHeight="1" x14ac:dyDescent="0.25">
      <c r="B211" s="1192">
        <f t="shared" si="69"/>
        <v>211</v>
      </c>
      <c r="C211" s="732">
        <f t="shared" si="53"/>
        <v>30</v>
      </c>
      <c r="D211" s="35">
        <f t="shared" si="54"/>
        <v>9</v>
      </c>
      <c r="E211" s="889">
        <f t="shared" si="72"/>
        <v>52504</v>
      </c>
      <c r="F211" s="822">
        <f t="shared" si="55"/>
        <v>9</v>
      </c>
      <c r="G211" s="126">
        <f t="shared" si="56"/>
        <v>0</v>
      </c>
      <c r="H211" s="1098">
        <f t="shared" si="73"/>
        <v>0</v>
      </c>
      <c r="I211" s="887">
        <f t="shared" si="70"/>
        <v>192</v>
      </c>
      <c r="J211" s="1099">
        <f t="shared" si="62"/>
        <v>192</v>
      </c>
      <c r="K211" s="891" t="str">
        <f t="shared" si="63"/>
        <v>September</v>
      </c>
      <c r="L211" s="888">
        <f t="shared" si="71"/>
        <v>2043</v>
      </c>
      <c r="M211" s="883">
        <f t="shared" si="64"/>
        <v>0</v>
      </c>
      <c r="N211" s="883">
        <f t="shared" si="65"/>
        <v>0</v>
      </c>
      <c r="O211" s="1100"/>
      <c r="P211" s="883">
        <f t="shared" si="57"/>
        <v>0</v>
      </c>
      <c r="Q211" s="884">
        <f t="shared" si="66"/>
        <v>0</v>
      </c>
      <c r="R211" s="884">
        <f>IF(AND($AR$39="Early Payoff",I211&gt;=$R$13),0,IF($I211&lt;=$R$6,SUM($P$20:$P211),0))</f>
        <v>0</v>
      </c>
      <c r="S211" s="884">
        <f>IF(AND($AR$39="Early Payoff",I211&gt;=$R$13),0,IF($I211&lt;=$R$6,SUM($Q$20:$Q211),0))</f>
        <v>0</v>
      </c>
      <c r="T211" s="873">
        <f t="shared" si="67"/>
        <v>0</v>
      </c>
      <c r="U211" s="1110">
        <f t="shared" si="68"/>
        <v>0</v>
      </c>
      <c r="W211" s="1102">
        <f t="shared" si="58"/>
        <v>0</v>
      </c>
      <c r="X211" s="873">
        <f t="shared" si="59"/>
        <v>0</v>
      </c>
      <c r="Y211" s="873">
        <f t="shared" si="60"/>
        <v>0</v>
      </c>
      <c r="Z211" s="885">
        <f t="shared" si="61"/>
        <v>0</v>
      </c>
    </row>
    <row r="212" spans="2:26" s="278" customFormat="1" ht="12" customHeight="1" x14ac:dyDescent="0.25">
      <c r="B212" s="1192">
        <f t="shared" si="69"/>
        <v>212</v>
      </c>
      <c r="C212" s="732">
        <f t="shared" ref="C212:C275" si="74">DAY(EOMONTH(DATE($L212,$D212,1),0))</f>
        <v>31</v>
      </c>
      <c r="D212" s="35">
        <f t="shared" ref="D212:D275" si="75">INDEX($AS$22:$AT$34,MATCH($K212,$AS$22:$AS$34,0),MATCH("Number",$AS$22:$AT$22,0))</f>
        <v>10</v>
      </c>
      <c r="E212" s="889">
        <f t="shared" si="72"/>
        <v>52535</v>
      </c>
      <c r="F212" s="822">
        <f t="shared" ref="F212:F275" si="76">INDEX($AS$22:$AT$34,MATCH($K212,$AS$22:$AS$34,0),MATCH("Number",$AS$22:$AT$22,0))</f>
        <v>10</v>
      </c>
      <c r="G212" s="126">
        <f t="shared" ref="G212:G275" si="77">IF($S$4="Monthly",INDEX($AS$36:$AT$48,MATCH($K212,$AS$36:$AS$48,0),MATCH("Number",$AS$36:$AT$36,0)),0)</f>
        <v>0</v>
      </c>
      <c r="H212" s="1098">
        <f t="shared" si="73"/>
        <v>0</v>
      </c>
      <c r="I212" s="887">
        <f t="shared" si="70"/>
        <v>193</v>
      </c>
      <c r="J212" s="1099">
        <f t="shared" si="62"/>
        <v>193</v>
      </c>
      <c r="K212" s="891" t="str">
        <f t="shared" si="63"/>
        <v>October</v>
      </c>
      <c r="L212" s="888">
        <f t="shared" si="71"/>
        <v>2043</v>
      </c>
      <c r="M212" s="883">
        <f t="shared" si="64"/>
        <v>0</v>
      </c>
      <c r="N212" s="883">
        <f t="shared" si="65"/>
        <v>0</v>
      </c>
      <c r="O212" s="1100"/>
      <c r="P212" s="883">
        <f t="shared" ref="P212:P275" si="78">IF(AND($AR$39="Early Payoff",I212&gt;=$R$13),0,IF($I212&gt;$R$6,0,IF(AND($AQ$29&gt;0,$I212&lt;=$AQ$29),0,+$N212-$Q212)))</f>
        <v>0</v>
      </c>
      <c r="Q212" s="884">
        <f t="shared" si="66"/>
        <v>0</v>
      </c>
      <c r="R212" s="884">
        <f>IF(AND($AR$39="Early Payoff",I212&gt;=$R$13),0,IF($I212&lt;=$R$6,SUM($P$20:$P212),0))</f>
        <v>0</v>
      </c>
      <c r="S212" s="884">
        <f>IF(AND($AR$39="Early Payoff",I212&gt;=$R$13),0,IF($I212&lt;=$R$6,SUM($Q$20:$Q212),0))</f>
        <v>0</v>
      </c>
      <c r="T212" s="873">
        <f t="shared" si="67"/>
        <v>0</v>
      </c>
      <c r="U212" s="1110">
        <f t="shared" si="68"/>
        <v>0</v>
      </c>
      <c r="W212" s="1102">
        <f t="shared" ref="W212:W275" si="79">IF($I212&gt;$R$6,0,IF($I212&lt;=$AQ$27,0,IF(AND($X$5="%/Payment",$Z$5=0),$N212*$Y$5,IF(AND($X$5="%/Payment",$Z$5&gt;0,($N212*$Y$5)&lt;$Z$5),$N212*$Y$5,IF(AND($X$5="%/Payment",$Z$5&gt;0,($N212*$Y$5)&gt;$Z$5),-$Z$5,IF(AND($X$5="%/Balance",$Z$5=0),-$T212*$Y$5,IF(AND($X$5="%/Balance",$Z$5&gt;0,($T212*$Y$5)&lt;$Z$5),-$T212*$Y$5,IF(AND($X$5="%/Balance",$Z$5&gt;0,($T212*$Y$5)&gt;$Z$5),-$Z$5,IF($X$5="Fixed Amount",-$Y$5,IF($X$5="N/A",0))))))))))</f>
        <v>0</v>
      </c>
      <c r="X212" s="873">
        <f t="shared" ref="X212:X275" si="80">IF($I212&gt;$R$6,0,IF($I212&lt;=$AQ$27,0,IF(AND($X$6="%/Payment",$Z$6=0),$N212*$Y$6,IF(AND($X$6="%/Payment",$Z$6&gt;0,($N212*$Y$6)&lt;$Z$6),$N212*$Y$6,IF(AND($X$6="%/Payment",$Z$6&gt;0,($N212*$Y$6)&gt;$Z$6),-$Z$6,IF(AND($X$6="%/Balance",$Z$6=0),-$T212*$Y$6,IF(AND($X$6="%/Balance",$Z$6&gt;0,($T212*$Y$6)&lt;$Z$6),-$T212*$Y$6,IF(AND($X$6="%/Balance",$Z$6&gt;0,($T212*$Y$6)&gt;$Z$6),-$Z$6,IF($X$6="Fixed Amount",-$Y$6,IF($X$6="N/A",0))))))))))</f>
        <v>0</v>
      </c>
      <c r="Y212" s="873">
        <f t="shared" ref="Y212:Y275" si="81">IF($I212&gt;$R$6,0,IF($I212&lt;=$AQ$27,0,IF(AND($X$7="%/Payment",$Z$7=0),$N212*$Y$7,IF(AND($X$7="%/Payment",$Z$7&gt;0,($N212*$Y$7)&lt;$Z$7),$N212*$Y$7,IF(AND($X$7="%/Payment",$Z$7&gt;0,($N212*$Y$7)&gt;$Z$7),-$Z$7,IF(AND($X$7="%/Balance",$Z$7=0),-$T212*$Y$7,IF(AND($X$7="%/Balance",$Z$7&gt;0,($T212*$Y$7)&lt;$Z$7),-$T212*$Y$7,IF(AND($X$7="%/Balance",$Z$7&gt;0,($N212*$Y$7)&gt;$Z$7),-$Z$7,IF($X$7="Fixed Amount",-$Y$7,IF($X$7="N/A",0))))))))))</f>
        <v>0</v>
      </c>
      <c r="Z212" s="885">
        <f t="shared" ref="Z212:Z275" si="82">SUM($N212,$W212:$Y212)</f>
        <v>0</v>
      </c>
    </row>
    <row r="213" spans="2:26" s="278" customFormat="1" ht="12" customHeight="1" x14ac:dyDescent="0.25">
      <c r="B213" s="1192">
        <f t="shared" si="69"/>
        <v>213</v>
      </c>
      <c r="C213" s="732">
        <f t="shared" si="74"/>
        <v>30</v>
      </c>
      <c r="D213" s="35">
        <f t="shared" si="75"/>
        <v>11</v>
      </c>
      <c r="E213" s="889">
        <f t="shared" si="72"/>
        <v>52565</v>
      </c>
      <c r="F213" s="822">
        <f t="shared" si="76"/>
        <v>11</v>
      </c>
      <c r="G213" s="126">
        <f t="shared" si="77"/>
        <v>0</v>
      </c>
      <c r="H213" s="1098">
        <f t="shared" si="73"/>
        <v>0</v>
      </c>
      <c r="I213" s="887">
        <f t="shared" si="70"/>
        <v>194</v>
      </c>
      <c r="J213" s="1099">
        <f t="shared" ref="J213:J276" si="83">IF($I213&lt;=$AQ$29,0,IF($I212&gt;=$AQ$29,$J212+1))</f>
        <v>194</v>
      </c>
      <c r="K213" s="891" t="str">
        <f t="shared" ref="K213:K276" si="84">IF($S$4="Annual",$Q$5,IF(AND($S$4="Bi-Annual",$F212&lt;MAX($Q$4,$R$4)),INDEX($AT$22:$AU$34,MATCH(MAX($Q$4,$R$4),$AT$22:$AT$34,0),MATCH("Month",$AT$22:$AU$22,0)),IF(AND($S$4="Bi-Annual",$F212=MAX($Q$4,$R$4)),INDEX($AT$22:$AU$34,MATCH(MIN($Q$4,$R$4),$AT$22:$AT$34,0),MATCH("Month",$AT$22:$AU$22,0)),IF(AND($S$4="Monthly",$F212&lt;12),INDEX($AT$22:$AU$34,MATCH($F212+1,$AT$22:$AT$34,0),MATCH("Month",$AT$22:$AU$22,0)),IF(AND($S$4="Monthly",$F212=12),INDEX($AT$22:$AU$34,MATCH($F212-11,$AT$22:$AT$34,0),MATCH("Month",$AT$22:$AU$22,0)))))))</f>
        <v>November</v>
      </c>
      <c r="L213" s="888">
        <f t="shared" si="71"/>
        <v>2043</v>
      </c>
      <c r="M213" s="883">
        <f t="shared" ref="M213:M276" si="85">IF(AND($AR$39="Early Payoff",$I213&gt;$R$13),0,IF(AND($AR$39="Early Payoff",$I213&lt;$R$13),$T212,IF($I213&gt;$R$6,0,$T212)))</f>
        <v>0</v>
      </c>
      <c r="N213" s="883">
        <f t="shared" ref="N213:N276" si="86">IF(AND($AR$39="Early Payoff",I213&gt;=$R$13),0,IF($I213&gt;$R$6,0,IF(AND($AQ$29&gt;=0,$I213&lt;=$AQ$29),0,IF(AND($AQ$27&gt;=0,$I213&lt;=$AQ$27),$Q213,IF(AND($S$4="Annual",$AQ$27&gt;=0,$AQ$29&gt;=0,$I213&gt;$AQ$27,$I213&gt;$AQ$29),PMT($L$7,($R$6-$AQ$27),$L$4),IF(AND($S$4="Bi-Annual",$AQ$27&gt;=0,$AQ$29&gt;=0,$I213&gt;$AQ$27,$I213&gt;$AQ$29),PMT($L$7/2,($R$6-$AQ$27),$L$4),IF(AND($S$4="Monthly",$AQ$27&gt;=0,$AQ$29&gt;=0,$I213&gt;$AQ$27,$I213&gt;$AQ$29),PMT($L$7/12,($R$6-$AQ$27),$L$4))))))))-O213</f>
        <v>0</v>
      </c>
      <c r="O213" s="1100"/>
      <c r="P213" s="883">
        <f t="shared" si="78"/>
        <v>0</v>
      </c>
      <c r="Q213" s="884">
        <f t="shared" ref="Q213:Q276" si="87">IF(AND($AR$39="Early Payoff",I213&gt;=$R$13),0,IF($S$4="Annual",-$L$7*$T212*1,IF($S$4="Bi-Annual",(-$L$7/2)*$T212*1,IF($S$4="Monthly",(-$L$7/12)*$T212*1))))</f>
        <v>0</v>
      </c>
      <c r="R213" s="884">
        <f>IF(AND($AR$39="Early Payoff",I213&gt;=$R$13),0,IF($I213&lt;=$R$6,SUM($P$20:$P213),0))</f>
        <v>0</v>
      </c>
      <c r="S213" s="884">
        <f>IF(AND($AR$39="Early Payoff",I213&gt;=$R$13),0,IF($I213&lt;=$R$6,SUM($Q$20:$Q213),0))</f>
        <v>0</v>
      </c>
      <c r="T213" s="873">
        <f t="shared" ref="T213:T276" si="88">IF($J213&lt;=$R$13,SUM($M213,$P213),0)</f>
        <v>0</v>
      </c>
      <c r="U213" s="1110">
        <f t="shared" ref="U213:U276" si="89">IF($S$4="Monthly",$M213,IF(AND(OR($S$4="Annual",$S$4="Bi-Annual"),$I213=$AQ$49),INDEX($I$19:$T$379,MATCH($AQ$49,$I$19:$I$2379,0),MATCH($T$19,$I$19:$T$19,0)),IF(AND(OR($S$4="Annual",$S$4="Bi-Annual"),$I213&lt;=$AQ$49),$M213,0)))</f>
        <v>0</v>
      </c>
      <c r="W213" s="1102">
        <f t="shared" si="79"/>
        <v>0</v>
      </c>
      <c r="X213" s="873">
        <f t="shared" si="80"/>
        <v>0</v>
      </c>
      <c r="Y213" s="873">
        <f t="shared" si="81"/>
        <v>0</v>
      </c>
      <c r="Z213" s="885">
        <f t="shared" si="82"/>
        <v>0</v>
      </c>
    </row>
    <row r="214" spans="2:26" s="278" customFormat="1" ht="12" customHeight="1" x14ac:dyDescent="0.25">
      <c r="B214" s="1192">
        <f t="shared" ref="B214:B277" si="90">B213+1</f>
        <v>214</v>
      </c>
      <c r="C214" s="732">
        <f t="shared" si="74"/>
        <v>31</v>
      </c>
      <c r="D214" s="35">
        <f t="shared" si="75"/>
        <v>12</v>
      </c>
      <c r="E214" s="889">
        <f t="shared" si="72"/>
        <v>52596</v>
      </c>
      <c r="F214" s="822">
        <f t="shared" si="76"/>
        <v>12</v>
      </c>
      <c r="G214" s="126">
        <f t="shared" si="77"/>
        <v>1</v>
      </c>
      <c r="H214" s="1098">
        <f t="shared" si="73"/>
        <v>0</v>
      </c>
      <c r="I214" s="887">
        <f t="shared" ref="I214:I277" si="91">I213+1</f>
        <v>195</v>
      </c>
      <c r="J214" s="1099">
        <f t="shared" si="83"/>
        <v>195</v>
      </c>
      <c r="K214" s="891" t="str">
        <f t="shared" si="84"/>
        <v>December</v>
      </c>
      <c r="L214" s="888">
        <f t="shared" ref="L214:L277" si="92">IF($S$4="Annual",$L213+$H214,IF($S$4="Bi-Annual",$L213+$H213,IF($S$4="Monthly",$L213+$G213)))</f>
        <v>2043</v>
      </c>
      <c r="M214" s="883">
        <f t="shared" si="85"/>
        <v>0</v>
      </c>
      <c r="N214" s="883">
        <f t="shared" si="86"/>
        <v>0</v>
      </c>
      <c r="O214" s="1100"/>
      <c r="P214" s="883">
        <f t="shared" si="78"/>
        <v>0</v>
      </c>
      <c r="Q214" s="884">
        <f t="shared" si="87"/>
        <v>0</v>
      </c>
      <c r="R214" s="884">
        <f>IF(AND($AR$39="Early Payoff",I214&gt;=$R$13),0,IF($I214&lt;=$R$6,SUM($P$20:$P214),0))</f>
        <v>0</v>
      </c>
      <c r="S214" s="884">
        <f>IF(AND($AR$39="Early Payoff",I214&gt;=$R$13),0,IF($I214&lt;=$R$6,SUM($Q$20:$Q214),0))</f>
        <v>0</v>
      </c>
      <c r="T214" s="873">
        <f t="shared" si="88"/>
        <v>0</v>
      </c>
      <c r="U214" s="1110">
        <f t="shared" si="89"/>
        <v>0</v>
      </c>
      <c r="W214" s="1102">
        <f t="shared" si="79"/>
        <v>0</v>
      </c>
      <c r="X214" s="873">
        <f t="shared" si="80"/>
        <v>0</v>
      </c>
      <c r="Y214" s="873">
        <f t="shared" si="81"/>
        <v>0</v>
      </c>
      <c r="Z214" s="885">
        <f t="shared" si="82"/>
        <v>0</v>
      </c>
    </row>
    <row r="215" spans="2:26" s="278" customFormat="1" ht="12" customHeight="1" x14ac:dyDescent="0.25">
      <c r="B215" s="1192">
        <f t="shared" si="90"/>
        <v>215</v>
      </c>
      <c r="C215" s="732">
        <f t="shared" si="74"/>
        <v>31</v>
      </c>
      <c r="D215" s="35">
        <f t="shared" si="75"/>
        <v>1</v>
      </c>
      <c r="E215" s="889">
        <f t="shared" ref="E215:E278" si="93">DATE(L215,D215,C215)</f>
        <v>52627</v>
      </c>
      <c r="F215" s="822">
        <f t="shared" si="76"/>
        <v>1</v>
      </c>
      <c r="G215" s="126">
        <f t="shared" si="77"/>
        <v>0</v>
      </c>
      <c r="H215" s="1098">
        <f t="shared" ref="H215:H278" si="94">IF($S$4="Annual",1,IF(AND($S$4="Bi-Annual",$F215&gt;$F216),1,IF(AND($S$4="Bi-Annual",$F215&lt;$F216),0,IF($S$4="Monthly",0,))))</f>
        <v>0</v>
      </c>
      <c r="I215" s="887">
        <f t="shared" si="91"/>
        <v>196</v>
      </c>
      <c r="J215" s="1099">
        <f t="shared" si="83"/>
        <v>196</v>
      </c>
      <c r="K215" s="891" t="str">
        <f t="shared" si="84"/>
        <v>January</v>
      </c>
      <c r="L215" s="888">
        <f t="shared" si="92"/>
        <v>2044</v>
      </c>
      <c r="M215" s="883">
        <f t="shared" si="85"/>
        <v>0</v>
      </c>
      <c r="N215" s="883">
        <f t="shared" si="86"/>
        <v>0</v>
      </c>
      <c r="O215" s="1100"/>
      <c r="P215" s="883">
        <f t="shared" si="78"/>
        <v>0</v>
      </c>
      <c r="Q215" s="884">
        <f t="shared" si="87"/>
        <v>0</v>
      </c>
      <c r="R215" s="884">
        <f>IF(AND($AR$39="Early Payoff",I215&gt;=$R$13),0,IF($I215&lt;=$R$6,SUM($P$20:$P215),0))</f>
        <v>0</v>
      </c>
      <c r="S215" s="884">
        <f>IF(AND($AR$39="Early Payoff",I215&gt;=$R$13),0,IF($I215&lt;=$R$6,SUM($Q$20:$Q215),0))</f>
        <v>0</v>
      </c>
      <c r="T215" s="873">
        <f t="shared" si="88"/>
        <v>0</v>
      </c>
      <c r="U215" s="1110">
        <f t="shared" si="89"/>
        <v>0</v>
      </c>
      <c r="W215" s="1102">
        <f t="shared" si="79"/>
        <v>0</v>
      </c>
      <c r="X215" s="873">
        <f t="shared" si="80"/>
        <v>0</v>
      </c>
      <c r="Y215" s="873">
        <f t="shared" si="81"/>
        <v>0</v>
      </c>
      <c r="Z215" s="885">
        <f t="shared" si="82"/>
        <v>0</v>
      </c>
    </row>
    <row r="216" spans="2:26" s="278" customFormat="1" ht="12" customHeight="1" x14ac:dyDescent="0.25">
      <c r="B216" s="1192">
        <f t="shared" si="90"/>
        <v>216</v>
      </c>
      <c r="C216" s="732">
        <f t="shared" si="74"/>
        <v>29</v>
      </c>
      <c r="D216" s="35">
        <f t="shared" si="75"/>
        <v>2</v>
      </c>
      <c r="E216" s="889">
        <f t="shared" si="93"/>
        <v>52656</v>
      </c>
      <c r="F216" s="822">
        <f t="shared" si="76"/>
        <v>2</v>
      </c>
      <c r="G216" s="126">
        <f t="shared" si="77"/>
        <v>0</v>
      </c>
      <c r="H216" s="1098">
        <f t="shared" si="94"/>
        <v>0</v>
      </c>
      <c r="I216" s="887">
        <f t="shared" si="91"/>
        <v>197</v>
      </c>
      <c r="J216" s="1099">
        <f t="shared" si="83"/>
        <v>197</v>
      </c>
      <c r="K216" s="891" t="str">
        <f t="shared" si="84"/>
        <v>February</v>
      </c>
      <c r="L216" s="888">
        <f t="shared" si="92"/>
        <v>2044</v>
      </c>
      <c r="M216" s="883">
        <f t="shared" si="85"/>
        <v>0</v>
      </c>
      <c r="N216" s="883">
        <f t="shared" si="86"/>
        <v>0</v>
      </c>
      <c r="O216" s="1100"/>
      <c r="P216" s="883">
        <f t="shared" si="78"/>
        <v>0</v>
      </c>
      <c r="Q216" s="884">
        <f t="shared" si="87"/>
        <v>0</v>
      </c>
      <c r="R216" s="884">
        <f>IF(AND($AR$39="Early Payoff",I216&gt;=$R$13),0,IF($I216&lt;=$R$6,SUM($P$20:$P216),0))</f>
        <v>0</v>
      </c>
      <c r="S216" s="884">
        <f>IF(AND($AR$39="Early Payoff",I216&gt;=$R$13),0,IF($I216&lt;=$R$6,SUM($Q$20:$Q216),0))</f>
        <v>0</v>
      </c>
      <c r="T216" s="873">
        <f t="shared" si="88"/>
        <v>0</v>
      </c>
      <c r="U216" s="1110">
        <f t="shared" si="89"/>
        <v>0</v>
      </c>
      <c r="W216" s="1102">
        <f t="shared" si="79"/>
        <v>0</v>
      </c>
      <c r="X216" s="873">
        <f t="shared" si="80"/>
        <v>0</v>
      </c>
      <c r="Y216" s="873">
        <f t="shared" si="81"/>
        <v>0</v>
      </c>
      <c r="Z216" s="885">
        <f t="shared" si="82"/>
        <v>0</v>
      </c>
    </row>
    <row r="217" spans="2:26" s="278" customFormat="1" ht="12" customHeight="1" x14ac:dyDescent="0.25">
      <c r="B217" s="1192">
        <f t="shared" si="90"/>
        <v>217</v>
      </c>
      <c r="C217" s="732">
        <f t="shared" si="74"/>
        <v>31</v>
      </c>
      <c r="D217" s="35">
        <f t="shared" si="75"/>
        <v>3</v>
      </c>
      <c r="E217" s="889">
        <f t="shared" si="93"/>
        <v>52687</v>
      </c>
      <c r="F217" s="822">
        <f t="shared" si="76"/>
        <v>3</v>
      </c>
      <c r="G217" s="126">
        <f t="shared" si="77"/>
        <v>0</v>
      </c>
      <c r="H217" s="1098">
        <f t="shared" si="94"/>
        <v>0</v>
      </c>
      <c r="I217" s="887">
        <f t="shared" si="91"/>
        <v>198</v>
      </c>
      <c r="J217" s="1099">
        <f t="shared" si="83"/>
        <v>198</v>
      </c>
      <c r="K217" s="891" t="str">
        <f t="shared" si="84"/>
        <v>March</v>
      </c>
      <c r="L217" s="888">
        <f t="shared" si="92"/>
        <v>2044</v>
      </c>
      <c r="M217" s="883">
        <f t="shared" si="85"/>
        <v>0</v>
      </c>
      <c r="N217" s="883">
        <f t="shared" si="86"/>
        <v>0</v>
      </c>
      <c r="O217" s="1100"/>
      <c r="P217" s="883">
        <f t="shared" si="78"/>
        <v>0</v>
      </c>
      <c r="Q217" s="884">
        <f t="shared" si="87"/>
        <v>0</v>
      </c>
      <c r="R217" s="884">
        <f>IF(AND($AR$39="Early Payoff",I217&gt;=$R$13),0,IF($I217&lt;=$R$6,SUM($P$20:$P217),0))</f>
        <v>0</v>
      </c>
      <c r="S217" s="884">
        <f>IF(AND($AR$39="Early Payoff",I217&gt;=$R$13),0,IF($I217&lt;=$R$6,SUM($Q$20:$Q217),0))</f>
        <v>0</v>
      </c>
      <c r="T217" s="873">
        <f t="shared" si="88"/>
        <v>0</v>
      </c>
      <c r="U217" s="1110">
        <f t="shared" si="89"/>
        <v>0</v>
      </c>
      <c r="W217" s="1102">
        <f t="shared" si="79"/>
        <v>0</v>
      </c>
      <c r="X217" s="873">
        <f t="shared" si="80"/>
        <v>0</v>
      </c>
      <c r="Y217" s="873">
        <f t="shared" si="81"/>
        <v>0</v>
      </c>
      <c r="Z217" s="885">
        <f t="shared" si="82"/>
        <v>0</v>
      </c>
    </row>
    <row r="218" spans="2:26" s="278" customFormat="1" ht="12" customHeight="1" x14ac:dyDescent="0.25">
      <c r="B218" s="1192">
        <f t="shared" si="90"/>
        <v>218</v>
      </c>
      <c r="C218" s="732">
        <f t="shared" si="74"/>
        <v>30</v>
      </c>
      <c r="D218" s="35">
        <f t="shared" si="75"/>
        <v>4</v>
      </c>
      <c r="E218" s="889">
        <f t="shared" si="93"/>
        <v>52717</v>
      </c>
      <c r="F218" s="822">
        <f t="shared" si="76"/>
        <v>4</v>
      </c>
      <c r="G218" s="126">
        <f t="shared" si="77"/>
        <v>0</v>
      </c>
      <c r="H218" s="1098">
        <f t="shared" si="94"/>
        <v>0</v>
      </c>
      <c r="I218" s="887">
        <f t="shared" si="91"/>
        <v>199</v>
      </c>
      <c r="J218" s="1099">
        <f t="shared" si="83"/>
        <v>199</v>
      </c>
      <c r="K218" s="891" t="str">
        <f t="shared" si="84"/>
        <v>April</v>
      </c>
      <c r="L218" s="888">
        <f t="shared" si="92"/>
        <v>2044</v>
      </c>
      <c r="M218" s="883">
        <f t="shared" si="85"/>
        <v>0</v>
      </c>
      <c r="N218" s="883">
        <f t="shared" si="86"/>
        <v>0</v>
      </c>
      <c r="O218" s="1100"/>
      <c r="P218" s="883">
        <f t="shared" si="78"/>
        <v>0</v>
      </c>
      <c r="Q218" s="884">
        <f t="shared" si="87"/>
        <v>0</v>
      </c>
      <c r="R218" s="884">
        <f>IF(AND($AR$39="Early Payoff",I218&gt;=$R$13),0,IF($I218&lt;=$R$6,SUM($P$20:$P218),0))</f>
        <v>0</v>
      </c>
      <c r="S218" s="884">
        <f>IF(AND($AR$39="Early Payoff",I218&gt;=$R$13),0,IF($I218&lt;=$R$6,SUM($Q$20:$Q218),0))</f>
        <v>0</v>
      </c>
      <c r="T218" s="873">
        <f t="shared" si="88"/>
        <v>0</v>
      </c>
      <c r="U218" s="1110">
        <f t="shared" si="89"/>
        <v>0</v>
      </c>
      <c r="W218" s="1102">
        <f t="shared" si="79"/>
        <v>0</v>
      </c>
      <c r="X218" s="873">
        <f t="shared" si="80"/>
        <v>0</v>
      </c>
      <c r="Y218" s="873">
        <f t="shared" si="81"/>
        <v>0</v>
      </c>
      <c r="Z218" s="885">
        <f t="shared" si="82"/>
        <v>0</v>
      </c>
    </row>
    <row r="219" spans="2:26" s="278" customFormat="1" ht="12" customHeight="1" x14ac:dyDescent="0.25">
      <c r="B219" s="1192">
        <f t="shared" si="90"/>
        <v>219</v>
      </c>
      <c r="C219" s="732">
        <f t="shared" si="74"/>
        <v>31</v>
      </c>
      <c r="D219" s="35">
        <f t="shared" si="75"/>
        <v>5</v>
      </c>
      <c r="E219" s="889">
        <f t="shared" si="93"/>
        <v>52748</v>
      </c>
      <c r="F219" s="822">
        <f t="shared" si="76"/>
        <v>5</v>
      </c>
      <c r="G219" s="126">
        <f t="shared" si="77"/>
        <v>0</v>
      </c>
      <c r="H219" s="1098">
        <f t="shared" si="94"/>
        <v>0</v>
      </c>
      <c r="I219" s="887">
        <f t="shared" si="91"/>
        <v>200</v>
      </c>
      <c r="J219" s="1099">
        <f t="shared" si="83"/>
        <v>200</v>
      </c>
      <c r="K219" s="891" t="str">
        <f t="shared" si="84"/>
        <v>May</v>
      </c>
      <c r="L219" s="888">
        <f t="shared" si="92"/>
        <v>2044</v>
      </c>
      <c r="M219" s="883">
        <f t="shared" si="85"/>
        <v>0</v>
      </c>
      <c r="N219" s="883">
        <f t="shared" si="86"/>
        <v>0</v>
      </c>
      <c r="O219" s="1100"/>
      <c r="P219" s="883">
        <f t="shared" si="78"/>
        <v>0</v>
      </c>
      <c r="Q219" s="884">
        <f t="shared" si="87"/>
        <v>0</v>
      </c>
      <c r="R219" s="884">
        <f>IF(AND($AR$39="Early Payoff",I219&gt;=$R$13),0,IF($I219&lt;=$R$6,SUM($P$20:$P219),0))</f>
        <v>0</v>
      </c>
      <c r="S219" s="884">
        <f>IF(AND($AR$39="Early Payoff",I219&gt;=$R$13),0,IF($I219&lt;=$R$6,SUM($Q$20:$Q219),0))</f>
        <v>0</v>
      </c>
      <c r="T219" s="873">
        <f t="shared" si="88"/>
        <v>0</v>
      </c>
      <c r="U219" s="1110">
        <f t="shared" si="89"/>
        <v>0</v>
      </c>
      <c r="W219" s="1102">
        <f t="shared" si="79"/>
        <v>0</v>
      </c>
      <c r="X219" s="873">
        <f t="shared" si="80"/>
        <v>0</v>
      </c>
      <c r="Y219" s="873">
        <f t="shared" si="81"/>
        <v>0</v>
      </c>
      <c r="Z219" s="885">
        <f t="shared" si="82"/>
        <v>0</v>
      </c>
    </row>
    <row r="220" spans="2:26" s="278" customFormat="1" ht="12" customHeight="1" x14ac:dyDescent="0.25">
      <c r="B220" s="1192">
        <f t="shared" si="90"/>
        <v>220</v>
      </c>
      <c r="C220" s="732">
        <f t="shared" si="74"/>
        <v>30</v>
      </c>
      <c r="D220" s="35">
        <f t="shared" si="75"/>
        <v>6</v>
      </c>
      <c r="E220" s="889">
        <f t="shared" si="93"/>
        <v>52778</v>
      </c>
      <c r="F220" s="822">
        <f t="shared" si="76"/>
        <v>6</v>
      </c>
      <c r="G220" s="126">
        <f t="shared" si="77"/>
        <v>0</v>
      </c>
      <c r="H220" s="1098">
        <f t="shared" si="94"/>
        <v>0</v>
      </c>
      <c r="I220" s="887">
        <f t="shared" si="91"/>
        <v>201</v>
      </c>
      <c r="J220" s="1099">
        <f t="shared" si="83"/>
        <v>201</v>
      </c>
      <c r="K220" s="891" t="str">
        <f t="shared" si="84"/>
        <v>June</v>
      </c>
      <c r="L220" s="888">
        <f t="shared" si="92"/>
        <v>2044</v>
      </c>
      <c r="M220" s="883">
        <f t="shared" si="85"/>
        <v>0</v>
      </c>
      <c r="N220" s="883">
        <f t="shared" si="86"/>
        <v>0</v>
      </c>
      <c r="O220" s="1100"/>
      <c r="P220" s="883">
        <f t="shared" si="78"/>
        <v>0</v>
      </c>
      <c r="Q220" s="884">
        <f t="shared" si="87"/>
        <v>0</v>
      </c>
      <c r="R220" s="884">
        <f>IF(AND($AR$39="Early Payoff",I220&gt;=$R$13),0,IF($I220&lt;=$R$6,SUM($P$20:$P220),0))</f>
        <v>0</v>
      </c>
      <c r="S220" s="884">
        <f>IF(AND($AR$39="Early Payoff",I220&gt;=$R$13),0,IF($I220&lt;=$R$6,SUM($Q$20:$Q220),0))</f>
        <v>0</v>
      </c>
      <c r="T220" s="873">
        <f t="shared" si="88"/>
        <v>0</v>
      </c>
      <c r="U220" s="1110">
        <f t="shared" si="89"/>
        <v>0</v>
      </c>
      <c r="W220" s="1102">
        <f t="shared" si="79"/>
        <v>0</v>
      </c>
      <c r="X220" s="873">
        <f t="shared" si="80"/>
        <v>0</v>
      </c>
      <c r="Y220" s="873">
        <f t="shared" si="81"/>
        <v>0</v>
      </c>
      <c r="Z220" s="885">
        <f t="shared" si="82"/>
        <v>0</v>
      </c>
    </row>
    <row r="221" spans="2:26" s="278" customFormat="1" ht="12" customHeight="1" x14ac:dyDescent="0.25">
      <c r="B221" s="1192">
        <f t="shared" si="90"/>
        <v>221</v>
      </c>
      <c r="C221" s="732">
        <f t="shared" si="74"/>
        <v>31</v>
      </c>
      <c r="D221" s="35">
        <f t="shared" si="75"/>
        <v>7</v>
      </c>
      <c r="E221" s="889">
        <f t="shared" si="93"/>
        <v>52809</v>
      </c>
      <c r="F221" s="822">
        <f t="shared" si="76"/>
        <v>7</v>
      </c>
      <c r="G221" s="126">
        <f t="shared" si="77"/>
        <v>0</v>
      </c>
      <c r="H221" s="1098">
        <f t="shared" si="94"/>
        <v>0</v>
      </c>
      <c r="I221" s="887">
        <f t="shared" si="91"/>
        <v>202</v>
      </c>
      <c r="J221" s="1099">
        <f t="shared" si="83"/>
        <v>202</v>
      </c>
      <c r="K221" s="891" t="str">
        <f t="shared" si="84"/>
        <v>July</v>
      </c>
      <c r="L221" s="888">
        <f t="shared" si="92"/>
        <v>2044</v>
      </c>
      <c r="M221" s="883">
        <f t="shared" si="85"/>
        <v>0</v>
      </c>
      <c r="N221" s="883">
        <f t="shared" si="86"/>
        <v>0</v>
      </c>
      <c r="O221" s="1100"/>
      <c r="P221" s="883">
        <f t="shared" si="78"/>
        <v>0</v>
      </c>
      <c r="Q221" s="884">
        <f t="shared" si="87"/>
        <v>0</v>
      </c>
      <c r="R221" s="884">
        <f>IF(AND($AR$39="Early Payoff",I221&gt;=$R$13),0,IF($I221&lt;=$R$6,SUM($P$20:$P221),0))</f>
        <v>0</v>
      </c>
      <c r="S221" s="884">
        <f>IF(AND($AR$39="Early Payoff",I221&gt;=$R$13),0,IF($I221&lt;=$R$6,SUM($Q$20:$Q221),0))</f>
        <v>0</v>
      </c>
      <c r="T221" s="873">
        <f t="shared" si="88"/>
        <v>0</v>
      </c>
      <c r="U221" s="1110">
        <f t="shared" si="89"/>
        <v>0</v>
      </c>
      <c r="W221" s="1102">
        <f t="shared" si="79"/>
        <v>0</v>
      </c>
      <c r="X221" s="873">
        <f t="shared" si="80"/>
        <v>0</v>
      </c>
      <c r="Y221" s="873">
        <f t="shared" si="81"/>
        <v>0</v>
      </c>
      <c r="Z221" s="885">
        <f t="shared" si="82"/>
        <v>0</v>
      </c>
    </row>
    <row r="222" spans="2:26" s="278" customFormat="1" ht="12" customHeight="1" x14ac:dyDescent="0.25">
      <c r="B222" s="1192">
        <f t="shared" si="90"/>
        <v>222</v>
      </c>
      <c r="C222" s="732">
        <f t="shared" si="74"/>
        <v>31</v>
      </c>
      <c r="D222" s="35">
        <f t="shared" si="75"/>
        <v>8</v>
      </c>
      <c r="E222" s="889">
        <f t="shared" si="93"/>
        <v>52840</v>
      </c>
      <c r="F222" s="822">
        <f t="shared" si="76"/>
        <v>8</v>
      </c>
      <c r="G222" s="126">
        <f t="shared" si="77"/>
        <v>0</v>
      </c>
      <c r="H222" s="1098">
        <f t="shared" si="94"/>
        <v>0</v>
      </c>
      <c r="I222" s="887">
        <f t="shared" si="91"/>
        <v>203</v>
      </c>
      <c r="J222" s="1099">
        <f t="shared" si="83"/>
        <v>203</v>
      </c>
      <c r="K222" s="891" t="str">
        <f t="shared" si="84"/>
        <v>August</v>
      </c>
      <c r="L222" s="888">
        <f t="shared" si="92"/>
        <v>2044</v>
      </c>
      <c r="M222" s="883">
        <f t="shared" si="85"/>
        <v>0</v>
      </c>
      <c r="N222" s="883">
        <f t="shared" si="86"/>
        <v>0</v>
      </c>
      <c r="O222" s="1100"/>
      <c r="P222" s="883">
        <f t="shared" si="78"/>
        <v>0</v>
      </c>
      <c r="Q222" s="884">
        <f t="shared" si="87"/>
        <v>0</v>
      </c>
      <c r="R222" s="884">
        <f>IF(AND($AR$39="Early Payoff",I222&gt;=$R$13),0,IF($I222&lt;=$R$6,SUM($P$20:$P222),0))</f>
        <v>0</v>
      </c>
      <c r="S222" s="884">
        <f>IF(AND($AR$39="Early Payoff",I222&gt;=$R$13),0,IF($I222&lt;=$R$6,SUM($Q$20:$Q222),0))</f>
        <v>0</v>
      </c>
      <c r="T222" s="873">
        <f t="shared" si="88"/>
        <v>0</v>
      </c>
      <c r="U222" s="1110">
        <f t="shared" si="89"/>
        <v>0</v>
      </c>
      <c r="W222" s="1102">
        <f t="shared" si="79"/>
        <v>0</v>
      </c>
      <c r="X222" s="873">
        <f t="shared" si="80"/>
        <v>0</v>
      </c>
      <c r="Y222" s="873">
        <f t="shared" si="81"/>
        <v>0</v>
      </c>
      <c r="Z222" s="885">
        <f t="shared" si="82"/>
        <v>0</v>
      </c>
    </row>
    <row r="223" spans="2:26" s="278" customFormat="1" ht="12" customHeight="1" x14ac:dyDescent="0.25">
      <c r="B223" s="1192">
        <f t="shared" si="90"/>
        <v>223</v>
      </c>
      <c r="C223" s="732">
        <f t="shared" si="74"/>
        <v>30</v>
      </c>
      <c r="D223" s="35">
        <f t="shared" si="75"/>
        <v>9</v>
      </c>
      <c r="E223" s="889">
        <f t="shared" si="93"/>
        <v>52870</v>
      </c>
      <c r="F223" s="822">
        <f t="shared" si="76"/>
        <v>9</v>
      </c>
      <c r="G223" s="126">
        <f t="shared" si="77"/>
        <v>0</v>
      </c>
      <c r="H223" s="1098">
        <f t="shared" si="94"/>
        <v>0</v>
      </c>
      <c r="I223" s="887">
        <f t="shared" si="91"/>
        <v>204</v>
      </c>
      <c r="J223" s="1099">
        <f t="shared" si="83"/>
        <v>204</v>
      </c>
      <c r="K223" s="891" t="str">
        <f t="shared" si="84"/>
        <v>September</v>
      </c>
      <c r="L223" s="888">
        <f t="shared" si="92"/>
        <v>2044</v>
      </c>
      <c r="M223" s="883">
        <f t="shared" si="85"/>
        <v>0</v>
      </c>
      <c r="N223" s="883">
        <f t="shared" si="86"/>
        <v>0</v>
      </c>
      <c r="O223" s="1100"/>
      <c r="P223" s="883">
        <f t="shared" si="78"/>
        <v>0</v>
      </c>
      <c r="Q223" s="884">
        <f t="shared" si="87"/>
        <v>0</v>
      </c>
      <c r="R223" s="884">
        <f>IF(AND($AR$39="Early Payoff",I223&gt;=$R$13),0,IF($I223&lt;=$R$6,SUM($P$20:$P223),0))</f>
        <v>0</v>
      </c>
      <c r="S223" s="884">
        <f>IF(AND($AR$39="Early Payoff",I223&gt;=$R$13),0,IF($I223&lt;=$R$6,SUM($Q$20:$Q223),0))</f>
        <v>0</v>
      </c>
      <c r="T223" s="873">
        <f t="shared" si="88"/>
        <v>0</v>
      </c>
      <c r="U223" s="1110">
        <f t="shared" si="89"/>
        <v>0</v>
      </c>
      <c r="W223" s="1102">
        <f t="shared" si="79"/>
        <v>0</v>
      </c>
      <c r="X223" s="873">
        <f t="shared" si="80"/>
        <v>0</v>
      </c>
      <c r="Y223" s="873">
        <f t="shared" si="81"/>
        <v>0</v>
      </c>
      <c r="Z223" s="885">
        <f t="shared" si="82"/>
        <v>0</v>
      </c>
    </row>
    <row r="224" spans="2:26" s="278" customFormat="1" ht="12" customHeight="1" x14ac:dyDescent="0.25">
      <c r="B224" s="1192">
        <f t="shared" si="90"/>
        <v>224</v>
      </c>
      <c r="C224" s="732">
        <f t="shared" si="74"/>
        <v>31</v>
      </c>
      <c r="D224" s="35">
        <f t="shared" si="75"/>
        <v>10</v>
      </c>
      <c r="E224" s="889">
        <f t="shared" si="93"/>
        <v>52901</v>
      </c>
      <c r="F224" s="822">
        <f t="shared" si="76"/>
        <v>10</v>
      </c>
      <c r="G224" s="126">
        <f t="shared" si="77"/>
        <v>0</v>
      </c>
      <c r="H224" s="1098">
        <f t="shared" si="94"/>
        <v>0</v>
      </c>
      <c r="I224" s="887">
        <f t="shared" si="91"/>
        <v>205</v>
      </c>
      <c r="J224" s="1099">
        <f t="shared" si="83"/>
        <v>205</v>
      </c>
      <c r="K224" s="891" t="str">
        <f t="shared" si="84"/>
        <v>October</v>
      </c>
      <c r="L224" s="888">
        <f t="shared" si="92"/>
        <v>2044</v>
      </c>
      <c r="M224" s="883">
        <f t="shared" si="85"/>
        <v>0</v>
      </c>
      <c r="N224" s="883">
        <f t="shared" si="86"/>
        <v>0</v>
      </c>
      <c r="O224" s="1100"/>
      <c r="P224" s="883">
        <f t="shared" si="78"/>
        <v>0</v>
      </c>
      <c r="Q224" s="884">
        <f t="shared" si="87"/>
        <v>0</v>
      </c>
      <c r="R224" s="884">
        <f>IF(AND($AR$39="Early Payoff",I224&gt;=$R$13),0,IF($I224&lt;=$R$6,SUM($P$20:$P224),0))</f>
        <v>0</v>
      </c>
      <c r="S224" s="884">
        <f>IF(AND($AR$39="Early Payoff",I224&gt;=$R$13),0,IF($I224&lt;=$R$6,SUM($Q$20:$Q224),0))</f>
        <v>0</v>
      </c>
      <c r="T224" s="873">
        <f t="shared" si="88"/>
        <v>0</v>
      </c>
      <c r="U224" s="1110">
        <f t="shared" si="89"/>
        <v>0</v>
      </c>
      <c r="W224" s="1102">
        <f t="shared" si="79"/>
        <v>0</v>
      </c>
      <c r="X224" s="873">
        <f t="shared" si="80"/>
        <v>0</v>
      </c>
      <c r="Y224" s="873">
        <f t="shared" si="81"/>
        <v>0</v>
      </c>
      <c r="Z224" s="885">
        <f t="shared" si="82"/>
        <v>0</v>
      </c>
    </row>
    <row r="225" spans="2:26" s="278" customFormat="1" ht="12" customHeight="1" x14ac:dyDescent="0.25">
      <c r="B225" s="1192">
        <f t="shared" si="90"/>
        <v>225</v>
      </c>
      <c r="C225" s="732">
        <f t="shared" si="74"/>
        <v>30</v>
      </c>
      <c r="D225" s="35">
        <f t="shared" si="75"/>
        <v>11</v>
      </c>
      <c r="E225" s="889">
        <f t="shared" si="93"/>
        <v>52931</v>
      </c>
      <c r="F225" s="822">
        <f t="shared" si="76"/>
        <v>11</v>
      </c>
      <c r="G225" s="126">
        <f t="shared" si="77"/>
        <v>0</v>
      </c>
      <c r="H225" s="1098">
        <f t="shared" si="94"/>
        <v>0</v>
      </c>
      <c r="I225" s="887">
        <f t="shared" si="91"/>
        <v>206</v>
      </c>
      <c r="J225" s="1099">
        <f t="shared" si="83"/>
        <v>206</v>
      </c>
      <c r="K225" s="891" t="str">
        <f t="shared" si="84"/>
        <v>November</v>
      </c>
      <c r="L225" s="888">
        <f t="shared" si="92"/>
        <v>2044</v>
      </c>
      <c r="M225" s="883">
        <f t="shared" si="85"/>
        <v>0</v>
      </c>
      <c r="N225" s="883">
        <f t="shared" si="86"/>
        <v>0</v>
      </c>
      <c r="O225" s="1100"/>
      <c r="P225" s="883">
        <f t="shared" si="78"/>
        <v>0</v>
      </c>
      <c r="Q225" s="884">
        <f t="shared" si="87"/>
        <v>0</v>
      </c>
      <c r="R225" s="884">
        <f>IF(AND($AR$39="Early Payoff",I225&gt;=$R$13),0,IF($I225&lt;=$R$6,SUM($P$20:$P225),0))</f>
        <v>0</v>
      </c>
      <c r="S225" s="884">
        <f>IF(AND($AR$39="Early Payoff",I225&gt;=$R$13),0,IF($I225&lt;=$R$6,SUM($Q$20:$Q225),0))</f>
        <v>0</v>
      </c>
      <c r="T225" s="873">
        <f t="shared" si="88"/>
        <v>0</v>
      </c>
      <c r="U225" s="1110">
        <f t="shared" si="89"/>
        <v>0</v>
      </c>
      <c r="W225" s="1102">
        <f t="shared" si="79"/>
        <v>0</v>
      </c>
      <c r="X225" s="873">
        <f t="shared" si="80"/>
        <v>0</v>
      </c>
      <c r="Y225" s="873">
        <f t="shared" si="81"/>
        <v>0</v>
      </c>
      <c r="Z225" s="885">
        <f t="shared" si="82"/>
        <v>0</v>
      </c>
    </row>
    <row r="226" spans="2:26" s="278" customFormat="1" ht="12" customHeight="1" x14ac:dyDescent="0.25">
      <c r="B226" s="1192">
        <f t="shared" si="90"/>
        <v>226</v>
      </c>
      <c r="C226" s="732">
        <f t="shared" si="74"/>
        <v>31</v>
      </c>
      <c r="D226" s="35">
        <f t="shared" si="75"/>
        <v>12</v>
      </c>
      <c r="E226" s="889">
        <f t="shared" si="93"/>
        <v>52962</v>
      </c>
      <c r="F226" s="822">
        <f t="shared" si="76"/>
        <v>12</v>
      </c>
      <c r="G226" s="126">
        <f t="shared" si="77"/>
        <v>1</v>
      </c>
      <c r="H226" s="1098">
        <f t="shared" si="94"/>
        <v>0</v>
      </c>
      <c r="I226" s="887">
        <f t="shared" si="91"/>
        <v>207</v>
      </c>
      <c r="J226" s="1099">
        <f t="shared" si="83"/>
        <v>207</v>
      </c>
      <c r="K226" s="891" t="str">
        <f t="shared" si="84"/>
        <v>December</v>
      </c>
      <c r="L226" s="888">
        <f t="shared" si="92"/>
        <v>2044</v>
      </c>
      <c r="M226" s="883">
        <f t="shared" si="85"/>
        <v>0</v>
      </c>
      <c r="N226" s="883">
        <f t="shared" si="86"/>
        <v>0</v>
      </c>
      <c r="O226" s="1100"/>
      <c r="P226" s="883">
        <f t="shared" si="78"/>
        <v>0</v>
      </c>
      <c r="Q226" s="884">
        <f t="shared" si="87"/>
        <v>0</v>
      </c>
      <c r="R226" s="884">
        <f>IF(AND($AR$39="Early Payoff",I226&gt;=$R$13),0,IF($I226&lt;=$R$6,SUM($P$20:$P226),0))</f>
        <v>0</v>
      </c>
      <c r="S226" s="884">
        <f>IF(AND($AR$39="Early Payoff",I226&gt;=$R$13),0,IF($I226&lt;=$R$6,SUM($Q$20:$Q226),0))</f>
        <v>0</v>
      </c>
      <c r="T226" s="873">
        <f t="shared" si="88"/>
        <v>0</v>
      </c>
      <c r="U226" s="1110">
        <f t="shared" si="89"/>
        <v>0</v>
      </c>
      <c r="W226" s="1102">
        <f t="shared" si="79"/>
        <v>0</v>
      </c>
      <c r="X226" s="873">
        <f t="shared" si="80"/>
        <v>0</v>
      </c>
      <c r="Y226" s="873">
        <f t="shared" si="81"/>
        <v>0</v>
      </c>
      <c r="Z226" s="885">
        <f t="shared" si="82"/>
        <v>0</v>
      </c>
    </row>
    <row r="227" spans="2:26" s="278" customFormat="1" ht="12" customHeight="1" x14ac:dyDescent="0.25">
      <c r="B227" s="1192">
        <f t="shared" si="90"/>
        <v>227</v>
      </c>
      <c r="C227" s="732">
        <f t="shared" si="74"/>
        <v>31</v>
      </c>
      <c r="D227" s="35">
        <f t="shared" si="75"/>
        <v>1</v>
      </c>
      <c r="E227" s="889">
        <f t="shared" si="93"/>
        <v>52993</v>
      </c>
      <c r="F227" s="822">
        <f t="shared" si="76"/>
        <v>1</v>
      </c>
      <c r="G227" s="126">
        <f t="shared" si="77"/>
        <v>0</v>
      </c>
      <c r="H227" s="1098">
        <f t="shared" si="94"/>
        <v>0</v>
      </c>
      <c r="I227" s="887">
        <f t="shared" si="91"/>
        <v>208</v>
      </c>
      <c r="J227" s="1099">
        <f t="shared" si="83"/>
        <v>208</v>
      </c>
      <c r="K227" s="891" t="str">
        <f t="shared" si="84"/>
        <v>January</v>
      </c>
      <c r="L227" s="888">
        <f t="shared" si="92"/>
        <v>2045</v>
      </c>
      <c r="M227" s="883">
        <f t="shared" si="85"/>
        <v>0</v>
      </c>
      <c r="N227" s="883">
        <f t="shared" si="86"/>
        <v>0</v>
      </c>
      <c r="O227" s="1100"/>
      <c r="P227" s="883">
        <f t="shared" si="78"/>
        <v>0</v>
      </c>
      <c r="Q227" s="884">
        <f t="shared" si="87"/>
        <v>0</v>
      </c>
      <c r="R227" s="884">
        <f>IF(AND($AR$39="Early Payoff",I227&gt;=$R$13),0,IF($I227&lt;=$R$6,SUM($P$20:$P227),0))</f>
        <v>0</v>
      </c>
      <c r="S227" s="884">
        <f>IF(AND($AR$39="Early Payoff",I227&gt;=$R$13),0,IF($I227&lt;=$R$6,SUM($Q$20:$Q227),0))</f>
        <v>0</v>
      </c>
      <c r="T227" s="873">
        <f t="shared" si="88"/>
        <v>0</v>
      </c>
      <c r="U227" s="1110">
        <f t="shared" si="89"/>
        <v>0</v>
      </c>
      <c r="W227" s="1102">
        <f t="shared" si="79"/>
        <v>0</v>
      </c>
      <c r="X227" s="873">
        <f t="shared" si="80"/>
        <v>0</v>
      </c>
      <c r="Y227" s="873">
        <f t="shared" si="81"/>
        <v>0</v>
      </c>
      <c r="Z227" s="885">
        <f t="shared" si="82"/>
        <v>0</v>
      </c>
    </row>
    <row r="228" spans="2:26" s="278" customFormat="1" ht="12" customHeight="1" x14ac:dyDescent="0.25">
      <c r="B228" s="1192">
        <f t="shared" si="90"/>
        <v>228</v>
      </c>
      <c r="C228" s="732">
        <f t="shared" si="74"/>
        <v>28</v>
      </c>
      <c r="D228" s="35">
        <f t="shared" si="75"/>
        <v>2</v>
      </c>
      <c r="E228" s="889">
        <f t="shared" si="93"/>
        <v>53021</v>
      </c>
      <c r="F228" s="822">
        <f t="shared" si="76"/>
        <v>2</v>
      </c>
      <c r="G228" s="126">
        <f t="shared" si="77"/>
        <v>0</v>
      </c>
      <c r="H228" s="1098">
        <f t="shared" si="94"/>
        <v>0</v>
      </c>
      <c r="I228" s="887">
        <f t="shared" si="91"/>
        <v>209</v>
      </c>
      <c r="J228" s="1099">
        <f t="shared" si="83"/>
        <v>209</v>
      </c>
      <c r="K228" s="891" t="str">
        <f t="shared" si="84"/>
        <v>February</v>
      </c>
      <c r="L228" s="888">
        <f t="shared" si="92"/>
        <v>2045</v>
      </c>
      <c r="M228" s="883">
        <f t="shared" si="85"/>
        <v>0</v>
      </c>
      <c r="N228" s="883">
        <f t="shared" si="86"/>
        <v>0</v>
      </c>
      <c r="O228" s="1100"/>
      <c r="P228" s="883">
        <f t="shared" si="78"/>
        <v>0</v>
      </c>
      <c r="Q228" s="884">
        <f t="shared" si="87"/>
        <v>0</v>
      </c>
      <c r="R228" s="884">
        <f>IF(AND($AR$39="Early Payoff",I228&gt;=$R$13),0,IF($I228&lt;=$R$6,SUM($P$20:$P228),0))</f>
        <v>0</v>
      </c>
      <c r="S228" s="884">
        <f>IF(AND($AR$39="Early Payoff",I228&gt;=$R$13),0,IF($I228&lt;=$R$6,SUM($Q$20:$Q228),0))</f>
        <v>0</v>
      </c>
      <c r="T228" s="873">
        <f t="shared" si="88"/>
        <v>0</v>
      </c>
      <c r="U228" s="1110">
        <f t="shared" si="89"/>
        <v>0</v>
      </c>
      <c r="W228" s="1102">
        <f t="shared" si="79"/>
        <v>0</v>
      </c>
      <c r="X228" s="873">
        <f t="shared" si="80"/>
        <v>0</v>
      </c>
      <c r="Y228" s="873">
        <f t="shared" si="81"/>
        <v>0</v>
      </c>
      <c r="Z228" s="885">
        <f t="shared" si="82"/>
        <v>0</v>
      </c>
    </row>
    <row r="229" spans="2:26" s="278" customFormat="1" ht="12" customHeight="1" x14ac:dyDescent="0.25">
      <c r="B229" s="1192">
        <f t="shared" si="90"/>
        <v>229</v>
      </c>
      <c r="C229" s="732">
        <f t="shared" si="74"/>
        <v>31</v>
      </c>
      <c r="D229" s="35">
        <f t="shared" si="75"/>
        <v>3</v>
      </c>
      <c r="E229" s="889">
        <f t="shared" si="93"/>
        <v>53052</v>
      </c>
      <c r="F229" s="822">
        <f t="shared" si="76"/>
        <v>3</v>
      </c>
      <c r="G229" s="126">
        <f t="shared" si="77"/>
        <v>0</v>
      </c>
      <c r="H229" s="1098">
        <f t="shared" si="94"/>
        <v>0</v>
      </c>
      <c r="I229" s="887">
        <f t="shared" si="91"/>
        <v>210</v>
      </c>
      <c r="J229" s="1099">
        <f t="shared" si="83"/>
        <v>210</v>
      </c>
      <c r="K229" s="891" t="str">
        <f t="shared" si="84"/>
        <v>March</v>
      </c>
      <c r="L229" s="888">
        <f t="shared" si="92"/>
        <v>2045</v>
      </c>
      <c r="M229" s="883">
        <f t="shared" si="85"/>
        <v>0</v>
      </c>
      <c r="N229" s="883">
        <f t="shared" si="86"/>
        <v>0</v>
      </c>
      <c r="O229" s="1100"/>
      <c r="P229" s="883">
        <f t="shared" si="78"/>
        <v>0</v>
      </c>
      <c r="Q229" s="884">
        <f t="shared" si="87"/>
        <v>0</v>
      </c>
      <c r="R229" s="884">
        <f>IF(AND($AR$39="Early Payoff",I229&gt;=$R$13),0,IF($I229&lt;=$R$6,SUM($P$20:$P229),0))</f>
        <v>0</v>
      </c>
      <c r="S229" s="884">
        <f>IF(AND($AR$39="Early Payoff",I229&gt;=$R$13),0,IF($I229&lt;=$R$6,SUM($Q$20:$Q229),0))</f>
        <v>0</v>
      </c>
      <c r="T229" s="873">
        <f t="shared" si="88"/>
        <v>0</v>
      </c>
      <c r="U229" s="1110">
        <f t="shared" si="89"/>
        <v>0</v>
      </c>
      <c r="W229" s="1102">
        <f t="shared" si="79"/>
        <v>0</v>
      </c>
      <c r="X229" s="873">
        <f t="shared" si="80"/>
        <v>0</v>
      </c>
      <c r="Y229" s="873">
        <f t="shared" si="81"/>
        <v>0</v>
      </c>
      <c r="Z229" s="885">
        <f t="shared" si="82"/>
        <v>0</v>
      </c>
    </row>
    <row r="230" spans="2:26" s="278" customFormat="1" ht="12" customHeight="1" x14ac:dyDescent="0.25">
      <c r="B230" s="1192">
        <f t="shared" si="90"/>
        <v>230</v>
      </c>
      <c r="C230" s="732">
        <f t="shared" si="74"/>
        <v>30</v>
      </c>
      <c r="D230" s="35">
        <f t="shared" si="75"/>
        <v>4</v>
      </c>
      <c r="E230" s="889">
        <f t="shared" si="93"/>
        <v>53082</v>
      </c>
      <c r="F230" s="822">
        <f t="shared" si="76"/>
        <v>4</v>
      </c>
      <c r="G230" s="126">
        <f t="shared" si="77"/>
        <v>0</v>
      </c>
      <c r="H230" s="1098">
        <f t="shared" si="94"/>
        <v>0</v>
      </c>
      <c r="I230" s="887">
        <f t="shared" si="91"/>
        <v>211</v>
      </c>
      <c r="J230" s="1099">
        <f t="shared" si="83"/>
        <v>211</v>
      </c>
      <c r="K230" s="891" t="str">
        <f t="shared" si="84"/>
        <v>April</v>
      </c>
      <c r="L230" s="888">
        <f t="shared" si="92"/>
        <v>2045</v>
      </c>
      <c r="M230" s="883">
        <f t="shared" si="85"/>
        <v>0</v>
      </c>
      <c r="N230" s="883">
        <f t="shared" si="86"/>
        <v>0</v>
      </c>
      <c r="O230" s="1100"/>
      <c r="P230" s="883">
        <f t="shared" si="78"/>
        <v>0</v>
      </c>
      <c r="Q230" s="884">
        <f t="shared" si="87"/>
        <v>0</v>
      </c>
      <c r="R230" s="884">
        <f>IF(AND($AR$39="Early Payoff",I230&gt;=$R$13),0,IF($I230&lt;=$R$6,SUM($P$20:$P230),0))</f>
        <v>0</v>
      </c>
      <c r="S230" s="884">
        <f>IF(AND($AR$39="Early Payoff",I230&gt;=$R$13),0,IF($I230&lt;=$R$6,SUM($Q$20:$Q230),0))</f>
        <v>0</v>
      </c>
      <c r="T230" s="873">
        <f t="shared" si="88"/>
        <v>0</v>
      </c>
      <c r="U230" s="1110">
        <f t="shared" si="89"/>
        <v>0</v>
      </c>
      <c r="W230" s="1102">
        <f t="shared" si="79"/>
        <v>0</v>
      </c>
      <c r="X230" s="873">
        <f t="shared" si="80"/>
        <v>0</v>
      </c>
      <c r="Y230" s="873">
        <f t="shared" si="81"/>
        <v>0</v>
      </c>
      <c r="Z230" s="885">
        <f t="shared" si="82"/>
        <v>0</v>
      </c>
    </row>
    <row r="231" spans="2:26" s="278" customFormat="1" ht="12" customHeight="1" x14ac:dyDescent="0.25">
      <c r="B231" s="1192">
        <f t="shared" si="90"/>
        <v>231</v>
      </c>
      <c r="C231" s="732">
        <f t="shared" si="74"/>
        <v>31</v>
      </c>
      <c r="D231" s="35">
        <f t="shared" si="75"/>
        <v>5</v>
      </c>
      <c r="E231" s="889">
        <f t="shared" si="93"/>
        <v>53113</v>
      </c>
      <c r="F231" s="822">
        <f t="shared" si="76"/>
        <v>5</v>
      </c>
      <c r="G231" s="126">
        <f t="shared" si="77"/>
        <v>0</v>
      </c>
      <c r="H231" s="1098">
        <f t="shared" si="94"/>
        <v>0</v>
      </c>
      <c r="I231" s="887">
        <f t="shared" si="91"/>
        <v>212</v>
      </c>
      <c r="J231" s="1099">
        <f t="shared" si="83"/>
        <v>212</v>
      </c>
      <c r="K231" s="891" t="str">
        <f t="shared" si="84"/>
        <v>May</v>
      </c>
      <c r="L231" s="888">
        <f t="shared" si="92"/>
        <v>2045</v>
      </c>
      <c r="M231" s="883">
        <f t="shared" si="85"/>
        <v>0</v>
      </c>
      <c r="N231" s="883">
        <f t="shared" si="86"/>
        <v>0</v>
      </c>
      <c r="O231" s="1100"/>
      <c r="P231" s="883">
        <f t="shared" si="78"/>
        <v>0</v>
      </c>
      <c r="Q231" s="884">
        <f t="shared" si="87"/>
        <v>0</v>
      </c>
      <c r="R231" s="884">
        <f>IF(AND($AR$39="Early Payoff",I231&gt;=$R$13),0,IF($I231&lt;=$R$6,SUM($P$20:$P231),0))</f>
        <v>0</v>
      </c>
      <c r="S231" s="884">
        <f>IF(AND($AR$39="Early Payoff",I231&gt;=$R$13),0,IF($I231&lt;=$R$6,SUM($Q$20:$Q231),0))</f>
        <v>0</v>
      </c>
      <c r="T231" s="873">
        <f t="shared" si="88"/>
        <v>0</v>
      </c>
      <c r="U231" s="1110">
        <f t="shared" si="89"/>
        <v>0</v>
      </c>
      <c r="W231" s="1102">
        <f t="shared" si="79"/>
        <v>0</v>
      </c>
      <c r="X231" s="873">
        <f t="shared" si="80"/>
        <v>0</v>
      </c>
      <c r="Y231" s="873">
        <f t="shared" si="81"/>
        <v>0</v>
      </c>
      <c r="Z231" s="885">
        <f t="shared" si="82"/>
        <v>0</v>
      </c>
    </row>
    <row r="232" spans="2:26" s="278" customFormat="1" ht="12" customHeight="1" x14ac:dyDescent="0.25">
      <c r="B232" s="1192">
        <f t="shared" si="90"/>
        <v>232</v>
      </c>
      <c r="C232" s="732">
        <f t="shared" si="74"/>
        <v>30</v>
      </c>
      <c r="D232" s="35">
        <f t="shared" si="75"/>
        <v>6</v>
      </c>
      <c r="E232" s="889">
        <f t="shared" si="93"/>
        <v>53143</v>
      </c>
      <c r="F232" s="822">
        <f t="shared" si="76"/>
        <v>6</v>
      </c>
      <c r="G232" s="126">
        <f t="shared" si="77"/>
        <v>0</v>
      </c>
      <c r="H232" s="1098">
        <f t="shared" si="94"/>
        <v>0</v>
      </c>
      <c r="I232" s="887">
        <f t="shared" si="91"/>
        <v>213</v>
      </c>
      <c r="J232" s="1099">
        <f t="shared" si="83"/>
        <v>213</v>
      </c>
      <c r="K232" s="891" t="str">
        <f t="shared" si="84"/>
        <v>June</v>
      </c>
      <c r="L232" s="888">
        <f t="shared" si="92"/>
        <v>2045</v>
      </c>
      <c r="M232" s="883">
        <f t="shared" si="85"/>
        <v>0</v>
      </c>
      <c r="N232" s="883">
        <f t="shared" si="86"/>
        <v>0</v>
      </c>
      <c r="O232" s="1100"/>
      <c r="P232" s="883">
        <f t="shared" si="78"/>
        <v>0</v>
      </c>
      <c r="Q232" s="884">
        <f t="shared" si="87"/>
        <v>0</v>
      </c>
      <c r="R232" s="884">
        <f>IF(AND($AR$39="Early Payoff",I232&gt;=$R$13),0,IF($I232&lt;=$R$6,SUM($P$20:$P232),0))</f>
        <v>0</v>
      </c>
      <c r="S232" s="884">
        <f>IF(AND($AR$39="Early Payoff",I232&gt;=$R$13),0,IF($I232&lt;=$R$6,SUM($Q$20:$Q232),0))</f>
        <v>0</v>
      </c>
      <c r="T232" s="873">
        <f t="shared" si="88"/>
        <v>0</v>
      </c>
      <c r="U232" s="1110">
        <f t="shared" si="89"/>
        <v>0</v>
      </c>
      <c r="W232" s="1102">
        <f t="shared" si="79"/>
        <v>0</v>
      </c>
      <c r="X232" s="873">
        <f t="shared" si="80"/>
        <v>0</v>
      </c>
      <c r="Y232" s="873">
        <f t="shared" si="81"/>
        <v>0</v>
      </c>
      <c r="Z232" s="885">
        <f t="shared" si="82"/>
        <v>0</v>
      </c>
    </row>
    <row r="233" spans="2:26" s="278" customFormat="1" ht="12" customHeight="1" x14ac:dyDescent="0.25">
      <c r="B233" s="1192">
        <f t="shared" si="90"/>
        <v>233</v>
      </c>
      <c r="C233" s="732">
        <f t="shared" si="74"/>
        <v>31</v>
      </c>
      <c r="D233" s="35">
        <f t="shared" si="75"/>
        <v>7</v>
      </c>
      <c r="E233" s="889">
        <f t="shared" si="93"/>
        <v>53174</v>
      </c>
      <c r="F233" s="822">
        <f t="shared" si="76"/>
        <v>7</v>
      </c>
      <c r="G233" s="126">
        <f t="shared" si="77"/>
        <v>0</v>
      </c>
      <c r="H233" s="1098">
        <f t="shared" si="94"/>
        <v>0</v>
      </c>
      <c r="I233" s="887">
        <f t="shared" si="91"/>
        <v>214</v>
      </c>
      <c r="J233" s="1099">
        <f t="shared" si="83"/>
        <v>214</v>
      </c>
      <c r="K233" s="891" t="str">
        <f t="shared" si="84"/>
        <v>July</v>
      </c>
      <c r="L233" s="888">
        <f t="shared" si="92"/>
        <v>2045</v>
      </c>
      <c r="M233" s="883">
        <f t="shared" si="85"/>
        <v>0</v>
      </c>
      <c r="N233" s="883">
        <f t="shared" si="86"/>
        <v>0</v>
      </c>
      <c r="O233" s="1100"/>
      <c r="P233" s="883">
        <f t="shared" si="78"/>
        <v>0</v>
      </c>
      <c r="Q233" s="884">
        <f t="shared" si="87"/>
        <v>0</v>
      </c>
      <c r="R233" s="884">
        <f>IF(AND($AR$39="Early Payoff",I233&gt;=$R$13),0,IF($I233&lt;=$R$6,SUM($P$20:$P233),0))</f>
        <v>0</v>
      </c>
      <c r="S233" s="884">
        <f>IF(AND($AR$39="Early Payoff",I233&gt;=$R$13),0,IF($I233&lt;=$R$6,SUM($Q$20:$Q233),0))</f>
        <v>0</v>
      </c>
      <c r="T233" s="873">
        <f t="shared" si="88"/>
        <v>0</v>
      </c>
      <c r="U233" s="1110">
        <f t="shared" si="89"/>
        <v>0</v>
      </c>
      <c r="W233" s="1102">
        <f t="shared" si="79"/>
        <v>0</v>
      </c>
      <c r="X233" s="873">
        <f t="shared" si="80"/>
        <v>0</v>
      </c>
      <c r="Y233" s="873">
        <f t="shared" si="81"/>
        <v>0</v>
      </c>
      <c r="Z233" s="885">
        <f t="shared" si="82"/>
        <v>0</v>
      </c>
    </row>
    <row r="234" spans="2:26" s="278" customFormat="1" ht="12" customHeight="1" x14ac:dyDescent="0.25">
      <c r="B234" s="1192">
        <f t="shared" si="90"/>
        <v>234</v>
      </c>
      <c r="C234" s="732">
        <f t="shared" si="74"/>
        <v>31</v>
      </c>
      <c r="D234" s="35">
        <f t="shared" si="75"/>
        <v>8</v>
      </c>
      <c r="E234" s="889">
        <f t="shared" si="93"/>
        <v>53205</v>
      </c>
      <c r="F234" s="822">
        <f t="shared" si="76"/>
        <v>8</v>
      </c>
      <c r="G234" s="126">
        <f t="shared" si="77"/>
        <v>0</v>
      </c>
      <c r="H234" s="1098">
        <f t="shared" si="94"/>
        <v>0</v>
      </c>
      <c r="I234" s="887">
        <f t="shared" si="91"/>
        <v>215</v>
      </c>
      <c r="J234" s="1099">
        <f t="shared" si="83"/>
        <v>215</v>
      </c>
      <c r="K234" s="891" t="str">
        <f t="shared" si="84"/>
        <v>August</v>
      </c>
      <c r="L234" s="888">
        <f t="shared" si="92"/>
        <v>2045</v>
      </c>
      <c r="M234" s="883">
        <f t="shared" si="85"/>
        <v>0</v>
      </c>
      <c r="N234" s="883">
        <f t="shared" si="86"/>
        <v>0</v>
      </c>
      <c r="O234" s="1100"/>
      <c r="P234" s="883">
        <f t="shared" si="78"/>
        <v>0</v>
      </c>
      <c r="Q234" s="884">
        <f t="shared" si="87"/>
        <v>0</v>
      </c>
      <c r="R234" s="884">
        <f>IF(AND($AR$39="Early Payoff",I234&gt;=$R$13),0,IF($I234&lt;=$R$6,SUM($P$20:$P234),0))</f>
        <v>0</v>
      </c>
      <c r="S234" s="884">
        <f>IF(AND($AR$39="Early Payoff",I234&gt;=$R$13),0,IF($I234&lt;=$R$6,SUM($Q$20:$Q234),0))</f>
        <v>0</v>
      </c>
      <c r="T234" s="873">
        <f t="shared" si="88"/>
        <v>0</v>
      </c>
      <c r="U234" s="1110">
        <f t="shared" si="89"/>
        <v>0</v>
      </c>
      <c r="W234" s="1102">
        <f t="shared" si="79"/>
        <v>0</v>
      </c>
      <c r="X234" s="873">
        <f t="shared" si="80"/>
        <v>0</v>
      </c>
      <c r="Y234" s="873">
        <f t="shared" si="81"/>
        <v>0</v>
      </c>
      <c r="Z234" s="885">
        <f t="shared" si="82"/>
        <v>0</v>
      </c>
    </row>
    <row r="235" spans="2:26" s="278" customFormat="1" ht="12" customHeight="1" x14ac:dyDescent="0.25">
      <c r="B235" s="1192">
        <f t="shared" si="90"/>
        <v>235</v>
      </c>
      <c r="C235" s="732">
        <f t="shared" si="74"/>
        <v>30</v>
      </c>
      <c r="D235" s="35">
        <f t="shared" si="75"/>
        <v>9</v>
      </c>
      <c r="E235" s="889">
        <f t="shared" si="93"/>
        <v>53235</v>
      </c>
      <c r="F235" s="822">
        <f t="shared" si="76"/>
        <v>9</v>
      </c>
      <c r="G235" s="126">
        <f t="shared" si="77"/>
        <v>0</v>
      </c>
      <c r="H235" s="1098">
        <f t="shared" si="94"/>
        <v>0</v>
      </c>
      <c r="I235" s="887">
        <f t="shared" si="91"/>
        <v>216</v>
      </c>
      <c r="J235" s="1099">
        <f t="shared" si="83"/>
        <v>216</v>
      </c>
      <c r="K235" s="891" t="str">
        <f t="shared" si="84"/>
        <v>September</v>
      </c>
      <c r="L235" s="888">
        <f t="shared" si="92"/>
        <v>2045</v>
      </c>
      <c r="M235" s="883">
        <f t="shared" si="85"/>
        <v>0</v>
      </c>
      <c r="N235" s="883">
        <f t="shared" si="86"/>
        <v>0</v>
      </c>
      <c r="O235" s="1100"/>
      <c r="P235" s="883">
        <f t="shared" si="78"/>
        <v>0</v>
      </c>
      <c r="Q235" s="884">
        <f t="shared" si="87"/>
        <v>0</v>
      </c>
      <c r="R235" s="884">
        <f>IF(AND($AR$39="Early Payoff",I235&gt;=$R$13),0,IF($I235&lt;=$R$6,SUM($P$20:$P235),0))</f>
        <v>0</v>
      </c>
      <c r="S235" s="884">
        <f>IF(AND($AR$39="Early Payoff",I235&gt;=$R$13),0,IF($I235&lt;=$R$6,SUM($Q$20:$Q235),0))</f>
        <v>0</v>
      </c>
      <c r="T235" s="873">
        <f t="shared" si="88"/>
        <v>0</v>
      </c>
      <c r="U235" s="1110">
        <f t="shared" si="89"/>
        <v>0</v>
      </c>
      <c r="W235" s="1102">
        <f t="shared" si="79"/>
        <v>0</v>
      </c>
      <c r="X235" s="873">
        <f t="shared" si="80"/>
        <v>0</v>
      </c>
      <c r="Y235" s="873">
        <f t="shared" si="81"/>
        <v>0</v>
      </c>
      <c r="Z235" s="885">
        <f t="shared" si="82"/>
        <v>0</v>
      </c>
    </row>
    <row r="236" spans="2:26" s="278" customFormat="1" ht="12" customHeight="1" x14ac:dyDescent="0.25">
      <c r="B236" s="1192">
        <f t="shared" si="90"/>
        <v>236</v>
      </c>
      <c r="C236" s="732">
        <f t="shared" si="74"/>
        <v>31</v>
      </c>
      <c r="D236" s="35">
        <f t="shared" si="75"/>
        <v>10</v>
      </c>
      <c r="E236" s="889">
        <f t="shared" si="93"/>
        <v>53266</v>
      </c>
      <c r="F236" s="822">
        <f t="shared" si="76"/>
        <v>10</v>
      </c>
      <c r="G236" s="126">
        <f t="shared" si="77"/>
        <v>0</v>
      </c>
      <c r="H236" s="1098">
        <f t="shared" si="94"/>
        <v>0</v>
      </c>
      <c r="I236" s="887">
        <f t="shared" si="91"/>
        <v>217</v>
      </c>
      <c r="J236" s="1099">
        <f t="shared" si="83"/>
        <v>217</v>
      </c>
      <c r="K236" s="891" t="str">
        <f t="shared" si="84"/>
        <v>October</v>
      </c>
      <c r="L236" s="888">
        <f t="shared" si="92"/>
        <v>2045</v>
      </c>
      <c r="M236" s="883">
        <f t="shared" si="85"/>
        <v>0</v>
      </c>
      <c r="N236" s="883">
        <f t="shared" si="86"/>
        <v>0</v>
      </c>
      <c r="O236" s="1100"/>
      <c r="P236" s="883">
        <f t="shared" si="78"/>
        <v>0</v>
      </c>
      <c r="Q236" s="884">
        <f t="shared" si="87"/>
        <v>0</v>
      </c>
      <c r="R236" s="884">
        <f>IF(AND($AR$39="Early Payoff",I236&gt;=$R$13),0,IF($I236&lt;=$R$6,SUM($P$20:$P236),0))</f>
        <v>0</v>
      </c>
      <c r="S236" s="884">
        <f>IF(AND($AR$39="Early Payoff",I236&gt;=$R$13),0,IF($I236&lt;=$R$6,SUM($Q$20:$Q236),0))</f>
        <v>0</v>
      </c>
      <c r="T236" s="873">
        <f t="shared" si="88"/>
        <v>0</v>
      </c>
      <c r="U236" s="1110">
        <f t="shared" si="89"/>
        <v>0</v>
      </c>
      <c r="W236" s="1102">
        <f t="shared" si="79"/>
        <v>0</v>
      </c>
      <c r="X236" s="873">
        <f t="shared" si="80"/>
        <v>0</v>
      </c>
      <c r="Y236" s="873">
        <f t="shared" si="81"/>
        <v>0</v>
      </c>
      <c r="Z236" s="885">
        <f t="shared" si="82"/>
        <v>0</v>
      </c>
    </row>
    <row r="237" spans="2:26" s="278" customFormat="1" ht="12" customHeight="1" x14ac:dyDescent="0.25">
      <c r="B237" s="1192">
        <f t="shared" si="90"/>
        <v>237</v>
      </c>
      <c r="C237" s="732">
        <f t="shared" si="74"/>
        <v>30</v>
      </c>
      <c r="D237" s="35">
        <f t="shared" si="75"/>
        <v>11</v>
      </c>
      <c r="E237" s="889">
        <f t="shared" si="93"/>
        <v>53296</v>
      </c>
      <c r="F237" s="822">
        <f t="shared" si="76"/>
        <v>11</v>
      </c>
      <c r="G237" s="126">
        <f t="shared" si="77"/>
        <v>0</v>
      </c>
      <c r="H237" s="1098">
        <f t="shared" si="94"/>
        <v>0</v>
      </c>
      <c r="I237" s="887">
        <f t="shared" si="91"/>
        <v>218</v>
      </c>
      <c r="J237" s="1099">
        <f t="shared" si="83"/>
        <v>218</v>
      </c>
      <c r="K237" s="891" t="str">
        <f t="shared" si="84"/>
        <v>November</v>
      </c>
      <c r="L237" s="888">
        <f t="shared" si="92"/>
        <v>2045</v>
      </c>
      <c r="M237" s="883">
        <f t="shared" si="85"/>
        <v>0</v>
      </c>
      <c r="N237" s="883">
        <f t="shared" si="86"/>
        <v>0</v>
      </c>
      <c r="O237" s="1100"/>
      <c r="P237" s="883">
        <f t="shared" si="78"/>
        <v>0</v>
      </c>
      <c r="Q237" s="884">
        <f t="shared" si="87"/>
        <v>0</v>
      </c>
      <c r="R237" s="884">
        <f>IF(AND($AR$39="Early Payoff",I237&gt;=$R$13),0,IF($I237&lt;=$R$6,SUM($P$20:$P237),0))</f>
        <v>0</v>
      </c>
      <c r="S237" s="884">
        <f>IF(AND($AR$39="Early Payoff",I237&gt;=$R$13),0,IF($I237&lt;=$R$6,SUM($Q$20:$Q237),0))</f>
        <v>0</v>
      </c>
      <c r="T237" s="873">
        <f t="shared" si="88"/>
        <v>0</v>
      </c>
      <c r="U237" s="1110">
        <f t="shared" si="89"/>
        <v>0</v>
      </c>
      <c r="W237" s="1102">
        <f t="shared" si="79"/>
        <v>0</v>
      </c>
      <c r="X237" s="873">
        <f t="shared" si="80"/>
        <v>0</v>
      </c>
      <c r="Y237" s="873">
        <f t="shared" si="81"/>
        <v>0</v>
      </c>
      <c r="Z237" s="885">
        <f t="shared" si="82"/>
        <v>0</v>
      </c>
    </row>
    <row r="238" spans="2:26" s="278" customFormat="1" ht="12" customHeight="1" x14ac:dyDescent="0.25">
      <c r="B238" s="1192">
        <f t="shared" si="90"/>
        <v>238</v>
      </c>
      <c r="C238" s="732">
        <f t="shared" si="74"/>
        <v>31</v>
      </c>
      <c r="D238" s="35">
        <f t="shared" si="75"/>
        <v>12</v>
      </c>
      <c r="E238" s="889">
        <f t="shared" si="93"/>
        <v>53327</v>
      </c>
      <c r="F238" s="822">
        <f t="shared" si="76"/>
        <v>12</v>
      </c>
      <c r="G238" s="126">
        <f t="shared" si="77"/>
        <v>1</v>
      </c>
      <c r="H238" s="1098">
        <f t="shared" si="94"/>
        <v>0</v>
      </c>
      <c r="I238" s="887">
        <f t="shared" si="91"/>
        <v>219</v>
      </c>
      <c r="J238" s="1099">
        <f t="shared" si="83"/>
        <v>219</v>
      </c>
      <c r="K238" s="891" t="str">
        <f t="shared" si="84"/>
        <v>December</v>
      </c>
      <c r="L238" s="888">
        <f t="shared" si="92"/>
        <v>2045</v>
      </c>
      <c r="M238" s="883">
        <f t="shared" si="85"/>
        <v>0</v>
      </c>
      <c r="N238" s="883">
        <f t="shared" si="86"/>
        <v>0</v>
      </c>
      <c r="O238" s="1100"/>
      <c r="P238" s="883">
        <f t="shared" si="78"/>
        <v>0</v>
      </c>
      <c r="Q238" s="884">
        <f t="shared" si="87"/>
        <v>0</v>
      </c>
      <c r="R238" s="884">
        <f>IF(AND($AR$39="Early Payoff",I238&gt;=$R$13),0,IF($I238&lt;=$R$6,SUM($P$20:$P238),0))</f>
        <v>0</v>
      </c>
      <c r="S238" s="884">
        <f>IF(AND($AR$39="Early Payoff",I238&gt;=$R$13),0,IF($I238&lt;=$R$6,SUM($Q$20:$Q238),0))</f>
        <v>0</v>
      </c>
      <c r="T238" s="873">
        <f t="shared" si="88"/>
        <v>0</v>
      </c>
      <c r="U238" s="1110">
        <f t="shared" si="89"/>
        <v>0</v>
      </c>
      <c r="W238" s="1102">
        <f t="shared" si="79"/>
        <v>0</v>
      </c>
      <c r="X238" s="873">
        <f t="shared" si="80"/>
        <v>0</v>
      </c>
      <c r="Y238" s="873">
        <f t="shared" si="81"/>
        <v>0</v>
      </c>
      <c r="Z238" s="885">
        <f t="shared" si="82"/>
        <v>0</v>
      </c>
    </row>
    <row r="239" spans="2:26" s="278" customFormat="1" ht="12" customHeight="1" x14ac:dyDescent="0.25">
      <c r="B239" s="1192">
        <f t="shared" si="90"/>
        <v>239</v>
      </c>
      <c r="C239" s="732">
        <f t="shared" si="74"/>
        <v>31</v>
      </c>
      <c r="D239" s="35">
        <f t="shared" si="75"/>
        <v>1</v>
      </c>
      <c r="E239" s="889">
        <f t="shared" si="93"/>
        <v>53358</v>
      </c>
      <c r="F239" s="822">
        <f t="shared" si="76"/>
        <v>1</v>
      </c>
      <c r="G239" s="126">
        <f t="shared" si="77"/>
        <v>0</v>
      </c>
      <c r="H239" s="1098">
        <f t="shared" si="94"/>
        <v>0</v>
      </c>
      <c r="I239" s="887">
        <f t="shared" si="91"/>
        <v>220</v>
      </c>
      <c r="J239" s="1099">
        <f t="shared" si="83"/>
        <v>220</v>
      </c>
      <c r="K239" s="891" t="str">
        <f t="shared" si="84"/>
        <v>January</v>
      </c>
      <c r="L239" s="888">
        <f t="shared" si="92"/>
        <v>2046</v>
      </c>
      <c r="M239" s="883">
        <f t="shared" si="85"/>
        <v>0</v>
      </c>
      <c r="N239" s="883">
        <f t="shared" si="86"/>
        <v>0</v>
      </c>
      <c r="O239" s="1100"/>
      <c r="P239" s="883">
        <f t="shared" si="78"/>
        <v>0</v>
      </c>
      <c r="Q239" s="884">
        <f t="shared" si="87"/>
        <v>0</v>
      </c>
      <c r="R239" s="884">
        <f>IF(AND($AR$39="Early Payoff",I239&gt;=$R$13),0,IF($I239&lt;=$R$6,SUM($P$20:$P239),0))</f>
        <v>0</v>
      </c>
      <c r="S239" s="884">
        <f>IF(AND($AR$39="Early Payoff",I239&gt;=$R$13),0,IF($I239&lt;=$R$6,SUM($Q$20:$Q239),0))</f>
        <v>0</v>
      </c>
      <c r="T239" s="873">
        <f t="shared" si="88"/>
        <v>0</v>
      </c>
      <c r="U239" s="1110">
        <f t="shared" si="89"/>
        <v>0</v>
      </c>
      <c r="W239" s="1102">
        <f t="shared" si="79"/>
        <v>0</v>
      </c>
      <c r="X239" s="873">
        <f t="shared" si="80"/>
        <v>0</v>
      </c>
      <c r="Y239" s="873">
        <f t="shared" si="81"/>
        <v>0</v>
      </c>
      <c r="Z239" s="885">
        <f t="shared" si="82"/>
        <v>0</v>
      </c>
    </row>
    <row r="240" spans="2:26" s="278" customFormat="1" ht="12" customHeight="1" x14ac:dyDescent="0.25">
      <c r="B240" s="1192">
        <f t="shared" si="90"/>
        <v>240</v>
      </c>
      <c r="C240" s="732">
        <f t="shared" si="74"/>
        <v>28</v>
      </c>
      <c r="D240" s="35">
        <f t="shared" si="75"/>
        <v>2</v>
      </c>
      <c r="E240" s="889">
        <f t="shared" si="93"/>
        <v>53386</v>
      </c>
      <c r="F240" s="822">
        <f t="shared" si="76"/>
        <v>2</v>
      </c>
      <c r="G240" s="126">
        <f t="shared" si="77"/>
        <v>0</v>
      </c>
      <c r="H240" s="1098">
        <f t="shared" si="94"/>
        <v>0</v>
      </c>
      <c r="I240" s="887">
        <f t="shared" si="91"/>
        <v>221</v>
      </c>
      <c r="J240" s="1099">
        <f t="shared" si="83"/>
        <v>221</v>
      </c>
      <c r="K240" s="891" t="str">
        <f t="shared" si="84"/>
        <v>February</v>
      </c>
      <c r="L240" s="888">
        <f t="shared" si="92"/>
        <v>2046</v>
      </c>
      <c r="M240" s="883">
        <f t="shared" si="85"/>
        <v>0</v>
      </c>
      <c r="N240" s="883">
        <f t="shared" si="86"/>
        <v>0</v>
      </c>
      <c r="O240" s="1100"/>
      <c r="P240" s="883">
        <f t="shared" si="78"/>
        <v>0</v>
      </c>
      <c r="Q240" s="884">
        <f t="shared" si="87"/>
        <v>0</v>
      </c>
      <c r="R240" s="884">
        <f>IF(AND($AR$39="Early Payoff",I240&gt;=$R$13),0,IF($I240&lt;=$R$6,SUM($P$20:$P240),0))</f>
        <v>0</v>
      </c>
      <c r="S240" s="884">
        <f>IF(AND($AR$39="Early Payoff",I240&gt;=$R$13),0,IF($I240&lt;=$R$6,SUM($Q$20:$Q240),0))</f>
        <v>0</v>
      </c>
      <c r="T240" s="873">
        <f t="shared" si="88"/>
        <v>0</v>
      </c>
      <c r="U240" s="1110">
        <f t="shared" si="89"/>
        <v>0</v>
      </c>
      <c r="W240" s="1102">
        <f t="shared" si="79"/>
        <v>0</v>
      </c>
      <c r="X240" s="873">
        <f t="shared" si="80"/>
        <v>0</v>
      </c>
      <c r="Y240" s="873">
        <f t="shared" si="81"/>
        <v>0</v>
      </c>
      <c r="Z240" s="885">
        <f t="shared" si="82"/>
        <v>0</v>
      </c>
    </row>
    <row r="241" spans="2:26" s="278" customFormat="1" ht="12" customHeight="1" x14ac:dyDescent="0.25">
      <c r="B241" s="1192">
        <f t="shared" si="90"/>
        <v>241</v>
      </c>
      <c r="C241" s="732">
        <f t="shared" si="74"/>
        <v>31</v>
      </c>
      <c r="D241" s="35">
        <f t="shared" si="75"/>
        <v>3</v>
      </c>
      <c r="E241" s="889">
        <f t="shared" si="93"/>
        <v>53417</v>
      </c>
      <c r="F241" s="822">
        <f t="shared" si="76"/>
        <v>3</v>
      </c>
      <c r="G241" s="126">
        <f t="shared" si="77"/>
        <v>0</v>
      </c>
      <c r="H241" s="1098">
        <f t="shared" si="94"/>
        <v>0</v>
      </c>
      <c r="I241" s="887">
        <f t="shared" si="91"/>
        <v>222</v>
      </c>
      <c r="J241" s="1099">
        <f t="shared" si="83"/>
        <v>222</v>
      </c>
      <c r="K241" s="891" t="str">
        <f t="shared" si="84"/>
        <v>March</v>
      </c>
      <c r="L241" s="888">
        <f t="shared" si="92"/>
        <v>2046</v>
      </c>
      <c r="M241" s="883">
        <f t="shared" si="85"/>
        <v>0</v>
      </c>
      <c r="N241" s="883">
        <f t="shared" si="86"/>
        <v>0</v>
      </c>
      <c r="O241" s="1100"/>
      <c r="P241" s="883">
        <f t="shared" si="78"/>
        <v>0</v>
      </c>
      <c r="Q241" s="884">
        <f t="shared" si="87"/>
        <v>0</v>
      </c>
      <c r="R241" s="884">
        <f>IF(AND($AR$39="Early Payoff",I241&gt;=$R$13),0,IF($I241&lt;=$R$6,SUM($P$20:$P241),0))</f>
        <v>0</v>
      </c>
      <c r="S241" s="884">
        <f>IF(AND($AR$39="Early Payoff",I241&gt;=$R$13),0,IF($I241&lt;=$R$6,SUM($Q$20:$Q241),0))</f>
        <v>0</v>
      </c>
      <c r="T241" s="873">
        <f t="shared" si="88"/>
        <v>0</v>
      </c>
      <c r="U241" s="1110">
        <f t="shared" si="89"/>
        <v>0</v>
      </c>
      <c r="W241" s="1102">
        <f t="shared" si="79"/>
        <v>0</v>
      </c>
      <c r="X241" s="873">
        <f t="shared" si="80"/>
        <v>0</v>
      </c>
      <c r="Y241" s="873">
        <f t="shared" si="81"/>
        <v>0</v>
      </c>
      <c r="Z241" s="885">
        <f t="shared" si="82"/>
        <v>0</v>
      </c>
    </row>
    <row r="242" spans="2:26" s="278" customFormat="1" ht="12" customHeight="1" x14ac:dyDescent="0.25">
      <c r="B242" s="1192">
        <f t="shared" si="90"/>
        <v>242</v>
      </c>
      <c r="C242" s="732">
        <f t="shared" si="74"/>
        <v>30</v>
      </c>
      <c r="D242" s="35">
        <f t="shared" si="75"/>
        <v>4</v>
      </c>
      <c r="E242" s="889">
        <f t="shared" si="93"/>
        <v>53447</v>
      </c>
      <c r="F242" s="822">
        <f t="shared" si="76"/>
        <v>4</v>
      </c>
      <c r="G242" s="126">
        <f t="shared" si="77"/>
        <v>0</v>
      </c>
      <c r="H242" s="1098">
        <f t="shared" si="94"/>
        <v>0</v>
      </c>
      <c r="I242" s="887">
        <f t="shared" si="91"/>
        <v>223</v>
      </c>
      <c r="J242" s="1099">
        <f t="shared" si="83"/>
        <v>223</v>
      </c>
      <c r="K242" s="891" t="str">
        <f t="shared" si="84"/>
        <v>April</v>
      </c>
      <c r="L242" s="888">
        <f t="shared" si="92"/>
        <v>2046</v>
      </c>
      <c r="M242" s="883">
        <f t="shared" si="85"/>
        <v>0</v>
      </c>
      <c r="N242" s="883">
        <f t="shared" si="86"/>
        <v>0</v>
      </c>
      <c r="O242" s="1100"/>
      <c r="P242" s="883">
        <f t="shared" si="78"/>
        <v>0</v>
      </c>
      <c r="Q242" s="884">
        <f t="shared" si="87"/>
        <v>0</v>
      </c>
      <c r="R242" s="884">
        <f>IF(AND($AR$39="Early Payoff",I242&gt;=$R$13),0,IF($I242&lt;=$R$6,SUM($P$20:$P242),0))</f>
        <v>0</v>
      </c>
      <c r="S242" s="884">
        <f>IF(AND($AR$39="Early Payoff",I242&gt;=$R$13),0,IF($I242&lt;=$R$6,SUM($Q$20:$Q242),0))</f>
        <v>0</v>
      </c>
      <c r="T242" s="873">
        <f t="shared" si="88"/>
        <v>0</v>
      </c>
      <c r="U242" s="1110">
        <f t="shared" si="89"/>
        <v>0</v>
      </c>
      <c r="W242" s="1102">
        <f t="shared" si="79"/>
        <v>0</v>
      </c>
      <c r="X242" s="873">
        <f t="shared" si="80"/>
        <v>0</v>
      </c>
      <c r="Y242" s="873">
        <f t="shared" si="81"/>
        <v>0</v>
      </c>
      <c r="Z242" s="885">
        <f t="shared" si="82"/>
        <v>0</v>
      </c>
    </row>
    <row r="243" spans="2:26" s="278" customFormat="1" ht="12" customHeight="1" x14ac:dyDescent="0.25">
      <c r="B243" s="1192">
        <f t="shared" si="90"/>
        <v>243</v>
      </c>
      <c r="C243" s="732">
        <f t="shared" si="74"/>
        <v>31</v>
      </c>
      <c r="D243" s="35">
        <f t="shared" si="75"/>
        <v>5</v>
      </c>
      <c r="E243" s="889">
        <f t="shared" si="93"/>
        <v>53478</v>
      </c>
      <c r="F243" s="822">
        <f t="shared" si="76"/>
        <v>5</v>
      </c>
      <c r="G243" s="126">
        <f t="shared" si="77"/>
        <v>0</v>
      </c>
      <c r="H243" s="1098">
        <f t="shared" si="94"/>
        <v>0</v>
      </c>
      <c r="I243" s="887">
        <f t="shared" si="91"/>
        <v>224</v>
      </c>
      <c r="J243" s="1099">
        <f t="shared" si="83"/>
        <v>224</v>
      </c>
      <c r="K243" s="891" t="str">
        <f t="shared" si="84"/>
        <v>May</v>
      </c>
      <c r="L243" s="888">
        <f t="shared" si="92"/>
        <v>2046</v>
      </c>
      <c r="M243" s="883">
        <f t="shared" si="85"/>
        <v>0</v>
      </c>
      <c r="N243" s="883">
        <f t="shared" si="86"/>
        <v>0</v>
      </c>
      <c r="O243" s="1100"/>
      <c r="P243" s="883">
        <f t="shared" si="78"/>
        <v>0</v>
      </c>
      <c r="Q243" s="884">
        <f t="shared" si="87"/>
        <v>0</v>
      </c>
      <c r="R243" s="884">
        <f>IF(AND($AR$39="Early Payoff",I243&gt;=$R$13),0,IF($I243&lt;=$R$6,SUM($P$20:$P243),0))</f>
        <v>0</v>
      </c>
      <c r="S243" s="884">
        <f>IF(AND($AR$39="Early Payoff",I243&gt;=$R$13),0,IF($I243&lt;=$R$6,SUM($Q$20:$Q243),0))</f>
        <v>0</v>
      </c>
      <c r="T243" s="873">
        <f t="shared" si="88"/>
        <v>0</v>
      </c>
      <c r="U243" s="1110">
        <f t="shared" si="89"/>
        <v>0</v>
      </c>
      <c r="W243" s="1102">
        <f t="shared" si="79"/>
        <v>0</v>
      </c>
      <c r="X243" s="873">
        <f t="shared" si="80"/>
        <v>0</v>
      </c>
      <c r="Y243" s="873">
        <f t="shared" si="81"/>
        <v>0</v>
      </c>
      <c r="Z243" s="885">
        <f t="shared" si="82"/>
        <v>0</v>
      </c>
    </row>
    <row r="244" spans="2:26" s="278" customFormat="1" ht="12" customHeight="1" x14ac:dyDescent="0.25">
      <c r="B244" s="1192">
        <f t="shared" si="90"/>
        <v>244</v>
      </c>
      <c r="C244" s="732">
        <f t="shared" si="74"/>
        <v>30</v>
      </c>
      <c r="D244" s="35">
        <f t="shared" si="75"/>
        <v>6</v>
      </c>
      <c r="E244" s="889">
        <f t="shared" si="93"/>
        <v>53508</v>
      </c>
      <c r="F244" s="822">
        <f t="shared" si="76"/>
        <v>6</v>
      </c>
      <c r="G244" s="126">
        <f t="shared" si="77"/>
        <v>0</v>
      </c>
      <c r="H244" s="1098">
        <f t="shared" si="94"/>
        <v>0</v>
      </c>
      <c r="I244" s="887">
        <f t="shared" si="91"/>
        <v>225</v>
      </c>
      <c r="J244" s="1099">
        <f t="shared" si="83"/>
        <v>225</v>
      </c>
      <c r="K244" s="891" t="str">
        <f t="shared" si="84"/>
        <v>June</v>
      </c>
      <c r="L244" s="888">
        <f t="shared" si="92"/>
        <v>2046</v>
      </c>
      <c r="M244" s="883">
        <f t="shared" si="85"/>
        <v>0</v>
      </c>
      <c r="N244" s="883">
        <f t="shared" si="86"/>
        <v>0</v>
      </c>
      <c r="O244" s="1100"/>
      <c r="P244" s="883">
        <f t="shared" si="78"/>
        <v>0</v>
      </c>
      <c r="Q244" s="884">
        <f t="shared" si="87"/>
        <v>0</v>
      </c>
      <c r="R244" s="884">
        <f>IF(AND($AR$39="Early Payoff",I244&gt;=$R$13),0,IF($I244&lt;=$R$6,SUM($P$20:$P244),0))</f>
        <v>0</v>
      </c>
      <c r="S244" s="884">
        <f>IF(AND($AR$39="Early Payoff",I244&gt;=$R$13),0,IF($I244&lt;=$R$6,SUM($Q$20:$Q244),0))</f>
        <v>0</v>
      </c>
      <c r="T244" s="873">
        <f t="shared" si="88"/>
        <v>0</v>
      </c>
      <c r="U244" s="1110">
        <f t="shared" si="89"/>
        <v>0</v>
      </c>
      <c r="W244" s="1102">
        <f t="shared" si="79"/>
        <v>0</v>
      </c>
      <c r="X244" s="873">
        <f t="shared" si="80"/>
        <v>0</v>
      </c>
      <c r="Y244" s="873">
        <f t="shared" si="81"/>
        <v>0</v>
      </c>
      <c r="Z244" s="885">
        <f t="shared" si="82"/>
        <v>0</v>
      </c>
    </row>
    <row r="245" spans="2:26" s="278" customFormat="1" ht="12" customHeight="1" x14ac:dyDescent="0.25">
      <c r="B245" s="1192">
        <f t="shared" si="90"/>
        <v>245</v>
      </c>
      <c r="C245" s="732">
        <f t="shared" si="74"/>
        <v>31</v>
      </c>
      <c r="D245" s="35">
        <f t="shared" si="75"/>
        <v>7</v>
      </c>
      <c r="E245" s="889">
        <f t="shared" si="93"/>
        <v>53539</v>
      </c>
      <c r="F245" s="822">
        <f t="shared" si="76"/>
        <v>7</v>
      </c>
      <c r="G245" s="126">
        <f t="shared" si="77"/>
        <v>0</v>
      </c>
      <c r="H245" s="1098">
        <f t="shared" si="94"/>
        <v>0</v>
      </c>
      <c r="I245" s="887">
        <f t="shared" si="91"/>
        <v>226</v>
      </c>
      <c r="J245" s="1099">
        <f t="shared" si="83"/>
        <v>226</v>
      </c>
      <c r="K245" s="891" t="str">
        <f t="shared" si="84"/>
        <v>July</v>
      </c>
      <c r="L245" s="888">
        <f t="shared" si="92"/>
        <v>2046</v>
      </c>
      <c r="M245" s="883">
        <f t="shared" si="85"/>
        <v>0</v>
      </c>
      <c r="N245" s="883">
        <f t="shared" si="86"/>
        <v>0</v>
      </c>
      <c r="O245" s="1100"/>
      <c r="P245" s="883">
        <f t="shared" si="78"/>
        <v>0</v>
      </c>
      <c r="Q245" s="884">
        <f t="shared" si="87"/>
        <v>0</v>
      </c>
      <c r="R245" s="884">
        <f>IF(AND($AR$39="Early Payoff",I245&gt;=$R$13),0,IF($I245&lt;=$R$6,SUM($P$20:$P245),0))</f>
        <v>0</v>
      </c>
      <c r="S245" s="884">
        <f>IF(AND($AR$39="Early Payoff",I245&gt;=$R$13),0,IF($I245&lt;=$R$6,SUM($Q$20:$Q245),0))</f>
        <v>0</v>
      </c>
      <c r="T245" s="873">
        <f t="shared" si="88"/>
        <v>0</v>
      </c>
      <c r="U245" s="1110">
        <f t="shared" si="89"/>
        <v>0</v>
      </c>
      <c r="W245" s="1102">
        <f t="shared" si="79"/>
        <v>0</v>
      </c>
      <c r="X245" s="873">
        <f t="shared" si="80"/>
        <v>0</v>
      </c>
      <c r="Y245" s="873">
        <f t="shared" si="81"/>
        <v>0</v>
      </c>
      <c r="Z245" s="885">
        <f t="shared" si="82"/>
        <v>0</v>
      </c>
    </row>
    <row r="246" spans="2:26" s="278" customFormat="1" ht="12" customHeight="1" x14ac:dyDescent="0.25">
      <c r="B246" s="1192">
        <f t="shared" si="90"/>
        <v>246</v>
      </c>
      <c r="C246" s="732">
        <f t="shared" si="74"/>
        <v>31</v>
      </c>
      <c r="D246" s="35">
        <f t="shared" si="75"/>
        <v>8</v>
      </c>
      <c r="E246" s="889">
        <f t="shared" si="93"/>
        <v>53570</v>
      </c>
      <c r="F246" s="822">
        <f t="shared" si="76"/>
        <v>8</v>
      </c>
      <c r="G246" s="126">
        <f t="shared" si="77"/>
        <v>0</v>
      </c>
      <c r="H246" s="1098">
        <f t="shared" si="94"/>
        <v>0</v>
      </c>
      <c r="I246" s="887">
        <f t="shared" si="91"/>
        <v>227</v>
      </c>
      <c r="J246" s="1099">
        <f t="shared" si="83"/>
        <v>227</v>
      </c>
      <c r="K246" s="891" t="str">
        <f t="shared" si="84"/>
        <v>August</v>
      </c>
      <c r="L246" s="888">
        <f t="shared" si="92"/>
        <v>2046</v>
      </c>
      <c r="M246" s="883">
        <f t="shared" si="85"/>
        <v>0</v>
      </c>
      <c r="N246" s="883">
        <f t="shared" si="86"/>
        <v>0</v>
      </c>
      <c r="O246" s="1100"/>
      <c r="P246" s="883">
        <f t="shared" si="78"/>
        <v>0</v>
      </c>
      <c r="Q246" s="884">
        <f t="shared" si="87"/>
        <v>0</v>
      </c>
      <c r="R246" s="884">
        <f>IF(AND($AR$39="Early Payoff",I246&gt;=$R$13),0,IF($I246&lt;=$R$6,SUM($P$20:$P246),0))</f>
        <v>0</v>
      </c>
      <c r="S246" s="884">
        <f>IF(AND($AR$39="Early Payoff",I246&gt;=$R$13),0,IF($I246&lt;=$R$6,SUM($Q$20:$Q246),0))</f>
        <v>0</v>
      </c>
      <c r="T246" s="873">
        <f t="shared" si="88"/>
        <v>0</v>
      </c>
      <c r="U246" s="1110">
        <f t="shared" si="89"/>
        <v>0</v>
      </c>
      <c r="W246" s="1102">
        <f t="shared" si="79"/>
        <v>0</v>
      </c>
      <c r="X246" s="873">
        <f t="shared" si="80"/>
        <v>0</v>
      </c>
      <c r="Y246" s="873">
        <f t="shared" si="81"/>
        <v>0</v>
      </c>
      <c r="Z246" s="885">
        <f t="shared" si="82"/>
        <v>0</v>
      </c>
    </row>
    <row r="247" spans="2:26" s="278" customFormat="1" ht="12" customHeight="1" x14ac:dyDescent="0.25">
      <c r="B247" s="1192">
        <f t="shared" si="90"/>
        <v>247</v>
      </c>
      <c r="C247" s="732">
        <f t="shared" si="74"/>
        <v>30</v>
      </c>
      <c r="D247" s="35">
        <f t="shared" si="75"/>
        <v>9</v>
      </c>
      <c r="E247" s="889">
        <f t="shared" si="93"/>
        <v>53600</v>
      </c>
      <c r="F247" s="822">
        <f t="shared" si="76"/>
        <v>9</v>
      </c>
      <c r="G247" s="126">
        <f t="shared" si="77"/>
        <v>0</v>
      </c>
      <c r="H247" s="1098">
        <f t="shared" si="94"/>
        <v>0</v>
      </c>
      <c r="I247" s="887">
        <f t="shared" si="91"/>
        <v>228</v>
      </c>
      <c r="J247" s="1099">
        <f t="shared" si="83"/>
        <v>228</v>
      </c>
      <c r="K247" s="891" t="str">
        <f t="shared" si="84"/>
        <v>September</v>
      </c>
      <c r="L247" s="888">
        <f t="shared" si="92"/>
        <v>2046</v>
      </c>
      <c r="M247" s="883">
        <f t="shared" si="85"/>
        <v>0</v>
      </c>
      <c r="N247" s="883">
        <f t="shared" si="86"/>
        <v>0</v>
      </c>
      <c r="O247" s="1100"/>
      <c r="P247" s="883">
        <f t="shared" si="78"/>
        <v>0</v>
      </c>
      <c r="Q247" s="884">
        <f t="shared" si="87"/>
        <v>0</v>
      </c>
      <c r="R247" s="884">
        <f>IF(AND($AR$39="Early Payoff",I247&gt;=$R$13),0,IF($I247&lt;=$R$6,SUM($P$20:$P247),0))</f>
        <v>0</v>
      </c>
      <c r="S247" s="884">
        <f>IF(AND($AR$39="Early Payoff",I247&gt;=$R$13),0,IF($I247&lt;=$R$6,SUM($Q$20:$Q247),0))</f>
        <v>0</v>
      </c>
      <c r="T247" s="873">
        <f t="shared" si="88"/>
        <v>0</v>
      </c>
      <c r="U247" s="1110">
        <f t="shared" si="89"/>
        <v>0</v>
      </c>
      <c r="W247" s="1102">
        <f t="shared" si="79"/>
        <v>0</v>
      </c>
      <c r="X247" s="873">
        <f t="shared" si="80"/>
        <v>0</v>
      </c>
      <c r="Y247" s="873">
        <f t="shared" si="81"/>
        <v>0</v>
      </c>
      <c r="Z247" s="885">
        <f t="shared" si="82"/>
        <v>0</v>
      </c>
    </row>
    <row r="248" spans="2:26" s="278" customFormat="1" ht="12" customHeight="1" x14ac:dyDescent="0.25">
      <c r="B248" s="1192">
        <f t="shared" si="90"/>
        <v>248</v>
      </c>
      <c r="C248" s="732">
        <f t="shared" si="74"/>
        <v>31</v>
      </c>
      <c r="D248" s="35">
        <f t="shared" si="75"/>
        <v>10</v>
      </c>
      <c r="E248" s="889">
        <f t="shared" si="93"/>
        <v>53631</v>
      </c>
      <c r="F248" s="822">
        <f t="shared" si="76"/>
        <v>10</v>
      </c>
      <c r="G248" s="126">
        <f t="shared" si="77"/>
        <v>0</v>
      </c>
      <c r="H248" s="1098">
        <f t="shared" si="94"/>
        <v>0</v>
      </c>
      <c r="I248" s="887">
        <f t="shared" si="91"/>
        <v>229</v>
      </c>
      <c r="J248" s="1099">
        <f t="shared" si="83"/>
        <v>229</v>
      </c>
      <c r="K248" s="891" t="str">
        <f t="shared" si="84"/>
        <v>October</v>
      </c>
      <c r="L248" s="888">
        <f t="shared" si="92"/>
        <v>2046</v>
      </c>
      <c r="M248" s="883">
        <f t="shared" si="85"/>
        <v>0</v>
      </c>
      <c r="N248" s="883">
        <f t="shared" si="86"/>
        <v>0</v>
      </c>
      <c r="O248" s="1100"/>
      <c r="P248" s="883">
        <f t="shared" si="78"/>
        <v>0</v>
      </c>
      <c r="Q248" s="884">
        <f t="shared" si="87"/>
        <v>0</v>
      </c>
      <c r="R248" s="884">
        <f>IF(AND($AR$39="Early Payoff",I248&gt;=$R$13),0,IF($I248&lt;=$R$6,SUM($P$20:$P248),0))</f>
        <v>0</v>
      </c>
      <c r="S248" s="884">
        <f>IF(AND($AR$39="Early Payoff",I248&gt;=$R$13),0,IF($I248&lt;=$R$6,SUM($Q$20:$Q248),0))</f>
        <v>0</v>
      </c>
      <c r="T248" s="873">
        <f t="shared" si="88"/>
        <v>0</v>
      </c>
      <c r="U248" s="1110">
        <f t="shared" si="89"/>
        <v>0</v>
      </c>
      <c r="W248" s="1102">
        <f t="shared" si="79"/>
        <v>0</v>
      </c>
      <c r="X248" s="873">
        <f t="shared" si="80"/>
        <v>0</v>
      </c>
      <c r="Y248" s="873">
        <f t="shared" si="81"/>
        <v>0</v>
      </c>
      <c r="Z248" s="885">
        <f t="shared" si="82"/>
        <v>0</v>
      </c>
    </row>
    <row r="249" spans="2:26" s="278" customFormat="1" ht="12" customHeight="1" x14ac:dyDescent="0.25">
      <c r="B249" s="1192">
        <f t="shared" si="90"/>
        <v>249</v>
      </c>
      <c r="C249" s="732">
        <f t="shared" si="74"/>
        <v>30</v>
      </c>
      <c r="D249" s="35">
        <f t="shared" si="75"/>
        <v>11</v>
      </c>
      <c r="E249" s="889">
        <f t="shared" si="93"/>
        <v>53661</v>
      </c>
      <c r="F249" s="822">
        <f t="shared" si="76"/>
        <v>11</v>
      </c>
      <c r="G249" s="126">
        <f t="shared" si="77"/>
        <v>0</v>
      </c>
      <c r="H249" s="1098">
        <f t="shared" si="94"/>
        <v>0</v>
      </c>
      <c r="I249" s="887">
        <f t="shared" si="91"/>
        <v>230</v>
      </c>
      <c r="J249" s="1099">
        <f t="shared" si="83"/>
        <v>230</v>
      </c>
      <c r="K249" s="891" t="str">
        <f t="shared" si="84"/>
        <v>November</v>
      </c>
      <c r="L249" s="888">
        <f t="shared" si="92"/>
        <v>2046</v>
      </c>
      <c r="M249" s="883">
        <f t="shared" si="85"/>
        <v>0</v>
      </c>
      <c r="N249" s="883">
        <f t="shared" si="86"/>
        <v>0</v>
      </c>
      <c r="O249" s="1100"/>
      <c r="P249" s="883">
        <f t="shared" si="78"/>
        <v>0</v>
      </c>
      <c r="Q249" s="884">
        <f t="shared" si="87"/>
        <v>0</v>
      </c>
      <c r="R249" s="884">
        <f>IF(AND($AR$39="Early Payoff",I249&gt;=$R$13),0,IF($I249&lt;=$R$6,SUM($P$20:$P249),0))</f>
        <v>0</v>
      </c>
      <c r="S249" s="884">
        <f>IF(AND($AR$39="Early Payoff",I249&gt;=$R$13),0,IF($I249&lt;=$R$6,SUM($Q$20:$Q249),0))</f>
        <v>0</v>
      </c>
      <c r="T249" s="873">
        <f t="shared" si="88"/>
        <v>0</v>
      </c>
      <c r="U249" s="1110">
        <f t="shared" si="89"/>
        <v>0</v>
      </c>
      <c r="W249" s="1102">
        <f t="shared" si="79"/>
        <v>0</v>
      </c>
      <c r="X249" s="873">
        <f t="shared" si="80"/>
        <v>0</v>
      </c>
      <c r="Y249" s="873">
        <f t="shared" si="81"/>
        <v>0</v>
      </c>
      <c r="Z249" s="885">
        <f t="shared" si="82"/>
        <v>0</v>
      </c>
    </row>
    <row r="250" spans="2:26" s="278" customFormat="1" ht="12" customHeight="1" x14ac:dyDescent="0.25">
      <c r="B250" s="1192">
        <f t="shared" si="90"/>
        <v>250</v>
      </c>
      <c r="C250" s="732">
        <f t="shared" si="74"/>
        <v>31</v>
      </c>
      <c r="D250" s="35">
        <f t="shared" si="75"/>
        <v>12</v>
      </c>
      <c r="E250" s="889">
        <f t="shared" si="93"/>
        <v>53692</v>
      </c>
      <c r="F250" s="822">
        <f t="shared" si="76"/>
        <v>12</v>
      </c>
      <c r="G250" s="126">
        <f t="shared" si="77"/>
        <v>1</v>
      </c>
      <c r="H250" s="1098">
        <f t="shared" si="94"/>
        <v>0</v>
      </c>
      <c r="I250" s="887">
        <f t="shared" si="91"/>
        <v>231</v>
      </c>
      <c r="J250" s="1099">
        <f t="shared" si="83"/>
        <v>231</v>
      </c>
      <c r="K250" s="891" t="str">
        <f t="shared" si="84"/>
        <v>December</v>
      </c>
      <c r="L250" s="888">
        <f t="shared" si="92"/>
        <v>2046</v>
      </c>
      <c r="M250" s="883">
        <f t="shared" si="85"/>
        <v>0</v>
      </c>
      <c r="N250" s="883">
        <f t="shared" si="86"/>
        <v>0</v>
      </c>
      <c r="O250" s="1100"/>
      <c r="P250" s="883">
        <f t="shared" si="78"/>
        <v>0</v>
      </c>
      <c r="Q250" s="884">
        <f t="shared" si="87"/>
        <v>0</v>
      </c>
      <c r="R250" s="884">
        <f>IF(AND($AR$39="Early Payoff",I250&gt;=$R$13),0,IF($I250&lt;=$R$6,SUM($P$20:$P250),0))</f>
        <v>0</v>
      </c>
      <c r="S250" s="884">
        <f>IF(AND($AR$39="Early Payoff",I250&gt;=$R$13),0,IF($I250&lt;=$R$6,SUM($Q$20:$Q250),0))</f>
        <v>0</v>
      </c>
      <c r="T250" s="873">
        <f t="shared" si="88"/>
        <v>0</v>
      </c>
      <c r="U250" s="1110">
        <f t="shared" si="89"/>
        <v>0</v>
      </c>
      <c r="W250" s="1102">
        <f t="shared" si="79"/>
        <v>0</v>
      </c>
      <c r="X250" s="873">
        <f t="shared" si="80"/>
        <v>0</v>
      </c>
      <c r="Y250" s="873">
        <f t="shared" si="81"/>
        <v>0</v>
      </c>
      <c r="Z250" s="885">
        <f t="shared" si="82"/>
        <v>0</v>
      </c>
    </row>
    <row r="251" spans="2:26" s="278" customFormat="1" ht="12" customHeight="1" x14ac:dyDescent="0.25">
      <c r="B251" s="1192">
        <f t="shared" si="90"/>
        <v>251</v>
      </c>
      <c r="C251" s="732">
        <f t="shared" si="74"/>
        <v>31</v>
      </c>
      <c r="D251" s="35">
        <f t="shared" si="75"/>
        <v>1</v>
      </c>
      <c r="E251" s="889">
        <f t="shared" si="93"/>
        <v>53723</v>
      </c>
      <c r="F251" s="822">
        <f t="shared" si="76"/>
        <v>1</v>
      </c>
      <c r="G251" s="126">
        <f t="shared" si="77"/>
        <v>0</v>
      </c>
      <c r="H251" s="1098">
        <f t="shared" si="94"/>
        <v>0</v>
      </c>
      <c r="I251" s="887">
        <f t="shared" si="91"/>
        <v>232</v>
      </c>
      <c r="J251" s="1099">
        <f t="shared" si="83"/>
        <v>232</v>
      </c>
      <c r="K251" s="891" t="str">
        <f t="shared" si="84"/>
        <v>January</v>
      </c>
      <c r="L251" s="888">
        <f t="shared" si="92"/>
        <v>2047</v>
      </c>
      <c r="M251" s="883">
        <f t="shared" si="85"/>
        <v>0</v>
      </c>
      <c r="N251" s="883">
        <f t="shared" si="86"/>
        <v>0</v>
      </c>
      <c r="O251" s="1100"/>
      <c r="P251" s="883">
        <f t="shared" si="78"/>
        <v>0</v>
      </c>
      <c r="Q251" s="884">
        <f t="shared" si="87"/>
        <v>0</v>
      </c>
      <c r="R251" s="884">
        <f>IF(AND($AR$39="Early Payoff",I251&gt;=$R$13),0,IF($I251&lt;=$R$6,SUM($P$20:$P251),0))</f>
        <v>0</v>
      </c>
      <c r="S251" s="884">
        <f>IF(AND($AR$39="Early Payoff",I251&gt;=$R$13),0,IF($I251&lt;=$R$6,SUM($Q$20:$Q251),0))</f>
        <v>0</v>
      </c>
      <c r="T251" s="873">
        <f t="shared" si="88"/>
        <v>0</v>
      </c>
      <c r="U251" s="1110">
        <f t="shared" si="89"/>
        <v>0</v>
      </c>
      <c r="W251" s="1102">
        <f t="shared" si="79"/>
        <v>0</v>
      </c>
      <c r="X251" s="873">
        <f t="shared" si="80"/>
        <v>0</v>
      </c>
      <c r="Y251" s="873">
        <f t="shared" si="81"/>
        <v>0</v>
      </c>
      <c r="Z251" s="885">
        <f t="shared" si="82"/>
        <v>0</v>
      </c>
    </row>
    <row r="252" spans="2:26" s="278" customFormat="1" ht="12" customHeight="1" x14ac:dyDescent="0.25">
      <c r="B252" s="1192">
        <f t="shared" si="90"/>
        <v>252</v>
      </c>
      <c r="C252" s="732">
        <f t="shared" si="74"/>
        <v>28</v>
      </c>
      <c r="D252" s="35">
        <f t="shared" si="75"/>
        <v>2</v>
      </c>
      <c r="E252" s="889">
        <f t="shared" si="93"/>
        <v>53751</v>
      </c>
      <c r="F252" s="822">
        <f t="shared" si="76"/>
        <v>2</v>
      </c>
      <c r="G252" s="126">
        <f t="shared" si="77"/>
        <v>0</v>
      </c>
      <c r="H252" s="1098">
        <f t="shared" si="94"/>
        <v>0</v>
      </c>
      <c r="I252" s="887">
        <f t="shared" si="91"/>
        <v>233</v>
      </c>
      <c r="J252" s="1099">
        <f t="shared" si="83"/>
        <v>233</v>
      </c>
      <c r="K252" s="891" t="str">
        <f t="shared" si="84"/>
        <v>February</v>
      </c>
      <c r="L252" s="888">
        <f t="shared" si="92"/>
        <v>2047</v>
      </c>
      <c r="M252" s="883">
        <f t="shared" si="85"/>
        <v>0</v>
      </c>
      <c r="N252" s="883">
        <f t="shared" si="86"/>
        <v>0</v>
      </c>
      <c r="O252" s="1100"/>
      <c r="P252" s="883">
        <f t="shared" si="78"/>
        <v>0</v>
      </c>
      <c r="Q252" s="884">
        <f t="shared" si="87"/>
        <v>0</v>
      </c>
      <c r="R252" s="884">
        <f>IF(AND($AR$39="Early Payoff",I252&gt;=$R$13),0,IF($I252&lt;=$R$6,SUM($P$20:$P252),0))</f>
        <v>0</v>
      </c>
      <c r="S252" s="884">
        <f>IF(AND($AR$39="Early Payoff",I252&gt;=$R$13),0,IF($I252&lt;=$R$6,SUM($Q$20:$Q252),0))</f>
        <v>0</v>
      </c>
      <c r="T252" s="873">
        <f t="shared" si="88"/>
        <v>0</v>
      </c>
      <c r="U252" s="1110">
        <f t="shared" si="89"/>
        <v>0</v>
      </c>
      <c r="W252" s="1102">
        <f t="shared" si="79"/>
        <v>0</v>
      </c>
      <c r="X252" s="873">
        <f t="shared" si="80"/>
        <v>0</v>
      </c>
      <c r="Y252" s="873">
        <f t="shared" si="81"/>
        <v>0</v>
      </c>
      <c r="Z252" s="885">
        <f t="shared" si="82"/>
        <v>0</v>
      </c>
    </row>
    <row r="253" spans="2:26" s="278" customFormat="1" ht="12" customHeight="1" x14ac:dyDescent="0.25">
      <c r="B253" s="1192">
        <f t="shared" si="90"/>
        <v>253</v>
      </c>
      <c r="C253" s="732">
        <f t="shared" si="74"/>
        <v>31</v>
      </c>
      <c r="D253" s="35">
        <f t="shared" si="75"/>
        <v>3</v>
      </c>
      <c r="E253" s="889">
        <f t="shared" si="93"/>
        <v>53782</v>
      </c>
      <c r="F253" s="822">
        <f t="shared" si="76"/>
        <v>3</v>
      </c>
      <c r="G253" s="126">
        <f t="shared" si="77"/>
        <v>0</v>
      </c>
      <c r="H253" s="1098">
        <f t="shared" si="94"/>
        <v>0</v>
      </c>
      <c r="I253" s="887">
        <f t="shared" si="91"/>
        <v>234</v>
      </c>
      <c r="J253" s="1099">
        <f t="shared" si="83"/>
        <v>234</v>
      </c>
      <c r="K253" s="891" t="str">
        <f t="shared" si="84"/>
        <v>March</v>
      </c>
      <c r="L253" s="888">
        <f t="shared" si="92"/>
        <v>2047</v>
      </c>
      <c r="M253" s="883">
        <f t="shared" si="85"/>
        <v>0</v>
      </c>
      <c r="N253" s="883">
        <f t="shared" si="86"/>
        <v>0</v>
      </c>
      <c r="O253" s="1100"/>
      <c r="P253" s="883">
        <f t="shared" si="78"/>
        <v>0</v>
      </c>
      <c r="Q253" s="884">
        <f t="shared" si="87"/>
        <v>0</v>
      </c>
      <c r="R253" s="884">
        <f>IF(AND($AR$39="Early Payoff",I253&gt;=$R$13),0,IF($I253&lt;=$R$6,SUM($P$20:$P253),0))</f>
        <v>0</v>
      </c>
      <c r="S253" s="884">
        <f>IF(AND($AR$39="Early Payoff",I253&gt;=$R$13),0,IF($I253&lt;=$R$6,SUM($Q$20:$Q253),0))</f>
        <v>0</v>
      </c>
      <c r="T253" s="873">
        <f t="shared" si="88"/>
        <v>0</v>
      </c>
      <c r="U253" s="1110">
        <f t="shared" si="89"/>
        <v>0</v>
      </c>
      <c r="W253" s="1102">
        <f t="shared" si="79"/>
        <v>0</v>
      </c>
      <c r="X253" s="873">
        <f t="shared" si="80"/>
        <v>0</v>
      </c>
      <c r="Y253" s="873">
        <f t="shared" si="81"/>
        <v>0</v>
      </c>
      <c r="Z253" s="885">
        <f t="shared" si="82"/>
        <v>0</v>
      </c>
    </row>
    <row r="254" spans="2:26" s="278" customFormat="1" ht="12" customHeight="1" x14ac:dyDescent="0.25">
      <c r="B254" s="1192">
        <f t="shared" si="90"/>
        <v>254</v>
      </c>
      <c r="C254" s="732">
        <f t="shared" si="74"/>
        <v>30</v>
      </c>
      <c r="D254" s="35">
        <f t="shared" si="75"/>
        <v>4</v>
      </c>
      <c r="E254" s="889">
        <f t="shared" si="93"/>
        <v>53812</v>
      </c>
      <c r="F254" s="822">
        <f t="shared" si="76"/>
        <v>4</v>
      </c>
      <c r="G254" s="126">
        <f t="shared" si="77"/>
        <v>0</v>
      </c>
      <c r="H254" s="1098">
        <f t="shared" si="94"/>
        <v>0</v>
      </c>
      <c r="I254" s="887">
        <f t="shared" si="91"/>
        <v>235</v>
      </c>
      <c r="J254" s="1099">
        <f t="shared" si="83"/>
        <v>235</v>
      </c>
      <c r="K254" s="891" t="str">
        <f t="shared" si="84"/>
        <v>April</v>
      </c>
      <c r="L254" s="888">
        <f t="shared" si="92"/>
        <v>2047</v>
      </c>
      <c r="M254" s="883">
        <f t="shared" si="85"/>
        <v>0</v>
      </c>
      <c r="N254" s="883">
        <f t="shared" si="86"/>
        <v>0</v>
      </c>
      <c r="O254" s="1100"/>
      <c r="P254" s="883">
        <f t="shared" si="78"/>
        <v>0</v>
      </c>
      <c r="Q254" s="884">
        <f t="shared" si="87"/>
        <v>0</v>
      </c>
      <c r="R254" s="884">
        <f>IF(AND($AR$39="Early Payoff",I254&gt;=$R$13),0,IF($I254&lt;=$R$6,SUM($P$20:$P254),0))</f>
        <v>0</v>
      </c>
      <c r="S254" s="884">
        <f>IF(AND($AR$39="Early Payoff",I254&gt;=$R$13),0,IF($I254&lt;=$R$6,SUM($Q$20:$Q254),0))</f>
        <v>0</v>
      </c>
      <c r="T254" s="873">
        <f t="shared" si="88"/>
        <v>0</v>
      </c>
      <c r="U254" s="1110">
        <f t="shared" si="89"/>
        <v>0</v>
      </c>
      <c r="W254" s="1102">
        <f t="shared" si="79"/>
        <v>0</v>
      </c>
      <c r="X254" s="873">
        <f t="shared" si="80"/>
        <v>0</v>
      </c>
      <c r="Y254" s="873">
        <f t="shared" si="81"/>
        <v>0</v>
      </c>
      <c r="Z254" s="885">
        <f t="shared" si="82"/>
        <v>0</v>
      </c>
    </row>
    <row r="255" spans="2:26" s="278" customFormat="1" ht="12" customHeight="1" x14ac:dyDescent="0.25">
      <c r="B255" s="1192">
        <f t="shared" si="90"/>
        <v>255</v>
      </c>
      <c r="C255" s="732">
        <f t="shared" si="74"/>
        <v>31</v>
      </c>
      <c r="D255" s="35">
        <f t="shared" si="75"/>
        <v>5</v>
      </c>
      <c r="E255" s="889">
        <f t="shared" si="93"/>
        <v>53843</v>
      </c>
      <c r="F255" s="822">
        <f t="shared" si="76"/>
        <v>5</v>
      </c>
      <c r="G255" s="126">
        <f t="shared" si="77"/>
        <v>0</v>
      </c>
      <c r="H255" s="1098">
        <f t="shared" si="94"/>
        <v>0</v>
      </c>
      <c r="I255" s="887">
        <f t="shared" si="91"/>
        <v>236</v>
      </c>
      <c r="J255" s="1099">
        <f t="shared" si="83"/>
        <v>236</v>
      </c>
      <c r="K255" s="891" t="str">
        <f t="shared" si="84"/>
        <v>May</v>
      </c>
      <c r="L255" s="888">
        <f t="shared" si="92"/>
        <v>2047</v>
      </c>
      <c r="M255" s="883">
        <f t="shared" si="85"/>
        <v>0</v>
      </c>
      <c r="N255" s="883">
        <f t="shared" si="86"/>
        <v>0</v>
      </c>
      <c r="O255" s="1100"/>
      <c r="P255" s="883">
        <f t="shared" si="78"/>
        <v>0</v>
      </c>
      <c r="Q255" s="884">
        <f t="shared" si="87"/>
        <v>0</v>
      </c>
      <c r="R255" s="884">
        <f>IF(AND($AR$39="Early Payoff",I255&gt;=$R$13),0,IF($I255&lt;=$R$6,SUM($P$20:$P255),0))</f>
        <v>0</v>
      </c>
      <c r="S255" s="884">
        <f>IF(AND($AR$39="Early Payoff",I255&gt;=$R$13),0,IF($I255&lt;=$R$6,SUM($Q$20:$Q255),0))</f>
        <v>0</v>
      </c>
      <c r="T255" s="873">
        <f t="shared" si="88"/>
        <v>0</v>
      </c>
      <c r="U255" s="1110">
        <f t="shared" si="89"/>
        <v>0</v>
      </c>
      <c r="W255" s="1102">
        <f t="shared" si="79"/>
        <v>0</v>
      </c>
      <c r="X255" s="873">
        <f t="shared" si="80"/>
        <v>0</v>
      </c>
      <c r="Y255" s="873">
        <f t="shared" si="81"/>
        <v>0</v>
      </c>
      <c r="Z255" s="885">
        <f t="shared" si="82"/>
        <v>0</v>
      </c>
    </row>
    <row r="256" spans="2:26" s="278" customFormat="1" ht="12" customHeight="1" x14ac:dyDescent="0.25">
      <c r="B256" s="1192">
        <f t="shared" si="90"/>
        <v>256</v>
      </c>
      <c r="C256" s="732">
        <f t="shared" si="74"/>
        <v>30</v>
      </c>
      <c r="D256" s="35">
        <f t="shared" si="75"/>
        <v>6</v>
      </c>
      <c r="E256" s="889">
        <f t="shared" si="93"/>
        <v>53873</v>
      </c>
      <c r="F256" s="822">
        <f t="shared" si="76"/>
        <v>6</v>
      </c>
      <c r="G256" s="126">
        <f t="shared" si="77"/>
        <v>0</v>
      </c>
      <c r="H256" s="1098">
        <f t="shared" si="94"/>
        <v>0</v>
      </c>
      <c r="I256" s="887">
        <f t="shared" si="91"/>
        <v>237</v>
      </c>
      <c r="J256" s="1099">
        <f t="shared" si="83"/>
        <v>237</v>
      </c>
      <c r="K256" s="891" t="str">
        <f t="shared" si="84"/>
        <v>June</v>
      </c>
      <c r="L256" s="888">
        <f t="shared" si="92"/>
        <v>2047</v>
      </c>
      <c r="M256" s="883">
        <f t="shared" si="85"/>
        <v>0</v>
      </c>
      <c r="N256" s="883">
        <f t="shared" si="86"/>
        <v>0</v>
      </c>
      <c r="O256" s="1100"/>
      <c r="P256" s="883">
        <f t="shared" si="78"/>
        <v>0</v>
      </c>
      <c r="Q256" s="884">
        <f t="shared" si="87"/>
        <v>0</v>
      </c>
      <c r="R256" s="884">
        <f>IF(AND($AR$39="Early Payoff",I256&gt;=$R$13),0,IF($I256&lt;=$R$6,SUM($P$20:$P256),0))</f>
        <v>0</v>
      </c>
      <c r="S256" s="884">
        <f>IF(AND($AR$39="Early Payoff",I256&gt;=$R$13),0,IF($I256&lt;=$R$6,SUM($Q$20:$Q256),0))</f>
        <v>0</v>
      </c>
      <c r="T256" s="873">
        <f t="shared" si="88"/>
        <v>0</v>
      </c>
      <c r="U256" s="1110">
        <f t="shared" si="89"/>
        <v>0</v>
      </c>
      <c r="W256" s="1102">
        <f t="shared" si="79"/>
        <v>0</v>
      </c>
      <c r="X256" s="873">
        <f t="shared" si="80"/>
        <v>0</v>
      </c>
      <c r="Y256" s="873">
        <f t="shared" si="81"/>
        <v>0</v>
      </c>
      <c r="Z256" s="885">
        <f t="shared" si="82"/>
        <v>0</v>
      </c>
    </row>
    <row r="257" spans="2:26" s="278" customFormat="1" ht="12" customHeight="1" x14ac:dyDescent="0.25">
      <c r="B257" s="1192">
        <f t="shared" si="90"/>
        <v>257</v>
      </c>
      <c r="C257" s="732">
        <f t="shared" si="74"/>
        <v>31</v>
      </c>
      <c r="D257" s="35">
        <f t="shared" si="75"/>
        <v>7</v>
      </c>
      <c r="E257" s="889">
        <f t="shared" si="93"/>
        <v>53904</v>
      </c>
      <c r="F257" s="822">
        <f t="shared" si="76"/>
        <v>7</v>
      </c>
      <c r="G257" s="126">
        <f t="shared" si="77"/>
        <v>0</v>
      </c>
      <c r="H257" s="1098">
        <f t="shared" si="94"/>
        <v>0</v>
      </c>
      <c r="I257" s="887">
        <f t="shared" si="91"/>
        <v>238</v>
      </c>
      <c r="J257" s="1099">
        <f t="shared" si="83"/>
        <v>238</v>
      </c>
      <c r="K257" s="891" t="str">
        <f t="shared" si="84"/>
        <v>July</v>
      </c>
      <c r="L257" s="888">
        <f t="shared" si="92"/>
        <v>2047</v>
      </c>
      <c r="M257" s="883">
        <f t="shared" si="85"/>
        <v>0</v>
      </c>
      <c r="N257" s="883">
        <f t="shared" si="86"/>
        <v>0</v>
      </c>
      <c r="O257" s="1100"/>
      <c r="P257" s="883">
        <f t="shared" si="78"/>
        <v>0</v>
      </c>
      <c r="Q257" s="884">
        <f t="shared" si="87"/>
        <v>0</v>
      </c>
      <c r="R257" s="884">
        <f>IF(AND($AR$39="Early Payoff",I257&gt;=$R$13),0,IF($I257&lt;=$R$6,SUM($P$20:$P257),0))</f>
        <v>0</v>
      </c>
      <c r="S257" s="884">
        <f>IF(AND($AR$39="Early Payoff",I257&gt;=$R$13),0,IF($I257&lt;=$R$6,SUM($Q$20:$Q257),0))</f>
        <v>0</v>
      </c>
      <c r="T257" s="873">
        <f t="shared" si="88"/>
        <v>0</v>
      </c>
      <c r="U257" s="1110">
        <f t="shared" si="89"/>
        <v>0</v>
      </c>
      <c r="W257" s="1102">
        <f t="shared" si="79"/>
        <v>0</v>
      </c>
      <c r="X257" s="873">
        <f t="shared" si="80"/>
        <v>0</v>
      </c>
      <c r="Y257" s="873">
        <f t="shared" si="81"/>
        <v>0</v>
      </c>
      <c r="Z257" s="885">
        <f t="shared" si="82"/>
        <v>0</v>
      </c>
    </row>
    <row r="258" spans="2:26" s="278" customFormat="1" ht="12" customHeight="1" x14ac:dyDescent="0.25">
      <c r="B258" s="1192">
        <f t="shared" si="90"/>
        <v>258</v>
      </c>
      <c r="C258" s="732">
        <f t="shared" si="74"/>
        <v>31</v>
      </c>
      <c r="D258" s="35">
        <f t="shared" si="75"/>
        <v>8</v>
      </c>
      <c r="E258" s="889">
        <f t="shared" si="93"/>
        <v>53935</v>
      </c>
      <c r="F258" s="822">
        <f t="shared" si="76"/>
        <v>8</v>
      </c>
      <c r="G258" s="126">
        <f t="shared" si="77"/>
        <v>0</v>
      </c>
      <c r="H258" s="1098">
        <f t="shared" si="94"/>
        <v>0</v>
      </c>
      <c r="I258" s="887">
        <f t="shared" si="91"/>
        <v>239</v>
      </c>
      <c r="J258" s="1099">
        <f t="shared" si="83"/>
        <v>239</v>
      </c>
      <c r="K258" s="891" t="str">
        <f t="shared" si="84"/>
        <v>August</v>
      </c>
      <c r="L258" s="888">
        <f t="shared" si="92"/>
        <v>2047</v>
      </c>
      <c r="M258" s="883">
        <f t="shared" si="85"/>
        <v>0</v>
      </c>
      <c r="N258" s="883">
        <f t="shared" si="86"/>
        <v>0</v>
      </c>
      <c r="O258" s="1100"/>
      <c r="P258" s="883">
        <f t="shared" si="78"/>
        <v>0</v>
      </c>
      <c r="Q258" s="884">
        <f t="shared" si="87"/>
        <v>0</v>
      </c>
      <c r="R258" s="884">
        <f>IF(AND($AR$39="Early Payoff",I258&gt;=$R$13),0,IF($I258&lt;=$R$6,SUM($P$20:$P258),0))</f>
        <v>0</v>
      </c>
      <c r="S258" s="884">
        <f>IF(AND($AR$39="Early Payoff",I258&gt;=$R$13),0,IF($I258&lt;=$R$6,SUM($Q$20:$Q258),0))</f>
        <v>0</v>
      </c>
      <c r="T258" s="873">
        <f t="shared" si="88"/>
        <v>0</v>
      </c>
      <c r="U258" s="1110">
        <f t="shared" si="89"/>
        <v>0</v>
      </c>
      <c r="W258" s="1102">
        <f t="shared" si="79"/>
        <v>0</v>
      </c>
      <c r="X258" s="873">
        <f t="shared" si="80"/>
        <v>0</v>
      </c>
      <c r="Y258" s="873">
        <f t="shared" si="81"/>
        <v>0</v>
      </c>
      <c r="Z258" s="885">
        <f t="shared" si="82"/>
        <v>0</v>
      </c>
    </row>
    <row r="259" spans="2:26" s="278" customFormat="1" ht="12" customHeight="1" x14ac:dyDescent="0.25">
      <c r="B259" s="1192">
        <f t="shared" si="90"/>
        <v>259</v>
      </c>
      <c r="C259" s="732">
        <f t="shared" si="74"/>
        <v>30</v>
      </c>
      <c r="D259" s="35">
        <f t="shared" si="75"/>
        <v>9</v>
      </c>
      <c r="E259" s="889">
        <f t="shared" si="93"/>
        <v>53965</v>
      </c>
      <c r="F259" s="822">
        <f t="shared" si="76"/>
        <v>9</v>
      </c>
      <c r="G259" s="126">
        <f t="shared" si="77"/>
        <v>0</v>
      </c>
      <c r="H259" s="1098">
        <f t="shared" si="94"/>
        <v>0</v>
      </c>
      <c r="I259" s="887">
        <f t="shared" si="91"/>
        <v>240</v>
      </c>
      <c r="J259" s="1099">
        <f t="shared" si="83"/>
        <v>240</v>
      </c>
      <c r="K259" s="891" t="str">
        <f t="shared" si="84"/>
        <v>September</v>
      </c>
      <c r="L259" s="888">
        <f t="shared" si="92"/>
        <v>2047</v>
      </c>
      <c r="M259" s="883">
        <f t="shared" si="85"/>
        <v>0</v>
      </c>
      <c r="N259" s="883">
        <f t="shared" si="86"/>
        <v>0</v>
      </c>
      <c r="O259" s="1100"/>
      <c r="P259" s="883">
        <f t="shared" si="78"/>
        <v>0</v>
      </c>
      <c r="Q259" s="884">
        <f t="shared" si="87"/>
        <v>0</v>
      </c>
      <c r="R259" s="884">
        <f>IF(AND($AR$39="Early Payoff",I259&gt;=$R$13),0,IF($I259&lt;=$R$6,SUM($P$20:$P259),0))</f>
        <v>0</v>
      </c>
      <c r="S259" s="884">
        <f>IF(AND($AR$39="Early Payoff",I259&gt;=$R$13),0,IF($I259&lt;=$R$6,SUM($Q$20:$Q259),0))</f>
        <v>0</v>
      </c>
      <c r="T259" s="873">
        <f t="shared" si="88"/>
        <v>0</v>
      </c>
      <c r="U259" s="1110">
        <f t="shared" si="89"/>
        <v>0</v>
      </c>
      <c r="W259" s="1102">
        <f t="shared" si="79"/>
        <v>0</v>
      </c>
      <c r="X259" s="873">
        <f t="shared" si="80"/>
        <v>0</v>
      </c>
      <c r="Y259" s="873">
        <f t="shared" si="81"/>
        <v>0</v>
      </c>
      <c r="Z259" s="885">
        <f t="shared" si="82"/>
        <v>0</v>
      </c>
    </row>
    <row r="260" spans="2:26" s="278" customFormat="1" ht="12" customHeight="1" x14ac:dyDescent="0.25">
      <c r="B260" s="1192">
        <f t="shared" si="90"/>
        <v>260</v>
      </c>
      <c r="C260" s="732">
        <f t="shared" si="74"/>
        <v>31</v>
      </c>
      <c r="D260" s="35">
        <f t="shared" si="75"/>
        <v>10</v>
      </c>
      <c r="E260" s="889">
        <f t="shared" si="93"/>
        <v>53996</v>
      </c>
      <c r="F260" s="822">
        <f t="shared" si="76"/>
        <v>10</v>
      </c>
      <c r="G260" s="126">
        <f t="shared" si="77"/>
        <v>0</v>
      </c>
      <c r="H260" s="1098">
        <f t="shared" si="94"/>
        <v>0</v>
      </c>
      <c r="I260" s="887">
        <f t="shared" si="91"/>
        <v>241</v>
      </c>
      <c r="J260" s="1099">
        <f t="shared" si="83"/>
        <v>241</v>
      </c>
      <c r="K260" s="891" t="str">
        <f t="shared" si="84"/>
        <v>October</v>
      </c>
      <c r="L260" s="888">
        <f t="shared" si="92"/>
        <v>2047</v>
      </c>
      <c r="M260" s="883">
        <f t="shared" si="85"/>
        <v>0</v>
      </c>
      <c r="N260" s="883">
        <f t="shared" si="86"/>
        <v>0</v>
      </c>
      <c r="O260" s="1100"/>
      <c r="P260" s="883">
        <f t="shared" si="78"/>
        <v>0</v>
      </c>
      <c r="Q260" s="884">
        <f t="shared" si="87"/>
        <v>0</v>
      </c>
      <c r="R260" s="884">
        <f>IF(AND($AR$39="Early Payoff",I260&gt;=$R$13),0,IF($I260&lt;=$R$6,SUM($P$20:$P260),0))</f>
        <v>0</v>
      </c>
      <c r="S260" s="884">
        <f>IF(AND($AR$39="Early Payoff",I260&gt;=$R$13),0,IF($I260&lt;=$R$6,SUM($Q$20:$Q260),0))</f>
        <v>0</v>
      </c>
      <c r="T260" s="873">
        <f t="shared" si="88"/>
        <v>0</v>
      </c>
      <c r="U260" s="1110">
        <f t="shared" si="89"/>
        <v>0</v>
      </c>
      <c r="W260" s="1102">
        <f t="shared" si="79"/>
        <v>0</v>
      </c>
      <c r="X260" s="873">
        <f t="shared" si="80"/>
        <v>0</v>
      </c>
      <c r="Y260" s="873">
        <f t="shared" si="81"/>
        <v>0</v>
      </c>
      <c r="Z260" s="885">
        <f t="shared" si="82"/>
        <v>0</v>
      </c>
    </row>
    <row r="261" spans="2:26" s="278" customFormat="1" ht="12" customHeight="1" x14ac:dyDescent="0.25">
      <c r="B261" s="1192">
        <f t="shared" si="90"/>
        <v>261</v>
      </c>
      <c r="C261" s="732">
        <f t="shared" si="74"/>
        <v>30</v>
      </c>
      <c r="D261" s="35">
        <f t="shared" si="75"/>
        <v>11</v>
      </c>
      <c r="E261" s="889">
        <f t="shared" si="93"/>
        <v>54026</v>
      </c>
      <c r="F261" s="822">
        <f t="shared" si="76"/>
        <v>11</v>
      </c>
      <c r="G261" s="126">
        <f t="shared" si="77"/>
        <v>0</v>
      </c>
      <c r="H261" s="1098">
        <f t="shared" si="94"/>
        <v>0</v>
      </c>
      <c r="I261" s="887">
        <f t="shared" si="91"/>
        <v>242</v>
      </c>
      <c r="J261" s="1099">
        <f t="shared" si="83"/>
        <v>242</v>
      </c>
      <c r="K261" s="891" t="str">
        <f t="shared" si="84"/>
        <v>November</v>
      </c>
      <c r="L261" s="888">
        <f t="shared" si="92"/>
        <v>2047</v>
      </c>
      <c r="M261" s="883">
        <f t="shared" si="85"/>
        <v>0</v>
      </c>
      <c r="N261" s="883">
        <f t="shared" si="86"/>
        <v>0</v>
      </c>
      <c r="O261" s="1100"/>
      <c r="P261" s="883">
        <f t="shared" si="78"/>
        <v>0</v>
      </c>
      <c r="Q261" s="884">
        <f t="shared" si="87"/>
        <v>0</v>
      </c>
      <c r="R261" s="884">
        <f>IF(AND($AR$39="Early Payoff",I261&gt;=$R$13),0,IF($I261&lt;=$R$6,SUM($P$20:$P261),0))</f>
        <v>0</v>
      </c>
      <c r="S261" s="884">
        <f>IF(AND($AR$39="Early Payoff",I261&gt;=$R$13),0,IF($I261&lt;=$R$6,SUM($Q$20:$Q261),0))</f>
        <v>0</v>
      </c>
      <c r="T261" s="873">
        <f t="shared" si="88"/>
        <v>0</v>
      </c>
      <c r="U261" s="1110">
        <f t="shared" si="89"/>
        <v>0</v>
      </c>
      <c r="W261" s="1102">
        <f t="shared" si="79"/>
        <v>0</v>
      </c>
      <c r="X261" s="873">
        <f t="shared" si="80"/>
        <v>0</v>
      </c>
      <c r="Y261" s="873">
        <f t="shared" si="81"/>
        <v>0</v>
      </c>
      <c r="Z261" s="885">
        <f t="shared" si="82"/>
        <v>0</v>
      </c>
    </row>
    <row r="262" spans="2:26" s="278" customFormat="1" ht="12" customHeight="1" x14ac:dyDescent="0.25">
      <c r="B262" s="1192">
        <f t="shared" si="90"/>
        <v>262</v>
      </c>
      <c r="C262" s="732">
        <f t="shared" si="74"/>
        <v>31</v>
      </c>
      <c r="D262" s="35">
        <f t="shared" si="75"/>
        <v>12</v>
      </c>
      <c r="E262" s="889">
        <f t="shared" si="93"/>
        <v>54057</v>
      </c>
      <c r="F262" s="822">
        <f t="shared" si="76"/>
        <v>12</v>
      </c>
      <c r="G262" s="126">
        <f t="shared" si="77"/>
        <v>1</v>
      </c>
      <c r="H262" s="1098">
        <f t="shared" si="94"/>
        <v>0</v>
      </c>
      <c r="I262" s="887">
        <f t="shared" si="91"/>
        <v>243</v>
      </c>
      <c r="J262" s="1099">
        <f t="shared" si="83"/>
        <v>243</v>
      </c>
      <c r="K262" s="891" t="str">
        <f t="shared" si="84"/>
        <v>December</v>
      </c>
      <c r="L262" s="888">
        <f t="shared" si="92"/>
        <v>2047</v>
      </c>
      <c r="M262" s="883">
        <f t="shared" si="85"/>
        <v>0</v>
      </c>
      <c r="N262" s="883">
        <f t="shared" si="86"/>
        <v>0</v>
      </c>
      <c r="O262" s="1100"/>
      <c r="P262" s="883">
        <f t="shared" si="78"/>
        <v>0</v>
      </c>
      <c r="Q262" s="884">
        <f t="shared" si="87"/>
        <v>0</v>
      </c>
      <c r="R262" s="884">
        <f>IF(AND($AR$39="Early Payoff",I262&gt;=$R$13),0,IF($I262&lt;=$R$6,SUM($P$20:$P262),0))</f>
        <v>0</v>
      </c>
      <c r="S262" s="884">
        <f>IF(AND($AR$39="Early Payoff",I262&gt;=$R$13),0,IF($I262&lt;=$R$6,SUM($Q$20:$Q262),0))</f>
        <v>0</v>
      </c>
      <c r="T262" s="873">
        <f t="shared" si="88"/>
        <v>0</v>
      </c>
      <c r="U262" s="1110">
        <f t="shared" si="89"/>
        <v>0</v>
      </c>
      <c r="W262" s="1102">
        <f t="shared" si="79"/>
        <v>0</v>
      </c>
      <c r="X262" s="873">
        <f t="shared" si="80"/>
        <v>0</v>
      </c>
      <c r="Y262" s="873">
        <f t="shared" si="81"/>
        <v>0</v>
      </c>
      <c r="Z262" s="885">
        <f t="shared" si="82"/>
        <v>0</v>
      </c>
    </row>
    <row r="263" spans="2:26" s="278" customFormat="1" ht="12" customHeight="1" x14ac:dyDescent="0.25">
      <c r="B263" s="1192">
        <f t="shared" si="90"/>
        <v>263</v>
      </c>
      <c r="C263" s="732">
        <f t="shared" si="74"/>
        <v>31</v>
      </c>
      <c r="D263" s="35">
        <f t="shared" si="75"/>
        <v>1</v>
      </c>
      <c r="E263" s="889">
        <f t="shared" si="93"/>
        <v>54088</v>
      </c>
      <c r="F263" s="822">
        <f t="shared" si="76"/>
        <v>1</v>
      </c>
      <c r="G263" s="126">
        <f t="shared" si="77"/>
        <v>0</v>
      </c>
      <c r="H263" s="1098">
        <f t="shared" si="94"/>
        <v>0</v>
      </c>
      <c r="I263" s="887">
        <f t="shared" si="91"/>
        <v>244</v>
      </c>
      <c r="J263" s="1099">
        <f t="shared" si="83"/>
        <v>244</v>
      </c>
      <c r="K263" s="891" t="str">
        <f t="shared" si="84"/>
        <v>January</v>
      </c>
      <c r="L263" s="888">
        <f t="shared" si="92"/>
        <v>2048</v>
      </c>
      <c r="M263" s="883">
        <f t="shared" si="85"/>
        <v>0</v>
      </c>
      <c r="N263" s="883">
        <f t="shared" si="86"/>
        <v>0</v>
      </c>
      <c r="O263" s="1100"/>
      <c r="P263" s="883">
        <f t="shared" si="78"/>
        <v>0</v>
      </c>
      <c r="Q263" s="884">
        <f t="shared" si="87"/>
        <v>0</v>
      </c>
      <c r="R263" s="884">
        <f>IF(AND($AR$39="Early Payoff",I263&gt;=$R$13),0,IF($I263&lt;=$R$6,SUM($P$20:$P263),0))</f>
        <v>0</v>
      </c>
      <c r="S263" s="884">
        <f>IF(AND($AR$39="Early Payoff",I263&gt;=$R$13),0,IF($I263&lt;=$R$6,SUM($Q$20:$Q263),0))</f>
        <v>0</v>
      </c>
      <c r="T263" s="873">
        <f t="shared" si="88"/>
        <v>0</v>
      </c>
      <c r="U263" s="1110">
        <f t="shared" si="89"/>
        <v>0</v>
      </c>
      <c r="W263" s="1102">
        <f t="shared" si="79"/>
        <v>0</v>
      </c>
      <c r="X263" s="873">
        <f t="shared" si="80"/>
        <v>0</v>
      </c>
      <c r="Y263" s="873">
        <f t="shared" si="81"/>
        <v>0</v>
      </c>
      <c r="Z263" s="885">
        <f t="shared" si="82"/>
        <v>0</v>
      </c>
    </row>
    <row r="264" spans="2:26" s="278" customFormat="1" ht="12" customHeight="1" x14ac:dyDescent="0.25">
      <c r="B264" s="1192">
        <f t="shared" si="90"/>
        <v>264</v>
      </c>
      <c r="C264" s="732">
        <f t="shared" si="74"/>
        <v>29</v>
      </c>
      <c r="D264" s="35">
        <f t="shared" si="75"/>
        <v>2</v>
      </c>
      <c r="E264" s="889">
        <f t="shared" si="93"/>
        <v>54117</v>
      </c>
      <c r="F264" s="822">
        <f t="shared" si="76"/>
        <v>2</v>
      </c>
      <c r="G264" s="126">
        <f t="shared" si="77"/>
        <v>0</v>
      </c>
      <c r="H264" s="1098">
        <f t="shared" si="94"/>
        <v>0</v>
      </c>
      <c r="I264" s="887">
        <f t="shared" si="91"/>
        <v>245</v>
      </c>
      <c r="J264" s="1099">
        <f t="shared" si="83"/>
        <v>245</v>
      </c>
      <c r="K264" s="891" t="str">
        <f t="shared" si="84"/>
        <v>February</v>
      </c>
      <c r="L264" s="888">
        <f t="shared" si="92"/>
        <v>2048</v>
      </c>
      <c r="M264" s="883">
        <f t="shared" si="85"/>
        <v>0</v>
      </c>
      <c r="N264" s="883">
        <f t="shared" si="86"/>
        <v>0</v>
      </c>
      <c r="O264" s="1100"/>
      <c r="P264" s="883">
        <f t="shared" si="78"/>
        <v>0</v>
      </c>
      <c r="Q264" s="884">
        <f t="shared" si="87"/>
        <v>0</v>
      </c>
      <c r="R264" s="884">
        <f>IF(AND($AR$39="Early Payoff",I264&gt;=$R$13),0,IF($I264&lt;=$R$6,SUM($P$20:$P264),0))</f>
        <v>0</v>
      </c>
      <c r="S264" s="884">
        <f>IF(AND($AR$39="Early Payoff",I264&gt;=$R$13),0,IF($I264&lt;=$R$6,SUM($Q$20:$Q264),0))</f>
        <v>0</v>
      </c>
      <c r="T264" s="873">
        <f t="shared" si="88"/>
        <v>0</v>
      </c>
      <c r="U264" s="1110">
        <f t="shared" si="89"/>
        <v>0</v>
      </c>
      <c r="W264" s="1102">
        <f t="shared" si="79"/>
        <v>0</v>
      </c>
      <c r="X264" s="873">
        <f t="shared" si="80"/>
        <v>0</v>
      </c>
      <c r="Y264" s="873">
        <f t="shared" si="81"/>
        <v>0</v>
      </c>
      <c r="Z264" s="885">
        <f t="shared" si="82"/>
        <v>0</v>
      </c>
    </row>
    <row r="265" spans="2:26" s="278" customFormat="1" ht="12" customHeight="1" x14ac:dyDescent="0.25">
      <c r="B265" s="1192">
        <f t="shared" si="90"/>
        <v>265</v>
      </c>
      <c r="C265" s="732">
        <f t="shared" si="74"/>
        <v>31</v>
      </c>
      <c r="D265" s="35">
        <f t="shared" si="75"/>
        <v>3</v>
      </c>
      <c r="E265" s="889">
        <f t="shared" si="93"/>
        <v>54148</v>
      </c>
      <c r="F265" s="822">
        <f t="shared" si="76"/>
        <v>3</v>
      </c>
      <c r="G265" s="126">
        <f t="shared" si="77"/>
        <v>0</v>
      </c>
      <c r="H265" s="1098">
        <f t="shared" si="94"/>
        <v>0</v>
      </c>
      <c r="I265" s="887">
        <f t="shared" si="91"/>
        <v>246</v>
      </c>
      <c r="J265" s="1099">
        <f t="shared" si="83"/>
        <v>246</v>
      </c>
      <c r="K265" s="891" t="str">
        <f t="shared" si="84"/>
        <v>March</v>
      </c>
      <c r="L265" s="888">
        <f t="shared" si="92"/>
        <v>2048</v>
      </c>
      <c r="M265" s="883">
        <f t="shared" si="85"/>
        <v>0</v>
      </c>
      <c r="N265" s="883">
        <f t="shared" si="86"/>
        <v>0</v>
      </c>
      <c r="O265" s="1100"/>
      <c r="P265" s="883">
        <f t="shared" si="78"/>
        <v>0</v>
      </c>
      <c r="Q265" s="884">
        <f t="shared" si="87"/>
        <v>0</v>
      </c>
      <c r="R265" s="884">
        <f>IF(AND($AR$39="Early Payoff",I265&gt;=$R$13),0,IF($I265&lt;=$R$6,SUM($P$20:$P265),0))</f>
        <v>0</v>
      </c>
      <c r="S265" s="884">
        <f>IF(AND($AR$39="Early Payoff",I265&gt;=$R$13),0,IF($I265&lt;=$R$6,SUM($Q$20:$Q265),0))</f>
        <v>0</v>
      </c>
      <c r="T265" s="873">
        <f t="shared" si="88"/>
        <v>0</v>
      </c>
      <c r="U265" s="1110">
        <f t="shared" si="89"/>
        <v>0</v>
      </c>
      <c r="W265" s="1102">
        <f t="shared" si="79"/>
        <v>0</v>
      </c>
      <c r="X265" s="873">
        <f t="shared" si="80"/>
        <v>0</v>
      </c>
      <c r="Y265" s="873">
        <f t="shared" si="81"/>
        <v>0</v>
      </c>
      <c r="Z265" s="885">
        <f t="shared" si="82"/>
        <v>0</v>
      </c>
    </row>
    <row r="266" spans="2:26" s="278" customFormat="1" ht="12" customHeight="1" x14ac:dyDescent="0.25">
      <c r="B266" s="1192">
        <f t="shared" si="90"/>
        <v>266</v>
      </c>
      <c r="C266" s="732">
        <f t="shared" si="74"/>
        <v>30</v>
      </c>
      <c r="D266" s="35">
        <f t="shared" si="75"/>
        <v>4</v>
      </c>
      <c r="E266" s="889">
        <f t="shared" si="93"/>
        <v>54178</v>
      </c>
      <c r="F266" s="822">
        <f t="shared" si="76"/>
        <v>4</v>
      </c>
      <c r="G266" s="126">
        <f t="shared" si="77"/>
        <v>0</v>
      </c>
      <c r="H266" s="1098">
        <f t="shared" si="94"/>
        <v>0</v>
      </c>
      <c r="I266" s="887">
        <f t="shared" si="91"/>
        <v>247</v>
      </c>
      <c r="J266" s="1099">
        <f t="shared" si="83"/>
        <v>247</v>
      </c>
      <c r="K266" s="891" t="str">
        <f t="shared" si="84"/>
        <v>April</v>
      </c>
      <c r="L266" s="888">
        <f t="shared" si="92"/>
        <v>2048</v>
      </c>
      <c r="M266" s="883">
        <f t="shared" si="85"/>
        <v>0</v>
      </c>
      <c r="N266" s="883">
        <f t="shared" si="86"/>
        <v>0</v>
      </c>
      <c r="O266" s="1100"/>
      <c r="P266" s="883">
        <f t="shared" si="78"/>
        <v>0</v>
      </c>
      <c r="Q266" s="884">
        <f t="shared" si="87"/>
        <v>0</v>
      </c>
      <c r="R266" s="884">
        <f>IF(AND($AR$39="Early Payoff",I266&gt;=$R$13),0,IF($I266&lt;=$R$6,SUM($P$20:$P266),0))</f>
        <v>0</v>
      </c>
      <c r="S266" s="884">
        <f>IF(AND($AR$39="Early Payoff",I266&gt;=$R$13),0,IF($I266&lt;=$R$6,SUM($Q$20:$Q266),0))</f>
        <v>0</v>
      </c>
      <c r="T266" s="873">
        <f t="shared" si="88"/>
        <v>0</v>
      </c>
      <c r="U266" s="1110">
        <f t="shared" si="89"/>
        <v>0</v>
      </c>
      <c r="W266" s="1102">
        <f t="shared" si="79"/>
        <v>0</v>
      </c>
      <c r="X266" s="873">
        <f t="shared" si="80"/>
        <v>0</v>
      </c>
      <c r="Y266" s="873">
        <f t="shared" si="81"/>
        <v>0</v>
      </c>
      <c r="Z266" s="885">
        <f t="shared" si="82"/>
        <v>0</v>
      </c>
    </row>
    <row r="267" spans="2:26" s="278" customFormat="1" ht="12" customHeight="1" x14ac:dyDescent="0.25">
      <c r="B267" s="1192">
        <f t="shared" si="90"/>
        <v>267</v>
      </c>
      <c r="C267" s="732">
        <f t="shared" si="74"/>
        <v>31</v>
      </c>
      <c r="D267" s="35">
        <f t="shared" si="75"/>
        <v>5</v>
      </c>
      <c r="E267" s="889">
        <f t="shared" si="93"/>
        <v>54209</v>
      </c>
      <c r="F267" s="822">
        <f t="shared" si="76"/>
        <v>5</v>
      </c>
      <c r="G267" s="126">
        <f t="shared" si="77"/>
        <v>0</v>
      </c>
      <c r="H267" s="1098">
        <f t="shared" si="94"/>
        <v>0</v>
      </c>
      <c r="I267" s="887">
        <f t="shared" si="91"/>
        <v>248</v>
      </c>
      <c r="J267" s="1099">
        <f t="shared" si="83"/>
        <v>248</v>
      </c>
      <c r="K267" s="891" t="str">
        <f t="shared" si="84"/>
        <v>May</v>
      </c>
      <c r="L267" s="888">
        <f t="shared" si="92"/>
        <v>2048</v>
      </c>
      <c r="M267" s="883">
        <f t="shared" si="85"/>
        <v>0</v>
      </c>
      <c r="N267" s="883">
        <f t="shared" si="86"/>
        <v>0</v>
      </c>
      <c r="O267" s="1100"/>
      <c r="P267" s="883">
        <f t="shared" si="78"/>
        <v>0</v>
      </c>
      <c r="Q267" s="884">
        <f t="shared" si="87"/>
        <v>0</v>
      </c>
      <c r="R267" s="884">
        <f>IF(AND($AR$39="Early Payoff",I267&gt;=$R$13),0,IF($I267&lt;=$R$6,SUM($P$20:$P267),0))</f>
        <v>0</v>
      </c>
      <c r="S267" s="884">
        <f>IF(AND($AR$39="Early Payoff",I267&gt;=$R$13),0,IF($I267&lt;=$R$6,SUM($Q$20:$Q267),0))</f>
        <v>0</v>
      </c>
      <c r="T267" s="873">
        <f t="shared" si="88"/>
        <v>0</v>
      </c>
      <c r="U267" s="1110">
        <f t="shared" si="89"/>
        <v>0</v>
      </c>
      <c r="W267" s="1102">
        <f t="shared" si="79"/>
        <v>0</v>
      </c>
      <c r="X267" s="873">
        <f t="shared" si="80"/>
        <v>0</v>
      </c>
      <c r="Y267" s="873">
        <f t="shared" si="81"/>
        <v>0</v>
      </c>
      <c r="Z267" s="885">
        <f t="shared" si="82"/>
        <v>0</v>
      </c>
    </row>
    <row r="268" spans="2:26" s="278" customFormat="1" ht="12" customHeight="1" x14ac:dyDescent="0.25">
      <c r="B268" s="1192">
        <f t="shared" si="90"/>
        <v>268</v>
      </c>
      <c r="C268" s="732">
        <f t="shared" si="74"/>
        <v>30</v>
      </c>
      <c r="D268" s="35">
        <f t="shared" si="75"/>
        <v>6</v>
      </c>
      <c r="E268" s="889">
        <f t="shared" si="93"/>
        <v>54239</v>
      </c>
      <c r="F268" s="822">
        <f t="shared" si="76"/>
        <v>6</v>
      </c>
      <c r="G268" s="126">
        <f t="shared" si="77"/>
        <v>0</v>
      </c>
      <c r="H268" s="1098">
        <f t="shared" si="94"/>
        <v>0</v>
      </c>
      <c r="I268" s="887">
        <f t="shared" si="91"/>
        <v>249</v>
      </c>
      <c r="J268" s="1099">
        <f t="shared" si="83"/>
        <v>249</v>
      </c>
      <c r="K268" s="891" t="str">
        <f t="shared" si="84"/>
        <v>June</v>
      </c>
      <c r="L268" s="888">
        <f t="shared" si="92"/>
        <v>2048</v>
      </c>
      <c r="M268" s="883">
        <f t="shared" si="85"/>
        <v>0</v>
      </c>
      <c r="N268" s="883">
        <f t="shared" si="86"/>
        <v>0</v>
      </c>
      <c r="O268" s="1100"/>
      <c r="P268" s="883">
        <f t="shared" si="78"/>
        <v>0</v>
      </c>
      <c r="Q268" s="884">
        <f t="shared" si="87"/>
        <v>0</v>
      </c>
      <c r="R268" s="884">
        <f>IF(AND($AR$39="Early Payoff",I268&gt;=$R$13),0,IF($I268&lt;=$R$6,SUM($P$20:$P268),0))</f>
        <v>0</v>
      </c>
      <c r="S268" s="884">
        <f>IF(AND($AR$39="Early Payoff",I268&gt;=$R$13),0,IF($I268&lt;=$R$6,SUM($Q$20:$Q268),0))</f>
        <v>0</v>
      </c>
      <c r="T268" s="873">
        <f t="shared" si="88"/>
        <v>0</v>
      </c>
      <c r="U268" s="1110">
        <f t="shared" si="89"/>
        <v>0</v>
      </c>
      <c r="W268" s="1102">
        <f t="shared" si="79"/>
        <v>0</v>
      </c>
      <c r="X268" s="873">
        <f t="shared" si="80"/>
        <v>0</v>
      </c>
      <c r="Y268" s="873">
        <f t="shared" si="81"/>
        <v>0</v>
      </c>
      <c r="Z268" s="885">
        <f t="shared" si="82"/>
        <v>0</v>
      </c>
    </row>
    <row r="269" spans="2:26" s="278" customFormat="1" ht="12" customHeight="1" x14ac:dyDescent="0.25">
      <c r="B269" s="1192">
        <f t="shared" si="90"/>
        <v>269</v>
      </c>
      <c r="C269" s="732">
        <f t="shared" si="74"/>
        <v>31</v>
      </c>
      <c r="D269" s="35">
        <f t="shared" si="75"/>
        <v>7</v>
      </c>
      <c r="E269" s="889">
        <f t="shared" si="93"/>
        <v>54270</v>
      </c>
      <c r="F269" s="822">
        <f t="shared" si="76"/>
        <v>7</v>
      </c>
      <c r="G269" s="126">
        <f t="shared" si="77"/>
        <v>0</v>
      </c>
      <c r="H269" s="1098">
        <f t="shared" si="94"/>
        <v>0</v>
      </c>
      <c r="I269" s="887">
        <f t="shared" si="91"/>
        <v>250</v>
      </c>
      <c r="J269" s="1099">
        <f t="shared" si="83"/>
        <v>250</v>
      </c>
      <c r="K269" s="891" t="str">
        <f t="shared" si="84"/>
        <v>July</v>
      </c>
      <c r="L269" s="888">
        <f t="shared" si="92"/>
        <v>2048</v>
      </c>
      <c r="M269" s="883">
        <f t="shared" si="85"/>
        <v>0</v>
      </c>
      <c r="N269" s="883">
        <f t="shared" si="86"/>
        <v>0</v>
      </c>
      <c r="O269" s="1100"/>
      <c r="P269" s="883">
        <f t="shared" si="78"/>
        <v>0</v>
      </c>
      <c r="Q269" s="884">
        <f t="shared" si="87"/>
        <v>0</v>
      </c>
      <c r="R269" s="884">
        <f>IF(AND($AR$39="Early Payoff",I269&gt;=$R$13),0,IF($I269&lt;=$R$6,SUM($P$20:$P269),0))</f>
        <v>0</v>
      </c>
      <c r="S269" s="884">
        <f>IF(AND($AR$39="Early Payoff",I269&gt;=$R$13),0,IF($I269&lt;=$R$6,SUM($Q$20:$Q269),0))</f>
        <v>0</v>
      </c>
      <c r="T269" s="873">
        <f t="shared" si="88"/>
        <v>0</v>
      </c>
      <c r="U269" s="1110">
        <f t="shared" si="89"/>
        <v>0</v>
      </c>
      <c r="W269" s="1102">
        <f t="shared" si="79"/>
        <v>0</v>
      </c>
      <c r="X269" s="873">
        <f t="shared" si="80"/>
        <v>0</v>
      </c>
      <c r="Y269" s="873">
        <f t="shared" si="81"/>
        <v>0</v>
      </c>
      <c r="Z269" s="885">
        <f t="shared" si="82"/>
        <v>0</v>
      </c>
    </row>
    <row r="270" spans="2:26" s="278" customFormat="1" ht="12" customHeight="1" x14ac:dyDescent="0.25">
      <c r="B270" s="1192">
        <f t="shared" si="90"/>
        <v>270</v>
      </c>
      <c r="C270" s="732">
        <f t="shared" si="74"/>
        <v>31</v>
      </c>
      <c r="D270" s="35">
        <f t="shared" si="75"/>
        <v>8</v>
      </c>
      <c r="E270" s="889">
        <f t="shared" si="93"/>
        <v>54301</v>
      </c>
      <c r="F270" s="822">
        <f t="shared" si="76"/>
        <v>8</v>
      </c>
      <c r="G270" s="126">
        <f t="shared" si="77"/>
        <v>0</v>
      </c>
      <c r="H270" s="1098">
        <f t="shared" si="94"/>
        <v>0</v>
      </c>
      <c r="I270" s="887">
        <f t="shared" si="91"/>
        <v>251</v>
      </c>
      <c r="J270" s="1099">
        <f t="shared" si="83"/>
        <v>251</v>
      </c>
      <c r="K270" s="891" t="str">
        <f t="shared" si="84"/>
        <v>August</v>
      </c>
      <c r="L270" s="888">
        <f t="shared" si="92"/>
        <v>2048</v>
      </c>
      <c r="M270" s="883">
        <f t="shared" si="85"/>
        <v>0</v>
      </c>
      <c r="N270" s="883">
        <f t="shared" si="86"/>
        <v>0</v>
      </c>
      <c r="O270" s="1100"/>
      <c r="P270" s="883">
        <f t="shared" si="78"/>
        <v>0</v>
      </c>
      <c r="Q270" s="884">
        <f t="shared" si="87"/>
        <v>0</v>
      </c>
      <c r="R270" s="884">
        <f>IF(AND($AR$39="Early Payoff",I270&gt;=$R$13),0,IF($I270&lt;=$R$6,SUM($P$20:$P270),0))</f>
        <v>0</v>
      </c>
      <c r="S270" s="884">
        <f>IF(AND($AR$39="Early Payoff",I270&gt;=$R$13),0,IF($I270&lt;=$R$6,SUM($Q$20:$Q270),0))</f>
        <v>0</v>
      </c>
      <c r="T270" s="873">
        <f t="shared" si="88"/>
        <v>0</v>
      </c>
      <c r="U270" s="1110">
        <f t="shared" si="89"/>
        <v>0</v>
      </c>
      <c r="W270" s="1102">
        <f t="shared" si="79"/>
        <v>0</v>
      </c>
      <c r="X270" s="873">
        <f t="shared" si="80"/>
        <v>0</v>
      </c>
      <c r="Y270" s="873">
        <f t="shared" si="81"/>
        <v>0</v>
      </c>
      <c r="Z270" s="885">
        <f t="shared" si="82"/>
        <v>0</v>
      </c>
    </row>
    <row r="271" spans="2:26" s="278" customFormat="1" ht="12" customHeight="1" x14ac:dyDescent="0.25">
      <c r="B271" s="1192">
        <f t="shared" si="90"/>
        <v>271</v>
      </c>
      <c r="C271" s="732">
        <f t="shared" si="74"/>
        <v>30</v>
      </c>
      <c r="D271" s="35">
        <f t="shared" si="75"/>
        <v>9</v>
      </c>
      <c r="E271" s="889">
        <f t="shared" si="93"/>
        <v>54331</v>
      </c>
      <c r="F271" s="822">
        <f t="shared" si="76"/>
        <v>9</v>
      </c>
      <c r="G271" s="126">
        <f t="shared" si="77"/>
        <v>0</v>
      </c>
      <c r="H271" s="1098">
        <f t="shared" si="94"/>
        <v>0</v>
      </c>
      <c r="I271" s="887">
        <f t="shared" si="91"/>
        <v>252</v>
      </c>
      <c r="J271" s="1099">
        <f t="shared" si="83"/>
        <v>252</v>
      </c>
      <c r="K271" s="891" t="str">
        <f t="shared" si="84"/>
        <v>September</v>
      </c>
      <c r="L271" s="888">
        <f t="shared" si="92"/>
        <v>2048</v>
      </c>
      <c r="M271" s="883">
        <f t="shared" si="85"/>
        <v>0</v>
      </c>
      <c r="N271" s="883">
        <f t="shared" si="86"/>
        <v>0</v>
      </c>
      <c r="O271" s="1100"/>
      <c r="P271" s="883">
        <f t="shared" si="78"/>
        <v>0</v>
      </c>
      <c r="Q271" s="884">
        <f t="shared" si="87"/>
        <v>0</v>
      </c>
      <c r="R271" s="884">
        <f>IF(AND($AR$39="Early Payoff",I271&gt;=$R$13),0,IF($I271&lt;=$R$6,SUM($P$20:$P271),0))</f>
        <v>0</v>
      </c>
      <c r="S271" s="884">
        <f>IF(AND($AR$39="Early Payoff",I271&gt;=$R$13),0,IF($I271&lt;=$R$6,SUM($Q$20:$Q271),0))</f>
        <v>0</v>
      </c>
      <c r="T271" s="873">
        <f t="shared" si="88"/>
        <v>0</v>
      </c>
      <c r="U271" s="1110">
        <f t="shared" si="89"/>
        <v>0</v>
      </c>
      <c r="W271" s="1102">
        <f t="shared" si="79"/>
        <v>0</v>
      </c>
      <c r="X271" s="873">
        <f t="shared" si="80"/>
        <v>0</v>
      </c>
      <c r="Y271" s="873">
        <f t="shared" si="81"/>
        <v>0</v>
      </c>
      <c r="Z271" s="885">
        <f t="shared" si="82"/>
        <v>0</v>
      </c>
    </row>
    <row r="272" spans="2:26" s="278" customFormat="1" ht="12" customHeight="1" x14ac:dyDescent="0.25">
      <c r="B272" s="1192">
        <f t="shared" si="90"/>
        <v>272</v>
      </c>
      <c r="C272" s="732">
        <f t="shared" si="74"/>
        <v>31</v>
      </c>
      <c r="D272" s="35">
        <f t="shared" si="75"/>
        <v>10</v>
      </c>
      <c r="E272" s="889">
        <f t="shared" si="93"/>
        <v>54362</v>
      </c>
      <c r="F272" s="822">
        <f t="shared" si="76"/>
        <v>10</v>
      </c>
      <c r="G272" s="126">
        <f t="shared" si="77"/>
        <v>0</v>
      </c>
      <c r="H272" s="1098">
        <f t="shared" si="94"/>
        <v>0</v>
      </c>
      <c r="I272" s="887">
        <f t="shared" si="91"/>
        <v>253</v>
      </c>
      <c r="J272" s="1099">
        <f t="shared" si="83"/>
        <v>253</v>
      </c>
      <c r="K272" s="891" t="str">
        <f t="shared" si="84"/>
        <v>October</v>
      </c>
      <c r="L272" s="888">
        <f t="shared" si="92"/>
        <v>2048</v>
      </c>
      <c r="M272" s="883">
        <f t="shared" si="85"/>
        <v>0</v>
      </c>
      <c r="N272" s="883">
        <f t="shared" si="86"/>
        <v>0</v>
      </c>
      <c r="O272" s="1100"/>
      <c r="P272" s="883">
        <f t="shared" si="78"/>
        <v>0</v>
      </c>
      <c r="Q272" s="884">
        <f t="shared" si="87"/>
        <v>0</v>
      </c>
      <c r="R272" s="884">
        <f>IF(AND($AR$39="Early Payoff",I272&gt;=$R$13),0,IF($I272&lt;=$R$6,SUM($P$20:$P272),0))</f>
        <v>0</v>
      </c>
      <c r="S272" s="884">
        <f>IF(AND($AR$39="Early Payoff",I272&gt;=$R$13),0,IF($I272&lt;=$R$6,SUM($Q$20:$Q272),0))</f>
        <v>0</v>
      </c>
      <c r="T272" s="873">
        <f t="shared" si="88"/>
        <v>0</v>
      </c>
      <c r="U272" s="1110">
        <f t="shared" si="89"/>
        <v>0</v>
      </c>
      <c r="W272" s="1102">
        <f t="shared" si="79"/>
        <v>0</v>
      </c>
      <c r="X272" s="873">
        <f t="shared" si="80"/>
        <v>0</v>
      </c>
      <c r="Y272" s="873">
        <f t="shared" si="81"/>
        <v>0</v>
      </c>
      <c r="Z272" s="885">
        <f t="shared" si="82"/>
        <v>0</v>
      </c>
    </row>
    <row r="273" spans="2:26" s="278" customFormat="1" ht="12" customHeight="1" x14ac:dyDescent="0.25">
      <c r="B273" s="1192">
        <f t="shared" si="90"/>
        <v>273</v>
      </c>
      <c r="C273" s="732">
        <f t="shared" si="74"/>
        <v>30</v>
      </c>
      <c r="D273" s="35">
        <f t="shared" si="75"/>
        <v>11</v>
      </c>
      <c r="E273" s="889">
        <f t="shared" si="93"/>
        <v>54392</v>
      </c>
      <c r="F273" s="822">
        <f t="shared" si="76"/>
        <v>11</v>
      </c>
      <c r="G273" s="126">
        <f t="shared" si="77"/>
        <v>0</v>
      </c>
      <c r="H273" s="1098">
        <f t="shared" si="94"/>
        <v>0</v>
      </c>
      <c r="I273" s="887">
        <f t="shared" si="91"/>
        <v>254</v>
      </c>
      <c r="J273" s="1099">
        <f t="shared" si="83"/>
        <v>254</v>
      </c>
      <c r="K273" s="891" t="str">
        <f t="shared" si="84"/>
        <v>November</v>
      </c>
      <c r="L273" s="888">
        <f t="shared" si="92"/>
        <v>2048</v>
      </c>
      <c r="M273" s="883">
        <f t="shared" si="85"/>
        <v>0</v>
      </c>
      <c r="N273" s="883">
        <f t="shared" si="86"/>
        <v>0</v>
      </c>
      <c r="O273" s="1100"/>
      <c r="P273" s="883">
        <f t="shared" si="78"/>
        <v>0</v>
      </c>
      <c r="Q273" s="884">
        <f t="shared" si="87"/>
        <v>0</v>
      </c>
      <c r="R273" s="884">
        <f>IF(AND($AR$39="Early Payoff",I273&gt;=$R$13),0,IF($I273&lt;=$R$6,SUM($P$20:$P273),0))</f>
        <v>0</v>
      </c>
      <c r="S273" s="884">
        <f>IF(AND($AR$39="Early Payoff",I273&gt;=$R$13),0,IF($I273&lt;=$R$6,SUM($Q$20:$Q273),0))</f>
        <v>0</v>
      </c>
      <c r="T273" s="873">
        <f t="shared" si="88"/>
        <v>0</v>
      </c>
      <c r="U273" s="1110">
        <f t="shared" si="89"/>
        <v>0</v>
      </c>
      <c r="W273" s="1102">
        <f t="shared" si="79"/>
        <v>0</v>
      </c>
      <c r="X273" s="873">
        <f t="shared" si="80"/>
        <v>0</v>
      </c>
      <c r="Y273" s="873">
        <f t="shared" si="81"/>
        <v>0</v>
      </c>
      <c r="Z273" s="885">
        <f t="shared" si="82"/>
        <v>0</v>
      </c>
    </row>
    <row r="274" spans="2:26" s="278" customFormat="1" ht="12" customHeight="1" x14ac:dyDescent="0.25">
      <c r="B274" s="1192">
        <f t="shared" si="90"/>
        <v>274</v>
      </c>
      <c r="C274" s="732">
        <f t="shared" si="74"/>
        <v>31</v>
      </c>
      <c r="D274" s="35">
        <f t="shared" si="75"/>
        <v>12</v>
      </c>
      <c r="E274" s="889">
        <f t="shared" si="93"/>
        <v>54423</v>
      </c>
      <c r="F274" s="822">
        <f t="shared" si="76"/>
        <v>12</v>
      </c>
      <c r="G274" s="126">
        <f t="shared" si="77"/>
        <v>1</v>
      </c>
      <c r="H274" s="1098">
        <f t="shared" si="94"/>
        <v>0</v>
      </c>
      <c r="I274" s="887">
        <f t="shared" si="91"/>
        <v>255</v>
      </c>
      <c r="J274" s="1099">
        <f t="shared" si="83"/>
        <v>255</v>
      </c>
      <c r="K274" s="891" t="str">
        <f t="shared" si="84"/>
        <v>December</v>
      </c>
      <c r="L274" s="888">
        <f t="shared" si="92"/>
        <v>2048</v>
      </c>
      <c r="M274" s="883">
        <f t="shared" si="85"/>
        <v>0</v>
      </c>
      <c r="N274" s="883">
        <f t="shared" si="86"/>
        <v>0</v>
      </c>
      <c r="O274" s="1100"/>
      <c r="P274" s="883">
        <f t="shared" si="78"/>
        <v>0</v>
      </c>
      <c r="Q274" s="884">
        <f t="shared" si="87"/>
        <v>0</v>
      </c>
      <c r="R274" s="884">
        <f>IF(AND($AR$39="Early Payoff",I274&gt;=$R$13),0,IF($I274&lt;=$R$6,SUM($P$20:$P274),0))</f>
        <v>0</v>
      </c>
      <c r="S274" s="884">
        <f>IF(AND($AR$39="Early Payoff",I274&gt;=$R$13),0,IF($I274&lt;=$R$6,SUM($Q$20:$Q274),0))</f>
        <v>0</v>
      </c>
      <c r="T274" s="873">
        <f t="shared" si="88"/>
        <v>0</v>
      </c>
      <c r="U274" s="1110">
        <f t="shared" si="89"/>
        <v>0</v>
      </c>
      <c r="W274" s="1102">
        <f t="shared" si="79"/>
        <v>0</v>
      </c>
      <c r="X274" s="873">
        <f t="shared" si="80"/>
        <v>0</v>
      </c>
      <c r="Y274" s="873">
        <f t="shared" si="81"/>
        <v>0</v>
      </c>
      <c r="Z274" s="885">
        <f t="shared" si="82"/>
        <v>0</v>
      </c>
    </row>
    <row r="275" spans="2:26" s="278" customFormat="1" ht="12" customHeight="1" x14ac:dyDescent="0.25">
      <c r="B275" s="1192">
        <f t="shared" si="90"/>
        <v>275</v>
      </c>
      <c r="C275" s="732">
        <f t="shared" si="74"/>
        <v>31</v>
      </c>
      <c r="D275" s="35">
        <f t="shared" si="75"/>
        <v>1</v>
      </c>
      <c r="E275" s="889">
        <f t="shared" si="93"/>
        <v>54454</v>
      </c>
      <c r="F275" s="822">
        <f t="shared" si="76"/>
        <v>1</v>
      </c>
      <c r="G275" s="126">
        <f t="shared" si="77"/>
        <v>0</v>
      </c>
      <c r="H275" s="1098">
        <f t="shared" si="94"/>
        <v>0</v>
      </c>
      <c r="I275" s="887">
        <f t="shared" si="91"/>
        <v>256</v>
      </c>
      <c r="J275" s="1099">
        <f t="shared" si="83"/>
        <v>256</v>
      </c>
      <c r="K275" s="891" t="str">
        <f t="shared" si="84"/>
        <v>January</v>
      </c>
      <c r="L275" s="888">
        <f t="shared" si="92"/>
        <v>2049</v>
      </c>
      <c r="M275" s="883">
        <f t="shared" si="85"/>
        <v>0</v>
      </c>
      <c r="N275" s="883">
        <f t="shared" si="86"/>
        <v>0</v>
      </c>
      <c r="O275" s="1100"/>
      <c r="P275" s="883">
        <f t="shared" si="78"/>
        <v>0</v>
      </c>
      <c r="Q275" s="884">
        <f t="shared" si="87"/>
        <v>0</v>
      </c>
      <c r="R275" s="884">
        <f>IF(AND($AR$39="Early Payoff",I275&gt;=$R$13),0,IF($I275&lt;=$R$6,SUM($P$20:$P275),0))</f>
        <v>0</v>
      </c>
      <c r="S275" s="884">
        <f>IF(AND($AR$39="Early Payoff",I275&gt;=$R$13),0,IF($I275&lt;=$R$6,SUM($Q$20:$Q275),0))</f>
        <v>0</v>
      </c>
      <c r="T275" s="873">
        <f t="shared" si="88"/>
        <v>0</v>
      </c>
      <c r="U275" s="1110">
        <f t="shared" si="89"/>
        <v>0</v>
      </c>
      <c r="W275" s="1102">
        <f t="shared" si="79"/>
        <v>0</v>
      </c>
      <c r="X275" s="873">
        <f t="shared" si="80"/>
        <v>0</v>
      </c>
      <c r="Y275" s="873">
        <f t="shared" si="81"/>
        <v>0</v>
      </c>
      <c r="Z275" s="885">
        <f t="shared" si="82"/>
        <v>0</v>
      </c>
    </row>
    <row r="276" spans="2:26" s="278" customFormat="1" ht="12" customHeight="1" x14ac:dyDescent="0.25">
      <c r="B276" s="1192">
        <f t="shared" si="90"/>
        <v>276</v>
      </c>
      <c r="C276" s="732">
        <f t="shared" ref="C276:C339" si="95">DAY(EOMONTH(DATE($L276,$D276,1),0))</f>
        <v>28</v>
      </c>
      <c r="D276" s="35">
        <f t="shared" ref="D276:D339" si="96">INDEX($AS$22:$AT$34,MATCH($K276,$AS$22:$AS$34,0),MATCH("Number",$AS$22:$AT$22,0))</f>
        <v>2</v>
      </c>
      <c r="E276" s="889">
        <f t="shared" si="93"/>
        <v>54482</v>
      </c>
      <c r="F276" s="822">
        <f t="shared" ref="F276:F339" si="97">INDEX($AS$22:$AT$34,MATCH($K276,$AS$22:$AS$34,0),MATCH("Number",$AS$22:$AT$22,0))</f>
        <v>2</v>
      </c>
      <c r="G276" s="126">
        <f t="shared" ref="G276:G339" si="98">IF($S$4="Monthly",INDEX($AS$36:$AT$48,MATCH($K276,$AS$36:$AS$48,0),MATCH("Number",$AS$36:$AT$36,0)),0)</f>
        <v>0</v>
      </c>
      <c r="H276" s="1098">
        <f t="shared" si="94"/>
        <v>0</v>
      </c>
      <c r="I276" s="887">
        <f t="shared" si="91"/>
        <v>257</v>
      </c>
      <c r="J276" s="1099">
        <f t="shared" si="83"/>
        <v>257</v>
      </c>
      <c r="K276" s="891" t="str">
        <f t="shared" si="84"/>
        <v>February</v>
      </c>
      <c r="L276" s="888">
        <f t="shared" si="92"/>
        <v>2049</v>
      </c>
      <c r="M276" s="883">
        <f t="shared" si="85"/>
        <v>0</v>
      </c>
      <c r="N276" s="883">
        <f t="shared" si="86"/>
        <v>0</v>
      </c>
      <c r="O276" s="1100"/>
      <c r="P276" s="883">
        <f t="shared" ref="P276:P339" si="99">IF(AND($AR$39="Early Payoff",I276&gt;=$R$13),0,IF($I276&gt;$R$6,0,IF(AND($AQ$29&gt;0,$I276&lt;=$AQ$29),0,+$N276-$Q276)))</f>
        <v>0</v>
      </c>
      <c r="Q276" s="884">
        <f t="shared" si="87"/>
        <v>0</v>
      </c>
      <c r="R276" s="884">
        <f>IF(AND($AR$39="Early Payoff",I276&gt;=$R$13),0,IF($I276&lt;=$R$6,SUM($P$20:$P276),0))</f>
        <v>0</v>
      </c>
      <c r="S276" s="884">
        <f>IF(AND($AR$39="Early Payoff",I276&gt;=$R$13),0,IF($I276&lt;=$R$6,SUM($Q$20:$Q276),0))</f>
        <v>0</v>
      </c>
      <c r="T276" s="873">
        <f t="shared" si="88"/>
        <v>0</v>
      </c>
      <c r="U276" s="1110">
        <f t="shared" si="89"/>
        <v>0</v>
      </c>
      <c r="W276" s="1102">
        <f t="shared" ref="W276:W339" si="100">IF($I276&gt;$R$6,0,IF($I276&lt;=$AQ$27,0,IF(AND($X$5="%/Payment",$Z$5=0),$N276*$Y$5,IF(AND($X$5="%/Payment",$Z$5&gt;0,($N276*$Y$5)&lt;$Z$5),$N276*$Y$5,IF(AND($X$5="%/Payment",$Z$5&gt;0,($N276*$Y$5)&gt;$Z$5),-$Z$5,IF(AND($X$5="%/Balance",$Z$5=0),-$T276*$Y$5,IF(AND($X$5="%/Balance",$Z$5&gt;0,($T276*$Y$5)&lt;$Z$5),-$T276*$Y$5,IF(AND($X$5="%/Balance",$Z$5&gt;0,($T276*$Y$5)&gt;$Z$5),-$Z$5,IF($X$5="Fixed Amount",-$Y$5,IF($X$5="N/A",0))))))))))</f>
        <v>0</v>
      </c>
      <c r="X276" s="873">
        <f t="shared" ref="X276:X339" si="101">IF($I276&gt;$R$6,0,IF($I276&lt;=$AQ$27,0,IF(AND($X$6="%/Payment",$Z$6=0),$N276*$Y$6,IF(AND($X$6="%/Payment",$Z$6&gt;0,($N276*$Y$6)&lt;$Z$6),$N276*$Y$6,IF(AND($X$6="%/Payment",$Z$6&gt;0,($N276*$Y$6)&gt;$Z$6),-$Z$6,IF(AND($X$6="%/Balance",$Z$6=0),-$T276*$Y$6,IF(AND($X$6="%/Balance",$Z$6&gt;0,($T276*$Y$6)&lt;$Z$6),-$T276*$Y$6,IF(AND($X$6="%/Balance",$Z$6&gt;0,($T276*$Y$6)&gt;$Z$6),-$Z$6,IF($X$6="Fixed Amount",-$Y$6,IF($X$6="N/A",0))))))))))</f>
        <v>0</v>
      </c>
      <c r="Y276" s="873">
        <f t="shared" ref="Y276:Y339" si="102">IF($I276&gt;$R$6,0,IF($I276&lt;=$AQ$27,0,IF(AND($X$7="%/Payment",$Z$7=0),$N276*$Y$7,IF(AND($X$7="%/Payment",$Z$7&gt;0,($N276*$Y$7)&lt;$Z$7),$N276*$Y$7,IF(AND($X$7="%/Payment",$Z$7&gt;0,($N276*$Y$7)&gt;$Z$7),-$Z$7,IF(AND($X$7="%/Balance",$Z$7=0),-$T276*$Y$7,IF(AND($X$7="%/Balance",$Z$7&gt;0,($T276*$Y$7)&lt;$Z$7),-$T276*$Y$7,IF(AND($X$7="%/Balance",$Z$7&gt;0,($N276*$Y$7)&gt;$Z$7),-$Z$7,IF($X$7="Fixed Amount",-$Y$7,IF($X$7="N/A",0))))))))))</f>
        <v>0</v>
      </c>
      <c r="Z276" s="885">
        <f t="shared" ref="Z276:Z339" si="103">SUM($N276,$W276:$Y276)</f>
        <v>0</v>
      </c>
    </row>
    <row r="277" spans="2:26" s="278" customFormat="1" ht="12" customHeight="1" x14ac:dyDescent="0.25">
      <c r="B277" s="1192">
        <f t="shared" si="90"/>
        <v>277</v>
      </c>
      <c r="C277" s="732">
        <f t="shared" si="95"/>
        <v>31</v>
      </c>
      <c r="D277" s="35">
        <f t="shared" si="96"/>
        <v>3</v>
      </c>
      <c r="E277" s="889">
        <f t="shared" si="93"/>
        <v>54513</v>
      </c>
      <c r="F277" s="822">
        <f t="shared" si="97"/>
        <v>3</v>
      </c>
      <c r="G277" s="126">
        <f t="shared" si="98"/>
        <v>0</v>
      </c>
      <c r="H277" s="1098">
        <f t="shared" si="94"/>
        <v>0</v>
      </c>
      <c r="I277" s="887">
        <f t="shared" si="91"/>
        <v>258</v>
      </c>
      <c r="J277" s="1099">
        <f t="shared" ref="J277:J340" si="104">IF($I277&lt;=$AQ$29,0,IF($I276&gt;=$AQ$29,$J276+1))</f>
        <v>258</v>
      </c>
      <c r="K277" s="891" t="str">
        <f t="shared" ref="K277:K340" si="105">IF($S$4="Annual",$Q$5,IF(AND($S$4="Bi-Annual",$F276&lt;MAX($Q$4,$R$4)),INDEX($AT$22:$AU$34,MATCH(MAX($Q$4,$R$4),$AT$22:$AT$34,0),MATCH("Month",$AT$22:$AU$22,0)),IF(AND($S$4="Bi-Annual",$F276=MAX($Q$4,$R$4)),INDEX($AT$22:$AU$34,MATCH(MIN($Q$4,$R$4),$AT$22:$AT$34,0),MATCH("Month",$AT$22:$AU$22,0)),IF(AND($S$4="Monthly",$F276&lt;12),INDEX($AT$22:$AU$34,MATCH($F276+1,$AT$22:$AT$34,0),MATCH("Month",$AT$22:$AU$22,0)),IF(AND($S$4="Monthly",$F276=12),INDEX($AT$22:$AU$34,MATCH($F276-11,$AT$22:$AT$34,0),MATCH("Month",$AT$22:$AU$22,0)))))))</f>
        <v>March</v>
      </c>
      <c r="L277" s="888">
        <f t="shared" si="92"/>
        <v>2049</v>
      </c>
      <c r="M277" s="883">
        <f t="shared" ref="M277:M340" si="106">IF(AND($AR$39="Early Payoff",$I277&gt;$R$13),0,IF(AND($AR$39="Early Payoff",$I277&lt;$R$13),$T276,IF($I277&gt;$R$6,0,$T276)))</f>
        <v>0</v>
      </c>
      <c r="N277" s="883">
        <f t="shared" ref="N277:N340" si="107">IF(AND($AR$39="Early Payoff",I277&gt;=$R$13),0,IF($I277&gt;$R$6,0,IF(AND($AQ$29&gt;=0,$I277&lt;=$AQ$29),0,IF(AND($AQ$27&gt;=0,$I277&lt;=$AQ$27),$Q277,IF(AND($S$4="Annual",$AQ$27&gt;=0,$AQ$29&gt;=0,$I277&gt;$AQ$27,$I277&gt;$AQ$29),PMT($L$7,($R$6-$AQ$27),$L$4),IF(AND($S$4="Bi-Annual",$AQ$27&gt;=0,$AQ$29&gt;=0,$I277&gt;$AQ$27,$I277&gt;$AQ$29),PMT($L$7/2,($R$6-$AQ$27),$L$4),IF(AND($S$4="Monthly",$AQ$27&gt;=0,$AQ$29&gt;=0,$I277&gt;$AQ$27,$I277&gt;$AQ$29),PMT($L$7/12,($R$6-$AQ$27),$L$4))))))))-O277</f>
        <v>0</v>
      </c>
      <c r="O277" s="1100"/>
      <c r="P277" s="883">
        <f t="shared" si="99"/>
        <v>0</v>
      </c>
      <c r="Q277" s="884">
        <f t="shared" ref="Q277:Q340" si="108">IF(AND($AR$39="Early Payoff",I277&gt;=$R$13),0,IF($S$4="Annual",-$L$7*$T276*1,IF($S$4="Bi-Annual",(-$L$7/2)*$T276*1,IF($S$4="Monthly",(-$L$7/12)*$T276*1))))</f>
        <v>0</v>
      </c>
      <c r="R277" s="884">
        <f>IF(AND($AR$39="Early Payoff",I277&gt;=$R$13),0,IF($I277&lt;=$R$6,SUM($P$20:$P277),0))</f>
        <v>0</v>
      </c>
      <c r="S277" s="884">
        <f>IF(AND($AR$39="Early Payoff",I277&gt;=$R$13),0,IF($I277&lt;=$R$6,SUM($Q$20:$Q277),0))</f>
        <v>0</v>
      </c>
      <c r="T277" s="873">
        <f t="shared" ref="T277:T340" si="109">IF($J277&lt;=$R$13,SUM($M277,$P277),0)</f>
        <v>0</v>
      </c>
      <c r="U277" s="1110">
        <f t="shared" ref="U277:U340" si="110">IF($S$4="Monthly",$M277,IF(AND(OR($S$4="Annual",$S$4="Bi-Annual"),$I277=$AQ$49),INDEX($I$19:$T$379,MATCH($AQ$49,$I$19:$I$2379,0),MATCH($T$19,$I$19:$T$19,0)),IF(AND(OR($S$4="Annual",$S$4="Bi-Annual"),$I277&lt;=$AQ$49),$M277,0)))</f>
        <v>0</v>
      </c>
      <c r="W277" s="1102">
        <f t="shared" si="100"/>
        <v>0</v>
      </c>
      <c r="X277" s="873">
        <f t="shared" si="101"/>
        <v>0</v>
      </c>
      <c r="Y277" s="873">
        <f t="shared" si="102"/>
        <v>0</v>
      </c>
      <c r="Z277" s="885">
        <f t="shared" si="103"/>
        <v>0</v>
      </c>
    </row>
    <row r="278" spans="2:26" s="278" customFormat="1" ht="12" customHeight="1" x14ac:dyDescent="0.25">
      <c r="B278" s="1192">
        <f t="shared" ref="B278:B341" si="111">B277+1</f>
        <v>278</v>
      </c>
      <c r="C278" s="732">
        <f t="shared" si="95"/>
        <v>30</v>
      </c>
      <c r="D278" s="35">
        <f t="shared" si="96"/>
        <v>4</v>
      </c>
      <c r="E278" s="889">
        <f t="shared" si="93"/>
        <v>54543</v>
      </c>
      <c r="F278" s="822">
        <f t="shared" si="97"/>
        <v>4</v>
      </c>
      <c r="G278" s="126">
        <f t="shared" si="98"/>
        <v>0</v>
      </c>
      <c r="H278" s="1098">
        <f t="shared" si="94"/>
        <v>0</v>
      </c>
      <c r="I278" s="887">
        <f t="shared" ref="I278:I341" si="112">I277+1</f>
        <v>259</v>
      </c>
      <c r="J278" s="1099">
        <f t="shared" si="104"/>
        <v>259</v>
      </c>
      <c r="K278" s="891" t="str">
        <f t="shared" si="105"/>
        <v>April</v>
      </c>
      <c r="L278" s="888">
        <f t="shared" ref="L278:L341" si="113">IF($S$4="Annual",$L277+$H278,IF($S$4="Bi-Annual",$L277+$H277,IF($S$4="Monthly",$L277+$G277)))</f>
        <v>2049</v>
      </c>
      <c r="M278" s="883">
        <f t="shared" si="106"/>
        <v>0</v>
      </c>
      <c r="N278" s="883">
        <f t="shared" si="107"/>
        <v>0</v>
      </c>
      <c r="O278" s="1100"/>
      <c r="P278" s="883">
        <f t="shared" si="99"/>
        <v>0</v>
      </c>
      <c r="Q278" s="884">
        <f t="shared" si="108"/>
        <v>0</v>
      </c>
      <c r="R278" s="884">
        <f>IF(AND($AR$39="Early Payoff",I278&gt;=$R$13),0,IF($I278&lt;=$R$6,SUM($P$20:$P278),0))</f>
        <v>0</v>
      </c>
      <c r="S278" s="884">
        <f>IF(AND($AR$39="Early Payoff",I278&gt;=$R$13),0,IF($I278&lt;=$R$6,SUM($Q$20:$Q278),0))</f>
        <v>0</v>
      </c>
      <c r="T278" s="873">
        <f t="shared" si="109"/>
        <v>0</v>
      </c>
      <c r="U278" s="1110">
        <f t="shared" si="110"/>
        <v>0</v>
      </c>
      <c r="W278" s="1102">
        <f t="shared" si="100"/>
        <v>0</v>
      </c>
      <c r="X278" s="873">
        <f t="shared" si="101"/>
        <v>0</v>
      </c>
      <c r="Y278" s="873">
        <f t="shared" si="102"/>
        <v>0</v>
      </c>
      <c r="Z278" s="885">
        <f t="shared" si="103"/>
        <v>0</v>
      </c>
    </row>
    <row r="279" spans="2:26" s="278" customFormat="1" ht="12" customHeight="1" x14ac:dyDescent="0.25">
      <c r="B279" s="1192">
        <f t="shared" si="111"/>
        <v>279</v>
      </c>
      <c r="C279" s="732">
        <f t="shared" si="95"/>
        <v>31</v>
      </c>
      <c r="D279" s="35">
        <f t="shared" si="96"/>
        <v>5</v>
      </c>
      <c r="E279" s="889">
        <f t="shared" ref="E279:E342" si="114">DATE(L279,D279,C279)</f>
        <v>54574</v>
      </c>
      <c r="F279" s="822">
        <f t="shared" si="97"/>
        <v>5</v>
      </c>
      <c r="G279" s="126">
        <f t="shared" si="98"/>
        <v>0</v>
      </c>
      <c r="H279" s="1098">
        <f t="shared" ref="H279:H342" si="115">IF($S$4="Annual",1,IF(AND($S$4="Bi-Annual",$F279&gt;$F280),1,IF(AND($S$4="Bi-Annual",$F279&lt;$F280),0,IF($S$4="Monthly",0,))))</f>
        <v>0</v>
      </c>
      <c r="I279" s="887">
        <f t="shared" si="112"/>
        <v>260</v>
      </c>
      <c r="J279" s="1099">
        <f t="shared" si="104"/>
        <v>260</v>
      </c>
      <c r="K279" s="891" t="str">
        <f t="shared" si="105"/>
        <v>May</v>
      </c>
      <c r="L279" s="888">
        <f t="shared" si="113"/>
        <v>2049</v>
      </c>
      <c r="M279" s="883">
        <f t="shared" si="106"/>
        <v>0</v>
      </c>
      <c r="N279" s="883">
        <f t="shared" si="107"/>
        <v>0</v>
      </c>
      <c r="O279" s="1100"/>
      <c r="P279" s="883">
        <f t="shared" si="99"/>
        <v>0</v>
      </c>
      <c r="Q279" s="884">
        <f t="shared" si="108"/>
        <v>0</v>
      </c>
      <c r="R279" s="884">
        <f>IF(AND($AR$39="Early Payoff",I279&gt;=$R$13),0,IF($I279&lt;=$R$6,SUM($P$20:$P279),0))</f>
        <v>0</v>
      </c>
      <c r="S279" s="884">
        <f>IF(AND($AR$39="Early Payoff",I279&gt;=$R$13),0,IF($I279&lt;=$R$6,SUM($Q$20:$Q279),0))</f>
        <v>0</v>
      </c>
      <c r="T279" s="873">
        <f t="shared" si="109"/>
        <v>0</v>
      </c>
      <c r="U279" s="1110">
        <f t="shared" si="110"/>
        <v>0</v>
      </c>
      <c r="W279" s="1102">
        <f t="shared" si="100"/>
        <v>0</v>
      </c>
      <c r="X279" s="873">
        <f t="shared" si="101"/>
        <v>0</v>
      </c>
      <c r="Y279" s="873">
        <f t="shared" si="102"/>
        <v>0</v>
      </c>
      <c r="Z279" s="885">
        <f t="shared" si="103"/>
        <v>0</v>
      </c>
    </row>
    <row r="280" spans="2:26" s="278" customFormat="1" ht="12" customHeight="1" x14ac:dyDescent="0.25">
      <c r="B280" s="1192">
        <f t="shared" si="111"/>
        <v>280</v>
      </c>
      <c r="C280" s="732">
        <f t="shared" si="95"/>
        <v>30</v>
      </c>
      <c r="D280" s="35">
        <f t="shared" si="96"/>
        <v>6</v>
      </c>
      <c r="E280" s="889">
        <f t="shared" si="114"/>
        <v>54604</v>
      </c>
      <c r="F280" s="822">
        <f t="shared" si="97"/>
        <v>6</v>
      </c>
      <c r="G280" s="126">
        <f t="shared" si="98"/>
        <v>0</v>
      </c>
      <c r="H280" s="1098">
        <f t="shared" si="115"/>
        <v>0</v>
      </c>
      <c r="I280" s="887">
        <f t="shared" si="112"/>
        <v>261</v>
      </c>
      <c r="J280" s="1099">
        <f t="shared" si="104"/>
        <v>261</v>
      </c>
      <c r="K280" s="891" t="str">
        <f t="shared" si="105"/>
        <v>June</v>
      </c>
      <c r="L280" s="888">
        <f t="shared" si="113"/>
        <v>2049</v>
      </c>
      <c r="M280" s="883">
        <f t="shared" si="106"/>
        <v>0</v>
      </c>
      <c r="N280" s="883">
        <f t="shared" si="107"/>
        <v>0</v>
      </c>
      <c r="O280" s="1100"/>
      <c r="P280" s="883">
        <f t="shared" si="99"/>
        <v>0</v>
      </c>
      <c r="Q280" s="884">
        <f t="shared" si="108"/>
        <v>0</v>
      </c>
      <c r="R280" s="884">
        <f>IF(AND($AR$39="Early Payoff",I280&gt;=$R$13),0,IF($I280&lt;=$R$6,SUM($P$20:$P280),0))</f>
        <v>0</v>
      </c>
      <c r="S280" s="884">
        <f>IF(AND($AR$39="Early Payoff",I280&gt;=$R$13),0,IF($I280&lt;=$R$6,SUM($Q$20:$Q280),0))</f>
        <v>0</v>
      </c>
      <c r="T280" s="873">
        <f t="shared" si="109"/>
        <v>0</v>
      </c>
      <c r="U280" s="1110">
        <f t="shared" si="110"/>
        <v>0</v>
      </c>
      <c r="W280" s="1102">
        <f t="shared" si="100"/>
        <v>0</v>
      </c>
      <c r="X280" s="873">
        <f t="shared" si="101"/>
        <v>0</v>
      </c>
      <c r="Y280" s="873">
        <f t="shared" si="102"/>
        <v>0</v>
      </c>
      <c r="Z280" s="885">
        <f t="shared" si="103"/>
        <v>0</v>
      </c>
    </row>
    <row r="281" spans="2:26" s="278" customFormat="1" ht="12" customHeight="1" x14ac:dyDescent="0.25">
      <c r="B281" s="1192">
        <f t="shared" si="111"/>
        <v>281</v>
      </c>
      <c r="C281" s="732">
        <f t="shared" si="95"/>
        <v>31</v>
      </c>
      <c r="D281" s="35">
        <f t="shared" si="96"/>
        <v>7</v>
      </c>
      <c r="E281" s="889">
        <f t="shared" si="114"/>
        <v>54635</v>
      </c>
      <c r="F281" s="822">
        <f t="shared" si="97"/>
        <v>7</v>
      </c>
      <c r="G281" s="126">
        <f t="shared" si="98"/>
        <v>0</v>
      </c>
      <c r="H281" s="1098">
        <f t="shared" si="115"/>
        <v>0</v>
      </c>
      <c r="I281" s="887">
        <f t="shared" si="112"/>
        <v>262</v>
      </c>
      <c r="J281" s="1099">
        <f t="shared" si="104"/>
        <v>262</v>
      </c>
      <c r="K281" s="891" t="str">
        <f t="shared" si="105"/>
        <v>July</v>
      </c>
      <c r="L281" s="888">
        <f t="shared" si="113"/>
        <v>2049</v>
      </c>
      <c r="M281" s="883">
        <f t="shared" si="106"/>
        <v>0</v>
      </c>
      <c r="N281" s="883">
        <f t="shared" si="107"/>
        <v>0</v>
      </c>
      <c r="O281" s="1100"/>
      <c r="P281" s="883">
        <f t="shared" si="99"/>
        <v>0</v>
      </c>
      <c r="Q281" s="884">
        <f t="shared" si="108"/>
        <v>0</v>
      </c>
      <c r="R281" s="884">
        <f>IF(AND($AR$39="Early Payoff",I281&gt;=$R$13),0,IF($I281&lt;=$R$6,SUM($P$20:$P281),0))</f>
        <v>0</v>
      </c>
      <c r="S281" s="884">
        <f>IF(AND($AR$39="Early Payoff",I281&gt;=$R$13),0,IF($I281&lt;=$R$6,SUM($Q$20:$Q281),0))</f>
        <v>0</v>
      </c>
      <c r="T281" s="873">
        <f t="shared" si="109"/>
        <v>0</v>
      </c>
      <c r="U281" s="1110">
        <f t="shared" si="110"/>
        <v>0</v>
      </c>
      <c r="W281" s="1102">
        <f t="shared" si="100"/>
        <v>0</v>
      </c>
      <c r="X281" s="873">
        <f t="shared" si="101"/>
        <v>0</v>
      </c>
      <c r="Y281" s="873">
        <f t="shared" si="102"/>
        <v>0</v>
      </c>
      <c r="Z281" s="885">
        <f t="shared" si="103"/>
        <v>0</v>
      </c>
    </row>
    <row r="282" spans="2:26" s="278" customFormat="1" ht="12" customHeight="1" x14ac:dyDescent="0.25">
      <c r="B282" s="1192">
        <f t="shared" si="111"/>
        <v>282</v>
      </c>
      <c r="C282" s="732">
        <f t="shared" si="95"/>
        <v>31</v>
      </c>
      <c r="D282" s="35">
        <f t="shared" si="96"/>
        <v>8</v>
      </c>
      <c r="E282" s="889">
        <f t="shared" si="114"/>
        <v>54666</v>
      </c>
      <c r="F282" s="822">
        <f t="shared" si="97"/>
        <v>8</v>
      </c>
      <c r="G282" s="126">
        <f t="shared" si="98"/>
        <v>0</v>
      </c>
      <c r="H282" s="1098">
        <f t="shared" si="115"/>
        <v>0</v>
      </c>
      <c r="I282" s="887">
        <f t="shared" si="112"/>
        <v>263</v>
      </c>
      <c r="J282" s="1099">
        <f t="shared" si="104"/>
        <v>263</v>
      </c>
      <c r="K282" s="891" t="str">
        <f t="shared" si="105"/>
        <v>August</v>
      </c>
      <c r="L282" s="888">
        <f t="shared" si="113"/>
        <v>2049</v>
      </c>
      <c r="M282" s="883">
        <f t="shared" si="106"/>
        <v>0</v>
      </c>
      <c r="N282" s="883">
        <f t="shared" si="107"/>
        <v>0</v>
      </c>
      <c r="O282" s="1100"/>
      <c r="P282" s="883">
        <f t="shared" si="99"/>
        <v>0</v>
      </c>
      <c r="Q282" s="884">
        <f t="shared" si="108"/>
        <v>0</v>
      </c>
      <c r="R282" s="884">
        <f>IF(AND($AR$39="Early Payoff",I282&gt;=$R$13),0,IF($I282&lt;=$R$6,SUM($P$20:$P282),0))</f>
        <v>0</v>
      </c>
      <c r="S282" s="884">
        <f>IF(AND($AR$39="Early Payoff",I282&gt;=$R$13),0,IF($I282&lt;=$R$6,SUM($Q$20:$Q282),0))</f>
        <v>0</v>
      </c>
      <c r="T282" s="873">
        <f t="shared" si="109"/>
        <v>0</v>
      </c>
      <c r="U282" s="1110">
        <f t="shared" si="110"/>
        <v>0</v>
      </c>
      <c r="W282" s="1102">
        <f t="shared" si="100"/>
        <v>0</v>
      </c>
      <c r="X282" s="873">
        <f t="shared" si="101"/>
        <v>0</v>
      </c>
      <c r="Y282" s="873">
        <f t="shared" si="102"/>
        <v>0</v>
      </c>
      <c r="Z282" s="885">
        <f t="shared" si="103"/>
        <v>0</v>
      </c>
    </row>
    <row r="283" spans="2:26" s="278" customFormat="1" ht="12" customHeight="1" x14ac:dyDescent="0.25">
      <c r="B283" s="1192">
        <f t="shared" si="111"/>
        <v>283</v>
      </c>
      <c r="C283" s="732">
        <f t="shared" si="95"/>
        <v>30</v>
      </c>
      <c r="D283" s="35">
        <f t="shared" si="96"/>
        <v>9</v>
      </c>
      <c r="E283" s="889">
        <f t="shared" si="114"/>
        <v>54696</v>
      </c>
      <c r="F283" s="822">
        <f t="shared" si="97"/>
        <v>9</v>
      </c>
      <c r="G283" s="126">
        <f t="shared" si="98"/>
        <v>0</v>
      </c>
      <c r="H283" s="1098">
        <f t="shared" si="115"/>
        <v>0</v>
      </c>
      <c r="I283" s="887">
        <f t="shared" si="112"/>
        <v>264</v>
      </c>
      <c r="J283" s="1099">
        <f t="shared" si="104"/>
        <v>264</v>
      </c>
      <c r="K283" s="891" t="str">
        <f t="shared" si="105"/>
        <v>September</v>
      </c>
      <c r="L283" s="888">
        <f t="shared" si="113"/>
        <v>2049</v>
      </c>
      <c r="M283" s="883">
        <f t="shared" si="106"/>
        <v>0</v>
      </c>
      <c r="N283" s="883">
        <f t="shared" si="107"/>
        <v>0</v>
      </c>
      <c r="O283" s="1100"/>
      <c r="P283" s="883">
        <f t="shared" si="99"/>
        <v>0</v>
      </c>
      <c r="Q283" s="884">
        <f t="shared" si="108"/>
        <v>0</v>
      </c>
      <c r="R283" s="884">
        <f>IF(AND($AR$39="Early Payoff",I283&gt;=$R$13),0,IF($I283&lt;=$R$6,SUM($P$20:$P283),0))</f>
        <v>0</v>
      </c>
      <c r="S283" s="884">
        <f>IF(AND($AR$39="Early Payoff",I283&gt;=$R$13),0,IF($I283&lt;=$R$6,SUM($Q$20:$Q283),0))</f>
        <v>0</v>
      </c>
      <c r="T283" s="873">
        <f t="shared" si="109"/>
        <v>0</v>
      </c>
      <c r="U283" s="1110">
        <f t="shared" si="110"/>
        <v>0</v>
      </c>
      <c r="W283" s="1102">
        <f t="shared" si="100"/>
        <v>0</v>
      </c>
      <c r="X283" s="873">
        <f t="shared" si="101"/>
        <v>0</v>
      </c>
      <c r="Y283" s="873">
        <f t="shared" si="102"/>
        <v>0</v>
      </c>
      <c r="Z283" s="885">
        <f t="shared" si="103"/>
        <v>0</v>
      </c>
    </row>
    <row r="284" spans="2:26" s="278" customFormat="1" ht="12" customHeight="1" x14ac:dyDescent="0.25">
      <c r="B284" s="1192">
        <f t="shared" si="111"/>
        <v>284</v>
      </c>
      <c r="C284" s="732">
        <f t="shared" si="95"/>
        <v>31</v>
      </c>
      <c r="D284" s="35">
        <f t="shared" si="96"/>
        <v>10</v>
      </c>
      <c r="E284" s="889">
        <f t="shared" si="114"/>
        <v>54727</v>
      </c>
      <c r="F284" s="822">
        <f t="shared" si="97"/>
        <v>10</v>
      </c>
      <c r="G284" s="126">
        <f t="shared" si="98"/>
        <v>0</v>
      </c>
      <c r="H284" s="1098">
        <f t="shared" si="115"/>
        <v>0</v>
      </c>
      <c r="I284" s="887">
        <f t="shared" si="112"/>
        <v>265</v>
      </c>
      <c r="J284" s="1099">
        <f t="shared" si="104"/>
        <v>265</v>
      </c>
      <c r="K284" s="891" t="str">
        <f t="shared" si="105"/>
        <v>October</v>
      </c>
      <c r="L284" s="888">
        <f t="shared" si="113"/>
        <v>2049</v>
      </c>
      <c r="M284" s="883">
        <f t="shared" si="106"/>
        <v>0</v>
      </c>
      <c r="N284" s="883">
        <f t="shared" si="107"/>
        <v>0</v>
      </c>
      <c r="O284" s="1100"/>
      <c r="P284" s="883">
        <f t="shared" si="99"/>
        <v>0</v>
      </c>
      <c r="Q284" s="884">
        <f t="shared" si="108"/>
        <v>0</v>
      </c>
      <c r="R284" s="884">
        <f>IF(AND($AR$39="Early Payoff",I284&gt;=$R$13),0,IF($I284&lt;=$R$6,SUM($P$20:$P284),0))</f>
        <v>0</v>
      </c>
      <c r="S284" s="884">
        <f>IF(AND($AR$39="Early Payoff",I284&gt;=$R$13),0,IF($I284&lt;=$R$6,SUM($Q$20:$Q284),0))</f>
        <v>0</v>
      </c>
      <c r="T284" s="873">
        <f t="shared" si="109"/>
        <v>0</v>
      </c>
      <c r="U284" s="1110">
        <f t="shared" si="110"/>
        <v>0</v>
      </c>
      <c r="W284" s="1102">
        <f t="shared" si="100"/>
        <v>0</v>
      </c>
      <c r="X284" s="873">
        <f t="shared" si="101"/>
        <v>0</v>
      </c>
      <c r="Y284" s="873">
        <f t="shared" si="102"/>
        <v>0</v>
      </c>
      <c r="Z284" s="885">
        <f t="shared" si="103"/>
        <v>0</v>
      </c>
    </row>
    <row r="285" spans="2:26" s="278" customFormat="1" ht="12" customHeight="1" x14ac:dyDescent="0.25">
      <c r="B285" s="1192">
        <f t="shared" si="111"/>
        <v>285</v>
      </c>
      <c r="C285" s="732">
        <f t="shared" si="95"/>
        <v>30</v>
      </c>
      <c r="D285" s="35">
        <f t="shared" si="96"/>
        <v>11</v>
      </c>
      <c r="E285" s="889">
        <f t="shared" si="114"/>
        <v>54757</v>
      </c>
      <c r="F285" s="822">
        <f t="shared" si="97"/>
        <v>11</v>
      </c>
      <c r="G285" s="126">
        <f t="shared" si="98"/>
        <v>0</v>
      </c>
      <c r="H285" s="1098">
        <f t="shared" si="115"/>
        <v>0</v>
      </c>
      <c r="I285" s="887">
        <f t="shared" si="112"/>
        <v>266</v>
      </c>
      <c r="J285" s="1099">
        <f t="shared" si="104"/>
        <v>266</v>
      </c>
      <c r="K285" s="891" t="str">
        <f t="shared" si="105"/>
        <v>November</v>
      </c>
      <c r="L285" s="888">
        <f t="shared" si="113"/>
        <v>2049</v>
      </c>
      <c r="M285" s="883">
        <f t="shared" si="106"/>
        <v>0</v>
      </c>
      <c r="N285" s="883">
        <f t="shared" si="107"/>
        <v>0</v>
      </c>
      <c r="O285" s="1100"/>
      <c r="P285" s="883">
        <f t="shared" si="99"/>
        <v>0</v>
      </c>
      <c r="Q285" s="884">
        <f t="shared" si="108"/>
        <v>0</v>
      </c>
      <c r="R285" s="884">
        <f>IF(AND($AR$39="Early Payoff",I285&gt;=$R$13),0,IF($I285&lt;=$R$6,SUM($P$20:$P285),0))</f>
        <v>0</v>
      </c>
      <c r="S285" s="884">
        <f>IF(AND($AR$39="Early Payoff",I285&gt;=$R$13),0,IF($I285&lt;=$R$6,SUM($Q$20:$Q285),0))</f>
        <v>0</v>
      </c>
      <c r="T285" s="873">
        <f t="shared" si="109"/>
        <v>0</v>
      </c>
      <c r="U285" s="1110">
        <f t="shared" si="110"/>
        <v>0</v>
      </c>
      <c r="W285" s="1102">
        <f t="shared" si="100"/>
        <v>0</v>
      </c>
      <c r="X285" s="873">
        <f t="shared" si="101"/>
        <v>0</v>
      </c>
      <c r="Y285" s="873">
        <f t="shared" si="102"/>
        <v>0</v>
      </c>
      <c r="Z285" s="885">
        <f t="shared" si="103"/>
        <v>0</v>
      </c>
    </row>
    <row r="286" spans="2:26" s="278" customFormat="1" ht="12" customHeight="1" x14ac:dyDescent="0.25">
      <c r="B286" s="1192">
        <f t="shared" si="111"/>
        <v>286</v>
      </c>
      <c r="C286" s="732">
        <f t="shared" si="95"/>
        <v>31</v>
      </c>
      <c r="D286" s="35">
        <f t="shared" si="96"/>
        <v>12</v>
      </c>
      <c r="E286" s="889">
        <f t="shared" si="114"/>
        <v>54788</v>
      </c>
      <c r="F286" s="822">
        <f t="shared" si="97"/>
        <v>12</v>
      </c>
      <c r="G286" s="126">
        <f t="shared" si="98"/>
        <v>1</v>
      </c>
      <c r="H286" s="1098">
        <f t="shared" si="115"/>
        <v>0</v>
      </c>
      <c r="I286" s="887">
        <f t="shared" si="112"/>
        <v>267</v>
      </c>
      <c r="J286" s="1099">
        <f t="shared" si="104"/>
        <v>267</v>
      </c>
      <c r="K286" s="891" t="str">
        <f t="shared" si="105"/>
        <v>December</v>
      </c>
      <c r="L286" s="888">
        <f t="shared" si="113"/>
        <v>2049</v>
      </c>
      <c r="M286" s="883">
        <f t="shared" si="106"/>
        <v>0</v>
      </c>
      <c r="N286" s="883">
        <f t="shared" si="107"/>
        <v>0</v>
      </c>
      <c r="O286" s="1100"/>
      <c r="P286" s="883">
        <f t="shared" si="99"/>
        <v>0</v>
      </c>
      <c r="Q286" s="884">
        <f t="shared" si="108"/>
        <v>0</v>
      </c>
      <c r="R286" s="884">
        <f>IF(AND($AR$39="Early Payoff",I286&gt;=$R$13),0,IF($I286&lt;=$R$6,SUM($P$20:$P286),0))</f>
        <v>0</v>
      </c>
      <c r="S286" s="884">
        <f>IF(AND($AR$39="Early Payoff",I286&gt;=$R$13),0,IF($I286&lt;=$R$6,SUM($Q$20:$Q286),0))</f>
        <v>0</v>
      </c>
      <c r="T286" s="873">
        <f t="shared" si="109"/>
        <v>0</v>
      </c>
      <c r="U286" s="1110">
        <f t="shared" si="110"/>
        <v>0</v>
      </c>
      <c r="W286" s="1102">
        <f t="shared" si="100"/>
        <v>0</v>
      </c>
      <c r="X286" s="873">
        <f t="shared" si="101"/>
        <v>0</v>
      </c>
      <c r="Y286" s="873">
        <f t="shared" si="102"/>
        <v>0</v>
      </c>
      <c r="Z286" s="885">
        <f t="shared" si="103"/>
        <v>0</v>
      </c>
    </row>
    <row r="287" spans="2:26" s="278" customFormat="1" ht="12" customHeight="1" x14ac:dyDescent="0.25">
      <c r="B287" s="1192">
        <f t="shared" si="111"/>
        <v>287</v>
      </c>
      <c r="C287" s="732">
        <f t="shared" si="95"/>
        <v>31</v>
      </c>
      <c r="D287" s="35">
        <f t="shared" si="96"/>
        <v>1</v>
      </c>
      <c r="E287" s="889">
        <f t="shared" si="114"/>
        <v>54819</v>
      </c>
      <c r="F287" s="822">
        <f t="shared" si="97"/>
        <v>1</v>
      </c>
      <c r="G287" s="126">
        <f t="shared" si="98"/>
        <v>0</v>
      </c>
      <c r="H287" s="1098">
        <f t="shared" si="115"/>
        <v>0</v>
      </c>
      <c r="I287" s="887">
        <f t="shared" si="112"/>
        <v>268</v>
      </c>
      <c r="J287" s="1099">
        <f t="shared" si="104"/>
        <v>268</v>
      </c>
      <c r="K287" s="891" t="str">
        <f t="shared" si="105"/>
        <v>January</v>
      </c>
      <c r="L287" s="888">
        <f t="shared" si="113"/>
        <v>2050</v>
      </c>
      <c r="M287" s="883">
        <f t="shared" si="106"/>
        <v>0</v>
      </c>
      <c r="N287" s="883">
        <f t="shared" si="107"/>
        <v>0</v>
      </c>
      <c r="O287" s="1100"/>
      <c r="P287" s="883">
        <f t="shared" si="99"/>
        <v>0</v>
      </c>
      <c r="Q287" s="884">
        <f t="shared" si="108"/>
        <v>0</v>
      </c>
      <c r="R287" s="884">
        <f>IF(AND($AR$39="Early Payoff",I287&gt;=$R$13),0,IF($I287&lt;=$R$6,SUM($P$20:$P287),0))</f>
        <v>0</v>
      </c>
      <c r="S287" s="884">
        <f>IF(AND($AR$39="Early Payoff",I287&gt;=$R$13),0,IF($I287&lt;=$R$6,SUM($Q$20:$Q287),0))</f>
        <v>0</v>
      </c>
      <c r="T287" s="873">
        <f t="shared" si="109"/>
        <v>0</v>
      </c>
      <c r="U287" s="1110">
        <f t="shared" si="110"/>
        <v>0</v>
      </c>
      <c r="W287" s="1102">
        <f t="shared" si="100"/>
        <v>0</v>
      </c>
      <c r="X287" s="873">
        <f t="shared" si="101"/>
        <v>0</v>
      </c>
      <c r="Y287" s="873">
        <f t="shared" si="102"/>
        <v>0</v>
      </c>
      <c r="Z287" s="885">
        <f t="shared" si="103"/>
        <v>0</v>
      </c>
    </row>
    <row r="288" spans="2:26" s="278" customFormat="1" ht="12" customHeight="1" x14ac:dyDescent="0.25">
      <c r="B288" s="1192">
        <f t="shared" si="111"/>
        <v>288</v>
      </c>
      <c r="C288" s="732">
        <f t="shared" si="95"/>
        <v>28</v>
      </c>
      <c r="D288" s="35">
        <f t="shared" si="96"/>
        <v>2</v>
      </c>
      <c r="E288" s="889">
        <f t="shared" si="114"/>
        <v>54847</v>
      </c>
      <c r="F288" s="822">
        <f t="shared" si="97"/>
        <v>2</v>
      </c>
      <c r="G288" s="126">
        <f t="shared" si="98"/>
        <v>0</v>
      </c>
      <c r="H288" s="1098">
        <f t="shared" si="115"/>
        <v>0</v>
      </c>
      <c r="I288" s="887">
        <f t="shared" si="112"/>
        <v>269</v>
      </c>
      <c r="J288" s="1099">
        <f t="shared" si="104"/>
        <v>269</v>
      </c>
      <c r="K288" s="891" t="str">
        <f t="shared" si="105"/>
        <v>February</v>
      </c>
      <c r="L288" s="888">
        <f t="shared" si="113"/>
        <v>2050</v>
      </c>
      <c r="M288" s="883">
        <f t="shared" si="106"/>
        <v>0</v>
      </c>
      <c r="N288" s="883">
        <f t="shared" si="107"/>
        <v>0</v>
      </c>
      <c r="O288" s="1100"/>
      <c r="P288" s="883">
        <f t="shared" si="99"/>
        <v>0</v>
      </c>
      <c r="Q288" s="884">
        <f t="shared" si="108"/>
        <v>0</v>
      </c>
      <c r="R288" s="884">
        <f>IF(AND($AR$39="Early Payoff",I288&gt;=$R$13),0,IF($I288&lt;=$R$6,SUM($P$20:$P288),0))</f>
        <v>0</v>
      </c>
      <c r="S288" s="884">
        <f>IF(AND($AR$39="Early Payoff",I288&gt;=$R$13),0,IF($I288&lt;=$R$6,SUM($Q$20:$Q288),0))</f>
        <v>0</v>
      </c>
      <c r="T288" s="873">
        <f t="shared" si="109"/>
        <v>0</v>
      </c>
      <c r="U288" s="1110">
        <f t="shared" si="110"/>
        <v>0</v>
      </c>
      <c r="W288" s="1102">
        <f t="shared" si="100"/>
        <v>0</v>
      </c>
      <c r="X288" s="873">
        <f t="shared" si="101"/>
        <v>0</v>
      </c>
      <c r="Y288" s="873">
        <f t="shared" si="102"/>
        <v>0</v>
      </c>
      <c r="Z288" s="885">
        <f t="shared" si="103"/>
        <v>0</v>
      </c>
    </row>
    <row r="289" spans="2:26" s="278" customFormat="1" ht="12" customHeight="1" x14ac:dyDescent="0.25">
      <c r="B289" s="1192">
        <f t="shared" si="111"/>
        <v>289</v>
      </c>
      <c r="C289" s="732">
        <f t="shared" si="95"/>
        <v>31</v>
      </c>
      <c r="D289" s="35">
        <f t="shared" si="96"/>
        <v>3</v>
      </c>
      <c r="E289" s="889">
        <f t="shared" si="114"/>
        <v>54878</v>
      </c>
      <c r="F289" s="822">
        <f t="shared" si="97"/>
        <v>3</v>
      </c>
      <c r="G289" s="126">
        <f t="shared" si="98"/>
        <v>0</v>
      </c>
      <c r="H289" s="1098">
        <f t="shared" si="115"/>
        <v>0</v>
      </c>
      <c r="I289" s="887">
        <f t="shared" si="112"/>
        <v>270</v>
      </c>
      <c r="J289" s="1099">
        <f t="shared" si="104"/>
        <v>270</v>
      </c>
      <c r="K289" s="891" t="str">
        <f t="shared" si="105"/>
        <v>March</v>
      </c>
      <c r="L289" s="888">
        <f t="shared" si="113"/>
        <v>2050</v>
      </c>
      <c r="M289" s="883">
        <f t="shared" si="106"/>
        <v>0</v>
      </c>
      <c r="N289" s="883">
        <f t="shared" si="107"/>
        <v>0</v>
      </c>
      <c r="O289" s="1100"/>
      <c r="P289" s="883">
        <f t="shared" si="99"/>
        <v>0</v>
      </c>
      <c r="Q289" s="884">
        <f t="shared" si="108"/>
        <v>0</v>
      </c>
      <c r="R289" s="884">
        <f>IF(AND($AR$39="Early Payoff",I289&gt;=$R$13),0,IF($I289&lt;=$R$6,SUM($P$20:$P289),0))</f>
        <v>0</v>
      </c>
      <c r="S289" s="884">
        <f>IF(AND($AR$39="Early Payoff",I289&gt;=$R$13),0,IF($I289&lt;=$R$6,SUM($Q$20:$Q289),0))</f>
        <v>0</v>
      </c>
      <c r="T289" s="873">
        <f t="shared" si="109"/>
        <v>0</v>
      </c>
      <c r="U289" s="1110">
        <f t="shared" si="110"/>
        <v>0</v>
      </c>
      <c r="W289" s="1102">
        <f t="shared" si="100"/>
        <v>0</v>
      </c>
      <c r="X289" s="873">
        <f t="shared" si="101"/>
        <v>0</v>
      </c>
      <c r="Y289" s="873">
        <f t="shared" si="102"/>
        <v>0</v>
      </c>
      <c r="Z289" s="885">
        <f t="shared" si="103"/>
        <v>0</v>
      </c>
    </row>
    <row r="290" spans="2:26" s="278" customFormat="1" ht="12" customHeight="1" x14ac:dyDescent="0.25">
      <c r="B290" s="1192">
        <f t="shared" si="111"/>
        <v>290</v>
      </c>
      <c r="C290" s="732">
        <f t="shared" si="95"/>
        <v>30</v>
      </c>
      <c r="D290" s="35">
        <f t="shared" si="96"/>
        <v>4</v>
      </c>
      <c r="E290" s="889">
        <f t="shared" si="114"/>
        <v>54908</v>
      </c>
      <c r="F290" s="822">
        <f t="shared" si="97"/>
        <v>4</v>
      </c>
      <c r="G290" s="126">
        <f t="shared" si="98"/>
        <v>0</v>
      </c>
      <c r="H290" s="1098">
        <f t="shared" si="115"/>
        <v>0</v>
      </c>
      <c r="I290" s="887">
        <f t="shared" si="112"/>
        <v>271</v>
      </c>
      <c r="J290" s="1099">
        <f t="shared" si="104"/>
        <v>271</v>
      </c>
      <c r="K290" s="891" t="str">
        <f t="shared" si="105"/>
        <v>April</v>
      </c>
      <c r="L290" s="888">
        <f t="shared" si="113"/>
        <v>2050</v>
      </c>
      <c r="M290" s="883">
        <f t="shared" si="106"/>
        <v>0</v>
      </c>
      <c r="N290" s="883">
        <f t="shared" si="107"/>
        <v>0</v>
      </c>
      <c r="O290" s="1100"/>
      <c r="P290" s="883">
        <f t="shared" si="99"/>
        <v>0</v>
      </c>
      <c r="Q290" s="884">
        <f t="shared" si="108"/>
        <v>0</v>
      </c>
      <c r="R290" s="884">
        <f>IF(AND($AR$39="Early Payoff",I290&gt;=$R$13),0,IF($I290&lt;=$R$6,SUM($P$20:$P290),0))</f>
        <v>0</v>
      </c>
      <c r="S290" s="884">
        <f>IF(AND($AR$39="Early Payoff",I290&gt;=$R$13),0,IF($I290&lt;=$R$6,SUM($Q$20:$Q290),0))</f>
        <v>0</v>
      </c>
      <c r="T290" s="873">
        <f t="shared" si="109"/>
        <v>0</v>
      </c>
      <c r="U290" s="1110">
        <f t="shared" si="110"/>
        <v>0</v>
      </c>
      <c r="W290" s="1102">
        <f t="shared" si="100"/>
        <v>0</v>
      </c>
      <c r="X290" s="873">
        <f t="shared" si="101"/>
        <v>0</v>
      </c>
      <c r="Y290" s="873">
        <f t="shared" si="102"/>
        <v>0</v>
      </c>
      <c r="Z290" s="885">
        <f t="shared" si="103"/>
        <v>0</v>
      </c>
    </row>
    <row r="291" spans="2:26" s="278" customFormat="1" ht="12" customHeight="1" x14ac:dyDescent="0.25">
      <c r="B291" s="1192">
        <f t="shared" si="111"/>
        <v>291</v>
      </c>
      <c r="C291" s="732">
        <f t="shared" si="95"/>
        <v>31</v>
      </c>
      <c r="D291" s="35">
        <f t="shared" si="96"/>
        <v>5</v>
      </c>
      <c r="E291" s="889">
        <f t="shared" si="114"/>
        <v>54939</v>
      </c>
      <c r="F291" s="822">
        <f t="shared" si="97"/>
        <v>5</v>
      </c>
      <c r="G291" s="126">
        <f t="shared" si="98"/>
        <v>0</v>
      </c>
      <c r="H291" s="1098">
        <f t="shared" si="115"/>
        <v>0</v>
      </c>
      <c r="I291" s="887">
        <f t="shared" si="112"/>
        <v>272</v>
      </c>
      <c r="J291" s="1099">
        <f t="shared" si="104"/>
        <v>272</v>
      </c>
      <c r="K291" s="891" t="str">
        <f t="shared" si="105"/>
        <v>May</v>
      </c>
      <c r="L291" s="888">
        <f t="shared" si="113"/>
        <v>2050</v>
      </c>
      <c r="M291" s="883">
        <f t="shared" si="106"/>
        <v>0</v>
      </c>
      <c r="N291" s="883">
        <f t="shared" si="107"/>
        <v>0</v>
      </c>
      <c r="O291" s="1100"/>
      <c r="P291" s="883">
        <f t="shared" si="99"/>
        <v>0</v>
      </c>
      <c r="Q291" s="884">
        <f t="shared" si="108"/>
        <v>0</v>
      </c>
      <c r="R291" s="884">
        <f>IF(AND($AR$39="Early Payoff",I291&gt;=$R$13),0,IF($I291&lt;=$R$6,SUM($P$20:$P291),0))</f>
        <v>0</v>
      </c>
      <c r="S291" s="884">
        <f>IF(AND($AR$39="Early Payoff",I291&gt;=$R$13),0,IF($I291&lt;=$R$6,SUM($Q$20:$Q291),0))</f>
        <v>0</v>
      </c>
      <c r="T291" s="873">
        <f t="shared" si="109"/>
        <v>0</v>
      </c>
      <c r="U291" s="1110">
        <f t="shared" si="110"/>
        <v>0</v>
      </c>
      <c r="W291" s="1102">
        <f t="shared" si="100"/>
        <v>0</v>
      </c>
      <c r="X291" s="873">
        <f t="shared" si="101"/>
        <v>0</v>
      </c>
      <c r="Y291" s="873">
        <f t="shared" si="102"/>
        <v>0</v>
      </c>
      <c r="Z291" s="885">
        <f t="shared" si="103"/>
        <v>0</v>
      </c>
    </row>
    <row r="292" spans="2:26" s="278" customFormat="1" ht="12" customHeight="1" x14ac:dyDescent="0.25">
      <c r="B292" s="1192">
        <f t="shared" si="111"/>
        <v>292</v>
      </c>
      <c r="C292" s="732">
        <f t="shared" si="95"/>
        <v>30</v>
      </c>
      <c r="D292" s="35">
        <f t="shared" si="96"/>
        <v>6</v>
      </c>
      <c r="E292" s="889">
        <f t="shared" si="114"/>
        <v>54969</v>
      </c>
      <c r="F292" s="822">
        <f t="shared" si="97"/>
        <v>6</v>
      </c>
      <c r="G292" s="126">
        <f t="shared" si="98"/>
        <v>0</v>
      </c>
      <c r="H292" s="1098">
        <f t="shared" si="115"/>
        <v>0</v>
      </c>
      <c r="I292" s="887">
        <f t="shared" si="112"/>
        <v>273</v>
      </c>
      <c r="J292" s="1099">
        <f t="shared" si="104"/>
        <v>273</v>
      </c>
      <c r="K292" s="891" t="str">
        <f t="shared" si="105"/>
        <v>June</v>
      </c>
      <c r="L292" s="888">
        <f t="shared" si="113"/>
        <v>2050</v>
      </c>
      <c r="M292" s="883">
        <f t="shared" si="106"/>
        <v>0</v>
      </c>
      <c r="N292" s="883">
        <f t="shared" si="107"/>
        <v>0</v>
      </c>
      <c r="O292" s="1100"/>
      <c r="P292" s="883">
        <f t="shared" si="99"/>
        <v>0</v>
      </c>
      <c r="Q292" s="884">
        <f t="shared" si="108"/>
        <v>0</v>
      </c>
      <c r="R292" s="884">
        <f>IF(AND($AR$39="Early Payoff",I292&gt;=$R$13),0,IF($I292&lt;=$R$6,SUM($P$20:$P292),0))</f>
        <v>0</v>
      </c>
      <c r="S292" s="884">
        <f>IF(AND($AR$39="Early Payoff",I292&gt;=$R$13),0,IF($I292&lt;=$R$6,SUM($Q$20:$Q292),0))</f>
        <v>0</v>
      </c>
      <c r="T292" s="873">
        <f t="shared" si="109"/>
        <v>0</v>
      </c>
      <c r="U292" s="1110">
        <f t="shared" si="110"/>
        <v>0</v>
      </c>
      <c r="W292" s="1102">
        <f t="shared" si="100"/>
        <v>0</v>
      </c>
      <c r="X292" s="873">
        <f t="shared" si="101"/>
        <v>0</v>
      </c>
      <c r="Y292" s="873">
        <f t="shared" si="102"/>
        <v>0</v>
      </c>
      <c r="Z292" s="885">
        <f t="shared" si="103"/>
        <v>0</v>
      </c>
    </row>
    <row r="293" spans="2:26" s="278" customFormat="1" ht="12" customHeight="1" x14ac:dyDescent="0.25">
      <c r="B293" s="1192">
        <f t="shared" si="111"/>
        <v>293</v>
      </c>
      <c r="C293" s="732">
        <f t="shared" si="95"/>
        <v>31</v>
      </c>
      <c r="D293" s="35">
        <f t="shared" si="96"/>
        <v>7</v>
      </c>
      <c r="E293" s="889">
        <f t="shared" si="114"/>
        <v>55000</v>
      </c>
      <c r="F293" s="822">
        <f t="shared" si="97"/>
        <v>7</v>
      </c>
      <c r="G293" s="126">
        <f t="shared" si="98"/>
        <v>0</v>
      </c>
      <c r="H293" s="1098">
        <f t="shared" si="115"/>
        <v>0</v>
      </c>
      <c r="I293" s="887">
        <f t="shared" si="112"/>
        <v>274</v>
      </c>
      <c r="J293" s="1099">
        <f t="shared" si="104"/>
        <v>274</v>
      </c>
      <c r="K293" s="891" t="str">
        <f t="shared" si="105"/>
        <v>July</v>
      </c>
      <c r="L293" s="888">
        <f t="shared" si="113"/>
        <v>2050</v>
      </c>
      <c r="M293" s="883">
        <f t="shared" si="106"/>
        <v>0</v>
      </c>
      <c r="N293" s="883">
        <f t="shared" si="107"/>
        <v>0</v>
      </c>
      <c r="O293" s="1100"/>
      <c r="P293" s="883">
        <f t="shared" si="99"/>
        <v>0</v>
      </c>
      <c r="Q293" s="884">
        <f t="shared" si="108"/>
        <v>0</v>
      </c>
      <c r="R293" s="884">
        <f>IF(AND($AR$39="Early Payoff",I293&gt;=$R$13),0,IF($I293&lt;=$R$6,SUM($P$20:$P293),0))</f>
        <v>0</v>
      </c>
      <c r="S293" s="884">
        <f>IF(AND($AR$39="Early Payoff",I293&gt;=$R$13),0,IF($I293&lt;=$R$6,SUM($Q$20:$Q293),0))</f>
        <v>0</v>
      </c>
      <c r="T293" s="873">
        <f t="shared" si="109"/>
        <v>0</v>
      </c>
      <c r="U293" s="1110">
        <f t="shared" si="110"/>
        <v>0</v>
      </c>
      <c r="W293" s="1102">
        <f t="shared" si="100"/>
        <v>0</v>
      </c>
      <c r="X293" s="873">
        <f t="shared" si="101"/>
        <v>0</v>
      </c>
      <c r="Y293" s="873">
        <f t="shared" si="102"/>
        <v>0</v>
      </c>
      <c r="Z293" s="885">
        <f t="shared" si="103"/>
        <v>0</v>
      </c>
    </row>
    <row r="294" spans="2:26" s="278" customFormat="1" ht="12" customHeight="1" x14ac:dyDescent="0.25">
      <c r="B294" s="1192">
        <f t="shared" si="111"/>
        <v>294</v>
      </c>
      <c r="C294" s="732">
        <f t="shared" si="95"/>
        <v>31</v>
      </c>
      <c r="D294" s="35">
        <f t="shared" si="96"/>
        <v>8</v>
      </c>
      <c r="E294" s="889">
        <f t="shared" si="114"/>
        <v>55031</v>
      </c>
      <c r="F294" s="822">
        <f t="shared" si="97"/>
        <v>8</v>
      </c>
      <c r="G294" s="126">
        <f t="shared" si="98"/>
        <v>0</v>
      </c>
      <c r="H294" s="1098">
        <f t="shared" si="115"/>
        <v>0</v>
      </c>
      <c r="I294" s="887">
        <f t="shared" si="112"/>
        <v>275</v>
      </c>
      <c r="J294" s="1099">
        <f t="shared" si="104"/>
        <v>275</v>
      </c>
      <c r="K294" s="891" t="str">
        <f t="shared" si="105"/>
        <v>August</v>
      </c>
      <c r="L294" s="888">
        <f t="shared" si="113"/>
        <v>2050</v>
      </c>
      <c r="M294" s="883">
        <f t="shared" si="106"/>
        <v>0</v>
      </c>
      <c r="N294" s="883">
        <f t="shared" si="107"/>
        <v>0</v>
      </c>
      <c r="O294" s="1100"/>
      <c r="P294" s="883">
        <f t="shared" si="99"/>
        <v>0</v>
      </c>
      <c r="Q294" s="884">
        <f t="shared" si="108"/>
        <v>0</v>
      </c>
      <c r="R294" s="884">
        <f>IF(AND($AR$39="Early Payoff",I294&gt;=$R$13),0,IF($I294&lt;=$R$6,SUM($P$20:$P294),0))</f>
        <v>0</v>
      </c>
      <c r="S294" s="884">
        <f>IF(AND($AR$39="Early Payoff",I294&gt;=$R$13),0,IF($I294&lt;=$R$6,SUM($Q$20:$Q294),0))</f>
        <v>0</v>
      </c>
      <c r="T294" s="873">
        <f t="shared" si="109"/>
        <v>0</v>
      </c>
      <c r="U294" s="1110">
        <f t="shared" si="110"/>
        <v>0</v>
      </c>
      <c r="W294" s="1102">
        <f t="shared" si="100"/>
        <v>0</v>
      </c>
      <c r="X294" s="873">
        <f t="shared" si="101"/>
        <v>0</v>
      </c>
      <c r="Y294" s="873">
        <f t="shared" si="102"/>
        <v>0</v>
      </c>
      <c r="Z294" s="885">
        <f t="shared" si="103"/>
        <v>0</v>
      </c>
    </row>
    <row r="295" spans="2:26" s="278" customFormat="1" ht="12" customHeight="1" x14ac:dyDescent="0.25">
      <c r="B295" s="1192">
        <f t="shared" si="111"/>
        <v>295</v>
      </c>
      <c r="C295" s="732">
        <f t="shared" si="95"/>
        <v>30</v>
      </c>
      <c r="D295" s="35">
        <f t="shared" si="96"/>
        <v>9</v>
      </c>
      <c r="E295" s="889">
        <f t="shared" si="114"/>
        <v>55061</v>
      </c>
      <c r="F295" s="822">
        <f t="shared" si="97"/>
        <v>9</v>
      </c>
      <c r="G295" s="126">
        <f t="shared" si="98"/>
        <v>0</v>
      </c>
      <c r="H295" s="1098">
        <f t="shared" si="115"/>
        <v>0</v>
      </c>
      <c r="I295" s="887">
        <f t="shared" si="112"/>
        <v>276</v>
      </c>
      <c r="J295" s="1099">
        <f t="shared" si="104"/>
        <v>276</v>
      </c>
      <c r="K295" s="891" t="str">
        <f t="shared" si="105"/>
        <v>September</v>
      </c>
      <c r="L295" s="888">
        <f t="shared" si="113"/>
        <v>2050</v>
      </c>
      <c r="M295" s="883">
        <f t="shared" si="106"/>
        <v>0</v>
      </c>
      <c r="N295" s="883">
        <f t="shared" si="107"/>
        <v>0</v>
      </c>
      <c r="O295" s="1100"/>
      <c r="P295" s="883">
        <f t="shared" si="99"/>
        <v>0</v>
      </c>
      <c r="Q295" s="884">
        <f t="shared" si="108"/>
        <v>0</v>
      </c>
      <c r="R295" s="884">
        <f>IF(AND($AR$39="Early Payoff",I295&gt;=$R$13),0,IF($I295&lt;=$R$6,SUM($P$20:$P295),0))</f>
        <v>0</v>
      </c>
      <c r="S295" s="884">
        <f>IF(AND($AR$39="Early Payoff",I295&gt;=$R$13),0,IF($I295&lt;=$R$6,SUM($Q$20:$Q295),0))</f>
        <v>0</v>
      </c>
      <c r="T295" s="873">
        <f t="shared" si="109"/>
        <v>0</v>
      </c>
      <c r="U295" s="1110">
        <f t="shared" si="110"/>
        <v>0</v>
      </c>
      <c r="W295" s="1102">
        <f t="shared" si="100"/>
        <v>0</v>
      </c>
      <c r="X295" s="873">
        <f t="shared" si="101"/>
        <v>0</v>
      </c>
      <c r="Y295" s="873">
        <f t="shared" si="102"/>
        <v>0</v>
      </c>
      <c r="Z295" s="885">
        <f t="shared" si="103"/>
        <v>0</v>
      </c>
    </row>
    <row r="296" spans="2:26" s="278" customFormat="1" ht="12" customHeight="1" x14ac:dyDescent="0.25">
      <c r="B296" s="1192">
        <f t="shared" si="111"/>
        <v>296</v>
      </c>
      <c r="C296" s="732">
        <f t="shared" si="95"/>
        <v>31</v>
      </c>
      <c r="D296" s="35">
        <f t="shared" si="96"/>
        <v>10</v>
      </c>
      <c r="E296" s="889">
        <f t="shared" si="114"/>
        <v>55092</v>
      </c>
      <c r="F296" s="822">
        <f t="shared" si="97"/>
        <v>10</v>
      </c>
      <c r="G296" s="126">
        <f t="shared" si="98"/>
        <v>0</v>
      </c>
      <c r="H296" s="1098">
        <f t="shared" si="115"/>
        <v>0</v>
      </c>
      <c r="I296" s="887">
        <f t="shared" si="112"/>
        <v>277</v>
      </c>
      <c r="J296" s="1099">
        <f t="shared" si="104"/>
        <v>277</v>
      </c>
      <c r="K296" s="891" t="str">
        <f t="shared" si="105"/>
        <v>October</v>
      </c>
      <c r="L296" s="888">
        <f t="shared" si="113"/>
        <v>2050</v>
      </c>
      <c r="M296" s="883">
        <f t="shared" si="106"/>
        <v>0</v>
      </c>
      <c r="N296" s="883">
        <f t="shared" si="107"/>
        <v>0</v>
      </c>
      <c r="O296" s="1100"/>
      <c r="P296" s="883">
        <f t="shared" si="99"/>
        <v>0</v>
      </c>
      <c r="Q296" s="884">
        <f t="shared" si="108"/>
        <v>0</v>
      </c>
      <c r="R296" s="884">
        <f>IF(AND($AR$39="Early Payoff",I296&gt;=$R$13),0,IF($I296&lt;=$R$6,SUM($P$20:$P296),0))</f>
        <v>0</v>
      </c>
      <c r="S296" s="884">
        <f>IF(AND($AR$39="Early Payoff",I296&gt;=$R$13),0,IF($I296&lt;=$R$6,SUM($Q$20:$Q296),0))</f>
        <v>0</v>
      </c>
      <c r="T296" s="873">
        <f t="shared" si="109"/>
        <v>0</v>
      </c>
      <c r="U296" s="1110">
        <f t="shared" si="110"/>
        <v>0</v>
      </c>
      <c r="W296" s="1102">
        <f t="shared" si="100"/>
        <v>0</v>
      </c>
      <c r="X296" s="873">
        <f t="shared" si="101"/>
        <v>0</v>
      </c>
      <c r="Y296" s="873">
        <f t="shared" si="102"/>
        <v>0</v>
      </c>
      <c r="Z296" s="885">
        <f t="shared" si="103"/>
        <v>0</v>
      </c>
    </row>
    <row r="297" spans="2:26" s="278" customFormat="1" ht="12" customHeight="1" x14ac:dyDescent="0.25">
      <c r="B297" s="1192">
        <f t="shared" si="111"/>
        <v>297</v>
      </c>
      <c r="C297" s="732">
        <f t="shared" si="95"/>
        <v>30</v>
      </c>
      <c r="D297" s="35">
        <f t="shared" si="96"/>
        <v>11</v>
      </c>
      <c r="E297" s="889">
        <f t="shared" si="114"/>
        <v>55122</v>
      </c>
      <c r="F297" s="822">
        <f t="shared" si="97"/>
        <v>11</v>
      </c>
      <c r="G297" s="126">
        <f t="shared" si="98"/>
        <v>0</v>
      </c>
      <c r="H297" s="1098">
        <f t="shared" si="115"/>
        <v>0</v>
      </c>
      <c r="I297" s="887">
        <f t="shared" si="112"/>
        <v>278</v>
      </c>
      <c r="J297" s="1099">
        <f t="shared" si="104"/>
        <v>278</v>
      </c>
      <c r="K297" s="891" t="str">
        <f t="shared" si="105"/>
        <v>November</v>
      </c>
      <c r="L297" s="888">
        <f t="shared" si="113"/>
        <v>2050</v>
      </c>
      <c r="M297" s="883">
        <f t="shared" si="106"/>
        <v>0</v>
      </c>
      <c r="N297" s="883">
        <f t="shared" si="107"/>
        <v>0</v>
      </c>
      <c r="O297" s="1100"/>
      <c r="P297" s="883">
        <f t="shared" si="99"/>
        <v>0</v>
      </c>
      <c r="Q297" s="884">
        <f t="shared" si="108"/>
        <v>0</v>
      </c>
      <c r="R297" s="884">
        <f>IF(AND($AR$39="Early Payoff",I297&gt;=$R$13),0,IF($I297&lt;=$R$6,SUM($P$20:$P297),0))</f>
        <v>0</v>
      </c>
      <c r="S297" s="884">
        <f>IF(AND($AR$39="Early Payoff",I297&gt;=$R$13),0,IF($I297&lt;=$R$6,SUM($Q$20:$Q297),0))</f>
        <v>0</v>
      </c>
      <c r="T297" s="873">
        <f t="shared" si="109"/>
        <v>0</v>
      </c>
      <c r="U297" s="1110">
        <f t="shared" si="110"/>
        <v>0</v>
      </c>
      <c r="W297" s="1102">
        <f t="shared" si="100"/>
        <v>0</v>
      </c>
      <c r="X297" s="873">
        <f t="shared" si="101"/>
        <v>0</v>
      </c>
      <c r="Y297" s="873">
        <f t="shared" si="102"/>
        <v>0</v>
      </c>
      <c r="Z297" s="885">
        <f t="shared" si="103"/>
        <v>0</v>
      </c>
    </row>
    <row r="298" spans="2:26" s="278" customFormat="1" ht="12" customHeight="1" x14ac:dyDescent="0.25">
      <c r="B298" s="1192">
        <f t="shared" si="111"/>
        <v>298</v>
      </c>
      <c r="C298" s="732">
        <f t="shared" si="95"/>
        <v>31</v>
      </c>
      <c r="D298" s="35">
        <f t="shared" si="96"/>
        <v>12</v>
      </c>
      <c r="E298" s="889">
        <f t="shared" si="114"/>
        <v>55153</v>
      </c>
      <c r="F298" s="822">
        <f t="shared" si="97"/>
        <v>12</v>
      </c>
      <c r="G298" s="126">
        <f t="shared" si="98"/>
        <v>1</v>
      </c>
      <c r="H298" s="1098">
        <f t="shared" si="115"/>
        <v>0</v>
      </c>
      <c r="I298" s="887">
        <f t="shared" si="112"/>
        <v>279</v>
      </c>
      <c r="J298" s="1099">
        <f t="shared" si="104"/>
        <v>279</v>
      </c>
      <c r="K298" s="891" t="str">
        <f t="shared" si="105"/>
        <v>December</v>
      </c>
      <c r="L298" s="888">
        <f t="shared" si="113"/>
        <v>2050</v>
      </c>
      <c r="M298" s="883">
        <f t="shared" si="106"/>
        <v>0</v>
      </c>
      <c r="N298" s="883">
        <f t="shared" si="107"/>
        <v>0</v>
      </c>
      <c r="O298" s="1100"/>
      <c r="P298" s="883">
        <f t="shared" si="99"/>
        <v>0</v>
      </c>
      <c r="Q298" s="884">
        <f t="shared" si="108"/>
        <v>0</v>
      </c>
      <c r="R298" s="884">
        <f>IF(AND($AR$39="Early Payoff",I298&gt;=$R$13),0,IF($I298&lt;=$R$6,SUM($P$20:$P298),0))</f>
        <v>0</v>
      </c>
      <c r="S298" s="884">
        <f>IF(AND($AR$39="Early Payoff",I298&gt;=$R$13),0,IF($I298&lt;=$R$6,SUM($Q$20:$Q298),0))</f>
        <v>0</v>
      </c>
      <c r="T298" s="873">
        <f t="shared" si="109"/>
        <v>0</v>
      </c>
      <c r="U298" s="1110">
        <f t="shared" si="110"/>
        <v>0</v>
      </c>
      <c r="W298" s="1102">
        <f t="shared" si="100"/>
        <v>0</v>
      </c>
      <c r="X298" s="873">
        <f t="shared" si="101"/>
        <v>0</v>
      </c>
      <c r="Y298" s="873">
        <f t="shared" si="102"/>
        <v>0</v>
      </c>
      <c r="Z298" s="885">
        <f t="shared" si="103"/>
        <v>0</v>
      </c>
    </row>
    <row r="299" spans="2:26" s="278" customFormat="1" ht="12" customHeight="1" x14ac:dyDescent="0.25">
      <c r="B299" s="1192">
        <f t="shared" si="111"/>
        <v>299</v>
      </c>
      <c r="C299" s="732">
        <f t="shared" si="95"/>
        <v>31</v>
      </c>
      <c r="D299" s="35">
        <f t="shared" si="96"/>
        <v>1</v>
      </c>
      <c r="E299" s="889">
        <f t="shared" si="114"/>
        <v>55184</v>
      </c>
      <c r="F299" s="822">
        <f t="shared" si="97"/>
        <v>1</v>
      </c>
      <c r="G299" s="126">
        <f t="shared" si="98"/>
        <v>0</v>
      </c>
      <c r="H299" s="1098">
        <f t="shared" si="115"/>
        <v>0</v>
      </c>
      <c r="I299" s="887">
        <f t="shared" si="112"/>
        <v>280</v>
      </c>
      <c r="J299" s="1099">
        <f t="shared" si="104"/>
        <v>280</v>
      </c>
      <c r="K299" s="891" t="str">
        <f t="shared" si="105"/>
        <v>January</v>
      </c>
      <c r="L299" s="888">
        <f t="shared" si="113"/>
        <v>2051</v>
      </c>
      <c r="M299" s="883">
        <f t="shared" si="106"/>
        <v>0</v>
      </c>
      <c r="N299" s="883">
        <f t="shared" si="107"/>
        <v>0</v>
      </c>
      <c r="O299" s="1100"/>
      <c r="P299" s="883">
        <f t="shared" si="99"/>
        <v>0</v>
      </c>
      <c r="Q299" s="884">
        <f t="shared" si="108"/>
        <v>0</v>
      </c>
      <c r="R299" s="884">
        <f>IF(AND($AR$39="Early Payoff",I299&gt;=$R$13),0,IF($I299&lt;=$R$6,SUM($P$20:$P299),0))</f>
        <v>0</v>
      </c>
      <c r="S299" s="884">
        <f>IF(AND($AR$39="Early Payoff",I299&gt;=$R$13),0,IF($I299&lt;=$R$6,SUM($Q$20:$Q299),0))</f>
        <v>0</v>
      </c>
      <c r="T299" s="873">
        <f t="shared" si="109"/>
        <v>0</v>
      </c>
      <c r="U299" s="1110">
        <f t="shared" si="110"/>
        <v>0</v>
      </c>
      <c r="W299" s="1102">
        <f t="shared" si="100"/>
        <v>0</v>
      </c>
      <c r="X299" s="873">
        <f t="shared" si="101"/>
        <v>0</v>
      </c>
      <c r="Y299" s="873">
        <f t="shared" si="102"/>
        <v>0</v>
      </c>
      <c r="Z299" s="885">
        <f t="shared" si="103"/>
        <v>0</v>
      </c>
    </row>
    <row r="300" spans="2:26" s="278" customFormat="1" ht="12" customHeight="1" x14ac:dyDescent="0.25">
      <c r="B300" s="1192">
        <f t="shared" si="111"/>
        <v>300</v>
      </c>
      <c r="C300" s="732">
        <f t="shared" si="95"/>
        <v>28</v>
      </c>
      <c r="D300" s="35">
        <f t="shared" si="96"/>
        <v>2</v>
      </c>
      <c r="E300" s="889">
        <f t="shared" si="114"/>
        <v>55212</v>
      </c>
      <c r="F300" s="822">
        <f t="shared" si="97"/>
        <v>2</v>
      </c>
      <c r="G300" s="126">
        <f t="shared" si="98"/>
        <v>0</v>
      </c>
      <c r="H300" s="1098">
        <f t="shared" si="115"/>
        <v>0</v>
      </c>
      <c r="I300" s="887">
        <f t="shared" si="112"/>
        <v>281</v>
      </c>
      <c r="J300" s="1099">
        <f t="shared" si="104"/>
        <v>281</v>
      </c>
      <c r="K300" s="891" t="str">
        <f t="shared" si="105"/>
        <v>February</v>
      </c>
      <c r="L300" s="888">
        <f t="shared" si="113"/>
        <v>2051</v>
      </c>
      <c r="M300" s="883">
        <f t="shared" si="106"/>
        <v>0</v>
      </c>
      <c r="N300" s="883">
        <f t="shared" si="107"/>
        <v>0</v>
      </c>
      <c r="O300" s="1100"/>
      <c r="P300" s="883">
        <f t="shared" si="99"/>
        <v>0</v>
      </c>
      <c r="Q300" s="884">
        <f t="shared" si="108"/>
        <v>0</v>
      </c>
      <c r="R300" s="884">
        <f>IF(AND($AR$39="Early Payoff",I300&gt;=$R$13),0,IF($I300&lt;=$R$6,SUM($P$20:$P300),0))</f>
        <v>0</v>
      </c>
      <c r="S300" s="884">
        <f>IF(AND($AR$39="Early Payoff",I300&gt;=$R$13),0,IF($I300&lt;=$R$6,SUM($Q$20:$Q300),0))</f>
        <v>0</v>
      </c>
      <c r="T300" s="873">
        <f t="shared" si="109"/>
        <v>0</v>
      </c>
      <c r="U300" s="1110">
        <f t="shared" si="110"/>
        <v>0</v>
      </c>
      <c r="W300" s="1102">
        <f t="shared" si="100"/>
        <v>0</v>
      </c>
      <c r="X300" s="873">
        <f t="shared" si="101"/>
        <v>0</v>
      </c>
      <c r="Y300" s="873">
        <f t="shared" si="102"/>
        <v>0</v>
      </c>
      <c r="Z300" s="885">
        <f t="shared" si="103"/>
        <v>0</v>
      </c>
    </row>
    <row r="301" spans="2:26" s="278" customFormat="1" ht="12" customHeight="1" x14ac:dyDescent="0.25">
      <c r="B301" s="1192">
        <f t="shared" si="111"/>
        <v>301</v>
      </c>
      <c r="C301" s="732">
        <f t="shared" si="95"/>
        <v>31</v>
      </c>
      <c r="D301" s="35">
        <f t="shared" si="96"/>
        <v>3</v>
      </c>
      <c r="E301" s="889">
        <f t="shared" si="114"/>
        <v>55243</v>
      </c>
      <c r="F301" s="822">
        <f t="shared" si="97"/>
        <v>3</v>
      </c>
      <c r="G301" s="126">
        <f t="shared" si="98"/>
        <v>0</v>
      </c>
      <c r="H301" s="1098">
        <f t="shared" si="115"/>
        <v>0</v>
      </c>
      <c r="I301" s="887">
        <f t="shared" si="112"/>
        <v>282</v>
      </c>
      <c r="J301" s="1099">
        <f t="shared" si="104"/>
        <v>282</v>
      </c>
      <c r="K301" s="891" t="str">
        <f t="shared" si="105"/>
        <v>March</v>
      </c>
      <c r="L301" s="888">
        <f t="shared" si="113"/>
        <v>2051</v>
      </c>
      <c r="M301" s="883">
        <f t="shared" si="106"/>
        <v>0</v>
      </c>
      <c r="N301" s="883">
        <f t="shared" si="107"/>
        <v>0</v>
      </c>
      <c r="O301" s="1100"/>
      <c r="P301" s="883">
        <f t="shared" si="99"/>
        <v>0</v>
      </c>
      <c r="Q301" s="884">
        <f t="shared" si="108"/>
        <v>0</v>
      </c>
      <c r="R301" s="884">
        <f>IF(AND($AR$39="Early Payoff",I301&gt;=$R$13),0,IF($I301&lt;=$R$6,SUM($P$20:$P301),0))</f>
        <v>0</v>
      </c>
      <c r="S301" s="884">
        <f>IF(AND($AR$39="Early Payoff",I301&gt;=$R$13),0,IF($I301&lt;=$R$6,SUM($Q$20:$Q301),0))</f>
        <v>0</v>
      </c>
      <c r="T301" s="873">
        <f t="shared" si="109"/>
        <v>0</v>
      </c>
      <c r="U301" s="1110">
        <f t="shared" si="110"/>
        <v>0</v>
      </c>
      <c r="W301" s="1102">
        <f t="shared" si="100"/>
        <v>0</v>
      </c>
      <c r="X301" s="873">
        <f t="shared" si="101"/>
        <v>0</v>
      </c>
      <c r="Y301" s="873">
        <f t="shared" si="102"/>
        <v>0</v>
      </c>
      <c r="Z301" s="885">
        <f t="shared" si="103"/>
        <v>0</v>
      </c>
    </row>
    <row r="302" spans="2:26" s="278" customFormat="1" ht="12" customHeight="1" x14ac:dyDescent="0.25">
      <c r="B302" s="1192">
        <f t="shared" si="111"/>
        <v>302</v>
      </c>
      <c r="C302" s="732">
        <f t="shared" si="95"/>
        <v>30</v>
      </c>
      <c r="D302" s="35">
        <f t="shared" si="96"/>
        <v>4</v>
      </c>
      <c r="E302" s="889">
        <f t="shared" si="114"/>
        <v>55273</v>
      </c>
      <c r="F302" s="822">
        <f t="shared" si="97"/>
        <v>4</v>
      </c>
      <c r="G302" s="126">
        <f t="shared" si="98"/>
        <v>0</v>
      </c>
      <c r="H302" s="1098">
        <f t="shared" si="115"/>
        <v>0</v>
      </c>
      <c r="I302" s="887">
        <f t="shared" si="112"/>
        <v>283</v>
      </c>
      <c r="J302" s="1099">
        <f t="shared" si="104"/>
        <v>283</v>
      </c>
      <c r="K302" s="891" t="str">
        <f t="shared" si="105"/>
        <v>April</v>
      </c>
      <c r="L302" s="888">
        <f t="shared" si="113"/>
        <v>2051</v>
      </c>
      <c r="M302" s="883">
        <f t="shared" si="106"/>
        <v>0</v>
      </c>
      <c r="N302" s="883">
        <f t="shared" si="107"/>
        <v>0</v>
      </c>
      <c r="O302" s="1100"/>
      <c r="P302" s="883">
        <f t="shared" si="99"/>
        <v>0</v>
      </c>
      <c r="Q302" s="884">
        <f t="shared" si="108"/>
        <v>0</v>
      </c>
      <c r="R302" s="884">
        <f>IF(AND($AR$39="Early Payoff",I302&gt;=$R$13),0,IF($I302&lt;=$R$6,SUM($P$20:$P302),0))</f>
        <v>0</v>
      </c>
      <c r="S302" s="884">
        <f>IF(AND($AR$39="Early Payoff",I302&gt;=$R$13),0,IF($I302&lt;=$R$6,SUM($Q$20:$Q302),0))</f>
        <v>0</v>
      </c>
      <c r="T302" s="873">
        <f t="shared" si="109"/>
        <v>0</v>
      </c>
      <c r="U302" s="1110">
        <f t="shared" si="110"/>
        <v>0</v>
      </c>
      <c r="W302" s="1102">
        <f t="shared" si="100"/>
        <v>0</v>
      </c>
      <c r="X302" s="873">
        <f t="shared" si="101"/>
        <v>0</v>
      </c>
      <c r="Y302" s="873">
        <f t="shared" si="102"/>
        <v>0</v>
      </c>
      <c r="Z302" s="885">
        <f t="shared" si="103"/>
        <v>0</v>
      </c>
    </row>
    <row r="303" spans="2:26" s="278" customFormat="1" ht="12" customHeight="1" x14ac:dyDescent="0.25">
      <c r="B303" s="1192">
        <f t="shared" si="111"/>
        <v>303</v>
      </c>
      <c r="C303" s="732">
        <f t="shared" si="95"/>
        <v>31</v>
      </c>
      <c r="D303" s="35">
        <f t="shared" si="96"/>
        <v>5</v>
      </c>
      <c r="E303" s="889">
        <f t="shared" si="114"/>
        <v>55304</v>
      </c>
      <c r="F303" s="822">
        <f t="shared" si="97"/>
        <v>5</v>
      </c>
      <c r="G303" s="126">
        <f t="shared" si="98"/>
        <v>0</v>
      </c>
      <c r="H303" s="1098">
        <f t="shared" si="115"/>
        <v>0</v>
      </c>
      <c r="I303" s="887">
        <f t="shared" si="112"/>
        <v>284</v>
      </c>
      <c r="J303" s="1099">
        <f t="shared" si="104"/>
        <v>284</v>
      </c>
      <c r="K303" s="891" t="str">
        <f t="shared" si="105"/>
        <v>May</v>
      </c>
      <c r="L303" s="888">
        <f t="shared" si="113"/>
        <v>2051</v>
      </c>
      <c r="M303" s="883">
        <f t="shared" si="106"/>
        <v>0</v>
      </c>
      <c r="N303" s="883">
        <f t="shared" si="107"/>
        <v>0</v>
      </c>
      <c r="O303" s="1100"/>
      <c r="P303" s="883">
        <f t="shared" si="99"/>
        <v>0</v>
      </c>
      <c r="Q303" s="884">
        <f t="shared" si="108"/>
        <v>0</v>
      </c>
      <c r="R303" s="884">
        <f>IF(AND($AR$39="Early Payoff",I303&gt;=$R$13),0,IF($I303&lt;=$R$6,SUM($P$20:$P303),0))</f>
        <v>0</v>
      </c>
      <c r="S303" s="884">
        <f>IF(AND($AR$39="Early Payoff",I303&gt;=$R$13),0,IF($I303&lt;=$R$6,SUM($Q$20:$Q303),0))</f>
        <v>0</v>
      </c>
      <c r="T303" s="873">
        <f t="shared" si="109"/>
        <v>0</v>
      </c>
      <c r="U303" s="1110">
        <f t="shared" si="110"/>
        <v>0</v>
      </c>
      <c r="W303" s="1102">
        <f t="shared" si="100"/>
        <v>0</v>
      </c>
      <c r="X303" s="873">
        <f t="shared" si="101"/>
        <v>0</v>
      </c>
      <c r="Y303" s="873">
        <f t="shared" si="102"/>
        <v>0</v>
      </c>
      <c r="Z303" s="885">
        <f t="shared" si="103"/>
        <v>0</v>
      </c>
    </row>
    <row r="304" spans="2:26" s="278" customFormat="1" ht="12" customHeight="1" x14ac:dyDescent="0.25">
      <c r="B304" s="1192">
        <f t="shared" si="111"/>
        <v>304</v>
      </c>
      <c r="C304" s="732">
        <f t="shared" si="95"/>
        <v>30</v>
      </c>
      <c r="D304" s="35">
        <f t="shared" si="96"/>
        <v>6</v>
      </c>
      <c r="E304" s="889">
        <f t="shared" si="114"/>
        <v>55334</v>
      </c>
      <c r="F304" s="822">
        <f t="shared" si="97"/>
        <v>6</v>
      </c>
      <c r="G304" s="126">
        <f t="shared" si="98"/>
        <v>0</v>
      </c>
      <c r="H304" s="1098">
        <f t="shared" si="115"/>
        <v>0</v>
      </c>
      <c r="I304" s="887">
        <f t="shared" si="112"/>
        <v>285</v>
      </c>
      <c r="J304" s="1099">
        <f t="shared" si="104"/>
        <v>285</v>
      </c>
      <c r="K304" s="891" t="str">
        <f t="shared" si="105"/>
        <v>June</v>
      </c>
      <c r="L304" s="888">
        <f t="shared" si="113"/>
        <v>2051</v>
      </c>
      <c r="M304" s="883">
        <f t="shared" si="106"/>
        <v>0</v>
      </c>
      <c r="N304" s="883">
        <f t="shared" si="107"/>
        <v>0</v>
      </c>
      <c r="O304" s="1100"/>
      <c r="P304" s="883">
        <f t="shared" si="99"/>
        <v>0</v>
      </c>
      <c r="Q304" s="884">
        <f t="shared" si="108"/>
        <v>0</v>
      </c>
      <c r="R304" s="884">
        <f>IF(AND($AR$39="Early Payoff",I304&gt;=$R$13),0,IF($I304&lt;=$R$6,SUM($P$20:$P304),0))</f>
        <v>0</v>
      </c>
      <c r="S304" s="884">
        <f>IF(AND($AR$39="Early Payoff",I304&gt;=$R$13),0,IF($I304&lt;=$R$6,SUM($Q$20:$Q304),0))</f>
        <v>0</v>
      </c>
      <c r="T304" s="873">
        <f t="shared" si="109"/>
        <v>0</v>
      </c>
      <c r="U304" s="1110">
        <f t="shared" si="110"/>
        <v>0</v>
      </c>
      <c r="W304" s="1102">
        <f t="shared" si="100"/>
        <v>0</v>
      </c>
      <c r="X304" s="873">
        <f t="shared" si="101"/>
        <v>0</v>
      </c>
      <c r="Y304" s="873">
        <f t="shared" si="102"/>
        <v>0</v>
      </c>
      <c r="Z304" s="885">
        <f t="shared" si="103"/>
        <v>0</v>
      </c>
    </row>
    <row r="305" spans="2:26" s="278" customFormat="1" ht="12" customHeight="1" x14ac:dyDescent="0.25">
      <c r="B305" s="1192">
        <f t="shared" si="111"/>
        <v>305</v>
      </c>
      <c r="C305" s="732">
        <f t="shared" si="95"/>
        <v>31</v>
      </c>
      <c r="D305" s="35">
        <f t="shared" si="96"/>
        <v>7</v>
      </c>
      <c r="E305" s="889">
        <f t="shared" si="114"/>
        <v>55365</v>
      </c>
      <c r="F305" s="822">
        <f t="shared" si="97"/>
        <v>7</v>
      </c>
      <c r="G305" s="126">
        <f t="shared" si="98"/>
        <v>0</v>
      </c>
      <c r="H305" s="1098">
        <f t="shared" si="115"/>
        <v>0</v>
      </c>
      <c r="I305" s="887">
        <f t="shared" si="112"/>
        <v>286</v>
      </c>
      <c r="J305" s="1099">
        <f t="shared" si="104"/>
        <v>286</v>
      </c>
      <c r="K305" s="891" t="str">
        <f t="shared" si="105"/>
        <v>July</v>
      </c>
      <c r="L305" s="888">
        <f t="shared" si="113"/>
        <v>2051</v>
      </c>
      <c r="M305" s="883">
        <f t="shared" si="106"/>
        <v>0</v>
      </c>
      <c r="N305" s="883">
        <f t="shared" si="107"/>
        <v>0</v>
      </c>
      <c r="O305" s="1100"/>
      <c r="P305" s="883">
        <f t="shared" si="99"/>
        <v>0</v>
      </c>
      <c r="Q305" s="884">
        <f t="shared" si="108"/>
        <v>0</v>
      </c>
      <c r="R305" s="884">
        <f>IF(AND($AR$39="Early Payoff",I305&gt;=$R$13),0,IF($I305&lt;=$R$6,SUM($P$20:$P305),0))</f>
        <v>0</v>
      </c>
      <c r="S305" s="884">
        <f>IF(AND($AR$39="Early Payoff",I305&gt;=$R$13),0,IF($I305&lt;=$R$6,SUM($Q$20:$Q305),0))</f>
        <v>0</v>
      </c>
      <c r="T305" s="873">
        <f t="shared" si="109"/>
        <v>0</v>
      </c>
      <c r="U305" s="1110">
        <f t="shared" si="110"/>
        <v>0</v>
      </c>
      <c r="W305" s="1102">
        <f t="shared" si="100"/>
        <v>0</v>
      </c>
      <c r="X305" s="873">
        <f t="shared" si="101"/>
        <v>0</v>
      </c>
      <c r="Y305" s="873">
        <f t="shared" si="102"/>
        <v>0</v>
      </c>
      <c r="Z305" s="885">
        <f t="shared" si="103"/>
        <v>0</v>
      </c>
    </row>
    <row r="306" spans="2:26" s="278" customFormat="1" ht="12" customHeight="1" x14ac:dyDescent="0.25">
      <c r="B306" s="1192">
        <f t="shared" si="111"/>
        <v>306</v>
      </c>
      <c r="C306" s="732">
        <f t="shared" si="95"/>
        <v>31</v>
      </c>
      <c r="D306" s="35">
        <f t="shared" si="96"/>
        <v>8</v>
      </c>
      <c r="E306" s="889">
        <f t="shared" si="114"/>
        <v>55396</v>
      </c>
      <c r="F306" s="822">
        <f t="shared" si="97"/>
        <v>8</v>
      </c>
      <c r="G306" s="126">
        <f t="shared" si="98"/>
        <v>0</v>
      </c>
      <c r="H306" s="1098">
        <f t="shared" si="115"/>
        <v>0</v>
      </c>
      <c r="I306" s="887">
        <f t="shared" si="112"/>
        <v>287</v>
      </c>
      <c r="J306" s="1099">
        <f t="shared" si="104"/>
        <v>287</v>
      </c>
      <c r="K306" s="891" t="str">
        <f t="shared" si="105"/>
        <v>August</v>
      </c>
      <c r="L306" s="888">
        <f t="shared" si="113"/>
        <v>2051</v>
      </c>
      <c r="M306" s="883">
        <f t="shared" si="106"/>
        <v>0</v>
      </c>
      <c r="N306" s="883">
        <f t="shared" si="107"/>
        <v>0</v>
      </c>
      <c r="O306" s="1100"/>
      <c r="P306" s="883">
        <f t="shared" si="99"/>
        <v>0</v>
      </c>
      <c r="Q306" s="884">
        <f t="shared" si="108"/>
        <v>0</v>
      </c>
      <c r="R306" s="884">
        <f>IF(AND($AR$39="Early Payoff",I306&gt;=$R$13),0,IF($I306&lt;=$R$6,SUM($P$20:$P306),0))</f>
        <v>0</v>
      </c>
      <c r="S306" s="884">
        <f>IF(AND($AR$39="Early Payoff",I306&gt;=$R$13),0,IF($I306&lt;=$R$6,SUM($Q$20:$Q306),0))</f>
        <v>0</v>
      </c>
      <c r="T306" s="873">
        <f t="shared" si="109"/>
        <v>0</v>
      </c>
      <c r="U306" s="1110">
        <f t="shared" si="110"/>
        <v>0</v>
      </c>
      <c r="W306" s="1102">
        <f t="shared" si="100"/>
        <v>0</v>
      </c>
      <c r="X306" s="873">
        <f t="shared" si="101"/>
        <v>0</v>
      </c>
      <c r="Y306" s="873">
        <f t="shared" si="102"/>
        <v>0</v>
      </c>
      <c r="Z306" s="885">
        <f t="shared" si="103"/>
        <v>0</v>
      </c>
    </row>
    <row r="307" spans="2:26" s="278" customFormat="1" ht="12" customHeight="1" x14ac:dyDescent="0.25">
      <c r="B307" s="1192">
        <f t="shared" si="111"/>
        <v>307</v>
      </c>
      <c r="C307" s="732">
        <f t="shared" si="95"/>
        <v>30</v>
      </c>
      <c r="D307" s="35">
        <f t="shared" si="96"/>
        <v>9</v>
      </c>
      <c r="E307" s="889">
        <f t="shared" si="114"/>
        <v>55426</v>
      </c>
      <c r="F307" s="822">
        <f t="shared" si="97"/>
        <v>9</v>
      </c>
      <c r="G307" s="126">
        <f t="shared" si="98"/>
        <v>0</v>
      </c>
      <c r="H307" s="1098">
        <f t="shared" si="115"/>
        <v>0</v>
      </c>
      <c r="I307" s="887">
        <f t="shared" si="112"/>
        <v>288</v>
      </c>
      <c r="J307" s="1099">
        <f t="shared" si="104"/>
        <v>288</v>
      </c>
      <c r="K307" s="891" t="str">
        <f t="shared" si="105"/>
        <v>September</v>
      </c>
      <c r="L307" s="888">
        <f t="shared" si="113"/>
        <v>2051</v>
      </c>
      <c r="M307" s="883">
        <f t="shared" si="106"/>
        <v>0</v>
      </c>
      <c r="N307" s="883">
        <f t="shared" si="107"/>
        <v>0</v>
      </c>
      <c r="O307" s="1100"/>
      <c r="P307" s="883">
        <f t="shared" si="99"/>
        <v>0</v>
      </c>
      <c r="Q307" s="884">
        <f t="shared" si="108"/>
        <v>0</v>
      </c>
      <c r="R307" s="884">
        <f>IF(AND($AR$39="Early Payoff",I307&gt;=$R$13),0,IF($I307&lt;=$R$6,SUM($P$20:$P307),0))</f>
        <v>0</v>
      </c>
      <c r="S307" s="884">
        <f>IF(AND($AR$39="Early Payoff",I307&gt;=$R$13),0,IF($I307&lt;=$R$6,SUM($Q$20:$Q307),0))</f>
        <v>0</v>
      </c>
      <c r="T307" s="873">
        <f t="shared" si="109"/>
        <v>0</v>
      </c>
      <c r="U307" s="1110">
        <f t="shared" si="110"/>
        <v>0</v>
      </c>
      <c r="W307" s="1102">
        <f t="shared" si="100"/>
        <v>0</v>
      </c>
      <c r="X307" s="873">
        <f t="shared" si="101"/>
        <v>0</v>
      </c>
      <c r="Y307" s="873">
        <f t="shared" si="102"/>
        <v>0</v>
      </c>
      <c r="Z307" s="885">
        <f t="shared" si="103"/>
        <v>0</v>
      </c>
    </row>
    <row r="308" spans="2:26" s="278" customFormat="1" ht="12" customHeight="1" x14ac:dyDescent="0.25">
      <c r="B308" s="1192">
        <f t="shared" si="111"/>
        <v>308</v>
      </c>
      <c r="C308" s="732">
        <f t="shared" si="95"/>
        <v>31</v>
      </c>
      <c r="D308" s="35">
        <f t="shared" si="96"/>
        <v>10</v>
      </c>
      <c r="E308" s="889">
        <f t="shared" si="114"/>
        <v>55457</v>
      </c>
      <c r="F308" s="822">
        <f t="shared" si="97"/>
        <v>10</v>
      </c>
      <c r="G308" s="126">
        <f t="shared" si="98"/>
        <v>0</v>
      </c>
      <c r="H308" s="1098">
        <f t="shared" si="115"/>
        <v>0</v>
      </c>
      <c r="I308" s="887">
        <f t="shared" si="112"/>
        <v>289</v>
      </c>
      <c r="J308" s="1099">
        <f t="shared" si="104"/>
        <v>289</v>
      </c>
      <c r="K308" s="891" t="str">
        <f t="shared" si="105"/>
        <v>October</v>
      </c>
      <c r="L308" s="888">
        <f t="shared" si="113"/>
        <v>2051</v>
      </c>
      <c r="M308" s="883">
        <f t="shared" si="106"/>
        <v>0</v>
      </c>
      <c r="N308" s="883">
        <f t="shared" si="107"/>
        <v>0</v>
      </c>
      <c r="O308" s="1100"/>
      <c r="P308" s="883">
        <f t="shared" si="99"/>
        <v>0</v>
      </c>
      <c r="Q308" s="884">
        <f t="shared" si="108"/>
        <v>0</v>
      </c>
      <c r="R308" s="884">
        <f>IF(AND($AR$39="Early Payoff",I308&gt;=$R$13),0,IF($I308&lt;=$R$6,SUM($P$20:$P308),0))</f>
        <v>0</v>
      </c>
      <c r="S308" s="884">
        <f>IF(AND($AR$39="Early Payoff",I308&gt;=$R$13),0,IF($I308&lt;=$R$6,SUM($Q$20:$Q308),0))</f>
        <v>0</v>
      </c>
      <c r="T308" s="873">
        <f t="shared" si="109"/>
        <v>0</v>
      </c>
      <c r="U308" s="1110">
        <f t="shared" si="110"/>
        <v>0</v>
      </c>
      <c r="W308" s="1102">
        <f t="shared" si="100"/>
        <v>0</v>
      </c>
      <c r="X308" s="873">
        <f t="shared" si="101"/>
        <v>0</v>
      </c>
      <c r="Y308" s="873">
        <f t="shared" si="102"/>
        <v>0</v>
      </c>
      <c r="Z308" s="885">
        <f t="shared" si="103"/>
        <v>0</v>
      </c>
    </row>
    <row r="309" spans="2:26" s="278" customFormat="1" ht="12" customHeight="1" x14ac:dyDescent="0.25">
      <c r="B309" s="1192">
        <f t="shared" si="111"/>
        <v>309</v>
      </c>
      <c r="C309" s="732">
        <f t="shared" si="95"/>
        <v>30</v>
      </c>
      <c r="D309" s="35">
        <f t="shared" si="96"/>
        <v>11</v>
      </c>
      <c r="E309" s="889">
        <f t="shared" si="114"/>
        <v>55487</v>
      </c>
      <c r="F309" s="822">
        <f t="shared" si="97"/>
        <v>11</v>
      </c>
      <c r="G309" s="126">
        <f t="shared" si="98"/>
        <v>0</v>
      </c>
      <c r="H309" s="1098">
        <f t="shared" si="115"/>
        <v>0</v>
      </c>
      <c r="I309" s="887">
        <f t="shared" si="112"/>
        <v>290</v>
      </c>
      <c r="J309" s="1099">
        <f t="shared" si="104"/>
        <v>290</v>
      </c>
      <c r="K309" s="891" t="str">
        <f t="shared" si="105"/>
        <v>November</v>
      </c>
      <c r="L309" s="888">
        <f t="shared" si="113"/>
        <v>2051</v>
      </c>
      <c r="M309" s="883">
        <f t="shared" si="106"/>
        <v>0</v>
      </c>
      <c r="N309" s="883">
        <f t="shared" si="107"/>
        <v>0</v>
      </c>
      <c r="O309" s="1100"/>
      <c r="P309" s="883">
        <f t="shared" si="99"/>
        <v>0</v>
      </c>
      <c r="Q309" s="884">
        <f t="shared" si="108"/>
        <v>0</v>
      </c>
      <c r="R309" s="884">
        <f>IF(AND($AR$39="Early Payoff",I309&gt;=$R$13),0,IF($I309&lt;=$R$6,SUM($P$20:$P309),0))</f>
        <v>0</v>
      </c>
      <c r="S309" s="884">
        <f>IF(AND($AR$39="Early Payoff",I309&gt;=$R$13),0,IF($I309&lt;=$R$6,SUM($Q$20:$Q309),0))</f>
        <v>0</v>
      </c>
      <c r="T309" s="873">
        <f t="shared" si="109"/>
        <v>0</v>
      </c>
      <c r="U309" s="1110">
        <f t="shared" si="110"/>
        <v>0</v>
      </c>
      <c r="W309" s="1102">
        <f t="shared" si="100"/>
        <v>0</v>
      </c>
      <c r="X309" s="873">
        <f t="shared" si="101"/>
        <v>0</v>
      </c>
      <c r="Y309" s="873">
        <f t="shared" si="102"/>
        <v>0</v>
      </c>
      <c r="Z309" s="885">
        <f t="shared" si="103"/>
        <v>0</v>
      </c>
    </row>
    <row r="310" spans="2:26" s="278" customFormat="1" ht="12" customHeight="1" x14ac:dyDescent="0.25">
      <c r="B310" s="1192">
        <f t="shared" si="111"/>
        <v>310</v>
      </c>
      <c r="C310" s="732">
        <f t="shared" si="95"/>
        <v>31</v>
      </c>
      <c r="D310" s="35">
        <f t="shared" si="96"/>
        <v>12</v>
      </c>
      <c r="E310" s="889">
        <f t="shared" si="114"/>
        <v>55518</v>
      </c>
      <c r="F310" s="822">
        <f t="shared" si="97"/>
        <v>12</v>
      </c>
      <c r="G310" s="126">
        <f t="shared" si="98"/>
        <v>1</v>
      </c>
      <c r="H310" s="1098">
        <f t="shared" si="115"/>
        <v>0</v>
      </c>
      <c r="I310" s="887">
        <f t="shared" si="112"/>
        <v>291</v>
      </c>
      <c r="J310" s="1099">
        <f t="shared" si="104"/>
        <v>291</v>
      </c>
      <c r="K310" s="891" t="str">
        <f t="shared" si="105"/>
        <v>December</v>
      </c>
      <c r="L310" s="888">
        <f t="shared" si="113"/>
        <v>2051</v>
      </c>
      <c r="M310" s="883">
        <f t="shared" si="106"/>
        <v>0</v>
      </c>
      <c r="N310" s="883">
        <f t="shared" si="107"/>
        <v>0</v>
      </c>
      <c r="O310" s="1100"/>
      <c r="P310" s="883">
        <f t="shared" si="99"/>
        <v>0</v>
      </c>
      <c r="Q310" s="884">
        <f t="shared" si="108"/>
        <v>0</v>
      </c>
      <c r="R310" s="884">
        <f>IF(AND($AR$39="Early Payoff",I310&gt;=$R$13),0,IF($I310&lt;=$R$6,SUM($P$20:$P310),0))</f>
        <v>0</v>
      </c>
      <c r="S310" s="884">
        <f>IF(AND($AR$39="Early Payoff",I310&gt;=$R$13),0,IF($I310&lt;=$R$6,SUM($Q$20:$Q310),0))</f>
        <v>0</v>
      </c>
      <c r="T310" s="873">
        <f t="shared" si="109"/>
        <v>0</v>
      </c>
      <c r="U310" s="1110">
        <f t="shared" si="110"/>
        <v>0</v>
      </c>
      <c r="W310" s="1102">
        <f t="shared" si="100"/>
        <v>0</v>
      </c>
      <c r="X310" s="873">
        <f t="shared" si="101"/>
        <v>0</v>
      </c>
      <c r="Y310" s="873">
        <f t="shared" si="102"/>
        <v>0</v>
      </c>
      <c r="Z310" s="885">
        <f t="shared" si="103"/>
        <v>0</v>
      </c>
    </row>
    <row r="311" spans="2:26" s="278" customFormat="1" ht="12" customHeight="1" x14ac:dyDescent="0.25">
      <c r="B311" s="1192">
        <f t="shared" si="111"/>
        <v>311</v>
      </c>
      <c r="C311" s="732">
        <f t="shared" si="95"/>
        <v>31</v>
      </c>
      <c r="D311" s="35">
        <f t="shared" si="96"/>
        <v>1</v>
      </c>
      <c r="E311" s="889">
        <f t="shared" si="114"/>
        <v>55549</v>
      </c>
      <c r="F311" s="822">
        <f t="shared" si="97"/>
        <v>1</v>
      </c>
      <c r="G311" s="126">
        <f t="shared" si="98"/>
        <v>0</v>
      </c>
      <c r="H311" s="1098">
        <f t="shared" si="115"/>
        <v>0</v>
      </c>
      <c r="I311" s="887">
        <f t="shared" si="112"/>
        <v>292</v>
      </c>
      <c r="J311" s="1099">
        <f t="shared" si="104"/>
        <v>292</v>
      </c>
      <c r="K311" s="891" t="str">
        <f t="shared" si="105"/>
        <v>January</v>
      </c>
      <c r="L311" s="888">
        <f t="shared" si="113"/>
        <v>2052</v>
      </c>
      <c r="M311" s="883">
        <f t="shared" si="106"/>
        <v>0</v>
      </c>
      <c r="N311" s="883">
        <f t="shared" si="107"/>
        <v>0</v>
      </c>
      <c r="O311" s="1100"/>
      <c r="P311" s="883">
        <f t="shared" si="99"/>
        <v>0</v>
      </c>
      <c r="Q311" s="884">
        <f t="shared" si="108"/>
        <v>0</v>
      </c>
      <c r="R311" s="884">
        <f>IF(AND($AR$39="Early Payoff",I311&gt;=$R$13),0,IF($I311&lt;=$R$6,SUM($P$20:$P311),0))</f>
        <v>0</v>
      </c>
      <c r="S311" s="884">
        <f>IF(AND($AR$39="Early Payoff",I311&gt;=$R$13),0,IF($I311&lt;=$R$6,SUM($Q$20:$Q311),0))</f>
        <v>0</v>
      </c>
      <c r="T311" s="873">
        <f t="shared" si="109"/>
        <v>0</v>
      </c>
      <c r="U311" s="1110">
        <f t="shared" si="110"/>
        <v>0</v>
      </c>
      <c r="W311" s="1102">
        <f t="shared" si="100"/>
        <v>0</v>
      </c>
      <c r="X311" s="873">
        <f t="shared" si="101"/>
        <v>0</v>
      </c>
      <c r="Y311" s="873">
        <f t="shared" si="102"/>
        <v>0</v>
      </c>
      <c r="Z311" s="885">
        <f t="shared" si="103"/>
        <v>0</v>
      </c>
    </row>
    <row r="312" spans="2:26" s="278" customFormat="1" ht="12" customHeight="1" x14ac:dyDescent="0.25">
      <c r="B312" s="1192">
        <f t="shared" si="111"/>
        <v>312</v>
      </c>
      <c r="C312" s="732">
        <f t="shared" si="95"/>
        <v>29</v>
      </c>
      <c r="D312" s="35">
        <f t="shared" si="96"/>
        <v>2</v>
      </c>
      <c r="E312" s="889">
        <f t="shared" si="114"/>
        <v>55578</v>
      </c>
      <c r="F312" s="822">
        <f t="shared" si="97"/>
        <v>2</v>
      </c>
      <c r="G312" s="126">
        <f t="shared" si="98"/>
        <v>0</v>
      </c>
      <c r="H312" s="1098">
        <f t="shared" si="115"/>
        <v>0</v>
      </c>
      <c r="I312" s="887">
        <f t="shared" si="112"/>
        <v>293</v>
      </c>
      <c r="J312" s="1099">
        <f t="shared" si="104"/>
        <v>293</v>
      </c>
      <c r="K312" s="891" t="str">
        <f t="shared" si="105"/>
        <v>February</v>
      </c>
      <c r="L312" s="888">
        <f t="shared" si="113"/>
        <v>2052</v>
      </c>
      <c r="M312" s="883">
        <f t="shared" si="106"/>
        <v>0</v>
      </c>
      <c r="N312" s="883">
        <f t="shared" si="107"/>
        <v>0</v>
      </c>
      <c r="O312" s="1100"/>
      <c r="P312" s="883">
        <f t="shared" si="99"/>
        <v>0</v>
      </c>
      <c r="Q312" s="884">
        <f t="shared" si="108"/>
        <v>0</v>
      </c>
      <c r="R312" s="884">
        <f>IF(AND($AR$39="Early Payoff",I312&gt;=$R$13),0,IF($I312&lt;=$R$6,SUM($P$20:$P312),0))</f>
        <v>0</v>
      </c>
      <c r="S312" s="884">
        <f>IF(AND($AR$39="Early Payoff",I312&gt;=$R$13),0,IF($I312&lt;=$R$6,SUM($Q$20:$Q312),0))</f>
        <v>0</v>
      </c>
      <c r="T312" s="873">
        <f t="shared" si="109"/>
        <v>0</v>
      </c>
      <c r="U312" s="1110">
        <f t="shared" si="110"/>
        <v>0</v>
      </c>
      <c r="W312" s="1102">
        <f t="shared" si="100"/>
        <v>0</v>
      </c>
      <c r="X312" s="873">
        <f t="shared" si="101"/>
        <v>0</v>
      </c>
      <c r="Y312" s="873">
        <f t="shared" si="102"/>
        <v>0</v>
      </c>
      <c r="Z312" s="885">
        <f t="shared" si="103"/>
        <v>0</v>
      </c>
    </row>
    <row r="313" spans="2:26" s="278" customFormat="1" ht="12" customHeight="1" x14ac:dyDescent="0.25">
      <c r="B313" s="1192">
        <f t="shared" si="111"/>
        <v>313</v>
      </c>
      <c r="C313" s="732">
        <f t="shared" si="95"/>
        <v>31</v>
      </c>
      <c r="D313" s="35">
        <f t="shared" si="96"/>
        <v>3</v>
      </c>
      <c r="E313" s="889">
        <f t="shared" si="114"/>
        <v>55609</v>
      </c>
      <c r="F313" s="822">
        <f t="shared" si="97"/>
        <v>3</v>
      </c>
      <c r="G313" s="126">
        <f t="shared" si="98"/>
        <v>0</v>
      </c>
      <c r="H313" s="1098">
        <f t="shared" si="115"/>
        <v>0</v>
      </c>
      <c r="I313" s="887">
        <f t="shared" si="112"/>
        <v>294</v>
      </c>
      <c r="J313" s="1099">
        <f t="shared" si="104"/>
        <v>294</v>
      </c>
      <c r="K313" s="891" t="str">
        <f t="shared" si="105"/>
        <v>March</v>
      </c>
      <c r="L313" s="888">
        <f t="shared" si="113"/>
        <v>2052</v>
      </c>
      <c r="M313" s="883">
        <f t="shared" si="106"/>
        <v>0</v>
      </c>
      <c r="N313" s="883">
        <f t="shared" si="107"/>
        <v>0</v>
      </c>
      <c r="O313" s="1100"/>
      <c r="P313" s="883">
        <f t="shared" si="99"/>
        <v>0</v>
      </c>
      <c r="Q313" s="884">
        <f t="shared" si="108"/>
        <v>0</v>
      </c>
      <c r="R313" s="884">
        <f>IF(AND($AR$39="Early Payoff",I313&gt;=$R$13),0,IF($I313&lt;=$R$6,SUM($P$20:$P313),0))</f>
        <v>0</v>
      </c>
      <c r="S313" s="884">
        <f>IF(AND($AR$39="Early Payoff",I313&gt;=$R$13),0,IF($I313&lt;=$R$6,SUM($Q$20:$Q313),0))</f>
        <v>0</v>
      </c>
      <c r="T313" s="873">
        <f t="shared" si="109"/>
        <v>0</v>
      </c>
      <c r="U313" s="1110">
        <f t="shared" si="110"/>
        <v>0</v>
      </c>
      <c r="W313" s="1102">
        <f t="shared" si="100"/>
        <v>0</v>
      </c>
      <c r="X313" s="873">
        <f t="shared" si="101"/>
        <v>0</v>
      </c>
      <c r="Y313" s="873">
        <f t="shared" si="102"/>
        <v>0</v>
      </c>
      <c r="Z313" s="885">
        <f t="shared" si="103"/>
        <v>0</v>
      </c>
    </row>
    <row r="314" spans="2:26" s="278" customFormat="1" ht="12" customHeight="1" x14ac:dyDescent="0.25">
      <c r="B314" s="1192">
        <f t="shared" si="111"/>
        <v>314</v>
      </c>
      <c r="C314" s="732">
        <f t="shared" si="95"/>
        <v>30</v>
      </c>
      <c r="D314" s="35">
        <f t="shared" si="96"/>
        <v>4</v>
      </c>
      <c r="E314" s="889">
        <f t="shared" si="114"/>
        <v>55639</v>
      </c>
      <c r="F314" s="822">
        <f t="shared" si="97"/>
        <v>4</v>
      </c>
      <c r="G314" s="126">
        <f t="shared" si="98"/>
        <v>0</v>
      </c>
      <c r="H314" s="1098">
        <f t="shared" si="115"/>
        <v>0</v>
      </c>
      <c r="I314" s="887">
        <f t="shared" si="112"/>
        <v>295</v>
      </c>
      <c r="J314" s="1099">
        <f t="shared" si="104"/>
        <v>295</v>
      </c>
      <c r="K314" s="891" t="str">
        <f t="shared" si="105"/>
        <v>April</v>
      </c>
      <c r="L314" s="888">
        <f t="shared" si="113"/>
        <v>2052</v>
      </c>
      <c r="M314" s="883">
        <f t="shared" si="106"/>
        <v>0</v>
      </c>
      <c r="N314" s="883">
        <f t="shared" si="107"/>
        <v>0</v>
      </c>
      <c r="O314" s="1100"/>
      <c r="P314" s="883">
        <f t="shared" si="99"/>
        <v>0</v>
      </c>
      <c r="Q314" s="884">
        <f t="shared" si="108"/>
        <v>0</v>
      </c>
      <c r="R314" s="884">
        <f>IF(AND($AR$39="Early Payoff",I314&gt;=$R$13),0,IF($I314&lt;=$R$6,SUM($P$20:$P314),0))</f>
        <v>0</v>
      </c>
      <c r="S314" s="884">
        <f>IF(AND($AR$39="Early Payoff",I314&gt;=$R$13),0,IF($I314&lt;=$R$6,SUM($Q$20:$Q314),0))</f>
        <v>0</v>
      </c>
      <c r="T314" s="873">
        <f t="shared" si="109"/>
        <v>0</v>
      </c>
      <c r="U314" s="1110">
        <f t="shared" si="110"/>
        <v>0</v>
      </c>
      <c r="W314" s="1102">
        <f t="shared" si="100"/>
        <v>0</v>
      </c>
      <c r="X314" s="873">
        <f t="shared" si="101"/>
        <v>0</v>
      </c>
      <c r="Y314" s="873">
        <f t="shared" si="102"/>
        <v>0</v>
      </c>
      <c r="Z314" s="885">
        <f t="shared" si="103"/>
        <v>0</v>
      </c>
    </row>
    <row r="315" spans="2:26" s="278" customFormat="1" ht="12" customHeight="1" x14ac:dyDescent="0.25">
      <c r="B315" s="1192">
        <f t="shared" si="111"/>
        <v>315</v>
      </c>
      <c r="C315" s="732">
        <f t="shared" si="95"/>
        <v>31</v>
      </c>
      <c r="D315" s="35">
        <f t="shared" si="96"/>
        <v>5</v>
      </c>
      <c r="E315" s="889">
        <f t="shared" si="114"/>
        <v>55670</v>
      </c>
      <c r="F315" s="822">
        <f t="shared" si="97"/>
        <v>5</v>
      </c>
      <c r="G315" s="126">
        <f t="shared" si="98"/>
        <v>0</v>
      </c>
      <c r="H315" s="1098">
        <f t="shared" si="115"/>
        <v>0</v>
      </c>
      <c r="I315" s="887">
        <f t="shared" si="112"/>
        <v>296</v>
      </c>
      <c r="J315" s="1099">
        <f t="shared" si="104"/>
        <v>296</v>
      </c>
      <c r="K315" s="891" t="str">
        <f t="shared" si="105"/>
        <v>May</v>
      </c>
      <c r="L315" s="888">
        <f t="shared" si="113"/>
        <v>2052</v>
      </c>
      <c r="M315" s="883">
        <f t="shared" si="106"/>
        <v>0</v>
      </c>
      <c r="N315" s="883">
        <f t="shared" si="107"/>
        <v>0</v>
      </c>
      <c r="O315" s="1100"/>
      <c r="P315" s="883">
        <f t="shared" si="99"/>
        <v>0</v>
      </c>
      <c r="Q315" s="884">
        <f t="shared" si="108"/>
        <v>0</v>
      </c>
      <c r="R315" s="884">
        <f>IF(AND($AR$39="Early Payoff",I315&gt;=$R$13),0,IF($I315&lt;=$R$6,SUM($P$20:$P315),0))</f>
        <v>0</v>
      </c>
      <c r="S315" s="884">
        <f>IF(AND($AR$39="Early Payoff",I315&gt;=$R$13),0,IF($I315&lt;=$R$6,SUM($Q$20:$Q315),0))</f>
        <v>0</v>
      </c>
      <c r="T315" s="873">
        <f t="shared" si="109"/>
        <v>0</v>
      </c>
      <c r="U315" s="1110">
        <f t="shared" si="110"/>
        <v>0</v>
      </c>
      <c r="W315" s="1102">
        <f t="shared" si="100"/>
        <v>0</v>
      </c>
      <c r="X315" s="873">
        <f t="shared" si="101"/>
        <v>0</v>
      </c>
      <c r="Y315" s="873">
        <f t="shared" si="102"/>
        <v>0</v>
      </c>
      <c r="Z315" s="885">
        <f t="shared" si="103"/>
        <v>0</v>
      </c>
    </row>
    <row r="316" spans="2:26" s="278" customFormat="1" ht="12" customHeight="1" x14ac:dyDescent="0.25">
      <c r="B316" s="1192">
        <f t="shared" si="111"/>
        <v>316</v>
      </c>
      <c r="C316" s="732">
        <f t="shared" si="95"/>
        <v>30</v>
      </c>
      <c r="D316" s="35">
        <f t="shared" si="96"/>
        <v>6</v>
      </c>
      <c r="E316" s="889">
        <f t="shared" si="114"/>
        <v>55700</v>
      </c>
      <c r="F316" s="822">
        <f t="shared" si="97"/>
        <v>6</v>
      </c>
      <c r="G316" s="126">
        <f t="shared" si="98"/>
        <v>0</v>
      </c>
      <c r="H316" s="1098">
        <f t="shared" si="115"/>
        <v>0</v>
      </c>
      <c r="I316" s="887">
        <f t="shared" si="112"/>
        <v>297</v>
      </c>
      <c r="J316" s="1099">
        <f t="shared" si="104"/>
        <v>297</v>
      </c>
      <c r="K316" s="891" t="str">
        <f t="shared" si="105"/>
        <v>June</v>
      </c>
      <c r="L316" s="888">
        <f t="shared" si="113"/>
        <v>2052</v>
      </c>
      <c r="M316" s="883">
        <f t="shared" si="106"/>
        <v>0</v>
      </c>
      <c r="N316" s="883">
        <f t="shared" si="107"/>
        <v>0</v>
      </c>
      <c r="O316" s="1100"/>
      <c r="P316" s="883">
        <f t="shared" si="99"/>
        <v>0</v>
      </c>
      <c r="Q316" s="884">
        <f t="shared" si="108"/>
        <v>0</v>
      </c>
      <c r="R316" s="884">
        <f>IF(AND($AR$39="Early Payoff",I316&gt;=$R$13),0,IF($I316&lt;=$R$6,SUM($P$20:$P316),0))</f>
        <v>0</v>
      </c>
      <c r="S316" s="884">
        <f>IF(AND($AR$39="Early Payoff",I316&gt;=$R$13),0,IF($I316&lt;=$R$6,SUM($Q$20:$Q316),0))</f>
        <v>0</v>
      </c>
      <c r="T316" s="873">
        <f t="shared" si="109"/>
        <v>0</v>
      </c>
      <c r="U316" s="1110">
        <f t="shared" si="110"/>
        <v>0</v>
      </c>
      <c r="W316" s="1102">
        <f t="shared" si="100"/>
        <v>0</v>
      </c>
      <c r="X316" s="873">
        <f t="shared" si="101"/>
        <v>0</v>
      </c>
      <c r="Y316" s="873">
        <f t="shared" si="102"/>
        <v>0</v>
      </c>
      <c r="Z316" s="885">
        <f t="shared" si="103"/>
        <v>0</v>
      </c>
    </row>
    <row r="317" spans="2:26" s="278" customFormat="1" ht="12" customHeight="1" x14ac:dyDescent="0.25">
      <c r="B317" s="1192">
        <f t="shared" si="111"/>
        <v>317</v>
      </c>
      <c r="C317" s="732">
        <f t="shared" si="95"/>
        <v>31</v>
      </c>
      <c r="D317" s="35">
        <f t="shared" si="96"/>
        <v>7</v>
      </c>
      <c r="E317" s="889">
        <f t="shared" si="114"/>
        <v>55731</v>
      </c>
      <c r="F317" s="822">
        <f t="shared" si="97"/>
        <v>7</v>
      </c>
      <c r="G317" s="126">
        <f t="shared" si="98"/>
        <v>0</v>
      </c>
      <c r="H317" s="1098">
        <f t="shared" si="115"/>
        <v>0</v>
      </c>
      <c r="I317" s="887">
        <f t="shared" si="112"/>
        <v>298</v>
      </c>
      <c r="J317" s="1099">
        <f t="shared" si="104"/>
        <v>298</v>
      </c>
      <c r="K317" s="891" t="str">
        <f t="shared" si="105"/>
        <v>July</v>
      </c>
      <c r="L317" s="888">
        <f t="shared" si="113"/>
        <v>2052</v>
      </c>
      <c r="M317" s="883">
        <f t="shared" si="106"/>
        <v>0</v>
      </c>
      <c r="N317" s="883">
        <f t="shared" si="107"/>
        <v>0</v>
      </c>
      <c r="O317" s="1100"/>
      <c r="P317" s="883">
        <f t="shared" si="99"/>
        <v>0</v>
      </c>
      <c r="Q317" s="884">
        <f t="shared" si="108"/>
        <v>0</v>
      </c>
      <c r="R317" s="884">
        <f>IF(AND($AR$39="Early Payoff",I317&gt;=$R$13),0,IF($I317&lt;=$R$6,SUM($P$20:$P317),0))</f>
        <v>0</v>
      </c>
      <c r="S317" s="884">
        <f>IF(AND($AR$39="Early Payoff",I317&gt;=$R$13),0,IF($I317&lt;=$R$6,SUM($Q$20:$Q317),0))</f>
        <v>0</v>
      </c>
      <c r="T317" s="873">
        <f t="shared" si="109"/>
        <v>0</v>
      </c>
      <c r="U317" s="1110">
        <f t="shared" si="110"/>
        <v>0</v>
      </c>
      <c r="W317" s="1102">
        <f t="shared" si="100"/>
        <v>0</v>
      </c>
      <c r="X317" s="873">
        <f t="shared" si="101"/>
        <v>0</v>
      </c>
      <c r="Y317" s="873">
        <f t="shared" si="102"/>
        <v>0</v>
      </c>
      <c r="Z317" s="885">
        <f t="shared" si="103"/>
        <v>0</v>
      </c>
    </row>
    <row r="318" spans="2:26" s="278" customFormat="1" ht="12" customHeight="1" x14ac:dyDescent="0.25">
      <c r="B318" s="1192">
        <f t="shared" si="111"/>
        <v>318</v>
      </c>
      <c r="C318" s="732">
        <f t="shared" si="95"/>
        <v>31</v>
      </c>
      <c r="D318" s="35">
        <f t="shared" si="96"/>
        <v>8</v>
      </c>
      <c r="E318" s="889">
        <f t="shared" si="114"/>
        <v>55762</v>
      </c>
      <c r="F318" s="822">
        <f t="shared" si="97"/>
        <v>8</v>
      </c>
      <c r="G318" s="126">
        <f t="shared" si="98"/>
        <v>0</v>
      </c>
      <c r="H318" s="1098">
        <f t="shared" si="115"/>
        <v>0</v>
      </c>
      <c r="I318" s="887">
        <f t="shared" si="112"/>
        <v>299</v>
      </c>
      <c r="J318" s="1099">
        <f t="shared" si="104"/>
        <v>299</v>
      </c>
      <c r="K318" s="891" t="str">
        <f t="shared" si="105"/>
        <v>August</v>
      </c>
      <c r="L318" s="888">
        <f t="shared" si="113"/>
        <v>2052</v>
      </c>
      <c r="M318" s="883">
        <f t="shared" si="106"/>
        <v>0</v>
      </c>
      <c r="N318" s="883">
        <f t="shared" si="107"/>
        <v>0</v>
      </c>
      <c r="O318" s="1100"/>
      <c r="P318" s="883">
        <f t="shared" si="99"/>
        <v>0</v>
      </c>
      <c r="Q318" s="884">
        <f t="shared" si="108"/>
        <v>0</v>
      </c>
      <c r="R318" s="884">
        <f>IF(AND($AR$39="Early Payoff",I318&gt;=$R$13),0,IF($I318&lt;=$R$6,SUM($P$20:$P318),0))</f>
        <v>0</v>
      </c>
      <c r="S318" s="884">
        <f>IF(AND($AR$39="Early Payoff",I318&gt;=$R$13),0,IF($I318&lt;=$R$6,SUM($Q$20:$Q318),0))</f>
        <v>0</v>
      </c>
      <c r="T318" s="873">
        <f t="shared" si="109"/>
        <v>0</v>
      </c>
      <c r="U318" s="1110">
        <f t="shared" si="110"/>
        <v>0</v>
      </c>
      <c r="W318" s="1102">
        <f t="shared" si="100"/>
        <v>0</v>
      </c>
      <c r="X318" s="873">
        <f t="shared" si="101"/>
        <v>0</v>
      </c>
      <c r="Y318" s="873">
        <f t="shared" si="102"/>
        <v>0</v>
      </c>
      <c r="Z318" s="885">
        <f t="shared" si="103"/>
        <v>0</v>
      </c>
    </row>
    <row r="319" spans="2:26" s="278" customFormat="1" ht="12" customHeight="1" x14ac:dyDescent="0.25">
      <c r="B319" s="1192">
        <f t="shared" si="111"/>
        <v>319</v>
      </c>
      <c r="C319" s="732">
        <f t="shared" si="95"/>
        <v>30</v>
      </c>
      <c r="D319" s="35">
        <f t="shared" si="96"/>
        <v>9</v>
      </c>
      <c r="E319" s="889">
        <f t="shared" si="114"/>
        <v>55792</v>
      </c>
      <c r="F319" s="822">
        <f t="shared" si="97"/>
        <v>9</v>
      </c>
      <c r="G319" s="126">
        <f t="shared" si="98"/>
        <v>0</v>
      </c>
      <c r="H319" s="1098">
        <f t="shared" si="115"/>
        <v>0</v>
      </c>
      <c r="I319" s="887">
        <f t="shared" si="112"/>
        <v>300</v>
      </c>
      <c r="J319" s="1099">
        <f t="shared" si="104"/>
        <v>300</v>
      </c>
      <c r="K319" s="891" t="str">
        <f t="shared" si="105"/>
        <v>September</v>
      </c>
      <c r="L319" s="888">
        <f t="shared" si="113"/>
        <v>2052</v>
      </c>
      <c r="M319" s="883">
        <f t="shared" si="106"/>
        <v>0</v>
      </c>
      <c r="N319" s="883">
        <f t="shared" si="107"/>
        <v>0</v>
      </c>
      <c r="O319" s="1100"/>
      <c r="P319" s="883">
        <f t="shared" si="99"/>
        <v>0</v>
      </c>
      <c r="Q319" s="884">
        <f t="shared" si="108"/>
        <v>0</v>
      </c>
      <c r="R319" s="884">
        <f>IF(AND($AR$39="Early Payoff",I319&gt;=$R$13),0,IF($I319&lt;=$R$6,SUM($P$20:$P319),0))</f>
        <v>0</v>
      </c>
      <c r="S319" s="884">
        <f>IF(AND($AR$39="Early Payoff",I319&gt;=$R$13),0,IF($I319&lt;=$R$6,SUM($Q$20:$Q319),0))</f>
        <v>0</v>
      </c>
      <c r="T319" s="873">
        <f t="shared" si="109"/>
        <v>0</v>
      </c>
      <c r="U319" s="1110">
        <f t="shared" si="110"/>
        <v>0</v>
      </c>
      <c r="W319" s="1102">
        <f t="shared" si="100"/>
        <v>0</v>
      </c>
      <c r="X319" s="873">
        <f t="shared" si="101"/>
        <v>0</v>
      </c>
      <c r="Y319" s="873">
        <f t="shared" si="102"/>
        <v>0</v>
      </c>
      <c r="Z319" s="885">
        <f t="shared" si="103"/>
        <v>0</v>
      </c>
    </row>
    <row r="320" spans="2:26" s="278" customFormat="1" ht="12" customHeight="1" x14ac:dyDescent="0.25">
      <c r="B320" s="1192">
        <f t="shared" si="111"/>
        <v>320</v>
      </c>
      <c r="C320" s="732">
        <f t="shared" si="95"/>
        <v>31</v>
      </c>
      <c r="D320" s="35">
        <f t="shared" si="96"/>
        <v>10</v>
      </c>
      <c r="E320" s="889">
        <f t="shared" si="114"/>
        <v>55823</v>
      </c>
      <c r="F320" s="822">
        <f t="shared" si="97"/>
        <v>10</v>
      </c>
      <c r="G320" s="126">
        <f t="shared" si="98"/>
        <v>0</v>
      </c>
      <c r="H320" s="1098">
        <f t="shared" si="115"/>
        <v>0</v>
      </c>
      <c r="I320" s="887">
        <f t="shared" si="112"/>
        <v>301</v>
      </c>
      <c r="J320" s="1099">
        <f t="shared" si="104"/>
        <v>301</v>
      </c>
      <c r="K320" s="891" t="str">
        <f t="shared" si="105"/>
        <v>October</v>
      </c>
      <c r="L320" s="888">
        <f t="shared" si="113"/>
        <v>2052</v>
      </c>
      <c r="M320" s="883">
        <f t="shared" si="106"/>
        <v>0</v>
      </c>
      <c r="N320" s="883">
        <f t="shared" si="107"/>
        <v>0</v>
      </c>
      <c r="O320" s="1100"/>
      <c r="P320" s="883">
        <f t="shared" si="99"/>
        <v>0</v>
      </c>
      <c r="Q320" s="884">
        <f t="shared" si="108"/>
        <v>0</v>
      </c>
      <c r="R320" s="884">
        <f>IF(AND($AR$39="Early Payoff",I320&gt;=$R$13),0,IF($I320&lt;=$R$6,SUM($P$20:$P320),0))</f>
        <v>0</v>
      </c>
      <c r="S320" s="884">
        <f>IF(AND($AR$39="Early Payoff",I320&gt;=$R$13),0,IF($I320&lt;=$R$6,SUM($Q$20:$Q320),0))</f>
        <v>0</v>
      </c>
      <c r="T320" s="873">
        <f t="shared" si="109"/>
        <v>0</v>
      </c>
      <c r="U320" s="1110">
        <f t="shared" si="110"/>
        <v>0</v>
      </c>
      <c r="W320" s="1102">
        <f t="shared" si="100"/>
        <v>0</v>
      </c>
      <c r="X320" s="873">
        <f t="shared" si="101"/>
        <v>0</v>
      </c>
      <c r="Y320" s="873">
        <f t="shared" si="102"/>
        <v>0</v>
      </c>
      <c r="Z320" s="885">
        <f t="shared" si="103"/>
        <v>0</v>
      </c>
    </row>
    <row r="321" spans="2:26" s="278" customFormat="1" ht="12" customHeight="1" x14ac:dyDescent="0.25">
      <c r="B321" s="1192">
        <f t="shared" si="111"/>
        <v>321</v>
      </c>
      <c r="C321" s="732">
        <f t="shared" si="95"/>
        <v>30</v>
      </c>
      <c r="D321" s="35">
        <f t="shared" si="96"/>
        <v>11</v>
      </c>
      <c r="E321" s="889">
        <f t="shared" si="114"/>
        <v>55853</v>
      </c>
      <c r="F321" s="822">
        <f t="shared" si="97"/>
        <v>11</v>
      </c>
      <c r="G321" s="126">
        <f t="shared" si="98"/>
        <v>0</v>
      </c>
      <c r="H321" s="1098">
        <f t="shared" si="115"/>
        <v>0</v>
      </c>
      <c r="I321" s="887">
        <f t="shared" si="112"/>
        <v>302</v>
      </c>
      <c r="J321" s="1099">
        <f t="shared" si="104"/>
        <v>302</v>
      </c>
      <c r="K321" s="891" t="str">
        <f t="shared" si="105"/>
        <v>November</v>
      </c>
      <c r="L321" s="888">
        <f t="shared" si="113"/>
        <v>2052</v>
      </c>
      <c r="M321" s="883">
        <f t="shared" si="106"/>
        <v>0</v>
      </c>
      <c r="N321" s="883">
        <f t="shared" si="107"/>
        <v>0</v>
      </c>
      <c r="O321" s="1100"/>
      <c r="P321" s="883">
        <f t="shared" si="99"/>
        <v>0</v>
      </c>
      <c r="Q321" s="884">
        <f t="shared" si="108"/>
        <v>0</v>
      </c>
      <c r="R321" s="884">
        <f>IF(AND($AR$39="Early Payoff",I321&gt;=$R$13),0,IF($I321&lt;=$R$6,SUM($P$20:$P321),0))</f>
        <v>0</v>
      </c>
      <c r="S321" s="884">
        <f>IF(AND($AR$39="Early Payoff",I321&gt;=$R$13),0,IF($I321&lt;=$R$6,SUM($Q$20:$Q321),0))</f>
        <v>0</v>
      </c>
      <c r="T321" s="873">
        <f t="shared" si="109"/>
        <v>0</v>
      </c>
      <c r="U321" s="1110">
        <f t="shared" si="110"/>
        <v>0</v>
      </c>
      <c r="W321" s="1102">
        <f t="shared" si="100"/>
        <v>0</v>
      </c>
      <c r="X321" s="873">
        <f t="shared" si="101"/>
        <v>0</v>
      </c>
      <c r="Y321" s="873">
        <f t="shared" si="102"/>
        <v>0</v>
      </c>
      <c r="Z321" s="885">
        <f t="shared" si="103"/>
        <v>0</v>
      </c>
    </row>
    <row r="322" spans="2:26" s="278" customFormat="1" ht="12" customHeight="1" x14ac:dyDescent="0.25">
      <c r="B322" s="1192">
        <f t="shared" si="111"/>
        <v>322</v>
      </c>
      <c r="C322" s="732">
        <f t="shared" si="95"/>
        <v>31</v>
      </c>
      <c r="D322" s="35">
        <f t="shared" si="96"/>
        <v>12</v>
      </c>
      <c r="E322" s="889">
        <f t="shared" si="114"/>
        <v>55884</v>
      </c>
      <c r="F322" s="822">
        <f t="shared" si="97"/>
        <v>12</v>
      </c>
      <c r="G322" s="126">
        <f t="shared" si="98"/>
        <v>1</v>
      </c>
      <c r="H322" s="1098">
        <f t="shared" si="115"/>
        <v>0</v>
      </c>
      <c r="I322" s="887">
        <f t="shared" si="112"/>
        <v>303</v>
      </c>
      <c r="J322" s="1099">
        <f t="shared" si="104"/>
        <v>303</v>
      </c>
      <c r="K322" s="891" t="str">
        <f t="shared" si="105"/>
        <v>December</v>
      </c>
      <c r="L322" s="888">
        <f t="shared" si="113"/>
        <v>2052</v>
      </c>
      <c r="M322" s="883">
        <f t="shared" si="106"/>
        <v>0</v>
      </c>
      <c r="N322" s="883">
        <f t="shared" si="107"/>
        <v>0</v>
      </c>
      <c r="O322" s="1100"/>
      <c r="P322" s="883">
        <f t="shared" si="99"/>
        <v>0</v>
      </c>
      <c r="Q322" s="884">
        <f t="shared" si="108"/>
        <v>0</v>
      </c>
      <c r="R322" s="884">
        <f>IF(AND($AR$39="Early Payoff",I322&gt;=$R$13),0,IF($I322&lt;=$R$6,SUM($P$20:$P322),0))</f>
        <v>0</v>
      </c>
      <c r="S322" s="884">
        <f>IF(AND($AR$39="Early Payoff",I322&gt;=$R$13),0,IF($I322&lt;=$R$6,SUM($Q$20:$Q322),0))</f>
        <v>0</v>
      </c>
      <c r="T322" s="873">
        <f t="shared" si="109"/>
        <v>0</v>
      </c>
      <c r="U322" s="1110">
        <f t="shared" si="110"/>
        <v>0</v>
      </c>
      <c r="W322" s="1102">
        <f t="shared" si="100"/>
        <v>0</v>
      </c>
      <c r="X322" s="873">
        <f t="shared" si="101"/>
        <v>0</v>
      </c>
      <c r="Y322" s="873">
        <f t="shared" si="102"/>
        <v>0</v>
      </c>
      <c r="Z322" s="885">
        <f t="shared" si="103"/>
        <v>0</v>
      </c>
    </row>
    <row r="323" spans="2:26" s="278" customFormat="1" ht="12" customHeight="1" x14ac:dyDescent="0.25">
      <c r="B323" s="1192">
        <f t="shared" si="111"/>
        <v>323</v>
      </c>
      <c r="C323" s="732">
        <f t="shared" si="95"/>
        <v>31</v>
      </c>
      <c r="D323" s="35">
        <f t="shared" si="96"/>
        <v>1</v>
      </c>
      <c r="E323" s="889">
        <f t="shared" si="114"/>
        <v>55915</v>
      </c>
      <c r="F323" s="822">
        <f t="shared" si="97"/>
        <v>1</v>
      </c>
      <c r="G323" s="126">
        <f t="shared" si="98"/>
        <v>0</v>
      </c>
      <c r="H323" s="1098">
        <f t="shared" si="115"/>
        <v>0</v>
      </c>
      <c r="I323" s="887">
        <f t="shared" si="112"/>
        <v>304</v>
      </c>
      <c r="J323" s="1099">
        <f t="shared" si="104"/>
        <v>304</v>
      </c>
      <c r="K323" s="891" t="str">
        <f t="shared" si="105"/>
        <v>January</v>
      </c>
      <c r="L323" s="888">
        <f t="shared" si="113"/>
        <v>2053</v>
      </c>
      <c r="M323" s="883">
        <f t="shared" si="106"/>
        <v>0</v>
      </c>
      <c r="N323" s="883">
        <f t="shared" si="107"/>
        <v>0</v>
      </c>
      <c r="O323" s="1100"/>
      <c r="P323" s="883">
        <f t="shared" si="99"/>
        <v>0</v>
      </c>
      <c r="Q323" s="884">
        <f t="shared" si="108"/>
        <v>0</v>
      </c>
      <c r="R323" s="884">
        <f>IF(AND($AR$39="Early Payoff",I323&gt;=$R$13),0,IF($I323&lt;=$R$6,SUM($P$20:$P323),0))</f>
        <v>0</v>
      </c>
      <c r="S323" s="884">
        <f>IF(AND($AR$39="Early Payoff",I323&gt;=$R$13),0,IF($I323&lt;=$R$6,SUM($Q$20:$Q323),0))</f>
        <v>0</v>
      </c>
      <c r="T323" s="873">
        <f t="shared" si="109"/>
        <v>0</v>
      </c>
      <c r="U323" s="1110">
        <f t="shared" si="110"/>
        <v>0</v>
      </c>
      <c r="W323" s="1102">
        <f t="shared" si="100"/>
        <v>0</v>
      </c>
      <c r="X323" s="873">
        <f t="shared" si="101"/>
        <v>0</v>
      </c>
      <c r="Y323" s="873">
        <f t="shared" si="102"/>
        <v>0</v>
      </c>
      <c r="Z323" s="885">
        <f t="shared" si="103"/>
        <v>0</v>
      </c>
    </row>
    <row r="324" spans="2:26" s="278" customFormat="1" ht="12" customHeight="1" x14ac:dyDescent="0.25">
      <c r="B324" s="1192">
        <f t="shared" si="111"/>
        <v>324</v>
      </c>
      <c r="C324" s="732">
        <f t="shared" si="95"/>
        <v>28</v>
      </c>
      <c r="D324" s="35">
        <f t="shared" si="96"/>
        <v>2</v>
      </c>
      <c r="E324" s="889">
        <f t="shared" si="114"/>
        <v>55943</v>
      </c>
      <c r="F324" s="822">
        <f t="shared" si="97"/>
        <v>2</v>
      </c>
      <c r="G324" s="126">
        <f t="shared" si="98"/>
        <v>0</v>
      </c>
      <c r="H324" s="1098">
        <f t="shared" si="115"/>
        <v>0</v>
      </c>
      <c r="I324" s="887">
        <f t="shared" si="112"/>
        <v>305</v>
      </c>
      <c r="J324" s="1099">
        <f t="shared" si="104"/>
        <v>305</v>
      </c>
      <c r="K324" s="891" t="str">
        <f t="shared" si="105"/>
        <v>February</v>
      </c>
      <c r="L324" s="888">
        <f t="shared" si="113"/>
        <v>2053</v>
      </c>
      <c r="M324" s="883">
        <f t="shared" si="106"/>
        <v>0</v>
      </c>
      <c r="N324" s="883">
        <f t="shared" si="107"/>
        <v>0</v>
      </c>
      <c r="O324" s="1100"/>
      <c r="P324" s="883">
        <f t="shared" si="99"/>
        <v>0</v>
      </c>
      <c r="Q324" s="884">
        <f t="shared" si="108"/>
        <v>0</v>
      </c>
      <c r="R324" s="884">
        <f>IF(AND($AR$39="Early Payoff",I324&gt;=$R$13),0,IF($I324&lt;=$R$6,SUM($P$20:$P324),0))</f>
        <v>0</v>
      </c>
      <c r="S324" s="884">
        <f>IF(AND($AR$39="Early Payoff",I324&gt;=$R$13),0,IF($I324&lt;=$R$6,SUM($Q$20:$Q324),0))</f>
        <v>0</v>
      </c>
      <c r="T324" s="873">
        <f t="shared" si="109"/>
        <v>0</v>
      </c>
      <c r="U324" s="1110">
        <f t="shared" si="110"/>
        <v>0</v>
      </c>
      <c r="W324" s="1102">
        <f t="shared" si="100"/>
        <v>0</v>
      </c>
      <c r="X324" s="873">
        <f t="shared" si="101"/>
        <v>0</v>
      </c>
      <c r="Y324" s="873">
        <f t="shared" si="102"/>
        <v>0</v>
      </c>
      <c r="Z324" s="885">
        <f t="shared" si="103"/>
        <v>0</v>
      </c>
    </row>
    <row r="325" spans="2:26" s="278" customFormat="1" ht="12" customHeight="1" x14ac:dyDescent="0.25">
      <c r="B325" s="1192">
        <f t="shared" si="111"/>
        <v>325</v>
      </c>
      <c r="C325" s="732">
        <f t="shared" si="95"/>
        <v>31</v>
      </c>
      <c r="D325" s="35">
        <f t="shared" si="96"/>
        <v>3</v>
      </c>
      <c r="E325" s="889">
        <f t="shared" si="114"/>
        <v>55974</v>
      </c>
      <c r="F325" s="822">
        <f t="shared" si="97"/>
        <v>3</v>
      </c>
      <c r="G325" s="126">
        <f t="shared" si="98"/>
        <v>0</v>
      </c>
      <c r="H325" s="1098">
        <f t="shared" si="115"/>
        <v>0</v>
      </c>
      <c r="I325" s="887">
        <f t="shared" si="112"/>
        <v>306</v>
      </c>
      <c r="J325" s="1099">
        <f t="shared" si="104"/>
        <v>306</v>
      </c>
      <c r="K325" s="891" t="str">
        <f t="shared" si="105"/>
        <v>March</v>
      </c>
      <c r="L325" s="888">
        <f t="shared" si="113"/>
        <v>2053</v>
      </c>
      <c r="M325" s="883">
        <f t="shared" si="106"/>
        <v>0</v>
      </c>
      <c r="N325" s="883">
        <f t="shared" si="107"/>
        <v>0</v>
      </c>
      <c r="O325" s="1100"/>
      <c r="P325" s="883">
        <f t="shared" si="99"/>
        <v>0</v>
      </c>
      <c r="Q325" s="884">
        <f t="shared" si="108"/>
        <v>0</v>
      </c>
      <c r="R325" s="884">
        <f>IF(AND($AR$39="Early Payoff",I325&gt;=$R$13),0,IF($I325&lt;=$R$6,SUM($P$20:$P325),0))</f>
        <v>0</v>
      </c>
      <c r="S325" s="884">
        <f>IF(AND($AR$39="Early Payoff",I325&gt;=$R$13),0,IF($I325&lt;=$R$6,SUM($Q$20:$Q325),0))</f>
        <v>0</v>
      </c>
      <c r="T325" s="873">
        <f t="shared" si="109"/>
        <v>0</v>
      </c>
      <c r="U325" s="1110">
        <f t="shared" si="110"/>
        <v>0</v>
      </c>
      <c r="W325" s="1102">
        <f t="shared" si="100"/>
        <v>0</v>
      </c>
      <c r="X325" s="873">
        <f t="shared" si="101"/>
        <v>0</v>
      </c>
      <c r="Y325" s="873">
        <f t="shared" si="102"/>
        <v>0</v>
      </c>
      <c r="Z325" s="885">
        <f t="shared" si="103"/>
        <v>0</v>
      </c>
    </row>
    <row r="326" spans="2:26" s="278" customFormat="1" ht="12" customHeight="1" x14ac:dyDescent="0.25">
      <c r="B326" s="1192">
        <f t="shared" si="111"/>
        <v>326</v>
      </c>
      <c r="C326" s="732">
        <f t="shared" si="95"/>
        <v>30</v>
      </c>
      <c r="D326" s="35">
        <f t="shared" si="96"/>
        <v>4</v>
      </c>
      <c r="E326" s="889">
        <f t="shared" si="114"/>
        <v>56004</v>
      </c>
      <c r="F326" s="822">
        <f t="shared" si="97"/>
        <v>4</v>
      </c>
      <c r="G326" s="126">
        <f t="shared" si="98"/>
        <v>0</v>
      </c>
      <c r="H326" s="1098">
        <f t="shared" si="115"/>
        <v>0</v>
      </c>
      <c r="I326" s="887">
        <f t="shared" si="112"/>
        <v>307</v>
      </c>
      <c r="J326" s="1099">
        <f t="shared" si="104"/>
        <v>307</v>
      </c>
      <c r="K326" s="891" t="str">
        <f t="shared" si="105"/>
        <v>April</v>
      </c>
      <c r="L326" s="888">
        <f t="shared" si="113"/>
        <v>2053</v>
      </c>
      <c r="M326" s="883">
        <f t="shared" si="106"/>
        <v>0</v>
      </c>
      <c r="N326" s="883">
        <f t="shared" si="107"/>
        <v>0</v>
      </c>
      <c r="O326" s="1100"/>
      <c r="P326" s="883">
        <f t="shared" si="99"/>
        <v>0</v>
      </c>
      <c r="Q326" s="884">
        <f t="shared" si="108"/>
        <v>0</v>
      </c>
      <c r="R326" s="884">
        <f>IF(AND($AR$39="Early Payoff",I326&gt;=$R$13),0,IF($I326&lt;=$R$6,SUM($P$20:$P326),0))</f>
        <v>0</v>
      </c>
      <c r="S326" s="884">
        <f>IF(AND($AR$39="Early Payoff",I326&gt;=$R$13),0,IF($I326&lt;=$R$6,SUM($Q$20:$Q326),0))</f>
        <v>0</v>
      </c>
      <c r="T326" s="873">
        <f t="shared" si="109"/>
        <v>0</v>
      </c>
      <c r="U326" s="1110">
        <f t="shared" si="110"/>
        <v>0</v>
      </c>
      <c r="W326" s="1102">
        <f t="shared" si="100"/>
        <v>0</v>
      </c>
      <c r="X326" s="873">
        <f t="shared" si="101"/>
        <v>0</v>
      </c>
      <c r="Y326" s="873">
        <f t="shared" si="102"/>
        <v>0</v>
      </c>
      <c r="Z326" s="885">
        <f t="shared" si="103"/>
        <v>0</v>
      </c>
    </row>
    <row r="327" spans="2:26" s="278" customFormat="1" ht="12" customHeight="1" x14ac:dyDescent="0.25">
      <c r="B327" s="1192">
        <f t="shared" si="111"/>
        <v>327</v>
      </c>
      <c r="C327" s="732">
        <f t="shared" si="95"/>
        <v>31</v>
      </c>
      <c r="D327" s="35">
        <f t="shared" si="96"/>
        <v>5</v>
      </c>
      <c r="E327" s="889">
        <f t="shared" si="114"/>
        <v>56035</v>
      </c>
      <c r="F327" s="822">
        <f t="shared" si="97"/>
        <v>5</v>
      </c>
      <c r="G327" s="126">
        <f t="shared" si="98"/>
        <v>0</v>
      </c>
      <c r="H327" s="1098">
        <f t="shared" si="115"/>
        <v>0</v>
      </c>
      <c r="I327" s="887">
        <f t="shared" si="112"/>
        <v>308</v>
      </c>
      <c r="J327" s="1099">
        <f t="shared" si="104"/>
        <v>308</v>
      </c>
      <c r="K327" s="891" t="str">
        <f t="shared" si="105"/>
        <v>May</v>
      </c>
      <c r="L327" s="888">
        <f t="shared" si="113"/>
        <v>2053</v>
      </c>
      <c r="M327" s="883">
        <f t="shared" si="106"/>
        <v>0</v>
      </c>
      <c r="N327" s="883">
        <f t="shared" si="107"/>
        <v>0</v>
      </c>
      <c r="O327" s="1100"/>
      <c r="P327" s="883">
        <f t="shared" si="99"/>
        <v>0</v>
      </c>
      <c r="Q327" s="884">
        <f t="shared" si="108"/>
        <v>0</v>
      </c>
      <c r="R327" s="884">
        <f>IF(AND($AR$39="Early Payoff",I327&gt;=$R$13),0,IF($I327&lt;=$R$6,SUM($P$20:$P327),0))</f>
        <v>0</v>
      </c>
      <c r="S327" s="884">
        <f>IF(AND($AR$39="Early Payoff",I327&gt;=$R$13),0,IF($I327&lt;=$R$6,SUM($Q$20:$Q327),0))</f>
        <v>0</v>
      </c>
      <c r="T327" s="873">
        <f t="shared" si="109"/>
        <v>0</v>
      </c>
      <c r="U327" s="1110">
        <f t="shared" si="110"/>
        <v>0</v>
      </c>
      <c r="W327" s="1102">
        <f t="shared" si="100"/>
        <v>0</v>
      </c>
      <c r="X327" s="873">
        <f t="shared" si="101"/>
        <v>0</v>
      </c>
      <c r="Y327" s="873">
        <f t="shared" si="102"/>
        <v>0</v>
      </c>
      <c r="Z327" s="885">
        <f t="shared" si="103"/>
        <v>0</v>
      </c>
    </row>
    <row r="328" spans="2:26" s="278" customFormat="1" ht="12" customHeight="1" x14ac:dyDescent="0.25">
      <c r="B328" s="1192">
        <f t="shared" si="111"/>
        <v>328</v>
      </c>
      <c r="C328" s="732">
        <f t="shared" si="95"/>
        <v>30</v>
      </c>
      <c r="D328" s="35">
        <f t="shared" si="96"/>
        <v>6</v>
      </c>
      <c r="E328" s="889">
        <f t="shared" si="114"/>
        <v>56065</v>
      </c>
      <c r="F328" s="822">
        <f t="shared" si="97"/>
        <v>6</v>
      </c>
      <c r="G328" s="126">
        <f t="shared" si="98"/>
        <v>0</v>
      </c>
      <c r="H328" s="1098">
        <f t="shared" si="115"/>
        <v>0</v>
      </c>
      <c r="I328" s="887">
        <f t="shared" si="112"/>
        <v>309</v>
      </c>
      <c r="J328" s="1099">
        <f t="shared" si="104"/>
        <v>309</v>
      </c>
      <c r="K328" s="891" t="str">
        <f t="shared" si="105"/>
        <v>June</v>
      </c>
      <c r="L328" s="888">
        <f t="shared" si="113"/>
        <v>2053</v>
      </c>
      <c r="M328" s="883">
        <f t="shared" si="106"/>
        <v>0</v>
      </c>
      <c r="N328" s="883">
        <f t="shared" si="107"/>
        <v>0</v>
      </c>
      <c r="O328" s="1100"/>
      <c r="P328" s="883">
        <f t="shared" si="99"/>
        <v>0</v>
      </c>
      <c r="Q328" s="884">
        <f t="shared" si="108"/>
        <v>0</v>
      </c>
      <c r="R328" s="884">
        <f>IF(AND($AR$39="Early Payoff",I328&gt;=$R$13),0,IF($I328&lt;=$R$6,SUM($P$20:$P328),0))</f>
        <v>0</v>
      </c>
      <c r="S328" s="884">
        <f>IF(AND($AR$39="Early Payoff",I328&gt;=$R$13),0,IF($I328&lt;=$R$6,SUM($Q$20:$Q328),0))</f>
        <v>0</v>
      </c>
      <c r="T328" s="873">
        <f t="shared" si="109"/>
        <v>0</v>
      </c>
      <c r="U328" s="1110">
        <f t="shared" si="110"/>
        <v>0</v>
      </c>
      <c r="W328" s="1102">
        <f t="shared" si="100"/>
        <v>0</v>
      </c>
      <c r="X328" s="873">
        <f t="shared" si="101"/>
        <v>0</v>
      </c>
      <c r="Y328" s="873">
        <f t="shared" si="102"/>
        <v>0</v>
      </c>
      <c r="Z328" s="885">
        <f t="shared" si="103"/>
        <v>0</v>
      </c>
    </row>
    <row r="329" spans="2:26" s="278" customFormat="1" ht="12" customHeight="1" x14ac:dyDescent="0.25">
      <c r="B329" s="1192">
        <f t="shared" si="111"/>
        <v>329</v>
      </c>
      <c r="C329" s="732">
        <f t="shared" si="95"/>
        <v>31</v>
      </c>
      <c r="D329" s="35">
        <f t="shared" si="96"/>
        <v>7</v>
      </c>
      <c r="E329" s="889">
        <f t="shared" si="114"/>
        <v>56096</v>
      </c>
      <c r="F329" s="822">
        <f t="shared" si="97"/>
        <v>7</v>
      </c>
      <c r="G329" s="126">
        <f t="shared" si="98"/>
        <v>0</v>
      </c>
      <c r="H329" s="1098">
        <f t="shared" si="115"/>
        <v>0</v>
      </c>
      <c r="I329" s="887">
        <f t="shared" si="112"/>
        <v>310</v>
      </c>
      <c r="J329" s="1099">
        <f t="shared" si="104"/>
        <v>310</v>
      </c>
      <c r="K329" s="891" t="str">
        <f t="shared" si="105"/>
        <v>July</v>
      </c>
      <c r="L329" s="888">
        <f t="shared" si="113"/>
        <v>2053</v>
      </c>
      <c r="M329" s="883">
        <f t="shared" si="106"/>
        <v>0</v>
      </c>
      <c r="N329" s="883">
        <f t="shared" si="107"/>
        <v>0</v>
      </c>
      <c r="O329" s="1100"/>
      <c r="P329" s="883">
        <f t="shared" si="99"/>
        <v>0</v>
      </c>
      <c r="Q329" s="884">
        <f t="shared" si="108"/>
        <v>0</v>
      </c>
      <c r="R329" s="884">
        <f>IF(AND($AR$39="Early Payoff",I329&gt;=$R$13),0,IF($I329&lt;=$R$6,SUM($P$20:$P329),0))</f>
        <v>0</v>
      </c>
      <c r="S329" s="884">
        <f>IF(AND($AR$39="Early Payoff",I329&gt;=$R$13),0,IF($I329&lt;=$R$6,SUM($Q$20:$Q329),0))</f>
        <v>0</v>
      </c>
      <c r="T329" s="873">
        <f t="shared" si="109"/>
        <v>0</v>
      </c>
      <c r="U329" s="1110">
        <f t="shared" si="110"/>
        <v>0</v>
      </c>
      <c r="W329" s="1102">
        <f t="shared" si="100"/>
        <v>0</v>
      </c>
      <c r="X329" s="873">
        <f t="shared" si="101"/>
        <v>0</v>
      </c>
      <c r="Y329" s="873">
        <f t="shared" si="102"/>
        <v>0</v>
      </c>
      <c r="Z329" s="885">
        <f t="shared" si="103"/>
        <v>0</v>
      </c>
    </row>
    <row r="330" spans="2:26" s="278" customFormat="1" ht="12" customHeight="1" x14ac:dyDescent="0.25">
      <c r="B330" s="1192">
        <f t="shared" si="111"/>
        <v>330</v>
      </c>
      <c r="C330" s="732">
        <f t="shared" si="95"/>
        <v>31</v>
      </c>
      <c r="D330" s="35">
        <f t="shared" si="96"/>
        <v>8</v>
      </c>
      <c r="E330" s="889">
        <f t="shared" si="114"/>
        <v>56127</v>
      </c>
      <c r="F330" s="822">
        <f t="shared" si="97"/>
        <v>8</v>
      </c>
      <c r="G330" s="126">
        <f t="shared" si="98"/>
        <v>0</v>
      </c>
      <c r="H330" s="1098">
        <f t="shared" si="115"/>
        <v>0</v>
      </c>
      <c r="I330" s="887">
        <f t="shared" si="112"/>
        <v>311</v>
      </c>
      <c r="J330" s="1099">
        <f t="shared" si="104"/>
        <v>311</v>
      </c>
      <c r="K330" s="891" t="str">
        <f t="shared" si="105"/>
        <v>August</v>
      </c>
      <c r="L330" s="888">
        <f t="shared" si="113"/>
        <v>2053</v>
      </c>
      <c r="M330" s="883">
        <f t="shared" si="106"/>
        <v>0</v>
      </c>
      <c r="N330" s="883">
        <f t="shared" si="107"/>
        <v>0</v>
      </c>
      <c r="O330" s="1100"/>
      <c r="P330" s="883">
        <f t="shared" si="99"/>
        <v>0</v>
      </c>
      <c r="Q330" s="884">
        <f t="shared" si="108"/>
        <v>0</v>
      </c>
      <c r="R330" s="884">
        <f>IF(AND($AR$39="Early Payoff",I330&gt;=$R$13),0,IF($I330&lt;=$R$6,SUM($P$20:$P330),0))</f>
        <v>0</v>
      </c>
      <c r="S330" s="884">
        <f>IF(AND($AR$39="Early Payoff",I330&gt;=$R$13),0,IF($I330&lt;=$R$6,SUM($Q$20:$Q330),0))</f>
        <v>0</v>
      </c>
      <c r="T330" s="873">
        <f t="shared" si="109"/>
        <v>0</v>
      </c>
      <c r="U330" s="1110">
        <f t="shared" si="110"/>
        <v>0</v>
      </c>
      <c r="W330" s="1102">
        <f t="shared" si="100"/>
        <v>0</v>
      </c>
      <c r="X330" s="873">
        <f t="shared" si="101"/>
        <v>0</v>
      </c>
      <c r="Y330" s="873">
        <f t="shared" si="102"/>
        <v>0</v>
      </c>
      <c r="Z330" s="885">
        <f t="shared" si="103"/>
        <v>0</v>
      </c>
    </row>
    <row r="331" spans="2:26" s="278" customFormat="1" ht="12" customHeight="1" x14ac:dyDescent="0.25">
      <c r="B331" s="1192">
        <f t="shared" si="111"/>
        <v>331</v>
      </c>
      <c r="C331" s="732">
        <f t="shared" si="95"/>
        <v>30</v>
      </c>
      <c r="D331" s="35">
        <f t="shared" si="96"/>
        <v>9</v>
      </c>
      <c r="E331" s="889">
        <f t="shared" si="114"/>
        <v>56157</v>
      </c>
      <c r="F331" s="822">
        <f t="shared" si="97"/>
        <v>9</v>
      </c>
      <c r="G331" s="126">
        <f t="shared" si="98"/>
        <v>0</v>
      </c>
      <c r="H331" s="1098">
        <f t="shared" si="115"/>
        <v>0</v>
      </c>
      <c r="I331" s="887">
        <f t="shared" si="112"/>
        <v>312</v>
      </c>
      <c r="J331" s="1099">
        <f t="shared" si="104"/>
        <v>312</v>
      </c>
      <c r="K331" s="891" t="str">
        <f t="shared" si="105"/>
        <v>September</v>
      </c>
      <c r="L331" s="888">
        <f t="shared" si="113"/>
        <v>2053</v>
      </c>
      <c r="M331" s="883">
        <f t="shared" si="106"/>
        <v>0</v>
      </c>
      <c r="N331" s="883">
        <f t="shared" si="107"/>
        <v>0</v>
      </c>
      <c r="O331" s="1100"/>
      <c r="P331" s="883">
        <f t="shared" si="99"/>
        <v>0</v>
      </c>
      <c r="Q331" s="884">
        <f t="shared" si="108"/>
        <v>0</v>
      </c>
      <c r="R331" s="884">
        <f>IF(AND($AR$39="Early Payoff",I331&gt;=$R$13),0,IF($I331&lt;=$R$6,SUM($P$20:$P331),0))</f>
        <v>0</v>
      </c>
      <c r="S331" s="884">
        <f>IF(AND($AR$39="Early Payoff",I331&gt;=$R$13),0,IF($I331&lt;=$R$6,SUM($Q$20:$Q331),0))</f>
        <v>0</v>
      </c>
      <c r="T331" s="873">
        <f t="shared" si="109"/>
        <v>0</v>
      </c>
      <c r="U331" s="1110">
        <f t="shared" si="110"/>
        <v>0</v>
      </c>
      <c r="W331" s="1102">
        <f t="shared" si="100"/>
        <v>0</v>
      </c>
      <c r="X331" s="873">
        <f t="shared" si="101"/>
        <v>0</v>
      </c>
      <c r="Y331" s="873">
        <f t="shared" si="102"/>
        <v>0</v>
      </c>
      <c r="Z331" s="885">
        <f t="shared" si="103"/>
        <v>0</v>
      </c>
    </row>
    <row r="332" spans="2:26" s="278" customFormat="1" ht="12" customHeight="1" x14ac:dyDescent="0.25">
      <c r="B332" s="1192">
        <f t="shared" si="111"/>
        <v>332</v>
      </c>
      <c r="C332" s="732">
        <f t="shared" si="95"/>
        <v>31</v>
      </c>
      <c r="D332" s="35">
        <f t="shared" si="96"/>
        <v>10</v>
      </c>
      <c r="E332" s="889">
        <f t="shared" si="114"/>
        <v>56188</v>
      </c>
      <c r="F332" s="822">
        <f t="shared" si="97"/>
        <v>10</v>
      </c>
      <c r="G332" s="126">
        <f t="shared" si="98"/>
        <v>0</v>
      </c>
      <c r="H332" s="1098">
        <f t="shared" si="115"/>
        <v>0</v>
      </c>
      <c r="I332" s="887">
        <f t="shared" si="112"/>
        <v>313</v>
      </c>
      <c r="J332" s="1099">
        <f t="shared" si="104"/>
        <v>313</v>
      </c>
      <c r="K332" s="891" t="str">
        <f t="shared" si="105"/>
        <v>October</v>
      </c>
      <c r="L332" s="888">
        <f t="shared" si="113"/>
        <v>2053</v>
      </c>
      <c r="M332" s="883">
        <f t="shared" si="106"/>
        <v>0</v>
      </c>
      <c r="N332" s="883">
        <f t="shared" si="107"/>
        <v>0</v>
      </c>
      <c r="O332" s="1100"/>
      <c r="P332" s="883">
        <f t="shared" si="99"/>
        <v>0</v>
      </c>
      <c r="Q332" s="884">
        <f t="shared" si="108"/>
        <v>0</v>
      </c>
      <c r="R332" s="884">
        <f>IF(AND($AR$39="Early Payoff",I332&gt;=$R$13),0,IF($I332&lt;=$R$6,SUM($P$20:$P332),0))</f>
        <v>0</v>
      </c>
      <c r="S332" s="884">
        <f>IF(AND($AR$39="Early Payoff",I332&gt;=$R$13),0,IF($I332&lt;=$R$6,SUM($Q$20:$Q332),0))</f>
        <v>0</v>
      </c>
      <c r="T332" s="873">
        <f t="shared" si="109"/>
        <v>0</v>
      </c>
      <c r="U332" s="1110">
        <f t="shared" si="110"/>
        <v>0</v>
      </c>
      <c r="W332" s="1102">
        <f t="shared" si="100"/>
        <v>0</v>
      </c>
      <c r="X332" s="873">
        <f t="shared" si="101"/>
        <v>0</v>
      </c>
      <c r="Y332" s="873">
        <f t="shared" si="102"/>
        <v>0</v>
      </c>
      <c r="Z332" s="885">
        <f t="shared" si="103"/>
        <v>0</v>
      </c>
    </row>
    <row r="333" spans="2:26" s="278" customFormat="1" ht="12" customHeight="1" x14ac:dyDescent="0.25">
      <c r="B333" s="1192">
        <f t="shared" si="111"/>
        <v>333</v>
      </c>
      <c r="C333" s="732">
        <f t="shared" si="95"/>
        <v>30</v>
      </c>
      <c r="D333" s="35">
        <f t="shared" si="96"/>
        <v>11</v>
      </c>
      <c r="E333" s="889">
        <f t="shared" si="114"/>
        <v>56218</v>
      </c>
      <c r="F333" s="822">
        <f t="shared" si="97"/>
        <v>11</v>
      </c>
      <c r="G333" s="126">
        <f t="shared" si="98"/>
        <v>0</v>
      </c>
      <c r="H333" s="1098">
        <f t="shared" si="115"/>
        <v>0</v>
      </c>
      <c r="I333" s="887">
        <f t="shared" si="112"/>
        <v>314</v>
      </c>
      <c r="J333" s="1099">
        <f t="shared" si="104"/>
        <v>314</v>
      </c>
      <c r="K333" s="891" t="str">
        <f t="shared" si="105"/>
        <v>November</v>
      </c>
      <c r="L333" s="888">
        <f t="shared" si="113"/>
        <v>2053</v>
      </c>
      <c r="M333" s="883">
        <f t="shared" si="106"/>
        <v>0</v>
      </c>
      <c r="N333" s="883">
        <f t="shared" si="107"/>
        <v>0</v>
      </c>
      <c r="O333" s="1100"/>
      <c r="P333" s="883">
        <f t="shared" si="99"/>
        <v>0</v>
      </c>
      <c r="Q333" s="884">
        <f t="shared" si="108"/>
        <v>0</v>
      </c>
      <c r="R333" s="884">
        <f>IF(AND($AR$39="Early Payoff",I333&gt;=$R$13),0,IF($I333&lt;=$R$6,SUM($P$20:$P333),0))</f>
        <v>0</v>
      </c>
      <c r="S333" s="884">
        <f>IF(AND($AR$39="Early Payoff",I333&gt;=$R$13),0,IF($I333&lt;=$R$6,SUM($Q$20:$Q333),0))</f>
        <v>0</v>
      </c>
      <c r="T333" s="873">
        <f t="shared" si="109"/>
        <v>0</v>
      </c>
      <c r="U333" s="1110">
        <f t="shared" si="110"/>
        <v>0</v>
      </c>
      <c r="W333" s="1102">
        <f t="shared" si="100"/>
        <v>0</v>
      </c>
      <c r="X333" s="873">
        <f t="shared" si="101"/>
        <v>0</v>
      </c>
      <c r="Y333" s="873">
        <f t="shared" si="102"/>
        <v>0</v>
      </c>
      <c r="Z333" s="885">
        <f t="shared" si="103"/>
        <v>0</v>
      </c>
    </row>
    <row r="334" spans="2:26" s="278" customFormat="1" ht="12" customHeight="1" x14ac:dyDescent="0.25">
      <c r="B334" s="1192">
        <f t="shared" si="111"/>
        <v>334</v>
      </c>
      <c r="C334" s="732">
        <f t="shared" si="95"/>
        <v>31</v>
      </c>
      <c r="D334" s="35">
        <f t="shared" si="96"/>
        <v>12</v>
      </c>
      <c r="E334" s="889">
        <f t="shared" si="114"/>
        <v>56249</v>
      </c>
      <c r="F334" s="822">
        <f t="shared" si="97"/>
        <v>12</v>
      </c>
      <c r="G334" s="126">
        <f t="shared" si="98"/>
        <v>1</v>
      </c>
      <c r="H334" s="1098">
        <f t="shared" si="115"/>
        <v>0</v>
      </c>
      <c r="I334" s="887">
        <f t="shared" si="112"/>
        <v>315</v>
      </c>
      <c r="J334" s="1099">
        <f t="shared" si="104"/>
        <v>315</v>
      </c>
      <c r="K334" s="891" t="str">
        <f t="shared" si="105"/>
        <v>December</v>
      </c>
      <c r="L334" s="888">
        <f t="shared" si="113"/>
        <v>2053</v>
      </c>
      <c r="M334" s="883">
        <f t="shared" si="106"/>
        <v>0</v>
      </c>
      <c r="N334" s="883">
        <f t="shared" si="107"/>
        <v>0</v>
      </c>
      <c r="O334" s="1100"/>
      <c r="P334" s="883">
        <f t="shared" si="99"/>
        <v>0</v>
      </c>
      <c r="Q334" s="884">
        <f t="shared" si="108"/>
        <v>0</v>
      </c>
      <c r="R334" s="884">
        <f>IF(AND($AR$39="Early Payoff",I334&gt;=$R$13),0,IF($I334&lt;=$R$6,SUM($P$20:$P334),0))</f>
        <v>0</v>
      </c>
      <c r="S334" s="884">
        <f>IF(AND($AR$39="Early Payoff",I334&gt;=$R$13),0,IF($I334&lt;=$R$6,SUM($Q$20:$Q334),0))</f>
        <v>0</v>
      </c>
      <c r="T334" s="873">
        <f t="shared" si="109"/>
        <v>0</v>
      </c>
      <c r="U334" s="1110">
        <f t="shared" si="110"/>
        <v>0</v>
      </c>
      <c r="W334" s="1102">
        <f t="shared" si="100"/>
        <v>0</v>
      </c>
      <c r="X334" s="873">
        <f t="shared" si="101"/>
        <v>0</v>
      </c>
      <c r="Y334" s="873">
        <f t="shared" si="102"/>
        <v>0</v>
      </c>
      <c r="Z334" s="885">
        <f t="shared" si="103"/>
        <v>0</v>
      </c>
    </row>
    <row r="335" spans="2:26" s="278" customFormat="1" ht="12" customHeight="1" x14ac:dyDescent="0.25">
      <c r="B335" s="1192">
        <f t="shared" si="111"/>
        <v>335</v>
      </c>
      <c r="C335" s="732">
        <f t="shared" si="95"/>
        <v>31</v>
      </c>
      <c r="D335" s="35">
        <f t="shared" si="96"/>
        <v>1</v>
      </c>
      <c r="E335" s="889">
        <f t="shared" si="114"/>
        <v>56280</v>
      </c>
      <c r="F335" s="822">
        <f t="shared" si="97"/>
        <v>1</v>
      </c>
      <c r="G335" s="126">
        <f t="shared" si="98"/>
        <v>0</v>
      </c>
      <c r="H335" s="1098">
        <f t="shared" si="115"/>
        <v>0</v>
      </c>
      <c r="I335" s="887">
        <f t="shared" si="112"/>
        <v>316</v>
      </c>
      <c r="J335" s="1099">
        <f t="shared" si="104"/>
        <v>316</v>
      </c>
      <c r="K335" s="891" t="str">
        <f t="shared" si="105"/>
        <v>January</v>
      </c>
      <c r="L335" s="888">
        <f t="shared" si="113"/>
        <v>2054</v>
      </c>
      <c r="M335" s="883">
        <f t="shared" si="106"/>
        <v>0</v>
      </c>
      <c r="N335" s="883">
        <f t="shared" si="107"/>
        <v>0</v>
      </c>
      <c r="O335" s="1100"/>
      <c r="P335" s="883">
        <f t="shared" si="99"/>
        <v>0</v>
      </c>
      <c r="Q335" s="884">
        <f t="shared" si="108"/>
        <v>0</v>
      </c>
      <c r="R335" s="884">
        <f>IF(AND($AR$39="Early Payoff",I335&gt;=$R$13),0,IF($I335&lt;=$R$6,SUM($P$20:$P335),0))</f>
        <v>0</v>
      </c>
      <c r="S335" s="884">
        <f>IF(AND($AR$39="Early Payoff",I335&gt;=$R$13),0,IF($I335&lt;=$R$6,SUM($Q$20:$Q335),0))</f>
        <v>0</v>
      </c>
      <c r="T335" s="873">
        <f t="shared" si="109"/>
        <v>0</v>
      </c>
      <c r="U335" s="1110">
        <f t="shared" si="110"/>
        <v>0</v>
      </c>
      <c r="W335" s="1102">
        <f t="shared" si="100"/>
        <v>0</v>
      </c>
      <c r="X335" s="873">
        <f t="shared" si="101"/>
        <v>0</v>
      </c>
      <c r="Y335" s="873">
        <f t="shared" si="102"/>
        <v>0</v>
      </c>
      <c r="Z335" s="885">
        <f t="shared" si="103"/>
        <v>0</v>
      </c>
    </row>
    <row r="336" spans="2:26" s="278" customFormat="1" ht="12" customHeight="1" x14ac:dyDescent="0.25">
      <c r="B336" s="1192">
        <f t="shared" si="111"/>
        <v>336</v>
      </c>
      <c r="C336" s="732">
        <f t="shared" si="95"/>
        <v>28</v>
      </c>
      <c r="D336" s="35">
        <f t="shared" si="96"/>
        <v>2</v>
      </c>
      <c r="E336" s="889">
        <f t="shared" si="114"/>
        <v>56308</v>
      </c>
      <c r="F336" s="822">
        <f t="shared" si="97"/>
        <v>2</v>
      </c>
      <c r="G336" s="126">
        <f t="shared" si="98"/>
        <v>0</v>
      </c>
      <c r="H336" s="1098">
        <f t="shared" si="115"/>
        <v>0</v>
      </c>
      <c r="I336" s="887">
        <f t="shared" si="112"/>
        <v>317</v>
      </c>
      <c r="J336" s="1099">
        <f t="shared" si="104"/>
        <v>317</v>
      </c>
      <c r="K336" s="891" t="str">
        <f t="shared" si="105"/>
        <v>February</v>
      </c>
      <c r="L336" s="888">
        <f t="shared" si="113"/>
        <v>2054</v>
      </c>
      <c r="M336" s="883">
        <f t="shared" si="106"/>
        <v>0</v>
      </c>
      <c r="N336" s="883">
        <f t="shared" si="107"/>
        <v>0</v>
      </c>
      <c r="O336" s="1100"/>
      <c r="P336" s="883">
        <f t="shared" si="99"/>
        <v>0</v>
      </c>
      <c r="Q336" s="884">
        <f t="shared" si="108"/>
        <v>0</v>
      </c>
      <c r="R336" s="884">
        <f>IF(AND($AR$39="Early Payoff",I336&gt;=$R$13),0,IF($I336&lt;=$R$6,SUM($P$20:$P336),0))</f>
        <v>0</v>
      </c>
      <c r="S336" s="884">
        <f>IF(AND($AR$39="Early Payoff",I336&gt;=$R$13),0,IF($I336&lt;=$R$6,SUM($Q$20:$Q336),0))</f>
        <v>0</v>
      </c>
      <c r="T336" s="873">
        <f t="shared" si="109"/>
        <v>0</v>
      </c>
      <c r="U336" s="1110">
        <f t="shared" si="110"/>
        <v>0</v>
      </c>
      <c r="W336" s="1102">
        <f t="shared" si="100"/>
        <v>0</v>
      </c>
      <c r="X336" s="873">
        <f t="shared" si="101"/>
        <v>0</v>
      </c>
      <c r="Y336" s="873">
        <f t="shared" si="102"/>
        <v>0</v>
      </c>
      <c r="Z336" s="885">
        <f t="shared" si="103"/>
        <v>0</v>
      </c>
    </row>
    <row r="337" spans="2:26" s="278" customFormat="1" ht="12" customHeight="1" x14ac:dyDescent="0.25">
      <c r="B337" s="1192">
        <f t="shared" si="111"/>
        <v>337</v>
      </c>
      <c r="C337" s="732">
        <f t="shared" si="95"/>
        <v>31</v>
      </c>
      <c r="D337" s="35">
        <f t="shared" si="96"/>
        <v>3</v>
      </c>
      <c r="E337" s="889">
        <f t="shared" si="114"/>
        <v>56339</v>
      </c>
      <c r="F337" s="822">
        <f t="shared" si="97"/>
        <v>3</v>
      </c>
      <c r="G337" s="126">
        <f t="shared" si="98"/>
        <v>0</v>
      </c>
      <c r="H337" s="1098">
        <f t="shared" si="115"/>
        <v>0</v>
      </c>
      <c r="I337" s="887">
        <f t="shared" si="112"/>
        <v>318</v>
      </c>
      <c r="J337" s="1099">
        <f t="shared" si="104"/>
        <v>318</v>
      </c>
      <c r="K337" s="891" t="str">
        <f t="shared" si="105"/>
        <v>March</v>
      </c>
      <c r="L337" s="888">
        <f t="shared" si="113"/>
        <v>2054</v>
      </c>
      <c r="M337" s="883">
        <f t="shared" si="106"/>
        <v>0</v>
      </c>
      <c r="N337" s="883">
        <f t="shared" si="107"/>
        <v>0</v>
      </c>
      <c r="O337" s="1100"/>
      <c r="P337" s="883">
        <f t="shared" si="99"/>
        <v>0</v>
      </c>
      <c r="Q337" s="884">
        <f t="shared" si="108"/>
        <v>0</v>
      </c>
      <c r="R337" s="884">
        <f>IF(AND($AR$39="Early Payoff",I337&gt;=$R$13),0,IF($I337&lt;=$R$6,SUM($P$20:$P337),0))</f>
        <v>0</v>
      </c>
      <c r="S337" s="884">
        <f>IF(AND($AR$39="Early Payoff",I337&gt;=$R$13),0,IF($I337&lt;=$R$6,SUM($Q$20:$Q337),0))</f>
        <v>0</v>
      </c>
      <c r="T337" s="873">
        <f t="shared" si="109"/>
        <v>0</v>
      </c>
      <c r="U337" s="1110">
        <f t="shared" si="110"/>
        <v>0</v>
      </c>
      <c r="W337" s="1102">
        <f t="shared" si="100"/>
        <v>0</v>
      </c>
      <c r="X337" s="873">
        <f t="shared" si="101"/>
        <v>0</v>
      </c>
      <c r="Y337" s="873">
        <f t="shared" si="102"/>
        <v>0</v>
      </c>
      <c r="Z337" s="885">
        <f t="shared" si="103"/>
        <v>0</v>
      </c>
    </row>
    <row r="338" spans="2:26" s="278" customFormat="1" ht="12" customHeight="1" x14ac:dyDescent="0.25">
      <c r="B338" s="1192">
        <f t="shared" si="111"/>
        <v>338</v>
      </c>
      <c r="C338" s="732">
        <f t="shared" si="95"/>
        <v>30</v>
      </c>
      <c r="D338" s="35">
        <f t="shared" si="96"/>
        <v>4</v>
      </c>
      <c r="E338" s="889">
        <f t="shared" si="114"/>
        <v>56369</v>
      </c>
      <c r="F338" s="822">
        <f t="shared" si="97"/>
        <v>4</v>
      </c>
      <c r="G338" s="126">
        <f t="shared" si="98"/>
        <v>0</v>
      </c>
      <c r="H338" s="1098">
        <f t="shared" si="115"/>
        <v>0</v>
      </c>
      <c r="I338" s="887">
        <f t="shared" si="112"/>
        <v>319</v>
      </c>
      <c r="J338" s="1099">
        <f t="shared" si="104"/>
        <v>319</v>
      </c>
      <c r="K338" s="891" t="str">
        <f t="shared" si="105"/>
        <v>April</v>
      </c>
      <c r="L338" s="888">
        <f t="shared" si="113"/>
        <v>2054</v>
      </c>
      <c r="M338" s="883">
        <f t="shared" si="106"/>
        <v>0</v>
      </c>
      <c r="N338" s="883">
        <f t="shared" si="107"/>
        <v>0</v>
      </c>
      <c r="O338" s="1100"/>
      <c r="P338" s="883">
        <f t="shared" si="99"/>
        <v>0</v>
      </c>
      <c r="Q338" s="884">
        <f t="shared" si="108"/>
        <v>0</v>
      </c>
      <c r="R338" s="884">
        <f>IF(AND($AR$39="Early Payoff",I338&gt;=$R$13),0,IF($I338&lt;=$R$6,SUM($P$20:$P338),0))</f>
        <v>0</v>
      </c>
      <c r="S338" s="884">
        <f>IF(AND($AR$39="Early Payoff",I338&gt;=$R$13),0,IF($I338&lt;=$R$6,SUM($Q$20:$Q338),0))</f>
        <v>0</v>
      </c>
      <c r="T338" s="873">
        <f t="shared" si="109"/>
        <v>0</v>
      </c>
      <c r="U338" s="1110">
        <f t="shared" si="110"/>
        <v>0</v>
      </c>
      <c r="W338" s="1102">
        <f t="shared" si="100"/>
        <v>0</v>
      </c>
      <c r="X338" s="873">
        <f t="shared" si="101"/>
        <v>0</v>
      </c>
      <c r="Y338" s="873">
        <f t="shared" si="102"/>
        <v>0</v>
      </c>
      <c r="Z338" s="885">
        <f t="shared" si="103"/>
        <v>0</v>
      </c>
    </row>
    <row r="339" spans="2:26" s="278" customFormat="1" ht="12" customHeight="1" x14ac:dyDescent="0.25">
      <c r="B339" s="1192">
        <f t="shared" si="111"/>
        <v>339</v>
      </c>
      <c r="C339" s="732">
        <f t="shared" si="95"/>
        <v>31</v>
      </c>
      <c r="D339" s="35">
        <f t="shared" si="96"/>
        <v>5</v>
      </c>
      <c r="E339" s="889">
        <f t="shared" si="114"/>
        <v>56400</v>
      </c>
      <c r="F339" s="822">
        <f t="shared" si="97"/>
        <v>5</v>
      </c>
      <c r="G339" s="126">
        <f t="shared" si="98"/>
        <v>0</v>
      </c>
      <c r="H339" s="1098">
        <f t="shared" si="115"/>
        <v>0</v>
      </c>
      <c r="I339" s="887">
        <f t="shared" si="112"/>
        <v>320</v>
      </c>
      <c r="J339" s="1099">
        <f t="shared" si="104"/>
        <v>320</v>
      </c>
      <c r="K339" s="891" t="str">
        <f t="shared" si="105"/>
        <v>May</v>
      </c>
      <c r="L339" s="888">
        <f t="shared" si="113"/>
        <v>2054</v>
      </c>
      <c r="M339" s="883">
        <f t="shared" si="106"/>
        <v>0</v>
      </c>
      <c r="N339" s="883">
        <f t="shared" si="107"/>
        <v>0</v>
      </c>
      <c r="O339" s="1100"/>
      <c r="P339" s="883">
        <f t="shared" si="99"/>
        <v>0</v>
      </c>
      <c r="Q339" s="884">
        <f t="shared" si="108"/>
        <v>0</v>
      </c>
      <c r="R339" s="884">
        <f>IF(AND($AR$39="Early Payoff",I339&gt;=$R$13),0,IF($I339&lt;=$R$6,SUM($P$20:$P339),0))</f>
        <v>0</v>
      </c>
      <c r="S339" s="884">
        <f>IF(AND($AR$39="Early Payoff",I339&gt;=$R$13),0,IF($I339&lt;=$R$6,SUM($Q$20:$Q339),0))</f>
        <v>0</v>
      </c>
      <c r="T339" s="873">
        <f t="shared" si="109"/>
        <v>0</v>
      </c>
      <c r="U339" s="1110">
        <f t="shared" si="110"/>
        <v>0</v>
      </c>
      <c r="W339" s="1102">
        <f t="shared" si="100"/>
        <v>0</v>
      </c>
      <c r="X339" s="873">
        <f t="shared" si="101"/>
        <v>0</v>
      </c>
      <c r="Y339" s="873">
        <f t="shared" si="102"/>
        <v>0</v>
      </c>
      <c r="Z339" s="885">
        <f t="shared" si="103"/>
        <v>0</v>
      </c>
    </row>
    <row r="340" spans="2:26" s="278" customFormat="1" ht="12" customHeight="1" x14ac:dyDescent="0.25">
      <c r="B340" s="1192">
        <f t="shared" si="111"/>
        <v>340</v>
      </c>
      <c r="C340" s="732">
        <f t="shared" ref="C340:C403" si="116">DAY(EOMONTH(DATE($L340,$D340,1),0))</f>
        <v>30</v>
      </c>
      <c r="D340" s="35">
        <f t="shared" ref="D340:D403" si="117">INDEX($AS$22:$AT$34,MATCH($K340,$AS$22:$AS$34,0),MATCH("Number",$AS$22:$AT$22,0))</f>
        <v>6</v>
      </c>
      <c r="E340" s="889">
        <f t="shared" si="114"/>
        <v>56430</v>
      </c>
      <c r="F340" s="822">
        <f t="shared" ref="F340:F403" si="118">INDEX($AS$22:$AT$34,MATCH($K340,$AS$22:$AS$34,0),MATCH("Number",$AS$22:$AT$22,0))</f>
        <v>6</v>
      </c>
      <c r="G340" s="126">
        <f t="shared" ref="G340:G403" si="119">IF($S$4="Monthly",INDEX($AS$36:$AT$48,MATCH($K340,$AS$36:$AS$48,0),MATCH("Number",$AS$36:$AT$36,0)),0)</f>
        <v>0</v>
      </c>
      <c r="H340" s="1098">
        <f t="shared" si="115"/>
        <v>0</v>
      </c>
      <c r="I340" s="887">
        <f t="shared" si="112"/>
        <v>321</v>
      </c>
      <c r="J340" s="1099">
        <f t="shared" si="104"/>
        <v>321</v>
      </c>
      <c r="K340" s="891" t="str">
        <f t="shared" si="105"/>
        <v>June</v>
      </c>
      <c r="L340" s="888">
        <f t="shared" si="113"/>
        <v>2054</v>
      </c>
      <c r="M340" s="883">
        <f t="shared" si="106"/>
        <v>0</v>
      </c>
      <c r="N340" s="883">
        <f t="shared" si="107"/>
        <v>0</v>
      </c>
      <c r="O340" s="1100"/>
      <c r="P340" s="883">
        <f t="shared" ref="P340:P378" si="120">IF(AND($AR$39="Early Payoff",I340&gt;=$R$13),0,IF($I340&gt;$R$6,0,IF(AND($AQ$29&gt;0,$I340&lt;=$AQ$29),0,+$N340-$Q340)))</f>
        <v>0</v>
      </c>
      <c r="Q340" s="884">
        <f t="shared" si="108"/>
        <v>0</v>
      </c>
      <c r="R340" s="884">
        <f>IF(AND($AR$39="Early Payoff",I340&gt;=$R$13),0,IF($I340&lt;=$R$6,SUM($P$20:$P340),0))</f>
        <v>0</v>
      </c>
      <c r="S340" s="884">
        <f>IF(AND($AR$39="Early Payoff",I340&gt;=$R$13),0,IF($I340&lt;=$R$6,SUM($Q$20:$Q340),0))</f>
        <v>0</v>
      </c>
      <c r="T340" s="873">
        <f t="shared" si="109"/>
        <v>0</v>
      </c>
      <c r="U340" s="1110">
        <f t="shared" si="110"/>
        <v>0</v>
      </c>
      <c r="W340" s="1102">
        <f t="shared" ref="W340:W379" si="121">IF($I340&gt;$R$6,0,IF($I340&lt;=$AQ$27,0,IF(AND($X$5="%/Payment",$Z$5=0),$N340*$Y$5,IF(AND($X$5="%/Payment",$Z$5&gt;0,($N340*$Y$5)&lt;$Z$5),$N340*$Y$5,IF(AND($X$5="%/Payment",$Z$5&gt;0,($N340*$Y$5)&gt;$Z$5),-$Z$5,IF(AND($X$5="%/Balance",$Z$5=0),-$T340*$Y$5,IF(AND($X$5="%/Balance",$Z$5&gt;0,($T340*$Y$5)&lt;$Z$5),-$T340*$Y$5,IF(AND($X$5="%/Balance",$Z$5&gt;0,($T340*$Y$5)&gt;$Z$5),-$Z$5,IF($X$5="Fixed Amount",-$Y$5,IF($X$5="N/A",0))))))))))</f>
        <v>0</v>
      </c>
      <c r="X340" s="873">
        <f t="shared" ref="X340:X379" si="122">IF($I340&gt;$R$6,0,IF($I340&lt;=$AQ$27,0,IF(AND($X$6="%/Payment",$Z$6=0),$N340*$Y$6,IF(AND($X$6="%/Payment",$Z$6&gt;0,($N340*$Y$6)&lt;$Z$6),$N340*$Y$6,IF(AND($X$6="%/Payment",$Z$6&gt;0,($N340*$Y$6)&gt;$Z$6),-$Z$6,IF(AND($X$6="%/Balance",$Z$6=0),-$T340*$Y$6,IF(AND($X$6="%/Balance",$Z$6&gt;0,($T340*$Y$6)&lt;$Z$6),-$T340*$Y$6,IF(AND($X$6="%/Balance",$Z$6&gt;0,($T340*$Y$6)&gt;$Z$6),-$Z$6,IF($X$6="Fixed Amount",-$Y$6,IF($X$6="N/A",0))))))))))</f>
        <v>0</v>
      </c>
      <c r="Y340" s="873">
        <f t="shared" ref="Y340:Y379" si="123">IF($I340&gt;$R$6,0,IF($I340&lt;=$AQ$27,0,IF(AND($X$7="%/Payment",$Z$7=0),$N340*$Y$7,IF(AND($X$7="%/Payment",$Z$7&gt;0,($N340*$Y$7)&lt;$Z$7),$N340*$Y$7,IF(AND($X$7="%/Payment",$Z$7&gt;0,($N340*$Y$7)&gt;$Z$7),-$Z$7,IF(AND($X$7="%/Balance",$Z$7=0),-$T340*$Y$7,IF(AND($X$7="%/Balance",$Z$7&gt;0,($T340*$Y$7)&lt;$Z$7),-$T340*$Y$7,IF(AND($X$7="%/Balance",$Z$7&gt;0,($N340*$Y$7)&gt;$Z$7),-$Z$7,IF($X$7="Fixed Amount",-$Y$7,IF($X$7="N/A",0))))))))))</f>
        <v>0</v>
      </c>
      <c r="Z340" s="885">
        <f t="shared" ref="Z340:Z379" si="124">SUM($N340,$W340:$Y340)</f>
        <v>0</v>
      </c>
    </row>
    <row r="341" spans="2:26" s="278" customFormat="1" ht="12" customHeight="1" x14ac:dyDescent="0.25">
      <c r="B341" s="1192">
        <f t="shared" si="111"/>
        <v>341</v>
      </c>
      <c r="C341" s="732">
        <f t="shared" si="116"/>
        <v>31</v>
      </c>
      <c r="D341" s="35">
        <f t="shared" si="117"/>
        <v>7</v>
      </c>
      <c r="E341" s="889">
        <f t="shared" si="114"/>
        <v>56461</v>
      </c>
      <c r="F341" s="822">
        <f t="shared" si="118"/>
        <v>7</v>
      </c>
      <c r="G341" s="126">
        <f t="shared" si="119"/>
        <v>0</v>
      </c>
      <c r="H341" s="1098">
        <f t="shared" si="115"/>
        <v>0</v>
      </c>
      <c r="I341" s="887">
        <f t="shared" si="112"/>
        <v>322</v>
      </c>
      <c r="J341" s="1099">
        <f t="shared" ref="J341:J404" si="125">IF($I341&lt;=$AQ$29,0,IF($I340&gt;=$AQ$29,$J340+1))</f>
        <v>322</v>
      </c>
      <c r="K341" s="891" t="str">
        <f t="shared" ref="K341:K404" si="126">IF($S$4="Annual",$Q$5,IF(AND($S$4="Bi-Annual",$F340&lt;MAX($Q$4,$R$4)),INDEX($AT$22:$AU$34,MATCH(MAX($Q$4,$R$4),$AT$22:$AT$34,0),MATCH("Month",$AT$22:$AU$22,0)),IF(AND($S$4="Bi-Annual",$F340=MAX($Q$4,$R$4)),INDEX($AT$22:$AU$34,MATCH(MIN($Q$4,$R$4),$AT$22:$AT$34,0),MATCH("Month",$AT$22:$AU$22,0)),IF(AND($S$4="Monthly",$F340&lt;12),INDEX($AT$22:$AU$34,MATCH($F340+1,$AT$22:$AT$34,0),MATCH("Month",$AT$22:$AU$22,0)),IF(AND($S$4="Monthly",$F340=12),INDEX($AT$22:$AU$34,MATCH($F340-11,$AT$22:$AT$34,0),MATCH("Month",$AT$22:$AU$22,0)))))))</f>
        <v>July</v>
      </c>
      <c r="L341" s="888">
        <f t="shared" si="113"/>
        <v>2054</v>
      </c>
      <c r="M341" s="883">
        <f t="shared" ref="M341:M404" si="127">IF(AND($AR$39="Early Payoff",$I341&gt;$R$13),0,IF(AND($AR$39="Early Payoff",$I341&lt;$R$13),$T340,IF($I341&gt;$R$6,0,$T340)))</f>
        <v>0</v>
      </c>
      <c r="N341" s="883">
        <f t="shared" ref="N341:N378" si="128">IF(AND($AR$39="Early Payoff",I341&gt;=$R$13),0,IF($I341&gt;$R$6,0,IF(AND($AQ$29&gt;=0,$I341&lt;=$AQ$29),0,IF(AND($AQ$27&gt;=0,$I341&lt;=$AQ$27),$Q341,IF(AND($S$4="Annual",$AQ$27&gt;=0,$AQ$29&gt;=0,$I341&gt;$AQ$27,$I341&gt;$AQ$29),PMT($L$7,($R$6-$AQ$27),$L$4),IF(AND($S$4="Bi-Annual",$AQ$27&gt;=0,$AQ$29&gt;=0,$I341&gt;$AQ$27,$I341&gt;$AQ$29),PMT($L$7/2,($R$6-$AQ$27),$L$4),IF(AND($S$4="Monthly",$AQ$27&gt;=0,$AQ$29&gt;=0,$I341&gt;$AQ$27,$I341&gt;$AQ$29),PMT($L$7/12,($R$6-$AQ$27),$L$4))))))))-O341</f>
        <v>0</v>
      </c>
      <c r="O341" s="1100"/>
      <c r="P341" s="883">
        <f t="shared" si="120"/>
        <v>0</v>
      </c>
      <c r="Q341" s="884">
        <f t="shared" ref="Q341:Q378" si="129">IF(AND($AR$39="Early Payoff",I341&gt;=$R$13),0,IF($S$4="Annual",-$L$7*$T340*1,IF($S$4="Bi-Annual",(-$L$7/2)*$T340*1,IF($S$4="Monthly",(-$L$7/12)*$T340*1))))</f>
        <v>0</v>
      </c>
      <c r="R341" s="884">
        <f>IF(AND($AR$39="Early Payoff",I341&gt;=$R$13),0,IF($I341&lt;=$R$6,SUM($P$20:$P341),0))</f>
        <v>0</v>
      </c>
      <c r="S341" s="884">
        <f>IF(AND($AR$39="Early Payoff",I341&gt;=$R$13),0,IF($I341&lt;=$R$6,SUM($Q$20:$Q341),0))</f>
        <v>0</v>
      </c>
      <c r="T341" s="873">
        <f t="shared" ref="T341:T404" si="130">IF($J341&lt;=$R$13,SUM($M341,$P341),0)</f>
        <v>0</v>
      </c>
      <c r="U341" s="1110">
        <f t="shared" ref="U341:U404" si="131">IF($S$4="Monthly",$M341,IF(AND(OR($S$4="Annual",$S$4="Bi-Annual"),$I341=$AQ$49),INDEX($I$19:$T$379,MATCH($AQ$49,$I$19:$I$2379,0),MATCH($T$19,$I$19:$T$19,0)),IF(AND(OR($S$4="Annual",$S$4="Bi-Annual"),$I341&lt;=$AQ$49),$M341,0)))</f>
        <v>0</v>
      </c>
      <c r="W341" s="1102">
        <f t="shared" si="121"/>
        <v>0</v>
      </c>
      <c r="X341" s="873">
        <f t="shared" si="122"/>
        <v>0</v>
      </c>
      <c r="Y341" s="873">
        <f t="shared" si="123"/>
        <v>0</v>
      </c>
      <c r="Z341" s="885">
        <f t="shared" si="124"/>
        <v>0</v>
      </c>
    </row>
    <row r="342" spans="2:26" s="278" customFormat="1" ht="12" customHeight="1" x14ac:dyDescent="0.25">
      <c r="B342" s="1192">
        <f t="shared" ref="B342:B405" si="132">B341+1</f>
        <v>342</v>
      </c>
      <c r="C342" s="732">
        <f t="shared" si="116"/>
        <v>31</v>
      </c>
      <c r="D342" s="35">
        <f t="shared" si="117"/>
        <v>8</v>
      </c>
      <c r="E342" s="889">
        <f t="shared" si="114"/>
        <v>56492</v>
      </c>
      <c r="F342" s="822">
        <f t="shared" si="118"/>
        <v>8</v>
      </c>
      <c r="G342" s="126">
        <f t="shared" si="119"/>
        <v>0</v>
      </c>
      <c r="H342" s="1098">
        <f t="shared" si="115"/>
        <v>0</v>
      </c>
      <c r="I342" s="887">
        <f t="shared" ref="I342:I405" si="133">I341+1</f>
        <v>323</v>
      </c>
      <c r="J342" s="1099">
        <f t="shared" si="125"/>
        <v>323</v>
      </c>
      <c r="K342" s="891" t="str">
        <f t="shared" si="126"/>
        <v>August</v>
      </c>
      <c r="L342" s="888">
        <f t="shared" ref="L342:L405" si="134">IF($S$4="Annual",$L341+$H342,IF($S$4="Bi-Annual",$L341+$H341,IF($S$4="Monthly",$L341+$G341)))</f>
        <v>2054</v>
      </c>
      <c r="M342" s="883">
        <f t="shared" si="127"/>
        <v>0</v>
      </c>
      <c r="N342" s="883">
        <f t="shared" si="128"/>
        <v>0</v>
      </c>
      <c r="O342" s="1100"/>
      <c r="P342" s="883">
        <f t="shared" si="120"/>
        <v>0</v>
      </c>
      <c r="Q342" s="884">
        <f t="shared" si="129"/>
        <v>0</v>
      </c>
      <c r="R342" s="884">
        <f>IF(AND($AR$39="Early Payoff",I342&gt;=$R$13),0,IF($I342&lt;=$R$6,SUM($P$20:$P342),0))</f>
        <v>0</v>
      </c>
      <c r="S342" s="884">
        <f>IF(AND($AR$39="Early Payoff",I342&gt;=$R$13),0,IF($I342&lt;=$R$6,SUM($Q$20:$Q342),0))</f>
        <v>0</v>
      </c>
      <c r="T342" s="873">
        <f t="shared" si="130"/>
        <v>0</v>
      </c>
      <c r="U342" s="1110">
        <f t="shared" si="131"/>
        <v>0</v>
      </c>
      <c r="W342" s="1102">
        <f t="shared" si="121"/>
        <v>0</v>
      </c>
      <c r="X342" s="873">
        <f t="shared" si="122"/>
        <v>0</v>
      </c>
      <c r="Y342" s="873">
        <f t="shared" si="123"/>
        <v>0</v>
      </c>
      <c r="Z342" s="885">
        <f t="shared" si="124"/>
        <v>0</v>
      </c>
    </row>
    <row r="343" spans="2:26" s="278" customFormat="1" ht="12" customHeight="1" x14ac:dyDescent="0.25">
      <c r="B343" s="1192">
        <f t="shared" si="132"/>
        <v>343</v>
      </c>
      <c r="C343" s="732">
        <f t="shared" si="116"/>
        <v>30</v>
      </c>
      <c r="D343" s="35">
        <f t="shared" si="117"/>
        <v>9</v>
      </c>
      <c r="E343" s="889">
        <f t="shared" ref="E343:E378" si="135">DATE(L343,D343,C343)</f>
        <v>56522</v>
      </c>
      <c r="F343" s="822">
        <f t="shared" si="118"/>
        <v>9</v>
      </c>
      <c r="G343" s="126">
        <f t="shared" si="119"/>
        <v>0</v>
      </c>
      <c r="H343" s="1098">
        <f t="shared" ref="H343:H406" si="136">IF($S$4="Annual",1,IF(AND($S$4="Bi-Annual",$F343&gt;$F344),1,IF(AND($S$4="Bi-Annual",$F343&lt;$F344),0,IF($S$4="Monthly",0,))))</f>
        <v>0</v>
      </c>
      <c r="I343" s="887">
        <f t="shared" si="133"/>
        <v>324</v>
      </c>
      <c r="J343" s="1099">
        <f t="shared" si="125"/>
        <v>324</v>
      </c>
      <c r="K343" s="891" t="str">
        <f t="shared" si="126"/>
        <v>September</v>
      </c>
      <c r="L343" s="888">
        <f t="shared" si="134"/>
        <v>2054</v>
      </c>
      <c r="M343" s="883">
        <f t="shared" si="127"/>
        <v>0</v>
      </c>
      <c r="N343" s="883">
        <f t="shared" si="128"/>
        <v>0</v>
      </c>
      <c r="O343" s="1100"/>
      <c r="P343" s="883">
        <f t="shared" si="120"/>
        <v>0</v>
      </c>
      <c r="Q343" s="884">
        <f t="shared" si="129"/>
        <v>0</v>
      </c>
      <c r="R343" s="884">
        <f>IF(AND($AR$39="Early Payoff",I343&gt;=$R$13),0,IF($I343&lt;=$R$6,SUM($P$20:$P343),0))</f>
        <v>0</v>
      </c>
      <c r="S343" s="884">
        <f>IF(AND($AR$39="Early Payoff",I343&gt;=$R$13),0,IF($I343&lt;=$R$6,SUM($Q$20:$Q343),0))</f>
        <v>0</v>
      </c>
      <c r="T343" s="873">
        <f t="shared" si="130"/>
        <v>0</v>
      </c>
      <c r="U343" s="1110">
        <f t="shared" si="131"/>
        <v>0</v>
      </c>
      <c r="W343" s="1102">
        <f t="shared" si="121"/>
        <v>0</v>
      </c>
      <c r="X343" s="873">
        <f t="shared" si="122"/>
        <v>0</v>
      </c>
      <c r="Y343" s="873">
        <f t="shared" si="123"/>
        <v>0</v>
      </c>
      <c r="Z343" s="885">
        <f t="shared" si="124"/>
        <v>0</v>
      </c>
    </row>
    <row r="344" spans="2:26" s="278" customFormat="1" ht="12" customHeight="1" x14ac:dyDescent="0.25">
      <c r="B344" s="1192">
        <f t="shared" si="132"/>
        <v>344</v>
      </c>
      <c r="C344" s="732">
        <f t="shared" si="116"/>
        <v>31</v>
      </c>
      <c r="D344" s="35">
        <f t="shared" si="117"/>
        <v>10</v>
      </c>
      <c r="E344" s="889">
        <f t="shared" si="135"/>
        <v>56553</v>
      </c>
      <c r="F344" s="822">
        <f t="shared" si="118"/>
        <v>10</v>
      </c>
      <c r="G344" s="126">
        <f t="shared" si="119"/>
        <v>0</v>
      </c>
      <c r="H344" s="1098">
        <f t="shared" si="136"/>
        <v>0</v>
      </c>
      <c r="I344" s="887">
        <f t="shared" si="133"/>
        <v>325</v>
      </c>
      <c r="J344" s="1099">
        <f t="shared" si="125"/>
        <v>325</v>
      </c>
      <c r="K344" s="891" t="str">
        <f t="shared" si="126"/>
        <v>October</v>
      </c>
      <c r="L344" s="888">
        <f t="shared" si="134"/>
        <v>2054</v>
      </c>
      <c r="M344" s="883">
        <f t="shared" si="127"/>
        <v>0</v>
      </c>
      <c r="N344" s="883">
        <f t="shared" si="128"/>
        <v>0</v>
      </c>
      <c r="O344" s="1100"/>
      <c r="P344" s="883">
        <f t="shared" si="120"/>
        <v>0</v>
      </c>
      <c r="Q344" s="884">
        <f t="shared" si="129"/>
        <v>0</v>
      </c>
      <c r="R344" s="884">
        <f>IF(AND($AR$39="Early Payoff",I344&gt;=$R$13),0,IF($I344&lt;=$R$6,SUM($P$20:$P344),0))</f>
        <v>0</v>
      </c>
      <c r="S344" s="884">
        <f>IF(AND($AR$39="Early Payoff",I344&gt;=$R$13),0,IF($I344&lt;=$R$6,SUM($Q$20:$Q344),0))</f>
        <v>0</v>
      </c>
      <c r="T344" s="873">
        <f t="shared" si="130"/>
        <v>0</v>
      </c>
      <c r="U344" s="1110">
        <f t="shared" si="131"/>
        <v>0</v>
      </c>
      <c r="W344" s="1102">
        <f t="shared" si="121"/>
        <v>0</v>
      </c>
      <c r="X344" s="873">
        <f t="shared" si="122"/>
        <v>0</v>
      </c>
      <c r="Y344" s="873">
        <f t="shared" si="123"/>
        <v>0</v>
      </c>
      <c r="Z344" s="885">
        <f t="shared" si="124"/>
        <v>0</v>
      </c>
    </row>
    <row r="345" spans="2:26" s="278" customFormat="1" ht="12" customHeight="1" x14ac:dyDescent="0.25">
      <c r="B345" s="1192">
        <f t="shared" si="132"/>
        <v>345</v>
      </c>
      <c r="C345" s="732">
        <f t="shared" si="116"/>
        <v>30</v>
      </c>
      <c r="D345" s="35">
        <f t="shared" si="117"/>
        <v>11</v>
      </c>
      <c r="E345" s="889">
        <f t="shared" si="135"/>
        <v>56583</v>
      </c>
      <c r="F345" s="822">
        <f t="shared" si="118"/>
        <v>11</v>
      </c>
      <c r="G345" s="126">
        <f t="shared" si="119"/>
        <v>0</v>
      </c>
      <c r="H345" s="1098">
        <f t="shared" si="136"/>
        <v>0</v>
      </c>
      <c r="I345" s="887">
        <f t="shared" si="133"/>
        <v>326</v>
      </c>
      <c r="J345" s="1099">
        <f t="shared" si="125"/>
        <v>326</v>
      </c>
      <c r="K345" s="891" t="str">
        <f t="shared" si="126"/>
        <v>November</v>
      </c>
      <c r="L345" s="888">
        <f t="shared" si="134"/>
        <v>2054</v>
      </c>
      <c r="M345" s="883">
        <f t="shared" si="127"/>
        <v>0</v>
      </c>
      <c r="N345" s="883">
        <f t="shared" si="128"/>
        <v>0</v>
      </c>
      <c r="O345" s="1100"/>
      <c r="P345" s="883">
        <f t="shared" si="120"/>
        <v>0</v>
      </c>
      <c r="Q345" s="884">
        <f t="shared" si="129"/>
        <v>0</v>
      </c>
      <c r="R345" s="884">
        <f>IF(AND($AR$39="Early Payoff",I345&gt;=$R$13),0,IF($I345&lt;=$R$6,SUM($P$20:$P345),0))</f>
        <v>0</v>
      </c>
      <c r="S345" s="884">
        <f>IF(AND($AR$39="Early Payoff",I345&gt;=$R$13),0,IF($I345&lt;=$R$6,SUM($Q$20:$Q345),0))</f>
        <v>0</v>
      </c>
      <c r="T345" s="873">
        <f t="shared" si="130"/>
        <v>0</v>
      </c>
      <c r="U345" s="1110">
        <f t="shared" si="131"/>
        <v>0</v>
      </c>
      <c r="W345" s="1102">
        <f t="shared" si="121"/>
        <v>0</v>
      </c>
      <c r="X345" s="873">
        <f t="shared" si="122"/>
        <v>0</v>
      </c>
      <c r="Y345" s="873">
        <f t="shared" si="123"/>
        <v>0</v>
      </c>
      <c r="Z345" s="885">
        <f t="shared" si="124"/>
        <v>0</v>
      </c>
    </row>
    <row r="346" spans="2:26" s="278" customFormat="1" ht="12" customHeight="1" x14ac:dyDescent="0.25">
      <c r="B346" s="1192">
        <f t="shared" si="132"/>
        <v>346</v>
      </c>
      <c r="C346" s="732">
        <f t="shared" si="116"/>
        <v>31</v>
      </c>
      <c r="D346" s="35">
        <f t="shared" si="117"/>
        <v>12</v>
      </c>
      <c r="E346" s="889">
        <f t="shared" si="135"/>
        <v>56614</v>
      </c>
      <c r="F346" s="822">
        <f t="shared" si="118"/>
        <v>12</v>
      </c>
      <c r="G346" s="126">
        <f t="shared" si="119"/>
        <v>1</v>
      </c>
      <c r="H346" s="1098">
        <f t="shared" si="136"/>
        <v>0</v>
      </c>
      <c r="I346" s="887">
        <f t="shared" si="133"/>
        <v>327</v>
      </c>
      <c r="J346" s="1099">
        <f t="shared" si="125"/>
        <v>327</v>
      </c>
      <c r="K346" s="891" t="str">
        <f t="shared" si="126"/>
        <v>December</v>
      </c>
      <c r="L346" s="888">
        <f t="shared" si="134"/>
        <v>2054</v>
      </c>
      <c r="M346" s="883">
        <f t="shared" si="127"/>
        <v>0</v>
      </c>
      <c r="N346" s="883">
        <f t="shared" si="128"/>
        <v>0</v>
      </c>
      <c r="O346" s="1100"/>
      <c r="P346" s="883">
        <f t="shared" si="120"/>
        <v>0</v>
      </c>
      <c r="Q346" s="884">
        <f t="shared" si="129"/>
        <v>0</v>
      </c>
      <c r="R346" s="884">
        <f>IF(AND($AR$39="Early Payoff",I346&gt;=$R$13),0,IF($I346&lt;=$R$6,SUM($P$20:$P346),0))</f>
        <v>0</v>
      </c>
      <c r="S346" s="884">
        <f>IF(AND($AR$39="Early Payoff",I346&gt;=$R$13),0,IF($I346&lt;=$R$6,SUM($Q$20:$Q346),0))</f>
        <v>0</v>
      </c>
      <c r="T346" s="873">
        <f t="shared" si="130"/>
        <v>0</v>
      </c>
      <c r="U346" s="1110">
        <f t="shared" si="131"/>
        <v>0</v>
      </c>
      <c r="W346" s="1102">
        <f t="shared" si="121"/>
        <v>0</v>
      </c>
      <c r="X346" s="873">
        <f t="shared" si="122"/>
        <v>0</v>
      </c>
      <c r="Y346" s="873">
        <f t="shared" si="123"/>
        <v>0</v>
      </c>
      <c r="Z346" s="885">
        <f t="shared" si="124"/>
        <v>0</v>
      </c>
    </row>
    <row r="347" spans="2:26" s="278" customFormat="1" ht="12" customHeight="1" x14ac:dyDescent="0.25">
      <c r="B347" s="1192">
        <f t="shared" si="132"/>
        <v>347</v>
      </c>
      <c r="C347" s="732">
        <f t="shared" si="116"/>
        <v>31</v>
      </c>
      <c r="D347" s="35">
        <f t="shared" si="117"/>
        <v>1</v>
      </c>
      <c r="E347" s="889">
        <f t="shared" si="135"/>
        <v>56645</v>
      </c>
      <c r="F347" s="822">
        <f t="shared" si="118"/>
        <v>1</v>
      </c>
      <c r="G347" s="126">
        <f t="shared" si="119"/>
        <v>0</v>
      </c>
      <c r="H347" s="1098">
        <f t="shared" si="136"/>
        <v>0</v>
      </c>
      <c r="I347" s="887">
        <f t="shared" si="133"/>
        <v>328</v>
      </c>
      <c r="J347" s="1099">
        <f t="shared" si="125"/>
        <v>328</v>
      </c>
      <c r="K347" s="891" t="str">
        <f t="shared" si="126"/>
        <v>January</v>
      </c>
      <c r="L347" s="888">
        <f t="shared" si="134"/>
        <v>2055</v>
      </c>
      <c r="M347" s="883">
        <f t="shared" si="127"/>
        <v>0</v>
      </c>
      <c r="N347" s="883">
        <f t="shared" si="128"/>
        <v>0</v>
      </c>
      <c r="O347" s="1100"/>
      <c r="P347" s="883">
        <f t="shared" si="120"/>
        <v>0</v>
      </c>
      <c r="Q347" s="884">
        <f t="shared" si="129"/>
        <v>0</v>
      </c>
      <c r="R347" s="884">
        <f>IF(AND($AR$39="Early Payoff",I347&gt;=$R$13),0,IF($I347&lt;=$R$6,SUM($P$20:$P347),0))</f>
        <v>0</v>
      </c>
      <c r="S347" s="884">
        <f>IF(AND($AR$39="Early Payoff",I347&gt;=$R$13),0,IF($I347&lt;=$R$6,SUM($Q$20:$Q347),0))</f>
        <v>0</v>
      </c>
      <c r="T347" s="873">
        <f t="shared" si="130"/>
        <v>0</v>
      </c>
      <c r="U347" s="1110">
        <f t="shared" si="131"/>
        <v>0</v>
      </c>
      <c r="W347" s="1102">
        <f t="shared" si="121"/>
        <v>0</v>
      </c>
      <c r="X347" s="873">
        <f t="shared" si="122"/>
        <v>0</v>
      </c>
      <c r="Y347" s="873">
        <f t="shared" si="123"/>
        <v>0</v>
      </c>
      <c r="Z347" s="885">
        <f t="shared" si="124"/>
        <v>0</v>
      </c>
    </row>
    <row r="348" spans="2:26" s="278" customFormat="1" ht="12" customHeight="1" x14ac:dyDescent="0.25">
      <c r="B348" s="1192">
        <f t="shared" si="132"/>
        <v>348</v>
      </c>
      <c r="C348" s="732">
        <f t="shared" si="116"/>
        <v>28</v>
      </c>
      <c r="D348" s="35">
        <f t="shared" si="117"/>
        <v>2</v>
      </c>
      <c r="E348" s="889">
        <f t="shared" si="135"/>
        <v>56673</v>
      </c>
      <c r="F348" s="822">
        <f t="shared" si="118"/>
        <v>2</v>
      </c>
      <c r="G348" s="126">
        <f t="shared" si="119"/>
        <v>0</v>
      </c>
      <c r="H348" s="1098">
        <f t="shared" si="136"/>
        <v>0</v>
      </c>
      <c r="I348" s="887">
        <f t="shared" si="133"/>
        <v>329</v>
      </c>
      <c r="J348" s="1099">
        <f t="shared" si="125"/>
        <v>329</v>
      </c>
      <c r="K348" s="891" t="str">
        <f t="shared" si="126"/>
        <v>February</v>
      </c>
      <c r="L348" s="888">
        <f t="shared" si="134"/>
        <v>2055</v>
      </c>
      <c r="M348" s="883">
        <f t="shared" si="127"/>
        <v>0</v>
      </c>
      <c r="N348" s="883">
        <f t="shared" si="128"/>
        <v>0</v>
      </c>
      <c r="O348" s="1100"/>
      <c r="P348" s="883">
        <f t="shared" si="120"/>
        <v>0</v>
      </c>
      <c r="Q348" s="884">
        <f t="shared" si="129"/>
        <v>0</v>
      </c>
      <c r="R348" s="884">
        <f>IF(AND($AR$39="Early Payoff",I348&gt;=$R$13),0,IF($I348&lt;=$R$6,SUM($P$20:$P348),0))</f>
        <v>0</v>
      </c>
      <c r="S348" s="884">
        <f>IF(AND($AR$39="Early Payoff",I348&gt;=$R$13),0,IF($I348&lt;=$R$6,SUM($Q$20:$Q348),0))</f>
        <v>0</v>
      </c>
      <c r="T348" s="873">
        <f t="shared" si="130"/>
        <v>0</v>
      </c>
      <c r="U348" s="1110">
        <f t="shared" si="131"/>
        <v>0</v>
      </c>
      <c r="W348" s="1102">
        <f t="shared" si="121"/>
        <v>0</v>
      </c>
      <c r="X348" s="873">
        <f t="shared" si="122"/>
        <v>0</v>
      </c>
      <c r="Y348" s="873">
        <f t="shared" si="123"/>
        <v>0</v>
      </c>
      <c r="Z348" s="885">
        <f t="shared" si="124"/>
        <v>0</v>
      </c>
    </row>
    <row r="349" spans="2:26" s="278" customFormat="1" ht="12" customHeight="1" x14ac:dyDescent="0.25">
      <c r="B349" s="1192">
        <f t="shared" si="132"/>
        <v>349</v>
      </c>
      <c r="C349" s="732">
        <f t="shared" si="116"/>
        <v>31</v>
      </c>
      <c r="D349" s="35">
        <f t="shared" si="117"/>
        <v>3</v>
      </c>
      <c r="E349" s="889">
        <f t="shared" si="135"/>
        <v>56704</v>
      </c>
      <c r="F349" s="822">
        <f t="shared" si="118"/>
        <v>3</v>
      </c>
      <c r="G349" s="126">
        <f t="shared" si="119"/>
        <v>0</v>
      </c>
      <c r="H349" s="1098">
        <f t="shared" si="136"/>
        <v>0</v>
      </c>
      <c r="I349" s="887">
        <f t="shared" si="133"/>
        <v>330</v>
      </c>
      <c r="J349" s="1099">
        <f t="shared" si="125"/>
        <v>330</v>
      </c>
      <c r="K349" s="891" t="str">
        <f t="shared" si="126"/>
        <v>March</v>
      </c>
      <c r="L349" s="888">
        <f t="shared" si="134"/>
        <v>2055</v>
      </c>
      <c r="M349" s="883">
        <f t="shared" si="127"/>
        <v>0</v>
      </c>
      <c r="N349" s="883">
        <f t="shared" si="128"/>
        <v>0</v>
      </c>
      <c r="O349" s="1100"/>
      <c r="P349" s="883">
        <f t="shared" si="120"/>
        <v>0</v>
      </c>
      <c r="Q349" s="884">
        <f t="shared" si="129"/>
        <v>0</v>
      </c>
      <c r="R349" s="884">
        <f>IF(AND($AR$39="Early Payoff",I349&gt;=$R$13),0,IF($I349&lt;=$R$6,SUM($P$20:$P349),0))</f>
        <v>0</v>
      </c>
      <c r="S349" s="884">
        <f>IF(AND($AR$39="Early Payoff",I349&gt;=$R$13),0,IF($I349&lt;=$R$6,SUM($Q$20:$Q349),0))</f>
        <v>0</v>
      </c>
      <c r="T349" s="873">
        <f t="shared" si="130"/>
        <v>0</v>
      </c>
      <c r="U349" s="1110">
        <f t="shared" si="131"/>
        <v>0</v>
      </c>
      <c r="W349" s="1102">
        <f t="shared" si="121"/>
        <v>0</v>
      </c>
      <c r="X349" s="873">
        <f t="shared" si="122"/>
        <v>0</v>
      </c>
      <c r="Y349" s="873">
        <f t="shared" si="123"/>
        <v>0</v>
      </c>
      <c r="Z349" s="885">
        <f t="shared" si="124"/>
        <v>0</v>
      </c>
    </row>
    <row r="350" spans="2:26" s="278" customFormat="1" ht="12" customHeight="1" x14ac:dyDescent="0.25">
      <c r="B350" s="1192">
        <f t="shared" si="132"/>
        <v>350</v>
      </c>
      <c r="C350" s="732">
        <f t="shared" si="116"/>
        <v>30</v>
      </c>
      <c r="D350" s="35">
        <f t="shared" si="117"/>
        <v>4</v>
      </c>
      <c r="E350" s="889">
        <f t="shared" si="135"/>
        <v>56734</v>
      </c>
      <c r="F350" s="822">
        <f t="shared" si="118"/>
        <v>4</v>
      </c>
      <c r="G350" s="126">
        <f t="shared" si="119"/>
        <v>0</v>
      </c>
      <c r="H350" s="1098">
        <f t="shared" si="136"/>
        <v>0</v>
      </c>
      <c r="I350" s="887">
        <f t="shared" si="133"/>
        <v>331</v>
      </c>
      <c r="J350" s="1099">
        <f t="shared" si="125"/>
        <v>331</v>
      </c>
      <c r="K350" s="891" t="str">
        <f t="shared" si="126"/>
        <v>April</v>
      </c>
      <c r="L350" s="888">
        <f t="shared" si="134"/>
        <v>2055</v>
      </c>
      <c r="M350" s="883">
        <f t="shared" si="127"/>
        <v>0</v>
      </c>
      <c r="N350" s="883">
        <f t="shared" si="128"/>
        <v>0</v>
      </c>
      <c r="O350" s="1100"/>
      <c r="P350" s="883">
        <f t="shared" si="120"/>
        <v>0</v>
      </c>
      <c r="Q350" s="884">
        <f t="shared" si="129"/>
        <v>0</v>
      </c>
      <c r="R350" s="884">
        <f>IF(AND($AR$39="Early Payoff",I350&gt;=$R$13),0,IF($I350&lt;=$R$6,SUM($P$20:$P350),0))</f>
        <v>0</v>
      </c>
      <c r="S350" s="884">
        <f>IF(AND($AR$39="Early Payoff",I350&gt;=$R$13),0,IF($I350&lt;=$R$6,SUM($Q$20:$Q350),0))</f>
        <v>0</v>
      </c>
      <c r="T350" s="873">
        <f t="shared" si="130"/>
        <v>0</v>
      </c>
      <c r="U350" s="1110">
        <f t="shared" si="131"/>
        <v>0</v>
      </c>
      <c r="W350" s="1102">
        <f t="shared" si="121"/>
        <v>0</v>
      </c>
      <c r="X350" s="873">
        <f t="shared" si="122"/>
        <v>0</v>
      </c>
      <c r="Y350" s="873">
        <f t="shared" si="123"/>
        <v>0</v>
      </c>
      <c r="Z350" s="885">
        <f t="shared" si="124"/>
        <v>0</v>
      </c>
    </row>
    <row r="351" spans="2:26" s="278" customFormat="1" ht="12" customHeight="1" x14ac:dyDescent="0.25">
      <c r="B351" s="1192">
        <f t="shared" si="132"/>
        <v>351</v>
      </c>
      <c r="C351" s="732">
        <f t="shared" si="116"/>
        <v>31</v>
      </c>
      <c r="D351" s="35">
        <f t="shared" si="117"/>
        <v>5</v>
      </c>
      <c r="E351" s="889">
        <f t="shared" si="135"/>
        <v>56765</v>
      </c>
      <c r="F351" s="822">
        <f t="shared" si="118"/>
        <v>5</v>
      </c>
      <c r="G351" s="126">
        <f t="shared" si="119"/>
        <v>0</v>
      </c>
      <c r="H351" s="1098">
        <f t="shared" si="136"/>
        <v>0</v>
      </c>
      <c r="I351" s="887">
        <f t="shared" si="133"/>
        <v>332</v>
      </c>
      <c r="J351" s="1099">
        <f t="shared" si="125"/>
        <v>332</v>
      </c>
      <c r="K351" s="891" t="str">
        <f t="shared" si="126"/>
        <v>May</v>
      </c>
      <c r="L351" s="888">
        <f t="shared" si="134"/>
        <v>2055</v>
      </c>
      <c r="M351" s="883">
        <f t="shared" si="127"/>
        <v>0</v>
      </c>
      <c r="N351" s="883">
        <f t="shared" si="128"/>
        <v>0</v>
      </c>
      <c r="O351" s="1100"/>
      <c r="P351" s="883">
        <f t="shared" si="120"/>
        <v>0</v>
      </c>
      <c r="Q351" s="884">
        <f t="shared" si="129"/>
        <v>0</v>
      </c>
      <c r="R351" s="884">
        <f>IF(AND($AR$39="Early Payoff",I351&gt;=$R$13),0,IF($I351&lt;=$R$6,SUM($P$20:$P351),0))</f>
        <v>0</v>
      </c>
      <c r="S351" s="884">
        <f>IF(AND($AR$39="Early Payoff",I351&gt;=$R$13),0,IF($I351&lt;=$R$6,SUM($Q$20:$Q351),0))</f>
        <v>0</v>
      </c>
      <c r="T351" s="873">
        <f t="shared" si="130"/>
        <v>0</v>
      </c>
      <c r="U351" s="1110">
        <f t="shared" si="131"/>
        <v>0</v>
      </c>
      <c r="W351" s="1102">
        <f t="shared" si="121"/>
        <v>0</v>
      </c>
      <c r="X351" s="873">
        <f t="shared" si="122"/>
        <v>0</v>
      </c>
      <c r="Y351" s="873">
        <f t="shared" si="123"/>
        <v>0</v>
      </c>
      <c r="Z351" s="885">
        <f t="shared" si="124"/>
        <v>0</v>
      </c>
    </row>
    <row r="352" spans="2:26" s="278" customFormat="1" ht="12" customHeight="1" x14ac:dyDescent="0.25">
      <c r="B352" s="1192">
        <f t="shared" si="132"/>
        <v>352</v>
      </c>
      <c r="C352" s="732">
        <f t="shared" si="116"/>
        <v>30</v>
      </c>
      <c r="D352" s="35">
        <f t="shared" si="117"/>
        <v>6</v>
      </c>
      <c r="E352" s="889">
        <f t="shared" si="135"/>
        <v>56795</v>
      </c>
      <c r="F352" s="822">
        <f t="shared" si="118"/>
        <v>6</v>
      </c>
      <c r="G352" s="126">
        <f t="shared" si="119"/>
        <v>0</v>
      </c>
      <c r="H352" s="1098">
        <f t="shared" si="136"/>
        <v>0</v>
      </c>
      <c r="I352" s="887">
        <f t="shared" si="133"/>
        <v>333</v>
      </c>
      <c r="J352" s="1099">
        <f t="shared" si="125"/>
        <v>333</v>
      </c>
      <c r="K352" s="891" t="str">
        <f t="shared" si="126"/>
        <v>June</v>
      </c>
      <c r="L352" s="888">
        <f t="shared" si="134"/>
        <v>2055</v>
      </c>
      <c r="M352" s="883">
        <f t="shared" si="127"/>
        <v>0</v>
      </c>
      <c r="N352" s="883">
        <f t="shared" si="128"/>
        <v>0</v>
      </c>
      <c r="O352" s="1100"/>
      <c r="P352" s="883">
        <f t="shared" si="120"/>
        <v>0</v>
      </c>
      <c r="Q352" s="884">
        <f t="shared" si="129"/>
        <v>0</v>
      </c>
      <c r="R352" s="884">
        <f>IF(AND($AR$39="Early Payoff",I352&gt;=$R$13),0,IF($I352&lt;=$R$6,SUM($P$20:$P352),0))</f>
        <v>0</v>
      </c>
      <c r="S352" s="884">
        <f>IF(AND($AR$39="Early Payoff",I352&gt;=$R$13),0,IF($I352&lt;=$R$6,SUM($Q$20:$Q352),0))</f>
        <v>0</v>
      </c>
      <c r="T352" s="873">
        <f t="shared" si="130"/>
        <v>0</v>
      </c>
      <c r="U352" s="1110">
        <f t="shared" si="131"/>
        <v>0</v>
      </c>
      <c r="W352" s="1102">
        <f t="shared" si="121"/>
        <v>0</v>
      </c>
      <c r="X352" s="873">
        <f t="shared" si="122"/>
        <v>0</v>
      </c>
      <c r="Y352" s="873">
        <f t="shared" si="123"/>
        <v>0</v>
      </c>
      <c r="Z352" s="885">
        <f t="shared" si="124"/>
        <v>0</v>
      </c>
    </row>
    <row r="353" spans="2:26" s="278" customFormat="1" ht="12" customHeight="1" x14ac:dyDescent="0.25">
      <c r="B353" s="1192">
        <f t="shared" si="132"/>
        <v>353</v>
      </c>
      <c r="C353" s="732">
        <f t="shared" si="116"/>
        <v>31</v>
      </c>
      <c r="D353" s="35">
        <f t="shared" si="117"/>
        <v>7</v>
      </c>
      <c r="E353" s="889">
        <f t="shared" si="135"/>
        <v>56826</v>
      </c>
      <c r="F353" s="822">
        <f t="shared" si="118"/>
        <v>7</v>
      </c>
      <c r="G353" s="126">
        <f t="shared" si="119"/>
        <v>0</v>
      </c>
      <c r="H353" s="1098">
        <f t="shared" si="136"/>
        <v>0</v>
      </c>
      <c r="I353" s="887">
        <f t="shared" si="133"/>
        <v>334</v>
      </c>
      <c r="J353" s="1099">
        <f t="shared" si="125"/>
        <v>334</v>
      </c>
      <c r="K353" s="891" t="str">
        <f t="shared" si="126"/>
        <v>July</v>
      </c>
      <c r="L353" s="888">
        <f t="shared" si="134"/>
        <v>2055</v>
      </c>
      <c r="M353" s="883">
        <f t="shared" si="127"/>
        <v>0</v>
      </c>
      <c r="N353" s="883">
        <f t="shared" si="128"/>
        <v>0</v>
      </c>
      <c r="O353" s="1100"/>
      <c r="P353" s="883">
        <f t="shared" si="120"/>
        <v>0</v>
      </c>
      <c r="Q353" s="884">
        <f t="shared" si="129"/>
        <v>0</v>
      </c>
      <c r="R353" s="884">
        <f>IF(AND($AR$39="Early Payoff",I353&gt;=$R$13),0,IF($I353&lt;=$R$6,SUM($P$20:$P353),0))</f>
        <v>0</v>
      </c>
      <c r="S353" s="884">
        <f>IF(AND($AR$39="Early Payoff",I353&gt;=$R$13),0,IF($I353&lt;=$R$6,SUM($Q$20:$Q353),0))</f>
        <v>0</v>
      </c>
      <c r="T353" s="873">
        <f t="shared" si="130"/>
        <v>0</v>
      </c>
      <c r="U353" s="1110">
        <f t="shared" si="131"/>
        <v>0</v>
      </c>
      <c r="W353" s="1102">
        <f t="shared" si="121"/>
        <v>0</v>
      </c>
      <c r="X353" s="873">
        <f t="shared" si="122"/>
        <v>0</v>
      </c>
      <c r="Y353" s="873">
        <f t="shared" si="123"/>
        <v>0</v>
      </c>
      <c r="Z353" s="885">
        <f t="shared" si="124"/>
        <v>0</v>
      </c>
    </row>
    <row r="354" spans="2:26" s="278" customFormat="1" ht="12" customHeight="1" x14ac:dyDescent="0.25">
      <c r="B354" s="1192">
        <f t="shared" si="132"/>
        <v>354</v>
      </c>
      <c r="C354" s="732">
        <f t="shared" si="116"/>
        <v>31</v>
      </c>
      <c r="D354" s="35">
        <f t="shared" si="117"/>
        <v>8</v>
      </c>
      <c r="E354" s="889">
        <f t="shared" si="135"/>
        <v>56857</v>
      </c>
      <c r="F354" s="822">
        <f t="shared" si="118"/>
        <v>8</v>
      </c>
      <c r="G354" s="126">
        <f t="shared" si="119"/>
        <v>0</v>
      </c>
      <c r="H354" s="1098">
        <f t="shared" si="136"/>
        <v>0</v>
      </c>
      <c r="I354" s="887">
        <f t="shared" si="133"/>
        <v>335</v>
      </c>
      <c r="J354" s="1099">
        <f t="shared" si="125"/>
        <v>335</v>
      </c>
      <c r="K354" s="891" t="str">
        <f t="shared" si="126"/>
        <v>August</v>
      </c>
      <c r="L354" s="888">
        <f t="shared" si="134"/>
        <v>2055</v>
      </c>
      <c r="M354" s="883">
        <f t="shared" si="127"/>
        <v>0</v>
      </c>
      <c r="N354" s="883">
        <f t="shared" si="128"/>
        <v>0</v>
      </c>
      <c r="O354" s="1100"/>
      <c r="P354" s="883">
        <f t="shared" si="120"/>
        <v>0</v>
      </c>
      <c r="Q354" s="884">
        <f t="shared" si="129"/>
        <v>0</v>
      </c>
      <c r="R354" s="884">
        <f>IF(AND($AR$39="Early Payoff",I354&gt;=$R$13),0,IF($I354&lt;=$R$6,SUM($P$20:$P354),0))</f>
        <v>0</v>
      </c>
      <c r="S354" s="884">
        <f>IF(AND($AR$39="Early Payoff",I354&gt;=$R$13),0,IF($I354&lt;=$R$6,SUM($Q$20:$Q354),0))</f>
        <v>0</v>
      </c>
      <c r="T354" s="873">
        <f t="shared" si="130"/>
        <v>0</v>
      </c>
      <c r="U354" s="1110">
        <f t="shared" si="131"/>
        <v>0</v>
      </c>
      <c r="W354" s="1102">
        <f t="shared" si="121"/>
        <v>0</v>
      </c>
      <c r="X354" s="873">
        <f t="shared" si="122"/>
        <v>0</v>
      </c>
      <c r="Y354" s="873">
        <f t="shared" si="123"/>
        <v>0</v>
      </c>
      <c r="Z354" s="885">
        <f t="shared" si="124"/>
        <v>0</v>
      </c>
    </row>
    <row r="355" spans="2:26" s="278" customFormat="1" ht="12" customHeight="1" x14ac:dyDescent="0.25">
      <c r="B355" s="1192">
        <f t="shared" si="132"/>
        <v>355</v>
      </c>
      <c r="C355" s="732">
        <f t="shared" si="116"/>
        <v>30</v>
      </c>
      <c r="D355" s="35">
        <f t="shared" si="117"/>
        <v>9</v>
      </c>
      <c r="E355" s="889">
        <f t="shared" si="135"/>
        <v>56887</v>
      </c>
      <c r="F355" s="822">
        <f t="shared" si="118"/>
        <v>9</v>
      </c>
      <c r="G355" s="126">
        <f t="shared" si="119"/>
        <v>0</v>
      </c>
      <c r="H355" s="1098">
        <f t="shared" si="136"/>
        <v>0</v>
      </c>
      <c r="I355" s="887">
        <f t="shared" si="133"/>
        <v>336</v>
      </c>
      <c r="J355" s="1099">
        <f t="shared" si="125"/>
        <v>336</v>
      </c>
      <c r="K355" s="891" t="str">
        <f t="shared" si="126"/>
        <v>September</v>
      </c>
      <c r="L355" s="888">
        <f t="shared" si="134"/>
        <v>2055</v>
      </c>
      <c r="M355" s="883">
        <f t="shared" si="127"/>
        <v>0</v>
      </c>
      <c r="N355" s="883">
        <f t="shared" si="128"/>
        <v>0</v>
      </c>
      <c r="O355" s="1100"/>
      <c r="P355" s="883">
        <f t="shared" si="120"/>
        <v>0</v>
      </c>
      <c r="Q355" s="884">
        <f t="shared" si="129"/>
        <v>0</v>
      </c>
      <c r="R355" s="884">
        <f>IF(AND($AR$39="Early Payoff",I355&gt;=$R$13),0,IF($I355&lt;=$R$6,SUM($P$20:$P355),0))</f>
        <v>0</v>
      </c>
      <c r="S355" s="884">
        <f>IF(AND($AR$39="Early Payoff",I355&gt;=$R$13),0,IF($I355&lt;=$R$6,SUM($Q$20:$Q355),0))</f>
        <v>0</v>
      </c>
      <c r="T355" s="873">
        <f t="shared" si="130"/>
        <v>0</v>
      </c>
      <c r="U355" s="1110">
        <f t="shared" si="131"/>
        <v>0</v>
      </c>
      <c r="W355" s="1102">
        <f t="shared" si="121"/>
        <v>0</v>
      </c>
      <c r="X355" s="873">
        <f t="shared" si="122"/>
        <v>0</v>
      </c>
      <c r="Y355" s="873">
        <f t="shared" si="123"/>
        <v>0</v>
      </c>
      <c r="Z355" s="885">
        <f t="shared" si="124"/>
        <v>0</v>
      </c>
    </row>
    <row r="356" spans="2:26" s="278" customFormat="1" ht="12" customHeight="1" x14ac:dyDescent="0.25">
      <c r="B356" s="1192">
        <f t="shared" si="132"/>
        <v>356</v>
      </c>
      <c r="C356" s="732">
        <f t="shared" si="116"/>
        <v>31</v>
      </c>
      <c r="D356" s="35">
        <f t="shared" si="117"/>
        <v>10</v>
      </c>
      <c r="E356" s="889">
        <f t="shared" si="135"/>
        <v>56918</v>
      </c>
      <c r="F356" s="822">
        <f t="shared" si="118"/>
        <v>10</v>
      </c>
      <c r="G356" s="126">
        <f t="shared" si="119"/>
        <v>0</v>
      </c>
      <c r="H356" s="1098">
        <f t="shared" si="136"/>
        <v>0</v>
      </c>
      <c r="I356" s="887">
        <f t="shared" si="133"/>
        <v>337</v>
      </c>
      <c r="J356" s="1099">
        <f t="shared" si="125"/>
        <v>337</v>
      </c>
      <c r="K356" s="891" t="str">
        <f t="shared" si="126"/>
        <v>October</v>
      </c>
      <c r="L356" s="888">
        <f t="shared" si="134"/>
        <v>2055</v>
      </c>
      <c r="M356" s="883">
        <f t="shared" si="127"/>
        <v>0</v>
      </c>
      <c r="N356" s="883">
        <f t="shared" si="128"/>
        <v>0</v>
      </c>
      <c r="O356" s="1100"/>
      <c r="P356" s="883">
        <f t="shared" si="120"/>
        <v>0</v>
      </c>
      <c r="Q356" s="884">
        <f t="shared" si="129"/>
        <v>0</v>
      </c>
      <c r="R356" s="884">
        <f>IF(AND($AR$39="Early Payoff",I356&gt;=$R$13),0,IF($I356&lt;=$R$6,SUM($P$20:$P356),0))</f>
        <v>0</v>
      </c>
      <c r="S356" s="884">
        <f>IF(AND($AR$39="Early Payoff",I356&gt;=$R$13),0,IF($I356&lt;=$R$6,SUM($Q$20:$Q356),0))</f>
        <v>0</v>
      </c>
      <c r="T356" s="873">
        <f t="shared" si="130"/>
        <v>0</v>
      </c>
      <c r="U356" s="1110">
        <f t="shared" si="131"/>
        <v>0</v>
      </c>
      <c r="W356" s="1102">
        <f t="shared" si="121"/>
        <v>0</v>
      </c>
      <c r="X356" s="873">
        <f t="shared" si="122"/>
        <v>0</v>
      </c>
      <c r="Y356" s="873">
        <f t="shared" si="123"/>
        <v>0</v>
      </c>
      <c r="Z356" s="885">
        <f t="shared" si="124"/>
        <v>0</v>
      </c>
    </row>
    <row r="357" spans="2:26" s="278" customFormat="1" ht="12" customHeight="1" x14ac:dyDescent="0.25">
      <c r="B357" s="1192">
        <f t="shared" si="132"/>
        <v>357</v>
      </c>
      <c r="C357" s="732">
        <f t="shared" si="116"/>
        <v>30</v>
      </c>
      <c r="D357" s="35">
        <f t="shared" si="117"/>
        <v>11</v>
      </c>
      <c r="E357" s="889">
        <f t="shared" si="135"/>
        <v>56948</v>
      </c>
      <c r="F357" s="822">
        <f t="shared" si="118"/>
        <v>11</v>
      </c>
      <c r="G357" s="126">
        <f t="shared" si="119"/>
        <v>0</v>
      </c>
      <c r="H357" s="1098">
        <f t="shared" si="136"/>
        <v>0</v>
      </c>
      <c r="I357" s="887">
        <f t="shared" si="133"/>
        <v>338</v>
      </c>
      <c r="J357" s="1099">
        <f t="shared" si="125"/>
        <v>338</v>
      </c>
      <c r="K357" s="891" t="str">
        <f t="shared" si="126"/>
        <v>November</v>
      </c>
      <c r="L357" s="888">
        <f t="shared" si="134"/>
        <v>2055</v>
      </c>
      <c r="M357" s="883">
        <f t="shared" si="127"/>
        <v>0</v>
      </c>
      <c r="N357" s="883">
        <f t="shared" si="128"/>
        <v>0</v>
      </c>
      <c r="O357" s="1100"/>
      <c r="P357" s="883">
        <f t="shared" si="120"/>
        <v>0</v>
      </c>
      <c r="Q357" s="884">
        <f t="shared" si="129"/>
        <v>0</v>
      </c>
      <c r="R357" s="884">
        <f>IF(AND($AR$39="Early Payoff",I357&gt;=$R$13),0,IF($I357&lt;=$R$6,SUM($P$20:$P357),0))</f>
        <v>0</v>
      </c>
      <c r="S357" s="884">
        <f>IF(AND($AR$39="Early Payoff",I357&gt;=$R$13),0,IF($I357&lt;=$R$6,SUM($Q$20:$Q357),0))</f>
        <v>0</v>
      </c>
      <c r="T357" s="873">
        <f t="shared" si="130"/>
        <v>0</v>
      </c>
      <c r="U357" s="1110">
        <f t="shared" si="131"/>
        <v>0</v>
      </c>
      <c r="W357" s="1102">
        <f t="shared" si="121"/>
        <v>0</v>
      </c>
      <c r="X357" s="873">
        <f t="shared" si="122"/>
        <v>0</v>
      </c>
      <c r="Y357" s="873">
        <f t="shared" si="123"/>
        <v>0</v>
      </c>
      <c r="Z357" s="885">
        <f t="shared" si="124"/>
        <v>0</v>
      </c>
    </row>
    <row r="358" spans="2:26" s="278" customFormat="1" ht="12" customHeight="1" x14ac:dyDescent="0.25">
      <c r="B358" s="1192">
        <f t="shared" si="132"/>
        <v>358</v>
      </c>
      <c r="C358" s="732">
        <f t="shared" si="116"/>
        <v>31</v>
      </c>
      <c r="D358" s="35">
        <f t="shared" si="117"/>
        <v>12</v>
      </c>
      <c r="E358" s="889">
        <f t="shared" si="135"/>
        <v>56979</v>
      </c>
      <c r="F358" s="822">
        <f t="shared" si="118"/>
        <v>12</v>
      </c>
      <c r="G358" s="126">
        <f t="shared" si="119"/>
        <v>1</v>
      </c>
      <c r="H358" s="1098">
        <f t="shared" si="136"/>
        <v>0</v>
      </c>
      <c r="I358" s="887">
        <f t="shared" si="133"/>
        <v>339</v>
      </c>
      <c r="J358" s="1099">
        <f t="shared" si="125"/>
        <v>339</v>
      </c>
      <c r="K358" s="891" t="str">
        <f t="shared" si="126"/>
        <v>December</v>
      </c>
      <c r="L358" s="888">
        <f t="shared" si="134"/>
        <v>2055</v>
      </c>
      <c r="M358" s="883">
        <f t="shared" si="127"/>
        <v>0</v>
      </c>
      <c r="N358" s="883">
        <f t="shared" si="128"/>
        <v>0</v>
      </c>
      <c r="O358" s="1100"/>
      <c r="P358" s="883">
        <f t="shared" si="120"/>
        <v>0</v>
      </c>
      <c r="Q358" s="884">
        <f t="shared" si="129"/>
        <v>0</v>
      </c>
      <c r="R358" s="884">
        <f>IF(AND($AR$39="Early Payoff",I358&gt;=$R$13),0,IF($I358&lt;=$R$6,SUM($P$20:$P358),0))</f>
        <v>0</v>
      </c>
      <c r="S358" s="884">
        <f>IF(AND($AR$39="Early Payoff",I358&gt;=$R$13),0,IF($I358&lt;=$R$6,SUM($Q$20:$Q358),0))</f>
        <v>0</v>
      </c>
      <c r="T358" s="873">
        <f t="shared" si="130"/>
        <v>0</v>
      </c>
      <c r="U358" s="1110">
        <f t="shared" si="131"/>
        <v>0</v>
      </c>
      <c r="W358" s="1102">
        <f t="shared" si="121"/>
        <v>0</v>
      </c>
      <c r="X358" s="873">
        <f t="shared" si="122"/>
        <v>0</v>
      </c>
      <c r="Y358" s="873">
        <f t="shared" si="123"/>
        <v>0</v>
      </c>
      <c r="Z358" s="885">
        <f t="shared" si="124"/>
        <v>0</v>
      </c>
    </row>
    <row r="359" spans="2:26" s="278" customFormat="1" ht="12" customHeight="1" x14ac:dyDescent="0.25">
      <c r="B359" s="1192">
        <f t="shared" si="132"/>
        <v>359</v>
      </c>
      <c r="C359" s="732">
        <f t="shared" si="116"/>
        <v>31</v>
      </c>
      <c r="D359" s="35">
        <f t="shared" si="117"/>
        <v>1</v>
      </c>
      <c r="E359" s="889">
        <f t="shared" si="135"/>
        <v>57010</v>
      </c>
      <c r="F359" s="822">
        <f t="shared" si="118"/>
        <v>1</v>
      </c>
      <c r="G359" s="126">
        <f t="shared" si="119"/>
        <v>0</v>
      </c>
      <c r="H359" s="1098">
        <f t="shared" si="136"/>
        <v>0</v>
      </c>
      <c r="I359" s="887">
        <f t="shared" si="133"/>
        <v>340</v>
      </c>
      <c r="J359" s="1099">
        <f t="shared" si="125"/>
        <v>340</v>
      </c>
      <c r="K359" s="891" t="str">
        <f t="shared" si="126"/>
        <v>January</v>
      </c>
      <c r="L359" s="888">
        <f t="shared" si="134"/>
        <v>2056</v>
      </c>
      <c r="M359" s="883">
        <f t="shared" si="127"/>
        <v>0</v>
      </c>
      <c r="N359" s="883">
        <f t="shared" si="128"/>
        <v>0</v>
      </c>
      <c r="O359" s="1100"/>
      <c r="P359" s="883">
        <f t="shared" si="120"/>
        <v>0</v>
      </c>
      <c r="Q359" s="884">
        <f t="shared" si="129"/>
        <v>0</v>
      </c>
      <c r="R359" s="884">
        <f>IF(AND($AR$39="Early Payoff",I359&gt;=$R$13),0,IF($I359&lt;=$R$6,SUM($P$20:$P359),0))</f>
        <v>0</v>
      </c>
      <c r="S359" s="884">
        <f>IF(AND($AR$39="Early Payoff",I359&gt;=$R$13),0,IF($I359&lt;=$R$6,SUM($Q$20:$Q359),0))</f>
        <v>0</v>
      </c>
      <c r="T359" s="873">
        <f t="shared" si="130"/>
        <v>0</v>
      </c>
      <c r="U359" s="1110">
        <f t="shared" si="131"/>
        <v>0</v>
      </c>
      <c r="W359" s="1102">
        <f t="shared" si="121"/>
        <v>0</v>
      </c>
      <c r="X359" s="873">
        <f t="shared" si="122"/>
        <v>0</v>
      </c>
      <c r="Y359" s="873">
        <f t="shared" si="123"/>
        <v>0</v>
      </c>
      <c r="Z359" s="885">
        <f t="shared" si="124"/>
        <v>0</v>
      </c>
    </row>
    <row r="360" spans="2:26" s="278" customFormat="1" ht="12" customHeight="1" x14ac:dyDescent="0.25">
      <c r="B360" s="1192">
        <f t="shared" si="132"/>
        <v>360</v>
      </c>
      <c r="C360" s="732">
        <f t="shared" si="116"/>
        <v>29</v>
      </c>
      <c r="D360" s="35">
        <f t="shared" si="117"/>
        <v>2</v>
      </c>
      <c r="E360" s="889">
        <f t="shared" si="135"/>
        <v>57039</v>
      </c>
      <c r="F360" s="822">
        <f t="shared" si="118"/>
        <v>2</v>
      </c>
      <c r="G360" s="126">
        <f t="shared" si="119"/>
        <v>0</v>
      </c>
      <c r="H360" s="1098">
        <f t="shared" si="136"/>
        <v>0</v>
      </c>
      <c r="I360" s="887">
        <f t="shared" si="133"/>
        <v>341</v>
      </c>
      <c r="J360" s="1099">
        <f t="shared" si="125"/>
        <v>341</v>
      </c>
      <c r="K360" s="891" t="str">
        <f t="shared" si="126"/>
        <v>February</v>
      </c>
      <c r="L360" s="888">
        <f t="shared" si="134"/>
        <v>2056</v>
      </c>
      <c r="M360" s="883">
        <f t="shared" si="127"/>
        <v>0</v>
      </c>
      <c r="N360" s="883">
        <f t="shared" si="128"/>
        <v>0</v>
      </c>
      <c r="O360" s="1100"/>
      <c r="P360" s="883">
        <f t="shared" si="120"/>
        <v>0</v>
      </c>
      <c r="Q360" s="884">
        <f t="shared" si="129"/>
        <v>0</v>
      </c>
      <c r="R360" s="884">
        <f>IF(AND($AR$39="Early Payoff",I360&gt;=$R$13),0,IF($I360&lt;=$R$6,SUM($P$20:$P360),0))</f>
        <v>0</v>
      </c>
      <c r="S360" s="884">
        <f>IF(AND($AR$39="Early Payoff",I360&gt;=$R$13),0,IF($I360&lt;=$R$6,SUM($Q$20:$Q360),0))</f>
        <v>0</v>
      </c>
      <c r="T360" s="873">
        <f t="shared" si="130"/>
        <v>0</v>
      </c>
      <c r="U360" s="1110">
        <f t="shared" si="131"/>
        <v>0</v>
      </c>
      <c r="W360" s="1102">
        <f t="shared" si="121"/>
        <v>0</v>
      </c>
      <c r="X360" s="873">
        <f t="shared" si="122"/>
        <v>0</v>
      </c>
      <c r="Y360" s="873">
        <f t="shared" si="123"/>
        <v>0</v>
      </c>
      <c r="Z360" s="885">
        <f t="shared" si="124"/>
        <v>0</v>
      </c>
    </row>
    <row r="361" spans="2:26" s="278" customFormat="1" ht="12" customHeight="1" x14ac:dyDescent="0.25">
      <c r="B361" s="1192">
        <f t="shared" si="132"/>
        <v>361</v>
      </c>
      <c r="C361" s="732">
        <f t="shared" si="116"/>
        <v>31</v>
      </c>
      <c r="D361" s="35">
        <f t="shared" si="117"/>
        <v>3</v>
      </c>
      <c r="E361" s="889">
        <f t="shared" si="135"/>
        <v>57070</v>
      </c>
      <c r="F361" s="822">
        <f t="shared" si="118"/>
        <v>3</v>
      </c>
      <c r="G361" s="126">
        <f t="shared" si="119"/>
        <v>0</v>
      </c>
      <c r="H361" s="1098">
        <f t="shared" si="136"/>
        <v>0</v>
      </c>
      <c r="I361" s="887">
        <f t="shared" si="133"/>
        <v>342</v>
      </c>
      <c r="J361" s="1099">
        <f t="shared" si="125"/>
        <v>342</v>
      </c>
      <c r="K361" s="891" t="str">
        <f t="shared" si="126"/>
        <v>March</v>
      </c>
      <c r="L361" s="888">
        <f t="shared" si="134"/>
        <v>2056</v>
      </c>
      <c r="M361" s="883">
        <f t="shared" si="127"/>
        <v>0</v>
      </c>
      <c r="N361" s="883">
        <f t="shared" si="128"/>
        <v>0</v>
      </c>
      <c r="O361" s="1100"/>
      <c r="P361" s="883">
        <f t="shared" si="120"/>
        <v>0</v>
      </c>
      <c r="Q361" s="884">
        <f t="shared" si="129"/>
        <v>0</v>
      </c>
      <c r="R361" s="884">
        <f>IF(AND($AR$39="Early Payoff",I361&gt;=$R$13),0,IF($I361&lt;=$R$6,SUM($P$20:$P361),0))</f>
        <v>0</v>
      </c>
      <c r="S361" s="884">
        <f>IF(AND($AR$39="Early Payoff",I361&gt;=$R$13),0,IF($I361&lt;=$R$6,SUM($Q$20:$Q361),0))</f>
        <v>0</v>
      </c>
      <c r="T361" s="873">
        <f t="shared" si="130"/>
        <v>0</v>
      </c>
      <c r="U361" s="1110">
        <f t="shared" si="131"/>
        <v>0</v>
      </c>
      <c r="W361" s="1102">
        <f t="shared" si="121"/>
        <v>0</v>
      </c>
      <c r="X361" s="873">
        <f t="shared" si="122"/>
        <v>0</v>
      </c>
      <c r="Y361" s="873">
        <f t="shared" si="123"/>
        <v>0</v>
      </c>
      <c r="Z361" s="885">
        <f t="shared" si="124"/>
        <v>0</v>
      </c>
    </row>
    <row r="362" spans="2:26" s="278" customFormat="1" ht="12" customHeight="1" x14ac:dyDescent="0.25">
      <c r="B362" s="1192">
        <f t="shared" si="132"/>
        <v>362</v>
      </c>
      <c r="C362" s="732">
        <f t="shared" si="116"/>
        <v>30</v>
      </c>
      <c r="D362" s="35">
        <f t="shared" si="117"/>
        <v>4</v>
      </c>
      <c r="E362" s="889">
        <f t="shared" si="135"/>
        <v>57100</v>
      </c>
      <c r="F362" s="822">
        <f t="shared" si="118"/>
        <v>4</v>
      </c>
      <c r="G362" s="126">
        <f t="shared" si="119"/>
        <v>0</v>
      </c>
      <c r="H362" s="1098">
        <f t="shared" si="136"/>
        <v>0</v>
      </c>
      <c r="I362" s="887">
        <f t="shared" si="133"/>
        <v>343</v>
      </c>
      <c r="J362" s="1099">
        <f t="shared" si="125"/>
        <v>343</v>
      </c>
      <c r="K362" s="891" t="str">
        <f t="shared" si="126"/>
        <v>April</v>
      </c>
      <c r="L362" s="888">
        <f t="shared" si="134"/>
        <v>2056</v>
      </c>
      <c r="M362" s="883">
        <f t="shared" si="127"/>
        <v>0</v>
      </c>
      <c r="N362" s="883">
        <f t="shared" si="128"/>
        <v>0</v>
      </c>
      <c r="O362" s="1100"/>
      <c r="P362" s="883">
        <f t="shared" si="120"/>
        <v>0</v>
      </c>
      <c r="Q362" s="884">
        <f t="shared" si="129"/>
        <v>0</v>
      </c>
      <c r="R362" s="884">
        <f>IF(AND($AR$39="Early Payoff",I362&gt;=$R$13),0,IF($I362&lt;=$R$6,SUM($P$20:$P362),0))</f>
        <v>0</v>
      </c>
      <c r="S362" s="884">
        <f>IF(AND($AR$39="Early Payoff",I362&gt;=$R$13),0,IF($I362&lt;=$R$6,SUM($Q$20:$Q362),0))</f>
        <v>0</v>
      </c>
      <c r="T362" s="873">
        <f t="shared" si="130"/>
        <v>0</v>
      </c>
      <c r="U362" s="1110">
        <f t="shared" si="131"/>
        <v>0</v>
      </c>
      <c r="W362" s="1102">
        <f t="shared" si="121"/>
        <v>0</v>
      </c>
      <c r="X362" s="873">
        <f t="shared" si="122"/>
        <v>0</v>
      </c>
      <c r="Y362" s="873">
        <f t="shared" si="123"/>
        <v>0</v>
      </c>
      <c r="Z362" s="885">
        <f t="shared" si="124"/>
        <v>0</v>
      </c>
    </row>
    <row r="363" spans="2:26" s="278" customFormat="1" ht="12" customHeight="1" x14ac:dyDescent="0.25">
      <c r="B363" s="1192">
        <f t="shared" si="132"/>
        <v>363</v>
      </c>
      <c r="C363" s="732">
        <f t="shared" si="116"/>
        <v>31</v>
      </c>
      <c r="D363" s="35">
        <f t="shared" si="117"/>
        <v>5</v>
      </c>
      <c r="E363" s="889">
        <f t="shared" si="135"/>
        <v>57131</v>
      </c>
      <c r="F363" s="822">
        <f t="shared" si="118"/>
        <v>5</v>
      </c>
      <c r="G363" s="126">
        <f t="shared" si="119"/>
        <v>0</v>
      </c>
      <c r="H363" s="1098">
        <f t="shared" si="136"/>
        <v>0</v>
      </c>
      <c r="I363" s="887">
        <f t="shared" si="133"/>
        <v>344</v>
      </c>
      <c r="J363" s="1099">
        <f t="shared" si="125"/>
        <v>344</v>
      </c>
      <c r="K363" s="891" t="str">
        <f t="shared" si="126"/>
        <v>May</v>
      </c>
      <c r="L363" s="888">
        <f t="shared" si="134"/>
        <v>2056</v>
      </c>
      <c r="M363" s="883">
        <f t="shared" si="127"/>
        <v>0</v>
      </c>
      <c r="N363" s="883">
        <f t="shared" si="128"/>
        <v>0</v>
      </c>
      <c r="O363" s="1100"/>
      <c r="P363" s="883">
        <f t="shared" si="120"/>
        <v>0</v>
      </c>
      <c r="Q363" s="884">
        <f t="shared" si="129"/>
        <v>0</v>
      </c>
      <c r="R363" s="884">
        <f>IF(AND($AR$39="Early Payoff",I363&gt;=$R$13),0,IF($I363&lt;=$R$6,SUM($P$20:$P363),0))</f>
        <v>0</v>
      </c>
      <c r="S363" s="884">
        <f>IF(AND($AR$39="Early Payoff",I363&gt;=$R$13),0,IF($I363&lt;=$R$6,SUM($Q$20:$Q363),0))</f>
        <v>0</v>
      </c>
      <c r="T363" s="873">
        <f t="shared" si="130"/>
        <v>0</v>
      </c>
      <c r="U363" s="1110">
        <f t="shared" si="131"/>
        <v>0</v>
      </c>
      <c r="W363" s="1102">
        <f t="shared" si="121"/>
        <v>0</v>
      </c>
      <c r="X363" s="873">
        <f t="shared" si="122"/>
        <v>0</v>
      </c>
      <c r="Y363" s="873">
        <f t="shared" si="123"/>
        <v>0</v>
      </c>
      <c r="Z363" s="885">
        <f t="shared" si="124"/>
        <v>0</v>
      </c>
    </row>
    <row r="364" spans="2:26" s="278" customFormat="1" ht="12" customHeight="1" x14ac:dyDescent="0.25">
      <c r="B364" s="1192">
        <f t="shared" si="132"/>
        <v>364</v>
      </c>
      <c r="C364" s="732">
        <f t="shared" si="116"/>
        <v>30</v>
      </c>
      <c r="D364" s="35">
        <f t="shared" si="117"/>
        <v>6</v>
      </c>
      <c r="E364" s="889">
        <f t="shared" si="135"/>
        <v>57161</v>
      </c>
      <c r="F364" s="822">
        <f t="shared" si="118"/>
        <v>6</v>
      </c>
      <c r="G364" s="126">
        <f t="shared" si="119"/>
        <v>0</v>
      </c>
      <c r="H364" s="1098">
        <f t="shared" si="136"/>
        <v>0</v>
      </c>
      <c r="I364" s="887">
        <f t="shared" si="133"/>
        <v>345</v>
      </c>
      <c r="J364" s="1099">
        <f t="shared" si="125"/>
        <v>345</v>
      </c>
      <c r="K364" s="891" t="str">
        <f t="shared" si="126"/>
        <v>June</v>
      </c>
      <c r="L364" s="888">
        <f t="shared" si="134"/>
        <v>2056</v>
      </c>
      <c r="M364" s="883">
        <f t="shared" si="127"/>
        <v>0</v>
      </c>
      <c r="N364" s="883">
        <f t="shared" si="128"/>
        <v>0</v>
      </c>
      <c r="O364" s="1100"/>
      <c r="P364" s="883">
        <f t="shared" si="120"/>
        <v>0</v>
      </c>
      <c r="Q364" s="884">
        <f t="shared" si="129"/>
        <v>0</v>
      </c>
      <c r="R364" s="884">
        <f>IF(AND($AR$39="Early Payoff",I364&gt;=$R$13),0,IF($I364&lt;=$R$6,SUM($P$20:$P364),0))</f>
        <v>0</v>
      </c>
      <c r="S364" s="884">
        <f>IF(AND($AR$39="Early Payoff",I364&gt;=$R$13),0,IF($I364&lt;=$R$6,SUM($Q$20:$Q364),0))</f>
        <v>0</v>
      </c>
      <c r="T364" s="873">
        <f t="shared" si="130"/>
        <v>0</v>
      </c>
      <c r="U364" s="1110">
        <f t="shared" si="131"/>
        <v>0</v>
      </c>
      <c r="W364" s="1102">
        <f t="shared" si="121"/>
        <v>0</v>
      </c>
      <c r="X364" s="873">
        <f t="shared" si="122"/>
        <v>0</v>
      </c>
      <c r="Y364" s="873">
        <f t="shared" si="123"/>
        <v>0</v>
      </c>
      <c r="Z364" s="885">
        <f t="shared" si="124"/>
        <v>0</v>
      </c>
    </row>
    <row r="365" spans="2:26" s="278" customFormat="1" ht="12" customHeight="1" x14ac:dyDescent="0.25">
      <c r="B365" s="1192">
        <f t="shared" si="132"/>
        <v>365</v>
      </c>
      <c r="C365" s="732">
        <f t="shared" si="116"/>
        <v>31</v>
      </c>
      <c r="D365" s="35">
        <f t="shared" si="117"/>
        <v>7</v>
      </c>
      <c r="E365" s="889">
        <f t="shared" si="135"/>
        <v>57192</v>
      </c>
      <c r="F365" s="822">
        <f t="shared" si="118"/>
        <v>7</v>
      </c>
      <c r="G365" s="126">
        <f t="shared" si="119"/>
        <v>0</v>
      </c>
      <c r="H365" s="1098">
        <f t="shared" si="136"/>
        <v>0</v>
      </c>
      <c r="I365" s="887">
        <f t="shared" si="133"/>
        <v>346</v>
      </c>
      <c r="J365" s="1099">
        <f t="shared" si="125"/>
        <v>346</v>
      </c>
      <c r="K365" s="891" t="str">
        <f t="shared" si="126"/>
        <v>July</v>
      </c>
      <c r="L365" s="888">
        <f t="shared" si="134"/>
        <v>2056</v>
      </c>
      <c r="M365" s="883">
        <f t="shared" si="127"/>
        <v>0</v>
      </c>
      <c r="N365" s="883">
        <f t="shared" si="128"/>
        <v>0</v>
      </c>
      <c r="O365" s="1100"/>
      <c r="P365" s="883">
        <f t="shared" si="120"/>
        <v>0</v>
      </c>
      <c r="Q365" s="884">
        <f t="shared" si="129"/>
        <v>0</v>
      </c>
      <c r="R365" s="884">
        <f>IF(AND($AR$39="Early Payoff",I365&gt;=$R$13),0,IF($I365&lt;=$R$6,SUM($P$20:$P365),0))</f>
        <v>0</v>
      </c>
      <c r="S365" s="884">
        <f>IF(AND($AR$39="Early Payoff",I365&gt;=$R$13),0,IF($I365&lt;=$R$6,SUM($Q$20:$Q365),0))</f>
        <v>0</v>
      </c>
      <c r="T365" s="873">
        <f t="shared" si="130"/>
        <v>0</v>
      </c>
      <c r="U365" s="1110">
        <f t="shared" si="131"/>
        <v>0</v>
      </c>
      <c r="W365" s="1102">
        <f t="shared" si="121"/>
        <v>0</v>
      </c>
      <c r="X365" s="873">
        <f t="shared" si="122"/>
        <v>0</v>
      </c>
      <c r="Y365" s="873">
        <f t="shared" si="123"/>
        <v>0</v>
      </c>
      <c r="Z365" s="885">
        <f t="shared" si="124"/>
        <v>0</v>
      </c>
    </row>
    <row r="366" spans="2:26" s="278" customFormat="1" ht="12" customHeight="1" x14ac:dyDescent="0.25">
      <c r="B366" s="1192">
        <f t="shared" si="132"/>
        <v>366</v>
      </c>
      <c r="C366" s="732">
        <f t="shared" si="116"/>
        <v>31</v>
      </c>
      <c r="D366" s="35">
        <f t="shared" si="117"/>
        <v>8</v>
      </c>
      <c r="E366" s="889">
        <f t="shared" si="135"/>
        <v>57223</v>
      </c>
      <c r="F366" s="822">
        <f t="shared" si="118"/>
        <v>8</v>
      </c>
      <c r="G366" s="126">
        <f t="shared" si="119"/>
        <v>0</v>
      </c>
      <c r="H366" s="1098">
        <f t="shared" si="136"/>
        <v>0</v>
      </c>
      <c r="I366" s="887">
        <f t="shared" si="133"/>
        <v>347</v>
      </c>
      <c r="J366" s="1099">
        <f t="shared" si="125"/>
        <v>347</v>
      </c>
      <c r="K366" s="891" t="str">
        <f t="shared" si="126"/>
        <v>August</v>
      </c>
      <c r="L366" s="888">
        <f t="shared" si="134"/>
        <v>2056</v>
      </c>
      <c r="M366" s="883">
        <f t="shared" si="127"/>
        <v>0</v>
      </c>
      <c r="N366" s="883">
        <f t="shared" si="128"/>
        <v>0</v>
      </c>
      <c r="O366" s="1100"/>
      <c r="P366" s="883">
        <f t="shared" si="120"/>
        <v>0</v>
      </c>
      <c r="Q366" s="884">
        <f t="shared" si="129"/>
        <v>0</v>
      </c>
      <c r="R366" s="884">
        <f>IF(AND($AR$39="Early Payoff",I366&gt;=$R$13),0,IF($I366&lt;=$R$6,SUM($P$20:$P366),0))</f>
        <v>0</v>
      </c>
      <c r="S366" s="884">
        <f>IF(AND($AR$39="Early Payoff",I366&gt;=$R$13),0,IF($I366&lt;=$R$6,SUM($Q$20:$Q366),0))</f>
        <v>0</v>
      </c>
      <c r="T366" s="873">
        <f t="shared" si="130"/>
        <v>0</v>
      </c>
      <c r="U366" s="1110">
        <f t="shared" si="131"/>
        <v>0</v>
      </c>
      <c r="W366" s="1102">
        <f t="shared" si="121"/>
        <v>0</v>
      </c>
      <c r="X366" s="873">
        <f t="shared" si="122"/>
        <v>0</v>
      </c>
      <c r="Y366" s="873">
        <f t="shared" si="123"/>
        <v>0</v>
      </c>
      <c r="Z366" s="885">
        <f t="shared" si="124"/>
        <v>0</v>
      </c>
    </row>
    <row r="367" spans="2:26" s="278" customFormat="1" ht="12" customHeight="1" x14ac:dyDescent="0.25">
      <c r="B367" s="1192">
        <f t="shared" si="132"/>
        <v>367</v>
      </c>
      <c r="C367" s="732">
        <f t="shared" si="116"/>
        <v>30</v>
      </c>
      <c r="D367" s="35">
        <f t="shared" si="117"/>
        <v>9</v>
      </c>
      <c r="E367" s="889">
        <f t="shared" si="135"/>
        <v>57253</v>
      </c>
      <c r="F367" s="822">
        <f t="shared" si="118"/>
        <v>9</v>
      </c>
      <c r="G367" s="126">
        <f t="shared" si="119"/>
        <v>0</v>
      </c>
      <c r="H367" s="1098">
        <f t="shared" si="136"/>
        <v>0</v>
      </c>
      <c r="I367" s="887">
        <f t="shared" si="133"/>
        <v>348</v>
      </c>
      <c r="J367" s="1099">
        <f t="shared" si="125"/>
        <v>348</v>
      </c>
      <c r="K367" s="891" t="str">
        <f t="shared" si="126"/>
        <v>September</v>
      </c>
      <c r="L367" s="888">
        <f t="shared" si="134"/>
        <v>2056</v>
      </c>
      <c r="M367" s="883">
        <f t="shared" si="127"/>
        <v>0</v>
      </c>
      <c r="N367" s="883">
        <f t="shared" si="128"/>
        <v>0</v>
      </c>
      <c r="O367" s="1100"/>
      <c r="P367" s="883">
        <f t="shared" si="120"/>
        <v>0</v>
      </c>
      <c r="Q367" s="884">
        <f t="shared" si="129"/>
        <v>0</v>
      </c>
      <c r="R367" s="884">
        <f>IF(AND($AR$39="Early Payoff",I367&gt;=$R$13),0,IF($I367&lt;=$R$6,SUM($P$20:$P367),0))</f>
        <v>0</v>
      </c>
      <c r="S367" s="884">
        <f>IF(AND($AR$39="Early Payoff",I367&gt;=$R$13),0,IF($I367&lt;=$R$6,SUM($Q$20:$Q367),0))</f>
        <v>0</v>
      </c>
      <c r="T367" s="873">
        <f t="shared" si="130"/>
        <v>0</v>
      </c>
      <c r="U367" s="1110">
        <f t="shared" si="131"/>
        <v>0</v>
      </c>
      <c r="W367" s="1102">
        <f t="shared" si="121"/>
        <v>0</v>
      </c>
      <c r="X367" s="873">
        <f t="shared" si="122"/>
        <v>0</v>
      </c>
      <c r="Y367" s="873">
        <f t="shared" si="123"/>
        <v>0</v>
      </c>
      <c r="Z367" s="885">
        <f t="shared" si="124"/>
        <v>0</v>
      </c>
    </row>
    <row r="368" spans="2:26" s="278" customFormat="1" ht="12" customHeight="1" x14ac:dyDescent="0.25">
      <c r="B368" s="1192">
        <f t="shared" si="132"/>
        <v>368</v>
      </c>
      <c r="C368" s="732">
        <f t="shared" si="116"/>
        <v>31</v>
      </c>
      <c r="D368" s="35">
        <f t="shared" si="117"/>
        <v>10</v>
      </c>
      <c r="E368" s="889">
        <f t="shared" si="135"/>
        <v>57284</v>
      </c>
      <c r="F368" s="822">
        <f t="shared" si="118"/>
        <v>10</v>
      </c>
      <c r="G368" s="126">
        <f t="shared" si="119"/>
        <v>0</v>
      </c>
      <c r="H368" s="1098">
        <f t="shared" si="136"/>
        <v>0</v>
      </c>
      <c r="I368" s="887">
        <f t="shared" si="133"/>
        <v>349</v>
      </c>
      <c r="J368" s="1099">
        <f t="shared" si="125"/>
        <v>349</v>
      </c>
      <c r="K368" s="891" t="str">
        <f t="shared" si="126"/>
        <v>October</v>
      </c>
      <c r="L368" s="888">
        <f t="shared" si="134"/>
        <v>2056</v>
      </c>
      <c r="M368" s="883">
        <f t="shared" si="127"/>
        <v>0</v>
      </c>
      <c r="N368" s="883">
        <f t="shared" si="128"/>
        <v>0</v>
      </c>
      <c r="O368" s="1100"/>
      <c r="P368" s="883">
        <f t="shared" si="120"/>
        <v>0</v>
      </c>
      <c r="Q368" s="884">
        <f t="shared" si="129"/>
        <v>0</v>
      </c>
      <c r="R368" s="884">
        <f>IF(AND($AR$39="Early Payoff",I368&gt;=$R$13),0,IF($I368&lt;=$R$6,SUM($P$20:$P368),0))</f>
        <v>0</v>
      </c>
      <c r="S368" s="884">
        <f>IF(AND($AR$39="Early Payoff",I368&gt;=$R$13),0,IF($I368&lt;=$R$6,SUM($Q$20:$Q368),0))</f>
        <v>0</v>
      </c>
      <c r="T368" s="873">
        <f t="shared" si="130"/>
        <v>0</v>
      </c>
      <c r="U368" s="1110">
        <f t="shared" si="131"/>
        <v>0</v>
      </c>
      <c r="W368" s="1102">
        <f t="shared" si="121"/>
        <v>0</v>
      </c>
      <c r="X368" s="873">
        <f t="shared" si="122"/>
        <v>0</v>
      </c>
      <c r="Y368" s="873">
        <f t="shared" si="123"/>
        <v>0</v>
      </c>
      <c r="Z368" s="885">
        <f t="shared" si="124"/>
        <v>0</v>
      </c>
    </row>
    <row r="369" spans="2:26" s="278" customFormat="1" ht="12" customHeight="1" x14ac:dyDescent="0.25">
      <c r="B369" s="1192">
        <f t="shared" si="132"/>
        <v>369</v>
      </c>
      <c r="C369" s="732">
        <f t="shared" si="116"/>
        <v>30</v>
      </c>
      <c r="D369" s="35">
        <f t="shared" si="117"/>
        <v>11</v>
      </c>
      <c r="E369" s="889">
        <f t="shared" si="135"/>
        <v>57314</v>
      </c>
      <c r="F369" s="822">
        <f t="shared" si="118"/>
        <v>11</v>
      </c>
      <c r="G369" s="126">
        <f t="shared" si="119"/>
        <v>0</v>
      </c>
      <c r="H369" s="1098">
        <f t="shared" si="136"/>
        <v>0</v>
      </c>
      <c r="I369" s="887">
        <f t="shared" si="133"/>
        <v>350</v>
      </c>
      <c r="J369" s="1099">
        <f t="shared" si="125"/>
        <v>350</v>
      </c>
      <c r="K369" s="891" t="str">
        <f t="shared" si="126"/>
        <v>November</v>
      </c>
      <c r="L369" s="888">
        <f t="shared" si="134"/>
        <v>2056</v>
      </c>
      <c r="M369" s="883">
        <f t="shared" si="127"/>
        <v>0</v>
      </c>
      <c r="N369" s="883">
        <f t="shared" si="128"/>
        <v>0</v>
      </c>
      <c r="O369" s="1100"/>
      <c r="P369" s="883">
        <f t="shared" si="120"/>
        <v>0</v>
      </c>
      <c r="Q369" s="884">
        <f t="shared" si="129"/>
        <v>0</v>
      </c>
      <c r="R369" s="884">
        <f>IF(AND($AR$39="Early Payoff",I369&gt;=$R$13),0,IF($I369&lt;=$R$6,SUM($P$20:$P369),0))</f>
        <v>0</v>
      </c>
      <c r="S369" s="884">
        <f>IF(AND($AR$39="Early Payoff",I369&gt;=$R$13),0,IF($I369&lt;=$R$6,SUM($Q$20:$Q369),0))</f>
        <v>0</v>
      </c>
      <c r="T369" s="873">
        <f t="shared" si="130"/>
        <v>0</v>
      </c>
      <c r="U369" s="1110">
        <f t="shared" si="131"/>
        <v>0</v>
      </c>
      <c r="W369" s="1102">
        <f t="shared" si="121"/>
        <v>0</v>
      </c>
      <c r="X369" s="873">
        <f t="shared" si="122"/>
        <v>0</v>
      </c>
      <c r="Y369" s="873">
        <f t="shared" si="123"/>
        <v>0</v>
      </c>
      <c r="Z369" s="885">
        <f t="shared" si="124"/>
        <v>0</v>
      </c>
    </row>
    <row r="370" spans="2:26" s="278" customFormat="1" ht="12" customHeight="1" x14ac:dyDescent="0.25">
      <c r="B370" s="1192">
        <f t="shared" si="132"/>
        <v>370</v>
      </c>
      <c r="C370" s="732">
        <f t="shared" si="116"/>
        <v>31</v>
      </c>
      <c r="D370" s="35">
        <f t="shared" si="117"/>
        <v>12</v>
      </c>
      <c r="E370" s="889">
        <f t="shared" si="135"/>
        <v>57345</v>
      </c>
      <c r="F370" s="822">
        <f t="shared" si="118"/>
        <v>12</v>
      </c>
      <c r="G370" s="126">
        <f t="shared" si="119"/>
        <v>1</v>
      </c>
      <c r="H370" s="1098">
        <f t="shared" si="136"/>
        <v>0</v>
      </c>
      <c r="I370" s="887">
        <f t="shared" si="133"/>
        <v>351</v>
      </c>
      <c r="J370" s="1099">
        <f t="shared" si="125"/>
        <v>351</v>
      </c>
      <c r="K370" s="891" t="str">
        <f t="shared" si="126"/>
        <v>December</v>
      </c>
      <c r="L370" s="888">
        <f t="shared" si="134"/>
        <v>2056</v>
      </c>
      <c r="M370" s="883">
        <f t="shared" si="127"/>
        <v>0</v>
      </c>
      <c r="N370" s="883">
        <f t="shared" si="128"/>
        <v>0</v>
      </c>
      <c r="O370" s="1100"/>
      <c r="P370" s="883">
        <f t="shared" si="120"/>
        <v>0</v>
      </c>
      <c r="Q370" s="884">
        <f t="shared" si="129"/>
        <v>0</v>
      </c>
      <c r="R370" s="884">
        <f>IF(AND($AR$39="Early Payoff",I370&gt;=$R$13),0,IF($I370&lt;=$R$6,SUM($P$20:$P370),0))</f>
        <v>0</v>
      </c>
      <c r="S370" s="884">
        <f>IF(AND($AR$39="Early Payoff",I370&gt;=$R$13),0,IF($I370&lt;=$R$6,SUM($Q$20:$Q370),0))</f>
        <v>0</v>
      </c>
      <c r="T370" s="873">
        <f t="shared" si="130"/>
        <v>0</v>
      </c>
      <c r="U370" s="1110">
        <f t="shared" si="131"/>
        <v>0</v>
      </c>
      <c r="W370" s="1102">
        <f t="shared" si="121"/>
        <v>0</v>
      </c>
      <c r="X370" s="873">
        <f t="shared" si="122"/>
        <v>0</v>
      </c>
      <c r="Y370" s="873">
        <f t="shared" si="123"/>
        <v>0</v>
      </c>
      <c r="Z370" s="885">
        <f t="shared" si="124"/>
        <v>0</v>
      </c>
    </row>
    <row r="371" spans="2:26" s="278" customFormat="1" ht="12" customHeight="1" x14ac:dyDescent="0.25">
      <c r="B371" s="1192">
        <f t="shared" si="132"/>
        <v>371</v>
      </c>
      <c r="C371" s="732">
        <f t="shared" si="116"/>
        <v>31</v>
      </c>
      <c r="D371" s="35">
        <f t="shared" si="117"/>
        <v>1</v>
      </c>
      <c r="E371" s="889">
        <f t="shared" si="135"/>
        <v>57376</v>
      </c>
      <c r="F371" s="822">
        <f t="shared" si="118"/>
        <v>1</v>
      </c>
      <c r="G371" s="126">
        <f t="shared" si="119"/>
        <v>0</v>
      </c>
      <c r="H371" s="1098">
        <f t="shared" si="136"/>
        <v>0</v>
      </c>
      <c r="I371" s="887">
        <f t="shared" si="133"/>
        <v>352</v>
      </c>
      <c r="J371" s="1099">
        <f t="shared" si="125"/>
        <v>352</v>
      </c>
      <c r="K371" s="891" t="str">
        <f t="shared" si="126"/>
        <v>January</v>
      </c>
      <c r="L371" s="888">
        <f t="shared" si="134"/>
        <v>2057</v>
      </c>
      <c r="M371" s="883">
        <f t="shared" si="127"/>
        <v>0</v>
      </c>
      <c r="N371" s="883">
        <f t="shared" si="128"/>
        <v>0</v>
      </c>
      <c r="O371" s="1100"/>
      <c r="P371" s="883">
        <f t="shared" si="120"/>
        <v>0</v>
      </c>
      <c r="Q371" s="884">
        <f t="shared" si="129"/>
        <v>0</v>
      </c>
      <c r="R371" s="884">
        <f>IF(AND($AR$39="Early Payoff",I371&gt;=$R$13),0,IF($I371&lt;=$R$6,SUM($P$20:$P371),0))</f>
        <v>0</v>
      </c>
      <c r="S371" s="884">
        <f>IF(AND($AR$39="Early Payoff",I371&gt;=$R$13),0,IF($I371&lt;=$R$6,SUM($Q$20:$Q371),0))</f>
        <v>0</v>
      </c>
      <c r="T371" s="873">
        <f t="shared" si="130"/>
        <v>0</v>
      </c>
      <c r="U371" s="1110">
        <f t="shared" si="131"/>
        <v>0</v>
      </c>
      <c r="W371" s="1102">
        <f t="shared" si="121"/>
        <v>0</v>
      </c>
      <c r="X371" s="873">
        <f t="shared" si="122"/>
        <v>0</v>
      </c>
      <c r="Y371" s="873">
        <f t="shared" si="123"/>
        <v>0</v>
      </c>
      <c r="Z371" s="885">
        <f t="shared" si="124"/>
        <v>0</v>
      </c>
    </row>
    <row r="372" spans="2:26" s="278" customFormat="1" ht="12" customHeight="1" x14ac:dyDescent="0.25">
      <c r="B372" s="1192">
        <f t="shared" si="132"/>
        <v>372</v>
      </c>
      <c r="C372" s="732">
        <f t="shared" si="116"/>
        <v>28</v>
      </c>
      <c r="D372" s="35">
        <f t="shared" si="117"/>
        <v>2</v>
      </c>
      <c r="E372" s="889">
        <f t="shared" si="135"/>
        <v>57404</v>
      </c>
      <c r="F372" s="822">
        <f t="shared" si="118"/>
        <v>2</v>
      </c>
      <c r="G372" s="126">
        <f t="shared" si="119"/>
        <v>0</v>
      </c>
      <c r="H372" s="1098">
        <f t="shared" si="136"/>
        <v>0</v>
      </c>
      <c r="I372" s="887">
        <f t="shared" si="133"/>
        <v>353</v>
      </c>
      <c r="J372" s="1099">
        <f t="shared" si="125"/>
        <v>353</v>
      </c>
      <c r="K372" s="891" t="str">
        <f t="shared" si="126"/>
        <v>February</v>
      </c>
      <c r="L372" s="888">
        <f t="shared" si="134"/>
        <v>2057</v>
      </c>
      <c r="M372" s="883">
        <f t="shared" si="127"/>
        <v>0</v>
      </c>
      <c r="N372" s="883">
        <f t="shared" si="128"/>
        <v>0</v>
      </c>
      <c r="O372" s="1100"/>
      <c r="P372" s="883">
        <f t="shared" si="120"/>
        <v>0</v>
      </c>
      <c r="Q372" s="884">
        <f t="shared" si="129"/>
        <v>0</v>
      </c>
      <c r="R372" s="884">
        <f>IF(AND($AR$39="Early Payoff",I372&gt;=$R$13),0,IF($I372&lt;=$R$6,SUM($P$20:$P372),0))</f>
        <v>0</v>
      </c>
      <c r="S372" s="884">
        <f>IF(AND($AR$39="Early Payoff",I372&gt;=$R$13),0,IF($I372&lt;=$R$6,SUM($Q$20:$Q372),0))</f>
        <v>0</v>
      </c>
      <c r="T372" s="873">
        <f t="shared" si="130"/>
        <v>0</v>
      </c>
      <c r="U372" s="1110">
        <f t="shared" si="131"/>
        <v>0</v>
      </c>
      <c r="W372" s="1102">
        <f t="shared" si="121"/>
        <v>0</v>
      </c>
      <c r="X372" s="873">
        <f t="shared" si="122"/>
        <v>0</v>
      </c>
      <c r="Y372" s="873">
        <f t="shared" si="123"/>
        <v>0</v>
      </c>
      <c r="Z372" s="885">
        <f t="shared" si="124"/>
        <v>0</v>
      </c>
    </row>
    <row r="373" spans="2:26" s="278" customFormat="1" ht="12" customHeight="1" x14ac:dyDescent="0.25">
      <c r="B373" s="1192">
        <f t="shared" si="132"/>
        <v>373</v>
      </c>
      <c r="C373" s="732">
        <f t="shared" si="116"/>
        <v>31</v>
      </c>
      <c r="D373" s="35">
        <f t="shared" si="117"/>
        <v>3</v>
      </c>
      <c r="E373" s="889">
        <f t="shared" si="135"/>
        <v>57435</v>
      </c>
      <c r="F373" s="822">
        <f t="shared" si="118"/>
        <v>3</v>
      </c>
      <c r="G373" s="126">
        <f t="shared" si="119"/>
        <v>0</v>
      </c>
      <c r="H373" s="1098">
        <f t="shared" si="136"/>
        <v>0</v>
      </c>
      <c r="I373" s="887">
        <f t="shared" si="133"/>
        <v>354</v>
      </c>
      <c r="J373" s="1099">
        <f t="shared" si="125"/>
        <v>354</v>
      </c>
      <c r="K373" s="891" t="str">
        <f t="shared" si="126"/>
        <v>March</v>
      </c>
      <c r="L373" s="888">
        <f t="shared" si="134"/>
        <v>2057</v>
      </c>
      <c r="M373" s="883">
        <f t="shared" si="127"/>
        <v>0</v>
      </c>
      <c r="N373" s="883">
        <f t="shared" si="128"/>
        <v>0</v>
      </c>
      <c r="O373" s="1100"/>
      <c r="P373" s="883">
        <f t="shared" si="120"/>
        <v>0</v>
      </c>
      <c r="Q373" s="884">
        <f t="shared" si="129"/>
        <v>0</v>
      </c>
      <c r="R373" s="884">
        <f>IF(AND($AR$39="Early Payoff",I373&gt;=$R$13),0,IF($I373&lt;=$R$6,SUM($P$20:$P373),0))</f>
        <v>0</v>
      </c>
      <c r="S373" s="884">
        <f>IF(AND($AR$39="Early Payoff",I373&gt;=$R$13),0,IF($I373&lt;=$R$6,SUM($Q$20:$Q373),0))</f>
        <v>0</v>
      </c>
      <c r="T373" s="873">
        <f t="shared" si="130"/>
        <v>0</v>
      </c>
      <c r="U373" s="1110">
        <f t="shared" si="131"/>
        <v>0</v>
      </c>
      <c r="W373" s="1102">
        <f t="shared" si="121"/>
        <v>0</v>
      </c>
      <c r="X373" s="873">
        <f t="shared" si="122"/>
        <v>0</v>
      </c>
      <c r="Y373" s="873">
        <f t="shared" si="123"/>
        <v>0</v>
      </c>
      <c r="Z373" s="885">
        <f t="shared" si="124"/>
        <v>0</v>
      </c>
    </row>
    <row r="374" spans="2:26" s="278" customFormat="1" ht="12" customHeight="1" x14ac:dyDescent="0.25">
      <c r="B374" s="1192">
        <f t="shared" si="132"/>
        <v>374</v>
      </c>
      <c r="C374" s="732">
        <f t="shared" si="116"/>
        <v>30</v>
      </c>
      <c r="D374" s="35">
        <f t="shared" si="117"/>
        <v>4</v>
      </c>
      <c r="E374" s="889">
        <f t="shared" si="135"/>
        <v>57465</v>
      </c>
      <c r="F374" s="822">
        <f t="shared" si="118"/>
        <v>4</v>
      </c>
      <c r="G374" s="126">
        <f t="shared" si="119"/>
        <v>0</v>
      </c>
      <c r="H374" s="1098">
        <f t="shared" si="136"/>
        <v>0</v>
      </c>
      <c r="I374" s="887">
        <f t="shared" si="133"/>
        <v>355</v>
      </c>
      <c r="J374" s="1099">
        <f t="shared" si="125"/>
        <v>355</v>
      </c>
      <c r="K374" s="891" t="str">
        <f t="shared" si="126"/>
        <v>April</v>
      </c>
      <c r="L374" s="888">
        <f t="shared" si="134"/>
        <v>2057</v>
      </c>
      <c r="M374" s="883">
        <f t="shared" si="127"/>
        <v>0</v>
      </c>
      <c r="N374" s="883">
        <f t="shared" si="128"/>
        <v>0</v>
      </c>
      <c r="O374" s="1100"/>
      <c r="P374" s="883">
        <f t="shared" si="120"/>
        <v>0</v>
      </c>
      <c r="Q374" s="884">
        <f t="shared" si="129"/>
        <v>0</v>
      </c>
      <c r="R374" s="884">
        <f>IF(AND($AR$39="Early Payoff",I374&gt;=$R$13),0,IF($I374&lt;=$R$6,SUM($P$20:$P374),0))</f>
        <v>0</v>
      </c>
      <c r="S374" s="884">
        <f>IF(AND($AR$39="Early Payoff",I374&gt;=$R$13),0,IF($I374&lt;=$R$6,SUM($Q$20:$Q374),0))</f>
        <v>0</v>
      </c>
      <c r="T374" s="873">
        <f t="shared" si="130"/>
        <v>0</v>
      </c>
      <c r="U374" s="1110">
        <f t="shared" si="131"/>
        <v>0</v>
      </c>
      <c r="W374" s="1102">
        <f t="shared" si="121"/>
        <v>0</v>
      </c>
      <c r="X374" s="873">
        <f t="shared" si="122"/>
        <v>0</v>
      </c>
      <c r="Y374" s="873">
        <f t="shared" si="123"/>
        <v>0</v>
      </c>
      <c r="Z374" s="885">
        <f t="shared" si="124"/>
        <v>0</v>
      </c>
    </row>
    <row r="375" spans="2:26" s="278" customFormat="1" ht="12" customHeight="1" x14ac:dyDescent="0.25">
      <c r="B375" s="1192">
        <f t="shared" si="132"/>
        <v>375</v>
      </c>
      <c r="C375" s="732">
        <f t="shared" si="116"/>
        <v>31</v>
      </c>
      <c r="D375" s="35">
        <f t="shared" si="117"/>
        <v>5</v>
      </c>
      <c r="E375" s="889">
        <f t="shared" si="135"/>
        <v>57496</v>
      </c>
      <c r="F375" s="822">
        <f t="shared" si="118"/>
        <v>5</v>
      </c>
      <c r="G375" s="126">
        <f t="shared" si="119"/>
        <v>0</v>
      </c>
      <c r="H375" s="1098">
        <f t="shared" si="136"/>
        <v>0</v>
      </c>
      <c r="I375" s="887">
        <f t="shared" si="133"/>
        <v>356</v>
      </c>
      <c r="J375" s="1099">
        <f t="shared" si="125"/>
        <v>356</v>
      </c>
      <c r="K375" s="891" t="str">
        <f t="shared" si="126"/>
        <v>May</v>
      </c>
      <c r="L375" s="888">
        <f t="shared" si="134"/>
        <v>2057</v>
      </c>
      <c r="M375" s="883">
        <f t="shared" si="127"/>
        <v>0</v>
      </c>
      <c r="N375" s="883">
        <f t="shared" si="128"/>
        <v>0</v>
      </c>
      <c r="O375" s="1100"/>
      <c r="P375" s="883">
        <f t="shared" si="120"/>
        <v>0</v>
      </c>
      <c r="Q375" s="884">
        <f t="shared" si="129"/>
        <v>0</v>
      </c>
      <c r="R375" s="884">
        <f>IF(AND($AR$39="Early Payoff",I375&gt;=$R$13),0,IF($I375&lt;=$R$6,SUM($P$20:$P375),0))</f>
        <v>0</v>
      </c>
      <c r="S375" s="884">
        <f>IF(AND($AR$39="Early Payoff",I375&gt;=$R$13),0,IF($I375&lt;=$R$6,SUM($Q$20:$Q375),0))</f>
        <v>0</v>
      </c>
      <c r="T375" s="873">
        <f t="shared" si="130"/>
        <v>0</v>
      </c>
      <c r="U375" s="1110">
        <f t="shared" si="131"/>
        <v>0</v>
      </c>
      <c r="W375" s="1102">
        <f t="shared" si="121"/>
        <v>0</v>
      </c>
      <c r="X375" s="873">
        <f t="shared" si="122"/>
        <v>0</v>
      </c>
      <c r="Y375" s="873">
        <f t="shared" si="123"/>
        <v>0</v>
      </c>
      <c r="Z375" s="885">
        <f t="shared" si="124"/>
        <v>0</v>
      </c>
    </row>
    <row r="376" spans="2:26" s="278" customFormat="1" ht="12" customHeight="1" x14ac:dyDescent="0.25">
      <c r="B376" s="1192">
        <f t="shared" si="132"/>
        <v>376</v>
      </c>
      <c r="C376" s="732">
        <f t="shared" si="116"/>
        <v>30</v>
      </c>
      <c r="D376" s="35">
        <f t="shared" si="117"/>
        <v>6</v>
      </c>
      <c r="E376" s="889">
        <f t="shared" si="135"/>
        <v>57526</v>
      </c>
      <c r="F376" s="822">
        <f t="shared" si="118"/>
        <v>6</v>
      </c>
      <c r="G376" s="126">
        <f t="shared" si="119"/>
        <v>0</v>
      </c>
      <c r="H376" s="1098">
        <f t="shared" si="136"/>
        <v>0</v>
      </c>
      <c r="I376" s="887">
        <f t="shared" si="133"/>
        <v>357</v>
      </c>
      <c r="J376" s="1099">
        <f t="shared" si="125"/>
        <v>357</v>
      </c>
      <c r="K376" s="891" t="str">
        <f t="shared" si="126"/>
        <v>June</v>
      </c>
      <c r="L376" s="888">
        <f t="shared" si="134"/>
        <v>2057</v>
      </c>
      <c r="M376" s="883">
        <f t="shared" si="127"/>
        <v>0</v>
      </c>
      <c r="N376" s="883">
        <f t="shared" si="128"/>
        <v>0</v>
      </c>
      <c r="O376" s="1100"/>
      <c r="P376" s="883">
        <f t="shared" si="120"/>
        <v>0</v>
      </c>
      <c r="Q376" s="884">
        <f t="shared" si="129"/>
        <v>0</v>
      </c>
      <c r="R376" s="884">
        <f>IF(AND($AR$39="Early Payoff",I376&gt;=$R$13),0,IF($I376&lt;=$R$6,SUM($P$20:$P376),0))</f>
        <v>0</v>
      </c>
      <c r="S376" s="884">
        <f>IF(AND($AR$39="Early Payoff",I376&gt;=$R$13),0,IF($I376&lt;=$R$6,SUM($Q$20:$Q376),0))</f>
        <v>0</v>
      </c>
      <c r="T376" s="873">
        <f t="shared" si="130"/>
        <v>0</v>
      </c>
      <c r="U376" s="1110">
        <f t="shared" si="131"/>
        <v>0</v>
      </c>
      <c r="W376" s="1102">
        <f t="shared" si="121"/>
        <v>0</v>
      </c>
      <c r="X376" s="873">
        <f t="shared" si="122"/>
        <v>0</v>
      </c>
      <c r="Y376" s="873">
        <f t="shared" si="123"/>
        <v>0</v>
      </c>
      <c r="Z376" s="885">
        <f t="shared" si="124"/>
        <v>0</v>
      </c>
    </row>
    <row r="377" spans="2:26" s="278" customFormat="1" ht="12" customHeight="1" x14ac:dyDescent="0.25">
      <c r="B377" s="1192">
        <f t="shared" si="132"/>
        <v>377</v>
      </c>
      <c r="C377" s="732">
        <f t="shared" si="116"/>
        <v>31</v>
      </c>
      <c r="D377" s="35">
        <f t="shared" si="117"/>
        <v>7</v>
      </c>
      <c r="E377" s="889">
        <f t="shared" si="135"/>
        <v>57557</v>
      </c>
      <c r="F377" s="822">
        <f t="shared" si="118"/>
        <v>7</v>
      </c>
      <c r="G377" s="126">
        <f t="shared" si="119"/>
        <v>0</v>
      </c>
      <c r="H377" s="1098">
        <f t="shared" si="136"/>
        <v>0</v>
      </c>
      <c r="I377" s="887">
        <f t="shared" si="133"/>
        <v>358</v>
      </c>
      <c r="J377" s="1099">
        <f t="shared" si="125"/>
        <v>358</v>
      </c>
      <c r="K377" s="891" t="str">
        <f t="shared" si="126"/>
        <v>July</v>
      </c>
      <c r="L377" s="888">
        <f t="shared" si="134"/>
        <v>2057</v>
      </c>
      <c r="M377" s="883">
        <f t="shared" si="127"/>
        <v>0</v>
      </c>
      <c r="N377" s="883">
        <f t="shared" si="128"/>
        <v>0</v>
      </c>
      <c r="O377" s="1100"/>
      <c r="P377" s="883">
        <f t="shared" si="120"/>
        <v>0</v>
      </c>
      <c r="Q377" s="884">
        <f t="shared" si="129"/>
        <v>0</v>
      </c>
      <c r="R377" s="884">
        <f>IF(AND($AR$39="Early Payoff",I377&gt;=$R$13),0,IF($I377&lt;=$R$6,SUM($P$20:$P377),0))</f>
        <v>0</v>
      </c>
      <c r="S377" s="884">
        <f>IF(AND($AR$39="Early Payoff",I377&gt;=$R$13),0,IF($I377&lt;=$R$6,SUM($Q$20:$Q377),0))</f>
        <v>0</v>
      </c>
      <c r="T377" s="873">
        <f t="shared" si="130"/>
        <v>0</v>
      </c>
      <c r="U377" s="1110">
        <f t="shared" si="131"/>
        <v>0</v>
      </c>
      <c r="W377" s="1102">
        <f t="shared" si="121"/>
        <v>0</v>
      </c>
      <c r="X377" s="873">
        <f t="shared" si="122"/>
        <v>0</v>
      </c>
      <c r="Y377" s="873">
        <f t="shared" si="123"/>
        <v>0</v>
      </c>
      <c r="Z377" s="885">
        <f t="shared" si="124"/>
        <v>0</v>
      </c>
    </row>
    <row r="378" spans="2:26" s="278" customFormat="1" ht="12" customHeight="1" x14ac:dyDescent="0.25">
      <c r="B378" s="1192">
        <f t="shared" si="132"/>
        <v>378</v>
      </c>
      <c r="C378" s="732">
        <f t="shared" si="116"/>
        <v>31</v>
      </c>
      <c r="D378" s="35">
        <f t="shared" si="117"/>
        <v>8</v>
      </c>
      <c r="E378" s="889">
        <f t="shared" si="135"/>
        <v>57588</v>
      </c>
      <c r="F378" s="822">
        <f t="shared" si="118"/>
        <v>8</v>
      </c>
      <c r="G378" s="126">
        <f t="shared" si="119"/>
        <v>0</v>
      </c>
      <c r="H378" s="1098">
        <f t="shared" si="136"/>
        <v>0</v>
      </c>
      <c r="I378" s="887">
        <f t="shared" si="133"/>
        <v>359</v>
      </c>
      <c r="J378" s="1099">
        <f t="shared" si="125"/>
        <v>359</v>
      </c>
      <c r="K378" s="891" t="str">
        <f t="shared" si="126"/>
        <v>August</v>
      </c>
      <c r="L378" s="888">
        <f t="shared" si="134"/>
        <v>2057</v>
      </c>
      <c r="M378" s="883">
        <f t="shared" si="127"/>
        <v>0</v>
      </c>
      <c r="N378" s="883">
        <f t="shared" si="128"/>
        <v>0</v>
      </c>
      <c r="O378" s="1100"/>
      <c r="P378" s="883">
        <f t="shared" si="120"/>
        <v>0</v>
      </c>
      <c r="Q378" s="884">
        <f t="shared" si="129"/>
        <v>0</v>
      </c>
      <c r="R378" s="884">
        <f>IF(AND($AR$39="Early Payoff",I378&gt;=$R$13),0,IF($I378&lt;=$R$6,SUM($P$20:$P378),0))</f>
        <v>0</v>
      </c>
      <c r="S378" s="884">
        <f>IF(AND($AR$39="Early Payoff",I378&gt;=$R$13),0,IF($I378&lt;=$R$6,SUM($Q$20:$Q378),0))</f>
        <v>0</v>
      </c>
      <c r="T378" s="873">
        <f t="shared" si="130"/>
        <v>0</v>
      </c>
      <c r="U378" s="1110">
        <f t="shared" si="131"/>
        <v>0</v>
      </c>
      <c r="W378" s="1102">
        <f t="shared" si="121"/>
        <v>0</v>
      </c>
      <c r="X378" s="873">
        <f t="shared" si="122"/>
        <v>0</v>
      </c>
      <c r="Y378" s="873">
        <f t="shared" si="123"/>
        <v>0</v>
      </c>
      <c r="Z378" s="885">
        <f t="shared" si="124"/>
        <v>0</v>
      </c>
    </row>
    <row r="379" spans="2:26" s="278" customFormat="1" ht="12" customHeight="1" x14ac:dyDescent="0.25">
      <c r="B379" s="1192">
        <f t="shared" si="132"/>
        <v>379</v>
      </c>
      <c r="C379" s="732">
        <f t="shared" si="116"/>
        <v>30</v>
      </c>
      <c r="D379" s="35">
        <f t="shared" si="117"/>
        <v>9</v>
      </c>
      <c r="E379" s="889">
        <f t="shared" ref="E379:E440" si="137">DATE(L379,D379,C379)</f>
        <v>57618</v>
      </c>
      <c r="F379" s="822">
        <f t="shared" si="118"/>
        <v>9</v>
      </c>
      <c r="G379" s="126">
        <f t="shared" si="119"/>
        <v>0</v>
      </c>
      <c r="H379" s="1098">
        <f t="shared" si="136"/>
        <v>0</v>
      </c>
      <c r="I379" s="887">
        <f t="shared" si="133"/>
        <v>360</v>
      </c>
      <c r="J379" s="1099">
        <f t="shared" si="125"/>
        <v>360</v>
      </c>
      <c r="K379" s="891" t="str">
        <f t="shared" si="126"/>
        <v>September</v>
      </c>
      <c r="L379" s="888">
        <f t="shared" si="134"/>
        <v>2057</v>
      </c>
      <c r="M379" s="883">
        <f t="shared" si="127"/>
        <v>0</v>
      </c>
      <c r="N379" s="883">
        <f t="shared" ref="N379:N440" si="138">IF(AND($AR$39="Early Payoff",I379&gt;=$R$13),0,IF($I379&gt;$R$6,0,IF(AND($AQ$29&gt;=0,$I379&lt;=$AQ$29),0,IF(AND($AQ$27&gt;=0,$I379&lt;=$AQ$27),$Q379,IF(AND($S$4="Annual",$AQ$27&gt;=0,$AQ$29&gt;=0,$I379&gt;$AQ$27,$I379&gt;$AQ$29),PMT($L$7,($R$6-$AQ$27),$L$4),IF(AND($S$4="Bi-Annual",$AQ$27&gt;=0,$AQ$29&gt;=0,$I379&gt;$AQ$27,$I379&gt;$AQ$29),PMT($L$7/2,($R$6-$AQ$27),$L$4),IF(AND($S$4="Monthly",$AQ$27&gt;=0,$AQ$29&gt;=0,$I379&gt;$AQ$27,$I379&gt;$AQ$29),PMT($L$7/12,($R$6-$AQ$27),$L$4))))))))-O379</f>
        <v>0</v>
      </c>
      <c r="O379" s="1100"/>
      <c r="P379" s="883">
        <f t="shared" ref="P379:P440" si="139">IF(AND($AR$39="Early Payoff",I379&gt;=$R$13),0,IF($I379&gt;$R$6,0,IF(AND($AQ$29&gt;0,$I379&lt;=$AQ$29),0,+$N379-$Q379)))</f>
        <v>0</v>
      </c>
      <c r="Q379" s="884">
        <f t="shared" ref="Q379:Q440" si="140">IF(AND($AR$39="Early Payoff",I379&gt;=$R$13),0,IF($S$4="Annual",-$L$7*$T378*1,IF($S$4="Bi-Annual",(-$L$7/2)*$T378*1,IF($S$4="Monthly",(-$L$7/12)*$T378*1))))</f>
        <v>0</v>
      </c>
      <c r="R379" s="884">
        <f>IF(AND($AR$39="Early Payoff",I379&gt;=$R$13),0,IF($I379&lt;=$R$6,SUM($P$20:$P379),0))</f>
        <v>0</v>
      </c>
      <c r="S379" s="884">
        <f>IF(AND($AR$39="Early Payoff",I379&gt;=$R$13),0,IF($I379&lt;=$R$6,SUM($Q$20:$Q379),0))</f>
        <v>0</v>
      </c>
      <c r="T379" s="873">
        <f t="shared" si="130"/>
        <v>0</v>
      </c>
      <c r="U379" s="1110">
        <f t="shared" si="131"/>
        <v>0</v>
      </c>
      <c r="W379" s="1102">
        <f t="shared" si="121"/>
        <v>0</v>
      </c>
      <c r="X379" s="873">
        <f t="shared" si="122"/>
        <v>0</v>
      </c>
      <c r="Y379" s="873">
        <f t="shared" si="123"/>
        <v>0</v>
      </c>
      <c r="Z379" s="885">
        <f t="shared" si="124"/>
        <v>0</v>
      </c>
    </row>
    <row r="380" spans="2:26" s="278" customFormat="1" ht="13.5" x14ac:dyDescent="0.25">
      <c r="B380" s="1192">
        <f t="shared" si="132"/>
        <v>380</v>
      </c>
      <c r="C380" s="732">
        <f t="shared" si="116"/>
        <v>31</v>
      </c>
      <c r="D380" s="35">
        <f t="shared" si="117"/>
        <v>10</v>
      </c>
      <c r="E380" s="889">
        <f t="shared" si="137"/>
        <v>57649</v>
      </c>
      <c r="F380" s="822">
        <f t="shared" si="118"/>
        <v>10</v>
      </c>
      <c r="G380" s="126">
        <f t="shared" si="119"/>
        <v>0</v>
      </c>
      <c r="H380" s="1098">
        <f t="shared" si="136"/>
        <v>0</v>
      </c>
      <c r="I380" s="887">
        <f t="shared" si="133"/>
        <v>361</v>
      </c>
      <c r="J380" s="1099">
        <f t="shared" si="125"/>
        <v>361</v>
      </c>
      <c r="K380" s="891" t="str">
        <f t="shared" si="126"/>
        <v>October</v>
      </c>
      <c r="L380" s="888">
        <f t="shared" si="134"/>
        <v>2057</v>
      </c>
      <c r="M380" s="883">
        <f t="shared" si="127"/>
        <v>0</v>
      </c>
      <c r="N380" s="883">
        <f t="shared" si="138"/>
        <v>0</v>
      </c>
      <c r="O380" s="1100"/>
      <c r="P380" s="883">
        <f t="shared" si="139"/>
        <v>0</v>
      </c>
      <c r="Q380" s="884">
        <f t="shared" si="140"/>
        <v>0</v>
      </c>
      <c r="R380" s="884">
        <f>IF(AND($AR$39="Early Payoff",I380&gt;=$R$13),0,IF($I380&lt;=$R$6,SUM($P$20:$P380),0))</f>
        <v>0</v>
      </c>
      <c r="S380" s="884">
        <f>IF(AND($AR$39="Early Payoff",I380&gt;=$R$13),0,IF($I380&lt;=$R$6,SUM($Q$20:$Q380),0))</f>
        <v>0</v>
      </c>
      <c r="T380" s="873">
        <f t="shared" si="130"/>
        <v>0</v>
      </c>
      <c r="U380" s="1110">
        <f t="shared" si="131"/>
        <v>0</v>
      </c>
      <c r="W380" s="360"/>
      <c r="X380" s="360"/>
      <c r="Y380" s="360"/>
      <c r="Z380" s="360"/>
    </row>
    <row r="381" spans="2:26" s="278" customFormat="1" ht="13.5" x14ac:dyDescent="0.25">
      <c r="B381" s="1192">
        <f t="shared" si="132"/>
        <v>381</v>
      </c>
      <c r="C381" s="732">
        <f t="shared" si="116"/>
        <v>30</v>
      </c>
      <c r="D381" s="35">
        <f t="shared" si="117"/>
        <v>11</v>
      </c>
      <c r="E381" s="889">
        <f t="shared" si="137"/>
        <v>57679</v>
      </c>
      <c r="F381" s="822">
        <f t="shared" si="118"/>
        <v>11</v>
      </c>
      <c r="G381" s="126">
        <f t="shared" si="119"/>
        <v>0</v>
      </c>
      <c r="H381" s="1098">
        <f t="shared" si="136"/>
        <v>0</v>
      </c>
      <c r="I381" s="887">
        <f t="shared" si="133"/>
        <v>362</v>
      </c>
      <c r="J381" s="1099">
        <f t="shared" si="125"/>
        <v>362</v>
      </c>
      <c r="K381" s="891" t="str">
        <f t="shared" si="126"/>
        <v>November</v>
      </c>
      <c r="L381" s="888">
        <f t="shared" si="134"/>
        <v>2057</v>
      </c>
      <c r="M381" s="883">
        <f t="shared" si="127"/>
        <v>0</v>
      </c>
      <c r="N381" s="883">
        <f t="shared" si="138"/>
        <v>0</v>
      </c>
      <c r="O381" s="1100"/>
      <c r="P381" s="883">
        <f t="shared" si="139"/>
        <v>0</v>
      </c>
      <c r="Q381" s="884">
        <f t="shared" si="140"/>
        <v>0</v>
      </c>
      <c r="R381" s="884">
        <f>IF(AND($AR$39="Early Payoff",I381&gt;=$R$13),0,IF($I381&lt;=$R$6,SUM($P$20:$P381),0))</f>
        <v>0</v>
      </c>
      <c r="S381" s="884">
        <f>IF(AND($AR$39="Early Payoff",I381&gt;=$R$13),0,IF($I381&lt;=$R$6,SUM($Q$20:$Q381),0))</f>
        <v>0</v>
      </c>
      <c r="T381" s="873">
        <f t="shared" si="130"/>
        <v>0</v>
      </c>
      <c r="U381" s="1110">
        <f t="shared" si="131"/>
        <v>0</v>
      </c>
      <c r="W381" s="345"/>
      <c r="X381" s="345"/>
      <c r="Y381" s="345"/>
      <c r="Z381" s="345"/>
    </row>
    <row r="382" spans="2:26" s="278" customFormat="1" ht="13.5" x14ac:dyDescent="0.25">
      <c r="B382" s="1192">
        <f t="shared" si="132"/>
        <v>382</v>
      </c>
      <c r="C382" s="732">
        <f t="shared" si="116"/>
        <v>31</v>
      </c>
      <c r="D382" s="35">
        <f t="shared" si="117"/>
        <v>12</v>
      </c>
      <c r="E382" s="889">
        <f t="shared" si="137"/>
        <v>57710</v>
      </c>
      <c r="F382" s="822">
        <f t="shared" si="118"/>
        <v>12</v>
      </c>
      <c r="G382" s="126">
        <f t="shared" si="119"/>
        <v>1</v>
      </c>
      <c r="H382" s="1098">
        <f t="shared" si="136"/>
        <v>0</v>
      </c>
      <c r="I382" s="887">
        <f t="shared" si="133"/>
        <v>363</v>
      </c>
      <c r="J382" s="1099">
        <f t="shared" si="125"/>
        <v>363</v>
      </c>
      <c r="K382" s="891" t="str">
        <f t="shared" si="126"/>
        <v>December</v>
      </c>
      <c r="L382" s="888">
        <f t="shared" si="134"/>
        <v>2057</v>
      </c>
      <c r="M382" s="883">
        <f t="shared" si="127"/>
        <v>0</v>
      </c>
      <c r="N382" s="883">
        <f t="shared" si="138"/>
        <v>0</v>
      </c>
      <c r="O382" s="1100"/>
      <c r="P382" s="883">
        <f t="shared" si="139"/>
        <v>0</v>
      </c>
      <c r="Q382" s="884">
        <f t="shared" si="140"/>
        <v>0</v>
      </c>
      <c r="R382" s="884">
        <f>IF(AND($AR$39="Early Payoff",I382&gt;=$R$13),0,IF($I382&lt;=$R$6,SUM($P$20:$P382),0))</f>
        <v>0</v>
      </c>
      <c r="S382" s="884">
        <f>IF(AND($AR$39="Early Payoff",I382&gt;=$R$13),0,IF($I382&lt;=$R$6,SUM($Q$20:$Q382),0))</f>
        <v>0</v>
      </c>
      <c r="T382" s="873">
        <f t="shared" si="130"/>
        <v>0</v>
      </c>
      <c r="U382" s="1110">
        <f t="shared" si="131"/>
        <v>0</v>
      </c>
      <c r="W382" s="345"/>
      <c r="X382" s="345"/>
      <c r="Y382" s="345"/>
      <c r="Z382" s="345"/>
    </row>
    <row r="383" spans="2:26" s="278" customFormat="1" ht="13.5" x14ac:dyDescent="0.25">
      <c r="B383" s="1192">
        <f t="shared" si="132"/>
        <v>383</v>
      </c>
      <c r="C383" s="732">
        <f t="shared" si="116"/>
        <v>31</v>
      </c>
      <c r="D383" s="35">
        <f t="shared" si="117"/>
        <v>1</v>
      </c>
      <c r="E383" s="889">
        <f t="shared" si="137"/>
        <v>57741</v>
      </c>
      <c r="F383" s="822">
        <f t="shared" si="118"/>
        <v>1</v>
      </c>
      <c r="G383" s="126">
        <f t="shared" si="119"/>
        <v>0</v>
      </c>
      <c r="H383" s="1098">
        <f t="shared" si="136"/>
        <v>0</v>
      </c>
      <c r="I383" s="887">
        <f t="shared" si="133"/>
        <v>364</v>
      </c>
      <c r="J383" s="1099">
        <f t="shared" si="125"/>
        <v>364</v>
      </c>
      <c r="K383" s="891" t="str">
        <f t="shared" si="126"/>
        <v>January</v>
      </c>
      <c r="L383" s="888">
        <f t="shared" si="134"/>
        <v>2058</v>
      </c>
      <c r="M383" s="883">
        <f t="shared" si="127"/>
        <v>0</v>
      </c>
      <c r="N383" s="883">
        <f t="shared" si="138"/>
        <v>0</v>
      </c>
      <c r="O383" s="1100"/>
      <c r="P383" s="883">
        <f t="shared" si="139"/>
        <v>0</v>
      </c>
      <c r="Q383" s="884">
        <f t="shared" si="140"/>
        <v>0</v>
      </c>
      <c r="R383" s="884">
        <f>IF(AND($AR$39="Early Payoff",I383&gt;=$R$13),0,IF($I383&lt;=$R$6,SUM($P$20:$P383),0))</f>
        <v>0</v>
      </c>
      <c r="S383" s="884">
        <f>IF(AND($AR$39="Early Payoff",I383&gt;=$R$13),0,IF($I383&lt;=$R$6,SUM($Q$20:$Q383),0))</f>
        <v>0</v>
      </c>
      <c r="T383" s="873">
        <f t="shared" si="130"/>
        <v>0</v>
      </c>
      <c r="U383" s="1110">
        <f t="shared" si="131"/>
        <v>0</v>
      </c>
    </row>
    <row r="384" spans="2:26" s="278" customFormat="1" ht="13.5" x14ac:dyDescent="0.25">
      <c r="B384" s="1192">
        <f t="shared" si="132"/>
        <v>384</v>
      </c>
      <c r="C384" s="732">
        <f t="shared" si="116"/>
        <v>28</v>
      </c>
      <c r="D384" s="35">
        <f t="shared" si="117"/>
        <v>2</v>
      </c>
      <c r="E384" s="889">
        <f t="shared" si="137"/>
        <v>57769</v>
      </c>
      <c r="F384" s="822">
        <f t="shared" si="118"/>
        <v>2</v>
      </c>
      <c r="G384" s="126">
        <f t="shared" si="119"/>
        <v>0</v>
      </c>
      <c r="H384" s="1098">
        <f t="shared" si="136"/>
        <v>0</v>
      </c>
      <c r="I384" s="887">
        <f t="shared" si="133"/>
        <v>365</v>
      </c>
      <c r="J384" s="1099">
        <f t="shared" si="125"/>
        <v>365</v>
      </c>
      <c r="K384" s="891" t="str">
        <f t="shared" si="126"/>
        <v>February</v>
      </c>
      <c r="L384" s="888">
        <f t="shared" si="134"/>
        <v>2058</v>
      </c>
      <c r="M384" s="883">
        <f t="shared" si="127"/>
        <v>0</v>
      </c>
      <c r="N384" s="883">
        <f t="shared" si="138"/>
        <v>0</v>
      </c>
      <c r="O384" s="1100"/>
      <c r="P384" s="883">
        <f t="shared" si="139"/>
        <v>0</v>
      </c>
      <c r="Q384" s="884">
        <f t="shared" si="140"/>
        <v>0</v>
      </c>
      <c r="R384" s="884">
        <f>IF(AND($AR$39="Early Payoff",I384&gt;=$R$13),0,IF($I384&lt;=$R$6,SUM($P$20:$P384),0))</f>
        <v>0</v>
      </c>
      <c r="S384" s="884">
        <f>IF(AND($AR$39="Early Payoff",I384&gt;=$R$13),0,IF($I384&lt;=$R$6,SUM($Q$20:$Q384),0))</f>
        <v>0</v>
      </c>
      <c r="T384" s="873">
        <f t="shared" si="130"/>
        <v>0</v>
      </c>
      <c r="U384" s="1110">
        <f t="shared" si="131"/>
        <v>0</v>
      </c>
    </row>
    <row r="385" spans="2:21" s="278" customFormat="1" ht="13.5" x14ac:dyDescent="0.25">
      <c r="B385" s="1192">
        <f t="shared" si="132"/>
        <v>385</v>
      </c>
      <c r="C385" s="732">
        <f t="shared" si="116"/>
        <v>31</v>
      </c>
      <c r="D385" s="35">
        <f t="shared" si="117"/>
        <v>3</v>
      </c>
      <c r="E385" s="889">
        <f t="shared" si="137"/>
        <v>57800</v>
      </c>
      <c r="F385" s="822">
        <f t="shared" si="118"/>
        <v>3</v>
      </c>
      <c r="G385" s="126">
        <f t="shared" si="119"/>
        <v>0</v>
      </c>
      <c r="H385" s="1098">
        <f t="shared" si="136"/>
        <v>0</v>
      </c>
      <c r="I385" s="887">
        <f t="shared" si="133"/>
        <v>366</v>
      </c>
      <c r="J385" s="1099">
        <f t="shared" si="125"/>
        <v>366</v>
      </c>
      <c r="K385" s="891" t="str">
        <f t="shared" si="126"/>
        <v>March</v>
      </c>
      <c r="L385" s="888">
        <f t="shared" si="134"/>
        <v>2058</v>
      </c>
      <c r="M385" s="883">
        <f t="shared" si="127"/>
        <v>0</v>
      </c>
      <c r="N385" s="883">
        <f t="shared" si="138"/>
        <v>0</v>
      </c>
      <c r="O385" s="1100"/>
      <c r="P385" s="883">
        <f t="shared" si="139"/>
        <v>0</v>
      </c>
      <c r="Q385" s="884">
        <f t="shared" si="140"/>
        <v>0</v>
      </c>
      <c r="R385" s="884">
        <f>IF(AND($AR$39="Early Payoff",I385&gt;=$R$13),0,IF($I385&lt;=$R$6,SUM($P$20:$P385),0))</f>
        <v>0</v>
      </c>
      <c r="S385" s="884">
        <f>IF(AND($AR$39="Early Payoff",I385&gt;=$R$13),0,IF($I385&lt;=$R$6,SUM($Q$20:$Q385),0))</f>
        <v>0</v>
      </c>
      <c r="T385" s="873">
        <f t="shared" si="130"/>
        <v>0</v>
      </c>
      <c r="U385" s="1110">
        <f t="shared" si="131"/>
        <v>0</v>
      </c>
    </row>
    <row r="386" spans="2:21" s="278" customFormat="1" ht="13.5" x14ac:dyDescent="0.25">
      <c r="B386" s="1192">
        <f t="shared" si="132"/>
        <v>386</v>
      </c>
      <c r="C386" s="732">
        <f t="shared" si="116"/>
        <v>30</v>
      </c>
      <c r="D386" s="35">
        <f t="shared" si="117"/>
        <v>4</v>
      </c>
      <c r="E386" s="889">
        <f t="shared" si="137"/>
        <v>57830</v>
      </c>
      <c r="F386" s="822">
        <f t="shared" si="118"/>
        <v>4</v>
      </c>
      <c r="G386" s="126">
        <f t="shared" si="119"/>
        <v>0</v>
      </c>
      <c r="H386" s="1098">
        <f t="shared" si="136"/>
        <v>0</v>
      </c>
      <c r="I386" s="887">
        <f t="shared" si="133"/>
        <v>367</v>
      </c>
      <c r="J386" s="1099">
        <f t="shared" si="125"/>
        <v>367</v>
      </c>
      <c r="K386" s="891" t="str">
        <f t="shared" si="126"/>
        <v>April</v>
      </c>
      <c r="L386" s="888">
        <f t="shared" si="134"/>
        <v>2058</v>
      </c>
      <c r="M386" s="883">
        <f t="shared" si="127"/>
        <v>0</v>
      </c>
      <c r="N386" s="883">
        <f t="shared" si="138"/>
        <v>0</v>
      </c>
      <c r="O386" s="1100"/>
      <c r="P386" s="883">
        <f t="shared" si="139"/>
        <v>0</v>
      </c>
      <c r="Q386" s="884">
        <f t="shared" si="140"/>
        <v>0</v>
      </c>
      <c r="R386" s="884">
        <f>IF(AND($AR$39="Early Payoff",I386&gt;=$R$13),0,IF($I386&lt;=$R$6,SUM($P$20:$P386),0))</f>
        <v>0</v>
      </c>
      <c r="S386" s="884">
        <f>IF(AND($AR$39="Early Payoff",I386&gt;=$R$13),0,IF($I386&lt;=$R$6,SUM($Q$20:$Q386),0))</f>
        <v>0</v>
      </c>
      <c r="T386" s="873">
        <f t="shared" si="130"/>
        <v>0</v>
      </c>
      <c r="U386" s="1110">
        <f t="shared" si="131"/>
        <v>0</v>
      </c>
    </row>
    <row r="387" spans="2:21" s="278" customFormat="1" ht="13.5" x14ac:dyDescent="0.25">
      <c r="B387" s="1192">
        <f t="shared" si="132"/>
        <v>387</v>
      </c>
      <c r="C387" s="732">
        <f t="shared" si="116"/>
        <v>31</v>
      </c>
      <c r="D387" s="35">
        <f t="shared" si="117"/>
        <v>5</v>
      </c>
      <c r="E387" s="889">
        <f t="shared" si="137"/>
        <v>57861</v>
      </c>
      <c r="F387" s="822">
        <f t="shared" si="118"/>
        <v>5</v>
      </c>
      <c r="G387" s="126">
        <f t="shared" si="119"/>
        <v>0</v>
      </c>
      <c r="H387" s="1098">
        <f t="shared" si="136"/>
        <v>0</v>
      </c>
      <c r="I387" s="887">
        <f t="shared" si="133"/>
        <v>368</v>
      </c>
      <c r="J387" s="1099">
        <f t="shared" si="125"/>
        <v>368</v>
      </c>
      <c r="K387" s="891" t="str">
        <f t="shared" si="126"/>
        <v>May</v>
      </c>
      <c r="L387" s="888">
        <f t="shared" si="134"/>
        <v>2058</v>
      </c>
      <c r="M387" s="883">
        <f t="shared" si="127"/>
        <v>0</v>
      </c>
      <c r="N387" s="883">
        <f t="shared" si="138"/>
        <v>0</v>
      </c>
      <c r="O387" s="1100"/>
      <c r="P387" s="883">
        <f t="shared" si="139"/>
        <v>0</v>
      </c>
      <c r="Q387" s="884">
        <f t="shared" si="140"/>
        <v>0</v>
      </c>
      <c r="R387" s="884">
        <f>IF(AND($AR$39="Early Payoff",I387&gt;=$R$13),0,IF($I387&lt;=$R$6,SUM($P$20:$P387),0))</f>
        <v>0</v>
      </c>
      <c r="S387" s="884">
        <f>IF(AND($AR$39="Early Payoff",I387&gt;=$R$13),0,IF($I387&lt;=$R$6,SUM($Q$20:$Q387),0))</f>
        <v>0</v>
      </c>
      <c r="T387" s="873">
        <f t="shared" si="130"/>
        <v>0</v>
      </c>
      <c r="U387" s="1110">
        <f t="shared" si="131"/>
        <v>0</v>
      </c>
    </row>
    <row r="388" spans="2:21" s="278" customFormat="1" ht="13.5" x14ac:dyDescent="0.25">
      <c r="B388" s="1192">
        <f t="shared" si="132"/>
        <v>388</v>
      </c>
      <c r="C388" s="732">
        <f t="shared" si="116"/>
        <v>30</v>
      </c>
      <c r="D388" s="35">
        <f t="shared" si="117"/>
        <v>6</v>
      </c>
      <c r="E388" s="889">
        <f t="shared" si="137"/>
        <v>57891</v>
      </c>
      <c r="F388" s="822">
        <f t="shared" si="118"/>
        <v>6</v>
      </c>
      <c r="G388" s="126">
        <f t="shared" si="119"/>
        <v>0</v>
      </c>
      <c r="H388" s="1098">
        <f t="shared" si="136"/>
        <v>0</v>
      </c>
      <c r="I388" s="887">
        <f t="shared" si="133"/>
        <v>369</v>
      </c>
      <c r="J388" s="1099">
        <f t="shared" si="125"/>
        <v>369</v>
      </c>
      <c r="K388" s="891" t="str">
        <f t="shared" si="126"/>
        <v>June</v>
      </c>
      <c r="L388" s="888">
        <f t="shared" si="134"/>
        <v>2058</v>
      </c>
      <c r="M388" s="883">
        <f t="shared" si="127"/>
        <v>0</v>
      </c>
      <c r="N388" s="883">
        <f t="shared" si="138"/>
        <v>0</v>
      </c>
      <c r="O388" s="1100"/>
      <c r="P388" s="883">
        <f t="shared" si="139"/>
        <v>0</v>
      </c>
      <c r="Q388" s="884">
        <f t="shared" si="140"/>
        <v>0</v>
      </c>
      <c r="R388" s="884">
        <f>IF(AND($AR$39="Early Payoff",I388&gt;=$R$13),0,IF($I388&lt;=$R$6,SUM($P$20:$P388),0))</f>
        <v>0</v>
      </c>
      <c r="S388" s="884">
        <f>IF(AND($AR$39="Early Payoff",I388&gt;=$R$13),0,IF($I388&lt;=$R$6,SUM($Q$20:$Q388),0))</f>
        <v>0</v>
      </c>
      <c r="T388" s="873">
        <f t="shared" si="130"/>
        <v>0</v>
      </c>
      <c r="U388" s="1110">
        <f t="shared" si="131"/>
        <v>0</v>
      </c>
    </row>
    <row r="389" spans="2:21" s="278" customFormat="1" ht="13.5" x14ac:dyDescent="0.25">
      <c r="B389" s="1192">
        <f t="shared" si="132"/>
        <v>389</v>
      </c>
      <c r="C389" s="732">
        <f t="shared" si="116"/>
        <v>31</v>
      </c>
      <c r="D389" s="35">
        <f t="shared" si="117"/>
        <v>7</v>
      </c>
      <c r="E389" s="889">
        <f t="shared" si="137"/>
        <v>57922</v>
      </c>
      <c r="F389" s="822">
        <f t="shared" si="118"/>
        <v>7</v>
      </c>
      <c r="G389" s="126">
        <f t="shared" si="119"/>
        <v>0</v>
      </c>
      <c r="H389" s="1098">
        <f t="shared" si="136"/>
        <v>0</v>
      </c>
      <c r="I389" s="887">
        <f t="shared" si="133"/>
        <v>370</v>
      </c>
      <c r="J389" s="1099">
        <f t="shared" si="125"/>
        <v>370</v>
      </c>
      <c r="K389" s="891" t="str">
        <f t="shared" si="126"/>
        <v>July</v>
      </c>
      <c r="L389" s="888">
        <f t="shared" si="134"/>
        <v>2058</v>
      </c>
      <c r="M389" s="883">
        <f t="shared" si="127"/>
        <v>0</v>
      </c>
      <c r="N389" s="883">
        <f t="shared" si="138"/>
        <v>0</v>
      </c>
      <c r="O389" s="1100"/>
      <c r="P389" s="883">
        <f t="shared" si="139"/>
        <v>0</v>
      </c>
      <c r="Q389" s="884">
        <f t="shared" si="140"/>
        <v>0</v>
      </c>
      <c r="R389" s="884">
        <f>IF(AND($AR$39="Early Payoff",I389&gt;=$R$13),0,IF($I389&lt;=$R$6,SUM($P$20:$P389),0))</f>
        <v>0</v>
      </c>
      <c r="S389" s="884">
        <f>IF(AND($AR$39="Early Payoff",I389&gt;=$R$13),0,IF($I389&lt;=$R$6,SUM($Q$20:$Q389),0))</f>
        <v>0</v>
      </c>
      <c r="T389" s="873">
        <f t="shared" si="130"/>
        <v>0</v>
      </c>
      <c r="U389" s="1110">
        <f t="shared" si="131"/>
        <v>0</v>
      </c>
    </row>
    <row r="390" spans="2:21" s="278" customFormat="1" ht="13.5" x14ac:dyDescent="0.25">
      <c r="B390" s="1192">
        <f t="shared" si="132"/>
        <v>390</v>
      </c>
      <c r="C390" s="732">
        <f t="shared" si="116"/>
        <v>31</v>
      </c>
      <c r="D390" s="35">
        <f t="shared" si="117"/>
        <v>8</v>
      </c>
      <c r="E390" s="889">
        <f t="shared" si="137"/>
        <v>57953</v>
      </c>
      <c r="F390" s="822">
        <f t="shared" si="118"/>
        <v>8</v>
      </c>
      <c r="G390" s="126">
        <f t="shared" si="119"/>
        <v>0</v>
      </c>
      <c r="H390" s="1098">
        <f t="shared" si="136"/>
        <v>0</v>
      </c>
      <c r="I390" s="887">
        <f t="shared" si="133"/>
        <v>371</v>
      </c>
      <c r="J390" s="1099">
        <f t="shared" si="125"/>
        <v>371</v>
      </c>
      <c r="K390" s="891" t="str">
        <f t="shared" si="126"/>
        <v>August</v>
      </c>
      <c r="L390" s="888">
        <f t="shared" si="134"/>
        <v>2058</v>
      </c>
      <c r="M390" s="883">
        <f t="shared" si="127"/>
        <v>0</v>
      </c>
      <c r="N390" s="883">
        <f t="shared" si="138"/>
        <v>0</v>
      </c>
      <c r="O390" s="1100"/>
      <c r="P390" s="883">
        <f t="shared" si="139"/>
        <v>0</v>
      </c>
      <c r="Q390" s="884">
        <f t="shared" si="140"/>
        <v>0</v>
      </c>
      <c r="R390" s="884">
        <f>IF(AND($AR$39="Early Payoff",I390&gt;=$R$13),0,IF($I390&lt;=$R$6,SUM($P$20:$P390),0))</f>
        <v>0</v>
      </c>
      <c r="S390" s="884">
        <f>IF(AND($AR$39="Early Payoff",I390&gt;=$R$13),0,IF($I390&lt;=$R$6,SUM($Q$20:$Q390),0))</f>
        <v>0</v>
      </c>
      <c r="T390" s="873">
        <f t="shared" si="130"/>
        <v>0</v>
      </c>
      <c r="U390" s="1110">
        <f t="shared" si="131"/>
        <v>0</v>
      </c>
    </row>
    <row r="391" spans="2:21" s="278" customFormat="1" ht="13.5" x14ac:dyDescent="0.25">
      <c r="B391" s="1192">
        <f t="shared" si="132"/>
        <v>391</v>
      </c>
      <c r="C391" s="732">
        <f t="shared" si="116"/>
        <v>30</v>
      </c>
      <c r="D391" s="35">
        <f t="shared" si="117"/>
        <v>9</v>
      </c>
      <c r="E391" s="889">
        <f t="shared" si="137"/>
        <v>57983</v>
      </c>
      <c r="F391" s="822">
        <f t="shared" si="118"/>
        <v>9</v>
      </c>
      <c r="G391" s="126">
        <f t="shared" si="119"/>
        <v>0</v>
      </c>
      <c r="H391" s="1098">
        <f t="shared" si="136"/>
        <v>0</v>
      </c>
      <c r="I391" s="887">
        <f t="shared" si="133"/>
        <v>372</v>
      </c>
      <c r="J391" s="1099">
        <f t="shared" si="125"/>
        <v>372</v>
      </c>
      <c r="K391" s="891" t="str">
        <f t="shared" si="126"/>
        <v>September</v>
      </c>
      <c r="L391" s="888">
        <f t="shared" si="134"/>
        <v>2058</v>
      </c>
      <c r="M391" s="883">
        <f t="shared" si="127"/>
        <v>0</v>
      </c>
      <c r="N391" s="883">
        <f t="shared" si="138"/>
        <v>0</v>
      </c>
      <c r="O391" s="1100"/>
      <c r="P391" s="883">
        <f t="shared" si="139"/>
        <v>0</v>
      </c>
      <c r="Q391" s="884">
        <f t="shared" si="140"/>
        <v>0</v>
      </c>
      <c r="R391" s="884">
        <f>IF(AND($AR$39="Early Payoff",I391&gt;=$R$13),0,IF($I391&lt;=$R$6,SUM($P$20:$P391),0))</f>
        <v>0</v>
      </c>
      <c r="S391" s="884">
        <f>IF(AND($AR$39="Early Payoff",I391&gt;=$R$13),0,IF($I391&lt;=$R$6,SUM($Q$20:$Q391),0))</f>
        <v>0</v>
      </c>
      <c r="T391" s="873">
        <f t="shared" si="130"/>
        <v>0</v>
      </c>
      <c r="U391" s="1110">
        <f t="shared" si="131"/>
        <v>0</v>
      </c>
    </row>
    <row r="392" spans="2:21" s="278" customFormat="1" ht="13.5" x14ac:dyDescent="0.25">
      <c r="B392" s="1192">
        <f t="shared" si="132"/>
        <v>392</v>
      </c>
      <c r="C392" s="732">
        <f t="shared" si="116"/>
        <v>31</v>
      </c>
      <c r="D392" s="35">
        <f t="shared" si="117"/>
        <v>10</v>
      </c>
      <c r="E392" s="889">
        <f t="shared" si="137"/>
        <v>58014</v>
      </c>
      <c r="F392" s="822">
        <f t="shared" si="118"/>
        <v>10</v>
      </c>
      <c r="G392" s="126">
        <f t="shared" si="119"/>
        <v>0</v>
      </c>
      <c r="H392" s="1098">
        <f t="shared" si="136"/>
        <v>0</v>
      </c>
      <c r="I392" s="887">
        <f t="shared" si="133"/>
        <v>373</v>
      </c>
      <c r="J392" s="1099">
        <f t="shared" si="125"/>
        <v>373</v>
      </c>
      <c r="K392" s="891" t="str">
        <f t="shared" si="126"/>
        <v>October</v>
      </c>
      <c r="L392" s="888">
        <f t="shared" si="134"/>
        <v>2058</v>
      </c>
      <c r="M392" s="883">
        <f t="shared" si="127"/>
        <v>0</v>
      </c>
      <c r="N392" s="883">
        <f t="shared" si="138"/>
        <v>0</v>
      </c>
      <c r="O392" s="1100"/>
      <c r="P392" s="883">
        <f t="shared" si="139"/>
        <v>0</v>
      </c>
      <c r="Q392" s="884">
        <f t="shared" si="140"/>
        <v>0</v>
      </c>
      <c r="R392" s="884">
        <f>IF(AND($AR$39="Early Payoff",I392&gt;=$R$13),0,IF($I392&lt;=$R$6,SUM($P$20:$P392),0))</f>
        <v>0</v>
      </c>
      <c r="S392" s="884">
        <f>IF(AND($AR$39="Early Payoff",I392&gt;=$R$13),0,IF($I392&lt;=$R$6,SUM($Q$20:$Q392),0))</f>
        <v>0</v>
      </c>
      <c r="T392" s="873">
        <f t="shared" si="130"/>
        <v>0</v>
      </c>
      <c r="U392" s="1110">
        <f t="shared" si="131"/>
        <v>0</v>
      </c>
    </row>
    <row r="393" spans="2:21" s="278" customFormat="1" ht="13.5" x14ac:dyDescent="0.25">
      <c r="B393" s="1192">
        <f t="shared" si="132"/>
        <v>393</v>
      </c>
      <c r="C393" s="732">
        <f t="shared" si="116"/>
        <v>30</v>
      </c>
      <c r="D393" s="35">
        <f t="shared" si="117"/>
        <v>11</v>
      </c>
      <c r="E393" s="889">
        <f t="shared" si="137"/>
        <v>58044</v>
      </c>
      <c r="F393" s="822">
        <f t="shared" si="118"/>
        <v>11</v>
      </c>
      <c r="G393" s="126">
        <f t="shared" si="119"/>
        <v>0</v>
      </c>
      <c r="H393" s="1098">
        <f t="shared" si="136"/>
        <v>0</v>
      </c>
      <c r="I393" s="887">
        <f t="shared" si="133"/>
        <v>374</v>
      </c>
      <c r="J393" s="1099">
        <f t="shared" si="125"/>
        <v>374</v>
      </c>
      <c r="K393" s="891" t="str">
        <f t="shared" si="126"/>
        <v>November</v>
      </c>
      <c r="L393" s="888">
        <f t="shared" si="134"/>
        <v>2058</v>
      </c>
      <c r="M393" s="883">
        <f t="shared" si="127"/>
        <v>0</v>
      </c>
      <c r="N393" s="883">
        <f t="shared" si="138"/>
        <v>0</v>
      </c>
      <c r="O393" s="1100"/>
      <c r="P393" s="883">
        <f t="shared" si="139"/>
        <v>0</v>
      </c>
      <c r="Q393" s="884">
        <f t="shared" si="140"/>
        <v>0</v>
      </c>
      <c r="R393" s="884">
        <f>IF(AND($AR$39="Early Payoff",I393&gt;=$R$13),0,IF($I393&lt;=$R$6,SUM($P$20:$P393),0))</f>
        <v>0</v>
      </c>
      <c r="S393" s="884">
        <f>IF(AND($AR$39="Early Payoff",I393&gt;=$R$13),0,IF($I393&lt;=$R$6,SUM($Q$20:$Q393),0))</f>
        <v>0</v>
      </c>
      <c r="T393" s="873">
        <f t="shared" si="130"/>
        <v>0</v>
      </c>
      <c r="U393" s="1110">
        <f t="shared" si="131"/>
        <v>0</v>
      </c>
    </row>
    <row r="394" spans="2:21" s="278" customFormat="1" ht="13.5" x14ac:dyDescent="0.25">
      <c r="B394" s="1192">
        <f t="shared" si="132"/>
        <v>394</v>
      </c>
      <c r="C394" s="732">
        <f t="shared" si="116"/>
        <v>31</v>
      </c>
      <c r="D394" s="35">
        <f t="shared" si="117"/>
        <v>12</v>
      </c>
      <c r="E394" s="889">
        <f t="shared" si="137"/>
        <v>58075</v>
      </c>
      <c r="F394" s="822">
        <f t="shared" si="118"/>
        <v>12</v>
      </c>
      <c r="G394" s="126">
        <f t="shared" si="119"/>
        <v>1</v>
      </c>
      <c r="H394" s="1098">
        <f t="shared" si="136"/>
        <v>0</v>
      </c>
      <c r="I394" s="887">
        <f t="shared" si="133"/>
        <v>375</v>
      </c>
      <c r="J394" s="1099">
        <f t="shared" si="125"/>
        <v>375</v>
      </c>
      <c r="K394" s="891" t="str">
        <f t="shared" si="126"/>
        <v>December</v>
      </c>
      <c r="L394" s="888">
        <f t="shared" si="134"/>
        <v>2058</v>
      </c>
      <c r="M394" s="883">
        <f t="shared" si="127"/>
        <v>0</v>
      </c>
      <c r="N394" s="883">
        <f t="shared" si="138"/>
        <v>0</v>
      </c>
      <c r="O394" s="1100"/>
      <c r="P394" s="883">
        <f t="shared" si="139"/>
        <v>0</v>
      </c>
      <c r="Q394" s="884">
        <f t="shared" si="140"/>
        <v>0</v>
      </c>
      <c r="R394" s="884">
        <f>IF(AND($AR$39="Early Payoff",I394&gt;=$R$13),0,IF($I394&lt;=$R$6,SUM($P$20:$P394),0))</f>
        <v>0</v>
      </c>
      <c r="S394" s="884">
        <f>IF(AND($AR$39="Early Payoff",I394&gt;=$R$13),0,IF($I394&lt;=$R$6,SUM($Q$20:$Q394),0))</f>
        <v>0</v>
      </c>
      <c r="T394" s="873">
        <f t="shared" si="130"/>
        <v>0</v>
      </c>
      <c r="U394" s="1110">
        <f t="shared" si="131"/>
        <v>0</v>
      </c>
    </row>
    <row r="395" spans="2:21" s="278" customFormat="1" ht="13.5" x14ac:dyDescent="0.25">
      <c r="B395" s="1192">
        <f t="shared" si="132"/>
        <v>395</v>
      </c>
      <c r="C395" s="732">
        <f t="shared" si="116"/>
        <v>31</v>
      </c>
      <c r="D395" s="35">
        <f t="shared" si="117"/>
        <v>1</v>
      </c>
      <c r="E395" s="889">
        <f t="shared" si="137"/>
        <v>58106</v>
      </c>
      <c r="F395" s="822">
        <f t="shared" si="118"/>
        <v>1</v>
      </c>
      <c r="G395" s="126">
        <f t="shared" si="119"/>
        <v>0</v>
      </c>
      <c r="H395" s="1098">
        <f t="shared" si="136"/>
        <v>0</v>
      </c>
      <c r="I395" s="887">
        <f t="shared" si="133"/>
        <v>376</v>
      </c>
      <c r="J395" s="1099">
        <f t="shared" si="125"/>
        <v>376</v>
      </c>
      <c r="K395" s="891" t="str">
        <f t="shared" si="126"/>
        <v>January</v>
      </c>
      <c r="L395" s="888">
        <f t="shared" si="134"/>
        <v>2059</v>
      </c>
      <c r="M395" s="883">
        <f t="shared" si="127"/>
        <v>0</v>
      </c>
      <c r="N395" s="883">
        <f t="shared" si="138"/>
        <v>0</v>
      </c>
      <c r="O395" s="1100"/>
      <c r="P395" s="883">
        <f t="shared" si="139"/>
        <v>0</v>
      </c>
      <c r="Q395" s="884">
        <f t="shared" si="140"/>
        <v>0</v>
      </c>
      <c r="R395" s="884">
        <f>IF(AND($AR$39="Early Payoff",I395&gt;=$R$13),0,IF($I395&lt;=$R$6,SUM($P$20:$P395),0))</f>
        <v>0</v>
      </c>
      <c r="S395" s="884">
        <f>IF(AND($AR$39="Early Payoff",I395&gt;=$R$13),0,IF($I395&lt;=$R$6,SUM($Q$20:$Q395),0))</f>
        <v>0</v>
      </c>
      <c r="T395" s="873">
        <f t="shared" si="130"/>
        <v>0</v>
      </c>
      <c r="U395" s="1110">
        <f t="shared" si="131"/>
        <v>0</v>
      </c>
    </row>
    <row r="396" spans="2:21" s="278" customFormat="1" ht="13.5" x14ac:dyDescent="0.25">
      <c r="B396" s="1192">
        <f t="shared" si="132"/>
        <v>396</v>
      </c>
      <c r="C396" s="732">
        <f t="shared" si="116"/>
        <v>28</v>
      </c>
      <c r="D396" s="35">
        <f t="shared" si="117"/>
        <v>2</v>
      </c>
      <c r="E396" s="889">
        <f t="shared" si="137"/>
        <v>58134</v>
      </c>
      <c r="F396" s="822">
        <f t="shared" si="118"/>
        <v>2</v>
      </c>
      <c r="G396" s="126">
        <f t="shared" si="119"/>
        <v>0</v>
      </c>
      <c r="H396" s="1098">
        <f t="shared" si="136"/>
        <v>0</v>
      </c>
      <c r="I396" s="887">
        <f t="shared" si="133"/>
        <v>377</v>
      </c>
      <c r="J396" s="1099">
        <f t="shared" si="125"/>
        <v>377</v>
      </c>
      <c r="K396" s="891" t="str">
        <f t="shared" si="126"/>
        <v>February</v>
      </c>
      <c r="L396" s="888">
        <f t="shared" si="134"/>
        <v>2059</v>
      </c>
      <c r="M396" s="883">
        <f t="shared" si="127"/>
        <v>0</v>
      </c>
      <c r="N396" s="883">
        <f t="shared" si="138"/>
        <v>0</v>
      </c>
      <c r="O396" s="1100"/>
      <c r="P396" s="883">
        <f t="shared" si="139"/>
        <v>0</v>
      </c>
      <c r="Q396" s="884">
        <f t="shared" si="140"/>
        <v>0</v>
      </c>
      <c r="R396" s="884">
        <f>IF(AND($AR$39="Early Payoff",I396&gt;=$R$13),0,IF($I396&lt;=$R$6,SUM($P$20:$P396),0))</f>
        <v>0</v>
      </c>
      <c r="S396" s="884">
        <f>IF(AND($AR$39="Early Payoff",I396&gt;=$R$13),0,IF($I396&lt;=$R$6,SUM($Q$20:$Q396),0))</f>
        <v>0</v>
      </c>
      <c r="T396" s="873">
        <f t="shared" si="130"/>
        <v>0</v>
      </c>
      <c r="U396" s="1110">
        <f t="shared" si="131"/>
        <v>0</v>
      </c>
    </row>
    <row r="397" spans="2:21" s="278" customFormat="1" ht="13.5" x14ac:dyDescent="0.25">
      <c r="B397" s="1192">
        <f t="shared" si="132"/>
        <v>397</v>
      </c>
      <c r="C397" s="732">
        <f t="shared" si="116"/>
        <v>31</v>
      </c>
      <c r="D397" s="35">
        <f t="shared" si="117"/>
        <v>3</v>
      </c>
      <c r="E397" s="889">
        <f t="shared" si="137"/>
        <v>58165</v>
      </c>
      <c r="F397" s="822">
        <f t="shared" si="118"/>
        <v>3</v>
      </c>
      <c r="G397" s="126">
        <f t="shared" si="119"/>
        <v>0</v>
      </c>
      <c r="H397" s="1098">
        <f t="shared" si="136"/>
        <v>0</v>
      </c>
      <c r="I397" s="887">
        <f t="shared" si="133"/>
        <v>378</v>
      </c>
      <c r="J397" s="1099">
        <f t="shared" si="125"/>
        <v>378</v>
      </c>
      <c r="K397" s="891" t="str">
        <f t="shared" si="126"/>
        <v>March</v>
      </c>
      <c r="L397" s="888">
        <f t="shared" si="134"/>
        <v>2059</v>
      </c>
      <c r="M397" s="883">
        <f t="shared" si="127"/>
        <v>0</v>
      </c>
      <c r="N397" s="883">
        <f t="shared" si="138"/>
        <v>0</v>
      </c>
      <c r="O397" s="1100"/>
      <c r="P397" s="883">
        <f t="shared" si="139"/>
        <v>0</v>
      </c>
      <c r="Q397" s="884">
        <f t="shared" si="140"/>
        <v>0</v>
      </c>
      <c r="R397" s="884">
        <f>IF(AND($AR$39="Early Payoff",I397&gt;=$R$13),0,IF($I397&lt;=$R$6,SUM($P$20:$P397),0))</f>
        <v>0</v>
      </c>
      <c r="S397" s="884">
        <f>IF(AND($AR$39="Early Payoff",I397&gt;=$R$13),0,IF($I397&lt;=$R$6,SUM($Q$20:$Q397),0))</f>
        <v>0</v>
      </c>
      <c r="T397" s="873">
        <f t="shared" si="130"/>
        <v>0</v>
      </c>
      <c r="U397" s="1110">
        <f t="shared" si="131"/>
        <v>0</v>
      </c>
    </row>
    <row r="398" spans="2:21" ht="13.5" x14ac:dyDescent="0.25">
      <c r="B398" s="1192">
        <f t="shared" si="132"/>
        <v>398</v>
      </c>
      <c r="C398" s="732">
        <f t="shared" si="116"/>
        <v>30</v>
      </c>
      <c r="D398" s="35">
        <f t="shared" si="117"/>
        <v>4</v>
      </c>
      <c r="E398" s="889">
        <f t="shared" si="137"/>
        <v>58195</v>
      </c>
      <c r="F398" s="822">
        <f t="shared" si="118"/>
        <v>4</v>
      </c>
      <c r="G398" s="126">
        <f t="shared" si="119"/>
        <v>0</v>
      </c>
      <c r="H398" s="1098">
        <f t="shared" si="136"/>
        <v>0</v>
      </c>
      <c r="I398" s="887">
        <f t="shared" si="133"/>
        <v>379</v>
      </c>
      <c r="J398" s="1099">
        <f t="shared" si="125"/>
        <v>379</v>
      </c>
      <c r="K398" s="891" t="str">
        <f t="shared" si="126"/>
        <v>April</v>
      </c>
      <c r="L398" s="888">
        <f t="shared" si="134"/>
        <v>2059</v>
      </c>
      <c r="M398" s="883">
        <f t="shared" si="127"/>
        <v>0</v>
      </c>
      <c r="N398" s="883">
        <f t="shared" si="138"/>
        <v>0</v>
      </c>
      <c r="O398" s="1100"/>
      <c r="P398" s="883">
        <f t="shared" si="139"/>
        <v>0</v>
      </c>
      <c r="Q398" s="884">
        <f t="shared" si="140"/>
        <v>0</v>
      </c>
      <c r="R398" s="884">
        <f>IF(AND($AR$39="Early Payoff",I398&gt;=$R$13),0,IF($I398&lt;=$R$6,SUM($P$20:$P398),0))</f>
        <v>0</v>
      </c>
      <c r="S398" s="884">
        <f>IF(AND($AR$39="Early Payoff",I398&gt;=$R$13),0,IF($I398&lt;=$R$6,SUM($Q$20:$Q398),0))</f>
        <v>0</v>
      </c>
      <c r="T398" s="873">
        <f t="shared" si="130"/>
        <v>0</v>
      </c>
      <c r="U398" s="1110">
        <f t="shared" si="131"/>
        <v>0</v>
      </c>
    </row>
    <row r="399" spans="2:21" ht="13.5" x14ac:dyDescent="0.25">
      <c r="B399" s="1192">
        <f t="shared" si="132"/>
        <v>399</v>
      </c>
      <c r="C399" s="732">
        <f t="shared" si="116"/>
        <v>31</v>
      </c>
      <c r="D399" s="35">
        <f t="shared" si="117"/>
        <v>5</v>
      </c>
      <c r="E399" s="889">
        <f t="shared" si="137"/>
        <v>58226</v>
      </c>
      <c r="F399" s="822">
        <f t="shared" si="118"/>
        <v>5</v>
      </c>
      <c r="G399" s="126">
        <f t="shared" si="119"/>
        <v>0</v>
      </c>
      <c r="H399" s="1098">
        <f t="shared" si="136"/>
        <v>0</v>
      </c>
      <c r="I399" s="887">
        <f t="shared" si="133"/>
        <v>380</v>
      </c>
      <c r="J399" s="1099">
        <f t="shared" si="125"/>
        <v>380</v>
      </c>
      <c r="K399" s="891" t="str">
        <f t="shared" si="126"/>
        <v>May</v>
      </c>
      <c r="L399" s="888">
        <f t="shared" si="134"/>
        <v>2059</v>
      </c>
      <c r="M399" s="883">
        <f t="shared" si="127"/>
        <v>0</v>
      </c>
      <c r="N399" s="883">
        <f t="shared" si="138"/>
        <v>0</v>
      </c>
      <c r="O399" s="1100"/>
      <c r="P399" s="883">
        <f t="shared" si="139"/>
        <v>0</v>
      </c>
      <c r="Q399" s="884">
        <f t="shared" si="140"/>
        <v>0</v>
      </c>
      <c r="R399" s="884">
        <f>IF(AND($AR$39="Early Payoff",I399&gt;=$R$13),0,IF($I399&lt;=$R$6,SUM($P$20:$P399),0))</f>
        <v>0</v>
      </c>
      <c r="S399" s="884">
        <f>IF(AND($AR$39="Early Payoff",I399&gt;=$R$13),0,IF($I399&lt;=$R$6,SUM($Q$20:$Q399),0))</f>
        <v>0</v>
      </c>
      <c r="T399" s="873">
        <f t="shared" si="130"/>
        <v>0</v>
      </c>
      <c r="U399" s="1110">
        <f t="shared" si="131"/>
        <v>0</v>
      </c>
    </row>
    <row r="400" spans="2:21" ht="13.5" x14ac:dyDescent="0.25">
      <c r="B400" s="1192">
        <f t="shared" si="132"/>
        <v>400</v>
      </c>
      <c r="C400" s="732">
        <f t="shared" si="116"/>
        <v>30</v>
      </c>
      <c r="D400" s="35">
        <f t="shared" si="117"/>
        <v>6</v>
      </c>
      <c r="E400" s="889">
        <f t="shared" si="137"/>
        <v>58256</v>
      </c>
      <c r="F400" s="822">
        <f t="shared" si="118"/>
        <v>6</v>
      </c>
      <c r="G400" s="126">
        <f t="shared" si="119"/>
        <v>0</v>
      </c>
      <c r="H400" s="1098">
        <f t="shared" si="136"/>
        <v>0</v>
      </c>
      <c r="I400" s="887">
        <f t="shared" si="133"/>
        <v>381</v>
      </c>
      <c r="J400" s="1099">
        <f t="shared" si="125"/>
        <v>381</v>
      </c>
      <c r="K400" s="891" t="str">
        <f t="shared" si="126"/>
        <v>June</v>
      </c>
      <c r="L400" s="888">
        <f t="shared" si="134"/>
        <v>2059</v>
      </c>
      <c r="M400" s="883">
        <f t="shared" si="127"/>
        <v>0</v>
      </c>
      <c r="N400" s="883">
        <f t="shared" si="138"/>
        <v>0</v>
      </c>
      <c r="O400" s="1100"/>
      <c r="P400" s="883">
        <f t="shared" si="139"/>
        <v>0</v>
      </c>
      <c r="Q400" s="884">
        <f>IF(AND($AR$39="Early Payoff",I400&gt;=$R$13),0,IF($S$4="Annual",-$L$7*$T399*1,IF($S$4="Bi-Annual",(-$L$7/2)*$T399*1,IF($S$4="Monthly",(-$L$7/12)*$T399*1))))</f>
        <v>0</v>
      </c>
      <c r="R400" s="884">
        <f>IF(AND($AR$39="Early Payoff",I400&gt;=$R$13),0,IF($I400&lt;=$R$6,SUM($P$20:$P400),0))</f>
        <v>0</v>
      </c>
      <c r="S400" s="884">
        <f>IF(AND($AR$39="Early Payoff",I400&gt;=$R$13),0,IF($I400&lt;=$R$6,SUM($Q$20:$Q400),0))</f>
        <v>0</v>
      </c>
      <c r="T400" s="873">
        <f t="shared" si="130"/>
        <v>0</v>
      </c>
      <c r="U400" s="1110">
        <f t="shared" si="131"/>
        <v>0</v>
      </c>
    </row>
    <row r="401" spans="1:49" ht="13.5" x14ac:dyDescent="0.25">
      <c r="B401" s="1192">
        <f t="shared" si="132"/>
        <v>401</v>
      </c>
      <c r="C401" s="732">
        <f t="shared" si="116"/>
        <v>31</v>
      </c>
      <c r="D401" s="35">
        <f t="shared" si="117"/>
        <v>7</v>
      </c>
      <c r="E401" s="889">
        <f t="shared" si="137"/>
        <v>58287</v>
      </c>
      <c r="F401" s="822">
        <f t="shared" si="118"/>
        <v>7</v>
      </c>
      <c r="G401" s="126">
        <f t="shared" si="119"/>
        <v>0</v>
      </c>
      <c r="H401" s="1098">
        <f t="shared" si="136"/>
        <v>0</v>
      </c>
      <c r="I401" s="887">
        <f t="shared" si="133"/>
        <v>382</v>
      </c>
      <c r="J401" s="1099">
        <f t="shared" si="125"/>
        <v>382</v>
      </c>
      <c r="K401" s="891" t="str">
        <f t="shared" si="126"/>
        <v>July</v>
      </c>
      <c r="L401" s="888">
        <f t="shared" si="134"/>
        <v>2059</v>
      </c>
      <c r="M401" s="883">
        <f t="shared" si="127"/>
        <v>0</v>
      </c>
      <c r="N401" s="883">
        <f t="shared" si="138"/>
        <v>0</v>
      </c>
      <c r="O401" s="1100"/>
      <c r="P401" s="883">
        <f t="shared" si="139"/>
        <v>0</v>
      </c>
      <c r="Q401" s="884">
        <f t="shared" si="140"/>
        <v>0</v>
      </c>
      <c r="R401" s="884">
        <f>IF(AND($AR$39="Early Payoff",I401&gt;=$R$13),0,IF($I401&lt;=$R$6,SUM($P$20:$P401),0))</f>
        <v>0</v>
      </c>
      <c r="S401" s="884">
        <f>IF(AND($AR$39="Early Payoff",I401&gt;=$R$13),0,IF($I401&lt;=$R$6,SUM($Q$20:$Q401),0))</f>
        <v>0</v>
      </c>
      <c r="T401" s="873">
        <f t="shared" si="130"/>
        <v>0</v>
      </c>
      <c r="U401" s="1110">
        <f t="shared" si="131"/>
        <v>0</v>
      </c>
    </row>
    <row r="402" spans="1:49" ht="13.5" x14ac:dyDescent="0.25">
      <c r="B402" s="1192">
        <f t="shared" si="132"/>
        <v>402</v>
      </c>
      <c r="C402" s="732">
        <f t="shared" si="116"/>
        <v>31</v>
      </c>
      <c r="D402" s="35">
        <f t="shared" si="117"/>
        <v>8</v>
      </c>
      <c r="E402" s="889">
        <f t="shared" si="137"/>
        <v>58318</v>
      </c>
      <c r="F402" s="822">
        <f t="shared" si="118"/>
        <v>8</v>
      </c>
      <c r="G402" s="126">
        <f t="shared" si="119"/>
        <v>0</v>
      </c>
      <c r="H402" s="1098">
        <f t="shared" si="136"/>
        <v>0</v>
      </c>
      <c r="I402" s="887">
        <f t="shared" si="133"/>
        <v>383</v>
      </c>
      <c r="J402" s="1099">
        <f t="shared" si="125"/>
        <v>383</v>
      </c>
      <c r="K402" s="891" t="str">
        <f t="shared" si="126"/>
        <v>August</v>
      </c>
      <c r="L402" s="888">
        <f t="shared" si="134"/>
        <v>2059</v>
      </c>
      <c r="M402" s="883">
        <f t="shared" si="127"/>
        <v>0</v>
      </c>
      <c r="N402" s="883">
        <f t="shared" si="138"/>
        <v>0</v>
      </c>
      <c r="O402" s="1100"/>
      <c r="P402" s="883">
        <f t="shared" si="139"/>
        <v>0</v>
      </c>
      <c r="Q402" s="884">
        <f t="shared" si="140"/>
        <v>0</v>
      </c>
      <c r="R402" s="884">
        <f>IF(AND($AR$39="Early Payoff",I402&gt;=$R$13),0,IF($I402&lt;=$R$6,SUM($P$20:$P402),0))</f>
        <v>0</v>
      </c>
      <c r="S402" s="884">
        <f>IF(AND($AR$39="Early Payoff",I402&gt;=$R$13),0,IF($I402&lt;=$R$6,SUM($Q$20:$Q402),0))</f>
        <v>0</v>
      </c>
      <c r="T402" s="873">
        <f t="shared" si="130"/>
        <v>0</v>
      </c>
      <c r="U402" s="1110">
        <f t="shared" si="131"/>
        <v>0</v>
      </c>
    </row>
    <row r="403" spans="1:49" ht="13.5" x14ac:dyDescent="0.25">
      <c r="B403" s="1192">
        <f t="shared" si="132"/>
        <v>403</v>
      </c>
      <c r="C403" s="732">
        <f t="shared" si="116"/>
        <v>30</v>
      </c>
      <c r="D403" s="35">
        <f t="shared" si="117"/>
        <v>9</v>
      </c>
      <c r="E403" s="889">
        <f t="shared" si="137"/>
        <v>58348</v>
      </c>
      <c r="F403" s="822">
        <f t="shared" si="118"/>
        <v>9</v>
      </c>
      <c r="G403" s="126">
        <f t="shared" si="119"/>
        <v>0</v>
      </c>
      <c r="H403" s="1098">
        <f t="shared" si="136"/>
        <v>0</v>
      </c>
      <c r="I403" s="887">
        <f t="shared" si="133"/>
        <v>384</v>
      </c>
      <c r="J403" s="1099">
        <f t="shared" si="125"/>
        <v>384</v>
      </c>
      <c r="K403" s="891" t="str">
        <f t="shared" si="126"/>
        <v>September</v>
      </c>
      <c r="L403" s="888">
        <f t="shared" si="134"/>
        <v>2059</v>
      </c>
      <c r="M403" s="883">
        <f t="shared" si="127"/>
        <v>0</v>
      </c>
      <c r="N403" s="883">
        <f t="shared" si="138"/>
        <v>0</v>
      </c>
      <c r="O403" s="1100"/>
      <c r="P403" s="883">
        <f t="shared" si="139"/>
        <v>0</v>
      </c>
      <c r="Q403" s="884">
        <f t="shared" si="140"/>
        <v>0</v>
      </c>
      <c r="R403" s="884">
        <f>IF(AND($AR$39="Early Payoff",I403&gt;=$R$13),0,IF($I403&lt;=$R$6,SUM($P$20:$P403),0))</f>
        <v>0</v>
      </c>
      <c r="S403" s="884">
        <f>IF(AND($AR$39="Early Payoff",I403&gt;=$R$13),0,IF($I403&lt;=$R$6,SUM($Q$20:$Q403),0))</f>
        <v>0</v>
      </c>
      <c r="T403" s="873">
        <f t="shared" si="130"/>
        <v>0</v>
      </c>
      <c r="U403" s="1110">
        <f t="shared" si="131"/>
        <v>0</v>
      </c>
    </row>
    <row r="404" spans="1:49" ht="13.5" x14ac:dyDescent="0.25">
      <c r="B404" s="1192">
        <f t="shared" si="132"/>
        <v>404</v>
      </c>
      <c r="C404" s="732">
        <f t="shared" ref="C404:C440" si="141">DAY(EOMONTH(DATE($L404,$D404,1),0))</f>
        <v>31</v>
      </c>
      <c r="D404" s="35">
        <f t="shared" ref="D404:D440" si="142">INDEX($AS$22:$AT$34,MATCH($K404,$AS$22:$AS$34,0),MATCH("Number",$AS$22:$AT$22,0))</f>
        <v>10</v>
      </c>
      <c r="E404" s="889">
        <f t="shared" si="137"/>
        <v>58379</v>
      </c>
      <c r="F404" s="822">
        <f t="shared" ref="F404:F440" si="143">INDEX($AS$22:$AT$34,MATCH($K404,$AS$22:$AS$34,0),MATCH("Number",$AS$22:$AT$22,0))</f>
        <v>10</v>
      </c>
      <c r="G404" s="126">
        <f t="shared" ref="G404:G440" si="144">IF($S$4="Monthly",INDEX($AS$36:$AT$48,MATCH($K404,$AS$36:$AS$48,0),MATCH("Number",$AS$36:$AT$36,0)),0)</f>
        <v>0</v>
      </c>
      <c r="H404" s="1098">
        <f t="shared" si="136"/>
        <v>0</v>
      </c>
      <c r="I404" s="887">
        <f t="shared" si="133"/>
        <v>385</v>
      </c>
      <c r="J404" s="1099">
        <f t="shared" si="125"/>
        <v>385</v>
      </c>
      <c r="K404" s="891" t="str">
        <f t="shared" si="126"/>
        <v>October</v>
      </c>
      <c r="L404" s="888">
        <f t="shared" si="134"/>
        <v>2059</v>
      </c>
      <c r="M404" s="883">
        <f t="shared" si="127"/>
        <v>0</v>
      </c>
      <c r="N404" s="883">
        <f t="shared" si="138"/>
        <v>0</v>
      </c>
      <c r="O404" s="1100"/>
      <c r="P404" s="883">
        <f t="shared" si="139"/>
        <v>0</v>
      </c>
      <c r="Q404" s="884">
        <f t="shared" si="140"/>
        <v>0</v>
      </c>
      <c r="R404" s="884">
        <f>IF(AND($AR$39="Early Payoff",I404&gt;=$R$13),0,IF($I404&lt;=$R$6,SUM($P$20:$P404),0))</f>
        <v>0</v>
      </c>
      <c r="S404" s="884">
        <f>IF(AND($AR$39="Early Payoff",I404&gt;=$R$13),0,IF($I404&lt;=$R$6,SUM($Q$20:$Q404),0))</f>
        <v>0</v>
      </c>
      <c r="T404" s="873">
        <f t="shared" si="130"/>
        <v>0</v>
      </c>
      <c r="U404" s="1110">
        <f t="shared" si="131"/>
        <v>0</v>
      </c>
    </row>
    <row r="405" spans="1:49" s="22" customFormat="1" ht="13.5" x14ac:dyDescent="0.25">
      <c r="A405" s="1"/>
      <c r="B405" s="1192">
        <f t="shared" si="132"/>
        <v>405</v>
      </c>
      <c r="C405" s="732">
        <f t="shared" si="141"/>
        <v>30</v>
      </c>
      <c r="D405" s="35">
        <f t="shared" si="142"/>
        <v>11</v>
      </c>
      <c r="E405" s="889">
        <f t="shared" si="137"/>
        <v>58409</v>
      </c>
      <c r="F405" s="822">
        <f t="shared" si="143"/>
        <v>11</v>
      </c>
      <c r="G405" s="126">
        <f t="shared" si="144"/>
        <v>0</v>
      </c>
      <c r="H405" s="1098">
        <f t="shared" si="136"/>
        <v>0</v>
      </c>
      <c r="I405" s="887">
        <f t="shared" si="133"/>
        <v>386</v>
      </c>
      <c r="J405" s="1099">
        <f t="shared" ref="J405:J440" si="145">IF($I405&lt;=$AQ$29,0,IF($I404&gt;=$AQ$29,$J404+1))</f>
        <v>386</v>
      </c>
      <c r="K405" s="891" t="str">
        <f t="shared" ref="K405:K440" si="146">IF($S$4="Annual",$Q$5,IF(AND($S$4="Bi-Annual",$F404&lt;MAX($Q$4,$R$4)),INDEX($AT$22:$AU$34,MATCH(MAX($Q$4,$R$4),$AT$22:$AT$34,0),MATCH("Month",$AT$22:$AU$22,0)),IF(AND($S$4="Bi-Annual",$F404=MAX($Q$4,$R$4)),INDEX($AT$22:$AU$34,MATCH(MIN($Q$4,$R$4),$AT$22:$AT$34,0),MATCH("Month",$AT$22:$AU$22,0)),IF(AND($S$4="Monthly",$F404&lt;12),INDEX($AT$22:$AU$34,MATCH($F404+1,$AT$22:$AT$34,0),MATCH("Month",$AT$22:$AU$22,0)),IF(AND($S$4="Monthly",$F404=12),INDEX($AT$22:$AU$34,MATCH($F404-11,$AT$22:$AT$34,0),MATCH("Month",$AT$22:$AU$22,0)))))))</f>
        <v>November</v>
      </c>
      <c r="L405" s="888">
        <f t="shared" si="134"/>
        <v>2059</v>
      </c>
      <c r="M405" s="883">
        <f t="shared" ref="M405:M440" si="147">IF(AND($AR$39="Early Payoff",$I405&gt;$R$13),0,IF(AND($AR$39="Early Payoff",$I405&lt;$R$13),$T404,IF($I405&gt;$R$6,0,$T404)))</f>
        <v>0</v>
      </c>
      <c r="N405" s="883">
        <f t="shared" si="138"/>
        <v>0</v>
      </c>
      <c r="O405" s="1100"/>
      <c r="P405" s="883">
        <f t="shared" si="139"/>
        <v>0</v>
      </c>
      <c r="Q405" s="884">
        <f t="shared" si="140"/>
        <v>0</v>
      </c>
      <c r="R405" s="884">
        <f>IF(AND($AR$39="Early Payoff",I405&gt;=$R$13),0,IF($I405&lt;=$R$6,SUM($P$20:$P405),0))</f>
        <v>0</v>
      </c>
      <c r="S405" s="884">
        <f>IF(AND($AR$39="Early Payoff",I405&gt;=$R$13),0,IF($I405&lt;=$R$6,SUM($Q$20:$Q405),0))</f>
        <v>0</v>
      </c>
      <c r="T405" s="873">
        <f t="shared" ref="T405:T440" si="148">IF($J405&lt;=$R$13,SUM($M405,$P405),0)</f>
        <v>0</v>
      </c>
      <c r="U405" s="1110">
        <f t="shared" ref="U405:U440" si="149">IF($S$4="Monthly",$M405,IF(AND(OR($S$4="Annual",$S$4="Bi-Annual"),$I405=$AQ$49),INDEX($I$19:$T$379,MATCH($AQ$49,$I$19:$I$2379,0),MATCH($T$19,$I$19:$T$19,0)),IF(AND(OR($S$4="Annual",$S$4="Bi-Annual"),$I405&lt;=$AQ$49),$M405,0)))</f>
        <v>0</v>
      </c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</row>
    <row r="406" spans="1:49" s="22" customFormat="1" ht="13.5" x14ac:dyDescent="0.25">
      <c r="A406" s="1"/>
      <c r="B406" s="1192">
        <f t="shared" ref="B406:B440" si="150">B405+1</f>
        <v>406</v>
      </c>
      <c r="C406" s="732">
        <f t="shared" si="141"/>
        <v>31</v>
      </c>
      <c r="D406" s="35">
        <f t="shared" si="142"/>
        <v>12</v>
      </c>
      <c r="E406" s="889">
        <f t="shared" si="137"/>
        <v>58440</v>
      </c>
      <c r="F406" s="822">
        <f t="shared" si="143"/>
        <v>12</v>
      </c>
      <c r="G406" s="126">
        <f t="shared" si="144"/>
        <v>1</v>
      </c>
      <c r="H406" s="1098">
        <f t="shared" si="136"/>
        <v>0</v>
      </c>
      <c r="I406" s="887">
        <f t="shared" ref="I406:I440" si="151">I405+1</f>
        <v>387</v>
      </c>
      <c r="J406" s="1099">
        <f t="shared" si="145"/>
        <v>387</v>
      </c>
      <c r="K406" s="891" t="str">
        <f t="shared" si="146"/>
        <v>December</v>
      </c>
      <c r="L406" s="888">
        <f t="shared" ref="L406:L440" si="152">IF($S$4="Annual",$L405+$H406,IF($S$4="Bi-Annual",$L405+$H405,IF($S$4="Monthly",$L405+$G405)))</f>
        <v>2059</v>
      </c>
      <c r="M406" s="883">
        <f t="shared" si="147"/>
        <v>0</v>
      </c>
      <c r="N406" s="883">
        <f t="shared" si="138"/>
        <v>0</v>
      </c>
      <c r="O406" s="1100"/>
      <c r="P406" s="883">
        <f t="shared" si="139"/>
        <v>0</v>
      </c>
      <c r="Q406" s="884">
        <f t="shared" si="140"/>
        <v>0</v>
      </c>
      <c r="R406" s="884">
        <f>IF(AND($AR$39="Early Payoff",I406&gt;=$R$13),0,IF($I406&lt;=$R$6,SUM($P$20:$P406),0))</f>
        <v>0</v>
      </c>
      <c r="S406" s="884">
        <f>IF(AND($AR$39="Early Payoff",I406&gt;=$R$13),0,IF($I406&lt;=$R$6,SUM($Q$20:$Q406),0))</f>
        <v>0</v>
      </c>
      <c r="T406" s="873">
        <f t="shared" si="148"/>
        <v>0</v>
      </c>
      <c r="U406" s="1110">
        <f t="shared" si="149"/>
        <v>0</v>
      </c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</row>
    <row r="407" spans="1:49" s="22" customFormat="1" ht="13.5" x14ac:dyDescent="0.25">
      <c r="A407" s="1"/>
      <c r="B407" s="1192">
        <f t="shared" si="150"/>
        <v>407</v>
      </c>
      <c r="C407" s="732">
        <f t="shared" si="141"/>
        <v>31</v>
      </c>
      <c r="D407" s="35">
        <f t="shared" si="142"/>
        <v>1</v>
      </c>
      <c r="E407" s="889">
        <f t="shared" si="137"/>
        <v>58471</v>
      </c>
      <c r="F407" s="822">
        <f t="shared" si="143"/>
        <v>1</v>
      </c>
      <c r="G407" s="126">
        <f t="shared" si="144"/>
        <v>0</v>
      </c>
      <c r="H407" s="1098">
        <f t="shared" ref="H407:H440" si="153">IF($S$4="Annual",1,IF(AND($S$4="Bi-Annual",$F407&gt;$F408),1,IF(AND($S$4="Bi-Annual",$F407&lt;$F408),0,IF($S$4="Monthly",0,))))</f>
        <v>0</v>
      </c>
      <c r="I407" s="887">
        <f t="shared" si="151"/>
        <v>388</v>
      </c>
      <c r="J407" s="1099">
        <f t="shared" si="145"/>
        <v>388</v>
      </c>
      <c r="K407" s="891" t="str">
        <f t="shared" si="146"/>
        <v>January</v>
      </c>
      <c r="L407" s="888">
        <f t="shared" si="152"/>
        <v>2060</v>
      </c>
      <c r="M407" s="883">
        <f t="shared" si="147"/>
        <v>0</v>
      </c>
      <c r="N407" s="883">
        <f t="shared" si="138"/>
        <v>0</v>
      </c>
      <c r="O407" s="1100"/>
      <c r="P407" s="883">
        <f t="shared" si="139"/>
        <v>0</v>
      </c>
      <c r="Q407" s="884">
        <f t="shared" si="140"/>
        <v>0</v>
      </c>
      <c r="R407" s="884">
        <f>IF(AND($AR$39="Early Payoff",I407&gt;=$R$13),0,IF($I407&lt;=$R$6,SUM($P$20:$P407),0))</f>
        <v>0</v>
      </c>
      <c r="S407" s="884">
        <f>IF(AND($AR$39="Early Payoff",I407&gt;=$R$13),0,IF($I407&lt;=$R$6,SUM($Q$20:$Q407),0))</f>
        <v>0</v>
      </c>
      <c r="T407" s="873">
        <f t="shared" si="148"/>
        <v>0</v>
      </c>
      <c r="U407" s="1110">
        <f t="shared" si="149"/>
        <v>0</v>
      </c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</row>
    <row r="408" spans="1:49" s="22" customFormat="1" ht="13.5" x14ac:dyDescent="0.25">
      <c r="A408" s="1"/>
      <c r="B408" s="1192">
        <f t="shared" si="150"/>
        <v>408</v>
      </c>
      <c r="C408" s="732">
        <f t="shared" si="141"/>
        <v>29</v>
      </c>
      <c r="D408" s="35">
        <f t="shared" si="142"/>
        <v>2</v>
      </c>
      <c r="E408" s="889">
        <f t="shared" si="137"/>
        <v>58500</v>
      </c>
      <c r="F408" s="822">
        <f t="shared" si="143"/>
        <v>2</v>
      </c>
      <c r="G408" s="126">
        <f t="shared" si="144"/>
        <v>0</v>
      </c>
      <c r="H408" s="1098">
        <f t="shared" si="153"/>
        <v>0</v>
      </c>
      <c r="I408" s="887">
        <f t="shared" si="151"/>
        <v>389</v>
      </c>
      <c r="J408" s="1099">
        <f t="shared" si="145"/>
        <v>389</v>
      </c>
      <c r="K408" s="891" t="str">
        <f t="shared" si="146"/>
        <v>February</v>
      </c>
      <c r="L408" s="888">
        <f t="shared" si="152"/>
        <v>2060</v>
      </c>
      <c r="M408" s="883">
        <f t="shared" si="147"/>
        <v>0</v>
      </c>
      <c r="N408" s="883">
        <f t="shared" si="138"/>
        <v>0</v>
      </c>
      <c r="O408" s="1100"/>
      <c r="P408" s="883">
        <f t="shared" si="139"/>
        <v>0</v>
      </c>
      <c r="Q408" s="884">
        <f t="shared" si="140"/>
        <v>0</v>
      </c>
      <c r="R408" s="884">
        <f>IF(AND($AR$39="Early Payoff",I408&gt;=$R$13),0,IF($I408&lt;=$R$6,SUM($P$20:$P408),0))</f>
        <v>0</v>
      </c>
      <c r="S408" s="884">
        <f>IF(AND($AR$39="Early Payoff",I408&gt;=$R$13),0,IF($I408&lt;=$R$6,SUM($Q$20:$Q408),0))</f>
        <v>0</v>
      </c>
      <c r="T408" s="873">
        <f t="shared" si="148"/>
        <v>0</v>
      </c>
      <c r="U408" s="1110">
        <f t="shared" si="149"/>
        <v>0</v>
      </c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</row>
    <row r="409" spans="1:49" s="22" customFormat="1" ht="13.5" x14ac:dyDescent="0.25">
      <c r="A409" s="1"/>
      <c r="B409" s="1192">
        <f t="shared" si="150"/>
        <v>409</v>
      </c>
      <c r="C409" s="732">
        <f t="shared" si="141"/>
        <v>31</v>
      </c>
      <c r="D409" s="35">
        <f t="shared" si="142"/>
        <v>3</v>
      </c>
      <c r="E409" s="889">
        <f t="shared" si="137"/>
        <v>58531</v>
      </c>
      <c r="F409" s="822">
        <f t="shared" si="143"/>
        <v>3</v>
      </c>
      <c r="G409" s="126">
        <f t="shared" si="144"/>
        <v>0</v>
      </c>
      <c r="H409" s="1098">
        <f t="shared" si="153"/>
        <v>0</v>
      </c>
      <c r="I409" s="887">
        <f t="shared" si="151"/>
        <v>390</v>
      </c>
      <c r="J409" s="1099">
        <f t="shared" si="145"/>
        <v>390</v>
      </c>
      <c r="K409" s="891" t="str">
        <f t="shared" si="146"/>
        <v>March</v>
      </c>
      <c r="L409" s="888">
        <f t="shared" si="152"/>
        <v>2060</v>
      </c>
      <c r="M409" s="883">
        <f t="shared" si="147"/>
        <v>0</v>
      </c>
      <c r="N409" s="883">
        <f t="shared" si="138"/>
        <v>0</v>
      </c>
      <c r="O409" s="1100"/>
      <c r="P409" s="883">
        <f t="shared" si="139"/>
        <v>0</v>
      </c>
      <c r="Q409" s="884">
        <f t="shared" si="140"/>
        <v>0</v>
      </c>
      <c r="R409" s="884">
        <f>IF(AND($AR$39="Early Payoff",I409&gt;=$R$13),0,IF($I409&lt;=$R$6,SUM($P$20:$P409),0))</f>
        <v>0</v>
      </c>
      <c r="S409" s="884">
        <f>IF(AND($AR$39="Early Payoff",I409&gt;=$R$13),0,IF($I409&lt;=$R$6,SUM($Q$20:$Q409),0))</f>
        <v>0</v>
      </c>
      <c r="T409" s="873">
        <f t="shared" si="148"/>
        <v>0</v>
      </c>
      <c r="U409" s="1110">
        <f t="shared" si="149"/>
        <v>0</v>
      </c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</row>
    <row r="410" spans="1:49" s="22" customFormat="1" ht="13.5" x14ac:dyDescent="0.25">
      <c r="A410" s="1"/>
      <c r="B410" s="1192">
        <f t="shared" si="150"/>
        <v>410</v>
      </c>
      <c r="C410" s="732">
        <f t="shared" si="141"/>
        <v>30</v>
      </c>
      <c r="D410" s="35">
        <f t="shared" si="142"/>
        <v>4</v>
      </c>
      <c r="E410" s="889">
        <f t="shared" si="137"/>
        <v>58561</v>
      </c>
      <c r="F410" s="822">
        <f t="shared" si="143"/>
        <v>4</v>
      </c>
      <c r="G410" s="126">
        <f t="shared" si="144"/>
        <v>0</v>
      </c>
      <c r="H410" s="1098">
        <f t="shared" si="153"/>
        <v>0</v>
      </c>
      <c r="I410" s="887">
        <f t="shared" si="151"/>
        <v>391</v>
      </c>
      <c r="J410" s="1099">
        <f t="shared" si="145"/>
        <v>391</v>
      </c>
      <c r="K410" s="891" t="str">
        <f t="shared" si="146"/>
        <v>April</v>
      </c>
      <c r="L410" s="888">
        <f t="shared" si="152"/>
        <v>2060</v>
      </c>
      <c r="M410" s="883">
        <f t="shared" si="147"/>
        <v>0</v>
      </c>
      <c r="N410" s="883">
        <f t="shared" si="138"/>
        <v>0</v>
      </c>
      <c r="O410" s="1100"/>
      <c r="P410" s="883">
        <f t="shared" si="139"/>
        <v>0</v>
      </c>
      <c r="Q410" s="884">
        <f t="shared" si="140"/>
        <v>0</v>
      </c>
      <c r="R410" s="884">
        <f>IF(AND($AR$39="Early Payoff",I410&gt;=$R$13),0,IF($I410&lt;=$R$6,SUM($P$20:$P410),0))</f>
        <v>0</v>
      </c>
      <c r="S410" s="884">
        <f>IF(AND($AR$39="Early Payoff",I410&gt;=$R$13),0,IF($I410&lt;=$R$6,SUM($Q$20:$Q410),0))</f>
        <v>0</v>
      </c>
      <c r="T410" s="873">
        <f t="shared" si="148"/>
        <v>0</v>
      </c>
      <c r="U410" s="1110">
        <f t="shared" si="149"/>
        <v>0</v>
      </c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</row>
    <row r="411" spans="1:49" s="22" customFormat="1" ht="13.5" x14ac:dyDescent="0.25">
      <c r="A411" s="1"/>
      <c r="B411" s="1192">
        <f t="shared" si="150"/>
        <v>411</v>
      </c>
      <c r="C411" s="732">
        <f t="shared" si="141"/>
        <v>31</v>
      </c>
      <c r="D411" s="35">
        <f t="shared" si="142"/>
        <v>5</v>
      </c>
      <c r="E411" s="889">
        <f t="shared" si="137"/>
        <v>58592</v>
      </c>
      <c r="F411" s="822">
        <f t="shared" si="143"/>
        <v>5</v>
      </c>
      <c r="G411" s="126">
        <f t="shared" si="144"/>
        <v>0</v>
      </c>
      <c r="H411" s="1098">
        <f t="shared" si="153"/>
        <v>0</v>
      </c>
      <c r="I411" s="887">
        <f t="shared" si="151"/>
        <v>392</v>
      </c>
      <c r="J411" s="1099">
        <f t="shared" si="145"/>
        <v>392</v>
      </c>
      <c r="K411" s="891" t="str">
        <f t="shared" si="146"/>
        <v>May</v>
      </c>
      <c r="L411" s="888">
        <f t="shared" si="152"/>
        <v>2060</v>
      </c>
      <c r="M411" s="883">
        <f t="shared" si="147"/>
        <v>0</v>
      </c>
      <c r="N411" s="883">
        <f t="shared" si="138"/>
        <v>0</v>
      </c>
      <c r="O411" s="1100"/>
      <c r="P411" s="883">
        <f t="shared" si="139"/>
        <v>0</v>
      </c>
      <c r="Q411" s="884">
        <f t="shared" si="140"/>
        <v>0</v>
      </c>
      <c r="R411" s="884">
        <f>IF(AND($AR$39="Early Payoff",I411&gt;=$R$13),0,IF($I411&lt;=$R$6,SUM($P$20:$P411),0))</f>
        <v>0</v>
      </c>
      <c r="S411" s="884">
        <f>IF(AND($AR$39="Early Payoff",I411&gt;=$R$13),0,IF($I411&lt;=$R$6,SUM($Q$20:$Q411),0))</f>
        <v>0</v>
      </c>
      <c r="T411" s="873">
        <f t="shared" si="148"/>
        <v>0</v>
      </c>
      <c r="U411" s="1110">
        <f t="shared" si="149"/>
        <v>0</v>
      </c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</row>
    <row r="412" spans="1:49" s="22" customFormat="1" ht="13.5" x14ac:dyDescent="0.25">
      <c r="A412" s="1"/>
      <c r="B412" s="1192">
        <f t="shared" si="150"/>
        <v>412</v>
      </c>
      <c r="C412" s="732">
        <f t="shared" si="141"/>
        <v>30</v>
      </c>
      <c r="D412" s="35">
        <f t="shared" si="142"/>
        <v>6</v>
      </c>
      <c r="E412" s="889">
        <f t="shared" si="137"/>
        <v>58622</v>
      </c>
      <c r="F412" s="822">
        <f t="shared" si="143"/>
        <v>6</v>
      </c>
      <c r="G412" s="126">
        <f t="shared" si="144"/>
        <v>0</v>
      </c>
      <c r="H412" s="1098">
        <f t="shared" si="153"/>
        <v>0</v>
      </c>
      <c r="I412" s="887">
        <f t="shared" si="151"/>
        <v>393</v>
      </c>
      <c r="J412" s="1099">
        <f t="shared" si="145"/>
        <v>393</v>
      </c>
      <c r="K412" s="891" t="str">
        <f t="shared" si="146"/>
        <v>June</v>
      </c>
      <c r="L412" s="888">
        <f t="shared" si="152"/>
        <v>2060</v>
      </c>
      <c r="M412" s="883">
        <f t="shared" si="147"/>
        <v>0</v>
      </c>
      <c r="N412" s="883">
        <f t="shared" si="138"/>
        <v>0</v>
      </c>
      <c r="O412" s="1100"/>
      <c r="P412" s="883">
        <f t="shared" si="139"/>
        <v>0</v>
      </c>
      <c r="Q412" s="884">
        <f t="shared" si="140"/>
        <v>0</v>
      </c>
      <c r="R412" s="884">
        <f>IF(AND($AR$39="Early Payoff",I412&gt;=$R$13),0,IF($I412&lt;=$R$6,SUM($P$20:$P412),0))</f>
        <v>0</v>
      </c>
      <c r="S412" s="884">
        <f>IF(AND($AR$39="Early Payoff",I412&gt;=$R$13),0,IF($I412&lt;=$R$6,SUM($Q$20:$Q412),0))</f>
        <v>0</v>
      </c>
      <c r="T412" s="873">
        <f t="shared" si="148"/>
        <v>0</v>
      </c>
      <c r="U412" s="1110">
        <f t="shared" si="149"/>
        <v>0</v>
      </c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</row>
    <row r="413" spans="1:49" s="22" customFormat="1" ht="13.5" x14ac:dyDescent="0.25">
      <c r="A413" s="1"/>
      <c r="B413" s="1192">
        <f t="shared" si="150"/>
        <v>413</v>
      </c>
      <c r="C413" s="732">
        <f t="shared" si="141"/>
        <v>31</v>
      </c>
      <c r="D413" s="35">
        <f t="shared" si="142"/>
        <v>7</v>
      </c>
      <c r="E413" s="889">
        <f t="shared" si="137"/>
        <v>58653</v>
      </c>
      <c r="F413" s="822">
        <f t="shared" si="143"/>
        <v>7</v>
      </c>
      <c r="G413" s="126">
        <f t="shared" si="144"/>
        <v>0</v>
      </c>
      <c r="H413" s="1098">
        <f t="shared" si="153"/>
        <v>0</v>
      </c>
      <c r="I413" s="887">
        <f t="shared" si="151"/>
        <v>394</v>
      </c>
      <c r="J413" s="1099">
        <f t="shared" si="145"/>
        <v>394</v>
      </c>
      <c r="K413" s="891" t="str">
        <f t="shared" si="146"/>
        <v>July</v>
      </c>
      <c r="L413" s="888">
        <f t="shared" si="152"/>
        <v>2060</v>
      </c>
      <c r="M413" s="883">
        <f t="shared" si="147"/>
        <v>0</v>
      </c>
      <c r="N413" s="883">
        <f t="shared" si="138"/>
        <v>0</v>
      </c>
      <c r="O413" s="1100"/>
      <c r="P413" s="883">
        <f t="shared" si="139"/>
        <v>0</v>
      </c>
      <c r="Q413" s="884">
        <f t="shared" si="140"/>
        <v>0</v>
      </c>
      <c r="R413" s="884">
        <f>IF(AND($AR$39="Early Payoff",I413&gt;=$R$13),0,IF($I413&lt;=$R$6,SUM($P$20:$P413),0))</f>
        <v>0</v>
      </c>
      <c r="S413" s="884">
        <f>IF(AND($AR$39="Early Payoff",I413&gt;=$R$13),0,IF($I413&lt;=$R$6,SUM($Q$20:$Q413),0))</f>
        <v>0</v>
      </c>
      <c r="T413" s="873">
        <f t="shared" si="148"/>
        <v>0</v>
      </c>
      <c r="U413" s="1110">
        <f t="shared" si="149"/>
        <v>0</v>
      </c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</row>
    <row r="414" spans="1:49" s="22" customFormat="1" ht="13.5" x14ac:dyDescent="0.25">
      <c r="A414" s="1"/>
      <c r="B414" s="1192">
        <f t="shared" si="150"/>
        <v>414</v>
      </c>
      <c r="C414" s="732">
        <f t="shared" si="141"/>
        <v>31</v>
      </c>
      <c r="D414" s="35">
        <f t="shared" si="142"/>
        <v>8</v>
      </c>
      <c r="E414" s="889">
        <f t="shared" si="137"/>
        <v>58684</v>
      </c>
      <c r="F414" s="822">
        <f t="shared" si="143"/>
        <v>8</v>
      </c>
      <c r="G414" s="126">
        <f t="shared" si="144"/>
        <v>0</v>
      </c>
      <c r="H414" s="1098">
        <f t="shared" si="153"/>
        <v>0</v>
      </c>
      <c r="I414" s="887">
        <f t="shared" si="151"/>
        <v>395</v>
      </c>
      <c r="J414" s="1099">
        <f t="shared" si="145"/>
        <v>395</v>
      </c>
      <c r="K414" s="891" t="str">
        <f t="shared" si="146"/>
        <v>August</v>
      </c>
      <c r="L414" s="888">
        <f t="shared" si="152"/>
        <v>2060</v>
      </c>
      <c r="M414" s="883">
        <f t="shared" si="147"/>
        <v>0</v>
      </c>
      <c r="N414" s="883">
        <f t="shared" si="138"/>
        <v>0</v>
      </c>
      <c r="O414" s="1100"/>
      <c r="P414" s="883">
        <f t="shared" si="139"/>
        <v>0</v>
      </c>
      <c r="Q414" s="884">
        <f t="shared" si="140"/>
        <v>0</v>
      </c>
      <c r="R414" s="884">
        <f>IF(AND($AR$39="Early Payoff",I414&gt;=$R$13),0,IF($I414&lt;=$R$6,SUM($P$20:$P414),0))</f>
        <v>0</v>
      </c>
      <c r="S414" s="884">
        <f>IF(AND($AR$39="Early Payoff",I414&gt;=$R$13),0,IF($I414&lt;=$R$6,SUM($Q$20:$Q414),0))</f>
        <v>0</v>
      </c>
      <c r="T414" s="873">
        <f t="shared" si="148"/>
        <v>0</v>
      </c>
      <c r="U414" s="1110">
        <f t="shared" si="149"/>
        <v>0</v>
      </c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</row>
    <row r="415" spans="1:49" s="22" customFormat="1" ht="13.5" x14ac:dyDescent="0.25">
      <c r="A415" s="1"/>
      <c r="B415" s="1192">
        <f t="shared" si="150"/>
        <v>415</v>
      </c>
      <c r="C415" s="732">
        <f t="shared" si="141"/>
        <v>30</v>
      </c>
      <c r="D415" s="35">
        <f t="shared" si="142"/>
        <v>9</v>
      </c>
      <c r="E415" s="889">
        <f t="shared" si="137"/>
        <v>58714</v>
      </c>
      <c r="F415" s="822">
        <f t="shared" si="143"/>
        <v>9</v>
      </c>
      <c r="G415" s="126">
        <f t="shared" si="144"/>
        <v>0</v>
      </c>
      <c r="H415" s="1098">
        <f t="shared" si="153"/>
        <v>0</v>
      </c>
      <c r="I415" s="887">
        <f t="shared" si="151"/>
        <v>396</v>
      </c>
      <c r="J415" s="1099">
        <f t="shared" si="145"/>
        <v>396</v>
      </c>
      <c r="K415" s="891" t="str">
        <f t="shared" si="146"/>
        <v>September</v>
      </c>
      <c r="L415" s="888">
        <f t="shared" si="152"/>
        <v>2060</v>
      </c>
      <c r="M415" s="883">
        <f t="shared" si="147"/>
        <v>0</v>
      </c>
      <c r="N415" s="883">
        <f t="shared" si="138"/>
        <v>0</v>
      </c>
      <c r="O415" s="1100"/>
      <c r="P415" s="883">
        <f t="shared" si="139"/>
        <v>0</v>
      </c>
      <c r="Q415" s="884">
        <f t="shared" si="140"/>
        <v>0</v>
      </c>
      <c r="R415" s="884">
        <f>IF(AND($AR$39="Early Payoff",I415&gt;=$R$13),0,IF($I415&lt;=$R$6,SUM($P$20:$P415),0))</f>
        <v>0</v>
      </c>
      <c r="S415" s="884">
        <f>IF(AND($AR$39="Early Payoff",I415&gt;=$R$13),0,IF($I415&lt;=$R$6,SUM($Q$20:$Q415),0))</f>
        <v>0</v>
      </c>
      <c r="T415" s="873">
        <f t="shared" si="148"/>
        <v>0</v>
      </c>
      <c r="U415" s="1110">
        <f t="shared" si="149"/>
        <v>0</v>
      </c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</row>
    <row r="416" spans="1:49" s="22" customFormat="1" ht="13.5" x14ac:dyDescent="0.25">
      <c r="A416" s="1"/>
      <c r="B416" s="1192">
        <f t="shared" si="150"/>
        <v>416</v>
      </c>
      <c r="C416" s="732">
        <f t="shared" si="141"/>
        <v>31</v>
      </c>
      <c r="D416" s="35">
        <f t="shared" si="142"/>
        <v>10</v>
      </c>
      <c r="E416" s="889">
        <f t="shared" si="137"/>
        <v>58745</v>
      </c>
      <c r="F416" s="822">
        <f t="shared" si="143"/>
        <v>10</v>
      </c>
      <c r="G416" s="126">
        <f t="shared" si="144"/>
        <v>0</v>
      </c>
      <c r="H416" s="1098">
        <f t="shared" si="153"/>
        <v>0</v>
      </c>
      <c r="I416" s="887">
        <f t="shared" si="151"/>
        <v>397</v>
      </c>
      <c r="J416" s="1099">
        <f t="shared" si="145"/>
        <v>397</v>
      </c>
      <c r="K416" s="891" t="str">
        <f t="shared" si="146"/>
        <v>October</v>
      </c>
      <c r="L416" s="888">
        <f t="shared" si="152"/>
        <v>2060</v>
      </c>
      <c r="M416" s="883">
        <f t="shared" si="147"/>
        <v>0</v>
      </c>
      <c r="N416" s="883">
        <f t="shared" si="138"/>
        <v>0</v>
      </c>
      <c r="O416" s="1100"/>
      <c r="P416" s="883">
        <f t="shared" si="139"/>
        <v>0</v>
      </c>
      <c r="Q416" s="884">
        <f t="shared" si="140"/>
        <v>0</v>
      </c>
      <c r="R416" s="884">
        <f>IF(AND($AR$39="Early Payoff",I416&gt;=$R$13),0,IF($I416&lt;=$R$6,SUM($P$20:$P416),0))</f>
        <v>0</v>
      </c>
      <c r="S416" s="884">
        <f>IF(AND($AR$39="Early Payoff",I416&gt;=$R$13),0,IF($I416&lt;=$R$6,SUM($Q$20:$Q416),0))</f>
        <v>0</v>
      </c>
      <c r="T416" s="873">
        <f t="shared" si="148"/>
        <v>0</v>
      </c>
      <c r="U416" s="1110">
        <f t="shared" si="149"/>
        <v>0</v>
      </c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</row>
    <row r="417" spans="1:49" s="22" customFormat="1" ht="13.5" x14ac:dyDescent="0.25">
      <c r="A417" s="1"/>
      <c r="B417" s="1192">
        <f t="shared" si="150"/>
        <v>417</v>
      </c>
      <c r="C417" s="732">
        <f t="shared" si="141"/>
        <v>30</v>
      </c>
      <c r="D417" s="35">
        <f t="shared" si="142"/>
        <v>11</v>
      </c>
      <c r="E417" s="889">
        <f t="shared" si="137"/>
        <v>58775</v>
      </c>
      <c r="F417" s="822">
        <f t="shared" si="143"/>
        <v>11</v>
      </c>
      <c r="G417" s="126">
        <f t="shared" si="144"/>
        <v>0</v>
      </c>
      <c r="H417" s="1098">
        <f t="shared" si="153"/>
        <v>0</v>
      </c>
      <c r="I417" s="887">
        <f t="shared" si="151"/>
        <v>398</v>
      </c>
      <c r="J417" s="1099">
        <f t="shared" si="145"/>
        <v>398</v>
      </c>
      <c r="K417" s="891" t="str">
        <f t="shared" si="146"/>
        <v>November</v>
      </c>
      <c r="L417" s="888">
        <f t="shared" si="152"/>
        <v>2060</v>
      </c>
      <c r="M417" s="883">
        <f t="shared" si="147"/>
        <v>0</v>
      </c>
      <c r="N417" s="883">
        <f t="shared" si="138"/>
        <v>0</v>
      </c>
      <c r="O417" s="1100"/>
      <c r="P417" s="883">
        <f t="shared" si="139"/>
        <v>0</v>
      </c>
      <c r="Q417" s="884">
        <f t="shared" si="140"/>
        <v>0</v>
      </c>
      <c r="R417" s="884">
        <f>IF(AND($AR$39="Early Payoff",I417&gt;=$R$13),0,IF($I417&lt;=$R$6,SUM($P$20:$P417),0))</f>
        <v>0</v>
      </c>
      <c r="S417" s="884">
        <f>IF(AND($AR$39="Early Payoff",I417&gt;=$R$13),0,IF($I417&lt;=$R$6,SUM($Q$20:$Q417),0))</f>
        <v>0</v>
      </c>
      <c r="T417" s="873">
        <f t="shared" si="148"/>
        <v>0</v>
      </c>
      <c r="U417" s="1110">
        <f t="shared" si="149"/>
        <v>0</v>
      </c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</row>
    <row r="418" spans="1:49" ht="13.5" x14ac:dyDescent="0.25">
      <c r="B418" s="1192">
        <f t="shared" si="150"/>
        <v>418</v>
      </c>
      <c r="C418" s="732">
        <f t="shared" si="141"/>
        <v>31</v>
      </c>
      <c r="D418" s="35">
        <f t="shared" si="142"/>
        <v>12</v>
      </c>
      <c r="E418" s="889">
        <f t="shared" si="137"/>
        <v>58806</v>
      </c>
      <c r="F418" s="822">
        <f t="shared" si="143"/>
        <v>12</v>
      </c>
      <c r="G418" s="126">
        <f t="shared" si="144"/>
        <v>1</v>
      </c>
      <c r="H418" s="1098">
        <f t="shared" si="153"/>
        <v>0</v>
      </c>
      <c r="I418" s="887">
        <f t="shared" si="151"/>
        <v>399</v>
      </c>
      <c r="J418" s="1099">
        <f t="shared" si="145"/>
        <v>399</v>
      </c>
      <c r="K418" s="891" t="str">
        <f t="shared" si="146"/>
        <v>December</v>
      </c>
      <c r="L418" s="888">
        <f t="shared" si="152"/>
        <v>2060</v>
      </c>
      <c r="M418" s="883">
        <f t="shared" si="147"/>
        <v>0</v>
      </c>
      <c r="N418" s="883">
        <f t="shared" si="138"/>
        <v>0</v>
      </c>
      <c r="O418" s="1100"/>
      <c r="P418" s="883">
        <f t="shared" si="139"/>
        <v>0</v>
      </c>
      <c r="Q418" s="884">
        <f t="shared" si="140"/>
        <v>0</v>
      </c>
      <c r="R418" s="884">
        <f>IF(AND($AR$39="Early Payoff",I418&gt;=$R$13),0,IF($I418&lt;=$R$6,SUM($P$20:$P418),0))</f>
        <v>0</v>
      </c>
      <c r="S418" s="884">
        <f>IF(AND($AR$39="Early Payoff",I418&gt;=$R$13),0,IF($I418&lt;=$R$6,SUM($Q$20:$Q418),0))</f>
        <v>0</v>
      </c>
      <c r="T418" s="873">
        <f t="shared" si="148"/>
        <v>0</v>
      </c>
      <c r="U418" s="1110">
        <f t="shared" si="149"/>
        <v>0</v>
      </c>
    </row>
    <row r="419" spans="1:49" ht="13.5" x14ac:dyDescent="0.25">
      <c r="B419" s="1192">
        <f t="shared" si="150"/>
        <v>419</v>
      </c>
      <c r="C419" s="732">
        <f t="shared" si="141"/>
        <v>31</v>
      </c>
      <c r="D419" s="35">
        <f t="shared" si="142"/>
        <v>1</v>
      </c>
      <c r="E419" s="889">
        <f t="shared" si="137"/>
        <v>58837</v>
      </c>
      <c r="F419" s="822">
        <f t="shared" si="143"/>
        <v>1</v>
      </c>
      <c r="G419" s="126">
        <f t="shared" si="144"/>
        <v>0</v>
      </c>
      <c r="H419" s="1098">
        <f t="shared" si="153"/>
        <v>0</v>
      </c>
      <c r="I419" s="887">
        <f t="shared" si="151"/>
        <v>400</v>
      </c>
      <c r="J419" s="1099">
        <f t="shared" si="145"/>
        <v>400</v>
      </c>
      <c r="K419" s="891" t="str">
        <f t="shared" si="146"/>
        <v>January</v>
      </c>
      <c r="L419" s="888">
        <f t="shared" si="152"/>
        <v>2061</v>
      </c>
      <c r="M419" s="883">
        <f t="shared" si="147"/>
        <v>0</v>
      </c>
      <c r="N419" s="883">
        <f t="shared" si="138"/>
        <v>0</v>
      </c>
      <c r="O419" s="1100"/>
      <c r="P419" s="883">
        <f t="shared" si="139"/>
        <v>0</v>
      </c>
      <c r="Q419" s="884">
        <f t="shared" si="140"/>
        <v>0</v>
      </c>
      <c r="R419" s="884">
        <f>IF(AND($AR$39="Early Payoff",I419&gt;=$R$13),0,IF($I419&lt;=$R$6,SUM($P$20:$P419),0))</f>
        <v>0</v>
      </c>
      <c r="S419" s="884">
        <f>IF(AND($AR$39="Early Payoff",I419&gt;=$R$13),0,IF($I419&lt;=$R$6,SUM($Q$20:$Q419),0))</f>
        <v>0</v>
      </c>
      <c r="T419" s="873">
        <f t="shared" si="148"/>
        <v>0</v>
      </c>
      <c r="U419" s="1110">
        <f t="shared" si="149"/>
        <v>0</v>
      </c>
    </row>
    <row r="420" spans="1:49" ht="13.5" x14ac:dyDescent="0.25">
      <c r="B420" s="1192">
        <f t="shared" si="150"/>
        <v>420</v>
      </c>
      <c r="C420" s="732">
        <f t="shared" si="141"/>
        <v>28</v>
      </c>
      <c r="D420" s="35">
        <f t="shared" si="142"/>
        <v>2</v>
      </c>
      <c r="E420" s="889">
        <f t="shared" si="137"/>
        <v>58865</v>
      </c>
      <c r="F420" s="822">
        <f t="shared" si="143"/>
        <v>2</v>
      </c>
      <c r="G420" s="126">
        <f t="shared" si="144"/>
        <v>0</v>
      </c>
      <c r="H420" s="1098">
        <f t="shared" si="153"/>
        <v>0</v>
      </c>
      <c r="I420" s="887">
        <f t="shared" si="151"/>
        <v>401</v>
      </c>
      <c r="J420" s="1099">
        <f t="shared" si="145"/>
        <v>401</v>
      </c>
      <c r="K420" s="891" t="str">
        <f t="shared" si="146"/>
        <v>February</v>
      </c>
      <c r="L420" s="888">
        <f t="shared" si="152"/>
        <v>2061</v>
      </c>
      <c r="M420" s="883">
        <f t="shared" si="147"/>
        <v>0</v>
      </c>
      <c r="N420" s="883">
        <f t="shared" si="138"/>
        <v>0</v>
      </c>
      <c r="O420" s="1100"/>
      <c r="P420" s="883">
        <f t="shared" si="139"/>
        <v>0</v>
      </c>
      <c r="Q420" s="884">
        <f t="shared" si="140"/>
        <v>0</v>
      </c>
      <c r="R420" s="884">
        <f>IF(AND($AR$39="Early Payoff",I420&gt;=$R$13),0,IF($I420&lt;=$R$6,SUM($P$20:$P420),0))</f>
        <v>0</v>
      </c>
      <c r="S420" s="884">
        <f>IF(AND($AR$39="Early Payoff",I420&gt;=$R$13),0,IF($I420&lt;=$R$6,SUM($Q$20:$Q420),0))</f>
        <v>0</v>
      </c>
      <c r="T420" s="873">
        <f t="shared" si="148"/>
        <v>0</v>
      </c>
      <c r="U420" s="1110">
        <f t="shared" si="149"/>
        <v>0</v>
      </c>
    </row>
    <row r="421" spans="1:49" ht="13.5" x14ac:dyDescent="0.25">
      <c r="B421" s="1192">
        <f t="shared" si="150"/>
        <v>421</v>
      </c>
      <c r="C421" s="732">
        <f t="shared" si="141"/>
        <v>31</v>
      </c>
      <c r="D421" s="35">
        <f t="shared" si="142"/>
        <v>3</v>
      </c>
      <c r="E421" s="889">
        <f t="shared" si="137"/>
        <v>58896</v>
      </c>
      <c r="F421" s="822">
        <f t="shared" si="143"/>
        <v>3</v>
      </c>
      <c r="G421" s="126">
        <f t="shared" si="144"/>
        <v>0</v>
      </c>
      <c r="H421" s="1098">
        <f t="shared" si="153"/>
        <v>0</v>
      </c>
      <c r="I421" s="887">
        <f t="shared" si="151"/>
        <v>402</v>
      </c>
      <c r="J421" s="1099">
        <f t="shared" si="145"/>
        <v>402</v>
      </c>
      <c r="K421" s="891" t="str">
        <f t="shared" si="146"/>
        <v>March</v>
      </c>
      <c r="L421" s="888">
        <f t="shared" si="152"/>
        <v>2061</v>
      </c>
      <c r="M421" s="883">
        <f t="shared" si="147"/>
        <v>0</v>
      </c>
      <c r="N421" s="883">
        <f t="shared" si="138"/>
        <v>0</v>
      </c>
      <c r="O421" s="1100"/>
      <c r="P421" s="883">
        <f t="shared" si="139"/>
        <v>0</v>
      </c>
      <c r="Q421" s="884">
        <f t="shared" si="140"/>
        <v>0</v>
      </c>
      <c r="R421" s="884">
        <f>IF(AND($AR$39="Early Payoff",I421&gt;=$R$13),0,IF($I421&lt;=$R$6,SUM($P$20:$P421),0))</f>
        <v>0</v>
      </c>
      <c r="S421" s="884">
        <f>IF(AND($AR$39="Early Payoff",I421&gt;=$R$13),0,IF($I421&lt;=$R$6,SUM($Q$20:$Q421),0))</f>
        <v>0</v>
      </c>
      <c r="T421" s="873">
        <f t="shared" si="148"/>
        <v>0</v>
      </c>
      <c r="U421" s="1110">
        <f t="shared" si="149"/>
        <v>0</v>
      </c>
    </row>
    <row r="422" spans="1:49" ht="13.5" x14ac:dyDescent="0.25">
      <c r="B422" s="1192">
        <f t="shared" si="150"/>
        <v>422</v>
      </c>
      <c r="C422" s="732">
        <f t="shared" si="141"/>
        <v>30</v>
      </c>
      <c r="D422" s="35">
        <f t="shared" si="142"/>
        <v>4</v>
      </c>
      <c r="E422" s="889">
        <f t="shared" si="137"/>
        <v>58926</v>
      </c>
      <c r="F422" s="822">
        <f t="shared" si="143"/>
        <v>4</v>
      </c>
      <c r="G422" s="126">
        <f t="shared" si="144"/>
        <v>0</v>
      </c>
      <c r="H422" s="1098">
        <f t="shared" si="153"/>
        <v>0</v>
      </c>
      <c r="I422" s="887">
        <f t="shared" si="151"/>
        <v>403</v>
      </c>
      <c r="J422" s="1099">
        <f t="shared" si="145"/>
        <v>403</v>
      </c>
      <c r="K422" s="891" t="str">
        <f t="shared" si="146"/>
        <v>April</v>
      </c>
      <c r="L422" s="888">
        <f t="shared" si="152"/>
        <v>2061</v>
      </c>
      <c r="M422" s="883">
        <f t="shared" si="147"/>
        <v>0</v>
      </c>
      <c r="N422" s="883">
        <f t="shared" si="138"/>
        <v>0</v>
      </c>
      <c r="O422" s="1100"/>
      <c r="P422" s="883">
        <f t="shared" si="139"/>
        <v>0</v>
      </c>
      <c r="Q422" s="884">
        <f t="shared" si="140"/>
        <v>0</v>
      </c>
      <c r="R422" s="884">
        <f>IF(AND($AR$39="Early Payoff",I422&gt;=$R$13),0,IF($I422&lt;=$R$6,SUM($P$20:$P422),0))</f>
        <v>0</v>
      </c>
      <c r="S422" s="884">
        <f>IF(AND($AR$39="Early Payoff",I422&gt;=$R$13),0,IF($I422&lt;=$R$6,SUM($Q$20:$Q422),0))</f>
        <v>0</v>
      </c>
      <c r="T422" s="873">
        <f t="shared" si="148"/>
        <v>0</v>
      </c>
      <c r="U422" s="1110">
        <f t="shared" si="149"/>
        <v>0</v>
      </c>
    </row>
    <row r="423" spans="1:49" ht="13.5" x14ac:dyDescent="0.25">
      <c r="B423" s="1192">
        <f t="shared" si="150"/>
        <v>423</v>
      </c>
      <c r="C423" s="732">
        <f t="shared" si="141"/>
        <v>31</v>
      </c>
      <c r="D423" s="35">
        <f t="shared" si="142"/>
        <v>5</v>
      </c>
      <c r="E423" s="889">
        <f t="shared" si="137"/>
        <v>58957</v>
      </c>
      <c r="F423" s="822">
        <f t="shared" si="143"/>
        <v>5</v>
      </c>
      <c r="G423" s="126">
        <f t="shared" si="144"/>
        <v>0</v>
      </c>
      <c r="H423" s="1098">
        <f t="shared" si="153"/>
        <v>0</v>
      </c>
      <c r="I423" s="887">
        <f t="shared" si="151"/>
        <v>404</v>
      </c>
      <c r="J423" s="1099">
        <f t="shared" si="145"/>
        <v>404</v>
      </c>
      <c r="K423" s="891" t="str">
        <f t="shared" si="146"/>
        <v>May</v>
      </c>
      <c r="L423" s="888">
        <f t="shared" si="152"/>
        <v>2061</v>
      </c>
      <c r="M423" s="883">
        <f t="shared" si="147"/>
        <v>0</v>
      </c>
      <c r="N423" s="883">
        <f t="shared" si="138"/>
        <v>0</v>
      </c>
      <c r="O423" s="1100"/>
      <c r="P423" s="883">
        <f t="shared" si="139"/>
        <v>0</v>
      </c>
      <c r="Q423" s="884">
        <f t="shared" si="140"/>
        <v>0</v>
      </c>
      <c r="R423" s="884">
        <f>IF(AND($AR$39="Early Payoff",I423&gt;=$R$13),0,IF($I423&lt;=$R$6,SUM($P$20:$P423),0))</f>
        <v>0</v>
      </c>
      <c r="S423" s="884">
        <f>IF(AND($AR$39="Early Payoff",I423&gt;=$R$13),0,IF($I423&lt;=$R$6,SUM($Q$20:$Q423),0))</f>
        <v>0</v>
      </c>
      <c r="T423" s="873">
        <f t="shared" si="148"/>
        <v>0</v>
      </c>
      <c r="U423" s="1110">
        <f t="shared" si="149"/>
        <v>0</v>
      </c>
    </row>
    <row r="424" spans="1:49" ht="13.5" x14ac:dyDescent="0.25">
      <c r="B424" s="1192">
        <f t="shared" si="150"/>
        <v>424</v>
      </c>
      <c r="C424" s="732">
        <f t="shared" si="141"/>
        <v>30</v>
      </c>
      <c r="D424" s="35">
        <f t="shared" si="142"/>
        <v>6</v>
      </c>
      <c r="E424" s="889">
        <f t="shared" si="137"/>
        <v>58987</v>
      </c>
      <c r="F424" s="822">
        <f t="shared" si="143"/>
        <v>6</v>
      </c>
      <c r="G424" s="126">
        <f t="shared" si="144"/>
        <v>0</v>
      </c>
      <c r="H424" s="1098">
        <f t="shared" si="153"/>
        <v>0</v>
      </c>
      <c r="I424" s="887">
        <f t="shared" si="151"/>
        <v>405</v>
      </c>
      <c r="J424" s="1099">
        <f t="shared" si="145"/>
        <v>405</v>
      </c>
      <c r="K424" s="891" t="str">
        <f t="shared" si="146"/>
        <v>June</v>
      </c>
      <c r="L424" s="888">
        <f t="shared" si="152"/>
        <v>2061</v>
      </c>
      <c r="M424" s="883">
        <f t="shared" si="147"/>
        <v>0</v>
      </c>
      <c r="N424" s="883">
        <f t="shared" si="138"/>
        <v>0</v>
      </c>
      <c r="O424" s="1100"/>
      <c r="P424" s="883">
        <f t="shared" si="139"/>
        <v>0</v>
      </c>
      <c r="Q424" s="884">
        <f t="shared" si="140"/>
        <v>0</v>
      </c>
      <c r="R424" s="884">
        <f>IF(AND($AR$39="Early Payoff",I424&gt;=$R$13),0,IF($I424&lt;=$R$6,SUM($P$20:$P424),0))</f>
        <v>0</v>
      </c>
      <c r="S424" s="884">
        <f>IF(AND($AR$39="Early Payoff",I424&gt;=$R$13),0,IF($I424&lt;=$R$6,SUM($Q$20:$Q424),0))</f>
        <v>0</v>
      </c>
      <c r="T424" s="873">
        <f t="shared" si="148"/>
        <v>0</v>
      </c>
      <c r="U424" s="1110">
        <f t="shared" si="149"/>
        <v>0</v>
      </c>
    </row>
    <row r="425" spans="1:49" ht="13.5" x14ac:dyDescent="0.25">
      <c r="B425" s="1192">
        <f t="shared" si="150"/>
        <v>425</v>
      </c>
      <c r="C425" s="732">
        <f t="shared" si="141"/>
        <v>31</v>
      </c>
      <c r="D425" s="35">
        <f t="shared" si="142"/>
        <v>7</v>
      </c>
      <c r="E425" s="889">
        <f t="shared" si="137"/>
        <v>59018</v>
      </c>
      <c r="F425" s="822">
        <f t="shared" si="143"/>
        <v>7</v>
      </c>
      <c r="G425" s="126">
        <f t="shared" si="144"/>
        <v>0</v>
      </c>
      <c r="H425" s="1098">
        <f t="shared" si="153"/>
        <v>0</v>
      </c>
      <c r="I425" s="887">
        <f t="shared" si="151"/>
        <v>406</v>
      </c>
      <c r="J425" s="1099">
        <f t="shared" si="145"/>
        <v>406</v>
      </c>
      <c r="K425" s="891" t="str">
        <f t="shared" si="146"/>
        <v>July</v>
      </c>
      <c r="L425" s="888">
        <f t="shared" si="152"/>
        <v>2061</v>
      </c>
      <c r="M425" s="883">
        <f t="shared" si="147"/>
        <v>0</v>
      </c>
      <c r="N425" s="883">
        <f t="shared" si="138"/>
        <v>0</v>
      </c>
      <c r="O425" s="1100"/>
      <c r="P425" s="883">
        <f t="shared" si="139"/>
        <v>0</v>
      </c>
      <c r="Q425" s="884">
        <f t="shared" si="140"/>
        <v>0</v>
      </c>
      <c r="R425" s="884">
        <f>IF(AND($AR$39="Early Payoff",I425&gt;=$R$13),0,IF($I425&lt;=$R$6,SUM($P$20:$P425),0))</f>
        <v>0</v>
      </c>
      <c r="S425" s="884">
        <f>IF(AND($AR$39="Early Payoff",I425&gt;=$R$13),0,IF($I425&lt;=$R$6,SUM($Q$20:$Q425),0))</f>
        <v>0</v>
      </c>
      <c r="T425" s="873">
        <f t="shared" si="148"/>
        <v>0</v>
      </c>
      <c r="U425" s="1110">
        <f t="shared" si="149"/>
        <v>0</v>
      </c>
    </row>
    <row r="426" spans="1:49" ht="13.5" x14ac:dyDescent="0.25">
      <c r="B426" s="1192">
        <f t="shared" si="150"/>
        <v>426</v>
      </c>
      <c r="C426" s="732">
        <f t="shared" si="141"/>
        <v>31</v>
      </c>
      <c r="D426" s="35">
        <f t="shared" si="142"/>
        <v>8</v>
      </c>
      <c r="E426" s="889">
        <f t="shared" si="137"/>
        <v>59049</v>
      </c>
      <c r="F426" s="822">
        <f t="shared" si="143"/>
        <v>8</v>
      </c>
      <c r="G426" s="126">
        <f t="shared" si="144"/>
        <v>0</v>
      </c>
      <c r="H426" s="1098">
        <f t="shared" si="153"/>
        <v>0</v>
      </c>
      <c r="I426" s="887">
        <f t="shared" si="151"/>
        <v>407</v>
      </c>
      <c r="J426" s="1099">
        <f t="shared" si="145"/>
        <v>407</v>
      </c>
      <c r="K426" s="891" t="str">
        <f t="shared" si="146"/>
        <v>August</v>
      </c>
      <c r="L426" s="888">
        <f t="shared" si="152"/>
        <v>2061</v>
      </c>
      <c r="M426" s="883">
        <f t="shared" si="147"/>
        <v>0</v>
      </c>
      <c r="N426" s="883">
        <f t="shared" si="138"/>
        <v>0</v>
      </c>
      <c r="O426" s="1100"/>
      <c r="P426" s="883">
        <f t="shared" si="139"/>
        <v>0</v>
      </c>
      <c r="Q426" s="884">
        <f t="shared" si="140"/>
        <v>0</v>
      </c>
      <c r="R426" s="884">
        <f>IF(AND($AR$39="Early Payoff",I426&gt;=$R$13),0,IF($I426&lt;=$R$6,SUM($P$20:$P426),0))</f>
        <v>0</v>
      </c>
      <c r="S426" s="884">
        <f>IF(AND($AR$39="Early Payoff",I426&gt;=$R$13),0,IF($I426&lt;=$R$6,SUM($Q$20:$Q426),0))</f>
        <v>0</v>
      </c>
      <c r="T426" s="873">
        <f t="shared" si="148"/>
        <v>0</v>
      </c>
      <c r="U426" s="1110">
        <f t="shared" si="149"/>
        <v>0</v>
      </c>
    </row>
    <row r="427" spans="1:49" ht="13.5" x14ac:dyDescent="0.25">
      <c r="B427" s="1192">
        <f t="shared" si="150"/>
        <v>427</v>
      </c>
      <c r="C427" s="732">
        <f t="shared" si="141"/>
        <v>30</v>
      </c>
      <c r="D427" s="35">
        <f t="shared" si="142"/>
        <v>9</v>
      </c>
      <c r="E427" s="889">
        <f t="shared" si="137"/>
        <v>59079</v>
      </c>
      <c r="F427" s="822">
        <f t="shared" si="143"/>
        <v>9</v>
      </c>
      <c r="G427" s="126">
        <f t="shared" si="144"/>
        <v>0</v>
      </c>
      <c r="H427" s="1098">
        <f t="shared" si="153"/>
        <v>0</v>
      </c>
      <c r="I427" s="887">
        <f t="shared" si="151"/>
        <v>408</v>
      </c>
      <c r="J427" s="1099">
        <f t="shared" si="145"/>
        <v>408</v>
      </c>
      <c r="K427" s="891" t="str">
        <f t="shared" si="146"/>
        <v>September</v>
      </c>
      <c r="L427" s="888">
        <f t="shared" si="152"/>
        <v>2061</v>
      </c>
      <c r="M427" s="883">
        <f t="shared" si="147"/>
        <v>0</v>
      </c>
      <c r="N427" s="883">
        <f t="shared" si="138"/>
        <v>0</v>
      </c>
      <c r="O427" s="1100"/>
      <c r="P427" s="883">
        <f t="shared" si="139"/>
        <v>0</v>
      </c>
      <c r="Q427" s="884">
        <f t="shared" si="140"/>
        <v>0</v>
      </c>
      <c r="R427" s="884">
        <f>IF(AND($AR$39="Early Payoff",I427&gt;=$R$13),0,IF($I427&lt;=$R$6,SUM($P$20:$P427),0))</f>
        <v>0</v>
      </c>
      <c r="S427" s="884">
        <f>IF(AND($AR$39="Early Payoff",I427&gt;=$R$13),0,IF($I427&lt;=$R$6,SUM($Q$20:$Q427),0))</f>
        <v>0</v>
      </c>
      <c r="T427" s="873">
        <f t="shared" si="148"/>
        <v>0</v>
      </c>
      <c r="U427" s="1110">
        <f t="shared" si="149"/>
        <v>0</v>
      </c>
    </row>
    <row r="428" spans="1:49" ht="13.5" x14ac:dyDescent="0.25">
      <c r="B428" s="1192">
        <f t="shared" si="150"/>
        <v>428</v>
      </c>
      <c r="C428" s="732">
        <f t="shared" si="141"/>
        <v>31</v>
      </c>
      <c r="D428" s="35">
        <f t="shared" si="142"/>
        <v>10</v>
      </c>
      <c r="E428" s="889">
        <f t="shared" si="137"/>
        <v>59110</v>
      </c>
      <c r="F428" s="822">
        <f t="shared" si="143"/>
        <v>10</v>
      </c>
      <c r="G428" s="126">
        <f t="shared" si="144"/>
        <v>0</v>
      </c>
      <c r="H428" s="1098">
        <f t="shared" si="153"/>
        <v>0</v>
      </c>
      <c r="I428" s="887">
        <f t="shared" si="151"/>
        <v>409</v>
      </c>
      <c r="J428" s="1099">
        <f t="shared" si="145"/>
        <v>409</v>
      </c>
      <c r="K428" s="891" t="str">
        <f t="shared" si="146"/>
        <v>October</v>
      </c>
      <c r="L428" s="888">
        <f t="shared" si="152"/>
        <v>2061</v>
      </c>
      <c r="M428" s="883">
        <f t="shared" si="147"/>
        <v>0</v>
      </c>
      <c r="N428" s="883">
        <f t="shared" si="138"/>
        <v>0</v>
      </c>
      <c r="O428" s="1100"/>
      <c r="P428" s="883">
        <f t="shared" si="139"/>
        <v>0</v>
      </c>
      <c r="Q428" s="884">
        <f t="shared" si="140"/>
        <v>0</v>
      </c>
      <c r="R428" s="884">
        <f>IF(AND($AR$39="Early Payoff",I428&gt;=$R$13),0,IF($I428&lt;=$R$6,SUM($P$20:$P428),0))</f>
        <v>0</v>
      </c>
      <c r="S428" s="884">
        <f>IF(AND($AR$39="Early Payoff",I428&gt;=$R$13),0,IF($I428&lt;=$R$6,SUM($Q$20:$Q428),0))</f>
        <v>0</v>
      </c>
      <c r="T428" s="873">
        <f t="shared" si="148"/>
        <v>0</v>
      </c>
      <c r="U428" s="1110">
        <f t="shared" si="149"/>
        <v>0</v>
      </c>
    </row>
    <row r="429" spans="1:49" ht="13.5" x14ac:dyDescent="0.25">
      <c r="B429" s="1192">
        <f t="shared" si="150"/>
        <v>429</v>
      </c>
      <c r="C429" s="732">
        <f t="shared" si="141"/>
        <v>30</v>
      </c>
      <c r="D429" s="35">
        <f t="shared" si="142"/>
        <v>11</v>
      </c>
      <c r="E429" s="889">
        <f t="shared" si="137"/>
        <v>59140</v>
      </c>
      <c r="F429" s="822">
        <f t="shared" si="143"/>
        <v>11</v>
      </c>
      <c r="G429" s="126">
        <f t="shared" si="144"/>
        <v>0</v>
      </c>
      <c r="H429" s="1098">
        <f t="shared" si="153"/>
        <v>0</v>
      </c>
      <c r="I429" s="887">
        <f t="shared" si="151"/>
        <v>410</v>
      </c>
      <c r="J429" s="1099">
        <f t="shared" si="145"/>
        <v>410</v>
      </c>
      <c r="K429" s="891" t="str">
        <f t="shared" si="146"/>
        <v>November</v>
      </c>
      <c r="L429" s="888">
        <f t="shared" si="152"/>
        <v>2061</v>
      </c>
      <c r="M429" s="883">
        <f t="shared" si="147"/>
        <v>0</v>
      </c>
      <c r="N429" s="883">
        <f t="shared" si="138"/>
        <v>0</v>
      </c>
      <c r="O429" s="1100"/>
      <c r="P429" s="883">
        <f t="shared" si="139"/>
        <v>0</v>
      </c>
      <c r="Q429" s="884">
        <f t="shared" si="140"/>
        <v>0</v>
      </c>
      <c r="R429" s="884">
        <f>IF(AND($AR$39="Early Payoff",I429&gt;=$R$13),0,IF($I429&lt;=$R$6,SUM($P$20:$P429),0))</f>
        <v>0</v>
      </c>
      <c r="S429" s="884">
        <f>IF(AND($AR$39="Early Payoff",I429&gt;=$R$13),0,IF($I429&lt;=$R$6,SUM($Q$20:$Q429),0))</f>
        <v>0</v>
      </c>
      <c r="T429" s="873">
        <f t="shared" si="148"/>
        <v>0</v>
      </c>
      <c r="U429" s="1110">
        <f t="shared" si="149"/>
        <v>0</v>
      </c>
    </row>
    <row r="430" spans="1:49" ht="13.5" x14ac:dyDescent="0.25">
      <c r="B430" s="1192">
        <f t="shared" si="150"/>
        <v>430</v>
      </c>
      <c r="C430" s="732">
        <f t="shared" si="141"/>
        <v>31</v>
      </c>
      <c r="D430" s="35">
        <f t="shared" si="142"/>
        <v>12</v>
      </c>
      <c r="E430" s="889">
        <f t="shared" si="137"/>
        <v>59171</v>
      </c>
      <c r="F430" s="822">
        <f t="shared" si="143"/>
        <v>12</v>
      </c>
      <c r="G430" s="126">
        <f t="shared" si="144"/>
        <v>1</v>
      </c>
      <c r="H430" s="1098">
        <f t="shared" si="153"/>
        <v>0</v>
      </c>
      <c r="I430" s="887">
        <f t="shared" si="151"/>
        <v>411</v>
      </c>
      <c r="J430" s="1099">
        <f t="shared" si="145"/>
        <v>411</v>
      </c>
      <c r="K430" s="891" t="str">
        <f t="shared" si="146"/>
        <v>December</v>
      </c>
      <c r="L430" s="888">
        <f t="shared" si="152"/>
        <v>2061</v>
      </c>
      <c r="M430" s="883">
        <f t="shared" si="147"/>
        <v>0</v>
      </c>
      <c r="N430" s="883">
        <f t="shared" si="138"/>
        <v>0</v>
      </c>
      <c r="O430" s="1100"/>
      <c r="P430" s="883">
        <f t="shared" si="139"/>
        <v>0</v>
      </c>
      <c r="Q430" s="884">
        <f t="shared" si="140"/>
        <v>0</v>
      </c>
      <c r="R430" s="884">
        <f>IF(AND($AR$39="Early Payoff",I430&gt;=$R$13),0,IF($I430&lt;=$R$6,SUM($P$20:$P430),0))</f>
        <v>0</v>
      </c>
      <c r="S430" s="884">
        <f>IF(AND($AR$39="Early Payoff",I430&gt;=$R$13),0,IF($I430&lt;=$R$6,SUM($Q$20:$Q430),0))</f>
        <v>0</v>
      </c>
      <c r="T430" s="873">
        <f t="shared" si="148"/>
        <v>0</v>
      </c>
      <c r="U430" s="1110">
        <f t="shared" si="149"/>
        <v>0</v>
      </c>
    </row>
    <row r="431" spans="1:49" ht="13.5" x14ac:dyDescent="0.25">
      <c r="B431" s="1192">
        <f t="shared" si="150"/>
        <v>431</v>
      </c>
      <c r="C431" s="732">
        <f t="shared" si="141"/>
        <v>31</v>
      </c>
      <c r="D431" s="35">
        <f t="shared" si="142"/>
        <v>1</v>
      </c>
      <c r="E431" s="889">
        <f t="shared" si="137"/>
        <v>59202</v>
      </c>
      <c r="F431" s="822">
        <f t="shared" si="143"/>
        <v>1</v>
      </c>
      <c r="G431" s="126">
        <f t="shared" si="144"/>
        <v>0</v>
      </c>
      <c r="H431" s="1098">
        <f t="shared" si="153"/>
        <v>0</v>
      </c>
      <c r="I431" s="887">
        <f t="shared" si="151"/>
        <v>412</v>
      </c>
      <c r="J431" s="1099">
        <f t="shared" si="145"/>
        <v>412</v>
      </c>
      <c r="K431" s="891" t="str">
        <f t="shared" si="146"/>
        <v>January</v>
      </c>
      <c r="L431" s="888">
        <f t="shared" si="152"/>
        <v>2062</v>
      </c>
      <c r="M431" s="883">
        <f t="shared" si="147"/>
        <v>0</v>
      </c>
      <c r="N431" s="883">
        <f t="shared" si="138"/>
        <v>0</v>
      </c>
      <c r="O431" s="1100"/>
      <c r="P431" s="883">
        <f t="shared" si="139"/>
        <v>0</v>
      </c>
      <c r="Q431" s="884">
        <f t="shared" si="140"/>
        <v>0</v>
      </c>
      <c r="R431" s="884">
        <f>IF(AND($AR$39="Early Payoff",I431&gt;=$R$13),0,IF($I431&lt;=$R$6,SUM($P$20:$P431),0))</f>
        <v>0</v>
      </c>
      <c r="S431" s="884">
        <f>IF(AND($AR$39="Early Payoff",I431&gt;=$R$13),0,IF($I431&lt;=$R$6,SUM($Q$20:$Q431),0))</f>
        <v>0</v>
      </c>
      <c r="T431" s="873">
        <f t="shared" si="148"/>
        <v>0</v>
      </c>
      <c r="U431" s="1110">
        <f t="shared" si="149"/>
        <v>0</v>
      </c>
    </row>
    <row r="432" spans="1:49" ht="13.5" x14ac:dyDescent="0.25">
      <c r="B432" s="1192">
        <f t="shared" si="150"/>
        <v>432</v>
      </c>
      <c r="C432" s="732">
        <f t="shared" si="141"/>
        <v>28</v>
      </c>
      <c r="D432" s="35">
        <f t="shared" si="142"/>
        <v>2</v>
      </c>
      <c r="E432" s="889">
        <f t="shared" si="137"/>
        <v>59230</v>
      </c>
      <c r="F432" s="822">
        <f t="shared" si="143"/>
        <v>2</v>
      </c>
      <c r="G432" s="126">
        <f t="shared" si="144"/>
        <v>0</v>
      </c>
      <c r="H432" s="1098">
        <f t="shared" si="153"/>
        <v>0</v>
      </c>
      <c r="I432" s="887">
        <f t="shared" si="151"/>
        <v>413</v>
      </c>
      <c r="J432" s="1099">
        <f t="shared" si="145"/>
        <v>413</v>
      </c>
      <c r="K432" s="891" t="str">
        <f t="shared" si="146"/>
        <v>February</v>
      </c>
      <c r="L432" s="888">
        <f t="shared" si="152"/>
        <v>2062</v>
      </c>
      <c r="M432" s="883">
        <f t="shared" si="147"/>
        <v>0</v>
      </c>
      <c r="N432" s="883">
        <f t="shared" si="138"/>
        <v>0</v>
      </c>
      <c r="O432" s="1100"/>
      <c r="P432" s="883">
        <f t="shared" si="139"/>
        <v>0</v>
      </c>
      <c r="Q432" s="884">
        <f t="shared" si="140"/>
        <v>0</v>
      </c>
      <c r="R432" s="884">
        <f>IF(AND($AR$39="Early Payoff",I432&gt;=$R$13),0,IF($I432&lt;=$R$6,SUM($P$20:$P432),0))</f>
        <v>0</v>
      </c>
      <c r="S432" s="884">
        <f>IF(AND($AR$39="Early Payoff",I432&gt;=$R$13),0,IF($I432&lt;=$R$6,SUM($Q$20:$Q432),0))</f>
        <v>0</v>
      </c>
      <c r="T432" s="873">
        <f t="shared" si="148"/>
        <v>0</v>
      </c>
      <c r="U432" s="1110">
        <f t="shared" si="149"/>
        <v>0</v>
      </c>
    </row>
    <row r="433" spans="2:21" ht="13.5" x14ac:dyDescent="0.25">
      <c r="B433" s="1192">
        <f t="shared" si="150"/>
        <v>433</v>
      </c>
      <c r="C433" s="732">
        <f t="shared" si="141"/>
        <v>31</v>
      </c>
      <c r="D433" s="35">
        <f t="shared" si="142"/>
        <v>3</v>
      </c>
      <c r="E433" s="889">
        <f t="shared" si="137"/>
        <v>59261</v>
      </c>
      <c r="F433" s="822">
        <f t="shared" si="143"/>
        <v>3</v>
      </c>
      <c r="G433" s="126">
        <f t="shared" si="144"/>
        <v>0</v>
      </c>
      <c r="H433" s="1098">
        <f t="shared" si="153"/>
        <v>0</v>
      </c>
      <c r="I433" s="887">
        <f t="shared" si="151"/>
        <v>414</v>
      </c>
      <c r="J433" s="1099">
        <f t="shared" si="145"/>
        <v>414</v>
      </c>
      <c r="K433" s="891" t="str">
        <f t="shared" si="146"/>
        <v>March</v>
      </c>
      <c r="L433" s="888">
        <f t="shared" si="152"/>
        <v>2062</v>
      </c>
      <c r="M433" s="883">
        <f t="shared" si="147"/>
        <v>0</v>
      </c>
      <c r="N433" s="883">
        <f t="shared" si="138"/>
        <v>0</v>
      </c>
      <c r="O433" s="1100"/>
      <c r="P433" s="883">
        <f t="shared" si="139"/>
        <v>0</v>
      </c>
      <c r="Q433" s="884">
        <f t="shared" si="140"/>
        <v>0</v>
      </c>
      <c r="R433" s="884">
        <f>IF(AND($AR$39="Early Payoff",I433&gt;=$R$13),0,IF($I433&lt;=$R$6,SUM($P$20:$P433),0))</f>
        <v>0</v>
      </c>
      <c r="S433" s="884">
        <f>IF(AND($AR$39="Early Payoff",I433&gt;=$R$13),0,IF($I433&lt;=$R$6,SUM($Q$20:$Q433),0))</f>
        <v>0</v>
      </c>
      <c r="T433" s="873">
        <f t="shared" si="148"/>
        <v>0</v>
      </c>
      <c r="U433" s="1110">
        <f t="shared" si="149"/>
        <v>0</v>
      </c>
    </row>
    <row r="434" spans="2:21" ht="13.5" x14ac:dyDescent="0.25">
      <c r="B434" s="1192">
        <f t="shared" si="150"/>
        <v>434</v>
      </c>
      <c r="C434" s="732">
        <f t="shared" si="141"/>
        <v>30</v>
      </c>
      <c r="D434" s="35">
        <f t="shared" si="142"/>
        <v>4</v>
      </c>
      <c r="E434" s="889">
        <f t="shared" si="137"/>
        <v>59291</v>
      </c>
      <c r="F434" s="822">
        <f t="shared" si="143"/>
        <v>4</v>
      </c>
      <c r="G434" s="126">
        <f t="shared" si="144"/>
        <v>0</v>
      </c>
      <c r="H434" s="1098">
        <f t="shared" si="153"/>
        <v>0</v>
      </c>
      <c r="I434" s="887">
        <f t="shared" si="151"/>
        <v>415</v>
      </c>
      <c r="J434" s="1099">
        <f t="shared" si="145"/>
        <v>415</v>
      </c>
      <c r="K434" s="891" t="str">
        <f t="shared" si="146"/>
        <v>April</v>
      </c>
      <c r="L434" s="888">
        <f t="shared" si="152"/>
        <v>2062</v>
      </c>
      <c r="M434" s="883">
        <f t="shared" si="147"/>
        <v>0</v>
      </c>
      <c r="N434" s="883">
        <f t="shared" si="138"/>
        <v>0</v>
      </c>
      <c r="O434" s="1100"/>
      <c r="P434" s="883">
        <f t="shared" si="139"/>
        <v>0</v>
      </c>
      <c r="Q434" s="884">
        <f t="shared" si="140"/>
        <v>0</v>
      </c>
      <c r="R434" s="884">
        <f>IF(AND($AR$39="Early Payoff",I434&gt;=$R$13),0,IF($I434&lt;=$R$6,SUM($P$20:$P434),0))</f>
        <v>0</v>
      </c>
      <c r="S434" s="884">
        <f>IF(AND($AR$39="Early Payoff",I434&gt;=$R$13),0,IF($I434&lt;=$R$6,SUM($Q$20:$Q434),0))</f>
        <v>0</v>
      </c>
      <c r="T434" s="873">
        <f t="shared" si="148"/>
        <v>0</v>
      </c>
      <c r="U434" s="1110">
        <f t="shared" si="149"/>
        <v>0</v>
      </c>
    </row>
    <row r="435" spans="2:21" ht="13.5" x14ac:dyDescent="0.25">
      <c r="B435" s="1192">
        <f t="shared" si="150"/>
        <v>435</v>
      </c>
      <c r="C435" s="732">
        <f t="shared" si="141"/>
        <v>31</v>
      </c>
      <c r="D435" s="35">
        <f t="shared" si="142"/>
        <v>5</v>
      </c>
      <c r="E435" s="889">
        <f t="shared" si="137"/>
        <v>59322</v>
      </c>
      <c r="F435" s="822">
        <f t="shared" si="143"/>
        <v>5</v>
      </c>
      <c r="G435" s="126">
        <f t="shared" si="144"/>
        <v>0</v>
      </c>
      <c r="H435" s="1098">
        <f t="shared" si="153"/>
        <v>0</v>
      </c>
      <c r="I435" s="887">
        <f t="shared" si="151"/>
        <v>416</v>
      </c>
      <c r="J435" s="1099">
        <f t="shared" si="145"/>
        <v>416</v>
      </c>
      <c r="K435" s="891" t="str">
        <f t="shared" si="146"/>
        <v>May</v>
      </c>
      <c r="L435" s="888">
        <f t="shared" si="152"/>
        <v>2062</v>
      </c>
      <c r="M435" s="883">
        <f t="shared" si="147"/>
        <v>0</v>
      </c>
      <c r="N435" s="883">
        <f t="shared" si="138"/>
        <v>0</v>
      </c>
      <c r="O435" s="1100"/>
      <c r="P435" s="883">
        <f t="shared" si="139"/>
        <v>0</v>
      </c>
      <c r="Q435" s="884">
        <f t="shared" si="140"/>
        <v>0</v>
      </c>
      <c r="R435" s="884">
        <f>IF(AND($AR$39="Early Payoff",I435&gt;=$R$13),0,IF($I435&lt;=$R$6,SUM($P$20:$P435),0))</f>
        <v>0</v>
      </c>
      <c r="S435" s="884">
        <f>IF(AND($AR$39="Early Payoff",I435&gt;=$R$13),0,IF($I435&lt;=$R$6,SUM($Q$20:$Q435),0))</f>
        <v>0</v>
      </c>
      <c r="T435" s="873">
        <f t="shared" si="148"/>
        <v>0</v>
      </c>
      <c r="U435" s="1110">
        <f t="shared" si="149"/>
        <v>0</v>
      </c>
    </row>
    <row r="436" spans="2:21" ht="13.5" x14ac:dyDescent="0.25">
      <c r="B436" s="1192">
        <f t="shared" si="150"/>
        <v>436</v>
      </c>
      <c r="C436" s="732">
        <f t="shared" si="141"/>
        <v>30</v>
      </c>
      <c r="D436" s="35">
        <f t="shared" si="142"/>
        <v>6</v>
      </c>
      <c r="E436" s="889">
        <f t="shared" si="137"/>
        <v>59352</v>
      </c>
      <c r="F436" s="822">
        <f t="shared" si="143"/>
        <v>6</v>
      </c>
      <c r="G436" s="126">
        <f t="shared" si="144"/>
        <v>0</v>
      </c>
      <c r="H436" s="1098">
        <f t="shared" si="153"/>
        <v>0</v>
      </c>
      <c r="I436" s="887">
        <f t="shared" si="151"/>
        <v>417</v>
      </c>
      <c r="J436" s="1099">
        <f t="shared" si="145"/>
        <v>417</v>
      </c>
      <c r="K436" s="891" t="str">
        <f t="shared" si="146"/>
        <v>June</v>
      </c>
      <c r="L436" s="888">
        <f t="shared" si="152"/>
        <v>2062</v>
      </c>
      <c r="M436" s="883">
        <f t="shared" si="147"/>
        <v>0</v>
      </c>
      <c r="N436" s="883">
        <f t="shared" si="138"/>
        <v>0</v>
      </c>
      <c r="O436" s="1100"/>
      <c r="P436" s="883">
        <f>IF(AND($AR$39="Early Payoff",I436&gt;=$R$13),0,IF($I436&gt;$R$6,0,IF(AND($AQ$29&gt;0,$I436&lt;=$AQ$29),0,+$N436-$Q436)))</f>
        <v>0</v>
      </c>
      <c r="Q436" s="884">
        <f t="shared" si="140"/>
        <v>0</v>
      </c>
      <c r="R436" s="884">
        <f>IF(AND($AR$39="Early Payoff",I436&gt;=$R$13),0,IF($I436&lt;=$R$6,SUM($P$20:$P436),0))</f>
        <v>0</v>
      </c>
      <c r="S436" s="884">
        <f>IF(AND($AR$39="Early Payoff",I436&gt;=$R$13),0,IF($I436&lt;=$R$6,SUM($Q$20:$Q436),0))</f>
        <v>0</v>
      </c>
      <c r="T436" s="873">
        <f t="shared" si="148"/>
        <v>0</v>
      </c>
      <c r="U436" s="1110">
        <f t="shared" si="149"/>
        <v>0</v>
      </c>
    </row>
    <row r="437" spans="2:21" ht="13.5" x14ac:dyDescent="0.25">
      <c r="B437" s="1192">
        <f t="shared" si="150"/>
        <v>437</v>
      </c>
      <c r="C437" s="732">
        <f t="shared" si="141"/>
        <v>31</v>
      </c>
      <c r="D437" s="35">
        <f t="shared" si="142"/>
        <v>7</v>
      </c>
      <c r="E437" s="889">
        <f t="shared" si="137"/>
        <v>59383</v>
      </c>
      <c r="F437" s="822">
        <f t="shared" si="143"/>
        <v>7</v>
      </c>
      <c r="G437" s="126">
        <f t="shared" si="144"/>
        <v>0</v>
      </c>
      <c r="H437" s="1098">
        <f t="shared" si="153"/>
        <v>0</v>
      </c>
      <c r="I437" s="887">
        <f t="shared" si="151"/>
        <v>418</v>
      </c>
      <c r="J437" s="1099">
        <f t="shared" si="145"/>
        <v>418</v>
      </c>
      <c r="K437" s="891" t="str">
        <f t="shared" si="146"/>
        <v>July</v>
      </c>
      <c r="L437" s="888">
        <f t="shared" si="152"/>
        <v>2062</v>
      </c>
      <c r="M437" s="883">
        <f t="shared" si="147"/>
        <v>0</v>
      </c>
      <c r="N437" s="883">
        <f t="shared" si="138"/>
        <v>0</v>
      </c>
      <c r="O437" s="1100"/>
      <c r="P437" s="883">
        <f t="shared" si="139"/>
        <v>0</v>
      </c>
      <c r="Q437" s="884">
        <f t="shared" si="140"/>
        <v>0</v>
      </c>
      <c r="R437" s="884">
        <f>IF(AND($AR$39="Early Payoff",I437&gt;=$R$13),0,IF($I437&lt;=$R$6,SUM($P$20:$P437),0))</f>
        <v>0</v>
      </c>
      <c r="S437" s="884">
        <f>IF(AND($AR$39="Early Payoff",I437&gt;=$R$13),0,IF($I437&lt;=$R$6,SUM($Q$20:$Q437),0))</f>
        <v>0</v>
      </c>
      <c r="T437" s="873">
        <f t="shared" si="148"/>
        <v>0</v>
      </c>
      <c r="U437" s="1110">
        <f t="shared" si="149"/>
        <v>0</v>
      </c>
    </row>
    <row r="438" spans="2:21" ht="13.5" x14ac:dyDescent="0.25">
      <c r="B438" s="1192">
        <f t="shared" si="150"/>
        <v>438</v>
      </c>
      <c r="C438" s="732">
        <f t="shared" si="141"/>
        <v>31</v>
      </c>
      <c r="D438" s="35">
        <f t="shared" si="142"/>
        <v>8</v>
      </c>
      <c r="E438" s="889">
        <f t="shared" si="137"/>
        <v>59414</v>
      </c>
      <c r="F438" s="822">
        <f t="shared" si="143"/>
        <v>8</v>
      </c>
      <c r="G438" s="126">
        <f t="shared" si="144"/>
        <v>0</v>
      </c>
      <c r="H438" s="1098">
        <f t="shared" si="153"/>
        <v>0</v>
      </c>
      <c r="I438" s="887">
        <f t="shared" si="151"/>
        <v>419</v>
      </c>
      <c r="J438" s="1099">
        <f t="shared" si="145"/>
        <v>419</v>
      </c>
      <c r="K438" s="891" t="str">
        <f t="shared" si="146"/>
        <v>August</v>
      </c>
      <c r="L438" s="888">
        <f t="shared" si="152"/>
        <v>2062</v>
      </c>
      <c r="M438" s="883">
        <f t="shared" si="147"/>
        <v>0</v>
      </c>
      <c r="N438" s="883">
        <f t="shared" si="138"/>
        <v>0</v>
      </c>
      <c r="O438" s="1100"/>
      <c r="P438" s="883">
        <f t="shared" si="139"/>
        <v>0</v>
      </c>
      <c r="Q438" s="884">
        <f t="shared" si="140"/>
        <v>0</v>
      </c>
      <c r="R438" s="884">
        <f>IF(AND($AR$39="Early Payoff",I438&gt;=$R$13),0,IF($I438&lt;=$R$6,SUM($P$20:$P438),0))</f>
        <v>0</v>
      </c>
      <c r="S438" s="884">
        <f>IF(AND($AR$39="Early Payoff",I438&gt;=$R$13),0,IF($I438&lt;=$R$6,SUM($Q$20:$Q438),0))</f>
        <v>0</v>
      </c>
      <c r="T438" s="873">
        <f>IF($J438&lt;=$R$13,SUM($M438,$P438),0)</f>
        <v>0</v>
      </c>
      <c r="U438" s="1110">
        <f t="shared" si="149"/>
        <v>0</v>
      </c>
    </row>
    <row r="439" spans="2:21" ht="13.5" x14ac:dyDescent="0.25">
      <c r="B439" s="1192">
        <f t="shared" si="150"/>
        <v>439</v>
      </c>
      <c r="C439" s="732">
        <f t="shared" si="141"/>
        <v>30</v>
      </c>
      <c r="D439" s="35">
        <f t="shared" si="142"/>
        <v>9</v>
      </c>
      <c r="E439" s="889">
        <f t="shared" si="137"/>
        <v>59444</v>
      </c>
      <c r="F439" s="822">
        <f t="shared" si="143"/>
        <v>9</v>
      </c>
      <c r="G439" s="126">
        <f t="shared" si="144"/>
        <v>0</v>
      </c>
      <c r="H439" s="1098">
        <f t="shared" si="153"/>
        <v>0</v>
      </c>
      <c r="I439" s="887">
        <f t="shared" si="151"/>
        <v>420</v>
      </c>
      <c r="J439" s="1099">
        <f t="shared" si="145"/>
        <v>420</v>
      </c>
      <c r="K439" s="891" t="str">
        <f t="shared" si="146"/>
        <v>September</v>
      </c>
      <c r="L439" s="888">
        <f t="shared" si="152"/>
        <v>2062</v>
      </c>
      <c r="M439" s="883">
        <f t="shared" si="147"/>
        <v>0</v>
      </c>
      <c r="N439" s="883">
        <f>IF(AND($AR$39="Early Payoff",I439&gt;=$R$13),0,IF($I439&gt;$R$6,0,IF(AND($AQ$29&gt;=0,$I439&lt;=$AQ$29),0,IF(AND($AQ$27&gt;=0,$I439&lt;=$AQ$27),$Q439,IF(AND($S$4="Annual",$AQ$27&gt;=0,$AQ$29&gt;=0,$I439&gt;$AQ$27,$I439&gt;$AQ$29),PMT($L$7,($R$6-$AQ$27),$L$4),IF(AND($S$4="Bi-Annual",$AQ$27&gt;=0,$AQ$29&gt;=0,$I439&gt;$AQ$27,$I439&gt;$AQ$29),PMT($L$7/2,($R$6-$AQ$27),$L$4),IF(AND($S$4="Monthly",$AQ$27&gt;=0,$AQ$29&gt;=0,$I439&gt;$AQ$27,$I439&gt;$AQ$29),PMT($L$7/12,($R$6-$AQ$27),$L$4))))))))-O439</f>
        <v>0</v>
      </c>
      <c r="O439" s="1100"/>
      <c r="P439" s="883">
        <f t="shared" si="139"/>
        <v>0</v>
      </c>
      <c r="Q439" s="884">
        <f>IF(AND($AR$39="Early Payoff",I439&gt;=$R$13),0,IF($S$4="Annual",-$L$7*$T438*1,IF($S$4="Bi-Annual",(-$L$7/2)*$T438*1,IF($S$4="Monthly",(-$L$7/12)*$T438*1))))</f>
        <v>0</v>
      </c>
      <c r="R439" s="884">
        <f>IF(AND($AR$39="Early Payoff",I439&gt;=$R$13),0,IF($I439&lt;=$R$6,SUM($P$20:$P439),0))</f>
        <v>0</v>
      </c>
      <c r="S439" s="884">
        <f>IF(AND($AR$39="Early Payoff",I439&gt;=$R$13),0,IF($I439&lt;=$R$6,SUM($Q$20:$Q439),0))</f>
        <v>0</v>
      </c>
      <c r="T439" s="873">
        <f>IF($J439&lt;=$R$13,SUM($M439,$P439),0)</f>
        <v>0</v>
      </c>
      <c r="U439" s="1110">
        <f t="shared" si="149"/>
        <v>0</v>
      </c>
    </row>
    <row r="440" spans="2:21" ht="13.5" x14ac:dyDescent="0.25">
      <c r="B440" s="1192">
        <f t="shared" si="150"/>
        <v>440</v>
      </c>
      <c r="C440" s="732">
        <f t="shared" si="141"/>
        <v>31</v>
      </c>
      <c r="D440" s="35">
        <f t="shared" si="142"/>
        <v>10</v>
      </c>
      <c r="E440" s="889">
        <f t="shared" si="137"/>
        <v>59475</v>
      </c>
      <c r="F440" s="822">
        <f t="shared" si="143"/>
        <v>10</v>
      </c>
      <c r="G440" s="126">
        <f t="shared" si="144"/>
        <v>0</v>
      </c>
      <c r="H440" s="1098">
        <f t="shared" si="153"/>
        <v>0</v>
      </c>
      <c r="I440" s="887">
        <f t="shared" si="151"/>
        <v>421</v>
      </c>
      <c r="J440" s="1099">
        <f t="shared" si="145"/>
        <v>421</v>
      </c>
      <c r="K440" s="891" t="str">
        <f t="shared" si="146"/>
        <v>October</v>
      </c>
      <c r="L440" s="888">
        <f t="shared" si="152"/>
        <v>2062</v>
      </c>
      <c r="M440" s="883">
        <f t="shared" si="147"/>
        <v>0</v>
      </c>
      <c r="N440" s="883">
        <f t="shared" si="138"/>
        <v>0</v>
      </c>
      <c r="O440" s="1100"/>
      <c r="P440" s="883">
        <f t="shared" si="139"/>
        <v>0</v>
      </c>
      <c r="Q440" s="884">
        <f t="shared" si="140"/>
        <v>0</v>
      </c>
      <c r="R440" s="884">
        <f>IF(AND($AR$39="Early Payoff",I440&gt;=$R$13),0,IF($I440&lt;=$R$6,SUM($P$20:$P440),0))</f>
        <v>0</v>
      </c>
      <c r="S440" s="884">
        <f>IF(AND($AR$39="Early Payoff",I440&gt;=$R$13),0,IF($I440&lt;=$R$6,SUM($Q$20:$Q440),0))</f>
        <v>0</v>
      </c>
      <c r="T440" s="873">
        <f t="shared" si="148"/>
        <v>0</v>
      </c>
      <c r="U440" s="1110">
        <f t="shared" si="149"/>
        <v>0</v>
      </c>
    </row>
    <row r="441" spans="2:21" x14ac:dyDescent="0.2">
      <c r="B441" s="1421"/>
      <c r="C441" s="1417"/>
      <c r="D441" s="1417"/>
      <c r="E441" s="1417"/>
      <c r="F441" s="1417"/>
      <c r="G441" s="1417"/>
      <c r="H441" s="1416"/>
      <c r="I441" s="1416"/>
      <c r="J441" s="1417"/>
      <c r="K441" s="1417"/>
      <c r="L441" s="1417"/>
      <c r="M441" s="1417"/>
      <c r="N441" s="1417"/>
      <c r="O441" s="1417"/>
      <c r="P441" s="1417"/>
      <c r="Q441" s="1417"/>
      <c r="R441" s="1417"/>
      <c r="S441" s="1417"/>
      <c r="T441" s="1418"/>
      <c r="U441" s="1418"/>
    </row>
    <row r="483" spans="1:49" s="22" customFormat="1" x14ac:dyDescent="0.2">
      <c r="A483" s="1"/>
      <c r="B483" s="406"/>
      <c r="H483" s="879"/>
      <c r="I483" s="879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</row>
    <row r="484" spans="1:49" s="22" customFormat="1" x14ac:dyDescent="0.2">
      <c r="A484" s="1"/>
      <c r="B484" s="406"/>
      <c r="H484" s="879"/>
      <c r="I484" s="879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</row>
    <row r="485" spans="1:49" s="22" customFormat="1" x14ac:dyDescent="0.2">
      <c r="A485" s="1"/>
      <c r="B485" s="406"/>
      <c r="H485" s="879"/>
      <c r="I485" s="879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</row>
    <row r="486" spans="1:49" s="22" customFormat="1" x14ac:dyDescent="0.2">
      <c r="A486" s="1"/>
      <c r="B486" s="406"/>
      <c r="H486" s="879"/>
      <c r="I486" s="879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</row>
    <row r="487" spans="1:49" s="22" customFormat="1" x14ac:dyDescent="0.2">
      <c r="A487" s="1"/>
      <c r="B487" s="406"/>
      <c r="H487" s="879"/>
      <c r="I487" s="879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</row>
    <row r="488" spans="1:49" s="22" customFormat="1" x14ac:dyDescent="0.2">
      <c r="A488" s="1"/>
      <c r="B488" s="406"/>
      <c r="H488" s="879"/>
      <c r="I488" s="879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</row>
    <row r="489" spans="1:49" s="22" customFormat="1" x14ac:dyDescent="0.2">
      <c r="A489" s="1"/>
      <c r="B489" s="406"/>
      <c r="H489" s="879"/>
      <c r="I489" s="879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</row>
    <row r="490" spans="1:49" s="22" customFormat="1" x14ac:dyDescent="0.2">
      <c r="A490" s="1"/>
      <c r="B490" s="406"/>
      <c r="H490" s="879"/>
      <c r="I490" s="879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</row>
    <row r="491" spans="1:49" s="22" customFormat="1" x14ac:dyDescent="0.2">
      <c r="A491" s="1"/>
      <c r="B491" s="406"/>
      <c r="H491" s="879"/>
      <c r="I491" s="879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</row>
    <row r="492" spans="1:49" s="22" customFormat="1" x14ac:dyDescent="0.2">
      <c r="A492" s="1"/>
      <c r="B492" s="406"/>
      <c r="H492" s="879"/>
      <c r="I492" s="879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</row>
    <row r="493" spans="1:49" s="22" customFormat="1" x14ac:dyDescent="0.2">
      <c r="A493" s="1"/>
      <c r="B493" s="406"/>
      <c r="H493" s="879"/>
      <c r="I493" s="879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</row>
    <row r="494" spans="1:49" s="22" customFormat="1" x14ac:dyDescent="0.2">
      <c r="A494" s="1"/>
      <c r="B494" s="406"/>
      <c r="H494" s="879"/>
      <c r="I494" s="879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</row>
    <row r="495" spans="1:49" s="22" customFormat="1" x14ac:dyDescent="0.2">
      <c r="A495" s="1"/>
      <c r="B495" s="406"/>
      <c r="H495" s="879"/>
      <c r="I495" s="879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</row>
    <row r="496" spans="1:49" s="22" customFormat="1" x14ac:dyDescent="0.2">
      <c r="A496" s="1"/>
      <c r="B496" s="406"/>
      <c r="H496" s="879"/>
      <c r="I496" s="879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</row>
    <row r="497" spans="1:49" s="22" customFormat="1" x14ac:dyDescent="0.2">
      <c r="A497" s="1"/>
      <c r="B497" s="406"/>
      <c r="H497" s="879"/>
      <c r="I497" s="879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</row>
    <row r="498" spans="1:49" s="22" customFormat="1" x14ac:dyDescent="0.2">
      <c r="A498" s="1"/>
      <c r="B498" s="406"/>
      <c r="H498" s="879"/>
      <c r="I498" s="879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</row>
    <row r="499" spans="1:49" s="22" customFormat="1" x14ac:dyDescent="0.2">
      <c r="A499" s="1"/>
      <c r="B499" s="406"/>
      <c r="H499" s="879"/>
      <c r="I499" s="879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</row>
    <row r="500" spans="1:49" s="22" customFormat="1" x14ac:dyDescent="0.2">
      <c r="A500" s="1"/>
      <c r="B500" s="406"/>
      <c r="H500" s="879"/>
      <c r="I500" s="879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</row>
    <row r="501" spans="1:49" s="22" customFormat="1" x14ac:dyDescent="0.2">
      <c r="A501" s="1"/>
      <c r="B501" s="406"/>
      <c r="H501" s="879"/>
      <c r="I501" s="879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</row>
    <row r="502" spans="1:49" s="22" customFormat="1" x14ac:dyDescent="0.2">
      <c r="A502" s="1"/>
      <c r="B502" s="406"/>
      <c r="H502" s="879"/>
      <c r="I502" s="879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</row>
    <row r="503" spans="1:49" s="22" customFormat="1" x14ac:dyDescent="0.2">
      <c r="A503" s="1"/>
      <c r="B503" s="406"/>
      <c r="H503" s="879"/>
      <c r="I503" s="879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</row>
    <row r="504" spans="1:49" s="22" customFormat="1" x14ac:dyDescent="0.2">
      <c r="A504" s="1"/>
      <c r="B504" s="406"/>
      <c r="H504" s="879"/>
      <c r="I504" s="879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</row>
    <row r="505" spans="1:49" s="22" customFormat="1" x14ac:dyDescent="0.2">
      <c r="A505" s="1"/>
      <c r="B505" s="406"/>
      <c r="H505" s="879"/>
      <c r="I505" s="879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</row>
    <row r="506" spans="1:49" s="22" customFormat="1" x14ac:dyDescent="0.2">
      <c r="A506" s="1"/>
      <c r="B506" s="406"/>
      <c r="H506" s="879"/>
      <c r="I506" s="879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</row>
    <row r="507" spans="1:49" s="22" customFormat="1" x14ac:dyDescent="0.2">
      <c r="A507" s="1"/>
      <c r="B507" s="406"/>
      <c r="H507" s="879"/>
      <c r="I507" s="879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</row>
    <row r="508" spans="1:49" s="22" customFormat="1" x14ac:dyDescent="0.2">
      <c r="A508" s="1"/>
      <c r="B508" s="406"/>
      <c r="H508" s="879"/>
      <c r="I508" s="879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</row>
    <row r="509" spans="1:49" s="22" customFormat="1" x14ac:dyDescent="0.2">
      <c r="A509" s="1"/>
      <c r="B509" s="406"/>
      <c r="H509" s="879"/>
      <c r="I509" s="879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</row>
    <row r="510" spans="1:49" s="22" customFormat="1" x14ac:dyDescent="0.2">
      <c r="A510" s="1"/>
      <c r="B510" s="406"/>
      <c r="H510" s="879"/>
      <c r="I510" s="879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</row>
    <row r="511" spans="1:49" s="22" customFormat="1" x14ac:dyDescent="0.2">
      <c r="A511" s="1"/>
      <c r="B511" s="406"/>
      <c r="H511" s="879"/>
      <c r="I511" s="879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</row>
    <row r="512" spans="1:49" s="22" customFormat="1" x14ac:dyDescent="0.2">
      <c r="A512" s="1"/>
      <c r="B512" s="406"/>
      <c r="H512" s="879"/>
      <c r="I512" s="879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</row>
    <row r="513" spans="1:49" s="22" customFormat="1" x14ac:dyDescent="0.2">
      <c r="A513" s="1"/>
      <c r="B513" s="406"/>
      <c r="H513" s="879"/>
      <c r="I513" s="879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</row>
    <row r="514" spans="1:49" s="22" customFormat="1" x14ac:dyDescent="0.2">
      <c r="A514" s="1"/>
      <c r="B514" s="406"/>
      <c r="H514" s="879"/>
      <c r="I514" s="879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</row>
    <row r="515" spans="1:49" s="22" customFormat="1" x14ac:dyDescent="0.2">
      <c r="A515" s="1"/>
      <c r="B515" s="406"/>
      <c r="H515" s="879"/>
      <c r="I515" s="879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</row>
    <row r="516" spans="1:49" s="22" customFormat="1" x14ac:dyDescent="0.2">
      <c r="A516" s="1"/>
      <c r="B516" s="406"/>
      <c r="H516" s="879"/>
      <c r="I516" s="879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</row>
    <row r="517" spans="1:49" s="22" customFormat="1" x14ac:dyDescent="0.2">
      <c r="A517" s="1"/>
      <c r="B517" s="406"/>
      <c r="H517" s="879"/>
      <c r="I517" s="879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</row>
    <row r="518" spans="1:49" s="22" customFormat="1" x14ac:dyDescent="0.2">
      <c r="A518" s="1"/>
      <c r="B518" s="406"/>
      <c r="H518" s="879"/>
      <c r="I518" s="879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</row>
    <row r="519" spans="1:49" s="22" customFormat="1" x14ac:dyDescent="0.2">
      <c r="A519" s="1"/>
      <c r="B519" s="406"/>
      <c r="H519" s="879"/>
      <c r="I519" s="879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</row>
    <row r="520" spans="1:49" s="22" customFormat="1" x14ac:dyDescent="0.2">
      <c r="A520" s="1"/>
      <c r="B520" s="406"/>
      <c r="H520" s="879"/>
      <c r="I520" s="879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</row>
    <row r="521" spans="1:49" s="22" customFormat="1" x14ac:dyDescent="0.2">
      <c r="A521" s="1"/>
      <c r="B521" s="406"/>
      <c r="H521" s="879"/>
      <c r="I521" s="879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</row>
    <row r="522" spans="1:49" s="22" customFormat="1" x14ac:dyDescent="0.2">
      <c r="A522" s="1"/>
      <c r="B522" s="406"/>
      <c r="H522" s="879"/>
      <c r="I522" s="879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</row>
    <row r="523" spans="1:49" s="22" customFormat="1" x14ac:dyDescent="0.2">
      <c r="A523" s="1"/>
      <c r="B523" s="406"/>
      <c r="H523" s="879"/>
      <c r="I523" s="879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</row>
    <row r="524" spans="1:49" s="22" customFormat="1" x14ac:dyDescent="0.2">
      <c r="A524" s="1"/>
      <c r="B524" s="406"/>
      <c r="H524" s="879"/>
      <c r="I524" s="879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</row>
    <row r="525" spans="1:49" s="22" customFormat="1" x14ac:dyDescent="0.2">
      <c r="A525" s="1"/>
      <c r="B525" s="406"/>
      <c r="H525" s="879"/>
      <c r="I525" s="879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</row>
    <row r="526" spans="1:49" s="22" customFormat="1" x14ac:dyDescent="0.2">
      <c r="A526" s="1"/>
      <c r="B526" s="406"/>
      <c r="H526" s="879"/>
      <c r="I526" s="879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</row>
    <row r="527" spans="1:49" s="22" customFormat="1" x14ac:dyDescent="0.2">
      <c r="A527" s="1"/>
      <c r="B527" s="406"/>
      <c r="H527" s="879"/>
      <c r="I527" s="879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</row>
    <row r="528" spans="1:49" s="22" customFormat="1" x14ac:dyDescent="0.2">
      <c r="A528" s="1"/>
      <c r="B528" s="406"/>
      <c r="H528" s="879"/>
      <c r="I528" s="879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</row>
    <row r="529" spans="1:49" s="22" customFormat="1" x14ac:dyDescent="0.2">
      <c r="A529" s="1"/>
      <c r="B529" s="406"/>
      <c r="H529" s="879"/>
      <c r="I529" s="879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</row>
    <row r="530" spans="1:49" s="22" customFormat="1" x14ac:dyDescent="0.2">
      <c r="A530" s="1"/>
      <c r="B530" s="406"/>
      <c r="H530" s="879"/>
      <c r="I530" s="879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</row>
    <row r="531" spans="1:49" s="22" customFormat="1" x14ac:dyDescent="0.2">
      <c r="A531" s="1"/>
      <c r="B531" s="406"/>
      <c r="H531" s="879"/>
      <c r="I531" s="879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</row>
    <row r="532" spans="1:49" s="22" customFormat="1" x14ac:dyDescent="0.2">
      <c r="A532" s="1"/>
      <c r="B532" s="406"/>
      <c r="H532" s="879"/>
      <c r="I532" s="879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</row>
  </sheetData>
  <sheetProtection formatColumns="0"/>
  <mergeCells count="15">
    <mergeCell ref="I18:U18"/>
    <mergeCell ref="W18:Z18"/>
    <mergeCell ref="AB18:AM18"/>
    <mergeCell ref="I8:J8"/>
    <mergeCell ref="I9:J9"/>
    <mergeCell ref="I10:J10"/>
    <mergeCell ref="I11:J11"/>
    <mergeCell ref="I12:J12"/>
    <mergeCell ref="I13:J13"/>
    <mergeCell ref="I6:J6"/>
    <mergeCell ref="I3:L3"/>
    <mergeCell ref="P3:S3"/>
    <mergeCell ref="W3:Z3"/>
    <mergeCell ref="I4:J4"/>
    <mergeCell ref="I5:J5"/>
  </mergeCells>
  <conditionalFormatting sqref="B20:U440 W20:Z379">
    <cfRule type="expression" dxfId="61" priority="10">
      <formula>IF($I20=$R$6,"TRUE","FALSE")</formula>
    </cfRule>
    <cfRule type="expression" dxfId="60" priority="11">
      <formula>IF($I20&gt;$R$6,"TRUE","FALSE")</formula>
    </cfRule>
  </conditionalFormatting>
  <conditionalFormatting sqref="D20:G440">
    <cfRule type="expression" dxfId="59" priority="8">
      <formula>IF($H$8="No","TRUE","FALSE")</formula>
    </cfRule>
  </conditionalFormatting>
  <conditionalFormatting sqref="Q5">
    <cfRule type="expression" dxfId="58" priority="3">
      <formula>IF($S$4="Monthly","TRUE","FALSE")</formula>
    </cfRule>
  </conditionalFormatting>
  <conditionalFormatting sqref="R5">
    <cfRule type="expression" dxfId="57" priority="9">
      <formula>IF(OR($S$4="Annual",$S$4="Monthly"),"TRUE","FALSE")</formula>
    </cfRule>
  </conditionalFormatting>
  <conditionalFormatting sqref="Y5:Y7">
    <cfRule type="expression" dxfId="56" priority="5">
      <formula>IF($X5="N/A","TRUE","FALSE")</formula>
    </cfRule>
    <cfRule type="expression" dxfId="55" priority="6">
      <formula>IF($X5="Fixed Amount","TRUE","FALSE")</formula>
    </cfRule>
    <cfRule type="expression" dxfId="54" priority="7">
      <formula>IF(OR($X5="%/Payment",$X5="%/Balance"),"TRUE","FALSE")</formula>
    </cfRule>
  </conditionalFormatting>
  <conditionalFormatting sqref="Z5:Z7">
    <cfRule type="expression" dxfId="53" priority="4">
      <formula>IF(OR($X5="N/A",$X5="Fixed Amount"),"TRUE","FALSE")</formula>
    </cfRule>
  </conditionalFormatting>
  <conditionalFormatting sqref="AB20:AM49">
    <cfRule type="expression" dxfId="52" priority="1">
      <formula>IF($AB20&gt;$L$5,"TRUE","FALSE")</formula>
    </cfRule>
    <cfRule type="expression" dxfId="51" priority="2">
      <formula>IF($AB20=$L$5,"TRUE","FALSE")</formula>
    </cfRule>
  </conditionalFormatting>
  <dataValidations count="2">
    <dataValidation type="list" allowBlank="1" showInputMessage="1" showErrorMessage="1" sqref="J7" xr:uid="{82FD70B8-4E8F-46C4-9328-7FD56F1FC2B5}">
      <formula1>"Base Rate,Actual/360 Rate,Actual/365 Rate"</formula1>
    </dataValidation>
    <dataValidation type="list" allowBlank="1" showInputMessage="1" showErrorMessage="1" sqref="X5:X7" xr:uid="{8C098B6B-31CC-4E5C-BF6C-10DCB7C73E7F}">
      <formula1>"%/Payment, %/Balance, Fixed Amount, N/A"</formula1>
    </dataValidation>
  </dataValidations>
  <printOptions horizontalCentered="1"/>
  <pageMargins left="0.65" right="0.65" top="0.65" bottom="0.65" header="0.5" footer="0.5"/>
  <pageSetup scale="63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61B56-E6C7-48EA-99C3-8A9620CC87FC}">
  <sheetPr>
    <tabColor theme="4" tint="0.79998168889431442"/>
    <pageSetUpPr autoPageBreaks="0" fitToPage="1"/>
  </sheetPr>
  <dimension ref="A1:AW532"/>
  <sheetViews>
    <sheetView showGridLines="0" zoomScaleNormal="100" workbookViewId="0">
      <selection activeCell="V8" sqref="V8"/>
    </sheetView>
  </sheetViews>
  <sheetFormatPr defaultColWidth="16.140625" defaultRowHeight="12.75" outlineLevelCol="1" x14ac:dyDescent="0.2"/>
  <cols>
    <col min="1" max="1" width="7.42578125" style="1" customWidth="1"/>
    <col min="2" max="2" width="6.140625" style="406" hidden="1" customWidth="1" outlineLevel="1"/>
    <col min="3" max="4" width="3.7109375" style="22" hidden="1" customWidth="1" outlineLevel="1"/>
    <col min="5" max="5" width="14.140625" style="22" hidden="1" customWidth="1" outlineLevel="1"/>
    <col min="6" max="7" width="3.7109375" style="22" hidden="1" customWidth="1" outlineLevel="1"/>
    <col min="8" max="8" width="3.7109375" style="879" hidden="1" customWidth="1" outlineLevel="1"/>
    <col min="9" max="9" width="5.42578125" style="879" customWidth="1" collapsed="1"/>
    <col min="10" max="10" width="17.85546875" style="22" customWidth="1"/>
    <col min="11" max="12" width="14.28515625" style="22" customWidth="1"/>
    <col min="13" max="14" width="16.140625" style="22"/>
    <col min="15" max="15" width="18.28515625" style="22" hidden="1" customWidth="1" outlineLevel="1"/>
    <col min="16" max="16" width="18.140625" style="22" customWidth="1" collapsed="1"/>
    <col min="17" max="19" width="16.140625" style="22"/>
    <col min="20" max="21" width="16.140625" style="1"/>
    <col min="22" max="22" width="6.42578125" style="1" customWidth="1"/>
    <col min="23" max="26" width="18.7109375" style="1" hidden="1" customWidth="1" outlineLevel="1"/>
    <col min="27" max="27" width="16.140625" style="1" collapsed="1"/>
    <col min="28" max="28" width="9.28515625" style="1" customWidth="1"/>
    <col min="29" max="41" width="16.140625" style="1"/>
    <col min="42" max="42" width="23.28515625" style="1" customWidth="1"/>
    <col min="43" max="43" width="16.140625" style="1"/>
    <col min="44" max="44" width="12.140625" style="1" customWidth="1"/>
    <col min="45" max="16384" width="16.140625" style="1"/>
  </cols>
  <sheetData>
    <row r="1" spans="2:26" s="278" customFormat="1" ht="49.15" customHeight="1" x14ac:dyDescent="0.4">
      <c r="B1" s="409"/>
      <c r="C1" s="365"/>
      <c r="D1" s="365"/>
      <c r="E1" s="365"/>
      <c r="F1" s="365"/>
      <c r="G1" s="365"/>
      <c r="H1" s="876"/>
      <c r="I1" s="1053" t="s">
        <v>321</v>
      </c>
      <c r="J1" s="1054"/>
      <c r="K1" s="365"/>
      <c r="L1" s="366"/>
      <c r="M1" s="366"/>
      <c r="N1" s="366"/>
      <c r="O1" s="366"/>
      <c r="P1" s="365"/>
      <c r="Q1" s="279"/>
      <c r="R1" s="279"/>
      <c r="S1" s="279"/>
    </row>
    <row r="2" spans="2:26" s="278" customFormat="1" ht="4.5" customHeight="1" x14ac:dyDescent="0.25">
      <c r="B2" s="412"/>
      <c r="C2" s="280"/>
      <c r="D2" s="280"/>
      <c r="E2" s="280"/>
      <c r="F2" s="280"/>
      <c r="G2" s="280"/>
      <c r="H2" s="877"/>
      <c r="I2" s="877"/>
      <c r="J2" s="280"/>
      <c r="K2" s="280"/>
      <c r="L2" s="286"/>
      <c r="M2" s="286"/>
      <c r="N2" s="286"/>
      <c r="O2" s="286"/>
      <c r="P2" s="280"/>
      <c r="Q2" s="279"/>
      <c r="R2" s="279"/>
      <c r="S2" s="279"/>
    </row>
    <row r="3" spans="2:26" s="278" customFormat="1" ht="18" customHeight="1" x14ac:dyDescent="0.25">
      <c r="B3" s="409"/>
      <c r="C3" s="280"/>
      <c r="D3" s="280"/>
      <c r="E3" s="280"/>
      <c r="F3" s="280"/>
      <c r="G3" s="280"/>
      <c r="H3" s="877"/>
      <c r="I3" s="1564" t="s">
        <v>453</v>
      </c>
      <c r="J3" s="1564"/>
      <c r="K3" s="1564"/>
      <c r="L3" s="1565"/>
      <c r="M3" s="1055"/>
      <c r="P3" s="1561" t="s">
        <v>447</v>
      </c>
      <c r="Q3" s="1562"/>
      <c r="R3" s="1562"/>
      <c r="S3" s="1563"/>
      <c r="W3" s="1561" t="s">
        <v>458</v>
      </c>
      <c r="X3" s="1562"/>
      <c r="Y3" s="1562"/>
      <c r="Z3" s="1563"/>
    </row>
    <row r="4" spans="2:26" s="278" customFormat="1" ht="12" customHeight="1" x14ac:dyDescent="0.25">
      <c r="B4" s="409"/>
      <c r="C4" s="291"/>
      <c r="D4" s="291"/>
      <c r="E4" s="291"/>
      <c r="F4" s="291"/>
      <c r="G4" s="291"/>
      <c r="H4" s="878"/>
      <c r="I4" s="1566" t="s">
        <v>448</v>
      </c>
      <c r="J4" s="1567"/>
      <c r="K4" s="360"/>
      <c r="L4" s="874">
        <f>IF('Financing Assumptions'!$H$44="No",0,'Financing Assumptions'!$H$53)</f>
        <v>0</v>
      </c>
      <c r="P4" s="378" t="s">
        <v>449</v>
      </c>
      <c r="Q4" s="1056">
        <f>INDEX($AS$22:$AT$34,MATCH(Q$5,$AS$22:$AS$34,0),MATCH("Number",$AS$22:$AT$22,0))</f>
        <v>8</v>
      </c>
      <c r="R4" s="1056">
        <f>INDEX($AS$22:$AT$34,MATCH(R$5,$AS$22:$AS$34,0),MATCH("Number",$AS$22:$AT$22,0))</f>
        <v>3</v>
      </c>
      <c r="S4" s="1057" t="s">
        <v>379</v>
      </c>
      <c r="T4" s="873"/>
      <c r="U4" s="873"/>
      <c r="W4" s="1058" t="s">
        <v>505</v>
      </c>
      <c r="X4" s="1059" t="s">
        <v>506</v>
      </c>
      <c r="Y4" s="1059" t="s">
        <v>507</v>
      </c>
      <c r="Z4" s="1060" t="s">
        <v>508</v>
      </c>
    </row>
    <row r="5" spans="2:26" s="278" customFormat="1" ht="12" customHeight="1" x14ac:dyDescent="0.25">
      <c r="B5" s="409"/>
      <c r="C5" s="291"/>
      <c r="D5" s="291"/>
      <c r="E5" s="291"/>
      <c r="F5" s="291"/>
      <c r="G5" s="291"/>
      <c r="H5" s="878"/>
      <c r="I5" s="1568" t="s">
        <v>450</v>
      </c>
      <c r="J5" s="1569"/>
      <c r="K5" s="345"/>
      <c r="L5" s="1172">
        <f>IF('Financing Assumptions'!$H$44="No",0,'Financing Assumptions'!$H$57)</f>
        <v>0</v>
      </c>
      <c r="N5" s="875"/>
      <c r="P5" s="347" t="str">
        <f>IF(S4="Annual","Payment Month",IF($S$4="Bi-Annual","Payment Months",IF($S$4="Monthly","Payment Start Month")))</f>
        <v>Payment Start Month</v>
      </c>
      <c r="Q5" s="1179" t="s">
        <v>509</v>
      </c>
      <c r="R5" s="1179" t="s">
        <v>378</v>
      </c>
      <c r="S5" s="1180" t="str">
        <f>IF(S4="Monthly",K20,"")</f>
        <v>June</v>
      </c>
      <c r="T5" s="873"/>
      <c r="U5" s="873"/>
      <c r="W5" s="1063" t="s">
        <v>455</v>
      </c>
      <c r="X5" s="1064" t="s">
        <v>332</v>
      </c>
      <c r="Y5" s="1065">
        <v>250</v>
      </c>
      <c r="Z5" s="1066">
        <v>20000</v>
      </c>
    </row>
    <row r="6" spans="2:26" s="278" customFormat="1" ht="12" customHeight="1" x14ac:dyDescent="0.25">
      <c r="B6" s="409"/>
      <c r="C6" s="291"/>
      <c r="D6" s="291"/>
      <c r="E6" s="291"/>
      <c r="F6" s="291"/>
      <c r="G6" s="291"/>
      <c r="H6" s="878"/>
      <c r="I6" s="1570" t="s">
        <v>26</v>
      </c>
      <c r="J6" s="1571"/>
      <c r="K6" s="1067"/>
      <c r="L6" s="1171">
        <f>IF('Financing Assumptions'!$H$44="No",0,'Financing Assumptions'!$H$56)</f>
        <v>0</v>
      </c>
      <c r="N6" s="875"/>
      <c r="P6" s="378" t="s">
        <v>462</v>
      </c>
      <c r="Q6" s="360"/>
      <c r="R6" s="1181">
        <f>IF($S$4="Annual",$L$5,IF($S$4="Bi-Annual",$L$5*2,IF($S$4="Monthly",$L$5*12)))</f>
        <v>0</v>
      </c>
      <c r="S6" s="1107"/>
      <c r="T6" s="873"/>
      <c r="U6" s="873"/>
      <c r="W6" s="1063" t="s">
        <v>456</v>
      </c>
      <c r="X6" s="1064" t="s">
        <v>332</v>
      </c>
      <c r="Y6" s="1065">
        <v>1125</v>
      </c>
      <c r="Z6" s="1066">
        <v>0</v>
      </c>
    </row>
    <row r="7" spans="2:26" s="278" customFormat="1" ht="12" customHeight="1" x14ac:dyDescent="0.25">
      <c r="B7" s="409"/>
      <c r="C7" s="291"/>
      <c r="D7" s="291"/>
      <c r="E7" s="291"/>
      <c r="F7" s="291"/>
      <c r="G7" s="291"/>
      <c r="H7" s="878"/>
      <c r="I7" s="1069"/>
      <c r="J7" s="1070" t="s">
        <v>308</v>
      </c>
      <c r="K7" s="1071"/>
      <c r="L7" s="1171">
        <f>IF($J$7="Actual/360 Rate",($L$6/360)*365,IF($J$7="Base Rate",$L$6))</f>
        <v>0</v>
      </c>
      <c r="N7" s="345"/>
      <c r="P7" s="379" t="s">
        <v>510</v>
      </c>
      <c r="Q7" s="342"/>
      <c r="R7" s="1080">
        <f>IF($S$4="Annual",$L$5-$AQ$27,IF($S$4="Bi-Annual",($L$5*2)-$AQ$27,IF($S$4="Monthly",($L$5*12)-$AQ$27)))</f>
        <v>0</v>
      </c>
      <c r="S7" s="568"/>
      <c r="T7" s="345"/>
      <c r="U7" s="345"/>
      <c r="W7" s="1073" t="s">
        <v>457</v>
      </c>
      <c r="X7" s="1064" t="s">
        <v>332</v>
      </c>
      <c r="Y7" s="1074">
        <v>500</v>
      </c>
      <c r="Z7" s="1075">
        <v>0</v>
      </c>
    </row>
    <row r="8" spans="2:26" s="278" customFormat="1" ht="12" customHeight="1" x14ac:dyDescent="0.25">
      <c r="B8" s="409"/>
      <c r="C8" s="291"/>
      <c r="D8" s="291"/>
      <c r="E8" s="291"/>
      <c r="F8" s="291"/>
      <c r="G8" s="291"/>
      <c r="H8" s="878"/>
      <c r="I8" s="1568" t="s">
        <v>431</v>
      </c>
      <c r="J8" s="1569"/>
      <c r="K8" s="881"/>
      <c r="L8" s="1182">
        <f>YEAR('Financing Assumptions'!$H$47)</f>
        <v>2030</v>
      </c>
      <c r="P8" s="347" t="s">
        <v>511</v>
      </c>
      <c r="Q8" s="345"/>
      <c r="R8" s="345"/>
      <c r="S8" s="1082">
        <f>IF('Financing Assumptions'!$H$44="No",0,IF($S$4="Annual",PMT($L$7,($R$6-$AQ$29),$L$4),IF($S$4="Bi-Annual",PMT($L$7/2,($R$6-$AQ$29),$L$4),IF($S$4="Monthly",PMT($L$7/12,($R$6-$AQ$27),$L$4)))))</f>
        <v>0</v>
      </c>
      <c r="W8" s="378" t="str">
        <f>"Total "&amp;W5</f>
        <v>Total Collection Fee</v>
      </c>
      <c r="X8" s="360"/>
      <c r="Y8" s="360"/>
      <c r="Z8" s="1078">
        <f>SUMIFS(W20:W379,I20:I379,"&lt;="&amp;$R$6)</f>
        <v>0</v>
      </c>
    </row>
    <row r="9" spans="2:26" s="278" customFormat="1" ht="11.85" customHeight="1" x14ac:dyDescent="0.25">
      <c r="B9" s="409"/>
      <c r="C9" s="291"/>
      <c r="D9" s="291"/>
      <c r="E9" s="291"/>
      <c r="F9" s="291"/>
      <c r="G9" s="291"/>
      <c r="H9" s="878"/>
      <c r="I9" s="1579" t="s">
        <v>430</v>
      </c>
      <c r="J9" s="1580"/>
      <c r="K9" s="1183"/>
      <c r="L9" s="1184" t="str">
        <f>INDEX($AT$22:$AU$34,MATCH(MONTH('Financing Assumptions'!$H$47),$AT$22:$AT$34,0),MATCH("MONTH",$AT$22:$AU$22,0))</f>
        <v>June</v>
      </c>
      <c r="P9" s="347" t="s">
        <v>512</v>
      </c>
      <c r="Q9" s="345"/>
      <c r="R9" s="345"/>
      <c r="S9" s="1085">
        <f>IF('Financing Assumptions'!$H$44="No",0,IF($S$4="Annual",$S$8,IF($S$4="Bi-Annual",$S$8*2,IF($S$4="Monthly",S8*12))))</f>
        <v>0</v>
      </c>
      <c r="W9" s="347" t="str">
        <f>"Total "&amp;W6</f>
        <v>Total Lender Service Fee</v>
      </c>
      <c r="X9"/>
      <c r="Y9"/>
      <c r="Z9" s="1081">
        <f>SUMIFS(X20:X379,I20:I379,"&lt;="&amp;$R$6)</f>
        <v>0</v>
      </c>
    </row>
    <row r="10" spans="2:26" s="278" customFormat="1" ht="11.85" customHeight="1" x14ac:dyDescent="0.25">
      <c r="B10" s="409"/>
      <c r="C10" s="291"/>
      <c r="D10" s="291"/>
      <c r="E10" s="291"/>
      <c r="F10" s="291"/>
      <c r="G10" s="291"/>
      <c r="H10" s="878"/>
      <c r="I10" s="1579" t="s">
        <v>431</v>
      </c>
      <c r="J10" s="1580"/>
      <c r="K10" s="1183"/>
      <c r="L10" s="1185">
        <f>AQ24</f>
        <v>47664</v>
      </c>
      <c r="P10" s="378" t="s">
        <v>514</v>
      </c>
      <c r="Q10" s="360"/>
      <c r="R10" s="360"/>
      <c r="S10" s="1088">
        <f>IF('Financing Assumptions'!$H$44="No",0,SUM(S11:S12))</f>
        <v>0</v>
      </c>
      <c r="U10" s="1186"/>
      <c r="W10" s="379" t="str">
        <f>"Total "&amp;W7</f>
        <v>Total County Admin Fee</v>
      </c>
      <c r="X10" s="1050"/>
      <c r="Y10" s="1050"/>
      <c r="Z10" s="1083">
        <f>SUMIFS(Y20:Y379,I20:I379,"&lt;="&amp;$R$6)</f>
        <v>0</v>
      </c>
    </row>
    <row r="11" spans="2:26" s="278" customFormat="1" ht="11.85" customHeight="1" x14ac:dyDescent="0.25">
      <c r="B11" s="409"/>
      <c r="C11" s="291"/>
      <c r="D11" s="291"/>
      <c r="E11" s="291"/>
      <c r="F11" s="291"/>
      <c r="G11" s="291"/>
      <c r="H11" s="878"/>
      <c r="I11" s="1566" t="s">
        <v>459</v>
      </c>
      <c r="J11" s="1567"/>
      <c r="K11" s="1076">
        <f>L11/12</f>
        <v>0</v>
      </c>
      <c r="L11" s="892">
        <f>IF('Financing Assumptions'!$H$44="No",0,'Financing Assumptions'!$H$58)</f>
        <v>0</v>
      </c>
      <c r="N11" s="315"/>
      <c r="O11" s="315"/>
      <c r="P11" s="347" t="s">
        <v>517</v>
      </c>
      <c r="Q11" s="345"/>
      <c r="R11" s="345"/>
      <c r="S11" s="1174">
        <f>IF('Financing Assumptions'!$H$44="No",0,INDEX($I$19:$T$440,MATCH($R$6,$I$19:$I$440,0),MATCH($R$19,$I$19:$T$19,0)))</f>
        <v>0</v>
      </c>
      <c r="W11" s="378" t="s">
        <v>513</v>
      </c>
      <c r="X11" s="360"/>
      <c r="Y11" s="360"/>
      <c r="Z11" s="1086">
        <f>SUM(SUMIFS($W$20:$W$379,$I$20:$I$379,"&lt;="&amp;$R$6),SUMIFS($X$20:$X$379,$I$20:$I$379,"&lt;="&amp;$R$6),SUMIFS($Y$20:$Y$379,$I$20:$I$379,"&lt;="&amp;$R$6))</f>
        <v>0</v>
      </c>
    </row>
    <row r="12" spans="2:26" s="278" customFormat="1" ht="11.85" customHeight="1" x14ac:dyDescent="0.25">
      <c r="B12" s="409"/>
      <c r="C12" s="291"/>
      <c r="D12" s="291"/>
      <c r="E12" s="291"/>
      <c r="F12" s="291"/>
      <c r="G12" s="291"/>
      <c r="H12" s="878"/>
      <c r="I12" s="1572" t="s">
        <v>162</v>
      </c>
      <c r="J12" s="1573"/>
      <c r="K12" s="1079">
        <f>L12/12</f>
        <v>0</v>
      </c>
      <c r="L12" s="518">
        <f>IF('Financing Assumptions'!$H$44="No",0,'Financing Assumptions'!G59)</f>
        <v>0</v>
      </c>
      <c r="N12" s="315"/>
      <c r="O12" s="315"/>
      <c r="P12" s="347" t="s">
        <v>518</v>
      </c>
      <c r="Q12" s="345"/>
      <c r="R12" s="345"/>
      <c r="S12" s="1174">
        <f>IF('Financing Assumptions'!$H$44="No",0,INDEX($I$19:$T$440,MATCH($R$6,$I$19:$I$440,0),MATCH($S$19,$I$19:$T$19,0))-L13)</f>
        <v>0</v>
      </c>
      <c r="W12" s="379" t="s">
        <v>515</v>
      </c>
      <c r="X12" s="1050"/>
      <c r="Y12" s="1050"/>
      <c r="Z12" s="1083">
        <f>SUMIFS(Z20:Z379,I20:I379,"&lt;="&amp;$R$6)</f>
        <v>0</v>
      </c>
    </row>
    <row r="13" spans="2:26" s="278" customFormat="1" ht="11.85" customHeight="1" x14ac:dyDescent="0.25">
      <c r="B13" s="409"/>
      <c r="C13" s="291"/>
      <c r="D13" s="291"/>
      <c r="E13" s="291"/>
      <c r="F13" s="291"/>
      <c r="G13" s="291"/>
      <c r="H13" s="878"/>
      <c r="I13" s="1581" t="s">
        <v>516</v>
      </c>
      <c r="J13" s="1582"/>
      <c r="K13" s="1187"/>
      <c r="L13" s="1188">
        <f>IF($L$12=0,0,INDEX($I$19:$T$379,MATCH($AQ$29,$I$19:$I$379,0),MATCH($S$19,$I$19:$T$19,0)))</f>
        <v>0</v>
      </c>
      <c r="N13" s="315"/>
      <c r="O13" s="315"/>
      <c r="P13" s="378" t="s">
        <v>546</v>
      </c>
      <c r="Q13" s="360"/>
      <c r="R13" s="1457">
        <f>IF($S$4="Monthly",INDEX($B$19:$I$440,MATCH($S$13,$E$19:$E$440,0),MATCH("Period",$B$19:$I$19,0)),IF(AND($S$4="Annual",$AR$40&gt;$Q$4),INDEX($B$19:$I$440,MATCH(EOMONTH(DATE(YEAR($S$13)+1,$Q$4,1),0),$E$19:$E$440,0),MATCH("Period",$B$19:$I$19,0)),IF(AND($S$4="Annual",$AR$40&lt;=$Q$4),INDEX($B$19:$I$440,MATCH(EOMONTH(DATE(YEAR($S$13),$Q$4,1),0),$E$19:$E$440,0),MATCH("Period",$B$19:$I$19,0)),IF(AND($S$4="Bi-Annual",$AR$40&gt;MAX($Q$4,$R$4)),INDEX($B$19:$I$440,MATCH(EOMONTH(DATE(YEAR($S$13)+1,MIN($Q$4,$R$4),1),0),$E$19:$E$440,0),MATCH("Period",$B$19:$I$19,0)),IF(AND($S$4="Bi-Annual",$AR$40&lt;MIN($Q$4,$R$4)),INDEX($B$19:$I$440,MATCH(EOMONTH(DATE(YEAR($S$13)-1,MAX($Q$4,$R$4),1),0),$E$19:$E$440,0),MATCH("Period",$B$19:$I$19,0)),IF(AND($S$4="Bi-Annual",$AR$40&gt;MIN($Q$4,$R$4),$AR$40&lt;MAX($Q$4,$R$4)),INDEX($B$19:$I$440,MATCH(EOMONTH(DATE(YEAR($S$13),MAX($Q$4,$R$4),1),0),$E$19:$E$440,0),MATCH("Period",$B$19:$I$19,0)),IF(AND($S$4="Bi-Annual",$AR$40=MIN($Q$4,$R$4)),INDEX($B$19:$I$440,MATCH(EOMONTH(DATE(YEAR($S$13),MAX($Q$4,$R$4),1),0),$E$19:$E$440,0),MATCH("Period",$B$19:$I$19,0)),IF(AND($S$4="Bi-Annual",$AR$40=MAX($Q$4,$R$4)),INDEX($B$19:$I$440,MATCH(EOMONTH(DATE(YEAR($S$13)+1,MIN($Q$4,$R$4),1),0),$E$19:$E$440,0),MATCH("Period",$B$19:$I$19,0))))))))))</f>
        <v>360</v>
      </c>
      <c r="S13" s="1189">
        <f>EOMONTH('Financing Assumptions'!H49,-1)</f>
        <v>58592</v>
      </c>
    </row>
    <row r="14" spans="2:26" s="278" customFormat="1" ht="11.85" customHeight="1" x14ac:dyDescent="0.25">
      <c r="B14" s="409"/>
      <c r="C14" s="291"/>
      <c r="D14" s="291"/>
      <c r="E14" s="291"/>
      <c r="F14" s="291"/>
      <c r="G14" s="291"/>
      <c r="H14" s="878"/>
      <c r="I14" s="878"/>
      <c r="J14" s="279"/>
      <c r="K14" s="279"/>
      <c r="L14" s="279"/>
      <c r="M14" s="279"/>
      <c r="P14" s="379" t="s">
        <v>547</v>
      </c>
      <c r="Q14" s="342"/>
      <c r="R14" s="342">
        <f>IF($AR$39="Full-Term",$R$13,$R$13-1)</f>
        <v>360</v>
      </c>
      <c r="S14" s="1091">
        <f>INDEX($E$19:$I$440,MATCH($R$14,$I$19:$I$440,0),MATCH("Date",$E$19:$I$19,0))</f>
        <v>58592</v>
      </c>
    </row>
    <row r="15" spans="2:26" s="278" customFormat="1" ht="11.85" customHeight="1" x14ac:dyDescent="0.25">
      <c r="B15" s="409"/>
      <c r="C15" s="291"/>
      <c r="D15" s="291"/>
      <c r="E15" s="291"/>
      <c r="F15" s="291"/>
      <c r="G15" s="291"/>
      <c r="H15" s="878"/>
      <c r="I15" s="878"/>
      <c r="J15" s="279"/>
      <c r="K15" s="279"/>
      <c r="L15" s="279"/>
      <c r="M15" s="279"/>
      <c r="N15" s="315"/>
      <c r="O15" s="315"/>
    </row>
    <row r="16" spans="2:26" s="278" customFormat="1" ht="11.85" customHeight="1" x14ac:dyDescent="0.25">
      <c r="B16" s="409"/>
      <c r="C16" s="291"/>
      <c r="D16" s="291"/>
      <c r="E16" s="291"/>
      <c r="F16" s="291"/>
      <c r="G16" s="291"/>
      <c r="H16" s="878"/>
      <c r="I16" s="878"/>
      <c r="J16" s="279"/>
      <c r="K16" s="279"/>
      <c r="L16" s="279"/>
      <c r="M16" s="279"/>
    </row>
    <row r="17" spans="2:49" s="278" customFormat="1" ht="11.85" customHeight="1" x14ac:dyDescent="0.25">
      <c r="B17" s="410"/>
      <c r="C17" s="280"/>
      <c r="D17" s="280"/>
      <c r="E17" s="280"/>
      <c r="F17" s="280"/>
      <c r="G17" s="280"/>
      <c r="H17" s="877"/>
      <c r="I17" s="877"/>
      <c r="J17" s="279"/>
      <c r="K17" s="279"/>
      <c r="M17" s="279"/>
    </row>
    <row r="18" spans="2:49" s="278" customFormat="1" ht="18" customHeight="1" x14ac:dyDescent="0.25">
      <c r="B18" s="410"/>
      <c r="C18" s="280"/>
      <c r="D18" s="280"/>
      <c r="E18" s="280"/>
      <c r="F18" s="280"/>
      <c r="G18" s="280"/>
      <c r="H18" s="877"/>
      <c r="I18" s="1576" t="s">
        <v>451</v>
      </c>
      <c r="J18" s="1577"/>
      <c r="K18" s="1577"/>
      <c r="L18" s="1577"/>
      <c r="M18" s="1577"/>
      <c r="N18" s="1577"/>
      <c r="O18" s="1577"/>
      <c r="P18" s="1577"/>
      <c r="Q18" s="1577"/>
      <c r="R18" s="1577"/>
      <c r="S18" s="1577"/>
      <c r="T18" s="1577"/>
      <c r="U18" s="1578"/>
      <c r="W18" s="1561" t="s">
        <v>458</v>
      </c>
      <c r="X18" s="1562"/>
      <c r="Y18" s="1562"/>
      <c r="Z18" s="1563"/>
      <c r="AB18" s="1561" t="s">
        <v>521</v>
      </c>
      <c r="AC18" s="1562"/>
      <c r="AD18" s="1562"/>
      <c r="AE18" s="1562"/>
      <c r="AF18" s="1562"/>
      <c r="AG18" s="1562"/>
      <c r="AH18" s="1562"/>
      <c r="AI18" s="1562"/>
      <c r="AJ18" s="1562"/>
      <c r="AK18" s="1562"/>
      <c r="AL18" s="1562"/>
      <c r="AM18" s="1563"/>
      <c r="AU18" s="1092"/>
      <c r="AV18" s="1092"/>
      <c r="AW18" s="1093"/>
    </row>
    <row r="19" spans="2:49" s="278" customFormat="1" ht="27" customHeight="1" x14ac:dyDescent="0.25">
      <c r="B19" s="1094" t="s">
        <v>33</v>
      </c>
      <c r="C19" s="893"/>
      <c r="D19" s="893"/>
      <c r="E19" s="1095" t="s">
        <v>227</v>
      </c>
      <c r="F19" s="893"/>
      <c r="G19" s="893"/>
      <c r="H19" s="894"/>
      <c r="I19" s="1190" t="s">
        <v>460</v>
      </c>
      <c r="J19" s="333" t="s">
        <v>452</v>
      </c>
      <c r="K19" s="332" t="s">
        <v>33</v>
      </c>
      <c r="L19" s="332" t="s">
        <v>32</v>
      </c>
      <c r="M19" s="332" t="s">
        <v>34</v>
      </c>
      <c r="N19" s="332" t="s">
        <v>42</v>
      </c>
      <c r="O19" s="332" t="s">
        <v>523</v>
      </c>
      <c r="P19" s="332" t="s">
        <v>9</v>
      </c>
      <c r="Q19" s="332" t="s">
        <v>43</v>
      </c>
      <c r="R19" s="334" t="s">
        <v>38</v>
      </c>
      <c r="S19" s="332" t="s">
        <v>39</v>
      </c>
      <c r="T19" s="332" t="s">
        <v>40</v>
      </c>
      <c r="U19" s="331" t="s">
        <v>524</v>
      </c>
      <c r="W19" s="333" t="str">
        <f>W5</f>
        <v>Collection Fee</v>
      </c>
      <c r="X19" s="334" t="str">
        <f>W6</f>
        <v>Lender Service Fee</v>
      </c>
      <c r="Y19" s="332" t="str">
        <f>W7</f>
        <v>County Admin Fee</v>
      </c>
      <c r="Z19" s="331" t="s">
        <v>525</v>
      </c>
      <c r="AB19" s="335"/>
      <c r="AC19" s="332" t="s">
        <v>32</v>
      </c>
      <c r="AD19" s="332" t="s">
        <v>34</v>
      </c>
      <c r="AE19" s="332" t="s">
        <v>42</v>
      </c>
      <c r="AF19" s="332" t="s">
        <v>9</v>
      </c>
      <c r="AG19" s="332" t="s">
        <v>43</v>
      </c>
      <c r="AH19" s="332" t="s">
        <v>419</v>
      </c>
      <c r="AI19" s="334" t="s">
        <v>38</v>
      </c>
      <c r="AJ19" s="332" t="s">
        <v>39</v>
      </c>
      <c r="AK19" s="332" t="s">
        <v>526</v>
      </c>
      <c r="AL19" s="332" t="s">
        <v>40</v>
      </c>
      <c r="AM19" s="331"/>
      <c r="AU19" s="345"/>
      <c r="AV19" s="1092"/>
      <c r="AW19" s="1093"/>
    </row>
    <row r="20" spans="2:49" s="278" customFormat="1" ht="12" customHeight="1" x14ac:dyDescent="0.25">
      <c r="B20" s="1191">
        <f>'Financing Assumptions'!G34</f>
        <v>20</v>
      </c>
      <c r="C20" s="732">
        <f t="shared" ref="C20:C83" si="0">DAY(EOMONTH(DATE($L20,$D20,1),0))</f>
        <v>30</v>
      </c>
      <c r="D20" s="35">
        <f t="shared" ref="D20:D83" si="1">INDEX($AS$22:$AT$34,MATCH($K20,$AS$22:$AS$34,0),MATCH("Number",$AS$22:$AT$22,0))</f>
        <v>6</v>
      </c>
      <c r="E20" s="889">
        <f>DATE(L20,D20,C20)</f>
        <v>47664</v>
      </c>
      <c r="F20" s="822">
        <f t="shared" ref="F20:F83" si="2">INDEX($AS$22:$AT$34,MATCH($K20,$AS$22:$AS$34,0),MATCH("Number",$AS$22:$AT$22,0))</f>
        <v>6</v>
      </c>
      <c r="G20" s="126">
        <f t="shared" ref="G20:G83" si="3">IF($S$4="Monthly",INDEX($AS$36:$AT$48,MATCH($K20,$AS$36:$AS$48,0),MATCH("Number",$AS$36:$AT$36,0)),0)</f>
        <v>0</v>
      </c>
      <c r="H20" s="1098">
        <f>IF($S$4="Annual",1,IF(AND($S$4="Bi-Annual",$F20&gt;$F21),1,IF(AND($S$4="Bi-Annual",$F20&lt;$F21),0,IF($S$4="Monthly",0,))))</f>
        <v>0</v>
      </c>
      <c r="I20" s="886">
        <v>1</v>
      </c>
      <c r="J20" s="1099">
        <f>IF($I20&lt;$AQ$29,0,1)</f>
        <v>1</v>
      </c>
      <c r="K20" s="891" t="str">
        <f>IF($S$4="Annual",$Q$5,IF(AND($S$4="Bi-Annual",($AR$23+1)&gt;MAX($Q$4,$R$4)),INDEX($AT$22:$AU$34,MATCH(MIN($Q$4,$R$4),$AT$22:$AT$34,0),MATCH("Month",$AT$22:$AU$22,0)),IF(AND($S$4="Bi-Annual",($AR$23+1)&lt;=MIN($Q$4,$R$4)),INDEX($AT$22:$AU$34,MATCH(MIN($Q$4,$R$4),$AT$22:$AT$34,0),MATCH("Month",$AT$22:$AU$22,0)),IF(AND($S$4="Bi-Annual",($AR$23+1)&gt;MIN($Q$4,$R$4),($AR$23+1)&lt;=MAX($Q$4,$R$4)),INDEX($AT$22:$AU$34,MATCH(MAX($Q$4,$R$4),$AT$22:$AT$34,0),MATCH("Month",$AT$22:$AU$22,0)),IF($S$4="Monthly",INDEX($AT$22:$AU$34,MATCH(MONTH(L10),$AT$22:$AT$34,0),MATCH("Month",$AT$22:$AU$22,0)))))))</f>
        <v>June</v>
      </c>
      <c r="L20" s="888">
        <f>IF(AND($S$4="Annual",($AR$23+1)&lt;$Q$4),$L$8,IF(AND($S$4="Annual",($AR$23+1)&gt;$Q$4),$L$8+1,IF(AND($S$4="Bi-Annual",($AR$23+1)&lt;MAX($Q$4,$R$4)),$L$8,IF(AND($S$4="Bi-Annual",($AR$23+1)&gt;MAX($Q$4,$R$4)),$L$8+1,IF(AND($S$4="Monthly",$L$9&lt;&gt;"December"),$L$8,IF(AND($S$4="Monthly",$L$9="December"),L8+1))))))</f>
        <v>2030</v>
      </c>
      <c r="M20" s="883">
        <f>L4</f>
        <v>0</v>
      </c>
      <c r="N20" s="883">
        <f>IF($I20&gt;$R$6,0,IF(AND($AQ$29&gt;=0,$I20&lt;=$AQ$29),0,IF(AND($AQ$27&gt;=0,$I20&lt;=$AQ$27),$Q20,IF(AND($S$4="Annual",$AQ$27&gt;=0,$AQ$29&gt;=0,$I20&gt;$AQ$27,$I20&gt;$AQ$29),PMT($L$7,($R$6-$AQ$27),$L$4),IF(AND($S$4="Bi-Annual",$AQ$27&gt;=0,$AQ$29&gt;=0,$I20&gt;$AQ$27,$I20&gt;$AQ$29),PMT($L$7/2,($R$6-$AQ$27),$L$4),IF(AND($S$4="Monthly",$AQ$27&gt;=0,$AQ$29&gt;=0,$I20&gt;$AQ$27,$I20&gt;$AQ$29),PMT($L$7/12,($R$6-$AQ$27),$L$4)))))))-O20</f>
        <v>0</v>
      </c>
      <c r="O20" s="1100">
        <v>0</v>
      </c>
      <c r="P20" s="883">
        <f>IF(AND($AR$39="Early Payoff",I20&gt;=$R$13),0,IF($I20&gt;$R$6,0,IF(AND($AQ$29&gt;0,$I20&lt;=$AQ$29),0,+$N20-$Q20)))</f>
        <v>0</v>
      </c>
      <c r="Q20" s="884">
        <f>IF($S$4="Annual",-$L$7*$L$4*1,IF($S$4="Bi-Annual",(-$L$7/2)*$L$4*1,IF($S$4="Monthly",(-$L$7/12)*$L$4*1)))</f>
        <v>0</v>
      </c>
      <c r="R20" s="884">
        <f>IF($I20&lt;=$R$6,SUM($P$20:$P20),0)</f>
        <v>0</v>
      </c>
      <c r="S20" s="884">
        <f>IF($I20&lt;=$R$6,SUM($Q$20:$Q20),0)</f>
        <v>0</v>
      </c>
      <c r="T20" s="873">
        <f>IF($J20&lt;=$R$13,SUM($M20,$P20),0)</f>
        <v>0</v>
      </c>
      <c r="U20" s="1110">
        <f t="shared" ref="U20:U83" si="4">IF($S$4="Monthly",$M20,IF(AND(OR($S$4="Annual",$S$4="Bi-Annual"),$I20=$AQ$49),INDEX($I$19:$T$379,MATCH($AQ$49,$I$19:$I$2379,0),MATCH($T$19,$I$19:$T$19,0)),IF(AND(OR($S$4="Annual",$S$4="Bi-Annual"),$I20&lt;=$AQ$49),$M20,0)))</f>
        <v>0</v>
      </c>
      <c r="W20" s="1102">
        <f t="shared" ref="W20:W83" si="5">IF($I20&gt;$R$6,0,IF($I20&lt;=$AQ$27,0,IF(AND($X$5="%/Payment",$Z$5=0),$N20*$Y$5,IF(AND($X$5="%/Payment",$Z$5&gt;0,($N20*$Y$5)&lt;$Z$5),$N20*$Y$5,IF(AND($X$5="%/Payment",$Z$5&gt;0,($N20*$Y$5)&gt;$Z$5),-$Z$5,IF(AND($X$5="%/Balance",$Z$5=0),-$T20*$Y$5,IF(AND($X$5="%/Balance",$Z$5&gt;0,($T20*$Y$5)&lt;$Z$5),-$T20*$Y$5,IF(AND($X$5="%/Balance",$Z$5&gt;0,($T20*$Y$5)&gt;$Z$5),-$Z$5,IF($X$5="Fixed Amount",-$Y$5,IF($X$5="N/A",0))))))))))</f>
        <v>0</v>
      </c>
      <c r="X20" s="873">
        <f t="shared" ref="X20:X83" si="6">IF($I20&gt;$R$6,0,IF($I20&lt;=$AQ$27,0,IF(AND($X$6="%/Payment",$Z$6=0),$N20*$Y$6,IF(AND($X$6="%/Payment",$Z$6&gt;0,($N20*$Y$6)&lt;$Z$6),$N20*$Y$6,IF(AND($X$6="%/Payment",$Z$6&gt;0,($N20*$Y$6)&gt;$Z$6),-$Z$6,IF(AND($X$6="%/Balance",$Z$6=0),-$T20*$Y$6,IF(AND($X$6="%/Balance",$Z$6&gt;0,($T20*$Y$6)&lt;$Z$6),-$T20*$Y$6,IF(AND($X$6="%/Balance",$Z$6&gt;0,($T20*$Y$6)&gt;$Z$6),-$Z$6,IF($X$6="Fixed Amount",-$Y$6,IF($X$6="N/A",0))))))))))</f>
        <v>0</v>
      </c>
      <c r="Y20" s="873">
        <f t="shared" ref="Y20:Y83" si="7">IF($I20&gt;$R$6,0,IF($I20&lt;=$AQ$27,0,IF(AND($X$7="%/Payment",$Z$7=0),$N20*$Y$7,IF(AND($X$7="%/Payment",$Z$7&gt;0,($N20*$Y$7)&lt;$Z$7),$N20*$Y$7,IF(AND($X$7="%/Payment",$Z$7&gt;0,($N20*$Y$7)&gt;$Z$7),-$Z$7,IF(AND($X$7="%/Balance",$Z$7=0),-$T20*$Y$7,IF(AND($X$7="%/Balance",$Z$7&gt;0,($T20*$Y$7)&lt;$Z$7),-$T20*$Y$7,IF(AND($X$7="%/Balance",$Z$7&gt;0,($N20*$Y$7)&gt;$Z$7),-$Z$7,IF($X$7="Fixed Amount",-$Y$7,IF($X$7="N/A",0))))))))))</f>
        <v>0</v>
      </c>
      <c r="Z20" s="885">
        <f t="shared" ref="Z20:Z83" si="8">SUM($N20,$W20:$Y20)</f>
        <v>0</v>
      </c>
      <c r="AB20" s="355">
        <f>IF(AND($S$4="Annual",$L$20=$L$8,$Q$4&gt;$AR$23),1,IF(AND($S$4="Annual",$L$20&gt;$L$8),1,IF(AND($S$4="Annual",$L$20=$L$8),0,IF(AND($S$4="Bi-Annual",$L$20=$L$8),0,IF(AND($S$4="Bi-Annual",$L$20&gt;$L$8),1,IF(AND(S4="Monthly",$K$20="January"),1,IF(AND(S4="Monthly",$K$20&lt;&gt;"January"),0)))))))</f>
        <v>0</v>
      </c>
      <c r="AC20" s="1103">
        <f>$L$20</f>
        <v>2030</v>
      </c>
      <c r="AD20" s="1104">
        <f>INDEX($L$19:$M$379,MATCH($AC20,$L$19:$L$379,0),MATCH($AD$19,$L$19:$M$19,0))</f>
        <v>0</v>
      </c>
      <c r="AE20" s="1104">
        <f>SUMIFS($Z$20:$Z$379,$L$20:$L$379,"="&amp;$AC20)</f>
        <v>0</v>
      </c>
      <c r="AF20" s="1104">
        <f>SUMIFS($P$20:$P$379,$L$20:$L$379,"="&amp;$AC20)</f>
        <v>0</v>
      </c>
      <c r="AG20" s="1104">
        <f>SUMIFS($Q$20:$Q$379,$L$20:$L$379,"="&amp;$AC20)</f>
        <v>0</v>
      </c>
      <c r="AH20" s="1104">
        <f>SUMIFS($W$20:$W$379,$L$20:$L$379,"="&amp;$AC20)+SUMIFS($X$20:$X$379,$L$20:$L$379,"="&amp;$AC20)+SUMIFS($Y$20:$Y$379,$L$20:$L$379,"="&amp;$AC20)</f>
        <v>0</v>
      </c>
      <c r="AI20" s="1104">
        <f>IF($AD20=0,0,SUM($AF$20:$AF20))</f>
        <v>0</v>
      </c>
      <c r="AJ20" s="1104">
        <f>IF($AD20=0,0,SUM($AG$20:$AG20))</f>
        <v>0</v>
      </c>
      <c r="AK20" s="1104">
        <f>SUM($AH$20:$AH20)</f>
        <v>0</v>
      </c>
      <c r="AL20" s="1104">
        <f>AD20+AF20</f>
        <v>0</v>
      </c>
      <c r="AM20" s="1104"/>
      <c r="AN20" s="347"/>
      <c r="AP20" s="1106" t="s">
        <v>44</v>
      </c>
      <c r="AQ20" s="360"/>
      <c r="AR20" s="360"/>
      <c r="AS20" s="360"/>
      <c r="AT20" s="360"/>
      <c r="AU20" s="1107"/>
      <c r="AV20" s="1092"/>
      <c r="AW20" s="1093"/>
    </row>
    <row r="21" spans="2:49" s="278" customFormat="1" ht="12" customHeight="1" x14ac:dyDescent="0.25">
      <c r="B21" s="1192">
        <f>B20+1</f>
        <v>21</v>
      </c>
      <c r="C21" s="732">
        <f>DAY(EOMONTH(DATE($L21,$D21,1),0))</f>
        <v>31</v>
      </c>
      <c r="D21" s="35">
        <f t="shared" si="1"/>
        <v>7</v>
      </c>
      <c r="E21" s="889">
        <f>DATE(L21,D21,C21)</f>
        <v>47695</v>
      </c>
      <c r="F21" s="822">
        <f t="shared" si="2"/>
        <v>7</v>
      </c>
      <c r="G21" s="126">
        <f t="shared" si="3"/>
        <v>0</v>
      </c>
      <c r="H21" s="1098">
        <f>IF($S$4="Annual",1,IF(AND($S$4="Bi-Annual",$F21&gt;$F22),1,IF(AND($S$4="Bi-Annual",$F21&lt;$F22),0,IF($S$4="Monthly",0,))))</f>
        <v>0</v>
      </c>
      <c r="I21" s="887">
        <f>I20+1</f>
        <v>2</v>
      </c>
      <c r="J21" s="1099">
        <f t="shared" ref="J21:J84" si="9">IF($I21&lt;=$AQ$29,0,IF($I20&gt;=$AQ$29,$J20+1))</f>
        <v>2</v>
      </c>
      <c r="K21" s="891" t="str">
        <f t="shared" ref="K21:K84" si="10">IF($S$4="Annual",$Q$5,IF(AND($S$4="Bi-Annual",$F20&lt;MAX($Q$4,$R$4)),INDEX($AT$22:$AU$34,MATCH(MAX($Q$4,$R$4),$AT$22:$AT$34,0),MATCH("Month",$AT$22:$AU$22,0)),IF(AND($S$4="Bi-Annual",$F20=MAX($Q$4,$R$4)),INDEX($AT$22:$AU$34,MATCH(MIN($Q$4,$R$4),$AT$22:$AT$34,0),MATCH("Month",$AT$22:$AU$22,0)),IF(AND($S$4="Monthly",$F20&lt;12),INDEX($AT$22:$AU$34,MATCH($F20+1,$AT$22:$AT$34,0),MATCH("Month",$AT$22:$AU$22,0)),IF(AND($S$4="Monthly",$F20=12),INDEX($AT$22:$AU$34,MATCH($F20-11,$AT$22:$AT$34,0),MATCH("Month",$AT$22:$AU$22,0)))))))</f>
        <v>July</v>
      </c>
      <c r="L21" s="888">
        <f>IF($S$4="Annual",$L20+$H21,IF($S$4="Bi-Annual",$L20+$H20,IF($S$4="Monthly",$L20+$G20)))</f>
        <v>2030</v>
      </c>
      <c r="M21" s="883">
        <f>IF(AND($AR$39="Early Payoff",$I21&gt;$R$13),0,IF(AND($AR$39="Early Payoff",$I21&lt;$R$13),$T20,IF($I21&gt;$R$6,0,$T20)))</f>
        <v>0</v>
      </c>
      <c r="N21" s="883">
        <f t="shared" ref="N21:N84" si="11">IF(AND($AR$39="Early Payoff",I21&gt;=$R$13),0,IF($I21&gt;$R$6,0,IF(AND($AQ$29&gt;=0,$I21&lt;=$AQ$29),0,IF(AND($AQ$27&gt;=0,$I21&lt;=$AQ$27),$Q21,IF(AND($S$4="Annual",$AQ$27&gt;=0,$AQ$29&gt;=0,$I21&gt;$AQ$27,$I21&gt;$AQ$29),PMT($L$7,($R$6-$AQ$27),$L$4),IF(AND($S$4="Bi-Annual",$AQ$27&gt;=0,$AQ$29&gt;=0,$I21&gt;$AQ$27,$I21&gt;$AQ$29),PMT($L$7/2,($R$6-$AQ$27),$L$4),IF(AND($S$4="Monthly",$AQ$27&gt;=0,$AQ$29&gt;=0,$I21&gt;$AQ$27,$I21&gt;$AQ$29),PMT($L$7/12,($R$6-$AQ$27),$L$4))))))))-O21</f>
        <v>0</v>
      </c>
      <c r="O21" s="1100">
        <v>0</v>
      </c>
      <c r="P21" s="883">
        <f t="shared" ref="P21:P83" si="12">IF(AND($AR$39="Early Payoff",I21&gt;=$R$13),0,IF($I21&gt;$R$6,0,IF(AND($AQ$29&gt;0,$I21&lt;=$AQ$29),0,+$N21-$Q21)))</f>
        <v>0</v>
      </c>
      <c r="Q21" s="884">
        <f t="shared" ref="Q21:Q84" si="13">IF(AND($AR$39="Early Payoff",I21&gt;=$R$13),0,IF($S$4="Annual",-$L$7*$T20*1,IF($S$4="Bi-Annual",(-$L$7/2)*$T20*1,IF($S$4="Monthly",(-$L$7/12)*$T20*1))))</f>
        <v>0</v>
      </c>
      <c r="R21" s="884">
        <f>IF(AND($AR$39="Early Payoff",I21&gt;=$R$13),0,IF($I21&lt;=$R$6,SUM($P$20:$P21),0))</f>
        <v>0</v>
      </c>
      <c r="S21" s="884">
        <f>IF(AND($AR$39="Early Payoff",I21&gt;=$R$13),0,IF($I21&lt;=$R$6,SUM($Q$20:$Q21),0))</f>
        <v>0</v>
      </c>
      <c r="T21" s="873">
        <f t="shared" ref="T21:T84" si="14">IF($J21&lt;=$R$13,SUM($M21,$P21),0)</f>
        <v>0</v>
      </c>
      <c r="U21" s="1110">
        <f t="shared" si="4"/>
        <v>0</v>
      </c>
      <c r="W21" s="1102">
        <f t="shared" si="5"/>
        <v>0</v>
      </c>
      <c r="X21" s="873">
        <f t="shared" si="6"/>
        <v>0</v>
      </c>
      <c r="Y21" s="873">
        <f t="shared" si="7"/>
        <v>0</v>
      </c>
      <c r="Z21" s="885">
        <f t="shared" si="8"/>
        <v>0</v>
      </c>
      <c r="AB21" s="355">
        <f>AB20+1</f>
        <v>1</v>
      </c>
      <c r="AC21" s="1103">
        <f>AC20+1</f>
        <v>2031</v>
      </c>
      <c r="AD21" s="1104">
        <f t="shared" ref="AD21:AD49" si="15">INDEX($L$19:$M$379,MATCH($AC21,$L$19:$L$379,0),MATCH($AD$19,$L$19:$M$19,0))</f>
        <v>0</v>
      </c>
      <c r="AE21" s="1104">
        <f t="shared" ref="AE21:AE49" si="16">SUMIFS($Z$20:$Z$379,$L$20:$L$379,"="&amp;$AC21)</f>
        <v>0</v>
      </c>
      <c r="AF21" s="1104">
        <f t="shared" ref="AF21:AF49" si="17">SUMIFS($P$20:$P$379,$L$20:$L$379,"="&amp;$AC21)</f>
        <v>0</v>
      </c>
      <c r="AG21" s="1104">
        <f t="shared" ref="AG21:AG49" si="18">SUMIFS($Q$20:$Q$379,$L$20:$L$379,"="&amp;$AC21)</f>
        <v>0</v>
      </c>
      <c r="AH21" s="1104">
        <f t="shared" ref="AH21:AH49" si="19">SUMIFS($W$20:$W$379,$L$20:$L$379,"="&amp;$AC21)+SUMIFS($X$20:$X$379,$L$20:$L$379,"="&amp;$AC21)+SUMIFS($Y$20:$Y$379,$L$20:$L$379,"="&amp;$AC21)</f>
        <v>0</v>
      </c>
      <c r="AI21" s="1104">
        <f>IF($AD21=0,0,SUM($AF$20:$AF21))</f>
        <v>0</v>
      </c>
      <c r="AJ21" s="1104">
        <f>IF($AD21=0,0,SUM($AG$20:$AG21))</f>
        <v>0</v>
      </c>
      <c r="AK21" s="1104">
        <f>SUM($AH$20:$AH21)</f>
        <v>0</v>
      </c>
      <c r="AL21" s="1104">
        <f>AD21+AF21</f>
        <v>0</v>
      </c>
      <c r="AM21" s="1104"/>
      <c r="AN21" s="347"/>
      <c r="AP21" s="347"/>
      <c r="AQ21" s="345"/>
      <c r="AR21" s="345"/>
      <c r="AS21" s="345"/>
      <c r="AT21" s="1092"/>
      <c r="AU21" s="348"/>
      <c r="AV21" s="1092"/>
      <c r="AW21" s="1093"/>
    </row>
    <row r="22" spans="2:49" s="278" customFormat="1" ht="12" customHeight="1" x14ac:dyDescent="0.25">
      <c r="B22" s="1192">
        <f t="shared" ref="B22:B85" si="20">B21+1</f>
        <v>22</v>
      </c>
      <c r="C22" s="732">
        <f t="shared" si="0"/>
        <v>31</v>
      </c>
      <c r="D22" s="35">
        <f t="shared" si="1"/>
        <v>8</v>
      </c>
      <c r="E22" s="889">
        <f>DATE(L22,D22,C22)</f>
        <v>47726</v>
      </c>
      <c r="F22" s="822">
        <f t="shared" si="2"/>
        <v>8</v>
      </c>
      <c r="G22" s="126">
        <f t="shared" si="3"/>
        <v>0</v>
      </c>
      <c r="H22" s="1098">
        <f>IF($S$4="Annual",1,IF(AND($S$4="Bi-Annual",$F22&gt;$F23),1,IF(AND($S$4="Bi-Annual",$F22&lt;$F23),0,IF($S$4="Monthly",0,))))</f>
        <v>0</v>
      </c>
      <c r="I22" s="887">
        <f t="shared" ref="I22:I85" si="21">I21+1</f>
        <v>3</v>
      </c>
      <c r="J22" s="1099">
        <f t="shared" si="9"/>
        <v>3</v>
      </c>
      <c r="K22" s="891" t="str">
        <f t="shared" si="10"/>
        <v>August</v>
      </c>
      <c r="L22" s="888">
        <f t="shared" ref="L22:L85" si="22">IF($S$4="Annual",$L21+$H22,IF($S$4="Bi-Annual",$L21+$H21,IF($S$4="Monthly",$L21+$G21)))</f>
        <v>2030</v>
      </c>
      <c r="M22" s="883">
        <f t="shared" ref="M22:M84" si="23">IF(AND($AR$39="Early Payoff",$I22&gt;$R$13),0,IF(AND($AR$39="Early Payoff",$I22&lt;$R$13),$T21,IF($I22&gt;$R$6,0,$T21)))</f>
        <v>0</v>
      </c>
      <c r="N22" s="883">
        <f t="shared" si="11"/>
        <v>0</v>
      </c>
      <c r="O22" s="1100">
        <v>0</v>
      </c>
      <c r="P22" s="883">
        <f t="shared" si="12"/>
        <v>0</v>
      </c>
      <c r="Q22" s="884">
        <f t="shared" si="13"/>
        <v>0</v>
      </c>
      <c r="R22" s="884">
        <f>IF(AND($AR$39="Early Payoff",I22&gt;=$R$13),0,IF($I22&lt;=$R$6,SUM($P$20:$P22),0))</f>
        <v>0</v>
      </c>
      <c r="S22" s="884">
        <f>IF(AND($AR$39="Early Payoff",I22&gt;=$R$13),0,IF($I22&lt;=$R$6,SUM($Q$20:$Q22),0))</f>
        <v>0</v>
      </c>
      <c r="T22" s="873">
        <f t="shared" si="14"/>
        <v>0</v>
      </c>
      <c r="U22" s="1110">
        <f t="shared" si="4"/>
        <v>0</v>
      </c>
      <c r="W22" s="1102">
        <f t="shared" si="5"/>
        <v>0</v>
      </c>
      <c r="X22" s="873">
        <f t="shared" si="6"/>
        <v>0</v>
      </c>
      <c r="Y22" s="873">
        <f t="shared" si="7"/>
        <v>0</v>
      </c>
      <c r="Z22" s="885">
        <f t="shared" si="8"/>
        <v>0</v>
      </c>
      <c r="AB22" s="355">
        <f t="shared" ref="AB22:AC37" si="24">AB21+1</f>
        <v>2</v>
      </c>
      <c r="AC22" s="1103">
        <f t="shared" si="24"/>
        <v>2032</v>
      </c>
      <c r="AD22" s="1104">
        <f t="shared" si="15"/>
        <v>0</v>
      </c>
      <c r="AE22" s="1104">
        <f t="shared" si="16"/>
        <v>0</v>
      </c>
      <c r="AF22" s="1104">
        <f t="shared" si="17"/>
        <v>0</v>
      </c>
      <c r="AG22" s="1104">
        <f t="shared" si="18"/>
        <v>0</v>
      </c>
      <c r="AH22" s="1104">
        <f t="shared" si="19"/>
        <v>0</v>
      </c>
      <c r="AI22" s="1104">
        <f>IF($AD22=0,0,SUM($AF$20:$AF22))</f>
        <v>0</v>
      </c>
      <c r="AJ22" s="1104">
        <f>IF($AD22=0,0,SUM($AG$20:$AG22))</f>
        <v>0</v>
      </c>
      <c r="AK22" s="1104">
        <f>SUM($AH$20:$AH22)</f>
        <v>0</v>
      </c>
      <c r="AL22" s="1104">
        <f t="shared" ref="AL22:AL49" si="25">AD22+AF22</f>
        <v>0</v>
      </c>
      <c r="AM22" s="1104"/>
      <c r="AN22" s="347"/>
      <c r="AP22" s="1111" t="s">
        <v>429</v>
      </c>
      <c r="AQ22" s="1112">
        <f>L8</f>
        <v>2030</v>
      </c>
      <c r="AR22" s="345"/>
      <c r="AS22" s="1113"/>
      <c r="AT22" s="1114" t="s">
        <v>527</v>
      </c>
      <c r="AU22" s="1115" t="s">
        <v>33</v>
      </c>
      <c r="AV22" s="1092"/>
      <c r="AW22" s="1093"/>
    </row>
    <row r="23" spans="2:49" s="278" customFormat="1" ht="12" customHeight="1" x14ac:dyDescent="0.25">
      <c r="B23" s="1192">
        <f t="shared" si="20"/>
        <v>23</v>
      </c>
      <c r="C23" s="732">
        <f t="shared" si="0"/>
        <v>30</v>
      </c>
      <c r="D23" s="35">
        <f t="shared" si="1"/>
        <v>9</v>
      </c>
      <c r="E23" s="889">
        <f t="shared" ref="E23:E86" si="26">DATE(L23,D23,C23)</f>
        <v>47756</v>
      </c>
      <c r="F23" s="822">
        <f t="shared" si="2"/>
        <v>9</v>
      </c>
      <c r="G23" s="126">
        <f t="shared" si="3"/>
        <v>0</v>
      </c>
      <c r="H23" s="1098">
        <f t="shared" ref="H23:H86" si="27">IF($S$4="Annual",1,IF(AND($S$4="Bi-Annual",$F23&gt;$F24),1,IF(AND($S$4="Bi-Annual",$F23&lt;$F24),0,IF($S$4="Monthly",0,))))</f>
        <v>0</v>
      </c>
      <c r="I23" s="887">
        <f t="shared" si="21"/>
        <v>4</v>
      </c>
      <c r="J23" s="1099">
        <f t="shared" si="9"/>
        <v>4</v>
      </c>
      <c r="K23" s="891" t="str">
        <f t="shared" si="10"/>
        <v>September</v>
      </c>
      <c r="L23" s="888">
        <f t="shared" si="22"/>
        <v>2030</v>
      </c>
      <c r="M23" s="883">
        <f t="shared" si="23"/>
        <v>0</v>
      </c>
      <c r="N23" s="883">
        <f t="shared" si="11"/>
        <v>0</v>
      </c>
      <c r="O23" s="1100">
        <v>0</v>
      </c>
      <c r="P23" s="883">
        <f t="shared" si="12"/>
        <v>0</v>
      </c>
      <c r="Q23" s="884">
        <f t="shared" si="13"/>
        <v>0</v>
      </c>
      <c r="R23" s="884">
        <f>IF(AND($AR$39="Early Payoff",I23&gt;=$R$13),0,IF($I23&lt;=$R$6,SUM($P$20:$P23),0))</f>
        <v>0</v>
      </c>
      <c r="S23" s="884">
        <f>IF(AND($AR$39="Early Payoff",I23&gt;=$R$13),0,IF($I23&lt;=$R$6,SUM($Q$20:$Q23),0))</f>
        <v>0</v>
      </c>
      <c r="T23" s="873">
        <f t="shared" si="14"/>
        <v>0</v>
      </c>
      <c r="U23" s="1110">
        <f t="shared" si="4"/>
        <v>0</v>
      </c>
      <c r="W23" s="1102">
        <f t="shared" si="5"/>
        <v>0</v>
      </c>
      <c r="X23" s="873">
        <f t="shared" si="6"/>
        <v>0</v>
      </c>
      <c r="Y23" s="873">
        <f t="shared" si="7"/>
        <v>0</v>
      </c>
      <c r="Z23" s="885">
        <f t="shared" si="8"/>
        <v>0</v>
      </c>
      <c r="AB23" s="355">
        <f t="shared" si="24"/>
        <v>3</v>
      </c>
      <c r="AC23" s="1103">
        <f t="shared" si="24"/>
        <v>2033</v>
      </c>
      <c r="AD23" s="1104">
        <f t="shared" si="15"/>
        <v>0</v>
      </c>
      <c r="AE23" s="1104">
        <f t="shared" si="16"/>
        <v>0</v>
      </c>
      <c r="AF23" s="1104">
        <f t="shared" si="17"/>
        <v>0</v>
      </c>
      <c r="AG23" s="1104">
        <f t="shared" si="18"/>
        <v>0</v>
      </c>
      <c r="AH23" s="1104">
        <f t="shared" si="19"/>
        <v>0</v>
      </c>
      <c r="AI23" s="1104">
        <f>IF($AD23=0,0,SUM($AF$20:$AF23))</f>
        <v>0</v>
      </c>
      <c r="AJ23" s="1104">
        <f>IF($AD23=0,0,SUM($AG$20:$AG23))</f>
        <v>0</v>
      </c>
      <c r="AK23" s="1104">
        <f>SUM($AH$20:$AH23)</f>
        <v>0</v>
      </c>
      <c r="AL23" s="1104">
        <f t="shared" si="25"/>
        <v>0</v>
      </c>
      <c r="AM23" s="1104"/>
      <c r="AN23" s="347"/>
      <c r="AP23" s="1111" t="s">
        <v>430</v>
      </c>
      <c r="AQ23" s="1112" t="str">
        <f>L9</f>
        <v>June</v>
      </c>
      <c r="AR23" s="1116">
        <f>INDEX(AS22:AT34,MATCH(AQ23,AS22:AS34,0),MATCH("Number",AS22:AT22,0))</f>
        <v>6</v>
      </c>
      <c r="AS23" s="1111" t="s">
        <v>425</v>
      </c>
      <c r="AT23" s="1117">
        <v>1</v>
      </c>
      <c r="AU23" s="348" t="str">
        <f>AS23</f>
        <v>January</v>
      </c>
      <c r="AV23" s="1092"/>
      <c r="AW23" s="1093"/>
    </row>
    <row r="24" spans="2:49" s="278" customFormat="1" ht="12" customHeight="1" x14ac:dyDescent="0.25">
      <c r="B24" s="1192">
        <f t="shared" si="20"/>
        <v>24</v>
      </c>
      <c r="C24" s="732">
        <f t="shared" si="0"/>
        <v>31</v>
      </c>
      <c r="D24" s="35">
        <f t="shared" si="1"/>
        <v>10</v>
      </c>
      <c r="E24" s="889">
        <f t="shared" si="26"/>
        <v>47787</v>
      </c>
      <c r="F24" s="822">
        <f t="shared" si="2"/>
        <v>10</v>
      </c>
      <c r="G24" s="126">
        <f t="shared" si="3"/>
        <v>0</v>
      </c>
      <c r="H24" s="1098">
        <f t="shared" si="27"/>
        <v>0</v>
      </c>
      <c r="I24" s="887">
        <f t="shared" si="21"/>
        <v>5</v>
      </c>
      <c r="J24" s="1099">
        <f t="shared" si="9"/>
        <v>5</v>
      </c>
      <c r="K24" s="891" t="str">
        <f t="shared" si="10"/>
        <v>October</v>
      </c>
      <c r="L24" s="888">
        <f t="shared" si="22"/>
        <v>2030</v>
      </c>
      <c r="M24" s="883">
        <f t="shared" si="23"/>
        <v>0</v>
      </c>
      <c r="N24" s="883">
        <f t="shared" si="11"/>
        <v>0</v>
      </c>
      <c r="O24" s="1100">
        <v>0</v>
      </c>
      <c r="P24" s="883">
        <f t="shared" si="12"/>
        <v>0</v>
      </c>
      <c r="Q24" s="884">
        <f t="shared" si="13"/>
        <v>0</v>
      </c>
      <c r="R24" s="884">
        <f>IF(AND($AR$39="Early Payoff",I24&gt;=$R$13),0,IF($I24&lt;=$R$6,SUM($P$20:$P24),0))</f>
        <v>0</v>
      </c>
      <c r="S24" s="884">
        <f>IF(AND($AR$39="Early Payoff",I24&gt;=$R$13),0,IF($I24&lt;=$R$6,SUM($Q$20:$Q24),0))</f>
        <v>0</v>
      </c>
      <c r="T24" s="873">
        <f t="shared" si="14"/>
        <v>0</v>
      </c>
      <c r="U24" s="1110">
        <f t="shared" si="4"/>
        <v>0</v>
      </c>
      <c r="W24" s="1102">
        <f t="shared" si="5"/>
        <v>0</v>
      </c>
      <c r="X24" s="873">
        <f t="shared" si="6"/>
        <v>0</v>
      </c>
      <c r="Y24" s="873">
        <f t="shared" si="7"/>
        <v>0</v>
      </c>
      <c r="Z24" s="885">
        <f t="shared" si="8"/>
        <v>0</v>
      </c>
      <c r="AB24" s="355">
        <f t="shared" si="24"/>
        <v>4</v>
      </c>
      <c r="AC24" s="1103">
        <f t="shared" si="24"/>
        <v>2034</v>
      </c>
      <c r="AD24" s="1104">
        <f t="shared" si="15"/>
        <v>0</v>
      </c>
      <c r="AE24" s="1104">
        <f t="shared" si="16"/>
        <v>0</v>
      </c>
      <c r="AF24" s="1104">
        <f t="shared" si="17"/>
        <v>0</v>
      </c>
      <c r="AG24" s="1104">
        <f t="shared" si="18"/>
        <v>0</v>
      </c>
      <c r="AH24" s="1104">
        <f t="shared" si="19"/>
        <v>0</v>
      </c>
      <c r="AI24" s="1104">
        <f>IF($AD24=0,0,SUM($AF$20:$AF24))</f>
        <v>0</v>
      </c>
      <c r="AJ24" s="1104">
        <f>IF($AD24=0,0,SUM($AG$20:$AG24))</f>
        <v>0</v>
      </c>
      <c r="AK24" s="1104">
        <f>SUM($AH$20:$AH24)</f>
        <v>0</v>
      </c>
      <c r="AL24" s="1104">
        <f t="shared" si="25"/>
        <v>0</v>
      </c>
      <c r="AM24" s="1104"/>
      <c r="AN24" s="347"/>
      <c r="AP24" s="1111" t="s">
        <v>431</v>
      </c>
      <c r="AQ24" s="1118">
        <f>EOMONTH(DATE(AQ22,INDEX($AS$22:$AT$34,MATCH($AQ$23,$AS$22:$AS$34,0),MATCH("Number",$AS$22:$AT$22,0)),1),0)</f>
        <v>47664</v>
      </c>
      <c r="AR24" s="345"/>
      <c r="AS24" s="1111" t="s">
        <v>528</v>
      </c>
      <c r="AT24" s="1117">
        <v>2</v>
      </c>
      <c r="AU24" s="348" t="str">
        <f t="shared" ref="AU24:AU34" si="28">AS24</f>
        <v>February</v>
      </c>
      <c r="AV24" s="1092"/>
      <c r="AW24" s="1093"/>
    </row>
    <row r="25" spans="2:49" s="278" customFormat="1" ht="12" customHeight="1" x14ac:dyDescent="0.25">
      <c r="B25" s="1192">
        <f t="shared" si="20"/>
        <v>25</v>
      </c>
      <c r="C25" s="732">
        <f t="shared" si="0"/>
        <v>30</v>
      </c>
      <c r="D25" s="35">
        <f t="shared" si="1"/>
        <v>11</v>
      </c>
      <c r="E25" s="889">
        <f t="shared" si="26"/>
        <v>47817</v>
      </c>
      <c r="F25" s="822">
        <f t="shared" si="2"/>
        <v>11</v>
      </c>
      <c r="G25" s="126">
        <f t="shared" si="3"/>
        <v>0</v>
      </c>
      <c r="H25" s="1098">
        <f t="shared" si="27"/>
        <v>0</v>
      </c>
      <c r="I25" s="887">
        <f t="shared" si="21"/>
        <v>6</v>
      </c>
      <c r="J25" s="1099">
        <f t="shared" si="9"/>
        <v>6</v>
      </c>
      <c r="K25" s="891" t="str">
        <f t="shared" si="10"/>
        <v>November</v>
      </c>
      <c r="L25" s="888">
        <f t="shared" si="22"/>
        <v>2030</v>
      </c>
      <c r="M25" s="883">
        <f t="shared" si="23"/>
        <v>0</v>
      </c>
      <c r="N25" s="883">
        <f t="shared" si="11"/>
        <v>0</v>
      </c>
      <c r="O25" s="1100">
        <v>0</v>
      </c>
      <c r="P25" s="883">
        <f t="shared" si="12"/>
        <v>0</v>
      </c>
      <c r="Q25" s="884">
        <f t="shared" si="13"/>
        <v>0</v>
      </c>
      <c r="R25" s="884">
        <f>IF(AND($AR$39="Early Payoff",I25&gt;=$R$13),0,IF($I25&lt;=$R$6,SUM($P$20:$P25),0))</f>
        <v>0</v>
      </c>
      <c r="S25" s="884">
        <f>IF(AND($AR$39="Early Payoff",I25&gt;=$R$13),0,IF($I25&lt;=$R$6,SUM($Q$20:$Q25),0))</f>
        <v>0</v>
      </c>
      <c r="T25" s="873">
        <f t="shared" si="14"/>
        <v>0</v>
      </c>
      <c r="U25" s="1110">
        <f t="shared" si="4"/>
        <v>0</v>
      </c>
      <c r="W25" s="1102">
        <f t="shared" si="5"/>
        <v>0</v>
      </c>
      <c r="X25" s="873">
        <f t="shared" si="6"/>
        <v>0</v>
      </c>
      <c r="Y25" s="873">
        <f t="shared" si="7"/>
        <v>0</v>
      </c>
      <c r="Z25" s="885">
        <f t="shared" si="8"/>
        <v>0</v>
      </c>
      <c r="AB25" s="355">
        <f t="shared" si="24"/>
        <v>5</v>
      </c>
      <c r="AC25" s="1103">
        <f t="shared" si="24"/>
        <v>2035</v>
      </c>
      <c r="AD25" s="1104">
        <f t="shared" si="15"/>
        <v>0</v>
      </c>
      <c r="AE25" s="1104">
        <f t="shared" si="16"/>
        <v>0</v>
      </c>
      <c r="AF25" s="1104">
        <f t="shared" si="17"/>
        <v>0</v>
      </c>
      <c r="AG25" s="1104">
        <f t="shared" si="18"/>
        <v>0</v>
      </c>
      <c r="AH25" s="1104">
        <f t="shared" si="19"/>
        <v>0</v>
      </c>
      <c r="AI25" s="1104">
        <f>IF($AD25=0,0,SUM($AF$20:$AF25))</f>
        <v>0</v>
      </c>
      <c r="AJ25" s="1104">
        <f>IF($AD25=0,0,SUM($AG$20:$AG25))</f>
        <v>0</v>
      </c>
      <c r="AK25" s="1104">
        <f>SUM($AH$20:$AH25)</f>
        <v>0</v>
      </c>
      <c r="AL25" s="1104">
        <f t="shared" si="25"/>
        <v>0</v>
      </c>
      <c r="AM25" s="1104"/>
      <c r="AN25" s="347"/>
      <c r="AP25" s="1111"/>
      <c r="AQ25" s="1112"/>
      <c r="AR25" s="345"/>
      <c r="AS25" s="1111" t="s">
        <v>378</v>
      </c>
      <c r="AT25" s="1117">
        <v>3</v>
      </c>
      <c r="AU25" s="348" t="str">
        <f t="shared" si="28"/>
        <v>March</v>
      </c>
      <c r="AV25" s="1092"/>
      <c r="AW25" s="1093"/>
    </row>
    <row r="26" spans="2:49" s="278" customFormat="1" ht="12" customHeight="1" x14ac:dyDescent="0.25">
      <c r="B26" s="1192">
        <f t="shared" si="20"/>
        <v>26</v>
      </c>
      <c r="C26" s="732">
        <f t="shared" si="0"/>
        <v>31</v>
      </c>
      <c r="D26" s="35">
        <f t="shared" si="1"/>
        <v>12</v>
      </c>
      <c r="E26" s="889">
        <f t="shared" si="26"/>
        <v>47848</v>
      </c>
      <c r="F26" s="822">
        <f t="shared" si="2"/>
        <v>12</v>
      </c>
      <c r="G26" s="126">
        <f t="shared" si="3"/>
        <v>1</v>
      </c>
      <c r="H26" s="1098">
        <f t="shared" si="27"/>
        <v>0</v>
      </c>
      <c r="I26" s="887">
        <f t="shared" si="21"/>
        <v>7</v>
      </c>
      <c r="J26" s="1099">
        <f t="shared" si="9"/>
        <v>7</v>
      </c>
      <c r="K26" s="891" t="str">
        <f t="shared" si="10"/>
        <v>December</v>
      </c>
      <c r="L26" s="888">
        <f t="shared" si="22"/>
        <v>2030</v>
      </c>
      <c r="M26" s="883">
        <f t="shared" si="23"/>
        <v>0</v>
      </c>
      <c r="N26" s="883">
        <f t="shared" si="11"/>
        <v>0</v>
      </c>
      <c r="O26" s="1100">
        <v>0</v>
      </c>
      <c r="P26" s="883">
        <f t="shared" si="12"/>
        <v>0</v>
      </c>
      <c r="Q26" s="884">
        <f t="shared" si="13"/>
        <v>0</v>
      </c>
      <c r="R26" s="884">
        <f>IF(AND($AR$39="Early Payoff",I26&gt;=$R$13),0,IF($I26&lt;=$R$6,SUM($P$20:$P26),0))</f>
        <v>0</v>
      </c>
      <c r="S26" s="884">
        <f>IF(AND($AR$39="Early Payoff",I26&gt;=$R$13),0,IF($I26&lt;=$R$6,SUM($Q$20:$Q26),0))</f>
        <v>0</v>
      </c>
      <c r="T26" s="873">
        <f t="shared" si="14"/>
        <v>0</v>
      </c>
      <c r="U26" s="1110">
        <f t="shared" si="4"/>
        <v>0</v>
      </c>
      <c r="W26" s="1102">
        <f t="shared" si="5"/>
        <v>0</v>
      </c>
      <c r="X26" s="873">
        <f t="shared" si="6"/>
        <v>0</v>
      </c>
      <c r="Y26" s="873">
        <f t="shared" si="7"/>
        <v>0</v>
      </c>
      <c r="Z26" s="885">
        <f t="shared" si="8"/>
        <v>0</v>
      </c>
      <c r="AB26" s="355">
        <f t="shared" si="24"/>
        <v>6</v>
      </c>
      <c r="AC26" s="1103">
        <f t="shared" si="24"/>
        <v>2036</v>
      </c>
      <c r="AD26" s="1104">
        <f t="shared" si="15"/>
        <v>0</v>
      </c>
      <c r="AE26" s="1104">
        <f t="shared" si="16"/>
        <v>0</v>
      </c>
      <c r="AF26" s="1104">
        <f t="shared" si="17"/>
        <v>0</v>
      </c>
      <c r="AG26" s="1104">
        <f t="shared" si="18"/>
        <v>0</v>
      </c>
      <c r="AH26" s="1104">
        <f t="shared" si="19"/>
        <v>0</v>
      </c>
      <c r="AI26" s="1104">
        <f>IF($AD26=0,0,SUM($AF$20:$AF26))</f>
        <v>0</v>
      </c>
      <c r="AJ26" s="1104">
        <f>IF($AD26=0,0,SUM($AG$20:$AG26))</f>
        <v>0</v>
      </c>
      <c r="AK26" s="1104">
        <f>SUM($AH$20:$AH26)</f>
        <v>0</v>
      </c>
      <c r="AL26" s="1104">
        <f t="shared" si="25"/>
        <v>0</v>
      </c>
      <c r="AM26" s="1104"/>
      <c r="AN26" s="347"/>
      <c r="AP26" s="347" t="s">
        <v>531</v>
      </c>
      <c r="AQ26" s="1142">
        <f>L11</f>
        <v>0</v>
      </c>
      <c r="AR26" s="345"/>
      <c r="AS26" s="1111" t="s">
        <v>529</v>
      </c>
      <c r="AT26" s="1117">
        <v>4</v>
      </c>
      <c r="AU26" s="348" t="str">
        <f t="shared" si="28"/>
        <v>April</v>
      </c>
      <c r="AV26" s="1092"/>
      <c r="AW26" s="1093"/>
    </row>
    <row r="27" spans="2:49" s="278" customFormat="1" ht="12" customHeight="1" x14ac:dyDescent="0.25">
      <c r="B27" s="1192">
        <f t="shared" si="20"/>
        <v>27</v>
      </c>
      <c r="C27" s="732">
        <f t="shared" si="0"/>
        <v>31</v>
      </c>
      <c r="D27" s="35">
        <f t="shared" si="1"/>
        <v>1</v>
      </c>
      <c r="E27" s="889">
        <f t="shared" si="26"/>
        <v>47879</v>
      </c>
      <c r="F27" s="822">
        <f t="shared" si="2"/>
        <v>1</v>
      </c>
      <c r="G27" s="126">
        <f t="shared" si="3"/>
        <v>0</v>
      </c>
      <c r="H27" s="1098">
        <f t="shared" si="27"/>
        <v>0</v>
      </c>
      <c r="I27" s="887">
        <f t="shared" si="21"/>
        <v>8</v>
      </c>
      <c r="J27" s="1099">
        <f t="shared" si="9"/>
        <v>8</v>
      </c>
      <c r="K27" s="891" t="str">
        <f t="shared" si="10"/>
        <v>January</v>
      </c>
      <c r="L27" s="888">
        <f t="shared" si="22"/>
        <v>2031</v>
      </c>
      <c r="M27" s="883">
        <f t="shared" si="23"/>
        <v>0</v>
      </c>
      <c r="N27" s="883">
        <f t="shared" si="11"/>
        <v>0</v>
      </c>
      <c r="O27" s="1100">
        <v>0</v>
      </c>
      <c r="P27" s="883">
        <f t="shared" si="12"/>
        <v>0</v>
      </c>
      <c r="Q27" s="884">
        <f t="shared" si="13"/>
        <v>0</v>
      </c>
      <c r="R27" s="884">
        <f>IF(AND($AR$39="Early Payoff",I27&gt;=$R$13),0,IF($I27&lt;=$R$6,SUM($P$20:$P27),0))</f>
        <v>0</v>
      </c>
      <c r="S27" s="884">
        <f>IF(AND($AR$39="Early Payoff",I27&gt;=$R$13),0,IF($I27&lt;=$R$6,SUM($Q$20:$Q27),0))</f>
        <v>0</v>
      </c>
      <c r="T27" s="873">
        <f t="shared" si="14"/>
        <v>0</v>
      </c>
      <c r="U27" s="1110">
        <f t="shared" si="4"/>
        <v>0</v>
      </c>
      <c r="W27" s="1102">
        <f t="shared" si="5"/>
        <v>0</v>
      </c>
      <c r="X27" s="873">
        <f t="shared" si="6"/>
        <v>0</v>
      </c>
      <c r="Y27" s="873">
        <f t="shared" si="7"/>
        <v>0</v>
      </c>
      <c r="Z27" s="885">
        <f t="shared" si="8"/>
        <v>0</v>
      </c>
      <c r="AB27" s="355">
        <f t="shared" si="24"/>
        <v>7</v>
      </c>
      <c r="AC27" s="1103">
        <f t="shared" si="24"/>
        <v>2037</v>
      </c>
      <c r="AD27" s="1104">
        <f t="shared" si="15"/>
        <v>0</v>
      </c>
      <c r="AE27" s="1104">
        <f t="shared" si="16"/>
        <v>0</v>
      </c>
      <c r="AF27" s="1104">
        <f t="shared" si="17"/>
        <v>0</v>
      </c>
      <c r="AG27" s="1104">
        <f t="shared" si="18"/>
        <v>0</v>
      </c>
      <c r="AH27" s="1104">
        <f t="shared" si="19"/>
        <v>0</v>
      </c>
      <c r="AI27" s="1104">
        <f>IF($AD27=0,0,SUM($AF$20:$AF27))</f>
        <v>0</v>
      </c>
      <c r="AJ27" s="1104">
        <f>IF($AD27=0,0,SUM($AG$20:$AG27))</f>
        <v>0</v>
      </c>
      <c r="AK27" s="1104">
        <f>SUM($AH$20:$AH27)</f>
        <v>0</v>
      </c>
      <c r="AL27" s="1104">
        <f t="shared" si="25"/>
        <v>0</v>
      </c>
      <c r="AM27" s="1104"/>
      <c r="AN27" s="347"/>
      <c r="AP27" s="1143" t="s">
        <v>532</v>
      </c>
      <c r="AQ27" s="1144">
        <f>IF($S$4="Annual",AQ26/12,IF($S$4="Bi-Annual",(AQ26/12)*2,IF($S$4="Monthly",AQ26)))</f>
        <v>0</v>
      </c>
      <c r="AR27" s="345"/>
      <c r="AS27" s="1111" t="s">
        <v>49</v>
      </c>
      <c r="AT27" s="1117">
        <v>5</v>
      </c>
      <c r="AU27" s="348" t="str">
        <f t="shared" si="28"/>
        <v>May</v>
      </c>
      <c r="AV27" s="1092"/>
      <c r="AW27" s="1093"/>
    </row>
    <row r="28" spans="2:49" s="278" customFormat="1" ht="12" customHeight="1" x14ac:dyDescent="0.25">
      <c r="B28" s="1192">
        <f t="shared" si="20"/>
        <v>28</v>
      </c>
      <c r="C28" s="732">
        <f t="shared" si="0"/>
        <v>28</v>
      </c>
      <c r="D28" s="35">
        <f t="shared" si="1"/>
        <v>2</v>
      </c>
      <c r="E28" s="889">
        <f t="shared" si="26"/>
        <v>47907</v>
      </c>
      <c r="F28" s="822">
        <f t="shared" si="2"/>
        <v>2</v>
      </c>
      <c r="G28" s="126">
        <f t="shared" si="3"/>
        <v>0</v>
      </c>
      <c r="H28" s="1098">
        <f t="shared" si="27"/>
        <v>0</v>
      </c>
      <c r="I28" s="887">
        <f t="shared" si="21"/>
        <v>9</v>
      </c>
      <c r="J28" s="1099">
        <f t="shared" si="9"/>
        <v>9</v>
      </c>
      <c r="K28" s="891" t="str">
        <f t="shared" si="10"/>
        <v>February</v>
      </c>
      <c r="L28" s="888">
        <f t="shared" si="22"/>
        <v>2031</v>
      </c>
      <c r="M28" s="883">
        <f t="shared" si="23"/>
        <v>0</v>
      </c>
      <c r="N28" s="883">
        <f t="shared" si="11"/>
        <v>0</v>
      </c>
      <c r="O28" s="1100"/>
      <c r="P28" s="883">
        <f t="shared" si="12"/>
        <v>0</v>
      </c>
      <c r="Q28" s="884">
        <f t="shared" si="13"/>
        <v>0</v>
      </c>
      <c r="R28" s="884">
        <f>IF(AND($AR$39="Early Payoff",I28&gt;=$R$13),0,IF($I28&lt;=$R$6,SUM($P$20:$P28),0))</f>
        <v>0</v>
      </c>
      <c r="S28" s="884">
        <f>IF(AND($AR$39="Early Payoff",I28&gt;=$R$13),0,IF($I28&lt;=$R$6,SUM($Q$20:$Q28),0))</f>
        <v>0</v>
      </c>
      <c r="T28" s="873">
        <f t="shared" si="14"/>
        <v>0</v>
      </c>
      <c r="U28" s="1110">
        <f t="shared" si="4"/>
        <v>0</v>
      </c>
      <c r="W28" s="1102">
        <f t="shared" si="5"/>
        <v>0</v>
      </c>
      <c r="X28" s="873">
        <f t="shared" si="6"/>
        <v>0</v>
      </c>
      <c r="Y28" s="873">
        <f t="shared" si="7"/>
        <v>0</v>
      </c>
      <c r="Z28" s="885">
        <f t="shared" si="8"/>
        <v>0</v>
      </c>
      <c r="AB28" s="355">
        <f t="shared" si="24"/>
        <v>8</v>
      </c>
      <c r="AC28" s="1103">
        <f t="shared" si="24"/>
        <v>2038</v>
      </c>
      <c r="AD28" s="1104">
        <f t="shared" si="15"/>
        <v>0</v>
      </c>
      <c r="AE28" s="1104">
        <f t="shared" si="16"/>
        <v>0</v>
      </c>
      <c r="AF28" s="1104">
        <f t="shared" si="17"/>
        <v>0</v>
      </c>
      <c r="AG28" s="1104">
        <f t="shared" si="18"/>
        <v>0</v>
      </c>
      <c r="AH28" s="1104">
        <f t="shared" si="19"/>
        <v>0</v>
      </c>
      <c r="AI28" s="1104">
        <f>IF($AD28=0,0,SUM($AF$20:$AF28))</f>
        <v>0</v>
      </c>
      <c r="AJ28" s="1104">
        <f>IF($AD28=0,0,SUM($AG$20:$AG28))</f>
        <v>0</v>
      </c>
      <c r="AK28" s="1104">
        <f>SUM($AH$20:$AH28)</f>
        <v>0</v>
      </c>
      <c r="AL28" s="1104">
        <f t="shared" si="25"/>
        <v>0</v>
      </c>
      <c r="AM28" s="1104"/>
      <c r="AN28" s="347"/>
      <c r="AP28" s="347" t="s">
        <v>162</v>
      </c>
      <c r="AQ28" s="1142">
        <f>L12</f>
        <v>0</v>
      </c>
      <c r="AR28" s="345"/>
      <c r="AS28" s="1111" t="s">
        <v>264</v>
      </c>
      <c r="AT28" s="1117">
        <v>6</v>
      </c>
      <c r="AU28" s="348" t="str">
        <f t="shared" si="28"/>
        <v>June</v>
      </c>
      <c r="AV28" s="1092"/>
      <c r="AW28" s="1093"/>
    </row>
    <row r="29" spans="2:49" s="278" customFormat="1" ht="12" customHeight="1" x14ac:dyDescent="0.25">
      <c r="B29" s="1192">
        <f t="shared" si="20"/>
        <v>29</v>
      </c>
      <c r="C29" s="732">
        <f t="shared" si="0"/>
        <v>31</v>
      </c>
      <c r="D29" s="35">
        <f t="shared" si="1"/>
        <v>3</v>
      </c>
      <c r="E29" s="889">
        <f t="shared" si="26"/>
        <v>47938</v>
      </c>
      <c r="F29" s="822">
        <f t="shared" si="2"/>
        <v>3</v>
      </c>
      <c r="G29" s="126">
        <f t="shared" si="3"/>
        <v>0</v>
      </c>
      <c r="H29" s="1098">
        <f t="shared" si="27"/>
        <v>0</v>
      </c>
      <c r="I29" s="887">
        <f t="shared" si="21"/>
        <v>10</v>
      </c>
      <c r="J29" s="1099">
        <f t="shared" si="9"/>
        <v>10</v>
      </c>
      <c r="K29" s="891" t="str">
        <f t="shared" si="10"/>
        <v>March</v>
      </c>
      <c r="L29" s="888">
        <f t="shared" si="22"/>
        <v>2031</v>
      </c>
      <c r="M29" s="883">
        <f t="shared" si="23"/>
        <v>0</v>
      </c>
      <c r="N29" s="883">
        <f t="shared" si="11"/>
        <v>0</v>
      </c>
      <c r="O29" s="1100"/>
      <c r="P29" s="883">
        <f t="shared" si="12"/>
        <v>0</v>
      </c>
      <c r="Q29" s="884">
        <f t="shared" si="13"/>
        <v>0</v>
      </c>
      <c r="R29" s="884">
        <f>IF(AND($AR$39="Early Payoff",I29&gt;=$R$13),0,IF($I29&lt;=$R$6,SUM($P$20:$P29),0))</f>
        <v>0</v>
      </c>
      <c r="S29" s="884">
        <f>IF(AND($AR$39="Early Payoff",I29&gt;=$R$13),0,IF($I29&lt;=$R$6,SUM($Q$20:$Q29),0))</f>
        <v>0</v>
      </c>
      <c r="T29" s="873">
        <f t="shared" si="14"/>
        <v>0</v>
      </c>
      <c r="U29" s="1110">
        <f t="shared" si="4"/>
        <v>0</v>
      </c>
      <c r="W29" s="1102">
        <f t="shared" si="5"/>
        <v>0</v>
      </c>
      <c r="X29" s="873">
        <f t="shared" si="6"/>
        <v>0</v>
      </c>
      <c r="Y29" s="873">
        <f t="shared" si="7"/>
        <v>0</v>
      </c>
      <c r="Z29" s="885">
        <f t="shared" si="8"/>
        <v>0</v>
      </c>
      <c r="AB29" s="355">
        <f t="shared" si="24"/>
        <v>9</v>
      </c>
      <c r="AC29" s="1103">
        <f t="shared" si="24"/>
        <v>2039</v>
      </c>
      <c r="AD29" s="1104">
        <f t="shared" si="15"/>
        <v>0</v>
      </c>
      <c r="AE29" s="1104">
        <f t="shared" si="16"/>
        <v>0</v>
      </c>
      <c r="AF29" s="1104">
        <f t="shared" si="17"/>
        <v>0</v>
      </c>
      <c r="AG29" s="1104">
        <f t="shared" si="18"/>
        <v>0</v>
      </c>
      <c r="AH29" s="1104">
        <f t="shared" si="19"/>
        <v>0</v>
      </c>
      <c r="AI29" s="1104">
        <f>IF($AD29=0,0,SUM($AF$20:$AF29))</f>
        <v>0</v>
      </c>
      <c r="AJ29" s="1104">
        <f>IF($AD29=0,0,SUM($AG$20:$AG29))</f>
        <v>0</v>
      </c>
      <c r="AK29" s="1104">
        <f>SUM($AH$20:$AH29)</f>
        <v>0</v>
      </c>
      <c r="AL29" s="1104">
        <f t="shared" si="25"/>
        <v>0</v>
      </c>
      <c r="AM29" s="1104"/>
      <c r="AN29" s="347"/>
      <c r="AP29" s="1143" t="s">
        <v>534</v>
      </c>
      <c r="AQ29" s="1144">
        <f>IF($S$4="Annual",AQ28/12,IF($S$4="Bi-Annual",(AQ28/12)*2,IF($S$4="Monthly",AQ28)))</f>
        <v>0</v>
      </c>
      <c r="AR29" s="345"/>
      <c r="AS29" s="1111" t="s">
        <v>530</v>
      </c>
      <c r="AT29" s="1117">
        <v>7</v>
      </c>
      <c r="AU29" s="348" t="str">
        <f t="shared" si="28"/>
        <v>July</v>
      </c>
      <c r="AV29" s="1092"/>
      <c r="AW29" s="1093"/>
    </row>
    <row r="30" spans="2:49" s="278" customFormat="1" ht="12" customHeight="1" x14ac:dyDescent="0.25">
      <c r="B30" s="1192">
        <f t="shared" si="20"/>
        <v>30</v>
      </c>
      <c r="C30" s="732">
        <f t="shared" si="0"/>
        <v>30</v>
      </c>
      <c r="D30" s="35">
        <f t="shared" si="1"/>
        <v>4</v>
      </c>
      <c r="E30" s="889">
        <f t="shared" si="26"/>
        <v>47968</v>
      </c>
      <c r="F30" s="822">
        <f t="shared" si="2"/>
        <v>4</v>
      </c>
      <c r="G30" s="126">
        <f t="shared" si="3"/>
        <v>0</v>
      </c>
      <c r="H30" s="1098">
        <f t="shared" si="27"/>
        <v>0</v>
      </c>
      <c r="I30" s="887">
        <f t="shared" si="21"/>
        <v>11</v>
      </c>
      <c r="J30" s="1099">
        <f t="shared" si="9"/>
        <v>11</v>
      </c>
      <c r="K30" s="891" t="str">
        <f t="shared" si="10"/>
        <v>April</v>
      </c>
      <c r="L30" s="888">
        <f t="shared" si="22"/>
        <v>2031</v>
      </c>
      <c r="M30" s="883">
        <f t="shared" si="23"/>
        <v>0</v>
      </c>
      <c r="N30" s="883">
        <f t="shared" si="11"/>
        <v>0</v>
      </c>
      <c r="O30" s="1100"/>
      <c r="P30" s="883">
        <f t="shared" si="12"/>
        <v>0</v>
      </c>
      <c r="Q30" s="884">
        <f t="shared" si="13"/>
        <v>0</v>
      </c>
      <c r="R30" s="884">
        <f>IF(AND($AR$39="Early Payoff",I30&gt;=$R$13),0,IF($I30&lt;=$R$6,SUM($P$20:$P30),0))</f>
        <v>0</v>
      </c>
      <c r="S30" s="884">
        <f>IF(AND($AR$39="Early Payoff",I30&gt;=$R$13),0,IF($I30&lt;=$R$6,SUM($Q$20:$Q30),0))</f>
        <v>0</v>
      </c>
      <c r="T30" s="873">
        <f t="shared" si="14"/>
        <v>0</v>
      </c>
      <c r="U30" s="1110">
        <f t="shared" si="4"/>
        <v>0</v>
      </c>
      <c r="W30" s="1102">
        <f t="shared" si="5"/>
        <v>0</v>
      </c>
      <c r="X30" s="873">
        <f t="shared" si="6"/>
        <v>0</v>
      </c>
      <c r="Y30" s="873">
        <f t="shared" si="7"/>
        <v>0</v>
      </c>
      <c r="Z30" s="885">
        <f t="shared" si="8"/>
        <v>0</v>
      </c>
      <c r="AB30" s="355">
        <f t="shared" si="24"/>
        <v>10</v>
      </c>
      <c r="AC30" s="1103">
        <f t="shared" si="24"/>
        <v>2040</v>
      </c>
      <c r="AD30" s="1104">
        <f t="shared" si="15"/>
        <v>0</v>
      </c>
      <c r="AE30" s="1104">
        <f t="shared" si="16"/>
        <v>0</v>
      </c>
      <c r="AF30" s="1104">
        <f t="shared" si="17"/>
        <v>0</v>
      </c>
      <c r="AG30" s="1104">
        <f t="shared" si="18"/>
        <v>0</v>
      </c>
      <c r="AH30" s="1104">
        <f t="shared" si="19"/>
        <v>0</v>
      </c>
      <c r="AI30" s="1104">
        <f>IF($AD30=0,0,SUM($AF$20:$AF30))</f>
        <v>0</v>
      </c>
      <c r="AJ30" s="1104">
        <f>IF($AD30=0,0,SUM($AG$20:$AG30))</f>
        <v>0</v>
      </c>
      <c r="AK30" s="1104">
        <f>SUM($AH$20:$AH30)</f>
        <v>0</v>
      </c>
      <c r="AL30" s="1104">
        <f t="shared" si="25"/>
        <v>0</v>
      </c>
      <c r="AM30" s="1104"/>
      <c r="AN30" s="347"/>
      <c r="AP30" s="347"/>
      <c r="AQ30" s="345"/>
      <c r="AR30" s="345"/>
      <c r="AS30" s="1111" t="s">
        <v>509</v>
      </c>
      <c r="AT30" s="1117">
        <v>8</v>
      </c>
      <c r="AU30" s="348" t="str">
        <f t="shared" si="28"/>
        <v>August</v>
      </c>
      <c r="AV30" s="1092"/>
      <c r="AW30" s="1093"/>
    </row>
    <row r="31" spans="2:49" s="278" customFormat="1" ht="12" customHeight="1" x14ac:dyDescent="0.25">
      <c r="B31" s="1192">
        <f t="shared" si="20"/>
        <v>31</v>
      </c>
      <c r="C31" s="732">
        <f t="shared" si="0"/>
        <v>31</v>
      </c>
      <c r="D31" s="35">
        <f t="shared" si="1"/>
        <v>5</v>
      </c>
      <c r="E31" s="889">
        <f t="shared" si="26"/>
        <v>47999</v>
      </c>
      <c r="F31" s="822">
        <f t="shared" si="2"/>
        <v>5</v>
      </c>
      <c r="G31" s="126">
        <f t="shared" si="3"/>
        <v>0</v>
      </c>
      <c r="H31" s="1098">
        <f t="shared" si="27"/>
        <v>0</v>
      </c>
      <c r="I31" s="887">
        <f t="shared" si="21"/>
        <v>12</v>
      </c>
      <c r="J31" s="1099">
        <f t="shared" si="9"/>
        <v>12</v>
      </c>
      <c r="K31" s="891" t="str">
        <f t="shared" si="10"/>
        <v>May</v>
      </c>
      <c r="L31" s="888">
        <f t="shared" si="22"/>
        <v>2031</v>
      </c>
      <c r="M31" s="883">
        <f t="shared" si="23"/>
        <v>0</v>
      </c>
      <c r="N31" s="883">
        <f t="shared" si="11"/>
        <v>0</v>
      </c>
      <c r="O31" s="1100"/>
      <c r="P31" s="883">
        <f t="shared" si="12"/>
        <v>0</v>
      </c>
      <c r="Q31" s="884">
        <f t="shared" si="13"/>
        <v>0</v>
      </c>
      <c r="R31" s="884">
        <f>IF(AND($AR$39="Early Payoff",I31&gt;=$R$13),0,IF($I31&lt;=$R$6,SUM($P$20:$P31),0))</f>
        <v>0</v>
      </c>
      <c r="S31" s="884">
        <f>IF(AND($AR$39="Early Payoff",I31&gt;=$R$13),0,IF($I31&lt;=$R$6,SUM($Q$20:$Q31),0))</f>
        <v>0</v>
      </c>
      <c r="T31" s="873">
        <f t="shared" si="14"/>
        <v>0</v>
      </c>
      <c r="U31" s="1110">
        <f t="shared" si="4"/>
        <v>0</v>
      </c>
      <c r="W31" s="1102">
        <f t="shared" si="5"/>
        <v>0</v>
      </c>
      <c r="X31" s="873">
        <f t="shared" si="6"/>
        <v>0</v>
      </c>
      <c r="Y31" s="873">
        <f t="shared" si="7"/>
        <v>0</v>
      </c>
      <c r="Z31" s="885">
        <f t="shared" si="8"/>
        <v>0</v>
      </c>
      <c r="AB31" s="355">
        <f t="shared" si="24"/>
        <v>11</v>
      </c>
      <c r="AC31" s="1103">
        <f t="shared" si="24"/>
        <v>2041</v>
      </c>
      <c r="AD31" s="1104">
        <f t="shared" si="15"/>
        <v>0</v>
      </c>
      <c r="AE31" s="1104">
        <f t="shared" si="16"/>
        <v>0</v>
      </c>
      <c r="AF31" s="1104">
        <f t="shared" si="17"/>
        <v>0</v>
      </c>
      <c r="AG31" s="1104">
        <f t="shared" si="18"/>
        <v>0</v>
      </c>
      <c r="AH31" s="1104">
        <f t="shared" si="19"/>
        <v>0</v>
      </c>
      <c r="AI31" s="1104">
        <f>IF($AD31=0,0,SUM($AF$20:$AF31))</f>
        <v>0</v>
      </c>
      <c r="AJ31" s="1104">
        <f>IF($AD31=0,0,SUM($AG$20:$AG31))</f>
        <v>0</v>
      </c>
      <c r="AK31" s="1104">
        <f>SUM($AH$20:$AH31)</f>
        <v>0</v>
      </c>
      <c r="AL31" s="1104">
        <f t="shared" si="25"/>
        <v>0</v>
      </c>
      <c r="AM31" s="1104"/>
      <c r="AN31" s="347"/>
      <c r="AP31" s="347" t="s">
        <v>536</v>
      </c>
      <c r="AQ31" s="1103">
        <f>YEAR(AQ33)</f>
        <v>2030</v>
      </c>
      <c r="AR31" s="345"/>
      <c r="AS31" s="1111" t="s">
        <v>461</v>
      </c>
      <c r="AT31" s="1117">
        <v>9</v>
      </c>
      <c r="AU31" s="348" t="str">
        <f t="shared" si="28"/>
        <v>September</v>
      </c>
      <c r="AV31" s="1092"/>
      <c r="AW31" s="1093"/>
    </row>
    <row r="32" spans="2:49" s="278" customFormat="1" ht="12" customHeight="1" x14ac:dyDescent="0.25">
      <c r="B32" s="1192">
        <f t="shared" si="20"/>
        <v>32</v>
      </c>
      <c r="C32" s="732">
        <f t="shared" si="0"/>
        <v>30</v>
      </c>
      <c r="D32" s="35">
        <f t="shared" si="1"/>
        <v>6</v>
      </c>
      <c r="E32" s="889">
        <f t="shared" si="26"/>
        <v>48029</v>
      </c>
      <c r="F32" s="822">
        <f t="shared" si="2"/>
        <v>6</v>
      </c>
      <c r="G32" s="126">
        <f t="shared" si="3"/>
        <v>0</v>
      </c>
      <c r="H32" s="1098">
        <f t="shared" si="27"/>
        <v>0</v>
      </c>
      <c r="I32" s="887">
        <f t="shared" si="21"/>
        <v>13</v>
      </c>
      <c r="J32" s="1099">
        <f t="shared" si="9"/>
        <v>13</v>
      </c>
      <c r="K32" s="891" t="str">
        <f t="shared" si="10"/>
        <v>June</v>
      </c>
      <c r="L32" s="888">
        <f t="shared" si="22"/>
        <v>2031</v>
      </c>
      <c r="M32" s="883">
        <f t="shared" si="23"/>
        <v>0</v>
      </c>
      <c r="N32" s="883">
        <f t="shared" si="11"/>
        <v>0</v>
      </c>
      <c r="O32" s="1100"/>
      <c r="P32" s="883">
        <f t="shared" si="12"/>
        <v>0</v>
      </c>
      <c r="Q32" s="884">
        <f t="shared" si="13"/>
        <v>0</v>
      </c>
      <c r="R32" s="884">
        <f>IF(AND($AR$39="Early Payoff",I32&gt;=$R$13),0,IF($I32&lt;=$R$6,SUM($P$20:$P32),0))</f>
        <v>0</v>
      </c>
      <c r="S32" s="884">
        <f>IF(AND($AR$39="Early Payoff",I32&gt;=$R$13),0,IF($I32&lt;=$R$6,SUM($Q$20:$Q32),0))</f>
        <v>0</v>
      </c>
      <c r="T32" s="873">
        <f t="shared" si="14"/>
        <v>0</v>
      </c>
      <c r="U32" s="1110">
        <f t="shared" si="4"/>
        <v>0</v>
      </c>
      <c r="W32" s="1102">
        <f t="shared" si="5"/>
        <v>0</v>
      </c>
      <c r="X32" s="873">
        <f t="shared" si="6"/>
        <v>0</v>
      </c>
      <c r="Y32" s="873">
        <f t="shared" si="7"/>
        <v>0</v>
      </c>
      <c r="Z32" s="885">
        <f t="shared" si="8"/>
        <v>0</v>
      </c>
      <c r="AB32" s="355">
        <f t="shared" si="24"/>
        <v>12</v>
      </c>
      <c r="AC32" s="1103">
        <f t="shared" si="24"/>
        <v>2042</v>
      </c>
      <c r="AD32" s="1104">
        <f t="shared" si="15"/>
        <v>0</v>
      </c>
      <c r="AE32" s="1104">
        <f t="shared" si="16"/>
        <v>0</v>
      </c>
      <c r="AF32" s="1104">
        <f t="shared" si="17"/>
        <v>0</v>
      </c>
      <c r="AG32" s="1104">
        <f t="shared" si="18"/>
        <v>0</v>
      </c>
      <c r="AH32" s="1104">
        <f t="shared" si="19"/>
        <v>0</v>
      </c>
      <c r="AI32" s="1104">
        <f>IF($AD32=0,0,SUM($AF$20:$AF32))</f>
        <v>0</v>
      </c>
      <c r="AJ32" s="1104">
        <f>IF($AD32=0,0,SUM($AG$20:$AG32))</f>
        <v>0</v>
      </c>
      <c r="AK32" s="1104">
        <f>SUM($AH$20:$AH32)</f>
        <v>0</v>
      </c>
      <c r="AL32" s="1104">
        <f t="shared" si="25"/>
        <v>0</v>
      </c>
      <c r="AM32" s="1104"/>
      <c r="AN32" s="347"/>
      <c r="AP32" s="347" t="s">
        <v>537</v>
      </c>
      <c r="AQ32" s="1077" t="str">
        <f>INDEX($AT$22:$AU$34,MATCH(MONTH($AQ$33),$AT$22:$AT$34,0),MATCH("Month",$AT$22:$AU$22,0))</f>
        <v>July</v>
      </c>
      <c r="AR32" s="345"/>
      <c r="AS32" s="1111" t="s">
        <v>533</v>
      </c>
      <c r="AT32" s="1117">
        <v>10</v>
      </c>
      <c r="AU32" s="348" t="str">
        <f t="shared" si="28"/>
        <v>October</v>
      </c>
      <c r="AV32" s="1092"/>
      <c r="AW32" s="1093"/>
    </row>
    <row r="33" spans="2:49" s="278" customFormat="1" ht="12" customHeight="1" x14ac:dyDescent="0.25">
      <c r="B33" s="1192">
        <f t="shared" si="20"/>
        <v>33</v>
      </c>
      <c r="C33" s="732">
        <f t="shared" si="0"/>
        <v>31</v>
      </c>
      <c r="D33" s="35">
        <f t="shared" si="1"/>
        <v>7</v>
      </c>
      <c r="E33" s="889">
        <f t="shared" si="26"/>
        <v>48060</v>
      </c>
      <c r="F33" s="822">
        <f t="shared" si="2"/>
        <v>7</v>
      </c>
      <c r="G33" s="126">
        <f t="shared" si="3"/>
        <v>0</v>
      </c>
      <c r="H33" s="1098">
        <f t="shared" si="27"/>
        <v>0</v>
      </c>
      <c r="I33" s="887">
        <f t="shared" si="21"/>
        <v>14</v>
      </c>
      <c r="J33" s="1099">
        <f t="shared" si="9"/>
        <v>14</v>
      </c>
      <c r="K33" s="891" t="str">
        <f t="shared" si="10"/>
        <v>July</v>
      </c>
      <c r="L33" s="888">
        <f t="shared" si="22"/>
        <v>2031</v>
      </c>
      <c r="M33" s="883">
        <f t="shared" si="23"/>
        <v>0</v>
      </c>
      <c r="N33" s="883">
        <f t="shared" si="11"/>
        <v>0</v>
      </c>
      <c r="O33" s="1100"/>
      <c r="P33" s="883">
        <f t="shared" si="12"/>
        <v>0</v>
      </c>
      <c r="Q33" s="884">
        <f t="shared" si="13"/>
        <v>0</v>
      </c>
      <c r="R33" s="884">
        <f>IF(AND($AR$39="Early Payoff",I33&gt;=$R$13),0,IF($I33&lt;=$R$6,SUM($P$20:$P33),0))</f>
        <v>0</v>
      </c>
      <c r="S33" s="884">
        <f>IF(AND($AR$39="Early Payoff",I33&gt;=$R$13),0,IF($I33&lt;=$R$6,SUM($Q$20:$Q33),0))</f>
        <v>0</v>
      </c>
      <c r="T33" s="873">
        <f t="shared" si="14"/>
        <v>0</v>
      </c>
      <c r="U33" s="1110">
        <f t="shared" si="4"/>
        <v>0</v>
      </c>
      <c r="W33" s="1102">
        <f t="shared" si="5"/>
        <v>0</v>
      </c>
      <c r="X33" s="873">
        <f t="shared" si="6"/>
        <v>0</v>
      </c>
      <c r="Y33" s="873">
        <f t="shared" si="7"/>
        <v>0</v>
      </c>
      <c r="Z33" s="885">
        <f t="shared" si="8"/>
        <v>0</v>
      </c>
      <c r="AB33" s="355">
        <f t="shared" si="24"/>
        <v>13</v>
      </c>
      <c r="AC33" s="1103">
        <f t="shared" si="24"/>
        <v>2043</v>
      </c>
      <c r="AD33" s="1104">
        <f t="shared" si="15"/>
        <v>0</v>
      </c>
      <c r="AE33" s="1104">
        <f t="shared" si="16"/>
        <v>0</v>
      </c>
      <c r="AF33" s="1104">
        <f t="shared" si="17"/>
        <v>0</v>
      </c>
      <c r="AG33" s="1104">
        <f t="shared" si="18"/>
        <v>0</v>
      </c>
      <c r="AH33" s="1104">
        <f t="shared" si="19"/>
        <v>0</v>
      </c>
      <c r="AI33" s="1104">
        <f>IF($AD33=0,0,SUM($AF$20:$AF33))</f>
        <v>0</v>
      </c>
      <c r="AJ33" s="1104">
        <f>IF($AD33=0,0,SUM($AG$20:$AG33))</f>
        <v>0</v>
      </c>
      <c r="AK33" s="1104">
        <f>SUM($AH$20:$AH33)</f>
        <v>0</v>
      </c>
      <c r="AL33" s="1104">
        <f t="shared" si="25"/>
        <v>0</v>
      </c>
      <c r="AM33" s="1104"/>
      <c r="AN33" s="347"/>
      <c r="AP33" s="347" t="s">
        <v>538</v>
      </c>
      <c r="AQ33" s="1118">
        <f>EOMONTH(AQ24,AQ28+1)</f>
        <v>47695</v>
      </c>
      <c r="AR33" s="345"/>
      <c r="AS33" s="1111" t="s">
        <v>535</v>
      </c>
      <c r="AT33" s="1117">
        <v>11</v>
      </c>
      <c r="AU33" s="348" t="str">
        <f t="shared" si="28"/>
        <v>November</v>
      </c>
      <c r="AV33" s="1092"/>
      <c r="AW33" s="1093"/>
    </row>
    <row r="34" spans="2:49" s="278" customFormat="1" ht="12" customHeight="1" x14ac:dyDescent="0.25">
      <c r="B34" s="1192">
        <f t="shared" si="20"/>
        <v>34</v>
      </c>
      <c r="C34" s="732">
        <f t="shared" si="0"/>
        <v>31</v>
      </c>
      <c r="D34" s="35">
        <f t="shared" si="1"/>
        <v>8</v>
      </c>
      <c r="E34" s="889">
        <f t="shared" si="26"/>
        <v>48091</v>
      </c>
      <c r="F34" s="822">
        <f t="shared" si="2"/>
        <v>8</v>
      </c>
      <c r="G34" s="126">
        <f t="shared" si="3"/>
        <v>0</v>
      </c>
      <c r="H34" s="1098">
        <f t="shared" si="27"/>
        <v>0</v>
      </c>
      <c r="I34" s="887">
        <f t="shared" si="21"/>
        <v>15</v>
      </c>
      <c r="J34" s="1099">
        <f t="shared" si="9"/>
        <v>15</v>
      </c>
      <c r="K34" s="891" t="str">
        <f t="shared" si="10"/>
        <v>August</v>
      </c>
      <c r="L34" s="888">
        <f t="shared" si="22"/>
        <v>2031</v>
      </c>
      <c r="M34" s="883">
        <f t="shared" si="23"/>
        <v>0</v>
      </c>
      <c r="N34" s="883">
        <f>IF(AND($AR$39="Early Payoff",I34&gt;=$R$13),0,IF($I34&gt;$R$6,0,IF(AND($AQ$29&gt;=0,$I34&lt;=$AQ$29),0,IF(AND($AQ$27&gt;=0,$I34&lt;=$AQ$27),$Q34,IF(AND($S$4="Annual",$AQ$27&gt;=0,$AQ$29&gt;=0,$I34&gt;$AQ$27,$I34&gt;$AQ$29),PMT($L$7,($R$6-$AQ$27),$L$4),IF(AND($S$4="Bi-Annual",$AQ$27&gt;=0,$AQ$29&gt;=0,$I34&gt;$AQ$27,$I34&gt;$AQ$29),PMT($L$7/2,($R$6-$AQ$27),$L$4),IF(AND($S$4="Monthly",$AQ$27&gt;=0,$AQ$29&gt;=0,$I34&gt;$AQ$27,$I34&gt;$AQ$29),PMT($L$7/12,($R$6-$AQ$27),$L$4))))))))-O34</f>
        <v>0</v>
      </c>
      <c r="O34" s="1100"/>
      <c r="P34" s="883">
        <f t="shared" si="12"/>
        <v>0</v>
      </c>
      <c r="Q34" s="884">
        <f t="shared" si="13"/>
        <v>0</v>
      </c>
      <c r="R34" s="884">
        <f>IF(AND($AR$39="Early Payoff",I34&gt;=$R$13),0,IF($I34&lt;=$R$6,SUM($P$20:$P34),0))</f>
        <v>0</v>
      </c>
      <c r="S34" s="884">
        <f>IF(AND($AR$39="Early Payoff",I34&gt;=$R$13),0,IF($I34&lt;=$R$6,SUM($Q$20:$Q34),0))</f>
        <v>0</v>
      </c>
      <c r="T34" s="873">
        <f t="shared" si="14"/>
        <v>0</v>
      </c>
      <c r="U34" s="1110">
        <f t="shared" si="4"/>
        <v>0</v>
      </c>
      <c r="W34" s="1102">
        <f t="shared" si="5"/>
        <v>0</v>
      </c>
      <c r="X34" s="873">
        <f t="shared" si="6"/>
        <v>0</v>
      </c>
      <c r="Y34" s="873">
        <f t="shared" si="7"/>
        <v>0</v>
      </c>
      <c r="Z34" s="885">
        <f t="shared" si="8"/>
        <v>0</v>
      </c>
      <c r="AB34" s="355">
        <f t="shared" si="24"/>
        <v>14</v>
      </c>
      <c r="AC34" s="1103">
        <f t="shared" si="24"/>
        <v>2044</v>
      </c>
      <c r="AD34" s="1104">
        <f t="shared" si="15"/>
        <v>0</v>
      </c>
      <c r="AE34" s="1104">
        <f t="shared" si="16"/>
        <v>0</v>
      </c>
      <c r="AF34" s="1104">
        <f t="shared" si="17"/>
        <v>0</v>
      </c>
      <c r="AG34" s="1104">
        <f t="shared" si="18"/>
        <v>0</v>
      </c>
      <c r="AH34" s="1104">
        <f t="shared" si="19"/>
        <v>0</v>
      </c>
      <c r="AI34" s="1104">
        <f>IF($AD34=0,0,SUM($AF$20:$AF34))</f>
        <v>0</v>
      </c>
      <c r="AJ34" s="1104">
        <f>IF($AD34=0,0,SUM($AG$20:$AG34))</f>
        <v>0</v>
      </c>
      <c r="AK34" s="1104">
        <f>SUM($AH$20:$AH34)</f>
        <v>0</v>
      </c>
      <c r="AL34" s="1104">
        <f t="shared" si="25"/>
        <v>0</v>
      </c>
      <c r="AM34" s="1104"/>
      <c r="AN34" s="347"/>
      <c r="AP34" s="347"/>
      <c r="AQ34" s="345"/>
      <c r="AR34" s="345"/>
      <c r="AS34" s="1145" t="s">
        <v>423</v>
      </c>
      <c r="AT34" s="1146">
        <v>12</v>
      </c>
      <c r="AU34" s="568" t="str">
        <f t="shared" si="28"/>
        <v>December</v>
      </c>
      <c r="AV34" s="1092"/>
      <c r="AW34" s="1093"/>
    </row>
    <row r="35" spans="2:49" s="278" customFormat="1" ht="12" customHeight="1" x14ac:dyDescent="0.25">
      <c r="B35" s="1192">
        <f t="shared" si="20"/>
        <v>35</v>
      </c>
      <c r="C35" s="732">
        <f t="shared" si="0"/>
        <v>30</v>
      </c>
      <c r="D35" s="35">
        <f t="shared" si="1"/>
        <v>9</v>
      </c>
      <c r="E35" s="889">
        <f t="shared" si="26"/>
        <v>48121</v>
      </c>
      <c r="F35" s="822">
        <f t="shared" si="2"/>
        <v>9</v>
      </c>
      <c r="G35" s="126">
        <f t="shared" si="3"/>
        <v>0</v>
      </c>
      <c r="H35" s="1098">
        <f t="shared" si="27"/>
        <v>0</v>
      </c>
      <c r="I35" s="887">
        <f t="shared" si="21"/>
        <v>16</v>
      </c>
      <c r="J35" s="1099">
        <f t="shared" si="9"/>
        <v>16</v>
      </c>
      <c r="K35" s="891" t="str">
        <f t="shared" si="10"/>
        <v>September</v>
      </c>
      <c r="L35" s="888">
        <f t="shared" si="22"/>
        <v>2031</v>
      </c>
      <c r="M35" s="883">
        <f t="shared" si="23"/>
        <v>0</v>
      </c>
      <c r="N35" s="883">
        <f t="shared" si="11"/>
        <v>0</v>
      </c>
      <c r="O35" s="1100"/>
      <c r="P35" s="883">
        <f t="shared" si="12"/>
        <v>0</v>
      </c>
      <c r="Q35" s="884">
        <f t="shared" si="13"/>
        <v>0</v>
      </c>
      <c r="R35" s="884">
        <f>IF(AND($AR$39="Early Payoff",I35&gt;=$R$13),0,IF($I35&lt;=$R$6,SUM($P$20:$P35),0))</f>
        <v>0</v>
      </c>
      <c r="S35" s="884">
        <f>IF(AND($AR$39="Early Payoff",I35&gt;=$R$13),0,IF($I35&lt;=$R$6,SUM($Q$20:$Q35),0))</f>
        <v>0</v>
      </c>
      <c r="T35" s="873">
        <f t="shared" si="14"/>
        <v>0</v>
      </c>
      <c r="U35" s="1110">
        <f t="shared" si="4"/>
        <v>0</v>
      </c>
      <c r="W35" s="1102">
        <f t="shared" si="5"/>
        <v>0</v>
      </c>
      <c r="X35" s="873">
        <f t="shared" si="6"/>
        <v>0</v>
      </c>
      <c r="Y35" s="873">
        <f t="shared" si="7"/>
        <v>0</v>
      </c>
      <c r="Z35" s="885">
        <f t="shared" si="8"/>
        <v>0</v>
      </c>
      <c r="AB35" s="355">
        <f t="shared" si="24"/>
        <v>15</v>
      </c>
      <c r="AC35" s="1103">
        <f t="shared" si="24"/>
        <v>2045</v>
      </c>
      <c r="AD35" s="1104">
        <f t="shared" si="15"/>
        <v>0</v>
      </c>
      <c r="AE35" s="1104">
        <f t="shared" si="16"/>
        <v>0</v>
      </c>
      <c r="AF35" s="1104">
        <f t="shared" si="17"/>
        <v>0</v>
      </c>
      <c r="AG35" s="1104">
        <f t="shared" si="18"/>
        <v>0</v>
      </c>
      <c r="AH35" s="1104">
        <f t="shared" si="19"/>
        <v>0</v>
      </c>
      <c r="AI35" s="1104">
        <f>IF($AD35=0,0,SUM($AF$20:$AF35))</f>
        <v>0</v>
      </c>
      <c r="AJ35" s="1104">
        <f>IF($AD35=0,0,SUM($AG$20:$AG35))</f>
        <v>0</v>
      </c>
      <c r="AK35" s="1104">
        <f>SUM($AH$20:$AH35)</f>
        <v>0</v>
      </c>
      <c r="AL35" s="1104">
        <f t="shared" si="25"/>
        <v>0</v>
      </c>
      <c r="AM35" s="1104"/>
      <c r="AN35" s="347"/>
      <c r="AP35" s="1111" t="s">
        <v>539</v>
      </c>
      <c r="AQ35" s="1103">
        <f>YEAR(AQ37)</f>
        <v>2030</v>
      </c>
      <c r="AR35" s="345"/>
      <c r="AS35" s="1093"/>
      <c r="AT35" s="1092"/>
      <c r="AU35" s="1147"/>
      <c r="AV35" s="1092"/>
      <c r="AW35" s="1093"/>
    </row>
    <row r="36" spans="2:49" s="278" customFormat="1" ht="12" customHeight="1" x14ac:dyDescent="0.25">
      <c r="B36" s="1192">
        <f t="shared" si="20"/>
        <v>36</v>
      </c>
      <c r="C36" s="732">
        <f t="shared" si="0"/>
        <v>31</v>
      </c>
      <c r="D36" s="35">
        <f t="shared" si="1"/>
        <v>10</v>
      </c>
      <c r="E36" s="889">
        <f t="shared" si="26"/>
        <v>48152</v>
      </c>
      <c r="F36" s="822">
        <f t="shared" si="2"/>
        <v>10</v>
      </c>
      <c r="G36" s="126">
        <f t="shared" si="3"/>
        <v>0</v>
      </c>
      <c r="H36" s="1098">
        <f t="shared" si="27"/>
        <v>0</v>
      </c>
      <c r="I36" s="887">
        <f t="shared" si="21"/>
        <v>17</v>
      </c>
      <c r="J36" s="1099">
        <f t="shared" si="9"/>
        <v>17</v>
      </c>
      <c r="K36" s="891" t="str">
        <f t="shared" si="10"/>
        <v>October</v>
      </c>
      <c r="L36" s="888">
        <f t="shared" si="22"/>
        <v>2031</v>
      </c>
      <c r="M36" s="883">
        <f t="shared" si="23"/>
        <v>0</v>
      </c>
      <c r="N36" s="883">
        <f t="shared" si="11"/>
        <v>0</v>
      </c>
      <c r="O36" s="1100"/>
      <c r="P36" s="883">
        <f t="shared" si="12"/>
        <v>0</v>
      </c>
      <c r="Q36" s="884">
        <f t="shared" si="13"/>
        <v>0</v>
      </c>
      <c r="R36" s="884">
        <f>IF(AND($AR$39="Early Payoff",I36&gt;=$R$13),0,IF($I36&lt;=$R$6,SUM($P$20:$P36),0))</f>
        <v>0</v>
      </c>
      <c r="S36" s="884">
        <f>IF(AND($AR$39="Early Payoff",I36&gt;=$R$13),0,IF($I36&lt;=$R$6,SUM($Q$20:$Q36),0))</f>
        <v>0</v>
      </c>
      <c r="T36" s="873">
        <f t="shared" si="14"/>
        <v>0</v>
      </c>
      <c r="U36" s="1110">
        <f t="shared" si="4"/>
        <v>0</v>
      </c>
      <c r="W36" s="1102">
        <f t="shared" si="5"/>
        <v>0</v>
      </c>
      <c r="X36" s="873">
        <f t="shared" si="6"/>
        <v>0</v>
      </c>
      <c r="Y36" s="873">
        <f t="shared" si="7"/>
        <v>0</v>
      </c>
      <c r="Z36" s="885">
        <f t="shared" si="8"/>
        <v>0</v>
      </c>
      <c r="AB36" s="355">
        <f t="shared" si="24"/>
        <v>16</v>
      </c>
      <c r="AC36" s="1103">
        <f t="shared" si="24"/>
        <v>2046</v>
      </c>
      <c r="AD36" s="1104">
        <f t="shared" si="15"/>
        <v>0</v>
      </c>
      <c r="AE36" s="1104">
        <f t="shared" si="16"/>
        <v>0</v>
      </c>
      <c r="AF36" s="1104">
        <f t="shared" si="17"/>
        <v>0</v>
      </c>
      <c r="AG36" s="1104">
        <f t="shared" si="18"/>
        <v>0</v>
      </c>
      <c r="AH36" s="1104">
        <f t="shared" si="19"/>
        <v>0</v>
      </c>
      <c r="AI36" s="1104">
        <f>IF($AD36=0,0,SUM($AF$20:$AF36))</f>
        <v>0</v>
      </c>
      <c r="AJ36" s="1104">
        <f>IF($AD36=0,0,SUM($AG$20:$AG36))</f>
        <v>0</v>
      </c>
      <c r="AK36" s="1104">
        <f>SUM($AH$20:$AH36)</f>
        <v>0</v>
      </c>
      <c r="AL36" s="1104">
        <f t="shared" si="25"/>
        <v>0</v>
      </c>
      <c r="AM36" s="1104"/>
      <c r="AN36" s="347"/>
      <c r="AP36" s="347" t="s">
        <v>540</v>
      </c>
      <c r="AQ36" s="1077" t="str">
        <f>INDEX($AT$22:$AU$34,MATCH(MONTH($AQ$37),$AT$22:$AT$34,0),MATCH("Month",$AT$22:$AU$22,0))</f>
        <v>July</v>
      </c>
      <c r="AR36" s="345"/>
      <c r="AS36" s="1113"/>
      <c r="AT36" s="1148" t="s">
        <v>527</v>
      </c>
      <c r="AU36" s="1147"/>
    </row>
    <row r="37" spans="2:49" s="278" customFormat="1" ht="12" customHeight="1" x14ac:dyDescent="0.25">
      <c r="B37" s="1192">
        <f t="shared" si="20"/>
        <v>37</v>
      </c>
      <c r="C37" s="732">
        <f t="shared" si="0"/>
        <v>30</v>
      </c>
      <c r="D37" s="35">
        <f t="shared" si="1"/>
        <v>11</v>
      </c>
      <c r="E37" s="889">
        <f t="shared" si="26"/>
        <v>48182</v>
      </c>
      <c r="F37" s="822">
        <f t="shared" si="2"/>
        <v>11</v>
      </c>
      <c r="G37" s="126">
        <f t="shared" si="3"/>
        <v>0</v>
      </c>
      <c r="H37" s="1098">
        <f t="shared" si="27"/>
        <v>0</v>
      </c>
      <c r="I37" s="887">
        <f t="shared" si="21"/>
        <v>18</v>
      </c>
      <c r="J37" s="1099">
        <f t="shared" si="9"/>
        <v>18</v>
      </c>
      <c r="K37" s="891" t="str">
        <f t="shared" si="10"/>
        <v>November</v>
      </c>
      <c r="L37" s="888">
        <f t="shared" si="22"/>
        <v>2031</v>
      </c>
      <c r="M37" s="883">
        <f t="shared" si="23"/>
        <v>0</v>
      </c>
      <c r="N37" s="883">
        <f t="shared" si="11"/>
        <v>0</v>
      </c>
      <c r="O37" s="1100"/>
      <c r="P37" s="883">
        <f t="shared" si="12"/>
        <v>0</v>
      </c>
      <c r="Q37" s="884">
        <f t="shared" si="13"/>
        <v>0</v>
      </c>
      <c r="R37" s="884">
        <f>IF(AND($AR$39="Early Payoff",I37&gt;=$R$13),0,IF($I37&lt;=$R$6,SUM($P$20:$P37),0))</f>
        <v>0</v>
      </c>
      <c r="S37" s="884">
        <f>IF(AND($AR$39="Early Payoff",I37&gt;=$R$13),0,IF($I37&lt;=$R$6,SUM($Q$20:$Q37),0))</f>
        <v>0</v>
      </c>
      <c r="T37" s="873">
        <f t="shared" si="14"/>
        <v>0</v>
      </c>
      <c r="U37" s="1110">
        <f t="shared" si="4"/>
        <v>0</v>
      </c>
      <c r="W37" s="1102">
        <f t="shared" si="5"/>
        <v>0</v>
      </c>
      <c r="X37" s="873">
        <f t="shared" si="6"/>
        <v>0</v>
      </c>
      <c r="Y37" s="873">
        <f t="shared" si="7"/>
        <v>0</v>
      </c>
      <c r="Z37" s="885">
        <f t="shared" si="8"/>
        <v>0</v>
      </c>
      <c r="AB37" s="355">
        <f t="shared" si="24"/>
        <v>17</v>
      </c>
      <c r="AC37" s="1103">
        <f t="shared" si="24"/>
        <v>2047</v>
      </c>
      <c r="AD37" s="1104">
        <f t="shared" si="15"/>
        <v>0</v>
      </c>
      <c r="AE37" s="1104">
        <f t="shared" si="16"/>
        <v>0</v>
      </c>
      <c r="AF37" s="1104">
        <f t="shared" si="17"/>
        <v>0</v>
      </c>
      <c r="AG37" s="1104">
        <f t="shared" si="18"/>
        <v>0</v>
      </c>
      <c r="AH37" s="1104">
        <f t="shared" si="19"/>
        <v>0</v>
      </c>
      <c r="AI37" s="1104">
        <f>IF($AD37=0,0,SUM($AF$20:$AF37))</f>
        <v>0</v>
      </c>
      <c r="AJ37" s="1104">
        <f>IF($AD37=0,0,SUM($AG$20:$AG37))</f>
        <v>0</v>
      </c>
      <c r="AK37" s="1104">
        <f>SUM($AH$20:$AH37)</f>
        <v>0</v>
      </c>
      <c r="AL37" s="1104">
        <f t="shared" si="25"/>
        <v>0</v>
      </c>
      <c r="AM37" s="1104"/>
      <c r="AN37" s="347"/>
      <c r="AP37" s="347" t="s">
        <v>541</v>
      </c>
      <c r="AQ37" s="1118">
        <f>EOMONTH(AQ24,AQ27+1)</f>
        <v>47695</v>
      </c>
      <c r="AR37" s="345"/>
      <c r="AS37" s="1111" t="s">
        <v>425</v>
      </c>
      <c r="AT37" s="1149">
        <v>0</v>
      </c>
      <c r="AU37" s="1147"/>
    </row>
    <row r="38" spans="2:49" s="278" customFormat="1" ht="12" customHeight="1" x14ac:dyDescent="0.25">
      <c r="B38" s="1192">
        <f t="shared" si="20"/>
        <v>38</v>
      </c>
      <c r="C38" s="732">
        <f t="shared" si="0"/>
        <v>31</v>
      </c>
      <c r="D38" s="35">
        <f t="shared" si="1"/>
        <v>12</v>
      </c>
      <c r="E38" s="889">
        <f t="shared" si="26"/>
        <v>48213</v>
      </c>
      <c r="F38" s="822">
        <f t="shared" si="2"/>
        <v>12</v>
      </c>
      <c r="G38" s="126">
        <f t="shared" si="3"/>
        <v>1</v>
      </c>
      <c r="H38" s="1098">
        <f t="shared" si="27"/>
        <v>0</v>
      </c>
      <c r="I38" s="887">
        <f t="shared" si="21"/>
        <v>19</v>
      </c>
      <c r="J38" s="1099">
        <f t="shared" si="9"/>
        <v>19</v>
      </c>
      <c r="K38" s="891" t="str">
        <f t="shared" si="10"/>
        <v>December</v>
      </c>
      <c r="L38" s="888">
        <f t="shared" si="22"/>
        <v>2031</v>
      </c>
      <c r="M38" s="883">
        <f t="shared" si="23"/>
        <v>0</v>
      </c>
      <c r="N38" s="883">
        <f t="shared" si="11"/>
        <v>0</v>
      </c>
      <c r="O38" s="1100"/>
      <c r="P38" s="883">
        <f t="shared" si="12"/>
        <v>0</v>
      </c>
      <c r="Q38" s="884">
        <f t="shared" si="13"/>
        <v>0</v>
      </c>
      <c r="R38" s="884">
        <f>IF(AND($AR$39="Early Payoff",I38&gt;=$R$13),0,IF($I38&lt;=$R$6,SUM($P$20:$P38),0))</f>
        <v>0</v>
      </c>
      <c r="S38" s="884">
        <f>IF(AND($AR$39="Early Payoff",I38&gt;=$R$13),0,IF($I38&lt;=$R$6,SUM($Q$20:$Q38),0))</f>
        <v>0</v>
      </c>
      <c r="T38" s="873">
        <f t="shared" si="14"/>
        <v>0</v>
      </c>
      <c r="U38" s="1110">
        <f t="shared" si="4"/>
        <v>0</v>
      </c>
      <c r="W38" s="1102">
        <f t="shared" si="5"/>
        <v>0</v>
      </c>
      <c r="X38" s="873">
        <f t="shared" si="6"/>
        <v>0</v>
      </c>
      <c r="Y38" s="873">
        <f t="shared" si="7"/>
        <v>0</v>
      </c>
      <c r="Z38" s="885">
        <f t="shared" si="8"/>
        <v>0</v>
      </c>
      <c r="AB38" s="355">
        <f t="shared" ref="AB38:AC41" si="29">AB37+1</f>
        <v>18</v>
      </c>
      <c r="AC38" s="1103">
        <f t="shared" si="29"/>
        <v>2048</v>
      </c>
      <c r="AD38" s="1104">
        <f t="shared" si="15"/>
        <v>0</v>
      </c>
      <c r="AE38" s="1104">
        <f t="shared" si="16"/>
        <v>0</v>
      </c>
      <c r="AF38" s="1104">
        <f t="shared" si="17"/>
        <v>0</v>
      </c>
      <c r="AG38" s="1104">
        <f t="shared" si="18"/>
        <v>0</v>
      </c>
      <c r="AH38" s="1104">
        <f t="shared" si="19"/>
        <v>0</v>
      </c>
      <c r="AI38" s="1104">
        <f>IF($AD38=0,0,SUM($AF$20:$AF38))</f>
        <v>0</v>
      </c>
      <c r="AJ38" s="1104">
        <f>IF($AD38=0,0,SUM($AG$20:$AG38))</f>
        <v>0</v>
      </c>
      <c r="AK38" s="1104">
        <f>SUM($AH$20:$AH38)</f>
        <v>0</v>
      </c>
      <c r="AL38" s="1104">
        <f t="shared" si="25"/>
        <v>0</v>
      </c>
      <c r="AM38" s="1104"/>
      <c r="AN38" s="347"/>
      <c r="AP38" s="347"/>
      <c r="AQ38" s="345"/>
      <c r="AR38" s="345"/>
      <c r="AS38" s="1111" t="s">
        <v>528</v>
      </c>
      <c r="AT38" s="1149">
        <v>0</v>
      </c>
      <c r="AU38" s="1147"/>
    </row>
    <row r="39" spans="2:49" s="278" customFormat="1" ht="12" customHeight="1" x14ac:dyDescent="0.25">
      <c r="B39" s="1192">
        <f t="shared" si="20"/>
        <v>39</v>
      </c>
      <c r="C39" s="732">
        <f t="shared" si="0"/>
        <v>31</v>
      </c>
      <c r="D39" s="35">
        <f t="shared" si="1"/>
        <v>1</v>
      </c>
      <c r="E39" s="889">
        <f t="shared" si="26"/>
        <v>48244</v>
      </c>
      <c r="F39" s="822">
        <f t="shared" si="2"/>
        <v>1</v>
      </c>
      <c r="G39" s="126">
        <f t="shared" si="3"/>
        <v>0</v>
      </c>
      <c r="H39" s="1098">
        <f t="shared" si="27"/>
        <v>0</v>
      </c>
      <c r="I39" s="887">
        <f t="shared" si="21"/>
        <v>20</v>
      </c>
      <c r="J39" s="1099">
        <f t="shared" si="9"/>
        <v>20</v>
      </c>
      <c r="K39" s="891" t="str">
        <f t="shared" si="10"/>
        <v>January</v>
      </c>
      <c r="L39" s="888">
        <f t="shared" si="22"/>
        <v>2032</v>
      </c>
      <c r="M39" s="883">
        <f t="shared" si="23"/>
        <v>0</v>
      </c>
      <c r="N39" s="883">
        <f t="shared" si="11"/>
        <v>0</v>
      </c>
      <c r="O39" s="1100"/>
      <c r="P39" s="883">
        <f t="shared" si="12"/>
        <v>0</v>
      </c>
      <c r="Q39" s="884">
        <f t="shared" si="13"/>
        <v>0</v>
      </c>
      <c r="R39" s="884">
        <f>IF(AND($AR$39="Early Payoff",I39&gt;=$R$13),0,IF($I39&lt;=$R$6,SUM($P$20:$P39),0))</f>
        <v>0</v>
      </c>
      <c r="S39" s="884">
        <f>IF(AND($AR$39="Early Payoff",I39&gt;=$R$13),0,IF($I39&lt;=$R$6,SUM($Q$20:$Q39),0))</f>
        <v>0</v>
      </c>
      <c r="T39" s="873">
        <f t="shared" si="14"/>
        <v>0</v>
      </c>
      <c r="U39" s="1110">
        <f t="shared" si="4"/>
        <v>0</v>
      </c>
      <c r="W39" s="1102">
        <f t="shared" si="5"/>
        <v>0</v>
      </c>
      <c r="X39" s="873">
        <f t="shared" si="6"/>
        <v>0</v>
      </c>
      <c r="Y39" s="873">
        <f t="shared" si="7"/>
        <v>0</v>
      </c>
      <c r="Z39" s="885">
        <f t="shared" si="8"/>
        <v>0</v>
      </c>
      <c r="AB39" s="355">
        <f t="shared" si="29"/>
        <v>19</v>
      </c>
      <c r="AC39" s="1103">
        <f t="shared" si="29"/>
        <v>2049</v>
      </c>
      <c r="AD39" s="1104">
        <f t="shared" si="15"/>
        <v>0</v>
      </c>
      <c r="AE39" s="1104">
        <f t="shared" si="16"/>
        <v>0</v>
      </c>
      <c r="AF39" s="1104">
        <f t="shared" si="17"/>
        <v>0</v>
      </c>
      <c r="AG39" s="1104">
        <f t="shared" si="18"/>
        <v>0</v>
      </c>
      <c r="AH39" s="1104">
        <f t="shared" si="19"/>
        <v>0</v>
      </c>
      <c r="AI39" s="1104">
        <f>IF($AD39=0,0,SUM($AF$20:$AF39))</f>
        <v>0</v>
      </c>
      <c r="AJ39" s="1104">
        <f>IF($AD39=0,0,SUM($AG$20:$AG39))</f>
        <v>0</v>
      </c>
      <c r="AK39" s="1104">
        <f>SUM($AH$20:$AH39)</f>
        <v>0</v>
      </c>
      <c r="AL39" s="1104">
        <f t="shared" si="25"/>
        <v>0</v>
      </c>
      <c r="AM39" s="1104"/>
      <c r="AN39" s="347"/>
      <c r="AP39" s="347" t="s">
        <v>542</v>
      </c>
      <c r="AQ39" s="1103">
        <f>YEAR(S13)</f>
        <v>2060</v>
      </c>
      <c r="AR39" s="345" t="s">
        <v>736</v>
      </c>
      <c r="AS39" s="1111" t="s">
        <v>378</v>
      </c>
      <c r="AT39" s="1149">
        <v>0</v>
      </c>
      <c r="AU39" s="1147"/>
    </row>
    <row r="40" spans="2:49" s="278" customFormat="1" ht="12" customHeight="1" x14ac:dyDescent="0.25">
      <c r="B40" s="1192">
        <f t="shared" si="20"/>
        <v>40</v>
      </c>
      <c r="C40" s="732">
        <f t="shared" si="0"/>
        <v>29</v>
      </c>
      <c r="D40" s="35">
        <f t="shared" si="1"/>
        <v>2</v>
      </c>
      <c r="E40" s="889">
        <f t="shared" si="26"/>
        <v>48273</v>
      </c>
      <c r="F40" s="822">
        <f t="shared" si="2"/>
        <v>2</v>
      </c>
      <c r="G40" s="126">
        <f t="shared" si="3"/>
        <v>0</v>
      </c>
      <c r="H40" s="1098">
        <f t="shared" si="27"/>
        <v>0</v>
      </c>
      <c r="I40" s="887">
        <f t="shared" si="21"/>
        <v>21</v>
      </c>
      <c r="J40" s="1099">
        <f t="shared" si="9"/>
        <v>21</v>
      </c>
      <c r="K40" s="891" t="str">
        <f t="shared" si="10"/>
        <v>February</v>
      </c>
      <c r="L40" s="888">
        <f t="shared" si="22"/>
        <v>2032</v>
      </c>
      <c r="M40" s="883">
        <f t="shared" si="23"/>
        <v>0</v>
      </c>
      <c r="N40" s="883">
        <f t="shared" si="11"/>
        <v>0</v>
      </c>
      <c r="O40" s="1100">
        <v>0</v>
      </c>
      <c r="P40" s="883">
        <f t="shared" si="12"/>
        <v>0</v>
      </c>
      <c r="Q40" s="884">
        <f t="shared" si="13"/>
        <v>0</v>
      </c>
      <c r="R40" s="884">
        <f>IF(AND($AR$39="Early Payoff",I40&gt;=$R$13),0,IF($I40&lt;=$R$6,SUM($P$20:$P40),0))</f>
        <v>0</v>
      </c>
      <c r="S40" s="884">
        <f>IF(AND($AR$39="Early Payoff",I40&gt;=$R$13),0,IF($I40&lt;=$R$6,SUM($Q$20:$Q40),0))</f>
        <v>0</v>
      </c>
      <c r="T40" s="873">
        <f t="shared" si="14"/>
        <v>0</v>
      </c>
      <c r="U40" s="1110">
        <f t="shared" si="4"/>
        <v>0</v>
      </c>
      <c r="W40" s="1102">
        <f t="shared" si="5"/>
        <v>0</v>
      </c>
      <c r="X40" s="873">
        <f t="shared" si="6"/>
        <v>0</v>
      </c>
      <c r="Y40" s="873">
        <f t="shared" si="7"/>
        <v>0</v>
      </c>
      <c r="Z40" s="885">
        <f t="shared" si="8"/>
        <v>0</v>
      </c>
      <c r="AB40" s="355">
        <f t="shared" si="29"/>
        <v>20</v>
      </c>
      <c r="AC40" s="1103">
        <f t="shared" si="29"/>
        <v>2050</v>
      </c>
      <c r="AD40" s="1104">
        <f t="shared" si="15"/>
        <v>0</v>
      </c>
      <c r="AE40" s="1104">
        <f t="shared" si="16"/>
        <v>0</v>
      </c>
      <c r="AF40" s="1104">
        <f t="shared" si="17"/>
        <v>0</v>
      </c>
      <c r="AG40" s="1104">
        <f t="shared" si="18"/>
        <v>0</v>
      </c>
      <c r="AH40" s="1104">
        <f t="shared" si="19"/>
        <v>0</v>
      </c>
      <c r="AI40" s="1104">
        <f>IF($AD40=0,0,SUM($AF$20:$AF40))</f>
        <v>0</v>
      </c>
      <c r="AJ40" s="1104">
        <f>IF($AD40=0,0,SUM($AG$20:$AG40))</f>
        <v>0</v>
      </c>
      <c r="AK40" s="1104">
        <f>SUM($AH$20:$AH40)</f>
        <v>0</v>
      </c>
      <c r="AL40" s="1104">
        <f t="shared" si="25"/>
        <v>0</v>
      </c>
      <c r="AM40" s="1104"/>
      <c r="AN40" s="347"/>
      <c r="AP40" s="347" t="s">
        <v>543</v>
      </c>
      <c r="AQ40" s="1077" t="str">
        <f>INDEX($AT$22:$AU$34,MATCH(MONTH($S$13),$AT$22:$AT$34,0),MATCH("Month",$AT$22:$AU$22,0))</f>
        <v>May</v>
      </c>
      <c r="AR40" s="345">
        <f>INDEX(AS22:AT34,MATCH(AQ40,AS22:AS34,0),MATCH("Number",AS22:AT22,0))</f>
        <v>5</v>
      </c>
      <c r="AS40" s="1111" t="s">
        <v>529</v>
      </c>
      <c r="AT40" s="1149">
        <v>0</v>
      </c>
      <c r="AU40" s="1147"/>
    </row>
    <row r="41" spans="2:49" s="278" customFormat="1" ht="12" customHeight="1" x14ac:dyDescent="0.25">
      <c r="B41" s="1192">
        <f t="shared" si="20"/>
        <v>41</v>
      </c>
      <c r="C41" s="732">
        <f t="shared" si="0"/>
        <v>31</v>
      </c>
      <c r="D41" s="35">
        <f t="shared" si="1"/>
        <v>3</v>
      </c>
      <c r="E41" s="889">
        <f t="shared" si="26"/>
        <v>48304</v>
      </c>
      <c r="F41" s="822">
        <f t="shared" si="2"/>
        <v>3</v>
      </c>
      <c r="G41" s="126">
        <f t="shared" si="3"/>
        <v>0</v>
      </c>
      <c r="H41" s="1098">
        <f t="shared" si="27"/>
        <v>0</v>
      </c>
      <c r="I41" s="887">
        <f t="shared" si="21"/>
        <v>22</v>
      </c>
      <c r="J41" s="1099">
        <f t="shared" si="9"/>
        <v>22</v>
      </c>
      <c r="K41" s="891" t="str">
        <f t="shared" si="10"/>
        <v>March</v>
      </c>
      <c r="L41" s="888">
        <f t="shared" si="22"/>
        <v>2032</v>
      </c>
      <c r="M41" s="883">
        <f t="shared" si="23"/>
        <v>0</v>
      </c>
      <c r="N41" s="883">
        <f t="shared" si="11"/>
        <v>0</v>
      </c>
      <c r="O41" s="1100"/>
      <c r="P41" s="883">
        <f t="shared" si="12"/>
        <v>0</v>
      </c>
      <c r="Q41" s="884">
        <f t="shared" si="13"/>
        <v>0</v>
      </c>
      <c r="R41" s="884">
        <f>IF(AND($AR$39="Early Payoff",I41&gt;=$R$13),0,IF($I41&lt;=$R$6,SUM($P$20:$P41),0))</f>
        <v>0</v>
      </c>
      <c r="S41" s="884">
        <f>IF(AND($AR$39="Early Payoff",I41&gt;=$R$13),0,IF($I41&lt;=$R$6,SUM($Q$20:$Q41),0))</f>
        <v>0</v>
      </c>
      <c r="T41" s="873">
        <f t="shared" si="14"/>
        <v>0</v>
      </c>
      <c r="U41" s="1110">
        <f t="shared" si="4"/>
        <v>0</v>
      </c>
      <c r="W41" s="1102">
        <f t="shared" si="5"/>
        <v>0</v>
      </c>
      <c r="X41" s="873">
        <f t="shared" si="6"/>
        <v>0</v>
      </c>
      <c r="Y41" s="873">
        <f t="shared" si="7"/>
        <v>0</v>
      </c>
      <c r="Z41" s="885">
        <f t="shared" si="8"/>
        <v>0</v>
      </c>
      <c r="AB41" s="355">
        <f t="shared" si="29"/>
        <v>21</v>
      </c>
      <c r="AC41" s="1103">
        <f t="shared" si="29"/>
        <v>2051</v>
      </c>
      <c r="AD41" s="1104">
        <f t="shared" si="15"/>
        <v>0</v>
      </c>
      <c r="AE41" s="1104">
        <f t="shared" si="16"/>
        <v>0</v>
      </c>
      <c r="AF41" s="1104">
        <f t="shared" si="17"/>
        <v>0</v>
      </c>
      <c r="AG41" s="1104">
        <f t="shared" si="18"/>
        <v>0</v>
      </c>
      <c r="AH41" s="1104">
        <f t="shared" si="19"/>
        <v>0</v>
      </c>
      <c r="AI41" s="1104">
        <f>IF($AD41=0,0,SUM($AF$20:$AF41))</f>
        <v>0</v>
      </c>
      <c r="AJ41" s="1104">
        <f>IF($AD41=0,0,SUM($AG$20:$AG41))</f>
        <v>0</v>
      </c>
      <c r="AK41" s="1104">
        <f>SUM($AH$20:$AH41)</f>
        <v>0</v>
      </c>
      <c r="AL41" s="1104">
        <f t="shared" si="25"/>
        <v>0</v>
      </c>
      <c r="AM41" s="1104"/>
      <c r="AN41" s="347"/>
      <c r="AP41" s="347" t="s">
        <v>519</v>
      </c>
      <c r="AQ41" s="1118">
        <f>S13</f>
        <v>58592</v>
      </c>
      <c r="AR41" s="345"/>
      <c r="AS41" s="1111" t="s">
        <v>49</v>
      </c>
      <c r="AT41" s="1149">
        <v>0</v>
      </c>
      <c r="AU41" s="1147"/>
      <c r="AV41" s="1092"/>
      <c r="AW41" s="1093"/>
    </row>
    <row r="42" spans="2:49" s="278" customFormat="1" ht="12" customHeight="1" x14ac:dyDescent="0.25">
      <c r="B42" s="1192">
        <f t="shared" si="20"/>
        <v>42</v>
      </c>
      <c r="C42" s="732">
        <f t="shared" si="0"/>
        <v>30</v>
      </c>
      <c r="D42" s="35">
        <f t="shared" si="1"/>
        <v>4</v>
      </c>
      <c r="E42" s="889">
        <f t="shared" si="26"/>
        <v>48334</v>
      </c>
      <c r="F42" s="822">
        <f t="shared" si="2"/>
        <v>4</v>
      </c>
      <c r="G42" s="126">
        <f t="shared" si="3"/>
        <v>0</v>
      </c>
      <c r="H42" s="1098">
        <f t="shared" si="27"/>
        <v>0</v>
      </c>
      <c r="I42" s="887">
        <f t="shared" si="21"/>
        <v>23</v>
      </c>
      <c r="J42" s="1099">
        <f t="shared" si="9"/>
        <v>23</v>
      </c>
      <c r="K42" s="891" t="str">
        <f t="shared" si="10"/>
        <v>April</v>
      </c>
      <c r="L42" s="888">
        <f t="shared" si="22"/>
        <v>2032</v>
      </c>
      <c r="M42" s="883">
        <f t="shared" si="23"/>
        <v>0</v>
      </c>
      <c r="N42" s="883">
        <f t="shared" si="11"/>
        <v>0</v>
      </c>
      <c r="O42" s="1100"/>
      <c r="P42" s="883">
        <f t="shared" si="12"/>
        <v>0</v>
      </c>
      <c r="Q42" s="884">
        <f t="shared" si="13"/>
        <v>0</v>
      </c>
      <c r="R42" s="884">
        <f>IF(AND($AR$39="Early Payoff",I42&gt;=$R$13),0,IF($I42&lt;=$R$6,SUM($P$20:$P42),0))</f>
        <v>0</v>
      </c>
      <c r="S42" s="884">
        <f>IF(AND($AR$39="Early Payoff",I42&gt;=$R$13),0,IF($I42&lt;=$R$6,SUM($Q$20:$Q42),0))</f>
        <v>0</v>
      </c>
      <c r="T42" s="873">
        <f t="shared" si="14"/>
        <v>0</v>
      </c>
      <c r="U42" s="1110">
        <f t="shared" si="4"/>
        <v>0</v>
      </c>
      <c r="W42" s="1102">
        <f t="shared" si="5"/>
        <v>0</v>
      </c>
      <c r="X42" s="873">
        <f t="shared" si="6"/>
        <v>0</v>
      </c>
      <c r="Y42" s="873">
        <f t="shared" si="7"/>
        <v>0</v>
      </c>
      <c r="Z42" s="885">
        <f t="shared" si="8"/>
        <v>0</v>
      </c>
      <c r="AB42" s="355">
        <f>AB41+1</f>
        <v>22</v>
      </c>
      <c r="AC42" s="1103">
        <f>AC41+1</f>
        <v>2052</v>
      </c>
      <c r="AD42" s="1104">
        <f t="shared" si="15"/>
        <v>0</v>
      </c>
      <c r="AE42" s="1104">
        <f t="shared" si="16"/>
        <v>0</v>
      </c>
      <c r="AF42" s="1104">
        <f t="shared" si="17"/>
        <v>0</v>
      </c>
      <c r="AG42" s="1104">
        <f t="shared" si="18"/>
        <v>0</v>
      </c>
      <c r="AH42" s="1104">
        <f t="shared" si="19"/>
        <v>0</v>
      </c>
      <c r="AI42" s="1104">
        <f>IF($AD42=0,0,SUM($AF$20:$AF42))</f>
        <v>0</v>
      </c>
      <c r="AJ42" s="1104">
        <f>IF($AD42=0,0,SUM($AG$20:$AG42))</f>
        <v>0</v>
      </c>
      <c r="AK42" s="1104">
        <f>SUM($AH$20:$AH42)</f>
        <v>0</v>
      </c>
      <c r="AL42" s="1104">
        <f t="shared" si="25"/>
        <v>0</v>
      </c>
      <c r="AM42" s="1104"/>
      <c r="AN42" s="347"/>
      <c r="AP42" s="347"/>
      <c r="AQ42" s="345"/>
      <c r="AR42" s="345"/>
      <c r="AS42" s="1111" t="s">
        <v>264</v>
      </c>
      <c r="AT42" s="1149">
        <v>0</v>
      </c>
      <c r="AU42" s="1147"/>
      <c r="AV42" s="1092"/>
      <c r="AW42" s="1093"/>
    </row>
    <row r="43" spans="2:49" s="278" customFormat="1" ht="12" customHeight="1" x14ac:dyDescent="0.25">
      <c r="B43" s="1192">
        <f t="shared" si="20"/>
        <v>43</v>
      </c>
      <c r="C43" s="732">
        <f t="shared" si="0"/>
        <v>31</v>
      </c>
      <c r="D43" s="35">
        <f t="shared" si="1"/>
        <v>5</v>
      </c>
      <c r="E43" s="889">
        <f t="shared" si="26"/>
        <v>48365</v>
      </c>
      <c r="F43" s="822">
        <f t="shared" si="2"/>
        <v>5</v>
      </c>
      <c r="G43" s="126">
        <f t="shared" si="3"/>
        <v>0</v>
      </c>
      <c r="H43" s="1098">
        <f t="shared" si="27"/>
        <v>0</v>
      </c>
      <c r="I43" s="887">
        <f t="shared" si="21"/>
        <v>24</v>
      </c>
      <c r="J43" s="1099">
        <f t="shared" si="9"/>
        <v>24</v>
      </c>
      <c r="K43" s="891" t="str">
        <f t="shared" si="10"/>
        <v>May</v>
      </c>
      <c r="L43" s="888">
        <f t="shared" si="22"/>
        <v>2032</v>
      </c>
      <c r="M43" s="883">
        <f t="shared" si="23"/>
        <v>0</v>
      </c>
      <c r="N43" s="883">
        <f t="shared" si="11"/>
        <v>0</v>
      </c>
      <c r="O43" s="1100"/>
      <c r="P43" s="883">
        <f t="shared" si="12"/>
        <v>0</v>
      </c>
      <c r="Q43" s="884">
        <f t="shared" si="13"/>
        <v>0</v>
      </c>
      <c r="R43" s="884">
        <f>IF(AND($AR$39="Early Payoff",I43&gt;=$R$13),0,IF($I43&lt;=$R$6,SUM($P$20:$P43),0))</f>
        <v>0</v>
      </c>
      <c r="S43" s="884">
        <f>IF(AND($AR$39="Early Payoff",I43&gt;=$R$13),0,IF($I43&lt;=$R$6,SUM($Q$20:$Q43),0))</f>
        <v>0</v>
      </c>
      <c r="T43" s="873">
        <f t="shared" si="14"/>
        <v>0</v>
      </c>
      <c r="U43" s="1110">
        <f t="shared" si="4"/>
        <v>0</v>
      </c>
      <c r="W43" s="1102">
        <f t="shared" si="5"/>
        <v>0</v>
      </c>
      <c r="X43" s="873">
        <f t="shared" si="6"/>
        <v>0</v>
      </c>
      <c r="Y43" s="873">
        <f t="shared" si="7"/>
        <v>0</v>
      </c>
      <c r="Z43" s="885">
        <f t="shared" si="8"/>
        <v>0</v>
      </c>
      <c r="AB43" s="355">
        <f t="shared" ref="AB43:AC45" si="30">AB42+1</f>
        <v>23</v>
      </c>
      <c r="AC43" s="1103">
        <f t="shared" si="30"/>
        <v>2053</v>
      </c>
      <c r="AD43" s="1104">
        <f t="shared" si="15"/>
        <v>0</v>
      </c>
      <c r="AE43" s="1104">
        <f t="shared" si="16"/>
        <v>0</v>
      </c>
      <c r="AF43" s="1104">
        <f t="shared" si="17"/>
        <v>0</v>
      </c>
      <c r="AG43" s="1104">
        <f t="shared" si="18"/>
        <v>0</v>
      </c>
      <c r="AH43" s="1104">
        <f t="shared" si="19"/>
        <v>0</v>
      </c>
      <c r="AI43" s="1104">
        <f>IF($AD43=0,0,SUM($AF$20:$AF43))</f>
        <v>0</v>
      </c>
      <c r="AJ43" s="1104">
        <f>IF($AD43=0,0,SUM($AG$20:$AG43))</f>
        <v>0</v>
      </c>
      <c r="AK43" s="1104">
        <f>SUM($AH$20:$AH43)</f>
        <v>0</v>
      </c>
      <c r="AL43" s="1104">
        <f t="shared" si="25"/>
        <v>0</v>
      </c>
      <c r="AM43" s="1104"/>
      <c r="AN43" s="347"/>
      <c r="AP43" s="347" t="s">
        <v>544</v>
      </c>
      <c r="AQ43" s="1183" t="s">
        <v>72</v>
      </c>
      <c r="AR43" s="345"/>
      <c r="AS43" s="1111" t="s">
        <v>530</v>
      </c>
      <c r="AT43" s="1149">
        <v>0</v>
      </c>
      <c r="AU43" s="1147"/>
      <c r="AV43" s="1092"/>
      <c r="AW43" s="1093"/>
    </row>
    <row r="44" spans="2:49" s="278" customFormat="1" ht="12" customHeight="1" x14ac:dyDescent="0.25">
      <c r="B44" s="1192">
        <f t="shared" si="20"/>
        <v>44</v>
      </c>
      <c r="C44" s="732">
        <f t="shared" si="0"/>
        <v>30</v>
      </c>
      <c r="D44" s="35">
        <f t="shared" si="1"/>
        <v>6</v>
      </c>
      <c r="E44" s="889">
        <f t="shared" si="26"/>
        <v>48395</v>
      </c>
      <c r="F44" s="822">
        <f t="shared" si="2"/>
        <v>6</v>
      </c>
      <c r="G44" s="126">
        <f t="shared" si="3"/>
        <v>0</v>
      </c>
      <c r="H44" s="1098">
        <f t="shared" si="27"/>
        <v>0</v>
      </c>
      <c r="I44" s="887">
        <f t="shared" si="21"/>
        <v>25</v>
      </c>
      <c r="J44" s="1099">
        <f t="shared" si="9"/>
        <v>25</v>
      </c>
      <c r="K44" s="891" t="str">
        <f t="shared" si="10"/>
        <v>June</v>
      </c>
      <c r="L44" s="888">
        <f t="shared" si="22"/>
        <v>2032</v>
      </c>
      <c r="M44" s="883">
        <f t="shared" si="23"/>
        <v>0</v>
      </c>
      <c r="N44" s="883">
        <f t="shared" si="11"/>
        <v>0</v>
      </c>
      <c r="O44" s="1100"/>
      <c r="P44" s="883">
        <f t="shared" si="12"/>
        <v>0</v>
      </c>
      <c r="Q44" s="884">
        <f t="shared" si="13"/>
        <v>0</v>
      </c>
      <c r="R44" s="884">
        <f>IF(AND($AR$39="Early Payoff",I44&gt;=$R$13),0,IF($I44&lt;=$R$6,SUM($P$20:$P44),0))</f>
        <v>0</v>
      </c>
      <c r="S44" s="884">
        <f>IF(AND($AR$39="Early Payoff",I44&gt;=$R$13),0,IF($I44&lt;=$R$6,SUM($Q$20:$Q44),0))</f>
        <v>0</v>
      </c>
      <c r="T44" s="873">
        <f t="shared" si="14"/>
        <v>0</v>
      </c>
      <c r="U44" s="1110">
        <f t="shared" si="4"/>
        <v>0</v>
      </c>
      <c r="W44" s="1102">
        <f t="shared" si="5"/>
        <v>0</v>
      </c>
      <c r="X44" s="873">
        <f t="shared" si="6"/>
        <v>0</v>
      </c>
      <c r="Y44" s="873">
        <f t="shared" si="7"/>
        <v>0</v>
      </c>
      <c r="Z44" s="885">
        <f t="shared" si="8"/>
        <v>0</v>
      </c>
      <c r="AB44" s="355">
        <f t="shared" si="30"/>
        <v>24</v>
      </c>
      <c r="AC44" s="1103">
        <f t="shared" si="30"/>
        <v>2054</v>
      </c>
      <c r="AD44" s="1104">
        <f t="shared" si="15"/>
        <v>0</v>
      </c>
      <c r="AE44" s="1104">
        <f t="shared" si="16"/>
        <v>0</v>
      </c>
      <c r="AF44" s="1104">
        <f t="shared" si="17"/>
        <v>0</v>
      </c>
      <c r="AG44" s="1104">
        <f t="shared" si="18"/>
        <v>0</v>
      </c>
      <c r="AH44" s="1104">
        <f t="shared" si="19"/>
        <v>0</v>
      </c>
      <c r="AI44" s="1104">
        <f>IF($AD44=0,0,SUM($AF$20:$AF44))</f>
        <v>0</v>
      </c>
      <c r="AJ44" s="1104">
        <f>IF($AD44=0,0,SUM($AG$20:$AG44))</f>
        <v>0</v>
      </c>
      <c r="AK44" s="1104">
        <f>SUM($AH$20:$AH44)</f>
        <v>0</v>
      </c>
      <c r="AL44" s="1104">
        <f t="shared" si="25"/>
        <v>0</v>
      </c>
      <c r="AM44" s="1104"/>
      <c r="AN44" s="347"/>
      <c r="AP44" s="347" t="s">
        <v>545</v>
      </c>
      <c r="AQ44" s="1103">
        <f>'Sale - Refinance'!E11</f>
        <v>2032</v>
      </c>
      <c r="AR44" s="345"/>
      <c r="AS44" s="1111" t="s">
        <v>509</v>
      </c>
      <c r="AT44" s="1149">
        <v>0</v>
      </c>
      <c r="AU44" s="1147"/>
      <c r="AV44" s="1092"/>
      <c r="AW44" s="1093"/>
    </row>
    <row r="45" spans="2:49" s="278" customFormat="1" ht="12" customHeight="1" x14ac:dyDescent="0.25">
      <c r="B45" s="1192">
        <f t="shared" si="20"/>
        <v>45</v>
      </c>
      <c r="C45" s="732">
        <f t="shared" si="0"/>
        <v>31</v>
      </c>
      <c r="D45" s="35">
        <f t="shared" si="1"/>
        <v>7</v>
      </c>
      <c r="E45" s="889">
        <f t="shared" si="26"/>
        <v>48426</v>
      </c>
      <c r="F45" s="822">
        <f t="shared" si="2"/>
        <v>7</v>
      </c>
      <c r="G45" s="126">
        <f t="shared" si="3"/>
        <v>0</v>
      </c>
      <c r="H45" s="1098">
        <f t="shared" si="27"/>
        <v>0</v>
      </c>
      <c r="I45" s="887">
        <f t="shared" si="21"/>
        <v>26</v>
      </c>
      <c r="J45" s="1099">
        <f t="shared" si="9"/>
        <v>26</v>
      </c>
      <c r="K45" s="891" t="str">
        <f t="shared" si="10"/>
        <v>July</v>
      </c>
      <c r="L45" s="888">
        <f t="shared" si="22"/>
        <v>2032</v>
      </c>
      <c r="M45" s="883">
        <f t="shared" si="23"/>
        <v>0</v>
      </c>
      <c r="N45" s="883">
        <f t="shared" si="11"/>
        <v>0</v>
      </c>
      <c r="O45" s="1100"/>
      <c r="P45" s="883">
        <f t="shared" si="12"/>
        <v>0</v>
      </c>
      <c r="Q45" s="884">
        <f t="shared" si="13"/>
        <v>0</v>
      </c>
      <c r="R45" s="884">
        <f>IF(AND($AR$39="Early Payoff",I45&gt;=$R$13),0,IF($I45&lt;=$R$6,SUM($P$20:$P45),0))</f>
        <v>0</v>
      </c>
      <c r="S45" s="884">
        <f>IF(AND($AR$39="Early Payoff",I45&gt;=$R$13),0,IF($I45&lt;=$R$6,SUM($Q$20:$Q45),0))</f>
        <v>0</v>
      </c>
      <c r="T45" s="873">
        <f t="shared" si="14"/>
        <v>0</v>
      </c>
      <c r="U45" s="1110">
        <f t="shared" si="4"/>
        <v>0</v>
      </c>
      <c r="W45" s="1102">
        <f t="shared" si="5"/>
        <v>0</v>
      </c>
      <c r="X45" s="873">
        <f t="shared" si="6"/>
        <v>0</v>
      </c>
      <c r="Y45" s="873">
        <f t="shared" si="7"/>
        <v>0</v>
      </c>
      <c r="Z45" s="885">
        <f t="shared" si="8"/>
        <v>0</v>
      </c>
      <c r="AB45" s="355">
        <f t="shared" si="30"/>
        <v>25</v>
      </c>
      <c r="AC45" s="1103">
        <f t="shared" si="30"/>
        <v>2055</v>
      </c>
      <c r="AD45" s="1104">
        <f t="shared" si="15"/>
        <v>0</v>
      </c>
      <c r="AE45" s="1104">
        <f t="shared" si="16"/>
        <v>0</v>
      </c>
      <c r="AF45" s="1104">
        <f t="shared" si="17"/>
        <v>0</v>
      </c>
      <c r="AG45" s="1104">
        <f t="shared" si="18"/>
        <v>0</v>
      </c>
      <c r="AH45" s="1104">
        <f t="shared" si="19"/>
        <v>0</v>
      </c>
      <c r="AI45" s="1104">
        <f>IF($AD45=0,0,SUM($AF$20:$AF45))</f>
        <v>0</v>
      </c>
      <c r="AJ45" s="1104">
        <f>IF($AD45=0,0,SUM($AG$20:$AG45))</f>
        <v>0</v>
      </c>
      <c r="AK45" s="1104">
        <f>SUM($AH$20:$AH45)</f>
        <v>0</v>
      </c>
      <c r="AL45" s="1104">
        <f t="shared" si="25"/>
        <v>0</v>
      </c>
      <c r="AM45" s="1104"/>
      <c r="AN45" s="347"/>
      <c r="AP45" s="347" t="s">
        <v>267</v>
      </c>
      <c r="AQ45" s="1077" t="str">
        <f>'Sale - Refinance'!E12</f>
        <v>December</v>
      </c>
      <c r="AR45" s="345">
        <f>INDEX(AS22:AT34,MATCH(AQ45,AS22:AS34,0),MATCH("Number",AS22:AT22,0))</f>
        <v>12</v>
      </c>
      <c r="AS45" s="1111" t="s">
        <v>461</v>
      </c>
      <c r="AT45" s="1149">
        <v>0</v>
      </c>
      <c r="AU45" s="1147"/>
      <c r="AV45" s="1092"/>
      <c r="AW45" s="1093"/>
    </row>
    <row r="46" spans="2:49" s="278" customFormat="1" ht="12" customHeight="1" x14ac:dyDescent="0.25">
      <c r="B46" s="1192">
        <f t="shared" si="20"/>
        <v>46</v>
      </c>
      <c r="C46" s="732">
        <f t="shared" si="0"/>
        <v>31</v>
      </c>
      <c r="D46" s="35">
        <f t="shared" si="1"/>
        <v>8</v>
      </c>
      <c r="E46" s="889">
        <f t="shared" si="26"/>
        <v>48457</v>
      </c>
      <c r="F46" s="822">
        <f t="shared" si="2"/>
        <v>8</v>
      </c>
      <c r="G46" s="126">
        <f t="shared" si="3"/>
        <v>0</v>
      </c>
      <c r="H46" s="1098">
        <f t="shared" si="27"/>
        <v>0</v>
      </c>
      <c r="I46" s="887">
        <f t="shared" si="21"/>
        <v>27</v>
      </c>
      <c r="J46" s="1099">
        <f t="shared" si="9"/>
        <v>27</v>
      </c>
      <c r="K46" s="891" t="str">
        <f t="shared" si="10"/>
        <v>August</v>
      </c>
      <c r="L46" s="888">
        <f t="shared" si="22"/>
        <v>2032</v>
      </c>
      <c r="M46" s="883">
        <f t="shared" si="23"/>
        <v>0</v>
      </c>
      <c r="N46" s="883">
        <f t="shared" si="11"/>
        <v>0</v>
      </c>
      <c r="O46" s="1100"/>
      <c r="P46" s="883">
        <f t="shared" si="12"/>
        <v>0</v>
      </c>
      <c r="Q46" s="884">
        <f t="shared" si="13"/>
        <v>0</v>
      </c>
      <c r="R46" s="884">
        <f>IF(AND($AR$39="Early Payoff",I46&gt;=$R$13),0,IF($I46&lt;=$R$6,SUM($P$20:$P46),0))</f>
        <v>0</v>
      </c>
      <c r="S46" s="884">
        <f>IF(AND($AR$39="Early Payoff",I46&gt;=$R$13),0,IF($I46&lt;=$R$6,SUM($Q$20:$Q46),0))</f>
        <v>0</v>
      </c>
      <c r="T46" s="873">
        <f t="shared" si="14"/>
        <v>0</v>
      </c>
      <c r="U46" s="1110">
        <f t="shared" si="4"/>
        <v>0</v>
      </c>
      <c r="W46" s="1102">
        <f t="shared" si="5"/>
        <v>0</v>
      </c>
      <c r="X46" s="873">
        <f t="shared" si="6"/>
        <v>0</v>
      </c>
      <c r="Y46" s="873">
        <f t="shared" si="7"/>
        <v>0</v>
      </c>
      <c r="Z46" s="885">
        <f t="shared" si="8"/>
        <v>0</v>
      </c>
      <c r="AB46" s="355">
        <f>AB45+1</f>
        <v>26</v>
      </c>
      <c r="AC46" s="1103">
        <f>AC45+1</f>
        <v>2056</v>
      </c>
      <c r="AD46" s="1104">
        <f t="shared" si="15"/>
        <v>0</v>
      </c>
      <c r="AE46" s="1104">
        <f t="shared" si="16"/>
        <v>0</v>
      </c>
      <c r="AF46" s="1104">
        <f t="shared" si="17"/>
        <v>0</v>
      </c>
      <c r="AG46" s="1104">
        <f t="shared" si="18"/>
        <v>0</v>
      </c>
      <c r="AH46" s="1104">
        <f t="shared" si="19"/>
        <v>0</v>
      </c>
      <c r="AI46" s="1104">
        <f>IF($AD46=0,0,SUM($AF$20:$AF46))</f>
        <v>0</v>
      </c>
      <c r="AJ46" s="1104">
        <f>IF($AD46=0,0,SUM($AG$20:$AG46))</f>
        <v>0</v>
      </c>
      <c r="AK46" s="1104">
        <f>SUM($AH$20:$AH46)</f>
        <v>0</v>
      </c>
      <c r="AL46" s="1104">
        <f t="shared" si="25"/>
        <v>0</v>
      </c>
      <c r="AM46" s="1104"/>
      <c r="AN46" s="347"/>
      <c r="AP46" s="347" t="s">
        <v>268</v>
      </c>
      <c r="AQ46" s="1118">
        <f>EOMONTH(DATE(AQ44,INDEX($AS$22:$AT$34,MATCH($AQ$45,$AS$22:$AS$34,0),MATCH("Number",$AS$22:$AT$22,0)),1),0)</f>
        <v>48579</v>
      </c>
      <c r="AS46" s="1111" t="s">
        <v>533</v>
      </c>
      <c r="AT46" s="1149">
        <v>0</v>
      </c>
      <c r="AU46" s="1147"/>
      <c r="AV46" s="1092"/>
      <c r="AW46" s="1093"/>
    </row>
    <row r="47" spans="2:49" s="278" customFormat="1" ht="12" customHeight="1" x14ac:dyDescent="0.25">
      <c r="B47" s="1192">
        <f t="shared" si="20"/>
        <v>47</v>
      </c>
      <c r="C47" s="732">
        <f t="shared" si="0"/>
        <v>30</v>
      </c>
      <c r="D47" s="35">
        <f t="shared" si="1"/>
        <v>9</v>
      </c>
      <c r="E47" s="889">
        <f t="shared" si="26"/>
        <v>48487</v>
      </c>
      <c r="F47" s="822">
        <f t="shared" si="2"/>
        <v>9</v>
      </c>
      <c r="G47" s="126">
        <f t="shared" si="3"/>
        <v>0</v>
      </c>
      <c r="H47" s="1098">
        <f t="shared" si="27"/>
        <v>0</v>
      </c>
      <c r="I47" s="887">
        <f t="shared" si="21"/>
        <v>28</v>
      </c>
      <c r="J47" s="1099">
        <f t="shared" si="9"/>
        <v>28</v>
      </c>
      <c r="K47" s="891" t="str">
        <f t="shared" si="10"/>
        <v>September</v>
      </c>
      <c r="L47" s="888">
        <f t="shared" si="22"/>
        <v>2032</v>
      </c>
      <c r="M47" s="883">
        <f t="shared" si="23"/>
        <v>0</v>
      </c>
      <c r="N47" s="883">
        <f t="shared" si="11"/>
        <v>0</v>
      </c>
      <c r="O47" s="1100"/>
      <c r="P47" s="883">
        <f t="shared" si="12"/>
        <v>0</v>
      </c>
      <c r="Q47" s="884">
        <f t="shared" si="13"/>
        <v>0</v>
      </c>
      <c r="R47" s="884">
        <f>IF(AND($AR$39="Early Payoff",I47&gt;=$R$13),0,IF($I47&lt;=$R$6,SUM($P$20:$P47),0))</f>
        <v>0</v>
      </c>
      <c r="S47" s="884">
        <f>IF(AND($AR$39="Early Payoff",I47&gt;=$R$13),0,IF($I47&lt;=$R$6,SUM($Q$20:$Q47),0))</f>
        <v>0</v>
      </c>
      <c r="T47" s="873">
        <f t="shared" si="14"/>
        <v>0</v>
      </c>
      <c r="U47" s="1110">
        <f t="shared" si="4"/>
        <v>0</v>
      </c>
      <c r="W47" s="1102">
        <f t="shared" si="5"/>
        <v>0</v>
      </c>
      <c r="X47" s="873">
        <f t="shared" si="6"/>
        <v>0</v>
      </c>
      <c r="Y47" s="873">
        <f t="shared" si="7"/>
        <v>0</v>
      </c>
      <c r="Z47" s="885">
        <f t="shared" si="8"/>
        <v>0</v>
      </c>
      <c r="AB47" s="355">
        <f t="shared" ref="AB47:AC49" si="31">AB46+1</f>
        <v>27</v>
      </c>
      <c r="AC47" s="1103">
        <f t="shared" si="31"/>
        <v>2057</v>
      </c>
      <c r="AD47" s="1104">
        <f t="shared" si="15"/>
        <v>0</v>
      </c>
      <c r="AE47" s="1104">
        <f t="shared" si="16"/>
        <v>0</v>
      </c>
      <c r="AF47" s="1104">
        <f t="shared" si="17"/>
        <v>0</v>
      </c>
      <c r="AG47" s="1104">
        <f t="shared" si="18"/>
        <v>0</v>
      </c>
      <c r="AH47" s="1104">
        <f t="shared" si="19"/>
        <v>0</v>
      </c>
      <c r="AI47" s="1104">
        <f>IF($AD47=0,0,SUM($AF$20:$AF47))</f>
        <v>0</v>
      </c>
      <c r="AJ47" s="1104">
        <f>IF($AD47=0,0,SUM($AG$20:$AG47))</f>
        <v>0</v>
      </c>
      <c r="AK47" s="1104">
        <f>SUM($AH$20:$AH47)</f>
        <v>0</v>
      </c>
      <c r="AL47" s="1104">
        <f t="shared" si="25"/>
        <v>0</v>
      </c>
      <c r="AM47" s="1104"/>
      <c r="AN47" s="347"/>
      <c r="AP47" s="347"/>
      <c r="AR47" s="345"/>
      <c r="AS47" s="1111" t="s">
        <v>535</v>
      </c>
      <c r="AT47" s="1149">
        <v>0</v>
      </c>
      <c r="AU47" s="1147"/>
      <c r="AV47" s="1092"/>
      <c r="AW47" s="1093"/>
    </row>
    <row r="48" spans="2:49" s="278" customFormat="1" ht="12" customHeight="1" x14ac:dyDescent="0.25">
      <c r="B48" s="1192">
        <f t="shared" si="20"/>
        <v>48</v>
      </c>
      <c r="C48" s="732">
        <f t="shared" si="0"/>
        <v>31</v>
      </c>
      <c r="D48" s="35">
        <f t="shared" si="1"/>
        <v>10</v>
      </c>
      <c r="E48" s="889">
        <f t="shared" si="26"/>
        <v>48518</v>
      </c>
      <c r="F48" s="822">
        <f t="shared" si="2"/>
        <v>10</v>
      </c>
      <c r="G48" s="126">
        <f t="shared" si="3"/>
        <v>0</v>
      </c>
      <c r="H48" s="1098">
        <f t="shared" si="27"/>
        <v>0</v>
      </c>
      <c r="I48" s="887">
        <f t="shared" si="21"/>
        <v>29</v>
      </c>
      <c r="J48" s="1099">
        <f t="shared" si="9"/>
        <v>29</v>
      </c>
      <c r="K48" s="891" t="str">
        <f t="shared" si="10"/>
        <v>October</v>
      </c>
      <c r="L48" s="888">
        <f t="shared" si="22"/>
        <v>2032</v>
      </c>
      <c r="M48" s="883">
        <f t="shared" si="23"/>
        <v>0</v>
      </c>
      <c r="N48" s="883">
        <f t="shared" si="11"/>
        <v>0</v>
      </c>
      <c r="O48" s="1100"/>
      <c r="P48" s="883">
        <f t="shared" si="12"/>
        <v>0</v>
      </c>
      <c r="Q48" s="884">
        <f t="shared" si="13"/>
        <v>0</v>
      </c>
      <c r="R48" s="884">
        <f>IF(AND($AR$39="Early Payoff",I48&gt;=$R$13),0,IF($I48&lt;=$R$6,SUM($P$20:$P48),0))</f>
        <v>0</v>
      </c>
      <c r="S48" s="884">
        <f>IF(AND($AR$39="Early Payoff",I48&gt;=$R$13),0,IF($I48&lt;=$R$6,SUM($Q$20:$Q48),0))</f>
        <v>0</v>
      </c>
      <c r="T48" s="873">
        <f t="shared" si="14"/>
        <v>0</v>
      </c>
      <c r="U48" s="1110">
        <f t="shared" si="4"/>
        <v>0</v>
      </c>
      <c r="W48" s="1102">
        <f t="shared" si="5"/>
        <v>0</v>
      </c>
      <c r="X48" s="873">
        <f t="shared" si="6"/>
        <v>0</v>
      </c>
      <c r="Y48" s="873">
        <f t="shared" si="7"/>
        <v>0</v>
      </c>
      <c r="Z48" s="885">
        <f t="shared" si="8"/>
        <v>0</v>
      </c>
      <c r="AB48" s="355">
        <f t="shared" si="31"/>
        <v>28</v>
      </c>
      <c r="AC48" s="1103">
        <f t="shared" si="31"/>
        <v>2058</v>
      </c>
      <c r="AD48" s="1104">
        <f t="shared" si="15"/>
        <v>0</v>
      </c>
      <c r="AE48" s="1104">
        <f t="shared" si="16"/>
        <v>0</v>
      </c>
      <c r="AF48" s="1104">
        <f t="shared" si="17"/>
        <v>0</v>
      </c>
      <c r="AG48" s="1104">
        <f t="shared" si="18"/>
        <v>0</v>
      </c>
      <c r="AH48" s="1104">
        <f t="shared" si="19"/>
        <v>0</v>
      </c>
      <c r="AI48" s="1104">
        <f>IF($AD48=0,0,SUM($AF$20:$AF48))</f>
        <v>0</v>
      </c>
      <c r="AJ48" s="1104">
        <f>IF($AD48=0,0,SUM($AG$20:$AG48))</f>
        <v>0</v>
      </c>
      <c r="AK48" s="1104">
        <f>SUM($AH$20:$AH48)</f>
        <v>0</v>
      </c>
      <c r="AL48" s="1104">
        <f t="shared" si="25"/>
        <v>0</v>
      </c>
      <c r="AM48" s="1104"/>
      <c r="AN48" s="347"/>
      <c r="AP48" s="347" t="s">
        <v>546</v>
      </c>
      <c r="AQ48" s="1077">
        <f>IF($S$13&lt;$AQ$46,$R$13,IF($S$4="Monthly",INDEX($B$19:$I$379,MATCH($AQ$46,$E$19:$E$379,0),MATCH("Period",$B$19:$I$19,0)),IF(AND($S$4="Annual",$AR$45&gt;$Q$4),INDEX($B$19:$I$379,MATCH(EOMONTH(DATE(YEAR($AQ$46)+1,$Q$4,1),0),$E$19:$E$379,0),MATCH("Period",$B$19:$I$19,0)),IF(AND($S$4="Annual",$AR$45&lt;=$Q$4),INDEX($B$19:$I$379,MATCH(EOMONTH(DATE(YEAR($AQ$46),$Q$4,1),0),$E$19:$E$379,0),MATCH("Period",$B$19:$I$19,0)),IF(AND($S$4="Bi-Annual",$AR$45&gt;MAX($Q$4,$R$4)),INDEX($B$19:$I$379,MATCH(EOMONTH(DATE(YEAR($AQ$46)+1,MIN($Q$4,$R$4),1),0),$E$19:$E$379,0),MATCH("Period",$B$19:$I$19,0)),IF(AND($S$4="Bi-Annual",$AR$45&lt;MIN($Q$4,$R$4)),INDEX($B$19:$I$379,MATCH(EOMONTH(DATE(YEAR($AQ$46)-1,MAX($Q$4,$R$4),1),0),$E$19:$E$379,0),MATCH("Period",$B$19:$I$19,0)),IF(AND($S$4="Bi-Annual",$AR$45&gt;MIN($Q$4,$R$4),$AR$45&lt;MAX($Q$4,$R$4)),INDEX($B$19:$I$379,MATCH(EOMONTH(DATE(YEAR($AQ$46),MAX($Q$4,$R$4),1),0),$E$19:$E$379,0),MATCH("Period",$B$19:$I$19,0)),IF(AND($S$4="Bi-Annual",$AR$45=MIN($Q$4,$R$4)),INDEX($B$19:$I$379,MATCH(EOMONTH(DATE(YEAR($AQ$46),MAX($Q$4,$R$4),1),0),$E$19:$E$379,0),MATCH("Period",$B$19:$I$19,0)),IF(AND($S$4="Bi-Annual",$AR$45=MAX($Q$4,$R$4)),INDEX($B$19:$I$379,MATCH(EOMONTH(DATE(YEAR($AQ$46)+1,MIN($Q$4,$R$4),1),0),$E$19:$E$379,0),MATCH("Period",$B$19:$I$19,0)))))))))))</f>
        <v>31</v>
      </c>
      <c r="AR48" s="345"/>
      <c r="AS48" s="1145" t="s">
        <v>423</v>
      </c>
      <c r="AT48" s="1150">
        <v>1</v>
      </c>
      <c r="AU48" s="1147"/>
      <c r="AV48" s="1092"/>
      <c r="AW48" s="1093"/>
    </row>
    <row r="49" spans="1:49" s="278" customFormat="1" ht="12" customHeight="1" x14ac:dyDescent="0.25">
      <c r="B49" s="1192">
        <f t="shared" si="20"/>
        <v>49</v>
      </c>
      <c r="C49" s="732">
        <f t="shared" si="0"/>
        <v>30</v>
      </c>
      <c r="D49" s="35">
        <f t="shared" si="1"/>
        <v>11</v>
      </c>
      <c r="E49" s="889">
        <f t="shared" si="26"/>
        <v>48548</v>
      </c>
      <c r="F49" s="822">
        <f t="shared" si="2"/>
        <v>11</v>
      </c>
      <c r="G49" s="126">
        <f t="shared" si="3"/>
        <v>0</v>
      </c>
      <c r="H49" s="1098">
        <f t="shared" si="27"/>
        <v>0</v>
      </c>
      <c r="I49" s="887">
        <f t="shared" si="21"/>
        <v>30</v>
      </c>
      <c r="J49" s="1099">
        <f t="shared" si="9"/>
        <v>30</v>
      </c>
      <c r="K49" s="891" t="str">
        <f t="shared" si="10"/>
        <v>November</v>
      </c>
      <c r="L49" s="888">
        <f t="shared" si="22"/>
        <v>2032</v>
      </c>
      <c r="M49" s="883">
        <f t="shared" si="23"/>
        <v>0</v>
      </c>
      <c r="N49" s="883">
        <f t="shared" si="11"/>
        <v>0</v>
      </c>
      <c r="O49" s="1100"/>
      <c r="P49" s="883">
        <f t="shared" si="12"/>
        <v>0</v>
      </c>
      <c r="Q49" s="884">
        <f t="shared" si="13"/>
        <v>0</v>
      </c>
      <c r="R49" s="884">
        <f>IF(AND($AR$39="Early Payoff",I49&gt;=$R$13),0,IF($I49&lt;=$R$6,SUM($P$20:$P49),0))</f>
        <v>0</v>
      </c>
      <c r="S49" s="884">
        <f>IF(AND($AR$39="Early Payoff",I49&gt;=$R$13),0,IF($I49&lt;=$R$6,SUM($Q$20:$Q49),0))</f>
        <v>0</v>
      </c>
      <c r="T49" s="873">
        <f t="shared" si="14"/>
        <v>0</v>
      </c>
      <c r="U49" s="1110">
        <f t="shared" si="4"/>
        <v>0</v>
      </c>
      <c r="W49" s="1102">
        <f t="shared" si="5"/>
        <v>0</v>
      </c>
      <c r="X49" s="873">
        <f t="shared" si="6"/>
        <v>0</v>
      </c>
      <c r="Y49" s="873">
        <f t="shared" si="7"/>
        <v>0</v>
      </c>
      <c r="Z49" s="885">
        <f t="shared" si="8"/>
        <v>0</v>
      </c>
      <c r="AB49" s="355">
        <f t="shared" si="31"/>
        <v>29</v>
      </c>
      <c r="AC49" s="1103">
        <f t="shared" si="31"/>
        <v>2059</v>
      </c>
      <c r="AD49" s="1104">
        <f t="shared" si="15"/>
        <v>0</v>
      </c>
      <c r="AE49" s="1104">
        <f t="shared" si="16"/>
        <v>0</v>
      </c>
      <c r="AF49" s="1104">
        <f t="shared" si="17"/>
        <v>0</v>
      </c>
      <c r="AG49" s="1104">
        <f t="shared" si="18"/>
        <v>0</v>
      </c>
      <c r="AH49" s="1104">
        <f t="shared" si="19"/>
        <v>0</v>
      </c>
      <c r="AI49" s="1104">
        <f>IF($AD49=0,0,SUM($AF$20:$AF49))</f>
        <v>0</v>
      </c>
      <c r="AJ49" s="1104">
        <f>IF($AD49=0,0,SUM($AG$20:$AG49))</f>
        <v>0</v>
      </c>
      <c r="AK49" s="1104">
        <f>SUM($AH$20:$AH49)</f>
        <v>0</v>
      </c>
      <c r="AL49" s="1104">
        <f t="shared" si="25"/>
        <v>0</v>
      </c>
      <c r="AM49" s="1104"/>
      <c r="AN49" s="347"/>
      <c r="AP49" s="379" t="s">
        <v>547</v>
      </c>
      <c r="AQ49" s="882">
        <f>AQ48-1</f>
        <v>30</v>
      </c>
      <c r="AR49" s="342"/>
      <c r="AS49" s="1166"/>
      <c r="AT49" s="1167"/>
      <c r="AU49" s="1168"/>
      <c r="AV49" s="1092"/>
      <c r="AW49" s="1093"/>
    </row>
    <row r="50" spans="1:49" s="278" customFormat="1" ht="12" customHeight="1" x14ac:dyDescent="0.25">
      <c r="B50" s="1192">
        <f t="shared" si="20"/>
        <v>50</v>
      </c>
      <c r="C50" s="732">
        <f t="shared" si="0"/>
        <v>31</v>
      </c>
      <c r="D50" s="35">
        <f t="shared" si="1"/>
        <v>12</v>
      </c>
      <c r="E50" s="889">
        <f t="shared" si="26"/>
        <v>48579</v>
      </c>
      <c r="F50" s="822">
        <f t="shared" si="2"/>
        <v>12</v>
      </c>
      <c r="G50" s="126">
        <f t="shared" si="3"/>
        <v>1</v>
      </c>
      <c r="H50" s="1098">
        <f t="shared" si="27"/>
        <v>0</v>
      </c>
      <c r="I50" s="887">
        <f t="shared" si="21"/>
        <v>31</v>
      </c>
      <c r="J50" s="1099">
        <f t="shared" si="9"/>
        <v>31</v>
      </c>
      <c r="K50" s="891" t="str">
        <f t="shared" si="10"/>
        <v>December</v>
      </c>
      <c r="L50" s="888">
        <f t="shared" si="22"/>
        <v>2032</v>
      </c>
      <c r="M50" s="883">
        <f t="shared" si="23"/>
        <v>0</v>
      </c>
      <c r="N50" s="883">
        <f t="shared" si="11"/>
        <v>0</v>
      </c>
      <c r="O50" s="1100"/>
      <c r="P50" s="883">
        <f t="shared" si="12"/>
        <v>0</v>
      </c>
      <c r="Q50" s="884">
        <f t="shared" si="13"/>
        <v>0</v>
      </c>
      <c r="R50" s="884">
        <f>IF(AND($AR$39="Early Payoff",I50&gt;=$R$13),0,IF($I50&lt;=$R$6,SUM($P$20:$P50),0))</f>
        <v>0</v>
      </c>
      <c r="S50" s="884">
        <f>IF(AND($AR$39="Early Payoff",I50&gt;=$R$13),0,IF($I50&lt;=$R$6,SUM($Q$20:$Q50),0))</f>
        <v>0</v>
      </c>
      <c r="T50" s="873">
        <f t="shared" si="14"/>
        <v>0</v>
      </c>
      <c r="U50" s="1110">
        <f t="shared" si="4"/>
        <v>0</v>
      </c>
      <c r="W50" s="1102">
        <f t="shared" si="5"/>
        <v>0</v>
      </c>
      <c r="X50" s="873">
        <f t="shared" si="6"/>
        <v>0</v>
      </c>
      <c r="Y50" s="873">
        <f t="shared" si="7"/>
        <v>0</v>
      </c>
      <c r="Z50" s="885">
        <f t="shared" si="8"/>
        <v>0</v>
      </c>
      <c r="AB50" s="360"/>
      <c r="AC50" s="360"/>
      <c r="AD50" s="360"/>
      <c r="AE50" s="360"/>
      <c r="AF50" s="360"/>
      <c r="AG50" s="360"/>
      <c r="AH50" s="360"/>
      <c r="AI50" s="360"/>
      <c r="AJ50" s="360"/>
      <c r="AK50" s="360"/>
      <c r="AL50" s="360"/>
      <c r="AM50" s="360"/>
      <c r="AP50" s="345"/>
      <c r="AQ50" s="345"/>
      <c r="AR50" s="345"/>
      <c r="AS50" s="1093"/>
      <c r="AT50" s="1092"/>
      <c r="AU50" s="1092"/>
      <c r="AV50" s="1092"/>
      <c r="AW50" s="1093"/>
    </row>
    <row r="51" spans="1:49" s="278" customFormat="1" ht="12" customHeight="1" x14ac:dyDescent="0.25">
      <c r="B51" s="1192">
        <f t="shared" si="20"/>
        <v>51</v>
      </c>
      <c r="C51" s="732">
        <f t="shared" si="0"/>
        <v>31</v>
      </c>
      <c r="D51" s="35">
        <f t="shared" si="1"/>
        <v>1</v>
      </c>
      <c r="E51" s="889">
        <f t="shared" si="26"/>
        <v>48610</v>
      </c>
      <c r="F51" s="822">
        <f t="shared" si="2"/>
        <v>1</v>
      </c>
      <c r="G51" s="126">
        <f t="shared" si="3"/>
        <v>0</v>
      </c>
      <c r="H51" s="1098">
        <f t="shared" si="27"/>
        <v>0</v>
      </c>
      <c r="I51" s="887">
        <f t="shared" si="21"/>
        <v>32</v>
      </c>
      <c r="J51" s="1099">
        <f t="shared" si="9"/>
        <v>32</v>
      </c>
      <c r="K51" s="891" t="str">
        <f t="shared" si="10"/>
        <v>January</v>
      </c>
      <c r="L51" s="888">
        <f t="shared" si="22"/>
        <v>2033</v>
      </c>
      <c r="M51" s="883">
        <f t="shared" si="23"/>
        <v>0</v>
      </c>
      <c r="N51" s="883">
        <f t="shared" si="11"/>
        <v>0</v>
      </c>
      <c r="O51" s="1100"/>
      <c r="P51" s="883">
        <f t="shared" si="12"/>
        <v>0</v>
      </c>
      <c r="Q51" s="884">
        <f t="shared" si="13"/>
        <v>0</v>
      </c>
      <c r="R51" s="884">
        <f>IF(AND($AR$39="Early Payoff",I51&gt;=$R$13),0,IF($I51&lt;=$R$6,SUM($P$20:$P51),0))</f>
        <v>0</v>
      </c>
      <c r="S51" s="884">
        <f>IF(AND($AR$39="Early Payoff",I51&gt;=$R$13),0,IF($I51&lt;=$R$6,SUM($Q$20:$Q51),0))</f>
        <v>0</v>
      </c>
      <c r="T51" s="873">
        <f t="shared" si="14"/>
        <v>0</v>
      </c>
      <c r="U51" s="1110">
        <f t="shared" si="4"/>
        <v>0</v>
      </c>
      <c r="W51" s="1102">
        <f t="shared" si="5"/>
        <v>0</v>
      </c>
      <c r="X51" s="873">
        <f t="shared" si="6"/>
        <v>0</v>
      </c>
      <c r="Y51" s="873">
        <f t="shared" si="7"/>
        <v>0</v>
      </c>
      <c r="Z51" s="885">
        <f t="shared" si="8"/>
        <v>0</v>
      </c>
      <c r="AS51" s="1093"/>
      <c r="AT51" s="1092"/>
      <c r="AU51" s="1092"/>
      <c r="AV51" s="1092"/>
      <c r="AW51" s="1093"/>
    </row>
    <row r="52" spans="1:49" s="278" customFormat="1" ht="12" customHeight="1" x14ac:dyDescent="0.25">
      <c r="B52" s="1192">
        <f t="shared" si="20"/>
        <v>52</v>
      </c>
      <c r="C52" s="732">
        <f t="shared" si="0"/>
        <v>28</v>
      </c>
      <c r="D52" s="35">
        <f t="shared" si="1"/>
        <v>2</v>
      </c>
      <c r="E52" s="889">
        <f t="shared" si="26"/>
        <v>48638</v>
      </c>
      <c r="F52" s="822">
        <f t="shared" si="2"/>
        <v>2</v>
      </c>
      <c r="G52" s="126">
        <f t="shared" si="3"/>
        <v>0</v>
      </c>
      <c r="H52" s="1098">
        <f t="shared" si="27"/>
        <v>0</v>
      </c>
      <c r="I52" s="887">
        <f t="shared" si="21"/>
        <v>33</v>
      </c>
      <c r="J52" s="1099">
        <f t="shared" si="9"/>
        <v>33</v>
      </c>
      <c r="K52" s="891" t="str">
        <f t="shared" si="10"/>
        <v>February</v>
      </c>
      <c r="L52" s="888">
        <f t="shared" si="22"/>
        <v>2033</v>
      </c>
      <c r="M52" s="883">
        <f t="shared" si="23"/>
        <v>0</v>
      </c>
      <c r="N52" s="883">
        <f t="shared" si="11"/>
        <v>0</v>
      </c>
      <c r="O52" s="1100"/>
      <c r="P52" s="883">
        <f t="shared" si="12"/>
        <v>0</v>
      </c>
      <c r="Q52" s="884">
        <f t="shared" si="13"/>
        <v>0</v>
      </c>
      <c r="R52" s="884">
        <f>IF(AND($AR$39="Early Payoff",I52&gt;=$R$13),0,IF($I52&lt;=$R$6,SUM($P$20:$P52),0))</f>
        <v>0</v>
      </c>
      <c r="S52" s="884">
        <f>IF(AND($AR$39="Early Payoff",I52&gt;=$R$13),0,IF($I52&lt;=$R$6,SUM($Q$20:$Q52),0))</f>
        <v>0</v>
      </c>
      <c r="T52" s="873">
        <f t="shared" si="14"/>
        <v>0</v>
      </c>
      <c r="U52" s="1110">
        <f t="shared" si="4"/>
        <v>0</v>
      </c>
      <c r="W52" s="1102">
        <f t="shared" si="5"/>
        <v>0</v>
      </c>
      <c r="X52" s="873">
        <f t="shared" si="6"/>
        <v>0</v>
      </c>
      <c r="Y52" s="873">
        <f t="shared" si="7"/>
        <v>0</v>
      </c>
      <c r="Z52" s="885">
        <f t="shared" si="8"/>
        <v>0</v>
      </c>
      <c r="AS52" s="1093"/>
      <c r="AT52" s="1092"/>
      <c r="AU52" s="1092"/>
      <c r="AV52" s="1092"/>
      <c r="AW52" s="1093"/>
    </row>
    <row r="53" spans="1:49" s="278" customFormat="1" ht="12" customHeight="1" x14ac:dyDescent="0.25">
      <c r="B53" s="1192">
        <f t="shared" si="20"/>
        <v>53</v>
      </c>
      <c r="C53" s="732">
        <f t="shared" si="0"/>
        <v>31</v>
      </c>
      <c r="D53" s="35">
        <f t="shared" si="1"/>
        <v>3</v>
      </c>
      <c r="E53" s="889">
        <f t="shared" si="26"/>
        <v>48669</v>
      </c>
      <c r="F53" s="822">
        <f t="shared" si="2"/>
        <v>3</v>
      </c>
      <c r="G53" s="126">
        <f t="shared" si="3"/>
        <v>0</v>
      </c>
      <c r="H53" s="1098">
        <f t="shared" si="27"/>
        <v>0</v>
      </c>
      <c r="I53" s="887">
        <f t="shared" si="21"/>
        <v>34</v>
      </c>
      <c r="J53" s="1099">
        <f t="shared" si="9"/>
        <v>34</v>
      </c>
      <c r="K53" s="891" t="str">
        <f t="shared" si="10"/>
        <v>March</v>
      </c>
      <c r="L53" s="888">
        <f t="shared" si="22"/>
        <v>2033</v>
      </c>
      <c r="M53" s="883">
        <f t="shared" si="23"/>
        <v>0</v>
      </c>
      <c r="N53" s="883">
        <f t="shared" si="11"/>
        <v>0</v>
      </c>
      <c r="O53" s="1100"/>
      <c r="P53" s="883">
        <f t="shared" si="12"/>
        <v>0</v>
      </c>
      <c r="Q53" s="884">
        <f t="shared" si="13"/>
        <v>0</v>
      </c>
      <c r="R53" s="884">
        <f>IF(AND($AR$39="Early Payoff",I53&gt;=$R$13),0,IF($I53&lt;=$R$6,SUM($P$20:$P53),0))</f>
        <v>0</v>
      </c>
      <c r="S53" s="884">
        <f>IF(AND($AR$39="Early Payoff",I53&gt;=$R$13),0,IF($I53&lt;=$R$6,SUM($Q$20:$Q53),0))</f>
        <v>0</v>
      </c>
      <c r="T53" s="873">
        <f t="shared" si="14"/>
        <v>0</v>
      </c>
      <c r="U53" s="1110">
        <f t="shared" si="4"/>
        <v>0</v>
      </c>
      <c r="W53" s="1102">
        <f t="shared" si="5"/>
        <v>0</v>
      </c>
      <c r="X53" s="873">
        <f t="shared" si="6"/>
        <v>0</v>
      </c>
      <c r="Y53" s="873">
        <f t="shared" si="7"/>
        <v>0</v>
      </c>
      <c r="Z53" s="885">
        <f t="shared" si="8"/>
        <v>0</v>
      </c>
      <c r="AS53" s="1093"/>
      <c r="AT53" s="1092"/>
      <c r="AU53" s="1092"/>
      <c r="AV53" s="1092"/>
      <c r="AW53" s="1093"/>
    </row>
    <row r="54" spans="1:49" s="278" customFormat="1" ht="12" customHeight="1" x14ac:dyDescent="0.25">
      <c r="A54" s="880"/>
      <c r="B54" s="1192">
        <f t="shared" si="20"/>
        <v>54</v>
      </c>
      <c r="C54" s="732">
        <f t="shared" si="0"/>
        <v>30</v>
      </c>
      <c r="D54" s="35">
        <f t="shared" si="1"/>
        <v>4</v>
      </c>
      <c r="E54" s="889">
        <f t="shared" si="26"/>
        <v>48699</v>
      </c>
      <c r="F54" s="822">
        <f t="shared" si="2"/>
        <v>4</v>
      </c>
      <c r="G54" s="126">
        <f t="shared" si="3"/>
        <v>0</v>
      </c>
      <c r="H54" s="1098">
        <f t="shared" si="27"/>
        <v>0</v>
      </c>
      <c r="I54" s="887">
        <f t="shared" si="21"/>
        <v>35</v>
      </c>
      <c r="J54" s="1099">
        <f t="shared" si="9"/>
        <v>35</v>
      </c>
      <c r="K54" s="891" t="str">
        <f t="shared" si="10"/>
        <v>April</v>
      </c>
      <c r="L54" s="888">
        <f t="shared" si="22"/>
        <v>2033</v>
      </c>
      <c r="M54" s="883">
        <f t="shared" si="23"/>
        <v>0</v>
      </c>
      <c r="N54" s="883">
        <f t="shared" si="11"/>
        <v>0</v>
      </c>
      <c r="O54" s="1100"/>
      <c r="P54" s="883">
        <f t="shared" si="12"/>
        <v>0</v>
      </c>
      <c r="Q54" s="884">
        <f t="shared" si="13"/>
        <v>0</v>
      </c>
      <c r="R54" s="884">
        <f>IF(AND($AR$39="Early Payoff",I54&gt;=$R$13),0,IF($I54&lt;=$R$6,SUM($P$20:$P54),0))</f>
        <v>0</v>
      </c>
      <c r="S54" s="884">
        <f>IF(AND($AR$39="Early Payoff",I54&gt;=$R$13),0,IF($I54&lt;=$R$6,SUM($Q$20:$Q54),0))</f>
        <v>0</v>
      </c>
      <c r="T54" s="873">
        <f t="shared" si="14"/>
        <v>0</v>
      </c>
      <c r="U54" s="1110">
        <f t="shared" si="4"/>
        <v>0</v>
      </c>
      <c r="W54" s="1102">
        <f t="shared" si="5"/>
        <v>0</v>
      </c>
      <c r="X54" s="873">
        <f t="shared" si="6"/>
        <v>0</v>
      </c>
      <c r="Y54" s="873">
        <f t="shared" si="7"/>
        <v>0</v>
      </c>
      <c r="Z54" s="885">
        <f t="shared" si="8"/>
        <v>0</v>
      </c>
      <c r="AS54" s="1093"/>
      <c r="AT54" s="1092"/>
      <c r="AU54" s="1092"/>
      <c r="AV54" s="1092"/>
      <c r="AW54" s="1093"/>
    </row>
    <row r="55" spans="1:49" s="278" customFormat="1" ht="12" customHeight="1" x14ac:dyDescent="0.25">
      <c r="A55" s="880"/>
      <c r="B55" s="1192">
        <f t="shared" si="20"/>
        <v>55</v>
      </c>
      <c r="C55" s="732">
        <f t="shared" si="0"/>
        <v>31</v>
      </c>
      <c r="D55" s="35">
        <f t="shared" si="1"/>
        <v>5</v>
      </c>
      <c r="E55" s="889">
        <f t="shared" si="26"/>
        <v>48730</v>
      </c>
      <c r="F55" s="822">
        <f t="shared" si="2"/>
        <v>5</v>
      </c>
      <c r="G55" s="126">
        <f t="shared" si="3"/>
        <v>0</v>
      </c>
      <c r="H55" s="1098">
        <f t="shared" si="27"/>
        <v>0</v>
      </c>
      <c r="I55" s="887">
        <f t="shared" si="21"/>
        <v>36</v>
      </c>
      <c r="J55" s="1099">
        <f t="shared" si="9"/>
        <v>36</v>
      </c>
      <c r="K55" s="891" t="str">
        <f t="shared" si="10"/>
        <v>May</v>
      </c>
      <c r="L55" s="888">
        <f t="shared" si="22"/>
        <v>2033</v>
      </c>
      <c r="M55" s="883">
        <f t="shared" si="23"/>
        <v>0</v>
      </c>
      <c r="N55" s="883">
        <f t="shared" si="11"/>
        <v>0</v>
      </c>
      <c r="O55" s="1100"/>
      <c r="P55" s="883">
        <f t="shared" si="12"/>
        <v>0</v>
      </c>
      <c r="Q55" s="884">
        <f t="shared" si="13"/>
        <v>0</v>
      </c>
      <c r="R55" s="884">
        <f>IF(AND($AR$39="Early Payoff",I55&gt;=$R$13),0,IF($I55&lt;=$R$6,SUM($P$20:$P55),0))</f>
        <v>0</v>
      </c>
      <c r="S55" s="884">
        <f>IF(AND($AR$39="Early Payoff",I55&gt;=$R$13),0,IF($I55&lt;=$R$6,SUM($Q$20:$Q55),0))</f>
        <v>0</v>
      </c>
      <c r="T55" s="873">
        <f t="shared" si="14"/>
        <v>0</v>
      </c>
      <c r="U55" s="1110">
        <f t="shared" si="4"/>
        <v>0</v>
      </c>
      <c r="W55" s="1102">
        <f t="shared" si="5"/>
        <v>0</v>
      </c>
      <c r="X55" s="873">
        <f t="shared" si="6"/>
        <v>0</v>
      </c>
      <c r="Y55" s="873">
        <f t="shared" si="7"/>
        <v>0</v>
      </c>
      <c r="Z55" s="885">
        <f t="shared" si="8"/>
        <v>0</v>
      </c>
      <c r="AS55" s="1093"/>
      <c r="AT55" s="1092"/>
      <c r="AU55" s="1092"/>
      <c r="AV55" s="1092"/>
      <c r="AW55" s="1093"/>
    </row>
    <row r="56" spans="1:49" s="278" customFormat="1" ht="12" customHeight="1" x14ac:dyDescent="0.25">
      <c r="A56" s="880"/>
      <c r="B56" s="1192">
        <f t="shared" si="20"/>
        <v>56</v>
      </c>
      <c r="C56" s="732">
        <f t="shared" si="0"/>
        <v>30</v>
      </c>
      <c r="D56" s="35">
        <f t="shared" si="1"/>
        <v>6</v>
      </c>
      <c r="E56" s="889">
        <f t="shared" si="26"/>
        <v>48760</v>
      </c>
      <c r="F56" s="822">
        <f t="shared" si="2"/>
        <v>6</v>
      </c>
      <c r="G56" s="126">
        <f t="shared" si="3"/>
        <v>0</v>
      </c>
      <c r="H56" s="1098">
        <f t="shared" si="27"/>
        <v>0</v>
      </c>
      <c r="I56" s="887">
        <f t="shared" si="21"/>
        <v>37</v>
      </c>
      <c r="J56" s="1099">
        <f t="shared" si="9"/>
        <v>37</v>
      </c>
      <c r="K56" s="891" t="str">
        <f t="shared" si="10"/>
        <v>June</v>
      </c>
      <c r="L56" s="888">
        <f t="shared" si="22"/>
        <v>2033</v>
      </c>
      <c r="M56" s="883">
        <f t="shared" si="23"/>
        <v>0</v>
      </c>
      <c r="N56" s="883">
        <f>IF(AND($AR$39="Early Payoff",I56&gt;=$R$13),0,IF($I56&gt;$R$6,0,IF(AND($AQ$29&gt;=0,$I56&lt;=$AQ$29),0,IF(AND($AQ$27&gt;=0,$I56&lt;=$AQ$27),$Q56,IF(AND($S$4="Annual",$AQ$27&gt;=0,$AQ$29&gt;=0,$I56&gt;$AQ$27,$I56&gt;$AQ$29),PMT($L$7,($R$6-$AQ$27),$L$4),IF(AND($S$4="Bi-Annual",$AQ$27&gt;=0,$AQ$29&gt;=0,$I56&gt;$AQ$27,$I56&gt;$AQ$29),PMT($L$7/2,($R$6-$AQ$27),$L$4),IF(AND($S$4="Monthly",$AQ$27&gt;=0,$AQ$29&gt;=0,$I56&gt;$AQ$27,$I56&gt;$AQ$29),PMT($L$7/12,($R$6-$AQ$27),$L$4))))))))-O56</f>
        <v>0</v>
      </c>
      <c r="O56" s="1100"/>
      <c r="P56" s="883">
        <f t="shared" si="12"/>
        <v>0</v>
      </c>
      <c r="Q56" s="884">
        <f t="shared" si="13"/>
        <v>0</v>
      </c>
      <c r="R56" s="884">
        <f>IF(AND($AR$39="Early Payoff",I56&gt;=$R$13),0,IF($I56&lt;=$R$6,SUM($P$20:$P56),0))</f>
        <v>0</v>
      </c>
      <c r="S56" s="884">
        <f>IF(AND($AR$39="Early Payoff",I56&gt;=$R$13),0,IF($I56&lt;=$R$6,SUM($Q$20:$Q56),0))</f>
        <v>0</v>
      </c>
      <c r="T56" s="873">
        <f t="shared" si="14"/>
        <v>0</v>
      </c>
      <c r="U56" s="1110">
        <f t="shared" si="4"/>
        <v>0</v>
      </c>
      <c r="W56" s="1102">
        <f t="shared" si="5"/>
        <v>0</v>
      </c>
      <c r="X56" s="873">
        <f t="shared" si="6"/>
        <v>0</v>
      </c>
      <c r="Y56" s="873">
        <f t="shared" si="7"/>
        <v>0</v>
      </c>
      <c r="Z56" s="885">
        <f t="shared" si="8"/>
        <v>0</v>
      </c>
      <c r="AS56" s="1093"/>
      <c r="AT56" s="1092"/>
      <c r="AU56" s="1092"/>
      <c r="AV56" s="1092"/>
      <c r="AW56" s="1093"/>
    </row>
    <row r="57" spans="1:49" s="278" customFormat="1" ht="12" customHeight="1" x14ac:dyDescent="0.25">
      <c r="A57" s="880"/>
      <c r="B57" s="1192">
        <f t="shared" si="20"/>
        <v>57</v>
      </c>
      <c r="C57" s="732">
        <f t="shared" si="0"/>
        <v>31</v>
      </c>
      <c r="D57" s="35">
        <f t="shared" si="1"/>
        <v>7</v>
      </c>
      <c r="E57" s="889">
        <f t="shared" si="26"/>
        <v>48791</v>
      </c>
      <c r="F57" s="822">
        <f t="shared" si="2"/>
        <v>7</v>
      </c>
      <c r="G57" s="126">
        <f t="shared" si="3"/>
        <v>0</v>
      </c>
      <c r="H57" s="1098">
        <f t="shared" si="27"/>
        <v>0</v>
      </c>
      <c r="I57" s="887">
        <f t="shared" si="21"/>
        <v>38</v>
      </c>
      <c r="J57" s="1099">
        <f t="shared" si="9"/>
        <v>38</v>
      </c>
      <c r="K57" s="891" t="str">
        <f t="shared" si="10"/>
        <v>July</v>
      </c>
      <c r="L57" s="888">
        <f t="shared" si="22"/>
        <v>2033</v>
      </c>
      <c r="M57" s="883">
        <f t="shared" si="23"/>
        <v>0</v>
      </c>
      <c r="N57" s="883">
        <f t="shared" si="11"/>
        <v>0</v>
      </c>
      <c r="O57" s="1100"/>
      <c r="P57" s="883">
        <f t="shared" si="12"/>
        <v>0</v>
      </c>
      <c r="Q57" s="884">
        <f t="shared" si="13"/>
        <v>0</v>
      </c>
      <c r="R57" s="884">
        <f>IF(AND($AR$39="Early Payoff",I57&gt;=$R$13),0,IF($I57&lt;=$R$6,SUM($P$20:$P57),0))</f>
        <v>0</v>
      </c>
      <c r="S57" s="884">
        <f>IF(AND($AR$39="Early Payoff",I57&gt;=$R$13),0,IF($I57&lt;=$R$6,SUM($Q$20:$Q57),0))</f>
        <v>0</v>
      </c>
      <c r="T57" s="873">
        <f t="shared" si="14"/>
        <v>0</v>
      </c>
      <c r="U57" s="1110">
        <f t="shared" si="4"/>
        <v>0</v>
      </c>
      <c r="W57" s="1102">
        <f t="shared" si="5"/>
        <v>0</v>
      </c>
      <c r="X57" s="873">
        <f t="shared" si="6"/>
        <v>0</v>
      </c>
      <c r="Y57" s="873">
        <f t="shared" si="7"/>
        <v>0</v>
      </c>
      <c r="Z57" s="885">
        <f t="shared" si="8"/>
        <v>0</v>
      </c>
      <c r="AS57" s="1093"/>
      <c r="AT57" s="1092"/>
      <c r="AU57" s="1092"/>
      <c r="AV57" s="1092"/>
      <c r="AW57" s="1093"/>
    </row>
    <row r="58" spans="1:49" s="278" customFormat="1" ht="12" customHeight="1" x14ac:dyDescent="0.25">
      <c r="A58" s="880"/>
      <c r="B58" s="1192">
        <f t="shared" si="20"/>
        <v>58</v>
      </c>
      <c r="C58" s="732">
        <f t="shared" si="0"/>
        <v>31</v>
      </c>
      <c r="D58" s="35">
        <f t="shared" si="1"/>
        <v>8</v>
      </c>
      <c r="E58" s="889">
        <f t="shared" si="26"/>
        <v>48822</v>
      </c>
      <c r="F58" s="822">
        <f t="shared" si="2"/>
        <v>8</v>
      </c>
      <c r="G58" s="126">
        <f t="shared" si="3"/>
        <v>0</v>
      </c>
      <c r="H58" s="1098">
        <f t="shared" si="27"/>
        <v>0</v>
      </c>
      <c r="I58" s="887">
        <f t="shared" si="21"/>
        <v>39</v>
      </c>
      <c r="J58" s="1099">
        <f t="shared" si="9"/>
        <v>39</v>
      </c>
      <c r="K58" s="891" t="str">
        <f t="shared" si="10"/>
        <v>August</v>
      </c>
      <c r="L58" s="888">
        <f t="shared" si="22"/>
        <v>2033</v>
      </c>
      <c r="M58" s="883">
        <f t="shared" si="23"/>
        <v>0</v>
      </c>
      <c r="N58" s="883">
        <f t="shared" si="11"/>
        <v>0</v>
      </c>
      <c r="O58" s="1100"/>
      <c r="P58" s="883">
        <f t="shared" si="12"/>
        <v>0</v>
      </c>
      <c r="Q58" s="884">
        <f t="shared" si="13"/>
        <v>0</v>
      </c>
      <c r="R58" s="884">
        <f>IF(AND($AR$39="Early Payoff",I58&gt;=$R$13),0,IF($I58&lt;=$R$6,SUM($P$20:$P58),0))</f>
        <v>0</v>
      </c>
      <c r="S58" s="884">
        <f>IF(AND($AR$39="Early Payoff",I58&gt;=$R$13),0,IF($I58&lt;=$R$6,SUM($Q$20:$Q58),0))</f>
        <v>0</v>
      </c>
      <c r="T58" s="873">
        <f t="shared" si="14"/>
        <v>0</v>
      </c>
      <c r="U58" s="1110">
        <f t="shared" si="4"/>
        <v>0</v>
      </c>
      <c r="W58" s="1102">
        <f t="shared" si="5"/>
        <v>0</v>
      </c>
      <c r="X58" s="873">
        <f t="shared" si="6"/>
        <v>0</v>
      </c>
      <c r="Y58" s="873">
        <f t="shared" si="7"/>
        <v>0</v>
      </c>
      <c r="Z58" s="885">
        <f t="shared" si="8"/>
        <v>0</v>
      </c>
      <c r="AS58" s="1093"/>
      <c r="AT58" s="1092"/>
      <c r="AU58" s="1092"/>
      <c r="AV58" s="1092"/>
      <c r="AW58" s="1093"/>
    </row>
    <row r="59" spans="1:49" s="278" customFormat="1" ht="12" customHeight="1" x14ac:dyDescent="0.25">
      <c r="A59" s="880"/>
      <c r="B59" s="1192">
        <f t="shared" si="20"/>
        <v>59</v>
      </c>
      <c r="C59" s="732">
        <f t="shared" si="0"/>
        <v>30</v>
      </c>
      <c r="D59" s="35">
        <f t="shared" si="1"/>
        <v>9</v>
      </c>
      <c r="E59" s="889">
        <f t="shared" si="26"/>
        <v>48852</v>
      </c>
      <c r="F59" s="822">
        <f t="shared" si="2"/>
        <v>9</v>
      </c>
      <c r="G59" s="126">
        <f t="shared" si="3"/>
        <v>0</v>
      </c>
      <c r="H59" s="1098">
        <f t="shared" si="27"/>
        <v>0</v>
      </c>
      <c r="I59" s="887">
        <f t="shared" si="21"/>
        <v>40</v>
      </c>
      <c r="J59" s="1099">
        <f t="shared" si="9"/>
        <v>40</v>
      </c>
      <c r="K59" s="891" t="str">
        <f t="shared" si="10"/>
        <v>September</v>
      </c>
      <c r="L59" s="888">
        <f t="shared" si="22"/>
        <v>2033</v>
      </c>
      <c r="M59" s="883">
        <f t="shared" si="23"/>
        <v>0</v>
      </c>
      <c r="N59" s="883">
        <f t="shared" si="11"/>
        <v>0</v>
      </c>
      <c r="O59" s="1100"/>
      <c r="P59" s="883">
        <f t="shared" si="12"/>
        <v>0</v>
      </c>
      <c r="Q59" s="884">
        <f t="shared" si="13"/>
        <v>0</v>
      </c>
      <c r="R59" s="884">
        <f>IF(AND($AR$39="Early Payoff",I59&gt;=$R$13),0,IF($I59&lt;=$R$6,SUM($P$20:$P59),0))</f>
        <v>0</v>
      </c>
      <c r="S59" s="884">
        <f>IF(AND($AR$39="Early Payoff",I59&gt;=$R$13),0,IF($I59&lt;=$R$6,SUM($Q$20:$Q59),0))</f>
        <v>0</v>
      </c>
      <c r="T59" s="873">
        <f t="shared" si="14"/>
        <v>0</v>
      </c>
      <c r="U59" s="1110">
        <f t="shared" si="4"/>
        <v>0</v>
      </c>
      <c r="W59" s="1102">
        <f t="shared" si="5"/>
        <v>0</v>
      </c>
      <c r="X59" s="873">
        <f t="shared" si="6"/>
        <v>0</v>
      </c>
      <c r="Y59" s="873">
        <f t="shared" si="7"/>
        <v>0</v>
      </c>
      <c r="Z59" s="885">
        <f t="shared" si="8"/>
        <v>0</v>
      </c>
      <c r="AS59" s="1093"/>
      <c r="AT59" s="1092"/>
      <c r="AU59" s="1092"/>
      <c r="AV59" s="1092"/>
      <c r="AW59" s="1093"/>
    </row>
    <row r="60" spans="1:49" s="278" customFormat="1" ht="12" customHeight="1" x14ac:dyDescent="0.25">
      <c r="A60" s="880"/>
      <c r="B60" s="1192">
        <f t="shared" si="20"/>
        <v>60</v>
      </c>
      <c r="C60" s="732">
        <f t="shared" si="0"/>
        <v>31</v>
      </c>
      <c r="D60" s="35">
        <f t="shared" si="1"/>
        <v>10</v>
      </c>
      <c r="E60" s="889">
        <f t="shared" si="26"/>
        <v>48883</v>
      </c>
      <c r="F60" s="822">
        <f t="shared" si="2"/>
        <v>10</v>
      </c>
      <c r="G60" s="126">
        <f t="shared" si="3"/>
        <v>0</v>
      </c>
      <c r="H60" s="1098">
        <f t="shared" si="27"/>
        <v>0</v>
      </c>
      <c r="I60" s="887">
        <f t="shared" si="21"/>
        <v>41</v>
      </c>
      <c r="J60" s="1099">
        <f t="shared" si="9"/>
        <v>41</v>
      </c>
      <c r="K60" s="891" t="str">
        <f t="shared" si="10"/>
        <v>October</v>
      </c>
      <c r="L60" s="888">
        <f t="shared" si="22"/>
        <v>2033</v>
      </c>
      <c r="M60" s="883">
        <f t="shared" si="23"/>
        <v>0</v>
      </c>
      <c r="N60" s="883">
        <f t="shared" si="11"/>
        <v>0</v>
      </c>
      <c r="O60" s="1100"/>
      <c r="P60" s="883">
        <f t="shared" si="12"/>
        <v>0</v>
      </c>
      <c r="Q60" s="884">
        <f t="shared" si="13"/>
        <v>0</v>
      </c>
      <c r="R60" s="884">
        <f>IF(AND($AR$39="Early Payoff",I60&gt;=$R$13),0,IF($I60&lt;=$R$6,SUM($P$20:$P60),0))</f>
        <v>0</v>
      </c>
      <c r="S60" s="884">
        <f>IF(AND($AR$39="Early Payoff",I60&gt;=$R$13),0,IF($I60&lt;=$R$6,SUM($Q$20:$Q60),0))</f>
        <v>0</v>
      </c>
      <c r="T60" s="873">
        <f t="shared" si="14"/>
        <v>0</v>
      </c>
      <c r="U60" s="1110">
        <f t="shared" si="4"/>
        <v>0</v>
      </c>
      <c r="W60" s="1102">
        <f t="shared" si="5"/>
        <v>0</v>
      </c>
      <c r="X60" s="873">
        <f t="shared" si="6"/>
        <v>0</v>
      </c>
      <c r="Y60" s="873">
        <f t="shared" si="7"/>
        <v>0</v>
      </c>
      <c r="Z60" s="885">
        <f t="shared" si="8"/>
        <v>0</v>
      </c>
      <c r="AS60" s="1093"/>
      <c r="AT60" s="1092"/>
      <c r="AU60" s="1092"/>
      <c r="AV60" s="1092"/>
      <c r="AW60" s="1093"/>
    </row>
    <row r="61" spans="1:49" s="278" customFormat="1" ht="12" customHeight="1" x14ac:dyDescent="0.25">
      <c r="A61" s="880"/>
      <c r="B61" s="1192">
        <f t="shared" si="20"/>
        <v>61</v>
      </c>
      <c r="C61" s="732">
        <f t="shared" si="0"/>
        <v>30</v>
      </c>
      <c r="D61" s="35">
        <f t="shared" si="1"/>
        <v>11</v>
      </c>
      <c r="E61" s="889">
        <f t="shared" si="26"/>
        <v>48913</v>
      </c>
      <c r="F61" s="822">
        <f t="shared" si="2"/>
        <v>11</v>
      </c>
      <c r="G61" s="126">
        <f t="shared" si="3"/>
        <v>0</v>
      </c>
      <c r="H61" s="1098">
        <f t="shared" si="27"/>
        <v>0</v>
      </c>
      <c r="I61" s="887">
        <f t="shared" si="21"/>
        <v>42</v>
      </c>
      <c r="J61" s="1099">
        <f t="shared" si="9"/>
        <v>42</v>
      </c>
      <c r="K61" s="891" t="str">
        <f t="shared" si="10"/>
        <v>November</v>
      </c>
      <c r="L61" s="888">
        <f t="shared" si="22"/>
        <v>2033</v>
      </c>
      <c r="M61" s="883">
        <f t="shared" si="23"/>
        <v>0</v>
      </c>
      <c r="N61" s="883">
        <f t="shared" si="11"/>
        <v>0</v>
      </c>
      <c r="O61" s="1100"/>
      <c r="P61" s="883">
        <f t="shared" si="12"/>
        <v>0</v>
      </c>
      <c r="Q61" s="884">
        <f t="shared" si="13"/>
        <v>0</v>
      </c>
      <c r="R61" s="884">
        <f>IF(AND($AR$39="Early Payoff",I61&gt;=$R$13),0,IF($I61&lt;=$R$6,SUM($P$20:$P61),0))</f>
        <v>0</v>
      </c>
      <c r="S61" s="884">
        <f>IF(AND($AR$39="Early Payoff",I61&gt;=$R$13),0,IF($I61&lt;=$R$6,SUM($Q$20:$Q61),0))</f>
        <v>0</v>
      </c>
      <c r="T61" s="873">
        <f t="shared" si="14"/>
        <v>0</v>
      </c>
      <c r="U61" s="1110">
        <f t="shared" si="4"/>
        <v>0</v>
      </c>
      <c r="W61" s="1102">
        <f t="shared" si="5"/>
        <v>0</v>
      </c>
      <c r="X61" s="873">
        <f t="shared" si="6"/>
        <v>0</v>
      </c>
      <c r="Y61" s="873">
        <f t="shared" si="7"/>
        <v>0</v>
      </c>
      <c r="Z61" s="885">
        <f t="shared" si="8"/>
        <v>0</v>
      </c>
      <c r="AS61" s="1093"/>
      <c r="AT61" s="1092"/>
      <c r="AU61" s="1092"/>
      <c r="AV61" s="1092"/>
      <c r="AW61" s="1093"/>
    </row>
    <row r="62" spans="1:49" s="278" customFormat="1" ht="12" customHeight="1" x14ac:dyDescent="0.25">
      <c r="A62" s="880"/>
      <c r="B62" s="1192">
        <f t="shared" si="20"/>
        <v>62</v>
      </c>
      <c r="C62" s="732">
        <f t="shared" si="0"/>
        <v>31</v>
      </c>
      <c r="D62" s="35">
        <f t="shared" si="1"/>
        <v>12</v>
      </c>
      <c r="E62" s="889">
        <f t="shared" si="26"/>
        <v>48944</v>
      </c>
      <c r="F62" s="822">
        <f t="shared" si="2"/>
        <v>12</v>
      </c>
      <c r="G62" s="126">
        <f t="shared" si="3"/>
        <v>1</v>
      </c>
      <c r="H62" s="1098">
        <f t="shared" si="27"/>
        <v>0</v>
      </c>
      <c r="I62" s="887">
        <f t="shared" si="21"/>
        <v>43</v>
      </c>
      <c r="J62" s="1099">
        <f t="shared" si="9"/>
        <v>43</v>
      </c>
      <c r="K62" s="891" t="str">
        <f t="shared" si="10"/>
        <v>December</v>
      </c>
      <c r="L62" s="888">
        <f t="shared" si="22"/>
        <v>2033</v>
      </c>
      <c r="M62" s="883">
        <f t="shared" si="23"/>
        <v>0</v>
      </c>
      <c r="N62" s="883">
        <f t="shared" si="11"/>
        <v>0</v>
      </c>
      <c r="O62" s="1100"/>
      <c r="P62" s="883">
        <f t="shared" si="12"/>
        <v>0</v>
      </c>
      <c r="Q62" s="884">
        <f t="shared" si="13"/>
        <v>0</v>
      </c>
      <c r="R62" s="884">
        <f>IF(AND($AR$39="Early Payoff",I62&gt;=$R$13),0,IF($I62&lt;=$R$6,SUM($P$20:$P62),0))</f>
        <v>0</v>
      </c>
      <c r="S62" s="884">
        <f>IF(AND($AR$39="Early Payoff",I62&gt;=$R$13),0,IF($I62&lt;=$R$6,SUM($Q$20:$Q62),0))</f>
        <v>0</v>
      </c>
      <c r="T62" s="873">
        <f t="shared" si="14"/>
        <v>0</v>
      </c>
      <c r="U62" s="1110">
        <f t="shared" si="4"/>
        <v>0</v>
      </c>
      <c r="W62" s="1102">
        <f t="shared" si="5"/>
        <v>0</v>
      </c>
      <c r="X62" s="873">
        <f t="shared" si="6"/>
        <v>0</v>
      </c>
      <c r="Y62" s="873">
        <f t="shared" si="7"/>
        <v>0</v>
      </c>
      <c r="Z62" s="885">
        <f t="shared" si="8"/>
        <v>0</v>
      </c>
      <c r="AS62" s="1093"/>
      <c r="AT62" s="1092"/>
      <c r="AU62" s="1092"/>
      <c r="AV62" s="1092"/>
      <c r="AW62" s="1093"/>
    </row>
    <row r="63" spans="1:49" s="278" customFormat="1" ht="12" customHeight="1" x14ac:dyDescent="0.25">
      <c r="A63" s="880"/>
      <c r="B63" s="1192">
        <f t="shared" si="20"/>
        <v>63</v>
      </c>
      <c r="C63" s="732">
        <f t="shared" si="0"/>
        <v>31</v>
      </c>
      <c r="D63" s="35">
        <f t="shared" si="1"/>
        <v>1</v>
      </c>
      <c r="E63" s="889">
        <f t="shared" si="26"/>
        <v>48975</v>
      </c>
      <c r="F63" s="822">
        <f t="shared" si="2"/>
        <v>1</v>
      </c>
      <c r="G63" s="126">
        <f t="shared" si="3"/>
        <v>0</v>
      </c>
      <c r="H63" s="1098">
        <f t="shared" si="27"/>
        <v>0</v>
      </c>
      <c r="I63" s="887">
        <f t="shared" si="21"/>
        <v>44</v>
      </c>
      <c r="J63" s="1099">
        <f t="shared" si="9"/>
        <v>44</v>
      </c>
      <c r="K63" s="891" t="str">
        <f t="shared" si="10"/>
        <v>January</v>
      </c>
      <c r="L63" s="888">
        <f t="shared" si="22"/>
        <v>2034</v>
      </c>
      <c r="M63" s="883">
        <f t="shared" si="23"/>
        <v>0</v>
      </c>
      <c r="N63" s="883">
        <f t="shared" si="11"/>
        <v>0</v>
      </c>
      <c r="O63" s="1100"/>
      <c r="P63" s="883">
        <f t="shared" si="12"/>
        <v>0</v>
      </c>
      <c r="Q63" s="884">
        <f t="shared" si="13"/>
        <v>0</v>
      </c>
      <c r="R63" s="884">
        <f>IF(AND($AR$39="Early Payoff",I63&gt;=$R$13),0,IF($I63&lt;=$R$6,SUM($P$20:$P63),0))</f>
        <v>0</v>
      </c>
      <c r="S63" s="884">
        <f>IF(AND($AR$39="Early Payoff",I63&gt;=$R$13),0,IF($I63&lt;=$R$6,SUM($Q$20:$Q63),0))</f>
        <v>0</v>
      </c>
      <c r="T63" s="873">
        <f t="shared" si="14"/>
        <v>0</v>
      </c>
      <c r="U63" s="1110">
        <f t="shared" si="4"/>
        <v>0</v>
      </c>
      <c r="W63" s="1102">
        <f t="shared" si="5"/>
        <v>0</v>
      </c>
      <c r="X63" s="873">
        <f t="shared" si="6"/>
        <v>0</v>
      </c>
      <c r="Y63" s="873">
        <f t="shared" si="7"/>
        <v>0</v>
      </c>
      <c r="Z63" s="885">
        <f t="shared" si="8"/>
        <v>0</v>
      </c>
    </row>
    <row r="64" spans="1:49" s="278" customFormat="1" ht="12" customHeight="1" x14ac:dyDescent="0.25">
      <c r="A64" s="880"/>
      <c r="B64" s="1192">
        <f t="shared" si="20"/>
        <v>64</v>
      </c>
      <c r="C64" s="732">
        <f t="shared" si="0"/>
        <v>28</v>
      </c>
      <c r="D64" s="35">
        <f t="shared" si="1"/>
        <v>2</v>
      </c>
      <c r="E64" s="889">
        <f t="shared" si="26"/>
        <v>49003</v>
      </c>
      <c r="F64" s="822">
        <f t="shared" si="2"/>
        <v>2</v>
      </c>
      <c r="G64" s="126">
        <f t="shared" si="3"/>
        <v>0</v>
      </c>
      <c r="H64" s="1098">
        <f t="shared" si="27"/>
        <v>0</v>
      </c>
      <c r="I64" s="887">
        <f t="shared" si="21"/>
        <v>45</v>
      </c>
      <c r="J64" s="1099">
        <f t="shared" si="9"/>
        <v>45</v>
      </c>
      <c r="K64" s="891" t="str">
        <f t="shared" si="10"/>
        <v>February</v>
      </c>
      <c r="L64" s="888">
        <f t="shared" si="22"/>
        <v>2034</v>
      </c>
      <c r="M64" s="883">
        <f t="shared" si="23"/>
        <v>0</v>
      </c>
      <c r="N64" s="883">
        <f t="shared" si="11"/>
        <v>0</v>
      </c>
      <c r="O64" s="1100"/>
      <c r="P64" s="883">
        <f t="shared" si="12"/>
        <v>0</v>
      </c>
      <c r="Q64" s="884">
        <f t="shared" si="13"/>
        <v>0</v>
      </c>
      <c r="R64" s="884">
        <f>IF(AND($AR$39="Early Payoff",I64&gt;=$R$13),0,IF($I64&lt;=$R$6,SUM($P$20:$P64),0))</f>
        <v>0</v>
      </c>
      <c r="S64" s="884">
        <f>IF(AND($AR$39="Early Payoff",I64&gt;=$R$13),0,IF($I64&lt;=$R$6,SUM($Q$20:$Q64),0))</f>
        <v>0</v>
      </c>
      <c r="T64" s="873">
        <f t="shared" si="14"/>
        <v>0</v>
      </c>
      <c r="U64" s="1110">
        <f t="shared" si="4"/>
        <v>0</v>
      </c>
      <c r="W64" s="1102">
        <f t="shared" si="5"/>
        <v>0</v>
      </c>
      <c r="X64" s="873">
        <f t="shared" si="6"/>
        <v>0</v>
      </c>
      <c r="Y64" s="873">
        <f t="shared" si="7"/>
        <v>0</v>
      </c>
      <c r="Z64" s="885">
        <f t="shared" si="8"/>
        <v>0</v>
      </c>
    </row>
    <row r="65" spans="1:26" s="278" customFormat="1" ht="12" customHeight="1" x14ac:dyDescent="0.25">
      <c r="A65" s="880"/>
      <c r="B65" s="1192">
        <f t="shared" si="20"/>
        <v>65</v>
      </c>
      <c r="C65" s="732">
        <f t="shared" si="0"/>
        <v>31</v>
      </c>
      <c r="D65" s="35">
        <f t="shared" si="1"/>
        <v>3</v>
      </c>
      <c r="E65" s="889">
        <f t="shared" si="26"/>
        <v>49034</v>
      </c>
      <c r="F65" s="822">
        <f t="shared" si="2"/>
        <v>3</v>
      </c>
      <c r="G65" s="126">
        <f t="shared" si="3"/>
        <v>0</v>
      </c>
      <c r="H65" s="1098">
        <f t="shared" si="27"/>
        <v>0</v>
      </c>
      <c r="I65" s="887">
        <f t="shared" si="21"/>
        <v>46</v>
      </c>
      <c r="J65" s="1099">
        <f t="shared" si="9"/>
        <v>46</v>
      </c>
      <c r="K65" s="891" t="str">
        <f t="shared" si="10"/>
        <v>March</v>
      </c>
      <c r="L65" s="888">
        <f t="shared" si="22"/>
        <v>2034</v>
      </c>
      <c r="M65" s="883">
        <f t="shared" si="23"/>
        <v>0</v>
      </c>
      <c r="N65" s="883">
        <f t="shared" si="11"/>
        <v>0</v>
      </c>
      <c r="O65" s="1100"/>
      <c r="P65" s="883">
        <f t="shared" si="12"/>
        <v>0</v>
      </c>
      <c r="Q65" s="884">
        <f t="shared" si="13"/>
        <v>0</v>
      </c>
      <c r="R65" s="884">
        <f>IF(AND($AR$39="Early Payoff",I65&gt;=$R$13),0,IF($I65&lt;=$R$6,SUM($P$20:$P65),0))</f>
        <v>0</v>
      </c>
      <c r="S65" s="884">
        <f>IF(AND($AR$39="Early Payoff",I65&gt;=$R$13),0,IF($I65&lt;=$R$6,SUM($Q$20:$Q65),0))</f>
        <v>0</v>
      </c>
      <c r="T65" s="873">
        <f t="shared" si="14"/>
        <v>0</v>
      </c>
      <c r="U65" s="1110">
        <f t="shared" si="4"/>
        <v>0</v>
      </c>
      <c r="W65" s="1102">
        <f t="shared" si="5"/>
        <v>0</v>
      </c>
      <c r="X65" s="873">
        <f t="shared" si="6"/>
        <v>0</v>
      </c>
      <c r="Y65" s="873">
        <f t="shared" si="7"/>
        <v>0</v>
      </c>
      <c r="Z65" s="885">
        <f t="shared" si="8"/>
        <v>0</v>
      </c>
    </row>
    <row r="66" spans="1:26" s="278" customFormat="1" ht="12" customHeight="1" x14ac:dyDescent="0.25">
      <c r="A66" s="880"/>
      <c r="B66" s="1192">
        <f t="shared" si="20"/>
        <v>66</v>
      </c>
      <c r="C66" s="732">
        <f t="shared" si="0"/>
        <v>30</v>
      </c>
      <c r="D66" s="35">
        <f t="shared" si="1"/>
        <v>4</v>
      </c>
      <c r="E66" s="889">
        <f t="shared" si="26"/>
        <v>49064</v>
      </c>
      <c r="F66" s="822">
        <f t="shared" si="2"/>
        <v>4</v>
      </c>
      <c r="G66" s="126">
        <f t="shared" si="3"/>
        <v>0</v>
      </c>
      <c r="H66" s="1098">
        <f t="shared" si="27"/>
        <v>0</v>
      </c>
      <c r="I66" s="887">
        <f t="shared" si="21"/>
        <v>47</v>
      </c>
      <c r="J66" s="1099">
        <f t="shared" si="9"/>
        <v>47</v>
      </c>
      <c r="K66" s="891" t="str">
        <f t="shared" si="10"/>
        <v>April</v>
      </c>
      <c r="L66" s="888">
        <f t="shared" si="22"/>
        <v>2034</v>
      </c>
      <c r="M66" s="883">
        <f t="shared" si="23"/>
        <v>0</v>
      </c>
      <c r="N66" s="883">
        <f t="shared" si="11"/>
        <v>0</v>
      </c>
      <c r="O66" s="1100"/>
      <c r="P66" s="883">
        <f t="shared" si="12"/>
        <v>0</v>
      </c>
      <c r="Q66" s="884">
        <f t="shared" si="13"/>
        <v>0</v>
      </c>
      <c r="R66" s="884">
        <f>IF(AND($AR$39="Early Payoff",I66&gt;=$R$13),0,IF($I66&lt;=$R$6,SUM($P$20:$P66),0))</f>
        <v>0</v>
      </c>
      <c r="S66" s="884">
        <f>IF(AND($AR$39="Early Payoff",I66&gt;=$R$13),0,IF($I66&lt;=$R$6,SUM($Q$20:$Q66),0))</f>
        <v>0</v>
      </c>
      <c r="T66" s="873">
        <f t="shared" si="14"/>
        <v>0</v>
      </c>
      <c r="U66" s="1110">
        <f t="shared" si="4"/>
        <v>0</v>
      </c>
      <c r="W66" s="1102">
        <f t="shared" si="5"/>
        <v>0</v>
      </c>
      <c r="X66" s="873">
        <f t="shared" si="6"/>
        <v>0</v>
      </c>
      <c r="Y66" s="873">
        <f t="shared" si="7"/>
        <v>0</v>
      </c>
      <c r="Z66" s="885">
        <f t="shared" si="8"/>
        <v>0</v>
      </c>
    </row>
    <row r="67" spans="1:26" s="278" customFormat="1" ht="12" customHeight="1" x14ac:dyDescent="0.25">
      <c r="A67" s="880"/>
      <c r="B67" s="1192">
        <f t="shared" si="20"/>
        <v>67</v>
      </c>
      <c r="C67" s="732">
        <f t="shared" si="0"/>
        <v>31</v>
      </c>
      <c r="D67" s="35">
        <f t="shared" si="1"/>
        <v>5</v>
      </c>
      <c r="E67" s="889">
        <f t="shared" si="26"/>
        <v>49095</v>
      </c>
      <c r="F67" s="822">
        <f t="shared" si="2"/>
        <v>5</v>
      </c>
      <c r="G67" s="126">
        <f t="shared" si="3"/>
        <v>0</v>
      </c>
      <c r="H67" s="1098">
        <f t="shared" si="27"/>
        <v>0</v>
      </c>
      <c r="I67" s="887">
        <f t="shared" si="21"/>
        <v>48</v>
      </c>
      <c r="J67" s="1099">
        <f t="shared" si="9"/>
        <v>48</v>
      </c>
      <c r="K67" s="891" t="str">
        <f t="shared" si="10"/>
        <v>May</v>
      </c>
      <c r="L67" s="888">
        <f t="shared" si="22"/>
        <v>2034</v>
      </c>
      <c r="M67" s="883">
        <f t="shared" si="23"/>
        <v>0</v>
      </c>
      <c r="N67" s="883">
        <f t="shared" si="11"/>
        <v>0</v>
      </c>
      <c r="O67" s="1100"/>
      <c r="P67" s="883">
        <f t="shared" si="12"/>
        <v>0</v>
      </c>
      <c r="Q67" s="884">
        <f t="shared" si="13"/>
        <v>0</v>
      </c>
      <c r="R67" s="884">
        <f>IF(AND($AR$39="Early Payoff",I67&gt;=$R$13),0,IF($I67&lt;=$R$6,SUM($P$20:$P67),0))</f>
        <v>0</v>
      </c>
      <c r="S67" s="884">
        <f>IF(AND($AR$39="Early Payoff",I67&gt;=$R$13),0,IF($I67&lt;=$R$6,SUM($Q$20:$Q67),0))</f>
        <v>0</v>
      </c>
      <c r="T67" s="873">
        <f t="shared" si="14"/>
        <v>0</v>
      </c>
      <c r="U67" s="1110">
        <f t="shared" si="4"/>
        <v>0</v>
      </c>
      <c r="W67" s="1102">
        <f t="shared" si="5"/>
        <v>0</v>
      </c>
      <c r="X67" s="873">
        <f t="shared" si="6"/>
        <v>0</v>
      </c>
      <c r="Y67" s="873">
        <f t="shared" si="7"/>
        <v>0</v>
      </c>
      <c r="Z67" s="885">
        <f t="shared" si="8"/>
        <v>0</v>
      </c>
    </row>
    <row r="68" spans="1:26" s="278" customFormat="1" ht="12" customHeight="1" x14ac:dyDescent="0.25">
      <c r="A68" s="880"/>
      <c r="B68" s="1192">
        <f t="shared" si="20"/>
        <v>68</v>
      </c>
      <c r="C68" s="732">
        <f t="shared" si="0"/>
        <v>30</v>
      </c>
      <c r="D68" s="35">
        <f t="shared" si="1"/>
        <v>6</v>
      </c>
      <c r="E68" s="889">
        <f t="shared" si="26"/>
        <v>49125</v>
      </c>
      <c r="F68" s="822">
        <f t="shared" si="2"/>
        <v>6</v>
      </c>
      <c r="G68" s="126">
        <f t="shared" si="3"/>
        <v>0</v>
      </c>
      <c r="H68" s="1098">
        <f t="shared" si="27"/>
        <v>0</v>
      </c>
      <c r="I68" s="887">
        <f t="shared" si="21"/>
        <v>49</v>
      </c>
      <c r="J68" s="1099">
        <f t="shared" si="9"/>
        <v>49</v>
      </c>
      <c r="K68" s="891" t="str">
        <f t="shared" si="10"/>
        <v>June</v>
      </c>
      <c r="L68" s="888">
        <f t="shared" si="22"/>
        <v>2034</v>
      </c>
      <c r="M68" s="883">
        <f t="shared" si="23"/>
        <v>0</v>
      </c>
      <c r="N68" s="883">
        <f t="shared" si="11"/>
        <v>0</v>
      </c>
      <c r="O68" s="1100"/>
      <c r="P68" s="883">
        <f t="shared" si="12"/>
        <v>0</v>
      </c>
      <c r="Q68" s="884">
        <f t="shared" si="13"/>
        <v>0</v>
      </c>
      <c r="R68" s="884">
        <f>IF(AND($AR$39="Early Payoff",I68&gt;=$R$13),0,IF($I68&lt;=$R$6,SUM($P$20:$P68),0))</f>
        <v>0</v>
      </c>
      <c r="S68" s="884">
        <f>IF(AND($AR$39="Early Payoff",I68&gt;=$R$13),0,IF($I68&lt;=$R$6,SUM($Q$20:$Q68),0))</f>
        <v>0</v>
      </c>
      <c r="T68" s="873">
        <f t="shared" si="14"/>
        <v>0</v>
      </c>
      <c r="U68" s="1110">
        <f t="shared" si="4"/>
        <v>0</v>
      </c>
      <c r="W68" s="1102">
        <f t="shared" si="5"/>
        <v>0</v>
      </c>
      <c r="X68" s="873">
        <f t="shared" si="6"/>
        <v>0</v>
      </c>
      <c r="Y68" s="873">
        <f t="shared" si="7"/>
        <v>0</v>
      </c>
      <c r="Z68" s="885">
        <f t="shared" si="8"/>
        <v>0</v>
      </c>
    </row>
    <row r="69" spans="1:26" s="278" customFormat="1" ht="12" customHeight="1" x14ac:dyDescent="0.25">
      <c r="A69" s="880"/>
      <c r="B69" s="1192">
        <f t="shared" si="20"/>
        <v>69</v>
      </c>
      <c r="C69" s="732">
        <f t="shared" si="0"/>
        <v>31</v>
      </c>
      <c r="D69" s="35">
        <f t="shared" si="1"/>
        <v>7</v>
      </c>
      <c r="E69" s="889">
        <f t="shared" si="26"/>
        <v>49156</v>
      </c>
      <c r="F69" s="822">
        <f t="shared" si="2"/>
        <v>7</v>
      </c>
      <c r="G69" s="126">
        <f t="shared" si="3"/>
        <v>0</v>
      </c>
      <c r="H69" s="1098">
        <f t="shared" si="27"/>
        <v>0</v>
      </c>
      <c r="I69" s="887">
        <f t="shared" si="21"/>
        <v>50</v>
      </c>
      <c r="J69" s="1099">
        <f t="shared" si="9"/>
        <v>50</v>
      </c>
      <c r="K69" s="891" t="str">
        <f t="shared" si="10"/>
        <v>July</v>
      </c>
      <c r="L69" s="888">
        <f t="shared" si="22"/>
        <v>2034</v>
      </c>
      <c r="M69" s="883">
        <f t="shared" si="23"/>
        <v>0</v>
      </c>
      <c r="N69" s="883">
        <f t="shared" si="11"/>
        <v>0</v>
      </c>
      <c r="O69" s="1100"/>
      <c r="P69" s="883">
        <f t="shared" si="12"/>
        <v>0</v>
      </c>
      <c r="Q69" s="884">
        <f t="shared" si="13"/>
        <v>0</v>
      </c>
      <c r="R69" s="884">
        <f>IF(AND($AR$39="Early Payoff",I69&gt;=$R$13),0,IF($I69&lt;=$R$6,SUM($P$20:$P69),0))</f>
        <v>0</v>
      </c>
      <c r="S69" s="884">
        <f>IF(AND($AR$39="Early Payoff",I69&gt;=$R$13),0,IF($I69&lt;=$R$6,SUM($Q$20:$Q69),0))</f>
        <v>0</v>
      </c>
      <c r="T69" s="873">
        <f t="shared" si="14"/>
        <v>0</v>
      </c>
      <c r="U69" s="1110">
        <f t="shared" si="4"/>
        <v>0</v>
      </c>
      <c r="W69" s="1102">
        <f t="shared" si="5"/>
        <v>0</v>
      </c>
      <c r="X69" s="873">
        <f t="shared" si="6"/>
        <v>0</v>
      </c>
      <c r="Y69" s="873">
        <f t="shared" si="7"/>
        <v>0</v>
      </c>
      <c r="Z69" s="885">
        <f t="shared" si="8"/>
        <v>0</v>
      </c>
    </row>
    <row r="70" spans="1:26" s="278" customFormat="1" ht="12" customHeight="1" x14ac:dyDescent="0.25">
      <c r="A70" s="880"/>
      <c r="B70" s="1192">
        <f t="shared" si="20"/>
        <v>70</v>
      </c>
      <c r="C70" s="732">
        <f t="shared" si="0"/>
        <v>31</v>
      </c>
      <c r="D70" s="35">
        <f t="shared" si="1"/>
        <v>8</v>
      </c>
      <c r="E70" s="889">
        <f t="shared" si="26"/>
        <v>49187</v>
      </c>
      <c r="F70" s="822">
        <f t="shared" si="2"/>
        <v>8</v>
      </c>
      <c r="G70" s="126">
        <f t="shared" si="3"/>
        <v>0</v>
      </c>
      <c r="H70" s="1098">
        <f t="shared" si="27"/>
        <v>0</v>
      </c>
      <c r="I70" s="887">
        <f t="shared" si="21"/>
        <v>51</v>
      </c>
      <c r="J70" s="1099">
        <f t="shared" si="9"/>
        <v>51</v>
      </c>
      <c r="K70" s="891" t="str">
        <f t="shared" si="10"/>
        <v>August</v>
      </c>
      <c r="L70" s="888">
        <f t="shared" si="22"/>
        <v>2034</v>
      </c>
      <c r="M70" s="883">
        <f t="shared" si="23"/>
        <v>0</v>
      </c>
      <c r="N70" s="883">
        <f t="shared" si="11"/>
        <v>0</v>
      </c>
      <c r="O70" s="1100"/>
      <c r="P70" s="883">
        <f t="shared" si="12"/>
        <v>0</v>
      </c>
      <c r="Q70" s="884">
        <f t="shared" si="13"/>
        <v>0</v>
      </c>
      <c r="R70" s="884">
        <f>IF(AND($AR$39="Early Payoff",I70&gt;=$R$13),0,IF($I70&lt;=$R$6,SUM($P$20:$P70),0))</f>
        <v>0</v>
      </c>
      <c r="S70" s="884">
        <f>IF(AND($AR$39="Early Payoff",I70&gt;=$R$13),0,IF($I70&lt;=$R$6,SUM($Q$20:$Q70),0))</f>
        <v>0</v>
      </c>
      <c r="T70" s="873">
        <f t="shared" si="14"/>
        <v>0</v>
      </c>
      <c r="U70" s="1110">
        <f t="shared" si="4"/>
        <v>0</v>
      </c>
      <c r="W70" s="1102">
        <f t="shared" si="5"/>
        <v>0</v>
      </c>
      <c r="X70" s="873">
        <f t="shared" si="6"/>
        <v>0</v>
      </c>
      <c r="Y70" s="873">
        <f t="shared" si="7"/>
        <v>0</v>
      </c>
      <c r="Z70" s="885">
        <f t="shared" si="8"/>
        <v>0</v>
      </c>
    </row>
    <row r="71" spans="1:26" s="278" customFormat="1" ht="12" customHeight="1" x14ac:dyDescent="0.25">
      <c r="A71" s="880"/>
      <c r="B71" s="1192">
        <f t="shared" si="20"/>
        <v>71</v>
      </c>
      <c r="C71" s="732">
        <f t="shared" si="0"/>
        <v>30</v>
      </c>
      <c r="D71" s="35">
        <f t="shared" si="1"/>
        <v>9</v>
      </c>
      <c r="E71" s="889">
        <f t="shared" si="26"/>
        <v>49217</v>
      </c>
      <c r="F71" s="822">
        <f t="shared" si="2"/>
        <v>9</v>
      </c>
      <c r="G71" s="126">
        <f t="shared" si="3"/>
        <v>0</v>
      </c>
      <c r="H71" s="1098">
        <f t="shared" si="27"/>
        <v>0</v>
      </c>
      <c r="I71" s="887">
        <f t="shared" si="21"/>
        <v>52</v>
      </c>
      <c r="J71" s="1099">
        <f t="shared" si="9"/>
        <v>52</v>
      </c>
      <c r="K71" s="891" t="str">
        <f t="shared" si="10"/>
        <v>September</v>
      </c>
      <c r="L71" s="888">
        <f t="shared" si="22"/>
        <v>2034</v>
      </c>
      <c r="M71" s="883">
        <f t="shared" si="23"/>
        <v>0</v>
      </c>
      <c r="N71" s="883">
        <f t="shared" si="11"/>
        <v>0</v>
      </c>
      <c r="O71" s="1100"/>
      <c r="P71" s="883">
        <f t="shared" si="12"/>
        <v>0</v>
      </c>
      <c r="Q71" s="884">
        <f t="shared" si="13"/>
        <v>0</v>
      </c>
      <c r="R71" s="884">
        <f>IF(AND($AR$39="Early Payoff",I71&gt;=$R$13),0,IF($I71&lt;=$R$6,SUM($P$20:$P71),0))</f>
        <v>0</v>
      </c>
      <c r="S71" s="884">
        <f>IF(AND($AR$39="Early Payoff",I71&gt;=$R$13),0,IF($I71&lt;=$R$6,SUM($Q$20:$Q71),0))</f>
        <v>0</v>
      </c>
      <c r="T71" s="873">
        <f t="shared" si="14"/>
        <v>0</v>
      </c>
      <c r="U71" s="1110">
        <f t="shared" si="4"/>
        <v>0</v>
      </c>
      <c r="W71" s="1102">
        <f t="shared" si="5"/>
        <v>0</v>
      </c>
      <c r="X71" s="873">
        <f t="shared" si="6"/>
        <v>0</v>
      </c>
      <c r="Y71" s="873">
        <f t="shared" si="7"/>
        <v>0</v>
      </c>
      <c r="Z71" s="885">
        <f t="shared" si="8"/>
        <v>0</v>
      </c>
    </row>
    <row r="72" spans="1:26" s="278" customFormat="1" ht="12" customHeight="1" x14ac:dyDescent="0.25">
      <c r="A72" s="299"/>
      <c r="B72" s="1192">
        <f t="shared" si="20"/>
        <v>72</v>
      </c>
      <c r="C72" s="732">
        <f t="shared" si="0"/>
        <v>31</v>
      </c>
      <c r="D72" s="35">
        <f t="shared" si="1"/>
        <v>10</v>
      </c>
      <c r="E72" s="889">
        <f t="shared" si="26"/>
        <v>49248</v>
      </c>
      <c r="F72" s="822">
        <f t="shared" si="2"/>
        <v>10</v>
      </c>
      <c r="G72" s="126">
        <f t="shared" si="3"/>
        <v>0</v>
      </c>
      <c r="H72" s="1098">
        <f t="shared" si="27"/>
        <v>0</v>
      </c>
      <c r="I72" s="887">
        <f t="shared" si="21"/>
        <v>53</v>
      </c>
      <c r="J72" s="1099">
        <f t="shared" si="9"/>
        <v>53</v>
      </c>
      <c r="K72" s="891" t="str">
        <f t="shared" si="10"/>
        <v>October</v>
      </c>
      <c r="L72" s="888">
        <f t="shared" si="22"/>
        <v>2034</v>
      </c>
      <c r="M72" s="883">
        <f t="shared" si="23"/>
        <v>0</v>
      </c>
      <c r="N72" s="883">
        <f t="shared" si="11"/>
        <v>0</v>
      </c>
      <c r="O72" s="1100"/>
      <c r="P72" s="883">
        <f t="shared" si="12"/>
        <v>0</v>
      </c>
      <c r="Q72" s="884">
        <f t="shared" si="13"/>
        <v>0</v>
      </c>
      <c r="R72" s="884">
        <f>IF(AND($AR$39="Early Payoff",I72&gt;=$R$13),0,IF($I72&lt;=$R$6,SUM($P$20:$P72),0))</f>
        <v>0</v>
      </c>
      <c r="S72" s="884">
        <f>IF(AND($AR$39="Early Payoff",I72&gt;=$R$13),0,IF($I72&lt;=$R$6,SUM($Q$20:$Q72),0))</f>
        <v>0</v>
      </c>
      <c r="T72" s="873">
        <f t="shared" si="14"/>
        <v>0</v>
      </c>
      <c r="U72" s="1110">
        <f t="shared" si="4"/>
        <v>0</v>
      </c>
      <c r="W72" s="1102">
        <f t="shared" si="5"/>
        <v>0</v>
      </c>
      <c r="X72" s="873">
        <f t="shared" si="6"/>
        <v>0</v>
      </c>
      <c r="Y72" s="873">
        <f t="shared" si="7"/>
        <v>0</v>
      </c>
      <c r="Z72" s="885">
        <f t="shared" si="8"/>
        <v>0</v>
      </c>
    </row>
    <row r="73" spans="1:26" s="278" customFormat="1" ht="12" customHeight="1" x14ac:dyDescent="0.25">
      <c r="A73" s="299"/>
      <c r="B73" s="1192">
        <f t="shared" si="20"/>
        <v>73</v>
      </c>
      <c r="C73" s="732">
        <f t="shared" si="0"/>
        <v>30</v>
      </c>
      <c r="D73" s="35">
        <f t="shared" si="1"/>
        <v>11</v>
      </c>
      <c r="E73" s="889">
        <f t="shared" si="26"/>
        <v>49278</v>
      </c>
      <c r="F73" s="822">
        <f t="shared" si="2"/>
        <v>11</v>
      </c>
      <c r="G73" s="126">
        <f t="shared" si="3"/>
        <v>0</v>
      </c>
      <c r="H73" s="1098">
        <f t="shared" si="27"/>
        <v>0</v>
      </c>
      <c r="I73" s="887">
        <f t="shared" si="21"/>
        <v>54</v>
      </c>
      <c r="J73" s="1099">
        <f t="shared" si="9"/>
        <v>54</v>
      </c>
      <c r="K73" s="891" t="str">
        <f t="shared" si="10"/>
        <v>November</v>
      </c>
      <c r="L73" s="888">
        <f t="shared" si="22"/>
        <v>2034</v>
      </c>
      <c r="M73" s="883">
        <f t="shared" si="23"/>
        <v>0</v>
      </c>
      <c r="N73" s="883">
        <f t="shared" si="11"/>
        <v>0</v>
      </c>
      <c r="O73" s="1100"/>
      <c r="P73" s="883">
        <f t="shared" si="12"/>
        <v>0</v>
      </c>
      <c r="Q73" s="884">
        <f t="shared" si="13"/>
        <v>0</v>
      </c>
      <c r="R73" s="884">
        <f>IF(AND($AR$39="Early Payoff",I73&gt;=$R$13),0,IF($I73&lt;=$R$6,SUM($P$20:$P73),0))</f>
        <v>0</v>
      </c>
      <c r="S73" s="884">
        <f>IF(AND($AR$39="Early Payoff",I73&gt;=$R$13),0,IF($I73&lt;=$R$6,SUM($Q$20:$Q73),0))</f>
        <v>0</v>
      </c>
      <c r="T73" s="873">
        <f t="shared" si="14"/>
        <v>0</v>
      </c>
      <c r="U73" s="1110">
        <f t="shared" si="4"/>
        <v>0</v>
      </c>
      <c r="W73" s="1102">
        <f t="shared" si="5"/>
        <v>0</v>
      </c>
      <c r="X73" s="873">
        <f t="shared" si="6"/>
        <v>0</v>
      </c>
      <c r="Y73" s="873">
        <f t="shared" si="7"/>
        <v>0</v>
      </c>
      <c r="Z73" s="885">
        <f t="shared" si="8"/>
        <v>0</v>
      </c>
    </row>
    <row r="74" spans="1:26" s="278" customFormat="1" ht="12" customHeight="1" x14ac:dyDescent="0.25">
      <c r="A74" s="299"/>
      <c r="B74" s="1192">
        <f t="shared" si="20"/>
        <v>74</v>
      </c>
      <c r="C74" s="732">
        <f t="shared" si="0"/>
        <v>31</v>
      </c>
      <c r="D74" s="35">
        <f t="shared" si="1"/>
        <v>12</v>
      </c>
      <c r="E74" s="889">
        <f t="shared" si="26"/>
        <v>49309</v>
      </c>
      <c r="F74" s="822">
        <f t="shared" si="2"/>
        <v>12</v>
      </c>
      <c r="G74" s="126">
        <f t="shared" si="3"/>
        <v>1</v>
      </c>
      <c r="H74" s="1098">
        <f t="shared" si="27"/>
        <v>0</v>
      </c>
      <c r="I74" s="887">
        <f t="shared" si="21"/>
        <v>55</v>
      </c>
      <c r="J74" s="1099">
        <f t="shared" si="9"/>
        <v>55</v>
      </c>
      <c r="K74" s="891" t="str">
        <f t="shared" si="10"/>
        <v>December</v>
      </c>
      <c r="L74" s="888">
        <f t="shared" si="22"/>
        <v>2034</v>
      </c>
      <c r="M74" s="883">
        <f t="shared" si="23"/>
        <v>0</v>
      </c>
      <c r="N74" s="883">
        <f t="shared" si="11"/>
        <v>0</v>
      </c>
      <c r="O74" s="1100"/>
      <c r="P74" s="883">
        <f t="shared" si="12"/>
        <v>0</v>
      </c>
      <c r="Q74" s="884">
        <f t="shared" si="13"/>
        <v>0</v>
      </c>
      <c r="R74" s="884">
        <f>IF(AND($AR$39="Early Payoff",I74&gt;=$R$13),0,IF($I74&lt;=$R$6,SUM($P$20:$P74),0))</f>
        <v>0</v>
      </c>
      <c r="S74" s="884">
        <f>IF(AND($AR$39="Early Payoff",I74&gt;=$R$13),0,IF($I74&lt;=$R$6,SUM($Q$20:$Q74),0))</f>
        <v>0</v>
      </c>
      <c r="T74" s="873">
        <f t="shared" si="14"/>
        <v>0</v>
      </c>
      <c r="U74" s="1110">
        <f t="shared" si="4"/>
        <v>0</v>
      </c>
      <c r="W74" s="1102">
        <f t="shared" si="5"/>
        <v>0</v>
      </c>
      <c r="X74" s="873">
        <f t="shared" si="6"/>
        <v>0</v>
      </c>
      <c r="Y74" s="873">
        <f t="shared" si="7"/>
        <v>0</v>
      </c>
      <c r="Z74" s="885">
        <f t="shared" si="8"/>
        <v>0</v>
      </c>
    </row>
    <row r="75" spans="1:26" s="278" customFormat="1" ht="12" customHeight="1" x14ac:dyDescent="0.25">
      <c r="B75" s="1192">
        <f t="shared" si="20"/>
        <v>75</v>
      </c>
      <c r="C75" s="732">
        <f t="shared" si="0"/>
        <v>31</v>
      </c>
      <c r="D75" s="35">
        <f t="shared" si="1"/>
        <v>1</v>
      </c>
      <c r="E75" s="889">
        <f t="shared" si="26"/>
        <v>49340</v>
      </c>
      <c r="F75" s="822">
        <f t="shared" si="2"/>
        <v>1</v>
      </c>
      <c r="G75" s="126">
        <f t="shared" si="3"/>
        <v>0</v>
      </c>
      <c r="H75" s="1098">
        <f t="shared" si="27"/>
        <v>0</v>
      </c>
      <c r="I75" s="887">
        <f t="shared" si="21"/>
        <v>56</v>
      </c>
      <c r="J75" s="1099">
        <f t="shared" si="9"/>
        <v>56</v>
      </c>
      <c r="K75" s="891" t="str">
        <f t="shared" si="10"/>
        <v>January</v>
      </c>
      <c r="L75" s="888">
        <f t="shared" si="22"/>
        <v>2035</v>
      </c>
      <c r="M75" s="883">
        <f t="shared" si="23"/>
        <v>0</v>
      </c>
      <c r="N75" s="883">
        <f t="shared" si="11"/>
        <v>0</v>
      </c>
      <c r="O75" s="1100"/>
      <c r="P75" s="883">
        <f t="shared" si="12"/>
        <v>0</v>
      </c>
      <c r="Q75" s="884">
        <f t="shared" si="13"/>
        <v>0</v>
      </c>
      <c r="R75" s="884">
        <f>IF(AND($AR$39="Early Payoff",I75&gt;=$R$13),0,IF($I75&lt;=$R$6,SUM($P$20:$P75),0))</f>
        <v>0</v>
      </c>
      <c r="S75" s="884">
        <f>IF(AND($AR$39="Early Payoff",I75&gt;=$R$13),0,IF($I75&lt;=$R$6,SUM($Q$20:$Q75),0))</f>
        <v>0</v>
      </c>
      <c r="T75" s="873">
        <f t="shared" si="14"/>
        <v>0</v>
      </c>
      <c r="U75" s="1110">
        <f t="shared" si="4"/>
        <v>0</v>
      </c>
      <c r="W75" s="1102">
        <f t="shared" si="5"/>
        <v>0</v>
      </c>
      <c r="X75" s="873">
        <f t="shared" si="6"/>
        <v>0</v>
      </c>
      <c r="Y75" s="873">
        <f t="shared" si="7"/>
        <v>0</v>
      </c>
      <c r="Z75" s="885">
        <f t="shared" si="8"/>
        <v>0</v>
      </c>
    </row>
    <row r="76" spans="1:26" s="278" customFormat="1" ht="12" customHeight="1" x14ac:dyDescent="0.25">
      <c r="B76" s="1192">
        <f t="shared" si="20"/>
        <v>76</v>
      </c>
      <c r="C76" s="732">
        <f t="shared" si="0"/>
        <v>28</v>
      </c>
      <c r="D76" s="35">
        <f t="shared" si="1"/>
        <v>2</v>
      </c>
      <c r="E76" s="889">
        <f t="shared" si="26"/>
        <v>49368</v>
      </c>
      <c r="F76" s="822">
        <f t="shared" si="2"/>
        <v>2</v>
      </c>
      <c r="G76" s="126">
        <f t="shared" si="3"/>
        <v>0</v>
      </c>
      <c r="H76" s="1098">
        <f t="shared" si="27"/>
        <v>0</v>
      </c>
      <c r="I76" s="887">
        <f t="shared" si="21"/>
        <v>57</v>
      </c>
      <c r="J76" s="1099">
        <f t="shared" si="9"/>
        <v>57</v>
      </c>
      <c r="K76" s="891" t="str">
        <f t="shared" si="10"/>
        <v>February</v>
      </c>
      <c r="L76" s="888">
        <f t="shared" si="22"/>
        <v>2035</v>
      </c>
      <c r="M76" s="883">
        <f t="shared" si="23"/>
        <v>0</v>
      </c>
      <c r="N76" s="883">
        <f t="shared" si="11"/>
        <v>0</v>
      </c>
      <c r="O76" s="1100"/>
      <c r="P76" s="883">
        <f t="shared" si="12"/>
        <v>0</v>
      </c>
      <c r="Q76" s="884">
        <f t="shared" si="13"/>
        <v>0</v>
      </c>
      <c r="R76" s="884">
        <f>IF(AND($AR$39="Early Payoff",I76&gt;=$R$13),0,IF($I76&lt;=$R$6,SUM($P$20:$P76),0))</f>
        <v>0</v>
      </c>
      <c r="S76" s="884">
        <f>IF(AND($AR$39="Early Payoff",I76&gt;=$R$13),0,IF($I76&lt;=$R$6,SUM($Q$20:$Q76),0))</f>
        <v>0</v>
      </c>
      <c r="T76" s="873">
        <f t="shared" si="14"/>
        <v>0</v>
      </c>
      <c r="U76" s="1110">
        <f t="shared" si="4"/>
        <v>0</v>
      </c>
      <c r="W76" s="1102">
        <f t="shared" si="5"/>
        <v>0</v>
      </c>
      <c r="X76" s="873">
        <f t="shared" si="6"/>
        <v>0</v>
      </c>
      <c r="Y76" s="873">
        <f t="shared" si="7"/>
        <v>0</v>
      </c>
      <c r="Z76" s="885">
        <f t="shared" si="8"/>
        <v>0</v>
      </c>
    </row>
    <row r="77" spans="1:26" s="278" customFormat="1" ht="12" customHeight="1" x14ac:dyDescent="0.25">
      <c r="B77" s="1192">
        <f t="shared" si="20"/>
        <v>77</v>
      </c>
      <c r="C77" s="732">
        <f t="shared" si="0"/>
        <v>31</v>
      </c>
      <c r="D77" s="35">
        <f t="shared" si="1"/>
        <v>3</v>
      </c>
      <c r="E77" s="889">
        <f t="shared" si="26"/>
        <v>49399</v>
      </c>
      <c r="F77" s="822">
        <f t="shared" si="2"/>
        <v>3</v>
      </c>
      <c r="G77" s="126">
        <f t="shared" si="3"/>
        <v>0</v>
      </c>
      <c r="H77" s="1098">
        <f t="shared" si="27"/>
        <v>0</v>
      </c>
      <c r="I77" s="887">
        <f t="shared" si="21"/>
        <v>58</v>
      </c>
      <c r="J77" s="1099">
        <f t="shared" si="9"/>
        <v>58</v>
      </c>
      <c r="K77" s="891" t="str">
        <f t="shared" si="10"/>
        <v>March</v>
      </c>
      <c r="L77" s="888">
        <f t="shared" si="22"/>
        <v>2035</v>
      </c>
      <c r="M77" s="883">
        <f t="shared" si="23"/>
        <v>0</v>
      </c>
      <c r="N77" s="883">
        <f t="shared" si="11"/>
        <v>0</v>
      </c>
      <c r="O77" s="1100"/>
      <c r="P77" s="883">
        <f t="shared" si="12"/>
        <v>0</v>
      </c>
      <c r="Q77" s="884">
        <f t="shared" si="13"/>
        <v>0</v>
      </c>
      <c r="R77" s="884">
        <f>IF(AND($AR$39="Early Payoff",I77&gt;=$R$13),0,IF($I77&lt;=$R$6,SUM($P$20:$P77),0))</f>
        <v>0</v>
      </c>
      <c r="S77" s="884">
        <f>IF(AND($AR$39="Early Payoff",I77&gt;=$R$13),0,IF($I77&lt;=$R$6,SUM($Q$20:$Q77),0))</f>
        <v>0</v>
      </c>
      <c r="T77" s="873">
        <f t="shared" si="14"/>
        <v>0</v>
      </c>
      <c r="U77" s="1110">
        <f t="shared" si="4"/>
        <v>0</v>
      </c>
      <c r="W77" s="1102">
        <f t="shared" si="5"/>
        <v>0</v>
      </c>
      <c r="X77" s="873">
        <f t="shared" si="6"/>
        <v>0</v>
      </c>
      <c r="Y77" s="873">
        <f t="shared" si="7"/>
        <v>0</v>
      </c>
      <c r="Z77" s="885">
        <f t="shared" si="8"/>
        <v>0</v>
      </c>
    </row>
    <row r="78" spans="1:26" s="278" customFormat="1" ht="12" customHeight="1" x14ac:dyDescent="0.25">
      <c r="B78" s="1192">
        <f t="shared" si="20"/>
        <v>78</v>
      </c>
      <c r="C78" s="732">
        <f t="shared" si="0"/>
        <v>30</v>
      </c>
      <c r="D78" s="35">
        <f t="shared" si="1"/>
        <v>4</v>
      </c>
      <c r="E78" s="889">
        <f t="shared" si="26"/>
        <v>49429</v>
      </c>
      <c r="F78" s="822">
        <f t="shared" si="2"/>
        <v>4</v>
      </c>
      <c r="G78" s="126">
        <f t="shared" si="3"/>
        <v>0</v>
      </c>
      <c r="H78" s="1098">
        <f t="shared" si="27"/>
        <v>0</v>
      </c>
      <c r="I78" s="887">
        <f t="shared" si="21"/>
        <v>59</v>
      </c>
      <c r="J78" s="1099">
        <f t="shared" si="9"/>
        <v>59</v>
      </c>
      <c r="K78" s="891" t="str">
        <f t="shared" si="10"/>
        <v>April</v>
      </c>
      <c r="L78" s="888">
        <f t="shared" si="22"/>
        <v>2035</v>
      </c>
      <c r="M78" s="883">
        <f t="shared" si="23"/>
        <v>0</v>
      </c>
      <c r="N78" s="883">
        <f t="shared" si="11"/>
        <v>0</v>
      </c>
      <c r="O78" s="1100"/>
      <c r="P78" s="883">
        <f t="shared" si="12"/>
        <v>0</v>
      </c>
      <c r="Q78" s="884">
        <f t="shared" si="13"/>
        <v>0</v>
      </c>
      <c r="R78" s="884">
        <f>IF(AND($AR$39="Early Payoff",I78&gt;=$R$13),0,IF($I78&lt;=$R$6,SUM($P$20:$P78),0))</f>
        <v>0</v>
      </c>
      <c r="S78" s="884">
        <f>IF(AND($AR$39="Early Payoff",I78&gt;=$R$13),0,IF($I78&lt;=$R$6,SUM($Q$20:$Q78),0))</f>
        <v>0</v>
      </c>
      <c r="T78" s="873">
        <f t="shared" si="14"/>
        <v>0</v>
      </c>
      <c r="U78" s="1110">
        <f t="shared" si="4"/>
        <v>0</v>
      </c>
      <c r="W78" s="1102">
        <f t="shared" si="5"/>
        <v>0</v>
      </c>
      <c r="X78" s="873">
        <f t="shared" si="6"/>
        <v>0</v>
      </c>
      <c r="Y78" s="873">
        <f t="shared" si="7"/>
        <v>0</v>
      </c>
      <c r="Z78" s="885">
        <f t="shared" si="8"/>
        <v>0</v>
      </c>
    </row>
    <row r="79" spans="1:26" s="278" customFormat="1" ht="12" customHeight="1" x14ac:dyDescent="0.25">
      <c r="B79" s="1192">
        <f t="shared" si="20"/>
        <v>79</v>
      </c>
      <c r="C79" s="732">
        <f t="shared" si="0"/>
        <v>31</v>
      </c>
      <c r="D79" s="35">
        <f t="shared" si="1"/>
        <v>5</v>
      </c>
      <c r="E79" s="889">
        <f t="shared" si="26"/>
        <v>49460</v>
      </c>
      <c r="F79" s="822">
        <f t="shared" si="2"/>
        <v>5</v>
      </c>
      <c r="G79" s="126">
        <f t="shared" si="3"/>
        <v>0</v>
      </c>
      <c r="H79" s="1098">
        <f t="shared" si="27"/>
        <v>0</v>
      </c>
      <c r="I79" s="887">
        <f t="shared" si="21"/>
        <v>60</v>
      </c>
      <c r="J79" s="1099">
        <f t="shared" si="9"/>
        <v>60</v>
      </c>
      <c r="K79" s="891" t="str">
        <f t="shared" si="10"/>
        <v>May</v>
      </c>
      <c r="L79" s="888">
        <f t="shared" si="22"/>
        <v>2035</v>
      </c>
      <c r="M79" s="883">
        <f t="shared" si="23"/>
        <v>0</v>
      </c>
      <c r="N79" s="883">
        <f t="shared" si="11"/>
        <v>0</v>
      </c>
      <c r="O79" s="1100"/>
      <c r="P79" s="883">
        <f t="shared" si="12"/>
        <v>0</v>
      </c>
      <c r="Q79" s="884">
        <f t="shared" si="13"/>
        <v>0</v>
      </c>
      <c r="R79" s="884">
        <f>IF(AND($AR$39="Early Payoff",I79&gt;=$R$13),0,IF($I79&lt;=$R$6,SUM($P$20:$P79),0))</f>
        <v>0</v>
      </c>
      <c r="S79" s="884">
        <f>IF(AND($AR$39="Early Payoff",I79&gt;=$R$13),0,IF($I79&lt;=$R$6,SUM($Q$20:$Q79),0))</f>
        <v>0</v>
      </c>
      <c r="T79" s="873">
        <f t="shared" si="14"/>
        <v>0</v>
      </c>
      <c r="U79" s="1110">
        <f t="shared" si="4"/>
        <v>0</v>
      </c>
      <c r="W79" s="1102">
        <f t="shared" si="5"/>
        <v>0</v>
      </c>
      <c r="X79" s="873">
        <f t="shared" si="6"/>
        <v>0</v>
      </c>
      <c r="Y79" s="873">
        <f t="shared" si="7"/>
        <v>0</v>
      </c>
      <c r="Z79" s="885">
        <f t="shared" si="8"/>
        <v>0</v>
      </c>
    </row>
    <row r="80" spans="1:26" s="278" customFormat="1" ht="12" customHeight="1" x14ac:dyDescent="0.25">
      <c r="B80" s="1192">
        <f t="shared" si="20"/>
        <v>80</v>
      </c>
      <c r="C80" s="732">
        <f t="shared" si="0"/>
        <v>30</v>
      </c>
      <c r="D80" s="35">
        <f t="shared" si="1"/>
        <v>6</v>
      </c>
      <c r="E80" s="889">
        <f t="shared" si="26"/>
        <v>49490</v>
      </c>
      <c r="F80" s="822">
        <f t="shared" si="2"/>
        <v>6</v>
      </c>
      <c r="G80" s="126">
        <f t="shared" si="3"/>
        <v>0</v>
      </c>
      <c r="H80" s="1098">
        <f t="shared" si="27"/>
        <v>0</v>
      </c>
      <c r="I80" s="887">
        <f t="shared" si="21"/>
        <v>61</v>
      </c>
      <c r="J80" s="1099">
        <f t="shared" si="9"/>
        <v>61</v>
      </c>
      <c r="K80" s="891" t="str">
        <f t="shared" si="10"/>
        <v>June</v>
      </c>
      <c r="L80" s="888">
        <f t="shared" si="22"/>
        <v>2035</v>
      </c>
      <c r="M80" s="883">
        <f t="shared" si="23"/>
        <v>0</v>
      </c>
      <c r="N80" s="883">
        <f t="shared" si="11"/>
        <v>0</v>
      </c>
      <c r="O80" s="1100"/>
      <c r="P80" s="883">
        <f t="shared" si="12"/>
        <v>0</v>
      </c>
      <c r="Q80" s="884">
        <f t="shared" si="13"/>
        <v>0</v>
      </c>
      <c r="R80" s="884">
        <f>IF(AND($AR$39="Early Payoff",I80&gt;=$R$13),0,IF($I80&lt;=$R$6,SUM($P$20:$P80),0))</f>
        <v>0</v>
      </c>
      <c r="S80" s="884">
        <f>IF(AND($AR$39="Early Payoff",I80&gt;=$R$13),0,IF($I80&lt;=$R$6,SUM($Q$20:$Q80),0))</f>
        <v>0</v>
      </c>
      <c r="T80" s="873">
        <f t="shared" si="14"/>
        <v>0</v>
      </c>
      <c r="U80" s="1110">
        <f t="shared" si="4"/>
        <v>0</v>
      </c>
      <c r="W80" s="1102">
        <f t="shared" si="5"/>
        <v>0</v>
      </c>
      <c r="X80" s="873">
        <f t="shared" si="6"/>
        <v>0</v>
      </c>
      <c r="Y80" s="873">
        <f t="shared" si="7"/>
        <v>0</v>
      </c>
      <c r="Z80" s="885">
        <f t="shared" si="8"/>
        <v>0</v>
      </c>
    </row>
    <row r="81" spans="2:26" s="278" customFormat="1" ht="12" customHeight="1" x14ac:dyDescent="0.25">
      <c r="B81" s="1192">
        <f t="shared" si="20"/>
        <v>81</v>
      </c>
      <c r="C81" s="732">
        <f t="shared" si="0"/>
        <v>31</v>
      </c>
      <c r="D81" s="35">
        <f t="shared" si="1"/>
        <v>7</v>
      </c>
      <c r="E81" s="889">
        <f t="shared" si="26"/>
        <v>49521</v>
      </c>
      <c r="F81" s="822">
        <f t="shared" si="2"/>
        <v>7</v>
      </c>
      <c r="G81" s="126">
        <f t="shared" si="3"/>
        <v>0</v>
      </c>
      <c r="H81" s="1098">
        <f t="shared" si="27"/>
        <v>0</v>
      </c>
      <c r="I81" s="887">
        <f t="shared" si="21"/>
        <v>62</v>
      </c>
      <c r="J81" s="1099">
        <f t="shared" si="9"/>
        <v>62</v>
      </c>
      <c r="K81" s="891" t="str">
        <f t="shared" si="10"/>
        <v>July</v>
      </c>
      <c r="L81" s="888">
        <f t="shared" si="22"/>
        <v>2035</v>
      </c>
      <c r="M81" s="883">
        <f t="shared" si="23"/>
        <v>0</v>
      </c>
      <c r="N81" s="883">
        <f t="shared" si="11"/>
        <v>0</v>
      </c>
      <c r="O81" s="1100"/>
      <c r="P81" s="883">
        <f t="shared" si="12"/>
        <v>0</v>
      </c>
      <c r="Q81" s="884">
        <f t="shared" si="13"/>
        <v>0</v>
      </c>
      <c r="R81" s="884">
        <f>IF(AND($AR$39="Early Payoff",I81&gt;=$R$13),0,IF($I81&lt;=$R$6,SUM($P$20:$P81),0))</f>
        <v>0</v>
      </c>
      <c r="S81" s="884">
        <f>IF(AND($AR$39="Early Payoff",I81&gt;=$R$13),0,IF($I81&lt;=$R$6,SUM($Q$20:$Q81),0))</f>
        <v>0</v>
      </c>
      <c r="T81" s="873">
        <f t="shared" si="14"/>
        <v>0</v>
      </c>
      <c r="U81" s="1110">
        <f t="shared" si="4"/>
        <v>0</v>
      </c>
      <c r="W81" s="1102">
        <f t="shared" si="5"/>
        <v>0</v>
      </c>
      <c r="X81" s="873">
        <f t="shared" si="6"/>
        <v>0</v>
      </c>
      <c r="Y81" s="873">
        <f t="shared" si="7"/>
        <v>0</v>
      </c>
      <c r="Z81" s="885">
        <f t="shared" si="8"/>
        <v>0</v>
      </c>
    </row>
    <row r="82" spans="2:26" s="278" customFormat="1" ht="12" customHeight="1" x14ac:dyDescent="0.25">
      <c r="B82" s="1192">
        <f t="shared" si="20"/>
        <v>82</v>
      </c>
      <c r="C82" s="732">
        <f t="shared" si="0"/>
        <v>31</v>
      </c>
      <c r="D82" s="35">
        <f t="shared" si="1"/>
        <v>8</v>
      </c>
      <c r="E82" s="889">
        <f t="shared" si="26"/>
        <v>49552</v>
      </c>
      <c r="F82" s="822">
        <f t="shared" si="2"/>
        <v>8</v>
      </c>
      <c r="G82" s="126">
        <f t="shared" si="3"/>
        <v>0</v>
      </c>
      <c r="H82" s="1098">
        <f t="shared" si="27"/>
        <v>0</v>
      </c>
      <c r="I82" s="887">
        <f t="shared" si="21"/>
        <v>63</v>
      </c>
      <c r="J82" s="1099">
        <f t="shared" si="9"/>
        <v>63</v>
      </c>
      <c r="K82" s="891" t="str">
        <f t="shared" si="10"/>
        <v>August</v>
      </c>
      <c r="L82" s="888">
        <f t="shared" si="22"/>
        <v>2035</v>
      </c>
      <c r="M82" s="883">
        <f t="shared" si="23"/>
        <v>0</v>
      </c>
      <c r="N82" s="883">
        <f t="shared" si="11"/>
        <v>0</v>
      </c>
      <c r="O82" s="1100"/>
      <c r="P82" s="883">
        <f t="shared" si="12"/>
        <v>0</v>
      </c>
      <c r="Q82" s="884">
        <f t="shared" si="13"/>
        <v>0</v>
      </c>
      <c r="R82" s="884">
        <f>IF(AND($AR$39="Early Payoff",I82&gt;=$R$13),0,IF($I82&lt;=$R$6,SUM($P$20:$P82),0))</f>
        <v>0</v>
      </c>
      <c r="S82" s="884">
        <f>IF(AND($AR$39="Early Payoff",I82&gt;=$R$13),0,IF($I82&lt;=$R$6,SUM($Q$20:$Q82),0))</f>
        <v>0</v>
      </c>
      <c r="T82" s="873">
        <f t="shared" si="14"/>
        <v>0</v>
      </c>
      <c r="U82" s="1110">
        <f t="shared" si="4"/>
        <v>0</v>
      </c>
      <c r="W82" s="1102">
        <f t="shared" si="5"/>
        <v>0</v>
      </c>
      <c r="X82" s="873">
        <f t="shared" si="6"/>
        <v>0</v>
      </c>
      <c r="Y82" s="873">
        <f t="shared" si="7"/>
        <v>0</v>
      </c>
      <c r="Z82" s="885">
        <f t="shared" si="8"/>
        <v>0</v>
      </c>
    </row>
    <row r="83" spans="2:26" s="278" customFormat="1" ht="12" customHeight="1" x14ac:dyDescent="0.25">
      <c r="B83" s="1192">
        <f t="shared" si="20"/>
        <v>83</v>
      </c>
      <c r="C83" s="732">
        <f t="shared" si="0"/>
        <v>30</v>
      </c>
      <c r="D83" s="35">
        <f t="shared" si="1"/>
        <v>9</v>
      </c>
      <c r="E83" s="889">
        <f t="shared" si="26"/>
        <v>49582</v>
      </c>
      <c r="F83" s="822">
        <f t="shared" si="2"/>
        <v>9</v>
      </c>
      <c r="G83" s="126">
        <f t="shared" si="3"/>
        <v>0</v>
      </c>
      <c r="H83" s="1098">
        <f t="shared" si="27"/>
        <v>0</v>
      </c>
      <c r="I83" s="887">
        <f t="shared" si="21"/>
        <v>64</v>
      </c>
      <c r="J83" s="1099">
        <f t="shared" si="9"/>
        <v>64</v>
      </c>
      <c r="K83" s="891" t="str">
        <f t="shared" si="10"/>
        <v>September</v>
      </c>
      <c r="L83" s="888">
        <f t="shared" si="22"/>
        <v>2035</v>
      </c>
      <c r="M83" s="883">
        <f t="shared" si="23"/>
        <v>0</v>
      </c>
      <c r="N83" s="883">
        <f t="shared" si="11"/>
        <v>0</v>
      </c>
      <c r="O83" s="1100"/>
      <c r="P83" s="883">
        <f t="shared" si="12"/>
        <v>0</v>
      </c>
      <c r="Q83" s="884">
        <f t="shared" si="13"/>
        <v>0</v>
      </c>
      <c r="R83" s="884">
        <f>IF(AND($AR$39="Early Payoff",I83&gt;=$R$13),0,IF($I83&lt;=$R$6,SUM($P$20:$P83),0))</f>
        <v>0</v>
      </c>
      <c r="S83" s="884">
        <f>IF(AND($AR$39="Early Payoff",I83&gt;=$R$13),0,IF($I83&lt;=$R$6,SUM($Q$20:$Q83),0))</f>
        <v>0</v>
      </c>
      <c r="T83" s="873">
        <f t="shared" si="14"/>
        <v>0</v>
      </c>
      <c r="U83" s="1110">
        <f t="shared" si="4"/>
        <v>0</v>
      </c>
      <c r="W83" s="1102">
        <f t="shared" si="5"/>
        <v>0</v>
      </c>
      <c r="X83" s="873">
        <f t="shared" si="6"/>
        <v>0</v>
      </c>
      <c r="Y83" s="873">
        <f t="shared" si="7"/>
        <v>0</v>
      </c>
      <c r="Z83" s="885">
        <f t="shared" si="8"/>
        <v>0</v>
      </c>
    </row>
    <row r="84" spans="2:26" s="278" customFormat="1" ht="12" customHeight="1" x14ac:dyDescent="0.25">
      <c r="B84" s="1192">
        <f t="shared" si="20"/>
        <v>84</v>
      </c>
      <c r="C84" s="732">
        <f t="shared" ref="C84:C147" si="32">DAY(EOMONTH(DATE($L84,$D84,1),0))</f>
        <v>31</v>
      </c>
      <c r="D84" s="35">
        <f t="shared" ref="D84:D147" si="33">INDEX($AS$22:$AT$34,MATCH($K84,$AS$22:$AS$34,0),MATCH("Number",$AS$22:$AT$22,0))</f>
        <v>10</v>
      </c>
      <c r="E84" s="889">
        <f t="shared" si="26"/>
        <v>49613</v>
      </c>
      <c r="F84" s="822">
        <f t="shared" ref="F84:F147" si="34">INDEX($AS$22:$AT$34,MATCH($K84,$AS$22:$AS$34,0),MATCH("Number",$AS$22:$AT$22,0))</f>
        <v>10</v>
      </c>
      <c r="G84" s="126">
        <f t="shared" ref="G84:G147" si="35">IF($S$4="Monthly",INDEX($AS$36:$AT$48,MATCH($K84,$AS$36:$AS$48,0),MATCH("Number",$AS$36:$AT$36,0)),0)</f>
        <v>0</v>
      </c>
      <c r="H84" s="1098">
        <f t="shared" si="27"/>
        <v>0</v>
      </c>
      <c r="I84" s="887">
        <f t="shared" si="21"/>
        <v>65</v>
      </c>
      <c r="J84" s="1099">
        <f t="shared" si="9"/>
        <v>65</v>
      </c>
      <c r="K84" s="891" t="str">
        <f t="shared" si="10"/>
        <v>October</v>
      </c>
      <c r="L84" s="888">
        <f t="shared" si="22"/>
        <v>2035</v>
      </c>
      <c r="M84" s="883">
        <f t="shared" si="23"/>
        <v>0</v>
      </c>
      <c r="N84" s="883">
        <f t="shared" si="11"/>
        <v>0</v>
      </c>
      <c r="O84" s="1100"/>
      <c r="P84" s="883">
        <f t="shared" ref="P84:P147" si="36">IF(AND($AR$39="Early Payoff",I84&gt;=$R$13),0,IF($I84&gt;$R$6,0,IF(AND($AQ$29&gt;0,$I84&lt;=$AQ$29),0,+$N84-$Q84)))</f>
        <v>0</v>
      </c>
      <c r="Q84" s="884">
        <f t="shared" si="13"/>
        <v>0</v>
      </c>
      <c r="R84" s="884">
        <f>IF(AND($AR$39="Early Payoff",I84&gt;=$R$13),0,IF($I84&lt;=$R$6,SUM($P$20:$P84),0))</f>
        <v>0</v>
      </c>
      <c r="S84" s="884">
        <f>IF(AND($AR$39="Early Payoff",I84&gt;=$R$13),0,IF($I84&lt;=$R$6,SUM($Q$20:$Q84),0))</f>
        <v>0</v>
      </c>
      <c r="T84" s="873">
        <f t="shared" si="14"/>
        <v>0</v>
      </c>
      <c r="U84" s="1110">
        <f t="shared" ref="U84:U86" si="37">IF($S$4="Monthly",$M84,IF(AND(OR($S$4="Annual",$S$4="Bi-Annual"),$I84=$AQ$49),INDEX($I$19:$T$379,MATCH($AQ$49,$I$19:$I$2379,0),MATCH($T$19,$I$19:$T$19,0)),IF(AND(OR($S$4="Annual",$S$4="Bi-Annual"),$I84&lt;=$AQ$49),$M84,0)))</f>
        <v>0</v>
      </c>
      <c r="W84" s="1102">
        <f t="shared" ref="W84:W147" si="38">IF($I84&gt;$R$6,0,IF($I84&lt;=$AQ$27,0,IF(AND($X$5="%/Payment",$Z$5=0),$N84*$Y$5,IF(AND($X$5="%/Payment",$Z$5&gt;0,($N84*$Y$5)&lt;$Z$5),$N84*$Y$5,IF(AND($X$5="%/Payment",$Z$5&gt;0,($N84*$Y$5)&gt;$Z$5),-$Z$5,IF(AND($X$5="%/Balance",$Z$5=0),-$T84*$Y$5,IF(AND($X$5="%/Balance",$Z$5&gt;0,($T84*$Y$5)&lt;$Z$5),-$T84*$Y$5,IF(AND($X$5="%/Balance",$Z$5&gt;0,($T84*$Y$5)&gt;$Z$5),-$Z$5,IF($X$5="Fixed Amount",-$Y$5,IF($X$5="N/A",0))))))))))</f>
        <v>0</v>
      </c>
      <c r="X84" s="873">
        <f t="shared" ref="X84:X147" si="39">IF($I84&gt;$R$6,0,IF($I84&lt;=$AQ$27,0,IF(AND($X$6="%/Payment",$Z$6=0),$N84*$Y$6,IF(AND($X$6="%/Payment",$Z$6&gt;0,($N84*$Y$6)&lt;$Z$6),$N84*$Y$6,IF(AND($X$6="%/Payment",$Z$6&gt;0,($N84*$Y$6)&gt;$Z$6),-$Z$6,IF(AND($X$6="%/Balance",$Z$6=0),-$T84*$Y$6,IF(AND($X$6="%/Balance",$Z$6&gt;0,($T84*$Y$6)&lt;$Z$6),-$T84*$Y$6,IF(AND($X$6="%/Balance",$Z$6&gt;0,($T84*$Y$6)&gt;$Z$6),-$Z$6,IF($X$6="Fixed Amount",-$Y$6,IF($X$6="N/A",0))))))))))</f>
        <v>0</v>
      </c>
      <c r="Y84" s="873">
        <f t="shared" ref="Y84:Y147" si="40">IF($I84&gt;$R$6,0,IF($I84&lt;=$AQ$27,0,IF(AND($X$7="%/Payment",$Z$7=0),$N84*$Y$7,IF(AND($X$7="%/Payment",$Z$7&gt;0,($N84*$Y$7)&lt;$Z$7),$N84*$Y$7,IF(AND($X$7="%/Payment",$Z$7&gt;0,($N84*$Y$7)&gt;$Z$7),-$Z$7,IF(AND($X$7="%/Balance",$Z$7=0),-$T84*$Y$7,IF(AND($X$7="%/Balance",$Z$7&gt;0,($T84*$Y$7)&lt;$Z$7),-$T84*$Y$7,IF(AND($X$7="%/Balance",$Z$7&gt;0,($N84*$Y$7)&gt;$Z$7),-$Z$7,IF($X$7="Fixed Amount",-$Y$7,IF($X$7="N/A",0))))))))))</f>
        <v>0</v>
      </c>
      <c r="Z84" s="885">
        <f t="shared" ref="Z84:Z147" si="41">SUM($N84,$W84:$Y84)</f>
        <v>0</v>
      </c>
    </row>
    <row r="85" spans="2:26" s="278" customFormat="1" ht="12" customHeight="1" x14ac:dyDescent="0.25">
      <c r="B85" s="1192">
        <f t="shared" si="20"/>
        <v>85</v>
      </c>
      <c r="C85" s="732">
        <f t="shared" si="32"/>
        <v>30</v>
      </c>
      <c r="D85" s="35">
        <f t="shared" si="33"/>
        <v>11</v>
      </c>
      <c r="E85" s="889">
        <f t="shared" si="26"/>
        <v>49643</v>
      </c>
      <c r="F85" s="822">
        <f t="shared" si="34"/>
        <v>11</v>
      </c>
      <c r="G85" s="126">
        <f t="shared" si="35"/>
        <v>0</v>
      </c>
      <c r="H85" s="1098">
        <f t="shared" si="27"/>
        <v>0</v>
      </c>
      <c r="I85" s="887">
        <f t="shared" si="21"/>
        <v>66</v>
      </c>
      <c r="J85" s="1099">
        <f t="shared" ref="J85:J148" si="42">IF($I85&lt;=$AQ$29,0,IF($I84&gt;=$AQ$29,$J84+1))</f>
        <v>66</v>
      </c>
      <c r="K85" s="891" t="str">
        <f t="shared" ref="K85:K148" si="43">IF($S$4="Annual",$Q$5,IF(AND($S$4="Bi-Annual",$F84&lt;MAX($Q$4,$R$4)),INDEX($AT$22:$AU$34,MATCH(MAX($Q$4,$R$4),$AT$22:$AT$34,0),MATCH("Month",$AT$22:$AU$22,0)),IF(AND($S$4="Bi-Annual",$F84=MAX($Q$4,$R$4)),INDEX($AT$22:$AU$34,MATCH(MIN($Q$4,$R$4),$AT$22:$AT$34,0),MATCH("Month",$AT$22:$AU$22,0)),IF(AND($S$4="Monthly",$F84&lt;12),INDEX($AT$22:$AU$34,MATCH($F84+1,$AT$22:$AT$34,0),MATCH("Month",$AT$22:$AU$22,0)),IF(AND($S$4="Monthly",$F84=12),INDEX($AT$22:$AU$34,MATCH($F84-11,$AT$22:$AT$34,0),MATCH("Month",$AT$22:$AU$22,0)))))))</f>
        <v>November</v>
      </c>
      <c r="L85" s="888">
        <f t="shared" si="22"/>
        <v>2035</v>
      </c>
      <c r="M85" s="883">
        <f t="shared" ref="M85:M148" si="44">IF(AND($AR$39="Early Payoff",$I85&gt;$R$13),0,IF(AND($AR$39="Early Payoff",$I85&lt;$R$13),$T84,IF($I85&gt;$R$6,0,$T84)))</f>
        <v>0</v>
      </c>
      <c r="N85" s="883">
        <f t="shared" ref="N85:N148" si="45">IF(AND($AR$39="Early Payoff",I85&gt;=$R$13),0,IF($I85&gt;$R$6,0,IF(AND($AQ$29&gt;=0,$I85&lt;=$AQ$29),0,IF(AND($AQ$27&gt;=0,$I85&lt;=$AQ$27),$Q85,IF(AND($S$4="Annual",$AQ$27&gt;=0,$AQ$29&gt;=0,$I85&gt;$AQ$27,$I85&gt;$AQ$29),PMT($L$7,($R$6-$AQ$27),$L$4),IF(AND($S$4="Bi-Annual",$AQ$27&gt;=0,$AQ$29&gt;=0,$I85&gt;$AQ$27,$I85&gt;$AQ$29),PMT($L$7/2,($R$6-$AQ$27),$L$4),IF(AND($S$4="Monthly",$AQ$27&gt;=0,$AQ$29&gt;=0,$I85&gt;$AQ$27,$I85&gt;$AQ$29),PMT($L$7/12,($R$6-$AQ$27),$L$4))))))))-O85</f>
        <v>0</v>
      </c>
      <c r="O85" s="1100"/>
      <c r="P85" s="883">
        <f t="shared" si="36"/>
        <v>0</v>
      </c>
      <c r="Q85" s="884">
        <f t="shared" ref="Q85:Q148" si="46">IF(AND($AR$39="Early Payoff",I85&gt;=$R$13),0,IF($S$4="Annual",-$L$7*$T84*1,IF($S$4="Bi-Annual",(-$L$7/2)*$T84*1,IF($S$4="Monthly",(-$L$7/12)*$T84*1))))</f>
        <v>0</v>
      </c>
      <c r="R85" s="884">
        <f>IF(AND($AR$39="Early Payoff",I85&gt;=$R$13),0,IF($I85&lt;=$R$6,SUM($P$20:$P85),0))</f>
        <v>0</v>
      </c>
      <c r="S85" s="884">
        <f>IF(AND($AR$39="Early Payoff",I85&gt;=$R$13),0,IF($I85&lt;=$R$6,SUM($Q$20:$Q85),0))</f>
        <v>0</v>
      </c>
      <c r="T85" s="873">
        <f t="shared" ref="T85:T148" si="47">IF($J85&lt;=$R$13,SUM($M85,$P85),0)</f>
        <v>0</v>
      </c>
      <c r="U85" s="1110">
        <f t="shared" si="37"/>
        <v>0</v>
      </c>
      <c r="W85" s="1102">
        <f t="shared" si="38"/>
        <v>0</v>
      </c>
      <c r="X85" s="873">
        <f t="shared" si="39"/>
        <v>0</v>
      </c>
      <c r="Y85" s="873">
        <f t="shared" si="40"/>
        <v>0</v>
      </c>
      <c r="Z85" s="885">
        <f t="shared" si="41"/>
        <v>0</v>
      </c>
    </row>
    <row r="86" spans="2:26" s="278" customFormat="1" ht="12" customHeight="1" x14ac:dyDescent="0.25">
      <c r="B86" s="1192">
        <f t="shared" ref="B86:B149" si="48">B85+1</f>
        <v>86</v>
      </c>
      <c r="C86" s="732">
        <f t="shared" si="32"/>
        <v>31</v>
      </c>
      <c r="D86" s="35">
        <f t="shared" si="33"/>
        <v>12</v>
      </c>
      <c r="E86" s="889">
        <f t="shared" si="26"/>
        <v>49674</v>
      </c>
      <c r="F86" s="822">
        <f t="shared" si="34"/>
        <v>12</v>
      </c>
      <c r="G86" s="126">
        <f t="shared" si="35"/>
        <v>1</v>
      </c>
      <c r="H86" s="1098">
        <f t="shared" si="27"/>
        <v>0</v>
      </c>
      <c r="I86" s="887">
        <f t="shared" ref="I86:I149" si="49">I85+1</f>
        <v>67</v>
      </c>
      <c r="J86" s="1099">
        <f t="shared" si="42"/>
        <v>67</v>
      </c>
      <c r="K86" s="891" t="str">
        <f t="shared" si="43"/>
        <v>December</v>
      </c>
      <c r="L86" s="888">
        <f t="shared" ref="L86:L149" si="50">IF($S$4="Annual",$L85+$H86,IF($S$4="Bi-Annual",$L85+$H85,IF($S$4="Monthly",$L85+$G85)))</f>
        <v>2035</v>
      </c>
      <c r="M86" s="883">
        <f t="shared" si="44"/>
        <v>0</v>
      </c>
      <c r="N86" s="883">
        <f t="shared" si="45"/>
        <v>0</v>
      </c>
      <c r="O86" s="1100"/>
      <c r="P86" s="883">
        <f t="shared" si="36"/>
        <v>0</v>
      </c>
      <c r="Q86" s="884">
        <f t="shared" si="46"/>
        <v>0</v>
      </c>
      <c r="R86" s="884">
        <f>IF(AND($AR$39="Early Payoff",I86&gt;=$R$13),0,IF($I86&lt;=$R$6,SUM($P$20:$P86),0))</f>
        <v>0</v>
      </c>
      <c r="S86" s="884">
        <f>IF(AND($AR$39="Early Payoff",I86&gt;=$R$13),0,IF($I86&lt;=$R$6,SUM($Q$20:$Q86),0))</f>
        <v>0</v>
      </c>
      <c r="T86" s="873">
        <f t="shared" si="47"/>
        <v>0</v>
      </c>
      <c r="U86" s="1110">
        <f t="shared" si="37"/>
        <v>0</v>
      </c>
      <c r="W86" s="1102">
        <f t="shared" si="38"/>
        <v>0</v>
      </c>
      <c r="X86" s="873">
        <f t="shared" si="39"/>
        <v>0</v>
      </c>
      <c r="Y86" s="873">
        <f t="shared" si="40"/>
        <v>0</v>
      </c>
      <c r="Z86" s="885">
        <f t="shared" si="41"/>
        <v>0</v>
      </c>
    </row>
    <row r="87" spans="2:26" s="278" customFormat="1" ht="12" customHeight="1" x14ac:dyDescent="0.25">
      <c r="B87" s="1192">
        <f t="shared" si="48"/>
        <v>87</v>
      </c>
      <c r="C87" s="732">
        <f t="shared" si="32"/>
        <v>31</v>
      </c>
      <c r="D87" s="35">
        <f t="shared" si="33"/>
        <v>1</v>
      </c>
      <c r="E87" s="889">
        <f t="shared" ref="E87:E150" si="51">DATE(L87,D87,C87)</f>
        <v>49705</v>
      </c>
      <c r="F87" s="822">
        <f t="shared" si="34"/>
        <v>1</v>
      </c>
      <c r="G87" s="126">
        <f t="shared" si="35"/>
        <v>0</v>
      </c>
      <c r="H87" s="1098">
        <f t="shared" ref="H87:H150" si="52">IF($S$4="Annual",1,IF(AND($S$4="Bi-Annual",$F87&gt;$F88),1,IF(AND($S$4="Bi-Annual",$F87&lt;$F88),0,IF($S$4="Monthly",0,))))</f>
        <v>0</v>
      </c>
      <c r="I87" s="887">
        <f t="shared" si="49"/>
        <v>68</v>
      </c>
      <c r="J87" s="1099">
        <f t="shared" si="42"/>
        <v>68</v>
      </c>
      <c r="K87" s="891" t="str">
        <f t="shared" si="43"/>
        <v>January</v>
      </c>
      <c r="L87" s="888">
        <f t="shared" si="50"/>
        <v>2036</v>
      </c>
      <c r="M87" s="883">
        <f t="shared" si="44"/>
        <v>0</v>
      </c>
      <c r="N87" s="883">
        <f t="shared" si="45"/>
        <v>0</v>
      </c>
      <c r="O87" s="1100"/>
      <c r="P87" s="883">
        <f t="shared" si="36"/>
        <v>0</v>
      </c>
      <c r="Q87" s="884">
        <f t="shared" si="46"/>
        <v>0</v>
      </c>
      <c r="R87" s="884">
        <f>IF(AND($AR$39="Early Payoff",I87&gt;=$R$13),0,IF($I87&lt;=$R$6,SUM($P$20:$P87),0))</f>
        <v>0</v>
      </c>
      <c r="S87" s="884">
        <f>IF(AND($AR$39="Early Payoff",I87&gt;=$R$13),0,IF($I87&lt;=$R$6,SUM($Q$20:$Q87),0))</f>
        <v>0</v>
      </c>
      <c r="T87" s="873">
        <f t="shared" si="47"/>
        <v>0</v>
      </c>
      <c r="U87" s="1110">
        <f>IF($S$4="Monthly",$M87,IF(AND(OR($S$4="Annual",$S$4="Bi-Annual"),$I87=$AQ$49),INDEX($I$19:$T$379,MATCH($AQ$49,$I$19:$I$2379,0),MATCH($T$19,$I$19:$T$19,0)),IF(AND(OR($S$4="Annual",$S$4="Bi-Annual"),$I87&lt;=$AQ$49),$M87,0)))</f>
        <v>0</v>
      </c>
      <c r="W87" s="1102">
        <f t="shared" si="38"/>
        <v>0</v>
      </c>
      <c r="X87" s="873">
        <f t="shared" si="39"/>
        <v>0</v>
      </c>
      <c r="Y87" s="873">
        <f t="shared" si="40"/>
        <v>0</v>
      </c>
      <c r="Z87" s="885">
        <f t="shared" si="41"/>
        <v>0</v>
      </c>
    </row>
    <row r="88" spans="2:26" s="278" customFormat="1" ht="12" customHeight="1" x14ac:dyDescent="0.25">
      <c r="B88" s="1192">
        <f t="shared" si="48"/>
        <v>88</v>
      </c>
      <c r="C88" s="732">
        <f t="shared" si="32"/>
        <v>29</v>
      </c>
      <c r="D88" s="35">
        <f t="shared" si="33"/>
        <v>2</v>
      </c>
      <c r="E88" s="889">
        <f t="shared" si="51"/>
        <v>49734</v>
      </c>
      <c r="F88" s="822">
        <f t="shared" si="34"/>
        <v>2</v>
      </c>
      <c r="G88" s="126">
        <f t="shared" si="35"/>
        <v>0</v>
      </c>
      <c r="H88" s="1098">
        <f t="shared" si="52"/>
        <v>0</v>
      </c>
      <c r="I88" s="887">
        <f t="shared" si="49"/>
        <v>69</v>
      </c>
      <c r="J88" s="1099">
        <f t="shared" si="42"/>
        <v>69</v>
      </c>
      <c r="K88" s="891" t="str">
        <f t="shared" si="43"/>
        <v>February</v>
      </c>
      <c r="L88" s="888">
        <f t="shared" si="50"/>
        <v>2036</v>
      </c>
      <c r="M88" s="883">
        <f t="shared" si="44"/>
        <v>0</v>
      </c>
      <c r="N88" s="883">
        <f t="shared" si="45"/>
        <v>0</v>
      </c>
      <c r="O88" s="1100"/>
      <c r="P88" s="883">
        <f t="shared" si="36"/>
        <v>0</v>
      </c>
      <c r="Q88" s="884">
        <f t="shared" si="46"/>
        <v>0</v>
      </c>
      <c r="R88" s="884">
        <f>IF(AND($AR$39="Early Payoff",I88&gt;=$R$13),0,IF($I88&lt;=$R$6,SUM($P$20:$P88),0))</f>
        <v>0</v>
      </c>
      <c r="S88" s="884">
        <f>IF(AND($AR$39="Early Payoff",I88&gt;=$R$13),0,IF($I88&lt;=$R$6,SUM($Q$20:$Q88),0))</f>
        <v>0</v>
      </c>
      <c r="T88" s="873">
        <f t="shared" si="47"/>
        <v>0</v>
      </c>
      <c r="U88" s="1110">
        <f t="shared" ref="U88:U151" si="53">IF($S$4="Monthly",$M88,IF(AND(OR($S$4="Annual",$S$4="Bi-Annual"),$I88=$AQ$49),INDEX($I$19:$T$379,MATCH($AQ$49,$I$19:$I$2379,0),MATCH($T$19,$I$19:$T$19,0)),IF(AND(OR($S$4="Annual",$S$4="Bi-Annual"),$I88&lt;=$AQ$49),$M88,0)))</f>
        <v>0</v>
      </c>
      <c r="W88" s="1102">
        <f t="shared" si="38"/>
        <v>0</v>
      </c>
      <c r="X88" s="873">
        <f t="shared" si="39"/>
        <v>0</v>
      </c>
      <c r="Y88" s="873">
        <f t="shared" si="40"/>
        <v>0</v>
      </c>
      <c r="Z88" s="885">
        <f t="shared" si="41"/>
        <v>0</v>
      </c>
    </row>
    <row r="89" spans="2:26" s="278" customFormat="1" ht="12" customHeight="1" x14ac:dyDescent="0.25">
      <c r="B89" s="1192">
        <f t="shared" si="48"/>
        <v>89</v>
      </c>
      <c r="C89" s="732">
        <f t="shared" si="32"/>
        <v>31</v>
      </c>
      <c r="D89" s="35">
        <f t="shared" si="33"/>
        <v>3</v>
      </c>
      <c r="E89" s="889">
        <f t="shared" si="51"/>
        <v>49765</v>
      </c>
      <c r="F89" s="822">
        <f t="shared" si="34"/>
        <v>3</v>
      </c>
      <c r="G89" s="126">
        <f t="shared" si="35"/>
        <v>0</v>
      </c>
      <c r="H89" s="1098">
        <f t="shared" si="52"/>
        <v>0</v>
      </c>
      <c r="I89" s="887">
        <f t="shared" si="49"/>
        <v>70</v>
      </c>
      <c r="J89" s="1099">
        <f t="shared" si="42"/>
        <v>70</v>
      </c>
      <c r="K89" s="891" t="str">
        <f t="shared" si="43"/>
        <v>March</v>
      </c>
      <c r="L89" s="888">
        <f t="shared" si="50"/>
        <v>2036</v>
      </c>
      <c r="M89" s="883">
        <f t="shared" si="44"/>
        <v>0</v>
      </c>
      <c r="N89" s="883">
        <f t="shared" si="45"/>
        <v>0</v>
      </c>
      <c r="O89" s="1100"/>
      <c r="P89" s="883">
        <f t="shared" si="36"/>
        <v>0</v>
      </c>
      <c r="Q89" s="884">
        <f t="shared" si="46"/>
        <v>0</v>
      </c>
      <c r="R89" s="884">
        <f>IF(AND($AR$39="Early Payoff",I89&gt;=$R$13),0,IF($I89&lt;=$R$6,SUM($P$20:$P89),0))</f>
        <v>0</v>
      </c>
      <c r="S89" s="884">
        <f>IF(AND($AR$39="Early Payoff",I89&gt;=$R$13),0,IF($I89&lt;=$R$6,SUM($Q$20:$Q89),0))</f>
        <v>0</v>
      </c>
      <c r="T89" s="873">
        <f t="shared" si="47"/>
        <v>0</v>
      </c>
      <c r="U89" s="1110">
        <f t="shared" si="53"/>
        <v>0</v>
      </c>
      <c r="W89" s="1102">
        <f t="shared" si="38"/>
        <v>0</v>
      </c>
      <c r="X89" s="873">
        <f t="shared" si="39"/>
        <v>0</v>
      </c>
      <c r="Y89" s="873">
        <f t="shared" si="40"/>
        <v>0</v>
      </c>
      <c r="Z89" s="885">
        <f t="shared" si="41"/>
        <v>0</v>
      </c>
    </row>
    <row r="90" spans="2:26" s="278" customFormat="1" ht="12" customHeight="1" x14ac:dyDescent="0.25">
      <c r="B90" s="1192">
        <f t="shared" si="48"/>
        <v>90</v>
      </c>
      <c r="C90" s="732">
        <f t="shared" si="32"/>
        <v>30</v>
      </c>
      <c r="D90" s="35">
        <f t="shared" si="33"/>
        <v>4</v>
      </c>
      <c r="E90" s="889">
        <f t="shared" si="51"/>
        <v>49795</v>
      </c>
      <c r="F90" s="822">
        <f t="shared" si="34"/>
        <v>4</v>
      </c>
      <c r="G90" s="126">
        <f t="shared" si="35"/>
        <v>0</v>
      </c>
      <c r="H90" s="1098">
        <f t="shared" si="52"/>
        <v>0</v>
      </c>
      <c r="I90" s="887">
        <f t="shared" si="49"/>
        <v>71</v>
      </c>
      <c r="J90" s="1099">
        <f t="shared" si="42"/>
        <v>71</v>
      </c>
      <c r="K90" s="891" t="str">
        <f t="shared" si="43"/>
        <v>April</v>
      </c>
      <c r="L90" s="888">
        <f t="shared" si="50"/>
        <v>2036</v>
      </c>
      <c r="M90" s="883">
        <f t="shared" si="44"/>
        <v>0</v>
      </c>
      <c r="N90" s="883">
        <f t="shared" si="45"/>
        <v>0</v>
      </c>
      <c r="O90" s="1100"/>
      <c r="P90" s="883">
        <f t="shared" si="36"/>
        <v>0</v>
      </c>
      <c r="Q90" s="884">
        <f t="shared" si="46"/>
        <v>0</v>
      </c>
      <c r="R90" s="884">
        <f>IF(AND($AR$39="Early Payoff",I90&gt;=$R$13),0,IF($I90&lt;=$R$6,SUM($P$20:$P90),0))</f>
        <v>0</v>
      </c>
      <c r="S90" s="884">
        <f>IF(AND($AR$39="Early Payoff",I90&gt;=$R$13),0,IF($I90&lt;=$R$6,SUM($Q$20:$Q90),0))</f>
        <v>0</v>
      </c>
      <c r="T90" s="873">
        <f t="shared" si="47"/>
        <v>0</v>
      </c>
      <c r="U90" s="1110">
        <f t="shared" si="53"/>
        <v>0</v>
      </c>
      <c r="W90" s="1102">
        <f t="shared" si="38"/>
        <v>0</v>
      </c>
      <c r="X90" s="873">
        <f t="shared" si="39"/>
        <v>0</v>
      </c>
      <c r="Y90" s="873">
        <f t="shared" si="40"/>
        <v>0</v>
      </c>
      <c r="Z90" s="885">
        <f t="shared" si="41"/>
        <v>0</v>
      </c>
    </row>
    <row r="91" spans="2:26" s="278" customFormat="1" ht="12" customHeight="1" x14ac:dyDescent="0.25">
      <c r="B91" s="1192">
        <f t="shared" si="48"/>
        <v>91</v>
      </c>
      <c r="C91" s="732">
        <f t="shared" si="32"/>
        <v>31</v>
      </c>
      <c r="D91" s="35">
        <f t="shared" si="33"/>
        <v>5</v>
      </c>
      <c r="E91" s="889">
        <f t="shared" si="51"/>
        <v>49826</v>
      </c>
      <c r="F91" s="822">
        <f t="shared" si="34"/>
        <v>5</v>
      </c>
      <c r="G91" s="126">
        <f t="shared" si="35"/>
        <v>0</v>
      </c>
      <c r="H91" s="1098">
        <f t="shared" si="52"/>
        <v>0</v>
      </c>
      <c r="I91" s="887">
        <f t="shared" si="49"/>
        <v>72</v>
      </c>
      <c r="J91" s="1099">
        <f t="shared" si="42"/>
        <v>72</v>
      </c>
      <c r="K91" s="891" t="str">
        <f t="shared" si="43"/>
        <v>May</v>
      </c>
      <c r="L91" s="888">
        <f t="shared" si="50"/>
        <v>2036</v>
      </c>
      <c r="M91" s="883">
        <f t="shared" si="44"/>
        <v>0</v>
      </c>
      <c r="N91" s="883">
        <f t="shared" si="45"/>
        <v>0</v>
      </c>
      <c r="O91" s="1100"/>
      <c r="P91" s="883">
        <f t="shared" si="36"/>
        <v>0</v>
      </c>
      <c r="Q91" s="884">
        <f t="shared" si="46"/>
        <v>0</v>
      </c>
      <c r="R91" s="884">
        <f>IF(AND($AR$39="Early Payoff",I91&gt;=$R$13),0,IF($I91&lt;=$R$6,SUM($P$20:$P91),0))</f>
        <v>0</v>
      </c>
      <c r="S91" s="884">
        <f>IF(AND($AR$39="Early Payoff",I91&gt;=$R$13),0,IF($I91&lt;=$R$6,SUM($Q$20:$Q91),0))</f>
        <v>0</v>
      </c>
      <c r="T91" s="873">
        <f t="shared" si="47"/>
        <v>0</v>
      </c>
      <c r="U91" s="1110">
        <f t="shared" si="53"/>
        <v>0</v>
      </c>
      <c r="W91" s="1102">
        <f t="shared" si="38"/>
        <v>0</v>
      </c>
      <c r="X91" s="873">
        <f t="shared" si="39"/>
        <v>0</v>
      </c>
      <c r="Y91" s="873">
        <f t="shared" si="40"/>
        <v>0</v>
      </c>
      <c r="Z91" s="885">
        <f t="shared" si="41"/>
        <v>0</v>
      </c>
    </row>
    <row r="92" spans="2:26" s="278" customFormat="1" ht="12" customHeight="1" x14ac:dyDescent="0.25">
      <c r="B92" s="1192">
        <f t="shared" si="48"/>
        <v>92</v>
      </c>
      <c r="C92" s="732">
        <f t="shared" si="32"/>
        <v>30</v>
      </c>
      <c r="D92" s="35">
        <f t="shared" si="33"/>
        <v>6</v>
      </c>
      <c r="E92" s="889">
        <f t="shared" si="51"/>
        <v>49856</v>
      </c>
      <c r="F92" s="822">
        <f t="shared" si="34"/>
        <v>6</v>
      </c>
      <c r="G92" s="126">
        <f t="shared" si="35"/>
        <v>0</v>
      </c>
      <c r="H92" s="1098">
        <f t="shared" si="52"/>
        <v>0</v>
      </c>
      <c r="I92" s="887">
        <f t="shared" si="49"/>
        <v>73</v>
      </c>
      <c r="J92" s="1099">
        <f t="shared" si="42"/>
        <v>73</v>
      </c>
      <c r="K92" s="891" t="str">
        <f t="shared" si="43"/>
        <v>June</v>
      </c>
      <c r="L92" s="888">
        <f t="shared" si="50"/>
        <v>2036</v>
      </c>
      <c r="M92" s="883">
        <f t="shared" si="44"/>
        <v>0</v>
      </c>
      <c r="N92" s="883">
        <f t="shared" si="45"/>
        <v>0</v>
      </c>
      <c r="O92" s="1100"/>
      <c r="P92" s="883">
        <f t="shared" si="36"/>
        <v>0</v>
      </c>
      <c r="Q92" s="884">
        <f t="shared" si="46"/>
        <v>0</v>
      </c>
      <c r="R92" s="884">
        <f>IF(AND($AR$39="Early Payoff",I92&gt;=$R$13),0,IF($I92&lt;=$R$6,SUM($P$20:$P92),0))</f>
        <v>0</v>
      </c>
      <c r="S92" s="884">
        <f>IF(AND($AR$39="Early Payoff",I92&gt;=$R$13),0,IF($I92&lt;=$R$6,SUM($Q$20:$Q92),0))</f>
        <v>0</v>
      </c>
      <c r="T92" s="873">
        <f t="shared" si="47"/>
        <v>0</v>
      </c>
      <c r="U92" s="1110">
        <f t="shared" si="53"/>
        <v>0</v>
      </c>
      <c r="W92" s="1102">
        <f t="shared" si="38"/>
        <v>0</v>
      </c>
      <c r="X92" s="873">
        <f t="shared" si="39"/>
        <v>0</v>
      </c>
      <c r="Y92" s="873">
        <f t="shared" si="40"/>
        <v>0</v>
      </c>
      <c r="Z92" s="885">
        <f t="shared" si="41"/>
        <v>0</v>
      </c>
    </row>
    <row r="93" spans="2:26" s="278" customFormat="1" ht="12" customHeight="1" x14ac:dyDescent="0.25">
      <c r="B93" s="1192">
        <f t="shared" si="48"/>
        <v>93</v>
      </c>
      <c r="C93" s="732">
        <f t="shared" si="32"/>
        <v>31</v>
      </c>
      <c r="D93" s="35">
        <f t="shared" si="33"/>
        <v>7</v>
      </c>
      <c r="E93" s="889">
        <f t="shared" si="51"/>
        <v>49887</v>
      </c>
      <c r="F93" s="822">
        <f t="shared" si="34"/>
        <v>7</v>
      </c>
      <c r="G93" s="126">
        <f t="shared" si="35"/>
        <v>0</v>
      </c>
      <c r="H93" s="1098">
        <f t="shared" si="52"/>
        <v>0</v>
      </c>
      <c r="I93" s="887">
        <f t="shared" si="49"/>
        <v>74</v>
      </c>
      <c r="J93" s="1099">
        <f t="shared" si="42"/>
        <v>74</v>
      </c>
      <c r="K93" s="891" t="str">
        <f t="shared" si="43"/>
        <v>July</v>
      </c>
      <c r="L93" s="888">
        <f t="shared" si="50"/>
        <v>2036</v>
      </c>
      <c r="M93" s="883">
        <f t="shared" si="44"/>
        <v>0</v>
      </c>
      <c r="N93" s="883">
        <f t="shared" si="45"/>
        <v>0</v>
      </c>
      <c r="O93" s="1100"/>
      <c r="P93" s="883">
        <f t="shared" si="36"/>
        <v>0</v>
      </c>
      <c r="Q93" s="884">
        <f t="shared" si="46"/>
        <v>0</v>
      </c>
      <c r="R93" s="884">
        <f>IF(AND($AR$39="Early Payoff",I93&gt;=$R$13),0,IF($I93&lt;=$R$6,SUM($P$20:$P93),0))</f>
        <v>0</v>
      </c>
      <c r="S93" s="884">
        <f>IF(AND($AR$39="Early Payoff",I93&gt;=$R$13),0,IF($I93&lt;=$R$6,SUM($Q$20:$Q93),0))</f>
        <v>0</v>
      </c>
      <c r="T93" s="873">
        <f t="shared" si="47"/>
        <v>0</v>
      </c>
      <c r="U93" s="1110">
        <f t="shared" si="53"/>
        <v>0</v>
      </c>
      <c r="W93" s="1102">
        <f t="shared" si="38"/>
        <v>0</v>
      </c>
      <c r="X93" s="873">
        <f t="shared" si="39"/>
        <v>0</v>
      </c>
      <c r="Y93" s="873">
        <f t="shared" si="40"/>
        <v>0</v>
      </c>
      <c r="Z93" s="885">
        <f t="shared" si="41"/>
        <v>0</v>
      </c>
    </row>
    <row r="94" spans="2:26" s="278" customFormat="1" ht="12" customHeight="1" x14ac:dyDescent="0.25">
      <c r="B94" s="1192">
        <f t="shared" si="48"/>
        <v>94</v>
      </c>
      <c r="C94" s="732">
        <f t="shared" si="32"/>
        <v>31</v>
      </c>
      <c r="D94" s="35">
        <f t="shared" si="33"/>
        <v>8</v>
      </c>
      <c r="E94" s="889">
        <f t="shared" si="51"/>
        <v>49918</v>
      </c>
      <c r="F94" s="822">
        <f t="shared" si="34"/>
        <v>8</v>
      </c>
      <c r="G94" s="126">
        <f t="shared" si="35"/>
        <v>0</v>
      </c>
      <c r="H94" s="1098">
        <f t="shared" si="52"/>
        <v>0</v>
      </c>
      <c r="I94" s="887">
        <f t="shared" si="49"/>
        <v>75</v>
      </c>
      <c r="J94" s="1099">
        <f t="shared" si="42"/>
        <v>75</v>
      </c>
      <c r="K94" s="891" t="str">
        <f t="shared" si="43"/>
        <v>August</v>
      </c>
      <c r="L94" s="888">
        <f t="shared" si="50"/>
        <v>2036</v>
      </c>
      <c r="M94" s="883">
        <f t="shared" si="44"/>
        <v>0</v>
      </c>
      <c r="N94" s="883">
        <f t="shared" si="45"/>
        <v>0</v>
      </c>
      <c r="O94" s="1100"/>
      <c r="P94" s="883">
        <f t="shared" si="36"/>
        <v>0</v>
      </c>
      <c r="Q94" s="884">
        <f t="shared" si="46"/>
        <v>0</v>
      </c>
      <c r="R94" s="884">
        <f>IF(AND($AR$39="Early Payoff",I94&gt;=$R$13),0,IF($I94&lt;=$R$6,SUM($P$20:$P94),0))</f>
        <v>0</v>
      </c>
      <c r="S94" s="884">
        <f>IF(AND($AR$39="Early Payoff",I94&gt;=$R$13),0,IF($I94&lt;=$R$6,SUM($Q$20:$Q94),0))</f>
        <v>0</v>
      </c>
      <c r="T94" s="873">
        <f t="shared" si="47"/>
        <v>0</v>
      </c>
      <c r="U94" s="1110">
        <f t="shared" si="53"/>
        <v>0</v>
      </c>
      <c r="W94" s="1102">
        <f t="shared" si="38"/>
        <v>0</v>
      </c>
      <c r="X94" s="873">
        <f t="shared" si="39"/>
        <v>0</v>
      </c>
      <c r="Y94" s="873">
        <f t="shared" si="40"/>
        <v>0</v>
      </c>
      <c r="Z94" s="885">
        <f t="shared" si="41"/>
        <v>0</v>
      </c>
    </row>
    <row r="95" spans="2:26" s="278" customFormat="1" ht="12" customHeight="1" x14ac:dyDescent="0.25">
      <c r="B95" s="1192">
        <f t="shared" si="48"/>
        <v>95</v>
      </c>
      <c r="C95" s="732">
        <f t="shared" si="32"/>
        <v>30</v>
      </c>
      <c r="D95" s="35">
        <f t="shared" si="33"/>
        <v>9</v>
      </c>
      <c r="E95" s="889">
        <f t="shared" si="51"/>
        <v>49948</v>
      </c>
      <c r="F95" s="822">
        <f t="shared" si="34"/>
        <v>9</v>
      </c>
      <c r="G95" s="126">
        <f t="shared" si="35"/>
        <v>0</v>
      </c>
      <c r="H95" s="1098">
        <f t="shared" si="52"/>
        <v>0</v>
      </c>
      <c r="I95" s="887">
        <f t="shared" si="49"/>
        <v>76</v>
      </c>
      <c r="J95" s="1099">
        <f t="shared" si="42"/>
        <v>76</v>
      </c>
      <c r="K95" s="891" t="str">
        <f t="shared" si="43"/>
        <v>September</v>
      </c>
      <c r="L95" s="888">
        <f t="shared" si="50"/>
        <v>2036</v>
      </c>
      <c r="M95" s="883">
        <f t="shared" si="44"/>
        <v>0</v>
      </c>
      <c r="N95" s="883">
        <f t="shared" si="45"/>
        <v>0</v>
      </c>
      <c r="O95" s="1100"/>
      <c r="P95" s="883">
        <f t="shared" si="36"/>
        <v>0</v>
      </c>
      <c r="Q95" s="884">
        <f t="shared" si="46"/>
        <v>0</v>
      </c>
      <c r="R95" s="884">
        <f>IF(AND($AR$39="Early Payoff",I95&gt;=$R$13),0,IF($I95&lt;=$R$6,SUM($P$20:$P95),0))</f>
        <v>0</v>
      </c>
      <c r="S95" s="884">
        <f>IF(AND($AR$39="Early Payoff",I95&gt;=$R$13),0,IF($I95&lt;=$R$6,SUM($Q$20:$Q95),0))</f>
        <v>0</v>
      </c>
      <c r="T95" s="873">
        <f t="shared" si="47"/>
        <v>0</v>
      </c>
      <c r="U95" s="1110">
        <f t="shared" si="53"/>
        <v>0</v>
      </c>
      <c r="W95" s="1102">
        <f t="shared" si="38"/>
        <v>0</v>
      </c>
      <c r="X95" s="873">
        <f t="shared" si="39"/>
        <v>0</v>
      </c>
      <c r="Y95" s="873">
        <f t="shared" si="40"/>
        <v>0</v>
      </c>
      <c r="Z95" s="885">
        <f t="shared" si="41"/>
        <v>0</v>
      </c>
    </row>
    <row r="96" spans="2:26" s="278" customFormat="1" ht="12" customHeight="1" x14ac:dyDescent="0.25">
      <c r="B96" s="1192">
        <f t="shared" si="48"/>
        <v>96</v>
      </c>
      <c r="C96" s="732">
        <f t="shared" si="32"/>
        <v>31</v>
      </c>
      <c r="D96" s="35">
        <f t="shared" si="33"/>
        <v>10</v>
      </c>
      <c r="E96" s="889">
        <f t="shared" si="51"/>
        <v>49979</v>
      </c>
      <c r="F96" s="822">
        <f t="shared" si="34"/>
        <v>10</v>
      </c>
      <c r="G96" s="126">
        <f t="shared" si="35"/>
        <v>0</v>
      </c>
      <c r="H96" s="1098">
        <f t="shared" si="52"/>
        <v>0</v>
      </c>
      <c r="I96" s="887">
        <f t="shared" si="49"/>
        <v>77</v>
      </c>
      <c r="J96" s="1099">
        <f t="shared" si="42"/>
        <v>77</v>
      </c>
      <c r="K96" s="891" t="str">
        <f t="shared" si="43"/>
        <v>October</v>
      </c>
      <c r="L96" s="888">
        <f t="shared" si="50"/>
        <v>2036</v>
      </c>
      <c r="M96" s="883">
        <f t="shared" si="44"/>
        <v>0</v>
      </c>
      <c r="N96" s="883">
        <f t="shared" si="45"/>
        <v>0</v>
      </c>
      <c r="O96" s="1100"/>
      <c r="P96" s="883">
        <f t="shared" si="36"/>
        <v>0</v>
      </c>
      <c r="Q96" s="884">
        <f t="shared" si="46"/>
        <v>0</v>
      </c>
      <c r="R96" s="884">
        <f>IF(AND($AR$39="Early Payoff",I96&gt;=$R$13),0,IF($I96&lt;=$R$6,SUM($P$20:$P96),0))</f>
        <v>0</v>
      </c>
      <c r="S96" s="884">
        <f>IF(AND($AR$39="Early Payoff",I96&gt;=$R$13),0,IF($I96&lt;=$R$6,SUM($Q$20:$Q96),0))</f>
        <v>0</v>
      </c>
      <c r="T96" s="873">
        <f t="shared" si="47"/>
        <v>0</v>
      </c>
      <c r="U96" s="1110">
        <f t="shared" si="53"/>
        <v>0</v>
      </c>
      <c r="W96" s="1102">
        <f t="shared" si="38"/>
        <v>0</v>
      </c>
      <c r="X96" s="873">
        <f t="shared" si="39"/>
        <v>0</v>
      </c>
      <c r="Y96" s="873">
        <f t="shared" si="40"/>
        <v>0</v>
      </c>
      <c r="Z96" s="885">
        <f t="shared" si="41"/>
        <v>0</v>
      </c>
    </row>
    <row r="97" spans="2:26" s="278" customFormat="1" ht="12" customHeight="1" x14ac:dyDescent="0.25">
      <c r="B97" s="1192">
        <f t="shared" si="48"/>
        <v>97</v>
      </c>
      <c r="C97" s="732">
        <f t="shared" si="32"/>
        <v>30</v>
      </c>
      <c r="D97" s="35">
        <f t="shared" si="33"/>
        <v>11</v>
      </c>
      <c r="E97" s="889">
        <f t="shared" si="51"/>
        <v>50009</v>
      </c>
      <c r="F97" s="822">
        <f t="shared" si="34"/>
        <v>11</v>
      </c>
      <c r="G97" s="126">
        <f t="shared" si="35"/>
        <v>0</v>
      </c>
      <c r="H97" s="1098">
        <f t="shared" si="52"/>
        <v>0</v>
      </c>
      <c r="I97" s="887">
        <f t="shared" si="49"/>
        <v>78</v>
      </c>
      <c r="J97" s="1099">
        <f t="shared" si="42"/>
        <v>78</v>
      </c>
      <c r="K97" s="891" t="str">
        <f t="shared" si="43"/>
        <v>November</v>
      </c>
      <c r="L97" s="888">
        <f t="shared" si="50"/>
        <v>2036</v>
      </c>
      <c r="M97" s="883">
        <f t="shared" si="44"/>
        <v>0</v>
      </c>
      <c r="N97" s="883">
        <f t="shared" si="45"/>
        <v>0</v>
      </c>
      <c r="O97" s="1100"/>
      <c r="P97" s="883">
        <f t="shared" si="36"/>
        <v>0</v>
      </c>
      <c r="Q97" s="884">
        <f t="shared" si="46"/>
        <v>0</v>
      </c>
      <c r="R97" s="884">
        <f>IF(AND($AR$39="Early Payoff",I97&gt;=$R$13),0,IF($I97&lt;=$R$6,SUM($P$20:$P97),0))</f>
        <v>0</v>
      </c>
      <c r="S97" s="884">
        <f>IF(AND($AR$39="Early Payoff",I97&gt;=$R$13),0,IF($I97&lt;=$R$6,SUM($Q$20:$Q97),0))</f>
        <v>0</v>
      </c>
      <c r="T97" s="873">
        <f t="shared" si="47"/>
        <v>0</v>
      </c>
      <c r="U97" s="1110">
        <f t="shared" si="53"/>
        <v>0</v>
      </c>
      <c r="W97" s="1102">
        <f t="shared" si="38"/>
        <v>0</v>
      </c>
      <c r="X97" s="873">
        <f t="shared" si="39"/>
        <v>0</v>
      </c>
      <c r="Y97" s="873">
        <f t="shared" si="40"/>
        <v>0</v>
      </c>
      <c r="Z97" s="885">
        <f t="shared" si="41"/>
        <v>0</v>
      </c>
    </row>
    <row r="98" spans="2:26" s="278" customFormat="1" ht="12" customHeight="1" x14ac:dyDescent="0.25">
      <c r="B98" s="1192">
        <f t="shared" si="48"/>
        <v>98</v>
      </c>
      <c r="C98" s="732">
        <f t="shared" si="32"/>
        <v>31</v>
      </c>
      <c r="D98" s="35">
        <f t="shared" si="33"/>
        <v>12</v>
      </c>
      <c r="E98" s="889">
        <f t="shared" si="51"/>
        <v>50040</v>
      </c>
      <c r="F98" s="822">
        <f t="shared" si="34"/>
        <v>12</v>
      </c>
      <c r="G98" s="126">
        <f t="shared" si="35"/>
        <v>1</v>
      </c>
      <c r="H98" s="1098">
        <f t="shared" si="52"/>
        <v>0</v>
      </c>
      <c r="I98" s="887">
        <f t="shared" si="49"/>
        <v>79</v>
      </c>
      <c r="J98" s="1099">
        <f t="shared" si="42"/>
        <v>79</v>
      </c>
      <c r="K98" s="891" t="str">
        <f t="shared" si="43"/>
        <v>December</v>
      </c>
      <c r="L98" s="888">
        <f t="shared" si="50"/>
        <v>2036</v>
      </c>
      <c r="M98" s="883">
        <f t="shared" si="44"/>
        <v>0</v>
      </c>
      <c r="N98" s="883">
        <f t="shared" si="45"/>
        <v>0</v>
      </c>
      <c r="O98" s="1100"/>
      <c r="P98" s="883">
        <f t="shared" si="36"/>
        <v>0</v>
      </c>
      <c r="Q98" s="884">
        <f t="shared" si="46"/>
        <v>0</v>
      </c>
      <c r="R98" s="884">
        <f>IF(AND($AR$39="Early Payoff",I98&gt;=$R$13),0,IF($I98&lt;=$R$6,SUM($P$20:$P98),0))</f>
        <v>0</v>
      </c>
      <c r="S98" s="884">
        <f>IF(AND($AR$39="Early Payoff",I98&gt;=$R$13),0,IF($I98&lt;=$R$6,SUM($Q$20:$Q98),0))</f>
        <v>0</v>
      </c>
      <c r="T98" s="873">
        <f t="shared" si="47"/>
        <v>0</v>
      </c>
      <c r="U98" s="1110">
        <f t="shared" si="53"/>
        <v>0</v>
      </c>
      <c r="W98" s="1102">
        <f t="shared" si="38"/>
        <v>0</v>
      </c>
      <c r="X98" s="873">
        <f t="shared" si="39"/>
        <v>0</v>
      </c>
      <c r="Y98" s="873">
        <f t="shared" si="40"/>
        <v>0</v>
      </c>
      <c r="Z98" s="885">
        <f t="shared" si="41"/>
        <v>0</v>
      </c>
    </row>
    <row r="99" spans="2:26" s="278" customFormat="1" ht="12" customHeight="1" x14ac:dyDescent="0.25">
      <c r="B99" s="1192">
        <f t="shared" si="48"/>
        <v>99</v>
      </c>
      <c r="C99" s="732">
        <f t="shared" si="32"/>
        <v>31</v>
      </c>
      <c r="D99" s="35">
        <f t="shared" si="33"/>
        <v>1</v>
      </c>
      <c r="E99" s="889">
        <f t="shared" si="51"/>
        <v>50071</v>
      </c>
      <c r="F99" s="822">
        <f t="shared" si="34"/>
        <v>1</v>
      </c>
      <c r="G99" s="126">
        <f t="shared" si="35"/>
        <v>0</v>
      </c>
      <c r="H99" s="1098">
        <f t="shared" si="52"/>
        <v>0</v>
      </c>
      <c r="I99" s="887">
        <f t="shared" si="49"/>
        <v>80</v>
      </c>
      <c r="J99" s="1099">
        <f t="shared" si="42"/>
        <v>80</v>
      </c>
      <c r="K99" s="891" t="str">
        <f t="shared" si="43"/>
        <v>January</v>
      </c>
      <c r="L99" s="888">
        <f t="shared" si="50"/>
        <v>2037</v>
      </c>
      <c r="M99" s="883">
        <f t="shared" si="44"/>
        <v>0</v>
      </c>
      <c r="N99" s="883">
        <f t="shared" si="45"/>
        <v>0</v>
      </c>
      <c r="O99" s="1100"/>
      <c r="P99" s="883">
        <f t="shared" si="36"/>
        <v>0</v>
      </c>
      <c r="Q99" s="884">
        <f t="shared" si="46"/>
        <v>0</v>
      </c>
      <c r="R99" s="884">
        <f>IF(AND($AR$39="Early Payoff",I99&gt;=$R$13),0,IF($I99&lt;=$R$6,SUM($P$20:$P99),0))</f>
        <v>0</v>
      </c>
      <c r="S99" s="884">
        <f>IF(AND($AR$39="Early Payoff",I99&gt;=$R$13),0,IF($I99&lt;=$R$6,SUM($Q$20:$Q99),0))</f>
        <v>0</v>
      </c>
      <c r="T99" s="873">
        <f t="shared" si="47"/>
        <v>0</v>
      </c>
      <c r="U99" s="1110">
        <f t="shared" si="53"/>
        <v>0</v>
      </c>
      <c r="W99" s="1102">
        <f t="shared" si="38"/>
        <v>0</v>
      </c>
      <c r="X99" s="873">
        <f t="shared" si="39"/>
        <v>0</v>
      </c>
      <c r="Y99" s="873">
        <f t="shared" si="40"/>
        <v>0</v>
      </c>
      <c r="Z99" s="885">
        <f t="shared" si="41"/>
        <v>0</v>
      </c>
    </row>
    <row r="100" spans="2:26" s="278" customFormat="1" ht="12" customHeight="1" x14ac:dyDescent="0.25">
      <c r="B100" s="1192">
        <f t="shared" si="48"/>
        <v>100</v>
      </c>
      <c r="C100" s="732">
        <f t="shared" si="32"/>
        <v>28</v>
      </c>
      <c r="D100" s="35">
        <f t="shared" si="33"/>
        <v>2</v>
      </c>
      <c r="E100" s="889">
        <f t="shared" si="51"/>
        <v>50099</v>
      </c>
      <c r="F100" s="822">
        <f t="shared" si="34"/>
        <v>2</v>
      </c>
      <c r="G100" s="126">
        <f t="shared" si="35"/>
        <v>0</v>
      </c>
      <c r="H100" s="1098">
        <f t="shared" si="52"/>
        <v>0</v>
      </c>
      <c r="I100" s="887">
        <f t="shared" si="49"/>
        <v>81</v>
      </c>
      <c r="J100" s="1099">
        <f t="shared" si="42"/>
        <v>81</v>
      </c>
      <c r="K100" s="891" t="str">
        <f t="shared" si="43"/>
        <v>February</v>
      </c>
      <c r="L100" s="888">
        <f t="shared" si="50"/>
        <v>2037</v>
      </c>
      <c r="M100" s="883">
        <f t="shared" si="44"/>
        <v>0</v>
      </c>
      <c r="N100" s="883">
        <f t="shared" si="45"/>
        <v>0</v>
      </c>
      <c r="O100" s="1100"/>
      <c r="P100" s="883">
        <f t="shared" si="36"/>
        <v>0</v>
      </c>
      <c r="Q100" s="884">
        <f t="shared" si="46"/>
        <v>0</v>
      </c>
      <c r="R100" s="884">
        <f>IF(AND($AR$39="Early Payoff",I100&gt;=$R$13),0,IF($I100&lt;=$R$6,SUM($P$20:$P100),0))</f>
        <v>0</v>
      </c>
      <c r="S100" s="884">
        <f>IF(AND($AR$39="Early Payoff",I100&gt;=$R$13),0,IF($I100&lt;=$R$6,SUM($Q$20:$Q100),0))</f>
        <v>0</v>
      </c>
      <c r="T100" s="873">
        <f t="shared" si="47"/>
        <v>0</v>
      </c>
      <c r="U100" s="1110">
        <f t="shared" si="53"/>
        <v>0</v>
      </c>
      <c r="W100" s="1102">
        <f t="shared" si="38"/>
        <v>0</v>
      </c>
      <c r="X100" s="873">
        <f t="shared" si="39"/>
        <v>0</v>
      </c>
      <c r="Y100" s="873">
        <f t="shared" si="40"/>
        <v>0</v>
      </c>
      <c r="Z100" s="885">
        <f t="shared" si="41"/>
        <v>0</v>
      </c>
    </row>
    <row r="101" spans="2:26" s="278" customFormat="1" ht="12" customHeight="1" x14ac:dyDescent="0.25">
      <c r="B101" s="1192">
        <f t="shared" si="48"/>
        <v>101</v>
      </c>
      <c r="C101" s="732">
        <f t="shared" si="32"/>
        <v>31</v>
      </c>
      <c r="D101" s="35">
        <f t="shared" si="33"/>
        <v>3</v>
      </c>
      <c r="E101" s="889">
        <f t="shared" si="51"/>
        <v>50130</v>
      </c>
      <c r="F101" s="822">
        <f t="shared" si="34"/>
        <v>3</v>
      </c>
      <c r="G101" s="126">
        <f t="shared" si="35"/>
        <v>0</v>
      </c>
      <c r="H101" s="1098">
        <f t="shared" si="52"/>
        <v>0</v>
      </c>
      <c r="I101" s="887">
        <f t="shared" si="49"/>
        <v>82</v>
      </c>
      <c r="J101" s="1099">
        <f t="shared" si="42"/>
        <v>82</v>
      </c>
      <c r="K101" s="891" t="str">
        <f t="shared" si="43"/>
        <v>March</v>
      </c>
      <c r="L101" s="888">
        <f t="shared" si="50"/>
        <v>2037</v>
      </c>
      <c r="M101" s="883">
        <f t="shared" si="44"/>
        <v>0</v>
      </c>
      <c r="N101" s="883">
        <f t="shared" si="45"/>
        <v>0</v>
      </c>
      <c r="O101" s="1100"/>
      <c r="P101" s="883">
        <f t="shared" si="36"/>
        <v>0</v>
      </c>
      <c r="Q101" s="884">
        <f t="shared" si="46"/>
        <v>0</v>
      </c>
      <c r="R101" s="884">
        <f>IF(AND($AR$39="Early Payoff",I101&gt;=$R$13),0,IF($I101&lt;=$R$6,SUM($P$20:$P101),0))</f>
        <v>0</v>
      </c>
      <c r="S101" s="884">
        <f>IF(AND($AR$39="Early Payoff",I101&gt;=$R$13),0,IF($I101&lt;=$R$6,SUM($Q$20:$Q101),0))</f>
        <v>0</v>
      </c>
      <c r="T101" s="873">
        <f t="shared" si="47"/>
        <v>0</v>
      </c>
      <c r="U101" s="1110">
        <f t="shared" si="53"/>
        <v>0</v>
      </c>
      <c r="W101" s="1102">
        <f t="shared" si="38"/>
        <v>0</v>
      </c>
      <c r="X101" s="873">
        <f t="shared" si="39"/>
        <v>0</v>
      </c>
      <c r="Y101" s="873">
        <f t="shared" si="40"/>
        <v>0</v>
      </c>
      <c r="Z101" s="885">
        <f t="shared" si="41"/>
        <v>0</v>
      </c>
    </row>
    <row r="102" spans="2:26" s="278" customFormat="1" ht="12" customHeight="1" x14ac:dyDescent="0.25">
      <c r="B102" s="1192">
        <f t="shared" si="48"/>
        <v>102</v>
      </c>
      <c r="C102" s="732">
        <f t="shared" si="32"/>
        <v>30</v>
      </c>
      <c r="D102" s="35">
        <f t="shared" si="33"/>
        <v>4</v>
      </c>
      <c r="E102" s="889">
        <f t="shared" si="51"/>
        <v>50160</v>
      </c>
      <c r="F102" s="822">
        <f t="shared" si="34"/>
        <v>4</v>
      </c>
      <c r="G102" s="126">
        <f t="shared" si="35"/>
        <v>0</v>
      </c>
      <c r="H102" s="1098">
        <f t="shared" si="52"/>
        <v>0</v>
      </c>
      <c r="I102" s="887">
        <f t="shared" si="49"/>
        <v>83</v>
      </c>
      <c r="J102" s="1099">
        <f t="shared" si="42"/>
        <v>83</v>
      </c>
      <c r="K102" s="891" t="str">
        <f t="shared" si="43"/>
        <v>April</v>
      </c>
      <c r="L102" s="888">
        <f t="shared" si="50"/>
        <v>2037</v>
      </c>
      <c r="M102" s="883">
        <f t="shared" si="44"/>
        <v>0</v>
      </c>
      <c r="N102" s="883">
        <f t="shared" si="45"/>
        <v>0</v>
      </c>
      <c r="O102" s="1100"/>
      <c r="P102" s="883">
        <f t="shared" si="36"/>
        <v>0</v>
      </c>
      <c r="Q102" s="884">
        <f t="shared" si="46"/>
        <v>0</v>
      </c>
      <c r="R102" s="884">
        <f>IF(AND($AR$39="Early Payoff",I102&gt;=$R$13),0,IF($I102&lt;=$R$6,SUM($P$20:$P102),0))</f>
        <v>0</v>
      </c>
      <c r="S102" s="884">
        <f>IF(AND($AR$39="Early Payoff",I102&gt;=$R$13),0,IF($I102&lt;=$R$6,SUM($Q$20:$Q102),0))</f>
        <v>0</v>
      </c>
      <c r="T102" s="873">
        <f t="shared" si="47"/>
        <v>0</v>
      </c>
      <c r="U102" s="1110">
        <f t="shared" si="53"/>
        <v>0</v>
      </c>
      <c r="W102" s="1102">
        <f t="shared" si="38"/>
        <v>0</v>
      </c>
      <c r="X102" s="873">
        <f t="shared" si="39"/>
        <v>0</v>
      </c>
      <c r="Y102" s="873">
        <f t="shared" si="40"/>
        <v>0</v>
      </c>
      <c r="Z102" s="885">
        <f t="shared" si="41"/>
        <v>0</v>
      </c>
    </row>
    <row r="103" spans="2:26" s="278" customFormat="1" ht="12" customHeight="1" x14ac:dyDescent="0.25">
      <c r="B103" s="1192">
        <f t="shared" si="48"/>
        <v>103</v>
      </c>
      <c r="C103" s="732">
        <f t="shared" si="32"/>
        <v>31</v>
      </c>
      <c r="D103" s="35">
        <f t="shared" si="33"/>
        <v>5</v>
      </c>
      <c r="E103" s="889">
        <f t="shared" si="51"/>
        <v>50191</v>
      </c>
      <c r="F103" s="822">
        <f t="shared" si="34"/>
        <v>5</v>
      </c>
      <c r="G103" s="126">
        <f t="shared" si="35"/>
        <v>0</v>
      </c>
      <c r="H103" s="1098">
        <f t="shared" si="52"/>
        <v>0</v>
      </c>
      <c r="I103" s="887">
        <f t="shared" si="49"/>
        <v>84</v>
      </c>
      <c r="J103" s="1099">
        <f t="shared" si="42"/>
        <v>84</v>
      </c>
      <c r="K103" s="891" t="str">
        <f t="shared" si="43"/>
        <v>May</v>
      </c>
      <c r="L103" s="888">
        <f t="shared" si="50"/>
        <v>2037</v>
      </c>
      <c r="M103" s="883">
        <f t="shared" si="44"/>
        <v>0</v>
      </c>
      <c r="N103" s="883">
        <f t="shared" si="45"/>
        <v>0</v>
      </c>
      <c r="O103" s="1100"/>
      <c r="P103" s="883">
        <f t="shared" si="36"/>
        <v>0</v>
      </c>
      <c r="Q103" s="884">
        <f t="shared" si="46"/>
        <v>0</v>
      </c>
      <c r="R103" s="884">
        <f>IF(AND($AR$39="Early Payoff",I103&gt;=$R$13),0,IF($I103&lt;=$R$6,SUM($P$20:$P103),0))</f>
        <v>0</v>
      </c>
      <c r="S103" s="884">
        <f>IF(AND($AR$39="Early Payoff",I103&gt;=$R$13),0,IF($I103&lt;=$R$6,SUM($Q$20:$Q103),0))</f>
        <v>0</v>
      </c>
      <c r="T103" s="873">
        <f t="shared" si="47"/>
        <v>0</v>
      </c>
      <c r="U103" s="1110">
        <f t="shared" si="53"/>
        <v>0</v>
      </c>
      <c r="W103" s="1102">
        <f t="shared" si="38"/>
        <v>0</v>
      </c>
      <c r="X103" s="873">
        <f t="shared" si="39"/>
        <v>0</v>
      </c>
      <c r="Y103" s="873">
        <f t="shared" si="40"/>
        <v>0</v>
      </c>
      <c r="Z103" s="885">
        <f t="shared" si="41"/>
        <v>0</v>
      </c>
    </row>
    <row r="104" spans="2:26" s="278" customFormat="1" ht="12" customHeight="1" x14ac:dyDescent="0.25">
      <c r="B104" s="1192">
        <f t="shared" si="48"/>
        <v>104</v>
      </c>
      <c r="C104" s="732">
        <f t="shared" si="32"/>
        <v>30</v>
      </c>
      <c r="D104" s="35">
        <f t="shared" si="33"/>
        <v>6</v>
      </c>
      <c r="E104" s="889">
        <f t="shared" si="51"/>
        <v>50221</v>
      </c>
      <c r="F104" s="822">
        <f t="shared" si="34"/>
        <v>6</v>
      </c>
      <c r="G104" s="126">
        <f t="shared" si="35"/>
        <v>0</v>
      </c>
      <c r="H104" s="1098">
        <f t="shared" si="52"/>
        <v>0</v>
      </c>
      <c r="I104" s="887">
        <f t="shared" si="49"/>
        <v>85</v>
      </c>
      <c r="J104" s="1099">
        <f t="shared" si="42"/>
        <v>85</v>
      </c>
      <c r="K104" s="891" t="str">
        <f t="shared" si="43"/>
        <v>June</v>
      </c>
      <c r="L104" s="888">
        <f t="shared" si="50"/>
        <v>2037</v>
      </c>
      <c r="M104" s="883">
        <f t="shared" si="44"/>
        <v>0</v>
      </c>
      <c r="N104" s="883">
        <f t="shared" si="45"/>
        <v>0</v>
      </c>
      <c r="O104" s="1100"/>
      <c r="P104" s="883">
        <f t="shared" si="36"/>
        <v>0</v>
      </c>
      <c r="Q104" s="884">
        <f t="shared" si="46"/>
        <v>0</v>
      </c>
      <c r="R104" s="884">
        <f>IF(AND($AR$39="Early Payoff",I104&gt;=$R$13),0,IF($I104&lt;=$R$6,SUM($P$20:$P104),0))</f>
        <v>0</v>
      </c>
      <c r="S104" s="884">
        <f>IF(AND($AR$39="Early Payoff",I104&gt;=$R$13),0,IF($I104&lt;=$R$6,SUM($Q$20:$Q104),0))</f>
        <v>0</v>
      </c>
      <c r="T104" s="873">
        <f t="shared" si="47"/>
        <v>0</v>
      </c>
      <c r="U104" s="1110">
        <f t="shared" si="53"/>
        <v>0</v>
      </c>
      <c r="W104" s="1102">
        <f t="shared" si="38"/>
        <v>0</v>
      </c>
      <c r="X104" s="873">
        <f t="shared" si="39"/>
        <v>0</v>
      </c>
      <c r="Y104" s="873">
        <f t="shared" si="40"/>
        <v>0</v>
      </c>
      <c r="Z104" s="885">
        <f t="shared" si="41"/>
        <v>0</v>
      </c>
    </row>
    <row r="105" spans="2:26" s="278" customFormat="1" ht="12" customHeight="1" x14ac:dyDescent="0.25">
      <c r="B105" s="1192">
        <f t="shared" si="48"/>
        <v>105</v>
      </c>
      <c r="C105" s="732">
        <f t="shared" si="32"/>
        <v>31</v>
      </c>
      <c r="D105" s="35">
        <f t="shared" si="33"/>
        <v>7</v>
      </c>
      <c r="E105" s="889">
        <f t="shared" si="51"/>
        <v>50252</v>
      </c>
      <c r="F105" s="822">
        <f t="shared" si="34"/>
        <v>7</v>
      </c>
      <c r="G105" s="126">
        <f t="shared" si="35"/>
        <v>0</v>
      </c>
      <c r="H105" s="1098">
        <f t="shared" si="52"/>
        <v>0</v>
      </c>
      <c r="I105" s="887">
        <f t="shared" si="49"/>
        <v>86</v>
      </c>
      <c r="J105" s="1099">
        <f t="shared" si="42"/>
        <v>86</v>
      </c>
      <c r="K105" s="891" t="str">
        <f t="shared" si="43"/>
        <v>July</v>
      </c>
      <c r="L105" s="888">
        <f t="shared" si="50"/>
        <v>2037</v>
      </c>
      <c r="M105" s="883">
        <f t="shared" si="44"/>
        <v>0</v>
      </c>
      <c r="N105" s="883">
        <f t="shared" si="45"/>
        <v>0</v>
      </c>
      <c r="O105" s="1100"/>
      <c r="P105" s="883">
        <f t="shared" si="36"/>
        <v>0</v>
      </c>
      <c r="Q105" s="884">
        <f t="shared" si="46"/>
        <v>0</v>
      </c>
      <c r="R105" s="884">
        <f>IF(AND($AR$39="Early Payoff",I105&gt;=$R$13),0,IF($I105&lt;=$R$6,SUM($P$20:$P105),0))</f>
        <v>0</v>
      </c>
      <c r="S105" s="884">
        <f>IF(AND($AR$39="Early Payoff",I105&gt;=$R$13),0,IF($I105&lt;=$R$6,SUM($Q$20:$Q105),0))</f>
        <v>0</v>
      </c>
      <c r="T105" s="873">
        <f t="shared" si="47"/>
        <v>0</v>
      </c>
      <c r="U105" s="1110">
        <f t="shared" si="53"/>
        <v>0</v>
      </c>
      <c r="W105" s="1102">
        <f t="shared" si="38"/>
        <v>0</v>
      </c>
      <c r="X105" s="873">
        <f t="shared" si="39"/>
        <v>0</v>
      </c>
      <c r="Y105" s="873">
        <f t="shared" si="40"/>
        <v>0</v>
      </c>
      <c r="Z105" s="885">
        <f t="shared" si="41"/>
        <v>0</v>
      </c>
    </row>
    <row r="106" spans="2:26" s="278" customFormat="1" ht="12" customHeight="1" x14ac:dyDescent="0.25">
      <c r="B106" s="1192">
        <f t="shared" si="48"/>
        <v>106</v>
      </c>
      <c r="C106" s="732">
        <f t="shared" si="32"/>
        <v>31</v>
      </c>
      <c r="D106" s="35">
        <f t="shared" si="33"/>
        <v>8</v>
      </c>
      <c r="E106" s="889">
        <f t="shared" si="51"/>
        <v>50283</v>
      </c>
      <c r="F106" s="822">
        <f t="shared" si="34"/>
        <v>8</v>
      </c>
      <c r="G106" s="126">
        <f t="shared" si="35"/>
        <v>0</v>
      </c>
      <c r="H106" s="1098">
        <f t="shared" si="52"/>
        <v>0</v>
      </c>
      <c r="I106" s="887">
        <f t="shared" si="49"/>
        <v>87</v>
      </c>
      <c r="J106" s="1099">
        <f t="shared" si="42"/>
        <v>87</v>
      </c>
      <c r="K106" s="891" t="str">
        <f t="shared" si="43"/>
        <v>August</v>
      </c>
      <c r="L106" s="888">
        <f t="shared" si="50"/>
        <v>2037</v>
      </c>
      <c r="M106" s="883">
        <f t="shared" si="44"/>
        <v>0</v>
      </c>
      <c r="N106" s="883">
        <f t="shared" si="45"/>
        <v>0</v>
      </c>
      <c r="O106" s="1100"/>
      <c r="P106" s="883">
        <f t="shared" si="36"/>
        <v>0</v>
      </c>
      <c r="Q106" s="884">
        <f t="shared" si="46"/>
        <v>0</v>
      </c>
      <c r="R106" s="884">
        <f>IF(AND($AR$39="Early Payoff",I106&gt;=$R$13),0,IF($I106&lt;=$R$6,SUM($P$20:$P106),0))</f>
        <v>0</v>
      </c>
      <c r="S106" s="884">
        <f>IF(AND($AR$39="Early Payoff",I106&gt;=$R$13),0,IF($I106&lt;=$R$6,SUM($Q$20:$Q106),0))</f>
        <v>0</v>
      </c>
      <c r="T106" s="873">
        <f t="shared" si="47"/>
        <v>0</v>
      </c>
      <c r="U106" s="1110">
        <f t="shared" si="53"/>
        <v>0</v>
      </c>
      <c r="W106" s="1102">
        <f t="shared" si="38"/>
        <v>0</v>
      </c>
      <c r="X106" s="873">
        <f t="shared" si="39"/>
        <v>0</v>
      </c>
      <c r="Y106" s="873">
        <f t="shared" si="40"/>
        <v>0</v>
      </c>
      <c r="Z106" s="885">
        <f t="shared" si="41"/>
        <v>0</v>
      </c>
    </row>
    <row r="107" spans="2:26" s="278" customFormat="1" ht="12" customHeight="1" x14ac:dyDescent="0.25">
      <c r="B107" s="1192">
        <f t="shared" si="48"/>
        <v>107</v>
      </c>
      <c r="C107" s="732">
        <f t="shared" si="32"/>
        <v>30</v>
      </c>
      <c r="D107" s="35">
        <f t="shared" si="33"/>
        <v>9</v>
      </c>
      <c r="E107" s="889">
        <f t="shared" si="51"/>
        <v>50313</v>
      </c>
      <c r="F107" s="822">
        <f t="shared" si="34"/>
        <v>9</v>
      </c>
      <c r="G107" s="126">
        <f t="shared" si="35"/>
        <v>0</v>
      </c>
      <c r="H107" s="1098">
        <f t="shared" si="52"/>
        <v>0</v>
      </c>
      <c r="I107" s="887">
        <f t="shared" si="49"/>
        <v>88</v>
      </c>
      <c r="J107" s="1099">
        <f t="shared" si="42"/>
        <v>88</v>
      </c>
      <c r="K107" s="891" t="str">
        <f t="shared" si="43"/>
        <v>September</v>
      </c>
      <c r="L107" s="888">
        <f t="shared" si="50"/>
        <v>2037</v>
      </c>
      <c r="M107" s="883">
        <f t="shared" si="44"/>
        <v>0</v>
      </c>
      <c r="N107" s="883">
        <f t="shared" si="45"/>
        <v>0</v>
      </c>
      <c r="O107" s="1100"/>
      <c r="P107" s="883">
        <f t="shared" si="36"/>
        <v>0</v>
      </c>
      <c r="Q107" s="884">
        <f t="shared" si="46"/>
        <v>0</v>
      </c>
      <c r="R107" s="884">
        <f>IF(AND($AR$39="Early Payoff",I107&gt;=$R$13),0,IF($I107&lt;=$R$6,SUM($P$20:$P107),0))</f>
        <v>0</v>
      </c>
      <c r="S107" s="884">
        <f>IF(AND($AR$39="Early Payoff",I107&gt;=$R$13),0,IF($I107&lt;=$R$6,SUM($Q$20:$Q107),0))</f>
        <v>0</v>
      </c>
      <c r="T107" s="873">
        <f t="shared" si="47"/>
        <v>0</v>
      </c>
      <c r="U107" s="1110">
        <f t="shared" si="53"/>
        <v>0</v>
      </c>
      <c r="W107" s="1102">
        <f t="shared" si="38"/>
        <v>0</v>
      </c>
      <c r="X107" s="873">
        <f t="shared" si="39"/>
        <v>0</v>
      </c>
      <c r="Y107" s="873">
        <f t="shared" si="40"/>
        <v>0</v>
      </c>
      <c r="Z107" s="885">
        <f t="shared" si="41"/>
        <v>0</v>
      </c>
    </row>
    <row r="108" spans="2:26" s="278" customFormat="1" ht="12" customHeight="1" x14ac:dyDescent="0.25">
      <c r="B108" s="1192">
        <f t="shared" si="48"/>
        <v>108</v>
      </c>
      <c r="C108" s="732">
        <f t="shared" si="32"/>
        <v>31</v>
      </c>
      <c r="D108" s="35">
        <f t="shared" si="33"/>
        <v>10</v>
      </c>
      <c r="E108" s="889">
        <f t="shared" si="51"/>
        <v>50344</v>
      </c>
      <c r="F108" s="822">
        <f t="shared" si="34"/>
        <v>10</v>
      </c>
      <c r="G108" s="126">
        <f t="shared" si="35"/>
        <v>0</v>
      </c>
      <c r="H108" s="1098">
        <f t="shared" si="52"/>
        <v>0</v>
      </c>
      <c r="I108" s="887">
        <f t="shared" si="49"/>
        <v>89</v>
      </c>
      <c r="J108" s="1099">
        <f t="shared" si="42"/>
        <v>89</v>
      </c>
      <c r="K108" s="891" t="str">
        <f t="shared" si="43"/>
        <v>October</v>
      </c>
      <c r="L108" s="888">
        <f t="shared" si="50"/>
        <v>2037</v>
      </c>
      <c r="M108" s="883">
        <f t="shared" si="44"/>
        <v>0</v>
      </c>
      <c r="N108" s="883">
        <f t="shared" si="45"/>
        <v>0</v>
      </c>
      <c r="O108" s="1100"/>
      <c r="P108" s="883">
        <f t="shared" si="36"/>
        <v>0</v>
      </c>
      <c r="Q108" s="884">
        <f t="shared" si="46"/>
        <v>0</v>
      </c>
      <c r="R108" s="884">
        <f>IF(AND($AR$39="Early Payoff",I108&gt;=$R$13),0,IF($I108&lt;=$R$6,SUM($P$20:$P108),0))</f>
        <v>0</v>
      </c>
      <c r="S108" s="884">
        <f>IF(AND($AR$39="Early Payoff",I108&gt;=$R$13),0,IF($I108&lt;=$R$6,SUM($Q$20:$Q108),0))</f>
        <v>0</v>
      </c>
      <c r="T108" s="873">
        <f t="shared" si="47"/>
        <v>0</v>
      </c>
      <c r="U108" s="1110">
        <f t="shared" si="53"/>
        <v>0</v>
      </c>
      <c r="W108" s="1102">
        <f t="shared" si="38"/>
        <v>0</v>
      </c>
      <c r="X108" s="873">
        <f t="shared" si="39"/>
        <v>0</v>
      </c>
      <c r="Y108" s="873">
        <f t="shared" si="40"/>
        <v>0</v>
      </c>
      <c r="Z108" s="885">
        <f t="shared" si="41"/>
        <v>0</v>
      </c>
    </row>
    <row r="109" spans="2:26" s="278" customFormat="1" ht="12" customHeight="1" x14ac:dyDescent="0.25">
      <c r="B109" s="1192">
        <f t="shared" si="48"/>
        <v>109</v>
      </c>
      <c r="C109" s="732">
        <f t="shared" si="32"/>
        <v>30</v>
      </c>
      <c r="D109" s="35">
        <f t="shared" si="33"/>
        <v>11</v>
      </c>
      <c r="E109" s="889">
        <f t="shared" si="51"/>
        <v>50374</v>
      </c>
      <c r="F109" s="822">
        <f t="shared" si="34"/>
        <v>11</v>
      </c>
      <c r="G109" s="126">
        <f t="shared" si="35"/>
        <v>0</v>
      </c>
      <c r="H109" s="1098">
        <f t="shared" si="52"/>
        <v>0</v>
      </c>
      <c r="I109" s="887">
        <f t="shared" si="49"/>
        <v>90</v>
      </c>
      <c r="J109" s="1099">
        <f t="shared" si="42"/>
        <v>90</v>
      </c>
      <c r="K109" s="891" t="str">
        <f t="shared" si="43"/>
        <v>November</v>
      </c>
      <c r="L109" s="888">
        <f t="shared" si="50"/>
        <v>2037</v>
      </c>
      <c r="M109" s="883">
        <f t="shared" si="44"/>
        <v>0</v>
      </c>
      <c r="N109" s="883">
        <f t="shared" si="45"/>
        <v>0</v>
      </c>
      <c r="O109" s="1100"/>
      <c r="P109" s="883">
        <f t="shared" si="36"/>
        <v>0</v>
      </c>
      <c r="Q109" s="884">
        <f t="shared" si="46"/>
        <v>0</v>
      </c>
      <c r="R109" s="884">
        <f>IF(AND($AR$39="Early Payoff",I109&gt;=$R$13),0,IF($I109&lt;=$R$6,SUM($P$20:$P109),0))</f>
        <v>0</v>
      </c>
      <c r="S109" s="884">
        <f>IF(AND($AR$39="Early Payoff",I109&gt;=$R$13),0,IF($I109&lt;=$R$6,SUM($Q$20:$Q109),0))</f>
        <v>0</v>
      </c>
      <c r="T109" s="873">
        <f t="shared" si="47"/>
        <v>0</v>
      </c>
      <c r="U109" s="1110">
        <f t="shared" si="53"/>
        <v>0</v>
      </c>
      <c r="W109" s="1102">
        <f t="shared" si="38"/>
        <v>0</v>
      </c>
      <c r="X109" s="873">
        <f t="shared" si="39"/>
        <v>0</v>
      </c>
      <c r="Y109" s="873">
        <f t="shared" si="40"/>
        <v>0</v>
      </c>
      <c r="Z109" s="885">
        <f t="shared" si="41"/>
        <v>0</v>
      </c>
    </row>
    <row r="110" spans="2:26" s="278" customFormat="1" ht="12" customHeight="1" x14ac:dyDescent="0.25">
      <c r="B110" s="1192">
        <f t="shared" si="48"/>
        <v>110</v>
      </c>
      <c r="C110" s="732">
        <f t="shared" si="32"/>
        <v>31</v>
      </c>
      <c r="D110" s="35">
        <f t="shared" si="33"/>
        <v>12</v>
      </c>
      <c r="E110" s="889">
        <f t="shared" si="51"/>
        <v>50405</v>
      </c>
      <c r="F110" s="822">
        <f t="shared" si="34"/>
        <v>12</v>
      </c>
      <c r="G110" s="126">
        <f t="shared" si="35"/>
        <v>1</v>
      </c>
      <c r="H110" s="1098">
        <f t="shared" si="52"/>
        <v>0</v>
      </c>
      <c r="I110" s="887">
        <f t="shared" si="49"/>
        <v>91</v>
      </c>
      <c r="J110" s="1099">
        <f t="shared" si="42"/>
        <v>91</v>
      </c>
      <c r="K110" s="891" t="str">
        <f t="shared" si="43"/>
        <v>December</v>
      </c>
      <c r="L110" s="888">
        <f t="shared" si="50"/>
        <v>2037</v>
      </c>
      <c r="M110" s="883">
        <f t="shared" si="44"/>
        <v>0</v>
      </c>
      <c r="N110" s="883">
        <f t="shared" si="45"/>
        <v>0</v>
      </c>
      <c r="O110" s="1100"/>
      <c r="P110" s="883">
        <f t="shared" si="36"/>
        <v>0</v>
      </c>
      <c r="Q110" s="884">
        <f t="shared" si="46"/>
        <v>0</v>
      </c>
      <c r="R110" s="884">
        <f>IF(AND($AR$39="Early Payoff",I110&gt;=$R$13),0,IF($I110&lt;=$R$6,SUM($P$20:$P110),0))</f>
        <v>0</v>
      </c>
      <c r="S110" s="884">
        <f>IF(AND($AR$39="Early Payoff",I110&gt;=$R$13),0,IF($I110&lt;=$R$6,SUM($Q$20:$Q110),0))</f>
        <v>0</v>
      </c>
      <c r="T110" s="873">
        <f t="shared" si="47"/>
        <v>0</v>
      </c>
      <c r="U110" s="1110">
        <f t="shared" si="53"/>
        <v>0</v>
      </c>
      <c r="W110" s="1102">
        <f t="shared" si="38"/>
        <v>0</v>
      </c>
      <c r="X110" s="873">
        <f t="shared" si="39"/>
        <v>0</v>
      </c>
      <c r="Y110" s="873">
        <f t="shared" si="40"/>
        <v>0</v>
      </c>
      <c r="Z110" s="885">
        <f t="shared" si="41"/>
        <v>0</v>
      </c>
    </row>
    <row r="111" spans="2:26" s="278" customFormat="1" ht="12" customHeight="1" x14ac:dyDescent="0.25">
      <c r="B111" s="1192">
        <f t="shared" si="48"/>
        <v>111</v>
      </c>
      <c r="C111" s="732">
        <f t="shared" si="32"/>
        <v>31</v>
      </c>
      <c r="D111" s="35">
        <f t="shared" si="33"/>
        <v>1</v>
      </c>
      <c r="E111" s="889">
        <f t="shared" si="51"/>
        <v>50436</v>
      </c>
      <c r="F111" s="822">
        <f t="shared" si="34"/>
        <v>1</v>
      </c>
      <c r="G111" s="126">
        <f t="shared" si="35"/>
        <v>0</v>
      </c>
      <c r="H111" s="1098">
        <f t="shared" si="52"/>
        <v>0</v>
      </c>
      <c r="I111" s="887">
        <f t="shared" si="49"/>
        <v>92</v>
      </c>
      <c r="J111" s="1099">
        <f t="shared" si="42"/>
        <v>92</v>
      </c>
      <c r="K111" s="891" t="str">
        <f t="shared" si="43"/>
        <v>January</v>
      </c>
      <c r="L111" s="888">
        <f t="shared" si="50"/>
        <v>2038</v>
      </c>
      <c r="M111" s="883">
        <f t="shared" si="44"/>
        <v>0</v>
      </c>
      <c r="N111" s="883">
        <f t="shared" si="45"/>
        <v>0</v>
      </c>
      <c r="O111" s="1100"/>
      <c r="P111" s="883">
        <f t="shared" si="36"/>
        <v>0</v>
      </c>
      <c r="Q111" s="884">
        <f t="shared" si="46"/>
        <v>0</v>
      </c>
      <c r="R111" s="884">
        <f>IF(AND($AR$39="Early Payoff",I111&gt;=$R$13),0,IF($I111&lt;=$R$6,SUM($P$20:$P111),0))</f>
        <v>0</v>
      </c>
      <c r="S111" s="884">
        <f>IF(AND($AR$39="Early Payoff",I111&gt;=$R$13),0,IF($I111&lt;=$R$6,SUM($Q$20:$Q111),0))</f>
        <v>0</v>
      </c>
      <c r="T111" s="873">
        <f t="shared" si="47"/>
        <v>0</v>
      </c>
      <c r="U111" s="1110">
        <f t="shared" si="53"/>
        <v>0</v>
      </c>
      <c r="W111" s="1102">
        <f t="shared" si="38"/>
        <v>0</v>
      </c>
      <c r="X111" s="873">
        <f t="shared" si="39"/>
        <v>0</v>
      </c>
      <c r="Y111" s="873">
        <f t="shared" si="40"/>
        <v>0</v>
      </c>
      <c r="Z111" s="885">
        <f t="shared" si="41"/>
        <v>0</v>
      </c>
    </row>
    <row r="112" spans="2:26" s="278" customFormat="1" ht="12" customHeight="1" x14ac:dyDescent="0.25">
      <c r="B112" s="1192">
        <f t="shared" si="48"/>
        <v>112</v>
      </c>
      <c r="C112" s="732">
        <f t="shared" si="32"/>
        <v>28</v>
      </c>
      <c r="D112" s="35">
        <f t="shared" si="33"/>
        <v>2</v>
      </c>
      <c r="E112" s="889">
        <f t="shared" si="51"/>
        <v>50464</v>
      </c>
      <c r="F112" s="822">
        <f t="shared" si="34"/>
        <v>2</v>
      </c>
      <c r="G112" s="126">
        <f t="shared" si="35"/>
        <v>0</v>
      </c>
      <c r="H112" s="1098">
        <f t="shared" si="52"/>
        <v>0</v>
      </c>
      <c r="I112" s="887">
        <f t="shared" si="49"/>
        <v>93</v>
      </c>
      <c r="J112" s="1099">
        <f t="shared" si="42"/>
        <v>93</v>
      </c>
      <c r="K112" s="891" t="str">
        <f t="shared" si="43"/>
        <v>February</v>
      </c>
      <c r="L112" s="888">
        <f t="shared" si="50"/>
        <v>2038</v>
      </c>
      <c r="M112" s="883">
        <f t="shared" si="44"/>
        <v>0</v>
      </c>
      <c r="N112" s="883">
        <f t="shared" si="45"/>
        <v>0</v>
      </c>
      <c r="O112" s="1100"/>
      <c r="P112" s="883">
        <f t="shared" si="36"/>
        <v>0</v>
      </c>
      <c r="Q112" s="884">
        <f t="shared" si="46"/>
        <v>0</v>
      </c>
      <c r="R112" s="884">
        <f>IF(AND($AR$39="Early Payoff",I112&gt;=$R$13),0,IF($I112&lt;=$R$6,SUM($P$20:$P112),0))</f>
        <v>0</v>
      </c>
      <c r="S112" s="884">
        <f>IF(AND($AR$39="Early Payoff",I112&gt;=$R$13),0,IF($I112&lt;=$R$6,SUM($Q$20:$Q112),0))</f>
        <v>0</v>
      </c>
      <c r="T112" s="873">
        <f t="shared" si="47"/>
        <v>0</v>
      </c>
      <c r="U112" s="1110">
        <f t="shared" si="53"/>
        <v>0</v>
      </c>
      <c r="W112" s="1102">
        <f t="shared" si="38"/>
        <v>0</v>
      </c>
      <c r="X112" s="873">
        <f t="shared" si="39"/>
        <v>0</v>
      </c>
      <c r="Y112" s="873">
        <f t="shared" si="40"/>
        <v>0</v>
      </c>
      <c r="Z112" s="885">
        <f t="shared" si="41"/>
        <v>0</v>
      </c>
    </row>
    <row r="113" spans="2:26" s="278" customFormat="1" ht="12" customHeight="1" x14ac:dyDescent="0.25">
      <c r="B113" s="1192">
        <f t="shared" si="48"/>
        <v>113</v>
      </c>
      <c r="C113" s="732">
        <f t="shared" si="32"/>
        <v>31</v>
      </c>
      <c r="D113" s="35">
        <f t="shared" si="33"/>
        <v>3</v>
      </c>
      <c r="E113" s="889">
        <f t="shared" si="51"/>
        <v>50495</v>
      </c>
      <c r="F113" s="822">
        <f t="shared" si="34"/>
        <v>3</v>
      </c>
      <c r="G113" s="126">
        <f t="shared" si="35"/>
        <v>0</v>
      </c>
      <c r="H113" s="1098">
        <f t="shared" si="52"/>
        <v>0</v>
      </c>
      <c r="I113" s="887">
        <f t="shared" si="49"/>
        <v>94</v>
      </c>
      <c r="J113" s="1099">
        <f t="shared" si="42"/>
        <v>94</v>
      </c>
      <c r="K113" s="891" t="str">
        <f t="shared" si="43"/>
        <v>March</v>
      </c>
      <c r="L113" s="888">
        <f t="shared" si="50"/>
        <v>2038</v>
      </c>
      <c r="M113" s="883">
        <f t="shared" si="44"/>
        <v>0</v>
      </c>
      <c r="N113" s="883">
        <f t="shared" si="45"/>
        <v>0</v>
      </c>
      <c r="O113" s="1100"/>
      <c r="P113" s="883">
        <f t="shared" si="36"/>
        <v>0</v>
      </c>
      <c r="Q113" s="884">
        <f t="shared" si="46"/>
        <v>0</v>
      </c>
      <c r="R113" s="884">
        <f>IF(AND($AR$39="Early Payoff",I113&gt;=$R$13),0,IF($I113&lt;=$R$6,SUM($P$20:$P113),0))</f>
        <v>0</v>
      </c>
      <c r="S113" s="884">
        <f>IF(AND($AR$39="Early Payoff",I113&gt;=$R$13),0,IF($I113&lt;=$R$6,SUM($Q$20:$Q113),0))</f>
        <v>0</v>
      </c>
      <c r="T113" s="873">
        <f t="shared" si="47"/>
        <v>0</v>
      </c>
      <c r="U113" s="1110">
        <f t="shared" si="53"/>
        <v>0</v>
      </c>
      <c r="W113" s="1102">
        <f t="shared" si="38"/>
        <v>0</v>
      </c>
      <c r="X113" s="873">
        <f t="shared" si="39"/>
        <v>0</v>
      </c>
      <c r="Y113" s="873">
        <f t="shared" si="40"/>
        <v>0</v>
      </c>
      <c r="Z113" s="885">
        <f t="shared" si="41"/>
        <v>0</v>
      </c>
    </row>
    <row r="114" spans="2:26" s="278" customFormat="1" ht="12" customHeight="1" x14ac:dyDescent="0.25">
      <c r="B114" s="1192">
        <f t="shared" si="48"/>
        <v>114</v>
      </c>
      <c r="C114" s="732">
        <f t="shared" si="32"/>
        <v>30</v>
      </c>
      <c r="D114" s="35">
        <f t="shared" si="33"/>
        <v>4</v>
      </c>
      <c r="E114" s="889">
        <f t="shared" si="51"/>
        <v>50525</v>
      </c>
      <c r="F114" s="822">
        <f t="shared" si="34"/>
        <v>4</v>
      </c>
      <c r="G114" s="126">
        <f t="shared" si="35"/>
        <v>0</v>
      </c>
      <c r="H114" s="1098">
        <f t="shared" si="52"/>
        <v>0</v>
      </c>
      <c r="I114" s="887">
        <f t="shared" si="49"/>
        <v>95</v>
      </c>
      <c r="J114" s="1099">
        <f t="shared" si="42"/>
        <v>95</v>
      </c>
      <c r="K114" s="891" t="str">
        <f t="shared" si="43"/>
        <v>April</v>
      </c>
      <c r="L114" s="888">
        <f t="shared" si="50"/>
        <v>2038</v>
      </c>
      <c r="M114" s="883">
        <f t="shared" si="44"/>
        <v>0</v>
      </c>
      <c r="N114" s="883">
        <f t="shared" si="45"/>
        <v>0</v>
      </c>
      <c r="O114" s="1100"/>
      <c r="P114" s="883">
        <f t="shared" si="36"/>
        <v>0</v>
      </c>
      <c r="Q114" s="884">
        <f t="shared" si="46"/>
        <v>0</v>
      </c>
      <c r="R114" s="884">
        <f>IF(AND($AR$39="Early Payoff",I114&gt;=$R$13),0,IF($I114&lt;=$R$6,SUM($P$20:$P114),0))</f>
        <v>0</v>
      </c>
      <c r="S114" s="884">
        <f>IF(AND($AR$39="Early Payoff",I114&gt;=$R$13),0,IF($I114&lt;=$R$6,SUM($Q$20:$Q114),0))</f>
        <v>0</v>
      </c>
      <c r="T114" s="873">
        <f t="shared" si="47"/>
        <v>0</v>
      </c>
      <c r="U114" s="1110">
        <f t="shared" si="53"/>
        <v>0</v>
      </c>
      <c r="W114" s="1102">
        <f t="shared" si="38"/>
        <v>0</v>
      </c>
      <c r="X114" s="873">
        <f t="shared" si="39"/>
        <v>0</v>
      </c>
      <c r="Y114" s="873">
        <f t="shared" si="40"/>
        <v>0</v>
      </c>
      <c r="Z114" s="885">
        <f t="shared" si="41"/>
        <v>0</v>
      </c>
    </row>
    <row r="115" spans="2:26" s="278" customFormat="1" ht="12" customHeight="1" x14ac:dyDescent="0.25">
      <c r="B115" s="1192">
        <f t="shared" si="48"/>
        <v>115</v>
      </c>
      <c r="C115" s="732">
        <f t="shared" si="32"/>
        <v>31</v>
      </c>
      <c r="D115" s="35">
        <f t="shared" si="33"/>
        <v>5</v>
      </c>
      <c r="E115" s="889">
        <f t="shared" si="51"/>
        <v>50556</v>
      </c>
      <c r="F115" s="822">
        <f t="shared" si="34"/>
        <v>5</v>
      </c>
      <c r="G115" s="126">
        <f t="shared" si="35"/>
        <v>0</v>
      </c>
      <c r="H115" s="1098">
        <f t="shared" si="52"/>
        <v>0</v>
      </c>
      <c r="I115" s="887">
        <f t="shared" si="49"/>
        <v>96</v>
      </c>
      <c r="J115" s="1099">
        <f t="shared" si="42"/>
        <v>96</v>
      </c>
      <c r="K115" s="891" t="str">
        <f t="shared" si="43"/>
        <v>May</v>
      </c>
      <c r="L115" s="888">
        <f t="shared" si="50"/>
        <v>2038</v>
      </c>
      <c r="M115" s="883">
        <f t="shared" si="44"/>
        <v>0</v>
      </c>
      <c r="N115" s="883">
        <f t="shared" si="45"/>
        <v>0</v>
      </c>
      <c r="O115" s="1100"/>
      <c r="P115" s="883">
        <f t="shared" si="36"/>
        <v>0</v>
      </c>
      <c r="Q115" s="884">
        <f t="shared" si="46"/>
        <v>0</v>
      </c>
      <c r="R115" s="884">
        <f>IF(AND($AR$39="Early Payoff",I115&gt;=$R$13),0,IF($I115&lt;=$R$6,SUM($P$20:$P115),0))</f>
        <v>0</v>
      </c>
      <c r="S115" s="884">
        <f>IF(AND($AR$39="Early Payoff",I115&gt;=$R$13),0,IF($I115&lt;=$R$6,SUM($Q$20:$Q115),0))</f>
        <v>0</v>
      </c>
      <c r="T115" s="873">
        <f t="shared" si="47"/>
        <v>0</v>
      </c>
      <c r="U115" s="1110">
        <f t="shared" si="53"/>
        <v>0</v>
      </c>
      <c r="W115" s="1102">
        <f t="shared" si="38"/>
        <v>0</v>
      </c>
      <c r="X115" s="873">
        <f t="shared" si="39"/>
        <v>0</v>
      </c>
      <c r="Y115" s="873">
        <f t="shared" si="40"/>
        <v>0</v>
      </c>
      <c r="Z115" s="885">
        <f t="shared" si="41"/>
        <v>0</v>
      </c>
    </row>
    <row r="116" spans="2:26" s="278" customFormat="1" ht="12" customHeight="1" x14ac:dyDescent="0.25">
      <c r="B116" s="1192">
        <f t="shared" si="48"/>
        <v>116</v>
      </c>
      <c r="C116" s="732">
        <f t="shared" si="32"/>
        <v>30</v>
      </c>
      <c r="D116" s="35">
        <f t="shared" si="33"/>
        <v>6</v>
      </c>
      <c r="E116" s="889">
        <f t="shared" si="51"/>
        <v>50586</v>
      </c>
      <c r="F116" s="822">
        <f t="shared" si="34"/>
        <v>6</v>
      </c>
      <c r="G116" s="126">
        <f t="shared" si="35"/>
        <v>0</v>
      </c>
      <c r="H116" s="1098">
        <f t="shared" si="52"/>
        <v>0</v>
      </c>
      <c r="I116" s="887">
        <f t="shared" si="49"/>
        <v>97</v>
      </c>
      <c r="J116" s="1099">
        <f t="shared" si="42"/>
        <v>97</v>
      </c>
      <c r="K116" s="891" t="str">
        <f t="shared" si="43"/>
        <v>June</v>
      </c>
      <c r="L116" s="888">
        <f t="shared" si="50"/>
        <v>2038</v>
      </c>
      <c r="M116" s="883">
        <f t="shared" si="44"/>
        <v>0</v>
      </c>
      <c r="N116" s="883">
        <f t="shared" si="45"/>
        <v>0</v>
      </c>
      <c r="O116" s="1100"/>
      <c r="P116" s="883">
        <f t="shared" si="36"/>
        <v>0</v>
      </c>
      <c r="Q116" s="884">
        <f t="shared" si="46"/>
        <v>0</v>
      </c>
      <c r="R116" s="884">
        <f>IF(AND($AR$39="Early Payoff",I116&gt;=$R$13),0,IF($I116&lt;=$R$6,SUM($P$20:$P116),0))</f>
        <v>0</v>
      </c>
      <c r="S116" s="884">
        <f>IF(AND($AR$39="Early Payoff",I116&gt;=$R$13),0,IF($I116&lt;=$R$6,SUM($Q$20:$Q116),0))</f>
        <v>0</v>
      </c>
      <c r="T116" s="873">
        <f t="shared" si="47"/>
        <v>0</v>
      </c>
      <c r="U116" s="1110">
        <f t="shared" si="53"/>
        <v>0</v>
      </c>
      <c r="W116" s="1102">
        <f t="shared" si="38"/>
        <v>0</v>
      </c>
      <c r="X116" s="873">
        <f t="shared" si="39"/>
        <v>0</v>
      </c>
      <c r="Y116" s="873">
        <f t="shared" si="40"/>
        <v>0</v>
      </c>
      <c r="Z116" s="885">
        <f t="shared" si="41"/>
        <v>0</v>
      </c>
    </row>
    <row r="117" spans="2:26" s="278" customFormat="1" ht="12" customHeight="1" x14ac:dyDescent="0.25">
      <c r="B117" s="1192">
        <f t="shared" si="48"/>
        <v>117</v>
      </c>
      <c r="C117" s="732">
        <f t="shared" si="32"/>
        <v>31</v>
      </c>
      <c r="D117" s="35">
        <f t="shared" si="33"/>
        <v>7</v>
      </c>
      <c r="E117" s="889">
        <f t="shared" si="51"/>
        <v>50617</v>
      </c>
      <c r="F117" s="822">
        <f t="shared" si="34"/>
        <v>7</v>
      </c>
      <c r="G117" s="126">
        <f t="shared" si="35"/>
        <v>0</v>
      </c>
      <c r="H117" s="1098">
        <f t="shared" si="52"/>
        <v>0</v>
      </c>
      <c r="I117" s="887">
        <f t="shared" si="49"/>
        <v>98</v>
      </c>
      <c r="J117" s="1099">
        <f t="shared" si="42"/>
        <v>98</v>
      </c>
      <c r="K117" s="891" t="str">
        <f t="shared" si="43"/>
        <v>July</v>
      </c>
      <c r="L117" s="888">
        <f t="shared" si="50"/>
        <v>2038</v>
      </c>
      <c r="M117" s="883">
        <f t="shared" si="44"/>
        <v>0</v>
      </c>
      <c r="N117" s="883">
        <f t="shared" si="45"/>
        <v>0</v>
      </c>
      <c r="O117" s="1100"/>
      <c r="P117" s="883">
        <f t="shared" si="36"/>
        <v>0</v>
      </c>
      <c r="Q117" s="884">
        <f t="shared" si="46"/>
        <v>0</v>
      </c>
      <c r="R117" s="884">
        <f>IF(AND($AR$39="Early Payoff",I117&gt;=$R$13),0,IF($I117&lt;=$R$6,SUM($P$20:$P117),0))</f>
        <v>0</v>
      </c>
      <c r="S117" s="884">
        <f>IF(AND($AR$39="Early Payoff",I117&gt;=$R$13),0,IF($I117&lt;=$R$6,SUM($Q$20:$Q117),0))</f>
        <v>0</v>
      </c>
      <c r="T117" s="873">
        <f t="shared" si="47"/>
        <v>0</v>
      </c>
      <c r="U117" s="1110">
        <f t="shared" si="53"/>
        <v>0</v>
      </c>
      <c r="W117" s="1102">
        <f t="shared" si="38"/>
        <v>0</v>
      </c>
      <c r="X117" s="873">
        <f t="shared" si="39"/>
        <v>0</v>
      </c>
      <c r="Y117" s="873">
        <f t="shared" si="40"/>
        <v>0</v>
      </c>
      <c r="Z117" s="885">
        <f t="shared" si="41"/>
        <v>0</v>
      </c>
    </row>
    <row r="118" spans="2:26" s="278" customFormat="1" ht="12" customHeight="1" x14ac:dyDescent="0.25">
      <c r="B118" s="1192">
        <f t="shared" si="48"/>
        <v>118</v>
      </c>
      <c r="C118" s="732">
        <f t="shared" si="32"/>
        <v>31</v>
      </c>
      <c r="D118" s="35">
        <f t="shared" si="33"/>
        <v>8</v>
      </c>
      <c r="E118" s="889">
        <f t="shared" si="51"/>
        <v>50648</v>
      </c>
      <c r="F118" s="822">
        <f t="shared" si="34"/>
        <v>8</v>
      </c>
      <c r="G118" s="126">
        <f t="shared" si="35"/>
        <v>0</v>
      </c>
      <c r="H118" s="1098">
        <f t="shared" si="52"/>
        <v>0</v>
      </c>
      <c r="I118" s="887">
        <f t="shared" si="49"/>
        <v>99</v>
      </c>
      <c r="J118" s="1099">
        <f t="shared" si="42"/>
        <v>99</v>
      </c>
      <c r="K118" s="891" t="str">
        <f t="shared" si="43"/>
        <v>August</v>
      </c>
      <c r="L118" s="888">
        <f t="shared" si="50"/>
        <v>2038</v>
      </c>
      <c r="M118" s="883">
        <f t="shared" si="44"/>
        <v>0</v>
      </c>
      <c r="N118" s="883">
        <f t="shared" si="45"/>
        <v>0</v>
      </c>
      <c r="O118" s="1100"/>
      <c r="P118" s="883">
        <f t="shared" si="36"/>
        <v>0</v>
      </c>
      <c r="Q118" s="884">
        <f t="shared" si="46"/>
        <v>0</v>
      </c>
      <c r="R118" s="884">
        <f>IF(AND($AR$39="Early Payoff",I118&gt;=$R$13),0,IF($I118&lt;=$R$6,SUM($P$20:$P118),0))</f>
        <v>0</v>
      </c>
      <c r="S118" s="884">
        <f>IF(AND($AR$39="Early Payoff",I118&gt;=$R$13),0,IF($I118&lt;=$R$6,SUM($Q$20:$Q118),0))</f>
        <v>0</v>
      </c>
      <c r="T118" s="873">
        <f t="shared" si="47"/>
        <v>0</v>
      </c>
      <c r="U118" s="1110">
        <f t="shared" si="53"/>
        <v>0</v>
      </c>
      <c r="W118" s="1102">
        <f t="shared" si="38"/>
        <v>0</v>
      </c>
      <c r="X118" s="873">
        <f t="shared" si="39"/>
        <v>0</v>
      </c>
      <c r="Y118" s="873">
        <f t="shared" si="40"/>
        <v>0</v>
      </c>
      <c r="Z118" s="885">
        <f t="shared" si="41"/>
        <v>0</v>
      </c>
    </row>
    <row r="119" spans="2:26" s="278" customFormat="1" ht="12" customHeight="1" x14ac:dyDescent="0.25">
      <c r="B119" s="1192">
        <f t="shared" si="48"/>
        <v>119</v>
      </c>
      <c r="C119" s="732">
        <f t="shared" si="32"/>
        <v>30</v>
      </c>
      <c r="D119" s="35">
        <f t="shared" si="33"/>
        <v>9</v>
      </c>
      <c r="E119" s="889">
        <f t="shared" si="51"/>
        <v>50678</v>
      </c>
      <c r="F119" s="822">
        <f t="shared" si="34"/>
        <v>9</v>
      </c>
      <c r="G119" s="126">
        <f t="shared" si="35"/>
        <v>0</v>
      </c>
      <c r="H119" s="1098">
        <f t="shared" si="52"/>
        <v>0</v>
      </c>
      <c r="I119" s="887">
        <f t="shared" si="49"/>
        <v>100</v>
      </c>
      <c r="J119" s="1099">
        <f t="shared" si="42"/>
        <v>100</v>
      </c>
      <c r="K119" s="891" t="str">
        <f t="shared" si="43"/>
        <v>September</v>
      </c>
      <c r="L119" s="888">
        <f t="shared" si="50"/>
        <v>2038</v>
      </c>
      <c r="M119" s="883">
        <f t="shared" si="44"/>
        <v>0</v>
      </c>
      <c r="N119" s="883">
        <f t="shared" si="45"/>
        <v>0</v>
      </c>
      <c r="O119" s="1100"/>
      <c r="P119" s="883">
        <f t="shared" si="36"/>
        <v>0</v>
      </c>
      <c r="Q119" s="884">
        <f t="shared" si="46"/>
        <v>0</v>
      </c>
      <c r="R119" s="884">
        <f>IF(AND($AR$39="Early Payoff",I119&gt;=$R$13),0,IF($I119&lt;=$R$6,SUM($P$20:$P119),0))</f>
        <v>0</v>
      </c>
      <c r="S119" s="884">
        <f>IF(AND($AR$39="Early Payoff",I119&gt;=$R$13),0,IF($I119&lt;=$R$6,SUM($Q$20:$Q119),0))</f>
        <v>0</v>
      </c>
      <c r="T119" s="873">
        <f t="shared" si="47"/>
        <v>0</v>
      </c>
      <c r="U119" s="1110">
        <f t="shared" si="53"/>
        <v>0</v>
      </c>
      <c r="W119" s="1102">
        <f t="shared" si="38"/>
        <v>0</v>
      </c>
      <c r="X119" s="873">
        <f t="shared" si="39"/>
        <v>0</v>
      </c>
      <c r="Y119" s="873">
        <f t="shared" si="40"/>
        <v>0</v>
      </c>
      <c r="Z119" s="885">
        <f t="shared" si="41"/>
        <v>0</v>
      </c>
    </row>
    <row r="120" spans="2:26" s="278" customFormat="1" ht="12" customHeight="1" x14ac:dyDescent="0.25">
      <c r="B120" s="1192">
        <f t="shared" si="48"/>
        <v>120</v>
      </c>
      <c r="C120" s="732">
        <f t="shared" si="32"/>
        <v>31</v>
      </c>
      <c r="D120" s="35">
        <f t="shared" si="33"/>
        <v>10</v>
      </c>
      <c r="E120" s="889">
        <f t="shared" si="51"/>
        <v>50709</v>
      </c>
      <c r="F120" s="822">
        <f t="shared" si="34"/>
        <v>10</v>
      </c>
      <c r="G120" s="126">
        <f t="shared" si="35"/>
        <v>0</v>
      </c>
      <c r="H120" s="1098">
        <f t="shared" si="52"/>
        <v>0</v>
      </c>
      <c r="I120" s="887">
        <f t="shared" si="49"/>
        <v>101</v>
      </c>
      <c r="J120" s="1099">
        <f t="shared" si="42"/>
        <v>101</v>
      </c>
      <c r="K120" s="891" t="str">
        <f t="shared" si="43"/>
        <v>October</v>
      </c>
      <c r="L120" s="888">
        <f t="shared" si="50"/>
        <v>2038</v>
      </c>
      <c r="M120" s="883">
        <f t="shared" si="44"/>
        <v>0</v>
      </c>
      <c r="N120" s="883">
        <f t="shared" si="45"/>
        <v>0</v>
      </c>
      <c r="O120" s="1100"/>
      <c r="P120" s="883">
        <f t="shared" si="36"/>
        <v>0</v>
      </c>
      <c r="Q120" s="884">
        <f t="shared" si="46"/>
        <v>0</v>
      </c>
      <c r="R120" s="884">
        <f>IF(AND($AR$39="Early Payoff",I120&gt;=$R$13),0,IF($I120&lt;=$R$6,SUM($P$20:$P120),0))</f>
        <v>0</v>
      </c>
      <c r="S120" s="884">
        <f>IF(AND($AR$39="Early Payoff",I120&gt;=$R$13),0,IF($I120&lt;=$R$6,SUM($Q$20:$Q120),0))</f>
        <v>0</v>
      </c>
      <c r="T120" s="873">
        <f t="shared" si="47"/>
        <v>0</v>
      </c>
      <c r="U120" s="1110">
        <f t="shared" si="53"/>
        <v>0</v>
      </c>
      <c r="W120" s="1102">
        <f t="shared" si="38"/>
        <v>0</v>
      </c>
      <c r="X120" s="873">
        <f t="shared" si="39"/>
        <v>0</v>
      </c>
      <c r="Y120" s="873">
        <f t="shared" si="40"/>
        <v>0</v>
      </c>
      <c r="Z120" s="885">
        <f t="shared" si="41"/>
        <v>0</v>
      </c>
    </row>
    <row r="121" spans="2:26" s="278" customFormat="1" ht="12" customHeight="1" x14ac:dyDescent="0.25">
      <c r="B121" s="1192">
        <f t="shared" si="48"/>
        <v>121</v>
      </c>
      <c r="C121" s="732">
        <f t="shared" si="32"/>
        <v>30</v>
      </c>
      <c r="D121" s="35">
        <f t="shared" si="33"/>
        <v>11</v>
      </c>
      <c r="E121" s="889">
        <f t="shared" si="51"/>
        <v>50739</v>
      </c>
      <c r="F121" s="822">
        <f t="shared" si="34"/>
        <v>11</v>
      </c>
      <c r="G121" s="126">
        <f t="shared" si="35"/>
        <v>0</v>
      </c>
      <c r="H121" s="1098">
        <f t="shared" si="52"/>
        <v>0</v>
      </c>
      <c r="I121" s="887">
        <f t="shared" si="49"/>
        <v>102</v>
      </c>
      <c r="J121" s="1099">
        <f t="shared" si="42"/>
        <v>102</v>
      </c>
      <c r="K121" s="891" t="str">
        <f t="shared" si="43"/>
        <v>November</v>
      </c>
      <c r="L121" s="888">
        <f t="shared" si="50"/>
        <v>2038</v>
      </c>
      <c r="M121" s="883">
        <f t="shared" si="44"/>
        <v>0</v>
      </c>
      <c r="N121" s="883">
        <f t="shared" si="45"/>
        <v>0</v>
      </c>
      <c r="O121" s="1100"/>
      <c r="P121" s="883">
        <f t="shared" si="36"/>
        <v>0</v>
      </c>
      <c r="Q121" s="884">
        <f t="shared" si="46"/>
        <v>0</v>
      </c>
      <c r="R121" s="884">
        <f>IF(AND($AR$39="Early Payoff",I121&gt;=$R$13),0,IF($I121&lt;=$R$6,SUM($P$20:$P121),0))</f>
        <v>0</v>
      </c>
      <c r="S121" s="884">
        <f>IF(AND($AR$39="Early Payoff",I121&gt;=$R$13),0,IF($I121&lt;=$R$6,SUM($Q$20:$Q121),0))</f>
        <v>0</v>
      </c>
      <c r="T121" s="873">
        <f t="shared" si="47"/>
        <v>0</v>
      </c>
      <c r="U121" s="1110">
        <f t="shared" si="53"/>
        <v>0</v>
      </c>
      <c r="W121" s="1102">
        <f t="shared" si="38"/>
        <v>0</v>
      </c>
      <c r="X121" s="873">
        <f t="shared" si="39"/>
        <v>0</v>
      </c>
      <c r="Y121" s="873">
        <f t="shared" si="40"/>
        <v>0</v>
      </c>
      <c r="Z121" s="885">
        <f t="shared" si="41"/>
        <v>0</v>
      </c>
    </row>
    <row r="122" spans="2:26" s="278" customFormat="1" ht="12" customHeight="1" x14ac:dyDescent="0.25">
      <c r="B122" s="1192">
        <f t="shared" si="48"/>
        <v>122</v>
      </c>
      <c r="C122" s="732">
        <f t="shared" si="32"/>
        <v>31</v>
      </c>
      <c r="D122" s="35">
        <f t="shared" si="33"/>
        <v>12</v>
      </c>
      <c r="E122" s="889">
        <f t="shared" si="51"/>
        <v>50770</v>
      </c>
      <c r="F122" s="822">
        <f t="shared" si="34"/>
        <v>12</v>
      </c>
      <c r="G122" s="126">
        <f t="shared" si="35"/>
        <v>1</v>
      </c>
      <c r="H122" s="1098">
        <f t="shared" si="52"/>
        <v>0</v>
      </c>
      <c r="I122" s="887">
        <f t="shared" si="49"/>
        <v>103</v>
      </c>
      <c r="J122" s="1099">
        <f t="shared" si="42"/>
        <v>103</v>
      </c>
      <c r="K122" s="891" t="str">
        <f t="shared" si="43"/>
        <v>December</v>
      </c>
      <c r="L122" s="888">
        <f t="shared" si="50"/>
        <v>2038</v>
      </c>
      <c r="M122" s="883">
        <f t="shared" si="44"/>
        <v>0</v>
      </c>
      <c r="N122" s="883">
        <f t="shared" si="45"/>
        <v>0</v>
      </c>
      <c r="O122" s="1100"/>
      <c r="P122" s="883">
        <f t="shared" si="36"/>
        <v>0</v>
      </c>
      <c r="Q122" s="884">
        <f t="shared" si="46"/>
        <v>0</v>
      </c>
      <c r="R122" s="884">
        <f>IF(AND($AR$39="Early Payoff",I122&gt;=$R$13),0,IF($I122&lt;=$R$6,SUM($P$20:$P122),0))</f>
        <v>0</v>
      </c>
      <c r="S122" s="884">
        <f>IF(AND($AR$39="Early Payoff",I122&gt;=$R$13),0,IF($I122&lt;=$R$6,SUM($Q$20:$Q122),0))</f>
        <v>0</v>
      </c>
      <c r="T122" s="873">
        <f t="shared" si="47"/>
        <v>0</v>
      </c>
      <c r="U122" s="1110">
        <f t="shared" si="53"/>
        <v>0</v>
      </c>
      <c r="W122" s="1102">
        <f t="shared" si="38"/>
        <v>0</v>
      </c>
      <c r="X122" s="873">
        <f t="shared" si="39"/>
        <v>0</v>
      </c>
      <c r="Y122" s="873">
        <f t="shared" si="40"/>
        <v>0</v>
      </c>
      <c r="Z122" s="885">
        <f t="shared" si="41"/>
        <v>0</v>
      </c>
    </row>
    <row r="123" spans="2:26" s="278" customFormat="1" ht="12" customHeight="1" x14ac:dyDescent="0.25">
      <c r="B123" s="1192">
        <f t="shared" si="48"/>
        <v>123</v>
      </c>
      <c r="C123" s="732">
        <f t="shared" si="32"/>
        <v>31</v>
      </c>
      <c r="D123" s="35">
        <f t="shared" si="33"/>
        <v>1</v>
      </c>
      <c r="E123" s="889">
        <f t="shared" si="51"/>
        <v>50801</v>
      </c>
      <c r="F123" s="822">
        <f t="shared" si="34"/>
        <v>1</v>
      </c>
      <c r="G123" s="126">
        <f t="shared" si="35"/>
        <v>0</v>
      </c>
      <c r="H123" s="1098">
        <f t="shared" si="52"/>
        <v>0</v>
      </c>
      <c r="I123" s="887">
        <f t="shared" si="49"/>
        <v>104</v>
      </c>
      <c r="J123" s="1099">
        <f t="shared" si="42"/>
        <v>104</v>
      </c>
      <c r="K123" s="891" t="str">
        <f t="shared" si="43"/>
        <v>January</v>
      </c>
      <c r="L123" s="888">
        <f t="shared" si="50"/>
        <v>2039</v>
      </c>
      <c r="M123" s="883">
        <f t="shared" si="44"/>
        <v>0</v>
      </c>
      <c r="N123" s="883">
        <f t="shared" si="45"/>
        <v>0</v>
      </c>
      <c r="O123" s="1100"/>
      <c r="P123" s="883">
        <f t="shared" si="36"/>
        <v>0</v>
      </c>
      <c r="Q123" s="884">
        <f t="shared" si="46"/>
        <v>0</v>
      </c>
      <c r="R123" s="884">
        <f>IF(AND($AR$39="Early Payoff",I123&gt;=$R$13),0,IF($I123&lt;=$R$6,SUM($P$20:$P123),0))</f>
        <v>0</v>
      </c>
      <c r="S123" s="884">
        <f>IF(AND($AR$39="Early Payoff",I123&gt;=$R$13),0,IF($I123&lt;=$R$6,SUM($Q$20:$Q123),0))</f>
        <v>0</v>
      </c>
      <c r="T123" s="873">
        <f t="shared" si="47"/>
        <v>0</v>
      </c>
      <c r="U123" s="1110">
        <f t="shared" si="53"/>
        <v>0</v>
      </c>
      <c r="W123" s="1102">
        <f t="shared" si="38"/>
        <v>0</v>
      </c>
      <c r="X123" s="873">
        <f t="shared" si="39"/>
        <v>0</v>
      </c>
      <c r="Y123" s="873">
        <f t="shared" si="40"/>
        <v>0</v>
      </c>
      <c r="Z123" s="885">
        <f t="shared" si="41"/>
        <v>0</v>
      </c>
    </row>
    <row r="124" spans="2:26" s="278" customFormat="1" ht="12" customHeight="1" x14ac:dyDescent="0.25">
      <c r="B124" s="1192">
        <f t="shared" si="48"/>
        <v>124</v>
      </c>
      <c r="C124" s="732">
        <f t="shared" si="32"/>
        <v>28</v>
      </c>
      <c r="D124" s="35">
        <f t="shared" si="33"/>
        <v>2</v>
      </c>
      <c r="E124" s="889">
        <f t="shared" si="51"/>
        <v>50829</v>
      </c>
      <c r="F124" s="822">
        <f t="shared" si="34"/>
        <v>2</v>
      </c>
      <c r="G124" s="126">
        <f t="shared" si="35"/>
        <v>0</v>
      </c>
      <c r="H124" s="1098">
        <f t="shared" si="52"/>
        <v>0</v>
      </c>
      <c r="I124" s="887">
        <f t="shared" si="49"/>
        <v>105</v>
      </c>
      <c r="J124" s="1099">
        <f t="shared" si="42"/>
        <v>105</v>
      </c>
      <c r="K124" s="891" t="str">
        <f t="shared" si="43"/>
        <v>February</v>
      </c>
      <c r="L124" s="888">
        <f t="shared" si="50"/>
        <v>2039</v>
      </c>
      <c r="M124" s="883">
        <f t="shared" si="44"/>
        <v>0</v>
      </c>
      <c r="N124" s="883">
        <f t="shared" si="45"/>
        <v>0</v>
      </c>
      <c r="O124" s="1100"/>
      <c r="P124" s="883">
        <f t="shared" si="36"/>
        <v>0</v>
      </c>
      <c r="Q124" s="884">
        <f t="shared" si="46"/>
        <v>0</v>
      </c>
      <c r="R124" s="884">
        <f>IF(AND($AR$39="Early Payoff",I124&gt;=$R$13),0,IF($I124&lt;=$R$6,SUM($P$20:$P124),0))</f>
        <v>0</v>
      </c>
      <c r="S124" s="884">
        <f>IF(AND($AR$39="Early Payoff",I124&gt;=$R$13),0,IF($I124&lt;=$R$6,SUM($Q$20:$Q124),0))</f>
        <v>0</v>
      </c>
      <c r="T124" s="873">
        <f t="shared" si="47"/>
        <v>0</v>
      </c>
      <c r="U124" s="1110">
        <f t="shared" si="53"/>
        <v>0</v>
      </c>
      <c r="W124" s="1102">
        <f t="shared" si="38"/>
        <v>0</v>
      </c>
      <c r="X124" s="873">
        <f t="shared" si="39"/>
        <v>0</v>
      </c>
      <c r="Y124" s="873">
        <f t="shared" si="40"/>
        <v>0</v>
      </c>
      <c r="Z124" s="885">
        <f t="shared" si="41"/>
        <v>0</v>
      </c>
    </row>
    <row r="125" spans="2:26" s="278" customFormat="1" ht="12" customHeight="1" x14ac:dyDescent="0.25">
      <c r="B125" s="1192">
        <f t="shared" si="48"/>
        <v>125</v>
      </c>
      <c r="C125" s="732">
        <f t="shared" si="32"/>
        <v>31</v>
      </c>
      <c r="D125" s="35">
        <f t="shared" si="33"/>
        <v>3</v>
      </c>
      <c r="E125" s="889">
        <f t="shared" si="51"/>
        <v>50860</v>
      </c>
      <c r="F125" s="822">
        <f t="shared" si="34"/>
        <v>3</v>
      </c>
      <c r="G125" s="126">
        <f t="shared" si="35"/>
        <v>0</v>
      </c>
      <c r="H125" s="1098">
        <f t="shared" si="52"/>
        <v>0</v>
      </c>
      <c r="I125" s="887">
        <f t="shared" si="49"/>
        <v>106</v>
      </c>
      <c r="J125" s="1099">
        <f t="shared" si="42"/>
        <v>106</v>
      </c>
      <c r="K125" s="891" t="str">
        <f t="shared" si="43"/>
        <v>March</v>
      </c>
      <c r="L125" s="888">
        <f t="shared" si="50"/>
        <v>2039</v>
      </c>
      <c r="M125" s="883">
        <f t="shared" si="44"/>
        <v>0</v>
      </c>
      <c r="N125" s="883">
        <f t="shared" si="45"/>
        <v>0</v>
      </c>
      <c r="O125" s="1100"/>
      <c r="P125" s="883">
        <f t="shared" si="36"/>
        <v>0</v>
      </c>
      <c r="Q125" s="884">
        <f t="shared" si="46"/>
        <v>0</v>
      </c>
      <c r="R125" s="884">
        <f>IF(AND($AR$39="Early Payoff",I125&gt;=$R$13),0,IF($I125&lt;=$R$6,SUM($P$20:$P125),0))</f>
        <v>0</v>
      </c>
      <c r="S125" s="884">
        <f>IF(AND($AR$39="Early Payoff",I125&gt;=$R$13),0,IF($I125&lt;=$R$6,SUM($Q$20:$Q125),0))</f>
        <v>0</v>
      </c>
      <c r="T125" s="873">
        <f t="shared" si="47"/>
        <v>0</v>
      </c>
      <c r="U125" s="1110">
        <f t="shared" si="53"/>
        <v>0</v>
      </c>
      <c r="W125" s="1102">
        <f t="shared" si="38"/>
        <v>0</v>
      </c>
      <c r="X125" s="873">
        <f t="shared" si="39"/>
        <v>0</v>
      </c>
      <c r="Y125" s="873">
        <f t="shared" si="40"/>
        <v>0</v>
      </c>
      <c r="Z125" s="885">
        <f t="shared" si="41"/>
        <v>0</v>
      </c>
    </row>
    <row r="126" spans="2:26" s="278" customFormat="1" ht="12" customHeight="1" x14ac:dyDescent="0.25">
      <c r="B126" s="1192">
        <f t="shared" si="48"/>
        <v>126</v>
      </c>
      <c r="C126" s="732">
        <f t="shared" si="32"/>
        <v>30</v>
      </c>
      <c r="D126" s="35">
        <f t="shared" si="33"/>
        <v>4</v>
      </c>
      <c r="E126" s="889">
        <f t="shared" si="51"/>
        <v>50890</v>
      </c>
      <c r="F126" s="822">
        <f t="shared" si="34"/>
        <v>4</v>
      </c>
      <c r="G126" s="126">
        <f t="shared" si="35"/>
        <v>0</v>
      </c>
      <c r="H126" s="1098">
        <f t="shared" si="52"/>
        <v>0</v>
      </c>
      <c r="I126" s="887">
        <f t="shared" si="49"/>
        <v>107</v>
      </c>
      <c r="J126" s="1099">
        <f t="shared" si="42"/>
        <v>107</v>
      </c>
      <c r="K126" s="891" t="str">
        <f t="shared" si="43"/>
        <v>April</v>
      </c>
      <c r="L126" s="888">
        <f t="shared" si="50"/>
        <v>2039</v>
      </c>
      <c r="M126" s="883">
        <f t="shared" si="44"/>
        <v>0</v>
      </c>
      <c r="N126" s="883">
        <f t="shared" si="45"/>
        <v>0</v>
      </c>
      <c r="O126" s="1100"/>
      <c r="P126" s="883">
        <f t="shared" si="36"/>
        <v>0</v>
      </c>
      <c r="Q126" s="884">
        <f t="shared" si="46"/>
        <v>0</v>
      </c>
      <c r="R126" s="884">
        <f>IF(AND($AR$39="Early Payoff",I126&gt;=$R$13),0,IF($I126&lt;=$R$6,SUM($P$20:$P126),0))</f>
        <v>0</v>
      </c>
      <c r="S126" s="884">
        <f>IF(AND($AR$39="Early Payoff",I126&gt;=$R$13),0,IF($I126&lt;=$R$6,SUM($Q$20:$Q126),0))</f>
        <v>0</v>
      </c>
      <c r="T126" s="873">
        <f t="shared" si="47"/>
        <v>0</v>
      </c>
      <c r="U126" s="1110">
        <f t="shared" si="53"/>
        <v>0</v>
      </c>
      <c r="W126" s="1102">
        <f t="shared" si="38"/>
        <v>0</v>
      </c>
      <c r="X126" s="873">
        <f t="shared" si="39"/>
        <v>0</v>
      </c>
      <c r="Y126" s="873">
        <f t="shared" si="40"/>
        <v>0</v>
      </c>
      <c r="Z126" s="885">
        <f t="shared" si="41"/>
        <v>0</v>
      </c>
    </row>
    <row r="127" spans="2:26" s="278" customFormat="1" ht="12" customHeight="1" x14ac:dyDescent="0.25">
      <c r="B127" s="1192">
        <f t="shared" si="48"/>
        <v>127</v>
      </c>
      <c r="C127" s="732">
        <f t="shared" si="32"/>
        <v>31</v>
      </c>
      <c r="D127" s="35">
        <f t="shared" si="33"/>
        <v>5</v>
      </c>
      <c r="E127" s="889">
        <f t="shared" si="51"/>
        <v>50921</v>
      </c>
      <c r="F127" s="822">
        <f t="shared" si="34"/>
        <v>5</v>
      </c>
      <c r="G127" s="126">
        <f t="shared" si="35"/>
        <v>0</v>
      </c>
      <c r="H127" s="1098">
        <f t="shared" si="52"/>
        <v>0</v>
      </c>
      <c r="I127" s="887">
        <f t="shared" si="49"/>
        <v>108</v>
      </c>
      <c r="J127" s="1099">
        <f t="shared" si="42"/>
        <v>108</v>
      </c>
      <c r="K127" s="891" t="str">
        <f t="shared" si="43"/>
        <v>May</v>
      </c>
      <c r="L127" s="888">
        <f t="shared" si="50"/>
        <v>2039</v>
      </c>
      <c r="M127" s="883">
        <f t="shared" si="44"/>
        <v>0</v>
      </c>
      <c r="N127" s="883">
        <f t="shared" si="45"/>
        <v>0</v>
      </c>
      <c r="O127" s="1100"/>
      <c r="P127" s="883">
        <f t="shared" si="36"/>
        <v>0</v>
      </c>
      <c r="Q127" s="884">
        <f t="shared" si="46"/>
        <v>0</v>
      </c>
      <c r="R127" s="884">
        <f>IF(AND($AR$39="Early Payoff",I127&gt;=$R$13),0,IF($I127&lt;=$R$6,SUM($P$20:$P127),0))</f>
        <v>0</v>
      </c>
      <c r="S127" s="884">
        <f>IF(AND($AR$39="Early Payoff",I127&gt;=$R$13),0,IF($I127&lt;=$R$6,SUM($Q$20:$Q127),0))</f>
        <v>0</v>
      </c>
      <c r="T127" s="873">
        <f t="shared" si="47"/>
        <v>0</v>
      </c>
      <c r="U127" s="1110">
        <f t="shared" si="53"/>
        <v>0</v>
      </c>
      <c r="W127" s="1102">
        <f t="shared" si="38"/>
        <v>0</v>
      </c>
      <c r="X127" s="873">
        <f t="shared" si="39"/>
        <v>0</v>
      </c>
      <c r="Y127" s="873">
        <f t="shared" si="40"/>
        <v>0</v>
      </c>
      <c r="Z127" s="885">
        <f t="shared" si="41"/>
        <v>0</v>
      </c>
    </row>
    <row r="128" spans="2:26" s="278" customFormat="1" ht="12" customHeight="1" x14ac:dyDescent="0.25">
      <c r="B128" s="1192">
        <f t="shared" si="48"/>
        <v>128</v>
      </c>
      <c r="C128" s="732">
        <f t="shared" si="32"/>
        <v>30</v>
      </c>
      <c r="D128" s="35">
        <f t="shared" si="33"/>
        <v>6</v>
      </c>
      <c r="E128" s="889">
        <f t="shared" si="51"/>
        <v>50951</v>
      </c>
      <c r="F128" s="822">
        <f t="shared" si="34"/>
        <v>6</v>
      </c>
      <c r="G128" s="126">
        <f t="shared" si="35"/>
        <v>0</v>
      </c>
      <c r="H128" s="1098">
        <f t="shared" si="52"/>
        <v>0</v>
      </c>
      <c r="I128" s="887">
        <f t="shared" si="49"/>
        <v>109</v>
      </c>
      <c r="J128" s="1099">
        <f t="shared" si="42"/>
        <v>109</v>
      </c>
      <c r="K128" s="891" t="str">
        <f t="shared" si="43"/>
        <v>June</v>
      </c>
      <c r="L128" s="888">
        <f t="shared" si="50"/>
        <v>2039</v>
      </c>
      <c r="M128" s="883">
        <f t="shared" si="44"/>
        <v>0</v>
      </c>
      <c r="N128" s="883">
        <f t="shared" si="45"/>
        <v>0</v>
      </c>
      <c r="O128" s="1100"/>
      <c r="P128" s="883">
        <f t="shared" si="36"/>
        <v>0</v>
      </c>
      <c r="Q128" s="884">
        <f t="shared" si="46"/>
        <v>0</v>
      </c>
      <c r="R128" s="884">
        <f>IF(AND($AR$39="Early Payoff",I128&gt;=$R$13),0,IF($I128&lt;=$R$6,SUM($P$20:$P128),0))</f>
        <v>0</v>
      </c>
      <c r="S128" s="884">
        <f>IF(AND($AR$39="Early Payoff",I128&gt;=$R$13),0,IF($I128&lt;=$R$6,SUM($Q$20:$Q128),0))</f>
        <v>0</v>
      </c>
      <c r="T128" s="873">
        <f t="shared" si="47"/>
        <v>0</v>
      </c>
      <c r="U128" s="1110">
        <f t="shared" si="53"/>
        <v>0</v>
      </c>
      <c r="W128" s="1102">
        <f t="shared" si="38"/>
        <v>0</v>
      </c>
      <c r="X128" s="873">
        <f t="shared" si="39"/>
        <v>0</v>
      </c>
      <c r="Y128" s="873">
        <f t="shared" si="40"/>
        <v>0</v>
      </c>
      <c r="Z128" s="885">
        <f t="shared" si="41"/>
        <v>0</v>
      </c>
    </row>
    <row r="129" spans="2:26" s="278" customFormat="1" ht="12" customHeight="1" x14ac:dyDescent="0.25">
      <c r="B129" s="1192">
        <f t="shared" si="48"/>
        <v>129</v>
      </c>
      <c r="C129" s="732">
        <f t="shared" si="32"/>
        <v>31</v>
      </c>
      <c r="D129" s="35">
        <f t="shared" si="33"/>
        <v>7</v>
      </c>
      <c r="E129" s="889">
        <f t="shared" si="51"/>
        <v>50982</v>
      </c>
      <c r="F129" s="822">
        <f t="shared" si="34"/>
        <v>7</v>
      </c>
      <c r="G129" s="126">
        <f t="shared" si="35"/>
        <v>0</v>
      </c>
      <c r="H129" s="1098">
        <f t="shared" si="52"/>
        <v>0</v>
      </c>
      <c r="I129" s="887">
        <f t="shared" si="49"/>
        <v>110</v>
      </c>
      <c r="J129" s="1099">
        <f t="shared" si="42"/>
        <v>110</v>
      </c>
      <c r="K129" s="891" t="str">
        <f t="shared" si="43"/>
        <v>July</v>
      </c>
      <c r="L129" s="888">
        <f t="shared" si="50"/>
        <v>2039</v>
      </c>
      <c r="M129" s="883">
        <f t="shared" si="44"/>
        <v>0</v>
      </c>
      <c r="N129" s="883">
        <f t="shared" si="45"/>
        <v>0</v>
      </c>
      <c r="O129" s="1100"/>
      <c r="P129" s="883">
        <f t="shared" si="36"/>
        <v>0</v>
      </c>
      <c r="Q129" s="884">
        <f t="shared" si="46"/>
        <v>0</v>
      </c>
      <c r="R129" s="884">
        <f>IF(AND($AR$39="Early Payoff",I129&gt;=$R$13),0,IF($I129&lt;=$R$6,SUM($P$20:$P129),0))</f>
        <v>0</v>
      </c>
      <c r="S129" s="884">
        <f>IF(AND($AR$39="Early Payoff",I129&gt;=$R$13),0,IF($I129&lt;=$R$6,SUM($Q$20:$Q129),0))</f>
        <v>0</v>
      </c>
      <c r="T129" s="873">
        <f t="shared" si="47"/>
        <v>0</v>
      </c>
      <c r="U129" s="1110">
        <f t="shared" si="53"/>
        <v>0</v>
      </c>
      <c r="W129" s="1102">
        <f t="shared" si="38"/>
        <v>0</v>
      </c>
      <c r="X129" s="873">
        <f t="shared" si="39"/>
        <v>0</v>
      </c>
      <c r="Y129" s="873">
        <f t="shared" si="40"/>
        <v>0</v>
      </c>
      <c r="Z129" s="885">
        <f t="shared" si="41"/>
        <v>0</v>
      </c>
    </row>
    <row r="130" spans="2:26" s="278" customFormat="1" ht="12" customHeight="1" x14ac:dyDescent="0.25">
      <c r="B130" s="1192">
        <f t="shared" si="48"/>
        <v>130</v>
      </c>
      <c r="C130" s="732">
        <f t="shared" si="32"/>
        <v>31</v>
      </c>
      <c r="D130" s="35">
        <f t="shared" si="33"/>
        <v>8</v>
      </c>
      <c r="E130" s="889">
        <f t="shared" si="51"/>
        <v>51013</v>
      </c>
      <c r="F130" s="822">
        <f t="shared" si="34"/>
        <v>8</v>
      </c>
      <c r="G130" s="126">
        <f t="shared" si="35"/>
        <v>0</v>
      </c>
      <c r="H130" s="1098">
        <f t="shared" si="52"/>
        <v>0</v>
      </c>
      <c r="I130" s="887">
        <f t="shared" si="49"/>
        <v>111</v>
      </c>
      <c r="J130" s="1099">
        <f t="shared" si="42"/>
        <v>111</v>
      </c>
      <c r="K130" s="891" t="str">
        <f t="shared" si="43"/>
        <v>August</v>
      </c>
      <c r="L130" s="888">
        <f t="shared" si="50"/>
        <v>2039</v>
      </c>
      <c r="M130" s="883">
        <f t="shared" si="44"/>
        <v>0</v>
      </c>
      <c r="N130" s="883">
        <f t="shared" si="45"/>
        <v>0</v>
      </c>
      <c r="O130" s="1100"/>
      <c r="P130" s="883">
        <f t="shared" si="36"/>
        <v>0</v>
      </c>
      <c r="Q130" s="884">
        <f t="shared" si="46"/>
        <v>0</v>
      </c>
      <c r="R130" s="884">
        <f>IF(AND($AR$39="Early Payoff",I130&gt;=$R$13),0,IF($I130&lt;=$R$6,SUM($P$20:$P130),0))</f>
        <v>0</v>
      </c>
      <c r="S130" s="884">
        <f>IF(AND($AR$39="Early Payoff",I130&gt;=$R$13),0,IF($I130&lt;=$R$6,SUM($Q$20:$Q130),0))</f>
        <v>0</v>
      </c>
      <c r="T130" s="873">
        <f t="shared" si="47"/>
        <v>0</v>
      </c>
      <c r="U130" s="1110">
        <f t="shared" si="53"/>
        <v>0</v>
      </c>
      <c r="W130" s="1102">
        <f t="shared" si="38"/>
        <v>0</v>
      </c>
      <c r="X130" s="873">
        <f t="shared" si="39"/>
        <v>0</v>
      </c>
      <c r="Y130" s="873">
        <f t="shared" si="40"/>
        <v>0</v>
      </c>
      <c r="Z130" s="885">
        <f t="shared" si="41"/>
        <v>0</v>
      </c>
    </row>
    <row r="131" spans="2:26" s="278" customFormat="1" ht="12" customHeight="1" x14ac:dyDescent="0.25">
      <c r="B131" s="1192">
        <f t="shared" si="48"/>
        <v>131</v>
      </c>
      <c r="C131" s="732">
        <f t="shared" si="32"/>
        <v>30</v>
      </c>
      <c r="D131" s="35">
        <f t="shared" si="33"/>
        <v>9</v>
      </c>
      <c r="E131" s="889">
        <f t="shared" si="51"/>
        <v>51043</v>
      </c>
      <c r="F131" s="822">
        <f t="shared" si="34"/>
        <v>9</v>
      </c>
      <c r="G131" s="126">
        <f t="shared" si="35"/>
        <v>0</v>
      </c>
      <c r="H131" s="1098">
        <f t="shared" si="52"/>
        <v>0</v>
      </c>
      <c r="I131" s="887">
        <f t="shared" si="49"/>
        <v>112</v>
      </c>
      <c r="J131" s="1099">
        <f t="shared" si="42"/>
        <v>112</v>
      </c>
      <c r="K131" s="891" t="str">
        <f t="shared" si="43"/>
        <v>September</v>
      </c>
      <c r="L131" s="888">
        <f t="shared" si="50"/>
        <v>2039</v>
      </c>
      <c r="M131" s="883">
        <f t="shared" si="44"/>
        <v>0</v>
      </c>
      <c r="N131" s="883">
        <f t="shared" si="45"/>
        <v>0</v>
      </c>
      <c r="O131" s="1100"/>
      <c r="P131" s="883">
        <f t="shared" si="36"/>
        <v>0</v>
      </c>
      <c r="Q131" s="884">
        <f t="shared" si="46"/>
        <v>0</v>
      </c>
      <c r="R131" s="884">
        <f>IF(AND($AR$39="Early Payoff",I131&gt;=$R$13),0,IF($I131&lt;=$R$6,SUM($P$20:$P131),0))</f>
        <v>0</v>
      </c>
      <c r="S131" s="884">
        <f>IF(AND($AR$39="Early Payoff",I131&gt;=$R$13),0,IF($I131&lt;=$R$6,SUM($Q$20:$Q131),0))</f>
        <v>0</v>
      </c>
      <c r="T131" s="873">
        <f t="shared" si="47"/>
        <v>0</v>
      </c>
      <c r="U131" s="1110">
        <f t="shared" si="53"/>
        <v>0</v>
      </c>
      <c r="W131" s="1102">
        <f t="shared" si="38"/>
        <v>0</v>
      </c>
      <c r="X131" s="873">
        <f t="shared" si="39"/>
        <v>0</v>
      </c>
      <c r="Y131" s="873">
        <f t="shared" si="40"/>
        <v>0</v>
      </c>
      <c r="Z131" s="885">
        <f t="shared" si="41"/>
        <v>0</v>
      </c>
    </row>
    <row r="132" spans="2:26" s="278" customFormat="1" ht="12" customHeight="1" x14ac:dyDescent="0.25">
      <c r="B132" s="1192">
        <f t="shared" si="48"/>
        <v>132</v>
      </c>
      <c r="C132" s="732">
        <f t="shared" si="32"/>
        <v>31</v>
      </c>
      <c r="D132" s="35">
        <f t="shared" si="33"/>
        <v>10</v>
      </c>
      <c r="E132" s="889">
        <f t="shared" si="51"/>
        <v>51074</v>
      </c>
      <c r="F132" s="822">
        <f t="shared" si="34"/>
        <v>10</v>
      </c>
      <c r="G132" s="126">
        <f t="shared" si="35"/>
        <v>0</v>
      </c>
      <c r="H132" s="1098">
        <f t="shared" si="52"/>
        <v>0</v>
      </c>
      <c r="I132" s="887">
        <f t="shared" si="49"/>
        <v>113</v>
      </c>
      <c r="J132" s="1099">
        <f t="shared" si="42"/>
        <v>113</v>
      </c>
      <c r="K132" s="891" t="str">
        <f t="shared" si="43"/>
        <v>October</v>
      </c>
      <c r="L132" s="888">
        <f t="shared" si="50"/>
        <v>2039</v>
      </c>
      <c r="M132" s="883">
        <f t="shared" si="44"/>
        <v>0</v>
      </c>
      <c r="N132" s="883">
        <f t="shared" si="45"/>
        <v>0</v>
      </c>
      <c r="O132" s="1100"/>
      <c r="P132" s="883">
        <f t="shared" si="36"/>
        <v>0</v>
      </c>
      <c r="Q132" s="884">
        <f t="shared" si="46"/>
        <v>0</v>
      </c>
      <c r="R132" s="884">
        <f>IF(AND($AR$39="Early Payoff",I132&gt;=$R$13),0,IF($I132&lt;=$R$6,SUM($P$20:$P132),0))</f>
        <v>0</v>
      </c>
      <c r="S132" s="884">
        <f>IF(AND($AR$39="Early Payoff",I132&gt;=$R$13),0,IF($I132&lt;=$R$6,SUM($Q$20:$Q132),0))</f>
        <v>0</v>
      </c>
      <c r="T132" s="873">
        <f t="shared" si="47"/>
        <v>0</v>
      </c>
      <c r="U132" s="1110">
        <f t="shared" si="53"/>
        <v>0</v>
      </c>
      <c r="W132" s="1102">
        <f t="shared" si="38"/>
        <v>0</v>
      </c>
      <c r="X132" s="873">
        <f t="shared" si="39"/>
        <v>0</v>
      </c>
      <c r="Y132" s="873">
        <f t="shared" si="40"/>
        <v>0</v>
      </c>
      <c r="Z132" s="885">
        <f t="shared" si="41"/>
        <v>0</v>
      </c>
    </row>
    <row r="133" spans="2:26" s="278" customFormat="1" ht="12" customHeight="1" x14ac:dyDescent="0.25">
      <c r="B133" s="1192">
        <f t="shared" si="48"/>
        <v>133</v>
      </c>
      <c r="C133" s="732">
        <f t="shared" si="32"/>
        <v>30</v>
      </c>
      <c r="D133" s="35">
        <f t="shared" si="33"/>
        <v>11</v>
      </c>
      <c r="E133" s="889">
        <f t="shared" si="51"/>
        <v>51104</v>
      </c>
      <c r="F133" s="822">
        <f t="shared" si="34"/>
        <v>11</v>
      </c>
      <c r="G133" s="126">
        <f t="shared" si="35"/>
        <v>0</v>
      </c>
      <c r="H133" s="1098">
        <f t="shared" si="52"/>
        <v>0</v>
      </c>
      <c r="I133" s="887">
        <f t="shared" si="49"/>
        <v>114</v>
      </c>
      <c r="J133" s="1099">
        <f t="shared" si="42"/>
        <v>114</v>
      </c>
      <c r="K133" s="891" t="str">
        <f t="shared" si="43"/>
        <v>November</v>
      </c>
      <c r="L133" s="888">
        <f t="shared" si="50"/>
        <v>2039</v>
      </c>
      <c r="M133" s="883">
        <f t="shared" si="44"/>
        <v>0</v>
      </c>
      <c r="N133" s="883">
        <f t="shared" si="45"/>
        <v>0</v>
      </c>
      <c r="O133" s="1100"/>
      <c r="P133" s="883">
        <f t="shared" si="36"/>
        <v>0</v>
      </c>
      <c r="Q133" s="884">
        <f t="shared" si="46"/>
        <v>0</v>
      </c>
      <c r="R133" s="884">
        <f>IF(AND($AR$39="Early Payoff",I133&gt;=$R$13),0,IF($I133&lt;=$R$6,SUM($P$20:$P133),0))</f>
        <v>0</v>
      </c>
      <c r="S133" s="884">
        <f>IF(AND($AR$39="Early Payoff",I133&gt;=$R$13),0,IF($I133&lt;=$R$6,SUM($Q$20:$Q133),0))</f>
        <v>0</v>
      </c>
      <c r="T133" s="873">
        <f t="shared" si="47"/>
        <v>0</v>
      </c>
      <c r="U133" s="1110">
        <f t="shared" si="53"/>
        <v>0</v>
      </c>
      <c r="W133" s="1102">
        <f t="shared" si="38"/>
        <v>0</v>
      </c>
      <c r="X133" s="873">
        <f t="shared" si="39"/>
        <v>0</v>
      </c>
      <c r="Y133" s="873">
        <f t="shared" si="40"/>
        <v>0</v>
      </c>
      <c r="Z133" s="885">
        <f t="shared" si="41"/>
        <v>0</v>
      </c>
    </row>
    <row r="134" spans="2:26" s="278" customFormat="1" ht="12" customHeight="1" x14ac:dyDescent="0.25">
      <c r="B134" s="1192">
        <f t="shared" si="48"/>
        <v>134</v>
      </c>
      <c r="C134" s="732">
        <f t="shared" si="32"/>
        <v>31</v>
      </c>
      <c r="D134" s="35">
        <f t="shared" si="33"/>
        <v>12</v>
      </c>
      <c r="E134" s="889">
        <f t="shared" si="51"/>
        <v>51135</v>
      </c>
      <c r="F134" s="822">
        <f t="shared" si="34"/>
        <v>12</v>
      </c>
      <c r="G134" s="126">
        <f t="shared" si="35"/>
        <v>1</v>
      </c>
      <c r="H134" s="1098">
        <f t="shared" si="52"/>
        <v>0</v>
      </c>
      <c r="I134" s="887">
        <f t="shared" si="49"/>
        <v>115</v>
      </c>
      <c r="J134" s="1099">
        <f t="shared" si="42"/>
        <v>115</v>
      </c>
      <c r="K134" s="891" t="str">
        <f t="shared" si="43"/>
        <v>December</v>
      </c>
      <c r="L134" s="888">
        <f t="shared" si="50"/>
        <v>2039</v>
      </c>
      <c r="M134" s="883">
        <f t="shared" si="44"/>
        <v>0</v>
      </c>
      <c r="N134" s="883">
        <f t="shared" si="45"/>
        <v>0</v>
      </c>
      <c r="O134" s="1100"/>
      <c r="P134" s="883">
        <f t="shared" si="36"/>
        <v>0</v>
      </c>
      <c r="Q134" s="884">
        <f t="shared" si="46"/>
        <v>0</v>
      </c>
      <c r="R134" s="884">
        <f>IF(AND($AR$39="Early Payoff",I134&gt;=$R$13),0,IF($I134&lt;=$R$6,SUM($P$20:$P134),0))</f>
        <v>0</v>
      </c>
      <c r="S134" s="884">
        <f>IF(AND($AR$39="Early Payoff",I134&gt;=$R$13),0,IF($I134&lt;=$R$6,SUM($Q$20:$Q134),0))</f>
        <v>0</v>
      </c>
      <c r="T134" s="873">
        <f t="shared" si="47"/>
        <v>0</v>
      </c>
      <c r="U134" s="1110">
        <f t="shared" si="53"/>
        <v>0</v>
      </c>
      <c r="W134" s="1102">
        <f t="shared" si="38"/>
        <v>0</v>
      </c>
      <c r="X134" s="873">
        <f t="shared" si="39"/>
        <v>0</v>
      </c>
      <c r="Y134" s="873">
        <f t="shared" si="40"/>
        <v>0</v>
      </c>
      <c r="Z134" s="885">
        <f t="shared" si="41"/>
        <v>0</v>
      </c>
    </row>
    <row r="135" spans="2:26" s="278" customFormat="1" ht="12" customHeight="1" x14ac:dyDescent="0.25">
      <c r="B135" s="1192">
        <f t="shared" si="48"/>
        <v>135</v>
      </c>
      <c r="C135" s="732">
        <f t="shared" si="32"/>
        <v>31</v>
      </c>
      <c r="D135" s="35">
        <f t="shared" si="33"/>
        <v>1</v>
      </c>
      <c r="E135" s="889">
        <f t="shared" si="51"/>
        <v>51166</v>
      </c>
      <c r="F135" s="822">
        <f t="shared" si="34"/>
        <v>1</v>
      </c>
      <c r="G135" s="126">
        <f t="shared" si="35"/>
        <v>0</v>
      </c>
      <c r="H135" s="1098">
        <f t="shared" si="52"/>
        <v>0</v>
      </c>
      <c r="I135" s="887">
        <f t="shared" si="49"/>
        <v>116</v>
      </c>
      <c r="J135" s="1099">
        <f t="shared" si="42"/>
        <v>116</v>
      </c>
      <c r="K135" s="891" t="str">
        <f t="shared" si="43"/>
        <v>January</v>
      </c>
      <c r="L135" s="888">
        <f t="shared" si="50"/>
        <v>2040</v>
      </c>
      <c r="M135" s="883">
        <f t="shared" si="44"/>
        <v>0</v>
      </c>
      <c r="N135" s="883">
        <f t="shared" si="45"/>
        <v>0</v>
      </c>
      <c r="O135" s="1100"/>
      <c r="P135" s="883">
        <f t="shared" si="36"/>
        <v>0</v>
      </c>
      <c r="Q135" s="884">
        <f t="shared" si="46"/>
        <v>0</v>
      </c>
      <c r="R135" s="884">
        <f>IF(AND($AR$39="Early Payoff",I135&gt;=$R$13),0,IF($I135&lt;=$R$6,SUM($P$20:$P135),0))</f>
        <v>0</v>
      </c>
      <c r="S135" s="884">
        <f>IF(AND($AR$39="Early Payoff",I135&gt;=$R$13),0,IF($I135&lt;=$R$6,SUM($Q$20:$Q135),0))</f>
        <v>0</v>
      </c>
      <c r="T135" s="873">
        <f t="shared" si="47"/>
        <v>0</v>
      </c>
      <c r="U135" s="1110">
        <f t="shared" si="53"/>
        <v>0</v>
      </c>
      <c r="W135" s="1102">
        <f t="shared" si="38"/>
        <v>0</v>
      </c>
      <c r="X135" s="873">
        <f t="shared" si="39"/>
        <v>0</v>
      </c>
      <c r="Y135" s="873">
        <f t="shared" si="40"/>
        <v>0</v>
      </c>
      <c r="Z135" s="885">
        <f t="shared" si="41"/>
        <v>0</v>
      </c>
    </row>
    <row r="136" spans="2:26" s="278" customFormat="1" ht="12" customHeight="1" x14ac:dyDescent="0.25">
      <c r="B136" s="1192">
        <f t="shared" si="48"/>
        <v>136</v>
      </c>
      <c r="C136" s="732">
        <f t="shared" si="32"/>
        <v>29</v>
      </c>
      <c r="D136" s="35">
        <f t="shared" si="33"/>
        <v>2</v>
      </c>
      <c r="E136" s="889">
        <f t="shared" si="51"/>
        <v>51195</v>
      </c>
      <c r="F136" s="822">
        <f t="shared" si="34"/>
        <v>2</v>
      </c>
      <c r="G136" s="126">
        <f t="shared" si="35"/>
        <v>0</v>
      </c>
      <c r="H136" s="1098">
        <f t="shared" si="52"/>
        <v>0</v>
      </c>
      <c r="I136" s="887">
        <f t="shared" si="49"/>
        <v>117</v>
      </c>
      <c r="J136" s="1099">
        <f t="shared" si="42"/>
        <v>117</v>
      </c>
      <c r="K136" s="891" t="str">
        <f t="shared" si="43"/>
        <v>February</v>
      </c>
      <c r="L136" s="888">
        <f t="shared" si="50"/>
        <v>2040</v>
      </c>
      <c r="M136" s="883">
        <f t="shared" si="44"/>
        <v>0</v>
      </c>
      <c r="N136" s="883">
        <f t="shared" si="45"/>
        <v>0</v>
      </c>
      <c r="O136" s="1100"/>
      <c r="P136" s="883">
        <f t="shared" si="36"/>
        <v>0</v>
      </c>
      <c r="Q136" s="884">
        <f t="shared" si="46"/>
        <v>0</v>
      </c>
      <c r="R136" s="884">
        <f>IF(AND($AR$39="Early Payoff",I136&gt;=$R$13),0,IF($I136&lt;=$R$6,SUM($P$20:$P136),0))</f>
        <v>0</v>
      </c>
      <c r="S136" s="884">
        <f>IF(AND($AR$39="Early Payoff",I136&gt;=$R$13),0,IF($I136&lt;=$R$6,SUM($Q$20:$Q136),0))</f>
        <v>0</v>
      </c>
      <c r="T136" s="873">
        <f t="shared" si="47"/>
        <v>0</v>
      </c>
      <c r="U136" s="1110">
        <f t="shared" si="53"/>
        <v>0</v>
      </c>
      <c r="W136" s="1102">
        <f t="shared" si="38"/>
        <v>0</v>
      </c>
      <c r="X136" s="873">
        <f t="shared" si="39"/>
        <v>0</v>
      </c>
      <c r="Y136" s="873">
        <f t="shared" si="40"/>
        <v>0</v>
      </c>
      <c r="Z136" s="885">
        <f t="shared" si="41"/>
        <v>0</v>
      </c>
    </row>
    <row r="137" spans="2:26" s="278" customFormat="1" ht="12" customHeight="1" x14ac:dyDescent="0.25">
      <c r="B137" s="1192">
        <f t="shared" si="48"/>
        <v>137</v>
      </c>
      <c r="C137" s="732">
        <f t="shared" si="32"/>
        <v>31</v>
      </c>
      <c r="D137" s="35">
        <f t="shared" si="33"/>
        <v>3</v>
      </c>
      <c r="E137" s="889">
        <f t="shared" si="51"/>
        <v>51226</v>
      </c>
      <c r="F137" s="822">
        <f t="shared" si="34"/>
        <v>3</v>
      </c>
      <c r="G137" s="126">
        <f t="shared" si="35"/>
        <v>0</v>
      </c>
      <c r="H137" s="1098">
        <f t="shared" si="52"/>
        <v>0</v>
      </c>
      <c r="I137" s="887">
        <f t="shared" si="49"/>
        <v>118</v>
      </c>
      <c r="J137" s="1099">
        <f t="shared" si="42"/>
        <v>118</v>
      </c>
      <c r="K137" s="891" t="str">
        <f t="shared" si="43"/>
        <v>March</v>
      </c>
      <c r="L137" s="888">
        <f t="shared" si="50"/>
        <v>2040</v>
      </c>
      <c r="M137" s="883">
        <f t="shared" si="44"/>
        <v>0</v>
      </c>
      <c r="N137" s="883">
        <f t="shared" si="45"/>
        <v>0</v>
      </c>
      <c r="O137" s="1100"/>
      <c r="P137" s="883">
        <f t="shared" si="36"/>
        <v>0</v>
      </c>
      <c r="Q137" s="884">
        <f t="shared" si="46"/>
        <v>0</v>
      </c>
      <c r="R137" s="884">
        <f>IF(AND($AR$39="Early Payoff",I137&gt;=$R$13),0,IF($I137&lt;=$R$6,SUM($P$20:$P137),0))</f>
        <v>0</v>
      </c>
      <c r="S137" s="884">
        <f>IF(AND($AR$39="Early Payoff",I137&gt;=$R$13),0,IF($I137&lt;=$R$6,SUM($Q$20:$Q137),0))</f>
        <v>0</v>
      </c>
      <c r="T137" s="873">
        <f t="shared" si="47"/>
        <v>0</v>
      </c>
      <c r="U137" s="1110">
        <f t="shared" si="53"/>
        <v>0</v>
      </c>
      <c r="W137" s="1102">
        <f t="shared" si="38"/>
        <v>0</v>
      </c>
      <c r="X137" s="873">
        <f t="shared" si="39"/>
        <v>0</v>
      </c>
      <c r="Y137" s="873">
        <f t="shared" si="40"/>
        <v>0</v>
      </c>
      <c r="Z137" s="885">
        <f t="shared" si="41"/>
        <v>0</v>
      </c>
    </row>
    <row r="138" spans="2:26" s="278" customFormat="1" ht="12" customHeight="1" x14ac:dyDescent="0.25">
      <c r="B138" s="1192">
        <f t="shared" si="48"/>
        <v>138</v>
      </c>
      <c r="C138" s="732">
        <f t="shared" si="32"/>
        <v>30</v>
      </c>
      <c r="D138" s="35">
        <f t="shared" si="33"/>
        <v>4</v>
      </c>
      <c r="E138" s="889">
        <f t="shared" si="51"/>
        <v>51256</v>
      </c>
      <c r="F138" s="822">
        <f t="shared" si="34"/>
        <v>4</v>
      </c>
      <c r="G138" s="126">
        <f t="shared" si="35"/>
        <v>0</v>
      </c>
      <c r="H138" s="1098">
        <f t="shared" si="52"/>
        <v>0</v>
      </c>
      <c r="I138" s="887">
        <f t="shared" si="49"/>
        <v>119</v>
      </c>
      <c r="J138" s="1099">
        <f t="shared" si="42"/>
        <v>119</v>
      </c>
      <c r="K138" s="891" t="str">
        <f t="shared" si="43"/>
        <v>April</v>
      </c>
      <c r="L138" s="888">
        <f t="shared" si="50"/>
        <v>2040</v>
      </c>
      <c r="M138" s="883">
        <f t="shared" si="44"/>
        <v>0</v>
      </c>
      <c r="N138" s="883">
        <f t="shared" si="45"/>
        <v>0</v>
      </c>
      <c r="O138" s="1100"/>
      <c r="P138" s="883">
        <f t="shared" si="36"/>
        <v>0</v>
      </c>
      <c r="Q138" s="884">
        <f t="shared" si="46"/>
        <v>0</v>
      </c>
      <c r="R138" s="884">
        <f>IF(AND($AR$39="Early Payoff",I138&gt;=$R$13),0,IF($I138&lt;=$R$6,SUM($P$20:$P138),0))</f>
        <v>0</v>
      </c>
      <c r="S138" s="884">
        <f>IF(AND($AR$39="Early Payoff",I138&gt;=$R$13),0,IF($I138&lt;=$R$6,SUM($Q$20:$Q138),0))</f>
        <v>0</v>
      </c>
      <c r="T138" s="873">
        <f t="shared" si="47"/>
        <v>0</v>
      </c>
      <c r="U138" s="1110">
        <f t="shared" si="53"/>
        <v>0</v>
      </c>
      <c r="W138" s="1102">
        <f t="shared" si="38"/>
        <v>0</v>
      </c>
      <c r="X138" s="873">
        <f t="shared" si="39"/>
        <v>0</v>
      </c>
      <c r="Y138" s="873">
        <f t="shared" si="40"/>
        <v>0</v>
      </c>
      <c r="Z138" s="885">
        <f t="shared" si="41"/>
        <v>0</v>
      </c>
    </row>
    <row r="139" spans="2:26" s="278" customFormat="1" ht="12" customHeight="1" x14ac:dyDescent="0.25">
      <c r="B139" s="1192">
        <f t="shared" si="48"/>
        <v>139</v>
      </c>
      <c r="C139" s="732">
        <f t="shared" si="32"/>
        <v>31</v>
      </c>
      <c r="D139" s="35">
        <f t="shared" si="33"/>
        <v>5</v>
      </c>
      <c r="E139" s="889">
        <f t="shared" si="51"/>
        <v>51287</v>
      </c>
      <c r="F139" s="822">
        <f t="shared" si="34"/>
        <v>5</v>
      </c>
      <c r="G139" s="126">
        <f t="shared" si="35"/>
        <v>0</v>
      </c>
      <c r="H139" s="1098">
        <f t="shared" si="52"/>
        <v>0</v>
      </c>
      <c r="I139" s="887">
        <f t="shared" si="49"/>
        <v>120</v>
      </c>
      <c r="J139" s="1099">
        <f t="shared" si="42"/>
        <v>120</v>
      </c>
      <c r="K139" s="891" t="str">
        <f t="shared" si="43"/>
        <v>May</v>
      </c>
      <c r="L139" s="888">
        <f t="shared" si="50"/>
        <v>2040</v>
      </c>
      <c r="M139" s="883">
        <f t="shared" si="44"/>
        <v>0</v>
      </c>
      <c r="N139" s="883">
        <f t="shared" si="45"/>
        <v>0</v>
      </c>
      <c r="O139" s="1100"/>
      <c r="P139" s="883">
        <f t="shared" si="36"/>
        <v>0</v>
      </c>
      <c r="Q139" s="884">
        <f t="shared" si="46"/>
        <v>0</v>
      </c>
      <c r="R139" s="884">
        <f>IF(AND($AR$39="Early Payoff",I139&gt;=$R$13),0,IF($I139&lt;=$R$6,SUM($P$20:$P139),0))</f>
        <v>0</v>
      </c>
      <c r="S139" s="884">
        <f>IF(AND($AR$39="Early Payoff",I139&gt;=$R$13),0,IF($I139&lt;=$R$6,SUM($Q$20:$Q139),0))</f>
        <v>0</v>
      </c>
      <c r="T139" s="873">
        <f t="shared" si="47"/>
        <v>0</v>
      </c>
      <c r="U139" s="1110">
        <f t="shared" si="53"/>
        <v>0</v>
      </c>
      <c r="W139" s="1102">
        <f t="shared" si="38"/>
        <v>0</v>
      </c>
      <c r="X139" s="873">
        <f t="shared" si="39"/>
        <v>0</v>
      </c>
      <c r="Y139" s="873">
        <f t="shared" si="40"/>
        <v>0</v>
      </c>
      <c r="Z139" s="885">
        <f t="shared" si="41"/>
        <v>0</v>
      </c>
    </row>
    <row r="140" spans="2:26" s="278" customFormat="1" ht="12" customHeight="1" x14ac:dyDescent="0.25">
      <c r="B140" s="1192">
        <f t="shared" si="48"/>
        <v>140</v>
      </c>
      <c r="C140" s="732">
        <f t="shared" si="32"/>
        <v>30</v>
      </c>
      <c r="D140" s="35">
        <f t="shared" si="33"/>
        <v>6</v>
      </c>
      <c r="E140" s="889">
        <f t="shared" si="51"/>
        <v>51317</v>
      </c>
      <c r="F140" s="822">
        <f t="shared" si="34"/>
        <v>6</v>
      </c>
      <c r="G140" s="126">
        <f t="shared" si="35"/>
        <v>0</v>
      </c>
      <c r="H140" s="1098">
        <f t="shared" si="52"/>
        <v>0</v>
      </c>
      <c r="I140" s="887">
        <f t="shared" si="49"/>
        <v>121</v>
      </c>
      <c r="J140" s="1099">
        <f t="shared" si="42"/>
        <v>121</v>
      </c>
      <c r="K140" s="891" t="str">
        <f t="shared" si="43"/>
        <v>June</v>
      </c>
      <c r="L140" s="888">
        <f t="shared" si="50"/>
        <v>2040</v>
      </c>
      <c r="M140" s="883">
        <f t="shared" si="44"/>
        <v>0</v>
      </c>
      <c r="N140" s="883">
        <f t="shared" si="45"/>
        <v>0</v>
      </c>
      <c r="O140" s="1100"/>
      <c r="P140" s="883">
        <f t="shared" si="36"/>
        <v>0</v>
      </c>
      <c r="Q140" s="884">
        <f t="shared" si="46"/>
        <v>0</v>
      </c>
      <c r="R140" s="884">
        <f>IF(AND($AR$39="Early Payoff",I140&gt;=$R$13),0,IF($I140&lt;=$R$6,SUM($P$20:$P140),0))</f>
        <v>0</v>
      </c>
      <c r="S140" s="884">
        <f>IF(AND($AR$39="Early Payoff",I140&gt;=$R$13),0,IF($I140&lt;=$R$6,SUM($Q$20:$Q140),0))</f>
        <v>0</v>
      </c>
      <c r="T140" s="873">
        <f t="shared" si="47"/>
        <v>0</v>
      </c>
      <c r="U140" s="1110">
        <f t="shared" si="53"/>
        <v>0</v>
      </c>
      <c r="W140" s="1102">
        <f t="shared" si="38"/>
        <v>0</v>
      </c>
      <c r="X140" s="873">
        <f t="shared" si="39"/>
        <v>0</v>
      </c>
      <c r="Y140" s="873">
        <f t="shared" si="40"/>
        <v>0</v>
      </c>
      <c r="Z140" s="885">
        <f t="shared" si="41"/>
        <v>0</v>
      </c>
    </row>
    <row r="141" spans="2:26" s="278" customFormat="1" ht="12" customHeight="1" x14ac:dyDescent="0.25">
      <c r="B141" s="1192">
        <f t="shared" si="48"/>
        <v>141</v>
      </c>
      <c r="C141" s="732">
        <f t="shared" si="32"/>
        <v>31</v>
      </c>
      <c r="D141" s="35">
        <f t="shared" si="33"/>
        <v>7</v>
      </c>
      <c r="E141" s="889">
        <f t="shared" si="51"/>
        <v>51348</v>
      </c>
      <c r="F141" s="822">
        <f t="shared" si="34"/>
        <v>7</v>
      </c>
      <c r="G141" s="126">
        <f t="shared" si="35"/>
        <v>0</v>
      </c>
      <c r="H141" s="1098">
        <f t="shared" si="52"/>
        <v>0</v>
      </c>
      <c r="I141" s="887">
        <f t="shared" si="49"/>
        <v>122</v>
      </c>
      <c r="J141" s="1099">
        <f t="shared" si="42"/>
        <v>122</v>
      </c>
      <c r="K141" s="891" t="str">
        <f t="shared" si="43"/>
        <v>July</v>
      </c>
      <c r="L141" s="888">
        <f t="shared" si="50"/>
        <v>2040</v>
      </c>
      <c r="M141" s="883">
        <f t="shared" si="44"/>
        <v>0</v>
      </c>
      <c r="N141" s="883">
        <f t="shared" si="45"/>
        <v>0</v>
      </c>
      <c r="O141" s="1100"/>
      <c r="P141" s="883">
        <f t="shared" si="36"/>
        <v>0</v>
      </c>
      <c r="Q141" s="884">
        <f t="shared" si="46"/>
        <v>0</v>
      </c>
      <c r="R141" s="884">
        <f>IF(AND($AR$39="Early Payoff",I141&gt;=$R$13),0,IF($I141&lt;=$R$6,SUM($P$20:$P141),0))</f>
        <v>0</v>
      </c>
      <c r="S141" s="884">
        <f>IF(AND($AR$39="Early Payoff",I141&gt;=$R$13),0,IF($I141&lt;=$R$6,SUM($Q$20:$Q141),0))</f>
        <v>0</v>
      </c>
      <c r="T141" s="873">
        <f t="shared" si="47"/>
        <v>0</v>
      </c>
      <c r="U141" s="1110">
        <f t="shared" si="53"/>
        <v>0</v>
      </c>
      <c r="W141" s="1102">
        <f t="shared" si="38"/>
        <v>0</v>
      </c>
      <c r="X141" s="873">
        <f t="shared" si="39"/>
        <v>0</v>
      </c>
      <c r="Y141" s="873">
        <f t="shared" si="40"/>
        <v>0</v>
      </c>
      <c r="Z141" s="885">
        <f t="shared" si="41"/>
        <v>0</v>
      </c>
    </row>
    <row r="142" spans="2:26" s="278" customFormat="1" ht="12" customHeight="1" x14ac:dyDescent="0.25">
      <c r="B142" s="1192">
        <f t="shared" si="48"/>
        <v>142</v>
      </c>
      <c r="C142" s="732">
        <f t="shared" si="32"/>
        <v>31</v>
      </c>
      <c r="D142" s="35">
        <f t="shared" si="33"/>
        <v>8</v>
      </c>
      <c r="E142" s="889">
        <f t="shared" si="51"/>
        <v>51379</v>
      </c>
      <c r="F142" s="822">
        <f t="shared" si="34"/>
        <v>8</v>
      </c>
      <c r="G142" s="126">
        <f t="shared" si="35"/>
        <v>0</v>
      </c>
      <c r="H142" s="1098">
        <f t="shared" si="52"/>
        <v>0</v>
      </c>
      <c r="I142" s="887">
        <f t="shared" si="49"/>
        <v>123</v>
      </c>
      <c r="J142" s="1099">
        <f t="shared" si="42"/>
        <v>123</v>
      </c>
      <c r="K142" s="891" t="str">
        <f t="shared" si="43"/>
        <v>August</v>
      </c>
      <c r="L142" s="888">
        <f t="shared" si="50"/>
        <v>2040</v>
      </c>
      <c r="M142" s="883">
        <f t="shared" si="44"/>
        <v>0</v>
      </c>
      <c r="N142" s="883">
        <f t="shared" si="45"/>
        <v>0</v>
      </c>
      <c r="O142" s="1100"/>
      <c r="P142" s="883">
        <f t="shared" si="36"/>
        <v>0</v>
      </c>
      <c r="Q142" s="884">
        <f t="shared" si="46"/>
        <v>0</v>
      </c>
      <c r="R142" s="884">
        <f>IF(AND($AR$39="Early Payoff",I142&gt;=$R$13),0,IF($I142&lt;=$R$6,SUM($P$20:$P142),0))</f>
        <v>0</v>
      </c>
      <c r="S142" s="884">
        <f>IF(AND($AR$39="Early Payoff",I142&gt;=$R$13),0,IF($I142&lt;=$R$6,SUM($Q$20:$Q142),0))</f>
        <v>0</v>
      </c>
      <c r="T142" s="873">
        <f t="shared" si="47"/>
        <v>0</v>
      </c>
      <c r="U142" s="1110">
        <f t="shared" si="53"/>
        <v>0</v>
      </c>
      <c r="W142" s="1102">
        <f t="shared" si="38"/>
        <v>0</v>
      </c>
      <c r="X142" s="873">
        <f t="shared" si="39"/>
        <v>0</v>
      </c>
      <c r="Y142" s="873">
        <f t="shared" si="40"/>
        <v>0</v>
      </c>
      <c r="Z142" s="885">
        <f t="shared" si="41"/>
        <v>0</v>
      </c>
    </row>
    <row r="143" spans="2:26" s="278" customFormat="1" ht="12" customHeight="1" x14ac:dyDescent="0.25">
      <c r="B143" s="1192">
        <f t="shared" si="48"/>
        <v>143</v>
      </c>
      <c r="C143" s="732">
        <f t="shared" si="32"/>
        <v>30</v>
      </c>
      <c r="D143" s="35">
        <f t="shared" si="33"/>
        <v>9</v>
      </c>
      <c r="E143" s="889">
        <f t="shared" si="51"/>
        <v>51409</v>
      </c>
      <c r="F143" s="822">
        <f t="shared" si="34"/>
        <v>9</v>
      </c>
      <c r="G143" s="126">
        <f t="shared" si="35"/>
        <v>0</v>
      </c>
      <c r="H143" s="1098">
        <f t="shared" si="52"/>
        <v>0</v>
      </c>
      <c r="I143" s="887">
        <f t="shared" si="49"/>
        <v>124</v>
      </c>
      <c r="J143" s="1099">
        <f t="shared" si="42"/>
        <v>124</v>
      </c>
      <c r="K143" s="891" t="str">
        <f t="shared" si="43"/>
        <v>September</v>
      </c>
      <c r="L143" s="888">
        <f t="shared" si="50"/>
        <v>2040</v>
      </c>
      <c r="M143" s="883">
        <f t="shared" si="44"/>
        <v>0</v>
      </c>
      <c r="N143" s="883">
        <f t="shared" si="45"/>
        <v>0</v>
      </c>
      <c r="O143" s="1100"/>
      <c r="P143" s="883">
        <f t="shared" si="36"/>
        <v>0</v>
      </c>
      <c r="Q143" s="884">
        <f t="shared" si="46"/>
        <v>0</v>
      </c>
      <c r="R143" s="884">
        <f>IF(AND($AR$39="Early Payoff",I143&gt;=$R$13),0,IF($I143&lt;=$R$6,SUM($P$20:$P143),0))</f>
        <v>0</v>
      </c>
      <c r="S143" s="884">
        <f>IF(AND($AR$39="Early Payoff",I143&gt;=$R$13),0,IF($I143&lt;=$R$6,SUM($Q$20:$Q143),0))</f>
        <v>0</v>
      </c>
      <c r="T143" s="873">
        <f t="shared" si="47"/>
        <v>0</v>
      </c>
      <c r="U143" s="1110">
        <f t="shared" si="53"/>
        <v>0</v>
      </c>
      <c r="W143" s="1102">
        <f t="shared" si="38"/>
        <v>0</v>
      </c>
      <c r="X143" s="873">
        <f t="shared" si="39"/>
        <v>0</v>
      </c>
      <c r="Y143" s="873">
        <f t="shared" si="40"/>
        <v>0</v>
      </c>
      <c r="Z143" s="885">
        <f t="shared" si="41"/>
        <v>0</v>
      </c>
    </row>
    <row r="144" spans="2:26" s="278" customFormat="1" ht="12" customHeight="1" x14ac:dyDescent="0.25">
      <c r="B144" s="1192">
        <f t="shared" si="48"/>
        <v>144</v>
      </c>
      <c r="C144" s="732">
        <f t="shared" si="32"/>
        <v>31</v>
      </c>
      <c r="D144" s="35">
        <f t="shared" si="33"/>
        <v>10</v>
      </c>
      <c r="E144" s="889">
        <f t="shared" si="51"/>
        <v>51440</v>
      </c>
      <c r="F144" s="822">
        <f t="shared" si="34"/>
        <v>10</v>
      </c>
      <c r="G144" s="126">
        <f t="shared" si="35"/>
        <v>0</v>
      </c>
      <c r="H144" s="1098">
        <f t="shared" si="52"/>
        <v>0</v>
      </c>
      <c r="I144" s="887">
        <f t="shared" si="49"/>
        <v>125</v>
      </c>
      <c r="J144" s="1099">
        <f t="shared" si="42"/>
        <v>125</v>
      </c>
      <c r="K144" s="891" t="str">
        <f t="shared" si="43"/>
        <v>October</v>
      </c>
      <c r="L144" s="888">
        <f t="shared" si="50"/>
        <v>2040</v>
      </c>
      <c r="M144" s="883">
        <f t="shared" si="44"/>
        <v>0</v>
      </c>
      <c r="N144" s="883">
        <f t="shared" si="45"/>
        <v>0</v>
      </c>
      <c r="O144" s="1100"/>
      <c r="P144" s="883">
        <f t="shared" si="36"/>
        <v>0</v>
      </c>
      <c r="Q144" s="884">
        <f t="shared" si="46"/>
        <v>0</v>
      </c>
      <c r="R144" s="884">
        <f>IF(AND($AR$39="Early Payoff",I144&gt;=$R$13),0,IF($I144&lt;=$R$6,SUM($P$20:$P144),0))</f>
        <v>0</v>
      </c>
      <c r="S144" s="884">
        <f>IF(AND($AR$39="Early Payoff",I144&gt;=$R$13),0,IF($I144&lt;=$R$6,SUM($Q$20:$Q144),0))</f>
        <v>0</v>
      </c>
      <c r="T144" s="873">
        <f t="shared" si="47"/>
        <v>0</v>
      </c>
      <c r="U144" s="1110">
        <f t="shared" si="53"/>
        <v>0</v>
      </c>
      <c r="W144" s="1102">
        <f t="shared" si="38"/>
        <v>0</v>
      </c>
      <c r="X144" s="873">
        <f t="shared" si="39"/>
        <v>0</v>
      </c>
      <c r="Y144" s="873">
        <f t="shared" si="40"/>
        <v>0</v>
      </c>
      <c r="Z144" s="885">
        <f t="shared" si="41"/>
        <v>0</v>
      </c>
    </row>
    <row r="145" spans="2:26" s="278" customFormat="1" ht="12" customHeight="1" x14ac:dyDescent="0.25">
      <c r="B145" s="1192">
        <f t="shared" si="48"/>
        <v>145</v>
      </c>
      <c r="C145" s="732">
        <f t="shared" si="32"/>
        <v>30</v>
      </c>
      <c r="D145" s="35">
        <f t="shared" si="33"/>
        <v>11</v>
      </c>
      <c r="E145" s="889">
        <f t="shared" si="51"/>
        <v>51470</v>
      </c>
      <c r="F145" s="822">
        <f t="shared" si="34"/>
        <v>11</v>
      </c>
      <c r="G145" s="126">
        <f t="shared" si="35"/>
        <v>0</v>
      </c>
      <c r="H145" s="1098">
        <f t="shared" si="52"/>
        <v>0</v>
      </c>
      <c r="I145" s="887">
        <f t="shared" si="49"/>
        <v>126</v>
      </c>
      <c r="J145" s="1099">
        <f t="shared" si="42"/>
        <v>126</v>
      </c>
      <c r="K145" s="891" t="str">
        <f t="shared" si="43"/>
        <v>November</v>
      </c>
      <c r="L145" s="888">
        <f t="shared" si="50"/>
        <v>2040</v>
      </c>
      <c r="M145" s="883">
        <f t="shared" si="44"/>
        <v>0</v>
      </c>
      <c r="N145" s="883">
        <f t="shared" si="45"/>
        <v>0</v>
      </c>
      <c r="O145" s="1100"/>
      <c r="P145" s="883">
        <f t="shared" si="36"/>
        <v>0</v>
      </c>
      <c r="Q145" s="884">
        <f t="shared" si="46"/>
        <v>0</v>
      </c>
      <c r="R145" s="884">
        <f>IF(AND($AR$39="Early Payoff",I145&gt;=$R$13),0,IF($I145&lt;=$R$6,SUM($P$20:$P145),0))</f>
        <v>0</v>
      </c>
      <c r="S145" s="884">
        <f>IF(AND($AR$39="Early Payoff",I145&gt;=$R$13),0,IF($I145&lt;=$R$6,SUM($Q$20:$Q145),0))</f>
        <v>0</v>
      </c>
      <c r="T145" s="873">
        <f t="shared" si="47"/>
        <v>0</v>
      </c>
      <c r="U145" s="1110">
        <f t="shared" si="53"/>
        <v>0</v>
      </c>
      <c r="W145" s="1102">
        <f t="shared" si="38"/>
        <v>0</v>
      </c>
      <c r="X145" s="873">
        <f t="shared" si="39"/>
        <v>0</v>
      </c>
      <c r="Y145" s="873">
        <f t="shared" si="40"/>
        <v>0</v>
      </c>
      <c r="Z145" s="885">
        <f t="shared" si="41"/>
        <v>0</v>
      </c>
    </row>
    <row r="146" spans="2:26" s="278" customFormat="1" ht="12" customHeight="1" x14ac:dyDescent="0.25">
      <c r="B146" s="1192">
        <f t="shared" si="48"/>
        <v>146</v>
      </c>
      <c r="C146" s="732">
        <f t="shared" si="32"/>
        <v>31</v>
      </c>
      <c r="D146" s="35">
        <f t="shared" si="33"/>
        <v>12</v>
      </c>
      <c r="E146" s="889">
        <f t="shared" si="51"/>
        <v>51501</v>
      </c>
      <c r="F146" s="822">
        <f t="shared" si="34"/>
        <v>12</v>
      </c>
      <c r="G146" s="126">
        <f t="shared" si="35"/>
        <v>1</v>
      </c>
      <c r="H146" s="1098">
        <f t="shared" si="52"/>
        <v>0</v>
      </c>
      <c r="I146" s="887">
        <f t="shared" si="49"/>
        <v>127</v>
      </c>
      <c r="J146" s="1099">
        <f t="shared" si="42"/>
        <v>127</v>
      </c>
      <c r="K146" s="891" t="str">
        <f t="shared" si="43"/>
        <v>December</v>
      </c>
      <c r="L146" s="888">
        <f t="shared" si="50"/>
        <v>2040</v>
      </c>
      <c r="M146" s="883">
        <f t="shared" si="44"/>
        <v>0</v>
      </c>
      <c r="N146" s="883">
        <f t="shared" si="45"/>
        <v>0</v>
      </c>
      <c r="O146" s="1100"/>
      <c r="P146" s="883">
        <f t="shared" si="36"/>
        <v>0</v>
      </c>
      <c r="Q146" s="884">
        <f t="shared" si="46"/>
        <v>0</v>
      </c>
      <c r="R146" s="884">
        <f>IF(AND($AR$39="Early Payoff",I146&gt;=$R$13),0,IF($I146&lt;=$R$6,SUM($P$20:$P146),0))</f>
        <v>0</v>
      </c>
      <c r="S146" s="884">
        <f>IF(AND($AR$39="Early Payoff",I146&gt;=$R$13),0,IF($I146&lt;=$R$6,SUM($Q$20:$Q146),0))</f>
        <v>0</v>
      </c>
      <c r="T146" s="873">
        <f t="shared" si="47"/>
        <v>0</v>
      </c>
      <c r="U146" s="1110">
        <f t="shared" si="53"/>
        <v>0</v>
      </c>
      <c r="W146" s="1102">
        <f t="shared" si="38"/>
        <v>0</v>
      </c>
      <c r="X146" s="873">
        <f t="shared" si="39"/>
        <v>0</v>
      </c>
      <c r="Y146" s="873">
        <f t="shared" si="40"/>
        <v>0</v>
      </c>
      <c r="Z146" s="885">
        <f t="shared" si="41"/>
        <v>0</v>
      </c>
    </row>
    <row r="147" spans="2:26" s="278" customFormat="1" ht="12" customHeight="1" x14ac:dyDescent="0.25">
      <c r="B147" s="1192">
        <f t="shared" si="48"/>
        <v>147</v>
      </c>
      <c r="C147" s="732">
        <f t="shared" si="32"/>
        <v>31</v>
      </c>
      <c r="D147" s="35">
        <f t="shared" si="33"/>
        <v>1</v>
      </c>
      <c r="E147" s="889">
        <f t="shared" si="51"/>
        <v>51532</v>
      </c>
      <c r="F147" s="822">
        <f t="shared" si="34"/>
        <v>1</v>
      </c>
      <c r="G147" s="126">
        <f t="shared" si="35"/>
        <v>0</v>
      </c>
      <c r="H147" s="1098">
        <f t="shared" si="52"/>
        <v>0</v>
      </c>
      <c r="I147" s="887">
        <f t="shared" si="49"/>
        <v>128</v>
      </c>
      <c r="J147" s="1099">
        <f t="shared" si="42"/>
        <v>128</v>
      </c>
      <c r="K147" s="891" t="str">
        <f t="shared" si="43"/>
        <v>January</v>
      </c>
      <c r="L147" s="888">
        <f t="shared" si="50"/>
        <v>2041</v>
      </c>
      <c r="M147" s="883">
        <f t="shared" si="44"/>
        <v>0</v>
      </c>
      <c r="N147" s="883">
        <f t="shared" si="45"/>
        <v>0</v>
      </c>
      <c r="O147" s="1100"/>
      <c r="P147" s="883">
        <f t="shared" si="36"/>
        <v>0</v>
      </c>
      <c r="Q147" s="884">
        <f t="shared" si="46"/>
        <v>0</v>
      </c>
      <c r="R147" s="884">
        <f>IF(AND($AR$39="Early Payoff",I147&gt;=$R$13),0,IF($I147&lt;=$R$6,SUM($P$20:$P147),0))</f>
        <v>0</v>
      </c>
      <c r="S147" s="884">
        <f>IF(AND($AR$39="Early Payoff",I147&gt;=$R$13),0,IF($I147&lt;=$R$6,SUM($Q$20:$Q147),0))</f>
        <v>0</v>
      </c>
      <c r="T147" s="873">
        <f t="shared" si="47"/>
        <v>0</v>
      </c>
      <c r="U147" s="1110">
        <f t="shared" si="53"/>
        <v>0</v>
      </c>
      <c r="W147" s="1102">
        <f t="shared" si="38"/>
        <v>0</v>
      </c>
      <c r="X147" s="873">
        <f t="shared" si="39"/>
        <v>0</v>
      </c>
      <c r="Y147" s="873">
        <f t="shared" si="40"/>
        <v>0</v>
      </c>
      <c r="Z147" s="885">
        <f t="shared" si="41"/>
        <v>0</v>
      </c>
    </row>
    <row r="148" spans="2:26" s="278" customFormat="1" ht="12" customHeight="1" x14ac:dyDescent="0.25">
      <c r="B148" s="1192">
        <f t="shared" si="48"/>
        <v>148</v>
      </c>
      <c r="C148" s="732">
        <f t="shared" ref="C148:C211" si="54">DAY(EOMONTH(DATE($L148,$D148,1),0))</f>
        <v>28</v>
      </c>
      <c r="D148" s="35">
        <f t="shared" ref="D148:D211" si="55">INDEX($AS$22:$AT$34,MATCH($K148,$AS$22:$AS$34,0),MATCH("Number",$AS$22:$AT$22,0))</f>
        <v>2</v>
      </c>
      <c r="E148" s="889">
        <f t="shared" si="51"/>
        <v>51560</v>
      </c>
      <c r="F148" s="822">
        <f t="shared" ref="F148:F211" si="56">INDEX($AS$22:$AT$34,MATCH($K148,$AS$22:$AS$34,0),MATCH("Number",$AS$22:$AT$22,0))</f>
        <v>2</v>
      </c>
      <c r="G148" s="126">
        <f t="shared" ref="G148:G211" si="57">IF($S$4="Monthly",INDEX($AS$36:$AT$48,MATCH($K148,$AS$36:$AS$48,0),MATCH("Number",$AS$36:$AT$36,0)),0)</f>
        <v>0</v>
      </c>
      <c r="H148" s="1098">
        <f t="shared" si="52"/>
        <v>0</v>
      </c>
      <c r="I148" s="887">
        <f t="shared" si="49"/>
        <v>129</v>
      </c>
      <c r="J148" s="1099">
        <f t="shared" si="42"/>
        <v>129</v>
      </c>
      <c r="K148" s="891" t="str">
        <f t="shared" si="43"/>
        <v>February</v>
      </c>
      <c r="L148" s="888">
        <f t="shared" si="50"/>
        <v>2041</v>
      </c>
      <c r="M148" s="883">
        <f t="shared" si="44"/>
        <v>0</v>
      </c>
      <c r="N148" s="883">
        <f t="shared" si="45"/>
        <v>0</v>
      </c>
      <c r="O148" s="1100"/>
      <c r="P148" s="883">
        <f t="shared" ref="P148:P211" si="58">IF(AND($AR$39="Early Payoff",I148&gt;=$R$13),0,IF($I148&gt;$R$6,0,IF(AND($AQ$29&gt;0,$I148&lt;=$AQ$29),0,+$N148-$Q148)))</f>
        <v>0</v>
      </c>
      <c r="Q148" s="884">
        <f t="shared" si="46"/>
        <v>0</v>
      </c>
      <c r="R148" s="884">
        <f>IF(AND($AR$39="Early Payoff",I148&gt;=$R$13),0,IF($I148&lt;=$R$6,SUM($P$20:$P148),0))</f>
        <v>0</v>
      </c>
      <c r="S148" s="884">
        <f>IF(AND($AR$39="Early Payoff",I148&gt;=$R$13),0,IF($I148&lt;=$R$6,SUM($Q$20:$Q148),0))</f>
        <v>0</v>
      </c>
      <c r="T148" s="873">
        <f t="shared" si="47"/>
        <v>0</v>
      </c>
      <c r="U148" s="1110">
        <f t="shared" si="53"/>
        <v>0</v>
      </c>
      <c r="W148" s="1102">
        <f t="shared" ref="W148:W211" si="59">IF($I148&gt;$R$6,0,IF($I148&lt;=$AQ$27,0,IF(AND($X$5="%/Payment",$Z$5=0),$N148*$Y$5,IF(AND($X$5="%/Payment",$Z$5&gt;0,($N148*$Y$5)&lt;$Z$5),$N148*$Y$5,IF(AND($X$5="%/Payment",$Z$5&gt;0,($N148*$Y$5)&gt;$Z$5),-$Z$5,IF(AND($X$5="%/Balance",$Z$5=0),-$T148*$Y$5,IF(AND($X$5="%/Balance",$Z$5&gt;0,($T148*$Y$5)&lt;$Z$5),-$T148*$Y$5,IF(AND($X$5="%/Balance",$Z$5&gt;0,($T148*$Y$5)&gt;$Z$5),-$Z$5,IF($X$5="Fixed Amount",-$Y$5,IF($X$5="N/A",0))))))))))</f>
        <v>0</v>
      </c>
      <c r="X148" s="873">
        <f t="shared" ref="X148:X211" si="60">IF($I148&gt;$R$6,0,IF($I148&lt;=$AQ$27,0,IF(AND($X$6="%/Payment",$Z$6=0),$N148*$Y$6,IF(AND($X$6="%/Payment",$Z$6&gt;0,($N148*$Y$6)&lt;$Z$6),$N148*$Y$6,IF(AND($X$6="%/Payment",$Z$6&gt;0,($N148*$Y$6)&gt;$Z$6),-$Z$6,IF(AND($X$6="%/Balance",$Z$6=0),-$T148*$Y$6,IF(AND($X$6="%/Balance",$Z$6&gt;0,($T148*$Y$6)&lt;$Z$6),-$T148*$Y$6,IF(AND($X$6="%/Balance",$Z$6&gt;0,($T148*$Y$6)&gt;$Z$6),-$Z$6,IF($X$6="Fixed Amount",-$Y$6,IF($X$6="N/A",0))))))))))</f>
        <v>0</v>
      </c>
      <c r="Y148" s="873">
        <f t="shared" ref="Y148:Y211" si="61">IF($I148&gt;$R$6,0,IF($I148&lt;=$AQ$27,0,IF(AND($X$7="%/Payment",$Z$7=0),$N148*$Y$7,IF(AND($X$7="%/Payment",$Z$7&gt;0,($N148*$Y$7)&lt;$Z$7),$N148*$Y$7,IF(AND($X$7="%/Payment",$Z$7&gt;0,($N148*$Y$7)&gt;$Z$7),-$Z$7,IF(AND($X$7="%/Balance",$Z$7=0),-$T148*$Y$7,IF(AND($X$7="%/Balance",$Z$7&gt;0,($T148*$Y$7)&lt;$Z$7),-$T148*$Y$7,IF(AND($X$7="%/Balance",$Z$7&gt;0,($N148*$Y$7)&gt;$Z$7),-$Z$7,IF($X$7="Fixed Amount",-$Y$7,IF($X$7="N/A",0))))))))))</f>
        <v>0</v>
      </c>
      <c r="Z148" s="885">
        <f t="shared" ref="Z148:Z211" si="62">SUM($N148,$W148:$Y148)</f>
        <v>0</v>
      </c>
    </row>
    <row r="149" spans="2:26" s="278" customFormat="1" ht="12" customHeight="1" x14ac:dyDescent="0.25">
      <c r="B149" s="1192">
        <f t="shared" si="48"/>
        <v>149</v>
      </c>
      <c r="C149" s="732">
        <f t="shared" si="54"/>
        <v>31</v>
      </c>
      <c r="D149" s="35">
        <f t="shared" si="55"/>
        <v>3</v>
      </c>
      <c r="E149" s="889">
        <f t="shared" si="51"/>
        <v>51591</v>
      </c>
      <c r="F149" s="822">
        <f t="shared" si="56"/>
        <v>3</v>
      </c>
      <c r="G149" s="126">
        <f t="shared" si="57"/>
        <v>0</v>
      </c>
      <c r="H149" s="1098">
        <f t="shared" si="52"/>
        <v>0</v>
      </c>
      <c r="I149" s="887">
        <f t="shared" si="49"/>
        <v>130</v>
      </c>
      <c r="J149" s="1099">
        <f t="shared" ref="J149:J212" si="63">IF($I149&lt;=$AQ$29,0,IF($I148&gt;=$AQ$29,$J148+1))</f>
        <v>130</v>
      </c>
      <c r="K149" s="891" t="str">
        <f t="shared" ref="K149:K212" si="64">IF($S$4="Annual",$Q$5,IF(AND($S$4="Bi-Annual",$F148&lt;MAX($Q$4,$R$4)),INDEX($AT$22:$AU$34,MATCH(MAX($Q$4,$R$4),$AT$22:$AT$34,0),MATCH("Month",$AT$22:$AU$22,0)),IF(AND($S$4="Bi-Annual",$F148=MAX($Q$4,$R$4)),INDEX($AT$22:$AU$34,MATCH(MIN($Q$4,$R$4),$AT$22:$AT$34,0),MATCH("Month",$AT$22:$AU$22,0)),IF(AND($S$4="Monthly",$F148&lt;12),INDEX($AT$22:$AU$34,MATCH($F148+1,$AT$22:$AT$34,0),MATCH("Month",$AT$22:$AU$22,0)),IF(AND($S$4="Monthly",$F148=12),INDEX($AT$22:$AU$34,MATCH($F148-11,$AT$22:$AT$34,0),MATCH("Month",$AT$22:$AU$22,0)))))))</f>
        <v>March</v>
      </c>
      <c r="L149" s="888">
        <f t="shared" si="50"/>
        <v>2041</v>
      </c>
      <c r="M149" s="883">
        <f t="shared" ref="M149:M212" si="65">IF(AND($AR$39="Early Payoff",$I149&gt;$R$13),0,IF(AND($AR$39="Early Payoff",$I149&lt;$R$13),$T148,IF($I149&gt;$R$6,0,$T148)))</f>
        <v>0</v>
      </c>
      <c r="N149" s="883">
        <f t="shared" ref="N149:N212" si="66">IF(AND($AR$39="Early Payoff",I149&gt;=$R$13),0,IF($I149&gt;$R$6,0,IF(AND($AQ$29&gt;=0,$I149&lt;=$AQ$29),0,IF(AND($AQ$27&gt;=0,$I149&lt;=$AQ$27),$Q149,IF(AND($S$4="Annual",$AQ$27&gt;=0,$AQ$29&gt;=0,$I149&gt;$AQ$27,$I149&gt;$AQ$29),PMT($L$7,($R$6-$AQ$27),$L$4),IF(AND($S$4="Bi-Annual",$AQ$27&gt;=0,$AQ$29&gt;=0,$I149&gt;$AQ$27,$I149&gt;$AQ$29),PMT($L$7/2,($R$6-$AQ$27),$L$4),IF(AND($S$4="Monthly",$AQ$27&gt;=0,$AQ$29&gt;=0,$I149&gt;$AQ$27,$I149&gt;$AQ$29),PMT($L$7/12,($R$6-$AQ$27),$L$4))))))))-O149</f>
        <v>0</v>
      </c>
      <c r="O149" s="1100"/>
      <c r="P149" s="883">
        <f t="shared" si="58"/>
        <v>0</v>
      </c>
      <c r="Q149" s="884">
        <f t="shared" ref="Q149:Q212" si="67">IF(AND($AR$39="Early Payoff",I149&gt;=$R$13),0,IF($S$4="Annual",-$L$7*$T148*1,IF($S$4="Bi-Annual",(-$L$7/2)*$T148*1,IF($S$4="Monthly",(-$L$7/12)*$T148*1))))</f>
        <v>0</v>
      </c>
      <c r="R149" s="884">
        <f>IF(AND($AR$39="Early Payoff",I149&gt;=$R$13),0,IF($I149&lt;=$R$6,SUM($P$20:$P149),0))</f>
        <v>0</v>
      </c>
      <c r="S149" s="884">
        <f>IF(AND($AR$39="Early Payoff",I149&gt;=$R$13),0,IF($I149&lt;=$R$6,SUM($Q$20:$Q149),0))</f>
        <v>0</v>
      </c>
      <c r="T149" s="873">
        <f t="shared" ref="T149:T212" si="68">IF($J149&lt;=$R$13,SUM($M149,$P149),0)</f>
        <v>0</v>
      </c>
      <c r="U149" s="1110">
        <f t="shared" si="53"/>
        <v>0</v>
      </c>
      <c r="W149" s="1102">
        <f t="shared" si="59"/>
        <v>0</v>
      </c>
      <c r="X149" s="873">
        <f t="shared" si="60"/>
        <v>0</v>
      </c>
      <c r="Y149" s="873">
        <f t="shared" si="61"/>
        <v>0</v>
      </c>
      <c r="Z149" s="885">
        <f t="shared" si="62"/>
        <v>0</v>
      </c>
    </row>
    <row r="150" spans="2:26" s="278" customFormat="1" ht="12" customHeight="1" x14ac:dyDescent="0.25">
      <c r="B150" s="1192">
        <f t="shared" ref="B150:B213" si="69">B149+1</f>
        <v>150</v>
      </c>
      <c r="C150" s="732">
        <f t="shared" si="54"/>
        <v>30</v>
      </c>
      <c r="D150" s="35">
        <f t="shared" si="55"/>
        <v>4</v>
      </c>
      <c r="E150" s="889">
        <f t="shared" si="51"/>
        <v>51621</v>
      </c>
      <c r="F150" s="822">
        <f t="shared" si="56"/>
        <v>4</v>
      </c>
      <c r="G150" s="126">
        <f t="shared" si="57"/>
        <v>0</v>
      </c>
      <c r="H150" s="1098">
        <f t="shared" si="52"/>
        <v>0</v>
      </c>
      <c r="I150" s="887">
        <f t="shared" ref="I150:I213" si="70">I149+1</f>
        <v>131</v>
      </c>
      <c r="J150" s="1099">
        <f t="shared" si="63"/>
        <v>131</v>
      </c>
      <c r="K150" s="891" t="str">
        <f t="shared" si="64"/>
        <v>April</v>
      </c>
      <c r="L150" s="888">
        <f t="shared" ref="L150:L213" si="71">IF($S$4="Annual",$L149+$H150,IF($S$4="Bi-Annual",$L149+$H149,IF($S$4="Monthly",$L149+$G149)))</f>
        <v>2041</v>
      </c>
      <c r="M150" s="883">
        <f t="shared" si="65"/>
        <v>0</v>
      </c>
      <c r="N150" s="883">
        <f t="shared" si="66"/>
        <v>0</v>
      </c>
      <c r="O150" s="1100"/>
      <c r="P150" s="883">
        <f t="shared" si="58"/>
        <v>0</v>
      </c>
      <c r="Q150" s="884">
        <f t="shared" si="67"/>
        <v>0</v>
      </c>
      <c r="R150" s="884">
        <f>IF(AND($AR$39="Early Payoff",I150&gt;=$R$13),0,IF($I150&lt;=$R$6,SUM($P$20:$P150),0))</f>
        <v>0</v>
      </c>
      <c r="S150" s="884">
        <f>IF(AND($AR$39="Early Payoff",I150&gt;=$R$13),0,IF($I150&lt;=$R$6,SUM($Q$20:$Q150),0))</f>
        <v>0</v>
      </c>
      <c r="T150" s="873">
        <f t="shared" si="68"/>
        <v>0</v>
      </c>
      <c r="U150" s="1110">
        <f t="shared" si="53"/>
        <v>0</v>
      </c>
      <c r="W150" s="1102">
        <f t="shared" si="59"/>
        <v>0</v>
      </c>
      <c r="X150" s="873">
        <f t="shared" si="60"/>
        <v>0</v>
      </c>
      <c r="Y150" s="873">
        <f t="shared" si="61"/>
        <v>0</v>
      </c>
      <c r="Z150" s="885">
        <f t="shared" si="62"/>
        <v>0</v>
      </c>
    </row>
    <row r="151" spans="2:26" s="278" customFormat="1" ht="12" customHeight="1" x14ac:dyDescent="0.25">
      <c r="B151" s="1192">
        <f t="shared" si="69"/>
        <v>151</v>
      </c>
      <c r="C151" s="732">
        <f t="shared" si="54"/>
        <v>31</v>
      </c>
      <c r="D151" s="35">
        <f t="shared" si="55"/>
        <v>5</v>
      </c>
      <c r="E151" s="889">
        <f t="shared" ref="E151:E214" si="72">DATE(L151,D151,C151)</f>
        <v>51652</v>
      </c>
      <c r="F151" s="822">
        <f t="shared" si="56"/>
        <v>5</v>
      </c>
      <c r="G151" s="126">
        <f t="shared" si="57"/>
        <v>0</v>
      </c>
      <c r="H151" s="1098">
        <f t="shared" ref="H151:H214" si="73">IF($S$4="Annual",1,IF(AND($S$4="Bi-Annual",$F151&gt;$F152),1,IF(AND($S$4="Bi-Annual",$F151&lt;$F152),0,IF($S$4="Monthly",0,))))</f>
        <v>0</v>
      </c>
      <c r="I151" s="887">
        <f t="shared" si="70"/>
        <v>132</v>
      </c>
      <c r="J151" s="1099">
        <f t="shared" si="63"/>
        <v>132</v>
      </c>
      <c r="K151" s="891" t="str">
        <f t="shared" si="64"/>
        <v>May</v>
      </c>
      <c r="L151" s="888">
        <f t="shared" si="71"/>
        <v>2041</v>
      </c>
      <c r="M151" s="883">
        <f t="shared" si="65"/>
        <v>0</v>
      </c>
      <c r="N151" s="883">
        <f t="shared" si="66"/>
        <v>0</v>
      </c>
      <c r="O151" s="1100"/>
      <c r="P151" s="883">
        <f t="shared" si="58"/>
        <v>0</v>
      </c>
      <c r="Q151" s="884">
        <f t="shared" si="67"/>
        <v>0</v>
      </c>
      <c r="R151" s="884">
        <f>IF(AND($AR$39="Early Payoff",I151&gt;=$R$13),0,IF($I151&lt;=$R$6,SUM($P$20:$P151),0))</f>
        <v>0</v>
      </c>
      <c r="S151" s="884">
        <f>IF(AND($AR$39="Early Payoff",I151&gt;=$R$13),0,IF($I151&lt;=$R$6,SUM($Q$20:$Q151),0))</f>
        <v>0</v>
      </c>
      <c r="T151" s="873">
        <f t="shared" si="68"/>
        <v>0</v>
      </c>
      <c r="U151" s="1110">
        <f t="shared" si="53"/>
        <v>0</v>
      </c>
      <c r="W151" s="1102">
        <f t="shared" si="59"/>
        <v>0</v>
      </c>
      <c r="X151" s="873">
        <f t="shared" si="60"/>
        <v>0</v>
      </c>
      <c r="Y151" s="873">
        <f t="shared" si="61"/>
        <v>0</v>
      </c>
      <c r="Z151" s="885">
        <f t="shared" si="62"/>
        <v>0</v>
      </c>
    </row>
    <row r="152" spans="2:26" s="278" customFormat="1" ht="12" customHeight="1" x14ac:dyDescent="0.25">
      <c r="B152" s="1192">
        <f t="shared" si="69"/>
        <v>152</v>
      </c>
      <c r="C152" s="732">
        <f t="shared" si="54"/>
        <v>30</v>
      </c>
      <c r="D152" s="35">
        <f t="shared" si="55"/>
        <v>6</v>
      </c>
      <c r="E152" s="889">
        <f t="shared" si="72"/>
        <v>51682</v>
      </c>
      <c r="F152" s="822">
        <f t="shared" si="56"/>
        <v>6</v>
      </c>
      <c r="G152" s="126">
        <f t="shared" si="57"/>
        <v>0</v>
      </c>
      <c r="H152" s="1098">
        <f t="shared" si="73"/>
        <v>0</v>
      </c>
      <c r="I152" s="887">
        <f t="shared" si="70"/>
        <v>133</v>
      </c>
      <c r="J152" s="1099">
        <f t="shared" si="63"/>
        <v>133</v>
      </c>
      <c r="K152" s="891" t="str">
        <f t="shared" si="64"/>
        <v>June</v>
      </c>
      <c r="L152" s="888">
        <f t="shared" si="71"/>
        <v>2041</v>
      </c>
      <c r="M152" s="883">
        <f t="shared" si="65"/>
        <v>0</v>
      </c>
      <c r="N152" s="883">
        <f t="shared" si="66"/>
        <v>0</v>
      </c>
      <c r="O152" s="1100"/>
      <c r="P152" s="883">
        <f t="shared" si="58"/>
        <v>0</v>
      </c>
      <c r="Q152" s="884">
        <f t="shared" si="67"/>
        <v>0</v>
      </c>
      <c r="R152" s="884">
        <f>IF(AND($AR$39="Early Payoff",I152&gt;=$R$13),0,IF($I152&lt;=$R$6,SUM($P$20:$P152),0))</f>
        <v>0</v>
      </c>
      <c r="S152" s="884">
        <f>IF(AND($AR$39="Early Payoff",I152&gt;=$R$13),0,IF($I152&lt;=$R$6,SUM($Q$20:$Q152),0))</f>
        <v>0</v>
      </c>
      <c r="T152" s="873">
        <f t="shared" si="68"/>
        <v>0</v>
      </c>
      <c r="U152" s="1110">
        <f t="shared" ref="U152:U215" si="74">IF($S$4="Monthly",$M152,IF(AND(OR($S$4="Annual",$S$4="Bi-Annual"),$I152=$AQ$49),INDEX($I$19:$T$379,MATCH($AQ$49,$I$19:$I$2379,0),MATCH($T$19,$I$19:$T$19,0)),IF(AND(OR($S$4="Annual",$S$4="Bi-Annual"),$I152&lt;=$AQ$49),$M152,0)))</f>
        <v>0</v>
      </c>
      <c r="W152" s="1102">
        <f t="shared" si="59"/>
        <v>0</v>
      </c>
      <c r="X152" s="873">
        <f t="shared" si="60"/>
        <v>0</v>
      </c>
      <c r="Y152" s="873">
        <f t="shared" si="61"/>
        <v>0</v>
      </c>
      <c r="Z152" s="885">
        <f t="shared" si="62"/>
        <v>0</v>
      </c>
    </row>
    <row r="153" spans="2:26" s="278" customFormat="1" ht="12" customHeight="1" x14ac:dyDescent="0.25">
      <c r="B153" s="1192">
        <f t="shared" si="69"/>
        <v>153</v>
      </c>
      <c r="C153" s="732">
        <f t="shared" si="54"/>
        <v>31</v>
      </c>
      <c r="D153" s="35">
        <f t="shared" si="55"/>
        <v>7</v>
      </c>
      <c r="E153" s="889">
        <f t="shared" si="72"/>
        <v>51713</v>
      </c>
      <c r="F153" s="822">
        <f t="shared" si="56"/>
        <v>7</v>
      </c>
      <c r="G153" s="126">
        <f t="shared" si="57"/>
        <v>0</v>
      </c>
      <c r="H153" s="1098">
        <f t="shared" si="73"/>
        <v>0</v>
      </c>
      <c r="I153" s="887">
        <f t="shared" si="70"/>
        <v>134</v>
      </c>
      <c r="J153" s="1099">
        <f t="shared" si="63"/>
        <v>134</v>
      </c>
      <c r="K153" s="891" t="str">
        <f t="shared" si="64"/>
        <v>July</v>
      </c>
      <c r="L153" s="888">
        <f t="shared" si="71"/>
        <v>2041</v>
      </c>
      <c r="M153" s="883">
        <f t="shared" si="65"/>
        <v>0</v>
      </c>
      <c r="N153" s="883">
        <f t="shared" si="66"/>
        <v>0</v>
      </c>
      <c r="O153" s="1100"/>
      <c r="P153" s="883">
        <f t="shared" si="58"/>
        <v>0</v>
      </c>
      <c r="Q153" s="884">
        <f t="shared" si="67"/>
        <v>0</v>
      </c>
      <c r="R153" s="884">
        <f>IF(AND($AR$39="Early Payoff",I153&gt;=$R$13),0,IF($I153&lt;=$R$6,SUM($P$20:$P153),0))</f>
        <v>0</v>
      </c>
      <c r="S153" s="884">
        <f>IF(AND($AR$39="Early Payoff",I153&gt;=$R$13),0,IF($I153&lt;=$R$6,SUM($Q$20:$Q153),0))</f>
        <v>0</v>
      </c>
      <c r="T153" s="873">
        <f t="shared" si="68"/>
        <v>0</v>
      </c>
      <c r="U153" s="1110">
        <f t="shared" si="74"/>
        <v>0</v>
      </c>
      <c r="W153" s="1102">
        <f t="shared" si="59"/>
        <v>0</v>
      </c>
      <c r="X153" s="873">
        <f t="shared" si="60"/>
        <v>0</v>
      </c>
      <c r="Y153" s="873">
        <f t="shared" si="61"/>
        <v>0</v>
      </c>
      <c r="Z153" s="885">
        <f t="shared" si="62"/>
        <v>0</v>
      </c>
    </row>
    <row r="154" spans="2:26" s="278" customFormat="1" ht="12" customHeight="1" x14ac:dyDescent="0.25">
      <c r="B154" s="1192">
        <f t="shared" si="69"/>
        <v>154</v>
      </c>
      <c r="C154" s="732">
        <f t="shared" si="54"/>
        <v>31</v>
      </c>
      <c r="D154" s="35">
        <f t="shared" si="55"/>
        <v>8</v>
      </c>
      <c r="E154" s="889">
        <f t="shared" si="72"/>
        <v>51744</v>
      </c>
      <c r="F154" s="822">
        <f t="shared" si="56"/>
        <v>8</v>
      </c>
      <c r="G154" s="126">
        <f t="shared" si="57"/>
        <v>0</v>
      </c>
      <c r="H154" s="1098">
        <f t="shared" si="73"/>
        <v>0</v>
      </c>
      <c r="I154" s="887">
        <f t="shared" si="70"/>
        <v>135</v>
      </c>
      <c r="J154" s="1099">
        <f t="shared" si="63"/>
        <v>135</v>
      </c>
      <c r="K154" s="891" t="str">
        <f t="shared" si="64"/>
        <v>August</v>
      </c>
      <c r="L154" s="888">
        <f t="shared" si="71"/>
        <v>2041</v>
      </c>
      <c r="M154" s="883">
        <f t="shared" si="65"/>
        <v>0</v>
      </c>
      <c r="N154" s="883">
        <f t="shared" si="66"/>
        <v>0</v>
      </c>
      <c r="O154" s="1100"/>
      <c r="P154" s="883">
        <f t="shared" si="58"/>
        <v>0</v>
      </c>
      <c r="Q154" s="884">
        <f t="shared" si="67"/>
        <v>0</v>
      </c>
      <c r="R154" s="884">
        <f>IF(AND($AR$39="Early Payoff",I154&gt;=$R$13),0,IF($I154&lt;=$R$6,SUM($P$20:$P154),0))</f>
        <v>0</v>
      </c>
      <c r="S154" s="884">
        <f>IF(AND($AR$39="Early Payoff",I154&gt;=$R$13),0,IF($I154&lt;=$R$6,SUM($Q$20:$Q154),0))</f>
        <v>0</v>
      </c>
      <c r="T154" s="873">
        <f t="shared" si="68"/>
        <v>0</v>
      </c>
      <c r="U154" s="1110">
        <f t="shared" si="74"/>
        <v>0</v>
      </c>
      <c r="W154" s="1102">
        <f t="shared" si="59"/>
        <v>0</v>
      </c>
      <c r="X154" s="873">
        <f t="shared" si="60"/>
        <v>0</v>
      </c>
      <c r="Y154" s="873">
        <f t="shared" si="61"/>
        <v>0</v>
      </c>
      <c r="Z154" s="885">
        <f t="shared" si="62"/>
        <v>0</v>
      </c>
    </row>
    <row r="155" spans="2:26" s="278" customFormat="1" ht="12" customHeight="1" x14ac:dyDescent="0.25">
      <c r="B155" s="1192">
        <f t="shared" si="69"/>
        <v>155</v>
      </c>
      <c r="C155" s="732">
        <f t="shared" si="54"/>
        <v>30</v>
      </c>
      <c r="D155" s="35">
        <f t="shared" si="55"/>
        <v>9</v>
      </c>
      <c r="E155" s="889">
        <f t="shared" si="72"/>
        <v>51774</v>
      </c>
      <c r="F155" s="822">
        <f t="shared" si="56"/>
        <v>9</v>
      </c>
      <c r="G155" s="126">
        <f t="shared" si="57"/>
        <v>0</v>
      </c>
      <c r="H155" s="1098">
        <f t="shared" si="73"/>
        <v>0</v>
      </c>
      <c r="I155" s="887">
        <f t="shared" si="70"/>
        <v>136</v>
      </c>
      <c r="J155" s="1099">
        <f t="shared" si="63"/>
        <v>136</v>
      </c>
      <c r="K155" s="891" t="str">
        <f t="shared" si="64"/>
        <v>September</v>
      </c>
      <c r="L155" s="888">
        <f t="shared" si="71"/>
        <v>2041</v>
      </c>
      <c r="M155" s="883">
        <f t="shared" si="65"/>
        <v>0</v>
      </c>
      <c r="N155" s="883">
        <f t="shared" si="66"/>
        <v>0</v>
      </c>
      <c r="O155" s="1100"/>
      <c r="P155" s="883">
        <f t="shared" si="58"/>
        <v>0</v>
      </c>
      <c r="Q155" s="884">
        <f t="shared" si="67"/>
        <v>0</v>
      </c>
      <c r="R155" s="884">
        <f>IF(AND($AR$39="Early Payoff",I155&gt;=$R$13),0,IF($I155&lt;=$R$6,SUM($P$20:$P155),0))</f>
        <v>0</v>
      </c>
      <c r="S155" s="884">
        <f>IF(AND($AR$39="Early Payoff",I155&gt;=$R$13),0,IF($I155&lt;=$R$6,SUM($Q$20:$Q155),0))</f>
        <v>0</v>
      </c>
      <c r="T155" s="873">
        <f t="shared" si="68"/>
        <v>0</v>
      </c>
      <c r="U155" s="1110">
        <f t="shared" si="74"/>
        <v>0</v>
      </c>
      <c r="W155" s="1102">
        <f t="shared" si="59"/>
        <v>0</v>
      </c>
      <c r="X155" s="873">
        <f t="shared" si="60"/>
        <v>0</v>
      </c>
      <c r="Y155" s="873">
        <f t="shared" si="61"/>
        <v>0</v>
      </c>
      <c r="Z155" s="885">
        <f t="shared" si="62"/>
        <v>0</v>
      </c>
    </row>
    <row r="156" spans="2:26" s="278" customFormat="1" ht="12" customHeight="1" x14ac:dyDescent="0.25">
      <c r="B156" s="1192">
        <f t="shared" si="69"/>
        <v>156</v>
      </c>
      <c r="C156" s="732">
        <f t="shared" si="54"/>
        <v>31</v>
      </c>
      <c r="D156" s="35">
        <f t="shared" si="55"/>
        <v>10</v>
      </c>
      <c r="E156" s="889">
        <f t="shared" si="72"/>
        <v>51805</v>
      </c>
      <c r="F156" s="822">
        <f t="shared" si="56"/>
        <v>10</v>
      </c>
      <c r="G156" s="126">
        <f t="shared" si="57"/>
        <v>0</v>
      </c>
      <c r="H156" s="1098">
        <f t="shared" si="73"/>
        <v>0</v>
      </c>
      <c r="I156" s="887">
        <f t="shared" si="70"/>
        <v>137</v>
      </c>
      <c r="J156" s="1099">
        <f t="shared" si="63"/>
        <v>137</v>
      </c>
      <c r="K156" s="891" t="str">
        <f t="shared" si="64"/>
        <v>October</v>
      </c>
      <c r="L156" s="888">
        <f t="shared" si="71"/>
        <v>2041</v>
      </c>
      <c r="M156" s="883">
        <f t="shared" si="65"/>
        <v>0</v>
      </c>
      <c r="N156" s="883">
        <f t="shared" si="66"/>
        <v>0</v>
      </c>
      <c r="O156" s="1100"/>
      <c r="P156" s="883">
        <f t="shared" si="58"/>
        <v>0</v>
      </c>
      <c r="Q156" s="884">
        <f t="shared" si="67"/>
        <v>0</v>
      </c>
      <c r="R156" s="884">
        <f>IF(AND($AR$39="Early Payoff",I156&gt;=$R$13),0,IF($I156&lt;=$R$6,SUM($P$20:$P156),0))</f>
        <v>0</v>
      </c>
      <c r="S156" s="884">
        <f>IF(AND($AR$39="Early Payoff",I156&gt;=$R$13),0,IF($I156&lt;=$R$6,SUM($Q$20:$Q156),0))</f>
        <v>0</v>
      </c>
      <c r="T156" s="873">
        <f t="shared" si="68"/>
        <v>0</v>
      </c>
      <c r="U156" s="1110">
        <f t="shared" si="74"/>
        <v>0</v>
      </c>
      <c r="W156" s="1102">
        <f t="shared" si="59"/>
        <v>0</v>
      </c>
      <c r="X156" s="873">
        <f t="shared" si="60"/>
        <v>0</v>
      </c>
      <c r="Y156" s="873">
        <f t="shared" si="61"/>
        <v>0</v>
      </c>
      <c r="Z156" s="885">
        <f t="shared" si="62"/>
        <v>0</v>
      </c>
    </row>
    <row r="157" spans="2:26" s="278" customFormat="1" ht="12" customHeight="1" x14ac:dyDescent="0.25">
      <c r="B157" s="1192">
        <f t="shared" si="69"/>
        <v>157</v>
      </c>
      <c r="C157" s="732">
        <f t="shared" si="54"/>
        <v>30</v>
      </c>
      <c r="D157" s="35">
        <f t="shared" si="55"/>
        <v>11</v>
      </c>
      <c r="E157" s="889">
        <f t="shared" si="72"/>
        <v>51835</v>
      </c>
      <c r="F157" s="822">
        <f t="shared" si="56"/>
        <v>11</v>
      </c>
      <c r="G157" s="126">
        <f t="shared" si="57"/>
        <v>0</v>
      </c>
      <c r="H157" s="1098">
        <f t="shared" si="73"/>
        <v>0</v>
      </c>
      <c r="I157" s="887">
        <f t="shared" si="70"/>
        <v>138</v>
      </c>
      <c r="J157" s="1099">
        <f t="shared" si="63"/>
        <v>138</v>
      </c>
      <c r="K157" s="891" t="str">
        <f t="shared" si="64"/>
        <v>November</v>
      </c>
      <c r="L157" s="888">
        <f t="shared" si="71"/>
        <v>2041</v>
      </c>
      <c r="M157" s="883">
        <f t="shared" si="65"/>
        <v>0</v>
      </c>
      <c r="N157" s="883">
        <f t="shared" si="66"/>
        <v>0</v>
      </c>
      <c r="O157" s="1100"/>
      <c r="P157" s="883">
        <f t="shared" si="58"/>
        <v>0</v>
      </c>
      <c r="Q157" s="884">
        <f t="shared" si="67"/>
        <v>0</v>
      </c>
      <c r="R157" s="884">
        <f>IF(AND($AR$39="Early Payoff",I157&gt;=$R$13),0,IF($I157&lt;=$R$6,SUM($P$20:$P157),0))</f>
        <v>0</v>
      </c>
      <c r="S157" s="884">
        <f>IF(AND($AR$39="Early Payoff",I157&gt;=$R$13),0,IF($I157&lt;=$R$6,SUM($Q$20:$Q157),0))</f>
        <v>0</v>
      </c>
      <c r="T157" s="873">
        <f t="shared" si="68"/>
        <v>0</v>
      </c>
      <c r="U157" s="1110">
        <f t="shared" si="74"/>
        <v>0</v>
      </c>
      <c r="W157" s="1102">
        <f t="shared" si="59"/>
        <v>0</v>
      </c>
      <c r="X157" s="873">
        <f t="shared" si="60"/>
        <v>0</v>
      </c>
      <c r="Y157" s="873">
        <f t="shared" si="61"/>
        <v>0</v>
      </c>
      <c r="Z157" s="885">
        <f t="shared" si="62"/>
        <v>0</v>
      </c>
    </row>
    <row r="158" spans="2:26" s="278" customFormat="1" ht="12" customHeight="1" x14ac:dyDescent="0.25">
      <c r="B158" s="1192">
        <f t="shared" si="69"/>
        <v>158</v>
      </c>
      <c r="C158" s="732">
        <f t="shared" si="54"/>
        <v>31</v>
      </c>
      <c r="D158" s="35">
        <f t="shared" si="55"/>
        <v>12</v>
      </c>
      <c r="E158" s="889">
        <f t="shared" si="72"/>
        <v>51866</v>
      </c>
      <c r="F158" s="822">
        <f t="shared" si="56"/>
        <v>12</v>
      </c>
      <c r="G158" s="126">
        <f t="shared" si="57"/>
        <v>1</v>
      </c>
      <c r="H158" s="1098">
        <f t="shared" si="73"/>
        <v>0</v>
      </c>
      <c r="I158" s="887">
        <f t="shared" si="70"/>
        <v>139</v>
      </c>
      <c r="J158" s="1099">
        <f t="shared" si="63"/>
        <v>139</v>
      </c>
      <c r="K158" s="891" t="str">
        <f t="shared" si="64"/>
        <v>December</v>
      </c>
      <c r="L158" s="888">
        <f t="shared" si="71"/>
        <v>2041</v>
      </c>
      <c r="M158" s="883">
        <f t="shared" si="65"/>
        <v>0</v>
      </c>
      <c r="N158" s="883">
        <f t="shared" si="66"/>
        <v>0</v>
      </c>
      <c r="O158" s="1100"/>
      <c r="P158" s="883">
        <f t="shared" si="58"/>
        <v>0</v>
      </c>
      <c r="Q158" s="884">
        <f t="shared" si="67"/>
        <v>0</v>
      </c>
      <c r="R158" s="884">
        <f>IF(AND($AR$39="Early Payoff",I158&gt;=$R$13),0,IF($I158&lt;=$R$6,SUM($P$20:$P158),0))</f>
        <v>0</v>
      </c>
      <c r="S158" s="884">
        <f>IF(AND($AR$39="Early Payoff",I158&gt;=$R$13),0,IF($I158&lt;=$R$6,SUM($Q$20:$Q158),0))</f>
        <v>0</v>
      </c>
      <c r="T158" s="873">
        <f t="shared" si="68"/>
        <v>0</v>
      </c>
      <c r="U158" s="1110">
        <f t="shared" si="74"/>
        <v>0</v>
      </c>
      <c r="W158" s="1102">
        <f t="shared" si="59"/>
        <v>0</v>
      </c>
      <c r="X158" s="873">
        <f t="shared" si="60"/>
        <v>0</v>
      </c>
      <c r="Y158" s="873">
        <f t="shared" si="61"/>
        <v>0</v>
      </c>
      <c r="Z158" s="885">
        <f t="shared" si="62"/>
        <v>0</v>
      </c>
    </row>
    <row r="159" spans="2:26" s="278" customFormat="1" ht="12" customHeight="1" x14ac:dyDescent="0.25">
      <c r="B159" s="1192">
        <f t="shared" si="69"/>
        <v>159</v>
      </c>
      <c r="C159" s="732">
        <f t="shared" si="54"/>
        <v>31</v>
      </c>
      <c r="D159" s="35">
        <f t="shared" si="55"/>
        <v>1</v>
      </c>
      <c r="E159" s="889">
        <f t="shared" si="72"/>
        <v>51897</v>
      </c>
      <c r="F159" s="822">
        <f t="shared" si="56"/>
        <v>1</v>
      </c>
      <c r="G159" s="126">
        <f t="shared" si="57"/>
        <v>0</v>
      </c>
      <c r="H159" s="1098">
        <f t="shared" si="73"/>
        <v>0</v>
      </c>
      <c r="I159" s="887">
        <f t="shared" si="70"/>
        <v>140</v>
      </c>
      <c r="J159" s="1099">
        <f t="shared" si="63"/>
        <v>140</v>
      </c>
      <c r="K159" s="891" t="str">
        <f t="shared" si="64"/>
        <v>January</v>
      </c>
      <c r="L159" s="888">
        <f t="shared" si="71"/>
        <v>2042</v>
      </c>
      <c r="M159" s="883">
        <f t="shared" si="65"/>
        <v>0</v>
      </c>
      <c r="N159" s="883">
        <f t="shared" si="66"/>
        <v>0</v>
      </c>
      <c r="O159" s="1100"/>
      <c r="P159" s="883">
        <f t="shared" si="58"/>
        <v>0</v>
      </c>
      <c r="Q159" s="884">
        <f t="shared" si="67"/>
        <v>0</v>
      </c>
      <c r="R159" s="884">
        <f>IF(AND($AR$39="Early Payoff",I159&gt;=$R$13),0,IF($I159&lt;=$R$6,SUM($P$20:$P159),0))</f>
        <v>0</v>
      </c>
      <c r="S159" s="884">
        <f>IF(AND($AR$39="Early Payoff",I159&gt;=$R$13),0,IF($I159&lt;=$R$6,SUM($Q$20:$Q159),0))</f>
        <v>0</v>
      </c>
      <c r="T159" s="873">
        <f t="shared" si="68"/>
        <v>0</v>
      </c>
      <c r="U159" s="1110">
        <f t="shared" si="74"/>
        <v>0</v>
      </c>
      <c r="W159" s="1102">
        <f t="shared" si="59"/>
        <v>0</v>
      </c>
      <c r="X159" s="873">
        <f t="shared" si="60"/>
        <v>0</v>
      </c>
      <c r="Y159" s="873">
        <f t="shared" si="61"/>
        <v>0</v>
      </c>
      <c r="Z159" s="885">
        <f t="shared" si="62"/>
        <v>0</v>
      </c>
    </row>
    <row r="160" spans="2:26" s="278" customFormat="1" ht="12" customHeight="1" x14ac:dyDescent="0.25">
      <c r="B160" s="1192">
        <f t="shared" si="69"/>
        <v>160</v>
      </c>
      <c r="C160" s="732">
        <f t="shared" si="54"/>
        <v>28</v>
      </c>
      <c r="D160" s="35">
        <f t="shared" si="55"/>
        <v>2</v>
      </c>
      <c r="E160" s="889">
        <f t="shared" si="72"/>
        <v>51925</v>
      </c>
      <c r="F160" s="822">
        <f t="shared" si="56"/>
        <v>2</v>
      </c>
      <c r="G160" s="126">
        <f t="shared" si="57"/>
        <v>0</v>
      </c>
      <c r="H160" s="1098">
        <f t="shared" si="73"/>
        <v>0</v>
      </c>
      <c r="I160" s="887">
        <f t="shared" si="70"/>
        <v>141</v>
      </c>
      <c r="J160" s="1099">
        <f t="shared" si="63"/>
        <v>141</v>
      </c>
      <c r="K160" s="891" t="str">
        <f t="shared" si="64"/>
        <v>February</v>
      </c>
      <c r="L160" s="888">
        <f t="shared" si="71"/>
        <v>2042</v>
      </c>
      <c r="M160" s="883">
        <f t="shared" si="65"/>
        <v>0</v>
      </c>
      <c r="N160" s="883">
        <f t="shared" si="66"/>
        <v>0</v>
      </c>
      <c r="O160" s="1100"/>
      <c r="P160" s="883">
        <f t="shared" si="58"/>
        <v>0</v>
      </c>
      <c r="Q160" s="884">
        <f t="shared" si="67"/>
        <v>0</v>
      </c>
      <c r="R160" s="884">
        <f>IF(AND($AR$39="Early Payoff",I160&gt;=$R$13),0,IF($I160&lt;=$R$6,SUM($P$20:$P160),0))</f>
        <v>0</v>
      </c>
      <c r="S160" s="884">
        <f>IF(AND($AR$39="Early Payoff",I160&gt;=$R$13),0,IF($I160&lt;=$R$6,SUM($Q$20:$Q160),0))</f>
        <v>0</v>
      </c>
      <c r="T160" s="873">
        <f t="shared" si="68"/>
        <v>0</v>
      </c>
      <c r="U160" s="1110">
        <f t="shared" si="74"/>
        <v>0</v>
      </c>
      <c r="W160" s="1102">
        <f t="shared" si="59"/>
        <v>0</v>
      </c>
      <c r="X160" s="873">
        <f t="shared" si="60"/>
        <v>0</v>
      </c>
      <c r="Y160" s="873">
        <f t="shared" si="61"/>
        <v>0</v>
      </c>
      <c r="Z160" s="885">
        <f t="shared" si="62"/>
        <v>0</v>
      </c>
    </row>
    <row r="161" spans="2:26" s="278" customFormat="1" ht="12" customHeight="1" x14ac:dyDescent="0.25">
      <c r="B161" s="1192">
        <f t="shared" si="69"/>
        <v>161</v>
      </c>
      <c r="C161" s="732">
        <f t="shared" si="54"/>
        <v>31</v>
      </c>
      <c r="D161" s="35">
        <f t="shared" si="55"/>
        <v>3</v>
      </c>
      <c r="E161" s="889">
        <f t="shared" si="72"/>
        <v>51956</v>
      </c>
      <c r="F161" s="822">
        <f t="shared" si="56"/>
        <v>3</v>
      </c>
      <c r="G161" s="126">
        <f t="shared" si="57"/>
        <v>0</v>
      </c>
      <c r="H161" s="1098">
        <f t="shared" si="73"/>
        <v>0</v>
      </c>
      <c r="I161" s="887">
        <f t="shared" si="70"/>
        <v>142</v>
      </c>
      <c r="J161" s="1099">
        <f t="shared" si="63"/>
        <v>142</v>
      </c>
      <c r="K161" s="891" t="str">
        <f t="shared" si="64"/>
        <v>March</v>
      </c>
      <c r="L161" s="888">
        <f t="shared" si="71"/>
        <v>2042</v>
      </c>
      <c r="M161" s="883">
        <f t="shared" si="65"/>
        <v>0</v>
      </c>
      <c r="N161" s="883">
        <f t="shared" si="66"/>
        <v>0</v>
      </c>
      <c r="O161" s="1100"/>
      <c r="P161" s="883">
        <f t="shared" si="58"/>
        <v>0</v>
      </c>
      <c r="Q161" s="884">
        <f t="shared" si="67"/>
        <v>0</v>
      </c>
      <c r="R161" s="884">
        <f>IF(AND($AR$39="Early Payoff",I161&gt;=$R$13),0,IF($I161&lt;=$R$6,SUM($P$20:$P161),0))</f>
        <v>0</v>
      </c>
      <c r="S161" s="884">
        <f>IF(AND($AR$39="Early Payoff",I161&gt;=$R$13),0,IF($I161&lt;=$R$6,SUM($Q$20:$Q161),0))</f>
        <v>0</v>
      </c>
      <c r="T161" s="873">
        <f t="shared" si="68"/>
        <v>0</v>
      </c>
      <c r="U161" s="1110">
        <f t="shared" si="74"/>
        <v>0</v>
      </c>
      <c r="W161" s="1102">
        <f t="shared" si="59"/>
        <v>0</v>
      </c>
      <c r="X161" s="873">
        <f t="shared" si="60"/>
        <v>0</v>
      </c>
      <c r="Y161" s="873">
        <f t="shared" si="61"/>
        <v>0</v>
      </c>
      <c r="Z161" s="885">
        <f t="shared" si="62"/>
        <v>0</v>
      </c>
    </row>
    <row r="162" spans="2:26" s="278" customFormat="1" ht="12" customHeight="1" x14ac:dyDescent="0.25">
      <c r="B162" s="1192">
        <f t="shared" si="69"/>
        <v>162</v>
      </c>
      <c r="C162" s="732">
        <f t="shared" si="54"/>
        <v>30</v>
      </c>
      <c r="D162" s="35">
        <f t="shared" si="55"/>
        <v>4</v>
      </c>
      <c r="E162" s="889">
        <f t="shared" si="72"/>
        <v>51986</v>
      </c>
      <c r="F162" s="822">
        <f t="shared" si="56"/>
        <v>4</v>
      </c>
      <c r="G162" s="126">
        <f t="shared" si="57"/>
        <v>0</v>
      </c>
      <c r="H162" s="1098">
        <f t="shared" si="73"/>
        <v>0</v>
      </c>
      <c r="I162" s="887">
        <f t="shared" si="70"/>
        <v>143</v>
      </c>
      <c r="J162" s="1099">
        <f t="shared" si="63"/>
        <v>143</v>
      </c>
      <c r="K162" s="891" t="str">
        <f t="shared" si="64"/>
        <v>April</v>
      </c>
      <c r="L162" s="888">
        <f t="shared" si="71"/>
        <v>2042</v>
      </c>
      <c r="M162" s="883">
        <f t="shared" si="65"/>
        <v>0</v>
      </c>
      <c r="N162" s="883">
        <f t="shared" si="66"/>
        <v>0</v>
      </c>
      <c r="O162" s="1100"/>
      <c r="P162" s="883">
        <f t="shared" si="58"/>
        <v>0</v>
      </c>
      <c r="Q162" s="884">
        <f t="shared" si="67"/>
        <v>0</v>
      </c>
      <c r="R162" s="884">
        <f>IF(AND($AR$39="Early Payoff",I162&gt;=$R$13),0,IF($I162&lt;=$R$6,SUM($P$20:$P162),0))</f>
        <v>0</v>
      </c>
      <c r="S162" s="884">
        <f>IF(AND($AR$39="Early Payoff",I162&gt;=$R$13),0,IF($I162&lt;=$R$6,SUM($Q$20:$Q162),0))</f>
        <v>0</v>
      </c>
      <c r="T162" s="873">
        <f t="shared" si="68"/>
        <v>0</v>
      </c>
      <c r="U162" s="1110">
        <f t="shared" si="74"/>
        <v>0</v>
      </c>
      <c r="W162" s="1102">
        <f t="shared" si="59"/>
        <v>0</v>
      </c>
      <c r="X162" s="873">
        <f t="shared" si="60"/>
        <v>0</v>
      </c>
      <c r="Y162" s="873">
        <f t="shared" si="61"/>
        <v>0</v>
      </c>
      <c r="Z162" s="885">
        <f t="shared" si="62"/>
        <v>0</v>
      </c>
    </row>
    <row r="163" spans="2:26" s="278" customFormat="1" ht="12" customHeight="1" x14ac:dyDescent="0.25">
      <c r="B163" s="1192">
        <f t="shared" si="69"/>
        <v>163</v>
      </c>
      <c r="C163" s="732">
        <f t="shared" si="54"/>
        <v>31</v>
      </c>
      <c r="D163" s="35">
        <f t="shared" si="55"/>
        <v>5</v>
      </c>
      <c r="E163" s="889">
        <f t="shared" si="72"/>
        <v>52017</v>
      </c>
      <c r="F163" s="822">
        <f t="shared" si="56"/>
        <v>5</v>
      </c>
      <c r="G163" s="126">
        <f t="shared" si="57"/>
        <v>0</v>
      </c>
      <c r="H163" s="1098">
        <f t="shared" si="73"/>
        <v>0</v>
      </c>
      <c r="I163" s="887">
        <f t="shared" si="70"/>
        <v>144</v>
      </c>
      <c r="J163" s="1099">
        <f t="shared" si="63"/>
        <v>144</v>
      </c>
      <c r="K163" s="891" t="str">
        <f t="shared" si="64"/>
        <v>May</v>
      </c>
      <c r="L163" s="888">
        <f t="shared" si="71"/>
        <v>2042</v>
      </c>
      <c r="M163" s="883">
        <f t="shared" si="65"/>
        <v>0</v>
      </c>
      <c r="N163" s="883">
        <f t="shared" si="66"/>
        <v>0</v>
      </c>
      <c r="O163" s="1100"/>
      <c r="P163" s="883">
        <f t="shared" si="58"/>
        <v>0</v>
      </c>
      <c r="Q163" s="884">
        <f t="shared" si="67"/>
        <v>0</v>
      </c>
      <c r="R163" s="884">
        <f>IF(AND($AR$39="Early Payoff",I163&gt;=$R$13),0,IF($I163&lt;=$R$6,SUM($P$20:$P163),0))</f>
        <v>0</v>
      </c>
      <c r="S163" s="884">
        <f>IF(AND($AR$39="Early Payoff",I163&gt;=$R$13),0,IF($I163&lt;=$R$6,SUM($Q$20:$Q163),0))</f>
        <v>0</v>
      </c>
      <c r="T163" s="873">
        <f t="shared" si="68"/>
        <v>0</v>
      </c>
      <c r="U163" s="1110">
        <f t="shared" si="74"/>
        <v>0</v>
      </c>
      <c r="W163" s="1102">
        <f t="shared" si="59"/>
        <v>0</v>
      </c>
      <c r="X163" s="873">
        <f t="shared" si="60"/>
        <v>0</v>
      </c>
      <c r="Y163" s="873">
        <f t="shared" si="61"/>
        <v>0</v>
      </c>
      <c r="Z163" s="885">
        <f t="shared" si="62"/>
        <v>0</v>
      </c>
    </row>
    <row r="164" spans="2:26" s="278" customFormat="1" ht="12" customHeight="1" x14ac:dyDescent="0.25">
      <c r="B164" s="1192">
        <f t="shared" si="69"/>
        <v>164</v>
      </c>
      <c r="C164" s="732">
        <f t="shared" si="54"/>
        <v>30</v>
      </c>
      <c r="D164" s="35">
        <f t="shared" si="55"/>
        <v>6</v>
      </c>
      <c r="E164" s="889">
        <f t="shared" si="72"/>
        <v>52047</v>
      </c>
      <c r="F164" s="822">
        <f t="shared" si="56"/>
        <v>6</v>
      </c>
      <c r="G164" s="126">
        <f t="shared" si="57"/>
        <v>0</v>
      </c>
      <c r="H164" s="1098">
        <f t="shared" si="73"/>
        <v>0</v>
      </c>
      <c r="I164" s="887">
        <f t="shared" si="70"/>
        <v>145</v>
      </c>
      <c r="J164" s="1099">
        <f t="shared" si="63"/>
        <v>145</v>
      </c>
      <c r="K164" s="891" t="str">
        <f t="shared" si="64"/>
        <v>June</v>
      </c>
      <c r="L164" s="888">
        <f t="shared" si="71"/>
        <v>2042</v>
      </c>
      <c r="M164" s="883">
        <f t="shared" si="65"/>
        <v>0</v>
      </c>
      <c r="N164" s="883">
        <f t="shared" si="66"/>
        <v>0</v>
      </c>
      <c r="O164" s="1100"/>
      <c r="P164" s="883">
        <f t="shared" si="58"/>
        <v>0</v>
      </c>
      <c r="Q164" s="884">
        <f t="shared" si="67"/>
        <v>0</v>
      </c>
      <c r="R164" s="884">
        <f>IF(AND($AR$39="Early Payoff",I164&gt;=$R$13),0,IF($I164&lt;=$R$6,SUM($P$20:$P164),0))</f>
        <v>0</v>
      </c>
      <c r="S164" s="884">
        <f>IF(AND($AR$39="Early Payoff",I164&gt;=$R$13),0,IF($I164&lt;=$R$6,SUM($Q$20:$Q164),0))</f>
        <v>0</v>
      </c>
      <c r="T164" s="873">
        <f t="shared" si="68"/>
        <v>0</v>
      </c>
      <c r="U164" s="1110">
        <f t="shared" si="74"/>
        <v>0</v>
      </c>
      <c r="W164" s="1102">
        <f t="shared" si="59"/>
        <v>0</v>
      </c>
      <c r="X164" s="873">
        <f t="shared" si="60"/>
        <v>0</v>
      </c>
      <c r="Y164" s="873">
        <f t="shared" si="61"/>
        <v>0</v>
      </c>
      <c r="Z164" s="885">
        <f t="shared" si="62"/>
        <v>0</v>
      </c>
    </row>
    <row r="165" spans="2:26" s="278" customFormat="1" ht="12" customHeight="1" x14ac:dyDescent="0.25">
      <c r="B165" s="1192">
        <f t="shared" si="69"/>
        <v>165</v>
      </c>
      <c r="C165" s="732">
        <f t="shared" si="54"/>
        <v>31</v>
      </c>
      <c r="D165" s="35">
        <f t="shared" si="55"/>
        <v>7</v>
      </c>
      <c r="E165" s="889">
        <f t="shared" si="72"/>
        <v>52078</v>
      </c>
      <c r="F165" s="822">
        <f t="shared" si="56"/>
        <v>7</v>
      </c>
      <c r="G165" s="126">
        <f t="shared" si="57"/>
        <v>0</v>
      </c>
      <c r="H165" s="1098">
        <f t="shared" si="73"/>
        <v>0</v>
      </c>
      <c r="I165" s="887">
        <f t="shared" si="70"/>
        <v>146</v>
      </c>
      <c r="J165" s="1099">
        <f t="shared" si="63"/>
        <v>146</v>
      </c>
      <c r="K165" s="891" t="str">
        <f t="shared" si="64"/>
        <v>July</v>
      </c>
      <c r="L165" s="888">
        <f t="shared" si="71"/>
        <v>2042</v>
      </c>
      <c r="M165" s="883">
        <f t="shared" si="65"/>
        <v>0</v>
      </c>
      <c r="N165" s="883">
        <f t="shared" si="66"/>
        <v>0</v>
      </c>
      <c r="O165" s="1100"/>
      <c r="P165" s="883">
        <f t="shared" si="58"/>
        <v>0</v>
      </c>
      <c r="Q165" s="884">
        <f t="shared" si="67"/>
        <v>0</v>
      </c>
      <c r="R165" s="884">
        <f>IF(AND($AR$39="Early Payoff",I165&gt;=$R$13),0,IF($I165&lt;=$R$6,SUM($P$20:$P165),0))</f>
        <v>0</v>
      </c>
      <c r="S165" s="884">
        <f>IF(AND($AR$39="Early Payoff",I165&gt;=$R$13),0,IF($I165&lt;=$R$6,SUM($Q$20:$Q165),0))</f>
        <v>0</v>
      </c>
      <c r="T165" s="873">
        <f t="shared" si="68"/>
        <v>0</v>
      </c>
      <c r="U165" s="1110">
        <f t="shared" si="74"/>
        <v>0</v>
      </c>
      <c r="W165" s="1102">
        <f t="shared" si="59"/>
        <v>0</v>
      </c>
      <c r="X165" s="873">
        <f t="shared" si="60"/>
        <v>0</v>
      </c>
      <c r="Y165" s="873">
        <f t="shared" si="61"/>
        <v>0</v>
      </c>
      <c r="Z165" s="885">
        <f t="shared" si="62"/>
        <v>0</v>
      </c>
    </row>
    <row r="166" spans="2:26" s="278" customFormat="1" ht="12" customHeight="1" x14ac:dyDescent="0.25">
      <c r="B166" s="1192">
        <f t="shared" si="69"/>
        <v>166</v>
      </c>
      <c r="C166" s="732">
        <f t="shared" si="54"/>
        <v>31</v>
      </c>
      <c r="D166" s="35">
        <f t="shared" si="55"/>
        <v>8</v>
      </c>
      <c r="E166" s="889">
        <f t="shared" si="72"/>
        <v>52109</v>
      </c>
      <c r="F166" s="822">
        <f t="shared" si="56"/>
        <v>8</v>
      </c>
      <c r="G166" s="126">
        <f t="shared" si="57"/>
        <v>0</v>
      </c>
      <c r="H166" s="1098">
        <f t="shared" si="73"/>
        <v>0</v>
      </c>
      <c r="I166" s="887">
        <f t="shared" si="70"/>
        <v>147</v>
      </c>
      <c r="J166" s="1099">
        <f t="shared" si="63"/>
        <v>147</v>
      </c>
      <c r="K166" s="891" t="str">
        <f t="shared" si="64"/>
        <v>August</v>
      </c>
      <c r="L166" s="888">
        <f t="shared" si="71"/>
        <v>2042</v>
      </c>
      <c r="M166" s="883">
        <f t="shared" si="65"/>
        <v>0</v>
      </c>
      <c r="N166" s="883">
        <f t="shared" si="66"/>
        <v>0</v>
      </c>
      <c r="O166" s="1100"/>
      <c r="P166" s="883">
        <f t="shared" si="58"/>
        <v>0</v>
      </c>
      <c r="Q166" s="884">
        <f t="shared" si="67"/>
        <v>0</v>
      </c>
      <c r="R166" s="884">
        <f>IF(AND($AR$39="Early Payoff",I166&gt;=$R$13),0,IF($I166&lt;=$R$6,SUM($P$20:$P166),0))</f>
        <v>0</v>
      </c>
      <c r="S166" s="884">
        <f>IF(AND($AR$39="Early Payoff",I166&gt;=$R$13),0,IF($I166&lt;=$R$6,SUM($Q$20:$Q166),0))</f>
        <v>0</v>
      </c>
      <c r="T166" s="873">
        <f t="shared" si="68"/>
        <v>0</v>
      </c>
      <c r="U166" s="1110">
        <f t="shared" si="74"/>
        <v>0</v>
      </c>
      <c r="W166" s="1102">
        <f t="shared" si="59"/>
        <v>0</v>
      </c>
      <c r="X166" s="873">
        <f t="shared" si="60"/>
        <v>0</v>
      </c>
      <c r="Y166" s="873">
        <f t="shared" si="61"/>
        <v>0</v>
      </c>
      <c r="Z166" s="885">
        <f t="shared" si="62"/>
        <v>0</v>
      </c>
    </row>
    <row r="167" spans="2:26" s="278" customFormat="1" ht="12" customHeight="1" x14ac:dyDescent="0.25">
      <c r="B167" s="1192">
        <f t="shared" si="69"/>
        <v>167</v>
      </c>
      <c r="C167" s="732">
        <f t="shared" si="54"/>
        <v>30</v>
      </c>
      <c r="D167" s="35">
        <f t="shared" si="55"/>
        <v>9</v>
      </c>
      <c r="E167" s="889">
        <f t="shared" si="72"/>
        <v>52139</v>
      </c>
      <c r="F167" s="822">
        <f t="shared" si="56"/>
        <v>9</v>
      </c>
      <c r="G167" s="126">
        <f t="shared" si="57"/>
        <v>0</v>
      </c>
      <c r="H167" s="1098">
        <f t="shared" si="73"/>
        <v>0</v>
      </c>
      <c r="I167" s="887">
        <f t="shared" si="70"/>
        <v>148</v>
      </c>
      <c r="J167" s="1099">
        <f t="shared" si="63"/>
        <v>148</v>
      </c>
      <c r="K167" s="891" t="str">
        <f t="shared" si="64"/>
        <v>September</v>
      </c>
      <c r="L167" s="888">
        <f t="shared" si="71"/>
        <v>2042</v>
      </c>
      <c r="M167" s="883">
        <f t="shared" si="65"/>
        <v>0</v>
      </c>
      <c r="N167" s="883">
        <f t="shared" si="66"/>
        <v>0</v>
      </c>
      <c r="O167" s="1100"/>
      <c r="P167" s="883">
        <f t="shared" si="58"/>
        <v>0</v>
      </c>
      <c r="Q167" s="884">
        <f t="shared" si="67"/>
        <v>0</v>
      </c>
      <c r="R167" s="884">
        <f>IF(AND($AR$39="Early Payoff",I167&gt;=$R$13),0,IF($I167&lt;=$R$6,SUM($P$20:$P167),0))</f>
        <v>0</v>
      </c>
      <c r="S167" s="884">
        <f>IF(AND($AR$39="Early Payoff",I167&gt;=$R$13),0,IF($I167&lt;=$R$6,SUM($Q$20:$Q167),0))</f>
        <v>0</v>
      </c>
      <c r="T167" s="873">
        <f t="shared" si="68"/>
        <v>0</v>
      </c>
      <c r="U167" s="1110">
        <f t="shared" si="74"/>
        <v>0</v>
      </c>
      <c r="W167" s="1102">
        <f t="shared" si="59"/>
        <v>0</v>
      </c>
      <c r="X167" s="873">
        <f t="shared" si="60"/>
        <v>0</v>
      </c>
      <c r="Y167" s="873">
        <f t="shared" si="61"/>
        <v>0</v>
      </c>
      <c r="Z167" s="885">
        <f t="shared" si="62"/>
        <v>0</v>
      </c>
    </row>
    <row r="168" spans="2:26" s="278" customFormat="1" ht="12" customHeight="1" x14ac:dyDescent="0.25">
      <c r="B168" s="1192">
        <f t="shared" si="69"/>
        <v>168</v>
      </c>
      <c r="C168" s="732">
        <f t="shared" si="54"/>
        <v>31</v>
      </c>
      <c r="D168" s="35">
        <f t="shared" si="55"/>
        <v>10</v>
      </c>
      <c r="E168" s="889">
        <f t="shared" si="72"/>
        <v>52170</v>
      </c>
      <c r="F168" s="822">
        <f t="shared" si="56"/>
        <v>10</v>
      </c>
      <c r="G168" s="126">
        <f t="shared" si="57"/>
        <v>0</v>
      </c>
      <c r="H168" s="1098">
        <f t="shared" si="73"/>
        <v>0</v>
      </c>
      <c r="I168" s="887">
        <f t="shared" si="70"/>
        <v>149</v>
      </c>
      <c r="J168" s="1099">
        <f t="shared" si="63"/>
        <v>149</v>
      </c>
      <c r="K168" s="891" t="str">
        <f t="shared" si="64"/>
        <v>October</v>
      </c>
      <c r="L168" s="888">
        <f t="shared" si="71"/>
        <v>2042</v>
      </c>
      <c r="M168" s="883">
        <f t="shared" si="65"/>
        <v>0</v>
      </c>
      <c r="N168" s="883">
        <f t="shared" si="66"/>
        <v>0</v>
      </c>
      <c r="O168" s="1100"/>
      <c r="P168" s="883">
        <f t="shared" si="58"/>
        <v>0</v>
      </c>
      <c r="Q168" s="884">
        <f t="shared" si="67"/>
        <v>0</v>
      </c>
      <c r="R168" s="884">
        <f>IF(AND($AR$39="Early Payoff",I168&gt;=$R$13),0,IF($I168&lt;=$R$6,SUM($P$20:$P168),0))</f>
        <v>0</v>
      </c>
      <c r="S168" s="884">
        <f>IF(AND($AR$39="Early Payoff",I168&gt;=$R$13),0,IF($I168&lt;=$R$6,SUM($Q$20:$Q168),0))</f>
        <v>0</v>
      </c>
      <c r="T168" s="873">
        <f t="shared" si="68"/>
        <v>0</v>
      </c>
      <c r="U168" s="1110">
        <f t="shared" si="74"/>
        <v>0</v>
      </c>
      <c r="W168" s="1102">
        <f t="shared" si="59"/>
        <v>0</v>
      </c>
      <c r="X168" s="873">
        <f t="shared" si="60"/>
        <v>0</v>
      </c>
      <c r="Y168" s="873">
        <f t="shared" si="61"/>
        <v>0</v>
      </c>
      <c r="Z168" s="885">
        <f t="shared" si="62"/>
        <v>0</v>
      </c>
    </row>
    <row r="169" spans="2:26" s="278" customFormat="1" ht="12" customHeight="1" x14ac:dyDescent="0.25">
      <c r="B169" s="1192">
        <f t="shared" si="69"/>
        <v>169</v>
      </c>
      <c r="C169" s="732">
        <f t="shared" si="54"/>
        <v>30</v>
      </c>
      <c r="D169" s="35">
        <f t="shared" si="55"/>
        <v>11</v>
      </c>
      <c r="E169" s="889">
        <f t="shared" si="72"/>
        <v>52200</v>
      </c>
      <c r="F169" s="822">
        <f t="shared" si="56"/>
        <v>11</v>
      </c>
      <c r="G169" s="126">
        <f t="shared" si="57"/>
        <v>0</v>
      </c>
      <c r="H169" s="1098">
        <f t="shared" si="73"/>
        <v>0</v>
      </c>
      <c r="I169" s="887">
        <f t="shared" si="70"/>
        <v>150</v>
      </c>
      <c r="J169" s="1099">
        <f t="shared" si="63"/>
        <v>150</v>
      </c>
      <c r="K169" s="891" t="str">
        <f t="shared" si="64"/>
        <v>November</v>
      </c>
      <c r="L169" s="888">
        <f t="shared" si="71"/>
        <v>2042</v>
      </c>
      <c r="M169" s="883">
        <f t="shared" si="65"/>
        <v>0</v>
      </c>
      <c r="N169" s="883">
        <f t="shared" si="66"/>
        <v>0</v>
      </c>
      <c r="O169" s="1100"/>
      <c r="P169" s="883">
        <f t="shared" si="58"/>
        <v>0</v>
      </c>
      <c r="Q169" s="884">
        <f t="shared" si="67"/>
        <v>0</v>
      </c>
      <c r="R169" s="884">
        <f>IF(AND($AR$39="Early Payoff",I169&gt;=$R$13),0,IF($I169&lt;=$R$6,SUM($P$20:$P169),0))</f>
        <v>0</v>
      </c>
      <c r="S169" s="884">
        <f>IF(AND($AR$39="Early Payoff",I169&gt;=$R$13),0,IF($I169&lt;=$R$6,SUM($Q$20:$Q169),0))</f>
        <v>0</v>
      </c>
      <c r="T169" s="873">
        <f t="shared" si="68"/>
        <v>0</v>
      </c>
      <c r="U169" s="1110">
        <f t="shared" si="74"/>
        <v>0</v>
      </c>
      <c r="W169" s="1102">
        <f t="shared" si="59"/>
        <v>0</v>
      </c>
      <c r="X169" s="873">
        <f t="shared" si="60"/>
        <v>0</v>
      </c>
      <c r="Y169" s="873">
        <f t="shared" si="61"/>
        <v>0</v>
      </c>
      <c r="Z169" s="885">
        <f t="shared" si="62"/>
        <v>0</v>
      </c>
    </row>
    <row r="170" spans="2:26" s="278" customFormat="1" ht="12" customHeight="1" x14ac:dyDescent="0.25">
      <c r="B170" s="1192">
        <f t="shared" si="69"/>
        <v>170</v>
      </c>
      <c r="C170" s="732">
        <f t="shared" si="54"/>
        <v>31</v>
      </c>
      <c r="D170" s="35">
        <f t="shared" si="55"/>
        <v>12</v>
      </c>
      <c r="E170" s="889">
        <f t="shared" si="72"/>
        <v>52231</v>
      </c>
      <c r="F170" s="822">
        <f t="shared" si="56"/>
        <v>12</v>
      </c>
      <c r="G170" s="126">
        <f t="shared" si="57"/>
        <v>1</v>
      </c>
      <c r="H170" s="1098">
        <f t="shared" si="73"/>
        <v>0</v>
      </c>
      <c r="I170" s="887">
        <f t="shared" si="70"/>
        <v>151</v>
      </c>
      <c r="J170" s="1099">
        <f t="shared" si="63"/>
        <v>151</v>
      </c>
      <c r="K170" s="891" t="str">
        <f t="shared" si="64"/>
        <v>December</v>
      </c>
      <c r="L170" s="888">
        <f t="shared" si="71"/>
        <v>2042</v>
      </c>
      <c r="M170" s="883">
        <f t="shared" si="65"/>
        <v>0</v>
      </c>
      <c r="N170" s="883">
        <f t="shared" si="66"/>
        <v>0</v>
      </c>
      <c r="O170" s="1100"/>
      <c r="P170" s="883">
        <f t="shared" si="58"/>
        <v>0</v>
      </c>
      <c r="Q170" s="884">
        <f t="shared" si="67"/>
        <v>0</v>
      </c>
      <c r="R170" s="884">
        <f>IF(AND($AR$39="Early Payoff",I170&gt;=$R$13),0,IF($I170&lt;=$R$6,SUM($P$20:$P170),0))</f>
        <v>0</v>
      </c>
      <c r="S170" s="884">
        <f>IF(AND($AR$39="Early Payoff",I170&gt;=$R$13),0,IF($I170&lt;=$R$6,SUM($Q$20:$Q170),0))</f>
        <v>0</v>
      </c>
      <c r="T170" s="873">
        <f t="shared" si="68"/>
        <v>0</v>
      </c>
      <c r="U170" s="1110">
        <f t="shared" si="74"/>
        <v>0</v>
      </c>
      <c r="W170" s="1102">
        <f t="shared" si="59"/>
        <v>0</v>
      </c>
      <c r="X170" s="873">
        <f t="shared" si="60"/>
        <v>0</v>
      </c>
      <c r="Y170" s="873">
        <f t="shared" si="61"/>
        <v>0</v>
      </c>
      <c r="Z170" s="885">
        <f t="shared" si="62"/>
        <v>0</v>
      </c>
    </row>
    <row r="171" spans="2:26" s="278" customFormat="1" ht="12" customHeight="1" x14ac:dyDescent="0.25">
      <c r="B171" s="1192">
        <f t="shared" si="69"/>
        <v>171</v>
      </c>
      <c r="C171" s="732">
        <f t="shared" si="54"/>
        <v>31</v>
      </c>
      <c r="D171" s="35">
        <f t="shared" si="55"/>
        <v>1</v>
      </c>
      <c r="E171" s="889">
        <f t="shared" si="72"/>
        <v>52262</v>
      </c>
      <c r="F171" s="822">
        <f t="shared" si="56"/>
        <v>1</v>
      </c>
      <c r="G171" s="126">
        <f t="shared" si="57"/>
        <v>0</v>
      </c>
      <c r="H171" s="1098">
        <f t="shared" si="73"/>
        <v>0</v>
      </c>
      <c r="I171" s="887">
        <f t="shared" si="70"/>
        <v>152</v>
      </c>
      <c r="J171" s="1099">
        <f t="shared" si="63"/>
        <v>152</v>
      </c>
      <c r="K171" s="891" t="str">
        <f t="shared" si="64"/>
        <v>January</v>
      </c>
      <c r="L171" s="888">
        <f t="shared" si="71"/>
        <v>2043</v>
      </c>
      <c r="M171" s="883">
        <f t="shared" si="65"/>
        <v>0</v>
      </c>
      <c r="N171" s="883">
        <f t="shared" si="66"/>
        <v>0</v>
      </c>
      <c r="O171" s="1100"/>
      <c r="P171" s="883">
        <f t="shared" si="58"/>
        <v>0</v>
      </c>
      <c r="Q171" s="884">
        <f t="shared" si="67"/>
        <v>0</v>
      </c>
      <c r="R171" s="884">
        <f>IF(AND($AR$39="Early Payoff",I171&gt;=$R$13),0,IF($I171&lt;=$R$6,SUM($P$20:$P171),0))</f>
        <v>0</v>
      </c>
      <c r="S171" s="884">
        <f>IF(AND($AR$39="Early Payoff",I171&gt;=$R$13),0,IF($I171&lt;=$R$6,SUM($Q$20:$Q171),0))</f>
        <v>0</v>
      </c>
      <c r="T171" s="873">
        <f t="shared" si="68"/>
        <v>0</v>
      </c>
      <c r="U171" s="1110">
        <f t="shared" si="74"/>
        <v>0</v>
      </c>
      <c r="W171" s="1102">
        <f t="shared" si="59"/>
        <v>0</v>
      </c>
      <c r="X171" s="873">
        <f t="shared" si="60"/>
        <v>0</v>
      </c>
      <c r="Y171" s="873">
        <f t="shared" si="61"/>
        <v>0</v>
      </c>
      <c r="Z171" s="885">
        <f t="shared" si="62"/>
        <v>0</v>
      </c>
    </row>
    <row r="172" spans="2:26" s="278" customFormat="1" ht="12" customHeight="1" x14ac:dyDescent="0.25">
      <c r="B172" s="1192">
        <f t="shared" si="69"/>
        <v>172</v>
      </c>
      <c r="C172" s="732">
        <f t="shared" si="54"/>
        <v>28</v>
      </c>
      <c r="D172" s="35">
        <f t="shared" si="55"/>
        <v>2</v>
      </c>
      <c r="E172" s="889">
        <f t="shared" si="72"/>
        <v>52290</v>
      </c>
      <c r="F172" s="822">
        <f t="shared" si="56"/>
        <v>2</v>
      </c>
      <c r="G172" s="126">
        <f t="shared" si="57"/>
        <v>0</v>
      </c>
      <c r="H172" s="1098">
        <f t="shared" si="73"/>
        <v>0</v>
      </c>
      <c r="I172" s="887">
        <f t="shared" si="70"/>
        <v>153</v>
      </c>
      <c r="J172" s="1099">
        <f t="shared" si="63"/>
        <v>153</v>
      </c>
      <c r="K172" s="891" t="str">
        <f t="shared" si="64"/>
        <v>February</v>
      </c>
      <c r="L172" s="888">
        <f t="shared" si="71"/>
        <v>2043</v>
      </c>
      <c r="M172" s="883">
        <f t="shared" si="65"/>
        <v>0</v>
      </c>
      <c r="N172" s="883">
        <f t="shared" si="66"/>
        <v>0</v>
      </c>
      <c r="O172" s="1100"/>
      <c r="P172" s="883">
        <f t="shared" si="58"/>
        <v>0</v>
      </c>
      <c r="Q172" s="884">
        <f t="shared" si="67"/>
        <v>0</v>
      </c>
      <c r="R172" s="884">
        <f>IF(AND($AR$39="Early Payoff",I172&gt;=$R$13),0,IF($I172&lt;=$R$6,SUM($P$20:$P172),0))</f>
        <v>0</v>
      </c>
      <c r="S172" s="884">
        <f>IF(AND($AR$39="Early Payoff",I172&gt;=$R$13),0,IF($I172&lt;=$R$6,SUM($Q$20:$Q172),0))</f>
        <v>0</v>
      </c>
      <c r="T172" s="873">
        <f t="shared" si="68"/>
        <v>0</v>
      </c>
      <c r="U172" s="1110">
        <f t="shared" si="74"/>
        <v>0</v>
      </c>
      <c r="W172" s="1102">
        <f t="shared" si="59"/>
        <v>0</v>
      </c>
      <c r="X172" s="873">
        <f t="shared" si="60"/>
        <v>0</v>
      </c>
      <c r="Y172" s="873">
        <f t="shared" si="61"/>
        <v>0</v>
      </c>
      <c r="Z172" s="885">
        <f t="shared" si="62"/>
        <v>0</v>
      </c>
    </row>
    <row r="173" spans="2:26" s="278" customFormat="1" ht="12" customHeight="1" x14ac:dyDescent="0.25">
      <c r="B173" s="1192">
        <f t="shared" si="69"/>
        <v>173</v>
      </c>
      <c r="C173" s="732">
        <f t="shared" si="54"/>
        <v>31</v>
      </c>
      <c r="D173" s="35">
        <f t="shared" si="55"/>
        <v>3</v>
      </c>
      <c r="E173" s="889">
        <f t="shared" si="72"/>
        <v>52321</v>
      </c>
      <c r="F173" s="822">
        <f t="shared" si="56"/>
        <v>3</v>
      </c>
      <c r="G173" s="126">
        <f t="shared" si="57"/>
        <v>0</v>
      </c>
      <c r="H173" s="1098">
        <f t="shared" si="73"/>
        <v>0</v>
      </c>
      <c r="I173" s="887">
        <f t="shared" si="70"/>
        <v>154</v>
      </c>
      <c r="J173" s="1099">
        <f t="shared" si="63"/>
        <v>154</v>
      </c>
      <c r="K173" s="891" t="str">
        <f t="shared" si="64"/>
        <v>March</v>
      </c>
      <c r="L173" s="888">
        <f t="shared" si="71"/>
        <v>2043</v>
      </c>
      <c r="M173" s="883">
        <f t="shared" si="65"/>
        <v>0</v>
      </c>
      <c r="N173" s="883">
        <f t="shared" si="66"/>
        <v>0</v>
      </c>
      <c r="O173" s="1100"/>
      <c r="P173" s="883">
        <f t="shared" si="58"/>
        <v>0</v>
      </c>
      <c r="Q173" s="884">
        <f t="shared" si="67"/>
        <v>0</v>
      </c>
      <c r="R173" s="884">
        <f>IF(AND($AR$39="Early Payoff",I173&gt;=$R$13),0,IF($I173&lt;=$R$6,SUM($P$20:$P173),0))</f>
        <v>0</v>
      </c>
      <c r="S173" s="884">
        <f>IF(AND($AR$39="Early Payoff",I173&gt;=$R$13),0,IF($I173&lt;=$R$6,SUM($Q$20:$Q173),0))</f>
        <v>0</v>
      </c>
      <c r="T173" s="873">
        <f t="shared" si="68"/>
        <v>0</v>
      </c>
      <c r="U173" s="1110">
        <f t="shared" si="74"/>
        <v>0</v>
      </c>
      <c r="W173" s="1102">
        <f t="shared" si="59"/>
        <v>0</v>
      </c>
      <c r="X173" s="873">
        <f t="shared" si="60"/>
        <v>0</v>
      </c>
      <c r="Y173" s="873">
        <f t="shared" si="61"/>
        <v>0</v>
      </c>
      <c r="Z173" s="885">
        <f t="shared" si="62"/>
        <v>0</v>
      </c>
    </row>
    <row r="174" spans="2:26" s="278" customFormat="1" ht="12" customHeight="1" x14ac:dyDescent="0.25">
      <c r="B174" s="1192">
        <f t="shared" si="69"/>
        <v>174</v>
      </c>
      <c r="C174" s="732">
        <f t="shared" si="54"/>
        <v>30</v>
      </c>
      <c r="D174" s="35">
        <f t="shared" si="55"/>
        <v>4</v>
      </c>
      <c r="E174" s="889">
        <f t="shared" si="72"/>
        <v>52351</v>
      </c>
      <c r="F174" s="822">
        <f t="shared" si="56"/>
        <v>4</v>
      </c>
      <c r="G174" s="126">
        <f t="shared" si="57"/>
        <v>0</v>
      </c>
      <c r="H174" s="1098">
        <f t="shared" si="73"/>
        <v>0</v>
      </c>
      <c r="I174" s="887">
        <f t="shared" si="70"/>
        <v>155</v>
      </c>
      <c r="J174" s="1099">
        <f t="shared" si="63"/>
        <v>155</v>
      </c>
      <c r="K174" s="891" t="str">
        <f t="shared" si="64"/>
        <v>April</v>
      </c>
      <c r="L174" s="888">
        <f t="shared" si="71"/>
        <v>2043</v>
      </c>
      <c r="M174" s="883">
        <f t="shared" si="65"/>
        <v>0</v>
      </c>
      <c r="N174" s="883">
        <f t="shared" si="66"/>
        <v>0</v>
      </c>
      <c r="O174" s="1100"/>
      <c r="P174" s="883">
        <f t="shared" si="58"/>
        <v>0</v>
      </c>
      <c r="Q174" s="884">
        <f t="shared" si="67"/>
        <v>0</v>
      </c>
      <c r="R174" s="884">
        <f>IF(AND($AR$39="Early Payoff",I174&gt;=$R$13),0,IF($I174&lt;=$R$6,SUM($P$20:$P174),0))</f>
        <v>0</v>
      </c>
      <c r="S174" s="884">
        <f>IF(AND($AR$39="Early Payoff",I174&gt;=$R$13),0,IF($I174&lt;=$R$6,SUM($Q$20:$Q174),0))</f>
        <v>0</v>
      </c>
      <c r="T174" s="873">
        <f t="shared" si="68"/>
        <v>0</v>
      </c>
      <c r="U174" s="1110">
        <f t="shared" si="74"/>
        <v>0</v>
      </c>
      <c r="W174" s="1102">
        <f t="shared" si="59"/>
        <v>0</v>
      </c>
      <c r="X174" s="873">
        <f t="shared" si="60"/>
        <v>0</v>
      </c>
      <c r="Y174" s="873">
        <f t="shared" si="61"/>
        <v>0</v>
      </c>
      <c r="Z174" s="885">
        <f t="shared" si="62"/>
        <v>0</v>
      </c>
    </row>
    <row r="175" spans="2:26" s="278" customFormat="1" ht="12" customHeight="1" x14ac:dyDescent="0.25">
      <c r="B175" s="1192">
        <f t="shared" si="69"/>
        <v>175</v>
      </c>
      <c r="C175" s="732">
        <f t="shared" si="54"/>
        <v>31</v>
      </c>
      <c r="D175" s="35">
        <f t="shared" si="55"/>
        <v>5</v>
      </c>
      <c r="E175" s="889">
        <f t="shared" si="72"/>
        <v>52382</v>
      </c>
      <c r="F175" s="822">
        <f t="shared" si="56"/>
        <v>5</v>
      </c>
      <c r="G175" s="126">
        <f t="shared" si="57"/>
        <v>0</v>
      </c>
      <c r="H175" s="1098">
        <f t="shared" si="73"/>
        <v>0</v>
      </c>
      <c r="I175" s="887">
        <f t="shared" si="70"/>
        <v>156</v>
      </c>
      <c r="J175" s="1099">
        <f t="shared" si="63"/>
        <v>156</v>
      </c>
      <c r="K175" s="891" t="str">
        <f t="shared" si="64"/>
        <v>May</v>
      </c>
      <c r="L175" s="888">
        <f t="shared" si="71"/>
        <v>2043</v>
      </c>
      <c r="M175" s="883">
        <f t="shared" si="65"/>
        <v>0</v>
      </c>
      <c r="N175" s="883">
        <f t="shared" si="66"/>
        <v>0</v>
      </c>
      <c r="O175" s="1100"/>
      <c r="P175" s="883">
        <f t="shared" si="58"/>
        <v>0</v>
      </c>
      <c r="Q175" s="884">
        <f t="shared" si="67"/>
        <v>0</v>
      </c>
      <c r="R175" s="884">
        <f>IF(AND($AR$39="Early Payoff",I175&gt;=$R$13),0,IF($I175&lt;=$R$6,SUM($P$20:$P175),0))</f>
        <v>0</v>
      </c>
      <c r="S175" s="884">
        <f>IF(AND($AR$39="Early Payoff",I175&gt;=$R$13),0,IF($I175&lt;=$R$6,SUM($Q$20:$Q175),0))</f>
        <v>0</v>
      </c>
      <c r="T175" s="873">
        <f t="shared" si="68"/>
        <v>0</v>
      </c>
      <c r="U175" s="1110">
        <f t="shared" si="74"/>
        <v>0</v>
      </c>
      <c r="W175" s="1102">
        <f t="shared" si="59"/>
        <v>0</v>
      </c>
      <c r="X175" s="873">
        <f t="shared" si="60"/>
        <v>0</v>
      </c>
      <c r="Y175" s="873">
        <f t="shared" si="61"/>
        <v>0</v>
      </c>
      <c r="Z175" s="885">
        <f t="shared" si="62"/>
        <v>0</v>
      </c>
    </row>
    <row r="176" spans="2:26" s="278" customFormat="1" ht="12" customHeight="1" x14ac:dyDescent="0.25">
      <c r="B176" s="1192">
        <f t="shared" si="69"/>
        <v>176</v>
      </c>
      <c r="C176" s="732">
        <f t="shared" si="54"/>
        <v>30</v>
      </c>
      <c r="D176" s="35">
        <f t="shared" si="55"/>
        <v>6</v>
      </c>
      <c r="E176" s="889">
        <f t="shared" si="72"/>
        <v>52412</v>
      </c>
      <c r="F176" s="822">
        <f t="shared" si="56"/>
        <v>6</v>
      </c>
      <c r="G176" s="126">
        <f t="shared" si="57"/>
        <v>0</v>
      </c>
      <c r="H176" s="1098">
        <f t="shared" si="73"/>
        <v>0</v>
      </c>
      <c r="I176" s="887">
        <f t="shared" si="70"/>
        <v>157</v>
      </c>
      <c r="J176" s="1099">
        <f t="shared" si="63"/>
        <v>157</v>
      </c>
      <c r="K176" s="891" t="str">
        <f t="shared" si="64"/>
        <v>June</v>
      </c>
      <c r="L176" s="888">
        <f t="shared" si="71"/>
        <v>2043</v>
      </c>
      <c r="M176" s="883">
        <f t="shared" si="65"/>
        <v>0</v>
      </c>
      <c r="N176" s="883">
        <f t="shared" si="66"/>
        <v>0</v>
      </c>
      <c r="O176" s="1100"/>
      <c r="P176" s="883">
        <f t="shared" si="58"/>
        <v>0</v>
      </c>
      <c r="Q176" s="884">
        <f t="shared" si="67"/>
        <v>0</v>
      </c>
      <c r="R176" s="884">
        <f>IF(AND($AR$39="Early Payoff",I176&gt;=$R$13),0,IF($I176&lt;=$R$6,SUM($P$20:$P176),0))</f>
        <v>0</v>
      </c>
      <c r="S176" s="884">
        <f>IF(AND($AR$39="Early Payoff",I176&gt;=$R$13),0,IF($I176&lt;=$R$6,SUM($Q$20:$Q176),0))</f>
        <v>0</v>
      </c>
      <c r="T176" s="873">
        <f t="shared" si="68"/>
        <v>0</v>
      </c>
      <c r="U176" s="1110">
        <f t="shared" si="74"/>
        <v>0</v>
      </c>
      <c r="W176" s="1102">
        <f t="shared" si="59"/>
        <v>0</v>
      </c>
      <c r="X176" s="873">
        <f t="shared" si="60"/>
        <v>0</v>
      </c>
      <c r="Y176" s="873">
        <f t="shared" si="61"/>
        <v>0</v>
      </c>
      <c r="Z176" s="885">
        <f t="shared" si="62"/>
        <v>0</v>
      </c>
    </row>
    <row r="177" spans="2:26" s="278" customFormat="1" ht="12" customHeight="1" x14ac:dyDescent="0.25">
      <c r="B177" s="1192">
        <f t="shared" si="69"/>
        <v>177</v>
      </c>
      <c r="C177" s="732">
        <f t="shared" si="54"/>
        <v>31</v>
      </c>
      <c r="D177" s="35">
        <f t="shared" si="55"/>
        <v>7</v>
      </c>
      <c r="E177" s="889">
        <f t="shared" si="72"/>
        <v>52443</v>
      </c>
      <c r="F177" s="822">
        <f t="shared" si="56"/>
        <v>7</v>
      </c>
      <c r="G177" s="126">
        <f t="shared" si="57"/>
        <v>0</v>
      </c>
      <c r="H177" s="1098">
        <f t="shared" si="73"/>
        <v>0</v>
      </c>
      <c r="I177" s="887">
        <f t="shared" si="70"/>
        <v>158</v>
      </c>
      <c r="J177" s="1099">
        <f t="shared" si="63"/>
        <v>158</v>
      </c>
      <c r="K177" s="891" t="str">
        <f t="shared" si="64"/>
        <v>July</v>
      </c>
      <c r="L177" s="888">
        <f t="shared" si="71"/>
        <v>2043</v>
      </c>
      <c r="M177" s="883">
        <f t="shared" si="65"/>
        <v>0</v>
      </c>
      <c r="N177" s="883">
        <f t="shared" si="66"/>
        <v>0</v>
      </c>
      <c r="O177" s="1100"/>
      <c r="P177" s="883">
        <f t="shared" si="58"/>
        <v>0</v>
      </c>
      <c r="Q177" s="884">
        <f t="shared" si="67"/>
        <v>0</v>
      </c>
      <c r="R177" s="884">
        <f>IF(AND($AR$39="Early Payoff",I177&gt;=$R$13),0,IF($I177&lt;=$R$6,SUM($P$20:$P177),0))</f>
        <v>0</v>
      </c>
      <c r="S177" s="884">
        <f>IF(AND($AR$39="Early Payoff",I177&gt;=$R$13),0,IF($I177&lt;=$R$6,SUM($Q$20:$Q177),0))</f>
        <v>0</v>
      </c>
      <c r="T177" s="873">
        <f t="shared" si="68"/>
        <v>0</v>
      </c>
      <c r="U177" s="1110">
        <f t="shared" si="74"/>
        <v>0</v>
      </c>
      <c r="W177" s="1102">
        <f t="shared" si="59"/>
        <v>0</v>
      </c>
      <c r="X177" s="873">
        <f t="shared" si="60"/>
        <v>0</v>
      </c>
      <c r="Y177" s="873">
        <f t="shared" si="61"/>
        <v>0</v>
      </c>
      <c r="Z177" s="885">
        <f t="shared" si="62"/>
        <v>0</v>
      </c>
    </row>
    <row r="178" spans="2:26" s="278" customFormat="1" ht="12" customHeight="1" x14ac:dyDescent="0.25">
      <c r="B178" s="1192">
        <f t="shared" si="69"/>
        <v>178</v>
      </c>
      <c r="C178" s="732">
        <f t="shared" si="54"/>
        <v>31</v>
      </c>
      <c r="D178" s="35">
        <f t="shared" si="55"/>
        <v>8</v>
      </c>
      <c r="E178" s="889">
        <f t="shared" si="72"/>
        <v>52474</v>
      </c>
      <c r="F178" s="822">
        <f t="shared" si="56"/>
        <v>8</v>
      </c>
      <c r="G178" s="126">
        <f t="shared" si="57"/>
        <v>0</v>
      </c>
      <c r="H178" s="1098">
        <f t="shared" si="73"/>
        <v>0</v>
      </c>
      <c r="I178" s="887">
        <f t="shared" si="70"/>
        <v>159</v>
      </c>
      <c r="J178" s="1099">
        <f t="shared" si="63"/>
        <v>159</v>
      </c>
      <c r="K178" s="891" t="str">
        <f t="shared" si="64"/>
        <v>August</v>
      </c>
      <c r="L178" s="888">
        <f t="shared" si="71"/>
        <v>2043</v>
      </c>
      <c r="M178" s="883">
        <f t="shared" si="65"/>
        <v>0</v>
      </c>
      <c r="N178" s="883">
        <f t="shared" si="66"/>
        <v>0</v>
      </c>
      <c r="O178" s="1100"/>
      <c r="P178" s="883">
        <f t="shared" si="58"/>
        <v>0</v>
      </c>
      <c r="Q178" s="884">
        <f t="shared" si="67"/>
        <v>0</v>
      </c>
      <c r="R178" s="884">
        <f>IF(AND($AR$39="Early Payoff",I178&gt;=$R$13),0,IF($I178&lt;=$R$6,SUM($P$20:$P178),0))</f>
        <v>0</v>
      </c>
      <c r="S178" s="884">
        <f>IF(AND($AR$39="Early Payoff",I178&gt;=$R$13),0,IF($I178&lt;=$R$6,SUM($Q$20:$Q178),0))</f>
        <v>0</v>
      </c>
      <c r="T178" s="873">
        <f t="shared" si="68"/>
        <v>0</v>
      </c>
      <c r="U178" s="1110">
        <f t="shared" si="74"/>
        <v>0</v>
      </c>
      <c r="W178" s="1102">
        <f t="shared" si="59"/>
        <v>0</v>
      </c>
      <c r="X178" s="873">
        <f t="shared" si="60"/>
        <v>0</v>
      </c>
      <c r="Y178" s="873">
        <f t="shared" si="61"/>
        <v>0</v>
      </c>
      <c r="Z178" s="885">
        <f t="shared" si="62"/>
        <v>0</v>
      </c>
    </row>
    <row r="179" spans="2:26" s="278" customFormat="1" ht="12" customHeight="1" x14ac:dyDescent="0.25">
      <c r="B179" s="1192">
        <f t="shared" si="69"/>
        <v>179</v>
      </c>
      <c r="C179" s="732">
        <f t="shared" si="54"/>
        <v>30</v>
      </c>
      <c r="D179" s="35">
        <f t="shared" si="55"/>
        <v>9</v>
      </c>
      <c r="E179" s="889">
        <f t="shared" si="72"/>
        <v>52504</v>
      </c>
      <c r="F179" s="822">
        <f t="shared" si="56"/>
        <v>9</v>
      </c>
      <c r="G179" s="126">
        <f t="shared" si="57"/>
        <v>0</v>
      </c>
      <c r="H179" s="1098">
        <f t="shared" si="73"/>
        <v>0</v>
      </c>
      <c r="I179" s="887">
        <f t="shared" si="70"/>
        <v>160</v>
      </c>
      <c r="J179" s="1099">
        <f t="shared" si="63"/>
        <v>160</v>
      </c>
      <c r="K179" s="891" t="str">
        <f t="shared" si="64"/>
        <v>September</v>
      </c>
      <c r="L179" s="888">
        <f t="shared" si="71"/>
        <v>2043</v>
      </c>
      <c r="M179" s="883">
        <f t="shared" si="65"/>
        <v>0</v>
      </c>
      <c r="N179" s="883">
        <f t="shared" si="66"/>
        <v>0</v>
      </c>
      <c r="O179" s="1100"/>
      <c r="P179" s="883">
        <f t="shared" si="58"/>
        <v>0</v>
      </c>
      <c r="Q179" s="884">
        <f t="shared" si="67"/>
        <v>0</v>
      </c>
      <c r="R179" s="884">
        <f>IF(AND($AR$39="Early Payoff",I179&gt;=$R$13),0,IF($I179&lt;=$R$6,SUM($P$20:$P179),0))</f>
        <v>0</v>
      </c>
      <c r="S179" s="884">
        <f>IF(AND($AR$39="Early Payoff",I179&gt;=$R$13),0,IF($I179&lt;=$R$6,SUM($Q$20:$Q179),0))</f>
        <v>0</v>
      </c>
      <c r="T179" s="873">
        <f t="shared" si="68"/>
        <v>0</v>
      </c>
      <c r="U179" s="1110">
        <f t="shared" si="74"/>
        <v>0</v>
      </c>
      <c r="W179" s="1102">
        <f t="shared" si="59"/>
        <v>0</v>
      </c>
      <c r="X179" s="873">
        <f t="shared" si="60"/>
        <v>0</v>
      </c>
      <c r="Y179" s="873">
        <f t="shared" si="61"/>
        <v>0</v>
      </c>
      <c r="Z179" s="885">
        <f t="shared" si="62"/>
        <v>0</v>
      </c>
    </row>
    <row r="180" spans="2:26" s="278" customFormat="1" ht="12" customHeight="1" x14ac:dyDescent="0.25">
      <c r="B180" s="1192">
        <f t="shared" si="69"/>
        <v>180</v>
      </c>
      <c r="C180" s="732">
        <f t="shared" si="54"/>
        <v>31</v>
      </c>
      <c r="D180" s="35">
        <f t="shared" si="55"/>
        <v>10</v>
      </c>
      <c r="E180" s="889">
        <f t="shared" si="72"/>
        <v>52535</v>
      </c>
      <c r="F180" s="822">
        <f t="shared" si="56"/>
        <v>10</v>
      </c>
      <c r="G180" s="126">
        <f t="shared" si="57"/>
        <v>0</v>
      </c>
      <c r="H180" s="1098">
        <f t="shared" si="73"/>
        <v>0</v>
      </c>
      <c r="I180" s="887">
        <f t="shared" si="70"/>
        <v>161</v>
      </c>
      <c r="J180" s="1099">
        <f t="shared" si="63"/>
        <v>161</v>
      </c>
      <c r="K180" s="891" t="str">
        <f t="shared" si="64"/>
        <v>October</v>
      </c>
      <c r="L180" s="888">
        <f t="shared" si="71"/>
        <v>2043</v>
      </c>
      <c r="M180" s="883">
        <f t="shared" si="65"/>
        <v>0</v>
      </c>
      <c r="N180" s="883">
        <f t="shared" si="66"/>
        <v>0</v>
      </c>
      <c r="O180" s="1100"/>
      <c r="P180" s="883">
        <f t="shared" si="58"/>
        <v>0</v>
      </c>
      <c r="Q180" s="884">
        <f t="shared" si="67"/>
        <v>0</v>
      </c>
      <c r="R180" s="884">
        <f>IF(AND($AR$39="Early Payoff",I180&gt;=$R$13),0,IF($I180&lt;=$R$6,SUM($P$20:$P180),0))</f>
        <v>0</v>
      </c>
      <c r="S180" s="884">
        <f>IF(AND($AR$39="Early Payoff",I180&gt;=$R$13),0,IF($I180&lt;=$R$6,SUM($Q$20:$Q180),0))</f>
        <v>0</v>
      </c>
      <c r="T180" s="873">
        <f t="shared" si="68"/>
        <v>0</v>
      </c>
      <c r="U180" s="1110">
        <f t="shared" si="74"/>
        <v>0</v>
      </c>
      <c r="W180" s="1102">
        <f t="shared" si="59"/>
        <v>0</v>
      </c>
      <c r="X180" s="873">
        <f t="shared" si="60"/>
        <v>0</v>
      </c>
      <c r="Y180" s="873">
        <f t="shared" si="61"/>
        <v>0</v>
      </c>
      <c r="Z180" s="885">
        <f t="shared" si="62"/>
        <v>0</v>
      </c>
    </row>
    <row r="181" spans="2:26" s="278" customFormat="1" ht="12" customHeight="1" x14ac:dyDescent="0.25">
      <c r="B181" s="1192">
        <f t="shared" si="69"/>
        <v>181</v>
      </c>
      <c r="C181" s="732">
        <f t="shared" si="54"/>
        <v>30</v>
      </c>
      <c r="D181" s="35">
        <f t="shared" si="55"/>
        <v>11</v>
      </c>
      <c r="E181" s="889">
        <f t="shared" si="72"/>
        <v>52565</v>
      </c>
      <c r="F181" s="822">
        <f t="shared" si="56"/>
        <v>11</v>
      </c>
      <c r="G181" s="126">
        <f t="shared" si="57"/>
        <v>0</v>
      </c>
      <c r="H181" s="1098">
        <f t="shared" si="73"/>
        <v>0</v>
      </c>
      <c r="I181" s="887">
        <f t="shared" si="70"/>
        <v>162</v>
      </c>
      <c r="J181" s="1099">
        <f t="shared" si="63"/>
        <v>162</v>
      </c>
      <c r="K181" s="891" t="str">
        <f t="shared" si="64"/>
        <v>November</v>
      </c>
      <c r="L181" s="888">
        <f t="shared" si="71"/>
        <v>2043</v>
      </c>
      <c r="M181" s="883">
        <f t="shared" si="65"/>
        <v>0</v>
      </c>
      <c r="N181" s="883">
        <f t="shared" si="66"/>
        <v>0</v>
      </c>
      <c r="O181" s="1100"/>
      <c r="P181" s="883">
        <f t="shared" si="58"/>
        <v>0</v>
      </c>
      <c r="Q181" s="884">
        <f t="shared" si="67"/>
        <v>0</v>
      </c>
      <c r="R181" s="884">
        <f>IF(AND($AR$39="Early Payoff",I181&gt;=$R$13),0,IF($I181&lt;=$R$6,SUM($P$20:$P181),0))</f>
        <v>0</v>
      </c>
      <c r="S181" s="884">
        <f>IF(AND($AR$39="Early Payoff",I181&gt;=$R$13),0,IF($I181&lt;=$R$6,SUM($Q$20:$Q181),0))</f>
        <v>0</v>
      </c>
      <c r="T181" s="873">
        <f t="shared" si="68"/>
        <v>0</v>
      </c>
      <c r="U181" s="1110">
        <f t="shared" si="74"/>
        <v>0</v>
      </c>
      <c r="W181" s="1102">
        <f t="shared" si="59"/>
        <v>0</v>
      </c>
      <c r="X181" s="873">
        <f t="shared" si="60"/>
        <v>0</v>
      </c>
      <c r="Y181" s="873">
        <f t="shared" si="61"/>
        <v>0</v>
      </c>
      <c r="Z181" s="885">
        <f t="shared" si="62"/>
        <v>0</v>
      </c>
    </row>
    <row r="182" spans="2:26" s="278" customFormat="1" ht="12" customHeight="1" x14ac:dyDescent="0.25">
      <c r="B182" s="1192">
        <f t="shared" si="69"/>
        <v>182</v>
      </c>
      <c r="C182" s="732">
        <f t="shared" si="54"/>
        <v>31</v>
      </c>
      <c r="D182" s="35">
        <f t="shared" si="55"/>
        <v>12</v>
      </c>
      <c r="E182" s="889">
        <f t="shared" si="72"/>
        <v>52596</v>
      </c>
      <c r="F182" s="822">
        <f t="shared" si="56"/>
        <v>12</v>
      </c>
      <c r="G182" s="126">
        <f t="shared" si="57"/>
        <v>1</v>
      </c>
      <c r="H182" s="1098">
        <f t="shared" si="73"/>
        <v>0</v>
      </c>
      <c r="I182" s="887">
        <f t="shared" si="70"/>
        <v>163</v>
      </c>
      <c r="J182" s="1099">
        <f t="shared" si="63"/>
        <v>163</v>
      </c>
      <c r="K182" s="891" t="str">
        <f t="shared" si="64"/>
        <v>December</v>
      </c>
      <c r="L182" s="888">
        <f t="shared" si="71"/>
        <v>2043</v>
      </c>
      <c r="M182" s="883">
        <f t="shared" si="65"/>
        <v>0</v>
      </c>
      <c r="N182" s="883">
        <f t="shared" si="66"/>
        <v>0</v>
      </c>
      <c r="O182" s="1100"/>
      <c r="P182" s="883">
        <f t="shared" si="58"/>
        <v>0</v>
      </c>
      <c r="Q182" s="884">
        <f t="shared" si="67"/>
        <v>0</v>
      </c>
      <c r="R182" s="884">
        <f>IF(AND($AR$39="Early Payoff",I182&gt;=$R$13),0,IF($I182&lt;=$R$6,SUM($P$20:$P182),0))</f>
        <v>0</v>
      </c>
      <c r="S182" s="884">
        <f>IF(AND($AR$39="Early Payoff",I182&gt;=$R$13),0,IF($I182&lt;=$R$6,SUM($Q$20:$Q182),0))</f>
        <v>0</v>
      </c>
      <c r="T182" s="873">
        <f t="shared" si="68"/>
        <v>0</v>
      </c>
      <c r="U182" s="1110">
        <f t="shared" si="74"/>
        <v>0</v>
      </c>
      <c r="W182" s="1102">
        <f t="shared" si="59"/>
        <v>0</v>
      </c>
      <c r="X182" s="873">
        <f t="shared" si="60"/>
        <v>0</v>
      </c>
      <c r="Y182" s="873">
        <f t="shared" si="61"/>
        <v>0</v>
      </c>
      <c r="Z182" s="885">
        <f t="shared" si="62"/>
        <v>0</v>
      </c>
    </row>
    <row r="183" spans="2:26" s="278" customFormat="1" ht="12" customHeight="1" x14ac:dyDescent="0.25">
      <c r="B183" s="1192">
        <f t="shared" si="69"/>
        <v>183</v>
      </c>
      <c r="C183" s="732">
        <f t="shared" si="54"/>
        <v>31</v>
      </c>
      <c r="D183" s="35">
        <f t="shared" si="55"/>
        <v>1</v>
      </c>
      <c r="E183" s="889">
        <f t="shared" si="72"/>
        <v>52627</v>
      </c>
      <c r="F183" s="822">
        <f t="shared" si="56"/>
        <v>1</v>
      </c>
      <c r="G183" s="126">
        <f t="shared" si="57"/>
        <v>0</v>
      </c>
      <c r="H183" s="1098">
        <f t="shared" si="73"/>
        <v>0</v>
      </c>
      <c r="I183" s="887">
        <f t="shared" si="70"/>
        <v>164</v>
      </c>
      <c r="J183" s="1099">
        <f t="shared" si="63"/>
        <v>164</v>
      </c>
      <c r="K183" s="891" t="str">
        <f t="shared" si="64"/>
        <v>January</v>
      </c>
      <c r="L183" s="888">
        <f t="shared" si="71"/>
        <v>2044</v>
      </c>
      <c r="M183" s="883">
        <f t="shared" si="65"/>
        <v>0</v>
      </c>
      <c r="N183" s="883">
        <f t="shared" si="66"/>
        <v>0</v>
      </c>
      <c r="O183" s="1100"/>
      <c r="P183" s="883">
        <f t="shared" si="58"/>
        <v>0</v>
      </c>
      <c r="Q183" s="884">
        <f t="shared" si="67"/>
        <v>0</v>
      </c>
      <c r="R183" s="884">
        <f>IF(AND($AR$39="Early Payoff",I183&gt;=$R$13),0,IF($I183&lt;=$R$6,SUM($P$20:$P183),0))</f>
        <v>0</v>
      </c>
      <c r="S183" s="884">
        <f>IF(AND($AR$39="Early Payoff",I183&gt;=$R$13),0,IF($I183&lt;=$R$6,SUM($Q$20:$Q183),0))</f>
        <v>0</v>
      </c>
      <c r="T183" s="873">
        <f t="shared" si="68"/>
        <v>0</v>
      </c>
      <c r="U183" s="1110">
        <f t="shared" si="74"/>
        <v>0</v>
      </c>
      <c r="W183" s="1102">
        <f t="shared" si="59"/>
        <v>0</v>
      </c>
      <c r="X183" s="873">
        <f t="shared" si="60"/>
        <v>0</v>
      </c>
      <c r="Y183" s="873">
        <f t="shared" si="61"/>
        <v>0</v>
      </c>
      <c r="Z183" s="885">
        <f t="shared" si="62"/>
        <v>0</v>
      </c>
    </row>
    <row r="184" spans="2:26" s="278" customFormat="1" ht="12" customHeight="1" x14ac:dyDescent="0.25">
      <c r="B184" s="1192">
        <f t="shared" si="69"/>
        <v>184</v>
      </c>
      <c r="C184" s="732">
        <f t="shared" si="54"/>
        <v>29</v>
      </c>
      <c r="D184" s="35">
        <f t="shared" si="55"/>
        <v>2</v>
      </c>
      <c r="E184" s="889">
        <f t="shared" si="72"/>
        <v>52656</v>
      </c>
      <c r="F184" s="822">
        <f t="shared" si="56"/>
        <v>2</v>
      </c>
      <c r="G184" s="126">
        <f t="shared" si="57"/>
        <v>0</v>
      </c>
      <c r="H184" s="1098">
        <f t="shared" si="73"/>
        <v>0</v>
      </c>
      <c r="I184" s="887">
        <f t="shared" si="70"/>
        <v>165</v>
      </c>
      <c r="J184" s="1099">
        <f t="shared" si="63"/>
        <v>165</v>
      </c>
      <c r="K184" s="891" t="str">
        <f t="shared" si="64"/>
        <v>February</v>
      </c>
      <c r="L184" s="888">
        <f t="shared" si="71"/>
        <v>2044</v>
      </c>
      <c r="M184" s="883">
        <f t="shared" si="65"/>
        <v>0</v>
      </c>
      <c r="N184" s="883">
        <f t="shared" si="66"/>
        <v>0</v>
      </c>
      <c r="O184" s="1100"/>
      <c r="P184" s="883">
        <f t="shared" si="58"/>
        <v>0</v>
      </c>
      <c r="Q184" s="884">
        <f t="shared" si="67"/>
        <v>0</v>
      </c>
      <c r="R184" s="884">
        <f>IF(AND($AR$39="Early Payoff",I184&gt;=$R$13),0,IF($I184&lt;=$R$6,SUM($P$20:$P184),0))</f>
        <v>0</v>
      </c>
      <c r="S184" s="884">
        <f>IF(AND($AR$39="Early Payoff",I184&gt;=$R$13),0,IF($I184&lt;=$R$6,SUM($Q$20:$Q184),0))</f>
        <v>0</v>
      </c>
      <c r="T184" s="873">
        <f t="shared" si="68"/>
        <v>0</v>
      </c>
      <c r="U184" s="1110">
        <f t="shared" si="74"/>
        <v>0</v>
      </c>
      <c r="W184" s="1102">
        <f t="shared" si="59"/>
        <v>0</v>
      </c>
      <c r="X184" s="873">
        <f t="shared" si="60"/>
        <v>0</v>
      </c>
      <c r="Y184" s="873">
        <f t="shared" si="61"/>
        <v>0</v>
      </c>
      <c r="Z184" s="885">
        <f t="shared" si="62"/>
        <v>0</v>
      </c>
    </row>
    <row r="185" spans="2:26" s="278" customFormat="1" ht="12" customHeight="1" x14ac:dyDescent="0.25">
      <c r="B185" s="1192">
        <f t="shared" si="69"/>
        <v>185</v>
      </c>
      <c r="C185" s="732">
        <f t="shared" si="54"/>
        <v>31</v>
      </c>
      <c r="D185" s="35">
        <f t="shared" si="55"/>
        <v>3</v>
      </c>
      <c r="E185" s="889">
        <f t="shared" si="72"/>
        <v>52687</v>
      </c>
      <c r="F185" s="822">
        <f t="shared" si="56"/>
        <v>3</v>
      </c>
      <c r="G185" s="126">
        <f t="shared" si="57"/>
        <v>0</v>
      </c>
      <c r="H185" s="1098">
        <f t="shared" si="73"/>
        <v>0</v>
      </c>
      <c r="I185" s="887">
        <f t="shared" si="70"/>
        <v>166</v>
      </c>
      <c r="J185" s="1099">
        <f t="shared" si="63"/>
        <v>166</v>
      </c>
      <c r="K185" s="891" t="str">
        <f t="shared" si="64"/>
        <v>March</v>
      </c>
      <c r="L185" s="888">
        <f t="shared" si="71"/>
        <v>2044</v>
      </c>
      <c r="M185" s="883">
        <f t="shared" si="65"/>
        <v>0</v>
      </c>
      <c r="N185" s="883">
        <f t="shared" si="66"/>
        <v>0</v>
      </c>
      <c r="O185" s="1100"/>
      <c r="P185" s="883">
        <f t="shared" si="58"/>
        <v>0</v>
      </c>
      <c r="Q185" s="884">
        <f t="shared" si="67"/>
        <v>0</v>
      </c>
      <c r="R185" s="884">
        <f>IF(AND($AR$39="Early Payoff",I185&gt;=$R$13),0,IF($I185&lt;=$R$6,SUM($P$20:$P185),0))</f>
        <v>0</v>
      </c>
      <c r="S185" s="884">
        <f>IF(AND($AR$39="Early Payoff",I185&gt;=$R$13),0,IF($I185&lt;=$R$6,SUM($Q$20:$Q185),0))</f>
        <v>0</v>
      </c>
      <c r="T185" s="873">
        <f t="shared" si="68"/>
        <v>0</v>
      </c>
      <c r="U185" s="1110">
        <f t="shared" si="74"/>
        <v>0</v>
      </c>
      <c r="W185" s="1102">
        <f t="shared" si="59"/>
        <v>0</v>
      </c>
      <c r="X185" s="873">
        <f t="shared" si="60"/>
        <v>0</v>
      </c>
      <c r="Y185" s="873">
        <f t="shared" si="61"/>
        <v>0</v>
      </c>
      <c r="Z185" s="885">
        <f t="shared" si="62"/>
        <v>0</v>
      </c>
    </row>
    <row r="186" spans="2:26" s="278" customFormat="1" ht="12" customHeight="1" x14ac:dyDescent="0.25">
      <c r="B186" s="1192">
        <f t="shared" si="69"/>
        <v>186</v>
      </c>
      <c r="C186" s="732">
        <f t="shared" si="54"/>
        <v>30</v>
      </c>
      <c r="D186" s="35">
        <f t="shared" si="55"/>
        <v>4</v>
      </c>
      <c r="E186" s="889">
        <f t="shared" si="72"/>
        <v>52717</v>
      </c>
      <c r="F186" s="822">
        <f t="shared" si="56"/>
        <v>4</v>
      </c>
      <c r="G186" s="126">
        <f t="shared" si="57"/>
        <v>0</v>
      </c>
      <c r="H186" s="1098">
        <f t="shared" si="73"/>
        <v>0</v>
      </c>
      <c r="I186" s="887">
        <f t="shared" si="70"/>
        <v>167</v>
      </c>
      <c r="J186" s="1099">
        <f t="shared" si="63"/>
        <v>167</v>
      </c>
      <c r="K186" s="891" t="str">
        <f t="shared" si="64"/>
        <v>April</v>
      </c>
      <c r="L186" s="888">
        <f t="shared" si="71"/>
        <v>2044</v>
      </c>
      <c r="M186" s="883">
        <f t="shared" si="65"/>
        <v>0</v>
      </c>
      <c r="N186" s="883">
        <f t="shared" si="66"/>
        <v>0</v>
      </c>
      <c r="O186" s="1100"/>
      <c r="P186" s="883">
        <f t="shared" si="58"/>
        <v>0</v>
      </c>
      <c r="Q186" s="884">
        <f t="shared" si="67"/>
        <v>0</v>
      </c>
      <c r="R186" s="884">
        <f>IF(AND($AR$39="Early Payoff",I186&gt;=$R$13),0,IF($I186&lt;=$R$6,SUM($P$20:$P186),0))</f>
        <v>0</v>
      </c>
      <c r="S186" s="884">
        <f>IF(AND($AR$39="Early Payoff",I186&gt;=$R$13),0,IF($I186&lt;=$R$6,SUM($Q$20:$Q186),0))</f>
        <v>0</v>
      </c>
      <c r="T186" s="873">
        <f t="shared" si="68"/>
        <v>0</v>
      </c>
      <c r="U186" s="1110">
        <f t="shared" si="74"/>
        <v>0</v>
      </c>
      <c r="W186" s="1102">
        <f t="shared" si="59"/>
        <v>0</v>
      </c>
      <c r="X186" s="873">
        <f t="shared" si="60"/>
        <v>0</v>
      </c>
      <c r="Y186" s="873">
        <f t="shared" si="61"/>
        <v>0</v>
      </c>
      <c r="Z186" s="885">
        <f t="shared" si="62"/>
        <v>0</v>
      </c>
    </row>
    <row r="187" spans="2:26" s="278" customFormat="1" ht="12" customHeight="1" x14ac:dyDescent="0.25">
      <c r="B187" s="1192">
        <f t="shared" si="69"/>
        <v>187</v>
      </c>
      <c r="C187" s="732">
        <f t="shared" si="54"/>
        <v>31</v>
      </c>
      <c r="D187" s="35">
        <f t="shared" si="55"/>
        <v>5</v>
      </c>
      <c r="E187" s="889">
        <f t="shared" si="72"/>
        <v>52748</v>
      </c>
      <c r="F187" s="822">
        <f t="shared" si="56"/>
        <v>5</v>
      </c>
      <c r="G187" s="126">
        <f t="shared" si="57"/>
        <v>0</v>
      </c>
      <c r="H187" s="1098">
        <f t="shared" si="73"/>
        <v>0</v>
      </c>
      <c r="I187" s="887">
        <f t="shared" si="70"/>
        <v>168</v>
      </c>
      <c r="J187" s="1099">
        <f t="shared" si="63"/>
        <v>168</v>
      </c>
      <c r="K187" s="891" t="str">
        <f t="shared" si="64"/>
        <v>May</v>
      </c>
      <c r="L187" s="888">
        <f t="shared" si="71"/>
        <v>2044</v>
      </c>
      <c r="M187" s="883">
        <f t="shared" si="65"/>
        <v>0</v>
      </c>
      <c r="N187" s="883">
        <f t="shared" si="66"/>
        <v>0</v>
      </c>
      <c r="O187" s="1100"/>
      <c r="P187" s="883">
        <f t="shared" si="58"/>
        <v>0</v>
      </c>
      <c r="Q187" s="884">
        <f t="shared" si="67"/>
        <v>0</v>
      </c>
      <c r="R187" s="884">
        <f>IF(AND($AR$39="Early Payoff",I187&gt;=$R$13),0,IF($I187&lt;=$R$6,SUM($P$20:$P187),0))</f>
        <v>0</v>
      </c>
      <c r="S187" s="884">
        <f>IF(AND($AR$39="Early Payoff",I187&gt;=$R$13),0,IF($I187&lt;=$R$6,SUM($Q$20:$Q187),0))</f>
        <v>0</v>
      </c>
      <c r="T187" s="873">
        <f t="shared" si="68"/>
        <v>0</v>
      </c>
      <c r="U187" s="1110">
        <f t="shared" si="74"/>
        <v>0</v>
      </c>
      <c r="W187" s="1102">
        <f t="shared" si="59"/>
        <v>0</v>
      </c>
      <c r="X187" s="873">
        <f t="shared" si="60"/>
        <v>0</v>
      </c>
      <c r="Y187" s="873">
        <f t="shared" si="61"/>
        <v>0</v>
      </c>
      <c r="Z187" s="885">
        <f t="shared" si="62"/>
        <v>0</v>
      </c>
    </row>
    <row r="188" spans="2:26" s="278" customFormat="1" ht="12" customHeight="1" x14ac:dyDescent="0.25">
      <c r="B188" s="1192">
        <f t="shared" si="69"/>
        <v>188</v>
      </c>
      <c r="C188" s="732">
        <f t="shared" si="54"/>
        <v>30</v>
      </c>
      <c r="D188" s="35">
        <f t="shared" si="55"/>
        <v>6</v>
      </c>
      <c r="E188" s="889">
        <f t="shared" si="72"/>
        <v>52778</v>
      </c>
      <c r="F188" s="822">
        <f t="shared" si="56"/>
        <v>6</v>
      </c>
      <c r="G188" s="126">
        <f t="shared" si="57"/>
        <v>0</v>
      </c>
      <c r="H188" s="1098">
        <f t="shared" si="73"/>
        <v>0</v>
      </c>
      <c r="I188" s="887">
        <f t="shared" si="70"/>
        <v>169</v>
      </c>
      <c r="J188" s="1099">
        <f t="shared" si="63"/>
        <v>169</v>
      </c>
      <c r="K188" s="891" t="str">
        <f t="shared" si="64"/>
        <v>June</v>
      </c>
      <c r="L188" s="888">
        <f t="shared" si="71"/>
        <v>2044</v>
      </c>
      <c r="M188" s="883">
        <f t="shared" si="65"/>
        <v>0</v>
      </c>
      <c r="N188" s="883">
        <f t="shared" si="66"/>
        <v>0</v>
      </c>
      <c r="O188" s="1100"/>
      <c r="P188" s="883">
        <f t="shared" si="58"/>
        <v>0</v>
      </c>
      <c r="Q188" s="884">
        <f t="shared" si="67"/>
        <v>0</v>
      </c>
      <c r="R188" s="884">
        <f>IF(AND($AR$39="Early Payoff",I188&gt;=$R$13),0,IF($I188&lt;=$R$6,SUM($P$20:$P188),0))</f>
        <v>0</v>
      </c>
      <c r="S188" s="884">
        <f>IF(AND($AR$39="Early Payoff",I188&gt;=$R$13),0,IF($I188&lt;=$R$6,SUM($Q$20:$Q188),0))</f>
        <v>0</v>
      </c>
      <c r="T188" s="873">
        <f t="shared" si="68"/>
        <v>0</v>
      </c>
      <c r="U188" s="1110">
        <f t="shared" si="74"/>
        <v>0</v>
      </c>
      <c r="W188" s="1102">
        <f t="shared" si="59"/>
        <v>0</v>
      </c>
      <c r="X188" s="873">
        <f t="shared" si="60"/>
        <v>0</v>
      </c>
      <c r="Y188" s="873">
        <f t="shared" si="61"/>
        <v>0</v>
      </c>
      <c r="Z188" s="885">
        <f t="shared" si="62"/>
        <v>0</v>
      </c>
    </row>
    <row r="189" spans="2:26" s="278" customFormat="1" ht="12" customHeight="1" x14ac:dyDescent="0.25">
      <c r="B189" s="1192">
        <f t="shared" si="69"/>
        <v>189</v>
      </c>
      <c r="C189" s="732">
        <f t="shared" si="54"/>
        <v>31</v>
      </c>
      <c r="D189" s="35">
        <f t="shared" si="55"/>
        <v>7</v>
      </c>
      <c r="E189" s="889">
        <f t="shared" si="72"/>
        <v>52809</v>
      </c>
      <c r="F189" s="822">
        <f t="shared" si="56"/>
        <v>7</v>
      </c>
      <c r="G189" s="126">
        <f t="shared" si="57"/>
        <v>0</v>
      </c>
      <c r="H189" s="1098">
        <f t="shared" si="73"/>
        <v>0</v>
      </c>
      <c r="I189" s="887">
        <f t="shared" si="70"/>
        <v>170</v>
      </c>
      <c r="J189" s="1099">
        <f t="shared" si="63"/>
        <v>170</v>
      </c>
      <c r="K189" s="891" t="str">
        <f t="shared" si="64"/>
        <v>July</v>
      </c>
      <c r="L189" s="888">
        <f t="shared" si="71"/>
        <v>2044</v>
      </c>
      <c r="M189" s="883">
        <f t="shared" si="65"/>
        <v>0</v>
      </c>
      <c r="N189" s="883">
        <f t="shared" si="66"/>
        <v>0</v>
      </c>
      <c r="O189" s="1100"/>
      <c r="P189" s="883">
        <f t="shared" si="58"/>
        <v>0</v>
      </c>
      <c r="Q189" s="884">
        <f t="shared" si="67"/>
        <v>0</v>
      </c>
      <c r="R189" s="884">
        <f>IF(AND($AR$39="Early Payoff",I189&gt;=$R$13),0,IF($I189&lt;=$R$6,SUM($P$20:$P189),0))</f>
        <v>0</v>
      </c>
      <c r="S189" s="884">
        <f>IF(AND($AR$39="Early Payoff",I189&gt;=$R$13),0,IF($I189&lt;=$R$6,SUM($Q$20:$Q189),0))</f>
        <v>0</v>
      </c>
      <c r="T189" s="873">
        <f t="shared" si="68"/>
        <v>0</v>
      </c>
      <c r="U189" s="1110">
        <f t="shared" si="74"/>
        <v>0</v>
      </c>
      <c r="W189" s="1102">
        <f t="shared" si="59"/>
        <v>0</v>
      </c>
      <c r="X189" s="873">
        <f t="shared" si="60"/>
        <v>0</v>
      </c>
      <c r="Y189" s="873">
        <f t="shared" si="61"/>
        <v>0</v>
      </c>
      <c r="Z189" s="885">
        <f t="shared" si="62"/>
        <v>0</v>
      </c>
    </row>
    <row r="190" spans="2:26" s="278" customFormat="1" ht="12" customHeight="1" x14ac:dyDescent="0.25">
      <c r="B190" s="1192">
        <f t="shared" si="69"/>
        <v>190</v>
      </c>
      <c r="C190" s="732">
        <f t="shared" si="54"/>
        <v>31</v>
      </c>
      <c r="D190" s="35">
        <f t="shared" si="55"/>
        <v>8</v>
      </c>
      <c r="E190" s="889">
        <f t="shared" si="72"/>
        <v>52840</v>
      </c>
      <c r="F190" s="822">
        <f t="shared" si="56"/>
        <v>8</v>
      </c>
      <c r="G190" s="126">
        <f t="shared" si="57"/>
        <v>0</v>
      </c>
      <c r="H190" s="1098">
        <f t="shared" si="73"/>
        <v>0</v>
      </c>
      <c r="I190" s="887">
        <f t="shared" si="70"/>
        <v>171</v>
      </c>
      <c r="J190" s="1099">
        <f t="shared" si="63"/>
        <v>171</v>
      </c>
      <c r="K190" s="891" t="str">
        <f t="shared" si="64"/>
        <v>August</v>
      </c>
      <c r="L190" s="888">
        <f t="shared" si="71"/>
        <v>2044</v>
      </c>
      <c r="M190" s="883">
        <f t="shared" si="65"/>
        <v>0</v>
      </c>
      <c r="N190" s="883">
        <f t="shared" si="66"/>
        <v>0</v>
      </c>
      <c r="O190" s="1100"/>
      <c r="P190" s="883">
        <f t="shared" si="58"/>
        <v>0</v>
      </c>
      <c r="Q190" s="884">
        <f t="shared" si="67"/>
        <v>0</v>
      </c>
      <c r="R190" s="884">
        <f>IF(AND($AR$39="Early Payoff",I190&gt;=$R$13),0,IF($I190&lt;=$R$6,SUM($P$20:$P190),0))</f>
        <v>0</v>
      </c>
      <c r="S190" s="884">
        <f>IF(AND($AR$39="Early Payoff",I190&gt;=$R$13),0,IF($I190&lt;=$R$6,SUM($Q$20:$Q190),0))</f>
        <v>0</v>
      </c>
      <c r="T190" s="873">
        <f t="shared" si="68"/>
        <v>0</v>
      </c>
      <c r="U190" s="1110">
        <f t="shared" si="74"/>
        <v>0</v>
      </c>
      <c r="W190" s="1102">
        <f t="shared" si="59"/>
        <v>0</v>
      </c>
      <c r="X190" s="873">
        <f t="shared" si="60"/>
        <v>0</v>
      </c>
      <c r="Y190" s="873">
        <f t="shared" si="61"/>
        <v>0</v>
      </c>
      <c r="Z190" s="885">
        <f t="shared" si="62"/>
        <v>0</v>
      </c>
    </row>
    <row r="191" spans="2:26" s="278" customFormat="1" ht="12" customHeight="1" x14ac:dyDescent="0.25">
      <c r="B191" s="1192">
        <f t="shared" si="69"/>
        <v>191</v>
      </c>
      <c r="C191" s="732">
        <f t="shared" si="54"/>
        <v>30</v>
      </c>
      <c r="D191" s="35">
        <f t="shared" si="55"/>
        <v>9</v>
      </c>
      <c r="E191" s="889">
        <f t="shared" si="72"/>
        <v>52870</v>
      </c>
      <c r="F191" s="822">
        <f t="shared" si="56"/>
        <v>9</v>
      </c>
      <c r="G191" s="126">
        <f t="shared" si="57"/>
        <v>0</v>
      </c>
      <c r="H191" s="1098">
        <f t="shared" si="73"/>
        <v>0</v>
      </c>
      <c r="I191" s="887">
        <f t="shared" si="70"/>
        <v>172</v>
      </c>
      <c r="J191" s="1099">
        <f t="shared" si="63"/>
        <v>172</v>
      </c>
      <c r="K191" s="891" t="str">
        <f t="shared" si="64"/>
        <v>September</v>
      </c>
      <c r="L191" s="888">
        <f t="shared" si="71"/>
        <v>2044</v>
      </c>
      <c r="M191" s="883">
        <f t="shared" si="65"/>
        <v>0</v>
      </c>
      <c r="N191" s="883">
        <f t="shared" si="66"/>
        <v>0</v>
      </c>
      <c r="O191" s="1100"/>
      <c r="P191" s="883">
        <f t="shared" si="58"/>
        <v>0</v>
      </c>
      <c r="Q191" s="884">
        <f t="shared" si="67"/>
        <v>0</v>
      </c>
      <c r="R191" s="884">
        <f>IF(AND($AR$39="Early Payoff",I191&gt;=$R$13),0,IF($I191&lt;=$R$6,SUM($P$20:$P191),0))</f>
        <v>0</v>
      </c>
      <c r="S191" s="884">
        <f>IF(AND($AR$39="Early Payoff",I191&gt;=$R$13),0,IF($I191&lt;=$R$6,SUM($Q$20:$Q191),0))</f>
        <v>0</v>
      </c>
      <c r="T191" s="873">
        <f t="shared" si="68"/>
        <v>0</v>
      </c>
      <c r="U191" s="1110">
        <f t="shared" si="74"/>
        <v>0</v>
      </c>
      <c r="W191" s="1102">
        <f t="shared" si="59"/>
        <v>0</v>
      </c>
      <c r="X191" s="873">
        <f t="shared" si="60"/>
        <v>0</v>
      </c>
      <c r="Y191" s="873">
        <f t="shared" si="61"/>
        <v>0</v>
      </c>
      <c r="Z191" s="885">
        <f t="shared" si="62"/>
        <v>0</v>
      </c>
    </row>
    <row r="192" spans="2:26" s="278" customFormat="1" ht="12" customHeight="1" x14ac:dyDescent="0.25">
      <c r="B192" s="1192">
        <f t="shared" si="69"/>
        <v>192</v>
      </c>
      <c r="C192" s="732">
        <f t="shared" si="54"/>
        <v>31</v>
      </c>
      <c r="D192" s="35">
        <f t="shared" si="55"/>
        <v>10</v>
      </c>
      <c r="E192" s="889">
        <f t="shared" si="72"/>
        <v>52901</v>
      </c>
      <c r="F192" s="822">
        <f t="shared" si="56"/>
        <v>10</v>
      </c>
      <c r="G192" s="126">
        <f t="shared" si="57"/>
        <v>0</v>
      </c>
      <c r="H192" s="1098">
        <f t="shared" si="73"/>
        <v>0</v>
      </c>
      <c r="I192" s="887">
        <f t="shared" si="70"/>
        <v>173</v>
      </c>
      <c r="J192" s="1099">
        <f t="shared" si="63"/>
        <v>173</v>
      </c>
      <c r="K192" s="891" t="str">
        <f t="shared" si="64"/>
        <v>October</v>
      </c>
      <c r="L192" s="888">
        <f t="shared" si="71"/>
        <v>2044</v>
      </c>
      <c r="M192" s="883">
        <f t="shared" si="65"/>
        <v>0</v>
      </c>
      <c r="N192" s="883">
        <f t="shared" si="66"/>
        <v>0</v>
      </c>
      <c r="O192" s="1100"/>
      <c r="P192" s="883">
        <f t="shared" si="58"/>
        <v>0</v>
      </c>
      <c r="Q192" s="884">
        <f t="shared" si="67"/>
        <v>0</v>
      </c>
      <c r="R192" s="884">
        <f>IF(AND($AR$39="Early Payoff",I192&gt;=$R$13),0,IF($I192&lt;=$R$6,SUM($P$20:$P192),0))</f>
        <v>0</v>
      </c>
      <c r="S192" s="884">
        <f>IF(AND($AR$39="Early Payoff",I192&gt;=$R$13),0,IF($I192&lt;=$R$6,SUM($Q$20:$Q192),0))</f>
        <v>0</v>
      </c>
      <c r="T192" s="873">
        <f t="shared" si="68"/>
        <v>0</v>
      </c>
      <c r="U192" s="1110">
        <f t="shared" si="74"/>
        <v>0</v>
      </c>
      <c r="W192" s="1102">
        <f t="shared" si="59"/>
        <v>0</v>
      </c>
      <c r="X192" s="873">
        <f t="shared" si="60"/>
        <v>0</v>
      </c>
      <c r="Y192" s="873">
        <f t="shared" si="61"/>
        <v>0</v>
      </c>
      <c r="Z192" s="885">
        <f t="shared" si="62"/>
        <v>0</v>
      </c>
    </row>
    <row r="193" spans="2:26" s="278" customFormat="1" ht="12" customHeight="1" x14ac:dyDescent="0.25">
      <c r="B193" s="1192">
        <f t="shared" si="69"/>
        <v>193</v>
      </c>
      <c r="C193" s="732">
        <f t="shared" si="54"/>
        <v>30</v>
      </c>
      <c r="D193" s="35">
        <f t="shared" si="55"/>
        <v>11</v>
      </c>
      <c r="E193" s="889">
        <f t="shared" si="72"/>
        <v>52931</v>
      </c>
      <c r="F193" s="822">
        <f t="shared" si="56"/>
        <v>11</v>
      </c>
      <c r="G193" s="126">
        <f t="shared" si="57"/>
        <v>0</v>
      </c>
      <c r="H193" s="1098">
        <f t="shared" si="73"/>
        <v>0</v>
      </c>
      <c r="I193" s="887">
        <f t="shared" si="70"/>
        <v>174</v>
      </c>
      <c r="J193" s="1099">
        <f t="shared" si="63"/>
        <v>174</v>
      </c>
      <c r="K193" s="891" t="str">
        <f t="shared" si="64"/>
        <v>November</v>
      </c>
      <c r="L193" s="888">
        <f t="shared" si="71"/>
        <v>2044</v>
      </c>
      <c r="M193" s="883">
        <f t="shared" si="65"/>
        <v>0</v>
      </c>
      <c r="N193" s="883">
        <f t="shared" si="66"/>
        <v>0</v>
      </c>
      <c r="O193" s="1100"/>
      <c r="P193" s="883">
        <f t="shared" si="58"/>
        <v>0</v>
      </c>
      <c r="Q193" s="884">
        <f t="shared" si="67"/>
        <v>0</v>
      </c>
      <c r="R193" s="884">
        <f>IF(AND($AR$39="Early Payoff",I193&gt;=$R$13),0,IF($I193&lt;=$R$6,SUM($P$20:$P193),0))</f>
        <v>0</v>
      </c>
      <c r="S193" s="884">
        <f>IF(AND($AR$39="Early Payoff",I193&gt;=$R$13),0,IF($I193&lt;=$R$6,SUM($Q$20:$Q193),0))</f>
        <v>0</v>
      </c>
      <c r="T193" s="873">
        <f t="shared" si="68"/>
        <v>0</v>
      </c>
      <c r="U193" s="1110">
        <f t="shared" si="74"/>
        <v>0</v>
      </c>
      <c r="W193" s="1102">
        <f t="shared" si="59"/>
        <v>0</v>
      </c>
      <c r="X193" s="873">
        <f t="shared" si="60"/>
        <v>0</v>
      </c>
      <c r="Y193" s="873">
        <f t="shared" si="61"/>
        <v>0</v>
      </c>
      <c r="Z193" s="885">
        <f t="shared" si="62"/>
        <v>0</v>
      </c>
    </row>
    <row r="194" spans="2:26" s="278" customFormat="1" ht="12" customHeight="1" x14ac:dyDescent="0.25">
      <c r="B194" s="1192">
        <f t="shared" si="69"/>
        <v>194</v>
      </c>
      <c r="C194" s="732">
        <f t="shared" si="54"/>
        <v>31</v>
      </c>
      <c r="D194" s="35">
        <f t="shared" si="55"/>
        <v>12</v>
      </c>
      <c r="E194" s="889">
        <f t="shared" si="72"/>
        <v>52962</v>
      </c>
      <c r="F194" s="822">
        <f t="shared" si="56"/>
        <v>12</v>
      </c>
      <c r="G194" s="126">
        <f t="shared" si="57"/>
        <v>1</v>
      </c>
      <c r="H194" s="1098">
        <f t="shared" si="73"/>
        <v>0</v>
      </c>
      <c r="I194" s="887">
        <f t="shared" si="70"/>
        <v>175</v>
      </c>
      <c r="J194" s="1099">
        <f t="shared" si="63"/>
        <v>175</v>
      </c>
      <c r="K194" s="891" t="str">
        <f t="shared" si="64"/>
        <v>December</v>
      </c>
      <c r="L194" s="888">
        <f t="shared" si="71"/>
        <v>2044</v>
      </c>
      <c r="M194" s="883">
        <f t="shared" si="65"/>
        <v>0</v>
      </c>
      <c r="N194" s="883">
        <f t="shared" si="66"/>
        <v>0</v>
      </c>
      <c r="O194" s="1100"/>
      <c r="P194" s="883">
        <f t="shared" si="58"/>
        <v>0</v>
      </c>
      <c r="Q194" s="884">
        <f t="shared" si="67"/>
        <v>0</v>
      </c>
      <c r="R194" s="884">
        <f>IF(AND($AR$39="Early Payoff",I194&gt;=$R$13),0,IF($I194&lt;=$R$6,SUM($P$20:$P194),0))</f>
        <v>0</v>
      </c>
      <c r="S194" s="884">
        <f>IF(AND($AR$39="Early Payoff",I194&gt;=$R$13),0,IF($I194&lt;=$R$6,SUM($Q$20:$Q194),0))</f>
        <v>0</v>
      </c>
      <c r="T194" s="873">
        <f t="shared" si="68"/>
        <v>0</v>
      </c>
      <c r="U194" s="1110">
        <f t="shared" si="74"/>
        <v>0</v>
      </c>
      <c r="W194" s="1102">
        <f t="shared" si="59"/>
        <v>0</v>
      </c>
      <c r="X194" s="873">
        <f t="shared" si="60"/>
        <v>0</v>
      </c>
      <c r="Y194" s="873">
        <f t="shared" si="61"/>
        <v>0</v>
      </c>
      <c r="Z194" s="885">
        <f t="shared" si="62"/>
        <v>0</v>
      </c>
    </row>
    <row r="195" spans="2:26" s="278" customFormat="1" ht="12" customHeight="1" x14ac:dyDescent="0.25">
      <c r="B195" s="1192">
        <f t="shared" si="69"/>
        <v>195</v>
      </c>
      <c r="C195" s="732">
        <f t="shared" si="54"/>
        <v>31</v>
      </c>
      <c r="D195" s="35">
        <f t="shared" si="55"/>
        <v>1</v>
      </c>
      <c r="E195" s="889">
        <f t="shared" si="72"/>
        <v>52993</v>
      </c>
      <c r="F195" s="822">
        <f t="shared" si="56"/>
        <v>1</v>
      </c>
      <c r="G195" s="126">
        <f t="shared" si="57"/>
        <v>0</v>
      </c>
      <c r="H195" s="1098">
        <f t="shared" si="73"/>
        <v>0</v>
      </c>
      <c r="I195" s="887">
        <f t="shared" si="70"/>
        <v>176</v>
      </c>
      <c r="J195" s="1099">
        <f t="shared" si="63"/>
        <v>176</v>
      </c>
      <c r="K195" s="891" t="str">
        <f t="shared" si="64"/>
        <v>January</v>
      </c>
      <c r="L195" s="888">
        <f t="shared" si="71"/>
        <v>2045</v>
      </c>
      <c r="M195" s="883">
        <f t="shared" si="65"/>
        <v>0</v>
      </c>
      <c r="N195" s="883">
        <f t="shared" si="66"/>
        <v>0</v>
      </c>
      <c r="O195" s="1100"/>
      <c r="P195" s="883">
        <f t="shared" si="58"/>
        <v>0</v>
      </c>
      <c r="Q195" s="884">
        <f t="shared" si="67"/>
        <v>0</v>
      </c>
      <c r="R195" s="884">
        <f>IF(AND($AR$39="Early Payoff",I195&gt;=$R$13),0,IF($I195&lt;=$R$6,SUM($P$20:$P195),0))</f>
        <v>0</v>
      </c>
      <c r="S195" s="884">
        <f>IF(AND($AR$39="Early Payoff",I195&gt;=$R$13),0,IF($I195&lt;=$R$6,SUM($Q$20:$Q195),0))</f>
        <v>0</v>
      </c>
      <c r="T195" s="873">
        <f t="shared" si="68"/>
        <v>0</v>
      </c>
      <c r="U195" s="1110">
        <f t="shared" si="74"/>
        <v>0</v>
      </c>
      <c r="W195" s="1102">
        <f t="shared" si="59"/>
        <v>0</v>
      </c>
      <c r="X195" s="873">
        <f t="shared" si="60"/>
        <v>0</v>
      </c>
      <c r="Y195" s="873">
        <f t="shared" si="61"/>
        <v>0</v>
      </c>
      <c r="Z195" s="885">
        <f t="shared" si="62"/>
        <v>0</v>
      </c>
    </row>
    <row r="196" spans="2:26" s="278" customFormat="1" ht="12" customHeight="1" x14ac:dyDescent="0.25">
      <c r="B196" s="1192">
        <f t="shared" si="69"/>
        <v>196</v>
      </c>
      <c r="C196" s="732">
        <f t="shared" si="54"/>
        <v>28</v>
      </c>
      <c r="D196" s="35">
        <f t="shared" si="55"/>
        <v>2</v>
      </c>
      <c r="E196" s="889">
        <f t="shared" si="72"/>
        <v>53021</v>
      </c>
      <c r="F196" s="822">
        <f t="shared" si="56"/>
        <v>2</v>
      </c>
      <c r="G196" s="126">
        <f t="shared" si="57"/>
        <v>0</v>
      </c>
      <c r="H196" s="1098">
        <f t="shared" si="73"/>
        <v>0</v>
      </c>
      <c r="I196" s="887">
        <f t="shared" si="70"/>
        <v>177</v>
      </c>
      <c r="J196" s="1099">
        <f t="shared" si="63"/>
        <v>177</v>
      </c>
      <c r="K196" s="891" t="str">
        <f t="shared" si="64"/>
        <v>February</v>
      </c>
      <c r="L196" s="888">
        <f t="shared" si="71"/>
        <v>2045</v>
      </c>
      <c r="M196" s="883">
        <f t="shared" si="65"/>
        <v>0</v>
      </c>
      <c r="N196" s="883">
        <f t="shared" si="66"/>
        <v>0</v>
      </c>
      <c r="O196" s="1100"/>
      <c r="P196" s="883">
        <f t="shared" si="58"/>
        <v>0</v>
      </c>
      <c r="Q196" s="884">
        <f t="shared" si="67"/>
        <v>0</v>
      </c>
      <c r="R196" s="884">
        <f>IF(AND($AR$39="Early Payoff",I196&gt;=$R$13),0,IF($I196&lt;=$R$6,SUM($P$20:$P196),0))</f>
        <v>0</v>
      </c>
      <c r="S196" s="884">
        <f>IF(AND($AR$39="Early Payoff",I196&gt;=$R$13),0,IF($I196&lt;=$R$6,SUM($Q$20:$Q196),0))</f>
        <v>0</v>
      </c>
      <c r="T196" s="873">
        <f t="shared" si="68"/>
        <v>0</v>
      </c>
      <c r="U196" s="1110">
        <f t="shared" si="74"/>
        <v>0</v>
      </c>
      <c r="W196" s="1102">
        <f t="shared" si="59"/>
        <v>0</v>
      </c>
      <c r="X196" s="873">
        <f t="shared" si="60"/>
        <v>0</v>
      </c>
      <c r="Y196" s="873">
        <f t="shared" si="61"/>
        <v>0</v>
      </c>
      <c r="Z196" s="885">
        <f t="shared" si="62"/>
        <v>0</v>
      </c>
    </row>
    <row r="197" spans="2:26" s="278" customFormat="1" ht="12" customHeight="1" x14ac:dyDescent="0.25">
      <c r="B197" s="1192">
        <f t="shared" si="69"/>
        <v>197</v>
      </c>
      <c r="C197" s="732">
        <f t="shared" si="54"/>
        <v>31</v>
      </c>
      <c r="D197" s="35">
        <f t="shared" si="55"/>
        <v>3</v>
      </c>
      <c r="E197" s="889">
        <f t="shared" si="72"/>
        <v>53052</v>
      </c>
      <c r="F197" s="822">
        <f t="shared" si="56"/>
        <v>3</v>
      </c>
      <c r="G197" s="126">
        <f t="shared" si="57"/>
        <v>0</v>
      </c>
      <c r="H197" s="1098">
        <f t="shared" si="73"/>
        <v>0</v>
      </c>
      <c r="I197" s="887">
        <f t="shared" si="70"/>
        <v>178</v>
      </c>
      <c r="J197" s="1099">
        <f t="shared" si="63"/>
        <v>178</v>
      </c>
      <c r="K197" s="891" t="str">
        <f t="shared" si="64"/>
        <v>March</v>
      </c>
      <c r="L197" s="888">
        <f t="shared" si="71"/>
        <v>2045</v>
      </c>
      <c r="M197" s="883">
        <f t="shared" si="65"/>
        <v>0</v>
      </c>
      <c r="N197" s="883">
        <f t="shared" si="66"/>
        <v>0</v>
      </c>
      <c r="O197" s="1100"/>
      <c r="P197" s="883">
        <f t="shared" si="58"/>
        <v>0</v>
      </c>
      <c r="Q197" s="884">
        <f t="shared" si="67"/>
        <v>0</v>
      </c>
      <c r="R197" s="884">
        <f>IF(AND($AR$39="Early Payoff",I197&gt;=$R$13),0,IF($I197&lt;=$R$6,SUM($P$20:$P197),0))</f>
        <v>0</v>
      </c>
      <c r="S197" s="884">
        <f>IF(AND($AR$39="Early Payoff",I197&gt;=$R$13),0,IF($I197&lt;=$R$6,SUM($Q$20:$Q197),0))</f>
        <v>0</v>
      </c>
      <c r="T197" s="873">
        <f t="shared" si="68"/>
        <v>0</v>
      </c>
      <c r="U197" s="1110">
        <f t="shared" si="74"/>
        <v>0</v>
      </c>
      <c r="W197" s="1102">
        <f t="shared" si="59"/>
        <v>0</v>
      </c>
      <c r="X197" s="873">
        <f t="shared" si="60"/>
        <v>0</v>
      </c>
      <c r="Y197" s="873">
        <f t="shared" si="61"/>
        <v>0</v>
      </c>
      <c r="Z197" s="885">
        <f t="shared" si="62"/>
        <v>0</v>
      </c>
    </row>
    <row r="198" spans="2:26" s="278" customFormat="1" ht="12" customHeight="1" x14ac:dyDescent="0.25">
      <c r="B198" s="1192">
        <f t="shared" si="69"/>
        <v>198</v>
      </c>
      <c r="C198" s="732">
        <f t="shared" si="54"/>
        <v>30</v>
      </c>
      <c r="D198" s="35">
        <f t="shared" si="55"/>
        <v>4</v>
      </c>
      <c r="E198" s="889">
        <f t="shared" si="72"/>
        <v>53082</v>
      </c>
      <c r="F198" s="822">
        <f t="shared" si="56"/>
        <v>4</v>
      </c>
      <c r="G198" s="126">
        <f t="shared" si="57"/>
        <v>0</v>
      </c>
      <c r="H198" s="1098">
        <f t="shared" si="73"/>
        <v>0</v>
      </c>
      <c r="I198" s="887">
        <f t="shared" si="70"/>
        <v>179</v>
      </c>
      <c r="J198" s="1099">
        <f t="shared" si="63"/>
        <v>179</v>
      </c>
      <c r="K198" s="891" t="str">
        <f t="shared" si="64"/>
        <v>April</v>
      </c>
      <c r="L198" s="888">
        <f t="shared" si="71"/>
        <v>2045</v>
      </c>
      <c r="M198" s="883">
        <f t="shared" si="65"/>
        <v>0</v>
      </c>
      <c r="N198" s="883">
        <f t="shared" si="66"/>
        <v>0</v>
      </c>
      <c r="O198" s="1100"/>
      <c r="P198" s="883">
        <f t="shared" si="58"/>
        <v>0</v>
      </c>
      <c r="Q198" s="884">
        <f t="shared" si="67"/>
        <v>0</v>
      </c>
      <c r="R198" s="884">
        <f>IF(AND($AR$39="Early Payoff",I198&gt;=$R$13),0,IF($I198&lt;=$R$6,SUM($P$20:$P198),0))</f>
        <v>0</v>
      </c>
      <c r="S198" s="884">
        <f>IF(AND($AR$39="Early Payoff",I198&gt;=$R$13),0,IF($I198&lt;=$R$6,SUM($Q$20:$Q198),0))</f>
        <v>0</v>
      </c>
      <c r="T198" s="873">
        <f t="shared" si="68"/>
        <v>0</v>
      </c>
      <c r="U198" s="1110">
        <f t="shared" si="74"/>
        <v>0</v>
      </c>
      <c r="W198" s="1102">
        <f t="shared" si="59"/>
        <v>0</v>
      </c>
      <c r="X198" s="873">
        <f t="shared" si="60"/>
        <v>0</v>
      </c>
      <c r="Y198" s="873">
        <f t="shared" si="61"/>
        <v>0</v>
      </c>
      <c r="Z198" s="885">
        <f t="shared" si="62"/>
        <v>0</v>
      </c>
    </row>
    <row r="199" spans="2:26" s="278" customFormat="1" ht="12" customHeight="1" x14ac:dyDescent="0.25">
      <c r="B199" s="1192">
        <f t="shared" si="69"/>
        <v>199</v>
      </c>
      <c r="C199" s="732">
        <f t="shared" si="54"/>
        <v>31</v>
      </c>
      <c r="D199" s="35">
        <f t="shared" si="55"/>
        <v>5</v>
      </c>
      <c r="E199" s="889">
        <f t="shared" si="72"/>
        <v>53113</v>
      </c>
      <c r="F199" s="822">
        <f t="shared" si="56"/>
        <v>5</v>
      </c>
      <c r="G199" s="126">
        <f t="shared" si="57"/>
        <v>0</v>
      </c>
      <c r="H199" s="1098">
        <f t="shared" si="73"/>
        <v>0</v>
      </c>
      <c r="I199" s="887">
        <f t="shared" si="70"/>
        <v>180</v>
      </c>
      <c r="J199" s="1099">
        <f t="shared" si="63"/>
        <v>180</v>
      </c>
      <c r="K199" s="891" t="str">
        <f t="shared" si="64"/>
        <v>May</v>
      </c>
      <c r="L199" s="888">
        <f t="shared" si="71"/>
        <v>2045</v>
      </c>
      <c r="M199" s="883">
        <f t="shared" si="65"/>
        <v>0</v>
      </c>
      <c r="N199" s="883">
        <f t="shared" si="66"/>
        <v>0</v>
      </c>
      <c r="O199" s="1100"/>
      <c r="P199" s="883">
        <f t="shared" si="58"/>
        <v>0</v>
      </c>
      <c r="Q199" s="884">
        <f t="shared" si="67"/>
        <v>0</v>
      </c>
      <c r="R199" s="884">
        <f>IF(AND($AR$39="Early Payoff",I199&gt;=$R$13),0,IF($I199&lt;=$R$6,SUM($P$20:$P199),0))</f>
        <v>0</v>
      </c>
      <c r="S199" s="884">
        <f>IF(AND($AR$39="Early Payoff",I199&gt;=$R$13),0,IF($I199&lt;=$R$6,SUM($Q$20:$Q199),0))</f>
        <v>0</v>
      </c>
      <c r="T199" s="873">
        <f t="shared" si="68"/>
        <v>0</v>
      </c>
      <c r="U199" s="1110">
        <f t="shared" si="74"/>
        <v>0</v>
      </c>
      <c r="W199" s="1102">
        <f t="shared" si="59"/>
        <v>0</v>
      </c>
      <c r="X199" s="873">
        <f t="shared" si="60"/>
        <v>0</v>
      </c>
      <c r="Y199" s="873">
        <f t="shared" si="61"/>
        <v>0</v>
      </c>
      <c r="Z199" s="885">
        <f t="shared" si="62"/>
        <v>0</v>
      </c>
    </row>
    <row r="200" spans="2:26" s="278" customFormat="1" ht="12" customHeight="1" x14ac:dyDescent="0.25">
      <c r="B200" s="1192">
        <f t="shared" si="69"/>
        <v>200</v>
      </c>
      <c r="C200" s="732">
        <f t="shared" si="54"/>
        <v>30</v>
      </c>
      <c r="D200" s="35">
        <f t="shared" si="55"/>
        <v>6</v>
      </c>
      <c r="E200" s="889">
        <f t="shared" si="72"/>
        <v>53143</v>
      </c>
      <c r="F200" s="822">
        <f t="shared" si="56"/>
        <v>6</v>
      </c>
      <c r="G200" s="126">
        <f t="shared" si="57"/>
        <v>0</v>
      </c>
      <c r="H200" s="1098">
        <f t="shared" si="73"/>
        <v>0</v>
      </c>
      <c r="I200" s="887">
        <f t="shared" si="70"/>
        <v>181</v>
      </c>
      <c r="J200" s="1099">
        <f t="shared" si="63"/>
        <v>181</v>
      </c>
      <c r="K200" s="891" t="str">
        <f t="shared" si="64"/>
        <v>June</v>
      </c>
      <c r="L200" s="888">
        <f t="shared" si="71"/>
        <v>2045</v>
      </c>
      <c r="M200" s="883">
        <f t="shared" si="65"/>
        <v>0</v>
      </c>
      <c r="N200" s="883">
        <f t="shared" si="66"/>
        <v>0</v>
      </c>
      <c r="O200" s="1100"/>
      <c r="P200" s="883">
        <f t="shared" si="58"/>
        <v>0</v>
      </c>
      <c r="Q200" s="884">
        <f t="shared" si="67"/>
        <v>0</v>
      </c>
      <c r="R200" s="884">
        <f>IF(AND($AR$39="Early Payoff",I200&gt;=$R$13),0,IF($I200&lt;=$R$6,SUM($P$20:$P200),0))</f>
        <v>0</v>
      </c>
      <c r="S200" s="884">
        <f>IF(AND($AR$39="Early Payoff",I200&gt;=$R$13),0,IF($I200&lt;=$R$6,SUM($Q$20:$Q200),0))</f>
        <v>0</v>
      </c>
      <c r="T200" s="873">
        <f t="shared" si="68"/>
        <v>0</v>
      </c>
      <c r="U200" s="1110">
        <f t="shared" si="74"/>
        <v>0</v>
      </c>
      <c r="W200" s="1102">
        <f t="shared" si="59"/>
        <v>0</v>
      </c>
      <c r="X200" s="873">
        <f t="shared" si="60"/>
        <v>0</v>
      </c>
      <c r="Y200" s="873">
        <f t="shared" si="61"/>
        <v>0</v>
      </c>
      <c r="Z200" s="885">
        <f t="shared" si="62"/>
        <v>0</v>
      </c>
    </row>
    <row r="201" spans="2:26" s="278" customFormat="1" ht="12" customHeight="1" x14ac:dyDescent="0.25">
      <c r="B201" s="1192">
        <f t="shared" si="69"/>
        <v>201</v>
      </c>
      <c r="C201" s="732">
        <f t="shared" si="54"/>
        <v>31</v>
      </c>
      <c r="D201" s="35">
        <f t="shared" si="55"/>
        <v>7</v>
      </c>
      <c r="E201" s="889">
        <f t="shared" si="72"/>
        <v>53174</v>
      </c>
      <c r="F201" s="822">
        <f t="shared" si="56"/>
        <v>7</v>
      </c>
      <c r="G201" s="126">
        <f t="shared" si="57"/>
        <v>0</v>
      </c>
      <c r="H201" s="1098">
        <f t="shared" si="73"/>
        <v>0</v>
      </c>
      <c r="I201" s="887">
        <f t="shared" si="70"/>
        <v>182</v>
      </c>
      <c r="J201" s="1099">
        <f t="shared" si="63"/>
        <v>182</v>
      </c>
      <c r="K201" s="891" t="str">
        <f t="shared" si="64"/>
        <v>July</v>
      </c>
      <c r="L201" s="888">
        <f t="shared" si="71"/>
        <v>2045</v>
      </c>
      <c r="M201" s="883">
        <f t="shared" si="65"/>
        <v>0</v>
      </c>
      <c r="N201" s="883">
        <f t="shared" si="66"/>
        <v>0</v>
      </c>
      <c r="O201" s="1100"/>
      <c r="P201" s="883">
        <f t="shared" si="58"/>
        <v>0</v>
      </c>
      <c r="Q201" s="884">
        <f t="shared" si="67"/>
        <v>0</v>
      </c>
      <c r="R201" s="884">
        <f>IF(AND($AR$39="Early Payoff",I201&gt;=$R$13),0,IF($I201&lt;=$R$6,SUM($P$20:$P201),0))</f>
        <v>0</v>
      </c>
      <c r="S201" s="884">
        <f>IF(AND($AR$39="Early Payoff",I201&gt;=$R$13),0,IF($I201&lt;=$R$6,SUM($Q$20:$Q201),0))</f>
        <v>0</v>
      </c>
      <c r="T201" s="873">
        <f t="shared" si="68"/>
        <v>0</v>
      </c>
      <c r="U201" s="1110">
        <f t="shared" si="74"/>
        <v>0</v>
      </c>
      <c r="W201" s="1102">
        <f t="shared" si="59"/>
        <v>0</v>
      </c>
      <c r="X201" s="873">
        <f t="shared" si="60"/>
        <v>0</v>
      </c>
      <c r="Y201" s="873">
        <f t="shared" si="61"/>
        <v>0</v>
      </c>
      <c r="Z201" s="885">
        <f t="shared" si="62"/>
        <v>0</v>
      </c>
    </row>
    <row r="202" spans="2:26" s="278" customFormat="1" ht="12" customHeight="1" x14ac:dyDescent="0.25">
      <c r="B202" s="1192">
        <f t="shared" si="69"/>
        <v>202</v>
      </c>
      <c r="C202" s="732">
        <f t="shared" si="54"/>
        <v>31</v>
      </c>
      <c r="D202" s="35">
        <f t="shared" si="55"/>
        <v>8</v>
      </c>
      <c r="E202" s="889">
        <f t="shared" si="72"/>
        <v>53205</v>
      </c>
      <c r="F202" s="822">
        <f t="shared" si="56"/>
        <v>8</v>
      </c>
      <c r="G202" s="126">
        <f t="shared" si="57"/>
        <v>0</v>
      </c>
      <c r="H202" s="1098">
        <f t="shared" si="73"/>
        <v>0</v>
      </c>
      <c r="I202" s="887">
        <f t="shared" si="70"/>
        <v>183</v>
      </c>
      <c r="J202" s="1099">
        <f t="shared" si="63"/>
        <v>183</v>
      </c>
      <c r="K202" s="891" t="str">
        <f t="shared" si="64"/>
        <v>August</v>
      </c>
      <c r="L202" s="888">
        <f t="shared" si="71"/>
        <v>2045</v>
      </c>
      <c r="M202" s="883">
        <f t="shared" si="65"/>
        <v>0</v>
      </c>
      <c r="N202" s="883">
        <f t="shared" si="66"/>
        <v>0</v>
      </c>
      <c r="O202" s="1100"/>
      <c r="P202" s="883">
        <f t="shared" si="58"/>
        <v>0</v>
      </c>
      <c r="Q202" s="884">
        <f t="shared" si="67"/>
        <v>0</v>
      </c>
      <c r="R202" s="884">
        <f>IF(AND($AR$39="Early Payoff",I202&gt;=$R$13),0,IF($I202&lt;=$R$6,SUM($P$20:$P202),0))</f>
        <v>0</v>
      </c>
      <c r="S202" s="884">
        <f>IF(AND($AR$39="Early Payoff",I202&gt;=$R$13),0,IF($I202&lt;=$R$6,SUM($Q$20:$Q202),0))</f>
        <v>0</v>
      </c>
      <c r="T202" s="873">
        <f t="shared" si="68"/>
        <v>0</v>
      </c>
      <c r="U202" s="1110">
        <f t="shared" si="74"/>
        <v>0</v>
      </c>
      <c r="W202" s="1102">
        <f t="shared" si="59"/>
        <v>0</v>
      </c>
      <c r="X202" s="873">
        <f t="shared" si="60"/>
        <v>0</v>
      </c>
      <c r="Y202" s="873">
        <f t="shared" si="61"/>
        <v>0</v>
      </c>
      <c r="Z202" s="885">
        <f t="shared" si="62"/>
        <v>0</v>
      </c>
    </row>
    <row r="203" spans="2:26" s="278" customFormat="1" ht="12" customHeight="1" x14ac:dyDescent="0.25">
      <c r="B203" s="1192">
        <f t="shared" si="69"/>
        <v>203</v>
      </c>
      <c r="C203" s="732">
        <f t="shared" si="54"/>
        <v>30</v>
      </c>
      <c r="D203" s="35">
        <f t="shared" si="55"/>
        <v>9</v>
      </c>
      <c r="E203" s="889">
        <f t="shared" si="72"/>
        <v>53235</v>
      </c>
      <c r="F203" s="822">
        <f t="shared" si="56"/>
        <v>9</v>
      </c>
      <c r="G203" s="126">
        <f t="shared" si="57"/>
        <v>0</v>
      </c>
      <c r="H203" s="1098">
        <f t="shared" si="73"/>
        <v>0</v>
      </c>
      <c r="I203" s="887">
        <f t="shared" si="70"/>
        <v>184</v>
      </c>
      <c r="J203" s="1099">
        <f t="shared" si="63"/>
        <v>184</v>
      </c>
      <c r="K203" s="891" t="str">
        <f t="shared" si="64"/>
        <v>September</v>
      </c>
      <c r="L203" s="888">
        <f t="shared" si="71"/>
        <v>2045</v>
      </c>
      <c r="M203" s="883">
        <f t="shared" si="65"/>
        <v>0</v>
      </c>
      <c r="N203" s="883">
        <f t="shared" si="66"/>
        <v>0</v>
      </c>
      <c r="O203" s="1100"/>
      <c r="P203" s="883">
        <f t="shared" si="58"/>
        <v>0</v>
      </c>
      <c r="Q203" s="884">
        <f t="shared" si="67"/>
        <v>0</v>
      </c>
      <c r="R203" s="884">
        <f>IF(AND($AR$39="Early Payoff",I203&gt;=$R$13),0,IF($I203&lt;=$R$6,SUM($P$20:$P203),0))</f>
        <v>0</v>
      </c>
      <c r="S203" s="884">
        <f>IF(AND($AR$39="Early Payoff",I203&gt;=$R$13),0,IF($I203&lt;=$R$6,SUM($Q$20:$Q203),0))</f>
        <v>0</v>
      </c>
      <c r="T203" s="873">
        <f t="shared" si="68"/>
        <v>0</v>
      </c>
      <c r="U203" s="1110">
        <f t="shared" si="74"/>
        <v>0</v>
      </c>
      <c r="W203" s="1102">
        <f t="shared" si="59"/>
        <v>0</v>
      </c>
      <c r="X203" s="873">
        <f t="shared" si="60"/>
        <v>0</v>
      </c>
      <c r="Y203" s="873">
        <f t="shared" si="61"/>
        <v>0</v>
      </c>
      <c r="Z203" s="885">
        <f t="shared" si="62"/>
        <v>0</v>
      </c>
    </row>
    <row r="204" spans="2:26" s="278" customFormat="1" ht="12" customHeight="1" x14ac:dyDescent="0.25">
      <c r="B204" s="1192">
        <f t="shared" si="69"/>
        <v>204</v>
      </c>
      <c r="C204" s="732">
        <f t="shared" si="54"/>
        <v>31</v>
      </c>
      <c r="D204" s="35">
        <f t="shared" si="55"/>
        <v>10</v>
      </c>
      <c r="E204" s="889">
        <f t="shared" si="72"/>
        <v>53266</v>
      </c>
      <c r="F204" s="822">
        <f t="shared" si="56"/>
        <v>10</v>
      </c>
      <c r="G204" s="126">
        <f t="shared" si="57"/>
        <v>0</v>
      </c>
      <c r="H204" s="1098">
        <f t="shared" si="73"/>
        <v>0</v>
      </c>
      <c r="I204" s="887">
        <f t="shared" si="70"/>
        <v>185</v>
      </c>
      <c r="J204" s="1099">
        <f t="shared" si="63"/>
        <v>185</v>
      </c>
      <c r="K204" s="891" t="str">
        <f t="shared" si="64"/>
        <v>October</v>
      </c>
      <c r="L204" s="888">
        <f t="shared" si="71"/>
        <v>2045</v>
      </c>
      <c r="M204" s="883">
        <f t="shared" si="65"/>
        <v>0</v>
      </c>
      <c r="N204" s="883">
        <f t="shared" si="66"/>
        <v>0</v>
      </c>
      <c r="O204" s="1100"/>
      <c r="P204" s="883">
        <f t="shared" si="58"/>
        <v>0</v>
      </c>
      <c r="Q204" s="884">
        <f t="shared" si="67"/>
        <v>0</v>
      </c>
      <c r="R204" s="884">
        <f>IF(AND($AR$39="Early Payoff",I204&gt;=$R$13),0,IF($I204&lt;=$R$6,SUM($P$20:$P204),0))</f>
        <v>0</v>
      </c>
      <c r="S204" s="884">
        <f>IF(AND($AR$39="Early Payoff",I204&gt;=$R$13),0,IF($I204&lt;=$R$6,SUM($Q$20:$Q204),0))</f>
        <v>0</v>
      </c>
      <c r="T204" s="873">
        <f t="shared" si="68"/>
        <v>0</v>
      </c>
      <c r="U204" s="1110">
        <f t="shared" si="74"/>
        <v>0</v>
      </c>
      <c r="W204" s="1102">
        <f t="shared" si="59"/>
        <v>0</v>
      </c>
      <c r="X204" s="873">
        <f t="shared" si="60"/>
        <v>0</v>
      </c>
      <c r="Y204" s="873">
        <f t="shared" si="61"/>
        <v>0</v>
      </c>
      <c r="Z204" s="885">
        <f t="shared" si="62"/>
        <v>0</v>
      </c>
    </row>
    <row r="205" spans="2:26" s="278" customFormat="1" ht="12" customHeight="1" x14ac:dyDescent="0.25">
      <c r="B205" s="1192">
        <f t="shared" si="69"/>
        <v>205</v>
      </c>
      <c r="C205" s="732">
        <f t="shared" si="54"/>
        <v>30</v>
      </c>
      <c r="D205" s="35">
        <f t="shared" si="55"/>
        <v>11</v>
      </c>
      <c r="E205" s="889">
        <f t="shared" si="72"/>
        <v>53296</v>
      </c>
      <c r="F205" s="822">
        <f t="shared" si="56"/>
        <v>11</v>
      </c>
      <c r="G205" s="126">
        <f t="shared" si="57"/>
        <v>0</v>
      </c>
      <c r="H205" s="1098">
        <f t="shared" si="73"/>
        <v>0</v>
      </c>
      <c r="I205" s="887">
        <f t="shared" si="70"/>
        <v>186</v>
      </c>
      <c r="J205" s="1099">
        <f t="shared" si="63"/>
        <v>186</v>
      </c>
      <c r="K205" s="891" t="str">
        <f t="shared" si="64"/>
        <v>November</v>
      </c>
      <c r="L205" s="888">
        <f t="shared" si="71"/>
        <v>2045</v>
      </c>
      <c r="M205" s="883">
        <f t="shared" si="65"/>
        <v>0</v>
      </c>
      <c r="N205" s="883">
        <f t="shared" si="66"/>
        <v>0</v>
      </c>
      <c r="O205" s="1100"/>
      <c r="P205" s="883">
        <f t="shared" si="58"/>
        <v>0</v>
      </c>
      <c r="Q205" s="884">
        <f t="shared" si="67"/>
        <v>0</v>
      </c>
      <c r="R205" s="884">
        <f>IF(AND($AR$39="Early Payoff",I205&gt;=$R$13),0,IF($I205&lt;=$R$6,SUM($P$20:$P205),0))</f>
        <v>0</v>
      </c>
      <c r="S205" s="884">
        <f>IF(AND($AR$39="Early Payoff",I205&gt;=$R$13),0,IF($I205&lt;=$R$6,SUM($Q$20:$Q205),0))</f>
        <v>0</v>
      </c>
      <c r="T205" s="873">
        <f t="shared" si="68"/>
        <v>0</v>
      </c>
      <c r="U205" s="1110">
        <f t="shared" si="74"/>
        <v>0</v>
      </c>
      <c r="W205" s="1102">
        <f t="shared" si="59"/>
        <v>0</v>
      </c>
      <c r="X205" s="873">
        <f t="shared" si="60"/>
        <v>0</v>
      </c>
      <c r="Y205" s="873">
        <f t="shared" si="61"/>
        <v>0</v>
      </c>
      <c r="Z205" s="885">
        <f t="shared" si="62"/>
        <v>0</v>
      </c>
    </row>
    <row r="206" spans="2:26" s="278" customFormat="1" ht="12" customHeight="1" x14ac:dyDescent="0.25">
      <c r="B206" s="1192">
        <f t="shared" si="69"/>
        <v>206</v>
      </c>
      <c r="C206" s="732">
        <f t="shared" si="54"/>
        <v>31</v>
      </c>
      <c r="D206" s="35">
        <f t="shared" si="55"/>
        <v>12</v>
      </c>
      <c r="E206" s="889">
        <f t="shared" si="72"/>
        <v>53327</v>
      </c>
      <c r="F206" s="822">
        <f t="shared" si="56"/>
        <v>12</v>
      </c>
      <c r="G206" s="126">
        <f t="shared" si="57"/>
        <v>1</v>
      </c>
      <c r="H206" s="1098">
        <f t="shared" si="73"/>
        <v>0</v>
      </c>
      <c r="I206" s="887">
        <f t="shared" si="70"/>
        <v>187</v>
      </c>
      <c r="J206" s="1099">
        <f t="shared" si="63"/>
        <v>187</v>
      </c>
      <c r="K206" s="891" t="str">
        <f t="shared" si="64"/>
        <v>December</v>
      </c>
      <c r="L206" s="888">
        <f t="shared" si="71"/>
        <v>2045</v>
      </c>
      <c r="M206" s="883">
        <f t="shared" si="65"/>
        <v>0</v>
      </c>
      <c r="N206" s="883">
        <f t="shared" si="66"/>
        <v>0</v>
      </c>
      <c r="O206" s="1100"/>
      <c r="P206" s="883">
        <f t="shared" si="58"/>
        <v>0</v>
      </c>
      <c r="Q206" s="884">
        <f t="shared" si="67"/>
        <v>0</v>
      </c>
      <c r="R206" s="884">
        <f>IF(AND($AR$39="Early Payoff",I206&gt;=$R$13),0,IF($I206&lt;=$R$6,SUM($P$20:$P206),0))</f>
        <v>0</v>
      </c>
      <c r="S206" s="884">
        <f>IF(AND($AR$39="Early Payoff",I206&gt;=$R$13),0,IF($I206&lt;=$R$6,SUM($Q$20:$Q206),0))</f>
        <v>0</v>
      </c>
      <c r="T206" s="873">
        <f t="shared" si="68"/>
        <v>0</v>
      </c>
      <c r="U206" s="1110">
        <f t="shared" si="74"/>
        <v>0</v>
      </c>
      <c r="W206" s="1102">
        <f t="shared" si="59"/>
        <v>0</v>
      </c>
      <c r="X206" s="873">
        <f t="shared" si="60"/>
        <v>0</v>
      </c>
      <c r="Y206" s="873">
        <f t="shared" si="61"/>
        <v>0</v>
      </c>
      <c r="Z206" s="885">
        <f t="shared" si="62"/>
        <v>0</v>
      </c>
    </row>
    <row r="207" spans="2:26" s="278" customFormat="1" ht="12" customHeight="1" x14ac:dyDescent="0.25">
      <c r="B207" s="1192">
        <f t="shared" si="69"/>
        <v>207</v>
      </c>
      <c r="C207" s="732">
        <f t="shared" si="54"/>
        <v>31</v>
      </c>
      <c r="D207" s="35">
        <f t="shared" si="55"/>
        <v>1</v>
      </c>
      <c r="E207" s="889">
        <f t="shared" si="72"/>
        <v>53358</v>
      </c>
      <c r="F207" s="822">
        <f t="shared" si="56"/>
        <v>1</v>
      </c>
      <c r="G207" s="126">
        <f t="shared" si="57"/>
        <v>0</v>
      </c>
      <c r="H207" s="1098">
        <f t="shared" si="73"/>
        <v>0</v>
      </c>
      <c r="I207" s="887">
        <f t="shared" si="70"/>
        <v>188</v>
      </c>
      <c r="J207" s="1099">
        <f t="shared" si="63"/>
        <v>188</v>
      </c>
      <c r="K207" s="891" t="str">
        <f t="shared" si="64"/>
        <v>January</v>
      </c>
      <c r="L207" s="888">
        <f t="shared" si="71"/>
        <v>2046</v>
      </c>
      <c r="M207" s="883">
        <f t="shared" si="65"/>
        <v>0</v>
      </c>
      <c r="N207" s="883">
        <f t="shared" si="66"/>
        <v>0</v>
      </c>
      <c r="O207" s="1100"/>
      <c r="P207" s="883">
        <f t="shared" si="58"/>
        <v>0</v>
      </c>
      <c r="Q207" s="884">
        <f t="shared" si="67"/>
        <v>0</v>
      </c>
      <c r="R207" s="884">
        <f>IF(AND($AR$39="Early Payoff",I207&gt;=$R$13),0,IF($I207&lt;=$R$6,SUM($P$20:$P207),0))</f>
        <v>0</v>
      </c>
      <c r="S207" s="884">
        <f>IF(AND($AR$39="Early Payoff",I207&gt;=$R$13),0,IF($I207&lt;=$R$6,SUM($Q$20:$Q207),0))</f>
        <v>0</v>
      </c>
      <c r="T207" s="873">
        <f t="shared" si="68"/>
        <v>0</v>
      </c>
      <c r="U207" s="1110">
        <f t="shared" si="74"/>
        <v>0</v>
      </c>
      <c r="W207" s="1102">
        <f t="shared" si="59"/>
        <v>0</v>
      </c>
      <c r="X207" s="873">
        <f t="shared" si="60"/>
        <v>0</v>
      </c>
      <c r="Y207" s="873">
        <f t="shared" si="61"/>
        <v>0</v>
      </c>
      <c r="Z207" s="885">
        <f t="shared" si="62"/>
        <v>0</v>
      </c>
    </row>
    <row r="208" spans="2:26" s="278" customFormat="1" ht="12" customHeight="1" x14ac:dyDescent="0.25">
      <c r="B208" s="1192">
        <f t="shared" si="69"/>
        <v>208</v>
      </c>
      <c r="C208" s="732">
        <f t="shared" si="54"/>
        <v>28</v>
      </c>
      <c r="D208" s="35">
        <f t="shared" si="55"/>
        <v>2</v>
      </c>
      <c r="E208" s="889">
        <f t="shared" si="72"/>
        <v>53386</v>
      </c>
      <c r="F208" s="822">
        <f t="shared" si="56"/>
        <v>2</v>
      </c>
      <c r="G208" s="126">
        <f t="shared" si="57"/>
        <v>0</v>
      </c>
      <c r="H208" s="1098">
        <f t="shared" si="73"/>
        <v>0</v>
      </c>
      <c r="I208" s="887">
        <f t="shared" si="70"/>
        <v>189</v>
      </c>
      <c r="J208" s="1099">
        <f t="shared" si="63"/>
        <v>189</v>
      </c>
      <c r="K208" s="891" t="str">
        <f t="shared" si="64"/>
        <v>February</v>
      </c>
      <c r="L208" s="888">
        <f t="shared" si="71"/>
        <v>2046</v>
      </c>
      <c r="M208" s="883">
        <f t="shared" si="65"/>
        <v>0</v>
      </c>
      <c r="N208" s="883">
        <f t="shared" si="66"/>
        <v>0</v>
      </c>
      <c r="O208" s="1100"/>
      <c r="P208" s="883">
        <f t="shared" si="58"/>
        <v>0</v>
      </c>
      <c r="Q208" s="884">
        <f t="shared" si="67"/>
        <v>0</v>
      </c>
      <c r="R208" s="884">
        <f>IF(AND($AR$39="Early Payoff",I208&gt;=$R$13),0,IF($I208&lt;=$R$6,SUM($P$20:$P208),0))</f>
        <v>0</v>
      </c>
      <c r="S208" s="884">
        <f>IF(AND($AR$39="Early Payoff",I208&gt;=$R$13),0,IF($I208&lt;=$R$6,SUM($Q$20:$Q208),0))</f>
        <v>0</v>
      </c>
      <c r="T208" s="873">
        <f t="shared" si="68"/>
        <v>0</v>
      </c>
      <c r="U208" s="1110">
        <f t="shared" si="74"/>
        <v>0</v>
      </c>
      <c r="W208" s="1102">
        <f t="shared" si="59"/>
        <v>0</v>
      </c>
      <c r="X208" s="873">
        <f t="shared" si="60"/>
        <v>0</v>
      </c>
      <c r="Y208" s="873">
        <f t="shared" si="61"/>
        <v>0</v>
      </c>
      <c r="Z208" s="885">
        <f t="shared" si="62"/>
        <v>0</v>
      </c>
    </row>
    <row r="209" spans="2:26" s="278" customFormat="1" ht="12" customHeight="1" x14ac:dyDescent="0.25">
      <c r="B209" s="1192">
        <f t="shared" si="69"/>
        <v>209</v>
      </c>
      <c r="C209" s="732">
        <f t="shared" si="54"/>
        <v>31</v>
      </c>
      <c r="D209" s="35">
        <f t="shared" si="55"/>
        <v>3</v>
      </c>
      <c r="E209" s="889">
        <f t="shared" si="72"/>
        <v>53417</v>
      </c>
      <c r="F209" s="822">
        <f t="shared" si="56"/>
        <v>3</v>
      </c>
      <c r="G209" s="126">
        <f t="shared" si="57"/>
        <v>0</v>
      </c>
      <c r="H209" s="1098">
        <f t="shared" si="73"/>
        <v>0</v>
      </c>
      <c r="I209" s="887">
        <f t="shared" si="70"/>
        <v>190</v>
      </c>
      <c r="J209" s="1099">
        <f t="shared" si="63"/>
        <v>190</v>
      </c>
      <c r="K209" s="891" t="str">
        <f t="shared" si="64"/>
        <v>March</v>
      </c>
      <c r="L209" s="888">
        <f t="shared" si="71"/>
        <v>2046</v>
      </c>
      <c r="M209" s="883">
        <f t="shared" si="65"/>
        <v>0</v>
      </c>
      <c r="N209" s="883">
        <f t="shared" si="66"/>
        <v>0</v>
      </c>
      <c r="O209" s="1100"/>
      <c r="P209" s="883">
        <f t="shared" si="58"/>
        <v>0</v>
      </c>
      <c r="Q209" s="884">
        <f t="shared" si="67"/>
        <v>0</v>
      </c>
      <c r="R209" s="884">
        <f>IF(AND($AR$39="Early Payoff",I209&gt;=$R$13),0,IF($I209&lt;=$R$6,SUM($P$20:$P209),0))</f>
        <v>0</v>
      </c>
      <c r="S209" s="884">
        <f>IF(AND($AR$39="Early Payoff",I209&gt;=$R$13),0,IF($I209&lt;=$R$6,SUM($Q$20:$Q209),0))</f>
        <v>0</v>
      </c>
      <c r="T209" s="873">
        <f t="shared" si="68"/>
        <v>0</v>
      </c>
      <c r="U209" s="1110">
        <f t="shared" si="74"/>
        <v>0</v>
      </c>
      <c r="W209" s="1102">
        <f t="shared" si="59"/>
        <v>0</v>
      </c>
      <c r="X209" s="873">
        <f t="shared" si="60"/>
        <v>0</v>
      </c>
      <c r="Y209" s="873">
        <f t="shared" si="61"/>
        <v>0</v>
      </c>
      <c r="Z209" s="885">
        <f t="shared" si="62"/>
        <v>0</v>
      </c>
    </row>
    <row r="210" spans="2:26" s="278" customFormat="1" ht="12" customHeight="1" x14ac:dyDescent="0.25">
      <c r="B210" s="1192">
        <f t="shared" si="69"/>
        <v>210</v>
      </c>
      <c r="C210" s="732">
        <f t="shared" si="54"/>
        <v>30</v>
      </c>
      <c r="D210" s="35">
        <f t="shared" si="55"/>
        <v>4</v>
      </c>
      <c r="E210" s="889">
        <f t="shared" si="72"/>
        <v>53447</v>
      </c>
      <c r="F210" s="822">
        <f t="shared" si="56"/>
        <v>4</v>
      </c>
      <c r="G210" s="126">
        <f t="shared" si="57"/>
        <v>0</v>
      </c>
      <c r="H210" s="1098">
        <f t="shared" si="73"/>
        <v>0</v>
      </c>
      <c r="I210" s="887">
        <f t="shared" si="70"/>
        <v>191</v>
      </c>
      <c r="J210" s="1099">
        <f t="shared" si="63"/>
        <v>191</v>
      </c>
      <c r="K210" s="891" t="str">
        <f t="shared" si="64"/>
        <v>April</v>
      </c>
      <c r="L210" s="888">
        <f t="shared" si="71"/>
        <v>2046</v>
      </c>
      <c r="M210" s="883">
        <f t="shared" si="65"/>
        <v>0</v>
      </c>
      <c r="N210" s="883">
        <f t="shared" si="66"/>
        <v>0</v>
      </c>
      <c r="O210" s="1100"/>
      <c r="P210" s="883">
        <f t="shared" si="58"/>
        <v>0</v>
      </c>
      <c r="Q210" s="884">
        <f t="shared" si="67"/>
        <v>0</v>
      </c>
      <c r="R210" s="884">
        <f>IF(AND($AR$39="Early Payoff",I210&gt;=$R$13),0,IF($I210&lt;=$R$6,SUM($P$20:$P210),0))</f>
        <v>0</v>
      </c>
      <c r="S210" s="884">
        <f>IF(AND($AR$39="Early Payoff",I210&gt;=$R$13),0,IF($I210&lt;=$R$6,SUM($Q$20:$Q210),0))</f>
        <v>0</v>
      </c>
      <c r="T210" s="873">
        <f t="shared" si="68"/>
        <v>0</v>
      </c>
      <c r="U210" s="1110">
        <f t="shared" si="74"/>
        <v>0</v>
      </c>
      <c r="W210" s="1102">
        <f t="shared" si="59"/>
        <v>0</v>
      </c>
      <c r="X210" s="873">
        <f t="shared" si="60"/>
        <v>0</v>
      </c>
      <c r="Y210" s="873">
        <f t="shared" si="61"/>
        <v>0</v>
      </c>
      <c r="Z210" s="885">
        <f t="shared" si="62"/>
        <v>0</v>
      </c>
    </row>
    <row r="211" spans="2:26" s="278" customFormat="1" ht="12" customHeight="1" x14ac:dyDescent="0.25">
      <c r="B211" s="1192">
        <f t="shared" si="69"/>
        <v>211</v>
      </c>
      <c r="C211" s="732">
        <f t="shared" si="54"/>
        <v>31</v>
      </c>
      <c r="D211" s="35">
        <f t="shared" si="55"/>
        <v>5</v>
      </c>
      <c r="E211" s="889">
        <f t="shared" si="72"/>
        <v>53478</v>
      </c>
      <c r="F211" s="822">
        <f t="shared" si="56"/>
        <v>5</v>
      </c>
      <c r="G211" s="126">
        <f t="shared" si="57"/>
        <v>0</v>
      </c>
      <c r="H211" s="1098">
        <f t="shared" si="73"/>
        <v>0</v>
      </c>
      <c r="I211" s="887">
        <f t="shared" si="70"/>
        <v>192</v>
      </c>
      <c r="J211" s="1099">
        <f t="shared" si="63"/>
        <v>192</v>
      </c>
      <c r="K211" s="891" t="str">
        <f t="shared" si="64"/>
        <v>May</v>
      </c>
      <c r="L211" s="888">
        <f t="shared" si="71"/>
        <v>2046</v>
      </c>
      <c r="M211" s="883">
        <f t="shared" si="65"/>
        <v>0</v>
      </c>
      <c r="N211" s="883">
        <f t="shared" si="66"/>
        <v>0</v>
      </c>
      <c r="O211" s="1100"/>
      <c r="P211" s="883">
        <f t="shared" si="58"/>
        <v>0</v>
      </c>
      <c r="Q211" s="884">
        <f t="shared" si="67"/>
        <v>0</v>
      </c>
      <c r="R211" s="884">
        <f>IF(AND($AR$39="Early Payoff",I211&gt;=$R$13),0,IF($I211&lt;=$R$6,SUM($P$20:$P211),0))</f>
        <v>0</v>
      </c>
      <c r="S211" s="884">
        <f>IF(AND($AR$39="Early Payoff",I211&gt;=$R$13),0,IF($I211&lt;=$R$6,SUM($Q$20:$Q211),0))</f>
        <v>0</v>
      </c>
      <c r="T211" s="873">
        <f t="shared" si="68"/>
        <v>0</v>
      </c>
      <c r="U211" s="1110">
        <f t="shared" si="74"/>
        <v>0</v>
      </c>
      <c r="W211" s="1102">
        <f t="shared" si="59"/>
        <v>0</v>
      </c>
      <c r="X211" s="873">
        <f t="shared" si="60"/>
        <v>0</v>
      </c>
      <c r="Y211" s="873">
        <f t="shared" si="61"/>
        <v>0</v>
      </c>
      <c r="Z211" s="885">
        <f t="shared" si="62"/>
        <v>0</v>
      </c>
    </row>
    <row r="212" spans="2:26" s="278" customFormat="1" ht="12" customHeight="1" x14ac:dyDescent="0.25">
      <c r="B212" s="1192">
        <f t="shared" si="69"/>
        <v>212</v>
      </c>
      <c r="C212" s="732">
        <f t="shared" ref="C212:C275" si="75">DAY(EOMONTH(DATE($L212,$D212,1),0))</f>
        <v>30</v>
      </c>
      <c r="D212" s="35">
        <f t="shared" ref="D212:D275" si="76">INDEX($AS$22:$AT$34,MATCH($K212,$AS$22:$AS$34,0),MATCH("Number",$AS$22:$AT$22,0))</f>
        <v>6</v>
      </c>
      <c r="E212" s="889">
        <f t="shared" si="72"/>
        <v>53508</v>
      </c>
      <c r="F212" s="822">
        <f t="shared" ref="F212:F275" si="77">INDEX($AS$22:$AT$34,MATCH($K212,$AS$22:$AS$34,0),MATCH("Number",$AS$22:$AT$22,0))</f>
        <v>6</v>
      </c>
      <c r="G212" s="126">
        <f t="shared" ref="G212:G275" si="78">IF($S$4="Monthly",INDEX($AS$36:$AT$48,MATCH($K212,$AS$36:$AS$48,0),MATCH("Number",$AS$36:$AT$36,0)),0)</f>
        <v>0</v>
      </c>
      <c r="H212" s="1098">
        <f t="shared" si="73"/>
        <v>0</v>
      </c>
      <c r="I212" s="887">
        <f t="shared" si="70"/>
        <v>193</v>
      </c>
      <c r="J212" s="1099">
        <f t="shared" si="63"/>
        <v>193</v>
      </c>
      <c r="K212" s="891" t="str">
        <f t="shared" si="64"/>
        <v>June</v>
      </c>
      <c r="L212" s="888">
        <f t="shared" si="71"/>
        <v>2046</v>
      </c>
      <c r="M212" s="883">
        <f t="shared" si="65"/>
        <v>0</v>
      </c>
      <c r="N212" s="883">
        <f t="shared" si="66"/>
        <v>0</v>
      </c>
      <c r="O212" s="1100"/>
      <c r="P212" s="883">
        <f t="shared" ref="P212:P275" si="79">IF(AND($AR$39="Early Payoff",I212&gt;=$R$13),0,IF($I212&gt;$R$6,0,IF(AND($AQ$29&gt;0,$I212&lt;=$AQ$29),0,+$N212-$Q212)))</f>
        <v>0</v>
      </c>
      <c r="Q212" s="884">
        <f t="shared" si="67"/>
        <v>0</v>
      </c>
      <c r="R212" s="884">
        <f>IF(AND($AR$39="Early Payoff",I212&gt;=$R$13),0,IF($I212&lt;=$R$6,SUM($P$20:$P212),0))</f>
        <v>0</v>
      </c>
      <c r="S212" s="884">
        <f>IF(AND($AR$39="Early Payoff",I212&gt;=$R$13),0,IF($I212&lt;=$R$6,SUM($Q$20:$Q212),0))</f>
        <v>0</v>
      </c>
      <c r="T212" s="873">
        <f t="shared" si="68"/>
        <v>0</v>
      </c>
      <c r="U212" s="1110">
        <f t="shared" si="74"/>
        <v>0</v>
      </c>
      <c r="W212" s="1102">
        <f t="shared" ref="W212:W275" si="80">IF($I212&gt;$R$6,0,IF($I212&lt;=$AQ$27,0,IF(AND($X$5="%/Payment",$Z$5=0),$N212*$Y$5,IF(AND($X$5="%/Payment",$Z$5&gt;0,($N212*$Y$5)&lt;$Z$5),$N212*$Y$5,IF(AND($X$5="%/Payment",$Z$5&gt;0,($N212*$Y$5)&gt;$Z$5),-$Z$5,IF(AND($X$5="%/Balance",$Z$5=0),-$T212*$Y$5,IF(AND($X$5="%/Balance",$Z$5&gt;0,($T212*$Y$5)&lt;$Z$5),-$T212*$Y$5,IF(AND($X$5="%/Balance",$Z$5&gt;0,($T212*$Y$5)&gt;$Z$5),-$Z$5,IF($X$5="Fixed Amount",-$Y$5,IF($X$5="N/A",0))))))))))</f>
        <v>0</v>
      </c>
      <c r="X212" s="873">
        <f t="shared" ref="X212:X275" si="81">IF($I212&gt;$R$6,0,IF($I212&lt;=$AQ$27,0,IF(AND($X$6="%/Payment",$Z$6=0),$N212*$Y$6,IF(AND($X$6="%/Payment",$Z$6&gt;0,($N212*$Y$6)&lt;$Z$6),$N212*$Y$6,IF(AND($X$6="%/Payment",$Z$6&gt;0,($N212*$Y$6)&gt;$Z$6),-$Z$6,IF(AND($X$6="%/Balance",$Z$6=0),-$T212*$Y$6,IF(AND($X$6="%/Balance",$Z$6&gt;0,($T212*$Y$6)&lt;$Z$6),-$T212*$Y$6,IF(AND($X$6="%/Balance",$Z$6&gt;0,($T212*$Y$6)&gt;$Z$6),-$Z$6,IF($X$6="Fixed Amount",-$Y$6,IF($X$6="N/A",0))))))))))</f>
        <v>0</v>
      </c>
      <c r="Y212" s="873">
        <f t="shared" ref="Y212:Y275" si="82">IF($I212&gt;$R$6,0,IF($I212&lt;=$AQ$27,0,IF(AND($X$7="%/Payment",$Z$7=0),$N212*$Y$7,IF(AND($X$7="%/Payment",$Z$7&gt;0,($N212*$Y$7)&lt;$Z$7),$N212*$Y$7,IF(AND($X$7="%/Payment",$Z$7&gt;0,($N212*$Y$7)&gt;$Z$7),-$Z$7,IF(AND($X$7="%/Balance",$Z$7=0),-$T212*$Y$7,IF(AND($X$7="%/Balance",$Z$7&gt;0,($T212*$Y$7)&lt;$Z$7),-$T212*$Y$7,IF(AND($X$7="%/Balance",$Z$7&gt;0,($N212*$Y$7)&gt;$Z$7),-$Z$7,IF($X$7="Fixed Amount",-$Y$7,IF($X$7="N/A",0))))))))))</f>
        <v>0</v>
      </c>
      <c r="Z212" s="885">
        <f t="shared" ref="Z212:Z275" si="83">SUM($N212,$W212:$Y212)</f>
        <v>0</v>
      </c>
    </row>
    <row r="213" spans="2:26" s="278" customFormat="1" ht="12" customHeight="1" x14ac:dyDescent="0.25">
      <c r="B213" s="1192">
        <f t="shared" si="69"/>
        <v>213</v>
      </c>
      <c r="C213" s="732">
        <f t="shared" si="75"/>
        <v>31</v>
      </c>
      <c r="D213" s="35">
        <f t="shared" si="76"/>
        <v>7</v>
      </c>
      <c r="E213" s="889">
        <f t="shared" si="72"/>
        <v>53539</v>
      </c>
      <c r="F213" s="822">
        <f t="shared" si="77"/>
        <v>7</v>
      </c>
      <c r="G213" s="126">
        <f t="shared" si="78"/>
        <v>0</v>
      </c>
      <c r="H213" s="1098">
        <f t="shared" si="73"/>
        <v>0</v>
      </c>
      <c r="I213" s="887">
        <f t="shared" si="70"/>
        <v>194</v>
      </c>
      <c r="J213" s="1099">
        <f t="shared" ref="J213:J276" si="84">IF($I213&lt;=$AQ$29,0,IF($I212&gt;=$AQ$29,$J212+1))</f>
        <v>194</v>
      </c>
      <c r="K213" s="891" t="str">
        <f t="shared" ref="K213:K276" si="85">IF($S$4="Annual",$Q$5,IF(AND($S$4="Bi-Annual",$F212&lt;MAX($Q$4,$R$4)),INDEX($AT$22:$AU$34,MATCH(MAX($Q$4,$R$4),$AT$22:$AT$34,0),MATCH("Month",$AT$22:$AU$22,0)),IF(AND($S$4="Bi-Annual",$F212=MAX($Q$4,$R$4)),INDEX($AT$22:$AU$34,MATCH(MIN($Q$4,$R$4),$AT$22:$AT$34,0),MATCH("Month",$AT$22:$AU$22,0)),IF(AND($S$4="Monthly",$F212&lt;12),INDEX($AT$22:$AU$34,MATCH($F212+1,$AT$22:$AT$34,0),MATCH("Month",$AT$22:$AU$22,0)),IF(AND($S$4="Monthly",$F212=12),INDEX($AT$22:$AU$34,MATCH($F212-11,$AT$22:$AT$34,0),MATCH("Month",$AT$22:$AU$22,0)))))))</f>
        <v>July</v>
      </c>
      <c r="L213" s="888">
        <f t="shared" si="71"/>
        <v>2046</v>
      </c>
      <c r="M213" s="883">
        <f t="shared" ref="M213:M276" si="86">IF(AND($AR$39="Early Payoff",$I213&gt;$R$13),0,IF(AND($AR$39="Early Payoff",$I213&lt;$R$13),$T212,IF($I213&gt;$R$6,0,$T212)))</f>
        <v>0</v>
      </c>
      <c r="N213" s="883">
        <f t="shared" ref="N213:N276" si="87">IF(AND($AR$39="Early Payoff",I213&gt;=$R$13),0,IF($I213&gt;$R$6,0,IF(AND($AQ$29&gt;=0,$I213&lt;=$AQ$29),0,IF(AND($AQ$27&gt;=0,$I213&lt;=$AQ$27),$Q213,IF(AND($S$4="Annual",$AQ$27&gt;=0,$AQ$29&gt;=0,$I213&gt;$AQ$27,$I213&gt;$AQ$29),PMT($L$7,($R$6-$AQ$27),$L$4),IF(AND($S$4="Bi-Annual",$AQ$27&gt;=0,$AQ$29&gt;=0,$I213&gt;$AQ$27,$I213&gt;$AQ$29),PMT($L$7/2,($R$6-$AQ$27),$L$4),IF(AND($S$4="Monthly",$AQ$27&gt;=0,$AQ$29&gt;=0,$I213&gt;$AQ$27,$I213&gt;$AQ$29),PMT($L$7/12,($R$6-$AQ$27),$L$4))))))))-O213</f>
        <v>0</v>
      </c>
      <c r="O213" s="1100"/>
      <c r="P213" s="883">
        <f t="shared" si="79"/>
        <v>0</v>
      </c>
      <c r="Q213" s="884">
        <f t="shared" ref="Q213:Q276" si="88">IF(AND($AR$39="Early Payoff",I213&gt;=$R$13),0,IF($S$4="Annual",-$L$7*$T212*1,IF($S$4="Bi-Annual",(-$L$7/2)*$T212*1,IF($S$4="Monthly",(-$L$7/12)*$T212*1))))</f>
        <v>0</v>
      </c>
      <c r="R213" s="884">
        <f>IF(AND($AR$39="Early Payoff",I213&gt;=$R$13),0,IF($I213&lt;=$R$6,SUM($P$20:$P213),0))</f>
        <v>0</v>
      </c>
      <c r="S213" s="884">
        <f>IF(AND($AR$39="Early Payoff",I213&gt;=$R$13),0,IF($I213&lt;=$R$6,SUM($Q$20:$Q213),0))</f>
        <v>0</v>
      </c>
      <c r="T213" s="873">
        <f t="shared" ref="T213:T276" si="89">IF($J213&lt;=$R$13,SUM($M213,$P213),0)</f>
        <v>0</v>
      </c>
      <c r="U213" s="1110">
        <f t="shared" si="74"/>
        <v>0</v>
      </c>
      <c r="W213" s="1102">
        <f t="shared" si="80"/>
        <v>0</v>
      </c>
      <c r="X213" s="873">
        <f t="shared" si="81"/>
        <v>0</v>
      </c>
      <c r="Y213" s="873">
        <f t="shared" si="82"/>
        <v>0</v>
      </c>
      <c r="Z213" s="885">
        <f t="shared" si="83"/>
        <v>0</v>
      </c>
    </row>
    <row r="214" spans="2:26" s="278" customFormat="1" ht="12" customHeight="1" x14ac:dyDescent="0.25">
      <c r="B214" s="1192">
        <f t="shared" ref="B214:B277" si="90">B213+1</f>
        <v>214</v>
      </c>
      <c r="C214" s="732">
        <f t="shared" si="75"/>
        <v>31</v>
      </c>
      <c r="D214" s="35">
        <f t="shared" si="76"/>
        <v>8</v>
      </c>
      <c r="E214" s="889">
        <f t="shared" si="72"/>
        <v>53570</v>
      </c>
      <c r="F214" s="822">
        <f t="shared" si="77"/>
        <v>8</v>
      </c>
      <c r="G214" s="126">
        <f t="shared" si="78"/>
        <v>0</v>
      </c>
      <c r="H214" s="1098">
        <f t="shared" si="73"/>
        <v>0</v>
      </c>
      <c r="I214" s="887">
        <f t="shared" ref="I214:I277" si="91">I213+1</f>
        <v>195</v>
      </c>
      <c r="J214" s="1099">
        <f t="shared" si="84"/>
        <v>195</v>
      </c>
      <c r="K214" s="891" t="str">
        <f t="shared" si="85"/>
        <v>August</v>
      </c>
      <c r="L214" s="888">
        <f t="shared" ref="L214:L277" si="92">IF($S$4="Annual",$L213+$H214,IF($S$4="Bi-Annual",$L213+$H213,IF($S$4="Monthly",$L213+$G213)))</f>
        <v>2046</v>
      </c>
      <c r="M214" s="883">
        <f t="shared" si="86"/>
        <v>0</v>
      </c>
      <c r="N214" s="883">
        <f t="shared" si="87"/>
        <v>0</v>
      </c>
      <c r="O214" s="1100"/>
      <c r="P214" s="883">
        <f t="shared" si="79"/>
        <v>0</v>
      </c>
      <c r="Q214" s="884">
        <f t="shared" si="88"/>
        <v>0</v>
      </c>
      <c r="R214" s="884">
        <f>IF(AND($AR$39="Early Payoff",I214&gt;=$R$13),0,IF($I214&lt;=$R$6,SUM($P$20:$P214),0))</f>
        <v>0</v>
      </c>
      <c r="S214" s="884">
        <f>IF(AND($AR$39="Early Payoff",I214&gt;=$R$13),0,IF($I214&lt;=$R$6,SUM($Q$20:$Q214),0))</f>
        <v>0</v>
      </c>
      <c r="T214" s="873">
        <f t="shared" si="89"/>
        <v>0</v>
      </c>
      <c r="U214" s="1110">
        <f t="shared" si="74"/>
        <v>0</v>
      </c>
      <c r="W214" s="1102">
        <f t="shared" si="80"/>
        <v>0</v>
      </c>
      <c r="X214" s="873">
        <f t="shared" si="81"/>
        <v>0</v>
      </c>
      <c r="Y214" s="873">
        <f t="shared" si="82"/>
        <v>0</v>
      </c>
      <c r="Z214" s="885">
        <f t="shared" si="83"/>
        <v>0</v>
      </c>
    </row>
    <row r="215" spans="2:26" s="278" customFormat="1" ht="12" customHeight="1" x14ac:dyDescent="0.25">
      <c r="B215" s="1192">
        <f t="shared" si="90"/>
        <v>215</v>
      </c>
      <c r="C215" s="732">
        <f t="shared" si="75"/>
        <v>30</v>
      </c>
      <c r="D215" s="35">
        <f t="shared" si="76"/>
        <v>9</v>
      </c>
      <c r="E215" s="889">
        <f t="shared" ref="E215:E278" si="93">DATE(L215,D215,C215)</f>
        <v>53600</v>
      </c>
      <c r="F215" s="822">
        <f t="shared" si="77"/>
        <v>9</v>
      </c>
      <c r="G215" s="126">
        <f t="shared" si="78"/>
        <v>0</v>
      </c>
      <c r="H215" s="1098">
        <f t="shared" ref="H215:H278" si="94">IF($S$4="Annual",1,IF(AND($S$4="Bi-Annual",$F215&gt;$F216),1,IF(AND($S$4="Bi-Annual",$F215&lt;$F216),0,IF($S$4="Monthly",0,))))</f>
        <v>0</v>
      </c>
      <c r="I215" s="887">
        <f t="shared" si="91"/>
        <v>196</v>
      </c>
      <c r="J215" s="1099">
        <f t="shared" si="84"/>
        <v>196</v>
      </c>
      <c r="K215" s="891" t="str">
        <f t="shared" si="85"/>
        <v>September</v>
      </c>
      <c r="L215" s="888">
        <f t="shared" si="92"/>
        <v>2046</v>
      </c>
      <c r="M215" s="883">
        <f t="shared" si="86"/>
        <v>0</v>
      </c>
      <c r="N215" s="883">
        <f t="shared" si="87"/>
        <v>0</v>
      </c>
      <c r="O215" s="1100"/>
      <c r="P215" s="883">
        <f t="shared" si="79"/>
        <v>0</v>
      </c>
      <c r="Q215" s="884">
        <f t="shared" si="88"/>
        <v>0</v>
      </c>
      <c r="R215" s="884">
        <f>IF(AND($AR$39="Early Payoff",I215&gt;=$R$13),0,IF($I215&lt;=$R$6,SUM($P$20:$P215),0))</f>
        <v>0</v>
      </c>
      <c r="S215" s="884">
        <f>IF(AND($AR$39="Early Payoff",I215&gt;=$R$13),0,IF($I215&lt;=$R$6,SUM($Q$20:$Q215),0))</f>
        <v>0</v>
      </c>
      <c r="T215" s="873">
        <f t="shared" si="89"/>
        <v>0</v>
      </c>
      <c r="U215" s="1110">
        <f t="shared" si="74"/>
        <v>0</v>
      </c>
      <c r="W215" s="1102">
        <f t="shared" si="80"/>
        <v>0</v>
      </c>
      <c r="X215" s="873">
        <f t="shared" si="81"/>
        <v>0</v>
      </c>
      <c r="Y215" s="873">
        <f t="shared" si="82"/>
        <v>0</v>
      </c>
      <c r="Z215" s="885">
        <f t="shared" si="83"/>
        <v>0</v>
      </c>
    </row>
    <row r="216" spans="2:26" s="278" customFormat="1" ht="12" customHeight="1" x14ac:dyDescent="0.25">
      <c r="B216" s="1192">
        <f t="shared" si="90"/>
        <v>216</v>
      </c>
      <c r="C216" s="732">
        <f t="shared" si="75"/>
        <v>31</v>
      </c>
      <c r="D216" s="35">
        <f t="shared" si="76"/>
        <v>10</v>
      </c>
      <c r="E216" s="889">
        <f t="shared" si="93"/>
        <v>53631</v>
      </c>
      <c r="F216" s="822">
        <f t="shared" si="77"/>
        <v>10</v>
      </c>
      <c r="G216" s="126">
        <f t="shared" si="78"/>
        <v>0</v>
      </c>
      <c r="H216" s="1098">
        <f t="shared" si="94"/>
        <v>0</v>
      </c>
      <c r="I216" s="887">
        <f t="shared" si="91"/>
        <v>197</v>
      </c>
      <c r="J216" s="1099">
        <f t="shared" si="84"/>
        <v>197</v>
      </c>
      <c r="K216" s="891" t="str">
        <f t="shared" si="85"/>
        <v>October</v>
      </c>
      <c r="L216" s="888">
        <f t="shared" si="92"/>
        <v>2046</v>
      </c>
      <c r="M216" s="883">
        <f t="shared" si="86"/>
        <v>0</v>
      </c>
      <c r="N216" s="883">
        <f t="shared" si="87"/>
        <v>0</v>
      </c>
      <c r="O216" s="1100"/>
      <c r="P216" s="883">
        <f t="shared" si="79"/>
        <v>0</v>
      </c>
      <c r="Q216" s="884">
        <f t="shared" si="88"/>
        <v>0</v>
      </c>
      <c r="R216" s="884">
        <f>IF(AND($AR$39="Early Payoff",I216&gt;=$R$13),0,IF($I216&lt;=$R$6,SUM($P$20:$P216),0))</f>
        <v>0</v>
      </c>
      <c r="S216" s="884">
        <f>IF(AND($AR$39="Early Payoff",I216&gt;=$R$13),0,IF($I216&lt;=$R$6,SUM($Q$20:$Q216),0))</f>
        <v>0</v>
      </c>
      <c r="T216" s="873">
        <f t="shared" si="89"/>
        <v>0</v>
      </c>
      <c r="U216" s="1110">
        <f t="shared" ref="U216:U279" si="95">IF($S$4="Monthly",$M216,IF(AND(OR($S$4="Annual",$S$4="Bi-Annual"),$I216=$AQ$49),INDEX($I$19:$T$379,MATCH($AQ$49,$I$19:$I$2379,0),MATCH($T$19,$I$19:$T$19,0)),IF(AND(OR($S$4="Annual",$S$4="Bi-Annual"),$I216&lt;=$AQ$49),$M216,0)))</f>
        <v>0</v>
      </c>
      <c r="W216" s="1102">
        <f t="shared" si="80"/>
        <v>0</v>
      </c>
      <c r="X216" s="873">
        <f t="shared" si="81"/>
        <v>0</v>
      </c>
      <c r="Y216" s="873">
        <f t="shared" si="82"/>
        <v>0</v>
      </c>
      <c r="Z216" s="885">
        <f t="shared" si="83"/>
        <v>0</v>
      </c>
    </row>
    <row r="217" spans="2:26" s="278" customFormat="1" ht="12" customHeight="1" x14ac:dyDescent="0.25">
      <c r="B217" s="1192">
        <f t="shared" si="90"/>
        <v>217</v>
      </c>
      <c r="C217" s="732">
        <f t="shared" si="75"/>
        <v>30</v>
      </c>
      <c r="D217" s="35">
        <f t="shared" si="76"/>
        <v>11</v>
      </c>
      <c r="E217" s="889">
        <f t="shared" si="93"/>
        <v>53661</v>
      </c>
      <c r="F217" s="822">
        <f t="shared" si="77"/>
        <v>11</v>
      </c>
      <c r="G217" s="126">
        <f t="shared" si="78"/>
        <v>0</v>
      </c>
      <c r="H217" s="1098">
        <f t="shared" si="94"/>
        <v>0</v>
      </c>
      <c r="I217" s="887">
        <f t="shared" si="91"/>
        <v>198</v>
      </c>
      <c r="J217" s="1099">
        <f t="shared" si="84"/>
        <v>198</v>
      </c>
      <c r="K217" s="891" t="str">
        <f t="shared" si="85"/>
        <v>November</v>
      </c>
      <c r="L217" s="888">
        <f t="shared" si="92"/>
        <v>2046</v>
      </c>
      <c r="M217" s="883">
        <f t="shared" si="86"/>
        <v>0</v>
      </c>
      <c r="N217" s="883">
        <f t="shared" si="87"/>
        <v>0</v>
      </c>
      <c r="O217" s="1100"/>
      <c r="P217" s="883">
        <f t="shared" si="79"/>
        <v>0</v>
      </c>
      <c r="Q217" s="884">
        <f t="shared" si="88"/>
        <v>0</v>
      </c>
      <c r="R217" s="884">
        <f>IF(AND($AR$39="Early Payoff",I217&gt;=$R$13),0,IF($I217&lt;=$R$6,SUM($P$20:$P217),0))</f>
        <v>0</v>
      </c>
      <c r="S217" s="884">
        <f>IF(AND($AR$39="Early Payoff",I217&gt;=$R$13),0,IF($I217&lt;=$R$6,SUM($Q$20:$Q217),0))</f>
        <v>0</v>
      </c>
      <c r="T217" s="873">
        <f t="shared" si="89"/>
        <v>0</v>
      </c>
      <c r="U217" s="1110">
        <f t="shared" si="95"/>
        <v>0</v>
      </c>
      <c r="W217" s="1102">
        <f t="shared" si="80"/>
        <v>0</v>
      </c>
      <c r="X217" s="873">
        <f t="shared" si="81"/>
        <v>0</v>
      </c>
      <c r="Y217" s="873">
        <f t="shared" si="82"/>
        <v>0</v>
      </c>
      <c r="Z217" s="885">
        <f t="shared" si="83"/>
        <v>0</v>
      </c>
    </row>
    <row r="218" spans="2:26" s="278" customFormat="1" ht="12" customHeight="1" x14ac:dyDescent="0.25">
      <c r="B218" s="1192">
        <f t="shared" si="90"/>
        <v>218</v>
      </c>
      <c r="C218" s="732">
        <f t="shared" si="75"/>
        <v>31</v>
      </c>
      <c r="D218" s="35">
        <f t="shared" si="76"/>
        <v>12</v>
      </c>
      <c r="E218" s="889">
        <f t="shared" si="93"/>
        <v>53692</v>
      </c>
      <c r="F218" s="822">
        <f t="shared" si="77"/>
        <v>12</v>
      </c>
      <c r="G218" s="126">
        <f t="shared" si="78"/>
        <v>1</v>
      </c>
      <c r="H218" s="1098">
        <f t="shared" si="94"/>
        <v>0</v>
      </c>
      <c r="I218" s="887">
        <f t="shared" si="91"/>
        <v>199</v>
      </c>
      <c r="J218" s="1099">
        <f t="shared" si="84"/>
        <v>199</v>
      </c>
      <c r="K218" s="891" t="str">
        <f t="shared" si="85"/>
        <v>December</v>
      </c>
      <c r="L218" s="888">
        <f t="shared" si="92"/>
        <v>2046</v>
      </c>
      <c r="M218" s="883">
        <f t="shared" si="86"/>
        <v>0</v>
      </c>
      <c r="N218" s="883">
        <f t="shared" si="87"/>
        <v>0</v>
      </c>
      <c r="O218" s="1100"/>
      <c r="P218" s="883">
        <f t="shared" si="79"/>
        <v>0</v>
      </c>
      <c r="Q218" s="884">
        <f t="shared" si="88"/>
        <v>0</v>
      </c>
      <c r="R218" s="884">
        <f>IF(AND($AR$39="Early Payoff",I218&gt;=$R$13),0,IF($I218&lt;=$R$6,SUM($P$20:$P218),0))</f>
        <v>0</v>
      </c>
      <c r="S218" s="884">
        <f>IF(AND($AR$39="Early Payoff",I218&gt;=$R$13),0,IF($I218&lt;=$R$6,SUM($Q$20:$Q218),0))</f>
        <v>0</v>
      </c>
      <c r="T218" s="873">
        <f t="shared" si="89"/>
        <v>0</v>
      </c>
      <c r="U218" s="1110">
        <f t="shared" si="95"/>
        <v>0</v>
      </c>
      <c r="W218" s="1102">
        <f t="shared" si="80"/>
        <v>0</v>
      </c>
      <c r="X218" s="873">
        <f t="shared" si="81"/>
        <v>0</v>
      </c>
      <c r="Y218" s="873">
        <f t="shared" si="82"/>
        <v>0</v>
      </c>
      <c r="Z218" s="885">
        <f t="shared" si="83"/>
        <v>0</v>
      </c>
    </row>
    <row r="219" spans="2:26" s="278" customFormat="1" ht="12" customHeight="1" x14ac:dyDescent="0.25">
      <c r="B219" s="1192">
        <f t="shared" si="90"/>
        <v>219</v>
      </c>
      <c r="C219" s="732">
        <f t="shared" si="75"/>
        <v>31</v>
      </c>
      <c r="D219" s="35">
        <f t="shared" si="76"/>
        <v>1</v>
      </c>
      <c r="E219" s="889">
        <f t="shared" si="93"/>
        <v>53723</v>
      </c>
      <c r="F219" s="822">
        <f t="shared" si="77"/>
        <v>1</v>
      </c>
      <c r="G219" s="126">
        <f t="shared" si="78"/>
        <v>0</v>
      </c>
      <c r="H219" s="1098">
        <f t="shared" si="94"/>
        <v>0</v>
      </c>
      <c r="I219" s="887">
        <f t="shared" si="91"/>
        <v>200</v>
      </c>
      <c r="J219" s="1099">
        <f t="shared" si="84"/>
        <v>200</v>
      </c>
      <c r="K219" s="891" t="str">
        <f t="shared" si="85"/>
        <v>January</v>
      </c>
      <c r="L219" s="888">
        <f t="shared" si="92"/>
        <v>2047</v>
      </c>
      <c r="M219" s="883">
        <f t="shared" si="86"/>
        <v>0</v>
      </c>
      <c r="N219" s="883">
        <f t="shared" si="87"/>
        <v>0</v>
      </c>
      <c r="O219" s="1100"/>
      <c r="P219" s="883">
        <f t="shared" si="79"/>
        <v>0</v>
      </c>
      <c r="Q219" s="884">
        <f t="shared" si="88"/>
        <v>0</v>
      </c>
      <c r="R219" s="884">
        <f>IF(AND($AR$39="Early Payoff",I219&gt;=$R$13),0,IF($I219&lt;=$R$6,SUM($P$20:$P219),0))</f>
        <v>0</v>
      </c>
      <c r="S219" s="884">
        <f>IF(AND($AR$39="Early Payoff",I219&gt;=$R$13),0,IF($I219&lt;=$R$6,SUM($Q$20:$Q219),0))</f>
        <v>0</v>
      </c>
      <c r="T219" s="873">
        <f t="shared" si="89"/>
        <v>0</v>
      </c>
      <c r="U219" s="1110">
        <f t="shared" si="95"/>
        <v>0</v>
      </c>
      <c r="W219" s="1102">
        <f t="shared" si="80"/>
        <v>0</v>
      </c>
      <c r="X219" s="873">
        <f t="shared" si="81"/>
        <v>0</v>
      </c>
      <c r="Y219" s="873">
        <f t="shared" si="82"/>
        <v>0</v>
      </c>
      <c r="Z219" s="885">
        <f t="shared" si="83"/>
        <v>0</v>
      </c>
    </row>
    <row r="220" spans="2:26" s="278" customFormat="1" ht="12" customHeight="1" x14ac:dyDescent="0.25">
      <c r="B220" s="1192">
        <f t="shared" si="90"/>
        <v>220</v>
      </c>
      <c r="C220" s="732">
        <f t="shared" si="75"/>
        <v>28</v>
      </c>
      <c r="D220" s="35">
        <f t="shared" si="76"/>
        <v>2</v>
      </c>
      <c r="E220" s="889">
        <f t="shared" si="93"/>
        <v>53751</v>
      </c>
      <c r="F220" s="822">
        <f t="shared" si="77"/>
        <v>2</v>
      </c>
      <c r="G220" s="126">
        <f t="shared" si="78"/>
        <v>0</v>
      </c>
      <c r="H220" s="1098">
        <f t="shared" si="94"/>
        <v>0</v>
      </c>
      <c r="I220" s="887">
        <f t="shared" si="91"/>
        <v>201</v>
      </c>
      <c r="J220" s="1099">
        <f t="shared" si="84"/>
        <v>201</v>
      </c>
      <c r="K220" s="891" t="str">
        <f t="shared" si="85"/>
        <v>February</v>
      </c>
      <c r="L220" s="888">
        <f t="shared" si="92"/>
        <v>2047</v>
      </c>
      <c r="M220" s="883">
        <f t="shared" si="86"/>
        <v>0</v>
      </c>
      <c r="N220" s="883">
        <f t="shared" si="87"/>
        <v>0</v>
      </c>
      <c r="O220" s="1100"/>
      <c r="P220" s="883">
        <f t="shared" si="79"/>
        <v>0</v>
      </c>
      <c r="Q220" s="884">
        <f t="shared" si="88"/>
        <v>0</v>
      </c>
      <c r="R220" s="884">
        <f>IF(AND($AR$39="Early Payoff",I220&gt;=$R$13),0,IF($I220&lt;=$R$6,SUM($P$20:$P220),0))</f>
        <v>0</v>
      </c>
      <c r="S220" s="884">
        <f>IF(AND($AR$39="Early Payoff",I220&gt;=$R$13),0,IF($I220&lt;=$R$6,SUM($Q$20:$Q220),0))</f>
        <v>0</v>
      </c>
      <c r="T220" s="873">
        <f t="shared" si="89"/>
        <v>0</v>
      </c>
      <c r="U220" s="1110">
        <f t="shared" si="95"/>
        <v>0</v>
      </c>
      <c r="W220" s="1102">
        <f t="shared" si="80"/>
        <v>0</v>
      </c>
      <c r="X220" s="873">
        <f t="shared" si="81"/>
        <v>0</v>
      </c>
      <c r="Y220" s="873">
        <f t="shared" si="82"/>
        <v>0</v>
      </c>
      <c r="Z220" s="885">
        <f t="shared" si="83"/>
        <v>0</v>
      </c>
    </row>
    <row r="221" spans="2:26" s="278" customFormat="1" ht="12" customHeight="1" x14ac:dyDescent="0.25">
      <c r="B221" s="1192">
        <f t="shared" si="90"/>
        <v>221</v>
      </c>
      <c r="C221" s="732">
        <f t="shared" si="75"/>
        <v>31</v>
      </c>
      <c r="D221" s="35">
        <f t="shared" si="76"/>
        <v>3</v>
      </c>
      <c r="E221" s="889">
        <f t="shared" si="93"/>
        <v>53782</v>
      </c>
      <c r="F221" s="822">
        <f t="shared" si="77"/>
        <v>3</v>
      </c>
      <c r="G221" s="126">
        <f t="shared" si="78"/>
        <v>0</v>
      </c>
      <c r="H221" s="1098">
        <f t="shared" si="94"/>
        <v>0</v>
      </c>
      <c r="I221" s="887">
        <f t="shared" si="91"/>
        <v>202</v>
      </c>
      <c r="J221" s="1099">
        <f t="shared" si="84"/>
        <v>202</v>
      </c>
      <c r="K221" s="891" t="str">
        <f t="shared" si="85"/>
        <v>March</v>
      </c>
      <c r="L221" s="888">
        <f t="shared" si="92"/>
        <v>2047</v>
      </c>
      <c r="M221" s="883">
        <f t="shared" si="86"/>
        <v>0</v>
      </c>
      <c r="N221" s="883">
        <f t="shared" si="87"/>
        <v>0</v>
      </c>
      <c r="O221" s="1100"/>
      <c r="P221" s="883">
        <f t="shared" si="79"/>
        <v>0</v>
      </c>
      <c r="Q221" s="884">
        <f t="shared" si="88"/>
        <v>0</v>
      </c>
      <c r="R221" s="884">
        <f>IF(AND($AR$39="Early Payoff",I221&gt;=$R$13),0,IF($I221&lt;=$R$6,SUM($P$20:$P221),0))</f>
        <v>0</v>
      </c>
      <c r="S221" s="884">
        <f>IF(AND($AR$39="Early Payoff",I221&gt;=$R$13),0,IF($I221&lt;=$R$6,SUM($Q$20:$Q221),0))</f>
        <v>0</v>
      </c>
      <c r="T221" s="873">
        <f t="shared" si="89"/>
        <v>0</v>
      </c>
      <c r="U221" s="1110">
        <f t="shared" si="95"/>
        <v>0</v>
      </c>
      <c r="W221" s="1102">
        <f t="shared" si="80"/>
        <v>0</v>
      </c>
      <c r="X221" s="873">
        <f t="shared" si="81"/>
        <v>0</v>
      </c>
      <c r="Y221" s="873">
        <f t="shared" si="82"/>
        <v>0</v>
      </c>
      <c r="Z221" s="885">
        <f t="shared" si="83"/>
        <v>0</v>
      </c>
    </row>
    <row r="222" spans="2:26" s="278" customFormat="1" ht="12" customHeight="1" x14ac:dyDescent="0.25">
      <c r="B222" s="1192">
        <f t="shared" si="90"/>
        <v>222</v>
      </c>
      <c r="C222" s="732">
        <f t="shared" si="75"/>
        <v>30</v>
      </c>
      <c r="D222" s="35">
        <f t="shared" si="76"/>
        <v>4</v>
      </c>
      <c r="E222" s="889">
        <f t="shared" si="93"/>
        <v>53812</v>
      </c>
      <c r="F222" s="822">
        <f t="shared" si="77"/>
        <v>4</v>
      </c>
      <c r="G222" s="126">
        <f t="shared" si="78"/>
        <v>0</v>
      </c>
      <c r="H222" s="1098">
        <f t="shared" si="94"/>
        <v>0</v>
      </c>
      <c r="I222" s="887">
        <f t="shared" si="91"/>
        <v>203</v>
      </c>
      <c r="J222" s="1099">
        <f t="shared" si="84"/>
        <v>203</v>
      </c>
      <c r="K222" s="891" t="str">
        <f t="shared" si="85"/>
        <v>April</v>
      </c>
      <c r="L222" s="888">
        <f t="shared" si="92"/>
        <v>2047</v>
      </c>
      <c r="M222" s="883">
        <f t="shared" si="86"/>
        <v>0</v>
      </c>
      <c r="N222" s="883">
        <f t="shared" si="87"/>
        <v>0</v>
      </c>
      <c r="O222" s="1100"/>
      <c r="P222" s="883">
        <f t="shared" si="79"/>
        <v>0</v>
      </c>
      <c r="Q222" s="884">
        <f t="shared" si="88"/>
        <v>0</v>
      </c>
      <c r="R222" s="884">
        <f>IF(AND($AR$39="Early Payoff",I222&gt;=$R$13),0,IF($I222&lt;=$R$6,SUM($P$20:$P222),0))</f>
        <v>0</v>
      </c>
      <c r="S222" s="884">
        <f>IF(AND($AR$39="Early Payoff",I222&gt;=$R$13),0,IF($I222&lt;=$R$6,SUM($Q$20:$Q222),0))</f>
        <v>0</v>
      </c>
      <c r="T222" s="873">
        <f t="shared" si="89"/>
        <v>0</v>
      </c>
      <c r="U222" s="1110">
        <f t="shared" si="95"/>
        <v>0</v>
      </c>
      <c r="W222" s="1102">
        <f t="shared" si="80"/>
        <v>0</v>
      </c>
      <c r="X222" s="873">
        <f t="shared" si="81"/>
        <v>0</v>
      </c>
      <c r="Y222" s="873">
        <f t="shared" si="82"/>
        <v>0</v>
      </c>
      <c r="Z222" s="885">
        <f t="shared" si="83"/>
        <v>0</v>
      </c>
    </row>
    <row r="223" spans="2:26" s="278" customFormat="1" ht="12" customHeight="1" x14ac:dyDescent="0.25">
      <c r="B223" s="1192">
        <f t="shared" si="90"/>
        <v>223</v>
      </c>
      <c r="C223" s="732">
        <f t="shared" si="75"/>
        <v>31</v>
      </c>
      <c r="D223" s="35">
        <f t="shared" si="76"/>
        <v>5</v>
      </c>
      <c r="E223" s="889">
        <f t="shared" si="93"/>
        <v>53843</v>
      </c>
      <c r="F223" s="822">
        <f t="shared" si="77"/>
        <v>5</v>
      </c>
      <c r="G223" s="126">
        <f t="shared" si="78"/>
        <v>0</v>
      </c>
      <c r="H223" s="1098">
        <f t="shared" si="94"/>
        <v>0</v>
      </c>
      <c r="I223" s="887">
        <f t="shared" si="91"/>
        <v>204</v>
      </c>
      <c r="J223" s="1099">
        <f t="shared" si="84"/>
        <v>204</v>
      </c>
      <c r="K223" s="891" t="str">
        <f t="shared" si="85"/>
        <v>May</v>
      </c>
      <c r="L223" s="888">
        <f t="shared" si="92"/>
        <v>2047</v>
      </c>
      <c r="M223" s="883">
        <f t="shared" si="86"/>
        <v>0</v>
      </c>
      <c r="N223" s="883">
        <f t="shared" si="87"/>
        <v>0</v>
      </c>
      <c r="O223" s="1100"/>
      <c r="P223" s="883">
        <f t="shared" si="79"/>
        <v>0</v>
      </c>
      <c r="Q223" s="884">
        <f t="shared" si="88"/>
        <v>0</v>
      </c>
      <c r="R223" s="884">
        <f>IF(AND($AR$39="Early Payoff",I223&gt;=$R$13),0,IF($I223&lt;=$R$6,SUM($P$20:$P223),0))</f>
        <v>0</v>
      </c>
      <c r="S223" s="884">
        <f>IF(AND($AR$39="Early Payoff",I223&gt;=$R$13),0,IF($I223&lt;=$R$6,SUM($Q$20:$Q223),0))</f>
        <v>0</v>
      </c>
      <c r="T223" s="873">
        <f t="shared" si="89"/>
        <v>0</v>
      </c>
      <c r="U223" s="1110">
        <f t="shared" si="95"/>
        <v>0</v>
      </c>
      <c r="W223" s="1102">
        <f t="shared" si="80"/>
        <v>0</v>
      </c>
      <c r="X223" s="873">
        <f t="shared" si="81"/>
        <v>0</v>
      </c>
      <c r="Y223" s="873">
        <f t="shared" si="82"/>
        <v>0</v>
      </c>
      <c r="Z223" s="885">
        <f t="shared" si="83"/>
        <v>0</v>
      </c>
    </row>
    <row r="224" spans="2:26" s="278" customFormat="1" ht="12" customHeight="1" x14ac:dyDescent="0.25">
      <c r="B224" s="1192">
        <f t="shared" si="90"/>
        <v>224</v>
      </c>
      <c r="C224" s="732">
        <f t="shared" si="75"/>
        <v>30</v>
      </c>
      <c r="D224" s="35">
        <f t="shared" si="76"/>
        <v>6</v>
      </c>
      <c r="E224" s="889">
        <f t="shared" si="93"/>
        <v>53873</v>
      </c>
      <c r="F224" s="822">
        <f t="shared" si="77"/>
        <v>6</v>
      </c>
      <c r="G224" s="126">
        <f t="shared" si="78"/>
        <v>0</v>
      </c>
      <c r="H224" s="1098">
        <f t="shared" si="94"/>
        <v>0</v>
      </c>
      <c r="I224" s="887">
        <f t="shared" si="91"/>
        <v>205</v>
      </c>
      <c r="J224" s="1099">
        <f t="shared" si="84"/>
        <v>205</v>
      </c>
      <c r="K224" s="891" t="str">
        <f t="shared" si="85"/>
        <v>June</v>
      </c>
      <c r="L224" s="888">
        <f t="shared" si="92"/>
        <v>2047</v>
      </c>
      <c r="M224" s="883">
        <f t="shared" si="86"/>
        <v>0</v>
      </c>
      <c r="N224" s="883">
        <f t="shared" si="87"/>
        <v>0</v>
      </c>
      <c r="O224" s="1100"/>
      <c r="P224" s="883">
        <f t="shared" si="79"/>
        <v>0</v>
      </c>
      <c r="Q224" s="884">
        <f t="shared" si="88"/>
        <v>0</v>
      </c>
      <c r="R224" s="884">
        <f>IF(AND($AR$39="Early Payoff",I224&gt;=$R$13),0,IF($I224&lt;=$R$6,SUM($P$20:$P224),0))</f>
        <v>0</v>
      </c>
      <c r="S224" s="884">
        <f>IF(AND($AR$39="Early Payoff",I224&gt;=$R$13),0,IF($I224&lt;=$R$6,SUM($Q$20:$Q224),0))</f>
        <v>0</v>
      </c>
      <c r="T224" s="873">
        <f t="shared" si="89"/>
        <v>0</v>
      </c>
      <c r="U224" s="1110">
        <f t="shared" si="95"/>
        <v>0</v>
      </c>
      <c r="W224" s="1102">
        <f t="shared" si="80"/>
        <v>0</v>
      </c>
      <c r="X224" s="873">
        <f t="shared" si="81"/>
        <v>0</v>
      </c>
      <c r="Y224" s="873">
        <f t="shared" si="82"/>
        <v>0</v>
      </c>
      <c r="Z224" s="885">
        <f t="shared" si="83"/>
        <v>0</v>
      </c>
    </row>
    <row r="225" spans="2:26" s="278" customFormat="1" ht="12" customHeight="1" x14ac:dyDescent="0.25">
      <c r="B225" s="1192">
        <f t="shared" si="90"/>
        <v>225</v>
      </c>
      <c r="C225" s="732">
        <f t="shared" si="75"/>
        <v>31</v>
      </c>
      <c r="D225" s="35">
        <f t="shared" si="76"/>
        <v>7</v>
      </c>
      <c r="E225" s="889">
        <f t="shared" si="93"/>
        <v>53904</v>
      </c>
      <c r="F225" s="822">
        <f t="shared" si="77"/>
        <v>7</v>
      </c>
      <c r="G225" s="126">
        <f t="shared" si="78"/>
        <v>0</v>
      </c>
      <c r="H225" s="1098">
        <f t="shared" si="94"/>
        <v>0</v>
      </c>
      <c r="I225" s="887">
        <f t="shared" si="91"/>
        <v>206</v>
      </c>
      <c r="J225" s="1099">
        <f t="shared" si="84"/>
        <v>206</v>
      </c>
      <c r="K225" s="891" t="str">
        <f t="shared" si="85"/>
        <v>July</v>
      </c>
      <c r="L225" s="888">
        <f t="shared" si="92"/>
        <v>2047</v>
      </c>
      <c r="M225" s="883">
        <f t="shared" si="86"/>
        <v>0</v>
      </c>
      <c r="N225" s="883">
        <f t="shared" si="87"/>
        <v>0</v>
      </c>
      <c r="O225" s="1100"/>
      <c r="P225" s="883">
        <f t="shared" si="79"/>
        <v>0</v>
      </c>
      <c r="Q225" s="884">
        <f t="shared" si="88"/>
        <v>0</v>
      </c>
      <c r="R225" s="884">
        <f>IF(AND($AR$39="Early Payoff",I225&gt;=$R$13),0,IF($I225&lt;=$R$6,SUM($P$20:$P225),0))</f>
        <v>0</v>
      </c>
      <c r="S225" s="884">
        <f>IF(AND($AR$39="Early Payoff",I225&gt;=$R$13),0,IF($I225&lt;=$R$6,SUM($Q$20:$Q225),0))</f>
        <v>0</v>
      </c>
      <c r="T225" s="873">
        <f t="shared" si="89"/>
        <v>0</v>
      </c>
      <c r="U225" s="1110">
        <f t="shared" si="95"/>
        <v>0</v>
      </c>
      <c r="W225" s="1102">
        <f t="shared" si="80"/>
        <v>0</v>
      </c>
      <c r="X225" s="873">
        <f t="shared" si="81"/>
        <v>0</v>
      </c>
      <c r="Y225" s="873">
        <f t="shared" si="82"/>
        <v>0</v>
      </c>
      <c r="Z225" s="885">
        <f t="shared" si="83"/>
        <v>0</v>
      </c>
    </row>
    <row r="226" spans="2:26" s="278" customFormat="1" ht="12" customHeight="1" x14ac:dyDescent="0.25">
      <c r="B226" s="1192">
        <f t="shared" si="90"/>
        <v>226</v>
      </c>
      <c r="C226" s="732">
        <f t="shared" si="75"/>
        <v>31</v>
      </c>
      <c r="D226" s="35">
        <f t="shared" si="76"/>
        <v>8</v>
      </c>
      <c r="E226" s="889">
        <f t="shared" si="93"/>
        <v>53935</v>
      </c>
      <c r="F226" s="822">
        <f t="shared" si="77"/>
        <v>8</v>
      </c>
      <c r="G226" s="126">
        <f t="shared" si="78"/>
        <v>0</v>
      </c>
      <c r="H226" s="1098">
        <f t="shared" si="94"/>
        <v>0</v>
      </c>
      <c r="I226" s="887">
        <f t="shared" si="91"/>
        <v>207</v>
      </c>
      <c r="J226" s="1099">
        <f t="shared" si="84"/>
        <v>207</v>
      </c>
      <c r="K226" s="891" t="str">
        <f t="shared" si="85"/>
        <v>August</v>
      </c>
      <c r="L226" s="888">
        <f t="shared" si="92"/>
        <v>2047</v>
      </c>
      <c r="M226" s="883">
        <f t="shared" si="86"/>
        <v>0</v>
      </c>
      <c r="N226" s="883">
        <f t="shared" si="87"/>
        <v>0</v>
      </c>
      <c r="O226" s="1100"/>
      <c r="P226" s="883">
        <f t="shared" si="79"/>
        <v>0</v>
      </c>
      <c r="Q226" s="884">
        <f t="shared" si="88"/>
        <v>0</v>
      </c>
      <c r="R226" s="884">
        <f>IF(AND($AR$39="Early Payoff",I226&gt;=$R$13),0,IF($I226&lt;=$R$6,SUM($P$20:$P226),0))</f>
        <v>0</v>
      </c>
      <c r="S226" s="884">
        <f>IF(AND($AR$39="Early Payoff",I226&gt;=$R$13),0,IF($I226&lt;=$R$6,SUM($Q$20:$Q226),0))</f>
        <v>0</v>
      </c>
      <c r="T226" s="873">
        <f t="shared" si="89"/>
        <v>0</v>
      </c>
      <c r="U226" s="1110">
        <f t="shared" si="95"/>
        <v>0</v>
      </c>
      <c r="W226" s="1102">
        <f t="shared" si="80"/>
        <v>0</v>
      </c>
      <c r="X226" s="873">
        <f t="shared" si="81"/>
        <v>0</v>
      </c>
      <c r="Y226" s="873">
        <f t="shared" si="82"/>
        <v>0</v>
      </c>
      <c r="Z226" s="885">
        <f t="shared" si="83"/>
        <v>0</v>
      </c>
    </row>
    <row r="227" spans="2:26" s="278" customFormat="1" ht="12" customHeight="1" x14ac:dyDescent="0.25">
      <c r="B227" s="1192">
        <f t="shared" si="90"/>
        <v>227</v>
      </c>
      <c r="C227" s="732">
        <f t="shared" si="75"/>
        <v>30</v>
      </c>
      <c r="D227" s="35">
        <f t="shared" si="76"/>
        <v>9</v>
      </c>
      <c r="E227" s="889">
        <f t="shared" si="93"/>
        <v>53965</v>
      </c>
      <c r="F227" s="822">
        <f t="shared" si="77"/>
        <v>9</v>
      </c>
      <c r="G227" s="126">
        <f t="shared" si="78"/>
        <v>0</v>
      </c>
      <c r="H227" s="1098">
        <f t="shared" si="94"/>
        <v>0</v>
      </c>
      <c r="I227" s="887">
        <f t="shared" si="91"/>
        <v>208</v>
      </c>
      <c r="J227" s="1099">
        <f t="shared" si="84"/>
        <v>208</v>
      </c>
      <c r="K227" s="891" t="str">
        <f t="shared" si="85"/>
        <v>September</v>
      </c>
      <c r="L227" s="888">
        <f t="shared" si="92"/>
        <v>2047</v>
      </c>
      <c r="M227" s="883">
        <f t="shared" si="86"/>
        <v>0</v>
      </c>
      <c r="N227" s="883">
        <f t="shared" si="87"/>
        <v>0</v>
      </c>
      <c r="O227" s="1100"/>
      <c r="P227" s="883">
        <f t="shared" si="79"/>
        <v>0</v>
      </c>
      <c r="Q227" s="884">
        <f t="shared" si="88"/>
        <v>0</v>
      </c>
      <c r="R227" s="884">
        <f>IF(AND($AR$39="Early Payoff",I227&gt;=$R$13),0,IF($I227&lt;=$R$6,SUM($P$20:$P227),0))</f>
        <v>0</v>
      </c>
      <c r="S227" s="884">
        <f>IF(AND($AR$39="Early Payoff",I227&gt;=$R$13),0,IF($I227&lt;=$R$6,SUM($Q$20:$Q227),0))</f>
        <v>0</v>
      </c>
      <c r="T227" s="873">
        <f t="shared" si="89"/>
        <v>0</v>
      </c>
      <c r="U227" s="1110">
        <f t="shared" si="95"/>
        <v>0</v>
      </c>
      <c r="W227" s="1102">
        <f t="shared" si="80"/>
        <v>0</v>
      </c>
      <c r="X227" s="873">
        <f t="shared" si="81"/>
        <v>0</v>
      </c>
      <c r="Y227" s="873">
        <f t="shared" si="82"/>
        <v>0</v>
      </c>
      <c r="Z227" s="885">
        <f t="shared" si="83"/>
        <v>0</v>
      </c>
    </row>
    <row r="228" spans="2:26" s="278" customFormat="1" ht="12" customHeight="1" x14ac:dyDescent="0.25">
      <c r="B228" s="1192">
        <f t="shared" si="90"/>
        <v>228</v>
      </c>
      <c r="C228" s="732">
        <f t="shared" si="75"/>
        <v>31</v>
      </c>
      <c r="D228" s="35">
        <f t="shared" si="76"/>
        <v>10</v>
      </c>
      <c r="E228" s="889">
        <f t="shared" si="93"/>
        <v>53996</v>
      </c>
      <c r="F228" s="822">
        <f t="shared" si="77"/>
        <v>10</v>
      </c>
      <c r="G228" s="126">
        <f t="shared" si="78"/>
        <v>0</v>
      </c>
      <c r="H228" s="1098">
        <f t="shared" si="94"/>
        <v>0</v>
      </c>
      <c r="I228" s="887">
        <f t="shared" si="91"/>
        <v>209</v>
      </c>
      <c r="J228" s="1099">
        <f t="shared" si="84"/>
        <v>209</v>
      </c>
      <c r="K228" s="891" t="str">
        <f t="shared" si="85"/>
        <v>October</v>
      </c>
      <c r="L228" s="888">
        <f t="shared" si="92"/>
        <v>2047</v>
      </c>
      <c r="M228" s="883">
        <f t="shared" si="86"/>
        <v>0</v>
      </c>
      <c r="N228" s="883">
        <f t="shared" si="87"/>
        <v>0</v>
      </c>
      <c r="O228" s="1100"/>
      <c r="P228" s="883">
        <f t="shared" si="79"/>
        <v>0</v>
      </c>
      <c r="Q228" s="884">
        <f t="shared" si="88"/>
        <v>0</v>
      </c>
      <c r="R228" s="884">
        <f>IF(AND($AR$39="Early Payoff",I228&gt;=$R$13),0,IF($I228&lt;=$R$6,SUM($P$20:$P228),0))</f>
        <v>0</v>
      </c>
      <c r="S228" s="884">
        <f>IF(AND($AR$39="Early Payoff",I228&gt;=$R$13),0,IF($I228&lt;=$R$6,SUM($Q$20:$Q228),0))</f>
        <v>0</v>
      </c>
      <c r="T228" s="873">
        <f t="shared" si="89"/>
        <v>0</v>
      </c>
      <c r="U228" s="1110">
        <f t="shared" si="95"/>
        <v>0</v>
      </c>
      <c r="W228" s="1102">
        <f t="shared" si="80"/>
        <v>0</v>
      </c>
      <c r="X228" s="873">
        <f t="shared" si="81"/>
        <v>0</v>
      </c>
      <c r="Y228" s="873">
        <f t="shared" si="82"/>
        <v>0</v>
      </c>
      <c r="Z228" s="885">
        <f t="shared" si="83"/>
        <v>0</v>
      </c>
    </row>
    <row r="229" spans="2:26" s="278" customFormat="1" ht="12" customHeight="1" x14ac:dyDescent="0.25">
      <c r="B229" s="1192">
        <f t="shared" si="90"/>
        <v>229</v>
      </c>
      <c r="C229" s="732">
        <f t="shared" si="75"/>
        <v>30</v>
      </c>
      <c r="D229" s="35">
        <f t="shared" si="76"/>
        <v>11</v>
      </c>
      <c r="E229" s="889">
        <f t="shared" si="93"/>
        <v>54026</v>
      </c>
      <c r="F229" s="822">
        <f t="shared" si="77"/>
        <v>11</v>
      </c>
      <c r="G229" s="126">
        <f t="shared" si="78"/>
        <v>0</v>
      </c>
      <c r="H229" s="1098">
        <f t="shared" si="94"/>
        <v>0</v>
      </c>
      <c r="I229" s="887">
        <f t="shared" si="91"/>
        <v>210</v>
      </c>
      <c r="J229" s="1099">
        <f t="shared" si="84"/>
        <v>210</v>
      </c>
      <c r="K229" s="891" t="str">
        <f t="shared" si="85"/>
        <v>November</v>
      </c>
      <c r="L229" s="888">
        <f t="shared" si="92"/>
        <v>2047</v>
      </c>
      <c r="M229" s="883">
        <f t="shared" si="86"/>
        <v>0</v>
      </c>
      <c r="N229" s="883">
        <f t="shared" si="87"/>
        <v>0</v>
      </c>
      <c r="O229" s="1100"/>
      <c r="P229" s="883">
        <f t="shared" si="79"/>
        <v>0</v>
      </c>
      <c r="Q229" s="884">
        <f t="shared" si="88"/>
        <v>0</v>
      </c>
      <c r="R229" s="884">
        <f>IF(AND($AR$39="Early Payoff",I229&gt;=$R$13),0,IF($I229&lt;=$R$6,SUM($P$20:$P229),0))</f>
        <v>0</v>
      </c>
      <c r="S229" s="884">
        <f>IF(AND($AR$39="Early Payoff",I229&gt;=$R$13),0,IF($I229&lt;=$R$6,SUM($Q$20:$Q229),0))</f>
        <v>0</v>
      </c>
      <c r="T229" s="873">
        <f t="shared" si="89"/>
        <v>0</v>
      </c>
      <c r="U229" s="1110">
        <f t="shared" si="95"/>
        <v>0</v>
      </c>
      <c r="W229" s="1102">
        <f t="shared" si="80"/>
        <v>0</v>
      </c>
      <c r="X229" s="873">
        <f t="shared" si="81"/>
        <v>0</v>
      </c>
      <c r="Y229" s="873">
        <f t="shared" si="82"/>
        <v>0</v>
      </c>
      <c r="Z229" s="885">
        <f t="shared" si="83"/>
        <v>0</v>
      </c>
    </row>
    <row r="230" spans="2:26" s="278" customFormat="1" ht="12" customHeight="1" x14ac:dyDescent="0.25">
      <c r="B230" s="1192">
        <f t="shared" si="90"/>
        <v>230</v>
      </c>
      <c r="C230" s="732">
        <f t="shared" si="75"/>
        <v>31</v>
      </c>
      <c r="D230" s="35">
        <f t="shared" si="76"/>
        <v>12</v>
      </c>
      <c r="E230" s="889">
        <f t="shared" si="93"/>
        <v>54057</v>
      </c>
      <c r="F230" s="822">
        <f t="shared" si="77"/>
        <v>12</v>
      </c>
      <c r="G230" s="126">
        <f t="shared" si="78"/>
        <v>1</v>
      </c>
      <c r="H230" s="1098">
        <f t="shared" si="94"/>
        <v>0</v>
      </c>
      <c r="I230" s="887">
        <f t="shared" si="91"/>
        <v>211</v>
      </c>
      <c r="J230" s="1099">
        <f t="shared" si="84"/>
        <v>211</v>
      </c>
      <c r="K230" s="891" t="str">
        <f t="shared" si="85"/>
        <v>December</v>
      </c>
      <c r="L230" s="888">
        <f t="shared" si="92"/>
        <v>2047</v>
      </c>
      <c r="M230" s="883">
        <f t="shared" si="86"/>
        <v>0</v>
      </c>
      <c r="N230" s="883">
        <f t="shared" si="87"/>
        <v>0</v>
      </c>
      <c r="O230" s="1100"/>
      <c r="P230" s="883">
        <f t="shared" si="79"/>
        <v>0</v>
      </c>
      <c r="Q230" s="884">
        <f t="shared" si="88"/>
        <v>0</v>
      </c>
      <c r="R230" s="884">
        <f>IF(AND($AR$39="Early Payoff",I230&gt;=$R$13),0,IF($I230&lt;=$R$6,SUM($P$20:$P230),0))</f>
        <v>0</v>
      </c>
      <c r="S230" s="884">
        <f>IF(AND($AR$39="Early Payoff",I230&gt;=$R$13),0,IF($I230&lt;=$R$6,SUM($Q$20:$Q230),0))</f>
        <v>0</v>
      </c>
      <c r="T230" s="873">
        <f t="shared" si="89"/>
        <v>0</v>
      </c>
      <c r="U230" s="1110">
        <f t="shared" si="95"/>
        <v>0</v>
      </c>
      <c r="W230" s="1102">
        <f t="shared" si="80"/>
        <v>0</v>
      </c>
      <c r="X230" s="873">
        <f t="shared" si="81"/>
        <v>0</v>
      </c>
      <c r="Y230" s="873">
        <f t="shared" si="82"/>
        <v>0</v>
      </c>
      <c r="Z230" s="885">
        <f t="shared" si="83"/>
        <v>0</v>
      </c>
    </row>
    <row r="231" spans="2:26" s="278" customFormat="1" ht="12" customHeight="1" x14ac:dyDescent="0.25">
      <c r="B231" s="1192">
        <f t="shared" si="90"/>
        <v>231</v>
      </c>
      <c r="C231" s="732">
        <f t="shared" si="75"/>
        <v>31</v>
      </c>
      <c r="D231" s="35">
        <f t="shared" si="76"/>
        <v>1</v>
      </c>
      <c r="E231" s="889">
        <f t="shared" si="93"/>
        <v>54088</v>
      </c>
      <c r="F231" s="822">
        <f t="shared" si="77"/>
        <v>1</v>
      </c>
      <c r="G231" s="126">
        <f t="shared" si="78"/>
        <v>0</v>
      </c>
      <c r="H231" s="1098">
        <f t="shared" si="94"/>
        <v>0</v>
      </c>
      <c r="I231" s="887">
        <f t="shared" si="91"/>
        <v>212</v>
      </c>
      <c r="J231" s="1099">
        <f t="shared" si="84"/>
        <v>212</v>
      </c>
      <c r="K231" s="891" t="str">
        <f t="shared" si="85"/>
        <v>January</v>
      </c>
      <c r="L231" s="888">
        <f t="shared" si="92"/>
        <v>2048</v>
      </c>
      <c r="M231" s="883">
        <f t="shared" si="86"/>
        <v>0</v>
      </c>
      <c r="N231" s="883">
        <f t="shared" si="87"/>
        <v>0</v>
      </c>
      <c r="O231" s="1100"/>
      <c r="P231" s="883">
        <f t="shared" si="79"/>
        <v>0</v>
      </c>
      <c r="Q231" s="884">
        <f t="shared" si="88"/>
        <v>0</v>
      </c>
      <c r="R231" s="884">
        <f>IF(AND($AR$39="Early Payoff",I231&gt;=$R$13),0,IF($I231&lt;=$R$6,SUM($P$20:$P231),0))</f>
        <v>0</v>
      </c>
      <c r="S231" s="884">
        <f>IF(AND($AR$39="Early Payoff",I231&gt;=$R$13),0,IF($I231&lt;=$R$6,SUM($Q$20:$Q231),0))</f>
        <v>0</v>
      </c>
      <c r="T231" s="873">
        <f t="shared" si="89"/>
        <v>0</v>
      </c>
      <c r="U231" s="1110">
        <f t="shared" si="95"/>
        <v>0</v>
      </c>
      <c r="W231" s="1102">
        <f t="shared" si="80"/>
        <v>0</v>
      </c>
      <c r="X231" s="873">
        <f t="shared" si="81"/>
        <v>0</v>
      </c>
      <c r="Y231" s="873">
        <f t="shared" si="82"/>
        <v>0</v>
      </c>
      <c r="Z231" s="885">
        <f t="shared" si="83"/>
        <v>0</v>
      </c>
    </row>
    <row r="232" spans="2:26" s="278" customFormat="1" ht="12" customHeight="1" x14ac:dyDescent="0.25">
      <c r="B232" s="1192">
        <f t="shared" si="90"/>
        <v>232</v>
      </c>
      <c r="C232" s="732">
        <f t="shared" si="75"/>
        <v>29</v>
      </c>
      <c r="D232" s="35">
        <f t="shared" si="76"/>
        <v>2</v>
      </c>
      <c r="E232" s="889">
        <f t="shared" si="93"/>
        <v>54117</v>
      </c>
      <c r="F232" s="822">
        <f t="shared" si="77"/>
        <v>2</v>
      </c>
      <c r="G232" s="126">
        <f t="shared" si="78"/>
        <v>0</v>
      </c>
      <c r="H232" s="1098">
        <f t="shared" si="94"/>
        <v>0</v>
      </c>
      <c r="I232" s="887">
        <f t="shared" si="91"/>
        <v>213</v>
      </c>
      <c r="J232" s="1099">
        <f t="shared" si="84"/>
        <v>213</v>
      </c>
      <c r="K232" s="891" t="str">
        <f t="shared" si="85"/>
        <v>February</v>
      </c>
      <c r="L232" s="888">
        <f t="shared" si="92"/>
        <v>2048</v>
      </c>
      <c r="M232" s="883">
        <f t="shared" si="86"/>
        <v>0</v>
      </c>
      <c r="N232" s="883">
        <f t="shared" si="87"/>
        <v>0</v>
      </c>
      <c r="O232" s="1100"/>
      <c r="P232" s="883">
        <f t="shared" si="79"/>
        <v>0</v>
      </c>
      <c r="Q232" s="884">
        <f t="shared" si="88"/>
        <v>0</v>
      </c>
      <c r="R232" s="884">
        <f>IF(AND($AR$39="Early Payoff",I232&gt;=$R$13),0,IF($I232&lt;=$R$6,SUM($P$20:$P232),0))</f>
        <v>0</v>
      </c>
      <c r="S232" s="884">
        <f>IF(AND($AR$39="Early Payoff",I232&gt;=$R$13),0,IF($I232&lt;=$R$6,SUM($Q$20:$Q232),0))</f>
        <v>0</v>
      </c>
      <c r="T232" s="873">
        <f t="shared" si="89"/>
        <v>0</v>
      </c>
      <c r="U232" s="1110">
        <f t="shared" si="95"/>
        <v>0</v>
      </c>
      <c r="W232" s="1102">
        <f t="shared" si="80"/>
        <v>0</v>
      </c>
      <c r="X232" s="873">
        <f t="shared" si="81"/>
        <v>0</v>
      </c>
      <c r="Y232" s="873">
        <f t="shared" si="82"/>
        <v>0</v>
      </c>
      <c r="Z232" s="885">
        <f t="shared" si="83"/>
        <v>0</v>
      </c>
    </row>
    <row r="233" spans="2:26" s="278" customFormat="1" ht="12" customHeight="1" x14ac:dyDescent="0.25">
      <c r="B233" s="1192">
        <f t="shared" si="90"/>
        <v>233</v>
      </c>
      <c r="C233" s="732">
        <f t="shared" si="75"/>
        <v>31</v>
      </c>
      <c r="D233" s="35">
        <f t="shared" si="76"/>
        <v>3</v>
      </c>
      <c r="E233" s="889">
        <f t="shared" si="93"/>
        <v>54148</v>
      </c>
      <c r="F233" s="822">
        <f t="shared" si="77"/>
        <v>3</v>
      </c>
      <c r="G233" s="126">
        <f t="shared" si="78"/>
        <v>0</v>
      </c>
      <c r="H233" s="1098">
        <f t="shared" si="94"/>
        <v>0</v>
      </c>
      <c r="I233" s="887">
        <f t="shared" si="91"/>
        <v>214</v>
      </c>
      <c r="J233" s="1099">
        <f t="shared" si="84"/>
        <v>214</v>
      </c>
      <c r="K233" s="891" t="str">
        <f t="shared" si="85"/>
        <v>March</v>
      </c>
      <c r="L233" s="888">
        <f t="shared" si="92"/>
        <v>2048</v>
      </c>
      <c r="M233" s="883">
        <f t="shared" si="86"/>
        <v>0</v>
      </c>
      <c r="N233" s="883">
        <f t="shared" si="87"/>
        <v>0</v>
      </c>
      <c r="O233" s="1100"/>
      <c r="P233" s="883">
        <f t="shared" si="79"/>
        <v>0</v>
      </c>
      <c r="Q233" s="884">
        <f t="shared" si="88"/>
        <v>0</v>
      </c>
      <c r="R233" s="884">
        <f>IF(AND($AR$39="Early Payoff",I233&gt;=$R$13),0,IF($I233&lt;=$R$6,SUM($P$20:$P233),0))</f>
        <v>0</v>
      </c>
      <c r="S233" s="884">
        <f>IF(AND($AR$39="Early Payoff",I233&gt;=$R$13),0,IF($I233&lt;=$R$6,SUM($Q$20:$Q233),0))</f>
        <v>0</v>
      </c>
      <c r="T233" s="873">
        <f t="shared" si="89"/>
        <v>0</v>
      </c>
      <c r="U233" s="1110">
        <f t="shared" si="95"/>
        <v>0</v>
      </c>
      <c r="W233" s="1102">
        <f t="shared" si="80"/>
        <v>0</v>
      </c>
      <c r="X233" s="873">
        <f t="shared" si="81"/>
        <v>0</v>
      </c>
      <c r="Y233" s="873">
        <f t="shared" si="82"/>
        <v>0</v>
      </c>
      <c r="Z233" s="885">
        <f t="shared" si="83"/>
        <v>0</v>
      </c>
    </row>
    <row r="234" spans="2:26" s="278" customFormat="1" ht="12" customHeight="1" x14ac:dyDescent="0.25">
      <c r="B234" s="1192">
        <f t="shared" si="90"/>
        <v>234</v>
      </c>
      <c r="C234" s="732">
        <f t="shared" si="75"/>
        <v>30</v>
      </c>
      <c r="D234" s="35">
        <f t="shared" si="76"/>
        <v>4</v>
      </c>
      <c r="E234" s="889">
        <f t="shared" si="93"/>
        <v>54178</v>
      </c>
      <c r="F234" s="822">
        <f t="shared" si="77"/>
        <v>4</v>
      </c>
      <c r="G234" s="126">
        <f t="shared" si="78"/>
        <v>0</v>
      </c>
      <c r="H234" s="1098">
        <f t="shared" si="94"/>
        <v>0</v>
      </c>
      <c r="I234" s="887">
        <f t="shared" si="91"/>
        <v>215</v>
      </c>
      <c r="J234" s="1099">
        <f t="shared" si="84"/>
        <v>215</v>
      </c>
      <c r="K234" s="891" t="str">
        <f t="shared" si="85"/>
        <v>April</v>
      </c>
      <c r="L234" s="888">
        <f t="shared" si="92"/>
        <v>2048</v>
      </c>
      <c r="M234" s="883">
        <f t="shared" si="86"/>
        <v>0</v>
      </c>
      <c r="N234" s="883">
        <f t="shared" si="87"/>
        <v>0</v>
      </c>
      <c r="O234" s="1100"/>
      <c r="P234" s="883">
        <f t="shared" si="79"/>
        <v>0</v>
      </c>
      <c r="Q234" s="884">
        <f t="shared" si="88"/>
        <v>0</v>
      </c>
      <c r="R234" s="884">
        <f>IF(AND($AR$39="Early Payoff",I234&gt;=$R$13),0,IF($I234&lt;=$R$6,SUM($P$20:$P234),0))</f>
        <v>0</v>
      </c>
      <c r="S234" s="884">
        <f>IF(AND($AR$39="Early Payoff",I234&gt;=$R$13),0,IF($I234&lt;=$R$6,SUM($Q$20:$Q234),0))</f>
        <v>0</v>
      </c>
      <c r="T234" s="873">
        <f t="shared" si="89"/>
        <v>0</v>
      </c>
      <c r="U234" s="1110">
        <f t="shared" si="95"/>
        <v>0</v>
      </c>
      <c r="W234" s="1102">
        <f t="shared" si="80"/>
        <v>0</v>
      </c>
      <c r="X234" s="873">
        <f t="shared" si="81"/>
        <v>0</v>
      </c>
      <c r="Y234" s="873">
        <f t="shared" si="82"/>
        <v>0</v>
      </c>
      <c r="Z234" s="885">
        <f t="shared" si="83"/>
        <v>0</v>
      </c>
    </row>
    <row r="235" spans="2:26" s="278" customFormat="1" ht="12" customHeight="1" x14ac:dyDescent="0.25">
      <c r="B235" s="1192">
        <f t="shared" si="90"/>
        <v>235</v>
      </c>
      <c r="C235" s="732">
        <f t="shared" si="75"/>
        <v>31</v>
      </c>
      <c r="D235" s="35">
        <f t="shared" si="76"/>
        <v>5</v>
      </c>
      <c r="E235" s="889">
        <f t="shared" si="93"/>
        <v>54209</v>
      </c>
      <c r="F235" s="822">
        <f t="shared" si="77"/>
        <v>5</v>
      </c>
      <c r="G235" s="126">
        <f t="shared" si="78"/>
        <v>0</v>
      </c>
      <c r="H235" s="1098">
        <f t="shared" si="94"/>
        <v>0</v>
      </c>
      <c r="I235" s="887">
        <f t="shared" si="91"/>
        <v>216</v>
      </c>
      <c r="J235" s="1099">
        <f t="shared" si="84"/>
        <v>216</v>
      </c>
      <c r="K235" s="891" t="str">
        <f t="shared" si="85"/>
        <v>May</v>
      </c>
      <c r="L235" s="888">
        <f t="shared" si="92"/>
        <v>2048</v>
      </c>
      <c r="M235" s="883">
        <f t="shared" si="86"/>
        <v>0</v>
      </c>
      <c r="N235" s="883">
        <f t="shared" si="87"/>
        <v>0</v>
      </c>
      <c r="O235" s="1100"/>
      <c r="P235" s="883">
        <f t="shared" si="79"/>
        <v>0</v>
      </c>
      <c r="Q235" s="884">
        <f t="shared" si="88"/>
        <v>0</v>
      </c>
      <c r="R235" s="884">
        <f>IF(AND($AR$39="Early Payoff",I235&gt;=$R$13),0,IF($I235&lt;=$R$6,SUM($P$20:$P235),0))</f>
        <v>0</v>
      </c>
      <c r="S235" s="884">
        <f>IF(AND($AR$39="Early Payoff",I235&gt;=$R$13),0,IF($I235&lt;=$R$6,SUM($Q$20:$Q235),0))</f>
        <v>0</v>
      </c>
      <c r="T235" s="873">
        <f t="shared" si="89"/>
        <v>0</v>
      </c>
      <c r="U235" s="1110">
        <f t="shared" si="95"/>
        <v>0</v>
      </c>
      <c r="W235" s="1102">
        <f t="shared" si="80"/>
        <v>0</v>
      </c>
      <c r="X235" s="873">
        <f t="shared" si="81"/>
        <v>0</v>
      </c>
      <c r="Y235" s="873">
        <f t="shared" si="82"/>
        <v>0</v>
      </c>
      <c r="Z235" s="885">
        <f t="shared" si="83"/>
        <v>0</v>
      </c>
    </row>
    <row r="236" spans="2:26" s="278" customFormat="1" ht="12" customHeight="1" x14ac:dyDescent="0.25">
      <c r="B236" s="1192">
        <f t="shared" si="90"/>
        <v>236</v>
      </c>
      <c r="C236" s="732">
        <f t="shared" si="75"/>
        <v>30</v>
      </c>
      <c r="D236" s="35">
        <f t="shared" si="76"/>
        <v>6</v>
      </c>
      <c r="E236" s="889">
        <f t="shared" si="93"/>
        <v>54239</v>
      </c>
      <c r="F236" s="822">
        <f t="shared" si="77"/>
        <v>6</v>
      </c>
      <c r="G236" s="126">
        <f t="shared" si="78"/>
        <v>0</v>
      </c>
      <c r="H236" s="1098">
        <f t="shared" si="94"/>
        <v>0</v>
      </c>
      <c r="I236" s="887">
        <f t="shared" si="91"/>
        <v>217</v>
      </c>
      <c r="J236" s="1099">
        <f t="shared" si="84"/>
        <v>217</v>
      </c>
      <c r="K236" s="891" t="str">
        <f t="shared" si="85"/>
        <v>June</v>
      </c>
      <c r="L236" s="888">
        <f t="shared" si="92"/>
        <v>2048</v>
      </c>
      <c r="M236" s="883">
        <f t="shared" si="86"/>
        <v>0</v>
      </c>
      <c r="N236" s="883">
        <f t="shared" si="87"/>
        <v>0</v>
      </c>
      <c r="O236" s="1100"/>
      <c r="P236" s="883">
        <f t="shared" si="79"/>
        <v>0</v>
      </c>
      <c r="Q236" s="884">
        <f t="shared" si="88"/>
        <v>0</v>
      </c>
      <c r="R236" s="884">
        <f>IF(AND($AR$39="Early Payoff",I236&gt;=$R$13),0,IF($I236&lt;=$R$6,SUM($P$20:$P236),0))</f>
        <v>0</v>
      </c>
      <c r="S236" s="884">
        <f>IF(AND($AR$39="Early Payoff",I236&gt;=$R$13),0,IF($I236&lt;=$R$6,SUM($Q$20:$Q236),0))</f>
        <v>0</v>
      </c>
      <c r="T236" s="873">
        <f t="shared" si="89"/>
        <v>0</v>
      </c>
      <c r="U236" s="1110">
        <f t="shared" si="95"/>
        <v>0</v>
      </c>
      <c r="W236" s="1102">
        <f t="shared" si="80"/>
        <v>0</v>
      </c>
      <c r="X236" s="873">
        <f t="shared" si="81"/>
        <v>0</v>
      </c>
      <c r="Y236" s="873">
        <f t="shared" si="82"/>
        <v>0</v>
      </c>
      <c r="Z236" s="885">
        <f t="shared" si="83"/>
        <v>0</v>
      </c>
    </row>
    <row r="237" spans="2:26" s="278" customFormat="1" ht="12" customHeight="1" x14ac:dyDescent="0.25">
      <c r="B237" s="1192">
        <f t="shared" si="90"/>
        <v>237</v>
      </c>
      <c r="C237" s="732">
        <f t="shared" si="75"/>
        <v>31</v>
      </c>
      <c r="D237" s="35">
        <f t="shared" si="76"/>
        <v>7</v>
      </c>
      <c r="E237" s="889">
        <f t="shared" si="93"/>
        <v>54270</v>
      </c>
      <c r="F237" s="822">
        <f t="shared" si="77"/>
        <v>7</v>
      </c>
      <c r="G237" s="126">
        <f t="shared" si="78"/>
        <v>0</v>
      </c>
      <c r="H237" s="1098">
        <f t="shared" si="94"/>
        <v>0</v>
      </c>
      <c r="I237" s="887">
        <f t="shared" si="91"/>
        <v>218</v>
      </c>
      <c r="J237" s="1099">
        <f t="shared" si="84"/>
        <v>218</v>
      </c>
      <c r="K237" s="891" t="str">
        <f t="shared" si="85"/>
        <v>July</v>
      </c>
      <c r="L237" s="888">
        <f t="shared" si="92"/>
        <v>2048</v>
      </c>
      <c r="M237" s="883">
        <f t="shared" si="86"/>
        <v>0</v>
      </c>
      <c r="N237" s="883">
        <f t="shared" si="87"/>
        <v>0</v>
      </c>
      <c r="O237" s="1100"/>
      <c r="P237" s="883">
        <f t="shared" si="79"/>
        <v>0</v>
      </c>
      <c r="Q237" s="884">
        <f t="shared" si="88"/>
        <v>0</v>
      </c>
      <c r="R237" s="884">
        <f>IF(AND($AR$39="Early Payoff",I237&gt;=$R$13),0,IF($I237&lt;=$R$6,SUM($P$20:$P237),0))</f>
        <v>0</v>
      </c>
      <c r="S237" s="884">
        <f>IF(AND($AR$39="Early Payoff",I237&gt;=$R$13),0,IF($I237&lt;=$R$6,SUM($Q$20:$Q237),0))</f>
        <v>0</v>
      </c>
      <c r="T237" s="873">
        <f t="shared" si="89"/>
        <v>0</v>
      </c>
      <c r="U237" s="1110">
        <f t="shared" si="95"/>
        <v>0</v>
      </c>
      <c r="W237" s="1102">
        <f t="shared" si="80"/>
        <v>0</v>
      </c>
      <c r="X237" s="873">
        <f t="shared" si="81"/>
        <v>0</v>
      </c>
      <c r="Y237" s="873">
        <f t="shared" si="82"/>
        <v>0</v>
      </c>
      <c r="Z237" s="885">
        <f t="shared" si="83"/>
        <v>0</v>
      </c>
    </row>
    <row r="238" spans="2:26" s="278" customFormat="1" ht="12" customHeight="1" x14ac:dyDescent="0.25">
      <c r="B238" s="1192">
        <f t="shared" si="90"/>
        <v>238</v>
      </c>
      <c r="C238" s="732">
        <f t="shared" si="75"/>
        <v>31</v>
      </c>
      <c r="D238" s="35">
        <f t="shared" si="76"/>
        <v>8</v>
      </c>
      <c r="E238" s="889">
        <f t="shared" si="93"/>
        <v>54301</v>
      </c>
      <c r="F238" s="822">
        <f t="shared" si="77"/>
        <v>8</v>
      </c>
      <c r="G238" s="126">
        <f t="shared" si="78"/>
        <v>0</v>
      </c>
      <c r="H238" s="1098">
        <f t="shared" si="94"/>
        <v>0</v>
      </c>
      <c r="I238" s="887">
        <f t="shared" si="91"/>
        <v>219</v>
      </c>
      <c r="J238" s="1099">
        <f t="shared" si="84"/>
        <v>219</v>
      </c>
      <c r="K238" s="891" t="str">
        <f t="shared" si="85"/>
        <v>August</v>
      </c>
      <c r="L238" s="888">
        <f t="shared" si="92"/>
        <v>2048</v>
      </c>
      <c r="M238" s="883">
        <f t="shared" si="86"/>
        <v>0</v>
      </c>
      <c r="N238" s="883">
        <f t="shared" si="87"/>
        <v>0</v>
      </c>
      <c r="O238" s="1100"/>
      <c r="P238" s="883">
        <f t="shared" si="79"/>
        <v>0</v>
      </c>
      <c r="Q238" s="884">
        <f t="shared" si="88"/>
        <v>0</v>
      </c>
      <c r="R238" s="884">
        <f>IF(AND($AR$39="Early Payoff",I238&gt;=$R$13),0,IF($I238&lt;=$R$6,SUM($P$20:$P238),0))</f>
        <v>0</v>
      </c>
      <c r="S238" s="884">
        <f>IF(AND($AR$39="Early Payoff",I238&gt;=$R$13),0,IF($I238&lt;=$R$6,SUM($Q$20:$Q238),0))</f>
        <v>0</v>
      </c>
      <c r="T238" s="873">
        <f t="shared" si="89"/>
        <v>0</v>
      </c>
      <c r="U238" s="1110">
        <f t="shared" si="95"/>
        <v>0</v>
      </c>
      <c r="W238" s="1102">
        <f t="shared" si="80"/>
        <v>0</v>
      </c>
      <c r="X238" s="873">
        <f t="shared" si="81"/>
        <v>0</v>
      </c>
      <c r="Y238" s="873">
        <f t="shared" si="82"/>
        <v>0</v>
      </c>
      <c r="Z238" s="885">
        <f t="shared" si="83"/>
        <v>0</v>
      </c>
    </row>
    <row r="239" spans="2:26" s="278" customFormat="1" ht="12" customHeight="1" x14ac:dyDescent="0.25">
      <c r="B239" s="1192">
        <f t="shared" si="90"/>
        <v>239</v>
      </c>
      <c r="C239" s="732">
        <f t="shared" si="75"/>
        <v>30</v>
      </c>
      <c r="D239" s="35">
        <f t="shared" si="76"/>
        <v>9</v>
      </c>
      <c r="E239" s="889">
        <f t="shared" si="93"/>
        <v>54331</v>
      </c>
      <c r="F239" s="822">
        <f t="shared" si="77"/>
        <v>9</v>
      </c>
      <c r="G239" s="126">
        <f t="shared" si="78"/>
        <v>0</v>
      </c>
      <c r="H239" s="1098">
        <f t="shared" si="94"/>
        <v>0</v>
      </c>
      <c r="I239" s="887">
        <f t="shared" si="91"/>
        <v>220</v>
      </c>
      <c r="J239" s="1099">
        <f t="shared" si="84"/>
        <v>220</v>
      </c>
      <c r="K239" s="891" t="str">
        <f t="shared" si="85"/>
        <v>September</v>
      </c>
      <c r="L239" s="888">
        <f t="shared" si="92"/>
        <v>2048</v>
      </c>
      <c r="M239" s="883">
        <f t="shared" si="86"/>
        <v>0</v>
      </c>
      <c r="N239" s="883">
        <f t="shared" si="87"/>
        <v>0</v>
      </c>
      <c r="O239" s="1100"/>
      <c r="P239" s="883">
        <f t="shared" si="79"/>
        <v>0</v>
      </c>
      <c r="Q239" s="884">
        <f t="shared" si="88"/>
        <v>0</v>
      </c>
      <c r="R239" s="884">
        <f>IF(AND($AR$39="Early Payoff",I239&gt;=$R$13),0,IF($I239&lt;=$R$6,SUM($P$20:$P239),0))</f>
        <v>0</v>
      </c>
      <c r="S239" s="884">
        <f>IF(AND($AR$39="Early Payoff",I239&gt;=$R$13),0,IF($I239&lt;=$R$6,SUM($Q$20:$Q239),0))</f>
        <v>0</v>
      </c>
      <c r="T239" s="873">
        <f t="shared" si="89"/>
        <v>0</v>
      </c>
      <c r="U239" s="1110">
        <f t="shared" si="95"/>
        <v>0</v>
      </c>
      <c r="W239" s="1102">
        <f t="shared" si="80"/>
        <v>0</v>
      </c>
      <c r="X239" s="873">
        <f t="shared" si="81"/>
        <v>0</v>
      </c>
      <c r="Y239" s="873">
        <f t="shared" si="82"/>
        <v>0</v>
      </c>
      <c r="Z239" s="885">
        <f t="shared" si="83"/>
        <v>0</v>
      </c>
    </row>
    <row r="240" spans="2:26" s="278" customFormat="1" ht="12" customHeight="1" x14ac:dyDescent="0.25">
      <c r="B240" s="1192">
        <f t="shared" si="90"/>
        <v>240</v>
      </c>
      <c r="C240" s="732">
        <f t="shared" si="75"/>
        <v>31</v>
      </c>
      <c r="D240" s="35">
        <f t="shared" si="76"/>
        <v>10</v>
      </c>
      <c r="E240" s="889">
        <f t="shared" si="93"/>
        <v>54362</v>
      </c>
      <c r="F240" s="822">
        <f t="shared" si="77"/>
        <v>10</v>
      </c>
      <c r="G240" s="126">
        <f t="shared" si="78"/>
        <v>0</v>
      </c>
      <c r="H240" s="1098">
        <f t="shared" si="94"/>
        <v>0</v>
      </c>
      <c r="I240" s="887">
        <f t="shared" si="91"/>
        <v>221</v>
      </c>
      <c r="J240" s="1099">
        <f t="shared" si="84"/>
        <v>221</v>
      </c>
      <c r="K240" s="891" t="str">
        <f t="shared" si="85"/>
        <v>October</v>
      </c>
      <c r="L240" s="888">
        <f t="shared" si="92"/>
        <v>2048</v>
      </c>
      <c r="M240" s="883">
        <f t="shared" si="86"/>
        <v>0</v>
      </c>
      <c r="N240" s="883">
        <f t="shared" si="87"/>
        <v>0</v>
      </c>
      <c r="O240" s="1100"/>
      <c r="P240" s="883">
        <f t="shared" si="79"/>
        <v>0</v>
      </c>
      <c r="Q240" s="884">
        <f t="shared" si="88"/>
        <v>0</v>
      </c>
      <c r="R240" s="884">
        <f>IF(AND($AR$39="Early Payoff",I240&gt;=$R$13),0,IF($I240&lt;=$R$6,SUM($P$20:$P240),0))</f>
        <v>0</v>
      </c>
      <c r="S240" s="884">
        <f>IF(AND($AR$39="Early Payoff",I240&gt;=$R$13),0,IF($I240&lt;=$R$6,SUM($Q$20:$Q240),0))</f>
        <v>0</v>
      </c>
      <c r="T240" s="873">
        <f t="shared" si="89"/>
        <v>0</v>
      </c>
      <c r="U240" s="1110">
        <f t="shared" si="95"/>
        <v>0</v>
      </c>
      <c r="W240" s="1102">
        <f t="shared" si="80"/>
        <v>0</v>
      </c>
      <c r="X240" s="873">
        <f t="shared" si="81"/>
        <v>0</v>
      </c>
      <c r="Y240" s="873">
        <f t="shared" si="82"/>
        <v>0</v>
      </c>
      <c r="Z240" s="885">
        <f t="shared" si="83"/>
        <v>0</v>
      </c>
    </row>
    <row r="241" spans="2:26" s="278" customFormat="1" ht="12" customHeight="1" x14ac:dyDescent="0.25">
      <c r="B241" s="1192">
        <f t="shared" si="90"/>
        <v>241</v>
      </c>
      <c r="C241" s="732">
        <f t="shared" si="75"/>
        <v>30</v>
      </c>
      <c r="D241" s="35">
        <f t="shared" si="76"/>
        <v>11</v>
      </c>
      <c r="E241" s="889">
        <f t="shared" si="93"/>
        <v>54392</v>
      </c>
      <c r="F241" s="822">
        <f t="shared" si="77"/>
        <v>11</v>
      </c>
      <c r="G241" s="126">
        <f t="shared" si="78"/>
        <v>0</v>
      </c>
      <c r="H241" s="1098">
        <f t="shared" si="94"/>
        <v>0</v>
      </c>
      <c r="I241" s="887">
        <f t="shared" si="91"/>
        <v>222</v>
      </c>
      <c r="J241" s="1099">
        <f t="shared" si="84"/>
        <v>222</v>
      </c>
      <c r="K241" s="891" t="str">
        <f t="shared" si="85"/>
        <v>November</v>
      </c>
      <c r="L241" s="888">
        <f t="shared" si="92"/>
        <v>2048</v>
      </c>
      <c r="M241" s="883">
        <f t="shared" si="86"/>
        <v>0</v>
      </c>
      <c r="N241" s="883">
        <f t="shared" si="87"/>
        <v>0</v>
      </c>
      <c r="O241" s="1100"/>
      <c r="P241" s="883">
        <f t="shared" si="79"/>
        <v>0</v>
      </c>
      <c r="Q241" s="884">
        <f t="shared" si="88"/>
        <v>0</v>
      </c>
      <c r="R241" s="884">
        <f>IF(AND($AR$39="Early Payoff",I241&gt;=$R$13),0,IF($I241&lt;=$R$6,SUM($P$20:$P241),0))</f>
        <v>0</v>
      </c>
      <c r="S241" s="884">
        <f>IF(AND($AR$39="Early Payoff",I241&gt;=$R$13),0,IF($I241&lt;=$R$6,SUM($Q$20:$Q241),0))</f>
        <v>0</v>
      </c>
      <c r="T241" s="873">
        <f t="shared" si="89"/>
        <v>0</v>
      </c>
      <c r="U241" s="1110">
        <f t="shared" si="95"/>
        <v>0</v>
      </c>
      <c r="W241" s="1102">
        <f t="shared" si="80"/>
        <v>0</v>
      </c>
      <c r="X241" s="873">
        <f t="shared" si="81"/>
        <v>0</v>
      </c>
      <c r="Y241" s="873">
        <f t="shared" si="82"/>
        <v>0</v>
      </c>
      <c r="Z241" s="885">
        <f t="shared" si="83"/>
        <v>0</v>
      </c>
    </row>
    <row r="242" spans="2:26" s="278" customFormat="1" ht="12" customHeight="1" x14ac:dyDescent="0.25">
      <c r="B242" s="1192">
        <f t="shared" si="90"/>
        <v>242</v>
      </c>
      <c r="C242" s="732">
        <f t="shared" si="75"/>
        <v>31</v>
      </c>
      <c r="D242" s="35">
        <f t="shared" si="76"/>
        <v>12</v>
      </c>
      <c r="E242" s="889">
        <f t="shared" si="93"/>
        <v>54423</v>
      </c>
      <c r="F242" s="822">
        <f t="shared" si="77"/>
        <v>12</v>
      </c>
      <c r="G242" s="126">
        <f t="shared" si="78"/>
        <v>1</v>
      </c>
      <c r="H242" s="1098">
        <f t="shared" si="94"/>
        <v>0</v>
      </c>
      <c r="I242" s="887">
        <f t="shared" si="91"/>
        <v>223</v>
      </c>
      <c r="J242" s="1099">
        <f t="shared" si="84"/>
        <v>223</v>
      </c>
      <c r="K242" s="891" t="str">
        <f t="shared" si="85"/>
        <v>December</v>
      </c>
      <c r="L242" s="888">
        <f t="shared" si="92"/>
        <v>2048</v>
      </c>
      <c r="M242" s="883">
        <f t="shared" si="86"/>
        <v>0</v>
      </c>
      <c r="N242" s="883">
        <f t="shared" si="87"/>
        <v>0</v>
      </c>
      <c r="O242" s="1100"/>
      <c r="P242" s="883">
        <f t="shared" si="79"/>
        <v>0</v>
      </c>
      <c r="Q242" s="884">
        <f t="shared" si="88"/>
        <v>0</v>
      </c>
      <c r="R242" s="884">
        <f>IF(AND($AR$39="Early Payoff",I242&gt;=$R$13),0,IF($I242&lt;=$R$6,SUM($P$20:$P242),0))</f>
        <v>0</v>
      </c>
      <c r="S242" s="884">
        <f>IF(AND($AR$39="Early Payoff",I242&gt;=$R$13),0,IF($I242&lt;=$R$6,SUM($Q$20:$Q242),0))</f>
        <v>0</v>
      </c>
      <c r="T242" s="873">
        <f t="shared" si="89"/>
        <v>0</v>
      </c>
      <c r="U242" s="1110">
        <f t="shared" si="95"/>
        <v>0</v>
      </c>
      <c r="W242" s="1102">
        <f t="shared" si="80"/>
        <v>0</v>
      </c>
      <c r="X242" s="873">
        <f t="shared" si="81"/>
        <v>0</v>
      </c>
      <c r="Y242" s="873">
        <f t="shared" si="82"/>
        <v>0</v>
      </c>
      <c r="Z242" s="885">
        <f t="shared" si="83"/>
        <v>0</v>
      </c>
    </row>
    <row r="243" spans="2:26" s="278" customFormat="1" ht="12" customHeight="1" x14ac:dyDescent="0.25">
      <c r="B243" s="1192">
        <f t="shared" si="90"/>
        <v>243</v>
      </c>
      <c r="C243" s="732">
        <f t="shared" si="75"/>
        <v>31</v>
      </c>
      <c r="D243" s="35">
        <f t="shared" si="76"/>
        <v>1</v>
      </c>
      <c r="E243" s="889">
        <f t="shared" si="93"/>
        <v>54454</v>
      </c>
      <c r="F243" s="822">
        <f t="shared" si="77"/>
        <v>1</v>
      </c>
      <c r="G243" s="126">
        <f t="shared" si="78"/>
        <v>0</v>
      </c>
      <c r="H243" s="1098">
        <f t="shared" si="94"/>
        <v>0</v>
      </c>
      <c r="I243" s="887">
        <f t="shared" si="91"/>
        <v>224</v>
      </c>
      <c r="J243" s="1099">
        <f t="shared" si="84"/>
        <v>224</v>
      </c>
      <c r="K243" s="891" t="str">
        <f t="shared" si="85"/>
        <v>January</v>
      </c>
      <c r="L243" s="888">
        <f t="shared" si="92"/>
        <v>2049</v>
      </c>
      <c r="M243" s="883">
        <f t="shared" si="86"/>
        <v>0</v>
      </c>
      <c r="N243" s="883">
        <f t="shared" si="87"/>
        <v>0</v>
      </c>
      <c r="O243" s="1100"/>
      <c r="P243" s="883">
        <f t="shared" si="79"/>
        <v>0</v>
      </c>
      <c r="Q243" s="884">
        <f t="shared" si="88"/>
        <v>0</v>
      </c>
      <c r="R243" s="884">
        <f>IF(AND($AR$39="Early Payoff",I243&gt;=$R$13),0,IF($I243&lt;=$R$6,SUM($P$20:$P243),0))</f>
        <v>0</v>
      </c>
      <c r="S243" s="884">
        <f>IF(AND($AR$39="Early Payoff",I243&gt;=$R$13),0,IF($I243&lt;=$R$6,SUM($Q$20:$Q243),0))</f>
        <v>0</v>
      </c>
      <c r="T243" s="873">
        <f t="shared" si="89"/>
        <v>0</v>
      </c>
      <c r="U243" s="1110">
        <f t="shared" si="95"/>
        <v>0</v>
      </c>
      <c r="W243" s="1102">
        <f t="shared" si="80"/>
        <v>0</v>
      </c>
      <c r="X243" s="873">
        <f t="shared" si="81"/>
        <v>0</v>
      </c>
      <c r="Y243" s="873">
        <f t="shared" si="82"/>
        <v>0</v>
      </c>
      <c r="Z243" s="885">
        <f t="shared" si="83"/>
        <v>0</v>
      </c>
    </row>
    <row r="244" spans="2:26" s="278" customFormat="1" ht="12" customHeight="1" x14ac:dyDescent="0.25">
      <c r="B244" s="1192">
        <f t="shared" si="90"/>
        <v>244</v>
      </c>
      <c r="C244" s="732">
        <f t="shared" si="75"/>
        <v>28</v>
      </c>
      <c r="D244" s="35">
        <f t="shared" si="76"/>
        <v>2</v>
      </c>
      <c r="E244" s="889">
        <f t="shared" si="93"/>
        <v>54482</v>
      </c>
      <c r="F244" s="822">
        <f t="shared" si="77"/>
        <v>2</v>
      </c>
      <c r="G244" s="126">
        <f t="shared" si="78"/>
        <v>0</v>
      </c>
      <c r="H244" s="1098">
        <f t="shared" si="94"/>
        <v>0</v>
      </c>
      <c r="I244" s="887">
        <f t="shared" si="91"/>
        <v>225</v>
      </c>
      <c r="J244" s="1099">
        <f t="shared" si="84"/>
        <v>225</v>
      </c>
      <c r="K244" s="891" t="str">
        <f t="shared" si="85"/>
        <v>February</v>
      </c>
      <c r="L244" s="888">
        <f t="shared" si="92"/>
        <v>2049</v>
      </c>
      <c r="M244" s="883">
        <f t="shared" si="86"/>
        <v>0</v>
      </c>
      <c r="N244" s="883">
        <f t="shared" si="87"/>
        <v>0</v>
      </c>
      <c r="O244" s="1100"/>
      <c r="P244" s="883">
        <f t="shared" si="79"/>
        <v>0</v>
      </c>
      <c r="Q244" s="884">
        <f t="shared" si="88"/>
        <v>0</v>
      </c>
      <c r="R244" s="884">
        <f>IF(AND($AR$39="Early Payoff",I244&gt;=$R$13),0,IF($I244&lt;=$R$6,SUM($P$20:$P244),0))</f>
        <v>0</v>
      </c>
      <c r="S244" s="884">
        <f>IF(AND($AR$39="Early Payoff",I244&gt;=$R$13),0,IF($I244&lt;=$R$6,SUM($Q$20:$Q244),0))</f>
        <v>0</v>
      </c>
      <c r="T244" s="873">
        <f t="shared" si="89"/>
        <v>0</v>
      </c>
      <c r="U244" s="1110">
        <f t="shared" si="95"/>
        <v>0</v>
      </c>
      <c r="W244" s="1102">
        <f t="shared" si="80"/>
        <v>0</v>
      </c>
      <c r="X244" s="873">
        <f t="shared" si="81"/>
        <v>0</v>
      </c>
      <c r="Y244" s="873">
        <f t="shared" si="82"/>
        <v>0</v>
      </c>
      <c r="Z244" s="885">
        <f t="shared" si="83"/>
        <v>0</v>
      </c>
    </row>
    <row r="245" spans="2:26" s="278" customFormat="1" ht="12" customHeight="1" x14ac:dyDescent="0.25">
      <c r="B245" s="1192">
        <f t="shared" si="90"/>
        <v>245</v>
      </c>
      <c r="C245" s="732">
        <f t="shared" si="75"/>
        <v>31</v>
      </c>
      <c r="D245" s="35">
        <f t="shared" si="76"/>
        <v>3</v>
      </c>
      <c r="E245" s="889">
        <f t="shared" si="93"/>
        <v>54513</v>
      </c>
      <c r="F245" s="822">
        <f t="shared" si="77"/>
        <v>3</v>
      </c>
      <c r="G245" s="126">
        <f t="shared" si="78"/>
        <v>0</v>
      </c>
      <c r="H245" s="1098">
        <f t="shared" si="94"/>
        <v>0</v>
      </c>
      <c r="I245" s="887">
        <f t="shared" si="91"/>
        <v>226</v>
      </c>
      <c r="J245" s="1099">
        <f t="shared" si="84"/>
        <v>226</v>
      </c>
      <c r="K245" s="891" t="str">
        <f t="shared" si="85"/>
        <v>March</v>
      </c>
      <c r="L245" s="888">
        <f t="shared" si="92"/>
        <v>2049</v>
      </c>
      <c r="M245" s="883">
        <f t="shared" si="86"/>
        <v>0</v>
      </c>
      <c r="N245" s="883">
        <f t="shared" si="87"/>
        <v>0</v>
      </c>
      <c r="O245" s="1100"/>
      <c r="P245" s="883">
        <f t="shared" si="79"/>
        <v>0</v>
      </c>
      <c r="Q245" s="884">
        <f t="shared" si="88"/>
        <v>0</v>
      </c>
      <c r="R245" s="884">
        <f>IF(AND($AR$39="Early Payoff",I245&gt;=$R$13),0,IF($I245&lt;=$R$6,SUM($P$20:$P245),0))</f>
        <v>0</v>
      </c>
      <c r="S245" s="884">
        <f>IF(AND($AR$39="Early Payoff",I245&gt;=$R$13),0,IF($I245&lt;=$R$6,SUM($Q$20:$Q245),0))</f>
        <v>0</v>
      </c>
      <c r="T245" s="873">
        <f t="shared" si="89"/>
        <v>0</v>
      </c>
      <c r="U245" s="1110">
        <f t="shared" si="95"/>
        <v>0</v>
      </c>
      <c r="W245" s="1102">
        <f t="shared" si="80"/>
        <v>0</v>
      </c>
      <c r="X245" s="873">
        <f t="shared" si="81"/>
        <v>0</v>
      </c>
      <c r="Y245" s="873">
        <f t="shared" si="82"/>
        <v>0</v>
      </c>
      <c r="Z245" s="885">
        <f t="shared" si="83"/>
        <v>0</v>
      </c>
    </row>
    <row r="246" spans="2:26" s="278" customFormat="1" ht="12" customHeight="1" x14ac:dyDescent="0.25">
      <c r="B246" s="1192">
        <f t="shared" si="90"/>
        <v>246</v>
      </c>
      <c r="C246" s="732">
        <f t="shared" si="75"/>
        <v>30</v>
      </c>
      <c r="D246" s="35">
        <f t="shared" si="76"/>
        <v>4</v>
      </c>
      <c r="E246" s="889">
        <f t="shared" si="93"/>
        <v>54543</v>
      </c>
      <c r="F246" s="822">
        <f t="shared" si="77"/>
        <v>4</v>
      </c>
      <c r="G246" s="126">
        <f t="shared" si="78"/>
        <v>0</v>
      </c>
      <c r="H246" s="1098">
        <f t="shared" si="94"/>
        <v>0</v>
      </c>
      <c r="I246" s="887">
        <f t="shared" si="91"/>
        <v>227</v>
      </c>
      <c r="J246" s="1099">
        <f t="shared" si="84"/>
        <v>227</v>
      </c>
      <c r="K246" s="891" t="str">
        <f t="shared" si="85"/>
        <v>April</v>
      </c>
      <c r="L246" s="888">
        <f t="shared" si="92"/>
        <v>2049</v>
      </c>
      <c r="M246" s="883">
        <f t="shared" si="86"/>
        <v>0</v>
      </c>
      <c r="N246" s="883">
        <f t="shared" si="87"/>
        <v>0</v>
      </c>
      <c r="O246" s="1100"/>
      <c r="P246" s="883">
        <f t="shared" si="79"/>
        <v>0</v>
      </c>
      <c r="Q246" s="884">
        <f t="shared" si="88"/>
        <v>0</v>
      </c>
      <c r="R246" s="884">
        <f>IF(AND($AR$39="Early Payoff",I246&gt;=$R$13),0,IF($I246&lt;=$R$6,SUM($P$20:$P246),0))</f>
        <v>0</v>
      </c>
      <c r="S246" s="884">
        <f>IF(AND($AR$39="Early Payoff",I246&gt;=$R$13),0,IF($I246&lt;=$R$6,SUM($Q$20:$Q246),0))</f>
        <v>0</v>
      </c>
      <c r="T246" s="873">
        <f t="shared" si="89"/>
        <v>0</v>
      </c>
      <c r="U246" s="1110">
        <f t="shared" si="95"/>
        <v>0</v>
      </c>
      <c r="W246" s="1102">
        <f t="shared" si="80"/>
        <v>0</v>
      </c>
      <c r="X246" s="873">
        <f t="shared" si="81"/>
        <v>0</v>
      </c>
      <c r="Y246" s="873">
        <f t="shared" si="82"/>
        <v>0</v>
      </c>
      <c r="Z246" s="885">
        <f t="shared" si="83"/>
        <v>0</v>
      </c>
    </row>
    <row r="247" spans="2:26" s="278" customFormat="1" ht="12" customHeight="1" x14ac:dyDescent="0.25">
      <c r="B247" s="1192">
        <f t="shared" si="90"/>
        <v>247</v>
      </c>
      <c r="C247" s="732">
        <f t="shared" si="75"/>
        <v>31</v>
      </c>
      <c r="D247" s="35">
        <f t="shared" si="76"/>
        <v>5</v>
      </c>
      <c r="E247" s="889">
        <f t="shared" si="93"/>
        <v>54574</v>
      </c>
      <c r="F247" s="822">
        <f t="shared" si="77"/>
        <v>5</v>
      </c>
      <c r="G247" s="126">
        <f t="shared" si="78"/>
        <v>0</v>
      </c>
      <c r="H247" s="1098">
        <f t="shared" si="94"/>
        <v>0</v>
      </c>
      <c r="I247" s="887">
        <f t="shared" si="91"/>
        <v>228</v>
      </c>
      <c r="J247" s="1099">
        <f t="shared" si="84"/>
        <v>228</v>
      </c>
      <c r="K247" s="891" t="str">
        <f t="shared" si="85"/>
        <v>May</v>
      </c>
      <c r="L247" s="888">
        <f t="shared" si="92"/>
        <v>2049</v>
      </c>
      <c r="M247" s="883">
        <f t="shared" si="86"/>
        <v>0</v>
      </c>
      <c r="N247" s="883">
        <f t="shared" si="87"/>
        <v>0</v>
      </c>
      <c r="O247" s="1100"/>
      <c r="P247" s="883">
        <f t="shared" si="79"/>
        <v>0</v>
      </c>
      <c r="Q247" s="884">
        <f t="shared" si="88"/>
        <v>0</v>
      </c>
      <c r="R247" s="884">
        <f>IF(AND($AR$39="Early Payoff",I247&gt;=$R$13),0,IF($I247&lt;=$R$6,SUM($P$20:$P247),0))</f>
        <v>0</v>
      </c>
      <c r="S247" s="884">
        <f>IF(AND($AR$39="Early Payoff",I247&gt;=$R$13),0,IF($I247&lt;=$R$6,SUM($Q$20:$Q247),0))</f>
        <v>0</v>
      </c>
      <c r="T247" s="873">
        <f t="shared" si="89"/>
        <v>0</v>
      </c>
      <c r="U247" s="1110">
        <f t="shared" si="95"/>
        <v>0</v>
      </c>
      <c r="W247" s="1102">
        <f t="shared" si="80"/>
        <v>0</v>
      </c>
      <c r="X247" s="873">
        <f t="shared" si="81"/>
        <v>0</v>
      </c>
      <c r="Y247" s="873">
        <f t="shared" si="82"/>
        <v>0</v>
      </c>
      <c r="Z247" s="885">
        <f t="shared" si="83"/>
        <v>0</v>
      </c>
    </row>
    <row r="248" spans="2:26" s="278" customFormat="1" ht="12" customHeight="1" x14ac:dyDescent="0.25">
      <c r="B248" s="1192">
        <f t="shared" si="90"/>
        <v>248</v>
      </c>
      <c r="C248" s="732">
        <f t="shared" si="75"/>
        <v>30</v>
      </c>
      <c r="D248" s="35">
        <f t="shared" si="76"/>
        <v>6</v>
      </c>
      <c r="E248" s="889">
        <f t="shared" si="93"/>
        <v>54604</v>
      </c>
      <c r="F248" s="822">
        <f t="shared" si="77"/>
        <v>6</v>
      </c>
      <c r="G248" s="126">
        <f t="shared" si="78"/>
        <v>0</v>
      </c>
      <c r="H248" s="1098">
        <f t="shared" si="94"/>
        <v>0</v>
      </c>
      <c r="I248" s="887">
        <f t="shared" si="91"/>
        <v>229</v>
      </c>
      <c r="J248" s="1099">
        <f t="shared" si="84"/>
        <v>229</v>
      </c>
      <c r="K248" s="891" t="str">
        <f t="shared" si="85"/>
        <v>June</v>
      </c>
      <c r="L248" s="888">
        <f t="shared" si="92"/>
        <v>2049</v>
      </c>
      <c r="M248" s="883">
        <f t="shared" si="86"/>
        <v>0</v>
      </c>
      <c r="N248" s="883">
        <f t="shared" si="87"/>
        <v>0</v>
      </c>
      <c r="O248" s="1100"/>
      <c r="P248" s="883">
        <f t="shared" si="79"/>
        <v>0</v>
      </c>
      <c r="Q248" s="884">
        <f t="shared" si="88"/>
        <v>0</v>
      </c>
      <c r="R248" s="884">
        <f>IF(AND($AR$39="Early Payoff",I248&gt;=$R$13),0,IF($I248&lt;=$R$6,SUM($P$20:$P248),0))</f>
        <v>0</v>
      </c>
      <c r="S248" s="884">
        <f>IF(AND($AR$39="Early Payoff",I248&gt;=$R$13),0,IF($I248&lt;=$R$6,SUM($Q$20:$Q248),0))</f>
        <v>0</v>
      </c>
      <c r="T248" s="873">
        <f t="shared" si="89"/>
        <v>0</v>
      </c>
      <c r="U248" s="1110">
        <f t="shared" si="95"/>
        <v>0</v>
      </c>
      <c r="W248" s="1102">
        <f t="shared" si="80"/>
        <v>0</v>
      </c>
      <c r="X248" s="873">
        <f t="shared" si="81"/>
        <v>0</v>
      </c>
      <c r="Y248" s="873">
        <f t="shared" si="82"/>
        <v>0</v>
      </c>
      <c r="Z248" s="885">
        <f t="shared" si="83"/>
        <v>0</v>
      </c>
    </row>
    <row r="249" spans="2:26" s="278" customFormat="1" ht="12" customHeight="1" x14ac:dyDescent="0.25">
      <c r="B249" s="1192">
        <f t="shared" si="90"/>
        <v>249</v>
      </c>
      <c r="C249" s="732">
        <f t="shared" si="75"/>
        <v>31</v>
      </c>
      <c r="D249" s="35">
        <f t="shared" si="76"/>
        <v>7</v>
      </c>
      <c r="E249" s="889">
        <f t="shared" si="93"/>
        <v>54635</v>
      </c>
      <c r="F249" s="822">
        <f t="shared" si="77"/>
        <v>7</v>
      </c>
      <c r="G249" s="126">
        <f t="shared" si="78"/>
        <v>0</v>
      </c>
      <c r="H249" s="1098">
        <f t="shared" si="94"/>
        <v>0</v>
      </c>
      <c r="I249" s="887">
        <f t="shared" si="91"/>
        <v>230</v>
      </c>
      <c r="J249" s="1099">
        <f t="shared" si="84"/>
        <v>230</v>
      </c>
      <c r="K249" s="891" t="str">
        <f t="shared" si="85"/>
        <v>July</v>
      </c>
      <c r="L249" s="888">
        <f t="shared" si="92"/>
        <v>2049</v>
      </c>
      <c r="M249" s="883">
        <f t="shared" si="86"/>
        <v>0</v>
      </c>
      <c r="N249" s="883">
        <f t="shared" si="87"/>
        <v>0</v>
      </c>
      <c r="O249" s="1100"/>
      <c r="P249" s="883">
        <f t="shared" si="79"/>
        <v>0</v>
      </c>
      <c r="Q249" s="884">
        <f t="shared" si="88"/>
        <v>0</v>
      </c>
      <c r="R249" s="884">
        <f>IF(AND($AR$39="Early Payoff",I249&gt;=$R$13),0,IF($I249&lt;=$R$6,SUM($P$20:$P249),0))</f>
        <v>0</v>
      </c>
      <c r="S249" s="884">
        <f>IF(AND($AR$39="Early Payoff",I249&gt;=$R$13),0,IF($I249&lt;=$R$6,SUM($Q$20:$Q249),0))</f>
        <v>0</v>
      </c>
      <c r="T249" s="873">
        <f t="shared" si="89"/>
        <v>0</v>
      </c>
      <c r="U249" s="1110">
        <f t="shared" si="95"/>
        <v>0</v>
      </c>
      <c r="W249" s="1102">
        <f t="shared" si="80"/>
        <v>0</v>
      </c>
      <c r="X249" s="873">
        <f t="shared" si="81"/>
        <v>0</v>
      </c>
      <c r="Y249" s="873">
        <f t="shared" si="82"/>
        <v>0</v>
      </c>
      <c r="Z249" s="885">
        <f t="shared" si="83"/>
        <v>0</v>
      </c>
    </row>
    <row r="250" spans="2:26" s="278" customFormat="1" ht="12" customHeight="1" x14ac:dyDescent="0.25">
      <c r="B250" s="1192">
        <f t="shared" si="90"/>
        <v>250</v>
      </c>
      <c r="C250" s="732">
        <f t="shared" si="75"/>
        <v>31</v>
      </c>
      <c r="D250" s="35">
        <f t="shared" si="76"/>
        <v>8</v>
      </c>
      <c r="E250" s="889">
        <f t="shared" si="93"/>
        <v>54666</v>
      </c>
      <c r="F250" s="822">
        <f t="shared" si="77"/>
        <v>8</v>
      </c>
      <c r="G250" s="126">
        <f t="shared" si="78"/>
        <v>0</v>
      </c>
      <c r="H250" s="1098">
        <f t="shared" si="94"/>
        <v>0</v>
      </c>
      <c r="I250" s="887">
        <f t="shared" si="91"/>
        <v>231</v>
      </c>
      <c r="J250" s="1099">
        <f t="shared" si="84"/>
        <v>231</v>
      </c>
      <c r="K250" s="891" t="str">
        <f t="shared" si="85"/>
        <v>August</v>
      </c>
      <c r="L250" s="888">
        <f t="shared" si="92"/>
        <v>2049</v>
      </c>
      <c r="M250" s="883">
        <f t="shared" si="86"/>
        <v>0</v>
      </c>
      <c r="N250" s="883">
        <f t="shared" si="87"/>
        <v>0</v>
      </c>
      <c r="O250" s="1100"/>
      <c r="P250" s="883">
        <f t="shared" si="79"/>
        <v>0</v>
      </c>
      <c r="Q250" s="884">
        <f t="shared" si="88"/>
        <v>0</v>
      </c>
      <c r="R250" s="884">
        <f>IF(AND($AR$39="Early Payoff",I250&gt;=$R$13),0,IF($I250&lt;=$R$6,SUM($P$20:$P250),0))</f>
        <v>0</v>
      </c>
      <c r="S250" s="884">
        <f>IF(AND($AR$39="Early Payoff",I250&gt;=$R$13),0,IF($I250&lt;=$R$6,SUM($Q$20:$Q250),0))</f>
        <v>0</v>
      </c>
      <c r="T250" s="873">
        <f t="shared" si="89"/>
        <v>0</v>
      </c>
      <c r="U250" s="1110">
        <f t="shared" si="95"/>
        <v>0</v>
      </c>
      <c r="W250" s="1102">
        <f t="shared" si="80"/>
        <v>0</v>
      </c>
      <c r="X250" s="873">
        <f t="shared" si="81"/>
        <v>0</v>
      </c>
      <c r="Y250" s="873">
        <f t="shared" si="82"/>
        <v>0</v>
      </c>
      <c r="Z250" s="885">
        <f t="shared" si="83"/>
        <v>0</v>
      </c>
    </row>
    <row r="251" spans="2:26" s="278" customFormat="1" ht="12" customHeight="1" x14ac:dyDescent="0.25">
      <c r="B251" s="1192">
        <f t="shared" si="90"/>
        <v>251</v>
      </c>
      <c r="C251" s="732">
        <f t="shared" si="75"/>
        <v>30</v>
      </c>
      <c r="D251" s="35">
        <f t="shared" si="76"/>
        <v>9</v>
      </c>
      <c r="E251" s="889">
        <f t="shared" si="93"/>
        <v>54696</v>
      </c>
      <c r="F251" s="822">
        <f t="shared" si="77"/>
        <v>9</v>
      </c>
      <c r="G251" s="126">
        <f t="shared" si="78"/>
        <v>0</v>
      </c>
      <c r="H251" s="1098">
        <f t="shared" si="94"/>
        <v>0</v>
      </c>
      <c r="I251" s="887">
        <f t="shared" si="91"/>
        <v>232</v>
      </c>
      <c r="J251" s="1099">
        <f t="shared" si="84"/>
        <v>232</v>
      </c>
      <c r="K251" s="891" t="str">
        <f t="shared" si="85"/>
        <v>September</v>
      </c>
      <c r="L251" s="888">
        <f t="shared" si="92"/>
        <v>2049</v>
      </c>
      <c r="M251" s="883">
        <f t="shared" si="86"/>
        <v>0</v>
      </c>
      <c r="N251" s="883">
        <f t="shared" si="87"/>
        <v>0</v>
      </c>
      <c r="O251" s="1100"/>
      <c r="P251" s="883">
        <f t="shared" si="79"/>
        <v>0</v>
      </c>
      <c r="Q251" s="884">
        <f t="shared" si="88"/>
        <v>0</v>
      </c>
      <c r="R251" s="884">
        <f>IF(AND($AR$39="Early Payoff",I251&gt;=$R$13),0,IF($I251&lt;=$R$6,SUM($P$20:$P251),0))</f>
        <v>0</v>
      </c>
      <c r="S251" s="884">
        <f>IF(AND($AR$39="Early Payoff",I251&gt;=$R$13),0,IF($I251&lt;=$R$6,SUM($Q$20:$Q251),0))</f>
        <v>0</v>
      </c>
      <c r="T251" s="873">
        <f t="shared" si="89"/>
        <v>0</v>
      </c>
      <c r="U251" s="1110">
        <f t="shared" si="95"/>
        <v>0</v>
      </c>
      <c r="W251" s="1102">
        <f t="shared" si="80"/>
        <v>0</v>
      </c>
      <c r="X251" s="873">
        <f t="shared" si="81"/>
        <v>0</v>
      </c>
      <c r="Y251" s="873">
        <f t="shared" si="82"/>
        <v>0</v>
      </c>
      <c r="Z251" s="885">
        <f t="shared" si="83"/>
        <v>0</v>
      </c>
    </row>
    <row r="252" spans="2:26" s="278" customFormat="1" ht="12" customHeight="1" x14ac:dyDescent="0.25">
      <c r="B252" s="1192">
        <f t="shared" si="90"/>
        <v>252</v>
      </c>
      <c r="C252" s="732">
        <f t="shared" si="75"/>
        <v>31</v>
      </c>
      <c r="D252" s="35">
        <f t="shared" si="76"/>
        <v>10</v>
      </c>
      <c r="E252" s="889">
        <f t="shared" si="93"/>
        <v>54727</v>
      </c>
      <c r="F252" s="822">
        <f t="shared" si="77"/>
        <v>10</v>
      </c>
      <c r="G252" s="126">
        <f t="shared" si="78"/>
        <v>0</v>
      </c>
      <c r="H252" s="1098">
        <f t="shared" si="94"/>
        <v>0</v>
      </c>
      <c r="I252" s="887">
        <f t="shared" si="91"/>
        <v>233</v>
      </c>
      <c r="J252" s="1099">
        <f t="shared" si="84"/>
        <v>233</v>
      </c>
      <c r="K252" s="891" t="str">
        <f t="shared" si="85"/>
        <v>October</v>
      </c>
      <c r="L252" s="888">
        <f t="shared" si="92"/>
        <v>2049</v>
      </c>
      <c r="M252" s="883">
        <f t="shared" si="86"/>
        <v>0</v>
      </c>
      <c r="N252" s="883">
        <f t="shared" si="87"/>
        <v>0</v>
      </c>
      <c r="O252" s="1100"/>
      <c r="P252" s="883">
        <f t="shared" si="79"/>
        <v>0</v>
      </c>
      <c r="Q252" s="884">
        <f t="shared" si="88"/>
        <v>0</v>
      </c>
      <c r="R252" s="884">
        <f>IF(AND($AR$39="Early Payoff",I252&gt;=$R$13),0,IF($I252&lt;=$R$6,SUM($P$20:$P252),0))</f>
        <v>0</v>
      </c>
      <c r="S252" s="884">
        <f>IF(AND($AR$39="Early Payoff",I252&gt;=$R$13),0,IF($I252&lt;=$R$6,SUM($Q$20:$Q252),0))</f>
        <v>0</v>
      </c>
      <c r="T252" s="873">
        <f t="shared" si="89"/>
        <v>0</v>
      </c>
      <c r="U252" s="1110">
        <f t="shared" si="95"/>
        <v>0</v>
      </c>
      <c r="W252" s="1102">
        <f t="shared" si="80"/>
        <v>0</v>
      </c>
      <c r="X252" s="873">
        <f t="shared" si="81"/>
        <v>0</v>
      </c>
      <c r="Y252" s="873">
        <f t="shared" si="82"/>
        <v>0</v>
      </c>
      <c r="Z252" s="885">
        <f t="shared" si="83"/>
        <v>0</v>
      </c>
    </row>
    <row r="253" spans="2:26" s="278" customFormat="1" ht="12" customHeight="1" x14ac:dyDescent="0.25">
      <c r="B253" s="1192">
        <f t="shared" si="90"/>
        <v>253</v>
      </c>
      <c r="C253" s="732">
        <f t="shared" si="75"/>
        <v>30</v>
      </c>
      <c r="D253" s="35">
        <f t="shared" si="76"/>
        <v>11</v>
      </c>
      <c r="E253" s="889">
        <f t="shared" si="93"/>
        <v>54757</v>
      </c>
      <c r="F253" s="822">
        <f t="shared" si="77"/>
        <v>11</v>
      </c>
      <c r="G253" s="126">
        <f t="shared" si="78"/>
        <v>0</v>
      </c>
      <c r="H253" s="1098">
        <f t="shared" si="94"/>
        <v>0</v>
      </c>
      <c r="I253" s="887">
        <f t="shared" si="91"/>
        <v>234</v>
      </c>
      <c r="J253" s="1099">
        <f t="shared" si="84"/>
        <v>234</v>
      </c>
      <c r="K253" s="891" t="str">
        <f t="shared" si="85"/>
        <v>November</v>
      </c>
      <c r="L253" s="888">
        <f t="shared" si="92"/>
        <v>2049</v>
      </c>
      <c r="M253" s="883">
        <f t="shared" si="86"/>
        <v>0</v>
      </c>
      <c r="N253" s="883">
        <f t="shared" si="87"/>
        <v>0</v>
      </c>
      <c r="O253" s="1100"/>
      <c r="P253" s="883">
        <f t="shared" si="79"/>
        <v>0</v>
      </c>
      <c r="Q253" s="884">
        <f t="shared" si="88"/>
        <v>0</v>
      </c>
      <c r="R253" s="884">
        <f>IF(AND($AR$39="Early Payoff",I253&gt;=$R$13),0,IF($I253&lt;=$R$6,SUM($P$20:$P253),0))</f>
        <v>0</v>
      </c>
      <c r="S253" s="884">
        <f>IF(AND($AR$39="Early Payoff",I253&gt;=$R$13),0,IF($I253&lt;=$R$6,SUM($Q$20:$Q253),0))</f>
        <v>0</v>
      </c>
      <c r="T253" s="873">
        <f t="shared" si="89"/>
        <v>0</v>
      </c>
      <c r="U253" s="1110">
        <f t="shared" si="95"/>
        <v>0</v>
      </c>
      <c r="W253" s="1102">
        <f t="shared" si="80"/>
        <v>0</v>
      </c>
      <c r="X253" s="873">
        <f t="shared" si="81"/>
        <v>0</v>
      </c>
      <c r="Y253" s="873">
        <f t="shared" si="82"/>
        <v>0</v>
      </c>
      <c r="Z253" s="885">
        <f t="shared" si="83"/>
        <v>0</v>
      </c>
    </row>
    <row r="254" spans="2:26" s="278" customFormat="1" ht="12" customHeight="1" x14ac:dyDescent="0.25">
      <c r="B254" s="1192">
        <f t="shared" si="90"/>
        <v>254</v>
      </c>
      <c r="C254" s="732">
        <f t="shared" si="75"/>
        <v>31</v>
      </c>
      <c r="D254" s="35">
        <f t="shared" si="76"/>
        <v>12</v>
      </c>
      <c r="E254" s="889">
        <f t="shared" si="93"/>
        <v>54788</v>
      </c>
      <c r="F254" s="822">
        <f t="shared" si="77"/>
        <v>12</v>
      </c>
      <c r="G254" s="126">
        <f t="shared" si="78"/>
        <v>1</v>
      </c>
      <c r="H254" s="1098">
        <f t="shared" si="94"/>
        <v>0</v>
      </c>
      <c r="I254" s="887">
        <f t="shared" si="91"/>
        <v>235</v>
      </c>
      <c r="J254" s="1099">
        <f t="shared" si="84"/>
        <v>235</v>
      </c>
      <c r="K254" s="891" t="str">
        <f t="shared" si="85"/>
        <v>December</v>
      </c>
      <c r="L254" s="888">
        <f t="shared" si="92"/>
        <v>2049</v>
      </c>
      <c r="M254" s="883">
        <f t="shared" si="86"/>
        <v>0</v>
      </c>
      <c r="N254" s="883">
        <f t="shared" si="87"/>
        <v>0</v>
      </c>
      <c r="O254" s="1100"/>
      <c r="P254" s="883">
        <f t="shared" si="79"/>
        <v>0</v>
      </c>
      <c r="Q254" s="884">
        <f t="shared" si="88"/>
        <v>0</v>
      </c>
      <c r="R254" s="884">
        <f>IF(AND($AR$39="Early Payoff",I254&gt;=$R$13),0,IF($I254&lt;=$R$6,SUM($P$20:$P254),0))</f>
        <v>0</v>
      </c>
      <c r="S254" s="884">
        <f>IF(AND($AR$39="Early Payoff",I254&gt;=$R$13),0,IF($I254&lt;=$R$6,SUM($Q$20:$Q254),0))</f>
        <v>0</v>
      </c>
      <c r="T254" s="873">
        <f t="shared" si="89"/>
        <v>0</v>
      </c>
      <c r="U254" s="1110">
        <f t="shared" si="95"/>
        <v>0</v>
      </c>
      <c r="W254" s="1102">
        <f t="shared" si="80"/>
        <v>0</v>
      </c>
      <c r="X254" s="873">
        <f t="shared" si="81"/>
        <v>0</v>
      </c>
      <c r="Y254" s="873">
        <f t="shared" si="82"/>
        <v>0</v>
      </c>
      <c r="Z254" s="885">
        <f t="shared" si="83"/>
        <v>0</v>
      </c>
    </row>
    <row r="255" spans="2:26" s="278" customFormat="1" ht="12" customHeight="1" x14ac:dyDescent="0.25">
      <c r="B255" s="1192">
        <f t="shared" si="90"/>
        <v>255</v>
      </c>
      <c r="C255" s="732">
        <f t="shared" si="75"/>
        <v>31</v>
      </c>
      <c r="D255" s="35">
        <f t="shared" si="76"/>
        <v>1</v>
      </c>
      <c r="E255" s="889">
        <f t="shared" si="93"/>
        <v>54819</v>
      </c>
      <c r="F255" s="822">
        <f t="shared" si="77"/>
        <v>1</v>
      </c>
      <c r="G255" s="126">
        <f t="shared" si="78"/>
        <v>0</v>
      </c>
      <c r="H255" s="1098">
        <f t="shared" si="94"/>
        <v>0</v>
      </c>
      <c r="I255" s="887">
        <f t="shared" si="91"/>
        <v>236</v>
      </c>
      <c r="J255" s="1099">
        <f t="shared" si="84"/>
        <v>236</v>
      </c>
      <c r="K255" s="891" t="str">
        <f t="shared" si="85"/>
        <v>January</v>
      </c>
      <c r="L255" s="888">
        <f t="shared" si="92"/>
        <v>2050</v>
      </c>
      <c r="M255" s="883">
        <f t="shared" si="86"/>
        <v>0</v>
      </c>
      <c r="N255" s="883">
        <f t="shared" si="87"/>
        <v>0</v>
      </c>
      <c r="O255" s="1100"/>
      <c r="P255" s="883">
        <f t="shared" si="79"/>
        <v>0</v>
      </c>
      <c r="Q255" s="884">
        <f t="shared" si="88"/>
        <v>0</v>
      </c>
      <c r="R255" s="884">
        <f>IF(AND($AR$39="Early Payoff",I255&gt;=$R$13),0,IF($I255&lt;=$R$6,SUM($P$20:$P255),0))</f>
        <v>0</v>
      </c>
      <c r="S255" s="884">
        <f>IF(AND($AR$39="Early Payoff",I255&gt;=$R$13),0,IF($I255&lt;=$R$6,SUM($Q$20:$Q255),0))</f>
        <v>0</v>
      </c>
      <c r="T255" s="873">
        <f t="shared" si="89"/>
        <v>0</v>
      </c>
      <c r="U255" s="1110">
        <f t="shared" si="95"/>
        <v>0</v>
      </c>
      <c r="W255" s="1102">
        <f t="shared" si="80"/>
        <v>0</v>
      </c>
      <c r="X255" s="873">
        <f t="shared" si="81"/>
        <v>0</v>
      </c>
      <c r="Y255" s="873">
        <f t="shared" si="82"/>
        <v>0</v>
      </c>
      <c r="Z255" s="885">
        <f t="shared" si="83"/>
        <v>0</v>
      </c>
    </row>
    <row r="256" spans="2:26" s="278" customFormat="1" ht="12" customHeight="1" x14ac:dyDescent="0.25">
      <c r="B256" s="1192">
        <f t="shared" si="90"/>
        <v>256</v>
      </c>
      <c r="C256" s="732">
        <f t="shared" si="75"/>
        <v>28</v>
      </c>
      <c r="D256" s="35">
        <f t="shared" si="76"/>
        <v>2</v>
      </c>
      <c r="E256" s="889">
        <f t="shared" si="93"/>
        <v>54847</v>
      </c>
      <c r="F256" s="822">
        <f t="shared" si="77"/>
        <v>2</v>
      </c>
      <c r="G256" s="126">
        <f t="shared" si="78"/>
        <v>0</v>
      </c>
      <c r="H256" s="1098">
        <f t="shared" si="94"/>
        <v>0</v>
      </c>
      <c r="I256" s="887">
        <f t="shared" si="91"/>
        <v>237</v>
      </c>
      <c r="J256" s="1099">
        <f t="shared" si="84"/>
        <v>237</v>
      </c>
      <c r="K256" s="891" t="str">
        <f t="shared" si="85"/>
        <v>February</v>
      </c>
      <c r="L256" s="888">
        <f t="shared" si="92"/>
        <v>2050</v>
      </c>
      <c r="M256" s="883">
        <f t="shared" si="86"/>
        <v>0</v>
      </c>
      <c r="N256" s="883">
        <f t="shared" si="87"/>
        <v>0</v>
      </c>
      <c r="O256" s="1100"/>
      <c r="P256" s="883">
        <f t="shared" si="79"/>
        <v>0</v>
      </c>
      <c r="Q256" s="884">
        <f t="shared" si="88"/>
        <v>0</v>
      </c>
      <c r="R256" s="884">
        <f>IF(AND($AR$39="Early Payoff",I256&gt;=$R$13),0,IF($I256&lt;=$R$6,SUM($P$20:$P256),0))</f>
        <v>0</v>
      </c>
      <c r="S256" s="884">
        <f>IF(AND($AR$39="Early Payoff",I256&gt;=$R$13),0,IF($I256&lt;=$R$6,SUM($Q$20:$Q256),0))</f>
        <v>0</v>
      </c>
      <c r="T256" s="873">
        <f t="shared" si="89"/>
        <v>0</v>
      </c>
      <c r="U256" s="1110">
        <f t="shared" si="95"/>
        <v>0</v>
      </c>
      <c r="W256" s="1102">
        <f t="shared" si="80"/>
        <v>0</v>
      </c>
      <c r="X256" s="873">
        <f t="shared" si="81"/>
        <v>0</v>
      </c>
      <c r="Y256" s="873">
        <f t="shared" si="82"/>
        <v>0</v>
      </c>
      <c r="Z256" s="885">
        <f t="shared" si="83"/>
        <v>0</v>
      </c>
    </row>
    <row r="257" spans="2:26" s="278" customFormat="1" ht="12" customHeight="1" x14ac:dyDescent="0.25">
      <c r="B257" s="1192">
        <f t="shared" si="90"/>
        <v>257</v>
      </c>
      <c r="C257" s="732">
        <f t="shared" si="75"/>
        <v>31</v>
      </c>
      <c r="D257" s="35">
        <f t="shared" si="76"/>
        <v>3</v>
      </c>
      <c r="E257" s="889">
        <f t="shared" si="93"/>
        <v>54878</v>
      </c>
      <c r="F257" s="822">
        <f t="shared" si="77"/>
        <v>3</v>
      </c>
      <c r="G257" s="126">
        <f t="shared" si="78"/>
        <v>0</v>
      </c>
      <c r="H257" s="1098">
        <f t="shared" si="94"/>
        <v>0</v>
      </c>
      <c r="I257" s="887">
        <f t="shared" si="91"/>
        <v>238</v>
      </c>
      <c r="J257" s="1099">
        <f t="shared" si="84"/>
        <v>238</v>
      </c>
      <c r="K257" s="891" t="str">
        <f t="shared" si="85"/>
        <v>March</v>
      </c>
      <c r="L257" s="888">
        <f t="shared" si="92"/>
        <v>2050</v>
      </c>
      <c r="M257" s="883">
        <f t="shared" si="86"/>
        <v>0</v>
      </c>
      <c r="N257" s="883">
        <f t="shared" si="87"/>
        <v>0</v>
      </c>
      <c r="O257" s="1100"/>
      <c r="P257" s="883">
        <f t="shared" si="79"/>
        <v>0</v>
      </c>
      <c r="Q257" s="884">
        <f t="shared" si="88"/>
        <v>0</v>
      </c>
      <c r="R257" s="884">
        <f>IF(AND($AR$39="Early Payoff",I257&gt;=$R$13),0,IF($I257&lt;=$R$6,SUM($P$20:$P257),0))</f>
        <v>0</v>
      </c>
      <c r="S257" s="884">
        <f>IF(AND($AR$39="Early Payoff",I257&gt;=$R$13),0,IF($I257&lt;=$R$6,SUM($Q$20:$Q257),0))</f>
        <v>0</v>
      </c>
      <c r="T257" s="873">
        <f t="shared" si="89"/>
        <v>0</v>
      </c>
      <c r="U257" s="1110">
        <f t="shared" si="95"/>
        <v>0</v>
      </c>
      <c r="W257" s="1102">
        <f t="shared" si="80"/>
        <v>0</v>
      </c>
      <c r="X257" s="873">
        <f t="shared" si="81"/>
        <v>0</v>
      </c>
      <c r="Y257" s="873">
        <f t="shared" si="82"/>
        <v>0</v>
      </c>
      <c r="Z257" s="885">
        <f t="shared" si="83"/>
        <v>0</v>
      </c>
    </row>
    <row r="258" spans="2:26" s="278" customFormat="1" ht="12" customHeight="1" x14ac:dyDescent="0.25">
      <c r="B258" s="1192">
        <f t="shared" si="90"/>
        <v>258</v>
      </c>
      <c r="C258" s="732">
        <f t="shared" si="75"/>
        <v>30</v>
      </c>
      <c r="D258" s="35">
        <f t="shared" si="76"/>
        <v>4</v>
      </c>
      <c r="E258" s="889">
        <f t="shared" si="93"/>
        <v>54908</v>
      </c>
      <c r="F258" s="822">
        <f t="shared" si="77"/>
        <v>4</v>
      </c>
      <c r="G258" s="126">
        <f t="shared" si="78"/>
        <v>0</v>
      </c>
      <c r="H258" s="1098">
        <f t="shared" si="94"/>
        <v>0</v>
      </c>
      <c r="I258" s="887">
        <f t="shared" si="91"/>
        <v>239</v>
      </c>
      <c r="J258" s="1099">
        <f t="shared" si="84"/>
        <v>239</v>
      </c>
      <c r="K258" s="891" t="str">
        <f t="shared" si="85"/>
        <v>April</v>
      </c>
      <c r="L258" s="888">
        <f t="shared" si="92"/>
        <v>2050</v>
      </c>
      <c r="M258" s="883">
        <f t="shared" si="86"/>
        <v>0</v>
      </c>
      <c r="N258" s="883">
        <f t="shared" si="87"/>
        <v>0</v>
      </c>
      <c r="O258" s="1100"/>
      <c r="P258" s="883">
        <f t="shared" si="79"/>
        <v>0</v>
      </c>
      <c r="Q258" s="884">
        <f t="shared" si="88"/>
        <v>0</v>
      </c>
      <c r="R258" s="884">
        <f>IF(AND($AR$39="Early Payoff",I258&gt;=$R$13),0,IF($I258&lt;=$R$6,SUM($P$20:$P258),0))</f>
        <v>0</v>
      </c>
      <c r="S258" s="884">
        <f>IF(AND($AR$39="Early Payoff",I258&gt;=$R$13),0,IF($I258&lt;=$R$6,SUM($Q$20:$Q258),0))</f>
        <v>0</v>
      </c>
      <c r="T258" s="873">
        <f t="shared" si="89"/>
        <v>0</v>
      </c>
      <c r="U258" s="1110">
        <f t="shared" si="95"/>
        <v>0</v>
      </c>
      <c r="W258" s="1102">
        <f t="shared" si="80"/>
        <v>0</v>
      </c>
      <c r="X258" s="873">
        <f t="shared" si="81"/>
        <v>0</v>
      </c>
      <c r="Y258" s="873">
        <f t="shared" si="82"/>
        <v>0</v>
      </c>
      <c r="Z258" s="885">
        <f t="shared" si="83"/>
        <v>0</v>
      </c>
    </row>
    <row r="259" spans="2:26" s="278" customFormat="1" ht="12" customHeight="1" x14ac:dyDescent="0.25">
      <c r="B259" s="1192">
        <f t="shared" si="90"/>
        <v>259</v>
      </c>
      <c r="C259" s="732">
        <f t="shared" si="75"/>
        <v>31</v>
      </c>
      <c r="D259" s="35">
        <f t="shared" si="76"/>
        <v>5</v>
      </c>
      <c r="E259" s="889">
        <f t="shared" si="93"/>
        <v>54939</v>
      </c>
      <c r="F259" s="822">
        <f t="shared" si="77"/>
        <v>5</v>
      </c>
      <c r="G259" s="126">
        <f t="shared" si="78"/>
        <v>0</v>
      </c>
      <c r="H259" s="1098">
        <f t="shared" si="94"/>
        <v>0</v>
      </c>
      <c r="I259" s="887">
        <f t="shared" si="91"/>
        <v>240</v>
      </c>
      <c r="J259" s="1099">
        <f t="shared" si="84"/>
        <v>240</v>
      </c>
      <c r="K259" s="891" t="str">
        <f t="shared" si="85"/>
        <v>May</v>
      </c>
      <c r="L259" s="888">
        <f t="shared" si="92"/>
        <v>2050</v>
      </c>
      <c r="M259" s="883">
        <f t="shared" si="86"/>
        <v>0</v>
      </c>
      <c r="N259" s="883">
        <f t="shared" si="87"/>
        <v>0</v>
      </c>
      <c r="O259" s="1100"/>
      <c r="P259" s="883">
        <f t="shared" si="79"/>
        <v>0</v>
      </c>
      <c r="Q259" s="884">
        <f t="shared" si="88"/>
        <v>0</v>
      </c>
      <c r="R259" s="884">
        <f>IF(AND($AR$39="Early Payoff",I259&gt;=$R$13),0,IF($I259&lt;=$R$6,SUM($P$20:$P259),0))</f>
        <v>0</v>
      </c>
      <c r="S259" s="884">
        <f>IF(AND($AR$39="Early Payoff",I259&gt;=$R$13),0,IF($I259&lt;=$R$6,SUM($Q$20:$Q259),0))</f>
        <v>0</v>
      </c>
      <c r="T259" s="873">
        <f t="shared" si="89"/>
        <v>0</v>
      </c>
      <c r="U259" s="1110">
        <f t="shared" si="95"/>
        <v>0</v>
      </c>
      <c r="W259" s="1102">
        <f t="shared" si="80"/>
        <v>0</v>
      </c>
      <c r="X259" s="873">
        <f t="shared" si="81"/>
        <v>0</v>
      </c>
      <c r="Y259" s="873">
        <f t="shared" si="82"/>
        <v>0</v>
      </c>
      <c r="Z259" s="885">
        <f t="shared" si="83"/>
        <v>0</v>
      </c>
    </row>
    <row r="260" spans="2:26" s="278" customFormat="1" ht="12" customHeight="1" x14ac:dyDescent="0.25">
      <c r="B260" s="1192">
        <f t="shared" si="90"/>
        <v>260</v>
      </c>
      <c r="C260" s="732">
        <f t="shared" si="75"/>
        <v>30</v>
      </c>
      <c r="D260" s="35">
        <f t="shared" si="76"/>
        <v>6</v>
      </c>
      <c r="E260" s="889">
        <f t="shared" si="93"/>
        <v>54969</v>
      </c>
      <c r="F260" s="822">
        <f t="shared" si="77"/>
        <v>6</v>
      </c>
      <c r="G260" s="126">
        <f t="shared" si="78"/>
        <v>0</v>
      </c>
      <c r="H260" s="1098">
        <f t="shared" si="94"/>
        <v>0</v>
      </c>
      <c r="I260" s="887">
        <f t="shared" si="91"/>
        <v>241</v>
      </c>
      <c r="J260" s="1099">
        <f t="shared" si="84"/>
        <v>241</v>
      </c>
      <c r="K260" s="891" t="str">
        <f t="shared" si="85"/>
        <v>June</v>
      </c>
      <c r="L260" s="888">
        <f t="shared" si="92"/>
        <v>2050</v>
      </c>
      <c r="M260" s="883">
        <f t="shared" si="86"/>
        <v>0</v>
      </c>
      <c r="N260" s="883">
        <f t="shared" si="87"/>
        <v>0</v>
      </c>
      <c r="O260" s="1100"/>
      <c r="P260" s="883">
        <f t="shared" si="79"/>
        <v>0</v>
      </c>
      <c r="Q260" s="884">
        <f t="shared" si="88"/>
        <v>0</v>
      </c>
      <c r="R260" s="884">
        <f>IF(AND($AR$39="Early Payoff",I260&gt;=$R$13),0,IF($I260&lt;=$R$6,SUM($P$20:$P260),0))</f>
        <v>0</v>
      </c>
      <c r="S260" s="884">
        <f>IF(AND($AR$39="Early Payoff",I260&gt;=$R$13),0,IF($I260&lt;=$R$6,SUM($Q$20:$Q260),0))</f>
        <v>0</v>
      </c>
      <c r="T260" s="873">
        <f t="shared" si="89"/>
        <v>0</v>
      </c>
      <c r="U260" s="1110">
        <f t="shared" si="95"/>
        <v>0</v>
      </c>
      <c r="W260" s="1102">
        <f t="shared" si="80"/>
        <v>0</v>
      </c>
      <c r="X260" s="873">
        <f t="shared" si="81"/>
        <v>0</v>
      </c>
      <c r="Y260" s="873">
        <f t="shared" si="82"/>
        <v>0</v>
      </c>
      <c r="Z260" s="885">
        <f t="shared" si="83"/>
        <v>0</v>
      </c>
    </row>
    <row r="261" spans="2:26" s="278" customFormat="1" ht="12" customHeight="1" x14ac:dyDescent="0.25">
      <c r="B261" s="1192">
        <f t="shared" si="90"/>
        <v>261</v>
      </c>
      <c r="C261" s="732">
        <f t="shared" si="75"/>
        <v>31</v>
      </c>
      <c r="D261" s="35">
        <f t="shared" si="76"/>
        <v>7</v>
      </c>
      <c r="E261" s="889">
        <f t="shared" si="93"/>
        <v>55000</v>
      </c>
      <c r="F261" s="822">
        <f t="shared" si="77"/>
        <v>7</v>
      </c>
      <c r="G261" s="126">
        <f t="shared" si="78"/>
        <v>0</v>
      </c>
      <c r="H261" s="1098">
        <f t="shared" si="94"/>
        <v>0</v>
      </c>
      <c r="I261" s="887">
        <f t="shared" si="91"/>
        <v>242</v>
      </c>
      <c r="J261" s="1099">
        <f t="shared" si="84"/>
        <v>242</v>
      </c>
      <c r="K261" s="891" t="str">
        <f t="shared" si="85"/>
        <v>July</v>
      </c>
      <c r="L261" s="888">
        <f t="shared" si="92"/>
        <v>2050</v>
      </c>
      <c r="M261" s="883">
        <f t="shared" si="86"/>
        <v>0</v>
      </c>
      <c r="N261" s="883">
        <f t="shared" si="87"/>
        <v>0</v>
      </c>
      <c r="O261" s="1100"/>
      <c r="P261" s="883">
        <f t="shared" si="79"/>
        <v>0</v>
      </c>
      <c r="Q261" s="884">
        <f t="shared" si="88"/>
        <v>0</v>
      </c>
      <c r="R261" s="884">
        <f>IF(AND($AR$39="Early Payoff",I261&gt;=$R$13),0,IF($I261&lt;=$R$6,SUM($P$20:$P261),0))</f>
        <v>0</v>
      </c>
      <c r="S261" s="884">
        <f>IF(AND($AR$39="Early Payoff",I261&gt;=$R$13),0,IF($I261&lt;=$R$6,SUM($Q$20:$Q261),0))</f>
        <v>0</v>
      </c>
      <c r="T261" s="873">
        <f t="shared" si="89"/>
        <v>0</v>
      </c>
      <c r="U261" s="1110">
        <f t="shared" si="95"/>
        <v>0</v>
      </c>
      <c r="W261" s="1102">
        <f t="shared" si="80"/>
        <v>0</v>
      </c>
      <c r="X261" s="873">
        <f t="shared" si="81"/>
        <v>0</v>
      </c>
      <c r="Y261" s="873">
        <f t="shared" si="82"/>
        <v>0</v>
      </c>
      <c r="Z261" s="885">
        <f t="shared" si="83"/>
        <v>0</v>
      </c>
    </row>
    <row r="262" spans="2:26" s="278" customFormat="1" ht="12" customHeight="1" x14ac:dyDescent="0.25">
      <c r="B262" s="1192">
        <f t="shared" si="90"/>
        <v>262</v>
      </c>
      <c r="C262" s="732">
        <f t="shared" si="75"/>
        <v>31</v>
      </c>
      <c r="D262" s="35">
        <f t="shared" si="76"/>
        <v>8</v>
      </c>
      <c r="E262" s="889">
        <f t="shared" si="93"/>
        <v>55031</v>
      </c>
      <c r="F262" s="822">
        <f t="shared" si="77"/>
        <v>8</v>
      </c>
      <c r="G262" s="126">
        <f t="shared" si="78"/>
        <v>0</v>
      </c>
      <c r="H262" s="1098">
        <f t="shared" si="94"/>
        <v>0</v>
      </c>
      <c r="I262" s="887">
        <f t="shared" si="91"/>
        <v>243</v>
      </c>
      <c r="J262" s="1099">
        <f t="shared" si="84"/>
        <v>243</v>
      </c>
      <c r="K262" s="891" t="str">
        <f t="shared" si="85"/>
        <v>August</v>
      </c>
      <c r="L262" s="888">
        <f t="shared" si="92"/>
        <v>2050</v>
      </c>
      <c r="M262" s="883">
        <f t="shared" si="86"/>
        <v>0</v>
      </c>
      <c r="N262" s="883">
        <f t="shared" si="87"/>
        <v>0</v>
      </c>
      <c r="O262" s="1100"/>
      <c r="P262" s="883">
        <f t="shared" si="79"/>
        <v>0</v>
      </c>
      <c r="Q262" s="884">
        <f t="shared" si="88"/>
        <v>0</v>
      </c>
      <c r="R262" s="884">
        <f>IF(AND($AR$39="Early Payoff",I262&gt;=$R$13),0,IF($I262&lt;=$R$6,SUM($P$20:$P262),0))</f>
        <v>0</v>
      </c>
      <c r="S262" s="884">
        <f>IF(AND($AR$39="Early Payoff",I262&gt;=$R$13),0,IF($I262&lt;=$R$6,SUM($Q$20:$Q262),0))</f>
        <v>0</v>
      </c>
      <c r="T262" s="873">
        <f t="shared" si="89"/>
        <v>0</v>
      </c>
      <c r="U262" s="1110">
        <f t="shared" si="95"/>
        <v>0</v>
      </c>
      <c r="W262" s="1102">
        <f t="shared" si="80"/>
        <v>0</v>
      </c>
      <c r="X262" s="873">
        <f t="shared" si="81"/>
        <v>0</v>
      </c>
      <c r="Y262" s="873">
        <f t="shared" si="82"/>
        <v>0</v>
      </c>
      <c r="Z262" s="885">
        <f t="shared" si="83"/>
        <v>0</v>
      </c>
    </row>
    <row r="263" spans="2:26" s="278" customFormat="1" ht="12" customHeight="1" x14ac:dyDescent="0.25">
      <c r="B263" s="1192">
        <f t="shared" si="90"/>
        <v>263</v>
      </c>
      <c r="C263" s="732">
        <f t="shared" si="75"/>
        <v>30</v>
      </c>
      <c r="D263" s="35">
        <f t="shared" si="76"/>
        <v>9</v>
      </c>
      <c r="E263" s="889">
        <f t="shared" si="93"/>
        <v>55061</v>
      </c>
      <c r="F263" s="822">
        <f t="shared" si="77"/>
        <v>9</v>
      </c>
      <c r="G263" s="126">
        <f t="shared" si="78"/>
        <v>0</v>
      </c>
      <c r="H263" s="1098">
        <f t="shared" si="94"/>
        <v>0</v>
      </c>
      <c r="I263" s="887">
        <f t="shared" si="91"/>
        <v>244</v>
      </c>
      <c r="J263" s="1099">
        <f t="shared" si="84"/>
        <v>244</v>
      </c>
      <c r="K263" s="891" t="str">
        <f t="shared" si="85"/>
        <v>September</v>
      </c>
      <c r="L263" s="888">
        <f t="shared" si="92"/>
        <v>2050</v>
      </c>
      <c r="M263" s="883">
        <f t="shared" si="86"/>
        <v>0</v>
      </c>
      <c r="N263" s="883">
        <f t="shared" si="87"/>
        <v>0</v>
      </c>
      <c r="O263" s="1100"/>
      <c r="P263" s="883">
        <f t="shared" si="79"/>
        <v>0</v>
      </c>
      <c r="Q263" s="884">
        <f t="shared" si="88"/>
        <v>0</v>
      </c>
      <c r="R263" s="884">
        <f>IF(AND($AR$39="Early Payoff",I263&gt;=$R$13),0,IF($I263&lt;=$R$6,SUM($P$20:$P263),0))</f>
        <v>0</v>
      </c>
      <c r="S263" s="884">
        <f>IF(AND($AR$39="Early Payoff",I263&gt;=$R$13),0,IF($I263&lt;=$R$6,SUM($Q$20:$Q263),0))</f>
        <v>0</v>
      </c>
      <c r="T263" s="873">
        <f t="shared" si="89"/>
        <v>0</v>
      </c>
      <c r="U263" s="1110">
        <f t="shared" si="95"/>
        <v>0</v>
      </c>
      <c r="W263" s="1102">
        <f t="shared" si="80"/>
        <v>0</v>
      </c>
      <c r="X263" s="873">
        <f t="shared" si="81"/>
        <v>0</v>
      </c>
      <c r="Y263" s="873">
        <f t="shared" si="82"/>
        <v>0</v>
      </c>
      <c r="Z263" s="885">
        <f t="shared" si="83"/>
        <v>0</v>
      </c>
    </row>
    <row r="264" spans="2:26" s="278" customFormat="1" ht="12" customHeight="1" x14ac:dyDescent="0.25">
      <c r="B264" s="1192">
        <f t="shared" si="90"/>
        <v>264</v>
      </c>
      <c r="C264" s="732">
        <f t="shared" si="75"/>
        <v>31</v>
      </c>
      <c r="D264" s="35">
        <f t="shared" si="76"/>
        <v>10</v>
      </c>
      <c r="E264" s="889">
        <f t="shared" si="93"/>
        <v>55092</v>
      </c>
      <c r="F264" s="822">
        <f t="shared" si="77"/>
        <v>10</v>
      </c>
      <c r="G264" s="126">
        <f t="shared" si="78"/>
        <v>0</v>
      </c>
      <c r="H264" s="1098">
        <f t="shared" si="94"/>
        <v>0</v>
      </c>
      <c r="I264" s="887">
        <f t="shared" si="91"/>
        <v>245</v>
      </c>
      <c r="J264" s="1099">
        <f t="shared" si="84"/>
        <v>245</v>
      </c>
      <c r="K264" s="891" t="str">
        <f t="shared" si="85"/>
        <v>October</v>
      </c>
      <c r="L264" s="888">
        <f t="shared" si="92"/>
        <v>2050</v>
      </c>
      <c r="M264" s="883">
        <f t="shared" si="86"/>
        <v>0</v>
      </c>
      <c r="N264" s="883">
        <f t="shared" si="87"/>
        <v>0</v>
      </c>
      <c r="O264" s="1100"/>
      <c r="P264" s="883">
        <f t="shared" si="79"/>
        <v>0</v>
      </c>
      <c r="Q264" s="884">
        <f t="shared" si="88"/>
        <v>0</v>
      </c>
      <c r="R264" s="884">
        <f>IF(AND($AR$39="Early Payoff",I264&gt;=$R$13),0,IF($I264&lt;=$R$6,SUM($P$20:$P264),0))</f>
        <v>0</v>
      </c>
      <c r="S264" s="884">
        <f>IF(AND($AR$39="Early Payoff",I264&gt;=$R$13),0,IF($I264&lt;=$R$6,SUM($Q$20:$Q264),0))</f>
        <v>0</v>
      </c>
      <c r="T264" s="873">
        <f t="shared" si="89"/>
        <v>0</v>
      </c>
      <c r="U264" s="1110">
        <f t="shared" si="95"/>
        <v>0</v>
      </c>
      <c r="W264" s="1102">
        <f t="shared" si="80"/>
        <v>0</v>
      </c>
      <c r="X264" s="873">
        <f t="shared" si="81"/>
        <v>0</v>
      </c>
      <c r="Y264" s="873">
        <f t="shared" si="82"/>
        <v>0</v>
      </c>
      <c r="Z264" s="885">
        <f t="shared" si="83"/>
        <v>0</v>
      </c>
    </row>
    <row r="265" spans="2:26" s="278" customFormat="1" ht="12" customHeight="1" x14ac:dyDescent="0.25">
      <c r="B265" s="1192">
        <f t="shared" si="90"/>
        <v>265</v>
      </c>
      <c r="C265" s="732">
        <f t="shared" si="75"/>
        <v>30</v>
      </c>
      <c r="D265" s="35">
        <f t="shared" si="76"/>
        <v>11</v>
      </c>
      <c r="E265" s="889">
        <f t="shared" si="93"/>
        <v>55122</v>
      </c>
      <c r="F265" s="822">
        <f t="shared" si="77"/>
        <v>11</v>
      </c>
      <c r="G265" s="126">
        <f t="shared" si="78"/>
        <v>0</v>
      </c>
      <c r="H265" s="1098">
        <f t="shared" si="94"/>
        <v>0</v>
      </c>
      <c r="I265" s="887">
        <f t="shared" si="91"/>
        <v>246</v>
      </c>
      <c r="J265" s="1099">
        <f t="shared" si="84"/>
        <v>246</v>
      </c>
      <c r="K265" s="891" t="str">
        <f t="shared" si="85"/>
        <v>November</v>
      </c>
      <c r="L265" s="888">
        <f t="shared" si="92"/>
        <v>2050</v>
      </c>
      <c r="M265" s="883">
        <f t="shared" si="86"/>
        <v>0</v>
      </c>
      <c r="N265" s="883">
        <f t="shared" si="87"/>
        <v>0</v>
      </c>
      <c r="O265" s="1100"/>
      <c r="P265" s="883">
        <f t="shared" si="79"/>
        <v>0</v>
      </c>
      <c r="Q265" s="884">
        <f t="shared" si="88"/>
        <v>0</v>
      </c>
      <c r="R265" s="884">
        <f>IF(AND($AR$39="Early Payoff",I265&gt;=$R$13),0,IF($I265&lt;=$R$6,SUM($P$20:$P265),0))</f>
        <v>0</v>
      </c>
      <c r="S265" s="884">
        <f>IF(AND($AR$39="Early Payoff",I265&gt;=$R$13),0,IF($I265&lt;=$R$6,SUM($Q$20:$Q265),0))</f>
        <v>0</v>
      </c>
      <c r="T265" s="873">
        <f t="shared" si="89"/>
        <v>0</v>
      </c>
      <c r="U265" s="1110">
        <f t="shared" si="95"/>
        <v>0</v>
      </c>
      <c r="W265" s="1102">
        <f t="shared" si="80"/>
        <v>0</v>
      </c>
      <c r="X265" s="873">
        <f t="shared" si="81"/>
        <v>0</v>
      </c>
      <c r="Y265" s="873">
        <f t="shared" si="82"/>
        <v>0</v>
      </c>
      <c r="Z265" s="885">
        <f t="shared" si="83"/>
        <v>0</v>
      </c>
    </row>
    <row r="266" spans="2:26" s="278" customFormat="1" ht="12" customHeight="1" x14ac:dyDescent="0.25">
      <c r="B266" s="1192">
        <f t="shared" si="90"/>
        <v>266</v>
      </c>
      <c r="C266" s="732">
        <f t="shared" si="75"/>
        <v>31</v>
      </c>
      <c r="D266" s="35">
        <f t="shared" si="76"/>
        <v>12</v>
      </c>
      <c r="E266" s="889">
        <f t="shared" si="93"/>
        <v>55153</v>
      </c>
      <c r="F266" s="822">
        <f t="shared" si="77"/>
        <v>12</v>
      </c>
      <c r="G266" s="126">
        <f t="shared" si="78"/>
        <v>1</v>
      </c>
      <c r="H266" s="1098">
        <f t="shared" si="94"/>
        <v>0</v>
      </c>
      <c r="I266" s="887">
        <f t="shared" si="91"/>
        <v>247</v>
      </c>
      <c r="J266" s="1099">
        <f t="shared" si="84"/>
        <v>247</v>
      </c>
      <c r="K266" s="891" t="str">
        <f t="shared" si="85"/>
        <v>December</v>
      </c>
      <c r="L266" s="888">
        <f t="shared" si="92"/>
        <v>2050</v>
      </c>
      <c r="M266" s="883">
        <f t="shared" si="86"/>
        <v>0</v>
      </c>
      <c r="N266" s="883">
        <f t="shared" si="87"/>
        <v>0</v>
      </c>
      <c r="O266" s="1100"/>
      <c r="P266" s="883">
        <f t="shared" si="79"/>
        <v>0</v>
      </c>
      <c r="Q266" s="884">
        <f t="shared" si="88"/>
        <v>0</v>
      </c>
      <c r="R266" s="884">
        <f>IF(AND($AR$39="Early Payoff",I266&gt;=$R$13),0,IF($I266&lt;=$R$6,SUM($P$20:$P266),0))</f>
        <v>0</v>
      </c>
      <c r="S266" s="884">
        <f>IF(AND($AR$39="Early Payoff",I266&gt;=$R$13),0,IF($I266&lt;=$R$6,SUM($Q$20:$Q266),0))</f>
        <v>0</v>
      </c>
      <c r="T266" s="873">
        <f t="shared" si="89"/>
        <v>0</v>
      </c>
      <c r="U266" s="1110">
        <f t="shared" si="95"/>
        <v>0</v>
      </c>
      <c r="W266" s="1102">
        <f t="shared" si="80"/>
        <v>0</v>
      </c>
      <c r="X266" s="873">
        <f t="shared" si="81"/>
        <v>0</v>
      </c>
      <c r="Y266" s="873">
        <f t="shared" si="82"/>
        <v>0</v>
      </c>
      <c r="Z266" s="885">
        <f t="shared" si="83"/>
        <v>0</v>
      </c>
    </row>
    <row r="267" spans="2:26" s="278" customFormat="1" ht="12" customHeight="1" x14ac:dyDescent="0.25">
      <c r="B267" s="1192">
        <f t="shared" si="90"/>
        <v>267</v>
      </c>
      <c r="C267" s="732">
        <f t="shared" si="75"/>
        <v>31</v>
      </c>
      <c r="D267" s="35">
        <f t="shared" si="76"/>
        <v>1</v>
      </c>
      <c r="E267" s="889">
        <f t="shared" si="93"/>
        <v>55184</v>
      </c>
      <c r="F267" s="822">
        <f t="shared" si="77"/>
        <v>1</v>
      </c>
      <c r="G267" s="126">
        <f t="shared" si="78"/>
        <v>0</v>
      </c>
      <c r="H267" s="1098">
        <f t="shared" si="94"/>
        <v>0</v>
      </c>
      <c r="I267" s="887">
        <f t="shared" si="91"/>
        <v>248</v>
      </c>
      <c r="J267" s="1099">
        <f t="shared" si="84"/>
        <v>248</v>
      </c>
      <c r="K267" s="891" t="str">
        <f t="shared" si="85"/>
        <v>January</v>
      </c>
      <c r="L267" s="888">
        <f t="shared" si="92"/>
        <v>2051</v>
      </c>
      <c r="M267" s="883">
        <f t="shared" si="86"/>
        <v>0</v>
      </c>
      <c r="N267" s="883">
        <f t="shared" si="87"/>
        <v>0</v>
      </c>
      <c r="O267" s="1100"/>
      <c r="P267" s="883">
        <f t="shared" si="79"/>
        <v>0</v>
      </c>
      <c r="Q267" s="884">
        <f t="shared" si="88"/>
        <v>0</v>
      </c>
      <c r="R267" s="884">
        <f>IF(AND($AR$39="Early Payoff",I267&gt;=$R$13),0,IF($I267&lt;=$R$6,SUM($P$20:$P267),0))</f>
        <v>0</v>
      </c>
      <c r="S267" s="884">
        <f>IF(AND($AR$39="Early Payoff",I267&gt;=$R$13),0,IF($I267&lt;=$R$6,SUM($Q$20:$Q267),0))</f>
        <v>0</v>
      </c>
      <c r="T267" s="873">
        <f t="shared" si="89"/>
        <v>0</v>
      </c>
      <c r="U267" s="1110">
        <f t="shared" si="95"/>
        <v>0</v>
      </c>
      <c r="W267" s="1102">
        <f t="shared" si="80"/>
        <v>0</v>
      </c>
      <c r="X267" s="873">
        <f t="shared" si="81"/>
        <v>0</v>
      </c>
      <c r="Y267" s="873">
        <f t="shared" si="82"/>
        <v>0</v>
      </c>
      <c r="Z267" s="885">
        <f t="shared" si="83"/>
        <v>0</v>
      </c>
    </row>
    <row r="268" spans="2:26" s="278" customFormat="1" ht="12" customHeight="1" x14ac:dyDescent="0.25">
      <c r="B268" s="1192">
        <f t="shared" si="90"/>
        <v>268</v>
      </c>
      <c r="C268" s="732">
        <f t="shared" si="75"/>
        <v>28</v>
      </c>
      <c r="D268" s="35">
        <f t="shared" si="76"/>
        <v>2</v>
      </c>
      <c r="E268" s="889">
        <f t="shared" si="93"/>
        <v>55212</v>
      </c>
      <c r="F268" s="822">
        <f t="shared" si="77"/>
        <v>2</v>
      </c>
      <c r="G268" s="126">
        <f t="shared" si="78"/>
        <v>0</v>
      </c>
      <c r="H268" s="1098">
        <f t="shared" si="94"/>
        <v>0</v>
      </c>
      <c r="I268" s="887">
        <f t="shared" si="91"/>
        <v>249</v>
      </c>
      <c r="J268" s="1099">
        <f t="shared" si="84"/>
        <v>249</v>
      </c>
      <c r="K268" s="891" t="str">
        <f t="shared" si="85"/>
        <v>February</v>
      </c>
      <c r="L268" s="888">
        <f t="shared" si="92"/>
        <v>2051</v>
      </c>
      <c r="M268" s="883">
        <f t="shared" si="86"/>
        <v>0</v>
      </c>
      <c r="N268" s="883">
        <f t="shared" si="87"/>
        <v>0</v>
      </c>
      <c r="O268" s="1100"/>
      <c r="P268" s="883">
        <f t="shared" si="79"/>
        <v>0</v>
      </c>
      <c r="Q268" s="884">
        <f t="shared" si="88"/>
        <v>0</v>
      </c>
      <c r="R268" s="884">
        <f>IF(AND($AR$39="Early Payoff",I268&gt;=$R$13),0,IF($I268&lt;=$R$6,SUM($P$20:$P268),0))</f>
        <v>0</v>
      </c>
      <c r="S268" s="884">
        <f>IF(AND($AR$39="Early Payoff",I268&gt;=$R$13),0,IF($I268&lt;=$R$6,SUM($Q$20:$Q268),0))</f>
        <v>0</v>
      </c>
      <c r="T268" s="873">
        <f t="shared" si="89"/>
        <v>0</v>
      </c>
      <c r="U268" s="1110">
        <f t="shared" si="95"/>
        <v>0</v>
      </c>
      <c r="W268" s="1102">
        <f t="shared" si="80"/>
        <v>0</v>
      </c>
      <c r="X268" s="873">
        <f t="shared" si="81"/>
        <v>0</v>
      </c>
      <c r="Y268" s="873">
        <f t="shared" si="82"/>
        <v>0</v>
      </c>
      <c r="Z268" s="885">
        <f t="shared" si="83"/>
        <v>0</v>
      </c>
    </row>
    <row r="269" spans="2:26" s="278" customFormat="1" ht="12" customHeight="1" x14ac:dyDescent="0.25">
      <c r="B269" s="1192">
        <f t="shared" si="90"/>
        <v>269</v>
      </c>
      <c r="C269" s="732">
        <f t="shared" si="75"/>
        <v>31</v>
      </c>
      <c r="D269" s="35">
        <f t="shared" si="76"/>
        <v>3</v>
      </c>
      <c r="E269" s="889">
        <f t="shared" si="93"/>
        <v>55243</v>
      </c>
      <c r="F269" s="822">
        <f t="shared" si="77"/>
        <v>3</v>
      </c>
      <c r="G269" s="126">
        <f t="shared" si="78"/>
        <v>0</v>
      </c>
      <c r="H269" s="1098">
        <f t="shared" si="94"/>
        <v>0</v>
      </c>
      <c r="I269" s="887">
        <f t="shared" si="91"/>
        <v>250</v>
      </c>
      <c r="J269" s="1099">
        <f t="shared" si="84"/>
        <v>250</v>
      </c>
      <c r="K269" s="891" t="str">
        <f t="shared" si="85"/>
        <v>March</v>
      </c>
      <c r="L269" s="888">
        <f t="shared" si="92"/>
        <v>2051</v>
      </c>
      <c r="M269" s="883">
        <f t="shared" si="86"/>
        <v>0</v>
      </c>
      <c r="N269" s="883">
        <f t="shared" si="87"/>
        <v>0</v>
      </c>
      <c r="O269" s="1100"/>
      <c r="P269" s="883">
        <f t="shared" si="79"/>
        <v>0</v>
      </c>
      <c r="Q269" s="884">
        <f t="shared" si="88"/>
        <v>0</v>
      </c>
      <c r="R269" s="884">
        <f>IF(AND($AR$39="Early Payoff",I269&gt;=$R$13),0,IF($I269&lt;=$R$6,SUM($P$20:$P269),0))</f>
        <v>0</v>
      </c>
      <c r="S269" s="884">
        <f>IF(AND($AR$39="Early Payoff",I269&gt;=$R$13),0,IF($I269&lt;=$R$6,SUM($Q$20:$Q269),0))</f>
        <v>0</v>
      </c>
      <c r="T269" s="873">
        <f t="shared" si="89"/>
        <v>0</v>
      </c>
      <c r="U269" s="1110">
        <f t="shared" si="95"/>
        <v>0</v>
      </c>
      <c r="W269" s="1102">
        <f t="shared" si="80"/>
        <v>0</v>
      </c>
      <c r="X269" s="873">
        <f t="shared" si="81"/>
        <v>0</v>
      </c>
      <c r="Y269" s="873">
        <f t="shared" si="82"/>
        <v>0</v>
      </c>
      <c r="Z269" s="885">
        <f t="shared" si="83"/>
        <v>0</v>
      </c>
    </row>
    <row r="270" spans="2:26" s="278" customFormat="1" ht="12" customHeight="1" x14ac:dyDescent="0.25">
      <c r="B270" s="1192">
        <f t="shared" si="90"/>
        <v>270</v>
      </c>
      <c r="C270" s="732">
        <f t="shared" si="75"/>
        <v>30</v>
      </c>
      <c r="D270" s="35">
        <f t="shared" si="76"/>
        <v>4</v>
      </c>
      <c r="E270" s="889">
        <f t="shared" si="93"/>
        <v>55273</v>
      </c>
      <c r="F270" s="822">
        <f t="shared" si="77"/>
        <v>4</v>
      </c>
      <c r="G270" s="126">
        <f t="shared" si="78"/>
        <v>0</v>
      </c>
      <c r="H270" s="1098">
        <f t="shared" si="94"/>
        <v>0</v>
      </c>
      <c r="I270" s="887">
        <f t="shared" si="91"/>
        <v>251</v>
      </c>
      <c r="J270" s="1099">
        <f t="shared" si="84"/>
        <v>251</v>
      </c>
      <c r="K270" s="891" t="str">
        <f t="shared" si="85"/>
        <v>April</v>
      </c>
      <c r="L270" s="888">
        <f t="shared" si="92"/>
        <v>2051</v>
      </c>
      <c r="M270" s="883">
        <f t="shared" si="86"/>
        <v>0</v>
      </c>
      <c r="N270" s="883">
        <f t="shared" si="87"/>
        <v>0</v>
      </c>
      <c r="O270" s="1100"/>
      <c r="P270" s="883">
        <f t="shared" si="79"/>
        <v>0</v>
      </c>
      <c r="Q270" s="884">
        <f t="shared" si="88"/>
        <v>0</v>
      </c>
      <c r="R270" s="884">
        <f>IF(AND($AR$39="Early Payoff",I270&gt;=$R$13),0,IF($I270&lt;=$R$6,SUM($P$20:$P270),0))</f>
        <v>0</v>
      </c>
      <c r="S270" s="884">
        <f>IF(AND($AR$39="Early Payoff",I270&gt;=$R$13),0,IF($I270&lt;=$R$6,SUM($Q$20:$Q270),0))</f>
        <v>0</v>
      </c>
      <c r="T270" s="873">
        <f t="shared" si="89"/>
        <v>0</v>
      </c>
      <c r="U270" s="1110">
        <f t="shared" si="95"/>
        <v>0</v>
      </c>
      <c r="W270" s="1102">
        <f t="shared" si="80"/>
        <v>0</v>
      </c>
      <c r="X270" s="873">
        <f t="shared" si="81"/>
        <v>0</v>
      </c>
      <c r="Y270" s="873">
        <f t="shared" si="82"/>
        <v>0</v>
      </c>
      <c r="Z270" s="885">
        <f t="shared" si="83"/>
        <v>0</v>
      </c>
    </row>
    <row r="271" spans="2:26" s="278" customFormat="1" ht="12" customHeight="1" x14ac:dyDescent="0.25">
      <c r="B271" s="1192">
        <f t="shared" si="90"/>
        <v>271</v>
      </c>
      <c r="C271" s="732">
        <f t="shared" si="75"/>
        <v>31</v>
      </c>
      <c r="D271" s="35">
        <f t="shared" si="76"/>
        <v>5</v>
      </c>
      <c r="E271" s="889">
        <f t="shared" si="93"/>
        <v>55304</v>
      </c>
      <c r="F271" s="822">
        <f t="shared" si="77"/>
        <v>5</v>
      </c>
      <c r="G271" s="126">
        <f t="shared" si="78"/>
        <v>0</v>
      </c>
      <c r="H271" s="1098">
        <f t="shared" si="94"/>
        <v>0</v>
      </c>
      <c r="I271" s="887">
        <f t="shared" si="91"/>
        <v>252</v>
      </c>
      <c r="J271" s="1099">
        <f t="shared" si="84"/>
        <v>252</v>
      </c>
      <c r="K271" s="891" t="str">
        <f t="shared" si="85"/>
        <v>May</v>
      </c>
      <c r="L271" s="888">
        <f t="shared" si="92"/>
        <v>2051</v>
      </c>
      <c r="M271" s="883">
        <f t="shared" si="86"/>
        <v>0</v>
      </c>
      <c r="N271" s="883">
        <f t="shared" si="87"/>
        <v>0</v>
      </c>
      <c r="O271" s="1100"/>
      <c r="P271" s="883">
        <f t="shared" si="79"/>
        <v>0</v>
      </c>
      <c r="Q271" s="884">
        <f t="shared" si="88"/>
        <v>0</v>
      </c>
      <c r="R271" s="884">
        <f>IF(AND($AR$39="Early Payoff",I271&gt;=$R$13),0,IF($I271&lt;=$R$6,SUM($P$20:$P271),0))</f>
        <v>0</v>
      </c>
      <c r="S271" s="884">
        <f>IF(AND($AR$39="Early Payoff",I271&gt;=$R$13),0,IF($I271&lt;=$R$6,SUM($Q$20:$Q271),0))</f>
        <v>0</v>
      </c>
      <c r="T271" s="873">
        <f t="shared" si="89"/>
        <v>0</v>
      </c>
      <c r="U271" s="1110">
        <f t="shared" si="95"/>
        <v>0</v>
      </c>
      <c r="W271" s="1102">
        <f t="shared" si="80"/>
        <v>0</v>
      </c>
      <c r="X271" s="873">
        <f t="shared" si="81"/>
        <v>0</v>
      </c>
      <c r="Y271" s="873">
        <f t="shared" si="82"/>
        <v>0</v>
      </c>
      <c r="Z271" s="885">
        <f t="shared" si="83"/>
        <v>0</v>
      </c>
    </row>
    <row r="272" spans="2:26" s="278" customFormat="1" ht="12" customHeight="1" x14ac:dyDescent="0.25">
      <c r="B272" s="1192">
        <f t="shared" si="90"/>
        <v>272</v>
      </c>
      <c r="C272" s="732">
        <f t="shared" si="75"/>
        <v>30</v>
      </c>
      <c r="D272" s="35">
        <f t="shared" si="76"/>
        <v>6</v>
      </c>
      <c r="E272" s="889">
        <f t="shared" si="93"/>
        <v>55334</v>
      </c>
      <c r="F272" s="822">
        <f t="shared" si="77"/>
        <v>6</v>
      </c>
      <c r="G272" s="126">
        <f t="shared" si="78"/>
        <v>0</v>
      </c>
      <c r="H272" s="1098">
        <f t="shared" si="94"/>
        <v>0</v>
      </c>
      <c r="I272" s="887">
        <f t="shared" si="91"/>
        <v>253</v>
      </c>
      <c r="J272" s="1099">
        <f t="shared" si="84"/>
        <v>253</v>
      </c>
      <c r="K272" s="891" t="str">
        <f t="shared" si="85"/>
        <v>June</v>
      </c>
      <c r="L272" s="888">
        <f t="shared" si="92"/>
        <v>2051</v>
      </c>
      <c r="M272" s="883">
        <f t="shared" si="86"/>
        <v>0</v>
      </c>
      <c r="N272" s="883">
        <f t="shared" si="87"/>
        <v>0</v>
      </c>
      <c r="O272" s="1100"/>
      <c r="P272" s="883">
        <f t="shared" si="79"/>
        <v>0</v>
      </c>
      <c r="Q272" s="884">
        <f t="shared" si="88"/>
        <v>0</v>
      </c>
      <c r="R272" s="884">
        <f>IF(AND($AR$39="Early Payoff",I272&gt;=$R$13),0,IF($I272&lt;=$R$6,SUM($P$20:$P272),0))</f>
        <v>0</v>
      </c>
      <c r="S272" s="884">
        <f>IF(AND($AR$39="Early Payoff",I272&gt;=$R$13),0,IF($I272&lt;=$R$6,SUM($Q$20:$Q272),0))</f>
        <v>0</v>
      </c>
      <c r="T272" s="873">
        <f t="shared" si="89"/>
        <v>0</v>
      </c>
      <c r="U272" s="1110">
        <f t="shared" si="95"/>
        <v>0</v>
      </c>
      <c r="W272" s="1102">
        <f t="shared" si="80"/>
        <v>0</v>
      </c>
      <c r="X272" s="873">
        <f t="shared" si="81"/>
        <v>0</v>
      </c>
      <c r="Y272" s="873">
        <f t="shared" si="82"/>
        <v>0</v>
      </c>
      <c r="Z272" s="885">
        <f t="shared" si="83"/>
        <v>0</v>
      </c>
    </row>
    <row r="273" spans="2:26" s="278" customFormat="1" ht="12" customHeight="1" x14ac:dyDescent="0.25">
      <c r="B273" s="1192">
        <f t="shared" si="90"/>
        <v>273</v>
      </c>
      <c r="C273" s="732">
        <f t="shared" si="75"/>
        <v>31</v>
      </c>
      <c r="D273" s="35">
        <f t="shared" si="76"/>
        <v>7</v>
      </c>
      <c r="E273" s="889">
        <f t="shared" si="93"/>
        <v>55365</v>
      </c>
      <c r="F273" s="822">
        <f t="shared" si="77"/>
        <v>7</v>
      </c>
      <c r="G273" s="126">
        <f t="shared" si="78"/>
        <v>0</v>
      </c>
      <c r="H273" s="1098">
        <f t="shared" si="94"/>
        <v>0</v>
      </c>
      <c r="I273" s="887">
        <f t="shared" si="91"/>
        <v>254</v>
      </c>
      <c r="J273" s="1099">
        <f t="shared" si="84"/>
        <v>254</v>
      </c>
      <c r="K273" s="891" t="str">
        <f t="shared" si="85"/>
        <v>July</v>
      </c>
      <c r="L273" s="888">
        <f t="shared" si="92"/>
        <v>2051</v>
      </c>
      <c r="M273" s="883">
        <f t="shared" si="86"/>
        <v>0</v>
      </c>
      <c r="N273" s="883">
        <f t="shared" si="87"/>
        <v>0</v>
      </c>
      <c r="O273" s="1100"/>
      <c r="P273" s="883">
        <f t="shared" si="79"/>
        <v>0</v>
      </c>
      <c r="Q273" s="884">
        <f t="shared" si="88"/>
        <v>0</v>
      </c>
      <c r="R273" s="884">
        <f>IF(AND($AR$39="Early Payoff",I273&gt;=$R$13),0,IF($I273&lt;=$R$6,SUM($P$20:$P273),0))</f>
        <v>0</v>
      </c>
      <c r="S273" s="884">
        <f>IF(AND($AR$39="Early Payoff",I273&gt;=$R$13),0,IF($I273&lt;=$R$6,SUM($Q$20:$Q273),0))</f>
        <v>0</v>
      </c>
      <c r="T273" s="873">
        <f t="shared" si="89"/>
        <v>0</v>
      </c>
      <c r="U273" s="1110">
        <f t="shared" si="95"/>
        <v>0</v>
      </c>
      <c r="W273" s="1102">
        <f t="shared" si="80"/>
        <v>0</v>
      </c>
      <c r="X273" s="873">
        <f t="shared" si="81"/>
        <v>0</v>
      </c>
      <c r="Y273" s="873">
        <f t="shared" si="82"/>
        <v>0</v>
      </c>
      <c r="Z273" s="885">
        <f t="shared" si="83"/>
        <v>0</v>
      </c>
    </row>
    <row r="274" spans="2:26" s="278" customFormat="1" ht="12" customHeight="1" x14ac:dyDescent="0.25">
      <c r="B274" s="1192">
        <f t="shared" si="90"/>
        <v>274</v>
      </c>
      <c r="C274" s="732">
        <f t="shared" si="75"/>
        <v>31</v>
      </c>
      <c r="D274" s="35">
        <f t="shared" si="76"/>
        <v>8</v>
      </c>
      <c r="E274" s="889">
        <f t="shared" si="93"/>
        <v>55396</v>
      </c>
      <c r="F274" s="822">
        <f t="shared" si="77"/>
        <v>8</v>
      </c>
      <c r="G274" s="126">
        <f t="shared" si="78"/>
        <v>0</v>
      </c>
      <c r="H274" s="1098">
        <f t="shared" si="94"/>
        <v>0</v>
      </c>
      <c r="I274" s="887">
        <f t="shared" si="91"/>
        <v>255</v>
      </c>
      <c r="J274" s="1099">
        <f t="shared" si="84"/>
        <v>255</v>
      </c>
      <c r="K274" s="891" t="str">
        <f t="shared" si="85"/>
        <v>August</v>
      </c>
      <c r="L274" s="888">
        <f t="shared" si="92"/>
        <v>2051</v>
      </c>
      <c r="M274" s="883">
        <f t="shared" si="86"/>
        <v>0</v>
      </c>
      <c r="N274" s="883">
        <f t="shared" si="87"/>
        <v>0</v>
      </c>
      <c r="O274" s="1100"/>
      <c r="P274" s="883">
        <f t="shared" si="79"/>
        <v>0</v>
      </c>
      <c r="Q274" s="884">
        <f t="shared" si="88"/>
        <v>0</v>
      </c>
      <c r="R274" s="884">
        <f>IF(AND($AR$39="Early Payoff",I274&gt;=$R$13),0,IF($I274&lt;=$R$6,SUM($P$20:$P274),0))</f>
        <v>0</v>
      </c>
      <c r="S274" s="884">
        <f>IF(AND($AR$39="Early Payoff",I274&gt;=$R$13),0,IF($I274&lt;=$R$6,SUM($Q$20:$Q274),0))</f>
        <v>0</v>
      </c>
      <c r="T274" s="873">
        <f t="shared" si="89"/>
        <v>0</v>
      </c>
      <c r="U274" s="1110">
        <f t="shared" si="95"/>
        <v>0</v>
      </c>
      <c r="W274" s="1102">
        <f t="shared" si="80"/>
        <v>0</v>
      </c>
      <c r="X274" s="873">
        <f t="shared" si="81"/>
        <v>0</v>
      </c>
      <c r="Y274" s="873">
        <f t="shared" si="82"/>
        <v>0</v>
      </c>
      <c r="Z274" s="885">
        <f t="shared" si="83"/>
        <v>0</v>
      </c>
    </row>
    <row r="275" spans="2:26" s="278" customFormat="1" ht="12" customHeight="1" x14ac:dyDescent="0.25">
      <c r="B275" s="1192">
        <f t="shared" si="90"/>
        <v>275</v>
      </c>
      <c r="C275" s="732">
        <f t="shared" si="75"/>
        <v>30</v>
      </c>
      <c r="D275" s="35">
        <f t="shared" si="76"/>
        <v>9</v>
      </c>
      <c r="E275" s="889">
        <f t="shared" si="93"/>
        <v>55426</v>
      </c>
      <c r="F275" s="822">
        <f t="shared" si="77"/>
        <v>9</v>
      </c>
      <c r="G275" s="126">
        <f t="shared" si="78"/>
        <v>0</v>
      </c>
      <c r="H275" s="1098">
        <f t="shared" si="94"/>
        <v>0</v>
      </c>
      <c r="I275" s="887">
        <f t="shared" si="91"/>
        <v>256</v>
      </c>
      <c r="J275" s="1099">
        <f t="shared" si="84"/>
        <v>256</v>
      </c>
      <c r="K275" s="891" t="str">
        <f t="shared" si="85"/>
        <v>September</v>
      </c>
      <c r="L275" s="888">
        <f t="shared" si="92"/>
        <v>2051</v>
      </c>
      <c r="M275" s="883">
        <f t="shared" si="86"/>
        <v>0</v>
      </c>
      <c r="N275" s="883">
        <f t="shared" si="87"/>
        <v>0</v>
      </c>
      <c r="O275" s="1100"/>
      <c r="P275" s="883">
        <f t="shared" si="79"/>
        <v>0</v>
      </c>
      <c r="Q275" s="884">
        <f t="shared" si="88"/>
        <v>0</v>
      </c>
      <c r="R275" s="884">
        <f>IF(AND($AR$39="Early Payoff",I275&gt;=$R$13),0,IF($I275&lt;=$R$6,SUM($P$20:$P275),0))</f>
        <v>0</v>
      </c>
      <c r="S275" s="884">
        <f>IF(AND($AR$39="Early Payoff",I275&gt;=$R$13),0,IF($I275&lt;=$R$6,SUM($Q$20:$Q275),0))</f>
        <v>0</v>
      </c>
      <c r="T275" s="873">
        <f t="shared" si="89"/>
        <v>0</v>
      </c>
      <c r="U275" s="1110">
        <f t="shared" si="95"/>
        <v>0</v>
      </c>
      <c r="W275" s="1102">
        <f t="shared" si="80"/>
        <v>0</v>
      </c>
      <c r="X275" s="873">
        <f t="shared" si="81"/>
        <v>0</v>
      </c>
      <c r="Y275" s="873">
        <f t="shared" si="82"/>
        <v>0</v>
      </c>
      <c r="Z275" s="885">
        <f t="shared" si="83"/>
        <v>0</v>
      </c>
    </row>
    <row r="276" spans="2:26" s="278" customFormat="1" ht="12" customHeight="1" x14ac:dyDescent="0.25">
      <c r="B276" s="1192">
        <f t="shared" si="90"/>
        <v>276</v>
      </c>
      <c r="C276" s="732">
        <f t="shared" ref="C276:C339" si="96">DAY(EOMONTH(DATE($L276,$D276,1),0))</f>
        <v>31</v>
      </c>
      <c r="D276" s="35">
        <f t="shared" ref="D276:D339" si="97">INDEX($AS$22:$AT$34,MATCH($K276,$AS$22:$AS$34,0),MATCH("Number",$AS$22:$AT$22,0))</f>
        <v>10</v>
      </c>
      <c r="E276" s="889">
        <f t="shared" si="93"/>
        <v>55457</v>
      </c>
      <c r="F276" s="822">
        <f t="shared" ref="F276:F339" si="98">INDEX($AS$22:$AT$34,MATCH($K276,$AS$22:$AS$34,0),MATCH("Number",$AS$22:$AT$22,0))</f>
        <v>10</v>
      </c>
      <c r="G276" s="126">
        <f t="shared" ref="G276:G339" si="99">IF($S$4="Monthly",INDEX($AS$36:$AT$48,MATCH($K276,$AS$36:$AS$48,0),MATCH("Number",$AS$36:$AT$36,0)),0)</f>
        <v>0</v>
      </c>
      <c r="H276" s="1098">
        <f t="shared" si="94"/>
        <v>0</v>
      </c>
      <c r="I276" s="887">
        <f t="shared" si="91"/>
        <v>257</v>
      </c>
      <c r="J276" s="1099">
        <f t="shared" si="84"/>
        <v>257</v>
      </c>
      <c r="K276" s="891" t="str">
        <f t="shared" si="85"/>
        <v>October</v>
      </c>
      <c r="L276" s="888">
        <f t="shared" si="92"/>
        <v>2051</v>
      </c>
      <c r="M276" s="883">
        <f t="shared" si="86"/>
        <v>0</v>
      </c>
      <c r="N276" s="883">
        <f t="shared" si="87"/>
        <v>0</v>
      </c>
      <c r="O276" s="1100"/>
      <c r="P276" s="883">
        <f t="shared" ref="P276:P339" si="100">IF(AND($AR$39="Early Payoff",I276&gt;=$R$13),0,IF($I276&gt;$R$6,0,IF(AND($AQ$29&gt;0,$I276&lt;=$AQ$29),0,+$N276-$Q276)))</f>
        <v>0</v>
      </c>
      <c r="Q276" s="884">
        <f t="shared" si="88"/>
        <v>0</v>
      </c>
      <c r="R276" s="884">
        <f>IF(AND($AR$39="Early Payoff",I276&gt;=$R$13),0,IF($I276&lt;=$R$6,SUM($P$20:$P276),0))</f>
        <v>0</v>
      </c>
      <c r="S276" s="884">
        <f>IF(AND($AR$39="Early Payoff",I276&gt;=$R$13),0,IF($I276&lt;=$R$6,SUM($Q$20:$Q276),0))</f>
        <v>0</v>
      </c>
      <c r="T276" s="873">
        <f t="shared" si="89"/>
        <v>0</v>
      </c>
      <c r="U276" s="1110">
        <f t="shared" si="95"/>
        <v>0</v>
      </c>
      <c r="W276" s="1102">
        <f t="shared" ref="W276:W339" si="101">IF($I276&gt;$R$6,0,IF($I276&lt;=$AQ$27,0,IF(AND($X$5="%/Payment",$Z$5=0),$N276*$Y$5,IF(AND($X$5="%/Payment",$Z$5&gt;0,($N276*$Y$5)&lt;$Z$5),$N276*$Y$5,IF(AND($X$5="%/Payment",$Z$5&gt;0,($N276*$Y$5)&gt;$Z$5),-$Z$5,IF(AND($X$5="%/Balance",$Z$5=0),-$T276*$Y$5,IF(AND($X$5="%/Balance",$Z$5&gt;0,($T276*$Y$5)&lt;$Z$5),-$T276*$Y$5,IF(AND($X$5="%/Balance",$Z$5&gt;0,($T276*$Y$5)&gt;$Z$5),-$Z$5,IF($X$5="Fixed Amount",-$Y$5,IF($X$5="N/A",0))))))))))</f>
        <v>0</v>
      </c>
      <c r="X276" s="873">
        <f t="shared" ref="X276:X339" si="102">IF($I276&gt;$R$6,0,IF($I276&lt;=$AQ$27,0,IF(AND($X$6="%/Payment",$Z$6=0),$N276*$Y$6,IF(AND($X$6="%/Payment",$Z$6&gt;0,($N276*$Y$6)&lt;$Z$6),$N276*$Y$6,IF(AND($X$6="%/Payment",$Z$6&gt;0,($N276*$Y$6)&gt;$Z$6),-$Z$6,IF(AND($X$6="%/Balance",$Z$6=0),-$T276*$Y$6,IF(AND($X$6="%/Balance",$Z$6&gt;0,($T276*$Y$6)&lt;$Z$6),-$T276*$Y$6,IF(AND($X$6="%/Balance",$Z$6&gt;0,($T276*$Y$6)&gt;$Z$6),-$Z$6,IF($X$6="Fixed Amount",-$Y$6,IF($X$6="N/A",0))))))))))</f>
        <v>0</v>
      </c>
      <c r="Y276" s="873">
        <f t="shared" ref="Y276:Y339" si="103">IF($I276&gt;$R$6,0,IF($I276&lt;=$AQ$27,0,IF(AND($X$7="%/Payment",$Z$7=0),$N276*$Y$7,IF(AND($X$7="%/Payment",$Z$7&gt;0,($N276*$Y$7)&lt;$Z$7),$N276*$Y$7,IF(AND($X$7="%/Payment",$Z$7&gt;0,($N276*$Y$7)&gt;$Z$7),-$Z$7,IF(AND($X$7="%/Balance",$Z$7=0),-$T276*$Y$7,IF(AND($X$7="%/Balance",$Z$7&gt;0,($T276*$Y$7)&lt;$Z$7),-$T276*$Y$7,IF(AND($X$7="%/Balance",$Z$7&gt;0,($N276*$Y$7)&gt;$Z$7),-$Z$7,IF($X$7="Fixed Amount",-$Y$7,IF($X$7="N/A",0))))))))))</f>
        <v>0</v>
      </c>
      <c r="Z276" s="885">
        <f t="shared" ref="Z276:Z339" si="104">SUM($N276,$W276:$Y276)</f>
        <v>0</v>
      </c>
    </row>
    <row r="277" spans="2:26" s="278" customFormat="1" ht="12" customHeight="1" x14ac:dyDescent="0.25">
      <c r="B277" s="1192">
        <f t="shared" si="90"/>
        <v>277</v>
      </c>
      <c r="C277" s="732">
        <f t="shared" si="96"/>
        <v>30</v>
      </c>
      <c r="D277" s="35">
        <f t="shared" si="97"/>
        <v>11</v>
      </c>
      <c r="E277" s="889">
        <f t="shared" si="93"/>
        <v>55487</v>
      </c>
      <c r="F277" s="822">
        <f t="shared" si="98"/>
        <v>11</v>
      </c>
      <c r="G277" s="126">
        <f t="shared" si="99"/>
        <v>0</v>
      </c>
      <c r="H277" s="1098">
        <f t="shared" si="94"/>
        <v>0</v>
      </c>
      <c r="I277" s="887">
        <f t="shared" si="91"/>
        <v>258</v>
      </c>
      <c r="J277" s="1099">
        <f t="shared" ref="J277:J340" si="105">IF($I277&lt;=$AQ$29,0,IF($I276&gt;=$AQ$29,$J276+1))</f>
        <v>258</v>
      </c>
      <c r="K277" s="891" t="str">
        <f t="shared" ref="K277:K340" si="106">IF($S$4="Annual",$Q$5,IF(AND($S$4="Bi-Annual",$F276&lt;MAX($Q$4,$R$4)),INDEX($AT$22:$AU$34,MATCH(MAX($Q$4,$R$4),$AT$22:$AT$34,0),MATCH("Month",$AT$22:$AU$22,0)),IF(AND($S$4="Bi-Annual",$F276=MAX($Q$4,$R$4)),INDEX($AT$22:$AU$34,MATCH(MIN($Q$4,$R$4),$AT$22:$AT$34,0),MATCH("Month",$AT$22:$AU$22,0)),IF(AND($S$4="Monthly",$F276&lt;12),INDEX($AT$22:$AU$34,MATCH($F276+1,$AT$22:$AT$34,0),MATCH("Month",$AT$22:$AU$22,0)),IF(AND($S$4="Monthly",$F276=12),INDEX($AT$22:$AU$34,MATCH($F276-11,$AT$22:$AT$34,0),MATCH("Month",$AT$22:$AU$22,0)))))))</f>
        <v>November</v>
      </c>
      <c r="L277" s="888">
        <f t="shared" si="92"/>
        <v>2051</v>
      </c>
      <c r="M277" s="883">
        <f t="shared" ref="M277:M340" si="107">IF(AND($AR$39="Early Payoff",$I277&gt;$R$13),0,IF(AND($AR$39="Early Payoff",$I277&lt;$R$13),$T276,IF($I277&gt;$R$6,0,$T276)))</f>
        <v>0</v>
      </c>
      <c r="N277" s="883">
        <f t="shared" ref="N277:N340" si="108">IF(AND($AR$39="Early Payoff",I277&gt;=$R$13),0,IF($I277&gt;$R$6,0,IF(AND($AQ$29&gt;=0,$I277&lt;=$AQ$29),0,IF(AND($AQ$27&gt;=0,$I277&lt;=$AQ$27),$Q277,IF(AND($S$4="Annual",$AQ$27&gt;=0,$AQ$29&gt;=0,$I277&gt;$AQ$27,$I277&gt;$AQ$29),PMT($L$7,($R$6-$AQ$27),$L$4),IF(AND($S$4="Bi-Annual",$AQ$27&gt;=0,$AQ$29&gt;=0,$I277&gt;$AQ$27,$I277&gt;$AQ$29),PMT($L$7/2,($R$6-$AQ$27),$L$4),IF(AND($S$4="Monthly",$AQ$27&gt;=0,$AQ$29&gt;=0,$I277&gt;$AQ$27,$I277&gt;$AQ$29),PMT($L$7/12,($R$6-$AQ$27),$L$4))))))))-O277</f>
        <v>0</v>
      </c>
      <c r="O277" s="1100"/>
      <c r="P277" s="883">
        <f t="shared" si="100"/>
        <v>0</v>
      </c>
      <c r="Q277" s="884">
        <f t="shared" ref="Q277:Q340" si="109">IF(AND($AR$39="Early Payoff",I277&gt;=$R$13),0,IF($S$4="Annual",-$L$7*$T276*1,IF($S$4="Bi-Annual",(-$L$7/2)*$T276*1,IF($S$4="Monthly",(-$L$7/12)*$T276*1))))</f>
        <v>0</v>
      </c>
      <c r="R277" s="884">
        <f>IF(AND($AR$39="Early Payoff",I277&gt;=$R$13),0,IF($I277&lt;=$R$6,SUM($P$20:$P277),0))</f>
        <v>0</v>
      </c>
      <c r="S277" s="884">
        <f>IF(AND($AR$39="Early Payoff",I277&gt;=$R$13),0,IF($I277&lt;=$R$6,SUM($Q$20:$Q277),0))</f>
        <v>0</v>
      </c>
      <c r="T277" s="873">
        <f t="shared" ref="T277:T340" si="110">IF($J277&lt;=$R$13,SUM($M277,$P277),0)</f>
        <v>0</v>
      </c>
      <c r="U277" s="1110">
        <f t="shared" si="95"/>
        <v>0</v>
      </c>
      <c r="W277" s="1102">
        <f t="shared" si="101"/>
        <v>0</v>
      </c>
      <c r="X277" s="873">
        <f t="shared" si="102"/>
        <v>0</v>
      </c>
      <c r="Y277" s="873">
        <f t="shared" si="103"/>
        <v>0</v>
      </c>
      <c r="Z277" s="885">
        <f t="shared" si="104"/>
        <v>0</v>
      </c>
    </row>
    <row r="278" spans="2:26" s="278" customFormat="1" ht="12" customHeight="1" x14ac:dyDescent="0.25">
      <c r="B278" s="1192">
        <f t="shared" ref="B278:B341" si="111">B277+1</f>
        <v>278</v>
      </c>
      <c r="C278" s="732">
        <f t="shared" si="96"/>
        <v>31</v>
      </c>
      <c r="D278" s="35">
        <f t="shared" si="97"/>
        <v>12</v>
      </c>
      <c r="E278" s="889">
        <f t="shared" si="93"/>
        <v>55518</v>
      </c>
      <c r="F278" s="822">
        <f t="shared" si="98"/>
        <v>12</v>
      </c>
      <c r="G278" s="126">
        <f t="shared" si="99"/>
        <v>1</v>
      </c>
      <c r="H278" s="1098">
        <f t="shared" si="94"/>
        <v>0</v>
      </c>
      <c r="I278" s="887">
        <f t="shared" ref="I278:I341" si="112">I277+1</f>
        <v>259</v>
      </c>
      <c r="J278" s="1099">
        <f t="shared" si="105"/>
        <v>259</v>
      </c>
      <c r="K278" s="891" t="str">
        <f t="shared" si="106"/>
        <v>December</v>
      </c>
      <c r="L278" s="888">
        <f t="shared" ref="L278:L341" si="113">IF($S$4="Annual",$L277+$H278,IF($S$4="Bi-Annual",$L277+$H277,IF($S$4="Monthly",$L277+$G277)))</f>
        <v>2051</v>
      </c>
      <c r="M278" s="883">
        <f t="shared" si="107"/>
        <v>0</v>
      </c>
      <c r="N278" s="883">
        <f t="shared" si="108"/>
        <v>0</v>
      </c>
      <c r="O278" s="1100"/>
      <c r="P278" s="883">
        <f t="shared" si="100"/>
        <v>0</v>
      </c>
      <c r="Q278" s="884">
        <f t="shared" si="109"/>
        <v>0</v>
      </c>
      <c r="R278" s="884">
        <f>IF(AND($AR$39="Early Payoff",I278&gt;=$R$13),0,IF($I278&lt;=$R$6,SUM($P$20:$P278),0))</f>
        <v>0</v>
      </c>
      <c r="S278" s="884">
        <f>IF(AND($AR$39="Early Payoff",I278&gt;=$R$13),0,IF($I278&lt;=$R$6,SUM($Q$20:$Q278),0))</f>
        <v>0</v>
      </c>
      <c r="T278" s="873">
        <f t="shared" si="110"/>
        <v>0</v>
      </c>
      <c r="U278" s="1110">
        <f t="shared" si="95"/>
        <v>0</v>
      </c>
      <c r="W278" s="1102">
        <f t="shared" si="101"/>
        <v>0</v>
      </c>
      <c r="X278" s="873">
        <f t="shared" si="102"/>
        <v>0</v>
      </c>
      <c r="Y278" s="873">
        <f t="shared" si="103"/>
        <v>0</v>
      </c>
      <c r="Z278" s="885">
        <f t="shared" si="104"/>
        <v>0</v>
      </c>
    </row>
    <row r="279" spans="2:26" s="278" customFormat="1" ht="12" customHeight="1" x14ac:dyDescent="0.25">
      <c r="B279" s="1192">
        <f t="shared" si="111"/>
        <v>279</v>
      </c>
      <c r="C279" s="732">
        <f t="shared" si="96"/>
        <v>31</v>
      </c>
      <c r="D279" s="35">
        <f t="shared" si="97"/>
        <v>1</v>
      </c>
      <c r="E279" s="889">
        <f t="shared" ref="E279:E342" si="114">DATE(L279,D279,C279)</f>
        <v>55549</v>
      </c>
      <c r="F279" s="822">
        <f t="shared" si="98"/>
        <v>1</v>
      </c>
      <c r="G279" s="126">
        <f t="shared" si="99"/>
        <v>0</v>
      </c>
      <c r="H279" s="1098">
        <f t="shared" ref="H279:H342" si="115">IF($S$4="Annual",1,IF(AND($S$4="Bi-Annual",$F279&gt;$F280),1,IF(AND($S$4="Bi-Annual",$F279&lt;$F280),0,IF($S$4="Monthly",0,))))</f>
        <v>0</v>
      </c>
      <c r="I279" s="887">
        <f t="shared" si="112"/>
        <v>260</v>
      </c>
      <c r="J279" s="1099">
        <f t="shared" si="105"/>
        <v>260</v>
      </c>
      <c r="K279" s="891" t="str">
        <f t="shared" si="106"/>
        <v>January</v>
      </c>
      <c r="L279" s="888">
        <f t="shared" si="113"/>
        <v>2052</v>
      </c>
      <c r="M279" s="883">
        <f t="shared" si="107"/>
        <v>0</v>
      </c>
      <c r="N279" s="883">
        <f t="shared" si="108"/>
        <v>0</v>
      </c>
      <c r="O279" s="1100"/>
      <c r="P279" s="883">
        <f t="shared" si="100"/>
        <v>0</v>
      </c>
      <c r="Q279" s="884">
        <f t="shared" si="109"/>
        <v>0</v>
      </c>
      <c r="R279" s="884">
        <f>IF(AND($AR$39="Early Payoff",I279&gt;=$R$13),0,IF($I279&lt;=$R$6,SUM($P$20:$P279),0))</f>
        <v>0</v>
      </c>
      <c r="S279" s="884">
        <f>IF(AND($AR$39="Early Payoff",I279&gt;=$R$13),0,IF($I279&lt;=$R$6,SUM($Q$20:$Q279),0))</f>
        <v>0</v>
      </c>
      <c r="T279" s="873">
        <f t="shared" si="110"/>
        <v>0</v>
      </c>
      <c r="U279" s="1110">
        <f t="shared" si="95"/>
        <v>0</v>
      </c>
      <c r="W279" s="1102">
        <f t="shared" si="101"/>
        <v>0</v>
      </c>
      <c r="X279" s="873">
        <f t="shared" si="102"/>
        <v>0</v>
      </c>
      <c r="Y279" s="873">
        <f t="shared" si="103"/>
        <v>0</v>
      </c>
      <c r="Z279" s="885">
        <f t="shared" si="104"/>
        <v>0</v>
      </c>
    </row>
    <row r="280" spans="2:26" s="278" customFormat="1" ht="12" customHeight="1" x14ac:dyDescent="0.25">
      <c r="B280" s="1192">
        <f t="shared" si="111"/>
        <v>280</v>
      </c>
      <c r="C280" s="732">
        <f t="shared" si="96"/>
        <v>29</v>
      </c>
      <c r="D280" s="35">
        <f t="shared" si="97"/>
        <v>2</v>
      </c>
      <c r="E280" s="889">
        <f t="shared" si="114"/>
        <v>55578</v>
      </c>
      <c r="F280" s="822">
        <f t="shared" si="98"/>
        <v>2</v>
      </c>
      <c r="G280" s="126">
        <f t="shared" si="99"/>
        <v>0</v>
      </c>
      <c r="H280" s="1098">
        <f t="shared" si="115"/>
        <v>0</v>
      </c>
      <c r="I280" s="887">
        <f t="shared" si="112"/>
        <v>261</v>
      </c>
      <c r="J280" s="1099">
        <f t="shared" si="105"/>
        <v>261</v>
      </c>
      <c r="K280" s="891" t="str">
        <f t="shared" si="106"/>
        <v>February</v>
      </c>
      <c r="L280" s="888">
        <f t="shared" si="113"/>
        <v>2052</v>
      </c>
      <c r="M280" s="883">
        <f t="shared" si="107"/>
        <v>0</v>
      </c>
      <c r="N280" s="883">
        <f t="shared" si="108"/>
        <v>0</v>
      </c>
      <c r="O280" s="1100"/>
      <c r="P280" s="883">
        <f t="shared" si="100"/>
        <v>0</v>
      </c>
      <c r="Q280" s="884">
        <f t="shared" si="109"/>
        <v>0</v>
      </c>
      <c r="R280" s="884">
        <f>IF(AND($AR$39="Early Payoff",I280&gt;=$R$13),0,IF($I280&lt;=$R$6,SUM($P$20:$P280),0))</f>
        <v>0</v>
      </c>
      <c r="S280" s="884">
        <f>IF(AND($AR$39="Early Payoff",I280&gt;=$R$13),0,IF($I280&lt;=$R$6,SUM($Q$20:$Q280),0))</f>
        <v>0</v>
      </c>
      <c r="T280" s="873">
        <f t="shared" si="110"/>
        <v>0</v>
      </c>
      <c r="U280" s="1110">
        <f t="shared" ref="U280:U343" si="116">IF($S$4="Monthly",$M280,IF(AND(OR($S$4="Annual",$S$4="Bi-Annual"),$I280=$AQ$49),INDEX($I$19:$T$379,MATCH($AQ$49,$I$19:$I$2379,0),MATCH($T$19,$I$19:$T$19,0)),IF(AND(OR($S$4="Annual",$S$4="Bi-Annual"),$I280&lt;=$AQ$49),$M280,0)))</f>
        <v>0</v>
      </c>
      <c r="W280" s="1102">
        <f t="shared" si="101"/>
        <v>0</v>
      </c>
      <c r="X280" s="873">
        <f t="shared" si="102"/>
        <v>0</v>
      </c>
      <c r="Y280" s="873">
        <f t="shared" si="103"/>
        <v>0</v>
      </c>
      <c r="Z280" s="885">
        <f t="shared" si="104"/>
        <v>0</v>
      </c>
    </row>
    <row r="281" spans="2:26" s="278" customFormat="1" ht="12" customHeight="1" x14ac:dyDescent="0.25">
      <c r="B281" s="1192">
        <f t="shared" si="111"/>
        <v>281</v>
      </c>
      <c r="C281" s="732">
        <f t="shared" si="96"/>
        <v>31</v>
      </c>
      <c r="D281" s="35">
        <f t="shared" si="97"/>
        <v>3</v>
      </c>
      <c r="E281" s="889">
        <f t="shared" si="114"/>
        <v>55609</v>
      </c>
      <c r="F281" s="822">
        <f t="shared" si="98"/>
        <v>3</v>
      </c>
      <c r="G281" s="126">
        <f t="shared" si="99"/>
        <v>0</v>
      </c>
      <c r="H281" s="1098">
        <f t="shared" si="115"/>
        <v>0</v>
      </c>
      <c r="I281" s="887">
        <f t="shared" si="112"/>
        <v>262</v>
      </c>
      <c r="J281" s="1099">
        <f t="shared" si="105"/>
        <v>262</v>
      </c>
      <c r="K281" s="891" t="str">
        <f t="shared" si="106"/>
        <v>March</v>
      </c>
      <c r="L281" s="888">
        <f t="shared" si="113"/>
        <v>2052</v>
      </c>
      <c r="M281" s="883">
        <f t="shared" si="107"/>
        <v>0</v>
      </c>
      <c r="N281" s="883">
        <f t="shared" si="108"/>
        <v>0</v>
      </c>
      <c r="O281" s="1100"/>
      <c r="P281" s="883">
        <f t="shared" si="100"/>
        <v>0</v>
      </c>
      <c r="Q281" s="884">
        <f t="shared" si="109"/>
        <v>0</v>
      </c>
      <c r="R281" s="884">
        <f>IF(AND($AR$39="Early Payoff",I281&gt;=$R$13),0,IF($I281&lt;=$R$6,SUM($P$20:$P281),0))</f>
        <v>0</v>
      </c>
      <c r="S281" s="884">
        <f>IF(AND($AR$39="Early Payoff",I281&gt;=$R$13),0,IF($I281&lt;=$R$6,SUM($Q$20:$Q281),0))</f>
        <v>0</v>
      </c>
      <c r="T281" s="873">
        <f t="shared" si="110"/>
        <v>0</v>
      </c>
      <c r="U281" s="1110">
        <f t="shared" si="116"/>
        <v>0</v>
      </c>
      <c r="W281" s="1102">
        <f t="shared" si="101"/>
        <v>0</v>
      </c>
      <c r="X281" s="873">
        <f t="shared" si="102"/>
        <v>0</v>
      </c>
      <c r="Y281" s="873">
        <f t="shared" si="103"/>
        <v>0</v>
      </c>
      <c r="Z281" s="885">
        <f t="shared" si="104"/>
        <v>0</v>
      </c>
    </row>
    <row r="282" spans="2:26" s="278" customFormat="1" ht="12" customHeight="1" x14ac:dyDescent="0.25">
      <c r="B282" s="1192">
        <f t="shared" si="111"/>
        <v>282</v>
      </c>
      <c r="C282" s="732">
        <f t="shared" si="96"/>
        <v>30</v>
      </c>
      <c r="D282" s="35">
        <f t="shared" si="97"/>
        <v>4</v>
      </c>
      <c r="E282" s="889">
        <f t="shared" si="114"/>
        <v>55639</v>
      </c>
      <c r="F282" s="822">
        <f t="shared" si="98"/>
        <v>4</v>
      </c>
      <c r="G282" s="126">
        <f t="shared" si="99"/>
        <v>0</v>
      </c>
      <c r="H282" s="1098">
        <f t="shared" si="115"/>
        <v>0</v>
      </c>
      <c r="I282" s="887">
        <f t="shared" si="112"/>
        <v>263</v>
      </c>
      <c r="J282" s="1099">
        <f t="shared" si="105"/>
        <v>263</v>
      </c>
      <c r="K282" s="891" t="str">
        <f t="shared" si="106"/>
        <v>April</v>
      </c>
      <c r="L282" s="888">
        <f t="shared" si="113"/>
        <v>2052</v>
      </c>
      <c r="M282" s="883">
        <f t="shared" si="107"/>
        <v>0</v>
      </c>
      <c r="N282" s="883">
        <f t="shared" si="108"/>
        <v>0</v>
      </c>
      <c r="O282" s="1100"/>
      <c r="P282" s="883">
        <f t="shared" si="100"/>
        <v>0</v>
      </c>
      <c r="Q282" s="884">
        <f t="shared" si="109"/>
        <v>0</v>
      </c>
      <c r="R282" s="884">
        <f>IF(AND($AR$39="Early Payoff",I282&gt;=$R$13),0,IF($I282&lt;=$R$6,SUM($P$20:$P282),0))</f>
        <v>0</v>
      </c>
      <c r="S282" s="884">
        <f>IF(AND($AR$39="Early Payoff",I282&gt;=$R$13),0,IF($I282&lt;=$R$6,SUM($Q$20:$Q282),0))</f>
        <v>0</v>
      </c>
      <c r="T282" s="873">
        <f t="shared" si="110"/>
        <v>0</v>
      </c>
      <c r="U282" s="1110">
        <f t="shared" si="116"/>
        <v>0</v>
      </c>
      <c r="W282" s="1102">
        <f t="shared" si="101"/>
        <v>0</v>
      </c>
      <c r="X282" s="873">
        <f t="shared" si="102"/>
        <v>0</v>
      </c>
      <c r="Y282" s="873">
        <f t="shared" si="103"/>
        <v>0</v>
      </c>
      <c r="Z282" s="885">
        <f t="shared" si="104"/>
        <v>0</v>
      </c>
    </row>
    <row r="283" spans="2:26" s="278" customFormat="1" ht="12" customHeight="1" x14ac:dyDescent="0.25">
      <c r="B283" s="1192">
        <f t="shared" si="111"/>
        <v>283</v>
      </c>
      <c r="C283" s="732">
        <f t="shared" si="96"/>
        <v>31</v>
      </c>
      <c r="D283" s="35">
        <f t="shared" si="97"/>
        <v>5</v>
      </c>
      <c r="E283" s="889">
        <f t="shared" si="114"/>
        <v>55670</v>
      </c>
      <c r="F283" s="822">
        <f t="shared" si="98"/>
        <v>5</v>
      </c>
      <c r="G283" s="126">
        <f t="shared" si="99"/>
        <v>0</v>
      </c>
      <c r="H283" s="1098">
        <f t="shared" si="115"/>
        <v>0</v>
      </c>
      <c r="I283" s="887">
        <f t="shared" si="112"/>
        <v>264</v>
      </c>
      <c r="J283" s="1099">
        <f t="shared" si="105"/>
        <v>264</v>
      </c>
      <c r="K283" s="891" t="str">
        <f t="shared" si="106"/>
        <v>May</v>
      </c>
      <c r="L283" s="888">
        <f t="shared" si="113"/>
        <v>2052</v>
      </c>
      <c r="M283" s="883">
        <f t="shared" si="107"/>
        <v>0</v>
      </c>
      <c r="N283" s="883">
        <f t="shared" si="108"/>
        <v>0</v>
      </c>
      <c r="O283" s="1100"/>
      <c r="P283" s="883">
        <f t="shared" si="100"/>
        <v>0</v>
      </c>
      <c r="Q283" s="884">
        <f t="shared" si="109"/>
        <v>0</v>
      </c>
      <c r="R283" s="884">
        <f>IF(AND($AR$39="Early Payoff",I283&gt;=$R$13),0,IF($I283&lt;=$R$6,SUM($P$20:$P283),0))</f>
        <v>0</v>
      </c>
      <c r="S283" s="884">
        <f>IF(AND($AR$39="Early Payoff",I283&gt;=$R$13),0,IF($I283&lt;=$R$6,SUM($Q$20:$Q283),0))</f>
        <v>0</v>
      </c>
      <c r="T283" s="873">
        <f t="shared" si="110"/>
        <v>0</v>
      </c>
      <c r="U283" s="1110">
        <f t="shared" si="116"/>
        <v>0</v>
      </c>
      <c r="W283" s="1102">
        <f t="shared" si="101"/>
        <v>0</v>
      </c>
      <c r="X283" s="873">
        <f t="shared" si="102"/>
        <v>0</v>
      </c>
      <c r="Y283" s="873">
        <f t="shared" si="103"/>
        <v>0</v>
      </c>
      <c r="Z283" s="885">
        <f t="shared" si="104"/>
        <v>0</v>
      </c>
    </row>
    <row r="284" spans="2:26" s="278" customFormat="1" ht="12" customHeight="1" x14ac:dyDescent="0.25">
      <c r="B284" s="1192">
        <f t="shared" si="111"/>
        <v>284</v>
      </c>
      <c r="C284" s="732">
        <f t="shared" si="96"/>
        <v>30</v>
      </c>
      <c r="D284" s="35">
        <f t="shared" si="97"/>
        <v>6</v>
      </c>
      <c r="E284" s="889">
        <f t="shared" si="114"/>
        <v>55700</v>
      </c>
      <c r="F284" s="822">
        <f t="shared" si="98"/>
        <v>6</v>
      </c>
      <c r="G284" s="126">
        <f t="shared" si="99"/>
        <v>0</v>
      </c>
      <c r="H284" s="1098">
        <f t="shared" si="115"/>
        <v>0</v>
      </c>
      <c r="I284" s="887">
        <f t="shared" si="112"/>
        <v>265</v>
      </c>
      <c r="J284" s="1099">
        <f t="shared" si="105"/>
        <v>265</v>
      </c>
      <c r="K284" s="891" t="str">
        <f t="shared" si="106"/>
        <v>June</v>
      </c>
      <c r="L284" s="888">
        <f t="shared" si="113"/>
        <v>2052</v>
      </c>
      <c r="M284" s="883">
        <f t="shared" si="107"/>
        <v>0</v>
      </c>
      <c r="N284" s="883">
        <f t="shared" si="108"/>
        <v>0</v>
      </c>
      <c r="O284" s="1100"/>
      <c r="P284" s="883">
        <f t="shared" si="100"/>
        <v>0</v>
      </c>
      <c r="Q284" s="884">
        <f t="shared" si="109"/>
        <v>0</v>
      </c>
      <c r="R284" s="884">
        <f>IF(AND($AR$39="Early Payoff",I284&gt;=$R$13),0,IF($I284&lt;=$R$6,SUM($P$20:$P284),0))</f>
        <v>0</v>
      </c>
      <c r="S284" s="884">
        <f>IF(AND($AR$39="Early Payoff",I284&gt;=$R$13),0,IF($I284&lt;=$R$6,SUM($Q$20:$Q284),0))</f>
        <v>0</v>
      </c>
      <c r="T284" s="873">
        <f t="shared" si="110"/>
        <v>0</v>
      </c>
      <c r="U284" s="1110">
        <f t="shared" si="116"/>
        <v>0</v>
      </c>
      <c r="W284" s="1102">
        <f t="shared" si="101"/>
        <v>0</v>
      </c>
      <c r="X284" s="873">
        <f t="shared" si="102"/>
        <v>0</v>
      </c>
      <c r="Y284" s="873">
        <f t="shared" si="103"/>
        <v>0</v>
      </c>
      <c r="Z284" s="885">
        <f t="shared" si="104"/>
        <v>0</v>
      </c>
    </row>
    <row r="285" spans="2:26" s="278" customFormat="1" ht="12" customHeight="1" x14ac:dyDescent="0.25">
      <c r="B285" s="1192">
        <f t="shared" si="111"/>
        <v>285</v>
      </c>
      <c r="C285" s="732">
        <f t="shared" si="96"/>
        <v>31</v>
      </c>
      <c r="D285" s="35">
        <f t="shared" si="97"/>
        <v>7</v>
      </c>
      <c r="E285" s="889">
        <f t="shared" si="114"/>
        <v>55731</v>
      </c>
      <c r="F285" s="822">
        <f t="shared" si="98"/>
        <v>7</v>
      </c>
      <c r="G285" s="126">
        <f t="shared" si="99"/>
        <v>0</v>
      </c>
      <c r="H285" s="1098">
        <f t="shared" si="115"/>
        <v>0</v>
      </c>
      <c r="I285" s="887">
        <f t="shared" si="112"/>
        <v>266</v>
      </c>
      <c r="J285" s="1099">
        <f t="shared" si="105"/>
        <v>266</v>
      </c>
      <c r="K285" s="891" t="str">
        <f t="shared" si="106"/>
        <v>July</v>
      </c>
      <c r="L285" s="888">
        <f t="shared" si="113"/>
        <v>2052</v>
      </c>
      <c r="M285" s="883">
        <f t="shared" si="107"/>
        <v>0</v>
      </c>
      <c r="N285" s="883">
        <f t="shared" si="108"/>
        <v>0</v>
      </c>
      <c r="O285" s="1100"/>
      <c r="P285" s="883">
        <f t="shared" si="100"/>
        <v>0</v>
      </c>
      <c r="Q285" s="884">
        <f t="shared" si="109"/>
        <v>0</v>
      </c>
      <c r="R285" s="884">
        <f>IF(AND($AR$39="Early Payoff",I285&gt;=$R$13),0,IF($I285&lt;=$R$6,SUM($P$20:$P285),0))</f>
        <v>0</v>
      </c>
      <c r="S285" s="884">
        <f>IF(AND($AR$39="Early Payoff",I285&gt;=$R$13),0,IF($I285&lt;=$R$6,SUM($Q$20:$Q285),0))</f>
        <v>0</v>
      </c>
      <c r="T285" s="873">
        <f t="shared" si="110"/>
        <v>0</v>
      </c>
      <c r="U285" s="1110">
        <f t="shared" si="116"/>
        <v>0</v>
      </c>
      <c r="W285" s="1102">
        <f t="shared" si="101"/>
        <v>0</v>
      </c>
      <c r="X285" s="873">
        <f t="shared" si="102"/>
        <v>0</v>
      </c>
      <c r="Y285" s="873">
        <f t="shared" si="103"/>
        <v>0</v>
      </c>
      <c r="Z285" s="885">
        <f t="shared" si="104"/>
        <v>0</v>
      </c>
    </row>
    <row r="286" spans="2:26" s="278" customFormat="1" ht="12" customHeight="1" x14ac:dyDescent="0.25">
      <c r="B286" s="1192">
        <f t="shared" si="111"/>
        <v>286</v>
      </c>
      <c r="C286" s="732">
        <f t="shared" si="96"/>
        <v>31</v>
      </c>
      <c r="D286" s="35">
        <f t="shared" si="97"/>
        <v>8</v>
      </c>
      <c r="E286" s="889">
        <f t="shared" si="114"/>
        <v>55762</v>
      </c>
      <c r="F286" s="822">
        <f t="shared" si="98"/>
        <v>8</v>
      </c>
      <c r="G286" s="126">
        <f t="shared" si="99"/>
        <v>0</v>
      </c>
      <c r="H286" s="1098">
        <f t="shared" si="115"/>
        <v>0</v>
      </c>
      <c r="I286" s="887">
        <f t="shared" si="112"/>
        <v>267</v>
      </c>
      <c r="J286" s="1099">
        <f t="shared" si="105"/>
        <v>267</v>
      </c>
      <c r="K286" s="891" t="str">
        <f t="shared" si="106"/>
        <v>August</v>
      </c>
      <c r="L286" s="888">
        <f t="shared" si="113"/>
        <v>2052</v>
      </c>
      <c r="M286" s="883">
        <f t="shared" si="107"/>
        <v>0</v>
      </c>
      <c r="N286" s="883">
        <f t="shared" si="108"/>
        <v>0</v>
      </c>
      <c r="O286" s="1100"/>
      <c r="P286" s="883">
        <f t="shared" si="100"/>
        <v>0</v>
      </c>
      <c r="Q286" s="884">
        <f t="shared" si="109"/>
        <v>0</v>
      </c>
      <c r="R286" s="884">
        <f>IF(AND($AR$39="Early Payoff",I286&gt;=$R$13),0,IF($I286&lt;=$R$6,SUM($P$20:$P286),0))</f>
        <v>0</v>
      </c>
      <c r="S286" s="884">
        <f>IF(AND($AR$39="Early Payoff",I286&gt;=$R$13),0,IF($I286&lt;=$R$6,SUM($Q$20:$Q286),0))</f>
        <v>0</v>
      </c>
      <c r="T286" s="873">
        <f t="shared" si="110"/>
        <v>0</v>
      </c>
      <c r="U286" s="1110">
        <f t="shared" si="116"/>
        <v>0</v>
      </c>
      <c r="W286" s="1102">
        <f t="shared" si="101"/>
        <v>0</v>
      </c>
      <c r="X286" s="873">
        <f t="shared" si="102"/>
        <v>0</v>
      </c>
      <c r="Y286" s="873">
        <f t="shared" si="103"/>
        <v>0</v>
      </c>
      <c r="Z286" s="885">
        <f t="shared" si="104"/>
        <v>0</v>
      </c>
    </row>
    <row r="287" spans="2:26" s="278" customFormat="1" ht="12" customHeight="1" x14ac:dyDescent="0.25">
      <c r="B287" s="1192">
        <f t="shared" si="111"/>
        <v>287</v>
      </c>
      <c r="C287" s="732">
        <f t="shared" si="96"/>
        <v>30</v>
      </c>
      <c r="D287" s="35">
        <f t="shared" si="97"/>
        <v>9</v>
      </c>
      <c r="E287" s="889">
        <f t="shared" si="114"/>
        <v>55792</v>
      </c>
      <c r="F287" s="822">
        <f t="shared" si="98"/>
        <v>9</v>
      </c>
      <c r="G287" s="126">
        <f t="shared" si="99"/>
        <v>0</v>
      </c>
      <c r="H287" s="1098">
        <f t="shared" si="115"/>
        <v>0</v>
      </c>
      <c r="I287" s="887">
        <f t="shared" si="112"/>
        <v>268</v>
      </c>
      <c r="J287" s="1099">
        <f t="shared" si="105"/>
        <v>268</v>
      </c>
      <c r="K287" s="891" t="str">
        <f t="shared" si="106"/>
        <v>September</v>
      </c>
      <c r="L287" s="888">
        <f t="shared" si="113"/>
        <v>2052</v>
      </c>
      <c r="M287" s="883">
        <f t="shared" si="107"/>
        <v>0</v>
      </c>
      <c r="N287" s="883">
        <f t="shared" si="108"/>
        <v>0</v>
      </c>
      <c r="O287" s="1100"/>
      <c r="P287" s="883">
        <f t="shared" si="100"/>
        <v>0</v>
      </c>
      <c r="Q287" s="884">
        <f t="shared" si="109"/>
        <v>0</v>
      </c>
      <c r="R287" s="884">
        <f>IF(AND($AR$39="Early Payoff",I287&gt;=$R$13),0,IF($I287&lt;=$R$6,SUM($P$20:$P287),0))</f>
        <v>0</v>
      </c>
      <c r="S287" s="884">
        <f>IF(AND($AR$39="Early Payoff",I287&gt;=$R$13),0,IF($I287&lt;=$R$6,SUM($Q$20:$Q287),0))</f>
        <v>0</v>
      </c>
      <c r="T287" s="873">
        <f t="shared" si="110"/>
        <v>0</v>
      </c>
      <c r="U287" s="1110">
        <f t="shared" si="116"/>
        <v>0</v>
      </c>
      <c r="W287" s="1102">
        <f t="shared" si="101"/>
        <v>0</v>
      </c>
      <c r="X287" s="873">
        <f t="shared" si="102"/>
        <v>0</v>
      </c>
      <c r="Y287" s="873">
        <f t="shared" si="103"/>
        <v>0</v>
      </c>
      <c r="Z287" s="885">
        <f t="shared" si="104"/>
        <v>0</v>
      </c>
    </row>
    <row r="288" spans="2:26" s="278" customFormat="1" ht="12" customHeight="1" x14ac:dyDescent="0.25">
      <c r="B288" s="1192">
        <f t="shared" si="111"/>
        <v>288</v>
      </c>
      <c r="C288" s="732">
        <f t="shared" si="96"/>
        <v>31</v>
      </c>
      <c r="D288" s="35">
        <f t="shared" si="97"/>
        <v>10</v>
      </c>
      <c r="E288" s="889">
        <f t="shared" si="114"/>
        <v>55823</v>
      </c>
      <c r="F288" s="822">
        <f t="shared" si="98"/>
        <v>10</v>
      </c>
      <c r="G288" s="126">
        <f t="shared" si="99"/>
        <v>0</v>
      </c>
      <c r="H288" s="1098">
        <f t="shared" si="115"/>
        <v>0</v>
      </c>
      <c r="I288" s="887">
        <f t="shared" si="112"/>
        <v>269</v>
      </c>
      <c r="J288" s="1099">
        <f t="shared" si="105"/>
        <v>269</v>
      </c>
      <c r="K288" s="891" t="str">
        <f t="shared" si="106"/>
        <v>October</v>
      </c>
      <c r="L288" s="888">
        <f t="shared" si="113"/>
        <v>2052</v>
      </c>
      <c r="M288" s="883">
        <f t="shared" si="107"/>
        <v>0</v>
      </c>
      <c r="N288" s="883">
        <f t="shared" si="108"/>
        <v>0</v>
      </c>
      <c r="O288" s="1100"/>
      <c r="P288" s="883">
        <f t="shared" si="100"/>
        <v>0</v>
      </c>
      <c r="Q288" s="884">
        <f t="shared" si="109"/>
        <v>0</v>
      </c>
      <c r="R288" s="884">
        <f>IF(AND($AR$39="Early Payoff",I288&gt;=$R$13),0,IF($I288&lt;=$R$6,SUM($P$20:$P288),0))</f>
        <v>0</v>
      </c>
      <c r="S288" s="884">
        <f>IF(AND($AR$39="Early Payoff",I288&gt;=$R$13),0,IF($I288&lt;=$R$6,SUM($Q$20:$Q288),0))</f>
        <v>0</v>
      </c>
      <c r="T288" s="873">
        <f t="shared" si="110"/>
        <v>0</v>
      </c>
      <c r="U288" s="1110">
        <f t="shared" si="116"/>
        <v>0</v>
      </c>
      <c r="W288" s="1102">
        <f t="shared" si="101"/>
        <v>0</v>
      </c>
      <c r="X288" s="873">
        <f t="shared" si="102"/>
        <v>0</v>
      </c>
      <c r="Y288" s="873">
        <f t="shared" si="103"/>
        <v>0</v>
      </c>
      <c r="Z288" s="885">
        <f t="shared" si="104"/>
        <v>0</v>
      </c>
    </row>
    <row r="289" spans="2:26" s="278" customFormat="1" ht="12" customHeight="1" x14ac:dyDescent="0.25">
      <c r="B289" s="1192">
        <f t="shared" si="111"/>
        <v>289</v>
      </c>
      <c r="C289" s="732">
        <f t="shared" si="96"/>
        <v>30</v>
      </c>
      <c r="D289" s="35">
        <f t="shared" si="97"/>
        <v>11</v>
      </c>
      <c r="E289" s="889">
        <f t="shared" si="114"/>
        <v>55853</v>
      </c>
      <c r="F289" s="822">
        <f t="shared" si="98"/>
        <v>11</v>
      </c>
      <c r="G289" s="126">
        <f t="shared" si="99"/>
        <v>0</v>
      </c>
      <c r="H289" s="1098">
        <f t="shared" si="115"/>
        <v>0</v>
      </c>
      <c r="I289" s="887">
        <f t="shared" si="112"/>
        <v>270</v>
      </c>
      <c r="J289" s="1099">
        <f t="shared" si="105"/>
        <v>270</v>
      </c>
      <c r="K289" s="891" t="str">
        <f t="shared" si="106"/>
        <v>November</v>
      </c>
      <c r="L289" s="888">
        <f t="shared" si="113"/>
        <v>2052</v>
      </c>
      <c r="M289" s="883">
        <f t="shared" si="107"/>
        <v>0</v>
      </c>
      <c r="N289" s="883">
        <f t="shared" si="108"/>
        <v>0</v>
      </c>
      <c r="O289" s="1100"/>
      <c r="P289" s="883">
        <f t="shared" si="100"/>
        <v>0</v>
      </c>
      <c r="Q289" s="884">
        <f t="shared" si="109"/>
        <v>0</v>
      </c>
      <c r="R289" s="884">
        <f>IF(AND($AR$39="Early Payoff",I289&gt;=$R$13),0,IF($I289&lt;=$R$6,SUM($P$20:$P289),0))</f>
        <v>0</v>
      </c>
      <c r="S289" s="884">
        <f>IF(AND($AR$39="Early Payoff",I289&gt;=$R$13),0,IF($I289&lt;=$R$6,SUM($Q$20:$Q289),0))</f>
        <v>0</v>
      </c>
      <c r="T289" s="873">
        <f t="shared" si="110"/>
        <v>0</v>
      </c>
      <c r="U289" s="1110">
        <f t="shared" si="116"/>
        <v>0</v>
      </c>
      <c r="W289" s="1102">
        <f t="shared" si="101"/>
        <v>0</v>
      </c>
      <c r="X289" s="873">
        <f t="shared" si="102"/>
        <v>0</v>
      </c>
      <c r="Y289" s="873">
        <f t="shared" si="103"/>
        <v>0</v>
      </c>
      <c r="Z289" s="885">
        <f t="shared" si="104"/>
        <v>0</v>
      </c>
    </row>
    <row r="290" spans="2:26" s="278" customFormat="1" ht="12" customHeight="1" x14ac:dyDescent="0.25">
      <c r="B290" s="1192">
        <f t="shared" si="111"/>
        <v>290</v>
      </c>
      <c r="C290" s="732">
        <f t="shared" si="96"/>
        <v>31</v>
      </c>
      <c r="D290" s="35">
        <f t="shared" si="97"/>
        <v>12</v>
      </c>
      <c r="E290" s="889">
        <f t="shared" si="114"/>
        <v>55884</v>
      </c>
      <c r="F290" s="822">
        <f t="shared" si="98"/>
        <v>12</v>
      </c>
      <c r="G290" s="126">
        <f t="shared" si="99"/>
        <v>1</v>
      </c>
      <c r="H290" s="1098">
        <f t="shared" si="115"/>
        <v>0</v>
      </c>
      <c r="I290" s="887">
        <f t="shared" si="112"/>
        <v>271</v>
      </c>
      <c r="J290" s="1099">
        <f t="shared" si="105"/>
        <v>271</v>
      </c>
      <c r="K290" s="891" t="str">
        <f t="shared" si="106"/>
        <v>December</v>
      </c>
      <c r="L290" s="888">
        <f t="shared" si="113"/>
        <v>2052</v>
      </c>
      <c r="M290" s="883">
        <f t="shared" si="107"/>
        <v>0</v>
      </c>
      <c r="N290" s="883">
        <f t="shared" si="108"/>
        <v>0</v>
      </c>
      <c r="O290" s="1100"/>
      <c r="P290" s="883">
        <f t="shared" si="100"/>
        <v>0</v>
      </c>
      <c r="Q290" s="884">
        <f t="shared" si="109"/>
        <v>0</v>
      </c>
      <c r="R290" s="884">
        <f>IF(AND($AR$39="Early Payoff",I290&gt;=$R$13),0,IF($I290&lt;=$R$6,SUM($P$20:$P290),0))</f>
        <v>0</v>
      </c>
      <c r="S290" s="884">
        <f>IF(AND($AR$39="Early Payoff",I290&gt;=$R$13),0,IF($I290&lt;=$R$6,SUM($Q$20:$Q290),0))</f>
        <v>0</v>
      </c>
      <c r="T290" s="873">
        <f t="shared" si="110"/>
        <v>0</v>
      </c>
      <c r="U290" s="1110">
        <f t="shared" si="116"/>
        <v>0</v>
      </c>
      <c r="W290" s="1102">
        <f t="shared" si="101"/>
        <v>0</v>
      </c>
      <c r="X290" s="873">
        <f t="shared" si="102"/>
        <v>0</v>
      </c>
      <c r="Y290" s="873">
        <f t="shared" si="103"/>
        <v>0</v>
      </c>
      <c r="Z290" s="885">
        <f t="shared" si="104"/>
        <v>0</v>
      </c>
    </row>
    <row r="291" spans="2:26" s="278" customFormat="1" ht="12" customHeight="1" x14ac:dyDescent="0.25">
      <c r="B291" s="1192">
        <f t="shared" si="111"/>
        <v>291</v>
      </c>
      <c r="C291" s="732">
        <f t="shared" si="96"/>
        <v>31</v>
      </c>
      <c r="D291" s="35">
        <f t="shared" si="97"/>
        <v>1</v>
      </c>
      <c r="E291" s="889">
        <f t="shared" si="114"/>
        <v>55915</v>
      </c>
      <c r="F291" s="822">
        <f t="shared" si="98"/>
        <v>1</v>
      </c>
      <c r="G291" s="126">
        <f t="shared" si="99"/>
        <v>0</v>
      </c>
      <c r="H291" s="1098">
        <f t="shared" si="115"/>
        <v>0</v>
      </c>
      <c r="I291" s="887">
        <f t="shared" si="112"/>
        <v>272</v>
      </c>
      <c r="J291" s="1099">
        <f t="shared" si="105"/>
        <v>272</v>
      </c>
      <c r="K291" s="891" t="str">
        <f t="shared" si="106"/>
        <v>January</v>
      </c>
      <c r="L291" s="888">
        <f t="shared" si="113"/>
        <v>2053</v>
      </c>
      <c r="M291" s="883">
        <f t="shared" si="107"/>
        <v>0</v>
      </c>
      <c r="N291" s="883">
        <f t="shared" si="108"/>
        <v>0</v>
      </c>
      <c r="O291" s="1100"/>
      <c r="P291" s="883">
        <f t="shared" si="100"/>
        <v>0</v>
      </c>
      <c r="Q291" s="884">
        <f t="shared" si="109"/>
        <v>0</v>
      </c>
      <c r="R291" s="884">
        <f>IF(AND($AR$39="Early Payoff",I291&gt;=$R$13),0,IF($I291&lt;=$R$6,SUM($P$20:$P291),0))</f>
        <v>0</v>
      </c>
      <c r="S291" s="884">
        <f>IF(AND($AR$39="Early Payoff",I291&gt;=$R$13),0,IF($I291&lt;=$R$6,SUM($Q$20:$Q291),0))</f>
        <v>0</v>
      </c>
      <c r="T291" s="873">
        <f t="shared" si="110"/>
        <v>0</v>
      </c>
      <c r="U291" s="1110">
        <f t="shared" si="116"/>
        <v>0</v>
      </c>
      <c r="W291" s="1102">
        <f t="shared" si="101"/>
        <v>0</v>
      </c>
      <c r="X291" s="873">
        <f t="shared" si="102"/>
        <v>0</v>
      </c>
      <c r="Y291" s="873">
        <f t="shared" si="103"/>
        <v>0</v>
      </c>
      <c r="Z291" s="885">
        <f t="shared" si="104"/>
        <v>0</v>
      </c>
    </row>
    <row r="292" spans="2:26" s="278" customFormat="1" ht="12" customHeight="1" x14ac:dyDescent="0.25">
      <c r="B292" s="1192">
        <f t="shared" si="111"/>
        <v>292</v>
      </c>
      <c r="C292" s="732">
        <f t="shared" si="96"/>
        <v>28</v>
      </c>
      <c r="D292" s="35">
        <f t="shared" si="97"/>
        <v>2</v>
      </c>
      <c r="E292" s="889">
        <f t="shared" si="114"/>
        <v>55943</v>
      </c>
      <c r="F292" s="822">
        <f t="shared" si="98"/>
        <v>2</v>
      </c>
      <c r="G292" s="126">
        <f t="shared" si="99"/>
        <v>0</v>
      </c>
      <c r="H292" s="1098">
        <f t="shared" si="115"/>
        <v>0</v>
      </c>
      <c r="I292" s="887">
        <f t="shared" si="112"/>
        <v>273</v>
      </c>
      <c r="J292" s="1099">
        <f t="shared" si="105"/>
        <v>273</v>
      </c>
      <c r="K292" s="891" t="str">
        <f t="shared" si="106"/>
        <v>February</v>
      </c>
      <c r="L292" s="888">
        <f t="shared" si="113"/>
        <v>2053</v>
      </c>
      <c r="M292" s="883">
        <f t="shared" si="107"/>
        <v>0</v>
      </c>
      <c r="N292" s="883">
        <f t="shared" si="108"/>
        <v>0</v>
      </c>
      <c r="O292" s="1100"/>
      <c r="P292" s="883">
        <f t="shared" si="100"/>
        <v>0</v>
      </c>
      <c r="Q292" s="884">
        <f t="shared" si="109"/>
        <v>0</v>
      </c>
      <c r="R292" s="884">
        <f>IF(AND($AR$39="Early Payoff",I292&gt;=$R$13),0,IF($I292&lt;=$R$6,SUM($P$20:$P292),0))</f>
        <v>0</v>
      </c>
      <c r="S292" s="884">
        <f>IF(AND($AR$39="Early Payoff",I292&gt;=$R$13),0,IF($I292&lt;=$R$6,SUM($Q$20:$Q292),0))</f>
        <v>0</v>
      </c>
      <c r="T292" s="873">
        <f t="shared" si="110"/>
        <v>0</v>
      </c>
      <c r="U292" s="1110">
        <f t="shared" si="116"/>
        <v>0</v>
      </c>
      <c r="W292" s="1102">
        <f t="shared" si="101"/>
        <v>0</v>
      </c>
      <c r="X292" s="873">
        <f t="shared" si="102"/>
        <v>0</v>
      </c>
      <c r="Y292" s="873">
        <f t="shared" si="103"/>
        <v>0</v>
      </c>
      <c r="Z292" s="885">
        <f t="shared" si="104"/>
        <v>0</v>
      </c>
    </row>
    <row r="293" spans="2:26" s="278" customFormat="1" ht="12" customHeight="1" x14ac:dyDescent="0.25">
      <c r="B293" s="1192">
        <f t="shared" si="111"/>
        <v>293</v>
      </c>
      <c r="C293" s="732">
        <f t="shared" si="96"/>
        <v>31</v>
      </c>
      <c r="D293" s="35">
        <f t="shared" si="97"/>
        <v>3</v>
      </c>
      <c r="E293" s="889">
        <f t="shared" si="114"/>
        <v>55974</v>
      </c>
      <c r="F293" s="822">
        <f t="shared" si="98"/>
        <v>3</v>
      </c>
      <c r="G293" s="126">
        <f t="shared" si="99"/>
        <v>0</v>
      </c>
      <c r="H293" s="1098">
        <f t="shared" si="115"/>
        <v>0</v>
      </c>
      <c r="I293" s="887">
        <f t="shared" si="112"/>
        <v>274</v>
      </c>
      <c r="J293" s="1099">
        <f t="shared" si="105"/>
        <v>274</v>
      </c>
      <c r="K293" s="891" t="str">
        <f t="shared" si="106"/>
        <v>March</v>
      </c>
      <c r="L293" s="888">
        <f t="shared" si="113"/>
        <v>2053</v>
      </c>
      <c r="M293" s="883">
        <f t="shared" si="107"/>
        <v>0</v>
      </c>
      <c r="N293" s="883">
        <f t="shared" si="108"/>
        <v>0</v>
      </c>
      <c r="O293" s="1100"/>
      <c r="P293" s="883">
        <f t="shared" si="100"/>
        <v>0</v>
      </c>
      <c r="Q293" s="884">
        <f t="shared" si="109"/>
        <v>0</v>
      </c>
      <c r="R293" s="884">
        <f>IF(AND($AR$39="Early Payoff",I293&gt;=$R$13),0,IF($I293&lt;=$R$6,SUM($P$20:$P293),0))</f>
        <v>0</v>
      </c>
      <c r="S293" s="884">
        <f>IF(AND($AR$39="Early Payoff",I293&gt;=$R$13),0,IF($I293&lt;=$R$6,SUM($Q$20:$Q293),0))</f>
        <v>0</v>
      </c>
      <c r="T293" s="873">
        <f t="shared" si="110"/>
        <v>0</v>
      </c>
      <c r="U293" s="1110">
        <f t="shared" si="116"/>
        <v>0</v>
      </c>
      <c r="W293" s="1102">
        <f t="shared" si="101"/>
        <v>0</v>
      </c>
      <c r="X293" s="873">
        <f t="shared" si="102"/>
        <v>0</v>
      </c>
      <c r="Y293" s="873">
        <f t="shared" si="103"/>
        <v>0</v>
      </c>
      <c r="Z293" s="885">
        <f t="shared" si="104"/>
        <v>0</v>
      </c>
    </row>
    <row r="294" spans="2:26" s="278" customFormat="1" ht="12" customHeight="1" x14ac:dyDescent="0.25">
      <c r="B294" s="1192">
        <f t="shared" si="111"/>
        <v>294</v>
      </c>
      <c r="C294" s="732">
        <f t="shared" si="96"/>
        <v>30</v>
      </c>
      <c r="D294" s="35">
        <f t="shared" si="97"/>
        <v>4</v>
      </c>
      <c r="E294" s="889">
        <f t="shared" si="114"/>
        <v>56004</v>
      </c>
      <c r="F294" s="822">
        <f t="shared" si="98"/>
        <v>4</v>
      </c>
      <c r="G294" s="126">
        <f t="shared" si="99"/>
        <v>0</v>
      </c>
      <c r="H294" s="1098">
        <f t="shared" si="115"/>
        <v>0</v>
      </c>
      <c r="I294" s="887">
        <f t="shared" si="112"/>
        <v>275</v>
      </c>
      <c r="J294" s="1099">
        <f t="shared" si="105"/>
        <v>275</v>
      </c>
      <c r="K294" s="891" t="str">
        <f t="shared" si="106"/>
        <v>April</v>
      </c>
      <c r="L294" s="888">
        <f t="shared" si="113"/>
        <v>2053</v>
      </c>
      <c r="M294" s="883">
        <f t="shared" si="107"/>
        <v>0</v>
      </c>
      <c r="N294" s="883">
        <f t="shared" si="108"/>
        <v>0</v>
      </c>
      <c r="O294" s="1100"/>
      <c r="P294" s="883">
        <f t="shared" si="100"/>
        <v>0</v>
      </c>
      <c r="Q294" s="884">
        <f t="shared" si="109"/>
        <v>0</v>
      </c>
      <c r="R294" s="884">
        <f>IF(AND($AR$39="Early Payoff",I294&gt;=$R$13),0,IF($I294&lt;=$R$6,SUM($P$20:$P294),0))</f>
        <v>0</v>
      </c>
      <c r="S294" s="884">
        <f>IF(AND($AR$39="Early Payoff",I294&gt;=$R$13),0,IF($I294&lt;=$R$6,SUM($Q$20:$Q294),0))</f>
        <v>0</v>
      </c>
      <c r="T294" s="873">
        <f t="shared" si="110"/>
        <v>0</v>
      </c>
      <c r="U294" s="1110">
        <f t="shared" si="116"/>
        <v>0</v>
      </c>
      <c r="W294" s="1102">
        <f t="shared" si="101"/>
        <v>0</v>
      </c>
      <c r="X294" s="873">
        <f t="shared" si="102"/>
        <v>0</v>
      </c>
      <c r="Y294" s="873">
        <f t="shared" si="103"/>
        <v>0</v>
      </c>
      <c r="Z294" s="885">
        <f t="shared" si="104"/>
        <v>0</v>
      </c>
    </row>
    <row r="295" spans="2:26" s="278" customFormat="1" ht="12" customHeight="1" x14ac:dyDescent="0.25">
      <c r="B295" s="1192">
        <f t="shared" si="111"/>
        <v>295</v>
      </c>
      <c r="C295" s="732">
        <f t="shared" si="96"/>
        <v>31</v>
      </c>
      <c r="D295" s="35">
        <f t="shared" si="97"/>
        <v>5</v>
      </c>
      <c r="E295" s="889">
        <f t="shared" si="114"/>
        <v>56035</v>
      </c>
      <c r="F295" s="822">
        <f t="shared" si="98"/>
        <v>5</v>
      </c>
      <c r="G295" s="126">
        <f t="shared" si="99"/>
        <v>0</v>
      </c>
      <c r="H295" s="1098">
        <f t="shared" si="115"/>
        <v>0</v>
      </c>
      <c r="I295" s="887">
        <f t="shared" si="112"/>
        <v>276</v>
      </c>
      <c r="J295" s="1099">
        <f t="shared" si="105"/>
        <v>276</v>
      </c>
      <c r="K295" s="891" t="str">
        <f t="shared" si="106"/>
        <v>May</v>
      </c>
      <c r="L295" s="888">
        <f t="shared" si="113"/>
        <v>2053</v>
      </c>
      <c r="M295" s="883">
        <f t="shared" si="107"/>
        <v>0</v>
      </c>
      <c r="N295" s="883">
        <f t="shared" si="108"/>
        <v>0</v>
      </c>
      <c r="O295" s="1100"/>
      <c r="P295" s="883">
        <f t="shared" si="100"/>
        <v>0</v>
      </c>
      <c r="Q295" s="884">
        <f t="shared" si="109"/>
        <v>0</v>
      </c>
      <c r="R295" s="884">
        <f>IF(AND($AR$39="Early Payoff",I295&gt;=$R$13),0,IF($I295&lt;=$R$6,SUM($P$20:$P295),0))</f>
        <v>0</v>
      </c>
      <c r="S295" s="884">
        <f>IF(AND($AR$39="Early Payoff",I295&gt;=$R$13),0,IF($I295&lt;=$R$6,SUM($Q$20:$Q295),0))</f>
        <v>0</v>
      </c>
      <c r="T295" s="873">
        <f t="shared" si="110"/>
        <v>0</v>
      </c>
      <c r="U295" s="1110">
        <f t="shared" si="116"/>
        <v>0</v>
      </c>
      <c r="W295" s="1102">
        <f t="shared" si="101"/>
        <v>0</v>
      </c>
      <c r="X295" s="873">
        <f t="shared" si="102"/>
        <v>0</v>
      </c>
      <c r="Y295" s="873">
        <f t="shared" si="103"/>
        <v>0</v>
      </c>
      <c r="Z295" s="885">
        <f t="shared" si="104"/>
        <v>0</v>
      </c>
    </row>
    <row r="296" spans="2:26" s="278" customFormat="1" ht="12" customHeight="1" x14ac:dyDescent="0.25">
      <c r="B296" s="1192">
        <f t="shared" si="111"/>
        <v>296</v>
      </c>
      <c r="C296" s="732">
        <f t="shared" si="96"/>
        <v>30</v>
      </c>
      <c r="D296" s="35">
        <f t="shared" si="97"/>
        <v>6</v>
      </c>
      <c r="E296" s="889">
        <f t="shared" si="114"/>
        <v>56065</v>
      </c>
      <c r="F296" s="822">
        <f t="shared" si="98"/>
        <v>6</v>
      </c>
      <c r="G296" s="126">
        <f t="shared" si="99"/>
        <v>0</v>
      </c>
      <c r="H296" s="1098">
        <f t="shared" si="115"/>
        <v>0</v>
      </c>
      <c r="I296" s="887">
        <f t="shared" si="112"/>
        <v>277</v>
      </c>
      <c r="J296" s="1099">
        <f t="shared" si="105"/>
        <v>277</v>
      </c>
      <c r="K296" s="891" t="str">
        <f t="shared" si="106"/>
        <v>June</v>
      </c>
      <c r="L296" s="888">
        <f t="shared" si="113"/>
        <v>2053</v>
      </c>
      <c r="M296" s="883">
        <f t="shared" si="107"/>
        <v>0</v>
      </c>
      <c r="N296" s="883">
        <f t="shared" si="108"/>
        <v>0</v>
      </c>
      <c r="O296" s="1100"/>
      <c r="P296" s="883">
        <f t="shared" si="100"/>
        <v>0</v>
      </c>
      <c r="Q296" s="884">
        <f t="shared" si="109"/>
        <v>0</v>
      </c>
      <c r="R296" s="884">
        <f>IF(AND($AR$39="Early Payoff",I296&gt;=$R$13),0,IF($I296&lt;=$R$6,SUM($P$20:$P296),0))</f>
        <v>0</v>
      </c>
      <c r="S296" s="884">
        <f>IF(AND($AR$39="Early Payoff",I296&gt;=$R$13),0,IF($I296&lt;=$R$6,SUM($Q$20:$Q296),0))</f>
        <v>0</v>
      </c>
      <c r="T296" s="873">
        <f t="shared" si="110"/>
        <v>0</v>
      </c>
      <c r="U296" s="1110">
        <f t="shared" si="116"/>
        <v>0</v>
      </c>
      <c r="W296" s="1102">
        <f t="shared" si="101"/>
        <v>0</v>
      </c>
      <c r="X296" s="873">
        <f t="shared" si="102"/>
        <v>0</v>
      </c>
      <c r="Y296" s="873">
        <f t="shared" si="103"/>
        <v>0</v>
      </c>
      <c r="Z296" s="885">
        <f t="shared" si="104"/>
        <v>0</v>
      </c>
    </row>
    <row r="297" spans="2:26" s="278" customFormat="1" ht="12" customHeight="1" x14ac:dyDescent="0.25">
      <c r="B297" s="1192">
        <f t="shared" si="111"/>
        <v>297</v>
      </c>
      <c r="C297" s="732">
        <f t="shared" si="96"/>
        <v>31</v>
      </c>
      <c r="D297" s="35">
        <f t="shared" si="97"/>
        <v>7</v>
      </c>
      <c r="E297" s="889">
        <f t="shared" si="114"/>
        <v>56096</v>
      </c>
      <c r="F297" s="822">
        <f t="shared" si="98"/>
        <v>7</v>
      </c>
      <c r="G297" s="126">
        <f t="shared" si="99"/>
        <v>0</v>
      </c>
      <c r="H297" s="1098">
        <f t="shared" si="115"/>
        <v>0</v>
      </c>
      <c r="I297" s="887">
        <f t="shared" si="112"/>
        <v>278</v>
      </c>
      <c r="J297" s="1099">
        <f t="shared" si="105"/>
        <v>278</v>
      </c>
      <c r="K297" s="891" t="str">
        <f t="shared" si="106"/>
        <v>July</v>
      </c>
      <c r="L297" s="888">
        <f t="shared" si="113"/>
        <v>2053</v>
      </c>
      <c r="M297" s="883">
        <f t="shared" si="107"/>
        <v>0</v>
      </c>
      <c r="N297" s="883">
        <f t="shared" si="108"/>
        <v>0</v>
      </c>
      <c r="O297" s="1100"/>
      <c r="P297" s="883">
        <f t="shared" si="100"/>
        <v>0</v>
      </c>
      <c r="Q297" s="884">
        <f t="shared" si="109"/>
        <v>0</v>
      </c>
      <c r="R297" s="884">
        <f>IF(AND($AR$39="Early Payoff",I297&gt;=$R$13),0,IF($I297&lt;=$R$6,SUM($P$20:$P297),0))</f>
        <v>0</v>
      </c>
      <c r="S297" s="884">
        <f>IF(AND($AR$39="Early Payoff",I297&gt;=$R$13),0,IF($I297&lt;=$R$6,SUM($Q$20:$Q297),0))</f>
        <v>0</v>
      </c>
      <c r="T297" s="873">
        <f t="shared" si="110"/>
        <v>0</v>
      </c>
      <c r="U297" s="1110">
        <f t="shared" si="116"/>
        <v>0</v>
      </c>
      <c r="W297" s="1102">
        <f t="shared" si="101"/>
        <v>0</v>
      </c>
      <c r="X297" s="873">
        <f t="shared" si="102"/>
        <v>0</v>
      </c>
      <c r="Y297" s="873">
        <f t="shared" si="103"/>
        <v>0</v>
      </c>
      <c r="Z297" s="885">
        <f t="shared" si="104"/>
        <v>0</v>
      </c>
    </row>
    <row r="298" spans="2:26" s="278" customFormat="1" ht="12" customHeight="1" x14ac:dyDescent="0.25">
      <c r="B298" s="1192">
        <f t="shared" si="111"/>
        <v>298</v>
      </c>
      <c r="C298" s="732">
        <f t="shared" si="96"/>
        <v>31</v>
      </c>
      <c r="D298" s="35">
        <f t="shared" si="97"/>
        <v>8</v>
      </c>
      <c r="E298" s="889">
        <f t="shared" si="114"/>
        <v>56127</v>
      </c>
      <c r="F298" s="822">
        <f t="shared" si="98"/>
        <v>8</v>
      </c>
      <c r="G298" s="126">
        <f t="shared" si="99"/>
        <v>0</v>
      </c>
      <c r="H298" s="1098">
        <f t="shared" si="115"/>
        <v>0</v>
      </c>
      <c r="I298" s="887">
        <f t="shared" si="112"/>
        <v>279</v>
      </c>
      <c r="J298" s="1099">
        <f t="shared" si="105"/>
        <v>279</v>
      </c>
      <c r="K298" s="891" t="str">
        <f t="shared" si="106"/>
        <v>August</v>
      </c>
      <c r="L298" s="888">
        <f t="shared" si="113"/>
        <v>2053</v>
      </c>
      <c r="M298" s="883">
        <f t="shared" si="107"/>
        <v>0</v>
      </c>
      <c r="N298" s="883">
        <f t="shared" si="108"/>
        <v>0</v>
      </c>
      <c r="O298" s="1100"/>
      <c r="P298" s="883">
        <f t="shared" si="100"/>
        <v>0</v>
      </c>
      <c r="Q298" s="884">
        <f t="shared" si="109"/>
        <v>0</v>
      </c>
      <c r="R298" s="884">
        <f>IF(AND($AR$39="Early Payoff",I298&gt;=$R$13),0,IF($I298&lt;=$R$6,SUM($P$20:$P298),0))</f>
        <v>0</v>
      </c>
      <c r="S298" s="884">
        <f>IF(AND($AR$39="Early Payoff",I298&gt;=$R$13),0,IF($I298&lt;=$R$6,SUM($Q$20:$Q298),0))</f>
        <v>0</v>
      </c>
      <c r="T298" s="873">
        <f t="shared" si="110"/>
        <v>0</v>
      </c>
      <c r="U298" s="1110">
        <f t="shared" si="116"/>
        <v>0</v>
      </c>
      <c r="W298" s="1102">
        <f t="shared" si="101"/>
        <v>0</v>
      </c>
      <c r="X298" s="873">
        <f t="shared" si="102"/>
        <v>0</v>
      </c>
      <c r="Y298" s="873">
        <f t="shared" si="103"/>
        <v>0</v>
      </c>
      <c r="Z298" s="885">
        <f t="shared" si="104"/>
        <v>0</v>
      </c>
    </row>
    <row r="299" spans="2:26" s="278" customFormat="1" ht="12" customHeight="1" x14ac:dyDescent="0.25">
      <c r="B299" s="1192">
        <f t="shared" si="111"/>
        <v>299</v>
      </c>
      <c r="C299" s="732">
        <f t="shared" si="96"/>
        <v>30</v>
      </c>
      <c r="D299" s="35">
        <f t="shared" si="97"/>
        <v>9</v>
      </c>
      <c r="E299" s="889">
        <f t="shared" si="114"/>
        <v>56157</v>
      </c>
      <c r="F299" s="822">
        <f t="shared" si="98"/>
        <v>9</v>
      </c>
      <c r="G299" s="126">
        <f t="shared" si="99"/>
        <v>0</v>
      </c>
      <c r="H299" s="1098">
        <f t="shared" si="115"/>
        <v>0</v>
      </c>
      <c r="I299" s="887">
        <f t="shared" si="112"/>
        <v>280</v>
      </c>
      <c r="J299" s="1099">
        <f t="shared" si="105"/>
        <v>280</v>
      </c>
      <c r="K299" s="891" t="str">
        <f t="shared" si="106"/>
        <v>September</v>
      </c>
      <c r="L299" s="888">
        <f t="shared" si="113"/>
        <v>2053</v>
      </c>
      <c r="M299" s="883">
        <f t="shared" si="107"/>
        <v>0</v>
      </c>
      <c r="N299" s="883">
        <f t="shared" si="108"/>
        <v>0</v>
      </c>
      <c r="O299" s="1100"/>
      <c r="P299" s="883">
        <f t="shared" si="100"/>
        <v>0</v>
      </c>
      <c r="Q299" s="884">
        <f t="shared" si="109"/>
        <v>0</v>
      </c>
      <c r="R299" s="884">
        <f>IF(AND($AR$39="Early Payoff",I299&gt;=$R$13),0,IF($I299&lt;=$R$6,SUM($P$20:$P299),0))</f>
        <v>0</v>
      </c>
      <c r="S299" s="884">
        <f>IF(AND($AR$39="Early Payoff",I299&gt;=$R$13),0,IF($I299&lt;=$R$6,SUM($Q$20:$Q299),0))</f>
        <v>0</v>
      </c>
      <c r="T299" s="873">
        <f t="shared" si="110"/>
        <v>0</v>
      </c>
      <c r="U299" s="1110">
        <f t="shared" si="116"/>
        <v>0</v>
      </c>
      <c r="W299" s="1102">
        <f t="shared" si="101"/>
        <v>0</v>
      </c>
      <c r="X299" s="873">
        <f t="shared" si="102"/>
        <v>0</v>
      </c>
      <c r="Y299" s="873">
        <f t="shared" si="103"/>
        <v>0</v>
      </c>
      <c r="Z299" s="885">
        <f t="shared" si="104"/>
        <v>0</v>
      </c>
    </row>
    <row r="300" spans="2:26" s="278" customFormat="1" ht="12" customHeight="1" x14ac:dyDescent="0.25">
      <c r="B300" s="1192">
        <f t="shared" si="111"/>
        <v>300</v>
      </c>
      <c r="C300" s="732">
        <f t="shared" si="96"/>
        <v>31</v>
      </c>
      <c r="D300" s="35">
        <f t="shared" si="97"/>
        <v>10</v>
      </c>
      <c r="E300" s="889">
        <f t="shared" si="114"/>
        <v>56188</v>
      </c>
      <c r="F300" s="822">
        <f t="shared" si="98"/>
        <v>10</v>
      </c>
      <c r="G300" s="126">
        <f t="shared" si="99"/>
        <v>0</v>
      </c>
      <c r="H300" s="1098">
        <f t="shared" si="115"/>
        <v>0</v>
      </c>
      <c r="I300" s="887">
        <f t="shared" si="112"/>
        <v>281</v>
      </c>
      <c r="J300" s="1099">
        <f t="shared" si="105"/>
        <v>281</v>
      </c>
      <c r="K300" s="891" t="str">
        <f t="shared" si="106"/>
        <v>October</v>
      </c>
      <c r="L300" s="888">
        <f t="shared" si="113"/>
        <v>2053</v>
      </c>
      <c r="M300" s="883">
        <f t="shared" si="107"/>
        <v>0</v>
      </c>
      <c r="N300" s="883">
        <f t="shared" si="108"/>
        <v>0</v>
      </c>
      <c r="O300" s="1100"/>
      <c r="P300" s="883">
        <f t="shared" si="100"/>
        <v>0</v>
      </c>
      <c r="Q300" s="884">
        <f t="shared" si="109"/>
        <v>0</v>
      </c>
      <c r="R300" s="884">
        <f>IF(AND($AR$39="Early Payoff",I300&gt;=$R$13),0,IF($I300&lt;=$R$6,SUM($P$20:$P300),0))</f>
        <v>0</v>
      </c>
      <c r="S300" s="884">
        <f>IF(AND($AR$39="Early Payoff",I300&gt;=$R$13),0,IF($I300&lt;=$R$6,SUM($Q$20:$Q300),0))</f>
        <v>0</v>
      </c>
      <c r="T300" s="873">
        <f t="shared" si="110"/>
        <v>0</v>
      </c>
      <c r="U300" s="1110">
        <f t="shared" si="116"/>
        <v>0</v>
      </c>
      <c r="W300" s="1102">
        <f t="shared" si="101"/>
        <v>0</v>
      </c>
      <c r="X300" s="873">
        <f t="shared" si="102"/>
        <v>0</v>
      </c>
      <c r="Y300" s="873">
        <f t="shared" si="103"/>
        <v>0</v>
      </c>
      <c r="Z300" s="885">
        <f t="shared" si="104"/>
        <v>0</v>
      </c>
    </row>
    <row r="301" spans="2:26" s="278" customFormat="1" ht="12" customHeight="1" x14ac:dyDescent="0.25">
      <c r="B301" s="1192">
        <f t="shared" si="111"/>
        <v>301</v>
      </c>
      <c r="C301" s="732">
        <f t="shared" si="96"/>
        <v>30</v>
      </c>
      <c r="D301" s="35">
        <f t="shared" si="97"/>
        <v>11</v>
      </c>
      <c r="E301" s="889">
        <f t="shared" si="114"/>
        <v>56218</v>
      </c>
      <c r="F301" s="822">
        <f t="shared" si="98"/>
        <v>11</v>
      </c>
      <c r="G301" s="126">
        <f t="shared" si="99"/>
        <v>0</v>
      </c>
      <c r="H301" s="1098">
        <f t="shared" si="115"/>
        <v>0</v>
      </c>
      <c r="I301" s="887">
        <f t="shared" si="112"/>
        <v>282</v>
      </c>
      <c r="J301" s="1099">
        <f t="shared" si="105"/>
        <v>282</v>
      </c>
      <c r="K301" s="891" t="str">
        <f t="shared" si="106"/>
        <v>November</v>
      </c>
      <c r="L301" s="888">
        <f t="shared" si="113"/>
        <v>2053</v>
      </c>
      <c r="M301" s="883">
        <f t="shared" si="107"/>
        <v>0</v>
      </c>
      <c r="N301" s="883">
        <f t="shared" si="108"/>
        <v>0</v>
      </c>
      <c r="O301" s="1100"/>
      <c r="P301" s="883">
        <f t="shared" si="100"/>
        <v>0</v>
      </c>
      <c r="Q301" s="884">
        <f t="shared" si="109"/>
        <v>0</v>
      </c>
      <c r="R301" s="884">
        <f>IF(AND($AR$39="Early Payoff",I301&gt;=$R$13),0,IF($I301&lt;=$R$6,SUM($P$20:$P301),0))</f>
        <v>0</v>
      </c>
      <c r="S301" s="884">
        <f>IF(AND($AR$39="Early Payoff",I301&gt;=$R$13),0,IF($I301&lt;=$R$6,SUM($Q$20:$Q301),0))</f>
        <v>0</v>
      </c>
      <c r="T301" s="873">
        <f t="shared" si="110"/>
        <v>0</v>
      </c>
      <c r="U301" s="1110">
        <f t="shared" si="116"/>
        <v>0</v>
      </c>
      <c r="W301" s="1102">
        <f t="shared" si="101"/>
        <v>0</v>
      </c>
      <c r="X301" s="873">
        <f t="shared" si="102"/>
        <v>0</v>
      </c>
      <c r="Y301" s="873">
        <f t="shared" si="103"/>
        <v>0</v>
      </c>
      <c r="Z301" s="885">
        <f t="shared" si="104"/>
        <v>0</v>
      </c>
    </row>
    <row r="302" spans="2:26" s="278" customFormat="1" ht="12" customHeight="1" x14ac:dyDescent="0.25">
      <c r="B302" s="1192">
        <f t="shared" si="111"/>
        <v>302</v>
      </c>
      <c r="C302" s="732">
        <f t="shared" si="96"/>
        <v>31</v>
      </c>
      <c r="D302" s="35">
        <f t="shared" si="97"/>
        <v>12</v>
      </c>
      <c r="E302" s="889">
        <f t="shared" si="114"/>
        <v>56249</v>
      </c>
      <c r="F302" s="822">
        <f t="shared" si="98"/>
        <v>12</v>
      </c>
      <c r="G302" s="126">
        <f t="shared" si="99"/>
        <v>1</v>
      </c>
      <c r="H302" s="1098">
        <f t="shared" si="115"/>
        <v>0</v>
      </c>
      <c r="I302" s="887">
        <f t="shared" si="112"/>
        <v>283</v>
      </c>
      <c r="J302" s="1099">
        <f t="shared" si="105"/>
        <v>283</v>
      </c>
      <c r="K302" s="891" t="str">
        <f t="shared" si="106"/>
        <v>December</v>
      </c>
      <c r="L302" s="888">
        <f t="shared" si="113"/>
        <v>2053</v>
      </c>
      <c r="M302" s="883">
        <f t="shared" si="107"/>
        <v>0</v>
      </c>
      <c r="N302" s="883">
        <f t="shared" si="108"/>
        <v>0</v>
      </c>
      <c r="O302" s="1100"/>
      <c r="P302" s="883">
        <f t="shared" si="100"/>
        <v>0</v>
      </c>
      <c r="Q302" s="884">
        <f t="shared" si="109"/>
        <v>0</v>
      </c>
      <c r="R302" s="884">
        <f>IF(AND($AR$39="Early Payoff",I302&gt;=$R$13),0,IF($I302&lt;=$R$6,SUM($P$20:$P302),0))</f>
        <v>0</v>
      </c>
      <c r="S302" s="884">
        <f>IF(AND($AR$39="Early Payoff",I302&gt;=$R$13),0,IF($I302&lt;=$R$6,SUM($Q$20:$Q302),0))</f>
        <v>0</v>
      </c>
      <c r="T302" s="873">
        <f t="shared" si="110"/>
        <v>0</v>
      </c>
      <c r="U302" s="1110">
        <f t="shared" si="116"/>
        <v>0</v>
      </c>
      <c r="W302" s="1102">
        <f t="shared" si="101"/>
        <v>0</v>
      </c>
      <c r="X302" s="873">
        <f t="shared" si="102"/>
        <v>0</v>
      </c>
      <c r="Y302" s="873">
        <f t="shared" si="103"/>
        <v>0</v>
      </c>
      <c r="Z302" s="885">
        <f t="shared" si="104"/>
        <v>0</v>
      </c>
    </row>
    <row r="303" spans="2:26" s="278" customFormat="1" ht="12" customHeight="1" x14ac:dyDescent="0.25">
      <c r="B303" s="1192">
        <f t="shared" si="111"/>
        <v>303</v>
      </c>
      <c r="C303" s="732">
        <f t="shared" si="96"/>
        <v>31</v>
      </c>
      <c r="D303" s="35">
        <f t="shared" si="97"/>
        <v>1</v>
      </c>
      <c r="E303" s="889">
        <f t="shared" si="114"/>
        <v>56280</v>
      </c>
      <c r="F303" s="822">
        <f t="shared" si="98"/>
        <v>1</v>
      </c>
      <c r="G303" s="126">
        <f t="shared" si="99"/>
        <v>0</v>
      </c>
      <c r="H303" s="1098">
        <f t="shared" si="115"/>
        <v>0</v>
      </c>
      <c r="I303" s="887">
        <f t="shared" si="112"/>
        <v>284</v>
      </c>
      <c r="J303" s="1099">
        <f t="shared" si="105"/>
        <v>284</v>
      </c>
      <c r="K303" s="891" t="str">
        <f t="shared" si="106"/>
        <v>January</v>
      </c>
      <c r="L303" s="888">
        <f t="shared" si="113"/>
        <v>2054</v>
      </c>
      <c r="M303" s="883">
        <f t="shared" si="107"/>
        <v>0</v>
      </c>
      <c r="N303" s="883">
        <f t="shared" si="108"/>
        <v>0</v>
      </c>
      <c r="O303" s="1100"/>
      <c r="P303" s="883">
        <f t="shared" si="100"/>
        <v>0</v>
      </c>
      <c r="Q303" s="884">
        <f t="shared" si="109"/>
        <v>0</v>
      </c>
      <c r="R303" s="884">
        <f>IF(AND($AR$39="Early Payoff",I303&gt;=$R$13),0,IF($I303&lt;=$R$6,SUM($P$20:$P303),0))</f>
        <v>0</v>
      </c>
      <c r="S303" s="884">
        <f>IF(AND($AR$39="Early Payoff",I303&gt;=$R$13),0,IF($I303&lt;=$R$6,SUM($Q$20:$Q303),0))</f>
        <v>0</v>
      </c>
      <c r="T303" s="873">
        <f t="shared" si="110"/>
        <v>0</v>
      </c>
      <c r="U303" s="1110">
        <f t="shared" si="116"/>
        <v>0</v>
      </c>
      <c r="W303" s="1102">
        <f t="shared" si="101"/>
        <v>0</v>
      </c>
      <c r="X303" s="873">
        <f t="shared" si="102"/>
        <v>0</v>
      </c>
      <c r="Y303" s="873">
        <f t="shared" si="103"/>
        <v>0</v>
      </c>
      <c r="Z303" s="885">
        <f t="shared" si="104"/>
        <v>0</v>
      </c>
    </row>
    <row r="304" spans="2:26" s="278" customFormat="1" ht="12" customHeight="1" x14ac:dyDescent="0.25">
      <c r="B304" s="1192">
        <f t="shared" si="111"/>
        <v>304</v>
      </c>
      <c r="C304" s="732">
        <f t="shared" si="96"/>
        <v>28</v>
      </c>
      <c r="D304" s="35">
        <f t="shared" si="97"/>
        <v>2</v>
      </c>
      <c r="E304" s="889">
        <f t="shared" si="114"/>
        <v>56308</v>
      </c>
      <c r="F304" s="822">
        <f t="shared" si="98"/>
        <v>2</v>
      </c>
      <c r="G304" s="126">
        <f t="shared" si="99"/>
        <v>0</v>
      </c>
      <c r="H304" s="1098">
        <f t="shared" si="115"/>
        <v>0</v>
      </c>
      <c r="I304" s="887">
        <f t="shared" si="112"/>
        <v>285</v>
      </c>
      <c r="J304" s="1099">
        <f t="shared" si="105"/>
        <v>285</v>
      </c>
      <c r="K304" s="891" t="str">
        <f t="shared" si="106"/>
        <v>February</v>
      </c>
      <c r="L304" s="888">
        <f t="shared" si="113"/>
        <v>2054</v>
      </c>
      <c r="M304" s="883">
        <f t="shared" si="107"/>
        <v>0</v>
      </c>
      <c r="N304" s="883">
        <f t="shared" si="108"/>
        <v>0</v>
      </c>
      <c r="O304" s="1100"/>
      <c r="P304" s="883">
        <f t="shared" si="100"/>
        <v>0</v>
      </c>
      <c r="Q304" s="884">
        <f t="shared" si="109"/>
        <v>0</v>
      </c>
      <c r="R304" s="884">
        <f>IF(AND($AR$39="Early Payoff",I304&gt;=$R$13),0,IF($I304&lt;=$R$6,SUM($P$20:$P304),0))</f>
        <v>0</v>
      </c>
      <c r="S304" s="884">
        <f>IF(AND($AR$39="Early Payoff",I304&gt;=$R$13),0,IF($I304&lt;=$R$6,SUM($Q$20:$Q304),0))</f>
        <v>0</v>
      </c>
      <c r="T304" s="873">
        <f t="shared" si="110"/>
        <v>0</v>
      </c>
      <c r="U304" s="1110">
        <f t="shared" si="116"/>
        <v>0</v>
      </c>
      <c r="W304" s="1102">
        <f t="shared" si="101"/>
        <v>0</v>
      </c>
      <c r="X304" s="873">
        <f t="shared" si="102"/>
        <v>0</v>
      </c>
      <c r="Y304" s="873">
        <f t="shared" si="103"/>
        <v>0</v>
      </c>
      <c r="Z304" s="885">
        <f t="shared" si="104"/>
        <v>0</v>
      </c>
    </row>
    <row r="305" spans="2:26" s="278" customFormat="1" ht="12" customHeight="1" x14ac:dyDescent="0.25">
      <c r="B305" s="1192">
        <f t="shared" si="111"/>
        <v>305</v>
      </c>
      <c r="C305" s="732">
        <f t="shared" si="96"/>
        <v>31</v>
      </c>
      <c r="D305" s="35">
        <f t="shared" si="97"/>
        <v>3</v>
      </c>
      <c r="E305" s="889">
        <f t="shared" si="114"/>
        <v>56339</v>
      </c>
      <c r="F305" s="822">
        <f t="shared" si="98"/>
        <v>3</v>
      </c>
      <c r="G305" s="126">
        <f t="shared" si="99"/>
        <v>0</v>
      </c>
      <c r="H305" s="1098">
        <f t="shared" si="115"/>
        <v>0</v>
      </c>
      <c r="I305" s="887">
        <f t="shared" si="112"/>
        <v>286</v>
      </c>
      <c r="J305" s="1099">
        <f t="shared" si="105"/>
        <v>286</v>
      </c>
      <c r="K305" s="891" t="str">
        <f t="shared" si="106"/>
        <v>March</v>
      </c>
      <c r="L305" s="888">
        <f t="shared" si="113"/>
        <v>2054</v>
      </c>
      <c r="M305" s="883">
        <f t="shared" si="107"/>
        <v>0</v>
      </c>
      <c r="N305" s="883">
        <f t="shared" si="108"/>
        <v>0</v>
      </c>
      <c r="O305" s="1100"/>
      <c r="P305" s="883">
        <f t="shared" si="100"/>
        <v>0</v>
      </c>
      <c r="Q305" s="884">
        <f t="shared" si="109"/>
        <v>0</v>
      </c>
      <c r="R305" s="884">
        <f>IF(AND($AR$39="Early Payoff",I305&gt;=$R$13),0,IF($I305&lt;=$R$6,SUM($P$20:$P305),0))</f>
        <v>0</v>
      </c>
      <c r="S305" s="884">
        <f>IF(AND($AR$39="Early Payoff",I305&gt;=$R$13),0,IF($I305&lt;=$R$6,SUM($Q$20:$Q305),0))</f>
        <v>0</v>
      </c>
      <c r="T305" s="873">
        <f t="shared" si="110"/>
        <v>0</v>
      </c>
      <c r="U305" s="1110">
        <f t="shared" si="116"/>
        <v>0</v>
      </c>
      <c r="W305" s="1102">
        <f t="shared" si="101"/>
        <v>0</v>
      </c>
      <c r="X305" s="873">
        <f t="shared" si="102"/>
        <v>0</v>
      </c>
      <c r="Y305" s="873">
        <f t="shared" si="103"/>
        <v>0</v>
      </c>
      <c r="Z305" s="885">
        <f t="shared" si="104"/>
        <v>0</v>
      </c>
    </row>
    <row r="306" spans="2:26" s="278" customFormat="1" ht="12" customHeight="1" x14ac:dyDescent="0.25">
      <c r="B306" s="1192">
        <f t="shared" si="111"/>
        <v>306</v>
      </c>
      <c r="C306" s="732">
        <f t="shared" si="96"/>
        <v>30</v>
      </c>
      <c r="D306" s="35">
        <f t="shared" si="97"/>
        <v>4</v>
      </c>
      <c r="E306" s="889">
        <f t="shared" si="114"/>
        <v>56369</v>
      </c>
      <c r="F306" s="822">
        <f t="shared" si="98"/>
        <v>4</v>
      </c>
      <c r="G306" s="126">
        <f t="shared" si="99"/>
        <v>0</v>
      </c>
      <c r="H306" s="1098">
        <f t="shared" si="115"/>
        <v>0</v>
      </c>
      <c r="I306" s="887">
        <f t="shared" si="112"/>
        <v>287</v>
      </c>
      <c r="J306" s="1099">
        <f t="shared" si="105"/>
        <v>287</v>
      </c>
      <c r="K306" s="891" t="str">
        <f t="shared" si="106"/>
        <v>April</v>
      </c>
      <c r="L306" s="888">
        <f t="shared" si="113"/>
        <v>2054</v>
      </c>
      <c r="M306" s="883">
        <f t="shared" si="107"/>
        <v>0</v>
      </c>
      <c r="N306" s="883">
        <f t="shared" si="108"/>
        <v>0</v>
      </c>
      <c r="O306" s="1100"/>
      <c r="P306" s="883">
        <f t="shared" si="100"/>
        <v>0</v>
      </c>
      <c r="Q306" s="884">
        <f t="shared" si="109"/>
        <v>0</v>
      </c>
      <c r="R306" s="884">
        <f>IF(AND($AR$39="Early Payoff",I306&gt;=$R$13),0,IF($I306&lt;=$R$6,SUM($P$20:$P306),0))</f>
        <v>0</v>
      </c>
      <c r="S306" s="884">
        <f>IF(AND($AR$39="Early Payoff",I306&gt;=$R$13),0,IF($I306&lt;=$R$6,SUM($Q$20:$Q306),0))</f>
        <v>0</v>
      </c>
      <c r="T306" s="873">
        <f t="shared" si="110"/>
        <v>0</v>
      </c>
      <c r="U306" s="1110">
        <f t="shared" si="116"/>
        <v>0</v>
      </c>
      <c r="W306" s="1102">
        <f t="shared" si="101"/>
        <v>0</v>
      </c>
      <c r="X306" s="873">
        <f t="shared" si="102"/>
        <v>0</v>
      </c>
      <c r="Y306" s="873">
        <f t="shared" si="103"/>
        <v>0</v>
      </c>
      <c r="Z306" s="885">
        <f t="shared" si="104"/>
        <v>0</v>
      </c>
    </row>
    <row r="307" spans="2:26" s="278" customFormat="1" ht="12" customHeight="1" x14ac:dyDescent="0.25">
      <c r="B307" s="1192">
        <f t="shared" si="111"/>
        <v>307</v>
      </c>
      <c r="C307" s="732">
        <f t="shared" si="96"/>
        <v>31</v>
      </c>
      <c r="D307" s="35">
        <f t="shared" si="97"/>
        <v>5</v>
      </c>
      <c r="E307" s="889">
        <f t="shared" si="114"/>
        <v>56400</v>
      </c>
      <c r="F307" s="822">
        <f t="shared" si="98"/>
        <v>5</v>
      </c>
      <c r="G307" s="126">
        <f t="shared" si="99"/>
        <v>0</v>
      </c>
      <c r="H307" s="1098">
        <f t="shared" si="115"/>
        <v>0</v>
      </c>
      <c r="I307" s="887">
        <f t="shared" si="112"/>
        <v>288</v>
      </c>
      <c r="J307" s="1099">
        <f t="shared" si="105"/>
        <v>288</v>
      </c>
      <c r="K307" s="891" t="str">
        <f t="shared" si="106"/>
        <v>May</v>
      </c>
      <c r="L307" s="888">
        <f t="shared" si="113"/>
        <v>2054</v>
      </c>
      <c r="M307" s="883">
        <f t="shared" si="107"/>
        <v>0</v>
      </c>
      <c r="N307" s="883">
        <f t="shared" si="108"/>
        <v>0</v>
      </c>
      <c r="O307" s="1100"/>
      <c r="P307" s="883">
        <f t="shared" si="100"/>
        <v>0</v>
      </c>
      <c r="Q307" s="884">
        <f t="shared" si="109"/>
        <v>0</v>
      </c>
      <c r="R307" s="884">
        <f>IF(AND($AR$39="Early Payoff",I307&gt;=$R$13),0,IF($I307&lt;=$R$6,SUM($P$20:$P307),0))</f>
        <v>0</v>
      </c>
      <c r="S307" s="884">
        <f>IF(AND($AR$39="Early Payoff",I307&gt;=$R$13),0,IF($I307&lt;=$R$6,SUM($Q$20:$Q307),0))</f>
        <v>0</v>
      </c>
      <c r="T307" s="873">
        <f t="shared" si="110"/>
        <v>0</v>
      </c>
      <c r="U307" s="1110">
        <f t="shared" si="116"/>
        <v>0</v>
      </c>
      <c r="W307" s="1102">
        <f t="shared" si="101"/>
        <v>0</v>
      </c>
      <c r="X307" s="873">
        <f t="shared" si="102"/>
        <v>0</v>
      </c>
      <c r="Y307" s="873">
        <f t="shared" si="103"/>
        <v>0</v>
      </c>
      <c r="Z307" s="885">
        <f t="shared" si="104"/>
        <v>0</v>
      </c>
    </row>
    <row r="308" spans="2:26" s="278" customFormat="1" ht="12" customHeight="1" x14ac:dyDescent="0.25">
      <c r="B308" s="1192">
        <f t="shared" si="111"/>
        <v>308</v>
      </c>
      <c r="C308" s="732">
        <f t="shared" si="96"/>
        <v>30</v>
      </c>
      <c r="D308" s="35">
        <f t="shared" si="97"/>
        <v>6</v>
      </c>
      <c r="E308" s="889">
        <f t="shared" si="114"/>
        <v>56430</v>
      </c>
      <c r="F308" s="822">
        <f t="shared" si="98"/>
        <v>6</v>
      </c>
      <c r="G308" s="126">
        <f t="shared" si="99"/>
        <v>0</v>
      </c>
      <c r="H308" s="1098">
        <f t="shared" si="115"/>
        <v>0</v>
      </c>
      <c r="I308" s="887">
        <f t="shared" si="112"/>
        <v>289</v>
      </c>
      <c r="J308" s="1099">
        <f t="shared" si="105"/>
        <v>289</v>
      </c>
      <c r="K308" s="891" t="str">
        <f t="shared" si="106"/>
        <v>June</v>
      </c>
      <c r="L308" s="888">
        <f t="shared" si="113"/>
        <v>2054</v>
      </c>
      <c r="M308" s="883">
        <f t="shared" si="107"/>
        <v>0</v>
      </c>
      <c r="N308" s="883">
        <f t="shared" si="108"/>
        <v>0</v>
      </c>
      <c r="O308" s="1100"/>
      <c r="P308" s="883">
        <f t="shared" si="100"/>
        <v>0</v>
      </c>
      <c r="Q308" s="884">
        <f t="shared" si="109"/>
        <v>0</v>
      </c>
      <c r="R308" s="884">
        <f>IF(AND($AR$39="Early Payoff",I308&gt;=$R$13),0,IF($I308&lt;=$R$6,SUM($P$20:$P308),0))</f>
        <v>0</v>
      </c>
      <c r="S308" s="884">
        <f>IF(AND($AR$39="Early Payoff",I308&gt;=$R$13),0,IF($I308&lt;=$R$6,SUM($Q$20:$Q308),0))</f>
        <v>0</v>
      </c>
      <c r="T308" s="873">
        <f t="shared" si="110"/>
        <v>0</v>
      </c>
      <c r="U308" s="1110">
        <f t="shared" si="116"/>
        <v>0</v>
      </c>
      <c r="W308" s="1102">
        <f t="shared" si="101"/>
        <v>0</v>
      </c>
      <c r="X308" s="873">
        <f t="shared" si="102"/>
        <v>0</v>
      </c>
      <c r="Y308" s="873">
        <f t="shared" si="103"/>
        <v>0</v>
      </c>
      <c r="Z308" s="885">
        <f t="shared" si="104"/>
        <v>0</v>
      </c>
    </row>
    <row r="309" spans="2:26" s="278" customFormat="1" ht="12" customHeight="1" x14ac:dyDescent="0.25">
      <c r="B309" s="1192">
        <f t="shared" si="111"/>
        <v>309</v>
      </c>
      <c r="C309" s="732">
        <f t="shared" si="96"/>
        <v>31</v>
      </c>
      <c r="D309" s="35">
        <f t="shared" si="97"/>
        <v>7</v>
      </c>
      <c r="E309" s="889">
        <f t="shared" si="114"/>
        <v>56461</v>
      </c>
      <c r="F309" s="822">
        <f t="shared" si="98"/>
        <v>7</v>
      </c>
      <c r="G309" s="126">
        <f t="shared" si="99"/>
        <v>0</v>
      </c>
      <c r="H309" s="1098">
        <f t="shared" si="115"/>
        <v>0</v>
      </c>
      <c r="I309" s="887">
        <f t="shared" si="112"/>
        <v>290</v>
      </c>
      <c r="J309" s="1099">
        <f t="shared" si="105"/>
        <v>290</v>
      </c>
      <c r="K309" s="891" t="str">
        <f t="shared" si="106"/>
        <v>July</v>
      </c>
      <c r="L309" s="888">
        <f t="shared" si="113"/>
        <v>2054</v>
      </c>
      <c r="M309" s="883">
        <f t="shared" si="107"/>
        <v>0</v>
      </c>
      <c r="N309" s="883">
        <f t="shared" si="108"/>
        <v>0</v>
      </c>
      <c r="O309" s="1100"/>
      <c r="P309" s="883">
        <f t="shared" si="100"/>
        <v>0</v>
      </c>
      <c r="Q309" s="884">
        <f t="shared" si="109"/>
        <v>0</v>
      </c>
      <c r="R309" s="884">
        <f>IF(AND($AR$39="Early Payoff",I309&gt;=$R$13),0,IF($I309&lt;=$R$6,SUM($P$20:$P309),0))</f>
        <v>0</v>
      </c>
      <c r="S309" s="884">
        <f>IF(AND($AR$39="Early Payoff",I309&gt;=$R$13),0,IF($I309&lt;=$R$6,SUM($Q$20:$Q309),0))</f>
        <v>0</v>
      </c>
      <c r="T309" s="873">
        <f t="shared" si="110"/>
        <v>0</v>
      </c>
      <c r="U309" s="1110">
        <f t="shared" si="116"/>
        <v>0</v>
      </c>
      <c r="W309" s="1102">
        <f t="shared" si="101"/>
        <v>0</v>
      </c>
      <c r="X309" s="873">
        <f t="shared" si="102"/>
        <v>0</v>
      </c>
      <c r="Y309" s="873">
        <f t="shared" si="103"/>
        <v>0</v>
      </c>
      <c r="Z309" s="885">
        <f t="shared" si="104"/>
        <v>0</v>
      </c>
    </row>
    <row r="310" spans="2:26" s="278" customFormat="1" ht="12" customHeight="1" x14ac:dyDescent="0.25">
      <c r="B310" s="1192">
        <f t="shared" si="111"/>
        <v>310</v>
      </c>
      <c r="C310" s="732">
        <f t="shared" si="96"/>
        <v>31</v>
      </c>
      <c r="D310" s="35">
        <f t="shared" si="97"/>
        <v>8</v>
      </c>
      <c r="E310" s="889">
        <f t="shared" si="114"/>
        <v>56492</v>
      </c>
      <c r="F310" s="822">
        <f t="shared" si="98"/>
        <v>8</v>
      </c>
      <c r="G310" s="126">
        <f t="shared" si="99"/>
        <v>0</v>
      </c>
      <c r="H310" s="1098">
        <f t="shared" si="115"/>
        <v>0</v>
      </c>
      <c r="I310" s="887">
        <f t="shared" si="112"/>
        <v>291</v>
      </c>
      <c r="J310" s="1099">
        <f t="shared" si="105"/>
        <v>291</v>
      </c>
      <c r="K310" s="891" t="str">
        <f t="shared" si="106"/>
        <v>August</v>
      </c>
      <c r="L310" s="888">
        <f t="shared" si="113"/>
        <v>2054</v>
      </c>
      <c r="M310" s="883">
        <f t="shared" si="107"/>
        <v>0</v>
      </c>
      <c r="N310" s="883">
        <f t="shared" si="108"/>
        <v>0</v>
      </c>
      <c r="O310" s="1100"/>
      <c r="P310" s="883">
        <f t="shared" si="100"/>
        <v>0</v>
      </c>
      <c r="Q310" s="884">
        <f t="shared" si="109"/>
        <v>0</v>
      </c>
      <c r="R310" s="884">
        <f>IF(AND($AR$39="Early Payoff",I310&gt;=$R$13),0,IF($I310&lt;=$R$6,SUM($P$20:$P310),0))</f>
        <v>0</v>
      </c>
      <c r="S310" s="884">
        <f>IF(AND($AR$39="Early Payoff",I310&gt;=$R$13),0,IF($I310&lt;=$R$6,SUM($Q$20:$Q310),0))</f>
        <v>0</v>
      </c>
      <c r="T310" s="873">
        <f t="shared" si="110"/>
        <v>0</v>
      </c>
      <c r="U310" s="1110">
        <f t="shared" si="116"/>
        <v>0</v>
      </c>
      <c r="W310" s="1102">
        <f t="shared" si="101"/>
        <v>0</v>
      </c>
      <c r="X310" s="873">
        <f t="shared" si="102"/>
        <v>0</v>
      </c>
      <c r="Y310" s="873">
        <f t="shared" si="103"/>
        <v>0</v>
      </c>
      <c r="Z310" s="885">
        <f t="shared" si="104"/>
        <v>0</v>
      </c>
    </row>
    <row r="311" spans="2:26" s="278" customFormat="1" ht="12" customHeight="1" x14ac:dyDescent="0.25">
      <c r="B311" s="1192">
        <f t="shared" si="111"/>
        <v>311</v>
      </c>
      <c r="C311" s="732">
        <f t="shared" si="96"/>
        <v>30</v>
      </c>
      <c r="D311" s="35">
        <f t="shared" si="97"/>
        <v>9</v>
      </c>
      <c r="E311" s="889">
        <f t="shared" si="114"/>
        <v>56522</v>
      </c>
      <c r="F311" s="822">
        <f t="shared" si="98"/>
        <v>9</v>
      </c>
      <c r="G311" s="126">
        <f t="shared" si="99"/>
        <v>0</v>
      </c>
      <c r="H311" s="1098">
        <f t="shared" si="115"/>
        <v>0</v>
      </c>
      <c r="I311" s="887">
        <f t="shared" si="112"/>
        <v>292</v>
      </c>
      <c r="J311" s="1099">
        <f t="shared" si="105"/>
        <v>292</v>
      </c>
      <c r="K311" s="891" t="str">
        <f t="shared" si="106"/>
        <v>September</v>
      </c>
      <c r="L311" s="888">
        <f t="shared" si="113"/>
        <v>2054</v>
      </c>
      <c r="M311" s="883">
        <f t="shared" si="107"/>
        <v>0</v>
      </c>
      <c r="N311" s="883">
        <f t="shared" si="108"/>
        <v>0</v>
      </c>
      <c r="O311" s="1100"/>
      <c r="P311" s="883">
        <f t="shared" si="100"/>
        <v>0</v>
      </c>
      <c r="Q311" s="884">
        <f t="shared" si="109"/>
        <v>0</v>
      </c>
      <c r="R311" s="884">
        <f>IF(AND($AR$39="Early Payoff",I311&gt;=$R$13),0,IF($I311&lt;=$R$6,SUM($P$20:$P311),0))</f>
        <v>0</v>
      </c>
      <c r="S311" s="884">
        <f>IF(AND($AR$39="Early Payoff",I311&gt;=$R$13),0,IF($I311&lt;=$R$6,SUM($Q$20:$Q311),0))</f>
        <v>0</v>
      </c>
      <c r="T311" s="873">
        <f t="shared" si="110"/>
        <v>0</v>
      </c>
      <c r="U311" s="1110">
        <f t="shared" si="116"/>
        <v>0</v>
      </c>
      <c r="W311" s="1102">
        <f t="shared" si="101"/>
        <v>0</v>
      </c>
      <c r="X311" s="873">
        <f t="shared" si="102"/>
        <v>0</v>
      </c>
      <c r="Y311" s="873">
        <f t="shared" si="103"/>
        <v>0</v>
      </c>
      <c r="Z311" s="885">
        <f t="shared" si="104"/>
        <v>0</v>
      </c>
    </row>
    <row r="312" spans="2:26" s="278" customFormat="1" ht="12" customHeight="1" x14ac:dyDescent="0.25">
      <c r="B312" s="1192">
        <f t="shared" si="111"/>
        <v>312</v>
      </c>
      <c r="C312" s="732">
        <f t="shared" si="96"/>
        <v>31</v>
      </c>
      <c r="D312" s="35">
        <f t="shared" si="97"/>
        <v>10</v>
      </c>
      <c r="E312" s="889">
        <f t="shared" si="114"/>
        <v>56553</v>
      </c>
      <c r="F312" s="822">
        <f t="shared" si="98"/>
        <v>10</v>
      </c>
      <c r="G312" s="126">
        <f t="shared" si="99"/>
        <v>0</v>
      </c>
      <c r="H312" s="1098">
        <f t="shared" si="115"/>
        <v>0</v>
      </c>
      <c r="I312" s="887">
        <f t="shared" si="112"/>
        <v>293</v>
      </c>
      <c r="J312" s="1099">
        <f t="shared" si="105"/>
        <v>293</v>
      </c>
      <c r="K312" s="891" t="str">
        <f t="shared" si="106"/>
        <v>October</v>
      </c>
      <c r="L312" s="888">
        <f t="shared" si="113"/>
        <v>2054</v>
      </c>
      <c r="M312" s="883">
        <f t="shared" si="107"/>
        <v>0</v>
      </c>
      <c r="N312" s="883">
        <f t="shared" si="108"/>
        <v>0</v>
      </c>
      <c r="O312" s="1100"/>
      <c r="P312" s="883">
        <f t="shared" si="100"/>
        <v>0</v>
      </c>
      <c r="Q312" s="884">
        <f t="shared" si="109"/>
        <v>0</v>
      </c>
      <c r="R312" s="884">
        <f>IF(AND($AR$39="Early Payoff",I312&gt;=$R$13),0,IF($I312&lt;=$R$6,SUM($P$20:$P312),0))</f>
        <v>0</v>
      </c>
      <c r="S312" s="884">
        <f>IF(AND($AR$39="Early Payoff",I312&gt;=$R$13),0,IF($I312&lt;=$R$6,SUM($Q$20:$Q312),0))</f>
        <v>0</v>
      </c>
      <c r="T312" s="873">
        <f t="shared" si="110"/>
        <v>0</v>
      </c>
      <c r="U312" s="1110">
        <f t="shared" si="116"/>
        <v>0</v>
      </c>
      <c r="W312" s="1102">
        <f t="shared" si="101"/>
        <v>0</v>
      </c>
      <c r="X312" s="873">
        <f t="shared" si="102"/>
        <v>0</v>
      </c>
      <c r="Y312" s="873">
        <f t="shared" si="103"/>
        <v>0</v>
      </c>
      <c r="Z312" s="885">
        <f t="shared" si="104"/>
        <v>0</v>
      </c>
    </row>
    <row r="313" spans="2:26" s="278" customFormat="1" ht="12" customHeight="1" x14ac:dyDescent="0.25">
      <c r="B313" s="1192">
        <f t="shared" si="111"/>
        <v>313</v>
      </c>
      <c r="C313" s="732">
        <f t="shared" si="96"/>
        <v>30</v>
      </c>
      <c r="D313" s="35">
        <f t="shared" si="97"/>
        <v>11</v>
      </c>
      <c r="E313" s="889">
        <f t="shared" si="114"/>
        <v>56583</v>
      </c>
      <c r="F313" s="822">
        <f t="shared" si="98"/>
        <v>11</v>
      </c>
      <c r="G313" s="126">
        <f t="shared" si="99"/>
        <v>0</v>
      </c>
      <c r="H313" s="1098">
        <f t="shared" si="115"/>
        <v>0</v>
      </c>
      <c r="I313" s="887">
        <f t="shared" si="112"/>
        <v>294</v>
      </c>
      <c r="J313" s="1099">
        <f t="shared" si="105"/>
        <v>294</v>
      </c>
      <c r="K313" s="891" t="str">
        <f t="shared" si="106"/>
        <v>November</v>
      </c>
      <c r="L313" s="888">
        <f t="shared" si="113"/>
        <v>2054</v>
      </c>
      <c r="M313" s="883">
        <f t="shared" si="107"/>
        <v>0</v>
      </c>
      <c r="N313" s="883">
        <f t="shared" si="108"/>
        <v>0</v>
      </c>
      <c r="O313" s="1100"/>
      <c r="P313" s="883">
        <f t="shared" si="100"/>
        <v>0</v>
      </c>
      <c r="Q313" s="884">
        <f t="shared" si="109"/>
        <v>0</v>
      </c>
      <c r="R313" s="884">
        <f>IF(AND($AR$39="Early Payoff",I313&gt;=$R$13),0,IF($I313&lt;=$R$6,SUM($P$20:$P313),0))</f>
        <v>0</v>
      </c>
      <c r="S313" s="884">
        <f>IF(AND($AR$39="Early Payoff",I313&gt;=$R$13),0,IF($I313&lt;=$R$6,SUM($Q$20:$Q313),0))</f>
        <v>0</v>
      </c>
      <c r="T313" s="873">
        <f t="shared" si="110"/>
        <v>0</v>
      </c>
      <c r="U313" s="1110">
        <f t="shared" si="116"/>
        <v>0</v>
      </c>
      <c r="W313" s="1102">
        <f t="shared" si="101"/>
        <v>0</v>
      </c>
      <c r="X313" s="873">
        <f t="shared" si="102"/>
        <v>0</v>
      </c>
      <c r="Y313" s="873">
        <f t="shared" si="103"/>
        <v>0</v>
      </c>
      <c r="Z313" s="885">
        <f t="shared" si="104"/>
        <v>0</v>
      </c>
    </row>
    <row r="314" spans="2:26" s="278" customFormat="1" ht="12" customHeight="1" x14ac:dyDescent="0.25">
      <c r="B314" s="1192">
        <f t="shared" si="111"/>
        <v>314</v>
      </c>
      <c r="C314" s="732">
        <f t="shared" si="96"/>
        <v>31</v>
      </c>
      <c r="D314" s="35">
        <f t="shared" si="97"/>
        <v>12</v>
      </c>
      <c r="E314" s="889">
        <f t="shared" si="114"/>
        <v>56614</v>
      </c>
      <c r="F314" s="822">
        <f t="shared" si="98"/>
        <v>12</v>
      </c>
      <c r="G314" s="126">
        <f t="shared" si="99"/>
        <v>1</v>
      </c>
      <c r="H314" s="1098">
        <f t="shared" si="115"/>
        <v>0</v>
      </c>
      <c r="I314" s="887">
        <f t="shared" si="112"/>
        <v>295</v>
      </c>
      <c r="J314" s="1099">
        <f t="shared" si="105"/>
        <v>295</v>
      </c>
      <c r="K314" s="891" t="str">
        <f t="shared" si="106"/>
        <v>December</v>
      </c>
      <c r="L314" s="888">
        <f t="shared" si="113"/>
        <v>2054</v>
      </c>
      <c r="M314" s="883">
        <f t="shared" si="107"/>
        <v>0</v>
      </c>
      <c r="N314" s="883">
        <f t="shared" si="108"/>
        <v>0</v>
      </c>
      <c r="O314" s="1100"/>
      <c r="P314" s="883">
        <f t="shared" si="100"/>
        <v>0</v>
      </c>
      <c r="Q314" s="884">
        <f t="shared" si="109"/>
        <v>0</v>
      </c>
      <c r="R314" s="884">
        <f>IF(AND($AR$39="Early Payoff",I314&gt;=$R$13),0,IF($I314&lt;=$R$6,SUM($P$20:$P314),0))</f>
        <v>0</v>
      </c>
      <c r="S314" s="884">
        <f>IF(AND($AR$39="Early Payoff",I314&gt;=$R$13),0,IF($I314&lt;=$R$6,SUM($Q$20:$Q314),0))</f>
        <v>0</v>
      </c>
      <c r="T314" s="873">
        <f t="shared" si="110"/>
        <v>0</v>
      </c>
      <c r="U314" s="1110">
        <f t="shared" si="116"/>
        <v>0</v>
      </c>
      <c r="W314" s="1102">
        <f t="shared" si="101"/>
        <v>0</v>
      </c>
      <c r="X314" s="873">
        <f t="shared" si="102"/>
        <v>0</v>
      </c>
      <c r="Y314" s="873">
        <f t="shared" si="103"/>
        <v>0</v>
      </c>
      <c r="Z314" s="885">
        <f t="shared" si="104"/>
        <v>0</v>
      </c>
    </row>
    <row r="315" spans="2:26" s="278" customFormat="1" ht="12" customHeight="1" x14ac:dyDescent="0.25">
      <c r="B315" s="1192">
        <f t="shared" si="111"/>
        <v>315</v>
      </c>
      <c r="C315" s="732">
        <f t="shared" si="96"/>
        <v>31</v>
      </c>
      <c r="D315" s="35">
        <f t="shared" si="97"/>
        <v>1</v>
      </c>
      <c r="E315" s="889">
        <f t="shared" si="114"/>
        <v>56645</v>
      </c>
      <c r="F315" s="822">
        <f t="shared" si="98"/>
        <v>1</v>
      </c>
      <c r="G315" s="126">
        <f t="shared" si="99"/>
        <v>0</v>
      </c>
      <c r="H315" s="1098">
        <f t="shared" si="115"/>
        <v>0</v>
      </c>
      <c r="I315" s="887">
        <f t="shared" si="112"/>
        <v>296</v>
      </c>
      <c r="J315" s="1099">
        <f t="shared" si="105"/>
        <v>296</v>
      </c>
      <c r="K315" s="891" t="str">
        <f t="shared" si="106"/>
        <v>January</v>
      </c>
      <c r="L315" s="888">
        <f t="shared" si="113"/>
        <v>2055</v>
      </c>
      <c r="M315" s="883">
        <f t="shared" si="107"/>
        <v>0</v>
      </c>
      <c r="N315" s="883">
        <f t="shared" si="108"/>
        <v>0</v>
      </c>
      <c r="O315" s="1100"/>
      <c r="P315" s="883">
        <f t="shared" si="100"/>
        <v>0</v>
      </c>
      <c r="Q315" s="884">
        <f t="shared" si="109"/>
        <v>0</v>
      </c>
      <c r="R315" s="884">
        <f>IF(AND($AR$39="Early Payoff",I315&gt;=$R$13),0,IF($I315&lt;=$R$6,SUM($P$20:$P315),0))</f>
        <v>0</v>
      </c>
      <c r="S315" s="884">
        <f>IF(AND($AR$39="Early Payoff",I315&gt;=$R$13),0,IF($I315&lt;=$R$6,SUM($Q$20:$Q315),0))</f>
        <v>0</v>
      </c>
      <c r="T315" s="873">
        <f t="shared" si="110"/>
        <v>0</v>
      </c>
      <c r="U315" s="1110">
        <f t="shared" si="116"/>
        <v>0</v>
      </c>
      <c r="W315" s="1102">
        <f t="shared" si="101"/>
        <v>0</v>
      </c>
      <c r="X315" s="873">
        <f t="shared" si="102"/>
        <v>0</v>
      </c>
      <c r="Y315" s="873">
        <f t="shared" si="103"/>
        <v>0</v>
      </c>
      <c r="Z315" s="885">
        <f t="shared" si="104"/>
        <v>0</v>
      </c>
    </row>
    <row r="316" spans="2:26" s="278" customFormat="1" ht="12" customHeight="1" x14ac:dyDescent="0.25">
      <c r="B316" s="1192">
        <f t="shared" si="111"/>
        <v>316</v>
      </c>
      <c r="C316" s="732">
        <f t="shared" si="96"/>
        <v>28</v>
      </c>
      <c r="D316" s="35">
        <f t="shared" si="97"/>
        <v>2</v>
      </c>
      <c r="E316" s="889">
        <f t="shared" si="114"/>
        <v>56673</v>
      </c>
      <c r="F316" s="822">
        <f t="shared" si="98"/>
        <v>2</v>
      </c>
      <c r="G316" s="126">
        <f t="shared" si="99"/>
        <v>0</v>
      </c>
      <c r="H316" s="1098">
        <f t="shared" si="115"/>
        <v>0</v>
      </c>
      <c r="I316" s="887">
        <f t="shared" si="112"/>
        <v>297</v>
      </c>
      <c r="J316" s="1099">
        <f t="shared" si="105"/>
        <v>297</v>
      </c>
      <c r="K316" s="891" t="str">
        <f t="shared" si="106"/>
        <v>February</v>
      </c>
      <c r="L316" s="888">
        <f t="shared" si="113"/>
        <v>2055</v>
      </c>
      <c r="M316" s="883">
        <f t="shared" si="107"/>
        <v>0</v>
      </c>
      <c r="N316" s="883">
        <f t="shared" si="108"/>
        <v>0</v>
      </c>
      <c r="O316" s="1100"/>
      <c r="P316" s="883">
        <f t="shared" si="100"/>
        <v>0</v>
      </c>
      <c r="Q316" s="884">
        <f t="shared" si="109"/>
        <v>0</v>
      </c>
      <c r="R316" s="884">
        <f>IF(AND($AR$39="Early Payoff",I316&gt;=$R$13),0,IF($I316&lt;=$R$6,SUM($P$20:$P316),0))</f>
        <v>0</v>
      </c>
      <c r="S316" s="884">
        <f>IF(AND($AR$39="Early Payoff",I316&gt;=$R$13),0,IF($I316&lt;=$R$6,SUM($Q$20:$Q316),0))</f>
        <v>0</v>
      </c>
      <c r="T316" s="873">
        <f t="shared" si="110"/>
        <v>0</v>
      </c>
      <c r="U316" s="1110">
        <f t="shared" si="116"/>
        <v>0</v>
      </c>
      <c r="W316" s="1102">
        <f t="shared" si="101"/>
        <v>0</v>
      </c>
      <c r="X316" s="873">
        <f t="shared" si="102"/>
        <v>0</v>
      </c>
      <c r="Y316" s="873">
        <f t="shared" si="103"/>
        <v>0</v>
      </c>
      <c r="Z316" s="885">
        <f t="shared" si="104"/>
        <v>0</v>
      </c>
    </row>
    <row r="317" spans="2:26" s="278" customFormat="1" ht="12" customHeight="1" x14ac:dyDescent="0.25">
      <c r="B317" s="1192">
        <f t="shared" si="111"/>
        <v>317</v>
      </c>
      <c r="C317" s="732">
        <f t="shared" si="96"/>
        <v>31</v>
      </c>
      <c r="D317" s="35">
        <f t="shared" si="97"/>
        <v>3</v>
      </c>
      <c r="E317" s="889">
        <f t="shared" si="114"/>
        <v>56704</v>
      </c>
      <c r="F317" s="822">
        <f t="shared" si="98"/>
        <v>3</v>
      </c>
      <c r="G317" s="126">
        <f t="shared" si="99"/>
        <v>0</v>
      </c>
      <c r="H317" s="1098">
        <f t="shared" si="115"/>
        <v>0</v>
      </c>
      <c r="I317" s="887">
        <f t="shared" si="112"/>
        <v>298</v>
      </c>
      <c r="J317" s="1099">
        <f t="shared" si="105"/>
        <v>298</v>
      </c>
      <c r="K317" s="891" t="str">
        <f t="shared" si="106"/>
        <v>March</v>
      </c>
      <c r="L317" s="888">
        <f t="shared" si="113"/>
        <v>2055</v>
      </c>
      <c r="M317" s="883">
        <f t="shared" si="107"/>
        <v>0</v>
      </c>
      <c r="N317" s="883">
        <f t="shared" si="108"/>
        <v>0</v>
      </c>
      <c r="O317" s="1100"/>
      <c r="P317" s="883">
        <f t="shared" si="100"/>
        <v>0</v>
      </c>
      <c r="Q317" s="884">
        <f t="shared" si="109"/>
        <v>0</v>
      </c>
      <c r="R317" s="884">
        <f>IF(AND($AR$39="Early Payoff",I317&gt;=$R$13),0,IF($I317&lt;=$R$6,SUM($P$20:$P317),0))</f>
        <v>0</v>
      </c>
      <c r="S317" s="884">
        <f>IF(AND($AR$39="Early Payoff",I317&gt;=$R$13),0,IF($I317&lt;=$R$6,SUM($Q$20:$Q317),0))</f>
        <v>0</v>
      </c>
      <c r="T317" s="873">
        <f t="shared" si="110"/>
        <v>0</v>
      </c>
      <c r="U317" s="1110">
        <f t="shared" si="116"/>
        <v>0</v>
      </c>
      <c r="W317" s="1102">
        <f t="shared" si="101"/>
        <v>0</v>
      </c>
      <c r="X317" s="873">
        <f t="shared" si="102"/>
        <v>0</v>
      </c>
      <c r="Y317" s="873">
        <f t="shared" si="103"/>
        <v>0</v>
      </c>
      <c r="Z317" s="885">
        <f t="shared" si="104"/>
        <v>0</v>
      </c>
    </row>
    <row r="318" spans="2:26" s="278" customFormat="1" ht="12" customHeight="1" x14ac:dyDescent="0.25">
      <c r="B318" s="1192">
        <f t="shared" si="111"/>
        <v>318</v>
      </c>
      <c r="C318" s="732">
        <f t="shared" si="96"/>
        <v>30</v>
      </c>
      <c r="D318" s="35">
        <f t="shared" si="97"/>
        <v>4</v>
      </c>
      <c r="E318" s="889">
        <f t="shared" si="114"/>
        <v>56734</v>
      </c>
      <c r="F318" s="822">
        <f t="shared" si="98"/>
        <v>4</v>
      </c>
      <c r="G318" s="126">
        <f t="shared" si="99"/>
        <v>0</v>
      </c>
      <c r="H318" s="1098">
        <f t="shared" si="115"/>
        <v>0</v>
      </c>
      <c r="I318" s="887">
        <f t="shared" si="112"/>
        <v>299</v>
      </c>
      <c r="J318" s="1099">
        <f t="shared" si="105"/>
        <v>299</v>
      </c>
      <c r="K318" s="891" t="str">
        <f t="shared" si="106"/>
        <v>April</v>
      </c>
      <c r="L318" s="888">
        <f t="shared" si="113"/>
        <v>2055</v>
      </c>
      <c r="M318" s="883">
        <f t="shared" si="107"/>
        <v>0</v>
      </c>
      <c r="N318" s="883">
        <f t="shared" si="108"/>
        <v>0</v>
      </c>
      <c r="O318" s="1100"/>
      <c r="P318" s="883">
        <f t="shared" si="100"/>
        <v>0</v>
      </c>
      <c r="Q318" s="884">
        <f t="shared" si="109"/>
        <v>0</v>
      </c>
      <c r="R318" s="884">
        <f>IF(AND($AR$39="Early Payoff",I318&gt;=$R$13),0,IF($I318&lt;=$R$6,SUM($P$20:$P318),0))</f>
        <v>0</v>
      </c>
      <c r="S318" s="884">
        <f>IF(AND($AR$39="Early Payoff",I318&gt;=$R$13),0,IF($I318&lt;=$R$6,SUM($Q$20:$Q318),0))</f>
        <v>0</v>
      </c>
      <c r="T318" s="873">
        <f t="shared" si="110"/>
        <v>0</v>
      </c>
      <c r="U318" s="1110">
        <f t="shared" si="116"/>
        <v>0</v>
      </c>
      <c r="W318" s="1102">
        <f t="shared" si="101"/>
        <v>0</v>
      </c>
      <c r="X318" s="873">
        <f t="shared" si="102"/>
        <v>0</v>
      </c>
      <c r="Y318" s="873">
        <f t="shared" si="103"/>
        <v>0</v>
      </c>
      <c r="Z318" s="885">
        <f t="shared" si="104"/>
        <v>0</v>
      </c>
    </row>
    <row r="319" spans="2:26" s="278" customFormat="1" ht="12" customHeight="1" x14ac:dyDescent="0.25">
      <c r="B319" s="1192">
        <f t="shared" si="111"/>
        <v>319</v>
      </c>
      <c r="C319" s="732">
        <f t="shared" si="96"/>
        <v>31</v>
      </c>
      <c r="D319" s="35">
        <f t="shared" si="97"/>
        <v>5</v>
      </c>
      <c r="E319" s="889">
        <f t="shared" si="114"/>
        <v>56765</v>
      </c>
      <c r="F319" s="822">
        <f t="shared" si="98"/>
        <v>5</v>
      </c>
      <c r="G319" s="126">
        <f t="shared" si="99"/>
        <v>0</v>
      </c>
      <c r="H319" s="1098">
        <f t="shared" si="115"/>
        <v>0</v>
      </c>
      <c r="I319" s="887">
        <f t="shared" si="112"/>
        <v>300</v>
      </c>
      <c r="J319" s="1099">
        <f t="shared" si="105"/>
        <v>300</v>
      </c>
      <c r="K319" s="891" t="str">
        <f t="shared" si="106"/>
        <v>May</v>
      </c>
      <c r="L319" s="888">
        <f t="shared" si="113"/>
        <v>2055</v>
      </c>
      <c r="M319" s="883">
        <f t="shared" si="107"/>
        <v>0</v>
      </c>
      <c r="N319" s="883">
        <f t="shared" si="108"/>
        <v>0</v>
      </c>
      <c r="O319" s="1100"/>
      <c r="P319" s="883">
        <f t="shared" si="100"/>
        <v>0</v>
      </c>
      <c r="Q319" s="884">
        <f t="shared" si="109"/>
        <v>0</v>
      </c>
      <c r="R319" s="884">
        <f>IF(AND($AR$39="Early Payoff",I319&gt;=$R$13),0,IF($I319&lt;=$R$6,SUM($P$20:$P319),0))</f>
        <v>0</v>
      </c>
      <c r="S319" s="884">
        <f>IF(AND($AR$39="Early Payoff",I319&gt;=$R$13),0,IF($I319&lt;=$R$6,SUM($Q$20:$Q319),0))</f>
        <v>0</v>
      </c>
      <c r="T319" s="873">
        <f t="shared" si="110"/>
        <v>0</v>
      </c>
      <c r="U319" s="1110">
        <f t="shared" si="116"/>
        <v>0</v>
      </c>
      <c r="W319" s="1102">
        <f t="shared" si="101"/>
        <v>0</v>
      </c>
      <c r="X319" s="873">
        <f t="shared" si="102"/>
        <v>0</v>
      </c>
      <c r="Y319" s="873">
        <f t="shared" si="103"/>
        <v>0</v>
      </c>
      <c r="Z319" s="885">
        <f t="shared" si="104"/>
        <v>0</v>
      </c>
    </row>
    <row r="320" spans="2:26" s="278" customFormat="1" ht="12" customHeight="1" x14ac:dyDescent="0.25">
      <c r="B320" s="1192">
        <f t="shared" si="111"/>
        <v>320</v>
      </c>
      <c r="C320" s="732">
        <f t="shared" si="96"/>
        <v>30</v>
      </c>
      <c r="D320" s="35">
        <f t="shared" si="97"/>
        <v>6</v>
      </c>
      <c r="E320" s="889">
        <f t="shared" si="114"/>
        <v>56795</v>
      </c>
      <c r="F320" s="822">
        <f t="shared" si="98"/>
        <v>6</v>
      </c>
      <c r="G320" s="126">
        <f t="shared" si="99"/>
        <v>0</v>
      </c>
      <c r="H320" s="1098">
        <f t="shared" si="115"/>
        <v>0</v>
      </c>
      <c r="I320" s="887">
        <f t="shared" si="112"/>
        <v>301</v>
      </c>
      <c r="J320" s="1099">
        <f t="shared" si="105"/>
        <v>301</v>
      </c>
      <c r="K320" s="891" t="str">
        <f t="shared" si="106"/>
        <v>June</v>
      </c>
      <c r="L320" s="888">
        <f t="shared" si="113"/>
        <v>2055</v>
      </c>
      <c r="M320" s="883">
        <f t="shared" si="107"/>
        <v>0</v>
      </c>
      <c r="N320" s="883">
        <f t="shared" si="108"/>
        <v>0</v>
      </c>
      <c r="O320" s="1100"/>
      <c r="P320" s="883">
        <f t="shared" si="100"/>
        <v>0</v>
      </c>
      <c r="Q320" s="884">
        <f t="shared" si="109"/>
        <v>0</v>
      </c>
      <c r="R320" s="884">
        <f>IF(AND($AR$39="Early Payoff",I320&gt;=$R$13),0,IF($I320&lt;=$R$6,SUM($P$20:$P320),0))</f>
        <v>0</v>
      </c>
      <c r="S320" s="884">
        <f>IF(AND($AR$39="Early Payoff",I320&gt;=$R$13),0,IF($I320&lt;=$R$6,SUM($Q$20:$Q320),0))</f>
        <v>0</v>
      </c>
      <c r="T320" s="873">
        <f t="shared" si="110"/>
        <v>0</v>
      </c>
      <c r="U320" s="1110">
        <f t="shared" si="116"/>
        <v>0</v>
      </c>
      <c r="W320" s="1102">
        <f t="shared" si="101"/>
        <v>0</v>
      </c>
      <c r="X320" s="873">
        <f t="shared" si="102"/>
        <v>0</v>
      </c>
      <c r="Y320" s="873">
        <f t="shared" si="103"/>
        <v>0</v>
      </c>
      <c r="Z320" s="885">
        <f t="shared" si="104"/>
        <v>0</v>
      </c>
    </row>
    <row r="321" spans="2:26" s="278" customFormat="1" ht="12" customHeight="1" x14ac:dyDescent="0.25">
      <c r="B321" s="1192">
        <f t="shared" si="111"/>
        <v>321</v>
      </c>
      <c r="C321" s="732">
        <f t="shared" si="96"/>
        <v>31</v>
      </c>
      <c r="D321" s="35">
        <f t="shared" si="97"/>
        <v>7</v>
      </c>
      <c r="E321" s="889">
        <f t="shared" si="114"/>
        <v>56826</v>
      </c>
      <c r="F321" s="822">
        <f t="shared" si="98"/>
        <v>7</v>
      </c>
      <c r="G321" s="126">
        <f t="shared" si="99"/>
        <v>0</v>
      </c>
      <c r="H321" s="1098">
        <f t="shared" si="115"/>
        <v>0</v>
      </c>
      <c r="I321" s="887">
        <f t="shared" si="112"/>
        <v>302</v>
      </c>
      <c r="J321" s="1099">
        <f t="shared" si="105"/>
        <v>302</v>
      </c>
      <c r="K321" s="891" t="str">
        <f t="shared" si="106"/>
        <v>July</v>
      </c>
      <c r="L321" s="888">
        <f t="shared" si="113"/>
        <v>2055</v>
      </c>
      <c r="M321" s="883">
        <f t="shared" si="107"/>
        <v>0</v>
      </c>
      <c r="N321" s="883">
        <f t="shared" si="108"/>
        <v>0</v>
      </c>
      <c r="O321" s="1100"/>
      <c r="P321" s="883">
        <f t="shared" si="100"/>
        <v>0</v>
      </c>
      <c r="Q321" s="884">
        <f t="shared" si="109"/>
        <v>0</v>
      </c>
      <c r="R321" s="884">
        <f>IF(AND($AR$39="Early Payoff",I321&gt;=$R$13),0,IF($I321&lt;=$R$6,SUM($P$20:$P321),0))</f>
        <v>0</v>
      </c>
      <c r="S321" s="884">
        <f>IF(AND($AR$39="Early Payoff",I321&gt;=$R$13),0,IF($I321&lt;=$R$6,SUM($Q$20:$Q321),0))</f>
        <v>0</v>
      </c>
      <c r="T321" s="873">
        <f t="shared" si="110"/>
        <v>0</v>
      </c>
      <c r="U321" s="1110">
        <f t="shared" si="116"/>
        <v>0</v>
      </c>
      <c r="W321" s="1102">
        <f t="shared" si="101"/>
        <v>0</v>
      </c>
      <c r="X321" s="873">
        <f t="shared" si="102"/>
        <v>0</v>
      </c>
      <c r="Y321" s="873">
        <f t="shared" si="103"/>
        <v>0</v>
      </c>
      <c r="Z321" s="885">
        <f t="shared" si="104"/>
        <v>0</v>
      </c>
    </row>
    <row r="322" spans="2:26" s="278" customFormat="1" ht="12" customHeight="1" x14ac:dyDescent="0.25">
      <c r="B322" s="1192">
        <f t="shared" si="111"/>
        <v>322</v>
      </c>
      <c r="C322" s="732">
        <f t="shared" si="96"/>
        <v>31</v>
      </c>
      <c r="D322" s="35">
        <f t="shared" si="97"/>
        <v>8</v>
      </c>
      <c r="E322" s="889">
        <f t="shared" si="114"/>
        <v>56857</v>
      </c>
      <c r="F322" s="822">
        <f t="shared" si="98"/>
        <v>8</v>
      </c>
      <c r="G322" s="126">
        <f t="shared" si="99"/>
        <v>0</v>
      </c>
      <c r="H322" s="1098">
        <f t="shared" si="115"/>
        <v>0</v>
      </c>
      <c r="I322" s="887">
        <f t="shared" si="112"/>
        <v>303</v>
      </c>
      <c r="J322" s="1099">
        <f t="shared" si="105"/>
        <v>303</v>
      </c>
      <c r="K322" s="891" t="str">
        <f t="shared" si="106"/>
        <v>August</v>
      </c>
      <c r="L322" s="888">
        <f t="shared" si="113"/>
        <v>2055</v>
      </c>
      <c r="M322" s="883">
        <f t="shared" si="107"/>
        <v>0</v>
      </c>
      <c r="N322" s="883">
        <f t="shared" si="108"/>
        <v>0</v>
      </c>
      <c r="O322" s="1100"/>
      <c r="P322" s="883">
        <f t="shared" si="100"/>
        <v>0</v>
      </c>
      <c r="Q322" s="884">
        <f t="shared" si="109"/>
        <v>0</v>
      </c>
      <c r="R322" s="884">
        <f>IF(AND($AR$39="Early Payoff",I322&gt;=$R$13),0,IF($I322&lt;=$R$6,SUM($P$20:$P322),0))</f>
        <v>0</v>
      </c>
      <c r="S322" s="884">
        <f>IF(AND($AR$39="Early Payoff",I322&gt;=$R$13),0,IF($I322&lt;=$R$6,SUM($Q$20:$Q322),0))</f>
        <v>0</v>
      </c>
      <c r="T322" s="873">
        <f t="shared" si="110"/>
        <v>0</v>
      </c>
      <c r="U322" s="1110">
        <f t="shared" si="116"/>
        <v>0</v>
      </c>
      <c r="W322" s="1102">
        <f t="shared" si="101"/>
        <v>0</v>
      </c>
      <c r="X322" s="873">
        <f t="shared" si="102"/>
        <v>0</v>
      </c>
      <c r="Y322" s="873">
        <f t="shared" si="103"/>
        <v>0</v>
      </c>
      <c r="Z322" s="885">
        <f t="shared" si="104"/>
        <v>0</v>
      </c>
    </row>
    <row r="323" spans="2:26" s="278" customFormat="1" ht="12" customHeight="1" x14ac:dyDescent="0.25">
      <c r="B323" s="1192">
        <f t="shared" si="111"/>
        <v>323</v>
      </c>
      <c r="C323" s="732">
        <f t="shared" si="96"/>
        <v>30</v>
      </c>
      <c r="D323" s="35">
        <f t="shared" si="97"/>
        <v>9</v>
      </c>
      <c r="E323" s="889">
        <f t="shared" si="114"/>
        <v>56887</v>
      </c>
      <c r="F323" s="822">
        <f t="shared" si="98"/>
        <v>9</v>
      </c>
      <c r="G323" s="126">
        <f t="shared" si="99"/>
        <v>0</v>
      </c>
      <c r="H323" s="1098">
        <f t="shared" si="115"/>
        <v>0</v>
      </c>
      <c r="I323" s="887">
        <f t="shared" si="112"/>
        <v>304</v>
      </c>
      <c r="J323" s="1099">
        <f t="shared" si="105"/>
        <v>304</v>
      </c>
      <c r="K323" s="891" t="str">
        <f t="shared" si="106"/>
        <v>September</v>
      </c>
      <c r="L323" s="888">
        <f t="shared" si="113"/>
        <v>2055</v>
      </c>
      <c r="M323" s="883">
        <f t="shared" si="107"/>
        <v>0</v>
      </c>
      <c r="N323" s="883">
        <f t="shared" si="108"/>
        <v>0</v>
      </c>
      <c r="O323" s="1100"/>
      <c r="P323" s="883">
        <f t="shared" si="100"/>
        <v>0</v>
      </c>
      <c r="Q323" s="884">
        <f t="shared" si="109"/>
        <v>0</v>
      </c>
      <c r="R323" s="884">
        <f>IF(AND($AR$39="Early Payoff",I323&gt;=$R$13),0,IF($I323&lt;=$R$6,SUM($P$20:$P323),0))</f>
        <v>0</v>
      </c>
      <c r="S323" s="884">
        <f>IF(AND($AR$39="Early Payoff",I323&gt;=$R$13),0,IF($I323&lt;=$R$6,SUM($Q$20:$Q323),0))</f>
        <v>0</v>
      </c>
      <c r="T323" s="873">
        <f t="shared" si="110"/>
        <v>0</v>
      </c>
      <c r="U323" s="1110">
        <f t="shared" si="116"/>
        <v>0</v>
      </c>
      <c r="W323" s="1102">
        <f t="shared" si="101"/>
        <v>0</v>
      </c>
      <c r="X323" s="873">
        <f t="shared" si="102"/>
        <v>0</v>
      </c>
      <c r="Y323" s="873">
        <f t="shared" si="103"/>
        <v>0</v>
      </c>
      <c r="Z323" s="885">
        <f t="shared" si="104"/>
        <v>0</v>
      </c>
    </row>
    <row r="324" spans="2:26" s="278" customFormat="1" ht="12" customHeight="1" x14ac:dyDescent="0.25">
      <c r="B324" s="1192">
        <f t="shared" si="111"/>
        <v>324</v>
      </c>
      <c r="C324" s="732">
        <f t="shared" si="96"/>
        <v>31</v>
      </c>
      <c r="D324" s="35">
        <f t="shared" si="97"/>
        <v>10</v>
      </c>
      <c r="E324" s="889">
        <f t="shared" si="114"/>
        <v>56918</v>
      </c>
      <c r="F324" s="822">
        <f t="shared" si="98"/>
        <v>10</v>
      </c>
      <c r="G324" s="126">
        <f t="shared" si="99"/>
        <v>0</v>
      </c>
      <c r="H324" s="1098">
        <f t="shared" si="115"/>
        <v>0</v>
      </c>
      <c r="I324" s="887">
        <f t="shared" si="112"/>
        <v>305</v>
      </c>
      <c r="J324" s="1099">
        <f t="shared" si="105"/>
        <v>305</v>
      </c>
      <c r="K324" s="891" t="str">
        <f t="shared" si="106"/>
        <v>October</v>
      </c>
      <c r="L324" s="888">
        <f t="shared" si="113"/>
        <v>2055</v>
      </c>
      <c r="M324" s="883">
        <f t="shared" si="107"/>
        <v>0</v>
      </c>
      <c r="N324" s="883">
        <f t="shared" si="108"/>
        <v>0</v>
      </c>
      <c r="O324" s="1100"/>
      <c r="P324" s="883">
        <f t="shared" si="100"/>
        <v>0</v>
      </c>
      <c r="Q324" s="884">
        <f t="shared" si="109"/>
        <v>0</v>
      </c>
      <c r="R324" s="884">
        <f>IF(AND($AR$39="Early Payoff",I324&gt;=$R$13),0,IF($I324&lt;=$R$6,SUM($P$20:$P324),0))</f>
        <v>0</v>
      </c>
      <c r="S324" s="884">
        <f>IF(AND($AR$39="Early Payoff",I324&gt;=$R$13),0,IF($I324&lt;=$R$6,SUM($Q$20:$Q324),0))</f>
        <v>0</v>
      </c>
      <c r="T324" s="873">
        <f t="shared" si="110"/>
        <v>0</v>
      </c>
      <c r="U324" s="1110">
        <f t="shared" si="116"/>
        <v>0</v>
      </c>
      <c r="W324" s="1102">
        <f t="shared" si="101"/>
        <v>0</v>
      </c>
      <c r="X324" s="873">
        <f t="shared" si="102"/>
        <v>0</v>
      </c>
      <c r="Y324" s="873">
        <f t="shared" si="103"/>
        <v>0</v>
      </c>
      <c r="Z324" s="885">
        <f t="shared" si="104"/>
        <v>0</v>
      </c>
    </row>
    <row r="325" spans="2:26" s="278" customFormat="1" ht="12" customHeight="1" x14ac:dyDescent="0.25">
      <c r="B325" s="1192">
        <f t="shared" si="111"/>
        <v>325</v>
      </c>
      <c r="C325" s="732">
        <f t="shared" si="96"/>
        <v>30</v>
      </c>
      <c r="D325" s="35">
        <f t="shared" si="97"/>
        <v>11</v>
      </c>
      <c r="E325" s="889">
        <f t="shared" si="114"/>
        <v>56948</v>
      </c>
      <c r="F325" s="822">
        <f t="shared" si="98"/>
        <v>11</v>
      </c>
      <c r="G325" s="126">
        <f t="shared" si="99"/>
        <v>0</v>
      </c>
      <c r="H325" s="1098">
        <f t="shared" si="115"/>
        <v>0</v>
      </c>
      <c r="I325" s="887">
        <f t="shared" si="112"/>
        <v>306</v>
      </c>
      <c r="J325" s="1099">
        <f t="shared" si="105"/>
        <v>306</v>
      </c>
      <c r="K325" s="891" t="str">
        <f t="shared" si="106"/>
        <v>November</v>
      </c>
      <c r="L325" s="888">
        <f t="shared" si="113"/>
        <v>2055</v>
      </c>
      <c r="M325" s="883">
        <f t="shared" si="107"/>
        <v>0</v>
      </c>
      <c r="N325" s="883">
        <f t="shared" si="108"/>
        <v>0</v>
      </c>
      <c r="O325" s="1100"/>
      <c r="P325" s="883">
        <f t="shared" si="100"/>
        <v>0</v>
      </c>
      <c r="Q325" s="884">
        <f t="shared" si="109"/>
        <v>0</v>
      </c>
      <c r="R325" s="884">
        <f>IF(AND($AR$39="Early Payoff",I325&gt;=$R$13),0,IF($I325&lt;=$R$6,SUM($P$20:$P325),0))</f>
        <v>0</v>
      </c>
      <c r="S325" s="884">
        <f>IF(AND($AR$39="Early Payoff",I325&gt;=$R$13),0,IF($I325&lt;=$R$6,SUM($Q$20:$Q325),0))</f>
        <v>0</v>
      </c>
      <c r="T325" s="873">
        <f t="shared" si="110"/>
        <v>0</v>
      </c>
      <c r="U325" s="1110">
        <f t="shared" si="116"/>
        <v>0</v>
      </c>
      <c r="W325" s="1102">
        <f t="shared" si="101"/>
        <v>0</v>
      </c>
      <c r="X325" s="873">
        <f t="shared" si="102"/>
        <v>0</v>
      </c>
      <c r="Y325" s="873">
        <f t="shared" si="103"/>
        <v>0</v>
      </c>
      <c r="Z325" s="885">
        <f t="shared" si="104"/>
        <v>0</v>
      </c>
    </row>
    <row r="326" spans="2:26" s="278" customFormat="1" ht="12" customHeight="1" x14ac:dyDescent="0.25">
      <c r="B326" s="1192">
        <f t="shared" si="111"/>
        <v>326</v>
      </c>
      <c r="C326" s="732">
        <f t="shared" si="96"/>
        <v>31</v>
      </c>
      <c r="D326" s="35">
        <f t="shared" si="97"/>
        <v>12</v>
      </c>
      <c r="E326" s="889">
        <f t="shared" si="114"/>
        <v>56979</v>
      </c>
      <c r="F326" s="822">
        <f t="shared" si="98"/>
        <v>12</v>
      </c>
      <c r="G326" s="126">
        <f t="shared" si="99"/>
        <v>1</v>
      </c>
      <c r="H326" s="1098">
        <f t="shared" si="115"/>
        <v>0</v>
      </c>
      <c r="I326" s="887">
        <f t="shared" si="112"/>
        <v>307</v>
      </c>
      <c r="J326" s="1099">
        <f t="shared" si="105"/>
        <v>307</v>
      </c>
      <c r="K326" s="891" t="str">
        <f t="shared" si="106"/>
        <v>December</v>
      </c>
      <c r="L326" s="888">
        <f t="shared" si="113"/>
        <v>2055</v>
      </c>
      <c r="M326" s="883">
        <f t="shared" si="107"/>
        <v>0</v>
      </c>
      <c r="N326" s="883">
        <f t="shared" si="108"/>
        <v>0</v>
      </c>
      <c r="O326" s="1100"/>
      <c r="P326" s="883">
        <f t="shared" si="100"/>
        <v>0</v>
      </c>
      <c r="Q326" s="884">
        <f t="shared" si="109"/>
        <v>0</v>
      </c>
      <c r="R326" s="884">
        <f>IF(AND($AR$39="Early Payoff",I326&gt;=$R$13),0,IF($I326&lt;=$R$6,SUM($P$20:$P326),0))</f>
        <v>0</v>
      </c>
      <c r="S326" s="884">
        <f>IF(AND($AR$39="Early Payoff",I326&gt;=$R$13),0,IF($I326&lt;=$R$6,SUM($Q$20:$Q326),0))</f>
        <v>0</v>
      </c>
      <c r="T326" s="873">
        <f t="shared" si="110"/>
        <v>0</v>
      </c>
      <c r="U326" s="1110">
        <f t="shared" si="116"/>
        <v>0</v>
      </c>
      <c r="W326" s="1102">
        <f t="shared" si="101"/>
        <v>0</v>
      </c>
      <c r="X326" s="873">
        <f t="shared" si="102"/>
        <v>0</v>
      </c>
      <c r="Y326" s="873">
        <f t="shared" si="103"/>
        <v>0</v>
      </c>
      <c r="Z326" s="885">
        <f t="shared" si="104"/>
        <v>0</v>
      </c>
    </row>
    <row r="327" spans="2:26" s="278" customFormat="1" ht="12" customHeight="1" x14ac:dyDescent="0.25">
      <c r="B327" s="1192">
        <f t="shared" si="111"/>
        <v>327</v>
      </c>
      <c r="C327" s="732">
        <f t="shared" si="96"/>
        <v>31</v>
      </c>
      <c r="D327" s="35">
        <f t="shared" si="97"/>
        <v>1</v>
      </c>
      <c r="E327" s="889">
        <f t="shared" si="114"/>
        <v>57010</v>
      </c>
      <c r="F327" s="822">
        <f t="shared" si="98"/>
        <v>1</v>
      </c>
      <c r="G327" s="126">
        <f t="shared" si="99"/>
        <v>0</v>
      </c>
      <c r="H327" s="1098">
        <f t="shared" si="115"/>
        <v>0</v>
      </c>
      <c r="I327" s="887">
        <f t="shared" si="112"/>
        <v>308</v>
      </c>
      <c r="J327" s="1099">
        <f t="shared" si="105"/>
        <v>308</v>
      </c>
      <c r="K327" s="891" t="str">
        <f t="shared" si="106"/>
        <v>January</v>
      </c>
      <c r="L327" s="888">
        <f t="shared" si="113"/>
        <v>2056</v>
      </c>
      <c r="M327" s="883">
        <f t="shared" si="107"/>
        <v>0</v>
      </c>
      <c r="N327" s="883">
        <f t="shared" si="108"/>
        <v>0</v>
      </c>
      <c r="O327" s="1100"/>
      <c r="P327" s="883">
        <f t="shared" si="100"/>
        <v>0</v>
      </c>
      <c r="Q327" s="884">
        <f t="shared" si="109"/>
        <v>0</v>
      </c>
      <c r="R327" s="884">
        <f>IF(AND($AR$39="Early Payoff",I327&gt;=$R$13),0,IF($I327&lt;=$R$6,SUM($P$20:$P327),0))</f>
        <v>0</v>
      </c>
      <c r="S327" s="884">
        <f>IF(AND($AR$39="Early Payoff",I327&gt;=$R$13),0,IF($I327&lt;=$R$6,SUM($Q$20:$Q327),0))</f>
        <v>0</v>
      </c>
      <c r="T327" s="873">
        <f t="shared" si="110"/>
        <v>0</v>
      </c>
      <c r="U327" s="1110">
        <f t="shared" si="116"/>
        <v>0</v>
      </c>
      <c r="W327" s="1102">
        <f t="shared" si="101"/>
        <v>0</v>
      </c>
      <c r="X327" s="873">
        <f t="shared" si="102"/>
        <v>0</v>
      </c>
      <c r="Y327" s="873">
        <f t="shared" si="103"/>
        <v>0</v>
      </c>
      <c r="Z327" s="885">
        <f t="shared" si="104"/>
        <v>0</v>
      </c>
    </row>
    <row r="328" spans="2:26" s="278" customFormat="1" ht="12" customHeight="1" x14ac:dyDescent="0.25">
      <c r="B328" s="1192">
        <f t="shared" si="111"/>
        <v>328</v>
      </c>
      <c r="C328" s="732">
        <f t="shared" si="96"/>
        <v>29</v>
      </c>
      <c r="D328" s="35">
        <f t="shared" si="97"/>
        <v>2</v>
      </c>
      <c r="E328" s="889">
        <f t="shared" si="114"/>
        <v>57039</v>
      </c>
      <c r="F328" s="822">
        <f t="shared" si="98"/>
        <v>2</v>
      </c>
      <c r="G328" s="126">
        <f t="shared" si="99"/>
        <v>0</v>
      </c>
      <c r="H328" s="1098">
        <f t="shared" si="115"/>
        <v>0</v>
      </c>
      <c r="I328" s="887">
        <f t="shared" si="112"/>
        <v>309</v>
      </c>
      <c r="J328" s="1099">
        <f t="shared" si="105"/>
        <v>309</v>
      </c>
      <c r="K328" s="891" t="str">
        <f t="shared" si="106"/>
        <v>February</v>
      </c>
      <c r="L328" s="888">
        <f t="shared" si="113"/>
        <v>2056</v>
      </c>
      <c r="M328" s="883">
        <f t="shared" si="107"/>
        <v>0</v>
      </c>
      <c r="N328" s="883">
        <f t="shared" si="108"/>
        <v>0</v>
      </c>
      <c r="O328" s="1100"/>
      <c r="P328" s="883">
        <f t="shared" si="100"/>
        <v>0</v>
      </c>
      <c r="Q328" s="884">
        <f t="shared" si="109"/>
        <v>0</v>
      </c>
      <c r="R328" s="884">
        <f>IF(AND($AR$39="Early Payoff",I328&gt;=$R$13),0,IF($I328&lt;=$R$6,SUM($P$20:$P328),0))</f>
        <v>0</v>
      </c>
      <c r="S328" s="884">
        <f>IF(AND($AR$39="Early Payoff",I328&gt;=$R$13),0,IF($I328&lt;=$R$6,SUM($Q$20:$Q328),0))</f>
        <v>0</v>
      </c>
      <c r="T328" s="873">
        <f t="shared" si="110"/>
        <v>0</v>
      </c>
      <c r="U328" s="1110">
        <f t="shared" si="116"/>
        <v>0</v>
      </c>
      <c r="W328" s="1102">
        <f t="shared" si="101"/>
        <v>0</v>
      </c>
      <c r="X328" s="873">
        <f t="shared" si="102"/>
        <v>0</v>
      </c>
      <c r="Y328" s="873">
        <f t="shared" si="103"/>
        <v>0</v>
      </c>
      <c r="Z328" s="885">
        <f t="shared" si="104"/>
        <v>0</v>
      </c>
    </row>
    <row r="329" spans="2:26" s="278" customFormat="1" ht="12" customHeight="1" x14ac:dyDescent="0.25">
      <c r="B329" s="1192">
        <f t="shared" si="111"/>
        <v>329</v>
      </c>
      <c r="C329" s="732">
        <f t="shared" si="96"/>
        <v>31</v>
      </c>
      <c r="D329" s="35">
        <f t="shared" si="97"/>
        <v>3</v>
      </c>
      <c r="E329" s="889">
        <f t="shared" si="114"/>
        <v>57070</v>
      </c>
      <c r="F329" s="822">
        <f t="shared" si="98"/>
        <v>3</v>
      </c>
      <c r="G329" s="126">
        <f t="shared" si="99"/>
        <v>0</v>
      </c>
      <c r="H329" s="1098">
        <f t="shared" si="115"/>
        <v>0</v>
      </c>
      <c r="I329" s="887">
        <f t="shared" si="112"/>
        <v>310</v>
      </c>
      <c r="J329" s="1099">
        <f t="shared" si="105"/>
        <v>310</v>
      </c>
      <c r="K329" s="891" t="str">
        <f t="shared" si="106"/>
        <v>March</v>
      </c>
      <c r="L329" s="888">
        <f t="shared" si="113"/>
        <v>2056</v>
      </c>
      <c r="M329" s="883">
        <f t="shared" si="107"/>
        <v>0</v>
      </c>
      <c r="N329" s="883">
        <f t="shared" si="108"/>
        <v>0</v>
      </c>
      <c r="O329" s="1100"/>
      <c r="P329" s="883">
        <f t="shared" si="100"/>
        <v>0</v>
      </c>
      <c r="Q329" s="884">
        <f t="shared" si="109"/>
        <v>0</v>
      </c>
      <c r="R329" s="884">
        <f>IF(AND($AR$39="Early Payoff",I329&gt;=$R$13),0,IF($I329&lt;=$R$6,SUM($P$20:$P329),0))</f>
        <v>0</v>
      </c>
      <c r="S329" s="884">
        <f>IF(AND($AR$39="Early Payoff",I329&gt;=$R$13),0,IF($I329&lt;=$R$6,SUM($Q$20:$Q329),0))</f>
        <v>0</v>
      </c>
      <c r="T329" s="873">
        <f t="shared" si="110"/>
        <v>0</v>
      </c>
      <c r="U329" s="1110">
        <f t="shared" si="116"/>
        <v>0</v>
      </c>
      <c r="W329" s="1102">
        <f t="shared" si="101"/>
        <v>0</v>
      </c>
      <c r="X329" s="873">
        <f t="shared" si="102"/>
        <v>0</v>
      </c>
      <c r="Y329" s="873">
        <f t="shared" si="103"/>
        <v>0</v>
      </c>
      <c r="Z329" s="885">
        <f t="shared" si="104"/>
        <v>0</v>
      </c>
    </row>
    <row r="330" spans="2:26" s="278" customFormat="1" ht="12" customHeight="1" x14ac:dyDescent="0.25">
      <c r="B330" s="1192">
        <f t="shared" si="111"/>
        <v>330</v>
      </c>
      <c r="C330" s="732">
        <f t="shared" si="96"/>
        <v>30</v>
      </c>
      <c r="D330" s="35">
        <f t="shared" si="97"/>
        <v>4</v>
      </c>
      <c r="E330" s="889">
        <f t="shared" si="114"/>
        <v>57100</v>
      </c>
      <c r="F330" s="822">
        <f t="shared" si="98"/>
        <v>4</v>
      </c>
      <c r="G330" s="126">
        <f t="shared" si="99"/>
        <v>0</v>
      </c>
      <c r="H330" s="1098">
        <f t="shared" si="115"/>
        <v>0</v>
      </c>
      <c r="I330" s="887">
        <f t="shared" si="112"/>
        <v>311</v>
      </c>
      <c r="J330" s="1099">
        <f t="shared" si="105"/>
        <v>311</v>
      </c>
      <c r="K330" s="891" t="str">
        <f t="shared" si="106"/>
        <v>April</v>
      </c>
      <c r="L330" s="888">
        <f t="shared" si="113"/>
        <v>2056</v>
      </c>
      <c r="M330" s="883">
        <f t="shared" si="107"/>
        <v>0</v>
      </c>
      <c r="N330" s="883">
        <f t="shared" si="108"/>
        <v>0</v>
      </c>
      <c r="O330" s="1100"/>
      <c r="P330" s="883">
        <f t="shared" si="100"/>
        <v>0</v>
      </c>
      <c r="Q330" s="884">
        <f t="shared" si="109"/>
        <v>0</v>
      </c>
      <c r="R330" s="884">
        <f>IF(AND($AR$39="Early Payoff",I330&gt;=$R$13),0,IF($I330&lt;=$R$6,SUM($P$20:$P330),0))</f>
        <v>0</v>
      </c>
      <c r="S330" s="884">
        <f>IF(AND($AR$39="Early Payoff",I330&gt;=$R$13),0,IF($I330&lt;=$R$6,SUM($Q$20:$Q330),0))</f>
        <v>0</v>
      </c>
      <c r="T330" s="873">
        <f t="shared" si="110"/>
        <v>0</v>
      </c>
      <c r="U330" s="1110">
        <f t="shared" si="116"/>
        <v>0</v>
      </c>
      <c r="W330" s="1102">
        <f t="shared" si="101"/>
        <v>0</v>
      </c>
      <c r="X330" s="873">
        <f t="shared" si="102"/>
        <v>0</v>
      </c>
      <c r="Y330" s="873">
        <f t="shared" si="103"/>
        <v>0</v>
      </c>
      <c r="Z330" s="885">
        <f t="shared" si="104"/>
        <v>0</v>
      </c>
    </row>
    <row r="331" spans="2:26" s="278" customFormat="1" ht="12" customHeight="1" x14ac:dyDescent="0.25">
      <c r="B331" s="1192">
        <f t="shared" si="111"/>
        <v>331</v>
      </c>
      <c r="C331" s="732">
        <f t="shared" si="96"/>
        <v>31</v>
      </c>
      <c r="D331" s="35">
        <f t="shared" si="97"/>
        <v>5</v>
      </c>
      <c r="E331" s="889">
        <f t="shared" si="114"/>
        <v>57131</v>
      </c>
      <c r="F331" s="822">
        <f t="shared" si="98"/>
        <v>5</v>
      </c>
      <c r="G331" s="126">
        <f t="shared" si="99"/>
        <v>0</v>
      </c>
      <c r="H331" s="1098">
        <f t="shared" si="115"/>
        <v>0</v>
      </c>
      <c r="I331" s="887">
        <f t="shared" si="112"/>
        <v>312</v>
      </c>
      <c r="J331" s="1099">
        <f t="shared" si="105"/>
        <v>312</v>
      </c>
      <c r="K331" s="891" t="str">
        <f t="shared" si="106"/>
        <v>May</v>
      </c>
      <c r="L331" s="888">
        <f t="shared" si="113"/>
        <v>2056</v>
      </c>
      <c r="M331" s="883">
        <f t="shared" si="107"/>
        <v>0</v>
      </c>
      <c r="N331" s="883">
        <f t="shared" si="108"/>
        <v>0</v>
      </c>
      <c r="O331" s="1100"/>
      <c r="P331" s="883">
        <f t="shared" si="100"/>
        <v>0</v>
      </c>
      <c r="Q331" s="884">
        <f t="shared" si="109"/>
        <v>0</v>
      </c>
      <c r="R331" s="884">
        <f>IF(AND($AR$39="Early Payoff",I331&gt;=$R$13),0,IF($I331&lt;=$R$6,SUM($P$20:$P331),0))</f>
        <v>0</v>
      </c>
      <c r="S331" s="884">
        <f>IF(AND($AR$39="Early Payoff",I331&gt;=$R$13),0,IF($I331&lt;=$R$6,SUM($Q$20:$Q331),0))</f>
        <v>0</v>
      </c>
      <c r="T331" s="873">
        <f t="shared" si="110"/>
        <v>0</v>
      </c>
      <c r="U331" s="1110">
        <f t="shared" si="116"/>
        <v>0</v>
      </c>
      <c r="W331" s="1102">
        <f t="shared" si="101"/>
        <v>0</v>
      </c>
      <c r="X331" s="873">
        <f t="shared" si="102"/>
        <v>0</v>
      </c>
      <c r="Y331" s="873">
        <f t="shared" si="103"/>
        <v>0</v>
      </c>
      <c r="Z331" s="885">
        <f t="shared" si="104"/>
        <v>0</v>
      </c>
    </row>
    <row r="332" spans="2:26" s="278" customFormat="1" ht="12" customHeight="1" x14ac:dyDescent="0.25">
      <c r="B332" s="1192">
        <f t="shared" si="111"/>
        <v>332</v>
      </c>
      <c r="C332" s="732">
        <f t="shared" si="96"/>
        <v>30</v>
      </c>
      <c r="D332" s="35">
        <f t="shared" si="97"/>
        <v>6</v>
      </c>
      <c r="E332" s="889">
        <f t="shared" si="114"/>
        <v>57161</v>
      </c>
      <c r="F332" s="822">
        <f t="shared" si="98"/>
        <v>6</v>
      </c>
      <c r="G332" s="126">
        <f t="shared" si="99"/>
        <v>0</v>
      </c>
      <c r="H332" s="1098">
        <f t="shared" si="115"/>
        <v>0</v>
      </c>
      <c r="I332" s="887">
        <f t="shared" si="112"/>
        <v>313</v>
      </c>
      <c r="J332" s="1099">
        <f t="shared" si="105"/>
        <v>313</v>
      </c>
      <c r="K332" s="891" t="str">
        <f t="shared" si="106"/>
        <v>June</v>
      </c>
      <c r="L332" s="888">
        <f t="shared" si="113"/>
        <v>2056</v>
      </c>
      <c r="M332" s="883">
        <f t="shared" si="107"/>
        <v>0</v>
      </c>
      <c r="N332" s="883">
        <f t="shared" si="108"/>
        <v>0</v>
      </c>
      <c r="O332" s="1100"/>
      <c r="P332" s="883">
        <f t="shared" si="100"/>
        <v>0</v>
      </c>
      <c r="Q332" s="884">
        <f t="shared" si="109"/>
        <v>0</v>
      </c>
      <c r="R332" s="884">
        <f>IF(AND($AR$39="Early Payoff",I332&gt;=$R$13),0,IF($I332&lt;=$R$6,SUM($P$20:$P332),0))</f>
        <v>0</v>
      </c>
      <c r="S332" s="884">
        <f>IF(AND($AR$39="Early Payoff",I332&gt;=$R$13),0,IF($I332&lt;=$R$6,SUM($Q$20:$Q332),0))</f>
        <v>0</v>
      </c>
      <c r="T332" s="873">
        <f t="shared" si="110"/>
        <v>0</v>
      </c>
      <c r="U332" s="1110">
        <f t="shared" si="116"/>
        <v>0</v>
      </c>
      <c r="W332" s="1102">
        <f t="shared" si="101"/>
        <v>0</v>
      </c>
      <c r="X332" s="873">
        <f t="shared" si="102"/>
        <v>0</v>
      </c>
      <c r="Y332" s="873">
        <f t="shared" si="103"/>
        <v>0</v>
      </c>
      <c r="Z332" s="885">
        <f t="shared" si="104"/>
        <v>0</v>
      </c>
    </row>
    <row r="333" spans="2:26" s="278" customFormat="1" ht="12" customHeight="1" x14ac:dyDescent="0.25">
      <c r="B333" s="1192">
        <f t="shared" si="111"/>
        <v>333</v>
      </c>
      <c r="C333" s="732">
        <f t="shared" si="96"/>
        <v>31</v>
      </c>
      <c r="D333" s="35">
        <f t="shared" si="97"/>
        <v>7</v>
      </c>
      <c r="E333" s="889">
        <f t="shared" si="114"/>
        <v>57192</v>
      </c>
      <c r="F333" s="822">
        <f t="shared" si="98"/>
        <v>7</v>
      </c>
      <c r="G333" s="126">
        <f t="shared" si="99"/>
        <v>0</v>
      </c>
      <c r="H333" s="1098">
        <f t="shared" si="115"/>
        <v>0</v>
      </c>
      <c r="I333" s="887">
        <f t="shared" si="112"/>
        <v>314</v>
      </c>
      <c r="J333" s="1099">
        <f t="shared" si="105"/>
        <v>314</v>
      </c>
      <c r="K333" s="891" t="str">
        <f t="shared" si="106"/>
        <v>July</v>
      </c>
      <c r="L333" s="888">
        <f t="shared" si="113"/>
        <v>2056</v>
      </c>
      <c r="M333" s="883">
        <f t="shared" si="107"/>
        <v>0</v>
      </c>
      <c r="N333" s="883">
        <f t="shared" si="108"/>
        <v>0</v>
      </c>
      <c r="O333" s="1100"/>
      <c r="P333" s="883">
        <f t="shared" si="100"/>
        <v>0</v>
      </c>
      <c r="Q333" s="884">
        <f t="shared" si="109"/>
        <v>0</v>
      </c>
      <c r="R333" s="884">
        <f>IF(AND($AR$39="Early Payoff",I333&gt;=$R$13),0,IF($I333&lt;=$R$6,SUM($P$20:$P333),0))</f>
        <v>0</v>
      </c>
      <c r="S333" s="884">
        <f>IF(AND($AR$39="Early Payoff",I333&gt;=$R$13),0,IF($I333&lt;=$R$6,SUM($Q$20:$Q333),0))</f>
        <v>0</v>
      </c>
      <c r="T333" s="873">
        <f t="shared" si="110"/>
        <v>0</v>
      </c>
      <c r="U333" s="1110">
        <f t="shared" si="116"/>
        <v>0</v>
      </c>
      <c r="W333" s="1102">
        <f t="shared" si="101"/>
        <v>0</v>
      </c>
      <c r="X333" s="873">
        <f t="shared" si="102"/>
        <v>0</v>
      </c>
      <c r="Y333" s="873">
        <f t="shared" si="103"/>
        <v>0</v>
      </c>
      <c r="Z333" s="885">
        <f t="shared" si="104"/>
        <v>0</v>
      </c>
    </row>
    <row r="334" spans="2:26" s="278" customFormat="1" ht="12" customHeight="1" x14ac:dyDescent="0.25">
      <c r="B334" s="1192">
        <f t="shared" si="111"/>
        <v>334</v>
      </c>
      <c r="C334" s="732">
        <f t="shared" si="96"/>
        <v>31</v>
      </c>
      <c r="D334" s="35">
        <f t="shared" si="97"/>
        <v>8</v>
      </c>
      <c r="E334" s="889">
        <f t="shared" si="114"/>
        <v>57223</v>
      </c>
      <c r="F334" s="822">
        <f t="shared" si="98"/>
        <v>8</v>
      </c>
      <c r="G334" s="126">
        <f t="shared" si="99"/>
        <v>0</v>
      </c>
      <c r="H334" s="1098">
        <f t="shared" si="115"/>
        <v>0</v>
      </c>
      <c r="I334" s="887">
        <f t="shared" si="112"/>
        <v>315</v>
      </c>
      <c r="J334" s="1099">
        <f t="shared" si="105"/>
        <v>315</v>
      </c>
      <c r="K334" s="891" t="str">
        <f t="shared" si="106"/>
        <v>August</v>
      </c>
      <c r="L334" s="888">
        <f t="shared" si="113"/>
        <v>2056</v>
      </c>
      <c r="M334" s="883">
        <f t="shared" si="107"/>
        <v>0</v>
      </c>
      <c r="N334" s="883">
        <f t="shared" si="108"/>
        <v>0</v>
      </c>
      <c r="O334" s="1100"/>
      <c r="P334" s="883">
        <f t="shared" si="100"/>
        <v>0</v>
      </c>
      <c r="Q334" s="884">
        <f t="shared" si="109"/>
        <v>0</v>
      </c>
      <c r="R334" s="884">
        <f>IF(AND($AR$39="Early Payoff",I334&gt;=$R$13),0,IF($I334&lt;=$R$6,SUM($P$20:$P334),0))</f>
        <v>0</v>
      </c>
      <c r="S334" s="884">
        <f>IF(AND($AR$39="Early Payoff",I334&gt;=$R$13),0,IF($I334&lt;=$R$6,SUM($Q$20:$Q334),0))</f>
        <v>0</v>
      </c>
      <c r="T334" s="873">
        <f t="shared" si="110"/>
        <v>0</v>
      </c>
      <c r="U334" s="1110">
        <f t="shared" si="116"/>
        <v>0</v>
      </c>
      <c r="W334" s="1102">
        <f t="shared" si="101"/>
        <v>0</v>
      </c>
      <c r="X334" s="873">
        <f t="shared" si="102"/>
        <v>0</v>
      </c>
      <c r="Y334" s="873">
        <f t="shared" si="103"/>
        <v>0</v>
      </c>
      <c r="Z334" s="885">
        <f t="shared" si="104"/>
        <v>0</v>
      </c>
    </row>
    <row r="335" spans="2:26" s="278" customFormat="1" ht="12" customHeight="1" x14ac:dyDescent="0.25">
      <c r="B335" s="1192">
        <f t="shared" si="111"/>
        <v>335</v>
      </c>
      <c r="C335" s="732">
        <f t="shared" si="96"/>
        <v>30</v>
      </c>
      <c r="D335" s="35">
        <f t="shared" si="97"/>
        <v>9</v>
      </c>
      <c r="E335" s="889">
        <f t="shared" si="114"/>
        <v>57253</v>
      </c>
      <c r="F335" s="822">
        <f t="shared" si="98"/>
        <v>9</v>
      </c>
      <c r="G335" s="126">
        <f t="shared" si="99"/>
        <v>0</v>
      </c>
      <c r="H335" s="1098">
        <f t="shared" si="115"/>
        <v>0</v>
      </c>
      <c r="I335" s="887">
        <f t="shared" si="112"/>
        <v>316</v>
      </c>
      <c r="J335" s="1099">
        <f t="shared" si="105"/>
        <v>316</v>
      </c>
      <c r="K335" s="891" t="str">
        <f t="shared" si="106"/>
        <v>September</v>
      </c>
      <c r="L335" s="888">
        <f t="shared" si="113"/>
        <v>2056</v>
      </c>
      <c r="M335" s="883">
        <f t="shared" si="107"/>
        <v>0</v>
      </c>
      <c r="N335" s="883">
        <f t="shared" si="108"/>
        <v>0</v>
      </c>
      <c r="O335" s="1100"/>
      <c r="P335" s="883">
        <f t="shared" si="100"/>
        <v>0</v>
      </c>
      <c r="Q335" s="884">
        <f t="shared" si="109"/>
        <v>0</v>
      </c>
      <c r="R335" s="884">
        <f>IF(AND($AR$39="Early Payoff",I335&gt;=$R$13),0,IF($I335&lt;=$R$6,SUM($P$20:$P335),0))</f>
        <v>0</v>
      </c>
      <c r="S335" s="884">
        <f>IF(AND($AR$39="Early Payoff",I335&gt;=$R$13),0,IF($I335&lt;=$R$6,SUM($Q$20:$Q335),0))</f>
        <v>0</v>
      </c>
      <c r="T335" s="873">
        <f t="shared" si="110"/>
        <v>0</v>
      </c>
      <c r="U335" s="1110">
        <f t="shared" si="116"/>
        <v>0</v>
      </c>
      <c r="W335" s="1102">
        <f t="shared" si="101"/>
        <v>0</v>
      </c>
      <c r="X335" s="873">
        <f t="shared" si="102"/>
        <v>0</v>
      </c>
      <c r="Y335" s="873">
        <f t="shared" si="103"/>
        <v>0</v>
      </c>
      <c r="Z335" s="885">
        <f t="shared" si="104"/>
        <v>0</v>
      </c>
    </row>
    <row r="336" spans="2:26" s="278" customFormat="1" ht="12" customHeight="1" x14ac:dyDescent="0.25">
      <c r="B336" s="1192">
        <f t="shared" si="111"/>
        <v>336</v>
      </c>
      <c r="C336" s="732">
        <f t="shared" si="96"/>
        <v>31</v>
      </c>
      <c r="D336" s="35">
        <f t="shared" si="97"/>
        <v>10</v>
      </c>
      <c r="E336" s="889">
        <f t="shared" si="114"/>
        <v>57284</v>
      </c>
      <c r="F336" s="822">
        <f t="shared" si="98"/>
        <v>10</v>
      </c>
      <c r="G336" s="126">
        <f t="shared" si="99"/>
        <v>0</v>
      </c>
      <c r="H336" s="1098">
        <f t="shared" si="115"/>
        <v>0</v>
      </c>
      <c r="I336" s="887">
        <f t="shared" si="112"/>
        <v>317</v>
      </c>
      <c r="J336" s="1099">
        <f t="shared" si="105"/>
        <v>317</v>
      </c>
      <c r="K336" s="891" t="str">
        <f t="shared" si="106"/>
        <v>October</v>
      </c>
      <c r="L336" s="888">
        <f t="shared" si="113"/>
        <v>2056</v>
      </c>
      <c r="M336" s="883">
        <f t="shared" si="107"/>
        <v>0</v>
      </c>
      <c r="N336" s="883">
        <f t="shared" si="108"/>
        <v>0</v>
      </c>
      <c r="O336" s="1100"/>
      <c r="P336" s="883">
        <f t="shared" si="100"/>
        <v>0</v>
      </c>
      <c r="Q336" s="884">
        <f t="shared" si="109"/>
        <v>0</v>
      </c>
      <c r="R336" s="884">
        <f>IF(AND($AR$39="Early Payoff",I336&gt;=$R$13),0,IF($I336&lt;=$R$6,SUM($P$20:$P336),0))</f>
        <v>0</v>
      </c>
      <c r="S336" s="884">
        <f>IF(AND($AR$39="Early Payoff",I336&gt;=$R$13),0,IF($I336&lt;=$R$6,SUM($Q$20:$Q336),0))</f>
        <v>0</v>
      </c>
      <c r="T336" s="873">
        <f t="shared" si="110"/>
        <v>0</v>
      </c>
      <c r="U336" s="1110">
        <f t="shared" si="116"/>
        <v>0</v>
      </c>
      <c r="W336" s="1102">
        <f t="shared" si="101"/>
        <v>0</v>
      </c>
      <c r="X336" s="873">
        <f t="shared" si="102"/>
        <v>0</v>
      </c>
      <c r="Y336" s="873">
        <f t="shared" si="103"/>
        <v>0</v>
      </c>
      <c r="Z336" s="885">
        <f t="shared" si="104"/>
        <v>0</v>
      </c>
    </row>
    <row r="337" spans="2:26" s="278" customFormat="1" ht="12" customHeight="1" x14ac:dyDescent="0.25">
      <c r="B337" s="1192">
        <f t="shared" si="111"/>
        <v>337</v>
      </c>
      <c r="C337" s="732">
        <f t="shared" si="96"/>
        <v>30</v>
      </c>
      <c r="D337" s="35">
        <f t="shared" si="97"/>
        <v>11</v>
      </c>
      <c r="E337" s="889">
        <f t="shared" si="114"/>
        <v>57314</v>
      </c>
      <c r="F337" s="822">
        <f t="shared" si="98"/>
        <v>11</v>
      </c>
      <c r="G337" s="126">
        <f t="shared" si="99"/>
        <v>0</v>
      </c>
      <c r="H337" s="1098">
        <f t="shared" si="115"/>
        <v>0</v>
      </c>
      <c r="I337" s="887">
        <f t="shared" si="112"/>
        <v>318</v>
      </c>
      <c r="J337" s="1099">
        <f t="shared" si="105"/>
        <v>318</v>
      </c>
      <c r="K337" s="891" t="str">
        <f t="shared" si="106"/>
        <v>November</v>
      </c>
      <c r="L337" s="888">
        <f t="shared" si="113"/>
        <v>2056</v>
      </c>
      <c r="M337" s="883">
        <f t="shared" si="107"/>
        <v>0</v>
      </c>
      <c r="N337" s="883">
        <f t="shared" si="108"/>
        <v>0</v>
      </c>
      <c r="O337" s="1100"/>
      <c r="P337" s="883">
        <f t="shared" si="100"/>
        <v>0</v>
      </c>
      <c r="Q337" s="884">
        <f t="shared" si="109"/>
        <v>0</v>
      </c>
      <c r="R337" s="884">
        <f>IF(AND($AR$39="Early Payoff",I337&gt;=$R$13),0,IF($I337&lt;=$R$6,SUM($P$20:$P337),0))</f>
        <v>0</v>
      </c>
      <c r="S337" s="884">
        <f>IF(AND($AR$39="Early Payoff",I337&gt;=$R$13),0,IF($I337&lt;=$R$6,SUM($Q$20:$Q337),0))</f>
        <v>0</v>
      </c>
      <c r="T337" s="873">
        <f t="shared" si="110"/>
        <v>0</v>
      </c>
      <c r="U337" s="1110">
        <f t="shared" si="116"/>
        <v>0</v>
      </c>
      <c r="W337" s="1102">
        <f t="shared" si="101"/>
        <v>0</v>
      </c>
      <c r="X337" s="873">
        <f t="shared" si="102"/>
        <v>0</v>
      </c>
      <c r="Y337" s="873">
        <f t="shared" si="103"/>
        <v>0</v>
      </c>
      <c r="Z337" s="885">
        <f t="shared" si="104"/>
        <v>0</v>
      </c>
    </row>
    <row r="338" spans="2:26" s="278" customFormat="1" ht="12" customHeight="1" x14ac:dyDescent="0.25">
      <c r="B338" s="1192">
        <f t="shared" si="111"/>
        <v>338</v>
      </c>
      <c r="C338" s="732">
        <f t="shared" si="96"/>
        <v>31</v>
      </c>
      <c r="D338" s="35">
        <f t="shared" si="97"/>
        <v>12</v>
      </c>
      <c r="E338" s="889">
        <f t="shared" si="114"/>
        <v>57345</v>
      </c>
      <c r="F338" s="822">
        <f t="shared" si="98"/>
        <v>12</v>
      </c>
      <c r="G338" s="126">
        <f t="shared" si="99"/>
        <v>1</v>
      </c>
      <c r="H338" s="1098">
        <f t="shared" si="115"/>
        <v>0</v>
      </c>
      <c r="I338" s="887">
        <f t="shared" si="112"/>
        <v>319</v>
      </c>
      <c r="J338" s="1099">
        <f t="shared" si="105"/>
        <v>319</v>
      </c>
      <c r="K338" s="891" t="str">
        <f t="shared" si="106"/>
        <v>December</v>
      </c>
      <c r="L338" s="888">
        <f t="shared" si="113"/>
        <v>2056</v>
      </c>
      <c r="M338" s="883">
        <f t="shared" si="107"/>
        <v>0</v>
      </c>
      <c r="N338" s="883">
        <f t="shared" si="108"/>
        <v>0</v>
      </c>
      <c r="O338" s="1100"/>
      <c r="P338" s="883">
        <f t="shared" si="100"/>
        <v>0</v>
      </c>
      <c r="Q338" s="884">
        <f t="shared" si="109"/>
        <v>0</v>
      </c>
      <c r="R338" s="884">
        <f>IF(AND($AR$39="Early Payoff",I338&gt;=$R$13),0,IF($I338&lt;=$R$6,SUM($P$20:$P338),0))</f>
        <v>0</v>
      </c>
      <c r="S338" s="884">
        <f>IF(AND($AR$39="Early Payoff",I338&gt;=$R$13),0,IF($I338&lt;=$R$6,SUM($Q$20:$Q338),0))</f>
        <v>0</v>
      </c>
      <c r="T338" s="873">
        <f t="shared" si="110"/>
        <v>0</v>
      </c>
      <c r="U338" s="1110">
        <f t="shared" si="116"/>
        <v>0</v>
      </c>
      <c r="W338" s="1102">
        <f t="shared" si="101"/>
        <v>0</v>
      </c>
      <c r="X338" s="873">
        <f t="shared" si="102"/>
        <v>0</v>
      </c>
      <c r="Y338" s="873">
        <f t="shared" si="103"/>
        <v>0</v>
      </c>
      <c r="Z338" s="885">
        <f t="shared" si="104"/>
        <v>0</v>
      </c>
    </row>
    <row r="339" spans="2:26" s="278" customFormat="1" ht="12" customHeight="1" x14ac:dyDescent="0.25">
      <c r="B339" s="1192">
        <f t="shared" si="111"/>
        <v>339</v>
      </c>
      <c r="C339" s="732">
        <f t="shared" si="96"/>
        <v>31</v>
      </c>
      <c r="D339" s="35">
        <f t="shared" si="97"/>
        <v>1</v>
      </c>
      <c r="E339" s="889">
        <f t="shared" si="114"/>
        <v>57376</v>
      </c>
      <c r="F339" s="822">
        <f t="shared" si="98"/>
        <v>1</v>
      </c>
      <c r="G339" s="126">
        <f t="shared" si="99"/>
        <v>0</v>
      </c>
      <c r="H339" s="1098">
        <f t="shared" si="115"/>
        <v>0</v>
      </c>
      <c r="I339" s="887">
        <f t="shared" si="112"/>
        <v>320</v>
      </c>
      <c r="J339" s="1099">
        <f t="shared" si="105"/>
        <v>320</v>
      </c>
      <c r="K339" s="891" t="str">
        <f t="shared" si="106"/>
        <v>January</v>
      </c>
      <c r="L339" s="888">
        <f t="shared" si="113"/>
        <v>2057</v>
      </c>
      <c r="M339" s="883">
        <f t="shared" si="107"/>
        <v>0</v>
      </c>
      <c r="N339" s="883">
        <f t="shared" si="108"/>
        <v>0</v>
      </c>
      <c r="O339" s="1100"/>
      <c r="P339" s="883">
        <f t="shared" si="100"/>
        <v>0</v>
      </c>
      <c r="Q339" s="884">
        <f t="shared" si="109"/>
        <v>0</v>
      </c>
      <c r="R339" s="884">
        <f>IF(AND($AR$39="Early Payoff",I339&gt;=$R$13),0,IF($I339&lt;=$R$6,SUM($P$20:$P339),0))</f>
        <v>0</v>
      </c>
      <c r="S339" s="884">
        <f>IF(AND($AR$39="Early Payoff",I339&gt;=$R$13),0,IF($I339&lt;=$R$6,SUM($Q$20:$Q339),0))</f>
        <v>0</v>
      </c>
      <c r="T339" s="873">
        <f t="shared" si="110"/>
        <v>0</v>
      </c>
      <c r="U339" s="1110">
        <f t="shared" si="116"/>
        <v>0</v>
      </c>
      <c r="W339" s="1102">
        <f t="shared" si="101"/>
        <v>0</v>
      </c>
      <c r="X339" s="873">
        <f t="shared" si="102"/>
        <v>0</v>
      </c>
      <c r="Y339" s="873">
        <f t="shared" si="103"/>
        <v>0</v>
      </c>
      <c r="Z339" s="885">
        <f t="shared" si="104"/>
        <v>0</v>
      </c>
    </row>
    <row r="340" spans="2:26" s="278" customFormat="1" ht="12" customHeight="1" x14ac:dyDescent="0.25">
      <c r="B340" s="1192">
        <f t="shared" si="111"/>
        <v>340</v>
      </c>
      <c r="C340" s="732">
        <f t="shared" ref="C340:C403" si="117">DAY(EOMONTH(DATE($L340,$D340,1),0))</f>
        <v>28</v>
      </c>
      <c r="D340" s="35">
        <f t="shared" ref="D340:D403" si="118">INDEX($AS$22:$AT$34,MATCH($K340,$AS$22:$AS$34,0),MATCH("Number",$AS$22:$AT$22,0))</f>
        <v>2</v>
      </c>
      <c r="E340" s="889">
        <f t="shared" si="114"/>
        <v>57404</v>
      </c>
      <c r="F340" s="822">
        <f t="shared" ref="F340:F403" si="119">INDEX($AS$22:$AT$34,MATCH($K340,$AS$22:$AS$34,0),MATCH("Number",$AS$22:$AT$22,0))</f>
        <v>2</v>
      </c>
      <c r="G340" s="126">
        <f t="shared" ref="G340:G403" si="120">IF($S$4="Monthly",INDEX($AS$36:$AT$48,MATCH($K340,$AS$36:$AS$48,0),MATCH("Number",$AS$36:$AT$36,0)),0)</f>
        <v>0</v>
      </c>
      <c r="H340" s="1098">
        <f t="shared" si="115"/>
        <v>0</v>
      </c>
      <c r="I340" s="887">
        <f t="shared" si="112"/>
        <v>321</v>
      </c>
      <c r="J340" s="1099">
        <f t="shared" si="105"/>
        <v>321</v>
      </c>
      <c r="K340" s="891" t="str">
        <f t="shared" si="106"/>
        <v>February</v>
      </c>
      <c r="L340" s="888">
        <f t="shared" si="113"/>
        <v>2057</v>
      </c>
      <c r="M340" s="883">
        <f t="shared" si="107"/>
        <v>0</v>
      </c>
      <c r="N340" s="883">
        <f t="shared" si="108"/>
        <v>0</v>
      </c>
      <c r="O340" s="1100"/>
      <c r="P340" s="883">
        <f t="shared" ref="P340:P378" si="121">IF(AND($AR$39="Early Payoff",I340&gt;=$R$13),0,IF($I340&gt;$R$6,0,IF(AND($AQ$29&gt;0,$I340&lt;=$AQ$29),0,+$N340-$Q340)))</f>
        <v>0</v>
      </c>
      <c r="Q340" s="884">
        <f t="shared" si="109"/>
        <v>0</v>
      </c>
      <c r="R340" s="884">
        <f>IF(AND($AR$39="Early Payoff",I340&gt;=$R$13),0,IF($I340&lt;=$R$6,SUM($P$20:$P340),0))</f>
        <v>0</v>
      </c>
      <c r="S340" s="884">
        <f>IF(AND($AR$39="Early Payoff",I340&gt;=$R$13),0,IF($I340&lt;=$R$6,SUM($Q$20:$Q340),0))</f>
        <v>0</v>
      </c>
      <c r="T340" s="873">
        <f t="shared" si="110"/>
        <v>0</v>
      </c>
      <c r="U340" s="1110">
        <f t="shared" si="116"/>
        <v>0</v>
      </c>
      <c r="W340" s="1102">
        <f t="shared" ref="W340:W379" si="122">IF($I340&gt;$R$6,0,IF($I340&lt;=$AQ$27,0,IF(AND($X$5="%/Payment",$Z$5=0),$N340*$Y$5,IF(AND($X$5="%/Payment",$Z$5&gt;0,($N340*$Y$5)&lt;$Z$5),$N340*$Y$5,IF(AND($X$5="%/Payment",$Z$5&gt;0,($N340*$Y$5)&gt;$Z$5),-$Z$5,IF(AND($X$5="%/Balance",$Z$5=0),-$T340*$Y$5,IF(AND($X$5="%/Balance",$Z$5&gt;0,($T340*$Y$5)&lt;$Z$5),-$T340*$Y$5,IF(AND($X$5="%/Balance",$Z$5&gt;0,($T340*$Y$5)&gt;$Z$5),-$Z$5,IF($X$5="Fixed Amount",-$Y$5,IF($X$5="N/A",0))))))))))</f>
        <v>0</v>
      </c>
      <c r="X340" s="873">
        <f t="shared" ref="X340:X379" si="123">IF($I340&gt;$R$6,0,IF($I340&lt;=$AQ$27,0,IF(AND($X$6="%/Payment",$Z$6=0),$N340*$Y$6,IF(AND($X$6="%/Payment",$Z$6&gt;0,($N340*$Y$6)&lt;$Z$6),$N340*$Y$6,IF(AND($X$6="%/Payment",$Z$6&gt;0,($N340*$Y$6)&gt;$Z$6),-$Z$6,IF(AND($X$6="%/Balance",$Z$6=0),-$T340*$Y$6,IF(AND($X$6="%/Balance",$Z$6&gt;0,($T340*$Y$6)&lt;$Z$6),-$T340*$Y$6,IF(AND($X$6="%/Balance",$Z$6&gt;0,($T340*$Y$6)&gt;$Z$6),-$Z$6,IF($X$6="Fixed Amount",-$Y$6,IF($X$6="N/A",0))))))))))</f>
        <v>0</v>
      </c>
      <c r="Y340" s="873">
        <f t="shared" ref="Y340:Y379" si="124">IF($I340&gt;$R$6,0,IF($I340&lt;=$AQ$27,0,IF(AND($X$7="%/Payment",$Z$7=0),$N340*$Y$7,IF(AND($X$7="%/Payment",$Z$7&gt;0,($N340*$Y$7)&lt;$Z$7),$N340*$Y$7,IF(AND($X$7="%/Payment",$Z$7&gt;0,($N340*$Y$7)&gt;$Z$7),-$Z$7,IF(AND($X$7="%/Balance",$Z$7=0),-$T340*$Y$7,IF(AND($X$7="%/Balance",$Z$7&gt;0,($T340*$Y$7)&lt;$Z$7),-$T340*$Y$7,IF(AND($X$7="%/Balance",$Z$7&gt;0,($N340*$Y$7)&gt;$Z$7),-$Z$7,IF($X$7="Fixed Amount",-$Y$7,IF($X$7="N/A",0))))))))))</f>
        <v>0</v>
      </c>
      <c r="Z340" s="885">
        <f t="shared" ref="Z340:Z379" si="125">SUM($N340,$W340:$Y340)</f>
        <v>0</v>
      </c>
    </row>
    <row r="341" spans="2:26" s="278" customFormat="1" ht="12" customHeight="1" x14ac:dyDescent="0.25">
      <c r="B341" s="1192">
        <f t="shared" si="111"/>
        <v>341</v>
      </c>
      <c r="C341" s="732">
        <f t="shared" si="117"/>
        <v>31</v>
      </c>
      <c r="D341" s="35">
        <f t="shared" si="118"/>
        <v>3</v>
      </c>
      <c r="E341" s="889">
        <f t="shared" si="114"/>
        <v>57435</v>
      </c>
      <c r="F341" s="822">
        <f t="shared" si="119"/>
        <v>3</v>
      </c>
      <c r="G341" s="126">
        <f t="shared" si="120"/>
        <v>0</v>
      </c>
      <c r="H341" s="1098">
        <f t="shared" si="115"/>
        <v>0</v>
      </c>
      <c r="I341" s="887">
        <f t="shared" si="112"/>
        <v>322</v>
      </c>
      <c r="J341" s="1099">
        <f t="shared" ref="J341:J404" si="126">IF($I341&lt;=$AQ$29,0,IF($I340&gt;=$AQ$29,$J340+1))</f>
        <v>322</v>
      </c>
      <c r="K341" s="891" t="str">
        <f t="shared" ref="K341:K404" si="127">IF($S$4="Annual",$Q$5,IF(AND($S$4="Bi-Annual",$F340&lt;MAX($Q$4,$R$4)),INDEX($AT$22:$AU$34,MATCH(MAX($Q$4,$R$4),$AT$22:$AT$34,0),MATCH("Month",$AT$22:$AU$22,0)),IF(AND($S$4="Bi-Annual",$F340=MAX($Q$4,$R$4)),INDEX($AT$22:$AU$34,MATCH(MIN($Q$4,$R$4),$AT$22:$AT$34,0),MATCH("Month",$AT$22:$AU$22,0)),IF(AND($S$4="Monthly",$F340&lt;12),INDEX($AT$22:$AU$34,MATCH($F340+1,$AT$22:$AT$34,0),MATCH("Month",$AT$22:$AU$22,0)),IF(AND($S$4="Monthly",$F340=12),INDEX($AT$22:$AU$34,MATCH($F340-11,$AT$22:$AT$34,0),MATCH("Month",$AT$22:$AU$22,0)))))))</f>
        <v>March</v>
      </c>
      <c r="L341" s="888">
        <f t="shared" si="113"/>
        <v>2057</v>
      </c>
      <c r="M341" s="883">
        <f t="shared" ref="M341:M404" si="128">IF(AND($AR$39="Early Payoff",$I341&gt;$R$13),0,IF(AND($AR$39="Early Payoff",$I341&lt;$R$13),$T340,IF($I341&gt;$R$6,0,$T340)))</f>
        <v>0</v>
      </c>
      <c r="N341" s="883">
        <f t="shared" ref="N341:N378" si="129">IF(AND($AR$39="Early Payoff",I341&gt;=$R$13),0,IF($I341&gt;$R$6,0,IF(AND($AQ$29&gt;=0,$I341&lt;=$AQ$29),0,IF(AND($AQ$27&gt;=0,$I341&lt;=$AQ$27),$Q341,IF(AND($S$4="Annual",$AQ$27&gt;=0,$AQ$29&gt;=0,$I341&gt;$AQ$27,$I341&gt;$AQ$29),PMT($L$7,($R$6-$AQ$27),$L$4),IF(AND($S$4="Bi-Annual",$AQ$27&gt;=0,$AQ$29&gt;=0,$I341&gt;$AQ$27,$I341&gt;$AQ$29),PMT($L$7/2,($R$6-$AQ$27),$L$4),IF(AND($S$4="Monthly",$AQ$27&gt;=0,$AQ$29&gt;=0,$I341&gt;$AQ$27,$I341&gt;$AQ$29),PMT($L$7/12,($R$6-$AQ$27),$L$4))))))))-O341</f>
        <v>0</v>
      </c>
      <c r="O341" s="1100"/>
      <c r="P341" s="883">
        <f t="shared" si="121"/>
        <v>0</v>
      </c>
      <c r="Q341" s="884">
        <f t="shared" ref="Q341:Q378" si="130">IF(AND($AR$39="Early Payoff",I341&gt;=$R$13),0,IF($S$4="Annual",-$L$7*$T340*1,IF($S$4="Bi-Annual",(-$L$7/2)*$T340*1,IF($S$4="Monthly",(-$L$7/12)*$T340*1))))</f>
        <v>0</v>
      </c>
      <c r="R341" s="884">
        <f>IF(AND($AR$39="Early Payoff",I341&gt;=$R$13),0,IF($I341&lt;=$R$6,SUM($P$20:$P341),0))</f>
        <v>0</v>
      </c>
      <c r="S341" s="884">
        <f>IF(AND($AR$39="Early Payoff",I341&gt;=$R$13),0,IF($I341&lt;=$R$6,SUM($Q$20:$Q341),0))</f>
        <v>0</v>
      </c>
      <c r="T341" s="873">
        <f t="shared" ref="T341:T404" si="131">IF($J341&lt;=$R$13,SUM($M341,$P341),0)</f>
        <v>0</v>
      </c>
      <c r="U341" s="1110">
        <f t="shared" si="116"/>
        <v>0</v>
      </c>
      <c r="W341" s="1102">
        <f t="shared" si="122"/>
        <v>0</v>
      </c>
      <c r="X341" s="873">
        <f t="shared" si="123"/>
        <v>0</v>
      </c>
      <c r="Y341" s="873">
        <f t="shared" si="124"/>
        <v>0</v>
      </c>
      <c r="Z341" s="885">
        <f t="shared" si="125"/>
        <v>0</v>
      </c>
    </row>
    <row r="342" spans="2:26" s="278" customFormat="1" ht="12" customHeight="1" x14ac:dyDescent="0.25">
      <c r="B342" s="1192">
        <f t="shared" ref="B342:B405" si="132">B341+1</f>
        <v>342</v>
      </c>
      <c r="C342" s="732">
        <f t="shared" si="117"/>
        <v>30</v>
      </c>
      <c r="D342" s="35">
        <f t="shared" si="118"/>
        <v>4</v>
      </c>
      <c r="E342" s="889">
        <f t="shared" si="114"/>
        <v>57465</v>
      </c>
      <c r="F342" s="822">
        <f t="shared" si="119"/>
        <v>4</v>
      </c>
      <c r="G342" s="126">
        <f t="shared" si="120"/>
        <v>0</v>
      </c>
      <c r="H342" s="1098">
        <f t="shared" si="115"/>
        <v>0</v>
      </c>
      <c r="I342" s="887">
        <f t="shared" ref="I342:I405" si="133">I341+1</f>
        <v>323</v>
      </c>
      <c r="J342" s="1099">
        <f t="shared" si="126"/>
        <v>323</v>
      </c>
      <c r="K342" s="891" t="str">
        <f t="shared" si="127"/>
        <v>April</v>
      </c>
      <c r="L342" s="888">
        <f t="shared" ref="L342:L405" si="134">IF($S$4="Annual",$L341+$H342,IF($S$4="Bi-Annual",$L341+$H341,IF($S$4="Monthly",$L341+$G341)))</f>
        <v>2057</v>
      </c>
      <c r="M342" s="883">
        <f t="shared" si="128"/>
        <v>0</v>
      </c>
      <c r="N342" s="883">
        <f t="shared" si="129"/>
        <v>0</v>
      </c>
      <c r="O342" s="1100"/>
      <c r="P342" s="883">
        <f t="shared" si="121"/>
        <v>0</v>
      </c>
      <c r="Q342" s="884">
        <f t="shared" si="130"/>
        <v>0</v>
      </c>
      <c r="R342" s="884">
        <f>IF(AND($AR$39="Early Payoff",I342&gt;=$R$13),0,IF($I342&lt;=$R$6,SUM($P$20:$P342),0))</f>
        <v>0</v>
      </c>
      <c r="S342" s="884">
        <f>IF(AND($AR$39="Early Payoff",I342&gt;=$R$13),0,IF($I342&lt;=$R$6,SUM($Q$20:$Q342),0))</f>
        <v>0</v>
      </c>
      <c r="T342" s="873">
        <f t="shared" si="131"/>
        <v>0</v>
      </c>
      <c r="U342" s="1110">
        <f t="shared" si="116"/>
        <v>0</v>
      </c>
      <c r="W342" s="1102">
        <f t="shared" si="122"/>
        <v>0</v>
      </c>
      <c r="X342" s="873">
        <f t="shared" si="123"/>
        <v>0</v>
      </c>
      <c r="Y342" s="873">
        <f t="shared" si="124"/>
        <v>0</v>
      </c>
      <c r="Z342" s="885">
        <f t="shared" si="125"/>
        <v>0</v>
      </c>
    </row>
    <row r="343" spans="2:26" s="278" customFormat="1" ht="12" customHeight="1" x14ac:dyDescent="0.25">
      <c r="B343" s="1192">
        <f t="shared" si="132"/>
        <v>343</v>
      </c>
      <c r="C343" s="732">
        <f t="shared" si="117"/>
        <v>31</v>
      </c>
      <c r="D343" s="35">
        <f t="shared" si="118"/>
        <v>5</v>
      </c>
      <c r="E343" s="889">
        <f t="shared" ref="E343:E378" si="135">DATE(L343,D343,C343)</f>
        <v>57496</v>
      </c>
      <c r="F343" s="822">
        <f t="shared" si="119"/>
        <v>5</v>
      </c>
      <c r="G343" s="126">
        <f t="shared" si="120"/>
        <v>0</v>
      </c>
      <c r="H343" s="1098">
        <f t="shared" ref="H343:H406" si="136">IF($S$4="Annual",1,IF(AND($S$4="Bi-Annual",$F343&gt;$F344),1,IF(AND($S$4="Bi-Annual",$F343&lt;$F344),0,IF($S$4="Monthly",0,))))</f>
        <v>0</v>
      </c>
      <c r="I343" s="887">
        <f t="shared" si="133"/>
        <v>324</v>
      </c>
      <c r="J343" s="1099">
        <f t="shared" si="126"/>
        <v>324</v>
      </c>
      <c r="K343" s="891" t="str">
        <f t="shared" si="127"/>
        <v>May</v>
      </c>
      <c r="L343" s="888">
        <f t="shared" si="134"/>
        <v>2057</v>
      </c>
      <c r="M343" s="883">
        <f t="shared" si="128"/>
        <v>0</v>
      </c>
      <c r="N343" s="883">
        <f t="shared" si="129"/>
        <v>0</v>
      </c>
      <c r="O343" s="1100"/>
      <c r="P343" s="883">
        <f t="shared" si="121"/>
        <v>0</v>
      </c>
      <c r="Q343" s="884">
        <f t="shared" si="130"/>
        <v>0</v>
      </c>
      <c r="R343" s="884">
        <f>IF(AND($AR$39="Early Payoff",I343&gt;=$R$13),0,IF($I343&lt;=$R$6,SUM($P$20:$P343),0))</f>
        <v>0</v>
      </c>
      <c r="S343" s="884">
        <f>IF(AND($AR$39="Early Payoff",I343&gt;=$R$13),0,IF($I343&lt;=$R$6,SUM($Q$20:$Q343),0))</f>
        <v>0</v>
      </c>
      <c r="T343" s="873">
        <f t="shared" si="131"/>
        <v>0</v>
      </c>
      <c r="U343" s="1110">
        <f t="shared" si="116"/>
        <v>0</v>
      </c>
      <c r="W343" s="1102">
        <f t="shared" si="122"/>
        <v>0</v>
      </c>
      <c r="X343" s="873">
        <f t="shared" si="123"/>
        <v>0</v>
      </c>
      <c r="Y343" s="873">
        <f t="shared" si="124"/>
        <v>0</v>
      </c>
      <c r="Z343" s="885">
        <f t="shared" si="125"/>
        <v>0</v>
      </c>
    </row>
    <row r="344" spans="2:26" s="278" customFormat="1" ht="12" customHeight="1" x14ac:dyDescent="0.25">
      <c r="B344" s="1192">
        <f t="shared" si="132"/>
        <v>344</v>
      </c>
      <c r="C344" s="732">
        <f t="shared" si="117"/>
        <v>30</v>
      </c>
      <c r="D344" s="35">
        <f t="shared" si="118"/>
        <v>6</v>
      </c>
      <c r="E344" s="889">
        <f t="shared" si="135"/>
        <v>57526</v>
      </c>
      <c r="F344" s="822">
        <f t="shared" si="119"/>
        <v>6</v>
      </c>
      <c r="G344" s="126">
        <f t="shared" si="120"/>
        <v>0</v>
      </c>
      <c r="H344" s="1098">
        <f t="shared" si="136"/>
        <v>0</v>
      </c>
      <c r="I344" s="887">
        <f t="shared" si="133"/>
        <v>325</v>
      </c>
      <c r="J344" s="1099">
        <f t="shared" si="126"/>
        <v>325</v>
      </c>
      <c r="K344" s="891" t="str">
        <f t="shared" si="127"/>
        <v>June</v>
      </c>
      <c r="L344" s="888">
        <f t="shared" si="134"/>
        <v>2057</v>
      </c>
      <c r="M344" s="883">
        <f t="shared" si="128"/>
        <v>0</v>
      </c>
      <c r="N344" s="883">
        <f t="shared" si="129"/>
        <v>0</v>
      </c>
      <c r="O344" s="1100"/>
      <c r="P344" s="883">
        <f t="shared" si="121"/>
        <v>0</v>
      </c>
      <c r="Q344" s="884">
        <f t="shared" si="130"/>
        <v>0</v>
      </c>
      <c r="R344" s="884">
        <f>IF(AND($AR$39="Early Payoff",I344&gt;=$R$13),0,IF($I344&lt;=$R$6,SUM($P$20:$P344),0))</f>
        <v>0</v>
      </c>
      <c r="S344" s="884">
        <f>IF(AND($AR$39="Early Payoff",I344&gt;=$R$13),0,IF($I344&lt;=$R$6,SUM($Q$20:$Q344),0))</f>
        <v>0</v>
      </c>
      <c r="T344" s="873">
        <f t="shared" si="131"/>
        <v>0</v>
      </c>
      <c r="U344" s="1110">
        <f t="shared" ref="U344:U407" si="137">IF($S$4="Monthly",$M344,IF(AND(OR($S$4="Annual",$S$4="Bi-Annual"),$I344=$AQ$49),INDEX($I$19:$T$379,MATCH($AQ$49,$I$19:$I$2379,0),MATCH($T$19,$I$19:$T$19,0)),IF(AND(OR($S$4="Annual",$S$4="Bi-Annual"),$I344&lt;=$AQ$49),$M344,0)))</f>
        <v>0</v>
      </c>
      <c r="W344" s="1102">
        <f t="shared" si="122"/>
        <v>0</v>
      </c>
      <c r="X344" s="873">
        <f t="shared" si="123"/>
        <v>0</v>
      </c>
      <c r="Y344" s="873">
        <f t="shared" si="124"/>
        <v>0</v>
      </c>
      <c r="Z344" s="885">
        <f t="shared" si="125"/>
        <v>0</v>
      </c>
    </row>
    <row r="345" spans="2:26" s="278" customFormat="1" ht="12" customHeight="1" x14ac:dyDescent="0.25">
      <c r="B345" s="1192">
        <f t="shared" si="132"/>
        <v>345</v>
      </c>
      <c r="C345" s="732">
        <f t="shared" si="117"/>
        <v>31</v>
      </c>
      <c r="D345" s="35">
        <f t="shared" si="118"/>
        <v>7</v>
      </c>
      <c r="E345" s="889">
        <f t="shared" si="135"/>
        <v>57557</v>
      </c>
      <c r="F345" s="822">
        <f t="shared" si="119"/>
        <v>7</v>
      </c>
      <c r="G345" s="126">
        <f t="shared" si="120"/>
        <v>0</v>
      </c>
      <c r="H345" s="1098">
        <f t="shared" si="136"/>
        <v>0</v>
      </c>
      <c r="I345" s="887">
        <f t="shared" si="133"/>
        <v>326</v>
      </c>
      <c r="J345" s="1099">
        <f t="shared" si="126"/>
        <v>326</v>
      </c>
      <c r="K345" s="891" t="str">
        <f t="shared" si="127"/>
        <v>July</v>
      </c>
      <c r="L345" s="888">
        <f t="shared" si="134"/>
        <v>2057</v>
      </c>
      <c r="M345" s="883">
        <f t="shared" si="128"/>
        <v>0</v>
      </c>
      <c r="N345" s="883">
        <f t="shared" si="129"/>
        <v>0</v>
      </c>
      <c r="O345" s="1100"/>
      <c r="P345" s="883">
        <f t="shared" si="121"/>
        <v>0</v>
      </c>
      <c r="Q345" s="884">
        <f t="shared" si="130"/>
        <v>0</v>
      </c>
      <c r="R345" s="884">
        <f>IF(AND($AR$39="Early Payoff",I345&gt;=$R$13),0,IF($I345&lt;=$R$6,SUM($P$20:$P345),0))</f>
        <v>0</v>
      </c>
      <c r="S345" s="884">
        <f>IF(AND($AR$39="Early Payoff",I345&gt;=$R$13),0,IF($I345&lt;=$R$6,SUM($Q$20:$Q345),0))</f>
        <v>0</v>
      </c>
      <c r="T345" s="873">
        <f t="shared" si="131"/>
        <v>0</v>
      </c>
      <c r="U345" s="1110">
        <f t="shared" si="137"/>
        <v>0</v>
      </c>
      <c r="W345" s="1102">
        <f t="shared" si="122"/>
        <v>0</v>
      </c>
      <c r="X345" s="873">
        <f t="shared" si="123"/>
        <v>0</v>
      </c>
      <c r="Y345" s="873">
        <f t="shared" si="124"/>
        <v>0</v>
      </c>
      <c r="Z345" s="885">
        <f t="shared" si="125"/>
        <v>0</v>
      </c>
    </row>
    <row r="346" spans="2:26" s="278" customFormat="1" ht="12" customHeight="1" x14ac:dyDescent="0.25">
      <c r="B346" s="1192">
        <f t="shared" si="132"/>
        <v>346</v>
      </c>
      <c r="C346" s="732">
        <f t="shared" si="117"/>
        <v>31</v>
      </c>
      <c r="D346" s="35">
        <f t="shared" si="118"/>
        <v>8</v>
      </c>
      <c r="E346" s="889">
        <f t="shared" si="135"/>
        <v>57588</v>
      </c>
      <c r="F346" s="822">
        <f t="shared" si="119"/>
        <v>8</v>
      </c>
      <c r="G346" s="126">
        <f t="shared" si="120"/>
        <v>0</v>
      </c>
      <c r="H346" s="1098">
        <f t="shared" si="136"/>
        <v>0</v>
      </c>
      <c r="I346" s="887">
        <f t="shared" si="133"/>
        <v>327</v>
      </c>
      <c r="J346" s="1099">
        <f t="shared" si="126"/>
        <v>327</v>
      </c>
      <c r="K346" s="891" t="str">
        <f t="shared" si="127"/>
        <v>August</v>
      </c>
      <c r="L346" s="888">
        <f t="shared" si="134"/>
        <v>2057</v>
      </c>
      <c r="M346" s="883">
        <f t="shared" si="128"/>
        <v>0</v>
      </c>
      <c r="N346" s="883">
        <f t="shared" si="129"/>
        <v>0</v>
      </c>
      <c r="O346" s="1100"/>
      <c r="P346" s="883">
        <f t="shared" si="121"/>
        <v>0</v>
      </c>
      <c r="Q346" s="884">
        <f t="shared" si="130"/>
        <v>0</v>
      </c>
      <c r="R346" s="884">
        <f>IF(AND($AR$39="Early Payoff",I346&gt;=$R$13),0,IF($I346&lt;=$R$6,SUM($P$20:$P346),0))</f>
        <v>0</v>
      </c>
      <c r="S346" s="884">
        <f>IF(AND($AR$39="Early Payoff",I346&gt;=$R$13),0,IF($I346&lt;=$R$6,SUM($Q$20:$Q346),0))</f>
        <v>0</v>
      </c>
      <c r="T346" s="873">
        <f t="shared" si="131"/>
        <v>0</v>
      </c>
      <c r="U346" s="1110">
        <f t="shared" si="137"/>
        <v>0</v>
      </c>
      <c r="W346" s="1102">
        <f t="shared" si="122"/>
        <v>0</v>
      </c>
      <c r="X346" s="873">
        <f t="shared" si="123"/>
        <v>0</v>
      </c>
      <c r="Y346" s="873">
        <f t="shared" si="124"/>
        <v>0</v>
      </c>
      <c r="Z346" s="885">
        <f t="shared" si="125"/>
        <v>0</v>
      </c>
    </row>
    <row r="347" spans="2:26" s="278" customFormat="1" ht="12" customHeight="1" x14ac:dyDescent="0.25">
      <c r="B347" s="1192">
        <f t="shared" si="132"/>
        <v>347</v>
      </c>
      <c r="C347" s="732">
        <f t="shared" si="117"/>
        <v>30</v>
      </c>
      <c r="D347" s="35">
        <f t="shared" si="118"/>
        <v>9</v>
      </c>
      <c r="E347" s="889">
        <f t="shared" si="135"/>
        <v>57618</v>
      </c>
      <c r="F347" s="822">
        <f t="shared" si="119"/>
        <v>9</v>
      </c>
      <c r="G347" s="126">
        <f t="shared" si="120"/>
        <v>0</v>
      </c>
      <c r="H347" s="1098">
        <f t="shared" si="136"/>
        <v>0</v>
      </c>
      <c r="I347" s="887">
        <f t="shared" si="133"/>
        <v>328</v>
      </c>
      <c r="J347" s="1099">
        <f t="shared" si="126"/>
        <v>328</v>
      </c>
      <c r="K347" s="891" t="str">
        <f t="shared" si="127"/>
        <v>September</v>
      </c>
      <c r="L347" s="888">
        <f t="shared" si="134"/>
        <v>2057</v>
      </c>
      <c r="M347" s="883">
        <f t="shared" si="128"/>
        <v>0</v>
      </c>
      <c r="N347" s="883">
        <f t="shared" si="129"/>
        <v>0</v>
      </c>
      <c r="O347" s="1100"/>
      <c r="P347" s="883">
        <f t="shared" si="121"/>
        <v>0</v>
      </c>
      <c r="Q347" s="884">
        <f t="shared" si="130"/>
        <v>0</v>
      </c>
      <c r="R347" s="884">
        <f>IF(AND($AR$39="Early Payoff",I347&gt;=$R$13),0,IF($I347&lt;=$R$6,SUM($P$20:$P347),0))</f>
        <v>0</v>
      </c>
      <c r="S347" s="884">
        <f>IF(AND($AR$39="Early Payoff",I347&gt;=$R$13),0,IF($I347&lt;=$R$6,SUM($Q$20:$Q347),0))</f>
        <v>0</v>
      </c>
      <c r="T347" s="873">
        <f t="shared" si="131"/>
        <v>0</v>
      </c>
      <c r="U347" s="1110">
        <f t="shared" si="137"/>
        <v>0</v>
      </c>
      <c r="W347" s="1102">
        <f t="shared" si="122"/>
        <v>0</v>
      </c>
      <c r="X347" s="873">
        <f t="shared" si="123"/>
        <v>0</v>
      </c>
      <c r="Y347" s="873">
        <f t="shared" si="124"/>
        <v>0</v>
      </c>
      <c r="Z347" s="885">
        <f t="shared" si="125"/>
        <v>0</v>
      </c>
    </row>
    <row r="348" spans="2:26" s="278" customFormat="1" ht="12" customHeight="1" x14ac:dyDescent="0.25">
      <c r="B348" s="1192">
        <f t="shared" si="132"/>
        <v>348</v>
      </c>
      <c r="C348" s="732">
        <f t="shared" si="117"/>
        <v>31</v>
      </c>
      <c r="D348" s="35">
        <f t="shared" si="118"/>
        <v>10</v>
      </c>
      <c r="E348" s="889">
        <f t="shared" si="135"/>
        <v>57649</v>
      </c>
      <c r="F348" s="822">
        <f t="shared" si="119"/>
        <v>10</v>
      </c>
      <c r="G348" s="126">
        <f t="shared" si="120"/>
        <v>0</v>
      </c>
      <c r="H348" s="1098">
        <f t="shared" si="136"/>
        <v>0</v>
      </c>
      <c r="I348" s="887">
        <f t="shared" si="133"/>
        <v>329</v>
      </c>
      <c r="J348" s="1099">
        <f t="shared" si="126"/>
        <v>329</v>
      </c>
      <c r="K348" s="891" t="str">
        <f t="shared" si="127"/>
        <v>October</v>
      </c>
      <c r="L348" s="888">
        <f t="shared" si="134"/>
        <v>2057</v>
      </c>
      <c r="M348" s="883">
        <f t="shared" si="128"/>
        <v>0</v>
      </c>
      <c r="N348" s="883">
        <f t="shared" si="129"/>
        <v>0</v>
      </c>
      <c r="O348" s="1100"/>
      <c r="P348" s="883">
        <f t="shared" si="121"/>
        <v>0</v>
      </c>
      <c r="Q348" s="884">
        <f t="shared" si="130"/>
        <v>0</v>
      </c>
      <c r="R348" s="884">
        <f>IF(AND($AR$39="Early Payoff",I348&gt;=$R$13),0,IF($I348&lt;=$R$6,SUM($P$20:$P348),0))</f>
        <v>0</v>
      </c>
      <c r="S348" s="884">
        <f>IF(AND($AR$39="Early Payoff",I348&gt;=$R$13),0,IF($I348&lt;=$R$6,SUM($Q$20:$Q348),0))</f>
        <v>0</v>
      </c>
      <c r="T348" s="873">
        <f t="shared" si="131"/>
        <v>0</v>
      </c>
      <c r="U348" s="1110">
        <f t="shared" si="137"/>
        <v>0</v>
      </c>
      <c r="W348" s="1102">
        <f t="shared" si="122"/>
        <v>0</v>
      </c>
      <c r="X348" s="873">
        <f t="shared" si="123"/>
        <v>0</v>
      </c>
      <c r="Y348" s="873">
        <f t="shared" si="124"/>
        <v>0</v>
      </c>
      <c r="Z348" s="885">
        <f t="shared" si="125"/>
        <v>0</v>
      </c>
    </row>
    <row r="349" spans="2:26" s="278" customFormat="1" ht="12" customHeight="1" x14ac:dyDescent="0.25">
      <c r="B349" s="1192">
        <f t="shared" si="132"/>
        <v>349</v>
      </c>
      <c r="C349" s="732">
        <f t="shared" si="117"/>
        <v>30</v>
      </c>
      <c r="D349" s="35">
        <f t="shared" si="118"/>
        <v>11</v>
      </c>
      <c r="E349" s="889">
        <f t="shared" si="135"/>
        <v>57679</v>
      </c>
      <c r="F349" s="822">
        <f t="shared" si="119"/>
        <v>11</v>
      </c>
      <c r="G349" s="126">
        <f t="shared" si="120"/>
        <v>0</v>
      </c>
      <c r="H349" s="1098">
        <f t="shared" si="136"/>
        <v>0</v>
      </c>
      <c r="I349" s="887">
        <f t="shared" si="133"/>
        <v>330</v>
      </c>
      <c r="J349" s="1099">
        <f t="shared" si="126"/>
        <v>330</v>
      </c>
      <c r="K349" s="891" t="str">
        <f t="shared" si="127"/>
        <v>November</v>
      </c>
      <c r="L349" s="888">
        <f t="shared" si="134"/>
        <v>2057</v>
      </c>
      <c r="M349" s="883">
        <f t="shared" si="128"/>
        <v>0</v>
      </c>
      <c r="N349" s="883">
        <f t="shared" si="129"/>
        <v>0</v>
      </c>
      <c r="O349" s="1100"/>
      <c r="P349" s="883">
        <f t="shared" si="121"/>
        <v>0</v>
      </c>
      <c r="Q349" s="884">
        <f t="shared" si="130"/>
        <v>0</v>
      </c>
      <c r="R349" s="884">
        <f>IF(AND($AR$39="Early Payoff",I349&gt;=$R$13),0,IF($I349&lt;=$R$6,SUM($P$20:$P349),0))</f>
        <v>0</v>
      </c>
      <c r="S349" s="884">
        <f>IF(AND($AR$39="Early Payoff",I349&gt;=$R$13),0,IF($I349&lt;=$R$6,SUM($Q$20:$Q349),0))</f>
        <v>0</v>
      </c>
      <c r="T349" s="873">
        <f t="shared" si="131"/>
        <v>0</v>
      </c>
      <c r="U349" s="1110">
        <f t="shared" si="137"/>
        <v>0</v>
      </c>
      <c r="W349" s="1102">
        <f t="shared" si="122"/>
        <v>0</v>
      </c>
      <c r="X349" s="873">
        <f t="shared" si="123"/>
        <v>0</v>
      </c>
      <c r="Y349" s="873">
        <f t="shared" si="124"/>
        <v>0</v>
      </c>
      <c r="Z349" s="885">
        <f t="shared" si="125"/>
        <v>0</v>
      </c>
    </row>
    <row r="350" spans="2:26" s="278" customFormat="1" ht="12" customHeight="1" x14ac:dyDescent="0.25">
      <c r="B350" s="1192">
        <f t="shared" si="132"/>
        <v>350</v>
      </c>
      <c r="C350" s="732">
        <f t="shared" si="117"/>
        <v>31</v>
      </c>
      <c r="D350" s="35">
        <f t="shared" si="118"/>
        <v>12</v>
      </c>
      <c r="E350" s="889">
        <f t="shared" si="135"/>
        <v>57710</v>
      </c>
      <c r="F350" s="822">
        <f t="shared" si="119"/>
        <v>12</v>
      </c>
      <c r="G350" s="126">
        <f t="shared" si="120"/>
        <v>1</v>
      </c>
      <c r="H350" s="1098">
        <f t="shared" si="136"/>
        <v>0</v>
      </c>
      <c r="I350" s="887">
        <f t="shared" si="133"/>
        <v>331</v>
      </c>
      <c r="J350" s="1099">
        <f t="shared" si="126"/>
        <v>331</v>
      </c>
      <c r="K350" s="891" t="str">
        <f t="shared" si="127"/>
        <v>December</v>
      </c>
      <c r="L350" s="888">
        <f t="shared" si="134"/>
        <v>2057</v>
      </c>
      <c r="M350" s="883">
        <f t="shared" si="128"/>
        <v>0</v>
      </c>
      <c r="N350" s="883">
        <f t="shared" si="129"/>
        <v>0</v>
      </c>
      <c r="O350" s="1100"/>
      <c r="P350" s="883">
        <f t="shared" si="121"/>
        <v>0</v>
      </c>
      <c r="Q350" s="884">
        <f t="shared" si="130"/>
        <v>0</v>
      </c>
      <c r="R350" s="884">
        <f>IF(AND($AR$39="Early Payoff",I350&gt;=$R$13),0,IF($I350&lt;=$R$6,SUM($P$20:$P350),0))</f>
        <v>0</v>
      </c>
      <c r="S350" s="884">
        <f>IF(AND($AR$39="Early Payoff",I350&gt;=$R$13),0,IF($I350&lt;=$R$6,SUM($Q$20:$Q350),0))</f>
        <v>0</v>
      </c>
      <c r="T350" s="873">
        <f t="shared" si="131"/>
        <v>0</v>
      </c>
      <c r="U350" s="1110">
        <f t="shared" si="137"/>
        <v>0</v>
      </c>
      <c r="W350" s="1102">
        <f t="shared" si="122"/>
        <v>0</v>
      </c>
      <c r="X350" s="873">
        <f t="shared" si="123"/>
        <v>0</v>
      </c>
      <c r="Y350" s="873">
        <f t="shared" si="124"/>
        <v>0</v>
      </c>
      <c r="Z350" s="885">
        <f t="shared" si="125"/>
        <v>0</v>
      </c>
    </row>
    <row r="351" spans="2:26" s="278" customFormat="1" ht="12" customHeight="1" x14ac:dyDescent="0.25">
      <c r="B351" s="1192">
        <f t="shared" si="132"/>
        <v>351</v>
      </c>
      <c r="C351" s="732">
        <f t="shared" si="117"/>
        <v>31</v>
      </c>
      <c r="D351" s="35">
        <f t="shared" si="118"/>
        <v>1</v>
      </c>
      <c r="E351" s="889">
        <f t="shared" si="135"/>
        <v>57741</v>
      </c>
      <c r="F351" s="822">
        <f t="shared" si="119"/>
        <v>1</v>
      </c>
      <c r="G351" s="126">
        <f t="shared" si="120"/>
        <v>0</v>
      </c>
      <c r="H351" s="1098">
        <f t="shared" si="136"/>
        <v>0</v>
      </c>
      <c r="I351" s="887">
        <f t="shared" si="133"/>
        <v>332</v>
      </c>
      <c r="J351" s="1099">
        <f t="shared" si="126"/>
        <v>332</v>
      </c>
      <c r="K351" s="891" t="str">
        <f t="shared" si="127"/>
        <v>January</v>
      </c>
      <c r="L351" s="888">
        <f t="shared" si="134"/>
        <v>2058</v>
      </c>
      <c r="M351" s="883">
        <f t="shared" si="128"/>
        <v>0</v>
      </c>
      <c r="N351" s="883">
        <f t="shared" si="129"/>
        <v>0</v>
      </c>
      <c r="O351" s="1100"/>
      <c r="P351" s="883">
        <f t="shared" si="121"/>
        <v>0</v>
      </c>
      <c r="Q351" s="884">
        <f t="shared" si="130"/>
        <v>0</v>
      </c>
      <c r="R351" s="884">
        <f>IF(AND($AR$39="Early Payoff",I351&gt;=$R$13),0,IF($I351&lt;=$R$6,SUM($P$20:$P351),0))</f>
        <v>0</v>
      </c>
      <c r="S351" s="884">
        <f>IF(AND($AR$39="Early Payoff",I351&gt;=$R$13),0,IF($I351&lt;=$R$6,SUM($Q$20:$Q351),0))</f>
        <v>0</v>
      </c>
      <c r="T351" s="873">
        <f t="shared" si="131"/>
        <v>0</v>
      </c>
      <c r="U351" s="1110">
        <f t="shared" si="137"/>
        <v>0</v>
      </c>
      <c r="W351" s="1102">
        <f t="shared" si="122"/>
        <v>0</v>
      </c>
      <c r="X351" s="873">
        <f t="shared" si="123"/>
        <v>0</v>
      </c>
      <c r="Y351" s="873">
        <f t="shared" si="124"/>
        <v>0</v>
      </c>
      <c r="Z351" s="885">
        <f t="shared" si="125"/>
        <v>0</v>
      </c>
    </row>
    <row r="352" spans="2:26" s="278" customFormat="1" ht="12" customHeight="1" x14ac:dyDescent="0.25">
      <c r="B352" s="1192">
        <f t="shared" si="132"/>
        <v>352</v>
      </c>
      <c r="C352" s="732">
        <f t="shared" si="117"/>
        <v>28</v>
      </c>
      <c r="D352" s="35">
        <f t="shared" si="118"/>
        <v>2</v>
      </c>
      <c r="E352" s="889">
        <f t="shared" si="135"/>
        <v>57769</v>
      </c>
      <c r="F352" s="822">
        <f t="shared" si="119"/>
        <v>2</v>
      </c>
      <c r="G352" s="126">
        <f t="shared" si="120"/>
        <v>0</v>
      </c>
      <c r="H352" s="1098">
        <f t="shared" si="136"/>
        <v>0</v>
      </c>
      <c r="I352" s="887">
        <f t="shared" si="133"/>
        <v>333</v>
      </c>
      <c r="J352" s="1099">
        <f t="shared" si="126"/>
        <v>333</v>
      </c>
      <c r="K352" s="891" t="str">
        <f t="shared" si="127"/>
        <v>February</v>
      </c>
      <c r="L352" s="888">
        <f t="shared" si="134"/>
        <v>2058</v>
      </c>
      <c r="M352" s="883">
        <f t="shared" si="128"/>
        <v>0</v>
      </c>
      <c r="N352" s="883">
        <f t="shared" si="129"/>
        <v>0</v>
      </c>
      <c r="O352" s="1100"/>
      <c r="P352" s="883">
        <f t="shared" si="121"/>
        <v>0</v>
      </c>
      <c r="Q352" s="884">
        <f t="shared" si="130"/>
        <v>0</v>
      </c>
      <c r="R352" s="884">
        <f>IF(AND($AR$39="Early Payoff",I352&gt;=$R$13),0,IF($I352&lt;=$R$6,SUM($P$20:$P352),0))</f>
        <v>0</v>
      </c>
      <c r="S352" s="884">
        <f>IF(AND($AR$39="Early Payoff",I352&gt;=$R$13),0,IF($I352&lt;=$R$6,SUM($Q$20:$Q352),0))</f>
        <v>0</v>
      </c>
      <c r="T352" s="873">
        <f t="shared" si="131"/>
        <v>0</v>
      </c>
      <c r="U352" s="1110">
        <f t="shared" si="137"/>
        <v>0</v>
      </c>
      <c r="W352" s="1102">
        <f t="shared" si="122"/>
        <v>0</v>
      </c>
      <c r="X352" s="873">
        <f t="shared" si="123"/>
        <v>0</v>
      </c>
      <c r="Y352" s="873">
        <f t="shared" si="124"/>
        <v>0</v>
      </c>
      <c r="Z352" s="885">
        <f t="shared" si="125"/>
        <v>0</v>
      </c>
    </row>
    <row r="353" spans="2:26" s="278" customFormat="1" ht="12" customHeight="1" x14ac:dyDescent="0.25">
      <c r="B353" s="1192">
        <f t="shared" si="132"/>
        <v>353</v>
      </c>
      <c r="C353" s="732">
        <f t="shared" si="117"/>
        <v>31</v>
      </c>
      <c r="D353" s="35">
        <f t="shared" si="118"/>
        <v>3</v>
      </c>
      <c r="E353" s="889">
        <f t="shared" si="135"/>
        <v>57800</v>
      </c>
      <c r="F353" s="822">
        <f t="shared" si="119"/>
        <v>3</v>
      </c>
      <c r="G353" s="126">
        <f t="shared" si="120"/>
        <v>0</v>
      </c>
      <c r="H353" s="1098">
        <f t="shared" si="136"/>
        <v>0</v>
      </c>
      <c r="I353" s="887">
        <f t="shared" si="133"/>
        <v>334</v>
      </c>
      <c r="J353" s="1099">
        <f t="shared" si="126"/>
        <v>334</v>
      </c>
      <c r="K353" s="891" t="str">
        <f t="shared" si="127"/>
        <v>March</v>
      </c>
      <c r="L353" s="888">
        <f t="shared" si="134"/>
        <v>2058</v>
      </c>
      <c r="M353" s="883">
        <f t="shared" si="128"/>
        <v>0</v>
      </c>
      <c r="N353" s="883">
        <f t="shared" si="129"/>
        <v>0</v>
      </c>
      <c r="O353" s="1100"/>
      <c r="P353" s="883">
        <f t="shared" si="121"/>
        <v>0</v>
      </c>
      <c r="Q353" s="884">
        <f t="shared" si="130"/>
        <v>0</v>
      </c>
      <c r="R353" s="884">
        <f>IF(AND($AR$39="Early Payoff",I353&gt;=$R$13),0,IF($I353&lt;=$R$6,SUM($P$20:$P353),0))</f>
        <v>0</v>
      </c>
      <c r="S353" s="884">
        <f>IF(AND($AR$39="Early Payoff",I353&gt;=$R$13),0,IF($I353&lt;=$R$6,SUM($Q$20:$Q353),0))</f>
        <v>0</v>
      </c>
      <c r="T353" s="873">
        <f t="shared" si="131"/>
        <v>0</v>
      </c>
      <c r="U353" s="1110">
        <f t="shared" si="137"/>
        <v>0</v>
      </c>
      <c r="W353" s="1102">
        <f t="shared" si="122"/>
        <v>0</v>
      </c>
      <c r="X353" s="873">
        <f t="shared" si="123"/>
        <v>0</v>
      </c>
      <c r="Y353" s="873">
        <f t="shared" si="124"/>
        <v>0</v>
      </c>
      <c r="Z353" s="885">
        <f t="shared" si="125"/>
        <v>0</v>
      </c>
    </row>
    <row r="354" spans="2:26" s="278" customFormat="1" ht="12" customHeight="1" x14ac:dyDescent="0.25">
      <c r="B354" s="1192">
        <f t="shared" si="132"/>
        <v>354</v>
      </c>
      <c r="C354" s="732">
        <f t="shared" si="117"/>
        <v>30</v>
      </c>
      <c r="D354" s="35">
        <f t="shared" si="118"/>
        <v>4</v>
      </c>
      <c r="E354" s="889">
        <f t="shared" si="135"/>
        <v>57830</v>
      </c>
      <c r="F354" s="822">
        <f t="shared" si="119"/>
        <v>4</v>
      </c>
      <c r="G354" s="126">
        <f t="shared" si="120"/>
        <v>0</v>
      </c>
      <c r="H354" s="1098">
        <f t="shared" si="136"/>
        <v>0</v>
      </c>
      <c r="I354" s="887">
        <f t="shared" si="133"/>
        <v>335</v>
      </c>
      <c r="J354" s="1099">
        <f t="shared" si="126"/>
        <v>335</v>
      </c>
      <c r="K354" s="891" t="str">
        <f t="shared" si="127"/>
        <v>April</v>
      </c>
      <c r="L354" s="888">
        <f t="shared" si="134"/>
        <v>2058</v>
      </c>
      <c r="M354" s="883">
        <f t="shared" si="128"/>
        <v>0</v>
      </c>
      <c r="N354" s="883">
        <f t="shared" si="129"/>
        <v>0</v>
      </c>
      <c r="O354" s="1100"/>
      <c r="P354" s="883">
        <f t="shared" si="121"/>
        <v>0</v>
      </c>
      <c r="Q354" s="884">
        <f t="shared" si="130"/>
        <v>0</v>
      </c>
      <c r="R354" s="884">
        <f>IF(AND($AR$39="Early Payoff",I354&gt;=$R$13),0,IF($I354&lt;=$R$6,SUM($P$20:$P354),0))</f>
        <v>0</v>
      </c>
      <c r="S354" s="884">
        <f>IF(AND($AR$39="Early Payoff",I354&gt;=$R$13),0,IF($I354&lt;=$R$6,SUM($Q$20:$Q354),0))</f>
        <v>0</v>
      </c>
      <c r="T354" s="873">
        <f t="shared" si="131"/>
        <v>0</v>
      </c>
      <c r="U354" s="1110">
        <f t="shared" si="137"/>
        <v>0</v>
      </c>
      <c r="W354" s="1102">
        <f t="shared" si="122"/>
        <v>0</v>
      </c>
      <c r="X354" s="873">
        <f t="shared" si="123"/>
        <v>0</v>
      </c>
      <c r="Y354" s="873">
        <f t="shared" si="124"/>
        <v>0</v>
      </c>
      <c r="Z354" s="885">
        <f t="shared" si="125"/>
        <v>0</v>
      </c>
    </row>
    <row r="355" spans="2:26" s="278" customFormat="1" ht="12" customHeight="1" x14ac:dyDescent="0.25">
      <c r="B355" s="1192">
        <f t="shared" si="132"/>
        <v>355</v>
      </c>
      <c r="C355" s="732">
        <f t="shared" si="117"/>
        <v>31</v>
      </c>
      <c r="D355" s="35">
        <f t="shared" si="118"/>
        <v>5</v>
      </c>
      <c r="E355" s="889">
        <f t="shared" si="135"/>
        <v>57861</v>
      </c>
      <c r="F355" s="822">
        <f t="shared" si="119"/>
        <v>5</v>
      </c>
      <c r="G355" s="126">
        <f t="shared" si="120"/>
        <v>0</v>
      </c>
      <c r="H355" s="1098">
        <f t="shared" si="136"/>
        <v>0</v>
      </c>
      <c r="I355" s="887">
        <f t="shared" si="133"/>
        <v>336</v>
      </c>
      <c r="J355" s="1099">
        <f t="shared" si="126"/>
        <v>336</v>
      </c>
      <c r="K355" s="891" t="str">
        <f t="shared" si="127"/>
        <v>May</v>
      </c>
      <c r="L355" s="888">
        <f t="shared" si="134"/>
        <v>2058</v>
      </c>
      <c r="M355" s="883">
        <f t="shared" si="128"/>
        <v>0</v>
      </c>
      <c r="N355" s="883">
        <f t="shared" si="129"/>
        <v>0</v>
      </c>
      <c r="O355" s="1100"/>
      <c r="P355" s="883">
        <f t="shared" si="121"/>
        <v>0</v>
      </c>
      <c r="Q355" s="884">
        <f t="shared" si="130"/>
        <v>0</v>
      </c>
      <c r="R355" s="884">
        <f>IF(AND($AR$39="Early Payoff",I355&gt;=$R$13),0,IF($I355&lt;=$R$6,SUM($P$20:$P355),0))</f>
        <v>0</v>
      </c>
      <c r="S355" s="884">
        <f>IF(AND($AR$39="Early Payoff",I355&gt;=$R$13),0,IF($I355&lt;=$R$6,SUM($Q$20:$Q355),0))</f>
        <v>0</v>
      </c>
      <c r="T355" s="873">
        <f t="shared" si="131"/>
        <v>0</v>
      </c>
      <c r="U355" s="1110">
        <f t="shared" si="137"/>
        <v>0</v>
      </c>
      <c r="W355" s="1102">
        <f t="shared" si="122"/>
        <v>0</v>
      </c>
      <c r="X355" s="873">
        <f t="shared" si="123"/>
        <v>0</v>
      </c>
      <c r="Y355" s="873">
        <f t="shared" si="124"/>
        <v>0</v>
      </c>
      <c r="Z355" s="885">
        <f t="shared" si="125"/>
        <v>0</v>
      </c>
    </row>
    <row r="356" spans="2:26" s="278" customFormat="1" ht="12" customHeight="1" x14ac:dyDescent="0.25">
      <c r="B356" s="1192">
        <f t="shared" si="132"/>
        <v>356</v>
      </c>
      <c r="C356" s="732">
        <f t="shared" si="117"/>
        <v>30</v>
      </c>
      <c r="D356" s="35">
        <f t="shared" si="118"/>
        <v>6</v>
      </c>
      <c r="E356" s="889">
        <f t="shared" si="135"/>
        <v>57891</v>
      </c>
      <c r="F356" s="822">
        <f t="shared" si="119"/>
        <v>6</v>
      </c>
      <c r="G356" s="126">
        <f t="shared" si="120"/>
        <v>0</v>
      </c>
      <c r="H356" s="1098">
        <f t="shared" si="136"/>
        <v>0</v>
      </c>
      <c r="I356" s="887">
        <f t="shared" si="133"/>
        <v>337</v>
      </c>
      <c r="J356" s="1099">
        <f t="shared" si="126"/>
        <v>337</v>
      </c>
      <c r="K356" s="891" t="str">
        <f t="shared" si="127"/>
        <v>June</v>
      </c>
      <c r="L356" s="888">
        <f t="shared" si="134"/>
        <v>2058</v>
      </c>
      <c r="M356" s="883">
        <f t="shared" si="128"/>
        <v>0</v>
      </c>
      <c r="N356" s="883">
        <f t="shared" si="129"/>
        <v>0</v>
      </c>
      <c r="O356" s="1100"/>
      <c r="P356" s="883">
        <f t="shared" si="121"/>
        <v>0</v>
      </c>
      <c r="Q356" s="884">
        <f t="shared" si="130"/>
        <v>0</v>
      </c>
      <c r="R356" s="884">
        <f>IF(AND($AR$39="Early Payoff",I356&gt;=$R$13),0,IF($I356&lt;=$R$6,SUM($P$20:$P356),0))</f>
        <v>0</v>
      </c>
      <c r="S356" s="884">
        <f>IF(AND($AR$39="Early Payoff",I356&gt;=$R$13),0,IF($I356&lt;=$R$6,SUM($Q$20:$Q356),0))</f>
        <v>0</v>
      </c>
      <c r="T356" s="873">
        <f t="shared" si="131"/>
        <v>0</v>
      </c>
      <c r="U356" s="1110">
        <f t="shared" si="137"/>
        <v>0</v>
      </c>
      <c r="W356" s="1102">
        <f t="shared" si="122"/>
        <v>0</v>
      </c>
      <c r="X356" s="873">
        <f t="shared" si="123"/>
        <v>0</v>
      </c>
      <c r="Y356" s="873">
        <f t="shared" si="124"/>
        <v>0</v>
      </c>
      <c r="Z356" s="885">
        <f t="shared" si="125"/>
        <v>0</v>
      </c>
    </row>
    <row r="357" spans="2:26" s="278" customFormat="1" ht="12" customHeight="1" x14ac:dyDescent="0.25">
      <c r="B357" s="1192">
        <f t="shared" si="132"/>
        <v>357</v>
      </c>
      <c r="C357" s="732">
        <f t="shared" si="117"/>
        <v>31</v>
      </c>
      <c r="D357" s="35">
        <f t="shared" si="118"/>
        <v>7</v>
      </c>
      <c r="E357" s="889">
        <f t="shared" si="135"/>
        <v>57922</v>
      </c>
      <c r="F357" s="822">
        <f t="shared" si="119"/>
        <v>7</v>
      </c>
      <c r="G357" s="126">
        <f t="shared" si="120"/>
        <v>0</v>
      </c>
      <c r="H357" s="1098">
        <f t="shared" si="136"/>
        <v>0</v>
      </c>
      <c r="I357" s="887">
        <f t="shared" si="133"/>
        <v>338</v>
      </c>
      <c r="J357" s="1099">
        <f t="shared" si="126"/>
        <v>338</v>
      </c>
      <c r="K357" s="891" t="str">
        <f t="shared" si="127"/>
        <v>July</v>
      </c>
      <c r="L357" s="888">
        <f t="shared" si="134"/>
        <v>2058</v>
      </c>
      <c r="M357" s="883">
        <f t="shared" si="128"/>
        <v>0</v>
      </c>
      <c r="N357" s="883">
        <f t="shared" si="129"/>
        <v>0</v>
      </c>
      <c r="O357" s="1100"/>
      <c r="P357" s="883">
        <f t="shared" si="121"/>
        <v>0</v>
      </c>
      <c r="Q357" s="884">
        <f t="shared" si="130"/>
        <v>0</v>
      </c>
      <c r="R357" s="884">
        <f>IF(AND($AR$39="Early Payoff",I357&gt;=$R$13),0,IF($I357&lt;=$R$6,SUM($P$20:$P357),0))</f>
        <v>0</v>
      </c>
      <c r="S357" s="884">
        <f>IF(AND($AR$39="Early Payoff",I357&gt;=$R$13),0,IF($I357&lt;=$R$6,SUM($Q$20:$Q357),0))</f>
        <v>0</v>
      </c>
      <c r="T357" s="873">
        <f t="shared" si="131"/>
        <v>0</v>
      </c>
      <c r="U357" s="1110">
        <f t="shared" si="137"/>
        <v>0</v>
      </c>
      <c r="W357" s="1102">
        <f t="shared" si="122"/>
        <v>0</v>
      </c>
      <c r="X357" s="873">
        <f t="shared" si="123"/>
        <v>0</v>
      </c>
      <c r="Y357" s="873">
        <f t="shared" si="124"/>
        <v>0</v>
      </c>
      <c r="Z357" s="885">
        <f t="shared" si="125"/>
        <v>0</v>
      </c>
    </row>
    <row r="358" spans="2:26" s="278" customFormat="1" ht="12" customHeight="1" x14ac:dyDescent="0.25">
      <c r="B358" s="1192">
        <f t="shared" si="132"/>
        <v>358</v>
      </c>
      <c r="C358" s="732">
        <f t="shared" si="117"/>
        <v>31</v>
      </c>
      <c r="D358" s="35">
        <f t="shared" si="118"/>
        <v>8</v>
      </c>
      <c r="E358" s="889">
        <f t="shared" si="135"/>
        <v>57953</v>
      </c>
      <c r="F358" s="822">
        <f t="shared" si="119"/>
        <v>8</v>
      </c>
      <c r="G358" s="126">
        <f t="shared" si="120"/>
        <v>0</v>
      </c>
      <c r="H358" s="1098">
        <f t="shared" si="136"/>
        <v>0</v>
      </c>
      <c r="I358" s="887">
        <f t="shared" si="133"/>
        <v>339</v>
      </c>
      <c r="J358" s="1099">
        <f t="shared" si="126"/>
        <v>339</v>
      </c>
      <c r="K358" s="891" t="str">
        <f t="shared" si="127"/>
        <v>August</v>
      </c>
      <c r="L358" s="888">
        <f t="shared" si="134"/>
        <v>2058</v>
      </c>
      <c r="M358" s="883">
        <f t="shared" si="128"/>
        <v>0</v>
      </c>
      <c r="N358" s="883">
        <f t="shared" si="129"/>
        <v>0</v>
      </c>
      <c r="O358" s="1100"/>
      <c r="P358" s="883">
        <f t="shared" si="121"/>
        <v>0</v>
      </c>
      <c r="Q358" s="884">
        <f t="shared" si="130"/>
        <v>0</v>
      </c>
      <c r="R358" s="884">
        <f>IF(AND($AR$39="Early Payoff",I358&gt;=$R$13),0,IF($I358&lt;=$R$6,SUM($P$20:$P358),0))</f>
        <v>0</v>
      </c>
      <c r="S358" s="884">
        <f>IF(AND($AR$39="Early Payoff",I358&gt;=$R$13),0,IF($I358&lt;=$R$6,SUM($Q$20:$Q358),0))</f>
        <v>0</v>
      </c>
      <c r="T358" s="873">
        <f t="shared" si="131"/>
        <v>0</v>
      </c>
      <c r="U358" s="1110">
        <f t="shared" si="137"/>
        <v>0</v>
      </c>
      <c r="W358" s="1102">
        <f t="shared" si="122"/>
        <v>0</v>
      </c>
      <c r="X358" s="873">
        <f t="shared" si="123"/>
        <v>0</v>
      </c>
      <c r="Y358" s="873">
        <f t="shared" si="124"/>
        <v>0</v>
      </c>
      <c r="Z358" s="885">
        <f t="shared" si="125"/>
        <v>0</v>
      </c>
    </row>
    <row r="359" spans="2:26" s="278" customFormat="1" ht="12" customHeight="1" x14ac:dyDescent="0.25">
      <c r="B359" s="1192">
        <f t="shared" si="132"/>
        <v>359</v>
      </c>
      <c r="C359" s="732">
        <f t="shared" si="117"/>
        <v>30</v>
      </c>
      <c r="D359" s="35">
        <f t="shared" si="118"/>
        <v>9</v>
      </c>
      <c r="E359" s="889">
        <f t="shared" si="135"/>
        <v>57983</v>
      </c>
      <c r="F359" s="822">
        <f t="shared" si="119"/>
        <v>9</v>
      </c>
      <c r="G359" s="126">
        <f t="shared" si="120"/>
        <v>0</v>
      </c>
      <c r="H359" s="1098">
        <f t="shared" si="136"/>
        <v>0</v>
      </c>
      <c r="I359" s="887">
        <f t="shared" si="133"/>
        <v>340</v>
      </c>
      <c r="J359" s="1099">
        <f t="shared" si="126"/>
        <v>340</v>
      </c>
      <c r="K359" s="891" t="str">
        <f t="shared" si="127"/>
        <v>September</v>
      </c>
      <c r="L359" s="888">
        <f t="shared" si="134"/>
        <v>2058</v>
      </c>
      <c r="M359" s="883">
        <f t="shared" si="128"/>
        <v>0</v>
      </c>
      <c r="N359" s="883">
        <f t="shared" si="129"/>
        <v>0</v>
      </c>
      <c r="O359" s="1100"/>
      <c r="P359" s="883">
        <f t="shared" si="121"/>
        <v>0</v>
      </c>
      <c r="Q359" s="884">
        <f t="shared" si="130"/>
        <v>0</v>
      </c>
      <c r="R359" s="884">
        <f>IF(AND($AR$39="Early Payoff",I359&gt;=$R$13),0,IF($I359&lt;=$R$6,SUM($P$20:$P359),0))</f>
        <v>0</v>
      </c>
      <c r="S359" s="884">
        <f>IF(AND($AR$39="Early Payoff",I359&gt;=$R$13),0,IF($I359&lt;=$R$6,SUM($Q$20:$Q359),0))</f>
        <v>0</v>
      </c>
      <c r="T359" s="873">
        <f t="shared" si="131"/>
        <v>0</v>
      </c>
      <c r="U359" s="1110">
        <f t="shared" si="137"/>
        <v>0</v>
      </c>
      <c r="W359" s="1102">
        <f t="shared" si="122"/>
        <v>0</v>
      </c>
      <c r="X359" s="873">
        <f t="shared" si="123"/>
        <v>0</v>
      </c>
      <c r="Y359" s="873">
        <f t="shared" si="124"/>
        <v>0</v>
      </c>
      <c r="Z359" s="885">
        <f t="shared" si="125"/>
        <v>0</v>
      </c>
    </row>
    <row r="360" spans="2:26" s="278" customFormat="1" ht="12" customHeight="1" x14ac:dyDescent="0.25">
      <c r="B360" s="1192">
        <f t="shared" si="132"/>
        <v>360</v>
      </c>
      <c r="C360" s="732">
        <f t="shared" si="117"/>
        <v>31</v>
      </c>
      <c r="D360" s="35">
        <f t="shared" si="118"/>
        <v>10</v>
      </c>
      <c r="E360" s="889">
        <f t="shared" si="135"/>
        <v>58014</v>
      </c>
      <c r="F360" s="822">
        <f t="shared" si="119"/>
        <v>10</v>
      </c>
      <c r="G360" s="126">
        <f t="shared" si="120"/>
        <v>0</v>
      </c>
      <c r="H360" s="1098">
        <f t="shared" si="136"/>
        <v>0</v>
      </c>
      <c r="I360" s="887">
        <f t="shared" si="133"/>
        <v>341</v>
      </c>
      <c r="J360" s="1099">
        <f t="shared" si="126"/>
        <v>341</v>
      </c>
      <c r="K360" s="891" t="str">
        <f t="shared" si="127"/>
        <v>October</v>
      </c>
      <c r="L360" s="888">
        <f t="shared" si="134"/>
        <v>2058</v>
      </c>
      <c r="M360" s="883">
        <f t="shared" si="128"/>
        <v>0</v>
      </c>
      <c r="N360" s="883">
        <f t="shared" si="129"/>
        <v>0</v>
      </c>
      <c r="O360" s="1100"/>
      <c r="P360" s="883">
        <f t="shared" si="121"/>
        <v>0</v>
      </c>
      <c r="Q360" s="884">
        <f t="shared" si="130"/>
        <v>0</v>
      </c>
      <c r="R360" s="884">
        <f>IF(AND($AR$39="Early Payoff",I360&gt;=$R$13),0,IF($I360&lt;=$R$6,SUM($P$20:$P360),0))</f>
        <v>0</v>
      </c>
      <c r="S360" s="884">
        <f>IF(AND($AR$39="Early Payoff",I360&gt;=$R$13),0,IF($I360&lt;=$R$6,SUM($Q$20:$Q360),0))</f>
        <v>0</v>
      </c>
      <c r="T360" s="873">
        <f t="shared" si="131"/>
        <v>0</v>
      </c>
      <c r="U360" s="1110">
        <f t="shared" si="137"/>
        <v>0</v>
      </c>
      <c r="W360" s="1102">
        <f t="shared" si="122"/>
        <v>0</v>
      </c>
      <c r="X360" s="873">
        <f t="shared" si="123"/>
        <v>0</v>
      </c>
      <c r="Y360" s="873">
        <f t="shared" si="124"/>
        <v>0</v>
      </c>
      <c r="Z360" s="885">
        <f t="shared" si="125"/>
        <v>0</v>
      </c>
    </row>
    <row r="361" spans="2:26" s="278" customFormat="1" ht="12" customHeight="1" x14ac:dyDescent="0.25">
      <c r="B361" s="1192">
        <f t="shared" si="132"/>
        <v>361</v>
      </c>
      <c r="C361" s="732">
        <f t="shared" si="117"/>
        <v>30</v>
      </c>
      <c r="D361" s="35">
        <f t="shared" si="118"/>
        <v>11</v>
      </c>
      <c r="E361" s="889">
        <f t="shared" si="135"/>
        <v>58044</v>
      </c>
      <c r="F361" s="822">
        <f t="shared" si="119"/>
        <v>11</v>
      </c>
      <c r="G361" s="126">
        <f t="shared" si="120"/>
        <v>0</v>
      </c>
      <c r="H361" s="1098">
        <f t="shared" si="136"/>
        <v>0</v>
      </c>
      <c r="I361" s="887">
        <f t="shared" si="133"/>
        <v>342</v>
      </c>
      <c r="J361" s="1099">
        <f t="shared" si="126"/>
        <v>342</v>
      </c>
      <c r="K361" s="891" t="str">
        <f t="shared" si="127"/>
        <v>November</v>
      </c>
      <c r="L361" s="888">
        <f t="shared" si="134"/>
        <v>2058</v>
      </c>
      <c r="M361" s="883">
        <f t="shared" si="128"/>
        <v>0</v>
      </c>
      <c r="N361" s="883">
        <f t="shared" si="129"/>
        <v>0</v>
      </c>
      <c r="O361" s="1100"/>
      <c r="P361" s="883">
        <f t="shared" si="121"/>
        <v>0</v>
      </c>
      <c r="Q361" s="884">
        <f t="shared" si="130"/>
        <v>0</v>
      </c>
      <c r="R361" s="884">
        <f>IF(AND($AR$39="Early Payoff",I361&gt;=$R$13),0,IF($I361&lt;=$R$6,SUM($P$20:$P361),0))</f>
        <v>0</v>
      </c>
      <c r="S361" s="884">
        <f>IF(AND($AR$39="Early Payoff",I361&gt;=$R$13),0,IF($I361&lt;=$R$6,SUM($Q$20:$Q361),0))</f>
        <v>0</v>
      </c>
      <c r="T361" s="873">
        <f t="shared" si="131"/>
        <v>0</v>
      </c>
      <c r="U361" s="1110">
        <f t="shared" si="137"/>
        <v>0</v>
      </c>
      <c r="W361" s="1102">
        <f t="shared" si="122"/>
        <v>0</v>
      </c>
      <c r="X361" s="873">
        <f t="shared" si="123"/>
        <v>0</v>
      </c>
      <c r="Y361" s="873">
        <f t="shared" si="124"/>
        <v>0</v>
      </c>
      <c r="Z361" s="885">
        <f t="shared" si="125"/>
        <v>0</v>
      </c>
    </row>
    <row r="362" spans="2:26" s="278" customFormat="1" ht="12" customHeight="1" x14ac:dyDescent="0.25">
      <c r="B362" s="1192">
        <f t="shared" si="132"/>
        <v>362</v>
      </c>
      <c r="C362" s="732">
        <f t="shared" si="117"/>
        <v>31</v>
      </c>
      <c r="D362" s="35">
        <f t="shared" si="118"/>
        <v>12</v>
      </c>
      <c r="E362" s="889">
        <f t="shared" si="135"/>
        <v>58075</v>
      </c>
      <c r="F362" s="822">
        <f t="shared" si="119"/>
        <v>12</v>
      </c>
      <c r="G362" s="126">
        <f t="shared" si="120"/>
        <v>1</v>
      </c>
      <c r="H362" s="1098">
        <f t="shared" si="136"/>
        <v>0</v>
      </c>
      <c r="I362" s="887">
        <f t="shared" si="133"/>
        <v>343</v>
      </c>
      <c r="J362" s="1099">
        <f t="shared" si="126"/>
        <v>343</v>
      </c>
      <c r="K362" s="891" t="str">
        <f t="shared" si="127"/>
        <v>December</v>
      </c>
      <c r="L362" s="888">
        <f t="shared" si="134"/>
        <v>2058</v>
      </c>
      <c r="M362" s="883">
        <f t="shared" si="128"/>
        <v>0</v>
      </c>
      <c r="N362" s="883">
        <f t="shared" si="129"/>
        <v>0</v>
      </c>
      <c r="O362" s="1100"/>
      <c r="P362" s="883">
        <f t="shared" si="121"/>
        <v>0</v>
      </c>
      <c r="Q362" s="884">
        <f t="shared" si="130"/>
        <v>0</v>
      </c>
      <c r="R362" s="884">
        <f>IF(AND($AR$39="Early Payoff",I362&gt;=$R$13),0,IF($I362&lt;=$R$6,SUM($P$20:$P362),0))</f>
        <v>0</v>
      </c>
      <c r="S362" s="884">
        <f>IF(AND($AR$39="Early Payoff",I362&gt;=$R$13),0,IF($I362&lt;=$R$6,SUM($Q$20:$Q362),0))</f>
        <v>0</v>
      </c>
      <c r="T362" s="873">
        <f t="shared" si="131"/>
        <v>0</v>
      </c>
      <c r="U362" s="1110">
        <f t="shared" si="137"/>
        <v>0</v>
      </c>
      <c r="W362" s="1102">
        <f t="shared" si="122"/>
        <v>0</v>
      </c>
      <c r="X362" s="873">
        <f t="shared" si="123"/>
        <v>0</v>
      </c>
      <c r="Y362" s="873">
        <f t="shared" si="124"/>
        <v>0</v>
      </c>
      <c r="Z362" s="885">
        <f t="shared" si="125"/>
        <v>0</v>
      </c>
    </row>
    <row r="363" spans="2:26" s="278" customFormat="1" ht="12" customHeight="1" x14ac:dyDescent="0.25">
      <c r="B363" s="1192">
        <f t="shared" si="132"/>
        <v>363</v>
      </c>
      <c r="C363" s="732">
        <f t="shared" si="117"/>
        <v>31</v>
      </c>
      <c r="D363" s="35">
        <f t="shared" si="118"/>
        <v>1</v>
      </c>
      <c r="E363" s="889">
        <f t="shared" si="135"/>
        <v>58106</v>
      </c>
      <c r="F363" s="822">
        <f t="shared" si="119"/>
        <v>1</v>
      </c>
      <c r="G363" s="126">
        <f t="shared" si="120"/>
        <v>0</v>
      </c>
      <c r="H363" s="1098">
        <f t="shared" si="136"/>
        <v>0</v>
      </c>
      <c r="I363" s="887">
        <f t="shared" si="133"/>
        <v>344</v>
      </c>
      <c r="J363" s="1099">
        <f t="shared" si="126"/>
        <v>344</v>
      </c>
      <c r="K363" s="891" t="str">
        <f t="shared" si="127"/>
        <v>January</v>
      </c>
      <c r="L363" s="888">
        <f t="shared" si="134"/>
        <v>2059</v>
      </c>
      <c r="M363" s="883">
        <f t="shared" si="128"/>
        <v>0</v>
      </c>
      <c r="N363" s="883">
        <f t="shared" si="129"/>
        <v>0</v>
      </c>
      <c r="O363" s="1100"/>
      <c r="P363" s="883">
        <f t="shared" si="121"/>
        <v>0</v>
      </c>
      <c r="Q363" s="884">
        <f t="shared" si="130"/>
        <v>0</v>
      </c>
      <c r="R363" s="884">
        <f>IF(AND($AR$39="Early Payoff",I363&gt;=$R$13),0,IF($I363&lt;=$R$6,SUM($P$20:$P363),0))</f>
        <v>0</v>
      </c>
      <c r="S363" s="884">
        <f>IF(AND($AR$39="Early Payoff",I363&gt;=$R$13),0,IF($I363&lt;=$R$6,SUM($Q$20:$Q363),0))</f>
        <v>0</v>
      </c>
      <c r="T363" s="873">
        <f t="shared" si="131"/>
        <v>0</v>
      </c>
      <c r="U363" s="1110">
        <f t="shared" si="137"/>
        <v>0</v>
      </c>
      <c r="W363" s="1102">
        <f t="shared" si="122"/>
        <v>0</v>
      </c>
      <c r="X363" s="873">
        <f t="shared" si="123"/>
        <v>0</v>
      </c>
      <c r="Y363" s="873">
        <f t="shared" si="124"/>
        <v>0</v>
      </c>
      <c r="Z363" s="885">
        <f t="shared" si="125"/>
        <v>0</v>
      </c>
    </row>
    <row r="364" spans="2:26" s="278" customFormat="1" ht="12" customHeight="1" x14ac:dyDescent="0.25">
      <c r="B364" s="1192">
        <f t="shared" si="132"/>
        <v>364</v>
      </c>
      <c r="C364" s="732">
        <f t="shared" si="117"/>
        <v>28</v>
      </c>
      <c r="D364" s="35">
        <f t="shared" si="118"/>
        <v>2</v>
      </c>
      <c r="E364" s="889">
        <f t="shared" si="135"/>
        <v>58134</v>
      </c>
      <c r="F364" s="822">
        <f t="shared" si="119"/>
        <v>2</v>
      </c>
      <c r="G364" s="126">
        <f t="shared" si="120"/>
        <v>0</v>
      </c>
      <c r="H364" s="1098">
        <f t="shared" si="136"/>
        <v>0</v>
      </c>
      <c r="I364" s="887">
        <f t="shared" si="133"/>
        <v>345</v>
      </c>
      <c r="J364" s="1099">
        <f t="shared" si="126"/>
        <v>345</v>
      </c>
      <c r="K364" s="891" t="str">
        <f t="shared" si="127"/>
        <v>February</v>
      </c>
      <c r="L364" s="888">
        <f t="shared" si="134"/>
        <v>2059</v>
      </c>
      <c r="M364" s="883">
        <f t="shared" si="128"/>
        <v>0</v>
      </c>
      <c r="N364" s="883">
        <f t="shared" si="129"/>
        <v>0</v>
      </c>
      <c r="O364" s="1100"/>
      <c r="P364" s="883">
        <f t="shared" si="121"/>
        <v>0</v>
      </c>
      <c r="Q364" s="884">
        <f t="shared" si="130"/>
        <v>0</v>
      </c>
      <c r="R364" s="884">
        <f>IF(AND($AR$39="Early Payoff",I364&gt;=$R$13),0,IF($I364&lt;=$R$6,SUM($P$20:$P364),0))</f>
        <v>0</v>
      </c>
      <c r="S364" s="884">
        <f>IF(AND($AR$39="Early Payoff",I364&gt;=$R$13),0,IF($I364&lt;=$R$6,SUM($Q$20:$Q364),0))</f>
        <v>0</v>
      </c>
      <c r="T364" s="873">
        <f t="shared" si="131"/>
        <v>0</v>
      </c>
      <c r="U364" s="1110">
        <f t="shared" si="137"/>
        <v>0</v>
      </c>
      <c r="W364" s="1102">
        <f t="shared" si="122"/>
        <v>0</v>
      </c>
      <c r="X364" s="873">
        <f t="shared" si="123"/>
        <v>0</v>
      </c>
      <c r="Y364" s="873">
        <f t="shared" si="124"/>
        <v>0</v>
      </c>
      <c r="Z364" s="885">
        <f t="shared" si="125"/>
        <v>0</v>
      </c>
    </row>
    <row r="365" spans="2:26" s="278" customFormat="1" ht="12" customHeight="1" x14ac:dyDescent="0.25">
      <c r="B365" s="1192">
        <f t="shared" si="132"/>
        <v>365</v>
      </c>
      <c r="C365" s="732">
        <f t="shared" si="117"/>
        <v>31</v>
      </c>
      <c r="D365" s="35">
        <f t="shared" si="118"/>
        <v>3</v>
      </c>
      <c r="E365" s="889">
        <f t="shared" si="135"/>
        <v>58165</v>
      </c>
      <c r="F365" s="822">
        <f t="shared" si="119"/>
        <v>3</v>
      </c>
      <c r="G365" s="126">
        <f t="shared" si="120"/>
        <v>0</v>
      </c>
      <c r="H365" s="1098">
        <f t="shared" si="136"/>
        <v>0</v>
      </c>
      <c r="I365" s="887">
        <f t="shared" si="133"/>
        <v>346</v>
      </c>
      <c r="J365" s="1099">
        <f t="shared" si="126"/>
        <v>346</v>
      </c>
      <c r="K365" s="891" t="str">
        <f t="shared" si="127"/>
        <v>March</v>
      </c>
      <c r="L365" s="888">
        <f t="shared" si="134"/>
        <v>2059</v>
      </c>
      <c r="M365" s="883">
        <f t="shared" si="128"/>
        <v>0</v>
      </c>
      <c r="N365" s="883">
        <f t="shared" si="129"/>
        <v>0</v>
      </c>
      <c r="O365" s="1100"/>
      <c r="P365" s="883">
        <f t="shared" si="121"/>
        <v>0</v>
      </c>
      <c r="Q365" s="884">
        <f t="shared" si="130"/>
        <v>0</v>
      </c>
      <c r="R365" s="884">
        <f>IF(AND($AR$39="Early Payoff",I365&gt;=$R$13),0,IF($I365&lt;=$R$6,SUM($P$20:$P365),0))</f>
        <v>0</v>
      </c>
      <c r="S365" s="884">
        <f>IF(AND($AR$39="Early Payoff",I365&gt;=$R$13),0,IF($I365&lt;=$R$6,SUM($Q$20:$Q365),0))</f>
        <v>0</v>
      </c>
      <c r="T365" s="873">
        <f t="shared" si="131"/>
        <v>0</v>
      </c>
      <c r="U365" s="1110">
        <f t="shared" si="137"/>
        <v>0</v>
      </c>
      <c r="W365" s="1102">
        <f t="shared" si="122"/>
        <v>0</v>
      </c>
      <c r="X365" s="873">
        <f t="shared" si="123"/>
        <v>0</v>
      </c>
      <c r="Y365" s="873">
        <f t="shared" si="124"/>
        <v>0</v>
      </c>
      <c r="Z365" s="885">
        <f t="shared" si="125"/>
        <v>0</v>
      </c>
    </row>
    <row r="366" spans="2:26" s="278" customFormat="1" ht="12" customHeight="1" x14ac:dyDescent="0.25">
      <c r="B366" s="1192">
        <f t="shared" si="132"/>
        <v>366</v>
      </c>
      <c r="C366" s="732">
        <f t="shared" si="117"/>
        <v>30</v>
      </c>
      <c r="D366" s="35">
        <f t="shared" si="118"/>
        <v>4</v>
      </c>
      <c r="E366" s="889">
        <f t="shared" si="135"/>
        <v>58195</v>
      </c>
      <c r="F366" s="822">
        <f t="shared" si="119"/>
        <v>4</v>
      </c>
      <c r="G366" s="126">
        <f t="shared" si="120"/>
        <v>0</v>
      </c>
      <c r="H366" s="1098">
        <f t="shared" si="136"/>
        <v>0</v>
      </c>
      <c r="I366" s="887">
        <f t="shared" si="133"/>
        <v>347</v>
      </c>
      <c r="J366" s="1099">
        <f t="shared" si="126"/>
        <v>347</v>
      </c>
      <c r="K366" s="891" t="str">
        <f t="shared" si="127"/>
        <v>April</v>
      </c>
      <c r="L366" s="888">
        <f t="shared" si="134"/>
        <v>2059</v>
      </c>
      <c r="M366" s="883">
        <f t="shared" si="128"/>
        <v>0</v>
      </c>
      <c r="N366" s="883">
        <f t="shared" si="129"/>
        <v>0</v>
      </c>
      <c r="O366" s="1100"/>
      <c r="P366" s="883">
        <f t="shared" si="121"/>
        <v>0</v>
      </c>
      <c r="Q366" s="884">
        <f t="shared" si="130"/>
        <v>0</v>
      </c>
      <c r="R366" s="884">
        <f>IF(AND($AR$39="Early Payoff",I366&gt;=$R$13),0,IF($I366&lt;=$R$6,SUM($P$20:$P366),0))</f>
        <v>0</v>
      </c>
      <c r="S366" s="884">
        <f>IF(AND($AR$39="Early Payoff",I366&gt;=$R$13),0,IF($I366&lt;=$R$6,SUM($Q$20:$Q366),0))</f>
        <v>0</v>
      </c>
      <c r="T366" s="873">
        <f t="shared" si="131"/>
        <v>0</v>
      </c>
      <c r="U366" s="1110">
        <f t="shared" si="137"/>
        <v>0</v>
      </c>
      <c r="W366" s="1102">
        <f t="shared" si="122"/>
        <v>0</v>
      </c>
      <c r="X366" s="873">
        <f t="shared" si="123"/>
        <v>0</v>
      </c>
      <c r="Y366" s="873">
        <f t="shared" si="124"/>
        <v>0</v>
      </c>
      <c r="Z366" s="885">
        <f t="shared" si="125"/>
        <v>0</v>
      </c>
    </row>
    <row r="367" spans="2:26" s="278" customFormat="1" ht="12" customHeight="1" x14ac:dyDescent="0.25">
      <c r="B367" s="1192">
        <f t="shared" si="132"/>
        <v>367</v>
      </c>
      <c r="C367" s="732">
        <f t="shared" si="117"/>
        <v>31</v>
      </c>
      <c r="D367" s="35">
        <f t="shared" si="118"/>
        <v>5</v>
      </c>
      <c r="E367" s="889">
        <f t="shared" si="135"/>
        <v>58226</v>
      </c>
      <c r="F367" s="822">
        <f t="shared" si="119"/>
        <v>5</v>
      </c>
      <c r="G367" s="126">
        <f t="shared" si="120"/>
        <v>0</v>
      </c>
      <c r="H367" s="1098">
        <f t="shared" si="136"/>
        <v>0</v>
      </c>
      <c r="I367" s="887">
        <f t="shared" si="133"/>
        <v>348</v>
      </c>
      <c r="J367" s="1099">
        <f t="shared" si="126"/>
        <v>348</v>
      </c>
      <c r="K367" s="891" t="str">
        <f t="shared" si="127"/>
        <v>May</v>
      </c>
      <c r="L367" s="888">
        <f t="shared" si="134"/>
        <v>2059</v>
      </c>
      <c r="M367" s="883">
        <f t="shared" si="128"/>
        <v>0</v>
      </c>
      <c r="N367" s="883">
        <f t="shared" si="129"/>
        <v>0</v>
      </c>
      <c r="O367" s="1100"/>
      <c r="P367" s="883">
        <f t="shared" si="121"/>
        <v>0</v>
      </c>
      <c r="Q367" s="884">
        <f t="shared" si="130"/>
        <v>0</v>
      </c>
      <c r="R367" s="884">
        <f>IF(AND($AR$39="Early Payoff",I367&gt;=$R$13),0,IF($I367&lt;=$R$6,SUM($P$20:$P367),0))</f>
        <v>0</v>
      </c>
      <c r="S367" s="884">
        <f>IF(AND($AR$39="Early Payoff",I367&gt;=$R$13),0,IF($I367&lt;=$R$6,SUM($Q$20:$Q367),0))</f>
        <v>0</v>
      </c>
      <c r="T367" s="873">
        <f t="shared" si="131"/>
        <v>0</v>
      </c>
      <c r="U367" s="1110">
        <f t="shared" si="137"/>
        <v>0</v>
      </c>
      <c r="W367" s="1102">
        <f t="shared" si="122"/>
        <v>0</v>
      </c>
      <c r="X367" s="873">
        <f t="shared" si="123"/>
        <v>0</v>
      </c>
      <c r="Y367" s="873">
        <f t="shared" si="124"/>
        <v>0</v>
      </c>
      <c r="Z367" s="885">
        <f t="shared" si="125"/>
        <v>0</v>
      </c>
    </row>
    <row r="368" spans="2:26" s="278" customFormat="1" ht="12" customHeight="1" x14ac:dyDescent="0.25">
      <c r="B368" s="1192">
        <f t="shared" si="132"/>
        <v>368</v>
      </c>
      <c r="C368" s="732">
        <f t="shared" si="117"/>
        <v>30</v>
      </c>
      <c r="D368" s="35">
        <f t="shared" si="118"/>
        <v>6</v>
      </c>
      <c r="E368" s="889">
        <f t="shared" si="135"/>
        <v>58256</v>
      </c>
      <c r="F368" s="822">
        <f t="shared" si="119"/>
        <v>6</v>
      </c>
      <c r="G368" s="126">
        <f t="shared" si="120"/>
        <v>0</v>
      </c>
      <c r="H368" s="1098">
        <f t="shared" si="136"/>
        <v>0</v>
      </c>
      <c r="I368" s="887">
        <f t="shared" si="133"/>
        <v>349</v>
      </c>
      <c r="J368" s="1099">
        <f t="shared" si="126"/>
        <v>349</v>
      </c>
      <c r="K368" s="891" t="str">
        <f t="shared" si="127"/>
        <v>June</v>
      </c>
      <c r="L368" s="888">
        <f t="shared" si="134"/>
        <v>2059</v>
      </c>
      <c r="M368" s="883">
        <f t="shared" si="128"/>
        <v>0</v>
      </c>
      <c r="N368" s="883">
        <f t="shared" si="129"/>
        <v>0</v>
      </c>
      <c r="O368" s="1100"/>
      <c r="P368" s="883">
        <f t="shared" si="121"/>
        <v>0</v>
      </c>
      <c r="Q368" s="884">
        <f t="shared" si="130"/>
        <v>0</v>
      </c>
      <c r="R368" s="884">
        <f>IF(AND($AR$39="Early Payoff",I368&gt;=$R$13),0,IF($I368&lt;=$R$6,SUM($P$20:$P368),0))</f>
        <v>0</v>
      </c>
      <c r="S368" s="884">
        <f>IF(AND($AR$39="Early Payoff",I368&gt;=$R$13),0,IF($I368&lt;=$R$6,SUM($Q$20:$Q368),0))</f>
        <v>0</v>
      </c>
      <c r="T368" s="873">
        <f t="shared" si="131"/>
        <v>0</v>
      </c>
      <c r="U368" s="1110">
        <f t="shared" si="137"/>
        <v>0</v>
      </c>
      <c r="W368" s="1102">
        <f t="shared" si="122"/>
        <v>0</v>
      </c>
      <c r="X368" s="873">
        <f t="shared" si="123"/>
        <v>0</v>
      </c>
      <c r="Y368" s="873">
        <f t="shared" si="124"/>
        <v>0</v>
      </c>
      <c r="Z368" s="885">
        <f t="shared" si="125"/>
        <v>0</v>
      </c>
    </row>
    <row r="369" spans="2:26" s="278" customFormat="1" ht="12" customHeight="1" x14ac:dyDescent="0.25">
      <c r="B369" s="1192">
        <f t="shared" si="132"/>
        <v>369</v>
      </c>
      <c r="C369" s="732">
        <f t="shared" si="117"/>
        <v>31</v>
      </c>
      <c r="D369" s="35">
        <f t="shared" si="118"/>
        <v>7</v>
      </c>
      <c r="E369" s="889">
        <f t="shared" si="135"/>
        <v>58287</v>
      </c>
      <c r="F369" s="822">
        <f t="shared" si="119"/>
        <v>7</v>
      </c>
      <c r="G369" s="126">
        <f t="shared" si="120"/>
        <v>0</v>
      </c>
      <c r="H369" s="1098">
        <f t="shared" si="136"/>
        <v>0</v>
      </c>
      <c r="I369" s="887">
        <f t="shared" si="133"/>
        <v>350</v>
      </c>
      <c r="J369" s="1099">
        <f t="shared" si="126"/>
        <v>350</v>
      </c>
      <c r="K369" s="891" t="str">
        <f t="shared" si="127"/>
        <v>July</v>
      </c>
      <c r="L369" s="888">
        <f t="shared" si="134"/>
        <v>2059</v>
      </c>
      <c r="M369" s="883">
        <f t="shared" si="128"/>
        <v>0</v>
      </c>
      <c r="N369" s="883">
        <f t="shared" si="129"/>
        <v>0</v>
      </c>
      <c r="O369" s="1100"/>
      <c r="P369" s="883">
        <f t="shared" si="121"/>
        <v>0</v>
      </c>
      <c r="Q369" s="884">
        <f t="shared" si="130"/>
        <v>0</v>
      </c>
      <c r="R369" s="884">
        <f>IF(AND($AR$39="Early Payoff",I369&gt;=$R$13),0,IF($I369&lt;=$R$6,SUM($P$20:$P369),0))</f>
        <v>0</v>
      </c>
      <c r="S369" s="884">
        <f>IF(AND($AR$39="Early Payoff",I369&gt;=$R$13),0,IF($I369&lt;=$R$6,SUM($Q$20:$Q369),0))</f>
        <v>0</v>
      </c>
      <c r="T369" s="873">
        <f t="shared" si="131"/>
        <v>0</v>
      </c>
      <c r="U369" s="1110">
        <f t="shared" si="137"/>
        <v>0</v>
      </c>
      <c r="W369" s="1102">
        <f t="shared" si="122"/>
        <v>0</v>
      </c>
      <c r="X369" s="873">
        <f t="shared" si="123"/>
        <v>0</v>
      </c>
      <c r="Y369" s="873">
        <f t="shared" si="124"/>
        <v>0</v>
      </c>
      <c r="Z369" s="885">
        <f t="shared" si="125"/>
        <v>0</v>
      </c>
    </row>
    <row r="370" spans="2:26" s="278" customFormat="1" ht="12" customHeight="1" x14ac:dyDescent="0.25">
      <c r="B370" s="1192">
        <f t="shared" si="132"/>
        <v>370</v>
      </c>
      <c r="C370" s="732">
        <f t="shared" si="117"/>
        <v>31</v>
      </c>
      <c r="D370" s="35">
        <f t="shared" si="118"/>
        <v>8</v>
      </c>
      <c r="E370" s="889">
        <f t="shared" si="135"/>
        <v>58318</v>
      </c>
      <c r="F370" s="822">
        <f t="shared" si="119"/>
        <v>8</v>
      </c>
      <c r="G370" s="126">
        <f t="shared" si="120"/>
        <v>0</v>
      </c>
      <c r="H370" s="1098">
        <f t="shared" si="136"/>
        <v>0</v>
      </c>
      <c r="I370" s="887">
        <f t="shared" si="133"/>
        <v>351</v>
      </c>
      <c r="J370" s="1099">
        <f t="shared" si="126"/>
        <v>351</v>
      </c>
      <c r="K370" s="891" t="str">
        <f t="shared" si="127"/>
        <v>August</v>
      </c>
      <c r="L370" s="888">
        <f t="shared" si="134"/>
        <v>2059</v>
      </c>
      <c r="M370" s="883">
        <f t="shared" si="128"/>
        <v>0</v>
      </c>
      <c r="N370" s="883">
        <f t="shared" si="129"/>
        <v>0</v>
      </c>
      <c r="O370" s="1100"/>
      <c r="P370" s="883">
        <f t="shared" si="121"/>
        <v>0</v>
      </c>
      <c r="Q370" s="884">
        <f t="shared" si="130"/>
        <v>0</v>
      </c>
      <c r="R370" s="884">
        <f>IF(AND($AR$39="Early Payoff",I370&gt;=$R$13),0,IF($I370&lt;=$R$6,SUM($P$20:$P370),0))</f>
        <v>0</v>
      </c>
      <c r="S370" s="884">
        <f>IF(AND($AR$39="Early Payoff",I370&gt;=$R$13),0,IF($I370&lt;=$R$6,SUM($Q$20:$Q370),0))</f>
        <v>0</v>
      </c>
      <c r="T370" s="873">
        <f t="shared" si="131"/>
        <v>0</v>
      </c>
      <c r="U370" s="1110">
        <f t="shared" si="137"/>
        <v>0</v>
      </c>
      <c r="W370" s="1102">
        <f t="shared" si="122"/>
        <v>0</v>
      </c>
      <c r="X370" s="873">
        <f t="shared" si="123"/>
        <v>0</v>
      </c>
      <c r="Y370" s="873">
        <f t="shared" si="124"/>
        <v>0</v>
      </c>
      <c r="Z370" s="885">
        <f t="shared" si="125"/>
        <v>0</v>
      </c>
    </row>
    <row r="371" spans="2:26" s="278" customFormat="1" ht="12" customHeight="1" x14ac:dyDescent="0.25">
      <c r="B371" s="1192">
        <f t="shared" si="132"/>
        <v>371</v>
      </c>
      <c r="C371" s="732">
        <f t="shared" si="117"/>
        <v>30</v>
      </c>
      <c r="D371" s="35">
        <f t="shared" si="118"/>
        <v>9</v>
      </c>
      <c r="E371" s="889">
        <f t="shared" si="135"/>
        <v>58348</v>
      </c>
      <c r="F371" s="822">
        <f t="shared" si="119"/>
        <v>9</v>
      </c>
      <c r="G371" s="126">
        <f t="shared" si="120"/>
        <v>0</v>
      </c>
      <c r="H371" s="1098">
        <f t="shared" si="136"/>
        <v>0</v>
      </c>
      <c r="I371" s="887">
        <f t="shared" si="133"/>
        <v>352</v>
      </c>
      <c r="J371" s="1099">
        <f t="shared" si="126"/>
        <v>352</v>
      </c>
      <c r="K371" s="891" t="str">
        <f t="shared" si="127"/>
        <v>September</v>
      </c>
      <c r="L371" s="888">
        <f t="shared" si="134"/>
        <v>2059</v>
      </c>
      <c r="M371" s="883">
        <f t="shared" si="128"/>
        <v>0</v>
      </c>
      <c r="N371" s="883">
        <f t="shared" si="129"/>
        <v>0</v>
      </c>
      <c r="O371" s="1100"/>
      <c r="P371" s="883">
        <f t="shared" si="121"/>
        <v>0</v>
      </c>
      <c r="Q371" s="884">
        <f t="shared" si="130"/>
        <v>0</v>
      </c>
      <c r="R371" s="884">
        <f>IF(AND($AR$39="Early Payoff",I371&gt;=$R$13),0,IF($I371&lt;=$R$6,SUM($P$20:$P371),0))</f>
        <v>0</v>
      </c>
      <c r="S371" s="884">
        <f>IF(AND($AR$39="Early Payoff",I371&gt;=$R$13),0,IF($I371&lt;=$R$6,SUM($Q$20:$Q371),0))</f>
        <v>0</v>
      </c>
      <c r="T371" s="873">
        <f t="shared" si="131"/>
        <v>0</v>
      </c>
      <c r="U371" s="1110">
        <f t="shared" si="137"/>
        <v>0</v>
      </c>
      <c r="W371" s="1102">
        <f t="shared" si="122"/>
        <v>0</v>
      </c>
      <c r="X371" s="873">
        <f t="shared" si="123"/>
        <v>0</v>
      </c>
      <c r="Y371" s="873">
        <f t="shared" si="124"/>
        <v>0</v>
      </c>
      <c r="Z371" s="885">
        <f t="shared" si="125"/>
        <v>0</v>
      </c>
    </row>
    <row r="372" spans="2:26" s="278" customFormat="1" ht="12" customHeight="1" x14ac:dyDescent="0.25">
      <c r="B372" s="1192">
        <f t="shared" si="132"/>
        <v>372</v>
      </c>
      <c r="C372" s="732">
        <f t="shared" si="117"/>
        <v>31</v>
      </c>
      <c r="D372" s="35">
        <f t="shared" si="118"/>
        <v>10</v>
      </c>
      <c r="E372" s="889">
        <f t="shared" si="135"/>
        <v>58379</v>
      </c>
      <c r="F372" s="822">
        <f t="shared" si="119"/>
        <v>10</v>
      </c>
      <c r="G372" s="126">
        <f t="shared" si="120"/>
        <v>0</v>
      </c>
      <c r="H372" s="1098">
        <f t="shared" si="136"/>
        <v>0</v>
      </c>
      <c r="I372" s="887">
        <f t="shared" si="133"/>
        <v>353</v>
      </c>
      <c r="J372" s="1099">
        <f t="shared" si="126"/>
        <v>353</v>
      </c>
      <c r="K372" s="891" t="str">
        <f t="shared" si="127"/>
        <v>October</v>
      </c>
      <c r="L372" s="888">
        <f t="shared" si="134"/>
        <v>2059</v>
      </c>
      <c r="M372" s="883">
        <f t="shared" si="128"/>
        <v>0</v>
      </c>
      <c r="N372" s="883">
        <f t="shared" si="129"/>
        <v>0</v>
      </c>
      <c r="O372" s="1100"/>
      <c r="P372" s="883">
        <f t="shared" si="121"/>
        <v>0</v>
      </c>
      <c r="Q372" s="884">
        <f t="shared" si="130"/>
        <v>0</v>
      </c>
      <c r="R372" s="884">
        <f>IF(AND($AR$39="Early Payoff",I372&gt;=$R$13),0,IF($I372&lt;=$R$6,SUM($P$20:$P372),0))</f>
        <v>0</v>
      </c>
      <c r="S372" s="884">
        <f>IF(AND($AR$39="Early Payoff",I372&gt;=$R$13),0,IF($I372&lt;=$R$6,SUM($Q$20:$Q372),0))</f>
        <v>0</v>
      </c>
      <c r="T372" s="873">
        <f t="shared" si="131"/>
        <v>0</v>
      </c>
      <c r="U372" s="1110">
        <f t="shared" si="137"/>
        <v>0</v>
      </c>
      <c r="W372" s="1102">
        <f t="shared" si="122"/>
        <v>0</v>
      </c>
      <c r="X372" s="873">
        <f t="shared" si="123"/>
        <v>0</v>
      </c>
      <c r="Y372" s="873">
        <f t="shared" si="124"/>
        <v>0</v>
      </c>
      <c r="Z372" s="885">
        <f t="shared" si="125"/>
        <v>0</v>
      </c>
    </row>
    <row r="373" spans="2:26" s="278" customFormat="1" ht="12" customHeight="1" x14ac:dyDescent="0.25">
      <c r="B373" s="1192">
        <f t="shared" si="132"/>
        <v>373</v>
      </c>
      <c r="C373" s="732">
        <f t="shared" si="117"/>
        <v>30</v>
      </c>
      <c r="D373" s="35">
        <f t="shared" si="118"/>
        <v>11</v>
      </c>
      <c r="E373" s="889">
        <f t="shared" si="135"/>
        <v>58409</v>
      </c>
      <c r="F373" s="822">
        <f t="shared" si="119"/>
        <v>11</v>
      </c>
      <c r="G373" s="126">
        <f t="shared" si="120"/>
        <v>0</v>
      </c>
      <c r="H373" s="1098">
        <f t="shared" si="136"/>
        <v>0</v>
      </c>
      <c r="I373" s="887">
        <f t="shared" si="133"/>
        <v>354</v>
      </c>
      <c r="J373" s="1099">
        <f t="shared" si="126"/>
        <v>354</v>
      </c>
      <c r="K373" s="891" t="str">
        <f t="shared" si="127"/>
        <v>November</v>
      </c>
      <c r="L373" s="888">
        <f t="shared" si="134"/>
        <v>2059</v>
      </c>
      <c r="M373" s="883">
        <f t="shared" si="128"/>
        <v>0</v>
      </c>
      <c r="N373" s="883">
        <f t="shared" si="129"/>
        <v>0</v>
      </c>
      <c r="O373" s="1100"/>
      <c r="P373" s="883">
        <f t="shared" si="121"/>
        <v>0</v>
      </c>
      <c r="Q373" s="884">
        <f t="shared" si="130"/>
        <v>0</v>
      </c>
      <c r="R373" s="884">
        <f>IF(AND($AR$39="Early Payoff",I373&gt;=$R$13),0,IF($I373&lt;=$R$6,SUM($P$20:$P373),0))</f>
        <v>0</v>
      </c>
      <c r="S373" s="884">
        <f>IF(AND($AR$39="Early Payoff",I373&gt;=$R$13),0,IF($I373&lt;=$R$6,SUM($Q$20:$Q373),0))</f>
        <v>0</v>
      </c>
      <c r="T373" s="873">
        <f t="shared" si="131"/>
        <v>0</v>
      </c>
      <c r="U373" s="1110">
        <f t="shared" si="137"/>
        <v>0</v>
      </c>
      <c r="W373" s="1102">
        <f t="shared" si="122"/>
        <v>0</v>
      </c>
      <c r="X373" s="873">
        <f t="shared" si="123"/>
        <v>0</v>
      </c>
      <c r="Y373" s="873">
        <f t="shared" si="124"/>
        <v>0</v>
      </c>
      <c r="Z373" s="885">
        <f t="shared" si="125"/>
        <v>0</v>
      </c>
    </row>
    <row r="374" spans="2:26" s="278" customFormat="1" ht="12" customHeight="1" x14ac:dyDescent="0.25">
      <c r="B374" s="1192">
        <f t="shared" si="132"/>
        <v>374</v>
      </c>
      <c r="C374" s="732">
        <f t="shared" si="117"/>
        <v>31</v>
      </c>
      <c r="D374" s="35">
        <f t="shared" si="118"/>
        <v>12</v>
      </c>
      <c r="E374" s="889">
        <f t="shared" si="135"/>
        <v>58440</v>
      </c>
      <c r="F374" s="822">
        <f t="shared" si="119"/>
        <v>12</v>
      </c>
      <c r="G374" s="126">
        <f t="shared" si="120"/>
        <v>1</v>
      </c>
      <c r="H374" s="1098">
        <f t="shared" si="136"/>
        <v>0</v>
      </c>
      <c r="I374" s="887">
        <f t="shared" si="133"/>
        <v>355</v>
      </c>
      <c r="J374" s="1099">
        <f t="shared" si="126"/>
        <v>355</v>
      </c>
      <c r="K374" s="891" t="str">
        <f t="shared" si="127"/>
        <v>December</v>
      </c>
      <c r="L374" s="888">
        <f t="shared" si="134"/>
        <v>2059</v>
      </c>
      <c r="M374" s="883">
        <f t="shared" si="128"/>
        <v>0</v>
      </c>
      <c r="N374" s="883">
        <f t="shared" si="129"/>
        <v>0</v>
      </c>
      <c r="O374" s="1100"/>
      <c r="P374" s="883">
        <f t="shared" si="121"/>
        <v>0</v>
      </c>
      <c r="Q374" s="884">
        <f t="shared" si="130"/>
        <v>0</v>
      </c>
      <c r="R374" s="884">
        <f>IF(AND($AR$39="Early Payoff",I374&gt;=$R$13),0,IF($I374&lt;=$R$6,SUM($P$20:$P374),0))</f>
        <v>0</v>
      </c>
      <c r="S374" s="884">
        <f>IF(AND($AR$39="Early Payoff",I374&gt;=$R$13),0,IF($I374&lt;=$R$6,SUM($Q$20:$Q374),0))</f>
        <v>0</v>
      </c>
      <c r="T374" s="873">
        <f t="shared" si="131"/>
        <v>0</v>
      </c>
      <c r="U374" s="1110">
        <f t="shared" si="137"/>
        <v>0</v>
      </c>
      <c r="W374" s="1102">
        <f t="shared" si="122"/>
        <v>0</v>
      </c>
      <c r="X374" s="873">
        <f t="shared" si="123"/>
        <v>0</v>
      </c>
      <c r="Y374" s="873">
        <f t="shared" si="124"/>
        <v>0</v>
      </c>
      <c r="Z374" s="885">
        <f t="shared" si="125"/>
        <v>0</v>
      </c>
    </row>
    <row r="375" spans="2:26" s="278" customFormat="1" ht="12" customHeight="1" x14ac:dyDescent="0.25">
      <c r="B375" s="1192">
        <f t="shared" si="132"/>
        <v>375</v>
      </c>
      <c r="C375" s="732">
        <f t="shared" si="117"/>
        <v>31</v>
      </c>
      <c r="D375" s="35">
        <f t="shared" si="118"/>
        <v>1</v>
      </c>
      <c r="E375" s="889">
        <f t="shared" si="135"/>
        <v>58471</v>
      </c>
      <c r="F375" s="822">
        <f t="shared" si="119"/>
        <v>1</v>
      </c>
      <c r="G375" s="126">
        <f t="shared" si="120"/>
        <v>0</v>
      </c>
      <c r="H375" s="1098">
        <f t="shared" si="136"/>
        <v>0</v>
      </c>
      <c r="I375" s="887">
        <f t="shared" si="133"/>
        <v>356</v>
      </c>
      <c r="J375" s="1099">
        <f t="shared" si="126"/>
        <v>356</v>
      </c>
      <c r="K375" s="891" t="str">
        <f t="shared" si="127"/>
        <v>January</v>
      </c>
      <c r="L375" s="888">
        <f t="shared" si="134"/>
        <v>2060</v>
      </c>
      <c r="M375" s="883">
        <f t="shared" si="128"/>
        <v>0</v>
      </c>
      <c r="N375" s="883">
        <f t="shared" si="129"/>
        <v>0</v>
      </c>
      <c r="O375" s="1100"/>
      <c r="P375" s="883">
        <f t="shared" si="121"/>
        <v>0</v>
      </c>
      <c r="Q375" s="884">
        <f t="shared" si="130"/>
        <v>0</v>
      </c>
      <c r="R375" s="884">
        <f>IF(AND($AR$39="Early Payoff",I375&gt;=$R$13),0,IF($I375&lt;=$R$6,SUM($P$20:$P375),0))</f>
        <v>0</v>
      </c>
      <c r="S375" s="884">
        <f>IF(AND($AR$39="Early Payoff",I375&gt;=$R$13),0,IF($I375&lt;=$R$6,SUM($Q$20:$Q375),0))</f>
        <v>0</v>
      </c>
      <c r="T375" s="873">
        <f t="shared" si="131"/>
        <v>0</v>
      </c>
      <c r="U375" s="1110">
        <f t="shared" si="137"/>
        <v>0</v>
      </c>
      <c r="W375" s="1102">
        <f t="shared" si="122"/>
        <v>0</v>
      </c>
      <c r="X375" s="873">
        <f t="shared" si="123"/>
        <v>0</v>
      </c>
      <c r="Y375" s="873">
        <f t="shared" si="124"/>
        <v>0</v>
      </c>
      <c r="Z375" s="885">
        <f t="shared" si="125"/>
        <v>0</v>
      </c>
    </row>
    <row r="376" spans="2:26" s="278" customFormat="1" ht="12" customHeight="1" x14ac:dyDescent="0.25">
      <c r="B376" s="1192">
        <f t="shared" si="132"/>
        <v>376</v>
      </c>
      <c r="C376" s="732">
        <f t="shared" si="117"/>
        <v>29</v>
      </c>
      <c r="D376" s="35">
        <f t="shared" si="118"/>
        <v>2</v>
      </c>
      <c r="E376" s="889">
        <f t="shared" si="135"/>
        <v>58500</v>
      </c>
      <c r="F376" s="822">
        <f t="shared" si="119"/>
        <v>2</v>
      </c>
      <c r="G376" s="126">
        <f t="shared" si="120"/>
        <v>0</v>
      </c>
      <c r="H376" s="1098">
        <f t="shared" si="136"/>
        <v>0</v>
      </c>
      <c r="I376" s="887">
        <f t="shared" si="133"/>
        <v>357</v>
      </c>
      <c r="J376" s="1099">
        <f t="shared" si="126"/>
        <v>357</v>
      </c>
      <c r="K376" s="891" t="str">
        <f t="shared" si="127"/>
        <v>February</v>
      </c>
      <c r="L376" s="888">
        <f t="shared" si="134"/>
        <v>2060</v>
      </c>
      <c r="M376" s="883">
        <f t="shared" si="128"/>
        <v>0</v>
      </c>
      <c r="N376" s="883">
        <f t="shared" si="129"/>
        <v>0</v>
      </c>
      <c r="O376" s="1100"/>
      <c r="P376" s="883">
        <f t="shared" si="121"/>
        <v>0</v>
      </c>
      <c r="Q376" s="884">
        <f t="shared" si="130"/>
        <v>0</v>
      </c>
      <c r="R376" s="884">
        <f>IF(AND($AR$39="Early Payoff",I376&gt;=$R$13),0,IF($I376&lt;=$R$6,SUM($P$20:$P376),0))</f>
        <v>0</v>
      </c>
      <c r="S376" s="884">
        <f>IF(AND($AR$39="Early Payoff",I376&gt;=$R$13),0,IF($I376&lt;=$R$6,SUM($Q$20:$Q376),0))</f>
        <v>0</v>
      </c>
      <c r="T376" s="873">
        <f t="shared" si="131"/>
        <v>0</v>
      </c>
      <c r="U376" s="1110">
        <f t="shared" si="137"/>
        <v>0</v>
      </c>
      <c r="W376" s="1102">
        <f t="shared" si="122"/>
        <v>0</v>
      </c>
      <c r="X376" s="873">
        <f t="shared" si="123"/>
        <v>0</v>
      </c>
      <c r="Y376" s="873">
        <f t="shared" si="124"/>
        <v>0</v>
      </c>
      <c r="Z376" s="885">
        <f t="shared" si="125"/>
        <v>0</v>
      </c>
    </row>
    <row r="377" spans="2:26" s="278" customFormat="1" ht="12" customHeight="1" x14ac:dyDescent="0.25">
      <c r="B377" s="1192">
        <f t="shared" si="132"/>
        <v>377</v>
      </c>
      <c r="C377" s="732">
        <f t="shared" si="117"/>
        <v>31</v>
      </c>
      <c r="D377" s="35">
        <f t="shared" si="118"/>
        <v>3</v>
      </c>
      <c r="E377" s="889">
        <f t="shared" si="135"/>
        <v>58531</v>
      </c>
      <c r="F377" s="822">
        <f t="shared" si="119"/>
        <v>3</v>
      </c>
      <c r="G377" s="126">
        <f t="shared" si="120"/>
        <v>0</v>
      </c>
      <c r="H377" s="1098">
        <f t="shared" si="136"/>
        <v>0</v>
      </c>
      <c r="I377" s="887">
        <f t="shared" si="133"/>
        <v>358</v>
      </c>
      <c r="J377" s="1099">
        <f t="shared" si="126"/>
        <v>358</v>
      </c>
      <c r="K377" s="891" t="str">
        <f t="shared" si="127"/>
        <v>March</v>
      </c>
      <c r="L377" s="888">
        <f t="shared" si="134"/>
        <v>2060</v>
      </c>
      <c r="M377" s="883">
        <f t="shared" si="128"/>
        <v>0</v>
      </c>
      <c r="N377" s="883">
        <f t="shared" si="129"/>
        <v>0</v>
      </c>
      <c r="O377" s="1100"/>
      <c r="P377" s="883">
        <f t="shared" si="121"/>
        <v>0</v>
      </c>
      <c r="Q377" s="884">
        <f t="shared" si="130"/>
        <v>0</v>
      </c>
      <c r="R377" s="884">
        <f>IF(AND($AR$39="Early Payoff",I377&gt;=$R$13),0,IF($I377&lt;=$R$6,SUM($P$20:$P377),0))</f>
        <v>0</v>
      </c>
      <c r="S377" s="884">
        <f>IF(AND($AR$39="Early Payoff",I377&gt;=$R$13),0,IF($I377&lt;=$R$6,SUM($Q$20:$Q377),0))</f>
        <v>0</v>
      </c>
      <c r="T377" s="873">
        <f t="shared" si="131"/>
        <v>0</v>
      </c>
      <c r="U377" s="1110">
        <f t="shared" si="137"/>
        <v>0</v>
      </c>
      <c r="W377" s="1102">
        <f t="shared" si="122"/>
        <v>0</v>
      </c>
      <c r="X377" s="873">
        <f t="shared" si="123"/>
        <v>0</v>
      </c>
      <c r="Y377" s="873">
        <f t="shared" si="124"/>
        <v>0</v>
      </c>
      <c r="Z377" s="885">
        <f t="shared" si="125"/>
        <v>0</v>
      </c>
    </row>
    <row r="378" spans="2:26" s="278" customFormat="1" ht="12" customHeight="1" x14ac:dyDescent="0.25">
      <c r="B378" s="1192">
        <f t="shared" si="132"/>
        <v>378</v>
      </c>
      <c r="C378" s="732">
        <f t="shared" si="117"/>
        <v>30</v>
      </c>
      <c r="D378" s="35">
        <f t="shared" si="118"/>
        <v>4</v>
      </c>
      <c r="E378" s="889">
        <f t="shared" si="135"/>
        <v>58561</v>
      </c>
      <c r="F378" s="822">
        <f t="shared" si="119"/>
        <v>4</v>
      </c>
      <c r="G378" s="126">
        <f t="shared" si="120"/>
        <v>0</v>
      </c>
      <c r="H378" s="1098">
        <f t="shared" si="136"/>
        <v>0</v>
      </c>
      <c r="I378" s="887">
        <f t="shared" si="133"/>
        <v>359</v>
      </c>
      <c r="J378" s="1099">
        <f t="shared" si="126"/>
        <v>359</v>
      </c>
      <c r="K378" s="891" t="str">
        <f t="shared" si="127"/>
        <v>April</v>
      </c>
      <c r="L378" s="888">
        <f t="shared" si="134"/>
        <v>2060</v>
      </c>
      <c r="M378" s="883">
        <f t="shared" si="128"/>
        <v>0</v>
      </c>
      <c r="N378" s="883">
        <f t="shared" si="129"/>
        <v>0</v>
      </c>
      <c r="O378" s="1100"/>
      <c r="P378" s="883">
        <f t="shared" si="121"/>
        <v>0</v>
      </c>
      <c r="Q378" s="884">
        <f t="shared" si="130"/>
        <v>0</v>
      </c>
      <c r="R378" s="884">
        <f>IF(AND($AR$39="Early Payoff",I378&gt;=$R$13),0,IF($I378&lt;=$R$6,SUM($P$20:$P378),0))</f>
        <v>0</v>
      </c>
      <c r="S378" s="884">
        <f>IF(AND($AR$39="Early Payoff",I378&gt;=$R$13),0,IF($I378&lt;=$R$6,SUM($Q$20:$Q378),0))</f>
        <v>0</v>
      </c>
      <c r="T378" s="873">
        <f t="shared" si="131"/>
        <v>0</v>
      </c>
      <c r="U378" s="1110">
        <f t="shared" si="137"/>
        <v>0</v>
      </c>
      <c r="W378" s="1102">
        <f t="shared" si="122"/>
        <v>0</v>
      </c>
      <c r="X378" s="873">
        <f t="shared" si="123"/>
        <v>0</v>
      </c>
      <c r="Y378" s="873">
        <f t="shared" si="124"/>
        <v>0</v>
      </c>
      <c r="Z378" s="885">
        <f t="shared" si="125"/>
        <v>0</v>
      </c>
    </row>
    <row r="379" spans="2:26" s="278" customFormat="1" ht="12" customHeight="1" x14ac:dyDescent="0.25">
      <c r="B379" s="1192">
        <f t="shared" si="132"/>
        <v>379</v>
      </c>
      <c r="C379" s="732">
        <f t="shared" si="117"/>
        <v>31</v>
      </c>
      <c r="D379" s="35">
        <f t="shared" si="118"/>
        <v>5</v>
      </c>
      <c r="E379" s="889">
        <f t="shared" ref="E379:E440" si="138">DATE(L379,D379,C379)</f>
        <v>58592</v>
      </c>
      <c r="F379" s="822">
        <f t="shared" si="119"/>
        <v>5</v>
      </c>
      <c r="G379" s="126">
        <f t="shared" si="120"/>
        <v>0</v>
      </c>
      <c r="H379" s="1098">
        <f t="shared" si="136"/>
        <v>0</v>
      </c>
      <c r="I379" s="887">
        <f t="shared" si="133"/>
        <v>360</v>
      </c>
      <c r="J379" s="1099">
        <f t="shared" si="126"/>
        <v>360</v>
      </c>
      <c r="K379" s="891" t="str">
        <f t="shared" si="127"/>
        <v>May</v>
      </c>
      <c r="L379" s="888">
        <f t="shared" si="134"/>
        <v>2060</v>
      </c>
      <c r="M379" s="883">
        <f t="shared" si="128"/>
        <v>0</v>
      </c>
      <c r="N379" s="883">
        <f t="shared" ref="N379:N440" si="139">IF(AND($AR$39="Early Payoff",I379&gt;=$R$13),0,IF($I379&gt;$R$6,0,IF(AND($AQ$29&gt;=0,$I379&lt;=$AQ$29),0,IF(AND($AQ$27&gt;=0,$I379&lt;=$AQ$27),$Q379,IF(AND($S$4="Annual",$AQ$27&gt;=0,$AQ$29&gt;=0,$I379&gt;$AQ$27,$I379&gt;$AQ$29),PMT($L$7,($R$6-$AQ$27),$L$4),IF(AND($S$4="Bi-Annual",$AQ$27&gt;=0,$AQ$29&gt;=0,$I379&gt;$AQ$27,$I379&gt;$AQ$29),PMT($L$7/2,($R$6-$AQ$27),$L$4),IF(AND($S$4="Monthly",$AQ$27&gt;=0,$AQ$29&gt;=0,$I379&gt;$AQ$27,$I379&gt;$AQ$29),PMT($L$7/12,($R$6-$AQ$27),$L$4))))))))-O379</f>
        <v>0</v>
      </c>
      <c r="O379" s="1100"/>
      <c r="P379" s="883">
        <f t="shared" ref="P379:P440" si="140">IF(AND($AR$39="Early Payoff",I379&gt;=$R$13),0,IF($I379&gt;$R$6,0,IF(AND($AQ$29&gt;0,$I379&lt;=$AQ$29),0,+$N379-$Q379)))</f>
        <v>0</v>
      </c>
      <c r="Q379" s="884">
        <f t="shared" ref="Q379:Q440" si="141">IF(AND($AR$39="Early Payoff",I379&gt;=$R$13),0,IF($S$4="Annual",-$L$7*$T378*1,IF($S$4="Bi-Annual",(-$L$7/2)*$T378*1,IF($S$4="Monthly",(-$L$7/12)*$T378*1))))</f>
        <v>0</v>
      </c>
      <c r="R379" s="884">
        <f>IF(AND($AR$39="Early Payoff",I379&gt;=$R$13),0,IF($I379&lt;=$R$6,SUM($P$20:$P379),0))</f>
        <v>0</v>
      </c>
      <c r="S379" s="884">
        <f>IF(AND($AR$39="Early Payoff",I379&gt;=$R$13),0,IF($I379&lt;=$R$6,SUM($Q$20:$Q379),0))</f>
        <v>0</v>
      </c>
      <c r="T379" s="873">
        <f>IF($J379&lt;=$R$13,SUM($M379,$P379),0)</f>
        <v>0</v>
      </c>
      <c r="U379" s="1110">
        <f t="shared" si="137"/>
        <v>0</v>
      </c>
      <c r="W379" s="1102">
        <f t="shared" si="122"/>
        <v>0</v>
      </c>
      <c r="X379" s="873">
        <f t="shared" si="123"/>
        <v>0</v>
      </c>
      <c r="Y379" s="873">
        <f t="shared" si="124"/>
        <v>0</v>
      </c>
      <c r="Z379" s="885">
        <f t="shared" si="125"/>
        <v>0</v>
      </c>
    </row>
    <row r="380" spans="2:26" s="278" customFormat="1" ht="13.5" x14ac:dyDescent="0.25">
      <c r="B380" s="1192">
        <f t="shared" si="132"/>
        <v>380</v>
      </c>
      <c r="C380" s="732">
        <f t="shared" si="117"/>
        <v>30</v>
      </c>
      <c r="D380" s="35">
        <f t="shared" si="118"/>
        <v>6</v>
      </c>
      <c r="E380" s="889">
        <f t="shared" si="138"/>
        <v>58622</v>
      </c>
      <c r="F380" s="822">
        <f t="shared" si="119"/>
        <v>6</v>
      </c>
      <c r="G380" s="126">
        <f t="shared" si="120"/>
        <v>0</v>
      </c>
      <c r="H380" s="1098">
        <f t="shared" si="136"/>
        <v>0</v>
      </c>
      <c r="I380" s="887">
        <f t="shared" si="133"/>
        <v>361</v>
      </c>
      <c r="J380" s="1099">
        <f t="shared" si="126"/>
        <v>361</v>
      </c>
      <c r="K380" s="891" t="str">
        <f t="shared" si="127"/>
        <v>June</v>
      </c>
      <c r="L380" s="888">
        <f t="shared" si="134"/>
        <v>2060</v>
      </c>
      <c r="M380" s="883">
        <f t="shared" si="128"/>
        <v>0</v>
      </c>
      <c r="N380" s="883">
        <f t="shared" si="139"/>
        <v>0</v>
      </c>
      <c r="O380" s="1100"/>
      <c r="P380" s="883">
        <f t="shared" si="140"/>
        <v>0</v>
      </c>
      <c r="Q380" s="884">
        <f t="shared" si="141"/>
        <v>0</v>
      </c>
      <c r="R380" s="884">
        <f>IF(AND($AR$39="Early Payoff",I380&gt;=$R$13),0,IF($I380&lt;=$R$6,SUM($P$20:$P380),0))</f>
        <v>0</v>
      </c>
      <c r="S380" s="884">
        <f>IF(AND($AR$39="Early Payoff",I380&gt;=$R$13),0,IF($I380&lt;=$R$6,SUM($Q$20:$Q380),0))</f>
        <v>0</v>
      </c>
      <c r="T380" s="873">
        <f t="shared" si="131"/>
        <v>0</v>
      </c>
      <c r="U380" s="1110">
        <f t="shared" si="137"/>
        <v>0</v>
      </c>
      <c r="W380" s="360"/>
      <c r="X380" s="360"/>
      <c r="Y380" s="360"/>
      <c r="Z380" s="360"/>
    </row>
    <row r="381" spans="2:26" s="278" customFormat="1" ht="13.5" x14ac:dyDescent="0.25">
      <c r="B381" s="1192">
        <f t="shared" si="132"/>
        <v>381</v>
      </c>
      <c r="C381" s="732">
        <f t="shared" si="117"/>
        <v>31</v>
      </c>
      <c r="D381" s="35">
        <f t="shared" si="118"/>
        <v>7</v>
      </c>
      <c r="E381" s="889">
        <f t="shared" si="138"/>
        <v>58653</v>
      </c>
      <c r="F381" s="822">
        <f t="shared" si="119"/>
        <v>7</v>
      </c>
      <c r="G381" s="126">
        <f t="shared" si="120"/>
        <v>0</v>
      </c>
      <c r="H381" s="1098">
        <f t="shared" si="136"/>
        <v>0</v>
      </c>
      <c r="I381" s="887">
        <f t="shared" si="133"/>
        <v>362</v>
      </c>
      <c r="J381" s="1099">
        <f t="shared" si="126"/>
        <v>362</v>
      </c>
      <c r="K381" s="891" t="str">
        <f t="shared" si="127"/>
        <v>July</v>
      </c>
      <c r="L381" s="888">
        <f t="shared" si="134"/>
        <v>2060</v>
      </c>
      <c r="M381" s="883">
        <f t="shared" si="128"/>
        <v>0</v>
      </c>
      <c r="N381" s="883">
        <f t="shared" si="139"/>
        <v>0</v>
      </c>
      <c r="O381" s="1100"/>
      <c r="P381" s="883">
        <f t="shared" si="140"/>
        <v>0</v>
      </c>
      <c r="Q381" s="884">
        <f t="shared" si="141"/>
        <v>0</v>
      </c>
      <c r="R381" s="884">
        <f>IF(AND($AR$39="Early Payoff",I381&gt;=$R$13),0,IF($I381&lt;=$R$6,SUM($P$20:$P381),0))</f>
        <v>0</v>
      </c>
      <c r="S381" s="884">
        <f>IF(AND($AR$39="Early Payoff",I381&gt;=$R$13),0,IF($I381&lt;=$R$6,SUM($Q$20:$Q381),0))</f>
        <v>0</v>
      </c>
      <c r="T381" s="873">
        <f t="shared" si="131"/>
        <v>0</v>
      </c>
      <c r="U381" s="1110">
        <f t="shared" si="137"/>
        <v>0</v>
      </c>
      <c r="W381" s="345"/>
      <c r="X381" s="345"/>
      <c r="Y381" s="345"/>
      <c r="Z381" s="345"/>
    </row>
    <row r="382" spans="2:26" s="278" customFormat="1" ht="13.5" x14ac:dyDescent="0.25">
      <c r="B382" s="1192">
        <f t="shared" si="132"/>
        <v>382</v>
      </c>
      <c r="C382" s="732">
        <f t="shared" si="117"/>
        <v>31</v>
      </c>
      <c r="D382" s="35">
        <f t="shared" si="118"/>
        <v>8</v>
      </c>
      <c r="E382" s="889">
        <f t="shared" si="138"/>
        <v>58684</v>
      </c>
      <c r="F382" s="822">
        <f t="shared" si="119"/>
        <v>8</v>
      </c>
      <c r="G382" s="126">
        <f t="shared" si="120"/>
        <v>0</v>
      </c>
      <c r="H382" s="1098">
        <f t="shared" si="136"/>
        <v>0</v>
      </c>
      <c r="I382" s="887">
        <f t="shared" si="133"/>
        <v>363</v>
      </c>
      <c r="J382" s="1099">
        <f t="shared" si="126"/>
        <v>363</v>
      </c>
      <c r="K382" s="891" t="str">
        <f t="shared" si="127"/>
        <v>August</v>
      </c>
      <c r="L382" s="888">
        <f t="shared" si="134"/>
        <v>2060</v>
      </c>
      <c r="M382" s="883">
        <f t="shared" si="128"/>
        <v>0</v>
      </c>
      <c r="N382" s="883">
        <f t="shared" si="139"/>
        <v>0</v>
      </c>
      <c r="O382" s="1100"/>
      <c r="P382" s="883">
        <f t="shared" si="140"/>
        <v>0</v>
      </c>
      <c r="Q382" s="884">
        <f t="shared" si="141"/>
        <v>0</v>
      </c>
      <c r="R382" s="884">
        <f>IF(AND($AR$39="Early Payoff",I382&gt;=$R$13),0,IF($I382&lt;=$R$6,SUM($P$20:$P382),0))</f>
        <v>0</v>
      </c>
      <c r="S382" s="884">
        <f>IF(AND($AR$39="Early Payoff",I382&gt;=$R$13),0,IF($I382&lt;=$R$6,SUM($Q$20:$Q382),0))</f>
        <v>0</v>
      </c>
      <c r="T382" s="873">
        <f t="shared" si="131"/>
        <v>0</v>
      </c>
      <c r="U382" s="1110">
        <f t="shared" si="137"/>
        <v>0</v>
      </c>
      <c r="W382" s="345"/>
      <c r="X382" s="345"/>
      <c r="Y382" s="345"/>
      <c r="Z382" s="345"/>
    </row>
    <row r="383" spans="2:26" s="278" customFormat="1" ht="13.5" x14ac:dyDescent="0.25">
      <c r="B383" s="1192">
        <f t="shared" si="132"/>
        <v>383</v>
      </c>
      <c r="C383" s="732">
        <f t="shared" si="117"/>
        <v>30</v>
      </c>
      <c r="D383" s="35">
        <f t="shared" si="118"/>
        <v>9</v>
      </c>
      <c r="E383" s="889">
        <f t="shared" si="138"/>
        <v>58714</v>
      </c>
      <c r="F383" s="822">
        <f t="shared" si="119"/>
        <v>9</v>
      </c>
      <c r="G383" s="126">
        <f t="shared" si="120"/>
        <v>0</v>
      </c>
      <c r="H383" s="1098">
        <f t="shared" si="136"/>
        <v>0</v>
      </c>
      <c r="I383" s="887">
        <f t="shared" si="133"/>
        <v>364</v>
      </c>
      <c r="J383" s="1099">
        <f t="shared" si="126"/>
        <v>364</v>
      </c>
      <c r="K383" s="891" t="str">
        <f t="shared" si="127"/>
        <v>September</v>
      </c>
      <c r="L383" s="888">
        <f t="shared" si="134"/>
        <v>2060</v>
      </c>
      <c r="M383" s="883">
        <f t="shared" si="128"/>
        <v>0</v>
      </c>
      <c r="N383" s="883">
        <f t="shared" si="139"/>
        <v>0</v>
      </c>
      <c r="O383" s="1100"/>
      <c r="P383" s="883">
        <f t="shared" si="140"/>
        <v>0</v>
      </c>
      <c r="Q383" s="884">
        <f t="shared" si="141"/>
        <v>0</v>
      </c>
      <c r="R383" s="884">
        <f>IF(AND($AR$39="Early Payoff",I383&gt;=$R$13),0,IF($I383&lt;=$R$6,SUM($P$20:$P383),0))</f>
        <v>0</v>
      </c>
      <c r="S383" s="884">
        <f>IF(AND($AR$39="Early Payoff",I383&gt;=$R$13),0,IF($I383&lt;=$R$6,SUM($Q$20:$Q383),0))</f>
        <v>0</v>
      </c>
      <c r="T383" s="873">
        <f t="shared" si="131"/>
        <v>0</v>
      </c>
      <c r="U383" s="1110">
        <f t="shared" si="137"/>
        <v>0</v>
      </c>
    </row>
    <row r="384" spans="2:26" s="278" customFormat="1" ht="13.5" x14ac:dyDescent="0.25">
      <c r="B384" s="1192">
        <f t="shared" si="132"/>
        <v>384</v>
      </c>
      <c r="C384" s="732">
        <f t="shared" si="117"/>
        <v>31</v>
      </c>
      <c r="D384" s="35">
        <f t="shared" si="118"/>
        <v>10</v>
      </c>
      <c r="E384" s="889">
        <f t="shared" si="138"/>
        <v>58745</v>
      </c>
      <c r="F384" s="822">
        <f t="shared" si="119"/>
        <v>10</v>
      </c>
      <c r="G384" s="126">
        <f t="shared" si="120"/>
        <v>0</v>
      </c>
      <c r="H384" s="1098">
        <f t="shared" si="136"/>
        <v>0</v>
      </c>
      <c r="I384" s="887">
        <f t="shared" si="133"/>
        <v>365</v>
      </c>
      <c r="J384" s="1099">
        <f t="shared" si="126"/>
        <v>365</v>
      </c>
      <c r="K384" s="891" t="str">
        <f t="shared" si="127"/>
        <v>October</v>
      </c>
      <c r="L384" s="888">
        <f t="shared" si="134"/>
        <v>2060</v>
      </c>
      <c r="M384" s="883">
        <f t="shared" si="128"/>
        <v>0</v>
      </c>
      <c r="N384" s="883">
        <f t="shared" si="139"/>
        <v>0</v>
      </c>
      <c r="O384" s="1100"/>
      <c r="P384" s="883">
        <f t="shared" si="140"/>
        <v>0</v>
      </c>
      <c r="Q384" s="884">
        <f t="shared" si="141"/>
        <v>0</v>
      </c>
      <c r="R384" s="884">
        <f>IF(AND($AR$39="Early Payoff",I384&gt;=$R$13),0,IF($I384&lt;=$R$6,SUM($P$20:$P384),0))</f>
        <v>0</v>
      </c>
      <c r="S384" s="884">
        <f>IF(AND($AR$39="Early Payoff",I384&gt;=$R$13),0,IF($I384&lt;=$R$6,SUM($Q$20:$Q384),0))</f>
        <v>0</v>
      </c>
      <c r="T384" s="873">
        <f t="shared" si="131"/>
        <v>0</v>
      </c>
      <c r="U384" s="1110">
        <f t="shared" si="137"/>
        <v>0</v>
      </c>
    </row>
    <row r="385" spans="2:21" s="278" customFormat="1" ht="13.5" x14ac:dyDescent="0.25">
      <c r="B385" s="1192">
        <f t="shared" si="132"/>
        <v>385</v>
      </c>
      <c r="C385" s="732">
        <f t="shared" si="117"/>
        <v>30</v>
      </c>
      <c r="D385" s="35">
        <f t="shared" si="118"/>
        <v>11</v>
      </c>
      <c r="E385" s="889">
        <f t="shared" si="138"/>
        <v>58775</v>
      </c>
      <c r="F385" s="822">
        <f t="shared" si="119"/>
        <v>11</v>
      </c>
      <c r="G385" s="126">
        <f t="shared" si="120"/>
        <v>0</v>
      </c>
      <c r="H385" s="1098">
        <f t="shared" si="136"/>
        <v>0</v>
      </c>
      <c r="I385" s="887">
        <f t="shared" si="133"/>
        <v>366</v>
      </c>
      <c r="J385" s="1099">
        <f t="shared" si="126"/>
        <v>366</v>
      </c>
      <c r="K385" s="891" t="str">
        <f t="shared" si="127"/>
        <v>November</v>
      </c>
      <c r="L385" s="888">
        <f t="shared" si="134"/>
        <v>2060</v>
      </c>
      <c r="M385" s="883">
        <f t="shared" si="128"/>
        <v>0</v>
      </c>
      <c r="N385" s="883">
        <f t="shared" si="139"/>
        <v>0</v>
      </c>
      <c r="O385" s="1100"/>
      <c r="P385" s="883">
        <f t="shared" si="140"/>
        <v>0</v>
      </c>
      <c r="Q385" s="884">
        <f t="shared" si="141"/>
        <v>0</v>
      </c>
      <c r="R385" s="884">
        <f>IF(AND($AR$39="Early Payoff",I385&gt;=$R$13),0,IF($I385&lt;=$R$6,SUM($P$20:$P385),0))</f>
        <v>0</v>
      </c>
      <c r="S385" s="884">
        <f>IF(AND($AR$39="Early Payoff",I385&gt;=$R$13),0,IF($I385&lt;=$R$6,SUM($Q$20:$Q385),0))</f>
        <v>0</v>
      </c>
      <c r="T385" s="873">
        <f t="shared" si="131"/>
        <v>0</v>
      </c>
      <c r="U385" s="1110">
        <f t="shared" si="137"/>
        <v>0</v>
      </c>
    </row>
    <row r="386" spans="2:21" s="278" customFormat="1" ht="13.5" x14ac:dyDescent="0.25">
      <c r="B386" s="1192">
        <f t="shared" si="132"/>
        <v>386</v>
      </c>
      <c r="C386" s="732">
        <f t="shared" si="117"/>
        <v>31</v>
      </c>
      <c r="D386" s="35">
        <f t="shared" si="118"/>
        <v>12</v>
      </c>
      <c r="E386" s="889">
        <f t="shared" si="138"/>
        <v>58806</v>
      </c>
      <c r="F386" s="822">
        <f t="shared" si="119"/>
        <v>12</v>
      </c>
      <c r="G386" s="126">
        <f t="shared" si="120"/>
        <v>1</v>
      </c>
      <c r="H386" s="1098">
        <f t="shared" si="136"/>
        <v>0</v>
      </c>
      <c r="I386" s="887">
        <f t="shared" si="133"/>
        <v>367</v>
      </c>
      <c r="J386" s="1099">
        <f t="shared" si="126"/>
        <v>367</v>
      </c>
      <c r="K386" s="891" t="str">
        <f t="shared" si="127"/>
        <v>December</v>
      </c>
      <c r="L386" s="888">
        <f t="shared" si="134"/>
        <v>2060</v>
      </c>
      <c r="M386" s="883">
        <f t="shared" si="128"/>
        <v>0</v>
      </c>
      <c r="N386" s="883">
        <f t="shared" si="139"/>
        <v>0</v>
      </c>
      <c r="O386" s="1100"/>
      <c r="P386" s="883">
        <f t="shared" si="140"/>
        <v>0</v>
      </c>
      <c r="Q386" s="884">
        <f t="shared" si="141"/>
        <v>0</v>
      </c>
      <c r="R386" s="884">
        <f>IF(AND($AR$39="Early Payoff",I386&gt;=$R$13),0,IF($I386&lt;=$R$6,SUM($P$20:$P386),0))</f>
        <v>0</v>
      </c>
      <c r="S386" s="884">
        <f>IF(AND($AR$39="Early Payoff",I386&gt;=$R$13),0,IF($I386&lt;=$R$6,SUM($Q$20:$Q386),0))</f>
        <v>0</v>
      </c>
      <c r="T386" s="873">
        <f t="shared" si="131"/>
        <v>0</v>
      </c>
      <c r="U386" s="1110">
        <f t="shared" si="137"/>
        <v>0</v>
      </c>
    </row>
    <row r="387" spans="2:21" s="278" customFormat="1" ht="13.5" x14ac:dyDescent="0.25">
      <c r="B387" s="1192">
        <f t="shared" si="132"/>
        <v>387</v>
      </c>
      <c r="C387" s="732">
        <f t="shared" si="117"/>
        <v>31</v>
      </c>
      <c r="D387" s="35">
        <f t="shared" si="118"/>
        <v>1</v>
      </c>
      <c r="E387" s="889">
        <f t="shared" si="138"/>
        <v>58837</v>
      </c>
      <c r="F387" s="822">
        <f t="shared" si="119"/>
        <v>1</v>
      </c>
      <c r="G387" s="126">
        <f t="shared" si="120"/>
        <v>0</v>
      </c>
      <c r="H387" s="1098">
        <f t="shared" si="136"/>
        <v>0</v>
      </c>
      <c r="I387" s="887">
        <f t="shared" si="133"/>
        <v>368</v>
      </c>
      <c r="J387" s="1099">
        <f t="shared" si="126"/>
        <v>368</v>
      </c>
      <c r="K387" s="891" t="str">
        <f t="shared" si="127"/>
        <v>January</v>
      </c>
      <c r="L387" s="888">
        <f t="shared" si="134"/>
        <v>2061</v>
      </c>
      <c r="M387" s="883">
        <f t="shared" si="128"/>
        <v>0</v>
      </c>
      <c r="N387" s="883">
        <f t="shared" si="139"/>
        <v>0</v>
      </c>
      <c r="O387" s="1100"/>
      <c r="P387" s="883">
        <f t="shared" si="140"/>
        <v>0</v>
      </c>
      <c r="Q387" s="884">
        <f t="shared" si="141"/>
        <v>0</v>
      </c>
      <c r="R387" s="884">
        <f>IF(AND($AR$39="Early Payoff",I387&gt;=$R$13),0,IF($I387&lt;=$R$6,SUM($P$20:$P387),0))</f>
        <v>0</v>
      </c>
      <c r="S387" s="884">
        <f>IF(AND($AR$39="Early Payoff",I387&gt;=$R$13),0,IF($I387&lt;=$R$6,SUM($Q$20:$Q387),0))</f>
        <v>0</v>
      </c>
      <c r="T387" s="873">
        <f t="shared" si="131"/>
        <v>0</v>
      </c>
      <c r="U387" s="1110">
        <f t="shared" si="137"/>
        <v>0</v>
      </c>
    </row>
    <row r="388" spans="2:21" s="278" customFormat="1" ht="13.5" x14ac:dyDescent="0.25">
      <c r="B388" s="1192">
        <f t="shared" si="132"/>
        <v>388</v>
      </c>
      <c r="C388" s="732">
        <f t="shared" si="117"/>
        <v>28</v>
      </c>
      <c r="D388" s="35">
        <f t="shared" si="118"/>
        <v>2</v>
      </c>
      <c r="E388" s="889">
        <f t="shared" si="138"/>
        <v>58865</v>
      </c>
      <c r="F388" s="822">
        <f t="shared" si="119"/>
        <v>2</v>
      </c>
      <c r="G388" s="126">
        <f t="shared" si="120"/>
        <v>0</v>
      </c>
      <c r="H388" s="1098">
        <f t="shared" si="136"/>
        <v>0</v>
      </c>
      <c r="I388" s="887">
        <f t="shared" si="133"/>
        <v>369</v>
      </c>
      <c r="J388" s="1099">
        <f t="shared" si="126"/>
        <v>369</v>
      </c>
      <c r="K388" s="891" t="str">
        <f t="shared" si="127"/>
        <v>February</v>
      </c>
      <c r="L388" s="888">
        <f t="shared" si="134"/>
        <v>2061</v>
      </c>
      <c r="M388" s="883">
        <f t="shared" si="128"/>
        <v>0</v>
      </c>
      <c r="N388" s="883">
        <f t="shared" si="139"/>
        <v>0</v>
      </c>
      <c r="O388" s="1100"/>
      <c r="P388" s="883">
        <f t="shared" si="140"/>
        <v>0</v>
      </c>
      <c r="Q388" s="884">
        <f t="shared" si="141"/>
        <v>0</v>
      </c>
      <c r="R388" s="884">
        <f>IF(AND($AR$39="Early Payoff",I388&gt;=$R$13),0,IF($I388&lt;=$R$6,SUM($P$20:$P388),0))</f>
        <v>0</v>
      </c>
      <c r="S388" s="884">
        <f>IF(AND($AR$39="Early Payoff",I388&gt;=$R$13),0,IF($I388&lt;=$R$6,SUM($Q$20:$Q388),0))</f>
        <v>0</v>
      </c>
      <c r="T388" s="873">
        <f t="shared" si="131"/>
        <v>0</v>
      </c>
      <c r="U388" s="1110">
        <f t="shared" si="137"/>
        <v>0</v>
      </c>
    </row>
    <row r="389" spans="2:21" s="278" customFormat="1" ht="13.5" x14ac:dyDescent="0.25">
      <c r="B389" s="1192">
        <f t="shared" si="132"/>
        <v>389</v>
      </c>
      <c r="C389" s="732">
        <f t="shared" si="117"/>
        <v>31</v>
      </c>
      <c r="D389" s="35">
        <f t="shared" si="118"/>
        <v>3</v>
      </c>
      <c r="E389" s="889">
        <f t="shared" si="138"/>
        <v>58896</v>
      </c>
      <c r="F389" s="822">
        <f t="shared" si="119"/>
        <v>3</v>
      </c>
      <c r="G389" s="126">
        <f t="shared" si="120"/>
        <v>0</v>
      </c>
      <c r="H389" s="1098">
        <f t="shared" si="136"/>
        <v>0</v>
      </c>
      <c r="I389" s="887">
        <f t="shared" si="133"/>
        <v>370</v>
      </c>
      <c r="J389" s="1099">
        <f t="shared" si="126"/>
        <v>370</v>
      </c>
      <c r="K389" s="891" t="str">
        <f t="shared" si="127"/>
        <v>March</v>
      </c>
      <c r="L389" s="888">
        <f t="shared" si="134"/>
        <v>2061</v>
      </c>
      <c r="M389" s="883">
        <f t="shared" si="128"/>
        <v>0</v>
      </c>
      <c r="N389" s="883">
        <f t="shared" si="139"/>
        <v>0</v>
      </c>
      <c r="O389" s="1100"/>
      <c r="P389" s="883">
        <f t="shared" si="140"/>
        <v>0</v>
      </c>
      <c r="Q389" s="884">
        <f t="shared" si="141"/>
        <v>0</v>
      </c>
      <c r="R389" s="884">
        <f>IF(AND($AR$39="Early Payoff",I389&gt;=$R$13),0,IF($I389&lt;=$R$6,SUM($P$20:$P389),0))</f>
        <v>0</v>
      </c>
      <c r="S389" s="884">
        <f>IF(AND($AR$39="Early Payoff",I389&gt;=$R$13),0,IF($I389&lt;=$R$6,SUM($Q$20:$Q389),0))</f>
        <v>0</v>
      </c>
      <c r="T389" s="873">
        <f t="shared" si="131"/>
        <v>0</v>
      </c>
      <c r="U389" s="1110">
        <f t="shared" si="137"/>
        <v>0</v>
      </c>
    </row>
    <row r="390" spans="2:21" s="278" customFormat="1" ht="13.5" x14ac:dyDescent="0.25">
      <c r="B390" s="1192">
        <f t="shared" si="132"/>
        <v>390</v>
      </c>
      <c r="C390" s="732">
        <f t="shared" si="117"/>
        <v>30</v>
      </c>
      <c r="D390" s="35">
        <f t="shared" si="118"/>
        <v>4</v>
      </c>
      <c r="E390" s="889">
        <f t="shared" si="138"/>
        <v>58926</v>
      </c>
      <c r="F390" s="822">
        <f t="shared" si="119"/>
        <v>4</v>
      </c>
      <c r="G390" s="126">
        <f t="shared" si="120"/>
        <v>0</v>
      </c>
      <c r="H390" s="1098">
        <f t="shared" si="136"/>
        <v>0</v>
      </c>
      <c r="I390" s="887">
        <f t="shared" si="133"/>
        <v>371</v>
      </c>
      <c r="J390" s="1099">
        <f t="shared" si="126"/>
        <v>371</v>
      </c>
      <c r="K390" s="891" t="str">
        <f t="shared" si="127"/>
        <v>April</v>
      </c>
      <c r="L390" s="888">
        <f t="shared" si="134"/>
        <v>2061</v>
      </c>
      <c r="M390" s="883">
        <f t="shared" si="128"/>
        <v>0</v>
      </c>
      <c r="N390" s="883">
        <f t="shared" si="139"/>
        <v>0</v>
      </c>
      <c r="O390" s="1100"/>
      <c r="P390" s="883">
        <f t="shared" si="140"/>
        <v>0</v>
      </c>
      <c r="Q390" s="884">
        <f t="shared" si="141"/>
        <v>0</v>
      </c>
      <c r="R390" s="884">
        <f>IF(AND($AR$39="Early Payoff",I390&gt;=$R$13),0,IF($I390&lt;=$R$6,SUM($P$20:$P390),0))</f>
        <v>0</v>
      </c>
      <c r="S390" s="884">
        <f>IF(AND($AR$39="Early Payoff",I390&gt;=$R$13),0,IF($I390&lt;=$R$6,SUM($Q$20:$Q390),0))</f>
        <v>0</v>
      </c>
      <c r="T390" s="873">
        <f t="shared" si="131"/>
        <v>0</v>
      </c>
      <c r="U390" s="1110">
        <f t="shared" si="137"/>
        <v>0</v>
      </c>
    </row>
    <row r="391" spans="2:21" s="278" customFormat="1" ht="13.5" x14ac:dyDescent="0.25">
      <c r="B391" s="1192">
        <f t="shared" si="132"/>
        <v>391</v>
      </c>
      <c r="C391" s="732">
        <f t="shared" si="117"/>
        <v>31</v>
      </c>
      <c r="D391" s="35">
        <f t="shared" si="118"/>
        <v>5</v>
      </c>
      <c r="E391" s="889">
        <f t="shared" si="138"/>
        <v>58957</v>
      </c>
      <c r="F391" s="822">
        <f t="shared" si="119"/>
        <v>5</v>
      </c>
      <c r="G391" s="126">
        <f t="shared" si="120"/>
        <v>0</v>
      </c>
      <c r="H391" s="1098">
        <f t="shared" si="136"/>
        <v>0</v>
      </c>
      <c r="I391" s="887">
        <f t="shared" si="133"/>
        <v>372</v>
      </c>
      <c r="J391" s="1099">
        <f t="shared" si="126"/>
        <v>372</v>
      </c>
      <c r="K391" s="891" t="str">
        <f t="shared" si="127"/>
        <v>May</v>
      </c>
      <c r="L391" s="888">
        <f t="shared" si="134"/>
        <v>2061</v>
      </c>
      <c r="M391" s="883">
        <f t="shared" si="128"/>
        <v>0</v>
      </c>
      <c r="N391" s="883">
        <f t="shared" si="139"/>
        <v>0</v>
      </c>
      <c r="O391" s="1100"/>
      <c r="P391" s="883">
        <f t="shared" si="140"/>
        <v>0</v>
      </c>
      <c r="Q391" s="884">
        <f t="shared" si="141"/>
        <v>0</v>
      </c>
      <c r="R391" s="884">
        <f>IF(AND($AR$39="Early Payoff",I391&gt;=$R$13),0,IF($I391&lt;=$R$6,SUM($P$20:$P391),0))</f>
        <v>0</v>
      </c>
      <c r="S391" s="884">
        <f>IF(AND($AR$39="Early Payoff",I391&gt;=$R$13),0,IF($I391&lt;=$R$6,SUM($Q$20:$Q391),0))</f>
        <v>0</v>
      </c>
      <c r="T391" s="873">
        <f t="shared" si="131"/>
        <v>0</v>
      </c>
      <c r="U391" s="1110">
        <f t="shared" si="137"/>
        <v>0</v>
      </c>
    </row>
    <row r="392" spans="2:21" s="278" customFormat="1" ht="13.5" x14ac:dyDescent="0.25">
      <c r="B392" s="1192">
        <f t="shared" si="132"/>
        <v>392</v>
      </c>
      <c r="C392" s="732">
        <f t="shared" si="117"/>
        <v>30</v>
      </c>
      <c r="D392" s="35">
        <f t="shared" si="118"/>
        <v>6</v>
      </c>
      <c r="E392" s="889">
        <f t="shared" si="138"/>
        <v>58987</v>
      </c>
      <c r="F392" s="822">
        <f t="shared" si="119"/>
        <v>6</v>
      </c>
      <c r="G392" s="126">
        <f t="shared" si="120"/>
        <v>0</v>
      </c>
      <c r="H392" s="1098">
        <f t="shared" si="136"/>
        <v>0</v>
      </c>
      <c r="I392" s="887">
        <f t="shared" si="133"/>
        <v>373</v>
      </c>
      <c r="J392" s="1099">
        <f t="shared" si="126"/>
        <v>373</v>
      </c>
      <c r="K392" s="891" t="str">
        <f t="shared" si="127"/>
        <v>June</v>
      </c>
      <c r="L392" s="888">
        <f t="shared" si="134"/>
        <v>2061</v>
      </c>
      <c r="M392" s="883">
        <f t="shared" si="128"/>
        <v>0</v>
      </c>
      <c r="N392" s="883">
        <f t="shared" si="139"/>
        <v>0</v>
      </c>
      <c r="O392" s="1100"/>
      <c r="P392" s="883">
        <f t="shared" si="140"/>
        <v>0</v>
      </c>
      <c r="Q392" s="884">
        <f t="shared" si="141"/>
        <v>0</v>
      </c>
      <c r="R392" s="884">
        <f>IF(AND($AR$39="Early Payoff",I392&gt;=$R$13),0,IF($I392&lt;=$R$6,SUM($P$20:$P392),0))</f>
        <v>0</v>
      </c>
      <c r="S392" s="884">
        <f>IF(AND($AR$39="Early Payoff",I392&gt;=$R$13),0,IF($I392&lt;=$R$6,SUM($Q$20:$Q392),0))</f>
        <v>0</v>
      </c>
      <c r="T392" s="873">
        <f t="shared" si="131"/>
        <v>0</v>
      </c>
      <c r="U392" s="1110">
        <f t="shared" si="137"/>
        <v>0</v>
      </c>
    </row>
    <row r="393" spans="2:21" s="278" customFormat="1" ht="13.5" x14ac:dyDescent="0.25">
      <c r="B393" s="1192">
        <f t="shared" si="132"/>
        <v>393</v>
      </c>
      <c r="C393" s="732">
        <f t="shared" si="117"/>
        <v>31</v>
      </c>
      <c r="D393" s="35">
        <f t="shared" si="118"/>
        <v>7</v>
      </c>
      <c r="E393" s="889">
        <f t="shared" si="138"/>
        <v>59018</v>
      </c>
      <c r="F393" s="822">
        <f t="shared" si="119"/>
        <v>7</v>
      </c>
      <c r="G393" s="126">
        <f t="shared" si="120"/>
        <v>0</v>
      </c>
      <c r="H393" s="1098">
        <f t="shared" si="136"/>
        <v>0</v>
      </c>
      <c r="I393" s="887">
        <f t="shared" si="133"/>
        <v>374</v>
      </c>
      <c r="J393" s="1099">
        <f t="shared" si="126"/>
        <v>374</v>
      </c>
      <c r="K393" s="891" t="str">
        <f t="shared" si="127"/>
        <v>July</v>
      </c>
      <c r="L393" s="888">
        <f t="shared" si="134"/>
        <v>2061</v>
      </c>
      <c r="M393" s="883">
        <f t="shared" si="128"/>
        <v>0</v>
      </c>
      <c r="N393" s="883">
        <f t="shared" si="139"/>
        <v>0</v>
      </c>
      <c r="O393" s="1100"/>
      <c r="P393" s="883">
        <f t="shared" si="140"/>
        <v>0</v>
      </c>
      <c r="Q393" s="884">
        <f t="shared" si="141"/>
        <v>0</v>
      </c>
      <c r="R393" s="884">
        <f>IF(AND($AR$39="Early Payoff",I393&gt;=$R$13),0,IF($I393&lt;=$R$6,SUM($P$20:$P393),0))</f>
        <v>0</v>
      </c>
      <c r="S393" s="884">
        <f>IF(AND($AR$39="Early Payoff",I393&gt;=$R$13),0,IF($I393&lt;=$R$6,SUM($Q$20:$Q393),0))</f>
        <v>0</v>
      </c>
      <c r="T393" s="873">
        <f t="shared" si="131"/>
        <v>0</v>
      </c>
      <c r="U393" s="1110">
        <f t="shared" si="137"/>
        <v>0</v>
      </c>
    </row>
    <row r="394" spans="2:21" s="278" customFormat="1" ht="13.5" x14ac:dyDescent="0.25">
      <c r="B394" s="1192">
        <f t="shared" si="132"/>
        <v>394</v>
      </c>
      <c r="C394" s="732">
        <f t="shared" si="117"/>
        <v>31</v>
      </c>
      <c r="D394" s="35">
        <f t="shared" si="118"/>
        <v>8</v>
      </c>
      <c r="E394" s="889">
        <f t="shared" si="138"/>
        <v>59049</v>
      </c>
      <c r="F394" s="822">
        <f t="shared" si="119"/>
        <v>8</v>
      </c>
      <c r="G394" s="126">
        <f t="shared" si="120"/>
        <v>0</v>
      </c>
      <c r="H394" s="1098">
        <f t="shared" si="136"/>
        <v>0</v>
      </c>
      <c r="I394" s="887">
        <f t="shared" si="133"/>
        <v>375</v>
      </c>
      <c r="J394" s="1099">
        <f t="shared" si="126"/>
        <v>375</v>
      </c>
      <c r="K394" s="891" t="str">
        <f t="shared" si="127"/>
        <v>August</v>
      </c>
      <c r="L394" s="888">
        <f t="shared" si="134"/>
        <v>2061</v>
      </c>
      <c r="M394" s="883">
        <f t="shared" si="128"/>
        <v>0</v>
      </c>
      <c r="N394" s="883">
        <f t="shared" si="139"/>
        <v>0</v>
      </c>
      <c r="O394" s="1100"/>
      <c r="P394" s="883">
        <f t="shared" si="140"/>
        <v>0</v>
      </c>
      <c r="Q394" s="884">
        <f t="shared" si="141"/>
        <v>0</v>
      </c>
      <c r="R394" s="884">
        <f>IF(AND($AR$39="Early Payoff",I394&gt;=$R$13),0,IF($I394&lt;=$R$6,SUM($P$20:$P394),0))</f>
        <v>0</v>
      </c>
      <c r="S394" s="884">
        <f>IF(AND($AR$39="Early Payoff",I394&gt;=$R$13),0,IF($I394&lt;=$R$6,SUM($Q$20:$Q394),0))</f>
        <v>0</v>
      </c>
      <c r="T394" s="873">
        <f t="shared" si="131"/>
        <v>0</v>
      </c>
      <c r="U394" s="1110">
        <f t="shared" si="137"/>
        <v>0</v>
      </c>
    </row>
    <row r="395" spans="2:21" s="278" customFormat="1" ht="13.5" x14ac:dyDescent="0.25">
      <c r="B395" s="1192">
        <f t="shared" si="132"/>
        <v>395</v>
      </c>
      <c r="C395" s="732">
        <f t="shared" si="117"/>
        <v>30</v>
      </c>
      <c r="D395" s="35">
        <f t="shared" si="118"/>
        <v>9</v>
      </c>
      <c r="E395" s="889">
        <f t="shared" si="138"/>
        <v>59079</v>
      </c>
      <c r="F395" s="822">
        <f t="shared" si="119"/>
        <v>9</v>
      </c>
      <c r="G395" s="126">
        <f t="shared" si="120"/>
        <v>0</v>
      </c>
      <c r="H395" s="1098">
        <f t="shared" si="136"/>
        <v>0</v>
      </c>
      <c r="I395" s="887">
        <f t="shared" si="133"/>
        <v>376</v>
      </c>
      <c r="J395" s="1099">
        <f t="shared" si="126"/>
        <v>376</v>
      </c>
      <c r="K395" s="891" t="str">
        <f t="shared" si="127"/>
        <v>September</v>
      </c>
      <c r="L395" s="888">
        <f t="shared" si="134"/>
        <v>2061</v>
      </c>
      <c r="M395" s="883">
        <f t="shared" si="128"/>
        <v>0</v>
      </c>
      <c r="N395" s="883">
        <f t="shared" si="139"/>
        <v>0</v>
      </c>
      <c r="O395" s="1100"/>
      <c r="P395" s="883">
        <f t="shared" si="140"/>
        <v>0</v>
      </c>
      <c r="Q395" s="884">
        <f t="shared" si="141"/>
        <v>0</v>
      </c>
      <c r="R395" s="884">
        <f>IF(AND($AR$39="Early Payoff",I395&gt;=$R$13),0,IF($I395&lt;=$R$6,SUM($P$20:$P395),0))</f>
        <v>0</v>
      </c>
      <c r="S395" s="884">
        <f>IF(AND($AR$39="Early Payoff",I395&gt;=$R$13),0,IF($I395&lt;=$R$6,SUM($Q$20:$Q395),0))</f>
        <v>0</v>
      </c>
      <c r="T395" s="873">
        <f t="shared" si="131"/>
        <v>0</v>
      </c>
      <c r="U395" s="1110">
        <f t="shared" si="137"/>
        <v>0</v>
      </c>
    </row>
    <row r="396" spans="2:21" s="278" customFormat="1" ht="13.5" x14ac:dyDescent="0.25">
      <c r="B396" s="1192">
        <f t="shared" si="132"/>
        <v>396</v>
      </c>
      <c r="C396" s="732">
        <f t="shared" si="117"/>
        <v>31</v>
      </c>
      <c r="D396" s="35">
        <f t="shared" si="118"/>
        <v>10</v>
      </c>
      <c r="E396" s="889">
        <f t="shared" si="138"/>
        <v>59110</v>
      </c>
      <c r="F396" s="822">
        <f t="shared" si="119"/>
        <v>10</v>
      </c>
      <c r="G396" s="126">
        <f t="shared" si="120"/>
        <v>0</v>
      </c>
      <c r="H396" s="1098">
        <f t="shared" si="136"/>
        <v>0</v>
      </c>
      <c r="I396" s="887">
        <f t="shared" si="133"/>
        <v>377</v>
      </c>
      <c r="J396" s="1099">
        <f t="shared" si="126"/>
        <v>377</v>
      </c>
      <c r="K396" s="891" t="str">
        <f t="shared" si="127"/>
        <v>October</v>
      </c>
      <c r="L396" s="888">
        <f t="shared" si="134"/>
        <v>2061</v>
      </c>
      <c r="M396" s="883">
        <f t="shared" si="128"/>
        <v>0</v>
      </c>
      <c r="N396" s="883">
        <f t="shared" si="139"/>
        <v>0</v>
      </c>
      <c r="O396" s="1100"/>
      <c r="P396" s="883">
        <f t="shared" si="140"/>
        <v>0</v>
      </c>
      <c r="Q396" s="884">
        <f t="shared" si="141"/>
        <v>0</v>
      </c>
      <c r="R396" s="884">
        <f>IF(AND($AR$39="Early Payoff",I396&gt;=$R$13),0,IF($I396&lt;=$R$6,SUM($P$20:$P396),0))</f>
        <v>0</v>
      </c>
      <c r="S396" s="884">
        <f>IF(AND($AR$39="Early Payoff",I396&gt;=$R$13),0,IF($I396&lt;=$R$6,SUM($Q$20:$Q396),0))</f>
        <v>0</v>
      </c>
      <c r="T396" s="873">
        <f t="shared" si="131"/>
        <v>0</v>
      </c>
      <c r="U396" s="1110">
        <f t="shared" si="137"/>
        <v>0</v>
      </c>
    </row>
    <row r="397" spans="2:21" s="278" customFormat="1" ht="13.5" x14ac:dyDescent="0.25">
      <c r="B397" s="1192">
        <f t="shared" si="132"/>
        <v>397</v>
      </c>
      <c r="C397" s="732">
        <f t="shared" si="117"/>
        <v>30</v>
      </c>
      <c r="D397" s="35">
        <f t="shared" si="118"/>
        <v>11</v>
      </c>
      <c r="E397" s="889">
        <f t="shared" si="138"/>
        <v>59140</v>
      </c>
      <c r="F397" s="822">
        <f t="shared" si="119"/>
        <v>11</v>
      </c>
      <c r="G397" s="126">
        <f t="shared" si="120"/>
        <v>0</v>
      </c>
      <c r="H397" s="1098">
        <f t="shared" si="136"/>
        <v>0</v>
      </c>
      <c r="I397" s="887">
        <f t="shared" si="133"/>
        <v>378</v>
      </c>
      <c r="J397" s="1099">
        <f t="shared" si="126"/>
        <v>378</v>
      </c>
      <c r="K397" s="891" t="str">
        <f t="shared" si="127"/>
        <v>November</v>
      </c>
      <c r="L397" s="888">
        <f t="shared" si="134"/>
        <v>2061</v>
      </c>
      <c r="M397" s="883">
        <f t="shared" si="128"/>
        <v>0</v>
      </c>
      <c r="N397" s="883">
        <f t="shared" si="139"/>
        <v>0</v>
      </c>
      <c r="O397" s="1100"/>
      <c r="P397" s="883">
        <f t="shared" si="140"/>
        <v>0</v>
      </c>
      <c r="Q397" s="884">
        <f t="shared" si="141"/>
        <v>0</v>
      </c>
      <c r="R397" s="884">
        <f>IF(AND($AR$39="Early Payoff",I397&gt;=$R$13),0,IF($I397&lt;=$R$6,SUM($P$20:$P397),0))</f>
        <v>0</v>
      </c>
      <c r="S397" s="884">
        <f>IF(AND($AR$39="Early Payoff",I397&gt;=$R$13),0,IF($I397&lt;=$R$6,SUM($Q$20:$Q397),0))</f>
        <v>0</v>
      </c>
      <c r="T397" s="873">
        <f t="shared" si="131"/>
        <v>0</v>
      </c>
      <c r="U397" s="1110">
        <f t="shared" si="137"/>
        <v>0</v>
      </c>
    </row>
    <row r="398" spans="2:21" ht="13.5" x14ac:dyDescent="0.25">
      <c r="B398" s="1192">
        <f t="shared" si="132"/>
        <v>398</v>
      </c>
      <c r="C398" s="732">
        <f t="shared" si="117"/>
        <v>31</v>
      </c>
      <c r="D398" s="35">
        <f t="shared" si="118"/>
        <v>12</v>
      </c>
      <c r="E398" s="889">
        <f t="shared" si="138"/>
        <v>59171</v>
      </c>
      <c r="F398" s="822">
        <f t="shared" si="119"/>
        <v>12</v>
      </c>
      <c r="G398" s="126">
        <f t="shared" si="120"/>
        <v>1</v>
      </c>
      <c r="H398" s="1098">
        <f t="shared" si="136"/>
        <v>0</v>
      </c>
      <c r="I398" s="887">
        <f t="shared" si="133"/>
        <v>379</v>
      </c>
      <c r="J398" s="1099">
        <f t="shared" si="126"/>
        <v>379</v>
      </c>
      <c r="K398" s="891" t="str">
        <f t="shared" si="127"/>
        <v>December</v>
      </c>
      <c r="L398" s="888">
        <f t="shared" si="134"/>
        <v>2061</v>
      </c>
      <c r="M398" s="883">
        <f t="shared" si="128"/>
        <v>0</v>
      </c>
      <c r="N398" s="883">
        <f t="shared" si="139"/>
        <v>0</v>
      </c>
      <c r="O398" s="1100"/>
      <c r="P398" s="883">
        <f t="shared" si="140"/>
        <v>0</v>
      </c>
      <c r="Q398" s="884">
        <f t="shared" si="141"/>
        <v>0</v>
      </c>
      <c r="R398" s="884">
        <f>IF(AND($AR$39="Early Payoff",I398&gt;=$R$13),0,IF($I398&lt;=$R$6,SUM($P$20:$P398),0))</f>
        <v>0</v>
      </c>
      <c r="S398" s="884">
        <f>IF(AND($AR$39="Early Payoff",I398&gt;=$R$13),0,IF($I398&lt;=$R$6,SUM($Q$20:$Q398),0))</f>
        <v>0</v>
      </c>
      <c r="T398" s="873">
        <f t="shared" si="131"/>
        <v>0</v>
      </c>
      <c r="U398" s="1110">
        <f t="shared" si="137"/>
        <v>0</v>
      </c>
    </row>
    <row r="399" spans="2:21" ht="13.5" x14ac:dyDescent="0.25">
      <c r="B399" s="1192">
        <f t="shared" si="132"/>
        <v>399</v>
      </c>
      <c r="C399" s="732">
        <f t="shared" si="117"/>
        <v>31</v>
      </c>
      <c r="D399" s="35">
        <f t="shared" si="118"/>
        <v>1</v>
      </c>
      <c r="E399" s="889">
        <f t="shared" si="138"/>
        <v>59202</v>
      </c>
      <c r="F399" s="822">
        <f t="shared" si="119"/>
        <v>1</v>
      </c>
      <c r="G399" s="126">
        <f t="shared" si="120"/>
        <v>0</v>
      </c>
      <c r="H399" s="1098">
        <f t="shared" si="136"/>
        <v>0</v>
      </c>
      <c r="I399" s="887">
        <f t="shared" si="133"/>
        <v>380</v>
      </c>
      <c r="J399" s="1099">
        <f t="shared" si="126"/>
        <v>380</v>
      </c>
      <c r="K399" s="891" t="str">
        <f t="shared" si="127"/>
        <v>January</v>
      </c>
      <c r="L399" s="888">
        <f t="shared" si="134"/>
        <v>2062</v>
      </c>
      <c r="M399" s="883">
        <f t="shared" si="128"/>
        <v>0</v>
      </c>
      <c r="N399" s="883">
        <f t="shared" si="139"/>
        <v>0</v>
      </c>
      <c r="O399" s="1100"/>
      <c r="P399" s="883">
        <f t="shared" si="140"/>
        <v>0</v>
      </c>
      <c r="Q399" s="884">
        <f t="shared" si="141"/>
        <v>0</v>
      </c>
      <c r="R399" s="884">
        <f>IF(AND($AR$39="Early Payoff",I399&gt;=$R$13),0,IF($I399&lt;=$R$6,SUM($P$20:$P399),0))</f>
        <v>0</v>
      </c>
      <c r="S399" s="884">
        <f>IF(AND($AR$39="Early Payoff",I399&gt;=$R$13),0,IF($I399&lt;=$R$6,SUM($Q$20:$Q399),0))</f>
        <v>0</v>
      </c>
      <c r="T399" s="873">
        <f t="shared" si="131"/>
        <v>0</v>
      </c>
      <c r="U399" s="1110">
        <f t="shared" si="137"/>
        <v>0</v>
      </c>
    </row>
    <row r="400" spans="2:21" ht="13.5" x14ac:dyDescent="0.25">
      <c r="B400" s="1192">
        <f t="shared" si="132"/>
        <v>400</v>
      </c>
      <c r="C400" s="732">
        <f t="shared" si="117"/>
        <v>28</v>
      </c>
      <c r="D400" s="35">
        <f t="shared" si="118"/>
        <v>2</v>
      </c>
      <c r="E400" s="889">
        <f t="shared" si="138"/>
        <v>59230</v>
      </c>
      <c r="F400" s="822">
        <f t="shared" si="119"/>
        <v>2</v>
      </c>
      <c r="G400" s="126">
        <f t="shared" si="120"/>
        <v>0</v>
      </c>
      <c r="H400" s="1098">
        <f t="shared" si="136"/>
        <v>0</v>
      </c>
      <c r="I400" s="887">
        <f t="shared" si="133"/>
        <v>381</v>
      </c>
      <c r="J400" s="1099">
        <f t="shared" si="126"/>
        <v>381</v>
      </c>
      <c r="K400" s="891" t="str">
        <f t="shared" si="127"/>
        <v>February</v>
      </c>
      <c r="L400" s="888">
        <f t="shared" si="134"/>
        <v>2062</v>
      </c>
      <c r="M400" s="883">
        <f t="shared" si="128"/>
        <v>0</v>
      </c>
      <c r="N400" s="883">
        <f t="shared" si="139"/>
        <v>0</v>
      </c>
      <c r="O400" s="1100"/>
      <c r="P400" s="883">
        <f t="shared" si="140"/>
        <v>0</v>
      </c>
      <c r="Q400" s="884">
        <f t="shared" si="141"/>
        <v>0</v>
      </c>
      <c r="R400" s="884">
        <f>IF(AND($AR$39="Early Payoff",I400&gt;=$R$13),0,IF($I400&lt;=$R$6,SUM($P$20:$P400),0))</f>
        <v>0</v>
      </c>
      <c r="S400" s="884">
        <f>IF(AND($AR$39="Early Payoff",I400&gt;=$R$13),0,IF($I400&lt;=$R$6,SUM($Q$20:$Q400),0))</f>
        <v>0</v>
      </c>
      <c r="T400" s="873">
        <f t="shared" si="131"/>
        <v>0</v>
      </c>
      <c r="U400" s="1110">
        <f t="shared" si="137"/>
        <v>0</v>
      </c>
    </row>
    <row r="401" spans="1:49" ht="13.5" x14ac:dyDescent="0.25">
      <c r="B401" s="1192">
        <f t="shared" si="132"/>
        <v>401</v>
      </c>
      <c r="C401" s="732">
        <f t="shared" si="117"/>
        <v>31</v>
      </c>
      <c r="D401" s="35">
        <f t="shared" si="118"/>
        <v>3</v>
      </c>
      <c r="E401" s="889">
        <f t="shared" si="138"/>
        <v>59261</v>
      </c>
      <c r="F401" s="822">
        <f t="shared" si="119"/>
        <v>3</v>
      </c>
      <c r="G401" s="126">
        <f t="shared" si="120"/>
        <v>0</v>
      </c>
      <c r="H401" s="1098">
        <f t="shared" si="136"/>
        <v>0</v>
      </c>
      <c r="I401" s="887">
        <f t="shared" si="133"/>
        <v>382</v>
      </c>
      <c r="J401" s="1099">
        <f t="shared" si="126"/>
        <v>382</v>
      </c>
      <c r="K401" s="891" t="str">
        <f t="shared" si="127"/>
        <v>March</v>
      </c>
      <c r="L401" s="888">
        <f t="shared" si="134"/>
        <v>2062</v>
      </c>
      <c r="M401" s="883">
        <f t="shared" si="128"/>
        <v>0</v>
      </c>
      <c r="N401" s="883">
        <f t="shared" si="139"/>
        <v>0</v>
      </c>
      <c r="O401" s="1100"/>
      <c r="P401" s="883">
        <f t="shared" si="140"/>
        <v>0</v>
      </c>
      <c r="Q401" s="884">
        <f t="shared" si="141"/>
        <v>0</v>
      </c>
      <c r="R401" s="884">
        <f>IF(AND($AR$39="Early Payoff",I401&gt;=$R$13),0,IF($I401&lt;=$R$6,SUM($P$20:$P401),0))</f>
        <v>0</v>
      </c>
      <c r="S401" s="884">
        <f>IF(AND($AR$39="Early Payoff",I401&gt;=$R$13),0,IF($I401&lt;=$R$6,SUM($Q$20:$Q401),0))</f>
        <v>0</v>
      </c>
      <c r="T401" s="873">
        <f t="shared" si="131"/>
        <v>0</v>
      </c>
      <c r="U401" s="1110">
        <f t="shared" si="137"/>
        <v>0</v>
      </c>
    </row>
    <row r="402" spans="1:49" ht="13.5" x14ac:dyDescent="0.25">
      <c r="B402" s="1192">
        <f t="shared" si="132"/>
        <v>402</v>
      </c>
      <c r="C402" s="732">
        <f t="shared" si="117"/>
        <v>30</v>
      </c>
      <c r="D402" s="35">
        <f t="shared" si="118"/>
        <v>4</v>
      </c>
      <c r="E402" s="889">
        <f t="shared" si="138"/>
        <v>59291</v>
      </c>
      <c r="F402" s="822">
        <f t="shared" si="119"/>
        <v>4</v>
      </c>
      <c r="G402" s="126">
        <f t="shared" si="120"/>
        <v>0</v>
      </c>
      <c r="H402" s="1098">
        <f t="shared" si="136"/>
        <v>0</v>
      </c>
      <c r="I402" s="887">
        <f t="shared" si="133"/>
        <v>383</v>
      </c>
      <c r="J402" s="1099">
        <f t="shared" si="126"/>
        <v>383</v>
      </c>
      <c r="K402" s="891" t="str">
        <f t="shared" si="127"/>
        <v>April</v>
      </c>
      <c r="L402" s="888">
        <f t="shared" si="134"/>
        <v>2062</v>
      </c>
      <c r="M402" s="883">
        <f t="shared" si="128"/>
        <v>0</v>
      </c>
      <c r="N402" s="883">
        <f t="shared" si="139"/>
        <v>0</v>
      </c>
      <c r="O402" s="1100"/>
      <c r="P402" s="883">
        <f t="shared" si="140"/>
        <v>0</v>
      </c>
      <c r="Q402" s="884">
        <f t="shared" si="141"/>
        <v>0</v>
      </c>
      <c r="R402" s="884">
        <f>IF(AND($AR$39="Early Payoff",I402&gt;=$R$13),0,IF($I402&lt;=$R$6,SUM($P$20:$P402),0))</f>
        <v>0</v>
      </c>
      <c r="S402" s="884">
        <f>IF(AND($AR$39="Early Payoff",I402&gt;=$R$13),0,IF($I402&lt;=$R$6,SUM($Q$20:$Q402),0))</f>
        <v>0</v>
      </c>
      <c r="T402" s="873">
        <f t="shared" si="131"/>
        <v>0</v>
      </c>
      <c r="U402" s="1110">
        <f t="shared" si="137"/>
        <v>0</v>
      </c>
    </row>
    <row r="403" spans="1:49" ht="13.5" x14ac:dyDescent="0.25">
      <c r="B403" s="1192">
        <f t="shared" si="132"/>
        <v>403</v>
      </c>
      <c r="C403" s="732">
        <f t="shared" si="117"/>
        <v>31</v>
      </c>
      <c r="D403" s="35">
        <f t="shared" si="118"/>
        <v>5</v>
      </c>
      <c r="E403" s="889">
        <f t="shared" si="138"/>
        <v>59322</v>
      </c>
      <c r="F403" s="822">
        <f t="shared" si="119"/>
        <v>5</v>
      </c>
      <c r="G403" s="126">
        <f t="shared" si="120"/>
        <v>0</v>
      </c>
      <c r="H403" s="1098">
        <f t="shared" si="136"/>
        <v>0</v>
      </c>
      <c r="I403" s="887">
        <f t="shared" si="133"/>
        <v>384</v>
      </c>
      <c r="J403" s="1099">
        <f t="shared" si="126"/>
        <v>384</v>
      </c>
      <c r="K403" s="891" t="str">
        <f t="shared" si="127"/>
        <v>May</v>
      </c>
      <c r="L403" s="888">
        <f t="shared" si="134"/>
        <v>2062</v>
      </c>
      <c r="M403" s="883">
        <f t="shared" si="128"/>
        <v>0</v>
      </c>
      <c r="N403" s="883">
        <f t="shared" si="139"/>
        <v>0</v>
      </c>
      <c r="O403" s="1100"/>
      <c r="P403" s="883">
        <f t="shared" si="140"/>
        <v>0</v>
      </c>
      <c r="Q403" s="884">
        <f t="shared" si="141"/>
        <v>0</v>
      </c>
      <c r="R403" s="884">
        <f>IF(AND($AR$39="Early Payoff",I403&gt;=$R$13),0,IF($I403&lt;=$R$6,SUM($P$20:$P403),0))</f>
        <v>0</v>
      </c>
      <c r="S403" s="884">
        <f>IF(AND($AR$39="Early Payoff",I403&gt;=$R$13),0,IF($I403&lt;=$R$6,SUM($Q$20:$Q403),0))</f>
        <v>0</v>
      </c>
      <c r="T403" s="873">
        <f t="shared" si="131"/>
        <v>0</v>
      </c>
      <c r="U403" s="1110">
        <f t="shared" si="137"/>
        <v>0</v>
      </c>
    </row>
    <row r="404" spans="1:49" ht="13.5" x14ac:dyDescent="0.25">
      <c r="B404" s="1192">
        <f t="shared" si="132"/>
        <v>404</v>
      </c>
      <c r="C404" s="732">
        <f t="shared" ref="C404:C440" si="142">DAY(EOMONTH(DATE($L404,$D404,1),0))</f>
        <v>30</v>
      </c>
      <c r="D404" s="35">
        <f t="shared" ref="D404:D440" si="143">INDEX($AS$22:$AT$34,MATCH($K404,$AS$22:$AS$34,0),MATCH("Number",$AS$22:$AT$22,0))</f>
        <v>6</v>
      </c>
      <c r="E404" s="889">
        <f t="shared" si="138"/>
        <v>59352</v>
      </c>
      <c r="F404" s="822">
        <f t="shared" ref="F404:F440" si="144">INDEX($AS$22:$AT$34,MATCH($K404,$AS$22:$AS$34,0),MATCH("Number",$AS$22:$AT$22,0))</f>
        <v>6</v>
      </c>
      <c r="G404" s="126">
        <f t="shared" ref="G404:G440" si="145">IF($S$4="Monthly",INDEX($AS$36:$AT$48,MATCH($K404,$AS$36:$AS$48,0),MATCH("Number",$AS$36:$AT$36,0)),0)</f>
        <v>0</v>
      </c>
      <c r="H404" s="1098">
        <f t="shared" si="136"/>
        <v>0</v>
      </c>
      <c r="I404" s="887">
        <f t="shared" si="133"/>
        <v>385</v>
      </c>
      <c r="J404" s="1099">
        <f t="shared" si="126"/>
        <v>385</v>
      </c>
      <c r="K404" s="891" t="str">
        <f t="shared" si="127"/>
        <v>June</v>
      </c>
      <c r="L404" s="888">
        <f t="shared" si="134"/>
        <v>2062</v>
      </c>
      <c r="M404" s="883">
        <f t="shared" si="128"/>
        <v>0</v>
      </c>
      <c r="N404" s="883">
        <f t="shared" si="139"/>
        <v>0</v>
      </c>
      <c r="O404" s="1100"/>
      <c r="P404" s="883">
        <f t="shared" si="140"/>
        <v>0</v>
      </c>
      <c r="Q404" s="884">
        <f t="shared" si="141"/>
        <v>0</v>
      </c>
      <c r="R404" s="884">
        <f>IF(AND($AR$39="Early Payoff",I404&gt;=$R$13),0,IF($I404&lt;=$R$6,SUM($P$20:$P404),0))</f>
        <v>0</v>
      </c>
      <c r="S404" s="884">
        <f>IF(AND($AR$39="Early Payoff",I404&gt;=$R$13),0,IF($I404&lt;=$R$6,SUM($Q$20:$Q404),0))</f>
        <v>0</v>
      </c>
      <c r="T404" s="873">
        <f t="shared" si="131"/>
        <v>0</v>
      </c>
      <c r="U404" s="1110">
        <f t="shared" si="137"/>
        <v>0</v>
      </c>
    </row>
    <row r="405" spans="1:49" s="22" customFormat="1" ht="13.5" x14ac:dyDescent="0.25">
      <c r="A405" s="1"/>
      <c r="B405" s="1192">
        <f t="shared" si="132"/>
        <v>405</v>
      </c>
      <c r="C405" s="732">
        <f t="shared" si="142"/>
        <v>31</v>
      </c>
      <c r="D405" s="35">
        <f t="shared" si="143"/>
        <v>7</v>
      </c>
      <c r="E405" s="889">
        <f t="shared" si="138"/>
        <v>59383</v>
      </c>
      <c r="F405" s="822">
        <f t="shared" si="144"/>
        <v>7</v>
      </c>
      <c r="G405" s="126">
        <f t="shared" si="145"/>
        <v>0</v>
      </c>
      <c r="H405" s="1098">
        <f t="shared" si="136"/>
        <v>0</v>
      </c>
      <c r="I405" s="887">
        <f t="shared" si="133"/>
        <v>386</v>
      </c>
      <c r="J405" s="1099">
        <f t="shared" ref="J405:J440" si="146">IF($I405&lt;=$AQ$29,0,IF($I404&gt;=$AQ$29,$J404+1))</f>
        <v>386</v>
      </c>
      <c r="K405" s="891" t="str">
        <f t="shared" ref="K405:K440" si="147">IF($S$4="Annual",$Q$5,IF(AND($S$4="Bi-Annual",$F404&lt;MAX($Q$4,$R$4)),INDEX($AT$22:$AU$34,MATCH(MAX($Q$4,$R$4),$AT$22:$AT$34,0),MATCH("Month",$AT$22:$AU$22,0)),IF(AND($S$4="Bi-Annual",$F404=MAX($Q$4,$R$4)),INDEX($AT$22:$AU$34,MATCH(MIN($Q$4,$R$4),$AT$22:$AT$34,0),MATCH("Month",$AT$22:$AU$22,0)),IF(AND($S$4="Monthly",$F404&lt;12),INDEX($AT$22:$AU$34,MATCH($F404+1,$AT$22:$AT$34,0),MATCH("Month",$AT$22:$AU$22,0)),IF(AND($S$4="Monthly",$F404=12),INDEX($AT$22:$AU$34,MATCH($F404-11,$AT$22:$AT$34,0),MATCH("Month",$AT$22:$AU$22,0)))))))</f>
        <v>July</v>
      </c>
      <c r="L405" s="888">
        <f t="shared" si="134"/>
        <v>2062</v>
      </c>
      <c r="M405" s="883">
        <f t="shared" ref="M405:M440" si="148">IF(AND($AR$39="Early Payoff",$I405&gt;$R$13),0,IF(AND($AR$39="Early Payoff",$I405&lt;$R$13),$T404,IF($I405&gt;$R$6,0,$T404)))</f>
        <v>0</v>
      </c>
      <c r="N405" s="883">
        <f t="shared" si="139"/>
        <v>0</v>
      </c>
      <c r="O405" s="1100"/>
      <c r="P405" s="883">
        <f t="shared" si="140"/>
        <v>0</v>
      </c>
      <c r="Q405" s="884">
        <f t="shared" si="141"/>
        <v>0</v>
      </c>
      <c r="R405" s="884">
        <f>IF(AND($AR$39="Early Payoff",I405&gt;=$R$13),0,IF($I405&lt;=$R$6,SUM($P$20:$P405),0))</f>
        <v>0</v>
      </c>
      <c r="S405" s="884">
        <f>IF(AND($AR$39="Early Payoff",I405&gt;=$R$13),0,IF($I405&lt;=$R$6,SUM($Q$20:$Q405),0))</f>
        <v>0</v>
      </c>
      <c r="T405" s="873">
        <f t="shared" ref="T405:T440" si="149">IF($J405&lt;=$R$13,SUM($M405,$P405),0)</f>
        <v>0</v>
      </c>
      <c r="U405" s="1110">
        <f t="shared" si="137"/>
        <v>0</v>
      </c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</row>
    <row r="406" spans="1:49" s="22" customFormat="1" ht="13.5" x14ac:dyDescent="0.25">
      <c r="A406" s="1"/>
      <c r="B406" s="1192">
        <f t="shared" ref="B406:B440" si="150">B405+1</f>
        <v>406</v>
      </c>
      <c r="C406" s="732">
        <f t="shared" si="142"/>
        <v>31</v>
      </c>
      <c r="D406" s="35">
        <f t="shared" si="143"/>
        <v>8</v>
      </c>
      <c r="E406" s="889">
        <f t="shared" si="138"/>
        <v>59414</v>
      </c>
      <c r="F406" s="822">
        <f t="shared" si="144"/>
        <v>8</v>
      </c>
      <c r="G406" s="126">
        <f t="shared" si="145"/>
        <v>0</v>
      </c>
      <c r="H406" s="1098">
        <f t="shared" si="136"/>
        <v>0</v>
      </c>
      <c r="I406" s="887">
        <f t="shared" ref="I406:I440" si="151">I405+1</f>
        <v>387</v>
      </c>
      <c r="J406" s="1099">
        <f t="shared" si="146"/>
        <v>387</v>
      </c>
      <c r="K406" s="891" t="str">
        <f t="shared" si="147"/>
        <v>August</v>
      </c>
      <c r="L406" s="888">
        <f t="shared" ref="L406:L440" si="152">IF($S$4="Annual",$L405+$H406,IF($S$4="Bi-Annual",$L405+$H405,IF($S$4="Monthly",$L405+$G405)))</f>
        <v>2062</v>
      </c>
      <c r="M406" s="883">
        <f t="shared" si="148"/>
        <v>0</v>
      </c>
      <c r="N406" s="883">
        <f t="shared" si="139"/>
        <v>0</v>
      </c>
      <c r="O406" s="1100"/>
      <c r="P406" s="883">
        <f t="shared" si="140"/>
        <v>0</v>
      </c>
      <c r="Q406" s="884">
        <f t="shared" si="141"/>
        <v>0</v>
      </c>
      <c r="R406" s="884">
        <f>IF(AND($AR$39="Early Payoff",I406&gt;=$R$13),0,IF($I406&lt;=$R$6,SUM($P$20:$P406),0))</f>
        <v>0</v>
      </c>
      <c r="S406" s="884">
        <f>IF(AND($AR$39="Early Payoff",I406&gt;=$R$13),0,IF($I406&lt;=$R$6,SUM($Q$20:$Q406),0))</f>
        <v>0</v>
      </c>
      <c r="T406" s="873">
        <f t="shared" si="149"/>
        <v>0</v>
      </c>
      <c r="U406" s="1110">
        <f t="shared" si="137"/>
        <v>0</v>
      </c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</row>
    <row r="407" spans="1:49" s="22" customFormat="1" ht="13.5" x14ac:dyDescent="0.25">
      <c r="A407" s="1"/>
      <c r="B407" s="1192">
        <f t="shared" si="150"/>
        <v>407</v>
      </c>
      <c r="C407" s="732">
        <f t="shared" si="142"/>
        <v>30</v>
      </c>
      <c r="D407" s="35">
        <f t="shared" si="143"/>
        <v>9</v>
      </c>
      <c r="E407" s="889">
        <f t="shared" si="138"/>
        <v>59444</v>
      </c>
      <c r="F407" s="822">
        <f t="shared" si="144"/>
        <v>9</v>
      </c>
      <c r="G407" s="126">
        <f t="shared" si="145"/>
        <v>0</v>
      </c>
      <c r="H407" s="1098">
        <f t="shared" ref="H407:H440" si="153">IF($S$4="Annual",1,IF(AND($S$4="Bi-Annual",$F407&gt;$F408),1,IF(AND($S$4="Bi-Annual",$F407&lt;$F408),0,IF($S$4="Monthly",0,))))</f>
        <v>0</v>
      </c>
      <c r="I407" s="887">
        <f t="shared" si="151"/>
        <v>388</v>
      </c>
      <c r="J407" s="1099">
        <f t="shared" si="146"/>
        <v>388</v>
      </c>
      <c r="K407" s="891" t="str">
        <f t="shared" si="147"/>
        <v>September</v>
      </c>
      <c r="L407" s="888">
        <f t="shared" si="152"/>
        <v>2062</v>
      </c>
      <c r="M407" s="883">
        <f t="shared" si="148"/>
        <v>0</v>
      </c>
      <c r="N407" s="883">
        <f t="shared" si="139"/>
        <v>0</v>
      </c>
      <c r="O407" s="1100"/>
      <c r="P407" s="883">
        <f t="shared" si="140"/>
        <v>0</v>
      </c>
      <c r="Q407" s="884">
        <f t="shared" si="141"/>
        <v>0</v>
      </c>
      <c r="R407" s="884">
        <f>IF(AND($AR$39="Early Payoff",I407&gt;=$R$13),0,IF($I407&lt;=$R$6,SUM($P$20:$P407),0))</f>
        <v>0</v>
      </c>
      <c r="S407" s="884">
        <f>IF(AND($AR$39="Early Payoff",I407&gt;=$R$13),0,IF($I407&lt;=$R$6,SUM($Q$20:$Q407),0))</f>
        <v>0</v>
      </c>
      <c r="T407" s="873">
        <f t="shared" si="149"/>
        <v>0</v>
      </c>
      <c r="U407" s="1110">
        <f t="shared" si="137"/>
        <v>0</v>
      </c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</row>
    <row r="408" spans="1:49" s="22" customFormat="1" ht="13.5" x14ac:dyDescent="0.25">
      <c r="A408" s="1"/>
      <c r="B408" s="1192">
        <f t="shared" si="150"/>
        <v>408</v>
      </c>
      <c r="C408" s="732">
        <f t="shared" si="142"/>
        <v>31</v>
      </c>
      <c r="D408" s="35">
        <f t="shared" si="143"/>
        <v>10</v>
      </c>
      <c r="E408" s="889">
        <f t="shared" si="138"/>
        <v>59475</v>
      </c>
      <c r="F408" s="822">
        <f t="shared" si="144"/>
        <v>10</v>
      </c>
      <c r="G408" s="126">
        <f t="shared" si="145"/>
        <v>0</v>
      </c>
      <c r="H408" s="1098">
        <f t="shared" si="153"/>
        <v>0</v>
      </c>
      <c r="I408" s="887">
        <f t="shared" si="151"/>
        <v>389</v>
      </c>
      <c r="J408" s="1099">
        <f t="shared" si="146"/>
        <v>389</v>
      </c>
      <c r="K408" s="891" t="str">
        <f t="shared" si="147"/>
        <v>October</v>
      </c>
      <c r="L408" s="888">
        <f t="shared" si="152"/>
        <v>2062</v>
      </c>
      <c r="M408" s="883">
        <f t="shared" si="148"/>
        <v>0</v>
      </c>
      <c r="N408" s="883">
        <f t="shared" si="139"/>
        <v>0</v>
      </c>
      <c r="O408" s="1100"/>
      <c r="P408" s="883">
        <f t="shared" si="140"/>
        <v>0</v>
      </c>
      <c r="Q408" s="884">
        <f t="shared" si="141"/>
        <v>0</v>
      </c>
      <c r="R408" s="884">
        <f>IF(AND($AR$39="Early Payoff",I408&gt;=$R$13),0,IF($I408&lt;=$R$6,SUM($P$20:$P408),0))</f>
        <v>0</v>
      </c>
      <c r="S408" s="884">
        <f>IF(AND($AR$39="Early Payoff",I408&gt;=$R$13),0,IF($I408&lt;=$R$6,SUM($Q$20:$Q408),0))</f>
        <v>0</v>
      </c>
      <c r="T408" s="873">
        <f t="shared" si="149"/>
        <v>0</v>
      </c>
      <c r="U408" s="1110">
        <f t="shared" ref="U408:U440" si="154">IF($S$4="Monthly",$M408,IF(AND(OR($S$4="Annual",$S$4="Bi-Annual"),$I408=$AQ$49),INDEX($I$19:$T$379,MATCH($AQ$49,$I$19:$I$2379,0),MATCH($T$19,$I$19:$T$19,0)),IF(AND(OR($S$4="Annual",$S$4="Bi-Annual"),$I408&lt;=$AQ$49),$M408,0)))</f>
        <v>0</v>
      </c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</row>
    <row r="409" spans="1:49" s="22" customFormat="1" ht="13.5" x14ac:dyDescent="0.25">
      <c r="A409" s="1"/>
      <c r="B409" s="1192">
        <f t="shared" si="150"/>
        <v>409</v>
      </c>
      <c r="C409" s="732">
        <f t="shared" si="142"/>
        <v>30</v>
      </c>
      <c r="D409" s="35">
        <f t="shared" si="143"/>
        <v>11</v>
      </c>
      <c r="E409" s="889">
        <f t="shared" si="138"/>
        <v>59505</v>
      </c>
      <c r="F409" s="822">
        <f t="shared" si="144"/>
        <v>11</v>
      </c>
      <c r="G409" s="126">
        <f t="shared" si="145"/>
        <v>0</v>
      </c>
      <c r="H409" s="1098">
        <f t="shared" si="153"/>
        <v>0</v>
      </c>
      <c r="I409" s="887">
        <f t="shared" si="151"/>
        <v>390</v>
      </c>
      <c r="J409" s="1099">
        <f t="shared" si="146"/>
        <v>390</v>
      </c>
      <c r="K409" s="891" t="str">
        <f t="shared" si="147"/>
        <v>November</v>
      </c>
      <c r="L409" s="888">
        <f t="shared" si="152"/>
        <v>2062</v>
      </c>
      <c r="M409" s="883">
        <f t="shared" si="148"/>
        <v>0</v>
      </c>
      <c r="N409" s="883">
        <f t="shared" si="139"/>
        <v>0</v>
      </c>
      <c r="O409" s="1100"/>
      <c r="P409" s="883">
        <f t="shared" si="140"/>
        <v>0</v>
      </c>
      <c r="Q409" s="884">
        <f t="shared" si="141"/>
        <v>0</v>
      </c>
      <c r="R409" s="884">
        <f>IF(AND($AR$39="Early Payoff",I409&gt;=$R$13),0,IF($I409&lt;=$R$6,SUM($P$20:$P409),0))</f>
        <v>0</v>
      </c>
      <c r="S409" s="884">
        <f>IF(AND($AR$39="Early Payoff",I409&gt;=$R$13),0,IF($I409&lt;=$R$6,SUM($Q$20:$Q409),0))</f>
        <v>0</v>
      </c>
      <c r="T409" s="873">
        <f t="shared" si="149"/>
        <v>0</v>
      </c>
      <c r="U409" s="1110">
        <f t="shared" si="154"/>
        <v>0</v>
      </c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</row>
    <row r="410" spans="1:49" s="22" customFormat="1" ht="13.5" x14ac:dyDescent="0.25">
      <c r="A410" s="1"/>
      <c r="B410" s="1192">
        <f t="shared" si="150"/>
        <v>410</v>
      </c>
      <c r="C410" s="732">
        <f t="shared" si="142"/>
        <v>31</v>
      </c>
      <c r="D410" s="35">
        <f t="shared" si="143"/>
        <v>12</v>
      </c>
      <c r="E410" s="889">
        <f t="shared" si="138"/>
        <v>59536</v>
      </c>
      <c r="F410" s="822">
        <f t="shared" si="144"/>
        <v>12</v>
      </c>
      <c r="G410" s="126">
        <f t="shared" si="145"/>
        <v>1</v>
      </c>
      <c r="H410" s="1098">
        <f t="shared" si="153"/>
        <v>0</v>
      </c>
      <c r="I410" s="887">
        <f t="shared" si="151"/>
        <v>391</v>
      </c>
      <c r="J410" s="1099">
        <f t="shared" si="146"/>
        <v>391</v>
      </c>
      <c r="K410" s="891" t="str">
        <f t="shared" si="147"/>
        <v>December</v>
      </c>
      <c r="L410" s="888">
        <f t="shared" si="152"/>
        <v>2062</v>
      </c>
      <c r="M410" s="883">
        <f t="shared" si="148"/>
        <v>0</v>
      </c>
      <c r="N410" s="883">
        <f t="shared" si="139"/>
        <v>0</v>
      </c>
      <c r="O410" s="1100"/>
      <c r="P410" s="883">
        <f t="shared" si="140"/>
        <v>0</v>
      </c>
      <c r="Q410" s="884">
        <f t="shared" si="141"/>
        <v>0</v>
      </c>
      <c r="R410" s="884">
        <f>IF(AND($AR$39="Early Payoff",I410&gt;=$R$13),0,IF($I410&lt;=$R$6,SUM($P$20:$P410),0))</f>
        <v>0</v>
      </c>
      <c r="S410" s="884">
        <f>IF(AND($AR$39="Early Payoff",I410&gt;=$R$13),0,IF($I410&lt;=$R$6,SUM($Q$20:$Q410),0))</f>
        <v>0</v>
      </c>
      <c r="T410" s="873">
        <f t="shared" si="149"/>
        <v>0</v>
      </c>
      <c r="U410" s="1110">
        <f t="shared" si="154"/>
        <v>0</v>
      </c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</row>
    <row r="411" spans="1:49" s="22" customFormat="1" ht="13.5" x14ac:dyDescent="0.25">
      <c r="A411" s="1"/>
      <c r="B411" s="1192">
        <f t="shared" si="150"/>
        <v>411</v>
      </c>
      <c r="C411" s="732">
        <f t="shared" si="142"/>
        <v>31</v>
      </c>
      <c r="D411" s="35">
        <f t="shared" si="143"/>
        <v>1</v>
      </c>
      <c r="E411" s="889">
        <f t="shared" si="138"/>
        <v>59567</v>
      </c>
      <c r="F411" s="822">
        <f t="shared" si="144"/>
        <v>1</v>
      </c>
      <c r="G411" s="126">
        <f t="shared" si="145"/>
        <v>0</v>
      </c>
      <c r="H411" s="1098">
        <f t="shared" si="153"/>
        <v>0</v>
      </c>
      <c r="I411" s="887">
        <f t="shared" si="151"/>
        <v>392</v>
      </c>
      <c r="J411" s="1099">
        <f t="shared" si="146"/>
        <v>392</v>
      </c>
      <c r="K411" s="891" t="str">
        <f t="shared" si="147"/>
        <v>January</v>
      </c>
      <c r="L411" s="888">
        <f t="shared" si="152"/>
        <v>2063</v>
      </c>
      <c r="M411" s="883">
        <f t="shared" si="148"/>
        <v>0</v>
      </c>
      <c r="N411" s="883">
        <f t="shared" si="139"/>
        <v>0</v>
      </c>
      <c r="O411" s="1100"/>
      <c r="P411" s="883">
        <f t="shared" si="140"/>
        <v>0</v>
      </c>
      <c r="Q411" s="884">
        <f t="shared" si="141"/>
        <v>0</v>
      </c>
      <c r="R411" s="884">
        <f>IF(AND($AR$39="Early Payoff",I411&gt;=$R$13),0,IF($I411&lt;=$R$6,SUM($P$20:$P411),0))</f>
        <v>0</v>
      </c>
      <c r="S411" s="884">
        <f>IF(AND($AR$39="Early Payoff",I411&gt;=$R$13),0,IF($I411&lt;=$R$6,SUM($Q$20:$Q411),0))</f>
        <v>0</v>
      </c>
      <c r="T411" s="873">
        <f t="shared" si="149"/>
        <v>0</v>
      </c>
      <c r="U411" s="1110">
        <f t="shared" si="154"/>
        <v>0</v>
      </c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</row>
    <row r="412" spans="1:49" s="22" customFormat="1" ht="13.5" x14ac:dyDescent="0.25">
      <c r="A412" s="1"/>
      <c r="B412" s="1192">
        <f t="shared" si="150"/>
        <v>412</v>
      </c>
      <c r="C412" s="732">
        <f t="shared" si="142"/>
        <v>28</v>
      </c>
      <c r="D412" s="35">
        <f t="shared" si="143"/>
        <v>2</v>
      </c>
      <c r="E412" s="889">
        <f t="shared" si="138"/>
        <v>59595</v>
      </c>
      <c r="F412" s="822">
        <f t="shared" si="144"/>
        <v>2</v>
      </c>
      <c r="G412" s="126">
        <f t="shared" si="145"/>
        <v>0</v>
      </c>
      <c r="H412" s="1098">
        <f t="shared" si="153"/>
        <v>0</v>
      </c>
      <c r="I412" s="887">
        <f t="shared" si="151"/>
        <v>393</v>
      </c>
      <c r="J412" s="1099">
        <f t="shared" si="146"/>
        <v>393</v>
      </c>
      <c r="K412" s="891" t="str">
        <f t="shared" si="147"/>
        <v>February</v>
      </c>
      <c r="L412" s="888">
        <f t="shared" si="152"/>
        <v>2063</v>
      </c>
      <c r="M412" s="883">
        <f t="shared" si="148"/>
        <v>0</v>
      </c>
      <c r="N412" s="883">
        <f t="shared" si="139"/>
        <v>0</v>
      </c>
      <c r="O412" s="1100"/>
      <c r="P412" s="883">
        <f t="shared" si="140"/>
        <v>0</v>
      </c>
      <c r="Q412" s="884">
        <f t="shared" si="141"/>
        <v>0</v>
      </c>
      <c r="R412" s="884">
        <f>IF(AND($AR$39="Early Payoff",I412&gt;=$R$13),0,IF($I412&lt;=$R$6,SUM($P$20:$P412),0))</f>
        <v>0</v>
      </c>
      <c r="S412" s="884">
        <f>IF(AND($AR$39="Early Payoff",I412&gt;=$R$13),0,IF($I412&lt;=$R$6,SUM($Q$20:$Q412),0))</f>
        <v>0</v>
      </c>
      <c r="T412" s="873">
        <f t="shared" si="149"/>
        <v>0</v>
      </c>
      <c r="U412" s="1110">
        <f t="shared" si="154"/>
        <v>0</v>
      </c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</row>
    <row r="413" spans="1:49" s="22" customFormat="1" ht="13.5" x14ac:dyDescent="0.25">
      <c r="A413" s="1"/>
      <c r="B413" s="1192">
        <f t="shared" si="150"/>
        <v>413</v>
      </c>
      <c r="C413" s="732">
        <f t="shared" si="142"/>
        <v>31</v>
      </c>
      <c r="D413" s="35">
        <f t="shared" si="143"/>
        <v>3</v>
      </c>
      <c r="E413" s="889">
        <f t="shared" si="138"/>
        <v>59626</v>
      </c>
      <c r="F413" s="822">
        <f t="shared" si="144"/>
        <v>3</v>
      </c>
      <c r="G413" s="126">
        <f t="shared" si="145"/>
        <v>0</v>
      </c>
      <c r="H413" s="1098">
        <f t="shared" si="153"/>
        <v>0</v>
      </c>
      <c r="I413" s="887">
        <f t="shared" si="151"/>
        <v>394</v>
      </c>
      <c r="J413" s="1099">
        <f t="shared" si="146"/>
        <v>394</v>
      </c>
      <c r="K413" s="891" t="str">
        <f t="shared" si="147"/>
        <v>March</v>
      </c>
      <c r="L413" s="888">
        <f t="shared" si="152"/>
        <v>2063</v>
      </c>
      <c r="M413" s="883">
        <f t="shared" si="148"/>
        <v>0</v>
      </c>
      <c r="N413" s="883">
        <f t="shared" si="139"/>
        <v>0</v>
      </c>
      <c r="O413" s="1100"/>
      <c r="P413" s="883">
        <f t="shared" si="140"/>
        <v>0</v>
      </c>
      <c r="Q413" s="884">
        <f t="shared" si="141"/>
        <v>0</v>
      </c>
      <c r="R413" s="884">
        <f>IF(AND($AR$39="Early Payoff",I413&gt;=$R$13),0,IF($I413&lt;=$R$6,SUM($P$20:$P413),0))</f>
        <v>0</v>
      </c>
      <c r="S413" s="884">
        <f>IF(AND($AR$39="Early Payoff",I413&gt;=$R$13),0,IF($I413&lt;=$R$6,SUM($Q$20:$Q413),0))</f>
        <v>0</v>
      </c>
      <c r="T413" s="873">
        <f t="shared" si="149"/>
        <v>0</v>
      </c>
      <c r="U413" s="1110">
        <f t="shared" si="154"/>
        <v>0</v>
      </c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</row>
    <row r="414" spans="1:49" s="22" customFormat="1" ht="13.5" x14ac:dyDescent="0.25">
      <c r="A414" s="1"/>
      <c r="B414" s="1192">
        <f t="shared" si="150"/>
        <v>414</v>
      </c>
      <c r="C414" s="732">
        <f t="shared" si="142"/>
        <v>30</v>
      </c>
      <c r="D414" s="35">
        <f t="shared" si="143"/>
        <v>4</v>
      </c>
      <c r="E414" s="889">
        <f t="shared" si="138"/>
        <v>59656</v>
      </c>
      <c r="F414" s="822">
        <f t="shared" si="144"/>
        <v>4</v>
      </c>
      <c r="G414" s="126">
        <f t="shared" si="145"/>
        <v>0</v>
      </c>
      <c r="H414" s="1098">
        <f t="shared" si="153"/>
        <v>0</v>
      </c>
      <c r="I414" s="887">
        <f t="shared" si="151"/>
        <v>395</v>
      </c>
      <c r="J414" s="1099">
        <f t="shared" si="146"/>
        <v>395</v>
      </c>
      <c r="K414" s="891" t="str">
        <f t="shared" si="147"/>
        <v>April</v>
      </c>
      <c r="L414" s="888">
        <f t="shared" si="152"/>
        <v>2063</v>
      </c>
      <c r="M414" s="883">
        <f t="shared" si="148"/>
        <v>0</v>
      </c>
      <c r="N414" s="883">
        <f t="shared" si="139"/>
        <v>0</v>
      </c>
      <c r="O414" s="1100"/>
      <c r="P414" s="883">
        <f t="shared" si="140"/>
        <v>0</v>
      </c>
      <c r="Q414" s="884">
        <f t="shared" si="141"/>
        <v>0</v>
      </c>
      <c r="R414" s="884">
        <f>IF(AND($AR$39="Early Payoff",I414&gt;=$R$13),0,IF($I414&lt;=$R$6,SUM($P$20:$P414),0))</f>
        <v>0</v>
      </c>
      <c r="S414" s="884">
        <f>IF(AND($AR$39="Early Payoff",I414&gt;=$R$13),0,IF($I414&lt;=$R$6,SUM($Q$20:$Q414),0))</f>
        <v>0</v>
      </c>
      <c r="T414" s="873">
        <f t="shared" si="149"/>
        <v>0</v>
      </c>
      <c r="U414" s="1110">
        <f t="shared" si="154"/>
        <v>0</v>
      </c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</row>
    <row r="415" spans="1:49" s="22" customFormat="1" ht="13.5" x14ac:dyDescent="0.25">
      <c r="A415" s="1"/>
      <c r="B415" s="1192">
        <f t="shared" si="150"/>
        <v>415</v>
      </c>
      <c r="C415" s="732">
        <f t="shared" si="142"/>
        <v>31</v>
      </c>
      <c r="D415" s="35">
        <f t="shared" si="143"/>
        <v>5</v>
      </c>
      <c r="E415" s="889">
        <f t="shared" si="138"/>
        <v>59687</v>
      </c>
      <c r="F415" s="822">
        <f t="shared" si="144"/>
        <v>5</v>
      </c>
      <c r="G415" s="126">
        <f t="shared" si="145"/>
        <v>0</v>
      </c>
      <c r="H415" s="1098">
        <f t="shared" si="153"/>
        <v>0</v>
      </c>
      <c r="I415" s="887">
        <f t="shared" si="151"/>
        <v>396</v>
      </c>
      <c r="J415" s="1099">
        <f t="shared" si="146"/>
        <v>396</v>
      </c>
      <c r="K415" s="891" t="str">
        <f t="shared" si="147"/>
        <v>May</v>
      </c>
      <c r="L415" s="888">
        <f t="shared" si="152"/>
        <v>2063</v>
      </c>
      <c r="M415" s="883">
        <f t="shared" si="148"/>
        <v>0</v>
      </c>
      <c r="N415" s="883">
        <f t="shared" si="139"/>
        <v>0</v>
      </c>
      <c r="O415" s="1100"/>
      <c r="P415" s="883">
        <f t="shared" si="140"/>
        <v>0</v>
      </c>
      <c r="Q415" s="884">
        <f t="shared" si="141"/>
        <v>0</v>
      </c>
      <c r="R415" s="884">
        <f>IF(AND($AR$39="Early Payoff",I415&gt;=$R$13),0,IF($I415&lt;=$R$6,SUM($P$20:$P415),0))</f>
        <v>0</v>
      </c>
      <c r="S415" s="884">
        <f>IF(AND($AR$39="Early Payoff",I415&gt;=$R$13),0,IF($I415&lt;=$R$6,SUM($Q$20:$Q415),0))</f>
        <v>0</v>
      </c>
      <c r="T415" s="873">
        <f t="shared" si="149"/>
        <v>0</v>
      </c>
      <c r="U415" s="1110">
        <f t="shared" si="154"/>
        <v>0</v>
      </c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</row>
    <row r="416" spans="1:49" s="22" customFormat="1" ht="13.5" x14ac:dyDescent="0.25">
      <c r="A416" s="1"/>
      <c r="B416" s="1192">
        <f t="shared" si="150"/>
        <v>416</v>
      </c>
      <c r="C416" s="732">
        <f t="shared" si="142"/>
        <v>30</v>
      </c>
      <c r="D416" s="35">
        <f t="shared" si="143"/>
        <v>6</v>
      </c>
      <c r="E416" s="889">
        <f t="shared" si="138"/>
        <v>59717</v>
      </c>
      <c r="F416" s="822">
        <f t="shared" si="144"/>
        <v>6</v>
      </c>
      <c r="G416" s="126">
        <f t="shared" si="145"/>
        <v>0</v>
      </c>
      <c r="H416" s="1098">
        <f t="shared" si="153"/>
        <v>0</v>
      </c>
      <c r="I416" s="887">
        <f t="shared" si="151"/>
        <v>397</v>
      </c>
      <c r="J416" s="1099">
        <f t="shared" si="146"/>
        <v>397</v>
      </c>
      <c r="K416" s="891" t="str">
        <f t="shared" si="147"/>
        <v>June</v>
      </c>
      <c r="L416" s="888">
        <f t="shared" si="152"/>
        <v>2063</v>
      </c>
      <c r="M416" s="883">
        <f t="shared" si="148"/>
        <v>0</v>
      </c>
      <c r="N416" s="883">
        <f t="shared" si="139"/>
        <v>0</v>
      </c>
      <c r="O416" s="1100"/>
      <c r="P416" s="883">
        <f t="shared" si="140"/>
        <v>0</v>
      </c>
      <c r="Q416" s="884">
        <f t="shared" si="141"/>
        <v>0</v>
      </c>
      <c r="R416" s="884">
        <f>IF(AND($AR$39="Early Payoff",I416&gt;=$R$13),0,IF($I416&lt;=$R$6,SUM($P$20:$P416),0))</f>
        <v>0</v>
      </c>
      <c r="S416" s="884">
        <f>IF(AND($AR$39="Early Payoff",I416&gt;=$R$13),0,IF($I416&lt;=$R$6,SUM($Q$20:$Q416),0))</f>
        <v>0</v>
      </c>
      <c r="T416" s="873">
        <f t="shared" si="149"/>
        <v>0</v>
      </c>
      <c r="U416" s="1110">
        <f t="shared" si="154"/>
        <v>0</v>
      </c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</row>
    <row r="417" spans="1:49" s="22" customFormat="1" ht="13.5" x14ac:dyDescent="0.25">
      <c r="A417" s="1"/>
      <c r="B417" s="1192">
        <f t="shared" si="150"/>
        <v>417</v>
      </c>
      <c r="C417" s="732">
        <f t="shared" si="142"/>
        <v>31</v>
      </c>
      <c r="D417" s="35">
        <f t="shared" si="143"/>
        <v>7</v>
      </c>
      <c r="E417" s="889">
        <f t="shared" si="138"/>
        <v>59748</v>
      </c>
      <c r="F417" s="822">
        <f t="shared" si="144"/>
        <v>7</v>
      </c>
      <c r="G417" s="126">
        <f t="shared" si="145"/>
        <v>0</v>
      </c>
      <c r="H417" s="1098">
        <f t="shared" si="153"/>
        <v>0</v>
      </c>
      <c r="I417" s="887">
        <f t="shared" si="151"/>
        <v>398</v>
      </c>
      <c r="J417" s="1099">
        <f t="shared" si="146"/>
        <v>398</v>
      </c>
      <c r="K417" s="891" t="str">
        <f t="shared" si="147"/>
        <v>July</v>
      </c>
      <c r="L417" s="888">
        <f t="shared" si="152"/>
        <v>2063</v>
      </c>
      <c r="M417" s="883">
        <f t="shared" si="148"/>
        <v>0</v>
      </c>
      <c r="N417" s="883">
        <f t="shared" si="139"/>
        <v>0</v>
      </c>
      <c r="O417" s="1100"/>
      <c r="P417" s="883">
        <f t="shared" si="140"/>
        <v>0</v>
      </c>
      <c r="Q417" s="884">
        <f t="shared" si="141"/>
        <v>0</v>
      </c>
      <c r="R417" s="884">
        <f>IF(AND($AR$39="Early Payoff",I417&gt;=$R$13),0,IF($I417&lt;=$R$6,SUM($P$20:$P417),0))</f>
        <v>0</v>
      </c>
      <c r="S417" s="884">
        <f>IF(AND($AR$39="Early Payoff",I417&gt;=$R$13),0,IF($I417&lt;=$R$6,SUM($Q$20:$Q417),0))</f>
        <v>0</v>
      </c>
      <c r="T417" s="873">
        <f t="shared" si="149"/>
        <v>0</v>
      </c>
      <c r="U417" s="1110">
        <f t="shared" si="154"/>
        <v>0</v>
      </c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</row>
    <row r="418" spans="1:49" ht="13.5" x14ac:dyDescent="0.25">
      <c r="B418" s="1192">
        <f t="shared" si="150"/>
        <v>418</v>
      </c>
      <c r="C418" s="732">
        <f t="shared" si="142"/>
        <v>31</v>
      </c>
      <c r="D418" s="35">
        <f t="shared" si="143"/>
        <v>8</v>
      </c>
      <c r="E418" s="889">
        <f t="shared" si="138"/>
        <v>59779</v>
      </c>
      <c r="F418" s="822">
        <f t="shared" si="144"/>
        <v>8</v>
      </c>
      <c r="G418" s="126">
        <f t="shared" si="145"/>
        <v>0</v>
      </c>
      <c r="H418" s="1098">
        <f t="shared" si="153"/>
        <v>0</v>
      </c>
      <c r="I418" s="887">
        <f t="shared" si="151"/>
        <v>399</v>
      </c>
      <c r="J418" s="1099">
        <f t="shared" si="146"/>
        <v>399</v>
      </c>
      <c r="K418" s="891" t="str">
        <f t="shared" si="147"/>
        <v>August</v>
      </c>
      <c r="L418" s="888">
        <f t="shared" si="152"/>
        <v>2063</v>
      </c>
      <c r="M418" s="883">
        <f t="shared" si="148"/>
        <v>0</v>
      </c>
      <c r="N418" s="883">
        <f t="shared" si="139"/>
        <v>0</v>
      </c>
      <c r="O418" s="1100"/>
      <c r="P418" s="883">
        <f t="shared" si="140"/>
        <v>0</v>
      </c>
      <c r="Q418" s="884">
        <f t="shared" si="141"/>
        <v>0</v>
      </c>
      <c r="R418" s="884">
        <f>IF(AND($AR$39="Early Payoff",I418&gt;=$R$13),0,IF($I418&lt;=$R$6,SUM($P$20:$P418),0))</f>
        <v>0</v>
      </c>
      <c r="S418" s="884">
        <f>IF(AND($AR$39="Early Payoff",I418&gt;=$R$13),0,IF($I418&lt;=$R$6,SUM($Q$20:$Q418),0))</f>
        <v>0</v>
      </c>
      <c r="T418" s="873">
        <f t="shared" si="149"/>
        <v>0</v>
      </c>
      <c r="U418" s="1110">
        <f t="shared" si="154"/>
        <v>0</v>
      </c>
    </row>
    <row r="419" spans="1:49" ht="13.5" x14ac:dyDescent="0.25">
      <c r="B419" s="1192">
        <f t="shared" si="150"/>
        <v>419</v>
      </c>
      <c r="C419" s="732">
        <f t="shared" si="142"/>
        <v>30</v>
      </c>
      <c r="D419" s="35">
        <f t="shared" si="143"/>
        <v>9</v>
      </c>
      <c r="E419" s="889">
        <f t="shared" si="138"/>
        <v>59809</v>
      </c>
      <c r="F419" s="822">
        <f t="shared" si="144"/>
        <v>9</v>
      </c>
      <c r="G419" s="126">
        <f t="shared" si="145"/>
        <v>0</v>
      </c>
      <c r="H419" s="1098">
        <f t="shared" si="153"/>
        <v>0</v>
      </c>
      <c r="I419" s="887">
        <f t="shared" si="151"/>
        <v>400</v>
      </c>
      <c r="J419" s="1099">
        <f t="shared" si="146"/>
        <v>400</v>
      </c>
      <c r="K419" s="891" t="str">
        <f t="shared" si="147"/>
        <v>September</v>
      </c>
      <c r="L419" s="888">
        <f t="shared" si="152"/>
        <v>2063</v>
      </c>
      <c r="M419" s="883">
        <f t="shared" si="148"/>
        <v>0</v>
      </c>
      <c r="N419" s="883">
        <f t="shared" si="139"/>
        <v>0</v>
      </c>
      <c r="O419" s="1100"/>
      <c r="P419" s="883">
        <f t="shared" si="140"/>
        <v>0</v>
      </c>
      <c r="Q419" s="884">
        <f t="shared" si="141"/>
        <v>0</v>
      </c>
      <c r="R419" s="884">
        <f>IF(AND($AR$39="Early Payoff",I419&gt;=$R$13),0,IF($I419&lt;=$R$6,SUM($P$20:$P419),0))</f>
        <v>0</v>
      </c>
      <c r="S419" s="884">
        <f>IF(AND($AR$39="Early Payoff",I419&gt;=$R$13),0,IF($I419&lt;=$R$6,SUM($Q$20:$Q419),0))</f>
        <v>0</v>
      </c>
      <c r="T419" s="873">
        <f t="shared" si="149"/>
        <v>0</v>
      </c>
      <c r="U419" s="1110">
        <f t="shared" si="154"/>
        <v>0</v>
      </c>
    </row>
    <row r="420" spans="1:49" ht="13.5" x14ac:dyDescent="0.25">
      <c r="B420" s="1192">
        <f t="shared" si="150"/>
        <v>420</v>
      </c>
      <c r="C420" s="732">
        <f t="shared" si="142"/>
        <v>31</v>
      </c>
      <c r="D420" s="35">
        <f t="shared" si="143"/>
        <v>10</v>
      </c>
      <c r="E420" s="889">
        <f t="shared" si="138"/>
        <v>59840</v>
      </c>
      <c r="F420" s="822">
        <f t="shared" si="144"/>
        <v>10</v>
      </c>
      <c r="G420" s="126">
        <f t="shared" si="145"/>
        <v>0</v>
      </c>
      <c r="H420" s="1098">
        <f t="shared" si="153"/>
        <v>0</v>
      </c>
      <c r="I420" s="887">
        <f t="shared" si="151"/>
        <v>401</v>
      </c>
      <c r="J420" s="1099">
        <f t="shared" si="146"/>
        <v>401</v>
      </c>
      <c r="K420" s="891" t="str">
        <f t="shared" si="147"/>
        <v>October</v>
      </c>
      <c r="L420" s="888">
        <f t="shared" si="152"/>
        <v>2063</v>
      </c>
      <c r="M420" s="883">
        <f t="shared" si="148"/>
        <v>0</v>
      </c>
      <c r="N420" s="883">
        <f t="shared" si="139"/>
        <v>0</v>
      </c>
      <c r="O420" s="1100"/>
      <c r="P420" s="883">
        <f t="shared" si="140"/>
        <v>0</v>
      </c>
      <c r="Q420" s="884">
        <f t="shared" si="141"/>
        <v>0</v>
      </c>
      <c r="R420" s="884">
        <f>IF(AND($AR$39="Early Payoff",I420&gt;=$R$13),0,IF($I420&lt;=$R$6,SUM($P$20:$P420),0))</f>
        <v>0</v>
      </c>
      <c r="S420" s="884">
        <f>IF(AND($AR$39="Early Payoff",I420&gt;=$R$13),0,IF($I420&lt;=$R$6,SUM($Q$20:$Q420),0))</f>
        <v>0</v>
      </c>
      <c r="T420" s="873">
        <f t="shared" si="149"/>
        <v>0</v>
      </c>
      <c r="U420" s="1110">
        <f t="shared" si="154"/>
        <v>0</v>
      </c>
    </row>
    <row r="421" spans="1:49" ht="13.5" x14ac:dyDescent="0.25">
      <c r="B421" s="1192">
        <f t="shared" si="150"/>
        <v>421</v>
      </c>
      <c r="C421" s="732">
        <f t="shared" si="142"/>
        <v>30</v>
      </c>
      <c r="D421" s="35">
        <f t="shared" si="143"/>
        <v>11</v>
      </c>
      <c r="E421" s="889">
        <f t="shared" si="138"/>
        <v>59870</v>
      </c>
      <c r="F421" s="822">
        <f t="shared" si="144"/>
        <v>11</v>
      </c>
      <c r="G421" s="126">
        <f t="shared" si="145"/>
        <v>0</v>
      </c>
      <c r="H421" s="1098">
        <f t="shared" si="153"/>
        <v>0</v>
      </c>
      <c r="I421" s="887">
        <f t="shared" si="151"/>
        <v>402</v>
      </c>
      <c r="J421" s="1099">
        <f t="shared" si="146"/>
        <v>402</v>
      </c>
      <c r="K421" s="891" t="str">
        <f t="shared" si="147"/>
        <v>November</v>
      </c>
      <c r="L421" s="888">
        <f t="shared" si="152"/>
        <v>2063</v>
      </c>
      <c r="M421" s="883">
        <f t="shared" si="148"/>
        <v>0</v>
      </c>
      <c r="N421" s="883">
        <f t="shared" si="139"/>
        <v>0</v>
      </c>
      <c r="O421" s="1100"/>
      <c r="P421" s="883">
        <f t="shared" si="140"/>
        <v>0</v>
      </c>
      <c r="Q421" s="884">
        <f t="shared" si="141"/>
        <v>0</v>
      </c>
      <c r="R421" s="884">
        <f>IF(AND($AR$39="Early Payoff",I421&gt;=$R$13),0,IF($I421&lt;=$R$6,SUM($P$20:$P421),0))</f>
        <v>0</v>
      </c>
      <c r="S421" s="884">
        <f>IF(AND($AR$39="Early Payoff",I421&gt;=$R$13),0,IF($I421&lt;=$R$6,SUM($Q$20:$Q421),0))</f>
        <v>0</v>
      </c>
      <c r="T421" s="873">
        <f t="shared" si="149"/>
        <v>0</v>
      </c>
      <c r="U421" s="1110">
        <f t="shared" si="154"/>
        <v>0</v>
      </c>
    </row>
    <row r="422" spans="1:49" ht="13.5" x14ac:dyDescent="0.25">
      <c r="B422" s="1192">
        <f t="shared" si="150"/>
        <v>422</v>
      </c>
      <c r="C422" s="732">
        <f t="shared" si="142"/>
        <v>31</v>
      </c>
      <c r="D422" s="35">
        <f t="shared" si="143"/>
        <v>12</v>
      </c>
      <c r="E422" s="889">
        <f t="shared" si="138"/>
        <v>59901</v>
      </c>
      <c r="F422" s="822">
        <f t="shared" si="144"/>
        <v>12</v>
      </c>
      <c r="G422" s="126">
        <f t="shared" si="145"/>
        <v>1</v>
      </c>
      <c r="H422" s="1098">
        <f t="shared" si="153"/>
        <v>0</v>
      </c>
      <c r="I422" s="887">
        <f t="shared" si="151"/>
        <v>403</v>
      </c>
      <c r="J422" s="1099">
        <f t="shared" si="146"/>
        <v>403</v>
      </c>
      <c r="K422" s="891" t="str">
        <f t="shared" si="147"/>
        <v>December</v>
      </c>
      <c r="L422" s="888">
        <f t="shared" si="152"/>
        <v>2063</v>
      </c>
      <c r="M422" s="883">
        <f t="shared" si="148"/>
        <v>0</v>
      </c>
      <c r="N422" s="883">
        <f t="shared" si="139"/>
        <v>0</v>
      </c>
      <c r="O422" s="1100"/>
      <c r="P422" s="883">
        <f t="shared" si="140"/>
        <v>0</v>
      </c>
      <c r="Q422" s="884">
        <f t="shared" si="141"/>
        <v>0</v>
      </c>
      <c r="R422" s="884">
        <f>IF(AND($AR$39="Early Payoff",I422&gt;=$R$13),0,IF($I422&lt;=$R$6,SUM($P$20:$P422),0))</f>
        <v>0</v>
      </c>
      <c r="S422" s="884">
        <f>IF(AND($AR$39="Early Payoff",I422&gt;=$R$13),0,IF($I422&lt;=$R$6,SUM($Q$20:$Q422),0))</f>
        <v>0</v>
      </c>
      <c r="T422" s="873">
        <f t="shared" si="149"/>
        <v>0</v>
      </c>
      <c r="U422" s="1110">
        <f t="shared" si="154"/>
        <v>0</v>
      </c>
    </row>
    <row r="423" spans="1:49" ht="13.5" x14ac:dyDescent="0.25">
      <c r="B423" s="1192">
        <f t="shared" si="150"/>
        <v>423</v>
      </c>
      <c r="C423" s="732">
        <f t="shared" si="142"/>
        <v>31</v>
      </c>
      <c r="D423" s="35">
        <f t="shared" si="143"/>
        <v>1</v>
      </c>
      <c r="E423" s="889">
        <f t="shared" si="138"/>
        <v>59932</v>
      </c>
      <c r="F423" s="822">
        <f t="shared" si="144"/>
        <v>1</v>
      </c>
      <c r="G423" s="126">
        <f t="shared" si="145"/>
        <v>0</v>
      </c>
      <c r="H423" s="1098">
        <f t="shared" si="153"/>
        <v>0</v>
      </c>
      <c r="I423" s="887">
        <f t="shared" si="151"/>
        <v>404</v>
      </c>
      <c r="J423" s="1099">
        <f t="shared" si="146"/>
        <v>404</v>
      </c>
      <c r="K423" s="891" t="str">
        <f t="shared" si="147"/>
        <v>January</v>
      </c>
      <c r="L423" s="888">
        <f t="shared" si="152"/>
        <v>2064</v>
      </c>
      <c r="M423" s="883">
        <f t="shared" si="148"/>
        <v>0</v>
      </c>
      <c r="N423" s="883">
        <f t="shared" si="139"/>
        <v>0</v>
      </c>
      <c r="O423" s="1100"/>
      <c r="P423" s="883">
        <f t="shared" si="140"/>
        <v>0</v>
      </c>
      <c r="Q423" s="884">
        <f t="shared" si="141"/>
        <v>0</v>
      </c>
      <c r="R423" s="884">
        <f>IF(AND($AR$39="Early Payoff",I423&gt;=$R$13),0,IF($I423&lt;=$R$6,SUM($P$20:$P423),0))</f>
        <v>0</v>
      </c>
      <c r="S423" s="884">
        <f>IF(AND($AR$39="Early Payoff",I423&gt;=$R$13),0,IF($I423&lt;=$R$6,SUM($Q$20:$Q423),0))</f>
        <v>0</v>
      </c>
      <c r="T423" s="873">
        <f t="shared" si="149"/>
        <v>0</v>
      </c>
      <c r="U423" s="1110">
        <f t="shared" si="154"/>
        <v>0</v>
      </c>
    </row>
    <row r="424" spans="1:49" ht="13.5" x14ac:dyDescent="0.25">
      <c r="B424" s="1192">
        <f t="shared" si="150"/>
        <v>424</v>
      </c>
      <c r="C424" s="732">
        <f t="shared" si="142"/>
        <v>29</v>
      </c>
      <c r="D424" s="35">
        <f t="shared" si="143"/>
        <v>2</v>
      </c>
      <c r="E424" s="889">
        <f t="shared" si="138"/>
        <v>59961</v>
      </c>
      <c r="F424" s="822">
        <f t="shared" si="144"/>
        <v>2</v>
      </c>
      <c r="G424" s="126">
        <f t="shared" si="145"/>
        <v>0</v>
      </c>
      <c r="H424" s="1098">
        <f t="shared" si="153"/>
        <v>0</v>
      </c>
      <c r="I424" s="887">
        <f t="shared" si="151"/>
        <v>405</v>
      </c>
      <c r="J424" s="1099">
        <f t="shared" si="146"/>
        <v>405</v>
      </c>
      <c r="K424" s="891" t="str">
        <f t="shared" si="147"/>
        <v>February</v>
      </c>
      <c r="L424" s="888">
        <f t="shared" si="152"/>
        <v>2064</v>
      </c>
      <c r="M424" s="883">
        <f t="shared" si="148"/>
        <v>0</v>
      </c>
      <c r="N424" s="883">
        <f t="shared" si="139"/>
        <v>0</v>
      </c>
      <c r="O424" s="1100"/>
      <c r="P424" s="883">
        <f t="shared" si="140"/>
        <v>0</v>
      </c>
      <c r="Q424" s="884">
        <f t="shared" si="141"/>
        <v>0</v>
      </c>
      <c r="R424" s="884">
        <f>IF(AND($AR$39="Early Payoff",I424&gt;=$R$13),0,IF($I424&lt;=$R$6,SUM($P$20:$P424),0))</f>
        <v>0</v>
      </c>
      <c r="S424" s="884">
        <f>IF(AND($AR$39="Early Payoff",I424&gt;=$R$13),0,IF($I424&lt;=$R$6,SUM($Q$20:$Q424),0))</f>
        <v>0</v>
      </c>
      <c r="T424" s="873">
        <f t="shared" si="149"/>
        <v>0</v>
      </c>
      <c r="U424" s="1110">
        <f t="shared" si="154"/>
        <v>0</v>
      </c>
    </row>
    <row r="425" spans="1:49" ht="13.5" x14ac:dyDescent="0.25">
      <c r="B425" s="1192">
        <f t="shared" si="150"/>
        <v>425</v>
      </c>
      <c r="C425" s="732">
        <f t="shared" si="142"/>
        <v>31</v>
      </c>
      <c r="D425" s="35">
        <f t="shared" si="143"/>
        <v>3</v>
      </c>
      <c r="E425" s="889">
        <f t="shared" si="138"/>
        <v>59992</v>
      </c>
      <c r="F425" s="822">
        <f t="shared" si="144"/>
        <v>3</v>
      </c>
      <c r="G425" s="126">
        <f t="shared" si="145"/>
        <v>0</v>
      </c>
      <c r="H425" s="1098">
        <f t="shared" si="153"/>
        <v>0</v>
      </c>
      <c r="I425" s="887">
        <f t="shared" si="151"/>
        <v>406</v>
      </c>
      <c r="J425" s="1099">
        <f t="shared" si="146"/>
        <v>406</v>
      </c>
      <c r="K425" s="891" t="str">
        <f t="shared" si="147"/>
        <v>March</v>
      </c>
      <c r="L425" s="888">
        <f t="shared" si="152"/>
        <v>2064</v>
      </c>
      <c r="M425" s="883">
        <f t="shared" si="148"/>
        <v>0</v>
      </c>
      <c r="N425" s="883">
        <f t="shared" si="139"/>
        <v>0</v>
      </c>
      <c r="O425" s="1100"/>
      <c r="P425" s="883">
        <f t="shared" si="140"/>
        <v>0</v>
      </c>
      <c r="Q425" s="884">
        <f t="shared" si="141"/>
        <v>0</v>
      </c>
      <c r="R425" s="884">
        <f>IF(AND($AR$39="Early Payoff",I425&gt;=$R$13),0,IF($I425&lt;=$R$6,SUM($P$20:$P425),0))</f>
        <v>0</v>
      </c>
      <c r="S425" s="884">
        <f>IF(AND($AR$39="Early Payoff",I425&gt;=$R$13),0,IF($I425&lt;=$R$6,SUM($Q$20:$Q425),0))</f>
        <v>0</v>
      </c>
      <c r="T425" s="873">
        <f t="shared" si="149"/>
        <v>0</v>
      </c>
      <c r="U425" s="1110">
        <f t="shared" si="154"/>
        <v>0</v>
      </c>
    </row>
    <row r="426" spans="1:49" ht="13.5" x14ac:dyDescent="0.25">
      <c r="B426" s="1192">
        <f t="shared" si="150"/>
        <v>426</v>
      </c>
      <c r="C426" s="732">
        <f t="shared" si="142"/>
        <v>30</v>
      </c>
      <c r="D426" s="35">
        <f t="shared" si="143"/>
        <v>4</v>
      </c>
      <c r="E426" s="889">
        <f t="shared" si="138"/>
        <v>60022</v>
      </c>
      <c r="F426" s="822">
        <f t="shared" si="144"/>
        <v>4</v>
      </c>
      <c r="G426" s="126">
        <f t="shared" si="145"/>
        <v>0</v>
      </c>
      <c r="H426" s="1098">
        <f t="shared" si="153"/>
        <v>0</v>
      </c>
      <c r="I426" s="887">
        <f t="shared" si="151"/>
        <v>407</v>
      </c>
      <c r="J426" s="1099">
        <f t="shared" si="146"/>
        <v>407</v>
      </c>
      <c r="K426" s="891" t="str">
        <f t="shared" si="147"/>
        <v>April</v>
      </c>
      <c r="L426" s="888">
        <f t="shared" si="152"/>
        <v>2064</v>
      </c>
      <c r="M426" s="883">
        <f t="shared" si="148"/>
        <v>0</v>
      </c>
      <c r="N426" s="883">
        <f t="shared" si="139"/>
        <v>0</v>
      </c>
      <c r="O426" s="1100"/>
      <c r="P426" s="883">
        <f t="shared" si="140"/>
        <v>0</v>
      </c>
      <c r="Q426" s="884">
        <f t="shared" si="141"/>
        <v>0</v>
      </c>
      <c r="R426" s="884">
        <f>IF(AND($AR$39="Early Payoff",I426&gt;=$R$13),0,IF($I426&lt;=$R$6,SUM($P$20:$P426),0))</f>
        <v>0</v>
      </c>
      <c r="S426" s="884">
        <f>IF(AND($AR$39="Early Payoff",I426&gt;=$R$13),0,IF($I426&lt;=$R$6,SUM($Q$20:$Q426),0))</f>
        <v>0</v>
      </c>
      <c r="T426" s="873">
        <f t="shared" si="149"/>
        <v>0</v>
      </c>
      <c r="U426" s="1110">
        <f t="shared" si="154"/>
        <v>0</v>
      </c>
    </row>
    <row r="427" spans="1:49" ht="13.5" x14ac:dyDescent="0.25">
      <c r="B427" s="1192">
        <f t="shared" si="150"/>
        <v>427</v>
      </c>
      <c r="C427" s="732">
        <f t="shared" si="142"/>
        <v>31</v>
      </c>
      <c r="D427" s="35">
        <f t="shared" si="143"/>
        <v>5</v>
      </c>
      <c r="E427" s="889">
        <f t="shared" si="138"/>
        <v>60053</v>
      </c>
      <c r="F427" s="822">
        <f t="shared" si="144"/>
        <v>5</v>
      </c>
      <c r="G427" s="126">
        <f t="shared" si="145"/>
        <v>0</v>
      </c>
      <c r="H427" s="1098">
        <f t="shared" si="153"/>
        <v>0</v>
      </c>
      <c r="I427" s="887">
        <f t="shared" si="151"/>
        <v>408</v>
      </c>
      <c r="J427" s="1099">
        <f t="shared" si="146"/>
        <v>408</v>
      </c>
      <c r="K427" s="891" t="str">
        <f t="shared" si="147"/>
        <v>May</v>
      </c>
      <c r="L427" s="888">
        <f t="shared" si="152"/>
        <v>2064</v>
      </c>
      <c r="M427" s="883">
        <f t="shared" si="148"/>
        <v>0</v>
      </c>
      <c r="N427" s="883">
        <f t="shared" si="139"/>
        <v>0</v>
      </c>
      <c r="O427" s="1100"/>
      <c r="P427" s="883">
        <f t="shared" si="140"/>
        <v>0</v>
      </c>
      <c r="Q427" s="884">
        <f t="shared" si="141"/>
        <v>0</v>
      </c>
      <c r="R427" s="884">
        <f>IF(AND($AR$39="Early Payoff",I427&gt;=$R$13),0,IF($I427&lt;=$R$6,SUM($P$20:$P427),0))</f>
        <v>0</v>
      </c>
      <c r="S427" s="884">
        <f>IF(AND($AR$39="Early Payoff",I427&gt;=$R$13),0,IF($I427&lt;=$R$6,SUM($Q$20:$Q427),0))</f>
        <v>0</v>
      </c>
      <c r="T427" s="873">
        <f t="shared" si="149"/>
        <v>0</v>
      </c>
      <c r="U427" s="1110">
        <f t="shared" si="154"/>
        <v>0</v>
      </c>
    </row>
    <row r="428" spans="1:49" ht="13.5" x14ac:dyDescent="0.25">
      <c r="B428" s="1192">
        <f t="shared" si="150"/>
        <v>428</v>
      </c>
      <c r="C428" s="732">
        <f t="shared" si="142"/>
        <v>30</v>
      </c>
      <c r="D428" s="35">
        <f t="shared" si="143"/>
        <v>6</v>
      </c>
      <c r="E428" s="889">
        <f t="shared" si="138"/>
        <v>60083</v>
      </c>
      <c r="F428" s="822">
        <f t="shared" si="144"/>
        <v>6</v>
      </c>
      <c r="G428" s="126">
        <f t="shared" si="145"/>
        <v>0</v>
      </c>
      <c r="H428" s="1098">
        <f t="shared" si="153"/>
        <v>0</v>
      </c>
      <c r="I428" s="887">
        <f t="shared" si="151"/>
        <v>409</v>
      </c>
      <c r="J428" s="1099">
        <f t="shared" si="146"/>
        <v>409</v>
      </c>
      <c r="K428" s="891" t="str">
        <f t="shared" si="147"/>
        <v>June</v>
      </c>
      <c r="L428" s="888">
        <f t="shared" si="152"/>
        <v>2064</v>
      </c>
      <c r="M428" s="883">
        <f t="shared" si="148"/>
        <v>0</v>
      </c>
      <c r="N428" s="883">
        <f t="shared" si="139"/>
        <v>0</v>
      </c>
      <c r="O428" s="1100"/>
      <c r="P428" s="883">
        <f t="shared" si="140"/>
        <v>0</v>
      </c>
      <c r="Q428" s="884">
        <f t="shared" si="141"/>
        <v>0</v>
      </c>
      <c r="R428" s="884">
        <f>IF(AND($AR$39="Early Payoff",I428&gt;=$R$13),0,IF($I428&lt;=$R$6,SUM($P$20:$P428),0))</f>
        <v>0</v>
      </c>
      <c r="S428" s="884">
        <f>IF(AND($AR$39="Early Payoff",I428&gt;=$R$13),0,IF($I428&lt;=$R$6,SUM($Q$20:$Q428),0))</f>
        <v>0</v>
      </c>
      <c r="T428" s="873">
        <f t="shared" si="149"/>
        <v>0</v>
      </c>
      <c r="U428" s="1110">
        <f t="shared" si="154"/>
        <v>0</v>
      </c>
    </row>
    <row r="429" spans="1:49" ht="13.5" x14ac:dyDescent="0.25">
      <c r="B429" s="1192">
        <f t="shared" si="150"/>
        <v>429</v>
      </c>
      <c r="C429" s="732">
        <f t="shared" si="142"/>
        <v>31</v>
      </c>
      <c r="D429" s="35">
        <f t="shared" si="143"/>
        <v>7</v>
      </c>
      <c r="E429" s="889">
        <f t="shared" si="138"/>
        <v>60114</v>
      </c>
      <c r="F429" s="822">
        <f t="shared" si="144"/>
        <v>7</v>
      </c>
      <c r="G429" s="126">
        <f t="shared" si="145"/>
        <v>0</v>
      </c>
      <c r="H429" s="1098">
        <f t="shared" si="153"/>
        <v>0</v>
      </c>
      <c r="I429" s="887">
        <f t="shared" si="151"/>
        <v>410</v>
      </c>
      <c r="J429" s="1099">
        <f t="shared" si="146"/>
        <v>410</v>
      </c>
      <c r="K429" s="891" t="str">
        <f t="shared" si="147"/>
        <v>July</v>
      </c>
      <c r="L429" s="888">
        <f t="shared" si="152"/>
        <v>2064</v>
      </c>
      <c r="M429" s="883">
        <f t="shared" si="148"/>
        <v>0</v>
      </c>
      <c r="N429" s="883">
        <f t="shared" si="139"/>
        <v>0</v>
      </c>
      <c r="O429" s="1100"/>
      <c r="P429" s="883">
        <f t="shared" si="140"/>
        <v>0</v>
      </c>
      <c r="Q429" s="884">
        <f t="shared" si="141"/>
        <v>0</v>
      </c>
      <c r="R429" s="884">
        <f>IF(AND($AR$39="Early Payoff",I429&gt;=$R$13),0,IF($I429&lt;=$R$6,SUM($P$20:$P429),0))</f>
        <v>0</v>
      </c>
      <c r="S429" s="884">
        <f>IF(AND($AR$39="Early Payoff",I429&gt;=$R$13),0,IF($I429&lt;=$R$6,SUM($Q$20:$Q429),0))</f>
        <v>0</v>
      </c>
      <c r="T429" s="873">
        <f t="shared" si="149"/>
        <v>0</v>
      </c>
      <c r="U429" s="1110">
        <f t="shared" si="154"/>
        <v>0</v>
      </c>
    </row>
    <row r="430" spans="1:49" ht="13.5" x14ac:dyDescent="0.25">
      <c r="B430" s="1192">
        <f t="shared" si="150"/>
        <v>430</v>
      </c>
      <c r="C430" s="732">
        <f t="shared" si="142"/>
        <v>31</v>
      </c>
      <c r="D430" s="35">
        <f t="shared" si="143"/>
        <v>8</v>
      </c>
      <c r="E430" s="889">
        <f t="shared" si="138"/>
        <v>60145</v>
      </c>
      <c r="F430" s="822">
        <f t="shared" si="144"/>
        <v>8</v>
      </c>
      <c r="G430" s="126">
        <f t="shared" si="145"/>
        <v>0</v>
      </c>
      <c r="H430" s="1098">
        <f t="shared" si="153"/>
        <v>0</v>
      </c>
      <c r="I430" s="887">
        <f t="shared" si="151"/>
        <v>411</v>
      </c>
      <c r="J430" s="1099">
        <f t="shared" si="146"/>
        <v>411</v>
      </c>
      <c r="K430" s="891" t="str">
        <f t="shared" si="147"/>
        <v>August</v>
      </c>
      <c r="L430" s="888">
        <f t="shared" si="152"/>
        <v>2064</v>
      </c>
      <c r="M430" s="883">
        <f t="shared" si="148"/>
        <v>0</v>
      </c>
      <c r="N430" s="883">
        <f t="shared" si="139"/>
        <v>0</v>
      </c>
      <c r="O430" s="1100"/>
      <c r="P430" s="883">
        <f t="shared" si="140"/>
        <v>0</v>
      </c>
      <c r="Q430" s="884">
        <f t="shared" si="141"/>
        <v>0</v>
      </c>
      <c r="R430" s="884">
        <f>IF(AND($AR$39="Early Payoff",I430&gt;=$R$13),0,IF($I430&lt;=$R$6,SUM($P$20:$P430),0))</f>
        <v>0</v>
      </c>
      <c r="S430" s="884">
        <f>IF(AND($AR$39="Early Payoff",I430&gt;=$R$13),0,IF($I430&lt;=$R$6,SUM($Q$20:$Q430),0))</f>
        <v>0</v>
      </c>
      <c r="T430" s="873">
        <f t="shared" si="149"/>
        <v>0</v>
      </c>
      <c r="U430" s="1110">
        <f t="shared" si="154"/>
        <v>0</v>
      </c>
    </row>
    <row r="431" spans="1:49" ht="13.5" x14ac:dyDescent="0.25">
      <c r="B431" s="1192">
        <f t="shared" si="150"/>
        <v>431</v>
      </c>
      <c r="C431" s="732">
        <f t="shared" si="142"/>
        <v>30</v>
      </c>
      <c r="D431" s="35">
        <f t="shared" si="143"/>
        <v>9</v>
      </c>
      <c r="E431" s="889">
        <f t="shared" si="138"/>
        <v>60175</v>
      </c>
      <c r="F431" s="822">
        <f t="shared" si="144"/>
        <v>9</v>
      </c>
      <c r="G431" s="126">
        <f t="shared" si="145"/>
        <v>0</v>
      </c>
      <c r="H431" s="1098">
        <f t="shared" si="153"/>
        <v>0</v>
      </c>
      <c r="I431" s="887">
        <f t="shared" si="151"/>
        <v>412</v>
      </c>
      <c r="J431" s="1099">
        <f t="shared" si="146"/>
        <v>412</v>
      </c>
      <c r="K431" s="891" t="str">
        <f t="shared" si="147"/>
        <v>September</v>
      </c>
      <c r="L431" s="888">
        <f t="shared" si="152"/>
        <v>2064</v>
      </c>
      <c r="M431" s="883">
        <f t="shared" si="148"/>
        <v>0</v>
      </c>
      <c r="N431" s="883">
        <f t="shared" si="139"/>
        <v>0</v>
      </c>
      <c r="O431" s="1100"/>
      <c r="P431" s="883">
        <f t="shared" si="140"/>
        <v>0</v>
      </c>
      <c r="Q431" s="884">
        <f t="shared" si="141"/>
        <v>0</v>
      </c>
      <c r="R431" s="884">
        <f>IF(AND($AR$39="Early Payoff",I431&gt;=$R$13),0,IF($I431&lt;=$R$6,SUM($P$20:$P431),0))</f>
        <v>0</v>
      </c>
      <c r="S431" s="884">
        <f>IF(AND($AR$39="Early Payoff",I431&gt;=$R$13),0,IF($I431&lt;=$R$6,SUM($Q$20:$Q431),0))</f>
        <v>0</v>
      </c>
      <c r="T431" s="873">
        <f t="shared" si="149"/>
        <v>0</v>
      </c>
      <c r="U431" s="1110">
        <f t="shared" si="154"/>
        <v>0</v>
      </c>
    </row>
    <row r="432" spans="1:49" ht="13.5" x14ac:dyDescent="0.25">
      <c r="B432" s="1192">
        <f t="shared" si="150"/>
        <v>432</v>
      </c>
      <c r="C432" s="732">
        <f t="shared" si="142"/>
        <v>31</v>
      </c>
      <c r="D432" s="35">
        <f t="shared" si="143"/>
        <v>10</v>
      </c>
      <c r="E432" s="889">
        <f t="shared" si="138"/>
        <v>60206</v>
      </c>
      <c r="F432" s="822">
        <f t="shared" si="144"/>
        <v>10</v>
      </c>
      <c r="G432" s="126">
        <f t="shared" si="145"/>
        <v>0</v>
      </c>
      <c r="H432" s="1098">
        <f t="shared" si="153"/>
        <v>0</v>
      </c>
      <c r="I432" s="887">
        <f t="shared" si="151"/>
        <v>413</v>
      </c>
      <c r="J432" s="1099">
        <f t="shared" si="146"/>
        <v>413</v>
      </c>
      <c r="K432" s="891" t="str">
        <f t="shared" si="147"/>
        <v>October</v>
      </c>
      <c r="L432" s="888">
        <f t="shared" si="152"/>
        <v>2064</v>
      </c>
      <c r="M432" s="883">
        <f t="shared" si="148"/>
        <v>0</v>
      </c>
      <c r="N432" s="883">
        <f t="shared" si="139"/>
        <v>0</v>
      </c>
      <c r="O432" s="1100"/>
      <c r="P432" s="883">
        <f t="shared" si="140"/>
        <v>0</v>
      </c>
      <c r="Q432" s="884">
        <f t="shared" si="141"/>
        <v>0</v>
      </c>
      <c r="R432" s="884">
        <f>IF(AND($AR$39="Early Payoff",I432&gt;=$R$13),0,IF($I432&lt;=$R$6,SUM($P$20:$P432),0))</f>
        <v>0</v>
      </c>
      <c r="S432" s="884">
        <f>IF(AND($AR$39="Early Payoff",I432&gt;=$R$13),0,IF($I432&lt;=$R$6,SUM($Q$20:$Q432),0))</f>
        <v>0</v>
      </c>
      <c r="T432" s="873">
        <f t="shared" si="149"/>
        <v>0</v>
      </c>
      <c r="U432" s="1110">
        <f t="shared" si="154"/>
        <v>0</v>
      </c>
    </row>
    <row r="433" spans="2:21" ht="13.5" x14ac:dyDescent="0.25">
      <c r="B433" s="1192">
        <f t="shared" si="150"/>
        <v>433</v>
      </c>
      <c r="C433" s="732">
        <f t="shared" si="142"/>
        <v>30</v>
      </c>
      <c r="D433" s="35">
        <f t="shared" si="143"/>
        <v>11</v>
      </c>
      <c r="E433" s="889">
        <f t="shared" si="138"/>
        <v>60236</v>
      </c>
      <c r="F433" s="822">
        <f t="shared" si="144"/>
        <v>11</v>
      </c>
      <c r="G433" s="126">
        <f t="shared" si="145"/>
        <v>0</v>
      </c>
      <c r="H433" s="1098">
        <f t="shared" si="153"/>
        <v>0</v>
      </c>
      <c r="I433" s="887">
        <f t="shared" si="151"/>
        <v>414</v>
      </c>
      <c r="J433" s="1099">
        <f t="shared" si="146"/>
        <v>414</v>
      </c>
      <c r="K433" s="891" t="str">
        <f t="shared" si="147"/>
        <v>November</v>
      </c>
      <c r="L433" s="888">
        <f t="shared" si="152"/>
        <v>2064</v>
      </c>
      <c r="M433" s="883">
        <f t="shared" si="148"/>
        <v>0</v>
      </c>
      <c r="N433" s="883">
        <f t="shared" si="139"/>
        <v>0</v>
      </c>
      <c r="O433" s="1100"/>
      <c r="P433" s="883">
        <f t="shared" si="140"/>
        <v>0</v>
      </c>
      <c r="Q433" s="884">
        <f t="shared" si="141"/>
        <v>0</v>
      </c>
      <c r="R433" s="884">
        <f>IF(AND($AR$39="Early Payoff",I433&gt;=$R$13),0,IF($I433&lt;=$R$6,SUM($P$20:$P433),0))</f>
        <v>0</v>
      </c>
      <c r="S433" s="884">
        <f>IF(AND($AR$39="Early Payoff",I433&gt;=$R$13),0,IF($I433&lt;=$R$6,SUM($Q$20:$Q433),0))</f>
        <v>0</v>
      </c>
      <c r="T433" s="873">
        <f t="shared" si="149"/>
        <v>0</v>
      </c>
      <c r="U433" s="1110">
        <f t="shared" si="154"/>
        <v>0</v>
      </c>
    </row>
    <row r="434" spans="2:21" ht="13.5" x14ac:dyDescent="0.25">
      <c r="B434" s="1192">
        <f t="shared" si="150"/>
        <v>434</v>
      </c>
      <c r="C434" s="732">
        <f t="shared" si="142"/>
        <v>31</v>
      </c>
      <c r="D434" s="35">
        <f t="shared" si="143"/>
        <v>12</v>
      </c>
      <c r="E434" s="889">
        <f t="shared" si="138"/>
        <v>60267</v>
      </c>
      <c r="F434" s="822">
        <f t="shared" si="144"/>
        <v>12</v>
      </c>
      <c r="G434" s="126">
        <f t="shared" si="145"/>
        <v>1</v>
      </c>
      <c r="H434" s="1098">
        <f t="shared" si="153"/>
        <v>0</v>
      </c>
      <c r="I434" s="887">
        <f t="shared" si="151"/>
        <v>415</v>
      </c>
      <c r="J434" s="1099">
        <f t="shared" si="146"/>
        <v>415</v>
      </c>
      <c r="K434" s="891" t="str">
        <f t="shared" si="147"/>
        <v>December</v>
      </c>
      <c r="L434" s="888">
        <f t="shared" si="152"/>
        <v>2064</v>
      </c>
      <c r="M434" s="883">
        <f t="shared" si="148"/>
        <v>0</v>
      </c>
      <c r="N434" s="883">
        <f t="shared" si="139"/>
        <v>0</v>
      </c>
      <c r="O434" s="1100"/>
      <c r="P434" s="883">
        <f t="shared" si="140"/>
        <v>0</v>
      </c>
      <c r="Q434" s="884">
        <f t="shared" si="141"/>
        <v>0</v>
      </c>
      <c r="R434" s="884">
        <f>IF(AND($AR$39="Early Payoff",I434&gt;=$R$13),0,IF($I434&lt;=$R$6,SUM($P$20:$P434),0))</f>
        <v>0</v>
      </c>
      <c r="S434" s="884">
        <f>IF(AND($AR$39="Early Payoff",I434&gt;=$R$13),0,IF($I434&lt;=$R$6,SUM($Q$20:$Q434),0))</f>
        <v>0</v>
      </c>
      <c r="T434" s="873">
        <f t="shared" si="149"/>
        <v>0</v>
      </c>
      <c r="U434" s="1110">
        <f t="shared" si="154"/>
        <v>0</v>
      </c>
    </row>
    <row r="435" spans="2:21" ht="13.5" x14ac:dyDescent="0.25">
      <c r="B435" s="1192">
        <f t="shared" si="150"/>
        <v>435</v>
      </c>
      <c r="C435" s="732">
        <f t="shared" si="142"/>
        <v>31</v>
      </c>
      <c r="D435" s="35">
        <f t="shared" si="143"/>
        <v>1</v>
      </c>
      <c r="E435" s="889">
        <f t="shared" si="138"/>
        <v>60298</v>
      </c>
      <c r="F435" s="822">
        <f t="shared" si="144"/>
        <v>1</v>
      </c>
      <c r="G435" s="126">
        <f t="shared" si="145"/>
        <v>0</v>
      </c>
      <c r="H435" s="1098">
        <f t="shared" si="153"/>
        <v>0</v>
      </c>
      <c r="I435" s="887">
        <f t="shared" si="151"/>
        <v>416</v>
      </c>
      <c r="J435" s="1099">
        <f t="shared" si="146"/>
        <v>416</v>
      </c>
      <c r="K435" s="891" t="str">
        <f t="shared" si="147"/>
        <v>January</v>
      </c>
      <c r="L435" s="888">
        <f t="shared" si="152"/>
        <v>2065</v>
      </c>
      <c r="M435" s="883">
        <f t="shared" si="148"/>
        <v>0</v>
      </c>
      <c r="N435" s="883">
        <f t="shared" si="139"/>
        <v>0</v>
      </c>
      <c r="O435" s="1100"/>
      <c r="P435" s="883">
        <f t="shared" si="140"/>
        <v>0</v>
      </c>
      <c r="Q435" s="884">
        <f t="shared" si="141"/>
        <v>0</v>
      </c>
      <c r="R435" s="884">
        <f>IF(AND($AR$39="Early Payoff",I435&gt;=$R$13),0,IF($I435&lt;=$R$6,SUM($P$20:$P435),0))</f>
        <v>0</v>
      </c>
      <c r="S435" s="884">
        <f>IF(AND($AR$39="Early Payoff",I435&gt;=$R$13),0,IF($I435&lt;=$R$6,SUM($Q$20:$Q435),0))</f>
        <v>0</v>
      </c>
      <c r="T435" s="873">
        <f t="shared" si="149"/>
        <v>0</v>
      </c>
      <c r="U435" s="1110">
        <f t="shared" si="154"/>
        <v>0</v>
      </c>
    </row>
    <row r="436" spans="2:21" ht="13.5" x14ac:dyDescent="0.25">
      <c r="B436" s="1192">
        <f t="shared" si="150"/>
        <v>436</v>
      </c>
      <c r="C436" s="732">
        <f t="shared" si="142"/>
        <v>28</v>
      </c>
      <c r="D436" s="35">
        <f t="shared" si="143"/>
        <v>2</v>
      </c>
      <c r="E436" s="889">
        <f t="shared" si="138"/>
        <v>60326</v>
      </c>
      <c r="F436" s="822">
        <f t="shared" si="144"/>
        <v>2</v>
      </c>
      <c r="G436" s="126">
        <f t="shared" si="145"/>
        <v>0</v>
      </c>
      <c r="H436" s="1098">
        <f t="shared" si="153"/>
        <v>0</v>
      </c>
      <c r="I436" s="887">
        <f t="shared" si="151"/>
        <v>417</v>
      </c>
      <c r="J436" s="1099">
        <f t="shared" si="146"/>
        <v>417</v>
      </c>
      <c r="K436" s="891" t="str">
        <f t="shared" si="147"/>
        <v>February</v>
      </c>
      <c r="L436" s="888">
        <f t="shared" si="152"/>
        <v>2065</v>
      </c>
      <c r="M436" s="883">
        <f t="shared" si="148"/>
        <v>0</v>
      </c>
      <c r="N436" s="883">
        <f t="shared" si="139"/>
        <v>0</v>
      </c>
      <c r="O436" s="1100"/>
      <c r="P436" s="883">
        <f t="shared" si="140"/>
        <v>0</v>
      </c>
      <c r="Q436" s="884">
        <f t="shared" si="141"/>
        <v>0</v>
      </c>
      <c r="R436" s="884">
        <f>IF(AND($AR$39="Early Payoff",I436&gt;=$R$13),0,IF($I436&lt;=$R$6,SUM($P$20:$P436),0))</f>
        <v>0</v>
      </c>
      <c r="S436" s="884">
        <f>IF(AND($AR$39="Early Payoff",I436&gt;=$R$13),0,IF($I436&lt;=$R$6,SUM($Q$20:$Q436),0))</f>
        <v>0</v>
      </c>
      <c r="T436" s="873">
        <f t="shared" si="149"/>
        <v>0</v>
      </c>
      <c r="U436" s="1110">
        <f t="shared" si="154"/>
        <v>0</v>
      </c>
    </row>
    <row r="437" spans="2:21" ht="13.5" x14ac:dyDescent="0.25">
      <c r="B437" s="1192">
        <f t="shared" si="150"/>
        <v>437</v>
      </c>
      <c r="C437" s="732">
        <f t="shared" si="142"/>
        <v>31</v>
      </c>
      <c r="D437" s="35">
        <f t="shared" si="143"/>
        <v>3</v>
      </c>
      <c r="E437" s="889">
        <f t="shared" si="138"/>
        <v>60357</v>
      </c>
      <c r="F437" s="822">
        <f t="shared" si="144"/>
        <v>3</v>
      </c>
      <c r="G437" s="126">
        <f t="shared" si="145"/>
        <v>0</v>
      </c>
      <c r="H437" s="1098">
        <f t="shared" si="153"/>
        <v>0</v>
      </c>
      <c r="I437" s="887">
        <f t="shared" si="151"/>
        <v>418</v>
      </c>
      <c r="J437" s="1099">
        <f t="shared" si="146"/>
        <v>418</v>
      </c>
      <c r="K437" s="891" t="str">
        <f t="shared" si="147"/>
        <v>March</v>
      </c>
      <c r="L437" s="888">
        <f t="shared" si="152"/>
        <v>2065</v>
      </c>
      <c r="M437" s="883">
        <f t="shared" si="148"/>
        <v>0</v>
      </c>
      <c r="N437" s="883">
        <f t="shared" si="139"/>
        <v>0</v>
      </c>
      <c r="O437" s="1100"/>
      <c r="P437" s="883">
        <f t="shared" si="140"/>
        <v>0</v>
      </c>
      <c r="Q437" s="884">
        <f t="shared" si="141"/>
        <v>0</v>
      </c>
      <c r="R437" s="884">
        <f>IF(AND($AR$39="Early Payoff",I437&gt;=$R$13),0,IF($I437&lt;=$R$6,SUM($P$20:$P437),0))</f>
        <v>0</v>
      </c>
      <c r="S437" s="884">
        <f>IF(AND($AR$39="Early Payoff",I437&gt;=$R$13),0,IF($I437&lt;=$R$6,SUM($Q$20:$Q437),0))</f>
        <v>0</v>
      </c>
      <c r="T437" s="873">
        <f t="shared" si="149"/>
        <v>0</v>
      </c>
      <c r="U437" s="1110">
        <f t="shared" si="154"/>
        <v>0</v>
      </c>
    </row>
    <row r="438" spans="2:21" ht="13.5" x14ac:dyDescent="0.25">
      <c r="B438" s="1192">
        <f t="shared" si="150"/>
        <v>438</v>
      </c>
      <c r="C438" s="732">
        <f t="shared" si="142"/>
        <v>30</v>
      </c>
      <c r="D438" s="35">
        <f t="shared" si="143"/>
        <v>4</v>
      </c>
      <c r="E438" s="889">
        <f t="shared" si="138"/>
        <v>60387</v>
      </c>
      <c r="F438" s="822">
        <f t="shared" si="144"/>
        <v>4</v>
      </c>
      <c r="G438" s="126">
        <f t="shared" si="145"/>
        <v>0</v>
      </c>
      <c r="H438" s="1098">
        <f t="shared" si="153"/>
        <v>0</v>
      </c>
      <c r="I438" s="887">
        <f t="shared" si="151"/>
        <v>419</v>
      </c>
      <c r="J438" s="1099">
        <f t="shared" si="146"/>
        <v>419</v>
      </c>
      <c r="K438" s="891" t="str">
        <f t="shared" si="147"/>
        <v>April</v>
      </c>
      <c r="L438" s="888">
        <f t="shared" si="152"/>
        <v>2065</v>
      </c>
      <c r="M438" s="883">
        <f t="shared" si="148"/>
        <v>0</v>
      </c>
      <c r="N438" s="883">
        <f t="shared" si="139"/>
        <v>0</v>
      </c>
      <c r="O438" s="1100"/>
      <c r="P438" s="883">
        <f t="shared" si="140"/>
        <v>0</v>
      </c>
      <c r="Q438" s="884">
        <f t="shared" si="141"/>
        <v>0</v>
      </c>
      <c r="R438" s="884">
        <f>IF(AND($AR$39="Early Payoff",I438&gt;=$R$13),0,IF($I438&lt;=$R$6,SUM($P$20:$P438),0))</f>
        <v>0</v>
      </c>
      <c r="S438" s="884">
        <f>IF(AND($AR$39="Early Payoff",I438&gt;=$R$13),0,IF($I438&lt;=$R$6,SUM($Q$20:$Q438),0))</f>
        <v>0</v>
      </c>
      <c r="T438" s="873">
        <f t="shared" si="149"/>
        <v>0</v>
      </c>
      <c r="U438" s="1110">
        <f t="shared" si="154"/>
        <v>0</v>
      </c>
    </row>
    <row r="439" spans="2:21" ht="13.5" x14ac:dyDescent="0.25">
      <c r="B439" s="1192">
        <f t="shared" si="150"/>
        <v>439</v>
      </c>
      <c r="C439" s="732">
        <f t="shared" si="142"/>
        <v>31</v>
      </c>
      <c r="D439" s="35">
        <f t="shared" si="143"/>
        <v>5</v>
      </c>
      <c r="E439" s="889">
        <f t="shared" si="138"/>
        <v>60418</v>
      </c>
      <c r="F439" s="822">
        <f t="shared" si="144"/>
        <v>5</v>
      </c>
      <c r="G439" s="126">
        <f t="shared" si="145"/>
        <v>0</v>
      </c>
      <c r="H439" s="1098">
        <f t="shared" si="153"/>
        <v>0</v>
      </c>
      <c r="I439" s="887">
        <f t="shared" si="151"/>
        <v>420</v>
      </c>
      <c r="J439" s="1099">
        <f t="shared" si="146"/>
        <v>420</v>
      </c>
      <c r="K439" s="891" t="str">
        <f t="shared" si="147"/>
        <v>May</v>
      </c>
      <c r="L439" s="888">
        <f t="shared" si="152"/>
        <v>2065</v>
      </c>
      <c r="M439" s="883">
        <f t="shared" si="148"/>
        <v>0</v>
      </c>
      <c r="N439" s="883">
        <f t="shared" si="139"/>
        <v>0</v>
      </c>
      <c r="O439" s="1100"/>
      <c r="P439" s="883">
        <f t="shared" si="140"/>
        <v>0</v>
      </c>
      <c r="Q439" s="884">
        <f t="shared" si="141"/>
        <v>0</v>
      </c>
      <c r="R439" s="884">
        <f>IF(AND($AR$39="Early Payoff",I439&gt;=$R$13),0,IF($I439&lt;=$R$6,SUM($P$20:$P439),0))</f>
        <v>0</v>
      </c>
      <c r="S439" s="884">
        <f>IF(AND($AR$39="Early Payoff",I439&gt;=$R$13),0,IF($I439&lt;=$R$6,SUM($Q$20:$Q439),0))</f>
        <v>0</v>
      </c>
      <c r="T439" s="873">
        <f t="shared" si="149"/>
        <v>0</v>
      </c>
      <c r="U439" s="1110">
        <f t="shared" si="154"/>
        <v>0</v>
      </c>
    </row>
    <row r="440" spans="2:21" ht="13.5" x14ac:dyDescent="0.25">
      <c r="B440" s="1192">
        <f t="shared" si="150"/>
        <v>440</v>
      </c>
      <c r="C440" s="732">
        <f t="shared" si="142"/>
        <v>30</v>
      </c>
      <c r="D440" s="35">
        <f t="shared" si="143"/>
        <v>6</v>
      </c>
      <c r="E440" s="889">
        <f t="shared" si="138"/>
        <v>60448</v>
      </c>
      <c r="F440" s="822">
        <f t="shared" si="144"/>
        <v>6</v>
      </c>
      <c r="G440" s="126">
        <f t="shared" si="145"/>
        <v>0</v>
      </c>
      <c r="H440" s="1098">
        <f t="shared" si="153"/>
        <v>0</v>
      </c>
      <c r="I440" s="887">
        <f t="shared" si="151"/>
        <v>421</v>
      </c>
      <c r="J440" s="1099">
        <f t="shared" si="146"/>
        <v>421</v>
      </c>
      <c r="K440" s="891" t="str">
        <f t="shared" si="147"/>
        <v>June</v>
      </c>
      <c r="L440" s="888">
        <f t="shared" si="152"/>
        <v>2065</v>
      </c>
      <c r="M440" s="883">
        <f t="shared" si="148"/>
        <v>0</v>
      </c>
      <c r="N440" s="883">
        <f t="shared" si="139"/>
        <v>0</v>
      </c>
      <c r="O440" s="1100"/>
      <c r="P440" s="883">
        <f t="shared" si="140"/>
        <v>0</v>
      </c>
      <c r="Q440" s="884">
        <f t="shared" si="141"/>
        <v>0</v>
      </c>
      <c r="R440" s="884">
        <f>IF(AND($AR$39="Early Payoff",I440&gt;=$R$13),0,IF($I440&lt;=$R$6,SUM($P$20:$P440),0))</f>
        <v>0</v>
      </c>
      <c r="S440" s="884">
        <f>IF(AND($AR$39="Early Payoff",I440&gt;=$R$13),0,IF($I440&lt;=$R$6,SUM($Q$20:$Q440),0))</f>
        <v>0</v>
      </c>
      <c r="T440" s="873">
        <f t="shared" si="149"/>
        <v>0</v>
      </c>
      <c r="U440" s="1110">
        <f t="shared" si="154"/>
        <v>0</v>
      </c>
    </row>
    <row r="441" spans="2:21" x14ac:dyDescent="0.2">
      <c r="B441" s="1421"/>
      <c r="C441" s="1417"/>
      <c r="D441" s="1417"/>
      <c r="E441" s="1417"/>
      <c r="F441" s="1417"/>
      <c r="G441" s="1417"/>
      <c r="H441" s="1416"/>
      <c r="I441" s="1416"/>
      <c r="J441" s="1417"/>
      <c r="K441" s="1417"/>
      <c r="L441" s="1417"/>
      <c r="M441" s="1417"/>
      <c r="N441" s="1417"/>
      <c r="O441" s="1417"/>
      <c r="P441" s="1417"/>
      <c r="Q441" s="1417"/>
      <c r="R441" s="1417"/>
      <c r="S441" s="1417"/>
      <c r="T441" s="1418"/>
      <c r="U441" s="1418"/>
    </row>
    <row r="483" spans="1:49" s="22" customFormat="1" x14ac:dyDescent="0.2">
      <c r="A483" s="1"/>
      <c r="B483" s="406"/>
      <c r="H483" s="879"/>
      <c r="I483" s="879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</row>
    <row r="484" spans="1:49" s="22" customFormat="1" x14ac:dyDescent="0.2">
      <c r="A484" s="1"/>
      <c r="B484" s="406"/>
      <c r="H484" s="879"/>
      <c r="I484" s="879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</row>
    <row r="485" spans="1:49" s="22" customFormat="1" x14ac:dyDescent="0.2">
      <c r="A485" s="1"/>
      <c r="B485" s="406"/>
      <c r="H485" s="879"/>
      <c r="I485" s="879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</row>
    <row r="486" spans="1:49" s="22" customFormat="1" x14ac:dyDescent="0.2">
      <c r="A486" s="1"/>
      <c r="B486" s="406"/>
      <c r="H486" s="879"/>
      <c r="I486" s="879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</row>
    <row r="487" spans="1:49" s="22" customFormat="1" x14ac:dyDescent="0.2">
      <c r="A487" s="1"/>
      <c r="B487" s="406"/>
      <c r="H487" s="879"/>
      <c r="I487" s="879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</row>
    <row r="488" spans="1:49" s="22" customFormat="1" x14ac:dyDescent="0.2">
      <c r="A488" s="1"/>
      <c r="B488" s="406"/>
      <c r="H488" s="879"/>
      <c r="I488" s="879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</row>
    <row r="489" spans="1:49" s="22" customFormat="1" x14ac:dyDescent="0.2">
      <c r="A489" s="1"/>
      <c r="B489" s="406"/>
      <c r="H489" s="879"/>
      <c r="I489" s="879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</row>
    <row r="490" spans="1:49" s="22" customFormat="1" x14ac:dyDescent="0.2">
      <c r="A490" s="1"/>
      <c r="B490" s="406"/>
      <c r="H490" s="879"/>
      <c r="I490" s="879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</row>
    <row r="491" spans="1:49" s="22" customFormat="1" x14ac:dyDescent="0.2">
      <c r="A491" s="1"/>
      <c r="B491" s="406"/>
      <c r="H491" s="879"/>
      <c r="I491" s="879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</row>
    <row r="492" spans="1:49" s="22" customFormat="1" x14ac:dyDescent="0.2">
      <c r="A492" s="1"/>
      <c r="B492" s="406"/>
      <c r="H492" s="879"/>
      <c r="I492" s="879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</row>
    <row r="493" spans="1:49" s="22" customFormat="1" x14ac:dyDescent="0.2">
      <c r="A493" s="1"/>
      <c r="B493" s="406"/>
      <c r="H493" s="879"/>
      <c r="I493" s="879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</row>
    <row r="494" spans="1:49" s="22" customFormat="1" x14ac:dyDescent="0.2">
      <c r="A494" s="1"/>
      <c r="B494" s="406"/>
      <c r="H494" s="879"/>
      <c r="I494" s="879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</row>
    <row r="495" spans="1:49" s="22" customFormat="1" x14ac:dyDescent="0.2">
      <c r="A495" s="1"/>
      <c r="B495" s="406"/>
      <c r="H495" s="879"/>
      <c r="I495" s="879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</row>
    <row r="496" spans="1:49" s="22" customFormat="1" x14ac:dyDescent="0.2">
      <c r="A496" s="1"/>
      <c r="B496" s="406"/>
      <c r="H496" s="879"/>
      <c r="I496" s="879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</row>
    <row r="497" spans="1:49" s="22" customFormat="1" x14ac:dyDescent="0.2">
      <c r="A497" s="1"/>
      <c r="B497" s="406"/>
      <c r="H497" s="879"/>
      <c r="I497" s="879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</row>
    <row r="498" spans="1:49" s="22" customFormat="1" x14ac:dyDescent="0.2">
      <c r="A498" s="1"/>
      <c r="B498" s="406"/>
      <c r="H498" s="879"/>
      <c r="I498" s="879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</row>
    <row r="499" spans="1:49" s="22" customFormat="1" x14ac:dyDescent="0.2">
      <c r="A499" s="1"/>
      <c r="B499" s="406"/>
      <c r="H499" s="879"/>
      <c r="I499" s="879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</row>
    <row r="500" spans="1:49" s="22" customFormat="1" x14ac:dyDescent="0.2">
      <c r="A500" s="1"/>
      <c r="B500" s="406"/>
      <c r="H500" s="879"/>
      <c r="I500" s="879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</row>
    <row r="501" spans="1:49" s="22" customFormat="1" x14ac:dyDescent="0.2">
      <c r="A501" s="1"/>
      <c r="B501" s="406"/>
      <c r="H501" s="879"/>
      <c r="I501" s="879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</row>
    <row r="502" spans="1:49" s="22" customFormat="1" x14ac:dyDescent="0.2">
      <c r="A502" s="1"/>
      <c r="B502" s="406"/>
      <c r="H502" s="879"/>
      <c r="I502" s="879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</row>
    <row r="503" spans="1:49" s="22" customFormat="1" x14ac:dyDescent="0.2">
      <c r="A503" s="1"/>
      <c r="B503" s="406"/>
      <c r="H503" s="879"/>
      <c r="I503" s="879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</row>
    <row r="504" spans="1:49" s="22" customFormat="1" x14ac:dyDescent="0.2">
      <c r="A504" s="1"/>
      <c r="B504" s="406"/>
      <c r="H504" s="879"/>
      <c r="I504" s="879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</row>
    <row r="505" spans="1:49" s="22" customFormat="1" x14ac:dyDescent="0.2">
      <c r="A505" s="1"/>
      <c r="B505" s="406"/>
      <c r="H505" s="879"/>
      <c r="I505" s="879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</row>
    <row r="506" spans="1:49" s="22" customFormat="1" x14ac:dyDescent="0.2">
      <c r="A506" s="1"/>
      <c r="B506" s="406"/>
      <c r="H506" s="879"/>
      <c r="I506" s="879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</row>
    <row r="507" spans="1:49" s="22" customFormat="1" x14ac:dyDescent="0.2">
      <c r="A507" s="1"/>
      <c r="B507" s="406"/>
      <c r="H507" s="879"/>
      <c r="I507" s="879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</row>
    <row r="508" spans="1:49" s="22" customFormat="1" x14ac:dyDescent="0.2">
      <c r="A508" s="1"/>
      <c r="B508" s="406"/>
      <c r="H508" s="879"/>
      <c r="I508" s="879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</row>
    <row r="509" spans="1:49" s="22" customFormat="1" x14ac:dyDescent="0.2">
      <c r="A509" s="1"/>
      <c r="B509" s="406"/>
      <c r="H509" s="879"/>
      <c r="I509" s="879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</row>
    <row r="510" spans="1:49" s="22" customFormat="1" x14ac:dyDescent="0.2">
      <c r="A510" s="1"/>
      <c r="B510" s="406"/>
      <c r="H510" s="879"/>
      <c r="I510" s="879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</row>
    <row r="511" spans="1:49" s="22" customFormat="1" x14ac:dyDescent="0.2">
      <c r="A511" s="1"/>
      <c r="B511" s="406"/>
      <c r="H511" s="879"/>
      <c r="I511" s="879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</row>
    <row r="512" spans="1:49" s="22" customFormat="1" x14ac:dyDescent="0.2">
      <c r="A512" s="1"/>
      <c r="B512" s="406"/>
      <c r="H512" s="879"/>
      <c r="I512" s="879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</row>
    <row r="513" spans="1:49" s="22" customFormat="1" x14ac:dyDescent="0.2">
      <c r="A513" s="1"/>
      <c r="B513" s="406"/>
      <c r="H513" s="879"/>
      <c r="I513" s="879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</row>
    <row r="514" spans="1:49" s="22" customFormat="1" x14ac:dyDescent="0.2">
      <c r="A514" s="1"/>
      <c r="B514" s="406"/>
      <c r="H514" s="879"/>
      <c r="I514" s="879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</row>
    <row r="515" spans="1:49" s="22" customFormat="1" x14ac:dyDescent="0.2">
      <c r="A515" s="1"/>
      <c r="B515" s="406"/>
      <c r="H515" s="879"/>
      <c r="I515" s="879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</row>
    <row r="516" spans="1:49" s="22" customFormat="1" x14ac:dyDescent="0.2">
      <c r="A516" s="1"/>
      <c r="B516" s="406"/>
      <c r="H516" s="879"/>
      <c r="I516" s="879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</row>
    <row r="517" spans="1:49" s="22" customFormat="1" x14ac:dyDescent="0.2">
      <c r="A517" s="1"/>
      <c r="B517" s="406"/>
      <c r="H517" s="879"/>
      <c r="I517" s="879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</row>
    <row r="518" spans="1:49" s="22" customFormat="1" x14ac:dyDescent="0.2">
      <c r="A518" s="1"/>
      <c r="B518" s="406"/>
      <c r="H518" s="879"/>
      <c r="I518" s="879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</row>
    <row r="519" spans="1:49" s="22" customFormat="1" x14ac:dyDescent="0.2">
      <c r="A519" s="1"/>
      <c r="B519" s="406"/>
      <c r="H519" s="879"/>
      <c r="I519" s="879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</row>
    <row r="520" spans="1:49" s="22" customFormat="1" x14ac:dyDescent="0.2">
      <c r="A520" s="1"/>
      <c r="B520" s="406"/>
      <c r="H520" s="879"/>
      <c r="I520" s="879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</row>
    <row r="521" spans="1:49" s="22" customFormat="1" x14ac:dyDescent="0.2">
      <c r="A521" s="1"/>
      <c r="B521" s="406"/>
      <c r="H521" s="879"/>
      <c r="I521" s="879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</row>
    <row r="522" spans="1:49" s="22" customFormat="1" x14ac:dyDescent="0.2">
      <c r="A522" s="1"/>
      <c r="B522" s="406"/>
      <c r="H522" s="879"/>
      <c r="I522" s="879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</row>
    <row r="523" spans="1:49" s="22" customFormat="1" x14ac:dyDescent="0.2">
      <c r="A523" s="1"/>
      <c r="B523" s="406"/>
      <c r="H523" s="879"/>
      <c r="I523" s="879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</row>
    <row r="524" spans="1:49" s="22" customFormat="1" x14ac:dyDescent="0.2">
      <c r="A524" s="1"/>
      <c r="B524" s="406"/>
      <c r="H524" s="879"/>
      <c r="I524" s="879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</row>
    <row r="525" spans="1:49" s="22" customFormat="1" x14ac:dyDescent="0.2">
      <c r="A525" s="1"/>
      <c r="B525" s="406"/>
      <c r="H525" s="879"/>
      <c r="I525" s="879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</row>
    <row r="526" spans="1:49" s="22" customFormat="1" x14ac:dyDescent="0.2">
      <c r="A526" s="1"/>
      <c r="B526" s="406"/>
      <c r="H526" s="879"/>
      <c r="I526" s="879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</row>
    <row r="527" spans="1:49" s="22" customFormat="1" x14ac:dyDescent="0.2">
      <c r="A527" s="1"/>
      <c r="B527" s="406"/>
      <c r="H527" s="879"/>
      <c r="I527" s="879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</row>
    <row r="528" spans="1:49" s="22" customFormat="1" x14ac:dyDescent="0.2">
      <c r="A528" s="1"/>
      <c r="B528" s="406"/>
      <c r="H528" s="879"/>
      <c r="I528" s="879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</row>
    <row r="529" spans="1:49" s="22" customFormat="1" x14ac:dyDescent="0.2">
      <c r="A529" s="1"/>
      <c r="B529" s="406"/>
      <c r="H529" s="879"/>
      <c r="I529" s="879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</row>
    <row r="530" spans="1:49" s="22" customFormat="1" x14ac:dyDescent="0.2">
      <c r="A530" s="1"/>
      <c r="B530" s="406"/>
      <c r="H530" s="879"/>
      <c r="I530" s="879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</row>
    <row r="531" spans="1:49" s="22" customFormat="1" x14ac:dyDescent="0.2">
      <c r="A531" s="1"/>
      <c r="B531" s="406"/>
      <c r="H531" s="879"/>
      <c r="I531" s="879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</row>
    <row r="532" spans="1:49" s="22" customFormat="1" x14ac:dyDescent="0.2">
      <c r="A532" s="1"/>
      <c r="B532" s="406"/>
      <c r="H532" s="879"/>
      <c r="I532" s="879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</row>
  </sheetData>
  <sheetProtection formatColumns="0"/>
  <mergeCells count="15">
    <mergeCell ref="I18:U18"/>
    <mergeCell ref="W18:Z18"/>
    <mergeCell ref="AB18:AM18"/>
    <mergeCell ref="I8:J8"/>
    <mergeCell ref="I9:J9"/>
    <mergeCell ref="I10:J10"/>
    <mergeCell ref="I11:J11"/>
    <mergeCell ref="I12:J12"/>
    <mergeCell ref="I13:J13"/>
    <mergeCell ref="I6:J6"/>
    <mergeCell ref="I3:L3"/>
    <mergeCell ref="P3:S3"/>
    <mergeCell ref="W3:Z3"/>
    <mergeCell ref="I4:J4"/>
    <mergeCell ref="I5:J5"/>
  </mergeCells>
  <conditionalFormatting sqref="B20:U440 W20:Z379">
    <cfRule type="expression" dxfId="50" priority="10">
      <formula>IF($I20=$R$6,"TRUE","FALSE")</formula>
    </cfRule>
    <cfRule type="expression" dxfId="49" priority="11">
      <formula>IF($I20&gt;$R$6,"TRUE","FALSE")</formula>
    </cfRule>
  </conditionalFormatting>
  <conditionalFormatting sqref="D20:G440">
    <cfRule type="expression" dxfId="48" priority="8">
      <formula>IF($H$8="No","TRUE","FALSE")</formula>
    </cfRule>
  </conditionalFormatting>
  <conditionalFormatting sqref="Q5">
    <cfRule type="expression" dxfId="47" priority="3">
      <formula>IF($S$4="Monthly","TRUE","FALSE")</formula>
    </cfRule>
  </conditionalFormatting>
  <conditionalFormatting sqref="R5">
    <cfRule type="expression" dxfId="46" priority="9">
      <formula>IF(OR($S$4="Annual",$S$4="Monthly"),"TRUE","FALSE")</formula>
    </cfRule>
  </conditionalFormatting>
  <conditionalFormatting sqref="Y5:Y7">
    <cfRule type="expression" dxfId="45" priority="5">
      <formula>IF($X5="N/A","TRUE","FALSE")</formula>
    </cfRule>
    <cfRule type="expression" dxfId="44" priority="6">
      <formula>IF($X5="Fixed Amount","TRUE","FALSE")</formula>
    </cfRule>
    <cfRule type="expression" dxfId="43" priority="7">
      <formula>IF(OR($X5="%/Payment",$X5="%/Balance"),"TRUE","FALSE")</formula>
    </cfRule>
  </conditionalFormatting>
  <conditionalFormatting sqref="Z5:Z7">
    <cfRule type="expression" dxfId="42" priority="4">
      <formula>IF(OR($X5="N/A",$X5="Fixed Amount"),"TRUE","FALSE")</formula>
    </cfRule>
  </conditionalFormatting>
  <conditionalFormatting sqref="AB20:AM49">
    <cfRule type="expression" dxfId="41" priority="1">
      <formula>IF($AB20&gt;$L$5,"TRUE","FALSE")</formula>
    </cfRule>
    <cfRule type="expression" dxfId="40" priority="2">
      <formula>IF($AB20=$L$5,"TRUE","FALSE")</formula>
    </cfRule>
  </conditionalFormatting>
  <dataValidations count="2">
    <dataValidation type="list" allowBlank="1" showInputMessage="1" showErrorMessage="1" sqref="X5:X7" xr:uid="{91BF86D8-1D6A-4602-A0C2-D11D771DE9AB}">
      <formula1>"%/Payment, %/Balance, Fixed Amount, N/A"</formula1>
    </dataValidation>
    <dataValidation type="list" allowBlank="1" showInputMessage="1" showErrorMessage="1" sqref="J7" xr:uid="{B07E11B5-2992-4043-AFBC-972F6A6AFF19}">
      <formula1>"Base Rate,Actual/360 Rate,Actual/365 Rate"</formula1>
    </dataValidation>
  </dataValidations>
  <printOptions horizontalCentered="1"/>
  <pageMargins left="0.65" right="0.65" top="0.65" bottom="0.65" header="0.5" footer="0.5"/>
  <pageSetup scale="63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A1137-7F5E-4FCE-B726-4E72C3FAA0A3}">
  <sheetPr>
    <tabColor theme="4" tint="0.79998168889431442"/>
    <pageSetUpPr autoPageBreaks="0" fitToPage="1"/>
  </sheetPr>
  <dimension ref="A1:AX532"/>
  <sheetViews>
    <sheetView showGridLines="0" zoomScaleNormal="100" workbookViewId="0"/>
  </sheetViews>
  <sheetFormatPr defaultColWidth="16.140625" defaultRowHeight="12.75" outlineLevelCol="1" x14ac:dyDescent="0.2"/>
  <cols>
    <col min="1" max="1" width="7.42578125" style="1" customWidth="1"/>
    <col min="2" max="2" width="6.140625" style="406" hidden="1" customWidth="1" outlineLevel="1"/>
    <col min="3" max="4" width="3.7109375" style="22" hidden="1" customWidth="1" outlineLevel="1"/>
    <col min="5" max="5" width="14.140625" style="22" hidden="1" customWidth="1" outlineLevel="1"/>
    <col min="6" max="6" width="3.7109375" style="22" hidden="1" customWidth="1" outlineLevel="1"/>
    <col min="7" max="7" width="4.7109375" style="22" hidden="1" customWidth="1" outlineLevel="1"/>
    <col min="8" max="8" width="3.7109375" style="22" hidden="1" customWidth="1" outlineLevel="1"/>
    <col min="9" max="9" width="3.7109375" style="879" hidden="1" customWidth="1" outlineLevel="1"/>
    <col min="10" max="10" width="5.42578125" style="879" customWidth="1" collapsed="1"/>
    <col min="11" max="11" width="17.85546875" style="22" customWidth="1"/>
    <col min="12" max="13" width="14.28515625" style="22" customWidth="1"/>
    <col min="14" max="15" width="16.140625" style="22"/>
    <col min="16" max="16" width="18.28515625" style="22" hidden="1" customWidth="1" outlineLevel="1"/>
    <col min="17" max="17" width="18.140625" style="22" customWidth="1" collapsed="1"/>
    <col min="18" max="20" width="16.140625" style="22"/>
    <col min="21" max="22" width="16.140625" style="1"/>
    <col min="23" max="23" width="6.42578125" style="1" customWidth="1"/>
    <col min="24" max="27" width="18.7109375" style="1" hidden="1" customWidth="1" outlineLevel="1"/>
    <col min="28" max="28" width="16.140625" style="1" collapsed="1"/>
    <col min="29" max="29" width="9.28515625" style="1" customWidth="1"/>
    <col min="30" max="42" width="16.140625" style="1"/>
    <col min="43" max="43" width="23.28515625" style="1" customWidth="1"/>
    <col min="44" max="44" width="16.140625" style="1"/>
    <col min="45" max="45" width="12.140625" style="1" customWidth="1"/>
    <col min="46" max="16384" width="16.140625" style="1"/>
  </cols>
  <sheetData>
    <row r="1" spans="2:27" s="278" customFormat="1" ht="49.15" customHeight="1" x14ac:dyDescent="0.4">
      <c r="B1" s="409"/>
      <c r="C1" s="365"/>
      <c r="D1" s="365"/>
      <c r="E1" s="365"/>
      <c r="F1" s="365"/>
      <c r="G1" s="365"/>
      <c r="H1" s="365"/>
      <c r="I1" s="876"/>
      <c r="J1" s="1201" t="str">
        <f>IF('Financing Assumptions'!$P$8="Yes",'Financing Assumptions'!$N$8&amp;" Amortization","Mezz 1 Amortizaton")</f>
        <v>Mezz 1 Amortizaton</v>
      </c>
      <c r="K1" s="1054"/>
      <c r="L1" s="365"/>
      <c r="M1" s="366"/>
      <c r="N1" s="366"/>
      <c r="O1" s="366"/>
      <c r="P1" s="366"/>
      <c r="Q1" s="365"/>
      <c r="R1" s="279"/>
      <c r="S1" s="279"/>
      <c r="T1" s="279"/>
    </row>
    <row r="2" spans="2:27" s="278" customFormat="1" ht="4.5" customHeight="1" x14ac:dyDescent="0.25">
      <c r="B2" s="412"/>
      <c r="C2" s="280"/>
      <c r="D2" s="280"/>
      <c r="E2" s="280"/>
      <c r="F2" s="280"/>
      <c r="G2" s="280"/>
      <c r="H2" s="280"/>
      <c r="I2" s="877"/>
      <c r="J2" s="877"/>
      <c r="K2" s="280"/>
      <c r="L2" s="280"/>
      <c r="M2" s="286"/>
      <c r="N2" s="286"/>
      <c r="O2" s="286"/>
      <c r="P2" s="286"/>
      <c r="Q2" s="280"/>
      <c r="R2" s="279"/>
      <c r="S2" s="279"/>
      <c r="T2" s="279"/>
    </row>
    <row r="3" spans="2:27" s="278" customFormat="1" ht="18" customHeight="1" x14ac:dyDescent="0.25">
      <c r="B3" s="409"/>
      <c r="C3" s="280"/>
      <c r="D3" s="280"/>
      <c r="E3" s="280"/>
      <c r="F3" s="280"/>
      <c r="G3" s="280"/>
      <c r="H3" s="280"/>
      <c r="I3" s="877"/>
      <c r="J3" s="1564" t="s">
        <v>453</v>
      </c>
      <c r="K3" s="1564"/>
      <c r="L3" s="1564"/>
      <c r="M3" s="1565"/>
      <c r="N3" s="1055"/>
      <c r="Q3" s="1561" t="s">
        <v>447</v>
      </c>
      <c r="R3" s="1562"/>
      <c r="S3" s="1562"/>
      <c r="T3" s="1563"/>
      <c r="X3" s="1561" t="s">
        <v>458</v>
      </c>
      <c r="Y3" s="1562"/>
      <c r="Z3" s="1562"/>
      <c r="AA3" s="1563"/>
    </row>
    <row r="4" spans="2:27" s="278" customFormat="1" ht="12" customHeight="1" x14ac:dyDescent="0.25">
      <c r="B4" s="409"/>
      <c r="C4" s="291"/>
      <c r="D4" s="291"/>
      <c r="E4" s="291"/>
      <c r="F4" s="291"/>
      <c r="G4" s="291"/>
      <c r="H4" s="291"/>
      <c r="I4" s="878"/>
      <c r="J4" s="1566" t="s">
        <v>448</v>
      </c>
      <c r="K4" s="1567"/>
      <c r="L4" s="360"/>
      <c r="M4" s="1173">
        <f>IF('Financing Assumptions'!$P$8="No",0,'Financing Assumptions'!$P$9)</f>
        <v>0</v>
      </c>
      <c r="Q4" s="378" t="s">
        <v>449</v>
      </c>
      <c r="R4" s="1056">
        <f>INDEX($AT$22:$AU$34,MATCH(R$5,$AT$22:$AT$34,0),MATCH("Number",$AT$22:$AU$22,0))</f>
        <v>8</v>
      </c>
      <c r="S4" s="1056">
        <f>INDEX($AT$22:$AU$34,MATCH(S$5,$AT$22:$AT$34,0),MATCH("Number",$AT$22:$AU$22,0))</f>
        <v>3</v>
      </c>
      <c r="T4" s="1280" t="s">
        <v>379</v>
      </c>
      <c r="U4" s="873"/>
      <c r="V4" s="873"/>
      <c r="X4" s="1058" t="s">
        <v>505</v>
      </c>
      <c r="Y4" s="1059" t="s">
        <v>506</v>
      </c>
      <c r="Z4" s="1059" t="s">
        <v>507</v>
      </c>
      <c r="AA4" s="1060" t="s">
        <v>508</v>
      </c>
    </row>
    <row r="5" spans="2:27" s="278" customFormat="1" ht="12" customHeight="1" x14ac:dyDescent="0.25">
      <c r="B5" s="409"/>
      <c r="C5" s="291"/>
      <c r="D5" s="291"/>
      <c r="E5" s="291"/>
      <c r="F5" s="291"/>
      <c r="G5" s="291"/>
      <c r="H5" s="291"/>
      <c r="I5" s="878"/>
      <c r="J5" s="1568" t="s">
        <v>450</v>
      </c>
      <c r="K5" s="1569"/>
      <c r="L5" s="345"/>
      <c r="M5" s="1172">
        <f>IF('Financing Assumptions'!$P$8="No",0,'Financing Assumptions'!$P$13)</f>
        <v>0</v>
      </c>
      <c r="O5" s="875"/>
      <c r="Q5" s="347" t="str">
        <f>IF(T4="Annual","Payment Month",IF($T$4="Bi-Annual","Payment Months",IF($T$4="Monthly","Payment Start Month")))</f>
        <v>Payment Start Month</v>
      </c>
      <c r="R5" s="1179" t="s">
        <v>509</v>
      </c>
      <c r="S5" s="1179" t="s">
        <v>378</v>
      </c>
      <c r="T5" s="1180" t="str">
        <f>IF(T4="Monthly",L20,"")</f>
        <v>July</v>
      </c>
      <c r="U5" s="873"/>
      <c r="V5" s="873"/>
      <c r="X5" s="1063" t="s">
        <v>455</v>
      </c>
      <c r="Y5" s="1064" t="s">
        <v>332</v>
      </c>
      <c r="Z5" s="1065">
        <v>250</v>
      </c>
      <c r="AA5" s="1066">
        <v>20000</v>
      </c>
    </row>
    <row r="6" spans="2:27" s="278" customFormat="1" ht="12" customHeight="1" x14ac:dyDescent="0.25">
      <c r="B6" s="409"/>
      <c r="C6" s="291"/>
      <c r="D6" s="291"/>
      <c r="E6" s="291"/>
      <c r="F6" s="291"/>
      <c r="G6" s="291"/>
      <c r="H6" s="291"/>
      <c r="I6" s="878"/>
      <c r="J6" s="1570" t="s">
        <v>26</v>
      </c>
      <c r="K6" s="1571"/>
      <c r="L6" s="1067"/>
      <c r="M6" s="1171">
        <f>IF('Financing Assumptions'!$P$8="No",0,'Financing Assumptions'!$P$12)</f>
        <v>0</v>
      </c>
      <c r="O6" s="875"/>
      <c r="Q6" s="378" t="s">
        <v>462</v>
      </c>
      <c r="R6" s="360"/>
      <c r="S6" s="1181">
        <f>IF($T$4="Annual",$M$5,IF($T$4="Bi-Annual",$M$5*2,IF($T$4="Monthly",$M$5*12)))</f>
        <v>0</v>
      </c>
      <c r="T6" s="1107"/>
      <c r="U6" s="873"/>
      <c r="V6" s="873"/>
      <c r="X6" s="1063" t="s">
        <v>456</v>
      </c>
      <c r="Y6" s="1064" t="s">
        <v>332</v>
      </c>
      <c r="Z6" s="1065">
        <v>1125</v>
      </c>
      <c r="AA6" s="1066">
        <v>0</v>
      </c>
    </row>
    <row r="7" spans="2:27" s="278" customFormat="1" ht="12" customHeight="1" x14ac:dyDescent="0.25">
      <c r="B7" s="409"/>
      <c r="C7" s="291"/>
      <c r="D7" s="291"/>
      <c r="E7" s="291"/>
      <c r="F7" s="291"/>
      <c r="G7" s="291"/>
      <c r="H7" s="291"/>
      <c r="I7" s="878"/>
      <c r="J7" s="1069"/>
      <c r="K7" s="1070" t="s">
        <v>308</v>
      </c>
      <c r="L7" s="1071"/>
      <c r="M7" s="1171">
        <f>IF($K$7="Actual/360 Rate",($M$6/360)*365,IF($K$7="Base Rate",$M$6))</f>
        <v>0</v>
      </c>
      <c r="Q7" s="379" t="s">
        <v>510</v>
      </c>
      <c r="R7" s="342"/>
      <c r="S7" s="1080">
        <f>IF($T$4="Annual",$M$5-$AR$27,IF($T$4="Bi-Annual",($M$5*2)-$AR$27-1,IF($T$4="Monthly",($M$5*12)-$AR$27)))</f>
        <v>0</v>
      </c>
      <c r="T7" s="1062">
        <f>IF($T$4="Annual",$M$5-$AR$29,IF($T$4="Bi-Annual",($M$5*2)-$AR$29-1,IF($T$4="Monthly",($M$5*12)-$AR$29)))</f>
        <v>0</v>
      </c>
      <c r="U7" s="345"/>
      <c r="V7" s="345"/>
      <c r="X7" s="1073" t="s">
        <v>457</v>
      </c>
      <c r="Y7" s="1064" t="s">
        <v>332</v>
      </c>
      <c r="Z7" s="1074">
        <v>500</v>
      </c>
      <c r="AA7" s="1075">
        <v>0</v>
      </c>
    </row>
    <row r="8" spans="2:27" s="278" customFormat="1" ht="12" customHeight="1" x14ac:dyDescent="0.25">
      <c r="B8" s="409"/>
      <c r="C8" s="291"/>
      <c r="D8" s="291"/>
      <c r="E8" s="291"/>
      <c r="F8" s="291"/>
      <c r="G8" s="291"/>
      <c r="H8" s="291"/>
      <c r="I8" s="878"/>
      <c r="J8" s="347" t="s">
        <v>603</v>
      </c>
      <c r="M8" s="1070" t="s">
        <v>604</v>
      </c>
      <c r="Q8" s="347" t="s">
        <v>511</v>
      </c>
      <c r="R8" s="345"/>
      <c r="S8" s="345"/>
      <c r="T8" s="1082">
        <f>IF('Financing Assumptions'!$P$8="No",0,IF($T$4="Annual",PMT($M$7,($S$6-$AR$29),$M$4),IF($T$4="Bi-Annual",PMT($M$7/2,($S$6-$AR$29),$M$4),IF($T$4="Monthly",PMT($M$7/12,($S$6-$AR$27),$M$4)))))</f>
        <v>0</v>
      </c>
      <c r="X8" s="378" t="str">
        <f>"Total "&amp;X5</f>
        <v>Total Collection Fee</v>
      </c>
      <c r="Y8" s="360"/>
      <c r="Z8" s="360"/>
      <c r="AA8" s="1078">
        <f>SUMIFS(X20:X379,J20:J379,"&lt;="&amp;$S$6)</f>
        <v>0</v>
      </c>
    </row>
    <row r="9" spans="2:27" s="278" customFormat="1" ht="11.85" customHeight="1" x14ac:dyDescent="0.25">
      <c r="B9" s="409"/>
      <c r="C9" s="291"/>
      <c r="D9" s="291"/>
      <c r="E9" s="291"/>
      <c r="F9" s="291"/>
      <c r="G9" s="291"/>
      <c r="H9" s="291"/>
      <c r="I9" s="878"/>
      <c r="J9" s="347"/>
      <c r="M9" s="348"/>
      <c r="Q9" s="347" t="s">
        <v>512</v>
      </c>
      <c r="R9" s="345"/>
      <c r="S9" s="345"/>
      <c r="T9" s="1085">
        <f>IF('Financing Assumptions'!$P$8="No",0,IF($T$4="Annual",$T$8,IF($T$4="Bi-Annual",$T$8*2,IF($T$4="Monthly",T8*12))))</f>
        <v>0</v>
      </c>
      <c r="X9" s="347" t="str">
        <f>"Total "&amp;X6</f>
        <v>Total Lender Service Fee</v>
      </c>
      <c r="Y9"/>
      <c r="Z9"/>
      <c r="AA9" s="1081">
        <f>SUMIFS(Y20:Y379,J20:J379,"&lt;="&amp;$S$6)</f>
        <v>0</v>
      </c>
    </row>
    <row r="10" spans="2:27" s="278" customFormat="1" ht="11.85" customHeight="1" x14ac:dyDescent="0.25">
      <c r="B10" s="409"/>
      <c r="C10" s="291"/>
      <c r="D10" s="291"/>
      <c r="E10" s="291"/>
      <c r="F10" s="291"/>
      <c r="G10" s="291"/>
      <c r="H10" s="291"/>
      <c r="I10" s="878"/>
      <c r="J10" s="1583" t="s">
        <v>431</v>
      </c>
      <c r="K10" s="1584"/>
      <c r="L10" s="1056"/>
      <c r="M10" s="1169">
        <f>YEAR('Financing Assumptions'!P26)</f>
        <v>2025</v>
      </c>
      <c r="Q10" s="378" t="s">
        <v>514</v>
      </c>
      <c r="R10" s="360"/>
      <c r="S10" s="360"/>
      <c r="T10" s="1088">
        <f>IF('Financing Assumptions'!$P$8="No",0,SUM(T11:T12))</f>
        <v>0</v>
      </c>
      <c r="V10" s="1186"/>
      <c r="X10" s="379" t="str">
        <f>"Total "&amp;X7</f>
        <v>Total County Admin Fee</v>
      </c>
      <c r="Y10" s="1050"/>
      <c r="Z10" s="1050"/>
      <c r="AA10" s="1083">
        <f>SUMIFS(Z20:Z379,J20:J379,"&lt;="&amp;$S$6)</f>
        <v>0</v>
      </c>
    </row>
    <row r="11" spans="2:27" s="278" customFormat="1" ht="11.85" customHeight="1" x14ac:dyDescent="0.25">
      <c r="B11" s="409"/>
      <c r="C11" s="291"/>
      <c r="D11" s="291"/>
      <c r="E11" s="291"/>
      <c r="F11" s="291"/>
      <c r="G11" s="291"/>
      <c r="H11" s="291"/>
      <c r="I11" s="878"/>
      <c r="J11" s="1276" t="s">
        <v>430</v>
      </c>
      <c r="K11" s="1277"/>
      <c r="L11" s="1281">
        <f>AR24</f>
        <v>45869</v>
      </c>
      <c r="M11" s="1184" t="str">
        <f>INDEX($AU$22:$AV$34,MATCH(MONTH('Financing Assumptions'!$P$26),$AU$22:$AU$34,0),MATCH("MONTH",$AU$22:$AV$22,0))</f>
        <v>July</v>
      </c>
      <c r="O11" s="315"/>
      <c r="P11" s="315"/>
      <c r="Q11" s="347" t="s">
        <v>517</v>
      </c>
      <c r="R11" s="345"/>
      <c r="S11" s="345"/>
      <c r="T11" s="1174">
        <f>IF('Financing Assumptions'!$T$8="No",0,INDEX($B$19:$U$440,MATCH($T$14,$E$19:$E$440,0),MATCH($S$19,$B$19:$U$19,0)))</f>
        <v>0</v>
      </c>
      <c r="X11" s="378" t="s">
        <v>513</v>
      </c>
      <c r="Y11" s="360"/>
      <c r="Z11" s="360"/>
      <c r="AA11" s="1086">
        <f>SUM(SUMIFS($X$20:$X$379,$J$20:$J$379,"&lt;="&amp;$S$6),SUMIFS($Y$20:$Y$379,$J$20:$J$379,"&lt;="&amp;$S$6),SUMIFS($Z$20:$Z$379,$J$20:$J$379,"&lt;="&amp;$S$6))</f>
        <v>0</v>
      </c>
    </row>
    <row r="12" spans="2:27" s="278" customFormat="1" ht="11.85" customHeight="1" x14ac:dyDescent="0.25">
      <c r="B12" s="409"/>
      <c r="C12" s="291"/>
      <c r="D12" s="291"/>
      <c r="E12" s="291"/>
      <c r="F12" s="291"/>
      <c r="G12" s="291"/>
      <c r="H12" s="291"/>
      <c r="I12" s="878"/>
      <c r="J12" s="1272" t="s">
        <v>459</v>
      </c>
      <c r="K12" s="1273"/>
      <c r="L12" s="1076">
        <f>M12/12</f>
        <v>0</v>
      </c>
      <c r="M12" s="892">
        <f>IF('Financing Assumptions'!$P$8="No",0,'Financing Assumptions'!$P$14)</f>
        <v>0</v>
      </c>
      <c r="O12" s="315"/>
      <c r="P12" s="315"/>
      <c r="Q12" s="347" t="s">
        <v>518</v>
      </c>
      <c r="R12" s="345"/>
      <c r="S12" s="345"/>
      <c r="T12" s="1174">
        <f>IF('Financing Assumptions'!$T$8="No",0,INDEX($B$19:$U$440,MATCH($T$14,$E$19:$E$440,0),MATCH($T$19,$B$19:$U$19,0))-M14)</f>
        <v>0</v>
      </c>
      <c r="X12" s="379" t="s">
        <v>515</v>
      </c>
      <c r="Y12" s="1050"/>
      <c r="Z12" s="1050"/>
      <c r="AA12" s="1083">
        <f>SUMIFS(AA20:AA379,J20:J379,"&lt;="&amp;$S$6)</f>
        <v>0</v>
      </c>
    </row>
    <row r="13" spans="2:27" s="278" customFormat="1" ht="11.85" customHeight="1" x14ac:dyDescent="0.25">
      <c r="B13" s="409"/>
      <c r="C13" s="291"/>
      <c r="D13" s="291"/>
      <c r="E13" s="291"/>
      <c r="F13" s="291"/>
      <c r="G13" s="291"/>
      <c r="H13" s="291"/>
      <c r="I13" s="878"/>
      <c r="J13" s="1274" t="s">
        <v>162</v>
      </c>
      <c r="K13" s="1275"/>
      <c r="L13" s="1079">
        <f>M13/12</f>
        <v>0</v>
      </c>
      <c r="M13" s="518">
        <f>IF('Financing Assumptions'!$P$8="No",0,'Financing Assumptions'!$O$15)</f>
        <v>0</v>
      </c>
      <c r="O13" s="315"/>
      <c r="P13" s="315"/>
      <c r="Q13" s="378" t="s">
        <v>546</v>
      </c>
      <c r="R13" s="360"/>
      <c r="S13" s="360">
        <f>IF($T$4="Monthly",INDEX($B$19:$J$440,MATCH($T$13,$E$19:$E$440,0),MATCH("Period",$B$19:$J$19,0)),IF(AND($T$4="Annual",$AS$40&gt;$R$4),INDEX($B$19:$J$440,MATCH(EOMONTH(DATE(YEAR($T$13)+1,$R$4,1),0),$E$19:$E$440,0),MATCH("Period",$B$19:$J$19,0)),IF(AND($T$4="Annual",$AS$40&lt;=$R$4),INDEX($B$19:$J$440,MATCH(EOMONTH(DATE(YEAR($T$13),$R$4,1),0),$E$19:$E$440,0),MATCH("Period",$B$19:$J$19,0)),IF(AND($T$4="Bi-Annual",$AS$40&gt;MAX($R$4,$S$4)),INDEX($B$19:$J$440,MATCH(EOMONTH(DATE(YEAR($T$13)+1,MIN($R$4,$S$4),1),0),$E$19:$E$440,0),MATCH("Period",$B$19:$J$19,0)),IF(AND($T$4="Bi-Annual",$AS$40&lt;MIN($R$4,$S$4)),INDEX($B$19:$J$440,MATCH(EOMONTH(DATE(YEAR($T$13)-1,MAX($R$4,$S$4),1),0),$E$19:$E$440,0),MATCH("Period",$B$19:$J$19,0)),IF(AND($T$4="Bi-Annual",$AS$40&gt;MIN($R$4,$S$4),$AS$40&lt;MAX($R$4,$S$4)),INDEX($B$19:$J$440,MATCH(EOMONTH(DATE(YEAR($T$13),MAX($R$4,$S$4),1),0),$E$19:$E$440,0),MATCH("Period",$B$19:$J$19,0)),IF(AND($T$4="Bi-Annual",$AS$40=MIN($R$4,$S$4)),INDEX($B$19:$J$440,MATCH(EOMONTH(DATE(YEAR($T$13),MAX($R$4,$S$4),1),0),$E$19:$E$440,0),MATCH("Period",$B$19:$J$19,0)),IF(AND($T$4="Bi-Annual",$AS$40=MAX($R$4,$S$4)),INDEX($B$19:$J$440,MATCH(EOMONTH(DATE(YEAR($T$13)+1,MIN($R$4,$S$4),1),0),$E$19:$E$440,0),MATCH("Period",$B$19:$J$19,0))))))))))</f>
        <v>1</v>
      </c>
      <c r="T13" s="1189">
        <f>EOMONTH($L$11,$M$5*12)</f>
        <v>45869</v>
      </c>
    </row>
    <row r="14" spans="2:27" s="278" customFormat="1" ht="11.85" customHeight="1" x14ac:dyDescent="0.25">
      <c r="B14" s="409"/>
      <c r="C14" s="291"/>
      <c r="D14" s="291"/>
      <c r="E14" s="291"/>
      <c r="F14" s="291"/>
      <c r="G14" s="291"/>
      <c r="H14" s="291"/>
      <c r="I14" s="878"/>
      <c r="J14" s="1278" t="s">
        <v>516</v>
      </c>
      <c r="K14" s="1279"/>
      <c r="L14" s="1187"/>
      <c r="M14" s="1188">
        <f>IF($M$13=0,0,INDEX($J$19:$U$379,MATCH($AR$29,$J$19:$J$379,0),MATCH($T$19,$J$19:$U$19,0)))</f>
        <v>0</v>
      </c>
      <c r="N14" s="279"/>
      <c r="Q14" s="379" t="s">
        <v>547</v>
      </c>
      <c r="R14" s="342"/>
      <c r="S14" s="342">
        <f>IF($AS$39="Full-Term",$S$13,$S$13-1)</f>
        <v>1</v>
      </c>
      <c r="T14" s="1091">
        <f>INDEX($E$19:$J$440,MATCH($S$14,$J$19:$J$440,0),MATCH("Date",$E$19:$J$19,0))</f>
        <v>45869</v>
      </c>
    </row>
    <row r="15" spans="2:27" s="278" customFormat="1" ht="11.85" customHeight="1" x14ac:dyDescent="0.25">
      <c r="B15" s="409"/>
      <c r="C15" s="291"/>
      <c r="D15" s="291"/>
      <c r="E15" s="291"/>
      <c r="F15" s="291"/>
      <c r="G15" s="291"/>
      <c r="H15" s="291"/>
      <c r="I15" s="878"/>
      <c r="J15" s="878"/>
      <c r="K15" s="279"/>
      <c r="L15" s="279"/>
      <c r="M15" s="279"/>
      <c r="N15" s="279"/>
      <c r="O15" s="315"/>
      <c r="P15" s="315"/>
    </row>
    <row r="16" spans="2:27" s="278" customFormat="1" ht="11.85" customHeight="1" x14ac:dyDescent="0.25">
      <c r="B16" s="409"/>
      <c r="C16" s="291"/>
      <c r="D16" s="291"/>
      <c r="E16" s="291"/>
      <c r="F16" s="291"/>
      <c r="G16" s="291"/>
      <c r="H16" s="291"/>
      <c r="I16" s="878"/>
      <c r="J16" s="878"/>
      <c r="K16" s="279"/>
      <c r="L16" s="279"/>
      <c r="M16" s="279"/>
      <c r="N16" s="279"/>
    </row>
    <row r="17" spans="2:50" s="278" customFormat="1" ht="11.85" customHeight="1" x14ac:dyDescent="0.25">
      <c r="B17" s="410"/>
      <c r="C17" s="280"/>
      <c r="D17" s="280"/>
      <c r="E17" s="280"/>
      <c r="F17" s="280"/>
      <c r="G17" s="280"/>
      <c r="H17" s="280"/>
      <c r="I17" s="877"/>
      <c r="J17" s="877"/>
      <c r="K17" s="279"/>
      <c r="L17" s="279"/>
      <c r="N17" s="279"/>
    </row>
    <row r="18" spans="2:50" s="278" customFormat="1" ht="18" customHeight="1" x14ac:dyDescent="0.25">
      <c r="B18" s="410"/>
      <c r="C18" s="280"/>
      <c r="D18" s="280"/>
      <c r="E18" s="280"/>
      <c r="F18" s="280"/>
      <c r="G18" s="280"/>
      <c r="H18" s="280"/>
      <c r="I18" s="877"/>
      <c r="J18" s="1576" t="s">
        <v>451</v>
      </c>
      <c r="K18" s="1577"/>
      <c r="L18" s="1577"/>
      <c r="M18" s="1577"/>
      <c r="N18" s="1577"/>
      <c r="O18" s="1577"/>
      <c r="P18" s="1577"/>
      <c r="Q18" s="1577"/>
      <c r="R18" s="1577"/>
      <c r="S18" s="1577"/>
      <c r="T18" s="1577"/>
      <c r="U18" s="1577"/>
      <c r="V18" s="1578"/>
      <c r="X18" s="1561" t="s">
        <v>458</v>
      </c>
      <c r="Y18" s="1562"/>
      <c r="Z18" s="1562"/>
      <c r="AA18" s="1563"/>
      <c r="AC18" s="1561" t="s">
        <v>521</v>
      </c>
      <c r="AD18" s="1562"/>
      <c r="AE18" s="1562"/>
      <c r="AF18" s="1562"/>
      <c r="AG18" s="1562"/>
      <c r="AH18" s="1562"/>
      <c r="AI18" s="1562"/>
      <c r="AJ18" s="1562"/>
      <c r="AK18" s="1562"/>
      <c r="AL18" s="1562"/>
      <c r="AM18" s="1562"/>
      <c r="AN18" s="1563"/>
      <c r="AV18" s="1092"/>
      <c r="AW18" s="1092"/>
      <c r="AX18" s="1093"/>
    </row>
    <row r="19" spans="2:50" s="278" customFormat="1" ht="27" customHeight="1" x14ac:dyDescent="0.25">
      <c r="B19" s="1094" t="s">
        <v>33</v>
      </c>
      <c r="C19" s="893"/>
      <c r="D19" s="893"/>
      <c r="E19" s="1095" t="s">
        <v>227</v>
      </c>
      <c r="F19" s="893"/>
      <c r="G19" s="893"/>
      <c r="H19" s="893"/>
      <c r="I19" s="894"/>
      <c r="J19" s="1190" t="s">
        <v>460</v>
      </c>
      <c r="K19" s="333" t="s">
        <v>452</v>
      </c>
      <c r="L19" s="332" t="s">
        <v>33</v>
      </c>
      <c r="M19" s="332" t="s">
        <v>32</v>
      </c>
      <c r="N19" s="332" t="s">
        <v>34</v>
      </c>
      <c r="O19" s="332" t="s">
        <v>42</v>
      </c>
      <c r="P19" s="332" t="s">
        <v>523</v>
      </c>
      <c r="Q19" s="332" t="s">
        <v>9</v>
      </c>
      <c r="R19" s="332" t="s">
        <v>43</v>
      </c>
      <c r="S19" s="334" t="s">
        <v>38</v>
      </c>
      <c r="T19" s="332" t="s">
        <v>39</v>
      </c>
      <c r="U19" s="332" t="s">
        <v>40</v>
      </c>
      <c r="V19" s="331" t="s">
        <v>524</v>
      </c>
      <c r="X19" s="333" t="str">
        <f>X5</f>
        <v>Collection Fee</v>
      </c>
      <c r="Y19" s="334" t="str">
        <f>X6</f>
        <v>Lender Service Fee</v>
      </c>
      <c r="Z19" s="332" t="str">
        <f>X7</f>
        <v>County Admin Fee</v>
      </c>
      <c r="AA19" s="331" t="s">
        <v>525</v>
      </c>
      <c r="AC19" s="335"/>
      <c r="AD19" s="332" t="s">
        <v>32</v>
      </c>
      <c r="AE19" s="332" t="s">
        <v>34</v>
      </c>
      <c r="AF19" s="332" t="s">
        <v>42</v>
      </c>
      <c r="AG19" s="332" t="s">
        <v>9</v>
      </c>
      <c r="AH19" s="332" t="s">
        <v>43</v>
      </c>
      <c r="AI19" s="332" t="s">
        <v>419</v>
      </c>
      <c r="AJ19" s="334" t="s">
        <v>38</v>
      </c>
      <c r="AK19" s="332" t="s">
        <v>39</v>
      </c>
      <c r="AL19" s="332" t="s">
        <v>526</v>
      </c>
      <c r="AM19" s="332" t="s">
        <v>40</v>
      </c>
      <c r="AN19" s="331"/>
      <c r="AV19" s="345"/>
      <c r="AW19" s="1092"/>
      <c r="AX19" s="1093"/>
    </row>
    <row r="20" spans="2:50" s="278" customFormat="1" ht="12" customHeight="1" x14ac:dyDescent="0.25">
      <c r="B20" s="1191" t="e">
        <f>'Financing Assumptions'!O26</f>
        <v>#N/A</v>
      </c>
      <c r="C20" s="732">
        <f t="shared" ref="C20:C83" si="0">DAY(EOMONTH(DATE($M20,$D20,1),0))</f>
        <v>31</v>
      </c>
      <c r="D20" s="35">
        <f t="shared" ref="D20:D83" si="1">INDEX($AT$22:$AU$34,MATCH($L20,$AT$22:$AT$34,0),MATCH("Number",$AT$22:$AU$22,0))</f>
        <v>7</v>
      </c>
      <c r="E20" s="889">
        <f>DATE(M20,D20,C20)</f>
        <v>45869</v>
      </c>
      <c r="F20" s="822">
        <f>INDEX($AT$22:$AU$34,MATCH($L20,$AT$22:$AT$34,0),MATCH("Number",$AT$22:$AU$22,0))</f>
        <v>7</v>
      </c>
      <c r="G20" s="500">
        <f>E20-L11</f>
        <v>0</v>
      </c>
      <c r="H20" s="126">
        <f t="shared" ref="H20:H83" si="2">IF($T$4="Monthly",INDEX($AT$36:$AU$48,MATCH($L20,$AT$36:$AT$48,0),MATCH("Number",$AT$36:$AU$36,0)),0)</f>
        <v>0</v>
      </c>
      <c r="I20" s="1098">
        <f>IF($T$4="Annual",1,IF(AND($T$4="Bi-Annual",$F20&gt;$F21),1,IF(AND($T$4="Bi-Annual",$F20&lt;$F21),0,IF($T$4="Monthly",0,))))</f>
        <v>0</v>
      </c>
      <c r="J20" s="886">
        <v>1</v>
      </c>
      <c r="K20" s="1099">
        <f>IF($J20&lt;$AR$29,0,1)</f>
        <v>1</v>
      </c>
      <c r="L20" s="891" t="str">
        <f>IF($T$4="Annual",$R$5,IF(AND($T$4="Bi-Annual",($AS$23+1)&gt;MAX($R$4,$S$4)),INDEX($AU$22:$AV$34,MATCH(MIN($R$4,$S$4),$AU$22:$AU$34,0),MATCH("Month",$AU$22:$AV$22,0)),IF(AND($T$4="Bi-Annual",($AS$23+1)&lt;=MIN($R$4,$S$4)),INDEX($AU$22:$AV$34,MATCH(MIN($R$4,$S$4),$AU$22:$AU$34,0),MATCH("Month",$AU$22:$AV$22,0)),IF(AND($T$4="Bi-Annual",($AS$23+1)&gt;MIN($R$4,$S$4),($AS$23+1)&lt;=MAX($R$4,$S$4)),INDEX($AU$22:$AV$34,MATCH(MAX($R$4,$S$4),$AU$22:$AU$34,0),MATCH("Month",$AU$22:$AV$22,0)),IF($T$4="Monthly",INDEX($AU$22:$AV$34,MATCH(MONTH(L11),$AU$22:$AU$34,0),MATCH("Month",$AU$22:$AV$22,0)))))))</f>
        <v>July</v>
      </c>
      <c r="M20" s="888">
        <f>IF(AND($T$4="Annual",($AS$23+1)&lt;$R$4),$M$10,IF(AND($T$4="Annual",($AS$23+1)&gt;$R$4),$M$10+1,IF(AND($T$4="Bi-Annual",($AS$23+1)&lt;=MAX($R$4,$S$4)),$M$10,IF(AND($T$4="Bi-Annual",($AS$23+1)&gt;MAX($R$4,$S$4)),$M$10+1,IF(AND($T$4="Monthly",$M$11&lt;&gt;"December"),$M$10,IF(AND($T$4="Monthly",$M$11="December"),M10+1))))))</f>
        <v>2025</v>
      </c>
      <c r="N20" s="883">
        <f>M4</f>
        <v>0</v>
      </c>
      <c r="O20" s="883">
        <f>IF($J20&gt;$S$6,0,IF(AND($AR$29&gt;=0,$J20&lt;=$AR$29),0,IF(AND($AR$27&gt;=0,$J20&lt;=$AR$27),$R20,IF(K20=$T$7,SUM(-N20,R20),IF(AND($T$4="Annual",$AR$27&gt;=0,$AR$29&gt;=0,$J20&gt;$AR$27,$J20&gt;$AR$29),PMT($M$7,($S$6-$AR$27),$M$4),IF(AND($T$4="Bi-Annual",$AR$27&gt;=0,$AR$29&gt;=0,$J20&gt;$AR$27,$J20&gt;$AR$29),PMT($M$7/2,($S$6-$AR$27),$M$4),IF(AND($T$4="Monthly",$AR$27&gt;=0,$AR$29&gt;=0,$J20&gt;$AR$27,$J20&gt;$AR$29),PMT($M$7/12,($S$6-$AR$27),$M$4))))))))-P20</f>
        <v>0</v>
      </c>
      <c r="P20" s="1100"/>
      <c r="Q20" s="883">
        <f t="shared" ref="Q20:Q83" si="3">IF(AND($AS$39="Early Payoff",J20&gt;=$S$13),0,IF($J20&gt;$S$6,0,IF(AND($AR$29&gt;0,$J20&lt;=$AR$29),0,+$O20-$R20)))</f>
        <v>0</v>
      </c>
      <c r="R20" s="884">
        <f>IF($T$4="Annual",-$M$7*$M$4*1,IF(AND($T$4="Bi-Annual",$M$8="Base"),(-$M$7/2)*$M$4*1,IF(AND($T$4="Bi-Annual",$M$8="Actual Days"),(-$M$7*$M$4)*($G20/366),IF($T$4="Monthly",(-$M$7/12)*$M$4*1))))</f>
        <v>0</v>
      </c>
      <c r="S20" s="884">
        <f>IF($J20&lt;=$S$6,SUM($Q$20:$Q20),0)</f>
        <v>0</v>
      </c>
      <c r="T20" s="884">
        <f>IF($J20&lt;=$S$6,SUM($R$20:$R20),0)</f>
        <v>0</v>
      </c>
      <c r="U20" s="873">
        <f t="shared" ref="U20:U83" si="4">IF($K20&lt;$S$13,SUM($N20,$Q20),0)</f>
        <v>0</v>
      </c>
      <c r="V20" s="1110">
        <f>IF($T$4="Monthly",$N20,IF(AND(OR($T$4="Annual",$T$4="Bi-Annual"),$K20=$T$7),INDEX($J$19:$U$379,MATCH($T$7,$K$19:$K$2379,0),MATCH($N$19,$J$19:$U$19,0)),IF(AND(OR($T$4="Annual",$T$4="Bi-Annual"),$K20&lt;$T$7),$N20,0)))</f>
        <v>0</v>
      </c>
      <c r="X20" s="1102">
        <f t="shared" ref="X20:X83" si="5">IF($J20&gt;$S$6,0,IF($J20&lt;=$AR$27,0,IF(AND($Y$5="%/Payment",$AA$5=0),$O20*$Z$5,IF(AND($Y$5="%/Payment",$AA$5&gt;0,($O20*$Z$5)&lt;$AA$5),$O20*$Z$5,IF(AND($Y$5="%/Payment",$AA$5&gt;0,($O20*$Z$5)&gt;$AA$5),-$AA$5,IF(AND($Y$5="%/Balance",$AA$5=0),-$U20*$Z$5,IF(AND($Y$5="%/Balance",$AA$5&gt;0,($U20*$Z$5)&lt;$AA$5),-$U20*$Z$5,IF(AND($Y$5="%/Balance",$AA$5&gt;0,($U20*$Z$5)&gt;$AA$5),-$AA$5,IF($Y$5="Fixed Amount",-$Z$5,IF($Y$5="N/A",0))))))))))</f>
        <v>0</v>
      </c>
      <c r="Y20" s="873">
        <f t="shared" ref="Y20:Y83" si="6">IF($J20&gt;$S$6,0,IF($J20&lt;=$AR$27,0,IF(AND($Y$6="%/Payment",$AA$6=0),$O20*$Z$6,IF(AND($Y$6="%/Payment",$AA$6&gt;0,($O20*$Z$6)&lt;$AA$6),$O20*$Z$6,IF(AND($Y$6="%/Payment",$AA$6&gt;0,($O20*$Z$6)&gt;$AA$6),-$AA$6,IF(AND($Y$6="%/Balance",$AA$6=0),-$U20*$Z$6,IF(AND($Y$6="%/Balance",$AA$6&gt;0,($U20*$Z$6)&lt;$AA$6),-$U20*$Z$6,IF(AND($Y$6="%/Balance",$AA$6&gt;0,($U20*$Z$6)&gt;$AA$6),-$AA$6,IF($Y$6="Fixed Amount",-$Z$6,IF($Y$6="N/A",0))))))))))</f>
        <v>0</v>
      </c>
      <c r="Z20" s="873">
        <f t="shared" ref="Z20:Z83" si="7">IF($J20&gt;$S$6,0,IF($J20&lt;=$AR$27,0,IF(AND($Y$7="%/Payment",$AA$7=0),$O20*$Z$7,IF(AND($Y$7="%/Payment",$AA$7&gt;0,($O20*$Z$7)&lt;$AA$7),$O20*$Z$7,IF(AND($Y$7="%/Payment",$AA$7&gt;0,($O20*$Z$7)&gt;$AA$7),-$AA$7,IF(AND($Y$7="%/Balance",$AA$7=0),-$U20*$Z$7,IF(AND($Y$7="%/Balance",$AA$7&gt;0,($U20*$Z$7)&lt;$AA$7),-$U20*$Z$7,IF(AND($Y$7="%/Balance",$AA$7&gt;0,($O20*$Z$7)&gt;$AA$7),-$AA$7,IF($Y$7="Fixed Amount",-$Z$7,IF($Y$7="N/A",0))))))))))</f>
        <v>0</v>
      </c>
      <c r="AA20" s="885">
        <f t="shared" ref="AA20:AA83" si="8">SUM($O20,$X20:$Z20)</f>
        <v>0</v>
      </c>
      <c r="AC20" s="355">
        <f>IF(AND($T$4="Annual",$M$20=$M$10,$R$4&gt;$AS$23),1,IF(AND($T$4="Annual",$M$20&gt;$M$10),1,IF(AND($T$4="Annual",$M$20=$M$10),0,IF(AND($T$4="Bi-Annual",$M$20=$M$10),0,IF(AND($T$4="Bi-Annual",$M$20&gt;$M$10),1,IF(AND(T4="Monthly",$L$20="January"),1,IF(AND(T4="Monthly",$L$20&lt;&gt;"January"),0)))))))</f>
        <v>0</v>
      </c>
      <c r="AD20" s="1103">
        <f>$M$20</f>
        <v>2025</v>
      </c>
      <c r="AE20" s="1104">
        <f>INDEX($M$19:$N$379,MATCH($AD20,$M$19:$M$379,0),MATCH($AE$19,$M$19:$N$19,0))</f>
        <v>0</v>
      </c>
      <c r="AF20" s="1104">
        <f>SUMIFS($AA$20:$AA$379,$M$20:$M$379,"="&amp;$AD20)</f>
        <v>0</v>
      </c>
      <c r="AG20" s="1104">
        <f>SUMIFS($Q$20:$Q$379,$M$20:$M$379,"="&amp;$AD20)</f>
        <v>0</v>
      </c>
      <c r="AH20" s="1104">
        <f>SUMIFS($R$20:$R$379,$M$20:$M$379,"="&amp;$AD20)</f>
        <v>0</v>
      </c>
      <c r="AI20" s="1104">
        <f>SUMIFS($X$20:$X$379,$M$20:$M$379,"="&amp;$AD20)+SUMIFS($Y$20:$Y$379,$M$20:$M$379,"="&amp;$AD20)+SUMIFS($Z$20:$Z$379,$M$20:$M$379,"="&amp;$AD20)</f>
        <v>0</v>
      </c>
      <c r="AJ20" s="1104">
        <f>IF($AE20=0,0,SUM($AG$20:$AG20))</f>
        <v>0</v>
      </c>
      <c r="AK20" s="1104">
        <f>IF($AE20=0,0,SUM($AH$20:$AH20))</f>
        <v>0</v>
      </c>
      <c r="AL20" s="1104">
        <f>SUM($AI$20:$AI20)</f>
        <v>0</v>
      </c>
      <c r="AM20" s="1104">
        <f>AE20+AG20</f>
        <v>0</v>
      </c>
      <c r="AN20" s="1104"/>
      <c r="AO20" s="347"/>
      <c r="AQ20" s="1106" t="s">
        <v>44</v>
      </c>
      <c r="AR20" s="360"/>
      <c r="AS20" s="360"/>
      <c r="AT20" s="360"/>
      <c r="AU20" s="360"/>
      <c r="AV20" s="1107"/>
      <c r="AW20" s="1092"/>
      <c r="AX20" s="1093"/>
    </row>
    <row r="21" spans="2:50" s="278" customFormat="1" ht="12" customHeight="1" x14ac:dyDescent="0.25">
      <c r="B21" s="1192" t="e">
        <f>B20+1</f>
        <v>#N/A</v>
      </c>
      <c r="C21" s="732">
        <f>DAY(EOMONTH(DATE($M21,$D21,1),0))</f>
        <v>31</v>
      </c>
      <c r="D21" s="35">
        <f t="shared" si="1"/>
        <v>8</v>
      </c>
      <c r="E21" s="889">
        <f>DATE(M21,D21,C21)</f>
        <v>45900</v>
      </c>
      <c r="F21" s="822">
        <f t="shared" ref="F21:F84" si="9">INDEX($AT$22:$AU$34,MATCH($L21,$AT$22:$AT$34,0),MATCH("Number",$AT$22:$AU$22,0))</f>
        <v>8</v>
      </c>
      <c r="G21" s="500">
        <f>E21-E20</f>
        <v>31</v>
      </c>
      <c r="H21" s="126">
        <f t="shared" si="2"/>
        <v>0</v>
      </c>
      <c r="I21" s="1098">
        <f>IF($T$4="Annual",1,IF(AND($T$4="Bi-Annual",$F21&gt;$F22),1,IF(AND($T$4="Bi-Annual",$F21&lt;$F22),0,IF($T$4="Monthly",0,))))</f>
        <v>0</v>
      </c>
      <c r="J21" s="887">
        <f>J20+1</f>
        <v>2</v>
      </c>
      <c r="K21" s="1099">
        <f t="shared" ref="K21:K84" si="10">IF($J21&lt;=$AR$29,0,IF($J20&gt;=$AR$29,$K20+1))</f>
        <v>2</v>
      </c>
      <c r="L21" s="891" t="str">
        <f t="shared" ref="L21:L84" si="11">IF($T$4="Annual",$R$5,IF(AND($T$4="Bi-Annual",$F20&lt;MAX($R$4,$S$4)),INDEX($AU$22:$AV$34,MATCH(MAX($R$4,$S$4),$AU$22:$AU$34,0),MATCH("Month",$AU$22:$AV$22,0)),IF(AND($T$4="Bi-Annual",$F20=MAX($R$4,$S$4)),INDEX($AU$22:$AV$34,MATCH(MIN($R$4,$S$4),$AU$22:$AU$34,0),MATCH("Month",$AU$22:$AV$22,0)),IF(AND($T$4="Monthly",$F20&lt;12),INDEX($AU$22:$AV$34,MATCH($F20+1,$AU$22:$AU$34,0),MATCH("Month",$AU$22:$AV$22,0)),IF(AND($T$4="Monthly",$F20=12),INDEX($AU$22:$AV$34,MATCH($F20-11,$AU$22:$AU$34,0),MATCH("Month",$AU$22:$AV$22,0)))))))</f>
        <v>August</v>
      </c>
      <c r="M21" s="888">
        <f>IF($T$4="Annual",$M20+$I21,IF($T$4="Bi-Annual",$M20+$I20,IF($T$4="Monthly",$M20+$H20)))</f>
        <v>2025</v>
      </c>
      <c r="N21" s="883">
        <f t="shared" ref="N21:N84" si="12">IF(AND($AS$39="Early Payoff",$J21&gt;$S$13),0,IF(AND($AS$39="Early Payoff",$J21&lt;$S$13),$U20,IF($J21&gt;$S$6,0,$U20)))</f>
        <v>0</v>
      </c>
      <c r="O21" s="883">
        <f>IF($J21&gt;$S$6,0,IF(AND($AR$29&gt;=0,$J21&lt;=$AR$29),0,IF(AND($AR$27&gt;=0,$J21&lt;=$AR$27),$R21,IF(K21=$T$7,SUM(-N21,R21),IF(AND($T$4="Annual",$AR$27&gt;=0,$AR$29&gt;=0,$J21&gt;$AR$27,$J21&gt;$AR$29),PMT($M$7,($S$6-$AR$27),$M$4),IF(AND($T$4="Bi-Annual",$AR$27&gt;=0,$AR$29&gt;=0,$J21&gt;$AR$27,$J21&gt;$AR$29),PMT($M$7/2,($S$6-$AR$27),$M$4),IF(AND($T$4="Monthly",$AR$27&gt;=0,$AR$29&gt;=0,$J21&gt;$AR$27,$J21&gt;$AR$29),PMT($M$7/12,($S$6-$AR$27),$M$4))))))))-P21</f>
        <v>0</v>
      </c>
      <c r="P21" s="1100"/>
      <c r="Q21" s="883">
        <f t="shared" si="3"/>
        <v>0</v>
      </c>
      <c r="R21" s="884">
        <f>IF(AND($AS$39="Early Payoff",J21&gt;=$S$13),0,IF($T$4="Annual",-$M$7*$U20*1,IF(AND($T$4="Bi-Annual",$M$8="Base"),(-$M$7/2)*$U20*1,IF(AND($T$4="Bi-Annual",$M$8="Actual Days"),(-$M$7*$U20)*(G21/366),IF($T$4="Monthly",(-$M$7/12)*$U20*1)))))</f>
        <v>0</v>
      </c>
      <c r="S21" s="884">
        <f>IF(AND($AS$39="Early Payoff",J21&gt;=$S$13),0,IF($J21&lt;=$S$6,SUM($Q$20:$Q21),0))</f>
        <v>0</v>
      </c>
      <c r="T21" s="884">
        <f>IF(AND($AS$39="Early Payoff",J21&gt;=$S$13),0,IF($J21&lt;=$S$6,SUM($R$20:$R21),0))</f>
        <v>0</v>
      </c>
      <c r="U21" s="885">
        <f t="shared" si="4"/>
        <v>0</v>
      </c>
      <c r="V21" s="1110">
        <f>IF($T$4="Monthly",$N21,IF(AND(OR($T$4="Annual",$T$4="Bi-Annual"),$K21=$T$7),INDEX($J$19:$U$379,MATCH($T$7,$K$19:$K$2379,0),MATCH($N$19,$J$19:$U$19,0)),IF(AND(OR($T$4="Annual",$T$4="Bi-Annual"),$K21&lt;$T$7),$N21,0)))</f>
        <v>0</v>
      </c>
      <c r="X21" s="1102">
        <f t="shared" si="5"/>
        <v>0</v>
      </c>
      <c r="Y21" s="873">
        <f t="shared" si="6"/>
        <v>0</v>
      </c>
      <c r="Z21" s="873">
        <f t="shared" si="7"/>
        <v>0</v>
      </c>
      <c r="AA21" s="885">
        <f t="shared" si="8"/>
        <v>0</v>
      </c>
      <c r="AC21" s="355">
        <f>AC20+1</f>
        <v>1</v>
      </c>
      <c r="AD21" s="1103">
        <f>AD20+1</f>
        <v>2026</v>
      </c>
      <c r="AE21" s="1104">
        <f t="shared" ref="AE21:AE49" si="13">INDEX($M$19:$N$379,MATCH($AD21,$M$19:$M$379,0),MATCH($AE$19,$M$19:$N$19,0))</f>
        <v>0</v>
      </c>
      <c r="AF21" s="1104">
        <f t="shared" ref="AF21:AF49" si="14">SUMIFS($AA$20:$AA$379,$M$20:$M$379,"="&amp;$AD21)</f>
        <v>0</v>
      </c>
      <c r="AG21" s="1104">
        <f t="shared" ref="AG21:AG49" si="15">SUMIFS($Q$20:$Q$379,$M$20:$M$379,"="&amp;$AD21)</f>
        <v>0</v>
      </c>
      <c r="AH21" s="1104">
        <f t="shared" ref="AH21:AH49" si="16">SUMIFS($R$20:$R$379,$M$20:$M$379,"="&amp;$AD21)</f>
        <v>0</v>
      </c>
      <c r="AI21" s="1104">
        <f t="shared" ref="AI21:AI49" si="17">SUMIFS($X$20:$X$379,$M$20:$M$379,"="&amp;$AD21)+SUMIFS($Y$20:$Y$379,$M$20:$M$379,"="&amp;$AD21)+SUMIFS($Z$20:$Z$379,$M$20:$M$379,"="&amp;$AD21)</f>
        <v>0</v>
      </c>
      <c r="AJ21" s="1104">
        <f>IF($AE21=0,0,SUM($AG$20:$AG21))</f>
        <v>0</v>
      </c>
      <c r="AK21" s="1104">
        <f>IF($AE21=0,0,SUM($AH$20:$AH21))</f>
        <v>0</v>
      </c>
      <c r="AL21" s="1104">
        <f>SUM($AI$20:$AI21)</f>
        <v>0</v>
      </c>
      <c r="AM21" s="1104">
        <f>AE21+AG21</f>
        <v>0</v>
      </c>
      <c r="AN21" s="1104"/>
      <c r="AO21" s="347"/>
      <c r="AQ21" s="347"/>
      <c r="AR21" s="345"/>
      <c r="AS21" s="345"/>
      <c r="AT21" s="345"/>
      <c r="AU21" s="1092"/>
      <c r="AV21" s="348"/>
      <c r="AW21" s="1092"/>
      <c r="AX21" s="1093"/>
    </row>
    <row r="22" spans="2:50" s="278" customFormat="1" ht="12" customHeight="1" x14ac:dyDescent="0.25">
      <c r="B22" s="1192" t="e">
        <f t="shared" ref="B22:B85" si="18">B21+1</f>
        <v>#N/A</v>
      </c>
      <c r="C22" s="732">
        <f>DAY(EOMONTH(DATE($M22,$D22,1),0))</f>
        <v>30</v>
      </c>
      <c r="D22" s="35">
        <f t="shared" si="1"/>
        <v>9</v>
      </c>
      <c r="E22" s="889">
        <f>DATE(M22,D22,C22)</f>
        <v>45930</v>
      </c>
      <c r="F22" s="822">
        <f t="shared" si="9"/>
        <v>9</v>
      </c>
      <c r="G22" s="500">
        <f>E22-E21</f>
        <v>30</v>
      </c>
      <c r="H22" s="126">
        <f t="shared" si="2"/>
        <v>0</v>
      </c>
      <c r="I22" s="1098">
        <f>IF($T$4="Annual",1,IF(AND($T$4="Bi-Annual",$F22&gt;$F23),1,IF(AND($T$4="Bi-Annual",$F22&lt;$F23),0,IF($T$4="Monthly",0,))))</f>
        <v>0</v>
      </c>
      <c r="J22" s="887">
        <f t="shared" ref="J22:J85" si="19">J21+1</f>
        <v>3</v>
      </c>
      <c r="K22" s="1099">
        <f t="shared" si="10"/>
        <v>3</v>
      </c>
      <c r="L22" s="891" t="str">
        <f t="shared" si="11"/>
        <v>September</v>
      </c>
      <c r="M22" s="888">
        <f>IF($T$4="Annual",$M21+$I22,IF($T$4="Bi-Annual",$M21+$I21,IF($T$4="Monthly",$M21+$H21)))</f>
        <v>2025</v>
      </c>
      <c r="N22" s="883">
        <f t="shared" si="12"/>
        <v>0</v>
      </c>
      <c r="O22" s="883">
        <f>IF(AND($AS$39="Early Payoff",J22&gt;=$S$13),0,IF($J22&gt;$S$6,0,IF(AND($AR$29&gt;=0,$J22&lt;=$AR$29),0,IF(AND($AR$27&gt;=0,$J22&lt;=$AR$27),$R22,IF(AND($T$4="Annual",$AR$27&gt;=0,$AR$29&gt;=0,$J22&gt;$AR$27,$J22&gt;$AR$29),PMT($M$7,($S$6-$AR$27),$M$4),IF(AND($T$4="Bi-Annual",$AR$27&gt;=0,$AR$29&gt;=0,$J22&gt;$AR$27,$J22&gt;$AR$29),PMT($M$7/2,($S$6-($AR$27+1)),$M$4),IF(AND($T$4="Monthly",$AR$27&gt;=0,$AR$29&gt;=0,$J22&gt;$AR$27,$J22&gt;$AR$29),PMT($M$7/12,($S$6-$AR$27),$M$4))))))))-P22</f>
        <v>0</v>
      </c>
      <c r="P22" s="1100"/>
      <c r="Q22" s="883">
        <f t="shared" si="3"/>
        <v>0</v>
      </c>
      <c r="R22" s="884">
        <f t="shared" ref="R22:R69" si="20">IF(AND($AS$39="Early Payoff",J22&gt;=$S$13),0,IF($T$4="Annual",-$M$7*$U21*1,IF(AND($T$4="Bi-Annual",$M$8="Base"),(-$M$7/2)*$U21*1,IF(AND($T$4="Bi-Annual",$M$8="Actual Days"),(-$M$7*$U21)*(G22/366),IF($T$4="Monthly",(-$M$7/12)*$U21*1)))))</f>
        <v>0</v>
      </c>
      <c r="S22" s="884">
        <f>IF(AND($AS$39="Early Payoff",J22&gt;=$S$13),0,IF($J22&lt;=$S$6,SUM($Q$20:$Q22),0))</f>
        <v>0</v>
      </c>
      <c r="T22" s="884">
        <f>IF(AND($AS$39="Early Payoff",J22&gt;=$S$13),0,IF($J22&lt;=$S$6,SUM($R$20:$R22),0))</f>
        <v>0</v>
      </c>
      <c r="U22" s="885">
        <f t="shared" si="4"/>
        <v>0</v>
      </c>
      <c r="V22" s="1110">
        <f t="shared" ref="V22:V68" si="21">IF($T$4="Monthly",$N22,IF(AND(OR($T$4="Annual",$T$4="Bi-Annual"),$K22=$T$7),INDEX($J$19:$U$379,MATCH($T$7,$K$19:$K$2379,0),MATCH($N$19,$J$19:$U$19,0)),IF(AND(OR($T$4="Annual",$T$4="Bi-Annual"),$K22&lt;$T$7),$N22,0)))</f>
        <v>0</v>
      </c>
      <c r="X22" s="1102">
        <f t="shared" si="5"/>
        <v>0</v>
      </c>
      <c r="Y22" s="873">
        <f t="shared" si="6"/>
        <v>0</v>
      </c>
      <c r="Z22" s="873">
        <f t="shared" si="7"/>
        <v>0</v>
      </c>
      <c r="AA22" s="885">
        <f t="shared" si="8"/>
        <v>0</v>
      </c>
      <c r="AC22" s="355">
        <f t="shared" ref="AC22:AD37" si="22">AC21+1</f>
        <v>2</v>
      </c>
      <c r="AD22" s="1103">
        <f t="shared" si="22"/>
        <v>2027</v>
      </c>
      <c r="AE22" s="1104">
        <f t="shared" si="13"/>
        <v>0</v>
      </c>
      <c r="AF22" s="1104">
        <f t="shared" si="14"/>
        <v>0</v>
      </c>
      <c r="AG22" s="1104">
        <f t="shared" si="15"/>
        <v>0</v>
      </c>
      <c r="AH22" s="1104">
        <f t="shared" si="16"/>
        <v>0</v>
      </c>
      <c r="AI22" s="1104">
        <f t="shared" si="17"/>
        <v>0</v>
      </c>
      <c r="AJ22" s="1104">
        <f>IF($AE22=0,0,SUM($AG$20:$AG22))</f>
        <v>0</v>
      </c>
      <c r="AK22" s="1104">
        <f>IF($AE22=0,0,SUM($AH$20:$AH22))</f>
        <v>0</v>
      </c>
      <c r="AL22" s="1104">
        <f>SUM($AI$20:$AI22)</f>
        <v>0</v>
      </c>
      <c r="AM22" s="1104">
        <f t="shared" ref="AM22:AM49" si="23">AE22+AG22</f>
        <v>0</v>
      </c>
      <c r="AN22" s="1104"/>
      <c r="AO22" s="347"/>
      <c r="AQ22" s="1111" t="s">
        <v>429</v>
      </c>
      <c r="AR22" s="1112">
        <f>M10</f>
        <v>2025</v>
      </c>
      <c r="AS22" s="345"/>
      <c r="AT22" s="1113"/>
      <c r="AU22" s="1114" t="s">
        <v>527</v>
      </c>
      <c r="AV22" s="1115" t="s">
        <v>33</v>
      </c>
      <c r="AW22" s="1092"/>
      <c r="AX22" s="1093"/>
    </row>
    <row r="23" spans="2:50" s="278" customFormat="1" ht="12" customHeight="1" x14ac:dyDescent="0.25">
      <c r="B23" s="1192" t="e">
        <f t="shared" si="18"/>
        <v>#N/A</v>
      </c>
      <c r="C23" s="732">
        <f t="shared" si="0"/>
        <v>31</v>
      </c>
      <c r="D23" s="35">
        <f t="shared" si="1"/>
        <v>10</v>
      </c>
      <c r="E23" s="889">
        <f t="shared" ref="E23:E86" si="24">DATE(M23,D23,C23)</f>
        <v>45961</v>
      </c>
      <c r="F23" s="822">
        <f t="shared" si="9"/>
        <v>10</v>
      </c>
      <c r="G23" s="500">
        <f t="shared" ref="G23:G86" si="25">E23-E22</f>
        <v>31</v>
      </c>
      <c r="H23" s="126">
        <f t="shared" si="2"/>
        <v>0</v>
      </c>
      <c r="I23" s="1098">
        <f t="shared" ref="I23:I86" si="26">IF($T$4="Annual",1,IF(AND($T$4="Bi-Annual",$F23&gt;$F24),1,IF(AND($T$4="Bi-Annual",$F23&lt;$F24),0,IF($T$4="Monthly",0,))))</f>
        <v>0</v>
      </c>
      <c r="J23" s="887">
        <f t="shared" si="19"/>
        <v>4</v>
      </c>
      <c r="K23" s="1099">
        <f t="shared" si="10"/>
        <v>4</v>
      </c>
      <c r="L23" s="891" t="str">
        <f t="shared" si="11"/>
        <v>October</v>
      </c>
      <c r="M23" s="888">
        <f t="shared" ref="M23:M85" si="27">IF($T$4="Annual",$M22+$I23,IF($T$4="Bi-Annual",$M22+$I22,IF($T$4="Monthly",$M22+$H22)))</f>
        <v>2025</v>
      </c>
      <c r="N23" s="883">
        <f t="shared" si="12"/>
        <v>0</v>
      </c>
      <c r="O23" s="883">
        <f>IF(AND($AS$39="Early Payoff",J23&gt;=$S$13),0,IF($J23&gt;$S$6,0,IF(AND($AR$29&gt;=0,$J23&lt;=$AR$29),0,IF(AND($AR$27&gt;=0,$J23&lt;=$AR$27),$R23,IF(AND($T$4="Annual",$AR$27&gt;=0,$AR$29&gt;=0,$J23&gt;$AR$27,$J23&gt;$AR$29),PMT($M$7,($S$6-$AR$27),$M$4),IF(AND($T$4="Bi-Annual",$AR$27&gt;=0,$AR$29&gt;=0,$J23&gt;$AR$27,$J23&gt;$AR$29),PMT($M$7/2,($S$6-($AR$27+1)),$M$4),IF(AND($T$4="Monthly",$AR$27&gt;=0,$AR$29&gt;=0,$J23&gt;$AR$27,$J23&gt;$AR$29),PMT($M$7/12,($S$6-$AR$27),$M$4))))))))-P23</f>
        <v>0</v>
      </c>
      <c r="P23" s="1100"/>
      <c r="Q23" s="883">
        <f t="shared" si="3"/>
        <v>0</v>
      </c>
      <c r="R23" s="884">
        <f t="shared" si="20"/>
        <v>0</v>
      </c>
      <c r="S23" s="884">
        <f>IF(AND($AS$39="Early Payoff",J23&gt;=$S$13),0,IF($J23&lt;=$S$6,SUM($Q$20:$Q23),0))</f>
        <v>0</v>
      </c>
      <c r="T23" s="884">
        <f>IF(AND($AS$39="Early Payoff",J23&gt;=$S$13),0,IF($J23&lt;=$S$6,SUM($R$20:$R23),0))</f>
        <v>0</v>
      </c>
      <c r="U23" s="885">
        <f t="shared" si="4"/>
        <v>0</v>
      </c>
      <c r="V23" s="1110">
        <f t="shared" si="21"/>
        <v>0</v>
      </c>
      <c r="X23" s="1102">
        <f t="shared" si="5"/>
        <v>0</v>
      </c>
      <c r="Y23" s="873">
        <f t="shared" si="6"/>
        <v>0</v>
      </c>
      <c r="Z23" s="873">
        <f t="shared" si="7"/>
        <v>0</v>
      </c>
      <c r="AA23" s="885">
        <f t="shared" si="8"/>
        <v>0</v>
      </c>
      <c r="AC23" s="355">
        <f t="shared" si="22"/>
        <v>3</v>
      </c>
      <c r="AD23" s="1103">
        <f t="shared" si="22"/>
        <v>2028</v>
      </c>
      <c r="AE23" s="1104">
        <f t="shared" si="13"/>
        <v>0</v>
      </c>
      <c r="AF23" s="1104">
        <f t="shared" si="14"/>
        <v>0</v>
      </c>
      <c r="AG23" s="1104">
        <f t="shared" si="15"/>
        <v>0</v>
      </c>
      <c r="AH23" s="1104">
        <f t="shared" si="16"/>
        <v>0</v>
      </c>
      <c r="AI23" s="1104">
        <f t="shared" si="17"/>
        <v>0</v>
      </c>
      <c r="AJ23" s="1104">
        <f>IF($AE23=0,0,SUM($AG$20:$AG23))</f>
        <v>0</v>
      </c>
      <c r="AK23" s="1104">
        <f>IF($AE23=0,0,SUM($AH$20:$AH23))</f>
        <v>0</v>
      </c>
      <c r="AL23" s="1104">
        <f>SUM($AI$20:$AI23)</f>
        <v>0</v>
      </c>
      <c r="AM23" s="1104">
        <f t="shared" si="23"/>
        <v>0</v>
      </c>
      <c r="AN23" s="1104"/>
      <c r="AO23" s="347"/>
      <c r="AQ23" s="1111" t="s">
        <v>430</v>
      </c>
      <c r="AR23" s="1112" t="str">
        <f>M11</f>
        <v>July</v>
      </c>
      <c r="AS23" s="1116">
        <f>INDEX(AT22:AU34,MATCH(AR23,AT22:AT34,0),MATCH("Number",AT22:AU22,0))</f>
        <v>7</v>
      </c>
      <c r="AT23" s="1111" t="s">
        <v>425</v>
      </c>
      <c r="AU23" s="1117">
        <v>1</v>
      </c>
      <c r="AV23" s="348" t="str">
        <f>AT23</f>
        <v>January</v>
      </c>
      <c r="AW23" s="1092"/>
      <c r="AX23" s="1093"/>
    </row>
    <row r="24" spans="2:50" s="278" customFormat="1" ht="12" customHeight="1" x14ac:dyDescent="0.25">
      <c r="B24" s="1192" t="e">
        <f t="shared" si="18"/>
        <v>#N/A</v>
      </c>
      <c r="C24" s="732">
        <f t="shared" si="0"/>
        <v>30</v>
      </c>
      <c r="D24" s="35">
        <f t="shared" si="1"/>
        <v>11</v>
      </c>
      <c r="E24" s="889">
        <f t="shared" si="24"/>
        <v>45991</v>
      </c>
      <c r="F24" s="822">
        <f t="shared" si="9"/>
        <v>11</v>
      </c>
      <c r="G24" s="500">
        <f t="shared" si="25"/>
        <v>30</v>
      </c>
      <c r="H24" s="126">
        <f t="shared" si="2"/>
        <v>0</v>
      </c>
      <c r="I24" s="1098">
        <f t="shared" si="26"/>
        <v>0</v>
      </c>
      <c r="J24" s="887">
        <f t="shared" si="19"/>
        <v>5</v>
      </c>
      <c r="K24" s="1099">
        <f t="shared" si="10"/>
        <v>5</v>
      </c>
      <c r="L24" s="891" t="str">
        <f t="shared" si="11"/>
        <v>November</v>
      </c>
      <c r="M24" s="888">
        <f t="shared" si="27"/>
        <v>2025</v>
      </c>
      <c r="N24" s="883">
        <f t="shared" si="12"/>
        <v>0</v>
      </c>
      <c r="O24" s="883">
        <f>IF(AND($AS$39="Early Payoff",J24&gt;=$S$13),0,IF($J24&gt;$S$6,0,IF(AND($AR$29&gt;=0,$J24&lt;=$AR$29),0,IF(AND($AR$27&gt;=0,$J24&lt;=$AR$27),$R24,IF($K24=$T$7,SUM(R24,-N24),IF(AND($T$4="Annual",$AR$27&gt;=0,$AR$29&gt;=0,$J24&gt;$AR$27,$J24&gt;$AR$29),PMT($M$7,($S$6-$AR$27),$M$4),IF(AND($T$4="Bi-Annual",$AR$27&gt;=0,$AR$29&gt;=0,$J24&gt;$AR$27,$J24&gt;$AR$29),PMT($M$7/2,($S$6-($AR$27+1)),$M$4),IF(AND($T$4="Monthly",$AR$27&gt;=0,$AR$29&gt;=0,$J24&gt;$AR$27,$J24&gt;$AR$29),PMT($M$7/12,($S$6-$AR$27),$M$4)))))))))-P24</f>
        <v>0</v>
      </c>
      <c r="P24" s="1100"/>
      <c r="Q24" s="883">
        <f t="shared" si="3"/>
        <v>0</v>
      </c>
      <c r="R24" s="884">
        <f t="shared" si="20"/>
        <v>0</v>
      </c>
      <c r="S24" s="884">
        <f>IF(AND($AS$39="Early Payoff",J24&gt;=$S$13),0,IF($J24&lt;=$S$6,SUM($Q$20:$Q24),0))</f>
        <v>0</v>
      </c>
      <c r="T24" s="884">
        <f>IF(AND($AS$39="Early Payoff",J24&gt;=$S$13),0,IF($J24&lt;=$S$6,SUM($R$20:$R24),0))</f>
        <v>0</v>
      </c>
      <c r="U24" s="885">
        <f t="shared" si="4"/>
        <v>0</v>
      </c>
      <c r="V24" s="1110">
        <f t="shared" si="21"/>
        <v>0</v>
      </c>
      <c r="X24" s="1102">
        <f t="shared" si="5"/>
        <v>0</v>
      </c>
      <c r="Y24" s="873">
        <f t="shared" si="6"/>
        <v>0</v>
      </c>
      <c r="Z24" s="873">
        <f t="shared" si="7"/>
        <v>0</v>
      </c>
      <c r="AA24" s="885">
        <f t="shared" si="8"/>
        <v>0</v>
      </c>
      <c r="AC24" s="355">
        <f t="shared" si="22"/>
        <v>4</v>
      </c>
      <c r="AD24" s="1103">
        <f t="shared" si="22"/>
        <v>2029</v>
      </c>
      <c r="AE24" s="1104">
        <f t="shared" si="13"/>
        <v>0</v>
      </c>
      <c r="AF24" s="1104">
        <f t="shared" si="14"/>
        <v>0</v>
      </c>
      <c r="AG24" s="1104">
        <f t="shared" si="15"/>
        <v>0</v>
      </c>
      <c r="AH24" s="1104">
        <f t="shared" si="16"/>
        <v>0</v>
      </c>
      <c r="AI24" s="1104">
        <f t="shared" si="17"/>
        <v>0</v>
      </c>
      <c r="AJ24" s="1104">
        <f>IF($AE24=0,0,SUM($AG$20:$AG24))</f>
        <v>0</v>
      </c>
      <c r="AK24" s="1104">
        <f>IF($AE24=0,0,SUM($AH$20:$AH24))</f>
        <v>0</v>
      </c>
      <c r="AL24" s="1104">
        <f>SUM($AI$20:$AI24)</f>
        <v>0</v>
      </c>
      <c r="AM24" s="1104">
        <f>AE24+AG24</f>
        <v>0</v>
      </c>
      <c r="AN24" s="1104"/>
      <c r="AO24" s="347"/>
      <c r="AQ24" s="1111" t="s">
        <v>431</v>
      </c>
      <c r="AR24" s="1118">
        <f>EOMONTH(DATE(AR22,INDEX($AT$22:$AU$34,MATCH($AR$23,$AT$22:$AT$34,0),MATCH("Number",$AT$22:$AU$22,0)),1),0)</f>
        <v>45869</v>
      </c>
      <c r="AS24" s="345"/>
      <c r="AT24" s="1111" t="s">
        <v>528</v>
      </c>
      <c r="AU24" s="1117">
        <v>2</v>
      </c>
      <c r="AV24" s="348" t="str">
        <f t="shared" ref="AV24:AV34" si="28">AT24</f>
        <v>February</v>
      </c>
      <c r="AW24" s="1092"/>
      <c r="AX24" s="1093"/>
    </row>
    <row r="25" spans="2:50" s="278" customFormat="1" ht="12" customHeight="1" x14ac:dyDescent="0.25">
      <c r="B25" s="1192" t="e">
        <f t="shared" si="18"/>
        <v>#N/A</v>
      </c>
      <c r="C25" s="732">
        <f t="shared" si="0"/>
        <v>31</v>
      </c>
      <c r="D25" s="35">
        <f t="shared" si="1"/>
        <v>12</v>
      </c>
      <c r="E25" s="889">
        <f t="shared" si="24"/>
        <v>46022</v>
      </c>
      <c r="F25" s="822">
        <f t="shared" si="9"/>
        <v>12</v>
      </c>
      <c r="G25" s="500">
        <f t="shared" si="25"/>
        <v>31</v>
      </c>
      <c r="H25" s="126">
        <f t="shared" si="2"/>
        <v>1</v>
      </c>
      <c r="I25" s="1098">
        <f t="shared" si="26"/>
        <v>0</v>
      </c>
      <c r="J25" s="887">
        <f t="shared" si="19"/>
        <v>6</v>
      </c>
      <c r="K25" s="1099">
        <f t="shared" si="10"/>
        <v>6</v>
      </c>
      <c r="L25" s="891" t="str">
        <f t="shared" si="11"/>
        <v>December</v>
      </c>
      <c r="M25" s="888">
        <f t="shared" si="27"/>
        <v>2025</v>
      </c>
      <c r="N25" s="883">
        <f t="shared" si="12"/>
        <v>0</v>
      </c>
      <c r="O25" s="883">
        <f t="shared" ref="O25:O88" si="29">IF(AND($AS$39="Early Payoff",J25&gt;=$S$13),0,IF($J25&gt;$S$6,0,IF(AND($AR$29&gt;=0,$J25&lt;=$AR$29),0,IF(AND($AR$27&gt;=0,$J25&lt;=$AR$27),$R25,IF($K25=$T$7,SUM(R25,-N25),IF(AND($T$4="Annual",$AR$27&gt;=0,$AR$29&gt;=0,$J25&gt;$AR$27,$J25&gt;$AR$29),PMT($M$7,($S$6-$AR$27),$M$4),IF(AND($T$4="Bi-Annual",$AR$27&gt;=0,$AR$29&gt;=0,$J25&gt;$AR$27,$J25&gt;$AR$29),PMT($M$7/2,($S$6-($AR$27+1)),$M$4),IF(AND($T$4="Monthly",$AR$27&gt;=0,$AR$29&gt;=0,$J25&gt;$AR$27,$J25&gt;$AR$29),PMT($M$7/12,($S$6-$AR$27),$M$4)))))))))-P25</f>
        <v>0</v>
      </c>
      <c r="P25" s="1100"/>
      <c r="Q25" s="883">
        <f t="shared" si="3"/>
        <v>0</v>
      </c>
      <c r="R25" s="884">
        <f t="shared" si="20"/>
        <v>0</v>
      </c>
      <c r="S25" s="884">
        <f>IF(AND($AS$39="Early Payoff",J25&gt;=$S$13),0,IF($J25&lt;=$S$6,SUM($Q$20:$Q25),0))</f>
        <v>0</v>
      </c>
      <c r="T25" s="884">
        <f>IF(AND($AS$39="Early Payoff",J25&gt;=$S$13),0,IF($J25&lt;=$S$6,SUM($R$20:$R25),0))</f>
        <v>0</v>
      </c>
      <c r="U25" s="885">
        <f t="shared" si="4"/>
        <v>0</v>
      </c>
      <c r="V25" s="1110">
        <f t="shared" si="21"/>
        <v>0</v>
      </c>
      <c r="X25" s="1102">
        <f t="shared" si="5"/>
        <v>0</v>
      </c>
      <c r="Y25" s="873">
        <f t="shared" si="6"/>
        <v>0</v>
      </c>
      <c r="Z25" s="873">
        <f t="shared" si="7"/>
        <v>0</v>
      </c>
      <c r="AA25" s="885">
        <f t="shared" si="8"/>
        <v>0</v>
      </c>
      <c r="AC25" s="355">
        <f t="shared" si="22"/>
        <v>5</v>
      </c>
      <c r="AD25" s="1103">
        <f t="shared" si="22"/>
        <v>2030</v>
      </c>
      <c r="AE25" s="1104">
        <f t="shared" si="13"/>
        <v>0</v>
      </c>
      <c r="AF25" s="1104">
        <f t="shared" si="14"/>
        <v>0</v>
      </c>
      <c r="AG25" s="1104">
        <f t="shared" si="15"/>
        <v>0</v>
      </c>
      <c r="AH25" s="1104">
        <f t="shared" si="16"/>
        <v>0</v>
      </c>
      <c r="AI25" s="1104">
        <f t="shared" si="17"/>
        <v>0</v>
      </c>
      <c r="AJ25" s="1104">
        <f>IF($AE25=0,0,SUM($AG$20:$AG25))</f>
        <v>0</v>
      </c>
      <c r="AK25" s="1104">
        <f>IF($AE25=0,0,SUM($AH$20:$AH25))</f>
        <v>0</v>
      </c>
      <c r="AL25" s="1104">
        <f>SUM($AI$20:$AI25)</f>
        <v>0</v>
      </c>
      <c r="AM25" s="1104">
        <f t="shared" si="23"/>
        <v>0</v>
      </c>
      <c r="AN25" s="1104"/>
      <c r="AO25" s="347"/>
      <c r="AQ25" s="1111"/>
      <c r="AR25" s="1112"/>
      <c r="AS25" s="345"/>
      <c r="AT25" s="1111" t="s">
        <v>378</v>
      </c>
      <c r="AU25" s="1117">
        <v>3</v>
      </c>
      <c r="AV25" s="348" t="str">
        <f t="shared" si="28"/>
        <v>March</v>
      </c>
      <c r="AW25" s="1092"/>
      <c r="AX25" s="1093"/>
    </row>
    <row r="26" spans="2:50" s="278" customFormat="1" ht="12" customHeight="1" x14ac:dyDescent="0.25">
      <c r="B26" s="1192" t="e">
        <f t="shared" si="18"/>
        <v>#N/A</v>
      </c>
      <c r="C26" s="732">
        <f t="shared" si="0"/>
        <v>31</v>
      </c>
      <c r="D26" s="35">
        <f t="shared" si="1"/>
        <v>1</v>
      </c>
      <c r="E26" s="889">
        <f t="shared" si="24"/>
        <v>46053</v>
      </c>
      <c r="F26" s="822">
        <f t="shared" si="9"/>
        <v>1</v>
      </c>
      <c r="G26" s="500">
        <f t="shared" si="25"/>
        <v>31</v>
      </c>
      <c r="H26" s="126">
        <f t="shared" si="2"/>
        <v>0</v>
      </c>
      <c r="I26" s="1098">
        <f t="shared" si="26"/>
        <v>0</v>
      </c>
      <c r="J26" s="887">
        <f t="shared" si="19"/>
        <v>7</v>
      </c>
      <c r="K26" s="1099">
        <f t="shared" si="10"/>
        <v>7</v>
      </c>
      <c r="L26" s="891" t="str">
        <f t="shared" si="11"/>
        <v>January</v>
      </c>
      <c r="M26" s="888">
        <f t="shared" si="27"/>
        <v>2026</v>
      </c>
      <c r="N26" s="883">
        <f t="shared" si="12"/>
        <v>0</v>
      </c>
      <c r="O26" s="883">
        <f t="shared" si="29"/>
        <v>0</v>
      </c>
      <c r="P26" s="1100"/>
      <c r="Q26" s="883">
        <f t="shared" si="3"/>
        <v>0</v>
      </c>
      <c r="R26" s="884">
        <f t="shared" si="20"/>
        <v>0</v>
      </c>
      <c r="S26" s="884">
        <f>IF(AND($AS$39="Early Payoff",J26&gt;=$S$13),0,IF($J26&lt;=$S$6,SUM($Q$20:$Q26),0))</f>
        <v>0</v>
      </c>
      <c r="T26" s="884">
        <f>IF(AND($AS$39="Early Payoff",J26&gt;=$S$13),0,IF($J26&lt;=$S$6,SUM($R$20:$R26),0))</f>
        <v>0</v>
      </c>
      <c r="U26" s="885">
        <f t="shared" si="4"/>
        <v>0</v>
      </c>
      <c r="V26" s="1110">
        <f t="shared" si="21"/>
        <v>0</v>
      </c>
      <c r="X26" s="1102">
        <f t="shared" si="5"/>
        <v>0</v>
      </c>
      <c r="Y26" s="873">
        <f t="shared" si="6"/>
        <v>0</v>
      </c>
      <c r="Z26" s="873">
        <f t="shared" si="7"/>
        <v>0</v>
      </c>
      <c r="AA26" s="885">
        <f t="shared" si="8"/>
        <v>0</v>
      </c>
      <c r="AC26" s="355">
        <f t="shared" si="22"/>
        <v>6</v>
      </c>
      <c r="AD26" s="1103">
        <f t="shared" si="22"/>
        <v>2031</v>
      </c>
      <c r="AE26" s="1104">
        <f t="shared" si="13"/>
        <v>0</v>
      </c>
      <c r="AF26" s="1104">
        <f t="shared" si="14"/>
        <v>0</v>
      </c>
      <c r="AG26" s="1104">
        <f t="shared" si="15"/>
        <v>0</v>
      </c>
      <c r="AH26" s="1104">
        <f t="shared" si="16"/>
        <v>0</v>
      </c>
      <c r="AI26" s="1104">
        <f t="shared" si="17"/>
        <v>0</v>
      </c>
      <c r="AJ26" s="1104">
        <f>IF($AE26=0,0,SUM($AG$20:$AG26))</f>
        <v>0</v>
      </c>
      <c r="AK26" s="1104">
        <f>IF($AE26=0,0,SUM($AH$20:$AH26))</f>
        <v>0</v>
      </c>
      <c r="AL26" s="1104">
        <f>SUM($AI$20:$AI26)</f>
        <v>0</v>
      </c>
      <c r="AM26" s="1104">
        <f t="shared" si="23"/>
        <v>0</v>
      </c>
      <c r="AN26" s="1104"/>
      <c r="AO26" s="347"/>
      <c r="AQ26" s="347" t="s">
        <v>531</v>
      </c>
      <c r="AR26" s="1142">
        <f>M12</f>
        <v>0</v>
      </c>
      <c r="AS26" s="345"/>
      <c r="AT26" s="1111" t="s">
        <v>529</v>
      </c>
      <c r="AU26" s="1117">
        <v>4</v>
      </c>
      <c r="AV26" s="348" t="str">
        <f t="shared" si="28"/>
        <v>April</v>
      </c>
      <c r="AW26" s="1092"/>
      <c r="AX26" s="1093"/>
    </row>
    <row r="27" spans="2:50" s="278" customFormat="1" ht="12" customHeight="1" x14ac:dyDescent="0.25">
      <c r="B27" s="1192" t="e">
        <f t="shared" si="18"/>
        <v>#N/A</v>
      </c>
      <c r="C27" s="732">
        <f t="shared" si="0"/>
        <v>28</v>
      </c>
      <c r="D27" s="35">
        <f t="shared" si="1"/>
        <v>2</v>
      </c>
      <c r="E27" s="889">
        <f t="shared" si="24"/>
        <v>46081</v>
      </c>
      <c r="F27" s="822">
        <f t="shared" si="9"/>
        <v>2</v>
      </c>
      <c r="G27" s="500">
        <f t="shared" si="25"/>
        <v>28</v>
      </c>
      <c r="H27" s="126">
        <f t="shared" si="2"/>
        <v>0</v>
      </c>
      <c r="I27" s="1098">
        <f t="shared" si="26"/>
        <v>0</v>
      </c>
      <c r="J27" s="887">
        <f t="shared" si="19"/>
        <v>8</v>
      </c>
      <c r="K27" s="1099">
        <f t="shared" si="10"/>
        <v>8</v>
      </c>
      <c r="L27" s="891" t="str">
        <f t="shared" si="11"/>
        <v>February</v>
      </c>
      <c r="M27" s="888">
        <f t="shared" si="27"/>
        <v>2026</v>
      </c>
      <c r="N27" s="883">
        <f t="shared" si="12"/>
        <v>0</v>
      </c>
      <c r="O27" s="883">
        <f t="shared" si="29"/>
        <v>0</v>
      </c>
      <c r="P27" s="1100"/>
      <c r="Q27" s="883">
        <f t="shared" si="3"/>
        <v>0</v>
      </c>
      <c r="R27" s="884">
        <f t="shared" si="20"/>
        <v>0</v>
      </c>
      <c r="S27" s="884">
        <f>IF(AND($AS$39="Early Payoff",J27&gt;=$S$13),0,IF($J27&lt;=$S$6,SUM($Q$20:$Q27),0))</f>
        <v>0</v>
      </c>
      <c r="T27" s="884">
        <f>IF(AND($AS$39="Early Payoff",J27&gt;=$S$13),0,IF($J27&lt;=$S$6,SUM($R$20:$R27),0))</f>
        <v>0</v>
      </c>
      <c r="U27" s="885">
        <f t="shared" si="4"/>
        <v>0</v>
      </c>
      <c r="V27" s="1110">
        <f t="shared" si="21"/>
        <v>0</v>
      </c>
      <c r="X27" s="1102">
        <f t="shared" si="5"/>
        <v>0</v>
      </c>
      <c r="Y27" s="873">
        <f t="shared" si="6"/>
        <v>0</v>
      </c>
      <c r="Z27" s="873">
        <f t="shared" si="7"/>
        <v>0</v>
      </c>
      <c r="AA27" s="885">
        <f t="shared" si="8"/>
        <v>0</v>
      </c>
      <c r="AC27" s="355">
        <f t="shared" si="22"/>
        <v>7</v>
      </c>
      <c r="AD27" s="1103">
        <f t="shared" si="22"/>
        <v>2032</v>
      </c>
      <c r="AE27" s="1104">
        <f t="shared" si="13"/>
        <v>0</v>
      </c>
      <c r="AF27" s="1104">
        <f t="shared" si="14"/>
        <v>0</v>
      </c>
      <c r="AG27" s="1104">
        <f t="shared" si="15"/>
        <v>0</v>
      </c>
      <c r="AH27" s="1104">
        <f t="shared" si="16"/>
        <v>0</v>
      </c>
      <c r="AI27" s="1104">
        <f t="shared" si="17"/>
        <v>0</v>
      </c>
      <c r="AJ27" s="1104">
        <f>IF($AE27=0,0,SUM($AG$20:$AG27))</f>
        <v>0</v>
      </c>
      <c r="AK27" s="1104">
        <f>IF($AE27=0,0,SUM($AH$20:$AH27))</f>
        <v>0</v>
      </c>
      <c r="AL27" s="1104">
        <f>SUM($AI$20:$AI27)</f>
        <v>0</v>
      </c>
      <c r="AM27" s="1104">
        <f t="shared" si="23"/>
        <v>0</v>
      </c>
      <c r="AN27" s="1104"/>
      <c r="AO27" s="347"/>
      <c r="AQ27" s="1143" t="s">
        <v>532</v>
      </c>
      <c r="AR27" s="1144">
        <f>IF($T$4="Annual",AR26/12,IF($T$4="Bi-Annual",(AR26/12)*2-1,IF($T$4="Monthly",AR26)))</f>
        <v>0</v>
      </c>
      <c r="AS27" s="345"/>
      <c r="AT27" s="1111" t="s">
        <v>49</v>
      </c>
      <c r="AU27" s="1117">
        <v>5</v>
      </c>
      <c r="AV27" s="348" t="str">
        <f t="shared" si="28"/>
        <v>May</v>
      </c>
      <c r="AW27" s="1092"/>
      <c r="AX27" s="1093"/>
    </row>
    <row r="28" spans="2:50" s="278" customFormat="1" ht="12" customHeight="1" x14ac:dyDescent="0.25">
      <c r="B28" s="1192" t="e">
        <f t="shared" si="18"/>
        <v>#N/A</v>
      </c>
      <c r="C28" s="732">
        <f t="shared" si="0"/>
        <v>31</v>
      </c>
      <c r="D28" s="35">
        <f t="shared" si="1"/>
        <v>3</v>
      </c>
      <c r="E28" s="889">
        <f t="shared" si="24"/>
        <v>46112</v>
      </c>
      <c r="F28" s="822">
        <f t="shared" si="9"/>
        <v>3</v>
      </c>
      <c r="G28" s="500">
        <f t="shared" si="25"/>
        <v>31</v>
      </c>
      <c r="H28" s="126">
        <f t="shared" si="2"/>
        <v>0</v>
      </c>
      <c r="I28" s="1098">
        <f t="shared" si="26"/>
        <v>0</v>
      </c>
      <c r="J28" s="887">
        <f t="shared" si="19"/>
        <v>9</v>
      </c>
      <c r="K28" s="1099">
        <f t="shared" si="10"/>
        <v>9</v>
      </c>
      <c r="L28" s="891" t="str">
        <f t="shared" si="11"/>
        <v>March</v>
      </c>
      <c r="M28" s="888">
        <f t="shared" si="27"/>
        <v>2026</v>
      </c>
      <c r="N28" s="883">
        <f t="shared" si="12"/>
        <v>0</v>
      </c>
      <c r="O28" s="883">
        <f t="shared" si="29"/>
        <v>0</v>
      </c>
      <c r="P28" s="1100"/>
      <c r="Q28" s="883">
        <f t="shared" si="3"/>
        <v>0</v>
      </c>
      <c r="R28" s="884">
        <f t="shared" si="20"/>
        <v>0</v>
      </c>
      <c r="S28" s="884">
        <f>IF(AND($AS$39="Early Payoff",J28&gt;=$S$13),0,IF($J28&lt;=$S$6,SUM($Q$20:$Q28),0))</f>
        <v>0</v>
      </c>
      <c r="T28" s="884">
        <f>IF(AND($AS$39="Early Payoff",J28&gt;=$S$13),0,IF($J28&lt;=$S$6,SUM($R$20:$R28),0))</f>
        <v>0</v>
      </c>
      <c r="U28" s="885">
        <f t="shared" si="4"/>
        <v>0</v>
      </c>
      <c r="V28" s="1110">
        <f t="shared" si="21"/>
        <v>0</v>
      </c>
      <c r="X28" s="1102">
        <f t="shared" si="5"/>
        <v>0</v>
      </c>
      <c r="Y28" s="873">
        <f t="shared" si="6"/>
        <v>0</v>
      </c>
      <c r="Z28" s="873">
        <f t="shared" si="7"/>
        <v>0</v>
      </c>
      <c r="AA28" s="885">
        <f t="shared" si="8"/>
        <v>0</v>
      </c>
      <c r="AC28" s="355">
        <f t="shared" si="22"/>
        <v>8</v>
      </c>
      <c r="AD28" s="1103">
        <f t="shared" si="22"/>
        <v>2033</v>
      </c>
      <c r="AE28" s="1104">
        <f t="shared" si="13"/>
        <v>0</v>
      </c>
      <c r="AF28" s="1104">
        <f t="shared" si="14"/>
        <v>0</v>
      </c>
      <c r="AG28" s="1104">
        <f t="shared" si="15"/>
        <v>0</v>
      </c>
      <c r="AH28" s="1104">
        <f t="shared" si="16"/>
        <v>0</v>
      </c>
      <c r="AI28" s="1104">
        <f t="shared" si="17"/>
        <v>0</v>
      </c>
      <c r="AJ28" s="1104">
        <f>IF($AE28=0,0,SUM($AG$20:$AG28))</f>
        <v>0</v>
      </c>
      <c r="AK28" s="1104">
        <f>IF($AE28=0,0,SUM($AH$20:$AH28))</f>
        <v>0</v>
      </c>
      <c r="AL28" s="1104">
        <f>SUM($AI$20:$AI28)</f>
        <v>0</v>
      </c>
      <c r="AM28" s="1104">
        <f t="shared" si="23"/>
        <v>0</v>
      </c>
      <c r="AN28" s="1104"/>
      <c r="AO28" s="347"/>
      <c r="AQ28" s="347" t="s">
        <v>162</v>
      </c>
      <c r="AR28" s="1142">
        <f>M13</f>
        <v>0</v>
      </c>
      <c r="AS28" s="345"/>
      <c r="AT28" s="1111" t="s">
        <v>264</v>
      </c>
      <c r="AU28" s="1117">
        <v>6</v>
      </c>
      <c r="AV28" s="348" t="str">
        <f t="shared" si="28"/>
        <v>June</v>
      </c>
      <c r="AW28" s="1092"/>
      <c r="AX28" s="1093"/>
    </row>
    <row r="29" spans="2:50" s="278" customFormat="1" ht="12" customHeight="1" x14ac:dyDescent="0.25">
      <c r="B29" s="1192" t="e">
        <f t="shared" si="18"/>
        <v>#N/A</v>
      </c>
      <c r="C29" s="732">
        <f t="shared" si="0"/>
        <v>30</v>
      </c>
      <c r="D29" s="35">
        <f t="shared" si="1"/>
        <v>4</v>
      </c>
      <c r="E29" s="889">
        <f t="shared" si="24"/>
        <v>46142</v>
      </c>
      <c r="F29" s="822">
        <f t="shared" si="9"/>
        <v>4</v>
      </c>
      <c r="G29" s="500">
        <f t="shared" si="25"/>
        <v>30</v>
      </c>
      <c r="H29" s="126">
        <f t="shared" si="2"/>
        <v>0</v>
      </c>
      <c r="I29" s="1098">
        <f t="shared" si="26"/>
        <v>0</v>
      </c>
      <c r="J29" s="887">
        <f t="shared" si="19"/>
        <v>10</v>
      </c>
      <c r="K29" s="1099">
        <f t="shared" si="10"/>
        <v>10</v>
      </c>
      <c r="L29" s="891" t="str">
        <f t="shared" si="11"/>
        <v>April</v>
      </c>
      <c r="M29" s="888">
        <f t="shared" si="27"/>
        <v>2026</v>
      </c>
      <c r="N29" s="883">
        <f t="shared" si="12"/>
        <v>0</v>
      </c>
      <c r="O29" s="883">
        <f t="shared" si="29"/>
        <v>0</v>
      </c>
      <c r="P29" s="1100"/>
      <c r="Q29" s="883">
        <f t="shared" si="3"/>
        <v>0</v>
      </c>
      <c r="R29" s="884">
        <f t="shared" si="20"/>
        <v>0</v>
      </c>
      <c r="S29" s="884">
        <f>IF(AND($AS$39="Early Payoff",J29&gt;=$S$13),0,IF($J29&lt;=$S$6,SUM($Q$20:$Q29),0))</f>
        <v>0</v>
      </c>
      <c r="T29" s="884">
        <f>IF(AND($AS$39="Early Payoff",J29&gt;=$S$13),0,IF($J29&lt;=$S$6,SUM($R$20:$R29),0))</f>
        <v>0</v>
      </c>
      <c r="U29" s="885">
        <f t="shared" si="4"/>
        <v>0</v>
      </c>
      <c r="V29" s="1110">
        <f t="shared" si="21"/>
        <v>0</v>
      </c>
      <c r="X29" s="1102">
        <f t="shared" si="5"/>
        <v>0</v>
      </c>
      <c r="Y29" s="873">
        <f t="shared" si="6"/>
        <v>0</v>
      </c>
      <c r="Z29" s="873">
        <f t="shared" si="7"/>
        <v>0</v>
      </c>
      <c r="AA29" s="885">
        <f t="shared" si="8"/>
        <v>0</v>
      </c>
      <c r="AC29" s="355">
        <f t="shared" si="22"/>
        <v>9</v>
      </c>
      <c r="AD29" s="1103">
        <f t="shared" si="22"/>
        <v>2034</v>
      </c>
      <c r="AE29" s="1104">
        <f t="shared" si="13"/>
        <v>0</v>
      </c>
      <c r="AF29" s="1104">
        <f t="shared" si="14"/>
        <v>0</v>
      </c>
      <c r="AG29" s="1104">
        <f t="shared" si="15"/>
        <v>0</v>
      </c>
      <c r="AH29" s="1104">
        <f t="shared" si="16"/>
        <v>0</v>
      </c>
      <c r="AI29" s="1104">
        <f t="shared" si="17"/>
        <v>0</v>
      </c>
      <c r="AJ29" s="1104">
        <f>IF($AE29=0,0,SUM($AG$20:$AG29))</f>
        <v>0</v>
      </c>
      <c r="AK29" s="1104">
        <f>IF($AE29=0,0,SUM($AH$20:$AH29))</f>
        <v>0</v>
      </c>
      <c r="AL29" s="1104">
        <f>SUM($AI$20:$AI29)</f>
        <v>0</v>
      </c>
      <c r="AM29" s="1104">
        <f t="shared" si="23"/>
        <v>0</v>
      </c>
      <c r="AN29" s="1104"/>
      <c r="AO29" s="347"/>
      <c r="AQ29" s="1143" t="s">
        <v>534</v>
      </c>
      <c r="AR29" s="1144">
        <f>IF($T$4="Annual",AR28/12,IF($T$4="Bi-Annual",ROUNDUP((AR28/12)*2,0),IF($T$4="Monthly",AR28)))</f>
        <v>0</v>
      </c>
      <c r="AS29" s="345"/>
      <c r="AT29" s="1111" t="s">
        <v>530</v>
      </c>
      <c r="AU29" s="1117">
        <v>7</v>
      </c>
      <c r="AV29" s="348" t="str">
        <f t="shared" si="28"/>
        <v>July</v>
      </c>
      <c r="AW29" s="1092"/>
      <c r="AX29" s="1093"/>
    </row>
    <row r="30" spans="2:50" s="278" customFormat="1" ht="12" customHeight="1" x14ac:dyDescent="0.25">
      <c r="B30" s="1192" t="e">
        <f t="shared" si="18"/>
        <v>#N/A</v>
      </c>
      <c r="C30" s="732">
        <f t="shared" si="0"/>
        <v>31</v>
      </c>
      <c r="D30" s="35">
        <f t="shared" si="1"/>
        <v>5</v>
      </c>
      <c r="E30" s="889">
        <f t="shared" si="24"/>
        <v>46173</v>
      </c>
      <c r="F30" s="822">
        <f t="shared" si="9"/>
        <v>5</v>
      </c>
      <c r="G30" s="500">
        <f t="shared" si="25"/>
        <v>31</v>
      </c>
      <c r="H30" s="126">
        <f t="shared" si="2"/>
        <v>0</v>
      </c>
      <c r="I30" s="1098">
        <f t="shared" si="26"/>
        <v>0</v>
      </c>
      <c r="J30" s="887">
        <f t="shared" si="19"/>
        <v>11</v>
      </c>
      <c r="K30" s="1099">
        <f t="shared" si="10"/>
        <v>11</v>
      </c>
      <c r="L30" s="891" t="str">
        <f t="shared" si="11"/>
        <v>May</v>
      </c>
      <c r="M30" s="888">
        <f t="shared" si="27"/>
        <v>2026</v>
      </c>
      <c r="N30" s="883">
        <f t="shared" si="12"/>
        <v>0</v>
      </c>
      <c r="O30" s="883">
        <f t="shared" si="29"/>
        <v>0</v>
      </c>
      <c r="P30" s="1100"/>
      <c r="Q30" s="883">
        <f>IF(AND($AS$39="Early Payoff",J30&gt;=$S$13),0,IF($J30&gt;$S$6,0,IF(AND($AR$29&gt;0,$J30&lt;=$AR$29),0,+$O30-$R30)))</f>
        <v>0</v>
      </c>
      <c r="R30" s="884">
        <f>IF(AND($AS$39="Early Payoff",J30&gt;=$S$13),0,IF($T$4="Annual",-$M$7*$U29*1,IF(AND($T$4="Bi-Annual",$M$8="Base"),(-$M$7/2)*$U29*1,IF(AND($T$4="Bi-Annual",$M$8="Actual Days"),(-$M$7*$U29)*(G30/366),IF($T$4="Monthly",(-$M$7/12)*$U29*1)))))</f>
        <v>0</v>
      </c>
      <c r="S30" s="884">
        <f>IF(AND($AS$39="Early Payoff",J30&gt;=$S$13),0,IF($J30&lt;=$S$6,SUM($Q$20:$Q30),0))</f>
        <v>0</v>
      </c>
      <c r="T30" s="884">
        <f>IF(AND($AS$39="Early Payoff",J30&gt;=$S$13),0,IF($J30&lt;=$S$6,SUM($R$20:$R30),0))</f>
        <v>0</v>
      </c>
      <c r="U30" s="885">
        <f t="shared" si="4"/>
        <v>0</v>
      </c>
      <c r="V30" s="1110">
        <f t="shared" si="21"/>
        <v>0</v>
      </c>
      <c r="X30" s="1102">
        <f t="shared" si="5"/>
        <v>0</v>
      </c>
      <c r="Y30" s="873">
        <f t="shared" si="6"/>
        <v>0</v>
      </c>
      <c r="Z30" s="873">
        <f t="shared" si="7"/>
        <v>0</v>
      </c>
      <c r="AA30" s="885">
        <f t="shared" si="8"/>
        <v>0</v>
      </c>
      <c r="AC30" s="355">
        <f t="shared" si="22"/>
        <v>10</v>
      </c>
      <c r="AD30" s="1103">
        <f t="shared" si="22"/>
        <v>2035</v>
      </c>
      <c r="AE30" s="1104">
        <f t="shared" si="13"/>
        <v>0</v>
      </c>
      <c r="AF30" s="1104">
        <f t="shared" si="14"/>
        <v>0</v>
      </c>
      <c r="AG30" s="1104">
        <f t="shared" si="15"/>
        <v>0</v>
      </c>
      <c r="AH30" s="1104">
        <f t="shared" si="16"/>
        <v>0</v>
      </c>
      <c r="AI30" s="1104">
        <f t="shared" si="17"/>
        <v>0</v>
      </c>
      <c r="AJ30" s="1104">
        <f>IF($AE30=0,0,SUM($AG$20:$AG30))</f>
        <v>0</v>
      </c>
      <c r="AK30" s="1104">
        <f>IF($AE30=0,0,SUM($AH$20:$AH30))</f>
        <v>0</v>
      </c>
      <c r="AL30" s="1104">
        <f>SUM($AI$20:$AI30)</f>
        <v>0</v>
      </c>
      <c r="AM30" s="1104">
        <f t="shared" si="23"/>
        <v>0</v>
      </c>
      <c r="AN30" s="1104"/>
      <c r="AO30" s="347"/>
      <c r="AQ30" s="347"/>
      <c r="AR30" s="345"/>
      <c r="AS30" s="345"/>
      <c r="AT30" s="1111" t="s">
        <v>509</v>
      </c>
      <c r="AU30" s="1117">
        <v>8</v>
      </c>
      <c r="AV30" s="348" t="str">
        <f t="shared" si="28"/>
        <v>August</v>
      </c>
      <c r="AW30" s="1092"/>
      <c r="AX30" s="1093"/>
    </row>
    <row r="31" spans="2:50" s="278" customFormat="1" ht="12" customHeight="1" x14ac:dyDescent="0.25">
      <c r="B31" s="1192" t="e">
        <f t="shared" si="18"/>
        <v>#N/A</v>
      </c>
      <c r="C31" s="732">
        <f t="shared" si="0"/>
        <v>30</v>
      </c>
      <c r="D31" s="35">
        <f t="shared" si="1"/>
        <v>6</v>
      </c>
      <c r="E31" s="889">
        <f t="shared" si="24"/>
        <v>46203</v>
      </c>
      <c r="F31" s="822">
        <f t="shared" si="9"/>
        <v>6</v>
      </c>
      <c r="G31" s="500">
        <f t="shared" si="25"/>
        <v>30</v>
      </c>
      <c r="H31" s="126">
        <f t="shared" si="2"/>
        <v>0</v>
      </c>
      <c r="I31" s="1098">
        <f t="shared" si="26"/>
        <v>0</v>
      </c>
      <c r="J31" s="887">
        <f t="shared" si="19"/>
        <v>12</v>
      </c>
      <c r="K31" s="1099">
        <f t="shared" si="10"/>
        <v>12</v>
      </c>
      <c r="L31" s="891" t="str">
        <f t="shared" si="11"/>
        <v>June</v>
      </c>
      <c r="M31" s="888">
        <f t="shared" si="27"/>
        <v>2026</v>
      </c>
      <c r="N31" s="883">
        <f t="shared" si="12"/>
        <v>0</v>
      </c>
      <c r="O31" s="883">
        <f t="shared" si="29"/>
        <v>0</v>
      </c>
      <c r="P31" s="1100"/>
      <c r="Q31" s="883">
        <f t="shared" si="3"/>
        <v>0</v>
      </c>
      <c r="R31" s="884">
        <f t="shared" si="20"/>
        <v>0</v>
      </c>
      <c r="S31" s="884">
        <f>IF(AND($AS$39="Early Payoff",J31&gt;=$S$13),0,IF($J31&lt;=$S$6,SUM($Q$20:$Q31),0))</f>
        <v>0</v>
      </c>
      <c r="T31" s="884">
        <f>IF(AND($AS$39="Early Payoff",J31&gt;=$S$13),0,IF($J31&lt;=$S$6,SUM($R$20:$R31),0))</f>
        <v>0</v>
      </c>
      <c r="U31" s="885">
        <f t="shared" si="4"/>
        <v>0</v>
      </c>
      <c r="V31" s="1110">
        <f t="shared" si="21"/>
        <v>0</v>
      </c>
      <c r="X31" s="1102">
        <f t="shared" si="5"/>
        <v>0</v>
      </c>
      <c r="Y31" s="873">
        <f t="shared" si="6"/>
        <v>0</v>
      </c>
      <c r="Z31" s="873">
        <f t="shared" si="7"/>
        <v>0</v>
      </c>
      <c r="AA31" s="885">
        <f t="shared" si="8"/>
        <v>0</v>
      </c>
      <c r="AC31" s="355">
        <f t="shared" si="22"/>
        <v>11</v>
      </c>
      <c r="AD31" s="1103">
        <f t="shared" si="22"/>
        <v>2036</v>
      </c>
      <c r="AE31" s="1104">
        <f t="shared" si="13"/>
        <v>0</v>
      </c>
      <c r="AF31" s="1104">
        <f t="shared" si="14"/>
        <v>0</v>
      </c>
      <c r="AG31" s="1104">
        <f t="shared" si="15"/>
        <v>0</v>
      </c>
      <c r="AH31" s="1104">
        <f t="shared" si="16"/>
        <v>0</v>
      </c>
      <c r="AI31" s="1104">
        <f t="shared" si="17"/>
        <v>0</v>
      </c>
      <c r="AJ31" s="1104">
        <f>IF($AE31=0,0,SUM($AG$20:$AG31))</f>
        <v>0</v>
      </c>
      <c r="AK31" s="1104">
        <f>IF($AE31=0,0,SUM($AH$20:$AH31))</f>
        <v>0</v>
      </c>
      <c r="AL31" s="1104">
        <f>SUM($AI$20:$AI31)</f>
        <v>0</v>
      </c>
      <c r="AM31" s="1104">
        <f t="shared" si="23"/>
        <v>0</v>
      </c>
      <c r="AN31" s="1104"/>
      <c r="AO31" s="347"/>
      <c r="AQ31" s="347" t="s">
        <v>536</v>
      </c>
      <c r="AR31" s="1103">
        <f>YEAR(AR33)</f>
        <v>2025</v>
      </c>
      <c r="AS31" s="345"/>
      <c r="AT31" s="1111" t="s">
        <v>461</v>
      </c>
      <c r="AU31" s="1117">
        <v>9</v>
      </c>
      <c r="AV31" s="348" t="str">
        <f t="shared" si="28"/>
        <v>September</v>
      </c>
      <c r="AW31" s="1092"/>
      <c r="AX31" s="1093"/>
    </row>
    <row r="32" spans="2:50" s="278" customFormat="1" ht="12" customHeight="1" x14ac:dyDescent="0.25">
      <c r="B32" s="1192" t="e">
        <f t="shared" si="18"/>
        <v>#N/A</v>
      </c>
      <c r="C32" s="732">
        <f t="shared" si="0"/>
        <v>31</v>
      </c>
      <c r="D32" s="35">
        <f t="shared" si="1"/>
        <v>7</v>
      </c>
      <c r="E32" s="889">
        <f t="shared" si="24"/>
        <v>46234</v>
      </c>
      <c r="F32" s="822">
        <f t="shared" si="9"/>
        <v>7</v>
      </c>
      <c r="G32" s="500">
        <f t="shared" si="25"/>
        <v>31</v>
      </c>
      <c r="H32" s="126">
        <f t="shared" si="2"/>
        <v>0</v>
      </c>
      <c r="I32" s="1098">
        <f t="shared" si="26"/>
        <v>0</v>
      </c>
      <c r="J32" s="887">
        <f t="shared" si="19"/>
        <v>13</v>
      </c>
      <c r="K32" s="1099">
        <f t="shared" si="10"/>
        <v>13</v>
      </c>
      <c r="L32" s="891" t="str">
        <f t="shared" si="11"/>
        <v>July</v>
      </c>
      <c r="M32" s="888">
        <f t="shared" si="27"/>
        <v>2026</v>
      </c>
      <c r="N32" s="883">
        <f t="shared" si="12"/>
        <v>0</v>
      </c>
      <c r="O32" s="883">
        <f t="shared" si="29"/>
        <v>0</v>
      </c>
      <c r="P32" s="1100"/>
      <c r="Q32" s="883">
        <f t="shared" si="3"/>
        <v>0</v>
      </c>
      <c r="R32" s="884">
        <f t="shared" si="20"/>
        <v>0</v>
      </c>
      <c r="S32" s="884">
        <f>IF(AND($AS$39="Early Payoff",J32&gt;=$S$13),0,IF($J32&lt;=$S$6,SUM($Q$20:$Q32),0))</f>
        <v>0</v>
      </c>
      <c r="T32" s="884">
        <f>IF(AND($AS$39="Early Payoff",J32&gt;=$S$13),0,IF($J32&lt;=$S$6,SUM($R$20:$R32),0))</f>
        <v>0</v>
      </c>
      <c r="U32" s="885">
        <f t="shared" si="4"/>
        <v>0</v>
      </c>
      <c r="V32" s="1110">
        <f t="shared" si="21"/>
        <v>0</v>
      </c>
      <c r="X32" s="1102">
        <f t="shared" si="5"/>
        <v>0</v>
      </c>
      <c r="Y32" s="873">
        <f t="shared" si="6"/>
        <v>0</v>
      </c>
      <c r="Z32" s="873">
        <f t="shared" si="7"/>
        <v>0</v>
      </c>
      <c r="AA32" s="885">
        <f t="shared" si="8"/>
        <v>0</v>
      </c>
      <c r="AC32" s="355">
        <f t="shared" si="22"/>
        <v>12</v>
      </c>
      <c r="AD32" s="1103">
        <f t="shared" si="22"/>
        <v>2037</v>
      </c>
      <c r="AE32" s="1104">
        <f t="shared" si="13"/>
        <v>0</v>
      </c>
      <c r="AF32" s="1104">
        <f t="shared" si="14"/>
        <v>0</v>
      </c>
      <c r="AG32" s="1104">
        <f t="shared" si="15"/>
        <v>0</v>
      </c>
      <c r="AH32" s="1104">
        <f t="shared" si="16"/>
        <v>0</v>
      </c>
      <c r="AI32" s="1104">
        <f t="shared" si="17"/>
        <v>0</v>
      </c>
      <c r="AJ32" s="1104">
        <f>IF($AE32=0,0,SUM($AG$20:$AG32))</f>
        <v>0</v>
      </c>
      <c r="AK32" s="1104">
        <f>IF($AE32=0,0,SUM($AH$20:$AH32))</f>
        <v>0</v>
      </c>
      <c r="AL32" s="1104">
        <f>SUM($AI$20:$AI32)</f>
        <v>0</v>
      </c>
      <c r="AM32" s="1104">
        <f t="shared" si="23"/>
        <v>0</v>
      </c>
      <c r="AN32" s="1104"/>
      <c r="AO32" s="347"/>
      <c r="AQ32" s="347" t="s">
        <v>537</v>
      </c>
      <c r="AR32" s="1077" t="str">
        <f>INDEX($AU$22:$AV$34,MATCH(MONTH($AR$33),$AU$22:$AU$34,0),MATCH("Month",$AU$22:$AV$22,0))</f>
        <v>August</v>
      </c>
      <c r="AS32" s="345"/>
      <c r="AT32" s="1111" t="s">
        <v>533</v>
      </c>
      <c r="AU32" s="1117">
        <v>10</v>
      </c>
      <c r="AV32" s="348" t="str">
        <f t="shared" si="28"/>
        <v>October</v>
      </c>
      <c r="AW32" s="1092"/>
      <c r="AX32" s="1093"/>
    </row>
    <row r="33" spans="2:50" s="278" customFormat="1" ht="12" customHeight="1" x14ac:dyDescent="0.25">
      <c r="B33" s="1192" t="e">
        <f t="shared" si="18"/>
        <v>#N/A</v>
      </c>
      <c r="C33" s="732">
        <f t="shared" si="0"/>
        <v>31</v>
      </c>
      <c r="D33" s="35">
        <f t="shared" si="1"/>
        <v>8</v>
      </c>
      <c r="E33" s="889">
        <f t="shared" si="24"/>
        <v>46265</v>
      </c>
      <c r="F33" s="822">
        <f t="shared" si="9"/>
        <v>8</v>
      </c>
      <c r="G33" s="500">
        <f t="shared" si="25"/>
        <v>31</v>
      </c>
      <c r="H33" s="126">
        <f t="shared" si="2"/>
        <v>0</v>
      </c>
      <c r="I33" s="1098">
        <f t="shared" si="26"/>
        <v>0</v>
      </c>
      <c r="J33" s="887">
        <f t="shared" si="19"/>
        <v>14</v>
      </c>
      <c r="K33" s="1099">
        <f t="shared" si="10"/>
        <v>14</v>
      </c>
      <c r="L33" s="891" t="str">
        <f t="shared" si="11"/>
        <v>August</v>
      </c>
      <c r="M33" s="888">
        <f t="shared" si="27"/>
        <v>2026</v>
      </c>
      <c r="N33" s="883">
        <f t="shared" si="12"/>
        <v>0</v>
      </c>
      <c r="O33" s="883">
        <f t="shared" si="29"/>
        <v>0</v>
      </c>
      <c r="P33" s="1100"/>
      <c r="Q33" s="883">
        <f t="shared" si="3"/>
        <v>0</v>
      </c>
      <c r="R33" s="884">
        <f t="shared" si="20"/>
        <v>0</v>
      </c>
      <c r="S33" s="884">
        <f>IF(AND($AS$39="Early Payoff",J33&gt;=$S$13),0,IF($J33&lt;=$S$6,SUM($Q$20:$Q33),0))</f>
        <v>0</v>
      </c>
      <c r="T33" s="884">
        <f>IF(AND($AS$39="Early Payoff",J33&gt;=$S$13),0,IF($J33&lt;=$S$6,SUM($R$20:$R33),0))</f>
        <v>0</v>
      </c>
      <c r="U33" s="885">
        <f t="shared" si="4"/>
        <v>0</v>
      </c>
      <c r="V33" s="1110">
        <f t="shared" si="21"/>
        <v>0</v>
      </c>
      <c r="X33" s="1102">
        <f t="shared" si="5"/>
        <v>0</v>
      </c>
      <c r="Y33" s="873">
        <f t="shared" si="6"/>
        <v>0</v>
      </c>
      <c r="Z33" s="873">
        <f t="shared" si="7"/>
        <v>0</v>
      </c>
      <c r="AA33" s="885">
        <f t="shared" si="8"/>
        <v>0</v>
      </c>
      <c r="AC33" s="355">
        <f t="shared" si="22"/>
        <v>13</v>
      </c>
      <c r="AD33" s="1103">
        <f t="shared" si="22"/>
        <v>2038</v>
      </c>
      <c r="AE33" s="1104">
        <f t="shared" si="13"/>
        <v>0</v>
      </c>
      <c r="AF33" s="1104">
        <f t="shared" si="14"/>
        <v>0</v>
      </c>
      <c r="AG33" s="1104">
        <f t="shared" si="15"/>
        <v>0</v>
      </c>
      <c r="AH33" s="1104">
        <f t="shared" si="16"/>
        <v>0</v>
      </c>
      <c r="AI33" s="1104">
        <f t="shared" si="17"/>
        <v>0</v>
      </c>
      <c r="AJ33" s="1104">
        <f>IF($AE33=0,0,SUM($AG$20:$AG33))</f>
        <v>0</v>
      </c>
      <c r="AK33" s="1104">
        <f>IF($AE33=0,0,SUM($AH$20:$AH33))</f>
        <v>0</v>
      </c>
      <c r="AL33" s="1104">
        <f>SUM($AI$20:$AI33)</f>
        <v>0</v>
      </c>
      <c r="AM33" s="1104">
        <f t="shared" si="23"/>
        <v>0</v>
      </c>
      <c r="AN33" s="1104"/>
      <c r="AO33" s="347"/>
      <c r="AQ33" s="347" t="s">
        <v>538</v>
      </c>
      <c r="AR33" s="1118">
        <f>EOMONTH(AR24,AR28+1)</f>
        <v>45900</v>
      </c>
      <c r="AS33" s="345"/>
      <c r="AT33" s="1111" t="s">
        <v>535</v>
      </c>
      <c r="AU33" s="1117">
        <v>11</v>
      </c>
      <c r="AV33" s="348" t="str">
        <f t="shared" si="28"/>
        <v>November</v>
      </c>
      <c r="AW33" s="1092"/>
      <c r="AX33" s="1093"/>
    </row>
    <row r="34" spans="2:50" s="278" customFormat="1" ht="12" customHeight="1" x14ac:dyDescent="0.25">
      <c r="B34" s="1192" t="e">
        <f t="shared" si="18"/>
        <v>#N/A</v>
      </c>
      <c r="C34" s="732">
        <f t="shared" si="0"/>
        <v>30</v>
      </c>
      <c r="D34" s="35">
        <f t="shared" si="1"/>
        <v>9</v>
      </c>
      <c r="E34" s="889">
        <f t="shared" si="24"/>
        <v>46295</v>
      </c>
      <c r="F34" s="822">
        <f t="shared" si="9"/>
        <v>9</v>
      </c>
      <c r="G34" s="500">
        <f t="shared" si="25"/>
        <v>30</v>
      </c>
      <c r="H34" s="126">
        <f t="shared" si="2"/>
        <v>0</v>
      </c>
      <c r="I34" s="1098">
        <f t="shared" si="26"/>
        <v>0</v>
      </c>
      <c r="J34" s="887">
        <f t="shared" si="19"/>
        <v>15</v>
      </c>
      <c r="K34" s="1099">
        <f t="shared" si="10"/>
        <v>15</v>
      </c>
      <c r="L34" s="891" t="str">
        <f t="shared" si="11"/>
        <v>September</v>
      </c>
      <c r="M34" s="888">
        <f t="shared" si="27"/>
        <v>2026</v>
      </c>
      <c r="N34" s="883">
        <f t="shared" si="12"/>
        <v>0</v>
      </c>
      <c r="O34" s="883">
        <f t="shared" si="29"/>
        <v>0</v>
      </c>
      <c r="P34" s="1100"/>
      <c r="Q34" s="883">
        <f t="shared" si="3"/>
        <v>0</v>
      </c>
      <c r="R34" s="884">
        <f t="shared" si="20"/>
        <v>0</v>
      </c>
      <c r="S34" s="884">
        <f>IF(AND($AS$39="Early Payoff",J34&gt;=$S$13),0,IF($J34&lt;=$S$6,SUM($Q$20:$Q34),0))</f>
        <v>0</v>
      </c>
      <c r="T34" s="884">
        <f>IF(AND($AS$39="Early Payoff",J34&gt;=$S$13),0,IF($J34&lt;=$S$6,SUM($R$20:$R34),0))</f>
        <v>0</v>
      </c>
      <c r="U34" s="885">
        <f t="shared" si="4"/>
        <v>0</v>
      </c>
      <c r="V34" s="1110">
        <f t="shared" si="21"/>
        <v>0</v>
      </c>
      <c r="X34" s="1102">
        <f t="shared" si="5"/>
        <v>0</v>
      </c>
      <c r="Y34" s="873">
        <f t="shared" si="6"/>
        <v>0</v>
      </c>
      <c r="Z34" s="873">
        <f t="shared" si="7"/>
        <v>0</v>
      </c>
      <c r="AA34" s="885">
        <f t="shared" si="8"/>
        <v>0</v>
      </c>
      <c r="AC34" s="355">
        <f t="shared" si="22"/>
        <v>14</v>
      </c>
      <c r="AD34" s="1103">
        <f t="shared" si="22"/>
        <v>2039</v>
      </c>
      <c r="AE34" s="1104">
        <f t="shared" si="13"/>
        <v>0</v>
      </c>
      <c r="AF34" s="1104">
        <f t="shared" si="14"/>
        <v>0</v>
      </c>
      <c r="AG34" s="1104">
        <f t="shared" si="15"/>
        <v>0</v>
      </c>
      <c r="AH34" s="1104">
        <f t="shared" si="16"/>
        <v>0</v>
      </c>
      <c r="AI34" s="1104">
        <f t="shared" si="17"/>
        <v>0</v>
      </c>
      <c r="AJ34" s="1104">
        <f>IF($AE34=0,0,SUM($AG$20:$AG34))</f>
        <v>0</v>
      </c>
      <c r="AK34" s="1104">
        <f>IF($AE34=0,0,SUM($AH$20:$AH34))</f>
        <v>0</v>
      </c>
      <c r="AL34" s="1104">
        <f>SUM($AI$20:$AI34)</f>
        <v>0</v>
      </c>
      <c r="AM34" s="1104">
        <f t="shared" si="23"/>
        <v>0</v>
      </c>
      <c r="AN34" s="1104"/>
      <c r="AO34" s="347"/>
      <c r="AQ34" s="347"/>
      <c r="AR34" s="345"/>
      <c r="AS34" s="345"/>
      <c r="AT34" s="1145" t="s">
        <v>423</v>
      </c>
      <c r="AU34" s="1146">
        <v>12</v>
      </c>
      <c r="AV34" s="568" t="str">
        <f t="shared" si="28"/>
        <v>December</v>
      </c>
      <c r="AW34" s="1092"/>
      <c r="AX34" s="1093"/>
    </row>
    <row r="35" spans="2:50" s="278" customFormat="1" ht="12" customHeight="1" x14ac:dyDescent="0.25">
      <c r="B35" s="1192" t="e">
        <f t="shared" si="18"/>
        <v>#N/A</v>
      </c>
      <c r="C35" s="732">
        <f t="shared" si="0"/>
        <v>31</v>
      </c>
      <c r="D35" s="35">
        <f t="shared" si="1"/>
        <v>10</v>
      </c>
      <c r="E35" s="889">
        <f t="shared" si="24"/>
        <v>46326</v>
      </c>
      <c r="F35" s="822">
        <f t="shared" si="9"/>
        <v>10</v>
      </c>
      <c r="G35" s="500">
        <f t="shared" si="25"/>
        <v>31</v>
      </c>
      <c r="H35" s="126">
        <f t="shared" si="2"/>
        <v>0</v>
      </c>
      <c r="I35" s="1098">
        <f t="shared" si="26"/>
        <v>0</v>
      </c>
      <c r="J35" s="887">
        <f t="shared" si="19"/>
        <v>16</v>
      </c>
      <c r="K35" s="1099">
        <f t="shared" si="10"/>
        <v>16</v>
      </c>
      <c r="L35" s="891" t="str">
        <f t="shared" si="11"/>
        <v>October</v>
      </c>
      <c r="M35" s="888">
        <f t="shared" si="27"/>
        <v>2026</v>
      </c>
      <c r="N35" s="883">
        <f t="shared" si="12"/>
        <v>0</v>
      </c>
      <c r="O35" s="883">
        <f t="shared" si="29"/>
        <v>0</v>
      </c>
      <c r="P35" s="1100"/>
      <c r="Q35" s="883">
        <f t="shared" si="3"/>
        <v>0</v>
      </c>
      <c r="R35" s="884">
        <f t="shared" si="20"/>
        <v>0</v>
      </c>
      <c r="S35" s="884">
        <f>IF(AND($AS$39="Early Payoff",J35&gt;=$S$13),0,IF($J35&lt;=$S$6,SUM($Q$20:$Q35),0))</f>
        <v>0</v>
      </c>
      <c r="T35" s="884">
        <f>IF(AND($AS$39="Early Payoff",J35&gt;=$S$13),0,IF($J35&lt;=$S$6,SUM($R$20:$R35),0))</f>
        <v>0</v>
      </c>
      <c r="U35" s="885">
        <f t="shared" si="4"/>
        <v>0</v>
      </c>
      <c r="V35" s="1110">
        <f t="shared" si="21"/>
        <v>0</v>
      </c>
      <c r="X35" s="1102">
        <f t="shared" si="5"/>
        <v>0</v>
      </c>
      <c r="Y35" s="873">
        <f t="shared" si="6"/>
        <v>0</v>
      </c>
      <c r="Z35" s="873">
        <f t="shared" si="7"/>
        <v>0</v>
      </c>
      <c r="AA35" s="885">
        <f t="shared" si="8"/>
        <v>0</v>
      </c>
      <c r="AC35" s="355">
        <f t="shared" si="22"/>
        <v>15</v>
      </c>
      <c r="AD35" s="1103">
        <f t="shared" si="22"/>
        <v>2040</v>
      </c>
      <c r="AE35" s="1104">
        <f t="shared" si="13"/>
        <v>0</v>
      </c>
      <c r="AF35" s="1104">
        <f t="shared" si="14"/>
        <v>0</v>
      </c>
      <c r="AG35" s="1104">
        <f t="shared" si="15"/>
        <v>0</v>
      </c>
      <c r="AH35" s="1104">
        <f t="shared" si="16"/>
        <v>0</v>
      </c>
      <c r="AI35" s="1104">
        <f t="shared" si="17"/>
        <v>0</v>
      </c>
      <c r="AJ35" s="1104">
        <f>IF($AE35=0,0,SUM($AG$20:$AG35))</f>
        <v>0</v>
      </c>
      <c r="AK35" s="1104">
        <f>IF($AE35=0,0,SUM($AH$20:$AH35))</f>
        <v>0</v>
      </c>
      <c r="AL35" s="1104">
        <f>SUM($AI$20:$AI35)</f>
        <v>0</v>
      </c>
      <c r="AM35" s="1104">
        <f t="shared" si="23"/>
        <v>0</v>
      </c>
      <c r="AN35" s="1104"/>
      <c r="AO35" s="347"/>
      <c r="AQ35" s="1111" t="s">
        <v>539</v>
      </c>
      <c r="AR35" s="1103">
        <f>YEAR(AR37)</f>
        <v>2025</v>
      </c>
      <c r="AS35" s="345"/>
      <c r="AT35" s="1093"/>
      <c r="AU35" s="1092"/>
      <c r="AV35" s="1147"/>
      <c r="AW35" s="1092"/>
      <c r="AX35" s="1093"/>
    </row>
    <row r="36" spans="2:50" s="278" customFormat="1" ht="12" customHeight="1" x14ac:dyDescent="0.25">
      <c r="B36" s="1192" t="e">
        <f t="shared" si="18"/>
        <v>#N/A</v>
      </c>
      <c r="C36" s="732">
        <f t="shared" si="0"/>
        <v>30</v>
      </c>
      <c r="D36" s="35">
        <f t="shared" si="1"/>
        <v>11</v>
      </c>
      <c r="E36" s="889">
        <f t="shared" si="24"/>
        <v>46356</v>
      </c>
      <c r="F36" s="822">
        <f t="shared" si="9"/>
        <v>11</v>
      </c>
      <c r="G36" s="500">
        <f t="shared" si="25"/>
        <v>30</v>
      </c>
      <c r="H36" s="126">
        <f t="shared" si="2"/>
        <v>0</v>
      </c>
      <c r="I36" s="1098">
        <f t="shared" si="26"/>
        <v>0</v>
      </c>
      <c r="J36" s="887">
        <f t="shared" si="19"/>
        <v>17</v>
      </c>
      <c r="K36" s="1099">
        <f t="shared" si="10"/>
        <v>17</v>
      </c>
      <c r="L36" s="891" t="str">
        <f t="shared" si="11"/>
        <v>November</v>
      </c>
      <c r="M36" s="888">
        <f t="shared" si="27"/>
        <v>2026</v>
      </c>
      <c r="N36" s="883">
        <f t="shared" si="12"/>
        <v>0</v>
      </c>
      <c r="O36" s="883">
        <f t="shared" si="29"/>
        <v>0</v>
      </c>
      <c r="P36" s="1100"/>
      <c r="Q36" s="883">
        <f t="shared" si="3"/>
        <v>0</v>
      </c>
      <c r="R36" s="884">
        <f t="shared" si="20"/>
        <v>0</v>
      </c>
      <c r="S36" s="884">
        <f>IF(AND($AS$39="Early Payoff",J36&gt;=$S$13),0,IF($J36&lt;=$S$6,SUM($Q$20:$Q36),0))</f>
        <v>0</v>
      </c>
      <c r="T36" s="884">
        <f>IF(AND($AS$39="Early Payoff",J36&gt;=$S$13),0,IF($J36&lt;=$S$6,SUM($R$20:$R36),0))</f>
        <v>0</v>
      </c>
      <c r="U36" s="885">
        <f t="shared" si="4"/>
        <v>0</v>
      </c>
      <c r="V36" s="1110">
        <f t="shared" si="21"/>
        <v>0</v>
      </c>
      <c r="X36" s="1102">
        <f t="shared" si="5"/>
        <v>0</v>
      </c>
      <c r="Y36" s="873">
        <f t="shared" si="6"/>
        <v>0</v>
      </c>
      <c r="Z36" s="873">
        <f t="shared" si="7"/>
        <v>0</v>
      </c>
      <c r="AA36" s="885">
        <f t="shared" si="8"/>
        <v>0</v>
      </c>
      <c r="AC36" s="355">
        <f t="shared" si="22"/>
        <v>16</v>
      </c>
      <c r="AD36" s="1103">
        <f t="shared" si="22"/>
        <v>2041</v>
      </c>
      <c r="AE36" s="1104">
        <f t="shared" si="13"/>
        <v>0</v>
      </c>
      <c r="AF36" s="1104">
        <f t="shared" si="14"/>
        <v>0</v>
      </c>
      <c r="AG36" s="1104">
        <f t="shared" si="15"/>
        <v>0</v>
      </c>
      <c r="AH36" s="1104">
        <f t="shared" si="16"/>
        <v>0</v>
      </c>
      <c r="AI36" s="1104">
        <f t="shared" si="17"/>
        <v>0</v>
      </c>
      <c r="AJ36" s="1104">
        <f>IF($AE36=0,0,SUM($AG$20:$AG36))</f>
        <v>0</v>
      </c>
      <c r="AK36" s="1104">
        <f>IF($AE36=0,0,SUM($AH$20:$AH36))</f>
        <v>0</v>
      </c>
      <c r="AL36" s="1104">
        <f>SUM($AI$20:$AI36)</f>
        <v>0</v>
      </c>
      <c r="AM36" s="1104">
        <f t="shared" si="23"/>
        <v>0</v>
      </c>
      <c r="AN36" s="1104"/>
      <c r="AO36" s="347"/>
      <c r="AQ36" s="347" t="s">
        <v>540</v>
      </c>
      <c r="AR36" s="1077" t="str">
        <f>INDEX($AU$22:$AV$34,MATCH(MONTH($AR$37),$AU$22:$AU$34,0),MATCH("Month",$AU$22:$AV$22,0))</f>
        <v>August</v>
      </c>
      <c r="AS36" s="345"/>
      <c r="AT36" s="1113"/>
      <c r="AU36" s="1148" t="s">
        <v>527</v>
      </c>
      <c r="AV36" s="1147"/>
    </row>
    <row r="37" spans="2:50" s="278" customFormat="1" ht="12" customHeight="1" x14ac:dyDescent="0.25">
      <c r="B37" s="1192" t="e">
        <f t="shared" si="18"/>
        <v>#N/A</v>
      </c>
      <c r="C37" s="732">
        <f t="shared" si="0"/>
        <v>31</v>
      </c>
      <c r="D37" s="35">
        <f t="shared" si="1"/>
        <v>12</v>
      </c>
      <c r="E37" s="889">
        <f t="shared" si="24"/>
        <v>46387</v>
      </c>
      <c r="F37" s="822">
        <f t="shared" si="9"/>
        <v>12</v>
      </c>
      <c r="G37" s="500">
        <f t="shared" si="25"/>
        <v>31</v>
      </c>
      <c r="H37" s="126">
        <f t="shared" si="2"/>
        <v>1</v>
      </c>
      <c r="I37" s="1098">
        <f t="shared" si="26"/>
        <v>0</v>
      </c>
      <c r="J37" s="887">
        <f t="shared" si="19"/>
        <v>18</v>
      </c>
      <c r="K37" s="1099">
        <f t="shared" si="10"/>
        <v>18</v>
      </c>
      <c r="L37" s="891" t="str">
        <f t="shared" si="11"/>
        <v>December</v>
      </c>
      <c r="M37" s="888">
        <f t="shared" si="27"/>
        <v>2026</v>
      </c>
      <c r="N37" s="883">
        <f t="shared" si="12"/>
        <v>0</v>
      </c>
      <c r="O37" s="883">
        <f t="shared" si="29"/>
        <v>0</v>
      </c>
      <c r="P37" s="1100"/>
      <c r="Q37" s="883">
        <f t="shared" si="3"/>
        <v>0</v>
      </c>
      <c r="R37" s="884">
        <f t="shared" si="20"/>
        <v>0</v>
      </c>
      <c r="S37" s="884">
        <f>IF(AND($AS$39="Early Payoff",J37&gt;=$S$13),0,IF($J37&lt;=$S$6,SUM($Q$20:$Q37),0))</f>
        <v>0</v>
      </c>
      <c r="T37" s="884">
        <f>IF(AND($AS$39="Early Payoff",J37&gt;=$S$13),0,IF($J37&lt;=$S$6,SUM($R$20:$R37),0))</f>
        <v>0</v>
      </c>
      <c r="U37" s="885">
        <f t="shared" si="4"/>
        <v>0</v>
      </c>
      <c r="V37" s="1110">
        <f t="shared" si="21"/>
        <v>0</v>
      </c>
      <c r="X37" s="1102">
        <f t="shared" si="5"/>
        <v>0</v>
      </c>
      <c r="Y37" s="873">
        <f t="shared" si="6"/>
        <v>0</v>
      </c>
      <c r="Z37" s="873">
        <f t="shared" si="7"/>
        <v>0</v>
      </c>
      <c r="AA37" s="885">
        <f t="shared" si="8"/>
        <v>0</v>
      </c>
      <c r="AC37" s="355">
        <f t="shared" si="22"/>
        <v>17</v>
      </c>
      <c r="AD37" s="1103">
        <f t="shared" si="22"/>
        <v>2042</v>
      </c>
      <c r="AE37" s="1104">
        <f t="shared" si="13"/>
        <v>0</v>
      </c>
      <c r="AF37" s="1104">
        <f t="shared" si="14"/>
        <v>0</v>
      </c>
      <c r="AG37" s="1104">
        <f t="shared" si="15"/>
        <v>0</v>
      </c>
      <c r="AH37" s="1104">
        <f t="shared" si="16"/>
        <v>0</v>
      </c>
      <c r="AI37" s="1104">
        <f t="shared" si="17"/>
        <v>0</v>
      </c>
      <c r="AJ37" s="1104">
        <f>IF($AE37=0,0,SUM($AG$20:$AG37))</f>
        <v>0</v>
      </c>
      <c r="AK37" s="1104">
        <f>IF($AE37=0,0,SUM($AH$20:$AH37))</f>
        <v>0</v>
      </c>
      <c r="AL37" s="1104">
        <f>SUM($AI$20:$AI37)</f>
        <v>0</v>
      </c>
      <c r="AM37" s="1104">
        <f t="shared" si="23"/>
        <v>0</v>
      </c>
      <c r="AN37" s="1104"/>
      <c r="AO37" s="347"/>
      <c r="AQ37" s="347" t="s">
        <v>541</v>
      </c>
      <c r="AR37" s="1118">
        <f>EOMONTH(AR24,AR27+1)</f>
        <v>45900</v>
      </c>
      <c r="AS37" s="345"/>
      <c r="AT37" s="1111" t="s">
        <v>425</v>
      </c>
      <c r="AU37" s="1149">
        <v>0</v>
      </c>
      <c r="AV37" s="1147"/>
    </row>
    <row r="38" spans="2:50" s="278" customFormat="1" ht="12" customHeight="1" x14ac:dyDescent="0.25">
      <c r="B38" s="1192" t="e">
        <f t="shared" si="18"/>
        <v>#N/A</v>
      </c>
      <c r="C38" s="732">
        <f t="shared" si="0"/>
        <v>31</v>
      </c>
      <c r="D38" s="35">
        <f t="shared" si="1"/>
        <v>1</v>
      </c>
      <c r="E38" s="889">
        <f t="shared" si="24"/>
        <v>46418</v>
      </c>
      <c r="F38" s="822">
        <f t="shared" si="9"/>
        <v>1</v>
      </c>
      <c r="G38" s="500">
        <f t="shared" si="25"/>
        <v>31</v>
      </c>
      <c r="H38" s="126">
        <f t="shared" si="2"/>
        <v>0</v>
      </c>
      <c r="I38" s="1098">
        <f t="shared" si="26"/>
        <v>0</v>
      </c>
      <c r="J38" s="887">
        <f t="shared" si="19"/>
        <v>19</v>
      </c>
      <c r="K38" s="1099">
        <f t="shared" si="10"/>
        <v>19</v>
      </c>
      <c r="L38" s="891" t="str">
        <f t="shared" si="11"/>
        <v>January</v>
      </c>
      <c r="M38" s="888">
        <f t="shared" si="27"/>
        <v>2027</v>
      </c>
      <c r="N38" s="883">
        <f t="shared" si="12"/>
        <v>0</v>
      </c>
      <c r="O38" s="883">
        <f t="shared" si="29"/>
        <v>0</v>
      </c>
      <c r="P38" s="1100"/>
      <c r="Q38" s="883">
        <f t="shared" si="3"/>
        <v>0</v>
      </c>
      <c r="R38" s="884">
        <f t="shared" si="20"/>
        <v>0</v>
      </c>
      <c r="S38" s="884">
        <f>IF(AND($AS$39="Early Payoff",J38&gt;=$S$13),0,IF($J38&lt;=$S$6,SUM($Q$20:$Q38),0))</f>
        <v>0</v>
      </c>
      <c r="T38" s="884">
        <f>IF(AND($AS$39="Early Payoff",J38&gt;=$S$13),0,IF($J38&lt;=$S$6,SUM($R$20:$R38),0))</f>
        <v>0</v>
      </c>
      <c r="U38" s="885">
        <f t="shared" si="4"/>
        <v>0</v>
      </c>
      <c r="V38" s="1110">
        <f t="shared" si="21"/>
        <v>0</v>
      </c>
      <c r="X38" s="1102">
        <f t="shared" si="5"/>
        <v>0</v>
      </c>
      <c r="Y38" s="873">
        <f t="shared" si="6"/>
        <v>0</v>
      </c>
      <c r="Z38" s="873">
        <f t="shared" si="7"/>
        <v>0</v>
      </c>
      <c r="AA38" s="885">
        <f t="shared" si="8"/>
        <v>0</v>
      </c>
      <c r="AC38" s="355">
        <f t="shared" ref="AC38:AD41" si="30">AC37+1</f>
        <v>18</v>
      </c>
      <c r="AD38" s="1103">
        <f t="shared" si="30"/>
        <v>2043</v>
      </c>
      <c r="AE38" s="1104">
        <f t="shared" si="13"/>
        <v>0</v>
      </c>
      <c r="AF38" s="1104">
        <f t="shared" si="14"/>
        <v>0</v>
      </c>
      <c r="AG38" s="1104">
        <f t="shared" si="15"/>
        <v>0</v>
      </c>
      <c r="AH38" s="1104">
        <f t="shared" si="16"/>
        <v>0</v>
      </c>
      <c r="AI38" s="1104">
        <f t="shared" si="17"/>
        <v>0</v>
      </c>
      <c r="AJ38" s="1104">
        <f>IF($AE38=0,0,SUM($AG$20:$AG38))</f>
        <v>0</v>
      </c>
      <c r="AK38" s="1104">
        <f>IF($AE38=0,0,SUM($AH$20:$AH38))</f>
        <v>0</v>
      </c>
      <c r="AL38" s="1104">
        <f>SUM($AI$20:$AI38)</f>
        <v>0</v>
      </c>
      <c r="AM38" s="1104">
        <f t="shared" si="23"/>
        <v>0</v>
      </c>
      <c r="AN38" s="1104"/>
      <c r="AO38" s="347"/>
      <c r="AQ38" s="347"/>
      <c r="AR38" s="345"/>
      <c r="AS38" s="345"/>
      <c r="AT38" s="1111" t="s">
        <v>528</v>
      </c>
      <c r="AU38" s="1149">
        <v>0</v>
      </c>
      <c r="AV38" s="1147"/>
    </row>
    <row r="39" spans="2:50" s="278" customFormat="1" ht="12" customHeight="1" x14ac:dyDescent="0.25">
      <c r="B39" s="1192" t="e">
        <f t="shared" si="18"/>
        <v>#N/A</v>
      </c>
      <c r="C39" s="732">
        <f t="shared" si="0"/>
        <v>28</v>
      </c>
      <c r="D39" s="35">
        <f t="shared" si="1"/>
        <v>2</v>
      </c>
      <c r="E39" s="889">
        <f t="shared" si="24"/>
        <v>46446</v>
      </c>
      <c r="F39" s="822">
        <f t="shared" si="9"/>
        <v>2</v>
      </c>
      <c r="G39" s="500">
        <f t="shared" si="25"/>
        <v>28</v>
      </c>
      <c r="H39" s="126">
        <f t="shared" si="2"/>
        <v>0</v>
      </c>
      <c r="I39" s="1098">
        <f t="shared" si="26"/>
        <v>0</v>
      </c>
      <c r="J39" s="887">
        <f t="shared" si="19"/>
        <v>20</v>
      </c>
      <c r="K39" s="1099">
        <f t="shared" si="10"/>
        <v>20</v>
      </c>
      <c r="L39" s="891" t="str">
        <f t="shared" si="11"/>
        <v>February</v>
      </c>
      <c r="M39" s="888">
        <f t="shared" si="27"/>
        <v>2027</v>
      </c>
      <c r="N39" s="883">
        <f t="shared" si="12"/>
        <v>0</v>
      </c>
      <c r="O39" s="883">
        <f t="shared" si="29"/>
        <v>0</v>
      </c>
      <c r="P39" s="1100"/>
      <c r="Q39" s="883">
        <f t="shared" si="3"/>
        <v>0</v>
      </c>
      <c r="R39" s="884">
        <f t="shared" si="20"/>
        <v>0</v>
      </c>
      <c r="S39" s="884">
        <f>IF(AND($AS$39="Early Payoff",J39&gt;=$S$13),0,IF($J39&lt;=$S$6,SUM($Q$20:$Q39),0))</f>
        <v>0</v>
      </c>
      <c r="T39" s="884">
        <f>IF(AND($AS$39="Early Payoff",J39&gt;=$S$13),0,IF($J39&lt;=$S$6,SUM($R$20:$R39),0))</f>
        <v>0</v>
      </c>
      <c r="U39" s="885">
        <f t="shared" si="4"/>
        <v>0</v>
      </c>
      <c r="V39" s="1110">
        <f t="shared" si="21"/>
        <v>0</v>
      </c>
      <c r="X39" s="1102">
        <f t="shared" si="5"/>
        <v>0</v>
      </c>
      <c r="Y39" s="873">
        <f t="shared" si="6"/>
        <v>0</v>
      </c>
      <c r="Z39" s="873">
        <f t="shared" si="7"/>
        <v>0</v>
      </c>
      <c r="AA39" s="885">
        <f t="shared" si="8"/>
        <v>0</v>
      </c>
      <c r="AC39" s="355">
        <f t="shared" si="30"/>
        <v>19</v>
      </c>
      <c r="AD39" s="1103">
        <f t="shared" si="30"/>
        <v>2044</v>
      </c>
      <c r="AE39" s="1104">
        <f t="shared" si="13"/>
        <v>0</v>
      </c>
      <c r="AF39" s="1104">
        <f t="shared" si="14"/>
        <v>0</v>
      </c>
      <c r="AG39" s="1104">
        <f t="shared" si="15"/>
        <v>0</v>
      </c>
      <c r="AH39" s="1104">
        <f t="shared" si="16"/>
        <v>0</v>
      </c>
      <c r="AI39" s="1104">
        <f t="shared" si="17"/>
        <v>0</v>
      </c>
      <c r="AJ39" s="1104">
        <f>IF($AE39=0,0,SUM($AG$20:$AG39))</f>
        <v>0</v>
      </c>
      <c r="AK39" s="1104">
        <f>IF($AE39=0,0,SUM($AH$20:$AH39))</f>
        <v>0</v>
      </c>
      <c r="AL39" s="1104">
        <f>SUM($AI$20:$AI39)</f>
        <v>0</v>
      </c>
      <c r="AM39" s="1104">
        <f t="shared" si="23"/>
        <v>0</v>
      </c>
      <c r="AN39" s="1104"/>
      <c r="AO39" s="347"/>
      <c r="AQ39" s="347" t="s">
        <v>542</v>
      </c>
      <c r="AR39" s="1103">
        <f>YEAR(T13)</f>
        <v>2025</v>
      </c>
      <c r="AS39" s="345" t="str">
        <f>IF(AND($T$4="Monthly",$T$13&lt;&gt;EOMONTH(L11,T6)),"Early Payoff",IF(AND($T$4="Bi-Annual",$T$13&lt;&gt;EOMONTH(L11,T6*6)),"Early Payoff",IF(AND($T$4="Annual",$T$13&lt;&gt;EOMONTH(L11,T6*12)),"Early Payoff","Full-Term")))</f>
        <v>Full-Term</v>
      </c>
      <c r="AT39" s="1111" t="s">
        <v>378</v>
      </c>
      <c r="AU39" s="1149">
        <v>0</v>
      </c>
      <c r="AV39" s="1147"/>
    </row>
    <row r="40" spans="2:50" s="278" customFormat="1" ht="12" customHeight="1" x14ac:dyDescent="0.25">
      <c r="B40" s="1192" t="e">
        <f t="shared" si="18"/>
        <v>#N/A</v>
      </c>
      <c r="C40" s="732">
        <f t="shared" si="0"/>
        <v>31</v>
      </c>
      <c r="D40" s="35">
        <f t="shared" si="1"/>
        <v>3</v>
      </c>
      <c r="E40" s="889">
        <f t="shared" si="24"/>
        <v>46477</v>
      </c>
      <c r="F40" s="822">
        <f t="shared" si="9"/>
        <v>3</v>
      </c>
      <c r="G40" s="500">
        <f t="shared" si="25"/>
        <v>31</v>
      </c>
      <c r="H40" s="126">
        <f t="shared" si="2"/>
        <v>0</v>
      </c>
      <c r="I40" s="1098">
        <f t="shared" si="26"/>
        <v>0</v>
      </c>
      <c r="J40" s="887">
        <f t="shared" si="19"/>
        <v>21</v>
      </c>
      <c r="K40" s="1099">
        <f t="shared" si="10"/>
        <v>21</v>
      </c>
      <c r="L40" s="891" t="str">
        <f t="shared" si="11"/>
        <v>March</v>
      </c>
      <c r="M40" s="888">
        <f t="shared" si="27"/>
        <v>2027</v>
      </c>
      <c r="N40" s="883">
        <f t="shared" si="12"/>
        <v>0</v>
      </c>
      <c r="O40" s="883">
        <f t="shared" si="29"/>
        <v>0</v>
      </c>
      <c r="P40" s="1100"/>
      <c r="Q40" s="883">
        <f t="shared" si="3"/>
        <v>0</v>
      </c>
      <c r="R40" s="884">
        <f t="shared" si="20"/>
        <v>0</v>
      </c>
      <c r="S40" s="884">
        <f>IF(AND($AS$39="Early Payoff",J40&gt;=$S$13),0,IF($J40&lt;=$S$6,SUM($Q$20:$Q40),0))</f>
        <v>0</v>
      </c>
      <c r="T40" s="884">
        <f>IF(AND($AS$39="Early Payoff",J40&gt;=$S$13),0,IF($J40&lt;=$S$6,SUM($R$20:$R40),0))</f>
        <v>0</v>
      </c>
      <c r="U40" s="885">
        <f t="shared" si="4"/>
        <v>0</v>
      </c>
      <c r="V40" s="1110">
        <f t="shared" si="21"/>
        <v>0</v>
      </c>
      <c r="X40" s="1102">
        <f t="shared" si="5"/>
        <v>0</v>
      </c>
      <c r="Y40" s="873">
        <f t="shared" si="6"/>
        <v>0</v>
      </c>
      <c r="Z40" s="873">
        <f t="shared" si="7"/>
        <v>0</v>
      </c>
      <c r="AA40" s="885">
        <f t="shared" si="8"/>
        <v>0</v>
      </c>
      <c r="AC40" s="355">
        <f t="shared" si="30"/>
        <v>20</v>
      </c>
      <c r="AD40" s="1103">
        <f t="shared" si="30"/>
        <v>2045</v>
      </c>
      <c r="AE40" s="1104">
        <f t="shared" si="13"/>
        <v>0</v>
      </c>
      <c r="AF40" s="1104">
        <f t="shared" si="14"/>
        <v>0</v>
      </c>
      <c r="AG40" s="1104">
        <f t="shared" si="15"/>
        <v>0</v>
      </c>
      <c r="AH40" s="1104">
        <f t="shared" si="16"/>
        <v>0</v>
      </c>
      <c r="AI40" s="1104">
        <f t="shared" si="17"/>
        <v>0</v>
      </c>
      <c r="AJ40" s="1104">
        <f>IF($AE40=0,0,SUM($AG$20:$AG40))</f>
        <v>0</v>
      </c>
      <c r="AK40" s="1104">
        <f>IF($AE40=0,0,SUM($AH$20:$AH40))</f>
        <v>0</v>
      </c>
      <c r="AL40" s="1104">
        <f>SUM($AI$20:$AI40)</f>
        <v>0</v>
      </c>
      <c r="AM40" s="1104">
        <f t="shared" si="23"/>
        <v>0</v>
      </c>
      <c r="AN40" s="1104"/>
      <c r="AO40" s="347"/>
      <c r="AQ40" s="347" t="s">
        <v>543</v>
      </c>
      <c r="AR40" s="1077" t="str">
        <f>INDEX($AU$22:$AV$34,MATCH(MONTH($T$13),$AU$22:$AU$34,0),MATCH("Month",$AU$22:$AV$22,0))</f>
        <v>July</v>
      </c>
      <c r="AS40" s="345">
        <f>INDEX(AT22:AU34,MATCH(AR40,AT22:AT34,0),MATCH("Number",AT22:AU22,0))</f>
        <v>7</v>
      </c>
      <c r="AT40" s="1111" t="s">
        <v>529</v>
      </c>
      <c r="AU40" s="1149">
        <v>0</v>
      </c>
      <c r="AV40" s="1147"/>
    </row>
    <row r="41" spans="2:50" s="278" customFormat="1" ht="12" customHeight="1" x14ac:dyDescent="0.25">
      <c r="B41" s="1192" t="e">
        <f t="shared" si="18"/>
        <v>#N/A</v>
      </c>
      <c r="C41" s="732">
        <f t="shared" si="0"/>
        <v>30</v>
      </c>
      <c r="D41" s="35">
        <f t="shared" si="1"/>
        <v>4</v>
      </c>
      <c r="E41" s="889">
        <f t="shared" si="24"/>
        <v>46507</v>
      </c>
      <c r="F41" s="822">
        <f t="shared" si="9"/>
        <v>4</v>
      </c>
      <c r="G41" s="500">
        <f t="shared" si="25"/>
        <v>30</v>
      </c>
      <c r="H41" s="126">
        <f t="shared" si="2"/>
        <v>0</v>
      </c>
      <c r="I41" s="1098">
        <f t="shared" si="26"/>
        <v>0</v>
      </c>
      <c r="J41" s="887">
        <f t="shared" si="19"/>
        <v>22</v>
      </c>
      <c r="K41" s="1099">
        <f t="shared" si="10"/>
        <v>22</v>
      </c>
      <c r="L41" s="891" t="str">
        <f t="shared" si="11"/>
        <v>April</v>
      </c>
      <c r="M41" s="888">
        <f t="shared" si="27"/>
        <v>2027</v>
      </c>
      <c r="N41" s="883">
        <f t="shared" si="12"/>
        <v>0</v>
      </c>
      <c r="O41" s="883">
        <f t="shared" si="29"/>
        <v>0</v>
      </c>
      <c r="P41" s="1100"/>
      <c r="Q41" s="883">
        <f t="shared" si="3"/>
        <v>0</v>
      </c>
      <c r="R41" s="884">
        <f t="shared" si="20"/>
        <v>0</v>
      </c>
      <c r="S41" s="884">
        <f>IF(AND($AS$39="Early Payoff",J41&gt;=$S$13),0,IF($J41&lt;=$S$6,SUM($Q$20:$Q41),0))</f>
        <v>0</v>
      </c>
      <c r="T41" s="884">
        <f>IF(AND($AS$39="Early Payoff",J41&gt;=$S$13),0,IF($J41&lt;=$S$6,SUM($R$20:$R41),0))</f>
        <v>0</v>
      </c>
      <c r="U41" s="885">
        <f t="shared" si="4"/>
        <v>0</v>
      </c>
      <c r="V41" s="1110">
        <f t="shared" si="21"/>
        <v>0</v>
      </c>
      <c r="X41" s="1102">
        <f t="shared" si="5"/>
        <v>0</v>
      </c>
      <c r="Y41" s="873">
        <f t="shared" si="6"/>
        <v>0</v>
      </c>
      <c r="Z41" s="873">
        <f t="shared" si="7"/>
        <v>0</v>
      </c>
      <c r="AA41" s="885">
        <f t="shared" si="8"/>
        <v>0</v>
      </c>
      <c r="AC41" s="355">
        <f t="shared" si="30"/>
        <v>21</v>
      </c>
      <c r="AD41" s="1103">
        <f t="shared" si="30"/>
        <v>2046</v>
      </c>
      <c r="AE41" s="1104">
        <f t="shared" si="13"/>
        <v>0</v>
      </c>
      <c r="AF41" s="1104">
        <f t="shared" si="14"/>
        <v>0</v>
      </c>
      <c r="AG41" s="1104">
        <f t="shared" si="15"/>
        <v>0</v>
      </c>
      <c r="AH41" s="1104">
        <f t="shared" si="16"/>
        <v>0</v>
      </c>
      <c r="AI41" s="1104">
        <f t="shared" si="17"/>
        <v>0</v>
      </c>
      <c r="AJ41" s="1104">
        <f>IF($AE41=0,0,SUM($AG$20:$AG41))</f>
        <v>0</v>
      </c>
      <c r="AK41" s="1104">
        <f>IF($AE41=0,0,SUM($AH$20:$AH41))</f>
        <v>0</v>
      </c>
      <c r="AL41" s="1104">
        <f>SUM($AI$20:$AI41)</f>
        <v>0</v>
      </c>
      <c r="AM41" s="1104">
        <f t="shared" si="23"/>
        <v>0</v>
      </c>
      <c r="AN41" s="1104"/>
      <c r="AO41" s="347"/>
      <c r="AQ41" s="347" t="s">
        <v>519</v>
      </c>
      <c r="AR41" s="1118">
        <f>T13</f>
        <v>45869</v>
      </c>
      <c r="AS41" s="345"/>
      <c r="AT41" s="1111" t="s">
        <v>49</v>
      </c>
      <c r="AU41" s="1149">
        <v>0</v>
      </c>
      <c r="AV41" s="1147"/>
      <c r="AW41" s="1092"/>
      <c r="AX41" s="1093"/>
    </row>
    <row r="42" spans="2:50" s="278" customFormat="1" ht="12" customHeight="1" x14ac:dyDescent="0.25">
      <c r="B42" s="1192" t="e">
        <f t="shared" si="18"/>
        <v>#N/A</v>
      </c>
      <c r="C42" s="732">
        <f t="shared" si="0"/>
        <v>31</v>
      </c>
      <c r="D42" s="35">
        <f t="shared" si="1"/>
        <v>5</v>
      </c>
      <c r="E42" s="889">
        <f t="shared" si="24"/>
        <v>46538</v>
      </c>
      <c r="F42" s="822">
        <f t="shared" si="9"/>
        <v>5</v>
      </c>
      <c r="G42" s="500">
        <f t="shared" si="25"/>
        <v>31</v>
      </c>
      <c r="H42" s="126">
        <f t="shared" si="2"/>
        <v>0</v>
      </c>
      <c r="I42" s="1098">
        <f t="shared" si="26"/>
        <v>0</v>
      </c>
      <c r="J42" s="887">
        <f t="shared" si="19"/>
        <v>23</v>
      </c>
      <c r="K42" s="1099">
        <f t="shared" si="10"/>
        <v>23</v>
      </c>
      <c r="L42" s="891" t="str">
        <f t="shared" si="11"/>
        <v>May</v>
      </c>
      <c r="M42" s="888">
        <f t="shared" si="27"/>
        <v>2027</v>
      </c>
      <c r="N42" s="883">
        <f t="shared" si="12"/>
        <v>0</v>
      </c>
      <c r="O42" s="883">
        <f t="shared" si="29"/>
        <v>0</v>
      </c>
      <c r="P42" s="1100"/>
      <c r="Q42" s="883">
        <f t="shared" si="3"/>
        <v>0</v>
      </c>
      <c r="R42" s="884">
        <f t="shared" si="20"/>
        <v>0</v>
      </c>
      <c r="S42" s="884">
        <f>IF(AND($AS$39="Early Payoff",J42&gt;=$S$13),0,IF($J42&lt;=$S$6,SUM($Q$20:$Q42),0))</f>
        <v>0</v>
      </c>
      <c r="T42" s="884">
        <f>IF(AND($AS$39="Early Payoff",J42&gt;=$S$13),0,IF($J42&lt;=$S$6,SUM($R$20:$R42),0))</f>
        <v>0</v>
      </c>
      <c r="U42" s="885">
        <f t="shared" si="4"/>
        <v>0</v>
      </c>
      <c r="V42" s="1110">
        <f t="shared" si="21"/>
        <v>0</v>
      </c>
      <c r="X42" s="1102">
        <f t="shared" si="5"/>
        <v>0</v>
      </c>
      <c r="Y42" s="873">
        <f t="shared" si="6"/>
        <v>0</v>
      </c>
      <c r="Z42" s="873">
        <f t="shared" si="7"/>
        <v>0</v>
      </c>
      <c r="AA42" s="885">
        <f t="shared" si="8"/>
        <v>0</v>
      </c>
      <c r="AC42" s="355">
        <f>AC41+1</f>
        <v>22</v>
      </c>
      <c r="AD42" s="1103">
        <f>AD41+1</f>
        <v>2047</v>
      </c>
      <c r="AE42" s="1104">
        <f t="shared" si="13"/>
        <v>0</v>
      </c>
      <c r="AF42" s="1104">
        <f t="shared" si="14"/>
        <v>0</v>
      </c>
      <c r="AG42" s="1104">
        <f t="shared" si="15"/>
        <v>0</v>
      </c>
      <c r="AH42" s="1104">
        <f t="shared" si="16"/>
        <v>0</v>
      </c>
      <c r="AI42" s="1104">
        <f t="shared" si="17"/>
        <v>0</v>
      </c>
      <c r="AJ42" s="1104">
        <f>IF($AE42=0,0,SUM($AG$20:$AG42))</f>
        <v>0</v>
      </c>
      <c r="AK42" s="1104">
        <f>IF($AE42=0,0,SUM($AH$20:$AH42))</f>
        <v>0</v>
      </c>
      <c r="AL42" s="1104">
        <f>SUM($AI$20:$AI42)</f>
        <v>0</v>
      </c>
      <c r="AM42" s="1104">
        <f t="shared" si="23"/>
        <v>0</v>
      </c>
      <c r="AN42" s="1104"/>
      <c r="AO42" s="347"/>
      <c r="AQ42" s="347"/>
      <c r="AR42" s="345"/>
      <c r="AS42" s="345"/>
      <c r="AT42" s="1111" t="s">
        <v>264</v>
      </c>
      <c r="AU42" s="1149">
        <v>0</v>
      </c>
      <c r="AV42" s="1147"/>
      <c r="AW42" s="1092"/>
      <c r="AX42" s="1093"/>
    </row>
    <row r="43" spans="2:50" s="278" customFormat="1" ht="12" customHeight="1" x14ac:dyDescent="0.25">
      <c r="B43" s="1192" t="e">
        <f t="shared" si="18"/>
        <v>#N/A</v>
      </c>
      <c r="C43" s="732">
        <f t="shared" si="0"/>
        <v>30</v>
      </c>
      <c r="D43" s="35">
        <f t="shared" si="1"/>
        <v>6</v>
      </c>
      <c r="E43" s="889">
        <f t="shared" si="24"/>
        <v>46568</v>
      </c>
      <c r="F43" s="822">
        <f t="shared" si="9"/>
        <v>6</v>
      </c>
      <c r="G43" s="500">
        <f t="shared" si="25"/>
        <v>30</v>
      </c>
      <c r="H43" s="126">
        <f t="shared" si="2"/>
        <v>0</v>
      </c>
      <c r="I43" s="1098">
        <f t="shared" si="26"/>
        <v>0</v>
      </c>
      <c r="J43" s="887">
        <f t="shared" si="19"/>
        <v>24</v>
      </c>
      <c r="K43" s="1099">
        <f t="shared" si="10"/>
        <v>24</v>
      </c>
      <c r="L43" s="891" t="str">
        <f t="shared" si="11"/>
        <v>June</v>
      </c>
      <c r="M43" s="888">
        <f t="shared" si="27"/>
        <v>2027</v>
      </c>
      <c r="N43" s="883">
        <f t="shared" si="12"/>
        <v>0</v>
      </c>
      <c r="O43" s="883">
        <f t="shared" si="29"/>
        <v>0</v>
      </c>
      <c r="P43" s="1100"/>
      <c r="Q43" s="883">
        <f t="shared" si="3"/>
        <v>0</v>
      </c>
      <c r="R43" s="884">
        <f t="shared" si="20"/>
        <v>0</v>
      </c>
      <c r="S43" s="884">
        <f>IF(AND($AS$39="Early Payoff",J43&gt;=$S$13),0,IF($J43&lt;=$S$6,SUM($Q$20:$Q43),0))</f>
        <v>0</v>
      </c>
      <c r="T43" s="884">
        <f>IF(AND($AS$39="Early Payoff",J43&gt;=$S$13),0,IF($J43&lt;=$S$6,SUM($R$20:$R43),0))</f>
        <v>0</v>
      </c>
      <c r="U43" s="885">
        <f t="shared" si="4"/>
        <v>0</v>
      </c>
      <c r="V43" s="1110">
        <f t="shared" si="21"/>
        <v>0</v>
      </c>
      <c r="X43" s="1102">
        <f t="shared" si="5"/>
        <v>0</v>
      </c>
      <c r="Y43" s="873">
        <f t="shared" si="6"/>
        <v>0</v>
      </c>
      <c r="Z43" s="873">
        <f t="shared" si="7"/>
        <v>0</v>
      </c>
      <c r="AA43" s="885">
        <f t="shared" si="8"/>
        <v>0</v>
      </c>
      <c r="AC43" s="355">
        <f t="shared" ref="AC43:AD45" si="31">AC42+1</f>
        <v>23</v>
      </c>
      <c r="AD43" s="1103">
        <f t="shared" si="31"/>
        <v>2048</v>
      </c>
      <c r="AE43" s="1104">
        <f t="shared" si="13"/>
        <v>0</v>
      </c>
      <c r="AF43" s="1104">
        <f t="shared" si="14"/>
        <v>0</v>
      </c>
      <c r="AG43" s="1104">
        <f t="shared" si="15"/>
        <v>0</v>
      </c>
      <c r="AH43" s="1104">
        <f t="shared" si="16"/>
        <v>0</v>
      </c>
      <c r="AI43" s="1104">
        <f t="shared" si="17"/>
        <v>0</v>
      </c>
      <c r="AJ43" s="1104">
        <f>IF($AE43=0,0,SUM($AG$20:$AG43))</f>
        <v>0</v>
      </c>
      <c r="AK43" s="1104">
        <f>IF($AE43=0,0,SUM($AH$20:$AH43))</f>
        <v>0</v>
      </c>
      <c r="AL43" s="1104">
        <f>SUM($AI$20:$AI43)</f>
        <v>0</v>
      </c>
      <c r="AM43" s="1104">
        <f t="shared" si="23"/>
        <v>0</v>
      </c>
      <c r="AN43" s="1104"/>
      <c r="AO43" s="347"/>
      <c r="AQ43" s="347" t="s">
        <v>544</v>
      </c>
      <c r="AR43" s="1077" t="str">
        <f>'Sale - Refinance'!$E$10</f>
        <v>Yes</v>
      </c>
      <c r="AS43" s="345"/>
      <c r="AT43" s="1111" t="s">
        <v>530</v>
      </c>
      <c r="AU43" s="1149">
        <v>0</v>
      </c>
      <c r="AV43" s="1147"/>
      <c r="AW43" s="1092"/>
      <c r="AX43" s="1093"/>
    </row>
    <row r="44" spans="2:50" s="278" customFormat="1" ht="12" customHeight="1" x14ac:dyDescent="0.25">
      <c r="B44" s="1192" t="e">
        <f t="shared" si="18"/>
        <v>#N/A</v>
      </c>
      <c r="C44" s="732">
        <f t="shared" si="0"/>
        <v>31</v>
      </c>
      <c r="D44" s="35">
        <f t="shared" si="1"/>
        <v>7</v>
      </c>
      <c r="E44" s="889">
        <f t="shared" si="24"/>
        <v>46599</v>
      </c>
      <c r="F44" s="822">
        <f t="shared" si="9"/>
        <v>7</v>
      </c>
      <c r="G44" s="500">
        <f t="shared" si="25"/>
        <v>31</v>
      </c>
      <c r="H44" s="126">
        <f t="shared" si="2"/>
        <v>0</v>
      </c>
      <c r="I44" s="1098">
        <f t="shared" si="26"/>
        <v>0</v>
      </c>
      <c r="J44" s="887">
        <f t="shared" si="19"/>
        <v>25</v>
      </c>
      <c r="K44" s="1099">
        <f t="shared" si="10"/>
        <v>25</v>
      </c>
      <c r="L44" s="891" t="str">
        <f t="shared" si="11"/>
        <v>July</v>
      </c>
      <c r="M44" s="888">
        <f t="shared" si="27"/>
        <v>2027</v>
      </c>
      <c r="N44" s="883">
        <f t="shared" si="12"/>
        <v>0</v>
      </c>
      <c r="O44" s="883">
        <f t="shared" si="29"/>
        <v>0</v>
      </c>
      <c r="P44" s="1100"/>
      <c r="Q44" s="883">
        <f t="shared" si="3"/>
        <v>0</v>
      </c>
      <c r="R44" s="884">
        <f t="shared" si="20"/>
        <v>0</v>
      </c>
      <c r="S44" s="884">
        <f>IF(AND($AS$39="Early Payoff",J44&gt;=$S$13),0,IF($J44&lt;=$S$6,SUM($Q$20:$Q44),0))</f>
        <v>0</v>
      </c>
      <c r="T44" s="884">
        <f>IF(AND($AS$39="Early Payoff",J44&gt;=$S$13),0,IF($J44&lt;=$S$6,SUM($R$20:$R44),0))</f>
        <v>0</v>
      </c>
      <c r="U44" s="885">
        <f t="shared" si="4"/>
        <v>0</v>
      </c>
      <c r="V44" s="1110">
        <f t="shared" si="21"/>
        <v>0</v>
      </c>
      <c r="X44" s="1102">
        <f t="shared" si="5"/>
        <v>0</v>
      </c>
      <c r="Y44" s="873">
        <f t="shared" si="6"/>
        <v>0</v>
      </c>
      <c r="Z44" s="873">
        <f t="shared" si="7"/>
        <v>0</v>
      </c>
      <c r="AA44" s="885">
        <f t="shared" si="8"/>
        <v>0</v>
      </c>
      <c r="AC44" s="355">
        <f t="shared" si="31"/>
        <v>24</v>
      </c>
      <c r="AD44" s="1103">
        <f t="shared" si="31"/>
        <v>2049</v>
      </c>
      <c r="AE44" s="1104">
        <f t="shared" si="13"/>
        <v>0</v>
      </c>
      <c r="AF44" s="1104">
        <f t="shared" si="14"/>
        <v>0</v>
      </c>
      <c r="AG44" s="1104">
        <f t="shared" si="15"/>
        <v>0</v>
      </c>
      <c r="AH44" s="1104">
        <f t="shared" si="16"/>
        <v>0</v>
      </c>
      <c r="AI44" s="1104">
        <f t="shared" si="17"/>
        <v>0</v>
      </c>
      <c r="AJ44" s="1104">
        <f>IF($AE44=0,0,SUM($AG$20:$AG44))</f>
        <v>0</v>
      </c>
      <c r="AK44" s="1104">
        <f>IF($AE44=0,0,SUM($AH$20:$AH44))</f>
        <v>0</v>
      </c>
      <c r="AL44" s="1104">
        <f>SUM($AI$20:$AI44)</f>
        <v>0</v>
      </c>
      <c r="AM44" s="1104">
        <f t="shared" si="23"/>
        <v>0</v>
      </c>
      <c r="AN44" s="1104"/>
      <c r="AO44" s="347"/>
      <c r="AQ44" s="347" t="s">
        <v>545</v>
      </c>
      <c r="AR44" s="1103">
        <f>'Sale - Refinance'!E11</f>
        <v>2032</v>
      </c>
      <c r="AS44" s="345"/>
      <c r="AT44" s="1111" t="s">
        <v>509</v>
      </c>
      <c r="AU44" s="1149">
        <v>0</v>
      </c>
      <c r="AV44" s="1147"/>
      <c r="AW44" s="1092"/>
      <c r="AX44" s="1093"/>
    </row>
    <row r="45" spans="2:50" s="278" customFormat="1" ht="12" customHeight="1" x14ac:dyDescent="0.25">
      <c r="B45" s="1192" t="e">
        <f t="shared" si="18"/>
        <v>#N/A</v>
      </c>
      <c r="C45" s="732">
        <f t="shared" si="0"/>
        <v>31</v>
      </c>
      <c r="D45" s="35">
        <f t="shared" si="1"/>
        <v>8</v>
      </c>
      <c r="E45" s="889">
        <f t="shared" si="24"/>
        <v>46630</v>
      </c>
      <c r="F45" s="822">
        <f t="shared" si="9"/>
        <v>8</v>
      </c>
      <c r="G45" s="500">
        <f t="shared" si="25"/>
        <v>31</v>
      </c>
      <c r="H45" s="126">
        <f t="shared" si="2"/>
        <v>0</v>
      </c>
      <c r="I45" s="1098">
        <f t="shared" si="26"/>
        <v>0</v>
      </c>
      <c r="J45" s="887">
        <f t="shared" si="19"/>
        <v>26</v>
      </c>
      <c r="K45" s="1099">
        <f t="shared" si="10"/>
        <v>26</v>
      </c>
      <c r="L45" s="891" t="str">
        <f t="shared" si="11"/>
        <v>August</v>
      </c>
      <c r="M45" s="888">
        <f t="shared" si="27"/>
        <v>2027</v>
      </c>
      <c r="N45" s="883">
        <f t="shared" si="12"/>
        <v>0</v>
      </c>
      <c r="O45" s="883">
        <f t="shared" si="29"/>
        <v>0</v>
      </c>
      <c r="P45" s="1100"/>
      <c r="Q45" s="883">
        <f t="shared" si="3"/>
        <v>0</v>
      </c>
      <c r="R45" s="884">
        <f t="shared" si="20"/>
        <v>0</v>
      </c>
      <c r="S45" s="884">
        <f>IF(AND($AS$39="Early Payoff",J45&gt;=$S$13),0,IF($J45&lt;=$S$6,SUM($Q$20:$Q45),0))</f>
        <v>0</v>
      </c>
      <c r="T45" s="884">
        <f>IF(AND($AS$39="Early Payoff",J45&gt;=$S$13),0,IF($J45&lt;=$S$6,SUM($R$20:$R45),0))</f>
        <v>0</v>
      </c>
      <c r="U45" s="885">
        <f t="shared" si="4"/>
        <v>0</v>
      </c>
      <c r="V45" s="1110">
        <f t="shared" si="21"/>
        <v>0</v>
      </c>
      <c r="X45" s="1102">
        <f t="shared" si="5"/>
        <v>0</v>
      </c>
      <c r="Y45" s="873">
        <f t="shared" si="6"/>
        <v>0</v>
      </c>
      <c r="Z45" s="873">
        <f t="shared" si="7"/>
        <v>0</v>
      </c>
      <c r="AA45" s="885">
        <f t="shared" si="8"/>
        <v>0</v>
      </c>
      <c r="AC45" s="355">
        <f t="shared" si="31"/>
        <v>25</v>
      </c>
      <c r="AD45" s="1103">
        <f t="shared" si="31"/>
        <v>2050</v>
      </c>
      <c r="AE45" s="1104">
        <f t="shared" si="13"/>
        <v>0</v>
      </c>
      <c r="AF45" s="1104">
        <f t="shared" si="14"/>
        <v>0</v>
      </c>
      <c r="AG45" s="1104">
        <f t="shared" si="15"/>
        <v>0</v>
      </c>
      <c r="AH45" s="1104">
        <f t="shared" si="16"/>
        <v>0</v>
      </c>
      <c r="AI45" s="1104">
        <f t="shared" si="17"/>
        <v>0</v>
      </c>
      <c r="AJ45" s="1104">
        <f>IF($AE45=0,0,SUM($AG$20:$AG45))</f>
        <v>0</v>
      </c>
      <c r="AK45" s="1104">
        <f>IF($AE45=0,0,SUM($AH$20:$AH45))</f>
        <v>0</v>
      </c>
      <c r="AL45" s="1104">
        <f>SUM($AI$20:$AI45)</f>
        <v>0</v>
      </c>
      <c r="AM45" s="1104">
        <f t="shared" si="23"/>
        <v>0</v>
      </c>
      <c r="AN45" s="1104"/>
      <c r="AO45" s="347"/>
      <c r="AQ45" s="347" t="s">
        <v>267</v>
      </c>
      <c r="AR45" s="1077" t="str">
        <f>'Sale - Refinance'!E12</f>
        <v>December</v>
      </c>
      <c r="AS45" s="345">
        <f>INDEX(AT22:AU34,MATCH(AR45,AT22:AT34,0),MATCH("Number",AT22:AU22,0))</f>
        <v>12</v>
      </c>
      <c r="AT45" s="1111" t="s">
        <v>461</v>
      </c>
      <c r="AU45" s="1149">
        <v>0</v>
      </c>
      <c r="AV45" s="1147"/>
      <c r="AW45" s="1092"/>
      <c r="AX45" s="1093"/>
    </row>
    <row r="46" spans="2:50" s="278" customFormat="1" ht="12" customHeight="1" x14ac:dyDescent="0.25">
      <c r="B46" s="1192" t="e">
        <f t="shared" si="18"/>
        <v>#N/A</v>
      </c>
      <c r="C46" s="732">
        <f t="shared" si="0"/>
        <v>30</v>
      </c>
      <c r="D46" s="35">
        <f t="shared" si="1"/>
        <v>9</v>
      </c>
      <c r="E46" s="889">
        <f t="shared" si="24"/>
        <v>46660</v>
      </c>
      <c r="F46" s="822">
        <f t="shared" si="9"/>
        <v>9</v>
      </c>
      <c r="G46" s="500">
        <f t="shared" si="25"/>
        <v>30</v>
      </c>
      <c r="H46" s="126">
        <f t="shared" si="2"/>
        <v>0</v>
      </c>
      <c r="I46" s="1098">
        <f t="shared" si="26"/>
        <v>0</v>
      </c>
      <c r="J46" s="887">
        <f t="shared" si="19"/>
        <v>27</v>
      </c>
      <c r="K46" s="1099">
        <f t="shared" si="10"/>
        <v>27</v>
      </c>
      <c r="L46" s="891" t="str">
        <f t="shared" si="11"/>
        <v>September</v>
      </c>
      <c r="M46" s="888">
        <f t="shared" si="27"/>
        <v>2027</v>
      </c>
      <c r="N46" s="883">
        <f t="shared" si="12"/>
        <v>0</v>
      </c>
      <c r="O46" s="883">
        <f t="shared" si="29"/>
        <v>0</v>
      </c>
      <c r="P46" s="1100"/>
      <c r="Q46" s="883">
        <f t="shared" si="3"/>
        <v>0</v>
      </c>
      <c r="R46" s="884">
        <f t="shared" si="20"/>
        <v>0</v>
      </c>
      <c r="S46" s="884">
        <f>IF(AND($AS$39="Early Payoff",J46&gt;=$S$13),0,IF($J46&lt;=$S$6,SUM($Q$20:$Q46),0))</f>
        <v>0</v>
      </c>
      <c r="T46" s="884">
        <f>IF(AND($AS$39="Early Payoff",J46&gt;=$S$13),0,IF($J46&lt;=$S$6,SUM($R$20:$R46),0))</f>
        <v>0</v>
      </c>
      <c r="U46" s="885">
        <f t="shared" si="4"/>
        <v>0</v>
      </c>
      <c r="V46" s="1110">
        <f t="shared" si="21"/>
        <v>0</v>
      </c>
      <c r="X46" s="1102">
        <f t="shared" si="5"/>
        <v>0</v>
      </c>
      <c r="Y46" s="873">
        <f t="shared" si="6"/>
        <v>0</v>
      </c>
      <c r="Z46" s="873">
        <f t="shared" si="7"/>
        <v>0</v>
      </c>
      <c r="AA46" s="885">
        <f t="shared" si="8"/>
        <v>0</v>
      </c>
      <c r="AC46" s="355">
        <f>AC45+1</f>
        <v>26</v>
      </c>
      <c r="AD46" s="1103">
        <f>AD45+1</f>
        <v>2051</v>
      </c>
      <c r="AE46" s="1104">
        <f t="shared" si="13"/>
        <v>0</v>
      </c>
      <c r="AF46" s="1104">
        <f t="shared" si="14"/>
        <v>0</v>
      </c>
      <c r="AG46" s="1104">
        <f t="shared" si="15"/>
        <v>0</v>
      </c>
      <c r="AH46" s="1104">
        <f t="shared" si="16"/>
        <v>0</v>
      </c>
      <c r="AI46" s="1104">
        <f t="shared" si="17"/>
        <v>0</v>
      </c>
      <c r="AJ46" s="1104">
        <f>IF($AE46=0,0,SUM($AG$20:$AG46))</f>
        <v>0</v>
      </c>
      <c r="AK46" s="1104">
        <f>IF($AE46=0,0,SUM($AH$20:$AH46))</f>
        <v>0</v>
      </c>
      <c r="AL46" s="1104">
        <f>SUM($AI$20:$AI46)</f>
        <v>0</v>
      </c>
      <c r="AM46" s="1104">
        <f t="shared" si="23"/>
        <v>0</v>
      </c>
      <c r="AN46" s="1104"/>
      <c r="AO46" s="347"/>
      <c r="AQ46" s="347" t="s">
        <v>268</v>
      </c>
      <c r="AR46" s="1118">
        <f>EOMONTH(DATE(AR44,INDEX($AT$22:$AU$34,MATCH($AR$45,$AT$22:$AT$34,0),MATCH("Number",$AT$22:$AU$22,0)),1),0)</f>
        <v>48579</v>
      </c>
      <c r="AT46" s="1111" t="s">
        <v>533</v>
      </c>
      <c r="AU46" s="1149">
        <v>0</v>
      </c>
      <c r="AV46" s="1147"/>
      <c r="AW46" s="1092"/>
      <c r="AX46" s="1093"/>
    </row>
    <row r="47" spans="2:50" s="278" customFormat="1" ht="12" customHeight="1" x14ac:dyDescent="0.25">
      <c r="B47" s="1192" t="e">
        <f t="shared" si="18"/>
        <v>#N/A</v>
      </c>
      <c r="C47" s="732">
        <f t="shared" si="0"/>
        <v>31</v>
      </c>
      <c r="D47" s="35">
        <f t="shared" si="1"/>
        <v>10</v>
      </c>
      <c r="E47" s="889">
        <f t="shared" si="24"/>
        <v>46691</v>
      </c>
      <c r="F47" s="822">
        <f t="shared" si="9"/>
        <v>10</v>
      </c>
      <c r="G47" s="500">
        <f t="shared" si="25"/>
        <v>31</v>
      </c>
      <c r="H47" s="126">
        <f t="shared" si="2"/>
        <v>0</v>
      </c>
      <c r="I47" s="1098">
        <f t="shared" si="26"/>
        <v>0</v>
      </c>
      <c r="J47" s="887">
        <f t="shared" si="19"/>
        <v>28</v>
      </c>
      <c r="K47" s="1099">
        <f t="shared" si="10"/>
        <v>28</v>
      </c>
      <c r="L47" s="891" t="str">
        <f t="shared" si="11"/>
        <v>October</v>
      </c>
      <c r="M47" s="888">
        <f t="shared" si="27"/>
        <v>2027</v>
      </c>
      <c r="N47" s="883">
        <f t="shared" si="12"/>
        <v>0</v>
      </c>
      <c r="O47" s="883">
        <f t="shared" si="29"/>
        <v>0</v>
      </c>
      <c r="P47" s="1100"/>
      <c r="Q47" s="883">
        <f t="shared" si="3"/>
        <v>0</v>
      </c>
      <c r="R47" s="884">
        <f t="shared" si="20"/>
        <v>0</v>
      </c>
      <c r="S47" s="884">
        <f>IF(AND($AS$39="Early Payoff",J47&gt;=$S$13),0,IF($J47&lt;=$S$6,SUM($Q$20:$Q47),0))</f>
        <v>0</v>
      </c>
      <c r="T47" s="884">
        <f>IF(AND($AS$39="Early Payoff",J47&gt;=$S$13),0,IF($J47&lt;=$S$6,SUM($R$20:$R47),0))</f>
        <v>0</v>
      </c>
      <c r="U47" s="885">
        <f t="shared" si="4"/>
        <v>0</v>
      </c>
      <c r="V47" s="1110">
        <f t="shared" si="21"/>
        <v>0</v>
      </c>
      <c r="X47" s="1102">
        <f t="shared" si="5"/>
        <v>0</v>
      </c>
      <c r="Y47" s="873">
        <f t="shared" si="6"/>
        <v>0</v>
      </c>
      <c r="Z47" s="873">
        <f t="shared" si="7"/>
        <v>0</v>
      </c>
      <c r="AA47" s="885">
        <f t="shared" si="8"/>
        <v>0</v>
      </c>
      <c r="AC47" s="355">
        <f t="shared" ref="AC47:AD49" si="32">AC46+1</f>
        <v>27</v>
      </c>
      <c r="AD47" s="1103">
        <f t="shared" si="32"/>
        <v>2052</v>
      </c>
      <c r="AE47" s="1104">
        <f t="shared" si="13"/>
        <v>0</v>
      </c>
      <c r="AF47" s="1104">
        <f t="shared" si="14"/>
        <v>0</v>
      </c>
      <c r="AG47" s="1104">
        <f t="shared" si="15"/>
        <v>0</v>
      </c>
      <c r="AH47" s="1104">
        <f t="shared" si="16"/>
        <v>0</v>
      </c>
      <c r="AI47" s="1104">
        <f t="shared" si="17"/>
        <v>0</v>
      </c>
      <c r="AJ47" s="1104">
        <f>IF($AE47=0,0,SUM($AG$20:$AG47))</f>
        <v>0</v>
      </c>
      <c r="AK47" s="1104">
        <f>IF($AE47=0,0,SUM($AH$20:$AH47))</f>
        <v>0</v>
      </c>
      <c r="AL47" s="1104">
        <f>SUM($AI$20:$AI47)</f>
        <v>0</v>
      </c>
      <c r="AM47" s="1104">
        <f t="shared" si="23"/>
        <v>0</v>
      </c>
      <c r="AN47" s="1104"/>
      <c r="AO47" s="347"/>
      <c r="AQ47" s="347"/>
      <c r="AS47" s="345"/>
      <c r="AT47" s="1111" t="s">
        <v>535</v>
      </c>
      <c r="AU47" s="1149">
        <v>0</v>
      </c>
      <c r="AV47" s="1147"/>
      <c r="AW47" s="1092"/>
      <c r="AX47" s="1093"/>
    </row>
    <row r="48" spans="2:50" s="278" customFormat="1" ht="12" customHeight="1" x14ac:dyDescent="0.25">
      <c r="B48" s="1192" t="e">
        <f t="shared" si="18"/>
        <v>#N/A</v>
      </c>
      <c r="C48" s="732">
        <f t="shared" si="0"/>
        <v>30</v>
      </c>
      <c r="D48" s="35">
        <f t="shared" si="1"/>
        <v>11</v>
      </c>
      <c r="E48" s="889">
        <f t="shared" si="24"/>
        <v>46721</v>
      </c>
      <c r="F48" s="822">
        <f t="shared" si="9"/>
        <v>11</v>
      </c>
      <c r="G48" s="500">
        <f t="shared" si="25"/>
        <v>30</v>
      </c>
      <c r="H48" s="126">
        <f t="shared" si="2"/>
        <v>0</v>
      </c>
      <c r="I48" s="1098">
        <f t="shared" si="26"/>
        <v>0</v>
      </c>
      <c r="J48" s="887">
        <f t="shared" si="19"/>
        <v>29</v>
      </c>
      <c r="K48" s="1099">
        <f t="shared" si="10"/>
        <v>29</v>
      </c>
      <c r="L48" s="891" t="str">
        <f t="shared" si="11"/>
        <v>November</v>
      </c>
      <c r="M48" s="888">
        <f t="shared" si="27"/>
        <v>2027</v>
      </c>
      <c r="N48" s="883">
        <f t="shared" si="12"/>
        <v>0</v>
      </c>
      <c r="O48" s="883">
        <f t="shared" si="29"/>
        <v>0</v>
      </c>
      <c r="P48" s="1100"/>
      <c r="Q48" s="883">
        <f t="shared" si="3"/>
        <v>0</v>
      </c>
      <c r="R48" s="884">
        <f t="shared" si="20"/>
        <v>0</v>
      </c>
      <c r="S48" s="884">
        <f>IF(AND($AS$39="Early Payoff",J48&gt;=$S$13),0,IF($J48&lt;=$S$6,SUM($Q$20:$Q48),0))</f>
        <v>0</v>
      </c>
      <c r="T48" s="884">
        <f>IF(AND($AS$39="Early Payoff",J48&gt;=$S$13),0,IF($J48&lt;=$S$6,SUM($R$20:$R48),0))</f>
        <v>0</v>
      </c>
      <c r="U48" s="885">
        <f t="shared" si="4"/>
        <v>0</v>
      </c>
      <c r="V48" s="1110">
        <f t="shared" si="21"/>
        <v>0</v>
      </c>
      <c r="X48" s="1102">
        <f t="shared" si="5"/>
        <v>0</v>
      </c>
      <c r="Y48" s="873">
        <f t="shared" si="6"/>
        <v>0</v>
      </c>
      <c r="Z48" s="873">
        <f t="shared" si="7"/>
        <v>0</v>
      </c>
      <c r="AA48" s="885">
        <f t="shared" si="8"/>
        <v>0</v>
      </c>
      <c r="AC48" s="355">
        <f t="shared" si="32"/>
        <v>28</v>
      </c>
      <c r="AD48" s="1103">
        <f t="shared" si="32"/>
        <v>2053</v>
      </c>
      <c r="AE48" s="1104">
        <f t="shared" si="13"/>
        <v>0</v>
      </c>
      <c r="AF48" s="1104">
        <f t="shared" si="14"/>
        <v>0</v>
      </c>
      <c r="AG48" s="1104">
        <f t="shared" si="15"/>
        <v>0</v>
      </c>
      <c r="AH48" s="1104">
        <f t="shared" si="16"/>
        <v>0</v>
      </c>
      <c r="AI48" s="1104">
        <f t="shared" si="17"/>
        <v>0</v>
      </c>
      <c r="AJ48" s="1104">
        <f>IF($AE48=0,0,SUM($AG$20:$AG48))</f>
        <v>0</v>
      </c>
      <c r="AK48" s="1104">
        <f>IF($AE48=0,0,SUM($AH$20:$AH48))</f>
        <v>0</v>
      </c>
      <c r="AL48" s="1104">
        <f>SUM($AI$20:$AI48)</f>
        <v>0</v>
      </c>
      <c r="AM48" s="1104">
        <f t="shared" si="23"/>
        <v>0</v>
      </c>
      <c r="AN48" s="1104"/>
      <c r="AO48" s="347"/>
      <c r="AQ48" s="347" t="s">
        <v>546</v>
      </c>
      <c r="AR48" s="1077">
        <f>IF($T$13&lt;$AR$46,$S$13,IF($T$4="Monthly",INDEX($B$19:$J$379,MATCH($AR$46,$E$19:$E$379,0),MATCH("Period",$B$19:$J$19,0)),IF(AND($T$4="Annual",$AS$45&gt;$R$4),INDEX($B$19:$J$379,MATCH(EOMONTH(DATE(YEAR($AR$46)+1,$R$4,1),0),$E$19:$E$379,0),MATCH("Period",$B$19:$J$19,0)),IF(AND($T$4="Annual",$AS$45&lt;=$R$4),INDEX($B$19:$J$379,MATCH(EOMONTH(DATE(YEAR($AR$46),$R$4,1),0),$E$19:$E$379,0),MATCH("Period",$B$19:$J$19,0)),IF(AND($T$4="Bi-Annual",$AS$45&gt;MAX($R$4,$S$4)),INDEX($B$19:$J$379,MATCH(EOMONTH(DATE(YEAR($AR$46)+1,MIN($R$4,$S$4),1),0),$E$19:$E$379,0),MATCH("Period",$B$19:$J$19,0)),IF(AND($T$4="Bi-Annual",$AS$45&lt;MIN($R$4,$S$4)),INDEX($B$19:$J$379,MATCH(EOMONTH(DATE(YEAR($AR$46)-1,MAX($R$4,$S$4),1),0),$E$19:$E$379,0),MATCH("Period",$B$19:$J$19,0)),IF(AND($T$4="Bi-Annual",$AS$45&gt;MIN($R$4,$S$4),$AS$45&lt;MAX($R$4,$S$4)),INDEX($B$19:$J$379,MATCH(EOMONTH(DATE(YEAR($AR$46),MAX($R$4,$S$4),1),0),$E$19:$E$379,0),MATCH("Period",$B$19:$J$19,0)),IF(AND($T$4="Bi-Annual",$AS$45=MIN($R$4,$S$4)),INDEX($B$19:$J$379,MATCH(EOMONTH(DATE(YEAR($AR$46),MAX($R$4,$S$4),1),0),$E$19:$E$379,0),MATCH("Period",$B$19:$J$19,0)),IF(AND($T$4="Bi-Annual",$AS$45=MAX($R$4,$S$4)),INDEX($B$19:$J$379,MATCH(EOMONTH(DATE(YEAR($AR$46)+1,MIN($R$4,$S$4),1),0),$E$19:$E$379,0),MATCH("Period",$B$19:$J$19,0)))))))))))</f>
        <v>1</v>
      </c>
      <c r="AS48" s="345"/>
      <c r="AT48" s="1145" t="s">
        <v>423</v>
      </c>
      <c r="AU48" s="1150">
        <v>1</v>
      </c>
      <c r="AV48" s="1147"/>
      <c r="AW48" s="1092"/>
      <c r="AX48" s="1093"/>
    </row>
    <row r="49" spans="1:50" s="278" customFormat="1" ht="12" customHeight="1" x14ac:dyDescent="0.25">
      <c r="B49" s="1192" t="e">
        <f t="shared" si="18"/>
        <v>#N/A</v>
      </c>
      <c r="C49" s="732">
        <f t="shared" si="0"/>
        <v>31</v>
      </c>
      <c r="D49" s="35">
        <f t="shared" si="1"/>
        <v>12</v>
      </c>
      <c r="E49" s="889">
        <f t="shared" si="24"/>
        <v>46752</v>
      </c>
      <c r="F49" s="822">
        <f t="shared" si="9"/>
        <v>12</v>
      </c>
      <c r="G49" s="500">
        <f t="shared" si="25"/>
        <v>31</v>
      </c>
      <c r="H49" s="126">
        <f t="shared" si="2"/>
        <v>1</v>
      </c>
      <c r="I49" s="1098">
        <f t="shared" si="26"/>
        <v>0</v>
      </c>
      <c r="J49" s="887">
        <f t="shared" si="19"/>
        <v>30</v>
      </c>
      <c r="K49" s="1099">
        <f t="shared" si="10"/>
        <v>30</v>
      </c>
      <c r="L49" s="891" t="str">
        <f t="shared" si="11"/>
        <v>December</v>
      </c>
      <c r="M49" s="888">
        <f t="shared" si="27"/>
        <v>2027</v>
      </c>
      <c r="N49" s="883">
        <f t="shared" si="12"/>
        <v>0</v>
      </c>
      <c r="O49" s="883">
        <f t="shared" si="29"/>
        <v>0</v>
      </c>
      <c r="P49" s="1100"/>
      <c r="Q49" s="883">
        <f t="shared" si="3"/>
        <v>0</v>
      </c>
      <c r="R49" s="884">
        <f t="shared" si="20"/>
        <v>0</v>
      </c>
      <c r="S49" s="884">
        <f>IF(AND($AS$39="Early Payoff",J49&gt;=$S$13),0,IF($J49&lt;=$S$6,SUM($Q$20:$Q49),0))</f>
        <v>0</v>
      </c>
      <c r="T49" s="884">
        <f>IF(AND($AS$39="Early Payoff",J49&gt;=$S$13),0,IF($J49&lt;=$S$6,SUM($R$20:$R49),0))</f>
        <v>0</v>
      </c>
      <c r="U49" s="885">
        <f t="shared" si="4"/>
        <v>0</v>
      </c>
      <c r="V49" s="1110">
        <f t="shared" si="21"/>
        <v>0</v>
      </c>
      <c r="X49" s="1102">
        <f t="shared" si="5"/>
        <v>0</v>
      </c>
      <c r="Y49" s="873">
        <f t="shared" si="6"/>
        <v>0</v>
      </c>
      <c r="Z49" s="873">
        <f t="shared" si="7"/>
        <v>0</v>
      </c>
      <c r="AA49" s="885">
        <f t="shared" si="8"/>
        <v>0</v>
      </c>
      <c r="AC49" s="355">
        <f t="shared" si="32"/>
        <v>29</v>
      </c>
      <c r="AD49" s="1103">
        <f t="shared" si="32"/>
        <v>2054</v>
      </c>
      <c r="AE49" s="1104">
        <f t="shared" si="13"/>
        <v>0</v>
      </c>
      <c r="AF49" s="1104">
        <f t="shared" si="14"/>
        <v>0</v>
      </c>
      <c r="AG49" s="1104">
        <f t="shared" si="15"/>
        <v>0</v>
      </c>
      <c r="AH49" s="1104">
        <f t="shared" si="16"/>
        <v>0</v>
      </c>
      <c r="AI49" s="1104">
        <f t="shared" si="17"/>
        <v>0</v>
      </c>
      <c r="AJ49" s="1104">
        <f>IF($AE49=0,0,SUM($AG$20:$AG49))</f>
        <v>0</v>
      </c>
      <c r="AK49" s="1104">
        <f>IF($AE49=0,0,SUM($AH$20:$AH49))</f>
        <v>0</v>
      </c>
      <c r="AL49" s="1104">
        <f>SUM($AI$20:$AI49)</f>
        <v>0</v>
      </c>
      <c r="AM49" s="1104">
        <f t="shared" si="23"/>
        <v>0</v>
      </c>
      <c r="AN49" s="1104"/>
      <c r="AO49" s="347"/>
      <c r="AQ49" s="379" t="s">
        <v>547</v>
      </c>
      <c r="AR49" s="882">
        <f>AR48-1</f>
        <v>0</v>
      </c>
      <c r="AS49" s="342"/>
      <c r="AT49" s="1166"/>
      <c r="AU49" s="1167"/>
      <c r="AV49" s="1168"/>
      <c r="AW49" s="1092"/>
      <c r="AX49" s="1093"/>
    </row>
    <row r="50" spans="1:50" s="278" customFormat="1" ht="12" customHeight="1" x14ac:dyDescent="0.25">
      <c r="B50" s="1192" t="e">
        <f t="shared" si="18"/>
        <v>#N/A</v>
      </c>
      <c r="C50" s="732">
        <f t="shared" si="0"/>
        <v>31</v>
      </c>
      <c r="D50" s="35">
        <f t="shared" si="1"/>
        <v>1</v>
      </c>
      <c r="E50" s="889">
        <f t="shared" si="24"/>
        <v>46783</v>
      </c>
      <c r="F50" s="822">
        <f t="shared" si="9"/>
        <v>1</v>
      </c>
      <c r="G50" s="500">
        <f t="shared" si="25"/>
        <v>31</v>
      </c>
      <c r="H50" s="126">
        <f t="shared" si="2"/>
        <v>0</v>
      </c>
      <c r="I50" s="1098">
        <f t="shared" si="26"/>
        <v>0</v>
      </c>
      <c r="J50" s="887">
        <f t="shared" si="19"/>
        <v>31</v>
      </c>
      <c r="K50" s="1099">
        <f t="shared" si="10"/>
        <v>31</v>
      </c>
      <c r="L50" s="891" t="str">
        <f t="shared" si="11"/>
        <v>January</v>
      </c>
      <c r="M50" s="888">
        <f t="shared" si="27"/>
        <v>2028</v>
      </c>
      <c r="N50" s="883">
        <f t="shared" si="12"/>
        <v>0</v>
      </c>
      <c r="O50" s="883">
        <f t="shared" si="29"/>
        <v>0</v>
      </c>
      <c r="P50" s="1100"/>
      <c r="Q50" s="883">
        <f t="shared" si="3"/>
        <v>0</v>
      </c>
      <c r="R50" s="884">
        <f t="shared" si="20"/>
        <v>0</v>
      </c>
      <c r="S50" s="884">
        <f>IF(AND($AS$39="Early Payoff",J50&gt;=$S$13),0,IF($J50&lt;=$S$6,SUM($Q$20:$Q50),0))</f>
        <v>0</v>
      </c>
      <c r="T50" s="884">
        <f>IF(AND($AS$39="Early Payoff",J50&gt;=$S$13),0,IF($J50&lt;=$S$6,SUM($R$20:$R50),0))</f>
        <v>0</v>
      </c>
      <c r="U50" s="885">
        <f t="shared" si="4"/>
        <v>0</v>
      </c>
      <c r="V50" s="1110">
        <f t="shared" si="21"/>
        <v>0</v>
      </c>
      <c r="X50" s="1102">
        <f t="shared" si="5"/>
        <v>0</v>
      </c>
      <c r="Y50" s="873">
        <f t="shared" si="6"/>
        <v>0</v>
      </c>
      <c r="Z50" s="873">
        <f t="shared" si="7"/>
        <v>0</v>
      </c>
      <c r="AA50" s="885">
        <f t="shared" si="8"/>
        <v>0</v>
      </c>
      <c r="AC50" s="360"/>
      <c r="AD50" s="360"/>
      <c r="AE50" s="360"/>
      <c r="AF50" s="360"/>
      <c r="AG50" s="360"/>
      <c r="AH50" s="360"/>
      <c r="AI50" s="360"/>
      <c r="AJ50" s="360"/>
      <c r="AK50" s="360"/>
      <c r="AL50" s="360"/>
      <c r="AM50" s="360"/>
      <c r="AN50" s="360"/>
      <c r="AQ50" s="345"/>
      <c r="AR50" s="345"/>
      <c r="AS50" s="345"/>
      <c r="AT50" s="1093"/>
      <c r="AU50" s="1092"/>
      <c r="AV50" s="1092"/>
      <c r="AW50" s="1092"/>
      <c r="AX50" s="1093"/>
    </row>
    <row r="51" spans="1:50" s="278" customFormat="1" ht="12" customHeight="1" x14ac:dyDescent="0.25">
      <c r="B51" s="1192" t="e">
        <f t="shared" si="18"/>
        <v>#N/A</v>
      </c>
      <c r="C51" s="732">
        <f t="shared" si="0"/>
        <v>29</v>
      </c>
      <c r="D51" s="35">
        <f t="shared" si="1"/>
        <v>2</v>
      </c>
      <c r="E51" s="889">
        <f t="shared" si="24"/>
        <v>46812</v>
      </c>
      <c r="F51" s="822">
        <f t="shared" si="9"/>
        <v>2</v>
      </c>
      <c r="G51" s="500">
        <f t="shared" si="25"/>
        <v>29</v>
      </c>
      <c r="H51" s="126">
        <f t="shared" si="2"/>
        <v>0</v>
      </c>
      <c r="I51" s="1098">
        <f t="shared" si="26"/>
        <v>0</v>
      </c>
      <c r="J51" s="887">
        <f t="shared" si="19"/>
        <v>32</v>
      </c>
      <c r="K51" s="1099">
        <f t="shared" si="10"/>
        <v>32</v>
      </c>
      <c r="L51" s="891" t="str">
        <f t="shared" si="11"/>
        <v>February</v>
      </c>
      <c r="M51" s="888">
        <f t="shared" si="27"/>
        <v>2028</v>
      </c>
      <c r="N51" s="883">
        <f t="shared" si="12"/>
        <v>0</v>
      </c>
      <c r="O51" s="883">
        <f t="shared" si="29"/>
        <v>0</v>
      </c>
      <c r="P51" s="1100"/>
      <c r="Q51" s="883">
        <f t="shared" si="3"/>
        <v>0</v>
      </c>
      <c r="R51" s="884">
        <f t="shared" si="20"/>
        <v>0</v>
      </c>
      <c r="S51" s="884">
        <f>IF(AND($AS$39="Early Payoff",J51&gt;=$S$13),0,IF($J51&lt;=$S$6,SUM($Q$20:$Q51),0))</f>
        <v>0</v>
      </c>
      <c r="T51" s="884">
        <f>IF(AND($AS$39="Early Payoff",J51&gt;=$S$13),0,IF($J51&lt;=$S$6,SUM($R$20:$R51),0))</f>
        <v>0</v>
      </c>
      <c r="U51" s="885">
        <f t="shared" si="4"/>
        <v>0</v>
      </c>
      <c r="V51" s="1110">
        <f t="shared" si="21"/>
        <v>0</v>
      </c>
      <c r="X51" s="1102">
        <f t="shared" si="5"/>
        <v>0</v>
      </c>
      <c r="Y51" s="873">
        <f t="shared" si="6"/>
        <v>0</v>
      </c>
      <c r="Z51" s="873">
        <f t="shared" si="7"/>
        <v>0</v>
      </c>
      <c r="AA51" s="885">
        <f t="shared" si="8"/>
        <v>0</v>
      </c>
      <c r="AT51" s="1093"/>
      <c r="AU51" s="1092"/>
      <c r="AV51" s="1092"/>
      <c r="AW51" s="1092"/>
      <c r="AX51" s="1093"/>
    </row>
    <row r="52" spans="1:50" s="278" customFormat="1" ht="12" customHeight="1" x14ac:dyDescent="0.25">
      <c r="B52" s="1192" t="e">
        <f t="shared" si="18"/>
        <v>#N/A</v>
      </c>
      <c r="C52" s="732">
        <f t="shared" si="0"/>
        <v>31</v>
      </c>
      <c r="D52" s="35">
        <f t="shared" si="1"/>
        <v>3</v>
      </c>
      <c r="E52" s="889">
        <f t="shared" si="24"/>
        <v>46843</v>
      </c>
      <c r="F52" s="822">
        <f t="shared" si="9"/>
        <v>3</v>
      </c>
      <c r="G52" s="500">
        <f t="shared" si="25"/>
        <v>31</v>
      </c>
      <c r="H52" s="126">
        <f t="shared" si="2"/>
        <v>0</v>
      </c>
      <c r="I52" s="1098">
        <f t="shared" si="26"/>
        <v>0</v>
      </c>
      <c r="J52" s="887">
        <f t="shared" si="19"/>
        <v>33</v>
      </c>
      <c r="K52" s="1099">
        <f t="shared" si="10"/>
        <v>33</v>
      </c>
      <c r="L52" s="891" t="str">
        <f t="shared" si="11"/>
        <v>March</v>
      </c>
      <c r="M52" s="888">
        <f t="shared" si="27"/>
        <v>2028</v>
      </c>
      <c r="N52" s="883">
        <f t="shared" si="12"/>
        <v>0</v>
      </c>
      <c r="O52" s="883">
        <f t="shared" si="29"/>
        <v>0</v>
      </c>
      <c r="P52" s="1100"/>
      <c r="Q52" s="883">
        <f t="shared" si="3"/>
        <v>0</v>
      </c>
      <c r="R52" s="884">
        <f t="shared" si="20"/>
        <v>0</v>
      </c>
      <c r="S52" s="884">
        <f>IF(AND($AS$39="Early Payoff",J52&gt;=$S$13),0,IF($J52&lt;=$S$6,SUM($Q$20:$Q52),0))</f>
        <v>0</v>
      </c>
      <c r="T52" s="884">
        <f>IF(AND($AS$39="Early Payoff",J52&gt;=$S$13),0,IF($J52&lt;=$S$6,SUM($R$20:$R52),0))</f>
        <v>0</v>
      </c>
      <c r="U52" s="885">
        <f t="shared" si="4"/>
        <v>0</v>
      </c>
      <c r="V52" s="1110">
        <f t="shared" si="21"/>
        <v>0</v>
      </c>
      <c r="X52" s="1102">
        <f t="shared" si="5"/>
        <v>0</v>
      </c>
      <c r="Y52" s="873">
        <f t="shared" si="6"/>
        <v>0</v>
      </c>
      <c r="Z52" s="873">
        <f t="shared" si="7"/>
        <v>0</v>
      </c>
      <c r="AA52" s="885">
        <f t="shared" si="8"/>
        <v>0</v>
      </c>
      <c r="AT52" s="1093"/>
      <c r="AU52" s="1092"/>
      <c r="AV52" s="1092"/>
      <c r="AW52" s="1092"/>
      <c r="AX52" s="1093"/>
    </row>
    <row r="53" spans="1:50" s="278" customFormat="1" ht="12" customHeight="1" x14ac:dyDescent="0.25">
      <c r="B53" s="1192" t="e">
        <f t="shared" si="18"/>
        <v>#N/A</v>
      </c>
      <c r="C53" s="732">
        <f t="shared" si="0"/>
        <v>30</v>
      </c>
      <c r="D53" s="35">
        <f t="shared" si="1"/>
        <v>4</v>
      </c>
      <c r="E53" s="889">
        <f t="shared" si="24"/>
        <v>46873</v>
      </c>
      <c r="F53" s="822">
        <f t="shared" si="9"/>
        <v>4</v>
      </c>
      <c r="G53" s="500">
        <f t="shared" si="25"/>
        <v>30</v>
      </c>
      <c r="H53" s="126">
        <f t="shared" si="2"/>
        <v>0</v>
      </c>
      <c r="I53" s="1098">
        <f t="shared" si="26"/>
        <v>0</v>
      </c>
      <c r="J53" s="887">
        <f t="shared" si="19"/>
        <v>34</v>
      </c>
      <c r="K53" s="1099">
        <f t="shared" si="10"/>
        <v>34</v>
      </c>
      <c r="L53" s="891" t="str">
        <f t="shared" si="11"/>
        <v>April</v>
      </c>
      <c r="M53" s="888">
        <f t="shared" si="27"/>
        <v>2028</v>
      </c>
      <c r="N53" s="883">
        <f t="shared" si="12"/>
        <v>0</v>
      </c>
      <c r="O53" s="883">
        <f t="shared" si="29"/>
        <v>0</v>
      </c>
      <c r="P53" s="1100"/>
      <c r="Q53" s="883">
        <f t="shared" si="3"/>
        <v>0</v>
      </c>
      <c r="R53" s="884">
        <f t="shared" si="20"/>
        <v>0</v>
      </c>
      <c r="S53" s="884">
        <f>IF(AND($AS$39="Early Payoff",J53&gt;=$S$13),0,IF($J53&lt;=$S$6,SUM($Q$20:$Q53),0))</f>
        <v>0</v>
      </c>
      <c r="T53" s="884">
        <f>IF(AND($AS$39="Early Payoff",J53&gt;=$S$13),0,IF($J53&lt;=$S$6,SUM($R$20:$R53),0))</f>
        <v>0</v>
      </c>
      <c r="U53" s="885">
        <f t="shared" si="4"/>
        <v>0</v>
      </c>
      <c r="V53" s="1110">
        <f t="shared" si="21"/>
        <v>0</v>
      </c>
      <c r="X53" s="1102">
        <f t="shared" si="5"/>
        <v>0</v>
      </c>
      <c r="Y53" s="873">
        <f t="shared" si="6"/>
        <v>0</v>
      </c>
      <c r="Z53" s="873">
        <f t="shared" si="7"/>
        <v>0</v>
      </c>
      <c r="AA53" s="885">
        <f t="shared" si="8"/>
        <v>0</v>
      </c>
      <c r="AT53" s="1093"/>
      <c r="AU53" s="1092"/>
      <c r="AV53" s="1092"/>
      <c r="AW53" s="1092"/>
      <c r="AX53" s="1093"/>
    </row>
    <row r="54" spans="1:50" s="278" customFormat="1" ht="12" customHeight="1" x14ac:dyDescent="0.25">
      <c r="A54" s="880"/>
      <c r="B54" s="1192" t="e">
        <f t="shared" si="18"/>
        <v>#N/A</v>
      </c>
      <c r="C54" s="732">
        <f t="shared" si="0"/>
        <v>31</v>
      </c>
      <c r="D54" s="35">
        <f t="shared" si="1"/>
        <v>5</v>
      </c>
      <c r="E54" s="889">
        <f t="shared" si="24"/>
        <v>46904</v>
      </c>
      <c r="F54" s="822">
        <f t="shared" si="9"/>
        <v>5</v>
      </c>
      <c r="G54" s="500">
        <f t="shared" si="25"/>
        <v>31</v>
      </c>
      <c r="H54" s="126">
        <f t="shared" si="2"/>
        <v>0</v>
      </c>
      <c r="I54" s="1098">
        <f t="shared" si="26"/>
        <v>0</v>
      </c>
      <c r="J54" s="887">
        <f t="shared" si="19"/>
        <v>35</v>
      </c>
      <c r="K54" s="1099">
        <f t="shared" si="10"/>
        <v>35</v>
      </c>
      <c r="L54" s="891" t="str">
        <f t="shared" si="11"/>
        <v>May</v>
      </c>
      <c r="M54" s="888">
        <f t="shared" si="27"/>
        <v>2028</v>
      </c>
      <c r="N54" s="883">
        <f t="shared" si="12"/>
        <v>0</v>
      </c>
      <c r="O54" s="883">
        <f t="shared" si="29"/>
        <v>0</v>
      </c>
      <c r="P54" s="1100"/>
      <c r="Q54" s="883">
        <f t="shared" si="3"/>
        <v>0</v>
      </c>
      <c r="R54" s="884">
        <f t="shared" si="20"/>
        <v>0</v>
      </c>
      <c r="S54" s="884">
        <f>IF(AND($AS$39="Early Payoff",J54&gt;=$S$13),0,IF($J54&lt;=$S$6,SUM($Q$20:$Q54),0))</f>
        <v>0</v>
      </c>
      <c r="T54" s="884">
        <f>IF(AND($AS$39="Early Payoff",J54&gt;=$S$13),0,IF($J54&lt;=$S$6,SUM($R$20:$R54),0))</f>
        <v>0</v>
      </c>
      <c r="U54" s="885">
        <f t="shared" si="4"/>
        <v>0</v>
      </c>
      <c r="V54" s="1110">
        <f t="shared" si="21"/>
        <v>0</v>
      </c>
      <c r="X54" s="1102">
        <f t="shared" si="5"/>
        <v>0</v>
      </c>
      <c r="Y54" s="873">
        <f t="shared" si="6"/>
        <v>0</v>
      </c>
      <c r="Z54" s="873">
        <f t="shared" si="7"/>
        <v>0</v>
      </c>
      <c r="AA54" s="885">
        <f t="shared" si="8"/>
        <v>0</v>
      </c>
      <c r="AT54" s="1093"/>
      <c r="AU54" s="1092"/>
      <c r="AV54" s="1092"/>
      <c r="AW54" s="1092"/>
      <c r="AX54" s="1093"/>
    </row>
    <row r="55" spans="1:50" s="278" customFormat="1" ht="12" customHeight="1" x14ac:dyDescent="0.25">
      <c r="A55" s="880"/>
      <c r="B55" s="1192" t="e">
        <f t="shared" si="18"/>
        <v>#N/A</v>
      </c>
      <c r="C55" s="732">
        <f t="shared" si="0"/>
        <v>30</v>
      </c>
      <c r="D55" s="35">
        <f t="shared" si="1"/>
        <v>6</v>
      </c>
      <c r="E55" s="889">
        <f t="shared" si="24"/>
        <v>46934</v>
      </c>
      <c r="F55" s="822">
        <f t="shared" si="9"/>
        <v>6</v>
      </c>
      <c r="G55" s="500">
        <f t="shared" si="25"/>
        <v>30</v>
      </c>
      <c r="H55" s="126">
        <f t="shared" si="2"/>
        <v>0</v>
      </c>
      <c r="I55" s="1098">
        <f t="shared" si="26"/>
        <v>0</v>
      </c>
      <c r="J55" s="887">
        <f t="shared" si="19"/>
        <v>36</v>
      </c>
      <c r="K55" s="1099">
        <f t="shared" si="10"/>
        <v>36</v>
      </c>
      <c r="L55" s="891" t="str">
        <f t="shared" si="11"/>
        <v>June</v>
      </c>
      <c r="M55" s="888">
        <f t="shared" si="27"/>
        <v>2028</v>
      </c>
      <c r="N55" s="883">
        <f t="shared" si="12"/>
        <v>0</v>
      </c>
      <c r="O55" s="883">
        <f t="shared" si="29"/>
        <v>0</v>
      </c>
      <c r="P55" s="1100"/>
      <c r="Q55" s="883">
        <f t="shared" si="3"/>
        <v>0</v>
      </c>
      <c r="R55" s="884">
        <f t="shared" si="20"/>
        <v>0</v>
      </c>
      <c r="S55" s="884">
        <f>IF(AND($AS$39="Early Payoff",J55&gt;=$S$13),0,IF($J55&lt;=$S$6,SUM($Q$20:$Q55),0))</f>
        <v>0</v>
      </c>
      <c r="T55" s="884">
        <f>IF(AND($AS$39="Early Payoff",J55&gt;=$S$13),0,IF($J55&lt;=$S$6,SUM($R$20:$R55),0))</f>
        <v>0</v>
      </c>
      <c r="U55" s="885">
        <f t="shared" si="4"/>
        <v>0</v>
      </c>
      <c r="V55" s="1110">
        <f t="shared" si="21"/>
        <v>0</v>
      </c>
      <c r="X55" s="1102">
        <f t="shared" si="5"/>
        <v>0</v>
      </c>
      <c r="Y55" s="873">
        <f t="shared" si="6"/>
        <v>0</v>
      </c>
      <c r="Z55" s="873">
        <f t="shared" si="7"/>
        <v>0</v>
      </c>
      <c r="AA55" s="885">
        <f t="shared" si="8"/>
        <v>0</v>
      </c>
      <c r="AT55" s="1093"/>
      <c r="AU55" s="1092"/>
      <c r="AV55" s="1092"/>
      <c r="AW55" s="1092"/>
      <c r="AX55" s="1093"/>
    </row>
    <row r="56" spans="1:50" s="278" customFormat="1" ht="12" customHeight="1" x14ac:dyDescent="0.25">
      <c r="A56" s="880"/>
      <c r="B56" s="1192" t="e">
        <f t="shared" si="18"/>
        <v>#N/A</v>
      </c>
      <c r="C56" s="732">
        <f t="shared" si="0"/>
        <v>31</v>
      </c>
      <c r="D56" s="35">
        <f t="shared" si="1"/>
        <v>7</v>
      </c>
      <c r="E56" s="889">
        <f t="shared" si="24"/>
        <v>46965</v>
      </c>
      <c r="F56" s="822">
        <f t="shared" si="9"/>
        <v>7</v>
      </c>
      <c r="G56" s="500">
        <f t="shared" si="25"/>
        <v>31</v>
      </c>
      <c r="H56" s="126">
        <f t="shared" si="2"/>
        <v>0</v>
      </c>
      <c r="I56" s="1098">
        <f t="shared" si="26"/>
        <v>0</v>
      </c>
      <c r="J56" s="887">
        <f t="shared" si="19"/>
        <v>37</v>
      </c>
      <c r="K56" s="1099">
        <f t="shared" si="10"/>
        <v>37</v>
      </c>
      <c r="L56" s="891" t="str">
        <f t="shared" si="11"/>
        <v>July</v>
      </c>
      <c r="M56" s="888">
        <f t="shared" si="27"/>
        <v>2028</v>
      </c>
      <c r="N56" s="883">
        <f t="shared" si="12"/>
        <v>0</v>
      </c>
      <c r="O56" s="883">
        <f t="shared" si="29"/>
        <v>0</v>
      </c>
      <c r="P56" s="1100"/>
      <c r="Q56" s="883">
        <f t="shared" si="3"/>
        <v>0</v>
      </c>
      <c r="R56" s="884">
        <f t="shared" si="20"/>
        <v>0</v>
      </c>
      <c r="S56" s="884">
        <f>IF(AND($AS$39="Early Payoff",J56&gt;=$S$13),0,IF($J56&lt;=$S$6,SUM($Q$20:$Q56),0))</f>
        <v>0</v>
      </c>
      <c r="T56" s="884">
        <f>IF(AND($AS$39="Early Payoff",J56&gt;=$S$13),0,IF($J56&lt;=$S$6,SUM($R$20:$R56),0))</f>
        <v>0</v>
      </c>
      <c r="U56" s="885">
        <f t="shared" si="4"/>
        <v>0</v>
      </c>
      <c r="V56" s="1110">
        <f t="shared" si="21"/>
        <v>0</v>
      </c>
      <c r="X56" s="1102">
        <f t="shared" si="5"/>
        <v>0</v>
      </c>
      <c r="Y56" s="873">
        <f t="shared" si="6"/>
        <v>0</v>
      </c>
      <c r="Z56" s="873">
        <f t="shared" si="7"/>
        <v>0</v>
      </c>
      <c r="AA56" s="885">
        <f t="shared" si="8"/>
        <v>0</v>
      </c>
      <c r="AT56" s="1093"/>
      <c r="AU56" s="1092"/>
      <c r="AV56" s="1092"/>
      <c r="AW56" s="1092"/>
      <c r="AX56" s="1093"/>
    </row>
    <row r="57" spans="1:50" s="278" customFormat="1" ht="12" customHeight="1" x14ac:dyDescent="0.25">
      <c r="A57" s="880"/>
      <c r="B57" s="1192" t="e">
        <f t="shared" si="18"/>
        <v>#N/A</v>
      </c>
      <c r="C57" s="732">
        <f t="shared" si="0"/>
        <v>31</v>
      </c>
      <c r="D57" s="35">
        <f t="shared" si="1"/>
        <v>8</v>
      </c>
      <c r="E57" s="889">
        <f t="shared" si="24"/>
        <v>46996</v>
      </c>
      <c r="F57" s="822">
        <f t="shared" si="9"/>
        <v>8</v>
      </c>
      <c r="G57" s="500">
        <f t="shared" si="25"/>
        <v>31</v>
      </c>
      <c r="H57" s="126">
        <f t="shared" si="2"/>
        <v>0</v>
      </c>
      <c r="I57" s="1098">
        <f t="shared" si="26"/>
        <v>0</v>
      </c>
      <c r="J57" s="887">
        <f t="shared" si="19"/>
        <v>38</v>
      </c>
      <c r="K57" s="1099">
        <f t="shared" si="10"/>
        <v>38</v>
      </c>
      <c r="L57" s="891" t="str">
        <f t="shared" si="11"/>
        <v>August</v>
      </c>
      <c r="M57" s="888">
        <f t="shared" si="27"/>
        <v>2028</v>
      </c>
      <c r="N57" s="883">
        <f t="shared" si="12"/>
        <v>0</v>
      </c>
      <c r="O57" s="883">
        <f t="shared" si="29"/>
        <v>0</v>
      </c>
      <c r="P57" s="1100"/>
      <c r="Q57" s="883">
        <f t="shared" si="3"/>
        <v>0</v>
      </c>
      <c r="R57" s="884">
        <f t="shared" si="20"/>
        <v>0</v>
      </c>
      <c r="S57" s="884">
        <f>IF(AND($AS$39="Early Payoff",J57&gt;=$S$13),0,IF($J57&lt;=$S$6,SUM($Q$20:$Q57),0))</f>
        <v>0</v>
      </c>
      <c r="T57" s="884">
        <f>IF(AND($AS$39="Early Payoff",J57&gt;=$S$13),0,IF($J57&lt;=$S$6,SUM($R$20:$R57),0))</f>
        <v>0</v>
      </c>
      <c r="U57" s="885">
        <f t="shared" si="4"/>
        <v>0</v>
      </c>
      <c r="V57" s="1110">
        <f t="shared" si="21"/>
        <v>0</v>
      </c>
      <c r="X57" s="1102">
        <f t="shared" si="5"/>
        <v>0</v>
      </c>
      <c r="Y57" s="873">
        <f t="shared" si="6"/>
        <v>0</v>
      </c>
      <c r="Z57" s="873">
        <f t="shared" si="7"/>
        <v>0</v>
      </c>
      <c r="AA57" s="885">
        <f t="shared" si="8"/>
        <v>0</v>
      </c>
      <c r="AT57" s="1093"/>
      <c r="AU57" s="1092"/>
      <c r="AV57" s="1092"/>
      <c r="AW57" s="1092"/>
      <c r="AX57" s="1093"/>
    </row>
    <row r="58" spans="1:50" s="278" customFormat="1" ht="12" customHeight="1" x14ac:dyDescent="0.25">
      <c r="A58" s="880"/>
      <c r="B58" s="1192" t="e">
        <f t="shared" si="18"/>
        <v>#N/A</v>
      </c>
      <c r="C58" s="732">
        <f t="shared" si="0"/>
        <v>30</v>
      </c>
      <c r="D58" s="35">
        <f t="shared" si="1"/>
        <v>9</v>
      </c>
      <c r="E58" s="889">
        <f t="shared" si="24"/>
        <v>47026</v>
      </c>
      <c r="F58" s="822">
        <f t="shared" si="9"/>
        <v>9</v>
      </c>
      <c r="G58" s="500">
        <f t="shared" si="25"/>
        <v>30</v>
      </c>
      <c r="H58" s="126">
        <f t="shared" si="2"/>
        <v>0</v>
      </c>
      <c r="I58" s="1098">
        <f t="shared" si="26"/>
        <v>0</v>
      </c>
      <c r="J58" s="887">
        <f t="shared" si="19"/>
        <v>39</v>
      </c>
      <c r="K58" s="1099">
        <f t="shared" si="10"/>
        <v>39</v>
      </c>
      <c r="L58" s="891" t="str">
        <f t="shared" si="11"/>
        <v>September</v>
      </c>
      <c r="M58" s="888">
        <f t="shared" si="27"/>
        <v>2028</v>
      </c>
      <c r="N58" s="883">
        <f t="shared" si="12"/>
        <v>0</v>
      </c>
      <c r="O58" s="883">
        <f t="shared" si="29"/>
        <v>0</v>
      </c>
      <c r="P58" s="1100"/>
      <c r="Q58" s="883">
        <f t="shared" si="3"/>
        <v>0</v>
      </c>
      <c r="R58" s="884">
        <f t="shared" si="20"/>
        <v>0</v>
      </c>
      <c r="S58" s="884">
        <f>IF(AND($AS$39="Early Payoff",J58&gt;=$S$13),0,IF($J58&lt;=$S$6,SUM($Q$20:$Q58),0))</f>
        <v>0</v>
      </c>
      <c r="T58" s="884">
        <f>IF(AND($AS$39="Early Payoff",J58&gt;=$S$13),0,IF($J58&lt;=$S$6,SUM($R$20:$R58),0))</f>
        <v>0</v>
      </c>
      <c r="U58" s="885">
        <f t="shared" si="4"/>
        <v>0</v>
      </c>
      <c r="V58" s="1110">
        <f t="shared" si="21"/>
        <v>0</v>
      </c>
      <c r="X58" s="1102">
        <f t="shared" si="5"/>
        <v>0</v>
      </c>
      <c r="Y58" s="873">
        <f t="shared" si="6"/>
        <v>0</v>
      </c>
      <c r="Z58" s="873">
        <f t="shared" si="7"/>
        <v>0</v>
      </c>
      <c r="AA58" s="885">
        <f t="shared" si="8"/>
        <v>0</v>
      </c>
      <c r="AT58" s="1093"/>
      <c r="AU58" s="1092"/>
      <c r="AV58" s="1092"/>
      <c r="AW58" s="1092"/>
      <c r="AX58" s="1093"/>
    </row>
    <row r="59" spans="1:50" s="278" customFormat="1" ht="12" customHeight="1" x14ac:dyDescent="0.25">
      <c r="A59" s="880"/>
      <c r="B59" s="1192" t="e">
        <f t="shared" si="18"/>
        <v>#N/A</v>
      </c>
      <c r="C59" s="732">
        <f t="shared" si="0"/>
        <v>31</v>
      </c>
      <c r="D59" s="35">
        <f t="shared" si="1"/>
        <v>10</v>
      </c>
      <c r="E59" s="889">
        <f t="shared" si="24"/>
        <v>47057</v>
      </c>
      <c r="F59" s="822">
        <f t="shared" si="9"/>
        <v>10</v>
      </c>
      <c r="G59" s="500">
        <f t="shared" si="25"/>
        <v>31</v>
      </c>
      <c r="H59" s="126">
        <f t="shared" si="2"/>
        <v>0</v>
      </c>
      <c r="I59" s="1098">
        <f t="shared" si="26"/>
        <v>0</v>
      </c>
      <c r="J59" s="887">
        <f t="shared" si="19"/>
        <v>40</v>
      </c>
      <c r="K59" s="1099">
        <f t="shared" si="10"/>
        <v>40</v>
      </c>
      <c r="L59" s="891" t="str">
        <f t="shared" si="11"/>
        <v>October</v>
      </c>
      <c r="M59" s="888">
        <f t="shared" si="27"/>
        <v>2028</v>
      </c>
      <c r="N59" s="883">
        <f t="shared" si="12"/>
        <v>0</v>
      </c>
      <c r="O59" s="883">
        <f t="shared" si="29"/>
        <v>0</v>
      </c>
      <c r="P59" s="1100"/>
      <c r="Q59" s="883">
        <f t="shared" si="3"/>
        <v>0</v>
      </c>
      <c r="R59" s="884">
        <f t="shared" si="20"/>
        <v>0</v>
      </c>
      <c r="S59" s="884">
        <f>IF(AND($AS$39="Early Payoff",J59&gt;=$S$13),0,IF($J59&lt;=$S$6,SUM($Q$20:$Q59),0))</f>
        <v>0</v>
      </c>
      <c r="T59" s="884">
        <f>IF(AND($AS$39="Early Payoff",J59&gt;=$S$13),0,IF($J59&lt;=$S$6,SUM($R$20:$R59),0))</f>
        <v>0</v>
      </c>
      <c r="U59" s="885">
        <f t="shared" si="4"/>
        <v>0</v>
      </c>
      <c r="V59" s="1110">
        <f t="shared" si="21"/>
        <v>0</v>
      </c>
      <c r="X59" s="1102">
        <f t="shared" si="5"/>
        <v>0</v>
      </c>
      <c r="Y59" s="873">
        <f t="shared" si="6"/>
        <v>0</v>
      </c>
      <c r="Z59" s="873">
        <f t="shared" si="7"/>
        <v>0</v>
      </c>
      <c r="AA59" s="885">
        <f t="shared" si="8"/>
        <v>0</v>
      </c>
      <c r="AT59" s="1093"/>
      <c r="AU59" s="1092"/>
      <c r="AV59" s="1092"/>
      <c r="AW59" s="1092"/>
      <c r="AX59" s="1093"/>
    </row>
    <row r="60" spans="1:50" s="278" customFormat="1" ht="12" customHeight="1" x14ac:dyDescent="0.25">
      <c r="A60" s="880"/>
      <c r="B60" s="1192" t="e">
        <f t="shared" si="18"/>
        <v>#N/A</v>
      </c>
      <c r="C60" s="732">
        <f t="shared" si="0"/>
        <v>30</v>
      </c>
      <c r="D60" s="35">
        <f t="shared" si="1"/>
        <v>11</v>
      </c>
      <c r="E60" s="889">
        <f t="shared" si="24"/>
        <v>47087</v>
      </c>
      <c r="F60" s="822">
        <f t="shared" si="9"/>
        <v>11</v>
      </c>
      <c r="G60" s="500">
        <f t="shared" si="25"/>
        <v>30</v>
      </c>
      <c r="H60" s="126">
        <f t="shared" si="2"/>
        <v>0</v>
      </c>
      <c r="I60" s="1098">
        <f t="shared" si="26"/>
        <v>0</v>
      </c>
      <c r="J60" s="887">
        <f t="shared" si="19"/>
        <v>41</v>
      </c>
      <c r="K60" s="1099">
        <f t="shared" si="10"/>
        <v>41</v>
      </c>
      <c r="L60" s="891" t="str">
        <f t="shared" si="11"/>
        <v>November</v>
      </c>
      <c r="M60" s="888">
        <f t="shared" si="27"/>
        <v>2028</v>
      </c>
      <c r="N60" s="883">
        <f t="shared" si="12"/>
        <v>0</v>
      </c>
      <c r="O60" s="883">
        <f t="shared" si="29"/>
        <v>0</v>
      </c>
      <c r="P60" s="1100"/>
      <c r="Q60" s="883">
        <f t="shared" si="3"/>
        <v>0</v>
      </c>
      <c r="R60" s="884">
        <f t="shared" si="20"/>
        <v>0</v>
      </c>
      <c r="S60" s="884">
        <f>IF(AND($AS$39="Early Payoff",J60&gt;=$S$13),0,IF($J60&lt;=$S$6,SUM($Q$20:$Q60),0))</f>
        <v>0</v>
      </c>
      <c r="T60" s="884">
        <f>IF(AND($AS$39="Early Payoff",J60&gt;=$S$13),0,IF($J60&lt;=$S$6,SUM($R$20:$R60),0))</f>
        <v>0</v>
      </c>
      <c r="U60" s="885">
        <f t="shared" si="4"/>
        <v>0</v>
      </c>
      <c r="V60" s="1110">
        <f t="shared" si="21"/>
        <v>0</v>
      </c>
      <c r="X60" s="1102">
        <f t="shared" si="5"/>
        <v>0</v>
      </c>
      <c r="Y60" s="873">
        <f t="shared" si="6"/>
        <v>0</v>
      </c>
      <c r="Z60" s="873">
        <f t="shared" si="7"/>
        <v>0</v>
      </c>
      <c r="AA60" s="885">
        <f t="shared" si="8"/>
        <v>0</v>
      </c>
      <c r="AT60" s="1093"/>
      <c r="AU60" s="1092"/>
      <c r="AV60" s="1092"/>
      <c r="AW60" s="1092"/>
      <c r="AX60" s="1093"/>
    </row>
    <row r="61" spans="1:50" s="278" customFormat="1" ht="12" customHeight="1" x14ac:dyDescent="0.25">
      <c r="A61" s="880"/>
      <c r="B61" s="1192" t="e">
        <f t="shared" si="18"/>
        <v>#N/A</v>
      </c>
      <c r="C61" s="732">
        <f t="shared" si="0"/>
        <v>31</v>
      </c>
      <c r="D61" s="35">
        <f t="shared" si="1"/>
        <v>12</v>
      </c>
      <c r="E61" s="889">
        <f t="shared" si="24"/>
        <v>47118</v>
      </c>
      <c r="F61" s="822">
        <f t="shared" si="9"/>
        <v>12</v>
      </c>
      <c r="G61" s="500">
        <f t="shared" si="25"/>
        <v>31</v>
      </c>
      <c r="H61" s="126">
        <f t="shared" si="2"/>
        <v>1</v>
      </c>
      <c r="I61" s="1098">
        <f t="shared" si="26"/>
        <v>0</v>
      </c>
      <c r="J61" s="887">
        <f t="shared" si="19"/>
        <v>42</v>
      </c>
      <c r="K61" s="1099">
        <f t="shared" si="10"/>
        <v>42</v>
      </c>
      <c r="L61" s="891" t="str">
        <f t="shared" si="11"/>
        <v>December</v>
      </c>
      <c r="M61" s="888">
        <f t="shared" si="27"/>
        <v>2028</v>
      </c>
      <c r="N61" s="883">
        <f t="shared" si="12"/>
        <v>0</v>
      </c>
      <c r="O61" s="883">
        <f t="shared" si="29"/>
        <v>0</v>
      </c>
      <c r="P61" s="1100"/>
      <c r="Q61" s="883">
        <f t="shared" si="3"/>
        <v>0</v>
      </c>
      <c r="R61" s="884">
        <f t="shared" si="20"/>
        <v>0</v>
      </c>
      <c r="S61" s="884">
        <f>IF(AND($AS$39="Early Payoff",J61&gt;=$S$13),0,IF($J61&lt;=$S$6,SUM($Q$20:$Q61),0))</f>
        <v>0</v>
      </c>
      <c r="T61" s="884">
        <f>IF(AND($AS$39="Early Payoff",J61&gt;=$S$13),0,IF($J61&lt;=$S$6,SUM($R$20:$R61),0))</f>
        <v>0</v>
      </c>
      <c r="U61" s="885">
        <f t="shared" si="4"/>
        <v>0</v>
      </c>
      <c r="V61" s="1110">
        <f t="shared" si="21"/>
        <v>0</v>
      </c>
      <c r="X61" s="1102">
        <f t="shared" si="5"/>
        <v>0</v>
      </c>
      <c r="Y61" s="873">
        <f t="shared" si="6"/>
        <v>0</v>
      </c>
      <c r="Z61" s="873">
        <f t="shared" si="7"/>
        <v>0</v>
      </c>
      <c r="AA61" s="885">
        <f t="shared" si="8"/>
        <v>0</v>
      </c>
      <c r="AT61" s="1093"/>
      <c r="AU61" s="1092"/>
      <c r="AV61" s="1092"/>
      <c r="AW61" s="1092"/>
      <c r="AX61" s="1093"/>
    </row>
    <row r="62" spans="1:50" s="278" customFormat="1" ht="12" customHeight="1" x14ac:dyDescent="0.25">
      <c r="A62" s="880"/>
      <c r="B62" s="1192" t="e">
        <f t="shared" si="18"/>
        <v>#N/A</v>
      </c>
      <c r="C62" s="732">
        <f t="shared" si="0"/>
        <v>31</v>
      </c>
      <c r="D62" s="35">
        <f t="shared" si="1"/>
        <v>1</v>
      </c>
      <c r="E62" s="889">
        <f t="shared" si="24"/>
        <v>47149</v>
      </c>
      <c r="F62" s="822">
        <f t="shared" si="9"/>
        <v>1</v>
      </c>
      <c r="G62" s="500">
        <f t="shared" si="25"/>
        <v>31</v>
      </c>
      <c r="H62" s="126">
        <f t="shared" si="2"/>
        <v>0</v>
      </c>
      <c r="I62" s="1098">
        <f t="shared" si="26"/>
        <v>0</v>
      </c>
      <c r="J62" s="887">
        <f t="shared" si="19"/>
        <v>43</v>
      </c>
      <c r="K62" s="1099">
        <f t="shared" si="10"/>
        <v>43</v>
      </c>
      <c r="L62" s="891" t="str">
        <f t="shared" si="11"/>
        <v>January</v>
      </c>
      <c r="M62" s="888">
        <f t="shared" si="27"/>
        <v>2029</v>
      </c>
      <c r="N62" s="883">
        <f t="shared" si="12"/>
        <v>0</v>
      </c>
      <c r="O62" s="883">
        <f t="shared" si="29"/>
        <v>0</v>
      </c>
      <c r="P62" s="1100"/>
      <c r="Q62" s="883">
        <f t="shared" si="3"/>
        <v>0</v>
      </c>
      <c r="R62" s="884">
        <f t="shared" si="20"/>
        <v>0</v>
      </c>
      <c r="S62" s="884">
        <f>IF(AND($AS$39="Early Payoff",J62&gt;=$S$13),0,IF($J62&lt;=$S$6,SUM($Q$20:$Q62),0))</f>
        <v>0</v>
      </c>
      <c r="T62" s="884">
        <f>IF(AND($AS$39="Early Payoff",J62&gt;=$S$13),0,IF($J62&lt;=$S$6,SUM($R$20:$R62),0))</f>
        <v>0</v>
      </c>
      <c r="U62" s="885">
        <f t="shared" si="4"/>
        <v>0</v>
      </c>
      <c r="V62" s="1110">
        <f t="shared" si="21"/>
        <v>0</v>
      </c>
      <c r="X62" s="1102">
        <f t="shared" si="5"/>
        <v>0</v>
      </c>
      <c r="Y62" s="873">
        <f t="shared" si="6"/>
        <v>0</v>
      </c>
      <c r="Z62" s="873">
        <f t="shared" si="7"/>
        <v>0</v>
      </c>
      <c r="AA62" s="885">
        <f t="shared" si="8"/>
        <v>0</v>
      </c>
      <c r="AT62" s="1093"/>
      <c r="AU62" s="1092"/>
      <c r="AV62" s="1092"/>
      <c r="AW62" s="1092"/>
      <c r="AX62" s="1093"/>
    </row>
    <row r="63" spans="1:50" s="278" customFormat="1" ht="12" customHeight="1" x14ac:dyDescent="0.25">
      <c r="A63" s="880"/>
      <c r="B63" s="1192" t="e">
        <f t="shared" si="18"/>
        <v>#N/A</v>
      </c>
      <c r="C63" s="732">
        <f t="shared" si="0"/>
        <v>28</v>
      </c>
      <c r="D63" s="35">
        <f t="shared" si="1"/>
        <v>2</v>
      </c>
      <c r="E63" s="889">
        <f t="shared" si="24"/>
        <v>47177</v>
      </c>
      <c r="F63" s="822">
        <f t="shared" si="9"/>
        <v>2</v>
      </c>
      <c r="G63" s="500">
        <f t="shared" si="25"/>
        <v>28</v>
      </c>
      <c r="H63" s="126">
        <f t="shared" si="2"/>
        <v>0</v>
      </c>
      <c r="I63" s="1098">
        <f t="shared" si="26"/>
        <v>0</v>
      </c>
      <c r="J63" s="887">
        <f t="shared" si="19"/>
        <v>44</v>
      </c>
      <c r="K63" s="1099">
        <f t="shared" si="10"/>
        <v>44</v>
      </c>
      <c r="L63" s="891" t="str">
        <f t="shared" si="11"/>
        <v>February</v>
      </c>
      <c r="M63" s="888">
        <f t="shared" si="27"/>
        <v>2029</v>
      </c>
      <c r="N63" s="883">
        <f t="shared" si="12"/>
        <v>0</v>
      </c>
      <c r="O63" s="883">
        <f t="shared" si="29"/>
        <v>0</v>
      </c>
      <c r="P63" s="1100"/>
      <c r="Q63" s="883">
        <f t="shared" si="3"/>
        <v>0</v>
      </c>
      <c r="R63" s="884">
        <f t="shared" si="20"/>
        <v>0</v>
      </c>
      <c r="S63" s="884">
        <f>IF(AND($AS$39="Early Payoff",J63&gt;=$S$13),0,IF($J63&lt;=$S$6,SUM($Q$20:$Q63),0))</f>
        <v>0</v>
      </c>
      <c r="T63" s="884">
        <f>IF(AND($AS$39="Early Payoff",J63&gt;=$S$13),0,IF($J63&lt;=$S$6,SUM($R$20:$R63),0))</f>
        <v>0</v>
      </c>
      <c r="U63" s="885">
        <f t="shared" si="4"/>
        <v>0</v>
      </c>
      <c r="V63" s="1110">
        <f t="shared" si="21"/>
        <v>0</v>
      </c>
      <c r="X63" s="1102">
        <f t="shared" si="5"/>
        <v>0</v>
      </c>
      <c r="Y63" s="873">
        <f t="shared" si="6"/>
        <v>0</v>
      </c>
      <c r="Z63" s="873">
        <f t="shared" si="7"/>
        <v>0</v>
      </c>
      <c r="AA63" s="885">
        <f t="shared" si="8"/>
        <v>0</v>
      </c>
    </row>
    <row r="64" spans="1:50" s="278" customFormat="1" ht="12" customHeight="1" x14ac:dyDescent="0.25">
      <c r="A64" s="880"/>
      <c r="B64" s="1192" t="e">
        <f t="shared" si="18"/>
        <v>#N/A</v>
      </c>
      <c r="C64" s="732">
        <f t="shared" si="0"/>
        <v>31</v>
      </c>
      <c r="D64" s="35">
        <f t="shared" si="1"/>
        <v>3</v>
      </c>
      <c r="E64" s="889">
        <f t="shared" si="24"/>
        <v>47208</v>
      </c>
      <c r="F64" s="822">
        <f t="shared" si="9"/>
        <v>3</v>
      </c>
      <c r="G64" s="500">
        <f t="shared" si="25"/>
        <v>31</v>
      </c>
      <c r="H64" s="126">
        <f t="shared" si="2"/>
        <v>0</v>
      </c>
      <c r="I64" s="1098">
        <f t="shared" si="26"/>
        <v>0</v>
      </c>
      <c r="J64" s="887">
        <f t="shared" si="19"/>
        <v>45</v>
      </c>
      <c r="K64" s="1099">
        <f t="shared" si="10"/>
        <v>45</v>
      </c>
      <c r="L64" s="891" t="str">
        <f t="shared" si="11"/>
        <v>March</v>
      </c>
      <c r="M64" s="888">
        <f t="shared" si="27"/>
        <v>2029</v>
      </c>
      <c r="N64" s="883">
        <f t="shared" si="12"/>
        <v>0</v>
      </c>
      <c r="O64" s="883">
        <f t="shared" si="29"/>
        <v>0</v>
      </c>
      <c r="P64" s="1100"/>
      <c r="Q64" s="883">
        <f t="shared" si="3"/>
        <v>0</v>
      </c>
      <c r="R64" s="884">
        <f t="shared" si="20"/>
        <v>0</v>
      </c>
      <c r="S64" s="884">
        <f>IF(AND($AS$39="Early Payoff",J64&gt;=$S$13),0,IF($J64&lt;=$S$6,SUM($Q$20:$Q64),0))</f>
        <v>0</v>
      </c>
      <c r="T64" s="884">
        <f>IF(AND($AS$39="Early Payoff",J64&gt;=$S$13),0,IF($J64&lt;=$S$6,SUM($R$20:$R64),0))</f>
        <v>0</v>
      </c>
      <c r="U64" s="885">
        <f t="shared" si="4"/>
        <v>0</v>
      </c>
      <c r="V64" s="1110">
        <f t="shared" si="21"/>
        <v>0</v>
      </c>
      <c r="X64" s="1102">
        <f t="shared" si="5"/>
        <v>0</v>
      </c>
      <c r="Y64" s="873">
        <f t="shared" si="6"/>
        <v>0</v>
      </c>
      <c r="Z64" s="873">
        <f t="shared" si="7"/>
        <v>0</v>
      </c>
      <c r="AA64" s="885">
        <f t="shared" si="8"/>
        <v>0</v>
      </c>
    </row>
    <row r="65" spans="1:27" s="278" customFormat="1" ht="12" customHeight="1" x14ac:dyDescent="0.25">
      <c r="A65" s="880"/>
      <c r="B65" s="1192" t="e">
        <f t="shared" si="18"/>
        <v>#N/A</v>
      </c>
      <c r="C65" s="732">
        <f t="shared" si="0"/>
        <v>30</v>
      </c>
      <c r="D65" s="35">
        <f t="shared" si="1"/>
        <v>4</v>
      </c>
      <c r="E65" s="889">
        <f t="shared" si="24"/>
        <v>47238</v>
      </c>
      <c r="F65" s="822">
        <f t="shared" si="9"/>
        <v>4</v>
      </c>
      <c r="G65" s="500">
        <f t="shared" si="25"/>
        <v>30</v>
      </c>
      <c r="H65" s="126">
        <f t="shared" si="2"/>
        <v>0</v>
      </c>
      <c r="I65" s="1098">
        <f t="shared" si="26"/>
        <v>0</v>
      </c>
      <c r="J65" s="887">
        <f t="shared" si="19"/>
        <v>46</v>
      </c>
      <c r="K65" s="1099">
        <f t="shared" si="10"/>
        <v>46</v>
      </c>
      <c r="L65" s="891" t="str">
        <f t="shared" si="11"/>
        <v>April</v>
      </c>
      <c r="M65" s="888">
        <f t="shared" si="27"/>
        <v>2029</v>
      </c>
      <c r="N65" s="883">
        <f t="shared" si="12"/>
        <v>0</v>
      </c>
      <c r="O65" s="883">
        <f t="shared" si="29"/>
        <v>0</v>
      </c>
      <c r="P65" s="1100"/>
      <c r="Q65" s="883">
        <f t="shared" si="3"/>
        <v>0</v>
      </c>
      <c r="R65" s="884">
        <f t="shared" si="20"/>
        <v>0</v>
      </c>
      <c r="S65" s="884">
        <f>IF(AND($AS$39="Early Payoff",J65&gt;=$S$13),0,IF($J65&lt;=$S$6,SUM($Q$20:$Q65),0))</f>
        <v>0</v>
      </c>
      <c r="T65" s="884">
        <f>IF(AND($AS$39="Early Payoff",J65&gt;=$S$13),0,IF($J65&lt;=$S$6,SUM($R$20:$R65),0))</f>
        <v>0</v>
      </c>
      <c r="U65" s="885">
        <f t="shared" si="4"/>
        <v>0</v>
      </c>
      <c r="V65" s="1110">
        <f t="shared" si="21"/>
        <v>0</v>
      </c>
      <c r="X65" s="1102">
        <f t="shared" si="5"/>
        <v>0</v>
      </c>
      <c r="Y65" s="873">
        <f t="shared" si="6"/>
        <v>0</v>
      </c>
      <c r="Z65" s="873">
        <f t="shared" si="7"/>
        <v>0</v>
      </c>
      <c r="AA65" s="885">
        <f t="shared" si="8"/>
        <v>0</v>
      </c>
    </row>
    <row r="66" spans="1:27" s="278" customFormat="1" ht="12" customHeight="1" x14ac:dyDescent="0.25">
      <c r="A66" s="880"/>
      <c r="B66" s="1192" t="e">
        <f t="shared" si="18"/>
        <v>#N/A</v>
      </c>
      <c r="C66" s="732">
        <f t="shared" si="0"/>
        <v>31</v>
      </c>
      <c r="D66" s="35">
        <f t="shared" si="1"/>
        <v>5</v>
      </c>
      <c r="E66" s="889">
        <f t="shared" si="24"/>
        <v>47269</v>
      </c>
      <c r="F66" s="822">
        <f t="shared" si="9"/>
        <v>5</v>
      </c>
      <c r="G66" s="500">
        <f t="shared" si="25"/>
        <v>31</v>
      </c>
      <c r="H66" s="126">
        <f t="shared" si="2"/>
        <v>0</v>
      </c>
      <c r="I66" s="1098">
        <f t="shared" si="26"/>
        <v>0</v>
      </c>
      <c r="J66" s="887">
        <f t="shared" si="19"/>
        <v>47</v>
      </c>
      <c r="K66" s="1099">
        <f t="shared" si="10"/>
        <v>47</v>
      </c>
      <c r="L66" s="891" t="str">
        <f t="shared" si="11"/>
        <v>May</v>
      </c>
      <c r="M66" s="888">
        <f t="shared" si="27"/>
        <v>2029</v>
      </c>
      <c r="N66" s="883">
        <f t="shared" si="12"/>
        <v>0</v>
      </c>
      <c r="O66" s="883">
        <f t="shared" si="29"/>
        <v>0</v>
      </c>
      <c r="P66" s="1100"/>
      <c r="Q66" s="883">
        <f t="shared" si="3"/>
        <v>0</v>
      </c>
      <c r="R66" s="884">
        <f t="shared" si="20"/>
        <v>0</v>
      </c>
      <c r="S66" s="884">
        <f>IF(AND($AS$39="Early Payoff",J66&gt;=$S$13),0,IF($J66&lt;=$S$6,SUM($Q$20:$Q66),0))</f>
        <v>0</v>
      </c>
      <c r="T66" s="884">
        <f>IF(AND($AS$39="Early Payoff",J66&gt;=$S$13),0,IF($J66&lt;=$S$6,SUM($R$20:$R66),0))</f>
        <v>0</v>
      </c>
      <c r="U66" s="885">
        <f t="shared" si="4"/>
        <v>0</v>
      </c>
      <c r="V66" s="1110">
        <f t="shared" si="21"/>
        <v>0</v>
      </c>
      <c r="X66" s="1102">
        <f t="shared" si="5"/>
        <v>0</v>
      </c>
      <c r="Y66" s="873">
        <f t="shared" si="6"/>
        <v>0</v>
      </c>
      <c r="Z66" s="873">
        <f t="shared" si="7"/>
        <v>0</v>
      </c>
      <c r="AA66" s="885">
        <f t="shared" si="8"/>
        <v>0</v>
      </c>
    </row>
    <row r="67" spans="1:27" s="278" customFormat="1" ht="12" customHeight="1" x14ac:dyDescent="0.25">
      <c r="A67" s="880"/>
      <c r="B67" s="1192" t="e">
        <f t="shared" si="18"/>
        <v>#N/A</v>
      </c>
      <c r="C67" s="732">
        <f t="shared" si="0"/>
        <v>30</v>
      </c>
      <c r="D67" s="35">
        <f t="shared" si="1"/>
        <v>6</v>
      </c>
      <c r="E67" s="889">
        <f t="shared" si="24"/>
        <v>47299</v>
      </c>
      <c r="F67" s="822">
        <f t="shared" si="9"/>
        <v>6</v>
      </c>
      <c r="G67" s="500">
        <f t="shared" si="25"/>
        <v>30</v>
      </c>
      <c r="H67" s="126">
        <f t="shared" si="2"/>
        <v>0</v>
      </c>
      <c r="I67" s="1098">
        <f t="shared" si="26"/>
        <v>0</v>
      </c>
      <c r="J67" s="887">
        <f t="shared" si="19"/>
        <v>48</v>
      </c>
      <c r="K67" s="1099">
        <f t="shared" si="10"/>
        <v>48</v>
      </c>
      <c r="L67" s="891" t="str">
        <f t="shared" si="11"/>
        <v>June</v>
      </c>
      <c r="M67" s="888">
        <f t="shared" si="27"/>
        <v>2029</v>
      </c>
      <c r="N67" s="883">
        <f t="shared" si="12"/>
        <v>0</v>
      </c>
      <c r="O67" s="883">
        <f t="shared" si="29"/>
        <v>0</v>
      </c>
      <c r="P67" s="1100"/>
      <c r="Q67" s="883">
        <f t="shared" si="3"/>
        <v>0</v>
      </c>
      <c r="R67" s="884">
        <f>IF(AND($AS$39="Early Payoff",J67&gt;=$S$13),0,IF($T$4="Annual",-$M$7*$U66*1,IF(AND($T$4="Bi-Annual",$M$8="Base"),(-$M$7/2)*$U66*1,IF(AND($T$4="Bi-Annual",$M$8="Actual Days"),(-$M$7*$U66)*(G67/366),IF($T$4="Monthly",(-$M$7/12)*$U66*1)))))</f>
        <v>0</v>
      </c>
      <c r="S67" s="884">
        <f>IF(AND($AS$39="Early Payoff",J67&gt;=$S$13),0,IF($J67&lt;=$S$6,SUM($Q$20:$Q67),0))</f>
        <v>0</v>
      </c>
      <c r="T67" s="884">
        <f>IF(AND($AS$39="Early Payoff",J67&gt;=$S$13),0,IF($J67&lt;=$S$6,SUM($R$20:$R67),0))</f>
        <v>0</v>
      </c>
      <c r="U67" s="885">
        <f t="shared" si="4"/>
        <v>0</v>
      </c>
      <c r="V67" s="1110">
        <f t="shared" si="21"/>
        <v>0</v>
      </c>
      <c r="X67" s="1102">
        <f t="shared" si="5"/>
        <v>0</v>
      </c>
      <c r="Y67" s="873">
        <f t="shared" si="6"/>
        <v>0</v>
      </c>
      <c r="Z67" s="873">
        <f t="shared" si="7"/>
        <v>0</v>
      </c>
      <c r="AA67" s="885">
        <f t="shared" si="8"/>
        <v>0</v>
      </c>
    </row>
    <row r="68" spans="1:27" s="278" customFormat="1" ht="12" customHeight="1" x14ac:dyDescent="0.25">
      <c r="A68" s="880"/>
      <c r="B68" s="1192" t="e">
        <f t="shared" si="18"/>
        <v>#N/A</v>
      </c>
      <c r="C68" s="732">
        <f t="shared" si="0"/>
        <v>31</v>
      </c>
      <c r="D68" s="35">
        <f t="shared" si="1"/>
        <v>7</v>
      </c>
      <c r="E68" s="889">
        <f t="shared" si="24"/>
        <v>47330</v>
      </c>
      <c r="F68" s="822">
        <f t="shared" si="9"/>
        <v>7</v>
      </c>
      <c r="G68" s="500">
        <f t="shared" si="25"/>
        <v>31</v>
      </c>
      <c r="H68" s="126">
        <f t="shared" si="2"/>
        <v>0</v>
      </c>
      <c r="I68" s="1098">
        <f t="shared" si="26"/>
        <v>0</v>
      </c>
      <c r="J68" s="887">
        <f t="shared" si="19"/>
        <v>49</v>
      </c>
      <c r="K68" s="1099">
        <f>IF($J68&lt;=$AR$29,0,IF($J67&gt;=$AR$29,$K67+1))</f>
        <v>49</v>
      </c>
      <c r="L68" s="891" t="str">
        <f t="shared" si="11"/>
        <v>July</v>
      </c>
      <c r="M68" s="888">
        <f t="shared" si="27"/>
        <v>2029</v>
      </c>
      <c r="N68" s="883">
        <f t="shared" si="12"/>
        <v>0</v>
      </c>
      <c r="O68" s="883">
        <f t="shared" si="29"/>
        <v>0</v>
      </c>
      <c r="P68" s="1100"/>
      <c r="Q68" s="883">
        <f>IF(AND($AS$39="Early Payoff",J68&gt;=$S$13),0,IF($J68&gt;$S$6,0,IF(AND($AR$29&gt;0,$J68&lt;=$AR$29),0,+$O68-$R68)))</f>
        <v>0</v>
      </c>
      <c r="R68" s="884">
        <f>IF(AND($AS$39="Early Payoff",J68&gt;=$S$13),0,IF($T$4="Annual",-$M$7*$U67*1,IF(AND($T$4="Bi-Annual",$M$8="Base"),(-$M$7/2)*$U67*1,IF(AND($T$4="Bi-Annual",$M$8="Actual Days"),(-$M$7*$U67)*(G68/366),IF($T$4="Monthly",(-$M$7/12)*$U67*1)))))</f>
        <v>0</v>
      </c>
      <c r="S68" s="884">
        <f>IF(AND($AS$39="Early Payoff",J68&gt;=$S$13),0,IF($J68&lt;=$S$6,SUM($Q$20:$Q68),0))</f>
        <v>0</v>
      </c>
      <c r="T68" s="884">
        <f>IF(AND($AS$39="Early Payoff",J68&gt;=$S$13),0,IF($J68&lt;=$S$6,SUM($R$20:$R68),0))</f>
        <v>0</v>
      </c>
      <c r="U68" s="885">
        <f>IF($K68&lt;$S$13,SUM($N68,$Q68),0)</f>
        <v>0</v>
      </c>
      <c r="V68" s="1110">
        <f t="shared" si="21"/>
        <v>0</v>
      </c>
      <c r="X68" s="1102">
        <f t="shared" si="5"/>
        <v>0</v>
      </c>
      <c r="Y68" s="873">
        <f t="shared" si="6"/>
        <v>0</v>
      </c>
      <c r="Z68" s="873">
        <f t="shared" si="7"/>
        <v>0</v>
      </c>
      <c r="AA68" s="885">
        <f t="shared" si="8"/>
        <v>0</v>
      </c>
    </row>
    <row r="69" spans="1:27" s="278" customFormat="1" ht="12" customHeight="1" x14ac:dyDescent="0.25">
      <c r="A69" s="880"/>
      <c r="B69" s="1192" t="e">
        <f t="shared" si="18"/>
        <v>#N/A</v>
      </c>
      <c r="C69" s="732">
        <f t="shared" si="0"/>
        <v>31</v>
      </c>
      <c r="D69" s="35">
        <f t="shared" si="1"/>
        <v>8</v>
      </c>
      <c r="E69" s="889">
        <f t="shared" si="24"/>
        <v>47361</v>
      </c>
      <c r="F69" s="822">
        <f t="shared" si="9"/>
        <v>8</v>
      </c>
      <c r="G69" s="500">
        <f t="shared" si="25"/>
        <v>31</v>
      </c>
      <c r="H69" s="126">
        <f t="shared" si="2"/>
        <v>0</v>
      </c>
      <c r="I69" s="1098">
        <f t="shared" si="26"/>
        <v>0</v>
      </c>
      <c r="J69" s="887">
        <f t="shared" si="19"/>
        <v>50</v>
      </c>
      <c r="K69" s="1099">
        <f t="shared" si="10"/>
        <v>50</v>
      </c>
      <c r="L69" s="891" t="str">
        <f t="shared" si="11"/>
        <v>August</v>
      </c>
      <c r="M69" s="888">
        <f t="shared" si="27"/>
        <v>2029</v>
      </c>
      <c r="N69" s="883">
        <f t="shared" si="12"/>
        <v>0</v>
      </c>
      <c r="O69" s="883">
        <f t="shared" si="29"/>
        <v>0</v>
      </c>
      <c r="P69" s="1100"/>
      <c r="Q69" s="883">
        <f t="shared" si="3"/>
        <v>0</v>
      </c>
      <c r="R69" s="884">
        <f t="shared" si="20"/>
        <v>0</v>
      </c>
      <c r="S69" s="884">
        <f>IF(AND($AS$39="Early Payoff",J69&gt;=$S$13),0,IF($J69&lt;=$S$6,SUM($Q$20:$Q69),0))</f>
        <v>0</v>
      </c>
      <c r="T69" s="884">
        <f>IF(AND($AS$39="Early Payoff",J69&gt;=$S$13),0,IF($J69&lt;=$S$6,SUM($R$20:$R69),0))</f>
        <v>0</v>
      </c>
      <c r="U69" s="885">
        <f t="shared" si="4"/>
        <v>0</v>
      </c>
      <c r="V69" s="1110">
        <f>IF($T$4="Monthly",$N69,IF(AND(OR($T$4="Annual",$T$4="Bi-Annual"),$K69=$T$7),INDEX($J$19:$U$379,MATCH($T$7,$K$19:$K$2379,0),MATCH($N$19,$J$19:$U$19,0)),IF(AND(OR($T$4="Annual",$T$4="Bi-Annual"),$K69&lt;$T$7),$N69,0)))</f>
        <v>0</v>
      </c>
      <c r="X69" s="1102">
        <f t="shared" si="5"/>
        <v>0</v>
      </c>
      <c r="Y69" s="873">
        <f t="shared" si="6"/>
        <v>0</v>
      </c>
      <c r="Z69" s="873">
        <f t="shared" si="7"/>
        <v>0</v>
      </c>
      <c r="AA69" s="885">
        <f t="shared" si="8"/>
        <v>0</v>
      </c>
    </row>
    <row r="70" spans="1:27" s="278" customFormat="1" ht="12" customHeight="1" x14ac:dyDescent="0.25">
      <c r="A70" s="880"/>
      <c r="B70" s="1192" t="e">
        <f t="shared" si="18"/>
        <v>#N/A</v>
      </c>
      <c r="C70" s="732">
        <f t="shared" si="0"/>
        <v>30</v>
      </c>
      <c r="D70" s="35">
        <f t="shared" si="1"/>
        <v>9</v>
      </c>
      <c r="E70" s="889">
        <f t="shared" si="24"/>
        <v>47391</v>
      </c>
      <c r="F70" s="822">
        <f t="shared" si="9"/>
        <v>9</v>
      </c>
      <c r="G70" s="500">
        <f t="shared" si="25"/>
        <v>30</v>
      </c>
      <c r="H70" s="126">
        <f t="shared" si="2"/>
        <v>0</v>
      </c>
      <c r="I70" s="1098">
        <f t="shared" si="26"/>
        <v>0</v>
      </c>
      <c r="J70" s="887">
        <f t="shared" si="19"/>
        <v>51</v>
      </c>
      <c r="K70" s="1099">
        <f t="shared" si="10"/>
        <v>51</v>
      </c>
      <c r="L70" s="891" t="str">
        <f t="shared" si="11"/>
        <v>September</v>
      </c>
      <c r="M70" s="888">
        <f t="shared" si="27"/>
        <v>2029</v>
      </c>
      <c r="N70" s="883">
        <f t="shared" si="12"/>
        <v>0</v>
      </c>
      <c r="O70" s="883">
        <f t="shared" si="29"/>
        <v>0</v>
      </c>
      <c r="P70" s="1100"/>
      <c r="Q70" s="883">
        <f t="shared" si="3"/>
        <v>0</v>
      </c>
      <c r="R70" s="884">
        <f t="shared" ref="R70:R133" si="33">IF(AND($AS$39="Early Payoff",J70&gt;=$S$13),0,IF($T$4="Annual",-$M$7*$U69*1,IF($T$4="Bi-Annual",(-$M$7/2)*$U69*1,IF($T$4="Monthly",(-$M$7/12)*$U69*1))))</f>
        <v>0</v>
      </c>
      <c r="S70" s="884">
        <f>IF(AND($AS$39="Early Payoff",J70&gt;=$S$13),0,IF($J70&lt;=$S$6,SUM($Q$20:$Q70),0))</f>
        <v>0</v>
      </c>
      <c r="T70" s="884">
        <f>IF(AND($AS$39="Early Payoff",J70&gt;=$S$13),0,IF($J70&lt;=$S$6,SUM($R$20:$R70),0))</f>
        <v>0</v>
      </c>
      <c r="U70" s="885">
        <f t="shared" si="4"/>
        <v>0</v>
      </c>
      <c r="V70" s="1110">
        <f t="shared" ref="V70:V133" si="34">IF($T$4="Monthly",$N70,IF(AND(OR($T$4="Annual",$T$4="Bi-Annual"),$K70=$T$7),INDEX($J$19:$U$379,MATCH($T$7,$K$19:$K$2379,0),MATCH($N$19,$J$19:$U$19,0)),IF(AND(OR($T$4="Annual",$T$4="Bi-Annual"),$K70&lt;$T$7),$N70,0)))</f>
        <v>0</v>
      </c>
      <c r="X70" s="1102">
        <f t="shared" si="5"/>
        <v>0</v>
      </c>
      <c r="Y70" s="873">
        <f t="shared" si="6"/>
        <v>0</v>
      </c>
      <c r="Z70" s="873">
        <f t="shared" si="7"/>
        <v>0</v>
      </c>
      <c r="AA70" s="885">
        <f t="shared" si="8"/>
        <v>0</v>
      </c>
    </row>
    <row r="71" spans="1:27" s="278" customFormat="1" ht="12" customHeight="1" x14ac:dyDescent="0.25">
      <c r="A71" s="880"/>
      <c r="B71" s="1192" t="e">
        <f t="shared" si="18"/>
        <v>#N/A</v>
      </c>
      <c r="C71" s="732">
        <f t="shared" si="0"/>
        <v>31</v>
      </c>
      <c r="D71" s="35">
        <f t="shared" si="1"/>
        <v>10</v>
      </c>
      <c r="E71" s="889">
        <f t="shared" si="24"/>
        <v>47422</v>
      </c>
      <c r="F71" s="822">
        <f t="shared" si="9"/>
        <v>10</v>
      </c>
      <c r="G71" s="500">
        <f t="shared" si="25"/>
        <v>31</v>
      </c>
      <c r="H71" s="126">
        <f t="shared" si="2"/>
        <v>0</v>
      </c>
      <c r="I71" s="1098">
        <f t="shared" si="26"/>
        <v>0</v>
      </c>
      <c r="J71" s="887">
        <f t="shared" si="19"/>
        <v>52</v>
      </c>
      <c r="K71" s="1099">
        <f t="shared" si="10"/>
        <v>52</v>
      </c>
      <c r="L71" s="891" t="str">
        <f t="shared" si="11"/>
        <v>October</v>
      </c>
      <c r="M71" s="888">
        <f t="shared" si="27"/>
        <v>2029</v>
      </c>
      <c r="N71" s="883">
        <f t="shared" si="12"/>
        <v>0</v>
      </c>
      <c r="O71" s="883">
        <f t="shared" si="29"/>
        <v>0</v>
      </c>
      <c r="P71" s="1100"/>
      <c r="Q71" s="883">
        <f t="shared" si="3"/>
        <v>0</v>
      </c>
      <c r="R71" s="884">
        <f t="shared" si="33"/>
        <v>0</v>
      </c>
      <c r="S71" s="884">
        <f>IF(AND($AS$39="Early Payoff",J71&gt;=$S$13),0,IF($J71&lt;=$S$6,SUM($Q$20:$Q71),0))</f>
        <v>0</v>
      </c>
      <c r="T71" s="884">
        <f>IF(AND($AS$39="Early Payoff",J71&gt;=$S$13),0,IF($J71&lt;=$S$6,SUM($R$20:$R71),0))</f>
        <v>0</v>
      </c>
      <c r="U71" s="885">
        <f t="shared" si="4"/>
        <v>0</v>
      </c>
      <c r="V71" s="1110">
        <f t="shared" si="34"/>
        <v>0</v>
      </c>
      <c r="X71" s="1102">
        <f t="shared" si="5"/>
        <v>0</v>
      </c>
      <c r="Y71" s="873">
        <f t="shared" si="6"/>
        <v>0</v>
      </c>
      <c r="Z71" s="873">
        <f t="shared" si="7"/>
        <v>0</v>
      </c>
      <c r="AA71" s="885">
        <f t="shared" si="8"/>
        <v>0</v>
      </c>
    </row>
    <row r="72" spans="1:27" s="278" customFormat="1" ht="12" customHeight="1" x14ac:dyDescent="0.25">
      <c r="A72" s="299"/>
      <c r="B72" s="1192" t="e">
        <f t="shared" si="18"/>
        <v>#N/A</v>
      </c>
      <c r="C72" s="732">
        <f t="shared" si="0"/>
        <v>30</v>
      </c>
      <c r="D72" s="35">
        <f t="shared" si="1"/>
        <v>11</v>
      </c>
      <c r="E72" s="889">
        <f t="shared" si="24"/>
        <v>47452</v>
      </c>
      <c r="F72" s="822">
        <f t="shared" si="9"/>
        <v>11</v>
      </c>
      <c r="G72" s="500">
        <f t="shared" si="25"/>
        <v>30</v>
      </c>
      <c r="H72" s="126">
        <f t="shared" si="2"/>
        <v>0</v>
      </c>
      <c r="I72" s="1098">
        <f t="shared" si="26"/>
        <v>0</v>
      </c>
      <c r="J72" s="887">
        <f t="shared" si="19"/>
        <v>53</v>
      </c>
      <c r="K72" s="1099">
        <f t="shared" si="10"/>
        <v>53</v>
      </c>
      <c r="L72" s="891" t="str">
        <f t="shared" si="11"/>
        <v>November</v>
      </c>
      <c r="M72" s="888">
        <f t="shared" si="27"/>
        <v>2029</v>
      </c>
      <c r="N72" s="883">
        <f t="shared" si="12"/>
        <v>0</v>
      </c>
      <c r="O72" s="883">
        <f t="shared" si="29"/>
        <v>0</v>
      </c>
      <c r="P72" s="1100"/>
      <c r="Q72" s="883">
        <f t="shared" si="3"/>
        <v>0</v>
      </c>
      <c r="R72" s="884">
        <f t="shared" si="33"/>
        <v>0</v>
      </c>
      <c r="S72" s="884">
        <f>IF(AND($AS$39="Early Payoff",J72&gt;=$S$13),0,IF($J72&lt;=$S$6,SUM($Q$20:$Q72),0))</f>
        <v>0</v>
      </c>
      <c r="T72" s="884">
        <f>IF(AND($AS$39="Early Payoff",J72&gt;=$S$13),0,IF($J72&lt;=$S$6,SUM($R$20:$R72),0))</f>
        <v>0</v>
      </c>
      <c r="U72" s="885">
        <f t="shared" si="4"/>
        <v>0</v>
      </c>
      <c r="V72" s="1110">
        <f t="shared" si="34"/>
        <v>0</v>
      </c>
      <c r="X72" s="1102">
        <f t="shared" si="5"/>
        <v>0</v>
      </c>
      <c r="Y72" s="873">
        <f t="shared" si="6"/>
        <v>0</v>
      </c>
      <c r="Z72" s="873">
        <f t="shared" si="7"/>
        <v>0</v>
      </c>
      <c r="AA72" s="885">
        <f t="shared" si="8"/>
        <v>0</v>
      </c>
    </row>
    <row r="73" spans="1:27" s="278" customFormat="1" ht="12" customHeight="1" x14ac:dyDescent="0.25">
      <c r="A73" s="299"/>
      <c r="B73" s="1192" t="e">
        <f t="shared" si="18"/>
        <v>#N/A</v>
      </c>
      <c r="C73" s="732">
        <f t="shared" si="0"/>
        <v>31</v>
      </c>
      <c r="D73" s="35">
        <f t="shared" si="1"/>
        <v>12</v>
      </c>
      <c r="E73" s="889">
        <f t="shared" si="24"/>
        <v>47483</v>
      </c>
      <c r="F73" s="822">
        <f t="shared" si="9"/>
        <v>12</v>
      </c>
      <c r="G73" s="500">
        <f t="shared" si="25"/>
        <v>31</v>
      </c>
      <c r="H73" s="126">
        <f t="shared" si="2"/>
        <v>1</v>
      </c>
      <c r="I73" s="1098">
        <f t="shared" si="26"/>
        <v>0</v>
      </c>
      <c r="J73" s="887">
        <f t="shared" si="19"/>
        <v>54</v>
      </c>
      <c r="K73" s="1099">
        <f t="shared" si="10"/>
        <v>54</v>
      </c>
      <c r="L73" s="891" t="str">
        <f t="shared" si="11"/>
        <v>December</v>
      </c>
      <c r="M73" s="888">
        <f t="shared" si="27"/>
        <v>2029</v>
      </c>
      <c r="N73" s="883">
        <f t="shared" si="12"/>
        <v>0</v>
      </c>
      <c r="O73" s="883">
        <f t="shared" si="29"/>
        <v>0</v>
      </c>
      <c r="P73" s="1100"/>
      <c r="Q73" s="883">
        <f t="shared" si="3"/>
        <v>0</v>
      </c>
      <c r="R73" s="884">
        <f t="shared" si="33"/>
        <v>0</v>
      </c>
      <c r="S73" s="884">
        <f>IF(AND($AS$39="Early Payoff",J73&gt;=$S$13),0,IF($J73&lt;=$S$6,SUM($Q$20:$Q73),0))</f>
        <v>0</v>
      </c>
      <c r="T73" s="884">
        <f>IF(AND($AS$39="Early Payoff",J73&gt;=$S$13),0,IF($J73&lt;=$S$6,SUM($R$20:$R73),0))</f>
        <v>0</v>
      </c>
      <c r="U73" s="885">
        <f t="shared" si="4"/>
        <v>0</v>
      </c>
      <c r="V73" s="1110">
        <f t="shared" si="34"/>
        <v>0</v>
      </c>
      <c r="X73" s="1102">
        <f t="shared" si="5"/>
        <v>0</v>
      </c>
      <c r="Y73" s="873">
        <f t="shared" si="6"/>
        <v>0</v>
      </c>
      <c r="Z73" s="873">
        <f t="shared" si="7"/>
        <v>0</v>
      </c>
      <c r="AA73" s="885">
        <f t="shared" si="8"/>
        <v>0</v>
      </c>
    </row>
    <row r="74" spans="1:27" s="278" customFormat="1" ht="12" customHeight="1" x14ac:dyDescent="0.25">
      <c r="A74" s="299"/>
      <c r="B74" s="1192" t="e">
        <f t="shared" si="18"/>
        <v>#N/A</v>
      </c>
      <c r="C74" s="732">
        <f t="shared" si="0"/>
        <v>31</v>
      </c>
      <c r="D74" s="35">
        <f t="shared" si="1"/>
        <v>1</v>
      </c>
      <c r="E74" s="889">
        <f t="shared" si="24"/>
        <v>47514</v>
      </c>
      <c r="F74" s="822">
        <f t="shared" si="9"/>
        <v>1</v>
      </c>
      <c r="G74" s="500">
        <f t="shared" si="25"/>
        <v>31</v>
      </c>
      <c r="H74" s="126">
        <f t="shared" si="2"/>
        <v>0</v>
      </c>
      <c r="I74" s="1098">
        <f t="shared" si="26"/>
        <v>0</v>
      </c>
      <c r="J74" s="887">
        <f t="shared" si="19"/>
        <v>55</v>
      </c>
      <c r="K74" s="1099">
        <f t="shared" si="10"/>
        <v>55</v>
      </c>
      <c r="L74" s="891" t="str">
        <f t="shared" si="11"/>
        <v>January</v>
      </c>
      <c r="M74" s="888">
        <f t="shared" si="27"/>
        <v>2030</v>
      </c>
      <c r="N74" s="883">
        <f t="shared" si="12"/>
        <v>0</v>
      </c>
      <c r="O74" s="883">
        <f t="shared" si="29"/>
        <v>0</v>
      </c>
      <c r="P74" s="1100"/>
      <c r="Q74" s="883">
        <f t="shared" si="3"/>
        <v>0</v>
      </c>
      <c r="R74" s="884">
        <f t="shared" si="33"/>
        <v>0</v>
      </c>
      <c r="S74" s="884">
        <f>IF(AND($AS$39="Early Payoff",J74&gt;=$S$13),0,IF($J74&lt;=$S$6,SUM($Q$20:$Q74),0))</f>
        <v>0</v>
      </c>
      <c r="T74" s="884">
        <f>IF(AND($AS$39="Early Payoff",J74&gt;=$S$13),0,IF($J74&lt;=$S$6,SUM($R$20:$R74),0))</f>
        <v>0</v>
      </c>
      <c r="U74" s="885">
        <f t="shared" si="4"/>
        <v>0</v>
      </c>
      <c r="V74" s="1110">
        <f t="shared" si="34"/>
        <v>0</v>
      </c>
      <c r="X74" s="1102">
        <f t="shared" si="5"/>
        <v>0</v>
      </c>
      <c r="Y74" s="873">
        <f t="shared" si="6"/>
        <v>0</v>
      </c>
      <c r="Z74" s="873">
        <f t="shared" si="7"/>
        <v>0</v>
      </c>
      <c r="AA74" s="885">
        <f t="shared" si="8"/>
        <v>0</v>
      </c>
    </row>
    <row r="75" spans="1:27" s="278" customFormat="1" ht="12" customHeight="1" x14ac:dyDescent="0.25">
      <c r="B75" s="1192" t="e">
        <f t="shared" si="18"/>
        <v>#N/A</v>
      </c>
      <c r="C75" s="732">
        <f t="shared" si="0"/>
        <v>28</v>
      </c>
      <c r="D75" s="35">
        <f t="shared" si="1"/>
        <v>2</v>
      </c>
      <c r="E75" s="889">
        <f t="shared" si="24"/>
        <v>47542</v>
      </c>
      <c r="F75" s="822">
        <f t="shared" si="9"/>
        <v>2</v>
      </c>
      <c r="G75" s="500">
        <f t="shared" si="25"/>
        <v>28</v>
      </c>
      <c r="H75" s="126">
        <f t="shared" si="2"/>
        <v>0</v>
      </c>
      <c r="I75" s="1098">
        <f t="shared" si="26"/>
        <v>0</v>
      </c>
      <c r="J75" s="887">
        <f t="shared" si="19"/>
        <v>56</v>
      </c>
      <c r="K75" s="1099">
        <f t="shared" si="10"/>
        <v>56</v>
      </c>
      <c r="L75" s="891" t="str">
        <f t="shared" si="11"/>
        <v>February</v>
      </c>
      <c r="M75" s="888">
        <f t="shared" si="27"/>
        <v>2030</v>
      </c>
      <c r="N75" s="883">
        <f t="shared" si="12"/>
        <v>0</v>
      </c>
      <c r="O75" s="883">
        <f t="shared" si="29"/>
        <v>0</v>
      </c>
      <c r="P75" s="1100"/>
      <c r="Q75" s="883">
        <f t="shared" si="3"/>
        <v>0</v>
      </c>
      <c r="R75" s="884">
        <f t="shared" si="33"/>
        <v>0</v>
      </c>
      <c r="S75" s="884">
        <f>IF(AND($AS$39="Early Payoff",J75&gt;=$S$13),0,IF($J75&lt;=$S$6,SUM($Q$20:$Q75),0))</f>
        <v>0</v>
      </c>
      <c r="T75" s="884">
        <f>IF(AND($AS$39="Early Payoff",J75&gt;=$S$13),0,IF($J75&lt;=$S$6,SUM($R$20:$R75),0))</f>
        <v>0</v>
      </c>
      <c r="U75" s="885">
        <f t="shared" si="4"/>
        <v>0</v>
      </c>
      <c r="V75" s="1110">
        <f t="shared" si="34"/>
        <v>0</v>
      </c>
      <c r="X75" s="1102">
        <f t="shared" si="5"/>
        <v>0</v>
      </c>
      <c r="Y75" s="873">
        <f t="shared" si="6"/>
        <v>0</v>
      </c>
      <c r="Z75" s="873">
        <f t="shared" si="7"/>
        <v>0</v>
      </c>
      <c r="AA75" s="885">
        <f t="shared" si="8"/>
        <v>0</v>
      </c>
    </row>
    <row r="76" spans="1:27" s="278" customFormat="1" ht="12" customHeight="1" x14ac:dyDescent="0.25">
      <c r="B76" s="1192" t="e">
        <f t="shared" si="18"/>
        <v>#N/A</v>
      </c>
      <c r="C76" s="732">
        <f t="shared" si="0"/>
        <v>31</v>
      </c>
      <c r="D76" s="35">
        <f t="shared" si="1"/>
        <v>3</v>
      </c>
      <c r="E76" s="889">
        <f t="shared" si="24"/>
        <v>47573</v>
      </c>
      <c r="F76" s="822">
        <f t="shared" si="9"/>
        <v>3</v>
      </c>
      <c r="G76" s="500">
        <f t="shared" si="25"/>
        <v>31</v>
      </c>
      <c r="H76" s="126">
        <f t="shared" si="2"/>
        <v>0</v>
      </c>
      <c r="I76" s="1098">
        <f t="shared" si="26"/>
        <v>0</v>
      </c>
      <c r="J76" s="887">
        <f t="shared" si="19"/>
        <v>57</v>
      </c>
      <c r="K76" s="1099">
        <f t="shared" si="10"/>
        <v>57</v>
      </c>
      <c r="L76" s="891" t="str">
        <f t="shared" si="11"/>
        <v>March</v>
      </c>
      <c r="M76" s="888">
        <f t="shared" si="27"/>
        <v>2030</v>
      </c>
      <c r="N76" s="883">
        <f t="shared" si="12"/>
        <v>0</v>
      </c>
      <c r="O76" s="883">
        <f t="shared" si="29"/>
        <v>0</v>
      </c>
      <c r="P76" s="1100"/>
      <c r="Q76" s="883">
        <f t="shared" si="3"/>
        <v>0</v>
      </c>
      <c r="R76" s="884">
        <f t="shared" si="33"/>
        <v>0</v>
      </c>
      <c r="S76" s="884">
        <f>IF(AND($AS$39="Early Payoff",J76&gt;=$S$13),0,IF($J76&lt;=$S$6,SUM($Q$20:$Q76),0))</f>
        <v>0</v>
      </c>
      <c r="T76" s="884">
        <f>IF(AND($AS$39="Early Payoff",J76&gt;=$S$13),0,IF($J76&lt;=$S$6,SUM($R$20:$R76),0))</f>
        <v>0</v>
      </c>
      <c r="U76" s="885">
        <f t="shared" si="4"/>
        <v>0</v>
      </c>
      <c r="V76" s="1110">
        <f t="shared" si="34"/>
        <v>0</v>
      </c>
      <c r="X76" s="1102">
        <f t="shared" si="5"/>
        <v>0</v>
      </c>
      <c r="Y76" s="873">
        <f t="shared" si="6"/>
        <v>0</v>
      </c>
      <c r="Z76" s="873">
        <f t="shared" si="7"/>
        <v>0</v>
      </c>
      <c r="AA76" s="885">
        <f t="shared" si="8"/>
        <v>0</v>
      </c>
    </row>
    <row r="77" spans="1:27" s="278" customFormat="1" ht="12" customHeight="1" x14ac:dyDescent="0.25">
      <c r="B77" s="1192" t="e">
        <f t="shared" si="18"/>
        <v>#N/A</v>
      </c>
      <c r="C77" s="732">
        <f t="shared" si="0"/>
        <v>30</v>
      </c>
      <c r="D77" s="35">
        <f t="shared" si="1"/>
        <v>4</v>
      </c>
      <c r="E77" s="889">
        <f t="shared" si="24"/>
        <v>47603</v>
      </c>
      <c r="F77" s="822">
        <f t="shared" si="9"/>
        <v>4</v>
      </c>
      <c r="G77" s="500">
        <f t="shared" si="25"/>
        <v>30</v>
      </c>
      <c r="H77" s="126">
        <f t="shared" si="2"/>
        <v>0</v>
      </c>
      <c r="I77" s="1098">
        <f t="shared" si="26"/>
        <v>0</v>
      </c>
      <c r="J77" s="887">
        <f t="shared" si="19"/>
        <v>58</v>
      </c>
      <c r="K77" s="1099">
        <f t="shared" si="10"/>
        <v>58</v>
      </c>
      <c r="L77" s="891" t="str">
        <f t="shared" si="11"/>
        <v>April</v>
      </c>
      <c r="M77" s="888">
        <f t="shared" si="27"/>
        <v>2030</v>
      </c>
      <c r="N77" s="883">
        <f t="shared" si="12"/>
        <v>0</v>
      </c>
      <c r="O77" s="883">
        <f t="shared" si="29"/>
        <v>0</v>
      </c>
      <c r="P77" s="1100"/>
      <c r="Q77" s="883">
        <f t="shared" si="3"/>
        <v>0</v>
      </c>
      <c r="R77" s="884">
        <f t="shared" si="33"/>
        <v>0</v>
      </c>
      <c r="S77" s="884">
        <f>IF(AND($AS$39="Early Payoff",J77&gt;=$S$13),0,IF($J77&lt;=$S$6,SUM($Q$20:$Q77),0))</f>
        <v>0</v>
      </c>
      <c r="T77" s="884">
        <f>IF(AND($AS$39="Early Payoff",J77&gt;=$S$13),0,IF($J77&lt;=$S$6,SUM($R$20:$R77),0))</f>
        <v>0</v>
      </c>
      <c r="U77" s="885">
        <f t="shared" si="4"/>
        <v>0</v>
      </c>
      <c r="V77" s="1110">
        <f t="shared" si="34"/>
        <v>0</v>
      </c>
      <c r="X77" s="1102">
        <f t="shared" si="5"/>
        <v>0</v>
      </c>
      <c r="Y77" s="873">
        <f t="shared" si="6"/>
        <v>0</v>
      </c>
      <c r="Z77" s="873">
        <f t="shared" si="7"/>
        <v>0</v>
      </c>
      <c r="AA77" s="885">
        <f t="shared" si="8"/>
        <v>0</v>
      </c>
    </row>
    <row r="78" spans="1:27" s="278" customFormat="1" ht="12" customHeight="1" x14ac:dyDescent="0.25">
      <c r="B78" s="1192" t="e">
        <f t="shared" si="18"/>
        <v>#N/A</v>
      </c>
      <c r="C78" s="732">
        <f t="shared" si="0"/>
        <v>31</v>
      </c>
      <c r="D78" s="35">
        <f t="shared" si="1"/>
        <v>5</v>
      </c>
      <c r="E78" s="889">
        <f t="shared" si="24"/>
        <v>47634</v>
      </c>
      <c r="F78" s="822">
        <f t="shared" si="9"/>
        <v>5</v>
      </c>
      <c r="G78" s="500">
        <f t="shared" si="25"/>
        <v>31</v>
      </c>
      <c r="H78" s="126">
        <f t="shared" si="2"/>
        <v>0</v>
      </c>
      <c r="I78" s="1098">
        <f t="shared" si="26"/>
        <v>0</v>
      </c>
      <c r="J78" s="887">
        <f t="shared" si="19"/>
        <v>59</v>
      </c>
      <c r="K78" s="1099">
        <f t="shared" si="10"/>
        <v>59</v>
      </c>
      <c r="L78" s="891" t="str">
        <f t="shared" si="11"/>
        <v>May</v>
      </c>
      <c r="M78" s="888">
        <f t="shared" si="27"/>
        <v>2030</v>
      </c>
      <c r="N78" s="883">
        <f t="shared" si="12"/>
        <v>0</v>
      </c>
      <c r="O78" s="883">
        <f t="shared" si="29"/>
        <v>0</v>
      </c>
      <c r="P78" s="1100"/>
      <c r="Q78" s="883">
        <f t="shared" si="3"/>
        <v>0</v>
      </c>
      <c r="R78" s="884">
        <f t="shared" si="33"/>
        <v>0</v>
      </c>
      <c r="S78" s="884">
        <f>IF(AND($AS$39="Early Payoff",J78&gt;=$S$13),0,IF($J78&lt;=$S$6,SUM($Q$20:$Q78),0))</f>
        <v>0</v>
      </c>
      <c r="T78" s="884">
        <f>IF(AND($AS$39="Early Payoff",J78&gt;=$S$13),0,IF($J78&lt;=$S$6,SUM($R$20:$R78),0))</f>
        <v>0</v>
      </c>
      <c r="U78" s="885">
        <f t="shared" si="4"/>
        <v>0</v>
      </c>
      <c r="V78" s="1110">
        <f t="shared" si="34"/>
        <v>0</v>
      </c>
      <c r="X78" s="1102">
        <f t="shared" si="5"/>
        <v>0</v>
      </c>
      <c r="Y78" s="873">
        <f t="shared" si="6"/>
        <v>0</v>
      </c>
      <c r="Z78" s="873">
        <f t="shared" si="7"/>
        <v>0</v>
      </c>
      <c r="AA78" s="885">
        <f t="shared" si="8"/>
        <v>0</v>
      </c>
    </row>
    <row r="79" spans="1:27" s="278" customFormat="1" ht="12" customHeight="1" x14ac:dyDescent="0.25">
      <c r="B79" s="1192" t="e">
        <f t="shared" si="18"/>
        <v>#N/A</v>
      </c>
      <c r="C79" s="732">
        <f t="shared" si="0"/>
        <v>30</v>
      </c>
      <c r="D79" s="35">
        <f t="shared" si="1"/>
        <v>6</v>
      </c>
      <c r="E79" s="889">
        <f t="shared" si="24"/>
        <v>47664</v>
      </c>
      <c r="F79" s="822">
        <f t="shared" si="9"/>
        <v>6</v>
      </c>
      <c r="G79" s="500">
        <f t="shared" si="25"/>
        <v>30</v>
      </c>
      <c r="H79" s="126">
        <f t="shared" si="2"/>
        <v>0</v>
      </c>
      <c r="I79" s="1098">
        <f t="shared" si="26"/>
        <v>0</v>
      </c>
      <c r="J79" s="887">
        <f t="shared" si="19"/>
        <v>60</v>
      </c>
      <c r="K79" s="1099">
        <f t="shared" si="10"/>
        <v>60</v>
      </c>
      <c r="L79" s="891" t="str">
        <f t="shared" si="11"/>
        <v>June</v>
      </c>
      <c r="M79" s="888">
        <f t="shared" si="27"/>
        <v>2030</v>
      </c>
      <c r="N79" s="883">
        <f t="shared" si="12"/>
        <v>0</v>
      </c>
      <c r="O79" s="883">
        <f t="shared" si="29"/>
        <v>0</v>
      </c>
      <c r="P79" s="1100"/>
      <c r="Q79" s="883">
        <f t="shared" si="3"/>
        <v>0</v>
      </c>
      <c r="R79" s="884">
        <f t="shared" si="33"/>
        <v>0</v>
      </c>
      <c r="S79" s="884">
        <f>IF(AND($AS$39="Early Payoff",J79&gt;=$S$13),0,IF($J79&lt;=$S$6,SUM($Q$20:$Q79),0))</f>
        <v>0</v>
      </c>
      <c r="T79" s="884">
        <f>IF(AND($AS$39="Early Payoff",J79&gt;=$S$13),0,IF($J79&lt;=$S$6,SUM($R$20:$R79),0))</f>
        <v>0</v>
      </c>
      <c r="U79" s="885">
        <f t="shared" si="4"/>
        <v>0</v>
      </c>
      <c r="V79" s="1110">
        <f t="shared" si="34"/>
        <v>0</v>
      </c>
      <c r="X79" s="1102">
        <f t="shared" si="5"/>
        <v>0</v>
      </c>
      <c r="Y79" s="873">
        <f t="shared" si="6"/>
        <v>0</v>
      </c>
      <c r="Z79" s="873">
        <f t="shared" si="7"/>
        <v>0</v>
      </c>
      <c r="AA79" s="885">
        <f t="shared" si="8"/>
        <v>0</v>
      </c>
    </row>
    <row r="80" spans="1:27" s="278" customFormat="1" ht="12" customHeight="1" x14ac:dyDescent="0.25">
      <c r="B80" s="1192" t="e">
        <f t="shared" si="18"/>
        <v>#N/A</v>
      </c>
      <c r="C80" s="732">
        <f t="shared" si="0"/>
        <v>31</v>
      </c>
      <c r="D80" s="35">
        <f t="shared" si="1"/>
        <v>7</v>
      </c>
      <c r="E80" s="889">
        <f t="shared" si="24"/>
        <v>47695</v>
      </c>
      <c r="F80" s="822">
        <f t="shared" si="9"/>
        <v>7</v>
      </c>
      <c r="G80" s="500">
        <f t="shared" si="25"/>
        <v>31</v>
      </c>
      <c r="H80" s="126">
        <f t="shared" si="2"/>
        <v>0</v>
      </c>
      <c r="I80" s="1098">
        <f t="shared" si="26"/>
        <v>0</v>
      </c>
      <c r="J80" s="887">
        <f t="shared" si="19"/>
        <v>61</v>
      </c>
      <c r="K80" s="1099">
        <f t="shared" si="10"/>
        <v>61</v>
      </c>
      <c r="L80" s="891" t="str">
        <f t="shared" si="11"/>
        <v>July</v>
      </c>
      <c r="M80" s="888">
        <f t="shared" si="27"/>
        <v>2030</v>
      </c>
      <c r="N80" s="883">
        <f t="shared" si="12"/>
        <v>0</v>
      </c>
      <c r="O80" s="883">
        <f t="shared" si="29"/>
        <v>0</v>
      </c>
      <c r="P80" s="1100"/>
      <c r="Q80" s="883">
        <f t="shared" si="3"/>
        <v>0</v>
      </c>
      <c r="R80" s="884">
        <f t="shared" si="33"/>
        <v>0</v>
      </c>
      <c r="S80" s="884">
        <f>IF(AND($AS$39="Early Payoff",J80&gt;=$S$13),0,IF($J80&lt;=$S$6,SUM($Q$20:$Q80),0))</f>
        <v>0</v>
      </c>
      <c r="T80" s="884">
        <f>IF(AND($AS$39="Early Payoff",J80&gt;=$S$13),0,IF($J80&lt;=$S$6,SUM($R$20:$R80),0))</f>
        <v>0</v>
      </c>
      <c r="U80" s="885">
        <f t="shared" si="4"/>
        <v>0</v>
      </c>
      <c r="V80" s="1110">
        <f t="shared" si="34"/>
        <v>0</v>
      </c>
      <c r="X80" s="1102">
        <f t="shared" si="5"/>
        <v>0</v>
      </c>
      <c r="Y80" s="873">
        <f t="shared" si="6"/>
        <v>0</v>
      </c>
      <c r="Z80" s="873">
        <f t="shared" si="7"/>
        <v>0</v>
      </c>
      <c r="AA80" s="885">
        <f t="shared" si="8"/>
        <v>0</v>
      </c>
    </row>
    <row r="81" spans="2:27" s="278" customFormat="1" ht="12" customHeight="1" x14ac:dyDescent="0.25">
      <c r="B81" s="1192" t="e">
        <f t="shared" si="18"/>
        <v>#N/A</v>
      </c>
      <c r="C81" s="732">
        <f t="shared" si="0"/>
        <v>31</v>
      </c>
      <c r="D81" s="35">
        <f t="shared" si="1"/>
        <v>8</v>
      </c>
      <c r="E81" s="889">
        <f t="shared" si="24"/>
        <v>47726</v>
      </c>
      <c r="F81" s="822">
        <f t="shared" si="9"/>
        <v>8</v>
      </c>
      <c r="G81" s="500">
        <f t="shared" si="25"/>
        <v>31</v>
      </c>
      <c r="H81" s="126">
        <f t="shared" si="2"/>
        <v>0</v>
      </c>
      <c r="I81" s="1098">
        <f t="shared" si="26"/>
        <v>0</v>
      </c>
      <c r="J81" s="887">
        <f t="shared" si="19"/>
        <v>62</v>
      </c>
      <c r="K81" s="1099">
        <f t="shared" si="10"/>
        <v>62</v>
      </c>
      <c r="L81" s="891" t="str">
        <f t="shared" si="11"/>
        <v>August</v>
      </c>
      <c r="M81" s="888">
        <f t="shared" si="27"/>
        <v>2030</v>
      </c>
      <c r="N81" s="883">
        <f t="shared" si="12"/>
        <v>0</v>
      </c>
      <c r="O81" s="883">
        <f t="shared" si="29"/>
        <v>0</v>
      </c>
      <c r="P81" s="1100"/>
      <c r="Q81" s="883">
        <f t="shared" si="3"/>
        <v>0</v>
      </c>
      <c r="R81" s="884">
        <f t="shared" si="33"/>
        <v>0</v>
      </c>
      <c r="S81" s="884">
        <f>IF(AND($AS$39="Early Payoff",J81&gt;=$S$13),0,IF($J81&lt;=$S$6,SUM($Q$20:$Q81),0))</f>
        <v>0</v>
      </c>
      <c r="T81" s="884">
        <f>IF(AND($AS$39="Early Payoff",J81&gt;=$S$13),0,IF($J81&lt;=$S$6,SUM($R$20:$R81),0))</f>
        <v>0</v>
      </c>
      <c r="U81" s="885">
        <f t="shared" si="4"/>
        <v>0</v>
      </c>
      <c r="V81" s="1110">
        <f t="shared" si="34"/>
        <v>0</v>
      </c>
      <c r="X81" s="1102">
        <f t="shared" si="5"/>
        <v>0</v>
      </c>
      <c r="Y81" s="873">
        <f t="shared" si="6"/>
        <v>0</v>
      </c>
      <c r="Z81" s="873">
        <f t="shared" si="7"/>
        <v>0</v>
      </c>
      <c r="AA81" s="885">
        <f t="shared" si="8"/>
        <v>0</v>
      </c>
    </row>
    <row r="82" spans="2:27" s="278" customFormat="1" ht="12" customHeight="1" x14ac:dyDescent="0.25">
      <c r="B82" s="1192" t="e">
        <f t="shared" si="18"/>
        <v>#N/A</v>
      </c>
      <c r="C82" s="732">
        <f t="shared" si="0"/>
        <v>30</v>
      </c>
      <c r="D82" s="35">
        <f t="shared" si="1"/>
        <v>9</v>
      </c>
      <c r="E82" s="889">
        <f t="shared" si="24"/>
        <v>47756</v>
      </c>
      <c r="F82" s="822">
        <f t="shared" si="9"/>
        <v>9</v>
      </c>
      <c r="G82" s="500">
        <f t="shared" si="25"/>
        <v>30</v>
      </c>
      <c r="H82" s="126">
        <f t="shared" si="2"/>
        <v>0</v>
      </c>
      <c r="I82" s="1098">
        <f t="shared" si="26"/>
        <v>0</v>
      </c>
      <c r="J82" s="887">
        <f t="shared" si="19"/>
        <v>63</v>
      </c>
      <c r="K82" s="1099">
        <f t="shared" si="10"/>
        <v>63</v>
      </c>
      <c r="L82" s="891" t="str">
        <f t="shared" si="11"/>
        <v>September</v>
      </c>
      <c r="M82" s="888">
        <f t="shared" si="27"/>
        <v>2030</v>
      </c>
      <c r="N82" s="883">
        <f t="shared" si="12"/>
        <v>0</v>
      </c>
      <c r="O82" s="883">
        <f t="shared" si="29"/>
        <v>0</v>
      </c>
      <c r="P82" s="1100"/>
      <c r="Q82" s="883">
        <f t="shared" si="3"/>
        <v>0</v>
      </c>
      <c r="R82" s="884">
        <f t="shared" si="33"/>
        <v>0</v>
      </c>
      <c r="S82" s="884">
        <f>IF(AND($AS$39="Early Payoff",J82&gt;=$S$13),0,IF($J82&lt;=$S$6,SUM($Q$20:$Q82),0))</f>
        <v>0</v>
      </c>
      <c r="T82" s="884">
        <f>IF(AND($AS$39="Early Payoff",J82&gt;=$S$13),0,IF($J82&lt;=$S$6,SUM($R$20:$R82),0))</f>
        <v>0</v>
      </c>
      <c r="U82" s="885">
        <f t="shared" si="4"/>
        <v>0</v>
      </c>
      <c r="V82" s="1110">
        <f t="shared" si="34"/>
        <v>0</v>
      </c>
      <c r="X82" s="1102">
        <f t="shared" si="5"/>
        <v>0</v>
      </c>
      <c r="Y82" s="873">
        <f t="shared" si="6"/>
        <v>0</v>
      </c>
      <c r="Z82" s="873">
        <f t="shared" si="7"/>
        <v>0</v>
      </c>
      <c r="AA82" s="885">
        <f t="shared" si="8"/>
        <v>0</v>
      </c>
    </row>
    <row r="83" spans="2:27" s="278" customFormat="1" ht="12" customHeight="1" x14ac:dyDescent="0.25">
      <c r="B83" s="1192" t="e">
        <f t="shared" si="18"/>
        <v>#N/A</v>
      </c>
      <c r="C83" s="732">
        <f t="shared" si="0"/>
        <v>31</v>
      </c>
      <c r="D83" s="35">
        <f t="shared" si="1"/>
        <v>10</v>
      </c>
      <c r="E83" s="889">
        <f t="shared" si="24"/>
        <v>47787</v>
      </c>
      <c r="F83" s="822">
        <f t="shared" si="9"/>
        <v>10</v>
      </c>
      <c r="G83" s="500">
        <f t="shared" si="25"/>
        <v>31</v>
      </c>
      <c r="H83" s="126">
        <f t="shared" si="2"/>
        <v>0</v>
      </c>
      <c r="I83" s="1098">
        <f t="shared" si="26"/>
        <v>0</v>
      </c>
      <c r="J83" s="887">
        <f t="shared" si="19"/>
        <v>64</v>
      </c>
      <c r="K83" s="1099">
        <f t="shared" si="10"/>
        <v>64</v>
      </c>
      <c r="L83" s="891" t="str">
        <f t="shared" si="11"/>
        <v>October</v>
      </c>
      <c r="M83" s="888">
        <f t="shared" si="27"/>
        <v>2030</v>
      </c>
      <c r="N83" s="883">
        <f t="shared" si="12"/>
        <v>0</v>
      </c>
      <c r="O83" s="883">
        <f t="shared" si="29"/>
        <v>0</v>
      </c>
      <c r="P83" s="1100"/>
      <c r="Q83" s="883">
        <f t="shared" si="3"/>
        <v>0</v>
      </c>
      <c r="R83" s="884">
        <f t="shared" si="33"/>
        <v>0</v>
      </c>
      <c r="S83" s="884">
        <f>IF(AND($AS$39="Early Payoff",J83&gt;=$S$13),0,IF($J83&lt;=$S$6,SUM($Q$20:$Q83),0))</f>
        <v>0</v>
      </c>
      <c r="T83" s="884">
        <f>IF(AND($AS$39="Early Payoff",J83&gt;=$S$13),0,IF($J83&lt;=$S$6,SUM($R$20:$R83),0))</f>
        <v>0</v>
      </c>
      <c r="U83" s="885">
        <f t="shared" si="4"/>
        <v>0</v>
      </c>
      <c r="V83" s="1110">
        <f t="shared" si="34"/>
        <v>0</v>
      </c>
      <c r="X83" s="1102">
        <f t="shared" si="5"/>
        <v>0</v>
      </c>
      <c r="Y83" s="873">
        <f t="shared" si="6"/>
        <v>0</v>
      </c>
      <c r="Z83" s="873">
        <f t="shared" si="7"/>
        <v>0</v>
      </c>
      <c r="AA83" s="885">
        <f t="shared" si="8"/>
        <v>0</v>
      </c>
    </row>
    <row r="84" spans="2:27" s="278" customFormat="1" ht="12" customHeight="1" x14ac:dyDescent="0.25">
      <c r="B84" s="1192" t="e">
        <f t="shared" si="18"/>
        <v>#N/A</v>
      </c>
      <c r="C84" s="732">
        <f t="shared" ref="C84:C147" si="35">DAY(EOMONTH(DATE($M84,$D84,1),0))</f>
        <v>30</v>
      </c>
      <c r="D84" s="35">
        <f t="shared" ref="D84:D147" si="36">INDEX($AT$22:$AU$34,MATCH($L84,$AT$22:$AT$34,0),MATCH("Number",$AT$22:$AU$22,0))</f>
        <v>11</v>
      </c>
      <c r="E84" s="889">
        <f t="shared" si="24"/>
        <v>47817</v>
      </c>
      <c r="F84" s="822">
        <f t="shared" si="9"/>
        <v>11</v>
      </c>
      <c r="G84" s="500">
        <f t="shared" si="25"/>
        <v>30</v>
      </c>
      <c r="H84" s="126">
        <f t="shared" ref="H84:H147" si="37">IF($T$4="Monthly",INDEX($AT$36:$AU$48,MATCH($L84,$AT$36:$AT$48,0),MATCH("Number",$AT$36:$AU$36,0)),0)</f>
        <v>0</v>
      </c>
      <c r="I84" s="1098">
        <f t="shared" si="26"/>
        <v>0</v>
      </c>
      <c r="J84" s="887">
        <f t="shared" si="19"/>
        <v>65</v>
      </c>
      <c r="K84" s="1099">
        <f t="shared" si="10"/>
        <v>65</v>
      </c>
      <c r="L84" s="891" t="str">
        <f t="shared" si="11"/>
        <v>November</v>
      </c>
      <c r="M84" s="888">
        <f t="shared" si="27"/>
        <v>2030</v>
      </c>
      <c r="N84" s="883">
        <f t="shared" si="12"/>
        <v>0</v>
      </c>
      <c r="O84" s="883">
        <f t="shared" si="29"/>
        <v>0</v>
      </c>
      <c r="P84" s="1100"/>
      <c r="Q84" s="883">
        <f t="shared" ref="Q84:Q147" si="38">IF(AND($AS$39="Early Payoff",J84&gt;=$S$13),0,IF($J84&gt;$S$6,0,IF(AND($AR$29&gt;0,$J84&lt;=$AR$29),0,+$O84-$R84)))</f>
        <v>0</v>
      </c>
      <c r="R84" s="884">
        <f t="shared" si="33"/>
        <v>0</v>
      </c>
      <c r="S84" s="884">
        <f>IF(AND($AS$39="Early Payoff",J84&gt;=$S$13),0,IF($J84&lt;=$S$6,SUM($Q$20:$Q84),0))</f>
        <v>0</v>
      </c>
      <c r="T84" s="884">
        <f>IF(AND($AS$39="Early Payoff",J84&gt;=$S$13),0,IF($J84&lt;=$S$6,SUM($R$20:$R84),0))</f>
        <v>0</v>
      </c>
      <c r="U84" s="885">
        <f t="shared" ref="U84:U147" si="39">IF($K84&lt;$S$13,SUM($N84,$Q84),0)</f>
        <v>0</v>
      </c>
      <c r="V84" s="1110">
        <f t="shared" si="34"/>
        <v>0</v>
      </c>
      <c r="X84" s="1102">
        <f t="shared" ref="X84:X147" si="40">IF($J84&gt;$S$6,0,IF($J84&lt;=$AR$27,0,IF(AND($Y$5="%/Payment",$AA$5=0),$O84*$Z$5,IF(AND($Y$5="%/Payment",$AA$5&gt;0,($O84*$Z$5)&lt;$AA$5),$O84*$Z$5,IF(AND($Y$5="%/Payment",$AA$5&gt;0,($O84*$Z$5)&gt;$AA$5),-$AA$5,IF(AND($Y$5="%/Balance",$AA$5=0),-$U84*$Z$5,IF(AND($Y$5="%/Balance",$AA$5&gt;0,($U84*$Z$5)&lt;$AA$5),-$U84*$Z$5,IF(AND($Y$5="%/Balance",$AA$5&gt;0,($U84*$Z$5)&gt;$AA$5),-$AA$5,IF($Y$5="Fixed Amount",-$Z$5,IF($Y$5="N/A",0))))))))))</f>
        <v>0</v>
      </c>
      <c r="Y84" s="873">
        <f t="shared" ref="Y84:Y147" si="41">IF($J84&gt;$S$6,0,IF($J84&lt;=$AR$27,0,IF(AND($Y$6="%/Payment",$AA$6=0),$O84*$Z$6,IF(AND($Y$6="%/Payment",$AA$6&gt;0,($O84*$Z$6)&lt;$AA$6),$O84*$Z$6,IF(AND($Y$6="%/Payment",$AA$6&gt;0,($O84*$Z$6)&gt;$AA$6),-$AA$6,IF(AND($Y$6="%/Balance",$AA$6=0),-$U84*$Z$6,IF(AND($Y$6="%/Balance",$AA$6&gt;0,($U84*$Z$6)&lt;$AA$6),-$U84*$Z$6,IF(AND($Y$6="%/Balance",$AA$6&gt;0,($U84*$Z$6)&gt;$AA$6),-$AA$6,IF($Y$6="Fixed Amount",-$Z$6,IF($Y$6="N/A",0))))))))))</f>
        <v>0</v>
      </c>
      <c r="Z84" s="873">
        <f t="shared" ref="Z84:Z147" si="42">IF($J84&gt;$S$6,0,IF($J84&lt;=$AR$27,0,IF(AND($Y$7="%/Payment",$AA$7=0),$O84*$Z$7,IF(AND($Y$7="%/Payment",$AA$7&gt;0,($O84*$Z$7)&lt;$AA$7),$O84*$Z$7,IF(AND($Y$7="%/Payment",$AA$7&gt;0,($O84*$Z$7)&gt;$AA$7),-$AA$7,IF(AND($Y$7="%/Balance",$AA$7=0),-$U84*$Z$7,IF(AND($Y$7="%/Balance",$AA$7&gt;0,($U84*$Z$7)&lt;$AA$7),-$U84*$Z$7,IF(AND($Y$7="%/Balance",$AA$7&gt;0,($O84*$Z$7)&gt;$AA$7),-$AA$7,IF($Y$7="Fixed Amount",-$Z$7,IF($Y$7="N/A",0))))))))))</f>
        <v>0</v>
      </c>
      <c r="AA84" s="885">
        <f t="shared" ref="AA84:AA147" si="43">SUM($O84,$X84:$Z84)</f>
        <v>0</v>
      </c>
    </row>
    <row r="85" spans="2:27" s="278" customFormat="1" ht="12" customHeight="1" x14ac:dyDescent="0.25">
      <c r="B85" s="1192" t="e">
        <f t="shared" si="18"/>
        <v>#N/A</v>
      </c>
      <c r="C85" s="732">
        <f t="shared" si="35"/>
        <v>31</v>
      </c>
      <c r="D85" s="35">
        <f t="shared" si="36"/>
        <v>12</v>
      </c>
      <c r="E85" s="889">
        <f t="shared" si="24"/>
        <v>47848</v>
      </c>
      <c r="F85" s="822">
        <f t="shared" ref="F85:F148" si="44">INDEX($AT$22:$AU$34,MATCH($L85,$AT$22:$AT$34,0),MATCH("Number",$AT$22:$AU$22,0))</f>
        <v>12</v>
      </c>
      <c r="G85" s="500">
        <f t="shared" si="25"/>
        <v>31</v>
      </c>
      <c r="H85" s="126">
        <f t="shared" si="37"/>
        <v>1</v>
      </c>
      <c r="I85" s="1098">
        <f t="shared" si="26"/>
        <v>0</v>
      </c>
      <c r="J85" s="887">
        <f t="shared" si="19"/>
        <v>66</v>
      </c>
      <c r="K85" s="1099">
        <f t="shared" ref="K85:K148" si="45">IF($J85&lt;=$AR$29,0,IF($J84&gt;=$AR$29,$K84+1))</f>
        <v>66</v>
      </c>
      <c r="L85" s="891" t="str">
        <f t="shared" ref="L85:L148" si="46">IF($T$4="Annual",$R$5,IF(AND($T$4="Bi-Annual",$F84&lt;MAX($R$4,$S$4)),INDEX($AU$22:$AV$34,MATCH(MAX($R$4,$S$4),$AU$22:$AU$34,0),MATCH("Month",$AU$22:$AV$22,0)),IF(AND($T$4="Bi-Annual",$F84=MAX($R$4,$S$4)),INDEX($AU$22:$AV$34,MATCH(MIN($R$4,$S$4),$AU$22:$AU$34,0),MATCH("Month",$AU$22:$AV$22,0)),IF(AND($T$4="Monthly",$F84&lt;12),INDEX($AU$22:$AV$34,MATCH($F84+1,$AU$22:$AU$34,0),MATCH("Month",$AU$22:$AV$22,0)),IF(AND($T$4="Monthly",$F84=12),INDEX($AU$22:$AV$34,MATCH($F84-11,$AU$22:$AU$34,0),MATCH("Month",$AU$22:$AV$22,0)))))))</f>
        <v>December</v>
      </c>
      <c r="M85" s="888">
        <f t="shared" si="27"/>
        <v>2030</v>
      </c>
      <c r="N85" s="883">
        <f t="shared" ref="N85:N148" si="47">IF(AND($AS$39="Early Payoff",$J85&gt;$S$13),0,IF(AND($AS$39="Early Payoff",$J85&lt;$S$13),$U84,IF($J85&gt;$S$6,0,$U84)))</f>
        <v>0</v>
      </c>
      <c r="O85" s="883">
        <f t="shared" si="29"/>
        <v>0</v>
      </c>
      <c r="P85" s="1100"/>
      <c r="Q85" s="883">
        <f t="shared" si="38"/>
        <v>0</v>
      </c>
      <c r="R85" s="884">
        <f t="shared" si="33"/>
        <v>0</v>
      </c>
      <c r="S85" s="884">
        <f>IF(AND($AS$39="Early Payoff",J85&gt;=$S$13),0,IF($J85&lt;=$S$6,SUM($Q$20:$Q85),0))</f>
        <v>0</v>
      </c>
      <c r="T85" s="884">
        <f>IF(AND($AS$39="Early Payoff",J85&gt;=$S$13),0,IF($J85&lt;=$S$6,SUM($R$20:$R85),0))</f>
        <v>0</v>
      </c>
      <c r="U85" s="885">
        <f t="shared" si="39"/>
        <v>0</v>
      </c>
      <c r="V85" s="1110">
        <f t="shared" si="34"/>
        <v>0</v>
      </c>
      <c r="X85" s="1102">
        <f t="shared" si="40"/>
        <v>0</v>
      </c>
      <c r="Y85" s="873">
        <f t="shared" si="41"/>
        <v>0</v>
      </c>
      <c r="Z85" s="873">
        <f t="shared" si="42"/>
        <v>0</v>
      </c>
      <c r="AA85" s="885">
        <f t="shared" si="43"/>
        <v>0</v>
      </c>
    </row>
    <row r="86" spans="2:27" s="278" customFormat="1" ht="12" customHeight="1" x14ac:dyDescent="0.25">
      <c r="B86" s="1192" t="e">
        <f t="shared" ref="B86:B149" si="48">B85+1</f>
        <v>#N/A</v>
      </c>
      <c r="C86" s="732">
        <f t="shared" si="35"/>
        <v>31</v>
      </c>
      <c r="D86" s="35">
        <f t="shared" si="36"/>
        <v>1</v>
      </c>
      <c r="E86" s="889">
        <f t="shared" si="24"/>
        <v>47879</v>
      </c>
      <c r="F86" s="822">
        <f t="shared" si="44"/>
        <v>1</v>
      </c>
      <c r="G86" s="500">
        <f t="shared" si="25"/>
        <v>31</v>
      </c>
      <c r="H86" s="126">
        <f t="shared" si="37"/>
        <v>0</v>
      </c>
      <c r="I86" s="1098">
        <f t="shared" si="26"/>
        <v>0</v>
      </c>
      <c r="J86" s="887">
        <f t="shared" ref="J86:J149" si="49">J85+1</f>
        <v>67</v>
      </c>
      <c r="K86" s="1099">
        <f t="shared" si="45"/>
        <v>67</v>
      </c>
      <c r="L86" s="891" t="str">
        <f t="shared" si="46"/>
        <v>January</v>
      </c>
      <c r="M86" s="888">
        <f t="shared" ref="M86:M149" si="50">IF($T$4="Annual",$M85+$I86,IF($T$4="Bi-Annual",$M85+$I85,IF($T$4="Monthly",$M85+$H85)))</f>
        <v>2031</v>
      </c>
      <c r="N86" s="883">
        <f t="shared" si="47"/>
        <v>0</v>
      </c>
      <c r="O86" s="883">
        <f t="shared" si="29"/>
        <v>0</v>
      </c>
      <c r="P86" s="1100"/>
      <c r="Q86" s="883">
        <f t="shared" si="38"/>
        <v>0</v>
      </c>
      <c r="R86" s="884">
        <f t="shared" si="33"/>
        <v>0</v>
      </c>
      <c r="S86" s="884">
        <f>IF(AND($AS$39="Early Payoff",J86&gt;=$S$13),0,IF($J86&lt;=$S$6,SUM($Q$20:$Q86),0))</f>
        <v>0</v>
      </c>
      <c r="T86" s="884">
        <f>IF(AND($AS$39="Early Payoff",J86&gt;=$S$13),0,IF($J86&lt;=$S$6,SUM($R$20:$R86),0))</f>
        <v>0</v>
      </c>
      <c r="U86" s="885">
        <f t="shared" si="39"/>
        <v>0</v>
      </c>
      <c r="V86" s="1110">
        <f t="shared" si="34"/>
        <v>0</v>
      </c>
      <c r="X86" s="1102">
        <f t="shared" si="40"/>
        <v>0</v>
      </c>
      <c r="Y86" s="873">
        <f t="shared" si="41"/>
        <v>0</v>
      </c>
      <c r="Z86" s="873">
        <f t="shared" si="42"/>
        <v>0</v>
      </c>
      <c r="AA86" s="885">
        <f t="shared" si="43"/>
        <v>0</v>
      </c>
    </row>
    <row r="87" spans="2:27" s="278" customFormat="1" ht="12" customHeight="1" x14ac:dyDescent="0.25">
      <c r="B87" s="1192" t="e">
        <f t="shared" si="48"/>
        <v>#N/A</v>
      </c>
      <c r="C87" s="732">
        <f t="shared" si="35"/>
        <v>28</v>
      </c>
      <c r="D87" s="35">
        <f t="shared" si="36"/>
        <v>2</v>
      </c>
      <c r="E87" s="889">
        <f t="shared" ref="E87:E150" si="51">DATE(M87,D87,C87)</f>
        <v>47907</v>
      </c>
      <c r="F87" s="822">
        <f t="shared" si="44"/>
        <v>2</v>
      </c>
      <c r="G87" s="500">
        <f t="shared" ref="G87:G150" si="52">E87-E86</f>
        <v>28</v>
      </c>
      <c r="H87" s="126">
        <f t="shared" si="37"/>
        <v>0</v>
      </c>
      <c r="I87" s="1098">
        <f t="shared" ref="I87:I150" si="53">IF($T$4="Annual",1,IF(AND($T$4="Bi-Annual",$F87&gt;$F88),1,IF(AND($T$4="Bi-Annual",$F87&lt;$F88),0,IF($T$4="Monthly",0,))))</f>
        <v>0</v>
      </c>
      <c r="J87" s="887">
        <f t="shared" si="49"/>
        <v>68</v>
      </c>
      <c r="K87" s="1099">
        <f t="shared" si="45"/>
        <v>68</v>
      </c>
      <c r="L87" s="891" t="str">
        <f t="shared" si="46"/>
        <v>February</v>
      </c>
      <c r="M87" s="888">
        <f t="shared" si="50"/>
        <v>2031</v>
      </c>
      <c r="N87" s="883">
        <f t="shared" si="47"/>
        <v>0</v>
      </c>
      <c r="O87" s="883">
        <f t="shared" si="29"/>
        <v>0</v>
      </c>
      <c r="P87" s="1100"/>
      <c r="Q87" s="883">
        <f t="shared" si="38"/>
        <v>0</v>
      </c>
      <c r="R87" s="884">
        <f t="shared" si="33"/>
        <v>0</v>
      </c>
      <c r="S87" s="884">
        <f>IF(AND($AS$39="Early Payoff",J87&gt;=$S$13),0,IF($J87&lt;=$S$6,SUM($Q$20:$Q87),0))</f>
        <v>0</v>
      </c>
      <c r="T87" s="884">
        <f>IF(AND($AS$39="Early Payoff",J87&gt;=$S$13),0,IF($J87&lt;=$S$6,SUM($R$20:$R87),0))</f>
        <v>0</v>
      </c>
      <c r="U87" s="885">
        <f t="shared" si="39"/>
        <v>0</v>
      </c>
      <c r="V87" s="1110">
        <f t="shared" si="34"/>
        <v>0</v>
      </c>
      <c r="X87" s="1102">
        <f t="shared" si="40"/>
        <v>0</v>
      </c>
      <c r="Y87" s="873">
        <f t="shared" si="41"/>
        <v>0</v>
      </c>
      <c r="Z87" s="873">
        <f t="shared" si="42"/>
        <v>0</v>
      </c>
      <c r="AA87" s="885">
        <f t="shared" si="43"/>
        <v>0</v>
      </c>
    </row>
    <row r="88" spans="2:27" s="278" customFormat="1" ht="12" customHeight="1" x14ac:dyDescent="0.25">
      <c r="B88" s="1192" t="e">
        <f t="shared" si="48"/>
        <v>#N/A</v>
      </c>
      <c r="C88" s="732">
        <f t="shared" si="35"/>
        <v>31</v>
      </c>
      <c r="D88" s="35">
        <f t="shared" si="36"/>
        <v>3</v>
      </c>
      <c r="E88" s="889">
        <f t="shared" si="51"/>
        <v>47938</v>
      </c>
      <c r="F88" s="822">
        <f t="shared" si="44"/>
        <v>3</v>
      </c>
      <c r="G88" s="500">
        <f t="shared" si="52"/>
        <v>31</v>
      </c>
      <c r="H88" s="126">
        <f t="shared" si="37"/>
        <v>0</v>
      </c>
      <c r="I88" s="1098">
        <f t="shared" si="53"/>
        <v>0</v>
      </c>
      <c r="J88" s="887">
        <f t="shared" si="49"/>
        <v>69</v>
      </c>
      <c r="K88" s="1099">
        <f t="shared" si="45"/>
        <v>69</v>
      </c>
      <c r="L88" s="891" t="str">
        <f t="shared" si="46"/>
        <v>March</v>
      </c>
      <c r="M88" s="888">
        <f t="shared" si="50"/>
        <v>2031</v>
      </c>
      <c r="N88" s="883">
        <f t="shared" si="47"/>
        <v>0</v>
      </c>
      <c r="O88" s="883">
        <f t="shared" si="29"/>
        <v>0</v>
      </c>
      <c r="P88" s="1100"/>
      <c r="Q88" s="883">
        <f t="shared" si="38"/>
        <v>0</v>
      </c>
      <c r="R88" s="884">
        <f t="shared" si="33"/>
        <v>0</v>
      </c>
      <c r="S88" s="884">
        <f>IF(AND($AS$39="Early Payoff",J88&gt;=$S$13),0,IF($J88&lt;=$S$6,SUM($Q$20:$Q88),0))</f>
        <v>0</v>
      </c>
      <c r="T88" s="884">
        <f>IF(AND($AS$39="Early Payoff",J88&gt;=$S$13),0,IF($J88&lt;=$S$6,SUM($R$20:$R88),0))</f>
        <v>0</v>
      </c>
      <c r="U88" s="885">
        <f t="shared" si="39"/>
        <v>0</v>
      </c>
      <c r="V88" s="1110">
        <f t="shared" si="34"/>
        <v>0</v>
      </c>
      <c r="X88" s="1102">
        <f t="shared" si="40"/>
        <v>0</v>
      </c>
      <c r="Y88" s="873">
        <f t="shared" si="41"/>
        <v>0</v>
      </c>
      <c r="Z88" s="873">
        <f t="shared" si="42"/>
        <v>0</v>
      </c>
      <c r="AA88" s="885">
        <f t="shared" si="43"/>
        <v>0</v>
      </c>
    </row>
    <row r="89" spans="2:27" s="278" customFormat="1" ht="12" customHeight="1" x14ac:dyDescent="0.25">
      <c r="B89" s="1192" t="e">
        <f t="shared" si="48"/>
        <v>#N/A</v>
      </c>
      <c r="C89" s="732">
        <f t="shared" si="35"/>
        <v>30</v>
      </c>
      <c r="D89" s="35">
        <f t="shared" si="36"/>
        <v>4</v>
      </c>
      <c r="E89" s="889">
        <f t="shared" si="51"/>
        <v>47968</v>
      </c>
      <c r="F89" s="822">
        <f t="shared" si="44"/>
        <v>4</v>
      </c>
      <c r="G89" s="500">
        <f t="shared" si="52"/>
        <v>30</v>
      </c>
      <c r="H89" s="126">
        <f t="shared" si="37"/>
        <v>0</v>
      </c>
      <c r="I89" s="1098">
        <f t="shared" si="53"/>
        <v>0</v>
      </c>
      <c r="J89" s="887">
        <f t="shared" si="49"/>
        <v>70</v>
      </c>
      <c r="K89" s="1099">
        <f t="shared" si="45"/>
        <v>70</v>
      </c>
      <c r="L89" s="891" t="str">
        <f t="shared" si="46"/>
        <v>April</v>
      </c>
      <c r="M89" s="888">
        <f t="shared" si="50"/>
        <v>2031</v>
      </c>
      <c r="N89" s="883">
        <f t="shared" si="47"/>
        <v>0</v>
      </c>
      <c r="O89" s="883">
        <f t="shared" ref="O89:O152" si="54">IF(AND($AS$39="Early Payoff",J89&gt;=$S$13),0,IF($J89&gt;$S$6,0,IF(AND($AR$29&gt;=0,$J89&lt;=$AR$29),0,IF(AND($AR$27&gt;=0,$J89&lt;=$AR$27),$R89,IF($K89=$T$7,SUM(R89,-N89),IF(AND($T$4="Annual",$AR$27&gt;=0,$AR$29&gt;=0,$J89&gt;$AR$27,$J89&gt;$AR$29),PMT($M$7,($S$6-$AR$27),$M$4),IF(AND($T$4="Bi-Annual",$AR$27&gt;=0,$AR$29&gt;=0,$J89&gt;$AR$27,$J89&gt;$AR$29),PMT($M$7/2,($S$6-($AR$27+1)),$M$4),IF(AND($T$4="Monthly",$AR$27&gt;=0,$AR$29&gt;=0,$J89&gt;$AR$27,$J89&gt;$AR$29),PMT($M$7/12,($S$6-$AR$27),$M$4)))))))))-P89</f>
        <v>0</v>
      </c>
      <c r="P89" s="1100"/>
      <c r="Q89" s="883">
        <f t="shared" si="38"/>
        <v>0</v>
      </c>
      <c r="R89" s="884">
        <f t="shared" si="33"/>
        <v>0</v>
      </c>
      <c r="S89" s="884">
        <f>IF(AND($AS$39="Early Payoff",J89&gt;=$S$13),0,IF($J89&lt;=$S$6,SUM($Q$20:$Q89),0))</f>
        <v>0</v>
      </c>
      <c r="T89" s="884">
        <f>IF(AND($AS$39="Early Payoff",J89&gt;=$S$13),0,IF($J89&lt;=$S$6,SUM($R$20:$R89),0))</f>
        <v>0</v>
      </c>
      <c r="U89" s="885">
        <f t="shared" si="39"/>
        <v>0</v>
      </c>
      <c r="V89" s="1110">
        <f t="shared" si="34"/>
        <v>0</v>
      </c>
      <c r="X89" s="1102">
        <f t="shared" si="40"/>
        <v>0</v>
      </c>
      <c r="Y89" s="873">
        <f t="shared" si="41"/>
        <v>0</v>
      </c>
      <c r="Z89" s="873">
        <f t="shared" si="42"/>
        <v>0</v>
      </c>
      <c r="AA89" s="885">
        <f t="shared" si="43"/>
        <v>0</v>
      </c>
    </row>
    <row r="90" spans="2:27" s="278" customFormat="1" ht="12" customHeight="1" x14ac:dyDescent="0.25">
      <c r="B90" s="1192" t="e">
        <f t="shared" si="48"/>
        <v>#N/A</v>
      </c>
      <c r="C90" s="732">
        <f t="shared" si="35"/>
        <v>31</v>
      </c>
      <c r="D90" s="35">
        <f t="shared" si="36"/>
        <v>5</v>
      </c>
      <c r="E90" s="889">
        <f t="shared" si="51"/>
        <v>47999</v>
      </c>
      <c r="F90" s="822">
        <f t="shared" si="44"/>
        <v>5</v>
      </c>
      <c r="G90" s="500">
        <f t="shared" si="52"/>
        <v>31</v>
      </c>
      <c r="H90" s="126">
        <f t="shared" si="37"/>
        <v>0</v>
      </c>
      <c r="I90" s="1098">
        <f t="shared" si="53"/>
        <v>0</v>
      </c>
      <c r="J90" s="887">
        <f t="shared" si="49"/>
        <v>71</v>
      </c>
      <c r="K90" s="1099">
        <f t="shared" si="45"/>
        <v>71</v>
      </c>
      <c r="L90" s="891" t="str">
        <f t="shared" si="46"/>
        <v>May</v>
      </c>
      <c r="M90" s="888">
        <f t="shared" si="50"/>
        <v>2031</v>
      </c>
      <c r="N90" s="883">
        <f t="shared" si="47"/>
        <v>0</v>
      </c>
      <c r="O90" s="883">
        <f t="shared" si="54"/>
        <v>0</v>
      </c>
      <c r="P90" s="1100"/>
      <c r="Q90" s="883">
        <f t="shared" si="38"/>
        <v>0</v>
      </c>
      <c r="R90" s="884">
        <f t="shared" si="33"/>
        <v>0</v>
      </c>
      <c r="S90" s="884">
        <f>IF(AND($AS$39="Early Payoff",J90&gt;=$S$13),0,IF($J90&lt;=$S$6,SUM($Q$20:$Q90),0))</f>
        <v>0</v>
      </c>
      <c r="T90" s="884">
        <f>IF(AND($AS$39="Early Payoff",J90&gt;=$S$13),0,IF($J90&lt;=$S$6,SUM($R$20:$R90),0))</f>
        <v>0</v>
      </c>
      <c r="U90" s="885">
        <f t="shared" si="39"/>
        <v>0</v>
      </c>
      <c r="V90" s="1110">
        <f t="shared" si="34"/>
        <v>0</v>
      </c>
      <c r="X90" s="1102">
        <f t="shared" si="40"/>
        <v>0</v>
      </c>
      <c r="Y90" s="873">
        <f t="shared" si="41"/>
        <v>0</v>
      </c>
      <c r="Z90" s="873">
        <f t="shared" si="42"/>
        <v>0</v>
      </c>
      <c r="AA90" s="885">
        <f t="shared" si="43"/>
        <v>0</v>
      </c>
    </row>
    <row r="91" spans="2:27" s="278" customFormat="1" ht="12" customHeight="1" x14ac:dyDescent="0.25">
      <c r="B91" s="1192" t="e">
        <f t="shared" si="48"/>
        <v>#N/A</v>
      </c>
      <c r="C91" s="732">
        <f t="shared" si="35"/>
        <v>30</v>
      </c>
      <c r="D91" s="35">
        <f t="shared" si="36"/>
        <v>6</v>
      </c>
      <c r="E91" s="889">
        <f t="shared" si="51"/>
        <v>48029</v>
      </c>
      <c r="F91" s="822">
        <f t="shared" si="44"/>
        <v>6</v>
      </c>
      <c r="G91" s="500">
        <f t="shared" si="52"/>
        <v>30</v>
      </c>
      <c r="H91" s="126">
        <f t="shared" si="37"/>
        <v>0</v>
      </c>
      <c r="I91" s="1098">
        <f t="shared" si="53"/>
        <v>0</v>
      </c>
      <c r="J91" s="887">
        <f t="shared" si="49"/>
        <v>72</v>
      </c>
      <c r="K91" s="1099">
        <f t="shared" si="45"/>
        <v>72</v>
      </c>
      <c r="L91" s="891" t="str">
        <f t="shared" si="46"/>
        <v>June</v>
      </c>
      <c r="M91" s="888">
        <f t="shared" si="50"/>
        <v>2031</v>
      </c>
      <c r="N91" s="883">
        <f t="shared" si="47"/>
        <v>0</v>
      </c>
      <c r="O91" s="883">
        <f t="shared" si="54"/>
        <v>0</v>
      </c>
      <c r="P91" s="1100"/>
      <c r="Q91" s="883">
        <f t="shared" si="38"/>
        <v>0</v>
      </c>
      <c r="R91" s="884">
        <f t="shared" si="33"/>
        <v>0</v>
      </c>
      <c r="S91" s="884">
        <f>IF(AND($AS$39="Early Payoff",J91&gt;=$S$13),0,IF($J91&lt;=$S$6,SUM($Q$20:$Q91),0))</f>
        <v>0</v>
      </c>
      <c r="T91" s="884">
        <f>IF(AND($AS$39="Early Payoff",J91&gt;=$S$13),0,IF($J91&lt;=$S$6,SUM($R$20:$R91),0))</f>
        <v>0</v>
      </c>
      <c r="U91" s="885">
        <f t="shared" si="39"/>
        <v>0</v>
      </c>
      <c r="V91" s="1110">
        <f t="shared" si="34"/>
        <v>0</v>
      </c>
      <c r="X91" s="1102">
        <f t="shared" si="40"/>
        <v>0</v>
      </c>
      <c r="Y91" s="873">
        <f t="shared" si="41"/>
        <v>0</v>
      </c>
      <c r="Z91" s="873">
        <f t="shared" si="42"/>
        <v>0</v>
      </c>
      <c r="AA91" s="885">
        <f t="shared" si="43"/>
        <v>0</v>
      </c>
    </row>
    <row r="92" spans="2:27" s="278" customFormat="1" ht="12" customHeight="1" x14ac:dyDescent="0.25">
      <c r="B92" s="1192" t="e">
        <f t="shared" si="48"/>
        <v>#N/A</v>
      </c>
      <c r="C92" s="732">
        <f t="shared" si="35"/>
        <v>31</v>
      </c>
      <c r="D92" s="35">
        <f t="shared" si="36"/>
        <v>7</v>
      </c>
      <c r="E92" s="889">
        <f t="shared" si="51"/>
        <v>48060</v>
      </c>
      <c r="F92" s="822">
        <f t="shared" si="44"/>
        <v>7</v>
      </c>
      <c r="G92" s="500">
        <f t="shared" si="52"/>
        <v>31</v>
      </c>
      <c r="H92" s="126">
        <f t="shared" si="37"/>
        <v>0</v>
      </c>
      <c r="I92" s="1098">
        <f t="shared" si="53"/>
        <v>0</v>
      </c>
      <c r="J92" s="887">
        <f t="shared" si="49"/>
        <v>73</v>
      </c>
      <c r="K92" s="1099">
        <f t="shared" si="45"/>
        <v>73</v>
      </c>
      <c r="L92" s="891" t="str">
        <f t="shared" si="46"/>
        <v>July</v>
      </c>
      <c r="M92" s="888">
        <f t="shared" si="50"/>
        <v>2031</v>
      </c>
      <c r="N92" s="883">
        <f t="shared" si="47"/>
        <v>0</v>
      </c>
      <c r="O92" s="883">
        <f t="shared" si="54"/>
        <v>0</v>
      </c>
      <c r="P92" s="1100"/>
      <c r="Q92" s="883">
        <f t="shared" si="38"/>
        <v>0</v>
      </c>
      <c r="R92" s="884">
        <f t="shared" si="33"/>
        <v>0</v>
      </c>
      <c r="S92" s="884">
        <f>IF(AND($AS$39="Early Payoff",J92&gt;=$S$13),0,IF($J92&lt;=$S$6,SUM($Q$20:$Q92),0))</f>
        <v>0</v>
      </c>
      <c r="T92" s="884">
        <f>IF(AND($AS$39="Early Payoff",J92&gt;=$S$13),0,IF($J92&lt;=$S$6,SUM($R$20:$R92),0))</f>
        <v>0</v>
      </c>
      <c r="U92" s="885">
        <f t="shared" si="39"/>
        <v>0</v>
      </c>
      <c r="V92" s="1110">
        <f t="shared" si="34"/>
        <v>0</v>
      </c>
      <c r="X92" s="1102">
        <f t="shared" si="40"/>
        <v>0</v>
      </c>
      <c r="Y92" s="873">
        <f t="shared" si="41"/>
        <v>0</v>
      </c>
      <c r="Z92" s="873">
        <f t="shared" si="42"/>
        <v>0</v>
      </c>
      <c r="AA92" s="885">
        <f t="shared" si="43"/>
        <v>0</v>
      </c>
    </row>
    <row r="93" spans="2:27" s="278" customFormat="1" ht="12" customHeight="1" x14ac:dyDescent="0.25">
      <c r="B93" s="1192" t="e">
        <f t="shared" si="48"/>
        <v>#N/A</v>
      </c>
      <c r="C93" s="732">
        <f t="shared" si="35"/>
        <v>31</v>
      </c>
      <c r="D93" s="35">
        <f t="shared" si="36"/>
        <v>8</v>
      </c>
      <c r="E93" s="889">
        <f t="shared" si="51"/>
        <v>48091</v>
      </c>
      <c r="F93" s="822">
        <f t="shared" si="44"/>
        <v>8</v>
      </c>
      <c r="G93" s="500">
        <f t="shared" si="52"/>
        <v>31</v>
      </c>
      <c r="H93" s="126">
        <f t="shared" si="37"/>
        <v>0</v>
      </c>
      <c r="I93" s="1098">
        <f t="shared" si="53"/>
        <v>0</v>
      </c>
      <c r="J93" s="887">
        <f t="shared" si="49"/>
        <v>74</v>
      </c>
      <c r="K93" s="1099">
        <f t="shared" si="45"/>
        <v>74</v>
      </c>
      <c r="L93" s="891" t="str">
        <f t="shared" si="46"/>
        <v>August</v>
      </c>
      <c r="M93" s="888">
        <f t="shared" si="50"/>
        <v>2031</v>
      </c>
      <c r="N93" s="883">
        <f t="shared" si="47"/>
        <v>0</v>
      </c>
      <c r="O93" s="883">
        <f t="shared" si="54"/>
        <v>0</v>
      </c>
      <c r="P93" s="1100"/>
      <c r="Q93" s="883">
        <f t="shared" si="38"/>
        <v>0</v>
      </c>
      <c r="R93" s="884">
        <f t="shared" si="33"/>
        <v>0</v>
      </c>
      <c r="S93" s="884">
        <f>IF(AND($AS$39="Early Payoff",J93&gt;=$S$13),0,IF($J93&lt;=$S$6,SUM($Q$20:$Q93),0))</f>
        <v>0</v>
      </c>
      <c r="T93" s="884">
        <f>IF(AND($AS$39="Early Payoff",J93&gt;=$S$13),0,IF($J93&lt;=$S$6,SUM($R$20:$R93),0))</f>
        <v>0</v>
      </c>
      <c r="U93" s="885">
        <f t="shared" si="39"/>
        <v>0</v>
      </c>
      <c r="V93" s="1110">
        <f t="shared" si="34"/>
        <v>0</v>
      </c>
      <c r="X93" s="1102">
        <f t="shared" si="40"/>
        <v>0</v>
      </c>
      <c r="Y93" s="873">
        <f t="shared" si="41"/>
        <v>0</v>
      </c>
      <c r="Z93" s="873">
        <f t="shared" si="42"/>
        <v>0</v>
      </c>
      <c r="AA93" s="885">
        <f t="shared" si="43"/>
        <v>0</v>
      </c>
    </row>
    <row r="94" spans="2:27" s="278" customFormat="1" ht="12" customHeight="1" x14ac:dyDescent="0.25">
      <c r="B94" s="1192" t="e">
        <f t="shared" si="48"/>
        <v>#N/A</v>
      </c>
      <c r="C94" s="732">
        <f t="shared" si="35"/>
        <v>30</v>
      </c>
      <c r="D94" s="35">
        <f t="shared" si="36"/>
        <v>9</v>
      </c>
      <c r="E94" s="889">
        <f t="shared" si="51"/>
        <v>48121</v>
      </c>
      <c r="F94" s="822">
        <f t="shared" si="44"/>
        <v>9</v>
      </c>
      <c r="G94" s="500">
        <f t="shared" si="52"/>
        <v>30</v>
      </c>
      <c r="H94" s="126">
        <f t="shared" si="37"/>
        <v>0</v>
      </c>
      <c r="I94" s="1098">
        <f t="shared" si="53"/>
        <v>0</v>
      </c>
      <c r="J94" s="887">
        <f t="shared" si="49"/>
        <v>75</v>
      </c>
      <c r="K94" s="1099">
        <f t="shared" si="45"/>
        <v>75</v>
      </c>
      <c r="L94" s="891" t="str">
        <f t="shared" si="46"/>
        <v>September</v>
      </c>
      <c r="M94" s="888">
        <f t="shared" si="50"/>
        <v>2031</v>
      </c>
      <c r="N94" s="883">
        <f t="shared" si="47"/>
        <v>0</v>
      </c>
      <c r="O94" s="883">
        <f t="shared" si="54"/>
        <v>0</v>
      </c>
      <c r="P94" s="1100"/>
      <c r="Q94" s="883">
        <f t="shared" si="38"/>
        <v>0</v>
      </c>
      <c r="R94" s="884">
        <f t="shared" si="33"/>
        <v>0</v>
      </c>
      <c r="S94" s="884">
        <f>IF(AND($AS$39="Early Payoff",J94&gt;=$S$13),0,IF($J94&lt;=$S$6,SUM($Q$20:$Q94),0))</f>
        <v>0</v>
      </c>
      <c r="T94" s="884">
        <f>IF(AND($AS$39="Early Payoff",J94&gt;=$S$13),0,IF($J94&lt;=$S$6,SUM($R$20:$R94),0))</f>
        <v>0</v>
      </c>
      <c r="U94" s="885">
        <f t="shared" si="39"/>
        <v>0</v>
      </c>
      <c r="V94" s="1110">
        <f t="shared" si="34"/>
        <v>0</v>
      </c>
      <c r="X94" s="1102">
        <f t="shared" si="40"/>
        <v>0</v>
      </c>
      <c r="Y94" s="873">
        <f t="shared" si="41"/>
        <v>0</v>
      </c>
      <c r="Z94" s="873">
        <f t="shared" si="42"/>
        <v>0</v>
      </c>
      <c r="AA94" s="885">
        <f t="shared" si="43"/>
        <v>0</v>
      </c>
    </row>
    <row r="95" spans="2:27" s="278" customFormat="1" ht="12" customHeight="1" x14ac:dyDescent="0.25">
      <c r="B95" s="1192" t="e">
        <f t="shared" si="48"/>
        <v>#N/A</v>
      </c>
      <c r="C95" s="732">
        <f t="shared" si="35"/>
        <v>31</v>
      </c>
      <c r="D95" s="35">
        <f t="shared" si="36"/>
        <v>10</v>
      </c>
      <c r="E95" s="889">
        <f t="shared" si="51"/>
        <v>48152</v>
      </c>
      <c r="F95" s="822">
        <f t="shared" si="44"/>
        <v>10</v>
      </c>
      <c r="G95" s="500">
        <f t="shared" si="52"/>
        <v>31</v>
      </c>
      <c r="H95" s="126">
        <f t="shared" si="37"/>
        <v>0</v>
      </c>
      <c r="I95" s="1098">
        <f t="shared" si="53"/>
        <v>0</v>
      </c>
      <c r="J95" s="887">
        <f t="shared" si="49"/>
        <v>76</v>
      </c>
      <c r="K95" s="1099">
        <f t="shared" si="45"/>
        <v>76</v>
      </c>
      <c r="L95" s="891" t="str">
        <f t="shared" si="46"/>
        <v>October</v>
      </c>
      <c r="M95" s="888">
        <f t="shared" si="50"/>
        <v>2031</v>
      </c>
      <c r="N95" s="883">
        <f t="shared" si="47"/>
        <v>0</v>
      </c>
      <c r="O95" s="883">
        <f t="shared" si="54"/>
        <v>0</v>
      </c>
      <c r="P95" s="1100"/>
      <c r="Q95" s="883">
        <f t="shared" si="38"/>
        <v>0</v>
      </c>
      <c r="R95" s="884">
        <f t="shared" si="33"/>
        <v>0</v>
      </c>
      <c r="S95" s="884">
        <f>IF(AND($AS$39="Early Payoff",J95&gt;=$S$13),0,IF($J95&lt;=$S$6,SUM($Q$20:$Q95),0))</f>
        <v>0</v>
      </c>
      <c r="T95" s="884">
        <f>IF(AND($AS$39="Early Payoff",J95&gt;=$S$13),0,IF($J95&lt;=$S$6,SUM($R$20:$R95),0))</f>
        <v>0</v>
      </c>
      <c r="U95" s="885">
        <f t="shared" si="39"/>
        <v>0</v>
      </c>
      <c r="V95" s="1110">
        <f t="shared" si="34"/>
        <v>0</v>
      </c>
      <c r="X95" s="1102">
        <f t="shared" si="40"/>
        <v>0</v>
      </c>
      <c r="Y95" s="873">
        <f t="shared" si="41"/>
        <v>0</v>
      </c>
      <c r="Z95" s="873">
        <f t="shared" si="42"/>
        <v>0</v>
      </c>
      <c r="AA95" s="885">
        <f t="shared" si="43"/>
        <v>0</v>
      </c>
    </row>
    <row r="96" spans="2:27" s="278" customFormat="1" ht="12" customHeight="1" x14ac:dyDescent="0.25">
      <c r="B96" s="1192" t="e">
        <f t="shared" si="48"/>
        <v>#N/A</v>
      </c>
      <c r="C96" s="732">
        <f t="shared" si="35"/>
        <v>30</v>
      </c>
      <c r="D96" s="35">
        <f t="shared" si="36"/>
        <v>11</v>
      </c>
      <c r="E96" s="889">
        <f t="shared" si="51"/>
        <v>48182</v>
      </c>
      <c r="F96" s="822">
        <f t="shared" si="44"/>
        <v>11</v>
      </c>
      <c r="G96" s="500">
        <f t="shared" si="52"/>
        <v>30</v>
      </c>
      <c r="H96" s="126">
        <f t="shared" si="37"/>
        <v>0</v>
      </c>
      <c r="I96" s="1098">
        <f t="shared" si="53"/>
        <v>0</v>
      </c>
      <c r="J96" s="887">
        <f t="shared" si="49"/>
        <v>77</v>
      </c>
      <c r="K96" s="1099">
        <f t="shared" si="45"/>
        <v>77</v>
      </c>
      <c r="L96" s="891" t="str">
        <f t="shared" si="46"/>
        <v>November</v>
      </c>
      <c r="M96" s="888">
        <f t="shared" si="50"/>
        <v>2031</v>
      </c>
      <c r="N96" s="883">
        <f t="shared" si="47"/>
        <v>0</v>
      </c>
      <c r="O96" s="883">
        <f t="shared" si="54"/>
        <v>0</v>
      </c>
      <c r="P96" s="1100"/>
      <c r="Q96" s="883">
        <f t="shared" si="38"/>
        <v>0</v>
      </c>
      <c r="R96" s="884">
        <f t="shared" si="33"/>
        <v>0</v>
      </c>
      <c r="S96" s="884">
        <f>IF(AND($AS$39="Early Payoff",J96&gt;=$S$13),0,IF($J96&lt;=$S$6,SUM($Q$20:$Q96),0))</f>
        <v>0</v>
      </c>
      <c r="T96" s="884">
        <f>IF(AND($AS$39="Early Payoff",J96&gt;=$S$13),0,IF($J96&lt;=$S$6,SUM($R$20:$R96),0))</f>
        <v>0</v>
      </c>
      <c r="U96" s="885">
        <f t="shared" si="39"/>
        <v>0</v>
      </c>
      <c r="V96" s="1110">
        <f t="shared" si="34"/>
        <v>0</v>
      </c>
      <c r="X96" s="1102">
        <f t="shared" si="40"/>
        <v>0</v>
      </c>
      <c r="Y96" s="873">
        <f t="shared" si="41"/>
        <v>0</v>
      </c>
      <c r="Z96" s="873">
        <f t="shared" si="42"/>
        <v>0</v>
      </c>
      <c r="AA96" s="885">
        <f t="shared" si="43"/>
        <v>0</v>
      </c>
    </row>
    <row r="97" spans="2:27" s="278" customFormat="1" ht="12" customHeight="1" x14ac:dyDescent="0.25">
      <c r="B97" s="1192" t="e">
        <f t="shared" si="48"/>
        <v>#N/A</v>
      </c>
      <c r="C97" s="732">
        <f t="shared" si="35"/>
        <v>31</v>
      </c>
      <c r="D97" s="35">
        <f t="shared" si="36"/>
        <v>12</v>
      </c>
      <c r="E97" s="889">
        <f t="shared" si="51"/>
        <v>48213</v>
      </c>
      <c r="F97" s="822">
        <f t="shared" si="44"/>
        <v>12</v>
      </c>
      <c r="G97" s="500">
        <f t="shared" si="52"/>
        <v>31</v>
      </c>
      <c r="H97" s="126">
        <f t="shared" si="37"/>
        <v>1</v>
      </c>
      <c r="I97" s="1098">
        <f t="shared" si="53"/>
        <v>0</v>
      </c>
      <c r="J97" s="887">
        <f t="shared" si="49"/>
        <v>78</v>
      </c>
      <c r="K97" s="1099">
        <f t="shared" si="45"/>
        <v>78</v>
      </c>
      <c r="L97" s="891" t="str">
        <f t="shared" si="46"/>
        <v>December</v>
      </c>
      <c r="M97" s="888">
        <f t="shared" si="50"/>
        <v>2031</v>
      </c>
      <c r="N97" s="883">
        <f t="shared" si="47"/>
        <v>0</v>
      </c>
      <c r="O97" s="883">
        <f t="shared" si="54"/>
        <v>0</v>
      </c>
      <c r="P97" s="1100"/>
      <c r="Q97" s="883">
        <f t="shared" si="38"/>
        <v>0</v>
      </c>
      <c r="R97" s="884">
        <f t="shared" si="33"/>
        <v>0</v>
      </c>
      <c r="S97" s="884">
        <f>IF(AND($AS$39="Early Payoff",J97&gt;=$S$13),0,IF($J97&lt;=$S$6,SUM($Q$20:$Q97),0))</f>
        <v>0</v>
      </c>
      <c r="T97" s="884">
        <f>IF(AND($AS$39="Early Payoff",J97&gt;=$S$13),0,IF($J97&lt;=$S$6,SUM($R$20:$R97),0))</f>
        <v>0</v>
      </c>
      <c r="U97" s="885">
        <f t="shared" si="39"/>
        <v>0</v>
      </c>
      <c r="V97" s="1110">
        <f t="shared" si="34"/>
        <v>0</v>
      </c>
      <c r="X97" s="1102">
        <f t="shared" si="40"/>
        <v>0</v>
      </c>
      <c r="Y97" s="873">
        <f t="shared" si="41"/>
        <v>0</v>
      </c>
      <c r="Z97" s="873">
        <f t="shared" si="42"/>
        <v>0</v>
      </c>
      <c r="AA97" s="885">
        <f t="shared" si="43"/>
        <v>0</v>
      </c>
    </row>
    <row r="98" spans="2:27" s="278" customFormat="1" ht="12" customHeight="1" x14ac:dyDescent="0.25">
      <c r="B98" s="1192" t="e">
        <f t="shared" si="48"/>
        <v>#N/A</v>
      </c>
      <c r="C98" s="732">
        <f t="shared" si="35"/>
        <v>31</v>
      </c>
      <c r="D98" s="35">
        <f t="shared" si="36"/>
        <v>1</v>
      </c>
      <c r="E98" s="889">
        <f t="shared" si="51"/>
        <v>48244</v>
      </c>
      <c r="F98" s="822">
        <f t="shared" si="44"/>
        <v>1</v>
      </c>
      <c r="G98" s="500">
        <f t="shared" si="52"/>
        <v>31</v>
      </c>
      <c r="H98" s="126">
        <f t="shared" si="37"/>
        <v>0</v>
      </c>
      <c r="I98" s="1098">
        <f t="shared" si="53"/>
        <v>0</v>
      </c>
      <c r="J98" s="887">
        <f t="shared" si="49"/>
        <v>79</v>
      </c>
      <c r="K98" s="1099">
        <f t="shared" si="45"/>
        <v>79</v>
      </c>
      <c r="L98" s="891" t="str">
        <f t="shared" si="46"/>
        <v>January</v>
      </c>
      <c r="M98" s="888">
        <f t="shared" si="50"/>
        <v>2032</v>
      </c>
      <c r="N98" s="883">
        <f t="shared" si="47"/>
        <v>0</v>
      </c>
      <c r="O98" s="883">
        <f t="shared" si="54"/>
        <v>0</v>
      </c>
      <c r="P98" s="1100"/>
      <c r="Q98" s="883">
        <f t="shared" si="38"/>
        <v>0</v>
      </c>
      <c r="R98" s="884">
        <f t="shared" si="33"/>
        <v>0</v>
      </c>
      <c r="S98" s="884">
        <f>IF(AND($AS$39="Early Payoff",J98&gt;=$S$13),0,IF($J98&lt;=$S$6,SUM($Q$20:$Q98),0))</f>
        <v>0</v>
      </c>
      <c r="T98" s="884">
        <f>IF(AND($AS$39="Early Payoff",J98&gt;=$S$13),0,IF($J98&lt;=$S$6,SUM($R$20:$R98),0))</f>
        <v>0</v>
      </c>
      <c r="U98" s="885">
        <f t="shared" si="39"/>
        <v>0</v>
      </c>
      <c r="V98" s="1110">
        <f t="shared" si="34"/>
        <v>0</v>
      </c>
      <c r="X98" s="1102">
        <f t="shared" si="40"/>
        <v>0</v>
      </c>
      <c r="Y98" s="873">
        <f t="shared" si="41"/>
        <v>0</v>
      </c>
      <c r="Z98" s="873">
        <f t="shared" si="42"/>
        <v>0</v>
      </c>
      <c r="AA98" s="885">
        <f t="shared" si="43"/>
        <v>0</v>
      </c>
    </row>
    <row r="99" spans="2:27" s="278" customFormat="1" ht="12" customHeight="1" x14ac:dyDescent="0.25">
      <c r="B99" s="1192" t="e">
        <f t="shared" si="48"/>
        <v>#N/A</v>
      </c>
      <c r="C99" s="732">
        <f t="shared" si="35"/>
        <v>29</v>
      </c>
      <c r="D99" s="35">
        <f t="shared" si="36"/>
        <v>2</v>
      </c>
      <c r="E99" s="889">
        <f t="shared" si="51"/>
        <v>48273</v>
      </c>
      <c r="F99" s="822">
        <f t="shared" si="44"/>
        <v>2</v>
      </c>
      <c r="G99" s="500">
        <f t="shared" si="52"/>
        <v>29</v>
      </c>
      <c r="H99" s="126">
        <f t="shared" si="37"/>
        <v>0</v>
      </c>
      <c r="I99" s="1098">
        <f t="shared" si="53"/>
        <v>0</v>
      </c>
      <c r="J99" s="887">
        <f t="shared" si="49"/>
        <v>80</v>
      </c>
      <c r="K99" s="1099">
        <f t="shared" si="45"/>
        <v>80</v>
      </c>
      <c r="L99" s="891" t="str">
        <f t="shared" si="46"/>
        <v>February</v>
      </c>
      <c r="M99" s="888">
        <f t="shared" si="50"/>
        <v>2032</v>
      </c>
      <c r="N99" s="883">
        <f t="shared" si="47"/>
        <v>0</v>
      </c>
      <c r="O99" s="883">
        <f t="shared" si="54"/>
        <v>0</v>
      </c>
      <c r="P99" s="1100"/>
      <c r="Q99" s="883">
        <f t="shared" si="38"/>
        <v>0</v>
      </c>
      <c r="R99" s="884">
        <f t="shared" si="33"/>
        <v>0</v>
      </c>
      <c r="S99" s="884">
        <f>IF(AND($AS$39="Early Payoff",J99&gt;=$S$13),0,IF($J99&lt;=$S$6,SUM($Q$20:$Q99),0))</f>
        <v>0</v>
      </c>
      <c r="T99" s="884">
        <f>IF(AND($AS$39="Early Payoff",J99&gt;=$S$13),0,IF($J99&lt;=$S$6,SUM($R$20:$R99),0))</f>
        <v>0</v>
      </c>
      <c r="U99" s="885">
        <f t="shared" si="39"/>
        <v>0</v>
      </c>
      <c r="V99" s="1110">
        <f t="shared" si="34"/>
        <v>0</v>
      </c>
      <c r="X99" s="1102">
        <f t="shared" si="40"/>
        <v>0</v>
      </c>
      <c r="Y99" s="873">
        <f t="shared" si="41"/>
        <v>0</v>
      </c>
      <c r="Z99" s="873">
        <f t="shared" si="42"/>
        <v>0</v>
      </c>
      <c r="AA99" s="885">
        <f t="shared" si="43"/>
        <v>0</v>
      </c>
    </row>
    <row r="100" spans="2:27" s="278" customFormat="1" ht="12" customHeight="1" x14ac:dyDescent="0.25">
      <c r="B100" s="1192" t="e">
        <f t="shared" si="48"/>
        <v>#N/A</v>
      </c>
      <c r="C100" s="732">
        <f t="shared" si="35"/>
        <v>31</v>
      </c>
      <c r="D100" s="35">
        <f t="shared" si="36"/>
        <v>3</v>
      </c>
      <c r="E100" s="889">
        <f t="shared" si="51"/>
        <v>48304</v>
      </c>
      <c r="F100" s="822">
        <f t="shared" si="44"/>
        <v>3</v>
      </c>
      <c r="G100" s="500">
        <f t="shared" si="52"/>
        <v>31</v>
      </c>
      <c r="H100" s="126">
        <f t="shared" si="37"/>
        <v>0</v>
      </c>
      <c r="I100" s="1098">
        <f t="shared" si="53"/>
        <v>0</v>
      </c>
      <c r="J100" s="887">
        <f t="shared" si="49"/>
        <v>81</v>
      </c>
      <c r="K100" s="1099">
        <f t="shared" si="45"/>
        <v>81</v>
      </c>
      <c r="L100" s="891" t="str">
        <f t="shared" si="46"/>
        <v>March</v>
      </c>
      <c r="M100" s="888">
        <f t="shared" si="50"/>
        <v>2032</v>
      </c>
      <c r="N100" s="883">
        <f t="shared" si="47"/>
        <v>0</v>
      </c>
      <c r="O100" s="883">
        <f t="shared" si="54"/>
        <v>0</v>
      </c>
      <c r="P100" s="1100"/>
      <c r="Q100" s="883">
        <f t="shared" si="38"/>
        <v>0</v>
      </c>
      <c r="R100" s="884">
        <f t="shared" si="33"/>
        <v>0</v>
      </c>
      <c r="S100" s="884">
        <f>IF(AND($AS$39="Early Payoff",J100&gt;=$S$13),0,IF($J100&lt;=$S$6,SUM($Q$20:$Q100),0))</f>
        <v>0</v>
      </c>
      <c r="T100" s="884">
        <f>IF(AND($AS$39="Early Payoff",J100&gt;=$S$13),0,IF($J100&lt;=$S$6,SUM($R$20:$R100),0))</f>
        <v>0</v>
      </c>
      <c r="U100" s="885">
        <f t="shared" si="39"/>
        <v>0</v>
      </c>
      <c r="V100" s="1110">
        <f t="shared" si="34"/>
        <v>0</v>
      </c>
      <c r="X100" s="1102">
        <f t="shared" si="40"/>
        <v>0</v>
      </c>
      <c r="Y100" s="873">
        <f t="shared" si="41"/>
        <v>0</v>
      </c>
      <c r="Z100" s="873">
        <f t="shared" si="42"/>
        <v>0</v>
      </c>
      <c r="AA100" s="885">
        <f t="shared" si="43"/>
        <v>0</v>
      </c>
    </row>
    <row r="101" spans="2:27" s="278" customFormat="1" ht="12" customHeight="1" x14ac:dyDescent="0.25">
      <c r="B101" s="1192" t="e">
        <f t="shared" si="48"/>
        <v>#N/A</v>
      </c>
      <c r="C101" s="732">
        <f t="shared" si="35"/>
        <v>30</v>
      </c>
      <c r="D101" s="35">
        <f t="shared" si="36"/>
        <v>4</v>
      </c>
      <c r="E101" s="889">
        <f t="shared" si="51"/>
        <v>48334</v>
      </c>
      <c r="F101" s="822">
        <f t="shared" si="44"/>
        <v>4</v>
      </c>
      <c r="G101" s="500">
        <f t="shared" si="52"/>
        <v>30</v>
      </c>
      <c r="H101" s="126">
        <f t="shared" si="37"/>
        <v>0</v>
      </c>
      <c r="I101" s="1098">
        <f t="shared" si="53"/>
        <v>0</v>
      </c>
      <c r="J101" s="887">
        <f t="shared" si="49"/>
        <v>82</v>
      </c>
      <c r="K101" s="1099">
        <f t="shared" si="45"/>
        <v>82</v>
      </c>
      <c r="L101" s="891" t="str">
        <f t="shared" si="46"/>
        <v>April</v>
      </c>
      <c r="M101" s="888">
        <f t="shared" si="50"/>
        <v>2032</v>
      </c>
      <c r="N101" s="883">
        <f t="shared" si="47"/>
        <v>0</v>
      </c>
      <c r="O101" s="883">
        <f t="shared" si="54"/>
        <v>0</v>
      </c>
      <c r="P101" s="1100"/>
      <c r="Q101" s="883">
        <f t="shared" si="38"/>
        <v>0</v>
      </c>
      <c r="R101" s="884">
        <f t="shared" si="33"/>
        <v>0</v>
      </c>
      <c r="S101" s="884">
        <f>IF(AND($AS$39="Early Payoff",J101&gt;=$S$13),0,IF($J101&lt;=$S$6,SUM($Q$20:$Q101),0))</f>
        <v>0</v>
      </c>
      <c r="T101" s="884">
        <f>IF(AND($AS$39="Early Payoff",J101&gt;=$S$13),0,IF($J101&lt;=$S$6,SUM($R$20:$R101),0))</f>
        <v>0</v>
      </c>
      <c r="U101" s="885">
        <f t="shared" si="39"/>
        <v>0</v>
      </c>
      <c r="V101" s="1110">
        <f t="shared" si="34"/>
        <v>0</v>
      </c>
      <c r="X101" s="1102">
        <f t="shared" si="40"/>
        <v>0</v>
      </c>
      <c r="Y101" s="873">
        <f t="shared" si="41"/>
        <v>0</v>
      </c>
      <c r="Z101" s="873">
        <f t="shared" si="42"/>
        <v>0</v>
      </c>
      <c r="AA101" s="885">
        <f t="shared" si="43"/>
        <v>0</v>
      </c>
    </row>
    <row r="102" spans="2:27" s="278" customFormat="1" ht="12" customHeight="1" x14ac:dyDescent="0.25">
      <c r="B102" s="1192" t="e">
        <f t="shared" si="48"/>
        <v>#N/A</v>
      </c>
      <c r="C102" s="732">
        <f t="shared" si="35"/>
        <v>31</v>
      </c>
      <c r="D102" s="35">
        <f t="shared" si="36"/>
        <v>5</v>
      </c>
      <c r="E102" s="889">
        <f t="shared" si="51"/>
        <v>48365</v>
      </c>
      <c r="F102" s="822">
        <f t="shared" si="44"/>
        <v>5</v>
      </c>
      <c r="G102" s="500">
        <f t="shared" si="52"/>
        <v>31</v>
      </c>
      <c r="H102" s="126">
        <f t="shared" si="37"/>
        <v>0</v>
      </c>
      <c r="I102" s="1098">
        <f t="shared" si="53"/>
        <v>0</v>
      </c>
      <c r="J102" s="887">
        <f t="shared" si="49"/>
        <v>83</v>
      </c>
      <c r="K102" s="1099">
        <f t="shared" si="45"/>
        <v>83</v>
      </c>
      <c r="L102" s="891" t="str">
        <f t="shared" si="46"/>
        <v>May</v>
      </c>
      <c r="M102" s="888">
        <f t="shared" si="50"/>
        <v>2032</v>
      </c>
      <c r="N102" s="883">
        <f t="shared" si="47"/>
        <v>0</v>
      </c>
      <c r="O102" s="883">
        <f t="shared" si="54"/>
        <v>0</v>
      </c>
      <c r="P102" s="1100"/>
      <c r="Q102" s="883">
        <f t="shared" si="38"/>
        <v>0</v>
      </c>
      <c r="R102" s="884">
        <f t="shared" si="33"/>
        <v>0</v>
      </c>
      <c r="S102" s="884">
        <f>IF(AND($AS$39="Early Payoff",J102&gt;=$S$13),0,IF($J102&lt;=$S$6,SUM($Q$20:$Q102),0))</f>
        <v>0</v>
      </c>
      <c r="T102" s="884">
        <f>IF(AND($AS$39="Early Payoff",J102&gt;=$S$13),0,IF($J102&lt;=$S$6,SUM($R$20:$R102),0))</f>
        <v>0</v>
      </c>
      <c r="U102" s="885">
        <f t="shared" si="39"/>
        <v>0</v>
      </c>
      <c r="V102" s="1110">
        <f t="shared" si="34"/>
        <v>0</v>
      </c>
      <c r="X102" s="1102">
        <f t="shared" si="40"/>
        <v>0</v>
      </c>
      <c r="Y102" s="873">
        <f t="shared" si="41"/>
        <v>0</v>
      </c>
      <c r="Z102" s="873">
        <f t="shared" si="42"/>
        <v>0</v>
      </c>
      <c r="AA102" s="885">
        <f t="shared" si="43"/>
        <v>0</v>
      </c>
    </row>
    <row r="103" spans="2:27" s="278" customFormat="1" ht="12" customHeight="1" x14ac:dyDescent="0.25">
      <c r="B103" s="1192" t="e">
        <f t="shared" si="48"/>
        <v>#N/A</v>
      </c>
      <c r="C103" s="732">
        <f t="shared" si="35"/>
        <v>30</v>
      </c>
      <c r="D103" s="35">
        <f t="shared" si="36"/>
        <v>6</v>
      </c>
      <c r="E103" s="889">
        <f t="shared" si="51"/>
        <v>48395</v>
      </c>
      <c r="F103" s="822">
        <f t="shared" si="44"/>
        <v>6</v>
      </c>
      <c r="G103" s="500">
        <f t="shared" si="52"/>
        <v>30</v>
      </c>
      <c r="H103" s="126">
        <f t="shared" si="37"/>
        <v>0</v>
      </c>
      <c r="I103" s="1098">
        <f t="shared" si="53"/>
        <v>0</v>
      </c>
      <c r="J103" s="887">
        <f t="shared" si="49"/>
        <v>84</v>
      </c>
      <c r="K103" s="1099">
        <f t="shared" si="45"/>
        <v>84</v>
      </c>
      <c r="L103" s="891" t="str">
        <f t="shared" si="46"/>
        <v>June</v>
      </c>
      <c r="M103" s="888">
        <f t="shared" si="50"/>
        <v>2032</v>
      </c>
      <c r="N103" s="883">
        <f t="shared" si="47"/>
        <v>0</v>
      </c>
      <c r="O103" s="883">
        <f t="shared" si="54"/>
        <v>0</v>
      </c>
      <c r="P103" s="1100"/>
      <c r="Q103" s="883">
        <f t="shared" si="38"/>
        <v>0</v>
      </c>
      <c r="R103" s="884">
        <f t="shared" si="33"/>
        <v>0</v>
      </c>
      <c r="S103" s="884">
        <f>IF(AND($AS$39="Early Payoff",J103&gt;=$S$13),0,IF($J103&lt;=$S$6,SUM($Q$20:$Q103),0))</f>
        <v>0</v>
      </c>
      <c r="T103" s="884">
        <f>IF(AND($AS$39="Early Payoff",J103&gt;=$S$13),0,IF($J103&lt;=$S$6,SUM($R$20:$R103),0))</f>
        <v>0</v>
      </c>
      <c r="U103" s="885">
        <f t="shared" si="39"/>
        <v>0</v>
      </c>
      <c r="V103" s="1110">
        <f t="shared" si="34"/>
        <v>0</v>
      </c>
      <c r="X103" s="1102">
        <f t="shared" si="40"/>
        <v>0</v>
      </c>
      <c r="Y103" s="873">
        <f t="shared" si="41"/>
        <v>0</v>
      </c>
      <c r="Z103" s="873">
        <f t="shared" si="42"/>
        <v>0</v>
      </c>
      <c r="AA103" s="885">
        <f t="shared" si="43"/>
        <v>0</v>
      </c>
    </row>
    <row r="104" spans="2:27" s="278" customFormat="1" ht="12" customHeight="1" x14ac:dyDescent="0.25">
      <c r="B104" s="1192" t="e">
        <f t="shared" si="48"/>
        <v>#N/A</v>
      </c>
      <c r="C104" s="732">
        <f t="shared" si="35"/>
        <v>31</v>
      </c>
      <c r="D104" s="35">
        <f t="shared" si="36"/>
        <v>7</v>
      </c>
      <c r="E104" s="889">
        <f t="shared" si="51"/>
        <v>48426</v>
      </c>
      <c r="F104" s="822">
        <f t="shared" si="44"/>
        <v>7</v>
      </c>
      <c r="G104" s="500">
        <f t="shared" si="52"/>
        <v>31</v>
      </c>
      <c r="H104" s="126">
        <f t="shared" si="37"/>
        <v>0</v>
      </c>
      <c r="I104" s="1098">
        <f t="shared" si="53"/>
        <v>0</v>
      </c>
      <c r="J104" s="887">
        <f t="shared" si="49"/>
        <v>85</v>
      </c>
      <c r="K104" s="1099">
        <f t="shared" si="45"/>
        <v>85</v>
      </c>
      <c r="L104" s="891" t="str">
        <f t="shared" si="46"/>
        <v>July</v>
      </c>
      <c r="M104" s="888">
        <f t="shared" si="50"/>
        <v>2032</v>
      </c>
      <c r="N104" s="883">
        <f t="shared" si="47"/>
        <v>0</v>
      </c>
      <c r="O104" s="883">
        <f t="shared" si="54"/>
        <v>0</v>
      </c>
      <c r="P104" s="1100"/>
      <c r="Q104" s="883">
        <f t="shared" si="38"/>
        <v>0</v>
      </c>
      <c r="R104" s="884">
        <f t="shared" si="33"/>
        <v>0</v>
      </c>
      <c r="S104" s="884">
        <f>IF(AND($AS$39="Early Payoff",J104&gt;=$S$13),0,IF($J104&lt;=$S$6,SUM($Q$20:$Q104),0))</f>
        <v>0</v>
      </c>
      <c r="T104" s="884">
        <f>IF(AND($AS$39="Early Payoff",J104&gt;=$S$13),0,IF($J104&lt;=$S$6,SUM($R$20:$R104),0))</f>
        <v>0</v>
      </c>
      <c r="U104" s="885">
        <f t="shared" si="39"/>
        <v>0</v>
      </c>
      <c r="V104" s="1110">
        <f t="shared" si="34"/>
        <v>0</v>
      </c>
      <c r="X104" s="1102">
        <f t="shared" si="40"/>
        <v>0</v>
      </c>
      <c r="Y104" s="873">
        <f t="shared" si="41"/>
        <v>0</v>
      </c>
      <c r="Z104" s="873">
        <f t="shared" si="42"/>
        <v>0</v>
      </c>
      <c r="AA104" s="885">
        <f t="shared" si="43"/>
        <v>0</v>
      </c>
    </row>
    <row r="105" spans="2:27" s="278" customFormat="1" ht="12" customHeight="1" x14ac:dyDescent="0.25">
      <c r="B105" s="1192" t="e">
        <f t="shared" si="48"/>
        <v>#N/A</v>
      </c>
      <c r="C105" s="732">
        <f t="shared" si="35"/>
        <v>31</v>
      </c>
      <c r="D105" s="35">
        <f t="shared" si="36"/>
        <v>8</v>
      </c>
      <c r="E105" s="889">
        <f t="shared" si="51"/>
        <v>48457</v>
      </c>
      <c r="F105" s="822">
        <f t="shared" si="44"/>
        <v>8</v>
      </c>
      <c r="G105" s="500">
        <f t="shared" si="52"/>
        <v>31</v>
      </c>
      <c r="H105" s="126">
        <f t="shared" si="37"/>
        <v>0</v>
      </c>
      <c r="I105" s="1098">
        <f t="shared" si="53"/>
        <v>0</v>
      </c>
      <c r="J105" s="887">
        <f t="shared" si="49"/>
        <v>86</v>
      </c>
      <c r="K105" s="1099">
        <f t="shared" si="45"/>
        <v>86</v>
      </c>
      <c r="L105" s="891" t="str">
        <f t="shared" si="46"/>
        <v>August</v>
      </c>
      <c r="M105" s="888">
        <f t="shared" si="50"/>
        <v>2032</v>
      </c>
      <c r="N105" s="883">
        <f t="shared" si="47"/>
        <v>0</v>
      </c>
      <c r="O105" s="883">
        <f t="shared" si="54"/>
        <v>0</v>
      </c>
      <c r="P105" s="1100"/>
      <c r="Q105" s="883">
        <f t="shared" si="38"/>
        <v>0</v>
      </c>
      <c r="R105" s="884">
        <f t="shared" si="33"/>
        <v>0</v>
      </c>
      <c r="S105" s="884">
        <f>IF(AND($AS$39="Early Payoff",J105&gt;=$S$13),0,IF($J105&lt;=$S$6,SUM($Q$20:$Q105),0))</f>
        <v>0</v>
      </c>
      <c r="T105" s="884">
        <f>IF(AND($AS$39="Early Payoff",J105&gt;=$S$13),0,IF($J105&lt;=$S$6,SUM($R$20:$R105),0))</f>
        <v>0</v>
      </c>
      <c r="U105" s="885">
        <f t="shared" si="39"/>
        <v>0</v>
      </c>
      <c r="V105" s="1110">
        <f t="shared" si="34"/>
        <v>0</v>
      </c>
      <c r="X105" s="1102">
        <f t="shared" si="40"/>
        <v>0</v>
      </c>
      <c r="Y105" s="873">
        <f t="shared" si="41"/>
        <v>0</v>
      </c>
      <c r="Z105" s="873">
        <f t="shared" si="42"/>
        <v>0</v>
      </c>
      <c r="AA105" s="885">
        <f t="shared" si="43"/>
        <v>0</v>
      </c>
    </row>
    <row r="106" spans="2:27" s="278" customFormat="1" ht="12" customHeight="1" x14ac:dyDescent="0.25">
      <c r="B106" s="1192" t="e">
        <f t="shared" si="48"/>
        <v>#N/A</v>
      </c>
      <c r="C106" s="732">
        <f t="shared" si="35"/>
        <v>30</v>
      </c>
      <c r="D106" s="35">
        <f t="shared" si="36"/>
        <v>9</v>
      </c>
      <c r="E106" s="889">
        <f t="shared" si="51"/>
        <v>48487</v>
      </c>
      <c r="F106" s="822">
        <f t="shared" si="44"/>
        <v>9</v>
      </c>
      <c r="G106" s="500">
        <f t="shared" si="52"/>
        <v>30</v>
      </c>
      <c r="H106" s="126">
        <f t="shared" si="37"/>
        <v>0</v>
      </c>
      <c r="I106" s="1098">
        <f t="shared" si="53"/>
        <v>0</v>
      </c>
      <c r="J106" s="887">
        <f t="shared" si="49"/>
        <v>87</v>
      </c>
      <c r="K106" s="1099">
        <f t="shared" si="45"/>
        <v>87</v>
      </c>
      <c r="L106" s="891" t="str">
        <f t="shared" si="46"/>
        <v>September</v>
      </c>
      <c r="M106" s="888">
        <f t="shared" si="50"/>
        <v>2032</v>
      </c>
      <c r="N106" s="883">
        <f t="shared" si="47"/>
        <v>0</v>
      </c>
      <c r="O106" s="883">
        <f t="shared" si="54"/>
        <v>0</v>
      </c>
      <c r="P106" s="1100"/>
      <c r="Q106" s="883">
        <f t="shared" si="38"/>
        <v>0</v>
      </c>
      <c r="R106" s="884">
        <f t="shared" si="33"/>
        <v>0</v>
      </c>
      <c r="S106" s="884">
        <f>IF(AND($AS$39="Early Payoff",J106&gt;=$S$13),0,IF($J106&lt;=$S$6,SUM($Q$20:$Q106),0))</f>
        <v>0</v>
      </c>
      <c r="T106" s="884">
        <f>IF(AND($AS$39="Early Payoff",J106&gt;=$S$13),0,IF($J106&lt;=$S$6,SUM($R$20:$R106),0))</f>
        <v>0</v>
      </c>
      <c r="U106" s="885">
        <f t="shared" si="39"/>
        <v>0</v>
      </c>
      <c r="V106" s="1110">
        <f t="shared" si="34"/>
        <v>0</v>
      </c>
      <c r="X106" s="1102">
        <f t="shared" si="40"/>
        <v>0</v>
      </c>
      <c r="Y106" s="873">
        <f t="shared" si="41"/>
        <v>0</v>
      </c>
      <c r="Z106" s="873">
        <f t="shared" si="42"/>
        <v>0</v>
      </c>
      <c r="AA106" s="885">
        <f t="shared" si="43"/>
        <v>0</v>
      </c>
    </row>
    <row r="107" spans="2:27" s="278" customFormat="1" ht="12" customHeight="1" x14ac:dyDescent="0.25">
      <c r="B107" s="1192" t="e">
        <f t="shared" si="48"/>
        <v>#N/A</v>
      </c>
      <c r="C107" s="732">
        <f t="shared" si="35"/>
        <v>31</v>
      </c>
      <c r="D107" s="35">
        <f t="shared" si="36"/>
        <v>10</v>
      </c>
      <c r="E107" s="889">
        <f t="shared" si="51"/>
        <v>48518</v>
      </c>
      <c r="F107" s="822">
        <f t="shared" si="44"/>
        <v>10</v>
      </c>
      <c r="G107" s="500">
        <f t="shared" si="52"/>
        <v>31</v>
      </c>
      <c r="H107" s="126">
        <f t="shared" si="37"/>
        <v>0</v>
      </c>
      <c r="I107" s="1098">
        <f t="shared" si="53"/>
        <v>0</v>
      </c>
      <c r="J107" s="887">
        <f t="shared" si="49"/>
        <v>88</v>
      </c>
      <c r="K107" s="1099">
        <f t="shared" si="45"/>
        <v>88</v>
      </c>
      <c r="L107" s="891" t="str">
        <f t="shared" si="46"/>
        <v>October</v>
      </c>
      <c r="M107" s="888">
        <f t="shared" si="50"/>
        <v>2032</v>
      </c>
      <c r="N107" s="883">
        <f t="shared" si="47"/>
        <v>0</v>
      </c>
      <c r="O107" s="883">
        <f t="shared" si="54"/>
        <v>0</v>
      </c>
      <c r="P107" s="1100"/>
      <c r="Q107" s="883">
        <f t="shared" si="38"/>
        <v>0</v>
      </c>
      <c r="R107" s="884">
        <f t="shared" si="33"/>
        <v>0</v>
      </c>
      <c r="S107" s="884">
        <f>IF(AND($AS$39="Early Payoff",J107&gt;=$S$13),0,IF($J107&lt;=$S$6,SUM($Q$20:$Q107),0))</f>
        <v>0</v>
      </c>
      <c r="T107" s="884">
        <f>IF(AND($AS$39="Early Payoff",J107&gt;=$S$13),0,IF($J107&lt;=$S$6,SUM($R$20:$R107),0))</f>
        <v>0</v>
      </c>
      <c r="U107" s="885">
        <f t="shared" si="39"/>
        <v>0</v>
      </c>
      <c r="V107" s="1110">
        <f t="shared" si="34"/>
        <v>0</v>
      </c>
      <c r="X107" s="1102">
        <f t="shared" si="40"/>
        <v>0</v>
      </c>
      <c r="Y107" s="873">
        <f t="shared" si="41"/>
        <v>0</v>
      </c>
      <c r="Z107" s="873">
        <f t="shared" si="42"/>
        <v>0</v>
      </c>
      <c r="AA107" s="885">
        <f t="shared" si="43"/>
        <v>0</v>
      </c>
    </row>
    <row r="108" spans="2:27" s="278" customFormat="1" ht="12" customHeight="1" x14ac:dyDescent="0.25">
      <c r="B108" s="1192" t="e">
        <f t="shared" si="48"/>
        <v>#N/A</v>
      </c>
      <c r="C108" s="732">
        <f t="shared" si="35"/>
        <v>30</v>
      </c>
      <c r="D108" s="35">
        <f t="shared" si="36"/>
        <v>11</v>
      </c>
      <c r="E108" s="889">
        <f t="shared" si="51"/>
        <v>48548</v>
      </c>
      <c r="F108" s="822">
        <f t="shared" si="44"/>
        <v>11</v>
      </c>
      <c r="G108" s="500">
        <f t="shared" si="52"/>
        <v>30</v>
      </c>
      <c r="H108" s="126">
        <f t="shared" si="37"/>
        <v>0</v>
      </c>
      <c r="I108" s="1098">
        <f t="shared" si="53"/>
        <v>0</v>
      </c>
      <c r="J108" s="887">
        <f t="shared" si="49"/>
        <v>89</v>
      </c>
      <c r="K108" s="1099">
        <f t="shared" si="45"/>
        <v>89</v>
      </c>
      <c r="L108" s="891" t="str">
        <f t="shared" si="46"/>
        <v>November</v>
      </c>
      <c r="M108" s="888">
        <f t="shared" si="50"/>
        <v>2032</v>
      </c>
      <c r="N108" s="883">
        <f t="shared" si="47"/>
        <v>0</v>
      </c>
      <c r="O108" s="883">
        <f t="shared" si="54"/>
        <v>0</v>
      </c>
      <c r="P108" s="1100"/>
      <c r="Q108" s="883">
        <f t="shared" si="38"/>
        <v>0</v>
      </c>
      <c r="R108" s="884">
        <f t="shared" si="33"/>
        <v>0</v>
      </c>
      <c r="S108" s="884">
        <f>IF(AND($AS$39="Early Payoff",J108&gt;=$S$13),0,IF($J108&lt;=$S$6,SUM($Q$20:$Q108),0))</f>
        <v>0</v>
      </c>
      <c r="T108" s="884">
        <f>IF(AND($AS$39="Early Payoff",J108&gt;=$S$13),0,IF($J108&lt;=$S$6,SUM($R$20:$R108),0))</f>
        <v>0</v>
      </c>
      <c r="U108" s="885">
        <f t="shared" si="39"/>
        <v>0</v>
      </c>
      <c r="V108" s="1110">
        <f t="shared" si="34"/>
        <v>0</v>
      </c>
      <c r="X108" s="1102">
        <f t="shared" si="40"/>
        <v>0</v>
      </c>
      <c r="Y108" s="873">
        <f t="shared" si="41"/>
        <v>0</v>
      </c>
      <c r="Z108" s="873">
        <f t="shared" si="42"/>
        <v>0</v>
      </c>
      <c r="AA108" s="885">
        <f t="shared" si="43"/>
        <v>0</v>
      </c>
    </row>
    <row r="109" spans="2:27" s="278" customFormat="1" ht="12" customHeight="1" x14ac:dyDescent="0.25">
      <c r="B109" s="1192" t="e">
        <f t="shared" si="48"/>
        <v>#N/A</v>
      </c>
      <c r="C109" s="732">
        <f t="shared" si="35"/>
        <v>31</v>
      </c>
      <c r="D109" s="35">
        <f t="shared" si="36"/>
        <v>12</v>
      </c>
      <c r="E109" s="889">
        <f t="shared" si="51"/>
        <v>48579</v>
      </c>
      <c r="F109" s="822">
        <f t="shared" si="44"/>
        <v>12</v>
      </c>
      <c r="G109" s="500">
        <f t="shared" si="52"/>
        <v>31</v>
      </c>
      <c r="H109" s="126">
        <f t="shared" si="37"/>
        <v>1</v>
      </c>
      <c r="I109" s="1098">
        <f t="shared" si="53"/>
        <v>0</v>
      </c>
      <c r="J109" s="887">
        <f t="shared" si="49"/>
        <v>90</v>
      </c>
      <c r="K109" s="1099">
        <f t="shared" si="45"/>
        <v>90</v>
      </c>
      <c r="L109" s="891" t="str">
        <f t="shared" si="46"/>
        <v>December</v>
      </c>
      <c r="M109" s="888">
        <f t="shared" si="50"/>
        <v>2032</v>
      </c>
      <c r="N109" s="883">
        <f t="shared" si="47"/>
        <v>0</v>
      </c>
      <c r="O109" s="883">
        <f t="shared" si="54"/>
        <v>0</v>
      </c>
      <c r="P109" s="1100"/>
      <c r="Q109" s="883">
        <f t="shared" si="38"/>
        <v>0</v>
      </c>
      <c r="R109" s="884">
        <f t="shared" si="33"/>
        <v>0</v>
      </c>
      <c r="S109" s="884">
        <f>IF(AND($AS$39="Early Payoff",J109&gt;=$S$13),0,IF($J109&lt;=$S$6,SUM($Q$20:$Q109),0))</f>
        <v>0</v>
      </c>
      <c r="T109" s="884">
        <f>IF(AND($AS$39="Early Payoff",J109&gt;=$S$13),0,IF($J109&lt;=$S$6,SUM($R$20:$R109),0))</f>
        <v>0</v>
      </c>
      <c r="U109" s="885">
        <f t="shared" si="39"/>
        <v>0</v>
      </c>
      <c r="V109" s="1110">
        <f t="shared" si="34"/>
        <v>0</v>
      </c>
      <c r="X109" s="1102">
        <f t="shared" si="40"/>
        <v>0</v>
      </c>
      <c r="Y109" s="873">
        <f t="shared" si="41"/>
        <v>0</v>
      </c>
      <c r="Z109" s="873">
        <f t="shared" si="42"/>
        <v>0</v>
      </c>
      <c r="AA109" s="885">
        <f t="shared" si="43"/>
        <v>0</v>
      </c>
    </row>
    <row r="110" spans="2:27" s="278" customFormat="1" ht="12" customHeight="1" x14ac:dyDescent="0.25">
      <c r="B110" s="1192" t="e">
        <f t="shared" si="48"/>
        <v>#N/A</v>
      </c>
      <c r="C110" s="732">
        <f t="shared" si="35"/>
        <v>31</v>
      </c>
      <c r="D110" s="35">
        <f t="shared" si="36"/>
        <v>1</v>
      </c>
      <c r="E110" s="889">
        <f t="shared" si="51"/>
        <v>48610</v>
      </c>
      <c r="F110" s="822">
        <f t="shared" si="44"/>
        <v>1</v>
      </c>
      <c r="G110" s="500">
        <f t="shared" si="52"/>
        <v>31</v>
      </c>
      <c r="H110" s="126">
        <f t="shared" si="37"/>
        <v>0</v>
      </c>
      <c r="I110" s="1098">
        <f t="shared" si="53"/>
        <v>0</v>
      </c>
      <c r="J110" s="887">
        <f t="shared" si="49"/>
        <v>91</v>
      </c>
      <c r="K110" s="1099">
        <f t="shared" si="45"/>
        <v>91</v>
      </c>
      <c r="L110" s="891" t="str">
        <f t="shared" si="46"/>
        <v>January</v>
      </c>
      <c r="M110" s="888">
        <f t="shared" si="50"/>
        <v>2033</v>
      </c>
      <c r="N110" s="883">
        <f t="shared" si="47"/>
        <v>0</v>
      </c>
      <c r="O110" s="883">
        <f t="shared" si="54"/>
        <v>0</v>
      </c>
      <c r="P110" s="1100"/>
      <c r="Q110" s="883">
        <f t="shared" si="38"/>
        <v>0</v>
      </c>
      <c r="R110" s="884">
        <f t="shared" si="33"/>
        <v>0</v>
      </c>
      <c r="S110" s="884">
        <f>IF(AND($AS$39="Early Payoff",J110&gt;=$S$13),0,IF($J110&lt;=$S$6,SUM($Q$20:$Q110),0))</f>
        <v>0</v>
      </c>
      <c r="T110" s="884">
        <f>IF(AND($AS$39="Early Payoff",J110&gt;=$S$13),0,IF($J110&lt;=$S$6,SUM($R$20:$R110),0))</f>
        <v>0</v>
      </c>
      <c r="U110" s="885">
        <f t="shared" si="39"/>
        <v>0</v>
      </c>
      <c r="V110" s="1110">
        <f t="shared" si="34"/>
        <v>0</v>
      </c>
      <c r="X110" s="1102">
        <f t="shared" si="40"/>
        <v>0</v>
      </c>
      <c r="Y110" s="873">
        <f t="shared" si="41"/>
        <v>0</v>
      </c>
      <c r="Z110" s="873">
        <f t="shared" si="42"/>
        <v>0</v>
      </c>
      <c r="AA110" s="885">
        <f t="shared" si="43"/>
        <v>0</v>
      </c>
    </row>
    <row r="111" spans="2:27" s="278" customFormat="1" ht="12" customHeight="1" x14ac:dyDescent="0.25">
      <c r="B111" s="1192" t="e">
        <f t="shared" si="48"/>
        <v>#N/A</v>
      </c>
      <c r="C111" s="732">
        <f t="shared" si="35"/>
        <v>28</v>
      </c>
      <c r="D111" s="35">
        <f t="shared" si="36"/>
        <v>2</v>
      </c>
      <c r="E111" s="889">
        <f t="shared" si="51"/>
        <v>48638</v>
      </c>
      <c r="F111" s="822">
        <f t="shared" si="44"/>
        <v>2</v>
      </c>
      <c r="G111" s="500">
        <f t="shared" si="52"/>
        <v>28</v>
      </c>
      <c r="H111" s="126">
        <f t="shared" si="37"/>
        <v>0</v>
      </c>
      <c r="I111" s="1098">
        <f t="shared" si="53"/>
        <v>0</v>
      </c>
      <c r="J111" s="887">
        <f t="shared" si="49"/>
        <v>92</v>
      </c>
      <c r="K111" s="1099">
        <f t="shared" si="45"/>
        <v>92</v>
      </c>
      <c r="L111" s="891" t="str">
        <f t="shared" si="46"/>
        <v>February</v>
      </c>
      <c r="M111" s="888">
        <f t="shared" si="50"/>
        <v>2033</v>
      </c>
      <c r="N111" s="883">
        <f t="shared" si="47"/>
        <v>0</v>
      </c>
      <c r="O111" s="883">
        <f t="shared" si="54"/>
        <v>0</v>
      </c>
      <c r="P111" s="1100"/>
      <c r="Q111" s="883">
        <f t="shared" si="38"/>
        <v>0</v>
      </c>
      <c r="R111" s="884">
        <f t="shared" si="33"/>
        <v>0</v>
      </c>
      <c r="S111" s="884">
        <f>IF(AND($AS$39="Early Payoff",J111&gt;=$S$13),0,IF($J111&lt;=$S$6,SUM($Q$20:$Q111),0))</f>
        <v>0</v>
      </c>
      <c r="T111" s="884">
        <f>IF(AND($AS$39="Early Payoff",J111&gt;=$S$13),0,IF($J111&lt;=$S$6,SUM($R$20:$R111),0))</f>
        <v>0</v>
      </c>
      <c r="U111" s="885">
        <f t="shared" si="39"/>
        <v>0</v>
      </c>
      <c r="V111" s="1110">
        <f t="shared" si="34"/>
        <v>0</v>
      </c>
      <c r="X111" s="1102">
        <f t="shared" si="40"/>
        <v>0</v>
      </c>
      <c r="Y111" s="873">
        <f t="shared" si="41"/>
        <v>0</v>
      </c>
      <c r="Z111" s="873">
        <f t="shared" si="42"/>
        <v>0</v>
      </c>
      <c r="AA111" s="885">
        <f t="shared" si="43"/>
        <v>0</v>
      </c>
    </row>
    <row r="112" spans="2:27" s="278" customFormat="1" ht="12" customHeight="1" x14ac:dyDescent="0.25">
      <c r="B112" s="1192" t="e">
        <f t="shared" si="48"/>
        <v>#N/A</v>
      </c>
      <c r="C112" s="732">
        <f t="shared" si="35"/>
        <v>31</v>
      </c>
      <c r="D112" s="35">
        <f t="shared" si="36"/>
        <v>3</v>
      </c>
      <c r="E112" s="889">
        <f t="shared" si="51"/>
        <v>48669</v>
      </c>
      <c r="F112" s="822">
        <f t="shared" si="44"/>
        <v>3</v>
      </c>
      <c r="G112" s="500">
        <f t="shared" si="52"/>
        <v>31</v>
      </c>
      <c r="H112" s="126">
        <f t="shared" si="37"/>
        <v>0</v>
      </c>
      <c r="I112" s="1098">
        <f t="shared" si="53"/>
        <v>0</v>
      </c>
      <c r="J112" s="887">
        <f t="shared" si="49"/>
        <v>93</v>
      </c>
      <c r="K112" s="1099">
        <f t="shared" si="45"/>
        <v>93</v>
      </c>
      <c r="L112" s="891" t="str">
        <f t="shared" si="46"/>
        <v>March</v>
      </c>
      <c r="M112" s="888">
        <f t="shared" si="50"/>
        <v>2033</v>
      </c>
      <c r="N112" s="883">
        <f t="shared" si="47"/>
        <v>0</v>
      </c>
      <c r="O112" s="883">
        <f t="shared" si="54"/>
        <v>0</v>
      </c>
      <c r="P112" s="1100"/>
      <c r="Q112" s="883">
        <f t="shared" si="38"/>
        <v>0</v>
      </c>
      <c r="R112" s="884">
        <f t="shared" si="33"/>
        <v>0</v>
      </c>
      <c r="S112" s="884">
        <f>IF(AND($AS$39="Early Payoff",J112&gt;=$S$13),0,IF($J112&lt;=$S$6,SUM($Q$20:$Q112),0))</f>
        <v>0</v>
      </c>
      <c r="T112" s="884">
        <f>IF(AND($AS$39="Early Payoff",J112&gt;=$S$13),0,IF($J112&lt;=$S$6,SUM($R$20:$R112),0))</f>
        <v>0</v>
      </c>
      <c r="U112" s="885">
        <f t="shared" si="39"/>
        <v>0</v>
      </c>
      <c r="V112" s="1110">
        <f t="shared" si="34"/>
        <v>0</v>
      </c>
      <c r="X112" s="1102">
        <f t="shared" si="40"/>
        <v>0</v>
      </c>
      <c r="Y112" s="873">
        <f t="shared" si="41"/>
        <v>0</v>
      </c>
      <c r="Z112" s="873">
        <f t="shared" si="42"/>
        <v>0</v>
      </c>
      <c r="AA112" s="885">
        <f t="shared" si="43"/>
        <v>0</v>
      </c>
    </row>
    <row r="113" spans="2:27" s="278" customFormat="1" ht="12" customHeight="1" x14ac:dyDescent="0.25">
      <c r="B113" s="1192" t="e">
        <f t="shared" si="48"/>
        <v>#N/A</v>
      </c>
      <c r="C113" s="732">
        <f t="shared" si="35"/>
        <v>30</v>
      </c>
      <c r="D113" s="35">
        <f t="shared" si="36"/>
        <v>4</v>
      </c>
      <c r="E113" s="889">
        <f t="shared" si="51"/>
        <v>48699</v>
      </c>
      <c r="F113" s="822">
        <f t="shared" si="44"/>
        <v>4</v>
      </c>
      <c r="G113" s="500">
        <f t="shared" si="52"/>
        <v>30</v>
      </c>
      <c r="H113" s="126">
        <f t="shared" si="37"/>
        <v>0</v>
      </c>
      <c r="I113" s="1098">
        <f t="shared" si="53"/>
        <v>0</v>
      </c>
      <c r="J113" s="887">
        <f t="shared" si="49"/>
        <v>94</v>
      </c>
      <c r="K113" s="1099">
        <f t="shared" si="45"/>
        <v>94</v>
      </c>
      <c r="L113" s="891" t="str">
        <f t="shared" si="46"/>
        <v>April</v>
      </c>
      <c r="M113" s="888">
        <f t="shared" si="50"/>
        <v>2033</v>
      </c>
      <c r="N113" s="883">
        <f t="shared" si="47"/>
        <v>0</v>
      </c>
      <c r="O113" s="883">
        <f t="shared" si="54"/>
        <v>0</v>
      </c>
      <c r="P113" s="1100"/>
      <c r="Q113" s="883">
        <f t="shared" si="38"/>
        <v>0</v>
      </c>
      <c r="R113" s="884">
        <f t="shared" si="33"/>
        <v>0</v>
      </c>
      <c r="S113" s="884">
        <f>IF(AND($AS$39="Early Payoff",J113&gt;=$S$13),0,IF($J113&lt;=$S$6,SUM($Q$20:$Q113),0))</f>
        <v>0</v>
      </c>
      <c r="T113" s="884">
        <f>IF(AND($AS$39="Early Payoff",J113&gt;=$S$13),0,IF($J113&lt;=$S$6,SUM($R$20:$R113),0))</f>
        <v>0</v>
      </c>
      <c r="U113" s="885">
        <f t="shared" si="39"/>
        <v>0</v>
      </c>
      <c r="V113" s="1110">
        <f t="shared" si="34"/>
        <v>0</v>
      </c>
      <c r="X113" s="1102">
        <f t="shared" si="40"/>
        <v>0</v>
      </c>
      <c r="Y113" s="873">
        <f t="shared" si="41"/>
        <v>0</v>
      </c>
      <c r="Z113" s="873">
        <f t="shared" si="42"/>
        <v>0</v>
      </c>
      <c r="AA113" s="885">
        <f t="shared" si="43"/>
        <v>0</v>
      </c>
    </row>
    <row r="114" spans="2:27" s="278" customFormat="1" ht="12" customHeight="1" x14ac:dyDescent="0.25">
      <c r="B114" s="1192" t="e">
        <f t="shared" si="48"/>
        <v>#N/A</v>
      </c>
      <c r="C114" s="732">
        <f t="shared" si="35"/>
        <v>31</v>
      </c>
      <c r="D114" s="35">
        <f t="shared" si="36"/>
        <v>5</v>
      </c>
      <c r="E114" s="889">
        <f t="shared" si="51"/>
        <v>48730</v>
      </c>
      <c r="F114" s="822">
        <f t="shared" si="44"/>
        <v>5</v>
      </c>
      <c r="G114" s="500">
        <f t="shared" si="52"/>
        <v>31</v>
      </c>
      <c r="H114" s="126">
        <f t="shared" si="37"/>
        <v>0</v>
      </c>
      <c r="I114" s="1098">
        <f t="shared" si="53"/>
        <v>0</v>
      </c>
      <c r="J114" s="887">
        <f t="shared" si="49"/>
        <v>95</v>
      </c>
      <c r="K114" s="1099">
        <f t="shared" si="45"/>
        <v>95</v>
      </c>
      <c r="L114" s="891" t="str">
        <f t="shared" si="46"/>
        <v>May</v>
      </c>
      <c r="M114" s="888">
        <f t="shared" si="50"/>
        <v>2033</v>
      </c>
      <c r="N114" s="883">
        <f t="shared" si="47"/>
        <v>0</v>
      </c>
      <c r="O114" s="883">
        <f t="shared" si="54"/>
        <v>0</v>
      </c>
      <c r="P114" s="1100"/>
      <c r="Q114" s="883">
        <f t="shared" si="38"/>
        <v>0</v>
      </c>
      <c r="R114" s="884">
        <f t="shared" si="33"/>
        <v>0</v>
      </c>
      <c r="S114" s="884">
        <f>IF(AND($AS$39="Early Payoff",J114&gt;=$S$13),0,IF($J114&lt;=$S$6,SUM($Q$20:$Q114),0))</f>
        <v>0</v>
      </c>
      <c r="T114" s="884">
        <f>IF(AND($AS$39="Early Payoff",J114&gt;=$S$13),0,IF($J114&lt;=$S$6,SUM($R$20:$R114),0))</f>
        <v>0</v>
      </c>
      <c r="U114" s="885">
        <f t="shared" si="39"/>
        <v>0</v>
      </c>
      <c r="V114" s="1110">
        <f t="shared" si="34"/>
        <v>0</v>
      </c>
      <c r="X114" s="1102">
        <f t="shared" si="40"/>
        <v>0</v>
      </c>
      <c r="Y114" s="873">
        <f t="shared" si="41"/>
        <v>0</v>
      </c>
      <c r="Z114" s="873">
        <f t="shared" si="42"/>
        <v>0</v>
      </c>
      <c r="AA114" s="885">
        <f t="shared" si="43"/>
        <v>0</v>
      </c>
    </row>
    <row r="115" spans="2:27" s="278" customFormat="1" ht="12" customHeight="1" x14ac:dyDescent="0.25">
      <c r="B115" s="1192" t="e">
        <f t="shared" si="48"/>
        <v>#N/A</v>
      </c>
      <c r="C115" s="732">
        <f t="shared" si="35"/>
        <v>30</v>
      </c>
      <c r="D115" s="35">
        <f t="shared" si="36"/>
        <v>6</v>
      </c>
      <c r="E115" s="889">
        <f t="shared" si="51"/>
        <v>48760</v>
      </c>
      <c r="F115" s="822">
        <f t="shared" si="44"/>
        <v>6</v>
      </c>
      <c r="G115" s="500">
        <f t="shared" si="52"/>
        <v>30</v>
      </c>
      <c r="H115" s="126">
        <f t="shared" si="37"/>
        <v>0</v>
      </c>
      <c r="I115" s="1098">
        <f t="shared" si="53"/>
        <v>0</v>
      </c>
      <c r="J115" s="887">
        <f t="shared" si="49"/>
        <v>96</v>
      </c>
      <c r="K115" s="1099">
        <f t="shared" si="45"/>
        <v>96</v>
      </c>
      <c r="L115" s="891" t="str">
        <f t="shared" si="46"/>
        <v>June</v>
      </c>
      <c r="M115" s="888">
        <f t="shared" si="50"/>
        <v>2033</v>
      </c>
      <c r="N115" s="883">
        <f t="shared" si="47"/>
        <v>0</v>
      </c>
      <c r="O115" s="883">
        <f t="shared" si="54"/>
        <v>0</v>
      </c>
      <c r="P115" s="1100"/>
      <c r="Q115" s="883">
        <f t="shared" si="38"/>
        <v>0</v>
      </c>
      <c r="R115" s="884">
        <f t="shared" si="33"/>
        <v>0</v>
      </c>
      <c r="S115" s="884">
        <f>IF(AND($AS$39="Early Payoff",J115&gt;=$S$13),0,IF($J115&lt;=$S$6,SUM($Q$20:$Q115),0))</f>
        <v>0</v>
      </c>
      <c r="T115" s="884">
        <f>IF(AND($AS$39="Early Payoff",J115&gt;=$S$13),0,IF($J115&lt;=$S$6,SUM($R$20:$R115),0))</f>
        <v>0</v>
      </c>
      <c r="U115" s="885">
        <f t="shared" si="39"/>
        <v>0</v>
      </c>
      <c r="V115" s="1110">
        <f t="shared" si="34"/>
        <v>0</v>
      </c>
      <c r="X115" s="1102">
        <f t="shared" si="40"/>
        <v>0</v>
      </c>
      <c r="Y115" s="873">
        <f t="shared" si="41"/>
        <v>0</v>
      </c>
      <c r="Z115" s="873">
        <f t="shared" si="42"/>
        <v>0</v>
      </c>
      <c r="AA115" s="885">
        <f t="shared" si="43"/>
        <v>0</v>
      </c>
    </row>
    <row r="116" spans="2:27" s="278" customFormat="1" ht="12" customHeight="1" x14ac:dyDescent="0.25">
      <c r="B116" s="1192" t="e">
        <f t="shared" si="48"/>
        <v>#N/A</v>
      </c>
      <c r="C116" s="732">
        <f t="shared" si="35"/>
        <v>31</v>
      </c>
      <c r="D116" s="35">
        <f t="shared" si="36"/>
        <v>7</v>
      </c>
      <c r="E116" s="889">
        <f t="shared" si="51"/>
        <v>48791</v>
      </c>
      <c r="F116" s="822">
        <f t="shared" si="44"/>
        <v>7</v>
      </c>
      <c r="G116" s="500">
        <f t="shared" si="52"/>
        <v>31</v>
      </c>
      <c r="H116" s="126">
        <f t="shared" si="37"/>
        <v>0</v>
      </c>
      <c r="I116" s="1098">
        <f t="shared" si="53"/>
        <v>0</v>
      </c>
      <c r="J116" s="887">
        <f t="shared" si="49"/>
        <v>97</v>
      </c>
      <c r="K116" s="1099">
        <f t="shared" si="45"/>
        <v>97</v>
      </c>
      <c r="L116" s="891" t="str">
        <f t="shared" si="46"/>
        <v>July</v>
      </c>
      <c r="M116" s="888">
        <f t="shared" si="50"/>
        <v>2033</v>
      </c>
      <c r="N116" s="883">
        <f t="shared" si="47"/>
        <v>0</v>
      </c>
      <c r="O116" s="883">
        <f t="shared" si="54"/>
        <v>0</v>
      </c>
      <c r="P116" s="1100"/>
      <c r="Q116" s="883">
        <f t="shared" si="38"/>
        <v>0</v>
      </c>
      <c r="R116" s="884">
        <f t="shared" si="33"/>
        <v>0</v>
      </c>
      <c r="S116" s="884">
        <f>IF(AND($AS$39="Early Payoff",J116&gt;=$S$13),0,IF($J116&lt;=$S$6,SUM($Q$20:$Q116),0))</f>
        <v>0</v>
      </c>
      <c r="T116" s="884">
        <f>IF(AND($AS$39="Early Payoff",J116&gt;=$S$13),0,IF($J116&lt;=$S$6,SUM($R$20:$R116),0))</f>
        <v>0</v>
      </c>
      <c r="U116" s="885">
        <f t="shared" si="39"/>
        <v>0</v>
      </c>
      <c r="V116" s="1110">
        <f t="shared" si="34"/>
        <v>0</v>
      </c>
      <c r="X116" s="1102">
        <f t="shared" si="40"/>
        <v>0</v>
      </c>
      <c r="Y116" s="873">
        <f t="shared" si="41"/>
        <v>0</v>
      </c>
      <c r="Z116" s="873">
        <f t="shared" si="42"/>
        <v>0</v>
      </c>
      <c r="AA116" s="885">
        <f t="shared" si="43"/>
        <v>0</v>
      </c>
    </row>
    <row r="117" spans="2:27" s="278" customFormat="1" ht="12" customHeight="1" x14ac:dyDescent="0.25">
      <c r="B117" s="1192" t="e">
        <f t="shared" si="48"/>
        <v>#N/A</v>
      </c>
      <c r="C117" s="732">
        <f t="shared" si="35"/>
        <v>31</v>
      </c>
      <c r="D117" s="35">
        <f t="shared" si="36"/>
        <v>8</v>
      </c>
      <c r="E117" s="889">
        <f t="shared" si="51"/>
        <v>48822</v>
      </c>
      <c r="F117" s="822">
        <f t="shared" si="44"/>
        <v>8</v>
      </c>
      <c r="G117" s="500">
        <f t="shared" si="52"/>
        <v>31</v>
      </c>
      <c r="H117" s="126">
        <f t="shared" si="37"/>
        <v>0</v>
      </c>
      <c r="I117" s="1098">
        <f t="shared" si="53"/>
        <v>0</v>
      </c>
      <c r="J117" s="887">
        <f t="shared" si="49"/>
        <v>98</v>
      </c>
      <c r="K117" s="1099">
        <f t="shared" si="45"/>
        <v>98</v>
      </c>
      <c r="L117" s="891" t="str">
        <f t="shared" si="46"/>
        <v>August</v>
      </c>
      <c r="M117" s="888">
        <f t="shared" si="50"/>
        <v>2033</v>
      </c>
      <c r="N117" s="883">
        <f t="shared" si="47"/>
        <v>0</v>
      </c>
      <c r="O117" s="883">
        <f t="shared" si="54"/>
        <v>0</v>
      </c>
      <c r="P117" s="1100"/>
      <c r="Q117" s="883">
        <f t="shared" si="38"/>
        <v>0</v>
      </c>
      <c r="R117" s="884">
        <f t="shared" si="33"/>
        <v>0</v>
      </c>
      <c r="S117" s="884">
        <f>IF(AND($AS$39="Early Payoff",J117&gt;=$S$13),0,IF($J117&lt;=$S$6,SUM($Q$20:$Q117),0))</f>
        <v>0</v>
      </c>
      <c r="T117" s="884">
        <f>IF(AND($AS$39="Early Payoff",J117&gt;=$S$13),0,IF($J117&lt;=$S$6,SUM($R$20:$R117),0))</f>
        <v>0</v>
      </c>
      <c r="U117" s="885">
        <f t="shared" si="39"/>
        <v>0</v>
      </c>
      <c r="V117" s="1110">
        <f t="shared" si="34"/>
        <v>0</v>
      </c>
      <c r="X117" s="1102">
        <f t="shared" si="40"/>
        <v>0</v>
      </c>
      <c r="Y117" s="873">
        <f t="shared" si="41"/>
        <v>0</v>
      </c>
      <c r="Z117" s="873">
        <f t="shared" si="42"/>
        <v>0</v>
      </c>
      <c r="AA117" s="885">
        <f t="shared" si="43"/>
        <v>0</v>
      </c>
    </row>
    <row r="118" spans="2:27" s="278" customFormat="1" ht="12" customHeight="1" x14ac:dyDescent="0.25">
      <c r="B118" s="1192" t="e">
        <f t="shared" si="48"/>
        <v>#N/A</v>
      </c>
      <c r="C118" s="732">
        <f t="shared" si="35"/>
        <v>30</v>
      </c>
      <c r="D118" s="35">
        <f t="shared" si="36"/>
        <v>9</v>
      </c>
      <c r="E118" s="889">
        <f t="shared" si="51"/>
        <v>48852</v>
      </c>
      <c r="F118" s="822">
        <f t="shared" si="44"/>
        <v>9</v>
      </c>
      <c r="G118" s="500">
        <f t="shared" si="52"/>
        <v>30</v>
      </c>
      <c r="H118" s="126">
        <f t="shared" si="37"/>
        <v>0</v>
      </c>
      <c r="I118" s="1098">
        <f t="shared" si="53"/>
        <v>0</v>
      </c>
      <c r="J118" s="887">
        <f t="shared" si="49"/>
        <v>99</v>
      </c>
      <c r="K118" s="1099">
        <f t="shared" si="45"/>
        <v>99</v>
      </c>
      <c r="L118" s="891" t="str">
        <f t="shared" si="46"/>
        <v>September</v>
      </c>
      <c r="M118" s="888">
        <f t="shared" si="50"/>
        <v>2033</v>
      </c>
      <c r="N118" s="883">
        <f t="shared" si="47"/>
        <v>0</v>
      </c>
      <c r="O118" s="883">
        <f t="shared" si="54"/>
        <v>0</v>
      </c>
      <c r="P118" s="1100"/>
      <c r="Q118" s="883">
        <f t="shared" si="38"/>
        <v>0</v>
      </c>
      <c r="R118" s="884">
        <f t="shared" si="33"/>
        <v>0</v>
      </c>
      <c r="S118" s="884">
        <f>IF(AND($AS$39="Early Payoff",J118&gt;=$S$13),0,IF($J118&lt;=$S$6,SUM($Q$20:$Q118),0))</f>
        <v>0</v>
      </c>
      <c r="T118" s="884">
        <f>IF(AND($AS$39="Early Payoff",J118&gt;=$S$13),0,IF($J118&lt;=$S$6,SUM($R$20:$R118),0))</f>
        <v>0</v>
      </c>
      <c r="U118" s="885">
        <f t="shared" si="39"/>
        <v>0</v>
      </c>
      <c r="V118" s="1110">
        <f t="shared" si="34"/>
        <v>0</v>
      </c>
      <c r="X118" s="1102">
        <f t="shared" si="40"/>
        <v>0</v>
      </c>
      <c r="Y118" s="873">
        <f t="shared" si="41"/>
        <v>0</v>
      </c>
      <c r="Z118" s="873">
        <f t="shared" si="42"/>
        <v>0</v>
      </c>
      <c r="AA118" s="885">
        <f t="shared" si="43"/>
        <v>0</v>
      </c>
    </row>
    <row r="119" spans="2:27" s="278" customFormat="1" ht="12" customHeight="1" x14ac:dyDescent="0.25">
      <c r="B119" s="1192" t="e">
        <f t="shared" si="48"/>
        <v>#N/A</v>
      </c>
      <c r="C119" s="732">
        <f t="shared" si="35"/>
        <v>31</v>
      </c>
      <c r="D119" s="35">
        <f t="shared" si="36"/>
        <v>10</v>
      </c>
      <c r="E119" s="889">
        <f t="shared" si="51"/>
        <v>48883</v>
      </c>
      <c r="F119" s="822">
        <f t="shared" si="44"/>
        <v>10</v>
      </c>
      <c r="G119" s="500">
        <f t="shared" si="52"/>
        <v>31</v>
      </c>
      <c r="H119" s="126">
        <f t="shared" si="37"/>
        <v>0</v>
      </c>
      <c r="I119" s="1098">
        <f t="shared" si="53"/>
        <v>0</v>
      </c>
      <c r="J119" s="887">
        <f t="shared" si="49"/>
        <v>100</v>
      </c>
      <c r="K119" s="1099">
        <f t="shared" si="45"/>
        <v>100</v>
      </c>
      <c r="L119" s="891" t="str">
        <f t="shared" si="46"/>
        <v>October</v>
      </c>
      <c r="M119" s="888">
        <f t="shared" si="50"/>
        <v>2033</v>
      </c>
      <c r="N119" s="883">
        <f t="shared" si="47"/>
        <v>0</v>
      </c>
      <c r="O119" s="883">
        <f t="shared" si="54"/>
        <v>0</v>
      </c>
      <c r="P119" s="1100"/>
      <c r="Q119" s="883">
        <f t="shared" si="38"/>
        <v>0</v>
      </c>
      <c r="R119" s="884">
        <f t="shared" si="33"/>
        <v>0</v>
      </c>
      <c r="S119" s="884">
        <f>IF(AND($AS$39="Early Payoff",J119&gt;=$S$13),0,IF($J119&lt;=$S$6,SUM($Q$20:$Q119),0))</f>
        <v>0</v>
      </c>
      <c r="T119" s="884">
        <f>IF(AND($AS$39="Early Payoff",J119&gt;=$S$13),0,IF($J119&lt;=$S$6,SUM($R$20:$R119),0))</f>
        <v>0</v>
      </c>
      <c r="U119" s="885">
        <f t="shared" si="39"/>
        <v>0</v>
      </c>
      <c r="V119" s="1110">
        <f t="shared" si="34"/>
        <v>0</v>
      </c>
      <c r="X119" s="1102">
        <f t="shared" si="40"/>
        <v>0</v>
      </c>
      <c r="Y119" s="873">
        <f t="shared" si="41"/>
        <v>0</v>
      </c>
      <c r="Z119" s="873">
        <f t="shared" si="42"/>
        <v>0</v>
      </c>
      <c r="AA119" s="885">
        <f t="shared" si="43"/>
        <v>0</v>
      </c>
    </row>
    <row r="120" spans="2:27" s="278" customFormat="1" ht="12" customHeight="1" x14ac:dyDescent="0.25">
      <c r="B120" s="1192" t="e">
        <f t="shared" si="48"/>
        <v>#N/A</v>
      </c>
      <c r="C120" s="732">
        <f t="shared" si="35"/>
        <v>30</v>
      </c>
      <c r="D120" s="35">
        <f t="shared" si="36"/>
        <v>11</v>
      </c>
      <c r="E120" s="889">
        <f t="shared" si="51"/>
        <v>48913</v>
      </c>
      <c r="F120" s="822">
        <f t="shared" si="44"/>
        <v>11</v>
      </c>
      <c r="G120" s="500">
        <f t="shared" si="52"/>
        <v>30</v>
      </c>
      <c r="H120" s="126">
        <f t="shared" si="37"/>
        <v>0</v>
      </c>
      <c r="I120" s="1098">
        <f t="shared" si="53"/>
        <v>0</v>
      </c>
      <c r="J120" s="887">
        <f t="shared" si="49"/>
        <v>101</v>
      </c>
      <c r="K120" s="1099">
        <f t="shared" si="45"/>
        <v>101</v>
      </c>
      <c r="L120" s="891" t="str">
        <f t="shared" si="46"/>
        <v>November</v>
      </c>
      <c r="M120" s="888">
        <f t="shared" si="50"/>
        <v>2033</v>
      </c>
      <c r="N120" s="883">
        <f t="shared" si="47"/>
        <v>0</v>
      </c>
      <c r="O120" s="883">
        <f t="shared" si="54"/>
        <v>0</v>
      </c>
      <c r="P120" s="1100"/>
      <c r="Q120" s="883">
        <f t="shared" si="38"/>
        <v>0</v>
      </c>
      <c r="R120" s="884">
        <f t="shared" si="33"/>
        <v>0</v>
      </c>
      <c r="S120" s="884">
        <f>IF(AND($AS$39="Early Payoff",J120&gt;=$S$13),0,IF($J120&lt;=$S$6,SUM($Q$20:$Q120),0))</f>
        <v>0</v>
      </c>
      <c r="T120" s="884">
        <f>IF(AND($AS$39="Early Payoff",J120&gt;=$S$13),0,IF($J120&lt;=$S$6,SUM($R$20:$R120),0))</f>
        <v>0</v>
      </c>
      <c r="U120" s="885">
        <f t="shared" si="39"/>
        <v>0</v>
      </c>
      <c r="V120" s="1110">
        <f t="shared" si="34"/>
        <v>0</v>
      </c>
      <c r="X120" s="1102">
        <f t="shared" si="40"/>
        <v>0</v>
      </c>
      <c r="Y120" s="873">
        <f t="shared" si="41"/>
        <v>0</v>
      </c>
      <c r="Z120" s="873">
        <f t="shared" si="42"/>
        <v>0</v>
      </c>
      <c r="AA120" s="885">
        <f t="shared" si="43"/>
        <v>0</v>
      </c>
    </row>
    <row r="121" spans="2:27" s="278" customFormat="1" ht="12" customHeight="1" x14ac:dyDescent="0.25">
      <c r="B121" s="1192" t="e">
        <f t="shared" si="48"/>
        <v>#N/A</v>
      </c>
      <c r="C121" s="732">
        <f t="shared" si="35"/>
        <v>31</v>
      </c>
      <c r="D121" s="35">
        <f t="shared" si="36"/>
        <v>12</v>
      </c>
      <c r="E121" s="889">
        <f t="shared" si="51"/>
        <v>48944</v>
      </c>
      <c r="F121" s="822">
        <f t="shared" si="44"/>
        <v>12</v>
      </c>
      <c r="G121" s="500">
        <f t="shared" si="52"/>
        <v>31</v>
      </c>
      <c r="H121" s="126">
        <f t="shared" si="37"/>
        <v>1</v>
      </c>
      <c r="I121" s="1098">
        <f t="shared" si="53"/>
        <v>0</v>
      </c>
      <c r="J121" s="887">
        <f t="shared" si="49"/>
        <v>102</v>
      </c>
      <c r="K121" s="1099">
        <f t="shared" si="45"/>
        <v>102</v>
      </c>
      <c r="L121" s="891" t="str">
        <f t="shared" si="46"/>
        <v>December</v>
      </c>
      <c r="M121" s="888">
        <f t="shared" si="50"/>
        <v>2033</v>
      </c>
      <c r="N121" s="883">
        <f t="shared" si="47"/>
        <v>0</v>
      </c>
      <c r="O121" s="883">
        <f t="shared" si="54"/>
        <v>0</v>
      </c>
      <c r="P121" s="1100"/>
      <c r="Q121" s="883">
        <f t="shared" si="38"/>
        <v>0</v>
      </c>
      <c r="R121" s="884">
        <f t="shared" si="33"/>
        <v>0</v>
      </c>
      <c r="S121" s="884">
        <f>IF(AND($AS$39="Early Payoff",J121&gt;=$S$13),0,IF($J121&lt;=$S$6,SUM($Q$20:$Q121),0))</f>
        <v>0</v>
      </c>
      <c r="T121" s="884">
        <f>IF(AND($AS$39="Early Payoff",J121&gt;=$S$13),0,IF($J121&lt;=$S$6,SUM($R$20:$R121),0))</f>
        <v>0</v>
      </c>
      <c r="U121" s="885">
        <f t="shared" si="39"/>
        <v>0</v>
      </c>
      <c r="V121" s="1110">
        <f t="shared" si="34"/>
        <v>0</v>
      </c>
      <c r="X121" s="1102">
        <f t="shared" si="40"/>
        <v>0</v>
      </c>
      <c r="Y121" s="873">
        <f t="shared" si="41"/>
        <v>0</v>
      </c>
      <c r="Z121" s="873">
        <f t="shared" si="42"/>
        <v>0</v>
      </c>
      <c r="AA121" s="885">
        <f t="shared" si="43"/>
        <v>0</v>
      </c>
    </row>
    <row r="122" spans="2:27" s="278" customFormat="1" ht="12" customHeight="1" x14ac:dyDescent="0.25">
      <c r="B122" s="1192" t="e">
        <f t="shared" si="48"/>
        <v>#N/A</v>
      </c>
      <c r="C122" s="732">
        <f t="shared" si="35"/>
        <v>31</v>
      </c>
      <c r="D122" s="35">
        <f t="shared" si="36"/>
        <v>1</v>
      </c>
      <c r="E122" s="889">
        <f t="shared" si="51"/>
        <v>48975</v>
      </c>
      <c r="F122" s="822">
        <f t="shared" si="44"/>
        <v>1</v>
      </c>
      <c r="G122" s="500">
        <f t="shared" si="52"/>
        <v>31</v>
      </c>
      <c r="H122" s="126">
        <f t="shared" si="37"/>
        <v>0</v>
      </c>
      <c r="I122" s="1098">
        <f t="shared" si="53"/>
        <v>0</v>
      </c>
      <c r="J122" s="887">
        <f t="shared" si="49"/>
        <v>103</v>
      </c>
      <c r="K122" s="1099">
        <f t="shared" si="45"/>
        <v>103</v>
      </c>
      <c r="L122" s="891" t="str">
        <f t="shared" si="46"/>
        <v>January</v>
      </c>
      <c r="M122" s="888">
        <f t="shared" si="50"/>
        <v>2034</v>
      </c>
      <c r="N122" s="883">
        <f t="shared" si="47"/>
        <v>0</v>
      </c>
      <c r="O122" s="883">
        <f t="shared" si="54"/>
        <v>0</v>
      </c>
      <c r="P122" s="1100"/>
      <c r="Q122" s="883">
        <f t="shared" si="38"/>
        <v>0</v>
      </c>
      <c r="R122" s="884">
        <f t="shared" si="33"/>
        <v>0</v>
      </c>
      <c r="S122" s="884">
        <f>IF(AND($AS$39="Early Payoff",J122&gt;=$S$13),0,IF($J122&lt;=$S$6,SUM($Q$20:$Q122),0))</f>
        <v>0</v>
      </c>
      <c r="T122" s="884">
        <f>IF(AND($AS$39="Early Payoff",J122&gt;=$S$13),0,IF($J122&lt;=$S$6,SUM($R$20:$R122),0))</f>
        <v>0</v>
      </c>
      <c r="U122" s="885">
        <f t="shared" si="39"/>
        <v>0</v>
      </c>
      <c r="V122" s="1110">
        <f t="shared" si="34"/>
        <v>0</v>
      </c>
      <c r="X122" s="1102">
        <f t="shared" si="40"/>
        <v>0</v>
      </c>
      <c r="Y122" s="873">
        <f t="shared" si="41"/>
        <v>0</v>
      </c>
      <c r="Z122" s="873">
        <f t="shared" si="42"/>
        <v>0</v>
      </c>
      <c r="AA122" s="885">
        <f t="shared" si="43"/>
        <v>0</v>
      </c>
    </row>
    <row r="123" spans="2:27" s="278" customFormat="1" ht="12" customHeight="1" x14ac:dyDescent="0.25">
      <c r="B123" s="1192" t="e">
        <f t="shared" si="48"/>
        <v>#N/A</v>
      </c>
      <c r="C123" s="732">
        <f t="shared" si="35"/>
        <v>28</v>
      </c>
      <c r="D123" s="35">
        <f t="shared" si="36"/>
        <v>2</v>
      </c>
      <c r="E123" s="889">
        <f t="shared" si="51"/>
        <v>49003</v>
      </c>
      <c r="F123" s="822">
        <f t="shared" si="44"/>
        <v>2</v>
      </c>
      <c r="G123" s="500">
        <f t="shared" si="52"/>
        <v>28</v>
      </c>
      <c r="H123" s="126">
        <f t="shared" si="37"/>
        <v>0</v>
      </c>
      <c r="I123" s="1098">
        <f t="shared" si="53"/>
        <v>0</v>
      </c>
      <c r="J123" s="887">
        <f t="shared" si="49"/>
        <v>104</v>
      </c>
      <c r="K123" s="1099">
        <f t="shared" si="45"/>
        <v>104</v>
      </c>
      <c r="L123" s="891" t="str">
        <f t="shared" si="46"/>
        <v>February</v>
      </c>
      <c r="M123" s="888">
        <f t="shared" si="50"/>
        <v>2034</v>
      </c>
      <c r="N123" s="883">
        <f t="shared" si="47"/>
        <v>0</v>
      </c>
      <c r="O123" s="883">
        <f t="shared" si="54"/>
        <v>0</v>
      </c>
      <c r="P123" s="1100"/>
      <c r="Q123" s="883">
        <f t="shared" si="38"/>
        <v>0</v>
      </c>
      <c r="R123" s="884">
        <f t="shared" si="33"/>
        <v>0</v>
      </c>
      <c r="S123" s="884">
        <f>IF(AND($AS$39="Early Payoff",J123&gt;=$S$13),0,IF($J123&lt;=$S$6,SUM($Q$20:$Q123),0))</f>
        <v>0</v>
      </c>
      <c r="T123" s="884">
        <f>IF(AND($AS$39="Early Payoff",J123&gt;=$S$13),0,IF($J123&lt;=$S$6,SUM($R$20:$R123),0))</f>
        <v>0</v>
      </c>
      <c r="U123" s="885">
        <f t="shared" si="39"/>
        <v>0</v>
      </c>
      <c r="V123" s="1110">
        <f t="shared" si="34"/>
        <v>0</v>
      </c>
      <c r="X123" s="1102">
        <f t="shared" si="40"/>
        <v>0</v>
      </c>
      <c r="Y123" s="873">
        <f t="shared" si="41"/>
        <v>0</v>
      </c>
      <c r="Z123" s="873">
        <f t="shared" si="42"/>
        <v>0</v>
      </c>
      <c r="AA123" s="885">
        <f t="shared" si="43"/>
        <v>0</v>
      </c>
    </row>
    <row r="124" spans="2:27" s="278" customFormat="1" ht="12" customHeight="1" x14ac:dyDescent="0.25">
      <c r="B124" s="1192" t="e">
        <f t="shared" si="48"/>
        <v>#N/A</v>
      </c>
      <c r="C124" s="732">
        <f t="shared" si="35"/>
        <v>31</v>
      </c>
      <c r="D124" s="35">
        <f t="shared" si="36"/>
        <v>3</v>
      </c>
      <c r="E124" s="889">
        <f t="shared" si="51"/>
        <v>49034</v>
      </c>
      <c r="F124" s="822">
        <f t="shared" si="44"/>
        <v>3</v>
      </c>
      <c r="G124" s="500">
        <f t="shared" si="52"/>
        <v>31</v>
      </c>
      <c r="H124" s="126">
        <f t="shared" si="37"/>
        <v>0</v>
      </c>
      <c r="I124" s="1098">
        <f t="shared" si="53"/>
        <v>0</v>
      </c>
      <c r="J124" s="887">
        <f t="shared" si="49"/>
        <v>105</v>
      </c>
      <c r="K124" s="1099">
        <f t="shared" si="45"/>
        <v>105</v>
      </c>
      <c r="L124" s="891" t="str">
        <f t="shared" si="46"/>
        <v>March</v>
      </c>
      <c r="M124" s="888">
        <f t="shared" si="50"/>
        <v>2034</v>
      </c>
      <c r="N124" s="883">
        <f t="shared" si="47"/>
        <v>0</v>
      </c>
      <c r="O124" s="883">
        <f t="shared" si="54"/>
        <v>0</v>
      </c>
      <c r="P124" s="1100"/>
      <c r="Q124" s="883">
        <f t="shared" si="38"/>
        <v>0</v>
      </c>
      <c r="R124" s="884">
        <f t="shared" si="33"/>
        <v>0</v>
      </c>
      <c r="S124" s="884">
        <f>IF(AND($AS$39="Early Payoff",J124&gt;=$S$13),0,IF($J124&lt;=$S$6,SUM($Q$20:$Q124),0))</f>
        <v>0</v>
      </c>
      <c r="T124" s="884">
        <f>IF(AND($AS$39="Early Payoff",J124&gt;=$S$13),0,IF($J124&lt;=$S$6,SUM($R$20:$R124),0))</f>
        <v>0</v>
      </c>
      <c r="U124" s="885">
        <f t="shared" si="39"/>
        <v>0</v>
      </c>
      <c r="V124" s="1110">
        <f t="shared" si="34"/>
        <v>0</v>
      </c>
      <c r="X124" s="1102">
        <f t="shared" si="40"/>
        <v>0</v>
      </c>
      <c r="Y124" s="873">
        <f t="shared" si="41"/>
        <v>0</v>
      </c>
      <c r="Z124" s="873">
        <f t="shared" si="42"/>
        <v>0</v>
      </c>
      <c r="AA124" s="885">
        <f t="shared" si="43"/>
        <v>0</v>
      </c>
    </row>
    <row r="125" spans="2:27" s="278" customFormat="1" ht="12" customHeight="1" x14ac:dyDescent="0.25">
      <c r="B125" s="1192" t="e">
        <f t="shared" si="48"/>
        <v>#N/A</v>
      </c>
      <c r="C125" s="732">
        <f t="shared" si="35"/>
        <v>30</v>
      </c>
      <c r="D125" s="35">
        <f t="shared" si="36"/>
        <v>4</v>
      </c>
      <c r="E125" s="889">
        <f t="shared" si="51"/>
        <v>49064</v>
      </c>
      <c r="F125" s="822">
        <f t="shared" si="44"/>
        <v>4</v>
      </c>
      <c r="G125" s="500">
        <f t="shared" si="52"/>
        <v>30</v>
      </c>
      <c r="H125" s="126">
        <f t="shared" si="37"/>
        <v>0</v>
      </c>
      <c r="I125" s="1098">
        <f t="shared" si="53"/>
        <v>0</v>
      </c>
      <c r="J125" s="887">
        <f t="shared" si="49"/>
        <v>106</v>
      </c>
      <c r="K125" s="1099">
        <f t="shared" si="45"/>
        <v>106</v>
      </c>
      <c r="L125" s="891" t="str">
        <f t="shared" si="46"/>
        <v>April</v>
      </c>
      <c r="M125" s="888">
        <f t="shared" si="50"/>
        <v>2034</v>
      </c>
      <c r="N125" s="883">
        <f t="shared" si="47"/>
        <v>0</v>
      </c>
      <c r="O125" s="883">
        <f t="shared" si="54"/>
        <v>0</v>
      </c>
      <c r="P125" s="1100"/>
      <c r="Q125" s="883">
        <f t="shared" si="38"/>
        <v>0</v>
      </c>
      <c r="R125" s="884">
        <f t="shared" si="33"/>
        <v>0</v>
      </c>
      <c r="S125" s="884">
        <f>IF(AND($AS$39="Early Payoff",J125&gt;=$S$13),0,IF($J125&lt;=$S$6,SUM($Q$20:$Q125),0))</f>
        <v>0</v>
      </c>
      <c r="T125" s="884">
        <f>IF(AND($AS$39="Early Payoff",J125&gt;=$S$13),0,IF($J125&lt;=$S$6,SUM($R$20:$R125),0))</f>
        <v>0</v>
      </c>
      <c r="U125" s="885">
        <f t="shared" si="39"/>
        <v>0</v>
      </c>
      <c r="V125" s="1110">
        <f t="shared" si="34"/>
        <v>0</v>
      </c>
      <c r="X125" s="1102">
        <f t="shared" si="40"/>
        <v>0</v>
      </c>
      <c r="Y125" s="873">
        <f t="shared" si="41"/>
        <v>0</v>
      </c>
      <c r="Z125" s="873">
        <f t="shared" si="42"/>
        <v>0</v>
      </c>
      <c r="AA125" s="885">
        <f t="shared" si="43"/>
        <v>0</v>
      </c>
    </row>
    <row r="126" spans="2:27" s="278" customFormat="1" ht="12" customHeight="1" x14ac:dyDescent="0.25">
      <c r="B126" s="1192" t="e">
        <f t="shared" si="48"/>
        <v>#N/A</v>
      </c>
      <c r="C126" s="732">
        <f t="shared" si="35"/>
        <v>31</v>
      </c>
      <c r="D126" s="35">
        <f t="shared" si="36"/>
        <v>5</v>
      </c>
      <c r="E126" s="889">
        <f t="shared" si="51"/>
        <v>49095</v>
      </c>
      <c r="F126" s="822">
        <f t="shared" si="44"/>
        <v>5</v>
      </c>
      <c r="G126" s="500">
        <f t="shared" si="52"/>
        <v>31</v>
      </c>
      <c r="H126" s="126">
        <f t="shared" si="37"/>
        <v>0</v>
      </c>
      <c r="I126" s="1098">
        <f t="shared" si="53"/>
        <v>0</v>
      </c>
      <c r="J126" s="887">
        <f t="shared" si="49"/>
        <v>107</v>
      </c>
      <c r="K126" s="1099">
        <f t="shared" si="45"/>
        <v>107</v>
      </c>
      <c r="L126" s="891" t="str">
        <f t="shared" si="46"/>
        <v>May</v>
      </c>
      <c r="M126" s="888">
        <f t="shared" si="50"/>
        <v>2034</v>
      </c>
      <c r="N126" s="883">
        <f t="shared" si="47"/>
        <v>0</v>
      </c>
      <c r="O126" s="883">
        <f t="shared" si="54"/>
        <v>0</v>
      </c>
      <c r="P126" s="1100"/>
      <c r="Q126" s="883">
        <f t="shared" si="38"/>
        <v>0</v>
      </c>
      <c r="R126" s="884">
        <f t="shared" si="33"/>
        <v>0</v>
      </c>
      <c r="S126" s="884">
        <f>IF(AND($AS$39="Early Payoff",J126&gt;=$S$13),0,IF($J126&lt;=$S$6,SUM($Q$20:$Q126),0))</f>
        <v>0</v>
      </c>
      <c r="T126" s="884">
        <f>IF(AND($AS$39="Early Payoff",J126&gt;=$S$13),0,IF($J126&lt;=$S$6,SUM($R$20:$R126),0))</f>
        <v>0</v>
      </c>
      <c r="U126" s="885">
        <f t="shared" si="39"/>
        <v>0</v>
      </c>
      <c r="V126" s="1110">
        <f t="shared" si="34"/>
        <v>0</v>
      </c>
      <c r="X126" s="1102">
        <f t="shared" si="40"/>
        <v>0</v>
      </c>
      <c r="Y126" s="873">
        <f t="shared" si="41"/>
        <v>0</v>
      </c>
      <c r="Z126" s="873">
        <f t="shared" si="42"/>
        <v>0</v>
      </c>
      <c r="AA126" s="885">
        <f t="shared" si="43"/>
        <v>0</v>
      </c>
    </row>
    <row r="127" spans="2:27" s="278" customFormat="1" ht="12" customHeight="1" x14ac:dyDescent="0.25">
      <c r="B127" s="1192" t="e">
        <f t="shared" si="48"/>
        <v>#N/A</v>
      </c>
      <c r="C127" s="732">
        <f t="shared" si="35"/>
        <v>30</v>
      </c>
      <c r="D127" s="35">
        <f t="shared" si="36"/>
        <v>6</v>
      </c>
      <c r="E127" s="889">
        <f t="shared" si="51"/>
        <v>49125</v>
      </c>
      <c r="F127" s="822">
        <f t="shared" si="44"/>
        <v>6</v>
      </c>
      <c r="G127" s="500">
        <f t="shared" si="52"/>
        <v>30</v>
      </c>
      <c r="H127" s="126">
        <f t="shared" si="37"/>
        <v>0</v>
      </c>
      <c r="I127" s="1098">
        <f t="shared" si="53"/>
        <v>0</v>
      </c>
      <c r="J127" s="887">
        <f t="shared" si="49"/>
        <v>108</v>
      </c>
      <c r="K127" s="1099">
        <f t="shared" si="45"/>
        <v>108</v>
      </c>
      <c r="L127" s="891" t="str">
        <f t="shared" si="46"/>
        <v>June</v>
      </c>
      <c r="M127" s="888">
        <f t="shared" si="50"/>
        <v>2034</v>
      </c>
      <c r="N127" s="883">
        <f t="shared" si="47"/>
        <v>0</v>
      </c>
      <c r="O127" s="883">
        <f t="shared" si="54"/>
        <v>0</v>
      </c>
      <c r="P127" s="1100"/>
      <c r="Q127" s="883">
        <f t="shared" si="38"/>
        <v>0</v>
      </c>
      <c r="R127" s="884">
        <f t="shared" si="33"/>
        <v>0</v>
      </c>
      <c r="S127" s="884">
        <f>IF(AND($AS$39="Early Payoff",J127&gt;=$S$13),0,IF($J127&lt;=$S$6,SUM($Q$20:$Q127),0))</f>
        <v>0</v>
      </c>
      <c r="T127" s="884">
        <f>IF(AND($AS$39="Early Payoff",J127&gt;=$S$13),0,IF($J127&lt;=$S$6,SUM($R$20:$R127),0))</f>
        <v>0</v>
      </c>
      <c r="U127" s="885">
        <f t="shared" si="39"/>
        <v>0</v>
      </c>
      <c r="V127" s="1110">
        <f t="shared" si="34"/>
        <v>0</v>
      </c>
      <c r="X127" s="1102">
        <f t="shared" si="40"/>
        <v>0</v>
      </c>
      <c r="Y127" s="873">
        <f t="shared" si="41"/>
        <v>0</v>
      </c>
      <c r="Z127" s="873">
        <f t="shared" si="42"/>
        <v>0</v>
      </c>
      <c r="AA127" s="885">
        <f t="shared" si="43"/>
        <v>0</v>
      </c>
    </row>
    <row r="128" spans="2:27" s="278" customFormat="1" ht="12" customHeight="1" x14ac:dyDescent="0.25">
      <c r="B128" s="1192" t="e">
        <f t="shared" si="48"/>
        <v>#N/A</v>
      </c>
      <c r="C128" s="732">
        <f t="shared" si="35"/>
        <v>31</v>
      </c>
      <c r="D128" s="35">
        <f t="shared" si="36"/>
        <v>7</v>
      </c>
      <c r="E128" s="889">
        <f t="shared" si="51"/>
        <v>49156</v>
      </c>
      <c r="F128" s="822">
        <f t="shared" si="44"/>
        <v>7</v>
      </c>
      <c r="G128" s="500">
        <f t="shared" si="52"/>
        <v>31</v>
      </c>
      <c r="H128" s="126">
        <f t="shared" si="37"/>
        <v>0</v>
      </c>
      <c r="I128" s="1098">
        <f t="shared" si="53"/>
        <v>0</v>
      </c>
      <c r="J128" s="887">
        <f t="shared" si="49"/>
        <v>109</v>
      </c>
      <c r="K128" s="1099">
        <f t="shared" si="45"/>
        <v>109</v>
      </c>
      <c r="L128" s="891" t="str">
        <f t="shared" si="46"/>
        <v>July</v>
      </c>
      <c r="M128" s="888">
        <f t="shared" si="50"/>
        <v>2034</v>
      </c>
      <c r="N128" s="883">
        <f t="shared" si="47"/>
        <v>0</v>
      </c>
      <c r="O128" s="883">
        <f t="shared" si="54"/>
        <v>0</v>
      </c>
      <c r="P128" s="1100"/>
      <c r="Q128" s="883">
        <f t="shared" si="38"/>
        <v>0</v>
      </c>
      <c r="R128" s="884">
        <f t="shared" si="33"/>
        <v>0</v>
      </c>
      <c r="S128" s="884">
        <f>IF(AND($AS$39="Early Payoff",J128&gt;=$S$13),0,IF($J128&lt;=$S$6,SUM($Q$20:$Q128),0))</f>
        <v>0</v>
      </c>
      <c r="T128" s="884">
        <f>IF(AND($AS$39="Early Payoff",J128&gt;=$S$13),0,IF($J128&lt;=$S$6,SUM($R$20:$R128),0))</f>
        <v>0</v>
      </c>
      <c r="U128" s="885">
        <f t="shared" si="39"/>
        <v>0</v>
      </c>
      <c r="V128" s="1110">
        <f t="shared" si="34"/>
        <v>0</v>
      </c>
      <c r="X128" s="1102">
        <f t="shared" si="40"/>
        <v>0</v>
      </c>
      <c r="Y128" s="873">
        <f t="shared" si="41"/>
        <v>0</v>
      </c>
      <c r="Z128" s="873">
        <f t="shared" si="42"/>
        <v>0</v>
      </c>
      <c r="AA128" s="885">
        <f t="shared" si="43"/>
        <v>0</v>
      </c>
    </row>
    <row r="129" spans="2:27" s="278" customFormat="1" ht="12" customHeight="1" x14ac:dyDescent="0.25">
      <c r="B129" s="1192" t="e">
        <f t="shared" si="48"/>
        <v>#N/A</v>
      </c>
      <c r="C129" s="732">
        <f t="shared" si="35"/>
        <v>31</v>
      </c>
      <c r="D129" s="35">
        <f t="shared" si="36"/>
        <v>8</v>
      </c>
      <c r="E129" s="889">
        <f t="shared" si="51"/>
        <v>49187</v>
      </c>
      <c r="F129" s="822">
        <f t="shared" si="44"/>
        <v>8</v>
      </c>
      <c r="G129" s="500">
        <f t="shared" si="52"/>
        <v>31</v>
      </c>
      <c r="H129" s="126">
        <f t="shared" si="37"/>
        <v>0</v>
      </c>
      <c r="I129" s="1098">
        <f t="shared" si="53"/>
        <v>0</v>
      </c>
      <c r="J129" s="887">
        <f t="shared" si="49"/>
        <v>110</v>
      </c>
      <c r="K129" s="1099">
        <f t="shared" si="45"/>
        <v>110</v>
      </c>
      <c r="L129" s="891" t="str">
        <f t="shared" si="46"/>
        <v>August</v>
      </c>
      <c r="M129" s="888">
        <f t="shared" si="50"/>
        <v>2034</v>
      </c>
      <c r="N129" s="883">
        <f t="shared" si="47"/>
        <v>0</v>
      </c>
      <c r="O129" s="883">
        <f t="shared" si="54"/>
        <v>0</v>
      </c>
      <c r="P129" s="1100"/>
      <c r="Q129" s="883">
        <f t="shared" si="38"/>
        <v>0</v>
      </c>
      <c r="R129" s="884">
        <f t="shared" si="33"/>
        <v>0</v>
      </c>
      <c r="S129" s="884">
        <f>IF(AND($AS$39="Early Payoff",J129&gt;=$S$13),0,IF($J129&lt;=$S$6,SUM($Q$20:$Q129),0))</f>
        <v>0</v>
      </c>
      <c r="T129" s="884">
        <f>IF(AND($AS$39="Early Payoff",J129&gt;=$S$13),0,IF($J129&lt;=$S$6,SUM($R$20:$R129),0))</f>
        <v>0</v>
      </c>
      <c r="U129" s="885">
        <f t="shared" si="39"/>
        <v>0</v>
      </c>
      <c r="V129" s="1110">
        <f t="shared" si="34"/>
        <v>0</v>
      </c>
      <c r="X129" s="1102">
        <f t="shared" si="40"/>
        <v>0</v>
      </c>
      <c r="Y129" s="873">
        <f t="shared" si="41"/>
        <v>0</v>
      </c>
      <c r="Z129" s="873">
        <f t="shared" si="42"/>
        <v>0</v>
      </c>
      <c r="AA129" s="885">
        <f t="shared" si="43"/>
        <v>0</v>
      </c>
    </row>
    <row r="130" spans="2:27" s="278" customFormat="1" ht="12" customHeight="1" x14ac:dyDescent="0.25">
      <c r="B130" s="1192" t="e">
        <f t="shared" si="48"/>
        <v>#N/A</v>
      </c>
      <c r="C130" s="732">
        <f t="shared" si="35"/>
        <v>30</v>
      </c>
      <c r="D130" s="35">
        <f t="shared" si="36"/>
        <v>9</v>
      </c>
      <c r="E130" s="889">
        <f t="shared" si="51"/>
        <v>49217</v>
      </c>
      <c r="F130" s="822">
        <f t="shared" si="44"/>
        <v>9</v>
      </c>
      <c r="G130" s="500">
        <f t="shared" si="52"/>
        <v>30</v>
      </c>
      <c r="H130" s="126">
        <f t="shared" si="37"/>
        <v>0</v>
      </c>
      <c r="I130" s="1098">
        <f t="shared" si="53"/>
        <v>0</v>
      </c>
      <c r="J130" s="887">
        <f t="shared" si="49"/>
        <v>111</v>
      </c>
      <c r="K130" s="1099">
        <f t="shared" si="45"/>
        <v>111</v>
      </c>
      <c r="L130" s="891" t="str">
        <f t="shared" si="46"/>
        <v>September</v>
      </c>
      <c r="M130" s="888">
        <f t="shared" si="50"/>
        <v>2034</v>
      </c>
      <c r="N130" s="883">
        <f t="shared" si="47"/>
        <v>0</v>
      </c>
      <c r="O130" s="883">
        <f t="shared" si="54"/>
        <v>0</v>
      </c>
      <c r="P130" s="1100"/>
      <c r="Q130" s="883">
        <f t="shared" si="38"/>
        <v>0</v>
      </c>
      <c r="R130" s="884">
        <f t="shared" si="33"/>
        <v>0</v>
      </c>
      <c r="S130" s="884">
        <f>IF(AND($AS$39="Early Payoff",J130&gt;=$S$13),0,IF($J130&lt;=$S$6,SUM($Q$20:$Q130),0))</f>
        <v>0</v>
      </c>
      <c r="T130" s="884">
        <f>IF(AND($AS$39="Early Payoff",J130&gt;=$S$13),0,IF($J130&lt;=$S$6,SUM($R$20:$R130),0))</f>
        <v>0</v>
      </c>
      <c r="U130" s="885">
        <f t="shared" si="39"/>
        <v>0</v>
      </c>
      <c r="V130" s="1110">
        <f t="shared" si="34"/>
        <v>0</v>
      </c>
      <c r="X130" s="1102">
        <f t="shared" si="40"/>
        <v>0</v>
      </c>
      <c r="Y130" s="873">
        <f t="shared" si="41"/>
        <v>0</v>
      </c>
      <c r="Z130" s="873">
        <f t="shared" si="42"/>
        <v>0</v>
      </c>
      <c r="AA130" s="885">
        <f t="shared" si="43"/>
        <v>0</v>
      </c>
    </row>
    <row r="131" spans="2:27" s="278" customFormat="1" ht="12" customHeight="1" x14ac:dyDescent="0.25">
      <c r="B131" s="1192" t="e">
        <f t="shared" si="48"/>
        <v>#N/A</v>
      </c>
      <c r="C131" s="732">
        <f t="shared" si="35"/>
        <v>31</v>
      </c>
      <c r="D131" s="35">
        <f t="shared" si="36"/>
        <v>10</v>
      </c>
      <c r="E131" s="889">
        <f t="shared" si="51"/>
        <v>49248</v>
      </c>
      <c r="F131" s="822">
        <f t="shared" si="44"/>
        <v>10</v>
      </c>
      <c r="G131" s="500">
        <f t="shared" si="52"/>
        <v>31</v>
      </c>
      <c r="H131" s="126">
        <f t="shared" si="37"/>
        <v>0</v>
      </c>
      <c r="I131" s="1098">
        <f t="shared" si="53"/>
        <v>0</v>
      </c>
      <c r="J131" s="887">
        <f t="shared" si="49"/>
        <v>112</v>
      </c>
      <c r="K131" s="1099">
        <f t="shared" si="45"/>
        <v>112</v>
      </c>
      <c r="L131" s="891" t="str">
        <f t="shared" si="46"/>
        <v>October</v>
      </c>
      <c r="M131" s="888">
        <f t="shared" si="50"/>
        <v>2034</v>
      </c>
      <c r="N131" s="883">
        <f t="shared" si="47"/>
        <v>0</v>
      </c>
      <c r="O131" s="883">
        <f t="shared" si="54"/>
        <v>0</v>
      </c>
      <c r="P131" s="1100"/>
      <c r="Q131" s="883">
        <f t="shared" si="38"/>
        <v>0</v>
      </c>
      <c r="R131" s="884">
        <f t="shared" si="33"/>
        <v>0</v>
      </c>
      <c r="S131" s="884">
        <f>IF(AND($AS$39="Early Payoff",J131&gt;=$S$13),0,IF($J131&lt;=$S$6,SUM($Q$20:$Q131),0))</f>
        <v>0</v>
      </c>
      <c r="T131" s="884">
        <f>IF(AND($AS$39="Early Payoff",J131&gt;=$S$13),0,IF($J131&lt;=$S$6,SUM($R$20:$R131),0))</f>
        <v>0</v>
      </c>
      <c r="U131" s="885">
        <f t="shared" si="39"/>
        <v>0</v>
      </c>
      <c r="V131" s="1110">
        <f t="shared" si="34"/>
        <v>0</v>
      </c>
      <c r="X131" s="1102">
        <f t="shared" si="40"/>
        <v>0</v>
      </c>
      <c r="Y131" s="873">
        <f t="shared" si="41"/>
        <v>0</v>
      </c>
      <c r="Z131" s="873">
        <f t="shared" si="42"/>
        <v>0</v>
      </c>
      <c r="AA131" s="885">
        <f t="shared" si="43"/>
        <v>0</v>
      </c>
    </row>
    <row r="132" spans="2:27" s="278" customFormat="1" ht="12" customHeight="1" x14ac:dyDescent="0.25">
      <c r="B132" s="1192" t="e">
        <f t="shared" si="48"/>
        <v>#N/A</v>
      </c>
      <c r="C132" s="732">
        <f t="shared" si="35"/>
        <v>30</v>
      </c>
      <c r="D132" s="35">
        <f t="shared" si="36"/>
        <v>11</v>
      </c>
      <c r="E132" s="889">
        <f t="shared" si="51"/>
        <v>49278</v>
      </c>
      <c r="F132" s="822">
        <f t="shared" si="44"/>
        <v>11</v>
      </c>
      <c r="G132" s="500">
        <f t="shared" si="52"/>
        <v>30</v>
      </c>
      <c r="H132" s="126">
        <f t="shared" si="37"/>
        <v>0</v>
      </c>
      <c r="I132" s="1098">
        <f t="shared" si="53"/>
        <v>0</v>
      </c>
      <c r="J132" s="887">
        <f t="shared" si="49"/>
        <v>113</v>
      </c>
      <c r="K132" s="1099">
        <f t="shared" si="45"/>
        <v>113</v>
      </c>
      <c r="L132" s="891" t="str">
        <f t="shared" si="46"/>
        <v>November</v>
      </c>
      <c r="M132" s="888">
        <f t="shared" si="50"/>
        <v>2034</v>
      </c>
      <c r="N132" s="883">
        <f t="shared" si="47"/>
        <v>0</v>
      </c>
      <c r="O132" s="883">
        <f t="shared" si="54"/>
        <v>0</v>
      </c>
      <c r="P132" s="1100"/>
      <c r="Q132" s="883">
        <f t="shared" si="38"/>
        <v>0</v>
      </c>
      <c r="R132" s="884">
        <f t="shared" si="33"/>
        <v>0</v>
      </c>
      <c r="S132" s="884">
        <f>IF(AND($AS$39="Early Payoff",J132&gt;=$S$13),0,IF($J132&lt;=$S$6,SUM($Q$20:$Q132),0))</f>
        <v>0</v>
      </c>
      <c r="T132" s="884">
        <f>IF(AND($AS$39="Early Payoff",J132&gt;=$S$13),0,IF($J132&lt;=$S$6,SUM($R$20:$R132),0))</f>
        <v>0</v>
      </c>
      <c r="U132" s="885">
        <f t="shared" si="39"/>
        <v>0</v>
      </c>
      <c r="V132" s="1110">
        <f t="shared" si="34"/>
        <v>0</v>
      </c>
      <c r="X132" s="1102">
        <f t="shared" si="40"/>
        <v>0</v>
      </c>
      <c r="Y132" s="873">
        <f t="shared" si="41"/>
        <v>0</v>
      </c>
      <c r="Z132" s="873">
        <f t="shared" si="42"/>
        <v>0</v>
      </c>
      <c r="AA132" s="885">
        <f t="shared" si="43"/>
        <v>0</v>
      </c>
    </row>
    <row r="133" spans="2:27" s="278" customFormat="1" ht="12" customHeight="1" x14ac:dyDescent="0.25">
      <c r="B133" s="1192" t="e">
        <f t="shared" si="48"/>
        <v>#N/A</v>
      </c>
      <c r="C133" s="732">
        <f t="shared" si="35"/>
        <v>31</v>
      </c>
      <c r="D133" s="35">
        <f t="shared" si="36"/>
        <v>12</v>
      </c>
      <c r="E133" s="889">
        <f t="shared" si="51"/>
        <v>49309</v>
      </c>
      <c r="F133" s="822">
        <f t="shared" si="44"/>
        <v>12</v>
      </c>
      <c r="G133" s="500">
        <f t="shared" si="52"/>
        <v>31</v>
      </c>
      <c r="H133" s="126">
        <f t="shared" si="37"/>
        <v>1</v>
      </c>
      <c r="I133" s="1098">
        <f t="shared" si="53"/>
        <v>0</v>
      </c>
      <c r="J133" s="887">
        <f t="shared" si="49"/>
        <v>114</v>
      </c>
      <c r="K133" s="1099">
        <f t="shared" si="45"/>
        <v>114</v>
      </c>
      <c r="L133" s="891" t="str">
        <f t="shared" si="46"/>
        <v>December</v>
      </c>
      <c r="M133" s="888">
        <f t="shared" si="50"/>
        <v>2034</v>
      </c>
      <c r="N133" s="883">
        <f t="shared" si="47"/>
        <v>0</v>
      </c>
      <c r="O133" s="883">
        <f t="shared" si="54"/>
        <v>0</v>
      </c>
      <c r="P133" s="1100"/>
      <c r="Q133" s="883">
        <f t="shared" si="38"/>
        <v>0</v>
      </c>
      <c r="R133" s="884">
        <f t="shared" si="33"/>
        <v>0</v>
      </c>
      <c r="S133" s="884">
        <f>IF(AND($AS$39="Early Payoff",J133&gt;=$S$13),0,IF($J133&lt;=$S$6,SUM($Q$20:$Q133),0))</f>
        <v>0</v>
      </c>
      <c r="T133" s="884">
        <f>IF(AND($AS$39="Early Payoff",J133&gt;=$S$13),0,IF($J133&lt;=$S$6,SUM($R$20:$R133),0))</f>
        <v>0</v>
      </c>
      <c r="U133" s="885">
        <f t="shared" si="39"/>
        <v>0</v>
      </c>
      <c r="V133" s="1110">
        <f t="shared" si="34"/>
        <v>0</v>
      </c>
      <c r="X133" s="1102">
        <f t="shared" si="40"/>
        <v>0</v>
      </c>
      <c r="Y133" s="873">
        <f t="shared" si="41"/>
        <v>0</v>
      </c>
      <c r="Z133" s="873">
        <f t="shared" si="42"/>
        <v>0</v>
      </c>
      <c r="AA133" s="885">
        <f t="shared" si="43"/>
        <v>0</v>
      </c>
    </row>
    <row r="134" spans="2:27" s="278" customFormat="1" ht="12" customHeight="1" x14ac:dyDescent="0.25">
      <c r="B134" s="1192" t="e">
        <f t="shared" si="48"/>
        <v>#N/A</v>
      </c>
      <c r="C134" s="732">
        <f t="shared" si="35"/>
        <v>31</v>
      </c>
      <c r="D134" s="35">
        <f t="shared" si="36"/>
        <v>1</v>
      </c>
      <c r="E134" s="889">
        <f t="shared" si="51"/>
        <v>49340</v>
      </c>
      <c r="F134" s="822">
        <f t="shared" si="44"/>
        <v>1</v>
      </c>
      <c r="G134" s="500">
        <f t="shared" si="52"/>
        <v>31</v>
      </c>
      <c r="H134" s="126">
        <f t="shared" si="37"/>
        <v>0</v>
      </c>
      <c r="I134" s="1098">
        <f t="shared" si="53"/>
        <v>0</v>
      </c>
      <c r="J134" s="887">
        <f t="shared" si="49"/>
        <v>115</v>
      </c>
      <c r="K134" s="1099">
        <f t="shared" si="45"/>
        <v>115</v>
      </c>
      <c r="L134" s="891" t="str">
        <f t="shared" si="46"/>
        <v>January</v>
      </c>
      <c r="M134" s="888">
        <f t="shared" si="50"/>
        <v>2035</v>
      </c>
      <c r="N134" s="883">
        <f t="shared" si="47"/>
        <v>0</v>
      </c>
      <c r="O134" s="883">
        <f t="shared" si="54"/>
        <v>0</v>
      </c>
      <c r="P134" s="1100"/>
      <c r="Q134" s="883">
        <f t="shared" si="38"/>
        <v>0</v>
      </c>
      <c r="R134" s="884">
        <f t="shared" ref="R134:R197" si="55">IF(AND($AS$39="Early Payoff",J134&gt;=$S$13),0,IF($T$4="Annual",-$M$7*$U133*1,IF($T$4="Bi-Annual",(-$M$7/2)*$U133*1,IF($T$4="Monthly",(-$M$7/12)*$U133*1))))</f>
        <v>0</v>
      </c>
      <c r="S134" s="884">
        <f>IF(AND($AS$39="Early Payoff",J134&gt;=$S$13),0,IF($J134&lt;=$S$6,SUM($Q$20:$Q134),0))</f>
        <v>0</v>
      </c>
      <c r="T134" s="884">
        <f>IF(AND($AS$39="Early Payoff",J134&gt;=$S$13),0,IF($J134&lt;=$S$6,SUM($R$20:$R134),0))</f>
        <v>0</v>
      </c>
      <c r="U134" s="885">
        <f t="shared" si="39"/>
        <v>0</v>
      </c>
      <c r="V134" s="1110">
        <f t="shared" ref="V134:V197" si="56">IF($T$4="Monthly",$N134,IF(AND(OR($T$4="Annual",$T$4="Bi-Annual"),$K134=$T$7),INDEX($J$19:$U$379,MATCH($T$7,$K$19:$K$2379,0),MATCH($N$19,$J$19:$U$19,0)),IF(AND(OR($T$4="Annual",$T$4="Bi-Annual"),$K134&lt;$T$7),$N134,0)))</f>
        <v>0</v>
      </c>
      <c r="X134" s="1102">
        <f t="shared" si="40"/>
        <v>0</v>
      </c>
      <c r="Y134" s="873">
        <f t="shared" si="41"/>
        <v>0</v>
      </c>
      <c r="Z134" s="873">
        <f t="shared" si="42"/>
        <v>0</v>
      </c>
      <c r="AA134" s="885">
        <f t="shared" si="43"/>
        <v>0</v>
      </c>
    </row>
    <row r="135" spans="2:27" s="278" customFormat="1" ht="12" customHeight="1" x14ac:dyDescent="0.25">
      <c r="B135" s="1192" t="e">
        <f t="shared" si="48"/>
        <v>#N/A</v>
      </c>
      <c r="C135" s="732">
        <f t="shared" si="35"/>
        <v>28</v>
      </c>
      <c r="D135" s="35">
        <f t="shared" si="36"/>
        <v>2</v>
      </c>
      <c r="E135" s="889">
        <f t="shared" si="51"/>
        <v>49368</v>
      </c>
      <c r="F135" s="822">
        <f t="shared" si="44"/>
        <v>2</v>
      </c>
      <c r="G135" s="500">
        <f t="shared" si="52"/>
        <v>28</v>
      </c>
      <c r="H135" s="126">
        <f t="shared" si="37"/>
        <v>0</v>
      </c>
      <c r="I135" s="1098">
        <f t="shared" si="53"/>
        <v>0</v>
      </c>
      <c r="J135" s="887">
        <f t="shared" si="49"/>
        <v>116</v>
      </c>
      <c r="K135" s="1099">
        <f t="shared" si="45"/>
        <v>116</v>
      </c>
      <c r="L135" s="891" t="str">
        <f t="shared" si="46"/>
        <v>February</v>
      </c>
      <c r="M135" s="888">
        <f t="shared" si="50"/>
        <v>2035</v>
      </c>
      <c r="N135" s="883">
        <f t="shared" si="47"/>
        <v>0</v>
      </c>
      <c r="O135" s="883">
        <f t="shared" si="54"/>
        <v>0</v>
      </c>
      <c r="P135" s="1100"/>
      <c r="Q135" s="883">
        <f t="shared" si="38"/>
        <v>0</v>
      </c>
      <c r="R135" s="884">
        <f t="shared" si="55"/>
        <v>0</v>
      </c>
      <c r="S135" s="884">
        <f>IF(AND($AS$39="Early Payoff",J135&gt;=$S$13),0,IF($J135&lt;=$S$6,SUM($Q$20:$Q135),0))</f>
        <v>0</v>
      </c>
      <c r="T135" s="884">
        <f>IF(AND($AS$39="Early Payoff",J135&gt;=$S$13),0,IF($J135&lt;=$S$6,SUM($R$20:$R135),0))</f>
        <v>0</v>
      </c>
      <c r="U135" s="885">
        <f t="shared" si="39"/>
        <v>0</v>
      </c>
      <c r="V135" s="1110">
        <f t="shared" si="56"/>
        <v>0</v>
      </c>
      <c r="X135" s="1102">
        <f t="shared" si="40"/>
        <v>0</v>
      </c>
      <c r="Y135" s="873">
        <f t="shared" si="41"/>
        <v>0</v>
      </c>
      <c r="Z135" s="873">
        <f t="shared" si="42"/>
        <v>0</v>
      </c>
      <c r="AA135" s="885">
        <f t="shared" si="43"/>
        <v>0</v>
      </c>
    </row>
    <row r="136" spans="2:27" s="278" customFormat="1" ht="12" customHeight="1" x14ac:dyDescent="0.25">
      <c r="B136" s="1192" t="e">
        <f t="shared" si="48"/>
        <v>#N/A</v>
      </c>
      <c r="C136" s="732">
        <f t="shared" si="35"/>
        <v>31</v>
      </c>
      <c r="D136" s="35">
        <f t="shared" si="36"/>
        <v>3</v>
      </c>
      <c r="E136" s="889">
        <f t="shared" si="51"/>
        <v>49399</v>
      </c>
      <c r="F136" s="822">
        <f t="shared" si="44"/>
        <v>3</v>
      </c>
      <c r="G136" s="500">
        <f t="shared" si="52"/>
        <v>31</v>
      </c>
      <c r="H136" s="126">
        <f t="shared" si="37"/>
        <v>0</v>
      </c>
      <c r="I136" s="1098">
        <f t="shared" si="53"/>
        <v>0</v>
      </c>
      <c r="J136" s="887">
        <f t="shared" si="49"/>
        <v>117</v>
      </c>
      <c r="K136" s="1099">
        <f t="shared" si="45"/>
        <v>117</v>
      </c>
      <c r="L136" s="891" t="str">
        <f t="shared" si="46"/>
        <v>March</v>
      </c>
      <c r="M136" s="888">
        <f t="shared" si="50"/>
        <v>2035</v>
      </c>
      <c r="N136" s="883">
        <f t="shared" si="47"/>
        <v>0</v>
      </c>
      <c r="O136" s="883">
        <f t="shared" si="54"/>
        <v>0</v>
      </c>
      <c r="P136" s="1100"/>
      <c r="Q136" s="883">
        <f t="shared" si="38"/>
        <v>0</v>
      </c>
      <c r="R136" s="884">
        <f t="shared" si="55"/>
        <v>0</v>
      </c>
      <c r="S136" s="884">
        <f>IF(AND($AS$39="Early Payoff",J136&gt;=$S$13),0,IF($J136&lt;=$S$6,SUM($Q$20:$Q136),0))</f>
        <v>0</v>
      </c>
      <c r="T136" s="884">
        <f>IF(AND($AS$39="Early Payoff",J136&gt;=$S$13),0,IF($J136&lt;=$S$6,SUM($R$20:$R136),0))</f>
        <v>0</v>
      </c>
      <c r="U136" s="885">
        <f t="shared" si="39"/>
        <v>0</v>
      </c>
      <c r="V136" s="1110">
        <f t="shared" si="56"/>
        <v>0</v>
      </c>
      <c r="X136" s="1102">
        <f t="shared" si="40"/>
        <v>0</v>
      </c>
      <c r="Y136" s="873">
        <f t="shared" si="41"/>
        <v>0</v>
      </c>
      <c r="Z136" s="873">
        <f t="shared" si="42"/>
        <v>0</v>
      </c>
      <c r="AA136" s="885">
        <f t="shared" si="43"/>
        <v>0</v>
      </c>
    </row>
    <row r="137" spans="2:27" s="278" customFormat="1" ht="12" customHeight="1" x14ac:dyDescent="0.25">
      <c r="B137" s="1192" t="e">
        <f t="shared" si="48"/>
        <v>#N/A</v>
      </c>
      <c r="C137" s="732">
        <f t="shared" si="35"/>
        <v>30</v>
      </c>
      <c r="D137" s="35">
        <f t="shared" si="36"/>
        <v>4</v>
      </c>
      <c r="E137" s="889">
        <f t="shared" si="51"/>
        <v>49429</v>
      </c>
      <c r="F137" s="822">
        <f t="shared" si="44"/>
        <v>4</v>
      </c>
      <c r="G137" s="500">
        <f t="shared" si="52"/>
        <v>30</v>
      </c>
      <c r="H137" s="126">
        <f t="shared" si="37"/>
        <v>0</v>
      </c>
      <c r="I137" s="1098">
        <f t="shared" si="53"/>
        <v>0</v>
      </c>
      <c r="J137" s="887">
        <f t="shared" si="49"/>
        <v>118</v>
      </c>
      <c r="K137" s="1099">
        <f t="shared" si="45"/>
        <v>118</v>
      </c>
      <c r="L137" s="891" t="str">
        <f t="shared" si="46"/>
        <v>April</v>
      </c>
      <c r="M137" s="888">
        <f t="shared" si="50"/>
        <v>2035</v>
      </c>
      <c r="N137" s="883">
        <f t="shared" si="47"/>
        <v>0</v>
      </c>
      <c r="O137" s="883">
        <f t="shared" si="54"/>
        <v>0</v>
      </c>
      <c r="P137" s="1100"/>
      <c r="Q137" s="883">
        <f t="shared" si="38"/>
        <v>0</v>
      </c>
      <c r="R137" s="884">
        <f t="shared" si="55"/>
        <v>0</v>
      </c>
      <c r="S137" s="884">
        <f>IF(AND($AS$39="Early Payoff",J137&gt;=$S$13),0,IF($J137&lt;=$S$6,SUM($Q$20:$Q137),0))</f>
        <v>0</v>
      </c>
      <c r="T137" s="884">
        <f>IF(AND($AS$39="Early Payoff",J137&gt;=$S$13),0,IF($J137&lt;=$S$6,SUM($R$20:$R137),0))</f>
        <v>0</v>
      </c>
      <c r="U137" s="885">
        <f t="shared" si="39"/>
        <v>0</v>
      </c>
      <c r="V137" s="1110">
        <f t="shared" si="56"/>
        <v>0</v>
      </c>
      <c r="X137" s="1102">
        <f t="shared" si="40"/>
        <v>0</v>
      </c>
      <c r="Y137" s="873">
        <f t="shared" si="41"/>
        <v>0</v>
      </c>
      <c r="Z137" s="873">
        <f t="shared" si="42"/>
        <v>0</v>
      </c>
      <c r="AA137" s="885">
        <f t="shared" si="43"/>
        <v>0</v>
      </c>
    </row>
    <row r="138" spans="2:27" s="278" customFormat="1" ht="12" customHeight="1" x14ac:dyDescent="0.25">
      <c r="B138" s="1192" t="e">
        <f t="shared" si="48"/>
        <v>#N/A</v>
      </c>
      <c r="C138" s="732">
        <f t="shared" si="35"/>
        <v>31</v>
      </c>
      <c r="D138" s="35">
        <f t="shared" si="36"/>
        <v>5</v>
      </c>
      <c r="E138" s="889">
        <f t="shared" si="51"/>
        <v>49460</v>
      </c>
      <c r="F138" s="822">
        <f t="shared" si="44"/>
        <v>5</v>
      </c>
      <c r="G138" s="500">
        <f t="shared" si="52"/>
        <v>31</v>
      </c>
      <c r="H138" s="126">
        <f t="shared" si="37"/>
        <v>0</v>
      </c>
      <c r="I138" s="1098">
        <f t="shared" si="53"/>
        <v>0</v>
      </c>
      <c r="J138" s="887">
        <f t="shared" si="49"/>
        <v>119</v>
      </c>
      <c r="K138" s="1099">
        <f t="shared" si="45"/>
        <v>119</v>
      </c>
      <c r="L138" s="891" t="str">
        <f t="shared" si="46"/>
        <v>May</v>
      </c>
      <c r="M138" s="888">
        <f t="shared" si="50"/>
        <v>2035</v>
      </c>
      <c r="N138" s="883">
        <f t="shared" si="47"/>
        <v>0</v>
      </c>
      <c r="O138" s="883">
        <f t="shared" si="54"/>
        <v>0</v>
      </c>
      <c r="P138" s="1100"/>
      <c r="Q138" s="883">
        <f t="shared" si="38"/>
        <v>0</v>
      </c>
      <c r="R138" s="884">
        <f t="shared" si="55"/>
        <v>0</v>
      </c>
      <c r="S138" s="884">
        <f>IF(AND($AS$39="Early Payoff",J138&gt;=$S$13),0,IF($J138&lt;=$S$6,SUM($Q$20:$Q138),0))</f>
        <v>0</v>
      </c>
      <c r="T138" s="884">
        <f>IF(AND($AS$39="Early Payoff",J138&gt;=$S$13),0,IF($J138&lt;=$S$6,SUM($R$20:$R138),0))</f>
        <v>0</v>
      </c>
      <c r="U138" s="885">
        <f t="shared" si="39"/>
        <v>0</v>
      </c>
      <c r="V138" s="1110">
        <f t="shared" si="56"/>
        <v>0</v>
      </c>
      <c r="X138" s="1102">
        <f t="shared" si="40"/>
        <v>0</v>
      </c>
      <c r="Y138" s="873">
        <f t="shared" si="41"/>
        <v>0</v>
      </c>
      <c r="Z138" s="873">
        <f t="shared" si="42"/>
        <v>0</v>
      </c>
      <c r="AA138" s="885">
        <f t="shared" si="43"/>
        <v>0</v>
      </c>
    </row>
    <row r="139" spans="2:27" s="278" customFormat="1" ht="12" customHeight="1" x14ac:dyDescent="0.25">
      <c r="B139" s="1192" t="e">
        <f t="shared" si="48"/>
        <v>#N/A</v>
      </c>
      <c r="C139" s="732">
        <f t="shared" si="35"/>
        <v>30</v>
      </c>
      <c r="D139" s="35">
        <f t="shared" si="36"/>
        <v>6</v>
      </c>
      <c r="E139" s="889">
        <f t="shared" si="51"/>
        <v>49490</v>
      </c>
      <c r="F139" s="822">
        <f t="shared" si="44"/>
        <v>6</v>
      </c>
      <c r="G139" s="500">
        <f t="shared" si="52"/>
        <v>30</v>
      </c>
      <c r="H139" s="126">
        <f t="shared" si="37"/>
        <v>0</v>
      </c>
      <c r="I139" s="1098">
        <f t="shared" si="53"/>
        <v>0</v>
      </c>
      <c r="J139" s="887">
        <f t="shared" si="49"/>
        <v>120</v>
      </c>
      <c r="K139" s="1099">
        <f t="shared" si="45"/>
        <v>120</v>
      </c>
      <c r="L139" s="891" t="str">
        <f t="shared" si="46"/>
        <v>June</v>
      </c>
      <c r="M139" s="888">
        <f t="shared" si="50"/>
        <v>2035</v>
      </c>
      <c r="N139" s="883">
        <f t="shared" si="47"/>
        <v>0</v>
      </c>
      <c r="O139" s="883">
        <f t="shared" si="54"/>
        <v>0</v>
      </c>
      <c r="P139" s="1100"/>
      <c r="Q139" s="883">
        <f t="shared" si="38"/>
        <v>0</v>
      </c>
      <c r="R139" s="884">
        <f t="shared" si="55"/>
        <v>0</v>
      </c>
      <c r="S139" s="884">
        <f>IF(AND($AS$39="Early Payoff",J139&gt;=$S$13),0,IF($J139&lt;=$S$6,SUM($Q$20:$Q139),0))</f>
        <v>0</v>
      </c>
      <c r="T139" s="884">
        <f>IF(AND($AS$39="Early Payoff",J139&gt;=$S$13),0,IF($J139&lt;=$S$6,SUM($R$20:$R139),0))</f>
        <v>0</v>
      </c>
      <c r="U139" s="885">
        <f t="shared" si="39"/>
        <v>0</v>
      </c>
      <c r="V139" s="1110">
        <f t="shared" si="56"/>
        <v>0</v>
      </c>
      <c r="X139" s="1102">
        <f t="shared" si="40"/>
        <v>0</v>
      </c>
      <c r="Y139" s="873">
        <f t="shared" si="41"/>
        <v>0</v>
      </c>
      <c r="Z139" s="873">
        <f t="shared" si="42"/>
        <v>0</v>
      </c>
      <c r="AA139" s="885">
        <f t="shared" si="43"/>
        <v>0</v>
      </c>
    </row>
    <row r="140" spans="2:27" s="278" customFormat="1" ht="12" customHeight="1" x14ac:dyDescent="0.25">
      <c r="B140" s="1192" t="e">
        <f t="shared" si="48"/>
        <v>#N/A</v>
      </c>
      <c r="C140" s="732">
        <f t="shared" si="35"/>
        <v>31</v>
      </c>
      <c r="D140" s="35">
        <f t="shared" si="36"/>
        <v>7</v>
      </c>
      <c r="E140" s="889">
        <f t="shared" si="51"/>
        <v>49521</v>
      </c>
      <c r="F140" s="822">
        <f t="shared" si="44"/>
        <v>7</v>
      </c>
      <c r="G140" s="500">
        <f t="shared" si="52"/>
        <v>31</v>
      </c>
      <c r="H140" s="126">
        <f t="shared" si="37"/>
        <v>0</v>
      </c>
      <c r="I140" s="1098">
        <f t="shared" si="53"/>
        <v>0</v>
      </c>
      <c r="J140" s="887">
        <f t="shared" si="49"/>
        <v>121</v>
      </c>
      <c r="K140" s="1099">
        <f t="shared" si="45"/>
        <v>121</v>
      </c>
      <c r="L140" s="891" t="str">
        <f t="shared" si="46"/>
        <v>July</v>
      </c>
      <c r="M140" s="888">
        <f t="shared" si="50"/>
        <v>2035</v>
      </c>
      <c r="N140" s="883">
        <f t="shared" si="47"/>
        <v>0</v>
      </c>
      <c r="O140" s="883">
        <f t="shared" si="54"/>
        <v>0</v>
      </c>
      <c r="P140" s="1100"/>
      <c r="Q140" s="883">
        <f t="shared" si="38"/>
        <v>0</v>
      </c>
      <c r="R140" s="884">
        <f t="shared" si="55"/>
        <v>0</v>
      </c>
      <c r="S140" s="884">
        <f>IF(AND($AS$39="Early Payoff",J140&gt;=$S$13),0,IF($J140&lt;=$S$6,SUM($Q$20:$Q140),0))</f>
        <v>0</v>
      </c>
      <c r="T140" s="884">
        <f>IF(AND($AS$39="Early Payoff",J140&gt;=$S$13),0,IF($J140&lt;=$S$6,SUM($R$20:$R140),0))</f>
        <v>0</v>
      </c>
      <c r="U140" s="885">
        <f t="shared" si="39"/>
        <v>0</v>
      </c>
      <c r="V140" s="1110">
        <f t="shared" si="56"/>
        <v>0</v>
      </c>
      <c r="X140" s="1102">
        <f t="shared" si="40"/>
        <v>0</v>
      </c>
      <c r="Y140" s="873">
        <f t="shared" si="41"/>
        <v>0</v>
      </c>
      <c r="Z140" s="873">
        <f t="shared" si="42"/>
        <v>0</v>
      </c>
      <c r="AA140" s="885">
        <f t="shared" si="43"/>
        <v>0</v>
      </c>
    </row>
    <row r="141" spans="2:27" s="278" customFormat="1" ht="12" customHeight="1" x14ac:dyDescent="0.25">
      <c r="B141" s="1192" t="e">
        <f t="shared" si="48"/>
        <v>#N/A</v>
      </c>
      <c r="C141" s="732">
        <f t="shared" si="35"/>
        <v>31</v>
      </c>
      <c r="D141" s="35">
        <f t="shared" si="36"/>
        <v>8</v>
      </c>
      <c r="E141" s="889">
        <f t="shared" si="51"/>
        <v>49552</v>
      </c>
      <c r="F141" s="822">
        <f t="shared" si="44"/>
        <v>8</v>
      </c>
      <c r="G141" s="500">
        <f t="shared" si="52"/>
        <v>31</v>
      </c>
      <c r="H141" s="126">
        <f t="shared" si="37"/>
        <v>0</v>
      </c>
      <c r="I141" s="1098">
        <f t="shared" si="53"/>
        <v>0</v>
      </c>
      <c r="J141" s="887">
        <f t="shared" si="49"/>
        <v>122</v>
      </c>
      <c r="K141" s="1099">
        <f t="shared" si="45"/>
        <v>122</v>
      </c>
      <c r="L141" s="891" t="str">
        <f t="shared" si="46"/>
        <v>August</v>
      </c>
      <c r="M141" s="888">
        <f t="shared" si="50"/>
        <v>2035</v>
      </c>
      <c r="N141" s="883">
        <f t="shared" si="47"/>
        <v>0</v>
      </c>
      <c r="O141" s="883">
        <f t="shared" si="54"/>
        <v>0</v>
      </c>
      <c r="P141" s="1100"/>
      <c r="Q141" s="883">
        <f t="shared" si="38"/>
        <v>0</v>
      </c>
      <c r="R141" s="884">
        <f t="shared" si="55"/>
        <v>0</v>
      </c>
      <c r="S141" s="884">
        <f>IF(AND($AS$39="Early Payoff",J141&gt;=$S$13),0,IF($J141&lt;=$S$6,SUM($Q$20:$Q141),0))</f>
        <v>0</v>
      </c>
      <c r="T141" s="884">
        <f>IF(AND($AS$39="Early Payoff",J141&gt;=$S$13),0,IF($J141&lt;=$S$6,SUM($R$20:$R141),0))</f>
        <v>0</v>
      </c>
      <c r="U141" s="885">
        <f t="shared" si="39"/>
        <v>0</v>
      </c>
      <c r="V141" s="1110">
        <f t="shared" si="56"/>
        <v>0</v>
      </c>
      <c r="X141" s="1102">
        <f t="shared" si="40"/>
        <v>0</v>
      </c>
      <c r="Y141" s="873">
        <f t="shared" si="41"/>
        <v>0</v>
      </c>
      <c r="Z141" s="873">
        <f t="shared" si="42"/>
        <v>0</v>
      </c>
      <c r="AA141" s="885">
        <f t="shared" si="43"/>
        <v>0</v>
      </c>
    </row>
    <row r="142" spans="2:27" s="278" customFormat="1" ht="12" customHeight="1" x14ac:dyDescent="0.25">
      <c r="B142" s="1192" t="e">
        <f t="shared" si="48"/>
        <v>#N/A</v>
      </c>
      <c r="C142" s="732">
        <f t="shared" si="35"/>
        <v>30</v>
      </c>
      <c r="D142" s="35">
        <f t="shared" si="36"/>
        <v>9</v>
      </c>
      <c r="E142" s="889">
        <f t="shared" si="51"/>
        <v>49582</v>
      </c>
      <c r="F142" s="822">
        <f t="shared" si="44"/>
        <v>9</v>
      </c>
      <c r="G142" s="500">
        <f t="shared" si="52"/>
        <v>30</v>
      </c>
      <c r="H142" s="126">
        <f t="shared" si="37"/>
        <v>0</v>
      </c>
      <c r="I142" s="1098">
        <f t="shared" si="53"/>
        <v>0</v>
      </c>
      <c r="J142" s="887">
        <f t="shared" si="49"/>
        <v>123</v>
      </c>
      <c r="K142" s="1099">
        <f t="shared" si="45"/>
        <v>123</v>
      </c>
      <c r="L142" s="891" t="str">
        <f t="shared" si="46"/>
        <v>September</v>
      </c>
      <c r="M142" s="888">
        <f t="shared" si="50"/>
        <v>2035</v>
      </c>
      <c r="N142" s="883">
        <f t="shared" si="47"/>
        <v>0</v>
      </c>
      <c r="O142" s="883">
        <f t="shared" si="54"/>
        <v>0</v>
      </c>
      <c r="P142" s="1100"/>
      <c r="Q142" s="883">
        <f t="shared" si="38"/>
        <v>0</v>
      </c>
      <c r="R142" s="884">
        <f t="shared" si="55"/>
        <v>0</v>
      </c>
      <c r="S142" s="884">
        <f>IF(AND($AS$39="Early Payoff",J142&gt;=$S$13),0,IF($J142&lt;=$S$6,SUM($Q$20:$Q142),0))</f>
        <v>0</v>
      </c>
      <c r="T142" s="884">
        <f>IF(AND($AS$39="Early Payoff",J142&gt;=$S$13),0,IF($J142&lt;=$S$6,SUM($R$20:$R142),0))</f>
        <v>0</v>
      </c>
      <c r="U142" s="885">
        <f t="shared" si="39"/>
        <v>0</v>
      </c>
      <c r="V142" s="1110">
        <f t="shared" si="56"/>
        <v>0</v>
      </c>
      <c r="X142" s="1102">
        <f t="shared" si="40"/>
        <v>0</v>
      </c>
      <c r="Y142" s="873">
        <f t="shared" si="41"/>
        <v>0</v>
      </c>
      <c r="Z142" s="873">
        <f t="shared" si="42"/>
        <v>0</v>
      </c>
      <c r="AA142" s="885">
        <f t="shared" si="43"/>
        <v>0</v>
      </c>
    </row>
    <row r="143" spans="2:27" s="278" customFormat="1" ht="12" customHeight="1" x14ac:dyDescent="0.25">
      <c r="B143" s="1192" t="e">
        <f t="shared" si="48"/>
        <v>#N/A</v>
      </c>
      <c r="C143" s="732">
        <f t="shared" si="35"/>
        <v>31</v>
      </c>
      <c r="D143" s="35">
        <f t="shared" si="36"/>
        <v>10</v>
      </c>
      <c r="E143" s="889">
        <f t="shared" si="51"/>
        <v>49613</v>
      </c>
      <c r="F143" s="822">
        <f t="shared" si="44"/>
        <v>10</v>
      </c>
      <c r="G143" s="500">
        <f t="shared" si="52"/>
        <v>31</v>
      </c>
      <c r="H143" s="126">
        <f t="shared" si="37"/>
        <v>0</v>
      </c>
      <c r="I143" s="1098">
        <f t="shared" si="53"/>
        <v>0</v>
      </c>
      <c r="J143" s="887">
        <f t="shared" si="49"/>
        <v>124</v>
      </c>
      <c r="K143" s="1099">
        <f t="shared" si="45"/>
        <v>124</v>
      </c>
      <c r="L143" s="891" t="str">
        <f t="shared" si="46"/>
        <v>October</v>
      </c>
      <c r="M143" s="888">
        <f t="shared" si="50"/>
        <v>2035</v>
      </c>
      <c r="N143" s="883">
        <f t="shared" si="47"/>
        <v>0</v>
      </c>
      <c r="O143" s="883">
        <f t="shared" si="54"/>
        <v>0</v>
      </c>
      <c r="P143" s="1100"/>
      <c r="Q143" s="883">
        <f t="shared" si="38"/>
        <v>0</v>
      </c>
      <c r="R143" s="884">
        <f t="shared" si="55"/>
        <v>0</v>
      </c>
      <c r="S143" s="884">
        <f>IF(AND($AS$39="Early Payoff",J143&gt;=$S$13),0,IF($J143&lt;=$S$6,SUM($Q$20:$Q143),0))</f>
        <v>0</v>
      </c>
      <c r="T143" s="884">
        <f>IF(AND($AS$39="Early Payoff",J143&gt;=$S$13),0,IF($J143&lt;=$S$6,SUM($R$20:$R143),0))</f>
        <v>0</v>
      </c>
      <c r="U143" s="885">
        <f t="shared" si="39"/>
        <v>0</v>
      </c>
      <c r="V143" s="1110">
        <f t="shared" si="56"/>
        <v>0</v>
      </c>
      <c r="X143" s="1102">
        <f t="shared" si="40"/>
        <v>0</v>
      </c>
      <c r="Y143" s="873">
        <f t="shared" si="41"/>
        <v>0</v>
      </c>
      <c r="Z143" s="873">
        <f t="shared" si="42"/>
        <v>0</v>
      </c>
      <c r="AA143" s="885">
        <f t="shared" si="43"/>
        <v>0</v>
      </c>
    </row>
    <row r="144" spans="2:27" s="278" customFormat="1" ht="12" customHeight="1" x14ac:dyDescent="0.25">
      <c r="B144" s="1192" t="e">
        <f t="shared" si="48"/>
        <v>#N/A</v>
      </c>
      <c r="C144" s="732">
        <f t="shared" si="35"/>
        <v>30</v>
      </c>
      <c r="D144" s="35">
        <f t="shared" si="36"/>
        <v>11</v>
      </c>
      <c r="E144" s="889">
        <f t="shared" si="51"/>
        <v>49643</v>
      </c>
      <c r="F144" s="822">
        <f t="shared" si="44"/>
        <v>11</v>
      </c>
      <c r="G144" s="500">
        <f t="shared" si="52"/>
        <v>30</v>
      </c>
      <c r="H144" s="126">
        <f t="shared" si="37"/>
        <v>0</v>
      </c>
      <c r="I144" s="1098">
        <f t="shared" si="53"/>
        <v>0</v>
      </c>
      <c r="J144" s="887">
        <f t="shared" si="49"/>
        <v>125</v>
      </c>
      <c r="K144" s="1099">
        <f t="shared" si="45"/>
        <v>125</v>
      </c>
      <c r="L144" s="891" t="str">
        <f t="shared" si="46"/>
        <v>November</v>
      </c>
      <c r="M144" s="888">
        <f t="shared" si="50"/>
        <v>2035</v>
      </c>
      <c r="N144" s="883">
        <f t="shared" si="47"/>
        <v>0</v>
      </c>
      <c r="O144" s="883">
        <f t="shared" si="54"/>
        <v>0</v>
      </c>
      <c r="P144" s="1100"/>
      <c r="Q144" s="883">
        <f t="shared" si="38"/>
        <v>0</v>
      </c>
      <c r="R144" s="884">
        <f t="shared" si="55"/>
        <v>0</v>
      </c>
      <c r="S144" s="884">
        <f>IF(AND($AS$39="Early Payoff",J144&gt;=$S$13),0,IF($J144&lt;=$S$6,SUM($Q$20:$Q144),0))</f>
        <v>0</v>
      </c>
      <c r="T144" s="884">
        <f>IF(AND($AS$39="Early Payoff",J144&gt;=$S$13),0,IF($J144&lt;=$S$6,SUM($R$20:$R144),0))</f>
        <v>0</v>
      </c>
      <c r="U144" s="885">
        <f t="shared" si="39"/>
        <v>0</v>
      </c>
      <c r="V144" s="1110">
        <f t="shared" si="56"/>
        <v>0</v>
      </c>
      <c r="X144" s="1102">
        <f t="shared" si="40"/>
        <v>0</v>
      </c>
      <c r="Y144" s="873">
        <f t="shared" si="41"/>
        <v>0</v>
      </c>
      <c r="Z144" s="873">
        <f t="shared" si="42"/>
        <v>0</v>
      </c>
      <c r="AA144" s="885">
        <f t="shared" si="43"/>
        <v>0</v>
      </c>
    </row>
    <row r="145" spans="2:27" s="278" customFormat="1" ht="12" customHeight="1" x14ac:dyDescent="0.25">
      <c r="B145" s="1192" t="e">
        <f t="shared" si="48"/>
        <v>#N/A</v>
      </c>
      <c r="C145" s="732">
        <f t="shared" si="35"/>
        <v>31</v>
      </c>
      <c r="D145" s="35">
        <f t="shared" si="36"/>
        <v>12</v>
      </c>
      <c r="E145" s="889">
        <f t="shared" si="51"/>
        <v>49674</v>
      </c>
      <c r="F145" s="822">
        <f t="shared" si="44"/>
        <v>12</v>
      </c>
      <c r="G145" s="500">
        <f t="shared" si="52"/>
        <v>31</v>
      </c>
      <c r="H145" s="126">
        <f t="shared" si="37"/>
        <v>1</v>
      </c>
      <c r="I145" s="1098">
        <f t="shared" si="53"/>
        <v>0</v>
      </c>
      <c r="J145" s="887">
        <f t="shared" si="49"/>
        <v>126</v>
      </c>
      <c r="K145" s="1099">
        <f t="shared" si="45"/>
        <v>126</v>
      </c>
      <c r="L145" s="891" t="str">
        <f t="shared" si="46"/>
        <v>December</v>
      </c>
      <c r="M145" s="888">
        <f t="shared" si="50"/>
        <v>2035</v>
      </c>
      <c r="N145" s="883">
        <f t="shared" si="47"/>
        <v>0</v>
      </c>
      <c r="O145" s="883">
        <f t="shared" si="54"/>
        <v>0</v>
      </c>
      <c r="P145" s="1100"/>
      <c r="Q145" s="883">
        <f t="shared" si="38"/>
        <v>0</v>
      </c>
      <c r="R145" s="884">
        <f t="shared" si="55"/>
        <v>0</v>
      </c>
      <c r="S145" s="884">
        <f>IF(AND($AS$39="Early Payoff",J145&gt;=$S$13),0,IF($J145&lt;=$S$6,SUM($Q$20:$Q145),0))</f>
        <v>0</v>
      </c>
      <c r="T145" s="884">
        <f>IF(AND($AS$39="Early Payoff",J145&gt;=$S$13),0,IF($J145&lt;=$S$6,SUM($R$20:$R145),0))</f>
        <v>0</v>
      </c>
      <c r="U145" s="885">
        <f t="shared" si="39"/>
        <v>0</v>
      </c>
      <c r="V145" s="1110">
        <f t="shared" si="56"/>
        <v>0</v>
      </c>
      <c r="X145" s="1102">
        <f t="shared" si="40"/>
        <v>0</v>
      </c>
      <c r="Y145" s="873">
        <f t="shared" si="41"/>
        <v>0</v>
      </c>
      <c r="Z145" s="873">
        <f t="shared" si="42"/>
        <v>0</v>
      </c>
      <c r="AA145" s="885">
        <f t="shared" si="43"/>
        <v>0</v>
      </c>
    </row>
    <row r="146" spans="2:27" s="278" customFormat="1" ht="12" customHeight="1" x14ac:dyDescent="0.25">
      <c r="B146" s="1192" t="e">
        <f t="shared" si="48"/>
        <v>#N/A</v>
      </c>
      <c r="C146" s="732">
        <f t="shared" si="35"/>
        <v>31</v>
      </c>
      <c r="D146" s="35">
        <f t="shared" si="36"/>
        <v>1</v>
      </c>
      <c r="E146" s="889">
        <f t="shared" si="51"/>
        <v>49705</v>
      </c>
      <c r="F146" s="822">
        <f t="shared" si="44"/>
        <v>1</v>
      </c>
      <c r="G146" s="500">
        <f t="shared" si="52"/>
        <v>31</v>
      </c>
      <c r="H146" s="126">
        <f t="shared" si="37"/>
        <v>0</v>
      </c>
      <c r="I146" s="1098">
        <f t="shared" si="53"/>
        <v>0</v>
      </c>
      <c r="J146" s="887">
        <f t="shared" si="49"/>
        <v>127</v>
      </c>
      <c r="K146" s="1099">
        <f t="shared" si="45"/>
        <v>127</v>
      </c>
      <c r="L146" s="891" t="str">
        <f t="shared" si="46"/>
        <v>January</v>
      </c>
      <c r="M146" s="888">
        <f t="shared" si="50"/>
        <v>2036</v>
      </c>
      <c r="N146" s="883">
        <f t="shared" si="47"/>
        <v>0</v>
      </c>
      <c r="O146" s="883">
        <f t="shared" si="54"/>
        <v>0</v>
      </c>
      <c r="P146" s="1100"/>
      <c r="Q146" s="883">
        <f t="shared" si="38"/>
        <v>0</v>
      </c>
      <c r="R146" s="884">
        <f t="shared" si="55"/>
        <v>0</v>
      </c>
      <c r="S146" s="884">
        <f>IF(AND($AS$39="Early Payoff",J146&gt;=$S$13),0,IF($J146&lt;=$S$6,SUM($Q$20:$Q146),0))</f>
        <v>0</v>
      </c>
      <c r="T146" s="884">
        <f>IF(AND($AS$39="Early Payoff",J146&gt;=$S$13),0,IF($J146&lt;=$S$6,SUM($R$20:$R146),0))</f>
        <v>0</v>
      </c>
      <c r="U146" s="885">
        <f t="shared" si="39"/>
        <v>0</v>
      </c>
      <c r="V146" s="1110">
        <f t="shared" si="56"/>
        <v>0</v>
      </c>
      <c r="X146" s="1102">
        <f t="shared" si="40"/>
        <v>0</v>
      </c>
      <c r="Y146" s="873">
        <f t="shared" si="41"/>
        <v>0</v>
      </c>
      <c r="Z146" s="873">
        <f t="shared" si="42"/>
        <v>0</v>
      </c>
      <c r="AA146" s="885">
        <f t="shared" si="43"/>
        <v>0</v>
      </c>
    </row>
    <row r="147" spans="2:27" s="278" customFormat="1" ht="12" customHeight="1" x14ac:dyDescent="0.25">
      <c r="B147" s="1192" t="e">
        <f t="shared" si="48"/>
        <v>#N/A</v>
      </c>
      <c r="C147" s="732">
        <f t="shared" si="35"/>
        <v>29</v>
      </c>
      <c r="D147" s="35">
        <f t="shared" si="36"/>
        <v>2</v>
      </c>
      <c r="E147" s="889">
        <f t="shared" si="51"/>
        <v>49734</v>
      </c>
      <c r="F147" s="822">
        <f t="shared" si="44"/>
        <v>2</v>
      </c>
      <c r="G147" s="500">
        <f t="shared" si="52"/>
        <v>29</v>
      </c>
      <c r="H147" s="126">
        <f t="shared" si="37"/>
        <v>0</v>
      </c>
      <c r="I147" s="1098">
        <f t="shared" si="53"/>
        <v>0</v>
      </c>
      <c r="J147" s="887">
        <f t="shared" si="49"/>
        <v>128</v>
      </c>
      <c r="K147" s="1099">
        <f t="shared" si="45"/>
        <v>128</v>
      </c>
      <c r="L147" s="891" t="str">
        <f t="shared" si="46"/>
        <v>February</v>
      </c>
      <c r="M147" s="888">
        <f t="shared" si="50"/>
        <v>2036</v>
      </c>
      <c r="N147" s="883">
        <f t="shared" si="47"/>
        <v>0</v>
      </c>
      <c r="O147" s="883">
        <f t="shared" si="54"/>
        <v>0</v>
      </c>
      <c r="P147" s="1100"/>
      <c r="Q147" s="883">
        <f t="shared" si="38"/>
        <v>0</v>
      </c>
      <c r="R147" s="884">
        <f t="shared" si="55"/>
        <v>0</v>
      </c>
      <c r="S147" s="884">
        <f>IF(AND($AS$39="Early Payoff",J147&gt;=$S$13),0,IF($J147&lt;=$S$6,SUM($Q$20:$Q147),0))</f>
        <v>0</v>
      </c>
      <c r="T147" s="884">
        <f>IF(AND($AS$39="Early Payoff",J147&gt;=$S$13),0,IF($J147&lt;=$S$6,SUM($R$20:$R147),0))</f>
        <v>0</v>
      </c>
      <c r="U147" s="885">
        <f t="shared" si="39"/>
        <v>0</v>
      </c>
      <c r="V147" s="1110">
        <f t="shared" si="56"/>
        <v>0</v>
      </c>
      <c r="X147" s="1102">
        <f t="shared" si="40"/>
        <v>0</v>
      </c>
      <c r="Y147" s="873">
        <f t="shared" si="41"/>
        <v>0</v>
      </c>
      <c r="Z147" s="873">
        <f t="shared" si="42"/>
        <v>0</v>
      </c>
      <c r="AA147" s="885">
        <f t="shared" si="43"/>
        <v>0</v>
      </c>
    </row>
    <row r="148" spans="2:27" s="278" customFormat="1" ht="12" customHeight="1" x14ac:dyDescent="0.25">
      <c r="B148" s="1192" t="e">
        <f t="shared" si="48"/>
        <v>#N/A</v>
      </c>
      <c r="C148" s="732">
        <f t="shared" ref="C148:C211" si="57">DAY(EOMONTH(DATE($M148,$D148,1),0))</f>
        <v>31</v>
      </c>
      <c r="D148" s="35">
        <f t="shared" ref="D148:D211" si="58">INDEX($AT$22:$AU$34,MATCH($L148,$AT$22:$AT$34,0),MATCH("Number",$AT$22:$AU$22,0))</f>
        <v>3</v>
      </c>
      <c r="E148" s="889">
        <f t="shared" si="51"/>
        <v>49765</v>
      </c>
      <c r="F148" s="822">
        <f t="shared" si="44"/>
        <v>3</v>
      </c>
      <c r="G148" s="500">
        <f t="shared" si="52"/>
        <v>31</v>
      </c>
      <c r="H148" s="126">
        <f t="shared" ref="H148:H211" si="59">IF($T$4="Monthly",INDEX($AT$36:$AU$48,MATCH($L148,$AT$36:$AT$48,0),MATCH("Number",$AT$36:$AU$36,0)),0)</f>
        <v>0</v>
      </c>
      <c r="I148" s="1098">
        <f t="shared" si="53"/>
        <v>0</v>
      </c>
      <c r="J148" s="887">
        <f t="shared" si="49"/>
        <v>129</v>
      </c>
      <c r="K148" s="1099">
        <f t="shared" si="45"/>
        <v>129</v>
      </c>
      <c r="L148" s="891" t="str">
        <f t="shared" si="46"/>
        <v>March</v>
      </c>
      <c r="M148" s="888">
        <f t="shared" si="50"/>
        <v>2036</v>
      </c>
      <c r="N148" s="883">
        <f t="shared" si="47"/>
        <v>0</v>
      </c>
      <c r="O148" s="883">
        <f t="shared" si="54"/>
        <v>0</v>
      </c>
      <c r="P148" s="1100"/>
      <c r="Q148" s="883">
        <f t="shared" ref="Q148:Q211" si="60">IF(AND($AS$39="Early Payoff",J148&gt;=$S$13),0,IF($J148&gt;$S$6,0,IF(AND($AR$29&gt;0,$J148&lt;=$AR$29),0,+$O148-$R148)))</f>
        <v>0</v>
      </c>
      <c r="R148" s="884">
        <f t="shared" si="55"/>
        <v>0</v>
      </c>
      <c r="S148" s="884">
        <f>IF(AND($AS$39="Early Payoff",J148&gt;=$S$13),0,IF($J148&lt;=$S$6,SUM($Q$20:$Q148),0))</f>
        <v>0</v>
      </c>
      <c r="T148" s="884">
        <f>IF(AND($AS$39="Early Payoff",J148&gt;=$S$13),0,IF($J148&lt;=$S$6,SUM($R$20:$R148),0))</f>
        <v>0</v>
      </c>
      <c r="U148" s="885">
        <f t="shared" ref="U148:U211" si="61">IF($K148&lt;$S$13,SUM($N148,$Q148),0)</f>
        <v>0</v>
      </c>
      <c r="V148" s="1110">
        <f t="shared" si="56"/>
        <v>0</v>
      </c>
      <c r="X148" s="1102">
        <f t="shared" ref="X148:X211" si="62">IF($J148&gt;$S$6,0,IF($J148&lt;=$AR$27,0,IF(AND($Y$5="%/Payment",$AA$5=0),$O148*$Z$5,IF(AND($Y$5="%/Payment",$AA$5&gt;0,($O148*$Z$5)&lt;$AA$5),$O148*$Z$5,IF(AND($Y$5="%/Payment",$AA$5&gt;0,($O148*$Z$5)&gt;$AA$5),-$AA$5,IF(AND($Y$5="%/Balance",$AA$5=0),-$U148*$Z$5,IF(AND($Y$5="%/Balance",$AA$5&gt;0,($U148*$Z$5)&lt;$AA$5),-$U148*$Z$5,IF(AND($Y$5="%/Balance",$AA$5&gt;0,($U148*$Z$5)&gt;$AA$5),-$AA$5,IF($Y$5="Fixed Amount",-$Z$5,IF($Y$5="N/A",0))))))))))</f>
        <v>0</v>
      </c>
      <c r="Y148" s="873">
        <f t="shared" ref="Y148:Y211" si="63">IF($J148&gt;$S$6,0,IF($J148&lt;=$AR$27,0,IF(AND($Y$6="%/Payment",$AA$6=0),$O148*$Z$6,IF(AND($Y$6="%/Payment",$AA$6&gt;0,($O148*$Z$6)&lt;$AA$6),$O148*$Z$6,IF(AND($Y$6="%/Payment",$AA$6&gt;0,($O148*$Z$6)&gt;$AA$6),-$AA$6,IF(AND($Y$6="%/Balance",$AA$6=0),-$U148*$Z$6,IF(AND($Y$6="%/Balance",$AA$6&gt;0,($U148*$Z$6)&lt;$AA$6),-$U148*$Z$6,IF(AND($Y$6="%/Balance",$AA$6&gt;0,($U148*$Z$6)&gt;$AA$6),-$AA$6,IF($Y$6="Fixed Amount",-$Z$6,IF($Y$6="N/A",0))))))))))</f>
        <v>0</v>
      </c>
      <c r="Z148" s="873">
        <f t="shared" ref="Z148:Z211" si="64">IF($J148&gt;$S$6,0,IF($J148&lt;=$AR$27,0,IF(AND($Y$7="%/Payment",$AA$7=0),$O148*$Z$7,IF(AND($Y$7="%/Payment",$AA$7&gt;0,($O148*$Z$7)&lt;$AA$7),$O148*$Z$7,IF(AND($Y$7="%/Payment",$AA$7&gt;0,($O148*$Z$7)&gt;$AA$7),-$AA$7,IF(AND($Y$7="%/Balance",$AA$7=0),-$U148*$Z$7,IF(AND($Y$7="%/Balance",$AA$7&gt;0,($U148*$Z$7)&lt;$AA$7),-$U148*$Z$7,IF(AND($Y$7="%/Balance",$AA$7&gt;0,($O148*$Z$7)&gt;$AA$7),-$AA$7,IF($Y$7="Fixed Amount",-$Z$7,IF($Y$7="N/A",0))))))))))</f>
        <v>0</v>
      </c>
      <c r="AA148" s="885">
        <f t="shared" ref="AA148:AA211" si="65">SUM($O148,$X148:$Z148)</f>
        <v>0</v>
      </c>
    </row>
    <row r="149" spans="2:27" s="278" customFormat="1" ht="12" customHeight="1" x14ac:dyDescent="0.25">
      <c r="B149" s="1192" t="e">
        <f t="shared" si="48"/>
        <v>#N/A</v>
      </c>
      <c r="C149" s="732">
        <f t="shared" si="57"/>
        <v>30</v>
      </c>
      <c r="D149" s="35">
        <f t="shared" si="58"/>
        <v>4</v>
      </c>
      <c r="E149" s="889">
        <f t="shared" si="51"/>
        <v>49795</v>
      </c>
      <c r="F149" s="822">
        <f t="shared" ref="F149:F212" si="66">INDEX($AT$22:$AU$34,MATCH($L149,$AT$22:$AT$34,0),MATCH("Number",$AT$22:$AU$22,0))</f>
        <v>4</v>
      </c>
      <c r="G149" s="500">
        <f t="shared" si="52"/>
        <v>30</v>
      </c>
      <c r="H149" s="126">
        <f t="shared" si="59"/>
        <v>0</v>
      </c>
      <c r="I149" s="1098">
        <f t="shared" si="53"/>
        <v>0</v>
      </c>
      <c r="J149" s="887">
        <f t="shared" si="49"/>
        <v>130</v>
      </c>
      <c r="K149" s="1099">
        <f t="shared" ref="K149:K212" si="67">IF($J149&lt;=$AR$29,0,IF($J148&gt;=$AR$29,$K148+1))</f>
        <v>130</v>
      </c>
      <c r="L149" s="891" t="str">
        <f t="shared" ref="L149:L212" si="68">IF($T$4="Annual",$R$5,IF(AND($T$4="Bi-Annual",$F148&lt;MAX($R$4,$S$4)),INDEX($AU$22:$AV$34,MATCH(MAX($R$4,$S$4),$AU$22:$AU$34,0),MATCH("Month",$AU$22:$AV$22,0)),IF(AND($T$4="Bi-Annual",$F148=MAX($R$4,$S$4)),INDEX($AU$22:$AV$34,MATCH(MIN($R$4,$S$4),$AU$22:$AU$34,0),MATCH("Month",$AU$22:$AV$22,0)),IF(AND($T$4="Monthly",$F148&lt;12),INDEX($AU$22:$AV$34,MATCH($F148+1,$AU$22:$AU$34,0),MATCH("Month",$AU$22:$AV$22,0)),IF(AND($T$4="Monthly",$F148=12),INDEX($AU$22:$AV$34,MATCH($F148-11,$AU$22:$AU$34,0),MATCH("Month",$AU$22:$AV$22,0)))))))</f>
        <v>April</v>
      </c>
      <c r="M149" s="888">
        <f t="shared" si="50"/>
        <v>2036</v>
      </c>
      <c r="N149" s="883">
        <f t="shared" ref="N149:N212" si="69">IF(AND($AS$39="Early Payoff",$J149&gt;$S$13),0,IF(AND($AS$39="Early Payoff",$J149&lt;$S$13),$U148,IF($J149&gt;$S$6,0,$U148)))</f>
        <v>0</v>
      </c>
      <c r="O149" s="883">
        <f t="shared" si="54"/>
        <v>0</v>
      </c>
      <c r="P149" s="1100"/>
      <c r="Q149" s="883">
        <f t="shared" si="60"/>
        <v>0</v>
      </c>
      <c r="R149" s="884">
        <f t="shared" si="55"/>
        <v>0</v>
      </c>
      <c r="S149" s="884">
        <f>IF(AND($AS$39="Early Payoff",J149&gt;=$S$13),0,IF($J149&lt;=$S$6,SUM($Q$20:$Q149),0))</f>
        <v>0</v>
      </c>
      <c r="T149" s="884">
        <f>IF(AND($AS$39="Early Payoff",J149&gt;=$S$13),0,IF($J149&lt;=$S$6,SUM($R$20:$R149),0))</f>
        <v>0</v>
      </c>
      <c r="U149" s="885">
        <f t="shared" si="61"/>
        <v>0</v>
      </c>
      <c r="V149" s="1110">
        <f t="shared" si="56"/>
        <v>0</v>
      </c>
      <c r="X149" s="1102">
        <f t="shared" si="62"/>
        <v>0</v>
      </c>
      <c r="Y149" s="873">
        <f t="shared" si="63"/>
        <v>0</v>
      </c>
      <c r="Z149" s="873">
        <f t="shared" si="64"/>
        <v>0</v>
      </c>
      <c r="AA149" s="885">
        <f t="shared" si="65"/>
        <v>0</v>
      </c>
    </row>
    <row r="150" spans="2:27" s="278" customFormat="1" ht="12" customHeight="1" x14ac:dyDescent="0.25">
      <c r="B150" s="1192" t="e">
        <f t="shared" ref="B150:B213" si="70">B149+1</f>
        <v>#N/A</v>
      </c>
      <c r="C150" s="732">
        <f t="shared" si="57"/>
        <v>31</v>
      </c>
      <c r="D150" s="35">
        <f t="shared" si="58"/>
        <v>5</v>
      </c>
      <c r="E150" s="889">
        <f t="shared" si="51"/>
        <v>49826</v>
      </c>
      <c r="F150" s="822">
        <f t="shared" si="66"/>
        <v>5</v>
      </c>
      <c r="G150" s="500">
        <f t="shared" si="52"/>
        <v>31</v>
      </c>
      <c r="H150" s="126">
        <f t="shared" si="59"/>
        <v>0</v>
      </c>
      <c r="I150" s="1098">
        <f t="shared" si="53"/>
        <v>0</v>
      </c>
      <c r="J150" s="887">
        <f t="shared" ref="J150:J213" si="71">J149+1</f>
        <v>131</v>
      </c>
      <c r="K150" s="1099">
        <f t="shared" si="67"/>
        <v>131</v>
      </c>
      <c r="L150" s="891" t="str">
        <f t="shared" si="68"/>
        <v>May</v>
      </c>
      <c r="M150" s="888">
        <f t="shared" ref="M150:M213" si="72">IF($T$4="Annual",$M149+$I150,IF($T$4="Bi-Annual",$M149+$I149,IF($T$4="Monthly",$M149+$H149)))</f>
        <v>2036</v>
      </c>
      <c r="N150" s="883">
        <f t="shared" si="69"/>
        <v>0</v>
      </c>
      <c r="O150" s="883">
        <f t="shared" si="54"/>
        <v>0</v>
      </c>
      <c r="P150" s="1100"/>
      <c r="Q150" s="883">
        <f t="shared" si="60"/>
        <v>0</v>
      </c>
      <c r="R150" s="884">
        <f t="shared" si="55"/>
        <v>0</v>
      </c>
      <c r="S150" s="884">
        <f>IF(AND($AS$39="Early Payoff",J150&gt;=$S$13),0,IF($J150&lt;=$S$6,SUM($Q$20:$Q150),0))</f>
        <v>0</v>
      </c>
      <c r="T150" s="884">
        <f>IF(AND($AS$39="Early Payoff",J150&gt;=$S$13),0,IF($J150&lt;=$S$6,SUM($R$20:$R150),0))</f>
        <v>0</v>
      </c>
      <c r="U150" s="885">
        <f t="shared" si="61"/>
        <v>0</v>
      </c>
      <c r="V150" s="1110">
        <f t="shared" si="56"/>
        <v>0</v>
      </c>
      <c r="X150" s="1102">
        <f t="shared" si="62"/>
        <v>0</v>
      </c>
      <c r="Y150" s="873">
        <f t="shared" si="63"/>
        <v>0</v>
      </c>
      <c r="Z150" s="873">
        <f t="shared" si="64"/>
        <v>0</v>
      </c>
      <c r="AA150" s="885">
        <f t="shared" si="65"/>
        <v>0</v>
      </c>
    </row>
    <row r="151" spans="2:27" s="278" customFormat="1" ht="12" customHeight="1" x14ac:dyDescent="0.25">
      <c r="B151" s="1192" t="e">
        <f t="shared" si="70"/>
        <v>#N/A</v>
      </c>
      <c r="C151" s="732">
        <f t="shared" si="57"/>
        <v>30</v>
      </c>
      <c r="D151" s="35">
        <f t="shared" si="58"/>
        <v>6</v>
      </c>
      <c r="E151" s="889">
        <f t="shared" ref="E151:E214" si="73">DATE(M151,D151,C151)</f>
        <v>49856</v>
      </c>
      <c r="F151" s="822">
        <f t="shared" si="66"/>
        <v>6</v>
      </c>
      <c r="G151" s="500">
        <f t="shared" ref="G151:G214" si="74">E151-E150</f>
        <v>30</v>
      </c>
      <c r="H151" s="126">
        <f t="shared" si="59"/>
        <v>0</v>
      </c>
      <c r="I151" s="1098">
        <f t="shared" ref="I151:I214" si="75">IF($T$4="Annual",1,IF(AND($T$4="Bi-Annual",$F151&gt;$F152),1,IF(AND($T$4="Bi-Annual",$F151&lt;$F152),0,IF($T$4="Monthly",0,))))</f>
        <v>0</v>
      </c>
      <c r="J151" s="887">
        <f t="shared" si="71"/>
        <v>132</v>
      </c>
      <c r="K151" s="1099">
        <f t="shared" si="67"/>
        <v>132</v>
      </c>
      <c r="L151" s="891" t="str">
        <f t="shared" si="68"/>
        <v>June</v>
      </c>
      <c r="M151" s="888">
        <f t="shared" si="72"/>
        <v>2036</v>
      </c>
      <c r="N151" s="883">
        <f t="shared" si="69"/>
        <v>0</v>
      </c>
      <c r="O151" s="883">
        <f t="shared" si="54"/>
        <v>0</v>
      </c>
      <c r="P151" s="1100"/>
      <c r="Q151" s="883">
        <f t="shared" si="60"/>
        <v>0</v>
      </c>
      <c r="R151" s="884">
        <f t="shared" si="55"/>
        <v>0</v>
      </c>
      <c r="S151" s="884">
        <f>IF(AND($AS$39="Early Payoff",J151&gt;=$S$13),0,IF($J151&lt;=$S$6,SUM($Q$20:$Q151),0))</f>
        <v>0</v>
      </c>
      <c r="T151" s="884">
        <f>IF(AND($AS$39="Early Payoff",J151&gt;=$S$13),0,IF($J151&lt;=$S$6,SUM($R$20:$R151),0))</f>
        <v>0</v>
      </c>
      <c r="U151" s="885">
        <f t="shared" si="61"/>
        <v>0</v>
      </c>
      <c r="V151" s="1110">
        <f t="shared" si="56"/>
        <v>0</v>
      </c>
      <c r="X151" s="1102">
        <f t="shared" si="62"/>
        <v>0</v>
      </c>
      <c r="Y151" s="873">
        <f t="shared" si="63"/>
        <v>0</v>
      </c>
      <c r="Z151" s="873">
        <f t="shared" si="64"/>
        <v>0</v>
      </c>
      <c r="AA151" s="885">
        <f t="shared" si="65"/>
        <v>0</v>
      </c>
    </row>
    <row r="152" spans="2:27" s="278" customFormat="1" ht="12" customHeight="1" x14ac:dyDescent="0.25">
      <c r="B152" s="1192" t="e">
        <f t="shared" si="70"/>
        <v>#N/A</v>
      </c>
      <c r="C152" s="732">
        <f t="shared" si="57"/>
        <v>31</v>
      </c>
      <c r="D152" s="35">
        <f t="shared" si="58"/>
        <v>7</v>
      </c>
      <c r="E152" s="889">
        <f t="shared" si="73"/>
        <v>49887</v>
      </c>
      <c r="F152" s="822">
        <f t="shared" si="66"/>
        <v>7</v>
      </c>
      <c r="G152" s="500">
        <f t="shared" si="74"/>
        <v>31</v>
      </c>
      <c r="H152" s="126">
        <f t="shared" si="59"/>
        <v>0</v>
      </c>
      <c r="I152" s="1098">
        <f t="shared" si="75"/>
        <v>0</v>
      </c>
      <c r="J152" s="887">
        <f t="shared" si="71"/>
        <v>133</v>
      </c>
      <c r="K152" s="1099">
        <f t="shared" si="67"/>
        <v>133</v>
      </c>
      <c r="L152" s="891" t="str">
        <f t="shared" si="68"/>
        <v>July</v>
      </c>
      <c r="M152" s="888">
        <f t="shared" si="72"/>
        <v>2036</v>
      </c>
      <c r="N152" s="883">
        <f t="shared" si="69"/>
        <v>0</v>
      </c>
      <c r="O152" s="883">
        <f t="shared" si="54"/>
        <v>0</v>
      </c>
      <c r="P152" s="1100"/>
      <c r="Q152" s="883">
        <f t="shared" si="60"/>
        <v>0</v>
      </c>
      <c r="R152" s="884">
        <f t="shared" si="55"/>
        <v>0</v>
      </c>
      <c r="S152" s="884">
        <f>IF(AND($AS$39="Early Payoff",J152&gt;=$S$13),0,IF($J152&lt;=$S$6,SUM($Q$20:$Q152),0))</f>
        <v>0</v>
      </c>
      <c r="T152" s="884">
        <f>IF(AND($AS$39="Early Payoff",J152&gt;=$S$13),0,IF($J152&lt;=$S$6,SUM($R$20:$R152),0))</f>
        <v>0</v>
      </c>
      <c r="U152" s="885">
        <f t="shared" si="61"/>
        <v>0</v>
      </c>
      <c r="V152" s="1110">
        <f t="shared" si="56"/>
        <v>0</v>
      </c>
      <c r="X152" s="1102">
        <f t="shared" si="62"/>
        <v>0</v>
      </c>
      <c r="Y152" s="873">
        <f t="shared" si="63"/>
        <v>0</v>
      </c>
      <c r="Z152" s="873">
        <f t="shared" si="64"/>
        <v>0</v>
      </c>
      <c r="AA152" s="885">
        <f t="shared" si="65"/>
        <v>0</v>
      </c>
    </row>
    <row r="153" spans="2:27" s="278" customFormat="1" ht="12" customHeight="1" x14ac:dyDescent="0.25">
      <c r="B153" s="1192" t="e">
        <f t="shared" si="70"/>
        <v>#N/A</v>
      </c>
      <c r="C153" s="732">
        <f t="shared" si="57"/>
        <v>31</v>
      </c>
      <c r="D153" s="35">
        <f t="shared" si="58"/>
        <v>8</v>
      </c>
      <c r="E153" s="889">
        <f t="shared" si="73"/>
        <v>49918</v>
      </c>
      <c r="F153" s="822">
        <f t="shared" si="66"/>
        <v>8</v>
      </c>
      <c r="G153" s="500">
        <f t="shared" si="74"/>
        <v>31</v>
      </c>
      <c r="H153" s="126">
        <f t="shared" si="59"/>
        <v>0</v>
      </c>
      <c r="I153" s="1098">
        <f t="shared" si="75"/>
        <v>0</v>
      </c>
      <c r="J153" s="887">
        <f t="shared" si="71"/>
        <v>134</v>
      </c>
      <c r="K153" s="1099">
        <f t="shared" si="67"/>
        <v>134</v>
      </c>
      <c r="L153" s="891" t="str">
        <f t="shared" si="68"/>
        <v>August</v>
      </c>
      <c r="M153" s="888">
        <f t="shared" si="72"/>
        <v>2036</v>
      </c>
      <c r="N153" s="883">
        <f t="shared" si="69"/>
        <v>0</v>
      </c>
      <c r="O153" s="883">
        <f t="shared" ref="O153:O216" si="76">IF(AND($AS$39="Early Payoff",J153&gt;=$S$13),0,IF($J153&gt;$S$6,0,IF(AND($AR$29&gt;=0,$J153&lt;=$AR$29),0,IF(AND($AR$27&gt;=0,$J153&lt;=$AR$27),$R153,IF($K153=$T$7,SUM(R153,-N153),IF(AND($T$4="Annual",$AR$27&gt;=0,$AR$29&gt;=0,$J153&gt;$AR$27,$J153&gt;$AR$29),PMT($M$7,($S$6-$AR$27),$M$4),IF(AND($T$4="Bi-Annual",$AR$27&gt;=0,$AR$29&gt;=0,$J153&gt;$AR$27,$J153&gt;$AR$29),PMT($M$7/2,($S$6-($AR$27+1)),$M$4),IF(AND($T$4="Monthly",$AR$27&gt;=0,$AR$29&gt;=0,$J153&gt;$AR$27,$J153&gt;$AR$29),PMT($M$7/12,($S$6-$AR$27),$M$4)))))))))-P153</f>
        <v>0</v>
      </c>
      <c r="P153" s="1100"/>
      <c r="Q153" s="883">
        <f t="shared" si="60"/>
        <v>0</v>
      </c>
      <c r="R153" s="884">
        <f t="shared" si="55"/>
        <v>0</v>
      </c>
      <c r="S153" s="884">
        <f>IF(AND($AS$39="Early Payoff",J153&gt;=$S$13),0,IF($J153&lt;=$S$6,SUM($Q$20:$Q153),0))</f>
        <v>0</v>
      </c>
      <c r="T153" s="884">
        <f>IF(AND($AS$39="Early Payoff",J153&gt;=$S$13),0,IF($J153&lt;=$S$6,SUM($R$20:$R153),0))</f>
        <v>0</v>
      </c>
      <c r="U153" s="885">
        <f t="shared" si="61"/>
        <v>0</v>
      </c>
      <c r="V153" s="1110">
        <f t="shared" si="56"/>
        <v>0</v>
      </c>
      <c r="X153" s="1102">
        <f t="shared" si="62"/>
        <v>0</v>
      </c>
      <c r="Y153" s="873">
        <f t="shared" si="63"/>
        <v>0</v>
      </c>
      <c r="Z153" s="873">
        <f t="shared" si="64"/>
        <v>0</v>
      </c>
      <c r="AA153" s="885">
        <f t="shared" si="65"/>
        <v>0</v>
      </c>
    </row>
    <row r="154" spans="2:27" s="278" customFormat="1" ht="12" customHeight="1" x14ac:dyDescent="0.25">
      <c r="B154" s="1192" t="e">
        <f t="shared" si="70"/>
        <v>#N/A</v>
      </c>
      <c r="C154" s="732">
        <f t="shared" si="57"/>
        <v>30</v>
      </c>
      <c r="D154" s="35">
        <f t="shared" si="58"/>
        <v>9</v>
      </c>
      <c r="E154" s="889">
        <f t="shared" si="73"/>
        <v>49948</v>
      </c>
      <c r="F154" s="822">
        <f t="shared" si="66"/>
        <v>9</v>
      </c>
      <c r="G154" s="500">
        <f t="shared" si="74"/>
        <v>30</v>
      </c>
      <c r="H154" s="126">
        <f t="shared" si="59"/>
        <v>0</v>
      </c>
      <c r="I154" s="1098">
        <f t="shared" si="75"/>
        <v>0</v>
      </c>
      <c r="J154" s="887">
        <f t="shared" si="71"/>
        <v>135</v>
      </c>
      <c r="K154" s="1099">
        <f t="shared" si="67"/>
        <v>135</v>
      </c>
      <c r="L154" s="891" t="str">
        <f t="shared" si="68"/>
        <v>September</v>
      </c>
      <c r="M154" s="888">
        <f t="shared" si="72"/>
        <v>2036</v>
      </c>
      <c r="N154" s="883">
        <f t="shared" si="69"/>
        <v>0</v>
      </c>
      <c r="O154" s="883">
        <f t="shared" si="76"/>
        <v>0</v>
      </c>
      <c r="P154" s="1100"/>
      <c r="Q154" s="883">
        <f t="shared" si="60"/>
        <v>0</v>
      </c>
      <c r="R154" s="884">
        <f t="shared" si="55"/>
        <v>0</v>
      </c>
      <c r="S154" s="884">
        <f>IF(AND($AS$39="Early Payoff",J154&gt;=$S$13),0,IF($J154&lt;=$S$6,SUM($Q$20:$Q154),0))</f>
        <v>0</v>
      </c>
      <c r="T154" s="884">
        <f>IF(AND($AS$39="Early Payoff",J154&gt;=$S$13),0,IF($J154&lt;=$S$6,SUM($R$20:$R154),0))</f>
        <v>0</v>
      </c>
      <c r="U154" s="885">
        <f t="shared" si="61"/>
        <v>0</v>
      </c>
      <c r="V154" s="1110">
        <f t="shared" si="56"/>
        <v>0</v>
      </c>
      <c r="X154" s="1102">
        <f t="shared" si="62"/>
        <v>0</v>
      </c>
      <c r="Y154" s="873">
        <f t="shared" si="63"/>
        <v>0</v>
      </c>
      <c r="Z154" s="873">
        <f t="shared" si="64"/>
        <v>0</v>
      </c>
      <c r="AA154" s="885">
        <f t="shared" si="65"/>
        <v>0</v>
      </c>
    </row>
    <row r="155" spans="2:27" s="278" customFormat="1" ht="12" customHeight="1" x14ac:dyDescent="0.25">
      <c r="B155" s="1192" t="e">
        <f t="shared" si="70"/>
        <v>#N/A</v>
      </c>
      <c r="C155" s="732">
        <f t="shared" si="57"/>
        <v>31</v>
      </c>
      <c r="D155" s="35">
        <f t="shared" si="58"/>
        <v>10</v>
      </c>
      <c r="E155" s="889">
        <f t="shared" si="73"/>
        <v>49979</v>
      </c>
      <c r="F155" s="822">
        <f t="shared" si="66"/>
        <v>10</v>
      </c>
      <c r="G155" s="500">
        <f t="shared" si="74"/>
        <v>31</v>
      </c>
      <c r="H155" s="126">
        <f t="shared" si="59"/>
        <v>0</v>
      </c>
      <c r="I155" s="1098">
        <f t="shared" si="75"/>
        <v>0</v>
      </c>
      <c r="J155" s="887">
        <f t="shared" si="71"/>
        <v>136</v>
      </c>
      <c r="K155" s="1099">
        <f t="shared" si="67"/>
        <v>136</v>
      </c>
      <c r="L155" s="891" t="str">
        <f t="shared" si="68"/>
        <v>October</v>
      </c>
      <c r="M155" s="888">
        <f t="shared" si="72"/>
        <v>2036</v>
      </c>
      <c r="N155" s="883">
        <f t="shared" si="69"/>
        <v>0</v>
      </c>
      <c r="O155" s="883">
        <f t="shared" si="76"/>
        <v>0</v>
      </c>
      <c r="P155" s="1100"/>
      <c r="Q155" s="883">
        <f t="shared" si="60"/>
        <v>0</v>
      </c>
      <c r="R155" s="884">
        <f t="shared" si="55"/>
        <v>0</v>
      </c>
      <c r="S155" s="884">
        <f>IF(AND($AS$39="Early Payoff",J155&gt;=$S$13),0,IF($J155&lt;=$S$6,SUM($Q$20:$Q155),0))</f>
        <v>0</v>
      </c>
      <c r="T155" s="884">
        <f>IF(AND($AS$39="Early Payoff",J155&gt;=$S$13),0,IF($J155&lt;=$S$6,SUM($R$20:$R155),0))</f>
        <v>0</v>
      </c>
      <c r="U155" s="885">
        <f t="shared" si="61"/>
        <v>0</v>
      </c>
      <c r="V155" s="1110">
        <f t="shared" si="56"/>
        <v>0</v>
      </c>
      <c r="X155" s="1102">
        <f t="shared" si="62"/>
        <v>0</v>
      </c>
      <c r="Y155" s="873">
        <f t="shared" si="63"/>
        <v>0</v>
      </c>
      <c r="Z155" s="873">
        <f t="shared" si="64"/>
        <v>0</v>
      </c>
      <c r="AA155" s="885">
        <f t="shared" si="65"/>
        <v>0</v>
      </c>
    </row>
    <row r="156" spans="2:27" s="278" customFormat="1" ht="12" customHeight="1" x14ac:dyDescent="0.25">
      <c r="B156" s="1192" t="e">
        <f t="shared" si="70"/>
        <v>#N/A</v>
      </c>
      <c r="C156" s="732">
        <f t="shared" si="57"/>
        <v>30</v>
      </c>
      <c r="D156" s="35">
        <f t="shared" si="58"/>
        <v>11</v>
      </c>
      <c r="E156" s="889">
        <f t="shared" si="73"/>
        <v>50009</v>
      </c>
      <c r="F156" s="822">
        <f t="shared" si="66"/>
        <v>11</v>
      </c>
      <c r="G156" s="500">
        <f t="shared" si="74"/>
        <v>30</v>
      </c>
      <c r="H156" s="126">
        <f t="shared" si="59"/>
        <v>0</v>
      </c>
      <c r="I156" s="1098">
        <f t="shared" si="75"/>
        <v>0</v>
      </c>
      <c r="J156" s="887">
        <f t="shared" si="71"/>
        <v>137</v>
      </c>
      <c r="K156" s="1099">
        <f t="shared" si="67"/>
        <v>137</v>
      </c>
      <c r="L156" s="891" t="str">
        <f t="shared" si="68"/>
        <v>November</v>
      </c>
      <c r="M156" s="888">
        <f t="shared" si="72"/>
        <v>2036</v>
      </c>
      <c r="N156" s="883">
        <f t="shared" si="69"/>
        <v>0</v>
      </c>
      <c r="O156" s="883">
        <f t="shared" si="76"/>
        <v>0</v>
      </c>
      <c r="P156" s="1100"/>
      <c r="Q156" s="883">
        <f t="shared" si="60"/>
        <v>0</v>
      </c>
      <c r="R156" s="884">
        <f t="shared" si="55"/>
        <v>0</v>
      </c>
      <c r="S156" s="884">
        <f>IF(AND($AS$39="Early Payoff",J156&gt;=$S$13),0,IF($J156&lt;=$S$6,SUM($Q$20:$Q156),0))</f>
        <v>0</v>
      </c>
      <c r="T156" s="884">
        <f>IF(AND($AS$39="Early Payoff",J156&gt;=$S$13),0,IF($J156&lt;=$S$6,SUM($R$20:$R156),0))</f>
        <v>0</v>
      </c>
      <c r="U156" s="885">
        <f t="shared" si="61"/>
        <v>0</v>
      </c>
      <c r="V156" s="1110">
        <f t="shared" si="56"/>
        <v>0</v>
      </c>
      <c r="X156" s="1102">
        <f t="shared" si="62"/>
        <v>0</v>
      </c>
      <c r="Y156" s="873">
        <f t="shared" si="63"/>
        <v>0</v>
      </c>
      <c r="Z156" s="873">
        <f t="shared" si="64"/>
        <v>0</v>
      </c>
      <c r="AA156" s="885">
        <f t="shared" si="65"/>
        <v>0</v>
      </c>
    </row>
    <row r="157" spans="2:27" s="278" customFormat="1" ht="12" customHeight="1" x14ac:dyDescent="0.25">
      <c r="B157" s="1192" t="e">
        <f t="shared" si="70"/>
        <v>#N/A</v>
      </c>
      <c r="C157" s="732">
        <f t="shared" si="57"/>
        <v>31</v>
      </c>
      <c r="D157" s="35">
        <f t="shared" si="58"/>
        <v>12</v>
      </c>
      <c r="E157" s="889">
        <f t="shared" si="73"/>
        <v>50040</v>
      </c>
      <c r="F157" s="822">
        <f t="shared" si="66"/>
        <v>12</v>
      </c>
      <c r="G157" s="500">
        <f t="shared" si="74"/>
        <v>31</v>
      </c>
      <c r="H157" s="126">
        <f t="shared" si="59"/>
        <v>1</v>
      </c>
      <c r="I157" s="1098">
        <f t="shared" si="75"/>
        <v>0</v>
      </c>
      <c r="J157" s="887">
        <f t="shared" si="71"/>
        <v>138</v>
      </c>
      <c r="K157" s="1099">
        <f t="shared" si="67"/>
        <v>138</v>
      </c>
      <c r="L157" s="891" t="str">
        <f t="shared" si="68"/>
        <v>December</v>
      </c>
      <c r="M157" s="888">
        <f t="shared" si="72"/>
        <v>2036</v>
      </c>
      <c r="N157" s="883">
        <f t="shared" si="69"/>
        <v>0</v>
      </c>
      <c r="O157" s="883">
        <f t="shared" si="76"/>
        <v>0</v>
      </c>
      <c r="P157" s="1100"/>
      <c r="Q157" s="883">
        <f t="shared" si="60"/>
        <v>0</v>
      </c>
      <c r="R157" s="884">
        <f t="shared" si="55"/>
        <v>0</v>
      </c>
      <c r="S157" s="884">
        <f>IF(AND($AS$39="Early Payoff",J157&gt;=$S$13),0,IF($J157&lt;=$S$6,SUM($Q$20:$Q157),0))</f>
        <v>0</v>
      </c>
      <c r="T157" s="884">
        <f>IF(AND($AS$39="Early Payoff",J157&gt;=$S$13),0,IF($J157&lt;=$S$6,SUM($R$20:$R157),0))</f>
        <v>0</v>
      </c>
      <c r="U157" s="885">
        <f t="shared" si="61"/>
        <v>0</v>
      </c>
      <c r="V157" s="1110">
        <f t="shared" si="56"/>
        <v>0</v>
      </c>
      <c r="X157" s="1102">
        <f t="shared" si="62"/>
        <v>0</v>
      </c>
      <c r="Y157" s="873">
        <f t="shared" si="63"/>
        <v>0</v>
      </c>
      <c r="Z157" s="873">
        <f t="shared" si="64"/>
        <v>0</v>
      </c>
      <c r="AA157" s="885">
        <f t="shared" si="65"/>
        <v>0</v>
      </c>
    </row>
    <row r="158" spans="2:27" s="278" customFormat="1" ht="12" customHeight="1" x14ac:dyDescent="0.25">
      <c r="B158" s="1192" t="e">
        <f t="shared" si="70"/>
        <v>#N/A</v>
      </c>
      <c r="C158" s="732">
        <f t="shared" si="57"/>
        <v>31</v>
      </c>
      <c r="D158" s="35">
        <f t="shared" si="58"/>
        <v>1</v>
      </c>
      <c r="E158" s="889">
        <f t="shared" si="73"/>
        <v>50071</v>
      </c>
      <c r="F158" s="822">
        <f t="shared" si="66"/>
        <v>1</v>
      </c>
      <c r="G158" s="500">
        <f t="shared" si="74"/>
        <v>31</v>
      </c>
      <c r="H158" s="126">
        <f t="shared" si="59"/>
        <v>0</v>
      </c>
      <c r="I158" s="1098">
        <f t="shared" si="75"/>
        <v>0</v>
      </c>
      <c r="J158" s="887">
        <f t="shared" si="71"/>
        <v>139</v>
      </c>
      <c r="K158" s="1099">
        <f t="shared" si="67"/>
        <v>139</v>
      </c>
      <c r="L158" s="891" t="str">
        <f t="shared" si="68"/>
        <v>January</v>
      </c>
      <c r="M158" s="888">
        <f t="shared" si="72"/>
        <v>2037</v>
      </c>
      <c r="N158" s="883">
        <f t="shared" si="69"/>
        <v>0</v>
      </c>
      <c r="O158" s="883">
        <f t="shared" si="76"/>
        <v>0</v>
      </c>
      <c r="P158" s="1100"/>
      <c r="Q158" s="883">
        <f t="shared" si="60"/>
        <v>0</v>
      </c>
      <c r="R158" s="884">
        <f t="shared" si="55"/>
        <v>0</v>
      </c>
      <c r="S158" s="884">
        <f>IF(AND($AS$39="Early Payoff",J158&gt;=$S$13),0,IF($J158&lt;=$S$6,SUM($Q$20:$Q158),0))</f>
        <v>0</v>
      </c>
      <c r="T158" s="884">
        <f>IF(AND($AS$39="Early Payoff",J158&gt;=$S$13),0,IF($J158&lt;=$S$6,SUM($R$20:$R158),0))</f>
        <v>0</v>
      </c>
      <c r="U158" s="885">
        <f t="shared" si="61"/>
        <v>0</v>
      </c>
      <c r="V158" s="1110">
        <f t="shared" si="56"/>
        <v>0</v>
      </c>
      <c r="X158" s="1102">
        <f t="shared" si="62"/>
        <v>0</v>
      </c>
      <c r="Y158" s="873">
        <f t="shared" si="63"/>
        <v>0</v>
      </c>
      <c r="Z158" s="873">
        <f t="shared" si="64"/>
        <v>0</v>
      </c>
      <c r="AA158" s="885">
        <f t="shared" si="65"/>
        <v>0</v>
      </c>
    </row>
    <row r="159" spans="2:27" s="278" customFormat="1" ht="12" customHeight="1" x14ac:dyDescent="0.25">
      <c r="B159" s="1192" t="e">
        <f t="shared" si="70"/>
        <v>#N/A</v>
      </c>
      <c r="C159" s="732">
        <f t="shared" si="57"/>
        <v>28</v>
      </c>
      <c r="D159" s="35">
        <f t="shared" si="58"/>
        <v>2</v>
      </c>
      <c r="E159" s="889">
        <f t="shared" si="73"/>
        <v>50099</v>
      </c>
      <c r="F159" s="822">
        <f t="shared" si="66"/>
        <v>2</v>
      </c>
      <c r="G159" s="500">
        <f t="shared" si="74"/>
        <v>28</v>
      </c>
      <c r="H159" s="126">
        <f t="shared" si="59"/>
        <v>0</v>
      </c>
      <c r="I159" s="1098">
        <f t="shared" si="75"/>
        <v>0</v>
      </c>
      <c r="J159" s="887">
        <f t="shared" si="71"/>
        <v>140</v>
      </c>
      <c r="K159" s="1099">
        <f t="shared" si="67"/>
        <v>140</v>
      </c>
      <c r="L159" s="891" t="str">
        <f t="shared" si="68"/>
        <v>February</v>
      </c>
      <c r="M159" s="888">
        <f t="shared" si="72"/>
        <v>2037</v>
      </c>
      <c r="N159" s="883">
        <f t="shared" si="69"/>
        <v>0</v>
      </c>
      <c r="O159" s="883">
        <f t="shared" si="76"/>
        <v>0</v>
      </c>
      <c r="P159" s="1100"/>
      <c r="Q159" s="883">
        <f t="shared" si="60"/>
        <v>0</v>
      </c>
      <c r="R159" s="884">
        <f t="shared" si="55"/>
        <v>0</v>
      </c>
      <c r="S159" s="884">
        <f>IF(AND($AS$39="Early Payoff",J159&gt;=$S$13),0,IF($J159&lt;=$S$6,SUM($Q$20:$Q159),0))</f>
        <v>0</v>
      </c>
      <c r="T159" s="884">
        <f>IF(AND($AS$39="Early Payoff",J159&gt;=$S$13),0,IF($J159&lt;=$S$6,SUM($R$20:$R159),0))</f>
        <v>0</v>
      </c>
      <c r="U159" s="885">
        <f t="shared" si="61"/>
        <v>0</v>
      </c>
      <c r="V159" s="1110">
        <f t="shared" si="56"/>
        <v>0</v>
      </c>
      <c r="X159" s="1102">
        <f t="shared" si="62"/>
        <v>0</v>
      </c>
      <c r="Y159" s="873">
        <f t="shared" si="63"/>
        <v>0</v>
      </c>
      <c r="Z159" s="873">
        <f t="shared" si="64"/>
        <v>0</v>
      </c>
      <c r="AA159" s="885">
        <f t="shared" si="65"/>
        <v>0</v>
      </c>
    </row>
    <row r="160" spans="2:27" s="278" customFormat="1" ht="12" customHeight="1" x14ac:dyDescent="0.25">
      <c r="B160" s="1192" t="e">
        <f t="shared" si="70"/>
        <v>#N/A</v>
      </c>
      <c r="C160" s="732">
        <f t="shared" si="57"/>
        <v>31</v>
      </c>
      <c r="D160" s="35">
        <f t="shared" si="58"/>
        <v>3</v>
      </c>
      <c r="E160" s="889">
        <f t="shared" si="73"/>
        <v>50130</v>
      </c>
      <c r="F160" s="822">
        <f t="shared" si="66"/>
        <v>3</v>
      </c>
      <c r="G160" s="500">
        <f t="shared" si="74"/>
        <v>31</v>
      </c>
      <c r="H160" s="126">
        <f t="shared" si="59"/>
        <v>0</v>
      </c>
      <c r="I160" s="1098">
        <f t="shared" si="75"/>
        <v>0</v>
      </c>
      <c r="J160" s="887">
        <f t="shared" si="71"/>
        <v>141</v>
      </c>
      <c r="K160" s="1099">
        <f t="shared" si="67"/>
        <v>141</v>
      </c>
      <c r="L160" s="891" t="str">
        <f t="shared" si="68"/>
        <v>March</v>
      </c>
      <c r="M160" s="888">
        <f t="shared" si="72"/>
        <v>2037</v>
      </c>
      <c r="N160" s="883">
        <f t="shared" si="69"/>
        <v>0</v>
      </c>
      <c r="O160" s="883">
        <f t="shared" si="76"/>
        <v>0</v>
      </c>
      <c r="P160" s="1100"/>
      <c r="Q160" s="883">
        <f t="shared" si="60"/>
        <v>0</v>
      </c>
      <c r="R160" s="884">
        <f t="shared" si="55"/>
        <v>0</v>
      </c>
      <c r="S160" s="884">
        <f>IF(AND($AS$39="Early Payoff",J160&gt;=$S$13),0,IF($J160&lt;=$S$6,SUM($Q$20:$Q160),0))</f>
        <v>0</v>
      </c>
      <c r="T160" s="884">
        <f>IF(AND($AS$39="Early Payoff",J160&gt;=$S$13),0,IF($J160&lt;=$S$6,SUM($R$20:$R160),0))</f>
        <v>0</v>
      </c>
      <c r="U160" s="885">
        <f t="shared" si="61"/>
        <v>0</v>
      </c>
      <c r="V160" s="1110">
        <f t="shared" si="56"/>
        <v>0</v>
      </c>
      <c r="X160" s="1102">
        <f t="shared" si="62"/>
        <v>0</v>
      </c>
      <c r="Y160" s="873">
        <f t="shared" si="63"/>
        <v>0</v>
      </c>
      <c r="Z160" s="873">
        <f t="shared" si="64"/>
        <v>0</v>
      </c>
      <c r="AA160" s="885">
        <f t="shared" si="65"/>
        <v>0</v>
      </c>
    </row>
    <row r="161" spans="2:27" s="278" customFormat="1" ht="12" customHeight="1" x14ac:dyDescent="0.25">
      <c r="B161" s="1192" t="e">
        <f t="shared" si="70"/>
        <v>#N/A</v>
      </c>
      <c r="C161" s="732">
        <f t="shared" si="57"/>
        <v>30</v>
      </c>
      <c r="D161" s="35">
        <f t="shared" si="58"/>
        <v>4</v>
      </c>
      <c r="E161" s="889">
        <f t="shared" si="73"/>
        <v>50160</v>
      </c>
      <c r="F161" s="822">
        <f t="shared" si="66"/>
        <v>4</v>
      </c>
      <c r="G161" s="500">
        <f t="shared" si="74"/>
        <v>30</v>
      </c>
      <c r="H161" s="126">
        <f t="shared" si="59"/>
        <v>0</v>
      </c>
      <c r="I161" s="1098">
        <f t="shared" si="75"/>
        <v>0</v>
      </c>
      <c r="J161" s="887">
        <f t="shared" si="71"/>
        <v>142</v>
      </c>
      <c r="K161" s="1099">
        <f t="shared" si="67"/>
        <v>142</v>
      </c>
      <c r="L161" s="891" t="str">
        <f t="shared" si="68"/>
        <v>April</v>
      </c>
      <c r="M161" s="888">
        <f t="shared" si="72"/>
        <v>2037</v>
      </c>
      <c r="N161" s="883">
        <f t="shared" si="69"/>
        <v>0</v>
      </c>
      <c r="O161" s="883">
        <f t="shared" si="76"/>
        <v>0</v>
      </c>
      <c r="P161" s="1100"/>
      <c r="Q161" s="883">
        <f t="shared" si="60"/>
        <v>0</v>
      </c>
      <c r="R161" s="884">
        <f t="shared" si="55"/>
        <v>0</v>
      </c>
      <c r="S161" s="884">
        <f>IF(AND($AS$39="Early Payoff",J161&gt;=$S$13),0,IF($J161&lt;=$S$6,SUM($Q$20:$Q161),0))</f>
        <v>0</v>
      </c>
      <c r="T161" s="884">
        <f>IF(AND($AS$39="Early Payoff",J161&gt;=$S$13),0,IF($J161&lt;=$S$6,SUM($R$20:$R161),0))</f>
        <v>0</v>
      </c>
      <c r="U161" s="885">
        <f t="shared" si="61"/>
        <v>0</v>
      </c>
      <c r="V161" s="1110">
        <f t="shared" si="56"/>
        <v>0</v>
      </c>
      <c r="X161" s="1102">
        <f t="shared" si="62"/>
        <v>0</v>
      </c>
      <c r="Y161" s="873">
        <f t="shared" si="63"/>
        <v>0</v>
      </c>
      <c r="Z161" s="873">
        <f t="shared" si="64"/>
        <v>0</v>
      </c>
      <c r="AA161" s="885">
        <f t="shared" si="65"/>
        <v>0</v>
      </c>
    </row>
    <row r="162" spans="2:27" s="278" customFormat="1" ht="12" customHeight="1" x14ac:dyDescent="0.25">
      <c r="B162" s="1192" t="e">
        <f t="shared" si="70"/>
        <v>#N/A</v>
      </c>
      <c r="C162" s="732">
        <f t="shared" si="57"/>
        <v>31</v>
      </c>
      <c r="D162" s="35">
        <f t="shared" si="58"/>
        <v>5</v>
      </c>
      <c r="E162" s="889">
        <f t="shared" si="73"/>
        <v>50191</v>
      </c>
      <c r="F162" s="822">
        <f t="shared" si="66"/>
        <v>5</v>
      </c>
      <c r="G162" s="500">
        <f t="shared" si="74"/>
        <v>31</v>
      </c>
      <c r="H162" s="126">
        <f t="shared" si="59"/>
        <v>0</v>
      </c>
      <c r="I162" s="1098">
        <f t="shared" si="75"/>
        <v>0</v>
      </c>
      <c r="J162" s="887">
        <f t="shared" si="71"/>
        <v>143</v>
      </c>
      <c r="K162" s="1099">
        <f t="shared" si="67"/>
        <v>143</v>
      </c>
      <c r="L162" s="891" t="str">
        <f t="shared" si="68"/>
        <v>May</v>
      </c>
      <c r="M162" s="888">
        <f t="shared" si="72"/>
        <v>2037</v>
      </c>
      <c r="N162" s="883">
        <f t="shared" si="69"/>
        <v>0</v>
      </c>
      <c r="O162" s="883">
        <f t="shared" si="76"/>
        <v>0</v>
      </c>
      <c r="P162" s="1100"/>
      <c r="Q162" s="883">
        <f t="shared" si="60"/>
        <v>0</v>
      </c>
      <c r="R162" s="884">
        <f t="shared" si="55"/>
        <v>0</v>
      </c>
      <c r="S162" s="884">
        <f>IF(AND($AS$39="Early Payoff",J162&gt;=$S$13),0,IF($J162&lt;=$S$6,SUM($Q$20:$Q162),0))</f>
        <v>0</v>
      </c>
      <c r="T162" s="884">
        <f>IF(AND($AS$39="Early Payoff",J162&gt;=$S$13),0,IF($J162&lt;=$S$6,SUM($R$20:$R162),0))</f>
        <v>0</v>
      </c>
      <c r="U162" s="885">
        <f t="shared" si="61"/>
        <v>0</v>
      </c>
      <c r="V162" s="1110">
        <f t="shared" si="56"/>
        <v>0</v>
      </c>
      <c r="X162" s="1102">
        <f t="shared" si="62"/>
        <v>0</v>
      </c>
      <c r="Y162" s="873">
        <f t="shared" si="63"/>
        <v>0</v>
      </c>
      <c r="Z162" s="873">
        <f t="shared" si="64"/>
        <v>0</v>
      </c>
      <c r="AA162" s="885">
        <f t="shared" si="65"/>
        <v>0</v>
      </c>
    </row>
    <row r="163" spans="2:27" s="278" customFormat="1" ht="12" customHeight="1" x14ac:dyDescent="0.25">
      <c r="B163" s="1192" t="e">
        <f t="shared" si="70"/>
        <v>#N/A</v>
      </c>
      <c r="C163" s="732">
        <f t="shared" si="57"/>
        <v>30</v>
      </c>
      <c r="D163" s="35">
        <f t="shared" si="58"/>
        <v>6</v>
      </c>
      <c r="E163" s="889">
        <f t="shared" si="73"/>
        <v>50221</v>
      </c>
      <c r="F163" s="822">
        <f t="shared" si="66"/>
        <v>6</v>
      </c>
      <c r="G163" s="500">
        <f t="shared" si="74"/>
        <v>30</v>
      </c>
      <c r="H163" s="126">
        <f t="shared" si="59"/>
        <v>0</v>
      </c>
      <c r="I163" s="1098">
        <f t="shared" si="75"/>
        <v>0</v>
      </c>
      <c r="J163" s="887">
        <f t="shared" si="71"/>
        <v>144</v>
      </c>
      <c r="K163" s="1099">
        <f t="shared" si="67"/>
        <v>144</v>
      </c>
      <c r="L163" s="891" t="str">
        <f t="shared" si="68"/>
        <v>June</v>
      </c>
      <c r="M163" s="888">
        <f t="shared" si="72"/>
        <v>2037</v>
      </c>
      <c r="N163" s="883">
        <f t="shared" si="69"/>
        <v>0</v>
      </c>
      <c r="O163" s="883">
        <f t="shared" si="76"/>
        <v>0</v>
      </c>
      <c r="P163" s="1100"/>
      <c r="Q163" s="883">
        <f t="shared" si="60"/>
        <v>0</v>
      </c>
      <c r="R163" s="884">
        <f t="shared" si="55"/>
        <v>0</v>
      </c>
      <c r="S163" s="884">
        <f>IF(AND($AS$39="Early Payoff",J163&gt;=$S$13),0,IF($J163&lt;=$S$6,SUM($Q$20:$Q163),0))</f>
        <v>0</v>
      </c>
      <c r="T163" s="884">
        <f>IF(AND($AS$39="Early Payoff",J163&gt;=$S$13),0,IF($J163&lt;=$S$6,SUM($R$20:$R163),0))</f>
        <v>0</v>
      </c>
      <c r="U163" s="885">
        <f t="shared" si="61"/>
        <v>0</v>
      </c>
      <c r="V163" s="1110">
        <f t="shared" si="56"/>
        <v>0</v>
      </c>
      <c r="X163" s="1102">
        <f t="shared" si="62"/>
        <v>0</v>
      </c>
      <c r="Y163" s="873">
        <f t="shared" si="63"/>
        <v>0</v>
      </c>
      <c r="Z163" s="873">
        <f t="shared" si="64"/>
        <v>0</v>
      </c>
      <c r="AA163" s="885">
        <f t="shared" si="65"/>
        <v>0</v>
      </c>
    </row>
    <row r="164" spans="2:27" s="278" customFormat="1" ht="12" customHeight="1" x14ac:dyDescent="0.25">
      <c r="B164" s="1192" t="e">
        <f t="shared" si="70"/>
        <v>#N/A</v>
      </c>
      <c r="C164" s="732">
        <f t="shared" si="57"/>
        <v>31</v>
      </c>
      <c r="D164" s="35">
        <f t="shared" si="58"/>
        <v>7</v>
      </c>
      <c r="E164" s="889">
        <f t="shared" si="73"/>
        <v>50252</v>
      </c>
      <c r="F164" s="822">
        <f t="shared" si="66"/>
        <v>7</v>
      </c>
      <c r="G164" s="500">
        <f t="shared" si="74"/>
        <v>31</v>
      </c>
      <c r="H164" s="126">
        <f t="shared" si="59"/>
        <v>0</v>
      </c>
      <c r="I164" s="1098">
        <f t="shared" si="75"/>
        <v>0</v>
      </c>
      <c r="J164" s="887">
        <f t="shared" si="71"/>
        <v>145</v>
      </c>
      <c r="K164" s="1099">
        <f t="shared" si="67"/>
        <v>145</v>
      </c>
      <c r="L164" s="891" t="str">
        <f t="shared" si="68"/>
        <v>July</v>
      </c>
      <c r="M164" s="888">
        <f t="shared" si="72"/>
        <v>2037</v>
      </c>
      <c r="N164" s="883">
        <f t="shared" si="69"/>
        <v>0</v>
      </c>
      <c r="O164" s="883">
        <f t="shared" si="76"/>
        <v>0</v>
      </c>
      <c r="P164" s="1100"/>
      <c r="Q164" s="883">
        <f t="shared" si="60"/>
        <v>0</v>
      </c>
      <c r="R164" s="884">
        <f t="shared" si="55"/>
        <v>0</v>
      </c>
      <c r="S164" s="884">
        <f>IF(AND($AS$39="Early Payoff",J164&gt;=$S$13),0,IF($J164&lt;=$S$6,SUM($Q$20:$Q164),0))</f>
        <v>0</v>
      </c>
      <c r="T164" s="884">
        <f>IF(AND($AS$39="Early Payoff",J164&gt;=$S$13),0,IF($J164&lt;=$S$6,SUM($R$20:$R164),0))</f>
        <v>0</v>
      </c>
      <c r="U164" s="885">
        <f t="shared" si="61"/>
        <v>0</v>
      </c>
      <c r="V164" s="1110">
        <f t="shared" si="56"/>
        <v>0</v>
      </c>
      <c r="X164" s="1102">
        <f t="shared" si="62"/>
        <v>0</v>
      </c>
      <c r="Y164" s="873">
        <f t="shared" si="63"/>
        <v>0</v>
      </c>
      <c r="Z164" s="873">
        <f t="shared" si="64"/>
        <v>0</v>
      </c>
      <c r="AA164" s="885">
        <f t="shared" si="65"/>
        <v>0</v>
      </c>
    </row>
    <row r="165" spans="2:27" s="278" customFormat="1" ht="12" customHeight="1" x14ac:dyDescent="0.25">
      <c r="B165" s="1192" t="e">
        <f t="shared" si="70"/>
        <v>#N/A</v>
      </c>
      <c r="C165" s="732">
        <f t="shared" si="57"/>
        <v>31</v>
      </c>
      <c r="D165" s="35">
        <f t="shared" si="58"/>
        <v>8</v>
      </c>
      <c r="E165" s="889">
        <f t="shared" si="73"/>
        <v>50283</v>
      </c>
      <c r="F165" s="822">
        <f t="shared" si="66"/>
        <v>8</v>
      </c>
      <c r="G165" s="500">
        <f t="shared" si="74"/>
        <v>31</v>
      </c>
      <c r="H165" s="126">
        <f t="shared" si="59"/>
        <v>0</v>
      </c>
      <c r="I165" s="1098">
        <f t="shared" si="75"/>
        <v>0</v>
      </c>
      <c r="J165" s="887">
        <f t="shared" si="71"/>
        <v>146</v>
      </c>
      <c r="K165" s="1099">
        <f t="shared" si="67"/>
        <v>146</v>
      </c>
      <c r="L165" s="891" t="str">
        <f t="shared" si="68"/>
        <v>August</v>
      </c>
      <c r="M165" s="888">
        <f t="shared" si="72"/>
        <v>2037</v>
      </c>
      <c r="N165" s="883">
        <f t="shared" si="69"/>
        <v>0</v>
      </c>
      <c r="O165" s="883">
        <f t="shared" si="76"/>
        <v>0</v>
      </c>
      <c r="P165" s="1100"/>
      <c r="Q165" s="883">
        <f t="shared" si="60"/>
        <v>0</v>
      </c>
      <c r="R165" s="884">
        <f t="shared" si="55"/>
        <v>0</v>
      </c>
      <c r="S165" s="884">
        <f>IF(AND($AS$39="Early Payoff",J165&gt;=$S$13),0,IF($J165&lt;=$S$6,SUM($Q$20:$Q165),0))</f>
        <v>0</v>
      </c>
      <c r="T165" s="884">
        <f>IF(AND($AS$39="Early Payoff",J165&gt;=$S$13),0,IF($J165&lt;=$S$6,SUM($R$20:$R165),0))</f>
        <v>0</v>
      </c>
      <c r="U165" s="885">
        <f t="shared" si="61"/>
        <v>0</v>
      </c>
      <c r="V165" s="1110">
        <f t="shared" si="56"/>
        <v>0</v>
      </c>
      <c r="X165" s="1102">
        <f t="shared" si="62"/>
        <v>0</v>
      </c>
      <c r="Y165" s="873">
        <f t="shared" si="63"/>
        <v>0</v>
      </c>
      <c r="Z165" s="873">
        <f t="shared" si="64"/>
        <v>0</v>
      </c>
      <c r="AA165" s="885">
        <f t="shared" si="65"/>
        <v>0</v>
      </c>
    </row>
    <row r="166" spans="2:27" s="278" customFormat="1" ht="12" customHeight="1" x14ac:dyDescent="0.25">
      <c r="B166" s="1192" t="e">
        <f t="shared" si="70"/>
        <v>#N/A</v>
      </c>
      <c r="C166" s="732">
        <f t="shared" si="57"/>
        <v>30</v>
      </c>
      <c r="D166" s="35">
        <f t="shared" si="58"/>
        <v>9</v>
      </c>
      <c r="E166" s="889">
        <f t="shared" si="73"/>
        <v>50313</v>
      </c>
      <c r="F166" s="822">
        <f t="shared" si="66"/>
        <v>9</v>
      </c>
      <c r="G166" s="500">
        <f t="shared" si="74"/>
        <v>30</v>
      </c>
      <c r="H166" s="126">
        <f t="shared" si="59"/>
        <v>0</v>
      </c>
      <c r="I166" s="1098">
        <f t="shared" si="75"/>
        <v>0</v>
      </c>
      <c r="J166" s="887">
        <f t="shared" si="71"/>
        <v>147</v>
      </c>
      <c r="K166" s="1099">
        <f t="shared" si="67"/>
        <v>147</v>
      </c>
      <c r="L166" s="891" t="str">
        <f t="shared" si="68"/>
        <v>September</v>
      </c>
      <c r="M166" s="888">
        <f t="shared" si="72"/>
        <v>2037</v>
      </c>
      <c r="N166" s="883">
        <f t="shared" si="69"/>
        <v>0</v>
      </c>
      <c r="O166" s="883">
        <f t="shared" si="76"/>
        <v>0</v>
      </c>
      <c r="P166" s="1100"/>
      <c r="Q166" s="883">
        <f t="shared" si="60"/>
        <v>0</v>
      </c>
      <c r="R166" s="884">
        <f t="shared" si="55"/>
        <v>0</v>
      </c>
      <c r="S166" s="884">
        <f>IF(AND($AS$39="Early Payoff",J166&gt;=$S$13),0,IF($J166&lt;=$S$6,SUM($Q$20:$Q166),0))</f>
        <v>0</v>
      </c>
      <c r="T166" s="884">
        <f>IF(AND($AS$39="Early Payoff",J166&gt;=$S$13),0,IF($J166&lt;=$S$6,SUM($R$20:$R166),0))</f>
        <v>0</v>
      </c>
      <c r="U166" s="885">
        <f t="shared" si="61"/>
        <v>0</v>
      </c>
      <c r="V166" s="1110">
        <f t="shared" si="56"/>
        <v>0</v>
      </c>
      <c r="X166" s="1102">
        <f t="shared" si="62"/>
        <v>0</v>
      </c>
      <c r="Y166" s="873">
        <f t="shared" si="63"/>
        <v>0</v>
      </c>
      <c r="Z166" s="873">
        <f t="shared" si="64"/>
        <v>0</v>
      </c>
      <c r="AA166" s="885">
        <f t="shared" si="65"/>
        <v>0</v>
      </c>
    </row>
    <row r="167" spans="2:27" s="278" customFormat="1" ht="12" customHeight="1" x14ac:dyDescent="0.25">
      <c r="B167" s="1192" t="e">
        <f t="shared" si="70"/>
        <v>#N/A</v>
      </c>
      <c r="C167" s="732">
        <f t="shared" si="57"/>
        <v>31</v>
      </c>
      <c r="D167" s="35">
        <f t="shared" si="58"/>
        <v>10</v>
      </c>
      <c r="E167" s="889">
        <f t="shared" si="73"/>
        <v>50344</v>
      </c>
      <c r="F167" s="822">
        <f t="shared" si="66"/>
        <v>10</v>
      </c>
      <c r="G167" s="500">
        <f t="shared" si="74"/>
        <v>31</v>
      </c>
      <c r="H167" s="126">
        <f t="shared" si="59"/>
        <v>0</v>
      </c>
      <c r="I167" s="1098">
        <f t="shared" si="75"/>
        <v>0</v>
      </c>
      <c r="J167" s="887">
        <f t="shared" si="71"/>
        <v>148</v>
      </c>
      <c r="K167" s="1099">
        <f t="shared" si="67"/>
        <v>148</v>
      </c>
      <c r="L167" s="891" t="str">
        <f t="shared" si="68"/>
        <v>October</v>
      </c>
      <c r="M167" s="888">
        <f t="shared" si="72"/>
        <v>2037</v>
      </c>
      <c r="N167" s="883">
        <f t="shared" si="69"/>
        <v>0</v>
      </c>
      <c r="O167" s="883">
        <f t="shared" si="76"/>
        <v>0</v>
      </c>
      <c r="P167" s="1100"/>
      <c r="Q167" s="883">
        <f t="shared" si="60"/>
        <v>0</v>
      </c>
      <c r="R167" s="884">
        <f t="shared" si="55"/>
        <v>0</v>
      </c>
      <c r="S167" s="884">
        <f>IF(AND($AS$39="Early Payoff",J167&gt;=$S$13),0,IF($J167&lt;=$S$6,SUM($Q$20:$Q167),0))</f>
        <v>0</v>
      </c>
      <c r="T167" s="884">
        <f>IF(AND($AS$39="Early Payoff",J167&gt;=$S$13),0,IF($J167&lt;=$S$6,SUM($R$20:$R167),0))</f>
        <v>0</v>
      </c>
      <c r="U167" s="885">
        <f t="shared" si="61"/>
        <v>0</v>
      </c>
      <c r="V167" s="1110">
        <f t="shared" si="56"/>
        <v>0</v>
      </c>
      <c r="X167" s="1102">
        <f t="shared" si="62"/>
        <v>0</v>
      </c>
      <c r="Y167" s="873">
        <f t="shared" si="63"/>
        <v>0</v>
      </c>
      <c r="Z167" s="873">
        <f t="shared" si="64"/>
        <v>0</v>
      </c>
      <c r="AA167" s="885">
        <f t="shared" si="65"/>
        <v>0</v>
      </c>
    </row>
    <row r="168" spans="2:27" s="278" customFormat="1" ht="12" customHeight="1" x14ac:dyDescent="0.25">
      <c r="B168" s="1192" t="e">
        <f t="shared" si="70"/>
        <v>#N/A</v>
      </c>
      <c r="C168" s="732">
        <f t="shared" si="57"/>
        <v>30</v>
      </c>
      <c r="D168" s="35">
        <f t="shared" si="58"/>
        <v>11</v>
      </c>
      <c r="E168" s="889">
        <f t="shared" si="73"/>
        <v>50374</v>
      </c>
      <c r="F168" s="822">
        <f t="shared" si="66"/>
        <v>11</v>
      </c>
      <c r="G168" s="500">
        <f t="shared" si="74"/>
        <v>30</v>
      </c>
      <c r="H168" s="126">
        <f t="shared" si="59"/>
        <v>0</v>
      </c>
      <c r="I168" s="1098">
        <f t="shared" si="75"/>
        <v>0</v>
      </c>
      <c r="J168" s="887">
        <f t="shared" si="71"/>
        <v>149</v>
      </c>
      <c r="K168" s="1099">
        <f t="shared" si="67"/>
        <v>149</v>
      </c>
      <c r="L168" s="891" t="str">
        <f t="shared" si="68"/>
        <v>November</v>
      </c>
      <c r="M168" s="888">
        <f t="shared" si="72"/>
        <v>2037</v>
      </c>
      <c r="N168" s="883">
        <f t="shared" si="69"/>
        <v>0</v>
      </c>
      <c r="O168" s="883">
        <f t="shared" si="76"/>
        <v>0</v>
      </c>
      <c r="P168" s="1100"/>
      <c r="Q168" s="883">
        <f t="shared" si="60"/>
        <v>0</v>
      </c>
      <c r="R168" s="884">
        <f t="shared" si="55"/>
        <v>0</v>
      </c>
      <c r="S168" s="884">
        <f>IF(AND($AS$39="Early Payoff",J168&gt;=$S$13),0,IF($J168&lt;=$S$6,SUM($Q$20:$Q168),0))</f>
        <v>0</v>
      </c>
      <c r="T168" s="884">
        <f>IF(AND($AS$39="Early Payoff",J168&gt;=$S$13),0,IF($J168&lt;=$S$6,SUM($R$20:$R168),0))</f>
        <v>0</v>
      </c>
      <c r="U168" s="885">
        <f t="shared" si="61"/>
        <v>0</v>
      </c>
      <c r="V168" s="1110">
        <f t="shared" si="56"/>
        <v>0</v>
      </c>
      <c r="X168" s="1102">
        <f t="shared" si="62"/>
        <v>0</v>
      </c>
      <c r="Y168" s="873">
        <f t="shared" si="63"/>
        <v>0</v>
      </c>
      <c r="Z168" s="873">
        <f t="shared" si="64"/>
        <v>0</v>
      </c>
      <c r="AA168" s="885">
        <f t="shared" si="65"/>
        <v>0</v>
      </c>
    </row>
    <row r="169" spans="2:27" s="278" customFormat="1" ht="12" customHeight="1" x14ac:dyDescent="0.25">
      <c r="B169" s="1192" t="e">
        <f t="shared" si="70"/>
        <v>#N/A</v>
      </c>
      <c r="C169" s="732">
        <f t="shared" si="57"/>
        <v>31</v>
      </c>
      <c r="D169" s="35">
        <f t="shared" si="58"/>
        <v>12</v>
      </c>
      <c r="E169" s="889">
        <f t="shared" si="73"/>
        <v>50405</v>
      </c>
      <c r="F169" s="822">
        <f t="shared" si="66"/>
        <v>12</v>
      </c>
      <c r="G169" s="500">
        <f t="shared" si="74"/>
        <v>31</v>
      </c>
      <c r="H169" s="126">
        <f t="shared" si="59"/>
        <v>1</v>
      </c>
      <c r="I169" s="1098">
        <f t="shared" si="75"/>
        <v>0</v>
      </c>
      <c r="J169" s="887">
        <f t="shared" si="71"/>
        <v>150</v>
      </c>
      <c r="K169" s="1099">
        <f t="shared" si="67"/>
        <v>150</v>
      </c>
      <c r="L169" s="891" t="str">
        <f t="shared" si="68"/>
        <v>December</v>
      </c>
      <c r="M169" s="888">
        <f t="shared" si="72"/>
        <v>2037</v>
      </c>
      <c r="N169" s="883">
        <f t="shared" si="69"/>
        <v>0</v>
      </c>
      <c r="O169" s="883">
        <f t="shared" si="76"/>
        <v>0</v>
      </c>
      <c r="P169" s="1100"/>
      <c r="Q169" s="883">
        <f t="shared" si="60"/>
        <v>0</v>
      </c>
      <c r="R169" s="884">
        <f t="shared" si="55"/>
        <v>0</v>
      </c>
      <c r="S169" s="884">
        <f>IF(AND($AS$39="Early Payoff",J169&gt;=$S$13),0,IF($J169&lt;=$S$6,SUM($Q$20:$Q169),0))</f>
        <v>0</v>
      </c>
      <c r="T169" s="884">
        <f>IF(AND($AS$39="Early Payoff",J169&gt;=$S$13),0,IF($J169&lt;=$S$6,SUM($R$20:$R169),0))</f>
        <v>0</v>
      </c>
      <c r="U169" s="885">
        <f t="shared" si="61"/>
        <v>0</v>
      </c>
      <c r="V169" s="1110">
        <f t="shared" si="56"/>
        <v>0</v>
      </c>
      <c r="X169" s="1102">
        <f t="shared" si="62"/>
        <v>0</v>
      </c>
      <c r="Y169" s="873">
        <f t="shared" si="63"/>
        <v>0</v>
      </c>
      <c r="Z169" s="873">
        <f t="shared" si="64"/>
        <v>0</v>
      </c>
      <c r="AA169" s="885">
        <f t="shared" si="65"/>
        <v>0</v>
      </c>
    </row>
    <row r="170" spans="2:27" s="278" customFormat="1" ht="12" customHeight="1" x14ac:dyDescent="0.25">
      <c r="B170" s="1192" t="e">
        <f t="shared" si="70"/>
        <v>#N/A</v>
      </c>
      <c r="C170" s="732">
        <f t="shared" si="57"/>
        <v>31</v>
      </c>
      <c r="D170" s="35">
        <f t="shared" si="58"/>
        <v>1</v>
      </c>
      <c r="E170" s="889">
        <f t="shared" si="73"/>
        <v>50436</v>
      </c>
      <c r="F170" s="822">
        <f t="shared" si="66"/>
        <v>1</v>
      </c>
      <c r="G170" s="500">
        <f t="shared" si="74"/>
        <v>31</v>
      </c>
      <c r="H170" s="126">
        <f t="shared" si="59"/>
        <v>0</v>
      </c>
      <c r="I170" s="1098">
        <f t="shared" si="75"/>
        <v>0</v>
      </c>
      <c r="J170" s="887">
        <f t="shared" si="71"/>
        <v>151</v>
      </c>
      <c r="K170" s="1099">
        <f t="shared" si="67"/>
        <v>151</v>
      </c>
      <c r="L170" s="891" t="str">
        <f t="shared" si="68"/>
        <v>January</v>
      </c>
      <c r="M170" s="888">
        <f t="shared" si="72"/>
        <v>2038</v>
      </c>
      <c r="N170" s="883">
        <f t="shared" si="69"/>
        <v>0</v>
      </c>
      <c r="O170" s="883">
        <f t="shared" si="76"/>
        <v>0</v>
      </c>
      <c r="P170" s="1100"/>
      <c r="Q170" s="883">
        <f t="shared" si="60"/>
        <v>0</v>
      </c>
      <c r="R170" s="884">
        <f t="shared" si="55"/>
        <v>0</v>
      </c>
      <c r="S170" s="884">
        <f>IF(AND($AS$39="Early Payoff",J170&gt;=$S$13),0,IF($J170&lt;=$S$6,SUM($Q$20:$Q170),0))</f>
        <v>0</v>
      </c>
      <c r="T170" s="884">
        <f>IF(AND($AS$39="Early Payoff",J170&gt;=$S$13),0,IF($J170&lt;=$S$6,SUM($R$20:$R170),0))</f>
        <v>0</v>
      </c>
      <c r="U170" s="885">
        <f t="shared" si="61"/>
        <v>0</v>
      </c>
      <c r="V170" s="1110">
        <f t="shared" si="56"/>
        <v>0</v>
      </c>
      <c r="X170" s="1102">
        <f t="shared" si="62"/>
        <v>0</v>
      </c>
      <c r="Y170" s="873">
        <f t="shared" si="63"/>
        <v>0</v>
      </c>
      <c r="Z170" s="873">
        <f t="shared" si="64"/>
        <v>0</v>
      </c>
      <c r="AA170" s="885">
        <f t="shared" si="65"/>
        <v>0</v>
      </c>
    </row>
    <row r="171" spans="2:27" s="278" customFormat="1" ht="12" customHeight="1" x14ac:dyDescent="0.25">
      <c r="B171" s="1192" t="e">
        <f t="shared" si="70"/>
        <v>#N/A</v>
      </c>
      <c r="C171" s="732">
        <f t="shared" si="57"/>
        <v>28</v>
      </c>
      <c r="D171" s="35">
        <f t="shared" si="58"/>
        <v>2</v>
      </c>
      <c r="E171" s="889">
        <f t="shared" si="73"/>
        <v>50464</v>
      </c>
      <c r="F171" s="822">
        <f t="shared" si="66"/>
        <v>2</v>
      </c>
      <c r="G171" s="500">
        <f t="shared" si="74"/>
        <v>28</v>
      </c>
      <c r="H171" s="126">
        <f t="shared" si="59"/>
        <v>0</v>
      </c>
      <c r="I171" s="1098">
        <f t="shared" si="75"/>
        <v>0</v>
      </c>
      <c r="J171" s="887">
        <f t="shared" si="71"/>
        <v>152</v>
      </c>
      <c r="K171" s="1099">
        <f t="shared" si="67"/>
        <v>152</v>
      </c>
      <c r="L171" s="891" t="str">
        <f t="shared" si="68"/>
        <v>February</v>
      </c>
      <c r="M171" s="888">
        <f t="shared" si="72"/>
        <v>2038</v>
      </c>
      <c r="N171" s="883">
        <f t="shared" si="69"/>
        <v>0</v>
      </c>
      <c r="O171" s="883">
        <f t="shared" si="76"/>
        <v>0</v>
      </c>
      <c r="P171" s="1100"/>
      <c r="Q171" s="883">
        <f t="shared" si="60"/>
        <v>0</v>
      </c>
      <c r="R171" s="884">
        <f t="shared" si="55"/>
        <v>0</v>
      </c>
      <c r="S171" s="884">
        <f>IF(AND($AS$39="Early Payoff",J171&gt;=$S$13),0,IF($J171&lt;=$S$6,SUM($Q$20:$Q171),0))</f>
        <v>0</v>
      </c>
      <c r="T171" s="884">
        <f>IF(AND($AS$39="Early Payoff",J171&gt;=$S$13),0,IF($J171&lt;=$S$6,SUM($R$20:$R171),0))</f>
        <v>0</v>
      </c>
      <c r="U171" s="885">
        <f t="shared" si="61"/>
        <v>0</v>
      </c>
      <c r="V171" s="1110">
        <f t="shared" si="56"/>
        <v>0</v>
      </c>
      <c r="X171" s="1102">
        <f t="shared" si="62"/>
        <v>0</v>
      </c>
      <c r="Y171" s="873">
        <f t="shared" si="63"/>
        <v>0</v>
      </c>
      <c r="Z171" s="873">
        <f t="shared" si="64"/>
        <v>0</v>
      </c>
      <c r="AA171" s="885">
        <f t="shared" si="65"/>
        <v>0</v>
      </c>
    </row>
    <row r="172" spans="2:27" s="278" customFormat="1" ht="12" customHeight="1" x14ac:dyDescent="0.25">
      <c r="B172" s="1192" t="e">
        <f t="shared" si="70"/>
        <v>#N/A</v>
      </c>
      <c r="C172" s="732">
        <f t="shared" si="57"/>
        <v>31</v>
      </c>
      <c r="D172" s="35">
        <f t="shared" si="58"/>
        <v>3</v>
      </c>
      <c r="E172" s="889">
        <f t="shared" si="73"/>
        <v>50495</v>
      </c>
      <c r="F172" s="822">
        <f t="shared" si="66"/>
        <v>3</v>
      </c>
      <c r="G172" s="500">
        <f t="shared" si="74"/>
        <v>31</v>
      </c>
      <c r="H172" s="126">
        <f t="shared" si="59"/>
        <v>0</v>
      </c>
      <c r="I172" s="1098">
        <f t="shared" si="75"/>
        <v>0</v>
      </c>
      <c r="J172" s="887">
        <f t="shared" si="71"/>
        <v>153</v>
      </c>
      <c r="K172" s="1099">
        <f t="shared" si="67"/>
        <v>153</v>
      </c>
      <c r="L172" s="891" t="str">
        <f t="shared" si="68"/>
        <v>March</v>
      </c>
      <c r="M172" s="888">
        <f t="shared" si="72"/>
        <v>2038</v>
      </c>
      <c r="N172" s="883">
        <f t="shared" si="69"/>
        <v>0</v>
      </c>
      <c r="O172" s="883">
        <f t="shared" si="76"/>
        <v>0</v>
      </c>
      <c r="P172" s="1100"/>
      <c r="Q172" s="883">
        <f t="shared" si="60"/>
        <v>0</v>
      </c>
      <c r="R172" s="884">
        <f t="shared" si="55"/>
        <v>0</v>
      </c>
      <c r="S172" s="884">
        <f>IF(AND($AS$39="Early Payoff",J172&gt;=$S$13),0,IF($J172&lt;=$S$6,SUM($Q$20:$Q172),0))</f>
        <v>0</v>
      </c>
      <c r="T172" s="884">
        <f>IF(AND($AS$39="Early Payoff",J172&gt;=$S$13),0,IF($J172&lt;=$S$6,SUM($R$20:$R172),0))</f>
        <v>0</v>
      </c>
      <c r="U172" s="885">
        <f t="shared" si="61"/>
        <v>0</v>
      </c>
      <c r="V172" s="1110">
        <f t="shared" si="56"/>
        <v>0</v>
      </c>
      <c r="X172" s="1102">
        <f t="shared" si="62"/>
        <v>0</v>
      </c>
      <c r="Y172" s="873">
        <f t="shared" si="63"/>
        <v>0</v>
      </c>
      <c r="Z172" s="873">
        <f t="shared" si="64"/>
        <v>0</v>
      </c>
      <c r="AA172" s="885">
        <f t="shared" si="65"/>
        <v>0</v>
      </c>
    </row>
    <row r="173" spans="2:27" s="278" customFormat="1" ht="12" customHeight="1" x14ac:dyDescent="0.25">
      <c r="B173" s="1192" t="e">
        <f t="shared" si="70"/>
        <v>#N/A</v>
      </c>
      <c r="C173" s="732">
        <f t="shared" si="57"/>
        <v>30</v>
      </c>
      <c r="D173" s="35">
        <f t="shared" si="58"/>
        <v>4</v>
      </c>
      <c r="E173" s="889">
        <f t="shared" si="73"/>
        <v>50525</v>
      </c>
      <c r="F173" s="822">
        <f t="shared" si="66"/>
        <v>4</v>
      </c>
      <c r="G173" s="500">
        <f t="shared" si="74"/>
        <v>30</v>
      </c>
      <c r="H173" s="126">
        <f t="shared" si="59"/>
        <v>0</v>
      </c>
      <c r="I173" s="1098">
        <f t="shared" si="75"/>
        <v>0</v>
      </c>
      <c r="J173" s="887">
        <f t="shared" si="71"/>
        <v>154</v>
      </c>
      <c r="K173" s="1099">
        <f t="shared" si="67"/>
        <v>154</v>
      </c>
      <c r="L173" s="891" t="str">
        <f t="shared" si="68"/>
        <v>April</v>
      </c>
      <c r="M173" s="888">
        <f t="shared" si="72"/>
        <v>2038</v>
      </c>
      <c r="N173" s="883">
        <f t="shared" si="69"/>
        <v>0</v>
      </c>
      <c r="O173" s="883">
        <f t="shared" si="76"/>
        <v>0</v>
      </c>
      <c r="P173" s="1100"/>
      <c r="Q173" s="883">
        <f t="shared" si="60"/>
        <v>0</v>
      </c>
      <c r="R173" s="884">
        <f t="shared" si="55"/>
        <v>0</v>
      </c>
      <c r="S173" s="884">
        <f>IF(AND($AS$39="Early Payoff",J173&gt;=$S$13),0,IF($J173&lt;=$S$6,SUM($Q$20:$Q173),0))</f>
        <v>0</v>
      </c>
      <c r="T173" s="884">
        <f>IF(AND($AS$39="Early Payoff",J173&gt;=$S$13),0,IF($J173&lt;=$S$6,SUM($R$20:$R173),0))</f>
        <v>0</v>
      </c>
      <c r="U173" s="885">
        <f t="shared" si="61"/>
        <v>0</v>
      </c>
      <c r="V173" s="1110">
        <f t="shared" si="56"/>
        <v>0</v>
      </c>
      <c r="X173" s="1102">
        <f t="shared" si="62"/>
        <v>0</v>
      </c>
      <c r="Y173" s="873">
        <f t="shared" si="63"/>
        <v>0</v>
      </c>
      <c r="Z173" s="873">
        <f t="shared" si="64"/>
        <v>0</v>
      </c>
      <c r="AA173" s="885">
        <f t="shared" si="65"/>
        <v>0</v>
      </c>
    </row>
    <row r="174" spans="2:27" s="278" customFormat="1" ht="12" customHeight="1" x14ac:dyDescent="0.25">
      <c r="B174" s="1192" t="e">
        <f t="shared" si="70"/>
        <v>#N/A</v>
      </c>
      <c r="C174" s="732">
        <f t="shared" si="57"/>
        <v>31</v>
      </c>
      <c r="D174" s="35">
        <f t="shared" si="58"/>
        <v>5</v>
      </c>
      <c r="E174" s="889">
        <f t="shared" si="73"/>
        <v>50556</v>
      </c>
      <c r="F174" s="822">
        <f t="shared" si="66"/>
        <v>5</v>
      </c>
      <c r="G174" s="500">
        <f t="shared" si="74"/>
        <v>31</v>
      </c>
      <c r="H174" s="126">
        <f t="shared" si="59"/>
        <v>0</v>
      </c>
      <c r="I174" s="1098">
        <f t="shared" si="75"/>
        <v>0</v>
      </c>
      <c r="J174" s="887">
        <f t="shared" si="71"/>
        <v>155</v>
      </c>
      <c r="K174" s="1099">
        <f t="shared" si="67"/>
        <v>155</v>
      </c>
      <c r="L174" s="891" t="str">
        <f t="shared" si="68"/>
        <v>May</v>
      </c>
      <c r="M174" s="888">
        <f t="shared" si="72"/>
        <v>2038</v>
      </c>
      <c r="N174" s="883">
        <f t="shared" si="69"/>
        <v>0</v>
      </c>
      <c r="O174" s="883">
        <f t="shared" si="76"/>
        <v>0</v>
      </c>
      <c r="P174" s="1100"/>
      <c r="Q174" s="883">
        <f t="shared" si="60"/>
        <v>0</v>
      </c>
      <c r="R174" s="884">
        <f t="shared" si="55"/>
        <v>0</v>
      </c>
      <c r="S174" s="884">
        <f>IF(AND($AS$39="Early Payoff",J174&gt;=$S$13),0,IF($J174&lt;=$S$6,SUM($Q$20:$Q174),0))</f>
        <v>0</v>
      </c>
      <c r="T174" s="884">
        <f>IF(AND($AS$39="Early Payoff",J174&gt;=$S$13),0,IF($J174&lt;=$S$6,SUM($R$20:$R174),0))</f>
        <v>0</v>
      </c>
      <c r="U174" s="885">
        <f t="shared" si="61"/>
        <v>0</v>
      </c>
      <c r="V174" s="1110">
        <f t="shared" si="56"/>
        <v>0</v>
      </c>
      <c r="X174" s="1102">
        <f t="shared" si="62"/>
        <v>0</v>
      </c>
      <c r="Y174" s="873">
        <f t="shared" si="63"/>
        <v>0</v>
      </c>
      <c r="Z174" s="873">
        <f t="shared" si="64"/>
        <v>0</v>
      </c>
      <c r="AA174" s="885">
        <f t="shared" si="65"/>
        <v>0</v>
      </c>
    </row>
    <row r="175" spans="2:27" s="278" customFormat="1" ht="12" customHeight="1" x14ac:dyDescent="0.25">
      <c r="B175" s="1192" t="e">
        <f t="shared" si="70"/>
        <v>#N/A</v>
      </c>
      <c r="C175" s="732">
        <f t="shared" si="57"/>
        <v>30</v>
      </c>
      <c r="D175" s="35">
        <f t="shared" si="58"/>
        <v>6</v>
      </c>
      <c r="E175" s="889">
        <f t="shared" si="73"/>
        <v>50586</v>
      </c>
      <c r="F175" s="822">
        <f t="shared" si="66"/>
        <v>6</v>
      </c>
      <c r="G175" s="500">
        <f t="shared" si="74"/>
        <v>30</v>
      </c>
      <c r="H175" s="126">
        <f t="shared" si="59"/>
        <v>0</v>
      </c>
      <c r="I175" s="1098">
        <f t="shared" si="75"/>
        <v>0</v>
      </c>
      <c r="J175" s="887">
        <f t="shared" si="71"/>
        <v>156</v>
      </c>
      <c r="K175" s="1099">
        <f t="shared" si="67"/>
        <v>156</v>
      </c>
      <c r="L175" s="891" t="str">
        <f t="shared" si="68"/>
        <v>June</v>
      </c>
      <c r="M175" s="888">
        <f t="shared" si="72"/>
        <v>2038</v>
      </c>
      <c r="N175" s="883">
        <f t="shared" si="69"/>
        <v>0</v>
      </c>
      <c r="O175" s="883">
        <f t="shared" si="76"/>
        <v>0</v>
      </c>
      <c r="P175" s="1100"/>
      <c r="Q175" s="883">
        <f t="shared" si="60"/>
        <v>0</v>
      </c>
      <c r="R175" s="884">
        <f t="shared" si="55"/>
        <v>0</v>
      </c>
      <c r="S175" s="884">
        <f>IF(AND($AS$39="Early Payoff",J175&gt;=$S$13),0,IF($J175&lt;=$S$6,SUM($Q$20:$Q175),0))</f>
        <v>0</v>
      </c>
      <c r="T175" s="884">
        <f>IF(AND($AS$39="Early Payoff",J175&gt;=$S$13),0,IF($J175&lt;=$S$6,SUM($R$20:$R175),0))</f>
        <v>0</v>
      </c>
      <c r="U175" s="885">
        <f t="shared" si="61"/>
        <v>0</v>
      </c>
      <c r="V175" s="1110">
        <f t="shared" si="56"/>
        <v>0</v>
      </c>
      <c r="X175" s="1102">
        <f t="shared" si="62"/>
        <v>0</v>
      </c>
      <c r="Y175" s="873">
        <f t="shared" si="63"/>
        <v>0</v>
      </c>
      <c r="Z175" s="873">
        <f t="shared" si="64"/>
        <v>0</v>
      </c>
      <c r="AA175" s="885">
        <f t="shared" si="65"/>
        <v>0</v>
      </c>
    </row>
    <row r="176" spans="2:27" s="278" customFormat="1" ht="12" customHeight="1" x14ac:dyDescent="0.25">
      <c r="B176" s="1192" t="e">
        <f t="shared" si="70"/>
        <v>#N/A</v>
      </c>
      <c r="C176" s="732">
        <f t="shared" si="57"/>
        <v>31</v>
      </c>
      <c r="D176" s="35">
        <f t="shared" si="58"/>
        <v>7</v>
      </c>
      <c r="E176" s="889">
        <f t="shared" si="73"/>
        <v>50617</v>
      </c>
      <c r="F176" s="822">
        <f t="shared" si="66"/>
        <v>7</v>
      </c>
      <c r="G176" s="500">
        <f t="shared" si="74"/>
        <v>31</v>
      </c>
      <c r="H176" s="126">
        <f t="shared" si="59"/>
        <v>0</v>
      </c>
      <c r="I176" s="1098">
        <f t="shared" si="75"/>
        <v>0</v>
      </c>
      <c r="J176" s="887">
        <f t="shared" si="71"/>
        <v>157</v>
      </c>
      <c r="K176" s="1099">
        <f t="shared" si="67"/>
        <v>157</v>
      </c>
      <c r="L176" s="891" t="str">
        <f t="shared" si="68"/>
        <v>July</v>
      </c>
      <c r="M176" s="888">
        <f t="shared" si="72"/>
        <v>2038</v>
      </c>
      <c r="N176" s="883">
        <f t="shared" si="69"/>
        <v>0</v>
      </c>
      <c r="O176" s="883">
        <f t="shared" si="76"/>
        <v>0</v>
      </c>
      <c r="P176" s="1100"/>
      <c r="Q176" s="883">
        <f t="shared" si="60"/>
        <v>0</v>
      </c>
      <c r="R176" s="884">
        <f t="shared" si="55"/>
        <v>0</v>
      </c>
      <c r="S176" s="884">
        <f>IF(AND($AS$39="Early Payoff",J176&gt;=$S$13),0,IF($J176&lt;=$S$6,SUM($Q$20:$Q176),0))</f>
        <v>0</v>
      </c>
      <c r="T176" s="884">
        <f>IF(AND($AS$39="Early Payoff",J176&gt;=$S$13),0,IF($J176&lt;=$S$6,SUM($R$20:$R176),0))</f>
        <v>0</v>
      </c>
      <c r="U176" s="885">
        <f t="shared" si="61"/>
        <v>0</v>
      </c>
      <c r="V176" s="1110">
        <f t="shared" si="56"/>
        <v>0</v>
      </c>
      <c r="X176" s="1102">
        <f t="shared" si="62"/>
        <v>0</v>
      </c>
      <c r="Y176" s="873">
        <f t="shared" si="63"/>
        <v>0</v>
      </c>
      <c r="Z176" s="873">
        <f t="shared" si="64"/>
        <v>0</v>
      </c>
      <c r="AA176" s="885">
        <f t="shared" si="65"/>
        <v>0</v>
      </c>
    </row>
    <row r="177" spans="2:27" s="278" customFormat="1" ht="12" customHeight="1" x14ac:dyDescent="0.25">
      <c r="B177" s="1192" t="e">
        <f t="shared" si="70"/>
        <v>#N/A</v>
      </c>
      <c r="C177" s="732">
        <f t="shared" si="57"/>
        <v>31</v>
      </c>
      <c r="D177" s="35">
        <f t="shared" si="58"/>
        <v>8</v>
      </c>
      <c r="E177" s="889">
        <f t="shared" si="73"/>
        <v>50648</v>
      </c>
      <c r="F177" s="822">
        <f t="shared" si="66"/>
        <v>8</v>
      </c>
      <c r="G177" s="500">
        <f t="shared" si="74"/>
        <v>31</v>
      </c>
      <c r="H177" s="126">
        <f t="shared" si="59"/>
        <v>0</v>
      </c>
      <c r="I177" s="1098">
        <f t="shared" si="75"/>
        <v>0</v>
      </c>
      <c r="J177" s="887">
        <f t="shared" si="71"/>
        <v>158</v>
      </c>
      <c r="K177" s="1099">
        <f t="shared" si="67"/>
        <v>158</v>
      </c>
      <c r="L177" s="891" t="str">
        <f t="shared" si="68"/>
        <v>August</v>
      </c>
      <c r="M177" s="888">
        <f t="shared" si="72"/>
        <v>2038</v>
      </c>
      <c r="N177" s="883">
        <f t="shared" si="69"/>
        <v>0</v>
      </c>
      <c r="O177" s="883">
        <f t="shared" si="76"/>
        <v>0</v>
      </c>
      <c r="P177" s="1100"/>
      <c r="Q177" s="883">
        <f t="shared" si="60"/>
        <v>0</v>
      </c>
      <c r="R177" s="884">
        <f t="shared" si="55"/>
        <v>0</v>
      </c>
      <c r="S177" s="884">
        <f>IF(AND($AS$39="Early Payoff",J177&gt;=$S$13),0,IF($J177&lt;=$S$6,SUM($Q$20:$Q177),0))</f>
        <v>0</v>
      </c>
      <c r="T177" s="884">
        <f>IF(AND($AS$39="Early Payoff",J177&gt;=$S$13),0,IF($J177&lt;=$S$6,SUM($R$20:$R177),0))</f>
        <v>0</v>
      </c>
      <c r="U177" s="885">
        <f t="shared" si="61"/>
        <v>0</v>
      </c>
      <c r="V177" s="1110">
        <f t="shared" si="56"/>
        <v>0</v>
      </c>
      <c r="X177" s="1102">
        <f t="shared" si="62"/>
        <v>0</v>
      </c>
      <c r="Y177" s="873">
        <f t="shared" si="63"/>
        <v>0</v>
      </c>
      <c r="Z177" s="873">
        <f t="shared" si="64"/>
        <v>0</v>
      </c>
      <c r="AA177" s="885">
        <f t="shared" si="65"/>
        <v>0</v>
      </c>
    </row>
    <row r="178" spans="2:27" s="278" customFormat="1" ht="12" customHeight="1" x14ac:dyDescent="0.25">
      <c r="B178" s="1192" t="e">
        <f t="shared" si="70"/>
        <v>#N/A</v>
      </c>
      <c r="C178" s="732">
        <f t="shared" si="57"/>
        <v>30</v>
      </c>
      <c r="D178" s="35">
        <f t="shared" si="58"/>
        <v>9</v>
      </c>
      <c r="E178" s="889">
        <f t="shared" si="73"/>
        <v>50678</v>
      </c>
      <c r="F178" s="822">
        <f t="shared" si="66"/>
        <v>9</v>
      </c>
      <c r="G178" s="500">
        <f t="shared" si="74"/>
        <v>30</v>
      </c>
      <c r="H178" s="126">
        <f t="shared" si="59"/>
        <v>0</v>
      </c>
      <c r="I178" s="1098">
        <f t="shared" si="75"/>
        <v>0</v>
      </c>
      <c r="J178" s="887">
        <f t="shared" si="71"/>
        <v>159</v>
      </c>
      <c r="K178" s="1099">
        <f t="shared" si="67"/>
        <v>159</v>
      </c>
      <c r="L178" s="891" t="str">
        <f t="shared" si="68"/>
        <v>September</v>
      </c>
      <c r="M178" s="888">
        <f t="shared" si="72"/>
        <v>2038</v>
      </c>
      <c r="N178" s="883">
        <f t="shared" si="69"/>
        <v>0</v>
      </c>
      <c r="O178" s="883">
        <f t="shared" si="76"/>
        <v>0</v>
      </c>
      <c r="P178" s="1100"/>
      <c r="Q178" s="883">
        <f t="shared" si="60"/>
        <v>0</v>
      </c>
      <c r="R178" s="884">
        <f t="shared" si="55"/>
        <v>0</v>
      </c>
      <c r="S178" s="884">
        <f>IF(AND($AS$39="Early Payoff",J178&gt;=$S$13),0,IF($J178&lt;=$S$6,SUM($Q$20:$Q178),0))</f>
        <v>0</v>
      </c>
      <c r="T178" s="884">
        <f>IF(AND($AS$39="Early Payoff",J178&gt;=$S$13),0,IF($J178&lt;=$S$6,SUM($R$20:$R178),0))</f>
        <v>0</v>
      </c>
      <c r="U178" s="885">
        <f t="shared" si="61"/>
        <v>0</v>
      </c>
      <c r="V178" s="1110">
        <f t="shared" si="56"/>
        <v>0</v>
      </c>
      <c r="X178" s="1102">
        <f t="shared" si="62"/>
        <v>0</v>
      </c>
      <c r="Y178" s="873">
        <f t="shared" si="63"/>
        <v>0</v>
      </c>
      <c r="Z178" s="873">
        <f t="shared" si="64"/>
        <v>0</v>
      </c>
      <c r="AA178" s="885">
        <f t="shared" si="65"/>
        <v>0</v>
      </c>
    </row>
    <row r="179" spans="2:27" s="278" customFormat="1" ht="12" customHeight="1" x14ac:dyDescent="0.25">
      <c r="B179" s="1192" t="e">
        <f t="shared" si="70"/>
        <v>#N/A</v>
      </c>
      <c r="C179" s="732">
        <f t="shared" si="57"/>
        <v>31</v>
      </c>
      <c r="D179" s="35">
        <f t="shared" si="58"/>
        <v>10</v>
      </c>
      <c r="E179" s="889">
        <f t="shared" si="73"/>
        <v>50709</v>
      </c>
      <c r="F179" s="822">
        <f t="shared" si="66"/>
        <v>10</v>
      </c>
      <c r="G179" s="500">
        <f t="shared" si="74"/>
        <v>31</v>
      </c>
      <c r="H179" s="126">
        <f t="shared" si="59"/>
        <v>0</v>
      </c>
      <c r="I179" s="1098">
        <f t="shared" si="75"/>
        <v>0</v>
      </c>
      <c r="J179" s="887">
        <f t="shared" si="71"/>
        <v>160</v>
      </c>
      <c r="K179" s="1099">
        <f t="shared" si="67"/>
        <v>160</v>
      </c>
      <c r="L179" s="891" t="str">
        <f t="shared" si="68"/>
        <v>October</v>
      </c>
      <c r="M179" s="888">
        <f t="shared" si="72"/>
        <v>2038</v>
      </c>
      <c r="N179" s="883">
        <f t="shared" si="69"/>
        <v>0</v>
      </c>
      <c r="O179" s="883">
        <f t="shared" si="76"/>
        <v>0</v>
      </c>
      <c r="P179" s="1100"/>
      <c r="Q179" s="883">
        <f t="shared" si="60"/>
        <v>0</v>
      </c>
      <c r="R179" s="884">
        <f t="shared" si="55"/>
        <v>0</v>
      </c>
      <c r="S179" s="884">
        <f>IF(AND($AS$39="Early Payoff",J179&gt;=$S$13),0,IF($J179&lt;=$S$6,SUM($Q$20:$Q179),0))</f>
        <v>0</v>
      </c>
      <c r="T179" s="884">
        <f>IF(AND($AS$39="Early Payoff",J179&gt;=$S$13),0,IF($J179&lt;=$S$6,SUM($R$20:$R179),0))</f>
        <v>0</v>
      </c>
      <c r="U179" s="885">
        <f t="shared" si="61"/>
        <v>0</v>
      </c>
      <c r="V179" s="1110">
        <f t="shared" si="56"/>
        <v>0</v>
      </c>
      <c r="X179" s="1102">
        <f t="shared" si="62"/>
        <v>0</v>
      </c>
      <c r="Y179" s="873">
        <f t="shared" si="63"/>
        <v>0</v>
      </c>
      <c r="Z179" s="873">
        <f t="shared" si="64"/>
        <v>0</v>
      </c>
      <c r="AA179" s="885">
        <f t="shared" si="65"/>
        <v>0</v>
      </c>
    </row>
    <row r="180" spans="2:27" s="278" customFormat="1" ht="12" customHeight="1" x14ac:dyDescent="0.25">
      <c r="B180" s="1192" t="e">
        <f t="shared" si="70"/>
        <v>#N/A</v>
      </c>
      <c r="C180" s="732">
        <f t="shared" si="57"/>
        <v>30</v>
      </c>
      <c r="D180" s="35">
        <f t="shared" si="58"/>
        <v>11</v>
      </c>
      <c r="E180" s="889">
        <f t="shared" si="73"/>
        <v>50739</v>
      </c>
      <c r="F180" s="822">
        <f t="shared" si="66"/>
        <v>11</v>
      </c>
      <c r="G180" s="500">
        <f t="shared" si="74"/>
        <v>30</v>
      </c>
      <c r="H180" s="126">
        <f t="shared" si="59"/>
        <v>0</v>
      </c>
      <c r="I180" s="1098">
        <f t="shared" si="75"/>
        <v>0</v>
      </c>
      <c r="J180" s="887">
        <f t="shared" si="71"/>
        <v>161</v>
      </c>
      <c r="K180" s="1099">
        <f t="shared" si="67"/>
        <v>161</v>
      </c>
      <c r="L180" s="891" t="str">
        <f t="shared" si="68"/>
        <v>November</v>
      </c>
      <c r="M180" s="888">
        <f t="shared" si="72"/>
        <v>2038</v>
      </c>
      <c r="N180" s="883">
        <f t="shared" si="69"/>
        <v>0</v>
      </c>
      <c r="O180" s="883">
        <f t="shared" si="76"/>
        <v>0</v>
      </c>
      <c r="P180" s="1100"/>
      <c r="Q180" s="883">
        <f t="shared" si="60"/>
        <v>0</v>
      </c>
      <c r="R180" s="884">
        <f t="shared" si="55"/>
        <v>0</v>
      </c>
      <c r="S180" s="884">
        <f>IF(AND($AS$39="Early Payoff",J180&gt;=$S$13),0,IF($J180&lt;=$S$6,SUM($Q$20:$Q180),0))</f>
        <v>0</v>
      </c>
      <c r="T180" s="884">
        <f>IF(AND($AS$39="Early Payoff",J180&gt;=$S$13),0,IF($J180&lt;=$S$6,SUM($R$20:$R180),0))</f>
        <v>0</v>
      </c>
      <c r="U180" s="885">
        <f t="shared" si="61"/>
        <v>0</v>
      </c>
      <c r="V180" s="1110">
        <f t="shared" si="56"/>
        <v>0</v>
      </c>
      <c r="X180" s="1102">
        <f t="shared" si="62"/>
        <v>0</v>
      </c>
      <c r="Y180" s="873">
        <f t="shared" si="63"/>
        <v>0</v>
      </c>
      <c r="Z180" s="873">
        <f t="shared" si="64"/>
        <v>0</v>
      </c>
      <c r="AA180" s="885">
        <f t="shared" si="65"/>
        <v>0</v>
      </c>
    </row>
    <row r="181" spans="2:27" s="278" customFormat="1" ht="12" customHeight="1" x14ac:dyDescent="0.25">
      <c r="B181" s="1192" t="e">
        <f t="shared" si="70"/>
        <v>#N/A</v>
      </c>
      <c r="C181" s="732">
        <f t="shared" si="57"/>
        <v>31</v>
      </c>
      <c r="D181" s="35">
        <f t="shared" si="58"/>
        <v>12</v>
      </c>
      <c r="E181" s="889">
        <f t="shared" si="73"/>
        <v>50770</v>
      </c>
      <c r="F181" s="822">
        <f t="shared" si="66"/>
        <v>12</v>
      </c>
      <c r="G181" s="500">
        <f t="shared" si="74"/>
        <v>31</v>
      </c>
      <c r="H181" s="126">
        <f t="shared" si="59"/>
        <v>1</v>
      </c>
      <c r="I181" s="1098">
        <f t="shared" si="75"/>
        <v>0</v>
      </c>
      <c r="J181" s="887">
        <f t="shared" si="71"/>
        <v>162</v>
      </c>
      <c r="K181" s="1099">
        <f t="shared" si="67"/>
        <v>162</v>
      </c>
      <c r="L181" s="891" t="str">
        <f t="shared" si="68"/>
        <v>December</v>
      </c>
      <c r="M181" s="888">
        <f t="shared" si="72"/>
        <v>2038</v>
      </c>
      <c r="N181" s="883">
        <f t="shared" si="69"/>
        <v>0</v>
      </c>
      <c r="O181" s="883">
        <f t="shared" si="76"/>
        <v>0</v>
      </c>
      <c r="P181" s="1100"/>
      <c r="Q181" s="883">
        <f t="shared" si="60"/>
        <v>0</v>
      </c>
      <c r="R181" s="884">
        <f t="shared" si="55"/>
        <v>0</v>
      </c>
      <c r="S181" s="884">
        <f>IF(AND($AS$39="Early Payoff",J181&gt;=$S$13),0,IF($J181&lt;=$S$6,SUM($Q$20:$Q181),0))</f>
        <v>0</v>
      </c>
      <c r="T181" s="884">
        <f>IF(AND($AS$39="Early Payoff",J181&gt;=$S$13),0,IF($J181&lt;=$S$6,SUM($R$20:$R181),0))</f>
        <v>0</v>
      </c>
      <c r="U181" s="885">
        <f t="shared" si="61"/>
        <v>0</v>
      </c>
      <c r="V181" s="1110">
        <f t="shared" si="56"/>
        <v>0</v>
      </c>
      <c r="X181" s="1102">
        <f t="shared" si="62"/>
        <v>0</v>
      </c>
      <c r="Y181" s="873">
        <f t="shared" si="63"/>
        <v>0</v>
      </c>
      <c r="Z181" s="873">
        <f t="shared" si="64"/>
        <v>0</v>
      </c>
      <c r="AA181" s="885">
        <f t="shared" si="65"/>
        <v>0</v>
      </c>
    </row>
    <row r="182" spans="2:27" s="278" customFormat="1" ht="12" customHeight="1" x14ac:dyDescent="0.25">
      <c r="B182" s="1192" t="e">
        <f t="shared" si="70"/>
        <v>#N/A</v>
      </c>
      <c r="C182" s="732">
        <f t="shared" si="57"/>
        <v>31</v>
      </c>
      <c r="D182" s="35">
        <f t="shared" si="58"/>
        <v>1</v>
      </c>
      <c r="E182" s="889">
        <f t="shared" si="73"/>
        <v>50801</v>
      </c>
      <c r="F182" s="822">
        <f t="shared" si="66"/>
        <v>1</v>
      </c>
      <c r="G182" s="500">
        <f t="shared" si="74"/>
        <v>31</v>
      </c>
      <c r="H182" s="126">
        <f t="shared" si="59"/>
        <v>0</v>
      </c>
      <c r="I182" s="1098">
        <f t="shared" si="75"/>
        <v>0</v>
      </c>
      <c r="J182" s="887">
        <f t="shared" si="71"/>
        <v>163</v>
      </c>
      <c r="K182" s="1099">
        <f t="shared" si="67"/>
        <v>163</v>
      </c>
      <c r="L182" s="891" t="str">
        <f t="shared" si="68"/>
        <v>January</v>
      </c>
      <c r="M182" s="888">
        <f t="shared" si="72"/>
        <v>2039</v>
      </c>
      <c r="N182" s="883">
        <f t="shared" si="69"/>
        <v>0</v>
      </c>
      <c r="O182" s="883">
        <f t="shared" si="76"/>
        <v>0</v>
      </c>
      <c r="P182" s="1100"/>
      <c r="Q182" s="883">
        <f t="shared" si="60"/>
        <v>0</v>
      </c>
      <c r="R182" s="884">
        <f t="shared" si="55"/>
        <v>0</v>
      </c>
      <c r="S182" s="884">
        <f>IF(AND($AS$39="Early Payoff",J182&gt;=$S$13),0,IF($J182&lt;=$S$6,SUM($Q$20:$Q182),0))</f>
        <v>0</v>
      </c>
      <c r="T182" s="884">
        <f>IF(AND($AS$39="Early Payoff",J182&gt;=$S$13),0,IF($J182&lt;=$S$6,SUM($R$20:$R182),0))</f>
        <v>0</v>
      </c>
      <c r="U182" s="885">
        <f t="shared" si="61"/>
        <v>0</v>
      </c>
      <c r="V182" s="1110">
        <f t="shared" si="56"/>
        <v>0</v>
      </c>
      <c r="X182" s="1102">
        <f t="shared" si="62"/>
        <v>0</v>
      </c>
      <c r="Y182" s="873">
        <f t="shared" si="63"/>
        <v>0</v>
      </c>
      <c r="Z182" s="873">
        <f t="shared" si="64"/>
        <v>0</v>
      </c>
      <c r="AA182" s="885">
        <f t="shared" si="65"/>
        <v>0</v>
      </c>
    </row>
    <row r="183" spans="2:27" s="278" customFormat="1" ht="12" customHeight="1" x14ac:dyDescent="0.25">
      <c r="B183" s="1192" t="e">
        <f t="shared" si="70"/>
        <v>#N/A</v>
      </c>
      <c r="C183" s="732">
        <f t="shared" si="57"/>
        <v>28</v>
      </c>
      <c r="D183" s="35">
        <f t="shared" si="58"/>
        <v>2</v>
      </c>
      <c r="E183" s="889">
        <f t="shared" si="73"/>
        <v>50829</v>
      </c>
      <c r="F183" s="822">
        <f t="shared" si="66"/>
        <v>2</v>
      </c>
      <c r="G183" s="500">
        <f t="shared" si="74"/>
        <v>28</v>
      </c>
      <c r="H183" s="126">
        <f t="shared" si="59"/>
        <v>0</v>
      </c>
      <c r="I183" s="1098">
        <f t="shared" si="75"/>
        <v>0</v>
      </c>
      <c r="J183" s="887">
        <f t="shared" si="71"/>
        <v>164</v>
      </c>
      <c r="K183" s="1099">
        <f t="shared" si="67"/>
        <v>164</v>
      </c>
      <c r="L183" s="891" t="str">
        <f t="shared" si="68"/>
        <v>February</v>
      </c>
      <c r="M183" s="888">
        <f t="shared" si="72"/>
        <v>2039</v>
      </c>
      <c r="N183" s="883">
        <f t="shared" si="69"/>
        <v>0</v>
      </c>
      <c r="O183" s="883">
        <f t="shared" si="76"/>
        <v>0</v>
      </c>
      <c r="P183" s="1100"/>
      <c r="Q183" s="883">
        <f t="shared" si="60"/>
        <v>0</v>
      </c>
      <c r="R183" s="884">
        <f t="shared" si="55"/>
        <v>0</v>
      </c>
      <c r="S183" s="884">
        <f>IF(AND($AS$39="Early Payoff",J183&gt;=$S$13),0,IF($J183&lt;=$S$6,SUM($Q$20:$Q183),0))</f>
        <v>0</v>
      </c>
      <c r="T183" s="884">
        <f>IF(AND($AS$39="Early Payoff",J183&gt;=$S$13),0,IF($J183&lt;=$S$6,SUM($R$20:$R183),0))</f>
        <v>0</v>
      </c>
      <c r="U183" s="885">
        <f t="shared" si="61"/>
        <v>0</v>
      </c>
      <c r="V183" s="1110">
        <f t="shared" si="56"/>
        <v>0</v>
      </c>
      <c r="X183" s="1102">
        <f t="shared" si="62"/>
        <v>0</v>
      </c>
      <c r="Y183" s="873">
        <f t="shared" si="63"/>
        <v>0</v>
      </c>
      <c r="Z183" s="873">
        <f t="shared" si="64"/>
        <v>0</v>
      </c>
      <c r="AA183" s="885">
        <f t="shared" si="65"/>
        <v>0</v>
      </c>
    </row>
    <row r="184" spans="2:27" s="278" customFormat="1" ht="12" customHeight="1" x14ac:dyDescent="0.25">
      <c r="B184" s="1192" t="e">
        <f t="shared" si="70"/>
        <v>#N/A</v>
      </c>
      <c r="C184" s="732">
        <f t="shared" si="57"/>
        <v>31</v>
      </c>
      <c r="D184" s="35">
        <f t="shared" si="58"/>
        <v>3</v>
      </c>
      <c r="E184" s="889">
        <f t="shared" si="73"/>
        <v>50860</v>
      </c>
      <c r="F184" s="822">
        <f t="shared" si="66"/>
        <v>3</v>
      </c>
      <c r="G184" s="500">
        <f t="shared" si="74"/>
        <v>31</v>
      </c>
      <c r="H184" s="126">
        <f t="shared" si="59"/>
        <v>0</v>
      </c>
      <c r="I184" s="1098">
        <f t="shared" si="75"/>
        <v>0</v>
      </c>
      <c r="J184" s="887">
        <f t="shared" si="71"/>
        <v>165</v>
      </c>
      <c r="K184" s="1099">
        <f t="shared" si="67"/>
        <v>165</v>
      </c>
      <c r="L184" s="891" t="str">
        <f t="shared" si="68"/>
        <v>March</v>
      </c>
      <c r="M184" s="888">
        <f t="shared" si="72"/>
        <v>2039</v>
      </c>
      <c r="N184" s="883">
        <f t="shared" si="69"/>
        <v>0</v>
      </c>
      <c r="O184" s="883">
        <f t="shared" si="76"/>
        <v>0</v>
      </c>
      <c r="P184" s="1100"/>
      <c r="Q184" s="883">
        <f t="shared" si="60"/>
        <v>0</v>
      </c>
      <c r="R184" s="884">
        <f t="shared" si="55"/>
        <v>0</v>
      </c>
      <c r="S184" s="884">
        <f>IF(AND($AS$39="Early Payoff",J184&gt;=$S$13),0,IF($J184&lt;=$S$6,SUM($Q$20:$Q184),0))</f>
        <v>0</v>
      </c>
      <c r="T184" s="884">
        <f>IF(AND($AS$39="Early Payoff",J184&gt;=$S$13),0,IF($J184&lt;=$S$6,SUM($R$20:$R184),0))</f>
        <v>0</v>
      </c>
      <c r="U184" s="885">
        <f t="shared" si="61"/>
        <v>0</v>
      </c>
      <c r="V184" s="1110">
        <f t="shared" si="56"/>
        <v>0</v>
      </c>
      <c r="X184" s="1102">
        <f t="shared" si="62"/>
        <v>0</v>
      </c>
      <c r="Y184" s="873">
        <f t="shared" si="63"/>
        <v>0</v>
      </c>
      <c r="Z184" s="873">
        <f t="shared" si="64"/>
        <v>0</v>
      </c>
      <c r="AA184" s="885">
        <f t="shared" si="65"/>
        <v>0</v>
      </c>
    </row>
    <row r="185" spans="2:27" s="278" customFormat="1" ht="12" customHeight="1" x14ac:dyDescent="0.25">
      <c r="B185" s="1192" t="e">
        <f t="shared" si="70"/>
        <v>#N/A</v>
      </c>
      <c r="C185" s="732">
        <f t="shared" si="57"/>
        <v>30</v>
      </c>
      <c r="D185" s="35">
        <f t="shared" si="58"/>
        <v>4</v>
      </c>
      <c r="E185" s="889">
        <f t="shared" si="73"/>
        <v>50890</v>
      </c>
      <c r="F185" s="822">
        <f t="shared" si="66"/>
        <v>4</v>
      </c>
      <c r="G185" s="500">
        <f t="shared" si="74"/>
        <v>30</v>
      </c>
      <c r="H185" s="126">
        <f t="shared" si="59"/>
        <v>0</v>
      </c>
      <c r="I185" s="1098">
        <f t="shared" si="75"/>
        <v>0</v>
      </c>
      <c r="J185" s="887">
        <f t="shared" si="71"/>
        <v>166</v>
      </c>
      <c r="K185" s="1099">
        <f t="shared" si="67"/>
        <v>166</v>
      </c>
      <c r="L185" s="891" t="str">
        <f t="shared" si="68"/>
        <v>April</v>
      </c>
      <c r="M185" s="888">
        <f t="shared" si="72"/>
        <v>2039</v>
      </c>
      <c r="N185" s="883">
        <f t="shared" si="69"/>
        <v>0</v>
      </c>
      <c r="O185" s="883">
        <f t="shared" si="76"/>
        <v>0</v>
      </c>
      <c r="P185" s="1100"/>
      <c r="Q185" s="883">
        <f t="shared" si="60"/>
        <v>0</v>
      </c>
      <c r="R185" s="884">
        <f t="shared" si="55"/>
        <v>0</v>
      </c>
      <c r="S185" s="884">
        <f>IF(AND($AS$39="Early Payoff",J185&gt;=$S$13),0,IF($J185&lt;=$S$6,SUM($Q$20:$Q185),0))</f>
        <v>0</v>
      </c>
      <c r="T185" s="884">
        <f>IF(AND($AS$39="Early Payoff",J185&gt;=$S$13),0,IF($J185&lt;=$S$6,SUM($R$20:$R185),0))</f>
        <v>0</v>
      </c>
      <c r="U185" s="885">
        <f t="shared" si="61"/>
        <v>0</v>
      </c>
      <c r="V185" s="1110">
        <f t="shared" si="56"/>
        <v>0</v>
      </c>
      <c r="X185" s="1102">
        <f t="shared" si="62"/>
        <v>0</v>
      </c>
      <c r="Y185" s="873">
        <f t="shared" si="63"/>
        <v>0</v>
      </c>
      <c r="Z185" s="873">
        <f t="shared" si="64"/>
        <v>0</v>
      </c>
      <c r="AA185" s="885">
        <f t="shared" si="65"/>
        <v>0</v>
      </c>
    </row>
    <row r="186" spans="2:27" s="278" customFormat="1" ht="12" customHeight="1" x14ac:dyDescent="0.25">
      <c r="B186" s="1192" t="e">
        <f t="shared" si="70"/>
        <v>#N/A</v>
      </c>
      <c r="C186" s="732">
        <f t="shared" si="57"/>
        <v>31</v>
      </c>
      <c r="D186" s="35">
        <f t="shared" si="58"/>
        <v>5</v>
      </c>
      <c r="E186" s="889">
        <f t="shared" si="73"/>
        <v>50921</v>
      </c>
      <c r="F186" s="822">
        <f t="shared" si="66"/>
        <v>5</v>
      </c>
      <c r="G186" s="500">
        <f t="shared" si="74"/>
        <v>31</v>
      </c>
      <c r="H186" s="126">
        <f t="shared" si="59"/>
        <v>0</v>
      </c>
      <c r="I186" s="1098">
        <f t="shared" si="75"/>
        <v>0</v>
      </c>
      <c r="J186" s="887">
        <f t="shared" si="71"/>
        <v>167</v>
      </c>
      <c r="K186" s="1099">
        <f t="shared" si="67"/>
        <v>167</v>
      </c>
      <c r="L186" s="891" t="str">
        <f t="shared" si="68"/>
        <v>May</v>
      </c>
      <c r="M186" s="888">
        <f t="shared" si="72"/>
        <v>2039</v>
      </c>
      <c r="N186" s="883">
        <f t="shared" si="69"/>
        <v>0</v>
      </c>
      <c r="O186" s="883">
        <f t="shared" si="76"/>
        <v>0</v>
      </c>
      <c r="P186" s="1100"/>
      <c r="Q186" s="883">
        <f t="shared" si="60"/>
        <v>0</v>
      </c>
      <c r="R186" s="884">
        <f t="shared" si="55"/>
        <v>0</v>
      </c>
      <c r="S186" s="884">
        <f>IF(AND($AS$39="Early Payoff",J186&gt;=$S$13),0,IF($J186&lt;=$S$6,SUM($Q$20:$Q186),0))</f>
        <v>0</v>
      </c>
      <c r="T186" s="884">
        <f>IF(AND($AS$39="Early Payoff",J186&gt;=$S$13),0,IF($J186&lt;=$S$6,SUM($R$20:$R186),0))</f>
        <v>0</v>
      </c>
      <c r="U186" s="885">
        <f t="shared" si="61"/>
        <v>0</v>
      </c>
      <c r="V186" s="1110">
        <f t="shared" si="56"/>
        <v>0</v>
      </c>
      <c r="X186" s="1102">
        <f t="shared" si="62"/>
        <v>0</v>
      </c>
      <c r="Y186" s="873">
        <f t="shared" si="63"/>
        <v>0</v>
      </c>
      <c r="Z186" s="873">
        <f t="shared" si="64"/>
        <v>0</v>
      </c>
      <c r="AA186" s="885">
        <f t="shared" si="65"/>
        <v>0</v>
      </c>
    </row>
    <row r="187" spans="2:27" s="278" customFormat="1" ht="12" customHeight="1" x14ac:dyDescent="0.25">
      <c r="B187" s="1192" t="e">
        <f t="shared" si="70"/>
        <v>#N/A</v>
      </c>
      <c r="C187" s="732">
        <f t="shared" si="57"/>
        <v>30</v>
      </c>
      <c r="D187" s="35">
        <f t="shared" si="58"/>
        <v>6</v>
      </c>
      <c r="E187" s="889">
        <f t="shared" si="73"/>
        <v>50951</v>
      </c>
      <c r="F187" s="822">
        <f t="shared" si="66"/>
        <v>6</v>
      </c>
      <c r="G187" s="500">
        <f t="shared" si="74"/>
        <v>30</v>
      </c>
      <c r="H187" s="126">
        <f t="shared" si="59"/>
        <v>0</v>
      </c>
      <c r="I187" s="1098">
        <f t="shared" si="75"/>
        <v>0</v>
      </c>
      <c r="J187" s="887">
        <f t="shared" si="71"/>
        <v>168</v>
      </c>
      <c r="K187" s="1099">
        <f t="shared" si="67"/>
        <v>168</v>
      </c>
      <c r="L187" s="891" t="str">
        <f t="shared" si="68"/>
        <v>June</v>
      </c>
      <c r="M187" s="888">
        <f t="shared" si="72"/>
        <v>2039</v>
      </c>
      <c r="N187" s="883">
        <f t="shared" si="69"/>
        <v>0</v>
      </c>
      <c r="O187" s="883">
        <f t="shared" si="76"/>
        <v>0</v>
      </c>
      <c r="P187" s="1100"/>
      <c r="Q187" s="883">
        <f t="shared" si="60"/>
        <v>0</v>
      </c>
      <c r="R187" s="884">
        <f t="shared" si="55"/>
        <v>0</v>
      </c>
      <c r="S187" s="884">
        <f>IF(AND($AS$39="Early Payoff",J187&gt;=$S$13),0,IF($J187&lt;=$S$6,SUM($Q$20:$Q187),0))</f>
        <v>0</v>
      </c>
      <c r="T187" s="884">
        <f>IF(AND($AS$39="Early Payoff",J187&gt;=$S$13),0,IF($J187&lt;=$S$6,SUM($R$20:$R187),0))</f>
        <v>0</v>
      </c>
      <c r="U187" s="885">
        <f t="shared" si="61"/>
        <v>0</v>
      </c>
      <c r="V187" s="1110">
        <f t="shared" si="56"/>
        <v>0</v>
      </c>
      <c r="X187" s="1102">
        <f t="shared" si="62"/>
        <v>0</v>
      </c>
      <c r="Y187" s="873">
        <f t="shared" si="63"/>
        <v>0</v>
      </c>
      <c r="Z187" s="873">
        <f t="shared" si="64"/>
        <v>0</v>
      </c>
      <c r="AA187" s="885">
        <f t="shared" si="65"/>
        <v>0</v>
      </c>
    </row>
    <row r="188" spans="2:27" s="278" customFormat="1" ht="12" customHeight="1" x14ac:dyDescent="0.25">
      <c r="B188" s="1192" t="e">
        <f t="shared" si="70"/>
        <v>#N/A</v>
      </c>
      <c r="C188" s="732">
        <f t="shared" si="57"/>
        <v>31</v>
      </c>
      <c r="D188" s="35">
        <f t="shared" si="58"/>
        <v>7</v>
      </c>
      <c r="E188" s="889">
        <f t="shared" si="73"/>
        <v>50982</v>
      </c>
      <c r="F188" s="822">
        <f t="shared" si="66"/>
        <v>7</v>
      </c>
      <c r="G188" s="500">
        <f t="shared" si="74"/>
        <v>31</v>
      </c>
      <c r="H188" s="126">
        <f t="shared" si="59"/>
        <v>0</v>
      </c>
      <c r="I188" s="1098">
        <f t="shared" si="75"/>
        <v>0</v>
      </c>
      <c r="J188" s="887">
        <f t="shared" si="71"/>
        <v>169</v>
      </c>
      <c r="K188" s="1099">
        <f t="shared" si="67"/>
        <v>169</v>
      </c>
      <c r="L188" s="891" t="str">
        <f t="shared" si="68"/>
        <v>July</v>
      </c>
      <c r="M188" s="888">
        <f t="shared" si="72"/>
        <v>2039</v>
      </c>
      <c r="N188" s="883">
        <f t="shared" si="69"/>
        <v>0</v>
      </c>
      <c r="O188" s="883">
        <f t="shared" si="76"/>
        <v>0</v>
      </c>
      <c r="P188" s="1100"/>
      <c r="Q188" s="883">
        <f t="shared" si="60"/>
        <v>0</v>
      </c>
      <c r="R188" s="884">
        <f t="shared" si="55"/>
        <v>0</v>
      </c>
      <c r="S188" s="884">
        <f>IF(AND($AS$39="Early Payoff",J188&gt;=$S$13),0,IF($J188&lt;=$S$6,SUM($Q$20:$Q188),0))</f>
        <v>0</v>
      </c>
      <c r="T188" s="884">
        <f>IF(AND($AS$39="Early Payoff",J188&gt;=$S$13),0,IF($J188&lt;=$S$6,SUM($R$20:$R188),0))</f>
        <v>0</v>
      </c>
      <c r="U188" s="885">
        <f t="shared" si="61"/>
        <v>0</v>
      </c>
      <c r="V188" s="1110">
        <f t="shared" si="56"/>
        <v>0</v>
      </c>
      <c r="X188" s="1102">
        <f t="shared" si="62"/>
        <v>0</v>
      </c>
      <c r="Y188" s="873">
        <f t="shared" si="63"/>
        <v>0</v>
      </c>
      <c r="Z188" s="873">
        <f t="shared" si="64"/>
        <v>0</v>
      </c>
      <c r="AA188" s="885">
        <f t="shared" si="65"/>
        <v>0</v>
      </c>
    </row>
    <row r="189" spans="2:27" s="278" customFormat="1" ht="12" customHeight="1" x14ac:dyDescent="0.25">
      <c r="B189" s="1192" t="e">
        <f t="shared" si="70"/>
        <v>#N/A</v>
      </c>
      <c r="C189" s="732">
        <f t="shared" si="57"/>
        <v>31</v>
      </c>
      <c r="D189" s="35">
        <f t="shared" si="58"/>
        <v>8</v>
      </c>
      <c r="E189" s="889">
        <f t="shared" si="73"/>
        <v>51013</v>
      </c>
      <c r="F189" s="822">
        <f t="shared" si="66"/>
        <v>8</v>
      </c>
      <c r="G189" s="500">
        <f t="shared" si="74"/>
        <v>31</v>
      </c>
      <c r="H189" s="126">
        <f t="shared" si="59"/>
        <v>0</v>
      </c>
      <c r="I189" s="1098">
        <f t="shared" si="75"/>
        <v>0</v>
      </c>
      <c r="J189" s="887">
        <f t="shared" si="71"/>
        <v>170</v>
      </c>
      <c r="K189" s="1099">
        <f t="shared" si="67"/>
        <v>170</v>
      </c>
      <c r="L189" s="891" t="str">
        <f t="shared" si="68"/>
        <v>August</v>
      </c>
      <c r="M189" s="888">
        <f t="shared" si="72"/>
        <v>2039</v>
      </c>
      <c r="N189" s="883">
        <f t="shared" si="69"/>
        <v>0</v>
      </c>
      <c r="O189" s="883">
        <f t="shared" si="76"/>
        <v>0</v>
      </c>
      <c r="P189" s="1100"/>
      <c r="Q189" s="883">
        <f t="shared" si="60"/>
        <v>0</v>
      </c>
      <c r="R189" s="884">
        <f t="shared" si="55"/>
        <v>0</v>
      </c>
      <c r="S189" s="884">
        <f>IF(AND($AS$39="Early Payoff",J189&gt;=$S$13),0,IF($J189&lt;=$S$6,SUM($Q$20:$Q189),0))</f>
        <v>0</v>
      </c>
      <c r="T189" s="884">
        <f>IF(AND($AS$39="Early Payoff",J189&gt;=$S$13),0,IF($J189&lt;=$S$6,SUM($R$20:$R189),0))</f>
        <v>0</v>
      </c>
      <c r="U189" s="885">
        <f t="shared" si="61"/>
        <v>0</v>
      </c>
      <c r="V189" s="1110">
        <f t="shared" si="56"/>
        <v>0</v>
      </c>
      <c r="X189" s="1102">
        <f t="shared" si="62"/>
        <v>0</v>
      </c>
      <c r="Y189" s="873">
        <f t="shared" si="63"/>
        <v>0</v>
      </c>
      <c r="Z189" s="873">
        <f t="shared" si="64"/>
        <v>0</v>
      </c>
      <c r="AA189" s="885">
        <f t="shared" si="65"/>
        <v>0</v>
      </c>
    </row>
    <row r="190" spans="2:27" s="278" customFormat="1" ht="12" customHeight="1" x14ac:dyDescent="0.25">
      <c r="B190" s="1192" t="e">
        <f t="shared" si="70"/>
        <v>#N/A</v>
      </c>
      <c r="C190" s="732">
        <f t="shared" si="57"/>
        <v>30</v>
      </c>
      <c r="D190" s="35">
        <f t="shared" si="58"/>
        <v>9</v>
      </c>
      <c r="E190" s="889">
        <f t="shared" si="73"/>
        <v>51043</v>
      </c>
      <c r="F190" s="822">
        <f t="shared" si="66"/>
        <v>9</v>
      </c>
      <c r="G190" s="500">
        <f t="shared" si="74"/>
        <v>30</v>
      </c>
      <c r="H190" s="126">
        <f t="shared" si="59"/>
        <v>0</v>
      </c>
      <c r="I190" s="1098">
        <f t="shared" si="75"/>
        <v>0</v>
      </c>
      <c r="J190" s="887">
        <f t="shared" si="71"/>
        <v>171</v>
      </c>
      <c r="K190" s="1099">
        <f t="shared" si="67"/>
        <v>171</v>
      </c>
      <c r="L190" s="891" t="str">
        <f t="shared" si="68"/>
        <v>September</v>
      </c>
      <c r="M190" s="888">
        <f t="shared" si="72"/>
        <v>2039</v>
      </c>
      <c r="N190" s="883">
        <f t="shared" si="69"/>
        <v>0</v>
      </c>
      <c r="O190" s="883">
        <f t="shared" si="76"/>
        <v>0</v>
      </c>
      <c r="P190" s="1100"/>
      <c r="Q190" s="883">
        <f t="shared" si="60"/>
        <v>0</v>
      </c>
      <c r="R190" s="884">
        <f t="shared" si="55"/>
        <v>0</v>
      </c>
      <c r="S190" s="884">
        <f>IF(AND($AS$39="Early Payoff",J190&gt;=$S$13),0,IF($J190&lt;=$S$6,SUM($Q$20:$Q190),0))</f>
        <v>0</v>
      </c>
      <c r="T190" s="884">
        <f>IF(AND($AS$39="Early Payoff",J190&gt;=$S$13),0,IF($J190&lt;=$S$6,SUM($R$20:$R190),0))</f>
        <v>0</v>
      </c>
      <c r="U190" s="885">
        <f t="shared" si="61"/>
        <v>0</v>
      </c>
      <c r="V190" s="1110">
        <f t="shared" si="56"/>
        <v>0</v>
      </c>
      <c r="X190" s="1102">
        <f t="shared" si="62"/>
        <v>0</v>
      </c>
      <c r="Y190" s="873">
        <f t="shared" si="63"/>
        <v>0</v>
      </c>
      <c r="Z190" s="873">
        <f t="shared" si="64"/>
        <v>0</v>
      </c>
      <c r="AA190" s="885">
        <f t="shared" si="65"/>
        <v>0</v>
      </c>
    </row>
    <row r="191" spans="2:27" s="278" customFormat="1" ht="12" customHeight="1" x14ac:dyDescent="0.25">
      <c r="B191" s="1192" t="e">
        <f t="shared" si="70"/>
        <v>#N/A</v>
      </c>
      <c r="C191" s="732">
        <f t="shared" si="57"/>
        <v>31</v>
      </c>
      <c r="D191" s="35">
        <f t="shared" si="58"/>
        <v>10</v>
      </c>
      <c r="E191" s="889">
        <f t="shared" si="73"/>
        <v>51074</v>
      </c>
      <c r="F191" s="822">
        <f t="shared" si="66"/>
        <v>10</v>
      </c>
      <c r="G191" s="500">
        <f t="shared" si="74"/>
        <v>31</v>
      </c>
      <c r="H191" s="126">
        <f t="shared" si="59"/>
        <v>0</v>
      </c>
      <c r="I191" s="1098">
        <f t="shared" si="75"/>
        <v>0</v>
      </c>
      <c r="J191" s="887">
        <f t="shared" si="71"/>
        <v>172</v>
      </c>
      <c r="K191" s="1099">
        <f t="shared" si="67"/>
        <v>172</v>
      </c>
      <c r="L191" s="891" t="str">
        <f t="shared" si="68"/>
        <v>October</v>
      </c>
      <c r="M191" s="888">
        <f t="shared" si="72"/>
        <v>2039</v>
      </c>
      <c r="N191" s="883">
        <f t="shared" si="69"/>
        <v>0</v>
      </c>
      <c r="O191" s="883">
        <f t="shared" si="76"/>
        <v>0</v>
      </c>
      <c r="P191" s="1100"/>
      <c r="Q191" s="883">
        <f t="shared" si="60"/>
        <v>0</v>
      </c>
      <c r="R191" s="884">
        <f t="shared" si="55"/>
        <v>0</v>
      </c>
      <c r="S191" s="884">
        <f>IF(AND($AS$39="Early Payoff",J191&gt;=$S$13),0,IF($J191&lt;=$S$6,SUM($Q$20:$Q191),0))</f>
        <v>0</v>
      </c>
      <c r="T191" s="884">
        <f>IF(AND($AS$39="Early Payoff",J191&gt;=$S$13),0,IF($J191&lt;=$S$6,SUM($R$20:$R191),0))</f>
        <v>0</v>
      </c>
      <c r="U191" s="885">
        <f t="shared" si="61"/>
        <v>0</v>
      </c>
      <c r="V191" s="1110">
        <f t="shared" si="56"/>
        <v>0</v>
      </c>
      <c r="X191" s="1102">
        <f t="shared" si="62"/>
        <v>0</v>
      </c>
      <c r="Y191" s="873">
        <f t="shared" si="63"/>
        <v>0</v>
      </c>
      <c r="Z191" s="873">
        <f t="shared" si="64"/>
        <v>0</v>
      </c>
      <c r="AA191" s="885">
        <f t="shared" si="65"/>
        <v>0</v>
      </c>
    </row>
    <row r="192" spans="2:27" s="278" customFormat="1" ht="12" customHeight="1" x14ac:dyDescent="0.25">
      <c r="B192" s="1192" t="e">
        <f t="shared" si="70"/>
        <v>#N/A</v>
      </c>
      <c r="C192" s="732">
        <f t="shared" si="57"/>
        <v>30</v>
      </c>
      <c r="D192" s="35">
        <f t="shared" si="58"/>
        <v>11</v>
      </c>
      <c r="E192" s="889">
        <f t="shared" si="73"/>
        <v>51104</v>
      </c>
      <c r="F192" s="822">
        <f t="shared" si="66"/>
        <v>11</v>
      </c>
      <c r="G192" s="500">
        <f t="shared" si="74"/>
        <v>30</v>
      </c>
      <c r="H192" s="126">
        <f t="shared" si="59"/>
        <v>0</v>
      </c>
      <c r="I192" s="1098">
        <f t="shared" si="75"/>
        <v>0</v>
      </c>
      <c r="J192" s="887">
        <f t="shared" si="71"/>
        <v>173</v>
      </c>
      <c r="K192" s="1099">
        <f t="shared" si="67"/>
        <v>173</v>
      </c>
      <c r="L192" s="891" t="str">
        <f t="shared" si="68"/>
        <v>November</v>
      </c>
      <c r="M192" s="888">
        <f t="shared" si="72"/>
        <v>2039</v>
      </c>
      <c r="N192" s="883">
        <f t="shared" si="69"/>
        <v>0</v>
      </c>
      <c r="O192" s="883">
        <f t="shared" si="76"/>
        <v>0</v>
      </c>
      <c r="P192" s="1100"/>
      <c r="Q192" s="883">
        <f t="shared" si="60"/>
        <v>0</v>
      </c>
      <c r="R192" s="884">
        <f t="shared" si="55"/>
        <v>0</v>
      </c>
      <c r="S192" s="884">
        <f>IF(AND($AS$39="Early Payoff",J192&gt;=$S$13),0,IF($J192&lt;=$S$6,SUM($Q$20:$Q192),0))</f>
        <v>0</v>
      </c>
      <c r="T192" s="884">
        <f>IF(AND($AS$39="Early Payoff",J192&gt;=$S$13),0,IF($J192&lt;=$S$6,SUM($R$20:$R192),0))</f>
        <v>0</v>
      </c>
      <c r="U192" s="885">
        <f t="shared" si="61"/>
        <v>0</v>
      </c>
      <c r="V192" s="1110">
        <f t="shared" si="56"/>
        <v>0</v>
      </c>
      <c r="X192" s="1102">
        <f t="shared" si="62"/>
        <v>0</v>
      </c>
      <c r="Y192" s="873">
        <f t="shared" si="63"/>
        <v>0</v>
      </c>
      <c r="Z192" s="873">
        <f t="shared" si="64"/>
        <v>0</v>
      </c>
      <c r="AA192" s="885">
        <f t="shared" si="65"/>
        <v>0</v>
      </c>
    </row>
    <row r="193" spans="2:27" s="278" customFormat="1" ht="12" customHeight="1" x14ac:dyDescent="0.25">
      <c r="B193" s="1192" t="e">
        <f t="shared" si="70"/>
        <v>#N/A</v>
      </c>
      <c r="C193" s="732">
        <f t="shared" si="57"/>
        <v>31</v>
      </c>
      <c r="D193" s="35">
        <f t="shared" si="58"/>
        <v>12</v>
      </c>
      <c r="E193" s="889">
        <f t="shared" si="73"/>
        <v>51135</v>
      </c>
      <c r="F193" s="822">
        <f t="shared" si="66"/>
        <v>12</v>
      </c>
      <c r="G193" s="500">
        <f t="shared" si="74"/>
        <v>31</v>
      </c>
      <c r="H193" s="126">
        <f t="shared" si="59"/>
        <v>1</v>
      </c>
      <c r="I193" s="1098">
        <f t="shared" si="75"/>
        <v>0</v>
      </c>
      <c r="J193" s="887">
        <f t="shared" si="71"/>
        <v>174</v>
      </c>
      <c r="K193" s="1099">
        <f t="shared" si="67"/>
        <v>174</v>
      </c>
      <c r="L193" s="891" t="str">
        <f t="shared" si="68"/>
        <v>December</v>
      </c>
      <c r="M193" s="888">
        <f t="shared" si="72"/>
        <v>2039</v>
      </c>
      <c r="N193" s="883">
        <f t="shared" si="69"/>
        <v>0</v>
      </c>
      <c r="O193" s="883">
        <f t="shared" si="76"/>
        <v>0</v>
      </c>
      <c r="P193" s="1100"/>
      <c r="Q193" s="883">
        <f t="shared" si="60"/>
        <v>0</v>
      </c>
      <c r="R193" s="884">
        <f t="shared" si="55"/>
        <v>0</v>
      </c>
      <c r="S193" s="884">
        <f>IF(AND($AS$39="Early Payoff",J193&gt;=$S$13),0,IF($J193&lt;=$S$6,SUM($Q$20:$Q193),0))</f>
        <v>0</v>
      </c>
      <c r="T193" s="884">
        <f>IF(AND($AS$39="Early Payoff",J193&gt;=$S$13),0,IF($J193&lt;=$S$6,SUM($R$20:$R193),0))</f>
        <v>0</v>
      </c>
      <c r="U193" s="885">
        <f t="shared" si="61"/>
        <v>0</v>
      </c>
      <c r="V193" s="1110">
        <f t="shared" si="56"/>
        <v>0</v>
      </c>
      <c r="X193" s="1102">
        <f t="shared" si="62"/>
        <v>0</v>
      </c>
      <c r="Y193" s="873">
        <f t="shared" si="63"/>
        <v>0</v>
      </c>
      <c r="Z193" s="873">
        <f t="shared" si="64"/>
        <v>0</v>
      </c>
      <c r="AA193" s="885">
        <f t="shared" si="65"/>
        <v>0</v>
      </c>
    </row>
    <row r="194" spans="2:27" s="278" customFormat="1" ht="12" customHeight="1" x14ac:dyDescent="0.25">
      <c r="B194" s="1192" t="e">
        <f t="shared" si="70"/>
        <v>#N/A</v>
      </c>
      <c r="C194" s="732">
        <f t="shared" si="57"/>
        <v>31</v>
      </c>
      <c r="D194" s="35">
        <f t="shared" si="58"/>
        <v>1</v>
      </c>
      <c r="E194" s="889">
        <f t="shared" si="73"/>
        <v>51166</v>
      </c>
      <c r="F194" s="822">
        <f t="shared" si="66"/>
        <v>1</v>
      </c>
      <c r="G194" s="500">
        <f t="shared" si="74"/>
        <v>31</v>
      </c>
      <c r="H194" s="126">
        <f t="shared" si="59"/>
        <v>0</v>
      </c>
      <c r="I194" s="1098">
        <f t="shared" si="75"/>
        <v>0</v>
      </c>
      <c r="J194" s="887">
        <f t="shared" si="71"/>
        <v>175</v>
      </c>
      <c r="K194" s="1099">
        <f t="shared" si="67"/>
        <v>175</v>
      </c>
      <c r="L194" s="891" t="str">
        <f t="shared" si="68"/>
        <v>January</v>
      </c>
      <c r="M194" s="888">
        <f t="shared" si="72"/>
        <v>2040</v>
      </c>
      <c r="N194" s="883">
        <f t="shared" si="69"/>
        <v>0</v>
      </c>
      <c r="O194" s="883">
        <f t="shared" si="76"/>
        <v>0</v>
      </c>
      <c r="P194" s="1100"/>
      <c r="Q194" s="883">
        <f t="shared" si="60"/>
        <v>0</v>
      </c>
      <c r="R194" s="884">
        <f t="shared" si="55"/>
        <v>0</v>
      </c>
      <c r="S194" s="884">
        <f>IF(AND($AS$39="Early Payoff",J194&gt;=$S$13),0,IF($J194&lt;=$S$6,SUM($Q$20:$Q194),0))</f>
        <v>0</v>
      </c>
      <c r="T194" s="884">
        <f>IF(AND($AS$39="Early Payoff",J194&gt;=$S$13),0,IF($J194&lt;=$S$6,SUM($R$20:$R194),0))</f>
        <v>0</v>
      </c>
      <c r="U194" s="885">
        <f t="shared" si="61"/>
        <v>0</v>
      </c>
      <c r="V194" s="1110">
        <f t="shared" si="56"/>
        <v>0</v>
      </c>
      <c r="X194" s="1102">
        <f t="shared" si="62"/>
        <v>0</v>
      </c>
      <c r="Y194" s="873">
        <f t="shared" si="63"/>
        <v>0</v>
      </c>
      <c r="Z194" s="873">
        <f t="shared" si="64"/>
        <v>0</v>
      </c>
      <c r="AA194" s="885">
        <f t="shared" si="65"/>
        <v>0</v>
      </c>
    </row>
    <row r="195" spans="2:27" s="278" customFormat="1" ht="12" customHeight="1" x14ac:dyDescent="0.25">
      <c r="B195" s="1192" t="e">
        <f t="shared" si="70"/>
        <v>#N/A</v>
      </c>
      <c r="C195" s="732">
        <f t="shared" si="57"/>
        <v>29</v>
      </c>
      <c r="D195" s="35">
        <f t="shared" si="58"/>
        <v>2</v>
      </c>
      <c r="E195" s="889">
        <f t="shared" si="73"/>
        <v>51195</v>
      </c>
      <c r="F195" s="822">
        <f t="shared" si="66"/>
        <v>2</v>
      </c>
      <c r="G195" s="500">
        <f t="shared" si="74"/>
        <v>29</v>
      </c>
      <c r="H195" s="126">
        <f t="shared" si="59"/>
        <v>0</v>
      </c>
      <c r="I195" s="1098">
        <f t="shared" si="75"/>
        <v>0</v>
      </c>
      <c r="J195" s="887">
        <f t="shared" si="71"/>
        <v>176</v>
      </c>
      <c r="K195" s="1099">
        <f t="shared" si="67"/>
        <v>176</v>
      </c>
      <c r="L195" s="891" t="str">
        <f t="shared" si="68"/>
        <v>February</v>
      </c>
      <c r="M195" s="888">
        <f t="shared" si="72"/>
        <v>2040</v>
      </c>
      <c r="N195" s="883">
        <f t="shared" si="69"/>
        <v>0</v>
      </c>
      <c r="O195" s="883">
        <f t="shared" si="76"/>
        <v>0</v>
      </c>
      <c r="P195" s="1100"/>
      <c r="Q195" s="883">
        <f t="shared" si="60"/>
        <v>0</v>
      </c>
      <c r="R195" s="884">
        <f t="shared" si="55"/>
        <v>0</v>
      </c>
      <c r="S195" s="884">
        <f>IF(AND($AS$39="Early Payoff",J195&gt;=$S$13),0,IF($J195&lt;=$S$6,SUM($Q$20:$Q195),0))</f>
        <v>0</v>
      </c>
      <c r="T195" s="884">
        <f>IF(AND($AS$39="Early Payoff",J195&gt;=$S$13),0,IF($J195&lt;=$S$6,SUM($R$20:$R195),0))</f>
        <v>0</v>
      </c>
      <c r="U195" s="885">
        <f t="shared" si="61"/>
        <v>0</v>
      </c>
      <c r="V195" s="1110">
        <f t="shared" si="56"/>
        <v>0</v>
      </c>
      <c r="X195" s="1102">
        <f t="shared" si="62"/>
        <v>0</v>
      </c>
      <c r="Y195" s="873">
        <f t="shared" si="63"/>
        <v>0</v>
      </c>
      <c r="Z195" s="873">
        <f t="shared" si="64"/>
        <v>0</v>
      </c>
      <c r="AA195" s="885">
        <f t="shared" si="65"/>
        <v>0</v>
      </c>
    </row>
    <row r="196" spans="2:27" s="278" customFormat="1" ht="12" customHeight="1" x14ac:dyDescent="0.25">
      <c r="B196" s="1192" t="e">
        <f t="shared" si="70"/>
        <v>#N/A</v>
      </c>
      <c r="C196" s="732">
        <f t="shared" si="57"/>
        <v>31</v>
      </c>
      <c r="D196" s="35">
        <f t="shared" si="58"/>
        <v>3</v>
      </c>
      <c r="E196" s="889">
        <f t="shared" si="73"/>
        <v>51226</v>
      </c>
      <c r="F196" s="822">
        <f t="shared" si="66"/>
        <v>3</v>
      </c>
      <c r="G196" s="500">
        <f t="shared" si="74"/>
        <v>31</v>
      </c>
      <c r="H196" s="126">
        <f t="shared" si="59"/>
        <v>0</v>
      </c>
      <c r="I196" s="1098">
        <f t="shared" si="75"/>
        <v>0</v>
      </c>
      <c r="J196" s="887">
        <f t="shared" si="71"/>
        <v>177</v>
      </c>
      <c r="K196" s="1099">
        <f t="shared" si="67"/>
        <v>177</v>
      </c>
      <c r="L196" s="891" t="str">
        <f t="shared" si="68"/>
        <v>March</v>
      </c>
      <c r="M196" s="888">
        <f t="shared" si="72"/>
        <v>2040</v>
      </c>
      <c r="N196" s="883">
        <f t="shared" si="69"/>
        <v>0</v>
      </c>
      <c r="O196" s="883">
        <f t="shared" si="76"/>
        <v>0</v>
      </c>
      <c r="P196" s="1100"/>
      <c r="Q196" s="883">
        <f t="shared" si="60"/>
        <v>0</v>
      </c>
      <c r="R196" s="884">
        <f t="shared" si="55"/>
        <v>0</v>
      </c>
      <c r="S196" s="884">
        <f>IF(AND($AS$39="Early Payoff",J196&gt;=$S$13),0,IF($J196&lt;=$S$6,SUM($Q$20:$Q196),0))</f>
        <v>0</v>
      </c>
      <c r="T196" s="884">
        <f>IF(AND($AS$39="Early Payoff",J196&gt;=$S$13),0,IF($J196&lt;=$S$6,SUM($R$20:$R196),0))</f>
        <v>0</v>
      </c>
      <c r="U196" s="885">
        <f t="shared" si="61"/>
        <v>0</v>
      </c>
      <c r="V196" s="1110">
        <f t="shared" si="56"/>
        <v>0</v>
      </c>
      <c r="X196" s="1102">
        <f t="shared" si="62"/>
        <v>0</v>
      </c>
      <c r="Y196" s="873">
        <f t="shared" si="63"/>
        <v>0</v>
      </c>
      <c r="Z196" s="873">
        <f t="shared" si="64"/>
        <v>0</v>
      </c>
      <c r="AA196" s="885">
        <f t="shared" si="65"/>
        <v>0</v>
      </c>
    </row>
    <row r="197" spans="2:27" s="278" customFormat="1" ht="12" customHeight="1" x14ac:dyDescent="0.25">
      <c r="B197" s="1192" t="e">
        <f t="shared" si="70"/>
        <v>#N/A</v>
      </c>
      <c r="C197" s="732">
        <f t="shared" si="57"/>
        <v>30</v>
      </c>
      <c r="D197" s="35">
        <f t="shared" si="58"/>
        <v>4</v>
      </c>
      <c r="E197" s="889">
        <f t="shared" si="73"/>
        <v>51256</v>
      </c>
      <c r="F197" s="822">
        <f t="shared" si="66"/>
        <v>4</v>
      </c>
      <c r="G197" s="500">
        <f t="shared" si="74"/>
        <v>30</v>
      </c>
      <c r="H197" s="126">
        <f t="shared" si="59"/>
        <v>0</v>
      </c>
      <c r="I197" s="1098">
        <f t="shared" si="75"/>
        <v>0</v>
      </c>
      <c r="J197" s="887">
        <f t="shared" si="71"/>
        <v>178</v>
      </c>
      <c r="K197" s="1099">
        <f t="shared" si="67"/>
        <v>178</v>
      </c>
      <c r="L197" s="891" t="str">
        <f t="shared" si="68"/>
        <v>April</v>
      </c>
      <c r="M197" s="888">
        <f t="shared" si="72"/>
        <v>2040</v>
      </c>
      <c r="N197" s="883">
        <f t="shared" si="69"/>
        <v>0</v>
      </c>
      <c r="O197" s="883">
        <f t="shared" si="76"/>
        <v>0</v>
      </c>
      <c r="P197" s="1100"/>
      <c r="Q197" s="883">
        <f t="shared" si="60"/>
        <v>0</v>
      </c>
      <c r="R197" s="884">
        <f t="shared" si="55"/>
        <v>0</v>
      </c>
      <c r="S197" s="884">
        <f>IF(AND($AS$39="Early Payoff",J197&gt;=$S$13),0,IF($J197&lt;=$S$6,SUM($Q$20:$Q197),0))</f>
        <v>0</v>
      </c>
      <c r="T197" s="884">
        <f>IF(AND($AS$39="Early Payoff",J197&gt;=$S$13),0,IF($J197&lt;=$S$6,SUM($R$20:$R197),0))</f>
        <v>0</v>
      </c>
      <c r="U197" s="885">
        <f t="shared" si="61"/>
        <v>0</v>
      </c>
      <c r="V197" s="1110">
        <f t="shared" si="56"/>
        <v>0</v>
      </c>
      <c r="X197" s="1102">
        <f t="shared" si="62"/>
        <v>0</v>
      </c>
      <c r="Y197" s="873">
        <f t="shared" si="63"/>
        <v>0</v>
      </c>
      <c r="Z197" s="873">
        <f t="shared" si="64"/>
        <v>0</v>
      </c>
      <c r="AA197" s="885">
        <f t="shared" si="65"/>
        <v>0</v>
      </c>
    </row>
    <row r="198" spans="2:27" s="278" customFormat="1" ht="12" customHeight="1" x14ac:dyDescent="0.25">
      <c r="B198" s="1192" t="e">
        <f t="shared" si="70"/>
        <v>#N/A</v>
      </c>
      <c r="C198" s="732">
        <f t="shared" si="57"/>
        <v>31</v>
      </c>
      <c r="D198" s="35">
        <f t="shared" si="58"/>
        <v>5</v>
      </c>
      <c r="E198" s="889">
        <f t="shared" si="73"/>
        <v>51287</v>
      </c>
      <c r="F198" s="822">
        <f t="shared" si="66"/>
        <v>5</v>
      </c>
      <c r="G198" s="500">
        <f t="shared" si="74"/>
        <v>31</v>
      </c>
      <c r="H198" s="126">
        <f t="shared" si="59"/>
        <v>0</v>
      </c>
      <c r="I198" s="1098">
        <f t="shared" si="75"/>
        <v>0</v>
      </c>
      <c r="J198" s="887">
        <f t="shared" si="71"/>
        <v>179</v>
      </c>
      <c r="K198" s="1099">
        <f t="shared" si="67"/>
        <v>179</v>
      </c>
      <c r="L198" s="891" t="str">
        <f t="shared" si="68"/>
        <v>May</v>
      </c>
      <c r="M198" s="888">
        <f t="shared" si="72"/>
        <v>2040</v>
      </c>
      <c r="N198" s="883">
        <f t="shared" si="69"/>
        <v>0</v>
      </c>
      <c r="O198" s="883">
        <f t="shared" si="76"/>
        <v>0</v>
      </c>
      <c r="P198" s="1100"/>
      <c r="Q198" s="883">
        <f t="shared" si="60"/>
        <v>0</v>
      </c>
      <c r="R198" s="884">
        <f t="shared" ref="R198:R261" si="77">IF(AND($AS$39="Early Payoff",J198&gt;=$S$13),0,IF($T$4="Annual",-$M$7*$U197*1,IF($T$4="Bi-Annual",(-$M$7/2)*$U197*1,IF($T$4="Monthly",(-$M$7/12)*$U197*1))))</f>
        <v>0</v>
      </c>
      <c r="S198" s="884">
        <f>IF(AND($AS$39="Early Payoff",J198&gt;=$S$13),0,IF($J198&lt;=$S$6,SUM($Q$20:$Q198),0))</f>
        <v>0</v>
      </c>
      <c r="T198" s="884">
        <f>IF(AND($AS$39="Early Payoff",J198&gt;=$S$13),0,IF($J198&lt;=$S$6,SUM($R$20:$R198),0))</f>
        <v>0</v>
      </c>
      <c r="U198" s="885">
        <f t="shared" si="61"/>
        <v>0</v>
      </c>
      <c r="V198" s="1110">
        <f t="shared" ref="V198:V261" si="78">IF($T$4="Monthly",$N198,IF(AND(OR($T$4="Annual",$T$4="Bi-Annual"),$K198=$T$7),INDEX($J$19:$U$379,MATCH($T$7,$K$19:$K$2379,0),MATCH($N$19,$J$19:$U$19,0)),IF(AND(OR($T$4="Annual",$T$4="Bi-Annual"),$K198&lt;$T$7),$N198,0)))</f>
        <v>0</v>
      </c>
      <c r="X198" s="1102">
        <f t="shared" si="62"/>
        <v>0</v>
      </c>
      <c r="Y198" s="873">
        <f t="shared" si="63"/>
        <v>0</v>
      </c>
      <c r="Z198" s="873">
        <f t="shared" si="64"/>
        <v>0</v>
      </c>
      <c r="AA198" s="885">
        <f t="shared" si="65"/>
        <v>0</v>
      </c>
    </row>
    <row r="199" spans="2:27" s="278" customFormat="1" ht="12" customHeight="1" x14ac:dyDescent="0.25">
      <c r="B199" s="1192" t="e">
        <f t="shared" si="70"/>
        <v>#N/A</v>
      </c>
      <c r="C199" s="732">
        <f t="shared" si="57"/>
        <v>30</v>
      </c>
      <c r="D199" s="35">
        <f t="shared" si="58"/>
        <v>6</v>
      </c>
      <c r="E199" s="889">
        <f t="shared" si="73"/>
        <v>51317</v>
      </c>
      <c r="F199" s="822">
        <f t="shared" si="66"/>
        <v>6</v>
      </c>
      <c r="G199" s="500">
        <f t="shared" si="74"/>
        <v>30</v>
      </c>
      <c r="H199" s="126">
        <f t="shared" si="59"/>
        <v>0</v>
      </c>
      <c r="I199" s="1098">
        <f t="shared" si="75"/>
        <v>0</v>
      </c>
      <c r="J199" s="887">
        <f t="shared" si="71"/>
        <v>180</v>
      </c>
      <c r="K199" s="1099">
        <f t="shared" si="67"/>
        <v>180</v>
      </c>
      <c r="L199" s="891" t="str">
        <f t="shared" si="68"/>
        <v>June</v>
      </c>
      <c r="M199" s="888">
        <f t="shared" si="72"/>
        <v>2040</v>
      </c>
      <c r="N199" s="883">
        <f t="shared" si="69"/>
        <v>0</v>
      </c>
      <c r="O199" s="883">
        <f t="shared" si="76"/>
        <v>0</v>
      </c>
      <c r="P199" s="1100"/>
      <c r="Q199" s="883">
        <f t="shared" si="60"/>
        <v>0</v>
      </c>
      <c r="R199" s="884">
        <f t="shared" si="77"/>
        <v>0</v>
      </c>
      <c r="S199" s="884">
        <f>IF(AND($AS$39="Early Payoff",J199&gt;=$S$13),0,IF($J199&lt;=$S$6,SUM($Q$20:$Q199),0))</f>
        <v>0</v>
      </c>
      <c r="T199" s="884">
        <f>IF(AND($AS$39="Early Payoff",J199&gt;=$S$13),0,IF($J199&lt;=$S$6,SUM($R$20:$R199),0))</f>
        <v>0</v>
      </c>
      <c r="U199" s="885">
        <f t="shared" si="61"/>
        <v>0</v>
      </c>
      <c r="V199" s="1110">
        <f t="shared" si="78"/>
        <v>0</v>
      </c>
      <c r="X199" s="1102">
        <f t="shared" si="62"/>
        <v>0</v>
      </c>
      <c r="Y199" s="873">
        <f t="shared" si="63"/>
        <v>0</v>
      </c>
      <c r="Z199" s="873">
        <f t="shared" si="64"/>
        <v>0</v>
      </c>
      <c r="AA199" s="885">
        <f t="shared" si="65"/>
        <v>0</v>
      </c>
    </row>
    <row r="200" spans="2:27" s="278" customFormat="1" ht="12" customHeight="1" x14ac:dyDescent="0.25">
      <c r="B200" s="1192" t="e">
        <f t="shared" si="70"/>
        <v>#N/A</v>
      </c>
      <c r="C200" s="732">
        <f t="shared" si="57"/>
        <v>31</v>
      </c>
      <c r="D200" s="35">
        <f t="shared" si="58"/>
        <v>7</v>
      </c>
      <c r="E200" s="889">
        <f t="shared" si="73"/>
        <v>51348</v>
      </c>
      <c r="F200" s="822">
        <f t="shared" si="66"/>
        <v>7</v>
      </c>
      <c r="G200" s="500">
        <f t="shared" si="74"/>
        <v>31</v>
      </c>
      <c r="H200" s="126">
        <f t="shared" si="59"/>
        <v>0</v>
      </c>
      <c r="I200" s="1098">
        <f t="shared" si="75"/>
        <v>0</v>
      </c>
      <c r="J200" s="887">
        <f t="shared" si="71"/>
        <v>181</v>
      </c>
      <c r="K200" s="1099">
        <f t="shared" si="67"/>
        <v>181</v>
      </c>
      <c r="L200" s="891" t="str">
        <f t="shared" si="68"/>
        <v>July</v>
      </c>
      <c r="M200" s="888">
        <f t="shared" si="72"/>
        <v>2040</v>
      </c>
      <c r="N200" s="883">
        <f t="shared" si="69"/>
        <v>0</v>
      </c>
      <c r="O200" s="883">
        <f t="shared" si="76"/>
        <v>0</v>
      </c>
      <c r="P200" s="1100"/>
      <c r="Q200" s="883">
        <f t="shared" si="60"/>
        <v>0</v>
      </c>
      <c r="R200" s="884">
        <f t="shared" si="77"/>
        <v>0</v>
      </c>
      <c r="S200" s="884">
        <f>IF(AND($AS$39="Early Payoff",J200&gt;=$S$13),0,IF($J200&lt;=$S$6,SUM($Q$20:$Q200),0))</f>
        <v>0</v>
      </c>
      <c r="T200" s="884">
        <f>IF(AND($AS$39="Early Payoff",J200&gt;=$S$13),0,IF($J200&lt;=$S$6,SUM($R$20:$R200),0))</f>
        <v>0</v>
      </c>
      <c r="U200" s="885">
        <f t="shared" si="61"/>
        <v>0</v>
      </c>
      <c r="V200" s="1110">
        <f t="shared" si="78"/>
        <v>0</v>
      </c>
      <c r="X200" s="1102">
        <f t="shared" si="62"/>
        <v>0</v>
      </c>
      <c r="Y200" s="873">
        <f t="shared" si="63"/>
        <v>0</v>
      </c>
      <c r="Z200" s="873">
        <f t="shared" si="64"/>
        <v>0</v>
      </c>
      <c r="AA200" s="885">
        <f t="shared" si="65"/>
        <v>0</v>
      </c>
    </row>
    <row r="201" spans="2:27" s="278" customFormat="1" ht="12" customHeight="1" x14ac:dyDescent="0.25">
      <c r="B201" s="1192" t="e">
        <f t="shared" si="70"/>
        <v>#N/A</v>
      </c>
      <c r="C201" s="732">
        <f t="shared" si="57"/>
        <v>31</v>
      </c>
      <c r="D201" s="35">
        <f t="shared" si="58"/>
        <v>8</v>
      </c>
      <c r="E201" s="889">
        <f t="shared" si="73"/>
        <v>51379</v>
      </c>
      <c r="F201" s="822">
        <f t="shared" si="66"/>
        <v>8</v>
      </c>
      <c r="G201" s="500">
        <f t="shared" si="74"/>
        <v>31</v>
      </c>
      <c r="H201" s="126">
        <f t="shared" si="59"/>
        <v>0</v>
      </c>
      <c r="I201" s="1098">
        <f t="shared" si="75"/>
        <v>0</v>
      </c>
      <c r="J201" s="887">
        <f t="shared" si="71"/>
        <v>182</v>
      </c>
      <c r="K201" s="1099">
        <f t="shared" si="67"/>
        <v>182</v>
      </c>
      <c r="L201" s="891" t="str">
        <f t="shared" si="68"/>
        <v>August</v>
      </c>
      <c r="M201" s="888">
        <f t="shared" si="72"/>
        <v>2040</v>
      </c>
      <c r="N201" s="883">
        <f t="shared" si="69"/>
        <v>0</v>
      </c>
      <c r="O201" s="883">
        <f t="shared" si="76"/>
        <v>0</v>
      </c>
      <c r="P201" s="1100"/>
      <c r="Q201" s="883">
        <f t="shared" si="60"/>
        <v>0</v>
      </c>
      <c r="R201" s="884">
        <f t="shared" si="77"/>
        <v>0</v>
      </c>
      <c r="S201" s="884">
        <f>IF(AND($AS$39="Early Payoff",J201&gt;=$S$13),0,IF($J201&lt;=$S$6,SUM($Q$20:$Q201),0))</f>
        <v>0</v>
      </c>
      <c r="T201" s="884">
        <f>IF(AND($AS$39="Early Payoff",J201&gt;=$S$13),0,IF($J201&lt;=$S$6,SUM($R$20:$R201),0))</f>
        <v>0</v>
      </c>
      <c r="U201" s="885">
        <f t="shared" si="61"/>
        <v>0</v>
      </c>
      <c r="V201" s="1110">
        <f t="shared" si="78"/>
        <v>0</v>
      </c>
      <c r="X201" s="1102">
        <f t="shared" si="62"/>
        <v>0</v>
      </c>
      <c r="Y201" s="873">
        <f t="shared" si="63"/>
        <v>0</v>
      </c>
      <c r="Z201" s="873">
        <f t="shared" si="64"/>
        <v>0</v>
      </c>
      <c r="AA201" s="885">
        <f t="shared" si="65"/>
        <v>0</v>
      </c>
    </row>
    <row r="202" spans="2:27" s="278" customFormat="1" ht="12" customHeight="1" x14ac:dyDescent="0.25">
      <c r="B202" s="1192" t="e">
        <f t="shared" si="70"/>
        <v>#N/A</v>
      </c>
      <c r="C202" s="732">
        <f t="shared" si="57"/>
        <v>30</v>
      </c>
      <c r="D202" s="35">
        <f t="shared" si="58"/>
        <v>9</v>
      </c>
      <c r="E202" s="889">
        <f t="shared" si="73"/>
        <v>51409</v>
      </c>
      <c r="F202" s="822">
        <f t="shared" si="66"/>
        <v>9</v>
      </c>
      <c r="G202" s="500">
        <f t="shared" si="74"/>
        <v>30</v>
      </c>
      <c r="H202" s="126">
        <f t="shared" si="59"/>
        <v>0</v>
      </c>
      <c r="I202" s="1098">
        <f t="shared" si="75"/>
        <v>0</v>
      </c>
      <c r="J202" s="887">
        <f t="shared" si="71"/>
        <v>183</v>
      </c>
      <c r="K202" s="1099">
        <f t="shared" si="67"/>
        <v>183</v>
      </c>
      <c r="L202" s="891" t="str">
        <f t="shared" si="68"/>
        <v>September</v>
      </c>
      <c r="M202" s="888">
        <f t="shared" si="72"/>
        <v>2040</v>
      </c>
      <c r="N202" s="883">
        <f t="shared" si="69"/>
        <v>0</v>
      </c>
      <c r="O202" s="883">
        <f t="shared" si="76"/>
        <v>0</v>
      </c>
      <c r="P202" s="1100"/>
      <c r="Q202" s="883">
        <f t="shared" si="60"/>
        <v>0</v>
      </c>
      <c r="R202" s="884">
        <f t="shared" si="77"/>
        <v>0</v>
      </c>
      <c r="S202" s="884">
        <f>IF(AND($AS$39="Early Payoff",J202&gt;=$S$13),0,IF($J202&lt;=$S$6,SUM($Q$20:$Q202),0))</f>
        <v>0</v>
      </c>
      <c r="T202" s="884">
        <f>IF(AND($AS$39="Early Payoff",J202&gt;=$S$13),0,IF($J202&lt;=$S$6,SUM($R$20:$R202),0))</f>
        <v>0</v>
      </c>
      <c r="U202" s="885">
        <f t="shared" si="61"/>
        <v>0</v>
      </c>
      <c r="V202" s="1110">
        <f t="shared" si="78"/>
        <v>0</v>
      </c>
      <c r="X202" s="1102">
        <f t="shared" si="62"/>
        <v>0</v>
      </c>
      <c r="Y202" s="873">
        <f t="shared" si="63"/>
        <v>0</v>
      </c>
      <c r="Z202" s="873">
        <f t="shared" si="64"/>
        <v>0</v>
      </c>
      <c r="AA202" s="885">
        <f t="shared" si="65"/>
        <v>0</v>
      </c>
    </row>
    <row r="203" spans="2:27" s="278" customFormat="1" ht="12" customHeight="1" x14ac:dyDescent="0.25">
      <c r="B203" s="1192" t="e">
        <f t="shared" si="70"/>
        <v>#N/A</v>
      </c>
      <c r="C203" s="732">
        <f t="shared" si="57"/>
        <v>31</v>
      </c>
      <c r="D203" s="35">
        <f t="shared" si="58"/>
        <v>10</v>
      </c>
      <c r="E203" s="889">
        <f t="shared" si="73"/>
        <v>51440</v>
      </c>
      <c r="F203" s="822">
        <f t="shared" si="66"/>
        <v>10</v>
      </c>
      <c r="G203" s="500">
        <f t="shared" si="74"/>
        <v>31</v>
      </c>
      <c r="H203" s="126">
        <f t="shared" si="59"/>
        <v>0</v>
      </c>
      <c r="I203" s="1098">
        <f t="shared" si="75"/>
        <v>0</v>
      </c>
      <c r="J203" s="887">
        <f t="shared" si="71"/>
        <v>184</v>
      </c>
      <c r="K203" s="1099">
        <f t="shared" si="67"/>
        <v>184</v>
      </c>
      <c r="L203" s="891" t="str">
        <f t="shared" si="68"/>
        <v>October</v>
      </c>
      <c r="M203" s="888">
        <f t="shared" si="72"/>
        <v>2040</v>
      </c>
      <c r="N203" s="883">
        <f t="shared" si="69"/>
        <v>0</v>
      </c>
      <c r="O203" s="883">
        <f t="shared" si="76"/>
        <v>0</v>
      </c>
      <c r="P203" s="1100"/>
      <c r="Q203" s="883">
        <f t="shared" si="60"/>
        <v>0</v>
      </c>
      <c r="R203" s="884">
        <f t="shared" si="77"/>
        <v>0</v>
      </c>
      <c r="S203" s="884">
        <f>IF(AND($AS$39="Early Payoff",J203&gt;=$S$13),0,IF($J203&lt;=$S$6,SUM($Q$20:$Q203),0))</f>
        <v>0</v>
      </c>
      <c r="T203" s="884">
        <f>IF(AND($AS$39="Early Payoff",J203&gt;=$S$13),0,IF($J203&lt;=$S$6,SUM($R$20:$R203),0))</f>
        <v>0</v>
      </c>
      <c r="U203" s="885">
        <f t="shared" si="61"/>
        <v>0</v>
      </c>
      <c r="V203" s="1110">
        <f t="shared" si="78"/>
        <v>0</v>
      </c>
      <c r="X203" s="1102">
        <f t="shared" si="62"/>
        <v>0</v>
      </c>
      <c r="Y203" s="873">
        <f t="shared" si="63"/>
        <v>0</v>
      </c>
      <c r="Z203" s="873">
        <f t="shared" si="64"/>
        <v>0</v>
      </c>
      <c r="AA203" s="885">
        <f t="shared" si="65"/>
        <v>0</v>
      </c>
    </row>
    <row r="204" spans="2:27" s="278" customFormat="1" ht="12" customHeight="1" x14ac:dyDescent="0.25">
      <c r="B204" s="1192" t="e">
        <f t="shared" si="70"/>
        <v>#N/A</v>
      </c>
      <c r="C204" s="732">
        <f t="shared" si="57"/>
        <v>30</v>
      </c>
      <c r="D204" s="35">
        <f t="shared" si="58"/>
        <v>11</v>
      </c>
      <c r="E204" s="889">
        <f t="shared" si="73"/>
        <v>51470</v>
      </c>
      <c r="F204" s="822">
        <f t="shared" si="66"/>
        <v>11</v>
      </c>
      <c r="G204" s="500">
        <f t="shared" si="74"/>
        <v>30</v>
      </c>
      <c r="H204" s="126">
        <f t="shared" si="59"/>
        <v>0</v>
      </c>
      <c r="I204" s="1098">
        <f t="shared" si="75"/>
        <v>0</v>
      </c>
      <c r="J204" s="887">
        <f t="shared" si="71"/>
        <v>185</v>
      </c>
      <c r="K204" s="1099">
        <f t="shared" si="67"/>
        <v>185</v>
      </c>
      <c r="L204" s="891" t="str">
        <f t="shared" si="68"/>
        <v>November</v>
      </c>
      <c r="M204" s="888">
        <f t="shared" si="72"/>
        <v>2040</v>
      </c>
      <c r="N204" s="883">
        <f t="shared" si="69"/>
        <v>0</v>
      </c>
      <c r="O204" s="883">
        <f t="shared" si="76"/>
        <v>0</v>
      </c>
      <c r="P204" s="1100"/>
      <c r="Q204" s="883">
        <f t="shared" si="60"/>
        <v>0</v>
      </c>
      <c r="R204" s="884">
        <f t="shared" si="77"/>
        <v>0</v>
      </c>
      <c r="S204" s="884">
        <f>IF(AND($AS$39="Early Payoff",J204&gt;=$S$13),0,IF($J204&lt;=$S$6,SUM($Q$20:$Q204),0))</f>
        <v>0</v>
      </c>
      <c r="T204" s="884">
        <f>IF(AND($AS$39="Early Payoff",J204&gt;=$S$13),0,IF($J204&lt;=$S$6,SUM($R$20:$R204),0))</f>
        <v>0</v>
      </c>
      <c r="U204" s="885">
        <f t="shared" si="61"/>
        <v>0</v>
      </c>
      <c r="V204" s="1110">
        <f t="shared" si="78"/>
        <v>0</v>
      </c>
      <c r="X204" s="1102">
        <f t="shared" si="62"/>
        <v>0</v>
      </c>
      <c r="Y204" s="873">
        <f t="shared" si="63"/>
        <v>0</v>
      </c>
      <c r="Z204" s="873">
        <f t="shared" si="64"/>
        <v>0</v>
      </c>
      <c r="AA204" s="885">
        <f t="shared" si="65"/>
        <v>0</v>
      </c>
    </row>
    <row r="205" spans="2:27" s="278" customFormat="1" ht="12" customHeight="1" x14ac:dyDescent="0.25">
      <c r="B205" s="1192" t="e">
        <f t="shared" si="70"/>
        <v>#N/A</v>
      </c>
      <c r="C205" s="732">
        <f t="shared" si="57"/>
        <v>31</v>
      </c>
      <c r="D205" s="35">
        <f t="shared" si="58"/>
        <v>12</v>
      </c>
      <c r="E205" s="889">
        <f t="shared" si="73"/>
        <v>51501</v>
      </c>
      <c r="F205" s="822">
        <f t="shared" si="66"/>
        <v>12</v>
      </c>
      <c r="G205" s="500">
        <f t="shared" si="74"/>
        <v>31</v>
      </c>
      <c r="H205" s="126">
        <f t="shared" si="59"/>
        <v>1</v>
      </c>
      <c r="I205" s="1098">
        <f t="shared" si="75"/>
        <v>0</v>
      </c>
      <c r="J205" s="887">
        <f t="shared" si="71"/>
        <v>186</v>
      </c>
      <c r="K205" s="1099">
        <f t="shared" si="67"/>
        <v>186</v>
      </c>
      <c r="L205" s="891" t="str">
        <f t="shared" si="68"/>
        <v>December</v>
      </c>
      <c r="M205" s="888">
        <f t="shared" si="72"/>
        <v>2040</v>
      </c>
      <c r="N205" s="883">
        <f t="shared" si="69"/>
        <v>0</v>
      </c>
      <c r="O205" s="883">
        <f t="shared" si="76"/>
        <v>0</v>
      </c>
      <c r="P205" s="1100"/>
      <c r="Q205" s="883">
        <f t="shared" si="60"/>
        <v>0</v>
      </c>
      <c r="R205" s="884">
        <f t="shared" si="77"/>
        <v>0</v>
      </c>
      <c r="S205" s="884">
        <f>IF(AND($AS$39="Early Payoff",J205&gt;=$S$13),0,IF($J205&lt;=$S$6,SUM($Q$20:$Q205),0))</f>
        <v>0</v>
      </c>
      <c r="T205" s="884">
        <f>IF(AND($AS$39="Early Payoff",J205&gt;=$S$13),0,IF($J205&lt;=$S$6,SUM($R$20:$R205),0))</f>
        <v>0</v>
      </c>
      <c r="U205" s="885">
        <f t="shared" si="61"/>
        <v>0</v>
      </c>
      <c r="V205" s="1110">
        <f t="shared" si="78"/>
        <v>0</v>
      </c>
      <c r="X205" s="1102">
        <f t="shared" si="62"/>
        <v>0</v>
      </c>
      <c r="Y205" s="873">
        <f t="shared" si="63"/>
        <v>0</v>
      </c>
      <c r="Z205" s="873">
        <f t="shared" si="64"/>
        <v>0</v>
      </c>
      <c r="AA205" s="885">
        <f t="shared" si="65"/>
        <v>0</v>
      </c>
    </row>
    <row r="206" spans="2:27" s="278" customFormat="1" ht="12" customHeight="1" x14ac:dyDescent="0.25">
      <c r="B206" s="1192" t="e">
        <f t="shared" si="70"/>
        <v>#N/A</v>
      </c>
      <c r="C206" s="732">
        <f t="shared" si="57"/>
        <v>31</v>
      </c>
      <c r="D206" s="35">
        <f t="shared" si="58"/>
        <v>1</v>
      </c>
      <c r="E206" s="889">
        <f t="shared" si="73"/>
        <v>51532</v>
      </c>
      <c r="F206" s="822">
        <f t="shared" si="66"/>
        <v>1</v>
      </c>
      <c r="G206" s="500">
        <f t="shared" si="74"/>
        <v>31</v>
      </c>
      <c r="H206" s="126">
        <f t="shared" si="59"/>
        <v>0</v>
      </c>
      <c r="I206" s="1098">
        <f t="shared" si="75"/>
        <v>0</v>
      </c>
      <c r="J206" s="887">
        <f t="shared" si="71"/>
        <v>187</v>
      </c>
      <c r="K206" s="1099">
        <f t="shared" si="67"/>
        <v>187</v>
      </c>
      <c r="L206" s="891" t="str">
        <f t="shared" si="68"/>
        <v>January</v>
      </c>
      <c r="M206" s="888">
        <f t="shared" si="72"/>
        <v>2041</v>
      </c>
      <c r="N206" s="883">
        <f t="shared" si="69"/>
        <v>0</v>
      </c>
      <c r="O206" s="883">
        <f t="shared" si="76"/>
        <v>0</v>
      </c>
      <c r="P206" s="1100"/>
      <c r="Q206" s="883">
        <f t="shared" si="60"/>
        <v>0</v>
      </c>
      <c r="R206" s="884">
        <f t="shared" si="77"/>
        <v>0</v>
      </c>
      <c r="S206" s="884">
        <f>IF(AND($AS$39="Early Payoff",J206&gt;=$S$13),0,IF($J206&lt;=$S$6,SUM($Q$20:$Q206),0))</f>
        <v>0</v>
      </c>
      <c r="T206" s="884">
        <f>IF(AND($AS$39="Early Payoff",J206&gt;=$S$13),0,IF($J206&lt;=$S$6,SUM($R$20:$R206),0))</f>
        <v>0</v>
      </c>
      <c r="U206" s="885">
        <f t="shared" si="61"/>
        <v>0</v>
      </c>
      <c r="V206" s="1110">
        <f t="shared" si="78"/>
        <v>0</v>
      </c>
      <c r="X206" s="1102">
        <f t="shared" si="62"/>
        <v>0</v>
      </c>
      <c r="Y206" s="873">
        <f t="shared" si="63"/>
        <v>0</v>
      </c>
      <c r="Z206" s="873">
        <f t="shared" si="64"/>
        <v>0</v>
      </c>
      <c r="AA206" s="885">
        <f t="shared" si="65"/>
        <v>0</v>
      </c>
    </row>
    <row r="207" spans="2:27" s="278" customFormat="1" ht="12" customHeight="1" x14ac:dyDescent="0.25">
      <c r="B207" s="1192" t="e">
        <f t="shared" si="70"/>
        <v>#N/A</v>
      </c>
      <c r="C207" s="732">
        <f t="shared" si="57"/>
        <v>28</v>
      </c>
      <c r="D207" s="35">
        <f t="shared" si="58"/>
        <v>2</v>
      </c>
      <c r="E207" s="889">
        <f t="shared" si="73"/>
        <v>51560</v>
      </c>
      <c r="F207" s="822">
        <f t="shared" si="66"/>
        <v>2</v>
      </c>
      <c r="G207" s="500">
        <f t="shared" si="74"/>
        <v>28</v>
      </c>
      <c r="H207" s="126">
        <f t="shared" si="59"/>
        <v>0</v>
      </c>
      <c r="I207" s="1098">
        <f t="shared" si="75"/>
        <v>0</v>
      </c>
      <c r="J207" s="887">
        <f t="shared" si="71"/>
        <v>188</v>
      </c>
      <c r="K207" s="1099">
        <f t="shared" si="67"/>
        <v>188</v>
      </c>
      <c r="L207" s="891" t="str">
        <f t="shared" si="68"/>
        <v>February</v>
      </c>
      <c r="M207" s="888">
        <f t="shared" si="72"/>
        <v>2041</v>
      </c>
      <c r="N207" s="883">
        <f t="shared" si="69"/>
        <v>0</v>
      </c>
      <c r="O207" s="883">
        <f t="shared" si="76"/>
        <v>0</v>
      </c>
      <c r="P207" s="1100"/>
      <c r="Q207" s="883">
        <f t="shared" si="60"/>
        <v>0</v>
      </c>
      <c r="R207" s="884">
        <f t="shared" si="77"/>
        <v>0</v>
      </c>
      <c r="S207" s="884">
        <f>IF(AND($AS$39="Early Payoff",J207&gt;=$S$13),0,IF($J207&lt;=$S$6,SUM($Q$20:$Q207),0))</f>
        <v>0</v>
      </c>
      <c r="T207" s="884">
        <f>IF(AND($AS$39="Early Payoff",J207&gt;=$S$13),0,IF($J207&lt;=$S$6,SUM($R$20:$R207),0))</f>
        <v>0</v>
      </c>
      <c r="U207" s="885">
        <f t="shared" si="61"/>
        <v>0</v>
      </c>
      <c r="V207" s="1110">
        <f t="shared" si="78"/>
        <v>0</v>
      </c>
      <c r="X207" s="1102">
        <f t="shared" si="62"/>
        <v>0</v>
      </c>
      <c r="Y207" s="873">
        <f t="shared" si="63"/>
        <v>0</v>
      </c>
      <c r="Z207" s="873">
        <f t="shared" si="64"/>
        <v>0</v>
      </c>
      <c r="AA207" s="885">
        <f t="shared" si="65"/>
        <v>0</v>
      </c>
    </row>
    <row r="208" spans="2:27" s="278" customFormat="1" ht="12" customHeight="1" x14ac:dyDescent="0.25">
      <c r="B208" s="1192" t="e">
        <f t="shared" si="70"/>
        <v>#N/A</v>
      </c>
      <c r="C208" s="732">
        <f t="shared" si="57"/>
        <v>31</v>
      </c>
      <c r="D208" s="35">
        <f t="shared" si="58"/>
        <v>3</v>
      </c>
      <c r="E208" s="889">
        <f t="shared" si="73"/>
        <v>51591</v>
      </c>
      <c r="F208" s="822">
        <f t="shared" si="66"/>
        <v>3</v>
      </c>
      <c r="G208" s="500">
        <f t="shared" si="74"/>
        <v>31</v>
      </c>
      <c r="H208" s="126">
        <f t="shared" si="59"/>
        <v>0</v>
      </c>
      <c r="I208" s="1098">
        <f t="shared" si="75"/>
        <v>0</v>
      </c>
      <c r="J208" s="887">
        <f t="shared" si="71"/>
        <v>189</v>
      </c>
      <c r="K208" s="1099">
        <f t="shared" si="67"/>
        <v>189</v>
      </c>
      <c r="L208" s="891" t="str">
        <f t="shared" si="68"/>
        <v>March</v>
      </c>
      <c r="M208" s="888">
        <f t="shared" si="72"/>
        <v>2041</v>
      </c>
      <c r="N208" s="883">
        <f t="shared" si="69"/>
        <v>0</v>
      </c>
      <c r="O208" s="883">
        <f t="shared" si="76"/>
        <v>0</v>
      </c>
      <c r="P208" s="1100"/>
      <c r="Q208" s="883">
        <f t="shared" si="60"/>
        <v>0</v>
      </c>
      <c r="R208" s="884">
        <f t="shared" si="77"/>
        <v>0</v>
      </c>
      <c r="S208" s="884">
        <f>IF(AND($AS$39="Early Payoff",J208&gt;=$S$13),0,IF($J208&lt;=$S$6,SUM($Q$20:$Q208),0))</f>
        <v>0</v>
      </c>
      <c r="T208" s="884">
        <f>IF(AND($AS$39="Early Payoff",J208&gt;=$S$13),0,IF($J208&lt;=$S$6,SUM($R$20:$R208),0))</f>
        <v>0</v>
      </c>
      <c r="U208" s="885">
        <f t="shared" si="61"/>
        <v>0</v>
      </c>
      <c r="V208" s="1110">
        <f t="shared" si="78"/>
        <v>0</v>
      </c>
      <c r="X208" s="1102">
        <f t="shared" si="62"/>
        <v>0</v>
      </c>
      <c r="Y208" s="873">
        <f t="shared" si="63"/>
        <v>0</v>
      </c>
      <c r="Z208" s="873">
        <f t="shared" si="64"/>
        <v>0</v>
      </c>
      <c r="AA208" s="885">
        <f t="shared" si="65"/>
        <v>0</v>
      </c>
    </row>
    <row r="209" spans="2:27" s="278" customFormat="1" ht="12" customHeight="1" x14ac:dyDescent="0.25">
      <c r="B209" s="1192" t="e">
        <f t="shared" si="70"/>
        <v>#N/A</v>
      </c>
      <c r="C209" s="732">
        <f t="shared" si="57"/>
        <v>30</v>
      </c>
      <c r="D209" s="35">
        <f t="shared" si="58"/>
        <v>4</v>
      </c>
      <c r="E209" s="889">
        <f t="shared" si="73"/>
        <v>51621</v>
      </c>
      <c r="F209" s="822">
        <f t="shared" si="66"/>
        <v>4</v>
      </c>
      <c r="G209" s="500">
        <f t="shared" si="74"/>
        <v>30</v>
      </c>
      <c r="H209" s="126">
        <f t="shared" si="59"/>
        <v>0</v>
      </c>
      <c r="I209" s="1098">
        <f t="shared" si="75"/>
        <v>0</v>
      </c>
      <c r="J209" s="887">
        <f t="shared" si="71"/>
        <v>190</v>
      </c>
      <c r="K209" s="1099">
        <f t="shared" si="67"/>
        <v>190</v>
      </c>
      <c r="L209" s="891" t="str">
        <f t="shared" si="68"/>
        <v>April</v>
      </c>
      <c r="M209" s="888">
        <f t="shared" si="72"/>
        <v>2041</v>
      </c>
      <c r="N209" s="883">
        <f t="shared" si="69"/>
        <v>0</v>
      </c>
      <c r="O209" s="883">
        <f t="shared" si="76"/>
        <v>0</v>
      </c>
      <c r="P209" s="1100"/>
      <c r="Q209" s="883">
        <f t="shared" si="60"/>
        <v>0</v>
      </c>
      <c r="R209" s="884">
        <f t="shared" si="77"/>
        <v>0</v>
      </c>
      <c r="S209" s="884">
        <f>IF(AND($AS$39="Early Payoff",J209&gt;=$S$13),0,IF($J209&lt;=$S$6,SUM($Q$20:$Q209),0))</f>
        <v>0</v>
      </c>
      <c r="T209" s="884">
        <f>IF(AND($AS$39="Early Payoff",J209&gt;=$S$13),0,IF($J209&lt;=$S$6,SUM($R$20:$R209),0))</f>
        <v>0</v>
      </c>
      <c r="U209" s="885">
        <f t="shared" si="61"/>
        <v>0</v>
      </c>
      <c r="V209" s="1110">
        <f t="shared" si="78"/>
        <v>0</v>
      </c>
      <c r="X209" s="1102">
        <f t="shared" si="62"/>
        <v>0</v>
      </c>
      <c r="Y209" s="873">
        <f t="shared" si="63"/>
        <v>0</v>
      </c>
      <c r="Z209" s="873">
        <f t="shared" si="64"/>
        <v>0</v>
      </c>
      <c r="AA209" s="885">
        <f t="shared" si="65"/>
        <v>0</v>
      </c>
    </row>
    <row r="210" spans="2:27" s="278" customFormat="1" ht="12" customHeight="1" x14ac:dyDescent="0.25">
      <c r="B210" s="1192" t="e">
        <f t="shared" si="70"/>
        <v>#N/A</v>
      </c>
      <c r="C210" s="732">
        <f t="shared" si="57"/>
        <v>31</v>
      </c>
      <c r="D210" s="35">
        <f t="shared" si="58"/>
        <v>5</v>
      </c>
      <c r="E210" s="889">
        <f t="shared" si="73"/>
        <v>51652</v>
      </c>
      <c r="F210" s="822">
        <f t="shared" si="66"/>
        <v>5</v>
      </c>
      <c r="G210" s="500">
        <f t="shared" si="74"/>
        <v>31</v>
      </c>
      <c r="H210" s="126">
        <f t="shared" si="59"/>
        <v>0</v>
      </c>
      <c r="I210" s="1098">
        <f t="shared" si="75"/>
        <v>0</v>
      </c>
      <c r="J210" s="887">
        <f t="shared" si="71"/>
        <v>191</v>
      </c>
      <c r="K210" s="1099">
        <f t="shared" si="67"/>
        <v>191</v>
      </c>
      <c r="L210" s="891" t="str">
        <f t="shared" si="68"/>
        <v>May</v>
      </c>
      <c r="M210" s="888">
        <f t="shared" si="72"/>
        <v>2041</v>
      </c>
      <c r="N210" s="883">
        <f t="shared" si="69"/>
        <v>0</v>
      </c>
      <c r="O210" s="883">
        <f t="shared" si="76"/>
        <v>0</v>
      </c>
      <c r="P210" s="1100"/>
      <c r="Q210" s="883">
        <f t="shared" si="60"/>
        <v>0</v>
      </c>
      <c r="R210" s="884">
        <f t="shared" si="77"/>
        <v>0</v>
      </c>
      <c r="S210" s="884">
        <f>IF(AND($AS$39="Early Payoff",J210&gt;=$S$13),0,IF($J210&lt;=$S$6,SUM($Q$20:$Q210),0))</f>
        <v>0</v>
      </c>
      <c r="T210" s="884">
        <f>IF(AND($AS$39="Early Payoff",J210&gt;=$S$13),0,IF($J210&lt;=$S$6,SUM($R$20:$R210),0))</f>
        <v>0</v>
      </c>
      <c r="U210" s="885">
        <f t="shared" si="61"/>
        <v>0</v>
      </c>
      <c r="V210" s="1110">
        <f t="shared" si="78"/>
        <v>0</v>
      </c>
      <c r="X210" s="1102">
        <f t="shared" si="62"/>
        <v>0</v>
      </c>
      <c r="Y210" s="873">
        <f t="shared" si="63"/>
        <v>0</v>
      </c>
      <c r="Z210" s="873">
        <f t="shared" si="64"/>
        <v>0</v>
      </c>
      <c r="AA210" s="885">
        <f t="shared" si="65"/>
        <v>0</v>
      </c>
    </row>
    <row r="211" spans="2:27" s="278" customFormat="1" ht="12" customHeight="1" x14ac:dyDescent="0.25">
      <c r="B211" s="1192" t="e">
        <f t="shared" si="70"/>
        <v>#N/A</v>
      </c>
      <c r="C211" s="732">
        <f t="shared" si="57"/>
        <v>30</v>
      </c>
      <c r="D211" s="35">
        <f t="shared" si="58"/>
        <v>6</v>
      </c>
      <c r="E211" s="889">
        <f t="shared" si="73"/>
        <v>51682</v>
      </c>
      <c r="F211" s="822">
        <f t="shared" si="66"/>
        <v>6</v>
      </c>
      <c r="G211" s="500">
        <f t="shared" si="74"/>
        <v>30</v>
      </c>
      <c r="H211" s="126">
        <f t="shared" si="59"/>
        <v>0</v>
      </c>
      <c r="I211" s="1098">
        <f t="shared" si="75"/>
        <v>0</v>
      </c>
      <c r="J211" s="887">
        <f t="shared" si="71"/>
        <v>192</v>
      </c>
      <c r="K211" s="1099">
        <f t="shared" si="67"/>
        <v>192</v>
      </c>
      <c r="L211" s="891" t="str">
        <f t="shared" si="68"/>
        <v>June</v>
      </c>
      <c r="M211" s="888">
        <f t="shared" si="72"/>
        <v>2041</v>
      </c>
      <c r="N211" s="883">
        <f t="shared" si="69"/>
        <v>0</v>
      </c>
      <c r="O211" s="883">
        <f t="shared" si="76"/>
        <v>0</v>
      </c>
      <c r="P211" s="1100"/>
      <c r="Q211" s="883">
        <f t="shared" si="60"/>
        <v>0</v>
      </c>
      <c r="R211" s="884">
        <f t="shared" si="77"/>
        <v>0</v>
      </c>
      <c r="S211" s="884">
        <f>IF(AND($AS$39="Early Payoff",J211&gt;=$S$13),0,IF($J211&lt;=$S$6,SUM($Q$20:$Q211),0))</f>
        <v>0</v>
      </c>
      <c r="T211" s="884">
        <f>IF(AND($AS$39="Early Payoff",J211&gt;=$S$13),0,IF($J211&lt;=$S$6,SUM($R$20:$R211),0))</f>
        <v>0</v>
      </c>
      <c r="U211" s="885">
        <f t="shared" si="61"/>
        <v>0</v>
      </c>
      <c r="V211" s="1110">
        <f t="shared" si="78"/>
        <v>0</v>
      </c>
      <c r="X211" s="1102">
        <f t="shared" si="62"/>
        <v>0</v>
      </c>
      <c r="Y211" s="873">
        <f t="shared" si="63"/>
        <v>0</v>
      </c>
      <c r="Z211" s="873">
        <f t="shared" si="64"/>
        <v>0</v>
      </c>
      <c r="AA211" s="885">
        <f t="shared" si="65"/>
        <v>0</v>
      </c>
    </row>
    <row r="212" spans="2:27" s="278" customFormat="1" ht="12" customHeight="1" x14ac:dyDescent="0.25">
      <c r="B212" s="1192" t="e">
        <f t="shared" si="70"/>
        <v>#N/A</v>
      </c>
      <c r="C212" s="732">
        <f t="shared" ref="C212:C275" si="79">DAY(EOMONTH(DATE($M212,$D212,1),0))</f>
        <v>31</v>
      </c>
      <c r="D212" s="35">
        <f t="shared" ref="D212:D275" si="80">INDEX($AT$22:$AU$34,MATCH($L212,$AT$22:$AT$34,0),MATCH("Number",$AT$22:$AU$22,0))</f>
        <v>7</v>
      </c>
      <c r="E212" s="889">
        <f t="shared" si="73"/>
        <v>51713</v>
      </c>
      <c r="F212" s="822">
        <f t="shared" si="66"/>
        <v>7</v>
      </c>
      <c r="G212" s="500">
        <f t="shared" si="74"/>
        <v>31</v>
      </c>
      <c r="H212" s="126">
        <f t="shared" ref="H212:H275" si="81">IF($T$4="Monthly",INDEX($AT$36:$AU$48,MATCH($L212,$AT$36:$AT$48,0),MATCH("Number",$AT$36:$AU$36,0)),0)</f>
        <v>0</v>
      </c>
      <c r="I212" s="1098">
        <f t="shared" si="75"/>
        <v>0</v>
      </c>
      <c r="J212" s="887">
        <f t="shared" si="71"/>
        <v>193</v>
      </c>
      <c r="K212" s="1099">
        <f t="shared" si="67"/>
        <v>193</v>
      </c>
      <c r="L212" s="891" t="str">
        <f t="shared" si="68"/>
        <v>July</v>
      </c>
      <c r="M212" s="888">
        <f t="shared" si="72"/>
        <v>2041</v>
      </c>
      <c r="N212" s="883">
        <f t="shared" si="69"/>
        <v>0</v>
      </c>
      <c r="O212" s="883">
        <f t="shared" si="76"/>
        <v>0</v>
      </c>
      <c r="P212" s="1100"/>
      <c r="Q212" s="883">
        <f t="shared" ref="Q212:Q275" si="82">IF(AND($AS$39="Early Payoff",J212&gt;=$S$13),0,IF($J212&gt;$S$6,0,IF(AND($AR$29&gt;0,$J212&lt;=$AR$29),0,+$O212-$R212)))</f>
        <v>0</v>
      </c>
      <c r="R212" s="884">
        <f t="shared" si="77"/>
        <v>0</v>
      </c>
      <c r="S212" s="884">
        <f>IF(AND($AS$39="Early Payoff",J212&gt;=$S$13),0,IF($J212&lt;=$S$6,SUM($Q$20:$Q212),0))</f>
        <v>0</v>
      </c>
      <c r="T212" s="884">
        <f>IF(AND($AS$39="Early Payoff",J212&gt;=$S$13),0,IF($J212&lt;=$S$6,SUM($R$20:$R212),0))</f>
        <v>0</v>
      </c>
      <c r="U212" s="885">
        <f t="shared" ref="U212:U275" si="83">IF($K212&lt;$S$13,SUM($N212,$Q212),0)</f>
        <v>0</v>
      </c>
      <c r="V212" s="1110">
        <f t="shared" si="78"/>
        <v>0</v>
      </c>
      <c r="X212" s="1102">
        <f t="shared" ref="X212:X275" si="84">IF($J212&gt;$S$6,0,IF($J212&lt;=$AR$27,0,IF(AND($Y$5="%/Payment",$AA$5=0),$O212*$Z$5,IF(AND($Y$5="%/Payment",$AA$5&gt;0,($O212*$Z$5)&lt;$AA$5),$O212*$Z$5,IF(AND($Y$5="%/Payment",$AA$5&gt;0,($O212*$Z$5)&gt;$AA$5),-$AA$5,IF(AND($Y$5="%/Balance",$AA$5=0),-$U212*$Z$5,IF(AND($Y$5="%/Balance",$AA$5&gt;0,($U212*$Z$5)&lt;$AA$5),-$U212*$Z$5,IF(AND($Y$5="%/Balance",$AA$5&gt;0,($U212*$Z$5)&gt;$AA$5),-$AA$5,IF($Y$5="Fixed Amount",-$Z$5,IF($Y$5="N/A",0))))))))))</f>
        <v>0</v>
      </c>
      <c r="Y212" s="873">
        <f t="shared" ref="Y212:Y275" si="85">IF($J212&gt;$S$6,0,IF($J212&lt;=$AR$27,0,IF(AND($Y$6="%/Payment",$AA$6=0),$O212*$Z$6,IF(AND($Y$6="%/Payment",$AA$6&gt;0,($O212*$Z$6)&lt;$AA$6),$O212*$Z$6,IF(AND($Y$6="%/Payment",$AA$6&gt;0,($O212*$Z$6)&gt;$AA$6),-$AA$6,IF(AND($Y$6="%/Balance",$AA$6=0),-$U212*$Z$6,IF(AND($Y$6="%/Balance",$AA$6&gt;0,($U212*$Z$6)&lt;$AA$6),-$U212*$Z$6,IF(AND($Y$6="%/Balance",$AA$6&gt;0,($U212*$Z$6)&gt;$AA$6),-$AA$6,IF($Y$6="Fixed Amount",-$Z$6,IF($Y$6="N/A",0))))))))))</f>
        <v>0</v>
      </c>
      <c r="Z212" s="873">
        <f t="shared" ref="Z212:Z275" si="86">IF($J212&gt;$S$6,0,IF($J212&lt;=$AR$27,0,IF(AND($Y$7="%/Payment",$AA$7=0),$O212*$Z$7,IF(AND($Y$7="%/Payment",$AA$7&gt;0,($O212*$Z$7)&lt;$AA$7),$O212*$Z$7,IF(AND($Y$7="%/Payment",$AA$7&gt;0,($O212*$Z$7)&gt;$AA$7),-$AA$7,IF(AND($Y$7="%/Balance",$AA$7=0),-$U212*$Z$7,IF(AND($Y$7="%/Balance",$AA$7&gt;0,($U212*$Z$7)&lt;$AA$7),-$U212*$Z$7,IF(AND($Y$7="%/Balance",$AA$7&gt;0,($O212*$Z$7)&gt;$AA$7),-$AA$7,IF($Y$7="Fixed Amount",-$Z$7,IF($Y$7="N/A",0))))))))))</f>
        <v>0</v>
      </c>
      <c r="AA212" s="885">
        <f t="shared" ref="AA212:AA275" si="87">SUM($O212,$X212:$Z212)</f>
        <v>0</v>
      </c>
    </row>
    <row r="213" spans="2:27" s="278" customFormat="1" ht="12" customHeight="1" x14ac:dyDescent="0.25">
      <c r="B213" s="1192" t="e">
        <f t="shared" si="70"/>
        <v>#N/A</v>
      </c>
      <c r="C213" s="732">
        <f t="shared" si="79"/>
        <v>31</v>
      </c>
      <c r="D213" s="35">
        <f t="shared" si="80"/>
        <v>8</v>
      </c>
      <c r="E213" s="889">
        <f t="shared" si="73"/>
        <v>51744</v>
      </c>
      <c r="F213" s="822">
        <f t="shared" ref="F213:F276" si="88">INDEX($AT$22:$AU$34,MATCH($L213,$AT$22:$AT$34,0),MATCH("Number",$AT$22:$AU$22,0))</f>
        <v>8</v>
      </c>
      <c r="G213" s="500">
        <f t="shared" si="74"/>
        <v>31</v>
      </c>
      <c r="H213" s="126">
        <f t="shared" si="81"/>
        <v>0</v>
      </c>
      <c r="I213" s="1098">
        <f t="shared" si="75"/>
        <v>0</v>
      </c>
      <c r="J213" s="887">
        <f t="shared" si="71"/>
        <v>194</v>
      </c>
      <c r="K213" s="1099">
        <f t="shared" ref="K213:K276" si="89">IF($J213&lt;=$AR$29,0,IF($J212&gt;=$AR$29,$K212+1))</f>
        <v>194</v>
      </c>
      <c r="L213" s="891" t="str">
        <f t="shared" ref="L213:L276" si="90">IF($T$4="Annual",$R$5,IF(AND($T$4="Bi-Annual",$F212&lt;MAX($R$4,$S$4)),INDEX($AU$22:$AV$34,MATCH(MAX($R$4,$S$4),$AU$22:$AU$34,0),MATCH("Month",$AU$22:$AV$22,0)),IF(AND($T$4="Bi-Annual",$F212=MAX($R$4,$S$4)),INDEX($AU$22:$AV$34,MATCH(MIN($R$4,$S$4),$AU$22:$AU$34,0),MATCH("Month",$AU$22:$AV$22,0)),IF(AND($T$4="Monthly",$F212&lt;12),INDEX($AU$22:$AV$34,MATCH($F212+1,$AU$22:$AU$34,0),MATCH("Month",$AU$22:$AV$22,0)),IF(AND($T$4="Monthly",$F212=12),INDEX($AU$22:$AV$34,MATCH($F212-11,$AU$22:$AU$34,0),MATCH("Month",$AU$22:$AV$22,0)))))))</f>
        <v>August</v>
      </c>
      <c r="M213" s="888">
        <f t="shared" si="72"/>
        <v>2041</v>
      </c>
      <c r="N213" s="883">
        <f t="shared" ref="N213:N276" si="91">IF(AND($AS$39="Early Payoff",$J213&gt;$S$13),0,IF(AND($AS$39="Early Payoff",$J213&lt;$S$13),$U212,IF($J213&gt;$S$6,0,$U212)))</f>
        <v>0</v>
      </c>
      <c r="O213" s="883">
        <f t="shared" si="76"/>
        <v>0</v>
      </c>
      <c r="P213" s="1100"/>
      <c r="Q213" s="883">
        <f t="shared" si="82"/>
        <v>0</v>
      </c>
      <c r="R213" s="884">
        <f t="shared" si="77"/>
        <v>0</v>
      </c>
      <c r="S213" s="884">
        <f>IF(AND($AS$39="Early Payoff",J213&gt;=$S$13),0,IF($J213&lt;=$S$6,SUM($Q$20:$Q213),0))</f>
        <v>0</v>
      </c>
      <c r="T213" s="884">
        <f>IF(AND($AS$39="Early Payoff",J213&gt;=$S$13),0,IF($J213&lt;=$S$6,SUM($R$20:$R213),0))</f>
        <v>0</v>
      </c>
      <c r="U213" s="885">
        <f t="shared" si="83"/>
        <v>0</v>
      </c>
      <c r="V213" s="1110">
        <f t="shared" si="78"/>
        <v>0</v>
      </c>
      <c r="X213" s="1102">
        <f t="shared" si="84"/>
        <v>0</v>
      </c>
      <c r="Y213" s="873">
        <f t="shared" si="85"/>
        <v>0</v>
      </c>
      <c r="Z213" s="873">
        <f t="shared" si="86"/>
        <v>0</v>
      </c>
      <c r="AA213" s="885">
        <f t="shared" si="87"/>
        <v>0</v>
      </c>
    </row>
    <row r="214" spans="2:27" s="278" customFormat="1" ht="12" customHeight="1" x14ac:dyDescent="0.25">
      <c r="B214" s="1192" t="e">
        <f t="shared" ref="B214:B277" si="92">B213+1</f>
        <v>#N/A</v>
      </c>
      <c r="C214" s="732">
        <f t="shared" si="79"/>
        <v>30</v>
      </c>
      <c r="D214" s="35">
        <f t="shared" si="80"/>
        <v>9</v>
      </c>
      <c r="E214" s="889">
        <f t="shared" si="73"/>
        <v>51774</v>
      </c>
      <c r="F214" s="822">
        <f t="shared" si="88"/>
        <v>9</v>
      </c>
      <c r="G214" s="500">
        <f t="shared" si="74"/>
        <v>30</v>
      </c>
      <c r="H214" s="126">
        <f t="shared" si="81"/>
        <v>0</v>
      </c>
      <c r="I214" s="1098">
        <f t="shared" si="75"/>
        <v>0</v>
      </c>
      <c r="J214" s="887">
        <f t="shared" ref="J214:J277" si="93">J213+1</f>
        <v>195</v>
      </c>
      <c r="K214" s="1099">
        <f t="shared" si="89"/>
        <v>195</v>
      </c>
      <c r="L214" s="891" t="str">
        <f t="shared" si="90"/>
        <v>September</v>
      </c>
      <c r="M214" s="888">
        <f t="shared" ref="M214:M277" si="94">IF($T$4="Annual",$M213+$I214,IF($T$4="Bi-Annual",$M213+$I213,IF($T$4="Monthly",$M213+$H213)))</f>
        <v>2041</v>
      </c>
      <c r="N214" s="883">
        <f t="shared" si="91"/>
        <v>0</v>
      </c>
      <c r="O214" s="883">
        <f t="shared" si="76"/>
        <v>0</v>
      </c>
      <c r="P214" s="1100"/>
      <c r="Q214" s="883">
        <f t="shared" si="82"/>
        <v>0</v>
      </c>
      <c r="R214" s="884">
        <f t="shared" si="77"/>
        <v>0</v>
      </c>
      <c r="S214" s="884">
        <f>IF(AND($AS$39="Early Payoff",J214&gt;=$S$13),0,IF($J214&lt;=$S$6,SUM($Q$20:$Q214),0))</f>
        <v>0</v>
      </c>
      <c r="T214" s="884">
        <f>IF(AND($AS$39="Early Payoff",J214&gt;=$S$13),0,IF($J214&lt;=$S$6,SUM($R$20:$R214),0))</f>
        <v>0</v>
      </c>
      <c r="U214" s="885">
        <f t="shared" si="83"/>
        <v>0</v>
      </c>
      <c r="V214" s="1110">
        <f t="shared" si="78"/>
        <v>0</v>
      </c>
      <c r="X214" s="1102">
        <f t="shared" si="84"/>
        <v>0</v>
      </c>
      <c r="Y214" s="873">
        <f t="shared" si="85"/>
        <v>0</v>
      </c>
      <c r="Z214" s="873">
        <f t="shared" si="86"/>
        <v>0</v>
      </c>
      <c r="AA214" s="885">
        <f t="shared" si="87"/>
        <v>0</v>
      </c>
    </row>
    <row r="215" spans="2:27" s="278" customFormat="1" ht="12" customHeight="1" x14ac:dyDescent="0.25">
      <c r="B215" s="1192" t="e">
        <f t="shared" si="92"/>
        <v>#N/A</v>
      </c>
      <c r="C215" s="732">
        <f t="shared" si="79"/>
        <v>31</v>
      </c>
      <c r="D215" s="35">
        <f t="shared" si="80"/>
        <v>10</v>
      </c>
      <c r="E215" s="889">
        <f t="shared" ref="E215:E278" si="95">DATE(M215,D215,C215)</f>
        <v>51805</v>
      </c>
      <c r="F215" s="822">
        <f t="shared" si="88"/>
        <v>10</v>
      </c>
      <c r="G215" s="500">
        <f t="shared" ref="G215:G278" si="96">E215-E214</f>
        <v>31</v>
      </c>
      <c r="H215" s="126">
        <f t="shared" si="81"/>
        <v>0</v>
      </c>
      <c r="I215" s="1098">
        <f t="shared" ref="I215:I278" si="97">IF($T$4="Annual",1,IF(AND($T$4="Bi-Annual",$F215&gt;$F216),1,IF(AND($T$4="Bi-Annual",$F215&lt;$F216),0,IF($T$4="Monthly",0,))))</f>
        <v>0</v>
      </c>
      <c r="J215" s="887">
        <f t="shared" si="93"/>
        <v>196</v>
      </c>
      <c r="K215" s="1099">
        <f t="shared" si="89"/>
        <v>196</v>
      </c>
      <c r="L215" s="891" t="str">
        <f t="shared" si="90"/>
        <v>October</v>
      </c>
      <c r="M215" s="888">
        <f t="shared" si="94"/>
        <v>2041</v>
      </c>
      <c r="N215" s="883">
        <f t="shared" si="91"/>
        <v>0</v>
      </c>
      <c r="O215" s="883">
        <f t="shared" si="76"/>
        <v>0</v>
      </c>
      <c r="P215" s="1100"/>
      <c r="Q215" s="883">
        <f t="shared" si="82"/>
        <v>0</v>
      </c>
      <c r="R215" s="884">
        <f t="shared" si="77"/>
        <v>0</v>
      </c>
      <c r="S215" s="884">
        <f>IF(AND($AS$39="Early Payoff",J215&gt;=$S$13),0,IF($J215&lt;=$S$6,SUM($Q$20:$Q215),0))</f>
        <v>0</v>
      </c>
      <c r="T215" s="884">
        <f>IF(AND($AS$39="Early Payoff",J215&gt;=$S$13),0,IF($J215&lt;=$S$6,SUM($R$20:$R215),0))</f>
        <v>0</v>
      </c>
      <c r="U215" s="885">
        <f t="shared" si="83"/>
        <v>0</v>
      </c>
      <c r="V215" s="1110">
        <f t="shared" si="78"/>
        <v>0</v>
      </c>
      <c r="X215" s="1102">
        <f t="shared" si="84"/>
        <v>0</v>
      </c>
      <c r="Y215" s="873">
        <f t="shared" si="85"/>
        <v>0</v>
      </c>
      <c r="Z215" s="873">
        <f t="shared" si="86"/>
        <v>0</v>
      </c>
      <c r="AA215" s="885">
        <f t="shared" si="87"/>
        <v>0</v>
      </c>
    </row>
    <row r="216" spans="2:27" s="278" customFormat="1" ht="12" customHeight="1" x14ac:dyDescent="0.25">
      <c r="B216" s="1192" t="e">
        <f t="shared" si="92"/>
        <v>#N/A</v>
      </c>
      <c r="C216" s="732">
        <f t="shared" si="79"/>
        <v>30</v>
      </c>
      <c r="D216" s="35">
        <f t="shared" si="80"/>
        <v>11</v>
      </c>
      <c r="E216" s="889">
        <f t="shared" si="95"/>
        <v>51835</v>
      </c>
      <c r="F216" s="822">
        <f t="shared" si="88"/>
        <v>11</v>
      </c>
      <c r="G216" s="500">
        <f t="shared" si="96"/>
        <v>30</v>
      </c>
      <c r="H216" s="126">
        <f t="shared" si="81"/>
        <v>0</v>
      </c>
      <c r="I216" s="1098">
        <f t="shared" si="97"/>
        <v>0</v>
      </c>
      <c r="J216" s="887">
        <f t="shared" si="93"/>
        <v>197</v>
      </c>
      <c r="K216" s="1099">
        <f t="shared" si="89"/>
        <v>197</v>
      </c>
      <c r="L216" s="891" t="str">
        <f t="shared" si="90"/>
        <v>November</v>
      </c>
      <c r="M216" s="888">
        <f t="shared" si="94"/>
        <v>2041</v>
      </c>
      <c r="N216" s="883">
        <f t="shared" si="91"/>
        <v>0</v>
      </c>
      <c r="O216" s="883">
        <f t="shared" si="76"/>
        <v>0</v>
      </c>
      <c r="P216" s="1100"/>
      <c r="Q216" s="883">
        <f t="shared" si="82"/>
        <v>0</v>
      </c>
      <c r="R216" s="884">
        <f t="shared" si="77"/>
        <v>0</v>
      </c>
      <c r="S216" s="884">
        <f>IF(AND($AS$39="Early Payoff",J216&gt;=$S$13),0,IF($J216&lt;=$S$6,SUM($Q$20:$Q216),0))</f>
        <v>0</v>
      </c>
      <c r="T216" s="884">
        <f>IF(AND($AS$39="Early Payoff",J216&gt;=$S$13),0,IF($J216&lt;=$S$6,SUM($R$20:$R216),0))</f>
        <v>0</v>
      </c>
      <c r="U216" s="885">
        <f t="shared" si="83"/>
        <v>0</v>
      </c>
      <c r="V216" s="1110">
        <f t="shared" si="78"/>
        <v>0</v>
      </c>
      <c r="X216" s="1102">
        <f t="shared" si="84"/>
        <v>0</v>
      </c>
      <c r="Y216" s="873">
        <f t="shared" si="85"/>
        <v>0</v>
      </c>
      <c r="Z216" s="873">
        <f t="shared" si="86"/>
        <v>0</v>
      </c>
      <c r="AA216" s="885">
        <f t="shared" si="87"/>
        <v>0</v>
      </c>
    </row>
    <row r="217" spans="2:27" s="278" customFormat="1" ht="12" customHeight="1" x14ac:dyDescent="0.25">
      <c r="B217" s="1192" t="e">
        <f t="shared" si="92"/>
        <v>#N/A</v>
      </c>
      <c r="C217" s="732">
        <f t="shared" si="79"/>
        <v>31</v>
      </c>
      <c r="D217" s="35">
        <f t="shared" si="80"/>
        <v>12</v>
      </c>
      <c r="E217" s="889">
        <f t="shared" si="95"/>
        <v>51866</v>
      </c>
      <c r="F217" s="822">
        <f t="shared" si="88"/>
        <v>12</v>
      </c>
      <c r="G217" s="500">
        <f t="shared" si="96"/>
        <v>31</v>
      </c>
      <c r="H217" s="126">
        <f t="shared" si="81"/>
        <v>1</v>
      </c>
      <c r="I217" s="1098">
        <f t="shared" si="97"/>
        <v>0</v>
      </c>
      <c r="J217" s="887">
        <f t="shared" si="93"/>
        <v>198</v>
      </c>
      <c r="K217" s="1099">
        <f t="shared" si="89"/>
        <v>198</v>
      </c>
      <c r="L217" s="891" t="str">
        <f t="shared" si="90"/>
        <v>December</v>
      </c>
      <c r="M217" s="888">
        <f t="shared" si="94"/>
        <v>2041</v>
      </c>
      <c r="N217" s="883">
        <f t="shared" si="91"/>
        <v>0</v>
      </c>
      <c r="O217" s="883">
        <f t="shared" ref="O217:O280" si="98">IF(AND($AS$39="Early Payoff",J217&gt;=$S$13),0,IF($J217&gt;$S$6,0,IF(AND($AR$29&gt;=0,$J217&lt;=$AR$29),0,IF(AND($AR$27&gt;=0,$J217&lt;=$AR$27),$R217,IF($K217=$T$7,SUM(R217,-N217),IF(AND($T$4="Annual",$AR$27&gt;=0,$AR$29&gt;=0,$J217&gt;$AR$27,$J217&gt;$AR$29),PMT($M$7,($S$6-$AR$27),$M$4),IF(AND($T$4="Bi-Annual",$AR$27&gt;=0,$AR$29&gt;=0,$J217&gt;$AR$27,$J217&gt;$AR$29),PMT($M$7/2,($S$6-($AR$27+1)),$M$4),IF(AND($T$4="Monthly",$AR$27&gt;=0,$AR$29&gt;=0,$J217&gt;$AR$27,$J217&gt;$AR$29),PMT($M$7/12,($S$6-$AR$27),$M$4)))))))))-P217</f>
        <v>0</v>
      </c>
      <c r="P217" s="1100"/>
      <c r="Q217" s="883">
        <f t="shared" si="82"/>
        <v>0</v>
      </c>
      <c r="R217" s="884">
        <f t="shared" si="77"/>
        <v>0</v>
      </c>
      <c r="S217" s="884">
        <f>IF(AND($AS$39="Early Payoff",J217&gt;=$S$13),0,IF($J217&lt;=$S$6,SUM($Q$20:$Q217),0))</f>
        <v>0</v>
      </c>
      <c r="T217" s="884">
        <f>IF(AND($AS$39="Early Payoff",J217&gt;=$S$13),0,IF($J217&lt;=$S$6,SUM($R$20:$R217),0))</f>
        <v>0</v>
      </c>
      <c r="U217" s="885">
        <f t="shared" si="83"/>
        <v>0</v>
      </c>
      <c r="V217" s="1110">
        <f t="shared" si="78"/>
        <v>0</v>
      </c>
      <c r="X217" s="1102">
        <f t="shared" si="84"/>
        <v>0</v>
      </c>
      <c r="Y217" s="873">
        <f t="shared" si="85"/>
        <v>0</v>
      </c>
      <c r="Z217" s="873">
        <f t="shared" si="86"/>
        <v>0</v>
      </c>
      <c r="AA217" s="885">
        <f t="shared" si="87"/>
        <v>0</v>
      </c>
    </row>
    <row r="218" spans="2:27" s="278" customFormat="1" ht="12" customHeight="1" x14ac:dyDescent="0.25">
      <c r="B218" s="1192" t="e">
        <f t="shared" si="92"/>
        <v>#N/A</v>
      </c>
      <c r="C218" s="732">
        <f t="shared" si="79"/>
        <v>31</v>
      </c>
      <c r="D218" s="35">
        <f t="shared" si="80"/>
        <v>1</v>
      </c>
      <c r="E218" s="889">
        <f t="shared" si="95"/>
        <v>51897</v>
      </c>
      <c r="F218" s="822">
        <f t="shared" si="88"/>
        <v>1</v>
      </c>
      <c r="G218" s="500">
        <f t="shared" si="96"/>
        <v>31</v>
      </c>
      <c r="H218" s="126">
        <f t="shared" si="81"/>
        <v>0</v>
      </c>
      <c r="I218" s="1098">
        <f t="shared" si="97"/>
        <v>0</v>
      </c>
      <c r="J218" s="887">
        <f t="shared" si="93"/>
        <v>199</v>
      </c>
      <c r="K218" s="1099">
        <f t="shared" si="89"/>
        <v>199</v>
      </c>
      <c r="L218" s="891" t="str">
        <f t="shared" si="90"/>
        <v>January</v>
      </c>
      <c r="M218" s="888">
        <f t="shared" si="94"/>
        <v>2042</v>
      </c>
      <c r="N218" s="883">
        <f t="shared" si="91"/>
        <v>0</v>
      </c>
      <c r="O218" s="883">
        <f t="shared" si="98"/>
        <v>0</v>
      </c>
      <c r="P218" s="1100"/>
      <c r="Q218" s="883">
        <f t="shared" si="82"/>
        <v>0</v>
      </c>
      <c r="R218" s="884">
        <f t="shared" si="77"/>
        <v>0</v>
      </c>
      <c r="S218" s="884">
        <f>IF(AND($AS$39="Early Payoff",J218&gt;=$S$13),0,IF($J218&lt;=$S$6,SUM($Q$20:$Q218),0))</f>
        <v>0</v>
      </c>
      <c r="T218" s="884">
        <f>IF(AND($AS$39="Early Payoff",J218&gt;=$S$13),0,IF($J218&lt;=$S$6,SUM($R$20:$R218),0))</f>
        <v>0</v>
      </c>
      <c r="U218" s="885">
        <f t="shared" si="83"/>
        <v>0</v>
      </c>
      <c r="V218" s="1110">
        <f t="shared" si="78"/>
        <v>0</v>
      </c>
      <c r="X218" s="1102">
        <f t="shared" si="84"/>
        <v>0</v>
      </c>
      <c r="Y218" s="873">
        <f t="shared" si="85"/>
        <v>0</v>
      </c>
      <c r="Z218" s="873">
        <f t="shared" si="86"/>
        <v>0</v>
      </c>
      <c r="AA218" s="885">
        <f t="shared" si="87"/>
        <v>0</v>
      </c>
    </row>
    <row r="219" spans="2:27" s="278" customFormat="1" ht="12" customHeight="1" x14ac:dyDescent="0.25">
      <c r="B219" s="1192" t="e">
        <f t="shared" si="92"/>
        <v>#N/A</v>
      </c>
      <c r="C219" s="732">
        <f t="shared" si="79"/>
        <v>28</v>
      </c>
      <c r="D219" s="35">
        <f t="shared" si="80"/>
        <v>2</v>
      </c>
      <c r="E219" s="889">
        <f t="shared" si="95"/>
        <v>51925</v>
      </c>
      <c r="F219" s="822">
        <f t="shared" si="88"/>
        <v>2</v>
      </c>
      <c r="G219" s="500">
        <f t="shared" si="96"/>
        <v>28</v>
      </c>
      <c r="H219" s="126">
        <f t="shared" si="81"/>
        <v>0</v>
      </c>
      <c r="I219" s="1098">
        <f t="shared" si="97"/>
        <v>0</v>
      </c>
      <c r="J219" s="887">
        <f t="shared" si="93"/>
        <v>200</v>
      </c>
      <c r="K219" s="1099">
        <f t="shared" si="89"/>
        <v>200</v>
      </c>
      <c r="L219" s="891" t="str">
        <f t="shared" si="90"/>
        <v>February</v>
      </c>
      <c r="M219" s="888">
        <f t="shared" si="94"/>
        <v>2042</v>
      </c>
      <c r="N219" s="883">
        <f t="shared" si="91"/>
        <v>0</v>
      </c>
      <c r="O219" s="883">
        <f t="shared" si="98"/>
        <v>0</v>
      </c>
      <c r="P219" s="1100"/>
      <c r="Q219" s="883">
        <f t="shared" si="82"/>
        <v>0</v>
      </c>
      <c r="R219" s="884">
        <f t="shared" si="77"/>
        <v>0</v>
      </c>
      <c r="S219" s="884">
        <f>IF(AND($AS$39="Early Payoff",J219&gt;=$S$13),0,IF($J219&lt;=$S$6,SUM($Q$20:$Q219),0))</f>
        <v>0</v>
      </c>
      <c r="T219" s="884">
        <f>IF(AND($AS$39="Early Payoff",J219&gt;=$S$13),0,IF($J219&lt;=$S$6,SUM($R$20:$R219),0))</f>
        <v>0</v>
      </c>
      <c r="U219" s="885">
        <f t="shared" si="83"/>
        <v>0</v>
      </c>
      <c r="V219" s="1110">
        <f t="shared" si="78"/>
        <v>0</v>
      </c>
      <c r="X219" s="1102">
        <f t="shared" si="84"/>
        <v>0</v>
      </c>
      <c r="Y219" s="873">
        <f t="shared" si="85"/>
        <v>0</v>
      </c>
      <c r="Z219" s="873">
        <f t="shared" si="86"/>
        <v>0</v>
      </c>
      <c r="AA219" s="885">
        <f t="shared" si="87"/>
        <v>0</v>
      </c>
    </row>
    <row r="220" spans="2:27" s="278" customFormat="1" ht="12" customHeight="1" x14ac:dyDescent="0.25">
      <c r="B220" s="1192" t="e">
        <f t="shared" si="92"/>
        <v>#N/A</v>
      </c>
      <c r="C220" s="732">
        <f t="shared" si="79"/>
        <v>31</v>
      </c>
      <c r="D220" s="35">
        <f t="shared" si="80"/>
        <v>3</v>
      </c>
      <c r="E220" s="889">
        <f t="shared" si="95"/>
        <v>51956</v>
      </c>
      <c r="F220" s="822">
        <f t="shared" si="88"/>
        <v>3</v>
      </c>
      <c r="G220" s="500">
        <f t="shared" si="96"/>
        <v>31</v>
      </c>
      <c r="H220" s="126">
        <f t="shared" si="81"/>
        <v>0</v>
      </c>
      <c r="I220" s="1098">
        <f t="shared" si="97"/>
        <v>0</v>
      </c>
      <c r="J220" s="887">
        <f t="shared" si="93"/>
        <v>201</v>
      </c>
      <c r="K220" s="1099">
        <f t="shared" si="89"/>
        <v>201</v>
      </c>
      <c r="L220" s="891" t="str">
        <f t="shared" si="90"/>
        <v>March</v>
      </c>
      <c r="M220" s="888">
        <f t="shared" si="94"/>
        <v>2042</v>
      </c>
      <c r="N220" s="883">
        <f t="shared" si="91"/>
        <v>0</v>
      </c>
      <c r="O220" s="883">
        <f t="shared" si="98"/>
        <v>0</v>
      </c>
      <c r="P220" s="1100"/>
      <c r="Q220" s="883">
        <f t="shared" si="82"/>
        <v>0</v>
      </c>
      <c r="R220" s="884">
        <f t="shared" si="77"/>
        <v>0</v>
      </c>
      <c r="S220" s="884">
        <f>IF(AND($AS$39="Early Payoff",J220&gt;=$S$13),0,IF($J220&lt;=$S$6,SUM($Q$20:$Q220),0))</f>
        <v>0</v>
      </c>
      <c r="T220" s="884">
        <f>IF(AND($AS$39="Early Payoff",J220&gt;=$S$13),0,IF($J220&lt;=$S$6,SUM($R$20:$R220),0))</f>
        <v>0</v>
      </c>
      <c r="U220" s="885">
        <f t="shared" si="83"/>
        <v>0</v>
      </c>
      <c r="V220" s="1110">
        <f t="shared" si="78"/>
        <v>0</v>
      </c>
      <c r="X220" s="1102">
        <f t="shared" si="84"/>
        <v>0</v>
      </c>
      <c r="Y220" s="873">
        <f t="shared" si="85"/>
        <v>0</v>
      </c>
      <c r="Z220" s="873">
        <f t="shared" si="86"/>
        <v>0</v>
      </c>
      <c r="AA220" s="885">
        <f t="shared" si="87"/>
        <v>0</v>
      </c>
    </row>
    <row r="221" spans="2:27" s="278" customFormat="1" ht="12" customHeight="1" x14ac:dyDescent="0.25">
      <c r="B221" s="1192" t="e">
        <f t="shared" si="92"/>
        <v>#N/A</v>
      </c>
      <c r="C221" s="732">
        <f t="shared" si="79"/>
        <v>30</v>
      </c>
      <c r="D221" s="35">
        <f t="shared" si="80"/>
        <v>4</v>
      </c>
      <c r="E221" s="889">
        <f t="shared" si="95"/>
        <v>51986</v>
      </c>
      <c r="F221" s="822">
        <f t="shared" si="88"/>
        <v>4</v>
      </c>
      <c r="G221" s="500">
        <f t="shared" si="96"/>
        <v>30</v>
      </c>
      <c r="H221" s="126">
        <f t="shared" si="81"/>
        <v>0</v>
      </c>
      <c r="I221" s="1098">
        <f t="shared" si="97"/>
        <v>0</v>
      </c>
      <c r="J221" s="887">
        <f t="shared" si="93"/>
        <v>202</v>
      </c>
      <c r="K221" s="1099">
        <f t="shared" si="89"/>
        <v>202</v>
      </c>
      <c r="L221" s="891" t="str">
        <f t="shared" si="90"/>
        <v>April</v>
      </c>
      <c r="M221" s="888">
        <f t="shared" si="94"/>
        <v>2042</v>
      </c>
      <c r="N221" s="883">
        <f t="shared" si="91"/>
        <v>0</v>
      </c>
      <c r="O221" s="883">
        <f t="shared" si="98"/>
        <v>0</v>
      </c>
      <c r="P221" s="1100"/>
      <c r="Q221" s="883">
        <f t="shared" si="82"/>
        <v>0</v>
      </c>
      <c r="R221" s="884">
        <f t="shared" si="77"/>
        <v>0</v>
      </c>
      <c r="S221" s="884">
        <f>IF(AND($AS$39="Early Payoff",J221&gt;=$S$13),0,IF($J221&lt;=$S$6,SUM($Q$20:$Q221),0))</f>
        <v>0</v>
      </c>
      <c r="T221" s="884">
        <f>IF(AND($AS$39="Early Payoff",J221&gt;=$S$13),0,IF($J221&lt;=$S$6,SUM($R$20:$R221),0))</f>
        <v>0</v>
      </c>
      <c r="U221" s="885">
        <f t="shared" si="83"/>
        <v>0</v>
      </c>
      <c r="V221" s="1110">
        <f t="shared" si="78"/>
        <v>0</v>
      </c>
      <c r="X221" s="1102">
        <f t="shared" si="84"/>
        <v>0</v>
      </c>
      <c r="Y221" s="873">
        <f t="shared" si="85"/>
        <v>0</v>
      </c>
      <c r="Z221" s="873">
        <f t="shared" si="86"/>
        <v>0</v>
      </c>
      <c r="AA221" s="885">
        <f t="shared" si="87"/>
        <v>0</v>
      </c>
    </row>
    <row r="222" spans="2:27" s="278" customFormat="1" ht="12" customHeight="1" x14ac:dyDescent="0.25">
      <c r="B222" s="1192" t="e">
        <f t="shared" si="92"/>
        <v>#N/A</v>
      </c>
      <c r="C222" s="732">
        <f t="shared" si="79"/>
        <v>31</v>
      </c>
      <c r="D222" s="35">
        <f t="shared" si="80"/>
        <v>5</v>
      </c>
      <c r="E222" s="889">
        <f t="shared" si="95"/>
        <v>52017</v>
      </c>
      <c r="F222" s="822">
        <f t="shared" si="88"/>
        <v>5</v>
      </c>
      <c r="G222" s="500">
        <f t="shared" si="96"/>
        <v>31</v>
      </c>
      <c r="H222" s="126">
        <f t="shared" si="81"/>
        <v>0</v>
      </c>
      <c r="I222" s="1098">
        <f t="shared" si="97"/>
        <v>0</v>
      </c>
      <c r="J222" s="887">
        <f t="shared" si="93"/>
        <v>203</v>
      </c>
      <c r="K222" s="1099">
        <f t="shared" si="89"/>
        <v>203</v>
      </c>
      <c r="L222" s="891" t="str">
        <f t="shared" si="90"/>
        <v>May</v>
      </c>
      <c r="M222" s="888">
        <f t="shared" si="94"/>
        <v>2042</v>
      </c>
      <c r="N222" s="883">
        <f t="shared" si="91"/>
        <v>0</v>
      </c>
      <c r="O222" s="883">
        <f t="shared" si="98"/>
        <v>0</v>
      </c>
      <c r="P222" s="1100"/>
      <c r="Q222" s="883">
        <f t="shared" si="82"/>
        <v>0</v>
      </c>
      <c r="R222" s="884">
        <f t="shared" si="77"/>
        <v>0</v>
      </c>
      <c r="S222" s="884">
        <f>IF(AND($AS$39="Early Payoff",J222&gt;=$S$13),0,IF($J222&lt;=$S$6,SUM($Q$20:$Q222),0))</f>
        <v>0</v>
      </c>
      <c r="T222" s="884">
        <f>IF(AND($AS$39="Early Payoff",J222&gt;=$S$13),0,IF($J222&lt;=$S$6,SUM($R$20:$R222),0))</f>
        <v>0</v>
      </c>
      <c r="U222" s="885">
        <f t="shared" si="83"/>
        <v>0</v>
      </c>
      <c r="V222" s="1110">
        <f t="shared" si="78"/>
        <v>0</v>
      </c>
      <c r="X222" s="1102">
        <f t="shared" si="84"/>
        <v>0</v>
      </c>
      <c r="Y222" s="873">
        <f t="shared" si="85"/>
        <v>0</v>
      </c>
      <c r="Z222" s="873">
        <f t="shared" si="86"/>
        <v>0</v>
      </c>
      <c r="AA222" s="885">
        <f t="shared" si="87"/>
        <v>0</v>
      </c>
    </row>
    <row r="223" spans="2:27" s="278" customFormat="1" ht="12" customHeight="1" x14ac:dyDescent="0.25">
      <c r="B223" s="1192" t="e">
        <f t="shared" si="92"/>
        <v>#N/A</v>
      </c>
      <c r="C223" s="732">
        <f t="shared" si="79"/>
        <v>30</v>
      </c>
      <c r="D223" s="35">
        <f t="shared" si="80"/>
        <v>6</v>
      </c>
      <c r="E223" s="889">
        <f t="shared" si="95"/>
        <v>52047</v>
      </c>
      <c r="F223" s="822">
        <f t="shared" si="88"/>
        <v>6</v>
      </c>
      <c r="G223" s="500">
        <f t="shared" si="96"/>
        <v>30</v>
      </c>
      <c r="H223" s="126">
        <f t="shared" si="81"/>
        <v>0</v>
      </c>
      <c r="I223" s="1098">
        <f t="shared" si="97"/>
        <v>0</v>
      </c>
      <c r="J223" s="887">
        <f t="shared" si="93"/>
        <v>204</v>
      </c>
      <c r="K223" s="1099">
        <f t="shared" si="89"/>
        <v>204</v>
      </c>
      <c r="L223" s="891" t="str">
        <f t="shared" si="90"/>
        <v>June</v>
      </c>
      <c r="M223" s="888">
        <f t="shared" si="94"/>
        <v>2042</v>
      </c>
      <c r="N223" s="883">
        <f t="shared" si="91"/>
        <v>0</v>
      </c>
      <c r="O223" s="883">
        <f t="shared" si="98"/>
        <v>0</v>
      </c>
      <c r="P223" s="1100"/>
      <c r="Q223" s="883">
        <f t="shared" si="82"/>
        <v>0</v>
      </c>
      <c r="R223" s="884">
        <f t="shared" si="77"/>
        <v>0</v>
      </c>
      <c r="S223" s="884">
        <f>IF(AND($AS$39="Early Payoff",J223&gt;=$S$13),0,IF($J223&lt;=$S$6,SUM($Q$20:$Q223),0))</f>
        <v>0</v>
      </c>
      <c r="T223" s="884">
        <f>IF(AND($AS$39="Early Payoff",J223&gt;=$S$13),0,IF($J223&lt;=$S$6,SUM($R$20:$R223),0))</f>
        <v>0</v>
      </c>
      <c r="U223" s="885">
        <f t="shared" si="83"/>
        <v>0</v>
      </c>
      <c r="V223" s="1110">
        <f t="shared" si="78"/>
        <v>0</v>
      </c>
      <c r="X223" s="1102">
        <f t="shared" si="84"/>
        <v>0</v>
      </c>
      <c r="Y223" s="873">
        <f t="shared" si="85"/>
        <v>0</v>
      </c>
      <c r="Z223" s="873">
        <f t="shared" si="86"/>
        <v>0</v>
      </c>
      <c r="AA223" s="885">
        <f t="shared" si="87"/>
        <v>0</v>
      </c>
    </row>
    <row r="224" spans="2:27" s="278" customFormat="1" ht="12" customHeight="1" x14ac:dyDescent="0.25">
      <c r="B224" s="1192" t="e">
        <f t="shared" si="92"/>
        <v>#N/A</v>
      </c>
      <c r="C224" s="732">
        <f t="shared" si="79"/>
        <v>31</v>
      </c>
      <c r="D224" s="35">
        <f t="shared" si="80"/>
        <v>7</v>
      </c>
      <c r="E224" s="889">
        <f t="shared" si="95"/>
        <v>52078</v>
      </c>
      <c r="F224" s="822">
        <f t="shared" si="88"/>
        <v>7</v>
      </c>
      <c r="G224" s="500">
        <f t="shared" si="96"/>
        <v>31</v>
      </c>
      <c r="H224" s="126">
        <f t="shared" si="81"/>
        <v>0</v>
      </c>
      <c r="I224" s="1098">
        <f t="shared" si="97"/>
        <v>0</v>
      </c>
      <c r="J224" s="887">
        <f t="shared" si="93"/>
        <v>205</v>
      </c>
      <c r="K224" s="1099">
        <f t="shared" si="89"/>
        <v>205</v>
      </c>
      <c r="L224" s="891" t="str">
        <f t="shared" si="90"/>
        <v>July</v>
      </c>
      <c r="M224" s="888">
        <f t="shared" si="94"/>
        <v>2042</v>
      </c>
      <c r="N224" s="883">
        <f t="shared" si="91"/>
        <v>0</v>
      </c>
      <c r="O224" s="883">
        <f t="shared" si="98"/>
        <v>0</v>
      </c>
      <c r="P224" s="1100"/>
      <c r="Q224" s="883">
        <f t="shared" si="82"/>
        <v>0</v>
      </c>
      <c r="R224" s="884">
        <f t="shared" si="77"/>
        <v>0</v>
      </c>
      <c r="S224" s="884">
        <f>IF(AND($AS$39="Early Payoff",J224&gt;=$S$13),0,IF($J224&lt;=$S$6,SUM($Q$20:$Q224),0))</f>
        <v>0</v>
      </c>
      <c r="T224" s="884">
        <f>IF(AND($AS$39="Early Payoff",J224&gt;=$S$13),0,IF($J224&lt;=$S$6,SUM($R$20:$R224),0))</f>
        <v>0</v>
      </c>
      <c r="U224" s="885">
        <f t="shared" si="83"/>
        <v>0</v>
      </c>
      <c r="V224" s="1110">
        <f t="shared" si="78"/>
        <v>0</v>
      </c>
      <c r="X224" s="1102">
        <f t="shared" si="84"/>
        <v>0</v>
      </c>
      <c r="Y224" s="873">
        <f t="shared" si="85"/>
        <v>0</v>
      </c>
      <c r="Z224" s="873">
        <f t="shared" si="86"/>
        <v>0</v>
      </c>
      <c r="AA224" s="885">
        <f t="shared" si="87"/>
        <v>0</v>
      </c>
    </row>
    <row r="225" spans="2:27" s="278" customFormat="1" ht="12" customHeight="1" x14ac:dyDescent="0.25">
      <c r="B225" s="1192" t="e">
        <f t="shared" si="92"/>
        <v>#N/A</v>
      </c>
      <c r="C225" s="732">
        <f t="shared" si="79"/>
        <v>31</v>
      </c>
      <c r="D225" s="35">
        <f t="shared" si="80"/>
        <v>8</v>
      </c>
      <c r="E225" s="889">
        <f t="shared" si="95"/>
        <v>52109</v>
      </c>
      <c r="F225" s="822">
        <f t="shared" si="88"/>
        <v>8</v>
      </c>
      <c r="G225" s="500">
        <f t="shared" si="96"/>
        <v>31</v>
      </c>
      <c r="H225" s="126">
        <f t="shared" si="81"/>
        <v>0</v>
      </c>
      <c r="I225" s="1098">
        <f t="shared" si="97"/>
        <v>0</v>
      </c>
      <c r="J225" s="887">
        <f t="shared" si="93"/>
        <v>206</v>
      </c>
      <c r="K225" s="1099">
        <f t="shared" si="89"/>
        <v>206</v>
      </c>
      <c r="L225" s="891" t="str">
        <f t="shared" si="90"/>
        <v>August</v>
      </c>
      <c r="M225" s="888">
        <f t="shared" si="94"/>
        <v>2042</v>
      </c>
      <c r="N225" s="883">
        <f t="shared" si="91"/>
        <v>0</v>
      </c>
      <c r="O225" s="883">
        <f t="shared" si="98"/>
        <v>0</v>
      </c>
      <c r="P225" s="1100"/>
      <c r="Q225" s="883">
        <f t="shared" si="82"/>
        <v>0</v>
      </c>
      <c r="R225" s="884">
        <f t="shared" si="77"/>
        <v>0</v>
      </c>
      <c r="S225" s="884">
        <f>IF(AND($AS$39="Early Payoff",J225&gt;=$S$13),0,IF($J225&lt;=$S$6,SUM($Q$20:$Q225),0))</f>
        <v>0</v>
      </c>
      <c r="T225" s="884">
        <f>IF(AND($AS$39="Early Payoff",J225&gt;=$S$13),0,IF($J225&lt;=$S$6,SUM($R$20:$R225),0))</f>
        <v>0</v>
      </c>
      <c r="U225" s="885">
        <f t="shared" si="83"/>
        <v>0</v>
      </c>
      <c r="V225" s="1110">
        <f t="shared" si="78"/>
        <v>0</v>
      </c>
      <c r="X225" s="1102">
        <f t="shared" si="84"/>
        <v>0</v>
      </c>
      <c r="Y225" s="873">
        <f t="shared" si="85"/>
        <v>0</v>
      </c>
      <c r="Z225" s="873">
        <f t="shared" si="86"/>
        <v>0</v>
      </c>
      <c r="AA225" s="885">
        <f t="shared" si="87"/>
        <v>0</v>
      </c>
    </row>
    <row r="226" spans="2:27" s="278" customFormat="1" ht="12" customHeight="1" x14ac:dyDescent="0.25">
      <c r="B226" s="1192" t="e">
        <f t="shared" si="92"/>
        <v>#N/A</v>
      </c>
      <c r="C226" s="732">
        <f t="shared" si="79"/>
        <v>30</v>
      </c>
      <c r="D226" s="35">
        <f t="shared" si="80"/>
        <v>9</v>
      </c>
      <c r="E226" s="889">
        <f t="shared" si="95"/>
        <v>52139</v>
      </c>
      <c r="F226" s="822">
        <f t="shared" si="88"/>
        <v>9</v>
      </c>
      <c r="G226" s="500">
        <f t="shared" si="96"/>
        <v>30</v>
      </c>
      <c r="H226" s="126">
        <f t="shared" si="81"/>
        <v>0</v>
      </c>
      <c r="I226" s="1098">
        <f t="shared" si="97"/>
        <v>0</v>
      </c>
      <c r="J226" s="887">
        <f t="shared" si="93"/>
        <v>207</v>
      </c>
      <c r="K226" s="1099">
        <f t="shared" si="89"/>
        <v>207</v>
      </c>
      <c r="L226" s="891" t="str">
        <f t="shared" si="90"/>
        <v>September</v>
      </c>
      <c r="M226" s="888">
        <f t="shared" si="94"/>
        <v>2042</v>
      </c>
      <c r="N226" s="883">
        <f t="shared" si="91"/>
        <v>0</v>
      </c>
      <c r="O226" s="883">
        <f t="shared" si="98"/>
        <v>0</v>
      </c>
      <c r="P226" s="1100"/>
      <c r="Q226" s="883">
        <f t="shared" si="82"/>
        <v>0</v>
      </c>
      <c r="R226" s="884">
        <f t="shared" si="77"/>
        <v>0</v>
      </c>
      <c r="S226" s="884">
        <f>IF(AND($AS$39="Early Payoff",J226&gt;=$S$13),0,IF($J226&lt;=$S$6,SUM($Q$20:$Q226),0))</f>
        <v>0</v>
      </c>
      <c r="T226" s="884">
        <f>IF(AND($AS$39="Early Payoff",J226&gt;=$S$13),0,IF($J226&lt;=$S$6,SUM($R$20:$R226),0))</f>
        <v>0</v>
      </c>
      <c r="U226" s="885">
        <f t="shared" si="83"/>
        <v>0</v>
      </c>
      <c r="V226" s="1110">
        <f t="shared" si="78"/>
        <v>0</v>
      </c>
      <c r="X226" s="1102">
        <f t="shared" si="84"/>
        <v>0</v>
      </c>
      <c r="Y226" s="873">
        <f t="shared" si="85"/>
        <v>0</v>
      </c>
      <c r="Z226" s="873">
        <f t="shared" si="86"/>
        <v>0</v>
      </c>
      <c r="AA226" s="885">
        <f t="shared" si="87"/>
        <v>0</v>
      </c>
    </row>
    <row r="227" spans="2:27" s="278" customFormat="1" ht="12" customHeight="1" x14ac:dyDescent="0.25">
      <c r="B227" s="1192" t="e">
        <f t="shared" si="92"/>
        <v>#N/A</v>
      </c>
      <c r="C227" s="732">
        <f t="shared" si="79"/>
        <v>31</v>
      </c>
      <c r="D227" s="35">
        <f t="shared" si="80"/>
        <v>10</v>
      </c>
      <c r="E227" s="889">
        <f t="shared" si="95"/>
        <v>52170</v>
      </c>
      <c r="F227" s="822">
        <f t="shared" si="88"/>
        <v>10</v>
      </c>
      <c r="G227" s="500">
        <f t="shared" si="96"/>
        <v>31</v>
      </c>
      <c r="H227" s="126">
        <f t="shared" si="81"/>
        <v>0</v>
      </c>
      <c r="I227" s="1098">
        <f t="shared" si="97"/>
        <v>0</v>
      </c>
      <c r="J227" s="887">
        <f t="shared" si="93"/>
        <v>208</v>
      </c>
      <c r="K227" s="1099">
        <f t="shared" si="89"/>
        <v>208</v>
      </c>
      <c r="L227" s="891" t="str">
        <f t="shared" si="90"/>
        <v>October</v>
      </c>
      <c r="M227" s="888">
        <f t="shared" si="94"/>
        <v>2042</v>
      </c>
      <c r="N227" s="883">
        <f t="shared" si="91"/>
        <v>0</v>
      </c>
      <c r="O227" s="883">
        <f t="shared" si="98"/>
        <v>0</v>
      </c>
      <c r="P227" s="1100"/>
      <c r="Q227" s="883">
        <f t="shared" si="82"/>
        <v>0</v>
      </c>
      <c r="R227" s="884">
        <f t="shared" si="77"/>
        <v>0</v>
      </c>
      <c r="S227" s="884">
        <f>IF(AND($AS$39="Early Payoff",J227&gt;=$S$13),0,IF($J227&lt;=$S$6,SUM($Q$20:$Q227),0))</f>
        <v>0</v>
      </c>
      <c r="T227" s="884">
        <f>IF(AND($AS$39="Early Payoff",J227&gt;=$S$13),0,IF($J227&lt;=$S$6,SUM($R$20:$R227),0))</f>
        <v>0</v>
      </c>
      <c r="U227" s="885">
        <f t="shared" si="83"/>
        <v>0</v>
      </c>
      <c r="V227" s="1110">
        <f t="shared" si="78"/>
        <v>0</v>
      </c>
      <c r="X227" s="1102">
        <f t="shared" si="84"/>
        <v>0</v>
      </c>
      <c r="Y227" s="873">
        <f t="shared" si="85"/>
        <v>0</v>
      </c>
      <c r="Z227" s="873">
        <f t="shared" si="86"/>
        <v>0</v>
      </c>
      <c r="AA227" s="885">
        <f t="shared" si="87"/>
        <v>0</v>
      </c>
    </row>
    <row r="228" spans="2:27" s="278" customFormat="1" ht="12" customHeight="1" x14ac:dyDescent="0.25">
      <c r="B228" s="1192" t="e">
        <f t="shared" si="92"/>
        <v>#N/A</v>
      </c>
      <c r="C228" s="732">
        <f t="shared" si="79"/>
        <v>30</v>
      </c>
      <c r="D228" s="35">
        <f t="shared" si="80"/>
        <v>11</v>
      </c>
      <c r="E228" s="889">
        <f t="shared" si="95"/>
        <v>52200</v>
      </c>
      <c r="F228" s="822">
        <f t="shared" si="88"/>
        <v>11</v>
      </c>
      <c r="G228" s="500">
        <f t="shared" si="96"/>
        <v>30</v>
      </c>
      <c r="H228" s="126">
        <f t="shared" si="81"/>
        <v>0</v>
      </c>
      <c r="I228" s="1098">
        <f t="shared" si="97"/>
        <v>0</v>
      </c>
      <c r="J228" s="887">
        <f t="shared" si="93"/>
        <v>209</v>
      </c>
      <c r="K228" s="1099">
        <f t="shared" si="89"/>
        <v>209</v>
      </c>
      <c r="L228" s="891" t="str">
        <f t="shared" si="90"/>
        <v>November</v>
      </c>
      <c r="M228" s="888">
        <f t="shared" si="94"/>
        <v>2042</v>
      </c>
      <c r="N228" s="883">
        <f t="shared" si="91"/>
        <v>0</v>
      </c>
      <c r="O228" s="883">
        <f t="shared" si="98"/>
        <v>0</v>
      </c>
      <c r="P228" s="1100"/>
      <c r="Q228" s="883">
        <f t="shared" si="82"/>
        <v>0</v>
      </c>
      <c r="R228" s="884">
        <f t="shared" si="77"/>
        <v>0</v>
      </c>
      <c r="S228" s="884">
        <f>IF(AND($AS$39="Early Payoff",J228&gt;=$S$13),0,IF($J228&lt;=$S$6,SUM($Q$20:$Q228),0))</f>
        <v>0</v>
      </c>
      <c r="T228" s="884">
        <f>IF(AND($AS$39="Early Payoff",J228&gt;=$S$13),0,IF($J228&lt;=$S$6,SUM($R$20:$R228),0))</f>
        <v>0</v>
      </c>
      <c r="U228" s="885">
        <f t="shared" si="83"/>
        <v>0</v>
      </c>
      <c r="V228" s="1110">
        <f t="shared" si="78"/>
        <v>0</v>
      </c>
      <c r="X228" s="1102">
        <f t="shared" si="84"/>
        <v>0</v>
      </c>
      <c r="Y228" s="873">
        <f t="shared" si="85"/>
        <v>0</v>
      </c>
      <c r="Z228" s="873">
        <f t="shared" si="86"/>
        <v>0</v>
      </c>
      <c r="AA228" s="885">
        <f t="shared" si="87"/>
        <v>0</v>
      </c>
    </row>
    <row r="229" spans="2:27" s="278" customFormat="1" ht="12" customHeight="1" x14ac:dyDescent="0.25">
      <c r="B229" s="1192" t="e">
        <f t="shared" si="92"/>
        <v>#N/A</v>
      </c>
      <c r="C229" s="732">
        <f t="shared" si="79"/>
        <v>31</v>
      </c>
      <c r="D229" s="35">
        <f t="shared" si="80"/>
        <v>12</v>
      </c>
      <c r="E229" s="889">
        <f t="shared" si="95"/>
        <v>52231</v>
      </c>
      <c r="F229" s="822">
        <f t="shared" si="88"/>
        <v>12</v>
      </c>
      <c r="G229" s="500">
        <f t="shared" si="96"/>
        <v>31</v>
      </c>
      <c r="H229" s="126">
        <f t="shared" si="81"/>
        <v>1</v>
      </c>
      <c r="I229" s="1098">
        <f t="shared" si="97"/>
        <v>0</v>
      </c>
      <c r="J229" s="887">
        <f t="shared" si="93"/>
        <v>210</v>
      </c>
      <c r="K229" s="1099">
        <f t="shared" si="89"/>
        <v>210</v>
      </c>
      <c r="L229" s="891" t="str">
        <f t="shared" si="90"/>
        <v>December</v>
      </c>
      <c r="M229" s="888">
        <f t="shared" si="94"/>
        <v>2042</v>
      </c>
      <c r="N229" s="883">
        <f t="shared" si="91"/>
        <v>0</v>
      </c>
      <c r="O229" s="883">
        <f t="shared" si="98"/>
        <v>0</v>
      </c>
      <c r="P229" s="1100"/>
      <c r="Q229" s="883">
        <f t="shared" si="82"/>
        <v>0</v>
      </c>
      <c r="R229" s="884">
        <f t="shared" si="77"/>
        <v>0</v>
      </c>
      <c r="S229" s="884">
        <f>IF(AND($AS$39="Early Payoff",J229&gt;=$S$13),0,IF($J229&lt;=$S$6,SUM($Q$20:$Q229),0))</f>
        <v>0</v>
      </c>
      <c r="T229" s="884">
        <f>IF(AND($AS$39="Early Payoff",J229&gt;=$S$13),0,IF($J229&lt;=$S$6,SUM($R$20:$R229),0))</f>
        <v>0</v>
      </c>
      <c r="U229" s="885">
        <f t="shared" si="83"/>
        <v>0</v>
      </c>
      <c r="V229" s="1110">
        <f t="shared" si="78"/>
        <v>0</v>
      </c>
      <c r="X229" s="1102">
        <f t="shared" si="84"/>
        <v>0</v>
      </c>
      <c r="Y229" s="873">
        <f t="shared" si="85"/>
        <v>0</v>
      </c>
      <c r="Z229" s="873">
        <f t="shared" si="86"/>
        <v>0</v>
      </c>
      <c r="AA229" s="885">
        <f t="shared" si="87"/>
        <v>0</v>
      </c>
    </row>
    <row r="230" spans="2:27" s="278" customFormat="1" ht="12" customHeight="1" x14ac:dyDescent="0.25">
      <c r="B230" s="1192" t="e">
        <f t="shared" si="92"/>
        <v>#N/A</v>
      </c>
      <c r="C230" s="732">
        <f t="shared" si="79"/>
        <v>31</v>
      </c>
      <c r="D230" s="35">
        <f t="shared" si="80"/>
        <v>1</v>
      </c>
      <c r="E230" s="889">
        <f t="shared" si="95"/>
        <v>52262</v>
      </c>
      <c r="F230" s="822">
        <f t="shared" si="88"/>
        <v>1</v>
      </c>
      <c r="G230" s="500">
        <f t="shared" si="96"/>
        <v>31</v>
      </c>
      <c r="H230" s="126">
        <f t="shared" si="81"/>
        <v>0</v>
      </c>
      <c r="I230" s="1098">
        <f t="shared" si="97"/>
        <v>0</v>
      </c>
      <c r="J230" s="887">
        <f t="shared" si="93"/>
        <v>211</v>
      </c>
      <c r="K230" s="1099">
        <f t="shared" si="89"/>
        <v>211</v>
      </c>
      <c r="L230" s="891" t="str">
        <f t="shared" si="90"/>
        <v>January</v>
      </c>
      <c r="M230" s="888">
        <f t="shared" si="94"/>
        <v>2043</v>
      </c>
      <c r="N230" s="883">
        <f t="shared" si="91"/>
        <v>0</v>
      </c>
      <c r="O230" s="883">
        <f t="shared" si="98"/>
        <v>0</v>
      </c>
      <c r="P230" s="1100"/>
      <c r="Q230" s="883">
        <f t="shared" si="82"/>
        <v>0</v>
      </c>
      <c r="R230" s="884">
        <f t="shared" si="77"/>
        <v>0</v>
      </c>
      <c r="S230" s="884">
        <f>IF(AND($AS$39="Early Payoff",J230&gt;=$S$13),0,IF($J230&lt;=$S$6,SUM($Q$20:$Q230),0))</f>
        <v>0</v>
      </c>
      <c r="T230" s="884">
        <f>IF(AND($AS$39="Early Payoff",J230&gt;=$S$13),0,IF($J230&lt;=$S$6,SUM($R$20:$R230),0))</f>
        <v>0</v>
      </c>
      <c r="U230" s="885">
        <f t="shared" si="83"/>
        <v>0</v>
      </c>
      <c r="V230" s="1110">
        <f t="shared" si="78"/>
        <v>0</v>
      </c>
      <c r="X230" s="1102">
        <f t="shared" si="84"/>
        <v>0</v>
      </c>
      <c r="Y230" s="873">
        <f t="shared" si="85"/>
        <v>0</v>
      </c>
      <c r="Z230" s="873">
        <f t="shared" si="86"/>
        <v>0</v>
      </c>
      <c r="AA230" s="885">
        <f t="shared" si="87"/>
        <v>0</v>
      </c>
    </row>
    <row r="231" spans="2:27" s="278" customFormat="1" ht="12" customHeight="1" x14ac:dyDescent="0.25">
      <c r="B231" s="1192" t="e">
        <f t="shared" si="92"/>
        <v>#N/A</v>
      </c>
      <c r="C231" s="732">
        <f t="shared" si="79"/>
        <v>28</v>
      </c>
      <c r="D231" s="35">
        <f t="shared" si="80"/>
        <v>2</v>
      </c>
      <c r="E231" s="889">
        <f t="shared" si="95"/>
        <v>52290</v>
      </c>
      <c r="F231" s="822">
        <f t="shared" si="88"/>
        <v>2</v>
      </c>
      <c r="G231" s="500">
        <f t="shared" si="96"/>
        <v>28</v>
      </c>
      <c r="H231" s="126">
        <f t="shared" si="81"/>
        <v>0</v>
      </c>
      <c r="I231" s="1098">
        <f t="shared" si="97"/>
        <v>0</v>
      </c>
      <c r="J231" s="887">
        <f t="shared" si="93"/>
        <v>212</v>
      </c>
      <c r="K231" s="1099">
        <f t="shared" si="89"/>
        <v>212</v>
      </c>
      <c r="L231" s="891" t="str">
        <f t="shared" si="90"/>
        <v>February</v>
      </c>
      <c r="M231" s="888">
        <f t="shared" si="94"/>
        <v>2043</v>
      </c>
      <c r="N231" s="883">
        <f t="shared" si="91"/>
        <v>0</v>
      </c>
      <c r="O231" s="883">
        <f t="shared" si="98"/>
        <v>0</v>
      </c>
      <c r="P231" s="1100"/>
      <c r="Q231" s="883">
        <f t="shared" si="82"/>
        <v>0</v>
      </c>
      <c r="R231" s="884">
        <f t="shared" si="77"/>
        <v>0</v>
      </c>
      <c r="S231" s="884">
        <f>IF(AND($AS$39="Early Payoff",J231&gt;=$S$13),0,IF($J231&lt;=$S$6,SUM($Q$20:$Q231),0))</f>
        <v>0</v>
      </c>
      <c r="T231" s="884">
        <f>IF(AND($AS$39="Early Payoff",J231&gt;=$S$13),0,IF($J231&lt;=$S$6,SUM($R$20:$R231),0))</f>
        <v>0</v>
      </c>
      <c r="U231" s="885">
        <f t="shared" si="83"/>
        <v>0</v>
      </c>
      <c r="V231" s="1110">
        <f t="shared" si="78"/>
        <v>0</v>
      </c>
      <c r="X231" s="1102">
        <f t="shared" si="84"/>
        <v>0</v>
      </c>
      <c r="Y231" s="873">
        <f t="shared" si="85"/>
        <v>0</v>
      </c>
      <c r="Z231" s="873">
        <f t="shared" si="86"/>
        <v>0</v>
      </c>
      <c r="AA231" s="885">
        <f t="shared" si="87"/>
        <v>0</v>
      </c>
    </row>
    <row r="232" spans="2:27" s="278" customFormat="1" ht="12" customHeight="1" x14ac:dyDescent="0.25">
      <c r="B232" s="1192" t="e">
        <f t="shared" si="92"/>
        <v>#N/A</v>
      </c>
      <c r="C232" s="732">
        <f t="shared" si="79"/>
        <v>31</v>
      </c>
      <c r="D232" s="35">
        <f t="shared" si="80"/>
        <v>3</v>
      </c>
      <c r="E232" s="889">
        <f t="shared" si="95"/>
        <v>52321</v>
      </c>
      <c r="F232" s="822">
        <f t="shared" si="88"/>
        <v>3</v>
      </c>
      <c r="G232" s="500">
        <f t="shared" si="96"/>
        <v>31</v>
      </c>
      <c r="H232" s="126">
        <f t="shared" si="81"/>
        <v>0</v>
      </c>
      <c r="I232" s="1098">
        <f t="shared" si="97"/>
        <v>0</v>
      </c>
      <c r="J232" s="887">
        <f t="shared" si="93"/>
        <v>213</v>
      </c>
      <c r="K232" s="1099">
        <f t="shared" si="89"/>
        <v>213</v>
      </c>
      <c r="L232" s="891" t="str">
        <f t="shared" si="90"/>
        <v>March</v>
      </c>
      <c r="M232" s="888">
        <f t="shared" si="94"/>
        <v>2043</v>
      </c>
      <c r="N232" s="883">
        <f t="shared" si="91"/>
        <v>0</v>
      </c>
      <c r="O232" s="883">
        <f t="shared" si="98"/>
        <v>0</v>
      </c>
      <c r="P232" s="1100"/>
      <c r="Q232" s="883">
        <f t="shared" si="82"/>
        <v>0</v>
      </c>
      <c r="R232" s="884">
        <f t="shared" si="77"/>
        <v>0</v>
      </c>
      <c r="S232" s="884">
        <f>IF(AND($AS$39="Early Payoff",J232&gt;=$S$13),0,IF($J232&lt;=$S$6,SUM($Q$20:$Q232),0))</f>
        <v>0</v>
      </c>
      <c r="T232" s="884">
        <f>IF(AND($AS$39="Early Payoff",J232&gt;=$S$13),0,IF($J232&lt;=$S$6,SUM($R$20:$R232),0))</f>
        <v>0</v>
      </c>
      <c r="U232" s="885">
        <f t="shared" si="83"/>
        <v>0</v>
      </c>
      <c r="V232" s="1110">
        <f t="shared" si="78"/>
        <v>0</v>
      </c>
      <c r="X232" s="1102">
        <f t="shared" si="84"/>
        <v>0</v>
      </c>
      <c r="Y232" s="873">
        <f t="shared" si="85"/>
        <v>0</v>
      </c>
      <c r="Z232" s="873">
        <f t="shared" si="86"/>
        <v>0</v>
      </c>
      <c r="AA232" s="885">
        <f t="shared" si="87"/>
        <v>0</v>
      </c>
    </row>
    <row r="233" spans="2:27" s="278" customFormat="1" ht="12" customHeight="1" x14ac:dyDescent="0.25">
      <c r="B233" s="1192" t="e">
        <f t="shared" si="92"/>
        <v>#N/A</v>
      </c>
      <c r="C233" s="732">
        <f t="shared" si="79"/>
        <v>30</v>
      </c>
      <c r="D233" s="35">
        <f t="shared" si="80"/>
        <v>4</v>
      </c>
      <c r="E233" s="889">
        <f t="shared" si="95"/>
        <v>52351</v>
      </c>
      <c r="F233" s="822">
        <f t="shared" si="88"/>
        <v>4</v>
      </c>
      <c r="G233" s="500">
        <f t="shared" si="96"/>
        <v>30</v>
      </c>
      <c r="H233" s="126">
        <f t="shared" si="81"/>
        <v>0</v>
      </c>
      <c r="I233" s="1098">
        <f t="shared" si="97"/>
        <v>0</v>
      </c>
      <c r="J233" s="887">
        <f t="shared" si="93"/>
        <v>214</v>
      </c>
      <c r="K233" s="1099">
        <f t="shared" si="89"/>
        <v>214</v>
      </c>
      <c r="L233" s="891" t="str">
        <f t="shared" si="90"/>
        <v>April</v>
      </c>
      <c r="M233" s="888">
        <f t="shared" si="94"/>
        <v>2043</v>
      </c>
      <c r="N233" s="883">
        <f t="shared" si="91"/>
        <v>0</v>
      </c>
      <c r="O233" s="883">
        <f t="shared" si="98"/>
        <v>0</v>
      </c>
      <c r="P233" s="1100"/>
      <c r="Q233" s="883">
        <f t="shared" si="82"/>
        <v>0</v>
      </c>
      <c r="R233" s="884">
        <f t="shared" si="77"/>
        <v>0</v>
      </c>
      <c r="S233" s="884">
        <f>IF(AND($AS$39="Early Payoff",J233&gt;=$S$13),0,IF($J233&lt;=$S$6,SUM($Q$20:$Q233),0))</f>
        <v>0</v>
      </c>
      <c r="T233" s="884">
        <f>IF(AND($AS$39="Early Payoff",J233&gt;=$S$13),0,IF($J233&lt;=$S$6,SUM($R$20:$R233),0))</f>
        <v>0</v>
      </c>
      <c r="U233" s="885">
        <f t="shared" si="83"/>
        <v>0</v>
      </c>
      <c r="V233" s="1110">
        <f t="shared" si="78"/>
        <v>0</v>
      </c>
      <c r="X233" s="1102">
        <f t="shared" si="84"/>
        <v>0</v>
      </c>
      <c r="Y233" s="873">
        <f t="shared" si="85"/>
        <v>0</v>
      </c>
      <c r="Z233" s="873">
        <f t="shared" si="86"/>
        <v>0</v>
      </c>
      <c r="AA233" s="885">
        <f t="shared" si="87"/>
        <v>0</v>
      </c>
    </row>
    <row r="234" spans="2:27" s="278" customFormat="1" ht="12" customHeight="1" x14ac:dyDescent="0.25">
      <c r="B234" s="1192" t="e">
        <f t="shared" si="92"/>
        <v>#N/A</v>
      </c>
      <c r="C234" s="732">
        <f t="shared" si="79"/>
        <v>31</v>
      </c>
      <c r="D234" s="35">
        <f t="shared" si="80"/>
        <v>5</v>
      </c>
      <c r="E234" s="889">
        <f t="shared" si="95"/>
        <v>52382</v>
      </c>
      <c r="F234" s="822">
        <f t="shared" si="88"/>
        <v>5</v>
      </c>
      <c r="G234" s="500">
        <f t="shared" si="96"/>
        <v>31</v>
      </c>
      <c r="H234" s="126">
        <f t="shared" si="81"/>
        <v>0</v>
      </c>
      <c r="I234" s="1098">
        <f t="shared" si="97"/>
        <v>0</v>
      </c>
      <c r="J234" s="887">
        <f t="shared" si="93"/>
        <v>215</v>
      </c>
      <c r="K234" s="1099">
        <f t="shared" si="89"/>
        <v>215</v>
      </c>
      <c r="L234" s="891" t="str">
        <f t="shared" si="90"/>
        <v>May</v>
      </c>
      <c r="M234" s="888">
        <f t="shared" si="94"/>
        <v>2043</v>
      </c>
      <c r="N234" s="883">
        <f t="shared" si="91"/>
        <v>0</v>
      </c>
      <c r="O234" s="883">
        <f t="shared" si="98"/>
        <v>0</v>
      </c>
      <c r="P234" s="1100"/>
      <c r="Q234" s="883">
        <f t="shared" si="82"/>
        <v>0</v>
      </c>
      <c r="R234" s="884">
        <f t="shared" si="77"/>
        <v>0</v>
      </c>
      <c r="S234" s="884">
        <f>IF(AND($AS$39="Early Payoff",J234&gt;=$S$13),0,IF($J234&lt;=$S$6,SUM($Q$20:$Q234),0))</f>
        <v>0</v>
      </c>
      <c r="T234" s="884">
        <f>IF(AND($AS$39="Early Payoff",J234&gt;=$S$13),0,IF($J234&lt;=$S$6,SUM($R$20:$R234),0))</f>
        <v>0</v>
      </c>
      <c r="U234" s="885">
        <f t="shared" si="83"/>
        <v>0</v>
      </c>
      <c r="V234" s="1110">
        <f t="shared" si="78"/>
        <v>0</v>
      </c>
      <c r="X234" s="1102">
        <f t="shared" si="84"/>
        <v>0</v>
      </c>
      <c r="Y234" s="873">
        <f t="shared" si="85"/>
        <v>0</v>
      </c>
      <c r="Z234" s="873">
        <f t="shared" si="86"/>
        <v>0</v>
      </c>
      <c r="AA234" s="885">
        <f t="shared" si="87"/>
        <v>0</v>
      </c>
    </row>
    <row r="235" spans="2:27" s="278" customFormat="1" ht="12" customHeight="1" x14ac:dyDescent="0.25">
      <c r="B235" s="1192" t="e">
        <f t="shared" si="92"/>
        <v>#N/A</v>
      </c>
      <c r="C235" s="732">
        <f t="shared" si="79"/>
        <v>30</v>
      </c>
      <c r="D235" s="35">
        <f t="shared" si="80"/>
        <v>6</v>
      </c>
      <c r="E235" s="889">
        <f t="shared" si="95"/>
        <v>52412</v>
      </c>
      <c r="F235" s="822">
        <f t="shared" si="88"/>
        <v>6</v>
      </c>
      <c r="G235" s="500">
        <f t="shared" si="96"/>
        <v>30</v>
      </c>
      <c r="H235" s="126">
        <f t="shared" si="81"/>
        <v>0</v>
      </c>
      <c r="I235" s="1098">
        <f t="shared" si="97"/>
        <v>0</v>
      </c>
      <c r="J235" s="887">
        <f t="shared" si="93"/>
        <v>216</v>
      </c>
      <c r="K235" s="1099">
        <f t="shared" si="89"/>
        <v>216</v>
      </c>
      <c r="L235" s="891" t="str">
        <f t="shared" si="90"/>
        <v>June</v>
      </c>
      <c r="M235" s="888">
        <f t="shared" si="94"/>
        <v>2043</v>
      </c>
      <c r="N235" s="883">
        <f t="shared" si="91"/>
        <v>0</v>
      </c>
      <c r="O235" s="883">
        <f t="shared" si="98"/>
        <v>0</v>
      </c>
      <c r="P235" s="1100"/>
      <c r="Q235" s="883">
        <f t="shared" si="82"/>
        <v>0</v>
      </c>
      <c r="R235" s="884">
        <f t="shared" si="77"/>
        <v>0</v>
      </c>
      <c r="S235" s="884">
        <f>IF(AND($AS$39="Early Payoff",J235&gt;=$S$13),0,IF($J235&lt;=$S$6,SUM($Q$20:$Q235),0))</f>
        <v>0</v>
      </c>
      <c r="T235" s="884">
        <f>IF(AND($AS$39="Early Payoff",J235&gt;=$S$13),0,IF($J235&lt;=$S$6,SUM($R$20:$R235),0))</f>
        <v>0</v>
      </c>
      <c r="U235" s="885">
        <f t="shared" si="83"/>
        <v>0</v>
      </c>
      <c r="V235" s="1110">
        <f t="shared" si="78"/>
        <v>0</v>
      </c>
      <c r="X235" s="1102">
        <f t="shared" si="84"/>
        <v>0</v>
      </c>
      <c r="Y235" s="873">
        <f t="shared" si="85"/>
        <v>0</v>
      </c>
      <c r="Z235" s="873">
        <f t="shared" si="86"/>
        <v>0</v>
      </c>
      <c r="AA235" s="885">
        <f t="shared" si="87"/>
        <v>0</v>
      </c>
    </row>
    <row r="236" spans="2:27" s="278" customFormat="1" ht="12" customHeight="1" x14ac:dyDescent="0.25">
      <c r="B236" s="1192" t="e">
        <f t="shared" si="92"/>
        <v>#N/A</v>
      </c>
      <c r="C236" s="732">
        <f t="shared" si="79"/>
        <v>31</v>
      </c>
      <c r="D236" s="35">
        <f t="shared" si="80"/>
        <v>7</v>
      </c>
      <c r="E236" s="889">
        <f t="shared" si="95"/>
        <v>52443</v>
      </c>
      <c r="F236" s="822">
        <f t="shared" si="88"/>
        <v>7</v>
      </c>
      <c r="G236" s="500">
        <f t="shared" si="96"/>
        <v>31</v>
      </c>
      <c r="H236" s="126">
        <f t="shared" si="81"/>
        <v>0</v>
      </c>
      <c r="I236" s="1098">
        <f t="shared" si="97"/>
        <v>0</v>
      </c>
      <c r="J236" s="887">
        <f t="shared" si="93"/>
        <v>217</v>
      </c>
      <c r="K236" s="1099">
        <f t="shared" si="89"/>
        <v>217</v>
      </c>
      <c r="L236" s="891" t="str">
        <f t="shared" si="90"/>
        <v>July</v>
      </c>
      <c r="M236" s="888">
        <f t="shared" si="94"/>
        <v>2043</v>
      </c>
      <c r="N236" s="883">
        <f t="shared" si="91"/>
        <v>0</v>
      </c>
      <c r="O236" s="883">
        <f t="shared" si="98"/>
        <v>0</v>
      </c>
      <c r="P236" s="1100"/>
      <c r="Q236" s="883">
        <f t="shared" si="82"/>
        <v>0</v>
      </c>
      <c r="R236" s="884">
        <f t="shared" si="77"/>
        <v>0</v>
      </c>
      <c r="S236" s="884">
        <f>IF(AND($AS$39="Early Payoff",J236&gt;=$S$13),0,IF($J236&lt;=$S$6,SUM($Q$20:$Q236),0))</f>
        <v>0</v>
      </c>
      <c r="T236" s="884">
        <f>IF(AND($AS$39="Early Payoff",J236&gt;=$S$13),0,IF($J236&lt;=$S$6,SUM($R$20:$R236),0))</f>
        <v>0</v>
      </c>
      <c r="U236" s="885">
        <f t="shared" si="83"/>
        <v>0</v>
      </c>
      <c r="V236" s="1110">
        <f t="shared" si="78"/>
        <v>0</v>
      </c>
      <c r="X236" s="1102">
        <f t="shared" si="84"/>
        <v>0</v>
      </c>
      <c r="Y236" s="873">
        <f t="shared" si="85"/>
        <v>0</v>
      </c>
      <c r="Z236" s="873">
        <f t="shared" si="86"/>
        <v>0</v>
      </c>
      <c r="AA236" s="885">
        <f t="shared" si="87"/>
        <v>0</v>
      </c>
    </row>
    <row r="237" spans="2:27" s="278" customFormat="1" ht="12" customHeight="1" x14ac:dyDescent="0.25">
      <c r="B237" s="1192" t="e">
        <f t="shared" si="92"/>
        <v>#N/A</v>
      </c>
      <c r="C237" s="732">
        <f t="shared" si="79"/>
        <v>31</v>
      </c>
      <c r="D237" s="35">
        <f t="shared" si="80"/>
        <v>8</v>
      </c>
      <c r="E237" s="889">
        <f t="shared" si="95"/>
        <v>52474</v>
      </c>
      <c r="F237" s="822">
        <f t="shared" si="88"/>
        <v>8</v>
      </c>
      <c r="G237" s="500">
        <f t="shared" si="96"/>
        <v>31</v>
      </c>
      <c r="H237" s="126">
        <f t="shared" si="81"/>
        <v>0</v>
      </c>
      <c r="I237" s="1098">
        <f t="shared" si="97"/>
        <v>0</v>
      </c>
      <c r="J237" s="887">
        <f t="shared" si="93"/>
        <v>218</v>
      </c>
      <c r="K237" s="1099">
        <f t="shared" si="89"/>
        <v>218</v>
      </c>
      <c r="L237" s="891" t="str">
        <f t="shared" si="90"/>
        <v>August</v>
      </c>
      <c r="M237" s="888">
        <f t="shared" si="94"/>
        <v>2043</v>
      </c>
      <c r="N237" s="883">
        <f t="shared" si="91"/>
        <v>0</v>
      </c>
      <c r="O237" s="883">
        <f t="shared" si="98"/>
        <v>0</v>
      </c>
      <c r="P237" s="1100"/>
      <c r="Q237" s="883">
        <f t="shared" si="82"/>
        <v>0</v>
      </c>
      <c r="R237" s="884">
        <f t="shared" si="77"/>
        <v>0</v>
      </c>
      <c r="S237" s="884">
        <f>IF(AND($AS$39="Early Payoff",J237&gt;=$S$13),0,IF($J237&lt;=$S$6,SUM($Q$20:$Q237),0))</f>
        <v>0</v>
      </c>
      <c r="T237" s="884">
        <f>IF(AND($AS$39="Early Payoff",J237&gt;=$S$13),0,IF($J237&lt;=$S$6,SUM($R$20:$R237),0))</f>
        <v>0</v>
      </c>
      <c r="U237" s="885">
        <f t="shared" si="83"/>
        <v>0</v>
      </c>
      <c r="V237" s="1110">
        <f t="shared" si="78"/>
        <v>0</v>
      </c>
      <c r="X237" s="1102">
        <f t="shared" si="84"/>
        <v>0</v>
      </c>
      <c r="Y237" s="873">
        <f t="shared" si="85"/>
        <v>0</v>
      </c>
      <c r="Z237" s="873">
        <f t="shared" si="86"/>
        <v>0</v>
      </c>
      <c r="AA237" s="885">
        <f t="shared" si="87"/>
        <v>0</v>
      </c>
    </row>
    <row r="238" spans="2:27" s="278" customFormat="1" ht="12" customHeight="1" x14ac:dyDescent="0.25">
      <c r="B238" s="1192" t="e">
        <f t="shared" si="92"/>
        <v>#N/A</v>
      </c>
      <c r="C238" s="732">
        <f t="shared" si="79"/>
        <v>30</v>
      </c>
      <c r="D238" s="35">
        <f t="shared" si="80"/>
        <v>9</v>
      </c>
      <c r="E238" s="889">
        <f t="shared" si="95"/>
        <v>52504</v>
      </c>
      <c r="F238" s="822">
        <f t="shared" si="88"/>
        <v>9</v>
      </c>
      <c r="G238" s="500">
        <f t="shared" si="96"/>
        <v>30</v>
      </c>
      <c r="H238" s="126">
        <f t="shared" si="81"/>
        <v>0</v>
      </c>
      <c r="I238" s="1098">
        <f t="shared" si="97"/>
        <v>0</v>
      </c>
      <c r="J238" s="887">
        <f t="shared" si="93"/>
        <v>219</v>
      </c>
      <c r="K238" s="1099">
        <f t="shared" si="89"/>
        <v>219</v>
      </c>
      <c r="L238" s="891" t="str">
        <f t="shared" si="90"/>
        <v>September</v>
      </c>
      <c r="M238" s="888">
        <f t="shared" si="94"/>
        <v>2043</v>
      </c>
      <c r="N238" s="883">
        <f t="shared" si="91"/>
        <v>0</v>
      </c>
      <c r="O238" s="883">
        <f t="shared" si="98"/>
        <v>0</v>
      </c>
      <c r="P238" s="1100"/>
      <c r="Q238" s="883">
        <f t="shared" si="82"/>
        <v>0</v>
      </c>
      <c r="R238" s="884">
        <f t="shared" si="77"/>
        <v>0</v>
      </c>
      <c r="S238" s="884">
        <f>IF(AND($AS$39="Early Payoff",J238&gt;=$S$13),0,IF($J238&lt;=$S$6,SUM($Q$20:$Q238),0))</f>
        <v>0</v>
      </c>
      <c r="T238" s="884">
        <f>IF(AND($AS$39="Early Payoff",J238&gt;=$S$13),0,IF($J238&lt;=$S$6,SUM($R$20:$R238),0))</f>
        <v>0</v>
      </c>
      <c r="U238" s="885">
        <f t="shared" si="83"/>
        <v>0</v>
      </c>
      <c r="V238" s="1110">
        <f t="shared" si="78"/>
        <v>0</v>
      </c>
      <c r="X238" s="1102">
        <f t="shared" si="84"/>
        <v>0</v>
      </c>
      <c r="Y238" s="873">
        <f t="shared" si="85"/>
        <v>0</v>
      </c>
      <c r="Z238" s="873">
        <f t="shared" si="86"/>
        <v>0</v>
      </c>
      <c r="AA238" s="885">
        <f t="shared" si="87"/>
        <v>0</v>
      </c>
    </row>
    <row r="239" spans="2:27" s="278" customFormat="1" ht="12" customHeight="1" x14ac:dyDescent="0.25">
      <c r="B239" s="1192" t="e">
        <f t="shared" si="92"/>
        <v>#N/A</v>
      </c>
      <c r="C239" s="732">
        <f t="shared" si="79"/>
        <v>31</v>
      </c>
      <c r="D239" s="35">
        <f t="shared" si="80"/>
        <v>10</v>
      </c>
      <c r="E239" s="889">
        <f t="shared" si="95"/>
        <v>52535</v>
      </c>
      <c r="F239" s="822">
        <f t="shared" si="88"/>
        <v>10</v>
      </c>
      <c r="G239" s="500">
        <f t="shared" si="96"/>
        <v>31</v>
      </c>
      <c r="H239" s="126">
        <f t="shared" si="81"/>
        <v>0</v>
      </c>
      <c r="I239" s="1098">
        <f t="shared" si="97"/>
        <v>0</v>
      </c>
      <c r="J239" s="887">
        <f t="shared" si="93"/>
        <v>220</v>
      </c>
      <c r="K239" s="1099">
        <f t="shared" si="89"/>
        <v>220</v>
      </c>
      <c r="L239" s="891" t="str">
        <f t="shared" si="90"/>
        <v>October</v>
      </c>
      <c r="M239" s="888">
        <f t="shared" si="94"/>
        <v>2043</v>
      </c>
      <c r="N239" s="883">
        <f t="shared" si="91"/>
        <v>0</v>
      </c>
      <c r="O239" s="883">
        <f t="shared" si="98"/>
        <v>0</v>
      </c>
      <c r="P239" s="1100"/>
      <c r="Q239" s="883">
        <f t="shared" si="82"/>
        <v>0</v>
      </c>
      <c r="R239" s="884">
        <f t="shared" si="77"/>
        <v>0</v>
      </c>
      <c r="S239" s="884">
        <f>IF(AND($AS$39="Early Payoff",J239&gt;=$S$13),0,IF($J239&lt;=$S$6,SUM($Q$20:$Q239),0))</f>
        <v>0</v>
      </c>
      <c r="T239" s="884">
        <f>IF(AND($AS$39="Early Payoff",J239&gt;=$S$13),0,IF($J239&lt;=$S$6,SUM($R$20:$R239),0))</f>
        <v>0</v>
      </c>
      <c r="U239" s="885">
        <f t="shared" si="83"/>
        <v>0</v>
      </c>
      <c r="V239" s="1110">
        <f t="shared" si="78"/>
        <v>0</v>
      </c>
      <c r="X239" s="1102">
        <f t="shared" si="84"/>
        <v>0</v>
      </c>
      <c r="Y239" s="873">
        <f t="shared" si="85"/>
        <v>0</v>
      </c>
      <c r="Z239" s="873">
        <f t="shared" si="86"/>
        <v>0</v>
      </c>
      <c r="AA239" s="885">
        <f t="shared" si="87"/>
        <v>0</v>
      </c>
    </row>
    <row r="240" spans="2:27" s="278" customFormat="1" ht="12" customHeight="1" x14ac:dyDescent="0.25">
      <c r="B240" s="1192" t="e">
        <f t="shared" si="92"/>
        <v>#N/A</v>
      </c>
      <c r="C240" s="732">
        <f t="shared" si="79"/>
        <v>30</v>
      </c>
      <c r="D240" s="35">
        <f t="shared" si="80"/>
        <v>11</v>
      </c>
      <c r="E240" s="889">
        <f t="shared" si="95"/>
        <v>52565</v>
      </c>
      <c r="F240" s="822">
        <f t="shared" si="88"/>
        <v>11</v>
      </c>
      <c r="G240" s="500">
        <f t="shared" si="96"/>
        <v>30</v>
      </c>
      <c r="H240" s="126">
        <f t="shared" si="81"/>
        <v>0</v>
      </c>
      <c r="I240" s="1098">
        <f t="shared" si="97"/>
        <v>0</v>
      </c>
      <c r="J240" s="887">
        <f t="shared" si="93"/>
        <v>221</v>
      </c>
      <c r="K240" s="1099">
        <f t="shared" si="89"/>
        <v>221</v>
      </c>
      <c r="L240" s="891" t="str">
        <f t="shared" si="90"/>
        <v>November</v>
      </c>
      <c r="M240" s="888">
        <f t="shared" si="94"/>
        <v>2043</v>
      </c>
      <c r="N240" s="883">
        <f t="shared" si="91"/>
        <v>0</v>
      </c>
      <c r="O240" s="883">
        <f t="shared" si="98"/>
        <v>0</v>
      </c>
      <c r="P240" s="1100"/>
      <c r="Q240" s="883">
        <f t="shared" si="82"/>
        <v>0</v>
      </c>
      <c r="R240" s="884">
        <f t="shared" si="77"/>
        <v>0</v>
      </c>
      <c r="S240" s="884">
        <f>IF(AND($AS$39="Early Payoff",J240&gt;=$S$13),0,IF($J240&lt;=$S$6,SUM($Q$20:$Q240),0))</f>
        <v>0</v>
      </c>
      <c r="T240" s="884">
        <f>IF(AND($AS$39="Early Payoff",J240&gt;=$S$13),0,IF($J240&lt;=$S$6,SUM($R$20:$R240),0))</f>
        <v>0</v>
      </c>
      <c r="U240" s="885">
        <f t="shared" si="83"/>
        <v>0</v>
      </c>
      <c r="V240" s="1110">
        <f t="shared" si="78"/>
        <v>0</v>
      </c>
      <c r="X240" s="1102">
        <f t="shared" si="84"/>
        <v>0</v>
      </c>
      <c r="Y240" s="873">
        <f t="shared" si="85"/>
        <v>0</v>
      </c>
      <c r="Z240" s="873">
        <f t="shared" si="86"/>
        <v>0</v>
      </c>
      <c r="AA240" s="885">
        <f t="shared" si="87"/>
        <v>0</v>
      </c>
    </row>
    <row r="241" spans="2:27" s="278" customFormat="1" ht="12" customHeight="1" x14ac:dyDescent="0.25">
      <c r="B241" s="1192" t="e">
        <f t="shared" si="92"/>
        <v>#N/A</v>
      </c>
      <c r="C241" s="732">
        <f t="shared" si="79"/>
        <v>31</v>
      </c>
      <c r="D241" s="35">
        <f t="shared" si="80"/>
        <v>12</v>
      </c>
      <c r="E241" s="889">
        <f t="shared" si="95"/>
        <v>52596</v>
      </c>
      <c r="F241" s="822">
        <f t="shared" si="88"/>
        <v>12</v>
      </c>
      <c r="G241" s="500">
        <f t="shared" si="96"/>
        <v>31</v>
      </c>
      <c r="H241" s="126">
        <f t="shared" si="81"/>
        <v>1</v>
      </c>
      <c r="I241" s="1098">
        <f t="shared" si="97"/>
        <v>0</v>
      </c>
      <c r="J241" s="887">
        <f t="shared" si="93"/>
        <v>222</v>
      </c>
      <c r="K241" s="1099">
        <f t="shared" si="89"/>
        <v>222</v>
      </c>
      <c r="L241" s="891" t="str">
        <f t="shared" si="90"/>
        <v>December</v>
      </c>
      <c r="M241" s="888">
        <f t="shared" si="94"/>
        <v>2043</v>
      </c>
      <c r="N241" s="883">
        <f t="shared" si="91"/>
        <v>0</v>
      </c>
      <c r="O241" s="883">
        <f t="shared" si="98"/>
        <v>0</v>
      </c>
      <c r="P241" s="1100"/>
      <c r="Q241" s="883">
        <f t="shared" si="82"/>
        <v>0</v>
      </c>
      <c r="R241" s="884">
        <f t="shared" si="77"/>
        <v>0</v>
      </c>
      <c r="S241" s="884">
        <f>IF(AND($AS$39="Early Payoff",J241&gt;=$S$13),0,IF($J241&lt;=$S$6,SUM($Q$20:$Q241),0))</f>
        <v>0</v>
      </c>
      <c r="T241" s="884">
        <f>IF(AND($AS$39="Early Payoff",J241&gt;=$S$13),0,IF($J241&lt;=$S$6,SUM($R$20:$R241),0))</f>
        <v>0</v>
      </c>
      <c r="U241" s="885">
        <f t="shared" si="83"/>
        <v>0</v>
      </c>
      <c r="V241" s="1110">
        <f t="shared" si="78"/>
        <v>0</v>
      </c>
      <c r="X241" s="1102">
        <f t="shared" si="84"/>
        <v>0</v>
      </c>
      <c r="Y241" s="873">
        <f t="shared" si="85"/>
        <v>0</v>
      </c>
      <c r="Z241" s="873">
        <f t="shared" si="86"/>
        <v>0</v>
      </c>
      <c r="AA241" s="885">
        <f t="shared" si="87"/>
        <v>0</v>
      </c>
    </row>
    <row r="242" spans="2:27" s="278" customFormat="1" ht="12" customHeight="1" x14ac:dyDescent="0.25">
      <c r="B242" s="1192" t="e">
        <f t="shared" si="92"/>
        <v>#N/A</v>
      </c>
      <c r="C242" s="732">
        <f t="shared" si="79"/>
        <v>31</v>
      </c>
      <c r="D242" s="35">
        <f t="shared" si="80"/>
        <v>1</v>
      </c>
      <c r="E242" s="889">
        <f t="shared" si="95"/>
        <v>52627</v>
      </c>
      <c r="F242" s="822">
        <f t="shared" si="88"/>
        <v>1</v>
      </c>
      <c r="G242" s="500">
        <f t="shared" si="96"/>
        <v>31</v>
      </c>
      <c r="H242" s="126">
        <f t="shared" si="81"/>
        <v>0</v>
      </c>
      <c r="I242" s="1098">
        <f t="shared" si="97"/>
        <v>0</v>
      </c>
      <c r="J242" s="887">
        <f t="shared" si="93"/>
        <v>223</v>
      </c>
      <c r="K242" s="1099">
        <f t="shared" si="89"/>
        <v>223</v>
      </c>
      <c r="L242" s="891" t="str">
        <f t="shared" si="90"/>
        <v>January</v>
      </c>
      <c r="M242" s="888">
        <f t="shared" si="94"/>
        <v>2044</v>
      </c>
      <c r="N242" s="883">
        <f t="shared" si="91"/>
        <v>0</v>
      </c>
      <c r="O242" s="883">
        <f t="shared" si="98"/>
        <v>0</v>
      </c>
      <c r="P242" s="1100"/>
      <c r="Q242" s="883">
        <f t="shared" si="82"/>
        <v>0</v>
      </c>
      <c r="R242" s="884">
        <f t="shared" si="77"/>
        <v>0</v>
      </c>
      <c r="S242" s="884">
        <f>IF(AND($AS$39="Early Payoff",J242&gt;=$S$13),0,IF($J242&lt;=$S$6,SUM($Q$20:$Q242),0))</f>
        <v>0</v>
      </c>
      <c r="T242" s="884">
        <f>IF(AND($AS$39="Early Payoff",J242&gt;=$S$13),0,IF($J242&lt;=$S$6,SUM($R$20:$R242),0))</f>
        <v>0</v>
      </c>
      <c r="U242" s="885">
        <f t="shared" si="83"/>
        <v>0</v>
      </c>
      <c r="V242" s="1110">
        <f t="shared" si="78"/>
        <v>0</v>
      </c>
      <c r="X242" s="1102">
        <f t="shared" si="84"/>
        <v>0</v>
      </c>
      <c r="Y242" s="873">
        <f t="shared" si="85"/>
        <v>0</v>
      </c>
      <c r="Z242" s="873">
        <f t="shared" si="86"/>
        <v>0</v>
      </c>
      <c r="AA242" s="885">
        <f t="shared" si="87"/>
        <v>0</v>
      </c>
    </row>
    <row r="243" spans="2:27" s="278" customFormat="1" ht="12" customHeight="1" x14ac:dyDescent="0.25">
      <c r="B243" s="1192" t="e">
        <f t="shared" si="92"/>
        <v>#N/A</v>
      </c>
      <c r="C243" s="732">
        <f t="shared" si="79"/>
        <v>29</v>
      </c>
      <c r="D243" s="35">
        <f t="shared" si="80"/>
        <v>2</v>
      </c>
      <c r="E243" s="889">
        <f t="shared" si="95"/>
        <v>52656</v>
      </c>
      <c r="F243" s="822">
        <f t="shared" si="88"/>
        <v>2</v>
      </c>
      <c r="G243" s="500">
        <f t="shared" si="96"/>
        <v>29</v>
      </c>
      <c r="H243" s="126">
        <f t="shared" si="81"/>
        <v>0</v>
      </c>
      <c r="I243" s="1098">
        <f t="shared" si="97"/>
        <v>0</v>
      </c>
      <c r="J243" s="887">
        <f t="shared" si="93"/>
        <v>224</v>
      </c>
      <c r="K243" s="1099">
        <f t="shared" si="89"/>
        <v>224</v>
      </c>
      <c r="L243" s="891" t="str">
        <f t="shared" si="90"/>
        <v>February</v>
      </c>
      <c r="M243" s="888">
        <f t="shared" si="94"/>
        <v>2044</v>
      </c>
      <c r="N243" s="883">
        <f t="shared" si="91"/>
        <v>0</v>
      </c>
      <c r="O243" s="883">
        <f t="shared" si="98"/>
        <v>0</v>
      </c>
      <c r="P243" s="1100"/>
      <c r="Q243" s="883">
        <f t="shared" si="82"/>
        <v>0</v>
      </c>
      <c r="R243" s="884">
        <f t="shared" si="77"/>
        <v>0</v>
      </c>
      <c r="S243" s="884">
        <f>IF(AND($AS$39="Early Payoff",J243&gt;=$S$13),0,IF($J243&lt;=$S$6,SUM($Q$20:$Q243),0))</f>
        <v>0</v>
      </c>
      <c r="T243" s="884">
        <f>IF(AND($AS$39="Early Payoff",J243&gt;=$S$13),0,IF($J243&lt;=$S$6,SUM($R$20:$R243),0))</f>
        <v>0</v>
      </c>
      <c r="U243" s="885">
        <f t="shared" si="83"/>
        <v>0</v>
      </c>
      <c r="V243" s="1110">
        <f t="shared" si="78"/>
        <v>0</v>
      </c>
      <c r="X243" s="1102">
        <f t="shared" si="84"/>
        <v>0</v>
      </c>
      <c r="Y243" s="873">
        <f t="shared" si="85"/>
        <v>0</v>
      </c>
      <c r="Z243" s="873">
        <f t="shared" si="86"/>
        <v>0</v>
      </c>
      <c r="AA243" s="885">
        <f t="shared" si="87"/>
        <v>0</v>
      </c>
    </row>
    <row r="244" spans="2:27" s="278" customFormat="1" ht="12" customHeight="1" x14ac:dyDescent="0.25">
      <c r="B244" s="1192" t="e">
        <f t="shared" si="92"/>
        <v>#N/A</v>
      </c>
      <c r="C244" s="732">
        <f t="shared" si="79"/>
        <v>31</v>
      </c>
      <c r="D244" s="35">
        <f t="shared" si="80"/>
        <v>3</v>
      </c>
      <c r="E244" s="889">
        <f t="shared" si="95"/>
        <v>52687</v>
      </c>
      <c r="F244" s="822">
        <f t="shared" si="88"/>
        <v>3</v>
      </c>
      <c r="G244" s="500">
        <f t="shared" si="96"/>
        <v>31</v>
      </c>
      <c r="H244" s="126">
        <f t="shared" si="81"/>
        <v>0</v>
      </c>
      <c r="I244" s="1098">
        <f t="shared" si="97"/>
        <v>0</v>
      </c>
      <c r="J244" s="887">
        <f t="shared" si="93"/>
        <v>225</v>
      </c>
      <c r="K244" s="1099">
        <f t="shared" si="89"/>
        <v>225</v>
      </c>
      <c r="L244" s="891" t="str">
        <f t="shared" si="90"/>
        <v>March</v>
      </c>
      <c r="M244" s="888">
        <f t="shared" si="94"/>
        <v>2044</v>
      </c>
      <c r="N244" s="883">
        <f t="shared" si="91"/>
        <v>0</v>
      </c>
      <c r="O244" s="883">
        <f t="shared" si="98"/>
        <v>0</v>
      </c>
      <c r="P244" s="1100"/>
      <c r="Q244" s="883">
        <f t="shared" si="82"/>
        <v>0</v>
      </c>
      <c r="R244" s="884">
        <f t="shared" si="77"/>
        <v>0</v>
      </c>
      <c r="S244" s="884">
        <f>IF(AND($AS$39="Early Payoff",J244&gt;=$S$13),0,IF($J244&lt;=$S$6,SUM($Q$20:$Q244),0))</f>
        <v>0</v>
      </c>
      <c r="T244" s="884">
        <f>IF(AND($AS$39="Early Payoff",J244&gt;=$S$13),0,IF($J244&lt;=$S$6,SUM($R$20:$R244),0))</f>
        <v>0</v>
      </c>
      <c r="U244" s="885">
        <f t="shared" si="83"/>
        <v>0</v>
      </c>
      <c r="V244" s="1110">
        <f t="shared" si="78"/>
        <v>0</v>
      </c>
      <c r="X244" s="1102">
        <f t="shared" si="84"/>
        <v>0</v>
      </c>
      <c r="Y244" s="873">
        <f t="shared" si="85"/>
        <v>0</v>
      </c>
      <c r="Z244" s="873">
        <f t="shared" si="86"/>
        <v>0</v>
      </c>
      <c r="AA244" s="885">
        <f t="shared" si="87"/>
        <v>0</v>
      </c>
    </row>
    <row r="245" spans="2:27" s="278" customFormat="1" ht="12" customHeight="1" x14ac:dyDescent="0.25">
      <c r="B245" s="1192" t="e">
        <f t="shared" si="92"/>
        <v>#N/A</v>
      </c>
      <c r="C245" s="732">
        <f t="shared" si="79"/>
        <v>30</v>
      </c>
      <c r="D245" s="35">
        <f t="shared" si="80"/>
        <v>4</v>
      </c>
      <c r="E245" s="889">
        <f t="shared" si="95"/>
        <v>52717</v>
      </c>
      <c r="F245" s="822">
        <f t="shared" si="88"/>
        <v>4</v>
      </c>
      <c r="G245" s="500">
        <f t="shared" si="96"/>
        <v>30</v>
      </c>
      <c r="H245" s="126">
        <f t="shared" si="81"/>
        <v>0</v>
      </c>
      <c r="I245" s="1098">
        <f t="shared" si="97"/>
        <v>0</v>
      </c>
      <c r="J245" s="887">
        <f t="shared" si="93"/>
        <v>226</v>
      </c>
      <c r="K245" s="1099">
        <f t="shared" si="89"/>
        <v>226</v>
      </c>
      <c r="L245" s="891" t="str">
        <f t="shared" si="90"/>
        <v>April</v>
      </c>
      <c r="M245" s="888">
        <f t="shared" si="94"/>
        <v>2044</v>
      </c>
      <c r="N245" s="883">
        <f t="shared" si="91"/>
        <v>0</v>
      </c>
      <c r="O245" s="883">
        <f t="shared" si="98"/>
        <v>0</v>
      </c>
      <c r="P245" s="1100"/>
      <c r="Q245" s="883">
        <f t="shared" si="82"/>
        <v>0</v>
      </c>
      <c r="R245" s="884">
        <f t="shared" si="77"/>
        <v>0</v>
      </c>
      <c r="S245" s="884">
        <f>IF(AND($AS$39="Early Payoff",J245&gt;=$S$13),0,IF($J245&lt;=$S$6,SUM($Q$20:$Q245),0))</f>
        <v>0</v>
      </c>
      <c r="T245" s="884">
        <f>IF(AND($AS$39="Early Payoff",J245&gt;=$S$13),0,IF($J245&lt;=$S$6,SUM($R$20:$R245),0))</f>
        <v>0</v>
      </c>
      <c r="U245" s="885">
        <f t="shared" si="83"/>
        <v>0</v>
      </c>
      <c r="V245" s="1110">
        <f t="shared" si="78"/>
        <v>0</v>
      </c>
      <c r="X245" s="1102">
        <f t="shared" si="84"/>
        <v>0</v>
      </c>
      <c r="Y245" s="873">
        <f t="shared" si="85"/>
        <v>0</v>
      </c>
      <c r="Z245" s="873">
        <f t="shared" si="86"/>
        <v>0</v>
      </c>
      <c r="AA245" s="885">
        <f t="shared" si="87"/>
        <v>0</v>
      </c>
    </row>
    <row r="246" spans="2:27" s="278" customFormat="1" ht="12" customHeight="1" x14ac:dyDescent="0.25">
      <c r="B246" s="1192" t="e">
        <f t="shared" si="92"/>
        <v>#N/A</v>
      </c>
      <c r="C246" s="732">
        <f t="shared" si="79"/>
        <v>31</v>
      </c>
      <c r="D246" s="35">
        <f t="shared" si="80"/>
        <v>5</v>
      </c>
      <c r="E246" s="889">
        <f t="shared" si="95"/>
        <v>52748</v>
      </c>
      <c r="F246" s="822">
        <f t="shared" si="88"/>
        <v>5</v>
      </c>
      <c r="G246" s="500">
        <f t="shared" si="96"/>
        <v>31</v>
      </c>
      <c r="H246" s="126">
        <f t="shared" si="81"/>
        <v>0</v>
      </c>
      <c r="I246" s="1098">
        <f t="shared" si="97"/>
        <v>0</v>
      </c>
      <c r="J246" s="887">
        <f t="shared" si="93"/>
        <v>227</v>
      </c>
      <c r="K246" s="1099">
        <f t="shared" si="89"/>
        <v>227</v>
      </c>
      <c r="L246" s="891" t="str">
        <f t="shared" si="90"/>
        <v>May</v>
      </c>
      <c r="M246" s="888">
        <f t="shared" si="94"/>
        <v>2044</v>
      </c>
      <c r="N246" s="883">
        <f t="shared" si="91"/>
        <v>0</v>
      </c>
      <c r="O246" s="883">
        <f t="shared" si="98"/>
        <v>0</v>
      </c>
      <c r="P246" s="1100"/>
      <c r="Q246" s="883">
        <f t="shared" si="82"/>
        <v>0</v>
      </c>
      <c r="R246" s="884">
        <f t="shared" si="77"/>
        <v>0</v>
      </c>
      <c r="S246" s="884">
        <f>IF(AND($AS$39="Early Payoff",J246&gt;=$S$13),0,IF($J246&lt;=$S$6,SUM($Q$20:$Q246),0))</f>
        <v>0</v>
      </c>
      <c r="T246" s="884">
        <f>IF(AND($AS$39="Early Payoff",J246&gt;=$S$13),0,IF($J246&lt;=$S$6,SUM($R$20:$R246),0))</f>
        <v>0</v>
      </c>
      <c r="U246" s="885">
        <f t="shared" si="83"/>
        <v>0</v>
      </c>
      <c r="V246" s="1110">
        <f t="shared" si="78"/>
        <v>0</v>
      </c>
      <c r="X246" s="1102">
        <f t="shared" si="84"/>
        <v>0</v>
      </c>
      <c r="Y246" s="873">
        <f t="shared" si="85"/>
        <v>0</v>
      </c>
      <c r="Z246" s="873">
        <f t="shared" si="86"/>
        <v>0</v>
      </c>
      <c r="AA246" s="885">
        <f t="shared" si="87"/>
        <v>0</v>
      </c>
    </row>
    <row r="247" spans="2:27" s="278" customFormat="1" ht="12" customHeight="1" x14ac:dyDescent="0.25">
      <c r="B247" s="1192" t="e">
        <f t="shared" si="92"/>
        <v>#N/A</v>
      </c>
      <c r="C247" s="732">
        <f t="shared" si="79"/>
        <v>30</v>
      </c>
      <c r="D247" s="35">
        <f t="shared" si="80"/>
        <v>6</v>
      </c>
      <c r="E247" s="889">
        <f t="shared" si="95"/>
        <v>52778</v>
      </c>
      <c r="F247" s="822">
        <f t="shared" si="88"/>
        <v>6</v>
      </c>
      <c r="G247" s="500">
        <f t="shared" si="96"/>
        <v>30</v>
      </c>
      <c r="H247" s="126">
        <f t="shared" si="81"/>
        <v>0</v>
      </c>
      <c r="I247" s="1098">
        <f t="shared" si="97"/>
        <v>0</v>
      </c>
      <c r="J247" s="887">
        <f t="shared" si="93"/>
        <v>228</v>
      </c>
      <c r="K247" s="1099">
        <f t="shared" si="89"/>
        <v>228</v>
      </c>
      <c r="L247" s="891" t="str">
        <f t="shared" si="90"/>
        <v>June</v>
      </c>
      <c r="M247" s="888">
        <f t="shared" si="94"/>
        <v>2044</v>
      </c>
      <c r="N247" s="883">
        <f t="shared" si="91"/>
        <v>0</v>
      </c>
      <c r="O247" s="883">
        <f t="shared" si="98"/>
        <v>0</v>
      </c>
      <c r="P247" s="1100"/>
      <c r="Q247" s="883">
        <f t="shared" si="82"/>
        <v>0</v>
      </c>
      <c r="R247" s="884">
        <f t="shared" si="77"/>
        <v>0</v>
      </c>
      <c r="S247" s="884">
        <f>IF(AND($AS$39="Early Payoff",J247&gt;=$S$13),0,IF($J247&lt;=$S$6,SUM($Q$20:$Q247),0))</f>
        <v>0</v>
      </c>
      <c r="T247" s="884">
        <f>IF(AND($AS$39="Early Payoff",J247&gt;=$S$13),0,IF($J247&lt;=$S$6,SUM($R$20:$R247),0))</f>
        <v>0</v>
      </c>
      <c r="U247" s="885">
        <f t="shared" si="83"/>
        <v>0</v>
      </c>
      <c r="V247" s="1110">
        <f t="shared" si="78"/>
        <v>0</v>
      </c>
      <c r="X247" s="1102">
        <f t="shared" si="84"/>
        <v>0</v>
      </c>
      <c r="Y247" s="873">
        <f t="shared" si="85"/>
        <v>0</v>
      </c>
      <c r="Z247" s="873">
        <f t="shared" si="86"/>
        <v>0</v>
      </c>
      <c r="AA247" s="885">
        <f t="shared" si="87"/>
        <v>0</v>
      </c>
    </row>
    <row r="248" spans="2:27" s="278" customFormat="1" ht="12" customHeight="1" x14ac:dyDescent="0.25">
      <c r="B248" s="1192" t="e">
        <f t="shared" si="92"/>
        <v>#N/A</v>
      </c>
      <c r="C248" s="732">
        <f t="shared" si="79"/>
        <v>31</v>
      </c>
      <c r="D248" s="35">
        <f t="shared" si="80"/>
        <v>7</v>
      </c>
      <c r="E248" s="889">
        <f t="shared" si="95"/>
        <v>52809</v>
      </c>
      <c r="F248" s="822">
        <f t="shared" si="88"/>
        <v>7</v>
      </c>
      <c r="G248" s="500">
        <f t="shared" si="96"/>
        <v>31</v>
      </c>
      <c r="H248" s="126">
        <f t="shared" si="81"/>
        <v>0</v>
      </c>
      <c r="I248" s="1098">
        <f t="shared" si="97"/>
        <v>0</v>
      </c>
      <c r="J248" s="887">
        <f t="shared" si="93"/>
        <v>229</v>
      </c>
      <c r="K248" s="1099">
        <f t="shared" si="89"/>
        <v>229</v>
      </c>
      <c r="L248" s="891" t="str">
        <f t="shared" si="90"/>
        <v>July</v>
      </c>
      <c r="M248" s="888">
        <f t="shared" si="94"/>
        <v>2044</v>
      </c>
      <c r="N248" s="883">
        <f t="shared" si="91"/>
        <v>0</v>
      </c>
      <c r="O248" s="883">
        <f t="shared" si="98"/>
        <v>0</v>
      </c>
      <c r="P248" s="1100"/>
      <c r="Q248" s="883">
        <f t="shared" si="82"/>
        <v>0</v>
      </c>
      <c r="R248" s="884">
        <f t="shared" si="77"/>
        <v>0</v>
      </c>
      <c r="S248" s="884">
        <f>IF(AND($AS$39="Early Payoff",J248&gt;=$S$13),0,IF($J248&lt;=$S$6,SUM($Q$20:$Q248),0))</f>
        <v>0</v>
      </c>
      <c r="T248" s="884">
        <f>IF(AND($AS$39="Early Payoff",J248&gt;=$S$13),0,IF($J248&lt;=$S$6,SUM($R$20:$R248),0))</f>
        <v>0</v>
      </c>
      <c r="U248" s="885">
        <f t="shared" si="83"/>
        <v>0</v>
      </c>
      <c r="V248" s="1110">
        <f t="shared" si="78"/>
        <v>0</v>
      </c>
      <c r="X248" s="1102">
        <f t="shared" si="84"/>
        <v>0</v>
      </c>
      <c r="Y248" s="873">
        <f t="shared" si="85"/>
        <v>0</v>
      </c>
      <c r="Z248" s="873">
        <f t="shared" si="86"/>
        <v>0</v>
      </c>
      <c r="AA248" s="885">
        <f t="shared" si="87"/>
        <v>0</v>
      </c>
    </row>
    <row r="249" spans="2:27" s="278" customFormat="1" ht="12" customHeight="1" x14ac:dyDescent="0.25">
      <c r="B249" s="1192" t="e">
        <f t="shared" si="92"/>
        <v>#N/A</v>
      </c>
      <c r="C249" s="732">
        <f t="shared" si="79"/>
        <v>31</v>
      </c>
      <c r="D249" s="35">
        <f t="shared" si="80"/>
        <v>8</v>
      </c>
      <c r="E249" s="889">
        <f t="shared" si="95"/>
        <v>52840</v>
      </c>
      <c r="F249" s="822">
        <f t="shared" si="88"/>
        <v>8</v>
      </c>
      <c r="G249" s="500">
        <f t="shared" si="96"/>
        <v>31</v>
      </c>
      <c r="H249" s="126">
        <f t="shared" si="81"/>
        <v>0</v>
      </c>
      <c r="I249" s="1098">
        <f t="shared" si="97"/>
        <v>0</v>
      </c>
      <c r="J249" s="887">
        <f t="shared" si="93"/>
        <v>230</v>
      </c>
      <c r="K249" s="1099">
        <f t="shared" si="89"/>
        <v>230</v>
      </c>
      <c r="L249" s="891" t="str">
        <f t="shared" si="90"/>
        <v>August</v>
      </c>
      <c r="M249" s="888">
        <f t="shared" si="94"/>
        <v>2044</v>
      </c>
      <c r="N249" s="883">
        <f t="shared" si="91"/>
        <v>0</v>
      </c>
      <c r="O249" s="883">
        <f t="shared" si="98"/>
        <v>0</v>
      </c>
      <c r="P249" s="1100"/>
      <c r="Q249" s="883">
        <f t="shared" si="82"/>
        <v>0</v>
      </c>
      <c r="R249" s="884">
        <f t="shared" si="77"/>
        <v>0</v>
      </c>
      <c r="S249" s="884">
        <f>IF(AND($AS$39="Early Payoff",J249&gt;=$S$13),0,IF($J249&lt;=$S$6,SUM($Q$20:$Q249),0))</f>
        <v>0</v>
      </c>
      <c r="T249" s="884">
        <f>IF(AND($AS$39="Early Payoff",J249&gt;=$S$13),0,IF($J249&lt;=$S$6,SUM($R$20:$R249),0))</f>
        <v>0</v>
      </c>
      <c r="U249" s="885">
        <f t="shared" si="83"/>
        <v>0</v>
      </c>
      <c r="V249" s="1110">
        <f t="shared" si="78"/>
        <v>0</v>
      </c>
      <c r="X249" s="1102">
        <f t="shared" si="84"/>
        <v>0</v>
      </c>
      <c r="Y249" s="873">
        <f t="shared" si="85"/>
        <v>0</v>
      </c>
      <c r="Z249" s="873">
        <f t="shared" si="86"/>
        <v>0</v>
      </c>
      <c r="AA249" s="885">
        <f t="shared" si="87"/>
        <v>0</v>
      </c>
    </row>
    <row r="250" spans="2:27" s="278" customFormat="1" ht="12" customHeight="1" x14ac:dyDescent="0.25">
      <c r="B250" s="1192" t="e">
        <f t="shared" si="92"/>
        <v>#N/A</v>
      </c>
      <c r="C250" s="732">
        <f t="shared" si="79"/>
        <v>30</v>
      </c>
      <c r="D250" s="35">
        <f t="shared" si="80"/>
        <v>9</v>
      </c>
      <c r="E250" s="889">
        <f t="shared" si="95"/>
        <v>52870</v>
      </c>
      <c r="F250" s="822">
        <f t="shared" si="88"/>
        <v>9</v>
      </c>
      <c r="G250" s="500">
        <f t="shared" si="96"/>
        <v>30</v>
      </c>
      <c r="H250" s="126">
        <f t="shared" si="81"/>
        <v>0</v>
      </c>
      <c r="I250" s="1098">
        <f t="shared" si="97"/>
        <v>0</v>
      </c>
      <c r="J250" s="887">
        <f t="shared" si="93"/>
        <v>231</v>
      </c>
      <c r="K250" s="1099">
        <f t="shared" si="89"/>
        <v>231</v>
      </c>
      <c r="L250" s="891" t="str">
        <f t="shared" si="90"/>
        <v>September</v>
      </c>
      <c r="M250" s="888">
        <f t="shared" si="94"/>
        <v>2044</v>
      </c>
      <c r="N250" s="883">
        <f t="shared" si="91"/>
        <v>0</v>
      </c>
      <c r="O250" s="883">
        <f t="shared" si="98"/>
        <v>0</v>
      </c>
      <c r="P250" s="1100"/>
      <c r="Q250" s="883">
        <f t="shared" si="82"/>
        <v>0</v>
      </c>
      <c r="R250" s="884">
        <f t="shared" si="77"/>
        <v>0</v>
      </c>
      <c r="S250" s="884">
        <f>IF(AND($AS$39="Early Payoff",J250&gt;=$S$13),0,IF($J250&lt;=$S$6,SUM($Q$20:$Q250),0))</f>
        <v>0</v>
      </c>
      <c r="T250" s="884">
        <f>IF(AND($AS$39="Early Payoff",J250&gt;=$S$13),0,IF($J250&lt;=$S$6,SUM($R$20:$R250),0))</f>
        <v>0</v>
      </c>
      <c r="U250" s="885">
        <f t="shared" si="83"/>
        <v>0</v>
      </c>
      <c r="V250" s="1110">
        <f t="shared" si="78"/>
        <v>0</v>
      </c>
      <c r="X250" s="1102">
        <f t="shared" si="84"/>
        <v>0</v>
      </c>
      <c r="Y250" s="873">
        <f t="shared" si="85"/>
        <v>0</v>
      </c>
      <c r="Z250" s="873">
        <f t="shared" si="86"/>
        <v>0</v>
      </c>
      <c r="AA250" s="885">
        <f t="shared" si="87"/>
        <v>0</v>
      </c>
    </row>
    <row r="251" spans="2:27" s="278" customFormat="1" ht="12" customHeight="1" x14ac:dyDescent="0.25">
      <c r="B251" s="1192" t="e">
        <f t="shared" si="92"/>
        <v>#N/A</v>
      </c>
      <c r="C251" s="732">
        <f t="shared" si="79"/>
        <v>31</v>
      </c>
      <c r="D251" s="35">
        <f t="shared" si="80"/>
        <v>10</v>
      </c>
      <c r="E251" s="889">
        <f t="shared" si="95"/>
        <v>52901</v>
      </c>
      <c r="F251" s="822">
        <f t="shared" si="88"/>
        <v>10</v>
      </c>
      <c r="G251" s="500">
        <f t="shared" si="96"/>
        <v>31</v>
      </c>
      <c r="H251" s="126">
        <f t="shared" si="81"/>
        <v>0</v>
      </c>
      <c r="I251" s="1098">
        <f t="shared" si="97"/>
        <v>0</v>
      </c>
      <c r="J251" s="887">
        <f t="shared" si="93"/>
        <v>232</v>
      </c>
      <c r="K251" s="1099">
        <f t="shared" si="89"/>
        <v>232</v>
      </c>
      <c r="L251" s="891" t="str">
        <f t="shared" si="90"/>
        <v>October</v>
      </c>
      <c r="M251" s="888">
        <f t="shared" si="94"/>
        <v>2044</v>
      </c>
      <c r="N251" s="883">
        <f t="shared" si="91"/>
        <v>0</v>
      </c>
      <c r="O251" s="883">
        <f t="shared" si="98"/>
        <v>0</v>
      </c>
      <c r="P251" s="1100"/>
      <c r="Q251" s="883">
        <f t="shared" si="82"/>
        <v>0</v>
      </c>
      <c r="R251" s="884">
        <f t="shared" si="77"/>
        <v>0</v>
      </c>
      <c r="S251" s="884">
        <f>IF(AND($AS$39="Early Payoff",J251&gt;=$S$13),0,IF($J251&lt;=$S$6,SUM($Q$20:$Q251),0))</f>
        <v>0</v>
      </c>
      <c r="T251" s="884">
        <f>IF(AND($AS$39="Early Payoff",J251&gt;=$S$13),0,IF($J251&lt;=$S$6,SUM($R$20:$R251),0))</f>
        <v>0</v>
      </c>
      <c r="U251" s="885">
        <f t="shared" si="83"/>
        <v>0</v>
      </c>
      <c r="V251" s="1110">
        <f t="shared" si="78"/>
        <v>0</v>
      </c>
      <c r="X251" s="1102">
        <f t="shared" si="84"/>
        <v>0</v>
      </c>
      <c r="Y251" s="873">
        <f t="shared" si="85"/>
        <v>0</v>
      </c>
      <c r="Z251" s="873">
        <f t="shared" si="86"/>
        <v>0</v>
      </c>
      <c r="AA251" s="885">
        <f t="shared" si="87"/>
        <v>0</v>
      </c>
    </row>
    <row r="252" spans="2:27" s="278" customFormat="1" ht="12" customHeight="1" x14ac:dyDescent="0.25">
      <c r="B252" s="1192" t="e">
        <f t="shared" si="92"/>
        <v>#N/A</v>
      </c>
      <c r="C252" s="732">
        <f t="shared" si="79"/>
        <v>30</v>
      </c>
      <c r="D252" s="35">
        <f t="shared" si="80"/>
        <v>11</v>
      </c>
      <c r="E252" s="889">
        <f t="shared" si="95"/>
        <v>52931</v>
      </c>
      <c r="F252" s="822">
        <f t="shared" si="88"/>
        <v>11</v>
      </c>
      <c r="G252" s="500">
        <f t="shared" si="96"/>
        <v>30</v>
      </c>
      <c r="H252" s="126">
        <f t="shared" si="81"/>
        <v>0</v>
      </c>
      <c r="I252" s="1098">
        <f t="shared" si="97"/>
        <v>0</v>
      </c>
      <c r="J252" s="887">
        <f t="shared" si="93"/>
        <v>233</v>
      </c>
      <c r="K252" s="1099">
        <f t="shared" si="89"/>
        <v>233</v>
      </c>
      <c r="L252" s="891" t="str">
        <f t="shared" si="90"/>
        <v>November</v>
      </c>
      <c r="M252" s="888">
        <f t="shared" si="94"/>
        <v>2044</v>
      </c>
      <c r="N252" s="883">
        <f t="shared" si="91"/>
        <v>0</v>
      </c>
      <c r="O252" s="883">
        <f t="shared" si="98"/>
        <v>0</v>
      </c>
      <c r="P252" s="1100"/>
      <c r="Q252" s="883">
        <f t="shared" si="82"/>
        <v>0</v>
      </c>
      <c r="R252" s="884">
        <f t="shared" si="77"/>
        <v>0</v>
      </c>
      <c r="S252" s="884">
        <f>IF(AND($AS$39="Early Payoff",J252&gt;=$S$13),0,IF($J252&lt;=$S$6,SUM($Q$20:$Q252),0))</f>
        <v>0</v>
      </c>
      <c r="T252" s="884">
        <f>IF(AND($AS$39="Early Payoff",J252&gt;=$S$13),0,IF($J252&lt;=$S$6,SUM($R$20:$R252),0))</f>
        <v>0</v>
      </c>
      <c r="U252" s="885">
        <f t="shared" si="83"/>
        <v>0</v>
      </c>
      <c r="V252" s="1110">
        <f t="shared" si="78"/>
        <v>0</v>
      </c>
      <c r="X252" s="1102">
        <f t="shared" si="84"/>
        <v>0</v>
      </c>
      <c r="Y252" s="873">
        <f t="shared" si="85"/>
        <v>0</v>
      </c>
      <c r="Z252" s="873">
        <f t="shared" si="86"/>
        <v>0</v>
      </c>
      <c r="AA252" s="885">
        <f t="shared" si="87"/>
        <v>0</v>
      </c>
    </row>
    <row r="253" spans="2:27" s="278" customFormat="1" ht="12" customHeight="1" x14ac:dyDescent="0.25">
      <c r="B253" s="1192" t="e">
        <f t="shared" si="92"/>
        <v>#N/A</v>
      </c>
      <c r="C253" s="732">
        <f t="shared" si="79"/>
        <v>31</v>
      </c>
      <c r="D253" s="35">
        <f t="shared" si="80"/>
        <v>12</v>
      </c>
      <c r="E253" s="889">
        <f t="shared" si="95"/>
        <v>52962</v>
      </c>
      <c r="F253" s="822">
        <f t="shared" si="88"/>
        <v>12</v>
      </c>
      <c r="G253" s="500">
        <f t="shared" si="96"/>
        <v>31</v>
      </c>
      <c r="H253" s="126">
        <f t="shared" si="81"/>
        <v>1</v>
      </c>
      <c r="I253" s="1098">
        <f t="shared" si="97"/>
        <v>0</v>
      </c>
      <c r="J253" s="887">
        <f t="shared" si="93"/>
        <v>234</v>
      </c>
      <c r="K253" s="1099">
        <f t="shared" si="89"/>
        <v>234</v>
      </c>
      <c r="L253" s="891" t="str">
        <f t="shared" si="90"/>
        <v>December</v>
      </c>
      <c r="M253" s="888">
        <f t="shared" si="94"/>
        <v>2044</v>
      </c>
      <c r="N253" s="883">
        <f t="shared" si="91"/>
        <v>0</v>
      </c>
      <c r="O253" s="883">
        <f t="shared" si="98"/>
        <v>0</v>
      </c>
      <c r="P253" s="1100"/>
      <c r="Q253" s="883">
        <f t="shared" si="82"/>
        <v>0</v>
      </c>
      <c r="R253" s="884">
        <f t="shared" si="77"/>
        <v>0</v>
      </c>
      <c r="S253" s="884">
        <f>IF(AND($AS$39="Early Payoff",J253&gt;=$S$13),0,IF($J253&lt;=$S$6,SUM($Q$20:$Q253),0))</f>
        <v>0</v>
      </c>
      <c r="T253" s="884">
        <f>IF(AND($AS$39="Early Payoff",J253&gt;=$S$13),0,IF($J253&lt;=$S$6,SUM($R$20:$R253),0))</f>
        <v>0</v>
      </c>
      <c r="U253" s="885">
        <f t="shared" si="83"/>
        <v>0</v>
      </c>
      <c r="V253" s="1110">
        <f t="shared" si="78"/>
        <v>0</v>
      </c>
      <c r="X253" s="1102">
        <f t="shared" si="84"/>
        <v>0</v>
      </c>
      <c r="Y253" s="873">
        <f t="shared" si="85"/>
        <v>0</v>
      </c>
      <c r="Z253" s="873">
        <f t="shared" si="86"/>
        <v>0</v>
      </c>
      <c r="AA253" s="885">
        <f t="shared" si="87"/>
        <v>0</v>
      </c>
    </row>
    <row r="254" spans="2:27" s="278" customFormat="1" ht="12" customHeight="1" x14ac:dyDescent="0.25">
      <c r="B254" s="1192" t="e">
        <f t="shared" si="92"/>
        <v>#N/A</v>
      </c>
      <c r="C254" s="732">
        <f t="shared" si="79"/>
        <v>31</v>
      </c>
      <c r="D254" s="35">
        <f t="shared" si="80"/>
        <v>1</v>
      </c>
      <c r="E254" s="889">
        <f t="shared" si="95"/>
        <v>52993</v>
      </c>
      <c r="F254" s="822">
        <f t="shared" si="88"/>
        <v>1</v>
      </c>
      <c r="G254" s="500">
        <f t="shared" si="96"/>
        <v>31</v>
      </c>
      <c r="H254" s="126">
        <f t="shared" si="81"/>
        <v>0</v>
      </c>
      <c r="I254" s="1098">
        <f t="shared" si="97"/>
        <v>0</v>
      </c>
      <c r="J254" s="887">
        <f t="shared" si="93"/>
        <v>235</v>
      </c>
      <c r="K254" s="1099">
        <f t="shared" si="89"/>
        <v>235</v>
      </c>
      <c r="L254" s="891" t="str">
        <f t="shared" si="90"/>
        <v>January</v>
      </c>
      <c r="M254" s="888">
        <f t="shared" si="94"/>
        <v>2045</v>
      </c>
      <c r="N254" s="883">
        <f t="shared" si="91"/>
        <v>0</v>
      </c>
      <c r="O254" s="883">
        <f t="shared" si="98"/>
        <v>0</v>
      </c>
      <c r="P254" s="1100"/>
      <c r="Q254" s="883">
        <f t="shared" si="82"/>
        <v>0</v>
      </c>
      <c r="R254" s="884">
        <f t="shared" si="77"/>
        <v>0</v>
      </c>
      <c r="S254" s="884">
        <f>IF(AND($AS$39="Early Payoff",J254&gt;=$S$13),0,IF($J254&lt;=$S$6,SUM($Q$20:$Q254),0))</f>
        <v>0</v>
      </c>
      <c r="T254" s="884">
        <f>IF(AND($AS$39="Early Payoff",J254&gt;=$S$13),0,IF($J254&lt;=$S$6,SUM($R$20:$R254),0))</f>
        <v>0</v>
      </c>
      <c r="U254" s="885">
        <f t="shared" si="83"/>
        <v>0</v>
      </c>
      <c r="V254" s="1110">
        <f t="shared" si="78"/>
        <v>0</v>
      </c>
      <c r="X254" s="1102">
        <f t="shared" si="84"/>
        <v>0</v>
      </c>
      <c r="Y254" s="873">
        <f t="shared" si="85"/>
        <v>0</v>
      </c>
      <c r="Z254" s="873">
        <f t="shared" si="86"/>
        <v>0</v>
      </c>
      <c r="AA254" s="885">
        <f t="shared" si="87"/>
        <v>0</v>
      </c>
    </row>
    <row r="255" spans="2:27" s="278" customFormat="1" ht="12" customHeight="1" x14ac:dyDescent="0.25">
      <c r="B255" s="1192" t="e">
        <f t="shared" si="92"/>
        <v>#N/A</v>
      </c>
      <c r="C255" s="732">
        <f t="shared" si="79"/>
        <v>28</v>
      </c>
      <c r="D255" s="35">
        <f t="shared" si="80"/>
        <v>2</v>
      </c>
      <c r="E255" s="889">
        <f t="shared" si="95"/>
        <v>53021</v>
      </c>
      <c r="F255" s="822">
        <f t="shared" si="88"/>
        <v>2</v>
      </c>
      <c r="G255" s="500">
        <f t="shared" si="96"/>
        <v>28</v>
      </c>
      <c r="H255" s="126">
        <f t="shared" si="81"/>
        <v>0</v>
      </c>
      <c r="I255" s="1098">
        <f t="shared" si="97"/>
        <v>0</v>
      </c>
      <c r="J255" s="887">
        <f t="shared" si="93"/>
        <v>236</v>
      </c>
      <c r="K255" s="1099">
        <f t="shared" si="89"/>
        <v>236</v>
      </c>
      <c r="L255" s="891" t="str">
        <f t="shared" si="90"/>
        <v>February</v>
      </c>
      <c r="M255" s="888">
        <f t="shared" si="94"/>
        <v>2045</v>
      </c>
      <c r="N255" s="883">
        <f t="shared" si="91"/>
        <v>0</v>
      </c>
      <c r="O255" s="883">
        <f t="shared" si="98"/>
        <v>0</v>
      </c>
      <c r="P255" s="1100"/>
      <c r="Q255" s="883">
        <f t="shared" si="82"/>
        <v>0</v>
      </c>
      <c r="R255" s="884">
        <f t="shared" si="77"/>
        <v>0</v>
      </c>
      <c r="S255" s="884">
        <f>IF(AND($AS$39="Early Payoff",J255&gt;=$S$13),0,IF($J255&lt;=$S$6,SUM($Q$20:$Q255),0))</f>
        <v>0</v>
      </c>
      <c r="T255" s="884">
        <f>IF(AND($AS$39="Early Payoff",J255&gt;=$S$13),0,IF($J255&lt;=$S$6,SUM($R$20:$R255),0))</f>
        <v>0</v>
      </c>
      <c r="U255" s="885">
        <f t="shared" si="83"/>
        <v>0</v>
      </c>
      <c r="V255" s="1110">
        <f t="shared" si="78"/>
        <v>0</v>
      </c>
      <c r="X255" s="1102">
        <f t="shared" si="84"/>
        <v>0</v>
      </c>
      <c r="Y255" s="873">
        <f t="shared" si="85"/>
        <v>0</v>
      </c>
      <c r="Z255" s="873">
        <f t="shared" si="86"/>
        <v>0</v>
      </c>
      <c r="AA255" s="885">
        <f t="shared" si="87"/>
        <v>0</v>
      </c>
    </row>
    <row r="256" spans="2:27" s="278" customFormat="1" ht="12" customHeight="1" x14ac:dyDescent="0.25">
      <c r="B256" s="1192" t="e">
        <f t="shared" si="92"/>
        <v>#N/A</v>
      </c>
      <c r="C256" s="732">
        <f t="shared" si="79"/>
        <v>31</v>
      </c>
      <c r="D256" s="35">
        <f t="shared" si="80"/>
        <v>3</v>
      </c>
      <c r="E256" s="889">
        <f t="shared" si="95"/>
        <v>53052</v>
      </c>
      <c r="F256" s="822">
        <f t="shared" si="88"/>
        <v>3</v>
      </c>
      <c r="G256" s="500">
        <f t="shared" si="96"/>
        <v>31</v>
      </c>
      <c r="H256" s="126">
        <f t="shared" si="81"/>
        <v>0</v>
      </c>
      <c r="I256" s="1098">
        <f t="shared" si="97"/>
        <v>0</v>
      </c>
      <c r="J256" s="887">
        <f t="shared" si="93"/>
        <v>237</v>
      </c>
      <c r="K256" s="1099">
        <f t="shared" si="89"/>
        <v>237</v>
      </c>
      <c r="L256" s="891" t="str">
        <f t="shared" si="90"/>
        <v>March</v>
      </c>
      <c r="M256" s="888">
        <f t="shared" si="94"/>
        <v>2045</v>
      </c>
      <c r="N256" s="883">
        <f t="shared" si="91"/>
        <v>0</v>
      </c>
      <c r="O256" s="883">
        <f t="shared" si="98"/>
        <v>0</v>
      </c>
      <c r="P256" s="1100"/>
      <c r="Q256" s="883">
        <f t="shared" si="82"/>
        <v>0</v>
      </c>
      <c r="R256" s="884">
        <f t="shared" si="77"/>
        <v>0</v>
      </c>
      <c r="S256" s="884">
        <f>IF(AND($AS$39="Early Payoff",J256&gt;=$S$13),0,IF($J256&lt;=$S$6,SUM($Q$20:$Q256),0))</f>
        <v>0</v>
      </c>
      <c r="T256" s="884">
        <f>IF(AND($AS$39="Early Payoff",J256&gt;=$S$13),0,IF($J256&lt;=$S$6,SUM($R$20:$R256),0))</f>
        <v>0</v>
      </c>
      <c r="U256" s="885">
        <f t="shared" si="83"/>
        <v>0</v>
      </c>
      <c r="V256" s="1110">
        <f t="shared" si="78"/>
        <v>0</v>
      </c>
      <c r="X256" s="1102">
        <f t="shared" si="84"/>
        <v>0</v>
      </c>
      <c r="Y256" s="873">
        <f t="shared" si="85"/>
        <v>0</v>
      </c>
      <c r="Z256" s="873">
        <f t="shared" si="86"/>
        <v>0</v>
      </c>
      <c r="AA256" s="885">
        <f t="shared" si="87"/>
        <v>0</v>
      </c>
    </row>
    <row r="257" spans="2:27" s="278" customFormat="1" ht="12" customHeight="1" x14ac:dyDescent="0.25">
      <c r="B257" s="1192" t="e">
        <f t="shared" si="92"/>
        <v>#N/A</v>
      </c>
      <c r="C257" s="732">
        <f t="shared" si="79"/>
        <v>30</v>
      </c>
      <c r="D257" s="35">
        <f t="shared" si="80"/>
        <v>4</v>
      </c>
      <c r="E257" s="889">
        <f t="shared" si="95"/>
        <v>53082</v>
      </c>
      <c r="F257" s="822">
        <f t="shared" si="88"/>
        <v>4</v>
      </c>
      <c r="G257" s="500">
        <f t="shared" si="96"/>
        <v>30</v>
      </c>
      <c r="H257" s="126">
        <f t="shared" si="81"/>
        <v>0</v>
      </c>
      <c r="I257" s="1098">
        <f t="shared" si="97"/>
        <v>0</v>
      </c>
      <c r="J257" s="887">
        <f t="shared" si="93"/>
        <v>238</v>
      </c>
      <c r="K257" s="1099">
        <f t="shared" si="89"/>
        <v>238</v>
      </c>
      <c r="L257" s="891" t="str">
        <f t="shared" si="90"/>
        <v>April</v>
      </c>
      <c r="M257" s="888">
        <f t="shared" si="94"/>
        <v>2045</v>
      </c>
      <c r="N257" s="883">
        <f t="shared" si="91"/>
        <v>0</v>
      </c>
      <c r="O257" s="883">
        <f t="shared" si="98"/>
        <v>0</v>
      </c>
      <c r="P257" s="1100"/>
      <c r="Q257" s="883">
        <f t="shared" si="82"/>
        <v>0</v>
      </c>
      <c r="R257" s="884">
        <f t="shared" si="77"/>
        <v>0</v>
      </c>
      <c r="S257" s="884">
        <f>IF(AND($AS$39="Early Payoff",J257&gt;=$S$13),0,IF($J257&lt;=$S$6,SUM($Q$20:$Q257),0))</f>
        <v>0</v>
      </c>
      <c r="T257" s="884">
        <f>IF(AND($AS$39="Early Payoff",J257&gt;=$S$13),0,IF($J257&lt;=$S$6,SUM($R$20:$R257),0))</f>
        <v>0</v>
      </c>
      <c r="U257" s="885">
        <f t="shared" si="83"/>
        <v>0</v>
      </c>
      <c r="V257" s="1110">
        <f t="shared" si="78"/>
        <v>0</v>
      </c>
      <c r="X257" s="1102">
        <f t="shared" si="84"/>
        <v>0</v>
      </c>
      <c r="Y257" s="873">
        <f t="shared" si="85"/>
        <v>0</v>
      </c>
      <c r="Z257" s="873">
        <f t="shared" si="86"/>
        <v>0</v>
      </c>
      <c r="AA257" s="885">
        <f t="shared" si="87"/>
        <v>0</v>
      </c>
    </row>
    <row r="258" spans="2:27" s="278" customFormat="1" ht="12" customHeight="1" x14ac:dyDescent="0.25">
      <c r="B258" s="1192" t="e">
        <f t="shared" si="92"/>
        <v>#N/A</v>
      </c>
      <c r="C258" s="732">
        <f t="shared" si="79"/>
        <v>31</v>
      </c>
      <c r="D258" s="35">
        <f t="shared" si="80"/>
        <v>5</v>
      </c>
      <c r="E258" s="889">
        <f t="shared" si="95"/>
        <v>53113</v>
      </c>
      <c r="F258" s="822">
        <f t="shared" si="88"/>
        <v>5</v>
      </c>
      <c r="G258" s="500">
        <f t="shared" si="96"/>
        <v>31</v>
      </c>
      <c r="H258" s="126">
        <f t="shared" si="81"/>
        <v>0</v>
      </c>
      <c r="I258" s="1098">
        <f t="shared" si="97"/>
        <v>0</v>
      </c>
      <c r="J258" s="887">
        <f t="shared" si="93"/>
        <v>239</v>
      </c>
      <c r="K258" s="1099">
        <f t="shared" si="89"/>
        <v>239</v>
      </c>
      <c r="L258" s="891" t="str">
        <f t="shared" si="90"/>
        <v>May</v>
      </c>
      <c r="M258" s="888">
        <f t="shared" si="94"/>
        <v>2045</v>
      </c>
      <c r="N258" s="883">
        <f t="shared" si="91"/>
        <v>0</v>
      </c>
      <c r="O258" s="883">
        <f t="shared" si="98"/>
        <v>0</v>
      </c>
      <c r="P258" s="1100"/>
      <c r="Q258" s="883">
        <f t="shared" si="82"/>
        <v>0</v>
      </c>
      <c r="R258" s="884">
        <f t="shared" si="77"/>
        <v>0</v>
      </c>
      <c r="S258" s="884">
        <f>IF(AND($AS$39="Early Payoff",J258&gt;=$S$13),0,IF($J258&lt;=$S$6,SUM($Q$20:$Q258),0))</f>
        <v>0</v>
      </c>
      <c r="T258" s="884">
        <f>IF(AND($AS$39="Early Payoff",J258&gt;=$S$13),0,IF($J258&lt;=$S$6,SUM($R$20:$R258),0))</f>
        <v>0</v>
      </c>
      <c r="U258" s="885">
        <f t="shared" si="83"/>
        <v>0</v>
      </c>
      <c r="V258" s="1110">
        <f t="shared" si="78"/>
        <v>0</v>
      </c>
      <c r="X258" s="1102">
        <f t="shared" si="84"/>
        <v>0</v>
      </c>
      <c r="Y258" s="873">
        <f t="shared" si="85"/>
        <v>0</v>
      </c>
      <c r="Z258" s="873">
        <f t="shared" si="86"/>
        <v>0</v>
      </c>
      <c r="AA258" s="885">
        <f t="shared" si="87"/>
        <v>0</v>
      </c>
    </row>
    <row r="259" spans="2:27" s="278" customFormat="1" ht="12" customHeight="1" x14ac:dyDescent="0.25">
      <c r="B259" s="1192" t="e">
        <f t="shared" si="92"/>
        <v>#N/A</v>
      </c>
      <c r="C259" s="732">
        <f t="shared" si="79"/>
        <v>30</v>
      </c>
      <c r="D259" s="35">
        <f t="shared" si="80"/>
        <v>6</v>
      </c>
      <c r="E259" s="889">
        <f t="shared" si="95"/>
        <v>53143</v>
      </c>
      <c r="F259" s="822">
        <f t="shared" si="88"/>
        <v>6</v>
      </c>
      <c r="G259" s="500">
        <f t="shared" si="96"/>
        <v>30</v>
      </c>
      <c r="H259" s="126">
        <f t="shared" si="81"/>
        <v>0</v>
      </c>
      <c r="I259" s="1098">
        <f t="shared" si="97"/>
        <v>0</v>
      </c>
      <c r="J259" s="887">
        <f t="shared" si="93"/>
        <v>240</v>
      </c>
      <c r="K259" s="1099">
        <f t="shared" si="89"/>
        <v>240</v>
      </c>
      <c r="L259" s="891" t="str">
        <f t="shared" si="90"/>
        <v>June</v>
      </c>
      <c r="M259" s="888">
        <f t="shared" si="94"/>
        <v>2045</v>
      </c>
      <c r="N259" s="883">
        <f t="shared" si="91"/>
        <v>0</v>
      </c>
      <c r="O259" s="883">
        <f t="shared" si="98"/>
        <v>0</v>
      </c>
      <c r="P259" s="1100"/>
      <c r="Q259" s="883">
        <f t="shared" si="82"/>
        <v>0</v>
      </c>
      <c r="R259" s="884">
        <f t="shared" si="77"/>
        <v>0</v>
      </c>
      <c r="S259" s="884">
        <f>IF(AND($AS$39="Early Payoff",J259&gt;=$S$13),0,IF($J259&lt;=$S$6,SUM($Q$20:$Q259),0))</f>
        <v>0</v>
      </c>
      <c r="T259" s="884">
        <f>IF(AND($AS$39="Early Payoff",J259&gt;=$S$13),0,IF($J259&lt;=$S$6,SUM($R$20:$R259),0))</f>
        <v>0</v>
      </c>
      <c r="U259" s="885">
        <f t="shared" si="83"/>
        <v>0</v>
      </c>
      <c r="V259" s="1110">
        <f t="shared" si="78"/>
        <v>0</v>
      </c>
      <c r="X259" s="1102">
        <f t="shared" si="84"/>
        <v>0</v>
      </c>
      <c r="Y259" s="873">
        <f t="shared" si="85"/>
        <v>0</v>
      </c>
      <c r="Z259" s="873">
        <f t="shared" si="86"/>
        <v>0</v>
      </c>
      <c r="AA259" s="885">
        <f t="shared" si="87"/>
        <v>0</v>
      </c>
    </row>
    <row r="260" spans="2:27" s="278" customFormat="1" ht="12" customHeight="1" x14ac:dyDescent="0.25">
      <c r="B260" s="1192" t="e">
        <f t="shared" si="92"/>
        <v>#N/A</v>
      </c>
      <c r="C260" s="732">
        <f t="shared" si="79"/>
        <v>31</v>
      </c>
      <c r="D260" s="35">
        <f t="shared" si="80"/>
        <v>7</v>
      </c>
      <c r="E260" s="889">
        <f t="shared" si="95"/>
        <v>53174</v>
      </c>
      <c r="F260" s="822">
        <f t="shared" si="88"/>
        <v>7</v>
      </c>
      <c r="G260" s="500">
        <f t="shared" si="96"/>
        <v>31</v>
      </c>
      <c r="H260" s="126">
        <f t="shared" si="81"/>
        <v>0</v>
      </c>
      <c r="I260" s="1098">
        <f t="shared" si="97"/>
        <v>0</v>
      </c>
      <c r="J260" s="887">
        <f t="shared" si="93"/>
        <v>241</v>
      </c>
      <c r="K260" s="1099">
        <f t="shared" si="89"/>
        <v>241</v>
      </c>
      <c r="L260" s="891" t="str">
        <f t="shared" si="90"/>
        <v>July</v>
      </c>
      <c r="M260" s="888">
        <f t="shared" si="94"/>
        <v>2045</v>
      </c>
      <c r="N260" s="883">
        <f t="shared" si="91"/>
        <v>0</v>
      </c>
      <c r="O260" s="883">
        <f t="shared" si="98"/>
        <v>0</v>
      </c>
      <c r="P260" s="1100"/>
      <c r="Q260" s="883">
        <f t="shared" si="82"/>
        <v>0</v>
      </c>
      <c r="R260" s="884">
        <f t="shared" si="77"/>
        <v>0</v>
      </c>
      <c r="S260" s="884">
        <f>IF(AND($AS$39="Early Payoff",J260&gt;=$S$13),0,IF($J260&lt;=$S$6,SUM($Q$20:$Q260),0))</f>
        <v>0</v>
      </c>
      <c r="T260" s="884">
        <f>IF(AND($AS$39="Early Payoff",J260&gt;=$S$13),0,IF($J260&lt;=$S$6,SUM($R$20:$R260),0))</f>
        <v>0</v>
      </c>
      <c r="U260" s="885">
        <f t="shared" si="83"/>
        <v>0</v>
      </c>
      <c r="V260" s="1110">
        <f t="shared" si="78"/>
        <v>0</v>
      </c>
      <c r="X260" s="1102">
        <f t="shared" si="84"/>
        <v>0</v>
      </c>
      <c r="Y260" s="873">
        <f t="shared" si="85"/>
        <v>0</v>
      </c>
      <c r="Z260" s="873">
        <f t="shared" si="86"/>
        <v>0</v>
      </c>
      <c r="AA260" s="885">
        <f t="shared" si="87"/>
        <v>0</v>
      </c>
    </row>
    <row r="261" spans="2:27" s="278" customFormat="1" ht="12" customHeight="1" x14ac:dyDescent="0.25">
      <c r="B261" s="1192" t="e">
        <f t="shared" si="92"/>
        <v>#N/A</v>
      </c>
      <c r="C261" s="732">
        <f t="shared" si="79"/>
        <v>31</v>
      </c>
      <c r="D261" s="35">
        <f t="shared" si="80"/>
        <v>8</v>
      </c>
      <c r="E261" s="889">
        <f t="shared" si="95"/>
        <v>53205</v>
      </c>
      <c r="F261" s="822">
        <f t="shared" si="88"/>
        <v>8</v>
      </c>
      <c r="G261" s="500">
        <f t="shared" si="96"/>
        <v>31</v>
      </c>
      <c r="H261" s="126">
        <f t="shared" si="81"/>
        <v>0</v>
      </c>
      <c r="I261" s="1098">
        <f t="shared" si="97"/>
        <v>0</v>
      </c>
      <c r="J261" s="887">
        <f t="shared" si="93"/>
        <v>242</v>
      </c>
      <c r="K261" s="1099">
        <f t="shared" si="89"/>
        <v>242</v>
      </c>
      <c r="L261" s="891" t="str">
        <f t="shared" si="90"/>
        <v>August</v>
      </c>
      <c r="M261" s="888">
        <f t="shared" si="94"/>
        <v>2045</v>
      </c>
      <c r="N261" s="883">
        <f t="shared" si="91"/>
        <v>0</v>
      </c>
      <c r="O261" s="883">
        <f t="shared" si="98"/>
        <v>0</v>
      </c>
      <c r="P261" s="1100"/>
      <c r="Q261" s="883">
        <f t="shared" si="82"/>
        <v>0</v>
      </c>
      <c r="R261" s="884">
        <f t="shared" si="77"/>
        <v>0</v>
      </c>
      <c r="S261" s="884">
        <f>IF(AND($AS$39="Early Payoff",J261&gt;=$S$13),0,IF($J261&lt;=$S$6,SUM($Q$20:$Q261),0))</f>
        <v>0</v>
      </c>
      <c r="T261" s="884">
        <f>IF(AND($AS$39="Early Payoff",J261&gt;=$S$13),0,IF($J261&lt;=$S$6,SUM($R$20:$R261),0))</f>
        <v>0</v>
      </c>
      <c r="U261" s="885">
        <f t="shared" si="83"/>
        <v>0</v>
      </c>
      <c r="V261" s="1110">
        <f t="shared" si="78"/>
        <v>0</v>
      </c>
      <c r="X261" s="1102">
        <f t="shared" si="84"/>
        <v>0</v>
      </c>
      <c r="Y261" s="873">
        <f t="shared" si="85"/>
        <v>0</v>
      </c>
      <c r="Z261" s="873">
        <f t="shared" si="86"/>
        <v>0</v>
      </c>
      <c r="AA261" s="885">
        <f t="shared" si="87"/>
        <v>0</v>
      </c>
    </row>
    <row r="262" spans="2:27" s="278" customFormat="1" ht="12" customHeight="1" x14ac:dyDescent="0.25">
      <c r="B262" s="1192" t="e">
        <f t="shared" si="92"/>
        <v>#N/A</v>
      </c>
      <c r="C262" s="732">
        <f t="shared" si="79"/>
        <v>30</v>
      </c>
      <c r="D262" s="35">
        <f t="shared" si="80"/>
        <v>9</v>
      </c>
      <c r="E262" s="889">
        <f t="shared" si="95"/>
        <v>53235</v>
      </c>
      <c r="F262" s="822">
        <f t="shared" si="88"/>
        <v>9</v>
      </c>
      <c r="G262" s="500">
        <f t="shared" si="96"/>
        <v>30</v>
      </c>
      <c r="H262" s="126">
        <f t="shared" si="81"/>
        <v>0</v>
      </c>
      <c r="I262" s="1098">
        <f t="shared" si="97"/>
        <v>0</v>
      </c>
      <c r="J262" s="887">
        <f t="shared" si="93"/>
        <v>243</v>
      </c>
      <c r="K262" s="1099">
        <f t="shared" si="89"/>
        <v>243</v>
      </c>
      <c r="L262" s="891" t="str">
        <f t="shared" si="90"/>
        <v>September</v>
      </c>
      <c r="M262" s="888">
        <f t="shared" si="94"/>
        <v>2045</v>
      </c>
      <c r="N262" s="883">
        <f t="shared" si="91"/>
        <v>0</v>
      </c>
      <c r="O262" s="883">
        <f t="shared" si="98"/>
        <v>0</v>
      </c>
      <c r="P262" s="1100"/>
      <c r="Q262" s="883">
        <f t="shared" si="82"/>
        <v>0</v>
      </c>
      <c r="R262" s="884">
        <f t="shared" ref="R262:R325" si="99">IF(AND($AS$39="Early Payoff",J262&gt;=$S$13),0,IF($T$4="Annual",-$M$7*$U261*1,IF($T$4="Bi-Annual",(-$M$7/2)*$U261*1,IF($T$4="Monthly",(-$M$7/12)*$U261*1))))</f>
        <v>0</v>
      </c>
      <c r="S262" s="884">
        <f>IF(AND($AS$39="Early Payoff",J262&gt;=$S$13),0,IF($J262&lt;=$S$6,SUM($Q$20:$Q262),0))</f>
        <v>0</v>
      </c>
      <c r="T262" s="884">
        <f>IF(AND($AS$39="Early Payoff",J262&gt;=$S$13),0,IF($J262&lt;=$S$6,SUM($R$20:$R262),0))</f>
        <v>0</v>
      </c>
      <c r="U262" s="885">
        <f t="shared" si="83"/>
        <v>0</v>
      </c>
      <c r="V262" s="1110">
        <f t="shared" ref="V262:V325" si="100">IF($T$4="Monthly",$N262,IF(AND(OR($T$4="Annual",$T$4="Bi-Annual"),$K262=$T$7),INDEX($J$19:$U$379,MATCH($T$7,$K$19:$K$2379,0),MATCH($N$19,$J$19:$U$19,0)),IF(AND(OR($T$4="Annual",$T$4="Bi-Annual"),$K262&lt;$T$7),$N262,0)))</f>
        <v>0</v>
      </c>
      <c r="X262" s="1102">
        <f t="shared" si="84"/>
        <v>0</v>
      </c>
      <c r="Y262" s="873">
        <f t="shared" si="85"/>
        <v>0</v>
      </c>
      <c r="Z262" s="873">
        <f t="shared" si="86"/>
        <v>0</v>
      </c>
      <c r="AA262" s="885">
        <f t="shared" si="87"/>
        <v>0</v>
      </c>
    </row>
    <row r="263" spans="2:27" s="278" customFormat="1" ht="12" customHeight="1" x14ac:dyDescent="0.25">
      <c r="B263" s="1192" t="e">
        <f t="shared" si="92"/>
        <v>#N/A</v>
      </c>
      <c r="C263" s="732">
        <f t="shared" si="79"/>
        <v>31</v>
      </c>
      <c r="D263" s="35">
        <f t="shared" si="80"/>
        <v>10</v>
      </c>
      <c r="E263" s="889">
        <f t="shared" si="95"/>
        <v>53266</v>
      </c>
      <c r="F263" s="822">
        <f t="shared" si="88"/>
        <v>10</v>
      </c>
      <c r="G263" s="500">
        <f t="shared" si="96"/>
        <v>31</v>
      </c>
      <c r="H263" s="126">
        <f t="shared" si="81"/>
        <v>0</v>
      </c>
      <c r="I263" s="1098">
        <f t="shared" si="97"/>
        <v>0</v>
      </c>
      <c r="J263" s="887">
        <f t="shared" si="93"/>
        <v>244</v>
      </c>
      <c r="K263" s="1099">
        <f t="shared" si="89"/>
        <v>244</v>
      </c>
      <c r="L263" s="891" t="str">
        <f t="shared" si="90"/>
        <v>October</v>
      </c>
      <c r="M263" s="888">
        <f t="shared" si="94"/>
        <v>2045</v>
      </c>
      <c r="N263" s="883">
        <f t="shared" si="91"/>
        <v>0</v>
      </c>
      <c r="O263" s="883">
        <f t="shared" si="98"/>
        <v>0</v>
      </c>
      <c r="P263" s="1100"/>
      <c r="Q263" s="883">
        <f t="shared" si="82"/>
        <v>0</v>
      </c>
      <c r="R263" s="884">
        <f t="shared" si="99"/>
        <v>0</v>
      </c>
      <c r="S263" s="884">
        <f>IF(AND($AS$39="Early Payoff",J263&gt;=$S$13),0,IF($J263&lt;=$S$6,SUM($Q$20:$Q263),0))</f>
        <v>0</v>
      </c>
      <c r="T263" s="884">
        <f>IF(AND($AS$39="Early Payoff",J263&gt;=$S$13),0,IF($J263&lt;=$S$6,SUM($R$20:$R263),0))</f>
        <v>0</v>
      </c>
      <c r="U263" s="885">
        <f t="shared" si="83"/>
        <v>0</v>
      </c>
      <c r="V263" s="1110">
        <f t="shared" si="100"/>
        <v>0</v>
      </c>
      <c r="X263" s="1102">
        <f t="shared" si="84"/>
        <v>0</v>
      </c>
      <c r="Y263" s="873">
        <f t="shared" si="85"/>
        <v>0</v>
      </c>
      <c r="Z263" s="873">
        <f t="shared" si="86"/>
        <v>0</v>
      </c>
      <c r="AA263" s="885">
        <f t="shared" si="87"/>
        <v>0</v>
      </c>
    </row>
    <row r="264" spans="2:27" s="278" customFormat="1" ht="12" customHeight="1" x14ac:dyDescent="0.25">
      <c r="B264" s="1192" t="e">
        <f t="shared" si="92"/>
        <v>#N/A</v>
      </c>
      <c r="C264" s="732">
        <f t="shared" si="79"/>
        <v>30</v>
      </c>
      <c r="D264" s="35">
        <f t="shared" si="80"/>
        <v>11</v>
      </c>
      <c r="E264" s="889">
        <f t="shared" si="95"/>
        <v>53296</v>
      </c>
      <c r="F264" s="822">
        <f t="shared" si="88"/>
        <v>11</v>
      </c>
      <c r="G264" s="500">
        <f t="shared" si="96"/>
        <v>30</v>
      </c>
      <c r="H264" s="126">
        <f t="shared" si="81"/>
        <v>0</v>
      </c>
      <c r="I264" s="1098">
        <f t="shared" si="97"/>
        <v>0</v>
      </c>
      <c r="J264" s="887">
        <f t="shared" si="93"/>
        <v>245</v>
      </c>
      <c r="K264" s="1099">
        <f t="shared" si="89"/>
        <v>245</v>
      </c>
      <c r="L264" s="891" t="str">
        <f t="shared" si="90"/>
        <v>November</v>
      </c>
      <c r="M264" s="888">
        <f t="shared" si="94"/>
        <v>2045</v>
      </c>
      <c r="N264" s="883">
        <f t="shared" si="91"/>
        <v>0</v>
      </c>
      <c r="O264" s="883">
        <f t="shared" si="98"/>
        <v>0</v>
      </c>
      <c r="P264" s="1100"/>
      <c r="Q264" s="883">
        <f t="shared" si="82"/>
        <v>0</v>
      </c>
      <c r="R264" s="884">
        <f t="shared" si="99"/>
        <v>0</v>
      </c>
      <c r="S264" s="884">
        <f>IF(AND($AS$39="Early Payoff",J264&gt;=$S$13),0,IF($J264&lt;=$S$6,SUM($Q$20:$Q264),0))</f>
        <v>0</v>
      </c>
      <c r="T264" s="884">
        <f>IF(AND($AS$39="Early Payoff",J264&gt;=$S$13),0,IF($J264&lt;=$S$6,SUM($R$20:$R264),0))</f>
        <v>0</v>
      </c>
      <c r="U264" s="885">
        <f t="shared" si="83"/>
        <v>0</v>
      </c>
      <c r="V264" s="1110">
        <f t="shared" si="100"/>
        <v>0</v>
      </c>
      <c r="X264" s="1102">
        <f t="shared" si="84"/>
        <v>0</v>
      </c>
      <c r="Y264" s="873">
        <f t="shared" si="85"/>
        <v>0</v>
      </c>
      <c r="Z264" s="873">
        <f t="shared" si="86"/>
        <v>0</v>
      </c>
      <c r="AA264" s="885">
        <f t="shared" si="87"/>
        <v>0</v>
      </c>
    </row>
    <row r="265" spans="2:27" s="278" customFormat="1" ht="12" customHeight="1" x14ac:dyDescent="0.25">
      <c r="B265" s="1192" t="e">
        <f t="shared" si="92"/>
        <v>#N/A</v>
      </c>
      <c r="C265" s="732">
        <f t="shared" si="79"/>
        <v>31</v>
      </c>
      <c r="D265" s="35">
        <f t="shared" si="80"/>
        <v>12</v>
      </c>
      <c r="E265" s="889">
        <f t="shared" si="95"/>
        <v>53327</v>
      </c>
      <c r="F265" s="822">
        <f t="shared" si="88"/>
        <v>12</v>
      </c>
      <c r="G265" s="500">
        <f t="shared" si="96"/>
        <v>31</v>
      </c>
      <c r="H265" s="126">
        <f t="shared" si="81"/>
        <v>1</v>
      </c>
      <c r="I265" s="1098">
        <f t="shared" si="97"/>
        <v>0</v>
      </c>
      <c r="J265" s="887">
        <f t="shared" si="93"/>
        <v>246</v>
      </c>
      <c r="K265" s="1099">
        <f t="shared" si="89"/>
        <v>246</v>
      </c>
      <c r="L265" s="891" t="str">
        <f t="shared" si="90"/>
        <v>December</v>
      </c>
      <c r="M265" s="888">
        <f t="shared" si="94"/>
        <v>2045</v>
      </c>
      <c r="N265" s="883">
        <f t="shared" si="91"/>
        <v>0</v>
      </c>
      <c r="O265" s="883">
        <f t="shared" si="98"/>
        <v>0</v>
      </c>
      <c r="P265" s="1100"/>
      <c r="Q265" s="883">
        <f t="shared" si="82"/>
        <v>0</v>
      </c>
      <c r="R265" s="884">
        <f t="shared" si="99"/>
        <v>0</v>
      </c>
      <c r="S265" s="884">
        <f>IF(AND($AS$39="Early Payoff",J265&gt;=$S$13),0,IF($J265&lt;=$S$6,SUM($Q$20:$Q265),0))</f>
        <v>0</v>
      </c>
      <c r="T265" s="884">
        <f>IF(AND($AS$39="Early Payoff",J265&gt;=$S$13),0,IF($J265&lt;=$S$6,SUM($R$20:$R265),0))</f>
        <v>0</v>
      </c>
      <c r="U265" s="885">
        <f t="shared" si="83"/>
        <v>0</v>
      </c>
      <c r="V265" s="1110">
        <f t="shared" si="100"/>
        <v>0</v>
      </c>
      <c r="X265" s="1102">
        <f t="shared" si="84"/>
        <v>0</v>
      </c>
      <c r="Y265" s="873">
        <f t="shared" si="85"/>
        <v>0</v>
      </c>
      <c r="Z265" s="873">
        <f t="shared" si="86"/>
        <v>0</v>
      </c>
      <c r="AA265" s="885">
        <f t="shared" si="87"/>
        <v>0</v>
      </c>
    </row>
    <row r="266" spans="2:27" s="278" customFormat="1" ht="12" customHeight="1" x14ac:dyDescent="0.25">
      <c r="B266" s="1192" t="e">
        <f t="shared" si="92"/>
        <v>#N/A</v>
      </c>
      <c r="C266" s="732">
        <f t="shared" si="79"/>
        <v>31</v>
      </c>
      <c r="D266" s="35">
        <f t="shared" si="80"/>
        <v>1</v>
      </c>
      <c r="E266" s="889">
        <f t="shared" si="95"/>
        <v>53358</v>
      </c>
      <c r="F266" s="822">
        <f t="shared" si="88"/>
        <v>1</v>
      </c>
      <c r="G266" s="500">
        <f t="shared" si="96"/>
        <v>31</v>
      </c>
      <c r="H266" s="126">
        <f t="shared" si="81"/>
        <v>0</v>
      </c>
      <c r="I266" s="1098">
        <f t="shared" si="97"/>
        <v>0</v>
      </c>
      <c r="J266" s="887">
        <f t="shared" si="93"/>
        <v>247</v>
      </c>
      <c r="K266" s="1099">
        <f t="shared" si="89"/>
        <v>247</v>
      </c>
      <c r="L266" s="891" t="str">
        <f t="shared" si="90"/>
        <v>January</v>
      </c>
      <c r="M266" s="888">
        <f t="shared" si="94"/>
        <v>2046</v>
      </c>
      <c r="N266" s="883">
        <f t="shared" si="91"/>
        <v>0</v>
      </c>
      <c r="O266" s="883">
        <f t="shared" si="98"/>
        <v>0</v>
      </c>
      <c r="P266" s="1100"/>
      <c r="Q266" s="883">
        <f t="shared" si="82"/>
        <v>0</v>
      </c>
      <c r="R266" s="884">
        <f t="shared" si="99"/>
        <v>0</v>
      </c>
      <c r="S266" s="884">
        <f>IF(AND($AS$39="Early Payoff",J266&gt;=$S$13),0,IF($J266&lt;=$S$6,SUM($Q$20:$Q266),0))</f>
        <v>0</v>
      </c>
      <c r="T266" s="884">
        <f>IF(AND($AS$39="Early Payoff",J266&gt;=$S$13),0,IF($J266&lt;=$S$6,SUM($R$20:$R266),0))</f>
        <v>0</v>
      </c>
      <c r="U266" s="885">
        <f t="shared" si="83"/>
        <v>0</v>
      </c>
      <c r="V266" s="1110">
        <f t="shared" si="100"/>
        <v>0</v>
      </c>
      <c r="X266" s="1102">
        <f t="shared" si="84"/>
        <v>0</v>
      </c>
      <c r="Y266" s="873">
        <f t="shared" si="85"/>
        <v>0</v>
      </c>
      <c r="Z266" s="873">
        <f t="shared" si="86"/>
        <v>0</v>
      </c>
      <c r="AA266" s="885">
        <f t="shared" si="87"/>
        <v>0</v>
      </c>
    </row>
    <row r="267" spans="2:27" s="278" customFormat="1" ht="12" customHeight="1" x14ac:dyDescent="0.25">
      <c r="B267" s="1192" t="e">
        <f t="shared" si="92"/>
        <v>#N/A</v>
      </c>
      <c r="C267" s="732">
        <f t="shared" si="79"/>
        <v>28</v>
      </c>
      <c r="D267" s="35">
        <f t="shared" si="80"/>
        <v>2</v>
      </c>
      <c r="E267" s="889">
        <f t="shared" si="95"/>
        <v>53386</v>
      </c>
      <c r="F267" s="822">
        <f t="shared" si="88"/>
        <v>2</v>
      </c>
      <c r="G267" s="500">
        <f t="shared" si="96"/>
        <v>28</v>
      </c>
      <c r="H267" s="126">
        <f t="shared" si="81"/>
        <v>0</v>
      </c>
      <c r="I267" s="1098">
        <f t="shared" si="97"/>
        <v>0</v>
      </c>
      <c r="J267" s="887">
        <f t="shared" si="93"/>
        <v>248</v>
      </c>
      <c r="K267" s="1099">
        <f t="shared" si="89"/>
        <v>248</v>
      </c>
      <c r="L267" s="891" t="str">
        <f t="shared" si="90"/>
        <v>February</v>
      </c>
      <c r="M267" s="888">
        <f t="shared" si="94"/>
        <v>2046</v>
      </c>
      <c r="N267" s="883">
        <f t="shared" si="91"/>
        <v>0</v>
      </c>
      <c r="O267" s="883">
        <f t="shared" si="98"/>
        <v>0</v>
      </c>
      <c r="P267" s="1100"/>
      <c r="Q267" s="883">
        <f t="shared" si="82"/>
        <v>0</v>
      </c>
      <c r="R267" s="884">
        <f t="shared" si="99"/>
        <v>0</v>
      </c>
      <c r="S267" s="884">
        <f>IF(AND($AS$39="Early Payoff",J267&gt;=$S$13),0,IF($J267&lt;=$S$6,SUM($Q$20:$Q267),0))</f>
        <v>0</v>
      </c>
      <c r="T267" s="884">
        <f>IF(AND($AS$39="Early Payoff",J267&gt;=$S$13),0,IF($J267&lt;=$S$6,SUM($R$20:$R267),0))</f>
        <v>0</v>
      </c>
      <c r="U267" s="885">
        <f t="shared" si="83"/>
        <v>0</v>
      </c>
      <c r="V267" s="1110">
        <f t="shared" si="100"/>
        <v>0</v>
      </c>
      <c r="X267" s="1102">
        <f t="shared" si="84"/>
        <v>0</v>
      </c>
      <c r="Y267" s="873">
        <f t="shared" si="85"/>
        <v>0</v>
      </c>
      <c r="Z267" s="873">
        <f t="shared" si="86"/>
        <v>0</v>
      </c>
      <c r="AA267" s="885">
        <f t="shared" si="87"/>
        <v>0</v>
      </c>
    </row>
    <row r="268" spans="2:27" s="278" customFormat="1" ht="12" customHeight="1" x14ac:dyDescent="0.25">
      <c r="B268" s="1192" t="e">
        <f t="shared" si="92"/>
        <v>#N/A</v>
      </c>
      <c r="C268" s="732">
        <f t="shared" si="79"/>
        <v>31</v>
      </c>
      <c r="D268" s="35">
        <f t="shared" si="80"/>
        <v>3</v>
      </c>
      <c r="E268" s="889">
        <f t="shared" si="95"/>
        <v>53417</v>
      </c>
      <c r="F268" s="822">
        <f t="shared" si="88"/>
        <v>3</v>
      </c>
      <c r="G268" s="500">
        <f t="shared" si="96"/>
        <v>31</v>
      </c>
      <c r="H268" s="126">
        <f t="shared" si="81"/>
        <v>0</v>
      </c>
      <c r="I268" s="1098">
        <f t="shared" si="97"/>
        <v>0</v>
      </c>
      <c r="J268" s="887">
        <f t="shared" si="93"/>
        <v>249</v>
      </c>
      <c r="K268" s="1099">
        <f t="shared" si="89"/>
        <v>249</v>
      </c>
      <c r="L268" s="891" t="str">
        <f t="shared" si="90"/>
        <v>March</v>
      </c>
      <c r="M268" s="888">
        <f t="shared" si="94"/>
        <v>2046</v>
      </c>
      <c r="N268" s="883">
        <f t="shared" si="91"/>
        <v>0</v>
      </c>
      <c r="O268" s="883">
        <f t="shared" si="98"/>
        <v>0</v>
      </c>
      <c r="P268" s="1100"/>
      <c r="Q268" s="883">
        <f t="shared" si="82"/>
        <v>0</v>
      </c>
      <c r="R268" s="884">
        <f t="shared" si="99"/>
        <v>0</v>
      </c>
      <c r="S268" s="884">
        <f>IF(AND($AS$39="Early Payoff",J268&gt;=$S$13),0,IF($J268&lt;=$S$6,SUM($Q$20:$Q268),0))</f>
        <v>0</v>
      </c>
      <c r="T268" s="884">
        <f>IF(AND($AS$39="Early Payoff",J268&gt;=$S$13),0,IF($J268&lt;=$S$6,SUM($R$20:$R268),0))</f>
        <v>0</v>
      </c>
      <c r="U268" s="885">
        <f t="shared" si="83"/>
        <v>0</v>
      </c>
      <c r="V268" s="1110">
        <f t="shared" si="100"/>
        <v>0</v>
      </c>
      <c r="X268" s="1102">
        <f t="shared" si="84"/>
        <v>0</v>
      </c>
      <c r="Y268" s="873">
        <f t="shared" si="85"/>
        <v>0</v>
      </c>
      <c r="Z268" s="873">
        <f t="shared" si="86"/>
        <v>0</v>
      </c>
      <c r="AA268" s="885">
        <f t="shared" si="87"/>
        <v>0</v>
      </c>
    </row>
    <row r="269" spans="2:27" s="278" customFormat="1" ht="12" customHeight="1" x14ac:dyDescent="0.25">
      <c r="B269" s="1192" t="e">
        <f t="shared" si="92"/>
        <v>#N/A</v>
      </c>
      <c r="C269" s="732">
        <f t="shared" si="79"/>
        <v>30</v>
      </c>
      <c r="D269" s="35">
        <f t="shared" si="80"/>
        <v>4</v>
      </c>
      <c r="E269" s="889">
        <f t="shared" si="95"/>
        <v>53447</v>
      </c>
      <c r="F269" s="822">
        <f t="shared" si="88"/>
        <v>4</v>
      </c>
      <c r="G269" s="500">
        <f t="shared" si="96"/>
        <v>30</v>
      </c>
      <c r="H269" s="126">
        <f t="shared" si="81"/>
        <v>0</v>
      </c>
      <c r="I269" s="1098">
        <f t="shared" si="97"/>
        <v>0</v>
      </c>
      <c r="J269" s="887">
        <f t="shared" si="93"/>
        <v>250</v>
      </c>
      <c r="K269" s="1099">
        <f t="shared" si="89"/>
        <v>250</v>
      </c>
      <c r="L269" s="891" t="str">
        <f t="shared" si="90"/>
        <v>April</v>
      </c>
      <c r="M269" s="888">
        <f t="shared" si="94"/>
        <v>2046</v>
      </c>
      <c r="N269" s="883">
        <f t="shared" si="91"/>
        <v>0</v>
      </c>
      <c r="O269" s="883">
        <f t="shared" si="98"/>
        <v>0</v>
      </c>
      <c r="P269" s="1100"/>
      <c r="Q269" s="883">
        <f t="shared" si="82"/>
        <v>0</v>
      </c>
      <c r="R269" s="884">
        <f t="shared" si="99"/>
        <v>0</v>
      </c>
      <c r="S269" s="884">
        <f>IF(AND($AS$39="Early Payoff",J269&gt;=$S$13),0,IF($J269&lt;=$S$6,SUM($Q$20:$Q269),0))</f>
        <v>0</v>
      </c>
      <c r="T269" s="884">
        <f>IF(AND($AS$39="Early Payoff",J269&gt;=$S$13),0,IF($J269&lt;=$S$6,SUM($R$20:$R269),0))</f>
        <v>0</v>
      </c>
      <c r="U269" s="885">
        <f t="shared" si="83"/>
        <v>0</v>
      </c>
      <c r="V269" s="1110">
        <f t="shared" si="100"/>
        <v>0</v>
      </c>
      <c r="X269" s="1102">
        <f t="shared" si="84"/>
        <v>0</v>
      </c>
      <c r="Y269" s="873">
        <f t="shared" si="85"/>
        <v>0</v>
      </c>
      <c r="Z269" s="873">
        <f t="shared" si="86"/>
        <v>0</v>
      </c>
      <c r="AA269" s="885">
        <f t="shared" si="87"/>
        <v>0</v>
      </c>
    </row>
    <row r="270" spans="2:27" s="278" customFormat="1" ht="12" customHeight="1" x14ac:dyDescent="0.25">
      <c r="B270" s="1192" t="e">
        <f t="shared" si="92"/>
        <v>#N/A</v>
      </c>
      <c r="C270" s="732">
        <f t="shared" si="79"/>
        <v>31</v>
      </c>
      <c r="D270" s="35">
        <f t="shared" si="80"/>
        <v>5</v>
      </c>
      <c r="E270" s="889">
        <f t="shared" si="95"/>
        <v>53478</v>
      </c>
      <c r="F270" s="822">
        <f t="shared" si="88"/>
        <v>5</v>
      </c>
      <c r="G270" s="500">
        <f t="shared" si="96"/>
        <v>31</v>
      </c>
      <c r="H270" s="126">
        <f t="shared" si="81"/>
        <v>0</v>
      </c>
      <c r="I270" s="1098">
        <f t="shared" si="97"/>
        <v>0</v>
      </c>
      <c r="J270" s="887">
        <f t="shared" si="93"/>
        <v>251</v>
      </c>
      <c r="K270" s="1099">
        <f t="shared" si="89"/>
        <v>251</v>
      </c>
      <c r="L270" s="891" t="str">
        <f t="shared" si="90"/>
        <v>May</v>
      </c>
      <c r="M270" s="888">
        <f t="shared" si="94"/>
        <v>2046</v>
      </c>
      <c r="N270" s="883">
        <f t="shared" si="91"/>
        <v>0</v>
      </c>
      <c r="O270" s="883">
        <f t="shared" si="98"/>
        <v>0</v>
      </c>
      <c r="P270" s="1100"/>
      <c r="Q270" s="883">
        <f t="shared" si="82"/>
        <v>0</v>
      </c>
      <c r="R270" s="884">
        <f t="shared" si="99"/>
        <v>0</v>
      </c>
      <c r="S270" s="884">
        <f>IF(AND($AS$39="Early Payoff",J270&gt;=$S$13),0,IF($J270&lt;=$S$6,SUM($Q$20:$Q270),0))</f>
        <v>0</v>
      </c>
      <c r="T270" s="884">
        <f>IF(AND($AS$39="Early Payoff",J270&gt;=$S$13),0,IF($J270&lt;=$S$6,SUM($R$20:$R270),0))</f>
        <v>0</v>
      </c>
      <c r="U270" s="885">
        <f t="shared" si="83"/>
        <v>0</v>
      </c>
      <c r="V270" s="1110">
        <f t="shared" si="100"/>
        <v>0</v>
      </c>
      <c r="X270" s="1102">
        <f t="shared" si="84"/>
        <v>0</v>
      </c>
      <c r="Y270" s="873">
        <f t="shared" si="85"/>
        <v>0</v>
      </c>
      <c r="Z270" s="873">
        <f t="shared" si="86"/>
        <v>0</v>
      </c>
      <c r="AA270" s="885">
        <f t="shared" si="87"/>
        <v>0</v>
      </c>
    </row>
    <row r="271" spans="2:27" s="278" customFormat="1" ht="12" customHeight="1" x14ac:dyDescent="0.25">
      <c r="B271" s="1192" t="e">
        <f t="shared" si="92"/>
        <v>#N/A</v>
      </c>
      <c r="C271" s="732">
        <f t="shared" si="79"/>
        <v>30</v>
      </c>
      <c r="D271" s="35">
        <f t="shared" si="80"/>
        <v>6</v>
      </c>
      <c r="E271" s="889">
        <f t="shared" si="95"/>
        <v>53508</v>
      </c>
      <c r="F271" s="822">
        <f t="shared" si="88"/>
        <v>6</v>
      </c>
      <c r="G271" s="500">
        <f t="shared" si="96"/>
        <v>30</v>
      </c>
      <c r="H271" s="126">
        <f t="shared" si="81"/>
        <v>0</v>
      </c>
      <c r="I271" s="1098">
        <f t="shared" si="97"/>
        <v>0</v>
      </c>
      <c r="J271" s="887">
        <f t="shared" si="93"/>
        <v>252</v>
      </c>
      <c r="K271" s="1099">
        <f t="shared" si="89"/>
        <v>252</v>
      </c>
      <c r="L271" s="891" t="str">
        <f t="shared" si="90"/>
        <v>June</v>
      </c>
      <c r="M271" s="888">
        <f t="shared" si="94"/>
        <v>2046</v>
      </c>
      <c r="N271" s="883">
        <f t="shared" si="91"/>
        <v>0</v>
      </c>
      <c r="O271" s="883">
        <f t="shared" si="98"/>
        <v>0</v>
      </c>
      <c r="P271" s="1100"/>
      <c r="Q271" s="883">
        <f t="shared" si="82"/>
        <v>0</v>
      </c>
      <c r="R271" s="884">
        <f t="shared" si="99"/>
        <v>0</v>
      </c>
      <c r="S271" s="884">
        <f>IF(AND($AS$39="Early Payoff",J271&gt;=$S$13),0,IF($J271&lt;=$S$6,SUM($Q$20:$Q271),0))</f>
        <v>0</v>
      </c>
      <c r="T271" s="884">
        <f>IF(AND($AS$39="Early Payoff",J271&gt;=$S$13),0,IF($J271&lt;=$S$6,SUM($R$20:$R271),0))</f>
        <v>0</v>
      </c>
      <c r="U271" s="885">
        <f t="shared" si="83"/>
        <v>0</v>
      </c>
      <c r="V271" s="1110">
        <f t="shared" si="100"/>
        <v>0</v>
      </c>
      <c r="X271" s="1102">
        <f t="shared" si="84"/>
        <v>0</v>
      </c>
      <c r="Y271" s="873">
        <f t="shared" si="85"/>
        <v>0</v>
      </c>
      <c r="Z271" s="873">
        <f t="shared" si="86"/>
        <v>0</v>
      </c>
      <c r="AA271" s="885">
        <f t="shared" si="87"/>
        <v>0</v>
      </c>
    </row>
    <row r="272" spans="2:27" s="278" customFormat="1" ht="12" customHeight="1" x14ac:dyDescent="0.25">
      <c r="B272" s="1192" t="e">
        <f t="shared" si="92"/>
        <v>#N/A</v>
      </c>
      <c r="C272" s="732">
        <f t="shared" si="79"/>
        <v>31</v>
      </c>
      <c r="D272" s="35">
        <f t="shared" si="80"/>
        <v>7</v>
      </c>
      <c r="E272" s="889">
        <f t="shared" si="95"/>
        <v>53539</v>
      </c>
      <c r="F272" s="822">
        <f t="shared" si="88"/>
        <v>7</v>
      </c>
      <c r="G272" s="500">
        <f t="shared" si="96"/>
        <v>31</v>
      </c>
      <c r="H272" s="126">
        <f t="shared" si="81"/>
        <v>0</v>
      </c>
      <c r="I272" s="1098">
        <f t="shared" si="97"/>
        <v>0</v>
      </c>
      <c r="J272" s="887">
        <f t="shared" si="93"/>
        <v>253</v>
      </c>
      <c r="K272" s="1099">
        <f t="shared" si="89"/>
        <v>253</v>
      </c>
      <c r="L272" s="891" t="str">
        <f t="shared" si="90"/>
        <v>July</v>
      </c>
      <c r="M272" s="888">
        <f t="shared" si="94"/>
        <v>2046</v>
      </c>
      <c r="N272" s="883">
        <f t="shared" si="91"/>
        <v>0</v>
      </c>
      <c r="O272" s="883">
        <f t="shared" si="98"/>
        <v>0</v>
      </c>
      <c r="P272" s="1100"/>
      <c r="Q272" s="883">
        <f t="shared" si="82"/>
        <v>0</v>
      </c>
      <c r="R272" s="884">
        <f t="shared" si="99"/>
        <v>0</v>
      </c>
      <c r="S272" s="884">
        <f>IF(AND($AS$39="Early Payoff",J272&gt;=$S$13),0,IF($J272&lt;=$S$6,SUM($Q$20:$Q272),0))</f>
        <v>0</v>
      </c>
      <c r="T272" s="884">
        <f>IF(AND($AS$39="Early Payoff",J272&gt;=$S$13),0,IF($J272&lt;=$S$6,SUM($R$20:$R272),0))</f>
        <v>0</v>
      </c>
      <c r="U272" s="885">
        <f t="shared" si="83"/>
        <v>0</v>
      </c>
      <c r="V272" s="1110">
        <f t="shared" si="100"/>
        <v>0</v>
      </c>
      <c r="X272" s="1102">
        <f t="shared" si="84"/>
        <v>0</v>
      </c>
      <c r="Y272" s="873">
        <f t="shared" si="85"/>
        <v>0</v>
      </c>
      <c r="Z272" s="873">
        <f t="shared" si="86"/>
        <v>0</v>
      </c>
      <c r="AA272" s="885">
        <f t="shared" si="87"/>
        <v>0</v>
      </c>
    </row>
    <row r="273" spans="2:27" s="278" customFormat="1" ht="12" customHeight="1" x14ac:dyDescent="0.25">
      <c r="B273" s="1192" t="e">
        <f t="shared" si="92"/>
        <v>#N/A</v>
      </c>
      <c r="C273" s="732">
        <f t="shared" si="79"/>
        <v>31</v>
      </c>
      <c r="D273" s="35">
        <f t="shared" si="80"/>
        <v>8</v>
      </c>
      <c r="E273" s="889">
        <f t="shared" si="95"/>
        <v>53570</v>
      </c>
      <c r="F273" s="822">
        <f t="shared" si="88"/>
        <v>8</v>
      </c>
      <c r="G273" s="500">
        <f t="shared" si="96"/>
        <v>31</v>
      </c>
      <c r="H273" s="126">
        <f t="shared" si="81"/>
        <v>0</v>
      </c>
      <c r="I273" s="1098">
        <f t="shared" si="97"/>
        <v>0</v>
      </c>
      <c r="J273" s="887">
        <f t="shared" si="93"/>
        <v>254</v>
      </c>
      <c r="K273" s="1099">
        <f t="shared" si="89"/>
        <v>254</v>
      </c>
      <c r="L273" s="891" t="str">
        <f t="shared" si="90"/>
        <v>August</v>
      </c>
      <c r="M273" s="888">
        <f t="shared" si="94"/>
        <v>2046</v>
      </c>
      <c r="N273" s="883">
        <f t="shared" si="91"/>
        <v>0</v>
      </c>
      <c r="O273" s="883">
        <f t="shared" si="98"/>
        <v>0</v>
      </c>
      <c r="P273" s="1100"/>
      <c r="Q273" s="883">
        <f t="shared" si="82"/>
        <v>0</v>
      </c>
      <c r="R273" s="884">
        <f t="shared" si="99"/>
        <v>0</v>
      </c>
      <c r="S273" s="884">
        <f>IF(AND($AS$39="Early Payoff",J273&gt;=$S$13),0,IF($J273&lt;=$S$6,SUM($Q$20:$Q273),0))</f>
        <v>0</v>
      </c>
      <c r="T273" s="884">
        <f>IF(AND($AS$39="Early Payoff",J273&gt;=$S$13),0,IF($J273&lt;=$S$6,SUM($R$20:$R273),0))</f>
        <v>0</v>
      </c>
      <c r="U273" s="885">
        <f t="shared" si="83"/>
        <v>0</v>
      </c>
      <c r="V273" s="1110">
        <f t="shared" si="100"/>
        <v>0</v>
      </c>
      <c r="X273" s="1102">
        <f t="shared" si="84"/>
        <v>0</v>
      </c>
      <c r="Y273" s="873">
        <f t="shared" si="85"/>
        <v>0</v>
      </c>
      <c r="Z273" s="873">
        <f t="shared" si="86"/>
        <v>0</v>
      </c>
      <c r="AA273" s="885">
        <f t="shared" si="87"/>
        <v>0</v>
      </c>
    </row>
    <row r="274" spans="2:27" s="278" customFormat="1" ht="12" customHeight="1" x14ac:dyDescent="0.25">
      <c r="B274" s="1192" t="e">
        <f t="shared" si="92"/>
        <v>#N/A</v>
      </c>
      <c r="C274" s="732">
        <f t="shared" si="79"/>
        <v>30</v>
      </c>
      <c r="D274" s="35">
        <f t="shared" si="80"/>
        <v>9</v>
      </c>
      <c r="E274" s="889">
        <f t="shared" si="95"/>
        <v>53600</v>
      </c>
      <c r="F274" s="822">
        <f t="shared" si="88"/>
        <v>9</v>
      </c>
      <c r="G274" s="500">
        <f t="shared" si="96"/>
        <v>30</v>
      </c>
      <c r="H274" s="126">
        <f t="shared" si="81"/>
        <v>0</v>
      </c>
      <c r="I274" s="1098">
        <f t="shared" si="97"/>
        <v>0</v>
      </c>
      <c r="J274" s="887">
        <f t="shared" si="93"/>
        <v>255</v>
      </c>
      <c r="K274" s="1099">
        <f t="shared" si="89"/>
        <v>255</v>
      </c>
      <c r="L274" s="891" t="str">
        <f t="shared" si="90"/>
        <v>September</v>
      </c>
      <c r="M274" s="888">
        <f t="shared" si="94"/>
        <v>2046</v>
      </c>
      <c r="N274" s="883">
        <f t="shared" si="91"/>
        <v>0</v>
      </c>
      <c r="O274" s="883">
        <f t="shared" si="98"/>
        <v>0</v>
      </c>
      <c r="P274" s="1100"/>
      <c r="Q274" s="883">
        <f t="shared" si="82"/>
        <v>0</v>
      </c>
      <c r="R274" s="884">
        <f t="shared" si="99"/>
        <v>0</v>
      </c>
      <c r="S274" s="884">
        <f>IF(AND($AS$39="Early Payoff",J274&gt;=$S$13),0,IF($J274&lt;=$S$6,SUM($Q$20:$Q274),0))</f>
        <v>0</v>
      </c>
      <c r="T274" s="884">
        <f>IF(AND($AS$39="Early Payoff",J274&gt;=$S$13),0,IF($J274&lt;=$S$6,SUM($R$20:$R274),0))</f>
        <v>0</v>
      </c>
      <c r="U274" s="885">
        <f t="shared" si="83"/>
        <v>0</v>
      </c>
      <c r="V274" s="1110">
        <f t="shared" si="100"/>
        <v>0</v>
      </c>
      <c r="X274" s="1102">
        <f t="shared" si="84"/>
        <v>0</v>
      </c>
      <c r="Y274" s="873">
        <f t="shared" si="85"/>
        <v>0</v>
      </c>
      <c r="Z274" s="873">
        <f t="shared" si="86"/>
        <v>0</v>
      </c>
      <c r="AA274" s="885">
        <f t="shared" si="87"/>
        <v>0</v>
      </c>
    </row>
    <row r="275" spans="2:27" s="278" customFormat="1" ht="12" customHeight="1" x14ac:dyDescent="0.25">
      <c r="B275" s="1192" t="e">
        <f t="shared" si="92"/>
        <v>#N/A</v>
      </c>
      <c r="C275" s="732">
        <f t="shared" si="79"/>
        <v>31</v>
      </c>
      <c r="D275" s="35">
        <f t="shared" si="80"/>
        <v>10</v>
      </c>
      <c r="E275" s="889">
        <f t="shared" si="95"/>
        <v>53631</v>
      </c>
      <c r="F275" s="822">
        <f t="shared" si="88"/>
        <v>10</v>
      </c>
      <c r="G275" s="500">
        <f t="shared" si="96"/>
        <v>31</v>
      </c>
      <c r="H275" s="126">
        <f t="shared" si="81"/>
        <v>0</v>
      </c>
      <c r="I275" s="1098">
        <f t="shared" si="97"/>
        <v>0</v>
      </c>
      <c r="J275" s="887">
        <f t="shared" si="93"/>
        <v>256</v>
      </c>
      <c r="K275" s="1099">
        <f t="shared" si="89"/>
        <v>256</v>
      </c>
      <c r="L275" s="891" t="str">
        <f t="shared" si="90"/>
        <v>October</v>
      </c>
      <c r="M275" s="888">
        <f t="shared" si="94"/>
        <v>2046</v>
      </c>
      <c r="N275" s="883">
        <f t="shared" si="91"/>
        <v>0</v>
      </c>
      <c r="O275" s="883">
        <f t="shared" si="98"/>
        <v>0</v>
      </c>
      <c r="P275" s="1100"/>
      <c r="Q275" s="883">
        <f t="shared" si="82"/>
        <v>0</v>
      </c>
      <c r="R275" s="884">
        <f t="shared" si="99"/>
        <v>0</v>
      </c>
      <c r="S275" s="884">
        <f>IF(AND($AS$39="Early Payoff",J275&gt;=$S$13),0,IF($J275&lt;=$S$6,SUM($Q$20:$Q275),0))</f>
        <v>0</v>
      </c>
      <c r="T275" s="884">
        <f>IF(AND($AS$39="Early Payoff",J275&gt;=$S$13),0,IF($J275&lt;=$S$6,SUM($R$20:$R275),0))</f>
        <v>0</v>
      </c>
      <c r="U275" s="885">
        <f t="shared" si="83"/>
        <v>0</v>
      </c>
      <c r="V275" s="1110">
        <f t="shared" si="100"/>
        <v>0</v>
      </c>
      <c r="X275" s="1102">
        <f t="shared" si="84"/>
        <v>0</v>
      </c>
      <c r="Y275" s="873">
        <f t="shared" si="85"/>
        <v>0</v>
      </c>
      <c r="Z275" s="873">
        <f t="shared" si="86"/>
        <v>0</v>
      </c>
      <c r="AA275" s="885">
        <f t="shared" si="87"/>
        <v>0</v>
      </c>
    </row>
    <row r="276" spans="2:27" s="278" customFormat="1" ht="12" customHeight="1" x14ac:dyDescent="0.25">
      <c r="B276" s="1192" t="e">
        <f t="shared" si="92"/>
        <v>#N/A</v>
      </c>
      <c r="C276" s="732">
        <f t="shared" ref="C276:C339" si="101">DAY(EOMONTH(DATE($M276,$D276,1),0))</f>
        <v>30</v>
      </c>
      <c r="D276" s="35">
        <f t="shared" ref="D276:D339" si="102">INDEX($AT$22:$AU$34,MATCH($L276,$AT$22:$AT$34,0),MATCH("Number",$AT$22:$AU$22,0))</f>
        <v>11</v>
      </c>
      <c r="E276" s="889">
        <f t="shared" si="95"/>
        <v>53661</v>
      </c>
      <c r="F276" s="822">
        <f t="shared" si="88"/>
        <v>11</v>
      </c>
      <c r="G276" s="500">
        <f t="shared" si="96"/>
        <v>30</v>
      </c>
      <c r="H276" s="126">
        <f t="shared" ref="H276:H339" si="103">IF($T$4="Monthly",INDEX($AT$36:$AU$48,MATCH($L276,$AT$36:$AT$48,0),MATCH("Number",$AT$36:$AU$36,0)),0)</f>
        <v>0</v>
      </c>
      <c r="I276" s="1098">
        <f t="shared" si="97"/>
        <v>0</v>
      </c>
      <c r="J276" s="887">
        <f t="shared" si="93"/>
        <v>257</v>
      </c>
      <c r="K276" s="1099">
        <f t="shared" si="89"/>
        <v>257</v>
      </c>
      <c r="L276" s="891" t="str">
        <f t="shared" si="90"/>
        <v>November</v>
      </c>
      <c r="M276" s="888">
        <f t="shared" si="94"/>
        <v>2046</v>
      </c>
      <c r="N276" s="883">
        <f t="shared" si="91"/>
        <v>0</v>
      </c>
      <c r="O276" s="883">
        <f t="shared" si="98"/>
        <v>0</v>
      </c>
      <c r="P276" s="1100"/>
      <c r="Q276" s="883">
        <f t="shared" ref="Q276:Q339" si="104">IF(AND($AS$39="Early Payoff",J276&gt;=$S$13),0,IF($J276&gt;$S$6,0,IF(AND($AR$29&gt;0,$J276&lt;=$AR$29),0,+$O276-$R276)))</f>
        <v>0</v>
      </c>
      <c r="R276" s="884">
        <f t="shared" si="99"/>
        <v>0</v>
      </c>
      <c r="S276" s="884">
        <f>IF(AND($AS$39="Early Payoff",J276&gt;=$S$13),0,IF($J276&lt;=$S$6,SUM($Q$20:$Q276),0))</f>
        <v>0</v>
      </c>
      <c r="T276" s="884">
        <f>IF(AND($AS$39="Early Payoff",J276&gt;=$S$13),0,IF($J276&lt;=$S$6,SUM($R$20:$R276),0))</f>
        <v>0</v>
      </c>
      <c r="U276" s="885">
        <f t="shared" ref="U276:U339" si="105">IF($K276&lt;$S$13,SUM($N276,$Q276),0)</f>
        <v>0</v>
      </c>
      <c r="V276" s="1110">
        <f t="shared" si="100"/>
        <v>0</v>
      </c>
      <c r="X276" s="1102">
        <f t="shared" ref="X276:X339" si="106">IF($J276&gt;$S$6,0,IF($J276&lt;=$AR$27,0,IF(AND($Y$5="%/Payment",$AA$5=0),$O276*$Z$5,IF(AND($Y$5="%/Payment",$AA$5&gt;0,($O276*$Z$5)&lt;$AA$5),$O276*$Z$5,IF(AND($Y$5="%/Payment",$AA$5&gt;0,($O276*$Z$5)&gt;$AA$5),-$AA$5,IF(AND($Y$5="%/Balance",$AA$5=0),-$U276*$Z$5,IF(AND($Y$5="%/Balance",$AA$5&gt;0,($U276*$Z$5)&lt;$AA$5),-$U276*$Z$5,IF(AND($Y$5="%/Balance",$AA$5&gt;0,($U276*$Z$5)&gt;$AA$5),-$AA$5,IF($Y$5="Fixed Amount",-$Z$5,IF($Y$5="N/A",0))))))))))</f>
        <v>0</v>
      </c>
      <c r="Y276" s="873">
        <f t="shared" ref="Y276:Y339" si="107">IF($J276&gt;$S$6,0,IF($J276&lt;=$AR$27,0,IF(AND($Y$6="%/Payment",$AA$6=0),$O276*$Z$6,IF(AND($Y$6="%/Payment",$AA$6&gt;0,($O276*$Z$6)&lt;$AA$6),$O276*$Z$6,IF(AND($Y$6="%/Payment",$AA$6&gt;0,($O276*$Z$6)&gt;$AA$6),-$AA$6,IF(AND($Y$6="%/Balance",$AA$6=0),-$U276*$Z$6,IF(AND($Y$6="%/Balance",$AA$6&gt;0,($U276*$Z$6)&lt;$AA$6),-$U276*$Z$6,IF(AND($Y$6="%/Balance",$AA$6&gt;0,($U276*$Z$6)&gt;$AA$6),-$AA$6,IF($Y$6="Fixed Amount",-$Z$6,IF($Y$6="N/A",0))))))))))</f>
        <v>0</v>
      </c>
      <c r="Z276" s="873">
        <f t="shared" ref="Z276:Z339" si="108">IF($J276&gt;$S$6,0,IF($J276&lt;=$AR$27,0,IF(AND($Y$7="%/Payment",$AA$7=0),$O276*$Z$7,IF(AND($Y$7="%/Payment",$AA$7&gt;0,($O276*$Z$7)&lt;$AA$7),$O276*$Z$7,IF(AND($Y$7="%/Payment",$AA$7&gt;0,($O276*$Z$7)&gt;$AA$7),-$AA$7,IF(AND($Y$7="%/Balance",$AA$7=0),-$U276*$Z$7,IF(AND($Y$7="%/Balance",$AA$7&gt;0,($U276*$Z$7)&lt;$AA$7),-$U276*$Z$7,IF(AND($Y$7="%/Balance",$AA$7&gt;0,($O276*$Z$7)&gt;$AA$7),-$AA$7,IF($Y$7="Fixed Amount",-$Z$7,IF($Y$7="N/A",0))))))))))</f>
        <v>0</v>
      </c>
      <c r="AA276" s="885">
        <f t="shared" ref="AA276:AA339" si="109">SUM($O276,$X276:$Z276)</f>
        <v>0</v>
      </c>
    </row>
    <row r="277" spans="2:27" s="278" customFormat="1" ht="12" customHeight="1" x14ac:dyDescent="0.25">
      <c r="B277" s="1192" t="e">
        <f t="shared" si="92"/>
        <v>#N/A</v>
      </c>
      <c r="C277" s="732">
        <f t="shared" si="101"/>
        <v>31</v>
      </c>
      <c r="D277" s="35">
        <f t="shared" si="102"/>
        <v>12</v>
      </c>
      <c r="E277" s="889">
        <f t="shared" si="95"/>
        <v>53692</v>
      </c>
      <c r="F277" s="822">
        <f t="shared" ref="F277:F340" si="110">INDEX($AT$22:$AU$34,MATCH($L277,$AT$22:$AT$34,0),MATCH("Number",$AT$22:$AU$22,0))</f>
        <v>12</v>
      </c>
      <c r="G277" s="500">
        <f t="shared" si="96"/>
        <v>31</v>
      </c>
      <c r="H277" s="126">
        <f t="shared" si="103"/>
        <v>1</v>
      </c>
      <c r="I277" s="1098">
        <f t="shared" si="97"/>
        <v>0</v>
      </c>
      <c r="J277" s="887">
        <f t="shared" si="93"/>
        <v>258</v>
      </c>
      <c r="K277" s="1099">
        <f t="shared" ref="K277:K340" si="111">IF($J277&lt;=$AR$29,0,IF($J276&gt;=$AR$29,$K276+1))</f>
        <v>258</v>
      </c>
      <c r="L277" s="891" t="str">
        <f t="shared" ref="L277:L340" si="112">IF($T$4="Annual",$R$5,IF(AND($T$4="Bi-Annual",$F276&lt;MAX($R$4,$S$4)),INDEX($AU$22:$AV$34,MATCH(MAX($R$4,$S$4),$AU$22:$AU$34,0),MATCH("Month",$AU$22:$AV$22,0)),IF(AND($T$4="Bi-Annual",$F276=MAX($R$4,$S$4)),INDEX($AU$22:$AV$34,MATCH(MIN($R$4,$S$4),$AU$22:$AU$34,0),MATCH("Month",$AU$22:$AV$22,0)),IF(AND($T$4="Monthly",$F276&lt;12),INDEX($AU$22:$AV$34,MATCH($F276+1,$AU$22:$AU$34,0),MATCH("Month",$AU$22:$AV$22,0)),IF(AND($T$4="Monthly",$F276=12),INDEX($AU$22:$AV$34,MATCH($F276-11,$AU$22:$AU$34,0),MATCH("Month",$AU$22:$AV$22,0)))))))</f>
        <v>December</v>
      </c>
      <c r="M277" s="888">
        <f t="shared" si="94"/>
        <v>2046</v>
      </c>
      <c r="N277" s="883">
        <f t="shared" ref="N277:N340" si="113">IF(AND($AS$39="Early Payoff",$J277&gt;$S$13),0,IF(AND($AS$39="Early Payoff",$J277&lt;$S$13),$U276,IF($J277&gt;$S$6,0,$U276)))</f>
        <v>0</v>
      </c>
      <c r="O277" s="883">
        <f t="shared" si="98"/>
        <v>0</v>
      </c>
      <c r="P277" s="1100"/>
      <c r="Q277" s="883">
        <f t="shared" si="104"/>
        <v>0</v>
      </c>
      <c r="R277" s="884">
        <f t="shared" si="99"/>
        <v>0</v>
      </c>
      <c r="S277" s="884">
        <f>IF(AND($AS$39="Early Payoff",J277&gt;=$S$13),0,IF($J277&lt;=$S$6,SUM($Q$20:$Q277),0))</f>
        <v>0</v>
      </c>
      <c r="T277" s="884">
        <f>IF(AND($AS$39="Early Payoff",J277&gt;=$S$13),0,IF($J277&lt;=$S$6,SUM($R$20:$R277),0))</f>
        <v>0</v>
      </c>
      <c r="U277" s="885">
        <f t="shared" si="105"/>
        <v>0</v>
      </c>
      <c r="V277" s="1110">
        <f t="shared" si="100"/>
        <v>0</v>
      </c>
      <c r="X277" s="1102">
        <f t="shared" si="106"/>
        <v>0</v>
      </c>
      <c r="Y277" s="873">
        <f t="shared" si="107"/>
        <v>0</v>
      </c>
      <c r="Z277" s="873">
        <f t="shared" si="108"/>
        <v>0</v>
      </c>
      <c r="AA277" s="885">
        <f t="shared" si="109"/>
        <v>0</v>
      </c>
    </row>
    <row r="278" spans="2:27" s="278" customFormat="1" ht="12" customHeight="1" x14ac:dyDescent="0.25">
      <c r="B278" s="1192" t="e">
        <f t="shared" ref="B278:B341" si="114">B277+1</f>
        <v>#N/A</v>
      </c>
      <c r="C278" s="732">
        <f t="shared" si="101"/>
        <v>31</v>
      </c>
      <c r="D278" s="35">
        <f t="shared" si="102"/>
        <v>1</v>
      </c>
      <c r="E278" s="889">
        <f t="shared" si="95"/>
        <v>53723</v>
      </c>
      <c r="F278" s="822">
        <f t="shared" si="110"/>
        <v>1</v>
      </c>
      <c r="G278" s="500">
        <f t="shared" si="96"/>
        <v>31</v>
      </c>
      <c r="H278" s="126">
        <f t="shared" si="103"/>
        <v>0</v>
      </c>
      <c r="I278" s="1098">
        <f t="shared" si="97"/>
        <v>0</v>
      </c>
      <c r="J278" s="887">
        <f t="shared" ref="J278:J341" si="115">J277+1</f>
        <v>259</v>
      </c>
      <c r="K278" s="1099">
        <f t="shared" si="111"/>
        <v>259</v>
      </c>
      <c r="L278" s="891" t="str">
        <f t="shared" si="112"/>
        <v>January</v>
      </c>
      <c r="M278" s="888">
        <f t="shared" ref="M278:M341" si="116">IF($T$4="Annual",$M277+$I278,IF($T$4="Bi-Annual",$M277+$I277,IF($T$4="Monthly",$M277+$H277)))</f>
        <v>2047</v>
      </c>
      <c r="N278" s="883">
        <f t="shared" si="113"/>
        <v>0</v>
      </c>
      <c r="O278" s="883">
        <f t="shared" si="98"/>
        <v>0</v>
      </c>
      <c r="P278" s="1100"/>
      <c r="Q278" s="883">
        <f t="shared" si="104"/>
        <v>0</v>
      </c>
      <c r="R278" s="884">
        <f t="shared" si="99"/>
        <v>0</v>
      </c>
      <c r="S278" s="884">
        <f>IF(AND($AS$39="Early Payoff",J278&gt;=$S$13),0,IF($J278&lt;=$S$6,SUM($Q$20:$Q278),0))</f>
        <v>0</v>
      </c>
      <c r="T278" s="884">
        <f>IF(AND($AS$39="Early Payoff",J278&gt;=$S$13),0,IF($J278&lt;=$S$6,SUM($R$20:$R278),0))</f>
        <v>0</v>
      </c>
      <c r="U278" s="885">
        <f t="shared" si="105"/>
        <v>0</v>
      </c>
      <c r="V278" s="1110">
        <f t="shared" si="100"/>
        <v>0</v>
      </c>
      <c r="X278" s="1102">
        <f t="shared" si="106"/>
        <v>0</v>
      </c>
      <c r="Y278" s="873">
        <f t="shared" si="107"/>
        <v>0</v>
      </c>
      <c r="Z278" s="873">
        <f t="shared" si="108"/>
        <v>0</v>
      </c>
      <c r="AA278" s="885">
        <f t="shared" si="109"/>
        <v>0</v>
      </c>
    </row>
    <row r="279" spans="2:27" s="278" customFormat="1" ht="12" customHeight="1" x14ac:dyDescent="0.25">
      <c r="B279" s="1192" t="e">
        <f t="shared" si="114"/>
        <v>#N/A</v>
      </c>
      <c r="C279" s="732">
        <f t="shared" si="101"/>
        <v>28</v>
      </c>
      <c r="D279" s="35">
        <f t="shared" si="102"/>
        <v>2</v>
      </c>
      <c r="E279" s="889">
        <f t="shared" ref="E279:E342" si="117">DATE(M279,D279,C279)</f>
        <v>53751</v>
      </c>
      <c r="F279" s="822">
        <f t="shared" si="110"/>
        <v>2</v>
      </c>
      <c r="G279" s="500">
        <f t="shared" ref="G279:G342" si="118">E279-E278</f>
        <v>28</v>
      </c>
      <c r="H279" s="126">
        <f t="shared" si="103"/>
        <v>0</v>
      </c>
      <c r="I279" s="1098">
        <f t="shared" ref="I279:I342" si="119">IF($T$4="Annual",1,IF(AND($T$4="Bi-Annual",$F279&gt;$F280),1,IF(AND($T$4="Bi-Annual",$F279&lt;$F280),0,IF($T$4="Monthly",0,))))</f>
        <v>0</v>
      </c>
      <c r="J279" s="887">
        <f t="shared" si="115"/>
        <v>260</v>
      </c>
      <c r="K279" s="1099">
        <f t="shared" si="111"/>
        <v>260</v>
      </c>
      <c r="L279" s="891" t="str">
        <f t="shared" si="112"/>
        <v>February</v>
      </c>
      <c r="M279" s="888">
        <f t="shared" si="116"/>
        <v>2047</v>
      </c>
      <c r="N279" s="883">
        <f t="shared" si="113"/>
        <v>0</v>
      </c>
      <c r="O279" s="883">
        <f t="shared" si="98"/>
        <v>0</v>
      </c>
      <c r="P279" s="1100"/>
      <c r="Q279" s="883">
        <f t="shared" si="104"/>
        <v>0</v>
      </c>
      <c r="R279" s="884">
        <f t="shared" si="99"/>
        <v>0</v>
      </c>
      <c r="S279" s="884">
        <f>IF(AND($AS$39="Early Payoff",J279&gt;=$S$13),0,IF($J279&lt;=$S$6,SUM($Q$20:$Q279),0))</f>
        <v>0</v>
      </c>
      <c r="T279" s="884">
        <f>IF(AND($AS$39="Early Payoff",J279&gt;=$S$13),0,IF($J279&lt;=$S$6,SUM($R$20:$R279),0))</f>
        <v>0</v>
      </c>
      <c r="U279" s="885">
        <f t="shared" si="105"/>
        <v>0</v>
      </c>
      <c r="V279" s="1110">
        <f t="shared" si="100"/>
        <v>0</v>
      </c>
      <c r="X279" s="1102">
        <f t="shared" si="106"/>
        <v>0</v>
      </c>
      <c r="Y279" s="873">
        <f t="shared" si="107"/>
        <v>0</v>
      </c>
      <c r="Z279" s="873">
        <f t="shared" si="108"/>
        <v>0</v>
      </c>
      <c r="AA279" s="885">
        <f t="shared" si="109"/>
        <v>0</v>
      </c>
    </row>
    <row r="280" spans="2:27" s="278" customFormat="1" ht="12" customHeight="1" x14ac:dyDescent="0.25">
      <c r="B280" s="1192" t="e">
        <f t="shared" si="114"/>
        <v>#N/A</v>
      </c>
      <c r="C280" s="732">
        <f t="shared" si="101"/>
        <v>31</v>
      </c>
      <c r="D280" s="35">
        <f t="shared" si="102"/>
        <v>3</v>
      </c>
      <c r="E280" s="889">
        <f t="shared" si="117"/>
        <v>53782</v>
      </c>
      <c r="F280" s="822">
        <f t="shared" si="110"/>
        <v>3</v>
      </c>
      <c r="G280" s="500">
        <f t="shared" si="118"/>
        <v>31</v>
      </c>
      <c r="H280" s="126">
        <f t="shared" si="103"/>
        <v>0</v>
      </c>
      <c r="I280" s="1098">
        <f t="shared" si="119"/>
        <v>0</v>
      </c>
      <c r="J280" s="887">
        <f t="shared" si="115"/>
        <v>261</v>
      </c>
      <c r="K280" s="1099">
        <f t="shared" si="111"/>
        <v>261</v>
      </c>
      <c r="L280" s="891" t="str">
        <f t="shared" si="112"/>
        <v>March</v>
      </c>
      <c r="M280" s="888">
        <f t="shared" si="116"/>
        <v>2047</v>
      </c>
      <c r="N280" s="883">
        <f t="shared" si="113"/>
        <v>0</v>
      </c>
      <c r="O280" s="883">
        <f t="shared" si="98"/>
        <v>0</v>
      </c>
      <c r="P280" s="1100"/>
      <c r="Q280" s="883">
        <f t="shared" si="104"/>
        <v>0</v>
      </c>
      <c r="R280" s="884">
        <f t="shared" si="99"/>
        <v>0</v>
      </c>
      <c r="S280" s="884">
        <f>IF(AND($AS$39="Early Payoff",J280&gt;=$S$13),0,IF($J280&lt;=$S$6,SUM($Q$20:$Q280),0))</f>
        <v>0</v>
      </c>
      <c r="T280" s="884">
        <f>IF(AND($AS$39="Early Payoff",J280&gt;=$S$13),0,IF($J280&lt;=$S$6,SUM($R$20:$R280),0))</f>
        <v>0</v>
      </c>
      <c r="U280" s="885">
        <f t="shared" si="105"/>
        <v>0</v>
      </c>
      <c r="V280" s="1110">
        <f t="shared" si="100"/>
        <v>0</v>
      </c>
      <c r="X280" s="1102">
        <f t="shared" si="106"/>
        <v>0</v>
      </c>
      <c r="Y280" s="873">
        <f t="shared" si="107"/>
        <v>0</v>
      </c>
      <c r="Z280" s="873">
        <f t="shared" si="108"/>
        <v>0</v>
      </c>
      <c r="AA280" s="885">
        <f t="shared" si="109"/>
        <v>0</v>
      </c>
    </row>
    <row r="281" spans="2:27" s="278" customFormat="1" ht="12" customHeight="1" x14ac:dyDescent="0.25">
      <c r="B281" s="1192" t="e">
        <f t="shared" si="114"/>
        <v>#N/A</v>
      </c>
      <c r="C281" s="732">
        <f t="shared" si="101"/>
        <v>30</v>
      </c>
      <c r="D281" s="35">
        <f t="shared" si="102"/>
        <v>4</v>
      </c>
      <c r="E281" s="889">
        <f t="shared" si="117"/>
        <v>53812</v>
      </c>
      <c r="F281" s="822">
        <f t="shared" si="110"/>
        <v>4</v>
      </c>
      <c r="G281" s="500">
        <f t="shared" si="118"/>
        <v>30</v>
      </c>
      <c r="H281" s="126">
        <f t="shared" si="103"/>
        <v>0</v>
      </c>
      <c r="I281" s="1098">
        <f t="shared" si="119"/>
        <v>0</v>
      </c>
      <c r="J281" s="887">
        <f t="shared" si="115"/>
        <v>262</v>
      </c>
      <c r="K281" s="1099">
        <f t="shared" si="111"/>
        <v>262</v>
      </c>
      <c r="L281" s="891" t="str">
        <f t="shared" si="112"/>
        <v>April</v>
      </c>
      <c r="M281" s="888">
        <f t="shared" si="116"/>
        <v>2047</v>
      </c>
      <c r="N281" s="883">
        <f t="shared" si="113"/>
        <v>0</v>
      </c>
      <c r="O281" s="883">
        <f t="shared" ref="O281:O321" si="120">IF(AND($AS$39="Early Payoff",J281&gt;=$S$13),0,IF($J281&gt;$S$6,0,IF(AND($AR$29&gt;=0,$J281&lt;=$AR$29),0,IF(AND($AR$27&gt;=0,$J281&lt;=$AR$27),$R281,IF($K281=$T$7,SUM(R281,-N281),IF(AND($T$4="Annual",$AR$27&gt;=0,$AR$29&gt;=0,$J281&gt;$AR$27,$J281&gt;$AR$29),PMT($M$7,($S$6-$AR$27),$M$4),IF(AND($T$4="Bi-Annual",$AR$27&gt;=0,$AR$29&gt;=0,$J281&gt;$AR$27,$J281&gt;$AR$29),PMT($M$7/2,($S$6-($AR$27+1)),$M$4),IF(AND($T$4="Monthly",$AR$27&gt;=0,$AR$29&gt;=0,$J281&gt;$AR$27,$J281&gt;$AR$29),PMT($M$7/12,($S$6-$AR$27),$M$4)))))))))-P281</f>
        <v>0</v>
      </c>
      <c r="P281" s="1100"/>
      <c r="Q281" s="883">
        <f t="shared" si="104"/>
        <v>0</v>
      </c>
      <c r="R281" s="884">
        <f t="shared" si="99"/>
        <v>0</v>
      </c>
      <c r="S281" s="884">
        <f>IF(AND($AS$39="Early Payoff",J281&gt;=$S$13),0,IF($J281&lt;=$S$6,SUM($Q$20:$Q281),0))</f>
        <v>0</v>
      </c>
      <c r="T281" s="884">
        <f>IF(AND($AS$39="Early Payoff",J281&gt;=$S$13),0,IF($J281&lt;=$S$6,SUM($R$20:$R281),0))</f>
        <v>0</v>
      </c>
      <c r="U281" s="885">
        <f t="shared" si="105"/>
        <v>0</v>
      </c>
      <c r="V281" s="1110">
        <f t="shared" si="100"/>
        <v>0</v>
      </c>
      <c r="X281" s="1102">
        <f t="shared" si="106"/>
        <v>0</v>
      </c>
      <c r="Y281" s="873">
        <f t="shared" si="107"/>
        <v>0</v>
      </c>
      <c r="Z281" s="873">
        <f t="shared" si="108"/>
        <v>0</v>
      </c>
      <c r="AA281" s="885">
        <f t="shared" si="109"/>
        <v>0</v>
      </c>
    </row>
    <row r="282" spans="2:27" s="278" customFormat="1" ht="12" customHeight="1" x14ac:dyDescent="0.25">
      <c r="B282" s="1192" t="e">
        <f t="shared" si="114"/>
        <v>#N/A</v>
      </c>
      <c r="C282" s="732">
        <f t="shared" si="101"/>
        <v>31</v>
      </c>
      <c r="D282" s="35">
        <f t="shared" si="102"/>
        <v>5</v>
      </c>
      <c r="E282" s="889">
        <f t="shared" si="117"/>
        <v>53843</v>
      </c>
      <c r="F282" s="822">
        <f t="shared" si="110"/>
        <v>5</v>
      </c>
      <c r="G282" s="500">
        <f t="shared" si="118"/>
        <v>31</v>
      </c>
      <c r="H282" s="126">
        <f t="shared" si="103"/>
        <v>0</v>
      </c>
      <c r="I282" s="1098">
        <f t="shared" si="119"/>
        <v>0</v>
      </c>
      <c r="J282" s="887">
        <f t="shared" si="115"/>
        <v>263</v>
      </c>
      <c r="K282" s="1099">
        <f t="shared" si="111"/>
        <v>263</v>
      </c>
      <c r="L282" s="891" t="str">
        <f t="shared" si="112"/>
        <v>May</v>
      </c>
      <c r="M282" s="888">
        <f t="shared" si="116"/>
        <v>2047</v>
      </c>
      <c r="N282" s="883">
        <f t="shared" si="113"/>
        <v>0</v>
      </c>
      <c r="O282" s="883">
        <f t="shared" si="120"/>
        <v>0</v>
      </c>
      <c r="P282" s="1100"/>
      <c r="Q282" s="883">
        <f t="shared" si="104"/>
        <v>0</v>
      </c>
      <c r="R282" s="884">
        <f t="shared" si="99"/>
        <v>0</v>
      </c>
      <c r="S282" s="884">
        <f>IF(AND($AS$39="Early Payoff",J282&gt;=$S$13),0,IF($J282&lt;=$S$6,SUM($Q$20:$Q282),0))</f>
        <v>0</v>
      </c>
      <c r="T282" s="884">
        <f>IF(AND($AS$39="Early Payoff",J282&gt;=$S$13),0,IF($J282&lt;=$S$6,SUM($R$20:$R282),0))</f>
        <v>0</v>
      </c>
      <c r="U282" s="885">
        <f t="shared" si="105"/>
        <v>0</v>
      </c>
      <c r="V282" s="1110">
        <f t="shared" si="100"/>
        <v>0</v>
      </c>
      <c r="X282" s="1102">
        <f t="shared" si="106"/>
        <v>0</v>
      </c>
      <c r="Y282" s="873">
        <f t="shared" si="107"/>
        <v>0</v>
      </c>
      <c r="Z282" s="873">
        <f t="shared" si="108"/>
        <v>0</v>
      </c>
      <c r="AA282" s="885">
        <f t="shared" si="109"/>
        <v>0</v>
      </c>
    </row>
    <row r="283" spans="2:27" s="278" customFormat="1" ht="12" customHeight="1" x14ac:dyDescent="0.25">
      <c r="B283" s="1192" t="e">
        <f t="shared" si="114"/>
        <v>#N/A</v>
      </c>
      <c r="C283" s="732">
        <f t="shared" si="101"/>
        <v>30</v>
      </c>
      <c r="D283" s="35">
        <f t="shared" si="102"/>
        <v>6</v>
      </c>
      <c r="E283" s="889">
        <f t="shared" si="117"/>
        <v>53873</v>
      </c>
      <c r="F283" s="822">
        <f t="shared" si="110"/>
        <v>6</v>
      </c>
      <c r="G283" s="500">
        <f t="shared" si="118"/>
        <v>30</v>
      </c>
      <c r="H283" s="126">
        <f t="shared" si="103"/>
        <v>0</v>
      </c>
      <c r="I283" s="1098">
        <f t="shared" si="119"/>
        <v>0</v>
      </c>
      <c r="J283" s="887">
        <f t="shared" si="115"/>
        <v>264</v>
      </c>
      <c r="K283" s="1099">
        <f t="shared" si="111"/>
        <v>264</v>
      </c>
      <c r="L283" s="891" t="str">
        <f t="shared" si="112"/>
        <v>June</v>
      </c>
      <c r="M283" s="888">
        <f t="shared" si="116"/>
        <v>2047</v>
      </c>
      <c r="N283" s="883">
        <f t="shared" si="113"/>
        <v>0</v>
      </c>
      <c r="O283" s="883">
        <f t="shared" si="120"/>
        <v>0</v>
      </c>
      <c r="P283" s="1100"/>
      <c r="Q283" s="883">
        <f t="shared" si="104"/>
        <v>0</v>
      </c>
      <c r="R283" s="884">
        <f t="shared" si="99"/>
        <v>0</v>
      </c>
      <c r="S283" s="884">
        <f>IF(AND($AS$39="Early Payoff",J283&gt;=$S$13),0,IF($J283&lt;=$S$6,SUM($Q$20:$Q283),0))</f>
        <v>0</v>
      </c>
      <c r="T283" s="884">
        <f>IF(AND($AS$39="Early Payoff",J283&gt;=$S$13),0,IF($J283&lt;=$S$6,SUM($R$20:$R283),0))</f>
        <v>0</v>
      </c>
      <c r="U283" s="885">
        <f t="shared" si="105"/>
        <v>0</v>
      </c>
      <c r="V283" s="1110">
        <f t="shared" si="100"/>
        <v>0</v>
      </c>
      <c r="X283" s="1102">
        <f t="shared" si="106"/>
        <v>0</v>
      </c>
      <c r="Y283" s="873">
        <f t="shared" si="107"/>
        <v>0</v>
      </c>
      <c r="Z283" s="873">
        <f t="shared" si="108"/>
        <v>0</v>
      </c>
      <c r="AA283" s="885">
        <f t="shared" si="109"/>
        <v>0</v>
      </c>
    </row>
    <row r="284" spans="2:27" s="278" customFormat="1" ht="12" customHeight="1" x14ac:dyDescent="0.25">
      <c r="B284" s="1192" t="e">
        <f t="shared" si="114"/>
        <v>#N/A</v>
      </c>
      <c r="C284" s="732">
        <f t="shared" si="101"/>
        <v>31</v>
      </c>
      <c r="D284" s="35">
        <f t="shared" si="102"/>
        <v>7</v>
      </c>
      <c r="E284" s="889">
        <f t="shared" si="117"/>
        <v>53904</v>
      </c>
      <c r="F284" s="822">
        <f t="shared" si="110"/>
        <v>7</v>
      </c>
      <c r="G284" s="500">
        <f t="shared" si="118"/>
        <v>31</v>
      </c>
      <c r="H284" s="126">
        <f t="shared" si="103"/>
        <v>0</v>
      </c>
      <c r="I284" s="1098">
        <f t="shared" si="119"/>
        <v>0</v>
      </c>
      <c r="J284" s="887">
        <f t="shared" si="115"/>
        <v>265</v>
      </c>
      <c r="K284" s="1099">
        <f t="shared" si="111"/>
        <v>265</v>
      </c>
      <c r="L284" s="891" t="str">
        <f t="shared" si="112"/>
        <v>July</v>
      </c>
      <c r="M284" s="888">
        <f t="shared" si="116"/>
        <v>2047</v>
      </c>
      <c r="N284" s="883">
        <f t="shared" si="113"/>
        <v>0</v>
      </c>
      <c r="O284" s="883">
        <f t="shared" si="120"/>
        <v>0</v>
      </c>
      <c r="P284" s="1100"/>
      <c r="Q284" s="883">
        <f t="shared" si="104"/>
        <v>0</v>
      </c>
      <c r="R284" s="884">
        <f t="shared" si="99"/>
        <v>0</v>
      </c>
      <c r="S284" s="884">
        <f>IF(AND($AS$39="Early Payoff",J284&gt;=$S$13),0,IF($J284&lt;=$S$6,SUM($Q$20:$Q284),0))</f>
        <v>0</v>
      </c>
      <c r="T284" s="884">
        <f>IF(AND($AS$39="Early Payoff",J284&gt;=$S$13),0,IF($J284&lt;=$S$6,SUM($R$20:$R284),0))</f>
        <v>0</v>
      </c>
      <c r="U284" s="885">
        <f t="shared" si="105"/>
        <v>0</v>
      </c>
      <c r="V284" s="1110">
        <f t="shared" si="100"/>
        <v>0</v>
      </c>
      <c r="X284" s="1102">
        <f t="shared" si="106"/>
        <v>0</v>
      </c>
      <c r="Y284" s="873">
        <f t="shared" si="107"/>
        <v>0</v>
      </c>
      <c r="Z284" s="873">
        <f t="shared" si="108"/>
        <v>0</v>
      </c>
      <c r="AA284" s="885">
        <f t="shared" si="109"/>
        <v>0</v>
      </c>
    </row>
    <row r="285" spans="2:27" s="278" customFormat="1" ht="12" customHeight="1" x14ac:dyDescent="0.25">
      <c r="B285" s="1192" t="e">
        <f t="shared" si="114"/>
        <v>#N/A</v>
      </c>
      <c r="C285" s="732">
        <f t="shared" si="101"/>
        <v>31</v>
      </c>
      <c r="D285" s="35">
        <f t="shared" si="102"/>
        <v>8</v>
      </c>
      <c r="E285" s="889">
        <f t="shared" si="117"/>
        <v>53935</v>
      </c>
      <c r="F285" s="822">
        <f t="shared" si="110"/>
        <v>8</v>
      </c>
      <c r="G285" s="500">
        <f t="shared" si="118"/>
        <v>31</v>
      </c>
      <c r="H285" s="126">
        <f t="shared" si="103"/>
        <v>0</v>
      </c>
      <c r="I285" s="1098">
        <f t="shared" si="119"/>
        <v>0</v>
      </c>
      <c r="J285" s="887">
        <f t="shared" si="115"/>
        <v>266</v>
      </c>
      <c r="K285" s="1099">
        <f t="shared" si="111"/>
        <v>266</v>
      </c>
      <c r="L285" s="891" t="str">
        <f t="shared" si="112"/>
        <v>August</v>
      </c>
      <c r="M285" s="888">
        <f t="shared" si="116"/>
        <v>2047</v>
      </c>
      <c r="N285" s="883">
        <f t="shared" si="113"/>
        <v>0</v>
      </c>
      <c r="O285" s="883">
        <f t="shared" si="120"/>
        <v>0</v>
      </c>
      <c r="P285" s="1100"/>
      <c r="Q285" s="883">
        <f t="shared" si="104"/>
        <v>0</v>
      </c>
      <c r="R285" s="884">
        <f t="shared" si="99"/>
        <v>0</v>
      </c>
      <c r="S285" s="884">
        <f>IF(AND($AS$39="Early Payoff",J285&gt;=$S$13),0,IF($J285&lt;=$S$6,SUM($Q$20:$Q285),0))</f>
        <v>0</v>
      </c>
      <c r="T285" s="884">
        <f>IF(AND($AS$39="Early Payoff",J285&gt;=$S$13),0,IF($J285&lt;=$S$6,SUM($R$20:$R285),0))</f>
        <v>0</v>
      </c>
      <c r="U285" s="885">
        <f t="shared" si="105"/>
        <v>0</v>
      </c>
      <c r="V285" s="1110">
        <f t="shared" si="100"/>
        <v>0</v>
      </c>
      <c r="X285" s="1102">
        <f t="shared" si="106"/>
        <v>0</v>
      </c>
      <c r="Y285" s="873">
        <f t="shared" si="107"/>
        <v>0</v>
      </c>
      <c r="Z285" s="873">
        <f t="shared" si="108"/>
        <v>0</v>
      </c>
      <c r="AA285" s="885">
        <f t="shared" si="109"/>
        <v>0</v>
      </c>
    </row>
    <row r="286" spans="2:27" s="278" customFormat="1" ht="12" customHeight="1" x14ac:dyDescent="0.25">
      <c r="B286" s="1192" t="e">
        <f t="shared" si="114"/>
        <v>#N/A</v>
      </c>
      <c r="C286" s="732">
        <f t="shared" si="101"/>
        <v>30</v>
      </c>
      <c r="D286" s="35">
        <f t="shared" si="102"/>
        <v>9</v>
      </c>
      <c r="E286" s="889">
        <f t="shared" si="117"/>
        <v>53965</v>
      </c>
      <c r="F286" s="822">
        <f t="shared" si="110"/>
        <v>9</v>
      </c>
      <c r="G286" s="500">
        <f t="shared" si="118"/>
        <v>30</v>
      </c>
      <c r="H286" s="126">
        <f t="shared" si="103"/>
        <v>0</v>
      </c>
      <c r="I286" s="1098">
        <f t="shared" si="119"/>
        <v>0</v>
      </c>
      <c r="J286" s="887">
        <f t="shared" si="115"/>
        <v>267</v>
      </c>
      <c r="K286" s="1099">
        <f t="shared" si="111"/>
        <v>267</v>
      </c>
      <c r="L286" s="891" t="str">
        <f t="shared" si="112"/>
        <v>September</v>
      </c>
      <c r="M286" s="888">
        <f t="shared" si="116"/>
        <v>2047</v>
      </c>
      <c r="N286" s="883">
        <f t="shared" si="113"/>
        <v>0</v>
      </c>
      <c r="O286" s="883">
        <f t="shared" si="120"/>
        <v>0</v>
      </c>
      <c r="P286" s="1100"/>
      <c r="Q286" s="883">
        <f t="shared" si="104"/>
        <v>0</v>
      </c>
      <c r="R286" s="884">
        <f t="shared" si="99"/>
        <v>0</v>
      </c>
      <c r="S286" s="884">
        <f>IF(AND($AS$39="Early Payoff",J286&gt;=$S$13),0,IF($J286&lt;=$S$6,SUM($Q$20:$Q286),0))</f>
        <v>0</v>
      </c>
      <c r="T286" s="884">
        <f>IF(AND($AS$39="Early Payoff",J286&gt;=$S$13),0,IF($J286&lt;=$S$6,SUM($R$20:$R286),0))</f>
        <v>0</v>
      </c>
      <c r="U286" s="885">
        <f t="shared" si="105"/>
        <v>0</v>
      </c>
      <c r="V286" s="1110">
        <f t="shared" si="100"/>
        <v>0</v>
      </c>
      <c r="X286" s="1102">
        <f t="shared" si="106"/>
        <v>0</v>
      </c>
      <c r="Y286" s="873">
        <f t="shared" si="107"/>
        <v>0</v>
      </c>
      <c r="Z286" s="873">
        <f t="shared" si="108"/>
        <v>0</v>
      </c>
      <c r="AA286" s="885">
        <f t="shared" si="109"/>
        <v>0</v>
      </c>
    </row>
    <row r="287" spans="2:27" s="278" customFormat="1" ht="12" customHeight="1" x14ac:dyDescent="0.25">
      <c r="B287" s="1192" t="e">
        <f t="shared" si="114"/>
        <v>#N/A</v>
      </c>
      <c r="C287" s="732">
        <f t="shared" si="101"/>
        <v>31</v>
      </c>
      <c r="D287" s="35">
        <f t="shared" si="102"/>
        <v>10</v>
      </c>
      <c r="E287" s="889">
        <f t="shared" si="117"/>
        <v>53996</v>
      </c>
      <c r="F287" s="822">
        <f t="shared" si="110"/>
        <v>10</v>
      </c>
      <c r="G287" s="500">
        <f t="shared" si="118"/>
        <v>31</v>
      </c>
      <c r="H287" s="126">
        <f t="shared" si="103"/>
        <v>0</v>
      </c>
      <c r="I287" s="1098">
        <f t="shared" si="119"/>
        <v>0</v>
      </c>
      <c r="J287" s="887">
        <f t="shared" si="115"/>
        <v>268</v>
      </c>
      <c r="K287" s="1099">
        <f t="shared" si="111"/>
        <v>268</v>
      </c>
      <c r="L287" s="891" t="str">
        <f t="shared" si="112"/>
        <v>October</v>
      </c>
      <c r="M287" s="888">
        <f t="shared" si="116"/>
        <v>2047</v>
      </c>
      <c r="N287" s="883">
        <f t="shared" si="113"/>
        <v>0</v>
      </c>
      <c r="O287" s="883">
        <f t="shared" si="120"/>
        <v>0</v>
      </c>
      <c r="P287" s="1100"/>
      <c r="Q287" s="883">
        <f t="shared" si="104"/>
        <v>0</v>
      </c>
      <c r="R287" s="884">
        <f t="shared" si="99"/>
        <v>0</v>
      </c>
      <c r="S287" s="884">
        <f>IF(AND($AS$39="Early Payoff",J287&gt;=$S$13),0,IF($J287&lt;=$S$6,SUM($Q$20:$Q287),0))</f>
        <v>0</v>
      </c>
      <c r="T287" s="884">
        <f>IF(AND($AS$39="Early Payoff",J287&gt;=$S$13),0,IF($J287&lt;=$S$6,SUM($R$20:$R287),0))</f>
        <v>0</v>
      </c>
      <c r="U287" s="885">
        <f t="shared" si="105"/>
        <v>0</v>
      </c>
      <c r="V287" s="1110">
        <f t="shared" si="100"/>
        <v>0</v>
      </c>
      <c r="X287" s="1102">
        <f t="shared" si="106"/>
        <v>0</v>
      </c>
      <c r="Y287" s="873">
        <f t="shared" si="107"/>
        <v>0</v>
      </c>
      <c r="Z287" s="873">
        <f t="shared" si="108"/>
        <v>0</v>
      </c>
      <c r="AA287" s="885">
        <f t="shared" si="109"/>
        <v>0</v>
      </c>
    </row>
    <row r="288" spans="2:27" s="278" customFormat="1" ht="12" customHeight="1" x14ac:dyDescent="0.25">
      <c r="B288" s="1192" t="e">
        <f t="shared" si="114"/>
        <v>#N/A</v>
      </c>
      <c r="C288" s="732">
        <f t="shared" si="101"/>
        <v>30</v>
      </c>
      <c r="D288" s="35">
        <f t="shared" si="102"/>
        <v>11</v>
      </c>
      <c r="E288" s="889">
        <f t="shared" si="117"/>
        <v>54026</v>
      </c>
      <c r="F288" s="822">
        <f t="shared" si="110"/>
        <v>11</v>
      </c>
      <c r="G288" s="500">
        <f t="shared" si="118"/>
        <v>30</v>
      </c>
      <c r="H288" s="126">
        <f t="shared" si="103"/>
        <v>0</v>
      </c>
      <c r="I288" s="1098">
        <f t="shared" si="119"/>
        <v>0</v>
      </c>
      <c r="J288" s="887">
        <f t="shared" si="115"/>
        <v>269</v>
      </c>
      <c r="K288" s="1099">
        <f t="shared" si="111"/>
        <v>269</v>
      </c>
      <c r="L288" s="891" t="str">
        <f t="shared" si="112"/>
        <v>November</v>
      </c>
      <c r="M288" s="888">
        <f t="shared" si="116"/>
        <v>2047</v>
      </c>
      <c r="N288" s="883">
        <f t="shared" si="113"/>
        <v>0</v>
      </c>
      <c r="O288" s="883">
        <f t="shared" si="120"/>
        <v>0</v>
      </c>
      <c r="P288" s="1100"/>
      <c r="Q288" s="883">
        <f t="shared" si="104"/>
        <v>0</v>
      </c>
      <c r="R288" s="884">
        <f t="shared" si="99"/>
        <v>0</v>
      </c>
      <c r="S288" s="884">
        <f>IF(AND($AS$39="Early Payoff",J288&gt;=$S$13),0,IF($J288&lt;=$S$6,SUM($Q$20:$Q288),0))</f>
        <v>0</v>
      </c>
      <c r="T288" s="884">
        <f>IF(AND($AS$39="Early Payoff",J288&gt;=$S$13),0,IF($J288&lt;=$S$6,SUM($R$20:$R288),0))</f>
        <v>0</v>
      </c>
      <c r="U288" s="885">
        <f t="shared" si="105"/>
        <v>0</v>
      </c>
      <c r="V288" s="1110">
        <f t="shared" si="100"/>
        <v>0</v>
      </c>
      <c r="X288" s="1102">
        <f t="shared" si="106"/>
        <v>0</v>
      </c>
      <c r="Y288" s="873">
        <f t="shared" si="107"/>
        <v>0</v>
      </c>
      <c r="Z288" s="873">
        <f t="shared" si="108"/>
        <v>0</v>
      </c>
      <c r="AA288" s="885">
        <f t="shared" si="109"/>
        <v>0</v>
      </c>
    </row>
    <row r="289" spans="2:27" s="278" customFormat="1" ht="12" customHeight="1" x14ac:dyDescent="0.25">
      <c r="B289" s="1192" t="e">
        <f t="shared" si="114"/>
        <v>#N/A</v>
      </c>
      <c r="C289" s="732">
        <f t="shared" si="101"/>
        <v>31</v>
      </c>
      <c r="D289" s="35">
        <f t="shared" si="102"/>
        <v>12</v>
      </c>
      <c r="E289" s="889">
        <f t="shared" si="117"/>
        <v>54057</v>
      </c>
      <c r="F289" s="822">
        <f t="shared" si="110"/>
        <v>12</v>
      </c>
      <c r="G289" s="500">
        <f t="shared" si="118"/>
        <v>31</v>
      </c>
      <c r="H289" s="126">
        <f t="shared" si="103"/>
        <v>1</v>
      </c>
      <c r="I289" s="1098">
        <f t="shared" si="119"/>
        <v>0</v>
      </c>
      <c r="J289" s="887">
        <f t="shared" si="115"/>
        <v>270</v>
      </c>
      <c r="K289" s="1099">
        <f t="shared" si="111"/>
        <v>270</v>
      </c>
      <c r="L289" s="891" t="str">
        <f t="shared" si="112"/>
        <v>December</v>
      </c>
      <c r="M289" s="888">
        <f t="shared" si="116"/>
        <v>2047</v>
      </c>
      <c r="N289" s="883">
        <f t="shared" si="113"/>
        <v>0</v>
      </c>
      <c r="O289" s="883">
        <f t="shared" si="120"/>
        <v>0</v>
      </c>
      <c r="P289" s="1100"/>
      <c r="Q289" s="883">
        <f t="shared" si="104"/>
        <v>0</v>
      </c>
      <c r="R289" s="884">
        <f t="shared" si="99"/>
        <v>0</v>
      </c>
      <c r="S289" s="884">
        <f>IF(AND($AS$39="Early Payoff",J289&gt;=$S$13),0,IF($J289&lt;=$S$6,SUM($Q$20:$Q289),0))</f>
        <v>0</v>
      </c>
      <c r="T289" s="884">
        <f>IF(AND($AS$39="Early Payoff",J289&gt;=$S$13),0,IF($J289&lt;=$S$6,SUM($R$20:$R289),0))</f>
        <v>0</v>
      </c>
      <c r="U289" s="885">
        <f t="shared" si="105"/>
        <v>0</v>
      </c>
      <c r="V289" s="1110">
        <f t="shared" si="100"/>
        <v>0</v>
      </c>
      <c r="X289" s="1102">
        <f t="shared" si="106"/>
        <v>0</v>
      </c>
      <c r="Y289" s="873">
        <f t="shared" si="107"/>
        <v>0</v>
      </c>
      <c r="Z289" s="873">
        <f t="shared" si="108"/>
        <v>0</v>
      </c>
      <c r="AA289" s="885">
        <f t="shared" si="109"/>
        <v>0</v>
      </c>
    </row>
    <row r="290" spans="2:27" s="278" customFormat="1" ht="12" customHeight="1" x14ac:dyDescent="0.25">
      <c r="B290" s="1192" t="e">
        <f t="shared" si="114"/>
        <v>#N/A</v>
      </c>
      <c r="C290" s="732">
        <f t="shared" si="101"/>
        <v>31</v>
      </c>
      <c r="D290" s="35">
        <f t="shared" si="102"/>
        <v>1</v>
      </c>
      <c r="E290" s="889">
        <f t="shared" si="117"/>
        <v>54088</v>
      </c>
      <c r="F290" s="822">
        <f t="shared" si="110"/>
        <v>1</v>
      </c>
      <c r="G290" s="500">
        <f t="shared" si="118"/>
        <v>31</v>
      </c>
      <c r="H290" s="126">
        <f t="shared" si="103"/>
        <v>0</v>
      </c>
      <c r="I290" s="1098">
        <f t="shared" si="119"/>
        <v>0</v>
      </c>
      <c r="J290" s="887">
        <f t="shared" si="115"/>
        <v>271</v>
      </c>
      <c r="K290" s="1099">
        <f t="shared" si="111"/>
        <v>271</v>
      </c>
      <c r="L290" s="891" t="str">
        <f t="shared" si="112"/>
        <v>January</v>
      </c>
      <c r="M290" s="888">
        <f t="shared" si="116"/>
        <v>2048</v>
      </c>
      <c r="N290" s="883">
        <f t="shared" si="113"/>
        <v>0</v>
      </c>
      <c r="O290" s="883">
        <f t="shared" si="120"/>
        <v>0</v>
      </c>
      <c r="P290" s="1100"/>
      <c r="Q290" s="883">
        <f t="shared" si="104"/>
        <v>0</v>
      </c>
      <c r="R290" s="884">
        <f t="shared" si="99"/>
        <v>0</v>
      </c>
      <c r="S290" s="884">
        <f>IF(AND($AS$39="Early Payoff",J290&gt;=$S$13),0,IF($J290&lt;=$S$6,SUM($Q$20:$Q290),0))</f>
        <v>0</v>
      </c>
      <c r="T290" s="884">
        <f>IF(AND($AS$39="Early Payoff",J290&gt;=$S$13),0,IF($J290&lt;=$S$6,SUM($R$20:$R290),0))</f>
        <v>0</v>
      </c>
      <c r="U290" s="885">
        <f t="shared" si="105"/>
        <v>0</v>
      </c>
      <c r="V290" s="1110">
        <f t="shared" si="100"/>
        <v>0</v>
      </c>
      <c r="X290" s="1102">
        <f t="shared" si="106"/>
        <v>0</v>
      </c>
      <c r="Y290" s="873">
        <f t="shared" si="107"/>
        <v>0</v>
      </c>
      <c r="Z290" s="873">
        <f t="shared" si="108"/>
        <v>0</v>
      </c>
      <c r="AA290" s="885">
        <f t="shared" si="109"/>
        <v>0</v>
      </c>
    </row>
    <row r="291" spans="2:27" s="278" customFormat="1" ht="12" customHeight="1" x14ac:dyDescent="0.25">
      <c r="B291" s="1192" t="e">
        <f t="shared" si="114"/>
        <v>#N/A</v>
      </c>
      <c r="C291" s="732">
        <f t="shared" si="101"/>
        <v>29</v>
      </c>
      <c r="D291" s="35">
        <f t="shared" si="102"/>
        <v>2</v>
      </c>
      <c r="E291" s="889">
        <f t="shared" si="117"/>
        <v>54117</v>
      </c>
      <c r="F291" s="822">
        <f t="shared" si="110"/>
        <v>2</v>
      </c>
      <c r="G291" s="500">
        <f t="shared" si="118"/>
        <v>29</v>
      </c>
      <c r="H291" s="126">
        <f t="shared" si="103"/>
        <v>0</v>
      </c>
      <c r="I291" s="1098">
        <f t="shared" si="119"/>
        <v>0</v>
      </c>
      <c r="J291" s="887">
        <f t="shared" si="115"/>
        <v>272</v>
      </c>
      <c r="K291" s="1099">
        <f t="shared" si="111"/>
        <v>272</v>
      </c>
      <c r="L291" s="891" t="str">
        <f t="shared" si="112"/>
        <v>February</v>
      </c>
      <c r="M291" s="888">
        <f t="shared" si="116"/>
        <v>2048</v>
      </c>
      <c r="N291" s="883">
        <f t="shared" si="113"/>
        <v>0</v>
      </c>
      <c r="O291" s="883">
        <f t="shared" si="120"/>
        <v>0</v>
      </c>
      <c r="P291" s="1100"/>
      <c r="Q291" s="883">
        <f t="shared" si="104"/>
        <v>0</v>
      </c>
      <c r="R291" s="884">
        <f t="shared" si="99"/>
        <v>0</v>
      </c>
      <c r="S291" s="884">
        <f>IF(AND($AS$39="Early Payoff",J291&gt;=$S$13),0,IF($J291&lt;=$S$6,SUM($Q$20:$Q291),0))</f>
        <v>0</v>
      </c>
      <c r="T291" s="884">
        <f>IF(AND($AS$39="Early Payoff",J291&gt;=$S$13),0,IF($J291&lt;=$S$6,SUM($R$20:$R291),0))</f>
        <v>0</v>
      </c>
      <c r="U291" s="885">
        <f t="shared" si="105"/>
        <v>0</v>
      </c>
      <c r="V291" s="1110">
        <f t="shared" si="100"/>
        <v>0</v>
      </c>
      <c r="X291" s="1102">
        <f t="shared" si="106"/>
        <v>0</v>
      </c>
      <c r="Y291" s="873">
        <f t="shared" si="107"/>
        <v>0</v>
      </c>
      <c r="Z291" s="873">
        <f t="shared" si="108"/>
        <v>0</v>
      </c>
      <c r="AA291" s="885">
        <f t="shared" si="109"/>
        <v>0</v>
      </c>
    </row>
    <row r="292" spans="2:27" s="278" customFormat="1" ht="12" customHeight="1" x14ac:dyDescent="0.25">
      <c r="B292" s="1192" t="e">
        <f t="shared" si="114"/>
        <v>#N/A</v>
      </c>
      <c r="C292" s="732">
        <f t="shared" si="101"/>
        <v>31</v>
      </c>
      <c r="D292" s="35">
        <f t="shared" si="102"/>
        <v>3</v>
      </c>
      <c r="E292" s="889">
        <f t="shared" si="117"/>
        <v>54148</v>
      </c>
      <c r="F292" s="822">
        <f t="shared" si="110"/>
        <v>3</v>
      </c>
      <c r="G292" s="500">
        <f t="shared" si="118"/>
        <v>31</v>
      </c>
      <c r="H292" s="126">
        <f t="shared" si="103"/>
        <v>0</v>
      </c>
      <c r="I292" s="1098">
        <f t="shared" si="119"/>
        <v>0</v>
      </c>
      <c r="J292" s="887">
        <f t="shared" si="115"/>
        <v>273</v>
      </c>
      <c r="K292" s="1099">
        <f t="shared" si="111"/>
        <v>273</v>
      </c>
      <c r="L292" s="891" t="str">
        <f t="shared" si="112"/>
        <v>March</v>
      </c>
      <c r="M292" s="888">
        <f t="shared" si="116"/>
        <v>2048</v>
      </c>
      <c r="N292" s="883">
        <f t="shared" si="113"/>
        <v>0</v>
      </c>
      <c r="O292" s="883">
        <f t="shared" si="120"/>
        <v>0</v>
      </c>
      <c r="P292" s="1100"/>
      <c r="Q292" s="883">
        <f t="shared" si="104"/>
        <v>0</v>
      </c>
      <c r="R292" s="884">
        <f t="shared" si="99"/>
        <v>0</v>
      </c>
      <c r="S292" s="884">
        <f>IF(AND($AS$39="Early Payoff",J292&gt;=$S$13),0,IF($J292&lt;=$S$6,SUM($Q$20:$Q292),0))</f>
        <v>0</v>
      </c>
      <c r="T292" s="884">
        <f>IF(AND($AS$39="Early Payoff",J292&gt;=$S$13),0,IF($J292&lt;=$S$6,SUM($R$20:$R292),0))</f>
        <v>0</v>
      </c>
      <c r="U292" s="885">
        <f t="shared" si="105"/>
        <v>0</v>
      </c>
      <c r="V292" s="1110">
        <f t="shared" si="100"/>
        <v>0</v>
      </c>
      <c r="X292" s="1102">
        <f t="shared" si="106"/>
        <v>0</v>
      </c>
      <c r="Y292" s="873">
        <f t="shared" si="107"/>
        <v>0</v>
      </c>
      <c r="Z292" s="873">
        <f t="shared" si="108"/>
        <v>0</v>
      </c>
      <c r="AA292" s="885">
        <f t="shared" si="109"/>
        <v>0</v>
      </c>
    </row>
    <row r="293" spans="2:27" s="278" customFormat="1" ht="12" customHeight="1" x14ac:dyDescent="0.25">
      <c r="B293" s="1192" t="e">
        <f t="shared" si="114"/>
        <v>#N/A</v>
      </c>
      <c r="C293" s="732">
        <f t="shared" si="101"/>
        <v>30</v>
      </c>
      <c r="D293" s="35">
        <f t="shared" si="102"/>
        <v>4</v>
      </c>
      <c r="E293" s="889">
        <f t="shared" si="117"/>
        <v>54178</v>
      </c>
      <c r="F293" s="822">
        <f t="shared" si="110"/>
        <v>4</v>
      </c>
      <c r="G293" s="500">
        <f t="shared" si="118"/>
        <v>30</v>
      </c>
      <c r="H293" s="126">
        <f t="shared" si="103"/>
        <v>0</v>
      </c>
      <c r="I293" s="1098">
        <f t="shared" si="119"/>
        <v>0</v>
      </c>
      <c r="J293" s="887">
        <f t="shared" si="115"/>
        <v>274</v>
      </c>
      <c r="K293" s="1099">
        <f t="shared" si="111"/>
        <v>274</v>
      </c>
      <c r="L293" s="891" t="str">
        <f t="shared" si="112"/>
        <v>April</v>
      </c>
      <c r="M293" s="888">
        <f t="shared" si="116"/>
        <v>2048</v>
      </c>
      <c r="N293" s="883">
        <f t="shared" si="113"/>
        <v>0</v>
      </c>
      <c r="O293" s="883">
        <f t="shared" si="120"/>
        <v>0</v>
      </c>
      <c r="P293" s="1100"/>
      <c r="Q293" s="883">
        <f t="shared" si="104"/>
        <v>0</v>
      </c>
      <c r="R293" s="884">
        <f t="shared" si="99"/>
        <v>0</v>
      </c>
      <c r="S293" s="884">
        <f>IF(AND($AS$39="Early Payoff",J293&gt;=$S$13),0,IF($J293&lt;=$S$6,SUM($Q$20:$Q293),0))</f>
        <v>0</v>
      </c>
      <c r="T293" s="884">
        <f>IF(AND($AS$39="Early Payoff",J293&gt;=$S$13),0,IF($J293&lt;=$S$6,SUM($R$20:$R293),0))</f>
        <v>0</v>
      </c>
      <c r="U293" s="885">
        <f t="shared" si="105"/>
        <v>0</v>
      </c>
      <c r="V293" s="1110">
        <f t="shared" si="100"/>
        <v>0</v>
      </c>
      <c r="X293" s="1102">
        <f t="shared" si="106"/>
        <v>0</v>
      </c>
      <c r="Y293" s="873">
        <f t="shared" si="107"/>
        <v>0</v>
      </c>
      <c r="Z293" s="873">
        <f t="shared" si="108"/>
        <v>0</v>
      </c>
      <c r="AA293" s="885">
        <f t="shared" si="109"/>
        <v>0</v>
      </c>
    </row>
    <row r="294" spans="2:27" s="278" customFormat="1" ht="12" customHeight="1" x14ac:dyDescent="0.25">
      <c r="B294" s="1192" t="e">
        <f t="shared" si="114"/>
        <v>#N/A</v>
      </c>
      <c r="C294" s="732">
        <f t="shared" si="101"/>
        <v>31</v>
      </c>
      <c r="D294" s="35">
        <f t="shared" si="102"/>
        <v>5</v>
      </c>
      <c r="E294" s="889">
        <f t="shared" si="117"/>
        <v>54209</v>
      </c>
      <c r="F294" s="822">
        <f t="shared" si="110"/>
        <v>5</v>
      </c>
      <c r="G294" s="500">
        <f t="shared" si="118"/>
        <v>31</v>
      </c>
      <c r="H294" s="126">
        <f t="shared" si="103"/>
        <v>0</v>
      </c>
      <c r="I294" s="1098">
        <f t="shared" si="119"/>
        <v>0</v>
      </c>
      <c r="J294" s="887">
        <f t="shared" si="115"/>
        <v>275</v>
      </c>
      <c r="K294" s="1099">
        <f t="shared" si="111"/>
        <v>275</v>
      </c>
      <c r="L294" s="891" t="str">
        <f t="shared" si="112"/>
        <v>May</v>
      </c>
      <c r="M294" s="888">
        <f t="shared" si="116"/>
        <v>2048</v>
      </c>
      <c r="N294" s="883">
        <f t="shared" si="113"/>
        <v>0</v>
      </c>
      <c r="O294" s="883">
        <f t="shared" si="120"/>
        <v>0</v>
      </c>
      <c r="P294" s="1100"/>
      <c r="Q294" s="883">
        <f t="shared" si="104"/>
        <v>0</v>
      </c>
      <c r="R294" s="884">
        <f t="shared" si="99"/>
        <v>0</v>
      </c>
      <c r="S294" s="884">
        <f>IF(AND($AS$39="Early Payoff",J294&gt;=$S$13),0,IF($J294&lt;=$S$6,SUM($Q$20:$Q294),0))</f>
        <v>0</v>
      </c>
      <c r="T294" s="884">
        <f>IF(AND($AS$39="Early Payoff",J294&gt;=$S$13),0,IF($J294&lt;=$S$6,SUM($R$20:$R294),0))</f>
        <v>0</v>
      </c>
      <c r="U294" s="885">
        <f t="shared" si="105"/>
        <v>0</v>
      </c>
      <c r="V294" s="1110">
        <f t="shared" si="100"/>
        <v>0</v>
      </c>
      <c r="X294" s="1102">
        <f t="shared" si="106"/>
        <v>0</v>
      </c>
      <c r="Y294" s="873">
        <f t="shared" si="107"/>
        <v>0</v>
      </c>
      <c r="Z294" s="873">
        <f t="shared" si="108"/>
        <v>0</v>
      </c>
      <c r="AA294" s="885">
        <f t="shared" si="109"/>
        <v>0</v>
      </c>
    </row>
    <row r="295" spans="2:27" s="278" customFormat="1" ht="12" customHeight="1" x14ac:dyDescent="0.25">
      <c r="B295" s="1192" t="e">
        <f t="shared" si="114"/>
        <v>#N/A</v>
      </c>
      <c r="C295" s="732">
        <f t="shared" si="101"/>
        <v>30</v>
      </c>
      <c r="D295" s="35">
        <f t="shared" si="102"/>
        <v>6</v>
      </c>
      <c r="E295" s="889">
        <f t="shared" si="117"/>
        <v>54239</v>
      </c>
      <c r="F295" s="822">
        <f t="shared" si="110"/>
        <v>6</v>
      </c>
      <c r="G295" s="500">
        <f t="shared" si="118"/>
        <v>30</v>
      </c>
      <c r="H295" s="126">
        <f t="shared" si="103"/>
        <v>0</v>
      </c>
      <c r="I295" s="1098">
        <f t="shared" si="119"/>
        <v>0</v>
      </c>
      <c r="J295" s="887">
        <f t="shared" si="115"/>
        <v>276</v>
      </c>
      <c r="K295" s="1099">
        <f t="shared" si="111"/>
        <v>276</v>
      </c>
      <c r="L295" s="891" t="str">
        <f t="shared" si="112"/>
        <v>June</v>
      </c>
      <c r="M295" s="888">
        <f t="shared" si="116"/>
        <v>2048</v>
      </c>
      <c r="N295" s="883">
        <f t="shared" si="113"/>
        <v>0</v>
      </c>
      <c r="O295" s="883">
        <f t="shared" si="120"/>
        <v>0</v>
      </c>
      <c r="P295" s="1100"/>
      <c r="Q295" s="883">
        <f t="shared" si="104"/>
        <v>0</v>
      </c>
      <c r="R295" s="884">
        <f t="shared" si="99"/>
        <v>0</v>
      </c>
      <c r="S295" s="884">
        <f>IF(AND($AS$39="Early Payoff",J295&gt;=$S$13),0,IF($J295&lt;=$S$6,SUM($Q$20:$Q295),0))</f>
        <v>0</v>
      </c>
      <c r="T295" s="884">
        <f>IF(AND($AS$39="Early Payoff",J295&gt;=$S$13),0,IF($J295&lt;=$S$6,SUM($R$20:$R295),0))</f>
        <v>0</v>
      </c>
      <c r="U295" s="885">
        <f t="shared" si="105"/>
        <v>0</v>
      </c>
      <c r="V295" s="1110">
        <f t="shared" si="100"/>
        <v>0</v>
      </c>
      <c r="X295" s="1102">
        <f t="shared" si="106"/>
        <v>0</v>
      </c>
      <c r="Y295" s="873">
        <f t="shared" si="107"/>
        <v>0</v>
      </c>
      <c r="Z295" s="873">
        <f t="shared" si="108"/>
        <v>0</v>
      </c>
      <c r="AA295" s="885">
        <f t="shared" si="109"/>
        <v>0</v>
      </c>
    </row>
    <row r="296" spans="2:27" s="278" customFormat="1" ht="12" customHeight="1" x14ac:dyDescent="0.25">
      <c r="B296" s="1192" t="e">
        <f t="shared" si="114"/>
        <v>#N/A</v>
      </c>
      <c r="C296" s="732">
        <f t="shared" si="101"/>
        <v>31</v>
      </c>
      <c r="D296" s="35">
        <f t="shared" si="102"/>
        <v>7</v>
      </c>
      <c r="E296" s="889">
        <f t="shared" si="117"/>
        <v>54270</v>
      </c>
      <c r="F296" s="822">
        <f t="shared" si="110"/>
        <v>7</v>
      </c>
      <c r="G296" s="500">
        <f t="shared" si="118"/>
        <v>31</v>
      </c>
      <c r="H296" s="126">
        <f t="shared" si="103"/>
        <v>0</v>
      </c>
      <c r="I296" s="1098">
        <f t="shared" si="119"/>
        <v>0</v>
      </c>
      <c r="J296" s="887">
        <f t="shared" si="115"/>
        <v>277</v>
      </c>
      <c r="K296" s="1099">
        <f t="shared" si="111"/>
        <v>277</v>
      </c>
      <c r="L296" s="891" t="str">
        <f t="shared" si="112"/>
        <v>July</v>
      </c>
      <c r="M296" s="888">
        <f t="shared" si="116"/>
        <v>2048</v>
      </c>
      <c r="N296" s="883">
        <f t="shared" si="113"/>
        <v>0</v>
      </c>
      <c r="O296" s="883">
        <f t="shared" si="120"/>
        <v>0</v>
      </c>
      <c r="P296" s="1100"/>
      <c r="Q296" s="883">
        <f t="shared" si="104"/>
        <v>0</v>
      </c>
      <c r="R296" s="884">
        <f t="shared" si="99"/>
        <v>0</v>
      </c>
      <c r="S296" s="884">
        <f>IF(AND($AS$39="Early Payoff",J296&gt;=$S$13),0,IF($J296&lt;=$S$6,SUM($Q$20:$Q296),0))</f>
        <v>0</v>
      </c>
      <c r="T296" s="884">
        <f>IF(AND($AS$39="Early Payoff",J296&gt;=$S$13),0,IF($J296&lt;=$S$6,SUM($R$20:$R296),0))</f>
        <v>0</v>
      </c>
      <c r="U296" s="885">
        <f t="shared" si="105"/>
        <v>0</v>
      </c>
      <c r="V296" s="1110">
        <f t="shared" si="100"/>
        <v>0</v>
      </c>
      <c r="X296" s="1102">
        <f t="shared" si="106"/>
        <v>0</v>
      </c>
      <c r="Y296" s="873">
        <f t="shared" si="107"/>
        <v>0</v>
      </c>
      <c r="Z296" s="873">
        <f t="shared" si="108"/>
        <v>0</v>
      </c>
      <c r="AA296" s="885">
        <f t="shared" si="109"/>
        <v>0</v>
      </c>
    </row>
    <row r="297" spans="2:27" s="278" customFormat="1" ht="12" customHeight="1" x14ac:dyDescent="0.25">
      <c r="B297" s="1192" t="e">
        <f t="shared" si="114"/>
        <v>#N/A</v>
      </c>
      <c r="C297" s="732">
        <f t="shared" si="101"/>
        <v>31</v>
      </c>
      <c r="D297" s="35">
        <f t="shared" si="102"/>
        <v>8</v>
      </c>
      <c r="E297" s="889">
        <f t="shared" si="117"/>
        <v>54301</v>
      </c>
      <c r="F297" s="822">
        <f t="shared" si="110"/>
        <v>8</v>
      </c>
      <c r="G297" s="500">
        <f t="shared" si="118"/>
        <v>31</v>
      </c>
      <c r="H297" s="126">
        <f t="shared" si="103"/>
        <v>0</v>
      </c>
      <c r="I297" s="1098">
        <f t="shared" si="119"/>
        <v>0</v>
      </c>
      <c r="J297" s="887">
        <f t="shared" si="115"/>
        <v>278</v>
      </c>
      <c r="K297" s="1099">
        <f t="shared" si="111"/>
        <v>278</v>
      </c>
      <c r="L297" s="891" t="str">
        <f t="shared" si="112"/>
        <v>August</v>
      </c>
      <c r="M297" s="888">
        <f t="shared" si="116"/>
        <v>2048</v>
      </c>
      <c r="N297" s="883">
        <f t="shared" si="113"/>
        <v>0</v>
      </c>
      <c r="O297" s="883">
        <f t="shared" si="120"/>
        <v>0</v>
      </c>
      <c r="P297" s="1100"/>
      <c r="Q297" s="883">
        <f t="shared" si="104"/>
        <v>0</v>
      </c>
      <c r="R297" s="884">
        <f t="shared" si="99"/>
        <v>0</v>
      </c>
      <c r="S297" s="884">
        <f>IF(AND($AS$39="Early Payoff",J297&gt;=$S$13),0,IF($J297&lt;=$S$6,SUM($Q$20:$Q297),0))</f>
        <v>0</v>
      </c>
      <c r="T297" s="884">
        <f>IF(AND($AS$39="Early Payoff",J297&gt;=$S$13),0,IF($J297&lt;=$S$6,SUM($R$20:$R297),0))</f>
        <v>0</v>
      </c>
      <c r="U297" s="885">
        <f t="shared" si="105"/>
        <v>0</v>
      </c>
      <c r="V297" s="1110">
        <f t="shared" si="100"/>
        <v>0</v>
      </c>
      <c r="X297" s="1102">
        <f t="shared" si="106"/>
        <v>0</v>
      </c>
      <c r="Y297" s="873">
        <f t="shared" si="107"/>
        <v>0</v>
      </c>
      <c r="Z297" s="873">
        <f t="shared" si="108"/>
        <v>0</v>
      </c>
      <c r="AA297" s="885">
        <f t="shared" si="109"/>
        <v>0</v>
      </c>
    </row>
    <row r="298" spans="2:27" s="278" customFormat="1" ht="12" customHeight="1" x14ac:dyDescent="0.25">
      <c r="B298" s="1192" t="e">
        <f t="shared" si="114"/>
        <v>#N/A</v>
      </c>
      <c r="C298" s="732">
        <f t="shared" si="101"/>
        <v>30</v>
      </c>
      <c r="D298" s="35">
        <f t="shared" si="102"/>
        <v>9</v>
      </c>
      <c r="E298" s="889">
        <f t="shared" si="117"/>
        <v>54331</v>
      </c>
      <c r="F298" s="822">
        <f t="shared" si="110"/>
        <v>9</v>
      </c>
      <c r="G298" s="500">
        <f t="shared" si="118"/>
        <v>30</v>
      </c>
      <c r="H298" s="126">
        <f t="shared" si="103"/>
        <v>0</v>
      </c>
      <c r="I298" s="1098">
        <f t="shared" si="119"/>
        <v>0</v>
      </c>
      <c r="J298" s="887">
        <f t="shared" si="115"/>
        <v>279</v>
      </c>
      <c r="K298" s="1099">
        <f t="shared" si="111"/>
        <v>279</v>
      </c>
      <c r="L298" s="891" t="str">
        <f t="shared" si="112"/>
        <v>September</v>
      </c>
      <c r="M298" s="888">
        <f t="shared" si="116"/>
        <v>2048</v>
      </c>
      <c r="N298" s="883">
        <f t="shared" si="113"/>
        <v>0</v>
      </c>
      <c r="O298" s="883">
        <f t="shared" si="120"/>
        <v>0</v>
      </c>
      <c r="P298" s="1100"/>
      <c r="Q298" s="883">
        <f t="shared" si="104"/>
        <v>0</v>
      </c>
      <c r="R298" s="884">
        <f t="shared" si="99"/>
        <v>0</v>
      </c>
      <c r="S298" s="884">
        <f>IF(AND($AS$39="Early Payoff",J298&gt;=$S$13),0,IF($J298&lt;=$S$6,SUM($Q$20:$Q298),0))</f>
        <v>0</v>
      </c>
      <c r="T298" s="884">
        <f>IF(AND($AS$39="Early Payoff",J298&gt;=$S$13),0,IF($J298&lt;=$S$6,SUM($R$20:$R298),0))</f>
        <v>0</v>
      </c>
      <c r="U298" s="885">
        <f t="shared" si="105"/>
        <v>0</v>
      </c>
      <c r="V298" s="1110">
        <f t="shared" si="100"/>
        <v>0</v>
      </c>
      <c r="X298" s="1102">
        <f t="shared" si="106"/>
        <v>0</v>
      </c>
      <c r="Y298" s="873">
        <f t="shared" si="107"/>
        <v>0</v>
      </c>
      <c r="Z298" s="873">
        <f t="shared" si="108"/>
        <v>0</v>
      </c>
      <c r="AA298" s="885">
        <f t="shared" si="109"/>
        <v>0</v>
      </c>
    </row>
    <row r="299" spans="2:27" s="278" customFormat="1" ht="12" customHeight="1" x14ac:dyDescent="0.25">
      <c r="B299" s="1192" t="e">
        <f t="shared" si="114"/>
        <v>#N/A</v>
      </c>
      <c r="C299" s="732">
        <f t="shared" si="101"/>
        <v>31</v>
      </c>
      <c r="D299" s="35">
        <f t="shared" si="102"/>
        <v>10</v>
      </c>
      <c r="E299" s="889">
        <f t="shared" si="117"/>
        <v>54362</v>
      </c>
      <c r="F299" s="822">
        <f t="shared" si="110"/>
        <v>10</v>
      </c>
      <c r="G299" s="500">
        <f t="shared" si="118"/>
        <v>31</v>
      </c>
      <c r="H299" s="126">
        <f t="shared" si="103"/>
        <v>0</v>
      </c>
      <c r="I299" s="1098">
        <f t="shared" si="119"/>
        <v>0</v>
      </c>
      <c r="J299" s="887">
        <f t="shared" si="115"/>
        <v>280</v>
      </c>
      <c r="K299" s="1099">
        <f t="shared" si="111"/>
        <v>280</v>
      </c>
      <c r="L299" s="891" t="str">
        <f t="shared" si="112"/>
        <v>October</v>
      </c>
      <c r="M299" s="888">
        <f t="shared" si="116"/>
        <v>2048</v>
      </c>
      <c r="N299" s="883">
        <f t="shared" si="113"/>
        <v>0</v>
      </c>
      <c r="O299" s="883">
        <f t="shared" si="120"/>
        <v>0</v>
      </c>
      <c r="P299" s="1100"/>
      <c r="Q299" s="883">
        <f t="shared" si="104"/>
        <v>0</v>
      </c>
      <c r="R299" s="884">
        <f t="shared" si="99"/>
        <v>0</v>
      </c>
      <c r="S299" s="884">
        <f>IF(AND($AS$39="Early Payoff",J299&gt;=$S$13),0,IF($J299&lt;=$S$6,SUM($Q$20:$Q299),0))</f>
        <v>0</v>
      </c>
      <c r="T299" s="884">
        <f>IF(AND($AS$39="Early Payoff",J299&gt;=$S$13),0,IF($J299&lt;=$S$6,SUM($R$20:$R299),0))</f>
        <v>0</v>
      </c>
      <c r="U299" s="885">
        <f t="shared" si="105"/>
        <v>0</v>
      </c>
      <c r="V299" s="1110">
        <f t="shared" si="100"/>
        <v>0</v>
      </c>
      <c r="X299" s="1102">
        <f t="shared" si="106"/>
        <v>0</v>
      </c>
      <c r="Y299" s="873">
        <f t="shared" si="107"/>
        <v>0</v>
      </c>
      <c r="Z299" s="873">
        <f t="shared" si="108"/>
        <v>0</v>
      </c>
      <c r="AA299" s="885">
        <f t="shared" si="109"/>
        <v>0</v>
      </c>
    </row>
    <row r="300" spans="2:27" s="278" customFormat="1" ht="12" customHeight="1" x14ac:dyDescent="0.25">
      <c r="B300" s="1192" t="e">
        <f t="shared" si="114"/>
        <v>#N/A</v>
      </c>
      <c r="C300" s="732">
        <f t="shared" si="101"/>
        <v>30</v>
      </c>
      <c r="D300" s="35">
        <f t="shared" si="102"/>
        <v>11</v>
      </c>
      <c r="E300" s="889">
        <f t="shared" si="117"/>
        <v>54392</v>
      </c>
      <c r="F300" s="822">
        <f t="shared" si="110"/>
        <v>11</v>
      </c>
      <c r="G300" s="500">
        <f t="shared" si="118"/>
        <v>30</v>
      </c>
      <c r="H300" s="126">
        <f t="shared" si="103"/>
        <v>0</v>
      </c>
      <c r="I300" s="1098">
        <f t="shared" si="119"/>
        <v>0</v>
      </c>
      <c r="J300" s="887">
        <f t="shared" si="115"/>
        <v>281</v>
      </c>
      <c r="K300" s="1099">
        <f t="shared" si="111"/>
        <v>281</v>
      </c>
      <c r="L300" s="891" t="str">
        <f t="shared" si="112"/>
        <v>November</v>
      </c>
      <c r="M300" s="888">
        <f t="shared" si="116"/>
        <v>2048</v>
      </c>
      <c r="N300" s="883">
        <f t="shared" si="113"/>
        <v>0</v>
      </c>
      <c r="O300" s="883">
        <f t="shared" si="120"/>
        <v>0</v>
      </c>
      <c r="P300" s="1100"/>
      <c r="Q300" s="883">
        <f t="shared" si="104"/>
        <v>0</v>
      </c>
      <c r="R300" s="884">
        <f t="shared" si="99"/>
        <v>0</v>
      </c>
      <c r="S300" s="884">
        <f>IF(AND($AS$39="Early Payoff",J300&gt;=$S$13),0,IF($J300&lt;=$S$6,SUM($Q$20:$Q300),0))</f>
        <v>0</v>
      </c>
      <c r="T300" s="884">
        <f>IF(AND($AS$39="Early Payoff",J300&gt;=$S$13),0,IF($J300&lt;=$S$6,SUM($R$20:$R300),0))</f>
        <v>0</v>
      </c>
      <c r="U300" s="885">
        <f t="shared" si="105"/>
        <v>0</v>
      </c>
      <c r="V300" s="1110">
        <f t="shared" si="100"/>
        <v>0</v>
      </c>
      <c r="X300" s="1102">
        <f t="shared" si="106"/>
        <v>0</v>
      </c>
      <c r="Y300" s="873">
        <f t="shared" si="107"/>
        <v>0</v>
      </c>
      <c r="Z300" s="873">
        <f t="shared" si="108"/>
        <v>0</v>
      </c>
      <c r="AA300" s="885">
        <f t="shared" si="109"/>
        <v>0</v>
      </c>
    </row>
    <row r="301" spans="2:27" s="278" customFormat="1" ht="12" customHeight="1" x14ac:dyDescent="0.25">
      <c r="B301" s="1192" t="e">
        <f t="shared" si="114"/>
        <v>#N/A</v>
      </c>
      <c r="C301" s="732">
        <f t="shared" si="101"/>
        <v>31</v>
      </c>
      <c r="D301" s="35">
        <f t="shared" si="102"/>
        <v>12</v>
      </c>
      <c r="E301" s="889">
        <f t="shared" si="117"/>
        <v>54423</v>
      </c>
      <c r="F301" s="822">
        <f t="shared" si="110"/>
        <v>12</v>
      </c>
      <c r="G301" s="500">
        <f t="shared" si="118"/>
        <v>31</v>
      </c>
      <c r="H301" s="126">
        <f t="shared" si="103"/>
        <v>1</v>
      </c>
      <c r="I301" s="1098">
        <f t="shared" si="119"/>
        <v>0</v>
      </c>
      <c r="J301" s="887">
        <f t="shared" si="115"/>
        <v>282</v>
      </c>
      <c r="K301" s="1099">
        <f t="shared" si="111"/>
        <v>282</v>
      </c>
      <c r="L301" s="891" t="str">
        <f t="shared" si="112"/>
        <v>December</v>
      </c>
      <c r="M301" s="888">
        <f t="shared" si="116"/>
        <v>2048</v>
      </c>
      <c r="N301" s="883">
        <f t="shared" si="113"/>
        <v>0</v>
      </c>
      <c r="O301" s="883">
        <f t="shared" si="120"/>
        <v>0</v>
      </c>
      <c r="P301" s="1100"/>
      <c r="Q301" s="883">
        <f t="shared" si="104"/>
        <v>0</v>
      </c>
      <c r="R301" s="884">
        <f t="shared" si="99"/>
        <v>0</v>
      </c>
      <c r="S301" s="884">
        <f>IF(AND($AS$39="Early Payoff",J301&gt;=$S$13),0,IF($J301&lt;=$S$6,SUM($Q$20:$Q301),0))</f>
        <v>0</v>
      </c>
      <c r="T301" s="884">
        <f>IF(AND($AS$39="Early Payoff",J301&gt;=$S$13),0,IF($J301&lt;=$S$6,SUM($R$20:$R301),0))</f>
        <v>0</v>
      </c>
      <c r="U301" s="885">
        <f t="shared" si="105"/>
        <v>0</v>
      </c>
      <c r="V301" s="1110">
        <f t="shared" si="100"/>
        <v>0</v>
      </c>
      <c r="X301" s="1102">
        <f t="shared" si="106"/>
        <v>0</v>
      </c>
      <c r="Y301" s="873">
        <f t="shared" si="107"/>
        <v>0</v>
      </c>
      <c r="Z301" s="873">
        <f t="shared" si="108"/>
        <v>0</v>
      </c>
      <c r="AA301" s="885">
        <f t="shared" si="109"/>
        <v>0</v>
      </c>
    </row>
    <row r="302" spans="2:27" s="278" customFormat="1" ht="12" customHeight="1" x14ac:dyDescent="0.25">
      <c r="B302" s="1192" t="e">
        <f t="shared" si="114"/>
        <v>#N/A</v>
      </c>
      <c r="C302" s="732">
        <f t="shared" si="101"/>
        <v>31</v>
      </c>
      <c r="D302" s="35">
        <f t="shared" si="102"/>
        <v>1</v>
      </c>
      <c r="E302" s="889">
        <f t="shared" si="117"/>
        <v>54454</v>
      </c>
      <c r="F302" s="822">
        <f t="shared" si="110"/>
        <v>1</v>
      </c>
      <c r="G302" s="500">
        <f t="shared" si="118"/>
        <v>31</v>
      </c>
      <c r="H302" s="126">
        <f t="shared" si="103"/>
        <v>0</v>
      </c>
      <c r="I302" s="1098">
        <f t="shared" si="119"/>
        <v>0</v>
      </c>
      <c r="J302" s="887">
        <f t="shared" si="115"/>
        <v>283</v>
      </c>
      <c r="K302" s="1099">
        <f t="shared" si="111"/>
        <v>283</v>
      </c>
      <c r="L302" s="891" t="str">
        <f t="shared" si="112"/>
        <v>January</v>
      </c>
      <c r="M302" s="888">
        <f t="shared" si="116"/>
        <v>2049</v>
      </c>
      <c r="N302" s="883">
        <f t="shared" si="113"/>
        <v>0</v>
      </c>
      <c r="O302" s="883">
        <f t="shared" si="120"/>
        <v>0</v>
      </c>
      <c r="P302" s="1100"/>
      <c r="Q302" s="883">
        <f t="shared" si="104"/>
        <v>0</v>
      </c>
      <c r="R302" s="884">
        <f t="shared" si="99"/>
        <v>0</v>
      </c>
      <c r="S302" s="884">
        <f>IF(AND($AS$39="Early Payoff",J302&gt;=$S$13),0,IF($J302&lt;=$S$6,SUM($Q$20:$Q302),0))</f>
        <v>0</v>
      </c>
      <c r="T302" s="884">
        <f>IF(AND($AS$39="Early Payoff",J302&gt;=$S$13),0,IF($J302&lt;=$S$6,SUM($R$20:$R302),0))</f>
        <v>0</v>
      </c>
      <c r="U302" s="885">
        <f t="shared" si="105"/>
        <v>0</v>
      </c>
      <c r="V302" s="1110">
        <f t="shared" si="100"/>
        <v>0</v>
      </c>
      <c r="X302" s="1102">
        <f t="shared" si="106"/>
        <v>0</v>
      </c>
      <c r="Y302" s="873">
        <f t="shared" si="107"/>
        <v>0</v>
      </c>
      <c r="Z302" s="873">
        <f t="shared" si="108"/>
        <v>0</v>
      </c>
      <c r="AA302" s="885">
        <f t="shared" si="109"/>
        <v>0</v>
      </c>
    </row>
    <row r="303" spans="2:27" s="278" customFormat="1" ht="12" customHeight="1" x14ac:dyDescent="0.25">
      <c r="B303" s="1192" t="e">
        <f t="shared" si="114"/>
        <v>#N/A</v>
      </c>
      <c r="C303" s="732">
        <f t="shared" si="101"/>
        <v>28</v>
      </c>
      <c r="D303" s="35">
        <f t="shared" si="102"/>
        <v>2</v>
      </c>
      <c r="E303" s="889">
        <f t="shared" si="117"/>
        <v>54482</v>
      </c>
      <c r="F303" s="822">
        <f t="shared" si="110"/>
        <v>2</v>
      </c>
      <c r="G303" s="500">
        <f t="shared" si="118"/>
        <v>28</v>
      </c>
      <c r="H303" s="126">
        <f t="shared" si="103"/>
        <v>0</v>
      </c>
      <c r="I303" s="1098">
        <f t="shared" si="119"/>
        <v>0</v>
      </c>
      <c r="J303" s="887">
        <f t="shared" si="115"/>
        <v>284</v>
      </c>
      <c r="K303" s="1099">
        <f t="shared" si="111"/>
        <v>284</v>
      </c>
      <c r="L303" s="891" t="str">
        <f t="shared" si="112"/>
        <v>February</v>
      </c>
      <c r="M303" s="888">
        <f t="shared" si="116"/>
        <v>2049</v>
      </c>
      <c r="N303" s="883">
        <f t="shared" si="113"/>
        <v>0</v>
      </c>
      <c r="O303" s="883">
        <f t="shared" si="120"/>
        <v>0</v>
      </c>
      <c r="P303" s="1100"/>
      <c r="Q303" s="883">
        <f t="shared" si="104"/>
        <v>0</v>
      </c>
      <c r="R303" s="884">
        <f t="shared" si="99"/>
        <v>0</v>
      </c>
      <c r="S303" s="884">
        <f>IF(AND($AS$39="Early Payoff",J303&gt;=$S$13),0,IF($J303&lt;=$S$6,SUM($Q$20:$Q303),0))</f>
        <v>0</v>
      </c>
      <c r="T303" s="884">
        <f>IF(AND($AS$39="Early Payoff",J303&gt;=$S$13),0,IF($J303&lt;=$S$6,SUM($R$20:$R303),0))</f>
        <v>0</v>
      </c>
      <c r="U303" s="885">
        <f t="shared" si="105"/>
        <v>0</v>
      </c>
      <c r="V303" s="1110">
        <f t="shared" si="100"/>
        <v>0</v>
      </c>
      <c r="X303" s="1102">
        <f t="shared" si="106"/>
        <v>0</v>
      </c>
      <c r="Y303" s="873">
        <f t="shared" si="107"/>
        <v>0</v>
      </c>
      <c r="Z303" s="873">
        <f t="shared" si="108"/>
        <v>0</v>
      </c>
      <c r="AA303" s="885">
        <f t="shared" si="109"/>
        <v>0</v>
      </c>
    </row>
    <row r="304" spans="2:27" s="278" customFormat="1" ht="12" customHeight="1" x14ac:dyDescent="0.25">
      <c r="B304" s="1192" t="e">
        <f t="shared" si="114"/>
        <v>#N/A</v>
      </c>
      <c r="C304" s="732">
        <f t="shared" si="101"/>
        <v>31</v>
      </c>
      <c r="D304" s="35">
        <f t="shared" si="102"/>
        <v>3</v>
      </c>
      <c r="E304" s="889">
        <f t="shared" si="117"/>
        <v>54513</v>
      </c>
      <c r="F304" s="822">
        <f t="shared" si="110"/>
        <v>3</v>
      </c>
      <c r="G304" s="500">
        <f t="shared" si="118"/>
        <v>31</v>
      </c>
      <c r="H304" s="126">
        <f t="shared" si="103"/>
        <v>0</v>
      </c>
      <c r="I304" s="1098">
        <f t="shared" si="119"/>
        <v>0</v>
      </c>
      <c r="J304" s="887">
        <f t="shared" si="115"/>
        <v>285</v>
      </c>
      <c r="K304" s="1099">
        <f t="shared" si="111"/>
        <v>285</v>
      </c>
      <c r="L304" s="891" t="str">
        <f t="shared" si="112"/>
        <v>March</v>
      </c>
      <c r="M304" s="888">
        <f t="shared" si="116"/>
        <v>2049</v>
      </c>
      <c r="N304" s="883">
        <f t="shared" si="113"/>
        <v>0</v>
      </c>
      <c r="O304" s="883">
        <f t="shared" si="120"/>
        <v>0</v>
      </c>
      <c r="P304" s="1100"/>
      <c r="Q304" s="883">
        <f t="shared" si="104"/>
        <v>0</v>
      </c>
      <c r="R304" s="884">
        <f t="shared" si="99"/>
        <v>0</v>
      </c>
      <c r="S304" s="884">
        <f>IF(AND($AS$39="Early Payoff",J304&gt;=$S$13),0,IF($J304&lt;=$S$6,SUM($Q$20:$Q304),0))</f>
        <v>0</v>
      </c>
      <c r="T304" s="884">
        <f>IF(AND($AS$39="Early Payoff",J304&gt;=$S$13),0,IF($J304&lt;=$S$6,SUM($R$20:$R304),0))</f>
        <v>0</v>
      </c>
      <c r="U304" s="885">
        <f t="shared" si="105"/>
        <v>0</v>
      </c>
      <c r="V304" s="1110">
        <f t="shared" si="100"/>
        <v>0</v>
      </c>
      <c r="X304" s="1102">
        <f t="shared" si="106"/>
        <v>0</v>
      </c>
      <c r="Y304" s="873">
        <f t="shared" si="107"/>
        <v>0</v>
      </c>
      <c r="Z304" s="873">
        <f t="shared" si="108"/>
        <v>0</v>
      </c>
      <c r="AA304" s="885">
        <f t="shared" si="109"/>
        <v>0</v>
      </c>
    </row>
    <row r="305" spans="2:27" s="278" customFormat="1" ht="12" customHeight="1" x14ac:dyDescent="0.25">
      <c r="B305" s="1192" t="e">
        <f t="shared" si="114"/>
        <v>#N/A</v>
      </c>
      <c r="C305" s="732">
        <f t="shared" si="101"/>
        <v>30</v>
      </c>
      <c r="D305" s="35">
        <f t="shared" si="102"/>
        <v>4</v>
      </c>
      <c r="E305" s="889">
        <f t="shared" si="117"/>
        <v>54543</v>
      </c>
      <c r="F305" s="822">
        <f t="shared" si="110"/>
        <v>4</v>
      </c>
      <c r="G305" s="500">
        <f t="shared" si="118"/>
        <v>30</v>
      </c>
      <c r="H305" s="126">
        <f t="shared" si="103"/>
        <v>0</v>
      </c>
      <c r="I305" s="1098">
        <f t="shared" si="119"/>
        <v>0</v>
      </c>
      <c r="J305" s="887">
        <f t="shared" si="115"/>
        <v>286</v>
      </c>
      <c r="K305" s="1099">
        <f t="shared" si="111"/>
        <v>286</v>
      </c>
      <c r="L305" s="891" t="str">
        <f t="shared" si="112"/>
        <v>April</v>
      </c>
      <c r="M305" s="888">
        <f t="shared" si="116"/>
        <v>2049</v>
      </c>
      <c r="N305" s="883">
        <f t="shared" si="113"/>
        <v>0</v>
      </c>
      <c r="O305" s="883">
        <f t="shared" si="120"/>
        <v>0</v>
      </c>
      <c r="P305" s="1100"/>
      <c r="Q305" s="883">
        <f t="shared" si="104"/>
        <v>0</v>
      </c>
      <c r="R305" s="884">
        <f t="shared" si="99"/>
        <v>0</v>
      </c>
      <c r="S305" s="884">
        <f>IF(AND($AS$39="Early Payoff",J305&gt;=$S$13),0,IF($J305&lt;=$S$6,SUM($Q$20:$Q305),0))</f>
        <v>0</v>
      </c>
      <c r="T305" s="884">
        <f>IF(AND($AS$39="Early Payoff",J305&gt;=$S$13),0,IF($J305&lt;=$S$6,SUM($R$20:$R305),0))</f>
        <v>0</v>
      </c>
      <c r="U305" s="885">
        <f t="shared" si="105"/>
        <v>0</v>
      </c>
      <c r="V305" s="1110">
        <f t="shared" si="100"/>
        <v>0</v>
      </c>
      <c r="X305" s="1102">
        <f t="shared" si="106"/>
        <v>0</v>
      </c>
      <c r="Y305" s="873">
        <f t="shared" si="107"/>
        <v>0</v>
      </c>
      <c r="Z305" s="873">
        <f t="shared" si="108"/>
        <v>0</v>
      </c>
      <c r="AA305" s="885">
        <f t="shared" si="109"/>
        <v>0</v>
      </c>
    </row>
    <row r="306" spans="2:27" s="278" customFormat="1" ht="12" customHeight="1" x14ac:dyDescent="0.25">
      <c r="B306" s="1192" t="e">
        <f t="shared" si="114"/>
        <v>#N/A</v>
      </c>
      <c r="C306" s="732">
        <f t="shared" si="101"/>
        <v>31</v>
      </c>
      <c r="D306" s="35">
        <f t="shared" si="102"/>
        <v>5</v>
      </c>
      <c r="E306" s="889">
        <f t="shared" si="117"/>
        <v>54574</v>
      </c>
      <c r="F306" s="822">
        <f t="shared" si="110"/>
        <v>5</v>
      </c>
      <c r="G306" s="500">
        <f t="shared" si="118"/>
        <v>31</v>
      </c>
      <c r="H306" s="126">
        <f t="shared" si="103"/>
        <v>0</v>
      </c>
      <c r="I306" s="1098">
        <f t="shared" si="119"/>
        <v>0</v>
      </c>
      <c r="J306" s="887">
        <f t="shared" si="115"/>
        <v>287</v>
      </c>
      <c r="K306" s="1099">
        <f t="shared" si="111"/>
        <v>287</v>
      </c>
      <c r="L306" s="891" t="str">
        <f t="shared" si="112"/>
        <v>May</v>
      </c>
      <c r="M306" s="888">
        <f t="shared" si="116"/>
        <v>2049</v>
      </c>
      <c r="N306" s="883">
        <f t="shared" si="113"/>
        <v>0</v>
      </c>
      <c r="O306" s="883">
        <f t="shared" si="120"/>
        <v>0</v>
      </c>
      <c r="P306" s="1100"/>
      <c r="Q306" s="883">
        <f t="shared" si="104"/>
        <v>0</v>
      </c>
      <c r="R306" s="884">
        <f t="shared" si="99"/>
        <v>0</v>
      </c>
      <c r="S306" s="884">
        <f>IF(AND($AS$39="Early Payoff",J306&gt;=$S$13),0,IF($J306&lt;=$S$6,SUM($Q$20:$Q306),0))</f>
        <v>0</v>
      </c>
      <c r="T306" s="884">
        <f>IF(AND($AS$39="Early Payoff",J306&gt;=$S$13),0,IF($J306&lt;=$S$6,SUM($R$20:$R306),0))</f>
        <v>0</v>
      </c>
      <c r="U306" s="885">
        <f t="shared" si="105"/>
        <v>0</v>
      </c>
      <c r="V306" s="1110">
        <f t="shared" si="100"/>
        <v>0</v>
      </c>
      <c r="X306" s="1102">
        <f t="shared" si="106"/>
        <v>0</v>
      </c>
      <c r="Y306" s="873">
        <f t="shared" si="107"/>
        <v>0</v>
      </c>
      <c r="Z306" s="873">
        <f t="shared" si="108"/>
        <v>0</v>
      </c>
      <c r="AA306" s="885">
        <f t="shared" si="109"/>
        <v>0</v>
      </c>
    </row>
    <row r="307" spans="2:27" s="278" customFormat="1" ht="12" customHeight="1" x14ac:dyDescent="0.25">
      <c r="B307" s="1192" t="e">
        <f t="shared" si="114"/>
        <v>#N/A</v>
      </c>
      <c r="C307" s="732">
        <f t="shared" si="101"/>
        <v>30</v>
      </c>
      <c r="D307" s="35">
        <f t="shared" si="102"/>
        <v>6</v>
      </c>
      <c r="E307" s="889">
        <f t="shared" si="117"/>
        <v>54604</v>
      </c>
      <c r="F307" s="822">
        <f t="shared" si="110"/>
        <v>6</v>
      </c>
      <c r="G307" s="500">
        <f t="shared" si="118"/>
        <v>30</v>
      </c>
      <c r="H307" s="126">
        <f t="shared" si="103"/>
        <v>0</v>
      </c>
      <c r="I307" s="1098">
        <f t="shared" si="119"/>
        <v>0</v>
      </c>
      <c r="J307" s="887">
        <f t="shared" si="115"/>
        <v>288</v>
      </c>
      <c r="K307" s="1099">
        <f t="shared" si="111"/>
        <v>288</v>
      </c>
      <c r="L307" s="891" t="str">
        <f t="shared" si="112"/>
        <v>June</v>
      </c>
      <c r="M307" s="888">
        <f t="shared" si="116"/>
        <v>2049</v>
      </c>
      <c r="N307" s="883">
        <f t="shared" si="113"/>
        <v>0</v>
      </c>
      <c r="O307" s="883">
        <f t="shared" si="120"/>
        <v>0</v>
      </c>
      <c r="P307" s="1100"/>
      <c r="Q307" s="883">
        <f t="shared" si="104"/>
        <v>0</v>
      </c>
      <c r="R307" s="884">
        <f t="shared" si="99"/>
        <v>0</v>
      </c>
      <c r="S307" s="884">
        <f>IF(AND($AS$39="Early Payoff",J307&gt;=$S$13),0,IF($J307&lt;=$S$6,SUM($Q$20:$Q307),0))</f>
        <v>0</v>
      </c>
      <c r="T307" s="884">
        <f>IF(AND($AS$39="Early Payoff",J307&gt;=$S$13),0,IF($J307&lt;=$S$6,SUM($R$20:$R307),0))</f>
        <v>0</v>
      </c>
      <c r="U307" s="885">
        <f t="shared" si="105"/>
        <v>0</v>
      </c>
      <c r="V307" s="1110">
        <f t="shared" si="100"/>
        <v>0</v>
      </c>
      <c r="X307" s="1102">
        <f t="shared" si="106"/>
        <v>0</v>
      </c>
      <c r="Y307" s="873">
        <f t="shared" si="107"/>
        <v>0</v>
      </c>
      <c r="Z307" s="873">
        <f t="shared" si="108"/>
        <v>0</v>
      </c>
      <c r="AA307" s="885">
        <f t="shared" si="109"/>
        <v>0</v>
      </c>
    </row>
    <row r="308" spans="2:27" s="278" customFormat="1" ht="12" customHeight="1" x14ac:dyDescent="0.25">
      <c r="B308" s="1192" t="e">
        <f t="shared" si="114"/>
        <v>#N/A</v>
      </c>
      <c r="C308" s="732">
        <f t="shared" si="101"/>
        <v>31</v>
      </c>
      <c r="D308" s="35">
        <f t="shared" si="102"/>
        <v>7</v>
      </c>
      <c r="E308" s="889">
        <f t="shared" si="117"/>
        <v>54635</v>
      </c>
      <c r="F308" s="822">
        <f t="shared" si="110"/>
        <v>7</v>
      </c>
      <c r="G308" s="500">
        <f t="shared" si="118"/>
        <v>31</v>
      </c>
      <c r="H308" s="126">
        <f t="shared" si="103"/>
        <v>0</v>
      </c>
      <c r="I308" s="1098">
        <f t="shared" si="119"/>
        <v>0</v>
      </c>
      <c r="J308" s="887">
        <f t="shared" si="115"/>
        <v>289</v>
      </c>
      <c r="K308" s="1099">
        <f t="shared" si="111"/>
        <v>289</v>
      </c>
      <c r="L308" s="891" t="str">
        <f t="shared" si="112"/>
        <v>July</v>
      </c>
      <c r="M308" s="888">
        <f t="shared" si="116"/>
        <v>2049</v>
      </c>
      <c r="N308" s="883">
        <f t="shared" si="113"/>
        <v>0</v>
      </c>
      <c r="O308" s="883">
        <f t="shared" si="120"/>
        <v>0</v>
      </c>
      <c r="P308" s="1100"/>
      <c r="Q308" s="883">
        <f t="shared" si="104"/>
        <v>0</v>
      </c>
      <c r="R308" s="884">
        <f t="shared" si="99"/>
        <v>0</v>
      </c>
      <c r="S308" s="884">
        <f>IF(AND($AS$39="Early Payoff",J308&gt;=$S$13),0,IF($J308&lt;=$S$6,SUM($Q$20:$Q308),0))</f>
        <v>0</v>
      </c>
      <c r="T308" s="884">
        <f>IF(AND($AS$39="Early Payoff",J308&gt;=$S$13),0,IF($J308&lt;=$S$6,SUM($R$20:$R308),0))</f>
        <v>0</v>
      </c>
      <c r="U308" s="885">
        <f t="shared" si="105"/>
        <v>0</v>
      </c>
      <c r="V308" s="1110">
        <f t="shared" si="100"/>
        <v>0</v>
      </c>
      <c r="X308" s="1102">
        <f t="shared" si="106"/>
        <v>0</v>
      </c>
      <c r="Y308" s="873">
        <f t="shared" si="107"/>
        <v>0</v>
      </c>
      <c r="Z308" s="873">
        <f t="shared" si="108"/>
        <v>0</v>
      </c>
      <c r="AA308" s="885">
        <f t="shared" si="109"/>
        <v>0</v>
      </c>
    </row>
    <row r="309" spans="2:27" s="278" customFormat="1" ht="12" customHeight="1" x14ac:dyDescent="0.25">
      <c r="B309" s="1192" t="e">
        <f t="shared" si="114"/>
        <v>#N/A</v>
      </c>
      <c r="C309" s="732">
        <f t="shared" si="101"/>
        <v>31</v>
      </c>
      <c r="D309" s="35">
        <f t="shared" si="102"/>
        <v>8</v>
      </c>
      <c r="E309" s="889">
        <f t="shared" si="117"/>
        <v>54666</v>
      </c>
      <c r="F309" s="822">
        <f t="shared" si="110"/>
        <v>8</v>
      </c>
      <c r="G309" s="500">
        <f t="shared" si="118"/>
        <v>31</v>
      </c>
      <c r="H309" s="126">
        <f t="shared" si="103"/>
        <v>0</v>
      </c>
      <c r="I309" s="1098">
        <f t="shared" si="119"/>
        <v>0</v>
      </c>
      <c r="J309" s="887">
        <f t="shared" si="115"/>
        <v>290</v>
      </c>
      <c r="K309" s="1099">
        <f t="shared" si="111"/>
        <v>290</v>
      </c>
      <c r="L309" s="891" t="str">
        <f t="shared" si="112"/>
        <v>August</v>
      </c>
      <c r="M309" s="888">
        <f t="shared" si="116"/>
        <v>2049</v>
      </c>
      <c r="N309" s="883">
        <f t="shared" si="113"/>
        <v>0</v>
      </c>
      <c r="O309" s="883">
        <f t="shared" si="120"/>
        <v>0</v>
      </c>
      <c r="P309" s="1100"/>
      <c r="Q309" s="883">
        <f t="shared" si="104"/>
        <v>0</v>
      </c>
      <c r="R309" s="884">
        <f t="shared" si="99"/>
        <v>0</v>
      </c>
      <c r="S309" s="884">
        <f>IF(AND($AS$39="Early Payoff",J309&gt;=$S$13),0,IF($J309&lt;=$S$6,SUM($Q$20:$Q309),0))</f>
        <v>0</v>
      </c>
      <c r="T309" s="884">
        <f>IF(AND($AS$39="Early Payoff",J309&gt;=$S$13),0,IF($J309&lt;=$S$6,SUM($R$20:$R309),0))</f>
        <v>0</v>
      </c>
      <c r="U309" s="885">
        <f t="shared" si="105"/>
        <v>0</v>
      </c>
      <c r="V309" s="1110">
        <f t="shared" si="100"/>
        <v>0</v>
      </c>
      <c r="X309" s="1102">
        <f t="shared" si="106"/>
        <v>0</v>
      </c>
      <c r="Y309" s="873">
        <f t="shared" si="107"/>
        <v>0</v>
      </c>
      <c r="Z309" s="873">
        <f t="shared" si="108"/>
        <v>0</v>
      </c>
      <c r="AA309" s="885">
        <f t="shared" si="109"/>
        <v>0</v>
      </c>
    </row>
    <row r="310" spans="2:27" s="278" customFormat="1" ht="12" customHeight="1" x14ac:dyDescent="0.25">
      <c r="B310" s="1192" t="e">
        <f t="shared" si="114"/>
        <v>#N/A</v>
      </c>
      <c r="C310" s="732">
        <f t="shared" si="101"/>
        <v>30</v>
      </c>
      <c r="D310" s="35">
        <f t="shared" si="102"/>
        <v>9</v>
      </c>
      <c r="E310" s="889">
        <f t="shared" si="117"/>
        <v>54696</v>
      </c>
      <c r="F310" s="822">
        <f t="shared" si="110"/>
        <v>9</v>
      </c>
      <c r="G310" s="500">
        <f t="shared" si="118"/>
        <v>30</v>
      </c>
      <c r="H310" s="126">
        <f t="shared" si="103"/>
        <v>0</v>
      </c>
      <c r="I310" s="1098">
        <f t="shared" si="119"/>
        <v>0</v>
      </c>
      <c r="J310" s="887">
        <f t="shared" si="115"/>
        <v>291</v>
      </c>
      <c r="K310" s="1099">
        <f t="shared" si="111"/>
        <v>291</v>
      </c>
      <c r="L310" s="891" t="str">
        <f t="shared" si="112"/>
        <v>September</v>
      </c>
      <c r="M310" s="888">
        <f t="shared" si="116"/>
        <v>2049</v>
      </c>
      <c r="N310" s="883">
        <f t="shared" si="113"/>
        <v>0</v>
      </c>
      <c r="O310" s="883">
        <f t="shared" si="120"/>
        <v>0</v>
      </c>
      <c r="P310" s="1100"/>
      <c r="Q310" s="883">
        <f t="shared" si="104"/>
        <v>0</v>
      </c>
      <c r="R310" s="884">
        <f t="shared" si="99"/>
        <v>0</v>
      </c>
      <c r="S310" s="884">
        <f>IF(AND($AS$39="Early Payoff",J310&gt;=$S$13),0,IF($J310&lt;=$S$6,SUM($Q$20:$Q310),0))</f>
        <v>0</v>
      </c>
      <c r="T310" s="884">
        <f>IF(AND($AS$39="Early Payoff",J310&gt;=$S$13),0,IF($J310&lt;=$S$6,SUM($R$20:$R310),0))</f>
        <v>0</v>
      </c>
      <c r="U310" s="885">
        <f t="shared" si="105"/>
        <v>0</v>
      </c>
      <c r="V310" s="1110">
        <f t="shared" si="100"/>
        <v>0</v>
      </c>
      <c r="X310" s="1102">
        <f t="shared" si="106"/>
        <v>0</v>
      </c>
      <c r="Y310" s="873">
        <f t="shared" si="107"/>
        <v>0</v>
      </c>
      <c r="Z310" s="873">
        <f t="shared" si="108"/>
        <v>0</v>
      </c>
      <c r="AA310" s="885">
        <f t="shared" si="109"/>
        <v>0</v>
      </c>
    </row>
    <row r="311" spans="2:27" s="278" customFormat="1" ht="12" customHeight="1" x14ac:dyDescent="0.25">
      <c r="B311" s="1192" t="e">
        <f t="shared" si="114"/>
        <v>#N/A</v>
      </c>
      <c r="C311" s="732">
        <f t="shared" si="101"/>
        <v>31</v>
      </c>
      <c r="D311" s="35">
        <f t="shared" si="102"/>
        <v>10</v>
      </c>
      <c r="E311" s="889">
        <f t="shared" si="117"/>
        <v>54727</v>
      </c>
      <c r="F311" s="822">
        <f t="shared" si="110"/>
        <v>10</v>
      </c>
      <c r="G311" s="500">
        <f t="shared" si="118"/>
        <v>31</v>
      </c>
      <c r="H311" s="126">
        <f t="shared" si="103"/>
        <v>0</v>
      </c>
      <c r="I311" s="1098">
        <f t="shared" si="119"/>
        <v>0</v>
      </c>
      <c r="J311" s="887">
        <f t="shared" si="115"/>
        <v>292</v>
      </c>
      <c r="K311" s="1099">
        <f t="shared" si="111"/>
        <v>292</v>
      </c>
      <c r="L311" s="891" t="str">
        <f t="shared" si="112"/>
        <v>October</v>
      </c>
      <c r="M311" s="888">
        <f t="shared" si="116"/>
        <v>2049</v>
      </c>
      <c r="N311" s="883">
        <f t="shared" si="113"/>
        <v>0</v>
      </c>
      <c r="O311" s="883">
        <f t="shared" si="120"/>
        <v>0</v>
      </c>
      <c r="P311" s="1100"/>
      <c r="Q311" s="883">
        <f t="shared" si="104"/>
        <v>0</v>
      </c>
      <c r="R311" s="884">
        <f t="shared" si="99"/>
        <v>0</v>
      </c>
      <c r="S311" s="884">
        <f>IF(AND($AS$39="Early Payoff",J311&gt;=$S$13),0,IF($J311&lt;=$S$6,SUM($Q$20:$Q311),0))</f>
        <v>0</v>
      </c>
      <c r="T311" s="884">
        <f>IF(AND($AS$39="Early Payoff",J311&gt;=$S$13),0,IF($J311&lt;=$S$6,SUM($R$20:$R311),0))</f>
        <v>0</v>
      </c>
      <c r="U311" s="885">
        <f t="shared" si="105"/>
        <v>0</v>
      </c>
      <c r="V311" s="1110">
        <f t="shared" si="100"/>
        <v>0</v>
      </c>
      <c r="X311" s="1102">
        <f t="shared" si="106"/>
        <v>0</v>
      </c>
      <c r="Y311" s="873">
        <f t="shared" si="107"/>
        <v>0</v>
      </c>
      <c r="Z311" s="873">
        <f t="shared" si="108"/>
        <v>0</v>
      </c>
      <c r="AA311" s="885">
        <f t="shared" si="109"/>
        <v>0</v>
      </c>
    </row>
    <row r="312" spans="2:27" s="278" customFormat="1" ht="12" customHeight="1" x14ac:dyDescent="0.25">
      <c r="B312" s="1192" t="e">
        <f t="shared" si="114"/>
        <v>#N/A</v>
      </c>
      <c r="C312" s="732">
        <f t="shared" si="101"/>
        <v>30</v>
      </c>
      <c r="D312" s="35">
        <f t="shared" si="102"/>
        <v>11</v>
      </c>
      <c r="E312" s="889">
        <f t="shared" si="117"/>
        <v>54757</v>
      </c>
      <c r="F312" s="822">
        <f t="shared" si="110"/>
        <v>11</v>
      </c>
      <c r="G312" s="500">
        <f t="shared" si="118"/>
        <v>30</v>
      </c>
      <c r="H312" s="126">
        <f t="shared" si="103"/>
        <v>0</v>
      </c>
      <c r="I312" s="1098">
        <f t="shared" si="119"/>
        <v>0</v>
      </c>
      <c r="J312" s="887">
        <f t="shared" si="115"/>
        <v>293</v>
      </c>
      <c r="K312" s="1099">
        <f t="shared" si="111"/>
        <v>293</v>
      </c>
      <c r="L312" s="891" t="str">
        <f t="shared" si="112"/>
        <v>November</v>
      </c>
      <c r="M312" s="888">
        <f t="shared" si="116"/>
        <v>2049</v>
      </c>
      <c r="N312" s="883">
        <f t="shared" si="113"/>
        <v>0</v>
      </c>
      <c r="O312" s="883">
        <f t="shared" si="120"/>
        <v>0</v>
      </c>
      <c r="P312" s="1100"/>
      <c r="Q312" s="883">
        <f t="shared" si="104"/>
        <v>0</v>
      </c>
      <c r="R312" s="884">
        <f t="shared" si="99"/>
        <v>0</v>
      </c>
      <c r="S312" s="884">
        <f>IF(AND($AS$39="Early Payoff",J312&gt;=$S$13),0,IF($J312&lt;=$S$6,SUM($Q$20:$Q312),0))</f>
        <v>0</v>
      </c>
      <c r="T312" s="884">
        <f>IF(AND($AS$39="Early Payoff",J312&gt;=$S$13),0,IF($J312&lt;=$S$6,SUM($R$20:$R312),0))</f>
        <v>0</v>
      </c>
      <c r="U312" s="885">
        <f t="shared" si="105"/>
        <v>0</v>
      </c>
      <c r="V312" s="1110">
        <f t="shared" si="100"/>
        <v>0</v>
      </c>
      <c r="X312" s="1102">
        <f t="shared" si="106"/>
        <v>0</v>
      </c>
      <c r="Y312" s="873">
        <f t="shared" si="107"/>
        <v>0</v>
      </c>
      <c r="Z312" s="873">
        <f t="shared" si="108"/>
        <v>0</v>
      </c>
      <c r="AA312" s="885">
        <f t="shared" si="109"/>
        <v>0</v>
      </c>
    </row>
    <row r="313" spans="2:27" s="278" customFormat="1" ht="12" customHeight="1" x14ac:dyDescent="0.25">
      <c r="B313" s="1192" t="e">
        <f t="shared" si="114"/>
        <v>#N/A</v>
      </c>
      <c r="C313" s="732">
        <f t="shared" si="101"/>
        <v>31</v>
      </c>
      <c r="D313" s="35">
        <f t="shared" si="102"/>
        <v>12</v>
      </c>
      <c r="E313" s="889">
        <f t="shared" si="117"/>
        <v>54788</v>
      </c>
      <c r="F313" s="822">
        <f t="shared" si="110"/>
        <v>12</v>
      </c>
      <c r="G313" s="500">
        <f t="shared" si="118"/>
        <v>31</v>
      </c>
      <c r="H313" s="126">
        <f t="shared" si="103"/>
        <v>1</v>
      </c>
      <c r="I313" s="1098">
        <f t="shared" si="119"/>
        <v>0</v>
      </c>
      <c r="J313" s="887">
        <f t="shared" si="115"/>
        <v>294</v>
      </c>
      <c r="K313" s="1099">
        <f t="shared" si="111"/>
        <v>294</v>
      </c>
      <c r="L313" s="891" t="str">
        <f t="shared" si="112"/>
        <v>December</v>
      </c>
      <c r="M313" s="888">
        <f t="shared" si="116"/>
        <v>2049</v>
      </c>
      <c r="N313" s="883">
        <f t="shared" si="113"/>
        <v>0</v>
      </c>
      <c r="O313" s="883">
        <f t="shared" si="120"/>
        <v>0</v>
      </c>
      <c r="P313" s="1100"/>
      <c r="Q313" s="883">
        <f t="shared" si="104"/>
        <v>0</v>
      </c>
      <c r="R313" s="884">
        <f t="shared" si="99"/>
        <v>0</v>
      </c>
      <c r="S313" s="884">
        <f>IF(AND($AS$39="Early Payoff",J313&gt;=$S$13),0,IF($J313&lt;=$S$6,SUM($Q$20:$Q313),0))</f>
        <v>0</v>
      </c>
      <c r="T313" s="884">
        <f>IF(AND($AS$39="Early Payoff",J313&gt;=$S$13),0,IF($J313&lt;=$S$6,SUM($R$20:$R313),0))</f>
        <v>0</v>
      </c>
      <c r="U313" s="885">
        <f t="shared" si="105"/>
        <v>0</v>
      </c>
      <c r="V313" s="1110">
        <f t="shared" si="100"/>
        <v>0</v>
      </c>
      <c r="X313" s="1102">
        <f t="shared" si="106"/>
        <v>0</v>
      </c>
      <c r="Y313" s="873">
        <f t="shared" si="107"/>
        <v>0</v>
      </c>
      <c r="Z313" s="873">
        <f t="shared" si="108"/>
        <v>0</v>
      </c>
      <c r="AA313" s="885">
        <f t="shared" si="109"/>
        <v>0</v>
      </c>
    </row>
    <row r="314" spans="2:27" s="278" customFormat="1" ht="12" customHeight="1" x14ac:dyDescent="0.25">
      <c r="B314" s="1192" t="e">
        <f t="shared" si="114"/>
        <v>#N/A</v>
      </c>
      <c r="C314" s="732">
        <f t="shared" si="101"/>
        <v>31</v>
      </c>
      <c r="D314" s="35">
        <f t="shared" si="102"/>
        <v>1</v>
      </c>
      <c r="E314" s="889">
        <f t="shared" si="117"/>
        <v>54819</v>
      </c>
      <c r="F314" s="822">
        <f t="shared" si="110"/>
        <v>1</v>
      </c>
      <c r="G314" s="500">
        <f t="shared" si="118"/>
        <v>31</v>
      </c>
      <c r="H314" s="126">
        <f t="shared" si="103"/>
        <v>0</v>
      </c>
      <c r="I314" s="1098">
        <f t="shared" si="119"/>
        <v>0</v>
      </c>
      <c r="J314" s="887">
        <f t="shared" si="115"/>
        <v>295</v>
      </c>
      <c r="K314" s="1099">
        <f t="shared" si="111"/>
        <v>295</v>
      </c>
      <c r="L314" s="891" t="str">
        <f t="shared" si="112"/>
        <v>January</v>
      </c>
      <c r="M314" s="888">
        <f t="shared" si="116"/>
        <v>2050</v>
      </c>
      <c r="N314" s="883">
        <f t="shared" si="113"/>
        <v>0</v>
      </c>
      <c r="O314" s="883">
        <f t="shared" si="120"/>
        <v>0</v>
      </c>
      <c r="P314" s="1100"/>
      <c r="Q314" s="883">
        <f t="shared" si="104"/>
        <v>0</v>
      </c>
      <c r="R314" s="884">
        <f t="shared" si="99"/>
        <v>0</v>
      </c>
      <c r="S314" s="884">
        <f>IF(AND($AS$39="Early Payoff",J314&gt;=$S$13),0,IF($J314&lt;=$S$6,SUM($Q$20:$Q314),0))</f>
        <v>0</v>
      </c>
      <c r="T314" s="884">
        <f>IF(AND($AS$39="Early Payoff",J314&gt;=$S$13),0,IF($J314&lt;=$S$6,SUM($R$20:$R314),0))</f>
        <v>0</v>
      </c>
      <c r="U314" s="885">
        <f t="shared" si="105"/>
        <v>0</v>
      </c>
      <c r="V314" s="1110">
        <f t="shared" si="100"/>
        <v>0</v>
      </c>
      <c r="X314" s="1102">
        <f t="shared" si="106"/>
        <v>0</v>
      </c>
      <c r="Y314" s="873">
        <f t="shared" si="107"/>
        <v>0</v>
      </c>
      <c r="Z314" s="873">
        <f t="shared" si="108"/>
        <v>0</v>
      </c>
      <c r="AA314" s="885">
        <f t="shared" si="109"/>
        <v>0</v>
      </c>
    </row>
    <row r="315" spans="2:27" s="278" customFormat="1" ht="12" customHeight="1" x14ac:dyDescent="0.25">
      <c r="B315" s="1192" t="e">
        <f t="shared" si="114"/>
        <v>#N/A</v>
      </c>
      <c r="C315" s="732">
        <f t="shared" si="101"/>
        <v>28</v>
      </c>
      <c r="D315" s="35">
        <f t="shared" si="102"/>
        <v>2</v>
      </c>
      <c r="E315" s="889">
        <f t="shared" si="117"/>
        <v>54847</v>
      </c>
      <c r="F315" s="822">
        <f t="shared" si="110"/>
        <v>2</v>
      </c>
      <c r="G315" s="500">
        <f t="shared" si="118"/>
        <v>28</v>
      </c>
      <c r="H315" s="126">
        <f t="shared" si="103"/>
        <v>0</v>
      </c>
      <c r="I315" s="1098">
        <f t="shared" si="119"/>
        <v>0</v>
      </c>
      <c r="J315" s="887">
        <f t="shared" si="115"/>
        <v>296</v>
      </c>
      <c r="K315" s="1099">
        <f t="shared" si="111"/>
        <v>296</v>
      </c>
      <c r="L315" s="891" t="str">
        <f t="shared" si="112"/>
        <v>February</v>
      </c>
      <c r="M315" s="888">
        <f t="shared" si="116"/>
        <v>2050</v>
      </c>
      <c r="N315" s="883">
        <f t="shared" si="113"/>
        <v>0</v>
      </c>
      <c r="O315" s="883">
        <f t="shared" si="120"/>
        <v>0</v>
      </c>
      <c r="P315" s="1100"/>
      <c r="Q315" s="883">
        <f t="shared" si="104"/>
        <v>0</v>
      </c>
      <c r="R315" s="884">
        <f t="shared" si="99"/>
        <v>0</v>
      </c>
      <c r="S315" s="884">
        <f>IF(AND($AS$39="Early Payoff",J315&gt;=$S$13),0,IF($J315&lt;=$S$6,SUM($Q$20:$Q315),0))</f>
        <v>0</v>
      </c>
      <c r="T315" s="884">
        <f>IF(AND($AS$39="Early Payoff",J315&gt;=$S$13),0,IF($J315&lt;=$S$6,SUM($R$20:$R315),0))</f>
        <v>0</v>
      </c>
      <c r="U315" s="885">
        <f t="shared" si="105"/>
        <v>0</v>
      </c>
      <c r="V315" s="1110">
        <f t="shared" si="100"/>
        <v>0</v>
      </c>
      <c r="X315" s="1102">
        <f t="shared" si="106"/>
        <v>0</v>
      </c>
      <c r="Y315" s="873">
        <f t="shared" si="107"/>
        <v>0</v>
      </c>
      <c r="Z315" s="873">
        <f t="shared" si="108"/>
        <v>0</v>
      </c>
      <c r="AA315" s="885">
        <f t="shared" si="109"/>
        <v>0</v>
      </c>
    </row>
    <row r="316" spans="2:27" s="278" customFormat="1" ht="12" customHeight="1" x14ac:dyDescent="0.25">
      <c r="B316" s="1192" t="e">
        <f t="shared" si="114"/>
        <v>#N/A</v>
      </c>
      <c r="C316" s="732">
        <f t="shared" si="101"/>
        <v>31</v>
      </c>
      <c r="D316" s="35">
        <f t="shared" si="102"/>
        <v>3</v>
      </c>
      <c r="E316" s="889">
        <f t="shared" si="117"/>
        <v>54878</v>
      </c>
      <c r="F316" s="822">
        <f t="shared" si="110"/>
        <v>3</v>
      </c>
      <c r="G316" s="500">
        <f t="shared" si="118"/>
        <v>31</v>
      </c>
      <c r="H316" s="126">
        <f t="shared" si="103"/>
        <v>0</v>
      </c>
      <c r="I316" s="1098">
        <f t="shared" si="119"/>
        <v>0</v>
      </c>
      <c r="J316" s="887">
        <f t="shared" si="115"/>
        <v>297</v>
      </c>
      <c r="K316" s="1099">
        <f t="shared" si="111"/>
        <v>297</v>
      </c>
      <c r="L316" s="891" t="str">
        <f t="shared" si="112"/>
        <v>March</v>
      </c>
      <c r="M316" s="888">
        <f t="shared" si="116"/>
        <v>2050</v>
      </c>
      <c r="N316" s="883">
        <f t="shared" si="113"/>
        <v>0</v>
      </c>
      <c r="O316" s="883">
        <f t="shared" si="120"/>
        <v>0</v>
      </c>
      <c r="P316" s="1100"/>
      <c r="Q316" s="883">
        <f t="shared" si="104"/>
        <v>0</v>
      </c>
      <c r="R316" s="884">
        <f t="shared" si="99"/>
        <v>0</v>
      </c>
      <c r="S316" s="884">
        <f>IF(AND($AS$39="Early Payoff",J316&gt;=$S$13),0,IF($J316&lt;=$S$6,SUM($Q$20:$Q316),0))</f>
        <v>0</v>
      </c>
      <c r="T316" s="884">
        <f>IF(AND($AS$39="Early Payoff",J316&gt;=$S$13),0,IF($J316&lt;=$S$6,SUM($R$20:$R316),0))</f>
        <v>0</v>
      </c>
      <c r="U316" s="885">
        <f t="shared" si="105"/>
        <v>0</v>
      </c>
      <c r="V316" s="1110">
        <f t="shared" si="100"/>
        <v>0</v>
      </c>
      <c r="X316" s="1102">
        <f t="shared" si="106"/>
        <v>0</v>
      </c>
      <c r="Y316" s="873">
        <f t="shared" si="107"/>
        <v>0</v>
      </c>
      <c r="Z316" s="873">
        <f t="shared" si="108"/>
        <v>0</v>
      </c>
      <c r="AA316" s="885">
        <f t="shared" si="109"/>
        <v>0</v>
      </c>
    </row>
    <row r="317" spans="2:27" s="278" customFormat="1" ht="12" customHeight="1" x14ac:dyDescent="0.25">
      <c r="B317" s="1192" t="e">
        <f t="shared" si="114"/>
        <v>#N/A</v>
      </c>
      <c r="C317" s="732">
        <f t="shared" si="101"/>
        <v>30</v>
      </c>
      <c r="D317" s="35">
        <f t="shared" si="102"/>
        <v>4</v>
      </c>
      <c r="E317" s="889">
        <f t="shared" si="117"/>
        <v>54908</v>
      </c>
      <c r="F317" s="822">
        <f t="shared" si="110"/>
        <v>4</v>
      </c>
      <c r="G317" s="500">
        <f t="shared" si="118"/>
        <v>30</v>
      </c>
      <c r="H317" s="126">
        <f t="shared" si="103"/>
        <v>0</v>
      </c>
      <c r="I317" s="1098">
        <f t="shared" si="119"/>
        <v>0</v>
      </c>
      <c r="J317" s="887">
        <f t="shared" si="115"/>
        <v>298</v>
      </c>
      <c r="K317" s="1099">
        <f t="shared" si="111"/>
        <v>298</v>
      </c>
      <c r="L317" s="891" t="str">
        <f t="shared" si="112"/>
        <v>April</v>
      </c>
      <c r="M317" s="888">
        <f t="shared" si="116"/>
        <v>2050</v>
      </c>
      <c r="N317" s="883">
        <f t="shared" si="113"/>
        <v>0</v>
      </c>
      <c r="O317" s="883">
        <f t="shared" si="120"/>
        <v>0</v>
      </c>
      <c r="P317" s="1100"/>
      <c r="Q317" s="883">
        <f t="shared" si="104"/>
        <v>0</v>
      </c>
      <c r="R317" s="884">
        <f t="shared" si="99"/>
        <v>0</v>
      </c>
      <c r="S317" s="884">
        <f>IF(AND($AS$39="Early Payoff",J317&gt;=$S$13),0,IF($J317&lt;=$S$6,SUM($Q$20:$Q317),0))</f>
        <v>0</v>
      </c>
      <c r="T317" s="884">
        <f>IF(AND($AS$39="Early Payoff",J317&gt;=$S$13),0,IF($J317&lt;=$S$6,SUM($R$20:$R317),0))</f>
        <v>0</v>
      </c>
      <c r="U317" s="885">
        <f t="shared" si="105"/>
        <v>0</v>
      </c>
      <c r="V317" s="1110">
        <f t="shared" si="100"/>
        <v>0</v>
      </c>
      <c r="X317" s="1102">
        <f t="shared" si="106"/>
        <v>0</v>
      </c>
      <c r="Y317" s="873">
        <f t="shared" si="107"/>
        <v>0</v>
      </c>
      <c r="Z317" s="873">
        <f t="shared" si="108"/>
        <v>0</v>
      </c>
      <c r="AA317" s="885">
        <f t="shared" si="109"/>
        <v>0</v>
      </c>
    </row>
    <row r="318" spans="2:27" s="278" customFormat="1" ht="12" customHeight="1" x14ac:dyDescent="0.25">
      <c r="B318" s="1192" t="e">
        <f t="shared" si="114"/>
        <v>#N/A</v>
      </c>
      <c r="C318" s="732">
        <f t="shared" si="101"/>
        <v>31</v>
      </c>
      <c r="D318" s="35">
        <f t="shared" si="102"/>
        <v>5</v>
      </c>
      <c r="E318" s="889">
        <f t="shared" si="117"/>
        <v>54939</v>
      </c>
      <c r="F318" s="822">
        <f t="shared" si="110"/>
        <v>5</v>
      </c>
      <c r="G318" s="500">
        <f t="shared" si="118"/>
        <v>31</v>
      </c>
      <c r="H318" s="126">
        <f t="shared" si="103"/>
        <v>0</v>
      </c>
      <c r="I318" s="1098">
        <f t="shared" si="119"/>
        <v>0</v>
      </c>
      <c r="J318" s="887">
        <f t="shared" si="115"/>
        <v>299</v>
      </c>
      <c r="K318" s="1099">
        <f t="shared" si="111"/>
        <v>299</v>
      </c>
      <c r="L318" s="891" t="str">
        <f t="shared" si="112"/>
        <v>May</v>
      </c>
      <c r="M318" s="888">
        <f t="shared" si="116"/>
        <v>2050</v>
      </c>
      <c r="N318" s="883">
        <f t="shared" si="113"/>
        <v>0</v>
      </c>
      <c r="O318" s="883">
        <f t="shared" si="120"/>
        <v>0</v>
      </c>
      <c r="P318" s="1100"/>
      <c r="Q318" s="883">
        <f t="shared" si="104"/>
        <v>0</v>
      </c>
      <c r="R318" s="884">
        <f t="shared" si="99"/>
        <v>0</v>
      </c>
      <c r="S318" s="884">
        <f>IF(AND($AS$39="Early Payoff",J318&gt;=$S$13),0,IF($J318&lt;=$S$6,SUM($Q$20:$Q318),0))</f>
        <v>0</v>
      </c>
      <c r="T318" s="884">
        <f>IF(AND($AS$39="Early Payoff",J318&gt;=$S$13),0,IF($J318&lt;=$S$6,SUM($R$20:$R318),0))</f>
        <v>0</v>
      </c>
      <c r="U318" s="885">
        <f t="shared" si="105"/>
        <v>0</v>
      </c>
      <c r="V318" s="1110">
        <f t="shared" si="100"/>
        <v>0</v>
      </c>
      <c r="X318" s="1102">
        <f t="shared" si="106"/>
        <v>0</v>
      </c>
      <c r="Y318" s="873">
        <f t="shared" si="107"/>
        <v>0</v>
      </c>
      <c r="Z318" s="873">
        <f t="shared" si="108"/>
        <v>0</v>
      </c>
      <c r="AA318" s="885">
        <f t="shared" si="109"/>
        <v>0</v>
      </c>
    </row>
    <row r="319" spans="2:27" s="278" customFormat="1" ht="12" customHeight="1" x14ac:dyDescent="0.25">
      <c r="B319" s="1192" t="e">
        <f t="shared" si="114"/>
        <v>#N/A</v>
      </c>
      <c r="C319" s="732">
        <f t="shared" si="101"/>
        <v>30</v>
      </c>
      <c r="D319" s="35">
        <f t="shared" si="102"/>
        <v>6</v>
      </c>
      <c r="E319" s="889">
        <f t="shared" si="117"/>
        <v>54969</v>
      </c>
      <c r="F319" s="822">
        <f t="shared" si="110"/>
        <v>6</v>
      </c>
      <c r="G319" s="500">
        <f t="shared" si="118"/>
        <v>30</v>
      </c>
      <c r="H319" s="126">
        <f t="shared" si="103"/>
        <v>0</v>
      </c>
      <c r="I319" s="1098">
        <f t="shared" si="119"/>
        <v>0</v>
      </c>
      <c r="J319" s="887">
        <f t="shared" si="115"/>
        <v>300</v>
      </c>
      <c r="K319" s="1099">
        <f t="shared" si="111"/>
        <v>300</v>
      </c>
      <c r="L319" s="891" t="str">
        <f t="shared" si="112"/>
        <v>June</v>
      </c>
      <c r="M319" s="888">
        <f t="shared" si="116"/>
        <v>2050</v>
      </c>
      <c r="N319" s="883">
        <f t="shared" si="113"/>
        <v>0</v>
      </c>
      <c r="O319" s="883">
        <f t="shared" si="120"/>
        <v>0</v>
      </c>
      <c r="P319" s="1100"/>
      <c r="Q319" s="883">
        <f>IF(AND($AS$39="Early Payoff",J319&gt;=$S$13),0,IF($J319&gt;$S$6,0,IF(AND($AR$29&gt;0,$J319&lt;=$AR$29),0,+$O319-$R319)))</f>
        <v>0</v>
      </c>
      <c r="R319" s="884">
        <f t="shared" si="99"/>
        <v>0</v>
      </c>
      <c r="S319" s="884">
        <f>IF(AND($AS$39="Early Payoff",J319&gt;=$S$13),0,IF($J319&lt;=$S$6,SUM($Q$20:$Q319),0))</f>
        <v>0</v>
      </c>
      <c r="T319" s="884">
        <f>IF(AND($AS$39="Early Payoff",J319&gt;=$S$13),0,IF($J319&lt;=$S$6,SUM($R$20:$R319),0))</f>
        <v>0</v>
      </c>
      <c r="U319" s="885">
        <f t="shared" si="105"/>
        <v>0</v>
      </c>
      <c r="V319" s="1110">
        <f t="shared" si="100"/>
        <v>0</v>
      </c>
      <c r="X319" s="1102">
        <f t="shared" si="106"/>
        <v>0</v>
      </c>
      <c r="Y319" s="873">
        <f t="shared" si="107"/>
        <v>0</v>
      </c>
      <c r="Z319" s="873">
        <f t="shared" si="108"/>
        <v>0</v>
      </c>
      <c r="AA319" s="885">
        <f t="shared" si="109"/>
        <v>0</v>
      </c>
    </row>
    <row r="320" spans="2:27" s="278" customFormat="1" ht="12" customHeight="1" x14ac:dyDescent="0.25">
      <c r="B320" s="1192" t="e">
        <f t="shared" si="114"/>
        <v>#N/A</v>
      </c>
      <c r="C320" s="732">
        <f t="shared" si="101"/>
        <v>31</v>
      </c>
      <c r="D320" s="35">
        <f t="shared" si="102"/>
        <v>7</v>
      </c>
      <c r="E320" s="889">
        <f t="shared" si="117"/>
        <v>55000</v>
      </c>
      <c r="F320" s="822">
        <f t="shared" si="110"/>
        <v>7</v>
      </c>
      <c r="G320" s="500">
        <f t="shared" si="118"/>
        <v>31</v>
      </c>
      <c r="H320" s="126">
        <f t="shared" si="103"/>
        <v>0</v>
      </c>
      <c r="I320" s="1098">
        <f t="shared" si="119"/>
        <v>0</v>
      </c>
      <c r="J320" s="887">
        <f t="shared" si="115"/>
        <v>301</v>
      </c>
      <c r="K320" s="1099">
        <f t="shared" si="111"/>
        <v>301</v>
      </c>
      <c r="L320" s="891" t="str">
        <f t="shared" si="112"/>
        <v>July</v>
      </c>
      <c r="M320" s="888">
        <f t="shared" si="116"/>
        <v>2050</v>
      </c>
      <c r="N320" s="883">
        <f t="shared" si="113"/>
        <v>0</v>
      </c>
      <c r="O320" s="883">
        <f t="shared" si="120"/>
        <v>0</v>
      </c>
      <c r="P320" s="1100"/>
      <c r="Q320" s="883">
        <f t="shared" si="104"/>
        <v>0</v>
      </c>
      <c r="R320" s="884">
        <f t="shared" si="99"/>
        <v>0</v>
      </c>
      <c r="S320" s="884">
        <f>IF(AND($AS$39="Early Payoff",J320&gt;=$S$13),0,IF($J320&lt;=$S$6,SUM($Q$20:$Q320),0))</f>
        <v>0</v>
      </c>
      <c r="T320" s="884">
        <f>IF(AND($AS$39="Early Payoff",J320&gt;=$S$13),0,IF($J320&lt;=$S$6,SUM($R$20:$R320),0))</f>
        <v>0</v>
      </c>
      <c r="U320" s="885">
        <f t="shared" si="105"/>
        <v>0</v>
      </c>
      <c r="V320" s="1110">
        <f t="shared" si="100"/>
        <v>0</v>
      </c>
      <c r="X320" s="1102">
        <f t="shared" si="106"/>
        <v>0</v>
      </c>
      <c r="Y320" s="873">
        <f t="shared" si="107"/>
        <v>0</v>
      </c>
      <c r="Z320" s="873">
        <f t="shared" si="108"/>
        <v>0</v>
      </c>
      <c r="AA320" s="885">
        <f t="shared" si="109"/>
        <v>0</v>
      </c>
    </row>
    <row r="321" spans="2:27" s="278" customFormat="1" ht="12" customHeight="1" x14ac:dyDescent="0.25">
      <c r="B321" s="1192" t="e">
        <f t="shared" si="114"/>
        <v>#N/A</v>
      </c>
      <c r="C321" s="732">
        <f t="shared" si="101"/>
        <v>31</v>
      </c>
      <c r="D321" s="35">
        <f t="shared" si="102"/>
        <v>8</v>
      </c>
      <c r="E321" s="889">
        <f t="shared" si="117"/>
        <v>55031</v>
      </c>
      <c r="F321" s="822">
        <f t="shared" si="110"/>
        <v>8</v>
      </c>
      <c r="G321" s="500">
        <f t="shared" si="118"/>
        <v>31</v>
      </c>
      <c r="H321" s="126">
        <f t="shared" si="103"/>
        <v>0</v>
      </c>
      <c r="I321" s="1098">
        <f t="shared" si="119"/>
        <v>0</v>
      </c>
      <c r="J321" s="887">
        <f t="shared" si="115"/>
        <v>302</v>
      </c>
      <c r="K321" s="1099">
        <f t="shared" si="111"/>
        <v>302</v>
      </c>
      <c r="L321" s="891" t="str">
        <f t="shared" si="112"/>
        <v>August</v>
      </c>
      <c r="M321" s="888">
        <f t="shared" si="116"/>
        <v>2050</v>
      </c>
      <c r="N321" s="883">
        <f t="shared" si="113"/>
        <v>0</v>
      </c>
      <c r="O321" s="883">
        <f t="shared" si="120"/>
        <v>0</v>
      </c>
      <c r="P321" s="1100"/>
      <c r="Q321" s="883">
        <f t="shared" si="104"/>
        <v>0</v>
      </c>
      <c r="R321" s="884">
        <f t="shared" si="99"/>
        <v>0</v>
      </c>
      <c r="S321" s="884">
        <f>IF(AND($AS$39="Early Payoff",J321&gt;=$S$13),0,IF($J321&lt;=$S$6,SUM($Q$20:$Q321),0))</f>
        <v>0</v>
      </c>
      <c r="T321" s="884">
        <f>IF(AND($AS$39="Early Payoff",J321&gt;=$S$13),0,IF($J321&lt;=$S$6,SUM($R$20:$R321),0))</f>
        <v>0</v>
      </c>
      <c r="U321" s="885">
        <f t="shared" si="105"/>
        <v>0</v>
      </c>
      <c r="V321" s="1110">
        <f t="shared" si="100"/>
        <v>0</v>
      </c>
      <c r="X321" s="1102">
        <f t="shared" si="106"/>
        <v>0</v>
      </c>
      <c r="Y321" s="873">
        <f t="shared" si="107"/>
        <v>0</v>
      </c>
      <c r="Z321" s="873">
        <f t="shared" si="108"/>
        <v>0</v>
      </c>
      <c r="AA321" s="885">
        <f t="shared" si="109"/>
        <v>0</v>
      </c>
    </row>
    <row r="322" spans="2:27" s="278" customFormat="1" ht="12" customHeight="1" x14ac:dyDescent="0.25">
      <c r="B322" s="1192" t="e">
        <f t="shared" si="114"/>
        <v>#N/A</v>
      </c>
      <c r="C322" s="732">
        <f t="shared" si="101"/>
        <v>30</v>
      </c>
      <c r="D322" s="35">
        <f t="shared" si="102"/>
        <v>9</v>
      </c>
      <c r="E322" s="889">
        <f t="shared" si="117"/>
        <v>55061</v>
      </c>
      <c r="F322" s="822">
        <f t="shared" si="110"/>
        <v>9</v>
      </c>
      <c r="G322" s="500">
        <f t="shared" si="118"/>
        <v>30</v>
      </c>
      <c r="H322" s="126">
        <f t="shared" si="103"/>
        <v>0</v>
      </c>
      <c r="I322" s="1098">
        <f t="shared" si="119"/>
        <v>0</v>
      </c>
      <c r="J322" s="887">
        <f t="shared" si="115"/>
        <v>303</v>
      </c>
      <c r="K322" s="1099">
        <f t="shared" si="111"/>
        <v>303</v>
      </c>
      <c r="L322" s="891" t="str">
        <f t="shared" si="112"/>
        <v>September</v>
      </c>
      <c r="M322" s="888">
        <f t="shared" si="116"/>
        <v>2050</v>
      </c>
      <c r="N322" s="883">
        <f t="shared" si="113"/>
        <v>0</v>
      </c>
      <c r="O322" s="883">
        <f>IF(AND($AS$39="Early Payoff",J322&gt;=$S$13),0,IF($J322&gt;$S$6,0,IF(AND($AR$29&gt;=0,$J322&lt;=$AR$29),0,IF(AND($AR$27&gt;=0,$J322&lt;=$AR$27),$R322,IF($K322=$T$7,SUM(R322,-N322),IF(AND($T$4="Annual",$AR$27&gt;=0,$AR$29&gt;=0,$J322&gt;$AR$27,$J322&gt;$AR$29),PMT($M$7,($S$6-$AR$27),$M$4),IF(AND($T$4="Bi-Annual",$AR$27&gt;=0,$AR$29&gt;=0,$J322&gt;$AR$27,$J322&gt;$AR$29),PMT($M$7/2,($S$6-($AR$27+1)),$M$4),IF(AND($T$4="Monthly",$AR$27&gt;=0,$AR$29&gt;=0,$J322&gt;$AR$27,$J322&gt;$AR$29),PMT($M$7/12,($S$6-$AR$27),$M$4)))))))))-P322</f>
        <v>0</v>
      </c>
      <c r="P322" s="1100"/>
      <c r="Q322" s="883">
        <f t="shared" si="104"/>
        <v>0</v>
      </c>
      <c r="R322" s="884">
        <f t="shared" si="99"/>
        <v>0</v>
      </c>
      <c r="S322" s="884">
        <f>IF(AND($AS$39="Early Payoff",J322&gt;=$S$13),0,IF($J322&lt;=$S$6,SUM($Q$20:$Q322),0))</f>
        <v>0</v>
      </c>
      <c r="T322" s="884">
        <f>IF(AND($AS$39="Early Payoff",J322&gt;=$S$13),0,IF($J322&lt;=$S$6,SUM($R$20:$R322),0))</f>
        <v>0</v>
      </c>
      <c r="U322" s="885">
        <f t="shared" si="105"/>
        <v>0</v>
      </c>
      <c r="V322" s="1110">
        <f t="shared" si="100"/>
        <v>0</v>
      </c>
      <c r="X322" s="1102">
        <f t="shared" si="106"/>
        <v>0</v>
      </c>
      <c r="Y322" s="873">
        <f t="shared" si="107"/>
        <v>0</v>
      </c>
      <c r="Z322" s="873">
        <f t="shared" si="108"/>
        <v>0</v>
      </c>
      <c r="AA322" s="885">
        <f t="shared" si="109"/>
        <v>0</v>
      </c>
    </row>
    <row r="323" spans="2:27" s="278" customFormat="1" ht="12" customHeight="1" x14ac:dyDescent="0.25">
      <c r="B323" s="1192" t="e">
        <f t="shared" si="114"/>
        <v>#N/A</v>
      </c>
      <c r="C323" s="732">
        <f t="shared" si="101"/>
        <v>31</v>
      </c>
      <c r="D323" s="35">
        <f t="shared" si="102"/>
        <v>10</v>
      </c>
      <c r="E323" s="889">
        <f t="shared" si="117"/>
        <v>55092</v>
      </c>
      <c r="F323" s="822">
        <f t="shared" si="110"/>
        <v>10</v>
      </c>
      <c r="G323" s="500">
        <f t="shared" si="118"/>
        <v>31</v>
      </c>
      <c r="H323" s="126">
        <f t="shared" si="103"/>
        <v>0</v>
      </c>
      <c r="I323" s="1098">
        <f t="shared" si="119"/>
        <v>0</v>
      </c>
      <c r="J323" s="887">
        <f t="shared" si="115"/>
        <v>304</v>
      </c>
      <c r="K323" s="1099">
        <f t="shared" si="111"/>
        <v>304</v>
      </c>
      <c r="L323" s="891" t="str">
        <f t="shared" si="112"/>
        <v>October</v>
      </c>
      <c r="M323" s="888">
        <f t="shared" si="116"/>
        <v>2050</v>
      </c>
      <c r="N323" s="883">
        <f t="shared" si="113"/>
        <v>0</v>
      </c>
      <c r="O323" s="883">
        <f t="shared" ref="O323:O378" si="121">IF(AND($AS$39="Early Payoff",J323&gt;=$S$13),0,IF($J323&gt;$S$6,0,IF(AND($AR$29&gt;=0,$J323&lt;=$AR$29),0,IF(AND($AR$27&gt;=0,$J323&lt;=$AR$27),$R323,IF($K323=$T$7,SUM(R323,-N323),IF(AND($T$4="Annual",$AR$27&gt;=0,$AR$29&gt;=0,$J323&gt;$AR$27,$J323&gt;$AR$29),PMT($M$7,($S$6-$AR$27),$M$4),IF(AND($T$4="Bi-Annual",$AR$27&gt;=0,$AR$29&gt;=0,$J323&gt;$AR$27,$J323&gt;$AR$29),PMT($M$7/2,($S$6-($AR$27+1)),$M$4),IF(AND($T$4="Monthly",$AR$27&gt;=0,$AR$29&gt;=0,$J323&gt;$AR$27,$J323&gt;$AR$29),PMT($M$7/12,($S$6-$AR$27),$M$4)))))))))-P323</f>
        <v>0</v>
      </c>
      <c r="P323" s="1100"/>
      <c r="Q323" s="883">
        <f t="shared" si="104"/>
        <v>0</v>
      </c>
      <c r="R323" s="884">
        <f t="shared" si="99"/>
        <v>0</v>
      </c>
      <c r="S323" s="884">
        <f>IF(AND($AS$39="Early Payoff",J323&gt;=$S$13),0,IF($J323&lt;=$S$6,SUM($Q$20:$Q323),0))</f>
        <v>0</v>
      </c>
      <c r="T323" s="884">
        <f>IF(AND($AS$39="Early Payoff",J323&gt;=$S$13),0,IF($J323&lt;=$S$6,SUM($R$20:$R323),0))</f>
        <v>0</v>
      </c>
      <c r="U323" s="885">
        <f t="shared" si="105"/>
        <v>0</v>
      </c>
      <c r="V323" s="1110">
        <f t="shared" si="100"/>
        <v>0</v>
      </c>
      <c r="X323" s="1102">
        <f t="shared" si="106"/>
        <v>0</v>
      </c>
      <c r="Y323" s="873">
        <f t="shared" si="107"/>
        <v>0</v>
      </c>
      <c r="Z323" s="873">
        <f t="shared" si="108"/>
        <v>0</v>
      </c>
      <c r="AA323" s="885">
        <f t="shared" si="109"/>
        <v>0</v>
      </c>
    </row>
    <row r="324" spans="2:27" s="278" customFormat="1" ht="12" customHeight="1" x14ac:dyDescent="0.25">
      <c r="B324" s="1192" t="e">
        <f t="shared" si="114"/>
        <v>#N/A</v>
      </c>
      <c r="C324" s="732">
        <f t="shared" si="101"/>
        <v>30</v>
      </c>
      <c r="D324" s="35">
        <f t="shared" si="102"/>
        <v>11</v>
      </c>
      <c r="E324" s="889">
        <f t="shared" si="117"/>
        <v>55122</v>
      </c>
      <c r="F324" s="822">
        <f t="shared" si="110"/>
        <v>11</v>
      </c>
      <c r="G324" s="500">
        <f t="shared" si="118"/>
        <v>30</v>
      </c>
      <c r="H324" s="126">
        <f t="shared" si="103"/>
        <v>0</v>
      </c>
      <c r="I324" s="1098">
        <f t="shared" si="119"/>
        <v>0</v>
      </c>
      <c r="J324" s="887">
        <f t="shared" si="115"/>
        <v>305</v>
      </c>
      <c r="K324" s="1099">
        <f t="shared" si="111"/>
        <v>305</v>
      </c>
      <c r="L324" s="891" t="str">
        <f t="shared" si="112"/>
        <v>November</v>
      </c>
      <c r="M324" s="888">
        <f t="shared" si="116"/>
        <v>2050</v>
      </c>
      <c r="N324" s="883">
        <f t="shared" si="113"/>
        <v>0</v>
      </c>
      <c r="O324" s="883">
        <f t="shared" si="121"/>
        <v>0</v>
      </c>
      <c r="P324" s="1100"/>
      <c r="Q324" s="883">
        <f t="shared" si="104"/>
        <v>0</v>
      </c>
      <c r="R324" s="884">
        <f t="shared" si="99"/>
        <v>0</v>
      </c>
      <c r="S324" s="884">
        <f>IF(AND($AS$39="Early Payoff",J324&gt;=$S$13),0,IF($J324&lt;=$S$6,SUM($Q$20:$Q324),0))</f>
        <v>0</v>
      </c>
      <c r="T324" s="884">
        <f>IF(AND($AS$39="Early Payoff",J324&gt;=$S$13),0,IF($J324&lt;=$S$6,SUM($R$20:$R324),0))</f>
        <v>0</v>
      </c>
      <c r="U324" s="885">
        <f t="shared" si="105"/>
        <v>0</v>
      </c>
      <c r="V324" s="1110">
        <f t="shared" si="100"/>
        <v>0</v>
      </c>
      <c r="X324" s="1102">
        <f t="shared" si="106"/>
        <v>0</v>
      </c>
      <c r="Y324" s="873">
        <f t="shared" si="107"/>
        <v>0</v>
      </c>
      <c r="Z324" s="873">
        <f t="shared" si="108"/>
        <v>0</v>
      </c>
      <c r="AA324" s="885">
        <f t="shared" si="109"/>
        <v>0</v>
      </c>
    </row>
    <row r="325" spans="2:27" s="278" customFormat="1" ht="12" customHeight="1" x14ac:dyDescent="0.25">
      <c r="B325" s="1192" t="e">
        <f t="shared" si="114"/>
        <v>#N/A</v>
      </c>
      <c r="C325" s="732">
        <f t="shared" si="101"/>
        <v>31</v>
      </c>
      <c r="D325" s="35">
        <f t="shared" si="102"/>
        <v>12</v>
      </c>
      <c r="E325" s="889">
        <f t="shared" si="117"/>
        <v>55153</v>
      </c>
      <c r="F325" s="822">
        <f t="shared" si="110"/>
        <v>12</v>
      </c>
      <c r="G325" s="500">
        <f t="shared" si="118"/>
        <v>31</v>
      </c>
      <c r="H325" s="126">
        <f t="shared" si="103"/>
        <v>1</v>
      </c>
      <c r="I325" s="1098">
        <f t="shared" si="119"/>
        <v>0</v>
      </c>
      <c r="J325" s="887">
        <f t="shared" si="115"/>
        <v>306</v>
      </c>
      <c r="K325" s="1099">
        <f t="shared" si="111"/>
        <v>306</v>
      </c>
      <c r="L325" s="891" t="str">
        <f t="shared" si="112"/>
        <v>December</v>
      </c>
      <c r="M325" s="888">
        <f t="shared" si="116"/>
        <v>2050</v>
      </c>
      <c r="N325" s="883">
        <f t="shared" si="113"/>
        <v>0</v>
      </c>
      <c r="O325" s="883">
        <f t="shared" si="121"/>
        <v>0</v>
      </c>
      <c r="P325" s="1100"/>
      <c r="Q325" s="883">
        <f t="shared" si="104"/>
        <v>0</v>
      </c>
      <c r="R325" s="884">
        <f t="shared" si="99"/>
        <v>0</v>
      </c>
      <c r="S325" s="884">
        <f>IF(AND($AS$39="Early Payoff",J325&gt;=$S$13),0,IF($J325&lt;=$S$6,SUM($Q$20:$Q325),0))</f>
        <v>0</v>
      </c>
      <c r="T325" s="884">
        <f>IF(AND($AS$39="Early Payoff",J325&gt;=$S$13),0,IF($J325&lt;=$S$6,SUM($R$20:$R325),0))</f>
        <v>0</v>
      </c>
      <c r="U325" s="885">
        <f t="shared" si="105"/>
        <v>0</v>
      </c>
      <c r="V325" s="1110">
        <f t="shared" si="100"/>
        <v>0</v>
      </c>
      <c r="X325" s="1102">
        <f t="shared" si="106"/>
        <v>0</v>
      </c>
      <c r="Y325" s="873">
        <f t="shared" si="107"/>
        <v>0</v>
      </c>
      <c r="Z325" s="873">
        <f t="shared" si="108"/>
        <v>0</v>
      </c>
      <c r="AA325" s="885">
        <f t="shared" si="109"/>
        <v>0</v>
      </c>
    </row>
    <row r="326" spans="2:27" s="278" customFormat="1" ht="12" customHeight="1" x14ac:dyDescent="0.25">
      <c r="B326" s="1192" t="e">
        <f t="shared" si="114"/>
        <v>#N/A</v>
      </c>
      <c r="C326" s="732">
        <f t="shared" si="101"/>
        <v>31</v>
      </c>
      <c r="D326" s="35">
        <f t="shared" si="102"/>
        <v>1</v>
      </c>
      <c r="E326" s="889">
        <f t="shared" si="117"/>
        <v>55184</v>
      </c>
      <c r="F326" s="822">
        <f t="shared" si="110"/>
        <v>1</v>
      </c>
      <c r="G326" s="500">
        <f t="shared" si="118"/>
        <v>31</v>
      </c>
      <c r="H326" s="126">
        <f t="shared" si="103"/>
        <v>0</v>
      </c>
      <c r="I326" s="1098">
        <f t="shared" si="119"/>
        <v>0</v>
      </c>
      <c r="J326" s="887">
        <f t="shared" si="115"/>
        <v>307</v>
      </c>
      <c r="K326" s="1099">
        <f t="shared" si="111"/>
        <v>307</v>
      </c>
      <c r="L326" s="891" t="str">
        <f t="shared" si="112"/>
        <v>January</v>
      </c>
      <c r="M326" s="888">
        <f t="shared" si="116"/>
        <v>2051</v>
      </c>
      <c r="N326" s="883">
        <f t="shared" si="113"/>
        <v>0</v>
      </c>
      <c r="O326" s="883">
        <f t="shared" si="121"/>
        <v>0</v>
      </c>
      <c r="P326" s="1100"/>
      <c r="Q326" s="883">
        <f t="shared" si="104"/>
        <v>0</v>
      </c>
      <c r="R326" s="884">
        <f t="shared" ref="R326:R378" si="122">IF(AND($AS$39="Early Payoff",J326&gt;=$S$13),0,IF($T$4="Annual",-$M$7*$U325*1,IF($T$4="Bi-Annual",(-$M$7/2)*$U325*1,IF($T$4="Monthly",(-$M$7/12)*$U325*1))))</f>
        <v>0</v>
      </c>
      <c r="S326" s="884">
        <f>IF(AND($AS$39="Early Payoff",J326&gt;=$S$13),0,IF($J326&lt;=$S$6,SUM($Q$20:$Q326),0))</f>
        <v>0</v>
      </c>
      <c r="T326" s="884">
        <f>IF(AND($AS$39="Early Payoff",J326&gt;=$S$13),0,IF($J326&lt;=$S$6,SUM($R$20:$R326),0))</f>
        <v>0</v>
      </c>
      <c r="U326" s="885">
        <f t="shared" si="105"/>
        <v>0</v>
      </c>
      <c r="V326" s="1110">
        <f t="shared" ref="V326:V389" si="123">IF($T$4="Monthly",$N326,IF(AND(OR($T$4="Annual",$T$4="Bi-Annual"),$K326=$T$7),INDEX($J$19:$U$379,MATCH($T$7,$K$19:$K$2379,0),MATCH($N$19,$J$19:$U$19,0)),IF(AND(OR($T$4="Annual",$T$4="Bi-Annual"),$K326&lt;$T$7),$N326,0)))</f>
        <v>0</v>
      </c>
      <c r="X326" s="1102">
        <f t="shared" si="106"/>
        <v>0</v>
      </c>
      <c r="Y326" s="873">
        <f t="shared" si="107"/>
        <v>0</v>
      </c>
      <c r="Z326" s="873">
        <f t="shared" si="108"/>
        <v>0</v>
      </c>
      <c r="AA326" s="885">
        <f t="shared" si="109"/>
        <v>0</v>
      </c>
    </row>
    <row r="327" spans="2:27" s="278" customFormat="1" ht="12" customHeight="1" x14ac:dyDescent="0.25">
      <c r="B327" s="1192" t="e">
        <f t="shared" si="114"/>
        <v>#N/A</v>
      </c>
      <c r="C327" s="732">
        <f t="shared" si="101"/>
        <v>28</v>
      </c>
      <c r="D327" s="35">
        <f t="shared" si="102"/>
        <v>2</v>
      </c>
      <c r="E327" s="889">
        <f t="shared" si="117"/>
        <v>55212</v>
      </c>
      <c r="F327" s="822">
        <f t="shared" si="110"/>
        <v>2</v>
      </c>
      <c r="G327" s="500">
        <f t="shared" si="118"/>
        <v>28</v>
      </c>
      <c r="H327" s="126">
        <f t="shared" si="103"/>
        <v>0</v>
      </c>
      <c r="I327" s="1098">
        <f t="shared" si="119"/>
        <v>0</v>
      </c>
      <c r="J327" s="887">
        <f t="shared" si="115"/>
        <v>308</v>
      </c>
      <c r="K327" s="1099">
        <f t="shared" si="111"/>
        <v>308</v>
      </c>
      <c r="L327" s="891" t="str">
        <f t="shared" si="112"/>
        <v>February</v>
      </c>
      <c r="M327" s="888">
        <f t="shared" si="116"/>
        <v>2051</v>
      </c>
      <c r="N327" s="883">
        <f t="shared" si="113"/>
        <v>0</v>
      </c>
      <c r="O327" s="883">
        <f t="shared" si="121"/>
        <v>0</v>
      </c>
      <c r="P327" s="1100"/>
      <c r="Q327" s="883">
        <f t="shared" si="104"/>
        <v>0</v>
      </c>
      <c r="R327" s="884">
        <f t="shared" si="122"/>
        <v>0</v>
      </c>
      <c r="S327" s="884">
        <f>IF(AND($AS$39="Early Payoff",J327&gt;=$S$13),0,IF($J327&lt;=$S$6,SUM($Q$20:$Q327),0))</f>
        <v>0</v>
      </c>
      <c r="T327" s="884">
        <f>IF(AND($AS$39="Early Payoff",J327&gt;=$S$13),0,IF($J327&lt;=$S$6,SUM($R$20:$R327),0))</f>
        <v>0</v>
      </c>
      <c r="U327" s="885">
        <f t="shared" si="105"/>
        <v>0</v>
      </c>
      <c r="V327" s="1110">
        <f t="shared" si="123"/>
        <v>0</v>
      </c>
      <c r="X327" s="1102">
        <f t="shared" si="106"/>
        <v>0</v>
      </c>
      <c r="Y327" s="873">
        <f t="shared" si="107"/>
        <v>0</v>
      </c>
      <c r="Z327" s="873">
        <f t="shared" si="108"/>
        <v>0</v>
      </c>
      <c r="AA327" s="885">
        <f t="shared" si="109"/>
        <v>0</v>
      </c>
    </row>
    <row r="328" spans="2:27" s="278" customFormat="1" ht="12" customHeight="1" x14ac:dyDescent="0.25">
      <c r="B328" s="1192" t="e">
        <f t="shared" si="114"/>
        <v>#N/A</v>
      </c>
      <c r="C328" s="732">
        <f t="shared" si="101"/>
        <v>31</v>
      </c>
      <c r="D328" s="35">
        <f t="shared" si="102"/>
        <v>3</v>
      </c>
      <c r="E328" s="889">
        <f t="shared" si="117"/>
        <v>55243</v>
      </c>
      <c r="F328" s="822">
        <f t="shared" si="110"/>
        <v>3</v>
      </c>
      <c r="G328" s="500">
        <f t="shared" si="118"/>
        <v>31</v>
      </c>
      <c r="H328" s="126">
        <f t="shared" si="103"/>
        <v>0</v>
      </c>
      <c r="I328" s="1098">
        <f t="shared" si="119"/>
        <v>0</v>
      </c>
      <c r="J328" s="887">
        <f t="shared" si="115"/>
        <v>309</v>
      </c>
      <c r="K328" s="1099">
        <f t="shared" si="111"/>
        <v>309</v>
      </c>
      <c r="L328" s="891" t="str">
        <f t="shared" si="112"/>
        <v>March</v>
      </c>
      <c r="M328" s="888">
        <f t="shared" si="116"/>
        <v>2051</v>
      </c>
      <c r="N328" s="883">
        <f t="shared" si="113"/>
        <v>0</v>
      </c>
      <c r="O328" s="883">
        <f t="shared" si="121"/>
        <v>0</v>
      </c>
      <c r="P328" s="1100"/>
      <c r="Q328" s="883">
        <f t="shared" si="104"/>
        <v>0</v>
      </c>
      <c r="R328" s="884">
        <f t="shared" si="122"/>
        <v>0</v>
      </c>
      <c r="S328" s="884">
        <f>IF(AND($AS$39="Early Payoff",J328&gt;=$S$13),0,IF($J328&lt;=$S$6,SUM($Q$20:$Q328),0))</f>
        <v>0</v>
      </c>
      <c r="T328" s="884">
        <f>IF(AND($AS$39="Early Payoff",J328&gt;=$S$13),0,IF($J328&lt;=$S$6,SUM($R$20:$R328),0))</f>
        <v>0</v>
      </c>
      <c r="U328" s="885">
        <f t="shared" si="105"/>
        <v>0</v>
      </c>
      <c r="V328" s="1110">
        <f t="shared" si="123"/>
        <v>0</v>
      </c>
      <c r="X328" s="1102">
        <f t="shared" si="106"/>
        <v>0</v>
      </c>
      <c r="Y328" s="873">
        <f t="shared" si="107"/>
        <v>0</v>
      </c>
      <c r="Z328" s="873">
        <f t="shared" si="108"/>
        <v>0</v>
      </c>
      <c r="AA328" s="885">
        <f t="shared" si="109"/>
        <v>0</v>
      </c>
    </row>
    <row r="329" spans="2:27" s="278" customFormat="1" ht="12" customHeight="1" x14ac:dyDescent="0.25">
      <c r="B329" s="1192" t="e">
        <f t="shared" si="114"/>
        <v>#N/A</v>
      </c>
      <c r="C329" s="732">
        <f t="shared" si="101"/>
        <v>30</v>
      </c>
      <c r="D329" s="35">
        <f t="shared" si="102"/>
        <v>4</v>
      </c>
      <c r="E329" s="889">
        <f t="shared" si="117"/>
        <v>55273</v>
      </c>
      <c r="F329" s="822">
        <f t="shared" si="110"/>
        <v>4</v>
      </c>
      <c r="G329" s="500">
        <f t="shared" si="118"/>
        <v>30</v>
      </c>
      <c r="H329" s="126">
        <f t="shared" si="103"/>
        <v>0</v>
      </c>
      <c r="I329" s="1098">
        <f t="shared" si="119"/>
        <v>0</v>
      </c>
      <c r="J329" s="887">
        <f t="shared" si="115"/>
        <v>310</v>
      </c>
      <c r="K329" s="1099">
        <f t="shared" si="111"/>
        <v>310</v>
      </c>
      <c r="L329" s="891" t="str">
        <f t="shared" si="112"/>
        <v>April</v>
      </c>
      <c r="M329" s="888">
        <f t="shared" si="116"/>
        <v>2051</v>
      </c>
      <c r="N329" s="883">
        <f t="shared" si="113"/>
        <v>0</v>
      </c>
      <c r="O329" s="883">
        <f t="shared" si="121"/>
        <v>0</v>
      </c>
      <c r="P329" s="1100"/>
      <c r="Q329" s="883">
        <f t="shared" si="104"/>
        <v>0</v>
      </c>
      <c r="R329" s="884">
        <f t="shared" si="122"/>
        <v>0</v>
      </c>
      <c r="S329" s="884">
        <f>IF(AND($AS$39="Early Payoff",J329&gt;=$S$13),0,IF($J329&lt;=$S$6,SUM($Q$20:$Q329),0))</f>
        <v>0</v>
      </c>
      <c r="T329" s="884">
        <f>IF(AND($AS$39="Early Payoff",J329&gt;=$S$13),0,IF($J329&lt;=$S$6,SUM($R$20:$R329),0))</f>
        <v>0</v>
      </c>
      <c r="U329" s="885">
        <f t="shared" si="105"/>
        <v>0</v>
      </c>
      <c r="V329" s="1110">
        <f t="shared" si="123"/>
        <v>0</v>
      </c>
      <c r="X329" s="1102">
        <f t="shared" si="106"/>
        <v>0</v>
      </c>
      <c r="Y329" s="873">
        <f t="shared" si="107"/>
        <v>0</v>
      </c>
      <c r="Z329" s="873">
        <f t="shared" si="108"/>
        <v>0</v>
      </c>
      <c r="AA329" s="885">
        <f t="shared" si="109"/>
        <v>0</v>
      </c>
    </row>
    <row r="330" spans="2:27" s="278" customFormat="1" ht="12" customHeight="1" x14ac:dyDescent="0.25">
      <c r="B330" s="1192" t="e">
        <f t="shared" si="114"/>
        <v>#N/A</v>
      </c>
      <c r="C330" s="732">
        <f t="shared" si="101"/>
        <v>31</v>
      </c>
      <c r="D330" s="35">
        <f t="shared" si="102"/>
        <v>5</v>
      </c>
      <c r="E330" s="889">
        <f t="shared" si="117"/>
        <v>55304</v>
      </c>
      <c r="F330" s="822">
        <f t="shared" si="110"/>
        <v>5</v>
      </c>
      <c r="G330" s="500">
        <f t="shared" si="118"/>
        <v>31</v>
      </c>
      <c r="H330" s="126">
        <f t="shared" si="103"/>
        <v>0</v>
      </c>
      <c r="I330" s="1098">
        <f t="shared" si="119"/>
        <v>0</v>
      </c>
      <c r="J330" s="887">
        <f t="shared" si="115"/>
        <v>311</v>
      </c>
      <c r="K330" s="1099">
        <f t="shared" si="111"/>
        <v>311</v>
      </c>
      <c r="L330" s="891" t="str">
        <f t="shared" si="112"/>
        <v>May</v>
      </c>
      <c r="M330" s="888">
        <f t="shared" si="116"/>
        <v>2051</v>
      </c>
      <c r="N330" s="883">
        <f t="shared" si="113"/>
        <v>0</v>
      </c>
      <c r="O330" s="883">
        <f t="shared" si="121"/>
        <v>0</v>
      </c>
      <c r="P330" s="1100"/>
      <c r="Q330" s="883">
        <f t="shared" si="104"/>
        <v>0</v>
      </c>
      <c r="R330" s="884">
        <f t="shared" si="122"/>
        <v>0</v>
      </c>
      <c r="S330" s="884">
        <f>IF(AND($AS$39="Early Payoff",J330&gt;=$S$13),0,IF($J330&lt;=$S$6,SUM($Q$20:$Q330),0))</f>
        <v>0</v>
      </c>
      <c r="T330" s="884">
        <f>IF(AND($AS$39="Early Payoff",J330&gt;=$S$13),0,IF($J330&lt;=$S$6,SUM($R$20:$R330),0))</f>
        <v>0</v>
      </c>
      <c r="U330" s="885">
        <f t="shared" si="105"/>
        <v>0</v>
      </c>
      <c r="V330" s="1110">
        <f t="shared" si="123"/>
        <v>0</v>
      </c>
      <c r="X330" s="1102">
        <f t="shared" si="106"/>
        <v>0</v>
      </c>
      <c r="Y330" s="873">
        <f t="shared" si="107"/>
        <v>0</v>
      </c>
      <c r="Z330" s="873">
        <f t="shared" si="108"/>
        <v>0</v>
      </c>
      <c r="AA330" s="885">
        <f t="shared" si="109"/>
        <v>0</v>
      </c>
    </row>
    <row r="331" spans="2:27" s="278" customFormat="1" ht="12" customHeight="1" x14ac:dyDescent="0.25">
      <c r="B331" s="1192" t="e">
        <f t="shared" si="114"/>
        <v>#N/A</v>
      </c>
      <c r="C331" s="732">
        <f t="shared" si="101"/>
        <v>30</v>
      </c>
      <c r="D331" s="35">
        <f t="shared" si="102"/>
        <v>6</v>
      </c>
      <c r="E331" s="889">
        <f t="shared" si="117"/>
        <v>55334</v>
      </c>
      <c r="F331" s="822">
        <f t="shared" si="110"/>
        <v>6</v>
      </c>
      <c r="G331" s="500">
        <f t="shared" si="118"/>
        <v>30</v>
      </c>
      <c r="H331" s="126">
        <f t="shared" si="103"/>
        <v>0</v>
      </c>
      <c r="I331" s="1098">
        <f t="shared" si="119"/>
        <v>0</v>
      </c>
      <c r="J331" s="887">
        <f t="shared" si="115"/>
        <v>312</v>
      </c>
      <c r="K331" s="1099">
        <f t="shared" si="111"/>
        <v>312</v>
      </c>
      <c r="L331" s="891" t="str">
        <f t="shared" si="112"/>
        <v>June</v>
      </c>
      <c r="M331" s="888">
        <f t="shared" si="116"/>
        <v>2051</v>
      </c>
      <c r="N331" s="883">
        <f t="shared" si="113"/>
        <v>0</v>
      </c>
      <c r="O331" s="883">
        <f t="shared" si="121"/>
        <v>0</v>
      </c>
      <c r="P331" s="1100"/>
      <c r="Q331" s="883">
        <f t="shared" si="104"/>
        <v>0</v>
      </c>
      <c r="R331" s="884">
        <f t="shared" si="122"/>
        <v>0</v>
      </c>
      <c r="S331" s="884">
        <f>IF(AND($AS$39="Early Payoff",J331&gt;=$S$13),0,IF($J331&lt;=$S$6,SUM($Q$20:$Q331),0))</f>
        <v>0</v>
      </c>
      <c r="T331" s="884">
        <f>IF(AND($AS$39="Early Payoff",J331&gt;=$S$13),0,IF($J331&lt;=$S$6,SUM($R$20:$R331),0))</f>
        <v>0</v>
      </c>
      <c r="U331" s="885">
        <f t="shared" si="105"/>
        <v>0</v>
      </c>
      <c r="V331" s="1110">
        <f t="shared" si="123"/>
        <v>0</v>
      </c>
      <c r="X331" s="1102">
        <f t="shared" si="106"/>
        <v>0</v>
      </c>
      <c r="Y331" s="873">
        <f t="shared" si="107"/>
        <v>0</v>
      </c>
      <c r="Z331" s="873">
        <f t="shared" si="108"/>
        <v>0</v>
      </c>
      <c r="AA331" s="885">
        <f t="shared" si="109"/>
        <v>0</v>
      </c>
    </row>
    <row r="332" spans="2:27" s="278" customFormat="1" ht="12" customHeight="1" x14ac:dyDescent="0.25">
      <c r="B332" s="1192" t="e">
        <f t="shared" si="114"/>
        <v>#N/A</v>
      </c>
      <c r="C332" s="732">
        <f t="shared" si="101"/>
        <v>31</v>
      </c>
      <c r="D332" s="35">
        <f t="shared" si="102"/>
        <v>7</v>
      </c>
      <c r="E332" s="889">
        <f t="shared" si="117"/>
        <v>55365</v>
      </c>
      <c r="F332" s="822">
        <f t="shared" si="110"/>
        <v>7</v>
      </c>
      <c r="G332" s="500">
        <f t="shared" si="118"/>
        <v>31</v>
      </c>
      <c r="H332" s="126">
        <f t="shared" si="103"/>
        <v>0</v>
      </c>
      <c r="I332" s="1098">
        <f t="shared" si="119"/>
        <v>0</v>
      </c>
      <c r="J332" s="887">
        <f t="shared" si="115"/>
        <v>313</v>
      </c>
      <c r="K332" s="1099">
        <f t="shared" si="111"/>
        <v>313</v>
      </c>
      <c r="L332" s="891" t="str">
        <f t="shared" si="112"/>
        <v>July</v>
      </c>
      <c r="M332" s="888">
        <f t="shared" si="116"/>
        <v>2051</v>
      </c>
      <c r="N332" s="883">
        <f t="shared" si="113"/>
        <v>0</v>
      </c>
      <c r="O332" s="883">
        <f t="shared" si="121"/>
        <v>0</v>
      </c>
      <c r="P332" s="1100"/>
      <c r="Q332" s="883">
        <f t="shared" si="104"/>
        <v>0</v>
      </c>
      <c r="R332" s="884">
        <f t="shared" si="122"/>
        <v>0</v>
      </c>
      <c r="S332" s="884">
        <f>IF(AND($AS$39="Early Payoff",J332&gt;=$S$13),0,IF($J332&lt;=$S$6,SUM($Q$20:$Q332),0))</f>
        <v>0</v>
      </c>
      <c r="T332" s="884">
        <f>IF(AND($AS$39="Early Payoff",J332&gt;=$S$13),0,IF($J332&lt;=$S$6,SUM($R$20:$R332),0))</f>
        <v>0</v>
      </c>
      <c r="U332" s="885">
        <f t="shared" si="105"/>
        <v>0</v>
      </c>
      <c r="V332" s="1110">
        <f t="shared" si="123"/>
        <v>0</v>
      </c>
      <c r="X332" s="1102">
        <f t="shared" si="106"/>
        <v>0</v>
      </c>
      <c r="Y332" s="873">
        <f t="shared" si="107"/>
        <v>0</v>
      </c>
      <c r="Z332" s="873">
        <f t="shared" si="108"/>
        <v>0</v>
      </c>
      <c r="AA332" s="885">
        <f t="shared" si="109"/>
        <v>0</v>
      </c>
    </row>
    <row r="333" spans="2:27" s="278" customFormat="1" ht="12" customHeight="1" x14ac:dyDescent="0.25">
      <c r="B333" s="1192" t="e">
        <f t="shared" si="114"/>
        <v>#N/A</v>
      </c>
      <c r="C333" s="732">
        <f t="shared" si="101"/>
        <v>31</v>
      </c>
      <c r="D333" s="35">
        <f t="shared" si="102"/>
        <v>8</v>
      </c>
      <c r="E333" s="889">
        <f t="shared" si="117"/>
        <v>55396</v>
      </c>
      <c r="F333" s="822">
        <f t="shared" si="110"/>
        <v>8</v>
      </c>
      <c r="G333" s="500">
        <f t="shared" si="118"/>
        <v>31</v>
      </c>
      <c r="H333" s="126">
        <f t="shared" si="103"/>
        <v>0</v>
      </c>
      <c r="I333" s="1098">
        <f t="shared" si="119"/>
        <v>0</v>
      </c>
      <c r="J333" s="887">
        <f t="shared" si="115"/>
        <v>314</v>
      </c>
      <c r="K333" s="1099">
        <f t="shared" si="111"/>
        <v>314</v>
      </c>
      <c r="L333" s="891" t="str">
        <f t="shared" si="112"/>
        <v>August</v>
      </c>
      <c r="M333" s="888">
        <f t="shared" si="116"/>
        <v>2051</v>
      </c>
      <c r="N333" s="883">
        <f t="shared" si="113"/>
        <v>0</v>
      </c>
      <c r="O333" s="883">
        <f t="shared" si="121"/>
        <v>0</v>
      </c>
      <c r="P333" s="1100"/>
      <c r="Q333" s="883">
        <f t="shared" si="104"/>
        <v>0</v>
      </c>
      <c r="R333" s="884">
        <f t="shared" si="122"/>
        <v>0</v>
      </c>
      <c r="S333" s="884">
        <f>IF(AND($AS$39="Early Payoff",J333&gt;=$S$13),0,IF($J333&lt;=$S$6,SUM($Q$20:$Q333),0))</f>
        <v>0</v>
      </c>
      <c r="T333" s="884">
        <f>IF(AND($AS$39="Early Payoff",J333&gt;=$S$13),0,IF($J333&lt;=$S$6,SUM($R$20:$R333),0))</f>
        <v>0</v>
      </c>
      <c r="U333" s="885">
        <f t="shared" si="105"/>
        <v>0</v>
      </c>
      <c r="V333" s="1110">
        <f t="shared" si="123"/>
        <v>0</v>
      </c>
      <c r="X333" s="1102">
        <f t="shared" si="106"/>
        <v>0</v>
      </c>
      <c r="Y333" s="873">
        <f t="shared" si="107"/>
        <v>0</v>
      </c>
      <c r="Z333" s="873">
        <f t="shared" si="108"/>
        <v>0</v>
      </c>
      <c r="AA333" s="885">
        <f t="shared" si="109"/>
        <v>0</v>
      </c>
    </row>
    <row r="334" spans="2:27" s="278" customFormat="1" ht="12" customHeight="1" x14ac:dyDescent="0.25">
      <c r="B334" s="1192" t="e">
        <f t="shared" si="114"/>
        <v>#N/A</v>
      </c>
      <c r="C334" s="732">
        <f t="shared" si="101"/>
        <v>30</v>
      </c>
      <c r="D334" s="35">
        <f t="shared" si="102"/>
        <v>9</v>
      </c>
      <c r="E334" s="889">
        <f t="shared" si="117"/>
        <v>55426</v>
      </c>
      <c r="F334" s="822">
        <f t="shared" si="110"/>
        <v>9</v>
      </c>
      <c r="G334" s="500">
        <f t="shared" si="118"/>
        <v>30</v>
      </c>
      <c r="H334" s="126">
        <f t="shared" si="103"/>
        <v>0</v>
      </c>
      <c r="I334" s="1098">
        <f t="shared" si="119"/>
        <v>0</v>
      </c>
      <c r="J334" s="887">
        <f t="shared" si="115"/>
        <v>315</v>
      </c>
      <c r="K334" s="1099">
        <f t="shared" si="111"/>
        <v>315</v>
      </c>
      <c r="L334" s="891" t="str">
        <f t="shared" si="112"/>
        <v>September</v>
      </c>
      <c r="M334" s="888">
        <f t="shared" si="116"/>
        <v>2051</v>
      </c>
      <c r="N334" s="883">
        <f t="shared" si="113"/>
        <v>0</v>
      </c>
      <c r="O334" s="883">
        <f t="shared" si="121"/>
        <v>0</v>
      </c>
      <c r="P334" s="1100"/>
      <c r="Q334" s="883">
        <f t="shared" si="104"/>
        <v>0</v>
      </c>
      <c r="R334" s="884">
        <f t="shared" si="122"/>
        <v>0</v>
      </c>
      <c r="S334" s="884">
        <f>IF(AND($AS$39="Early Payoff",J334&gt;=$S$13),0,IF($J334&lt;=$S$6,SUM($Q$20:$Q334),0))</f>
        <v>0</v>
      </c>
      <c r="T334" s="884">
        <f>IF(AND($AS$39="Early Payoff",J334&gt;=$S$13),0,IF($J334&lt;=$S$6,SUM($R$20:$R334),0))</f>
        <v>0</v>
      </c>
      <c r="U334" s="885">
        <f t="shared" si="105"/>
        <v>0</v>
      </c>
      <c r="V334" s="1110">
        <f t="shared" si="123"/>
        <v>0</v>
      </c>
      <c r="X334" s="1102">
        <f t="shared" si="106"/>
        <v>0</v>
      </c>
      <c r="Y334" s="873">
        <f t="shared" si="107"/>
        <v>0</v>
      </c>
      <c r="Z334" s="873">
        <f t="shared" si="108"/>
        <v>0</v>
      </c>
      <c r="AA334" s="885">
        <f t="shared" si="109"/>
        <v>0</v>
      </c>
    </row>
    <row r="335" spans="2:27" s="278" customFormat="1" ht="12" customHeight="1" x14ac:dyDescent="0.25">
      <c r="B335" s="1192" t="e">
        <f t="shared" si="114"/>
        <v>#N/A</v>
      </c>
      <c r="C335" s="732">
        <f t="shared" si="101"/>
        <v>31</v>
      </c>
      <c r="D335" s="35">
        <f t="shared" si="102"/>
        <v>10</v>
      </c>
      <c r="E335" s="889">
        <f t="shared" si="117"/>
        <v>55457</v>
      </c>
      <c r="F335" s="822">
        <f t="shared" si="110"/>
        <v>10</v>
      </c>
      <c r="G335" s="500">
        <f t="shared" si="118"/>
        <v>31</v>
      </c>
      <c r="H335" s="126">
        <f t="shared" si="103"/>
        <v>0</v>
      </c>
      <c r="I335" s="1098">
        <f t="shared" si="119"/>
        <v>0</v>
      </c>
      <c r="J335" s="887">
        <f t="shared" si="115"/>
        <v>316</v>
      </c>
      <c r="K335" s="1099">
        <f t="shared" si="111"/>
        <v>316</v>
      </c>
      <c r="L335" s="891" t="str">
        <f t="shared" si="112"/>
        <v>October</v>
      </c>
      <c r="M335" s="888">
        <f t="shared" si="116"/>
        <v>2051</v>
      </c>
      <c r="N335" s="883">
        <f t="shared" si="113"/>
        <v>0</v>
      </c>
      <c r="O335" s="883">
        <f t="shared" si="121"/>
        <v>0</v>
      </c>
      <c r="P335" s="1100"/>
      <c r="Q335" s="883">
        <f t="shared" si="104"/>
        <v>0</v>
      </c>
      <c r="R335" s="884">
        <f t="shared" si="122"/>
        <v>0</v>
      </c>
      <c r="S335" s="884">
        <f>IF(AND($AS$39="Early Payoff",J335&gt;=$S$13),0,IF($J335&lt;=$S$6,SUM($Q$20:$Q335),0))</f>
        <v>0</v>
      </c>
      <c r="T335" s="884">
        <f>IF(AND($AS$39="Early Payoff",J335&gt;=$S$13),0,IF($J335&lt;=$S$6,SUM($R$20:$R335),0))</f>
        <v>0</v>
      </c>
      <c r="U335" s="885">
        <f t="shared" si="105"/>
        <v>0</v>
      </c>
      <c r="V335" s="1110">
        <f t="shared" si="123"/>
        <v>0</v>
      </c>
      <c r="X335" s="1102">
        <f t="shared" si="106"/>
        <v>0</v>
      </c>
      <c r="Y335" s="873">
        <f t="shared" si="107"/>
        <v>0</v>
      </c>
      <c r="Z335" s="873">
        <f t="shared" si="108"/>
        <v>0</v>
      </c>
      <c r="AA335" s="885">
        <f t="shared" si="109"/>
        <v>0</v>
      </c>
    </row>
    <row r="336" spans="2:27" s="278" customFormat="1" ht="12" customHeight="1" x14ac:dyDescent="0.25">
      <c r="B336" s="1192" t="e">
        <f t="shared" si="114"/>
        <v>#N/A</v>
      </c>
      <c r="C336" s="732">
        <f t="shared" si="101"/>
        <v>30</v>
      </c>
      <c r="D336" s="35">
        <f t="shared" si="102"/>
        <v>11</v>
      </c>
      <c r="E336" s="889">
        <f t="shared" si="117"/>
        <v>55487</v>
      </c>
      <c r="F336" s="822">
        <f t="shared" si="110"/>
        <v>11</v>
      </c>
      <c r="G336" s="500">
        <f t="shared" si="118"/>
        <v>30</v>
      </c>
      <c r="H336" s="126">
        <f t="shared" si="103"/>
        <v>0</v>
      </c>
      <c r="I336" s="1098">
        <f t="shared" si="119"/>
        <v>0</v>
      </c>
      <c r="J336" s="887">
        <f t="shared" si="115"/>
        <v>317</v>
      </c>
      <c r="K336" s="1099">
        <f t="shared" si="111"/>
        <v>317</v>
      </c>
      <c r="L336" s="891" t="str">
        <f t="shared" si="112"/>
        <v>November</v>
      </c>
      <c r="M336" s="888">
        <f t="shared" si="116"/>
        <v>2051</v>
      </c>
      <c r="N336" s="883">
        <f t="shared" si="113"/>
        <v>0</v>
      </c>
      <c r="O336" s="883">
        <f t="shared" si="121"/>
        <v>0</v>
      </c>
      <c r="P336" s="1100"/>
      <c r="Q336" s="883">
        <f t="shared" si="104"/>
        <v>0</v>
      </c>
      <c r="R336" s="884">
        <f t="shared" si="122"/>
        <v>0</v>
      </c>
      <c r="S336" s="884">
        <f>IF(AND($AS$39="Early Payoff",J336&gt;=$S$13),0,IF($J336&lt;=$S$6,SUM($Q$20:$Q336),0))</f>
        <v>0</v>
      </c>
      <c r="T336" s="884">
        <f>IF(AND($AS$39="Early Payoff",J336&gt;=$S$13),0,IF($J336&lt;=$S$6,SUM($R$20:$R336),0))</f>
        <v>0</v>
      </c>
      <c r="U336" s="885">
        <f t="shared" si="105"/>
        <v>0</v>
      </c>
      <c r="V336" s="1110">
        <f t="shared" si="123"/>
        <v>0</v>
      </c>
      <c r="X336" s="1102">
        <f t="shared" si="106"/>
        <v>0</v>
      </c>
      <c r="Y336" s="873">
        <f t="shared" si="107"/>
        <v>0</v>
      </c>
      <c r="Z336" s="873">
        <f t="shared" si="108"/>
        <v>0</v>
      </c>
      <c r="AA336" s="885">
        <f t="shared" si="109"/>
        <v>0</v>
      </c>
    </row>
    <row r="337" spans="2:27" s="278" customFormat="1" ht="12" customHeight="1" x14ac:dyDescent="0.25">
      <c r="B337" s="1192" t="e">
        <f t="shared" si="114"/>
        <v>#N/A</v>
      </c>
      <c r="C337" s="732">
        <f t="shared" si="101"/>
        <v>31</v>
      </c>
      <c r="D337" s="35">
        <f t="shared" si="102"/>
        <v>12</v>
      </c>
      <c r="E337" s="889">
        <f t="shared" si="117"/>
        <v>55518</v>
      </c>
      <c r="F337" s="822">
        <f t="shared" si="110"/>
        <v>12</v>
      </c>
      <c r="G337" s="500">
        <f t="shared" si="118"/>
        <v>31</v>
      </c>
      <c r="H337" s="126">
        <f t="shared" si="103"/>
        <v>1</v>
      </c>
      <c r="I337" s="1098">
        <f t="shared" si="119"/>
        <v>0</v>
      </c>
      <c r="J337" s="887">
        <f t="shared" si="115"/>
        <v>318</v>
      </c>
      <c r="K337" s="1099">
        <f t="shared" si="111"/>
        <v>318</v>
      </c>
      <c r="L337" s="891" t="str">
        <f t="shared" si="112"/>
        <v>December</v>
      </c>
      <c r="M337" s="888">
        <f t="shared" si="116"/>
        <v>2051</v>
      </c>
      <c r="N337" s="883">
        <f t="shared" si="113"/>
        <v>0</v>
      </c>
      <c r="O337" s="883">
        <f t="shared" si="121"/>
        <v>0</v>
      </c>
      <c r="P337" s="1100"/>
      <c r="Q337" s="883">
        <f t="shared" si="104"/>
        <v>0</v>
      </c>
      <c r="R337" s="884">
        <f t="shared" si="122"/>
        <v>0</v>
      </c>
      <c r="S337" s="884">
        <f>IF(AND($AS$39="Early Payoff",J337&gt;=$S$13),0,IF($J337&lt;=$S$6,SUM($Q$20:$Q337),0))</f>
        <v>0</v>
      </c>
      <c r="T337" s="884">
        <f>IF(AND($AS$39="Early Payoff",J337&gt;=$S$13),0,IF($J337&lt;=$S$6,SUM($R$20:$R337),0))</f>
        <v>0</v>
      </c>
      <c r="U337" s="885">
        <f t="shared" si="105"/>
        <v>0</v>
      </c>
      <c r="V337" s="1110">
        <f t="shared" si="123"/>
        <v>0</v>
      </c>
      <c r="X337" s="1102">
        <f t="shared" si="106"/>
        <v>0</v>
      </c>
      <c r="Y337" s="873">
        <f t="shared" si="107"/>
        <v>0</v>
      </c>
      <c r="Z337" s="873">
        <f t="shared" si="108"/>
        <v>0</v>
      </c>
      <c r="AA337" s="885">
        <f t="shared" si="109"/>
        <v>0</v>
      </c>
    </row>
    <row r="338" spans="2:27" s="278" customFormat="1" ht="12" customHeight="1" x14ac:dyDescent="0.25">
      <c r="B338" s="1192" t="e">
        <f t="shared" si="114"/>
        <v>#N/A</v>
      </c>
      <c r="C338" s="732">
        <f t="shared" si="101"/>
        <v>31</v>
      </c>
      <c r="D338" s="35">
        <f t="shared" si="102"/>
        <v>1</v>
      </c>
      <c r="E338" s="889">
        <f t="shared" si="117"/>
        <v>55549</v>
      </c>
      <c r="F338" s="822">
        <f t="shared" si="110"/>
        <v>1</v>
      </c>
      <c r="G338" s="500">
        <f t="shared" si="118"/>
        <v>31</v>
      </c>
      <c r="H338" s="126">
        <f t="shared" si="103"/>
        <v>0</v>
      </c>
      <c r="I338" s="1098">
        <f t="shared" si="119"/>
        <v>0</v>
      </c>
      <c r="J338" s="887">
        <f t="shared" si="115"/>
        <v>319</v>
      </c>
      <c r="K338" s="1099">
        <f t="shared" si="111"/>
        <v>319</v>
      </c>
      <c r="L338" s="891" t="str">
        <f t="shared" si="112"/>
        <v>January</v>
      </c>
      <c r="M338" s="888">
        <f t="shared" si="116"/>
        <v>2052</v>
      </c>
      <c r="N338" s="883">
        <f t="shared" si="113"/>
        <v>0</v>
      </c>
      <c r="O338" s="883">
        <f t="shared" si="121"/>
        <v>0</v>
      </c>
      <c r="P338" s="1100"/>
      <c r="Q338" s="883">
        <f t="shared" si="104"/>
        <v>0</v>
      </c>
      <c r="R338" s="884">
        <f t="shared" si="122"/>
        <v>0</v>
      </c>
      <c r="S338" s="884">
        <f>IF(AND($AS$39="Early Payoff",J338&gt;=$S$13),0,IF($J338&lt;=$S$6,SUM($Q$20:$Q338),0))</f>
        <v>0</v>
      </c>
      <c r="T338" s="884">
        <f>IF(AND($AS$39="Early Payoff",J338&gt;=$S$13),0,IF($J338&lt;=$S$6,SUM($R$20:$R338),0))</f>
        <v>0</v>
      </c>
      <c r="U338" s="885">
        <f t="shared" si="105"/>
        <v>0</v>
      </c>
      <c r="V338" s="1110">
        <f t="shared" si="123"/>
        <v>0</v>
      </c>
      <c r="X338" s="1102">
        <f t="shared" si="106"/>
        <v>0</v>
      </c>
      <c r="Y338" s="873">
        <f t="shared" si="107"/>
        <v>0</v>
      </c>
      <c r="Z338" s="873">
        <f t="shared" si="108"/>
        <v>0</v>
      </c>
      <c r="AA338" s="885">
        <f t="shared" si="109"/>
        <v>0</v>
      </c>
    </row>
    <row r="339" spans="2:27" s="278" customFormat="1" ht="12" customHeight="1" x14ac:dyDescent="0.25">
      <c r="B339" s="1192" t="e">
        <f t="shared" si="114"/>
        <v>#N/A</v>
      </c>
      <c r="C339" s="732">
        <f t="shared" si="101"/>
        <v>29</v>
      </c>
      <c r="D339" s="35">
        <f t="shared" si="102"/>
        <v>2</v>
      </c>
      <c r="E339" s="889">
        <f t="shared" si="117"/>
        <v>55578</v>
      </c>
      <c r="F339" s="822">
        <f t="shared" si="110"/>
        <v>2</v>
      </c>
      <c r="G339" s="500">
        <f t="shared" si="118"/>
        <v>29</v>
      </c>
      <c r="H339" s="126">
        <f t="shared" si="103"/>
        <v>0</v>
      </c>
      <c r="I339" s="1098">
        <f t="shared" si="119"/>
        <v>0</v>
      </c>
      <c r="J339" s="887">
        <f t="shared" si="115"/>
        <v>320</v>
      </c>
      <c r="K339" s="1099">
        <f t="shared" si="111"/>
        <v>320</v>
      </c>
      <c r="L339" s="891" t="str">
        <f t="shared" si="112"/>
        <v>February</v>
      </c>
      <c r="M339" s="888">
        <f t="shared" si="116"/>
        <v>2052</v>
      </c>
      <c r="N339" s="883">
        <f t="shared" si="113"/>
        <v>0</v>
      </c>
      <c r="O339" s="883">
        <f t="shared" si="121"/>
        <v>0</v>
      </c>
      <c r="P339" s="1100"/>
      <c r="Q339" s="883">
        <f t="shared" si="104"/>
        <v>0</v>
      </c>
      <c r="R339" s="884">
        <f t="shared" si="122"/>
        <v>0</v>
      </c>
      <c r="S339" s="884">
        <f>IF(AND($AS$39="Early Payoff",J339&gt;=$S$13),0,IF($J339&lt;=$S$6,SUM($Q$20:$Q339),0))</f>
        <v>0</v>
      </c>
      <c r="T339" s="884">
        <f>IF(AND($AS$39="Early Payoff",J339&gt;=$S$13),0,IF($J339&lt;=$S$6,SUM($R$20:$R339),0))</f>
        <v>0</v>
      </c>
      <c r="U339" s="885">
        <f t="shared" si="105"/>
        <v>0</v>
      </c>
      <c r="V339" s="1110">
        <f t="shared" si="123"/>
        <v>0</v>
      </c>
      <c r="X339" s="1102">
        <f t="shared" si="106"/>
        <v>0</v>
      </c>
      <c r="Y339" s="873">
        <f t="shared" si="107"/>
        <v>0</v>
      </c>
      <c r="Z339" s="873">
        <f t="shared" si="108"/>
        <v>0</v>
      </c>
      <c r="AA339" s="885">
        <f t="shared" si="109"/>
        <v>0</v>
      </c>
    </row>
    <row r="340" spans="2:27" s="278" customFormat="1" ht="12" customHeight="1" x14ac:dyDescent="0.25">
      <c r="B340" s="1192" t="e">
        <f t="shared" si="114"/>
        <v>#N/A</v>
      </c>
      <c r="C340" s="732">
        <f t="shared" ref="C340:C403" si="124">DAY(EOMONTH(DATE($M340,$D340,1),0))</f>
        <v>31</v>
      </c>
      <c r="D340" s="35">
        <f t="shared" ref="D340:D403" si="125">INDEX($AT$22:$AU$34,MATCH($L340,$AT$22:$AT$34,0),MATCH("Number",$AT$22:$AU$22,0))</f>
        <v>3</v>
      </c>
      <c r="E340" s="889">
        <f t="shared" si="117"/>
        <v>55609</v>
      </c>
      <c r="F340" s="822">
        <f t="shared" si="110"/>
        <v>3</v>
      </c>
      <c r="G340" s="500">
        <f t="shared" si="118"/>
        <v>31</v>
      </c>
      <c r="H340" s="126">
        <f t="shared" ref="H340:H403" si="126">IF($T$4="Monthly",INDEX($AT$36:$AU$48,MATCH($L340,$AT$36:$AT$48,0),MATCH("Number",$AT$36:$AU$36,0)),0)</f>
        <v>0</v>
      </c>
      <c r="I340" s="1098">
        <f t="shared" si="119"/>
        <v>0</v>
      </c>
      <c r="J340" s="887">
        <f t="shared" si="115"/>
        <v>321</v>
      </c>
      <c r="K340" s="1099">
        <f t="shared" si="111"/>
        <v>321</v>
      </c>
      <c r="L340" s="891" t="str">
        <f t="shared" si="112"/>
        <v>March</v>
      </c>
      <c r="M340" s="888">
        <f t="shared" si="116"/>
        <v>2052</v>
      </c>
      <c r="N340" s="883">
        <f t="shared" si="113"/>
        <v>0</v>
      </c>
      <c r="O340" s="883">
        <f t="shared" si="121"/>
        <v>0</v>
      </c>
      <c r="P340" s="1100"/>
      <c r="Q340" s="883">
        <f t="shared" ref="Q340:Q378" si="127">IF(AND($AS$39="Early Payoff",J340&gt;=$S$13),0,IF($J340&gt;$S$6,0,IF(AND($AR$29&gt;0,$J340&lt;=$AR$29),0,+$O340-$R340)))</f>
        <v>0</v>
      </c>
      <c r="R340" s="884">
        <f t="shared" si="122"/>
        <v>0</v>
      </c>
      <c r="S340" s="884">
        <f>IF(AND($AS$39="Early Payoff",J340&gt;=$S$13),0,IF($J340&lt;=$S$6,SUM($Q$20:$Q340),0))</f>
        <v>0</v>
      </c>
      <c r="T340" s="884">
        <f>IF(AND($AS$39="Early Payoff",J340&gt;=$S$13),0,IF($J340&lt;=$S$6,SUM($R$20:$R340),0))</f>
        <v>0</v>
      </c>
      <c r="U340" s="885">
        <f t="shared" ref="U340:U403" si="128">IF($K340&lt;$S$13,SUM($N340,$Q340),0)</f>
        <v>0</v>
      </c>
      <c r="V340" s="1110">
        <f t="shared" si="123"/>
        <v>0</v>
      </c>
      <c r="X340" s="1102">
        <f t="shared" ref="X340:X379" si="129">IF($J340&gt;$S$6,0,IF($J340&lt;=$AR$27,0,IF(AND($Y$5="%/Payment",$AA$5=0),$O340*$Z$5,IF(AND($Y$5="%/Payment",$AA$5&gt;0,($O340*$Z$5)&lt;$AA$5),$O340*$Z$5,IF(AND($Y$5="%/Payment",$AA$5&gt;0,($O340*$Z$5)&gt;$AA$5),-$AA$5,IF(AND($Y$5="%/Balance",$AA$5=0),-$U340*$Z$5,IF(AND($Y$5="%/Balance",$AA$5&gt;0,($U340*$Z$5)&lt;$AA$5),-$U340*$Z$5,IF(AND($Y$5="%/Balance",$AA$5&gt;0,($U340*$Z$5)&gt;$AA$5),-$AA$5,IF($Y$5="Fixed Amount",-$Z$5,IF($Y$5="N/A",0))))))))))</f>
        <v>0</v>
      </c>
      <c r="Y340" s="873">
        <f t="shared" ref="Y340:Y379" si="130">IF($J340&gt;$S$6,0,IF($J340&lt;=$AR$27,0,IF(AND($Y$6="%/Payment",$AA$6=0),$O340*$Z$6,IF(AND($Y$6="%/Payment",$AA$6&gt;0,($O340*$Z$6)&lt;$AA$6),$O340*$Z$6,IF(AND($Y$6="%/Payment",$AA$6&gt;0,($O340*$Z$6)&gt;$AA$6),-$AA$6,IF(AND($Y$6="%/Balance",$AA$6=0),-$U340*$Z$6,IF(AND($Y$6="%/Balance",$AA$6&gt;0,($U340*$Z$6)&lt;$AA$6),-$U340*$Z$6,IF(AND($Y$6="%/Balance",$AA$6&gt;0,($U340*$Z$6)&gt;$AA$6),-$AA$6,IF($Y$6="Fixed Amount",-$Z$6,IF($Y$6="N/A",0))))))))))</f>
        <v>0</v>
      </c>
      <c r="Z340" s="873">
        <f t="shared" ref="Z340:Z379" si="131">IF($J340&gt;$S$6,0,IF($J340&lt;=$AR$27,0,IF(AND($Y$7="%/Payment",$AA$7=0),$O340*$Z$7,IF(AND($Y$7="%/Payment",$AA$7&gt;0,($O340*$Z$7)&lt;$AA$7),$O340*$Z$7,IF(AND($Y$7="%/Payment",$AA$7&gt;0,($O340*$Z$7)&gt;$AA$7),-$AA$7,IF(AND($Y$7="%/Balance",$AA$7=0),-$U340*$Z$7,IF(AND($Y$7="%/Balance",$AA$7&gt;0,($U340*$Z$7)&lt;$AA$7),-$U340*$Z$7,IF(AND($Y$7="%/Balance",$AA$7&gt;0,($O340*$Z$7)&gt;$AA$7),-$AA$7,IF($Y$7="Fixed Amount",-$Z$7,IF($Y$7="N/A",0))))))))))</f>
        <v>0</v>
      </c>
      <c r="AA340" s="885">
        <f t="shared" ref="AA340:AA379" si="132">SUM($O340,$X340:$Z340)</f>
        <v>0</v>
      </c>
    </row>
    <row r="341" spans="2:27" s="278" customFormat="1" ht="12" customHeight="1" x14ac:dyDescent="0.25">
      <c r="B341" s="1192" t="e">
        <f t="shared" si="114"/>
        <v>#N/A</v>
      </c>
      <c r="C341" s="732">
        <f t="shared" si="124"/>
        <v>30</v>
      </c>
      <c r="D341" s="35">
        <f t="shared" si="125"/>
        <v>4</v>
      </c>
      <c r="E341" s="889">
        <f t="shared" si="117"/>
        <v>55639</v>
      </c>
      <c r="F341" s="822">
        <f t="shared" ref="F341:F404" si="133">INDEX($AT$22:$AU$34,MATCH($L341,$AT$22:$AT$34,0),MATCH("Number",$AT$22:$AU$22,0))</f>
        <v>4</v>
      </c>
      <c r="G341" s="500">
        <f t="shared" si="118"/>
        <v>30</v>
      </c>
      <c r="H341" s="126">
        <f t="shared" si="126"/>
        <v>0</v>
      </c>
      <c r="I341" s="1098">
        <f t="shared" si="119"/>
        <v>0</v>
      </c>
      <c r="J341" s="887">
        <f t="shared" si="115"/>
        <v>322</v>
      </c>
      <c r="K341" s="1099">
        <f t="shared" ref="K341:K404" si="134">IF($J341&lt;=$AR$29,0,IF($J340&gt;=$AR$29,$K340+1))</f>
        <v>322</v>
      </c>
      <c r="L341" s="891" t="str">
        <f t="shared" ref="L341:L404" si="135">IF($T$4="Annual",$R$5,IF(AND($T$4="Bi-Annual",$F340&lt;MAX($R$4,$S$4)),INDEX($AU$22:$AV$34,MATCH(MAX($R$4,$S$4),$AU$22:$AU$34,0),MATCH("Month",$AU$22:$AV$22,0)),IF(AND($T$4="Bi-Annual",$F340=MAX($R$4,$S$4)),INDEX($AU$22:$AV$34,MATCH(MIN($R$4,$S$4),$AU$22:$AU$34,0),MATCH("Month",$AU$22:$AV$22,0)),IF(AND($T$4="Monthly",$F340&lt;12),INDEX($AU$22:$AV$34,MATCH($F340+1,$AU$22:$AU$34,0),MATCH("Month",$AU$22:$AV$22,0)),IF(AND($T$4="Monthly",$F340=12),INDEX($AU$22:$AV$34,MATCH($F340-11,$AU$22:$AU$34,0),MATCH("Month",$AU$22:$AV$22,0)))))))</f>
        <v>April</v>
      </c>
      <c r="M341" s="888">
        <f t="shared" si="116"/>
        <v>2052</v>
      </c>
      <c r="N341" s="883">
        <f t="shared" ref="N341:N404" si="136">IF(AND($AS$39="Early Payoff",$J341&gt;$S$13),0,IF(AND($AS$39="Early Payoff",$J341&lt;$S$13),$U340,IF($J341&gt;$S$6,0,$U340)))</f>
        <v>0</v>
      </c>
      <c r="O341" s="883">
        <f t="shared" si="121"/>
        <v>0</v>
      </c>
      <c r="P341" s="1100"/>
      <c r="Q341" s="883">
        <f t="shared" si="127"/>
        <v>0</v>
      </c>
      <c r="R341" s="884">
        <f t="shared" si="122"/>
        <v>0</v>
      </c>
      <c r="S341" s="884">
        <f>IF(AND($AS$39="Early Payoff",J341&gt;=$S$13),0,IF($J341&lt;=$S$6,SUM($Q$20:$Q341),0))</f>
        <v>0</v>
      </c>
      <c r="T341" s="884">
        <f>IF(AND($AS$39="Early Payoff",J341&gt;=$S$13),0,IF($J341&lt;=$S$6,SUM($R$20:$R341),0))</f>
        <v>0</v>
      </c>
      <c r="U341" s="885">
        <f t="shared" si="128"/>
        <v>0</v>
      </c>
      <c r="V341" s="1110">
        <f t="shared" si="123"/>
        <v>0</v>
      </c>
      <c r="X341" s="1102">
        <f t="shared" si="129"/>
        <v>0</v>
      </c>
      <c r="Y341" s="873">
        <f t="shared" si="130"/>
        <v>0</v>
      </c>
      <c r="Z341" s="873">
        <f t="shared" si="131"/>
        <v>0</v>
      </c>
      <c r="AA341" s="885">
        <f t="shared" si="132"/>
        <v>0</v>
      </c>
    </row>
    <row r="342" spans="2:27" s="278" customFormat="1" ht="12" customHeight="1" x14ac:dyDescent="0.25">
      <c r="B342" s="1192" t="e">
        <f t="shared" ref="B342:B405" si="137">B341+1</f>
        <v>#N/A</v>
      </c>
      <c r="C342" s="732">
        <f t="shared" si="124"/>
        <v>31</v>
      </c>
      <c r="D342" s="35">
        <f t="shared" si="125"/>
        <v>5</v>
      </c>
      <c r="E342" s="889">
        <f t="shared" si="117"/>
        <v>55670</v>
      </c>
      <c r="F342" s="822">
        <f t="shared" si="133"/>
        <v>5</v>
      </c>
      <c r="G342" s="500">
        <f t="shared" si="118"/>
        <v>31</v>
      </c>
      <c r="H342" s="126">
        <f t="shared" si="126"/>
        <v>0</v>
      </c>
      <c r="I342" s="1098">
        <f t="shared" si="119"/>
        <v>0</v>
      </c>
      <c r="J342" s="887">
        <f t="shared" ref="J342:J405" si="138">J341+1</f>
        <v>323</v>
      </c>
      <c r="K342" s="1099">
        <f t="shared" si="134"/>
        <v>323</v>
      </c>
      <c r="L342" s="891" t="str">
        <f t="shared" si="135"/>
        <v>May</v>
      </c>
      <c r="M342" s="888">
        <f t="shared" ref="M342:M405" si="139">IF($T$4="Annual",$M341+$I342,IF($T$4="Bi-Annual",$M341+$I341,IF($T$4="Monthly",$M341+$H341)))</f>
        <v>2052</v>
      </c>
      <c r="N342" s="883">
        <f t="shared" si="136"/>
        <v>0</v>
      </c>
      <c r="O342" s="883">
        <f t="shared" si="121"/>
        <v>0</v>
      </c>
      <c r="P342" s="1100"/>
      <c r="Q342" s="883">
        <f t="shared" si="127"/>
        <v>0</v>
      </c>
      <c r="R342" s="884">
        <f t="shared" si="122"/>
        <v>0</v>
      </c>
      <c r="S342" s="884">
        <f>IF(AND($AS$39="Early Payoff",J342&gt;=$S$13),0,IF($J342&lt;=$S$6,SUM($Q$20:$Q342),0))</f>
        <v>0</v>
      </c>
      <c r="T342" s="884">
        <f>IF(AND($AS$39="Early Payoff",J342&gt;=$S$13),0,IF($J342&lt;=$S$6,SUM($R$20:$R342),0))</f>
        <v>0</v>
      </c>
      <c r="U342" s="885">
        <f t="shared" si="128"/>
        <v>0</v>
      </c>
      <c r="V342" s="1110">
        <f t="shared" si="123"/>
        <v>0</v>
      </c>
      <c r="X342" s="1102">
        <f t="shared" si="129"/>
        <v>0</v>
      </c>
      <c r="Y342" s="873">
        <f t="shared" si="130"/>
        <v>0</v>
      </c>
      <c r="Z342" s="873">
        <f t="shared" si="131"/>
        <v>0</v>
      </c>
      <c r="AA342" s="885">
        <f t="shared" si="132"/>
        <v>0</v>
      </c>
    </row>
    <row r="343" spans="2:27" s="278" customFormat="1" ht="12" customHeight="1" x14ac:dyDescent="0.25">
      <c r="B343" s="1192" t="e">
        <f t="shared" si="137"/>
        <v>#N/A</v>
      </c>
      <c r="C343" s="732">
        <f t="shared" si="124"/>
        <v>30</v>
      </c>
      <c r="D343" s="35">
        <f t="shared" si="125"/>
        <v>6</v>
      </c>
      <c r="E343" s="889">
        <f t="shared" ref="E343:E378" si="140">DATE(M343,D343,C343)</f>
        <v>55700</v>
      </c>
      <c r="F343" s="822">
        <f t="shared" si="133"/>
        <v>6</v>
      </c>
      <c r="G343" s="500">
        <f t="shared" ref="G343:G378" si="141">E343-E342</f>
        <v>30</v>
      </c>
      <c r="H343" s="126">
        <f t="shared" si="126"/>
        <v>0</v>
      </c>
      <c r="I343" s="1098">
        <f t="shared" ref="I343:I406" si="142">IF($T$4="Annual",1,IF(AND($T$4="Bi-Annual",$F343&gt;$F344),1,IF(AND($T$4="Bi-Annual",$F343&lt;$F344),0,IF($T$4="Monthly",0,))))</f>
        <v>0</v>
      </c>
      <c r="J343" s="887">
        <f t="shared" si="138"/>
        <v>324</v>
      </c>
      <c r="K343" s="1099">
        <f t="shared" si="134"/>
        <v>324</v>
      </c>
      <c r="L343" s="891" t="str">
        <f t="shared" si="135"/>
        <v>June</v>
      </c>
      <c r="M343" s="888">
        <f t="shared" si="139"/>
        <v>2052</v>
      </c>
      <c r="N343" s="883">
        <f t="shared" si="136"/>
        <v>0</v>
      </c>
      <c r="O343" s="883">
        <f t="shared" si="121"/>
        <v>0</v>
      </c>
      <c r="P343" s="1100"/>
      <c r="Q343" s="883">
        <f t="shared" si="127"/>
        <v>0</v>
      </c>
      <c r="R343" s="884">
        <f t="shared" si="122"/>
        <v>0</v>
      </c>
      <c r="S343" s="884">
        <f>IF(AND($AS$39="Early Payoff",J343&gt;=$S$13),0,IF($J343&lt;=$S$6,SUM($Q$20:$Q343),0))</f>
        <v>0</v>
      </c>
      <c r="T343" s="884">
        <f>IF(AND($AS$39="Early Payoff",J343&gt;=$S$13),0,IF($J343&lt;=$S$6,SUM($R$20:$R343),0))</f>
        <v>0</v>
      </c>
      <c r="U343" s="885">
        <f t="shared" si="128"/>
        <v>0</v>
      </c>
      <c r="V343" s="1110">
        <f t="shared" si="123"/>
        <v>0</v>
      </c>
      <c r="X343" s="1102">
        <f t="shared" si="129"/>
        <v>0</v>
      </c>
      <c r="Y343" s="873">
        <f t="shared" si="130"/>
        <v>0</v>
      </c>
      <c r="Z343" s="873">
        <f t="shared" si="131"/>
        <v>0</v>
      </c>
      <c r="AA343" s="885">
        <f t="shared" si="132"/>
        <v>0</v>
      </c>
    </row>
    <row r="344" spans="2:27" s="278" customFormat="1" ht="12" customHeight="1" x14ac:dyDescent="0.25">
      <c r="B344" s="1192" t="e">
        <f t="shared" si="137"/>
        <v>#N/A</v>
      </c>
      <c r="C344" s="732">
        <f t="shared" si="124"/>
        <v>31</v>
      </c>
      <c r="D344" s="35">
        <f t="shared" si="125"/>
        <v>7</v>
      </c>
      <c r="E344" s="889">
        <f t="shared" si="140"/>
        <v>55731</v>
      </c>
      <c r="F344" s="822">
        <f t="shared" si="133"/>
        <v>7</v>
      </c>
      <c r="G344" s="500">
        <f t="shared" si="141"/>
        <v>31</v>
      </c>
      <c r="H344" s="126">
        <f t="shared" si="126"/>
        <v>0</v>
      </c>
      <c r="I344" s="1098">
        <f t="shared" si="142"/>
        <v>0</v>
      </c>
      <c r="J344" s="887">
        <f t="shared" si="138"/>
        <v>325</v>
      </c>
      <c r="K344" s="1099">
        <f t="shared" si="134"/>
        <v>325</v>
      </c>
      <c r="L344" s="891" t="str">
        <f t="shared" si="135"/>
        <v>July</v>
      </c>
      <c r="M344" s="888">
        <f t="shared" si="139"/>
        <v>2052</v>
      </c>
      <c r="N344" s="883">
        <f t="shared" si="136"/>
        <v>0</v>
      </c>
      <c r="O344" s="883">
        <f t="shared" si="121"/>
        <v>0</v>
      </c>
      <c r="P344" s="1100"/>
      <c r="Q344" s="883">
        <f t="shared" si="127"/>
        <v>0</v>
      </c>
      <c r="R344" s="884">
        <f t="shared" si="122"/>
        <v>0</v>
      </c>
      <c r="S344" s="884">
        <f>IF(AND($AS$39="Early Payoff",J344&gt;=$S$13),0,IF($J344&lt;=$S$6,SUM($Q$20:$Q344),0))</f>
        <v>0</v>
      </c>
      <c r="T344" s="884">
        <f>IF(AND($AS$39="Early Payoff",J344&gt;=$S$13),0,IF($J344&lt;=$S$6,SUM($R$20:$R344),0))</f>
        <v>0</v>
      </c>
      <c r="U344" s="885">
        <f t="shared" si="128"/>
        <v>0</v>
      </c>
      <c r="V344" s="1110">
        <f t="shared" si="123"/>
        <v>0</v>
      </c>
      <c r="X344" s="1102">
        <f t="shared" si="129"/>
        <v>0</v>
      </c>
      <c r="Y344" s="873">
        <f t="shared" si="130"/>
        <v>0</v>
      </c>
      <c r="Z344" s="873">
        <f t="shared" si="131"/>
        <v>0</v>
      </c>
      <c r="AA344" s="885">
        <f t="shared" si="132"/>
        <v>0</v>
      </c>
    </row>
    <row r="345" spans="2:27" s="278" customFormat="1" ht="12" customHeight="1" x14ac:dyDescent="0.25">
      <c r="B345" s="1192" t="e">
        <f t="shared" si="137"/>
        <v>#N/A</v>
      </c>
      <c r="C345" s="732">
        <f t="shared" si="124"/>
        <v>31</v>
      </c>
      <c r="D345" s="35">
        <f t="shared" si="125"/>
        <v>8</v>
      </c>
      <c r="E345" s="889">
        <f t="shared" si="140"/>
        <v>55762</v>
      </c>
      <c r="F345" s="822">
        <f t="shared" si="133"/>
        <v>8</v>
      </c>
      <c r="G345" s="500">
        <f t="shared" si="141"/>
        <v>31</v>
      </c>
      <c r="H345" s="126">
        <f t="shared" si="126"/>
        <v>0</v>
      </c>
      <c r="I345" s="1098">
        <f t="shared" si="142"/>
        <v>0</v>
      </c>
      <c r="J345" s="887">
        <f t="shared" si="138"/>
        <v>326</v>
      </c>
      <c r="K345" s="1099">
        <f t="shared" si="134"/>
        <v>326</v>
      </c>
      <c r="L345" s="891" t="str">
        <f t="shared" si="135"/>
        <v>August</v>
      </c>
      <c r="M345" s="888">
        <f t="shared" si="139"/>
        <v>2052</v>
      </c>
      <c r="N345" s="883">
        <f t="shared" si="136"/>
        <v>0</v>
      </c>
      <c r="O345" s="883">
        <f t="shared" si="121"/>
        <v>0</v>
      </c>
      <c r="P345" s="1100"/>
      <c r="Q345" s="883">
        <f t="shared" si="127"/>
        <v>0</v>
      </c>
      <c r="R345" s="884">
        <f t="shared" si="122"/>
        <v>0</v>
      </c>
      <c r="S345" s="884">
        <f>IF(AND($AS$39="Early Payoff",J345&gt;=$S$13),0,IF($J345&lt;=$S$6,SUM($Q$20:$Q345),0))</f>
        <v>0</v>
      </c>
      <c r="T345" s="884">
        <f>IF(AND($AS$39="Early Payoff",J345&gt;=$S$13),0,IF($J345&lt;=$S$6,SUM($R$20:$R345),0))</f>
        <v>0</v>
      </c>
      <c r="U345" s="885">
        <f t="shared" si="128"/>
        <v>0</v>
      </c>
      <c r="V345" s="1110">
        <f t="shared" si="123"/>
        <v>0</v>
      </c>
      <c r="X345" s="1102">
        <f t="shared" si="129"/>
        <v>0</v>
      </c>
      <c r="Y345" s="873">
        <f t="shared" si="130"/>
        <v>0</v>
      </c>
      <c r="Z345" s="873">
        <f t="shared" si="131"/>
        <v>0</v>
      </c>
      <c r="AA345" s="885">
        <f t="shared" si="132"/>
        <v>0</v>
      </c>
    </row>
    <row r="346" spans="2:27" s="278" customFormat="1" ht="12" customHeight="1" x14ac:dyDescent="0.25">
      <c r="B346" s="1192" t="e">
        <f t="shared" si="137"/>
        <v>#N/A</v>
      </c>
      <c r="C346" s="732">
        <f t="shared" si="124"/>
        <v>30</v>
      </c>
      <c r="D346" s="35">
        <f t="shared" si="125"/>
        <v>9</v>
      </c>
      <c r="E346" s="889">
        <f t="shared" si="140"/>
        <v>55792</v>
      </c>
      <c r="F346" s="822">
        <f t="shared" si="133"/>
        <v>9</v>
      </c>
      <c r="G346" s="500">
        <f t="shared" si="141"/>
        <v>30</v>
      </c>
      <c r="H346" s="126">
        <f t="shared" si="126"/>
        <v>0</v>
      </c>
      <c r="I346" s="1098">
        <f t="shared" si="142"/>
        <v>0</v>
      </c>
      <c r="J346" s="887">
        <f t="shared" si="138"/>
        <v>327</v>
      </c>
      <c r="K346" s="1099">
        <f t="shared" si="134"/>
        <v>327</v>
      </c>
      <c r="L346" s="891" t="str">
        <f t="shared" si="135"/>
        <v>September</v>
      </c>
      <c r="M346" s="888">
        <f t="shared" si="139"/>
        <v>2052</v>
      </c>
      <c r="N346" s="883">
        <f t="shared" si="136"/>
        <v>0</v>
      </c>
      <c r="O346" s="883">
        <f t="shared" si="121"/>
        <v>0</v>
      </c>
      <c r="P346" s="1100"/>
      <c r="Q346" s="883">
        <f t="shared" si="127"/>
        <v>0</v>
      </c>
      <c r="R346" s="884">
        <f t="shared" si="122"/>
        <v>0</v>
      </c>
      <c r="S346" s="884">
        <f>IF(AND($AS$39="Early Payoff",J346&gt;=$S$13),0,IF($J346&lt;=$S$6,SUM($Q$20:$Q346),0))</f>
        <v>0</v>
      </c>
      <c r="T346" s="884">
        <f>IF(AND($AS$39="Early Payoff",J346&gt;=$S$13),0,IF($J346&lt;=$S$6,SUM($R$20:$R346),0))</f>
        <v>0</v>
      </c>
      <c r="U346" s="885">
        <f t="shared" si="128"/>
        <v>0</v>
      </c>
      <c r="V346" s="1110">
        <f t="shared" si="123"/>
        <v>0</v>
      </c>
      <c r="X346" s="1102">
        <f t="shared" si="129"/>
        <v>0</v>
      </c>
      <c r="Y346" s="873">
        <f t="shared" si="130"/>
        <v>0</v>
      </c>
      <c r="Z346" s="873">
        <f t="shared" si="131"/>
        <v>0</v>
      </c>
      <c r="AA346" s="885">
        <f t="shared" si="132"/>
        <v>0</v>
      </c>
    </row>
    <row r="347" spans="2:27" s="278" customFormat="1" ht="12" customHeight="1" x14ac:dyDescent="0.25">
      <c r="B347" s="1192" t="e">
        <f t="shared" si="137"/>
        <v>#N/A</v>
      </c>
      <c r="C347" s="732">
        <f t="shared" si="124"/>
        <v>31</v>
      </c>
      <c r="D347" s="35">
        <f t="shared" si="125"/>
        <v>10</v>
      </c>
      <c r="E347" s="889">
        <f t="shared" si="140"/>
        <v>55823</v>
      </c>
      <c r="F347" s="822">
        <f t="shared" si="133"/>
        <v>10</v>
      </c>
      <c r="G347" s="500">
        <f t="shared" si="141"/>
        <v>31</v>
      </c>
      <c r="H347" s="126">
        <f t="shared" si="126"/>
        <v>0</v>
      </c>
      <c r="I347" s="1098">
        <f t="shared" si="142"/>
        <v>0</v>
      </c>
      <c r="J347" s="887">
        <f t="shared" si="138"/>
        <v>328</v>
      </c>
      <c r="K347" s="1099">
        <f t="shared" si="134"/>
        <v>328</v>
      </c>
      <c r="L347" s="891" t="str">
        <f t="shared" si="135"/>
        <v>October</v>
      </c>
      <c r="M347" s="888">
        <f t="shared" si="139"/>
        <v>2052</v>
      </c>
      <c r="N347" s="883">
        <f t="shared" si="136"/>
        <v>0</v>
      </c>
      <c r="O347" s="883">
        <f t="shared" si="121"/>
        <v>0</v>
      </c>
      <c r="P347" s="1100"/>
      <c r="Q347" s="883">
        <f t="shared" si="127"/>
        <v>0</v>
      </c>
      <c r="R347" s="884">
        <f t="shared" si="122"/>
        <v>0</v>
      </c>
      <c r="S347" s="884">
        <f>IF(AND($AS$39="Early Payoff",J347&gt;=$S$13),0,IF($J347&lt;=$S$6,SUM($Q$20:$Q347),0))</f>
        <v>0</v>
      </c>
      <c r="T347" s="884">
        <f>IF(AND($AS$39="Early Payoff",J347&gt;=$S$13),0,IF($J347&lt;=$S$6,SUM($R$20:$R347),0))</f>
        <v>0</v>
      </c>
      <c r="U347" s="885">
        <f t="shared" si="128"/>
        <v>0</v>
      </c>
      <c r="V347" s="1110">
        <f t="shared" si="123"/>
        <v>0</v>
      </c>
      <c r="X347" s="1102">
        <f t="shared" si="129"/>
        <v>0</v>
      </c>
      <c r="Y347" s="873">
        <f t="shared" si="130"/>
        <v>0</v>
      </c>
      <c r="Z347" s="873">
        <f t="shared" si="131"/>
        <v>0</v>
      </c>
      <c r="AA347" s="885">
        <f t="shared" si="132"/>
        <v>0</v>
      </c>
    </row>
    <row r="348" spans="2:27" s="278" customFormat="1" ht="12" customHeight="1" x14ac:dyDescent="0.25">
      <c r="B348" s="1192" t="e">
        <f t="shared" si="137"/>
        <v>#N/A</v>
      </c>
      <c r="C348" s="732">
        <f t="shared" si="124"/>
        <v>30</v>
      </c>
      <c r="D348" s="35">
        <f t="shared" si="125"/>
        <v>11</v>
      </c>
      <c r="E348" s="889">
        <f t="shared" si="140"/>
        <v>55853</v>
      </c>
      <c r="F348" s="822">
        <f t="shared" si="133"/>
        <v>11</v>
      </c>
      <c r="G348" s="500">
        <f t="shared" si="141"/>
        <v>30</v>
      </c>
      <c r="H348" s="126">
        <f t="shared" si="126"/>
        <v>0</v>
      </c>
      <c r="I348" s="1098">
        <f t="shared" si="142"/>
        <v>0</v>
      </c>
      <c r="J348" s="887">
        <f t="shared" si="138"/>
        <v>329</v>
      </c>
      <c r="K348" s="1099">
        <f t="shared" si="134"/>
        <v>329</v>
      </c>
      <c r="L348" s="891" t="str">
        <f t="shared" si="135"/>
        <v>November</v>
      </c>
      <c r="M348" s="888">
        <f t="shared" si="139"/>
        <v>2052</v>
      </c>
      <c r="N348" s="883">
        <f t="shared" si="136"/>
        <v>0</v>
      </c>
      <c r="O348" s="883">
        <f t="shared" si="121"/>
        <v>0</v>
      </c>
      <c r="P348" s="1100"/>
      <c r="Q348" s="883">
        <f t="shared" si="127"/>
        <v>0</v>
      </c>
      <c r="R348" s="884">
        <f t="shared" si="122"/>
        <v>0</v>
      </c>
      <c r="S348" s="884">
        <f>IF(AND($AS$39="Early Payoff",J348&gt;=$S$13),0,IF($J348&lt;=$S$6,SUM($Q$20:$Q348),0))</f>
        <v>0</v>
      </c>
      <c r="T348" s="884">
        <f>IF(AND($AS$39="Early Payoff",J348&gt;=$S$13),0,IF($J348&lt;=$S$6,SUM($R$20:$R348),0))</f>
        <v>0</v>
      </c>
      <c r="U348" s="885">
        <f t="shared" si="128"/>
        <v>0</v>
      </c>
      <c r="V348" s="1110">
        <f t="shared" si="123"/>
        <v>0</v>
      </c>
      <c r="X348" s="1102">
        <f t="shared" si="129"/>
        <v>0</v>
      </c>
      <c r="Y348" s="873">
        <f t="shared" si="130"/>
        <v>0</v>
      </c>
      <c r="Z348" s="873">
        <f t="shared" si="131"/>
        <v>0</v>
      </c>
      <c r="AA348" s="885">
        <f t="shared" si="132"/>
        <v>0</v>
      </c>
    </row>
    <row r="349" spans="2:27" s="278" customFormat="1" ht="12" customHeight="1" x14ac:dyDescent="0.25">
      <c r="B349" s="1192" t="e">
        <f t="shared" si="137"/>
        <v>#N/A</v>
      </c>
      <c r="C349" s="732">
        <f t="shared" si="124"/>
        <v>31</v>
      </c>
      <c r="D349" s="35">
        <f t="shared" si="125"/>
        <v>12</v>
      </c>
      <c r="E349" s="889">
        <f t="shared" si="140"/>
        <v>55884</v>
      </c>
      <c r="F349" s="822">
        <f t="shared" si="133"/>
        <v>12</v>
      </c>
      <c r="G349" s="500">
        <f t="shared" si="141"/>
        <v>31</v>
      </c>
      <c r="H349" s="126">
        <f t="shared" si="126"/>
        <v>1</v>
      </c>
      <c r="I349" s="1098">
        <f t="shared" si="142"/>
        <v>0</v>
      </c>
      <c r="J349" s="887">
        <f t="shared" si="138"/>
        <v>330</v>
      </c>
      <c r="K349" s="1099">
        <f t="shared" si="134"/>
        <v>330</v>
      </c>
      <c r="L349" s="891" t="str">
        <f t="shared" si="135"/>
        <v>December</v>
      </c>
      <c r="M349" s="888">
        <f t="shared" si="139"/>
        <v>2052</v>
      </c>
      <c r="N349" s="883">
        <f t="shared" si="136"/>
        <v>0</v>
      </c>
      <c r="O349" s="883">
        <f t="shared" si="121"/>
        <v>0</v>
      </c>
      <c r="P349" s="1100"/>
      <c r="Q349" s="883">
        <f t="shared" si="127"/>
        <v>0</v>
      </c>
      <c r="R349" s="884">
        <f t="shared" si="122"/>
        <v>0</v>
      </c>
      <c r="S349" s="884">
        <f>IF(AND($AS$39="Early Payoff",J349&gt;=$S$13),0,IF($J349&lt;=$S$6,SUM($Q$20:$Q349),0))</f>
        <v>0</v>
      </c>
      <c r="T349" s="884">
        <f>IF(AND($AS$39="Early Payoff",J349&gt;=$S$13),0,IF($J349&lt;=$S$6,SUM($R$20:$R349),0))</f>
        <v>0</v>
      </c>
      <c r="U349" s="885">
        <f t="shared" si="128"/>
        <v>0</v>
      </c>
      <c r="V349" s="1110">
        <f t="shared" si="123"/>
        <v>0</v>
      </c>
      <c r="X349" s="1102">
        <f t="shared" si="129"/>
        <v>0</v>
      </c>
      <c r="Y349" s="873">
        <f t="shared" si="130"/>
        <v>0</v>
      </c>
      <c r="Z349" s="873">
        <f t="shared" si="131"/>
        <v>0</v>
      </c>
      <c r="AA349" s="885">
        <f t="shared" si="132"/>
        <v>0</v>
      </c>
    </row>
    <row r="350" spans="2:27" s="278" customFormat="1" ht="12" customHeight="1" x14ac:dyDescent="0.25">
      <c r="B350" s="1192" t="e">
        <f t="shared" si="137"/>
        <v>#N/A</v>
      </c>
      <c r="C350" s="732">
        <f t="shared" si="124"/>
        <v>31</v>
      </c>
      <c r="D350" s="35">
        <f t="shared" si="125"/>
        <v>1</v>
      </c>
      <c r="E350" s="889">
        <f t="shared" si="140"/>
        <v>55915</v>
      </c>
      <c r="F350" s="822">
        <f t="shared" si="133"/>
        <v>1</v>
      </c>
      <c r="G350" s="500">
        <f t="shared" si="141"/>
        <v>31</v>
      </c>
      <c r="H350" s="126">
        <f t="shared" si="126"/>
        <v>0</v>
      </c>
      <c r="I350" s="1098">
        <f t="shared" si="142"/>
        <v>0</v>
      </c>
      <c r="J350" s="887">
        <f t="shared" si="138"/>
        <v>331</v>
      </c>
      <c r="K350" s="1099">
        <f t="shared" si="134"/>
        <v>331</v>
      </c>
      <c r="L350" s="891" t="str">
        <f t="shared" si="135"/>
        <v>January</v>
      </c>
      <c r="M350" s="888">
        <f t="shared" si="139"/>
        <v>2053</v>
      </c>
      <c r="N350" s="883">
        <f t="shared" si="136"/>
        <v>0</v>
      </c>
      <c r="O350" s="883">
        <f t="shared" si="121"/>
        <v>0</v>
      </c>
      <c r="P350" s="1100"/>
      <c r="Q350" s="883">
        <f t="shared" si="127"/>
        <v>0</v>
      </c>
      <c r="R350" s="884">
        <f t="shared" si="122"/>
        <v>0</v>
      </c>
      <c r="S350" s="884">
        <f>IF(AND($AS$39="Early Payoff",J350&gt;=$S$13),0,IF($J350&lt;=$S$6,SUM($Q$20:$Q350),0))</f>
        <v>0</v>
      </c>
      <c r="T350" s="884">
        <f>IF(AND($AS$39="Early Payoff",J350&gt;=$S$13),0,IF($J350&lt;=$S$6,SUM($R$20:$R350),0))</f>
        <v>0</v>
      </c>
      <c r="U350" s="885">
        <f t="shared" si="128"/>
        <v>0</v>
      </c>
      <c r="V350" s="1110">
        <f t="shared" si="123"/>
        <v>0</v>
      </c>
      <c r="X350" s="1102">
        <f t="shared" si="129"/>
        <v>0</v>
      </c>
      <c r="Y350" s="873">
        <f t="shared" si="130"/>
        <v>0</v>
      </c>
      <c r="Z350" s="873">
        <f t="shared" si="131"/>
        <v>0</v>
      </c>
      <c r="AA350" s="885">
        <f t="shared" si="132"/>
        <v>0</v>
      </c>
    </row>
    <row r="351" spans="2:27" s="278" customFormat="1" ht="12" customHeight="1" x14ac:dyDescent="0.25">
      <c r="B351" s="1192" t="e">
        <f t="shared" si="137"/>
        <v>#N/A</v>
      </c>
      <c r="C351" s="732">
        <f t="shared" si="124"/>
        <v>28</v>
      </c>
      <c r="D351" s="35">
        <f t="shared" si="125"/>
        <v>2</v>
      </c>
      <c r="E351" s="889">
        <f t="shared" si="140"/>
        <v>55943</v>
      </c>
      <c r="F351" s="822">
        <f t="shared" si="133"/>
        <v>2</v>
      </c>
      <c r="G351" s="500">
        <f t="shared" si="141"/>
        <v>28</v>
      </c>
      <c r="H351" s="126">
        <f t="shared" si="126"/>
        <v>0</v>
      </c>
      <c r="I351" s="1098">
        <f t="shared" si="142"/>
        <v>0</v>
      </c>
      <c r="J351" s="887">
        <f t="shared" si="138"/>
        <v>332</v>
      </c>
      <c r="K351" s="1099">
        <f t="shared" si="134"/>
        <v>332</v>
      </c>
      <c r="L351" s="891" t="str">
        <f t="shared" si="135"/>
        <v>February</v>
      </c>
      <c r="M351" s="888">
        <f t="shared" si="139"/>
        <v>2053</v>
      </c>
      <c r="N351" s="883">
        <f t="shared" si="136"/>
        <v>0</v>
      </c>
      <c r="O351" s="883">
        <f t="shared" si="121"/>
        <v>0</v>
      </c>
      <c r="P351" s="1100"/>
      <c r="Q351" s="883">
        <f t="shared" si="127"/>
        <v>0</v>
      </c>
      <c r="R351" s="884">
        <f t="shared" si="122"/>
        <v>0</v>
      </c>
      <c r="S351" s="884">
        <f>IF(AND($AS$39="Early Payoff",J351&gt;=$S$13),0,IF($J351&lt;=$S$6,SUM($Q$20:$Q351),0))</f>
        <v>0</v>
      </c>
      <c r="T351" s="884">
        <f>IF(AND($AS$39="Early Payoff",J351&gt;=$S$13),0,IF($J351&lt;=$S$6,SUM($R$20:$R351),0))</f>
        <v>0</v>
      </c>
      <c r="U351" s="885">
        <f t="shared" si="128"/>
        <v>0</v>
      </c>
      <c r="V351" s="1110">
        <f t="shared" si="123"/>
        <v>0</v>
      </c>
      <c r="X351" s="1102">
        <f t="shared" si="129"/>
        <v>0</v>
      </c>
      <c r="Y351" s="873">
        <f t="shared" si="130"/>
        <v>0</v>
      </c>
      <c r="Z351" s="873">
        <f t="shared" si="131"/>
        <v>0</v>
      </c>
      <c r="AA351" s="885">
        <f t="shared" si="132"/>
        <v>0</v>
      </c>
    </row>
    <row r="352" spans="2:27" s="278" customFormat="1" ht="12" customHeight="1" x14ac:dyDescent="0.25">
      <c r="B352" s="1192" t="e">
        <f t="shared" si="137"/>
        <v>#N/A</v>
      </c>
      <c r="C352" s="732">
        <f t="shared" si="124"/>
        <v>31</v>
      </c>
      <c r="D352" s="35">
        <f t="shared" si="125"/>
        <v>3</v>
      </c>
      <c r="E352" s="889">
        <f t="shared" si="140"/>
        <v>55974</v>
      </c>
      <c r="F352" s="822">
        <f t="shared" si="133"/>
        <v>3</v>
      </c>
      <c r="G352" s="500">
        <f t="shared" si="141"/>
        <v>31</v>
      </c>
      <c r="H352" s="126">
        <f t="shared" si="126"/>
        <v>0</v>
      </c>
      <c r="I352" s="1098">
        <f t="shared" si="142"/>
        <v>0</v>
      </c>
      <c r="J352" s="887">
        <f t="shared" si="138"/>
        <v>333</v>
      </c>
      <c r="K352" s="1099">
        <f t="shared" si="134"/>
        <v>333</v>
      </c>
      <c r="L352" s="891" t="str">
        <f t="shared" si="135"/>
        <v>March</v>
      </c>
      <c r="M352" s="888">
        <f t="shared" si="139"/>
        <v>2053</v>
      </c>
      <c r="N352" s="883">
        <f t="shared" si="136"/>
        <v>0</v>
      </c>
      <c r="O352" s="883">
        <f t="shared" si="121"/>
        <v>0</v>
      </c>
      <c r="P352" s="1100"/>
      <c r="Q352" s="883">
        <f t="shared" si="127"/>
        <v>0</v>
      </c>
      <c r="R352" s="884">
        <f t="shared" si="122"/>
        <v>0</v>
      </c>
      <c r="S352" s="884">
        <f>IF(AND($AS$39="Early Payoff",J352&gt;=$S$13),0,IF($J352&lt;=$S$6,SUM($Q$20:$Q352),0))</f>
        <v>0</v>
      </c>
      <c r="T352" s="884">
        <f>IF(AND($AS$39="Early Payoff",J352&gt;=$S$13),0,IF($J352&lt;=$S$6,SUM($R$20:$R352),0))</f>
        <v>0</v>
      </c>
      <c r="U352" s="885">
        <f t="shared" si="128"/>
        <v>0</v>
      </c>
      <c r="V352" s="1110">
        <f t="shared" si="123"/>
        <v>0</v>
      </c>
      <c r="X352" s="1102">
        <f t="shared" si="129"/>
        <v>0</v>
      </c>
      <c r="Y352" s="873">
        <f t="shared" si="130"/>
        <v>0</v>
      </c>
      <c r="Z352" s="873">
        <f t="shared" si="131"/>
        <v>0</v>
      </c>
      <c r="AA352" s="885">
        <f t="shared" si="132"/>
        <v>0</v>
      </c>
    </row>
    <row r="353" spans="2:27" s="278" customFormat="1" ht="12" customHeight="1" x14ac:dyDescent="0.25">
      <c r="B353" s="1192" t="e">
        <f t="shared" si="137"/>
        <v>#N/A</v>
      </c>
      <c r="C353" s="732">
        <f t="shared" si="124"/>
        <v>30</v>
      </c>
      <c r="D353" s="35">
        <f t="shared" si="125"/>
        <v>4</v>
      </c>
      <c r="E353" s="889">
        <f t="shared" si="140"/>
        <v>56004</v>
      </c>
      <c r="F353" s="822">
        <f t="shared" si="133"/>
        <v>4</v>
      </c>
      <c r="G353" s="500">
        <f t="shared" si="141"/>
        <v>30</v>
      </c>
      <c r="H353" s="126">
        <f t="shared" si="126"/>
        <v>0</v>
      </c>
      <c r="I353" s="1098">
        <f t="shared" si="142"/>
        <v>0</v>
      </c>
      <c r="J353" s="887">
        <f t="shared" si="138"/>
        <v>334</v>
      </c>
      <c r="K353" s="1099">
        <f t="shared" si="134"/>
        <v>334</v>
      </c>
      <c r="L353" s="891" t="str">
        <f t="shared" si="135"/>
        <v>April</v>
      </c>
      <c r="M353" s="888">
        <f t="shared" si="139"/>
        <v>2053</v>
      </c>
      <c r="N353" s="883">
        <f t="shared" si="136"/>
        <v>0</v>
      </c>
      <c r="O353" s="883">
        <f t="shared" si="121"/>
        <v>0</v>
      </c>
      <c r="P353" s="1100"/>
      <c r="Q353" s="883">
        <f t="shared" si="127"/>
        <v>0</v>
      </c>
      <c r="R353" s="884">
        <f t="shared" si="122"/>
        <v>0</v>
      </c>
      <c r="S353" s="884">
        <f>IF(AND($AS$39="Early Payoff",J353&gt;=$S$13),0,IF($J353&lt;=$S$6,SUM($Q$20:$Q353),0))</f>
        <v>0</v>
      </c>
      <c r="T353" s="884">
        <f>IF(AND($AS$39="Early Payoff",J353&gt;=$S$13),0,IF($J353&lt;=$S$6,SUM($R$20:$R353),0))</f>
        <v>0</v>
      </c>
      <c r="U353" s="885">
        <f t="shared" si="128"/>
        <v>0</v>
      </c>
      <c r="V353" s="1110">
        <f t="shared" si="123"/>
        <v>0</v>
      </c>
      <c r="X353" s="1102">
        <f t="shared" si="129"/>
        <v>0</v>
      </c>
      <c r="Y353" s="873">
        <f t="shared" si="130"/>
        <v>0</v>
      </c>
      <c r="Z353" s="873">
        <f t="shared" si="131"/>
        <v>0</v>
      </c>
      <c r="AA353" s="885">
        <f t="shared" si="132"/>
        <v>0</v>
      </c>
    </row>
    <row r="354" spans="2:27" s="278" customFormat="1" ht="12" customHeight="1" x14ac:dyDescent="0.25">
      <c r="B354" s="1192" t="e">
        <f t="shared" si="137"/>
        <v>#N/A</v>
      </c>
      <c r="C354" s="732">
        <f t="shared" si="124"/>
        <v>31</v>
      </c>
      <c r="D354" s="35">
        <f t="shared" si="125"/>
        <v>5</v>
      </c>
      <c r="E354" s="889">
        <f t="shared" si="140"/>
        <v>56035</v>
      </c>
      <c r="F354" s="822">
        <f t="shared" si="133"/>
        <v>5</v>
      </c>
      <c r="G354" s="500">
        <f t="shared" si="141"/>
        <v>31</v>
      </c>
      <c r="H354" s="126">
        <f t="shared" si="126"/>
        <v>0</v>
      </c>
      <c r="I354" s="1098">
        <f t="shared" si="142"/>
        <v>0</v>
      </c>
      <c r="J354" s="887">
        <f t="shared" si="138"/>
        <v>335</v>
      </c>
      <c r="K354" s="1099">
        <f t="shared" si="134"/>
        <v>335</v>
      </c>
      <c r="L354" s="891" t="str">
        <f t="shared" si="135"/>
        <v>May</v>
      </c>
      <c r="M354" s="888">
        <f t="shared" si="139"/>
        <v>2053</v>
      </c>
      <c r="N354" s="883">
        <f t="shared" si="136"/>
        <v>0</v>
      </c>
      <c r="O354" s="883">
        <f t="shared" si="121"/>
        <v>0</v>
      </c>
      <c r="P354" s="1100"/>
      <c r="Q354" s="883">
        <f t="shared" si="127"/>
        <v>0</v>
      </c>
      <c r="R354" s="884">
        <f t="shared" si="122"/>
        <v>0</v>
      </c>
      <c r="S354" s="884">
        <f>IF(AND($AS$39="Early Payoff",J354&gt;=$S$13),0,IF($J354&lt;=$S$6,SUM($Q$20:$Q354),0))</f>
        <v>0</v>
      </c>
      <c r="T354" s="884">
        <f>IF(AND($AS$39="Early Payoff",J354&gt;=$S$13),0,IF($J354&lt;=$S$6,SUM($R$20:$R354),0))</f>
        <v>0</v>
      </c>
      <c r="U354" s="885">
        <f t="shared" si="128"/>
        <v>0</v>
      </c>
      <c r="V354" s="1110">
        <f t="shared" si="123"/>
        <v>0</v>
      </c>
      <c r="X354" s="1102">
        <f t="shared" si="129"/>
        <v>0</v>
      </c>
      <c r="Y354" s="873">
        <f t="shared" si="130"/>
        <v>0</v>
      </c>
      <c r="Z354" s="873">
        <f t="shared" si="131"/>
        <v>0</v>
      </c>
      <c r="AA354" s="885">
        <f t="shared" si="132"/>
        <v>0</v>
      </c>
    </row>
    <row r="355" spans="2:27" s="278" customFormat="1" ht="12" customHeight="1" x14ac:dyDescent="0.25">
      <c r="B355" s="1192" t="e">
        <f t="shared" si="137"/>
        <v>#N/A</v>
      </c>
      <c r="C355" s="732">
        <f t="shared" si="124"/>
        <v>30</v>
      </c>
      <c r="D355" s="35">
        <f t="shared" si="125"/>
        <v>6</v>
      </c>
      <c r="E355" s="889">
        <f t="shared" si="140"/>
        <v>56065</v>
      </c>
      <c r="F355" s="822">
        <f t="shared" si="133"/>
        <v>6</v>
      </c>
      <c r="G355" s="500">
        <f t="shared" si="141"/>
        <v>30</v>
      </c>
      <c r="H355" s="126">
        <f t="shared" si="126"/>
        <v>0</v>
      </c>
      <c r="I355" s="1098">
        <f t="shared" si="142"/>
        <v>0</v>
      </c>
      <c r="J355" s="887">
        <f t="shared" si="138"/>
        <v>336</v>
      </c>
      <c r="K355" s="1099">
        <f t="shared" si="134"/>
        <v>336</v>
      </c>
      <c r="L355" s="891" t="str">
        <f t="shared" si="135"/>
        <v>June</v>
      </c>
      <c r="M355" s="888">
        <f t="shared" si="139"/>
        <v>2053</v>
      </c>
      <c r="N355" s="883">
        <f t="shared" si="136"/>
        <v>0</v>
      </c>
      <c r="O355" s="883">
        <f t="shared" si="121"/>
        <v>0</v>
      </c>
      <c r="P355" s="1100"/>
      <c r="Q355" s="883">
        <f t="shared" si="127"/>
        <v>0</v>
      </c>
      <c r="R355" s="884">
        <f t="shared" si="122"/>
        <v>0</v>
      </c>
      <c r="S355" s="884">
        <f>IF(AND($AS$39="Early Payoff",J355&gt;=$S$13),0,IF($J355&lt;=$S$6,SUM($Q$20:$Q355),0))</f>
        <v>0</v>
      </c>
      <c r="T355" s="884">
        <f>IF(AND($AS$39="Early Payoff",J355&gt;=$S$13),0,IF($J355&lt;=$S$6,SUM($R$20:$R355),0))</f>
        <v>0</v>
      </c>
      <c r="U355" s="885">
        <f t="shared" si="128"/>
        <v>0</v>
      </c>
      <c r="V355" s="1110">
        <f t="shared" si="123"/>
        <v>0</v>
      </c>
      <c r="X355" s="1102">
        <f t="shared" si="129"/>
        <v>0</v>
      </c>
      <c r="Y355" s="873">
        <f t="shared" si="130"/>
        <v>0</v>
      </c>
      <c r="Z355" s="873">
        <f t="shared" si="131"/>
        <v>0</v>
      </c>
      <c r="AA355" s="885">
        <f t="shared" si="132"/>
        <v>0</v>
      </c>
    </row>
    <row r="356" spans="2:27" s="278" customFormat="1" ht="12" customHeight="1" x14ac:dyDescent="0.25">
      <c r="B356" s="1192" t="e">
        <f t="shared" si="137"/>
        <v>#N/A</v>
      </c>
      <c r="C356" s="732">
        <f t="shared" si="124"/>
        <v>31</v>
      </c>
      <c r="D356" s="35">
        <f t="shared" si="125"/>
        <v>7</v>
      </c>
      <c r="E356" s="889">
        <f t="shared" si="140"/>
        <v>56096</v>
      </c>
      <c r="F356" s="822">
        <f t="shared" si="133"/>
        <v>7</v>
      </c>
      <c r="G356" s="500">
        <f t="shared" si="141"/>
        <v>31</v>
      </c>
      <c r="H356" s="126">
        <f t="shared" si="126"/>
        <v>0</v>
      </c>
      <c r="I356" s="1098">
        <f t="shared" si="142"/>
        <v>0</v>
      </c>
      <c r="J356" s="887">
        <f t="shared" si="138"/>
        <v>337</v>
      </c>
      <c r="K356" s="1099">
        <f t="shared" si="134"/>
        <v>337</v>
      </c>
      <c r="L356" s="891" t="str">
        <f t="shared" si="135"/>
        <v>July</v>
      </c>
      <c r="M356" s="888">
        <f t="shared" si="139"/>
        <v>2053</v>
      </c>
      <c r="N356" s="883">
        <f t="shared" si="136"/>
        <v>0</v>
      </c>
      <c r="O356" s="883">
        <f t="shared" si="121"/>
        <v>0</v>
      </c>
      <c r="P356" s="1100"/>
      <c r="Q356" s="883">
        <f t="shared" si="127"/>
        <v>0</v>
      </c>
      <c r="R356" s="884">
        <f t="shared" si="122"/>
        <v>0</v>
      </c>
      <c r="S356" s="884">
        <f>IF(AND($AS$39="Early Payoff",J356&gt;=$S$13),0,IF($J356&lt;=$S$6,SUM($Q$20:$Q356),0))</f>
        <v>0</v>
      </c>
      <c r="T356" s="884">
        <f>IF(AND($AS$39="Early Payoff",J356&gt;=$S$13),0,IF($J356&lt;=$S$6,SUM($R$20:$R356),0))</f>
        <v>0</v>
      </c>
      <c r="U356" s="885">
        <f t="shared" si="128"/>
        <v>0</v>
      </c>
      <c r="V356" s="1110">
        <f t="shared" si="123"/>
        <v>0</v>
      </c>
      <c r="X356" s="1102">
        <f t="shared" si="129"/>
        <v>0</v>
      </c>
      <c r="Y356" s="873">
        <f t="shared" si="130"/>
        <v>0</v>
      </c>
      <c r="Z356" s="873">
        <f t="shared" si="131"/>
        <v>0</v>
      </c>
      <c r="AA356" s="885">
        <f t="shared" si="132"/>
        <v>0</v>
      </c>
    </row>
    <row r="357" spans="2:27" s="278" customFormat="1" ht="12" customHeight="1" x14ac:dyDescent="0.25">
      <c r="B357" s="1192" t="e">
        <f t="shared" si="137"/>
        <v>#N/A</v>
      </c>
      <c r="C357" s="732">
        <f t="shared" si="124"/>
        <v>31</v>
      </c>
      <c r="D357" s="35">
        <f t="shared" si="125"/>
        <v>8</v>
      </c>
      <c r="E357" s="889">
        <f t="shared" si="140"/>
        <v>56127</v>
      </c>
      <c r="F357" s="822">
        <f t="shared" si="133"/>
        <v>8</v>
      </c>
      <c r="G357" s="500">
        <f t="shared" si="141"/>
        <v>31</v>
      </c>
      <c r="H357" s="126">
        <f t="shared" si="126"/>
        <v>0</v>
      </c>
      <c r="I357" s="1098">
        <f t="shared" si="142"/>
        <v>0</v>
      </c>
      <c r="J357" s="887">
        <f t="shared" si="138"/>
        <v>338</v>
      </c>
      <c r="K357" s="1099">
        <f t="shared" si="134"/>
        <v>338</v>
      </c>
      <c r="L357" s="891" t="str">
        <f t="shared" si="135"/>
        <v>August</v>
      </c>
      <c r="M357" s="888">
        <f t="shared" si="139"/>
        <v>2053</v>
      </c>
      <c r="N357" s="883">
        <f t="shared" si="136"/>
        <v>0</v>
      </c>
      <c r="O357" s="883">
        <f t="shared" si="121"/>
        <v>0</v>
      </c>
      <c r="P357" s="1100"/>
      <c r="Q357" s="883">
        <f t="shared" si="127"/>
        <v>0</v>
      </c>
      <c r="R357" s="884">
        <f t="shared" si="122"/>
        <v>0</v>
      </c>
      <c r="S357" s="884">
        <f>IF(AND($AS$39="Early Payoff",J357&gt;=$S$13),0,IF($J357&lt;=$S$6,SUM($Q$20:$Q357),0))</f>
        <v>0</v>
      </c>
      <c r="T357" s="884">
        <f>IF(AND($AS$39="Early Payoff",J357&gt;=$S$13),0,IF($J357&lt;=$S$6,SUM($R$20:$R357),0))</f>
        <v>0</v>
      </c>
      <c r="U357" s="885">
        <f t="shared" si="128"/>
        <v>0</v>
      </c>
      <c r="V357" s="1110">
        <f t="shared" si="123"/>
        <v>0</v>
      </c>
      <c r="X357" s="1102">
        <f t="shared" si="129"/>
        <v>0</v>
      </c>
      <c r="Y357" s="873">
        <f t="shared" si="130"/>
        <v>0</v>
      </c>
      <c r="Z357" s="873">
        <f t="shared" si="131"/>
        <v>0</v>
      </c>
      <c r="AA357" s="885">
        <f t="shared" si="132"/>
        <v>0</v>
      </c>
    </row>
    <row r="358" spans="2:27" s="278" customFormat="1" ht="12" customHeight="1" x14ac:dyDescent="0.25">
      <c r="B358" s="1192" t="e">
        <f t="shared" si="137"/>
        <v>#N/A</v>
      </c>
      <c r="C358" s="732">
        <f t="shared" si="124"/>
        <v>30</v>
      </c>
      <c r="D358" s="35">
        <f t="shared" si="125"/>
        <v>9</v>
      </c>
      <c r="E358" s="889">
        <f t="shared" si="140"/>
        <v>56157</v>
      </c>
      <c r="F358" s="822">
        <f t="shared" si="133"/>
        <v>9</v>
      </c>
      <c r="G358" s="500">
        <f t="shared" si="141"/>
        <v>30</v>
      </c>
      <c r="H358" s="126">
        <f t="shared" si="126"/>
        <v>0</v>
      </c>
      <c r="I358" s="1098">
        <f t="shared" si="142"/>
        <v>0</v>
      </c>
      <c r="J358" s="887">
        <f t="shared" si="138"/>
        <v>339</v>
      </c>
      <c r="K358" s="1099">
        <f t="shared" si="134"/>
        <v>339</v>
      </c>
      <c r="L358" s="891" t="str">
        <f t="shared" si="135"/>
        <v>September</v>
      </c>
      <c r="M358" s="888">
        <f t="shared" si="139"/>
        <v>2053</v>
      </c>
      <c r="N358" s="883">
        <f t="shared" si="136"/>
        <v>0</v>
      </c>
      <c r="O358" s="883">
        <f t="shared" si="121"/>
        <v>0</v>
      </c>
      <c r="P358" s="1100"/>
      <c r="Q358" s="883">
        <f t="shared" si="127"/>
        <v>0</v>
      </c>
      <c r="R358" s="884">
        <f t="shared" si="122"/>
        <v>0</v>
      </c>
      <c r="S358" s="884">
        <f>IF(AND($AS$39="Early Payoff",J358&gt;=$S$13),0,IF($J358&lt;=$S$6,SUM($Q$20:$Q358),0))</f>
        <v>0</v>
      </c>
      <c r="T358" s="884">
        <f>IF(AND($AS$39="Early Payoff",J358&gt;=$S$13),0,IF($J358&lt;=$S$6,SUM($R$20:$R358),0))</f>
        <v>0</v>
      </c>
      <c r="U358" s="885">
        <f t="shared" si="128"/>
        <v>0</v>
      </c>
      <c r="V358" s="1110">
        <f t="shared" si="123"/>
        <v>0</v>
      </c>
      <c r="X358" s="1102">
        <f t="shared" si="129"/>
        <v>0</v>
      </c>
      <c r="Y358" s="873">
        <f t="shared" si="130"/>
        <v>0</v>
      </c>
      <c r="Z358" s="873">
        <f t="shared" si="131"/>
        <v>0</v>
      </c>
      <c r="AA358" s="885">
        <f t="shared" si="132"/>
        <v>0</v>
      </c>
    </row>
    <row r="359" spans="2:27" s="278" customFormat="1" ht="12" customHeight="1" x14ac:dyDescent="0.25">
      <c r="B359" s="1192" t="e">
        <f t="shared" si="137"/>
        <v>#N/A</v>
      </c>
      <c r="C359" s="732">
        <f t="shared" si="124"/>
        <v>31</v>
      </c>
      <c r="D359" s="35">
        <f t="shared" si="125"/>
        <v>10</v>
      </c>
      <c r="E359" s="889">
        <f t="shared" si="140"/>
        <v>56188</v>
      </c>
      <c r="F359" s="822">
        <f t="shared" si="133"/>
        <v>10</v>
      </c>
      <c r="G359" s="500">
        <f t="shared" si="141"/>
        <v>31</v>
      </c>
      <c r="H359" s="126">
        <f t="shared" si="126"/>
        <v>0</v>
      </c>
      <c r="I359" s="1098">
        <f t="shared" si="142"/>
        <v>0</v>
      </c>
      <c r="J359" s="887">
        <f t="shared" si="138"/>
        <v>340</v>
      </c>
      <c r="K359" s="1099">
        <f t="shared" si="134"/>
        <v>340</v>
      </c>
      <c r="L359" s="891" t="str">
        <f t="shared" si="135"/>
        <v>October</v>
      </c>
      <c r="M359" s="888">
        <f t="shared" si="139"/>
        <v>2053</v>
      </c>
      <c r="N359" s="883">
        <f t="shared" si="136"/>
        <v>0</v>
      </c>
      <c r="O359" s="883">
        <f t="shared" si="121"/>
        <v>0</v>
      </c>
      <c r="P359" s="1100"/>
      <c r="Q359" s="883">
        <f t="shared" si="127"/>
        <v>0</v>
      </c>
      <c r="R359" s="884">
        <f t="shared" si="122"/>
        <v>0</v>
      </c>
      <c r="S359" s="884">
        <f>IF(AND($AS$39="Early Payoff",J359&gt;=$S$13),0,IF($J359&lt;=$S$6,SUM($Q$20:$Q359),0))</f>
        <v>0</v>
      </c>
      <c r="T359" s="884">
        <f>IF(AND($AS$39="Early Payoff",J359&gt;=$S$13),0,IF($J359&lt;=$S$6,SUM($R$20:$R359),0))</f>
        <v>0</v>
      </c>
      <c r="U359" s="885">
        <f t="shared" si="128"/>
        <v>0</v>
      </c>
      <c r="V359" s="1110">
        <f t="shared" si="123"/>
        <v>0</v>
      </c>
      <c r="X359" s="1102">
        <f t="shared" si="129"/>
        <v>0</v>
      </c>
      <c r="Y359" s="873">
        <f t="shared" si="130"/>
        <v>0</v>
      </c>
      <c r="Z359" s="873">
        <f t="shared" si="131"/>
        <v>0</v>
      </c>
      <c r="AA359" s="885">
        <f t="shared" si="132"/>
        <v>0</v>
      </c>
    </row>
    <row r="360" spans="2:27" s="278" customFormat="1" ht="12" customHeight="1" x14ac:dyDescent="0.25">
      <c r="B360" s="1192" t="e">
        <f t="shared" si="137"/>
        <v>#N/A</v>
      </c>
      <c r="C360" s="732">
        <f t="shared" si="124"/>
        <v>30</v>
      </c>
      <c r="D360" s="35">
        <f t="shared" si="125"/>
        <v>11</v>
      </c>
      <c r="E360" s="889">
        <f t="shared" si="140"/>
        <v>56218</v>
      </c>
      <c r="F360" s="822">
        <f t="shared" si="133"/>
        <v>11</v>
      </c>
      <c r="G360" s="500">
        <f t="shared" si="141"/>
        <v>30</v>
      </c>
      <c r="H360" s="126">
        <f t="shared" si="126"/>
        <v>0</v>
      </c>
      <c r="I360" s="1098">
        <f t="shared" si="142"/>
        <v>0</v>
      </c>
      <c r="J360" s="887">
        <f t="shared" si="138"/>
        <v>341</v>
      </c>
      <c r="K360" s="1099">
        <f t="shared" si="134"/>
        <v>341</v>
      </c>
      <c r="L360" s="891" t="str">
        <f t="shared" si="135"/>
        <v>November</v>
      </c>
      <c r="M360" s="888">
        <f t="shared" si="139"/>
        <v>2053</v>
      </c>
      <c r="N360" s="883">
        <f t="shared" si="136"/>
        <v>0</v>
      </c>
      <c r="O360" s="883">
        <f t="shared" si="121"/>
        <v>0</v>
      </c>
      <c r="P360" s="1100"/>
      <c r="Q360" s="883">
        <f t="shared" si="127"/>
        <v>0</v>
      </c>
      <c r="R360" s="884">
        <f t="shared" si="122"/>
        <v>0</v>
      </c>
      <c r="S360" s="884">
        <f>IF(AND($AS$39="Early Payoff",J360&gt;=$S$13),0,IF($J360&lt;=$S$6,SUM($Q$20:$Q360),0))</f>
        <v>0</v>
      </c>
      <c r="T360" s="884">
        <f>IF(AND($AS$39="Early Payoff",J360&gt;=$S$13),0,IF($J360&lt;=$S$6,SUM($R$20:$R360),0))</f>
        <v>0</v>
      </c>
      <c r="U360" s="885">
        <f t="shared" si="128"/>
        <v>0</v>
      </c>
      <c r="V360" s="1110">
        <f t="shared" si="123"/>
        <v>0</v>
      </c>
      <c r="X360" s="1102">
        <f t="shared" si="129"/>
        <v>0</v>
      </c>
      <c r="Y360" s="873">
        <f t="shared" si="130"/>
        <v>0</v>
      </c>
      <c r="Z360" s="873">
        <f t="shared" si="131"/>
        <v>0</v>
      </c>
      <c r="AA360" s="885">
        <f t="shared" si="132"/>
        <v>0</v>
      </c>
    </row>
    <row r="361" spans="2:27" s="278" customFormat="1" ht="12" customHeight="1" x14ac:dyDescent="0.25">
      <c r="B361" s="1192" t="e">
        <f t="shared" si="137"/>
        <v>#N/A</v>
      </c>
      <c r="C361" s="732">
        <f t="shared" si="124"/>
        <v>31</v>
      </c>
      <c r="D361" s="35">
        <f t="shared" si="125"/>
        <v>12</v>
      </c>
      <c r="E361" s="889">
        <f t="shared" si="140"/>
        <v>56249</v>
      </c>
      <c r="F361" s="822">
        <f t="shared" si="133"/>
        <v>12</v>
      </c>
      <c r="G361" s="500">
        <f t="shared" si="141"/>
        <v>31</v>
      </c>
      <c r="H361" s="126">
        <f t="shared" si="126"/>
        <v>1</v>
      </c>
      <c r="I361" s="1098">
        <f t="shared" si="142"/>
        <v>0</v>
      </c>
      <c r="J361" s="887">
        <f t="shared" si="138"/>
        <v>342</v>
      </c>
      <c r="K361" s="1099">
        <f t="shared" si="134"/>
        <v>342</v>
      </c>
      <c r="L361" s="891" t="str">
        <f t="shared" si="135"/>
        <v>December</v>
      </c>
      <c r="M361" s="888">
        <f t="shared" si="139"/>
        <v>2053</v>
      </c>
      <c r="N361" s="883">
        <f t="shared" si="136"/>
        <v>0</v>
      </c>
      <c r="O361" s="883">
        <f t="shared" si="121"/>
        <v>0</v>
      </c>
      <c r="P361" s="1100"/>
      <c r="Q361" s="883">
        <f t="shared" si="127"/>
        <v>0</v>
      </c>
      <c r="R361" s="884">
        <f t="shared" si="122"/>
        <v>0</v>
      </c>
      <c r="S361" s="884">
        <f>IF(AND($AS$39="Early Payoff",J361&gt;=$S$13),0,IF($J361&lt;=$S$6,SUM($Q$20:$Q361),0))</f>
        <v>0</v>
      </c>
      <c r="T361" s="884">
        <f>IF(AND($AS$39="Early Payoff",J361&gt;=$S$13),0,IF($J361&lt;=$S$6,SUM($R$20:$R361),0))</f>
        <v>0</v>
      </c>
      <c r="U361" s="885">
        <f t="shared" si="128"/>
        <v>0</v>
      </c>
      <c r="V361" s="1110">
        <f t="shared" si="123"/>
        <v>0</v>
      </c>
      <c r="X361" s="1102">
        <f t="shared" si="129"/>
        <v>0</v>
      </c>
      <c r="Y361" s="873">
        <f t="shared" si="130"/>
        <v>0</v>
      </c>
      <c r="Z361" s="873">
        <f t="shared" si="131"/>
        <v>0</v>
      </c>
      <c r="AA361" s="885">
        <f t="shared" si="132"/>
        <v>0</v>
      </c>
    </row>
    <row r="362" spans="2:27" s="278" customFormat="1" ht="12" customHeight="1" x14ac:dyDescent="0.25">
      <c r="B362" s="1192" t="e">
        <f t="shared" si="137"/>
        <v>#N/A</v>
      </c>
      <c r="C362" s="732">
        <f t="shared" si="124"/>
        <v>31</v>
      </c>
      <c r="D362" s="35">
        <f t="shared" si="125"/>
        <v>1</v>
      </c>
      <c r="E362" s="889">
        <f t="shared" si="140"/>
        <v>56280</v>
      </c>
      <c r="F362" s="822">
        <f t="shared" si="133"/>
        <v>1</v>
      </c>
      <c r="G362" s="500">
        <f t="shared" si="141"/>
        <v>31</v>
      </c>
      <c r="H362" s="126">
        <f t="shared" si="126"/>
        <v>0</v>
      </c>
      <c r="I362" s="1098">
        <f t="shared" si="142"/>
        <v>0</v>
      </c>
      <c r="J362" s="887">
        <f t="shared" si="138"/>
        <v>343</v>
      </c>
      <c r="K362" s="1099">
        <f t="shared" si="134"/>
        <v>343</v>
      </c>
      <c r="L362" s="891" t="str">
        <f t="shared" si="135"/>
        <v>January</v>
      </c>
      <c r="M362" s="888">
        <f t="shared" si="139"/>
        <v>2054</v>
      </c>
      <c r="N362" s="883">
        <f t="shared" si="136"/>
        <v>0</v>
      </c>
      <c r="O362" s="883">
        <f t="shared" si="121"/>
        <v>0</v>
      </c>
      <c r="P362" s="1100"/>
      <c r="Q362" s="883">
        <f t="shared" si="127"/>
        <v>0</v>
      </c>
      <c r="R362" s="884">
        <f t="shared" si="122"/>
        <v>0</v>
      </c>
      <c r="S362" s="884">
        <f>IF(AND($AS$39="Early Payoff",J362&gt;=$S$13),0,IF($J362&lt;=$S$6,SUM($Q$20:$Q362),0))</f>
        <v>0</v>
      </c>
      <c r="T362" s="884">
        <f>IF(AND($AS$39="Early Payoff",J362&gt;=$S$13),0,IF($J362&lt;=$S$6,SUM($R$20:$R362),0))</f>
        <v>0</v>
      </c>
      <c r="U362" s="885">
        <f t="shared" si="128"/>
        <v>0</v>
      </c>
      <c r="V362" s="1110">
        <f t="shared" si="123"/>
        <v>0</v>
      </c>
      <c r="X362" s="1102">
        <f t="shared" si="129"/>
        <v>0</v>
      </c>
      <c r="Y362" s="873">
        <f t="shared" si="130"/>
        <v>0</v>
      </c>
      <c r="Z362" s="873">
        <f t="shared" si="131"/>
        <v>0</v>
      </c>
      <c r="AA362" s="885">
        <f t="shared" si="132"/>
        <v>0</v>
      </c>
    </row>
    <row r="363" spans="2:27" s="278" customFormat="1" ht="12" customHeight="1" x14ac:dyDescent="0.25">
      <c r="B363" s="1192" t="e">
        <f t="shared" si="137"/>
        <v>#N/A</v>
      </c>
      <c r="C363" s="732">
        <f t="shared" si="124"/>
        <v>28</v>
      </c>
      <c r="D363" s="35">
        <f t="shared" si="125"/>
        <v>2</v>
      </c>
      <c r="E363" s="889">
        <f t="shared" si="140"/>
        <v>56308</v>
      </c>
      <c r="F363" s="822">
        <f t="shared" si="133"/>
        <v>2</v>
      </c>
      <c r="G363" s="500">
        <f t="shared" si="141"/>
        <v>28</v>
      </c>
      <c r="H363" s="126">
        <f t="shared" si="126"/>
        <v>0</v>
      </c>
      <c r="I363" s="1098">
        <f t="shared" si="142"/>
        <v>0</v>
      </c>
      <c r="J363" s="887">
        <f t="shared" si="138"/>
        <v>344</v>
      </c>
      <c r="K363" s="1099">
        <f t="shared" si="134"/>
        <v>344</v>
      </c>
      <c r="L363" s="891" t="str">
        <f t="shared" si="135"/>
        <v>February</v>
      </c>
      <c r="M363" s="888">
        <f t="shared" si="139"/>
        <v>2054</v>
      </c>
      <c r="N363" s="883">
        <f t="shared" si="136"/>
        <v>0</v>
      </c>
      <c r="O363" s="883">
        <f t="shared" si="121"/>
        <v>0</v>
      </c>
      <c r="P363" s="1100"/>
      <c r="Q363" s="883">
        <f t="shared" si="127"/>
        <v>0</v>
      </c>
      <c r="R363" s="884">
        <f t="shared" si="122"/>
        <v>0</v>
      </c>
      <c r="S363" s="884">
        <f>IF(AND($AS$39="Early Payoff",J363&gt;=$S$13),0,IF($J363&lt;=$S$6,SUM($Q$20:$Q363),0))</f>
        <v>0</v>
      </c>
      <c r="T363" s="884">
        <f>IF(AND($AS$39="Early Payoff",J363&gt;=$S$13),0,IF($J363&lt;=$S$6,SUM($R$20:$R363),0))</f>
        <v>0</v>
      </c>
      <c r="U363" s="885">
        <f t="shared" si="128"/>
        <v>0</v>
      </c>
      <c r="V363" s="1110">
        <f t="shared" si="123"/>
        <v>0</v>
      </c>
      <c r="X363" s="1102">
        <f t="shared" si="129"/>
        <v>0</v>
      </c>
      <c r="Y363" s="873">
        <f t="shared" si="130"/>
        <v>0</v>
      </c>
      <c r="Z363" s="873">
        <f t="shared" si="131"/>
        <v>0</v>
      </c>
      <c r="AA363" s="885">
        <f t="shared" si="132"/>
        <v>0</v>
      </c>
    </row>
    <row r="364" spans="2:27" s="278" customFormat="1" ht="12" customHeight="1" x14ac:dyDescent="0.25">
      <c r="B364" s="1192" t="e">
        <f t="shared" si="137"/>
        <v>#N/A</v>
      </c>
      <c r="C364" s="732">
        <f t="shared" si="124"/>
        <v>31</v>
      </c>
      <c r="D364" s="35">
        <f t="shared" si="125"/>
        <v>3</v>
      </c>
      <c r="E364" s="889">
        <f t="shared" si="140"/>
        <v>56339</v>
      </c>
      <c r="F364" s="822">
        <f t="shared" si="133"/>
        <v>3</v>
      </c>
      <c r="G364" s="500">
        <f t="shared" si="141"/>
        <v>31</v>
      </c>
      <c r="H364" s="126">
        <f t="shared" si="126"/>
        <v>0</v>
      </c>
      <c r="I364" s="1098">
        <f t="shared" si="142"/>
        <v>0</v>
      </c>
      <c r="J364" s="887">
        <f t="shared" si="138"/>
        <v>345</v>
      </c>
      <c r="K364" s="1099">
        <f t="shared" si="134"/>
        <v>345</v>
      </c>
      <c r="L364" s="891" t="str">
        <f t="shared" si="135"/>
        <v>March</v>
      </c>
      <c r="M364" s="888">
        <f t="shared" si="139"/>
        <v>2054</v>
      </c>
      <c r="N364" s="883">
        <f t="shared" si="136"/>
        <v>0</v>
      </c>
      <c r="O364" s="883">
        <f t="shared" si="121"/>
        <v>0</v>
      </c>
      <c r="P364" s="1100"/>
      <c r="Q364" s="883">
        <f t="shared" si="127"/>
        <v>0</v>
      </c>
      <c r="R364" s="884">
        <f t="shared" si="122"/>
        <v>0</v>
      </c>
      <c r="S364" s="884">
        <f>IF(AND($AS$39="Early Payoff",J364&gt;=$S$13),0,IF($J364&lt;=$S$6,SUM($Q$20:$Q364),0))</f>
        <v>0</v>
      </c>
      <c r="T364" s="884">
        <f>IF(AND($AS$39="Early Payoff",J364&gt;=$S$13),0,IF($J364&lt;=$S$6,SUM($R$20:$R364),0))</f>
        <v>0</v>
      </c>
      <c r="U364" s="885">
        <f t="shared" si="128"/>
        <v>0</v>
      </c>
      <c r="V364" s="1110">
        <f t="shared" si="123"/>
        <v>0</v>
      </c>
      <c r="X364" s="1102">
        <f t="shared" si="129"/>
        <v>0</v>
      </c>
      <c r="Y364" s="873">
        <f t="shared" si="130"/>
        <v>0</v>
      </c>
      <c r="Z364" s="873">
        <f t="shared" si="131"/>
        <v>0</v>
      </c>
      <c r="AA364" s="885">
        <f t="shared" si="132"/>
        <v>0</v>
      </c>
    </row>
    <row r="365" spans="2:27" s="278" customFormat="1" ht="12" customHeight="1" x14ac:dyDescent="0.25">
      <c r="B365" s="1192" t="e">
        <f t="shared" si="137"/>
        <v>#N/A</v>
      </c>
      <c r="C365" s="732">
        <f t="shared" si="124"/>
        <v>30</v>
      </c>
      <c r="D365" s="35">
        <f t="shared" si="125"/>
        <v>4</v>
      </c>
      <c r="E365" s="889">
        <f t="shared" si="140"/>
        <v>56369</v>
      </c>
      <c r="F365" s="822">
        <f t="shared" si="133"/>
        <v>4</v>
      </c>
      <c r="G365" s="500">
        <f t="shared" si="141"/>
        <v>30</v>
      </c>
      <c r="H365" s="126">
        <f t="shared" si="126"/>
        <v>0</v>
      </c>
      <c r="I365" s="1098">
        <f t="shared" si="142"/>
        <v>0</v>
      </c>
      <c r="J365" s="887">
        <f t="shared" si="138"/>
        <v>346</v>
      </c>
      <c r="K365" s="1099">
        <f t="shared" si="134"/>
        <v>346</v>
      </c>
      <c r="L365" s="891" t="str">
        <f t="shared" si="135"/>
        <v>April</v>
      </c>
      <c r="M365" s="888">
        <f t="shared" si="139"/>
        <v>2054</v>
      </c>
      <c r="N365" s="883">
        <f t="shared" si="136"/>
        <v>0</v>
      </c>
      <c r="O365" s="883">
        <f t="shared" si="121"/>
        <v>0</v>
      </c>
      <c r="P365" s="1100"/>
      <c r="Q365" s="883">
        <f t="shared" si="127"/>
        <v>0</v>
      </c>
      <c r="R365" s="884">
        <f t="shared" si="122"/>
        <v>0</v>
      </c>
      <c r="S365" s="884">
        <f>IF(AND($AS$39="Early Payoff",J365&gt;=$S$13),0,IF($J365&lt;=$S$6,SUM($Q$20:$Q365),0))</f>
        <v>0</v>
      </c>
      <c r="T365" s="884">
        <f>IF(AND($AS$39="Early Payoff",J365&gt;=$S$13),0,IF($J365&lt;=$S$6,SUM($R$20:$R365),0))</f>
        <v>0</v>
      </c>
      <c r="U365" s="885">
        <f t="shared" si="128"/>
        <v>0</v>
      </c>
      <c r="V365" s="1110">
        <f t="shared" si="123"/>
        <v>0</v>
      </c>
      <c r="X365" s="1102">
        <f t="shared" si="129"/>
        <v>0</v>
      </c>
      <c r="Y365" s="873">
        <f t="shared" si="130"/>
        <v>0</v>
      </c>
      <c r="Z365" s="873">
        <f t="shared" si="131"/>
        <v>0</v>
      </c>
      <c r="AA365" s="885">
        <f t="shared" si="132"/>
        <v>0</v>
      </c>
    </row>
    <row r="366" spans="2:27" s="278" customFormat="1" ht="12" customHeight="1" x14ac:dyDescent="0.25">
      <c r="B366" s="1192" t="e">
        <f t="shared" si="137"/>
        <v>#N/A</v>
      </c>
      <c r="C366" s="732">
        <f t="shared" si="124"/>
        <v>31</v>
      </c>
      <c r="D366" s="35">
        <f t="shared" si="125"/>
        <v>5</v>
      </c>
      <c r="E366" s="889">
        <f t="shared" si="140"/>
        <v>56400</v>
      </c>
      <c r="F366" s="822">
        <f t="shared" si="133"/>
        <v>5</v>
      </c>
      <c r="G366" s="500">
        <f t="shared" si="141"/>
        <v>31</v>
      </c>
      <c r="H366" s="126">
        <f t="shared" si="126"/>
        <v>0</v>
      </c>
      <c r="I366" s="1098">
        <f t="shared" si="142"/>
        <v>0</v>
      </c>
      <c r="J366" s="887">
        <f t="shared" si="138"/>
        <v>347</v>
      </c>
      <c r="K366" s="1099">
        <f t="shared" si="134"/>
        <v>347</v>
      </c>
      <c r="L366" s="891" t="str">
        <f t="shared" si="135"/>
        <v>May</v>
      </c>
      <c r="M366" s="888">
        <f t="shared" si="139"/>
        <v>2054</v>
      </c>
      <c r="N366" s="883">
        <f t="shared" si="136"/>
        <v>0</v>
      </c>
      <c r="O366" s="883">
        <f t="shared" si="121"/>
        <v>0</v>
      </c>
      <c r="P366" s="1100"/>
      <c r="Q366" s="883">
        <f t="shared" si="127"/>
        <v>0</v>
      </c>
      <c r="R366" s="884">
        <f t="shared" si="122"/>
        <v>0</v>
      </c>
      <c r="S366" s="884">
        <f>IF(AND($AS$39="Early Payoff",J366&gt;=$S$13),0,IF($J366&lt;=$S$6,SUM($Q$20:$Q366),0))</f>
        <v>0</v>
      </c>
      <c r="T366" s="884">
        <f>IF(AND($AS$39="Early Payoff",J366&gt;=$S$13),0,IF($J366&lt;=$S$6,SUM($R$20:$R366),0))</f>
        <v>0</v>
      </c>
      <c r="U366" s="885">
        <f t="shared" si="128"/>
        <v>0</v>
      </c>
      <c r="V366" s="1110">
        <f t="shared" si="123"/>
        <v>0</v>
      </c>
      <c r="X366" s="1102">
        <f t="shared" si="129"/>
        <v>0</v>
      </c>
      <c r="Y366" s="873">
        <f t="shared" si="130"/>
        <v>0</v>
      </c>
      <c r="Z366" s="873">
        <f t="shared" si="131"/>
        <v>0</v>
      </c>
      <c r="AA366" s="885">
        <f t="shared" si="132"/>
        <v>0</v>
      </c>
    </row>
    <row r="367" spans="2:27" s="278" customFormat="1" ht="12" customHeight="1" x14ac:dyDescent="0.25">
      <c r="B367" s="1192" t="e">
        <f t="shared" si="137"/>
        <v>#N/A</v>
      </c>
      <c r="C367" s="732">
        <f t="shared" si="124"/>
        <v>30</v>
      </c>
      <c r="D367" s="35">
        <f t="shared" si="125"/>
        <v>6</v>
      </c>
      <c r="E367" s="889">
        <f t="shared" si="140"/>
        <v>56430</v>
      </c>
      <c r="F367" s="822">
        <f t="shared" si="133"/>
        <v>6</v>
      </c>
      <c r="G367" s="500">
        <f t="shared" si="141"/>
        <v>30</v>
      </c>
      <c r="H367" s="126">
        <f t="shared" si="126"/>
        <v>0</v>
      </c>
      <c r="I367" s="1098">
        <f t="shared" si="142"/>
        <v>0</v>
      </c>
      <c r="J367" s="887">
        <f t="shared" si="138"/>
        <v>348</v>
      </c>
      <c r="K367" s="1099">
        <f t="shared" si="134"/>
        <v>348</v>
      </c>
      <c r="L367" s="891" t="str">
        <f t="shared" si="135"/>
        <v>June</v>
      </c>
      <c r="M367" s="888">
        <f t="shared" si="139"/>
        <v>2054</v>
      </c>
      <c r="N367" s="883">
        <f t="shared" si="136"/>
        <v>0</v>
      </c>
      <c r="O367" s="883">
        <f t="shared" si="121"/>
        <v>0</v>
      </c>
      <c r="P367" s="1100"/>
      <c r="Q367" s="883">
        <f t="shared" si="127"/>
        <v>0</v>
      </c>
      <c r="R367" s="884">
        <f t="shared" si="122"/>
        <v>0</v>
      </c>
      <c r="S367" s="884">
        <f>IF(AND($AS$39="Early Payoff",J367&gt;=$S$13),0,IF($J367&lt;=$S$6,SUM($Q$20:$Q367),0))</f>
        <v>0</v>
      </c>
      <c r="T367" s="884">
        <f>IF(AND($AS$39="Early Payoff",J367&gt;=$S$13),0,IF($J367&lt;=$S$6,SUM($R$20:$R367),0))</f>
        <v>0</v>
      </c>
      <c r="U367" s="885">
        <f t="shared" si="128"/>
        <v>0</v>
      </c>
      <c r="V367" s="1110">
        <f t="shared" si="123"/>
        <v>0</v>
      </c>
      <c r="X367" s="1102">
        <f t="shared" si="129"/>
        <v>0</v>
      </c>
      <c r="Y367" s="873">
        <f t="shared" si="130"/>
        <v>0</v>
      </c>
      <c r="Z367" s="873">
        <f t="shared" si="131"/>
        <v>0</v>
      </c>
      <c r="AA367" s="885">
        <f t="shared" si="132"/>
        <v>0</v>
      </c>
    </row>
    <row r="368" spans="2:27" s="278" customFormat="1" ht="12" customHeight="1" x14ac:dyDescent="0.25">
      <c r="B368" s="1192" t="e">
        <f t="shared" si="137"/>
        <v>#N/A</v>
      </c>
      <c r="C368" s="732">
        <f t="shared" si="124"/>
        <v>31</v>
      </c>
      <c r="D368" s="35">
        <f t="shared" si="125"/>
        <v>7</v>
      </c>
      <c r="E368" s="889">
        <f t="shared" si="140"/>
        <v>56461</v>
      </c>
      <c r="F368" s="822">
        <f t="shared" si="133"/>
        <v>7</v>
      </c>
      <c r="G368" s="500">
        <f t="shared" si="141"/>
        <v>31</v>
      </c>
      <c r="H368" s="126">
        <f t="shared" si="126"/>
        <v>0</v>
      </c>
      <c r="I368" s="1098">
        <f t="shared" si="142"/>
        <v>0</v>
      </c>
      <c r="J368" s="887">
        <f t="shared" si="138"/>
        <v>349</v>
      </c>
      <c r="K368" s="1099">
        <f t="shared" si="134"/>
        <v>349</v>
      </c>
      <c r="L368" s="891" t="str">
        <f t="shared" si="135"/>
        <v>July</v>
      </c>
      <c r="M368" s="888">
        <f t="shared" si="139"/>
        <v>2054</v>
      </c>
      <c r="N368" s="883">
        <f t="shared" si="136"/>
        <v>0</v>
      </c>
      <c r="O368" s="883">
        <f t="shared" si="121"/>
        <v>0</v>
      </c>
      <c r="P368" s="1100"/>
      <c r="Q368" s="883">
        <f t="shared" si="127"/>
        <v>0</v>
      </c>
      <c r="R368" s="884">
        <f t="shared" si="122"/>
        <v>0</v>
      </c>
      <c r="S368" s="884">
        <f>IF(AND($AS$39="Early Payoff",J368&gt;=$S$13),0,IF($J368&lt;=$S$6,SUM($Q$20:$Q368),0))</f>
        <v>0</v>
      </c>
      <c r="T368" s="884">
        <f>IF(AND($AS$39="Early Payoff",J368&gt;=$S$13),0,IF($J368&lt;=$S$6,SUM($R$20:$R368),0))</f>
        <v>0</v>
      </c>
      <c r="U368" s="885">
        <f t="shared" si="128"/>
        <v>0</v>
      </c>
      <c r="V368" s="1110">
        <f t="shared" si="123"/>
        <v>0</v>
      </c>
      <c r="X368" s="1102">
        <f t="shared" si="129"/>
        <v>0</v>
      </c>
      <c r="Y368" s="873">
        <f t="shared" si="130"/>
        <v>0</v>
      </c>
      <c r="Z368" s="873">
        <f t="shared" si="131"/>
        <v>0</v>
      </c>
      <c r="AA368" s="885">
        <f t="shared" si="132"/>
        <v>0</v>
      </c>
    </row>
    <row r="369" spans="2:27" s="278" customFormat="1" ht="12" customHeight="1" x14ac:dyDescent="0.25">
      <c r="B369" s="1192" t="e">
        <f t="shared" si="137"/>
        <v>#N/A</v>
      </c>
      <c r="C369" s="732">
        <f t="shared" si="124"/>
        <v>31</v>
      </c>
      <c r="D369" s="35">
        <f t="shared" si="125"/>
        <v>8</v>
      </c>
      <c r="E369" s="889">
        <f t="shared" si="140"/>
        <v>56492</v>
      </c>
      <c r="F369" s="822">
        <f t="shared" si="133"/>
        <v>8</v>
      </c>
      <c r="G369" s="500">
        <f t="shared" si="141"/>
        <v>31</v>
      </c>
      <c r="H369" s="126">
        <f t="shared" si="126"/>
        <v>0</v>
      </c>
      <c r="I369" s="1098">
        <f t="shared" si="142"/>
        <v>0</v>
      </c>
      <c r="J369" s="887">
        <f t="shared" si="138"/>
        <v>350</v>
      </c>
      <c r="K369" s="1099">
        <f t="shared" si="134"/>
        <v>350</v>
      </c>
      <c r="L369" s="891" t="str">
        <f t="shared" si="135"/>
        <v>August</v>
      </c>
      <c r="M369" s="888">
        <f t="shared" si="139"/>
        <v>2054</v>
      </c>
      <c r="N369" s="883">
        <f t="shared" si="136"/>
        <v>0</v>
      </c>
      <c r="O369" s="883">
        <f t="shared" si="121"/>
        <v>0</v>
      </c>
      <c r="P369" s="1100"/>
      <c r="Q369" s="883">
        <f t="shared" si="127"/>
        <v>0</v>
      </c>
      <c r="R369" s="884">
        <f t="shared" si="122"/>
        <v>0</v>
      </c>
      <c r="S369" s="884">
        <f>IF(AND($AS$39="Early Payoff",J369&gt;=$S$13),0,IF($J369&lt;=$S$6,SUM($Q$20:$Q369),0))</f>
        <v>0</v>
      </c>
      <c r="T369" s="884">
        <f>IF(AND($AS$39="Early Payoff",J369&gt;=$S$13),0,IF($J369&lt;=$S$6,SUM($R$20:$R369),0))</f>
        <v>0</v>
      </c>
      <c r="U369" s="885">
        <f t="shared" si="128"/>
        <v>0</v>
      </c>
      <c r="V369" s="1110">
        <f t="shared" si="123"/>
        <v>0</v>
      </c>
      <c r="X369" s="1102">
        <f t="shared" si="129"/>
        <v>0</v>
      </c>
      <c r="Y369" s="873">
        <f t="shared" si="130"/>
        <v>0</v>
      </c>
      <c r="Z369" s="873">
        <f t="shared" si="131"/>
        <v>0</v>
      </c>
      <c r="AA369" s="885">
        <f t="shared" si="132"/>
        <v>0</v>
      </c>
    </row>
    <row r="370" spans="2:27" s="278" customFormat="1" ht="12" customHeight="1" x14ac:dyDescent="0.25">
      <c r="B370" s="1192" t="e">
        <f t="shared" si="137"/>
        <v>#N/A</v>
      </c>
      <c r="C370" s="732">
        <f t="shared" si="124"/>
        <v>30</v>
      </c>
      <c r="D370" s="35">
        <f t="shared" si="125"/>
        <v>9</v>
      </c>
      <c r="E370" s="889">
        <f t="shared" si="140"/>
        <v>56522</v>
      </c>
      <c r="F370" s="822">
        <f t="shared" si="133"/>
        <v>9</v>
      </c>
      <c r="G370" s="500">
        <f t="shared" si="141"/>
        <v>30</v>
      </c>
      <c r="H370" s="126">
        <f t="shared" si="126"/>
        <v>0</v>
      </c>
      <c r="I370" s="1098">
        <f t="shared" si="142"/>
        <v>0</v>
      </c>
      <c r="J370" s="887">
        <f t="shared" si="138"/>
        <v>351</v>
      </c>
      <c r="K370" s="1099">
        <f t="shared" si="134"/>
        <v>351</v>
      </c>
      <c r="L370" s="891" t="str">
        <f t="shared" si="135"/>
        <v>September</v>
      </c>
      <c r="M370" s="888">
        <f t="shared" si="139"/>
        <v>2054</v>
      </c>
      <c r="N370" s="883">
        <f t="shared" si="136"/>
        <v>0</v>
      </c>
      <c r="O370" s="883">
        <f t="shared" si="121"/>
        <v>0</v>
      </c>
      <c r="P370" s="1100"/>
      <c r="Q370" s="883">
        <f t="shared" si="127"/>
        <v>0</v>
      </c>
      <c r="R370" s="884">
        <f t="shared" si="122"/>
        <v>0</v>
      </c>
      <c r="S370" s="884">
        <f>IF(AND($AS$39="Early Payoff",J370&gt;=$S$13),0,IF($J370&lt;=$S$6,SUM($Q$20:$Q370),0))</f>
        <v>0</v>
      </c>
      <c r="T370" s="884">
        <f>IF(AND($AS$39="Early Payoff",J370&gt;=$S$13),0,IF($J370&lt;=$S$6,SUM($R$20:$R370),0))</f>
        <v>0</v>
      </c>
      <c r="U370" s="885">
        <f t="shared" si="128"/>
        <v>0</v>
      </c>
      <c r="V370" s="1110">
        <f t="shared" si="123"/>
        <v>0</v>
      </c>
      <c r="X370" s="1102">
        <f t="shared" si="129"/>
        <v>0</v>
      </c>
      <c r="Y370" s="873">
        <f t="shared" si="130"/>
        <v>0</v>
      </c>
      <c r="Z370" s="873">
        <f t="shared" si="131"/>
        <v>0</v>
      </c>
      <c r="AA370" s="885">
        <f t="shared" si="132"/>
        <v>0</v>
      </c>
    </row>
    <row r="371" spans="2:27" s="278" customFormat="1" ht="12" customHeight="1" x14ac:dyDescent="0.25">
      <c r="B371" s="1192" t="e">
        <f t="shared" si="137"/>
        <v>#N/A</v>
      </c>
      <c r="C371" s="732">
        <f t="shared" si="124"/>
        <v>31</v>
      </c>
      <c r="D371" s="35">
        <f t="shared" si="125"/>
        <v>10</v>
      </c>
      <c r="E371" s="889">
        <f t="shared" si="140"/>
        <v>56553</v>
      </c>
      <c r="F371" s="822">
        <f t="shared" si="133"/>
        <v>10</v>
      </c>
      <c r="G371" s="500">
        <f t="shared" si="141"/>
        <v>31</v>
      </c>
      <c r="H371" s="126">
        <f t="shared" si="126"/>
        <v>0</v>
      </c>
      <c r="I371" s="1098">
        <f t="shared" si="142"/>
        <v>0</v>
      </c>
      <c r="J371" s="887">
        <f t="shared" si="138"/>
        <v>352</v>
      </c>
      <c r="K371" s="1099">
        <f t="shared" si="134"/>
        <v>352</v>
      </c>
      <c r="L371" s="891" t="str">
        <f t="shared" si="135"/>
        <v>October</v>
      </c>
      <c r="M371" s="888">
        <f t="shared" si="139"/>
        <v>2054</v>
      </c>
      <c r="N371" s="883">
        <f t="shared" si="136"/>
        <v>0</v>
      </c>
      <c r="O371" s="883">
        <f t="shared" si="121"/>
        <v>0</v>
      </c>
      <c r="P371" s="1100"/>
      <c r="Q371" s="883">
        <f t="shared" si="127"/>
        <v>0</v>
      </c>
      <c r="R371" s="884">
        <f t="shared" si="122"/>
        <v>0</v>
      </c>
      <c r="S371" s="884">
        <f>IF(AND($AS$39="Early Payoff",J371&gt;=$S$13),0,IF($J371&lt;=$S$6,SUM($Q$20:$Q371),0))</f>
        <v>0</v>
      </c>
      <c r="T371" s="884">
        <f>IF(AND($AS$39="Early Payoff",J371&gt;=$S$13),0,IF($J371&lt;=$S$6,SUM($R$20:$R371),0))</f>
        <v>0</v>
      </c>
      <c r="U371" s="885">
        <f t="shared" si="128"/>
        <v>0</v>
      </c>
      <c r="V371" s="1110">
        <f t="shared" si="123"/>
        <v>0</v>
      </c>
      <c r="X371" s="1102">
        <f t="shared" si="129"/>
        <v>0</v>
      </c>
      <c r="Y371" s="873">
        <f t="shared" si="130"/>
        <v>0</v>
      </c>
      <c r="Z371" s="873">
        <f t="shared" si="131"/>
        <v>0</v>
      </c>
      <c r="AA371" s="885">
        <f t="shared" si="132"/>
        <v>0</v>
      </c>
    </row>
    <row r="372" spans="2:27" s="278" customFormat="1" ht="12" customHeight="1" x14ac:dyDescent="0.25">
      <c r="B372" s="1192" t="e">
        <f t="shared" si="137"/>
        <v>#N/A</v>
      </c>
      <c r="C372" s="732">
        <f t="shared" si="124"/>
        <v>30</v>
      </c>
      <c r="D372" s="35">
        <f t="shared" si="125"/>
        <v>11</v>
      </c>
      <c r="E372" s="889">
        <f t="shared" si="140"/>
        <v>56583</v>
      </c>
      <c r="F372" s="822">
        <f t="shared" si="133"/>
        <v>11</v>
      </c>
      <c r="G372" s="500">
        <f t="shared" si="141"/>
        <v>30</v>
      </c>
      <c r="H372" s="126">
        <f t="shared" si="126"/>
        <v>0</v>
      </c>
      <c r="I372" s="1098">
        <f t="shared" si="142"/>
        <v>0</v>
      </c>
      <c r="J372" s="887">
        <f t="shared" si="138"/>
        <v>353</v>
      </c>
      <c r="K372" s="1099">
        <f t="shared" si="134"/>
        <v>353</v>
      </c>
      <c r="L372" s="891" t="str">
        <f t="shared" si="135"/>
        <v>November</v>
      </c>
      <c r="M372" s="888">
        <f t="shared" si="139"/>
        <v>2054</v>
      </c>
      <c r="N372" s="883">
        <f t="shared" si="136"/>
        <v>0</v>
      </c>
      <c r="O372" s="883">
        <f t="shared" si="121"/>
        <v>0</v>
      </c>
      <c r="P372" s="1100"/>
      <c r="Q372" s="883">
        <f t="shared" si="127"/>
        <v>0</v>
      </c>
      <c r="R372" s="884">
        <f t="shared" si="122"/>
        <v>0</v>
      </c>
      <c r="S372" s="884">
        <f>IF(AND($AS$39="Early Payoff",J372&gt;=$S$13),0,IF($J372&lt;=$S$6,SUM($Q$20:$Q372),0))</f>
        <v>0</v>
      </c>
      <c r="T372" s="884">
        <f>IF(AND($AS$39="Early Payoff",J372&gt;=$S$13),0,IF($J372&lt;=$S$6,SUM($R$20:$R372),0))</f>
        <v>0</v>
      </c>
      <c r="U372" s="885">
        <f t="shared" si="128"/>
        <v>0</v>
      </c>
      <c r="V372" s="1110">
        <f t="shared" si="123"/>
        <v>0</v>
      </c>
      <c r="X372" s="1102">
        <f t="shared" si="129"/>
        <v>0</v>
      </c>
      <c r="Y372" s="873">
        <f t="shared" si="130"/>
        <v>0</v>
      </c>
      <c r="Z372" s="873">
        <f t="shared" si="131"/>
        <v>0</v>
      </c>
      <c r="AA372" s="885">
        <f t="shared" si="132"/>
        <v>0</v>
      </c>
    </row>
    <row r="373" spans="2:27" s="278" customFormat="1" ht="12" customHeight="1" x14ac:dyDescent="0.25">
      <c r="B373" s="1192" t="e">
        <f t="shared" si="137"/>
        <v>#N/A</v>
      </c>
      <c r="C373" s="732">
        <f t="shared" si="124"/>
        <v>31</v>
      </c>
      <c r="D373" s="35">
        <f t="shared" si="125"/>
        <v>12</v>
      </c>
      <c r="E373" s="889">
        <f t="shared" si="140"/>
        <v>56614</v>
      </c>
      <c r="F373" s="822">
        <f t="shared" si="133"/>
        <v>12</v>
      </c>
      <c r="G373" s="500">
        <f t="shared" si="141"/>
        <v>31</v>
      </c>
      <c r="H373" s="126">
        <f t="shared" si="126"/>
        <v>1</v>
      </c>
      <c r="I373" s="1098">
        <f t="shared" si="142"/>
        <v>0</v>
      </c>
      <c r="J373" s="887">
        <f t="shared" si="138"/>
        <v>354</v>
      </c>
      <c r="K373" s="1099">
        <f t="shared" si="134"/>
        <v>354</v>
      </c>
      <c r="L373" s="891" t="str">
        <f t="shared" si="135"/>
        <v>December</v>
      </c>
      <c r="M373" s="888">
        <f t="shared" si="139"/>
        <v>2054</v>
      </c>
      <c r="N373" s="883">
        <f t="shared" si="136"/>
        <v>0</v>
      </c>
      <c r="O373" s="883">
        <f t="shared" si="121"/>
        <v>0</v>
      </c>
      <c r="P373" s="1100"/>
      <c r="Q373" s="883">
        <f t="shared" si="127"/>
        <v>0</v>
      </c>
      <c r="R373" s="884">
        <f t="shared" si="122"/>
        <v>0</v>
      </c>
      <c r="S373" s="884">
        <f>IF(AND($AS$39="Early Payoff",J373&gt;=$S$13),0,IF($J373&lt;=$S$6,SUM($Q$20:$Q373),0))</f>
        <v>0</v>
      </c>
      <c r="T373" s="884">
        <f>IF(AND($AS$39="Early Payoff",J373&gt;=$S$13),0,IF($J373&lt;=$S$6,SUM($R$20:$R373),0))</f>
        <v>0</v>
      </c>
      <c r="U373" s="885">
        <f t="shared" si="128"/>
        <v>0</v>
      </c>
      <c r="V373" s="1110">
        <f t="shared" si="123"/>
        <v>0</v>
      </c>
      <c r="X373" s="1102">
        <f t="shared" si="129"/>
        <v>0</v>
      </c>
      <c r="Y373" s="873">
        <f t="shared" si="130"/>
        <v>0</v>
      </c>
      <c r="Z373" s="873">
        <f t="shared" si="131"/>
        <v>0</v>
      </c>
      <c r="AA373" s="885">
        <f t="shared" si="132"/>
        <v>0</v>
      </c>
    </row>
    <row r="374" spans="2:27" s="278" customFormat="1" ht="12" customHeight="1" x14ac:dyDescent="0.25">
      <c r="B374" s="1192" t="e">
        <f t="shared" si="137"/>
        <v>#N/A</v>
      </c>
      <c r="C374" s="732">
        <f t="shared" si="124"/>
        <v>31</v>
      </c>
      <c r="D374" s="35">
        <f t="shared" si="125"/>
        <v>1</v>
      </c>
      <c r="E374" s="889">
        <f t="shared" si="140"/>
        <v>56645</v>
      </c>
      <c r="F374" s="822">
        <f t="shared" si="133"/>
        <v>1</v>
      </c>
      <c r="G374" s="500">
        <f t="shared" si="141"/>
        <v>31</v>
      </c>
      <c r="H374" s="126">
        <f t="shared" si="126"/>
        <v>0</v>
      </c>
      <c r="I374" s="1098">
        <f t="shared" si="142"/>
        <v>0</v>
      </c>
      <c r="J374" s="887">
        <f t="shared" si="138"/>
        <v>355</v>
      </c>
      <c r="K374" s="1099">
        <f t="shared" si="134"/>
        <v>355</v>
      </c>
      <c r="L374" s="891" t="str">
        <f t="shared" si="135"/>
        <v>January</v>
      </c>
      <c r="M374" s="888">
        <f t="shared" si="139"/>
        <v>2055</v>
      </c>
      <c r="N374" s="883">
        <f t="shared" si="136"/>
        <v>0</v>
      </c>
      <c r="O374" s="883">
        <f t="shared" si="121"/>
        <v>0</v>
      </c>
      <c r="P374" s="1100"/>
      <c r="Q374" s="883">
        <f t="shared" si="127"/>
        <v>0</v>
      </c>
      <c r="R374" s="884">
        <f t="shared" si="122"/>
        <v>0</v>
      </c>
      <c r="S374" s="884">
        <f>IF(AND($AS$39="Early Payoff",J374&gt;=$S$13),0,IF($J374&lt;=$S$6,SUM($Q$20:$Q374),0))</f>
        <v>0</v>
      </c>
      <c r="T374" s="884">
        <f>IF(AND($AS$39="Early Payoff",J374&gt;=$S$13),0,IF($J374&lt;=$S$6,SUM($R$20:$R374),0))</f>
        <v>0</v>
      </c>
      <c r="U374" s="885">
        <f t="shared" si="128"/>
        <v>0</v>
      </c>
      <c r="V374" s="1110">
        <f t="shared" si="123"/>
        <v>0</v>
      </c>
      <c r="X374" s="1102">
        <f t="shared" si="129"/>
        <v>0</v>
      </c>
      <c r="Y374" s="873">
        <f t="shared" si="130"/>
        <v>0</v>
      </c>
      <c r="Z374" s="873">
        <f t="shared" si="131"/>
        <v>0</v>
      </c>
      <c r="AA374" s="885">
        <f t="shared" si="132"/>
        <v>0</v>
      </c>
    </row>
    <row r="375" spans="2:27" s="278" customFormat="1" ht="12" customHeight="1" x14ac:dyDescent="0.25">
      <c r="B375" s="1192" t="e">
        <f t="shared" si="137"/>
        <v>#N/A</v>
      </c>
      <c r="C375" s="732">
        <f t="shared" si="124"/>
        <v>28</v>
      </c>
      <c r="D375" s="35">
        <f t="shared" si="125"/>
        <v>2</v>
      </c>
      <c r="E375" s="889">
        <f t="shared" si="140"/>
        <v>56673</v>
      </c>
      <c r="F375" s="822">
        <f t="shared" si="133"/>
        <v>2</v>
      </c>
      <c r="G375" s="500">
        <f t="shared" si="141"/>
        <v>28</v>
      </c>
      <c r="H375" s="126">
        <f t="shared" si="126"/>
        <v>0</v>
      </c>
      <c r="I375" s="1098">
        <f t="shared" si="142"/>
        <v>0</v>
      </c>
      <c r="J375" s="887">
        <f t="shared" si="138"/>
        <v>356</v>
      </c>
      <c r="K375" s="1099">
        <f t="shared" si="134"/>
        <v>356</v>
      </c>
      <c r="L375" s="891" t="str">
        <f t="shared" si="135"/>
        <v>February</v>
      </c>
      <c r="M375" s="888">
        <f t="shared" si="139"/>
        <v>2055</v>
      </c>
      <c r="N375" s="883">
        <f t="shared" si="136"/>
        <v>0</v>
      </c>
      <c r="O375" s="883">
        <f t="shared" si="121"/>
        <v>0</v>
      </c>
      <c r="P375" s="1100"/>
      <c r="Q375" s="883">
        <f t="shared" si="127"/>
        <v>0</v>
      </c>
      <c r="R375" s="884">
        <f t="shared" si="122"/>
        <v>0</v>
      </c>
      <c r="S375" s="884">
        <f>IF(AND($AS$39="Early Payoff",J375&gt;=$S$13),0,IF($J375&lt;=$S$6,SUM($Q$20:$Q375),0))</f>
        <v>0</v>
      </c>
      <c r="T375" s="884">
        <f>IF(AND($AS$39="Early Payoff",J375&gt;=$S$13),0,IF($J375&lt;=$S$6,SUM($R$20:$R375),0))</f>
        <v>0</v>
      </c>
      <c r="U375" s="885">
        <f t="shared" si="128"/>
        <v>0</v>
      </c>
      <c r="V375" s="1110">
        <f t="shared" si="123"/>
        <v>0</v>
      </c>
      <c r="X375" s="1102">
        <f t="shared" si="129"/>
        <v>0</v>
      </c>
      <c r="Y375" s="873">
        <f t="shared" si="130"/>
        <v>0</v>
      </c>
      <c r="Z375" s="873">
        <f t="shared" si="131"/>
        <v>0</v>
      </c>
      <c r="AA375" s="885">
        <f t="shared" si="132"/>
        <v>0</v>
      </c>
    </row>
    <row r="376" spans="2:27" s="278" customFormat="1" ht="12" customHeight="1" x14ac:dyDescent="0.25">
      <c r="B376" s="1192" t="e">
        <f t="shared" si="137"/>
        <v>#N/A</v>
      </c>
      <c r="C376" s="732">
        <f t="shared" si="124"/>
        <v>31</v>
      </c>
      <c r="D376" s="35">
        <f t="shared" si="125"/>
        <v>3</v>
      </c>
      <c r="E376" s="889">
        <f t="shared" si="140"/>
        <v>56704</v>
      </c>
      <c r="F376" s="822">
        <f t="shared" si="133"/>
        <v>3</v>
      </c>
      <c r="G376" s="500">
        <f t="shared" si="141"/>
        <v>31</v>
      </c>
      <c r="H376" s="126">
        <f t="shared" si="126"/>
        <v>0</v>
      </c>
      <c r="I376" s="1098">
        <f t="shared" si="142"/>
        <v>0</v>
      </c>
      <c r="J376" s="887">
        <f t="shared" si="138"/>
        <v>357</v>
      </c>
      <c r="K376" s="1099">
        <f t="shared" si="134"/>
        <v>357</v>
      </c>
      <c r="L376" s="891" t="str">
        <f t="shared" si="135"/>
        <v>March</v>
      </c>
      <c r="M376" s="888">
        <f t="shared" si="139"/>
        <v>2055</v>
      </c>
      <c r="N376" s="883">
        <f t="shared" si="136"/>
        <v>0</v>
      </c>
      <c r="O376" s="883">
        <f t="shared" si="121"/>
        <v>0</v>
      </c>
      <c r="P376" s="1100"/>
      <c r="Q376" s="883">
        <f t="shared" si="127"/>
        <v>0</v>
      </c>
      <c r="R376" s="884">
        <f t="shared" si="122"/>
        <v>0</v>
      </c>
      <c r="S376" s="884">
        <f>IF(AND($AS$39="Early Payoff",J376&gt;=$S$13),0,IF($J376&lt;=$S$6,SUM($Q$20:$Q376),0))</f>
        <v>0</v>
      </c>
      <c r="T376" s="884">
        <f>IF(AND($AS$39="Early Payoff",J376&gt;=$S$13),0,IF($J376&lt;=$S$6,SUM($R$20:$R376),0))</f>
        <v>0</v>
      </c>
      <c r="U376" s="885">
        <f t="shared" si="128"/>
        <v>0</v>
      </c>
      <c r="V376" s="1110">
        <f t="shared" si="123"/>
        <v>0</v>
      </c>
      <c r="X376" s="1102">
        <f t="shared" si="129"/>
        <v>0</v>
      </c>
      <c r="Y376" s="873">
        <f t="shared" si="130"/>
        <v>0</v>
      </c>
      <c r="Z376" s="873">
        <f t="shared" si="131"/>
        <v>0</v>
      </c>
      <c r="AA376" s="885">
        <f t="shared" si="132"/>
        <v>0</v>
      </c>
    </row>
    <row r="377" spans="2:27" s="278" customFormat="1" ht="12" customHeight="1" x14ac:dyDescent="0.25">
      <c r="B377" s="1192" t="e">
        <f t="shared" si="137"/>
        <v>#N/A</v>
      </c>
      <c r="C377" s="732">
        <f t="shared" si="124"/>
        <v>30</v>
      </c>
      <c r="D377" s="35">
        <f t="shared" si="125"/>
        <v>4</v>
      </c>
      <c r="E377" s="889">
        <f t="shared" si="140"/>
        <v>56734</v>
      </c>
      <c r="F377" s="822">
        <f t="shared" si="133"/>
        <v>4</v>
      </c>
      <c r="G377" s="500">
        <f t="shared" si="141"/>
        <v>30</v>
      </c>
      <c r="H377" s="126">
        <f t="shared" si="126"/>
        <v>0</v>
      </c>
      <c r="I377" s="1098">
        <f t="shared" si="142"/>
        <v>0</v>
      </c>
      <c r="J377" s="887">
        <f t="shared" si="138"/>
        <v>358</v>
      </c>
      <c r="K377" s="1099">
        <f t="shared" si="134"/>
        <v>358</v>
      </c>
      <c r="L377" s="891" t="str">
        <f t="shared" si="135"/>
        <v>April</v>
      </c>
      <c r="M377" s="888">
        <f t="shared" si="139"/>
        <v>2055</v>
      </c>
      <c r="N377" s="883">
        <f t="shared" si="136"/>
        <v>0</v>
      </c>
      <c r="O377" s="883">
        <f t="shared" si="121"/>
        <v>0</v>
      </c>
      <c r="P377" s="1100"/>
      <c r="Q377" s="883">
        <f t="shared" si="127"/>
        <v>0</v>
      </c>
      <c r="R377" s="884">
        <f t="shared" si="122"/>
        <v>0</v>
      </c>
      <c r="S377" s="884">
        <f>IF(AND($AS$39="Early Payoff",J377&gt;=$S$13),0,IF($J377&lt;=$S$6,SUM($Q$20:$Q377),0))</f>
        <v>0</v>
      </c>
      <c r="T377" s="884">
        <f>IF(AND($AS$39="Early Payoff",J377&gt;=$S$13),0,IF($J377&lt;=$S$6,SUM($R$20:$R377),0))</f>
        <v>0</v>
      </c>
      <c r="U377" s="885">
        <f t="shared" si="128"/>
        <v>0</v>
      </c>
      <c r="V377" s="1110">
        <f t="shared" si="123"/>
        <v>0</v>
      </c>
      <c r="X377" s="1102">
        <f t="shared" si="129"/>
        <v>0</v>
      </c>
      <c r="Y377" s="873">
        <f t="shared" si="130"/>
        <v>0</v>
      </c>
      <c r="Z377" s="873">
        <f t="shared" si="131"/>
        <v>0</v>
      </c>
      <c r="AA377" s="885">
        <f t="shared" si="132"/>
        <v>0</v>
      </c>
    </row>
    <row r="378" spans="2:27" s="278" customFormat="1" ht="12" customHeight="1" x14ac:dyDescent="0.25">
      <c r="B378" s="1192" t="e">
        <f t="shared" si="137"/>
        <v>#N/A</v>
      </c>
      <c r="C378" s="732">
        <f t="shared" si="124"/>
        <v>31</v>
      </c>
      <c r="D378" s="35">
        <f t="shared" si="125"/>
        <v>5</v>
      </c>
      <c r="E378" s="889">
        <f t="shared" si="140"/>
        <v>56765</v>
      </c>
      <c r="F378" s="822">
        <f t="shared" si="133"/>
        <v>5</v>
      </c>
      <c r="G378" s="500">
        <f t="shared" si="141"/>
        <v>31</v>
      </c>
      <c r="H378" s="126">
        <f t="shared" si="126"/>
        <v>0</v>
      </c>
      <c r="I378" s="1098">
        <f t="shared" si="142"/>
        <v>0</v>
      </c>
      <c r="J378" s="887">
        <f t="shared" si="138"/>
        <v>359</v>
      </c>
      <c r="K378" s="1099">
        <f t="shared" si="134"/>
        <v>359</v>
      </c>
      <c r="L378" s="891" t="str">
        <f t="shared" si="135"/>
        <v>May</v>
      </c>
      <c r="M378" s="888">
        <f t="shared" si="139"/>
        <v>2055</v>
      </c>
      <c r="N378" s="883">
        <f t="shared" si="136"/>
        <v>0</v>
      </c>
      <c r="O378" s="883">
        <f t="shared" si="121"/>
        <v>0</v>
      </c>
      <c r="P378" s="1100"/>
      <c r="Q378" s="883">
        <f t="shared" si="127"/>
        <v>0</v>
      </c>
      <c r="R378" s="884">
        <f t="shared" si="122"/>
        <v>0</v>
      </c>
      <c r="S378" s="884">
        <f>IF(AND($AS$39="Early Payoff",J378&gt;=$S$13),0,IF($J378&lt;=$S$6,SUM($Q$20:$Q378),0))</f>
        <v>0</v>
      </c>
      <c r="T378" s="884">
        <f>IF(AND($AS$39="Early Payoff",J378&gt;=$S$13),0,IF($J378&lt;=$S$6,SUM($R$20:$R378),0))</f>
        <v>0</v>
      </c>
      <c r="U378" s="885">
        <f t="shared" si="128"/>
        <v>0</v>
      </c>
      <c r="V378" s="1110">
        <f t="shared" si="123"/>
        <v>0</v>
      </c>
      <c r="X378" s="1102">
        <f t="shared" si="129"/>
        <v>0</v>
      </c>
      <c r="Y378" s="873">
        <f t="shared" si="130"/>
        <v>0</v>
      </c>
      <c r="Z378" s="873">
        <f t="shared" si="131"/>
        <v>0</v>
      </c>
      <c r="AA378" s="885">
        <f t="shared" si="132"/>
        <v>0</v>
      </c>
    </row>
    <row r="379" spans="2:27" s="278" customFormat="1" ht="12" customHeight="1" x14ac:dyDescent="0.25">
      <c r="B379" s="1192" t="e">
        <f t="shared" si="137"/>
        <v>#N/A</v>
      </c>
      <c r="C379" s="732">
        <f t="shared" si="124"/>
        <v>30</v>
      </c>
      <c r="D379" s="35">
        <f t="shared" si="125"/>
        <v>6</v>
      </c>
      <c r="E379" s="889">
        <f t="shared" ref="E379:E440" si="143">DATE(M379,D379,C379)</f>
        <v>56795</v>
      </c>
      <c r="F379" s="822">
        <f t="shared" si="133"/>
        <v>6</v>
      </c>
      <c r="G379" s="500">
        <f t="shared" ref="G379:G440" si="144">E379-E378</f>
        <v>30</v>
      </c>
      <c r="H379" s="126">
        <f t="shared" si="126"/>
        <v>0</v>
      </c>
      <c r="I379" s="1098">
        <f t="shared" si="142"/>
        <v>0</v>
      </c>
      <c r="J379" s="887">
        <f t="shared" si="138"/>
        <v>360</v>
      </c>
      <c r="K379" s="1099">
        <f t="shared" si="134"/>
        <v>360</v>
      </c>
      <c r="L379" s="891" t="str">
        <f t="shared" si="135"/>
        <v>June</v>
      </c>
      <c r="M379" s="888">
        <f t="shared" si="139"/>
        <v>2055</v>
      </c>
      <c r="N379" s="883">
        <f t="shared" si="136"/>
        <v>0</v>
      </c>
      <c r="O379" s="883">
        <f t="shared" ref="O379:O440" si="145">IF(AND($AS$39="Early Payoff",J379&gt;=$S$13),0,IF($J379&gt;$S$6,0,IF(AND($AR$29&gt;=0,$J379&lt;=$AR$29),0,IF(AND($AR$27&gt;=0,$J379&lt;=$AR$27),$R379,IF($K379=$T$7,SUM(R379,-N379),IF(AND($T$4="Annual",$AR$27&gt;=0,$AR$29&gt;=0,$J379&gt;$AR$27,$J379&gt;$AR$29),PMT($M$7,($S$6-$AR$27),$M$4),IF(AND($T$4="Bi-Annual",$AR$27&gt;=0,$AR$29&gt;=0,$J379&gt;$AR$27,$J379&gt;$AR$29),PMT($M$7/2,($S$6-($AR$27+1)),$M$4),IF(AND($T$4="Monthly",$AR$27&gt;=0,$AR$29&gt;=0,$J379&gt;$AR$27,$J379&gt;$AR$29),PMT($M$7/12,($S$6-$AR$27),$M$4)))))))))-P379</f>
        <v>0</v>
      </c>
      <c r="P379" s="1100"/>
      <c r="Q379" s="883">
        <f t="shared" ref="Q379:Q440" si="146">IF(AND($AS$39="Early Payoff",J379&gt;=$S$13),0,IF($J379&gt;$S$6,0,IF(AND($AR$29&gt;0,$J379&lt;=$AR$29),0,+$O379-$R379)))</f>
        <v>0</v>
      </c>
      <c r="R379" s="884">
        <f t="shared" ref="R379:R440" si="147">IF(AND($AS$39="Early Payoff",J379&gt;=$S$13),0,IF($T$4="Annual",-$M$7*$U378*1,IF($T$4="Bi-Annual",(-$M$7/2)*$U378*1,IF($T$4="Monthly",(-$M$7/12)*$U378*1))))</f>
        <v>0</v>
      </c>
      <c r="S379" s="884">
        <f>IF(AND($AS$39="Early Payoff",J379&gt;=$S$13),0,IF($J379&lt;=$S$6,SUM($Q$20:$Q379),0))</f>
        <v>0</v>
      </c>
      <c r="T379" s="884">
        <f>IF(AND($AS$39="Early Payoff",J379&gt;=$S$13),0,IF($J379&lt;=$S$6,SUM($R$20:$R379),0))</f>
        <v>0</v>
      </c>
      <c r="U379" s="885">
        <f t="shared" si="128"/>
        <v>0</v>
      </c>
      <c r="V379" s="1110">
        <f t="shared" si="123"/>
        <v>0</v>
      </c>
      <c r="X379" s="1102">
        <f t="shared" si="129"/>
        <v>0</v>
      </c>
      <c r="Y379" s="873">
        <f t="shared" si="130"/>
        <v>0</v>
      </c>
      <c r="Z379" s="873">
        <f t="shared" si="131"/>
        <v>0</v>
      </c>
      <c r="AA379" s="885">
        <f t="shared" si="132"/>
        <v>0</v>
      </c>
    </row>
    <row r="380" spans="2:27" s="278" customFormat="1" ht="13.5" x14ac:dyDescent="0.25">
      <c r="B380" s="1192" t="e">
        <f t="shared" si="137"/>
        <v>#N/A</v>
      </c>
      <c r="C380" s="732">
        <f t="shared" si="124"/>
        <v>31</v>
      </c>
      <c r="D380" s="35">
        <f t="shared" si="125"/>
        <v>7</v>
      </c>
      <c r="E380" s="889">
        <f t="shared" si="143"/>
        <v>56826</v>
      </c>
      <c r="F380" s="822">
        <f t="shared" si="133"/>
        <v>7</v>
      </c>
      <c r="G380" s="500">
        <f t="shared" si="144"/>
        <v>31</v>
      </c>
      <c r="H380" s="126">
        <f t="shared" si="126"/>
        <v>0</v>
      </c>
      <c r="I380" s="1098">
        <f t="shared" si="142"/>
        <v>0</v>
      </c>
      <c r="J380" s="887">
        <f t="shared" si="138"/>
        <v>361</v>
      </c>
      <c r="K380" s="1099">
        <f t="shared" si="134"/>
        <v>361</v>
      </c>
      <c r="L380" s="891" t="str">
        <f t="shared" si="135"/>
        <v>July</v>
      </c>
      <c r="M380" s="888">
        <f t="shared" si="139"/>
        <v>2055</v>
      </c>
      <c r="N380" s="883">
        <f t="shared" si="136"/>
        <v>0</v>
      </c>
      <c r="O380" s="883">
        <f t="shared" si="145"/>
        <v>0</v>
      </c>
      <c r="P380" s="1100"/>
      <c r="Q380" s="883">
        <f t="shared" si="146"/>
        <v>0</v>
      </c>
      <c r="R380" s="884">
        <f t="shared" si="147"/>
        <v>0</v>
      </c>
      <c r="S380" s="884">
        <f>IF(AND($AS$39="Early Payoff",J380&gt;=$S$13),0,IF($J380&lt;=$S$6,SUM($Q$20:$Q380),0))</f>
        <v>0</v>
      </c>
      <c r="T380" s="884">
        <f>IF(AND($AS$39="Early Payoff",J380&gt;=$S$13),0,IF($J380&lt;=$S$6,SUM($R$20:$R380),0))</f>
        <v>0</v>
      </c>
      <c r="U380" s="885">
        <f t="shared" si="128"/>
        <v>0</v>
      </c>
      <c r="V380" s="1110">
        <f t="shared" si="123"/>
        <v>0</v>
      </c>
      <c r="X380" s="360"/>
      <c r="Y380" s="360"/>
      <c r="Z380" s="360"/>
      <c r="AA380" s="360"/>
    </row>
    <row r="381" spans="2:27" s="278" customFormat="1" ht="13.5" x14ac:dyDescent="0.25">
      <c r="B381" s="1192" t="e">
        <f t="shared" si="137"/>
        <v>#N/A</v>
      </c>
      <c r="C381" s="732">
        <f t="shared" si="124"/>
        <v>31</v>
      </c>
      <c r="D381" s="35">
        <f t="shared" si="125"/>
        <v>8</v>
      </c>
      <c r="E381" s="889">
        <f t="shared" si="143"/>
        <v>56857</v>
      </c>
      <c r="F381" s="822">
        <f t="shared" si="133"/>
        <v>8</v>
      </c>
      <c r="G381" s="500">
        <f t="shared" si="144"/>
        <v>31</v>
      </c>
      <c r="H381" s="126">
        <f t="shared" si="126"/>
        <v>0</v>
      </c>
      <c r="I381" s="1098">
        <f t="shared" si="142"/>
        <v>0</v>
      </c>
      <c r="J381" s="887">
        <f t="shared" si="138"/>
        <v>362</v>
      </c>
      <c r="K381" s="1099">
        <f t="shared" si="134"/>
        <v>362</v>
      </c>
      <c r="L381" s="891" t="str">
        <f t="shared" si="135"/>
        <v>August</v>
      </c>
      <c r="M381" s="888">
        <f t="shared" si="139"/>
        <v>2055</v>
      </c>
      <c r="N381" s="883">
        <f t="shared" si="136"/>
        <v>0</v>
      </c>
      <c r="O381" s="883">
        <f t="shared" si="145"/>
        <v>0</v>
      </c>
      <c r="P381" s="1100"/>
      <c r="Q381" s="883">
        <f t="shared" si="146"/>
        <v>0</v>
      </c>
      <c r="R381" s="884">
        <f t="shared" si="147"/>
        <v>0</v>
      </c>
      <c r="S381" s="884">
        <f>IF(AND($AS$39="Early Payoff",J381&gt;=$S$13),0,IF($J381&lt;=$S$6,SUM($Q$20:$Q381),0))</f>
        <v>0</v>
      </c>
      <c r="T381" s="884">
        <f>IF(AND($AS$39="Early Payoff",J381&gt;=$S$13),0,IF($J381&lt;=$S$6,SUM($R$20:$R381),0))</f>
        <v>0</v>
      </c>
      <c r="U381" s="885">
        <f t="shared" si="128"/>
        <v>0</v>
      </c>
      <c r="V381" s="1110">
        <f t="shared" si="123"/>
        <v>0</v>
      </c>
      <c r="X381" s="345"/>
      <c r="Y381" s="345"/>
      <c r="Z381" s="345"/>
      <c r="AA381" s="345"/>
    </row>
    <row r="382" spans="2:27" s="278" customFormat="1" ht="13.5" x14ac:dyDescent="0.25">
      <c r="B382" s="1192" t="e">
        <f t="shared" si="137"/>
        <v>#N/A</v>
      </c>
      <c r="C382" s="732">
        <f t="shared" si="124"/>
        <v>30</v>
      </c>
      <c r="D382" s="35">
        <f t="shared" si="125"/>
        <v>9</v>
      </c>
      <c r="E382" s="889">
        <f t="shared" si="143"/>
        <v>56887</v>
      </c>
      <c r="F382" s="822">
        <f t="shared" si="133"/>
        <v>9</v>
      </c>
      <c r="G382" s="500">
        <f t="shared" si="144"/>
        <v>30</v>
      </c>
      <c r="H382" s="126">
        <f t="shared" si="126"/>
        <v>0</v>
      </c>
      <c r="I382" s="1098">
        <f t="shared" si="142"/>
        <v>0</v>
      </c>
      <c r="J382" s="887">
        <f t="shared" si="138"/>
        <v>363</v>
      </c>
      <c r="K382" s="1099">
        <f t="shared" si="134"/>
        <v>363</v>
      </c>
      <c r="L382" s="891" t="str">
        <f t="shared" si="135"/>
        <v>September</v>
      </c>
      <c r="M382" s="888">
        <f t="shared" si="139"/>
        <v>2055</v>
      </c>
      <c r="N382" s="883">
        <f t="shared" si="136"/>
        <v>0</v>
      </c>
      <c r="O382" s="883">
        <f t="shared" si="145"/>
        <v>0</v>
      </c>
      <c r="P382" s="1100"/>
      <c r="Q382" s="883">
        <f t="shared" si="146"/>
        <v>0</v>
      </c>
      <c r="R382" s="884">
        <f t="shared" si="147"/>
        <v>0</v>
      </c>
      <c r="S382" s="884">
        <f>IF(AND($AS$39="Early Payoff",J382&gt;=$S$13),0,IF($J382&lt;=$S$6,SUM($Q$20:$Q382),0))</f>
        <v>0</v>
      </c>
      <c r="T382" s="884">
        <f>IF(AND($AS$39="Early Payoff",J382&gt;=$S$13),0,IF($J382&lt;=$S$6,SUM($R$20:$R382),0))</f>
        <v>0</v>
      </c>
      <c r="U382" s="885">
        <f t="shared" si="128"/>
        <v>0</v>
      </c>
      <c r="V382" s="1110">
        <f t="shared" si="123"/>
        <v>0</v>
      </c>
      <c r="X382" s="345"/>
      <c r="Y382" s="345"/>
      <c r="Z382" s="345"/>
      <c r="AA382" s="345"/>
    </row>
    <row r="383" spans="2:27" s="278" customFormat="1" ht="13.5" x14ac:dyDescent="0.25">
      <c r="B383" s="1192" t="e">
        <f t="shared" si="137"/>
        <v>#N/A</v>
      </c>
      <c r="C383" s="732">
        <f t="shared" si="124"/>
        <v>31</v>
      </c>
      <c r="D383" s="35">
        <f t="shared" si="125"/>
        <v>10</v>
      </c>
      <c r="E383" s="889">
        <f t="shared" si="143"/>
        <v>56918</v>
      </c>
      <c r="F383" s="822">
        <f t="shared" si="133"/>
        <v>10</v>
      </c>
      <c r="G383" s="500">
        <f t="shared" si="144"/>
        <v>31</v>
      </c>
      <c r="H383" s="126">
        <f t="shared" si="126"/>
        <v>0</v>
      </c>
      <c r="I383" s="1098">
        <f t="shared" si="142"/>
        <v>0</v>
      </c>
      <c r="J383" s="887">
        <f t="shared" si="138"/>
        <v>364</v>
      </c>
      <c r="K383" s="1099">
        <f t="shared" si="134"/>
        <v>364</v>
      </c>
      <c r="L383" s="891" t="str">
        <f t="shared" si="135"/>
        <v>October</v>
      </c>
      <c r="M383" s="888">
        <f t="shared" si="139"/>
        <v>2055</v>
      </c>
      <c r="N383" s="883">
        <f t="shared" si="136"/>
        <v>0</v>
      </c>
      <c r="O383" s="883">
        <f t="shared" si="145"/>
        <v>0</v>
      </c>
      <c r="P383" s="1100"/>
      <c r="Q383" s="883">
        <f t="shared" si="146"/>
        <v>0</v>
      </c>
      <c r="R383" s="884">
        <f t="shared" si="147"/>
        <v>0</v>
      </c>
      <c r="S383" s="884">
        <f>IF(AND($AS$39="Early Payoff",J383&gt;=$S$13),0,IF($J383&lt;=$S$6,SUM($Q$20:$Q383),0))</f>
        <v>0</v>
      </c>
      <c r="T383" s="884">
        <f>IF(AND($AS$39="Early Payoff",J383&gt;=$S$13),0,IF($J383&lt;=$S$6,SUM($R$20:$R383),0))</f>
        <v>0</v>
      </c>
      <c r="U383" s="885">
        <f t="shared" si="128"/>
        <v>0</v>
      </c>
      <c r="V383" s="1110">
        <f t="shared" si="123"/>
        <v>0</v>
      </c>
    </row>
    <row r="384" spans="2:27" s="278" customFormat="1" ht="13.5" x14ac:dyDescent="0.25">
      <c r="B384" s="1192" t="e">
        <f t="shared" si="137"/>
        <v>#N/A</v>
      </c>
      <c r="C384" s="732">
        <f t="shared" si="124"/>
        <v>30</v>
      </c>
      <c r="D384" s="35">
        <f t="shared" si="125"/>
        <v>11</v>
      </c>
      <c r="E384" s="889">
        <f t="shared" si="143"/>
        <v>56948</v>
      </c>
      <c r="F384" s="822">
        <f t="shared" si="133"/>
        <v>11</v>
      </c>
      <c r="G384" s="500">
        <f t="shared" si="144"/>
        <v>30</v>
      </c>
      <c r="H384" s="126">
        <f t="shared" si="126"/>
        <v>0</v>
      </c>
      <c r="I384" s="1098">
        <f t="shared" si="142"/>
        <v>0</v>
      </c>
      <c r="J384" s="887">
        <f t="shared" si="138"/>
        <v>365</v>
      </c>
      <c r="K384" s="1099">
        <f t="shared" si="134"/>
        <v>365</v>
      </c>
      <c r="L384" s="891" t="str">
        <f t="shared" si="135"/>
        <v>November</v>
      </c>
      <c r="M384" s="888">
        <f t="shared" si="139"/>
        <v>2055</v>
      </c>
      <c r="N384" s="883">
        <f t="shared" si="136"/>
        <v>0</v>
      </c>
      <c r="O384" s="883">
        <f t="shared" si="145"/>
        <v>0</v>
      </c>
      <c r="P384" s="1100"/>
      <c r="Q384" s="883">
        <f t="shared" si="146"/>
        <v>0</v>
      </c>
      <c r="R384" s="884">
        <f t="shared" si="147"/>
        <v>0</v>
      </c>
      <c r="S384" s="884">
        <f>IF(AND($AS$39="Early Payoff",J384&gt;=$S$13),0,IF($J384&lt;=$S$6,SUM($Q$20:$Q384),0))</f>
        <v>0</v>
      </c>
      <c r="T384" s="884">
        <f>IF(AND($AS$39="Early Payoff",J384&gt;=$S$13),0,IF($J384&lt;=$S$6,SUM($R$20:$R384),0))</f>
        <v>0</v>
      </c>
      <c r="U384" s="885">
        <f t="shared" si="128"/>
        <v>0</v>
      </c>
      <c r="V384" s="1110">
        <f t="shared" si="123"/>
        <v>0</v>
      </c>
    </row>
    <row r="385" spans="2:22" s="278" customFormat="1" ht="13.5" x14ac:dyDescent="0.25">
      <c r="B385" s="1192" t="e">
        <f t="shared" si="137"/>
        <v>#N/A</v>
      </c>
      <c r="C385" s="732">
        <f t="shared" si="124"/>
        <v>31</v>
      </c>
      <c r="D385" s="35">
        <f t="shared" si="125"/>
        <v>12</v>
      </c>
      <c r="E385" s="889">
        <f t="shared" si="143"/>
        <v>56979</v>
      </c>
      <c r="F385" s="822">
        <f t="shared" si="133"/>
        <v>12</v>
      </c>
      <c r="G385" s="500">
        <f t="shared" si="144"/>
        <v>31</v>
      </c>
      <c r="H385" s="126">
        <f t="shared" si="126"/>
        <v>1</v>
      </c>
      <c r="I385" s="1098">
        <f t="shared" si="142"/>
        <v>0</v>
      </c>
      <c r="J385" s="887">
        <f t="shared" si="138"/>
        <v>366</v>
      </c>
      <c r="K385" s="1099">
        <f t="shared" si="134"/>
        <v>366</v>
      </c>
      <c r="L385" s="891" t="str">
        <f t="shared" si="135"/>
        <v>December</v>
      </c>
      <c r="M385" s="888">
        <f t="shared" si="139"/>
        <v>2055</v>
      </c>
      <c r="N385" s="883">
        <f t="shared" si="136"/>
        <v>0</v>
      </c>
      <c r="O385" s="883">
        <f t="shared" si="145"/>
        <v>0</v>
      </c>
      <c r="P385" s="1100"/>
      <c r="Q385" s="883">
        <f t="shared" si="146"/>
        <v>0</v>
      </c>
      <c r="R385" s="884">
        <f t="shared" si="147"/>
        <v>0</v>
      </c>
      <c r="S385" s="884">
        <f>IF(AND($AS$39="Early Payoff",J385&gt;=$S$13),0,IF($J385&lt;=$S$6,SUM($Q$20:$Q385),0))</f>
        <v>0</v>
      </c>
      <c r="T385" s="884">
        <f>IF(AND($AS$39="Early Payoff",J385&gt;=$S$13),0,IF($J385&lt;=$S$6,SUM($R$20:$R385),0))</f>
        <v>0</v>
      </c>
      <c r="U385" s="885">
        <f t="shared" si="128"/>
        <v>0</v>
      </c>
      <c r="V385" s="1110">
        <f t="shared" si="123"/>
        <v>0</v>
      </c>
    </row>
    <row r="386" spans="2:22" s="278" customFormat="1" ht="13.5" x14ac:dyDescent="0.25">
      <c r="B386" s="1192" t="e">
        <f t="shared" si="137"/>
        <v>#N/A</v>
      </c>
      <c r="C386" s="732">
        <f t="shared" si="124"/>
        <v>31</v>
      </c>
      <c r="D386" s="35">
        <f t="shared" si="125"/>
        <v>1</v>
      </c>
      <c r="E386" s="889">
        <f t="shared" si="143"/>
        <v>57010</v>
      </c>
      <c r="F386" s="822">
        <f t="shared" si="133"/>
        <v>1</v>
      </c>
      <c r="G386" s="500">
        <f t="shared" si="144"/>
        <v>31</v>
      </c>
      <c r="H386" s="126">
        <f t="shared" si="126"/>
        <v>0</v>
      </c>
      <c r="I386" s="1098">
        <f t="shared" si="142"/>
        <v>0</v>
      </c>
      <c r="J386" s="887">
        <f t="shared" si="138"/>
        <v>367</v>
      </c>
      <c r="K386" s="1099">
        <f t="shared" si="134"/>
        <v>367</v>
      </c>
      <c r="L386" s="891" t="str">
        <f t="shared" si="135"/>
        <v>January</v>
      </c>
      <c r="M386" s="888">
        <f t="shared" si="139"/>
        <v>2056</v>
      </c>
      <c r="N386" s="883">
        <f t="shared" si="136"/>
        <v>0</v>
      </c>
      <c r="O386" s="883">
        <f t="shared" si="145"/>
        <v>0</v>
      </c>
      <c r="P386" s="1100"/>
      <c r="Q386" s="883">
        <f t="shared" si="146"/>
        <v>0</v>
      </c>
      <c r="R386" s="884">
        <f t="shared" si="147"/>
        <v>0</v>
      </c>
      <c r="S386" s="884">
        <f>IF(AND($AS$39="Early Payoff",J386&gt;=$S$13),0,IF($J386&lt;=$S$6,SUM($Q$20:$Q386),0))</f>
        <v>0</v>
      </c>
      <c r="T386" s="884">
        <f>IF(AND($AS$39="Early Payoff",J386&gt;=$S$13),0,IF($J386&lt;=$S$6,SUM($R$20:$R386),0))</f>
        <v>0</v>
      </c>
      <c r="U386" s="885">
        <f t="shared" si="128"/>
        <v>0</v>
      </c>
      <c r="V386" s="1110">
        <f t="shared" si="123"/>
        <v>0</v>
      </c>
    </row>
    <row r="387" spans="2:22" s="278" customFormat="1" ht="13.5" x14ac:dyDescent="0.25">
      <c r="B387" s="1192" t="e">
        <f t="shared" si="137"/>
        <v>#N/A</v>
      </c>
      <c r="C387" s="732">
        <f t="shared" si="124"/>
        <v>29</v>
      </c>
      <c r="D387" s="35">
        <f t="shared" si="125"/>
        <v>2</v>
      </c>
      <c r="E387" s="889">
        <f t="shared" si="143"/>
        <v>57039</v>
      </c>
      <c r="F387" s="822">
        <f t="shared" si="133"/>
        <v>2</v>
      </c>
      <c r="G387" s="500">
        <f t="shared" si="144"/>
        <v>29</v>
      </c>
      <c r="H387" s="126">
        <f t="shared" si="126"/>
        <v>0</v>
      </c>
      <c r="I387" s="1098">
        <f t="shared" si="142"/>
        <v>0</v>
      </c>
      <c r="J387" s="887">
        <f t="shared" si="138"/>
        <v>368</v>
      </c>
      <c r="K387" s="1099">
        <f t="shared" si="134"/>
        <v>368</v>
      </c>
      <c r="L387" s="891" t="str">
        <f t="shared" si="135"/>
        <v>February</v>
      </c>
      <c r="M387" s="888">
        <f t="shared" si="139"/>
        <v>2056</v>
      </c>
      <c r="N387" s="883">
        <f t="shared" si="136"/>
        <v>0</v>
      </c>
      <c r="O387" s="883">
        <f t="shared" si="145"/>
        <v>0</v>
      </c>
      <c r="P387" s="1100"/>
      <c r="Q387" s="883">
        <f t="shared" si="146"/>
        <v>0</v>
      </c>
      <c r="R387" s="884">
        <f t="shared" si="147"/>
        <v>0</v>
      </c>
      <c r="S387" s="884">
        <f>IF(AND($AS$39="Early Payoff",J387&gt;=$S$13),0,IF($J387&lt;=$S$6,SUM($Q$20:$Q387),0))</f>
        <v>0</v>
      </c>
      <c r="T387" s="884">
        <f>IF(AND($AS$39="Early Payoff",J387&gt;=$S$13),0,IF($J387&lt;=$S$6,SUM($R$20:$R387),0))</f>
        <v>0</v>
      </c>
      <c r="U387" s="885">
        <f t="shared" si="128"/>
        <v>0</v>
      </c>
      <c r="V387" s="1110">
        <f t="shared" si="123"/>
        <v>0</v>
      </c>
    </row>
    <row r="388" spans="2:22" s="278" customFormat="1" ht="13.5" x14ac:dyDescent="0.25">
      <c r="B388" s="1192" t="e">
        <f t="shared" si="137"/>
        <v>#N/A</v>
      </c>
      <c r="C388" s="732">
        <f t="shared" si="124"/>
        <v>31</v>
      </c>
      <c r="D388" s="35">
        <f t="shared" si="125"/>
        <v>3</v>
      </c>
      <c r="E388" s="889">
        <f t="shared" si="143"/>
        <v>57070</v>
      </c>
      <c r="F388" s="822">
        <f t="shared" si="133"/>
        <v>3</v>
      </c>
      <c r="G388" s="500">
        <f t="shared" si="144"/>
        <v>31</v>
      </c>
      <c r="H388" s="126">
        <f t="shared" si="126"/>
        <v>0</v>
      </c>
      <c r="I388" s="1098">
        <f t="shared" si="142"/>
        <v>0</v>
      </c>
      <c r="J388" s="887">
        <f t="shared" si="138"/>
        <v>369</v>
      </c>
      <c r="K388" s="1099">
        <f t="shared" si="134"/>
        <v>369</v>
      </c>
      <c r="L388" s="891" t="str">
        <f t="shared" si="135"/>
        <v>March</v>
      </c>
      <c r="M388" s="888">
        <f t="shared" si="139"/>
        <v>2056</v>
      </c>
      <c r="N388" s="883">
        <f t="shared" si="136"/>
        <v>0</v>
      </c>
      <c r="O388" s="883">
        <f t="shared" si="145"/>
        <v>0</v>
      </c>
      <c r="P388" s="1100"/>
      <c r="Q388" s="883">
        <f t="shared" si="146"/>
        <v>0</v>
      </c>
      <c r="R388" s="884">
        <f t="shared" si="147"/>
        <v>0</v>
      </c>
      <c r="S388" s="884">
        <f>IF(AND($AS$39="Early Payoff",J388&gt;=$S$13),0,IF($J388&lt;=$S$6,SUM($Q$20:$Q388),0))</f>
        <v>0</v>
      </c>
      <c r="T388" s="884">
        <f>IF(AND($AS$39="Early Payoff",J388&gt;=$S$13),0,IF($J388&lt;=$S$6,SUM($R$20:$R388),0))</f>
        <v>0</v>
      </c>
      <c r="U388" s="885">
        <f t="shared" si="128"/>
        <v>0</v>
      </c>
      <c r="V388" s="1110">
        <f t="shared" si="123"/>
        <v>0</v>
      </c>
    </row>
    <row r="389" spans="2:22" s="278" customFormat="1" ht="13.5" x14ac:dyDescent="0.25">
      <c r="B389" s="1192" t="e">
        <f t="shared" si="137"/>
        <v>#N/A</v>
      </c>
      <c r="C389" s="732">
        <f t="shared" si="124"/>
        <v>30</v>
      </c>
      <c r="D389" s="35">
        <f t="shared" si="125"/>
        <v>4</v>
      </c>
      <c r="E389" s="889">
        <f t="shared" si="143"/>
        <v>57100</v>
      </c>
      <c r="F389" s="822">
        <f t="shared" si="133"/>
        <v>4</v>
      </c>
      <c r="G389" s="500">
        <f t="shared" si="144"/>
        <v>30</v>
      </c>
      <c r="H389" s="126">
        <f t="shared" si="126"/>
        <v>0</v>
      </c>
      <c r="I389" s="1098">
        <f t="shared" si="142"/>
        <v>0</v>
      </c>
      <c r="J389" s="887">
        <f t="shared" si="138"/>
        <v>370</v>
      </c>
      <c r="K389" s="1099">
        <f t="shared" si="134"/>
        <v>370</v>
      </c>
      <c r="L389" s="891" t="str">
        <f t="shared" si="135"/>
        <v>April</v>
      </c>
      <c r="M389" s="888">
        <f t="shared" si="139"/>
        <v>2056</v>
      </c>
      <c r="N389" s="883">
        <f t="shared" si="136"/>
        <v>0</v>
      </c>
      <c r="O389" s="883">
        <f t="shared" si="145"/>
        <v>0</v>
      </c>
      <c r="P389" s="1100"/>
      <c r="Q389" s="883">
        <f t="shared" si="146"/>
        <v>0</v>
      </c>
      <c r="R389" s="884">
        <f t="shared" si="147"/>
        <v>0</v>
      </c>
      <c r="S389" s="884">
        <f>IF(AND($AS$39="Early Payoff",J389&gt;=$S$13),0,IF($J389&lt;=$S$6,SUM($Q$20:$Q389),0))</f>
        <v>0</v>
      </c>
      <c r="T389" s="884">
        <f>IF(AND($AS$39="Early Payoff",J389&gt;=$S$13),0,IF($J389&lt;=$S$6,SUM($R$20:$R389),0))</f>
        <v>0</v>
      </c>
      <c r="U389" s="885">
        <f t="shared" si="128"/>
        <v>0</v>
      </c>
      <c r="V389" s="1110">
        <f t="shared" si="123"/>
        <v>0</v>
      </c>
    </row>
    <row r="390" spans="2:22" s="278" customFormat="1" ht="13.5" x14ac:dyDescent="0.25">
      <c r="B390" s="1192" t="e">
        <f t="shared" si="137"/>
        <v>#N/A</v>
      </c>
      <c r="C390" s="732">
        <f t="shared" si="124"/>
        <v>31</v>
      </c>
      <c r="D390" s="35">
        <f t="shared" si="125"/>
        <v>5</v>
      </c>
      <c r="E390" s="889">
        <f t="shared" si="143"/>
        <v>57131</v>
      </c>
      <c r="F390" s="822">
        <f t="shared" si="133"/>
        <v>5</v>
      </c>
      <c r="G390" s="500">
        <f t="shared" si="144"/>
        <v>31</v>
      </c>
      <c r="H390" s="126">
        <f t="shared" si="126"/>
        <v>0</v>
      </c>
      <c r="I390" s="1098">
        <f t="shared" si="142"/>
        <v>0</v>
      </c>
      <c r="J390" s="887">
        <f t="shared" si="138"/>
        <v>371</v>
      </c>
      <c r="K390" s="1099">
        <f t="shared" si="134"/>
        <v>371</v>
      </c>
      <c r="L390" s="891" t="str">
        <f t="shared" si="135"/>
        <v>May</v>
      </c>
      <c r="M390" s="888">
        <f t="shared" si="139"/>
        <v>2056</v>
      </c>
      <c r="N390" s="883">
        <f t="shared" si="136"/>
        <v>0</v>
      </c>
      <c r="O390" s="883">
        <f t="shared" si="145"/>
        <v>0</v>
      </c>
      <c r="P390" s="1100"/>
      <c r="Q390" s="883">
        <f t="shared" si="146"/>
        <v>0</v>
      </c>
      <c r="R390" s="884">
        <f t="shared" si="147"/>
        <v>0</v>
      </c>
      <c r="S390" s="884">
        <f>IF(AND($AS$39="Early Payoff",J390&gt;=$S$13),0,IF($J390&lt;=$S$6,SUM($Q$20:$Q390),0))</f>
        <v>0</v>
      </c>
      <c r="T390" s="884">
        <f>IF(AND($AS$39="Early Payoff",J390&gt;=$S$13),0,IF($J390&lt;=$S$6,SUM($R$20:$R390),0))</f>
        <v>0</v>
      </c>
      <c r="U390" s="885">
        <f t="shared" si="128"/>
        <v>0</v>
      </c>
      <c r="V390" s="1110">
        <f t="shared" ref="V390:V440" si="148">IF($T$4="Monthly",$N390,IF(AND(OR($T$4="Annual",$T$4="Bi-Annual"),$K390=$T$7),INDEX($J$19:$U$379,MATCH($T$7,$K$19:$K$2379,0),MATCH($N$19,$J$19:$U$19,0)),IF(AND(OR($T$4="Annual",$T$4="Bi-Annual"),$K390&lt;$T$7),$N390,0)))</f>
        <v>0</v>
      </c>
    </row>
    <row r="391" spans="2:22" s="278" customFormat="1" ht="13.5" x14ac:dyDescent="0.25">
      <c r="B391" s="1192" t="e">
        <f t="shared" si="137"/>
        <v>#N/A</v>
      </c>
      <c r="C391" s="732">
        <f t="shared" si="124"/>
        <v>30</v>
      </c>
      <c r="D391" s="35">
        <f t="shared" si="125"/>
        <v>6</v>
      </c>
      <c r="E391" s="889">
        <f t="shared" si="143"/>
        <v>57161</v>
      </c>
      <c r="F391" s="822">
        <f t="shared" si="133"/>
        <v>6</v>
      </c>
      <c r="G391" s="500">
        <f t="shared" si="144"/>
        <v>30</v>
      </c>
      <c r="H391" s="126">
        <f t="shared" si="126"/>
        <v>0</v>
      </c>
      <c r="I391" s="1098">
        <f t="shared" si="142"/>
        <v>0</v>
      </c>
      <c r="J391" s="887">
        <f t="shared" si="138"/>
        <v>372</v>
      </c>
      <c r="K391" s="1099">
        <f t="shared" si="134"/>
        <v>372</v>
      </c>
      <c r="L391" s="891" t="str">
        <f t="shared" si="135"/>
        <v>June</v>
      </c>
      <c r="M391" s="888">
        <f t="shared" si="139"/>
        <v>2056</v>
      </c>
      <c r="N391" s="883">
        <f t="shared" si="136"/>
        <v>0</v>
      </c>
      <c r="O391" s="883">
        <f t="shared" si="145"/>
        <v>0</v>
      </c>
      <c r="P391" s="1100"/>
      <c r="Q391" s="883">
        <f t="shared" si="146"/>
        <v>0</v>
      </c>
      <c r="R391" s="884">
        <f t="shared" si="147"/>
        <v>0</v>
      </c>
      <c r="S391" s="884">
        <f>IF(AND($AS$39="Early Payoff",J391&gt;=$S$13),0,IF($J391&lt;=$S$6,SUM($Q$20:$Q391),0))</f>
        <v>0</v>
      </c>
      <c r="T391" s="884">
        <f>IF(AND($AS$39="Early Payoff",J391&gt;=$S$13),0,IF($J391&lt;=$S$6,SUM($R$20:$R391),0))</f>
        <v>0</v>
      </c>
      <c r="U391" s="885">
        <f t="shared" si="128"/>
        <v>0</v>
      </c>
      <c r="V391" s="1110">
        <f t="shared" si="148"/>
        <v>0</v>
      </c>
    </row>
    <row r="392" spans="2:22" s="278" customFormat="1" ht="13.5" x14ac:dyDescent="0.25">
      <c r="B392" s="1192" t="e">
        <f t="shared" si="137"/>
        <v>#N/A</v>
      </c>
      <c r="C392" s="732">
        <f t="shared" si="124"/>
        <v>31</v>
      </c>
      <c r="D392" s="35">
        <f t="shared" si="125"/>
        <v>7</v>
      </c>
      <c r="E392" s="889">
        <f t="shared" si="143"/>
        <v>57192</v>
      </c>
      <c r="F392" s="822">
        <f t="shared" si="133"/>
        <v>7</v>
      </c>
      <c r="G392" s="500">
        <f t="shared" si="144"/>
        <v>31</v>
      </c>
      <c r="H392" s="126">
        <f t="shared" si="126"/>
        <v>0</v>
      </c>
      <c r="I392" s="1098">
        <f t="shared" si="142"/>
        <v>0</v>
      </c>
      <c r="J392" s="887">
        <f t="shared" si="138"/>
        <v>373</v>
      </c>
      <c r="K392" s="1099">
        <f t="shared" si="134"/>
        <v>373</v>
      </c>
      <c r="L392" s="891" t="str">
        <f t="shared" si="135"/>
        <v>July</v>
      </c>
      <c r="M392" s="888">
        <f t="shared" si="139"/>
        <v>2056</v>
      </c>
      <c r="N392" s="883">
        <f t="shared" si="136"/>
        <v>0</v>
      </c>
      <c r="O392" s="883">
        <f t="shared" si="145"/>
        <v>0</v>
      </c>
      <c r="P392" s="1100"/>
      <c r="Q392" s="883">
        <f t="shared" si="146"/>
        <v>0</v>
      </c>
      <c r="R392" s="884">
        <f t="shared" si="147"/>
        <v>0</v>
      </c>
      <c r="S392" s="884">
        <f>IF(AND($AS$39="Early Payoff",J392&gt;=$S$13),0,IF($J392&lt;=$S$6,SUM($Q$20:$Q392),0))</f>
        <v>0</v>
      </c>
      <c r="T392" s="884">
        <f>IF(AND($AS$39="Early Payoff",J392&gt;=$S$13),0,IF($J392&lt;=$S$6,SUM($R$20:$R392),0))</f>
        <v>0</v>
      </c>
      <c r="U392" s="885">
        <f t="shared" si="128"/>
        <v>0</v>
      </c>
      <c r="V392" s="1110">
        <f t="shared" si="148"/>
        <v>0</v>
      </c>
    </row>
    <row r="393" spans="2:22" s="278" customFormat="1" ht="13.5" x14ac:dyDescent="0.25">
      <c r="B393" s="1192" t="e">
        <f t="shared" si="137"/>
        <v>#N/A</v>
      </c>
      <c r="C393" s="732">
        <f t="shared" si="124"/>
        <v>31</v>
      </c>
      <c r="D393" s="35">
        <f t="shared" si="125"/>
        <v>8</v>
      </c>
      <c r="E393" s="889">
        <f t="shared" si="143"/>
        <v>57223</v>
      </c>
      <c r="F393" s="822">
        <f t="shared" si="133"/>
        <v>8</v>
      </c>
      <c r="G393" s="500">
        <f t="shared" si="144"/>
        <v>31</v>
      </c>
      <c r="H393" s="126">
        <f t="shared" si="126"/>
        <v>0</v>
      </c>
      <c r="I393" s="1098">
        <f t="shared" si="142"/>
        <v>0</v>
      </c>
      <c r="J393" s="887">
        <f t="shared" si="138"/>
        <v>374</v>
      </c>
      <c r="K393" s="1099">
        <f t="shared" si="134"/>
        <v>374</v>
      </c>
      <c r="L393" s="891" t="str">
        <f t="shared" si="135"/>
        <v>August</v>
      </c>
      <c r="M393" s="888">
        <f t="shared" si="139"/>
        <v>2056</v>
      </c>
      <c r="N393" s="883">
        <f t="shared" si="136"/>
        <v>0</v>
      </c>
      <c r="O393" s="883">
        <f t="shared" si="145"/>
        <v>0</v>
      </c>
      <c r="P393" s="1100"/>
      <c r="Q393" s="883">
        <f t="shared" si="146"/>
        <v>0</v>
      </c>
      <c r="R393" s="884">
        <f t="shared" si="147"/>
        <v>0</v>
      </c>
      <c r="S393" s="884">
        <f>IF(AND($AS$39="Early Payoff",J393&gt;=$S$13),0,IF($J393&lt;=$S$6,SUM($Q$20:$Q393),0))</f>
        <v>0</v>
      </c>
      <c r="T393" s="884">
        <f>IF(AND($AS$39="Early Payoff",J393&gt;=$S$13),0,IF($J393&lt;=$S$6,SUM($R$20:$R393),0))</f>
        <v>0</v>
      </c>
      <c r="U393" s="885">
        <f t="shared" si="128"/>
        <v>0</v>
      </c>
      <c r="V393" s="1110">
        <f t="shared" si="148"/>
        <v>0</v>
      </c>
    </row>
    <row r="394" spans="2:22" s="278" customFormat="1" ht="13.5" x14ac:dyDescent="0.25">
      <c r="B394" s="1192" t="e">
        <f t="shared" si="137"/>
        <v>#N/A</v>
      </c>
      <c r="C394" s="732">
        <f t="shared" si="124"/>
        <v>30</v>
      </c>
      <c r="D394" s="35">
        <f t="shared" si="125"/>
        <v>9</v>
      </c>
      <c r="E394" s="889">
        <f t="shared" si="143"/>
        <v>57253</v>
      </c>
      <c r="F394" s="822">
        <f t="shared" si="133"/>
        <v>9</v>
      </c>
      <c r="G394" s="500">
        <f t="shared" si="144"/>
        <v>30</v>
      </c>
      <c r="H394" s="126">
        <f t="shared" si="126"/>
        <v>0</v>
      </c>
      <c r="I394" s="1098">
        <f t="shared" si="142"/>
        <v>0</v>
      </c>
      <c r="J394" s="887">
        <f t="shared" si="138"/>
        <v>375</v>
      </c>
      <c r="K394" s="1099">
        <f t="shared" si="134"/>
        <v>375</v>
      </c>
      <c r="L394" s="891" t="str">
        <f t="shared" si="135"/>
        <v>September</v>
      </c>
      <c r="M394" s="888">
        <f t="shared" si="139"/>
        <v>2056</v>
      </c>
      <c r="N394" s="883">
        <f t="shared" si="136"/>
        <v>0</v>
      </c>
      <c r="O394" s="883">
        <f t="shared" si="145"/>
        <v>0</v>
      </c>
      <c r="P394" s="1100"/>
      <c r="Q394" s="883">
        <f t="shared" si="146"/>
        <v>0</v>
      </c>
      <c r="R394" s="884">
        <f t="shared" si="147"/>
        <v>0</v>
      </c>
      <c r="S394" s="884">
        <f>IF(AND($AS$39="Early Payoff",J394&gt;=$S$13),0,IF($J394&lt;=$S$6,SUM($Q$20:$Q394),0))</f>
        <v>0</v>
      </c>
      <c r="T394" s="884">
        <f>IF(AND($AS$39="Early Payoff",J394&gt;=$S$13),0,IF($J394&lt;=$S$6,SUM($R$20:$R394),0))</f>
        <v>0</v>
      </c>
      <c r="U394" s="885">
        <f t="shared" si="128"/>
        <v>0</v>
      </c>
      <c r="V394" s="1110">
        <f t="shared" si="148"/>
        <v>0</v>
      </c>
    </row>
    <row r="395" spans="2:22" s="278" customFormat="1" ht="13.5" x14ac:dyDescent="0.25">
      <c r="B395" s="1192" t="e">
        <f t="shared" si="137"/>
        <v>#N/A</v>
      </c>
      <c r="C395" s="732">
        <f t="shared" si="124"/>
        <v>31</v>
      </c>
      <c r="D395" s="35">
        <f t="shared" si="125"/>
        <v>10</v>
      </c>
      <c r="E395" s="889">
        <f t="shared" si="143"/>
        <v>57284</v>
      </c>
      <c r="F395" s="822">
        <f t="shared" si="133"/>
        <v>10</v>
      </c>
      <c r="G395" s="500">
        <f t="shared" si="144"/>
        <v>31</v>
      </c>
      <c r="H395" s="126">
        <f t="shared" si="126"/>
        <v>0</v>
      </c>
      <c r="I395" s="1098">
        <f t="shared" si="142"/>
        <v>0</v>
      </c>
      <c r="J395" s="887">
        <f t="shared" si="138"/>
        <v>376</v>
      </c>
      <c r="K395" s="1099">
        <f t="shared" si="134"/>
        <v>376</v>
      </c>
      <c r="L395" s="891" t="str">
        <f t="shared" si="135"/>
        <v>October</v>
      </c>
      <c r="M395" s="888">
        <f t="shared" si="139"/>
        <v>2056</v>
      </c>
      <c r="N395" s="883">
        <f t="shared" si="136"/>
        <v>0</v>
      </c>
      <c r="O395" s="883">
        <f t="shared" si="145"/>
        <v>0</v>
      </c>
      <c r="P395" s="1100"/>
      <c r="Q395" s="883">
        <f t="shared" si="146"/>
        <v>0</v>
      </c>
      <c r="R395" s="884">
        <f t="shared" si="147"/>
        <v>0</v>
      </c>
      <c r="S395" s="884">
        <f>IF(AND($AS$39="Early Payoff",J395&gt;=$S$13),0,IF($J395&lt;=$S$6,SUM($Q$20:$Q395),0))</f>
        <v>0</v>
      </c>
      <c r="T395" s="884">
        <f>IF(AND($AS$39="Early Payoff",J395&gt;=$S$13),0,IF($J395&lt;=$S$6,SUM($R$20:$R395),0))</f>
        <v>0</v>
      </c>
      <c r="U395" s="885">
        <f t="shared" si="128"/>
        <v>0</v>
      </c>
      <c r="V395" s="1110">
        <f t="shared" si="148"/>
        <v>0</v>
      </c>
    </row>
    <row r="396" spans="2:22" s="278" customFormat="1" ht="13.5" x14ac:dyDescent="0.25">
      <c r="B396" s="1192" t="e">
        <f t="shared" si="137"/>
        <v>#N/A</v>
      </c>
      <c r="C396" s="732">
        <f t="shared" si="124"/>
        <v>30</v>
      </c>
      <c r="D396" s="35">
        <f t="shared" si="125"/>
        <v>11</v>
      </c>
      <c r="E396" s="889">
        <f t="shared" si="143"/>
        <v>57314</v>
      </c>
      <c r="F396" s="822">
        <f t="shared" si="133"/>
        <v>11</v>
      </c>
      <c r="G396" s="500">
        <f t="shared" si="144"/>
        <v>30</v>
      </c>
      <c r="H396" s="126">
        <f t="shared" si="126"/>
        <v>0</v>
      </c>
      <c r="I396" s="1098">
        <f t="shared" si="142"/>
        <v>0</v>
      </c>
      <c r="J396" s="887">
        <f t="shared" si="138"/>
        <v>377</v>
      </c>
      <c r="K396" s="1099">
        <f t="shared" si="134"/>
        <v>377</v>
      </c>
      <c r="L396" s="891" t="str">
        <f t="shared" si="135"/>
        <v>November</v>
      </c>
      <c r="M396" s="888">
        <f t="shared" si="139"/>
        <v>2056</v>
      </c>
      <c r="N396" s="883">
        <f t="shared" si="136"/>
        <v>0</v>
      </c>
      <c r="O396" s="883">
        <f t="shared" si="145"/>
        <v>0</v>
      </c>
      <c r="P396" s="1100"/>
      <c r="Q396" s="883">
        <f t="shared" si="146"/>
        <v>0</v>
      </c>
      <c r="R396" s="884">
        <f t="shared" si="147"/>
        <v>0</v>
      </c>
      <c r="S396" s="884">
        <f>IF(AND($AS$39="Early Payoff",J396&gt;=$S$13),0,IF($J396&lt;=$S$6,SUM($Q$20:$Q396),0))</f>
        <v>0</v>
      </c>
      <c r="T396" s="884">
        <f>IF(AND($AS$39="Early Payoff",J396&gt;=$S$13),0,IF($J396&lt;=$S$6,SUM($R$20:$R396),0))</f>
        <v>0</v>
      </c>
      <c r="U396" s="885">
        <f t="shared" si="128"/>
        <v>0</v>
      </c>
      <c r="V396" s="1110">
        <f t="shared" si="148"/>
        <v>0</v>
      </c>
    </row>
    <row r="397" spans="2:22" s="278" customFormat="1" ht="13.5" x14ac:dyDescent="0.25">
      <c r="B397" s="1192" t="e">
        <f t="shared" si="137"/>
        <v>#N/A</v>
      </c>
      <c r="C397" s="732">
        <f t="shared" si="124"/>
        <v>31</v>
      </c>
      <c r="D397" s="35">
        <f t="shared" si="125"/>
        <v>12</v>
      </c>
      <c r="E397" s="889">
        <f t="shared" si="143"/>
        <v>57345</v>
      </c>
      <c r="F397" s="822">
        <f t="shared" si="133"/>
        <v>12</v>
      </c>
      <c r="G397" s="500">
        <f t="shared" si="144"/>
        <v>31</v>
      </c>
      <c r="H397" s="126">
        <f t="shared" si="126"/>
        <v>1</v>
      </c>
      <c r="I397" s="1098">
        <f t="shared" si="142"/>
        <v>0</v>
      </c>
      <c r="J397" s="887">
        <f t="shared" si="138"/>
        <v>378</v>
      </c>
      <c r="K397" s="1099">
        <f t="shared" si="134"/>
        <v>378</v>
      </c>
      <c r="L397" s="891" t="str">
        <f t="shared" si="135"/>
        <v>December</v>
      </c>
      <c r="M397" s="888">
        <f t="shared" si="139"/>
        <v>2056</v>
      </c>
      <c r="N397" s="883">
        <f t="shared" si="136"/>
        <v>0</v>
      </c>
      <c r="O397" s="883">
        <f t="shared" si="145"/>
        <v>0</v>
      </c>
      <c r="P397" s="1100"/>
      <c r="Q397" s="883">
        <f t="shared" si="146"/>
        <v>0</v>
      </c>
      <c r="R397" s="884">
        <f t="shared" si="147"/>
        <v>0</v>
      </c>
      <c r="S397" s="884">
        <f>IF(AND($AS$39="Early Payoff",J397&gt;=$S$13),0,IF($J397&lt;=$S$6,SUM($Q$20:$Q397),0))</f>
        <v>0</v>
      </c>
      <c r="T397" s="884">
        <f>IF(AND($AS$39="Early Payoff",J397&gt;=$S$13),0,IF($J397&lt;=$S$6,SUM($R$20:$R397),0))</f>
        <v>0</v>
      </c>
      <c r="U397" s="885">
        <f t="shared" si="128"/>
        <v>0</v>
      </c>
      <c r="V397" s="1110">
        <f t="shared" si="148"/>
        <v>0</v>
      </c>
    </row>
    <row r="398" spans="2:22" ht="13.5" x14ac:dyDescent="0.25">
      <c r="B398" s="1192" t="e">
        <f t="shared" si="137"/>
        <v>#N/A</v>
      </c>
      <c r="C398" s="732">
        <f t="shared" si="124"/>
        <v>31</v>
      </c>
      <c r="D398" s="35">
        <f t="shared" si="125"/>
        <v>1</v>
      </c>
      <c r="E398" s="889">
        <f t="shared" si="143"/>
        <v>57376</v>
      </c>
      <c r="F398" s="822">
        <f t="shared" si="133"/>
        <v>1</v>
      </c>
      <c r="G398" s="500">
        <f t="shared" si="144"/>
        <v>31</v>
      </c>
      <c r="H398" s="126">
        <f t="shared" si="126"/>
        <v>0</v>
      </c>
      <c r="I398" s="1098">
        <f t="shared" si="142"/>
        <v>0</v>
      </c>
      <c r="J398" s="887">
        <f t="shared" si="138"/>
        <v>379</v>
      </c>
      <c r="K398" s="1099">
        <f t="shared" si="134"/>
        <v>379</v>
      </c>
      <c r="L398" s="891" t="str">
        <f t="shared" si="135"/>
        <v>January</v>
      </c>
      <c r="M398" s="888">
        <f t="shared" si="139"/>
        <v>2057</v>
      </c>
      <c r="N398" s="883">
        <f t="shared" si="136"/>
        <v>0</v>
      </c>
      <c r="O398" s="883">
        <f t="shared" si="145"/>
        <v>0</v>
      </c>
      <c r="P398" s="1100"/>
      <c r="Q398" s="883">
        <f t="shared" si="146"/>
        <v>0</v>
      </c>
      <c r="R398" s="884">
        <f t="shared" si="147"/>
        <v>0</v>
      </c>
      <c r="S398" s="884">
        <f>IF(AND($AS$39="Early Payoff",J398&gt;=$S$13),0,IF($J398&lt;=$S$6,SUM($Q$20:$Q398),0))</f>
        <v>0</v>
      </c>
      <c r="T398" s="884">
        <f>IF(AND($AS$39="Early Payoff",J398&gt;=$S$13),0,IF($J398&lt;=$S$6,SUM($R$20:$R398),0))</f>
        <v>0</v>
      </c>
      <c r="U398" s="885">
        <f t="shared" si="128"/>
        <v>0</v>
      </c>
      <c r="V398" s="1110">
        <f t="shared" si="148"/>
        <v>0</v>
      </c>
    </row>
    <row r="399" spans="2:22" ht="13.5" x14ac:dyDescent="0.25">
      <c r="B399" s="1192" t="e">
        <f t="shared" si="137"/>
        <v>#N/A</v>
      </c>
      <c r="C399" s="732">
        <f t="shared" si="124"/>
        <v>28</v>
      </c>
      <c r="D399" s="35">
        <f t="shared" si="125"/>
        <v>2</v>
      </c>
      <c r="E399" s="889">
        <f t="shared" si="143"/>
        <v>57404</v>
      </c>
      <c r="F399" s="822">
        <f t="shared" si="133"/>
        <v>2</v>
      </c>
      <c r="G399" s="500">
        <f t="shared" si="144"/>
        <v>28</v>
      </c>
      <c r="H399" s="126">
        <f t="shared" si="126"/>
        <v>0</v>
      </c>
      <c r="I399" s="1098">
        <f t="shared" si="142"/>
        <v>0</v>
      </c>
      <c r="J399" s="887">
        <f t="shared" si="138"/>
        <v>380</v>
      </c>
      <c r="K399" s="1099">
        <f t="shared" si="134"/>
        <v>380</v>
      </c>
      <c r="L399" s="891" t="str">
        <f t="shared" si="135"/>
        <v>February</v>
      </c>
      <c r="M399" s="888">
        <f t="shared" si="139"/>
        <v>2057</v>
      </c>
      <c r="N399" s="883">
        <f t="shared" si="136"/>
        <v>0</v>
      </c>
      <c r="O399" s="883">
        <f t="shared" si="145"/>
        <v>0</v>
      </c>
      <c r="P399" s="1100"/>
      <c r="Q399" s="883">
        <f t="shared" si="146"/>
        <v>0</v>
      </c>
      <c r="R399" s="884">
        <f t="shared" si="147"/>
        <v>0</v>
      </c>
      <c r="S399" s="884">
        <f>IF(AND($AS$39="Early Payoff",J399&gt;=$S$13),0,IF($J399&lt;=$S$6,SUM($Q$20:$Q399),0))</f>
        <v>0</v>
      </c>
      <c r="T399" s="884">
        <f>IF(AND($AS$39="Early Payoff",J399&gt;=$S$13),0,IF($J399&lt;=$S$6,SUM($R$20:$R399),0))</f>
        <v>0</v>
      </c>
      <c r="U399" s="885">
        <f t="shared" si="128"/>
        <v>0</v>
      </c>
      <c r="V399" s="1110">
        <f t="shared" si="148"/>
        <v>0</v>
      </c>
    </row>
    <row r="400" spans="2:22" ht="13.5" x14ac:dyDescent="0.25">
      <c r="B400" s="1192" t="e">
        <f t="shared" si="137"/>
        <v>#N/A</v>
      </c>
      <c r="C400" s="732">
        <f t="shared" si="124"/>
        <v>31</v>
      </c>
      <c r="D400" s="35">
        <f t="shared" si="125"/>
        <v>3</v>
      </c>
      <c r="E400" s="889">
        <f t="shared" si="143"/>
        <v>57435</v>
      </c>
      <c r="F400" s="822">
        <f t="shared" si="133"/>
        <v>3</v>
      </c>
      <c r="G400" s="500">
        <f t="shared" si="144"/>
        <v>31</v>
      </c>
      <c r="H400" s="126">
        <f t="shared" si="126"/>
        <v>0</v>
      </c>
      <c r="I400" s="1098">
        <f t="shared" si="142"/>
        <v>0</v>
      </c>
      <c r="J400" s="887">
        <f t="shared" si="138"/>
        <v>381</v>
      </c>
      <c r="K400" s="1099">
        <f t="shared" si="134"/>
        <v>381</v>
      </c>
      <c r="L400" s="891" t="str">
        <f t="shared" si="135"/>
        <v>March</v>
      </c>
      <c r="M400" s="888">
        <f t="shared" si="139"/>
        <v>2057</v>
      </c>
      <c r="N400" s="883">
        <f t="shared" si="136"/>
        <v>0</v>
      </c>
      <c r="O400" s="883">
        <f t="shared" si="145"/>
        <v>0</v>
      </c>
      <c r="P400" s="1100"/>
      <c r="Q400" s="883">
        <f t="shared" si="146"/>
        <v>0</v>
      </c>
      <c r="R400" s="884">
        <f t="shared" si="147"/>
        <v>0</v>
      </c>
      <c r="S400" s="884">
        <f>IF(AND($AS$39="Early Payoff",J400&gt;=$S$13),0,IF($J400&lt;=$S$6,SUM($Q$20:$Q400),0))</f>
        <v>0</v>
      </c>
      <c r="T400" s="884">
        <f>IF(AND($AS$39="Early Payoff",J400&gt;=$S$13),0,IF($J400&lt;=$S$6,SUM($R$20:$R400),0))</f>
        <v>0</v>
      </c>
      <c r="U400" s="885">
        <f t="shared" si="128"/>
        <v>0</v>
      </c>
      <c r="V400" s="1110">
        <f t="shared" si="148"/>
        <v>0</v>
      </c>
    </row>
    <row r="401" spans="1:50" ht="13.5" x14ac:dyDescent="0.25">
      <c r="B401" s="1192" t="e">
        <f t="shared" si="137"/>
        <v>#N/A</v>
      </c>
      <c r="C401" s="732">
        <f t="shared" si="124"/>
        <v>30</v>
      </c>
      <c r="D401" s="35">
        <f t="shared" si="125"/>
        <v>4</v>
      </c>
      <c r="E401" s="889">
        <f t="shared" si="143"/>
        <v>57465</v>
      </c>
      <c r="F401" s="822">
        <f t="shared" si="133"/>
        <v>4</v>
      </c>
      <c r="G401" s="500">
        <f t="shared" si="144"/>
        <v>30</v>
      </c>
      <c r="H401" s="126">
        <f t="shared" si="126"/>
        <v>0</v>
      </c>
      <c r="I401" s="1098">
        <f t="shared" si="142"/>
        <v>0</v>
      </c>
      <c r="J401" s="887">
        <f t="shared" si="138"/>
        <v>382</v>
      </c>
      <c r="K401" s="1099">
        <f t="shared" si="134"/>
        <v>382</v>
      </c>
      <c r="L401" s="891" t="str">
        <f t="shared" si="135"/>
        <v>April</v>
      </c>
      <c r="M401" s="888">
        <f t="shared" si="139"/>
        <v>2057</v>
      </c>
      <c r="N401" s="883">
        <f t="shared" si="136"/>
        <v>0</v>
      </c>
      <c r="O401" s="883">
        <f t="shared" si="145"/>
        <v>0</v>
      </c>
      <c r="P401" s="1100"/>
      <c r="Q401" s="883">
        <f t="shared" si="146"/>
        <v>0</v>
      </c>
      <c r="R401" s="884">
        <f t="shared" si="147"/>
        <v>0</v>
      </c>
      <c r="S401" s="884">
        <f>IF(AND($AS$39="Early Payoff",J401&gt;=$S$13),0,IF($J401&lt;=$S$6,SUM($Q$20:$Q401),0))</f>
        <v>0</v>
      </c>
      <c r="T401" s="884">
        <f>IF(AND($AS$39="Early Payoff",J401&gt;=$S$13),0,IF($J401&lt;=$S$6,SUM($R$20:$R401),0))</f>
        <v>0</v>
      </c>
      <c r="U401" s="885">
        <f t="shared" si="128"/>
        <v>0</v>
      </c>
      <c r="V401" s="1110">
        <f t="shared" si="148"/>
        <v>0</v>
      </c>
    </row>
    <row r="402" spans="1:50" ht="13.5" x14ac:dyDescent="0.25">
      <c r="B402" s="1192" t="e">
        <f t="shared" si="137"/>
        <v>#N/A</v>
      </c>
      <c r="C402" s="732">
        <f t="shared" si="124"/>
        <v>31</v>
      </c>
      <c r="D402" s="35">
        <f t="shared" si="125"/>
        <v>5</v>
      </c>
      <c r="E402" s="889">
        <f t="shared" si="143"/>
        <v>57496</v>
      </c>
      <c r="F402" s="822">
        <f t="shared" si="133"/>
        <v>5</v>
      </c>
      <c r="G402" s="500">
        <f t="shared" si="144"/>
        <v>31</v>
      </c>
      <c r="H402" s="126">
        <f t="shared" si="126"/>
        <v>0</v>
      </c>
      <c r="I402" s="1098">
        <f t="shared" si="142"/>
        <v>0</v>
      </c>
      <c r="J402" s="887">
        <f t="shared" si="138"/>
        <v>383</v>
      </c>
      <c r="K402" s="1099">
        <f t="shared" si="134"/>
        <v>383</v>
      </c>
      <c r="L402" s="891" t="str">
        <f t="shared" si="135"/>
        <v>May</v>
      </c>
      <c r="M402" s="888">
        <f t="shared" si="139"/>
        <v>2057</v>
      </c>
      <c r="N402" s="883">
        <f t="shared" si="136"/>
        <v>0</v>
      </c>
      <c r="O402" s="883">
        <f t="shared" si="145"/>
        <v>0</v>
      </c>
      <c r="P402" s="1100"/>
      <c r="Q402" s="883">
        <f t="shared" si="146"/>
        <v>0</v>
      </c>
      <c r="R402" s="884">
        <f t="shared" si="147"/>
        <v>0</v>
      </c>
      <c r="S402" s="884">
        <f>IF(AND($AS$39="Early Payoff",J402&gt;=$S$13),0,IF($J402&lt;=$S$6,SUM($Q$20:$Q402),0))</f>
        <v>0</v>
      </c>
      <c r="T402" s="884">
        <f>IF(AND($AS$39="Early Payoff",J402&gt;=$S$13),0,IF($J402&lt;=$S$6,SUM($R$20:$R402),0))</f>
        <v>0</v>
      </c>
      <c r="U402" s="885">
        <f t="shared" si="128"/>
        <v>0</v>
      </c>
      <c r="V402" s="1110">
        <f t="shared" si="148"/>
        <v>0</v>
      </c>
    </row>
    <row r="403" spans="1:50" ht="13.5" x14ac:dyDescent="0.25">
      <c r="B403" s="1192" t="e">
        <f t="shared" si="137"/>
        <v>#N/A</v>
      </c>
      <c r="C403" s="732">
        <f t="shared" si="124"/>
        <v>30</v>
      </c>
      <c r="D403" s="35">
        <f t="shared" si="125"/>
        <v>6</v>
      </c>
      <c r="E403" s="889">
        <f t="shared" si="143"/>
        <v>57526</v>
      </c>
      <c r="F403" s="822">
        <f t="shared" si="133"/>
        <v>6</v>
      </c>
      <c r="G403" s="500">
        <f t="shared" si="144"/>
        <v>30</v>
      </c>
      <c r="H403" s="126">
        <f t="shared" si="126"/>
        <v>0</v>
      </c>
      <c r="I403" s="1098">
        <f t="shared" si="142"/>
        <v>0</v>
      </c>
      <c r="J403" s="887">
        <f t="shared" si="138"/>
        <v>384</v>
      </c>
      <c r="K403" s="1099">
        <f t="shared" si="134"/>
        <v>384</v>
      </c>
      <c r="L403" s="891" t="str">
        <f t="shared" si="135"/>
        <v>June</v>
      </c>
      <c r="M403" s="888">
        <f t="shared" si="139"/>
        <v>2057</v>
      </c>
      <c r="N403" s="883">
        <f t="shared" si="136"/>
        <v>0</v>
      </c>
      <c r="O403" s="883">
        <f t="shared" si="145"/>
        <v>0</v>
      </c>
      <c r="P403" s="1100"/>
      <c r="Q403" s="883">
        <f t="shared" si="146"/>
        <v>0</v>
      </c>
      <c r="R403" s="884">
        <f t="shared" si="147"/>
        <v>0</v>
      </c>
      <c r="S403" s="884">
        <f>IF(AND($AS$39="Early Payoff",J403&gt;=$S$13),0,IF($J403&lt;=$S$6,SUM($Q$20:$Q403),0))</f>
        <v>0</v>
      </c>
      <c r="T403" s="884">
        <f>IF(AND($AS$39="Early Payoff",J403&gt;=$S$13),0,IF($J403&lt;=$S$6,SUM($R$20:$R403),0))</f>
        <v>0</v>
      </c>
      <c r="U403" s="885">
        <f t="shared" si="128"/>
        <v>0</v>
      </c>
      <c r="V403" s="1110">
        <f t="shared" si="148"/>
        <v>0</v>
      </c>
    </row>
    <row r="404" spans="1:50" ht="13.5" x14ac:dyDescent="0.25">
      <c r="B404" s="1192" t="e">
        <f t="shared" si="137"/>
        <v>#N/A</v>
      </c>
      <c r="C404" s="732">
        <f t="shared" ref="C404:C440" si="149">DAY(EOMONTH(DATE($M404,$D404,1),0))</f>
        <v>31</v>
      </c>
      <c r="D404" s="35">
        <f t="shared" ref="D404:D440" si="150">INDEX($AT$22:$AU$34,MATCH($L404,$AT$22:$AT$34,0),MATCH("Number",$AT$22:$AU$22,0))</f>
        <v>7</v>
      </c>
      <c r="E404" s="889">
        <f t="shared" si="143"/>
        <v>57557</v>
      </c>
      <c r="F404" s="822">
        <f t="shared" si="133"/>
        <v>7</v>
      </c>
      <c r="G404" s="500">
        <f t="shared" si="144"/>
        <v>31</v>
      </c>
      <c r="H404" s="126">
        <f t="shared" ref="H404:H440" si="151">IF($T$4="Monthly",INDEX($AT$36:$AU$48,MATCH($L404,$AT$36:$AT$48,0),MATCH("Number",$AT$36:$AU$36,0)),0)</f>
        <v>0</v>
      </c>
      <c r="I404" s="1098">
        <f t="shared" si="142"/>
        <v>0</v>
      </c>
      <c r="J404" s="887">
        <f t="shared" si="138"/>
        <v>385</v>
      </c>
      <c r="K404" s="1099">
        <f t="shared" si="134"/>
        <v>385</v>
      </c>
      <c r="L404" s="891" t="str">
        <f t="shared" si="135"/>
        <v>July</v>
      </c>
      <c r="M404" s="888">
        <f t="shared" si="139"/>
        <v>2057</v>
      </c>
      <c r="N404" s="883">
        <f t="shared" si="136"/>
        <v>0</v>
      </c>
      <c r="O404" s="883">
        <f t="shared" si="145"/>
        <v>0</v>
      </c>
      <c r="P404" s="1100"/>
      <c r="Q404" s="883">
        <f t="shared" si="146"/>
        <v>0</v>
      </c>
      <c r="R404" s="884">
        <f t="shared" si="147"/>
        <v>0</v>
      </c>
      <c r="S404" s="884">
        <f>IF(AND($AS$39="Early Payoff",J404&gt;=$S$13),0,IF($J404&lt;=$S$6,SUM($Q$20:$Q404),0))</f>
        <v>0</v>
      </c>
      <c r="T404" s="884">
        <f>IF(AND($AS$39="Early Payoff",J404&gt;=$S$13),0,IF($J404&lt;=$S$6,SUM($R$20:$R404),0))</f>
        <v>0</v>
      </c>
      <c r="U404" s="885">
        <f t="shared" ref="U404:U440" si="152">IF($K404&lt;$S$13,SUM($N404,$Q404),0)</f>
        <v>0</v>
      </c>
      <c r="V404" s="1110">
        <f t="shared" si="148"/>
        <v>0</v>
      </c>
    </row>
    <row r="405" spans="1:50" s="22" customFormat="1" ht="13.5" x14ac:dyDescent="0.25">
      <c r="A405" s="1"/>
      <c r="B405" s="1192" t="e">
        <f t="shared" si="137"/>
        <v>#N/A</v>
      </c>
      <c r="C405" s="732">
        <f t="shared" si="149"/>
        <v>31</v>
      </c>
      <c r="D405" s="35">
        <f t="shared" si="150"/>
        <v>8</v>
      </c>
      <c r="E405" s="889">
        <f t="shared" si="143"/>
        <v>57588</v>
      </c>
      <c r="F405" s="822">
        <f t="shared" ref="F405:F440" si="153">INDEX($AT$22:$AU$34,MATCH($L405,$AT$22:$AT$34,0),MATCH("Number",$AT$22:$AU$22,0))</f>
        <v>8</v>
      </c>
      <c r="G405" s="500">
        <f t="shared" si="144"/>
        <v>31</v>
      </c>
      <c r="H405" s="126">
        <f t="shared" si="151"/>
        <v>0</v>
      </c>
      <c r="I405" s="1098">
        <f t="shared" si="142"/>
        <v>0</v>
      </c>
      <c r="J405" s="887">
        <f t="shared" si="138"/>
        <v>386</v>
      </c>
      <c r="K405" s="1099">
        <f t="shared" ref="K405:K440" si="154">IF($J405&lt;=$AR$29,0,IF($J404&gt;=$AR$29,$K404+1))</f>
        <v>386</v>
      </c>
      <c r="L405" s="891" t="str">
        <f t="shared" ref="L405:L440" si="155">IF($T$4="Annual",$R$5,IF(AND($T$4="Bi-Annual",$F404&lt;MAX($R$4,$S$4)),INDEX($AU$22:$AV$34,MATCH(MAX($R$4,$S$4),$AU$22:$AU$34,0),MATCH("Month",$AU$22:$AV$22,0)),IF(AND($T$4="Bi-Annual",$F404=MAX($R$4,$S$4)),INDEX($AU$22:$AV$34,MATCH(MIN($R$4,$S$4),$AU$22:$AU$34,0),MATCH("Month",$AU$22:$AV$22,0)),IF(AND($T$4="Monthly",$F404&lt;12),INDEX($AU$22:$AV$34,MATCH($F404+1,$AU$22:$AU$34,0),MATCH("Month",$AU$22:$AV$22,0)),IF(AND($T$4="Monthly",$F404=12),INDEX($AU$22:$AV$34,MATCH($F404-11,$AU$22:$AU$34,0),MATCH("Month",$AU$22:$AV$22,0)))))))</f>
        <v>August</v>
      </c>
      <c r="M405" s="888">
        <f t="shared" si="139"/>
        <v>2057</v>
      </c>
      <c r="N405" s="883">
        <f t="shared" ref="N405:N440" si="156">IF(AND($AS$39="Early Payoff",$J405&gt;$S$13),0,IF(AND($AS$39="Early Payoff",$J405&lt;$S$13),$U404,IF($J405&gt;$S$6,0,$U404)))</f>
        <v>0</v>
      </c>
      <c r="O405" s="883">
        <f t="shared" si="145"/>
        <v>0</v>
      </c>
      <c r="P405" s="1100"/>
      <c r="Q405" s="883">
        <f t="shared" si="146"/>
        <v>0</v>
      </c>
      <c r="R405" s="884">
        <f t="shared" si="147"/>
        <v>0</v>
      </c>
      <c r="S405" s="884">
        <f>IF(AND($AS$39="Early Payoff",J405&gt;=$S$13),0,IF($J405&lt;=$S$6,SUM($Q$20:$Q405),0))</f>
        <v>0</v>
      </c>
      <c r="T405" s="884">
        <f>IF(AND($AS$39="Early Payoff",J405&gt;=$S$13),0,IF($J405&lt;=$S$6,SUM($R$20:$R405),0))</f>
        <v>0</v>
      </c>
      <c r="U405" s="885">
        <f t="shared" si="152"/>
        <v>0</v>
      </c>
      <c r="V405" s="1110">
        <f t="shared" si="148"/>
        <v>0</v>
      </c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</row>
    <row r="406" spans="1:50" s="22" customFormat="1" ht="13.5" x14ac:dyDescent="0.25">
      <c r="A406" s="1"/>
      <c r="B406" s="1192" t="e">
        <f t="shared" ref="B406:B440" si="157">B405+1</f>
        <v>#N/A</v>
      </c>
      <c r="C406" s="732">
        <f t="shared" si="149"/>
        <v>30</v>
      </c>
      <c r="D406" s="35">
        <f t="shared" si="150"/>
        <v>9</v>
      </c>
      <c r="E406" s="889">
        <f t="shared" si="143"/>
        <v>57618</v>
      </c>
      <c r="F406" s="822">
        <f t="shared" si="153"/>
        <v>9</v>
      </c>
      <c r="G406" s="500">
        <f t="shared" si="144"/>
        <v>30</v>
      </c>
      <c r="H406" s="126">
        <f t="shared" si="151"/>
        <v>0</v>
      </c>
      <c r="I406" s="1098">
        <f t="shared" si="142"/>
        <v>0</v>
      </c>
      <c r="J406" s="887">
        <f t="shared" ref="J406:J440" si="158">J405+1</f>
        <v>387</v>
      </c>
      <c r="K406" s="1099">
        <f t="shared" si="154"/>
        <v>387</v>
      </c>
      <c r="L406" s="891" t="str">
        <f t="shared" si="155"/>
        <v>September</v>
      </c>
      <c r="M406" s="888">
        <f t="shared" ref="M406:M440" si="159">IF($T$4="Annual",$M405+$I406,IF($T$4="Bi-Annual",$M405+$I405,IF($T$4="Monthly",$M405+$H405)))</f>
        <v>2057</v>
      </c>
      <c r="N406" s="883">
        <f t="shared" si="156"/>
        <v>0</v>
      </c>
      <c r="O406" s="883">
        <f t="shared" si="145"/>
        <v>0</v>
      </c>
      <c r="P406" s="1100"/>
      <c r="Q406" s="883">
        <f t="shared" si="146"/>
        <v>0</v>
      </c>
      <c r="R406" s="884">
        <f t="shared" si="147"/>
        <v>0</v>
      </c>
      <c r="S406" s="884">
        <f>IF(AND($AS$39="Early Payoff",J406&gt;=$S$13),0,IF($J406&lt;=$S$6,SUM($Q$20:$Q406),0))</f>
        <v>0</v>
      </c>
      <c r="T406" s="884">
        <f>IF(AND($AS$39="Early Payoff",J406&gt;=$S$13),0,IF($J406&lt;=$S$6,SUM($R$20:$R406),0))</f>
        <v>0</v>
      </c>
      <c r="U406" s="885">
        <f t="shared" si="152"/>
        <v>0</v>
      </c>
      <c r="V406" s="1110">
        <f t="shared" si="148"/>
        <v>0</v>
      </c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</row>
    <row r="407" spans="1:50" s="22" customFormat="1" ht="13.5" x14ac:dyDescent="0.25">
      <c r="A407" s="1"/>
      <c r="B407" s="1192" t="e">
        <f t="shared" si="157"/>
        <v>#N/A</v>
      </c>
      <c r="C407" s="732">
        <f t="shared" si="149"/>
        <v>31</v>
      </c>
      <c r="D407" s="35">
        <f t="shared" si="150"/>
        <v>10</v>
      </c>
      <c r="E407" s="889">
        <f t="shared" si="143"/>
        <v>57649</v>
      </c>
      <c r="F407" s="822">
        <f t="shared" si="153"/>
        <v>10</v>
      </c>
      <c r="G407" s="500">
        <f t="shared" si="144"/>
        <v>31</v>
      </c>
      <c r="H407" s="126">
        <f t="shared" si="151"/>
        <v>0</v>
      </c>
      <c r="I407" s="1098">
        <f t="shared" ref="I407:I440" si="160">IF($T$4="Annual",1,IF(AND($T$4="Bi-Annual",$F407&gt;$F408),1,IF(AND($T$4="Bi-Annual",$F407&lt;$F408),0,IF($T$4="Monthly",0,))))</f>
        <v>0</v>
      </c>
      <c r="J407" s="887">
        <f t="shared" si="158"/>
        <v>388</v>
      </c>
      <c r="K407" s="1099">
        <f t="shared" si="154"/>
        <v>388</v>
      </c>
      <c r="L407" s="891" t="str">
        <f t="shared" si="155"/>
        <v>October</v>
      </c>
      <c r="M407" s="888">
        <f t="shared" si="159"/>
        <v>2057</v>
      </c>
      <c r="N407" s="883">
        <f t="shared" si="156"/>
        <v>0</v>
      </c>
      <c r="O407" s="883">
        <f t="shared" si="145"/>
        <v>0</v>
      </c>
      <c r="P407" s="1100"/>
      <c r="Q407" s="883">
        <f t="shared" si="146"/>
        <v>0</v>
      </c>
      <c r="R407" s="884">
        <f t="shared" si="147"/>
        <v>0</v>
      </c>
      <c r="S407" s="884">
        <f>IF(AND($AS$39="Early Payoff",J407&gt;=$S$13),0,IF($J407&lt;=$S$6,SUM($Q$20:$Q407),0))</f>
        <v>0</v>
      </c>
      <c r="T407" s="884">
        <f>IF(AND($AS$39="Early Payoff",J407&gt;=$S$13),0,IF($J407&lt;=$S$6,SUM($R$20:$R407),0))</f>
        <v>0</v>
      </c>
      <c r="U407" s="885">
        <f t="shared" si="152"/>
        <v>0</v>
      </c>
      <c r="V407" s="1110">
        <f t="shared" si="148"/>
        <v>0</v>
      </c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</row>
    <row r="408" spans="1:50" s="22" customFormat="1" ht="13.5" x14ac:dyDescent="0.25">
      <c r="A408" s="1"/>
      <c r="B408" s="1192" t="e">
        <f t="shared" si="157"/>
        <v>#N/A</v>
      </c>
      <c r="C408" s="732">
        <f t="shared" si="149"/>
        <v>30</v>
      </c>
      <c r="D408" s="35">
        <f t="shared" si="150"/>
        <v>11</v>
      </c>
      <c r="E408" s="889">
        <f t="shared" si="143"/>
        <v>57679</v>
      </c>
      <c r="F408" s="822">
        <f t="shared" si="153"/>
        <v>11</v>
      </c>
      <c r="G408" s="500">
        <f t="shared" si="144"/>
        <v>30</v>
      </c>
      <c r="H408" s="126">
        <f t="shared" si="151"/>
        <v>0</v>
      </c>
      <c r="I408" s="1098">
        <f t="shared" si="160"/>
        <v>0</v>
      </c>
      <c r="J408" s="887">
        <f t="shared" si="158"/>
        <v>389</v>
      </c>
      <c r="K408" s="1099">
        <f t="shared" si="154"/>
        <v>389</v>
      </c>
      <c r="L408" s="891" t="str">
        <f t="shared" si="155"/>
        <v>November</v>
      </c>
      <c r="M408" s="888">
        <f t="shared" si="159"/>
        <v>2057</v>
      </c>
      <c r="N408" s="883">
        <f t="shared" si="156"/>
        <v>0</v>
      </c>
      <c r="O408" s="883">
        <f t="shared" si="145"/>
        <v>0</v>
      </c>
      <c r="P408" s="1100"/>
      <c r="Q408" s="883">
        <f t="shared" si="146"/>
        <v>0</v>
      </c>
      <c r="R408" s="884">
        <f t="shared" si="147"/>
        <v>0</v>
      </c>
      <c r="S408" s="884">
        <f>IF(AND($AS$39="Early Payoff",J408&gt;=$S$13),0,IF($J408&lt;=$S$6,SUM($Q$20:$Q408),0))</f>
        <v>0</v>
      </c>
      <c r="T408" s="884">
        <f>IF(AND($AS$39="Early Payoff",J408&gt;=$S$13),0,IF($J408&lt;=$S$6,SUM($R$20:$R408),0))</f>
        <v>0</v>
      </c>
      <c r="U408" s="885">
        <f t="shared" si="152"/>
        <v>0</v>
      </c>
      <c r="V408" s="1110">
        <f t="shared" si="148"/>
        <v>0</v>
      </c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</row>
    <row r="409" spans="1:50" s="22" customFormat="1" ht="13.5" x14ac:dyDescent="0.25">
      <c r="A409" s="1"/>
      <c r="B409" s="1192" t="e">
        <f t="shared" si="157"/>
        <v>#N/A</v>
      </c>
      <c r="C409" s="732">
        <f t="shared" si="149"/>
        <v>31</v>
      </c>
      <c r="D409" s="35">
        <f t="shared" si="150"/>
        <v>12</v>
      </c>
      <c r="E409" s="889">
        <f t="shared" si="143"/>
        <v>57710</v>
      </c>
      <c r="F409" s="822">
        <f t="shared" si="153"/>
        <v>12</v>
      </c>
      <c r="G409" s="500">
        <f t="shared" si="144"/>
        <v>31</v>
      </c>
      <c r="H409" s="126">
        <f t="shared" si="151"/>
        <v>1</v>
      </c>
      <c r="I409" s="1098">
        <f t="shared" si="160"/>
        <v>0</v>
      </c>
      <c r="J409" s="887">
        <f t="shared" si="158"/>
        <v>390</v>
      </c>
      <c r="K409" s="1099">
        <f t="shared" si="154"/>
        <v>390</v>
      </c>
      <c r="L409" s="891" t="str">
        <f t="shared" si="155"/>
        <v>December</v>
      </c>
      <c r="M409" s="888">
        <f t="shared" si="159"/>
        <v>2057</v>
      </c>
      <c r="N409" s="883">
        <f t="shared" si="156"/>
        <v>0</v>
      </c>
      <c r="O409" s="883">
        <f t="shared" si="145"/>
        <v>0</v>
      </c>
      <c r="P409" s="1100"/>
      <c r="Q409" s="883">
        <f t="shared" si="146"/>
        <v>0</v>
      </c>
      <c r="R409" s="884">
        <f t="shared" si="147"/>
        <v>0</v>
      </c>
      <c r="S409" s="884">
        <f>IF(AND($AS$39="Early Payoff",J409&gt;=$S$13),0,IF($J409&lt;=$S$6,SUM($Q$20:$Q409),0))</f>
        <v>0</v>
      </c>
      <c r="T409" s="884">
        <f>IF(AND($AS$39="Early Payoff",J409&gt;=$S$13),0,IF($J409&lt;=$S$6,SUM($R$20:$R409),0))</f>
        <v>0</v>
      </c>
      <c r="U409" s="885">
        <f t="shared" si="152"/>
        <v>0</v>
      </c>
      <c r="V409" s="1110">
        <f t="shared" si="148"/>
        <v>0</v>
      </c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</row>
    <row r="410" spans="1:50" s="22" customFormat="1" ht="13.5" x14ac:dyDescent="0.25">
      <c r="A410" s="1"/>
      <c r="B410" s="1192" t="e">
        <f t="shared" si="157"/>
        <v>#N/A</v>
      </c>
      <c r="C410" s="732">
        <f t="shared" si="149"/>
        <v>31</v>
      </c>
      <c r="D410" s="35">
        <f t="shared" si="150"/>
        <v>1</v>
      </c>
      <c r="E410" s="889">
        <f t="shared" si="143"/>
        <v>57741</v>
      </c>
      <c r="F410" s="822">
        <f t="shared" si="153"/>
        <v>1</v>
      </c>
      <c r="G410" s="500">
        <f t="shared" si="144"/>
        <v>31</v>
      </c>
      <c r="H410" s="126">
        <f t="shared" si="151"/>
        <v>0</v>
      </c>
      <c r="I410" s="1098">
        <f t="shared" si="160"/>
        <v>0</v>
      </c>
      <c r="J410" s="887">
        <f t="shared" si="158"/>
        <v>391</v>
      </c>
      <c r="K410" s="1099">
        <f t="shared" si="154"/>
        <v>391</v>
      </c>
      <c r="L410" s="891" t="str">
        <f t="shared" si="155"/>
        <v>January</v>
      </c>
      <c r="M410" s="888">
        <f t="shared" si="159"/>
        <v>2058</v>
      </c>
      <c r="N410" s="883">
        <f t="shared" si="156"/>
        <v>0</v>
      </c>
      <c r="O410" s="883">
        <f t="shared" si="145"/>
        <v>0</v>
      </c>
      <c r="P410" s="1100"/>
      <c r="Q410" s="883">
        <f t="shared" si="146"/>
        <v>0</v>
      </c>
      <c r="R410" s="884">
        <f t="shared" si="147"/>
        <v>0</v>
      </c>
      <c r="S410" s="884">
        <f>IF(AND($AS$39="Early Payoff",J410&gt;=$S$13),0,IF($J410&lt;=$S$6,SUM($Q$20:$Q410),0))</f>
        <v>0</v>
      </c>
      <c r="T410" s="884">
        <f>IF(AND($AS$39="Early Payoff",J410&gt;=$S$13),0,IF($J410&lt;=$S$6,SUM($R$20:$R410),0))</f>
        <v>0</v>
      </c>
      <c r="U410" s="885">
        <f t="shared" si="152"/>
        <v>0</v>
      </c>
      <c r="V410" s="1110">
        <f t="shared" si="148"/>
        <v>0</v>
      </c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</row>
    <row r="411" spans="1:50" s="22" customFormat="1" ht="13.5" x14ac:dyDescent="0.25">
      <c r="A411" s="1"/>
      <c r="B411" s="1192" t="e">
        <f t="shared" si="157"/>
        <v>#N/A</v>
      </c>
      <c r="C411" s="732">
        <f t="shared" si="149"/>
        <v>28</v>
      </c>
      <c r="D411" s="35">
        <f t="shared" si="150"/>
        <v>2</v>
      </c>
      <c r="E411" s="889">
        <f t="shared" si="143"/>
        <v>57769</v>
      </c>
      <c r="F411" s="822">
        <f t="shared" si="153"/>
        <v>2</v>
      </c>
      <c r="G411" s="500">
        <f t="shared" si="144"/>
        <v>28</v>
      </c>
      <c r="H411" s="126">
        <f t="shared" si="151"/>
        <v>0</v>
      </c>
      <c r="I411" s="1098">
        <f t="shared" si="160"/>
        <v>0</v>
      </c>
      <c r="J411" s="887">
        <f t="shared" si="158"/>
        <v>392</v>
      </c>
      <c r="K411" s="1099">
        <f t="shared" si="154"/>
        <v>392</v>
      </c>
      <c r="L411" s="891" t="str">
        <f t="shared" si="155"/>
        <v>February</v>
      </c>
      <c r="M411" s="888">
        <f t="shared" si="159"/>
        <v>2058</v>
      </c>
      <c r="N411" s="883">
        <f t="shared" si="156"/>
        <v>0</v>
      </c>
      <c r="O411" s="883">
        <f t="shared" si="145"/>
        <v>0</v>
      </c>
      <c r="P411" s="1100"/>
      <c r="Q411" s="883">
        <f t="shared" si="146"/>
        <v>0</v>
      </c>
      <c r="R411" s="884">
        <f t="shared" si="147"/>
        <v>0</v>
      </c>
      <c r="S411" s="884">
        <f>IF(AND($AS$39="Early Payoff",J411&gt;=$S$13),0,IF($J411&lt;=$S$6,SUM($Q$20:$Q411),0))</f>
        <v>0</v>
      </c>
      <c r="T411" s="884">
        <f>IF(AND($AS$39="Early Payoff",J411&gt;=$S$13),0,IF($J411&lt;=$S$6,SUM($R$20:$R411),0))</f>
        <v>0</v>
      </c>
      <c r="U411" s="885">
        <f t="shared" si="152"/>
        <v>0</v>
      </c>
      <c r="V411" s="1110">
        <f t="shared" si="148"/>
        <v>0</v>
      </c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</row>
    <row r="412" spans="1:50" s="22" customFormat="1" ht="13.5" x14ac:dyDescent="0.25">
      <c r="A412" s="1"/>
      <c r="B412" s="1192" t="e">
        <f t="shared" si="157"/>
        <v>#N/A</v>
      </c>
      <c r="C412" s="732">
        <f t="shared" si="149"/>
        <v>31</v>
      </c>
      <c r="D412" s="35">
        <f t="shared" si="150"/>
        <v>3</v>
      </c>
      <c r="E412" s="889">
        <f t="shared" si="143"/>
        <v>57800</v>
      </c>
      <c r="F412" s="822">
        <f t="shared" si="153"/>
        <v>3</v>
      </c>
      <c r="G412" s="500">
        <f t="shared" si="144"/>
        <v>31</v>
      </c>
      <c r="H412" s="126">
        <f t="shared" si="151"/>
        <v>0</v>
      </c>
      <c r="I412" s="1098">
        <f t="shared" si="160"/>
        <v>0</v>
      </c>
      <c r="J412" s="887">
        <f t="shared" si="158"/>
        <v>393</v>
      </c>
      <c r="K412" s="1099">
        <f t="shared" si="154"/>
        <v>393</v>
      </c>
      <c r="L412" s="891" t="str">
        <f t="shared" si="155"/>
        <v>March</v>
      </c>
      <c r="M412" s="888">
        <f t="shared" si="159"/>
        <v>2058</v>
      </c>
      <c r="N412" s="883">
        <f t="shared" si="156"/>
        <v>0</v>
      </c>
      <c r="O412" s="883">
        <f t="shared" si="145"/>
        <v>0</v>
      </c>
      <c r="P412" s="1100"/>
      <c r="Q412" s="883">
        <f t="shared" si="146"/>
        <v>0</v>
      </c>
      <c r="R412" s="884">
        <f t="shared" si="147"/>
        <v>0</v>
      </c>
      <c r="S412" s="884">
        <f>IF(AND($AS$39="Early Payoff",J412&gt;=$S$13),0,IF($J412&lt;=$S$6,SUM($Q$20:$Q412),0))</f>
        <v>0</v>
      </c>
      <c r="T412" s="884">
        <f>IF(AND($AS$39="Early Payoff",J412&gt;=$S$13),0,IF($J412&lt;=$S$6,SUM($R$20:$R412),0))</f>
        <v>0</v>
      </c>
      <c r="U412" s="885">
        <f t="shared" si="152"/>
        <v>0</v>
      </c>
      <c r="V412" s="1110">
        <f t="shared" si="148"/>
        <v>0</v>
      </c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</row>
    <row r="413" spans="1:50" s="22" customFormat="1" ht="13.5" x14ac:dyDescent="0.25">
      <c r="A413" s="1"/>
      <c r="B413" s="1192" t="e">
        <f t="shared" si="157"/>
        <v>#N/A</v>
      </c>
      <c r="C413" s="732">
        <f t="shared" si="149"/>
        <v>30</v>
      </c>
      <c r="D413" s="35">
        <f t="shared" si="150"/>
        <v>4</v>
      </c>
      <c r="E413" s="889">
        <f t="shared" si="143"/>
        <v>57830</v>
      </c>
      <c r="F413" s="822">
        <f t="shared" si="153"/>
        <v>4</v>
      </c>
      <c r="G413" s="500">
        <f t="shared" si="144"/>
        <v>30</v>
      </c>
      <c r="H413" s="126">
        <f t="shared" si="151"/>
        <v>0</v>
      </c>
      <c r="I413" s="1098">
        <f t="shared" si="160"/>
        <v>0</v>
      </c>
      <c r="J413" s="887">
        <f t="shared" si="158"/>
        <v>394</v>
      </c>
      <c r="K413" s="1099">
        <f t="shared" si="154"/>
        <v>394</v>
      </c>
      <c r="L413" s="891" t="str">
        <f t="shared" si="155"/>
        <v>April</v>
      </c>
      <c r="M413" s="888">
        <f t="shared" si="159"/>
        <v>2058</v>
      </c>
      <c r="N413" s="883">
        <f t="shared" si="156"/>
        <v>0</v>
      </c>
      <c r="O413" s="883">
        <f t="shared" si="145"/>
        <v>0</v>
      </c>
      <c r="P413" s="1100"/>
      <c r="Q413" s="883">
        <f t="shared" si="146"/>
        <v>0</v>
      </c>
      <c r="R413" s="884">
        <f t="shared" si="147"/>
        <v>0</v>
      </c>
      <c r="S413" s="884">
        <f>IF(AND($AS$39="Early Payoff",J413&gt;=$S$13),0,IF($J413&lt;=$S$6,SUM($Q$20:$Q413),0))</f>
        <v>0</v>
      </c>
      <c r="T413" s="884">
        <f>IF(AND($AS$39="Early Payoff",J413&gt;=$S$13),0,IF($J413&lt;=$S$6,SUM($R$20:$R413),0))</f>
        <v>0</v>
      </c>
      <c r="U413" s="885">
        <f t="shared" si="152"/>
        <v>0</v>
      </c>
      <c r="V413" s="1110">
        <f t="shared" si="148"/>
        <v>0</v>
      </c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</row>
    <row r="414" spans="1:50" s="22" customFormat="1" ht="13.5" x14ac:dyDescent="0.25">
      <c r="A414" s="1"/>
      <c r="B414" s="1192" t="e">
        <f t="shared" si="157"/>
        <v>#N/A</v>
      </c>
      <c r="C414" s="732">
        <f t="shared" si="149"/>
        <v>31</v>
      </c>
      <c r="D414" s="35">
        <f t="shared" si="150"/>
        <v>5</v>
      </c>
      <c r="E414" s="889">
        <f t="shared" si="143"/>
        <v>57861</v>
      </c>
      <c r="F414" s="822">
        <f t="shared" si="153"/>
        <v>5</v>
      </c>
      <c r="G414" s="500">
        <f t="shared" si="144"/>
        <v>31</v>
      </c>
      <c r="H414" s="126">
        <f t="shared" si="151"/>
        <v>0</v>
      </c>
      <c r="I414" s="1098">
        <f t="shared" si="160"/>
        <v>0</v>
      </c>
      <c r="J414" s="887">
        <f t="shared" si="158"/>
        <v>395</v>
      </c>
      <c r="K414" s="1099">
        <f t="shared" si="154"/>
        <v>395</v>
      </c>
      <c r="L414" s="891" t="str">
        <f t="shared" si="155"/>
        <v>May</v>
      </c>
      <c r="M414" s="888">
        <f t="shared" si="159"/>
        <v>2058</v>
      </c>
      <c r="N414" s="883">
        <f t="shared" si="156"/>
        <v>0</v>
      </c>
      <c r="O414" s="883">
        <f t="shared" si="145"/>
        <v>0</v>
      </c>
      <c r="P414" s="1100"/>
      <c r="Q414" s="883">
        <f t="shared" si="146"/>
        <v>0</v>
      </c>
      <c r="R414" s="884">
        <f t="shared" si="147"/>
        <v>0</v>
      </c>
      <c r="S414" s="884">
        <f>IF(AND($AS$39="Early Payoff",J414&gt;=$S$13),0,IF($J414&lt;=$S$6,SUM($Q$20:$Q414),0))</f>
        <v>0</v>
      </c>
      <c r="T414" s="884">
        <f>IF(AND($AS$39="Early Payoff",J414&gt;=$S$13),0,IF($J414&lt;=$S$6,SUM($R$20:$R414),0))</f>
        <v>0</v>
      </c>
      <c r="U414" s="885">
        <f t="shared" si="152"/>
        <v>0</v>
      </c>
      <c r="V414" s="1110">
        <f t="shared" si="148"/>
        <v>0</v>
      </c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</row>
    <row r="415" spans="1:50" s="22" customFormat="1" ht="13.5" x14ac:dyDescent="0.25">
      <c r="A415" s="1"/>
      <c r="B415" s="1192" t="e">
        <f t="shared" si="157"/>
        <v>#N/A</v>
      </c>
      <c r="C415" s="732">
        <f t="shared" si="149"/>
        <v>30</v>
      </c>
      <c r="D415" s="35">
        <f t="shared" si="150"/>
        <v>6</v>
      </c>
      <c r="E415" s="889">
        <f t="shared" si="143"/>
        <v>57891</v>
      </c>
      <c r="F415" s="822">
        <f t="shared" si="153"/>
        <v>6</v>
      </c>
      <c r="G415" s="500">
        <f t="shared" si="144"/>
        <v>30</v>
      </c>
      <c r="H415" s="126">
        <f t="shared" si="151"/>
        <v>0</v>
      </c>
      <c r="I415" s="1098">
        <f t="shared" si="160"/>
        <v>0</v>
      </c>
      <c r="J415" s="887">
        <f t="shared" si="158"/>
        <v>396</v>
      </c>
      <c r="K415" s="1099">
        <f t="shared" si="154"/>
        <v>396</v>
      </c>
      <c r="L415" s="891" t="str">
        <f t="shared" si="155"/>
        <v>June</v>
      </c>
      <c r="M415" s="888">
        <f t="shared" si="159"/>
        <v>2058</v>
      </c>
      <c r="N415" s="883">
        <f t="shared" si="156"/>
        <v>0</v>
      </c>
      <c r="O415" s="883">
        <f t="shared" si="145"/>
        <v>0</v>
      </c>
      <c r="P415" s="1100"/>
      <c r="Q415" s="883">
        <f t="shared" si="146"/>
        <v>0</v>
      </c>
      <c r="R415" s="884">
        <f t="shared" si="147"/>
        <v>0</v>
      </c>
      <c r="S415" s="884">
        <f>IF(AND($AS$39="Early Payoff",J415&gt;=$S$13),0,IF($J415&lt;=$S$6,SUM($Q$20:$Q415),0))</f>
        <v>0</v>
      </c>
      <c r="T415" s="884">
        <f>IF(AND($AS$39="Early Payoff",J415&gt;=$S$13),0,IF($J415&lt;=$S$6,SUM($R$20:$R415),0))</f>
        <v>0</v>
      </c>
      <c r="U415" s="885">
        <f t="shared" si="152"/>
        <v>0</v>
      </c>
      <c r="V415" s="1110">
        <f t="shared" si="148"/>
        <v>0</v>
      </c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</row>
    <row r="416" spans="1:50" s="22" customFormat="1" ht="13.5" x14ac:dyDescent="0.25">
      <c r="A416" s="1"/>
      <c r="B416" s="1192" t="e">
        <f t="shared" si="157"/>
        <v>#N/A</v>
      </c>
      <c r="C416" s="732">
        <f t="shared" si="149"/>
        <v>31</v>
      </c>
      <c r="D416" s="35">
        <f t="shared" si="150"/>
        <v>7</v>
      </c>
      <c r="E416" s="889">
        <f t="shared" si="143"/>
        <v>57922</v>
      </c>
      <c r="F416" s="822">
        <f t="shared" si="153"/>
        <v>7</v>
      </c>
      <c r="G416" s="500">
        <f t="shared" si="144"/>
        <v>31</v>
      </c>
      <c r="H416" s="126">
        <f t="shared" si="151"/>
        <v>0</v>
      </c>
      <c r="I416" s="1098">
        <f t="shared" si="160"/>
        <v>0</v>
      </c>
      <c r="J416" s="887">
        <f t="shared" si="158"/>
        <v>397</v>
      </c>
      <c r="K416" s="1099">
        <f t="shared" si="154"/>
        <v>397</v>
      </c>
      <c r="L416" s="891" t="str">
        <f t="shared" si="155"/>
        <v>July</v>
      </c>
      <c r="M416" s="888">
        <f t="shared" si="159"/>
        <v>2058</v>
      </c>
      <c r="N416" s="883">
        <f t="shared" si="156"/>
        <v>0</v>
      </c>
      <c r="O416" s="883">
        <f t="shared" si="145"/>
        <v>0</v>
      </c>
      <c r="P416" s="1100"/>
      <c r="Q416" s="883">
        <f t="shared" si="146"/>
        <v>0</v>
      </c>
      <c r="R416" s="884">
        <f t="shared" si="147"/>
        <v>0</v>
      </c>
      <c r="S416" s="884">
        <f>IF(AND($AS$39="Early Payoff",J416&gt;=$S$13),0,IF($J416&lt;=$S$6,SUM($Q$20:$Q416),0))</f>
        <v>0</v>
      </c>
      <c r="T416" s="884">
        <f>IF(AND($AS$39="Early Payoff",J416&gt;=$S$13),0,IF($J416&lt;=$S$6,SUM($R$20:$R416),0))</f>
        <v>0</v>
      </c>
      <c r="U416" s="885">
        <f t="shared" si="152"/>
        <v>0</v>
      </c>
      <c r="V416" s="1110">
        <f t="shared" si="148"/>
        <v>0</v>
      </c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</row>
    <row r="417" spans="1:50" s="22" customFormat="1" ht="13.5" x14ac:dyDescent="0.25">
      <c r="A417" s="1"/>
      <c r="B417" s="1192" t="e">
        <f t="shared" si="157"/>
        <v>#N/A</v>
      </c>
      <c r="C417" s="732">
        <f t="shared" si="149"/>
        <v>31</v>
      </c>
      <c r="D417" s="35">
        <f t="shared" si="150"/>
        <v>8</v>
      </c>
      <c r="E417" s="889">
        <f t="shared" si="143"/>
        <v>57953</v>
      </c>
      <c r="F417" s="822">
        <f t="shared" si="153"/>
        <v>8</v>
      </c>
      <c r="G417" s="500">
        <f t="shared" si="144"/>
        <v>31</v>
      </c>
      <c r="H417" s="126">
        <f t="shared" si="151"/>
        <v>0</v>
      </c>
      <c r="I417" s="1098">
        <f t="shared" si="160"/>
        <v>0</v>
      </c>
      <c r="J417" s="887">
        <f t="shared" si="158"/>
        <v>398</v>
      </c>
      <c r="K417" s="1099">
        <f t="shared" si="154"/>
        <v>398</v>
      </c>
      <c r="L417" s="891" t="str">
        <f t="shared" si="155"/>
        <v>August</v>
      </c>
      <c r="M417" s="888">
        <f t="shared" si="159"/>
        <v>2058</v>
      </c>
      <c r="N417" s="883">
        <f t="shared" si="156"/>
        <v>0</v>
      </c>
      <c r="O417" s="883">
        <f t="shared" si="145"/>
        <v>0</v>
      </c>
      <c r="P417" s="1100"/>
      <c r="Q417" s="883">
        <f t="shared" si="146"/>
        <v>0</v>
      </c>
      <c r="R417" s="884">
        <f t="shared" si="147"/>
        <v>0</v>
      </c>
      <c r="S417" s="884">
        <f>IF(AND($AS$39="Early Payoff",J417&gt;=$S$13),0,IF($J417&lt;=$S$6,SUM($Q$20:$Q417),0))</f>
        <v>0</v>
      </c>
      <c r="T417" s="884">
        <f>IF(AND($AS$39="Early Payoff",J417&gt;=$S$13),0,IF($J417&lt;=$S$6,SUM($R$20:$R417),0))</f>
        <v>0</v>
      </c>
      <c r="U417" s="885">
        <f t="shared" si="152"/>
        <v>0</v>
      </c>
      <c r="V417" s="1110">
        <f t="shared" si="148"/>
        <v>0</v>
      </c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</row>
    <row r="418" spans="1:50" ht="13.5" x14ac:dyDescent="0.25">
      <c r="B418" s="1192" t="e">
        <f t="shared" si="157"/>
        <v>#N/A</v>
      </c>
      <c r="C418" s="732">
        <f t="shared" si="149"/>
        <v>30</v>
      </c>
      <c r="D418" s="35">
        <f t="shared" si="150"/>
        <v>9</v>
      </c>
      <c r="E418" s="889">
        <f t="shared" si="143"/>
        <v>57983</v>
      </c>
      <c r="F418" s="822">
        <f t="shared" si="153"/>
        <v>9</v>
      </c>
      <c r="G418" s="500">
        <f t="shared" si="144"/>
        <v>30</v>
      </c>
      <c r="H418" s="126">
        <f t="shared" si="151"/>
        <v>0</v>
      </c>
      <c r="I418" s="1098">
        <f t="shared" si="160"/>
        <v>0</v>
      </c>
      <c r="J418" s="887">
        <f t="shared" si="158"/>
        <v>399</v>
      </c>
      <c r="K418" s="1099">
        <f t="shared" si="154"/>
        <v>399</v>
      </c>
      <c r="L418" s="891" t="str">
        <f t="shared" si="155"/>
        <v>September</v>
      </c>
      <c r="M418" s="888">
        <f t="shared" si="159"/>
        <v>2058</v>
      </c>
      <c r="N418" s="883">
        <f t="shared" si="156"/>
        <v>0</v>
      </c>
      <c r="O418" s="883">
        <f t="shared" si="145"/>
        <v>0</v>
      </c>
      <c r="P418" s="1100"/>
      <c r="Q418" s="883">
        <f t="shared" si="146"/>
        <v>0</v>
      </c>
      <c r="R418" s="884">
        <f t="shared" si="147"/>
        <v>0</v>
      </c>
      <c r="S418" s="884">
        <f>IF(AND($AS$39="Early Payoff",J418&gt;=$S$13),0,IF($J418&lt;=$S$6,SUM($Q$20:$Q418),0))</f>
        <v>0</v>
      </c>
      <c r="T418" s="884">
        <f>IF(AND($AS$39="Early Payoff",J418&gt;=$S$13),0,IF($J418&lt;=$S$6,SUM($R$20:$R418),0))</f>
        <v>0</v>
      </c>
      <c r="U418" s="885">
        <f t="shared" si="152"/>
        <v>0</v>
      </c>
      <c r="V418" s="1110">
        <f t="shared" si="148"/>
        <v>0</v>
      </c>
    </row>
    <row r="419" spans="1:50" ht="13.5" x14ac:dyDescent="0.25">
      <c r="B419" s="1192" t="e">
        <f t="shared" si="157"/>
        <v>#N/A</v>
      </c>
      <c r="C419" s="732">
        <f t="shared" si="149"/>
        <v>31</v>
      </c>
      <c r="D419" s="35">
        <f t="shared" si="150"/>
        <v>10</v>
      </c>
      <c r="E419" s="889">
        <f t="shared" si="143"/>
        <v>58014</v>
      </c>
      <c r="F419" s="822">
        <f t="shared" si="153"/>
        <v>10</v>
      </c>
      <c r="G419" s="500">
        <f t="shared" si="144"/>
        <v>31</v>
      </c>
      <c r="H419" s="126">
        <f t="shared" si="151"/>
        <v>0</v>
      </c>
      <c r="I419" s="1098">
        <f t="shared" si="160"/>
        <v>0</v>
      </c>
      <c r="J419" s="887">
        <f t="shared" si="158"/>
        <v>400</v>
      </c>
      <c r="K419" s="1099">
        <f t="shared" si="154"/>
        <v>400</v>
      </c>
      <c r="L419" s="891" t="str">
        <f t="shared" si="155"/>
        <v>October</v>
      </c>
      <c r="M419" s="888">
        <f t="shared" si="159"/>
        <v>2058</v>
      </c>
      <c r="N419" s="883">
        <f t="shared" si="156"/>
        <v>0</v>
      </c>
      <c r="O419" s="883">
        <f t="shared" si="145"/>
        <v>0</v>
      </c>
      <c r="P419" s="1100"/>
      <c r="Q419" s="883">
        <f t="shared" si="146"/>
        <v>0</v>
      </c>
      <c r="R419" s="884">
        <f t="shared" si="147"/>
        <v>0</v>
      </c>
      <c r="S419" s="884">
        <f>IF(AND($AS$39="Early Payoff",J419&gt;=$S$13),0,IF($J419&lt;=$S$6,SUM($Q$20:$Q419),0))</f>
        <v>0</v>
      </c>
      <c r="T419" s="884">
        <f>IF(AND($AS$39="Early Payoff",J419&gt;=$S$13),0,IF($J419&lt;=$S$6,SUM($R$20:$R419),0))</f>
        <v>0</v>
      </c>
      <c r="U419" s="885">
        <f t="shared" si="152"/>
        <v>0</v>
      </c>
      <c r="V419" s="1110">
        <f t="shared" si="148"/>
        <v>0</v>
      </c>
    </row>
    <row r="420" spans="1:50" ht="13.5" x14ac:dyDescent="0.25">
      <c r="B420" s="1192" t="e">
        <f t="shared" si="157"/>
        <v>#N/A</v>
      </c>
      <c r="C420" s="732">
        <f t="shared" si="149"/>
        <v>30</v>
      </c>
      <c r="D420" s="35">
        <f t="shared" si="150"/>
        <v>11</v>
      </c>
      <c r="E420" s="889">
        <f t="shared" si="143"/>
        <v>58044</v>
      </c>
      <c r="F420" s="822">
        <f t="shared" si="153"/>
        <v>11</v>
      </c>
      <c r="G420" s="500">
        <f t="shared" si="144"/>
        <v>30</v>
      </c>
      <c r="H420" s="126">
        <f t="shared" si="151"/>
        <v>0</v>
      </c>
      <c r="I420" s="1098">
        <f t="shared" si="160"/>
        <v>0</v>
      </c>
      <c r="J420" s="887">
        <f t="shared" si="158"/>
        <v>401</v>
      </c>
      <c r="K420" s="1099">
        <f t="shared" si="154"/>
        <v>401</v>
      </c>
      <c r="L420" s="891" t="str">
        <f t="shared" si="155"/>
        <v>November</v>
      </c>
      <c r="M420" s="888">
        <f t="shared" si="159"/>
        <v>2058</v>
      </c>
      <c r="N420" s="883">
        <f t="shared" si="156"/>
        <v>0</v>
      </c>
      <c r="O420" s="883">
        <f t="shared" si="145"/>
        <v>0</v>
      </c>
      <c r="P420" s="1100"/>
      <c r="Q420" s="883">
        <f t="shared" si="146"/>
        <v>0</v>
      </c>
      <c r="R420" s="884">
        <f t="shared" si="147"/>
        <v>0</v>
      </c>
      <c r="S420" s="884">
        <f>IF(AND($AS$39="Early Payoff",J420&gt;=$S$13),0,IF($J420&lt;=$S$6,SUM($Q$20:$Q420),0))</f>
        <v>0</v>
      </c>
      <c r="T420" s="884">
        <f>IF(AND($AS$39="Early Payoff",J420&gt;=$S$13),0,IF($J420&lt;=$S$6,SUM($R$20:$R420),0))</f>
        <v>0</v>
      </c>
      <c r="U420" s="885">
        <f t="shared" si="152"/>
        <v>0</v>
      </c>
      <c r="V420" s="1110">
        <f t="shared" si="148"/>
        <v>0</v>
      </c>
    </row>
    <row r="421" spans="1:50" ht="13.5" x14ac:dyDescent="0.25">
      <c r="B421" s="1192" t="e">
        <f t="shared" si="157"/>
        <v>#N/A</v>
      </c>
      <c r="C421" s="732">
        <f t="shared" si="149"/>
        <v>31</v>
      </c>
      <c r="D421" s="35">
        <f t="shared" si="150"/>
        <v>12</v>
      </c>
      <c r="E421" s="889">
        <f t="shared" si="143"/>
        <v>58075</v>
      </c>
      <c r="F421" s="822">
        <f t="shared" si="153"/>
        <v>12</v>
      </c>
      <c r="G421" s="500">
        <f t="shared" si="144"/>
        <v>31</v>
      </c>
      <c r="H421" s="126">
        <f t="shared" si="151"/>
        <v>1</v>
      </c>
      <c r="I421" s="1098">
        <f t="shared" si="160"/>
        <v>0</v>
      </c>
      <c r="J421" s="887">
        <f t="shared" si="158"/>
        <v>402</v>
      </c>
      <c r="K421" s="1099">
        <f t="shared" si="154"/>
        <v>402</v>
      </c>
      <c r="L421" s="891" t="str">
        <f t="shared" si="155"/>
        <v>December</v>
      </c>
      <c r="M421" s="888">
        <f t="shared" si="159"/>
        <v>2058</v>
      </c>
      <c r="N421" s="883">
        <f t="shared" si="156"/>
        <v>0</v>
      </c>
      <c r="O421" s="883">
        <f t="shared" si="145"/>
        <v>0</v>
      </c>
      <c r="P421" s="1100"/>
      <c r="Q421" s="883">
        <f t="shared" si="146"/>
        <v>0</v>
      </c>
      <c r="R421" s="884">
        <f t="shared" si="147"/>
        <v>0</v>
      </c>
      <c r="S421" s="884">
        <f>IF(AND($AS$39="Early Payoff",J421&gt;=$S$13),0,IF($J421&lt;=$S$6,SUM($Q$20:$Q421),0))</f>
        <v>0</v>
      </c>
      <c r="T421" s="884">
        <f>IF(AND($AS$39="Early Payoff",J421&gt;=$S$13),0,IF($J421&lt;=$S$6,SUM($R$20:$R421),0))</f>
        <v>0</v>
      </c>
      <c r="U421" s="885">
        <f t="shared" si="152"/>
        <v>0</v>
      </c>
      <c r="V421" s="1110">
        <f t="shared" si="148"/>
        <v>0</v>
      </c>
    </row>
    <row r="422" spans="1:50" ht="13.5" x14ac:dyDescent="0.25">
      <c r="B422" s="1192" t="e">
        <f t="shared" si="157"/>
        <v>#N/A</v>
      </c>
      <c r="C422" s="732">
        <f t="shared" si="149"/>
        <v>31</v>
      </c>
      <c r="D422" s="35">
        <f t="shared" si="150"/>
        <v>1</v>
      </c>
      <c r="E422" s="889">
        <f t="shared" si="143"/>
        <v>58106</v>
      </c>
      <c r="F422" s="822">
        <f t="shared" si="153"/>
        <v>1</v>
      </c>
      <c r="G422" s="500">
        <f t="shared" si="144"/>
        <v>31</v>
      </c>
      <c r="H422" s="126">
        <f t="shared" si="151"/>
        <v>0</v>
      </c>
      <c r="I422" s="1098">
        <f t="shared" si="160"/>
        <v>0</v>
      </c>
      <c r="J422" s="887">
        <f t="shared" si="158"/>
        <v>403</v>
      </c>
      <c r="K422" s="1099">
        <f t="shared" si="154"/>
        <v>403</v>
      </c>
      <c r="L422" s="891" t="str">
        <f t="shared" si="155"/>
        <v>January</v>
      </c>
      <c r="M422" s="888">
        <f t="shared" si="159"/>
        <v>2059</v>
      </c>
      <c r="N422" s="883">
        <f t="shared" si="156"/>
        <v>0</v>
      </c>
      <c r="O422" s="883">
        <f t="shared" si="145"/>
        <v>0</v>
      </c>
      <c r="P422" s="1100"/>
      <c r="Q422" s="883">
        <f t="shared" si="146"/>
        <v>0</v>
      </c>
      <c r="R422" s="884">
        <f t="shared" si="147"/>
        <v>0</v>
      </c>
      <c r="S422" s="884">
        <f>IF(AND($AS$39="Early Payoff",J422&gt;=$S$13),0,IF($J422&lt;=$S$6,SUM($Q$20:$Q422),0))</f>
        <v>0</v>
      </c>
      <c r="T422" s="884">
        <f>IF(AND($AS$39="Early Payoff",J422&gt;=$S$13),0,IF($J422&lt;=$S$6,SUM($R$20:$R422),0))</f>
        <v>0</v>
      </c>
      <c r="U422" s="885">
        <f t="shared" si="152"/>
        <v>0</v>
      </c>
      <c r="V422" s="1110">
        <f t="shared" si="148"/>
        <v>0</v>
      </c>
    </row>
    <row r="423" spans="1:50" ht="13.5" x14ac:dyDescent="0.25">
      <c r="B423" s="1192" t="e">
        <f t="shared" si="157"/>
        <v>#N/A</v>
      </c>
      <c r="C423" s="732">
        <f t="shared" si="149"/>
        <v>28</v>
      </c>
      <c r="D423" s="35">
        <f t="shared" si="150"/>
        <v>2</v>
      </c>
      <c r="E423" s="889">
        <f t="shared" si="143"/>
        <v>58134</v>
      </c>
      <c r="F423" s="822">
        <f t="shared" si="153"/>
        <v>2</v>
      </c>
      <c r="G423" s="500">
        <f t="shared" si="144"/>
        <v>28</v>
      </c>
      <c r="H423" s="126">
        <f t="shared" si="151"/>
        <v>0</v>
      </c>
      <c r="I423" s="1098">
        <f t="shared" si="160"/>
        <v>0</v>
      </c>
      <c r="J423" s="887">
        <f t="shared" si="158"/>
        <v>404</v>
      </c>
      <c r="K423" s="1099">
        <f t="shared" si="154"/>
        <v>404</v>
      </c>
      <c r="L423" s="891" t="str">
        <f t="shared" si="155"/>
        <v>February</v>
      </c>
      <c r="M423" s="888">
        <f t="shared" si="159"/>
        <v>2059</v>
      </c>
      <c r="N423" s="883">
        <f t="shared" si="156"/>
        <v>0</v>
      </c>
      <c r="O423" s="883">
        <f t="shared" si="145"/>
        <v>0</v>
      </c>
      <c r="P423" s="1100"/>
      <c r="Q423" s="883">
        <f t="shared" si="146"/>
        <v>0</v>
      </c>
      <c r="R423" s="884">
        <f t="shared" si="147"/>
        <v>0</v>
      </c>
      <c r="S423" s="884">
        <f>IF(AND($AS$39="Early Payoff",J423&gt;=$S$13),0,IF($J423&lt;=$S$6,SUM($Q$20:$Q423),0))</f>
        <v>0</v>
      </c>
      <c r="T423" s="884">
        <f>IF(AND($AS$39="Early Payoff",J423&gt;=$S$13),0,IF($J423&lt;=$S$6,SUM($R$20:$R423),0))</f>
        <v>0</v>
      </c>
      <c r="U423" s="885">
        <f t="shared" si="152"/>
        <v>0</v>
      </c>
      <c r="V423" s="1110">
        <f t="shared" si="148"/>
        <v>0</v>
      </c>
    </row>
    <row r="424" spans="1:50" ht="13.5" x14ac:dyDescent="0.25">
      <c r="B424" s="1192" t="e">
        <f t="shared" si="157"/>
        <v>#N/A</v>
      </c>
      <c r="C424" s="732">
        <f t="shared" si="149"/>
        <v>31</v>
      </c>
      <c r="D424" s="35">
        <f t="shared" si="150"/>
        <v>3</v>
      </c>
      <c r="E424" s="889">
        <f t="shared" si="143"/>
        <v>58165</v>
      </c>
      <c r="F424" s="822">
        <f t="shared" si="153"/>
        <v>3</v>
      </c>
      <c r="G424" s="500">
        <f t="shared" si="144"/>
        <v>31</v>
      </c>
      <c r="H424" s="126">
        <f t="shared" si="151"/>
        <v>0</v>
      </c>
      <c r="I424" s="1098">
        <f t="shared" si="160"/>
        <v>0</v>
      </c>
      <c r="J424" s="887">
        <f t="shared" si="158"/>
        <v>405</v>
      </c>
      <c r="K424" s="1099">
        <f t="shared" si="154"/>
        <v>405</v>
      </c>
      <c r="L424" s="891" t="str">
        <f t="shared" si="155"/>
        <v>March</v>
      </c>
      <c r="M424" s="888">
        <f t="shared" si="159"/>
        <v>2059</v>
      </c>
      <c r="N424" s="883">
        <f t="shared" si="156"/>
        <v>0</v>
      </c>
      <c r="O424" s="883">
        <f t="shared" si="145"/>
        <v>0</v>
      </c>
      <c r="P424" s="1100"/>
      <c r="Q424" s="883">
        <f t="shared" si="146"/>
        <v>0</v>
      </c>
      <c r="R424" s="884">
        <f t="shared" si="147"/>
        <v>0</v>
      </c>
      <c r="S424" s="884">
        <f>IF(AND($AS$39="Early Payoff",J424&gt;=$S$13),0,IF($J424&lt;=$S$6,SUM($Q$20:$Q424),0))</f>
        <v>0</v>
      </c>
      <c r="T424" s="884">
        <f>IF(AND($AS$39="Early Payoff",J424&gt;=$S$13),0,IF($J424&lt;=$S$6,SUM($R$20:$R424),0))</f>
        <v>0</v>
      </c>
      <c r="U424" s="885">
        <f t="shared" si="152"/>
        <v>0</v>
      </c>
      <c r="V424" s="1110">
        <f t="shared" si="148"/>
        <v>0</v>
      </c>
    </row>
    <row r="425" spans="1:50" ht="13.5" x14ac:dyDescent="0.25">
      <c r="B425" s="1192" t="e">
        <f t="shared" si="157"/>
        <v>#N/A</v>
      </c>
      <c r="C425" s="732">
        <f t="shared" si="149"/>
        <v>30</v>
      </c>
      <c r="D425" s="35">
        <f t="shared" si="150"/>
        <v>4</v>
      </c>
      <c r="E425" s="889">
        <f t="shared" si="143"/>
        <v>58195</v>
      </c>
      <c r="F425" s="822">
        <f t="shared" si="153"/>
        <v>4</v>
      </c>
      <c r="G425" s="500">
        <f t="shared" si="144"/>
        <v>30</v>
      </c>
      <c r="H425" s="126">
        <f t="shared" si="151"/>
        <v>0</v>
      </c>
      <c r="I425" s="1098">
        <f t="shared" si="160"/>
        <v>0</v>
      </c>
      <c r="J425" s="887">
        <f t="shared" si="158"/>
        <v>406</v>
      </c>
      <c r="K425" s="1099">
        <f t="shared" si="154"/>
        <v>406</v>
      </c>
      <c r="L425" s="891" t="str">
        <f t="shared" si="155"/>
        <v>April</v>
      </c>
      <c r="M425" s="888">
        <f t="shared" si="159"/>
        <v>2059</v>
      </c>
      <c r="N425" s="883">
        <f t="shared" si="156"/>
        <v>0</v>
      </c>
      <c r="O425" s="883">
        <f t="shared" si="145"/>
        <v>0</v>
      </c>
      <c r="P425" s="1100"/>
      <c r="Q425" s="883">
        <f t="shared" si="146"/>
        <v>0</v>
      </c>
      <c r="R425" s="884">
        <f t="shared" si="147"/>
        <v>0</v>
      </c>
      <c r="S425" s="884">
        <f>IF(AND($AS$39="Early Payoff",J425&gt;=$S$13),0,IF($J425&lt;=$S$6,SUM($Q$20:$Q425),0))</f>
        <v>0</v>
      </c>
      <c r="T425" s="884">
        <f>IF(AND($AS$39="Early Payoff",J425&gt;=$S$13),0,IF($J425&lt;=$S$6,SUM($R$20:$R425),0))</f>
        <v>0</v>
      </c>
      <c r="U425" s="885">
        <f t="shared" si="152"/>
        <v>0</v>
      </c>
      <c r="V425" s="1110">
        <f t="shared" si="148"/>
        <v>0</v>
      </c>
    </row>
    <row r="426" spans="1:50" ht="13.5" x14ac:dyDescent="0.25">
      <c r="B426" s="1192" t="e">
        <f t="shared" si="157"/>
        <v>#N/A</v>
      </c>
      <c r="C426" s="732">
        <f t="shared" si="149"/>
        <v>31</v>
      </c>
      <c r="D426" s="35">
        <f t="shared" si="150"/>
        <v>5</v>
      </c>
      <c r="E426" s="889">
        <f t="shared" si="143"/>
        <v>58226</v>
      </c>
      <c r="F426" s="822">
        <f t="shared" si="153"/>
        <v>5</v>
      </c>
      <c r="G426" s="500">
        <f t="shared" si="144"/>
        <v>31</v>
      </c>
      <c r="H426" s="126">
        <f t="shared" si="151"/>
        <v>0</v>
      </c>
      <c r="I426" s="1098">
        <f t="shared" si="160"/>
        <v>0</v>
      </c>
      <c r="J426" s="887">
        <f t="shared" si="158"/>
        <v>407</v>
      </c>
      <c r="K426" s="1099">
        <f t="shared" si="154"/>
        <v>407</v>
      </c>
      <c r="L426" s="891" t="str">
        <f t="shared" si="155"/>
        <v>May</v>
      </c>
      <c r="M426" s="888">
        <f t="shared" si="159"/>
        <v>2059</v>
      </c>
      <c r="N426" s="883">
        <f t="shared" si="156"/>
        <v>0</v>
      </c>
      <c r="O426" s="883">
        <f t="shared" si="145"/>
        <v>0</v>
      </c>
      <c r="P426" s="1100"/>
      <c r="Q426" s="883">
        <f t="shared" si="146"/>
        <v>0</v>
      </c>
      <c r="R426" s="884">
        <f t="shared" si="147"/>
        <v>0</v>
      </c>
      <c r="S426" s="884">
        <f>IF(AND($AS$39="Early Payoff",J426&gt;=$S$13),0,IF($J426&lt;=$S$6,SUM($Q$20:$Q426),0))</f>
        <v>0</v>
      </c>
      <c r="T426" s="884">
        <f>IF(AND($AS$39="Early Payoff",J426&gt;=$S$13),0,IF($J426&lt;=$S$6,SUM($R$20:$R426),0))</f>
        <v>0</v>
      </c>
      <c r="U426" s="885">
        <f t="shared" si="152"/>
        <v>0</v>
      </c>
      <c r="V426" s="1110">
        <f t="shared" si="148"/>
        <v>0</v>
      </c>
    </row>
    <row r="427" spans="1:50" ht="13.5" x14ac:dyDescent="0.25">
      <c r="B427" s="1192" t="e">
        <f t="shared" si="157"/>
        <v>#N/A</v>
      </c>
      <c r="C427" s="732">
        <f t="shared" si="149"/>
        <v>30</v>
      </c>
      <c r="D427" s="35">
        <f t="shared" si="150"/>
        <v>6</v>
      </c>
      <c r="E427" s="889">
        <f t="shared" si="143"/>
        <v>58256</v>
      </c>
      <c r="F427" s="822">
        <f t="shared" si="153"/>
        <v>6</v>
      </c>
      <c r="G427" s="500">
        <f t="shared" si="144"/>
        <v>30</v>
      </c>
      <c r="H427" s="126">
        <f t="shared" si="151"/>
        <v>0</v>
      </c>
      <c r="I427" s="1098">
        <f t="shared" si="160"/>
        <v>0</v>
      </c>
      <c r="J427" s="887">
        <f t="shared" si="158"/>
        <v>408</v>
      </c>
      <c r="K427" s="1099">
        <f t="shared" si="154"/>
        <v>408</v>
      </c>
      <c r="L427" s="891" t="str">
        <f t="shared" si="155"/>
        <v>June</v>
      </c>
      <c r="M427" s="888">
        <f t="shared" si="159"/>
        <v>2059</v>
      </c>
      <c r="N427" s="883">
        <f t="shared" si="156"/>
        <v>0</v>
      </c>
      <c r="O427" s="883">
        <f t="shared" si="145"/>
        <v>0</v>
      </c>
      <c r="P427" s="1100"/>
      <c r="Q427" s="883">
        <f t="shared" si="146"/>
        <v>0</v>
      </c>
      <c r="R427" s="884">
        <f t="shared" si="147"/>
        <v>0</v>
      </c>
      <c r="S427" s="884">
        <f>IF(AND($AS$39="Early Payoff",J427&gt;=$S$13),0,IF($J427&lt;=$S$6,SUM($Q$20:$Q427),0))</f>
        <v>0</v>
      </c>
      <c r="T427" s="884">
        <f>IF(AND($AS$39="Early Payoff",J427&gt;=$S$13),0,IF($J427&lt;=$S$6,SUM($R$20:$R427),0))</f>
        <v>0</v>
      </c>
      <c r="U427" s="885">
        <f t="shared" si="152"/>
        <v>0</v>
      </c>
      <c r="V427" s="1110">
        <f t="shared" si="148"/>
        <v>0</v>
      </c>
    </row>
    <row r="428" spans="1:50" ht="13.5" x14ac:dyDescent="0.25">
      <c r="B428" s="1192" t="e">
        <f t="shared" si="157"/>
        <v>#N/A</v>
      </c>
      <c r="C428" s="732">
        <f t="shared" si="149"/>
        <v>31</v>
      </c>
      <c r="D428" s="35">
        <f t="shared" si="150"/>
        <v>7</v>
      </c>
      <c r="E428" s="889">
        <f t="shared" si="143"/>
        <v>58287</v>
      </c>
      <c r="F428" s="822">
        <f t="shared" si="153"/>
        <v>7</v>
      </c>
      <c r="G428" s="500">
        <f t="shared" si="144"/>
        <v>31</v>
      </c>
      <c r="H428" s="126">
        <f t="shared" si="151"/>
        <v>0</v>
      </c>
      <c r="I428" s="1098">
        <f t="shared" si="160"/>
        <v>0</v>
      </c>
      <c r="J428" s="887">
        <f t="shared" si="158"/>
        <v>409</v>
      </c>
      <c r="K428" s="1099">
        <f t="shared" si="154"/>
        <v>409</v>
      </c>
      <c r="L428" s="891" t="str">
        <f t="shared" si="155"/>
        <v>July</v>
      </c>
      <c r="M428" s="888">
        <f t="shared" si="159"/>
        <v>2059</v>
      </c>
      <c r="N428" s="883">
        <f t="shared" si="156"/>
        <v>0</v>
      </c>
      <c r="O428" s="883">
        <f t="shared" si="145"/>
        <v>0</v>
      </c>
      <c r="P428" s="1100"/>
      <c r="Q428" s="883">
        <f t="shared" si="146"/>
        <v>0</v>
      </c>
      <c r="R428" s="884">
        <f t="shared" si="147"/>
        <v>0</v>
      </c>
      <c r="S428" s="884">
        <f>IF(AND($AS$39="Early Payoff",J428&gt;=$S$13),0,IF($J428&lt;=$S$6,SUM($Q$20:$Q428),0))</f>
        <v>0</v>
      </c>
      <c r="T428" s="884">
        <f>IF(AND($AS$39="Early Payoff",J428&gt;=$S$13),0,IF($J428&lt;=$S$6,SUM($R$20:$R428),0))</f>
        <v>0</v>
      </c>
      <c r="U428" s="885">
        <f t="shared" si="152"/>
        <v>0</v>
      </c>
      <c r="V428" s="1110">
        <f t="shared" si="148"/>
        <v>0</v>
      </c>
    </row>
    <row r="429" spans="1:50" ht="13.5" x14ac:dyDescent="0.25">
      <c r="B429" s="1192" t="e">
        <f t="shared" si="157"/>
        <v>#N/A</v>
      </c>
      <c r="C429" s="732">
        <f t="shared" si="149"/>
        <v>31</v>
      </c>
      <c r="D429" s="35">
        <f t="shared" si="150"/>
        <v>8</v>
      </c>
      <c r="E429" s="889">
        <f t="shared" si="143"/>
        <v>58318</v>
      </c>
      <c r="F429" s="822">
        <f t="shared" si="153"/>
        <v>8</v>
      </c>
      <c r="G429" s="500">
        <f t="shared" si="144"/>
        <v>31</v>
      </c>
      <c r="H429" s="126">
        <f t="shared" si="151"/>
        <v>0</v>
      </c>
      <c r="I429" s="1098">
        <f t="shared" si="160"/>
        <v>0</v>
      </c>
      <c r="J429" s="887">
        <f t="shared" si="158"/>
        <v>410</v>
      </c>
      <c r="K429" s="1099">
        <f t="shared" si="154"/>
        <v>410</v>
      </c>
      <c r="L429" s="891" t="str">
        <f t="shared" si="155"/>
        <v>August</v>
      </c>
      <c r="M429" s="888">
        <f t="shared" si="159"/>
        <v>2059</v>
      </c>
      <c r="N429" s="883">
        <f t="shared" si="156"/>
        <v>0</v>
      </c>
      <c r="O429" s="883">
        <f t="shared" si="145"/>
        <v>0</v>
      </c>
      <c r="P429" s="1100"/>
      <c r="Q429" s="883">
        <f t="shared" si="146"/>
        <v>0</v>
      </c>
      <c r="R429" s="884">
        <f t="shared" si="147"/>
        <v>0</v>
      </c>
      <c r="S429" s="884">
        <f>IF(AND($AS$39="Early Payoff",J429&gt;=$S$13),0,IF($J429&lt;=$S$6,SUM($Q$20:$Q429),0))</f>
        <v>0</v>
      </c>
      <c r="T429" s="884">
        <f>IF(AND($AS$39="Early Payoff",J429&gt;=$S$13),0,IF($J429&lt;=$S$6,SUM($R$20:$R429),0))</f>
        <v>0</v>
      </c>
      <c r="U429" s="885">
        <f t="shared" si="152"/>
        <v>0</v>
      </c>
      <c r="V429" s="1110">
        <f t="shared" si="148"/>
        <v>0</v>
      </c>
    </row>
    <row r="430" spans="1:50" ht="13.5" x14ac:dyDescent="0.25">
      <c r="B430" s="1192" t="e">
        <f t="shared" si="157"/>
        <v>#N/A</v>
      </c>
      <c r="C430" s="732">
        <f t="shared" si="149"/>
        <v>30</v>
      </c>
      <c r="D430" s="35">
        <f t="shared" si="150"/>
        <v>9</v>
      </c>
      <c r="E430" s="889">
        <f t="shared" si="143"/>
        <v>58348</v>
      </c>
      <c r="F430" s="822">
        <f t="shared" si="153"/>
        <v>9</v>
      </c>
      <c r="G430" s="500">
        <f t="shared" si="144"/>
        <v>30</v>
      </c>
      <c r="H430" s="126">
        <f t="shared" si="151"/>
        <v>0</v>
      </c>
      <c r="I430" s="1098">
        <f t="shared" si="160"/>
        <v>0</v>
      </c>
      <c r="J430" s="887">
        <f t="shared" si="158"/>
        <v>411</v>
      </c>
      <c r="K430" s="1099">
        <f t="shared" si="154"/>
        <v>411</v>
      </c>
      <c r="L430" s="891" t="str">
        <f t="shared" si="155"/>
        <v>September</v>
      </c>
      <c r="M430" s="888">
        <f t="shared" si="159"/>
        <v>2059</v>
      </c>
      <c r="N430" s="883">
        <f t="shared" si="156"/>
        <v>0</v>
      </c>
      <c r="O430" s="883">
        <f t="shared" si="145"/>
        <v>0</v>
      </c>
      <c r="P430" s="1100"/>
      <c r="Q430" s="883">
        <f t="shared" si="146"/>
        <v>0</v>
      </c>
      <c r="R430" s="884">
        <f t="shared" si="147"/>
        <v>0</v>
      </c>
      <c r="S430" s="884">
        <f>IF(AND($AS$39="Early Payoff",J430&gt;=$S$13),0,IF($J430&lt;=$S$6,SUM($Q$20:$Q430),0))</f>
        <v>0</v>
      </c>
      <c r="T430" s="884">
        <f>IF(AND($AS$39="Early Payoff",J430&gt;=$S$13),0,IF($J430&lt;=$S$6,SUM($R$20:$R430),0))</f>
        <v>0</v>
      </c>
      <c r="U430" s="885">
        <f t="shared" si="152"/>
        <v>0</v>
      </c>
      <c r="V430" s="1110">
        <f t="shared" si="148"/>
        <v>0</v>
      </c>
    </row>
    <row r="431" spans="1:50" ht="13.5" x14ac:dyDescent="0.25">
      <c r="B431" s="1192" t="e">
        <f t="shared" si="157"/>
        <v>#N/A</v>
      </c>
      <c r="C431" s="732">
        <f t="shared" si="149"/>
        <v>31</v>
      </c>
      <c r="D431" s="35">
        <f t="shared" si="150"/>
        <v>10</v>
      </c>
      <c r="E431" s="889">
        <f t="shared" si="143"/>
        <v>58379</v>
      </c>
      <c r="F431" s="822">
        <f t="shared" si="153"/>
        <v>10</v>
      </c>
      <c r="G431" s="500">
        <f t="shared" si="144"/>
        <v>31</v>
      </c>
      <c r="H431" s="126">
        <f t="shared" si="151"/>
        <v>0</v>
      </c>
      <c r="I431" s="1098">
        <f t="shared" si="160"/>
        <v>0</v>
      </c>
      <c r="J431" s="887">
        <f t="shared" si="158"/>
        <v>412</v>
      </c>
      <c r="K431" s="1099">
        <f t="shared" si="154"/>
        <v>412</v>
      </c>
      <c r="L431" s="891" t="str">
        <f t="shared" si="155"/>
        <v>October</v>
      </c>
      <c r="M431" s="888">
        <f t="shared" si="159"/>
        <v>2059</v>
      </c>
      <c r="N431" s="883">
        <f t="shared" si="156"/>
        <v>0</v>
      </c>
      <c r="O431" s="883">
        <f t="shared" si="145"/>
        <v>0</v>
      </c>
      <c r="P431" s="1100"/>
      <c r="Q431" s="883">
        <f t="shared" si="146"/>
        <v>0</v>
      </c>
      <c r="R431" s="884">
        <f t="shared" si="147"/>
        <v>0</v>
      </c>
      <c r="S431" s="884">
        <f>IF(AND($AS$39="Early Payoff",J431&gt;=$S$13),0,IF($J431&lt;=$S$6,SUM($Q$20:$Q431),0))</f>
        <v>0</v>
      </c>
      <c r="T431" s="884">
        <f>IF(AND($AS$39="Early Payoff",J431&gt;=$S$13),0,IF($J431&lt;=$S$6,SUM($R$20:$R431),0))</f>
        <v>0</v>
      </c>
      <c r="U431" s="885">
        <f t="shared" si="152"/>
        <v>0</v>
      </c>
      <c r="V431" s="1110">
        <f t="shared" si="148"/>
        <v>0</v>
      </c>
    </row>
    <row r="432" spans="1:50" ht="13.5" x14ac:dyDescent="0.25">
      <c r="B432" s="1192" t="e">
        <f t="shared" si="157"/>
        <v>#N/A</v>
      </c>
      <c r="C432" s="732">
        <f t="shared" si="149"/>
        <v>30</v>
      </c>
      <c r="D432" s="35">
        <f t="shared" si="150"/>
        <v>11</v>
      </c>
      <c r="E432" s="889">
        <f t="shared" si="143"/>
        <v>58409</v>
      </c>
      <c r="F432" s="822">
        <f t="shared" si="153"/>
        <v>11</v>
      </c>
      <c r="G432" s="500">
        <f t="shared" si="144"/>
        <v>30</v>
      </c>
      <c r="H432" s="126">
        <f t="shared" si="151"/>
        <v>0</v>
      </c>
      <c r="I432" s="1098">
        <f t="shared" si="160"/>
        <v>0</v>
      </c>
      <c r="J432" s="887">
        <f t="shared" si="158"/>
        <v>413</v>
      </c>
      <c r="K432" s="1099">
        <f t="shared" si="154"/>
        <v>413</v>
      </c>
      <c r="L432" s="891" t="str">
        <f t="shared" si="155"/>
        <v>November</v>
      </c>
      <c r="M432" s="888">
        <f t="shared" si="159"/>
        <v>2059</v>
      </c>
      <c r="N432" s="883">
        <f t="shared" si="156"/>
        <v>0</v>
      </c>
      <c r="O432" s="883">
        <f t="shared" si="145"/>
        <v>0</v>
      </c>
      <c r="P432" s="1100"/>
      <c r="Q432" s="883">
        <f t="shared" si="146"/>
        <v>0</v>
      </c>
      <c r="R432" s="884">
        <f t="shared" si="147"/>
        <v>0</v>
      </c>
      <c r="S432" s="884">
        <f>IF(AND($AS$39="Early Payoff",J432&gt;=$S$13),0,IF($J432&lt;=$S$6,SUM($Q$20:$Q432),0))</f>
        <v>0</v>
      </c>
      <c r="T432" s="884">
        <f>IF(AND($AS$39="Early Payoff",J432&gt;=$S$13),0,IF($J432&lt;=$S$6,SUM($R$20:$R432),0))</f>
        <v>0</v>
      </c>
      <c r="U432" s="885">
        <f t="shared" si="152"/>
        <v>0</v>
      </c>
      <c r="V432" s="1110">
        <f t="shared" si="148"/>
        <v>0</v>
      </c>
    </row>
    <row r="433" spans="2:22" ht="13.5" x14ac:dyDescent="0.25">
      <c r="B433" s="1192" t="e">
        <f t="shared" si="157"/>
        <v>#N/A</v>
      </c>
      <c r="C433" s="732">
        <f t="shared" si="149"/>
        <v>31</v>
      </c>
      <c r="D433" s="35">
        <f t="shared" si="150"/>
        <v>12</v>
      </c>
      <c r="E433" s="889">
        <f t="shared" si="143"/>
        <v>58440</v>
      </c>
      <c r="F433" s="822">
        <f t="shared" si="153"/>
        <v>12</v>
      </c>
      <c r="G433" s="500">
        <f t="shared" si="144"/>
        <v>31</v>
      </c>
      <c r="H433" s="126">
        <f t="shared" si="151"/>
        <v>1</v>
      </c>
      <c r="I433" s="1098">
        <f t="shared" si="160"/>
        <v>0</v>
      </c>
      <c r="J433" s="887">
        <f t="shared" si="158"/>
        <v>414</v>
      </c>
      <c r="K433" s="1099">
        <f t="shared" si="154"/>
        <v>414</v>
      </c>
      <c r="L433" s="891" t="str">
        <f t="shared" si="155"/>
        <v>December</v>
      </c>
      <c r="M433" s="888">
        <f t="shared" si="159"/>
        <v>2059</v>
      </c>
      <c r="N433" s="883">
        <f t="shared" si="156"/>
        <v>0</v>
      </c>
      <c r="O433" s="883">
        <f t="shared" si="145"/>
        <v>0</v>
      </c>
      <c r="P433" s="1100"/>
      <c r="Q433" s="883">
        <f t="shared" si="146"/>
        <v>0</v>
      </c>
      <c r="R433" s="884">
        <f t="shared" si="147"/>
        <v>0</v>
      </c>
      <c r="S433" s="884">
        <f>IF(AND($AS$39="Early Payoff",J433&gt;=$S$13),0,IF($J433&lt;=$S$6,SUM($Q$20:$Q433),0))</f>
        <v>0</v>
      </c>
      <c r="T433" s="884">
        <f>IF(AND($AS$39="Early Payoff",J433&gt;=$S$13),0,IF($J433&lt;=$S$6,SUM($R$20:$R433),0))</f>
        <v>0</v>
      </c>
      <c r="U433" s="885">
        <f t="shared" si="152"/>
        <v>0</v>
      </c>
      <c r="V433" s="1110">
        <f t="shared" si="148"/>
        <v>0</v>
      </c>
    </row>
    <row r="434" spans="2:22" ht="13.5" x14ac:dyDescent="0.25">
      <c r="B434" s="1192" t="e">
        <f t="shared" si="157"/>
        <v>#N/A</v>
      </c>
      <c r="C434" s="732">
        <f t="shared" si="149"/>
        <v>31</v>
      </c>
      <c r="D434" s="35">
        <f t="shared" si="150"/>
        <v>1</v>
      </c>
      <c r="E434" s="889">
        <f t="shared" si="143"/>
        <v>58471</v>
      </c>
      <c r="F434" s="822">
        <f t="shared" si="153"/>
        <v>1</v>
      </c>
      <c r="G434" s="500">
        <f t="shared" si="144"/>
        <v>31</v>
      </c>
      <c r="H434" s="126">
        <f t="shared" si="151"/>
        <v>0</v>
      </c>
      <c r="I434" s="1098">
        <f t="shared" si="160"/>
        <v>0</v>
      </c>
      <c r="J434" s="887">
        <f t="shared" si="158"/>
        <v>415</v>
      </c>
      <c r="K434" s="1099">
        <f t="shared" si="154"/>
        <v>415</v>
      </c>
      <c r="L434" s="891" t="str">
        <f t="shared" si="155"/>
        <v>January</v>
      </c>
      <c r="M434" s="888">
        <f t="shared" si="159"/>
        <v>2060</v>
      </c>
      <c r="N434" s="883">
        <f t="shared" si="156"/>
        <v>0</v>
      </c>
      <c r="O434" s="883">
        <f t="shared" si="145"/>
        <v>0</v>
      </c>
      <c r="P434" s="1100"/>
      <c r="Q434" s="883">
        <f t="shared" si="146"/>
        <v>0</v>
      </c>
      <c r="R434" s="884">
        <f t="shared" si="147"/>
        <v>0</v>
      </c>
      <c r="S434" s="884">
        <f>IF(AND($AS$39="Early Payoff",J434&gt;=$S$13),0,IF($J434&lt;=$S$6,SUM($Q$20:$Q434),0))</f>
        <v>0</v>
      </c>
      <c r="T434" s="884">
        <f>IF(AND($AS$39="Early Payoff",J434&gt;=$S$13),0,IF($J434&lt;=$S$6,SUM($R$20:$R434),0))</f>
        <v>0</v>
      </c>
      <c r="U434" s="885">
        <f t="shared" si="152"/>
        <v>0</v>
      </c>
      <c r="V434" s="1110">
        <f t="shared" si="148"/>
        <v>0</v>
      </c>
    </row>
    <row r="435" spans="2:22" ht="13.5" x14ac:dyDescent="0.25">
      <c r="B435" s="1192" t="e">
        <f t="shared" si="157"/>
        <v>#N/A</v>
      </c>
      <c r="C435" s="732">
        <f t="shared" si="149"/>
        <v>29</v>
      </c>
      <c r="D435" s="35">
        <f t="shared" si="150"/>
        <v>2</v>
      </c>
      <c r="E435" s="889">
        <f t="shared" si="143"/>
        <v>58500</v>
      </c>
      <c r="F435" s="822">
        <f t="shared" si="153"/>
        <v>2</v>
      </c>
      <c r="G435" s="500">
        <f t="shared" si="144"/>
        <v>29</v>
      </c>
      <c r="H435" s="126">
        <f t="shared" si="151"/>
        <v>0</v>
      </c>
      <c r="I435" s="1098">
        <f t="shared" si="160"/>
        <v>0</v>
      </c>
      <c r="J435" s="887">
        <f t="shared" si="158"/>
        <v>416</v>
      </c>
      <c r="K435" s="1099">
        <f t="shared" si="154"/>
        <v>416</v>
      </c>
      <c r="L435" s="891" t="str">
        <f t="shared" si="155"/>
        <v>February</v>
      </c>
      <c r="M435" s="888">
        <f t="shared" si="159"/>
        <v>2060</v>
      </c>
      <c r="N435" s="883">
        <f t="shared" si="156"/>
        <v>0</v>
      </c>
      <c r="O435" s="883">
        <f t="shared" si="145"/>
        <v>0</v>
      </c>
      <c r="P435" s="1100"/>
      <c r="Q435" s="883">
        <f t="shared" si="146"/>
        <v>0</v>
      </c>
      <c r="R435" s="884">
        <f t="shared" si="147"/>
        <v>0</v>
      </c>
      <c r="S435" s="884">
        <f>IF(AND($AS$39="Early Payoff",J435&gt;=$S$13),0,IF($J435&lt;=$S$6,SUM($Q$20:$Q435),0))</f>
        <v>0</v>
      </c>
      <c r="T435" s="884">
        <f>IF(AND($AS$39="Early Payoff",J435&gt;=$S$13),0,IF($J435&lt;=$S$6,SUM($R$20:$R435),0))</f>
        <v>0</v>
      </c>
      <c r="U435" s="885">
        <f t="shared" si="152"/>
        <v>0</v>
      </c>
      <c r="V435" s="1110">
        <f t="shared" si="148"/>
        <v>0</v>
      </c>
    </row>
    <row r="436" spans="2:22" ht="13.5" x14ac:dyDescent="0.25">
      <c r="B436" s="1192" t="e">
        <f t="shared" si="157"/>
        <v>#N/A</v>
      </c>
      <c r="C436" s="732">
        <f t="shared" si="149"/>
        <v>31</v>
      </c>
      <c r="D436" s="35">
        <f t="shared" si="150"/>
        <v>3</v>
      </c>
      <c r="E436" s="889">
        <f t="shared" si="143"/>
        <v>58531</v>
      </c>
      <c r="F436" s="822">
        <f t="shared" si="153"/>
        <v>3</v>
      </c>
      <c r="G436" s="500">
        <f t="shared" si="144"/>
        <v>31</v>
      </c>
      <c r="H436" s="126">
        <f t="shared" si="151"/>
        <v>0</v>
      </c>
      <c r="I436" s="1098">
        <f t="shared" si="160"/>
        <v>0</v>
      </c>
      <c r="J436" s="887">
        <f t="shared" si="158"/>
        <v>417</v>
      </c>
      <c r="K436" s="1099">
        <f t="shared" si="154"/>
        <v>417</v>
      </c>
      <c r="L436" s="891" t="str">
        <f t="shared" si="155"/>
        <v>March</v>
      </c>
      <c r="M436" s="888">
        <f t="shared" si="159"/>
        <v>2060</v>
      </c>
      <c r="N436" s="883">
        <f t="shared" si="156"/>
        <v>0</v>
      </c>
      <c r="O436" s="883">
        <f t="shared" si="145"/>
        <v>0</v>
      </c>
      <c r="P436" s="1100"/>
      <c r="Q436" s="883">
        <f t="shared" si="146"/>
        <v>0</v>
      </c>
      <c r="R436" s="884">
        <f t="shared" si="147"/>
        <v>0</v>
      </c>
      <c r="S436" s="884">
        <f>IF(AND($AS$39="Early Payoff",J436&gt;=$S$13),0,IF($J436&lt;=$S$6,SUM($Q$20:$Q436),0))</f>
        <v>0</v>
      </c>
      <c r="T436" s="884">
        <f>IF(AND($AS$39="Early Payoff",J436&gt;=$S$13),0,IF($J436&lt;=$S$6,SUM($R$20:$R436),0))</f>
        <v>0</v>
      </c>
      <c r="U436" s="885">
        <f t="shared" si="152"/>
        <v>0</v>
      </c>
      <c r="V436" s="1110">
        <f t="shared" si="148"/>
        <v>0</v>
      </c>
    </row>
    <row r="437" spans="2:22" ht="13.5" x14ac:dyDescent="0.25">
      <c r="B437" s="1192" t="e">
        <f t="shared" si="157"/>
        <v>#N/A</v>
      </c>
      <c r="C437" s="732">
        <f t="shared" si="149"/>
        <v>30</v>
      </c>
      <c r="D437" s="35">
        <f t="shared" si="150"/>
        <v>4</v>
      </c>
      <c r="E437" s="889">
        <f t="shared" si="143"/>
        <v>58561</v>
      </c>
      <c r="F437" s="822">
        <f t="shared" si="153"/>
        <v>4</v>
      </c>
      <c r="G437" s="500">
        <f t="shared" si="144"/>
        <v>30</v>
      </c>
      <c r="H437" s="126">
        <f t="shared" si="151"/>
        <v>0</v>
      </c>
      <c r="I437" s="1098">
        <f t="shared" si="160"/>
        <v>0</v>
      </c>
      <c r="J437" s="887">
        <f t="shared" si="158"/>
        <v>418</v>
      </c>
      <c r="K437" s="1099">
        <f t="shared" si="154"/>
        <v>418</v>
      </c>
      <c r="L437" s="891" t="str">
        <f t="shared" si="155"/>
        <v>April</v>
      </c>
      <c r="M437" s="888">
        <f t="shared" si="159"/>
        <v>2060</v>
      </c>
      <c r="N437" s="883">
        <f t="shared" si="156"/>
        <v>0</v>
      </c>
      <c r="O437" s="883">
        <f t="shared" si="145"/>
        <v>0</v>
      </c>
      <c r="P437" s="1100"/>
      <c r="Q437" s="883">
        <f t="shared" si="146"/>
        <v>0</v>
      </c>
      <c r="R437" s="884">
        <f t="shared" si="147"/>
        <v>0</v>
      </c>
      <c r="S437" s="884">
        <f>IF(AND($AS$39="Early Payoff",J437&gt;=$S$13),0,IF($J437&lt;=$S$6,SUM($Q$20:$Q437),0))</f>
        <v>0</v>
      </c>
      <c r="T437" s="884">
        <f>IF(AND($AS$39="Early Payoff",J437&gt;=$S$13),0,IF($J437&lt;=$S$6,SUM($R$20:$R437),0))</f>
        <v>0</v>
      </c>
      <c r="U437" s="885">
        <f t="shared" si="152"/>
        <v>0</v>
      </c>
      <c r="V437" s="1110">
        <f t="shared" si="148"/>
        <v>0</v>
      </c>
    </row>
    <row r="438" spans="2:22" ht="13.5" x14ac:dyDescent="0.25">
      <c r="B438" s="1192" t="e">
        <f t="shared" si="157"/>
        <v>#N/A</v>
      </c>
      <c r="C438" s="732">
        <f t="shared" si="149"/>
        <v>31</v>
      </c>
      <c r="D438" s="35">
        <f t="shared" si="150"/>
        <v>5</v>
      </c>
      <c r="E438" s="889">
        <f t="shared" si="143"/>
        <v>58592</v>
      </c>
      <c r="F438" s="822">
        <f t="shared" si="153"/>
        <v>5</v>
      </c>
      <c r="G438" s="500">
        <f t="shared" si="144"/>
        <v>31</v>
      </c>
      <c r="H438" s="126">
        <f t="shared" si="151"/>
        <v>0</v>
      </c>
      <c r="I438" s="1098">
        <f t="shared" si="160"/>
        <v>0</v>
      </c>
      <c r="J438" s="887">
        <f t="shared" si="158"/>
        <v>419</v>
      </c>
      <c r="K438" s="1099">
        <f t="shared" si="154"/>
        <v>419</v>
      </c>
      <c r="L438" s="891" t="str">
        <f t="shared" si="155"/>
        <v>May</v>
      </c>
      <c r="M438" s="888">
        <f t="shared" si="159"/>
        <v>2060</v>
      </c>
      <c r="N438" s="883">
        <f t="shared" si="156"/>
        <v>0</v>
      </c>
      <c r="O438" s="883">
        <f t="shared" si="145"/>
        <v>0</v>
      </c>
      <c r="P438" s="1100"/>
      <c r="Q438" s="883">
        <f t="shared" si="146"/>
        <v>0</v>
      </c>
      <c r="R438" s="884">
        <f t="shared" si="147"/>
        <v>0</v>
      </c>
      <c r="S438" s="884">
        <f>IF(AND($AS$39="Early Payoff",J438&gt;=$S$13),0,IF($J438&lt;=$S$6,SUM($Q$20:$Q438),0))</f>
        <v>0</v>
      </c>
      <c r="T438" s="884">
        <f>IF(AND($AS$39="Early Payoff",J438&gt;=$S$13),0,IF($J438&lt;=$S$6,SUM($R$20:$R438),0))</f>
        <v>0</v>
      </c>
      <c r="U438" s="885">
        <f t="shared" si="152"/>
        <v>0</v>
      </c>
      <c r="V438" s="1110">
        <f t="shared" si="148"/>
        <v>0</v>
      </c>
    </row>
    <row r="439" spans="2:22" ht="13.5" x14ac:dyDescent="0.25">
      <c r="B439" s="1192" t="e">
        <f t="shared" si="157"/>
        <v>#N/A</v>
      </c>
      <c r="C439" s="732">
        <f t="shared" si="149"/>
        <v>30</v>
      </c>
      <c r="D439" s="35">
        <f t="shared" si="150"/>
        <v>6</v>
      </c>
      <c r="E439" s="889">
        <f t="shared" si="143"/>
        <v>58622</v>
      </c>
      <c r="F439" s="822">
        <f t="shared" si="153"/>
        <v>6</v>
      </c>
      <c r="G439" s="500">
        <f t="shared" si="144"/>
        <v>30</v>
      </c>
      <c r="H439" s="126">
        <f t="shared" si="151"/>
        <v>0</v>
      </c>
      <c r="I439" s="1098">
        <f t="shared" si="160"/>
        <v>0</v>
      </c>
      <c r="J439" s="887">
        <f t="shared" si="158"/>
        <v>420</v>
      </c>
      <c r="K439" s="1099">
        <f t="shared" si="154"/>
        <v>420</v>
      </c>
      <c r="L439" s="891" t="str">
        <f t="shared" si="155"/>
        <v>June</v>
      </c>
      <c r="M439" s="888">
        <f t="shared" si="159"/>
        <v>2060</v>
      </c>
      <c r="N439" s="883">
        <f t="shared" si="156"/>
        <v>0</v>
      </c>
      <c r="O439" s="883">
        <f t="shared" si="145"/>
        <v>0</v>
      </c>
      <c r="P439" s="1100"/>
      <c r="Q439" s="883">
        <f t="shared" si="146"/>
        <v>0</v>
      </c>
      <c r="R439" s="884">
        <f t="shared" si="147"/>
        <v>0</v>
      </c>
      <c r="S439" s="884">
        <f>IF(AND($AS$39="Early Payoff",J439&gt;=$S$13),0,IF($J439&lt;=$S$6,SUM($Q$20:$Q439),0))</f>
        <v>0</v>
      </c>
      <c r="T439" s="884">
        <f>IF(AND($AS$39="Early Payoff",J439&gt;=$S$13),0,IF($J439&lt;=$S$6,SUM($R$20:$R439),0))</f>
        <v>0</v>
      </c>
      <c r="U439" s="885">
        <f t="shared" si="152"/>
        <v>0</v>
      </c>
      <c r="V439" s="1110">
        <f t="shared" si="148"/>
        <v>0</v>
      </c>
    </row>
    <row r="440" spans="2:22" ht="13.5" x14ac:dyDescent="0.25">
      <c r="B440" s="1192" t="e">
        <f t="shared" si="157"/>
        <v>#N/A</v>
      </c>
      <c r="C440" s="732">
        <f t="shared" si="149"/>
        <v>31</v>
      </c>
      <c r="D440" s="35">
        <f t="shared" si="150"/>
        <v>7</v>
      </c>
      <c r="E440" s="889">
        <f t="shared" si="143"/>
        <v>58653</v>
      </c>
      <c r="F440" s="822">
        <f t="shared" si="153"/>
        <v>7</v>
      </c>
      <c r="G440" s="500">
        <f t="shared" si="144"/>
        <v>31</v>
      </c>
      <c r="H440" s="126">
        <f t="shared" si="151"/>
        <v>0</v>
      </c>
      <c r="I440" s="1098">
        <f t="shared" si="160"/>
        <v>0</v>
      </c>
      <c r="J440" s="887">
        <f t="shared" si="158"/>
        <v>421</v>
      </c>
      <c r="K440" s="1099">
        <f t="shared" si="154"/>
        <v>421</v>
      </c>
      <c r="L440" s="891" t="str">
        <f t="shared" si="155"/>
        <v>July</v>
      </c>
      <c r="M440" s="888">
        <f t="shared" si="159"/>
        <v>2060</v>
      </c>
      <c r="N440" s="883">
        <f t="shared" si="156"/>
        <v>0</v>
      </c>
      <c r="O440" s="883">
        <f t="shared" si="145"/>
        <v>0</v>
      </c>
      <c r="P440" s="1100"/>
      <c r="Q440" s="883">
        <f t="shared" si="146"/>
        <v>0</v>
      </c>
      <c r="R440" s="884">
        <f t="shared" si="147"/>
        <v>0</v>
      </c>
      <c r="S440" s="884">
        <f>IF(AND($AS$39="Early Payoff",J440&gt;=$S$13),0,IF($J440&lt;=$S$6,SUM($Q$20:$Q440),0))</f>
        <v>0</v>
      </c>
      <c r="T440" s="884">
        <f>IF(AND($AS$39="Early Payoff",J440&gt;=$S$13),0,IF($J440&lt;=$S$6,SUM($R$20:$R440),0))</f>
        <v>0</v>
      </c>
      <c r="U440" s="885">
        <f t="shared" si="152"/>
        <v>0</v>
      </c>
      <c r="V440" s="1110">
        <f t="shared" si="148"/>
        <v>0</v>
      </c>
    </row>
    <row r="441" spans="2:22" x14ac:dyDescent="0.2">
      <c r="B441" s="1421"/>
      <c r="C441" s="1417"/>
      <c r="D441" s="1417"/>
      <c r="E441" s="1417"/>
      <c r="F441" s="1417"/>
      <c r="G441" s="1417"/>
      <c r="H441" s="1417"/>
      <c r="I441" s="1416"/>
      <c r="J441" s="1416"/>
      <c r="K441" s="1417"/>
      <c r="L441" s="1417"/>
      <c r="M441" s="1417"/>
      <c r="N441" s="1417"/>
      <c r="O441" s="1417"/>
      <c r="P441" s="1417"/>
      <c r="Q441" s="1417"/>
      <c r="R441" s="1417"/>
      <c r="S441" s="1417"/>
      <c r="T441" s="1417"/>
      <c r="U441" s="1418"/>
      <c r="V441" s="1418"/>
    </row>
    <row r="483" spans="1:50" s="22" customFormat="1" x14ac:dyDescent="0.2">
      <c r="A483" s="1"/>
      <c r="B483" s="406"/>
      <c r="I483" s="879"/>
      <c r="J483" s="879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</row>
    <row r="484" spans="1:50" s="22" customFormat="1" x14ac:dyDescent="0.2">
      <c r="A484" s="1"/>
      <c r="B484" s="406"/>
      <c r="I484" s="879"/>
      <c r="J484" s="879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</row>
    <row r="485" spans="1:50" s="22" customFormat="1" x14ac:dyDescent="0.2">
      <c r="A485" s="1"/>
      <c r="B485" s="406"/>
      <c r="I485" s="879"/>
      <c r="J485" s="879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</row>
    <row r="486" spans="1:50" s="22" customFormat="1" x14ac:dyDescent="0.2">
      <c r="A486" s="1"/>
      <c r="B486" s="406"/>
      <c r="I486" s="879"/>
      <c r="J486" s="879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</row>
    <row r="487" spans="1:50" s="22" customFormat="1" x14ac:dyDescent="0.2">
      <c r="A487" s="1"/>
      <c r="B487" s="406"/>
      <c r="I487" s="879"/>
      <c r="J487" s="879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</row>
    <row r="488" spans="1:50" s="22" customFormat="1" x14ac:dyDescent="0.2">
      <c r="A488" s="1"/>
      <c r="B488" s="406"/>
      <c r="I488" s="879"/>
      <c r="J488" s="879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</row>
    <row r="489" spans="1:50" s="22" customFormat="1" x14ac:dyDescent="0.2">
      <c r="A489" s="1"/>
      <c r="B489" s="406"/>
      <c r="I489" s="879"/>
      <c r="J489" s="879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</row>
    <row r="490" spans="1:50" s="22" customFormat="1" x14ac:dyDescent="0.2">
      <c r="A490" s="1"/>
      <c r="B490" s="406"/>
      <c r="I490" s="879"/>
      <c r="J490" s="879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</row>
    <row r="491" spans="1:50" s="22" customFormat="1" x14ac:dyDescent="0.2">
      <c r="A491" s="1"/>
      <c r="B491" s="406"/>
      <c r="I491" s="879"/>
      <c r="J491" s="879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</row>
    <row r="492" spans="1:50" s="22" customFormat="1" x14ac:dyDescent="0.2">
      <c r="A492" s="1"/>
      <c r="B492" s="406"/>
      <c r="I492" s="879"/>
      <c r="J492" s="879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</row>
    <row r="493" spans="1:50" s="22" customFormat="1" x14ac:dyDescent="0.2">
      <c r="A493" s="1"/>
      <c r="B493" s="406"/>
      <c r="I493" s="879"/>
      <c r="J493" s="879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</row>
    <row r="494" spans="1:50" s="22" customFormat="1" x14ac:dyDescent="0.2">
      <c r="A494" s="1"/>
      <c r="B494" s="406"/>
      <c r="I494" s="879"/>
      <c r="J494" s="879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</row>
    <row r="495" spans="1:50" s="22" customFormat="1" x14ac:dyDescent="0.2">
      <c r="A495" s="1"/>
      <c r="B495" s="406"/>
      <c r="I495" s="879"/>
      <c r="J495" s="879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</row>
    <row r="496" spans="1:50" s="22" customFormat="1" x14ac:dyDescent="0.2">
      <c r="A496" s="1"/>
      <c r="B496" s="406"/>
      <c r="I496" s="879"/>
      <c r="J496" s="879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</row>
    <row r="497" spans="1:50" s="22" customFormat="1" x14ac:dyDescent="0.2">
      <c r="A497" s="1"/>
      <c r="B497" s="406"/>
      <c r="I497" s="879"/>
      <c r="J497" s="879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</row>
    <row r="498" spans="1:50" s="22" customFormat="1" x14ac:dyDescent="0.2">
      <c r="A498" s="1"/>
      <c r="B498" s="406"/>
      <c r="I498" s="879"/>
      <c r="J498" s="879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</row>
    <row r="499" spans="1:50" s="22" customFormat="1" x14ac:dyDescent="0.2">
      <c r="A499" s="1"/>
      <c r="B499" s="406"/>
      <c r="I499" s="879"/>
      <c r="J499" s="879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</row>
    <row r="500" spans="1:50" s="22" customFormat="1" x14ac:dyDescent="0.2">
      <c r="A500" s="1"/>
      <c r="B500" s="406"/>
      <c r="I500" s="879"/>
      <c r="J500" s="879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</row>
    <row r="501" spans="1:50" s="22" customFormat="1" x14ac:dyDescent="0.2">
      <c r="A501" s="1"/>
      <c r="B501" s="406"/>
      <c r="I501" s="879"/>
      <c r="J501" s="879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</row>
    <row r="502" spans="1:50" s="22" customFormat="1" x14ac:dyDescent="0.2">
      <c r="A502" s="1"/>
      <c r="B502" s="406"/>
      <c r="I502" s="879"/>
      <c r="J502" s="879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</row>
    <row r="503" spans="1:50" s="22" customFormat="1" x14ac:dyDescent="0.2">
      <c r="A503" s="1"/>
      <c r="B503" s="406"/>
      <c r="I503" s="879"/>
      <c r="J503" s="879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</row>
    <row r="504" spans="1:50" s="22" customFormat="1" x14ac:dyDescent="0.2">
      <c r="A504" s="1"/>
      <c r="B504" s="406"/>
      <c r="I504" s="879"/>
      <c r="J504" s="879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</row>
    <row r="505" spans="1:50" s="22" customFormat="1" x14ac:dyDescent="0.2">
      <c r="A505" s="1"/>
      <c r="B505" s="406"/>
      <c r="I505" s="879"/>
      <c r="J505" s="879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</row>
    <row r="506" spans="1:50" s="22" customFormat="1" x14ac:dyDescent="0.2">
      <c r="A506" s="1"/>
      <c r="B506" s="406"/>
      <c r="I506" s="879"/>
      <c r="J506" s="879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</row>
    <row r="507" spans="1:50" s="22" customFormat="1" x14ac:dyDescent="0.2">
      <c r="A507" s="1"/>
      <c r="B507" s="406"/>
      <c r="I507" s="879"/>
      <c r="J507" s="879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</row>
    <row r="508" spans="1:50" s="22" customFormat="1" x14ac:dyDescent="0.2">
      <c r="A508" s="1"/>
      <c r="B508" s="406"/>
      <c r="I508" s="879"/>
      <c r="J508" s="879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</row>
    <row r="509" spans="1:50" s="22" customFormat="1" x14ac:dyDescent="0.2">
      <c r="A509" s="1"/>
      <c r="B509" s="406"/>
      <c r="I509" s="879"/>
      <c r="J509" s="879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</row>
    <row r="510" spans="1:50" s="22" customFormat="1" x14ac:dyDescent="0.2">
      <c r="A510" s="1"/>
      <c r="B510" s="406"/>
      <c r="I510" s="879"/>
      <c r="J510" s="879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</row>
    <row r="511" spans="1:50" s="22" customFormat="1" x14ac:dyDescent="0.2">
      <c r="A511" s="1"/>
      <c r="B511" s="406"/>
      <c r="I511" s="879"/>
      <c r="J511" s="879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</row>
    <row r="512" spans="1:50" s="22" customFormat="1" x14ac:dyDescent="0.2">
      <c r="A512" s="1"/>
      <c r="B512" s="406"/>
      <c r="I512" s="879"/>
      <c r="J512" s="879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</row>
    <row r="513" spans="1:50" s="22" customFormat="1" x14ac:dyDescent="0.2">
      <c r="A513" s="1"/>
      <c r="B513" s="406"/>
      <c r="I513" s="879"/>
      <c r="J513" s="879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</row>
    <row r="514" spans="1:50" s="22" customFormat="1" x14ac:dyDescent="0.2">
      <c r="A514" s="1"/>
      <c r="B514" s="406"/>
      <c r="I514" s="879"/>
      <c r="J514" s="879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</row>
    <row r="515" spans="1:50" s="22" customFormat="1" x14ac:dyDescent="0.2">
      <c r="A515" s="1"/>
      <c r="B515" s="406"/>
      <c r="I515" s="879"/>
      <c r="J515" s="879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</row>
    <row r="516" spans="1:50" s="22" customFormat="1" x14ac:dyDescent="0.2">
      <c r="A516" s="1"/>
      <c r="B516" s="406"/>
      <c r="I516" s="879"/>
      <c r="J516" s="879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</row>
    <row r="517" spans="1:50" s="22" customFormat="1" x14ac:dyDescent="0.2">
      <c r="A517" s="1"/>
      <c r="B517" s="406"/>
      <c r="I517" s="879"/>
      <c r="J517" s="879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</row>
    <row r="518" spans="1:50" s="22" customFormat="1" x14ac:dyDescent="0.2">
      <c r="A518" s="1"/>
      <c r="B518" s="406"/>
      <c r="I518" s="879"/>
      <c r="J518" s="879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</row>
    <row r="519" spans="1:50" s="22" customFormat="1" x14ac:dyDescent="0.2">
      <c r="A519" s="1"/>
      <c r="B519" s="406"/>
      <c r="I519" s="879"/>
      <c r="J519" s="879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</row>
    <row r="520" spans="1:50" s="22" customFormat="1" x14ac:dyDescent="0.2">
      <c r="A520" s="1"/>
      <c r="B520" s="406"/>
      <c r="I520" s="879"/>
      <c r="J520" s="879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</row>
    <row r="521" spans="1:50" s="22" customFormat="1" x14ac:dyDescent="0.2">
      <c r="A521" s="1"/>
      <c r="B521" s="406"/>
      <c r="I521" s="879"/>
      <c r="J521" s="879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</row>
    <row r="522" spans="1:50" s="22" customFormat="1" x14ac:dyDescent="0.2">
      <c r="A522" s="1"/>
      <c r="B522" s="406"/>
      <c r="I522" s="879"/>
      <c r="J522" s="879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</row>
    <row r="523" spans="1:50" s="22" customFormat="1" x14ac:dyDescent="0.2">
      <c r="A523" s="1"/>
      <c r="B523" s="406"/>
      <c r="I523" s="879"/>
      <c r="J523" s="879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</row>
    <row r="524" spans="1:50" s="22" customFormat="1" x14ac:dyDescent="0.2">
      <c r="A524" s="1"/>
      <c r="B524" s="406"/>
      <c r="I524" s="879"/>
      <c r="J524" s="879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</row>
    <row r="525" spans="1:50" s="22" customFormat="1" x14ac:dyDescent="0.2">
      <c r="A525" s="1"/>
      <c r="B525" s="406"/>
      <c r="I525" s="879"/>
      <c r="J525" s="879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</row>
    <row r="526" spans="1:50" s="22" customFormat="1" x14ac:dyDescent="0.2">
      <c r="A526" s="1"/>
      <c r="B526" s="406"/>
      <c r="I526" s="879"/>
      <c r="J526" s="879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</row>
    <row r="527" spans="1:50" s="22" customFormat="1" x14ac:dyDescent="0.2">
      <c r="A527" s="1"/>
      <c r="B527" s="406"/>
      <c r="I527" s="879"/>
      <c r="J527" s="879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</row>
    <row r="528" spans="1:50" s="22" customFormat="1" x14ac:dyDescent="0.2">
      <c r="A528" s="1"/>
      <c r="B528" s="406"/>
      <c r="I528" s="879"/>
      <c r="J528" s="879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</row>
    <row r="529" spans="1:50" s="22" customFormat="1" x14ac:dyDescent="0.2">
      <c r="A529" s="1"/>
      <c r="B529" s="406"/>
      <c r="I529" s="879"/>
      <c r="J529" s="879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</row>
    <row r="530" spans="1:50" s="22" customFormat="1" x14ac:dyDescent="0.2">
      <c r="A530" s="1"/>
      <c r="B530" s="406"/>
      <c r="I530" s="879"/>
      <c r="J530" s="879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</row>
    <row r="531" spans="1:50" s="22" customFormat="1" x14ac:dyDescent="0.2">
      <c r="A531" s="1"/>
      <c r="B531" s="406"/>
      <c r="I531" s="879"/>
      <c r="J531" s="879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</row>
    <row r="532" spans="1:50" s="22" customFormat="1" x14ac:dyDescent="0.2">
      <c r="A532" s="1"/>
      <c r="B532" s="406"/>
      <c r="I532" s="879"/>
      <c r="J532" s="879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</row>
  </sheetData>
  <sheetProtection formatColumns="0"/>
  <mergeCells count="10">
    <mergeCell ref="J10:K10"/>
    <mergeCell ref="J18:V18"/>
    <mergeCell ref="X18:AA18"/>
    <mergeCell ref="AC18:AN18"/>
    <mergeCell ref="J3:M3"/>
    <mergeCell ref="Q3:T3"/>
    <mergeCell ref="X3:AA3"/>
    <mergeCell ref="J4:K4"/>
    <mergeCell ref="J5:K5"/>
    <mergeCell ref="J6:K6"/>
  </mergeCells>
  <conditionalFormatting sqref="B20:V440 X20:AA379">
    <cfRule type="expression" dxfId="39" priority="10">
      <formula>IF($J20=$S$6,"TRUE","FALSE")</formula>
    </cfRule>
    <cfRule type="expression" dxfId="38" priority="11">
      <formula>IF($J20&gt;$S$6,"TRUE","FALSE")</formula>
    </cfRule>
  </conditionalFormatting>
  <conditionalFormatting sqref="D20:H440">
    <cfRule type="expression" dxfId="37" priority="8">
      <formula>IF($I$8="No","TRUE","FALSE")</formula>
    </cfRule>
  </conditionalFormatting>
  <conditionalFormatting sqref="R5">
    <cfRule type="expression" dxfId="36" priority="3">
      <formula>IF($T$4="Monthly","TRUE","FALSE")</formula>
    </cfRule>
  </conditionalFormatting>
  <conditionalFormatting sqref="S5">
    <cfRule type="expression" dxfId="35" priority="9">
      <formula>IF(OR($T$4="Annual",$T$4="Monthly"),"TRUE","FALSE")</formula>
    </cfRule>
  </conditionalFormatting>
  <conditionalFormatting sqref="Z5:Z7">
    <cfRule type="expression" dxfId="34" priority="5">
      <formula>IF($Y5="N/A","TRUE","FALSE")</formula>
    </cfRule>
    <cfRule type="expression" dxfId="33" priority="6">
      <formula>IF($Y5="Fixed Amount","TRUE","FALSE")</formula>
    </cfRule>
    <cfRule type="expression" dxfId="32" priority="7">
      <formula>IF(OR($Y5="%/Payment",$Y5="%/Balance"),"TRUE","FALSE")</formula>
    </cfRule>
  </conditionalFormatting>
  <conditionalFormatting sqref="AA5:AA7">
    <cfRule type="expression" dxfId="31" priority="4">
      <formula>IF(OR($Y5="N/A",$Y5="Fixed Amount"),"TRUE","FALSE")</formula>
    </cfRule>
  </conditionalFormatting>
  <conditionalFormatting sqref="AC20:AN49">
    <cfRule type="expression" dxfId="30" priority="1">
      <formula>IF($AC20&gt;$M$5,"TRUE","FALSE")</formula>
    </cfRule>
    <cfRule type="expression" dxfId="29" priority="2">
      <formula>IF($AC20=$M$5,"TRUE","FALSE")</formula>
    </cfRule>
  </conditionalFormatting>
  <dataValidations count="4">
    <dataValidation type="list" allowBlank="1" showInputMessage="1" showErrorMessage="1" sqref="T4" xr:uid="{DCB5EC65-838B-4188-A6FE-D2811C0F8A4B}">
      <formula1>"Monthly, Bi-Annual, Annual"</formula1>
    </dataValidation>
    <dataValidation type="list" allowBlank="1" showInputMessage="1" showErrorMessage="1" sqref="M8" xr:uid="{FA5E7C74-2921-4DC6-A952-D4C05997756B}">
      <formula1>"Base, Actual Days"</formula1>
    </dataValidation>
    <dataValidation type="list" allowBlank="1" showInputMessage="1" showErrorMessage="1" sqref="Y5:Y7" xr:uid="{AFAE929F-557E-432F-87D3-F360F00A2A79}">
      <formula1>"%/Payment, %/Balance, Fixed Amount, N/A"</formula1>
    </dataValidation>
    <dataValidation type="list" allowBlank="1" showInputMessage="1" showErrorMessage="1" sqref="K7" xr:uid="{FE4AF7D7-EAB6-4456-A57E-692A2A182C04}">
      <formula1>"Base Rate,Actual/360 Rate,Actual/365 Rate"</formula1>
    </dataValidation>
  </dataValidations>
  <printOptions horizontalCentered="1"/>
  <pageMargins left="0.65" right="0.65" top="0.65" bottom="0.65" header="0.5" footer="0.5"/>
  <pageSetup scale="63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4C5F4-60F6-4EBC-B530-A42DF8E11621}">
  <sheetPr>
    <tabColor theme="4" tint="0.79998168889431442"/>
    <pageSetUpPr autoPageBreaks="0" fitToPage="1"/>
  </sheetPr>
  <dimension ref="A1:AX532"/>
  <sheetViews>
    <sheetView showGridLines="0" zoomScaleNormal="100" workbookViewId="0">
      <selection activeCell="AC10" sqref="AC10"/>
    </sheetView>
  </sheetViews>
  <sheetFormatPr defaultColWidth="16.140625" defaultRowHeight="12.75" outlineLevelCol="1" x14ac:dyDescent="0.2"/>
  <cols>
    <col min="1" max="1" width="7.42578125" style="1" customWidth="1"/>
    <col min="2" max="2" width="6.140625" style="406" hidden="1" customWidth="1" outlineLevel="1"/>
    <col min="3" max="4" width="3.7109375" style="22" hidden="1" customWidth="1" outlineLevel="1"/>
    <col min="5" max="5" width="14.140625" style="22" hidden="1" customWidth="1" outlineLevel="1"/>
    <col min="6" max="6" width="4.7109375" style="22" hidden="1" customWidth="1" outlineLevel="1"/>
    <col min="7" max="8" width="3.7109375" style="22" hidden="1" customWidth="1" outlineLevel="1"/>
    <col min="9" max="9" width="3.7109375" style="879" hidden="1" customWidth="1" outlineLevel="1"/>
    <col min="10" max="10" width="5.42578125" style="879" customWidth="1" collapsed="1"/>
    <col min="11" max="11" width="17.85546875" style="22" customWidth="1"/>
    <col min="12" max="13" width="14.28515625" style="22" customWidth="1"/>
    <col min="14" max="15" width="16.140625" style="22"/>
    <col min="16" max="16" width="18.28515625" style="22" hidden="1" customWidth="1" outlineLevel="1"/>
    <col min="17" max="17" width="18.140625" style="22" customWidth="1" collapsed="1"/>
    <col min="18" max="20" width="16.140625" style="22"/>
    <col min="21" max="22" width="16.140625" style="1"/>
    <col min="23" max="23" width="6.42578125" style="1" customWidth="1"/>
    <col min="24" max="27" width="18.7109375" style="1" hidden="1" customWidth="1" outlineLevel="1"/>
    <col min="28" max="28" width="16.140625" style="1" collapsed="1"/>
    <col min="29" max="29" width="9.28515625" style="1" customWidth="1"/>
    <col min="30" max="42" width="16.140625" style="1"/>
    <col min="43" max="43" width="23.28515625" style="1" customWidth="1"/>
    <col min="44" max="44" width="16.140625" style="1"/>
    <col min="45" max="45" width="12.140625" style="1" customWidth="1"/>
    <col min="46" max="16384" width="16.140625" style="1"/>
  </cols>
  <sheetData>
    <row r="1" spans="2:27" s="278" customFormat="1" ht="49.15" customHeight="1" x14ac:dyDescent="0.4">
      <c r="B1" s="409"/>
      <c r="C1" s="365"/>
      <c r="D1" s="365"/>
      <c r="E1" s="365"/>
      <c r="F1" s="365"/>
      <c r="G1" s="365"/>
      <c r="H1" s="365"/>
      <c r="I1" s="876"/>
      <c r="J1" s="1201" t="str">
        <f>IF('Financing Assumptions'!$T$8="Yes",'Financing Assumptions'!$R$8&amp;" Amortization","Mezz 2 Amortizaton")</f>
        <v>Mezz 2 Amortizaton</v>
      </c>
      <c r="K1" s="1054"/>
      <c r="L1" s="365"/>
      <c r="M1" s="366"/>
      <c r="N1" s="366"/>
      <c r="O1" s="366"/>
      <c r="P1" s="366"/>
      <c r="Q1" s="365"/>
      <c r="R1" s="279"/>
      <c r="S1" s="279"/>
      <c r="T1" s="279"/>
    </row>
    <row r="2" spans="2:27" s="278" customFormat="1" ht="4.5" customHeight="1" x14ac:dyDescent="0.25">
      <c r="B2" s="412"/>
      <c r="C2" s="280"/>
      <c r="D2" s="280"/>
      <c r="E2" s="280"/>
      <c r="F2" s="280"/>
      <c r="G2" s="280"/>
      <c r="H2" s="280"/>
      <c r="I2" s="877"/>
      <c r="J2" s="877"/>
      <c r="K2" s="280"/>
      <c r="L2" s="280"/>
      <c r="M2" s="286"/>
      <c r="N2" s="286"/>
      <c r="O2" s="286"/>
      <c r="P2" s="286"/>
      <c r="Q2" s="280"/>
      <c r="R2" s="279"/>
      <c r="S2" s="279"/>
      <c r="T2" s="279"/>
    </row>
    <row r="3" spans="2:27" s="278" customFormat="1" ht="18" customHeight="1" x14ac:dyDescent="0.25">
      <c r="B3" s="409"/>
      <c r="C3" s="280"/>
      <c r="D3" s="280"/>
      <c r="E3" s="280"/>
      <c r="F3" s="280"/>
      <c r="G3" s="280"/>
      <c r="H3" s="280"/>
      <c r="I3" s="877"/>
      <c r="J3" s="1564" t="s">
        <v>453</v>
      </c>
      <c r="K3" s="1564"/>
      <c r="L3" s="1564"/>
      <c r="M3" s="1565"/>
      <c r="N3" s="1055"/>
      <c r="Q3" s="1561" t="s">
        <v>447</v>
      </c>
      <c r="R3" s="1562"/>
      <c r="S3" s="1562"/>
      <c r="T3" s="1563"/>
      <c r="X3" s="1561" t="s">
        <v>458</v>
      </c>
      <c r="Y3" s="1562"/>
      <c r="Z3" s="1562"/>
      <c r="AA3" s="1563"/>
    </row>
    <row r="4" spans="2:27" s="278" customFormat="1" ht="12" customHeight="1" x14ac:dyDescent="0.25">
      <c r="B4" s="409"/>
      <c r="C4" s="291"/>
      <c r="D4" s="291"/>
      <c r="E4" s="291"/>
      <c r="F4" s="291"/>
      <c r="G4" s="291"/>
      <c r="H4" s="291"/>
      <c r="I4" s="878"/>
      <c r="J4" s="1566" t="s">
        <v>448</v>
      </c>
      <c r="K4" s="1567"/>
      <c r="L4" s="360"/>
      <c r="M4" s="1173">
        <f>IF('Financing Assumptions'!$T$8="No",0,'Financing Assumptions'!$T$9)</f>
        <v>0</v>
      </c>
      <c r="Q4" s="378" t="s">
        <v>449</v>
      </c>
      <c r="R4" s="1056">
        <f>INDEX($AT$22:$AU$34,MATCH(R$5,$AT$22:$AT$34,0),MATCH("Number",$AT$22:$AU$22,0))</f>
        <v>8</v>
      </c>
      <c r="S4" s="1056">
        <f>INDEX($AT$22:$AU$34,MATCH(S$5,$AT$22:$AT$34,0),MATCH("Number",$AT$22:$AU$22,0))</f>
        <v>3</v>
      </c>
      <c r="T4" s="1280" t="s">
        <v>602</v>
      </c>
      <c r="U4" s="873"/>
      <c r="V4" s="873"/>
      <c r="X4" s="1058" t="s">
        <v>505</v>
      </c>
      <c r="Y4" s="1059" t="s">
        <v>506</v>
      </c>
      <c r="Z4" s="1059" t="s">
        <v>507</v>
      </c>
      <c r="AA4" s="1060" t="s">
        <v>508</v>
      </c>
    </row>
    <row r="5" spans="2:27" s="278" customFormat="1" ht="12" customHeight="1" x14ac:dyDescent="0.25">
      <c r="B5" s="409"/>
      <c r="C5" s="291"/>
      <c r="D5" s="291"/>
      <c r="E5" s="291"/>
      <c r="F5" s="291"/>
      <c r="G5" s="291"/>
      <c r="H5" s="291"/>
      <c r="I5" s="878"/>
      <c r="J5" s="1568" t="s">
        <v>450</v>
      </c>
      <c r="K5" s="1569"/>
      <c r="L5" s="345"/>
      <c r="M5" s="1172">
        <f>IF('Financing Assumptions'!$T$8="No",0,'Financing Assumptions'!$T$13)</f>
        <v>0</v>
      </c>
      <c r="O5" s="1178"/>
      <c r="Q5" s="347" t="str">
        <f>IF(T4="Annual","Payment Month",IF($T$4="Bi-Annual","Payment Months",IF($T$4="Monthly","Payment Start Month")))</f>
        <v>Payment Months</v>
      </c>
      <c r="R5" s="1179" t="s">
        <v>509</v>
      </c>
      <c r="S5" s="1179" t="s">
        <v>378</v>
      </c>
      <c r="T5" s="1180" t="str">
        <f>IF(T4="Monthly",L20,"")</f>
        <v/>
      </c>
      <c r="U5" s="873"/>
      <c r="V5" s="873"/>
      <c r="X5" s="1063" t="s">
        <v>455</v>
      </c>
      <c r="Y5" s="1064" t="s">
        <v>332</v>
      </c>
      <c r="Z5" s="1065">
        <v>250</v>
      </c>
      <c r="AA5" s="1066">
        <v>20000</v>
      </c>
    </row>
    <row r="6" spans="2:27" s="278" customFormat="1" ht="12" customHeight="1" x14ac:dyDescent="0.25">
      <c r="B6" s="409"/>
      <c r="C6" s="291"/>
      <c r="D6" s="291"/>
      <c r="E6" s="291"/>
      <c r="F6" s="291"/>
      <c r="G6" s="291"/>
      <c r="H6" s="291"/>
      <c r="I6" s="878"/>
      <c r="J6" s="1570" t="s">
        <v>26</v>
      </c>
      <c r="K6" s="1571"/>
      <c r="L6" s="1067"/>
      <c r="M6" s="1171">
        <f>IF('Financing Assumptions'!$T$8="No",0,'Financing Assumptions'!$T$12)</f>
        <v>0</v>
      </c>
      <c r="O6" s="1178"/>
      <c r="Q6" s="378" t="s">
        <v>462</v>
      </c>
      <c r="R6" s="360"/>
      <c r="S6" s="1181">
        <f>IF($T$4="Annual",$M$5,IF($T$4="Bi-Annual",$M$5*2,IF($T$4="Monthly",$M$5*12)))</f>
        <v>0</v>
      </c>
      <c r="T6" s="1107"/>
      <c r="U6" s="873"/>
      <c r="V6" s="873"/>
      <c r="X6" s="1063" t="s">
        <v>456</v>
      </c>
      <c r="Y6" s="1064" t="s">
        <v>332</v>
      </c>
      <c r="Z6" s="1065">
        <v>1125</v>
      </c>
      <c r="AA6" s="1066">
        <v>0</v>
      </c>
    </row>
    <row r="7" spans="2:27" s="278" customFormat="1" ht="12" customHeight="1" x14ac:dyDescent="0.25">
      <c r="B7" s="409"/>
      <c r="C7" s="291"/>
      <c r="D7" s="291"/>
      <c r="E7" s="291"/>
      <c r="F7" s="291"/>
      <c r="G7" s="291"/>
      <c r="H7" s="291"/>
      <c r="I7" s="878"/>
      <c r="J7" s="1069"/>
      <c r="K7" s="1070" t="s">
        <v>308</v>
      </c>
      <c r="L7" s="1071"/>
      <c r="M7" s="1171">
        <f>IF($K$7="Actual/360 Rate",($M$6/360)*365,IF($K$7="Base Rate",$M$6))</f>
        <v>0</v>
      </c>
      <c r="Q7" s="379" t="s">
        <v>510</v>
      </c>
      <c r="R7" s="342"/>
      <c r="S7" s="1080">
        <f>IF($T$4="Annual",$M$5-$AR$27,IF($T$4="Bi-Annual",($M$5*2)-$AR$27,IF($T$4="Monthly",($M$5*12)-$AR$27)))</f>
        <v>1</v>
      </c>
      <c r="T7" s="568">
        <f>IF($T$4="Annual",$M$5-$AR$29,IF($T$4="Bi-Annual",($M$5*2)-$AR$29-1,IF($T$4="Monthly",($M$5*12)-$AR$29)))</f>
        <v>-1</v>
      </c>
      <c r="U7" s="345"/>
      <c r="V7" s="345"/>
      <c r="X7" s="1073" t="s">
        <v>457</v>
      </c>
      <c r="Y7" s="1064" t="s">
        <v>332</v>
      </c>
      <c r="Z7" s="1074">
        <v>500</v>
      </c>
      <c r="AA7" s="1075">
        <v>0</v>
      </c>
    </row>
    <row r="8" spans="2:27" s="278" customFormat="1" ht="12" customHeight="1" x14ac:dyDescent="0.25">
      <c r="B8" s="409"/>
      <c r="C8" s="291"/>
      <c r="D8" s="291"/>
      <c r="E8" s="291"/>
      <c r="F8" s="291"/>
      <c r="G8" s="291"/>
      <c r="H8" s="291"/>
      <c r="I8" s="878"/>
      <c r="J8" s="347" t="s">
        <v>603</v>
      </c>
      <c r="M8" s="1070" t="s">
        <v>605</v>
      </c>
      <c r="Q8" s="347" t="s">
        <v>511</v>
      </c>
      <c r="R8" s="345"/>
      <c r="S8" s="345"/>
      <c r="T8" s="1082">
        <f>IF('Financing Assumptions'!$T$8="No",0,IF($T$4="Annual",PMT($M$7,($S$6-$AR$29),$M$4),IF($T$4="Bi-Annual",PMT($M$7/2,($S$6-$AR$29),$M$4),IF($T$4="Monthly",PMT($M$7/12,($S$6-$AR$27),$M$4)))))</f>
        <v>0</v>
      </c>
      <c r="X8" s="378" t="str">
        <f>"Total "&amp;X5</f>
        <v>Total Collection Fee</v>
      </c>
      <c r="Y8" s="360"/>
      <c r="Z8" s="360"/>
      <c r="AA8" s="1078">
        <f>SUMIFS(X20:X379,J20:J379,"&lt;="&amp;$S$6)</f>
        <v>0</v>
      </c>
    </row>
    <row r="9" spans="2:27" s="278" customFormat="1" ht="11.85" customHeight="1" x14ac:dyDescent="0.25">
      <c r="B9" s="409"/>
      <c r="C9" s="291"/>
      <c r="D9" s="291"/>
      <c r="E9" s="291"/>
      <c r="F9" s="291"/>
      <c r="G9" s="291"/>
      <c r="H9" s="291"/>
      <c r="I9" s="878"/>
      <c r="J9" s="347"/>
      <c r="M9" s="348"/>
      <c r="Q9" s="347" t="s">
        <v>512</v>
      </c>
      <c r="R9" s="345"/>
      <c r="S9" s="345"/>
      <c r="T9" s="1085">
        <f>IF('Financing Assumptions'!$T$8="No",0,IF($T$4="Annual",$T$8,IF($T$4="Bi-Annual",$T$8*2,IF($T$4="Monthly",T8*12))))</f>
        <v>0</v>
      </c>
      <c r="X9" s="347" t="str">
        <f>"Total "&amp;X6</f>
        <v>Total Lender Service Fee</v>
      </c>
      <c r="Y9"/>
      <c r="Z9"/>
      <c r="AA9" s="1081">
        <f>SUMIFS(Y20:Y379,J20:J379,"&lt;="&amp;$S$6)</f>
        <v>0</v>
      </c>
    </row>
    <row r="10" spans="2:27" s="278" customFormat="1" ht="11.85" customHeight="1" x14ac:dyDescent="0.25">
      <c r="B10" s="409"/>
      <c r="C10" s="291"/>
      <c r="D10" s="291"/>
      <c r="E10" s="291"/>
      <c r="F10" s="291"/>
      <c r="G10" s="291"/>
      <c r="H10" s="291"/>
      <c r="I10" s="878"/>
      <c r="J10" s="1568" t="s">
        <v>431</v>
      </c>
      <c r="K10" s="1569"/>
      <c r="L10" s="881"/>
      <c r="M10" s="1182">
        <f>YEAR('Financing Assumptions'!$T$26)</f>
        <v>2025</v>
      </c>
      <c r="Q10" s="378" t="s">
        <v>514</v>
      </c>
      <c r="R10" s="360"/>
      <c r="S10" s="360"/>
      <c r="T10" s="1088">
        <f>IF('Financing Assumptions'!$T$8="No",0,SUM(T11:T12))</f>
        <v>0</v>
      </c>
      <c r="V10" s="1186"/>
      <c r="X10" s="379" t="str">
        <f>"Total "&amp;X7</f>
        <v>Total County Admin Fee</v>
      </c>
      <c r="Y10" s="1050"/>
      <c r="Z10" s="1050"/>
      <c r="AA10" s="1083">
        <f>SUMIFS(Z20:Z379,J20:J379,"&lt;="&amp;$S$6)</f>
        <v>0</v>
      </c>
    </row>
    <row r="11" spans="2:27" s="278" customFormat="1" ht="11.85" customHeight="1" x14ac:dyDescent="0.25">
      <c r="B11" s="409"/>
      <c r="C11" s="291"/>
      <c r="D11" s="291"/>
      <c r="E11" s="291"/>
      <c r="F11" s="291"/>
      <c r="G11" s="291"/>
      <c r="H11" s="291"/>
      <c r="I11" s="878"/>
      <c r="J11" s="1276" t="s">
        <v>430</v>
      </c>
      <c r="K11" s="1277"/>
      <c r="L11" s="1282">
        <f>AR24</f>
        <v>45838</v>
      </c>
      <c r="M11" s="1184" t="str">
        <f>INDEX($AU$22:$AV$34,MATCH(MONTH('Financing Assumptions'!$T$26),$AU$22:$AU$34,0),MATCH("MONTH",$AU$22:$AV$22,0))</f>
        <v>June</v>
      </c>
      <c r="O11" s="315"/>
      <c r="P11" s="315"/>
      <c r="Q11" s="347" t="s">
        <v>517</v>
      </c>
      <c r="R11" s="345"/>
      <c r="S11" s="345"/>
      <c r="T11" s="1174">
        <f>IF('Financing Assumptions'!$T$8="No",0,INDEX($B$19:$U$440,MATCH($T$14,$E$19:$E$440,0),MATCH($S$19,$B$19:$U$19,0)))</f>
        <v>0</v>
      </c>
      <c r="X11" s="378" t="s">
        <v>513</v>
      </c>
      <c r="Y11" s="360"/>
      <c r="Z11" s="360"/>
      <c r="AA11" s="1086">
        <f>SUM(SUMIFS($X$20:$X$379,$J$20:$J$379,"&lt;="&amp;$S$6),SUMIFS($Y$20:$Y$379,$J$20:$J$379,"&lt;="&amp;$S$6),SUMIFS($Z$20:$Z$379,$J$20:$J$379,"&lt;="&amp;$S$6))</f>
        <v>0</v>
      </c>
    </row>
    <row r="12" spans="2:27" s="278" customFormat="1" ht="11.85" customHeight="1" x14ac:dyDescent="0.25">
      <c r="B12" s="409"/>
      <c r="C12" s="291"/>
      <c r="D12" s="291"/>
      <c r="E12" s="291"/>
      <c r="F12" s="291"/>
      <c r="G12" s="291"/>
      <c r="H12" s="291"/>
      <c r="I12" s="878"/>
      <c r="J12" s="1272" t="s">
        <v>459</v>
      </c>
      <c r="K12" s="1273"/>
      <c r="L12" s="1076">
        <f>M12/12</f>
        <v>0</v>
      </c>
      <c r="M12" s="892">
        <f>IF('Financing Assumptions'!$T$8="No",0,'Financing Assumptions'!$T$14)</f>
        <v>0</v>
      </c>
      <c r="O12" s="315"/>
      <c r="P12" s="315"/>
      <c r="Q12" s="347" t="s">
        <v>518</v>
      </c>
      <c r="R12" s="345"/>
      <c r="S12" s="345"/>
      <c r="T12" s="1174">
        <f>IF('Financing Assumptions'!$T$8="No",0,INDEX($B$19:$U$440,MATCH($T$14,$E$19:$E$440,0),MATCH($T$19,$B$19:$U$19,0))-M14)</f>
        <v>0</v>
      </c>
      <c r="X12" s="379" t="s">
        <v>515</v>
      </c>
      <c r="Y12" s="1050"/>
      <c r="Z12" s="1050"/>
      <c r="AA12" s="1083">
        <f>SUMIFS(AA20:AA379,J20:J379,"&lt;="&amp;$S$6)</f>
        <v>0</v>
      </c>
    </row>
    <row r="13" spans="2:27" s="278" customFormat="1" ht="11.85" customHeight="1" x14ac:dyDescent="0.25">
      <c r="B13" s="409"/>
      <c r="C13" s="291"/>
      <c r="D13" s="291"/>
      <c r="E13" s="291"/>
      <c r="F13" s="291"/>
      <c r="G13" s="291"/>
      <c r="H13" s="291"/>
      <c r="I13" s="878"/>
      <c r="J13" s="1274" t="s">
        <v>162</v>
      </c>
      <c r="K13" s="1275"/>
      <c r="L13" s="1079">
        <f>M13/12</f>
        <v>0</v>
      </c>
      <c r="M13" s="518">
        <v>0</v>
      </c>
      <c r="O13" s="315"/>
      <c r="P13" s="315"/>
      <c r="Q13" s="378" t="s">
        <v>546</v>
      </c>
      <c r="R13" s="360"/>
      <c r="S13" s="360">
        <f>IF($T$4="Monthly",INDEX($B$19:$J$440,MATCH($T$13,$E$19:$E$440,0),MATCH("Period",$B$19:$J$19,0)),IF(AND($T$4="Annual",$AS$40&gt;$R$4),INDEX($B$19:$J$440,MATCH(EOMONTH(DATE(YEAR($T$13)+1,$R$4,1),0),$E$19:$E$440,0),MATCH("Period",$B$19:$J$19,0)),IF(AND($T$4="Annual",$AS$40&lt;=$R$4),INDEX($B$19:$J$440,MATCH(EOMONTH(DATE(YEAR($T$13),$R$4,1),0),$E$19:$E$440,0),MATCH("Period",$B$19:$J$19,0)),IF(AND($T$4="Bi-Annual",$AS$40&gt;MAX($R$4,$S$4)),INDEX($B$19:$J$440,MATCH(EOMONTH(DATE(YEAR($T$13)+1,MIN($R$4,$S$4),1),0),$E$19:$E$440,0),MATCH("Period",$B$19:$J$19,0)),IF(AND($T$4="Bi-Annual",$AS$40&lt;MIN($R$4,$S$4)),INDEX($B$19:$J$440,MATCH(EOMONTH(DATE(YEAR($T$13)-1,MAX($R$4,$S$4),1),0),$E$19:$E$440,0),MATCH("Period",$B$19:$J$19,0)),IF(AND($T$4="Bi-Annual",$AS$40&gt;MIN($R$4,$S$4),$AS$40&lt;MAX($R$4,$S$4)),INDEX($B$19:$J$440,MATCH(EOMONTH(DATE(YEAR($T$13),MAX($R$4,$S$4),1),0),$E$19:$E$440,0),MATCH("Period",$B$19:$J$19,0)),IF(AND($T$4="Bi-Annual",$AS$40=MIN($R$4,$S$4)),INDEX($B$19:$J$440,MATCH(EOMONTH(DATE(YEAR($T$13),MAX($R$4,$S$4),1),0),$E$19:$E$440,0),MATCH("Period",$B$19:$J$19,0)),IF(AND($T$4="Bi-Annual",$AS$40=MAX($R$4,$S$4)),INDEX($B$19:$J$440,MATCH(EOMONTH(DATE(YEAR($T$13)+1,MIN($R$4,$S$4),1),0),$E$19:$E$440,0),MATCH("Period",$B$19:$J$19,0))))))))))</f>
        <v>1</v>
      </c>
      <c r="T13" s="1189">
        <f>EOMONTH($L$11,$M$5*12)</f>
        <v>45838</v>
      </c>
    </row>
    <row r="14" spans="2:27" s="278" customFormat="1" ht="11.85" customHeight="1" x14ac:dyDescent="0.25">
      <c r="B14" s="409"/>
      <c r="C14" s="291"/>
      <c r="D14" s="291"/>
      <c r="E14" s="291"/>
      <c r="F14" s="291"/>
      <c r="G14" s="291"/>
      <c r="H14" s="291"/>
      <c r="I14" s="878"/>
      <c r="J14" s="1278" t="s">
        <v>516</v>
      </c>
      <c r="K14" s="1279"/>
      <c r="L14" s="1187"/>
      <c r="M14" s="1188">
        <f>IF($M$13=0,0,INDEX($J$19:$U$379,MATCH($AR$29,$J$19:$J$379,0),MATCH($T$19,$J$19:$U$19,0)))</f>
        <v>0</v>
      </c>
      <c r="N14" s="279"/>
      <c r="Q14" s="379" t="s">
        <v>547</v>
      </c>
      <c r="R14" s="342"/>
      <c r="S14" s="342">
        <f>IF($AS$39="Full-Term",$S$13,$S$13-1)</f>
        <v>1</v>
      </c>
      <c r="T14" s="1091">
        <f>INDEX($E$19:$J$440,MATCH($S$14,$J$19:$J$440,0),MATCH("Date",$E$19:$J$19,0))</f>
        <v>45900</v>
      </c>
    </row>
    <row r="15" spans="2:27" s="278" customFormat="1" ht="11.85" customHeight="1" x14ac:dyDescent="0.25">
      <c r="B15" s="409"/>
      <c r="C15" s="291"/>
      <c r="D15" s="291"/>
      <c r="E15" s="291"/>
      <c r="F15" s="291"/>
      <c r="G15" s="291"/>
      <c r="H15" s="291"/>
      <c r="I15" s="878"/>
      <c r="J15" s="878"/>
      <c r="K15" s="279"/>
      <c r="L15" s="279"/>
      <c r="M15" s="279"/>
      <c r="N15" s="279"/>
      <c r="O15" s="315"/>
      <c r="P15" s="315"/>
    </row>
    <row r="16" spans="2:27" s="278" customFormat="1" ht="11.85" customHeight="1" x14ac:dyDescent="0.25">
      <c r="B16" s="409"/>
      <c r="C16" s="291"/>
      <c r="D16" s="291"/>
      <c r="E16" s="291"/>
      <c r="F16" s="291"/>
      <c r="G16" s="291"/>
      <c r="H16" s="291"/>
      <c r="I16" s="878"/>
      <c r="J16" s="878"/>
      <c r="K16" s="279"/>
      <c r="L16" s="279"/>
      <c r="M16" s="279"/>
      <c r="N16" s="279"/>
    </row>
    <row r="17" spans="2:50" s="278" customFormat="1" ht="11.85" customHeight="1" x14ac:dyDescent="0.25">
      <c r="B17" s="410"/>
      <c r="C17" s="280"/>
      <c r="D17" s="280"/>
      <c r="E17" s="280"/>
      <c r="F17" s="280"/>
      <c r="G17" s="280"/>
      <c r="H17" s="280"/>
      <c r="I17" s="877"/>
      <c r="J17" s="877"/>
      <c r="K17" s="279"/>
      <c r="L17" s="279"/>
      <c r="N17" s="279"/>
    </row>
    <row r="18" spans="2:50" s="278" customFormat="1" ht="18" customHeight="1" x14ac:dyDescent="0.25">
      <c r="B18" s="410"/>
      <c r="C18" s="280"/>
      <c r="D18" s="280"/>
      <c r="E18" s="280"/>
      <c r="F18" s="280"/>
      <c r="G18" s="280"/>
      <c r="H18" s="280"/>
      <c r="I18" s="877"/>
      <c r="J18" s="1576" t="s">
        <v>451</v>
      </c>
      <c r="K18" s="1577"/>
      <c r="L18" s="1577"/>
      <c r="M18" s="1577"/>
      <c r="N18" s="1577"/>
      <c r="O18" s="1577"/>
      <c r="P18" s="1577"/>
      <c r="Q18" s="1577"/>
      <c r="R18" s="1577"/>
      <c r="S18" s="1577"/>
      <c r="T18" s="1577"/>
      <c r="U18" s="1577"/>
      <c r="V18" s="1578"/>
      <c r="X18" s="1561" t="s">
        <v>458</v>
      </c>
      <c r="Y18" s="1562"/>
      <c r="Z18" s="1562"/>
      <c r="AA18" s="1563"/>
      <c r="AC18" s="1561" t="s">
        <v>521</v>
      </c>
      <c r="AD18" s="1562"/>
      <c r="AE18" s="1562"/>
      <c r="AF18" s="1562"/>
      <c r="AG18" s="1562"/>
      <c r="AH18" s="1562"/>
      <c r="AI18" s="1562"/>
      <c r="AJ18" s="1562"/>
      <c r="AK18" s="1562"/>
      <c r="AL18" s="1562"/>
      <c r="AM18" s="1562"/>
      <c r="AN18" s="1563"/>
      <c r="AV18" s="1092"/>
      <c r="AW18" s="1092"/>
      <c r="AX18" s="1093"/>
    </row>
    <row r="19" spans="2:50" s="278" customFormat="1" ht="27" customHeight="1" x14ac:dyDescent="0.25">
      <c r="B19" s="1094" t="s">
        <v>33</v>
      </c>
      <c r="C19" s="893"/>
      <c r="D19" s="893"/>
      <c r="E19" s="1095" t="s">
        <v>227</v>
      </c>
      <c r="F19" s="893"/>
      <c r="G19" s="893"/>
      <c r="H19" s="893"/>
      <c r="I19" s="894"/>
      <c r="J19" s="1190" t="s">
        <v>460</v>
      </c>
      <c r="K19" s="333" t="s">
        <v>452</v>
      </c>
      <c r="L19" s="332" t="s">
        <v>33</v>
      </c>
      <c r="M19" s="332" t="s">
        <v>32</v>
      </c>
      <c r="N19" s="332" t="s">
        <v>34</v>
      </c>
      <c r="O19" s="332" t="s">
        <v>42</v>
      </c>
      <c r="P19" s="332" t="s">
        <v>523</v>
      </c>
      <c r="Q19" s="332" t="s">
        <v>9</v>
      </c>
      <c r="R19" s="332" t="s">
        <v>43</v>
      </c>
      <c r="S19" s="334" t="s">
        <v>38</v>
      </c>
      <c r="T19" s="332" t="s">
        <v>39</v>
      </c>
      <c r="U19" s="332" t="s">
        <v>40</v>
      </c>
      <c r="V19" s="331" t="s">
        <v>524</v>
      </c>
      <c r="X19" s="333" t="str">
        <f>X5</f>
        <v>Collection Fee</v>
      </c>
      <c r="Y19" s="334" t="str">
        <f>X6</f>
        <v>Lender Service Fee</v>
      </c>
      <c r="Z19" s="332" t="str">
        <f>X7</f>
        <v>County Admin Fee</v>
      </c>
      <c r="AA19" s="331" t="s">
        <v>525</v>
      </c>
      <c r="AC19" s="335"/>
      <c r="AD19" s="332" t="s">
        <v>32</v>
      </c>
      <c r="AE19" s="332" t="s">
        <v>34</v>
      </c>
      <c r="AF19" s="332" t="s">
        <v>42</v>
      </c>
      <c r="AG19" s="332" t="s">
        <v>9</v>
      </c>
      <c r="AH19" s="332" t="s">
        <v>43</v>
      </c>
      <c r="AI19" s="332" t="s">
        <v>419</v>
      </c>
      <c r="AJ19" s="334" t="s">
        <v>38</v>
      </c>
      <c r="AK19" s="332" t="s">
        <v>39</v>
      </c>
      <c r="AL19" s="332" t="s">
        <v>526</v>
      </c>
      <c r="AM19" s="332" t="s">
        <v>40</v>
      </c>
      <c r="AN19" s="331"/>
      <c r="AV19" s="345"/>
      <c r="AW19" s="1092"/>
      <c r="AX19" s="1093"/>
    </row>
    <row r="20" spans="2:50" s="278" customFormat="1" ht="12" customHeight="1" x14ac:dyDescent="0.25">
      <c r="B20" s="1191" t="e">
        <f>'Financing Assumptions'!$S$26</f>
        <v>#N/A</v>
      </c>
      <c r="C20" s="732">
        <f t="shared" ref="C20:C83" si="0">DAY(EOMONTH(DATE($M20,$D20,1),0))</f>
        <v>31</v>
      </c>
      <c r="D20" s="35">
        <f t="shared" ref="D20:D83" si="1">INDEX($AT$22:$AU$34,MATCH($L20,$AT$22:$AT$34,0),MATCH("Number",$AT$22:$AU$22,0))</f>
        <v>8</v>
      </c>
      <c r="E20" s="889">
        <f>DATE(M20,D20,C20)</f>
        <v>45900</v>
      </c>
      <c r="F20" s="822">
        <f t="shared" ref="F20:F83" si="2">INDEX($AT$22:$AU$34,MATCH($L20,$AT$22:$AT$34,0),MATCH("Number",$AT$22:$AU$22,0))</f>
        <v>8</v>
      </c>
      <c r="G20" s="500">
        <f>E20-L11</f>
        <v>62</v>
      </c>
      <c r="H20" s="126">
        <f t="shared" ref="H20:H83" si="3">IF($T$4="Monthly",INDEX($AT$36:$AU$48,MATCH($L20,$AT$36:$AT$48,0),MATCH("Number",$AT$36:$AU$36,0)),0)</f>
        <v>0</v>
      </c>
      <c r="I20" s="1098">
        <f>IF($T$4="Annual",1,IF(AND($T$4="Bi-Annual",$F20&gt;$F21),1,IF(AND($T$4="Bi-Annual",$F20&lt;$F21),0,IF($T$4="Monthly",0,))))</f>
        <v>1</v>
      </c>
      <c r="J20" s="886">
        <v>1</v>
      </c>
      <c r="K20" s="1099">
        <f>IF($J20&lt;$AR$29,0,1)</f>
        <v>1</v>
      </c>
      <c r="L20" s="891" t="str">
        <f>IF($T$4="Annual",$R$5,IF(AND($T$4="Bi-Annual",($AS$23+1)&gt;MAX($R$4,$S$4)),INDEX($AU$22:$AV$34,MATCH(MIN($R$4,$S$4),$AU$22:$AU$34,0),MATCH("Month",$AU$22:$AV$22,0)),IF(AND($T$4="Bi-Annual",($AS$23+1)&lt;=MIN($R$4,$S$4)),INDEX($AU$22:$AV$34,MATCH(MIN($R$4,$S$4),$AU$22:$AU$34,0),MATCH("Month",$AU$22:$AV$22,0)),IF(AND($T$4="Bi-Annual",($AS$23+1)&gt;MIN($R$4,$S$4),($AS$23+1)&lt;=MAX($R$4,$S$4)),INDEX($AU$22:$AV$34,MATCH(MAX($R$4,$S$4),$AU$22:$AU$34,0),MATCH("Month",$AU$22:$AV$22,0)),IF($T$4="Monthly",INDEX($AU$22:$AV$34,MATCH(MONTH(L11),$AU$22:$AU$34,0),MATCH("Month",$AU$22:$AV$22,0)))))))</f>
        <v>August</v>
      </c>
      <c r="M20" s="888">
        <f>IF(AND($T$4="Annual",($AS$23+1)&lt;$R$4),$M$10,IF(AND($T$4="Annual",($AS$23+1)&gt;$R$4),$M$10+1,IF(AND($T$4="Bi-Annual",($AS$23+1)&lt;=MAX($R$4,$S$4)),$M$10,IF(AND($T$4="Bi-Annual",($AS$23+1)&gt;MAX($R$4,$S$4)),$M$10+1,IF(AND($T$4="Monthly",$M$11&lt;&gt;"December"),$M$10,IF(AND($T$4="Monthly",$M$11="December"),M10+1))))))</f>
        <v>2025</v>
      </c>
      <c r="N20" s="883">
        <f>M4</f>
        <v>0</v>
      </c>
      <c r="O20" s="883">
        <f>IF($J20&gt;$S$6,0,IF(AND($AR$29&gt;=0,$J20&lt;=$AR$29),0,IF(AND($AR$27&gt;=0,$J20&lt;=$AR$27),$R20,IF(K20=$T$7,SUM(-N20,R20),IF(AND($T$4="Annual",$AR$27&gt;=0,$AR$29&gt;=0,$J20&gt;$AR$27,$J20&gt;$AR$29),PMT($M$7,($S$6-$AR$27),$M$4),IF(AND($T$4="Bi-Annual",$AR$27&gt;=0,$AR$29&gt;=0,$J20&gt;$AR$27,$J20&gt;$AR$29),PMT($M$7/2,($S$6-$AR$27),$M$4),IF(AND($T$4="Monthly",$AR$27&gt;=0,$AR$29&gt;=0,$J20&gt;$AR$27,$J20&gt;$AR$29),PMT($M$7/12,($S$6-$AR$27),$M$4))))))))-P20</f>
        <v>0</v>
      </c>
      <c r="P20" s="1100">
        <v>0</v>
      </c>
      <c r="Q20" s="883">
        <f t="shared" ref="Q20:Q83" si="4">IF(AND($AS$39="Early Payoff",J20&gt;=$S$13),0,IF($J20&gt;$S$6,0,IF(AND($AR$29&gt;0,$J20&lt;=$AR$29),0,+$O20-$R20)))</f>
        <v>0</v>
      </c>
      <c r="R20" s="884">
        <f>IF($T$4="Annual",-$M$7*$M$4*1,IF(AND($T$4="Bi-Annual",$M$8="Base"),(-$M$7/2)*$M$4*1,IF(AND($T$4="Bi-Annual",$M$8="Actual Days"),(-$M$7*$M$4)*($G20/366),IF($T$4="Monthly",(-$M$7/12)*$M$4*1))))</f>
        <v>0</v>
      </c>
      <c r="S20" s="884">
        <f>IF($J20&lt;=$S$6,SUM($Q$20:$Q20),0)</f>
        <v>0</v>
      </c>
      <c r="T20" s="884">
        <f>IF($J20&lt;=$S$6,SUM($R$20:$R20),0)</f>
        <v>0</v>
      </c>
      <c r="U20" s="873">
        <f t="shared" ref="U20:U83" si="5">IF($K20&lt;$S$13,SUM($N20,$Q20),0)</f>
        <v>0</v>
      </c>
      <c r="V20" s="1110">
        <f>IF($T$4="Monthly",$N20,IF(AND(OR($T$4="Annual",$T$4="Bi-Annual"),$K20=$T$7),INDEX($J$19:$U$379,MATCH($T$7,$K$19:$K$2379,0),MATCH($N$19,$J$19:$U$19,0)),IF(AND(OR($T$4="Annual",$T$4="Bi-Annual"),$K20&lt;$T$7),$N20,0)))</f>
        <v>0</v>
      </c>
      <c r="X20" s="1102">
        <f t="shared" ref="X20:X83" si="6">IF($J20&gt;$S$6,0,IF($J20&lt;=$AR$27,0,IF(AND($Y$5="%/Payment",$AA$5=0),$O20*$Z$5,IF(AND($Y$5="%/Payment",$AA$5&gt;0,($O20*$Z$5)&lt;$AA$5),$O20*$Z$5,IF(AND($Y$5="%/Payment",$AA$5&gt;0,($O20*$Z$5)&gt;$AA$5),-$AA$5,IF(AND($Y$5="%/Balance",$AA$5=0),-$U20*$Z$5,IF(AND($Y$5="%/Balance",$AA$5&gt;0,($U20*$Z$5)&lt;$AA$5),-$U20*$Z$5,IF(AND($Y$5="%/Balance",$AA$5&gt;0,($U20*$Z$5)&gt;$AA$5),-$AA$5,IF($Y$5="Fixed Amount",-$Z$5,IF($Y$5="N/A",0))))))))))</f>
        <v>0</v>
      </c>
      <c r="Y20" s="873">
        <f t="shared" ref="Y20:Y83" si="7">IF($J20&gt;$S$6,0,IF($J20&lt;=$AR$27,0,IF(AND($Y$6="%/Payment",$AA$6=0),$O20*$Z$6,IF(AND($Y$6="%/Payment",$AA$6&gt;0,($O20*$Z$6)&lt;$AA$6),$O20*$Z$6,IF(AND($Y$6="%/Payment",$AA$6&gt;0,($O20*$Z$6)&gt;$AA$6),-$AA$6,IF(AND($Y$6="%/Balance",$AA$6=0),-$U20*$Z$6,IF(AND($Y$6="%/Balance",$AA$6&gt;0,($U20*$Z$6)&lt;$AA$6),-$U20*$Z$6,IF(AND($Y$6="%/Balance",$AA$6&gt;0,($U20*$Z$6)&gt;$AA$6),-$AA$6,IF($Y$6="Fixed Amount",-$Z$6,IF($Y$6="N/A",0))))))))))</f>
        <v>0</v>
      </c>
      <c r="Z20" s="873">
        <f t="shared" ref="Z20:Z83" si="8">IF($J20&gt;$S$6,0,IF($J20&lt;=$AR$27,0,IF(AND($Y$7="%/Payment",$AA$7=0),$O20*$Z$7,IF(AND($Y$7="%/Payment",$AA$7&gt;0,($O20*$Z$7)&lt;$AA$7),$O20*$Z$7,IF(AND($Y$7="%/Payment",$AA$7&gt;0,($O20*$Z$7)&gt;$AA$7),-$AA$7,IF(AND($Y$7="%/Balance",$AA$7=0),-$U20*$Z$7,IF(AND($Y$7="%/Balance",$AA$7&gt;0,($U20*$Z$7)&lt;$AA$7),-$U20*$Z$7,IF(AND($Y$7="%/Balance",$AA$7&gt;0,($O20*$Z$7)&gt;$AA$7),-$AA$7,IF($Y$7="Fixed Amount",-$Z$7,IF($Y$7="N/A",0))))))))))</f>
        <v>0</v>
      </c>
      <c r="AA20" s="885">
        <f t="shared" ref="AA20:AA83" si="9">SUM($O20,$X20:$Z20)</f>
        <v>0</v>
      </c>
      <c r="AC20" s="355">
        <f>IF(AND($T$4="Annual",$M$20=$M$10,$R$4&gt;$AS$23),1,IF(AND($T$4="Annual",$M$20&gt;$M$10),1,IF(AND($T$4="Annual",$M$20=$M$10),0,IF(AND($T$4="Bi-Annual",$M$20=$M$10),0,IF(AND($T$4="Bi-Annual",$M$20&gt;$M$10),1,IF(AND(T4="Monthly",$L$20="January"),1,IF(AND(T4="Monthly",$L$20&lt;&gt;"January"),0)))))))</f>
        <v>0</v>
      </c>
      <c r="AD20" s="1103">
        <f>$M$20</f>
        <v>2025</v>
      </c>
      <c r="AE20" s="1104">
        <f>INDEX($M$19:$N$379,MATCH($AD20,$M$19:$M$379,0),MATCH($AE$19,$M$19:$N$19,0))</f>
        <v>0</v>
      </c>
      <c r="AF20" s="1104">
        <f>SUMIFS($AA$20:$AA$379,$M$20:$M$379,"="&amp;$AD20)</f>
        <v>0</v>
      </c>
      <c r="AG20" s="1104">
        <f>SUMIFS($Q$20:$Q$379,$M$20:$M$379,"="&amp;$AD20)</f>
        <v>0</v>
      </c>
      <c r="AH20" s="1104">
        <f>SUMIFS($R$20:$R$379,$M$20:$M$379,"="&amp;$AD20)</f>
        <v>0</v>
      </c>
      <c r="AI20" s="1104">
        <f>SUMIFS($X$20:$X$379,$M$20:$M$379,"="&amp;$AD20)+SUMIFS($Y$20:$Y$379,$M$20:$M$379,"="&amp;$AD20)+SUMIFS($Z$20:$Z$379,$M$20:$M$379,"="&amp;$AD20)</f>
        <v>0</v>
      </c>
      <c r="AJ20" s="1104">
        <f>IF($AE20=0,0,SUM($AG$20:$AG20))</f>
        <v>0</v>
      </c>
      <c r="AK20" s="1104">
        <f>IF($AE20=0,0,SUM($AH$20:$AH20))</f>
        <v>0</v>
      </c>
      <c r="AL20" s="1104">
        <f>SUM($AI$20:$AI20)</f>
        <v>0</v>
      </c>
      <c r="AM20" s="1104">
        <f>AE20+AG20</f>
        <v>0</v>
      </c>
      <c r="AN20" s="1104"/>
      <c r="AO20" s="347"/>
      <c r="AQ20" s="1106" t="s">
        <v>44</v>
      </c>
      <c r="AR20" s="360"/>
      <c r="AS20" s="360"/>
      <c r="AT20" s="360"/>
      <c r="AU20" s="360"/>
      <c r="AV20" s="1107"/>
      <c r="AW20" s="1092"/>
      <c r="AX20" s="1093"/>
    </row>
    <row r="21" spans="2:50" s="278" customFormat="1" ht="12" customHeight="1" x14ac:dyDescent="0.25">
      <c r="B21" s="1192" t="e">
        <f>B20+1</f>
        <v>#N/A</v>
      </c>
      <c r="C21" s="732">
        <f>DAY(EOMONTH(DATE($M21,$D21,1),0))</f>
        <v>31</v>
      </c>
      <c r="D21" s="35">
        <f t="shared" si="1"/>
        <v>3</v>
      </c>
      <c r="E21" s="889">
        <f>DATE(M21,D21,C21)</f>
        <v>46112</v>
      </c>
      <c r="F21" s="822">
        <f t="shared" si="2"/>
        <v>3</v>
      </c>
      <c r="G21" s="500">
        <f>E21-E20</f>
        <v>212</v>
      </c>
      <c r="H21" s="126">
        <f t="shared" si="3"/>
        <v>0</v>
      </c>
      <c r="I21" s="1098">
        <f>IF($T$4="Annual",1,IF(AND($T$4="Bi-Annual",$F21&gt;$F22),1,IF(AND($T$4="Bi-Annual",$F21&lt;$F22),0,IF($T$4="Monthly",0,))))</f>
        <v>0</v>
      </c>
      <c r="J21" s="887">
        <f>J20+1</f>
        <v>2</v>
      </c>
      <c r="K21" s="1099">
        <f t="shared" ref="K21:K84" si="10">IF($J21&lt;=$AR$29,0,IF($J20&gt;=$AR$29,$K20+1))</f>
        <v>2</v>
      </c>
      <c r="L21" s="891" t="str">
        <f t="shared" ref="L21:L84" si="11">IF($T$4="Annual",$R$5,IF(AND($T$4="Bi-Annual",$F20&lt;MAX($R$4,$S$4)),INDEX($AU$22:$AV$34,MATCH(MAX($R$4,$S$4),$AU$22:$AU$34,0),MATCH("Month",$AU$22:$AV$22,0)),IF(AND($T$4="Bi-Annual",$F20=MAX($R$4,$S$4)),INDEX($AU$22:$AV$34,MATCH(MIN($R$4,$S$4),$AU$22:$AU$34,0),MATCH("Month",$AU$22:$AV$22,0)),IF(AND($T$4="Monthly",$F20&lt;12),INDEX($AU$22:$AV$34,MATCH($F20+1,$AU$22:$AU$34,0),MATCH("Month",$AU$22:$AV$22,0)),IF(AND($T$4="Monthly",$F20=12),INDEX($AU$22:$AV$34,MATCH($F20-11,$AU$22:$AU$34,0),MATCH("Month",$AU$22:$AV$22,0)))))))</f>
        <v>March</v>
      </c>
      <c r="M21" s="888">
        <f>IF($T$4="Annual",$M20+$I21,IF($T$4="Bi-Annual",$M20+$I20,IF($T$4="Monthly",$M20+$H20)))</f>
        <v>2026</v>
      </c>
      <c r="N21" s="883">
        <f t="shared" ref="N21:N84" si="12">IF(AND($AS$39="Early Payoff",$J21&gt;$S$13),0,IF(AND($AS$39="Early Payoff",$J21&lt;$S$13),$U20,IF($J21&gt;$S$6,0,$U20)))</f>
        <v>0</v>
      </c>
      <c r="O21" s="883">
        <f>IF($J21&gt;$S$6,0,IF(AND($AR$29&gt;=0,$J21&lt;=$AR$29),0,IF(AND($AR$27&gt;=0,$J21&lt;=$AR$27),$R21,IF(K21=$T$7,SUM(-N21,R21),IF(AND($T$4="Annual",$AR$27&gt;=0,$AR$29&gt;=0,$J21&gt;$AR$27,$J21&gt;$AR$29),PMT($M$7,($S$6-$AR$27),$M$4),IF(AND($T$4="Bi-Annual",$AR$27&gt;=0,$AR$29&gt;=0,$J21&gt;$AR$27,$J21&gt;$AR$29),PMT($M$7/2,($S$6-$AR$27),$M$4),IF(AND($T$4="Monthly",$AR$27&gt;=0,$AR$29&gt;=0,$J21&gt;$AR$27,$J21&gt;$AR$29),PMT($M$7/12,($S$6-$AR$27),$M$4))))))))-P21</f>
        <v>0</v>
      </c>
      <c r="P21" s="1100">
        <v>0</v>
      </c>
      <c r="Q21" s="883">
        <f t="shared" si="4"/>
        <v>0</v>
      </c>
      <c r="R21" s="884">
        <f>IF(AND($AS$39="Early Payoff",J21&gt;=$S$13),0,IF($T$4="Annual",-$M$7*$U20*1,IF(AND($T$4="Bi-Annual",$M$8="Base"),(-$M$7/2)*$U20*1,IF(AND($T$4="Bi-Annual",$M$8="Actual Days"),(-$M$7*$U20)*(G21/366),IF($T$4="Monthly",(-$M$7/12)*$U20*1)))))</f>
        <v>0</v>
      </c>
      <c r="S21" s="884">
        <f>IF(AND($AS$39="Early Payoff",J21&gt;=$S$13),0,IF($J21&lt;=$S$6,SUM($Q$20:$Q21),0))</f>
        <v>0</v>
      </c>
      <c r="T21" s="884">
        <f>IF(AND($AS$39="Early Payoff",J21&gt;=$S$13),0,IF($J21&lt;=$S$6,SUM($R$20:$R21),0))</f>
        <v>0</v>
      </c>
      <c r="U21" s="885">
        <f t="shared" si="5"/>
        <v>0</v>
      </c>
      <c r="V21" s="1110">
        <f t="shared" ref="V21:V84" si="13">IF($T$4="Monthly",$N21,IF(AND(OR($T$4="Annual",$T$4="Bi-Annual"),$K21=$T$7),INDEX($J$19:$U$379,MATCH($T$7,$K$19:$K$2379,0),MATCH($N$19,$J$19:$U$19,0)),IF(AND(OR($T$4="Annual",$T$4="Bi-Annual"),$K21&lt;$T$7),$N21,0)))</f>
        <v>0</v>
      </c>
      <c r="X21" s="1102">
        <f t="shared" si="6"/>
        <v>0</v>
      </c>
      <c r="Y21" s="873">
        <f t="shared" si="7"/>
        <v>0</v>
      </c>
      <c r="Z21" s="873">
        <f t="shared" si="8"/>
        <v>0</v>
      </c>
      <c r="AA21" s="885">
        <f t="shared" si="9"/>
        <v>0</v>
      </c>
      <c r="AC21" s="355">
        <f>AC20+1</f>
        <v>1</v>
      </c>
      <c r="AD21" s="1103">
        <f>AD20+1</f>
        <v>2026</v>
      </c>
      <c r="AE21" s="1104">
        <f t="shared" ref="AE21:AE49" si="14">INDEX($M$19:$N$379,MATCH($AD21,$M$19:$M$379,0),MATCH($AE$19,$M$19:$N$19,0))</f>
        <v>0</v>
      </c>
      <c r="AF21" s="1104">
        <f t="shared" ref="AF21:AF49" si="15">SUMIFS($AA$20:$AA$379,$M$20:$M$379,"="&amp;$AD21)</f>
        <v>0</v>
      </c>
      <c r="AG21" s="1104">
        <f t="shared" ref="AG21:AG49" si="16">SUMIFS($Q$20:$Q$379,$M$20:$M$379,"="&amp;$AD21)</f>
        <v>0</v>
      </c>
      <c r="AH21" s="1104">
        <f t="shared" ref="AH21:AH49" si="17">SUMIFS($R$20:$R$379,$M$20:$M$379,"="&amp;$AD21)</f>
        <v>0</v>
      </c>
      <c r="AI21" s="1104">
        <f t="shared" ref="AI21:AI49" si="18">SUMIFS($X$20:$X$379,$M$20:$M$379,"="&amp;$AD21)+SUMIFS($Y$20:$Y$379,$M$20:$M$379,"="&amp;$AD21)+SUMIFS($Z$20:$Z$379,$M$20:$M$379,"="&amp;$AD21)</f>
        <v>0</v>
      </c>
      <c r="AJ21" s="1104">
        <f>IF($AE21=0,0,SUM($AG$20:$AG21))</f>
        <v>0</v>
      </c>
      <c r="AK21" s="1104">
        <f>IF($AE21=0,0,SUM($AH$20:$AH21))</f>
        <v>0</v>
      </c>
      <c r="AL21" s="1104">
        <f>SUM($AI$20:$AI21)</f>
        <v>0</v>
      </c>
      <c r="AM21" s="1104">
        <f>AE21+AG21</f>
        <v>0</v>
      </c>
      <c r="AN21" s="1104"/>
      <c r="AO21" s="347"/>
      <c r="AQ21" s="347"/>
      <c r="AR21" s="345"/>
      <c r="AS21" s="345"/>
      <c r="AT21" s="345"/>
      <c r="AU21" s="1092"/>
      <c r="AV21" s="348"/>
      <c r="AW21" s="1092"/>
      <c r="AX21" s="1093"/>
    </row>
    <row r="22" spans="2:50" s="278" customFormat="1" ht="12" customHeight="1" x14ac:dyDescent="0.25">
      <c r="B22" s="1192" t="e">
        <f t="shared" ref="B22:B85" si="19">B21+1</f>
        <v>#N/A</v>
      </c>
      <c r="C22" s="732">
        <f t="shared" si="0"/>
        <v>31</v>
      </c>
      <c r="D22" s="35">
        <f t="shared" si="1"/>
        <v>8</v>
      </c>
      <c r="E22" s="889">
        <f>DATE(M22,D22,C22)</f>
        <v>46265</v>
      </c>
      <c r="F22" s="822">
        <f t="shared" si="2"/>
        <v>8</v>
      </c>
      <c r="G22" s="500">
        <f t="shared" ref="G22:G85" si="20">E22-E21</f>
        <v>153</v>
      </c>
      <c r="H22" s="126">
        <f t="shared" si="3"/>
        <v>0</v>
      </c>
      <c r="I22" s="1098">
        <f>IF($T$4="Annual",1,IF(AND($T$4="Bi-Annual",$F22&gt;$F23),1,IF(AND($T$4="Bi-Annual",$F22&lt;$F23),0,IF($T$4="Monthly",0,))))</f>
        <v>1</v>
      </c>
      <c r="J22" s="887">
        <f t="shared" ref="J22:J85" si="21">J21+1</f>
        <v>3</v>
      </c>
      <c r="K22" s="1099">
        <f t="shared" si="10"/>
        <v>3</v>
      </c>
      <c r="L22" s="891" t="str">
        <f t="shared" si="11"/>
        <v>August</v>
      </c>
      <c r="M22" s="888">
        <f t="shared" ref="M22:M85" si="22">IF($T$4="Annual",$M21+$I22,IF($T$4="Bi-Annual",$M21+$I21,IF($T$4="Monthly",$M21+$H21)))</f>
        <v>2026</v>
      </c>
      <c r="N22" s="883">
        <f t="shared" si="12"/>
        <v>0</v>
      </c>
      <c r="O22" s="883">
        <f t="shared" ref="O22:O85" si="23">IF($J22&gt;$S$6,0,IF(AND($AR$29&gt;=0,$J22&lt;=$AR$29),0,IF(AND($AR$27&gt;=0,$J22&lt;=$AR$27),$R22,IF(K22=$T$7,SUM(-N22,R22),IF(AND($T$4="Annual",$AR$27&gt;=0,$AR$29&gt;=0,$J22&gt;$AR$27,$J22&gt;$AR$29),PMT($M$7,($S$6-$AR$27),$M$4),IF(AND($T$4="Bi-Annual",$AR$27&gt;=0,$AR$29&gt;=0,$J22&gt;$AR$27,$J22&gt;$AR$29),PMT($M$7/2,($S$6-$AR$27),$M$4),IF(AND($T$4="Monthly",$AR$27&gt;=0,$AR$29&gt;=0,$J22&gt;$AR$27,$J22&gt;$AR$29),PMT($M$7/12,($S$6-$AR$27),$M$4))))))))-P22</f>
        <v>0</v>
      </c>
      <c r="P22" s="1100">
        <v>0</v>
      </c>
      <c r="Q22" s="883">
        <f t="shared" si="4"/>
        <v>0</v>
      </c>
      <c r="R22" s="884">
        <f t="shared" ref="R22:R85" si="24">IF(AND($AS$39="Early Payoff",J22&gt;=$S$13),0,IF($T$4="Annual",-$M$7*$U21*1,IF(AND($T$4="Bi-Annual",$M$8="Base"),(-$M$7/2)*$U21*1,IF(AND($T$4="Bi-Annual",$M$8="Actual Days"),(-$M$7*$U21)*(G22/366),IF($T$4="Monthly",(-$M$7/12)*$U21*1)))))</f>
        <v>0</v>
      </c>
      <c r="S22" s="884">
        <f>IF(AND($AS$39="Early Payoff",J22&gt;=$S$13),0,IF($J22&lt;=$S$6,SUM($Q$20:$Q22),0))</f>
        <v>0</v>
      </c>
      <c r="T22" s="884">
        <f>IF(AND($AS$39="Early Payoff",J22&gt;=$S$13),0,IF($J22&lt;=$S$6,SUM($R$20:$R22),0))</f>
        <v>0</v>
      </c>
      <c r="U22" s="885">
        <f t="shared" si="5"/>
        <v>0</v>
      </c>
      <c r="V22" s="1110">
        <f t="shared" si="13"/>
        <v>0</v>
      </c>
      <c r="X22" s="1102">
        <f t="shared" si="6"/>
        <v>0</v>
      </c>
      <c r="Y22" s="873">
        <f t="shared" si="7"/>
        <v>0</v>
      </c>
      <c r="Z22" s="873">
        <f t="shared" si="8"/>
        <v>0</v>
      </c>
      <c r="AA22" s="885">
        <f t="shared" si="9"/>
        <v>0</v>
      </c>
      <c r="AC22" s="355">
        <f t="shared" ref="AC22:AD37" si="25">AC21+1</f>
        <v>2</v>
      </c>
      <c r="AD22" s="1103">
        <f t="shared" si="25"/>
        <v>2027</v>
      </c>
      <c r="AE22" s="1104">
        <f t="shared" si="14"/>
        <v>0</v>
      </c>
      <c r="AF22" s="1104">
        <f t="shared" si="15"/>
        <v>0</v>
      </c>
      <c r="AG22" s="1104">
        <f t="shared" si="16"/>
        <v>0</v>
      </c>
      <c r="AH22" s="1104">
        <f t="shared" si="17"/>
        <v>0</v>
      </c>
      <c r="AI22" s="1104">
        <f t="shared" si="18"/>
        <v>0</v>
      </c>
      <c r="AJ22" s="1104">
        <f>IF($AE22=0,0,SUM($AG$20:$AG22))</f>
        <v>0</v>
      </c>
      <c r="AK22" s="1104">
        <f>IF($AE22=0,0,SUM($AH$20:$AH22))</f>
        <v>0</v>
      </c>
      <c r="AL22" s="1104">
        <f>SUM($AI$20:$AI22)</f>
        <v>0</v>
      </c>
      <c r="AM22" s="1104">
        <f t="shared" ref="AM22:AM49" si="26">AE22+AG22</f>
        <v>0</v>
      </c>
      <c r="AN22" s="1104"/>
      <c r="AO22" s="347"/>
      <c r="AQ22" s="1111" t="s">
        <v>429</v>
      </c>
      <c r="AR22" s="1112">
        <f>M10</f>
        <v>2025</v>
      </c>
      <c r="AS22" s="345"/>
      <c r="AT22" s="1113"/>
      <c r="AU22" s="1114" t="s">
        <v>527</v>
      </c>
      <c r="AV22" s="1115" t="s">
        <v>33</v>
      </c>
      <c r="AW22" s="1092"/>
      <c r="AX22" s="1093"/>
    </row>
    <row r="23" spans="2:50" s="278" customFormat="1" ht="12" customHeight="1" x14ac:dyDescent="0.25">
      <c r="B23" s="1192" t="e">
        <f t="shared" si="19"/>
        <v>#N/A</v>
      </c>
      <c r="C23" s="732">
        <f t="shared" si="0"/>
        <v>31</v>
      </c>
      <c r="D23" s="35">
        <f t="shared" si="1"/>
        <v>3</v>
      </c>
      <c r="E23" s="889">
        <f t="shared" ref="E23:E86" si="27">DATE(M23,D23,C23)</f>
        <v>46477</v>
      </c>
      <c r="F23" s="822">
        <f t="shared" si="2"/>
        <v>3</v>
      </c>
      <c r="G23" s="500">
        <f t="shared" si="20"/>
        <v>212</v>
      </c>
      <c r="H23" s="126">
        <f t="shared" si="3"/>
        <v>0</v>
      </c>
      <c r="I23" s="1098">
        <f t="shared" ref="I23:I86" si="28">IF($T$4="Annual",1,IF(AND($T$4="Bi-Annual",$F23&gt;$F24),1,IF(AND($T$4="Bi-Annual",$F23&lt;$F24),0,IF($T$4="Monthly",0,))))</f>
        <v>0</v>
      </c>
      <c r="J23" s="887">
        <f t="shared" si="21"/>
        <v>4</v>
      </c>
      <c r="K23" s="1099">
        <f t="shared" si="10"/>
        <v>4</v>
      </c>
      <c r="L23" s="891" t="str">
        <f t="shared" si="11"/>
        <v>March</v>
      </c>
      <c r="M23" s="888">
        <f t="shared" si="22"/>
        <v>2027</v>
      </c>
      <c r="N23" s="883">
        <f t="shared" si="12"/>
        <v>0</v>
      </c>
      <c r="O23" s="883">
        <f t="shared" si="23"/>
        <v>0</v>
      </c>
      <c r="P23" s="1100">
        <v>0</v>
      </c>
      <c r="Q23" s="883">
        <f t="shared" si="4"/>
        <v>0</v>
      </c>
      <c r="R23" s="884">
        <f t="shared" si="24"/>
        <v>0</v>
      </c>
      <c r="S23" s="884">
        <f>IF(AND($AS$39="Early Payoff",J23&gt;=$S$13),0,IF($J23&lt;=$S$6,SUM($Q$20:$Q23),0))</f>
        <v>0</v>
      </c>
      <c r="T23" s="884">
        <f>IF(AND($AS$39="Early Payoff",J23&gt;=$S$13),0,IF($J23&lt;=$S$6,SUM($R$20:$R23),0))</f>
        <v>0</v>
      </c>
      <c r="U23" s="885">
        <f t="shared" si="5"/>
        <v>0</v>
      </c>
      <c r="V23" s="1110">
        <f t="shared" si="13"/>
        <v>0</v>
      </c>
      <c r="X23" s="1102">
        <f t="shared" si="6"/>
        <v>0</v>
      </c>
      <c r="Y23" s="873">
        <f t="shared" si="7"/>
        <v>0</v>
      </c>
      <c r="Z23" s="873">
        <f t="shared" si="8"/>
        <v>0</v>
      </c>
      <c r="AA23" s="885">
        <f t="shared" si="9"/>
        <v>0</v>
      </c>
      <c r="AC23" s="355">
        <f t="shared" si="25"/>
        <v>3</v>
      </c>
      <c r="AD23" s="1103">
        <f t="shared" si="25"/>
        <v>2028</v>
      </c>
      <c r="AE23" s="1104">
        <f t="shared" si="14"/>
        <v>0</v>
      </c>
      <c r="AF23" s="1104">
        <f t="shared" si="15"/>
        <v>0</v>
      </c>
      <c r="AG23" s="1104">
        <f t="shared" si="16"/>
        <v>0</v>
      </c>
      <c r="AH23" s="1104">
        <f t="shared" si="17"/>
        <v>0</v>
      </c>
      <c r="AI23" s="1104">
        <f t="shared" si="18"/>
        <v>0</v>
      </c>
      <c r="AJ23" s="1104">
        <f>IF($AE23=0,0,SUM($AG$20:$AG23))</f>
        <v>0</v>
      </c>
      <c r="AK23" s="1104">
        <f>IF($AE23=0,0,SUM($AH$20:$AH23))</f>
        <v>0</v>
      </c>
      <c r="AL23" s="1104">
        <f>SUM($AI$20:$AI23)</f>
        <v>0</v>
      </c>
      <c r="AM23" s="1104">
        <f t="shared" si="26"/>
        <v>0</v>
      </c>
      <c r="AN23" s="1104"/>
      <c r="AO23" s="347"/>
      <c r="AQ23" s="1111" t="s">
        <v>430</v>
      </c>
      <c r="AR23" s="1112" t="str">
        <f>M11</f>
        <v>June</v>
      </c>
      <c r="AS23" s="1116">
        <f>INDEX(AT22:AU34,MATCH(AR23,AT22:AT34,0),MATCH("Number",AT22:AU22,0))</f>
        <v>6</v>
      </c>
      <c r="AT23" s="1111" t="s">
        <v>425</v>
      </c>
      <c r="AU23" s="1117">
        <v>1</v>
      </c>
      <c r="AV23" s="348" t="str">
        <f>AT23</f>
        <v>January</v>
      </c>
      <c r="AW23" s="1092"/>
      <c r="AX23" s="1093"/>
    </row>
    <row r="24" spans="2:50" s="278" customFormat="1" ht="12" customHeight="1" x14ac:dyDescent="0.25">
      <c r="B24" s="1192" t="e">
        <f t="shared" si="19"/>
        <v>#N/A</v>
      </c>
      <c r="C24" s="732">
        <f t="shared" si="0"/>
        <v>31</v>
      </c>
      <c r="D24" s="35">
        <f t="shared" si="1"/>
        <v>8</v>
      </c>
      <c r="E24" s="889">
        <f t="shared" si="27"/>
        <v>46630</v>
      </c>
      <c r="F24" s="822">
        <f t="shared" si="2"/>
        <v>8</v>
      </c>
      <c r="G24" s="500">
        <f t="shared" si="20"/>
        <v>153</v>
      </c>
      <c r="H24" s="126">
        <f t="shared" si="3"/>
        <v>0</v>
      </c>
      <c r="I24" s="1098">
        <f t="shared" si="28"/>
        <v>1</v>
      </c>
      <c r="J24" s="887">
        <f t="shared" si="21"/>
        <v>5</v>
      </c>
      <c r="K24" s="1099">
        <f t="shared" si="10"/>
        <v>5</v>
      </c>
      <c r="L24" s="891" t="str">
        <f t="shared" si="11"/>
        <v>August</v>
      </c>
      <c r="M24" s="888">
        <f t="shared" si="22"/>
        <v>2027</v>
      </c>
      <c r="N24" s="883">
        <f t="shared" si="12"/>
        <v>0</v>
      </c>
      <c r="O24" s="883">
        <f t="shared" si="23"/>
        <v>0</v>
      </c>
      <c r="P24" s="1100">
        <v>0</v>
      </c>
      <c r="Q24" s="883">
        <f t="shared" si="4"/>
        <v>0</v>
      </c>
      <c r="R24" s="884">
        <f t="shared" si="24"/>
        <v>0</v>
      </c>
      <c r="S24" s="884">
        <f>IF(AND($AS$39="Early Payoff",J24&gt;=$S$13),0,IF($J24&lt;=$S$6,SUM($Q$20:$Q24),0))</f>
        <v>0</v>
      </c>
      <c r="T24" s="884">
        <f>IF(AND($AS$39="Early Payoff",J24&gt;=$S$13),0,IF($J24&lt;=$S$6,SUM($R$20:$R24),0))</f>
        <v>0</v>
      </c>
      <c r="U24" s="885">
        <f t="shared" si="5"/>
        <v>0</v>
      </c>
      <c r="V24" s="1110">
        <f t="shared" si="13"/>
        <v>0</v>
      </c>
      <c r="X24" s="1102">
        <f t="shared" si="6"/>
        <v>0</v>
      </c>
      <c r="Y24" s="873">
        <f t="shared" si="7"/>
        <v>0</v>
      </c>
      <c r="Z24" s="873">
        <f t="shared" si="8"/>
        <v>0</v>
      </c>
      <c r="AA24" s="885">
        <f t="shared" si="9"/>
        <v>0</v>
      </c>
      <c r="AC24" s="355">
        <f t="shared" si="25"/>
        <v>4</v>
      </c>
      <c r="AD24" s="1103">
        <f t="shared" si="25"/>
        <v>2029</v>
      </c>
      <c r="AE24" s="1104">
        <f t="shared" si="14"/>
        <v>0</v>
      </c>
      <c r="AF24" s="1104">
        <f t="shared" si="15"/>
        <v>0</v>
      </c>
      <c r="AG24" s="1104">
        <f t="shared" si="16"/>
        <v>0</v>
      </c>
      <c r="AH24" s="1104">
        <f t="shared" si="17"/>
        <v>0</v>
      </c>
      <c r="AI24" s="1104">
        <f t="shared" si="18"/>
        <v>0</v>
      </c>
      <c r="AJ24" s="1104">
        <f>IF($AE24=0,0,SUM($AG$20:$AG24))</f>
        <v>0</v>
      </c>
      <c r="AK24" s="1104">
        <f>IF($AE24=0,0,SUM($AH$20:$AH24))</f>
        <v>0</v>
      </c>
      <c r="AL24" s="1104">
        <f>SUM($AI$20:$AI24)</f>
        <v>0</v>
      </c>
      <c r="AM24" s="1104">
        <f t="shared" si="26"/>
        <v>0</v>
      </c>
      <c r="AN24" s="1104"/>
      <c r="AO24" s="347"/>
      <c r="AQ24" s="1111" t="s">
        <v>431</v>
      </c>
      <c r="AR24" s="1118">
        <f>EOMONTH(DATE(AR22,INDEX($AT$22:$AU$34,MATCH($AR$23,$AT$22:$AT$34,0),MATCH("Number",$AT$22:$AU$22,0)),1),0)</f>
        <v>45838</v>
      </c>
      <c r="AS24" s="345"/>
      <c r="AT24" s="1111" t="s">
        <v>528</v>
      </c>
      <c r="AU24" s="1117">
        <v>2</v>
      </c>
      <c r="AV24" s="348" t="str">
        <f t="shared" ref="AV24:AV34" si="29">AT24</f>
        <v>February</v>
      </c>
      <c r="AW24" s="1092"/>
      <c r="AX24" s="1093"/>
    </row>
    <row r="25" spans="2:50" s="278" customFormat="1" ht="12" customHeight="1" x14ac:dyDescent="0.25">
      <c r="B25" s="1192" t="e">
        <f t="shared" si="19"/>
        <v>#N/A</v>
      </c>
      <c r="C25" s="732">
        <f t="shared" si="0"/>
        <v>31</v>
      </c>
      <c r="D25" s="35">
        <f t="shared" si="1"/>
        <v>3</v>
      </c>
      <c r="E25" s="889">
        <f t="shared" si="27"/>
        <v>46843</v>
      </c>
      <c r="F25" s="822">
        <f t="shared" si="2"/>
        <v>3</v>
      </c>
      <c r="G25" s="500">
        <f t="shared" si="20"/>
        <v>213</v>
      </c>
      <c r="H25" s="126">
        <f t="shared" si="3"/>
        <v>0</v>
      </c>
      <c r="I25" s="1098">
        <f t="shared" si="28"/>
        <v>0</v>
      </c>
      <c r="J25" s="887">
        <f t="shared" si="21"/>
        <v>6</v>
      </c>
      <c r="K25" s="1099">
        <f t="shared" si="10"/>
        <v>6</v>
      </c>
      <c r="L25" s="891" t="str">
        <f t="shared" si="11"/>
        <v>March</v>
      </c>
      <c r="M25" s="888">
        <f t="shared" si="22"/>
        <v>2028</v>
      </c>
      <c r="N25" s="883">
        <f t="shared" si="12"/>
        <v>0</v>
      </c>
      <c r="O25" s="883">
        <f t="shared" si="23"/>
        <v>0</v>
      </c>
      <c r="P25" s="1100">
        <v>0</v>
      </c>
      <c r="Q25" s="883">
        <f t="shared" si="4"/>
        <v>0</v>
      </c>
      <c r="R25" s="884">
        <f t="shared" si="24"/>
        <v>0</v>
      </c>
      <c r="S25" s="884">
        <f>IF(AND($AS$39="Early Payoff",J25&gt;=$S$13),0,IF($J25&lt;=$S$6,SUM($Q$20:$Q25),0))</f>
        <v>0</v>
      </c>
      <c r="T25" s="884">
        <f>IF(AND($AS$39="Early Payoff",J25&gt;=$S$13),0,IF($J25&lt;=$S$6,SUM($R$20:$R25),0))</f>
        <v>0</v>
      </c>
      <c r="U25" s="885">
        <f t="shared" si="5"/>
        <v>0</v>
      </c>
      <c r="V25" s="1110">
        <f t="shared" si="13"/>
        <v>0</v>
      </c>
      <c r="X25" s="1102">
        <f t="shared" si="6"/>
        <v>0</v>
      </c>
      <c r="Y25" s="873">
        <f t="shared" si="7"/>
        <v>0</v>
      </c>
      <c r="Z25" s="873">
        <f t="shared" si="8"/>
        <v>0</v>
      </c>
      <c r="AA25" s="885">
        <f t="shared" si="9"/>
        <v>0</v>
      </c>
      <c r="AC25" s="355">
        <f t="shared" si="25"/>
        <v>5</v>
      </c>
      <c r="AD25" s="1103">
        <f t="shared" si="25"/>
        <v>2030</v>
      </c>
      <c r="AE25" s="1104">
        <f t="shared" si="14"/>
        <v>0</v>
      </c>
      <c r="AF25" s="1104">
        <f t="shared" si="15"/>
        <v>0</v>
      </c>
      <c r="AG25" s="1104">
        <f t="shared" si="16"/>
        <v>0</v>
      </c>
      <c r="AH25" s="1104">
        <f t="shared" si="17"/>
        <v>0</v>
      </c>
      <c r="AI25" s="1104">
        <f t="shared" si="18"/>
        <v>0</v>
      </c>
      <c r="AJ25" s="1104">
        <f>IF($AE25=0,0,SUM($AG$20:$AG25))</f>
        <v>0</v>
      </c>
      <c r="AK25" s="1104">
        <f>IF($AE25=0,0,SUM($AH$20:$AH25))</f>
        <v>0</v>
      </c>
      <c r="AL25" s="1104">
        <f>SUM($AI$20:$AI25)</f>
        <v>0</v>
      </c>
      <c r="AM25" s="1104">
        <f t="shared" si="26"/>
        <v>0</v>
      </c>
      <c r="AN25" s="1104"/>
      <c r="AO25" s="347"/>
      <c r="AQ25" s="1111"/>
      <c r="AR25" s="1112"/>
      <c r="AS25" s="345"/>
      <c r="AT25" s="1111" t="s">
        <v>378</v>
      </c>
      <c r="AU25" s="1117">
        <v>3</v>
      </c>
      <c r="AV25" s="348" t="str">
        <f t="shared" si="29"/>
        <v>March</v>
      </c>
      <c r="AW25" s="1092"/>
      <c r="AX25" s="1093"/>
    </row>
    <row r="26" spans="2:50" s="278" customFormat="1" ht="12" customHeight="1" x14ac:dyDescent="0.25">
      <c r="B26" s="1192" t="e">
        <f t="shared" si="19"/>
        <v>#N/A</v>
      </c>
      <c r="C26" s="732">
        <f t="shared" si="0"/>
        <v>31</v>
      </c>
      <c r="D26" s="35">
        <f t="shared" si="1"/>
        <v>8</v>
      </c>
      <c r="E26" s="889">
        <f t="shared" si="27"/>
        <v>46996</v>
      </c>
      <c r="F26" s="822">
        <f t="shared" si="2"/>
        <v>8</v>
      </c>
      <c r="G26" s="500">
        <f t="shared" si="20"/>
        <v>153</v>
      </c>
      <c r="H26" s="126">
        <f t="shared" si="3"/>
        <v>0</v>
      </c>
      <c r="I26" s="1098">
        <f t="shared" si="28"/>
        <v>1</v>
      </c>
      <c r="J26" s="887">
        <f t="shared" si="21"/>
        <v>7</v>
      </c>
      <c r="K26" s="1099">
        <f t="shared" si="10"/>
        <v>7</v>
      </c>
      <c r="L26" s="891" t="str">
        <f t="shared" si="11"/>
        <v>August</v>
      </c>
      <c r="M26" s="888">
        <f t="shared" si="22"/>
        <v>2028</v>
      </c>
      <c r="N26" s="883">
        <f t="shared" si="12"/>
        <v>0</v>
      </c>
      <c r="O26" s="883">
        <f t="shared" si="23"/>
        <v>0</v>
      </c>
      <c r="P26" s="1100">
        <v>0</v>
      </c>
      <c r="Q26" s="883">
        <f t="shared" si="4"/>
        <v>0</v>
      </c>
      <c r="R26" s="884">
        <f t="shared" si="24"/>
        <v>0</v>
      </c>
      <c r="S26" s="884">
        <f>IF(AND($AS$39="Early Payoff",J26&gt;=$S$13),0,IF($J26&lt;=$S$6,SUM($Q$20:$Q26),0))</f>
        <v>0</v>
      </c>
      <c r="T26" s="884">
        <f>IF(AND($AS$39="Early Payoff",J26&gt;=$S$13),0,IF($J26&lt;=$S$6,SUM($R$20:$R26),0))</f>
        <v>0</v>
      </c>
      <c r="U26" s="885">
        <f t="shared" si="5"/>
        <v>0</v>
      </c>
      <c r="V26" s="1110">
        <f t="shared" si="13"/>
        <v>0</v>
      </c>
      <c r="X26" s="1102">
        <f t="shared" si="6"/>
        <v>0</v>
      </c>
      <c r="Y26" s="873">
        <f t="shared" si="7"/>
        <v>0</v>
      </c>
      <c r="Z26" s="873">
        <f t="shared" si="8"/>
        <v>0</v>
      </c>
      <c r="AA26" s="885">
        <f t="shared" si="9"/>
        <v>0</v>
      </c>
      <c r="AC26" s="355">
        <f t="shared" si="25"/>
        <v>6</v>
      </c>
      <c r="AD26" s="1103">
        <f t="shared" si="25"/>
        <v>2031</v>
      </c>
      <c r="AE26" s="1104">
        <f t="shared" si="14"/>
        <v>0</v>
      </c>
      <c r="AF26" s="1104">
        <f t="shared" si="15"/>
        <v>0</v>
      </c>
      <c r="AG26" s="1104">
        <f t="shared" si="16"/>
        <v>0</v>
      </c>
      <c r="AH26" s="1104">
        <f t="shared" si="17"/>
        <v>0</v>
      </c>
      <c r="AI26" s="1104">
        <f t="shared" si="18"/>
        <v>0</v>
      </c>
      <c r="AJ26" s="1104">
        <f>IF($AE26=0,0,SUM($AG$20:$AG26))</f>
        <v>0</v>
      </c>
      <c r="AK26" s="1104">
        <f>IF($AE26=0,0,SUM($AH$20:$AH26))</f>
        <v>0</v>
      </c>
      <c r="AL26" s="1104">
        <f>SUM($AI$20:$AI26)</f>
        <v>0</v>
      </c>
      <c r="AM26" s="1104">
        <f t="shared" si="26"/>
        <v>0</v>
      </c>
      <c r="AN26" s="1104"/>
      <c r="AO26" s="347"/>
      <c r="AQ26" s="347" t="s">
        <v>531</v>
      </c>
      <c r="AR26" s="1142">
        <f>M12</f>
        <v>0</v>
      </c>
      <c r="AS26" s="345"/>
      <c r="AT26" s="1111" t="s">
        <v>529</v>
      </c>
      <c r="AU26" s="1117">
        <v>4</v>
      </c>
      <c r="AV26" s="348" t="str">
        <f t="shared" si="29"/>
        <v>April</v>
      </c>
      <c r="AW26" s="1092"/>
      <c r="AX26" s="1093"/>
    </row>
    <row r="27" spans="2:50" s="278" customFormat="1" ht="12" customHeight="1" x14ac:dyDescent="0.25">
      <c r="B27" s="1192" t="e">
        <f t="shared" si="19"/>
        <v>#N/A</v>
      </c>
      <c r="C27" s="732">
        <f t="shared" si="0"/>
        <v>31</v>
      </c>
      <c r="D27" s="35">
        <f t="shared" si="1"/>
        <v>3</v>
      </c>
      <c r="E27" s="889">
        <f t="shared" si="27"/>
        <v>47208</v>
      </c>
      <c r="F27" s="822">
        <f t="shared" si="2"/>
        <v>3</v>
      </c>
      <c r="G27" s="500">
        <f t="shared" si="20"/>
        <v>212</v>
      </c>
      <c r="H27" s="126">
        <f t="shared" si="3"/>
        <v>0</v>
      </c>
      <c r="I27" s="1098">
        <f t="shared" si="28"/>
        <v>0</v>
      </c>
      <c r="J27" s="887">
        <f t="shared" si="21"/>
        <v>8</v>
      </c>
      <c r="K27" s="1099">
        <f t="shared" si="10"/>
        <v>8</v>
      </c>
      <c r="L27" s="891" t="str">
        <f t="shared" si="11"/>
        <v>March</v>
      </c>
      <c r="M27" s="888">
        <f t="shared" si="22"/>
        <v>2029</v>
      </c>
      <c r="N27" s="883">
        <f t="shared" si="12"/>
        <v>0</v>
      </c>
      <c r="O27" s="883">
        <f t="shared" si="23"/>
        <v>0</v>
      </c>
      <c r="P27" s="1100">
        <v>0</v>
      </c>
      <c r="Q27" s="883">
        <f t="shared" si="4"/>
        <v>0</v>
      </c>
      <c r="R27" s="884">
        <f t="shared" si="24"/>
        <v>0</v>
      </c>
      <c r="S27" s="884">
        <f>IF(AND($AS$39="Early Payoff",J27&gt;=$S$13),0,IF($J27&lt;=$S$6,SUM($Q$20:$Q27),0))</f>
        <v>0</v>
      </c>
      <c r="T27" s="884">
        <f>IF(AND($AS$39="Early Payoff",J27&gt;=$S$13),0,IF($J27&lt;=$S$6,SUM($R$20:$R27),0))</f>
        <v>0</v>
      </c>
      <c r="U27" s="885">
        <f t="shared" si="5"/>
        <v>0</v>
      </c>
      <c r="V27" s="1110">
        <f t="shared" si="13"/>
        <v>0</v>
      </c>
      <c r="X27" s="1102">
        <f t="shared" si="6"/>
        <v>0</v>
      </c>
      <c r="Y27" s="873">
        <f t="shared" si="7"/>
        <v>0</v>
      </c>
      <c r="Z27" s="873">
        <f t="shared" si="8"/>
        <v>0</v>
      </c>
      <c r="AA27" s="885">
        <f t="shared" si="9"/>
        <v>0</v>
      </c>
      <c r="AC27" s="355">
        <f t="shared" si="25"/>
        <v>7</v>
      </c>
      <c r="AD27" s="1103">
        <f t="shared" si="25"/>
        <v>2032</v>
      </c>
      <c r="AE27" s="1104">
        <f t="shared" si="14"/>
        <v>0</v>
      </c>
      <c r="AF27" s="1104">
        <f t="shared" si="15"/>
        <v>0</v>
      </c>
      <c r="AG27" s="1104">
        <f t="shared" si="16"/>
        <v>0</v>
      </c>
      <c r="AH27" s="1104">
        <f t="shared" si="17"/>
        <v>0</v>
      </c>
      <c r="AI27" s="1104">
        <f t="shared" si="18"/>
        <v>0</v>
      </c>
      <c r="AJ27" s="1104">
        <f>IF($AE27=0,0,SUM($AG$20:$AG27))</f>
        <v>0</v>
      </c>
      <c r="AK27" s="1104">
        <f>IF($AE27=0,0,SUM($AH$20:$AH27))</f>
        <v>0</v>
      </c>
      <c r="AL27" s="1104">
        <f>SUM($AI$20:$AI27)</f>
        <v>0</v>
      </c>
      <c r="AM27" s="1104">
        <f t="shared" si="26"/>
        <v>0</v>
      </c>
      <c r="AN27" s="1104"/>
      <c r="AO27" s="347"/>
      <c r="AQ27" s="1143" t="s">
        <v>532</v>
      </c>
      <c r="AR27" s="1144">
        <f>IF($T$4="Annual",AR26/12,IF($T$4="Bi-Annual",(AR26/12)*2-1,IF($T$4="Monthly",AR26)))</f>
        <v>-1</v>
      </c>
      <c r="AS27" s="345"/>
      <c r="AT27" s="1111" t="s">
        <v>49</v>
      </c>
      <c r="AU27" s="1117">
        <v>5</v>
      </c>
      <c r="AV27" s="348" t="str">
        <f t="shared" si="29"/>
        <v>May</v>
      </c>
      <c r="AW27" s="1092"/>
      <c r="AX27" s="1093"/>
    </row>
    <row r="28" spans="2:50" s="278" customFormat="1" ht="12" customHeight="1" x14ac:dyDescent="0.25">
      <c r="B28" s="1192" t="e">
        <f t="shared" si="19"/>
        <v>#N/A</v>
      </c>
      <c r="C28" s="732">
        <f t="shared" si="0"/>
        <v>31</v>
      </c>
      <c r="D28" s="35">
        <f t="shared" si="1"/>
        <v>8</v>
      </c>
      <c r="E28" s="889">
        <f t="shared" si="27"/>
        <v>47361</v>
      </c>
      <c r="F28" s="822">
        <f t="shared" si="2"/>
        <v>8</v>
      </c>
      <c r="G28" s="500">
        <f t="shared" si="20"/>
        <v>153</v>
      </c>
      <c r="H28" s="126">
        <f t="shared" si="3"/>
        <v>0</v>
      </c>
      <c r="I28" s="1098">
        <f t="shared" si="28"/>
        <v>1</v>
      </c>
      <c r="J28" s="887">
        <f t="shared" si="21"/>
        <v>9</v>
      </c>
      <c r="K28" s="1099">
        <f t="shared" si="10"/>
        <v>9</v>
      </c>
      <c r="L28" s="891" t="str">
        <f t="shared" si="11"/>
        <v>August</v>
      </c>
      <c r="M28" s="888">
        <f t="shared" si="22"/>
        <v>2029</v>
      </c>
      <c r="N28" s="883">
        <f t="shared" si="12"/>
        <v>0</v>
      </c>
      <c r="O28" s="883">
        <f t="shared" si="23"/>
        <v>0</v>
      </c>
      <c r="P28" s="1100"/>
      <c r="Q28" s="883">
        <f t="shared" si="4"/>
        <v>0</v>
      </c>
      <c r="R28" s="884">
        <f t="shared" si="24"/>
        <v>0</v>
      </c>
      <c r="S28" s="884">
        <f>IF(AND($AS$39="Early Payoff",J28&gt;=$S$13),0,IF($J28&lt;=$S$6,SUM($Q$20:$Q28),0))</f>
        <v>0</v>
      </c>
      <c r="T28" s="884">
        <f>IF(AND($AS$39="Early Payoff",J28&gt;=$S$13),0,IF($J28&lt;=$S$6,SUM($R$20:$R28),0))</f>
        <v>0</v>
      </c>
      <c r="U28" s="885">
        <f t="shared" si="5"/>
        <v>0</v>
      </c>
      <c r="V28" s="1110">
        <f t="shared" si="13"/>
        <v>0</v>
      </c>
      <c r="X28" s="1102">
        <f t="shared" si="6"/>
        <v>0</v>
      </c>
      <c r="Y28" s="873">
        <f t="shared" si="7"/>
        <v>0</v>
      </c>
      <c r="Z28" s="873">
        <f t="shared" si="8"/>
        <v>0</v>
      </c>
      <c r="AA28" s="885">
        <f t="shared" si="9"/>
        <v>0</v>
      </c>
      <c r="AC28" s="355">
        <f t="shared" si="25"/>
        <v>8</v>
      </c>
      <c r="AD28" s="1103">
        <f t="shared" si="25"/>
        <v>2033</v>
      </c>
      <c r="AE28" s="1104">
        <f t="shared" si="14"/>
        <v>0</v>
      </c>
      <c r="AF28" s="1104">
        <f t="shared" si="15"/>
        <v>0</v>
      </c>
      <c r="AG28" s="1104">
        <f t="shared" si="16"/>
        <v>0</v>
      </c>
      <c r="AH28" s="1104">
        <f t="shared" si="17"/>
        <v>0</v>
      </c>
      <c r="AI28" s="1104">
        <f t="shared" si="18"/>
        <v>0</v>
      </c>
      <c r="AJ28" s="1104">
        <f>IF($AE28=0,0,SUM($AG$20:$AG28))</f>
        <v>0</v>
      </c>
      <c r="AK28" s="1104">
        <f>IF($AE28=0,0,SUM($AH$20:$AH28))</f>
        <v>0</v>
      </c>
      <c r="AL28" s="1104">
        <f>SUM($AI$20:$AI28)</f>
        <v>0</v>
      </c>
      <c r="AM28" s="1104">
        <f t="shared" si="26"/>
        <v>0</v>
      </c>
      <c r="AN28" s="1104"/>
      <c r="AO28" s="347"/>
      <c r="AQ28" s="347" t="s">
        <v>162</v>
      </c>
      <c r="AR28" s="1142">
        <f>M13</f>
        <v>0</v>
      </c>
      <c r="AS28" s="345"/>
      <c r="AT28" s="1111" t="s">
        <v>264</v>
      </c>
      <c r="AU28" s="1117">
        <v>6</v>
      </c>
      <c r="AV28" s="348" t="str">
        <f t="shared" si="29"/>
        <v>June</v>
      </c>
      <c r="AW28" s="1092"/>
      <c r="AX28" s="1093"/>
    </row>
    <row r="29" spans="2:50" s="278" customFormat="1" ht="12" customHeight="1" x14ac:dyDescent="0.25">
      <c r="B29" s="1192" t="e">
        <f t="shared" si="19"/>
        <v>#N/A</v>
      </c>
      <c r="C29" s="732">
        <f t="shared" si="0"/>
        <v>31</v>
      </c>
      <c r="D29" s="35">
        <f t="shared" si="1"/>
        <v>3</v>
      </c>
      <c r="E29" s="889">
        <f t="shared" si="27"/>
        <v>47573</v>
      </c>
      <c r="F29" s="822">
        <f t="shared" si="2"/>
        <v>3</v>
      </c>
      <c r="G29" s="500">
        <f t="shared" si="20"/>
        <v>212</v>
      </c>
      <c r="H29" s="126">
        <f t="shared" si="3"/>
        <v>0</v>
      </c>
      <c r="I29" s="1098">
        <f t="shared" si="28"/>
        <v>0</v>
      </c>
      <c r="J29" s="887">
        <f t="shared" si="21"/>
        <v>10</v>
      </c>
      <c r="K29" s="1099">
        <f t="shared" si="10"/>
        <v>10</v>
      </c>
      <c r="L29" s="891" t="str">
        <f t="shared" si="11"/>
        <v>March</v>
      </c>
      <c r="M29" s="888">
        <f t="shared" si="22"/>
        <v>2030</v>
      </c>
      <c r="N29" s="883">
        <f t="shared" si="12"/>
        <v>0</v>
      </c>
      <c r="O29" s="883">
        <f t="shared" si="23"/>
        <v>0</v>
      </c>
      <c r="P29" s="1100"/>
      <c r="Q29" s="883">
        <f t="shared" si="4"/>
        <v>0</v>
      </c>
      <c r="R29" s="884">
        <f t="shared" si="24"/>
        <v>0</v>
      </c>
      <c r="S29" s="884">
        <f>IF(AND($AS$39="Early Payoff",J29&gt;=$S$13),0,IF($J29&lt;=$S$6,SUM($Q$20:$Q29),0))</f>
        <v>0</v>
      </c>
      <c r="T29" s="884">
        <f>IF(AND($AS$39="Early Payoff",J29&gt;=$S$13),0,IF($J29&lt;=$S$6,SUM($R$20:$R29),0))</f>
        <v>0</v>
      </c>
      <c r="U29" s="885">
        <f t="shared" si="5"/>
        <v>0</v>
      </c>
      <c r="V29" s="1110">
        <f t="shared" si="13"/>
        <v>0</v>
      </c>
      <c r="X29" s="1102">
        <f t="shared" si="6"/>
        <v>0</v>
      </c>
      <c r="Y29" s="873">
        <f t="shared" si="7"/>
        <v>0</v>
      </c>
      <c r="Z29" s="873">
        <f t="shared" si="8"/>
        <v>0</v>
      </c>
      <c r="AA29" s="885">
        <f t="shared" si="9"/>
        <v>0</v>
      </c>
      <c r="AC29" s="355">
        <f t="shared" si="25"/>
        <v>9</v>
      </c>
      <c r="AD29" s="1103">
        <f t="shared" si="25"/>
        <v>2034</v>
      </c>
      <c r="AE29" s="1104">
        <f t="shared" si="14"/>
        <v>0</v>
      </c>
      <c r="AF29" s="1104">
        <f t="shared" si="15"/>
        <v>0</v>
      </c>
      <c r="AG29" s="1104">
        <f t="shared" si="16"/>
        <v>0</v>
      </c>
      <c r="AH29" s="1104">
        <f t="shared" si="17"/>
        <v>0</v>
      </c>
      <c r="AI29" s="1104">
        <f t="shared" si="18"/>
        <v>0</v>
      </c>
      <c r="AJ29" s="1104">
        <f>IF($AE29=0,0,SUM($AG$20:$AG29))</f>
        <v>0</v>
      </c>
      <c r="AK29" s="1104">
        <f>IF($AE29=0,0,SUM($AH$20:$AH29))</f>
        <v>0</v>
      </c>
      <c r="AL29" s="1104">
        <f>SUM($AI$20:$AI29)</f>
        <v>0</v>
      </c>
      <c r="AM29" s="1104">
        <f t="shared" si="26"/>
        <v>0</v>
      </c>
      <c r="AN29" s="1104"/>
      <c r="AO29" s="347"/>
      <c r="AQ29" s="1143" t="s">
        <v>534</v>
      </c>
      <c r="AR29" s="1144">
        <f>IF($T$4="Annual",AR28/12,IF($T$4="Bi-Annual",ROUNDUP((AR28/12)*2,0),IF($T$4="Monthly",AR28)))</f>
        <v>0</v>
      </c>
      <c r="AS29" s="345"/>
      <c r="AT29" s="1111" t="s">
        <v>530</v>
      </c>
      <c r="AU29" s="1117">
        <v>7</v>
      </c>
      <c r="AV29" s="348" t="str">
        <f t="shared" si="29"/>
        <v>July</v>
      </c>
      <c r="AW29" s="1092"/>
      <c r="AX29" s="1093"/>
    </row>
    <row r="30" spans="2:50" s="278" customFormat="1" ht="12" customHeight="1" x14ac:dyDescent="0.25">
      <c r="B30" s="1192" t="e">
        <f t="shared" si="19"/>
        <v>#N/A</v>
      </c>
      <c r="C30" s="732">
        <f t="shared" si="0"/>
        <v>31</v>
      </c>
      <c r="D30" s="35">
        <f t="shared" si="1"/>
        <v>8</v>
      </c>
      <c r="E30" s="889">
        <f t="shared" si="27"/>
        <v>47726</v>
      </c>
      <c r="F30" s="822">
        <f t="shared" si="2"/>
        <v>8</v>
      </c>
      <c r="G30" s="500">
        <f t="shared" si="20"/>
        <v>153</v>
      </c>
      <c r="H30" s="126">
        <f t="shared" si="3"/>
        <v>0</v>
      </c>
      <c r="I30" s="1098">
        <f t="shared" si="28"/>
        <v>1</v>
      </c>
      <c r="J30" s="887">
        <f t="shared" si="21"/>
        <v>11</v>
      </c>
      <c r="K30" s="1099">
        <f t="shared" si="10"/>
        <v>11</v>
      </c>
      <c r="L30" s="891" t="str">
        <f t="shared" si="11"/>
        <v>August</v>
      </c>
      <c r="M30" s="888">
        <f t="shared" si="22"/>
        <v>2030</v>
      </c>
      <c r="N30" s="883">
        <f t="shared" si="12"/>
        <v>0</v>
      </c>
      <c r="O30" s="883">
        <f t="shared" si="23"/>
        <v>0</v>
      </c>
      <c r="P30" s="1100"/>
      <c r="Q30" s="883">
        <f t="shared" si="4"/>
        <v>0</v>
      </c>
      <c r="R30" s="884">
        <f t="shared" si="24"/>
        <v>0</v>
      </c>
      <c r="S30" s="884">
        <f>IF(AND($AS$39="Early Payoff",J30&gt;=$S$13),0,IF($J30&lt;=$S$6,SUM($Q$20:$Q30),0))</f>
        <v>0</v>
      </c>
      <c r="T30" s="884">
        <f>IF(AND($AS$39="Early Payoff",J30&gt;=$S$13),0,IF($J30&lt;=$S$6,SUM($R$20:$R30),0))</f>
        <v>0</v>
      </c>
      <c r="U30" s="885">
        <f t="shared" si="5"/>
        <v>0</v>
      </c>
      <c r="V30" s="1110">
        <f t="shared" si="13"/>
        <v>0</v>
      </c>
      <c r="X30" s="1102">
        <f t="shared" si="6"/>
        <v>0</v>
      </c>
      <c r="Y30" s="873">
        <f t="shared" si="7"/>
        <v>0</v>
      </c>
      <c r="Z30" s="873">
        <f t="shared" si="8"/>
        <v>0</v>
      </c>
      <c r="AA30" s="885">
        <f t="shared" si="9"/>
        <v>0</v>
      </c>
      <c r="AC30" s="355">
        <f t="shared" si="25"/>
        <v>10</v>
      </c>
      <c r="AD30" s="1103">
        <f t="shared" si="25"/>
        <v>2035</v>
      </c>
      <c r="AE30" s="1104">
        <f t="shared" si="14"/>
        <v>0</v>
      </c>
      <c r="AF30" s="1104">
        <f t="shared" si="15"/>
        <v>0</v>
      </c>
      <c r="AG30" s="1104">
        <f t="shared" si="16"/>
        <v>0</v>
      </c>
      <c r="AH30" s="1104">
        <f t="shared" si="17"/>
        <v>0</v>
      </c>
      <c r="AI30" s="1104">
        <f t="shared" si="18"/>
        <v>0</v>
      </c>
      <c r="AJ30" s="1104">
        <f>IF($AE30=0,0,SUM($AG$20:$AG30))</f>
        <v>0</v>
      </c>
      <c r="AK30" s="1104">
        <f>IF($AE30=0,0,SUM($AH$20:$AH30))</f>
        <v>0</v>
      </c>
      <c r="AL30" s="1104">
        <f>SUM($AI$20:$AI30)</f>
        <v>0</v>
      </c>
      <c r="AM30" s="1104">
        <f t="shared" si="26"/>
        <v>0</v>
      </c>
      <c r="AN30" s="1104"/>
      <c r="AO30" s="347"/>
      <c r="AQ30" s="347"/>
      <c r="AR30" s="345"/>
      <c r="AS30" s="345"/>
      <c r="AT30" s="1111" t="s">
        <v>509</v>
      </c>
      <c r="AU30" s="1117">
        <v>8</v>
      </c>
      <c r="AV30" s="348" t="str">
        <f t="shared" si="29"/>
        <v>August</v>
      </c>
      <c r="AW30" s="1092"/>
      <c r="AX30" s="1093"/>
    </row>
    <row r="31" spans="2:50" s="278" customFormat="1" ht="12" customHeight="1" x14ac:dyDescent="0.25">
      <c r="B31" s="1192" t="e">
        <f t="shared" si="19"/>
        <v>#N/A</v>
      </c>
      <c r="C31" s="732">
        <f t="shared" si="0"/>
        <v>31</v>
      </c>
      <c r="D31" s="35">
        <f t="shared" si="1"/>
        <v>3</v>
      </c>
      <c r="E31" s="889">
        <f t="shared" si="27"/>
        <v>47938</v>
      </c>
      <c r="F31" s="822">
        <f t="shared" si="2"/>
        <v>3</v>
      </c>
      <c r="G31" s="500">
        <f t="shared" si="20"/>
        <v>212</v>
      </c>
      <c r="H31" s="126">
        <f t="shared" si="3"/>
        <v>0</v>
      </c>
      <c r="I31" s="1098">
        <f t="shared" si="28"/>
        <v>0</v>
      </c>
      <c r="J31" s="887">
        <f t="shared" si="21"/>
        <v>12</v>
      </c>
      <c r="K31" s="1099">
        <f t="shared" si="10"/>
        <v>12</v>
      </c>
      <c r="L31" s="891" t="str">
        <f t="shared" si="11"/>
        <v>March</v>
      </c>
      <c r="M31" s="888">
        <f t="shared" si="22"/>
        <v>2031</v>
      </c>
      <c r="N31" s="883">
        <f t="shared" si="12"/>
        <v>0</v>
      </c>
      <c r="O31" s="883">
        <f t="shared" si="23"/>
        <v>0</v>
      </c>
      <c r="P31" s="1100"/>
      <c r="Q31" s="883">
        <f t="shared" si="4"/>
        <v>0</v>
      </c>
      <c r="R31" s="884">
        <f t="shared" si="24"/>
        <v>0</v>
      </c>
      <c r="S31" s="884">
        <f>IF(AND($AS$39="Early Payoff",J31&gt;=$S$13),0,IF($J31&lt;=$S$6,SUM($Q$20:$Q31),0))</f>
        <v>0</v>
      </c>
      <c r="T31" s="884">
        <f>IF(AND($AS$39="Early Payoff",J31&gt;=$S$13),0,IF($J31&lt;=$S$6,SUM($R$20:$R31),0))</f>
        <v>0</v>
      </c>
      <c r="U31" s="885">
        <f t="shared" si="5"/>
        <v>0</v>
      </c>
      <c r="V31" s="1110">
        <f t="shared" si="13"/>
        <v>0</v>
      </c>
      <c r="X31" s="1102">
        <f t="shared" si="6"/>
        <v>0</v>
      </c>
      <c r="Y31" s="873">
        <f t="shared" si="7"/>
        <v>0</v>
      </c>
      <c r="Z31" s="873">
        <f t="shared" si="8"/>
        <v>0</v>
      </c>
      <c r="AA31" s="885">
        <f t="shared" si="9"/>
        <v>0</v>
      </c>
      <c r="AC31" s="355">
        <f t="shared" si="25"/>
        <v>11</v>
      </c>
      <c r="AD31" s="1103">
        <f t="shared" si="25"/>
        <v>2036</v>
      </c>
      <c r="AE31" s="1104">
        <f t="shared" si="14"/>
        <v>0</v>
      </c>
      <c r="AF31" s="1104">
        <f t="shared" si="15"/>
        <v>0</v>
      </c>
      <c r="AG31" s="1104">
        <f t="shared" si="16"/>
        <v>0</v>
      </c>
      <c r="AH31" s="1104">
        <f t="shared" si="17"/>
        <v>0</v>
      </c>
      <c r="AI31" s="1104">
        <f t="shared" si="18"/>
        <v>0</v>
      </c>
      <c r="AJ31" s="1104">
        <f>IF($AE31=0,0,SUM($AG$20:$AG31))</f>
        <v>0</v>
      </c>
      <c r="AK31" s="1104">
        <f>IF($AE31=0,0,SUM($AH$20:$AH31))</f>
        <v>0</v>
      </c>
      <c r="AL31" s="1104">
        <f>SUM($AI$20:$AI31)</f>
        <v>0</v>
      </c>
      <c r="AM31" s="1104">
        <f t="shared" si="26"/>
        <v>0</v>
      </c>
      <c r="AN31" s="1104"/>
      <c r="AO31" s="347"/>
      <c r="AQ31" s="347" t="s">
        <v>536</v>
      </c>
      <c r="AR31" s="1103">
        <f>YEAR(AR33)</f>
        <v>2025</v>
      </c>
      <c r="AS31" s="345"/>
      <c r="AT31" s="1111" t="s">
        <v>461</v>
      </c>
      <c r="AU31" s="1117">
        <v>9</v>
      </c>
      <c r="AV31" s="348" t="str">
        <f t="shared" si="29"/>
        <v>September</v>
      </c>
      <c r="AW31" s="1092"/>
      <c r="AX31" s="1093"/>
    </row>
    <row r="32" spans="2:50" s="278" customFormat="1" ht="12" customHeight="1" x14ac:dyDescent="0.25">
      <c r="B32" s="1192" t="e">
        <f t="shared" si="19"/>
        <v>#N/A</v>
      </c>
      <c r="C32" s="732">
        <f t="shared" si="0"/>
        <v>31</v>
      </c>
      <c r="D32" s="35">
        <f t="shared" si="1"/>
        <v>8</v>
      </c>
      <c r="E32" s="889">
        <f t="shared" si="27"/>
        <v>48091</v>
      </c>
      <c r="F32" s="822">
        <f t="shared" si="2"/>
        <v>8</v>
      </c>
      <c r="G32" s="500">
        <f t="shared" si="20"/>
        <v>153</v>
      </c>
      <c r="H32" s="126">
        <f t="shared" si="3"/>
        <v>0</v>
      </c>
      <c r="I32" s="1098">
        <f t="shared" si="28"/>
        <v>1</v>
      </c>
      <c r="J32" s="887">
        <f t="shared" si="21"/>
        <v>13</v>
      </c>
      <c r="K32" s="1099">
        <f t="shared" si="10"/>
        <v>13</v>
      </c>
      <c r="L32" s="891" t="str">
        <f t="shared" si="11"/>
        <v>August</v>
      </c>
      <c r="M32" s="888">
        <f t="shared" si="22"/>
        <v>2031</v>
      </c>
      <c r="N32" s="883">
        <f t="shared" si="12"/>
        <v>0</v>
      </c>
      <c r="O32" s="883">
        <f t="shared" si="23"/>
        <v>0</v>
      </c>
      <c r="P32" s="1100"/>
      <c r="Q32" s="883">
        <f t="shared" si="4"/>
        <v>0</v>
      </c>
      <c r="R32" s="884">
        <f t="shared" si="24"/>
        <v>0</v>
      </c>
      <c r="S32" s="884">
        <f>IF(AND($AS$39="Early Payoff",J32&gt;=$S$13),0,IF($J32&lt;=$S$6,SUM($Q$20:$Q32),0))</f>
        <v>0</v>
      </c>
      <c r="T32" s="884">
        <f>IF(AND($AS$39="Early Payoff",J32&gt;=$S$13),0,IF($J32&lt;=$S$6,SUM($R$20:$R32),0))</f>
        <v>0</v>
      </c>
      <c r="U32" s="885">
        <f t="shared" si="5"/>
        <v>0</v>
      </c>
      <c r="V32" s="1110">
        <f t="shared" si="13"/>
        <v>0</v>
      </c>
      <c r="X32" s="1102">
        <f t="shared" si="6"/>
        <v>0</v>
      </c>
      <c r="Y32" s="873">
        <f t="shared" si="7"/>
        <v>0</v>
      </c>
      <c r="Z32" s="873">
        <f t="shared" si="8"/>
        <v>0</v>
      </c>
      <c r="AA32" s="885">
        <f t="shared" si="9"/>
        <v>0</v>
      </c>
      <c r="AC32" s="355">
        <f t="shared" si="25"/>
        <v>12</v>
      </c>
      <c r="AD32" s="1103">
        <f t="shared" si="25"/>
        <v>2037</v>
      </c>
      <c r="AE32" s="1104">
        <f t="shared" si="14"/>
        <v>0</v>
      </c>
      <c r="AF32" s="1104">
        <f t="shared" si="15"/>
        <v>0</v>
      </c>
      <c r="AG32" s="1104">
        <f t="shared" si="16"/>
        <v>0</v>
      </c>
      <c r="AH32" s="1104">
        <f t="shared" si="17"/>
        <v>0</v>
      </c>
      <c r="AI32" s="1104">
        <f t="shared" si="18"/>
        <v>0</v>
      </c>
      <c r="AJ32" s="1104">
        <f>IF($AE32=0,0,SUM($AG$20:$AG32))</f>
        <v>0</v>
      </c>
      <c r="AK32" s="1104">
        <f>IF($AE32=0,0,SUM($AH$20:$AH32))</f>
        <v>0</v>
      </c>
      <c r="AL32" s="1104">
        <f>SUM($AI$20:$AI32)</f>
        <v>0</v>
      </c>
      <c r="AM32" s="1104">
        <f t="shared" si="26"/>
        <v>0</v>
      </c>
      <c r="AN32" s="1104"/>
      <c r="AO32" s="347"/>
      <c r="AQ32" s="347" t="s">
        <v>537</v>
      </c>
      <c r="AR32" s="1077" t="str">
        <f>INDEX($AU$22:$AV$34,MATCH(MONTH($AR$33),$AU$22:$AU$34,0),MATCH("Month",$AU$22:$AV$22,0))</f>
        <v>July</v>
      </c>
      <c r="AS32" s="345"/>
      <c r="AT32" s="1111" t="s">
        <v>533</v>
      </c>
      <c r="AU32" s="1117">
        <v>10</v>
      </c>
      <c r="AV32" s="348" t="str">
        <f t="shared" si="29"/>
        <v>October</v>
      </c>
      <c r="AW32" s="1092"/>
      <c r="AX32" s="1093"/>
    </row>
    <row r="33" spans="2:50" s="278" customFormat="1" ht="12" customHeight="1" x14ac:dyDescent="0.25">
      <c r="B33" s="1192" t="e">
        <f t="shared" si="19"/>
        <v>#N/A</v>
      </c>
      <c r="C33" s="732">
        <f t="shared" si="0"/>
        <v>31</v>
      </c>
      <c r="D33" s="35">
        <f t="shared" si="1"/>
        <v>3</v>
      </c>
      <c r="E33" s="889">
        <f t="shared" si="27"/>
        <v>48304</v>
      </c>
      <c r="F33" s="822">
        <f t="shared" si="2"/>
        <v>3</v>
      </c>
      <c r="G33" s="500">
        <f t="shared" si="20"/>
        <v>213</v>
      </c>
      <c r="H33" s="126">
        <f t="shared" si="3"/>
        <v>0</v>
      </c>
      <c r="I33" s="1098">
        <f t="shared" si="28"/>
        <v>0</v>
      </c>
      <c r="J33" s="887">
        <f t="shared" si="21"/>
        <v>14</v>
      </c>
      <c r="K33" s="1099">
        <f t="shared" si="10"/>
        <v>14</v>
      </c>
      <c r="L33" s="891" t="str">
        <f t="shared" si="11"/>
        <v>March</v>
      </c>
      <c r="M33" s="888">
        <f t="shared" si="22"/>
        <v>2032</v>
      </c>
      <c r="N33" s="883">
        <f t="shared" si="12"/>
        <v>0</v>
      </c>
      <c r="O33" s="883">
        <f t="shared" si="23"/>
        <v>0</v>
      </c>
      <c r="P33" s="1100"/>
      <c r="Q33" s="883">
        <f t="shared" si="4"/>
        <v>0</v>
      </c>
      <c r="R33" s="884">
        <f t="shared" si="24"/>
        <v>0</v>
      </c>
      <c r="S33" s="884">
        <f>IF(AND($AS$39="Early Payoff",J33&gt;=$S$13),0,IF($J33&lt;=$S$6,SUM($Q$20:$Q33),0))</f>
        <v>0</v>
      </c>
      <c r="T33" s="884">
        <f>IF(AND($AS$39="Early Payoff",J33&gt;=$S$13),0,IF($J33&lt;=$S$6,SUM($R$20:$R33),0))</f>
        <v>0</v>
      </c>
      <c r="U33" s="885">
        <f t="shared" si="5"/>
        <v>0</v>
      </c>
      <c r="V33" s="1110">
        <f t="shared" si="13"/>
        <v>0</v>
      </c>
      <c r="X33" s="1102">
        <f t="shared" si="6"/>
        <v>0</v>
      </c>
      <c r="Y33" s="873">
        <f t="shared" si="7"/>
        <v>0</v>
      </c>
      <c r="Z33" s="873">
        <f t="shared" si="8"/>
        <v>0</v>
      </c>
      <c r="AA33" s="885">
        <f t="shared" si="9"/>
        <v>0</v>
      </c>
      <c r="AC33" s="355">
        <f t="shared" si="25"/>
        <v>13</v>
      </c>
      <c r="AD33" s="1103">
        <f t="shared" si="25"/>
        <v>2038</v>
      </c>
      <c r="AE33" s="1104">
        <f t="shared" si="14"/>
        <v>0</v>
      </c>
      <c r="AF33" s="1104">
        <f t="shared" si="15"/>
        <v>0</v>
      </c>
      <c r="AG33" s="1104">
        <f t="shared" si="16"/>
        <v>0</v>
      </c>
      <c r="AH33" s="1104">
        <f t="shared" si="17"/>
        <v>0</v>
      </c>
      <c r="AI33" s="1104">
        <f t="shared" si="18"/>
        <v>0</v>
      </c>
      <c r="AJ33" s="1104">
        <f>IF($AE33=0,0,SUM($AG$20:$AG33))</f>
        <v>0</v>
      </c>
      <c r="AK33" s="1104">
        <f>IF($AE33=0,0,SUM($AH$20:$AH33))</f>
        <v>0</v>
      </c>
      <c r="AL33" s="1104">
        <f>SUM($AI$20:$AI33)</f>
        <v>0</v>
      </c>
      <c r="AM33" s="1104">
        <f t="shared" si="26"/>
        <v>0</v>
      </c>
      <c r="AN33" s="1104"/>
      <c r="AO33" s="347"/>
      <c r="AQ33" s="347" t="s">
        <v>538</v>
      </c>
      <c r="AR33" s="1118">
        <f>EOMONTH(AR24,AR28+1)</f>
        <v>45869</v>
      </c>
      <c r="AS33" s="345"/>
      <c r="AT33" s="1111" t="s">
        <v>535</v>
      </c>
      <c r="AU33" s="1117">
        <v>11</v>
      </c>
      <c r="AV33" s="348" t="str">
        <f t="shared" si="29"/>
        <v>November</v>
      </c>
      <c r="AW33" s="1092"/>
      <c r="AX33" s="1093"/>
    </row>
    <row r="34" spans="2:50" s="278" customFormat="1" ht="12" customHeight="1" x14ac:dyDescent="0.25">
      <c r="B34" s="1192" t="e">
        <f t="shared" si="19"/>
        <v>#N/A</v>
      </c>
      <c r="C34" s="732">
        <f t="shared" si="0"/>
        <v>31</v>
      </c>
      <c r="D34" s="35">
        <f t="shared" si="1"/>
        <v>8</v>
      </c>
      <c r="E34" s="889">
        <f t="shared" si="27"/>
        <v>48457</v>
      </c>
      <c r="F34" s="822">
        <f t="shared" si="2"/>
        <v>8</v>
      </c>
      <c r="G34" s="500">
        <f t="shared" si="20"/>
        <v>153</v>
      </c>
      <c r="H34" s="126">
        <f t="shared" si="3"/>
        <v>0</v>
      </c>
      <c r="I34" s="1098">
        <f t="shared" si="28"/>
        <v>1</v>
      </c>
      <c r="J34" s="887">
        <f t="shared" si="21"/>
        <v>15</v>
      </c>
      <c r="K34" s="1099">
        <f t="shared" si="10"/>
        <v>15</v>
      </c>
      <c r="L34" s="891" t="str">
        <f t="shared" si="11"/>
        <v>August</v>
      </c>
      <c r="M34" s="888">
        <f t="shared" si="22"/>
        <v>2032</v>
      </c>
      <c r="N34" s="883">
        <f t="shared" si="12"/>
        <v>0</v>
      </c>
      <c r="O34" s="883">
        <f t="shared" si="23"/>
        <v>0</v>
      </c>
      <c r="P34" s="1100"/>
      <c r="Q34" s="883">
        <f t="shared" si="4"/>
        <v>0</v>
      </c>
      <c r="R34" s="884">
        <f t="shared" si="24"/>
        <v>0</v>
      </c>
      <c r="S34" s="884">
        <f>IF(AND($AS$39="Early Payoff",J34&gt;=$S$13),0,IF($J34&lt;=$S$6,SUM($Q$20:$Q34),0))</f>
        <v>0</v>
      </c>
      <c r="T34" s="884">
        <f>IF(AND($AS$39="Early Payoff",J34&gt;=$S$13),0,IF($J34&lt;=$S$6,SUM($R$20:$R34),0))</f>
        <v>0</v>
      </c>
      <c r="U34" s="885">
        <f t="shared" si="5"/>
        <v>0</v>
      </c>
      <c r="V34" s="1110">
        <f t="shared" si="13"/>
        <v>0</v>
      </c>
      <c r="X34" s="1102">
        <f t="shared" si="6"/>
        <v>0</v>
      </c>
      <c r="Y34" s="873">
        <f t="shared" si="7"/>
        <v>0</v>
      </c>
      <c r="Z34" s="873">
        <f t="shared" si="8"/>
        <v>0</v>
      </c>
      <c r="AA34" s="885">
        <f t="shared" si="9"/>
        <v>0</v>
      </c>
      <c r="AC34" s="355">
        <f t="shared" si="25"/>
        <v>14</v>
      </c>
      <c r="AD34" s="1103">
        <f t="shared" si="25"/>
        <v>2039</v>
      </c>
      <c r="AE34" s="1104">
        <f t="shared" si="14"/>
        <v>0</v>
      </c>
      <c r="AF34" s="1104">
        <f t="shared" si="15"/>
        <v>0</v>
      </c>
      <c r="AG34" s="1104">
        <f t="shared" si="16"/>
        <v>0</v>
      </c>
      <c r="AH34" s="1104">
        <f t="shared" si="17"/>
        <v>0</v>
      </c>
      <c r="AI34" s="1104">
        <f t="shared" si="18"/>
        <v>0</v>
      </c>
      <c r="AJ34" s="1104">
        <f>IF($AE34=0,0,SUM($AG$20:$AG34))</f>
        <v>0</v>
      </c>
      <c r="AK34" s="1104">
        <f>IF($AE34=0,0,SUM($AH$20:$AH34))</f>
        <v>0</v>
      </c>
      <c r="AL34" s="1104">
        <f>SUM($AI$20:$AI34)</f>
        <v>0</v>
      </c>
      <c r="AM34" s="1104">
        <f t="shared" si="26"/>
        <v>0</v>
      </c>
      <c r="AN34" s="1104"/>
      <c r="AO34" s="347"/>
      <c r="AQ34" s="347"/>
      <c r="AR34" s="345"/>
      <c r="AS34" s="345"/>
      <c r="AT34" s="1145" t="s">
        <v>423</v>
      </c>
      <c r="AU34" s="1146">
        <v>12</v>
      </c>
      <c r="AV34" s="568" t="str">
        <f t="shared" si="29"/>
        <v>December</v>
      </c>
      <c r="AW34" s="1092"/>
      <c r="AX34" s="1093"/>
    </row>
    <row r="35" spans="2:50" s="278" customFormat="1" ht="12" customHeight="1" x14ac:dyDescent="0.25">
      <c r="B35" s="1192" t="e">
        <f t="shared" si="19"/>
        <v>#N/A</v>
      </c>
      <c r="C35" s="732">
        <f t="shared" si="0"/>
        <v>31</v>
      </c>
      <c r="D35" s="35">
        <f t="shared" si="1"/>
        <v>3</v>
      </c>
      <c r="E35" s="889">
        <f t="shared" si="27"/>
        <v>48669</v>
      </c>
      <c r="F35" s="822">
        <f t="shared" si="2"/>
        <v>3</v>
      </c>
      <c r="G35" s="500">
        <f t="shared" si="20"/>
        <v>212</v>
      </c>
      <c r="H35" s="126">
        <f t="shared" si="3"/>
        <v>0</v>
      </c>
      <c r="I35" s="1098">
        <f t="shared" si="28"/>
        <v>0</v>
      </c>
      <c r="J35" s="887">
        <f t="shared" si="21"/>
        <v>16</v>
      </c>
      <c r="K35" s="1099">
        <f t="shared" si="10"/>
        <v>16</v>
      </c>
      <c r="L35" s="891" t="str">
        <f t="shared" si="11"/>
        <v>March</v>
      </c>
      <c r="M35" s="888">
        <f t="shared" si="22"/>
        <v>2033</v>
      </c>
      <c r="N35" s="883">
        <f t="shared" si="12"/>
        <v>0</v>
      </c>
      <c r="O35" s="883">
        <f t="shared" si="23"/>
        <v>0</v>
      </c>
      <c r="P35" s="1100"/>
      <c r="Q35" s="883">
        <f t="shared" si="4"/>
        <v>0</v>
      </c>
      <c r="R35" s="884">
        <f t="shared" si="24"/>
        <v>0</v>
      </c>
      <c r="S35" s="884">
        <f>IF(AND($AS$39="Early Payoff",J35&gt;=$S$13),0,IF($J35&lt;=$S$6,SUM($Q$20:$Q35),0))</f>
        <v>0</v>
      </c>
      <c r="T35" s="884">
        <f>IF(AND($AS$39="Early Payoff",J35&gt;=$S$13),0,IF($J35&lt;=$S$6,SUM($R$20:$R35),0))</f>
        <v>0</v>
      </c>
      <c r="U35" s="885">
        <f t="shared" si="5"/>
        <v>0</v>
      </c>
      <c r="V35" s="1110">
        <f t="shared" si="13"/>
        <v>0</v>
      </c>
      <c r="X35" s="1102">
        <f t="shared" si="6"/>
        <v>0</v>
      </c>
      <c r="Y35" s="873">
        <f t="shared" si="7"/>
        <v>0</v>
      </c>
      <c r="Z35" s="873">
        <f t="shared" si="8"/>
        <v>0</v>
      </c>
      <c r="AA35" s="885">
        <f t="shared" si="9"/>
        <v>0</v>
      </c>
      <c r="AC35" s="355">
        <f t="shared" si="25"/>
        <v>15</v>
      </c>
      <c r="AD35" s="1103">
        <f t="shared" si="25"/>
        <v>2040</v>
      </c>
      <c r="AE35" s="1104">
        <f t="shared" si="14"/>
        <v>0</v>
      </c>
      <c r="AF35" s="1104">
        <f t="shared" si="15"/>
        <v>0</v>
      </c>
      <c r="AG35" s="1104">
        <f t="shared" si="16"/>
        <v>0</v>
      </c>
      <c r="AH35" s="1104">
        <f t="shared" si="17"/>
        <v>0</v>
      </c>
      <c r="AI35" s="1104">
        <f t="shared" si="18"/>
        <v>0</v>
      </c>
      <c r="AJ35" s="1104">
        <f>IF($AE35=0,0,SUM($AG$20:$AG35))</f>
        <v>0</v>
      </c>
      <c r="AK35" s="1104">
        <f>IF($AE35=0,0,SUM($AH$20:$AH35))</f>
        <v>0</v>
      </c>
      <c r="AL35" s="1104">
        <f>SUM($AI$20:$AI35)</f>
        <v>0</v>
      </c>
      <c r="AM35" s="1104">
        <f t="shared" si="26"/>
        <v>0</v>
      </c>
      <c r="AN35" s="1104"/>
      <c r="AO35" s="347"/>
      <c r="AQ35" s="1111" t="s">
        <v>539</v>
      </c>
      <c r="AR35" s="1103">
        <f>YEAR(AR37)</f>
        <v>2025</v>
      </c>
      <c r="AS35" s="345"/>
      <c r="AT35" s="1093"/>
      <c r="AU35" s="1092"/>
      <c r="AV35" s="1147"/>
      <c r="AW35" s="1092"/>
      <c r="AX35" s="1093"/>
    </row>
    <row r="36" spans="2:50" s="278" customFormat="1" ht="12" customHeight="1" x14ac:dyDescent="0.25">
      <c r="B36" s="1192" t="e">
        <f t="shared" si="19"/>
        <v>#N/A</v>
      </c>
      <c r="C36" s="732">
        <f t="shared" si="0"/>
        <v>31</v>
      </c>
      <c r="D36" s="35">
        <f t="shared" si="1"/>
        <v>8</v>
      </c>
      <c r="E36" s="889">
        <f t="shared" si="27"/>
        <v>48822</v>
      </c>
      <c r="F36" s="822">
        <f t="shared" si="2"/>
        <v>8</v>
      </c>
      <c r="G36" s="500">
        <f t="shared" si="20"/>
        <v>153</v>
      </c>
      <c r="H36" s="126">
        <f t="shared" si="3"/>
        <v>0</v>
      </c>
      <c r="I36" s="1098">
        <f t="shared" si="28"/>
        <v>1</v>
      </c>
      <c r="J36" s="887">
        <f t="shared" si="21"/>
        <v>17</v>
      </c>
      <c r="K36" s="1099">
        <f t="shared" si="10"/>
        <v>17</v>
      </c>
      <c r="L36" s="891" t="str">
        <f t="shared" si="11"/>
        <v>August</v>
      </c>
      <c r="M36" s="888">
        <f t="shared" si="22"/>
        <v>2033</v>
      </c>
      <c r="N36" s="883">
        <f t="shared" si="12"/>
        <v>0</v>
      </c>
      <c r="O36" s="883">
        <f t="shared" si="23"/>
        <v>0</v>
      </c>
      <c r="P36" s="1100"/>
      <c r="Q36" s="883">
        <f t="shared" si="4"/>
        <v>0</v>
      </c>
      <c r="R36" s="884">
        <f t="shared" si="24"/>
        <v>0</v>
      </c>
      <c r="S36" s="884">
        <f>IF(AND($AS$39="Early Payoff",J36&gt;=$S$13),0,IF($J36&lt;=$S$6,SUM($Q$20:$Q36),0))</f>
        <v>0</v>
      </c>
      <c r="T36" s="884">
        <f>IF(AND($AS$39="Early Payoff",J36&gt;=$S$13),0,IF($J36&lt;=$S$6,SUM($R$20:$R36),0))</f>
        <v>0</v>
      </c>
      <c r="U36" s="885">
        <f t="shared" si="5"/>
        <v>0</v>
      </c>
      <c r="V36" s="1110">
        <f t="shared" si="13"/>
        <v>0</v>
      </c>
      <c r="X36" s="1102">
        <f t="shared" si="6"/>
        <v>0</v>
      </c>
      <c r="Y36" s="873">
        <f t="shared" si="7"/>
        <v>0</v>
      </c>
      <c r="Z36" s="873">
        <f t="shared" si="8"/>
        <v>0</v>
      </c>
      <c r="AA36" s="885">
        <f t="shared" si="9"/>
        <v>0</v>
      </c>
      <c r="AC36" s="355">
        <f t="shared" si="25"/>
        <v>16</v>
      </c>
      <c r="AD36" s="1103">
        <f t="shared" si="25"/>
        <v>2041</v>
      </c>
      <c r="AE36" s="1104">
        <f t="shared" si="14"/>
        <v>0</v>
      </c>
      <c r="AF36" s="1104">
        <f t="shared" si="15"/>
        <v>0</v>
      </c>
      <c r="AG36" s="1104">
        <f t="shared" si="16"/>
        <v>0</v>
      </c>
      <c r="AH36" s="1104">
        <f t="shared" si="17"/>
        <v>0</v>
      </c>
      <c r="AI36" s="1104">
        <f t="shared" si="18"/>
        <v>0</v>
      </c>
      <c r="AJ36" s="1104">
        <f>IF($AE36=0,0,SUM($AG$20:$AG36))</f>
        <v>0</v>
      </c>
      <c r="AK36" s="1104">
        <f>IF($AE36=0,0,SUM($AH$20:$AH36))</f>
        <v>0</v>
      </c>
      <c r="AL36" s="1104">
        <f>SUM($AI$20:$AI36)</f>
        <v>0</v>
      </c>
      <c r="AM36" s="1104">
        <f t="shared" si="26"/>
        <v>0</v>
      </c>
      <c r="AN36" s="1104"/>
      <c r="AO36" s="347"/>
      <c r="AQ36" s="347" t="s">
        <v>540</v>
      </c>
      <c r="AR36" s="1077" t="str">
        <f>INDEX($AU$22:$AV$34,MATCH(MONTH($AR$37),$AU$22:$AU$34,0),MATCH("Month",$AU$22:$AV$22,0))</f>
        <v>June</v>
      </c>
      <c r="AS36" s="345"/>
      <c r="AT36" s="1113"/>
      <c r="AU36" s="1148" t="s">
        <v>527</v>
      </c>
      <c r="AV36" s="1147"/>
    </row>
    <row r="37" spans="2:50" s="278" customFormat="1" ht="12" customHeight="1" x14ac:dyDescent="0.25">
      <c r="B37" s="1192" t="e">
        <f t="shared" si="19"/>
        <v>#N/A</v>
      </c>
      <c r="C37" s="732">
        <f t="shared" si="0"/>
        <v>31</v>
      </c>
      <c r="D37" s="35">
        <f t="shared" si="1"/>
        <v>3</v>
      </c>
      <c r="E37" s="889">
        <f t="shared" si="27"/>
        <v>49034</v>
      </c>
      <c r="F37" s="822">
        <f t="shared" si="2"/>
        <v>3</v>
      </c>
      <c r="G37" s="500">
        <f t="shared" si="20"/>
        <v>212</v>
      </c>
      <c r="H37" s="126">
        <f t="shared" si="3"/>
        <v>0</v>
      </c>
      <c r="I37" s="1098">
        <f t="shared" si="28"/>
        <v>0</v>
      </c>
      <c r="J37" s="887">
        <f t="shared" si="21"/>
        <v>18</v>
      </c>
      <c r="K37" s="1099">
        <f t="shared" si="10"/>
        <v>18</v>
      </c>
      <c r="L37" s="891" t="str">
        <f t="shared" si="11"/>
        <v>March</v>
      </c>
      <c r="M37" s="888">
        <f t="shared" si="22"/>
        <v>2034</v>
      </c>
      <c r="N37" s="883">
        <f t="shared" si="12"/>
        <v>0</v>
      </c>
      <c r="O37" s="883">
        <f t="shared" si="23"/>
        <v>0</v>
      </c>
      <c r="P37" s="1100"/>
      <c r="Q37" s="883">
        <f t="shared" si="4"/>
        <v>0</v>
      </c>
      <c r="R37" s="884">
        <f t="shared" si="24"/>
        <v>0</v>
      </c>
      <c r="S37" s="884">
        <f>IF(AND($AS$39="Early Payoff",J37&gt;=$S$13),0,IF($J37&lt;=$S$6,SUM($Q$20:$Q37),0))</f>
        <v>0</v>
      </c>
      <c r="T37" s="884">
        <f>IF(AND($AS$39="Early Payoff",J37&gt;=$S$13),0,IF($J37&lt;=$S$6,SUM($R$20:$R37),0))</f>
        <v>0</v>
      </c>
      <c r="U37" s="885">
        <f t="shared" si="5"/>
        <v>0</v>
      </c>
      <c r="V37" s="1110">
        <f t="shared" si="13"/>
        <v>0</v>
      </c>
      <c r="X37" s="1102">
        <f t="shared" si="6"/>
        <v>0</v>
      </c>
      <c r="Y37" s="873">
        <f t="shared" si="7"/>
        <v>0</v>
      </c>
      <c r="Z37" s="873">
        <f t="shared" si="8"/>
        <v>0</v>
      </c>
      <c r="AA37" s="885">
        <f t="shared" si="9"/>
        <v>0</v>
      </c>
      <c r="AC37" s="355">
        <f t="shared" si="25"/>
        <v>17</v>
      </c>
      <c r="AD37" s="1103">
        <f t="shared" si="25"/>
        <v>2042</v>
      </c>
      <c r="AE37" s="1104">
        <f t="shared" si="14"/>
        <v>0</v>
      </c>
      <c r="AF37" s="1104">
        <f t="shared" si="15"/>
        <v>0</v>
      </c>
      <c r="AG37" s="1104">
        <f t="shared" si="16"/>
        <v>0</v>
      </c>
      <c r="AH37" s="1104">
        <f t="shared" si="17"/>
        <v>0</v>
      </c>
      <c r="AI37" s="1104">
        <f t="shared" si="18"/>
        <v>0</v>
      </c>
      <c r="AJ37" s="1104">
        <f>IF($AE37=0,0,SUM($AG$20:$AG37))</f>
        <v>0</v>
      </c>
      <c r="AK37" s="1104">
        <f>IF($AE37=0,0,SUM($AH$20:$AH37))</f>
        <v>0</v>
      </c>
      <c r="AL37" s="1104">
        <f>SUM($AI$20:$AI37)</f>
        <v>0</v>
      </c>
      <c r="AM37" s="1104">
        <f t="shared" si="26"/>
        <v>0</v>
      </c>
      <c r="AN37" s="1104"/>
      <c r="AO37" s="347"/>
      <c r="AQ37" s="347" t="s">
        <v>541</v>
      </c>
      <c r="AR37" s="1118">
        <f>EOMONTH(AR24,AR27+1)</f>
        <v>45838</v>
      </c>
      <c r="AS37" s="345"/>
      <c r="AT37" s="1111" t="s">
        <v>425</v>
      </c>
      <c r="AU37" s="1149">
        <v>0</v>
      </c>
      <c r="AV37" s="1147"/>
    </row>
    <row r="38" spans="2:50" s="278" customFormat="1" ht="12" customHeight="1" x14ac:dyDescent="0.25">
      <c r="B38" s="1192" t="e">
        <f t="shared" si="19"/>
        <v>#N/A</v>
      </c>
      <c r="C38" s="732">
        <f t="shared" si="0"/>
        <v>31</v>
      </c>
      <c r="D38" s="35">
        <f t="shared" si="1"/>
        <v>8</v>
      </c>
      <c r="E38" s="889">
        <f t="shared" si="27"/>
        <v>49187</v>
      </c>
      <c r="F38" s="822">
        <f t="shared" si="2"/>
        <v>8</v>
      </c>
      <c r="G38" s="500">
        <f t="shared" si="20"/>
        <v>153</v>
      </c>
      <c r="H38" s="126">
        <f t="shared" si="3"/>
        <v>0</v>
      </c>
      <c r="I38" s="1098">
        <f t="shared" si="28"/>
        <v>1</v>
      </c>
      <c r="J38" s="887">
        <f t="shared" si="21"/>
        <v>19</v>
      </c>
      <c r="K38" s="1099">
        <f t="shared" si="10"/>
        <v>19</v>
      </c>
      <c r="L38" s="891" t="str">
        <f t="shared" si="11"/>
        <v>August</v>
      </c>
      <c r="M38" s="888">
        <f t="shared" si="22"/>
        <v>2034</v>
      </c>
      <c r="N38" s="883">
        <f t="shared" si="12"/>
        <v>0</v>
      </c>
      <c r="O38" s="883">
        <f t="shared" si="23"/>
        <v>0</v>
      </c>
      <c r="P38" s="1100"/>
      <c r="Q38" s="883">
        <f t="shared" si="4"/>
        <v>0</v>
      </c>
      <c r="R38" s="884">
        <f t="shared" si="24"/>
        <v>0</v>
      </c>
      <c r="S38" s="884">
        <f>IF(AND($AS$39="Early Payoff",J38&gt;=$S$13),0,IF($J38&lt;=$S$6,SUM($Q$20:$Q38),0))</f>
        <v>0</v>
      </c>
      <c r="T38" s="884">
        <f>IF(AND($AS$39="Early Payoff",J38&gt;=$S$13),0,IF($J38&lt;=$S$6,SUM($R$20:$R38),0))</f>
        <v>0</v>
      </c>
      <c r="U38" s="885">
        <f t="shared" si="5"/>
        <v>0</v>
      </c>
      <c r="V38" s="1110">
        <f t="shared" si="13"/>
        <v>0</v>
      </c>
      <c r="X38" s="1102">
        <f t="shared" si="6"/>
        <v>0</v>
      </c>
      <c r="Y38" s="873">
        <f t="shared" si="7"/>
        <v>0</v>
      </c>
      <c r="Z38" s="873">
        <f t="shared" si="8"/>
        <v>0</v>
      </c>
      <c r="AA38" s="885">
        <f t="shared" si="9"/>
        <v>0</v>
      </c>
      <c r="AC38" s="355">
        <f t="shared" ref="AC38:AD41" si="30">AC37+1</f>
        <v>18</v>
      </c>
      <c r="AD38" s="1103">
        <f t="shared" si="30"/>
        <v>2043</v>
      </c>
      <c r="AE38" s="1104">
        <f t="shared" si="14"/>
        <v>0</v>
      </c>
      <c r="AF38" s="1104">
        <f t="shared" si="15"/>
        <v>0</v>
      </c>
      <c r="AG38" s="1104">
        <f t="shared" si="16"/>
        <v>0</v>
      </c>
      <c r="AH38" s="1104">
        <f t="shared" si="17"/>
        <v>0</v>
      </c>
      <c r="AI38" s="1104">
        <f t="shared" si="18"/>
        <v>0</v>
      </c>
      <c r="AJ38" s="1104">
        <f>IF($AE38=0,0,SUM($AG$20:$AG38))</f>
        <v>0</v>
      </c>
      <c r="AK38" s="1104">
        <f>IF($AE38=0,0,SUM($AH$20:$AH38))</f>
        <v>0</v>
      </c>
      <c r="AL38" s="1104">
        <f>SUM($AI$20:$AI38)</f>
        <v>0</v>
      </c>
      <c r="AM38" s="1104">
        <f t="shared" si="26"/>
        <v>0</v>
      </c>
      <c r="AN38" s="1104"/>
      <c r="AO38" s="347"/>
      <c r="AQ38" s="347"/>
      <c r="AR38" s="345"/>
      <c r="AS38" s="345"/>
      <c r="AT38" s="1111" t="s">
        <v>528</v>
      </c>
      <c r="AU38" s="1149">
        <v>0</v>
      </c>
      <c r="AV38" s="1147"/>
    </row>
    <row r="39" spans="2:50" s="278" customFormat="1" ht="12" customHeight="1" x14ac:dyDescent="0.25">
      <c r="B39" s="1192" t="e">
        <f t="shared" si="19"/>
        <v>#N/A</v>
      </c>
      <c r="C39" s="732">
        <f t="shared" si="0"/>
        <v>31</v>
      </c>
      <c r="D39" s="35">
        <f t="shared" si="1"/>
        <v>3</v>
      </c>
      <c r="E39" s="889">
        <f t="shared" si="27"/>
        <v>49399</v>
      </c>
      <c r="F39" s="822">
        <f t="shared" si="2"/>
        <v>3</v>
      </c>
      <c r="G39" s="500">
        <f t="shared" si="20"/>
        <v>212</v>
      </c>
      <c r="H39" s="126">
        <f t="shared" si="3"/>
        <v>0</v>
      </c>
      <c r="I39" s="1098">
        <f t="shared" si="28"/>
        <v>0</v>
      </c>
      <c r="J39" s="887">
        <f t="shared" si="21"/>
        <v>20</v>
      </c>
      <c r="K39" s="1099">
        <f t="shared" si="10"/>
        <v>20</v>
      </c>
      <c r="L39" s="891" t="str">
        <f t="shared" si="11"/>
        <v>March</v>
      </c>
      <c r="M39" s="888">
        <f t="shared" si="22"/>
        <v>2035</v>
      </c>
      <c r="N39" s="883">
        <f t="shared" si="12"/>
        <v>0</v>
      </c>
      <c r="O39" s="883">
        <f t="shared" si="23"/>
        <v>0</v>
      </c>
      <c r="P39" s="1100"/>
      <c r="Q39" s="883">
        <f t="shared" si="4"/>
        <v>0</v>
      </c>
      <c r="R39" s="884">
        <f t="shared" si="24"/>
        <v>0</v>
      </c>
      <c r="S39" s="884">
        <f>IF(AND($AS$39="Early Payoff",J39&gt;=$S$13),0,IF($J39&lt;=$S$6,SUM($Q$20:$Q39),0))</f>
        <v>0</v>
      </c>
      <c r="T39" s="884">
        <f>IF(AND($AS$39="Early Payoff",J39&gt;=$S$13),0,IF($J39&lt;=$S$6,SUM($R$20:$R39),0))</f>
        <v>0</v>
      </c>
      <c r="U39" s="885">
        <f t="shared" si="5"/>
        <v>0</v>
      </c>
      <c r="V39" s="1110">
        <f t="shared" si="13"/>
        <v>0</v>
      </c>
      <c r="X39" s="1102">
        <f t="shared" si="6"/>
        <v>0</v>
      </c>
      <c r="Y39" s="873">
        <f t="shared" si="7"/>
        <v>0</v>
      </c>
      <c r="Z39" s="873">
        <f t="shared" si="8"/>
        <v>0</v>
      </c>
      <c r="AA39" s="885">
        <f t="shared" si="9"/>
        <v>0</v>
      </c>
      <c r="AC39" s="355">
        <f t="shared" si="30"/>
        <v>19</v>
      </c>
      <c r="AD39" s="1103">
        <f t="shared" si="30"/>
        <v>2044</v>
      </c>
      <c r="AE39" s="1104">
        <f t="shared" si="14"/>
        <v>0</v>
      </c>
      <c r="AF39" s="1104">
        <f t="shared" si="15"/>
        <v>0</v>
      </c>
      <c r="AG39" s="1104">
        <f t="shared" si="16"/>
        <v>0</v>
      </c>
      <c r="AH39" s="1104">
        <f t="shared" si="17"/>
        <v>0</v>
      </c>
      <c r="AI39" s="1104">
        <f t="shared" si="18"/>
        <v>0</v>
      </c>
      <c r="AJ39" s="1104">
        <f>IF($AE39=0,0,SUM($AG$20:$AG39))</f>
        <v>0</v>
      </c>
      <c r="AK39" s="1104">
        <f>IF($AE39=0,0,SUM($AH$20:$AH39))</f>
        <v>0</v>
      </c>
      <c r="AL39" s="1104">
        <f>SUM($AI$20:$AI39)</f>
        <v>0</v>
      </c>
      <c r="AM39" s="1104">
        <f t="shared" si="26"/>
        <v>0</v>
      </c>
      <c r="AN39" s="1104"/>
      <c r="AO39" s="347"/>
      <c r="AQ39" s="347" t="s">
        <v>542</v>
      </c>
      <c r="AR39" s="1103">
        <f>YEAR(T13)</f>
        <v>2025</v>
      </c>
      <c r="AS39" s="345" t="str">
        <f>IF(AND($T$4="Monthly",$T$13&lt;&gt;EOMONTH(L11,T6)),"Early Payoff",IF(AND($T$4="Bi-Annual",$T$13&lt;&gt;EOMONTH(L11,T6*6)),"Early Payoff",IF(AND($T$4="Annual",$T$13&lt;&gt;EOMONTH(L11,T6*12)),"Early Payoff","Full-Term")))</f>
        <v>Full-Term</v>
      </c>
      <c r="AT39" s="1111" t="s">
        <v>378</v>
      </c>
      <c r="AU39" s="1149">
        <v>0</v>
      </c>
      <c r="AV39" s="1147"/>
    </row>
    <row r="40" spans="2:50" s="278" customFormat="1" ht="12" customHeight="1" x14ac:dyDescent="0.25">
      <c r="B40" s="1192" t="e">
        <f t="shared" si="19"/>
        <v>#N/A</v>
      </c>
      <c r="C40" s="732">
        <f t="shared" si="0"/>
        <v>31</v>
      </c>
      <c r="D40" s="35">
        <f t="shared" si="1"/>
        <v>8</v>
      </c>
      <c r="E40" s="889">
        <f t="shared" si="27"/>
        <v>49552</v>
      </c>
      <c r="F40" s="822">
        <f t="shared" si="2"/>
        <v>8</v>
      </c>
      <c r="G40" s="500">
        <f t="shared" si="20"/>
        <v>153</v>
      </c>
      <c r="H40" s="126">
        <f t="shared" si="3"/>
        <v>0</v>
      </c>
      <c r="I40" s="1098">
        <f t="shared" si="28"/>
        <v>1</v>
      </c>
      <c r="J40" s="887">
        <f t="shared" si="21"/>
        <v>21</v>
      </c>
      <c r="K40" s="1099">
        <f t="shared" si="10"/>
        <v>21</v>
      </c>
      <c r="L40" s="891" t="str">
        <f t="shared" si="11"/>
        <v>August</v>
      </c>
      <c r="M40" s="888">
        <f t="shared" si="22"/>
        <v>2035</v>
      </c>
      <c r="N40" s="883">
        <f t="shared" si="12"/>
        <v>0</v>
      </c>
      <c r="O40" s="883">
        <f t="shared" si="23"/>
        <v>0</v>
      </c>
      <c r="P40" s="1100">
        <v>0</v>
      </c>
      <c r="Q40" s="883">
        <f t="shared" si="4"/>
        <v>0</v>
      </c>
      <c r="R40" s="884">
        <f t="shared" si="24"/>
        <v>0</v>
      </c>
      <c r="S40" s="884">
        <f>IF(AND($AS$39="Early Payoff",J40&gt;=$S$13),0,IF($J40&lt;=$S$6,SUM($Q$20:$Q40),0))</f>
        <v>0</v>
      </c>
      <c r="T40" s="884">
        <f>IF(AND($AS$39="Early Payoff",J40&gt;=$S$13),0,IF($J40&lt;=$S$6,SUM($R$20:$R40),0))</f>
        <v>0</v>
      </c>
      <c r="U40" s="885">
        <f t="shared" si="5"/>
        <v>0</v>
      </c>
      <c r="V40" s="1110">
        <f t="shared" si="13"/>
        <v>0</v>
      </c>
      <c r="X40" s="1102">
        <f t="shared" si="6"/>
        <v>0</v>
      </c>
      <c r="Y40" s="873">
        <f t="shared" si="7"/>
        <v>0</v>
      </c>
      <c r="Z40" s="873">
        <f t="shared" si="8"/>
        <v>0</v>
      </c>
      <c r="AA40" s="885">
        <f t="shared" si="9"/>
        <v>0</v>
      </c>
      <c r="AC40" s="355">
        <f t="shared" si="30"/>
        <v>20</v>
      </c>
      <c r="AD40" s="1103">
        <f t="shared" si="30"/>
        <v>2045</v>
      </c>
      <c r="AE40" s="1104">
        <f t="shared" si="14"/>
        <v>0</v>
      </c>
      <c r="AF40" s="1104">
        <f t="shared" si="15"/>
        <v>0</v>
      </c>
      <c r="AG40" s="1104">
        <f t="shared" si="16"/>
        <v>0</v>
      </c>
      <c r="AH40" s="1104">
        <f t="shared" si="17"/>
        <v>0</v>
      </c>
      <c r="AI40" s="1104">
        <f t="shared" si="18"/>
        <v>0</v>
      </c>
      <c r="AJ40" s="1104">
        <f>IF($AE40=0,0,SUM($AG$20:$AG40))</f>
        <v>0</v>
      </c>
      <c r="AK40" s="1104">
        <f>IF($AE40=0,0,SUM($AH$20:$AH40))</f>
        <v>0</v>
      </c>
      <c r="AL40" s="1104">
        <f>SUM($AI$20:$AI40)</f>
        <v>0</v>
      </c>
      <c r="AM40" s="1104">
        <f t="shared" si="26"/>
        <v>0</v>
      </c>
      <c r="AN40" s="1104"/>
      <c r="AO40" s="347"/>
      <c r="AQ40" s="347" t="s">
        <v>543</v>
      </c>
      <c r="AR40" s="1077" t="str">
        <f>INDEX($AU$22:$AV$34,MATCH(MONTH($T$13),$AU$22:$AU$34,0),MATCH("Month",$AU$22:$AV$22,0))</f>
        <v>June</v>
      </c>
      <c r="AS40" s="345">
        <f>INDEX(AT22:AU34,MATCH(AR40,AT22:AT34,0),MATCH("Number",AT22:AU22,0))</f>
        <v>6</v>
      </c>
      <c r="AT40" s="1111" t="s">
        <v>529</v>
      </c>
      <c r="AU40" s="1149">
        <v>0</v>
      </c>
      <c r="AV40" s="1147"/>
    </row>
    <row r="41" spans="2:50" s="278" customFormat="1" ht="12" customHeight="1" x14ac:dyDescent="0.25">
      <c r="B41" s="1192" t="e">
        <f t="shared" si="19"/>
        <v>#N/A</v>
      </c>
      <c r="C41" s="732">
        <f t="shared" si="0"/>
        <v>31</v>
      </c>
      <c r="D41" s="35">
        <f t="shared" si="1"/>
        <v>3</v>
      </c>
      <c r="E41" s="889">
        <f t="shared" si="27"/>
        <v>49765</v>
      </c>
      <c r="F41" s="822">
        <f t="shared" si="2"/>
        <v>3</v>
      </c>
      <c r="G41" s="500">
        <f t="shared" si="20"/>
        <v>213</v>
      </c>
      <c r="H41" s="126">
        <f t="shared" si="3"/>
        <v>0</v>
      </c>
      <c r="I41" s="1098">
        <f t="shared" si="28"/>
        <v>0</v>
      </c>
      <c r="J41" s="887">
        <f t="shared" si="21"/>
        <v>22</v>
      </c>
      <c r="K41" s="1099">
        <f t="shared" si="10"/>
        <v>22</v>
      </c>
      <c r="L41" s="891" t="str">
        <f t="shared" si="11"/>
        <v>March</v>
      </c>
      <c r="M41" s="888">
        <f t="shared" si="22"/>
        <v>2036</v>
      </c>
      <c r="N41" s="883">
        <f t="shared" si="12"/>
        <v>0</v>
      </c>
      <c r="O41" s="883">
        <f t="shared" si="23"/>
        <v>0</v>
      </c>
      <c r="P41" s="1100"/>
      <c r="Q41" s="883">
        <f t="shared" si="4"/>
        <v>0</v>
      </c>
      <c r="R41" s="884">
        <f t="shared" si="24"/>
        <v>0</v>
      </c>
      <c r="S41" s="884">
        <f>IF(AND($AS$39="Early Payoff",J41&gt;=$S$13),0,IF($J41&lt;=$S$6,SUM($Q$20:$Q41),0))</f>
        <v>0</v>
      </c>
      <c r="T41" s="884">
        <f>IF(AND($AS$39="Early Payoff",J41&gt;=$S$13),0,IF($J41&lt;=$S$6,SUM($R$20:$R41),0))</f>
        <v>0</v>
      </c>
      <c r="U41" s="885">
        <f t="shared" si="5"/>
        <v>0</v>
      </c>
      <c r="V41" s="1110">
        <f t="shared" si="13"/>
        <v>0</v>
      </c>
      <c r="X41" s="1102">
        <f t="shared" si="6"/>
        <v>0</v>
      </c>
      <c r="Y41" s="873">
        <f t="shared" si="7"/>
        <v>0</v>
      </c>
      <c r="Z41" s="873">
        <f t="shared" si="8"/>
        <v>0</v>
      </c>
      <c r="AA41" s="885">
        <f t="shared" si="9"/>
        <v>0</v>
      </c>
      <c r="AC41" s="355">
        <f t="shared" si="30"/>
        <v>21</v>
      </c>
      <c r="AD41" s="1103">
        <f t="shared" si="30"/>
        <v>2046</v>
      </c>
      <c r="AE41" s="1104">
        <f t="shared" si="14"/>
        <v>0</v>
      </c>
      <c r="AF41" s="1104">
        <f t="shared" si="15"/>
        <v>0</v>
      </c>
      <c r="AG41" s="1104">
        <f t="shared" si="16"/>
        <v>0</v>
      </c>
      <c r="AH41" s="1104">
        <f t="shared" si="17"/>
        <v>0</v>
      </c>
      <c r="AI41" s="1104">
        <f t="shared" si="18"/>
        <v>0</v>
      </c>
      <c r="AJ41" s="1104">
        <f>IF($AE41=0,0,SUM($AG$20:$AG41))</f>
        <v>0</v>
      </c>
      <c r="AK41" s="1104">
        <f>IF($AE41=0,0,SUM($AH$20:$AH41))</f>
        <v>0</v>
      </c>
      <c r="AL41" s="1104">
        <f>SUM($AI$20:$AI41)</f>
        <v>0</v>
      </c>
      <c r="AM41" s="1104">
        <f t="shared" si="26"/>
        <v>0</v>
      </c>
      <c r="AN41" s="1104"/>
      <c r="AO41" s="347"/>
      <c r="AQ41" s="347" t="s">
        <v>519</v>
      </c>
      <c r="AR41" s="1118">
        <f>T13</f>
        <v>45838</v>
      </c>
      <c r="AS41" s="345"/>
      <c r="AT41" s="1111" t="s">
        <v>49</v>
      </c>
      <c r="AU41" s="1149">
        <v>0</v>
      </c>
      <c r="AV41" s="1147"/>
      <c r="AW41" s="1092"/>
      <c r="AX41" s="1093"/>
    </row>
    <row r="42" spans="2:50" s="278" customFormat="1" ht="12" customHeight="1" x14ac:dyDescent="0.25">
      <c r="B42" s="1192" t="e">
        <f t="shared" si="19"/>
        <v>#N/A</v>
      </c>
      <c r="C42" s="732">
        <f t="shared" si="0"/>
        <v>31</v>
      </c>
      <c r="D42" s="35">
        <f t="shared" si="1"/>
        <v>8</v>
      </c>
      <c r="E42" s="889">
        <f t="shared" si="27"/>
        <v>49918</v>
      </c>
      <c r="F42" s="822">
        <f t="shared" si="2"/>
        <v>8</v>
      </c>
      <c r="G42" s="500">
        <f t="shared" si="20"/>
        <v>153</v>
      </c>
      <c r="H42" s="126">
        <f t="shared" si="3"/>
        <v>0</v>
      </c>
      <c r="I42" s="1098">
        <f t="shared" si="28"/>
        <v>1</v>
      </c>
      <c r="J42" s="887">
        <f t="shared" si="21"/>
        <v>23</v>
      </c>
      <c r="K42" s="1099">
        <f t="shared" si="10"/>
        <v>23</v>
      </c>
      <c r="L42" s="891" t="str">
        <f t="shared" si="11"/>
        <v>August</v>
      </c>
      <c r="M42" s="888">
        <f t="shared" si="22"/>
        <v>2036</v>
      </c>
      <c r="N42" s="883">
        <f t="shared" si="12"/>
        <v>0</v>
      </c>
      <c r="O42" s="883">
        <f t="shared" si="23"/>
        <v>0</v>
      </c>
      <c r="P42" s="1100"/>
      <c r="Q42" s="883">
        <f t="shared" si="4"/>
        <v>0</v>
      </c>
      <c r="R42" s="884">
        <f t="shared" si="24"/>
        <v>0</v>
      </c>
      <c r="S42" s="884">
        <f>IF(AND($AS$39="Early Payoff",J42&gt;=$S$13),0,IF($J42&lt;=$S$6,SUM($Q$20:$Q42),0))</f>
        <v>0</v>
      </c>
      <c r="T42" s="884">
        <f>IF(AND($AS$39="Early Payoff",J42&gt;=$S$13),0,IF($J42&lt;=$S$6,SUM($R$20:$R42),0))</f>
        <v>0</v>
      </c>
      <c r="U42" s="885">
        <f t="shared" si="5"/>
        <v>0</v>
      </c>
      <c r="V42" s="1110">
        <f t="shared" si="13"/>
        <v>0</v>
      </c>
      <c r="X42" s="1102">
        <f t="shared" si="6"/>
        <v>0</v>
      </c>
      <c r="Y42" s="873">
        <f t="shared" si="7"/>
        <v>0</v>
      </c>
      <c r="Z42" s="873">
        <f t="shared" si="8"/>
        <v>0</v>
      </c>
      <c r="AA42" s="885">
        <f t="shared" si="9"/>
        <v>0</v>
      </c>
      <c r="AC42" s="355">
        <f>AC41+1</f>
        <v>22</v>
      </c>
      <c r="AD42" s="1103">
        <f>AD41+1</f>
        <v>2047</v>
      </c>
      <c r="AE42" s="1104">
        <f t="shared" si="14"/>
        <v>0</v>
      </c>
      <c r="AF42" s="1104">
        <f t="shared" si="15"/>
        <v>0</v>
      </c>
      <c r="AG42" s="1104">
        <f t="shared" si="16"/>
        <v>0</v>
      </c>
      <c r="AH42" s="1104">
        <f t="shared" si="17"/>
        <v>0</v>
      </c>
      <c r="AI42" s="1104">
        <f t="shared" si="18"/>
        <v>0</v>
      </c>
      <c r="AJ42" s="1104">
        <f>IF($AE42=0,0,SUM($AG$20:$AG42))</f>
        <v>0</v>
      </c>
      <c r="AK42" s="1104">
        <f>IF($AE42=0,0,SUM($AH$20:$AH42))</f>
        <v>0</v>
      </c>
      <c r="AL42" s="1104">
        <f>SUM($AI$20:$AI42)</f>
        <v>0</v>
      </c>
      <c r="AM42" s="1104">
        <f t="shared" si="26"/>
        <v>0</v>
      </c>
      <c r="AN42" s="1104"/>
      <c r="AO42" s="347"/>
      <c r="AQ42" s="347"/>
      <c r="AR42" s="345"/>
      <c r="AS42" s="345"/>
      <c r="AT42" s="1111" t="s">
        <v>264</v>
      </c>
      <c r="AU42" s="1149">
        <v>0</v>
      </c>
      <c r="AV42" s="1147"/>
      <c r="AW42" s="1092"/>
      <c r="AX42" s="1093"/>
    </row>
    <row r="43" spans="2:50" s="278" customFormat="1" ht="12" customHeight="1" x14ac:dyDescent="0.25">
      <c r="B43" s="1192" t="e">
        <f t="shared" si="19"/>
        <v>#N/A</v>
      </c>
      <c r="C43" s="732">
        <f t="shared" si="0"/>
        <v>31</v>
      </c>
      <c r="D43" s="35">
        <f t="shared" si="1"/>
        <v>3</v>
      </c>
      <c r="E43" s="889">
        <f t="shared" si="27"/>
        <v>50130</v>
      </c>
      <c r="F43" s="822">
        <f t="shared" si="2"/>
        <v>3</v>
      </c>
      <c r="G43" s="500">
        <f t="shared" si="20"/>
        <v>212</v>
      </c>
      <c r="H43" s="126">
        <f t="shared" si="3"/>
        <v>0</v>
      </c>
      <c r="I43" s="1098">
        <f t="shared" si="28"/>
        <v>0</v>
      </c>
      <c r="J43" s="887">
        <f t="shared" si="21"/>
        <v>24</v>
      </c>
      <c r="K43" s="1099">
        <f t="shared" si="10"/>
        <v>24</v>
      </c>
      <c r="L43" s="891" t="str">
        <f t="shared" si="11"/>
        <v>March</v>
      </c>
      <c r="M43" s="888">
        <f t="shared" si="22"/>
        <v>2037</v>
      </c>
      <c r="N43" s="883">
        <f t="shared" si="12"/>
        <v>0</v>
      </c>
      <c r="O43" s="883">
        <f t="shared" si="23"/>
        <v>0</v>
      </c>
      <c r="P43" s="1100"/>
      <c r="Q43" s="883">
        <f t="shared" si="4"/>
        <v>0</v>
      </c>
      <c r="R43" s="884">
        <f t="shared" si="24"/>
        <v>0</v>
      </c>
      <c r="S43" s="884">
        <f>IF(AND($AS$39="Early Payoff",J43&gt;=$S$13),0,IF($J43&lt;=$S$6,SUM($Q$20:$Q43),0))</f>
        <v>0</v>
      </c>
      <c r="T43" s="884">
        <f>IF(AND($AS$39="Early Payoff",J43&gt;=$S$13),0,IF($J43&lt;=$S$6,SUM($R$20:$R43),0))</f>
        <v>0</v>
      </c>
      <c r="U43" s="885">
        <f t="shared" si="5"/>
        <v>0</v>
      </c>
      <c r="V43" s="1110">
        <f t="shared" si="13"/>
        <v>0</v>
      </c>
      <c r="X43" s="1102">
        <f t="shared" si="6"/>
        <v>0</v>
      </c>
      <c r="Y43" s="873">
        <f t="shared" si="7"/>
        <v>0</v>
      </c>
      <c r="Z43" s="873">
        <f t="shared" si="8"/>
        <v>0</v>
      </c>
      <c r="AA43" s="885">
        <f t="shared" si="9"/>
        <v>0</v>
      </c>
      <c r="AC43" s="355">
        <f t="shared" ref="AC43:AD45" si="31">AC42+1</f>
        <v>23</v>
      </c>
      <c r="AD43" s="1103">
        <f t="shared" si="31"/>
        <v>2048</v>
      </c>
      <c r="AE43" s="1104">
        <f t="shared" si="14"/>
        <v>0</v>
      </c>
      <c r="AF43" s="1104">
        <f t="shared" si="15"/>
        <v>0</v>
      </c>
      <c r="AG43" s="1104">
        <f t="shared" si="16"/>
        <v>0</v>
      </c>
      <c r="AH43" s="1104">
        <f t="shared" si="17"/>
        <v>0</v>
      </c>
      <c r="AI43" s="1104">
        <f t="shared" si="18"/>
        <v>0</v>
      </c>
      <c r="AJ43" s="1104">
        <f>IF($AE43=0,0,SUM($AG$20:$AG43))</f>
        <v>0</v>
      </c>
      <c r="AK43" s="1104">
        <f>IF($AE43=0,0,SUM($AH$20:$AH43))</f>
        <v>0</v>
      </c>
      <c r="AL43" s="1104">
        <f>SUM($AI$20:$AI43)</f>
        <v>0</v>
      </c>
      <c r="AM43" s="1104">
        <f t="shared" si="26"/>
        <v>0</v>
      </c>
      <c r="AN43" s="1104"/>
      <c r="AO43" s="347"/>
      <c r="AQ43" s="347" t="s">
        <v>544</v>
      </c>
      <c r="AR43" s="1077" t="str">
        <f>'Sale - Refinance'!$E$10</f>
        <v>Yes</v>
      </c>
      <c r="AS43" s="345"/>
      <c r="AT43" s="1111" t="s">
        <v>530</v>
      </c>
      <c r="AU43" s="1149">
        <v>0</v>
      </c>
      <c r="AV43" s="1147"/>
      <c r="AW43" s="1092"/>
      <c r="AX43" s="1093"/>
    </row>
    <row r="44" spans="2:50" s="278" customFormat="1" ht="12" customHeight="1" x14ac:dyDescent="0.25">
      <c r="B44" s="1192" t="e">
        <f t="shared" si="19"/>
        <v>#N/A</v>
      </c>
      <c r="C44" s="732">
        <f t="shared" si="0"/>
        <v>31</v>
      </c>
      <c r="D44" s="35">
        <f t="shared" si="1"/>
        <v>8</v>
      </c>
      <c r="E44" s="889">
        <f t="shared" si="27"/>
        <v>50283</v>
      </c>
      <c r="F44" s="822">
        <f t="shared" si="2"/>
        <v>8</v>
      </c>
      <c r="G44" s="500">
        <f t="shared" si="20"/>
        <v>153</v>
      </c>
      <c r="H44" s="126">
        <f t="shared" si="3"/>
        <v>0</v>
      </c>
      <c r="I44" s="1098">
        <f t="shared" si="28"/>
        <v>1</v>
      </c>
      <c r="J44" s="887">
        <f t="shared" si="21"/>
        <v>25</v>
      </c>
      <c r="K44" s="1099">
        <f t="shared" si="10"/>
        <v>25</v>
      </c>
      <c r="L44" s="891" t="str">
        <f t="shared" si="11"/>
        <v>August</v>
      </c>
      <c r="M44" s="888">
        <f t="shared" si="22"/>
        <v>2037</v>
      </c>
      <c r="N44" s="883">
        <f t="shared" si="12"/>
        <v>0</v>
      </c>
      <c r="O44" s="883">
        <f t="shared" si="23"/>
        <v>0</v>
      </c>
      <c r="P44" s="1100"/>
      <c r="Q44" s="883">
        <f t="shared" si="4"/>
        <v>0</v>
      </c>
      <c r="R44" s="884">
        <f t="shared" si="24"/>
        <v>0</v>
      </c>
      <c r="S44" s="884">
        <f>IF(AND($AS$39="Early Payoff",J44&gt;=$S$13),0,IF($J44&lt;=$S$6,SUM($Q$20:$Q44),0))</f>
        <v>0</v>
      </c>
      <c r="T44" s="884">
        <f>IF(AND($AS$39="Early Payoff",J44&gt;=$S$13),0,IF($J44&lt;=$S$6,SUM($R$20:$R44),0))</f>
        <v>0</v>
      </c>
      <c r="U44" s="885">
        <f t="shared" si="5"/>
        <v>0</v>
      </c>
      <c r="V44" s="1110">
        <f t="shared" si="13"/>
        <v>0</v>
      </c>
      <c r="X44" s="1102">
        <f t="shared" si="6"/>
        <v>0</v>
      </c>
      <c r="Y44" s="873">
        <f t="shared" si="7"/>
        <v>0</v>
      </c>
      <c r="Z44" s="873">
        <f t="shared" si="8"/>
        <v>0</v>
      </c>
      <c r="AA44" s="885">
        <f t="shared" si="9"/>
        <v>0</v>
      </c>
      <c r="AC44" s="355">
        <f t="shared" si="31"/>
        <v>24</v>
      </c>
      <c r="AD44" s="1103">
        <f t="shared" si="31"/>
        <v>2049</v>
      </c>
      <c r="AE44" s="1104">
        <f t="shared" si="14"/>
        <v>0</v>
      </c>
      <c r="AF44" s="1104">
        <f t="shared" si="15"/>
        <v>0</v>
      </c>
      <c r="AG44" s="1104">
        <f t="shared" si="16"/>
        <v>0</v>
      </c>
      <c r="AH44" s="1104">
        <f t="shared" si="17"/>
        <v>0</v>
      </c>
      <c r="AI44" s="1104">
        <f t="shared" si="18"/>
        <v>0</v>
      </c>
      <c r="AJ44" s="1104">
        <f>IF($AE44=0,0,SUM($AG$20:$AG44))</f>
        <v>0</v>
      </c>
      <c r="AK44" s="1104">
        <f>IF($AE44=0,0,SUM($AH$20:$AH44))</f>
        <v>0</v>
      </c>
      <c r="AL44" s="1104">
        <f>SUM($AI$20:$AI44)</f>
        <v>0</v>
      </c>
      <c r="AM44" s="1104">
        <f t="shared" si="26"/>
        <v>0</v>
      </c>
      <c r="AN44" s="1104"/>
      <c r="AO44" s="347"/>
      <c r="AQ44" s="347" t="s">
        <v>545</v>
      </c>
      <c r="AR44" s="1103">
        <f>'Sale - Refinance'!E11</f>
        <v>2032</v>
      </c>
      <c r="AS44" s="345"/>
      <c r="AT44" s="1111" t="s">
        <v>509</v>
      </c>
      <c r="AU44" s="1149">
        <v>0</v>
      </c>
      <c r="AV44" s="1147"/>
      <c r="AW44" s="1092"/>
      <c r="AX44" s="1093"/>
    </row>
    <row r="45" spans="2:50" s="278" customFormat="1" ht="12" customHeight="1" x14ac:dyDescent="0.25">
      <c r="B45" s="1192" t="e">
        <f t="shared" si="19"/>
        <v>#N/A</v>
      </c>
      <c r="C45" s="732">
        <f t="shared" si="0"/>
        <v>31</v>
      </c>
      <c r="D45" s="35">
        <f t="shared" si="1"/>
        <v>3</v>
      </c>
      <c r="E45" s="889">
        <f t="shared" si="27"/>
        <v>50495</v>
      </c>
      <c r="F45" s="822">
        <f t="shared" si="2"/>
        <v>3</v>
      </c>
      <c r="G45" s="500">
        <f t="shared" si="20"/>
        <v>212</v>
      </c>
      <c r="H45" s="126">
        <f t="shared" si="3"/>
        <v>0</v>
      </c>
      <c r="I45" s="1098">
        <f t="shared" si="28"/>
        <v>0</v>
      </c>
      <c r="J45" s="887">
        <f t="shared" si="21"/>
        <v>26</v>
      </c>
      <c r="K45" s="1099">
        <f t="shared" si="10"/>
        <v>26</v>
      </c>
      <c r="L45" s="891" t="str">
        <f t="shared" si="11"/>
        <v>March</v>
      </c>
      <c r="M45" s="888">
        <f t="shared" si="22"/>
        <v>2038</v>
      </c>
      <c r="N45" s="883">
        <f t="shared" si="12"/>
        <v>0</v>
      </c>
      <c r="O45" s="883">
        <f t="shared" si="23"/>
        <v>0</v>
      </c>
      <c r="P45" s="1100"/>
      <c r="Q45" s="883">
        <f t="shared" si="4"/>
        <v>0</v>
      </c>
      <c r="R45" s="884">
        <f t="shared" si="24"/>
        <v>0</v>
      </c>
      <c r="S45" s="884">
        <f>IF(AND($AS$39="Early Payoff",J45&gt;=$S$13),0,IF($J45&lt;=$S$6,SUM($Q$20:$Q45),0))</f>
        <v>0</v>
      </c>
      <c r="T45" s="884">
        <f>IF(AND($AS$39="Early Payoff",J45&gt;=$S$13),0,IF($J45&lt;=$S$6,SUM($R$20:$R45),0))</f>
        <v>0</v>
      </c>
      <c r="U45" s="885">
        <f t="shared" si="5"/>
        <v>0</v>
      </c>
      <c r="V45" s="1110">
        <f t="shared" si="13"/>
        <v>0</v>
      </c>
      <c r="X45" s="1102">
        <f t="shared" si="6"/>
        <v>0</v>
      </c>
      <c r="Y45" s="873">
        <f t="shared" si="7"/>
        <v>0</v>
      </c>
      <c r="Z45" s="873">
        <f t="shared" si="8"/>
        <v>0</v>
      </c>
      <c r="AA45" s="885">
        <f t="shared" si="9"/>
        <v>0</v>
      </c>
      <c r="AC45" s="355">
        <f t="shared" si="31"/>
        <v>25</v>
      </c>
      <c r="AD45" s="1103">
        <f t="shared" si="31"/>
        <v>2050</v>
      </c>
      <c r="AE45" s="1104">
        <f t="shared" si="14"/>
        <v>0</v>
      </c>
      <c r="AF45" s="1104">
        <f t="shared" si="15"/>
        <v>0</v>
      </c>
      <c r="AG45" s="1104">
        <f t="shared" si="16"/>
        <v>0</v>
      </c>
      <c r="AH45" s="1104">
        <f t="shared" si="17"/>
        <v>0</v>
      </c>
      <c r="AI45" s="1104">
        <f t="shared" si="18"/>
        <v>0</v>
      </c>
      <c r="AJ45" s="1104">
        <f>IF($AE45=0,0,SUM($AG$20:$AG45))</f>
        <v>0</v>
      </c>
      <c r="AK45" s="1104">
        <f>IF($AE45=0,0,SUM($AH$20:$AH45))</f>
        <v>0</v>
      </c>
      <c r="AL45" s="1104">
        <f>SUM($AI$20:$AI45)</f>
        <v>0</v>
      </c>
      <c r="AM45" s="1104">
        <f t="shared" si="26"/>
        <v>0</v>
      </c>
      <c r="AN45" s="1104"/>
      <c r="AO45" s="347"/>
      <c r="AQ45" s="347" t="s">
        <v>267</v>
      </c>
      <c r="AR45" s="1077" t="str">
        <f>'Sale - Refinance'!E12</f>
        <v>December</v>
      </c>
      <c r="AS45" s="345">
        <f>INDEX(AT22:AU34,MATCH(AR45,AT22:AT34,0),MATCH("Number",AT22:AU22,0))</f>
        <v>12</v>
      </c>
      <c r="AT45" s="1111" t="s">
        <v>461</v>
      </c>
      <c r="AU45" s="1149">
        <v>0</v>
      </c>
      <c r="AV45" s="1147"/>
      <c r="AW45" s="1092"/>
      <c r="AX45" s="1093"/>
    </row>
    <row r="46" spans="2:50" s="278" customFormat="1" ht="12" customHeight="1" x14ac:dyDescent="0.25">
      <c r="B46" s="1192" t="e">
        <f t="shared" si="19"/>
        <v>#N/A</v>
      </c>
      <c r="C46" s="732">
        <f t="shared" si="0"/>
        <v>31</v>
      </c>
      <c r="D46" s="35">
        <f t="shared" si="1"/>
        <v>8</v>
      </c>
      <c r="E46" s="889">
        <f t="shared" si="27"/>
        <v>50648</v>
      </c>
      <c r="F46" s="822">
        <f t="shared" si="2"/>
        <v>8</v>
      </c>
      <c r="G46" s="500">
        <f t="shared" si="20"/>
        <v>153</v>
      </c>
      <c r="H46" s="126">
        <f t="shared" si="3"/>
        <v>0</v>
      </c>
      <c r="I46" s="1098">
        <f t="shared" si="28"/>
        <v>1</v>
      </c>
      <c r="J46" s="887">
        <f t="shared" si="21"/>
        <v>27</v>
      </c>
      <c r="K46" s="1099">
        <f t="shared" si="10"/>
        <v>27</v>
      </c>
      <c r="L46" s="891" t="str">
        <f t="shared" si="11"/>
        <v>August</v>
      </c>
      <c r="M46" s="888">
        <f t="shared" si="22"/>
        <v>2038</v>
      </c>
      <c r="N46" s="883">
        <f t="shared" si="12"/>
        <v>0</v>
      </c>
      <c r="O46" s="883">
        <f t="shared" si="23"/>
        <v>0</v>
      </c>
      <c r="P46" s="1100"/>
      <c r="Q46" s="883">
        <f t="shared" si="4"/>
        <v>0</v>
      </c>
      <c r="R46" s="884">
        <f t="shared" si="24"/>
        <v>0</v>
      </c>
      <c r="S46" s="884">
        <f>IF(AND($AS$39="Early Payoff",J46&gt;=$S$13),0,IF($J46&lt;=$S$6,SUM($Q$20:$Q46),0))</f>
        <v>0</v>
      </c>
      <c r="T46" s="884">
        <f>IF(AND($AS$39="Early Payoff",J46&gt;=$S$13),0,IF($J46&lt;=$S$6,SUM($R$20:$R46),0))</f>
        <v>0</v>
      </c>
      <c r="U46" s="885">
        <f t="shared" si="5"/>
        <v>0</v>
      </c>
      <c r="V46" s="1110">
        <f t="shared" si="13"/>
        <v>0</v>
      </c>
      <c r="X46" s="1102">
        <f t="shared" si="6"/>
        <v>0</v>
      </c>
      <c r="Y46" s="873">
        <f t="shared" si="7"/>
        <v>0</v>
      </c>
      <c r="Z46" s="873">
        <f t="shared" si="8"/>
        <v>0</v>
      </c>
      <c r="AA46" s="885">
        <f t="shared" si="9"/>
        <v>0</v>
      </c>
      <c r="AC46" s="355">
        <f>AC45+1</f>
        <v>26</v>
      </c>
      <c r="AD46" s="1103">
        <f>AD45+1</f>
        <v>2051</v>
      </c>
      <c r="AE46" s="1104">
        <f t="shared" si="14"/>
        <v>0</v>
      </c>
      <c r="AF46" s="1104">
        <f t="shared" si="15"/>
        <v>0</v>
      </c>
      <c r="AG46" s="1104">
        <f t="shared" si="16"/>
        <v>0</v>
      </c>
      <c r="AH46" s="1104">
        <f t="shared" si="17"/>
        <v>0</v>
      </c>
      <c r="AI46" s="1104">
        <f t="shared" si="18"/>
        <v>0</v>
      </c>
      <c r="AJ46" s="1104">
        <f>IF($AE46=0,0,SUM($AG$20:$AG46))</f>
        <v>0</v>
      </c>
      <c r="AK46" s="1104">
        <f>IF($AE46=0,0,SUM($AH$20:$AH46))</f>
        <v>0</v>
      </c>
      <c r="AL46" s="1104">
        <f>SUM($AI$20:$AI46)</f>
        <v>0</v>
      </c>
      <c r="AM46" s="1104">
        <f t="shared" si="26"/>
        <v>0</v>
      </c>
      <c r="AN46" s="1104"/>
      <c r="AO46" s="347"/>
      <c r="AQ46" s="347" t="s">
        <v>268</v>
      </c>
      <c r="AR46" s="1118">
        <f>EOMONTH(DATE(AR44,INDEX($AT$22:$AU$34,MATCH($AR$45,$AT$22:$AT$34,0),MATCH("Number",$AT$22:$AU$22,0)),1),0)</f>
        <v>48579</v>
      </c>
      <c r="AT46" s="1111" t="s">
        <v>533</v>
      </c>
      <c r="AU46" s="1149">
        <v>0</v>
      </c>
      <c r="AV46" s="1147"/>
      <c r="AW46" s="1092"/>
      <c r="AX46" s="1093"/>
    </row>
    <row r="47" spans="2:50" s="278" customFormat="1" ht="12" customHeight="1" x14ac:dyDescent="0.25">
      <c r="B47" s="1192" t="e">
        <f t="shared" si="19"/>
        <v>#N/A</v>
      </c>
      <c r="C47" s="732">
        <f t="shared" si="0"/>
        <v>31</v>
      </c>
      <c r="D47" s="35">
        <f t="shared" si="1"/>
        <v>3</v>
      </c>
      <c r="E47" s="889">
        <f t="shared" si="27"/>
        <v>50860</v>
      </c>
      <c r="F47" s="822">
        <f t="shared" si="2"/>
        <v>3</v>
      </c>
      <c r="G47" s="500">
        <f t="shared" si="20"/>
        <v>212</v>
      </c>
      <c r="H47" s="126">
        <f t="shared" si="3"/>
        <v>0</v>
      </c>
      <c r="I47" s="1098">
        <f t="shared" si="28"/>
        <v>0</v>
      </c>
      <c r="J47" s="887">
        <f t="shared" si="21"/>
        <v>28</v>
      </c>
      <c r="K47" s="1099">
        <f t="shared" si="10"/>
        <v>28</v>
      </c>
      <c r="L47" s="891" t="str">
        <f t="shared" si="11"/>
        <v>March</v>
      </c>
      <c r="M47" s="888">
        <f t="shared" si="22"/>
        <v>2039</v>
      </c>
      <c r="N47" s="883">
        <f t="shared" si="12"/>
        <v>0</v>
      </c>
      <c r="O47" s="883">
        <f t="shared" si="23"/>
        <v>0</v>
      </c>
      <c r="P47" s="1100"/>
      <c r="Q47" s="883">
        <f t="shared" si="4"/>
        <v>0</v>
      </c>
      <c r="R47" s="884">
        <f t="shared" si="24"/>
        <v>0</v>
      </c>
      <c r="S47" s="884">
        <f>IF(AND($AS$39="Early Payoff",J47&gt;=$S$13),0,IF($J47&lt;=$S$6,SUM($Q$20:$Q47),0))</f>
        <v>0</v>
      </c>
      <c r="T47" s="884">
        <f>IF(AND($AS$39="Early Payoff",J47&gt;=$S$13),0,IF($J47&lt;=$S$6,SUM($R$20:$R47),0))</f>
        <v>0</v>
      </c>
      <c r="U47" s="885">
        <f t="shared" si="5"/>
        <v>0</v>
      </c>
      <c r="V47" s="1110">
        <f t="shared" si="13"/>
        <v>0</v>
      </c>
      <c r="X47" s="1102">
        <f t="shared" si="6"/>
        <v>0</v>
      </c>
      <c r="Y47" s="873">
        <f t="shared" si="7"/>
        <v>0</v>
      </c>
      <c r="Z47" s="873">
        <f t="shared" si="8"/>
        <v>0</v>
      </c>
      <c r="AA47" s="885">
        <f t="shared" si="9"/>
        <v>0</v>
      </c>
      <c r="AC47" s="355">
        <f t="shared" ref="AC47:AD49" si="32">AC46+1</f>
        <v>27</v>
      </c>
      <c r="AD47" s="1103">
        <f t="shared" si="32"/>
        <v>2052</v>
      </c>
      <c r="AE47" s="1104">
        <f t="shared" si="14"/>
        <v>0</v>
      </c>
      <c r="AF47" s="1104">
        <f t="shared" si="15"/>
        <v>0</v>
      </c>
      <c r="AG47" s="1104">
        <f t="shared" si="16"/>
        <v>0</v>
      </c>
      <c r="AH47" s="1104">
        <f t="shared" si="17"/>
        <v>0</v>
      </c>
      <c r="AI47" s="1104">
        <f t="shared" si="18"/>
        <v>0</v>
      </c>
      <c r="AJ47" s="1104">
        <f>IF($AE47=0,0,SUM($AG$20:$AG47))</f>
        <v>0</v>
      </c>
      <c r="AK47" s="1104">
        <f>IF($AE47=0,0,SUM($AH$20:$AH47))</f>
        <v>0</v>
      </c>
      <c r="AL47" s="1104">
        <f>SUM($AI$20:$AI47)</f>
        <v>0</v>
      </c>
      <c r="AM47" s="1104">
        <f t="shared" si="26"/>
        <v>0</v>
      </c>
      <c r="AN47" s="1104"/>
      <c r="AO47" s="347"/>
      <c r="AQ47" s="347"/>
      <c r="AS47" s="345"/>
      <c r="AT47" s="1111" t="s">
        <v>535</v>
      </c>
      <c r="AU47" s="1149">
        <v>0</v>
      </c>
      <c r="AV47" s="1147"/>
      <c r="AW47" s="1092"/>
      <c r="AX47" s="1093"/>
    </row>
    <row r="48" spans="2:50" s="278" customFormat="1" ht="12" customHeight="1" x14ac:dyDescent="0.25">
      <c r="B48" s="1192" t="e">
        <f t="shared" si="19"/>
        <v>#N/A</v>
      </c>
      <c r="C48" s="732">
        <f t="shared" si="0"/>
        <v>31</v>
      </c>
      <c r="D48" s="35">
        <f t="shared" si="1"/>
        <v>8</v>
      </c>
      <c r="E48" s="889">
        <f t="shared" si="27"/>
        <v>51013</v>
      </c>
      <c r="F48" s="822">
        <f t="shared" si="2"/>
        <v>8</v>
      </c>
      <c r="G48" s="500">
        <f t="shared" si="20"/>
        <v>153</v>
      </c>
      <c r="H48" s="126">
        <f t="shared" si="3"/>
        <v>0</v>
      </c>
      <c r="I48" s="1098">
        <f t="shared" si="28"/>
        <v>1</v>
      </c>
      <c r="J48" s="887">
        <f t="shared" si="21"/>
        <v>29</v>
      </c>
      <c r="K48" s="1099">
        <f t="shared" si="10"/>
        <v>29</v>
      </c>
      <c r="L48" s="891" t="str">
        <f t="shared" si="11"/>
        <v>August</v>
      </c>
      <c r="M48" s="888">
        <f t="shared" si="22"/>
        <v>2039</v>
      </c>
      <c r="N48" s="883">
        <f t="shared" si="12"/>
        <v>0</v>
      </c>
      <c r="O48" s="883">
        <f t="shared" si="23"/>
        <v>0</v>
      </c>
      <c r="P48" s="1100"/>
      <c r="Q48" s="883">
        <f t="shared" si="4"/>
        <v>0</v>
      </c>
      <c r="R48" s="884">
        <f t="shared" si="24"/>
        <v>0</v>
      </c>
      <c r="S48" s="884">
        <f>IF(AND($AS$39="Early Payoff",J48&gt;=$S$13),0,IF($J48&lt;=$S$6,SUM($Q$20:$Q48),0))</f>
        <v>0</v>
      </c>
      <c r="T48" s="884">
        <f>IF(AND($AS$39="Early Payoff",J48&gt;=$S$13),0,IF($J48&lt;=$S$6,SUM($R$20:$R48),0))</f>
        <v>0</v>
      </c>
      <c r="U48" s="885">
        <f t="shared" si="5"/>
        <v>0</v>
      </c>
      <c r="V48" s="1110">
        <f t="shared" si="13"/>
        <v>0</v>
      </c>
      <c r="X48" s="1102">
        <f t="shared" si="6"/>
        <v>0</v>
      </c>
      <c r="Y48" s="873">
        <f t="shared" si="7"/>
        <v>0</v>
      </c>
      <c r="Z48" s="873">
        <f t="shared" si="8"/>
        <v>0</v>
      </c>
      <c r="AA48" s="885">
        <f t="shared" si="9"/>
        <v>0</v>
      </c>
      <c r="AC48" s="355">
        <f t="shared" si="32"/>
        <v>28</v>
      </c>
      <c r="AD48" s="1103">
        <f t="shared" si="32"/>
        <v>2053</v>
      </c>
      <c r="AE48" s="1104">
        <f t="shared" si="14"/>
        <v>0</v>
      </c>
      <c r="AF48" s="1104">
        <f t="shared" si="15"/>
        <v>0</v>
      </c>
      <c r="AG48" s="1104">
        <f t="shared" si="16"/>
        <v>0</v>
      </c>
      <c r="AH48" s="1104">
        <f t="shared" si="17"/>
        <v>0</v>
      </c>
      <c r="AI48" s="1104">
        <f t="shared" si="18"/>
        <v>0</v>
      </c>
      <c r="AJ48" s="1104">
        <f>IF($AE48=0,0,SUM($AG$20:$AG48))</f>
        <v>0</v>
      </c>
      <c r="AK48" s="1104">
        <f>IF($AE48=0,0,SUM($AH$20:$AH48))</f>
        <v>0</v>
      </c>
      <c r="AL48" s="1104">
        <f>SUM($AI$20:$AI48)</f>
        <v>0</v>
      </c>
      <c r="AM48" s="1104">
        <f t="shared" si="26"/>
        <v>0</v>
      </c>
      <c r="AN48" s="1104"/>
      <c r="AO48" s="347"/>
      <c r="AQ48" s="347" t="s">
        <v>546</v>
      </c>
      <c r="AR48" s="1077">
        <f>IF($T$13&lt;$AR$46,$S$13,IF($T$4="Monthly",INDEX($B$19:$J$379,MATCH($AR$46,$E$19:$E$379,0),MATCH("Period",$B$19:$J$19,0)),IF(AND($T$4="Annual",$AS$45&gt;$R$4),INDEX($B$19:$J$379,MATCH(EOMONTH(DATE(YEAR($AR$46)+1,$R$4,1),0),$E$19:$E$379,0),MATCH("Period",$B$19:$J$19,0)),IF(AND($T$4="Annual",$AS$45&lt;=$R$4),INDEX($B$19:$J$379,MATCH(EOMONTH(DATE(YEAR($AR$46),$R$4,1),0),$E$19:$E$379,0),MATCH("Period",$B$19:$J$19,0)),IF(AND($T$4="Bi-Annual",$AS$45&gt;MAX($R$4,$S$4)),INDEX($B$19:$J$379,MATCH(EOMONTH(DATE(YEAR($AR$46)+1,MIN($R$4,$S$4),1),0),$E$19:$E$379,0),MATCH("Period",$B$19:$J$19,0)),IF(AND($T$4="Bi-Annual",$AS$45&lt;MIN($R$4,$S$4)),INDEX($B$19:$J$379,MATCH(EOMONTH(DATE(YEAR($AR$46)-1,MAX($R$4,$S$4),1),0),$E$19:$E$379,0),MATCH("Period",$B$19:$J$19,0)),IF(AND($T$4="Bi-Annual",$AS$45&gt;MIN($R$4,$S$4),$AS$45&lt;MAX($R$4,$S$4)),INDEX($B$19:$J$379,MATCH(EOMONTH(DATE(YEAR($AR$46),MAX($R$4,$S$4),1),0),$E$19:$E$379,0),MATCH("Period",$B$19:$J$19,0)),IF(AND($T$4="Bi-Annual",$AS$45=MIN($R$4,$S$4)),INDEX($B$19:$J$379,MATCH(EOMONTH(DATE(YEAR($AR$46),MAX($R$4,$S$4),1),0),$E$19:$E$379,0),MATCH("Period",$B$19:$J$19,0)),IF(AND($T$4="Bi-Annual",$AS$45=MAX($R$4,$S$4)),INDEX($B$19:$J$379,MATCH(EOMONTH(DATE(YEAR($AR$46)+1,MIN($R$4,$S$4),1),0),$E$19:$E$379,0),MATCH("Period",$B$19:$J$19,0)))))))))))</f>
        <v>1</v>
      </c>
      <c r="AS48" s="345"/>
      <c r="AT48" s="1145" t="s">
        <v>423</v>
      </c>
      <c r="AU48" s="1150">
        <v>1</v>
      </c>
      <c r="AV48" s="1147"/>
      <c r="AW48" s="1092"/>
      <c r="AX48" s="1093"/>
    </row>
    <row r="49" spans="1:50" s="278" customFormat="1" ht="12" customHeight="1" x14ac:dyDescent="0.25">
      <c r="B49" s="1192" t="e">
        <f t="shared" si="19"/>
        <v>#N/A</v>
      </c>
      <c r="C49" s="732">
        <f t="shared" si="0"/>
        <v>31</v>
      </c>
      <c r="D49" s="35">
        <f t="shared" si="1"/>
        <v>3</v>
      </c>
      <c r="E49" s="889">
        <f t="shared" si="27"/>
        <v>51226</v>
      </c>
      <c r="F49" s="822">
        <f t="shared" si="2"/>
        <v>3</v>
      </c>
      <c r="G49" s="500">
        <f t="shared" si="20"/>
        <v>213</v>
      </c>
      <c r="H49" s="126">
        <f t="shared" si="3"/>
        <v>0</v>
      </c>
      <c r="I49" s="1098">
        <f t="shared" si="28"/>
        <v>0</v>
      </c>
      <c r="J49" s="887">
        <f t="shared" si="21"/>
        <v>30</v>
      </c>
      <c r="K49" s="1099">
        <f t="shared" si="10"/>
        <v>30</v>
      </c>
      <c r="L49" s="891" t="str">
        <f t="shared" si="11"/>
        <v>March</v>
      </c>
      <c r="M49" s="888">
        <f t="shared" si="22"/>
        <v>2040</v>
      </c>
      <c r="N49" s="883">
        <f t="shared" si="12"/>
        <v>0</v>
      </c>
      <c r="O49" s="883">
        <f t="shared" si="23"/>
        <v>0</v>
      </c>
      <c r="P49" s="1100"/>
      <c r="Q49" s="883">
        <f t="shared" si="4"/>
        <v>0</v>
      </c>
      <c r="R49" s="884">
        <f t="shared" si="24"/>
        <v>0</v>
      </c>
      <c r="S49" s="884">
        <f>IF(AND($AS$39="Early Payoff",J49&gt;=$S$13),0,IF($J49&lt;=$S$6,SUM($Q$20:$Q49),0))</f>
        <v>0</v>
      </c>
      <c r="T49" s="884">
        <f>IF(AND($AS$39="Early Payoff",J49&gt;=$S$13),0,IF($J49&lt;=$S$6,SUM($R$20:$R49),0))</f>
        <v>0</v>
      </c>
      <c r="U49" s="885">
        <f t="shared" si="5"/>
        <v>0</v>
      </c>
      <c r="V49" s="1110">
        <f t="shared" si="13"/>
        <v>0</v>
      </c>
      <c r="X49" s="1102">
        <f t="shared" si="6"/>
        <v>0</v>
      </c>
      <c r="Y49" s="873">
        <f t="shared" si="7"/>
        <v>0</v>
      </c>
      <c r="Z49" s="873">
        <f t="shared" si="8"/>
        <v>0</v>
      </c>
      <c r="AA49" s="885">
        <f t="shared" si="9"/>
        <v>0</v>
      </c>
      <c r="AC49" s="355">
        <f t="shared" si="32"/>
        <v>29</v>
      </c>
      <c r="AD49" s="1103">
        <f t="shared" si="32"/>
        <v>2054</v>
      </c>
      <c r="AE49" s="1104">
        <f t="shared" si="14"/>
        <v>0</v>
      </c>
      <c r="AF49" s="1104">
        <f t="shared" si="15"/>
        <v>0</v>
      </c>
      <c r="AG49" s="1104">
        <f t="shared" si="16"/>
        <v>0</v>
      </c>
      <c r="AH49" s="1104">
        <f t="shared" si="17"/>
        <v>0</v>
      </c>
      <c r="AI49" s="1104">
        <f t="shared" si="18"/>
        <v>0</v>
      </c>
      <c r="AJ49" s="1104">
        <f>IF($AE49=0,0,SUM($AG$20:$AG49))</f>
        <v>0</v>
      </c>
      <c r="AK49" s="1104">
        <f>IF($AE49=0,0,SUM($AH$20:$AH49))</f>
        <v>0</v>
      </c>
      <c r="AL49" s="1104">
        <f>SUM($AI$20:$AI49)</f>
        <v>0</v>
      </c>
      <c r="AM49" s="1104">
        <f t="shared" si="26"/>
        <v>0</v>
      </c>
      <c r="AN49" s="1104"/>
      <c r="AO49" s="347"/>
      <c r="AQ49" s="379" t="s">
        <v>547</v>
      </c>
      <c r="AR49" s="882">
        <f>AR48-1</f>
        <v>0</v>
      </c>
      <c r="AS49" s="342"/>
      <c r="AT49" s="1166"/>
      <c r="AU49" s="1167"/>
      <c r="AV49" s="1168"/>
      <c r="AW49" s="1092"/>
      <c r="AX49" s="1093"/>
    </row>
    <row r="50" spans="1:50" s="278" customFormat="1" ht="12" customHeight="1" x14ac:dyDescent="0.25">
      <c r="B50" s="1192" t="e">
        <f t="shared" si="19"/>
        <v>#N/A</v>
      </c>
      <c r="C50" s="732">
        <f t="shared" si="0"/>
        <v>31</v>
      </c>
      <c r="D50" s="35">
        <f t="shared" si="1"/>
        <v>8</v>
      </c>
      <c r="E50" s="889">
        <f t="shared" si="27"/>
        <v>51379</v>
      </c>
      <c r="F50" s="822">
        <f t="shared" si="2"/>
        <v>8</v>
      </c>
      <c r="G50" s="500">
        <f t="shared" si="20"/>
        <v>153</v>
      </c>
      <c r="H50" s="126">
        <f t="shared" si="3"/>
        <v>0</v>
      </c>
      <c r="I50" s="1098">
        <f t="shared" si="28"/>
        <v>1</v>
      </c>
      <c r="J50" s="887">
        <f t="shared" si="21"/>
        <v>31</v>
      </c>
      <c r="K50" s="1099">
        <f t="shared" si="10"/>
        <v>31</v>
      </c>
      <c r="L50" s="891" t="str">
        <f t="shared" si="11"/>
        <v>August</v>
      </c>
      <c r="M50" s="888">
        <f t="shared" si="22"/>
        <v>2040</v>
      </c>
      <c r="N50" s="883">
        <f t="shared" si="12"/>
        <v>0</v>
      </c>
      <c r="O50" s="883">
        <f t="shared" si="23"/>
        <v>0</v>
      </c>
      <c r="P50" s="1100"/>
      <c r="Q50" s="883">
        <f t="shared" si="4"/>
        <v>0</v>
      </c>
      <c r="R50" s="884">
        <f t="shared" si="24"/>
        <v>0</v>
      </c>
      <c r="S50" s="884">
        <f>IF(AND($AS$39="Early Payoff",J50&gt;=$S$13),0,IF($J50&lt;=$S$6,SUM($Q$20:$Q50),0))</f>
        <v>0</v>
      </c>
      <c r="T50" s="884">
        <f>IF(AND($AS$39="Early Payoff",J50&gt;=$S$13),0,IF($J50&lt;=$S$6,SUM($R$20:$R50),0))</f>
        <v>0</v>
      </c>
      <c r="U50" s="885">
        <f t="shared" si="5"/>
        <v>0</v>
      </c>
      <c r="V50" s="1110">
        <f t="shared" si="13"/>
        <v>0</v>
      </c>
      <c r="X50" s="1102">
        <f t="shared" si="6"/>
        <v>0</v>
      </c>
      <c r="Y50" s="873">
        <f t="shared" si="7"/>
        <v>0</v>
      </c>
      <c r="Z50" s="873">
        <f t="shared" si="8"/>
        <v>0</v>
      </c>
      <c r="AA50" s="885">
        <f t="shared" si="9"/>
        <v>0</v>
      </c>
      <c r="AC50" s="360"/>
      <c r="AD50" s="360"/>
      <c r="AE50" s="360"/>
      <c r="AF50" s="360"/>
      <c r="AG50" s="360"/>
      <c r="AH50" s="360"/>
      <c r="AI50" s="360"/>
      <c r="AJ50" s="360"/>
      <c r="AK50" s="360"/>
      <c r="AL50" s="360"/>
      <c r="AM50" s="360"/>
      <c r="AN50" s="360"/>
      <c r="AQ50" s="345"/>
      <c r="AR50" s="345"/>
      <c r="AS50" s="345"/>
      <c r="AT50" s="1093"/>
      <c r="AU50" s="1092"/>
      <c r="AV50" s="1092"/>
      <c r="AW50" s="1092"/>
      <c r="AX50" s="1093"/>
    </row>
    <row r="51" spans="1:50" s="278" customFormat="1" ht="12" customHeight="1" x14ac:dyDescent="0.25">
      <c r="B51" s="1192" t="e">
        <f t="shared" si="19"/>
        <v>#N/A</v>
      </c>
      <c r="C51" s="732">
        <f t="shared" si="0"/>
        <v>31</v>
      </c>
      <c r="D51" s="35">
        <f t="shared" si="1"/>
        <v>3</v>
      </c>
      <c r="E51" s="889">
        <f t="shared" si="27"/>
        <v>51591</v>
      </c>
      <c r="F51" s="822">
        <f t="shared" si="2"/>
        <v>3</v>
      </c>
      <c r="G51" s="500">
        <f t="shared" si="20"/>
        <v>212</v>
      </c>
      <c r="H51" s="126">
        <f t="shared" si="3"/>
        <v>0</v>
      </c>
      <c r="I51" s="1098">
        <f t="shared" si="28"/>
        <v>0</v>
      </c>
      <c r="J51" s="887">
        <f t="shared" si="21"/>
        <v>32</v>
      </c>
      <c r="K51" s="1099">
        <f t="shared" si="10"/>
        <v>32</v>
      </c>
      <c r="L51" s="891" t="str">
        <f t="shared" si="11"/>
        <v>March</v>
      </c>
      <c r="M51" s="888">
        <f t="shared" si="22"/>
        <v>2041</v>
      </c>
      <c r="N51" s="883">
        <f t="shared" si="12"/>
        <v>0</v>
      </c>
      <c r="O51" s="883">
        <f t="shared" si="23"/>
        <v>0</v>
      </c>
      <c r="P51" s="1100"/>
      <c r="Q51" s="883">
        <f t="shared" si="4"/>
        <v>0</v>
      </c>
      <c r="R51" s="884">
        <f t="shared" si="24"/>
        <v>0</v>
      </c>
      <c r="S51" s="884">
        <f>IF(AND($AS$39="Early Payoff",J51&gt;=$S$13),0,IF($J51&lt;=$S$6,SUM($Q$20:$Q51),0))</f>
        <v>0</v>
      </c>
      <c r="T51" s="884">
        <f>IF(AND($AS$39="Early Payoff",J51&gt;=$S$13),0,IF($J51&lt;=$S$6,SUM($R$20:$R51),0))</f>
        <v>0</v>
      </c>
      <c r="U51" s="885">
        <f t="shared" si="5"/>
        <v>0</v>
      </c>
      <c r="V51" s="1110">
        <f t="shared" si="13"/>
        <v>0</v>
      </c>
      <c r="X51" s="1102">
        <f t="shared" si="6"/>
        <v>0</v>
      </c>
      <c r="Y51" s="873">
        <f t="shared" si="7"/>
        <v>0</v>
      </c>
      <c r="Z51" s="873">
        <f t="shared" si="8"/>
        <v>0</v>
      </c>
      <c r="AA51" s="885">
        <f t="shared" si="9"/>
        <v>0</v>
      </c>
      <c r="AT51" s="1093"/>
      <c r="AU51" s="1092"/>
      <c r="AV51" s="1092"/>
      <c r="AW51" s="1092"/>
      <c r="AX51" s="1093"/>
    </row>
    <row r="52" spans="1:50" s="278" customFormat="1" ht="12" customHeight="1" x14ac:dyDescent="0.25">
      <c r="B52" s="1192" t="e">
        <f t="shared" si="19"/>
        <v>#N/A</v>
      </c>
      <c r="C52" s="732">
        <f t="shared" si="0"/>
        <v>31</v>
      </c>
      <c r="D52" s="35">
        <f t="shared" si="1"/>
        <v>8</v>
      </c>
      <c r="E52" s="889">
        <f t="shared" si="27"/>
        <v>51744</v>
      </c>
      <c r="F52" s="822">
        <f t="shared" si="2"/>
        <v>8</v>
      </c>
      <c r="G52" s="500">
        <f t="shared" si="20"/>
        <v>153</v>
      </c>
      <c r="H52" s="126">
        <f t="shared" si="3"/>
        <v>0</v>
      </c>
      <c r="I52" s="1098">
        <f t="shared" si="28"/>
        <v>1</v>
      </c>
      <c r="J52" s="887">
        <f t="shared" si="21"/>
        <v>33</v>
      </c>
      <c r="K52" s="1099">
        <f t="shared" si="10"/>
        <v>33</v>
      </c>
      <c r="L52" s="891" t="str">
        <f t="shared" si="11"/>
        <v>August</v>
      </c>
      <c r="M52" s="888">
        <f t="shared" si="22"/>
        <v>2041</v>
      </c>
      <c r="N52" s="883">
        <f t="shared" si="12"/>
        <v>0</v>
      </c>
      <c r="O52" s="883">
        <f t="shared" si="23"/>
        <v>0</v>
      </c>
      <c r="P52" s="1100"/>
      <c r="Q52" s="883">
        <f t="shared" si="4"/>
        <v>0</v>
      </c>
      <c r="R52" s="884">
        <f t="shared" si="24"/>
        <v>0</v>
      </c>
      <c r="S52" s="884">
        <f>IF(AND($AS$39="Early Payoff",J52&gt;=$S$13),0,IF($J52&lt;=$S$6,SUM($Q$20:$Q52),0))</f>
        <v>0</v>
      </c>
      <c r="T52" s="884">
        <f>IF(AND($AS$39="Early Payoff",J52&gt;=$S$13),0,IF($J52&lt;=$S$6,SUM($R$20:$R52),0))</f>
        <v>0</v>
      </c>
      <c r="U52" s="885">
        <f t="shared" si="5"/>
        <v>0</v>
      </c>
      <c r="V52" s="1110">
        <f t="shared" si="13"/>
        <v>0</v>
      </c>
      <c r="X52" s="1102">
        <f t="shared" si="6"/>
        <v>0</v>
      </c>
      <c r="Y52" s="873">
        <f t="shared" si="7"/>
        <v>0</v>
      </c>
      <c r="Z52" s="873">
        <f t="shared" si="8"/>
        <v>0</v>
      </c>
      <c r="AA52" s="885">
        <f t="shared" si="9"/>
        <v>0</v>
      </c>
      <c r="AT52" s="1093"/>
      <c r="AU52" s="1092"/>
      <c r="AV52" s="1092"/>
      <c r="AW52" s="1092"/>
      <c r="AX52" s="1093"/>
    </row>
    <row r="53" spans="1:50" s="278" customFormat="1" ht="12" customHeight="1" x14ac:dyDescent="0.25">
      <c r="B53" s="1192" t="e">
        <f t="shared" si="19"/>
        <v>#N/A</v>
      </c>
      <c r="C53" s="732">
        <f t="shared" si="0"/>
        <v>31</v>
      </c>
      <c r="D53" s="35">
        <f t="shared" si="1"/>
        <v>3</v>
      </c>
      <c r="E53" s="889">
        <f t="shared" si="27"/>
        <v>51956</v>
      </c>
      <c r="F53" s="822">
        <f t="shared" si="2"/>
        <v>3</v>
      </c>
      <c r="G53" s="500">
        <f t="shared" si="20"/>
        <v>212</v>
      </c>
      <c r="H53" s="126">
        <f t="shared" si="3"/>
        <v>0</v>
      </c>
      <c r="I53" s="1098">
        <f t="shared" si="28"/>
        <v>0</v>
      </c>
      <c r="J53" s="887">
        <f t="shared" si="21"/>
        <v>34</v>
      </c>
      <c r="K53" s="1099">
        <f t="shared" si="10"/>
        <v>34</v>
      </c>
      <c r="L53" s="891" t="str">
        <f t="shared" si="11"/>
        <v>March</v>
      </c>
      <c r="M53" s="888">
        <f t="shared" si="22"/>
        <v>2042</v>
      </c>
      <c r="N53" s="883">
        <f t="shared" si="12"/>
        <v>0</v>
      </c>
      <c r="O53" s="883">
        <f t="shared" si="23"/>
        <v>0</v>
      </c>
      <c r="P53" s="1100"/>
      <c r="Q53" s="883">
        <f t="shared" si="4"/>
        <v>0</v>
      </c>
      <c r="R53" s="884">
        <f t="shared" si="24"/>
        <v>0</v>
      </c>
      <c r="S53" s="884">
        <f>IF(AND($AS$39="Early Payoff",J53&gt;=$S$13),0,IF($J53&lt;=$S$6,SUM($Q$20:$Q53),0))</f>
        <v>0</v>
      </c>
      <c r="T53" s="884">
        <f>IF(AND($AS$39="Early Payoff",J53&gt;=$S$13),0,IF($J53&lt;=$S$6,SUM($R$20:$R53),0))</f>
        <v>0</v>
      </c>
      <c r="U53" s="885">
        <f t="shared" si="5"/>
        <v>0</v>
      </c>
      <c r="V53" s="1110">
        <f t="shared" si="13"/>
        <v>0</v>
      </c>
      <c r="X53" s="1102">
        <f t="shared" si="6"/>
        <v>0</v>
      </c>
      <c r="Y53" s="873">
        <f t="shared" si="7"/>
        <v>0</v>
      </c>
      <c r="Z53" s="873">
        <f t="shared" si="8"/>
        <v>0</v>
      </c>
      <c r="AA53" s="885">
        <f t="shared" si="9"/>
        <v>0</v>
      </c>
      <c r="AT53" s="1093"/>
      <c r="AU53" s="1092"/>
      <c r="AV53" s="1092"/>
      <c r="AW53" s="1092"/>
      <c r="AX53" s="1093"/>
    </row>
    <row r="54" spans="1:50" s="278" customFormat="1" ht="12" customHeight="1" x14ac:dyDescent="0.25">
      <c r="A54" s="880"/>
      <c r="B54" s="1192" t="e">
        <f t="shared" si="19"/>
        <v>#N/A</v>
      </c>
      <c r="C54" s="732">
        <f t="shared" si="0"/>
        <v>31</v>
      </c>
      <c r="D54" s="35">
        <f t="shared" si="1"/>
        <v>8</v>
      </c>
      <c r="E54" s="889">
        <f t="shared" si="27"/>
        <v>52109</v>
      </c>
      <c r="F54" s="822">
        <f t="shared" si="2"/>
        <v>8</v>
      </c>
      <c r="G54" s="500">
        <f t="shared" si="20"/>
        <v>153</v>
      </c>
      <c r="H54" s="126">
        <f t="shared" si="3"/>
        <v>0</v>
      </c>
      <c r="I54" s="1098">
        <f t="shared" si="28"/>
        <v>1</v>
      </c>
      <c r="J54" s="887">
        <f t="shared" si="21"/>
        <v>35</v>
      </c>
      <c r="K54" s="1099">
        <f t="shared" si="10"/>
        <v>35</v>
      </c>
      <c r="L54" s="891" t="str">
        <f t="shared" si="11"/>
        <v>August</v>
      </c>
      <c r="M54" s="888">
        <f t="shared" si="22"/>
        <v>2042</v>
      </c>
      <c r="N54" s="883">
        <f t="shared" si="12"/>
        <v>0</v>
      </c>
      <c r="O54" s="883">
        <f t="shared" si="23"/>
        <v>0</v>
      </c>
      <c r="P54" s="1100"/>
      <c r="Q54" s="883">
        <f t="shared" si="4"/>
        <v>0</v>
      </c>
      <c r="R54" s="884">
        <f t="shared" si="24"/>
        <v>0</v>
      </c>
      <c r="S54" s="884">
        <f>IF(AND($AS$39="Early Payoff",J54&gt;=$S$13),0,IF($J54&lt;=$S$6,SUM($Q$20:$Q54),0))</f>
        <v>0</v>
      </c>
      <c r="T54" s="884">
        <f>IF(AND($AS$39="Early Payoff",J54&gt;=$S$13),0,IF($J54&lt;=$S$6,SUM($R$20:$R54),0))</f>
        <v>0</v>
      </c>
      <c r="U54" s="885">
        <f t="shared" si="5"/>
        <v>0</v>
      </c>
      <c r="V54" s="1110">
        <f t="shared" si="13"/>
        <v>0</v>
      </c>
      <c r="X54" s="1102">
        <f t="shared" si="6"/>
        <v>0</v>
      </c>
      <c r="Y54" s="873">
        <f t="shared" si="7"/>
        <v>0</v>
      </c>
      <c r="Z54" s="873">
        <f t="shared" si="8"/>
        <v>0</v>
      </c>
      <c r="AA54" s="885">
        <f t="shared" si="9"/>
        <v>0</v>
      </c>
      <c r="AT54" s="1093"/>
      <c r="AU54" s="1092"/>
      <c r="AV54" s="1092"/>
      <c r="AW54" s="1092"/>
      <c r="AX54" s="1093"/>
    </row>
    <row r="55" spans="1:50" s="278" customFormat="1" ht="12" customHeight="1" x14ac:dyDescent="0.25">
      <c r="A55" s="880"/>
      <c r="B55" s="1192" t="e">
        <f t="shared" si="19"/>
        <v>#N/A</v>
      </c>
      <c r="C55" s="732">
        <f t="shared" si="0"/>
        <v>31</v>
      </c>
      <c r="D55" s="35">
        <f t="shared" si="1"/>
        <v>3</v>
      </c>
      <c r="E55" s="889">
        <f t="shared" si="27"/>
        <v>52321</v>
      </c>
      <c r="F55" s="822">
        <f t="shared" si="2"/>
        <v>3</v>
      </c>
      <c r="G55" s="500">
        <f t="shared" si="20"/>
        <v>212</v>
      </c>
      <c r="H55" s="126">
        <f t="shared" si="3"/>
        <v>0</v>
      </c>
      <c r="I55" s="1098">
        <f t="shared" si="28"/>
        <v>0</v>
      </c>
      <c r="J55" s="887">
        <f t="shared" si="21"/>
        <v>36</v>
      </c>
      <c r="K55" s="1099">
        <f t="shared" si="10"/>
        <v>36</v>
      </c>
      <c r="L55" s="891" t="str">
        <f t="shared" si="11"/>
        <v>March</v>
      </c>
      <c r="M55" s="888">
        <f t="shared" si="22"/>
        <v>2043</v>
      </c>
      <c r="N55" s="883">
        <f t="shared" si="12"/>
        <v>0</v>
      </c>
      <c r="O55" s="883">
        <f t="shared" si="23"/>
        <v>0</v>
      </c>
      <c r="P55" s="1100"/>
      <c r="Q55" s="883">
        <f t="shared" si="4"/>
        <v>0</v>
      </c>
      <c r="R55" s="884">
        <f t="shared" si="24"/>
        <v>0</v>
      </c>
      <c r="S55" s="884">
        <f>IF(AND($AS$39="Early Payoff",J55&gt;=$S$13),0,IF($J55&lt;=$S$6,SUM($Q$20:$Q55),0))</f>
        <v>0</v>
      </c>
      <c r="T55" s="884">
        <f>IF(AND($AS$39="Early Payoff",J55&gt;=$S$13),0,IF($J55&lt;=$S$6,SUM($R$20:$R55),0))</f>
        <v>0</v>
      </c>
      <c r="U55" s="885">
        <f t="shared" si="5"/>
        <v>0</v>
      </c>
      <c r="V55" s="1110">
        <f t="shared" si="13"/>
        <v>0</v>
      </c>
      <c r="X55" s="1102">
        <f t="shared" si="6"/>
        <v>0</v>
      </c>
      <c r="Y55" s="873">
        <f t="shared" si="7"/>
        <v>0</v>
      </c>
      <c r="Z55" s="873">
        <f t="shared" si="8"/>
        <v>0</v>
      </c>
      <c r="AA55" s="885">
        <f t="shared" si="9"/>
        <v>0</v>
      </c>
      <c r="AT55" s="1093"/>
      <c r="AU55" s="1092"/>
      <c r="AV55" s="1092"/>
      <c r="AW55" s="1092"/>
      <c r="AX55" s="1093"/>
    </row>
    <row r="56" spans="1:50" s="278" customFormat="1" ht="12" customHeight="1" x14ac:dyDescent="0.25">
      <c r="A56" s="880"/>
      <c r="B56" s="1192" t="e">
        <f t="shared" si="19"/>
        <v>#N/A</v>
      </c>
      <c r="C56" s="732">
        <f t="shared" si="0"/>
        <v>31</v>
      </c>
      <c r="D56" s="35">
        <f t="shared" si="1"/>
        <v>8</v>
      </c>
      <c r="E56" s="889">
        <f t="shared" si="27"/>
        <v>52474</v>
      </c>
      <c r="F56" s="822">
        <f t="shared" si="2"/>
        <v>8</v>
      </c>
      <c r="G56" s="500">
        <f t="shared" si="20"/>
        <v>153</v>
      </c>
      <c r="H56" s="126">
        <f t="shared" si="3"/>
        <v>0</v>
      </c>
      <c r="I56" s="1098">
        <f t="shared" si="28"/>
        <v>1</v>
      </c>
      <c r="J56" s="887">
        <f t="shared" si="21"/>
        <v>37</v>
      </c>
      <c r="K56" s="1099">
        <f t="shared" si="10"/>
        <v>37</v>
      </c>
      <c r="L56" s="891" t="str">
        <f t="shared" si="11"/>
        <v>August</v>
      </c>
      <c r="M56" s="888">
        <f t="shared" si="22"/>
        <v>2043</v>
      </c>
      <c r="N56" s="883">
        <f t="shared" si="12"/>
        <v>0</v>
      </c>
      <c r="O56" s="883">
        <f t="shared" si="23"/>
        <v>0</v>
      </c>
      <c r="P56" s="1100"/>
      <c r="Q56" s="883">
        <f t="shared" si="4"/>
        <v>0</v>
      </c>
      <c r="R56" s="884">
        <f t="shared" si="24"/>
        <v>0</v>
      </c>
      <c r="S56" s="884">
        <f>IF(AND($AS$39="Early Payoff",J56&gt;=$S$13),0,IF($J56&lt;=$S$6,SUM($Q$20:$Q56),0))</f>
        <v>0</v>
      </c>
      <c r="T56" s="884">
        <f>IF(AND($AS$39="Early Payoff",J56&gt;=$S$13),0,IF($J56&lt;=$S$6,SUM($R$20:$R56),0))</f>
        <v>0</v>
      </c>
      <c r="U56" s="885">
        <f t="shared" si="5"/>
        <v>0</v>
      </c>
      <c r="V56" s="1110">
        <f t="shared" si="13"/>
        <v>0</v>
      </c>
      <c r="X56" s="1102">
        <f t="shared" si="6"/>
        <v>0</v>
      </c>
      <c r="Y56" s="873">
        <f t="shared" si="7"/>
        <v>0</v>
      </c>
      <c r="Z56" s="873">
        <f t="shared" si="8"/>
        <v>0</v>
      </c>
      <c r="AA56" s="885">
        <f t="shared" si="9"/>
        <v>0</v>
      </c>
      <c r="AT56" s="1093"/>
      <c r="AU56" s="1092"/>
      <c r="AV56" s="1092"/>
      <c r="AW56" s="1092"/>
      <c r="AX56" s="1093"/>
    </row>
    <row r="57" spans="1:50" s="278" customFormat="1" ht="12" customHeight="1" x14ac:dyDescent="0.25">
      <c r="A57" s="880"/>
      <c r="B57" s="1192" t="e">
        <f t="shared" si="19"/>
        <v>#N/A</v>
      </c>
      <c r="C57" s="732">
        <f t="shared" si="0"/>
        <v>31</v>
      </c>
      <c r="D57" s="35">
        <f t="shared" si="1"/>
        <v>3</v>
      </c>
      <c r="E57" s="889">
        <f t="shared" si="27"/>
        <v>52687</v>
      </c>
      <c r="F57" s="822">
        <f t="shared" si="2"/>
        <v>3</v>
      </c>
      <c r="G57" s="500">
        <f t="shared" si="20"/>
        <v>213</v>
      </c>
      <c r="H57" s="126">
        <f t="shared" si="3"/>
        <v>0</v>
      </c>
      <c r="I57" s="1098">
        <f t="shared" si="28"/>
        <v>0</v>
      </c>
      <c r="J57" s="887">
        <f t="shared" si="21"/>
        <v>38</v>
      </c>
      <c r="K57" s="1099">
        <f t="shared" si="10"/>
        <v>38</v>
      </c>
      <c r="L57" s="891" t="str">
        <f t="shared" si="11"/>
        <v>March</v>
      </c>
      <c r="M57" s="888">
        <f t="shared" si="22"/>
        <v>2044</v>
      </c>
      <c r="N57" s="883">
        <f t="shared" si="12"/>
        <v>0</v>
      </c>
      <c r="O57" s="883">
        <f t="shared" si="23"/>
        <v>0</v>
      </c>
      <c r="P57" s="1100"/>
      <c r="Q57" s="883">
        <f t="shared" si="4"/>
        <v>0</v>
      </c>
      <c r="R57" s="884">
        <f t="shared" si="24"/>
        <v>0</v>
      </c>
      <c r="S57" s="884">
        <f>IF(AND($AS$39="Early Payoff",J57&gt;=$S$13),0,IF($J57&lt;=$S$6,SUM($Q$20:$Q57),0))</f>
        <v>0</v>
      </c>
      <c r="T57" s="884">
        <f>IF(AND($AS$39="Early Payoff",J57&gt;=$S$13),0,IF($J57&lt;=$S$6,SUM($R$20:$R57),0))</f>
        <v>0</v>
      </c>
      <c r="U57" s="885">
        <f t="shared" si="5"/>
        <v>0</v>
      </c>
      <c r="V57" s="1110">
        <f t="shared" si="13"/>
        <v>0</v>
      </c>
      <c r="X57" s="1102">
        <f t="shared" si="6"/>
        <v>0</v>
      </c>
      <c r="Y57" s="873">
        <f t="shared" si="7"/>
        <v>0</v>
      </c>
      <c r="Z57" s="873">
        <f t="shared" si="8"/>
        <v>0</v>
      </c>
      <c r="AA57" s="885">
        <f t="shared" si="9"/>
        <v>0</v>
      </c>
      <c r="AT57" s="1093"/>
      <c r="AU57" s="1092"/>
      <c r="AV57" s="1092"/>
      <c r="AW57" s="1092"/>
      <c r="AX57" s="1093"/>
    </row>
    <row r="58" spans="1:50" s="278" customFormat="1" ht="12" customHeight="1" x14ac:dyDescent="0.25">
      <c r="A58" s="880"/>
      <c r="B58" s="1192" t="e">
        <f t="shared" si="19"/>
        <v>#N/A</v>
      </c>
      <c r="C58" s="732">
        <f t="shared" si="0"/>
        <v>31</v>
      </c>
      <c r="D58" s="35">
        <f t="shared" si="1"/>
        <v>8</v>
      </c>
      <c r="E58" s="889">
        <f t="shared" si="27"/>
        <v>52840</v>
      </c>
      <c r="F58" s="822">
        <f t="shared" si="2"/>
        <v>8</v>
      </c>
      <c r="G58" s="500">
        <f t="shared" si="20"/>
        <v>153</v>
      </c>
      <c r="H58" s="126">
        <f t="shared" si="3"/>
        <v>0</v>
      </c>
      <c r="I58" s="1098">
        <f t="shared" si="28"/>
        <v>1</v>
      </c>
      <c r="J58" s="887">
        <f t="shared" si="21"/>
        <v>39</v>
      </c>
      <c r="K58" s="1099">
        <f t="shared" si="10"/>
        <v>39</v>
      </c>
      <c r="L58" s="891" t="str">
        <f t="shared" si="11"/>
        <v>August</v>
      </c>
      <c r="M58" s="888">
        <f t="shared" si="22"/>
        <v>2044</v>
      </c>
      <c r="N58" s="883">
        <f t="shared" si="12"/>
        <v>0</v>
      </c>
      <c r="O58" s="883">
        <f t="shared" si="23"/>
        <v>0</v>
      </c>
      <c r="P58" s="1100"/>
      <c r="Q58" s="883">
        <f t="shared" si="4"/>
        <v>0</v>
      </c>
      <c r="R58" s="884">
        <f t="shared" si="24"/>
        <v>0</v>
      </c>
      <c r="S58" s="884">
        <f>IF(AND($AS$39="Early Payoff",J58&gt;=$S$13),0,IF($J58&lt;=$S$6,SUM($Q$20:$Q58),0))</f>
        <v>0</v>
      </c>
      <c r="T58" s="884">
        <f>IF(AND($AS$39="Early Payoff",J58&gt;=$S$13),0,IF($J58&lt;=$S$6,SUM($R$20:$R58),0))</f>
        <v>0</v>
      </c>
      <c r="U58" s="885">
        <f t="shared" si="5"/>
        <v>0</v>
      </c>
      <c r="V58" s="1110">
        <f t="shared" si="13"/>
        <v>0</v>
      </c>
      <c r="X58" s="1102">
        <f t="shared" si="6"/>
        <v>0</v>
      </c>
      <c r="Y58" s="873">
        <f t="shared" si="7"/>
        <v>0</v>
      </c>
      <c r="Z58" s="873">
        <f t="shared" si="8"/>
        <v>0</v>
      </c>
      <c r="AA58" s="885">
        <f t="shared" si="9"/>
        <v>0</v>
      </c>
      <c r="AT58" s="1093"/>
      <c r="AU58" s="1092"/>
      <c r="AV58" s="1092"/>
      <c r="AW58" s="1092"/>
      <c r="AX58" s="1093"/>
    </row>
    <row r="59" spans="1:50" s="278" customFormat="1" ht="12" customHeight="1" x14ac:dyDescent="0.25">
      <c r="A59" s="880"/>
      <c r="B59" s="1192" t="e">
        <f t="shared" si="19"/>
        <v>#N/A</v>
      </c>
      <c r="C59" s="732">
        <f t="shared" si="0"/>
        <v>31</v>
      </c>
      <c r="D59" s="35">
        <f t="shared" si="1"/>
        <v>3</v>
      </c>
      <c r="E59" s="889">
        <f t="shared" si="27"/>
        <v>53052</v>
      </c>
      <c r="F59" s="822">
        <f t="shared" si="2"/>
        <v>3</v>
      </c>
      <c r="G59" s="500">
        <f t="shared" si="20"/>
        <v>212</v>
      </c>
      <c r="H59" s="126">
        <f t="shared" si="3"/>
        <v>0</v>
      </c>
      <c r="I59" s="1098">
        <f t="shared" si="28"/>
        <v>0</v>
      </c>
      <c r="J59" s="887">
        <f t="shared" si="21"/>
        <v>40</v>
      </c>
      <c r="K59" s="1099">
        <f t="shared" si="10"/>
        <v>40</v>
      </c>
      <c r="L59" s="891" t="str">
        <f t="shared" si="11"/>
        <v>March</v>
      </c>
      <c r="M59" s="888">
        <f t="shared" si="22"/>
        <v>2045</v>
      </c>
      <c r="N59" s="883">
        <f t="shared" si="12"/>
        <v>0</v>
      </c>
      <c r="O59" s="883">
        <f t="shared" si="23"/>
        <v>0</v>
      </c>
      <c r="P59" s="1100"/>
      <c r="Q59" s="883">
        <f t="shared" si="4"/>
        <v>0</v>
      </c>
      <c r="R59" s="884">
        <f t="shared" si="24"/>
        <v>0</v>
      </c>
      <c r="S59" s="884">
        <f>IF(AND($AS$39="Early Payoff",J59&gt;=$S$13),0,IF($J59&lt;=$S$6,SUM($Q$20:$Q59),0))</f>
        <v>0</v>
      </c>
      <c r="T59" s="884">
        <f>IF(AND($AS$39="Early Payoff",J59&gt;=$S$13),0,IF($J59&lt;=$S$6,SUM($R$20:$R59),0))</f>
        <v>0</v>
      </c>
      <c r="U59" s="885">
        <f t="shared" si="5"/>
        <v>0</v>
      </c>
      <c r="V59" s="1110">
        <f t="shared" si="13"/>
        <v>0</v>
      </c>
      <c r="X59" s="1102">
        <f t="shared" si="6"/>
        <v>0</v>
      </c>
      <c r="Y59" s="873">
        <f t="shared" si="7"/>
        <v>0</v>
      </c>
      <c r="Z59" s="873">
        <f t="shared" si="8"/>
        <v>0</v>
      </c>
      <c r="AA59" s="885">
        <f t="shared" si="9"/>
        <v>0</v>
      </c>
      <c r="AT59" s="1093"/>
      <c r="AU59" s="1092"/>
      <c r="AV59" s="1092"/>
      <c r="AW59" s="1092"/>
      <c r="AX59" s="1093"/>
    </row>
    <row r="60" spans="1:50" s="278" customFormat="1" ht="12" customHeight="1" x14ac:dyDescent="0.25">
      <c r="A60" s="880"/>
      <c r="B60" s="1192" t="e">
        <f t="shared" si="19"/>
        <v>#N/A</v>
      </c>
      <c r="C60" s="732">
        <f t="shared" si="0"/>
        <v>31</v>
      </c>
      <c r="D60" s="35">
        <f t="shared" si="1"/>
        <v>8</v>
      </c>
      <c r="E60" s="889">
        <f t="shared" si="27"/>
        <v>53205</v>
      </c>
      <c r="F60" s="822">
        <f t="shared" si="2"/>
        <v>8</v>
      </c>
      <c r="G60" s="500">
        <f t="shared" si="20"/>
        <v>153</v>
      </c>
      <c r="H60" s="126">
        <f t="shared" si="3"/>
        <v>0</v>
      </c>
      <c r="I60" s="1098">
        <f t="shared" si="28"/>
        <v>1</v>
      </c>
      <c r="J60" s="887">
        <f t="shared" si="21"/>
        <v>41</v>
      </c>
      <c r="K60" s="1099">
        <f t="shared" si="10"/>
        <v>41</v>
      </c>
      <c r="L60" s="891" t="str">
        <f t="shared" si="11"/>
        <v>August</v>
      </c>
      <c r="M60" s="888">
        <f t="shared" si="22"/>
        <v>2045</v>
      </c>
      <c r="N60" s="883">
        <f t="shared" si="12"/>
        <v>0</v>
      </c>
      <c r="O60" s="883">
        <f t="shared" si="23"/>
        <v>0</v>
      </c>
      <c r="P60" s="1100"/>
      <c r="Q60" s="883">
        <f t="shared" si="4"/>
        <v>0</v>
      </c>
      <c r="R60" s="884">
        <f t="shared" si="24"/>
        <v>0</v>
      </c>
      <c r="S60" s="884">
        <f>IF(AND($AS$39="Early Payoff",J60&gt;=$S$13),0,IF($J60&lt;=$S$6,SUM($Q$20:$Q60),0))</f>
        <v>0</v>
      </c>
      <c r="T60" s="884">
        <f>IF(AND($AS$39="Early Payoff",J60&gt;=$S$13),0,IF($J60&lt;=$S$6,SUM($R$20:$R60),0))</f>
        <v>0</v>
      </c>
      <c r="U60" s="885">
        <f t="shared" si="5"/>
        <v>0</v>
      </c>
      <c r="V60" s="1110">
        <f t="shared" si="13"/>
        <v>0</v>
      </c>
      <c r="X60" s="1102">
        <f t="shared" si="6"/>
        <v>0</v>
      </c>
      <c r="Y60" s="873">
        <f t="shared" si="7"/>
        <v>0</v>
      </c>
      <c r="Z60" s="873">
        <f t="shared" si="8"/>
        <v>0</v>
      </c>
      <c r="AA60" s="885">
        <f t="shared" si="9"/>
        <v>0</v>
      </c>
      <c r="AT60" s="1093"/>
      <c r="AU60" s="1092"/>
      <c r="AV60" s="1092"/>
      <c r="AW60" s="1092"/>
      <c r="AX60" s="1093"/>
    </row>
    <row r="61" spans="1:50" s="278" customFormat="1" ht="12" customHeight="1" x14ac:dyDescent="0.25">
      <c r="A61" s="880"/>
      <c r="B61" s="1192" t="e">
        <f t="shared" si="19"/>
        <v>#N/A</v>
      </c>
      <c r="C61" s="732">
        <f t="shared" si="0"/>
        <v>31</v>
      </c>
      <c r="D61" s="35">
        <f t="shared" si="1"/>
        <v>3</v>
      </c>
      <c r="E61" s="889">
        <f t="shared" si="27"/>
        <v>53417</v>
      </c>
      <c r="F61" s="822">
        <f t="shared" si="2"/>
        <v>3</v>
      </c>
      <c r="G61" s="500">
        <f t="shared" si="20"/>
        <v>212</v>
      </c>
      <c r="H61" s="126">
        <f t="shared" si="3"/>
        <v>0</v>
      </c>
      <c r="I61" s="1098">
        <f t="shared" si="28"/>
        <v>0</v>
      </c>
      <c r="J61" s="887">
        <f t="shared" si="21"/>
        <v>42</v>
      </c>
      <c r="K61" s="1099">
        <f t="shared" si="10"/>
        <v>42</v>
      </c>
      <c r="L61" s="891" t="str">
        <f t="shared" si="11"/>
        <v>March</v>
      </c>
      <c r="M61" s="888">
        <f t="shared" si="22"/>
        <v>2046</v>
      </c>
      <c r="N61" s="883">
        <f t="shared" si="12"/>
        <v>0</v>
      </c>
      <c r="O61" s="883">
        <f t="shared" si="23"/>
        <v>0</v>
      </c>
      <c r="P61" s="1100"/>
      <c r="Q61" s="883">
        <f t="shared" si="4"/>
        <v>0</v>
      </c>
      <c r="R61" s="884">
        <f t="shared" si="24"/>
        <v>0</v>
      </c>
      <c r="S61" s="884">
        <f>IF(AND($AS$39="Early Payoff",J61&gt;=$S$13),0,IF($J61&lt;=$S$6,SUM($Q$20:$Q61),0))</f>
        <v>0</v>
      </c>
      <c r="T61" s="884">
        <f>IF(AND($AS$39="Early Payoff",J61&gt;=$S$13),0,IF($J61&lt;=$S$6,SUM($R$20:$R61),0))</f>
        <v>0</v>
      </c>
      <c r="U61" s="885">
        <f t="shared" si="5"/>
        <v>0</v>
      </c>
      <c r="V61" s="1110">
        <f t="shared" si="13"/>
        <v>0</v>
      </c>
      <c r="X61" s="1102">
        <f t="shared" si="6"/>
        <v>0</v>
      </c>
      <c r="Y61" s="873">
        <f t="shared" si="7"/>
        <v>0</v>
      </c>
      <c r="Z61" s="873">
        <f t="shared" si="8"/>
        <v>0</v>
      </c>
      <c r="AA61" s="885">
        <f t="shared" si="9"/>
        <v>0</v>
      </c>
      <c r="AT61" s="1093"/>
      <c r="AU61" s="1092"/>
      <c r="AV61" s="1092"/>
      <c r="AW61" s="1092"/>
      <c r="AX61" s="1093"/>
    </row>
    <row r="62" spans="1:50" s="278" customFormat="1" ht="12" customHeight="1" x14ac:dyDescent="0.25">
      <c r="A62" s="880"/>
      <c r="B62" s="1192" t="e">
        <f t="shared" si="19"/>
        <v>#N/A</v>
      </c>
      <c r="C62" s="732">
        <f t="shared" si="0"/>
        <v>31</v>
      </c>
      <c r="D62" s="35">
        <f t="shared" si="1"/>
        <v>8</v>
      </c>
      <c r="E62" s="889">
        <f t="shared" si="27"/>
        <v>53570</v>
      </c>
      <c r="F62" s="822">
        <f t="shared" si="2"/>
        <v>8</v>
      </c>
      <c r="G62" s="500">
        <f t="shared" si="20"/>
        <v>153</v>
      </c>
      <c r="H62" s="126">
        <f t="shared" si="3"/>
        <v>0</v>
      </c>
      <c r="I62" s="1098">
        <f t="shared" si="28"/>
        <v>1</v>
      </c>
      <c r="J62" s="887">
        <f t="shared" si="21"/>
        <v>43</v>
      </c>
      <c r="K62" s="1099">
        <f t="shared" si="10"/>
        <v>43</v>
      </c>
      <c r="L62" s="891" t="str">
        <f t="shared" si="11"/>
        <v>August</v>
      </c>
      <c r="M62" s="888">
        <f t="shared" si="22"/>
        <v>2046</v>
      </c>
      <c r="N62" s="883">
        <f t="shared" si="12"/>
        <v>0</v>
      </c>
      <c r="O62" s="883">
        <f t="shared" si="23"/>
        <v>0</v>
      </c>
      <c r="P62" s="1100"/>
      <c r="Q62" s="883">
        <f t="shared" si="4"/>
        <v>0</v>
      </c>
      <c r="R62" s="884">
        <f t="shared" si="24"/>
        <v>0</v>
      </c>
      <c r="S62" s="884">
        <f>IF(AND($AS$39="Early Payoff",J62&gt;=$S$13),0,IF($J62&lt;=$S$6,SUM($Q$20:$Q62),0))</f>
        <v>0</v>
      </c>
      <c r="T62" s="884">
        <f>IF(AND($AS$39="Early Payoff",J62&gt;=$S$13),0,IF($J62&lt;=$S$6,SUM($R$20:$R62),0))</f>
        <v>0</v>
      </c>
      <c r="U62" s="885">
        <f t="shared" si="5"/>
        <v>0</v>
      </c>
      <c r="V62" s="1110">
        <f t="shared" si="13"/>
        <v>0</v>
      </c>
      <c r="X62" s="1102">
        <f t="shared" si="6"/>
        <v>0</v>
      </c>
      <c r="Y62" s="873">
        <f t="shared" si="7"/>
        <v>0</v>
      </c>
      <c r="Z62" s="873">
        <f t="shared" si="8"/>
        <v>0</v>
      </c>
      <c r="AA62" s="885">
        <f t="shared" si="9"/>
        <v>0</v>
      </c>
      <c r="AT62" s="1093"/>
      <c r="AU62" s="1092"/>
      <c r="AV62" s="1092"/>
      <c r="AW62" s="1092"/>
      <c r="AX62" s="1093"/>
    </row>
    <row r="63" spans="1:50" s="278" customFormat="1" ht="12" customHeight="1" x14ac:dyDescent="0.25">
      <c r="A63" s="880"/>
      <c r="B63" s="1192" t="e">
        <f t="shared" si="19"/>
        <v>#N/A</v>
      </c>
      <c r="C63" s="732">
        <f t="shared" si="0"/>
        <v>31</v>
      </c>
      <c r="D63" s="35">
        <f t="shared" si="1"/>
        <v>3</v>
      </c>
      <c r="E63" s="889">
        <f t="shared" si="27"/>
        <v>53782</v>
      </c>
      <c r="F63" s="822">
        <f t="shared" si="2"/>
        <v>3</v>
      </c>
      <c r="G63" s="500">
        <f t="shared" si="20"/>
        <v>212</v>
      </c>
      <c r="H63" s="126">
        <f t="shared" si="3"/>
        <v>0</v>
      </c>
      <c r="I63" s="1098">
        <f t="shared" si="28"/>
        <v>0</v>
      </c>
      <c r="J63" s="887">
        <f t="shared" si="21"/>
        <v>44</v>
      </c>
      <c r="K63" s="1099">
        <f t="shared" si="10"/>
        <v>44</v>
      </c>
      <c r="L63" s="891" t="str">
        <f t="shared" si="11"/>
        <v>March</v>
      </c>
      <c r="M63" s="888">
        <f t="shared" si="22"/>
        <v>2047</v>
      </c>
      <c r="N63" s="883">
        <f t="shared" si="12"/>
        <v>0</v>
      </c>
      <c r="O63" s="883">
        <f t="shared" si="23"/>
        <v>0</v>
      </c>
      <c r="P63" s="1100"/>
      <c r="Q63" s="883">
        <f t="shared" si="4"/>
        <v>0</v>
      </c>
      <c r="R63" s="884">
        <f t="shared" si="24"/>
        <v>0</v>
      </c>
      <c r="S63" s="884">
        <f>IF(AND($AS$39="Early Payoff",J63&gt;=$S$13),0,IF($J63&lt;=$S$6,SUM($Q$20:$Q63),0))</f>
        <v>0</v>
      </c>
      <c r="T63" s="884">
        <f>IF(AND($AS$39="Early Payoff",J63&gt;=$S$13),0,IF($J63&lt;=$S$6,SUM($R$20:$R63),0))</f>
        <v>0</v>
      </c>
      <c r="U63" s="885">
        <f t="shared" si="5"/>
        <v>0</v>
      </c>
      <c r="V63" s="1110">
        <f t="shared" si="13"/>
        <v>0</v>
      </c>
      <c r="X63" s="1102">
        <f t="shared" si="6"/>
        <v>0</v>
      </c>
      <c r="Y63" s="873">
        <f t="shared" si="7"/>
        <v>0</v>
      </c>
      <c r="Z63" s="873">
        <f t="shared" si="8"/>
        <v>0</v>
      </c>
      <c r="AA63" s="885">
        <f t="shared" si="9"/>
        <v>0</v>
      </c>
    </row>
    <row r="64" spans="1:50" s="278" customFormat="1" ht="12" customHeight="1" x14ac:dyDescent="0.25">
      <c r="A64" s="880"/>
      <c r="B64" s="1192" t="e">
        <f t="shared" si="19"/>
        <v>#N/A</v>
      </c>
      <c r="C64" s="732">
        <f t="shared" si="0"/>
        <v>31</v>
      </c>
      <c r="D64" s="35">
        <f t="shared" si="1"/>
        <v>8</v>
      </c>
      <c r="E64" s="889">
        <f t="shared" si="27"/>
        <v>53935</v>
      </c>
      <c r="F64" s="822">
        <f t="shared" si="2"/>
        <v>8</v>
      </c>
      <c r="G64" s="500">
        <f t="shared" si="20"/>
        <v>153</v>
      </c>
      <c r="H64" s="126">
        <f t="shared" si="3"/>
        <v>0</v>
      </c>
      <c r="I64" s="1098">
        <f t="shared" si="28"/>
        <v>1</v>
      </c>
      <c r="J64" s="887">
        <f t="shared" si="21"/>
        <v>45</v>
      </c>
      <c r="K64" s="1099">
        <f t="shared" si="10"/>
        <v>45</v>
      </c>
      <c r="L64" s="891" t="str">
        <f t="shared" si="11"/>
        <v>August</v>
      </c>
      <c r="M64" s="888">
        <f t="shared" si="22"/>
        <v>2047</v>
      </c>
      <c r="N64" s="883">
        <f t="shared" si="12"/>
        <v>0</v>
      </c>
      <c r="O64" s="883">
        <f t="shared" si="23"/>
        <v>0</v>
      </c>
      <c r="P64" s="1100"/>
      <c r="Q64" s="883">
        <f t="shared" si="4"/>
        <v>0</v>
      </c>
      <c r="R64" s="884">
        <f t="shared" si="24"/>
        <v>0</v>
      </c>
      <c r="S64" s="884">
        <f>IF(AND($AS$39="Early Payoff",J64&gt;=$S$13),0,IF($J64&lt;=$S$6,SUM($Q$20:$Q64),0))</f>
        <v>0</v>
      </c>
      <c r="T64" s="884">
        <f>IF(AND($AS$39="Early Payoff",J64&gt;=$S$13),0,IF($J64&lt;=$S$6,SUM($R$20:$R64),0))</f>
        <v>0</v>
      </c>
      <c r="U64" s="885">
        <f t="shared" si="5"/>
        <v>0</v>
      </c>
      <c r="V64" s="1110">
        <f t="shared" si="13"/>
        <v>0</v>
      </c>
      <c r="X64" s="1102">
        <f t="shared" si="6"/>
        <v>0</v>
      </c>
      <c r="Y64" s="873">
        <f t="shared" si="7"/>
        <v>0</v>
      </c>
      <c r="Z64" s="873">
        <f t="shared" si="8"/>
        <v>0</v>
      </c>
      <c r="AA64" s="885">
        <f t="shared" si="9"/>
        <v>0</v>
      </c>
    </row>
    <row r="65" spans="1:27" s="278" customFormat="1" ht="12" customHeight="1" x14ac:dyDescent="0.25">
      <c r="A65" s="880"/>
      <c r="B65" s="1192" t="e">
        <f t="shared" si="19"/>
        <v>#N/A</v>
      </c>
      <c r="C65" s="732">
        <f t="shared" si="0"/>
        <v>31</v>
      </c>
      <c r="D65" s="35">
        <f t="shared" si="1"/>
        <v>3</v>
      </c>
      <c r="E65" s="889">
        <f t="shared" si="27"/>
        <v>54148</v>
      </c>
      <c r="F65" s="822">
        <f t="shared" si="2"/>
        <v>3</v>
      </c>
      <c r="G65" s="500">
        <f t="shared" si="20"/>
        <v>213</v>
      </c>
      <c r="H65" s="126">
        <f t="shared" si="3"/>
        <v>0</v>
      </c>
      <c r="I65" s="1098">
        <f t="shared" si="28"/>
        <v>0</v>
      </c>
      <c r="J65" s="887">
        <f t="shared" si="21"/>
        <v>46</v>
      </c>
      <c r="K65" s="1099">
        <f t="shared" si="10"/>
        <v>46</v>
      </c>
      <c r="L65" s="891" t="str">
        <f t="shared" si="11"/>
        <v>March</v>
      </c>
      <c r="M65" s="888">
        <f t="shared" si="22"/>
        <v>2048</v>
      </c>
      <c r="N65" s="883">
        <f t="shared" si="12"/>
        <v>0</v>
      </c>
      <c r="O65" s="883">
        <f t="shared" si="23"/>
        <v>0</v>
      </c>
      <c r="P65" s="1100"/>
      <c r="Q65" s="883">
        <f t="shared" si="4"/>
        <v>0</v>
      </c>
      <c r="R65" s="884">
        <f t="shared" si="24"/>
        <v>0</v>
      </c>
      <c r="S65" s="884">
        <f>IF(AND($AS$39="Early Payoff",J65&gt;=$S$13),0,IF($J65&lt;=$S$6,SUM($Q$20:$Q65),0))</f>
        <v>0</v>
      </c>
      <c r="T65" s="884">
        <f>IF(AND($AS$39="Early Payoff",J65&gt;=$S$13),0,IF($J65&lt;=$S$6,SUM($R$20:$R65),0))</f>
        <v>0</v>
      </c>
      <c r="U65" s="885">
        <f t="shared" si="5"/>
        <v>0</v>
      </c>
      <c r="V65" s="1110">
        <f t="shared" si="13"/>
        <v>0</v>
      </c>
      <c r="X65" s="1102">
        <f t="shared" si="6"/>
        <v>0</v>
      </c>
      <c r="Y65" s="873">
        <f t="shared" si="7"/>
        <v>0</v>
      </c>
      <c r="Z65" s="873">
        <f t="shared" si="8"/>
        <v>0</v>
      </c>
      <c r="AA65" s="885">
        <f t="shared" si="9"/>
        <v>0</v>
      </c>
    </row>
    <row r="66" spans="1:27" s="278" customFormat="1" ht="12" customHeight="1" x14ac:dyDescent="0.25">
      <c r="A66" s="880"/>
      <c r="B66" s="1192" t="e">
        <f t="shared" si="19"/>
        <v>#N/A</v>
      </c>
      <c r="C66" s="732">
        <f t="shared" si="0"/>
        <v>31</v>
      </c>
      <c r="D66" s="35">
        <f t="shared" si="1"/>
        <v>8</v>
      </c>
      <c r="E66" s="889">
        <f t="shared" si="27"/>
        <v>54301</v>
      </c>
      <c r="F66" s="822">
        <f t="shared" si="2"/>
        <v>8</v>
      </c>
      <c r="G66" s="500">
        <f t="shared" si="20"/>
        <v>153</v>
      </c>
      <c r="H66" s="126">
        <f t="shared" si="3"/>
        <v>0</v>
      </c>
      <c r="I66" s="1098">
        <f t="shared" si="28"/>
        <v>1</v>
      </c>
      <c r="J66" s="887">
        <f t="shared" si="21"/>
        <v>47</v>
      </c>
      <c r="K66" s="1099">
        <f t="shared" si="10"/>
        <v>47</v>
      </c>
      <c r="L66" s="891" t="str">
        <f t="shared" si="11"/>
        <v>August</v>
      </c>
      <c r="M66" s="888">
        <f t="shared" si="22"/>
        <v>2048</v>
      </c>
      <c r="N66" s="883">
        <f t="shared" si="12"/>
        <v>0</v>
      </c>
      <c r="O66" s="883">
        <f t="shared" si="23"/>
        <v>0</v>
      </c>
      <c r="P66" s="1100"/>
      <c r="Q66" s="883">
        <f t="shared" si="4"/>
        <v>0</v>
      </c>
      <c r="R66" s="884">
        <f t="shared" si="24"/>
        <v>0</v>
      </c>
      <c r="S66" s="884">
        <f>IF(AND($AS$39="Early Payoff",J66&gt;=$S$13),0,IF($J66&lt;=$S$6,SUM($Q$20:$Q66),0))</f>
        <v>0</v>
      </c>
      <c r="T66" s="884">
        <f>IF(AND($AS$39="Early Payoff",J66&gt;=$S$13),0,IF($J66&lt;=$S$6,SUM($R$20:$R66),0))</f>
        <v>0</v>
      </c>
      <c r="U66" s="885">
        <f t="shared" si="5"/>
        <v>0</v>
      </c>
      <c r="V66" s="1110">
        <f t="shared" si="13"/>
        <v>0</v>
      </c>
      <c r="X66" s="1102">
        <f t="shared" si="6"/>
        <v>0</v>
      </c>
      <c r="Y66" s="873">
        <f t="shared" si="7"/>
        <v>0</v>
      </c>
      <c r="Z66" s="873">
        <f t="shared" si="8"/>
        <v>0</v>
      </c>
      <c r="AA66" s="885">
        <f t="shared" si="9"/>
        <v>0</v>
      </c>
    </row>
    <row r="67" spans="1:27" s="278" customFormat="1" ht="12" customHeight="1" x14ac:dyDescent="0.25">
      <c r="A67" s="880"/>
      <c r="B67" s="1192" t="e">
        <f t="shared" si="19"/>
        <v>#N/A</v>
      </c>
      <c r="C67" s="732">
        <f t="shared" si="0"/>
        <v>31</v>
      </c>
      <c r="D67" s="35">
        <f t="shared" si="1"/>
        <v>3</v>
      </c>
      <c r="E67" s="889">
        <f t="shared" si="27"/>
        <v>54513</v>
      </c>
      <c r="F67" s="822">
        <f t="shared" si="2"/>
        <v>3</v>
      </c>
      <c r="G67" s="500">
        <f t="shared" si="20"/>
        <v>212</v>
      </c>
      <c r="H67" s="126">
        <f t="shared" si="3"/>
        <v>0</v>
      </c>
      <c r="I67" s="1098">
        <f t="shared" si="28"/>
        <v>0</v>
      </c>
      <c r="J67" s="887">
        <f t="shared" si="21"/>
        <v>48</v>
      </c>
      <c r="K67" s="1099">
        <f t="shared" si="10"/>
        <v>48</v>
      </c>
      <c r="L67" s="891" t="str">
        <f t="shared" si="11"/>
        <v>March</v>
      </c>
      <c r="M67" s="888">
        <f t="shared" si="22"/>
        <v>2049</v>
      </c>
      <c r="N67" s="883">
        <f t="shared" si="12"/>
        <v>0</v>
      </c>
      <c r="O67" s="883">
        <f t="shared" si="23"/>
        <v>0</v>
      </c>
      <c r="P67" s="1100"/>
      <c r="Q67" s="883">
        <f t="shared" si="4"/>
        <v>0</v>
      </c>
      <c r="R67" s="884">
        <f t="shared" si="24"/>
        <v>0</v>
      </c>
      <c r="S67" s="884">
        <f>IF(AND($AS$39="Early Payoff",J67&gt;=$S$13),0,IF($J67&lt;=$S$6,SUM($Q$20:$Q67),0))</f>
        <v>0</v>
      </c>
      <c r="T67" s="884">
        <f>IF(AND($AS$39="Early Payoff",J67&gt;=$S$13),0,IF($J67&lt;=$S$6,SUM($R$20:$R67),0))</f>
        <v>0</v>
      </c>
      <c r="U67" s="885">
        <f t="shared" si="5"/>
        <v>0</v>
      </c>
      <c r="V67" s="1110">
        <f t="shared" si="13"/>
        <v>0</v>
      </c>
      <c r="X67" s="1102">
        <f t="shared" si="6"/>
        <v>0</v>
      </c>
      <c r="Y67" s="873">
        <f t="shared" si="7"/>
        <v>0</v>
      </c>
      <c r="Z67" s="873">
        <f t="shared" si="8"/>
        <v>0</v>
      </c>
      <c r="AA67" s="885">
        <f t="shared" si="9"/>
        <v>0</v>
      </c>
    </row>
    <row r="68" spans="1:27" s="278" customFormat="1" ht="12" customHeight="1" x14ac:dyDescent="0.25">
      <c r="A68" s="880"/>
      <c r="B68" s="1192" t="e">
        <f t="shared" si="19"/>
        <v>#N/A</v>
      </c>
      <c r="C68" s="732">
        <f t="shared" si="0"/>
        <v>31</v>
      </c>
      <c r="D68" s="35">
        <f t="shared" si="1"/>
        <v>8</v>
      </c>
      <c r="E68" s="889">
        <f t="shared" si="27"/>
        <v>54666</v>
      </c>
      <c r="F68" s="822">
        <f t="shared" si="2"/>
        <v>8</v>
      </c>
      <c r="G68" s="500">
        <f t="shared" si="20"/>
        <v>153</v>
      </c>
      <c r="H68" s="126">
        <f t="shared" si="3"/>
        <v>0</v>
      </c>
      <c r="I68" s="1098">
        <f t="shared" si="28"/>
        <v>1</v>
      </c>
      <c r="J68" s="887">
        <f t="shared" si="21"/>
        <v>49</v>
      </c>
      <c r="K68" s="1099">
        <f t="shared" si="10"/>
        <v>49</v>
      </c>
      <c r="L68" s="891" t="str">
        <f t="shared" si="11"/>
        <v>August</v>
      </c>
      <c r="M68" s="888">
        <f t="shared" si="22"/>
        <v>2049</v>
      </c>
      <c r="N68" s="883">
        <f t="shared" si="12"/>
        <v>0</v>
      </c>
      <c r="O68" s="883">
        <f t="shared" si="23"/>
        <v>0</v>
      </c>
      <c r="P68" s="1100"/>
      <c r="Q68" s="883">
        <f t="shared" si="4"/>
        <v>0</v>
      </c>
      <c r="R68" s="884">
        <f t="shared" si="24"/>
        <v>0</v>
      </c>
      <c r="S68" s="884">
        <f>IF(AND($AS$39="Early Payoff",J68&gt;=$S$13),0,IF($J68&lt;=$S$6,SUM($Q$20:$Q68),0))</f>
        <v>0</v>
      </c>
      <c r="T68" s="884">
        <f>IF(AND($AS$39="Early Payoff",J68&gt;=$S$13),0,IF($J68&lt;=$S$6,SUM($R$20:$R68),0))</f>
        <v>0</v>
      </c>
      <c r="U68" s="885">
        <f t="shared" si="5"/>
        <v>0</v>
      </c>
      <c r="V68" s="1110">
        <f t="shared" si="13"/>
        <v>0</v>
      </c>
      <c r="X68" s="1102">
        <f t="shared" si="6"/>
        <v>0</v>
      </c>
      <c r="Y68" s="873">
        <f t="shared" si="7"/>
        <v>0</v>
      </c>
      <c r="Z68" s="873">
        <f t="shared" si="8"/>
        <v>0</v>
      </c>
      <c r="AA68" s="885">
        <f t="shared" si="9"/>
        <v>0</v>
      </c>
    </row>
    <row r="69" spans="1:27" s="278" customFormat="1" ht="12" customHeight="1" x14ac:dyDescent="0.25">
      <c r="A69" s="880"/>
      <c r="B69" s="1192" t="e">
        <f t="shared" si="19"/>
        <v>#N/A</v>
      </c>
      <c r="C69" s="732">
        <f t="shared" si="0"/>
        <v>31</v>
      </c>
      <c r="D69" s="35">
        <f t="shared" si="1"/>
        <v>3</v>
      </c>
      <c r="E69" s="889">
        <f t="shared" si="27"/>
        <v>54878</v>
      </c>
      <c r="F69" s="822">
        <f t="shared" si="2"/>
        <v>3</v>
      </c>
      <c r="G69" s="500">
        <f t="shared" si="20"/>
        <v>212</v>
      </c>
      <c r="H69" s="126">
        <f t="shared" si="3"/>
        <v>0</v>
      </c>
      <c r="I69" s="1098">
        <f t="shared" si="28"/>
        <v>0</v>
      </c>
      <c r="J69" s="887">
        <f t="shared" si="21"/>
        <v>50</v>
      </c>
      <c r="K69" s="1099">
        <f t="shared" si="10"/>
        <v>50</v>
      </c>
      <c r="L69" s="891" t="str">
        <f t="shared" si="11"/>
        <v>March</v>
      </c>
      <c r="M69" s="888">
        <f t="shared" si="22"/>
        <v>2050</v>
      </c>
      <c r="N69" s="883">
        <f t="shared" si="12"/>
        <v>0</v>
      </c>
      <c r="O69" s="883">
        <f t="shared" si="23"/>
        <v>0</v>
      </c>
      <c r="P69" s="1100"/>
      <c r="Q69" s="883">
        <f t="shared" si="4"/>
        <v>0</v>
      </c>
      <c r="R69" s="884">
        <f t="shared" si="24"/>
        <v>0</v>
      </c>
      <c r="S69" s="884">
        <f>IF(AND($AS$39="Early Payoff",J69&gt;=$S$13),0,IF($J69&lt;=$S$6,SUM($Q$20:$Q69),0))</f>
        <v>0</v>
      </c>
      <c r="T69" s="884">
        <f>IF(AND($AS$39="Early Payoff",J69&gt;=$S$13),0,IF($J69&lt;=$S$6,SUM($R$20:$R69),0))</f>
        <v>0</v>
      </c>
      <c r="U69" s="885">
        <f t="shared" si="5"/>
        <v>0</v>
      </c>
      <c r="V69" s="1110">
        <f t="shared" si="13"/>
        <v>0</v>
      </c>
      <c r="X69" s="1102">
        <f t="shared" si="6"/>
        <v>0</v>
      </c>
      <c r="Y69" s="873">
        <f t="shared" si="7"/>
        <v>0</v>
      </c>
      <c r="Z69" s="873">
        <f t="shared" si="8"/>
        <v>0</v>
      </c>
      <c r="AA69" s="885">
        <f t="shared" si="9"/>
        <v>0</v>
      </c>
    </row>
    <row r="70" spans="1:27" s="278" customFormat="1" ht="12" customHeight="1" x14ac:dyDescent="0.25">
      <c r="A70" s="880"/>
      <c r="B70" s="1192" t="e">
        <f t="shared" si="19"/>
        <v>#N/A</v>
      </c>
      <c r="C70" s="732">
        <f t="shared" si="0"/>
        <v>31</v>
      </c>
      <c r="D70" s="35">
        <f t="shared" si="1"/>
        <v>8</v>
      </c>
      <c r="E70" s="889">
        <f t="shared" si="27"/>
        <v>55031</v>
      </c>
      <c r="F70" s="822">
        <f t="shared" si="2"/>
        <v>8</v>
      </c>
      <c r="G70" s="500">
        <f t="shared" si="20"/>
        <v>153</v>
      </c>
      <c r="H70" s="126">
        <f t="shared" si="3"/>
        <v>0</v>
      </c>
      <c r="I70" s="1098">
        <f t="shared" si="28"/>
        <v>1</v>
      </c>
      <c r="J70" s="887">
        <f t="shared" si="21"/>
        <v>51</v>
      </c>
      <c r="K70" s="1099">
        <f t="shared" si="10"/>
        <v>51</v>
      </c>
      <c r="L70" s="891" t="str">
        <f t="shared" si="11"/>
        <v>August</v>
      </c>
      <c r="M70" s="888">
        <f t="shared" si="22"/>
        <v>2050</v>
      </c>
      <c r="N70" s="883">
        <f t="shared" si="12"/>
        <v>0</v>
      </c>
      <c r="O70" s="883">
        <f t="shared" si="23"/>
        <v>0</v>
      </c>
      <c r="P70" s="1100"/>
      <c r="Q70" s="883">
        <f t="shared" si="4"/>
        <v>0</v>
      </c>
      <c r="R70" s="884">
        <f t="shared" si="24"/>
        <v>0</v>
      </c>
      <c r="S70" s="884">
        <f>IF(AND($AS$39="Early Payoff",J70&gt;=$S$13),0,IF($J70&lt;=$S$6,SUM($Q$20:$Q70),0))</f>
        <v>0</v>
      </c>
      <c r="T70" s="884">
        <f>IF(AND($AS$39="Early Payoff",J70&gt;=$S$13),0,IF($J70&lt;=$S$6,SUM($R$20:$R70),0))</f>
        <v>0</v>
      </c>
      <c r="U70" s="885">
        <f t="shared" si="5"/>
        <v>0</v>
      </c>
      <c r="V70" s="1110">
        <f t="shared" si="13"/>
        <v>0</v>
      </c>
      <c r="X70" s="1102">
        <f t="shared" si="6"/>
        <v>0</v>
      </c>
      <c r="Y70" s="873">
        <f t="shared" si="7"/>
        <v>0</v>
      </c>
      <c r="Z70" s="873">
        <f t="shared" si="8"/>
        <v>0</v>
      </c>
      <c r="AA70" s="885">
        <f t="shared" si="9"/>
        <v>0</v>
      </c>
    </row>
    <row r="71" spans="1:27" s="278" customFormat="1" ht="12" customHeight="1" x14ac:dyDescent="0.25">
      <c r="A71" s="880"/>
      <c r="B71" s="1192" t="e">
        <f t="shared" si="19"/>
        <v>#N/A</v>
      </c>
      <c r="C71" s="732">
        <f t="shared" si="0"/>
        <v>31</v>
      </c>
      <c r="D71" s="35">
        <f t="shared" si="1"/>
        <v>3</v>
      </c>
      <c r="E71" s="889">
        <f t="shared" si="27"/>
        <v>55243</v>
      </c>
      <c r="F71" s="822">
        <f t="shared" si="2"/>
        <v>3</v>
      </c>
      <c r="G71" s="500">
        <f t="shared" si="20"/>
        <v>212</v>
      </c>
      <c r="H71" s="126">
        <f t="shared" si="3"/>
        <v>0</v>
      </c>
      <c r="I71" s="1098">
        <f t="shared" si="28"/>
        <v>0</v>
      </c>
      <c r="J71" s="887">
        <f t="shared" si="21"/>
        <v>52</v>
      </c>
      <c r="K71" s="1099">
        <f t="shared" si="10"/>
        <v>52</v>
      </c>
      <c r="L71" s="891" t="str">
        <f t="shared" si="11"/>
        <v>March</v>
      </c>
      <c r="M71" s="888">
        <f t="shared" si="22"/>
        <v>2051</v>
      </c>
      <c r="N71" s="883">
        <f t="shared" si="12"/>
        <v>0</v>
      </c>
      <c r="O71" s="883">
        <f t="shared" si="23"/>
        <v>0</v>
      </c>
      <c r="P71" s="1100"/>
      <c r="Q71" s="883">
        <f t="shared" si="4"/>
        <v>0</v>
      </c>
      <c r="R71" s="884">
        <f t="shared" si="24"/>
        <v>0</v>
      </c>
      <c r="S71" s="884">
        <f>IF(AND($AS$39="Early Payoff",J71&gt;=$S$13),0,IF($J71&lt;=$S$6,SUM($Q$20:$Q71),0))</f>
        <v>0</v>
      </c>
      <c r="T71" s="884">
        <f>IF(AND($AS$39="Early Payoff",J71&gt;=$S$13),0,IF($J71&lt;=$S$6,SUM($R$20:$R71),0))</f>
        <v>0</v>
      </c>
      <c r="U71" s="885">
        <f t="shared" si="5"/>
        <v>0</v>
      </c>
      <c r="V71" s="1110">
        <f t="shared" si="13"/>
        <v>0</v>
      </c>
      <c r="X71" s="1102">
        <f t="shared" si="6"/>
        <v>0</v>
      </c>
      <c r="Y71" s="873">
        <f t="shared" si="7"/>
        <v>0</v>
      </c>
      <c r="Z71" s="873">
        <f t="shared" si="8"/>
        <v>0</v>
      </c>
      <c r="AA71" s="885">
        <f t="shared" si="9"/>
        <v>0</v>
      </c>
    </row>
    <row r="72" spans="1:27" s="278" customFormat="1" ht="12" customHeight="1" x14ac:dyDescent="0.25">
      <c r="A72" s="299"/>
      <c r="B72" s="1192" t="e">
        <f t="shared" si="19"/>
        <v>#N/A</v>
      </c>
      <c r="C72" s="732">
        <f t="shared" si="0"/>
        <v>31</v>
      </c>
      <c r="D72" s="35">
        <f t="shared" si="1"/>
        <v>8</v>
      </c>
      <c r="E72" s="889">
        <f t="shared" si="27"/>
        <v>55396</v>
      </c>
      <c r="F72" s="822">
        <f t="shared" si="2"/>
        <v>8</v>
      </c>
      <c r="G72" s="500">
        <f t="shared" si="20"/>
        <v>153</v>
      </c>
      <c r="H72" s="126">
        <f t="shared" si="3"/>
        <v>0</v>
      </c>
      <c r="I72" s="1098">
        <f t="shared" si="28"/>
        <v>1</v>
      </c>
      <c r="J72" s="887">
        <f t="shared" si="21"/>
        <v>53</v>
      </c>
      <c r="K72" s="1099">
        <f t="shared" si="10"/>
        <v>53</v>
      </c>
      <c r="L72" s="891" t="str">
        <f t="shared" si="11"/>
        <v>August</v>
      </c>
      <c r="M72" s="888">
        <f t="shared" si="22"/>
        <v>2051</v>
      </c>
      <c r="N72" s="883">
        <f t="shared" si="12"/>
        <v>0</v>
      </c>
      <c r="O72" s="883">
        <f t="shared" si="23"/>
        <v>0</v>
      </c>
      <c r="P72" s="1100"/>
      <c r="Q72" s="883">
        <f t="shared" si="4"/>
        <v>0</v>
      </c>
      <c r="R72" s="884">
        <f t="shared" si="24"/>
        <v>0</v>
      </c>
      <c r="S72" s="884">
        <f>IF(AND($AS$39="Early Payoff",J72&gt;=$S$13),0,IF($J72&lt;=$S$6,SUM($Q$20:$Q72),0))</f>
        <v>0</v>
      </c>
      <c r="T72" s="884">
        <f>IF(AND($AS$39="Early Payoff",J72&gt;=$S$13),0,IF($J72&lt;=$S$6,SUM($R$20:$R72),0))</f>
        <v>0</v>
      </c>
      <c r="U72" s="885">
        <f t="shared" si="5"/>
        <v>0</v>
      </c>
      <c r="V72" s="1110">
        <f t="shared" si="13"/>
        <v>0</v>
      </c>
      <c r="X72" s="1102">
        <f t="shared" si="6"/>
        <v>0</v>
      </c>
      <c r="Y72" s="873">
        <f t="shared" si="7"/>
        <v>0</v>
      </c>
      <c r="Z72" s="873">
        <f t="shared" si="8"/>
        <v>0</v>
      </c>
      <c r="AA72" s="885">
        <f t="shared" si="9"/>
        <v>0</v>
      </c>
    </row>
    <row r="73" spans="1:27" s="278" customFormat="1" ht="12" customHeight="1" x14ac:dyDescent="0.25">
      <c r="A73" s="299"/>
      <c r="B73" s="1192" t="e">
        <f t="shared" si="19"/>
        <v>#N/A</v>
      </c>
      <c r="C73" s="732">
        <f t="shared" si="0"/>
        <v>31</v>
      </c>
      <c r="D73" s="35">
        <f t="shared" si="1"/>
        <v>3</v>
      </c>
      <c r="E73" s="889">
        <f t="shared" si="27"/>
        <v>55609</v>
      </c>
      <c r="F73" s="822">
        <f t="shared" si="2"/>
        <v>3</v>
      </c>
      <c r="G73" s="500">
        <f t="shared" si="20"/>
        <v>213</v>
      </c>
      <c r="H73" s="126">
        <f t="shared" si="3"/>
        <v>0</v>
      </c>
      <c r="I73" s="1098">
        <f t="shared" si="28"/>
        <v>0</v>
      </c>
      <c r="J73" s="887">
        <f t="shared" si="21"/>
        <v>54</v>
      </c>
      <c r="K73" s="1099">
        <f t="shared" si="10"/>
        <v>54</v>
      </c>
      <c r="L73" s="891" t="str">
        <f t="shared" si="11"/>
        <v>March</v>
      </c>
      <c r="M73" s="888">
        <f t="shared" si="22"/>
        <v>2052</v>
      </c>
      <c r="N73" s="883">
        <f t="shared" si="12"/>
        <v>0</v>
      </c>
      <c r="O73" s="883">
        <f t="shared" si="23"/>
        <v>0</v>
      </c>
      <c r="P73" s="1100"/>
      <c r="Q73" s="883">
        <f t="shared" si="4"/>
        <v>0</v>
      </c>
      <c r="R73" s="884">
        <f t="shared" si="24"/>
        <v>0</v>
      </c>
      <c r="S73" s="884">
        <f>IF(AND($AS$39="Early Payoff",J73&gt;=$S$13),0,IF($J73&lt;=$S$6,SUM($Q$20:$Q73),0))</f>
        <v>0</v>
      </c>
      <c r="T73" s="884">
        <f>IF(AND($AS$39="Early Payoff",J73&gt;=$S$13),0,IF($J73&lt;=$S$6,SUM($R$20:$R73),0))</f>
        <v>0</v>
      </c>
      <c r="U73" s="885">
        <f t="shared" si="5"/>
        <v>0</v>
      </c>
      <c r="V73" s="1110">
        <f t="shared" si="13"/>
        <v>0</v>
      </c>
      <c r="X73" s="1102">
        <f t="shared" si="6"/>
        <v>0</v>
      </c>
      <c r="Y73" s="873">
        <f t="shared" si="7"/>
        <v>0</v>
      </c>
      <c r="Z73" s="873">
        <f t="shared" si="8"/>
        <v>0</v>
      </c>
      <c r="AA73" s="885">
        <f t="shared" si="9"/>
        <v>0</v>
      </c>
    </row>
    <row r="74" spans="1:27" s="278" customFormat="1" ht="12" customHeight="1" x14ac:dyDescent="0.25">
      <c r="A74" s="299"/>
      <c r="B74" s="1192" t="e">
        <f t="shared" si="19"/>
        <v>#N/A</v>
      </c>
      <c r="C74" s="732">
        <f t="shared" si="0"/>
        <v>31</v>
      </c>
      <c r="D74" s="35">
        <f t="shared" si="1"/>
        <v>8</v>
      </c>
      <c r="E74" s="889">
        <f t="shared" si="27"/>
        <v>55762</v>
      </c>
      <c r="F74" s="822">
        <f t="shared" si="2"/>
        <v>8</v>
      </c>
      <c r="G74" s="500">
        <f t="shared" si="20"/>
        <v>153</v>
      </c>
      <c r="H74" s="126">
        <f t="shared" si="3"/>
        <v>0</v>
      </c>
      <c r="I74" s="1098">
        <f t="shared" si="28"/>
        <v>1</v>
      </c>
      <c r="J74" s="887">
        <f t="shared" si="21"/>
        <v>55</v>
      </c>
      <c r="K74" s="1099">
        <f t="shared" si="10"/>
        <v>55</v>
      </c>
      <c r="L74" s="891" t="str">
        <f t="shared" si="11"/>
        <v>August</v>
      </c>
      <c r="M74" s="888">
        <f t="shared" si="22"/>
        <v>2052</v>
      </c>
      <c r="N74" s="883">
        <f t="shared" si="12"/>
        <v>0</v>
      </c>
      <c r="O74" s="883">
        <f t="shared" si="23"/>
        <v>0</v>
      </c>
      <c r="P74" s="1100"/>
      <c r="Q74" s="883">
        <f t="shared" si="4"/>
        <v>0</v>
      </c>
      <c r="R74" s="884">
        <f t="shared" si="24"/>
        <v>0</v>
      </c>
      <c r="S74" s="884">
        <f>IF(AND($AS$39="Early Payoff",J74&gt;=$S$13),0,IF($J74&lt;=$S$6,SUM($Q$20:$Q74),0))</f>
        <v>0</v>
      </c>
      <c r="T74" s="884">
        <f>IF(AND($AS$39="Early Payoff",J74&gt;=$S$13),0,IF($J74&lt;=$S$6,SUM($R$20:$R74),0))</f>
        <v>0</v>
      </c>
      <c r="U74" s="885">
        <f t="shared" si="5"/>
        <v>0</v>
      </c>
      <c r="V74" s="1110">
        <f t="shared" si="13"/>
        <v>0</v>
      </c>
      <c r="X74" s="1102">
        <f t="shared" si="6"/>
        <v>0</v>
      </c>
      <c r="Y74" s="873">
        <f t="shared" si="7"/>
        <v>0</v>
      </c>
      <c r="Z74" s="873">
        <f t="shared" si="8"/>
        <v>0</v>
      </c>
      <c r="AA74" s="885">
        <f t="shared" si="9"/>
        <v>0</v>
      </c>
    </row>
    <row r="75" spans="1:27" s="278" customFormat="1" ht="12" customHeight="1" x14ac:dyDescent="0.25">
      <c r="B75" s="1192" t="e">
        <f t="shared" si="19"/>
        <v>#N/A</v>
      </c>
      <c r="C75" s="732">
        <f t="shared" si="0"/>
        <v>31</v>
      </c>
      <c r="D75" s="35">
        <f t="shared" si="1"/>
        <v>3</v>
      </c>
      <c r="E75" s="889">
        <f t="shared" si="27"/>
        <v>55974</v>
      </c>
      <c r="F75" s="822">
        <f t="shared" si="2"/>
        <v>3</v>
      </c>
      <c r="G75" s="500">
        <f t="shared" si="20"/>
        <v>212</v>
      </c>
      <c r="H75" s="126">
        <f t="shared" si="3"/>
        <v>0</v>
      </c>
      <c r="I75" s="1098">
        <f t="shared" si="28"/>
        <v>0</v>
      </c>
      <c r="J75" s="887">
        <f t="shared" si="21"/>
        <v>56</v>
      </c>
      <c r="K75" s="1099">
        <f t="shared" si="10"/>
        <v>56</v>
      </c>
      <c r="L75" s="891" t="str">
        <f t="shared" si="11"/>
        <v>March</v>
      </c>
      <c r="M75" s="888">
        <f t="shared" si="22"/>
        <v>2053</v>
      </c>
      <c r="N75" s="883">
        <f t="shared" si="12"/>
        <v>0</v>
      </c>
      <c r="O75" s="883">
        <f t="shared" si="23"/>
        <v>0</v>
      </c>
      <c r="P75" s="1100"/>
      <c r="Q75" s="883">
        <f t="shared" si="4"/>
        <v>0</v>
      </c>
      <c r="R75" s="884">
        <f t="shared" si="24"/>
        <v>0</v>
      </c>
      <c r="S75" s="884">
        <f>IF(AND($AS$39="Early Payoff",J75&gt;=$S$13),0,IF($J75&lt;=$S$6,SUM($Q$20:$Q75),0))</f>
        <v>0</v>
      </c>
      <c r="T75" s="884">
        <f>IF(AND($AS$39="Early Payoff",J75&gt;=$S$13),0,IF($J75&lt;=$S$6,SUM($R$20:$R75),0))</f>
        <v>0</v>
      </c>
      <c r="U75" s="885">
        <f t="shared" si="5"/>
        <v>0</v>
      </c>
      <c r="V75" s="1110">
        <f t="shared" si="13"/>
        <v>0</v>
      </c>
      <c r="X75" s="1102">
        <f t="shared" si="6"/>
        <v>0</v>
      </c>
      <c r="Y75" s="873">
        <f t="shared" si="7"/>
        <v>0</v>
      </c>
      <c r="Z75" s="873">
        <f t="shared" si="8"/>
        <v>0</v>
      </c>
      <c r="AA75" s="885">
        <f t="shared" si="9"/>
        <v>0</v>
      </c>
    </row>
    <row r="76" spans="1:27" s="278" customFormat="1" ht="12" customHeight="1" x14ac:dyDescent="0.25">
      <c r="B76" s="1192" t="e">
        <f t="shared" si="19"/>
        <v>#N/A</v>
      </c>
      <c r="C76" s="732">
        <f t="shared" si="0"/>
        <v>31</v>
      </c>
      <c r="D76" s="35">
        <f t="shared" si="1"/>
        <v>8</v>
      </c>
      <c r="E76" s="889">
        <f t="shared" si="27"/>
        <v>56127</v>
      </c>
      <c r="F76" s="822">
        <f t="shared" si="2"/>
        <v>8</v>
      </c>
      <c r="G76" s="500">
        <f t="shared" si="20"/>
        <v>153</v>
      </c>
      <c r="H76" s="126">
        <f t="shared" si="3"/>
        <v>0</v>
      </c>
      <c r="I76" s="1098">
        <f t="shared" si="28"/>
        <v>1</v>
      </c>
      <c r="J76" s="887">
        <f t="shared" si="21"/>
        <v>57</v>
      </c>
      <c r="K76" s="1099">
        <f t="shared" si="10"/>
        <v>57</v>
      </c>
      <c r="L76" s="891" t="str">
        <f t="shared" si="11"/>
        <v>August</v>
      </c>
      <c r="M76" s="888">
        <f t="shared" si="22"/>
        <v>2053</v>
      </c>
      <c r="N76" s="883">
        <f t="shared" si="12"/>
        <v>0</v>
      </c>
      <c r="O76" s="883">
        <f t="shared" si="23"/>
        <v>0</v>
      </c>
      <c r="P76" s="1100"/>
      <c r="Q76" s="883">
        <f t="shared" si="4"/>
        <v>0</v>
      </c>
      <c r="R76" s="884">
        <f t="shared" si="24"/>
        <v>0</v>
      </c>
      <c r="S76" s="884">
        <f>IF(AND($AS$39="Early Payoff",J76&gt;=$S$13),0,IF($J76&lt;=$S$6,SUM($Q$20:$Q76),0))</f>
        <v>0</v>
      </c>
      <c r="T76" s="884">
        <f>IF(AND($AS$39="Early Payoff",J76&gt;=$S$13),0,IF($J76&lt;=$S$6,SUM($R$20:$R76),0))</f>
        <v>0</v>
      </c>
      <c r="U76" s="885">
        <f t="shared" si="5"/>
        <v>0</v>
      </c>
      <c r="V76" s="1110">
        <f t="shared" si="13"/>
        <v>0</v>
      </c>
      <c r="X76" s="1102">
        <f t="shared" si="6"/>
        <v>0</v>
      </c>
      <c r="Y76" s="873">
        <f t="shared" si="7"/>
        <v>0</v>
      </c>
      <c r="Z76" s="873">
        <f t="shared" si="8"/>
        <v>0</v>
      </c>
      <c r="AA76" s="885">
        <f t="shared" si="9"/>
        <v>0</v>
      </c>
    </row>
    <row r="77" spans="1:27" s="278" customFormat="1" ht="12" customHeight="1" x14ac:dyDescent="0.25">
      <c r="B77" s="1192" t="e">
        <f t="shared" si="19"/>
        <v>#N/A</v>
      </c>
      <c r="C77" s="732">
        <f t="shared" si="0"/>
        <v>31</v>
      </c>
      <c r="D77" s="35">
        <f t="shared" si="1"/>
        <v>3</v>
      </c>
      <c r="E77" s="889">
        <f t="shared" si="27"/>
        <v>56339</v>
      </c>
      <c r="F77" s="822">
        <f t="shared" si="2"/>
        <v>3</v>
      </c>
      <c r="G77" s="500">
        <f t="shared" si="20"/>
        <v>212</v>
      </c>
      <c r="H77" s="126">
        <f t="shared" si="3"/>
        <v>0</v>
      </c>
      <c r="I77" s="1098">
        <f t="shared" si="28"/>
        <v>0</v>
      </c>
      <c r="J77" s="887">
        <f t="shared" si="21"/>
        <v>58</v>
      </c>
      <c r="K77" s="1099">
        <f t="shared" si="10"/>
        <v>58</v>
      </c>
      <c r="L77" s="891" t="str">
        <f t="shared" si="11"/>
        <v>March</v>
      </c>
      <c r="M77" s="888">
        <f t="shared" si="22"/>
        <v>2054</v>
      </c>
      <c r="N77" s="883">
        <f t="shared" si="12"/>
        <v>0</v>
      </c>
      <c r="O77" s="883">
        <f t="shared" si="23"/>
        <v>0</v>
      </c>
      <c r="P77" s="1100"/>
      <c r="Q77" s="883">
        <f t="shared" si="4"/>
        <v>0</v>
      </c>
      <c r="R77" s="884">
        <f t="shared" si="24"/>
        <v>0</v>
      </c>
      <c r="S77" s="884">
        <f>IF(AND($AS$39="Early Payoff",J77&gt;=$S$13),0,IF($J77&lt;=$S$6,SUM($Q$20:$Q77),0))</f>
        <v>0</v>
      </c>
      <c r="T77" s="884">
        <f>IF(AND($AS$39="Early Payoff",J77&gt;=$S$13),0,IF($J77&lt;=$S$6,SUM($R$20:$R77),0))</f>
        <v>0</v>
      </c>
      <c r="U77" s="885">
        <f t="shared" si="5"/>
        <v>0</v>
      </c>
      <c r="V77" s="1110">
        <f t="shared" si="13"/>
        <v>0</v>
      </c>
      <c r="X77" s="1102">
        <f t="shared" si="6"/>
        <v>0</v>
      </c>
      <c r="Y77" s="873">
        <f t="shared" si="7"/>
        <v>0</v>
      </c>
      <c r="Z77" s="873">
        <f t="shared" si="8"/>
        <v>0</v>
      </c>
      <c r="AA77" s="885">
        <f t="shared" si="9"/>
        <v>0</v>
      </c>
    </row>
    <row r="78" spans="1:27" s="278" customFormat="1" ht="12" customHeight="1" x14ac:dyDescent="0.25">
      <c r="B78" s="1192" t="e">
        <f t="shared" si="19"/>
        <v>#N/A</v>
      </c>
      <c r="C78" s="732">
        <f t="shared" si="0"/>
        <v>31</v>
      </c>
      <c r="D78" s="35">
        <f t="shared" si="1"/>
        <v>8</v>
      </c>
      <c r="E78" s="889">
        <f t="shared" si="27"/>
        <v>56492</v>
      </c>
      <c r="F78" s="822">
        <f t="shared" si="2"/>
        <v>8</v>
      </c>
      <c r="G78" s="500">
        <f t="shared" si="20"/>
        <v>153</v>
      </c>
      <c r="H78" s="126">
        <f t="shared" si="3"/>
        <v>0</v>
      </c>
      <c r="I78" s="1098">
        <f t="shared" si="28"/>
        <v>1</v>
      </c>
      <c r="J78" s="887">
        <f t="shared" si="21"/>
        <v>59</v>
      </c>
      <c r="K78" s="1099">
        <f t="shared" si="10"/>
        <v>59</v>
      </c>
      <c r="L78" s="891" t="str">
        <f t="shared" si="11"/>
        <v>August</v>
      </c>
      <c r="M78" s="888">
        <f t="shared" si="22"/>
        <v>2054</v>
      </c>
      <c r="N78" s="883">
        <f t="shared" si="12"/>
        <v>0</v>
      </c>
      <c r="O78" s="883">
        <f t="shared" si="23"/>
        <v>0</v>
      </c>
      <c r="P78" s="1100"/>
      <c r="Q78" s="883">
        <f t="shared" si="4"/>
        <v>0</v>
      </c>
      <c r="R78" s="884">
        <f t="shared" si="24"/>
        <v>0</v>
      </c>
      <c r="S78" s="884">
        <f>IF(AND($AS$39="Early Payoff",J78&gt;=$S$13),0,IF($J78&lt;=$S$6,SUM($Q$20:$Q78),0))</f>
        <v>0</v>
      </c>
      <c r="T78" s="884">
        <f>IF(AND($AS$39="Early Payoff",J78&gt;=$S$13),0,IF($J78&lt;=$S$6,SUM($R$20:$R78),0))</f>
        <v>0</v>
      </c>
      <c r="U78" s="885">
        <f t="shared" si="5"/>
        <v>0</v>
      </c>
      <c r="V78" s="1110">
        <f t="shared" si="13"/>
        <v>0</v>
      </c>
      <c r="X78" s="1102">
        <f t="shared" si="6"/>
        <v>0</v>
      </c>
      <c r="Y78" s="873">
        <f t="shared" si="7"/>
        <v>0</v>
      </c>
      <c r="Z78" s="873">
        <f t="shared" si="8"/>
        <v>0</v>
      </c>
      <c r="AA78" s="885">
        <f t="shared" si="9"/>
        <v>0</v>
      </c>
    </row>
    <row r="79" spans="1:27" s="278" customFormat="1" ht="12" customHeight="1" x14ac:dyDescent="0.25">
      <c r="B79" s="1192" t="e">
        <f t="shared" si="19"/>
        <v>#N/A</v>
      </c>
      <c r="C79" s="732">
        <f t="shared" si="0"/>
        <v>31</v>
      </c>
      <c r="D79" s="35">
        <f t="shared" si="1"/>
        <v>3</v>
      </c>
      <c r="E79" s="889">
        <f t="shared" si="27"/>
        <v>56704</v>
      </c>
      <c r="F79" s="822">
        <f t="shared" si="2"/>
        <v>3</v>
      </c>
      <c r="G79" s="500">
        <f t="shared" si="20"/>
        <v>212</v>
      </c>
      <c r="H79" s="126">
        <f t="shared" si="3"/>
        <v>0</v>
      </c>
      <c r="I79" s="1098">
        <f t="shared" si="28"/>
        <v>0</v>
      </c>
      <c r="J79" s="887">
        <f t="shared" si="21"/>
        <v>60</v>
      </c>
      <c r="K79" s="1099">
        <f t="shared" si="10"/>
        <v>60</v>
      </c>
      <c r="L79" s="891" t="str">
        <f t="shared" si="11"/>
        <v>March</v>
      </c>
      <c r="M79" s="888">
        <f t="shared" si="22"/>
        <v>2055</v>
      </c>
      <c r="N79" s="883">
        <f t="shared" si="12"/>
        <v>0</v>
      </c>
      <c r="O79" s="883">
        <f t="shared" si="23"/>
        <v>0</v>
      </c>
      <c r="P79" s="1100"/>
      <c r="Q79" s="883">
        <f t="shared" si="4"/>
        <v>0</v>
      </c>
      <c r="R79" s="884">
        <f t="shared" si="24"/>
        <v>0</v>
      </c>
      <c r="S79" s="884">
        <f>IF(AND($AS$39="Early Payoff",J79&gt;=$S$13),0,IF($J79&lt;=$S$6,SUM($Q$20:$Q79),0))</f>
        <v>0</v>
      </c>
      <c r="T79" s="884">
        <f>IF(AND($AS$39="Early Payoff",J79&gt;=$S$13),0,IF($J79&lt;=$S$6,SUM($R$20:$R79),0))</f>
        <v>0</v>
      </c>
      <c r="U79" s="885">
        <f t="shared" si="5"/>
        <v>0</v>
      </c>
      <c r="V79" s="1110">
        <f t="shared" si="13"/>
        <v>0</v>
      </c>
      <c r="X79" s="1102">
        <f t="shared" si="6"/>
        <v>0</v>
      </c>
      <c r="Y79" s="873">
        <f t="shared" si="7"/>
        <v>0</v>
      </c>
      <c r="Z79" s="873">
        <f t="shared" si="8"/>
        <v>0</v>
      </c>
      <c r="AA79" s="885">
        <f t="shared" si="9"/>
        <v>0</v>
      </c>
    </row>
    <row r="80" spans="1:27" s="278" customFormat="1" ht="12" customHeight="1" x14ac:dyDescent="0.25">
      <c r="B80" s="1192" t="e">
        <f t="shared" si="19"/>
        <v>#N/A</v>
      </c>
      <c r="C80" s="732">
        <f t="shared" si="0"/>
        <v>31</v>
      </c>
      <c r="D80" s="35">
        <f t="shared" si="1"/>
        <v>8</v>
      </c>
      <c r="E80" s="889">
        <f t="shared" si="27"/>
        <v>56857</v>
      </c>
      <c r="F80" s="822">
        <f t="shared" si="2"/>
        <v>8</v>
      </c>
      <c r="G80" s="500">
        <f t="shared" si="20"/>
        <v>153</v>
      </c>
      <c r="H80" s="126">
        <f t="shared" si="3"/>
        <v>0</v>
      </c>
      <c r="I80" s="1098">
        <f t="shared" si="28"/>
        <v>1</v>
      </c>
      <c r="J80" s="887">
        <f t="shared" si="21"/>
        <v>61</v>
      </c>
      <c r="K80" s="1099">
        <f t="shared" si="10"/>
        <v>61</v>
      </c>
      <c r="L80" s="891" t="str">
        <f t="shared" si="11"/>
        <v>August</v>
      </c>
      <c r="M80" s="888">
        <f t="shared" si="22"/>
        <v>2055</v>
      </c>
      <c r="N80" s="883">
        <f t="shared" si="12"/>
        <v>0</v>
      </c>
      <c r="O80" s="883">
        <f t="shared" si="23"/>
        <v>0</v>
      </c>
      <c r="P80" s="1100"/>
      <c r="Q80" s="883">
        <f t="shared" si="4"/>
        <v>0</v>
      </c>
      <c r="R80" s="884">
        <f t="shared" si="24"/>
        <v>0</v>
      </c>
      <c r="S80" s="884">
        <f>IF(AND($AS$39="Early Payoff",J80&gt;=$S$13),0,IF($J80&lt;=$S$6,SUM($Q$20:$Q80),0))</f>
        <v>0</v>
      </c>
      <c r="T80" s="884">
        <f>IF(AND($AS$39="Early Payoff",J80&gt;=$S$13),0,IF($J80&lt;=$S$6,SUM($R$20:$R80),0))</f>
        <v>0</v>
      </c>
      <c r="U80" s="885">
        <f t="shared" si="5"/>
        <v>0</v>
      </c>
      <c r="V80" s="1110">
        <f t="shared" si="13"/>
        <v>0</v>
      </c>
      <c r="X80" s="1102">
        <f t="shared" si="6"/>
        <v>0</v>
      </c>
      <c r="Y80" s="873">
        <f t="shared" si="7"/>
        <v>0</v>
      </c>
      <c r="Z80" s="873">
        <f t="shared" si="8"/>
        <v>0</v>
      </c>
      <c r="AA80" s="885">
        <f t="shared" si="9"/>
        <v>0</v>
      </c>
    </row>
    <row r="81" spans="2:27" s="278" customFormat="1" ht="12" customHeight="1" x14ac:dyDescent="0.25">
      <c r="B81" s="1192" t="e">
        <f t="shared" si="19"/>
        <v>#N/A</v>
      </c>
      <c r="C81" s="732">
        <f t="shared" si="0"/>
        <v>31</v>
      </c>
      <c r="D81" s="35">
        <f t="shared" si="1"/>
        <v>3</v>
      </c>
      <c r="E81" s="889">
        <f t="shared" si="27"/>
        <v>57070</v>
      </c>
      <c r="F81" s="822">
        <f t="shared" si="2"/>
        <v>3</v>
      </c>
      <c r="G81" s="500">
        <f t="shared" si="20"/>
        <v>213</v>
      </c>
      <c r="H81" s="126">
        <f t="shared" si="3"/>
        <v>0</v>
      </c>
      <c r="I81" s="1098">
        <f t="shared" si="28"/>
        <v>0</v>
      </c>
      <c r="J81" s="887">
        <f t="shared" si="21"/>
        <v>62</v>
      </c>
      <c r="K81" s="1099">
        <f t="shared" si="10"/>
        <v>62</v>
      </c>
      <c r="L81" s="891" t="str">
        <f t="shared" si="11"/>
        <v>March</v>
      </c>
      <c r="M81" s="888">
        <f t="shared" si="22"/>
        <v>2056</v>
      </c>
      <c r="N81" s="883">
        <f t="shared" si="12"/>
        <v>0</v>
      </c>
      <c r="O81" s="883">
        <f t="shared" si="23"/>
        <v>0</v>
      </c>
      <c r="P81" s="1100"/>
      <c r="Q81" s="883">
        <f t="shared" si="4"/>
        <v>0</v>
      </c>
      <c r="R81" s="884">
        <f t="shared" si="24"/>
        <v>0</v>
      </c>
      <c r="S81" s="884">
        <f>IF(AND($AS$39="Early Payoff",J81&gt;=$S$13),0,IF($J81&lt;=$S$6,SUM($Q$20:$Q81),0))</f>
        <v>0</v>
      </c>
      <c r="T81" s="884">
        <f>IF(AND($AS$39="Early Payoff",J81&gt;=$S$13),0,IF($J81&lt;=$S$6,SUM($R$20:$R81),0))</f>
        <v>0</v>
      </c>
      <c r="U81" s="885">
        <f t="shared" si="5"/>
        <v>0</v>
      </c>
      <c r="V81" s="1110">
        <f t="shared" si="13"/>
        <v>0</v>
      </c>
      <c r="X81" s="1102">
        <f t="shared" si="6"/>
        <v>0</v>
      </c>
      <c r="Y81" s="873">
        <f t="shared" si="7"/>
        <v>0</v>
      </c>
      <c r="Z81" s="873">
        <f t="shared" si="8"/>
        <v>0</v>
      </c>
      <c r="AA81" s="885">
        <f t="shared" si="9"/>
        <v>0</v>
      </c>
    </row>
    <row r="82" spans="2:27" s="278" customFormat="1" ht="12" customHeight="1" x14ac:dyDescent="0.25">
      <c r="B82" s="1192" t="e">
        <f t="shared" si="19"/>
        <v>#N/A</v>
      </c>
      <c r="C82" s="732">
        <f t="shared" si="0"/>
        <v>31</v>
      </c>
      <c r="D82" s="35">
        <f t="shared" si="1"/>
        <v>8</v>
      </c>
      <c r="E82" s="889">
        <f t="shared" si="27"/>
        <v>57223</v>
      </c>
      <c r="F82" s="822">
        <f t="shared" si="2"/>
        <v>8</v>
      </c>
      <c r="G82" s="500">
        <f t="shared" si="20"/>
        <v>153</v>
      </c>
      <c r="H82" s="126">
        <f t="shared" si="3"/>
        <v>0</v>
      </c>
      <c r="I82" s="1098">
        <f t="shared" si="28"/>
        <v>1</v>
      </c>
      <c r="J82" s="887">
        <f t="shared" si="21"/>
        <v>63</v>
      </c>
      <c r="K82" s="1099">
        <f t="shared" si="10"/>
        <v>63</v>
      </c>
      <c r="L82" s="891" t="str">
        <f t="shared" si="11"/>
        <v>August</v>
      </c>
      <c r="M82" s="888">
        <f t="shared" si="22"/>
        <v>2056</v>
      </c>
      <c r="N82" s="883">
        <f t="shared" si="12"/>
        <v>0</v>
      </c>
      <c r="O82" s="883">
        <f t="shared" si="23"/>
        <v>0</v>
      </c>
      <c r="P82" s="1100"/>
      <c r="Q82" s="883">
        <f t="shared" si="4"/>
        <v>0</v>
      </c>
      <c r="R82" s="884">
        <f t="shared" si="24"/>
        <v>0</v>
      </c>
      <c r="S82" s="884">
        <f>IF(AND($AS$39="Early Payoff",J82&gt;=$S$13),0,IF($J82&lt;=$S$6,SUM($Q$20:$Q82),0))</f>
        <v>0</v>
      </c>
      <c r="T82" s="884">
        <f>IF(AND($AS$39="Early Payoff",J82&gt;=$S$13),0,IF($J82&lt;=$S$6,SUM($R$20:$R82),0))</f>
        <v>0</v>
      </c>
      <c r="U82" s="885">
        <f t="shared" si="5"/>
        <v>0</v>
      </c>
      <c r="V82" s="1110">
        <f t="shared" si="13"/>
        <v>0</v>
      </c>
      <c r="X82" s="1102">
        <f t="shared" si="6"/>
        <v>0</v>
      </c>
      <c r="Y82" s="873">
        <f t="shared" si="7"/>
        <v>0</v>
      </c>
      <c r="Z82" s="873">
        <f t="shared" si="8"/>
        <v>0</v>
      </c>
      <c r="AA82" s="885">
        <f t="shared" si="9"/>
        <v>0</v>
      </c>
    </row>
    <row r="83" spans="2:27" s="278" customFormat="1" ht="12" customHeight="1" x14ac:dyDescent="0.25">
      <c r="B83" s="1192" t="e">
        <f t="shared" si="19"/>
        <v>#N/A</v>
      </c>
      <c r="C83" s="732">
        <f t="shared" si="0"/>
        <v>31</v>
      </c>
      <c r="D83" s="35">
        <f t="shared" si="1"/>
        <v>3</v>
      </c>
      <c r="E83" s="889">
        <f t="shared" si="27"/>
        <v>57435</v>
      </c>
      <c r="F83" s="822">
        <f t="shared" si="2"/>
        <v>3</v>
      </c>
      <c r="G83" s="500">
        <f t="shared" si="20"/>
        <v>212</v>
      </c>
      <c r="H83" s="126">
        <f t="shared" si="3"/>
        <v>0</v>
      </c>
      <c r="I83" s="1098">
        <f t="shared" si="28"/>
        <v>0</v>
      </c>
      <c r="J83" s="887">
        <f t="shared" si="21"/>
        <v>64</v>
      </c>
      <c r="K83" s="1099">
        <f t="shared" si="10"/>
        <v>64</v>
      </c>
      <c r="L83" s="891" t="str">
        <f t="shared" si="11"/>
        <v>March</v>
      </c>
      <c r="M83" s="888">
        <f t="shared" si="22"/>
        <v>2057</v>
      </c>
      <c r="N83" s="883">
        <f t="shared" si="12"/>
        <v>0</v>
      </c>
      <c r="O83" s="883">
        <f t="shared" si="23"/>
        <v>0</v>
      </c>
      <c r="P83" s="1100"/>
      <c r="Q83" s="883">
        <f t="shared" si="4"/>
        <v>0</v>
      </c>
      <c r="R83" s="884">
        <f t="shared" si="24"/>
        <v>0</v>
      </c>
      <c r="S83" s="884">
        <f>IF(AND($AS$39="Early Payoff",J83&gt;=$S$13),0,IF($J83&lt;=$S$6,SUM($Q$20:$Q83),0))</f>
        <v>0</v>
      </c>
      <c r="T83" s="884">
        <f>IF(AND($AS$39="Early Payoff",J83&gt;=$S$13),0,IF($J83&lt;=$S$6,SUM($R$20:$R83),0))</f>
        <v>0</v>
      </c>
      <c r="U83" s="885">
        <f t="shared" si="5"/>
        <v>0</v>
      </c>
      <c r="V83" s="1110">
        <f t="shared" si="13"/>
        <v>0</v>
      </c>
      <c r="X83" s="1102">
        <f t="shared" si="6"/>
        <v>0</v>
      </c>
      <c r="Y83" s="873">
        <f t="shared" si="7"/>
        <v>0</v>
      </c>
      <c r="Z83" s="873">
        <f t="shared" si="8"/>
        <v>0</v>
      </c>
      <c r="AA83" s="885">
        <f t="shared" si="9"/>
        <v>0</v>
      </c>
    </row>
    <row r="84" spans="2:27" s="278" customFormat="1" ht="12" customHeight="1" x14ac:dyDescent="0.25">
      <c r="B84" s="1192" t="e">
        <f t="shared" si="19"/>
        <v>#N/A</v>
      </c>
      <c r="C84" s="732">
        <f t="shared" ref="C84:C147" si="33">DAY(EOMONTH(DATE($M84,$D84,1),0))</f>
        <v>31</v>
      </c>
      <c r="D84" s="35">
        <f t="shared" ref="D84:D147" si="34">INDEX($AT$22:$AU$34,MATCH($L84,$AT$22:$AT$34,0),MATCH("Number",$AT$22:$AU$22,0))</f>
        <v>8</v>
      </c>
      <c r="E84" s="889">
        <f t="shared" si="27"/>
        <v>57588</v>
      </c>
      <c r="F84" s="822">
        <f t="shared" ref="F84:F147" si="35">INDEX($AT$22:$AU$34,MATCH($L84,$AT$22:$AT$34,0),MATCH("Number",$AT$22:$AU$22,0))</f>
        <v>8</v>
      </c>
      <c r="G84" s="500">
        <f t="shared" si="20"/>
        <v>153</v>
      </c>
      <c r="H84" s="126">
        <f t="shared" ref="H84:H147" si="36">IF($T$4="Monthly",INDEX($AT$36:$AU$48,MATCH($L84,$AT$36:$AT$48,0),MATCH("Number",$AT$36:$AU$36,0)),0)</f>
        <v>0</v>
      </c>
      <c r="I84" s="1098">
        <f t="shared" si="28"/>
        <v>1</v>
      </c>
      <c r="J84" s="887">
        <f t="shared" si="21"/>
        <v>65</v>
      </c>
      <c r="K84" s="1099">
        <f t="shared" si="10"/>
        <v>65</v>
      </c>
      <c r="L84" s="891" t="str">
        <f t="shared" si="11"/>
        <v>August</v>
      </c>
      <c r="M84" s="888">
        <f t="shared" si="22"/>
        <v>2057</v>
      </c>
      <c r="N84" s="883">
        <f t="shared" si="12"/>
        <v>0</v>
      </c>
      <c r="O84" s="883">
        <f t="shared" si="23"/>
        <v>0</v>
      </c>
      <c r="P84" s="1100"/>
      <c r="Q84" s="883">
        <f t="shared" ref="Q84:Q147" si="37">IF(AND($AS$39="Early Payoff",J84&gt;=$S$13),0,IF($J84&gt;$S$6,0,IF(AND($AR$29&gt;0,$J84&lt;=$AR$29),0,+$O84-$R84)))</f>
        <v>0</v>
      </c>
      <c r="R84" s="884">
        <f t="shared" si="24"/>
        <v>0</v>
      </c>
      <c r="S84" s="884">
        <f>IF(AND($AS$39="Early Payoff",J84&gt;=$S$13),0,IF($J84&lt;=$S$6,SUM($Q$20:$Q84),0))</f>
        <v>0</v>
      </c>
      <c r="T84" s="884">
        <f>IF(AND($AS$39="Early Payoff",J84&gt;=$S$13),0,IF($J84&lt;=$S$6,SUM($R$20:$R84),0))</f>
        <v>0</v>
      </c>
      <c r="U84" s="885">
        <f t="shared" ref="U84:U147" si="38">IF($K84&lt;$S$13,SUM($N84,$Q84),0)</f>
        <v>0</v>
      </c>
      <c r="V84" s="1110">
        <f t="shared" si="13"/>
        <v>0</v>
      </c>
      <c r="X84" s="1102">
        <f t="shared" ref="X84:X147" si="39">IF($J84&gt;$S$6,0,IF($J84&lt;=$AR$27,0,IF(AND($Y$5="%/Payment",$AA$5=0),$O84*$Z$5,IF(AND($Y$5="%/Payment",$AA$5&gt;0,($O84*$Z$5)&lt;$AA$5),$O84*$Z$5,IF(AND($Y$5="%/Payment",$AA$5&gt;0,($O84*$Z$5)&gt;$AA$5),-$AA$5,IF(AND($Y$5="%/Balance",$AA$5=0),-$U84*$Z$5,IF(AND($Y$5="%/Balance",$AA$5&gt;0,($U84*$Z$5)&lt;$AA$5),-$U84*$Z$5,IF(AND($Y$5="%/Balance",$AA$5&gt;0,($U84*$Z$5)&gt;$AA$5),-$AA$5,IF($Y$5="Fixed Amount",-$Z$5,IF($Y$5="N/A",0))))))))))</f>
        <v>0</v>
      </c>
      <c r="Y84" s="873">
        <f t="shared" ref="Y84:Y147" si="40">IF($J84&gt;$S$6,0,IF($J84&lt;=$AR$27,0,IF(AND($Y$6="%/Payment",$AA$6=0),$O84*$Z$6,IF(AND($Y$6="%/Payment",$AA$6&gt;0,($O84*$Z$6)&lt;$AA$6),$O84*$Z$6,IF(AND($Y$6="%/Payment",$AA$6&gt;0,($O84*$Z$6)&gt;$AA$6),-$AA$6,IF(AND($Y$6="%/Balance",$AA$6=0),-$U84*$Z$6,IF(AND($Y$6="%/Balance",$AA$6&gt;0,($U84*$Z$6)&lt;$AA$6),-$U84*$Z$6,IF(AND($Y$6="%/Balance",$AA$6&gt;0,($U84*$Z$6)&gt;$AA$6),-$AA$6,IF($Y$6="Fixed Amount",-$Z$6,IF($Y$6="N/A",0))))))))))</f>
        <v>0</v>
      </c>
      <c r="Z84" s="873">
        <f t="shared" ref="Z84:Z147" si="41">IF($J84&gt;$S$6,0,IF($J84&lt;=$AR$27,0,IF(AND($Y$7="%/Payment",$AA$7=0),$O84*$Z$7,IF(AND($Y$7="%/Payment",$AA$7&gt;0,($O84*$Z$7)&lt;$AA$7),$O84*$Z$7,IF(AND($Y$7="%/Payment",$AA$7&gt;0,($O84*$Z$7)&gt;$AA$7),-$AA$7,IF(AND($Y$7="%/Balance",$AA$7=0),-$U84*$Z$7,IF(AND($Y$7="%/Balance",$AA$7&gt;0,($U84*$Z$7)&lt;$AA$7),-$U84*$Z$7,IF(AND($Y$7="%/Balance",$AA$7&gt;0,($O84*$Z$7)&gt;$AA$7),-$AA$7,IF($Y$7="Fixed Amount",-$Z$7,IF($Y$7="N/A",0))))))))))</f>
        <v>0</v>
      </c>
      <c r="AA84" s="885">
        <f t="shared" ref="AA84:AA147" si="42">SUM($O84,$X84:$Z84)</f>
        <v>0</v>
      </c>
    </row>
    <row r="85" spans="2:27" s="278" customFormat="1" ht="12" customHeight="1" x14ac:dyDescent="0.25">
      <c r="B85" s="1192" t="e">
        <f t="shared" si="19"/>
        <v>#N/A</v>
      </c>
      <c r="C85" s="732">
        <f t="shared" si="33"/>
        <v>31</v>
      </c>
      <c r="D85" s="35">
        <f t="shared" si="34"/>
        <v>3</v>
      </c>
      <c r="E85" s="889">
        <f t="shared" si="27"/>
        <v>57800</v>
      </c>
      <c r="F85" s="822">
        <f t="shared" si="35"/>
        <v>3</v>
      </c>
      <c r="G85" s="500">
        <f t="shared" si="20"/>
        <v>212</v>
      </c>
      <c r="H85" s="126">
        <f t="shared" si="36"/>
        <v>0</v>
      </c>
      <c r="I85" s="1098">
        <f t="shared" si="28"/>
        <v>0</v>
      </c>
      <c r="J85" s="887">
        <f t="shared" si="21"/>
        <v>66</v>
      </c>
      <c r="K85" s="1099">
        <f t="shared" ref="K85:K148" si="43">IF($J85&lt;=$AR$29,0,IF($J84&gt;=$AR$29,$K84+1))</f>
        <v>66</v>
      </c>
      <c r="L85" s="891" t="str">
        <f t="shared" ref="L85:L148" si="44">IF($T$4="Annual",$R$5,IF(AND($T$4="Bi-Annual",$F84&lt;MAX($R$4,$S$4)),INDEX($AU$22:$AV$34,MATCH(MAX($R$4,$S$4),$AU$22:$AU$34,0),MATCH("Month",$AU$22:$AV$22,0)),IF(AND($T$4="Bi-Annual",$F84=MAX($R$4,$S$4)),INDEX($AU$22:$AV$34,MATCH(MIN($R$4,$S$4),$AU$22:$AU$34,0),MATCH("Month",$AU$22:$AV$22,0)),IF(AND($T$4="Monthly",$F84&lt;12),INDEX($AU$22:$AV$34,MATCH($F84+1,$AU$22:$AU$34,0),MATCH("Month",$AU$22:$AV$22,0)),IF(AND($T$4="Monthly",$F84=12),INDEX($AU$22:$AV$34,MATCH($F84-11,$AU$22:$AU$34,0),MATCH("Month",$AU$22:$AV$22,0)))))))</f>
        <v>March</v>
      </c>
      <c r="M85" s="888">
        <f t="shared" si="22"/>
        <v>2058</v>
      </c>
      <c r="N85" s="883">
        <f t="shared" ref="N85:N148" si="45">IF(AND($AS$39="Early Payoff",$J85&gt;$S$13),0,IF(AND($AS$39="Early Payoff",$J85&lt;$S$13),$U84,IF($J85&gt;$S$6,0,$U84)))</f>
        <v>0</v>
      </c>
      <c r="O85" s="883">
        <f t="shared" si="23"/>
        <v>0</v>
      </c>
      <c r="P85" s="1100"/>
      <c r="Q85" s="883">
        <f t="shared" si="37"/>
        <v>0</v>
      </c>
      <c r="R85" s="884">
        <f t="shared" si="24"/>
        <v>0</v>
      </c>
      <c r="S85" s="884">
        <f>IF(AND($AS$39="Early Payoff",J85&gt;=$S$13),0,IF($J85&lt;=$S$6,SUM($Q$20:$Q85),0))</f>
        <v>0</v>
      </c>
      <c r="T85" s="884">
        <f>IF(AND($AS$39="Early Payoff",J85&gt;=$S$13),0,IF($J85&lt;=$S$6,SUM($R$20:$R85),0))</f>
        <v>0</v>
      </c>
      <c r="U85" s="885">
        <f t="shared" si="38"/>
        <v>0</v>
      </c>
      <c r="V85" s="1110">
        <f t="shared" ref="V85:V148" si="46">IF($T$4="Monthly",$N85,IF(AND(OR($T$4="Annual",$T$4="Bi-Annual"),$K85=$T$7),INDEX($J$19:$U$379,MATCH($T$7,$K$19:$K$2379,0),MATCH($N$19,$J$19:$U$19,0)),IF(AND(OR($T$4="Annual",$T$4="Bi-Annual"),$K85&lt;$T$7),$N85,0)))</f>
        <v>0</v>
      </c>
      <c r="X85" s="1102">
        <f t="shared" si="39"/>
        <v>0</v>
      </c>
      <c r="Y85" s="873">
        <f t="shared" si="40"/>
        <v>0</v>
      </c>
      <c r="Z85" s="873">
        <f t="shared" si="41"/>
        <v>0</v>
      </c>
      <c r="AA85" s="885">
        <f t="shared" si="42"/>
        <v>0</v>
      </c>
    </row>
    <row r="86" spans="2:27" s="278" customFormat="1" ht="12" customHeight="1" x14ac:dyDescent="0.25">
      <c r="B86" s="1192" t="e">
        <f t="shared" ref="B86:B149" si="47">B85+1</f>
        <v>#N/A</v>
      </c>
      <c r="C86" s="732">
        <f t="shared" si="33"/>
        <v>31</v>
      </c>
      <c r="D86" s="35">
        <f t="shared" si="34"/>
        <v>8</v>
      </c>
      <c r="E86" s="889">
        <f t="shared" si="27"/>
        <v>57953</v>
      </c>
      <c r="F86" s="822">
        <f t="shared" si="35"/>
        <v>8</v>
      </c>
      <c r="G86" s="500">
        <f t="shared" ref="G86:G149" si="48">E86-E85</f>
        <v>153</v>
      </c>
      <c r="H86" s="126">
        <f t="shared" si="36"/>
        <v>0</v>
      </c>
      <c r="I86" s="1098">
        <f t="shared" si="28"/>
        <v>1</v>
      </c>
      <c r="J86" s="887">
        <f t="shared" ref="J86:J149" si="49">J85+1</f>
        <v>67</v>
      </c>
      <c r="K86" s="1099">
        <f t="shared" si="43"/>
        <v>67</v>
      </c>
      <c r="L86" s="891" t="str">
        <f t="shared" si="44"/>
        <v>August</v>
      </c>
      <c r="M86" s="888">
        <f t="shared" ref="M86:M149" si="50">IF($T$4="Annual",$M85+$I86,IF($T$4="Bi-Annual",$M85+$I85,IF($T$4="Monthly",$M85+$H85)))</f>
        <v>2058</v>
      </c>
      <c r="N86" s="883">
        <f t="shared" si="45"/>
        <v>0</v>
      </c>
      <c r="O86" s="883">
        <f t="shared" ref="O86:O149" si="51">IF($J86&gt;$S$6,0,IF(AND($AR$29&gt;=0,$J86&lt;=$AR$29),0,IF(AND($AR$27&gt;=0,$J86&lt;=$AR$27),$R86,IF(K86=$T$7,SUM(-N86,R86),IF(AND($T$4="Annual",$AR$27&gt;=0,$AR$29&gt;=0,$J86&gt;$AR$27,$J86&gt;$AR$29),PMT($M$7,($S$6-$AR$27),$M$4),IF(AND($T$4="Bi-Annual",$AR$27&gt;=0,$AR$29&gt;=0,$J86&gt;$AR$27,$J86&gt;$AR$29),PMT($M$7/2,($S$6-$AR$27),$M$4),IF(AND($T$4="Monthly",$AR$27&gt;=0,$AR$29&gt;=0,$J86&gt;$AR$27,$J86&gt;$AR$29),PMT($M$7/12,($S$6-$AR$27),$M$4))))))))-P86</f>
        <v>0</v>
      </c>
      <c r="P86" s="1100"/>
      <c r="Q86" s="883">
        <f t="shared" si="37"/>
        <v>0</v>
      </c>
      <c r="R86" s="884">
        <f t="shared" ref="R86:R149" si="52">IF(AND($AS$39="Early Payoff",J86&gt;=$S$13),0,IF($T$4="Annual",-$M$7*$U85*1,IF(AND($T$4="Bi-Annual",$M$8="Base"),(-$M$7/2)*$U85*1,IF(AND($T$4="Bi-Annual",$M$8="Actual Days"),(-$M$7*$U85)*(G86/366),IF($T$4="Monthly",(-$M$7/12)*$U85*1)))))</f>
        <v>0</v>
      </c>
      <c r="S86" s="884">
        <f>IF(AND($AS$39="Early Payoff",J86&gt;=$S$13),0,IF($J86&lt;=$S$6,SUM($Q$20:$Q86),0))</f>
        <v>0</v>
      </c>
      <c r="T86" s="884">
        <f>IF(AND($AS$39="Early Payoff",J86&gt;=$S$13),0,IF($J86&lt;=$S$6,SUM($R$20:$R86),0))</f>
        <v>0</v>
      </c>
      <c r="U86" s="885">
        <f t="shared" si="38"/>
        <v>0</v>
      </c>
      <c r="V86" s="1110">
        <f t="shared" si="46"/>
        <v>0</v>
      </c>
      <c r="X86" s="1102">
        <f t="shared" si="39"/>
        <v>0</v>
      </c>
      <c r="Y86" s="873">
        <f t="shared" si="40"/>
        <v>0</v>
      </c>
      <c r="Z86" s="873">
        <f t="shared" si="41"/>
        <v>0</v>
      </c>
      <c r="AA86" s="885">
        <f t="shared" si="42"/>
        <v>0</v>
      </c>
    </row>
    <row r="87" spans="2:27" s="278" customFormat="1" ht="12" customHeight="1" x14ac:dyDescent="0.25">
      <c r="B87" s="1192" t="e">
        <f t="shared" si="47"/>
        <v>#N/A</v>
      </c>
      <c r="C87" s="732">
        <f t="shared" si="33"/>
        <v>31</v>
      </c>
      <c r="D87" s="35">
        <f t="shared" si="34"/>
        <v>3</v>
      </c>
      <c r="E87" s="889">
        <f t="shared" ref="E87:E150" si="53">DATE(M87,D87,C87)</f>
        <v>58165</v>
      </c>
      <c r="F87" s="822">
        <f t="shared" si="35"/>
        <v>3</v>
      </c>
      <c r="G87" s="500">
        <f t="shared" si="48"/>
        <v>212</v>
      </c>
      <c r="H87" s="126">
        <f t="shared" si="36"/>
        <v>0</v>
      </c>
      <c r="I87" s="1098">
        <f t="shared" ref="I87:I150" si="54">IF($T$4="Annual",1,IF(AND($T$4="Bi-Annual",$F87&gt;$F88),1,IF(AND($T$4="Bi-Annual",$F87&lt;$F88),0,IF($T$4="Monthly",0,))))</f>
        <v>0</v>
      </c>
      <c r="J87" s="887">
        <f t="shared" si="49"/>
        <v>68</v>
      </c>
      <c r="K87" s="1099">
        <f t="shared" si="43"/>
        <v>68</v>
      </c>
      <c r="L87" s="891" t="str">
        <f t="shared" si="44"/>
        <v>March</v>
      </c>
      <c r="M87" s="888">
        <f t="shared" si="50"/>
        <v>2059</v>
      </c>
      <c r="N87" s="883">
        <f t="shared" si="45"/>
        <v>0</v>
      </c>
      <c r="O87" s="883">
        <f t="shared" si="51"/>
        <v>0</v>
      </c>
      <c r="P87" s="1100"/>
      <c r="Q87" s="883">
        <f t="shared" si="37"/>
        <v>0</v>
      </c>
      <c r="R87" s="884">
        <f t="shared" si="52"/>
        <v>0</v>
      </c>
      <c r="S87" s="884">
        <f>IF(AND($AS$39="Early Payoff",J87&gt;=$S$13),0,IF($J87&lt;=$S$6,SUM($Q$20:$Q87),0))</f>
        <v>0</v>
      </c>
      <c r="T87" s="884">
        <f>IF(AND($AS$39="Early Payoff",J87&gt;=$S$13),0,IF($J87&lt;=$S$6,SUM($R$20:$R87),0))</f>
        <v>0</v>
      </c>
      <c r="U87" s="885">
        <f t="shared" si="38"/>
        <v>0</v>
      </c>
      <c r="V87" s="1110">
        <f t="shared" si="46"/>
        <v>0</v>
      </c>
      <c r="X87" s="1102">
        <f t="shared" si="39"/>
        <v>0</v>
      </c>
      <c r="Y87" s="873">
        <f t="shared" si="40"/>
        <v>0</v>
      </c>
      <c r="Z87" s="873">
        <f t="shared" si="41"/>
        <v>0</v>
      </c>
      <c r="AA87" s="885">
        <f t="shared" si="42"/>
        <v>0</v>
      </c>
    </row>
    <row r="88" spans="2:27" s="278" customFormat="1" ht="12" customHeight="1" x14ac:dyDescent="0.25">
      <c r="B88" s="1192" t="e">
        <f t="shared" si="47"/>
        <v>#N/A</v>
      </c>
      <c r="C88" s="732">
        <f t="shared" si="33"/>
        <v>31</v>
      </c>
      <c r="D88" s="35">
        <f t="shared" si="34"/>
        <v>8</v>
      </c>
      <c r="E88" s="889">
        <f t="shared" si="53"/>
        <v>58318</v>
      </c>
      <c r="F88" s="822">
        <f t="shared" si="35"/>
        <v>8</v>
      </c>
      <c r="G88" s="500">
        <f t="shared" si="48"/>
        <v>153</v>
      </c>
      <c r="H88" s="126">
        <f t="shared" si="36"/>
        <v>0</v>
      </c>
      <c r="I88" s="1098">
        <f t="shared" si="54"/>
        <v>1</v>
      </c>
      <c r="J88" s="887">
        <f t="shared" si="49"/>
        <v>69</v>
      </c>
      <c r="K88" s="1099">
        <f t="shared" si="43"/>
        <v>69</v>
      </c>
      <c r="L88" s="891" t="str">
        <f t="shared" si="44"/>
        <v>August</v>
      </c>
      <c r="M88" s="888">
        <f t="shared" si="50"/>
        <v>2059</v>
      </c>
      <c r="N88" s="883">
        <f t="shared" si="45"/>
        <v>0</v>
      </c>
      <c r="O88" s="883">
        <f t="shared" si="51"/>
        <v>0</v>
      </c>
      <c r="P88" s="1100"/>
      <c r="Q88" s="883">
        <f t="shared" si="37"/>
        <v>0</v>
      </c>
      <c r="R88" s="884">
        <f t="shared" si="52"/>
        <v>0</v>
      </c>
      <c r="S88" s="884">
        <f>IF(AND($AS$39="Early Payoff",J88&gt;=$S$13),0,IF($J88&lt;=$S$6,SUM($Q$20:$Q88),0))</f>
        <v>0</v>
      </c>
      <c r="T88" s="884">
        <f>IF(AND($AS$39="Early Payoff",J88&gt;=$S$13),0,IF($J88&lt;=$S$6,SUM($R$20:$R88),0))</f>
        <v>0</v>
      </c>
      <c r="U88" s="885">
        <f t="shared" si="38"/>
        <v>0</v>
      </c>
      <c r="V88" s="1110">
        <f t="shared" si="46"/>
        <v>0</v>
      </c>
      <c r="X88" s="1102">
        <f t="shared" si="39"/>
        <v>0</v>
      </c>
      <c r="Y88" s="873">
        <f t="shared" si="40"/>
        <v>0</v>
      </c>
      <c r="Z88" s="873">
        <f t="shared" si="41"/>
        <v>0</v>
      </c>
      <c r="AA88" s="885">
        <f t="shared" si="42"/>
        <v>0</v>
      </c>
    </row>
    <row r="89" spans="2:27" s="278" customFormat="1" ht="12" customHeight="1" x14ac:dyDescent="0.25">
      <c r="B89" s="1192" t="e">
        <f t="shared" si="47"/>
        <v>#N/A</v>
      </c>
      <c r="C89" s="732">
        <f t="shared" si="33"/>
        <v>31</v>
      </c>
      <c r="D89" s="35">
        <f t="shared" si="34"/>
        <v>3</v>
      </c>
      <c r="E89" s="889">
        <f t="shared" si="53"/>
        <v>58531</v>
      </c>
      <c r="F89" s="822">
        <f t="shared" si="35"/>
        <v>3</v>
      </c>
      <c r="G89" s="500">
        <f t="shared" si="48"/>
        <v>213</v>
      </c>
      <c r="H89" s="126">
        <f t="shared" si="36"/>
        <v>0</v>
      </c>
      <c r="I89" s="1098">
        <f t="shared" si="54"/>
        <v>0</v>
      </c>
      <c r="J89" s="887">
        <f t="shared" si="49"/>
        <v>70</v>
      </c>
      <c r="K89" s="1099">
        <f t="shared" si="43"/>
        <v>70</v>
      </c>
      <c r="L89" s="891" t="str">
        <f t="shared" si="44"/>
        <v>March</v>
      </c>
      <c r="M89" s="888">
        <f t="shared" si="50"/>
        <v>2060</v>
      </c>
      <c r="N89" s="883">
        <f t="shared" si="45"/>
        <v>0</v>
      </c>
      <c r="O89" s="883">
        <f t="shared" si="51"/>
        <v>0</v>
      </c>
      <c r="P89" s="1100"/>
      <c r="Q89" s="883">
        <f t="shared" si="37"/>
        <v>0</v>
      </c>
      <c r="R89" s="884">
        <f t="shared" si="52"/>
        <v>0</v>
      </c>
      <c r="S89" s="884">
        <f>IF(AND($AS$39="Early Payoff",J89&gt;=$S$13),0,IF($J89&lt;=$S$6,SUM($Q$20:$Q89),0))</f>
        <v>0</v>
      </c>
      <c r="T89" s="884">
        <f>IF(AND($AS$39="Early Payoff",J89&gt;=$S$13),0,IF($J89&lt;=$S$6,SUM($R$20:$R89),0))</f>
        <v>0</v>
      </c>
      <c r="U89" s="885">
        <f t="shared" si="38"/>
        <v>0</v>
      </c>
      <c r="V89" s="1110">
        <f t="shared" si="46"/>
        <v>0</v>
      </c>
      <c r="X89" s="1102">
        <f t="shared" si="39"/>
        <v>0</v>
      </c>
      <c r="Y89" s="873">
        <f t="shared" si="40"/>
        <v>0</v>
      </c>
      <c r="Z89" s="873">
        <f t="shared" si="41"/>
        <v>0</v>
      </c>
      <c r="AA89" s="885">
        <f t="shared" si="42"/>
        <v>0</v>
      </c>
    </row>
    <row r="90" spans="2:27" s="278" customFormat="1" ht="12" customHeight="1" x14ac:dyDescent="0.25">
      <c r="B90" s="1192" t="e">
        <f t="shared" si="47"/>
        <v>#N/A</v>
      </c>
      <c r="C90" s="732">
        <f t="shared" si="33"/>
        <v>31</v>
      </c>
      <c r="D90" s="35">
        <f t="shared" si="34"/>
        <v>8</v>
      </c>
      <c r="E90" s="889">
        <f t="shared" si="53"/>
        <v>58684</v>
      </c>
      <c r="F90" s="822">
        <f t="shared" si="35"/>
        <v>8</v>
      </c>
      <c r="G90" s="500">
        <f t="shared" si="48"/>
        <v>153</v>
      </c>
      <c r="H90" s="126">
        <f t="shared" si="36"/>
        <v>0</v>
      </c>
      <c r="I90" s="1098">
        <f t="shared" si="54"/>
        <v>1</v>
      </c>
      <c r="J90" s="887">
        <f t="shared" si="49"/>
        <v>71</v>
      </c>
      <c r="K90" s="1099">
        <f t="shared" si="43"/>
        <v>71</v>
      </c>
      <c r="L90" s="891" t="str">
        <f t="shared" si="44"/>
        <v>August</v>
      </c>
      <c r="M90" s="888">
        <f t="shared" si="50"/>
        <v>2060</v>
      </c>
      <c r="N90" s="883">
        <f t="shared" si="45"/>
        <v>0</v>
      </c>
      <c r="O90" s="883">
        <f t="shared" si="51"/>
        <v>0</v>
      </c>
      <c r="P90" s="1100"/>
      <c r="Q90" s="883">
        <f t="shared" si="37"/>
        <v>0</v>
      </c>
      <c r="R90" s="884">
        <f t="shared" si="52"/>
        <v>0</v>
      </c>
      <c r="S90" s="884">
        <f>IF(AND($AS$39="Early Payoff",J90&gt;=$S$13),0,IF($J90&lt;=$S$6,SUM($Q$20:$Q90),0))</f>
        <v>0</v>
      </c>
      <c r="T90" s="884">
        <f>IF(AND($AS$39="Early Payoff",J90&gt;=$S$13),0,IF($J90&lt;=$S$6,SUM($R$20:$R90),0))</f>
        <v>0</v>
      </c>
      <c r="U90" s="885">
        <f t="shared" si="38"/>
        <v>0</v>
      </c>
      <c r="V90" s="1110">
        <f t="shared" si="46"/>
        <v>0</v>
      </c>
      <c r="X90" s="1102">
        <f t="shared" si="39"/>
        <v>0</v>
      </c>
      <c r="Y90" s="873">
        <f t="shared" si="40"/>
        <v>0</v>
      </c>
      <c r="Z90" s="873">
        <f t="shared" si="41"/>
        <v>0</v>
      </c>
      <c r="AA90" s="885">
        <f t="shared" si="42"/>
        <v>0</v>
      </c>
    </row>
    <row r="91" spans="2:27" s="278" customFormat="1" ht="12" customHeight="1" x14ac:dyDescent="0.25">
      <c r="B91" s="1192" t="e">
        <f t="shared" si="47"/>
        <v>#N/A</v>
      </c>
      <c r="C91" s="732">
        <f t="shared" si="33"/>
        <v>31</v>
      </c>
      <c r="D91" s="35">
        <f t="shared" si="34"/>
        <v>3</v>
      </c>
      <c r="E91" s="889">
        <f t="shared" si="53"/>
        <v>58896</v>
      </c>
      <c r="F91" s="822">
        <f t="shared" si="35"/>
        <v>3</v>
      </c>
      <c r="G91" s="500">
        <f t="shared" si="48"/>
        <v>212</v>
      </c>
      <c r="H91" s="126">
        <f t="shared" si="36"/>
        <v>0</v>
      </c>
      <c r="I91" s="1098">
        <f t="shared" si="54"/>
        <v>0</v>
      </c>
      <c r="J91" s="887">
        <f t="shared" si="49"/>
        <v>72</v>
      </c>
      <c r="K91" s="1099">
        <f t="shared" si="43"/>
        <v>72</v>
      </c>
      <c r="L91" s="891" t="str">
        <f t="shared" si="44"/>
        <v>March</v>
      </c>
      <c r="M91" s="888">
        <f t="shared" si="50"/>
        <v>2061</v>
      </c>
      <c r="N91" s="883">
        <f t="shared" si="45"/>
        <v>0</v>
      </c>
      <c r="O91" s="883">
        <f t="shared" si="51"/>
        <v>0</v>
      </c>
      <c r="P91" s="1100"/>
      <c r="Q91" s="883">
        <f t="shared" si="37"/>
        <v>0</v>
      </c>
      <c r="R91" s="884">
        <f t="shared" si="52"/>
        <v>0</v>
      </c>
      <c r="S91" s="884">
        <f>IF(AND($AS$39="Early Payoff",J91&gt;=$S$13),0,IF($J91&lt;=$S$6,SUM($Q$20:$Q91),0))</f>
        <v>0</v>
      </c>
      <c r="T91" s="884">
        <f>IF(AND($AS$39="Early Payoff",J91&gt;=$S$13),0,IF($J91&lt;=$S$6,SUM($R$20:$R91),0))</f>
        <v>0</v>
      </c>
      <c r="U91" s="885">
        <f t="shared" si="38"/>
        <v>0</v>
      </c>
      <c r="V91" s="1110">
        <f t="shared" si="46"/>
        <v>0</v>
      </c>
      <c r="X91" s="1102">
        <f t="shared" si="39"/>
        <v>0</v>
      </c>
      <c r="Y91" s="873">
        <f t="shared" si="40"/>
        <v>0</v>
      </c>
      <c r="Z91" s="873">
        <f t="shared" si="41"/>
        <v>0</v>
      </c>
      <c r="AA91" s="885">
        <f t="shared" si="42"/>
        <v>0</v>
      </c>
    </row>
    <row r="92" spans="2:27" s="278" customFormat="1" ht="12" customHeight="1" x14ac:dyDescent="0.25">
      <c r="B92" s="1192" t="e">
        <f t="shared" si="47"/>
        <v>#N/A</v>
      </c>
      <c r="C92" s="732">
        <f t="shared" si="33"/>
        <v>31</v>
      </c>
      <c r="D92" s="35">
        <f t="shared" si="34"/>
        <v>8</v>
      </c>
      <c r="E92" s="889">
        <f t="shared" si="53"/>
        <v>59049</v>
      </c>
      <c r="F92" s="822">
        <f t="shared" si="35"/>
        <v>8</v>
      </c>
      <c r="G92" s="500">
        <f t="shared" si="48"/>
        <v>153</v>
      </c>
      <c r="H92" s="126">
        <f t="shared" si="36"/>
        <v>0</v>
      </c>
      <c r="I92" s="1098">
        <f t="shared" si="54"/>
        <v>1</v>
      </c>
      <c r="J92" s="887">
        <f t="shared" si="49"/>
        <v>73</v>
      </c>
      <c r="K92" s="1099">
        <f t="shared" si="43"/>
        <v>73</v>
      </c>
      <c r="L92" s="891" t="str">
        <f t="shared" si="44"/>
        <v>August</v>
      </c>
      <c r="M92" s="888">
        <f t="shared" si="50"/>
        <v>2061</v>
      </c>
      <c r="N92" s="883">
        <f t="shared" si="45"/>
        <v>0</v>
      </c>
      <c r="O92" s="883">
        <f t="shared" si="51"/>
        <v>0</v>
      </c>
      <c r="P92" s="1100"/>
      <c r="Q92" s="883">
        <f t="shared" si="37"/>
        <v>0</v>
      </c>
      <c r="R92" s="884">
        <f t="shared" si="52"/>
        <v>0</v>
      </c>
      <c r="S92" s="884">
        <f>IF(AND($AS$39="Early Payoff",J92&gt;=$S$13),0,IF($J92&lt;=$S$6,SUM($Q$20:$Q92),0))</f>
        <v>0</v>
      </c>
      <c r="T92" s="884">
        <f>IF(AND($AS$39="Early Payoff",J92&gt;=$S$13),0,IF($J92&lt;=$S$6,SUM($R$20:$R92),0))</f>
        <v>0</v>
      </c>
      <c r="U92" s="885">
        <f t="shared" si="38"/>
        <v>0</v>
      </c>
      <c r="V92" s="1110">
        <f t="shared" si="46"/>
        <v>0</v>
      </c>
      <c r="X92" s="1102">
        <f t="shared" si="39"/>
        <v>0</v>
      </c>
      <c r="Y92" s="873">
        <f t="shared" si="40"/>
        <v>0</v>
      </c>
      <c r="Z92" s="873">
        <f t="shared" si="41"/>
        <v>0</v>
      </c>
      <c r="AA92" s="885">
        <f t="shared" si="42"/>
        <v>0</v>
      </c>
    </row>
    <row r="93" spans="2:27" s="278" customFormat="1" ht="12" customHeight="1" x14ac:dyDescent="0.25">
      <c r="B93" s="1192" t="e">
        <f t="shared" si="47"/>
        <v>#N/A</v>
      </c>
      <c r="C93" s="732">
        <f t="shared" si="33"/>
        <v>31</v>
      </c>
      <c r="D93" s="35">
        <f t="shared" si="34"/>
        <v>3</v>
      </c>
      <c r="E93" s="889">
        <f t="shared" si="53"/>
        <v>59261</v>
      </c>
      <c r="F93" s="822">
        <f t="shared" si="35"/>
        <v>3</v>
      </c>
      <c r="G93" s="500">
        <f t="shared" si="48"/>
        <v>212</v>
      </c>
      <c r="H93" s="126">
        <f t="shared" si="36"/>
        <v>0</v>
      </c>
      <c r="I93" s="1098">
        <f t="shared" si="54"/>
        <v>0</v>
      </c>
      <c r="J93" s="887">
        <f t="shared" si="49"/>
        <v>74</v>
      </c>
      <c r="K93" s="1099">
        <f t="shared" si="43"/>
        <v>74</v>
      </c>
      <c r="L93" s="891" t="str">
        <f t="shared" si="44"/>
        <v>March</v>
      </c>
      <c r="M93" s="888">
        <f t="shared" si="50"/>
        <v>2062</v>
      </c>
      <c r="N93" s="883">
        <f t="shared" si="45"/>
        <v>0</v>
      </c>
      <c r="O93" s="883">
        <f t="shared" si="51"/>
        <v>0</v>
      </c>
      <c r="P93" s="1100"/>
      <c r="Q93" s="883">
        <f t="shared" si="37"/>
        <v>0</v>
      </c>
      <c r="R93" s="884">
        <f t="shared" si="52"/>
        <v>0</v>
      </c>
      <c r="S93" s="884">
        <f>IF(AND($AS$39="Early Payoff",J93&gt;=$S$13),0,IF($J93&lt;=$S$6,SUM($Q$20:$Q93),0))</f>
        <v>0</v>
      </c>
      <c r="T93" s="884">
        <f>IF(AND($AS$39="Early Payoff",J93&gt;=$S$13),0,IF($J93&lt;=$S$6,SUM($R$20:$R93),0))</f>
        <v>0</v>
      </c>
      <c r="U93" s="885">
        <f t="shared" si="38"/>
        <v>0</v>
      </c>
      <c r="V93" s="1110">
        <f t="shared" si="46"/>
        <v>0</v>
      </c>
      <c r="X93" s="1102">
        <f t="shared" si="39"/>
        <v>0</v>
      </c>
      <c r="Y93" s="873">
        <f t="shared" si="40"/>
        <v>0</v>
      </c>
      <c r="Z93" s="873">
        <f t="shared" si="41"/>
        <v>0</v>
      </c>
      <c r="AA93" s="885">
        <f t="shared" si="42"/>
        <v>0</v>
      </c>
    </row>
    <row r="94" spans="2:27" s="278" customFormat="1" ht="12" customHeight="1" x14ac:dyDescent="0.25">
      <c r="B94" s="1192" t="e">
        <f t="shared" si="47"/>
        <v>#N/A</v>
      </c>
      <c r="C94" s="732">
        <f t="shared" si="33"/>
        <v>31</v>
      </c>
      <c r="D94" s="35">
        <f t="shared" si="34"/>
        <v>8</v>
      </c>
      <c r="E94" s="889">
        <f t="shared" si="53"/>
        <v>59414</v>
      </c>
      <c r="F94" s="822">
        <f t="shared" si="35"/>
        <v>8</v>
      </c>
      <c r="G94" s="500">
        <f t="shared" si="48"/>
        <v>153</v>
      </c>
      <c r="H94" s="126">
        <f t="shared" si="36"/>
        <v>0</v>
      </c>
      <c r="I94" s="1098">
        <f t="shared" si="54"/>
        <v>1</v>
      </c>
      <c r="J94" s="887">
        <f t="shared" si="49"/>
        <v>75</v>
      </c>
      <c r="K94" s="1099">
        <f t="shared" si="43"/>
        <v>75</v>
      </c>
      <c r="L94" s="891" t="str">
        <f t="shared" si="44"/>
        <v>August</v>
      </c>
      <c r="M94" s="888">
        <f t="shared" si="50"/>
        <v>2062</v>
      </c>
      <c r="N94" s="883">
        <f t="shared" si="45"/>
        <v>0</v>
      </c>
      <c r="O94" s="883">
        <f t="shared" si="51"/>
        <v>0</v>
      </c>
      <c r="P94" s="1100"/>
      <c r="Q94" s="883">
        <f t="shared" si="37"/>
        <v>0</v>
      </c>
      <c r="R94" s="884">
        <f t="shared" si="52"/>
        <v>0</v>
      </c>
      <c r="S94" s="884">
        <f>IF(AND($AS$39="Early Payoff",J94&gt;=$S$13),0,IF($J94&lt;=$S$6,SUM($Q$20:$Q94),0))</f>
        <v>0</v>
      </c>
      <c r="T94" s="884">
        <f>IF(AND($AS$39="Early Payoff",J94&gt;=$S$13),0,IF($J94&lt;=$S$6,SUM($R$20:$R94),0))</f>
        <v>0</v>
      </c>
      <c r="U94" s="885">
        <f t="shared" si="38"/>
        <v>0</v>
      </c>
      <c r="V94" s="1110">
        <f t="shared" si="46"/>
        <v>0</v>
      </c>
      <c r="X94" s="1102">
        <f t="shared" si="39"/>
        <v>0</v>
      </c>
      <c r="Y94" s="873">
        <f t="shared" si="40"/>
        <v>0</v>
      </c>
      <c r="Z94" s="873">
        <f t="shared" si="41"/>
        <v>0</v>
      </c>
      <c r="AA94" s="885">
        <f t="shared" si="42"/>
        <v>0</v>
      </c>
    </row>
    <row r="95" spans="2:27" s="278" customFormat="1" ht="12" customHeight="1" x14ac:dyDescent="0.25">
      <c r="B95" s="1192" t="e">
        <f t="shared" si="47"/>
        <v>#N/A</v>
      </c>
      <c r="C95" s="732">
        <f t="shared" si="33"/>
        <v>31</v>
      </c>
      <c r="D95" s="35">
        <f t="shared" si="34"/>
        <v>3</v>
      </c>
      <c r="E95" s="889">
        <f t="shared" si="53"/>
        <v>59626</v>
      </c>
      <c r="F95" s="822">
        <f t="shared" si="35"/>
        <v>3</v>
      </c>
      <c r="G95" s="500">
        <f t="shared" si="48"/>
        <v>212</v>
      </c>
      <c r="H95" s="126">
        <f t="shared" si="36"/>
        <v>0</v>
      </c>
      <c r="I95" s="1098">
        <f t="shared" si="54"/>
        <v>0</v>
      </c>
      <c r="J95" s="887">
        <f t="shared" si="49"/>
        <v>76</v>
      </c>
      <c r="K95" s="1099">
        <f t="shared" si="43"/>
        <v>76</v>
      </c>
      <c r="L95" s="891" t="str">
        <f t="shared" si="44"/>
        <v>March</v>
      </c>
      <c r="M95" s="888">
        <f t="shared" si="50"/>
        <v>2063</v>
      </c>
      <c r="N95" s="883">
        <f t="shared" si="45"/>
        <v>0</v>
      </c>
      <c r="O95" s="883">
        <f t="shared" si="51"/>
        <v>0</v>
      </c>
      <c r="P95" s="1100"/>
      <c r="Q95" s="883">
        <f t="shared" si="37"/>
        <v>0</v>
      </c>
      <c r="R95" s="884">
        <f t="shared" si="52"/>
        <v>0</v>
      </c>
      <c r="S95" s="884">
        <f>IF(AND($AS$39="Early Payoff",J95&gt;=$S$13),0,IF($J95&lt;=$S$6,SUM($Q$20:$Q95),0))</f>
        <v>0</v>
      </c>
      <c r="T95" s="884">
        <f>IF(AND($AS$39="Early Payoff",J95&gt;=$S$13),0,IF($J95&lt;=$S$6,SUM($R$20:$R95),0))</f>
        <v>0</v>
      </c>
      <c r="U95" s="885">
        <f t="shared" si="38"/>
        <v>0</v>
      </c>
      <c r="V95" s="1110">
        <f t="shared" si="46"/>
        <v>0</v>
      </c>
      <c r="X95" s="1102">
        <f t="shared" si="39"/>
        <v>0</v>
      </c>
      <c r="Y95" s="873">
        <f t="shared" si="40"/>
        <v>0</v>
      </c>
      <c r="Z95" s="873">
        <f t="shared" si="41"/>
        <v>0</v>
      </c>
      <c r="AA95" s="885">
        <f t="shared" si="42"/>
        <v>0</v>
      </c>
    </row>
    <row r="96" spans="2:27" s="278" customFormat="1" ht="12" customHeight="1" x14ac:dyDescent="0.25">
      <c r="B96" s="1192" t="e">
        <f t="shared" si="47"/>
        <v>#N/A</v>
      </c>
      <c r="C96" s="732">
        <f t="shared" si="33"/>
        <v>31</v>
      </c>
      <c r="D96" s="35">
        <f t="shared" si="34"/>
        <v>8</v>
      </c>
      <c r="E96" s="889">
        <f t="shared" si="53"/>
        <v>59779</v>
      </c>
      <c r="F96" s="822">
        <f t="shared" si="35"/>
        <v>8</v>
      </c>
      <c r="G96" s="500">
        <f t="shared" si="48"/>
        <v>153</v>
      </c>
      <c r="H96" s="126">
        <f t="shared" si="36"/>
        <v>0</v>
      </c>
      <c r="I96" s="1098">
        <f t="shared" si="54"/>
        <v>1</v>
      </c>
      <c r="J96" s="887">
        <f t="shared" si="49"/>
        <v>77</v>
      </c>
      <c r="K96" s="1099">
        <f t="shared" si="43"/>
        <v>77</v>
      </c>
      <c r="L96" s="891" t="str">
        <f t="shared" si="44"/>
        <v>August</v>
      </c>
      <c r="M96" s="888">
        <f t="shared" si="50"/>
        <v>2063</v>
      </c>
      <c r="N96" s="883">
        <f t="shared" si="45"/>
        <v>0</v>
      </c>
      <c r="O96" s="883">
        <f t="shared" si="51"/>
        <v>0</v>
      </c>
      <c r="P96" s="1100"/>
      <c r="Q96" s="883">
        <f t="shared" si="37"/>
        <v>0</v>
      </c>
      <c r="R96" s="884">
        <f t="shared" si="52"/>
        <v>0</v>
      </c>
      <c r="S96" s="884">
        <f>IF(AND($AS$39="Early Payoff",J96&gt;=$S$13),0,IF($J96&lt;=$S$6,SUM($Q$20:$Q96),0))</f>
        <v>0</v>
      </c>
      <c r="T96" s="884">
        <f>IF(AND($AS$39="Early Payoff",J96&gt;=$S$13),0,IF($J96&lt;=$S$6,SUM($R$20:$R96),0))</f>
        <v>0</v>
      </c>
      <c r="U96" s="885">
        <f t="shared" si="38"/>
        <v>0</v>
      </c>
      <c r="V96" s="1110">
        <f t="shared" si="46"/>
        <v>0</v>
      </c>
      <c r="X96" s="1102">
        <f t="shared" si="39"/>
        <v>0</v>
      </c>
      <c r="Y96" s="873">
        <f t="shared" si="40"/>
        <v>0</v>
      </c>
      <c r="Z96" s="873">
        <f t="shared" si="41"/>
        <v>0</v>
      </c>
      <c r="AA96" s="885">
        <f t="shared" si="42"/>
        <v>0</v>
      </c>
    </row>
    <row r="97" spans="2:27" s="278" customFormat="1" ht="12" customHeight="1" x14ac:dyDescent="0.25">
      <c r="B97" s="1192" t="e">
        <f t="shared" si="47"/>
        <v>#N/A</v>
      </c>
      <c r="C97" s="732">
        <f t="shared" si="33"/>
        <v>31</v>
      </c>
      <c r="D97" s="35">
        <f t="shared" si="34"/>
        <v>3</v>
      </c>
      <c r="E97" s="889">
        <f t="shared" si="53"/>
        <v>59992</v>
      </c>
      <c r="F97" s="822">
        <f t="shared" si="35"/>
        <v>3</v>
      </c>
      <c r="G97" s="500">
        <f t="shared" si="48"/>
        <v>213</v>
      </c>
      <c r="H97" s="126">
        <f t="shared" si="36"/>
        <v>0</v>
      </c>
      <c r="I97" s="1098">
        <f t="shared" si="54"/>
        <v>0</v>
      </c>
      <c r="J97" s="887">
        <f t="shared" si="49"/>
        <v>78</v>
      </c>
      <c r="K97" s="1099">
        <f t="shared" si="43"/>
        <v>78</v>
      </c>
      <c r="L97" s="891" t="str">
        <f t="shared" si="44"/>
        <v>March</v>
      </c>
      <c r="M97" s="888">
        <f t="shared" si="50"/>
        <v>2064</v>
      </c>
      <c r="N97" s="883">
        <f t="shared" si="45"/>
        <v>0</v>
      </c>
      <c r="O97" s="883">
        <f t="shared" si="51"/>
        <v>0</v>
      </c>
      <c r="P97" s="1100"/>
      <c r="Q97" s="883">
        <f t="shared" si="37"/>
        <v>0</v>
      </c>
      <c r="R97" s="884">
        <f t="shared" si="52"/>
        <v>0</v>
      </c>
      <c r="S97" s="884">
        <f>IF(AND($AS$39="Early Payoff",J97&gt;=$S$13),0,IF($J97&lt;=$S$6,SUM($Q$20:$Q97),0))</f>
        <v>0</v>
      </c>
      <c r="T97" s="884">
        <f>IF(AND($AS$39="Early Payoff",J97&gt;=$S$13),0,IF($J97&lt;=$S$6,SUM($R$20:$R97),0))</f>
        <v>0</v>
      </c>
      <c r="U97" s="885">
        <f t="shared" si="38"/>
        <v>0</v>
      </c>
      <c r="V97" s="1110">
        <f t="shared" si="46"/>
        <v>0</v>
      </c>
      <c r="X97" s="1102">
        <f t="shared" si="39"/>
        <v>0</v>
      </c>
      <c r="Y97" s="873">
        <f t="shared" si="40"/>
        <v>0</v>
      </c>
      <c r="Z97" s="873">
        <f t="shared" si="41"/>
        <v>0</v>
      </c>
      <c r="AA97" s="885">
        <f t="shared" si="42"/>
        <v>0</v>
      </c>
    </row>
    <row r="98" spans="2:27" s="278" customFormat="1" ht="12" customHeight="1" x14ac:dyDescent="0.25">
      <c r="B98" s="1192" t="e">
        <f t="shared" si="47"/>
        <v>#N/A</v>
      </c>
      <c r="C98" s="732">
        <f t="shared" si="33"/>
        <v>31</v>
      </c>
      <c r="D98" s="35">
        <f t="shared" si="34"/>
        <v>8</v>
      </c>
      <c r="E98" s="889">
        <f t="shared" si="53"/>
        <v>60145</v>
      </c>
      <c r="F98" s="822">
        <f t="shared" si="35"/>
        <v>8</v>
      </c>
      <c r="G98" s="500">
        <f t="shared" si="48"/>
        <v>153</v>
      </c>
      <c r="H98" s="126">
        <f t="shared" si="36"/>
        <v>0</v>
      </c>
      <c r="I98" s="1098">
        <f t="shared" si="54"/>
        <v>1</v>
      </c>
      <c r="J98" s="887">
        <f t="shared" si="49"/>
        <v>79</v>
      </c>
      <c r="K98" s="1099">
        <f t="shared" si="43"/>
        <v>79</v>
      </c>
      <c r="L98" s="891" t="str">
        <f t="shared" si="44"/>
        <v>August</v>
      </c>
      <c r="M98" s="888">
        <f t="shared" si="50"/>
        <v>2064</v>
      </c>
      <c r="N98" s="883">
        <f t="shared" si="45"/>
        <v>0</v>
      </c>
      <c r="O98" s="883">
        <f t="shared" si="51"/>
        <v>0</v>
      </c>
      <c r="P98" s="1100"/>
      <c r="Q98" s="883">
        <f t="shared" si="37"/>
        <v>0</v>
      </c>
      <c r="R98" s="884">
        <f t="shared" si="52"/>
        <v>0</v>
      </c>
      <c r="S98" s="884">
        <f>IF(AND($AS$39="Early Payoff",J98&gt;=$S$13),0,IF($J98&lt;=$S$6,SUM($Q$20:$Q98),0))</f>
        <v>0</v>
      </c>
      <c r="T98" s="884">
        <f>IF(AND($AS$39="Early Payoff",J98&gt;=$S$13),0,IF($J98&lt;=$S$6,SUM($R$20:$R98),0))</f>
        <v>0</v>
      </c>
      <c r="U98" s="885">
        <f t="shared" si="38"/>
        <v>0</v>
      </c>
      <c r="V98" s="1110">
        <f t="shared" si="46"/>
        <v>0</v>
      </c>
      <c r="X98" s="1102">
        <f t="shared" si="39"/>
        <v>0</v>
      </c>
      <c r="Y98" s="873">
        <f t="shared" si="40"/>
        <v>0</v>
      </c>
      <c r="Z98" s="873">
        <f t="shared" si="41"/>
        <v>0</v>
      </c>
      <c r="AA98" s="885">
        <f t="shared" si="42"/>
        <v>0</v>
      </c>
    </row>
    <row r="99" spans="2:27" s="278" customFormat="1" ht="12" customHeight="1" x14ac:dyDescent="0.25">
      <c r="B99" s="1192" t="e">
        <f t="shared" si="47"/>
        <v>#N/A</v>
      </c>
      <c r="C99" s="732">
        <f t="shared" si="33"/>
        <v>31</v>
      </c>
      <c r="D99" s="35">
        <f t="shared" si="34"/>
        <v>3</v>
      </c>
      <c r="E99" s="889">
        <f t="shared" si="53"/>
        <v>60357</v>
      </c>
      <c r="F99" s="822">
        <f t="shared" si="35"/>
        <v>3</v>
      </c>
      <c r="G99" s="500">
        <f t="shared" si="48"/>
        <v>212</v>
      </c>
      <c r="H99" s="126">
        <f t="shared" si="36"/>
        <v>0</v>
      </c>
      <c r="I99" s="1098">
        <f t="shared" si="54"/>
        <v>0</v>
      </c>
      <c r="J99" s="887">
        <f t="shared" si="49"/>
        <v>80</v>
      </c>
      <c r="K99" s="1099">
        <f t="shared" si="43"/>
        <v>80</v>
      </c>
      <c r="L99" s="891" t="str">
        <f t="shared" si="44"/>
        <v>March</v>
      </c>
      <c r="M99" s="888">
        <f t="shared" si="50"/>
        <v>2065</v>
      </c>
      <c r="N99" s="883">
        <f t="shared" si="45"/>
        <v>0</v>
      </c>
      <c r="O99" s="883">
        <f t="shared" si="51"/>
        <v>0</v>
      </c>
      <c r="P99" s="1100"/>
      <c r="Q99" s="883">
        <f t="shared" si="37"/>
        <v>0</v>
      </c>
      <c r="R99" s="884">
        <f t="shared" si="52"/>
        <v>0</v>
      </c>
      <c r="S99" s="884">
        <f>IF(AND($AS$39="Early Payoff",J99&gt;=$S$13),0,IF($J99&lt;=$S$6,SUM($Q$20:$Q99),0))</f>
        <v>0</v>
      </c>
      <c r="T99" s="884">
        <f>IF(AND($AS$39="Early Payoff",J99&gt;=$S$13),0,IF($J99&lt;=$S$6,SUM($R$20:$R99),0))</f>
        <v>0</v>
      </c>
      <c r="U99" s="885">
        <f t="shared" si="38"/>
        <v>0</v>
      </c>
      <c r="V99" s="1110">
        <f t="shared" si="46"/>
        <v>0</v>
      </c>
      <c r="X99" s="1102">
        <f t="shared" si="39"/>
        <v>0</v>
      </c>
      <c r="Y99" s="873">
        <f t="shared" si="40"/>
        <v>0</v>
      </c>
      <c r="Z99" s="873">
        <f t="shared" si="41"/>
        <v>0</v>
      </c>
      <c r="AA99" s="885">
        <f t="shared" si="42"/>
        <v>0</v>
      </c>
    </row>
    <row r="100" spans="2:27" s="278" customFormat="1" ht="12" customHeight="1" x14ac:dyDescent="0.25">
      <c r="B100" s="1192" t="e">
        <f t="shared" si="47"/>
        <v>#N/A</v>
      </c>
      <c r="C100" s="732">
        <f t="shared" si="33"/>
        <v>31</v>
      </c>
      <c r="D100" s="35">
        <f t="shared" si="34"/>
        <v>8</v>
      </c>
      <c r="E100" s="889">
        <f t="shared" si="53"/>
        <v>60510</v>
      </c>
      <c r="F100" s="822">
        <f t="shared" si="35"/>
        <v>8</v>
      </c>
      <c r="G100" s="500">
        <f t="shared" si="48"/>
        <v>153</v>
      </c>
      <c r="H100" s="126">
        <f t="shared" si="36"/>
        <v>0</v>
      </c>
      <c r="I100" s="1098">
        <f t="shared" si="54"/>
        <v>1</v>
      </c>
      <c r="J100" s="887">
        <f t="shared" si="49"/>
        <v>81</v>
      </c>
      <c r="K100" s="1099">
        <f t="shared" si="43"/>
        <v>81</v>
      </c>
      <c r="L100" s="891" t="str">
        <f t="shared" si="44"/>
        <v>August</v>
      </c>
      <c r="M100" s="888">
        <f t="shared" si="50"/>
        <v>2065</v>
      </c>
      <c r="N100" s="883">
        <f t="shared" si="45"/>
        <v>0</v>
      </c>
      <c r="O100" s="883">
        <f t="shared" si="51"/>
        <v>0</v>
      </c>
      <c r="P100" s="1100"/>
      <c r="Q100" s="883">
        <f t="shared" si="37"/>
        <v>0</v>
      </c>
      <c r="R100" s="884">
        <f t="shared" si="52"/>
        <v>0</v>
      </c>
      <c r="S100" s="884">
        <f>IF(AND($AS$39="Early Payoff",J100&gt;=$S$13),0,IF($J100&lt;=$S$6,SUM($Q$20:$Q100),0))</f>
        <v>0</v>
      </c>
      <c r="T100" s="884">
        <f>IF(AND($AS$39="Early Payoff",J100&gt;=$S$13),0,IF($J100&lt;=$S$6,SUM($R$20:$R100),0))</f>
        <v>0</v>
      </c>
      <c r="U100" s="885">
        <f t="shared" si="38"/>
        <v>0</v>
      </c>
      <c r="V100" s="1110">
        <f t="shared" si="46"/>
        <v>0</v>
      </c>
      <c r="X100" s="1102">
        <f t="shared" si="39"/>
        <v>0</v>
      </c>
      <c r="Y100" s="873">
        <f t="shared" si="40"/>
        <v>0</v>
      </c>
      <c r="Z100" s="873">
        <f t="shared" si="41"/>
        <v>0</v>
      </c>
      <c r="AA100" s="885">
        <f t="shared" si="42"/>
        <v>0</v>
      </c>
    </row>
    <row r="101" spans="2:27" s="278" customFormat="1" ht="12" customHeight="1" x14ac:dyDescent="0.25">
      <c r="B101" s="1192" t="e">
        <f t="shared" si="47"/>
        <v>#N/A</v>
      </c>
      <c r="C101" s="732">
        <f t="shared" si="33"/>
        <v>31</v>
      </c>
      <c r="D101" s="35">
        <f t="shared" si="34"/>
        <v>3</v>
      </c>
      <c r="E101" s="889">
        <f t="shared" si="53"/>
        <v>60722</v>
      </c>
      <c r="F101" s="822">
        <f t="shared" si="35"/>
        <v>3</v>
      </c>
      <c r="G101" s="500">
        <f t="shared" si="48"/>
        <v>212</v>
      </c>
      <c r="H101" s="126">
        <f t="shared" si="36"/>
        <v>0</v>
      </c>
      <c r="I101" s="1098">
        <f t="shared" si="54"/>
        <v>0</v>
      </c>
      <c r="J101" s="887">
        <f t="shared" si="49"/>
        <v>82</v>
      </c>
      <c r="K101" s="1099">
        <f t="shared" si="43"/>
        <v>82</v>
      </c>
      <c r="L101" s="891" t="str">
        <f t="shared" si="44"/>
        <v>March</v>
      </c>
      <c r="M101" s="888">
        <f t="shared" si="50"/>
        <v>2066</v>
      </c>
      <c r="N101" s="883">
        <f t="shared" si="45"/>
        <v>0</v>
      </c>
      <c r="O101" s="883">
        <f t="shared" si="51"/>
        <v>0</v>
      </c>
      <c r="P101" s="1100"/>
      <c r="Q101" s="883">
        <f t="shared" si="37"/>
        <v>0</v>
      </c>
      <c r="R101" s="884">
        <f t="shared" si="52"/>
        <v>0</v>
      </c>
      <c r="S101" s="884">
        <f>IF(AND($AS$39="Early Payoff",J101&gt;=$S$13),0,IF($J101&lt;=$S$6,SUM($Q$20:$Q101),0))</f>
        <v>0</v>
      </c>
      <c r="T101" s="884">
        <f>IF(AND($AS$39="Early Payoff",J101&gt;=$S$13),0,IF($J101&lt;=$S$6,SUM($R$20:$R101),0))</f>
        <v>0</v>
      </c>
      <c r="U101" s="885">
        <f t="shared" si="38"/>
        <v>0</v>
      </c>
      <c r="V101" s="1110">
        <f t="shared" si="46"/>
        <v>0</v>
      </c>
      <c r="X101" s="1102">
        <f t="shared" si="39"/>
        <v>0</v>
      </c>
      <c r="Y101" s="873">
        <f t="shared" si="40"/>
        <v>0</v>
      </c>
      <c r="Z101" s="873">
        <f t="shared" si="41"/>
        <v>0</v>
      </c>
      <c r="AA101" s="885">
        <f t="shared" si="42"/>
        <v>0</v>
      </c>
    </row>
    <row r="102" spans="2:27" s="278" customFormat="1" ht="12" customHeight="1" x14ac:dyDescent="0.25">
      <c r="B102" s="1192" t="e">
        <f t="shared" si="47"/>
        <v>#N/A</v>
      </c>
      <c r="C102" s="732">
        <f t="shared" si="33"/>
        <v>31</v>
      </c>
      <c r="D102" s="35">
        <f t="shared" si="34"/>
        <v>8</v>
      </c>
      <c r="E102" s="889">
        <f t="shared" si="53"/>
        <v>60875</v>
      </c>
      <c r="F102" s="822">
        <f t="shared" si="35"/>
        <v>8</v>
      </c>
      <c r="G102" s="500">
        <f t="shared" si="48"/>
        <v>153</v>
      </c>
      <c r="H102" s="126">
        <f t="shared" si="36"/>
        <v>0</v>
      </c>
      <c r="I102" s="1098">
        <f t="shared" si="54"/>
        <v>1</v>
      </c>
      <c r="J102" s="887">
        <f t="shared" si="49"/>
        <v>83</v>
      </c>
      <c r="K102" s="1099">
        <f t="shared" si="43"/>
        <v>83</v>
      </c>
      <c r="L102" s="891" t="str">
        <f t="shared" si="44"/>
        <v>August</v>
      </c>
      <c r="M102" s="888">
        <f t="shared" si="50"/>
        <v>2066</v>
      </c>
      <c r="N102" s="883">
        <f t="shared" si="45"/>
        <v>0</v>
      </c>
      <c r="O102" s="883">
        <f t="shared" si="51"/>
        <v>0</v>
      </c>
      <c r="P102" s="1100"/>
      <c r="Q102" s="883">
        <f t="shared" si="37"/>
        <v>0</v>
      </c>
      <c r="R102" s="884">
        <f t="shared" si="52"/>
        <v>0</v>
      </c>
      <c r="S102" s="884">
        <f>IF(AND($AS$39="Early Payoff",J102&gt;=$S$13),0,IF($J102&lt;=$S$6,SUM($Q$20:$Q102),0))</f>
        <v>0</v>
      </c>
      <c r="T102" s="884">
        <f>IF(AND($AS$39="Early Payoff",J102&gt;=$S$13),0,IF($J102&lt;=$S$6,SUM($R$20:$R102),0))</f>
        <v>0</v>
      </c>
      <c r="U102" s="885">
        <f t="shared" si="38"/>
        <v>0</v>
      </c>
      <c r="V102" s="1110">
        <f t="shared" si="46"/>
        <v>0</v>
      </c>
      <c r="X102" s="1102">
        <f t="shared" si="39"/>
        <v>0</v>
      </c>
      <c r="Y102" s="873">
        <f t="shared" si="40"/>
        <v>0</v>
      </c>
      <c r="Z102" s="873">
        <f t="shared" si="41"/>
        <v>0</v>
      </c>
      <c r="AA102" s="885">
        <f t="shared" si="42"/>
        <v>0</v>
      </c>
    </row>
    <row r="103" spans="2:27" s="278" customFormat="1" ht="12" customHeight="1" x14ac:dyDescent="0.25">
      <c r="B103" s="1192" t="e">
        <f t="shared" si="47"/>
        <v>#N/A</v>
      </c>
      <c r="C103" s="732">
        <f t="shared" si="33"/>
        <v>31</v>
      </c>
      <c r="D103" s="35">
        <f t="shared" si="34"/>
        <v>3</v>
      </c>
      <c r="E103" s="889">
        <f t="shared" si="53"/>
        <v>61087</v>
      </c>
      <c r="F103" s="822">
        <f t="shared" si="35"/>
        <v>3</v>
      </c>
      <c r="G103" s="500">
        <f t="shared" si="48"/>
        <v>212</v>
      </c>
      <c r="H103" s="126">
        <f t="shared" si="36"/>
        <v>0</v>
      </c>
      <c r="I103" s="1098">
        <f t="shared" si="54"/>
        <v>0</v>
      </c>
      <c r="J103" s="887">
        <f t="shared" si="49"/>
        <v>84</v>
      </c>
      <c r="K103" s="1099">
        <f t="shared" si="43"/>
        <v>84</v>
      </c>
      <c r="L103" s="891" t="str">
        <f t="shared" si="44"/>
        <v>March</v>
      </c>
      <c r="M103" s="888">
        <f t="shared" si="50"/>
        <v>2067</v>
      </c>
      <c r="N103" s="883">
        <f t="shared" si="45"/>
        <v>0</v>
      </c>
      <c r="O103" s="883">
        <f t="shared" si="51"/>
        <v>0</v>
      </c>
      <c r="P103" s="1100"/>
      <c r="Q103" s="883">
        <f t="shared" si="37"/>
        <v>0</v>
      </c>
      <c r="R103" s="884">
        <f t="shared" si="52"/>
        <v>0</v>
      </c>
      <c r="S103" s="884">
        <f>IF(AND($AS$39="Early Payoff",J103&gt;=$S$13),0,IF($J103&lt;=$S$6,SUM($Q$20:$Q103),0))</f>
        <v>0</v>
      </c>
      <c r="T103" s="884">
        <f>IF(AND($AS$39="Early Payoff",J103&gt;=$S$13),0,IF($J103&lt;=$S$6,SUM($R$20:$R103),0))</f>
        <v>0</v>
      </c>
      <c r="U103" s="885">
        <f t="shared" si="38"/>
        <v>0</v>
      </c>
      <c r="V103" s="1110">
        <f t="shared" si="46"/>
        <v>0</v>
      </c>
      <c r="X103" s="1102">
        <f t="shared" si="39"/>
        <v>0</v>
      </c>
      <c r="Y103" s="873">
        <f t="shared" si="40"/>
        <v>0</v>
      </c>
      <c r="Z103" s="873">
        <f t="shared" si="41"/>
        <v>0</v>
      </c>
      <c r="AA103" s="885">
        <f t="shared" si="42"/>
        <v>0</v>
      </c>
    </row>
    <row r="104" spans="2:27" s="278" customFormat="1" ht="12" customHeight="1" x14ac:dyDescent="0.25">
      <c r="B104" s="1192" t="e">
        <f t="shared" si="47"/>
        <v>#N/A</v>
      </c>
      <c r="C104" s="732">
        <f t="shared" si="33"/>
        <v>31</v>
      </c>
      <c r="D104" s="35">
        <f t="shared" si="34"/>
        <v>8</v>
      </c>
      <c r="E104" s="889">
        <f t="shared" si="53"/>
        <v>61240</v>
      </c>
      <c r="F104" s="822">
        <f t="shared" si="35"/>
        <v>8</v>
      </c>
      <c r="G104" s="500">
        <f t="shared" si="48"/>
        <v>153</v>
      </c>
      <c r="H104" s="126">
        <f t="shared" si="36"/>
        <v>0</v>
      </c>
      <c r="I104" s="1098">
        <f t="shared" si="54"/>
        <v>1</v>
      </c>
      <c r="J104" s="887">
        <f t="shared" si="49"/>
        <v>85</v>
      </c>
      <c r="K104" s="1099">
        <f t="shared" si="43"/>
        <v>85</v>
      </c>
      <c r="L104" s="891" t="str">
        <f t="shared" si="44"/>
        <v>August</v>
      </c>
      <c r="M104" s="888">
        <f t="shared" si="50"/>
        <v>2067</v>
      </c>
      <c r="N104" s="883">
        <f t="shared" si="45"/>
        <v>0</v>
      </c>
      <c r="O104" s="883">
        <f t="shared" si="51"/>
        <v>0</v>
      </c>
      <c r="P104" s="1100"/>
      <c r="Q104" s="883">
        <f t="shared" si="37"/>
        <v>0</v>
      </c>
      <c r="R104" s="884">
        <f t="shared" si="52"/>
        <v>0</v>
      </c>
      <c r="S104" s="884">
        <f>IF(AND($AS$39="Early Payoff",J104&gt;=$S$13),0,IF($J104&lt;=$S$6,SUM($Q$20:$Q104),0))</f>
        <v>0</v>
      </c>
      <c r="T104" s="884">
        <f>IF(AND($AS$39="Early Payoff",J104&gt;=$S$13),0,IF($J104&lt;=$S$6,SUM($R$20:$R104),0))</f>
        <v>0</v>
      </c>
      <c r="U104" s="885">
        <f t="shared" si="38"/>
        <v>0</v>
      </c>
      <c r="V104" s="1110">
        <f t="shared" si="46"/>
        <v>0</v>
      </c>
      <c r="X104" s="1102">
        <f t="shared" si="39"/>
        <v>0</v>
      </c>
      <c r="Y104" s="873">
        <f t="shared" si="40"/>
        <v>0</v>
      </c>
      <c r="Z104" s="873">
        <f t="shared" si="41"/>
        <v>0</v>
      </c>
      <c r="AA104" s="885">
        <f t="shared" si="42"/>
        <v>0</v>
      </c>
    </row>
    <row r="105" spans="2:27" s="278" customFormat="1" ht="12" customHeight="1" x14ac:dyDescent="0.25">
      <c r="B105" s="1192" t="e">
        <f t="shared" si="47"/>
        <v>#N/A</v>
      </c>
      <c r="C105" s="732">
        <f t="shared" si="33"/>
        <v>31</v>
      </c>
      <c r="D105" s="35">
        <f t="shared" si="34"/>
        <v>3</v>
      </c>
      <c r="E105" s="889">
        <f t="shared" si="53"/>
        <v>61453</v>
      </c>
      <c r="F105" s="822">
        <f t="shared" si="35"/>
        <v>3</v>
      </c>
      <c r="G105" s="500">
        <f t="shared" si="48"/>
        <v>213</v>
      </c>
      <c r="H105" s="126">
        <f t="shared" si="36"/>
        <v>0</v>
      </c>
      <c r="I105" s="1098">
        <f t="shared" si="54"/>
        <v>0</v>
      </c>
      <c r="J105" s="887">
        <f t="shared" si="49"/>
        <v>86</v>
      </c>
      <c r="K105" s="1099">
        <f t="shared" si="43"/>
        <v>86</v>
      </c>
      <c r="L105" s="891" t="str">
        <f t="shared" si="44"/>
        <v>March</v>
      </c>
      <c r="M105" s="888">
        <f t="shared" si="50"/>
        <v>2068</v>
      </c>
      <c r="N105" s="883">
        <f t="shared" si="45"/>
        <v>0</v>
      </c>
      <c r="O105" s="883">
        <f t="shared" si="51"/>
        <v>0</v>
      </c>
      <c r="P105" s="1100"/>
      <c r="Q105" s="883">
        <f t="shared" si="37"/>
        <v>0</v>
      </c>
      <c r="R105" s="884">
        <f t="shared" si="52"/>
        <v>0</v>
      </c>
      <c r="S105" s="884">
        <f>IF(AND($AS$39="Early Payoff",J105&gt;=$S$13),0,IF($J105&lt;=$S$6,SUM($Q$20:$Q105),0))</f>
        <v>0</v>
      </c>
      <c r="T105" s="884">
        <f>IF(AND($AS$39="Early Payoff",J105&gt;=$S$13),0,IF($J105&lt;=$S$6,SUM($R$20:$R105),0))</f>
        <v>0</v>
      </c>
      <c r="U105" s="885">
        <f t="shared" si="38"/>
        <v>0</v>
      </c>
      <c r="V105" s="1110">
        <f t="shared" si="46"/>
        <v>0</v>
      </c>
      <c r="X105" s="1102">
        <f t="shared" si="39"/>
        <v>0</v>
      </c>
      <c r="Y105" s="873">
        <f t="shared" si="40"/>
        <v>0</v>
      </c>
      <c r="Z105" s="873">
        <f t="shared" si="41"/>
        <v>0</v>
      </c>
      <c r="AA105" s="885">
        <f t="shared" si="42"/>
        <v>0</v>
      </c>
    </row>
    <row r="106" spans="2:27" s="278" customFormat="1" ht="12" customHeight="1" x14ac:dyDescent="0.25">
      <c r="B106" s="1192" t="e">
        <f t="shared" si="47"/>
        <v>#N/A</v>
      </c>
      <c r="C106" s="732">
        <f t="shared" si="33"/>
        <v>31</v>
      </c>
      <c r="D106" s="35">
        <f t="shared" si="34"/>
        <v>8</v>
      </c>
      <c r="E106" s="889">
        <f t="shared" si="53"/>
        <v>61606</v>
      </c>
      <c r="F106" s="822">
        <f t="shared" si="35"/>
        <v>8</v>
      </c>
      <c r="G106" s="500">
        <f t="shared" si="48"/>
        <v>153</v>
      </c>
      <c r="H106" s="126">
        <f t="shared" si="36"/>
        <v>0</v>
      </c>
      <c r="I106" s="1098">
        <f t="shared" si="54"/>
        <v>1</v>
      </c>
      <c r="J106" s="887">
        <f t="shared" si="49"/>
        <v>87</v>
      </c>
      <c r="K106" s="1099">
        <f t="shared" si="43"/>
        <v>87</v>
      </c>
      <c r="L106" s="891" t="str">
        <f t="shared" si="44"/>
        <v>August</v>
      </c>
      <c r="M106" s="888">
        <f t="shared" si="50"/>
        <v>2068</v>
      </c>
      <c r="N106" s="883">
        <f t="shared" si="45"/>
        <v>0</v>
      </c>
      <c r="O106" s="883">
        <f t="shared" si="51"/>
        <v>0</v>
      </c>
      <c r="P106" s="1100"/>
      <c r="Q106" s="883">
        <f t="shared" si="37"/>
        <v>0</v>
      </c>
      <c r="R106" s="884">
        <f t="shared" si="52"/>
        <v>0</v>
      </c>
      <c r="S106" s="884">
        <f>IF(AND($AS$39="Early Payoff",J106&gt;=$S$13),0,IF($J106&lt;=$S$6,SUM($Q$20:$Q106),0))</f>
        <v>0</v>
      </c>
      <c r="T106" s="884">
        <f>IF(AND($AS$39="Early Payoff",J106&gt;=$S$13),0,IF($J106&lt;=$S$6,SUM($R$20:$R106),0))</f>
        <v>0</v>
      </c>
      <c r="U106" s="885">
        <f t="shared" si="38"/>
        <v>0</v>
      </c>
      <c r="V106" s="1110">
        <f t="shared" si="46"/>
        <v>0</v>
      </c>
      <c r="X106" s="1102">
        <f t="shared" si="39"/>
        <v>0</v>
      </c>
      <c r="Y106" s="873">
        <f t="shared" si="40"/>
        <v>0</v>
      </c>
      <c r="Z106" s="873">
        <f t="shared" si="41"/>
        <v>0</v>
      </c>
      <c r="AA106" s="885">
        <f t="shared" si="42"/>
        <v>0</v>
      </c>
    </row>
    <row r="107" spans="2:27" s="278" customFormat="1" ht="12" customHeight="1" x14ac:dyDescent="0.25">
      <c r="B107" s="1192" t="e">
        <f t="shared" si="47"/>
        <v>#N/A</v>
      </c>
      <c r="C107" s="732">
        <f t="shared" si="33"/>
        <v>31</v>
      </c>
      <c r="D107" s="35">
        <f t="shared" si="34"/>
        <v>3</v>
      </c>
      <c r="E107" s="889">
        <f t="shared" si="53"/>
        <v>61818</v>
      </c>
      <c r="F107" s="822">
        <f t="shared" si="35"/>
        <v>3</v>
      </c>
      <c r="G107" s="500">
        <f t="shared" si="48"/>
        <v>212</v>
      </c>
      <c r="H107" s="126">
        <f t="shared" si="36"/>
        <v>0</v>
      </c>
      <c r="I107" s="1098">
        <f t="shared" si="54"/>
        <v>0</v>
      </c>
      <c r="J107" s="887">
        <f t="shared" si="49"/>
        <v>88</v>
      </c>
      <c r="K107" s="1099">
        <f t="shared" si="43"/>
        <v>88</v>
      </c>
      <c r="L107" s="891" t="str">
        <f t="shared" si="44"/>
        <v>March</v>
      </c>
      <c r="M107" s="888">
        <f t="shared" si="50"/>
        <v>2069</v>
      </c>
      <c r="N107" s="883">
        <f t="shared" si="45"/>
        <v>0</v>
      </c>
      <c r="O107" s="883">
        <f t="shared" si="51"/>
        <v>0</v>
      </c>
      <c r="P107" s="1100"/>
      <c r="Q107" s="883">
        <f t="shared" si="37"/>
        <v>0</v>
      </c>
      <c r="R107" s="884">
        <f t="shared" si="52"/>
        <v>0</v>
      </c>
      <c r="S107" s="884">
        <f>IF(AND($AS$39="Early Payoff",J107&gt;=$S$13),0,IF($J107&lt;=$S$6,SUM($Q$20:$Q107),0))</f>
        <v>0</v>
      </c>
      <c r="T107" s="884">
        <f>IF(AND($AS$39="Early Payoff",J107&gt;=$S$13),0,IF($J107&lt;=$S$6,SUM($R$20:$R107),0))</f>
        <v>0</v>
      </c>
      <c r="U107" s="885">
        <f t="shared" si="38"/>
        <v>0</v>
      </c>
      <c r="V107" s="1110">
        <f t="shared" si="46"/>
        <v>0</v>
      </c>
      <c r="X107" s="1102">
        <f t="shared" si="39"/>
        <v>0</v>
      </c>
      <c r="Y107" s="873">
        <f t="shared" si="40"/>
        <v>0</v>
      </c>
      <c r="Z107" s="873">
        <f t="shared" si="41"/>
        <v>0</v>
      </c>
      <c r="AA107" s="885">
        <f t="shared" si="42"/>
        <v>0</v>
      </c>
    </row>
    <row r="108" spans="2:27" s="278" customFormat="1" ht="12" customHeight="1" x14ac:dyDescent="0.25">
      <c r="B108" s="1192" t="e">
        <f t="shared" si="47"/>
        <v>#N/A</v>
      </c>
      <c r="C108" s="732">
        <f t="shared" si="33"/>
        <v>31</v>
      </c>
      <c r="D108" s="35">
        <f t="shared" si="34"/>
        <v>8</v>
      </c>
      <c r="E108" s="889">
        <f t="shared" si="53"/>
        <v>61971</v>
      </c>
      <c r="F108" s="822">
        <f t="shared" si="35"/>
        <v>8</v>
      </c>
      <c r="G108" s="500">
        <f t="shared" si="48"/>
        <v>153</v>
      </c>
      <c r="H108" s="126">
        <f t="shared" si="36"/>
        <v>0</v>
      </c>
      <c r="I108" s="1098">
        <f t="shared" si="54"/>
        <v>1</v>
      </c>
      <c r="J108" s="887">
        <f t="shared" si="49"/>
        <v>89</v>
      </c>
      <c r="K108" s="1099">
        <f t="shared" si="43"/>
        <v>89</v>
      </c>
      <c r="L108" s="891" t="str">
        <f t="shared" si="44"/>
        <v>August</v>
      </c>
      <c r="M108" s="888">
        <f t="shared" si="50"/>
        <v>2069</v>
      </c>
      <c r="N108" s="883">
        <f t="shared" si="45"/>
        <v>0</v>
      </c>
      <c r="O108" s="883">
        <f t="shared" si="51"/>
        <v>0</v>
      </c>
      <c r="P108" s="1100"/>
      <c r="Q108" s="883">
        <f t="shared" si="37"/>
        <v>0</v>
      </c>
      <c r="R108" s="884">
        <f t="shared" si="52"/>
        <v>0</v>
      </c>
      <c r="S108" s="884">
        <f>IF(AND($AS$39="Early Payoff",J108&gt;=$S$13),0,IF($J108&lt;=$S$6,SUM($Q$20:$Q108),0))</f>
        <v>0</v>
      </c>
      <c r="T108" s="884">
        <f>IF(AND($AS$39="Early Payoff",J108&gt;=$S$13),0,IF($J108&lt;=$S$6,SUM($R$20:$R108),0))</f>
        <v>0</v>
      </c>
      <c r="U108" s="885">
        <f t="shared" si="38"/>
        <v>0</v>
      </c>
      <c r="V108" s="1110">
        <f t="shared" si="46"/>
        <v>0</v>
      </c>
      <c r="X108" s="1102">
        <f t="shared" si="39"/>
        <v>0</v>
      </c>
      <c r="Y108" s="873">
        <f t="shared" si="40"/>
        <v>0</v>
      </c>
      <c r="Z108" s="873">
        <f t="shared" si="41"/>
        <v>0</v>
      </c>
      <c r="AA108" s="885">
        <f t="shared" si="42"/>
        <v>0</v>
      </c>
    </row>
    <row r="109" spans="2:27" s="278" customFormat="1" ht="12" customHeight="1" x14ac:dyDescent="0.25">
      <c r="B109" s="1192" t="e">
        <f t="shared" si="47"/>
        <v>#N/A</v>
      </c>
      <c r="C109" s="732">
        <f t="shared" si="33"/>
        <v>31</v>
      </c>
      <c r="D109" s="35">
        <f t="shared" si="34"/>
        <v>3</v>
      </c>
      <c r="E109" s="889">
        <f t="shared" si="53"/>
        <v>62183</v>
      </c>
      <c r="F109" s="822">
        <f t="shared" si="35"/>
        <v>3</v>
      </c>
      <c r="G109" s="500">
        <f t="shared" si="48"/>
        <v>212</v>
      </c>
      <c r="H109" s="126">
        <f t="shared" si="36"/>
        <v>0</v>
      </c>
      <c r="I109" s="1098">
        <f t="shared" si="54"/>
        <v>0</v>
      </c>
      <c r="J109" s="887">
        <f t="shared" si="49"/>
        <v>90</v>
      </c>
      <c r="K109" s="1099">
        <f t="shared" si="43"/>
        <v>90</v>
      </c>
      <c r="L109" s="891" t="str">
        <f t="shared" si="44"/>
        <v>March</v>
      </c>
      <c r="M109" s="888">
        <f t="shared" si="50"/>
        <v>2070</v>
      </c>
      <c r="N109" s="883">
        <f t="shared" si="45"/>
        <v>0</v>
      </c>
      <c r="O109" s="883">
        <f t="shared" si="51"/>
        <v>0</v>
      </c>
      <c r="P109" s="1100"/>
      <c r="Q109" s="883">
        <f t="shared" si="37"/>
        <v>0</v>
      </c>
      <c r="R109" s="884">
        <f t="shared" si="52"/>
        <v>0</v>
      </c>
      <c r="S109" s="884">
        <f>IF(AND($AS$39="Early Payoff",J109&gt;=$S$13),0,IF($J109&lt;=$S$6,SUM($Q$20:$Q109),0))</f>
        <v>0</v>
      </c>
      <c r="T109" s="884">
        <f>IF(AND($AS$39="Early Payoff",J109&gt;=$S$13),0,IF($J109&lt;=$S$6,SUM($R$20:$R109),0))</f>
        <v>0</v>
      </c>
      <c r="U109" s="885">
        <f t="shared" si="38"/>
        <v>0</v>
      </c>
      <c r="V109" s="1110">
        <f t="shared" si="46"/>
        <v>0</v>
      </c>
      <c r="X109" s="1102">
        <f t="shared" si="39"/>
        <v>0</v>
      </c>
      <c r="Y109" s="873">
        <f t="shared" si="40"/>
        <v>0</v>
      </c>
      <c r="Z109" s="873">
        <f t="shared" si="41"/>
        <v>0</v>
      </c>
      <c r="AA109" s="885">
        <f t="shared" si="42"/>
        <v>0</v>
      </c>
    </row>
    <row r="110" spans="2:27" s="278" customFormat="1" ht="12" customHeight="1" x14ac:dyDescent="0.25">
      <c r="B110" s="1192" t="e">
        <f t="shared" si="47"/>
        <v>#N/A</v>
      </c>
      <c r="C110" s="732">
        <f t="shared" si="33"/>
        <v>31</v>
      </c>
      <c r="D110" s="35">
        <f t="shared" si="34"/>
        <v>8</v>
      </c>
      <c r="E110" s="889">
        <f t="shared" si="53"/>
        <v>62336</v>
      </c>
      <c r="F110" s="822">
        <f t="shared" si="35"/>
        <v>8</v>
      </c>
      <c r="G110" s="500">
        <f t="shared" si="48"/>
        <v>153</v>
      </c>
      <c r="H110" s="126">
        <f t="shared" si="36"/>
        <v>0</v>
      </c>
      <c r="I110" s="1098">
        <f t="shared" si="54"/>
        <v>1</v>
      </c>
      <c r="J110" s="887">
        <f t="shared" si="49"/>
        <v>91</v>
      </c>
      <c r="K110" s="1099">
        <f t="shared" si="43"/>
        <v>91</v>
      </c>
      <c r="L110" s="891" t="str">
        <f t="shared" si="44"/>
        <v>August</v>
      </c>
      <c r="M110" s="888">
        <f t="shared" si="50"/>
        <v>2070</v>
      </c>
      <c r="N110" s="883">
        <f t="shared" si="45"/>
        <v>0</v>
      </c>
      <c r="O110" s="883">
        <f t="shared" si="51"/>
        <v>0</v>
      </c>
      <c r="P110" s="1100"/>
      <c r="Q110" s="883">
        <f t="shared" si="37"/>
        <v>0</v>
      </c>
      <c r="R110" s="884">
        <f t="shared" si="52"/>
        <v>0</v>
      </c>
      <c r="S110" s="884">
        <f>IF(AND($AS$39="Early Payoff",J110&gt;=$S$13),0,IF($J110&lt;=$S$6,SUM($Q$20:$Q110),0))</f>
        <v>0</v>
      </c>
      <c r="T110" s="884">
        <f>IF(AND($AS$39="Early Payoff",J110&gt;=$S$13),0,IF($J110&lt;=$S$6,SUM($R$20:$R110),0))</f>
        <v>0</v>
      </c>
      <c r="U110" s="885">
        <f t="shared" si="38"/>
        <v>0</v>
      </c>
      <c r="V110" s="1110">
        <f t="shared" si="46"/>
        <v>0</v>
      </c>
      <c r="X110" s="1102">
        <f t="shared" si="39"/>
        <v>0</v>
      </c>
      <c r="Y110" s="873">
        <f t="shared" si="40"/>
        <v>0</v>
      </c>
      <c r="Z110" s="873">
        <f t="shared" si="41"/>
        <v>0</v>
      </c>
      <c r="AA110" s="885">
        <f t="shared" si="42"/>
        <v>0</v>
      </c>
    </row>
    <row r="111" spans="2:27" s="278" customFormat="1" ht="12" customHeight="1" x14ac:dyDescent="0.25">
      <c r="B111" s="1192" t="e">
        <f t="shared" si="47"/>
        <v>#N/A</v>
      </c>
      <c r="C111" s="732">
        <f t="shared" si="33"/>
        <v>31</v>
      </c>
      <c r="D111" s="35">
        <f t="shared" si="34"/>
        <v>3</v>
      </c>
      <c r="E111" s="889">
        <f t="shared" si="53"/>
        <v>62548</v>
      </c>
      <c r="F111" s="822">
        <f t="shared" si="35"/>
        <v>3</v>
      </c>
      <c r="G111" s="500">
        <f t="shared" si="48"/>
        <v>212</v>
      </c>
      <c r="H111" s="126">
        <f t="shared" si="36"/>
        <v>0</v>
      </c>
      <c r="I111" s="1098">
        <f t="shared" si="54"/>
        <v>0</v>
      </c>
      <c r="J111" s="887">
        <f t="shared" si="49"/>
        <v>92</v>
      </c>
      <c r="K111" s="1099">
        <f t="shared" si="43"/>
        <v>92</v>
      </c>
      <c r="L111" s="891" t="str">
        <f t="shared" si="44"/>
        <v>March</v>
      </c>
      <c r="M111" s="888">
        <f t="shared" si="50"/>
        <v>2071</v>
      </c>
      <c r="N111" s="883">
        <f t="shared" si="45"/>
        <v>0</v>
      </c>
      <c r="O111" s="883">
        <f t="shared" si="51"/>
        <v>0</v>
      </c>
      <c r="P111" s="1100"/>
      <c r="Q111" s="883">
        <f t="shared" si="37"/>
        <v>0</v>
      </c>
      <c r="R111" s="884">
        <f t="shared" si="52"/>
        <v>0</v>
      </c>
      <c r="S111" s="884">
        <f>IF(AND($AS$39="Early Payoff",J111&gt;=$S$13),0,IF($J111&lt;=$S$6,SUM($Q$20:$Q111),0))</f>
        <v>0</v>
      </c>
      <c r="T111" s="884">
        <f>IF(AND($AS$39="Early Payoff",J111&gt;=$S$13),0,IF($J111&lt;=$S$6,SUM($R$20:$R111),0))</f>
        <v>0</v>
      </c>
      <c r="U111" s="885">
        <f t="shared" si="38"/>
        <v>0</v>
      </c>
      <c r="V111" s="1110">
        <f t="shared" si="46"/>
        <v>0</v>
      </c>
      <c r="X111" s="1102">
        <f t="shared" si="39"/>
        <v>0</v>
      </c>
      <c r="Y111" s="873">
        <f t="shared" si="40"/>
        <v>0</v>
      </c>
      <c r="Z111" s="873">
        <f t="shared" si="41"/>
        <v>0</v>
      </c>
      <c r="AA111" s="885">
        <f t="shared" si="42"/>
        <v>0</v>
      </c>
    </row>
    <row r="112" spans="2:27" s="278" customFormat="1" ht="12" customHeight="1" x14ac:dyDescent="0.25">
      <c r="B112" s="1192" t="e">
        <f t="shared" si="47"/>
        <v>#N/A</v>
      </c>
      <c r="C112" s="732">
        <f t="shared" si="33"/>
        <v>31</v>
      </c>
      <c r="D112" s="35">
        <f t="shared" si="34"/>
        <v>8</v>
      </c>
      <c r="E112" s="889">
        <f t="shared" si="53"/>
        <v>62701</v>
      </c>
      <c r="F112" s="822">
        <f t="shared" si="35"/>
        <v>8</v>
      </c>
      <c r="G112" s="500">
        <f t="shared" si="48"/>
        <v>153</v>
      </c>
      <c r="H112" s="126">
        <f t="shared" si="36"/>
        <v>0</v>
      </c>
      <c r="I112" s="1098">
        <f t="shared" si="54"/>
        <v>1</v>
      </c>
      <c r="J112" s="887">
        <f t="shared" si="49"/>
        <v>93</v>
      </c>
      <c r="K112" s="1099">
        <f t="shared" si="43"/>
        <v>93</v>
      </c>
      <c r="L112" s="891" t="str">
        <f t="shared" si="44"/>
        <v>August</v>
      </c>
      <c r="M112" s="888">
        <f t="shared" si="50"/>
        <v>2071</v>
      </c>
      <c r="N112" s="883">
        <f t="shared" si="45"/>
        <v>0</v>
      </c>
      <c r="O112" s="883">
        <f t="shared" si="51"/>
        <v>0</v>
      </c>
      <c r="P112" s="1100"/>
      <c r="Q112" s="883">
        <f t="shared" si="37"/>
        <v>0</v>
      </c>
      <c r="R112" s="884">
        <f t="shared" si="52"/>
        <v>0</v>
      </c>
      <c r="S112" s="884">
        <f>IF(AND($AS$39="Early Payoff",J112&gt;=$S$13),0,IF($J112&lt;=$S$6,SUM($Q$20:$Q112),0))</f>
        <v>0</v>
      </c>
      <c r="T112" s="884">
        <f>IF(AND($AS$39="Early Payoff",J112&gt;=$S$13),0,IF($J112&lt;=$S$6,SUM($R$20:$R112),0))</f>
        <v>0</v>
      </c>
      <c r="U112" s="885">
        <f t="shared" si="38"/>
        <v>0</v>
      </c>
      <c r="V112" s="1110">
        <f t="shared" si="46"/>
        <v>0</v>
      </c>
      <c r="X112" s="1102">
        <f t="shared" si="39"/>
        <v>0</v>
      </c>
      <c r="Y112" s="873">
        <f t="shared" si="40"/>
        <v>0</v>
      </c>
      <c r="Z112" s="873">
        <f t="shared" si="41"/>
        <v>0</v>
      </c>
      <c r="AA112" s="885">
        <f t="shared" si="42"/>
        <v>0</v>
      </c>
    </row>
    <row r="113" spans="2:27" s="278" customFormat="1" ht="12" customHeight="1" x14ac:dyDescent="0.25">
      <c r="B113" s="1192" t="e">
        <f t="shared" si="47"/>
        <v>#N/A</v>
      </c>
      <c r="C113" s="732">
        <f t="shared" si="33"/>
        <v>31</v>
      </c>
      <c r="D113" s="35">
        <f t="shared" si="34"/>
        <v>3</v>
      </c>
      <c r="E113" s="889">
        <f t="shared" si="53"/>
        <v>62914</v>
      </c>
      <c r="F113" s="822">
        <f t="shared" si="35"/>
        <v>3</v>
      </c>
      <c r="G113" s="500">
        <f t="shared" si="48"/>
        <v>213</v>
      </c>
      <c r="H113" s="126">
        <f t="shared" si="36"/>
        <v>0</v>
      </c>
      <c r="I113" s="1098">
        <f t="shared" si="54"/>
        <v>0</v>
      </c>
      <c r="J113" s="887">
        <f t="shared" si="49"/>
        <v>94</v>
      </c>
      <c r="K113" s="1099">
        <f t="shared" si="43"/>
        <v>94</v>
      </c>
      <c r="L113" s="891" t="str">
        <f t="shared" si="44"/>
        <v>March</v>
      </c>
      <c r="M113" s="888">
        <f t="shared" si="50"/>
        <v>2072</v>
      </c>
      <c r="N113" s="883">
        <f t="shared" si="45"/>
        <v>0</v>
      </c>
      <c r="O113" s="883">
        <f t="shared" si="51"/>
        <v>0</v>
      </c>
      <c r="P113" s="1100"/>
      <c r="Q113" s="883">
        <f t="shared" si="37"/>
        <v>0</v>
      </c>
      <c r="R113" s="884">
        <f t="shared" si="52"/>
        <v>0</v>
      </c>
      <c r="S113" s="884">
        <f>IF(AND($AS$39="Early Payoff",J113&gt;=$S$13),0,IF($J113&lt;=$S$6,SUM($Q$20:$Q113),0))</f>
        <v>0</v>
      </c>
      <c r="T113" s="884">
        <f>IF(AND($AS$39="Early Payoff",J113&gt;=$S$13),0,IF($J113&lt;=$S$6,SUM($R$20:$R113),0))</f>
        <v>0</v>
      </c>
      <c r="U113" s="885">
        <f t="shared" si="38"/>
        <v>0</v>
      </c>
      <c r="V113" s="1110">
        <f t="shared" si="46"/>
        <v>0</v>
      </c>
      <c r="X113" s="1102">
        <f t="shared" si="39"/>
        <v>0</v>
      </c>
      <c r="Y113" s="873">
        <f t="shared" si="40"/>
        <v>0</v>
      </c>
      <c r="Z113" s="873">
        <f t="shared" si="41"/>
        <v>0</v>
      </c>
      <c r="AA113" s="885">
        <f t="shared" si="42"/>
        <v>0</v>
      </c>
    </row>
    <row r="114" spans="2:27" s="278" customFormat="1" ht="12" customHeight="1" x14ac:dyDescent="0.25">
      <c r="B114" s="1192" t="e">
        <f t="shared" si="47"/>
        <v>#N/A</v>
      </c>
      <c r="C114" s="732">
        <f t="shared" si="33"/>
        <v>31</v>
      </c>
      <c r="D114" s="35">
        <f t="shared" si="34"/>
        <v>8</v>
      </c>
      <c r="E114" s="889">
        <f t="shared" si="53"/>
        <v>63067</v>
      </c>
      <c r="F114" s="822">
        <f t="shared" si="35"/>
        <v>8</v>
      </c>
      <c r="G114" s="500">
        <f t="shared" si="48"/>
        <v>153</v>
      </c>
      <c r="H114" s="126">
        <f t="shared" si="36"/>
        <v>0</v>
      </c>
      <c r="I114" s="1098">
        <f t="shared" si="54"/>
        <v>1</v>
      </c>
      <c r="J114" s="887">
        <f t="shared" si="49"/>
        <v>95</v>
      </c>
      <c r="K114" s="1099">
        <f t="shared" si="43"/>
        <v>95</v>
      </c>
      <c r="L114" s="891" t="str">
        <f t="shared" si="44"/>
        <v>August</v>
      </c>
      <c r="M114" s="888">
        <f t="shared" si="50"/>
        <v>2072</v>
      </c>
      <c r="N114" s="883">
        <f t="shared" si="45"/>
        <v>0</v>
      </c>
      <c r="O114" s="883">
        <f t="shared" si="51"/>
        <v>0</v>
      </c>
      <c r="P114" s="1100"/>
      <c r="Q114" s="883">
        <f t="shared" si="37"/>
        <v>0</v>
      </c>
      <c r="R114" s="884">
        <f t="shared" si="52"/>
        <v>0</v>
      </c>
      <c r="S114" s="884">
        <f>IF(AND($AS$39="Early Payoff",J114&gt;=$S$13),0,IF($J114&lt;=$S$6,SUM($Q$20:$Q114),0))</f>
        <v>0</v>
      </c>
      <c r="T114" s="884">
        <f>IF(AND($AS$39="Early Payoff",J114&gt;=$S$13),0,IF($J114&lt;=$S$6,SUM($R$20:$R114),0))</f>
        <v>0</v>
      </c>
      <c r="U114" s="885">
        <f t="shared" si="38"/>
        <v>0</v>
      </c>
      <c r="V114" s="1110">
        <f t="shared" si="46"/>
        <v>0</v>
      </c>
      <c r="X114" s="1102">
        <f t="shared" si="39"/>
        <v>0</v>
      </c>
      <c r="Y114" s="873">
        <f t="shared" si="40"/>
        <v>0</v>
      </c>
      <c r="Z114" s="873">
        <f t="shared" si="41"/>
        <v>0</v>
      </c>
      <c r="AA114" s="885">
        <f t="shared" si="42"/>
        <v>0</v>
      </c>
    </row>
    <row r="115" spans="2:27" s="278" customFormat="1" ht="12" customHeight="1" x14ac:dyDescent="0.25">
      <c r="B115" s="1192" t="e">
        <f t="shared" si="47"/>
        <v>#N/A</v>
      </c>
      <c r="C115" s="732">
        <f t="shared" si="33"/>
        <v>31</v>
      </c>
      <c r="D115" s="35">
        <f t="shared" si="34"/>
        <v>3</v>
      </c>
      <c r="E115" s="889">
        <f t="shared" si="53"/>
        <v>63279</v>
      </c>
      <c r="F115" s="822">
        <f t="shared" si="35"/>
        <v>3</v>
      </c>
      <c r="G115" s="500">
        <f t="shared" si="48"/>
        <v>212</v>
      </c>
      <c r="H115" s="126">
        <f t="shared" si="36"/>
        <v>0</v>
      </c>
      <c r="I115" s="1098">
        <f t="shared" si="54"/>
        <v>0</v>
      </c>
      <c r="J115" s="887">
        <f t="shared" si="49"/>
        <v>96</v>
      </c>
      <c r="K115" s="1099">
        <f t="shared" si="43"/>
        <v>96</v>
      </c>
      <c r="L115" s="891" t="str">
        <f t="shared" si="44"/>
        <v>March</v>
      </c>
      <c r="M115" s="888">
        <f t="shared" si="50"/>
        <v>2073</v>
      </c>
      <c r="N115" s="883">
        <f t="shared" si="45"/>
        <v>0</v>
      </c>
      <c r="O115" s="883">
        <f t="shared" si="51"/>
        <v>0</v>
      </c>
      <c r="P115" s="1100"/>
      <c r="Q115" s="883">
        <f t="shared" si="37"/>
        <v>0</v>
      </c>
      <c r="R115" s="884">
        <f t="shared" si="52"/>
        <v>0</v>
      </c>
      <c r="S115" s="884">
        <f>IF(AND($AS$39="Early Payoff",J115&gt;=$S$13),0,IF($J115&lt;=$S$6,SUM($Q$20:$Q115),0))</f>
        <v>0</v>
      </c>
      <c r="T115" s="884">
        <f>IF(AND($AS$39="Early Payoff",J115&gt;=$S$13),0,IF($J115&lt;=$S$6,SUM($R$20:$R115),0))</f>
        <v>0</v>
      </c>
      <c r="U115" s="885">
        <f t="shared" si="38"/>
        <v>0</v>
      </c>
      <c r="V115" s="1110">
        <f t="shared" si="46"/>
        <v>0</v>
      </c>
      <c r="X115" s="1102">
        <f t="shared" si="39"/>
        <v>0</v>
      </c>
      <c r="Y115" s="873">
        <f t="shared" si="40"/>
        <v>0</v>
      </c>
      <c r="Z115" s="873">
        <f t="shared" si="41"/>
        <v>0</v>
      </c>
      <c r="AA115" s="885">
        <f t="shared" si="42"/>
        <v>0</v>
      </c>
    </row>
    <row r="116" spans="2:27" s="278" customFormat="1" ht="12" customHeight="1" x14ac:dyDescent="0.25">
      <c r="B116" s="1192" t="e">
        <f t="shared" si="47"/>
        <v>#N/A</v>
      </c>
      <c r="C116" s="732">
        <f t="shared" si="33"/>
        <v>31</v>
      </c>
      <c r="D116" s="35">
        <f t="shared" si="34"/>
        <v>8</v>
      </c>
      <c r="E116" s="889">
        <f t="shared" si="53"/>
        <v>63432</v>
      </c>
      <c r="F116" s="822">
        <f t="shared" si="35"/>
        <v>8</v>
      </c>
      <c r="G116" s="500">
        <f t="shared" si="48"/>
        <v>153</v>
      </c>
      <c r="H116" s="126">
        <f t="shared" si="36"/>
        <v>0</v>
      </c>
      <c r="I116" s="1098">
        <f t="shared" si="54"/>
        <v>1</v>
      </c>
      <c r="J116" s="887">
        <f t="shared" si="49"/>
        <v>97</v>
      </c>
      <c r="K116" s="1099">
        <f t="shared" si="43"/>
        <v>97</v>
      </c>
      <c r="L116" s="891" t="str">
        <f t="shared" si="44"/>
        <v>August</v>
      </c>
      <c r="M116" s="888">
        <f t="shared" si="50"/>
        <v>2073</v>
      </c>
      <c r="N116" s="883">
        <f t="shared" si="45"/>
        <v>0</v>
      </c>
      <c r="O116" s="883">
        <f t="shared" si="51"/>
        <v>0</v>
      </c>
      <c r="P116" s="1100"/>
      <c r="Q116" s="883">
        <f t="shared" si="37"/>
        <v>0</v>
      </c>
      <c r="R116" s="884">
        <f t="shared" si="52"/>
        <v>0</v>
      </c>
      <c r="S116" s="884">
        <f>IF(AND($AS$39="Early Payoff",J116&gt;=$S$13),0,IF($J116&lt;=$S$6,SUM($Q$20:$Q116),0))</f>
        <v>0</v>
      </c>
      <c r="T116" s="884">
        <f>IF(AND($AS$39="Early Payoff",J116&gt;=$S$13),0,IF($J116&lt;=$S$6,SUM($R$20:$R116),0))</f>
        <v>0</v>
      </c>
      <c r="U116" s="885">
        <f t="shared" si="38"/>
        <v>0</v>
      </c>
      <c r="V116" s="1110">
        <f t="shared" si="46"/>
        <v>0</v>
      </c>
      <c r="X116" s="1102">
        <f t="shared" si="39"/>
        <v>0</v>
      </c>
      <c r="Y116" s="873">
        <f t="shared" si="40"/>
        <v>0</v>
      </c>
      <c r="Z116" s="873">
        <f t="shared" si="41"/>
        <v>0</v>
      </c>
      <c r="AA116" s="885">
        <f t="shared" si="42"/>
        <v>0</v>
      </c>
    </row>
    <row r="117" spans="2:27" s="278" customFormat="1" ht="12" customHeight="1" x14ac:dyDescent="0.25">
      <c r="B117" s="1192" t="e">
        <f t="shared" si="47"/>
        <v>#N/A</v>
      </c>
      <c r="C117" s="732">
        <f t="shared" si="33"/>
        <v>31</v>
      </c>
      <c r="D117" s="35">
        <f t="shared" si="34"/>
        <v>3</v>
      </c>
      <c r="E117" s="889">
        <f t="shared" si="53"/>
        <v>63644</v>
      </c>
      <c r="F117" s="822">
        <f t="shared" si="35"/>
        <v>3</v>
      </c>
      <c r="G117" s="500">
        <f t="shared" si="48"/>
        <v>212</v>
      </c>
      <c r="H117" s="126">
        <f t="shared" si="36"/>
        <v>0</v>
      </c>
      <c r="I117" s="1098">
        <f t="shared" si="54"/>
        <v>0</v>
      </c>
      <c r="J117" s="887">
        <f t="shared" si="49"/>
        <v>98</v>
      </c>
      <c r="K117" s="1099">
        <f t="shared" si="43"/>
        <v>98</v>
      </c>
      <c r="L117" s="891" t="str">
        <f t="shared" si="44"/>
        <v>March</v>
      </c>
      <c r="M117" s="888">
        <f t="shared" si="50"/>
        <v>2074</v>
      </c>
      <c r="N117" s="883">
        <f t="shared" si="45"/>
        <v>0</v>
      </c>
      <c r="O117" s="883">
        <f t="shared" si="51"/>
        <v>0</v>
      </c>
      <c r="P117" s="1100"/>
      <c r="Q117" s="883">
        <f t="shared" si="37"/>
        <v>0</v>
      </c>
      <c r="R117" s="884">
        <f t="shared" si="52"/>
        <v>0</v>
      </c>
      <c r="S117" s="884">
        <f>IF(AND($AS$39="Early Payoff",J117&gt;=$S$13),0,IF($J117&lt;=$S$6,SUM($Q$20:$Q117),0))</f>
        <v>0</v>
      </c>
      <c r="T117" s="884">
        <f>IF(AND($AS$39="Early Payoff",J117&gt;=$S$13),0,IF($J117&lt;=$S$6,SUM($R$20:$R117),0))</f>
        <v>0</v>
      </c>
      <c r="U117" s="885">
        <f t="shared" si="38"/>
        <v>0</v>
      </c>
      <c r="V117" s="1110">
        <f t="shared" si="46"/>
        <v>0</v>
      </c>
      <c r="X117" s="1102">
        <f t="shared" si="39"/>
        <v>0</v>
      </c>
      <c r="Y117" s="873">
        <f t="shared" si="40"/>
        <v>0</v>
      </c>
      <c r="Z117" s="873">
        <f t="shared" si="41"/>
        <v>0</v>
      </c>
      <c r="AA117" s="885">
        <f t="shared" si="42"/>
        <v>0</v>
      </c>
    </row>
    <row r="118" spans="2:27" s="278" customFormat="1" ht="12" customHeight="1" x14ac:dyDescent="0.25">
      <c r="B118" s="1192" t="e">
        <f t="shared" si="47"/>
        <v>#N/A</v>
      </c>
      <c r="C118" s="732">
        <f t="shared" si="33"/>
        <v>31</v>
      </c>
      <c r="D118" s="35">
        <f t="shared" si="34"/>
        <v>8</v>
      </c>
      <c r="E118" s="889">
        <f t="shared" si="53"/>
        <v>63797</v>
      </c>
      <c r="F118" s="822">
        <f t="shared" si="35"/>
        <v>8</v>
      </c>
      <c r="G118" s="500">
        <f t="shared" si="48"/>
        <v>153</v>
      </c>
      <c r="H118" s="126">
        <f t="shared" si="36"/>
        <v>0</v>
      </c>
      <c r="I118" s="1098">
        <f t="shared" si="54"/>
        <v>1</v>
      </c>
      <c r="J118" s="887">
        <f t="shared" si="49"/>
        <v>99</v>
      </c>
      <c r="K118" s="1099">
        <f t="shared" si="43"/>
        <v>99</v>
      </c>
      <c r="L118" s="891" t="str">
        <f t="shared" si="44"/>
        <v>August</v>
      </c>
      <c r="M118" s="888">
        <f t="shared" si="50"/>
        <v>2074</v>
      </c>
      <c r="N118" s="883">
        <f t="shared" si="45"/>
        <v>0</v>
      </c>
      <c r="O118" s="883">
        <f t="shared" si="51"/>
        <v>0</v>
      </c>
      <c r="P118" s="1100"/>
      <c r="Q118" s="883">
        <f t="shared" si="37"/>
        <v>0</v>
      </c>
      <c r="R118" s="884">
        <f t="shared" si="52"/>
        <v>0</v>
      </c>
      <c r="S118" s="884">
        <f>IF(AND($AS$39="Early Payoff",J118&gt;=$S$13),0,IF($J118&lt;=$S$6,SUM($Q$20:$Q118),0))</f>
        <v>0</v>
      </c>
      <c r="T118" s="884">
        <f>IF(AND($AS$39="Early Payoff",J118&gt;=$S$13),0,IF($J118&lt;=$S$6,SUM($R$20:$R118),0))</f>
        <v>0</v>
      </c>
      <c r="U118" s="885">
        <f t="shared" si="38"/>
        <v>0</v>
      </c>
      <c r="V118" s="1110">
        <f t="shared" si="46"/>
        <v>0</v>
      </c>
      <c r="X118" s="1102">
        <f t="shared" si="39"/>
        <v>0</v>
      </c>
      <c r="Y118" s="873">
        <f t="shared" si="40"/>
        <v>0</v>
      </c>
      <c r="Z118" s="873">
        <f t="shared" si="41"/>
        <v>0</v>
      </c>
      <c r="AA118" s="885">
        <f t="shared" si="42"/>
        <v>0</v>
      </c>
    </row>
    <row r="119" spans="2:27" s="278" customFormat="1" ht="12" customHeight="1" x14ac:dyDescent="0.25">
      <c r="B119" s="1192" t="e">
        <f t="shared" si="47"/>
        <v>#N/A</v>
      </c>
      <c r="C119" s="732">
        <f t="shared" si="33"/>
        <v>31</v>
      </c>
      <c r="D119" s="35">
        <f t="shared" si="34"/>
        <v>3</v>
      </c>
      <c r="E119" s="889">
        <f t="shared" si="53"/>
        <v>64009</v>
      </c>
      <c r="F119" s="822">
        <f t="shared" si="35"/>
        <v>3</v>
      </c>
      <c r="G119" s="500">
        <f t="shared" si="48"/>
        <v>212</v>
      </c>
      <c r="H119" s="126">
        <f t="shared" si="36"/>
        <v>0</v>
      </c>
      <c r="I119" s="1098">
        <f t="shared" si="54"/>
        <v>0</v>
      </c>
      <c r="J119" s="887">
        <f t="shared" si="49"/>
        <v>100</v>
      </c>
      <c r="K119" s="1099">
        <f t="shared" si="43"/>
        <v>100</v>
      </c>
      <c r="L119" s="891" t="str">
        <f t="shared" si="44"/>
        <v>March</v>
      </c>
      <c r="M119" s="888">
        <f t="shared" si="50"/>
        <v>2075</v>
      </c>
      <c r="N119" s="883">
        <f t="shared" si="45"/>
        <v>0</v>
      </c>
      <c r="O119" s="883">
        <f t="shared" si="51"/>
        <v>0</v>
      </c>
      <c r="P119" s="1100"/>
      <c r="Q119" s="883">
        <f t="shared" si="37"/>
        <v>0</v>
      </c>
      <c r="R119" s="884">
        <f t="shared" si="52"/>
        <v>0</v>
      </c>
      <c r="S119" s="884">
        <f>IF(AND($AS$39="Early Payoff",J119&gt;=$S$13),0,IF($J119&lt;=$S$6,SUM($Q$20:$Q119),0))</f>
        <v>0</v>
      </c>
      <c r="T119" s="884">
        <f>IF(AND($AS$39="Early Payoff",J119&gt;=$S$13),0,IF($J119&lt;=$S$6,SUM($R$20:$R119),0))</f>
        <v>0</v>
      </c>
      <c r="U119" s="885">
        <f t="shared" si="38"/>
        <v>0</v>
      </c>
      <c r="V119" s="1110">
        <f t="shared" si="46"/>
        <v>0</v>
      </c>
      <c r="X119" s="1102">
        <f t="shared" si="39"/>
        <v>0</v>
      </c>
      <c r="Y119" s="873">
        <f t="shared" si="40"/>
        <v>0</v>
      </c>
      <c r="Z119" s="873">
        <f t="shared" si="41"/>
        <v>0</v>
      </c>
      <c r="AA119" s="885">
        <f t="shared" si="42"/>
        <v>0</v>
      </c>
    </row>
    <row r="120" spans="2:27" s="278" customFormat="1" ht="12" customHeight="1" x14ac:dyDescent="0.25">
      <c r="B120" s="1192" t="e">
        <f t="shared" si="47"/>
        <v>#N/A</v>
      </c>
      <c r="C120" s="732">
        <f t="shared" si="33"/>
        <v>31</v>
      </c>
      <c r="D120" s="35">
        <f t="shared" si="34"/>
        <v>8</v>
      </c>
      <c r="E120" s="889">
        <f t="shared" si="53"/>
        <v>64162</v>
      </c>
      <c r="F120" s="822">
        <f t="shared" si="35"/>
        <v>8</v>
      </c>
      <c r="G120" s="500">
        <f t="shared" si="48"/>
        <v>153</v>
      </c>
      <c r="H120" s="126">
        <f t="shared" si="36"/>
        <v>0</v>
      </c>
      <c r="I120" s="1098">
        <f t="shared" si="54"/>
        <v>1</v>
      </c>
      <c r="J120" s="887">
        <f t="shared" si="49"/>
        <v>101</v>
      </c>
      <c r="K120" s="1099">
        <f t="shared" si="43"/>
        <v>101</v>
      </c>
      <c r="L120" s="891" t="str">
        <f t="shared" si="44"/>
        <v>August</v>
      </c>
      <c r="M120" s="888">
        <f t="shared" si="50"/>
        <v>2075</v>
      </c>
      <c r="N120" s="883">
        <f t="shared" si="45"/>
        <v>0</v>
      </c>
      <c r="O120" s="883">
        <f t="shared" si="51"/>
        <v>0</v>
      </c>
      <c r="P120" s="1100"/>
      <c r="Q120" s="883">
        <f t="shared" si="37"/>
        <v>0</v>
      </c>
      <c r="R120" s="884">
        <f t="shared" si="52"/>
        <v>0</v>
      </c>
      <c r="S120" s="884">
        <f>IF(AND($AS$39="Early Payoff",J120&gt;=$S$13),0,IF($J120&lt;=$S$6,SUM($Q$20:$Q120),0))</f>
        <v>0</v>
      </c>
      <c r="T120" s="884">
        <f>IF(AND($AS$39="Early Payoff",J120&gt;=$S$13),0,IF($J120&lt;=$S$6,SUM($R$20:$R120),0))</f>
        <v>0</v>
      </c>
      <c r="U120" s="885">
        <f t="shared" si="38"/>
        <v>0</v>
      </c>
      <c r="V120" s="1110">
        <f t="shared" si="46"/>
        <v>0</v>
      </c>
      <c r="X120" s="1102">
        <f t="shared" si="39"/>
        <v>0</v>
      </c>
      <c r="Y120" s="873">
        <f t="shared" si="40"/>
        <v>0</v>
      </c>
      <c r="Z120" s="873">
        <f t="shared" si="41"/>
        <v>0</v>
      </c>
      <c r="AA120" s="885">
        <f t="shared" si="42"/>
        <v>0</v>
      </c>
    </row>
    <row r="121" spans="2:27" s="278" customFormat="1" ht="12" customHeight="1" x14ac:dyDescent="0.25">
      <c r="B121" s="1192" t="e">
        <f t="shared" si="47"/>
        <v>#N/A</v>
      </c>
      <c r="C121" s="732">
        <f t="shared" si="33"/>
        <v>31</v>
      </c>
      <c r="D121" s="35">
        <f t="shared" si="34"/>
        <v>3</v>
      </c>
      <c r="E121" s="889">
        <f t="shared" si="53"/>
        <v>64375</v>
      </c>
      <c r="F121" s="822">
        <f t="shared" si="35"/>
        <v>3</v>
      </c>
      <c r="G121" s="500">
        <f t="shared" si="48"/>
        <v>213</v>
      </c>
      <c r="H121" s="126">
        <f t="shared" si="36"/>
        <v>0</v>
      </c>
      <c r="I121" s="1098">
        <f t="shared" si="54"/>
        <v>0</v>
      </c>
      <c r="J121" s="887">
        <f t="shared" si="49"/>
        <v>102</v>
      </c>
      <c r="K121" s="1099">
        <f t="shared" si="43"/>
        <v>102</v>
      </c>
      <c r="L121" s="891" t="str">
        <f t="shared" si="44"/>
        <v>March</v>
      </c>
      <c r="M121" s="888">
        <f t="shared" si="50"/>
        <v>2076</v>
      </c>
      <c r="N121" s="883">
        <f t="shared" si="45"/>
        <v>0</v>
      </c>
      <c r="O121" s="883">
        <f t="shared" si="51"/>
        <v>0</v>
      </c>
      <c r="P121" s="1100"/>
      <c r="Q121" s="883">
        <f t="shared" si="37"/>
        <v>0</v>
      </c>
      <c r="R121" s="884">
        <f t="shared" si="52"/>
        <v>0</v>
      </c>
      <c r="S121" s="884">
        <f>IF(AND($AS$39="Early Payoff",J121&gt;=$S$13),0,IF($J121&lt;=$S$6,SUM($Q$20:$Q121),0))</f>
        <v>0</v>
      </c>
      <c r="T121" s="884">
        <f>IF(AND($AS$39="Early Payoff",J121&gt;=$S$13),0,IF($J121&lt;=$S$6,SUM($R$20:$R121),0))</f>
        <v>0</v>
      </c>
      <c r="U121" s="885">
        <f t="shared" si="38"/>
        <v>0</v>
      </c>
      <c r="V121" s="1110">
        <f t="shared" si="46"/>
        <v>0</v>
      </c>
      <c r="X121" s="1102">
        <f t="shared" si="39"/>
        <v>0</v>
      </c>
      <c r="Y121" s="873">
        <f t="shared" si="40"/>
        <v>0</v>
      </c>
      <c r="Z121" s="873">
        <f t="shared" si="41"/>
        <v>0</v>
      </c>
      <c r="AA121" s="885">
        <f t="shared" si="42"/>
        <v>0</v>
      </c>
    </row>
    <row r="122" spans="2:27" s="278" customFormat="1" ht="12" customHeight="1" x14ac:dyDescent="0.25">
      <c r="B122" s="1192" t="e">
        <f t="shared" si="47"/>
        <v>#N/A</v>
      </c>
      <c r="C122" s="732">
        <f t="shared" si="33"/>
        <v>31</v>
      </c>
      <c r="D122" s="35">
        <f t="shared" si="34"/>
        <v>8</v>
      </c>
      <c r="E122" s="889">
        <f t="shared" si="53"/>
        <v>64528</v>
      </c>
      <c r="F122" s="822">
        <f t="shared" si="35"/>
        <v>8</v>
      </c>
      <c r="G122" s="500">
        <f t="shared" si="48"/>
        <v>153</v>
      </c>
      <c r="H122" s="126">
        <f t="shared" si="36"/>
        <v>0</v>
      </c>
      <c r="I122" s="1098">
        <f t="shared" si="54"/>
        <v>1</v>
      </c>
      <c r="J122" s="887">
        <f t="shared" si="49"/>
        <v>103</v>
      </c>
      <c r="K122" s="1099">
        <f t="shared" si="43"/>
        <v>103</v>
      </c>
      <c r="L122" s="891" t="str">
        <f t="shared" si="44"/>
        <v>August</v>
      </c>
      <c r="M122" s="888">
        <f t="shared" si="50"/>
        <v>2076</v>
      </c>
      <c r="N122" s="883">
        <f t="shared" si="45"/>
        <v>0</v>
      </c>
      <c r="O122" s="883">
        <f t="shared" si="51"/>
        <v>0</v>
      </c>
      <c r="P122" s="1100"/>
      <c r="Q122" s="883">
        <f t="shared" si="37"/>
        <v>0</v>
      </c>
      <c r="R122" s="884">
        <f t="shared" si="52"/>
        <v>0</v>
      </c>
      <c r="S122" s="884">
        <f>IF(AND($AS$39="Early Payoff",J122&gt;=$S$13),0,IF($J122&lt;=$S$6,SUM($Q$20:$Q122),0))</f>
        <v>0</v>
      </c>
      <c r="T122" s="884">
        <f>IF(AND($AS$39="Early Payoff",J122&gt;=$S$13),0,IF($J122&lt;=$S$6,SUM($R$20:$R122),0))</f>
        <v>0</v>
      </c>
      <c r="U122" s="885">
        <f t="shared" si="38"/>
        <v>0</v>
      </c>
      <c r="V122" s="1110">
        <f t="shared" si="46"/>
        <v>0</v>
      </c>
      <c r="X122" s="1102">
        <f t="shared" si="39"/>
        <v>0</v>
      </c>
      <c r="Y122" s="873">
        <f t="shared" si="40"/>
        <v>0</v>
      </c>
      <c r="Z122" s="873">
        <f t="shared" si="41"/>
        <v>0</v>
      </c>
      <c r="AA122" s="885">
        <f t="shared" si="42"/>
        <v>0</v>
      </c>
    </row>
    <row r="123" spans="2:27" s="278" customFormat="1" ht="12" customHeight="1" x14ac:dyDescent="0.25">
      <c r="B123" s="1192" t="e">
        <f t="shared" si="47"/>
        <v>#N/A</v>
      </c>
      <c r="C123" s="732">
        <f t="shared" si="33"/>
        <v>31</v>
      </c>
      <c r="D123" s="35">
        <f t="shared" si="34"/>
        <v>3</v>
      </c>
      <c r="E123" s="889">
        <f t="shared" si="53"/>
        <v>64740</v>
      </c>
      <c r="F123" s="822">
        <f t="shared" si="35"/>
        <v>3</v>
      </c>
      <c r="G123" s="500">
        <f t="shared" si="48"/>
        <v>212</v>
      </c>
      <c r="H123" s="126">
        <f t="shared" si="36"/>
        <v>0</v>
      </c>
      <c r="I123" s="1098">
        <f t="shared" si="54"/>
        <v>0</v>
      </c>
      <c r="J123" s="887">
        <f t="shared" si="49"/>
        <v>104</v>
      </c>
      <c r="K123" s="1099">
        <f t="shared" si="43"/>
        <v>104</v>
      </c>
      <c r="L123" s="891" t="str">
        <f t="shared" si="44"/>
        <v>March</v>
      </c>
      <c r="M123" s="888">
        <f t="shared" si="50"/>
        <v>2077</v>
      </c>
      <c r="N123" s="883">
        <f t="shared" si="45"/>
        <v>0</v>
      </c>
      <c r="O123" s="883">
        <f t="shared" si="51"/>
        <v>0</v>
      </c>
      <c r="P123" s="1100"/>
      <c r="Q123" s="883">
        <f t="shared" si="37"/>
        <v>0</v>
      </c>
      <c r="R123" s="884">
        <f t="shared" si="52"/>
        <v>0</v>
      </c>
      <c r="S123" s="884">
        <f>IF(AND($AS$39="Early Payoff",J123&gt;=$S$13),0,IF($J123&lt;=$S$6,SUM($Q$20:$Q123),0))</f>
        <v>0</v>
      </c>
      <c r="T123" s="884">
        <f>IF(AND($AS$39="Early Payoff",J123&gt;=$S$13),0,IF($J123&lt;=$S$6,SUM($R$20:$R123),0))</f>
        <v>0</v>
      </c>
      <c r="U123" s="885">
        <f t="shared" si="38"/>
        <v>0</v>
      </c>
      <c r="V123" s="1110">
        <f t="shared" si="46"/>
        <v>0</v>
      </c>
      <c r="X123" s="1102">
        <f t="shared" si="39"/>
        <v>0</v>
      </c>
      <c r="Y123" s="873">
        <f t="shared" si="40"/>
        <v>0</v>
      </c>
      <c r="Z123" s="873">
        <f t="shared" si="41"/>
        <v>0</v>
      </c>
      <c r="AA123" s="885">
        <f t="shared" si="42"/>
        <v>0</v>
      </c>
    </row>
    <row r="124" spans="2:27" s="278" customFormat="1" ht="12" customHeight="1" x14ac:dyDescent="0.25">
      <c r="B124" s="1192" t="e">
        <f t="shared" si="47"/>
        <v>#N/A</v>
      </c>
      <c r="C124" s="732">
        <f t="shared" si="33"/>
        <v>31</v>
      </c>
      <c r="D124" s="35">
        <f t="shared" si="34"/>
        <v>8</v>
      </c>
      <c r="E124" s="889">
        <f t="shared" si="53"/>
        <v>64893</v>
      </c>
      <c r="F124" s="822">
        <f t="shared" si="35"/>
        <v>8</v>
      </c>
      <c r="G124" s="500">
        <f t="shared" si="48"/>
        <v>153</v>
      </c>
      <c r="H124" s="126">
        <f t="shared" si="36"/>
        <v>0</v>
      </c>
      <c r="I124" s="1098">
        <f t="shared" si="54"/>
        <v>1</v>
      </c>
      <c r="J124" s="887">
        <f t="shared" si="49"/>
        <v>105</v>
      </c>
      <c r="K124" s="1099">
        <f t="shared" si="43"/>
        <v>105</v>
      </c>
      <c r="L124" s="891" t="str">
        <f t="shared" si="44"/>
        <v>August</v>
      </c>
      <c r="M124" s="888">
        <f t="shared" si="50"/>
        <v>2077</v>
      </c>
      <c r="N124" s="883">
        <f t="shared" si="45"/>
        <v>0</v>
      </c>
      <c r="O124" s="883">
        <f t="shared" si="51"/>
        <v>0</v>
      </c>
      <c r="P124" s="1100"/>
      <c r="Q124" s="883">
        <f t="shared" si="37"/>
        <v>0</v>
      </c>
      <c r="R124" s="884">
        <f t="shared" si="52"/>
        <v>0</v>
      </c>
      <c r="S124" s="884">
        <f>IF(AND($AS$39="Early Payoff",J124&gt;=$S$13),0,IF($J124&lt;=$S$6,SUM($Q$20:$Q124),0))</f>
        <v>0</v>
      </c>
      <c r="T124" s="884">
        <f>IF(AND($AS$39="Early Payoff",J124&gt;=$S$13),0,IF($J124&lt;=$S$6,SUM($R$20:$R124),0))</f>
        <v>0</v>
      </c>
      <c r="U124" s="885">
        <f t="shared" si="38"/>
        <v>0</v>
      </c>
      <c r="V124" s="1110">
        <f t="shared" si="46"/>
        <v>0</v>
      </c>
      <c r="X124" s="1102">
        <f t="shared" si="39"/>
        <v>0</v>
      </c>
      <c r="Y124" s="873">
        <f t="shared" si="40"/>
        <v>0</v>
      </c>
      <c r="Z124" s="873">
        <f t="shared" si="41"/>
        <v>0</v>
      </c>
      <c r="AA124" s="885">
        <f t="shared" si="42"/>
        <v>0</v>
      </c>
    </row>
    <row r="125" spans="2:27" s="278" customFormat="1" ht="12" customHeight="1" x14ac:dyDescent="0.25">
      <c r="B125" s="1192" t="e">
        <f t="shared" si="47"/>
        <v>#N/A</v>
      </c>
      <c r="C125" s="732">
        <f t="shared" si="33"/>
        <v>31</v>
      </c>
      <c r="D125" s="35">
        <f t="shared" si="34"/>
        <v>3</v>
      </c>
      <c r="E125" s="889">
        <f t="shared" si="53"/>
        <v>65105</v>
      </c>
      <c r="F125" s="822">
        <f t="shared" si="35"/>
        <v>3</v>
      </c>
      <c r="G125" s="500">
        <f t="shared" si="48"/>
        <v>212</v>
      </c>
      <c r="H125" s="126">
        <f t="shared" si="36"/>
        <v>0</v>
      </c>
      <c r="I125" s="1098">
        <f t="shared" si="54"/>
        <v>0</v>
      </c>
      <c r="J125" s="887">
        <f t="shared" si="49"/>
        <v>106</v>
      </c>
      <c r="K125" s="1099">
        <f t="shared" si="43"/>
        <v>106</v>
      </c>
      <c r="L125" s="891" t="str">
        <f t="shared" si="44"/>
        <v>March</v>
      </c>
      <c r="M125" s="888">
        <f t="shared" si="50"/>
        <v>2078</v>
      </c>
      <c r="N125" s="883">
        <f t="shared" si="45"/>
        <v>0</v>
      </c>
      <c r="O125" s="883">
        <f t="shared" si="51"/>
        <v>0</v>
      </c>
      <c r="P125" s="1100"/>
      <c r="Q125" s="883">
        <f t="shared" si="37"/>
        <v>0</v>
      </c>
      <c r="R125" s="884">
        <f t="shared" si="52"/>
        <v>0</v>
      </c>
      <c r="S125" s="884">
        <f>IF(AND($AS$39="Early Payoff",J125&gt;=$S$13),0,IF($J125&lt;=$S$6,SUM($Q$20:$Q125),0))</f>
        <v>0</v>
      </c>
      <c r="T125" s="884">
        <f>IF(AND($AS$39="Early Payoff",J125&gt;=$S$13),0,IF($J125&lt;=$S$6,SUM($R$20:$R125),0))</f>
        <v>0</v>
      </c>
      <c r="U125" s="885">
        <f t="shared" si="38"/>
        <v>0</v>
      </c>
      <c r="V125" s="1110">
        <f t="shared" si="46"/>
        <v>0</v>
      </c>
      <c r="X125" s="1102">
        <f t="shared" si="39"/>
        <v>0</v>
      </c>
      <c r="Y125" s="873">
        <f t="shared" si="40"/>
        <v>0</v>
      </c>
      <c r="Z125" s="873">
        <f t="shared" si="41"/>
        <v>0</v>
      </c>
      <c r="AA125" s="885">
        <f t="shared" si="42"/>
        <v>0</v>
      </c>
    </row>
    <row r="126" spans="2:27" s="278" customFormat="1" ht="12" customHeight="1" x14ac:dyDescent="0.25">
      <c r="B126" s="1192" t="e">
        <f t="shared" si="47"/>
        <v>#N/A</v>
      </c>
      <c r="C126" s="732">
        <f t="shared" si="33"/>
        <v>31</v>
      </c>
      <c r="D126" s="35">
        <f t="shared" si="34"/>
        <v>8</v>
      </c>
      <c r="E126" s="889">
        <f t="shared" si="53"/>
        <v>65258</v>
      </c>
      <c r="F126" s="822">
        <f t="shared" si="35"/>
        <v>8</v>
      </c>
      <c r="G126" s="500">
        <f t="shared" si="48"/>
        <v>153</v>
      </c>
      <c r="H126" s="126">
        <f t="shared" si="36"/>
        <v>0</v>
      </c>
      <c r="I126" s="1098">
        <f t="shared" si="54"/>
        <v>1</v>
      </c>
      <c r="J126" s="887">
        <f t="shared" si="49"/>
        <v>107</v>
      </c>
      <c r="K126" s="1099">
        <f t="shared" si="43"/>
        <v>107</v>
      </c>
      <c r="L126" s="891" t="str">
        <f t="shared" si="44"/>
        <v>August</v>
      </c>
      <c r="M126" s="888">
        <f t="shared" si="50"/>
        <v>2078</v>
      </c>
      <c r="N126" s="883">
        <f t="shared" si="45"/>
        <v>0</v>
      </c>
      <c r="O126" s="883">
        <f t="shared" si="51"/>
        <v>0</v>
      </c>
      <c r="P126" s="1100"/>
      <c r="Q126" s="883">
        <f t="shared" si="37"/>
        <v>0</v>
      </c>
      <c r="R126" s="884">
        <f t="shared" si="52"/>
        <v>0</v>
      </c>
      <c r="S126" s="884">
        <f>IF(AND($AS$39="Early Payoff",J126&gt;=$S$13),0,IF($J126&lt;=$S$6,SUM($Q$20:$Q126),0))</f>
        <v>0</v>
      </c>
      <c r="T126" s="884">
        <f>IF(AND($AS$39="Early Payoff",J126&gt;=$S$13),0,IF($J126&lt;=$S$6,SUM($R$20:$R126),0))</f>
        <v>0</v>
      </c>
      <c r="U126" s="885">
        <f t="shared" si="38"/>
        <v>0</v>
      </c>
      <c r="V126" s="1110">
        <f t="shared" si="46"/>
        <v>0</v>
      </c>
      <c r="X126" s="1102">
        <f t="shared" si="39"/>
        <v>0</v>
      </c>
      <c r="Y126" s="873">
        <f t="shared" si="40"/>
        <v>0</v>
      </c>
      <c r="Z126" s="873">
        <f t="shared" si="41"/>
        <v>0</v>
      </c>
      <c r="AA126" s="885">
        <f t="shared" si="42"/>
        <v>0</v>
      </c>
    </row>
    <row r="127" spans="2:27" s="278" customFormat="1" ht="12" customHeight="1" x14ac:dyDescent="0.25">
      <c r="B127" s="1192" t="e">
        <f t="shared" si="47"/>
        <v>#N/A</v>
      </c>
      <c r="C127" s="732">
        <f t="shared" si="33"/>
        <v>31</v>
      </c>
      <c r="D127" s="35">
        <f t="shared" si="34"/>
        <v>3</v>
      </c>
      <c r="E127" s="889">
        <f t="shared" si="53"/>
        <v>65470</v>
      </c>
      <c r="F127" s="822">
        <f t="shared" si="35"/>
        <v>3</v>
      </c>
      <c r="G127" s="500">
        <f t="shared" si="48"/>
        <v>212</v>
      </c>
      <c r="H127" s="126">
        <f t="shared" si="36"/>
        <v>0</v>
      </c>
      <c r="I127" s="1098">
        <f t="shared" si="54"/>
        <v>0</v>
      </c>
      <c r="J127" s="887">
        <f t="shared" si="49"/>
        <v>108</v>
      </c>
      <c r="K127" s="1099">
        <f t="shared" si="43"/>
        <v>108</v>
      </c>
      <c r="L127" s="891" t="str">
        <f t="shared" si="44"/>
        <v>March</v>
      </c>
      <c r="M127" s="888">
        <f t="shared" si="50"/>
        <v>2079</v>
      </c>
      <c r="N127" s="883">
        <f t="shared" si="45"/>
        <v>0</v>
      </c>
      <c r="O127" s="883">
        <f t="shared" si="51"/>
        <v>0</v>
      </c>
      <c r="P127" s="1100"/>
      <c r="Q127" s="883">
        <f t="shared" si="37"/>
        <v>0</v>
      </c>
      <c r="R127" s="884">
        <f t="shared" si="52"/>
        <v>0</v>
      </c>
      <c r="S127" s="884">
        <f>IF(AND($AS$39="Early Payoff",J127&gt;=$S$13),0,IF($J127&lt;=$S$6,SUM($Q$20:$Q127),0))</f>
        <v>0</v>
      </c>
      <c r="T127" s="884">
        <f>IF(AND($AS$39="Early Payoff",J127&gt;=$S$13),0,IF($J127&lt;=$S$6,SUM($R$20:$R127),0))</f>
        <v>0</v>
      </c>
      <c r="U127" s="885">
        <f t="shared" si="38"/>
        <v>0</v>
      </c>
      <c r="V127" s="1110">
        <f t="shared" si="46"/>
        <v>0</v>
      </c>
      <c r="X127" s="1102">
        <f t="shared" si="39"/>
        <v>0</v>
      </c>
      <c r="Y127" s="873">
        <f t="shared" si="40"/>
        <v>0</v>
      </c>
      <c r="Z127" s="873">
        <f t="shared" si="41"/>
        <v>0</v>
      </c>
      <c r="AA127" s="885">
        <f t="shared" si="42"/>
        <v>0</v>
      </c>
    </row>
    <row r="128" spans="2:27" s="278" customFormat="1" ht="12" customHeight="1" x14ac:dyDescent="0.25">
      <c r="B128" s="1192" t="e">
        <f t="shared" si="47"/>
        <v>#N/A</v>
      </c>
      <c r="C128" s="732">
        <f t="shared" si="33"/>
        <v>31</v>
      </c>
      <c r="D128" s="35">
        <f t="shared" si="34"/>
        <v>8</v>
      </c>
      <c r="E128" s="889">
        <f t="shared" si="53"/>
        <v>65623</v>
      </c>
      <c r="F128" s="822">
        <f t="shared" si="35"/>
        <v>8</v>
      </c>
      <c r="G128" s="500">
        <f t="shared" si="48"/>
        <v>153</v>
      </c>
      <c r="H128" s="126">
        <f t="shared" si="36"/>
        <v>0</v>
      </c>
      <c r="I128" s="1098">
        <f t="shared" si="54"/>
        <v>1</v>
      </c>
      <c r="J128" s="887">
        <f t="shared" si="49"/>
        <v>109</v>
      </c>
      <c r="K128" s="1099">
        <f t="shared" si="43"/>
        <v>109</v>
      </c>
      <c r="L128" s="891" t="str">
        <f t="shared" si="44"/>
        <v>August</v>
      </c>
      <c r="M128" s="888">
        <f t="shared" si="50"/>
        <v>2079</v>
      </c>
      <c r="N128" s="883">
        <f t="shared" si="45"/>
        <v>0</v>
      </c>
      <c r="O128" s="883">
        <f t="shared" si="51"/>
        <v>0</v>
      </c>
      <c r="P128" s="1100"/>
      <c r="Q128" s="883">
        <f t="shared" si="37"/>
        <v>0</v>
      </c>
      <c r="R128" s="884">
        <f t="shared" si="52"/>
        <v>0</v>
      </c>
      <c r="S128" s="884">
        <f>IF(AND($AS$39="Early Payoff",J128&gt;=$S$13),0,IF($J128&lt;=$S$6,SUM($Q$20:$Q128),0))</f>
        <v>0</v>
      </c>
      <c r="T128" s="884">
        <f>IF(AND($AS$39="Early Payoff",J128&gt;=$S$13),0,IF($J128&lt;=$S$6,SUM($R$20:$R128),0))</f>
        <v>0</v>
      </c>
      <c r="U128" s="885">
        <f t="shared" si="38"/>
        <v>0</v>
      </c>
      <c r="V128" s="1110">
        <f t="shared" si="46"/>
        <v>0</v>
      </c>
      <c r="X128" s="1102">
        <f t="shared" si="39"/>
        <v>0</v>
      </c>
      <c r="Y128" s="873">
        <f t="shared" si="40"/>
        <v>0</v>
      </c>
      <c r="Z128" s="873">
        <f t="shared" si="41"/>
        <v>0</v>
      </c>
      <c r="AA128" s="885">
        <f t="shared" si="42"/>
        <v>0</v>
      </c>
    </row>
    <row r="129" spans="2:27" s="278" customFormat="1" ht="12" customHeight="1" x14ac:dyDescent="0.25">
      <c r="B129" s="1192" t="e">
        <f t="shared" si="47"/>
        <v>#N/A</v>
      </c>
      <c r="C129" s="732">
        <f t="shared" si="33"/>
        <v>31</v>
      </c>
      <c r="D129" s="35">
        <f t="shared" si="34"/>
        <v>3</v>
      </c>
      <c r="E129" s="889">
        <f t="shared" si="53"/>
        <v>65836</v>
      </c>
      <c r="F129" s="822">
        <f t="shared" si="35"/>
        <v>3</v>
      </c>
      <c r="G129" s="500">
        <f t="shared" si="48"/>
        <v>213</v>
      </c>
      <c r="H129" s="126">
        <f t="shared" si="36"/>
        <v>0</v>
      </c>
      <c r="I129" s="1098">
        <f t="shared" si="54"/>
        <v>0</v>
      </c>
      <c r="J129" s="887">
        <f t="shared" si="49"/>
        <v>110</v>
      </c>
      <c r="K129" s="1099">
        <f t="shared" si="43"/>
        <v>110</v>
      </c>
      <c r="L129" s="891" t="str">
        <f t="shared" si="44"/>
        <v>March</v>
      </c>
      <c r="M129" s="888">
        <f t="shared" si="50"/>
        <v>2080</v>
      </c>
      <c r="N129" s="883">
        <f t="shared" si="45"/>
        <v>0</v>
      </c>
      <c r="O129" s="883">
        <f t="shared" si="51"/>
        <v>0</v>
      </c>
      <c r="P129" s="1100"/>
      <c r="Q129" s="883">
        <f t="shared" si="37"/>
        <v>0</v>
      </c>
      <c r="R129" s="884">
        <f t="shared" si="52"/>
        <v>0</v>
      </c>
      <c r="S129" s="884">
        <f>IF(AND($AS$39="Early Payoff",J129&gt;=$S$13),0,IF($J129&lt;=$S$6,SUM($Q$20:$Q129),0))</f>
        <v>0</v>
      </c>
      <c r="T129" s="884">
        <f>IF(AND($AS$39="Early Payoff",J129&gt;=$S$13),0,IF($J129&lt;=$S$6,SUM($R$20:$R129),0))</f>
        <v>0</v>
      </c>
      <c r="U129" s="885">
        <f t="shared" si="38"/>
        <v>0</v>
      </c>
      <c r="V129" s="1110">
        <f t="shared" si="46"/>
        <v>0</v>
      </c>
      <c r="X129" s="1102">
        <f t="shared" si="39"/>
        <v>0</v>
      </c>
      <c r="Y129" s="873">
        <f t="shared" si="40"/>
        <v>0</v>
      </c>
      <c r="Z129" s="873">
        <f t="shared" si="41"/>
        <v>0</v>
      </c>
      <c r="AA129" s="885">
        <f t="shared" si="42"/>
        <v>0</v>
      </c>
    </row>
    <row r="130" spans="2:27" s="278" customFormat="1" ht="12" customHeight="1" x14ac:dyDescent="0.25">
      <c r="B130" s="1192" t="e">
        <f t="shared" si="47"/>
        <v>#N/A</v>
      </c>
      <c r="C130" s="732">
        <f t="shared" si="33"/>
        <v>31</v>
      </c>
      <c r="D130" s="35">
        <f t="shared" si="34"/>
        <v>8</v>
      </c>
      <c r="E130" s="889">
        <f t="shared" si="53"/>
        <v>65989</v>
      </c>
      <c r="F130" s="822">
        <f t="shared" si="35"/>
        <v>8</v>
      </c>
      <c r="G130" s="500">
        <f t="shared" si="48"/>
        <v>153</v>
      </c>
      <c r="H130" s="126">
        <f t="shared" si="36"/>
        <v>0</v>
      </c>
      <c r="I130" s="1098">
        <f t="shared" si="54"/>
        <v>1</v>
      </c>
      <c r="J130" s="887">
        <f t="shared" si="49"/>
        <v>111</v>
      </c>
      <c r="K130" s="1099">
        <f t="shared" si="43"/>
        <v>111</v>
      </c>
      <c r="L130" s="891" t="str">
        <f t="shared" si="44"/>
        <v>August</v>
      </c>
      <c r="M130" s="888">
        <f t="shared" si="50"/>
        <v>2080</v>
      </c>
      <c r="N130" s="883">
        <f t="shared" si="45"/>
        <v>0</v>
      </c>
      <c r="O130" s="883">
        <f t="shared" si="51"/>
        <v>0</v>
      </c>
      <c r="P130" s="1100"/>
      <c r="Q130" s="883">
        <f t="shared" si="37"/>
        <v>0</v>
      </c>
      <c r="R130" s="884">
        <f t="shared" si="52"/>
        <v>0</v>
      </c>
      <c r="S130" s="884">
        <f>IF(AND($AS$39="Early Payoff",J130&gt;=$S$13),0,IF($J130&lt;=$S$6,SUM($Q$20:$Q130),0))</f>
        <v>0</v>
      </c>
      <c r="T130" s="884">
        <f>IF(AND($AS$39="Early Payoff",J130&gt;=$S$13),0,IF($J130&lt;=$S$6,SUM($R$20:$R130),0))</f>
        <v>0</v>
      </c>
      <c r="U130" s="885">
        <f t="shared" si="38"/>
        <v>0</v>
      </c>
      <c r="V130" s="1110">
        <f t="shared" si="46"/>
        <v>0</v>
      </c>
      <c r="X130" s="1102">
        <f t="shared" si="39"/>
        <v>0</v>
      </c>
      <c r="Y130" s="873">
        <f t="shared" si="40"/>
        <v>0</v>
      </c>
      <c r="Z130" s="873">
        <f t="shared" si="41"/>
        <v>0</v>
      </c>
      <c r="AA130" s="885">
        <f t="shared" si="42"/>
        <v>0</v>
      </c>
    </row>
    <row r="131" spans="2:27" s="278" customFormat="1" ht="12" customHeight="1" x14ac:dyDescent="0.25">
      <c r="B131" s="1192" t="e">
        <f t="shared" si="47"/>
        <v>#N/A</v>
      </c>
      <c r="C131" s="732">
        <f t="shared" si="33"/>
        <v>31</v>
      </c>
      <c r="D131" s="35">
        <f t="shared" si="34"/>
        <v>3</v>
      </c>
      <c r="E131" s="889">
        <f t="shared" si="53"/>
        <v>66201</v>
      </c>
      <c r="F131" s="822">
        <f t="shared" si="35"/>
        <v>3</v>
      </c>
      <c r="G131" s="500">
        <f t="shared" si="48"/>
        <v>212</v>
      </c>
      <c r="H131" s="126">
        <f t="shared" si="36"/>
        <v>0</v>
      </c>
      <c r="I131" s="1098">
        <f t="shared" si="54"/>
        <v>0</v>
      </c>
      <c r="J131" s="887">
        <f t="shared" si="49"/>
        <v>112</v>
      </c>
      <c r="K131" s="1099">
        <f t="shared" si="43"/>
        <v>112</v>
      </c>
      <c r="L131" s="891" t="str">
        <f t="shared" si="44"/>
        <v>March</v>
      </c>
      <c r="M131" s="888">
        <f t="shared" si="50"/>
        <v>2081</v>
      </c>
      <c r="N131" s="883">
        <f t="shared" si="45"/>
        <v>0</v>
      </c>
      <c r="O131" s="883">
        <f t="shared" si="51"/>
        <v>0</v>
      </c>
      <c r="P131" s="1100"/>
      <c r="Q131" s="883">
        <f t="shared" si="37"/>
        <v>0</v>
      </c>
      <c r="R131" s="884">
        <f t="shared" si="52"/>
        <v>0</v>
      </c>
      <c r="S131" s="884">
        <f>IF(AND($AS$39="Early Payoff",J131&gt;=$S$13),0,IF($J131&lt;=$S$6,SUM($Q$20:$Q131),0))</f>
        <v>0</v>
      </c>
      <c r="T131" s="884">
        <f>IF(AND($AS$39="Early Payoff",J131&gt;=$S$13),0,IF($J131&lt;=$S$6,SUM($R$20:$R131),0))</f>
        <v>0</v>
      </c>
      <c r="U131" s="885">
        <f t="shared" si="38"/>
        <v>0</v>
      </c>
      <c r="V131" s="1110">
        <f t="shared" si="46"/>
        <v>0</v>
      </c>
      <c r="X131" s="1102">
        <f t="shared" si="39"/>
        <v>0</v>
      </c>
      <c r="Y131" s="873">
        <f t="shared" si="40"/>
        <v>0</v>
      </c>
      <c r="Z131" s="873">
        <f t="shared" si="41"/>
        <v>0</v>
      </c>
      <c r="AA131" s="885">
        <f t="shared" si="42"/>
        <v>0</v>
      </c>
    </row>
    <row r="132" spans="2:27" s="278" customFormat="1" ht="12" customHeight="1" x14ac:dyDescent="0.25">
      <c r="B132" s="1192" t="e">
        <f t="shared" si="47"/>
        <v>#N/A</v>
      </c>
      <c r="C132" s="732">
        <f t="shared" si="33"/>
        <v>31</v>
      </c>
      <c r="D132" s="35">
        <f t="shared" si="34"/>
        <v>8</v>
      </c>
      <c r="E132" s="889">
        <f t="shared" si="53"/>
        <v>66354</v>
      </c>
      <c r="F132" s="822">
        <f t="shared" si="35"/>
        <v>8</v>
      </c>
      <c r="G132" s="500">
        <f t="shared" si="48"/>
        <v>153</v>
      </c>
      <c r="H132" s="126">
        <f t="shared" si="36"/>
        <v>0</v>
      </c>
      <c r="I132" s="1098">
        <f t="shared" si="54"/>
        <v>1</v>
      </c>
      <c r="J132" s="887">
        <f t="shared" si="49"/>
        <v>113</v>
      </c>
      <c r="K132" s="1099">
        <f t="shared" si="43"/>
        <v>113</v>
      </c>
      <c r="L132" s="891" t="str">
        <f t="shared" si="44"/>
        <v>August</v>
      </c>
      <c r="M132" s="888">
        <f t="shared" si="50"/>
        <v>2081</v>
      </c>
      <c r="N132" s="883">
        <f t="shared" si="45"/>
        <v>0</v>
      </c>
      <c r="O132" s="883">
        <f t="shared" si="51"/>
        <v>0</v>
      </c>
      <c r="P132" s="1100"/>
      <c r="Q132" s="883">
        <f t="shared" si="37"/>
        <v>0</v>
      </c>
      <c r="R132" s="884">
        <f t="shared" si="52"/>
        <v>0</v>
      </c>
      <c r="S132" s="884">
        <f>IF(AND($AS$39="Early Payoff",J132&gt;=$S$13),0,IF($J132&lt;=$S$6,SUM($Q$20:$Q132),0))</f>
        <v>0</v>
      </c>
      <c r="T132" s="884">
        <f>IF(AND($AS$39="Early Payoff",J132&gt;=$S$13),0,IF($J132&lt;=$S$6,SUM($R$20:$R132),0))</f>
        <v>0</v>
      </c>
      <c r="U132" s="885">
        <f t="shared" si="38"/>
        <v>0</v>
      </c>
      <c r="V132" s="1110">
        <f t="shared" si="46"/>
        <v>0</v>
      </c>
      <c r="X132" s="1102">
        <f t="shared" si="39"/>
        <v>0</v>
      </c>
      <c r="Y132" s="873">
        <f t="shared" si="40"/>
        <v>0</v>
      </c>
      <c r="Z132" s="873">
        <f t="shared" si="41"/>
        <v>0</v>
      </c>
      <c r="AA132" s="885">
        <f t="shared" si="42"/>
        <v>0</v>
      </c>
    </row>
    <row r="133" spans="2:27" s="278" customFormat="1" ht="12" customHeight="1" x14ac:dyDescent="0.25">
      <c r="B133" s="1192" t="e">
        <f t="shared" si="47"/>
        <v>#N/A</v>
      </c>
      <c r="C133" s="732">
        <f t="shared" si="33"/>
        <v>31</v>
      </c>
      <c r="D133" s="35">
        <f t="shared" si="34"/>
        <v>3</v>
      </c>
      <c r="E133" s="889">
        <f t="shared" si="53"/>
        <v>66566</v>
      </c>
      <c r="F133" s="822">
        <f t="shared" si="35"/>
        <v>3</v>
      </c>
      <c r="G133" s="500">
        <f t="shared" si="48"/>
        <v>212</v>
      </c>
      <c r="H133" s="126">
        <f t="shared" si="36"/>
        <v>0</v>
      </c>
      <c r="I133" s="1098">
        <f t="shared" si="54"/>
        <v>0</v>
      </c>
      <c r="J133" s="887">
        <f t="shared" si="49"/>
        <v>114</v>
      </c>
      <c r="K133" s="1099">
        <f t="shared" si="43"/>
        <v>114</v>
      </c>
      <c r="L133" s="891" t="str">
        <f t="shared" si="44"/>
        <v>March</v>
      </c>
      <c r="M133" s="888">
        <f t="shared" si="50"/>
        <v>2082</v>
      </c>
      <c r="N133" s="883">
        <f t="shared" si="45"/>
        <v>0</v>
      </c>
      <c r="O133" s="883">
        <f t="shared" si="51"/>
        <v>0</v>
      </c>
      <c r="P133" s="1100"/>
      <c r="Q133" s="883">
        <f t="shared" si="37"/>
        <v>0</v>
      </c>
      <c r="R133" s="884">
        <f t="shared" si="52"/>
        <v>0</v>
      </c>
      <c r="S133" s="884">
        <f>IF(AND($AS$39="Early Payoff",J133&gt;=$S$13),0,IF($J133&lt;=$S$6,SUM($Q$20:$Q133),0))</f>
        <v>0</v>
      </c>
      <c r="T133" s="884">
        <f>IF(AND($AS$39="Early Payoff",J133&gt;=$S$13),0,IF($J133&lt;=$S$6,SUM($R$20:$R133),0))</f>
        <v>0</v>
      </c>
      <c r="U133" s="885">
        <f t="shared" si="38"/>
        <v>0</v>
      </c>
      <c r="V133" s="1110">
        <f t="shared" si="46"/>
        <v>0</v>
      </c>
      <c r="X133" s="1102">
        <f t="shared" si="39"/>
        <v>0</v>
      </c>
      <c r="Y133" s="873">
        <f t="shared" si="40"/>
        <v>0</v>
      </c>
      <c r="Z133" s="873">
        <f t="shared" si="41"/>
        <v>0</v>
      </c>
      <c r="AA133" s="885">
        <f t="shared" si="42"/>
        <v>0</v>
      </c>
    </row>
    <row r="134" spans="2:27" s="278" customFormat="1" ht="12" customHeight="1" x14ac:dyDescent="0.25">
      <c r="B134" s="1192" t="e">
        <f t="shared" si="47"/>
        <v>#N/A</v>
      </c>
      <c r="C134" s="732">
        <f t="shared" si="33"/>
        <v>31</v>
      </c>
      <c r="D134" s="35">
        <f t="shared" si="34"/>
        <v>8</v>
      </c>
      <c r="E134" s="889">
        <f t="shared" si="53"/>
        <v>66719</v>
      </c>
      <c r="F134" s="822">
        <f t="shared" si="35"/>
        <v>8</v>
      </c>
      <c r="G134" s="500">
        <f t="shared" si="48"/>
        <v>153</v>
      </c>
      <c r="H134" s="126">
        <f t="shared" si="36"/>
        <v>0</v>
      </c>
      <c r="I134" s="1098">
        <f t="shared" si="54"/>
        <v>1</v>
      </c>
      <c r="J134" s="887">
        <f t="shared" si="49"/>
        <v>115</v>
      </c>
      <c r="K134" s="1099">
        <f t="shared" si="43"/>
        <v>115</v>
      </c>
      <c r="L134" s="891" t="str">
        <f t="shared" si="44"/>
        <v>August</v>
      </c>
      <c r="M134" s="888">
        <f t="shared" si="50"/>
        <v>2082</v>
      </c>
      <c r="N134" s="883">
        <f t="shared" si="45"/>
        <v>0</v>
      </c>
      <c r="O134" s="883">
        <f t="shared" si="51"/>
        <v>0</v>
      </c>
      <c r="P134" s="1100"/>
      <c r="Q134" s="883">
        <f t="shared" si="37"/>
        <v>0</v>
      </c>
      <c r="R134" s="884">
        <f t="shared" si="52"/>
        <v>0</v>
      </c>
      <c r="S134" s="884">
        <f>IF(AND($AS$39="Early Payoff",J134&gt;=$S$13),0,IF($J134&lt;=$S$6,SUM($Q$20:$Q134),0))</f>
        <v>0</v>
      </c>
      <c r="T134" s="884">
        <f>IF(AND($AS$39="Early Payoff",J134&gt;=$S$13),0,IF($J134&lt;=$S$6,SUM($R$20:$R134),0))</f>
        <v>0</v>
      </c>
      <c r="U134" s="885">
        <f t="shared" si="38"/>
        <v>0</v>
      </c>
      <c r="V134" s="1110">
        <f t="shared" si="46"/>
        <v>0</v>
      </c>
      <c r="X134" s="1102">
        <f t="shared" si="39"/>
        <v>0</v>
      </c>
      <c r="Y134" s="873">
        <f t="shared" si="40"/>
        <v>0</v>
      </c>
      <c r="Z134" s="873">
        <f t="shared" si="41"/>
        <v>0</v>
      </c>
      <c r="AA134" s="885">
        <f t="shared" si="42"/>
        <v>0</v>
      </c>
    </row>
    <row r="135" spans="2:27" s="278" customFormat="1" ht="12" customHeight="1" x14ac:dyDescent="0.25">
      <c r="B135" s="1192" t="e">
        <f t="shared" si="47"/>
        <v>#N/A</v>
      </c>
      <c r="C135" s="732">
        <f t="shared" si="33"/>
        <v>31</v>
      </c>
      <c r="D135" s="35">
        <f t="shared" si="34"/>
        <v>3</v>
      </c>
      <c r="E135" s="889">
        <f t="shared" si="53"/>
        <v>66931</v>
      </c>
      <c r="F135" s="822">
        <f t="shared" si="35"/>
        <v>3</v>
      </c>
      <c r="G135" s="500">
        <f t="shared" si="48"/>
        <v>212</v>
      </c>
      <c r="H135" s="126">
        <f t="shared" si="36"/>
        <v>0</v>
      </c>
      <c r="I135" s="1098">
        <f t="shared" si="54"/>
        <v>0</v>
      </c>
      <c r="J135" s="887">
        <f t="shared" si="49"/>
        <v>116</v>
      </c>
      <c r="K135" s="1099">
        <f t="shared" si="43"/>
        <v>116</v>
      </c>
      <c r="L135" s="891" t="str">
        <f t="shared" si="44"/>
        <v>March</v>
      </c>
      <c r="M135" s="888">
        <f t="shared" si="50"/>
        <v>2083</v>
      </c>
      <c r="N135" s="883">
        <f t="shared" si="45"/>
        <v>0</v>
      </c>
      <c r="O135" s="883">
        <f t="shared" si="51"/>
        <v>0</v>
      </c>
      <c r="P135" s="1100"/>
      <c r="Q135" s="883">
        <f t="shared" si="37"/>
        <v>0</v>
      </c>
      <c r="R135" s="884">
        <f t="shared" si="52"/>
        <v>0</v>
      </c>
      <c r="S135" s="884">
        <f>IF(AND($AS$39="Early Payoff",J135&gt;=$S$13),0,IF($J135&lt;=$S$6,SUM($Q$20:$Q135),0))</f>
        <v>0</v>
      </c>
      <c r="T135" s="884">
        <f>IF(AND($AS$39="Early Payoff",J135&gt;=$S$13),0,IF($J135&lt;=$S$6,SUM($R$20:$R135),0))</f>
        <v>0</v>
      </c>
      <c r="U135" s="885">
        <f t="shared" si="38"/>
        <v>0</v>
      </c>
      <c r="V135" s="1110">
        <f t="shared" si="46"/>
        <v>0</v>
      </c>
      <c r="X135" s="1102">
        <f t="shared" si="39"/>
        <v>0</v>
      </c>
      <c r="Y135" s="873">
        <f t="shared" si="40"/>
        <v>0</v>
      </c>
      <c r="Z135" s="873">
        <f t="shared" si="41"/>
        <v>0</v>
      </c>
      <c r="AA135" s="885">
        <f t="shared" si="42"/>
        <v>0</v>
      </c>
    </row>
    <row r="136" spans="2:27" s="278" customFormat="1" ht="12" customHeight="1" x14ac:dyDescent="0.25">
      <c r="B136" s="1192" t="e">
        <f t="shared" si="47"/>
        <v>#N/A</v>
      </c>
      <c r="C136" s="732">
        <f t="shared" si="33"/>
        <v>31</v>
      </c>
      <c r="D136" s="35">
        <f t="shared" si="34"/>
        <v>8</v>
      </c>
      <c r="E136" s="889">
        <f t="shared" si="53"/>
        <v>67084</v>
      </c>
      <c r="F136" s="822">
        <f t="shared" si="35"/>
        <v>8</v>
      </c>
      <c r="G136" s="500">
        <f t="shared" si="48"/>
        <v>153</v>
      </c>
      <c r="H136" s="126">
        <f t="shared" si="36"/>
        <v>0</v>
      </c>
      <c r="I136" s="1098">
        <f t="shared" si="54"/>
        <v>1</v>
      </c>
      <c r="J136" s="887">
        <f t="shared" si="49"/>
        <v>117</v>
      </c>
      <c r="K136" s="1099">
        <f t="shared" si="43"/>
        <v>117</v>
      </c>
      <c r="L136" s="891" t="str">
        <f t="shared" si="44"/>
        <v>August</v>
      </c>
      <c r="M136" s="888">
        <f t="shared" si="50"/>
        <v>2083</v>
      </c>
      <c r="N136" s="883">
        <f t="shared" si="45"/>
        <v>0</v>
      </c>
      <c r="O136" s="883">
        <f t="shared" si="51"/>
        <v>0</v>
      </c>
      <c r="P136" s="1100"/>
      <c r="Q136" s="883">
        <f t="shared" si="37"/>
        <v>0</v>
      </c>
      <c r="R136" s="884">
        <f t="shared" si="52"/>
        <v>0</v>
      </c>
      <c r="S136" s="884">
        <f>IF(AND($AS$39="Early Payoff",J136&gt;=$S$13),0,IF($J136&lt;=$S$6,SUM($Q$20:$Q136),0))</f>
        <v>0</v>
      </c>
      <c r="T136" s="884">
        <f>IF(AND($AS$39="Early Payoff",J136&gt;=$S$13),0,IF($J136&lt;=$S$6,SUM($R$20:$R136),0))</f>
        <v>0</v>
      </c>
      <c r="U136" s="885">
        <f t="shared" si="38"/>
        <v>0</v>
      </c>
      <c r="V136" s="1110">
        <f t="shared" si="46"/>
        <v>0</v>
      </c>
      <c r="X136" s="1102">
        <f t="shared" si="39"/>
        <v>0</v>
      </c>
      <c r="Y136" s="873">
        <f t="shared" si="40"/>
        <v>0</v>
      </c>
      <c r="Z136" s="873">
        <f t="shared" si="41"/>
        <v>0</v>
      </c>
      <c r="AA136" s="885">
        <f t="shared" si="42"/>
        <v>0</v>
      </c>
    </row>
    <row r="137" spans="2:27" s="278" customFormat="1" ht="12" customHeight="1" x14ac:dyDescent="0.25">
      <c r="B137" s="1192" t="e">
        <f t="shared" si="47"/>
        <v>#N/A</v>
      </c>
      <c r="C137" s="732">
        <f t="shared" si="33"/>
        <v>31</v>
      </c>
      <c r="D137" s="35">
        <f t="shared" si="34"/>
        <v>3</v>
      </c>
      <c r="E137" s="889">
        <f t="shared" si="53"/>
        <v>67297</v>
      </c>
      <c r="F137" s="822">
        <f t="shared" si="35"/>
        <v>3</v>
      </c>
      <c r="G137" s="500">
        <f t="shared" si="48"/>
        <v>213</v>
      </c>
      <c r="H137" s="126">
        <f t="shared" si="36"/>
        <v>0</v>
      </c>
      <c r="I137" s="1098">
        <f t="shared" si="54"/>
        <v>0</v>
      </c>
      <c r="J137" s="887">
        <f t="shared" si="49"/>
        <v>118</v>
      </c>
      <c r="K137" s="1099">
        <f t="shared" si="43"/>
        <v>118</v>
      </c>
      <c r="L137" s="891" t="str">
        <f t="shared" si="44"/>
        <v>March</v>
      </c>
      <c r="M137" s="888">
        <f t="shared" si="50"/>
        <v>2084</v>
      </c>
      <c r="N137" s="883">
        <f t="shared" si="45"/>
        <v>0</v>
      </c>
      <c r="O137" s="883">
        <f t="shared" si="51"/>
        <v>0</v>
      </c>
      <c r="P137" s="1100"/>
      <c r="Q137" s="883">
        <f t="shared" si="37"/>
        <v>0</v>
      </c>
      <c r="R137" s="884">
        <f t="shared" si="52"/>
        <v>0</v>
      </c>
      <c r="S137" s="884">
        <f>IF(AND($AS$39="Early Payoff",J137&gt;=$S$13),0,IF($J137&lt;=$S$6,SUM($Q$20:$Q137),0))</f>
        <v>0</v>
      </c>
      <c r="T137" s="884">
        <f>IF(AND($AS$39="Early Payoff",J137&gt;=$S$13),0,IF($J137&lt;=$S$6,SUM($R$20:$R137),0))</f>
        <v>0</v>
      </c>
      <c r="U137" s="885">
        <f t="shared" si="38"/>
        <v>0</v>
      </c>
      <c r="V137" s="1110">
        <f t="shared" si="46"/>
        <v>0</v>
      </c>
      <c r="X137" s="1102">
        <f t="shared" si="39"/>
        <v>0</v>
      </c>
      <c r="Y137" s="873">
        <f t="shared" si="40"/>
        <v>0</v>
      </c>
      <c r="Z137" s="873">
        <f t="shared" si="41"/>
        <v>0</v>
      </c>
      <c r="AA137" s="885">
        <f t="shared" si="42"/>
        <v>0</v>
      </c>
    </row>
    <row r="138" spans="2:27" s="278" customFormat="1" ht="12" customHeight="1" x14ac:dyDescent="0.25">
      <c r="B138" s="1192" t="e">
        <f t="shared" si="47"/>
        <v>#N/A</v>
      </c>
      <c r="C138" s="732">
        <f t="shared" si="33"/>
        <v>31</v>
      </c>
      <c r="D138" s="35">
        <f t="shared" si="34"/>
        <v>8</v>
      </c>
      <c r="E138" s="889">
        <f t="shared" si="53"/>
        <v>67450</v>
      </c>
      <c r="F138" s="822">
        <f t="shared" si="35"/>
        <v>8</v>
      </c>
      <c r="G138" s="500">
        <f t="shared" si="48"/>
        <v>153</v>
      </c>
      <c r="H138" s="126">
        <f t="shared" si="36"/>
        <v>0</v>
      </c>
      <c r="I138" s="1098">
        <f t="shared" si="54"/>
        <v>1</v>
      </c>
      <c r="J138" s="887">
        <f t="shared" si="49"/>
        <v>119</v>
      </c>
      <c r="K138" s="1099">
        <f t="shared" si="43"/>
        <v>119</v>
      </c>
      <c r="L138" s="891" t="str">
        <f t="shared" si="44"/>
        <v>August</v>
      </c>
      <c r="M138" s="888">
        <f t="shared" si="50"/>
        <v>2084</v>
      </c>
      <c r="N138" s="883">
        <f t="shared" si="45"/>
        <v>0</v>
      </c>
      <c r="O138" s="883">
        <f t="shared" si="51"/>
        <v>0</v>
      </c>
      <c r="P138" s="1100"/>
      <c r="Q138" s="883">
        <f t="shared" si="37"/>
        <v>0</v>
      </c>
      <c r="R138" s="884">
        <f t="shared" si="52"/>
        <v>0</v>
      </c>
      <c r="S138" s="884">
        <f>IF(AND($AS$39="Early Payoff",J138&gt;=$S$13),0,IF($J138&lt;=$S$6,SUM($Q$20:$Q138),0))</f>
        <v>0</v>
      </c>
      <c r="T138" s="884">
        <f>IF(AND($AS$39="Early Payoff",J138&gt;=$S$13),0,IF($J138&lt;=$S$6,SUM($R$20:$R138),0))</f>
        <v>0</v>
      </c>
      <c r="U138" s="885">
        <f t="shared" si="38"/>
        <v>0</v>
      </c>
      <c r="V138" s="1110">
        <f t="shared" si="46"/>
        <v>0</v>
      </c>
      <c r="X138" s="1102">
        <f t="shared" si="39"/>
        <v>0</v>
      </c>
      <c r="Y138" s="873">
        <f t="shared" si="40"/>
        <v>0</v>
      </c>
      <c r="Z138" s="873">
        <f t="shared" si="41"/>
        <v>0</v>
      </c>
      <c r="AA138" s="885">
        <f t="shared" si="42"/>
        <v>0</v>
      </c>
    </row>
    <row r="139" spans="2:27" s="278" customFormat="1" ht="12" customHeight="1" x14ac:dyDescent="0.25">
      <c r="B139" s="1192" t="e">
        <f t="shared" si="47"/>
        <v>#N/A</v>
      </c>
      <c r="C139" s="732">
        <f t="shared" si="33"/>
        <v>31</v>
      </c>
      <c r="D139" s="35">
        <f t="shared" si="34"/>
        <v>3</v>
      </c>
      <c r="E139" s="889">
        <f t="shared" si="53"/>
        <v>67662</v>
      </c>
      <c r="F139" s="822">
        <f t="shared" si="35"/>
        <v>3</v>
      </c>
      <c r="G139" s="500">
        <f t="shared" si="48"/>
        <v>212</v>
      </c>
      <c r="H139" s="126">
        <f t="shared" si="36"/>
        <v>0</v>
      </c>
      <c r="I139" s="1098">
        <f t="shared" si="54"/>
        <v>0</v>
      </c>
      <c r="J139" s="887">
        <f t="shared" si="49"/>
        <v>120</v>
      </c>
      <c r="K139" s="1099">
        <f t="shared" si="43"/>
        <v>120</v>
      </c>
      <c r="L139" s="891" t="str">
        <f t="shared" si="44"/>
        <v>March</v>
      </c>
      <c r="M139" s="888">
        <f t="shared" si="50"/>
        <v>2085</v>
      </c>
      <c r="N139" s="883">
        <f t="shared" si="45"/>
        <v>0</v>
      </c>
      <c r="O139" s="883">
        <f t="shared" si="51"/>
        <v>0</v>
      </c>
      <c r="P139" s="1100"/>
      <c r="Q139" s="883">
        <f t="shared" si="37"/>
        <v>0</v>
      </c>
      <c r="R139" s="884">
        <f t="shared" si="52"/>
        <v>0</v>
      </c>
      <c r="S139" s="884">
        <f>IF(AND($AS$39="Early Payoff",J139&gt;=$S$13),0,IF($J139&lt;=$S$6,SUM($Q$20:$Q139),0))</f>
        <v>0</v>
      </c>
      <c r="T139" s="884">
        <f>IF(AND($AS$39="Early Payoff",J139&gt;=$S$13),0,IF($J139&lt;=$S$6,SUM($R$20:$R139),0))</f>
        <v>0</v>
      </c>
      <c r="U139" s="885">
        <f t="shared" si="38"/>
        <v>0</v>
      </c>
      <c r="V139" s="1110">
        <f t="shared" si="46"/>
        <v>0</v>
      </c>
      <c r="X139" s="1102">
        <f t="shared" si="39"/>
        <v>0</v>
      </c>
      <c r="Y139" s="873">
        <f t="shared" si="40"/>
        <v>0</v>
      </c>
      <c r="Z139" s="873">
        <f t="shared" si="41"/>
        <v>0</v>
      </c>
      <c r="AA139" s="885">
        <f t="shared" si="42"/>
        <v>0</v>
      </c>
    </row>
    <row r="140" spans="2:27" s="278" customFormat="1" ht="12" customHeight="1" x14ac:dyDescent="0.25">
      <c r="B140" s="1192" t="e">
        <f t="shared" si="47"/>
        <v>#N/A</v>
      </c>
      <c r="C140" s="732">
        <f t="shared" si="33"/>
        <v>31</v>
      </c>
      <c r="D140" s="35">
        <f t="shared" si="34"/>
        <v>8</v>
      </c>
      <c r="E140" s="889">
        <f t="shared" si="53"/>
        <v>67815</v>
      </c>
      <c r="F140" s="822">
        <f t="shared" si="35"/>
        <v>8</v>
      </c>
      <c r="G140" s="500">
        <f t="shared" si="48"/>
        <v>153</v>
      </c>
      <c r="H140" s="126">
        <f t="shared" si="36"/>
        <v>0</v>
      </c>
      <c r="I140" s="1098">
        <f t="shared" si="54"/>
        <v>1</v>
      </c>
      <c r="J140" s="887">
        <f t="shared" si="49"/>
        <v>121</v>
      </c>
      <c r="K140" s="1099">
        <f t="shared" si="43"/>
        <v>121</v>
      </c>
      <c r="L140" s="891" t="str">
        <f t="shared" si="44"/>
        <v>August</v>
      </c>
      <c r="M140" s="888">
        <f t="shared" si="50"/>
        <v>2085</v>
      </c>
      <c r="N140" s="883">
        <f t="shared" si="45"/>
        <v>0</v>
      </c>
      <c r="O140" s="883">
        <f t="shared" si="51"/>
        <v>0</v>
      </c>
      <c r="P140" s="1100"/>
      <c r="Q140" s="883">
        <f t="shared" si="37"/>
        <v>0</v>
      </c>
      <c r="R140" s="884">
        <f t="shared" si="52"/>
        <v>0</v>
      </c>
      <c r="S140" s="884">
        <f>IF(AND($AS$39="Early Payoff",J140&gt;=$S$13),0,IF($J140&lt;=$S$6,SUM($Q$20:$Q140),0))</f>
        <v>0</v>
      </c>
      <c r="T140" s="884">
        <f>IF(AND($AS$39="Early Payoff",J140&gt;=$S$13),0,IF($J140&lt;=$S$6,SUM($R$20:$R140),0))</f>
        <v>0</v>
      </c>
      <c r="U140" s="885">
        <f t="shared" si="38"/>
        <v>0</v>
      </c>
      <c r="V140" s="1110">
        <f t="shared" si="46"/>
        <v>0</v>
      </c>
      <c r="X140" s="1102">
        <f t="shared" si="39"/>
        <v>0</v>
      </c>
      <c r="Y140" s="873">
        <f t="shared" si="40"/>
        <v>0</v>
      </c>
      <c r="Z140" s="873">
        <f t="shared" si="41"/>
        <v>0</v>
      </c>
      <c r="AA140" s="885">
        <f t="shared" si="42"/>
        <v>0</v>
      </c>
    </row>
    <row r="141" spans="2:27" s="278" customFormat="1" ht="12" customHeight="1" x14ac:dyDescent="0.25">
      <c r="B141" s="1192" t="e">
        <f t="shared" si="47"/>
        <v>#N/A</v>
      </c>
      <c r="C141" s="732">
        <f t="shared" si="33"/>
        <v>31</v>
      </c>
      <c r="D141" s="35">
        <f t="shared" si="34"/>
        <v>3</v>
      </c>
      <c r="E141" s="889">
        <f t="shared" si="53"/>
        <v>68027</v>
      </c>
      <c r="F141" s="822">
        <f t="shared" si="35"/>
        <v>3</v>
      </c>
      <c r="G141" s="500">
        <f t="shared" si="48"/>
        <v>212</v>
      </c>
      <c r="H141" s="126">
        <f t="shared" si="36"/>
        <v>0</v>
      </c>
      <c r="I141" s="1098">
        <f t="shared" si="54"/>
        <v>0</v>
      </c>
      <c r="J141" s="887">
        <f t="shared" si="49"/>
        <v>122</v>
      </c>
      <c r="K141" s="1099">
        <f t="shared" si="43"/>
        <v>122</v>
      </c>
      <c r="L141" s="891" t="str">
        <f t="shared" si="44"/>
        <v>March</v>
      </c>
      <c r="M141" s="888">
        <f t="shared" si="50"/>
        <v>2086</v>
      </c>
      <c r="N141" s="883">
        <f t="shared" si="45"/>
        <v>0</v>
      </c>
      <c r="O141" s="883">
        <f t="shared" si="51"/>
        <v>0</v>
      </c>
      <c r="P141" s="1100"/>
      <c r="Q141" s="883">
        <f t="shared" si="37"/>
        <v>0</v>
      </c>
      <c r="R141" s="884">
        <f t="shared" si="52"/>
        <v>0</v>
      </c>
      <c r="S141" s="884">
        <f>IF(AND($AS$39="Early Payoff",J141&gt;=$S$13),0,IF($J141&lt;=$S$6,SUM($Q$20:$Q141),0))</f>
        <v>0</v>
      </c>
      <c r="T141" s="884">
        <f>IF(AND($AS$39="Early Payoff",J141&gt;=$S$13),0,IF($J141&lt;=$S$6,SUM($R$20:$R141),0))</f>
        <v>0</v>
      </c>
      <c r="U141" s="885">
        <f t="shared" si="38"/>
        <v>0</v>
      </c>
      <c r="V141" s="1110">
        <f t="shared" si="46"/>
        <v>0</v>
      </c>
      <c r="X141" s="1102">
        <f t="shared" si="39"/>
        <v>0</v>
      </c>
      <c r="Y141" s="873">
        <f t="shared" si="40"/>
        <v>0</v>
      </c>
      <c r="Z141" s="873">
        <f t="shared" si="41"/>
        <v>0</v>
      </c>
      <c r="AA141" s="885">
        <f t="shared" si="42"/>
        <v>0</v>
      </c>
    </row>
    <row r="142" spans="2:27" s="278" customFormat="1" ht="12" customHeight="1" x14ac:dyDescent="0.25">
      <c r="B142" s="1192" t="e">
        <f t="shared" si="47"/>
        <v>#N/A</v>
      </c>
      <c r="C142" s="732">
        <f t="shared" si="33"/>
        <v>31</v>
      </c>
      <c r="D142" s="35">
        <f t="shared" si="34"/>
        <v>8</v>
      </c>
      <c r="E142" s="889">
        <f t="shared" si="53"/>
        <v>68180</v>
      </c>
      <c r="F142" s="822">
        <f t="shared" si="35"/>
        <v>8</v>
      </c>
      <c r="G142" s="500">
        <f t="shared" si="48"/>
        <v>153</v>
      </c>
      <c r="H142" s="126">
        <f t="shared" si="36"/>
        <v>0</v>
      </c>
      <c r="I142" s="1098">
        <f t="shared" si="54"/>
        <v>1</v>
      </c>
      <c r="J142" s="887">
        <f t="shared" si="49"/>
        <v>123</v>
      </c>
      <c r="K142" s="1099">
        <f t="shared" si="43"/>
        <v>123</v>
      </c>
      <c r="L142" s="891" t="str">
        <f t="shared" si="44"/>
        <v>August</v>
      </c>
      <c r="M142" s="888">
        <f t="shared" si="50"/>
        <v>2086</v>
      </c>
      <c r="N142" s="883">
        <f t="shared" si="45"/>
        <v>0</v>
      </c>
      <c r="O142" s="883">
        <f t="shared" si="51"/>
        <v>0</v>
      </c>
      <c r="P142" s="1100"/>
      <c r="Q142" s="883">
        <f t="shared" si="37"/>
        <v>0</v>
      </c>
      <c r="R142" s="884">
        <f t="shared" si="52"/>
        <v>0</v>
      </c>
      <c r="S142" s="884">
        <f>IF(AND($AS$39="Early Payoff",J142&gt;=$S$13),0,IF($J142&lt;=$S$6,SUM($Q$20:$Q142),0))</f>
        <v>0</v>
      </c>
      <c r="T142" s="884">
        <f>IF(AND($AS$39="Early Payoff",J142&gt;=$S$13),0,IF($J142&lt;=$S$6,SUM($R$20:$R142),0))</f>
        <v>0</v>
      </c>
      <c r="U142" s="885">
        <f t="shared" si="38"/>
        <v>0</v>
      </c>
      <c r="V142" s="1110">
        <f t="shared" si="46"/>
        <v>0</v>
      </c>
      <c r="X142" s="1102">
        <f t="shared" si="39"/>
        <v>0</v>
      </c>
      <c r="Y142" s="873">
        <f t="shared" si="40"/>
        <v>0</v>
      </c>
      <c r="Z142" s="873">
        <f t="shared" si="41"/>
        <v>0</v>
      </c>
      <c r="AA142" s="885">
        <f t="shared" si="42"/>
        <v>0</v>
      </c>
    </row>
    <row r="143" spans="2:27" s="278" customFormat="1" ht="12" customHeight="1" x14ac:dyDescent="0.25">
      <c r="B143" s="1192" t="e">
        <f t="shared" si="47"/>
        <v>#N/A</v>
      </c>
      <c r="C143" s="732">
        <f t="shared" si="33"/>
        <v>31</v>
      </c>
      <c r="D143" s="35">
        <f t="shared" si="34"/>
        <v>3</v>
      </c>
      <c r="E143" s="889">
        <f t="shared" si="53"/>
        <v>68392</v>
      </c>
      <c r="F143" s="822">
        <f t="shared" si="35"/>
        <v>3</v>
      </c>
      <c r="G143" s="500">
        <f t="shared" si="48"/>
        <v>212</v>
      </c>
      <c r="H143" s="126">
        <f t="shared" si="36"/>
        <v>0</v>
      </c>
      <c r="I143" s="1098">
        <f t="shared" si="54"/>
        <v>0</v>
      </c>
      <c r="J143" s="887">
        <f t="shared" si="49"/>
        <v>124</v>
      </c>
      <c r="K143" s="1099">
        <f t="shared" si="43"/>
        <v>124</v>
      </c>
      <c r="L143" s="891" t="str">
        <f t="shared" si="44"/>
        <v>March</v>
      </c>
      <c r="M143" s="888">
        <f t="shared" si="50"/>
        <v>2087</v>
      </c>
      <c r="N143" s="883">
        <f t="shared" si="45"/>
        <v>0</v>
      </c>
      <c r="O143" s="883">
        <f t="shared" si="51"/>
        <v>0</v>
      </c>
      <c r="P143" s="1100"/>
      <c r="Q143" s="883">
        <f t="shared" si="37"/>
        <v>0</v>
      </c>
      <c r="R143" s="884">
        <f t="shared" si="52"/>
        <v>0</v>
      </c>
      <c r="S143" s="884">
        <f>IF(AND($AS$39="Early Payoff",J143&gt;=$S$13),0,IF($J143&lt;=$S$6,SUM($Q$20:$Q143),0))</f>
        <v>0</v>
      </c>
      <c r="T143" s="884">
        <f>IF(AND($AS$39="Early Payoff",J143&gt;=$S$13),0,IF($J143&lt;=$S$6,SUM($R$20:$R143),0))</f>
        <v>0</v>
      </c>
      <c r="U143" s="885">
        <f t="shared" si="38"/>
        <v>0</v>
      </c>
      <c r="V143" s="1110">
        <f t="shared" si="46"/>
        <v>0</v>
      </c>
      <c r="X143" s="1102">
        <f t="shared" si="39"/>
        <v>0</v>
      </c>
      <c r="Y143" s="873">
        <f t="shared" si="40"/>
        <v>0</v>
      </c>
      <c r="Z143" s="873">
        <f t="shared" si="41"/>
        <v>0</v>
      </c>
      <c r="AA143" s="885">
        <f t="shared" si="42"/>
        <v>0</v>
      </c>
    </row>
    <row r="144" spans="2:27" s="278" customFormat="1" ht="12" customHeight="1" x14ac:dyDescent="0.25">
      <c r="B144" s="1192" t="e">
        <f t="shared" si="47"/>
        <v>#N/A</v>
      </c>
      <c r="C144" s="732">
        <f t="shared" si="33"/>
        <v>31</v>
      </c>
      <c r="D144" s="35">
        <f t="shared" si="34"/>
        <v>8</v>
      </c>
      <c r="E144" s="889">
        <f t="shared" si="53"/>
        <v>68545</v>
      </c>
      <c r="F144" s="822">
        <f t="shared" si="35"/>
        <v>8</v>
      </c>
      <c r="G144" s="500">
        <f t="shared" si="48"/>
        <v>153</v>
      </c>
      <c r="H144" s="126">
        <f t="shared" si="36"/>
        <v>0</v>
      </c>
      <c r="I144" s="1098">
        <f t="shared" si="54"/>
        <v>1</v>
      </c>
      <c r="J144" s="887">
        <f t="shared" si="49"/>
        <v>125</v>
      </c>
      <c r="K144" s="1099">
        <f t="shared" si="43"/>
        <v>125</v>
      </c>
      <c r="L144" s="891" t="str">
        <f t="shared" si="44"/>
        <v>August</v>
      </c>
      <c r="M144" s="888">
        <f t="shared" si="50"/>
        <v>2087</v>
      </c>
      <c r="N144" s="883">
        <f t="shared" si="45"/>
        <v>0</v>
      </c>
      <c r="O144" s="883">
        <f t="shared" si="51"/>
        <v>0</v>
      </c>
      <c r="P144" s="1100"/>
      <c r="Q144" s="883">
        <f t="shared" si="37"/>
        <v>0</v>
      </c>
      <c r="R144" s="884">
        <f t="shared" si="52"/>
        <v>0</v>
      </c>
      <c r="S144" s="884">
        <f>IF(AND($AS$39="Early Payoff",J144&gt;=$S$13),0,IF($J144&lt;=$S$6,SUM($Q$20:$Q144),0))</f>
        <v>0</v>
      </c>
      <c r="T144" s="884">
        <f>IF(AND($AS$39="Early Payoff",J144&gt;=$S$13),0,IF($J144&lt;=$S$6,SUM($R$20:$R144),0))</f>
        <v>0</v>
      </c>
      <c r="U144" s="885">
        <f t="shared" si="38"/>
        <v>0</v>
      </c>
      <c r="V144" s="1110">
        <f t="shared" si="46"/>
        <v>0</v>
      </c>
      <c r="X144" s="1102">
        <f t="shared" si="39"/>
        <v>0</v>
      </c>
      <c r="Y144" s="873">
        <f t="shared" si="40"/>
        <v>0</v>
      </c>
      <c r="Z144" s="873">
        <f t="shared" si="41"/>
        <v>0</v>
      </c>
      <c r="AA144" s="885">
        <f t="shared" si="42"/>
        <v>0</v>
      </c>
    </row>
    <row r="145" spans="2:27" s="278" customFormat="1" ht="12" customHeight="1" x14ac:dyDescent="0.25">
      <c r="B145" s="1192" t="e">
        <f t="shared" si="47"/>
        <v>#N/A</v>
      </c>
      <c r="C145" s="732">
        <f t="shared" si="33"/>
        <v>31</v>
      </c>
      <c r="D145" s="35">
        <f t="shared" si="34"/>
        <v>3</v>
      </c>
      <c r="E145" s="889">
        <f t="shared" si="53"/>
        <v>68758</v>
      </c>
      <c r="F145" s="822">
        <f t="shared" si="35"/>
        <v>3</v>
      </c>
      <c r="G145" s="500">
        <f t="shared" si="48"/>
        <v>213</v>
      </c>
      <c r="H145" s="126">
        <f t="shared" si="36"/>
        <v>0</v>
      </c>
      <c r="I145" s="1098">
        <f t="shared" si="54"/>
        <v>0</v>
      </c>
      <c r="J145" s="887">
        <f t="shared" si="49"/>
        <v>126</v>
      </c>
      <c r="K145" s="1099">
        <f t="shared" si="43"/>
        <v>126</v>
      </c>
      <c r="L145" s="891" t="str">
        <f t="shared" si="44"/>
        <v>March</v>
      </c>
      <c r="M145" s="888">
        <f t="shared" si="50"/>
        <v>2088</v>
      </c>
      <c r="N145" s="883">
        <f t="shared" si="45"/>
        <v>0</v>
      </c>
      <c r="O145" s="883">
        <f t="shared" si="51"/>
        <v>0</v>
      </c>
      <c r="P145" s="1100"/>
      <c r="Q145" s="883">
        <f t="shared" si="37"/>
        <v>0</v>
      </c>
      <c r="R145" s="884">
        <f t="shared" si="52"/>
        <v>0</v>
      </c>
      <c r="S145" s="884">
        <f>IF(AND($AS$39="Early Payoff",J145&gt;=$S$13),0,IF($J145&lt;=$S$6,SUM($Q$20:$Q145),0))</f>
        <v>0</v>
      </c>
      <c r="T145" s="884">
        <f>IF(AND($AS$39="Early Payoff",J145&gt;=$S$13),0,IF($J145&lt;=$S$6,SUM($R$20:$R145),0))</f>
        <v>0</v>
      </c>
      <c r="U145" s="885">
        <f t="shared" si="38"/>
        <v>0</v>
      </c>
      <c r="V145" s="1110">
        <f t="shared" si="46"/>
        <v>0</v>
      </c>
      <c r="X145" s="1102">
        <f t="shared" si="39"/>
        <v>0</v>
      </c>
      <c r="Y145" s="873">
        <f t="shared" si="40"/>
        <v>0</v>
      </c>
      <c r="Z145" s="873">
        <f t="shared" si="41"/>
        <v>0</v>
      </c>
      <c r="AA145" s="885">
        <f t="shared" si="42"/>
        <v>0</v>
      </c>
    </row>
    <row r="146" spans="2:27" s="278" customFormat="1" ht="12" customHeight="1" x14ac:dyDescent="0.25">
      <c r="B146" s="1192" t="e">
        <f t="shared" si="47"/>
        <v>#N/A</v>
      </c>
      <c r="C146" s="732">
        <f t="shared" si="33"/>
        <v>31</v>
      </c>
      <c r="D146" s="35">
        <f t="shared" si="34"/>
        <v>8</v>
      </c>
      <c r="E146" s="889">
        <f t="shared" si="53"/>
        <v>68911</v>
      </c>
      <c r="F146" s="822">
        <f t="shared" si="35"/>
        <v>8</v>
      </c>
      <c r="G146" s="500">
        <f t="shared" si="48"/>
        <v>153</v>
      </c>
      <c r="H146" s="126">
        <f t="shared" si="36"/>
        <v>0</v>
      </c>
      <c r="I146" s="1098">
        <f t="shared" si="54"/>
        <v>1</v>
      </c>
      <c r="J146" s="887">
        <f t="shared" si="49"/>
        <v>127</v>
      </c>
      <c r="K146" s="1099">
        <f t="shared" si="43"/>
        <v>127</v>
      </c>
      <c r="L146" s="891" t="str">
        <f t="shared" si="44"/>
        <v>August</v>
      </c>
      <c r="M146" s="888">
        <f t="shared" si="50"/>
        <v>2088</v>
      </c>
      <c r="N146" s="883">
        <f t="shared" si="45"/>
        <v>0</v>
      </c>
      <c r="O146" s="883">
        <f t="shared" si="51"/>
        <v>0</v>
      </c>
      <c r="P146" s="1100"/>
      <c r="Q146" s="883">
        <f t="shared" si="37"/>
        <v>0</v>
      </c>
      <c r="R146" s="884">
        <f t="shared" si="52"/>
        <v>0</v>
      </c>
      <c r="S146" s="884">
        <f>IF(AND($AS$39="Early Payoff",J146&gt;=$S$13),0,IF($J146&lt;=$S$6,SUM($Q$20:$Q146),0))</f>
        <v>0</v>
      </c>
      <c r="T146" s="884">
        <f>IF(AND($AS$39="Early Payoff",J146&gt;=$S$13),0,IF($J146&lt;=$S$6,SUM($R$20:$R146),0))</f>
        <v>0</v>
      </c>
      <c r="U146" s="885">
        <f t="shared" si="38"/>
        <v>0</v>
      </c>
      <c r="V146" s="1110">
        <f t="shared" si="46"/>
        <v>0</v>
      </c>
      <c r="X146" s="1102">
        <f t="shared" si="39"/>
        <v>0</v>
      </c>
      <c r="Y146" s="873">
        <f t="shared" si="40"/>
        <v>0</v>
      </c>
      <c r="Z146" s="873">
        <f t="shared" si="41"/>
        <v>0</v>
      </c>
      <c r="AA146" s="885">
        <f t="shared" si="42"/>
        <v>0</v>
      </c>
    </row>
    <row r="147" spans="2:27" s="278" customFormat="1" ht="12" customHeight="1" x14ac:dyDescent="0.25">
      <c r="B147" s="1192" t="e">
        <f t="shared" si="47"/>
        <v>#N/A</v>
      </c>
      <c r="C147" s="732">
        <f t="shared" si="33"/>
        <v>31</v>
      </c>
      <c r="D147" s="35">
        <f t="shared" si="34"/>
        <v>3</v>
      </c>
      <c r="E147" s="889">
        <f t="shared" si="53"/>
        <v>69123</v>
      </c>
      <c r="F147" s="822">
        <f t="shared" si="35"/>
        <v>3</v>
      </c>
      <c r="G147" s="500">
        <f t="shared" si="48"/>
        <v>212</v>
      </c>
      <c r="H147" s="126">
        <f t="shared" si="36"/>
        <v>0</v>
      </c>
      <c r="I147" s="1098">
        <f t="shared" si="54"/>
        <v>0</v>
      </c>
      <c r="J147" s="887">
        <f t="shared" si="49"/>
        <v>128</v>
      </c>
      <c r="K147" s="1099">
        <f t="shared" si="43"/>
        <v>128</v>
      </c>
      <c r="L147" s="891" t="str">
        <f t="shared" si="44"/>
        <v>March</v>
      </c>
      <c r="M147" s="888">
        <f t="shared" si="50"/>
        <v>2089</v>
      </c>
      <c r="N147" s="883">
        <f t="shared" si="45"/>
        <v>0</v>
      </c>
      <c r="O147" s="883">
        <f t="shared" si="51"/>
        <v>0</v>
      </c>
      <c r="P147" s="1100"/>
      <c r="Q147" s="883">
        <f t="shared" si="37"/>
        <v>0</v>
      </c>
      <c r="R147" s="884">
        <f t="shared" si="52"/>
        <v>0</v>
      </c>
      <c r="S147" s="884">
        <f>IF(AND($AS$39="Early Payoff",J147&gt;=$S$13),0,IF($J147&lt;=$S$6,SUM($Q$20:$Q147),0))</f>
        <v>0</v>
      </c>
      <c r="T147" s="884">
        <f>IF(AND($AS$39="Early Payoff",J147&gt;=$S$13),0,IF($J147&lt;=$S$6,SUM($R$20:$R147),0))</f>
        <v>0</v>
      </c>
      <c r="U147" s="885">
        <f t="shared" si="38"/>
        <v>0</v>
      </c>
      <c r="V147" s="1110">
        <f t="shared" si="46"/>
        <v>0</v>
      </c>
      <c r="X147" s="1102">
        <f t="shared" si="39"/>
        <v>0</v>
      </c>
      <c r="Y147" s="873">
        <f t="shared" si="40"/>
        <v>0</v>
      </c>
      <c r="Z147" s="873">
        <f t="shared" si="41"/>
        <v>0</v>
      </c>
      <c r="AA147" s="885">
        <f t="shared" si="42"/>
        <v>0</v>
      </c>
    </row>
    <row r="148" spans="2:27" s="278" customFormat="1" ht="12" customHeight="1" x14ac:dyDescent="0.25">
      <c r="B148" s="1192" t="e">
        <f t="shared" si="47"/>
        <v>#N/A</v>
      </c>
      <c r="C148" s="732">
        <f t="shared" ref="C148:C211" si="55">DAY(EOMONTH(DATE($M148,$D148,1),0))</f>
        <v>31</v>
      </c>
      <c r="D148" s="35">
        <f t="shared" ref="D148:D211" si="56">INDEX($AT$22:$AU$34,MATCH($L148,$AT$22:$AT$34,0),MATCH("Number",$AT$22:$AU$22,0))</f>
        <v>8</v>
      </c>
      <c r="E148" s="889">
        <f t="shared" si="53"/>
        <v>69276</v>
      </c>
      <c r="F148" s="822">
        <f t="shared" ref="F148:F211" si="57">INDEX($AT$22:$AU$34,MATCH($L148,$AT$22:$AT$34,0),MATCH("Number",$AT$22:$AU$22,0))</f>
        <v>8</v>
      </c>
      <c r="G148" s="500">
        <f t="shared" si="48"/>
        <v>153</v>
      </c>
      <c r="H148" s="126">
        <f t="shared" ref="H148:H211" si="58">IF($T$4="Monthly",INDEX($AT$36:$AU$48,MATCH($L148,$AT$36:$AT$48,0),MATCH("Number",$AT$36:$AU$36,0)),0)</f>
        <v>0</v>
      </c>
      <c r="I148" s="1098">
        <f t="shared" si="54"/>
        <v>1</v>
      </c>
      <c r="J148" s="887">
        <f t="shared" si="49"/>
        <v>129</v>
      </c>
      <c r="K148" s="1099">
        <f t="shared" si="43"/>
        <v>129</v>
      </c>
      <c r="L148" s="891" t="str">
        <f t="shared" si="44"/>
        <v>August</v>
      </c>
      <c r="M148" s="888">
        <f t="shared" si="50"/>
        <v>2089</v>
      </c>
      <c r="N148" s="883">
        <f t="shared" si="45"/>
        <v>0</v>
      </c>
      <c r="O148" s="883">
        <f t="shared" si="51"/>
        <v>0</v>
      </c>
      <c r="P148" s="1100"/>
      <c r="Q148" s="883">
        <f t="shared" ref="Q148:Q211" si="59">IF(AND($AS$39="Early Payoff",J148&gt;=$S$13),0,IF($J148&gt;$S$6,0,IF(AND($AR$29&gt;0,$J148&lt;=$AR$29),0,+$O148-$R148)))</f>
        <v>0</v>
      </c>
      <c r="R148" s="884">
        <f t="shared" si="52"/>
        <v>0</v>
      </c>
      <c r="S148" s="884">
        <f>IF(AND($AS$39="Early Payoff",J148&gt;=$S$13),0,IF($J148&lt;=$S$6,SUM($Q$20:$Q148),0))</f>
        <v>0</v>
      </c>
      <c r="T148" s="884">
        <f>IF(AND($AS$39="Early Payoff",J148&gt;=$S$13),0,IF($J148&lt;=$S$6,SUM($R$20:$R148),0))</f>
        <v>0</v>
      </c>
      <c r="U148" s="885">
        <f t="shared" ref="U148:U211" si="60">IF($K148&lt;$S$13,SUM($N148,$Q148),0)</f>
        <v>0</v>
      </c>
      <c r="V148" s="1110">
        <f t="shared" si="46"/>
        <v>0</v>
      </c>
      <c r="X148" s="1102">
        <f t="shared" ref="X148:X211" si="61">IF($J148&gt;$S$6,0,IF($J148&lt;=$AR$27,0,IF(AND($Y$5="%/Payment",$AA$5=0),$O148*$Z$5,IF(AND($Y$5="%/Payment",$AA$5&gt;0,($O148*$Z$5)&lt;$AA$5),$O148*$Z$5,IF(AND($Y$5="%/Payment",$AA$5&gt;0,($O148*$Z$5)&gt;$AA$5),-$AA$5,IF(AND($Y$5="%/Balance",$AA$5=0),-$U148*$Z$5,IF(AND($Y$5="%/Balance",$AA$5&gt;0,($U148*$Z$5)&lt;$AA$5),-$U148*$Z$5,IF(AND($Y$5="%/Balance",$AA$5&gt;0,($U148*$Z$5)&gt;$AA$5),-$AA$5,IF($Y$5="Fixed Amount",-$Z$5,IF($Y$5="N/A",0))))))))))</f>
        <v>0</v>
      </c>
      <c r="Y148" s="873">
        <f t="shared" ref="Y148:Y211" si="62">IF($J148&gt;$S$6,0,IF($J148&lt;=$AR$27,0,IF(AND($Y$6="%/Payment",$AA$6=0),$O148*$Z$6,IF(AND($Y$6="%/Payment",$AA$6&gt;0,($O148*$Z$6)&lt;$AA$6),$O148*$Z$6,IF(AND($Y$6="%/Payment",$AA$6&gt;0,($O148*$Z$6)&gt;$AA$6),-$AA$6,IF(AND($Y$6="%/Balance",$AA$6=0),-$U148*$Z$6,IF(AND($Y$6="%/Balance",$AA$6&gt;0,($U148*$Z$6)&lt;$AA$6),-$U148*$Z$6,IF(AND($Y$6="%/Balance",$AA$6&gt;0,($U148*$Z$6)&gt;$AA$6),-$AA$6,IF($Y$6="Fixed Amount",-$Z$6,IF($Y$6="N/A",0))))))))))</f>
        <v>0</v>
      </c>
      <c r="Z148" s="873">
        <f t="shared" ref="Z148:Z211" si="63">IF($J148&gt;$S$6,0,IF($J148&lt;=$AR$27,0,IF(AND($Y$7="%/Payment",$AA$7=0),$O148*$Z$7,IF(AND($Y$7="%/Payment",$AA$7&gt;0,($O148*$Z$7)&lt;$AA$7),$O148*$Z$7,IF(AND($Y$7="%/Payment",$AA$7&gt;0,($O148*$Z$7)&gt;$AA$7),-$AA$7,IF(AND($Y$7="%/Balance",$AA$7=0),-$U148*$Z$7,IF(AND($Y$7="%/Balance",$AA$7&gt;0,($U148*$Z$7)&lt;$AA$7),-$U148*$Z$7,IF(AND($Y$7="%/Balance",$AA$7&gt;0,($O148*$Z$7)&gt;$AA$7),-$AA$7,IF($Y$7="Fixed Amount",-$Z$7,IF($Y$7="N/A",0))))))))))</f>
        <v>0</v>
      </c>
      <c r="AA148" s="885">
        <f t="shared" ref="AA148:AA211" si="64">SUM($O148,$X148:$Z148)</f>
        <v>0</v>
      </c>
    </row>
    <row r="149" spans="2:27" s="278" customFormat="1" ht="12" customHeight="1" x14ac:dyDescent="0.25">
      <c r="B149" s="1192" t="e">
        <f t="shared" si="47"/>
        <v>#N/A</v>
      </c>
      <c r="C149" s="732">
        <f t="shared" si="55"/>
        <v>31</v>
      </c>
      <c r="D149" s="35">
        <f t="shared" si="56"/>
        <v>3</v>
      </c>
      <c r="E149" s="889">
        <f t="shared" si="53"/>
        <v>69488</v>
      </c>
      <c r="F149" s="822">
        <f t="shared" si="57"/>
        <v>3</v>
      </c>
      <c r="G149" s="500">
        <f t="shared" si="48"/>
        <v>212</v>
      </c>
      <c r="H149" s="126">
        <f t="shared" si="58"/>
        <v>0</v>
      </c>
      <c r="I149" s="1098">
        <f t="shared" si="54"/>
        <v>0</v>
      </c>
      <c r="J149" s="887">
        <f t="shared" si="49"/>
        <v>130</v>
      </c>
      <c r="K149" s="1099">
        <f t="shared" ref="K149:K212" si="65">IF($J149&lt;=$AR$29,0,IF($J148&gt;=$AR$29,$K148+1))</f>
        <v>130</v>
      </c>
      <c r="L149" s="891" t="str">
        <f t="shared" ref="L149:L212" si="66">IF($T$4="Annual",$R$5,IF(AND($T$4="Bi-Annual",$F148&lt;MAX($R$4,$S$4)),INDEX($AU$22:$AV$34,MATCH(MAX($R$4,$S$4),$AU$22:$AU$34,0),MATCH("Month",$AU$22:$AV$22,0)),IF(AND($T$4="Bi-Annual",$F148=MAX($R$4,$S$4)),INDEX($AU$22:$AV$34,MATCH(MIN($R$4,$S$4),$AU$22:$AU$34,0),MATCH("Month",$AU$22:$AV$22,0)),IF(AND($T$4="Monthly",$F148&lt;12),INDEX($AU$22:$AV$34,MATCH($F148+1,$AU$22:$AU$34,0),MATCH("Month",$AU$22:$AV$22,0)),IF(AND($T$4="Monthly",$F148=12),INDEX($AU$22:$AV$34,MATCH($F148-11,$AU$22:$AU$34,0),MATCH("Month",$AU$22:$AV$22,0)))))))</f>
        <v>March</v>
      </c>
      <c r="M149" s="888">
        <f t="shared" si="50"/>
        <v>2090</v>
      </c>
      <c r="N149" s="883">
        <f t="shared" ref="N149:N212" si="67">IF(AND($AS$39="Early Payoff",$J149&gt;$S$13),0,IF(AND($AS$39="Early Payoff",$J149&lt;$S$13),$U148,IF($J149&gt;$S$6,0,$U148)))</f>
        <v>0</v>
      </c>
      <c r="O149" s="883">
        <f t="shared" si="51"/>
        <v>0</v>
      </c>
      <c r="P149" s="1100"/>
      <c r="Q149" s="883">
        <f t="shared" si="59"/>
        <v>0</v>
      </c>
      <c r="R149" s="884">
        <f t="shared" si="52"/>
        <v>0</v>
      </c>
      <c r="S149" s="884">
        <f>IF(AND($AS$39="Early Payoff",J149&gt;=$S$13),0,IF($J149&lt;=$S$6,SUM($Q$20:$Q149),0))</f>
        <v>0</v>
      </c>
      <c r="T149" s="884">
        <f>IF(AND($AS$39="Early Payoff",J149&gt;=$S$13),0,IF($J149&lt;=$S$6,SUM($R$20:$R149),0))</f>
        <v>0</v>
      </c>
      <c r="U149" s="885">
        <f t="shared" si="60"/>
        <v>0</v>
      </c>
      <c r="V149" s="1110">
        <f t="shared" ref="V149:V212" si="68">IF($T$4="Monthly",$N149,IF(AND(OR($T$4="Annual",$T$4="Bi-Annual"),$K149=$T$7),INDEX($J$19:$U$379,MATCH($T$7,$K$19:$K$2379,0),MATCH($N$19,$J$19:$U$19,0)),IF(AND(OR($T$4="Annual",$T$4="Bi-Annual"),$K149&lt;$T$7),$N149,0)))</f>
        <v>0</v>
      </c>
      <c r="X149" s="1102">
        <f t="shared" si="61"/>
        <v>0</v>
      </c>
      <c r="Y149" s="873">
        <f t="shared" si="62"/>
        <v>0</v>
      </c>
      <c r="Z149" s="873">
        <f t="shared" si="63"/>
        <v>0</v>
      </c>
      <c r="AA149" s="885">
        <f t="shared" si="64"/>
        <v>0</v>
      </c>
    </row>
    <row r="150" spans="2:27" s="278" customFormat="1" ht="12" customHeight="1" x14ac:dyDescent="0.25">
      <c r="B150" s="1192" t="e">
        <f t="shared" ref="B150:B213" si="69">B149+1</f>
        <v>#N/A</v>
      </c>
      <c r="C150" s="732">
        <f t="shared" si="55"/>
        <v>31</v>
      </c>
      <c r="D150" s="35">
        <f t="shared" si="56"/>
        <v>8</v>
      </c>
      <c r="E150" s="889">
        <f t="shared" si="53"/>
        <v>69641</v>
      </c>
      <c r="F150" s="822">
        <f t="shared" si="57"/>
        <v>8</v>
      </c>
      <c r="G150" s="500">
        <f t="shared" ref="G150:G213" si="70">E150-E149</f>
        <v>153</v>
      </c>
      <c r="H150" s="126">
        <f t="shared" si="58"/>
        <v>0</v>
      </c>
      <c r="I150" s="1098">
        <f t="shared" si="54"/>
        <v>1</v>
      </c>
      <c r="J150" s="887">
        <f t="shared" ref="J150:J213" si="71">J149+1</f>
        <v>131</v>
      </c>
      <c r="K150" s="1099">
        <f t="shared" si="65"/>
        <v>131</v>
      </c>
      <c r="L150" s="891" t="str">
        <f t="shared" si="66"/>
        <v>August</v>
      </c>
      <c r="M150" s="888">
        <f t="shared" ref="M150:M213" si="72">IF($T$4="Annual",$M149+$I150,IF($T$4="Bi-Annual",$M149+$I149,IF($T$4="Monthly",$M149+$H149)))</f>
        <v>2090</v>
      </c>
      <c r="N150" s="883">
        <f t="shared" si="67"/>
        <v>0</v>
      </c>
      <c r="O150" s="883">
        <f t="shared" ref="O150:O213" si="73">IF($J150&gt;$S$6,0,IF(AND($AR$29&gt;=0,$J150&lt;=$AR$29),0,IF(AND($AR$27&gt;=0,$J150&lt;=$AR$27),$R150,IF(K150=$T$7,SUM(-N150,R150),IF(AND($T$4="Annual",$AR$27&gt;=0,$AR$29&gt;=0,$J150&gt;$AR$27,$J150&gt;$AR$29),PMT($M$7,($S$6-$AR$27),$M$4),IF(AND($T$4="Bi-Annual",$AR$27&gt;=0,$AR$29&gt;=0,$J150&gt;$AR$27,$J150&gt;$AR$29),PMT($M$7/2,($S$6-$AR$27),$M$4),IF(AND($T$4="Monthly",$AR$27&gt;=0,$AR$29&gt;=0,$J150&gt;$AR$27,$J150&gt;$AR$29),PMT($M$7/12,($S$6-$AR$27),$M$4))))))))-P150</f>
        <v>0</v>
      </c>
      <c r="P150" s="1100"/>
      <c r="Q150" s="883">
        <f t="shared" si="59"/>
        <v>0</v>
      </c>
      <c r="R150" s="884">
        <f t="shared" ref="R150:R213" si="74">IF(AND($AS$39="Early Payoff",J150&gt;=$S$13),0,IF($T$4="Annual",-$M$7*$U149*1,IF(AND($T$4="Bi-Annual",$M$8="Base"),(-$M$7/2)*$U149*1,IF(AND($T$4="Bi-Annual",$M$8="Actual Days"),(-$M$7*$U149)*(G150/366),IF($T$4="Monthly",(-$M$7/12)*$U149*1)))))</f>
        <v>0</v>
      </c>
      <c r="S150" s="884">
        <f>IF(AND($AS$39="Early Payoff",J150&gt;=$S$13),0,IF($J150&lt;=$S$6,SUM($Q$20:$Q150),0))</f>
        <v>0</v>
      </c>
      <c r="T150" s="884">
        <f>IF(AND($AS$39="Early Payoff",J150&gt;=$S$13),0,IF($J150&lt;=$S$6,SUM($R$20:$R150),0))</f>
        <v>0</v>
      </c>
      <c r="U150" s="885">
        <f t="shared" si="60"/>
        <v>0</v>
      </c>
      <c r="V150" s="1110">
        <f t="shared" si="68"/>
        <v>0</v>
      </c>
      <c r="X150" s="1102">
        <f t="shared" si="61"/>
        <v>0</v>
      </c>
      <c r="Y150" s="873">
        <f t="shared" si="62"/>
        <v>0</v>
      </c>
      <c r="Z150" s="873">
        <f t="shared" si="63"/>
        <v>0</v>
      </c>
      <c r="AA150" s="885">
        <f t="shared" si="64"/>
        <v>0</v>
      </c>
    </row>
    <row r="151" spans="2:27" s="278" customFormat="1" ht="12" customHeight="1" x14ac:dyDescent="0.25">
      <c r="B151" s="1192" t="e">
        <f t="shared" si="69"/>
        <v>#N/A</v>
      </c>
      <c r="C151" s="732">
        <f t="shared" si="55"/>
        <v>31</v>
      </c>
      <c r="D151" s="35">
        <f t="shared" si="56"/>
        <v>3</v>
      </c>
      <c r="E151" s="889">
        <f t="shared" ref="E151:E214" si="75">DATE(M151,D151,C151)</f>
        <v>69853</v>
      </c>
      <c r="F151" s="822">
        <f t="shared" si="57"/>
        <v>3</v>
      </c>
      <c r="G151" s="500">
        <f t="shared" si="70"/>
        <v>212</v>
      </c>
      <c r="H151" s="126">
        <f t="shared" si="58"/>
        <v>0</v>
      </c>
      <c r="I151" s="1098">
        <f t="shared" ref="I151:I214" si="76">IF($T$4="Annual",1,IF(AND($T$4="Bi-Annual",$F151&gt;$F152),1,IF(AND($T$4="Bi-Annual",$F151&lt;$F152),0,IF($T$4="Monthly",0,))))</f>
        <v>0</v>
      </c>
      <c r="J151" s="887">
        <f t="shared" si="71"/>
        <v>132</v>
      </c>
      <c r="K151" s="1099">
        <f t="shared" si="65"/>
        <v>132</v>
      </c>
      <c r="L151" s="891" t="str">
        <f t="shared" si="66"/>
        <v>March</v>
      </c>
      <c r="M151" s="888">
        <f t="shared" si="72"/>
        <v>2091</v>
      </c>
      <c r="N151" s="883">
        <f t="shared" si="67"/>
        <v>0</v>
      </c>
      <c r="O151" s="883">
        <f t="shared" si="73"/>
        <v>0</v>
      </c>
      <c r="P151" s="1100"/>
      <c r="Q151" s="883">
        <f t="shared" si="59"/>
        <v>0</v>
      </c>
      <c r="R151" s="884">
        <f t="shared" si="74"/>
        <v>0</v>
      </c>
      <c r="S151" s="884">
        <f>IF(AND($AS$39="Early Payoff",J151&gt;=$S$13),0,IF($J151&lt;=$S$6,SUM($Q$20:$Q151),0))</f>
        <v>0</v>
      </c>
      <c r="T151" s="884">
        <f>IF(AND($AS$39="Early Payoff",J151&gt;=$S$13),0,IF($J151&lt;=$S$6,SUM($R$20:$R151),0))</f>
        <v>0</v>
      </c>
      <c r="U151" s="885">
        <f t="shared" si="60"/>
        <v>0</v>
      </c>
      <c r="V151" s="1110">
        <f t="shared" si="68"/>
        <v>0</v>
      </c>
      <c r="X151" s="1102">
        <f t="shared" si="61"/>
        <v>0</v>
      </c>
      <c r="Y151" s="873">
        <f t="shared" si="62"/>
        <v>0</v>
      </c>
      <c r="Z151" s="873">
        <f t="shared" si="63"/>
        <v>0</v>
      </c>
      <c r="AA151" s="885">
        <f t="shared" si="64"/>
        <v>0</v>
      </c>
    </row>
    <row r="152" spans="2:27" s="278" customFormat="1" ht="12" customHeight="1" x14ac:dyDescent="0.25">
      <c r="B152" s="1192" t="e">
        <f t="shared" si="69"/>
        <v>#N/A</v>
      </c>
      <c r="C152" s="732">
        <f t="shared" si="55"/>
        <v>31</v>
      </c>
      <c r="D152" s="35">
        <f t="shared" si="56"/>
        <v>8</v>
      </c>
      <c r="E152" s="889">
        <f t="shared" si="75"/>
        <v>70006</v>
      </c>
      <c r="F152" s="822">
        <f t="shared" si="57"/>
        <v>8</v>
      </c>
      <c r="G152" s="500">
        <f t="shared" si="70"/>
        <v>153</v>
      </c>
      <c r="H152" s="126">
        <f t="shared" si="58"/>
        <v>0</v>
      </c>
      <c r="I152" s="1098">
        <f t="shared" si="76"/>
        <v>1</v>
      </c>
      <c r="J152" s="887">
        <f t="shared" si="71"/>
        <v>133</v>
      </c>
      <c r="K152" s="1099">
        <f t="shared" si="65"/>
        <v>133</v>
      </c>
      <c r="L152" s="891" t="str">
        <f t="shared" si="66"/>
        <v>August</v>
      </c>
      <c r="M152" s="888">
        <f t="shared" si="72"/>
        <v>2091</v>
      </c>
      <c r="N152" s="883">
        <f t="shared" si="67"/>
        <v>0</v>
      </c>
      <c r="O152" s="883">
        <f t="shared" si="73"/>
        <v>0</v>
      </c>
      <c r="P152" s="1100"/>
      <c r="Q152" s="883">
        <f t="shared" si="59"/>
        <v>0</v>
      </c>
      <c r="R152" s="884">
        <f t="shared" si="74"/>
        <v>0</v>
      </c>
      <c r="S152" s="884">
        <f>IF(AND($AS$39="Early Payoff",J152&gt;=$S$13),0,IF($J152&lt;=$S$6,SUM($Q$20:$Q152),0))</f>
        <v>0</v>
      </c>
      <c r="T152" s="884">
        <f>IF(AND($AS$39="Early Payoff",J152&gt;=$S$13),0,IF($J152&lt;=$S$6,SUM($R$20:$R152),0))</f>
        <v>0</v>
      </c>
      <c r="U152" s="885">
        <f t="shared" si="60"/>
        <v>0</v>
      </c>
      <c r="V152" s="1110">
        <f t="shared" si="68"/>
        <v>0</v>
      </c>
      <c r="X152" s="1102">
        <f t="shared" si="61"/>
        <v>0</v>
      </c>
      <c r="Y152" s="873">
        <f t="shared" si="62"/>
        <v>0</v>
      </c>
      <c r="Z152" s="873">
        <f t="shared" si="63"/>
        <v>0</v>
      </c>
      <c r="AA152" s="885">
        <f t="shared" si="64"/>
        <v>0</v>
      </c>
    </row>
    <row r="153" spans="2:27" s="278" customFormat="1" ht="12" customHeight="1" x14ac:dyDescent="0.25">
      <c r="B153" s="1192" t="e">
        <f t="shared" si="69"/>
        <v>#N/A</v>
      </c>
      <c r="C153" s="732">
        <f t="shared" si="55"/>
        <v>31</v>
      </c>
      <c r="D153" s="35">
        <f t="shared" si="56"/>
        <v>3</v>
      </c>
      <c r="E153" s="889">
        <f t="shared" si="75"/>
        <v>70219</v>
      </c>
      <c r="F153" s="822">
        <f t="shared" si="57"/>
        <v>3</v>
      </c>
      <c r="G153" s="500">
        <f t="shared" si="70"/>
        <v>213</v>
      </c>
      <c r="H153" s="126">
        <f t="shared" si="58"/>
        <v>0</v>
      </c>
      <c r="I153" s="1098">
        <f t="shared" si="76"/>
        <v>0</v>
      </c>
      <c r="J153" s="887">
        <f t="shared" si="71"/>
        <v>134</v>
      </c>
      <c r="K153" s="1099">
        <f t="shared" si="65"/>
        <v>134</v>
      </c>
      <c r="L153" s="891" t="str">
        <f t="shared" si="66"/>
        <v>March</v>
      </c>
      <c r="M153" s="888">
        <f t="shared" si="72"/>
        <v>2092</v>
      </c>
      <c r="N153" s="883">
        <f t="shared" si="67"/>
        <v>0</v>
      </c>
      <c r="O153" s="883">
        <f t="shared" si="73"/>
        <v>0</v>
      </c>
      <c r="P153" s="1100"/>
      <c r="Q153" s="883">
        <f t="shared" si="59"/>
        <v>0</v>
      </c>
      <c r="R153" s="884">
        <f t="shared" si="74"/>
        <v>0</v>
      </c>
      <c r="S153" s="884">
        <f>IF(AND($AS$39="Early Payoff",J153&gt;=$S$13),0,IF($J153&lt;=$S$6,SUM($Q$20:$Q153),0))</f>
        <v>0</v>
      </c>
      <c r="T153" s="884">
        <f>IF(AND($AS$39="Early Payoff",J153&gt;=$S$13),0,IF($J153&lt;=$S$6,SUM($R$20:$R153),0))</f>
        <v>0</v>
      </c>
      <c r="U153" s="885">
        <f t="shared" si="60"/>
        <v>0</v>
      </c>
      <c r="V153" s="1110">
        <f t="shared" si="68"/>
        <v>0</v>
      </c>
      <c r="X153" s="1102">
        <f t="shared" si="61"/>
        <v>0</v>
      </c>
      <c r="Y153" s="873">
        <f t="shared" si="62"/>
        <v>0</v>
      </c>
      <c r="Z153" s="873">
        <f t="shared" si="63"/>
        <v>0</v>
      </c>
      <c r="AA153" s="885">
        <f t="shared" si="64"/>
        <v>0</v>
      </c>
    </row>
    <row r="154" spans="2:27" s="278" customFormat="1" ht="12" customHeight="1" x14ac:dyDescent="0.25">
      <c r="B154" s="1192" t="e">
        <f t="shared" si="69"/>
        <v>#N/A</v>
      </c>
      <c r="C154" s="732">
        <f t="shared" si="55"/>
        <v>31</v>
      </c>
      <c r="D154" s="35">
        <f t="shared" si="56"/>
        <v>8</v>
      </c>
      <c r="E154" s="889">
        <f t="shared" si="75"/>
        <v>70372</v>
      </c>
      <c r="F154" s="822">
        <f t="shared" si="57"/>
        <v>8</v>
      </c>
      <c r="G154" s="500">
        <f t="shared" si="70"/>
        <v>153</v>
      </c>
      <c r="H154" s="126">
        <f t="shared" si="58"/>
        <v>0</v>
      </c>
      <c r="I154" s="1098">
        <f t="shared" si="76"/>
        <v>1</v>
      </c>
      <c r="J154" s="887">
        <f t="shared" si="71"/>
        <v>135</v>
      </c>
      <c r="K154" s="1099">
        <f t="shared" si="65"/>
        <v>135</v>
      </c>
      <c r="L154" s="891" t="str">
        <f t="shared" si="66"/>
        <v>August</v>
      </c>
      <c r="M154" s="888">
        <f t="shared" si="72"/>
        <v>2092</v>
      </c>
      <c r="N154" s="883">
        <f t="shared" si="67"/>
        <v>0</v>
      </c>
      <c r="O154" s="883">
        <f t="shared" si="73"/>
        <v>0</v>
      </c>
      <c r="P154" s="1100"/>
      <c r="Q154" s="883">
        <f t="shared" si="59"/>
        <v>0</v>
      </c>
      <c r="R154" s="884">
        <f t="shared" si="74"/>
        <v>0</v>
      </c>
      <c r="S154" s="884">
        <f>IF(AND($AS$39="Early Payoff",J154&gt;=$S$13),0,IF($J154&lt;=$S$6,SUM($Q$20:$Q154),0))</f>
        <v>0</v>
      </c>
      <c r="T154" s="884">
        <f>IF(AND($AS$39="Early Payoff",J154&gt;=$S$13),0,IF($J154&lt;=$S$6,SUM($R$20:$R154),0))</f>
        <v>0</v>
      </c>
      <c r="U154" s="885">
        <f t="shared" si="60"/>
        <v>0</v>
      </c>
      <c r="V154" s="1110">
        <f t="shared" si="68"/>
        <v>0</v>
      </c>
      <c r="X154" s="1102">
        <f t="shared" si="61"/>
        <v>0</v>
      </c>
      <c r="Y154" s="873">
        <f t="shared" si="62"/>
        <v>0</v>
      </c>
      <c r="Z154" s="873">
        <f t="shared" si="63"/>
        <v>0</v>
      </c>
      <c r="AA154" s="885">
        <f t="shared" si="64"/>
        <v>0</v>
      </c>
    </row>
    <row r="155" spans="2:27" s="278" customFormat="1" ht="12" customHeight="1" x14ac:dyDescent="0.25">
      <c r="B155" s="1192" t="e">
        <f t="shared" si="69"/>
        <v>#N/A</v>
      </c>
      <c r="C155" s="732">
        <f t="shared" si="55"/>
        <v>31</v>
      </c>
      <c r="D155" s="35">
        <f t="shared" si="56"/>
        <v>3</v>
      </c>
      <c r="E155" s="889">
        <f t="shared" si="75"/>
        <v>70584</v>
      </c>
      <c r="F155" s="822">
        <f t="shared" si="57"/>
        <v>3</v>
      </c>
      <c r="G155" s="500">
        <f t="shared" si="70"/>
        <v>212</v>
      </c>
      <c r="H155" s="126">
        <f t="shared" si="58"/>
        <v>0</v>
      </c>
      <c r="I155" s="1098">
        <f t="shared" si="76"/>
        <v>0</v>
      </c>
      <c r="J155" s="887">
        <f t="shared" si="71"/>
        <v>136</v>
      </c>
      <c r="K155" s="1099">
        <f t="shared" si="65"/>
        <v>136</v>
      </c>
      <c r="L155" s="891" t="str">
        <f t="shared" si="66"/>
        <v>March</v>
      </c>
      <c r="M155" s="888">
        <f t="shared" si="72"/>
        <v>2093</v>
      </c>
      <c r="N155" s="883">
        <f t="shared" si="67"/>
        <v>0</v>
      </c>
      <c r="O155" s="883">
        <f t="shared" si="73"/>
        <v>0</v>
      </c>
      <c r="P155" s="1100"/>
      <c r="Q155" s="883">
        <f t="shared" si="59"/>
        <v>0</v>
      </c>
      <c r="R155" s="884">
        <f t="shared" si="74"/>
        <v>0</v>
      </c>
      <c r="S155" s="884">
        <f>IF(AND($AS$39="Early Payoff",J155&gt;=$S$13),0,IF($J155&lt;=$S$6,SUM($Q$20:$Q155),0))</f>
        <v>0</v>
      </c>
      <c r="T155" s="884">
        <f>IF(AND($AS$39="Early Payoff",J155&gt;=$S$13),0,IF($J155&lt;=$S$6,SUM($R$20:$R155),0))</f>
        <v>0</v>
      </c>
      <c r="U155" s="885">
        <f t="shared" si="60"/>
        <v>0</v>
      </c>
      <c r="V155" s="1110">
        <f t="shared" si="68"/>
        <v>0</v>
      </c>
      <c r="X155" s="1102">
        <f t="shared" si="61"/>
        <v>0</v>
      </c>
      <c r="Y155" s="873">
        <f t="shared" si="62"/>
        <v>0</v>
      </c>
      <c r="Z155" s="873">
        <f t="shared" si="63"/>
        <v>0</v>
      </c>
      <c r="AA155" s="885">
        <f t="shared" si="64"/>
        <v>0</v>
      </c>
    </row>
    <row r="156" spans="2:27" s="278" customFormat="1" ht="12" customHeight="1" x14ac:dyDescent="0.25">
      <c r="B156" s="1192" t="e">
        <f t="shared" si="69"/>
        <v>#N/A</v>
      </c>
      <c r="C156" s="732">
        <f t="shared" si="55"/>
        <v>31</v>
      </c>
      <c r="D156" s="35">
        <f t="shared" si="56"/>
        <v>8</v>
      </c>
      <c r="E156" s="889">
        <f t="shared" si="75"/>
        <v>70737</v>
      </c>
      <c r="F156" s="822">
        <f t="shared" si="57"/>
        <v>8</v>
      </c>
      <c r="G156" s="500">
        <f t="shared" si="70"/>
        <v>153</v>
      </c>
      <c r="H156" s="126">
        <f t="shared" si="58"/>
        <v>0</v>
      </c>
      <c r="I156" s="1098">
        <f t="shared" si="76"/>
        <v>1</v>
      </c>
      <c r="J156" s="887">
        <f t="shared" si="71"/>
        <v>137</v>
      </c>
      <c r="K156" s="1099">
        <f t="shared" si="65"/>
        <v>137</v>
      </c>
      <c r="L156" s="891" t="str">
        <f t="shared" si="66"/>
        <v>August</v>
      </c>
      <c r="M156" s="888">
        <f t="shared" si="72"/>
        <v>2093</v>
      </c>
      <c r="N156" s="883">
        <f t="shared" si="67"/>
        <v>0</v>
      </c>
      <c r="O156" s="883">
        <f t="shared" si="73"/>
        <v>0</v>
      </c>
      <c r="P156" s="1100"/>
      <c r="Q156" s="883">
        <f t="shared" si="59"/>
        <v>0</v>
      </c>
      <c r="R156" s="884">
        <f t="shared" si="74"/>
        <v>0</v>
      </c>
      <c r="S156" s="884">
        <f>IF(AND($AS$39="Early Payoff",J156&gt;=$S$13),0,IF($J156&lt;=$S$6,SUM($Q$20:$Q156),0))</f>
        <v>0</v>
      </c>
      <c r="T156" s="884">
        <f>IF(AND($AS$39="Early Payoff",J156&gt;=$S$13),0,IF($J156&lt;=$S$6,SUM($R$20:$R156),0))</f>
        <v>0</v>
      </c>
      <c r="U156" s="885">
        <f t="shared" si="60"/>
        <v>0</v>
      </c>
      <c r="V156" s="1110">
        <f t="shared" si="68"/>
        <v>0</v>
      </c>
      <c r="X156" s="1102">
        <f t="shared" si="61"/>
        <v>0</v>
      </c>
      <c r="Y156" s="873">
        <f t="shared" si="62"/>
        <v>0</v>
      </c>
      <c r="Z156" s="873">
        <f t="shared" si="63"/>
        <v>0</v>
      </c>
      <c r="AA156" s="885">
        <f t="shared" si="64"/>
        <v>0</v>
      </c>
    </row>
    <row r="157" spans="2:27" s="278" customFormat="1" ht="12" customHeight="1" x14ac:dyDescent="0.25">
      <c r="B157" s="1192" t="e">
        <f t="shared" si="69"/>
        <v>#N/A</v>
      </c>
      <c r="C157" s="732">
        <f t="shared" si="55"/>
        <v>31</v>
      </c>
      <c r="D157" s="35">
        <f t="shared" si="56"/>
        <v>3</v>
      </c>
      <c r="E157" s="889">
        <f t="shared" si="75"/>
        <v>70949</v>
      </c>
      <c r="F157" s="822">
        <f t="shared" si="57"/>
        <v>3</v>
      </c>
      <c r="G157" s="500">
        <f t="shared" si="70"/>
        <v>212</v>
      </c>
      <c r="H157" s="126">
        <f t="shared" si="58"/>
        <v>0</v>
      </c>
      <c r="I157" s="1098">
        <f t="shared" si="76"/>
        <v>0</v>
      </c>
      <c r="J157" s="887">
        <f t="shared" si="71"/>
        <v>138</v>
      </c>
      <c r="K157" s="1099">
        <f t="shared" si="65"/>
        <v>138</v>
      </c>
      <c r="L157" s="891" t="str">
        <f t="shared" si="66"/>
        <v>March</v>
      </c>
      <c r="M157" s="888">
        <f t="shared" si="72"/>
        <v>2094</v>
      </c>
      <c r="N157" s="883">
        <f t="shared" si="67"/>
        <v>0</v>
      </c>
      <c r="O157" s="883">
        <f t="shared" si="73"/>
        <v>0</v>
      </c>
      <c r="P157" s="1100"/>
      <c r="Q157" s="883">
        <f t="shared" si="59"/>
        <v>0</v>
      </c>
      <c r="R157" s="884">
        <f t="shared" si="74"/>
        <v>0</v>
      </c>
      <c r="S157" s="884">
        <f>IF(AND($AS$39="Early Payoff",J157&gt;=$S$13),0,IF($J157&lt;=$S$6,SUM($Q$20:$Q157),0))</f>
        <v>0</v>
      </c>
      <c r="T157" s="884">
        <f>IF(AND($AS$39="Early Payoff",J157&gt;=$S$13),0,IF($J157&lt;=$S$6,SUM($R$20:$R157),0))</f>
        <v>0</v>
      </c>
      <c r="U157" s="885">
        <f t="shared" si="60"/>
        <v>0</v>
      </c>
      <c r="V157" s="1110">
        <f t="shared" si="68"/>
        <v>0</v>
      </c>
      <c r="X157" s="1102">
        <f t="shared" si="61"/>
        <v>0</v>
      </c>
      <c r="Y157" s="873">
        <f t="shared" si="62"/>
        <v>0</v>
      </c>
      <c r="Z157" s="873">
        <f t="shared" si="63"/>
        <v>0</v>
      </c>
      <c r="AA157" s="885">
        <f t="shared" si="64"/>
        <v>0</v>
      </c>
    </row>
    <row r="158" spans="2:27" s="278" customFormat="1" ht="12" customHeight="1" x14ac:dyDescent="0.25">
      <c r="B158" s="1192" t="e">
        <f t="shared" si="69"/>
        <v>#N/A</v>
      </c>
      <c r="C158" s="732">
        <f t="shared" si="55"/>
        <v>31</v>
      </c>
      <c r="D158" s="35">
        <f t="shared" si="56"/>
        <v>8</v>
      </c>
      <c r="E158" s="889">
        <f t="shared" si="75"/>
        <v>71102</v>
      </c>
      <c r="F158" s="822">
        <f t="shared" si="57"/>
        <v>8</v>
      </c>
      <c r="G158" s="500">
        <f t="shared" si="70"/>
        <v>153</v>
      </c>
      <c r="H158" s="126">
        <f t="shared" si="58"/>
        <v>0</v>
      </c>
      <c r="I158" s="1098">
        <f t="shared" si="76"/>
        <v>1</v>
      </c>
      <c r="J158" s="887">
        <f t="shared" si="71"/>
        <v>139</v>
      </c>
      <c r="K158" s="1099">
        <f t="shared" si="65"/>
        <v>139</v>
      </c>
      <c r="L158" s="891" t="str">
        <f t="shared" si="66"/>
        <v>August</v>
      </c>
      <c r="M158" s="888">
        <f t="shared" si="72"/>
        <v>2094</v>
      </c>
      <c r="N158" s="883">
        <f t="shared" si="67"/>
        <v>0</v>
      </c>
      <c r="O158" s="883">
        <f t="shared" si="73"/>
        <v>0</v>
      </c>
      <c r="P158" s="1100"/>
      <c r="Q158" s="883">
        <f t="shared" si="59"/>
        <v>0</v>
      </c>
      <c r="R158" s="884">
        <f t="shared" si="74"/>
        <v>0</v>
      </c>
      <c r="S158" s="884">
        <f>IF(AND($AS$39="Early Payoff",J158&gt;=$S$13),0,IF($J158&lt;=$S$6,SUM($Q$20:$Q158),0))</f>
        <v>0</v>
      </c>
      <c r="T158" s="884">
        <f>IF(AND($AS$39="Early Payoff",J158&gt;=$S$13),0,IF($J158&lt;=$S$6,SUM($R$20:$R158),0))</f>
        <v>0</v>
      </c>
      <c r="U158" s="885">
        <f t="shared" si="60"/>
        <v>0</v>
      </c>
      <c r="V158" s="1110">
        <f t="shared" si="68"/>
        <v>0</v>
      </c>
      <c r="X158" s="1102">
        <f t="shared" si="61"/>
        <v>0</v>
      </c>
      <c r="Y158" s="873">
        <f t="shared" si="62"/>
        <v>0</v>
      </c>
      <c r="Z158" s="873">
        <f t="shared" si="63"/>
        <v>0</v>
      </c>
      <c r="AA158" s="885">
        <f t="shared" si="64"/>
        <v>0</v>
      </c>
    </row>
    <row r="159" spans="2:27" s="278" customFormat="1" ht="12" customHeight="1" x14ac:dyDescent="0.25">
      <c r="B159" s="1192" t="e">
        <f t="shared" si="69"/>
        <v>#N/A</v>
      </c>
      <c r="C159" s="732">
        <f t="shared" si="55"/>
        <v>31</v>
      </c>
      <c r="D159" s="35">
        <f t="shared" si="56"/>
        <v>3</v>
      </c>
      <c r="E159" s="889">
        <f t="shared" si="75"/>
        <v>71314</v>
      </c>
      <c r="F159" s="822">
        <f t="shared" si="57"/>
        <v>3</v>
      </c>
      <c r="G159" s="500">
        <f t="shared" si="70"/>
        <v>212</v>
      </c>
      <c r="H159" s="126">
        <f t="shared" si="58"/>
        <v>0</v>
      </c>
      <c r="I159" s="1098">
        <f t="shared" si="76"/>
        <v>0</v>
      </c>
      <c r="J159" s="887">
        <f t="shared" si="71"/>
        <v>140</v>
      </c>
      <c r="K159" s="1099">
        <f t="shared" si="65"/>
        <v>140</v>
      </c>
      <c r="L159" s="891" t="str">
        <f t="shared" si="66"/>
        <v>March</v>
      </c>
      <c r="M159" s="888">
        <f t="shared" si="72"/>
        <v>2095</v>
      </c>
      <c r="N159" s="883">
        <f t="shared" si="67"/>
        <v>0</v>
      </c>
      <c r="O159" s="883">
        <f t="shared" si="73"/>
        <v>0</v>
      </c>
      <c r="P159" s="1100"/>
      <c r="Q159" s="883">
        <f t="shared" si="59"/>
        <v>0</v>
      </c>
      <c r="R159" s="884">
        <f t="shared" si="74"/>
        <v>0</v>
      </c>
      <c r="S159" s="884">
        <f>IF(AND($AS$39="Early Payoff",J159&gt;=$S$13),0,IF($J159&lt;=$S$6,SUM($Q$20:$Q159),0))</f>
        <v>0</v>
      </c>
      <c r="T159" s="884">
        <f>IF(AND($AS$39="Early Payoff",J159&gt;=$S$13),0,IF($J159&lt;=$S$6,SUM($R$20:$R159),0))</f>
        <v>0</v>
      </c>
      <c r="U159" s="885">
        <f t="shared" si="60"/>
        <v>0</v>
      </c>
      <c r="V159" s="1110">
        <f t="shared" si="68"/>
        <v>0</v>
      </c>
      <c r="X159" s="1102">
        <f t="shared" si="61"/>
        <v>0</v>
      </c>
      <c r="Y159" s="873">
        <f t="shared" si="62"/>
        <v>0</v>
      </c>
      <c r="Z159" s="873">
        <f t="shared" si="63"/>
        <v>0</v>
      </c>
      <c r="AA159" s="885">
        <f t="shared" si="64"/>
        <v>0</v>
      </c>
    </row>
    <row r="160" spans="2:27" s="278" customFormat="1" ht="12" customHeight="1" x14ac:dyDescent="0.25">
      <c r="B160" s="1192" t="e">
        <f t="shared" si="69"/>
        <v>#N/A</v>
      </c>
      <c r="C160" s="732">
        <f t="shared" si="55"/>
        <v>31</v>
      </c>
      <c r="D160" s="35">
        <f t="shared" si="56"/>
        <v>8</v>
      </c>
      <c r="E160" s="889">
        <f t="shared" si="75"/>
        <v>71467</v>
      </c>
      <c r="F160" s="822">
        <f t="shared" si="57"/>
        <v>8</v>
      </c>
      <c r="G160" s="500">
        <f t="shared" si="70"/>
        <v>153</v>
      </c>
      <c r="H160" s="126">
        <f t="shared" si="58"/>
        <v>0</v>
      </c>
      <c r="I160" s="1098">
        <f t="shared" si="76"/>
        <v>1</v>
      </c>
      <c r="J160" s="887">
        <f t="shared" si="71"/>
        <v>141</v>
      </c>
      <c r="K160" s="1099">
        <f t="shared" si="65"/>
        <v>141</v>
      </c>
      <c r="L160" s="891" t="str">
        <f t="shared" si="66"/>
        <v>August</v>
      </c>
      <c r="M160" s="888">
        <f t="shared" si="72"/>
        <v>2095</v>
      </c>
      <c r="N160" s="883">
        <f t="shared" si="67"/>
        <v>0</v>
      </c>
      <c r="O160" s="883">
        <f t="shared" si="73"/>
        <v>0</v>
      </c>
      <c r="P160" s="1100"/>
      <c r="Q160" s="883">
        <f t="shared" si="59"/>
        <v>0</v>
      </c>
      <c r="R160" s="884">
        <f t="shared" si="74"/>
        <v>0</v>
      </c>
      <c r="S160" s="884">
        <f>IF(AND($AS$39="Early Payoff",J160&gt;=$S$13),0,IF($J160&lt;=$S$6,SUM($Q$20:$Q160),0))</f>
        <v>0</v>
      </c>
      <c r="T160" s="884">
        <f>IF(AND($AS$39="Early Payoff",J160&gt;=$S$13),0,IF($J160&lt;=$S$6,SUM($R$20:$R160),0))</f>
        <v>0</v>
      </c>
      <c r="U160" s="885">
        <f t="shared" si="60"/>
        <v>0</v>
      </c>
      <c r="V160" s="1110">
        <f t="shared" si="68"/>
        <v>0</v>
      </c>
      <c r="X160" s="1102">
        <f t="shared" si="61"/>
        <v>0</v>
      </c>
      <c r="Y160" s="873">
        <f t="shared" si="62"/>
        <v>0</v>
      </c>
      <c r="Z160" s="873">
        <f t="shared" si="63"/>
        <v>0</v>
      </c>
      <c r="AA160" s="885">
        <f t="shared" si="64"/>
        <v>0</v>
      </c>
    </row>
    <row r="161" spans="2:27" s="278" customFormat="1" ht="12" customHeight="1" x14ac:dyDescent="0.25">
      <c r="B161" s="1192" t="e">
        <f t="shared" si="69"/>
        <v>#N/A</v>
      </c>
      <c r="C161" s="732">
        <f t="shared" si="55"/>
        <v>31</v>
      </c>
      <c r="D161" s="35">
        <f t="shared" si="56"/>
        <v>3</v>
      </c>
      <c r="E161" s="889">
        <f t="shared" si="75"/>
        <v>71680</v>
      </c>
      <c r="F161" s="822">
        <f t="shared" si="57"/>
        <v>3</v>
      </c>
      <c r="G161" s="500">
        <f t="shared" si="70"/>
        <v>213</v>
      </c>
      <c r="H161" s="126">
        <f t="shared" si="58"/>
        <v>0</v>
      </c>
      <c r="I161" s="1098">
        <f t="shared" si="76"/>
        <v>0</v>
      </c>
      <c r="J161" s="887">
        <f t="shared" si="71"/>
        <v>142</v>
      </c>
      <c r="K161" s="1099">
        <f t="shared" si="65"/>
        <v>142</v>
      </c>
      <c r="L161" s="891" t="str">
        <f t="shared" si="66"/>
        <v>March</v>
      </c>
      <c r="M161" s="888">
        <f t="shared" si="72"/>
        <v>2096</v>
      </c>
      <c r="N161" s="883">
        <f t="shared" si="67"/>
        <v>0</v>
      </c>
      <c r="O161" s="883">
        <f t="shared" si="73"/>
        <v>0</v>
      </c>
      <c r="P161" s="1100"/>
      <c r="Q161" s="883">
        <f t="shared" si="59"/>
        <v>0</v>
      </c>
      <c r="R161" s="884">
        <f t="shared" si="74"/>
        <v>0</v>
      </c>
      <c r="S161" s="884">
        <f>IF(AND($AS$39="Early Payoff",J161&gt;=$S$13),0,IF($J161&lt;=$S$6,SUM($Q$20:$Q161),0))</f>
        <v>0</v>
      </c>
      <c r="T161" s="884">
        <f>IF(AND($AS$39="Early Payoff",J161&gt;=$S$13),0,IF($J161&lt;=$S$6,SUM($R$20:$R161),0))</f>
        <v>0</v>
      </c>
      <c r="U161" s="885">
        <f t="shared" si="60"/>
        <v>0</v>
      </c>
      <c r="V161" s="1110">
        <f t="shared" si="68"/>
        <v>0</v>
      </c>
      <c r="X161" s="1102">
        <f t="shared" si="61"/>
        <v>0</v>
      </c>
      <c r="Y161" s="873">
        <f t="shared" si="62"/>
        <v>0</v>
      </c>
      <c r="Z161" s="873">
        <f t="shared" si="63"/>
        <v>0</v>
      </c>
      <c r="AA161" s="885">
        <f t="shared" si="64"/>
        <v>0</v>
      </c>
    </row>
    <row r="162" spans="2:27" s="278" customFormat="1" ht="12" customHeight="1" x14ac:dyDescent="0.25">
      <c r="B162" s="1192" t="e">
        <f t="shared" si="69"/>
        <v>#N/A</v>
      </c>
      <c r="C162" s="732">
        <f t="shared" si="55"/>
        <v>31</v>
      </c>
      <c r="D162" s="35">
        <f t="shared" si="56"/>
        <v>8</v>
      </c>
      <c r="E162" s="889">
        <f t="shared" si="75"/>
        <v>71833</v>
      </c>
      <c r="F162" s="822">
        <f t="shared" si="57"/>
        <v>8</v>
      </c>
      <c r="G162" s="500">
        <f t="shared" si="70"/>
        <v>153</v>
      </c>
      <c r="H162" s="126">
        <f t="shared" si="58"/>
        <v>0</v>
      </c>
      <c r="I162" s="1098">
        <f t="shared" si="76"/>
        <v>1</v>
      </c>
      <c r="J162" s="887">
        <f t="shared" si="71"/>
        <v>143</v>
      </c>
      <c r="K162" s="1099">
        <f t="shared" si="65"/>
        <v>143</v>
      </c>
      <c r="L162" s="891" t="str">
        <f t="shared" si="66"/>
        <v>August</v>
      </c>
      <c r="M162" s="888">
        <f t="shared" si="72"/>
        <v>2096</v>
      </c>
      <c r="N162" s="883">
        <f t="shared" si="67"/>
        <v>0</v>
      </c>
      <c r="O162" s="883">
        <f t="shared" si="73"/>
        <v>0</v>
      </c>
      <c r="P162" s="1100"/>
      <c r="Q162" s="883">
        <f t="shared" si="59"/>
        <v>0</v>
      </c>
      <c r="R162" s="884">
        <f t="shared" si="74"/>
        <v>0</v>
      </c>
      <c r="S162" s="884">
        <f>IF(AND($AS$39="Early Payoff",J162&gt;=$S$13),0,IF($J162&lt;=$S$6,SUM($Q$20:$Q162),0))</f>
        <v>0</v>
      </c>
      <c r="T162" s="884">
        <f>IF(AND($AS$39="Early Payoff",J162&gt;=$S$13),0,IF($J162&lt;=$S$6,SUM($R$20:$R162),0))</f>
        <v>0</v>
      </c>
      <c r="U162" s="885">
        <f t="shared" si="60"/>
        <v>0</v>
      </c>
      <c r="V162" s="1110">
        <f t="shared" si="68"/>
        <v>0</v>
      </c>
      <c r="X162" s="1102">
        <f t="shared" si="61"/>
        <v>0</v>
      </c>
      <c r="Y162" s="873">
        <f t="shared" si="62"/>
        <v>0</v>
      </c>
      <c r="Z162" s="873">
        <f t="shared" si="63"/>
        <v>0</v>
      </c>
      <c r="AA162" s="885">
        <f t="shared" si="64"/>
        <v>0</v>
      </c>
    </row>
    <row r="163" spans="2:27" s="278" customFormat="1" ht="12" customHeight="1" x14ac:dyDescent="0.25">
      <c r="B163" s="1192" t="e">
        <f t="shared" si="69"/>
        <v>#N/A</v>
      </c>
      <c r="C163" s="732">
        <f t="shared" si="55"/>
        <v>31</v>
      </c>
      <c r="D163" s="35">
        <f t="shared" si="56"/>
        <v>3</v>
      </c>
      <c r="E163" s="889">
        <f t="shared" si="75"/>
        <v>72045</v>
      </c>
      <c r="F163" s="822">
        <f t="shared" si="57"/>
        <v>3</v>
      </c>
      <c r="G163" s="500">
        <f t="shared" si="70"/>
        <v>212</v>
      </c>
      <c r="H163" s="126">
        <f t="shared" si="58"/>
        <v>0</v>
      </c>
      <c r="I163" s="1098">
        <f t="shared" si="76"/>
        <v>0</v>
      </c>
      <c r="J163" s="887">
        <f t="shared" si="71"/>
        <v>144</v>
      </c>
      <c r="K163" s="1099">
        <f t="shared" si="65"/>
        <v>144</v>
      </c>
      <c r="L163" s="891" t="str">
        <f t="shared" si="66"/>
        <v>March</v>
      </c>
      <c r="M163" s="888">
        <f t="shared" si="72"/>
        <v>2097</v>
      </c>
      <c r="N163" s="883">
        <f t="shared" si="67"/>
        <v>0</v>
      </c>
      <c r="O163" s="883">
        <f t="shared" si="73"/>
        <v>0</v>
      </c>
      <c r="P163" s="1100"/>
      <c r="Q163" s="883">
        <f t="shared" si="59"/>
        <v>0</v>
      </c>
      <c r="R163" s="884">
        <f t="shared" si="74"/>
        <v>0</v>
      </c>
      <c r="S163" s="884">
        <f>IF(AND($AS$39="Early Payoff",J163&gt;=$S$13),0,IF($J163&lt;=$S$6,SUM($Q$20:$Q163),0))</f>
        <v>0</v>
      </c>
      <c r="T163" s="884">
        <f>IF(AND($AS$39="Early Payoff",J163&gt;=$S$13),0,IF($J163&lt;=$S$6,SUM($R$20:$R163),0))</f>
        <v>0</v>
      </c>
      <c r="U163" s="885">
        <f t="shared" si="60"/>
        <v>0</v>
      </c>
      <c r="V163" s="1110">
        <f t="shared" si="68"/>
        <v>0</v>
      </c>
      <c r="X163" s="1102">
        <f t="shared" si="61"/>
        <v>0</v>
      </c>
      <c r="Y163" s="873">
        <f t="shared" si="62"/>
        <v>0</v>
      </c>
      <c r="Z163" s="873">
        <f t="shared" si="63"/>
        <v>0</v>
      </c>
      <c r="AA163" s="885">
        <f t="shared" si="64"/>
        <v>0</v>
      </c>
    </row>
    <row r="164" spans="2:27" s="278" customFormat="1" ht="12" customHeight="1" x14ac:dyDescent="0.25">
      <c r="B164" s="1192" t="e">
        <f t="shared" si="69"/>
        <v>#N/A</v>
      </c>
      <c r="C164" s="732">
        <f t="shared" si="55"/>
        <v>31</v>
      </c>
      <c r="D164" s="35">
        <f t="shared" si="56"/>
        <v>8</v>
      </c>
      <c r="E164" s="889">
        <f t="shared" si="75"/>
        <v>72198</v>
      </c>
      <c r="F164" s="822">
        <f t="shared" si="57"/>
        <v>8</v>
      </c>
      <c r="G164" s="500">
        <f t="shared" si="70"/>
        <v>153</v>
      </c>
      <c r="H164" s="126">
        <f t="shared" si="58"/>
        <v>0</v>
      </c>
      <c r="I164" s="1098">
        <f t="shared" si="76"/>
        <v>1</v>
      </c>
      <c r="J164" s="887">
        <f t="shared" si="71"/>
        <v>145</v>
      </c>
      <c r="K164" s="1099">
        <f t="shared" si="65"/>
        <v>145</v>
      </c>
      <c r="L164" s="891" t="str">
        <f t="shared" si="66"/>
        <v>August</v>
      </c>
      <c r="M164" s="888">
        <f t="shared" si="72"/>
        <v>2097</v>
      </c>
      <c r="N164" s="883">
        <f t="shared" si="67"/>
        <v>0</v>
      </c>
      <c r="O164" s="883">
        <f t="shared" si="73"/>
        <v>0</v>
      </c>
      <c r="P164" s="1100"/>
      <c r="Q164" s="883">
        <f t="shared" si="59"/>
        <v>0</v>
      </c>
      <c r="R164" s="884">
        <f t="shared" si="74"/>
        <v>0</v>
      </c>
      <c r="S164" s="884">
        <f>IF(AND($AS$39="Early Payoff",J164&gt;=$S$13),0,IF($J164&lt;=$S$6,SUM($Q$20:$Q164),0))</f>
        <v>0</v>
      </c>
      <c r="T164" s="884">
        <f>IF(AND($AS$39="Early Payoff",J164&gt;=$S$13),0,IF($J164&lt;=$S$6,SUM($R$20:$R164),0))</f>
        <v>0</v>
      </c>
      <c r="U164" s="885">
        <f t="shared" si="60"/>
        <v>0</v>
      </c>
      <c r="V164" s="1110">
        <f t="shared" si="68"/>
        <v>0</v>
      </c>
      <c r="X164" s="1102">
        <f t="shared" si="61"/>
        <v>0</v>
      </c>
      <c r="Y164" s="873">
        <f t="shared" si="62"/>
        <v>0</v>
      </c>
      <c r="Z164" s="873">
        <f t="shared" si="63"/>
        <v>0</v>
      </c>
      <c r="AA164" s="885">
        <f t="shared" si="64"/>
        <v>0</v>
      </c>
    </row>
    <row r="165" spans="2:27" s="278" customFormat="1" ht="12" customHeight="1" x14ac:dyDescent="0.25">
      <c r="B165" s="1192" t="e">
        <f t="shared" si="69"/>
        <v>#N/A</v>
      </c>
      <c r="C165" s="732">
        <f t="shared" si="55"/>
        <v>31</v>
      </c>
      <c r="D165" s="35">
        <f t="shared" si="56"/>
        <v>3</v>
      </c>
      <c r="E165" s="889">
        <f t="shared" si="75"/>
        <v>72410</v>
      </c>
      <c r="F165" s="822">
        <f t="shared" si="57"/>
        <v>3</v>
      </c>
      <c r="G165" s="500">
        <f t="shared" si="70"/>
        <v>212</v>
      </c>
      <c r="H165" s="126">
        <f t="shared" si="58"/>
        <v>0</v>
      </c>
      <c r="I165" s="1098">
        <f t="shared" si="76"/>
        <v>0</v>
      </c>
      <c r="J165" s="887">
        <f t="shared" si="71"/>
        <v>146</v>
      </c>
      <c r="K165" s="1099">
        <f t="shared" si="65"/>
        <v>146</v>
      </c>
      <c r="L165" s="891" t="str">
        <f t="shared" si="66"/>
        <v>March</v>
      </c>
      <c r="M165" s="888">
        <f t="shared" si="72"/>
        <v>2098</v>
      </c>
      <c r="N165" s="883">
        <f t="shared" si="67"/>
        <v>0</v>
      </c>
      <c r="O165" s="883">
        <f t="shared" si="73"/>
        <v>0</v>
      </c>
      <c r="P165" s="1100"/>
      <c r="Q165" s="883">
        <f t="shared" si="59"/>
        <v>0</v>
      </c>
      <c r="R165" s="884">
        <f t="shared" si="74"/>
        <v>0</v>
      </c>
      <c r="S165" s="884">
        <f>IF(AND($AS$39="Early Payoff",J165&gt;=$S$13),0,IF($J165&lt;=$S$6,SUM($Q$20:$Q165),0))</f>
        <v>0</v>
      </c>
      <c r="T165" s="884">
        <f>IF(AND($AS$39="Early Payoff",J165&gt;=$S$13),0,IF($J165&lt;=$S$6,SUM($R$20:$R165),0))</f>
        <v>0</v>
      </c>
      <c r="U165" s="885">
        <f t="shared" si="60"/>
        <v>0</v>
      </c>
      <c r="V165" s="1110">
        <f t="shared" si="68"/>
        <v>0</v>
      </c>
      <c r="X165" s="1102">
        <f t="shared" si="61"/>
        <v>0</v>
      </c>
      <c r="Y165" s="873">
        <f t="shared" si="62"/>
        <v>0</v>
      </c>
      <c r="Z165" s="873">
        <f t="shared" si="63"/>
        <v>0</v>
      </c>
      <c r="AA165" s="885">
        <f t="shared" si="64"/>
        <v>0</v>
      </c>
    </row>
    <row r="166" spans="2:27" s="278" customFormat="1" ht="12" customHeight="1" x14ac:dyDescent="0.25">
      <c r="B166" s="1192" t="e">
        <f t="shared" si="69"/>
        <v>#N/A</v>
      </c>
      <c r="C166" s="732">
        <f t="shared" si="55"/>
        <v>31</v>
      </c>
      <c r="D166" s="35">
        <f t="shared" si="56"/>
        <v>8</v>
      </c>
      <c r="E166" s="889">
        <f t="shared" si="75"/>
        <v>72563</v>
      </c>
      <c r="F166" s="822">
        <f t="shared" si="57"/>
        <v>8</v>
      </c>
      <c r="G166" s="500">
        <f t="shared" si="70"/>
        <v>153</v>
      </c>
      <c r="H166" s="126">
        <f t="shared" si="58"/>
        <v>0</v>
      </c>
      <c r="I166" s="1098">
        <f t="shared" si="76"/>
        <v>1</v>
      </c>
      <c r="J166" s="887">
        <f t="shared" si="71"/>
        <v>147</v>
      </c>
      <c r="K166" s="1099">
        <f t="shared" si="65"/>
        <v>147</v>
      </c>
      <c r="L166" s="891" t="str">
        <f t="shared" si="66"/>
        <v>August</v>
      </c>
      <c r="M166" s="888">
        <f t="shared" si="72"/>
        <v>2098</v>
      </c>
      <c r="N166" s="883">
        <f t="shared" si="67"/>
        <v>0</v>
      </c>
      <c r="O166" s="883">
        <f t="shared" si="73"/>
        <v>0</v>
      </c>
      <c r="P166" s="1100"/>
      <c r="Q166" s="883">
        <f t="shared" si="59"/>
        <v>0</v>
      </c>
      <c r="R166" s="884">
        <f t="shared" si="74"/>
        <v>0</v>
      </c>
      <c r="S166" s="884">
        <f>IF(AND($AS$39="Early Payoff",J166&gt;=$S$13),0,IF($J166&lt;=$S$6,SUM($Q$20:$Q166),0))</f>
        <v>0</v>
      </c>
      <c r="T166" s="884">
        <f>IF(AND($AS$39="Early Payoff",J166&gt;=$S$13),0,IF($J166&lt;=$S$6,SUM($R$20:$R166),0))</f>
        <v>0</v>
      </c>
      <c r="U166" s="885">
        <f t="shared" si="60"/>
        <v>0</v>
      </c>
      <c r="V166" s="1110">
        <f t="shared" si="68"/>
        <v>0</v>
      </c>
      <c r="X166" s="1102">
        <f t="shared" si="61"/>
        <v>0</v>
      </c>
      <c r="Y166" s="873">
        <f t="shared" si="62"/>
        <v>0</v>
      </c>
      <c r="Z166" s="873">
        <f t="shared" si="63"/>
        <v>0</v>
      </c>
      <c r="AA166" s="885">
        <f t="shared" si="64"/>
        <v>0</v>
      </c>
    </row>
    <row r="167" spans="2:27" s="278" customFormat="1" ht="12" customHeight="1" x14ac:dyDescent="0.25">
      <c r="B167" s="1192" t="e">
        <f t="shared" si="69"/>
        <v>#N/A</v>
      </c>
      <c r="C167" s="732">
        <f t="shared" si="55"/>
        <v>31</v>
      </c>
      <c r="D167" s="35">
        <f t="shared" si="56"/>
        <v>3</v>
      </c>
      <c r="E167" s="889">
        <f t="shared" si="75"/>
        <v>72775</v>
      </c>
      <c r="F167" s="822">
        <f t="shared" si="57"/>
        <v>3</v>
      </c>
      <c r="G167" s="500">
        <f t="shared" si="70"/>
        <v>212</v>
      </c>
      <c r="H167" s="126">
        <f t="shared" si="58"/>
        <v>0</v>
      </c>
      <c r="I167" s="1098">
        <f t="shared" si="76"/>
        <v>0</v>
      </c>
      <c r="J167" s="887">
        <f t="shared" si="71"/>
        <v>148</v>
      </c>
      <c r="K167" s="1099">
        <f t="shared" si="65"/>
        <v>148</v>
      </c>
      <c r="L167" s="891" t="str">
        <f t="shared" si="66"/>
        <v>March</v>
      </c>
      <c r="M167" s="888">
        <f t="shared" si="72"/>
        <v>2099</v>
      </c>
      <c r="N167" s="883">
        <f t="shared" si="67"/>
        <v>0</v>
      </c>
      <c r="O167" s="883">
        <f t="shared" si="73"/>
        <v>0</v>
      </c>
      <c r="P167" s="1100"/>
      <c r="Q167" s="883">
        <f t="shared" si="59"/>
        <v>0</v>
      </c>
      <c r="R167" s="884">
        <f t="shared" si="74"/>
        <v>0</v>
      </c>
      <c r="S167" s="884">
        <f>IF(AND($AS$39="Early Payoff",J167&gt;=$S$13),0,IF($J167&lt;=$S$6,SUM($Q$20:$Q167),0))</f>
        <v>0</v>
      </c>
      <c r="T167" s="884">
        <f>IF(AND($AS$39="Early Payoff",J167&gt;=$S$13),0,IF($J167&lt;=$S$6,SUM($R$20:$R167),0))</f>
        <v>0</v>
      </c>
      <c r="U167" s="885">
        <f t="shared" si="60"/>
        <v>0</v>
      </c>
      <c r="V167" s="1110">
        <f t="shared" si="68"/>
        <v>0</v>
      </c>
      <c r="X167" s="1102">
        <f t="shared" si="61"/>
        <v>0</v>
      </c>
      <c r="Y167" s="873">
        <f t="shared" si="62"/>
        <v>0</v>
      </c>
      <c r="Z167" s="873">
        <f t="shared" si="63"/>
        <v>0</v>
      </c>
      <c r="AA167" s="885">
        <f t="shared" si="64"/>
        <v>0</v>
      </c>
    </row>
    <row r="168" spans="2:27" s="278" customFormat="1" ht="12" customHeight="1" x14ac:dyDescent="0.25">
      <c r="B168" s="1192" t="e">
        <f t="shared" si="69"/>
        <v>#N/A</v>
      </c>
      <c r="C168" s="732">
        <f t="shared" si="55"/>
        <v>31</v>
      </c>
      <c r="D168" s="35">
        <f t="shared" si="56"/>
        <v>8</v>
      </c>
      <c r="E168" s="889">
        <f t="shared" si="75"/>
        <v>72928</v>
      </c>
      <c r="F168" s="822">
        <f t="shared" si="57"/>
        <v>8</v>
      </c>
      <c r="G168" s="500">
        <f t="shared" si="70"/>
        <v>153</v>
      </c>
      <c r="H168" s="126">
        <f t="shared" si="58"/>
        <v>0</v>
      </c>
      <c r="I168" s="1098">
        <f t="shared" si="76"/>
        <v>1</v>
      </c>
      <c r="J168" s="887">
        <f t="shared" si="71"/>
        <v>149</v>
      </c>
      <c r="K168" s="1099">
        <f t="shared" si="65"/>
        <v>149</v>
      </c>
      <c r="L168" s="891" t="str">
        <f t="shared" si="66"/>
        <v>August</v>
      </c>
      <c r="M168" s="888">
        <f t="shared" si="72"/>
        <v>2099</v>
      </c>
      <c r="N168" s="883">
        <f t="shared" si="67"/>
        <v>0</v>
      </c>
      <c r="O168" s="883">
        <f t="shared" si="73"/>
        <v>0</v>
      </c>
      <c r="P168" s="1100"/>
      <c r="Q168" s="883">
        <f t="shared" si="59"/>
        <v>0</v>
      </c>
      <c r="R168" s="884">
        <f t="shared" si="74"/>
        <v>0</v>
      </c>
      <c r="S168" s="884">
        <f>IF(AND($AS$39="Early Payoff",J168&gt;=$S$13),0,IF($J168&lt;=$S$6,SUM($Q$20:$Q168),0))</f>
        <v>0</v>
      </c>
      <c r="T168" s="884">
        <f>IF(AND($AS$39="Early Payoff",J168&gt;=$S$13),0,IF($J168&lt;=$S$6,SUM($R$20:$R168),0))</f>
        <v>0</v>
      </c>
      <c r="U168" s="885">
        <f t="shared" si="60"/>
        <v>0</v>
      </c>
      <c r="V168" s="1110">
        <f t="shared" si="68"/>
        <v>0</v>
      </c>
      <c r="X168" s="1102">
        <f t="shared" si="61"/>
        <v>0</v>
      </c>
      <c r="Y168" s="873">
        <f t="shared" si="62"/>
        <v>0</v>
      </c>
      <c r="Z168" s="873">
        <f t="shared" si="63"/>
        <v>0</v>
      </c>
      <c r="AA168" s="885">
        <f t="shared" si="64"/>
        <v>0</v>
      </c>
    </row>
    <row r="169" spans="2:27" s="278" customFormat="1" ht="12" customHeight="1" x14ac:dyDescent="0.25">
      <c r="B169" s="1192" t="e">
        <f t="shared" si="69"/>
        <v>#N/A</v>
      </c>
      <c r="C169" s="732">
        <f t="shared" si="55"/>
        <v>31</v>
      </c>
      <c r="D169" s="35">
        <f t="shared" si="56"/>
        <v>3</v>
      </c>
      <c r="E169" s="889">
        <f t="shared" si="75"/>
        <v>73140</v>
      </c>
      <c r="F169" s="822">
        <f t="shared" si="57"/>
        <v>3</v>
      </c>
      <c r="G169" s="500">
        <f t="shared" si="70"/>
        <v>212</v>
      </c>
      <c r="H169" s="126">
        <f t="shared" si="58"/>
        <v>0</v>
      </c>
      <c r="I169" s="1098">
        <f t="shared" si="76"/>
        <v>0</v>
      </c>
      <c r="J169" s="887">
        <f t="shared" si="71"/>
        <v>150</v>
      </c>
      <c r="K169" s="1099">
        <f t="shared" si="65"/>
        <v>150</v>
      </c>
      <c r="L169" s="891" t="str">
        <f t="shared" si="66"/>
        <v>March</v>
      </c>
      <c r="M169" s="888">
        <f t="shared" si="72"/>
        <v>2100</v>
      </c>
      <c r="N169" s="883">
        <f t="shared" si="67"/>
        <v>0</v>
      </c>
      <c r="O169" s="883">
        <f t="shared" si="73"/>
        <v>0</v>
      </c>
      <c r="P169" s="1100"/>
      <c r="Q169" s="883">
        <f t="shared" si="59"/>
        <v>0</v>
      </c>
      <c r="R169" s="884">
        <f t="shared" si="74"/>
        <v>0</v>
      </c>
      <c r="S169" s="884">
        <f>IF(AND($AS$39="Early Payoff",J169&gt;=$S$13),0,IF($J169&lt;=$S$6,SUM($Q$20:$Q169),0))</f>
        <v>0</v>
      </c>
      <c r="T169" s="884">
        <f>IF(AND($AS$39="Early Payoff",J169&gt;=$S$13),0,IF($J169&lt;=$S$6,SUM($R$20:$R169),0))</f>
        <v>0</v>
      </c>
      <c r="U169" s="885">
        <f t="shared" si="60"/>
        <v>0</v>
      </c>
      <c r="V169" s="1110">
        <f t="shared" si="68"/>
        <v>0</v>
      </c>
      <c r="X169" s="1102">
        <f t="shared" si="61"/>
        <v>0</v>
      </c>
      <c r="Y169" s="873">
        <f t="shared" si="62"/>
        <v>0</v>
      </c>
      <c r="Z169" s="873">
        <f t="shared" si="63"/>
        <v>0</v>
      </c>
      <c r="AA169" s="885">
        <f t="shared" si="64"/>
        <v>0</v>
      </c>
    </row>
    <row r="170" spans="2:27" s="278" customFormat="1" ht="12" customHeight="1" x14ac:dyDescent="0.25">
      <c r="B170" s="1192" t="e">
        <f t="shared" si="69"/>
        <v>#N/A</v>
      </c>
      <c r="C170" s="732">
        <f t="shared" si="55"/>
        <v>31</v>
      </c>
      <c r="D170" s="35">
        <f t="shared" si="56"/>
        <v>8</v>
      </c>
      <c r="E170" s="889">
        <f t="shared" si="75"/>
        <v>73293</v>
      </c>
      <c r="F170" s="822">
        <f t="shared" si="57"/>
        <v>8</v>
      </c>
      <c r="G170" s="500">
        <f t="shared" si="70"/>
        <v>153</v>
      </c>
      <c r="H170" s="126">
        <f t="shared" si="58"/>
        <v>0</v>
      </c>
      <c r="I170" s="1098">
        <f t="shared" si="76"/>
        <v>1</v>
      </c>
      <c r="J170" s="887">
        <f t="shared" si="71"/>
        <v>151</v>
      </c>
      <c r="K170" s="1099">
        <f t="shared" si="65"/>
        <v>151</v>
      </c>
      <c r="L170" s="891" t="str">
        <f t="shared" si="66"/>
        <v>August</v>
      </c>
      <c r="M170" s="888">
        <f t="shared" si="72"/>
        <v>2100</v>
      </c>
      <c r="N170" s="883">
        <f t="shared" si="67"/>
        <v>0</v>
      </c>
      <c r="O170" s="883">
        <f t="shared" si="73"/>
        <v>0</v>
      </c>
      <c r="P170" s="1100"/>
      <c r="Q170" s="883">
        <f t="shared" si="59"/>
        <v>0</v>
      </c>
      <c r="R170" s="884">
        <f t="shared" si="74"/>
        <v>0</v>
      </c>
      <c r="S170" s="884">
        <f>IF(AND($AS$39="Early Payoff",J170&gt;=$S$13),0,IF($J170&lt;=$S$6,SUM($Q$20:$Q170),0))</f>
        <v>0</v>
      </c>
      <c r="T170" s="884">
        <f>IF(AND($AS$39="Early Payoff",J170&gt;=$S$13),0,IF($J170&lt;=$S$6,SUM($R$20:$R170),0))</f>
        <v>0</v>
      </c>
      <c r="U170" s="885">
        <f t="shared" si="60"/>
        <v>0</v>
      </c>
      <c r="V170" s="1110">
        <f t="shared" si="68"/>
        <v>0</v>
      </c>
      <c r="X170" s="1102">
        <f t="shared" si="61"/>
        <v>0</v>
      </c>
      <c r="Y170" s="873">
        <f t="shared" si="62"/>
        <v>0</v>
      </c>
      <c r="Z170" s="873">
        <f t="shared" si="63"/>
        <v>0</v>
      </c>
      <c r="AA170" s="885">
        <f t="shared" si="64"/>
        <v>0</v>
      </c>
    </row>
    <row r="171" spans="2:27" s="278" customFormat="1" ht="12" customHeight="1" x14ac:dyDescent="0.25">
      <c r="B171" s="1192" t="e">
        <f t="shared" si="69"/>
        <v>#N/A</v>
      </c>
      <c r="C171" s="732">
        <f t="shared" si="55"/>
        <v>31</v>
      </c>
      <c r="D171" s="35">
        <f t="shared" si="56"/>
        <v>3</v>
      </c>
      <c r="E171" s="889">
        <f t="shared" si="75"/>
        <v>73505</v>
      </c>
      <c r="F171" s="822">
        <f t="shared" si="57"/>
        <v>3</v>
      </c>
      <c r="G171" s="500">
        <f t="shared" si="70"/>
        <v>212</v>
      </c>
      <c r="H171" s="126">
        <f t="shared" si="58"/>
        <v>0</v>
      </c>
      <c r="I171" s="1098">
        <f t="shared" si="76"/>
        <v>0</v>
      </c>
      <c r="J171" s="887">
        <f t="shared" si="71"/>
        <v>152</v>
      </c>
      <c r="K171" s="1099">
        <f t="shared" si="65"/>
        <v>152</v>
      </c>
      <c r="L171" s="891" t="str">
        <f t="shared" si="66"/>
        <v>March</v>
      </c>
      <c r="M171" s="888">
        <f t="shared" si="72"/>
        <v>2101</v>
      </c>
      <c r="N171" s="883">
        <f t="shared" si="67"/>
        <v>0</v>
      </c>
      <c r="O171" s="883">
        <f t="shared" si="73"/>
        <v>0</v>
      </c>
      <c r="P171" s="1100"/>
      <c r="Q171" s="883">
        <f t="shared" si="59"/>
        <v>0</v>
      </c>
      <c r="R171" s="884">
        <f t="shared" si="74"/>
        <v>0</v>
      </c>
      <c r="S171" s="884">
        <f>IF(AND($AS$39="Early Payoff",J171&gt;=$S$13),0,IF($J171&lt;=$S$6,SUM($Q$20:$Q171),0))</f>
        <v>0</v>
      </c>
      <c r="T171" s="884">
        <f>IF(AND($AS$39="Early Payoff",J171&gt;=$S$13),0,IF($J171&lt;=$S$6,SUM($R$20:$R171),0))</f>
        <v>0</v>
      </c>
      <c r="U171" s="885">
        <f t="shared" si="60"/>
        <v>0</v>
      </c>
      <c r="V171" s="1110">
        <f t="shared" si="68"/>
        <v>0</v>
      </c>
      <c r="X171" s="1102">
        <f t="shared" si="61"/>
        <v>0</v>
      </c>
      <c r="Y171" s="873">
        <f t="shared" si="62"/>
        <v>0</v>
      </c>
      <c r="Z171" s="873">
        <f t="shared" si="63"/>
        <v>0</v>
      </c>
      <c r="AA171" s="885">
        <f t="shared" si="64"/>
        <v>0</v>
      </c>
    </row>
    <row r="172" spans="2:27" s="278" customFormat="1" ht="12" customHeight="1" x14ac:dyDescent="0.25">
      <c r="B172" s="1192" t="e">
        <f t="shared" si="69"/>
        <v>#N/A</v>
      </c>
      <c r="C172" s="732">
        <f t="shared" si="55"/>
        <v>31</v>
      </c>
      <c r="D172" s="35">
        <f t="shared" si="56"/>
        <v>8</v>
      </c>
      <c r="E172" s="889">
        <f t="shared" si="75"/>
        <v>73658</v>
      </c>
      <c r="F172" s="822">
        <f t="shared" si="57"/>
        <v>8</v>
      </c>
      <c r="G172" s="500">
        <f t="shared" si="70"/>
        <v>153</v>
      </c>
      <c r="H172" s="126">
        <f t="shared" si="58"/>
        <v>0</v>
      </c>
      <c r="I172" s="1098">
        <f t="shared" si="76"/>
        <v>1</v>
      </c>
      <c r="J172" s="887">
        <f t="shared" si="71"/>
        <v>153</v>
      </c>
      <c r="K172" s="1099">
        <f t="shared" si="65"/>
        <v>153</v>
      </c>
      <c r="L172" s="891" t="str">
        <f t="shared" si="66"/>
        <v>August</v>
      </c>
      <c r="M172" s="888">
        <f t="shared" si="72"/>
        <v>2101</v>
      </c>
      <c r="N172" s="883">
        <f t="shared" si="67"/>
        <v>0</v>
      </c>
      <c r="O172" s="883">
        <f t="shared" si="73"/>
        <v>0</v>
      </c>
      <c r="P172" s="1100"/>
      <c r="Q172" s="883">
        <f t="shared" si="59"/>
        <v>0</v>
      </c>
      <c r="R172" s="884">
        <f t="shared" si="74"/>
        <v>0</v>
      </c>
      <c r="S172" s="884">
        <f>IF(AND($AS$39="Early Payoff",J172&gt;=$S$13),0,IF($J172&lt;=$S$6,SUM($Q$20:$Q172),0))</f>
        <v>0</v>
      </c>
      <c r="T172" s="884">
        <f>IF(AND($AS$39="Early Payoff",J172&gt;=$S$13),0,IF($J172&lt;=$S$6,SUM($R$20:$R172),0))</f>
        <v>0</v>
      </c>
      <c r="U172" s="885">
        <f t="shared" si="60"/>
        <v>0</v>
      </c>
      <c r="V172" s="1110">
        <f t="shared" si="68"/>
        <v>0</v>
      </c>
      <c r="X172" s="1102">
        <f t="shared" si="61"/>
        <v>0</v>
      </c>
      <c r="Y172" s="873">
        <f t="shared" si="62"/>
        <v>0</v>
      </c>
      <c r="Z172" s="873">
        <f t="shared" si="63"/>
        <v>0</v>
      </c>
      <c r="AA172" s="885">
        <f t="shared" si="64"/>
        <v>0</v>
      </c>
    </row>
    <row r="173" spans="2:27" s="278" customFormat="1" ht="12" customHeight="1" x14ac:dyDescent="0.25">
      <c r="B173" s="1192" t="e">
        <f t="shared" si="69"/>
        <v>#N/A</v>
      </c>
      <c r="C173" s="732">
        <f t="shared" si="55"/>
        <v>31</v>
      </c>
      <c r="D173" s="35">
        <f t="shared" si="56"/>
        <v>3</v>
      </c>
      <c r="E173" s="889">
        <f t="shared" si="75"/>
        <v>73870</v>
      </c>
      <c r="F173" s="822">
        <f t="shared" si="57"/>
        <v>3</v>
      </c>
      <c r="G173" s="500">
        <f t="shared" si="70"/>
        <v>212</v>
      </c>
      <c r="H173" s="126">
        <f t="shared" si="58"/>
        <v>0</v>
      </c>
      <c r="I173" s="1098">
        <f t="shared" si="76"/>
        <v>0</v>
      </c>
      <c r="J173" s="887">
        <f t="shared" si="71"/>
        <v>154</v>
      </c>
      <c r="K173" s="1099">
        <f t="shared" si="65"/>
        <v>154</v>
      </c>
      <c r="L173" s="891" t="str">
        <f t="shared" si="66"/>
        <v>March</v>
      </c>
      <c r="M173" s="888">
        <f t="shared" si="72"/>
        <v>2102</v>
      </c>
      <c r="N173" s="883">
        <f t="shared" si="67"/>
        <v>0</v>
      </c>
      <c r="O173" s="883">
        <f t="shared" si="73"/>
        <v>0</v>
      </c>
      <c r="P173" s="1100"/>
      <c r="Q173" s="883">
        <f t="shared" si="59"/>
        <v>0</v>
      </c>
      <c r="R173" s="884">
        <f t="shared" si="74"/>
        <v>0</v>
      </c>
      <c r="S173" s="884">
        <f>IF(AND($AS$39="Early Payoff",J173&gt;=$S$13),0,IF($J173&lt;=$S$6,SUM($Q$20:$Q173),0))</f>
        <v>0</v>
      </c>
      <c r="T173" s="884">
        <f>IF(AND($AS$39="Early Payoff",J173&gt;=$S$13),0,IF($J173&lt;=$S$6,SUM($R$20:$R173),0))</f>
        <v>0</v>
      </c>
      <c r="U173" s="885">
        <f t="shared" si="60"/>
        <v>0</v>
      </c>
      <c r="V173" s="1110">
        <f t="shared" si="68"/>
        <v>0</v>
      </c>
      <c r="X173" s="1102">
        <f t="shared" si="61"/>
        <v>0</v>
      </c>
      <c r="Y173" s="873">
        <f t="shared" si="62"/>
        <v>0</v>
      </c>
      <c r="Z173" s="873">
        <f t="shared" si="63"/>
        <v>0</v>
      </c>
      <c r="AA173" s="885">
        <f t="shared" si="64"/>
        <v>0</v>
      </c>
    </row>
    <row r="174" spans="2:27" s="278" customFormat="1" ht="12" customHeight="1" x14ac:dyDescent="0.25">
      <c r="B174" s="1192" t="e">
        <f t="shared" si="69"/>
        <v>#N/A</v>
      </c>
      <c r="C174" s="732">
        <f t="shared" si="55"/>
        <v>31</v>
      </c>
      <c r="D174" s="35">
        <f t="shared" si="56"/>
        <v>8</v>
      </c>
      <c r="E174" s="889">
        <f t="shared" si="75"/>
        <v>74023</v>
      </c>
      <c r="F174" s="822">
        <f t="shared" si="57"/>
        <v>8</v>
      </c>
      <c r="G174" s="500">
        <f t="shared" si="70"/>
        <v>153</v>
      </c>
      <c r="H174" s="126">
        <f t="shared" si="58"/>
        <v>0</v>
      </c>
      <c r="I174" s="1098">
        <f t="shared" si="76"/>
        <v>1</v>
      </c>
      <c r="J174" s="887">
        <f t="shared" si="71"/>
        <v>155</v>
      </c>
      <c r="K174" s="1099">
        <f t="shared" si="65"/>
        <v>155</v>
      </c>
      <c r="L174" s="891" t="str">
        <f t="shared" si="66"/>
        <v>August</v>
      </c>
      <c r="M174" s="888">
        <f t="shared" si="72"/>
        <v>2102</v>
      </c>
      <c r="N174" s="883">
        <f t="shared" si="67"/>
        <v>0</v>
      </c>
      <c r="O174" s="883">
        <f t="shared" si="73"/>
        <v>0</v>
      </c>
      <c r="P174" s="1100"/>
      <c r="Q174" s="883">
        <f t="shared" si="59"/>
        <v>0</v>
      </c>
      <c r="R174" s="884">
        <f t="shared" si="74"/>
        <v>0</v>
      </c>
      <c r="S174" s="884">
        <f>IF(AND($AS$39="Early Payoff",J174&gt;=$S$13),0,IF($J174&lt;=$S$6,SUM($Q$20:$Q174),0))</f>
        <v>0</v>
      </c>
      <c r="T174" s="884">
        <f>IF(AND($AS$39="Early Payoff",J174&gt;=$S$13),0,IF($J174&lt;=$S$6,SUM($R$20:$R174),0))</f>
        <v>0</v>
      </c>
      <c r="U174" s="885">
        <f t="shared" si="60"/>
        <v>0</v>
      </c>
      <c r="V174" s="1110">
        <f t="shared" si="68"/>
        <v>0</v>
      </c>
      <c r="X174" s="1102">
        <f t="shared" si="61"/>
        <v>0</v>
      </c>
      <c r="Y174" s="873">
        <f t="shared" si="62"/>
        <v>0</v>
      </c>
      <c r="Z174" s="873">
        <f t="shared" si="63"/>
        <v>0</v>
      </c>
      <c r="AA174" s="885">
        <f t="shared" si="64"/>
        <v>0</v>
      </c>
    </row>
    <row r="175" spans="2:27" s="278" customFormat="1" ht="12" customHeight="1" x14ac:dyDescent="0.25">
      <c r="B175" s="1192" t="e">
        <f t="shared" si="69"/>
        <v>#N/A</v>
      </c>
      <c r="C175" s="732">
        <f t="shared" si="55"/>
        <v>31</v>
      </c>
      <c r="D175" s="35">
        <f t="shared" si="56"/>
        <v>3</v>
      </c>
      <c r="E175" s="889">
        <f t="shared" si="75"/>
        <v>74235</v>
      </c>
      <c r="F175" s="822">
        <f t="shared" si="57"/>
        <v>3</v>
      </c>
      <c r="G175" s="500">
        <f t="shared" si="70"/>
        <v>212</v>
      </c>
      <c r="H175" s="126">
        <f t="shared" si="58"/>
        <v>0</v>
      </c>
      <c r="I175" s="1098">
        <f t="shared" si="76"/>
        <v>0</v>
      </c>
      <c r="J175" s="887">
        <f t="shared" si="71"/>
        <v>156</v>
      </c>
      <c r="K175" s="1099">
        <f t="shared" si="65"/>
        <v>156</v>
      </c>
      <c r="L175" s="891" t="str">
        <f t="shared" si="66"/>
        <v>March</v>
      </c>
      <c r="M175" s="888">
        <f t="shared" si="72"/>
        <v>2103</v>
      </c>
      <c r="N175" s="883">
        <f t="shared" si="67"/>
        <v>0</v>
      </c>
      <c r="O175" s="883">
        <f t="shared" si="73"/>
        <v>0</v>
      </c>
      <c r="P175" s="1100"/>
      <c r="Q175" s="883">
        <f t="shared" si="59"/>
        <v>0</v>
      </c>
      <c r="R175" s="884">
        <f t="shared" si="74"/>
        <v>0</v>
      </c>
      <c r="S175" s="884">
        <f>IF(AND($AS$39="Early Payoff",J175&gt;=$S$13),0,IF($J175&lt;=$S$6,SUM($Q$20:$Q175),0))</f>
        <v>0</v>
      </c>
      <c r="T175" s="884">
        <f>IF(AND($AS$39="Early Payoff",J175&gt;=$S$13),0,IF($J175&lt;=$S$6,SUM($R$20:$R175),0))</f>
        <v>0</v>
      </c>
      <c r="U175" s="885">
        <f t="shared" si="60"/>
        <v>0</v>
      </c>
      <c r="V175" s="1110">
        <f t="shared" si="68"/>
        <v>0</v>
      </c>
      <c r="X175" s="1102">
        <f t="shared" si="61"/>
        <v>0</v>
      </c>
      <c r="Y175" s="873">
        <f t="shared" si="62"/>
        <v>0</v>
      </c>
      <c r="Z175" s="873">
        <f t="shared" si="63"/>
        <v>0</v>
      </c>
      <c r="AA175" s="885">
        <f t="shared" si="64"/>
        <v>0</v>
      </c>
    </row>
    <row r="176" spans="2:27" s="278" customFormat="1" ht="12" customHeight="1" x14ac:dyDescent="0.25">
      <c r="B176" s="1192" t="e">
        <f t="shared" si="69"/>
        <v>#N/A</v>
      </c>
      <c r="C176" s="732">
        <f t="shared" si="55"/>
        <v>31</v>
      </c>
      <c r="D176" s="35">
        <f t="shared" si="56"/>
        <v>8</v>
      </c>
      <c r="E176" s="889">
        <f t="shared" si="75"/>
        <v>74388</v>
      </c>
      <c r="F176" s="822">
        <f t="shared" si="57"/>
        <v>8</v>
      </c>
      <c r="G176" s="500">
        <f t="shared" si="70"/>
        <v>153</v>
      </c>
      <c r="H176" s="126">
        <f t="shared" si="58"/>
        <v>0</v>
      </c>
      <c r="I176" s="1098">
        <f t="shared" si="76"/>
        <v>1</v>
      </c>
      <c r="J176" s="887">
        <f t="shared" si="71"/>
        <v>157</v>
      </c>
      <c r="K176" s="1099">
        <f t="shared" si="65"/>
        <v>157</v>
      </c>
      <c r="L176" s="891" t="str">
        <f t="shared" si="66"/>
        <v>August</v>
      </c>
      <c r="M176" s="888">
        <f t="shared" si="72"/>
        <v>2103</v>
      </c>
      <c r="N176" s="883">
        <f t="shared" si="67"/>
        <v>0</v>
      </c>
      <c r="O176" s="883">
        <f t="shared" si="73"/>
        <v>0</v>
      </c>
      <c r="P176" s="1100"/>
      <c r="Q176" s="883">
        <f t="shared" si="59"/>
        <v>0</v>
      </c>
      <c r="R176" s="884">
        <f t="shared" si="74"/>
        <v>0</v>
      </c>
      <c r="S176" s="884">
        <f>IF(AND($AS$39="Early Payoff",J176&gt;=$S$13),0,IF($J176&lt;=$S$6,SUM($Q$20:$Q176),0))</f>
        <v>0</v>
      </c>
      <c r="T176" s="884">
        <f>IF(AND($AS$39="Early Payoff",J176&gt;=$S$13),0,IF($J176&lt;=$S$6,SUM($R$20:$R176),0))</f>
        <v>0</v>
      </c>
      <c r="U176" s="885">
        <f t="shared" si="60"/>
        <v>0</v>
      </c>
      <c r="V176" s="1110">
        <f t="shared" si="68"/>
        <v>0</v>
      </c>
      <c r="X176" s="1102">
        <f t="shared" si="61"/>
        <v>0</v>
      </c>
      <c r="Y176" s="873">
        <f t="shared" si="62"/>
        <v>0</v>
      </c>
      <c r="Z176" s="873">
        <f t="shared" si="63"/>
        <v>0</v>
      </c>
      <c r="AA176" s="885">
        <f t="shared" si="64"/>
        <v>0</v>
      </c>
    </row>
    <row r="177" spans="2:27" s="278" customFormat="1" ht="12" customHeight="1" x14ac:dyDescent="0.25">
      <c r="B177" s="1192" t="e">
        <f t="shared" si="69"/>
        <v>#N/A</v>
      </c>
      <c r="C177" s="732">
        <f t="shared" si="55"/>
        <v>31</v>
      </c>
      <c r="D177" s="35">
        <f t="shared" si="56"/>
        <v>3</v>
      </c>
      <c r="E177" s="889">
        <f t="shared" si="75"/>
        <v>74601</v>
      </c>
      <c r="F177" s="822">
        <f t="shared" si="57"/>
        <v>3</v>
      </c>
      <c r="G177" s="500">
        <f t="shared" si="70"/>
        <v>213</v>
      </c>
      <c r="H177" s="126">
        <f t="shared" si="58"/>
        <v>0</v>
      </c>
      <c r="I177" s="1098">
        <f t="shared" si="76"/>
        <v>0</v>
      </c>
      <c r="J177" s="887">
        <f t="shared" si="71"/>
        <v>158</v>
      </c>
      <c r="K177" s="1099">
        <f t="shared" si="65"/>
        <v>158</v>
      </c>
      <c r="L177" s="891" t="str">
        <f t="shared" si="66"/>
        <v>March</v>
      </c>
      <c r="M177" s="888">
        <f t="shared" si="72"/>
        <v>2104</v>
      </c>
      <c r="N177" s="883">
        <f t="shared" si="67"/>
        <v>0</v>
      </c>
      <c r="O177" s="883">
        <f t="shared" si="73"/>
        <v>0</v>
      </c>
      <c r="P177" s="1100"/>
      <c r="Q177" s="883">
        <f t="shared" si="59"/>
        <v>0</v>
      </c>
      <c r="R177" s="884">
        <f t="shared" si="74"/>
        <v>0</v>
      </c>
      <c r="S177" s="884">
        <f>IF(AND($AS$39="Early Payoff",J177&gt;=$S$13),0,IF($J177&lt;=$S$6,SUM($Q$20:$Q177),0))</f>
        <v>0</v>
      </c>
      <c r="T177" s="884">
        <f>IF(AND($AS$39="Early Payoff",J177&gt;=$S$13),0,IF($J177&lt;=$S$6,SUM($R$20:$R177),0))</f>
        <v>0</v>
      </c>
      <c r="U177" s="885">
        <f t="shared" si="60"/>
        <v>0</v>
      </c>
      <c r="V177" s="1110">
        <f t="shared" si="68"/>
        <v>0</v>
      </c>
      <c r="X177" s="1102">
        <f t="shared" si="61"/>
        <v>0</v>
      </c>
      <c r="Y177" s="873">
        <f t="shared" si="62"/>
        <v>0</v>
      </c>
      <c r="Z177" s="873">
        <f t="shared" si="63"/>
        <v>0</v>
      </c>
      <c r="AA177" s="885">
        <f t="shared" si="64"/>
        <v>0</v>
      </c>
    </row>
    <row r="178" spans="2:27" s="278" customFormat="1" ht="12" customHeight="1" x14ac:dyDescent="0.25">
      <c r="B178" s="1192" t="e">
        <f t="shared" si="69"/>
        <v>#N/A</v>
      </c>
      <c r="C178" s="732">
        <f t="shared" si="55"/>
        <v>31</v>
      </c>
      <c r="D178" s="35">
        <f t="shared" si="56"/>
        <v>8</v>
      </c>
      <c r="E178" s="889">
        <f t="shared" si="75"/>
        <v>74754</v>
      </c>
      <c r="F178" s="822">
        <f t="shared" si="57"/>
        <v>8</v>
      </c>
      <c r="G178" s="500">
        <f t="shared" si="70"/>
        <v>153</v>
      </c>
      <c r="H178" s="126">
        <f t="shared" si="58"/>
        <v>0</v>
      </c>
      <c r="I178" s="1098">
        <f t="shared" si="76"/>
        <v>1</v>
      </c>
      <c r="J178" s="887">
        <f t="shared" si="71"/>
        <v>159</v>
      </c>
      <c r="K178" s="1099">
        <f t="shared" si="65"/>
        <v>159</v>
      </c>
      <c r="L178" s="891" t="str">
        <f t="shared" si="66"/>
        <v>August</v>
      </c>
      <c r="M178" s="888">
        <f t="shared" si="72"/>
        <v>2104</v>
      </c>
      <c r="N178" s="883">
        <f t="shared" si="67"/>
        <v>0</v>
      </c>
      <c r="O178" s="883">
        <f t="shared" si="73"/>
        <v>0</v>
      </c>
      <c r="P178" s="1100"/>
      <c r="Q178" s="883">
        <f t="shared" si="59"/>
        <v>0</v>
      </c>
      <c r="R178" s="884">
        <f t="shared" si="74"/>
        <v>0</v>
      </c>
      <c r="S178" s="884">
        <f>IF(AND($AS$39="Early Payoff",J178&gt;=$S$13),0,IF($J178&lt;=$S$6,SUM($Q$20:$Q178),0))</f>
        <v>0</v>
      </c>
      <c r="T178" s="884">
        <f>IF(AND($AS$39="Early Payoff",J178&gt;=$S$13),0,IF($J178&lt;=$S$6,SUM($R$20:$R178),0))</f>
        <v>0</v>
      </c>
      <c r="U178" s="885">
        <f t="shared" si="60"/>
        <v>0</v>
      </c>
      <c r="V178" s="1110">
        <f t="shared" si="68"/>
        <v>0</v>
      </c>
      <c r="X178" s="1102">
        <f t="shared" si="61"/>
        <v>0</v>
      </c>
      <c r="Y178" s="873">
        <f t="shared" si="62"/>
        <v>0</v>
      </c>
      <c r="Z178" s="873">
        <f t="shared" si="63"/>
        <v>0</v>
      </c>
      <c r="AA178" s="885">
        <f t="shared" si="64"/>
        <v>0</v>
      </c>
    </row>
    <row r="179" spans="2:27" s="278" customFormat="1" ht="12" customHeight="1" x14ac:dyDescent="0.25">
      <c r="B179" s="1192" t="e">
        <f t="shared" si="69"/>
        <v>#N/A</v>
      </c>
      <c r="C179" s="732">
        <f t="shared" si="55"/>
        <v>31</v>
      </c>
      <c r="D179" s="35">
        <f t="shared" si="56"/>
        <v>3</v>
      </c>
      <c r="E179" s="889">
        <f t="shared" si="75"/>
        <v>74966</v>
      </c>
      <c r="F179" s="822">
        <f t="shared" si="57"/>
        <v>3</v>
      </c>
      <c r="G179" s="500">
        <f t="shared" si="70"/>
        <v>212</v>
      </c>
      <c r="H179" s="126">
        <f t="shared" si="58"/>
        <v>0</v>
      </c>
      <c r="I179" s="1098">
        <f t="shared" si="76"/>
        <v>0</v>
      </c>
      <c r="J179" s="887">
        <f t="shared" si="71"/>
        <v>160</v>
      </c>
      <c r="K179" s="1099">
        <f t="shared" si="65"/>
        <v>160</v>
      </c>
      <c r="L179" s="891" t="str">
        <f t="shared" si="66"/>
        <v>March</v>
      </c>
      <c r="M179" s="888">
        <f t="shared" si="72"/>
        <v>2105</v>
      </c>
      <c r="N179" s="883">
        <f t="shared" si="67"/>
        <v>0</v>
      </c>
      <c r="O179" s="883">
        <f t="shared" si="73"/>
        <v>0</v>
      </c>
      <c r="P179" s="1100"/>
      <c r="Q179" s="883">
        <f t="shared" si="59"/>
        <v>0</v>
      </c>
      <c r="R179" s="884">
        <f t="shared" si="74"/>
        <v>0</v>
      </c>
      <c r="S179" s="884">
        <f>IF(AND($AS$39="Early Payoff",J179&gt;=$S$13),0,IF($J179&lt;=$S$6,SUM($Q$20:$Q179),0))</f>
        <v>0</v>
      </c>
      <c r="T179" s="884">
        <f>IF(AND($AS$39="Early Payoff",J179&gt;=$S$13),0,IF($J179&lt;=$S$6,SUM($R$20:$R179),0))</f>
        <v>0</v>
      </c>
      <c r="U179" s="885">
        <f t="shared" si="60"/>
        <v>0</v>
      </c>
      <c r="V179" s="1110">
        <f t="shared" si="68"/>
        <v>0</v>
      </c>
      <c r="X179" s="1102">
        <f t="shared" si="61"/>
        <v>0</v>
      </c>
      <c r="Y179" s="873">
        <f t="shared" si="62"/>
        <v>0</v>
      </c>
      <c r="Z179" s="873">
        <f t="shared" si="63"/>
        <v>0</v>
      </c>
      <c r="AA179" s="885">
        <f t="shared" si="64"/>
        <v>0</v>
      </c>
    </row>
    <row r="180" spans="2:27" s="278" customFormat="1" ht="12" customHeight="1" x14ac:dyDescent="0.25">
      <c r="B180" s="1192" t="e">
        <f t="shared" si="69"/>
        <v>#N/A</v>
      </c>
      <c r="C180" s="732">
        <f t="shared" si="55"/>
        <v>31</v>
      </c>
      <c r="D180" s="35">
        <f t="shared" si="56"/>
        <v>8</v>
      </c>
      <c r="E180" s="889">
        <f t="shared" si="75"/>
        <v>75119</v>
      </c>
      <c r="F180" s="822">
        <f t="shared" si="57"/>
        <v>8</v>
      </c>
      <c r="G180" s="500">
        <f t="shared" si="70"/>
        <v>153</v>
      </c>
      <c r="H180" s="126">
        <f t="shared" si="58"/>
        <v>0</v>
      </c>
      <c r="I180" s="1098">
        <f t="shared" si="76"/>
        <v>1</v>
      </c>
      <c r="J180" s="887">
        <f t="shared" si="71"/>
        <v>161</v>
      </c>
      <c r="K180" s="1099">
        <f t="shared" si="65"/>
        <v>161</v>
      </c>
      <c r="L180" s="891" t="str">
        <f t="shared" si="66"/>
        <v>August</v>
      </c>
      <c r="M180" s="888">
        <f t="shared" si="72"/>
        <v>2105</v>
      </c>
      <c r="N180" s="883">
        <f t="shared" si="67"/>
        <v>0</v>
      </c>
      <c r="O180" s="883">
        <f t="shared" si="73"/>
        <v>0</v>
      </c>
      <c r="P180" s="1100"/>
      <c r="Q180" s="883">
        <f t="shared" si="59"/>
        <v>0</v>
      </c>
      <c r="R180" s="884">
        <f t="shared" si="74"/>
        <v>0</v>
      </c>
      <c r="S180" s="884">
        <f>IF(AND($AS$39="Early Payoff",J180&gt;=$S$13),0,IF($J180&lt;=$S$6,SUM($Q$20:$Q180),0))</f>
        <v>0</v>
      </c>
      <c r="T180" s="884">
        <f>IF(AND($AS$39="Early Payoff",J180&gt;=$S$13),0,IF($J180&lt;=$S$6,SUM($R$20:$R180),0))</f>
        <v>0</v>
      </c>
      <c r="U180" s="885">
        <f t="shared" si="60"/>
        <v>0</v>
      </c>
      <c r="V180" s="1110">
        <f t="shared" si="68"/>
        <v>0</v>
      </c>
      <c r="X180" s="1102">
        <f t="shared" si="61"/>
        <v>0</v>
      </c>
      <c r="Y180" s="873">
        <f t="shared" si="62"/>
        <v>0</v>
      </c>
      <c r="Z180" s="873">
        <f t="shared" si="63"/>
        <v>0</v>
      </c>
      <c r="AA180" s="885">
        <f t="shared" si="64"/>
        <v>0</v>
      </c>
    </row>
    <row r="181" spans="2:27" s="278" customFormat="1" ht="12" customHeight="1" x14ac:dyDescent="0.25">
      <c r="B181" s="1192" t="e">
        <f t="shared" si="69"/>
        <v>#N/A</v>
      </c>
      <c r="C181" s="732">
        <f t="shared" si="55"/>
        <v>31</v>
      </c>
      <c r="D181" s="35">
        <f t="shared" si="56"/>
        <v>3</v>
      </c>
      <c r="E181" s="889">
        <f t="shared" si="75"/>
        <v>75331</v>
      </c>
      <c r="F181" s="822">
        <f t="shared" si="57"/>
        <v>3</v>
      </c>
      <c r="G181" s="500">
        <f t="shared" si="70"/>
        <v>212</v>
      </c>
      <c r="H181" s="126">
        <f t="shared" si="58"/>
        <v>0</v>
      </c>
      <c r="I181" s="1098">
        <f t="shared" si="76"/>
        <v>0</v>
      </c>
      <c r="J181" s="887">
        <f t="shared" si="71"/>
        <v>162</v>
      </c>
      <c r="K181" s="1099">
        <f t="shared" si="65"/>
        <v>162</v>
      </c>
      <c r="L181" s="891" t="str">
        <f t="shared" si="66"/>
        <v>March</v>
      </c>
      <c r="M181" s="888">
        <f t="shared" si="72"/>
        <v>2106</v>
      </c>
      <c r="N181" s="883">
        <f t="shared" si="67"/>
        <v>0</v>
      </c>
      <c r="O181" s="883">
        <f t="shared" si="73"/>
        <v>0</v>
      </c>
      <c r="P181" s="1100"/>
      <c r="Q181" s="883">
        <f t="shared" si="59"/>
        <v>0</v>
      </c>
      <c r="R181" s="884">
        <f t="shared" si="74"/>
        <v>0</v>
      </c>
      <c r="S181" s="884">
        <f>IF(AND($AS$39="Early Payoff",J181&gt;=$S$13),0,IF($J181&lt;=$S$6,SUM($Q$20:$Q181),0))</f>
        <v>0</v>
      </c>
      <c r="T181" s="884">
        <f>IF(AND($AS$39="Early Payoff",J181&gt;=$S$13),0,IF($J181&lt;=$S$6,SUM($R$20:$R181),0))</f>
        <v>0</v>
      </c>
      <c r="U181" s="885">
        <f t="shared" si="60"/>
        <v>0</v>
      </c>
      <c r="V181" s="1110">
        <f t="shared" si="68"/>
        <v>0</v>
      </c>
      <c r="X181" s="1102">
        <f t="shared" si="61"/>
        <v>0</v>
      </c>
      <c r="Y181" s="873">
        <f t="shared" si="62"/>
        <v>0</v>
      </c>
      <c r="Z181" s="873">
        <f t="shared" si="63"/>
        <v>0</v>
      </c>
      <c r="AA181" s="885">
        <f t="shared" si="64"/>
        <v>0</v>
      </c>
    </row>
    <row r="182" spans="2:27" s="278" customFormat="1" ht="12" customHeight="1" x14ac:dyDescent="0.25">
      <c r="B182" s="1192" t="e">
        <f t="shared" si="69"/>
        <v>#N/A</v>
      </c>
      <c r="C182" s="732">
        <f t="shared" si="55"/>
        <v>31</v>
      </c>
      <c r="D182" s="35">
        <f t="shared" si="56"/>
        <v>8</v>
      </c>
      <c r="E182" s="889">
        <f t="shared" si="75"/>
        <v>75484</v>
      </c>
      <c r="F182" s="822">
        <f t="shared" si="57"/>
        <v>8</v>
      </c>
      <c r="G182" s="500">
        <f t="shared" si="70"/>
        <v>153</v>
      </c>
      <c r="H182" s="126">
        <f t="shared" si="58"/>
        <v>0</v>
      </c>
      <c r="I182" s="1098">
        <f t="shared" si="76"/>
        <v>1</v>
      </c>
      <c r="J182" s="887">
        <f t="shared" si="71"/>
        <v>163</v>
      </c>
      <c r="K182" s="1099">
        <f t="shared" si="65"/>
        <v>163</v>
      </c>
      <c r="L182" s="891" t="str">
        <f t="shared" si="66"/>
        <v>August</v>
      </c>
      <c r="M182" s="888">
        <f t="shared" si="72"/>
        <v>2106</v>
      </c>
      <c r="N182" s="883">
        <f t="shared" si="67"/>
        <v>0</v>
      </c>
      <c r="O182" s="883">
        <f t="shared" si="73"/>
        <v>0</v>
      </c>
      <c r="P182" s="1100"/>
      <c r="Q182" s="883">
        <f t="shared" si="59"/>
        <v>0</v>
      </c>
      <c r="R182" s="884">
        <f t="shared" si="74"/>
        <v>0</v>
      </c>
      <c r="S182" s="884">
        <f>IF(AND($AS$39="Early Payoff",J182&gt;=$S$13),0,IF($J182&lt;=$S$6,SUM($Q$20:$Q182),0))</f>
        <v>0</v>
      </c>
      <c r="T182" s="884">
        <f>IF(AND($AS$39="Early Payoff",J182&gt;=$S$13),0,IF($J182&lt;=$S$6,SUM($R$20:$R182),0))</f>
        <v>0</v>
      </c>
      <c r="U182" s="885">
        <f t="shared" si="60"/>
        <v>0</v>
      </c>
      <c r="V182" s="1110">
        <f t="shared" si="68"/>
        <v>0</v>
      </c>
      <c r="X182" s="1102">
        <f t="shared" si="61"/>
        <v>0</v>
      </c>
      <c r="Y182" s="873">
        <f t="shared" si="62"/>
        <v>0</v>
      </c>
      <c r="Z182" s="873">
        <f t="shared" si="63"/>
        <v>0</v>
      </c>
      <c r="AA182" s="885">
        <f t="shared" si="64"/>
        <v>0</v>
      </c>
    </row>
    <row r="183" spans="2:27" s="278" customFormat="1" ht="12" customHeight="1" x14ac:dyDescent="0.25">
      <c r="B183" s="1192" t="e">
        <f t="shared" si="69"/>
        <v>#N/A</v>
      </c>
      <c r="C183" s="732">
        <f t="shared" si="55"/>
        <v>31</v>
      </c>
      <c r="D183" s="35">
        <f t="shared" si="56"/>
        <v>3</v>
      </c>
      <c r="E183" s="889">
        <f t="shared" si="75"/>
        <v>75696</v>
      </c>
      <c r="F183" s="822">
        <f t="shared" si="57"/>
        <v>3</v>
      </c>
      <c r="G183" s="500">
        <f t="shared" si="70"/>
        <v>212</v>
      </c>
      <c r="H183" s="126">
        <f t="shared" si="58"/>
        <v>0</v>
      </c>
      <c r="I183" s="1098">
        <f t="shared" si="76"/>
        <v>0</v>
      </c>
      <c r="J183" s="887">
        <f t="shared" si="71"/>
        <v>164</v>
      </c>
      <c r="K183" s="1099">
        <f t="shared" si="65"/>
        <v>164</v>
      </c>
      <c r="L183" s="891" t="str">
        <f t="shared" si="66"/>
        <v>March</v>
      </c>
      <c r="M183" s="888">
        <f t="shared" si="72"/>
        <v>2107</v>
      </c>
      <c r="N183" s="883">
        <f t="shared" si="67"/>
        <v>0</v>
      </c>
      <c r="O183" s="883">
        <f t="shared" si="73"/>
        <v>0</v>
      </c>
      <c r="P183" s="1100"/>
      <c r="Q183" s="883">
        <f t="shared" si="59"/>
        <v>0</v>
      </c>
      <c r="R183" s="884">
        <f t="shared" si="74"/>
        <v>0</v>
      </c>
      <c r="S183" s="884">
        <f>IF(AND($AS$39="Early Payoff",J183&gt;=$S$13),0,IF($J183&lt;=$S$6,SUM($Q$20:$Q183),0))</f>
        <v>0</v>
      </c>
      <c r="T183" s="884">
        <f>IF(AND($AS$39="Early Payoff",J183&gt;=$S$13),0,IF($J183&lt;=$S$6,SUM($R$20:$R183),0))</f>
        <v>0</v>
      </c>
      <c r="U183" s="885">
        <f t="shared" si="60"/>
        <v>0</v>
      </c>
      <c r="V183" s="1110">
        <f t="shared" si="68"/>
        <v>0</v>
      </c>
      <c r="X183" s="1102">
        <f t="shared" si="61"/>
        <v>0</v>
      </c>
      <c r="Y183" s="873">
        <f t="shared" si="62"/>
        <v>0</v>
      </c>
      <c r="Z183" s="873">
        <f t="shared" si="63"/>
        <v>0</v>
      </c>
      <c r="AA183" s="885">
        <f t="shared" si="64"/>
        <v>0</v>
      </c>
    </row>
    <row r="184" spans="2:27" s="278" customFormat="1" ht="12" customHeight="1" x14ac:dyDescent="0.25">
      <c r="B184" s="1192" t="e">
        <f t="shared" si="69"/>
        <v>#N/A</v>
      </c>
      <c r="C184" s="732">
        <f t="shared" si="55"/>
        <v>31</v>
      </c>
      <c r="D184" s="35">
        <f t="shared" si="56"/>
        <v>8</v>
      </c>
      <c r="E184" s="889">
        <f t="shared" si="75"/>
        <v>75849</v>
      </c>
      <c r="F184" s="822">
        <f t="shared" si="57"/>
        <v>8</v>
      </c>
      <c r="G184" s="500">
        <f t="shared" si="70"/>
        <v>153</v>
      </c>
      <c r="H184" s="126">
        <f t="shared" si="58"/>
        <v>0</v>
      </c>
      <c r="I184" s="1098">
        <f t="shared" si="76"/>
        <v>1</v>
      </c>
      <c r="J184" s="887">
        <f t="shared" si="71"/>
        <v>165</v>
      </c>
      <c r="K184" s="1099">
        <f t="shared" si="65"/>
        <v>165</v>
      </c>
      <c r="L184" s="891" t="str">
        <f t="shared" si="66"/>
        <v>August</v>
      </c>
      <c r="M184" s="888">
        <f t="shared" si="72"/>
        <v>2107</v>
      </c>
      <c r="N184" s="883">
        <f t="shared" si="67"/>
        <v>0</v>
      </c>
      <c r="O184" s="883">
        <f t="shared" si="73"/>
        <v>0</v>
      </c>
      <c r="P184" s="1100"/>
      <c r="Q184" s="883">
        <f t="shared" si="59"/>
        <v>0</v>
      </c>
      <c r="R184" s="884">
        <f t="shared" si="74"/>
        <v>0</v>
      </c>
      <c r="S184" s="884">
        <f>IF(AND($AS$39="Early Payoff",J184&gt;=$S$13),0,IF($J184&lt;=$S$6,SUM($Q$20:$Q184),0))</f>
        <v>0</v>
      </c>
      <c r="T184" s="884">
        <f>IF(AND($AS$39="Early Payoff",J184&gt;=$S$13),0,IF($J184&lt;=$S$6,SUM($R$20:$R184),0))</f>
        <v>0</v>
      </c>
      <c r="U184" s="885">
        <f t="shared" si="60"/>
        <v>0</v>
      </c>
      <c r="V184" s="1110">
        <f t="shared" si="68"/>
        <v>0</v>
      </c>
      <c r="X184" s="1102">
        <f t="shared" si="61"/>
        <v>0</v>
      </c>
      <c r="Y184" s="873">
        <f t="shared" si="62"/>
        <v>0</v>
      </c>
      <c r="Z184" s="873">
        <f t="shared" si="63"/>
        <v>0</v>
      </c>
      <c r="AA184" s="885">
        <f t="shared" si="64"/>
        <v>0</v>
      </c>
    </row>
    <row r="185" spans="2:27" s="278" customFormat="1" ht="12" customHeight="1" x14ac:dyDescent="0.25">
      <c r="B185" s="1192" t="e">
        <f t="shared" si="69"/>
        <v>#N/A</v>
      </c>
      <c r="C185" s="732">
        <f t="shared" si="55"/>
        <v>31</v>
      </c>
      <c r="D185" s="35">
        <f t="shared" si="56"/>
        <v>3</v>
      </c>
      <c r="E185" s="889">
        <f t="shared" si="75"/>
        <v>76062</v>
      </c>
      <c r="F185" s="822">
        <f t="shared" si="57"/>
        <v>3</v>
      </c>
      <c r="G185" s="500">
        <f t="shared" si="70"/>
        <v>213</v>
      </c>
      <c r="H185" s="126">
        <f t="shared" si="58"/>
        <v>0</v>
      </c>
      <c r="I185" s="1098">
        <f t="shared" si="76"/>
        <v>0</v>
      </c>
      <c r="J185" s="887">
        <f t="shared" si="71"/>
        <v>166</v>
      </c>
      <c r="K185" s="1099">
        <f t="shared" si="65"/>
        <v>166</v>
      </c>
      <c r="L185" s="891" t="str">
        <f t="shared" si="66"/>
        <v>March</v>
      </c>
      <c r="M185" s="888">
        <f t="shared" si="72"/>
        <v>2108</v>
      </c>
      <c r="N185" s="883">
        <f t="shared" si="67"/>
        <v>0</v>
      </c>
      <c r="O185" s="883">
        <f t="shared" si="73"/>
        <v>0</v>
      </c>
      <c r="P185" s="1100"/>
      <c r="Q185" s="883">
        <f t="shared" si="59"/>
        <v>0</v>
      </c>
      <c r="R185" s="884">
        <f t="shared" si="74"/>
        <v>0</v>
      </c>
      <c r="S185" s="884">
        <f>IF(AND($AS$39="Early Payoff",J185&gt;=$S$13),0,IF($J185&lt;=$S$6,SUM($Q$20:$Q185),0))</f>
        <v>0</v>
      </c>
      <c r="T185" s="884">
        <f>IF(AND($AS$39="Early Payoff",J185&gt;=$S$13),0,IF($J185&lt;=$S$6,SUM($R$20:$R185),0))</f>
        <v>0</v>
      </c>
      <c r="U185" s="885">
        <f t="shared" si="60"/>
        <v>0</v>
      </c>
      <c r="V185" s="1110">
        <f t="shared" si="68"/>
        <v>0</v>
      </c>
      <c r="X185" s="1102">
        <f t="shared" si="61"/>
        <v>0</v>
      </c>
      <c r="Y185" s="873">
        <f t="shared" si="62"/>
        <v>0</v>
      </c>
      <c r="Z185" s="873">
        <f t="shared" si="63"/>
        <v>0</v>
      </c>
      <c r="AA185" s="885">
        <f t="shared" si="64"/>
        <v>0</v>
      </c>
    </row>
    <row r="186" spans="2:27" s="278" customFormat="1" ht="12" customHeight="1" x14ac:dyDescent="0.25">
      <c r="B186" s="1192" t="e">
        <f t="shared" si="69"/>
        <v>#N/A</v>
      </c>
      <c r="C186" s="732">
        <f t="shared" si="55"/>
        <v>31</v>
      </c>
      <c r="D186" s="35">
        <f t="shared" si="56"/>
        <v>8</v>
      </c>
      <c r="E186" s="889">
        <f t="shared" si="75"/>
        <v>76215</v>
      </c>
      <c r="F186" s="822">
        <f t="shared" si="57"/>
        <v>8</v>
      </c>
      <c r="G186" s="500">
        <f t="shared" si="70"/>
        <v>153</v>
      </c>
      <c r="H186" s="126">
        <f t="shared" si="58"/>
        <v>0</v>
      </c>
      <c r="I186" s="1098">
        <f t="shared" si="76"/>
        <v>1</v>
      </c>
      <c r="J186" s="887">
        <f t="shared" si="71"/>
        <v>167</v>
      </c>
      <c r="K186" s="1099">
        <f t="shared" si="65"/>
        <v>167</v>
      </c>
      <c r="L186" s="891" t="str">
        <f t="shared" si="66"/>
        <v>August</v>
      </c>
      <c r="M186" s="888">
        <f t="shared" si="72"/>
        <v>2108</v>
      </c>
      <c r="N186" s="883">
        <f t="shared" si="67"/>
        <v>0</v>
      </c>
      <c r="O186" s="883">
        <f t="shared" si="73"/>
        <v>0</v>
      </c>
      <c r="P186" s="1100"/>
      <c r="Q186" s="883">
        <f t="shared" si="59"/>
        <v>0</v>
      </c>
      <c r="R186" s="884">
        <f t="shared" si="74"/>
        <v>0</v>
      </c>
      <c r="S186" s="884">
        <f>IF(AND($AS$39="Early Payoff",J186&gt;=$S$13),0,IF($J186&lt;=$S$6,SUM($Q$20:$Q186),0))</f>
        <v>0</v>
      </c>
      <c r="T186" s="884">
        <f>IF(AND($AS$39="Early Payoff",J186&gt;=$S$13),0,IF($J186&lt;=$S$6,SUM($R$20:$R186),0))</f>
        <v>0</v>
      </c>
      <c r="U186" s="885">
        <f t="shared" si="60"/>
        <v>0</v>
      </c>
      <c r="V186" s="1110">
        <f t="shared" si="68"/>
        <v>0</v>
      </c>
      <c r="X186" s="1102">
        <f t="shared" si="61"/>
        <v>0</v>
      </c>
      <c r="Y186" s="873">
        <f t="shared" si="62"/>
        <v>0</v>
      </c>
      <c r="Z186" s="873">
        <f t="shared" si="63"/>
        <v>0</v>
      </c>
      <c r="AA186" s="885">
        <f t="shared" si="64"/>
        <v>0</v>
      </c>
    </row>
    <row r="187" spans="2:27" s="278" customFormat="1" ht="12" customHeight="1" x14ac:dyDescent="0.25">
      <c r="B187" s="1192" t="e">
        <f t="shared" si="69"/>
        <v>#N/A</v>
      </c>
      <c r="C187" s="732">
        <f t="shared" si="55"/>
        <v>31</v>
      </c>
      <c r="D187" s="35">
        <f t="shared" si="56"/>
        <v>3</v>
      </c>
      <c r="E187" s="889">
        <f t="shared" si="75"/>
        <v>76427</v>
      </c>
      <c r="F187" s="822">
        <f t="shared" si="57"/>
        <v>3</v>
      </c>
      <c r="G187" s="500">
        <f t="shared" si="70"/>
        <v>212</v>
      </c>
      <c r="H187" s="126">
        <f t="shared" si="58"/>
        <v>0</v>
      </c>
      <c r="I187" s="1098">
        <f t="shared" si="76"/>
        <v>0</v>
      </c>
      <c r="J187" s="887">
        <f t="shared" si="71"/>
        <v>168</v>
      </c>
      <c r="K187" s="1099">
        <f t="shared" si="65"/>
        <v>168</v>
      </c>
      <c r="L187" s="891" t="str">
        <f t="shared" si="66"/>
        <v>March</v>
      </c>
      <c r="M187" s="888">
        <f t="shared" si="72"/>
        <v>2109</v>
      </c>
      <c r="N187" s="883">
        <f t="shared" si="67"/>
        <v>0</v>
      </c>
      <c r="O187" s="883">
        <f t="shared" si="73"/>
        <v>0</v>
      </c>
      <c r="P187" s="1100"/>
      <c r="Q187" s="883">
        <f t="shared" si="59"/>
        <v>0</v>
      </c>
      <c r="R187" s="884">
        <f t="shared" si="74"/>
        <v>0</v>
      </c>
      <c r="S187" s="884">
        <f>IF(AND($AS$39="Early Payoff",J187&gt;=$S$13),0,IF($J187&lt;=$S$6,SUM($Q$20:$Q187),0))</f>
        <v>0</v>
      </c>
      <c r="T187" s="884">
        <f>IF(AND($AS$39="Early Payoff",J187&gt;=$S$13),0,IF($J187&lt;=$S$6,SUM($R$20:$R187),0))</f>
        <v>0</v>
      </c>
      <c r="U187" s="885">
        <f t="shared" si="60"/>
        <v>0</v>
      </c>
      <c r="V187" s="1110">
        <f t="shared" si="68"/>
        <v>0</v>
      </c>
      <c r="X187" s="1102">
        <f t="shared" si="61"/>
        <v>0</v>
      </c>
      <c r="Y187" s="873">
        <f t="shared" si="62"/>
        <v>0</v>
      </c>
      <c r="Z187" s="873">
        <f t="shared" si="63"/>
        <v>0</v>
      </c>
      <c r="AA187" s="885">
        <f t="shared" si="64"/>
        <v>0</v>
      </c>
    </row>
    <row r="188" spans="2:27" s="278" customFormat="1" ht="12" customHeight="1" x14ac:dyDescent="0.25">
      <c r="B188" s="1192" t="e">
        <f t="shared" si="69"/>
        <v>#N/A</v>
      </c>
      <c r="C188" s="732">
        <f t="shared" si="55"/>
        <v>31</v>
      </c>
      <c r="D188" s="35">
        <f t="shared" si="56"/>
        <v>8</v>
      </c>
      <c r="E188" s="889">
        <f t="shared" si="75"/>
        <v>76580</v>
      </c>
      <c r="F188" s="822">
        <f t="shared" si="57"/>
        <v>8</v>
      </c>
      <c r="G188" s="500">
        <f t="shared" si="70"/>
        <v>153</v>
      </c>
      <c r="H188" s="126">
        <f t="shared" si="58"/>
        <v>0</v>
      </c>
      <c r="I188" s="1098">
        <f t="shared" si="76"/>
        <v>1</v>
      </c>
      <c r="J188" s="887">
        <f t="shared" si="71"/>
        <v>169</v>
      </c>
      <c r="K188" s="1099">
        <f t="shared" si="65"/>
        <v>169</v>
      </c>
      <c r="L188" s="891" t="str">
        <f t="shared" si="66"/>
        <v>August</v>
      </c>
      <c r="M188" s="888">
        <f t="shared" si="72"/>
        <v>2109</v>
      </c>
      <c r="N188" s="883">
        <f t="shared" si="67"/>
        <v>0</v>
      </c>
      <c r="O188" s="883">
        <f t="shared" si="73"/>
        <v>0</v>
      </c>
      <c r="P188" s="1100"/>
      <c r="Q188" s="883">
        <f t="shared" si="59"/>
        <v>0</v>
      </c>
      <c r="R188" s="884">
        <f t="shared" si="74"/>
        <v>0</v>
      </c>
      <c r="S188" s="884">
        <f>IF(AND($AS$39="Early Payoff",J188&gt;=$S$13),0,IF($J188&lt;=$S$6,SUM($Q$20:$Q188),0))</f>
        <v>0</v>
      </c>
      <c r="T188" s="884">
        <f>IF(AND($AS$39="Early Payoff",J188&gt;=$S$13),0,IF($J188&lt;=$S$6,SUM($R$20:$R188),0))</f>
        <v>0</v>
      </c>
      <c r="U188" s="885">
        <f t="shared" si="60"/>
        <v>0</v>
      </c>
      <c r="V188" s="1110">
        <f t="shared" si="68"/>
        <v>0</v>
      </c>
      <c r="X188" s="1102">
        <f t="shared" si="61"/>
        <v>0</v>
      </c>
      <c r="Y188" s="873">
        <f t="shared" si="62"/>
        <v>0</v>
      </c>
      <c r="Z188" s="873">
        <f t="shared" si="63"/>
        <v>0</v>
      </c>
      <c r="AA188" s="885">
        <f t="shared" si="64"/>
        <v>0</v>
      </c>
    </row>
    <row r="189" spans="2:27" s="278" customFormat="1" ht="12" customHeight="1" x14ac:dyDescent="0.25">
      <c r="B189" s="1192" t="e">
        <f t="shared" si="69"/>
        <v>#N/A</v>
      </c>
      <c r="C189" s="732">
        <f t="shared" si="55"/>
        <v>31</v>
      </c>
      <c r="D189" s="35">
        <f t="shared" si="56"/>
        <v>3</v>
      </c>
      <c r="E189" s="889">
        <f t="shared" si="75"/>
        <v>76792</v>
      </c>
      <c r="F189" s="822">
        <f t="shared" si="57"/>
        <v>3</v>
      </c>
      <c r="G189" s="500">
        <f t="shared" si="70"/>
        <v>212</v>
      </c>
      <c r="H189" s="126">
        <f t="shared" si="58"/>
        <v>0</v>
      </c>
      <c r="I189" s="1098">
        <f t="shared" si="76"/>
        <v>0</v>
      </c>
      <c r="J189" s="887">
        <f t="shared" si="71"/>
        <v>170</v>
      </c>
      <c r="K189" s="1099">
        <f t="shared" si="65"/>
        <v>170</v>
      </c>
      <c r="L189" s="891" t="str">
        <f t="shared" si="66"/>
        <v>March</v>
      </c>
      <c r="M189" s="888">
        <f t="shared" si="72"/>
        <v>2110</v>
      </c>
      <c r="N189" s="883">
        <f t="shared" si="67"/>
        <v>0</v>
      </c>
      <c r="O189" s="883">
        <f t="shared" si="73"/>
        <v>0</v>
      </c>
      <c r="P189" s="1100"/>
      <c r="Q189" s="883">
        <f t="shared" si="59"/>
        <v>0</v>
      </c>
      <c r="R189" s="884">
        <f t="shared" si="74"/>
        <v>0</v>
      </c>
      <c r="S189" s="884">
        <f>IF(AND($AS$39="Early Payoff",J189&gt;=$S$13),0,IF($J189&lt;=$S$6,SUM($Q$20:$Q189),0))</f>
        <v>0</v>
      </c>
      <c r="T189" s="884">
        <f>IF(AND($AS$39="Early Payoff",J189&gt;=$S$13),0,IF($J189&lt;=$S$6,SUM($R$20:$R189),0))</f>
        <v>0</v>
      </c>
      <c r="U189" s="885">
        <f t="shared" si="60"/>
        <v>0</v>
      </c>
      <c r="V189" s="1110">
        <f t="shared" si="68"/>
        <v>0</v>
      </c>
      <c r="X189" s="1102">
        <f t="shared" si="61"/>
        <v>0</v>
      </c>
      <c r="Y189" s="873">
        <f t="shared" si="62"/>
        <v>0</v>
      </c>
      <c r="Z189" s="873">
        <f t="shared" si="63"/>
        <v>0</v>
      </c>
      <c r="AA189" s="885">
        <f t="shared" si="64"/>
        <v>0</v>
      </c>
    </row>
    <row r="190" spans="2:27" s="278" customFormat="1" ht="12" customHeight="1" x14ac:dyDescent="0.25">
      <c r="B190" s="1192" t="e">
        <f t="shared" si="69"/>
        <v>#N/A</v>
      </c>
      <c r="C190" s="732">
        <f t="shared" si="55"/>
        <v>31</v>
      </c>
      <c r="D190" s="35">
        <f t="shared" si="56"/>
        <v>8</v>
      </c>
      <c r="E190" s="889">
        <f t="shared" si="75"/>
        <v>76945</v>
      </c>
      <c r="F190" s="822">
        <f t="shared" si="57"/>
        <v>8</v>
      </c>
      <c r="G190" s="500">
        <f t="shared" si="70"/>
        <v>153</v>
      </c>
      <c r="H190" s="126">
        <f t="shared" si="58"/>
        <v>0</v>
      </c>
      <c r="I190" s="1098">
        <f t="shared" si="76"/>
        <v>1</v>
      </c>
      <c r="J190" s="887">
        <f t="shared" si="71"/>
        <v>171</v>
      </c>
      <c r="K190" s="1099">
        <f t="shared" si="65"/>
        <v>171</v>
      </c>
      <c r="L190" s="891" t="str">
        <f t="shared" si="66"/>
        <v>August</v>
      </c>
      <c r="M190" s="888">
        <f t="shared" si="72"/>
        <v>2110</v>
      </c>
      <c r="N190" s="883">
        <f t="shared" si="67"/>
        <v>0</v>
      </c>
      <c r="O190" s="883">
        <f t="shared" si="73"/>
        <v>0</v>
      </c>
      <c r="P190" s="1100"/>
      <c r="Q190" s="883">
        <f t="shared" si="59"/>
        <v>0</v>
      </c>
      <c r="R190" s="884">
        <f t="shared" si="74"/>
        <v>0</v>
      </c>
      <c r="S190" s="884">
        <f>IF(AND($AS$39="Early Payoff",J190&gt;=$S$13),0,IF($J190&lt;=$S$6,SUM($Q$20:$Q190),0))</f>
        <v>0</v>
      </c>
      <c r="T190" s="884">
        <f>IF(AND($AS$39="Early Payoff",J190&gt;=$S$13),0,IF($J190&lt;=$S$6,SUM($R$20:$R190),0))</f>
        <v>0</v>
      </c>
      <c r="U190" s="885">
        <f t="shared" si="60"/>
        <v>0</v>
      </c>
      <c r="V190" s="1110">
        <f t="shared" si="68"/>
        <v>0</v>
      </c>
      <c r="X190" s="1102">
        <f t="shared" si="61"/>
        <v>0</v>
      </c>
      <c r="Y190" s="873">
        <f t="shared" si="62"/>
        <v>0</v>
      </c>
      <c r="Z190" s="873">
        <f t="shared" si="63"/>
        <v>0</v>
      </c>
      <c r="AA190" s="885">
        <f t="shared" si="64"/>
        <v>0</v>
      </c>
    </row>
    <row r="191" spans="2:27" s="278" customFormat="1" ht="12" customHeight="1" x14ac:dyDescent="0.25">
      <c r="B191" s="1192" t="e">
        <f t="shared" si="69"/>
        <v>#N/A</v>
      </c>
      <c r="C191" s="732">
        <f t="shared" si="55"/>
        <v>31</v>
      </c>
      <c r="D191" s="35">
        <f t="shared" si="56"/>
        <v>3</v>
      </c>
      <c r="E191" s="889">
        <f t="shared" si="75"/>
        <v>77157</v>
      </c>
      <c r="F191" s="822">
        <f t="shared" si="57"/>
        <v>3</v>
      </c>
      <c r="G191" s="500">
        <f t="shared" si="70"/>
        <v>212</v>
      </c>
      <c r="H191" s="126">
        <f t="shared" si="58"/>
        <v>0</v>
      </c>
      <c r="I191" s="1098">
        <f t="shared" si="76"/>
        <v>0</v>
      </c>
      <c r="J191" s="887">
        <f t="shared" si="71"/>
        <v>172</v>
      </c>
      <c r="K191" s="1099">
        <f t="shared" si="65"/>
        <v>172</v>
      </c>
      <c r="L191" s="891" t="str">
        <f t="shared" si="66"/>
        <v>March</v>
      </c>
      <c r="M191" s="888">
        <f t="shared" si="72"/>
        <v>2111</v>
      </c>
      <c r="N191" s="883">
        <f t="shared" si="67"/>
        <v>0</v>
      </c>
      <c r="O191" s="883">
        <f t="shared" si="73"/>
        <v>0</v>
      </c>
      <c r="P191" s="1100"/>
      <c r="Q191" s="883">
        <f t="shared" si="59"/>
        <v>0</v>
      </c>
      <c r="R191" s="884">
        <f t="shared" si="74"/>
        <v>0</v>
      </c>
      <c r="S191" s="884">
        <f>IF(AND($AS$39="Early Payoff",J191&gt;=$S$13),0,IF($J191&lt;=$S$6,SUM($Q$20:$Q191),0))</f>
        <v>0</v>
      </c>
      <c r="T191" s="884">
        <f>IF(AND($AS$39="Early Payoff",J191&gt;=$S$13),0,IF($J191&lt;=$S$6,SUM($R$20:$R191),0))</f>
        <v>0</v>
      </c>
      <c r="U191" s="885">
        <f t="shared" si="60"/>
        <v>0</v>
      </c>
      <c r="V191" s="1110">
        <f t="shared" si="68"/>
        <v>0</v>
      </c>
      <c r="X191" s="1102">
        <f t="shared" si="61"/>
        <v>0</v>
      </c>
      <c r="Y191" s="873">
        <f t="shared" si="62"/>
        <v>0</v>
      </c>
      <c r="Z191" s="873">
        <f t="shared" si="63"/>
        <v>0</v>
      </c>
      <c r="AA191" s="885">
        <f t="shared" si="64"/>
        <v>0</v>
      </c>
    </row>
    <row r="192" spans="2:27" s="278" customFormat="1" ht="12" customHeight="1" x14ac:dyDescent="0.25">
      <c r="B192" s="1192" t="e">
        <f t="shared" si="69"/>
        <v>#N/A</v>
      </c>
      <c r="C192" s="732">
        <f t="shared" si="55"/>
        <v>31</v>
      </c>
      <c r="D192" s="35">
        <f t="shared" si="56"/>
        <v>8</v>
      </c>
      <c r="E192" s="889">
        <f t="shared" si="75"/>
        <v>77310</v>
      </c>
      <c r="F192" s="822">
        <f t="shared" si="57"/>
        <v>8</v>
      </c>
      <c r="G192" s="500">
        <f t="shared" si="70"/>
        <v>153</v>
      </c>
      <c r="H192" s="126">
        <f t="shared" si="58"/>
        <v>0</v>
      </c>
      <c r="I192" s="1098">
        <f t="shared" si="76"/>
        <v>1</v>
      </c>
      <c r="J192" s="887">
        <f t="shared" si="71"/>
        <v>173</v>
      </c>
      <c r="K192" s="1099">
        <f t="shared" si="65"/>
        <v>173</v>
      </c>
      <c r="L192" s="891" t="str">
        <f t="shared" si="66"/>
        <v>August</v>
      </c>
      <c r="M192" s="888">
        <f t="shared" si="72"/>
        <v>2111</v>
      </c>
      <c r="N192" s="883">
        <f t="shared" si="67"/>
        <v>0</v>
      </c>
      <c r="O192" s="883">
        <f t="shared" si="73"/>
        <v>0</v>
      </c>
      <c r="P192" s="1100"/>
      <c r="Q192" s="883">
        <f t="shared" si="59"/>
        <v>0</v>
      </c>
      <c r="R192" s="884">
        <f t="shared" si="74"/>
        <v>0</v>
      </c>
      <c r="S192" s="884">
        <f>IF(AND($AS$39="Early Payoff",J192&gt;=$S$13),0,IF($J192&lt;=$S$6,SUM($Q$20:$Q192),0))</f>
        <v>0</v>
      </c>
      <c r="T192" s="884">
        <f>IF(AND($AS$39="Early Payoff",J192&gt;=$S$13),0,IF($J192&lt;=$S$6,SUM($R$20:$R192),0))</f>
        <v>0</v>
      </c>
      <c r="U192" s="885">
        <f t="shared" si="60"/>
        <v>0</v>
      </c>
      <c r="V192" s="1110">
        <f t="shared" si="68"/>
        <v>0</v>
      </c>
      <c r="X192" s="1102">
        <f t="shared" si="61"/>
        <v>0</v>
      </c>
      <c r="Y192" s="873">
        <f t="shared" si="62"/>
        <v>0</v>
      </c>
      <c r="Z192" s="873">
        <f t="shared" si="63"/>
        <v>0</v>
      </c>
      <c r="AA192" s="885">
        <f t="shared" si="64"/>
        <v>0</v>
      </c>
    </row>
    <row r="193" spans="2:27" s="278" customFormat="1" ht="12" customHeight="1" x14ac:dyDescent="0.25">
      <c r="B193" s="1192" t="e">
        <f t="shared" si="69"/>
        <v>#N/A</v>
      </c>
      <c r="C193" s="732">
        <f t="shared" si="55"/>
        <v>31</v>
      </c>
      <c r="D193" s="35">
        <f t="shared" si="56"/>
        <v>3</v>
      </c>
      <c r="E193" s="889">
        <f t="shared" si="75"/>
        <v>77523</v>
      </c>
      <c r="F193" s="822">
        <f t="shared" si="57"/>
        <v>3</v>
      </c>
      <c r="G193" s="500">
        <f t="shared" si="70"/>
        <v>213</v>
      </c>
      <c r="H193" s="126">
        <f t="shared" si="58"/>
        <v>0</v>
      </c>
      <c r="I193" s="1098">
        <f t="shared" si="76"/>
        <v>0</v>
      </c>
      <c r="J193" s="887">
        <f t="shared" si="71"/>
        <v>174</v>
      </c>
      <c r="K193" s="1099">
        <f t="shared" si="65"/>
        <v>174</v>
      </c>
      <c r="L193" s="891" t="str">
        <f t="shared" si="66"/>
        <v>March</v>
      </c>
      <c r="M193" s="888">
        <f t="shared" si="72"/>
        <v>2112</v>
      </c>
      <c r="N193" s="883">
        <f t="shared" si="67"/>
        <v>0</v>
      </c>
      <c r="O193" s="883">
        <f t="shared" si="73"/>
        <v>0</v>
      </c>
      <c r="P193" s="1100"/>
      <c r="Q193" s="883">
        <f t="shared" si="59"/>
        <v>0</v>
      </c>
      <c r="R193" s="884">
        <f t="shared" si="74"/>
        <v>0</v>
      </c>
      <c r="S193" s="884">
        <f>IF(AND($AS$39="Early Payoff",J193&gt;=$S$13),0,IF($J193&lt;=$S$6,SUM($Q$20:$Q193),0))</f>
        <v>0</v>
      </c>
      <c r="T193" s="884">
        <f>IF(AND($AS$39="Early Payoff",J193&gt;=$S$13),0,IF($J193&lt;=$S$6,SUM($R$20:$R193),0))</f>
        <v>0</v>
      </c>
      <c r="U193" s="885">
        <f t="shared" si="60"/>
        <v>0</v>
      </c>
      <c r="V193" s="1110">
        <f t="shared" si="68"/>
        <v>0</v>
      </c>
      <c r="X193" s="1102">
        <f t="shared" si="61"/>
        <v>0</v>
      </c>
      <c r="Y193" s="873">
        <f t="shared" si="62"/>
        <v>0</v>
      </c>
      <c r="Z193" s="873">
        <f t="shared" si="63"/>
        <v>0</v>
      </c>
      <c r="AA193" s="885">
        <f t="shared" si="64"/>
        <v>0</v>
      </c>
    </row>
    <row r="194" spans="2:27" s="278" customFormat="1" ht="12" customHeight="1" x14ac:dyDescent="0.25">
      <c r="B194" s="1192" t="e">
        <f t="shared" si="69"/>
        <v>#N/A</v>
      </c>
      <c r="C194" s="732">
        <f t="shared" si="55"/>
        <v>31</v>
      </c>
      <c r="D194" s="35">
        <f t="shared" si="56"/>
        <v>8</v>
      </c>
      <c r="E194" s="889">
        <f t="shared" si="75"/>
        <v>77676</v>
      </c>
      <c r="F194" s="822">
        <f t="shared" si="57"/>
        <v>8</v>
      </c>
      <c r="G194" s="500">
        <f t="shared" si="70"/>
        <v>153</v>
      </c>
      <c r="H194" s="126">
        <f t="shared" si="58"/>
        <v>0</v>
      </c>
      <c r="I194" s="1098">
        <f t="shared" si="76"/>
        <v>1</v>
      </c>
      <c r="J194" s="887">
        <f t="shared" si="71"/>
        <v>175</v>
      </c>
      <c r="K194" s="1099">
        <f t="shared" si="65"/>
        <v>175</v>
      </c>
      <c r="L194" s="891" t="str">
        <f t="shared" si="66"/>
        <v>August</v>
      </c>
      <c r="M194" s="888">
        <f t="shared" si="72"/>
        <v>2112</v>
      </c>
      <c r="N194" s="883">
        <f t="shared" si="67"/>
        <v>0</v>
      </c>
      <c r="O194" s="883">
        <f t="shared" si="73"/>
        <v>0</v>
      </c>
      <c r="P194" s="1100"/>
      <c r="Q194" s="883">
        <f t="shared" si="59"/>
        <v>0</v>
      </c>
      <c r="R194" s="884">
        <f t="shared" si="74"/>
        <v>0</v>
      </c>
      <c r="S194" s="884">
        <f>IF(AND($AS$39="Early Payoff",J194&gt;=$S$13),0,IF($J194&lt;=$S$6,SUM($Q$20:$Q194),0))</f>
        <v>0</v>
      </c>
      <c r="T194" s="884">
        <f>IF(AND($AS$39="Early Payoff",J194&gt;=$S$13),0,IF($J194&lt;=$S$6,SUM($R$20:$R194),0))</f>
        <v>0</v>
      </c>
      <c r="U194" s="885">
        <f t="shared" si="60"/>
        <v>0</v>
      </c>
      <c r="V194" s="1110">
        <f t="shared" si="68"/>
        <v>0</v>
      </c>
      <c r="X194" s="1102">
        <f t="shared" si="61"/>
        <v>0</v>
      </c>
      <c r="Y194" s="873">
        <f t="shared" si="62"/>
        <v>0</v>
      </c>
      <c r="Z194" s="873">
        <f t="shared" si="63"/>
        <v>0</v>
      </c>
      <c r="AA194" s="885">
        <f t="shared" si="64"/>
        <v>0</v>
      </c>
    </row>
    <row r="195" spans="2:27" s="278" customFormat="1" ht="12" customHeight="1" x14ac:dyDescent="0.25">
      <c r="B195" s="1192" t="e">
        <f t="shared" si="69"/>
        <v>#N/A</v>
      </c>
      <c r="C195" s="732">
        <f t="shared" si="55"/>
        <v>31</v>
      </c>
      <c r="D195" s="35">
        <f t="shared" si="56"/>
        <v>3</v>
      </c>
      <c r="E195" s="889">
        <f t="shared" si="75"/>
        <v>77888</v>
      </c>
      <c r="F195" s="822">
        <f t="shared" si="57"/>
        <v>3</v>
      </c>
      <c r="G195" s="500">
        <f t="shared" si="70"/>
        <v>212</v>
      </c>
      <c r="H195" s="126">
        <f t="shared" si="58"/>
        <v>0</v>
      </c>
      <c r="I195" s="1098">
        <f t="shared" si="76"/>
        <v>0</v>
      </c>
      <c r="J195" s="887">
        <f t="shared" si="71"/>
        <v>176</v>
      </c>
      <c r="K195" s="1099">
        <f t="shared" si="65"/>
        <v>176</v>
      </c>
      <c r="L195" s="891" t="str">
        <f t="shared" si="66"/>
        <v>March</v>
      </c>
      <c r="M195" s="888">
        <f t="shared" si="72"/>
        <v>2113</v>
      </c>
      <c r="N195" s="883">
        <f t="shared" si="67"/>
        <v>0</v>
      </c>
      <c r="O195" s="883">
        <f t="shared" si="73"/>
        <v>0</v>
      </c>
      <c r="P195" s="1100"/>
      <c r="Q195" s="883">
        <f t="shared" si="59"/>
        <v>0</v>
      </c>
      <c r="R195" s="884">
        <f t="shared" si="74"/>
        <v>0</v>
      </c>
      <c r="S195" s="884">
        <f>IF(AND($AS$39="Early Payoff",J195&gt;=$S$13),0,IF($J195&lt;=$S$6,SUM($Q$20:$Q195),0))</f>
        <v>0</v>
      </c>
      <c r="T195" s="884">
        <f>IF(AND($AS$39="Early Payoff",J195&gt;=$S$13),0,IF($J195&lt;=$S$6,SUM($R$20:$R195),0))</f>
        <v>0</v>
      </c>
      <c r="U195" s="885">
        <f t="shared" si="60"/>
        <v>0</v>
      </c>
      <c r="V195" s="1110">
        <f t="shared" si="68"/>
        <v>0</v>
      </c>
      <c r="X195" s="1102">
        <f t="shared" si="61"/>
        <v>0</v>
      </c>
      <c r="Y195" s="873">
        <f t="shared" si="62"/>
        <v>0</v>
      </c>
      <c r="Z195" s="873">
        <f t="shared" si="63"/>
        <v>0</v>
      </c>
      <c r="AA195" s="885">
        <f t="shared" si="64"/>
        <v>0</v>
      </c>
    </row>
    <row r="196" spans="2:27" s="278" customFormat="1" ht="12" customHeight="1" x14ac:dyDescent="0.25">
      <c r="B196" s="1192" t="e">
        <f t="shared" si="69"/>
        <v>#N/A</v>
      </c>
      <c r="C196" s="732">
        <f t="shared" si="55"/>
        <v>31</v>
      </c>
      <c r="D196" s="35">
        <f t="shared" si="56"/>
        <v>8</v>
      </c>
      <c r="E196" s="889">
        <f t="shared" si="75"/>
        <v>78041</v>
      </c>
      <c r="F196" s="822">
        <f t="shared" si="57"/>
        <v>8</v>
      </c>
      <c r="G196" s="500">
        <f t="shared" si="70"/>
        <v>153</v>
      </c>
      <c r="H196" s="126">
        <f t="shared" si="58"/>
        <v>0</v>
      </c>
      <c r="I196" s="1098">
        <f t="shared" si="76"/>
        <v>1</v>
      </c>
      <c r="J196" s="887">
        <f t="shared" si="71"/>
        <v>177</v>
      </c>
      <c r="K196" s="1099">
        <f t="shared" si="65"/>
        <v>177</v>
      </c>
      <c r="L196" s="891" t="str">
        <f t="shared" si="66"/>
        <v>August</v>
      </c>
      <c r="M196" s="888">
        <f t="shared" si="72"/>
        <v>2113</v>
      </c>
      <c r="N196" s="883">
        <f t="shared" si="67"/>
        <v>0</v>
      </c>
      <c r="O196" s="883">
        <f t="shared" si="73"/>
        <v>0</v>
      </c>
      <c r="P196" s="1100"/>
      <c r="Q196" s="883">
        <f t="shared" si="59"/>
        <v>0</v>
      </c>
      <c r="R196" s="884">
        <f t="shared" si="74"/>
        <v>0</v>
      </c>
      <c r="S196" s="884">
        <f>IF(AND($AS$39="Early Payoff",J196&gt;=$S$13),0,IF($J196&lt;=$S$6,SUM($Q$20:$Q196),0))</f>
        <v>0</v>
      </c>
      <c r="T196" s="884">
        <f>IF(AND($AS$39="Early Payoff",J196&gt;=$S$13),0,IF($J196&lt;=$S$6,SUM($R$20:$R196),0))</f>
        <v>0</v>
      </c>
      <c r="U196" s="885">
        <f t="shared" si="60"/>
        <v>0</v>
      </c>
      <c r="V196" s="1110">
        <f t="shared" si="68"/>
        <v>0</v>
      </c>
      <c r="X196" s="1102">
        <f t="shared" si="61"/>
        <v>0</v>
      </c>
      <c r="Y196" s="873">
        <f t="shared" si="62"/>
        <v>0</v>
      </c>
      <c r="Z196" s="873">
        <f t="shared" si="63"/>
        <v>0</v>
      </c>
      <c r="AA196" s="885">
        <f t="shared" si="64"/>
        <v>0</v>
      </c>
    </row>
    <row r="197" spans="2:27" s="278" customFormat="1" ht="12" customHeight="1" x14ac:dyDescent="0.25">
      <c r="B197" s="1192" t="e">
        <f t="shared" si="69"/>
        <v>#N/A</v>
      </c>
      <c r="C197" s="732">
        <f t="shared" si="55"/>
        <v>31</v>
      </c>
      <c r="D197" s="35">
        <f t="shared" si="56"/>
        <v>3</v>
      </c>
      <c r="E197" s="889">
        <f t="shared" si="75"/>
        <v>78253</v>
      </c>
      <c r="F197" s="822">
        <f t="shared" si="57"/>
        <v>3</v>
      </c>
      <c r="G197" s="500">
        <f t="shared" si="70"/>
        <v>212</v>
      </c>
      <c r="H197" s="126">
        <f t="shared" si="58"/>
        <v>0</v>
      </c>
      <c r="I197" s="1098">
        <f t="shared" si="76"/>
        <v>0</v>
      </c>
      <c r="J197" s="887">
        <f t="shared" si="71"/>
        <v>178</v>
      </c>
      <c r="K197" s="1099">
        <f t="shared" si="65"/>
        <v>178</v>
      </c>
      <c r="L197" s="891" t="str">
        <f t="shared" si="66"/>
        <v>March</v>
      </c>
      <c r="M197" s="888">
        <f t="shared" si="72"/>
        <v>2114</v>
      </c>
      <c r="N197" s="883">
        <f t="shared" si="67"/>
        <v>0</v>
      </c>
      <c r="O197" s="883">
        <f t="shared" si="73"/>
        <v>0</v>
      </c>
      <c r="P197" s="1100"/>
      <c r="Q197" s="883">
        <f t="shared" si="59"/>
        <v>0</v>
      </c>
      <c r="R197" s="884">
        <f t="shared" si="74"/>
        <v>0</v>
      </c>
      <c r="S197" s="884">
        <f>IF(AND($AS$39="Early Payoff",J197&gt;=$S$13),0,IF($J197&lt;=$S$6,SUM($Q$20:$Q197),0))</f>
        <v>0</v>
      </c>
      <c r="T197" s="884">
        <f>IF(AND($AS$39="Early Payoff",J197&gt;=$S$13),0,IF($J197&lt;=$S$6,SUM($R$20:$R197),0))</f>
        <v>0</v>
      </c>
      <c r="U197" s="885">
        <f t="shared" si="60"/>
        <v>0</v>
      </c>
      <c r="V197" s="1110">
        <f t="shared" si="68"/>
        <v>0</v>
      </c>
      <c r="X197" s="1102">
        <f t="shared" si="61"/>
        <v>0</v>
      </c>
      <c r="Y197" s="873">
        <f t="shared" si="62"/>
        <v>0</v>
      </c>
      <c r="Z197" s="873">
        <f t="shared" si="63"/>
        <v>0</v>
      </c>
      <c r="AA197" s="885">
        <f t="shared" si="64"/>
        <v>0</v>
      </c>
    </row>
    <row r="198" spans="2:27" s="278" customFormat="1" ht="12" customHeight="1" x14ac:dyDescent="0.25">
      <c r="B198" s="1192" t="e">
        <f t="shared" si="69"/>
        <v>#N/A</v>
      </c>
      <c r="C198" s="732">
        <f t="shared" si="55"/>
        <v>31</v>
      </c>
      <c r="D198" s="35">
        <f t="shared" si="56"/>
        <v>8</v>
      </c>
      <c r="E198" s="889">
        <f t="shared" si="75"/>
        <v>78406</v>
      </c>
      <c r="F198" s="822">
        <f t="shared" si="57"/>
        <v>8</v>
      </c>
      <c r="G198" s="500">
        <f t="shared" si="70"/>
        <v>153</v>
      </c>
      <c r="H198" s="126">
        <f t="shared" si="58"/>
        <v>0</v>
      </c>
      <c r="I198" s="1098">
        <f t="shared" si="76"/>
        <v>1</v>
      </c>
      <c r="J198" s="887">
        <f t="shared" si="71"/>
        <v>179</v>
      </c>
      <c r="K198" s="1099">
        <f t="shared" si="65"/>
        <v>179</v>
      </c>
      <c r="L198" s="891" t="str">
        <f t="shared" si="66"/>
        <v>August</v>
      </c>
      <c r="M198" s="888">
        <f t="shared" si="72"/>
        <v>2114</v>
      </c>
      <c r="N198" s="883">
        <f t="shared" si="67"/>
        <v>0</v>
      </c>
      <c r="O198" s="883">
        <f t="shared" si="73"/>
        <v>0</v>
      </c>
      <c r="P198" s="1100"/>
      <c r="Q198" s="883">
        <f t="shared" si="59"/>
        <v>0</v>
      </c>
      <c r="R198" s="884">
        <f t="shared" si="74"/>
        <v>0</v>
      </c>
      <c r="S198" s="884">
        <f>IF(AND($AS$39="Early Payoff",J198&gt;=$S$13),0,IF($J198&lt;=$S$6,SUM($Q$20:$Q198),0))</f>
        <v>0</v>
      </c>
      <c r="T198" s="884">
        <f>IF(AND($AS$39="Early Payoff",J198&gt;=$S$13),0,IF($J198&lt;=$S$6,SUM($R$20:$R198),0))</f>
        <v>0</v>
      </c>
      <c r="U198" s="885">
        <f t="shared" si="60"/>
        <v>0</v>
      </c>
      <c r="V198" s="1110">
        <f t="shared" si="68"/>
        <v>0</v>
      </c>
      <c r="X198" s="1102">
        <f t="shared" si="61"/>
        <v>0</v>
      </c>
      <c r="Y198" s="873">
        <f t="shared" si="62"/>
        <v>0</v>
      </c>
      <c r="Z198" s="873">
        <f t="shared" si="63"/>
        <v>0</v>
      </c>
      <c r="AA198" s="885">
        <f t="shared" si="64"/>
        <v>0</v>
      </c>
    </row>
    <row r="199" spans="2:27" s="278" customFormat="1" ht="12" customHeight="1" x14ac:dyDescent="0.25">
      <c r="B199" s="1192" t="e">
        <f t="shared" si="69"/>
        <v>#N/A</v>
      </c>
      <c r="C199" s="732">
        <f t="shared" si="55"/>
        <v>31</v>
      </c>
      <c r="D199" s="35">
        <f t="shared" si="56"/>
        <v>3</v>
      </c>
      <c r="E199" s="889">
        <f t="shared" si="75"/>
        <v>78618</v>
      </c>
      <c r="F199" s="822">
        <f t="shared" si="57"/>
        <v>3</v>
      </c>
      <c r="G199" s="500">
        <f t="shared" si="70"/>
        <v>212</v>
      </c>
      <c r="H199" s="126">
        <f t="shared" si="58"/>
        <v>0</v>
      </c>
      <c r="I199" s="1098">
        <f t="shared" si="76"/>
        <v>0</v>
      </c>
      <c r="J199" s="887">
        <f t="shared" si="71"/>
        <v>180</v>
      </c>
      <c r="K199" s="1099">
        <f t="shared" si="65"/>
        <v>180</v>
      </c>
      <c r="L199" s="891" t="str">
        <f t="shared" si="66"/>
        <v>March</v>
      </c>
      <c r="M199" s="888">
        <f t="shared" si="72"/>
        <v>2115</v>
      </c>
      <c r="N199" s="883">
        <f t="shared" si="67"/>
        <v>0</v>
      </c>
      <c r="O199" s="883">
        <f t="shared" si="73"/>
        <v>0</v>
      </c>
      <c r="P199" s="1100"/>
      <c r="Q199" s="883">
        <f t="shared" si="59"/>
        <v>0</v>
      </c>
      <c r="R199" s="884">
        <f t="shared" si="74"/>
        <v>0</v>
      </c>
      <c r="S199" s="884">
        <f>IF(AND($AS$39="Early Payoff",J199&gt;=$S$13),0,IF($J199&lt;=$S$6,SUM($Q$20:$Q199),0))</f>
        <v>0</v>
      </c>
      <c r="T199" s="884">
        <f>IF(AND($AS$39="Early Payoff",J199&gt;=$S$13),0,IF($J199&lt;=$S$6,SUM($R$20:$R199),0))</f>
        <v>0</v>
      </c>
      <c r="U199" s="885">
        <f t="shared" si="60"/>
        <v>0</v>
      </c>
      <c r="V199" s="1110">
        <f t="shared" si="68"/>
        <v>0</v>
      </c>
      <c r="X199" s="1102">
        <f t="shared" si="61"/>
        <v>0</v>
      </c>
      <c r="Y199" s="873">
        <f t="shared" si="62"/>
        <v>0</v>
      </c>
      <c r="Z199" s="873">
        <f t="shared" si="63"/>
        <v>0</v>
      </c>
      <c r="AA199" s="885">
        <f t="shared" si="64"/>
        <v>0</v>
      </c>
    </row>
    <row r="200" spans="2:27" s="278" customFormat="1" ht="12" customHeight="1" x14ac:dyDescent="0.25">
      <c r="B200" s="1192" t="e">
        <f t="shared" si="69"/>
        <v>#N/A</v>
      </c>
      <c r="C200" s="732">
        <f t="shared" si="55"/>
        <v>31</v>
      </c>
      <c r="D200" s="35">
        <f t="shared" si="56"/>
        <v>8</v>
      </c>
      <c r="E200" s="889">
        <f t="shared" si="75"/>
        <v>78771</v>
      </c>
      <c r="F200" s="822">
        <f t="shared" si="57"/>
        <v>8</v>
      </c>
      <c r="G200" s="500">
        <f t="shared" si="70"/>
        <v>153</v>
      </c>
      <c r="H200" s="126">
        <f t="shared" si="58"/>
        <v>0</v>
      </c>
      <c r="I200" s="1098">
        <f t="shared" si="76"/>
        <v>1</v>
      </c>
      <c r="J200" s="887">
        <f t="shared" si="71"/>
        <v>181</v>
      </c>
      <c r="K200" s="1099">
        <f t="shared" si="65"/>
        <v>181</v>
      </c>
      <c r="L200" s="891" t="str">
        <f t="shared" si="66"/>
        <v>August</v>
      </c>
      <c r="M200" s="888">
        <f t="shared" si="72"/>
        <v>2115</v>
      </c>
      <c r="N200" s="883">
        <f t="shared" si="67"/>
        <v>0</v>
      </c>
      <c r="O200" s="883">
        <f t="shared" si="73"/>
        <v>0</v>
      </c>
      <c r="P200" s="1100"/>
      <c r="Q200" s="883">
        <f t="shared" si="59"/>
        <v>0</v>
      </c>
      <c r="R200" s="884">
        <f t="shared" si="74"/>
        <v>0</v>
      </c>
      <c r="S200" s="884">
        <f>IF(AND($AS$39="Early Payoff",J200&gt;=$S$13),0,IF($J200&lt;=$S$6,SUM($Q$20:$Q200),0))</f>
        <v>0</v>
      </c>
      <c r="T200" s="884">
        <f>IF(AND($AS$39="Early Payoff",J200&gt;=$S$13),0,IF($J200&lt;=$S$6,SUM($R$20:$R200),0))</f>
        <v>0</v>
      </c>
      <c r="U200" s="885">
        <f t="shared" si="60"/>
        <v>0</v>
      </c>
      <c r="V200" s="1110">
        <f t="shared" si="68"/>
        <v>0</v>
      </c>
      <c r="X200" s="1102">
        <f t="shared" si="61"/>
        <v>0</v>
      </c>
      <c r="Y200" s="873">
        <f t="shared" si="62"/>
        <v>0</v>
      </c>
      <c r="Z200" s="873">
        <f t="shared" si="63"/>
        <v>0</v>
      </c>
      <c r="AA200" s="885">
        <f t="shared" si="64"/>
        <v>0</v>
      </c>
    </row>
    <row r="201" spans="2:27" s="278" customFormat="1" ht="12" customHeight="1" x14ac:dyDescent="0.25">
      <c r="B201" s="1192" t="e">
        <f t="shared" si="69"/>
        <v>#N/A</v>
      </c>
      <c r="C201" s="732">
        <f t="shared" si="55"/>
        <v>31</v>
      </c>
      <c r="D201" s="35">
        <f t="shared" si="56"/>
        <v>3</v>
      </c>
      <c r="E201" s="889">
        <f t="shared" si="75"/>
        <v>78984</v>
      </c>
      <c r="F201" s="822">
        <f t="shared" si="57"/>
        <v>3</v>
      </c>
      <c r="G201" s="500">
        <f t="shared" si="70"/>
        <v>213</v>
      </c>
      <c r="H201" s="126">
        <f t="shared" si="58"/>
        <v>0</v>
      </c>
      <c r="I201" s="1098">
        <f t="shared" si="76"/>
        <v>0</v>
      </c>
      <c r="J201" s="887">
        <f t="shared" si="71"/>
        <v>182</v>
      </c>
      <c r="K201" s="1099">
        <f t="shared" si="65"/>
        <v>182</v>
      </c>
      <c r="L201" s="891" t="str">
        <f t="shared" si="66"/>
        <v>March</v>
      </c>
      <c r="M201" s="888">
        <f t="shared" si="72"/>
        <v>2116</v>
      </c>
      <c r="N201" s="883">
        <f t="shared" si="67"/>
        <v>0</v>
      </c>
      <c r="O201" s="883">
        <f t="shared" si="73"/>
        <v>0</v>
      </c>
      <c r="P201" s="1100"/>
      <c r="Q201" s="883">
        <f t="shared" si="59"/>
        <v>0</v>
      </c>
      <c r="R201" s="884">
        <f t="shared" si="74"/>
        <v>0</v>
      </c>
      <c r="S201" s="884">
        <f>IF(AND($AS$39="Early Payoff",J201&gt;=$S$13),0,IF($J201&lt;=$S$6,SUM($Q$20:$Q201),0))</f>
        <v>0</v>
      </c>
      <c r="T201" s="884">
        <f>IF(AND($AS$39="Early Payoff",J201&gt;=$S$13),0,IF($J201&lt;=$S$6,SUM($R$20:$R201),0))</f>
        <v>0</v>
      </c>
      <c r="U201" s="885">
        <f t="shared" si="60"/>
        <v>0</v>
      </c>
      <c r="V201" s="1110">
        <f t="shared" si="68"/>
        <v>0</v>
      </c>
      <c r="X201" s="1102">
        <f t="shared" si="61"/>
        <v>0</v>
      </c>
      <c r="Y201" s="873">
        <f t="shared" si="62"/>
        <v>0</v>
      </c>
      <c r="Z201" s="873">
        <f t="shared" si="63"/>
        <v>0</v>
      </c>
      <c r="AA201" s="885">
        <f t="shared" si="64"/>
        <v>0</v>
      </c>
    </row>
    <row r="202" spans="2:27" s="278" customFormat="1" ht="12" customHeight="1" x14ac:dyDescent="0.25">
      <c r="B202" s="1192" t="e">
        <f t="shared" si="69"/>
        <v>#N/A</v>
      </c>
      <c r="C202" s="732">
        <f t="shared" si="55"/>
        <v>31</v>
      </c>
      <c r="D202" s="35">
        <f t="shared" si="56"/>
        <v>8</v>
      </c>
      <c r="E202" s="889">
        <f t="shared" si="75"/>
        <v>79137</v>
      </c>
      <c r="F202" s="822">
        <f t="shared" si="57"/>
        <v>8</v>
      </c>
      <c r="G202" s="500">
        <f t="shared" si="70"/>
        <v>153</v>
      </c>
      <c r="H202" s="126">
        <f t="shared" si="58"/>
        <v>0</v>
      </c>
      <c r="I202" s="1098">
        <f t="shared" si="76"/>
        <v>1</v>
      </c>
      <c r="J202" s="887">
        <f t="shared" si="71"/>
        <v>183</v>
      </c>
      <c r="K202" s="1099">
        <f t="shared" si="65"/>
        <v>183</v>
      </c>
      <c r="L202" s="891" t="str">
        <f t="shared" si="66"/>
        <v>August</v>
      </c>
      <c r="M202" s="888">
        <f t="shared" si="72"/>
        <v>2116</v>
      </c>
      <c r="N202" s="883">
        <f t="shared" si="67"/>
        <v>0</v>
      </c>
      <c r="O202" s="883">
        <f t="shared" si="73"/>
        <v>0</v>
      </c>
      <c r="P202" s="1100"/>
      <c r="Q202" s="883">
        <f t="shared" si="59"/>
        <v>0</v>
      </c>
      <c r="R202" s="884">
        <f t="shared" si="74"/>
        <v>0</v>
      </c>
      <c r="S202" s="884">
        <f>IF(AND($AS$39="Early Payoff",J202&gt;=$S$13),0,IF($J202&lt;=$S$6,SUM($Q$20:$Q202),0))</f>
        <v>0</v>
      </c>
      <c r="T202" s="884">
        <f>IF(AND($AS$39="Early Payoff",J202&gt;=$S$13),0,IF($J202&lt;=$S$6,SUM($R$20:$R202),0))</f>
        <v>0</v>
      </c>
      <c r="U202" s="885">
        <f t="shared" si="60"/>
        <v>0</v>
      </c>
      <c r="V202" s="1110">
        <f t="shared" si="68"/>
        <v>0</v>
      </c>
      <c r="X202" s="1102">
        <f t="shared" si="61"/>
        <v>0</v>
      </c>
      <c r="Y202" s="873">
        <f t="shared" si="62"/>
        <v>0</v>
      </c>
      <c r="Z202" s="873">
        <f t="shared" si="63"/>
        <v>0</v>
      </c>
      <c r="AA202" s="885">
        <f t="shared" si="64"/>
        <v>0</v>
      </c>
    </row>
    <row r="203" spans="2:27" s="278" customFormat="1" ht="12" customHeight="1" x14ac:dyDescent="0.25">
      <c r="B203" s="1192" t="e">
        <f t="shared" si="69"/>
        <v>#N/A</v>
      </c>
      <c r="C203" s="732">
        <f t="shared" si="55"/>
        <v>31</v>
      </c>
      <c r="D203" s="35">
        <f t="shared" si="56"/>
        <v>3</v>
      </c>
      <c r="E203" s="889">
        <f t="shared" si="75"/>
        <v>79349</v>
      </c>
      <c r="F203" s="822">
        <f t="shared" si="57"/>
        <v>3</v>
      </c>
      <c r="G203" s="500">
        <f t="shared" si="70"/>
        <v>212</v>
      </c>
      <c r="H203" s="126">
        <f t="shared" si="58"/>
        <v>0</v>
      </c>
      <c r="I203" s="1098">
        <f t="shared" si="76"/>
        <v>0</v>
      </c>
      <c r="J203" s="887">
        <f t="shared" si="71"/>
        <v>184</v>
      </c>
      <c r="K203" s="1099">
        <f t="shared" si="65"/>
        <v>184</v>
      </c>
      <c r="L203" s="891" t="str">
        <f t="shared" si="66"/>
        <v>March</v>
      </c>
      <c r="M203" s="888">
        <f t="shared" si="72"/>
        <v>2117</v>
      </c>
      <c r="N203" s="883">
        <f t="shared" si="67"/>
        <v>0</v>
      </c>
      <c r="O203" s="883">
        <f t="shared" si="73"/>
        <v>0</v>
      </c>
      <c r="P203" s="1100"/>
      <c r="Q203" s="883">
        <f t="shared" si="59"/>
        <v>0</v>
      </c>
      <c r="R203" s="884">
        <f t="shared" si="74"/>
        <v>0</v>
      </c>
      <c r="S203" s="884">
        <f>IF(AND($AS$39="Early Payoff",J203&gt;=$S$13),0,IF($J203&lt;=$S$6,SUM($Q$20:$Q203),0))</f>
        <v>0</v>
      </c>
      <c r="T203" s="884">
        <f>IF(AND($AS$39="Early Payoff",J203&gt;=$S$13),0,IF($J203&lt;=$S$6,SUM($R$20:$R203),0))</f>
        <v>0</v>
      </c>
      <c r="U203" s="885">
        <f t="shared" si="60"/>
        <v>0</v>
      </c>
      <c r="V203" s="1110">
        <f t="shared" si="68"/>
        <v>0</v>
      </c>
      <c r="X203" s="1102">
        <f t="shared" si="61"/>
        <v>0</v>
      </c>
      <c r="Y203" s="873">
        <f t="shared" si="62"/>
        <v>0</v>
      </c>
      <c r="Z203" s="873">
        <f t="shared" si="63"/>
        <v>0</v>
      </c>
      <c r="AA203" s="885">
        <f t="shared" si="64"/>
        <v>0</v>
      </c>
    </row>
    <row r="204" spans="2:27" s="278" customFormat="1" ht="12" customHeight="1" x14ac:dyDescent="0.25">
      <c r="B204" s="1192" t="e">
        <f t="shared" si="69"/>
        <v>#N/A</v>
      </c>
      <c r="C204" s="732">
        <f t="shared" si="55"/>
        <v>31</v>
      </c>
      <c r="D204" s="35">
        <f t="shared" si="56"/>
        <v>8</v>
      </c>
      <c r="E204" s="889">
        <f t="shared" si="75"/>
        <v>79502</v>
      </c>
      <c r="F204" s="822">
        <f t="shared" si="57"/>
        <v>8</v>
      </c>
      <c r="G204" s="500">
        <f t="shared" si="70"/>
        <v>153</v>
      </c>
      <c r="H204" s="126">
        <f t="shared" si="58"/>
        <v>0</v>
      </c>
      <c r="I204" s="1098">
        <f t="shared" si="76"/>
        <v>1</v>
      </c>
      <c r="J204" s="887">
        <f t="shared" si="71"/>
        <v>185</v>
      </c>
      <c r="K204" s="1099">
        <f t="shared" si="65"/>
        <v>185</v>
      </c>
      <c r="L204" s="891" t="str">
        <f t="shared" si="66"/>
        <v>August</v>
      </c>
      <c r="M204" s="888">
        <f t="shared" si="72"/>
        <v>2117</v>
      </c>
      <c r="N204" s="883">
        <f t="shared" si="67"/>
        <v>0</v>
      </c>
      <c r="O204" s="883">
        <f t="shared" si="73"/>
        <v>0</v>
      </c>
      <c r="P204" s="1100"/>
      <c r="Q204" s="883">
        <f t="shared" si="59"/>
        <v>0</v>
      </c>
      <c r="R204" s="884">
        <f t="shared" si="74"/>
        <v>0</v>
      </c>
      <c r="S204" s="884">
        <f>IF(AND($AS$39="Early Payoff",J204&gt;=$S$13),0,IF($J204&lt;=$S$6,SUM($Q$20:$Q204),0))</f>
        <v>0</v>
      </c>
      <c r="T204" s="884">
        <f>IF(AND($AS$39="Early Payoff",J204&gt;=$S$13),0,IF($J204&lt;=$S$6,SUM($R$20:$R204),0))</f>
        <v>0</v>
      </c>
      <c r="U204" s="885">
        <f t="shared" si="60"/>
        <v>0</v>
      </c>
      <c r="V204" s="1110">
        <f t="shared" si="68"/>
        <v>0</v>
      </c>
      <c r="X204" s="1102">
        <f t="shared" si="61"/>
        <v>0</v>
      </c>
      <c r="Y204" s="873">
        <f t="shared" si="62"/>
        <v>0</v>
      </c>
      <c r="Z204" s="873">
        <f t="shared" si="63"/>
        <v>0</v>
      </c>
      <c r="AA204" s="885">
        <f t="shared" si="64"/>
        <v>0</v>
      </c>
    </row>
    <row r="205" spans="2:27" s="278" customFormat="1" ht="12" customHeight="1" x14ac:dyDescent="0.25">
      <c r="B205" s="1192" t="e">
        <f t="shared" si="69"/>
        <v>#N/A</v>
      </c>
      <c r="C205" s="732">
        <f t="shared" si="55"/>
        <v>31</v>
      </c>
      <c r="D205" s="35">
        <f t="shared" si="56"/>
        <v>3</v>
      </c>
      <c r="E205" s="889">
        <f t="shared" si="75"/>
        <v>79714</v>
      </c>
      <c r="F205" s="822">
        <f t="shared" si="57"/>
        <v>3</v>
      </c>
      <c r="G205" s="500">
        <f t="shared" si="70"/>
        <v>212</v>
      </c>
      <c r="H205" s="126">
        <f t="shared" si="58"/>
        <v>0</v>
      </c>
      <c r="I205" s="1098">
        <f t="shared" si="76"/>
        <v>0</v>
      </c>
      <c r="J205" s="887">
        <f t="shared" si="71"/>
        <v>186</v>
      </c>
      <c r="K205" s="1099">
        <f t="shared" si="65"/>
        <v>186</v>
      </c>
      <c r="L205" s="891" t="str">
        <f t="shared" si="66"/>
        <v>March</v>
      </c>
      <c r="M205" s="888">
        <f t="shared" si="72"/>
        <v>2118</v>
      </c>
      <c r="N205" s="883">
        <f t="shared" si="67"/>
        <v>0</v>
      </c>
      <c r="O205" s="883">
        <f t="shared" si="73"/>
        <v>0</v>
      </c>
      <c r="P205" s="1100"/>
      <c r="Q205" s="883">
        <f t="shared" si="59"/>
        <v>0</v>
      </c>
      <c r="R205" s="884">
        <f t="shared" si="74"/>
        <v>0</v>
      </c>
      <c r="S205" s="884">
        <f>IF(AND($AS$39="Early Payoff",J205&gt;=$S$13),0,IF($J205&lt;=$S$6,SUM($Q$20:$Q205),0))</f>
        <v>0</v>
      </c>
      <c r="T205" s="884">
        <f>IF(AND($AS$39="Early Payoff",J205&gt;=$S$13),0,IF($J205&lt;=$S$6,SUM($R$20:$R205),0))</f>
        <v>0</v>
      </c>
      <c r="U205" s="885">
        <f t="shared" si="60"/>
        <v>0</v>
      </c>
      <c r="V205" s="1110">
        <f t="shared" si="68"/>
        <v>0</v>
      </c>
      <c r="X205" s="1102">
        <f t="shared" si="61"/>
        <v>0</v>
      </c>
      <c r="Y205" s="873">
        <f t="shared" si="62"/>
        <v>0</v>
      </c>
      <c r="Z205" s="873">
        <f t="shared" si="63"/>
        <v>0</v>
      </c>
      <c r="AA205" s="885">
        <f t="shared" si="64"/>
        <v>0</v>
      </c>
    </row>
    <row r="206" spans="2:27" s="278" customFormat="1" ht="12" customHeight="1" x14ac:dyDescent="0.25">
      <c r="B206" s="1192" t="e">
        <f t="shared" si="69"/>
        <v>#N/A</v>
      </c>
      <c r="C206" s="732">
        <f t="shared" si="55"/>
        <v>31</v>
      </c>
      <c r="D206" s="35">
        <f t="shared" si="56"/>
        <v>8</v>
      </c>
      <c r="E206" s="889">
        <f t="shared" si="75"/>
        <v>79867</v>
      </c>
      <c r="F206" s="822">
        <f t="shared" si="57"/>
        <v>8</v>
      </c>
      <c r="G206" s="500">
        <f t="shared" si="70"/>
        <v>153</v>
      </c>
      <c r="H206" s="126">
        <f t="shared" si="58"/>
        <v>0</v>
      </c>
      <c r="I206" s="1098">
        <f t="shared" si="76"/>
        <v>1</v>
      </c>
      <c r="J206" s="887">
        <f t="shared" si="71"/>
        <v>187</v>
      </c>
      <c r="K206" s="1099">
        <f t="shared" si="65"/>
        <v>187</v>
      </c>
      <c r="L206" s="891" t="str">
        <f t="shared" si="66"/>
        <v>August</v>
      </c>
      <c r="M206" s="888">
        <f t="shared" si="72"/>
        <v>2118</v>
      </c>
      <c r="N206" s="883">
        <f t="shared" si="67"/>
        <v>0</v>
      </c>
      <c r="O206" s="883">
        <f t="shared" si="73"/>
        <v>0</v>
      </c>
      <c r="P206" s="1100"/>
      <c r="Q206" s="883">
        <f t="shared" si="59"/>
        <v>0</v>
      </c>
      <c r="R206" s="884">
        <f t="shared" si="74"/>
        <v>0</v>
      </c>
      <c r="S206" s="884">
        <f>IF(AND($AS$39="Early Payoff",J206&gt;=$S$13),0,IF($J206&lt;=$S$6,SUM($Q$20:$Q206),0))</f>
        <v>0</v>
      </c>
      <c r="T206" s="884">
        <f>IF(AND($AS$39="Early Payoff",J206&gt;=$S$13),0,IF($J206&lt;=$S$6,SUM($R$20:$R206),0))</f>
        <v>0</v>
      </c>
      <c r="U206" s="885">
        <f t="shared" si="60"/>
        <v>0</v>
      </c>
      <c r="V206" s="1110">
        <f t="shared" si="68"/>
        <v>0</v>
      </c>
      <c r="X206" s="1102">
        <f t="shared" si="61"/>
        <v>0</v>
      </c>
      <c r="Y206" s="873">
        <f t="shared" si="62"/>
        <v>0</v>
      </c>
      <c r="Z206" s="873">
        <f t="shared" si="63"/>
        <v>0</v>
      </c>
      <c r="AA206" s="885">
        <f t="shared" si="64"/>
        <v>0</v>
      </c>
    </row>
    <row r="207" spans="2:27" s="278" customFormat="1" ht="12" customHeight="1" x14ac:dyDescent="0.25">
      <c r="B207" s="1192" t="e">
        <f t="shared" si="69"/>
        <v>#N/A</v>
      </c>
      <c r="C207" s="732">
        <f t="shared" si="55"/>
        <v>31</v>
      </c>
      <c r="D207" s="35">
        <f t="shared" si="56"/>
        <v>3</v>
      </c>
      <c r="E207" s="889">
        <f t="shared" si="75"/>
        <v>80079</v>
      </c>
      <c r="F207" s="822">
        <f t="shared" si="57"/>
        <v>3</v>
      </c>
      <c r="G207" s="500">
        <f t="shared" si="70"/>
        <v>212</v>
      </c>
      <c r="H207" s="126">
        <f t="shared" si="58"/>
        <v>0</v>
      </c>
      <c r="I207" s="1098">
        <f t="shared" si="76"/>
        <v>0</v>
      </c>
      <c r="J207" s="887">
        <f t="shared" si="71"/>
        <v>188</v>
      </c>
      <c r="K207" s="1099">
        <f t="shared" si="65"/>
        <v>188</v>
      </c>
      <c r="L207" s="891" t="str">
        <f t="shared" si="66"/>
        <v>March</v>
      </c>
      <c r="M207" s="888">
        <f t="shared" si="72"/>
        <v>2119</v>
      </c>
      <c r="N207" s="883">
        <f t="shared" si="67"/>
        <v>0</v>
      </c>
      <c r="O207" s="883">
        <f t="shared" si="73"/>
        <v>0</v>
      </c>
      <c r="P207" s="1100"/>
      <c r="Q207" s="883">
        <f t="shared" si="59"/>
        <v>0</v>
      </c>
      <c r="R207" s="884">
        <f t="shared" si="74"/>
        <v>0</v>
      </c>
      <c r="S207" s="884">
        <f>IF(AND($AS$39="Early Payoff",J207&gt;=$S$13),0,IF($J207&lt;=$S$6,SUM($Q$20:$Q207),0))</f>
        <v>0</v>
      </c>
      <c r="T207" s="884">
        <f>IF(AND($AS$39="Early Payoff",J207&gt;=$S$13),0,IF($J207&lt;=$S$6,SUM($R$20:$R207),0))</f>
        <v>0</v>
      </c>
      <c r="U207" s="885">
        <f t="shared" si="60"/>
        <v>0</v>
      </c>
      <c r="V207" s="1110">
        <f t="shared" si="68"/>
        <v>0</v>
      </c>
      <c r="X207" s="1102">
        <f t="shared" si="61"/>
        <v>0</v>
      </c>
      <c r="Y207" s="873">
        <f t="shared" si="62"/>
        <v>0</v>
      </c>
      <c r="Z207" s="873">
        <f t="shared" si="63"/>
        <v>0</v>
      </c>
      <c r="AA207" s="885">
        <f t="shared" si="64"/>
        <v>0</v>
      </c>
    </row>
    <row r="208" spans="2:27" s="278" customFormat="1" ht="12" customHeight="1" x14ac:dyDescent="0.25">
      <c r="B208" s="1192" t="e">
        <f t="shared" si="69"/>
        <v>#N/A</v>
      </c>
      <c r="C208" s="732">
        <f t="shared" si="55"/>
        <v>31</v>
      </c>
      <c r="D208" s="35">
        <f t="shared" si="56"/>
        <v>8</v>
      </c>
      <c r="E208" s="889">
        <f t="shared" si="75"/>
        <v>80232</v>
      </c>
      <c r="F208" s="822">
        <f t="shared" si="57"/>
        <v>8</v>
      </c>
      <c r="G208" s="500">
        <f t="shared" si="70"/>
        <v>153</v>
      </c>
      <c r="H208" s="126">
        <f t="shared" si="58"/>
        <v>0</v>
      </c>
      <c r="I208" s="1098">
        <f t="shared" si="76"/>
        <v>1</v>
      </c>
      <c r="J208" s="887">
        <f t="shared" si="71"/>
        <v>189</v>
      </c>
      <c r="K208" s="1099">
        <f t="shared" si="65"/>
        <v>189</v>
      </c>
      <c r="L208" s="891" t="str">
        <f t="shared" si="66"/>
        <v>August</v>
      </c>
      <c r="M208" s="888">
        <f t="shared" si="72"/>
        <v>2119</v>
      </c>
      <c r="N208" s="883">
        <f t="shared" si="67"/>
        <v>0</v>
      </c>
      <c r="O208" s="883">
        <f t="shared" si="73"/>
        <v>0</v>
      </c>
      <c r="P208" s="1100"/>
      <c r="Q208" s="883">
        <f t="shared" si="59"/>
        <v>0</v>
      </c>
      <c r="R208" s="884">
        <f t="shared" si="74"/>
        <v>0</v>
      </c>
      <c r="S208" s="884">
        <f>IF(AND($AS$39="Early Payoff",J208&gt;=$S$13),0,IF($J208&lt;=$S$6,SUM($Q$20:$Q208),0))</f>
        <v>0</v>
      </c>
      <c r="T208" s="884">
        <f>IF(AND($AS$39="Early Payoff",J208&gt;=$S$13),0,IF($J208&lt;=$S$6,SUM($R$20:$R208),0))</f>
        <v>0</v>
      </c>
      <c r="U208" s="885">
        <f t="shared" si="60"/>
        <v>0</v>
      </c>
      <c r="V208" s="1110">
        <f t="shared" si="68"/>
        <v>0</v>
      </c>
      <c r="X208" s="1102">
        <f t="shared" si="61"/>
        <v>0</v>
      </c>
      <c r="Y208" s="873">
        <f t="shared" si="62"/>
        <v>0</v>
      </c>
      <c r="Z208" s="873">
        <f t="shared" si="63"/>
        <v>0</v>
      </c>
      <c r="AA208" s="885">
        <f t="shared" si="64"/>
        <v>0</v>
      </c>
    </row>
    <row r="209" spans="2:27" s="278" customFormat="1" ht="12" customHeight="1" x14ac:dyDescent="0.25">
      <c r="B209" s="1192" t="e">
        <f t="shared" si="69"/>
        <v>#N/A</v>
      </c>
      <c r="C209" s="732">
        <f t="shared" si="55"/>
        <v>31</v>
      </c>
      <c r="D209" s="35">
        <f t="shared" si="56"/>
        <v>3</v>
      </c>
      <c r="E209" s="889">
        <f t="shared" si="75"/>
        <v>80445</v>
      </c>
      <c r="F209" s="822">
        <f t="shared" si="57"/>
        <v>3</v>
      </c>
      <c r="G209" s="500">
        <f t="shared" si="70"/>
        <v>213</v>
      </c>
      <c r="H209" s="126">
        <f t="shared" si="58"/>
        <v>0</v>
      </c>
      <c r="I209" s="1098">
        <f t="shared" si="76"/>
        <v>0</v>
      </c>
      <c r="J209" s="887">
        <f t="shared" si="71"/>
        <v>190</v>
      </c>
      <c r="K209" s="1099">
        <f t="shared" si="65"/>
        <v>190</v>
      </c>
      <c r="L209" s="891" t="str">
        <f t="shared" si="66"/>
        <v>March</v>
      </c>
      <c r="M209" s="888">
        <f t="shared" si="72"/>
        <v>2120</v>
      </c>
      <c r="N209" s="883">
        <f t="shared" si="67"/>
        <v>0</v>
      </c>
      <c r="O209" s="883">
        <f t="shared" si="73"/>
        <v>0</v>
      </c>
      <c r="P209" s="1100"/>
      <c r="Q209" s="883">
        <f t="shared" si="59"/>
        <v>0</v>
      </c>
      <c r="R209" s="884">
        <f t="shared" si="74"/>
        <v>0</v>
      </c>
      <c r="S209" s="884">
        <f>IF(AND($AS$39="Early Payoff",J209&gt;=$S$13),0,IF($J209&lt;=$S$6,SUM($Q$20:$Q209),0))</f>
        <v>0</v>
      </c>
      <c r="T209" s="884">
        <f>IF(AND($AS$39="Early Payoff",J209&gt;=$S$13),0,IF($J209&lt;=$S$6,SUM($R$20:$R209),0))</f>
        <v>0</v>
      </c>
      <c r="U209" s="885">
        <f t="shared" si="60"/>
        <v>0</v>
      </c>
      <c r="V209" s="1110">
        <f t="shared" si="68"/>
        <v>0</v>
      </c>
      <c r="X209" s="1102">
        <f t="shared" si="61"/>
        <v>0</v>
      </c>
      <c r="Y209" s="873">
        <f t="shared" si="62"/>
        <v>0</v>
      </c>
      <c r="Z209" s="873">
        <f t="shared" si="63"/>
        <v>0</v>
      </c>
      <c r="AA209" s="885">
        <f t="shared" si="64"/>
        <v>0</v>
      </c>
    </row>
    <row r="210" spans="2:27" s="278" customFormat="1" ht="12" customHeight="1" x14ac:dyDescent="0.25">
      <c r="B210" s="1192" t="e">
        <f t="shared" si="69"/>
        <v>#N/A</v>
      </c>
      <c r="C210" s="732">
        <f t="shared" si="55"/>
        <v>31</v>
      </c>
      <c r="D210" s="35">
        <f t="shared" si="56"/>
        <v>8</v>
      </c>
      <c r="E210" s="889">
        <f t="shared" si="75"/>
        <v>80598</v>
      </c>
      <c r="F210" s="822">
        <f t="shared" si="57"/>
        <v>8</v>
      </c>
      <c r="G210" s="500">
        <f t="shared" si="70"/>
        <v>153</v>
      </c>
      <c r="H210" s="126">
        <f t="shared" si="58"/>
        <v>0</v>
      </c>
      <c r="I210" s="1098">
        <f t="shared" si="76"/>
        <v>1</v>
      </c>
      <c r="J210" s="887">
        <f t="shared" si="71"/>
        <v>191</v>
      </c>
      <c r="K210" s="1099">
        <f t="shared" si="65"/>
        <v>191</v>
      </c>
      <c r="L210" s="891" t="str">
        <f t="shared" si="66"/>
        <v>August</v>
      </c>
      <c r="M210" s="888">
        <f t="shared" si="72"/>
        <v>2120</v>
      </c>
      <c r="N210" s="883">
        <f t="shared" si="67"/>
        <v>0</v>
      </c>
      <c r="O210" s="883">
        <f t="shared" si="73"/>
        <v>0</v>
      </c>
      <c r="P210" s="1100"/>
      <c r="Q210" s="883">
        <f t="shared" si="59"/>
        <v>0</v>
      </c>
      <c r="R210" s="884">
        <f t="shared" si="74"/>
        <v>0</v>
      </c>
      <c r="S210" s="884">
        <f>IF(AND($AS$39="Early Payoff",J210&gt;=$S$13),0,IF($J210&lt;=$S$6,SUM($Q$20:$Q210),0))</f>
        <v>0</v>
      </c>
      <c r="T210" s="884">
        <f>IF(AND($AS$39="Early Payoff",J210&gt;=$S$13),0,IF($J210&lt;=$S$6,SUM($R$20:$R210),0))</f>
        <v>0</v>
      </c>
      <c r="U210" s="885">
        <f t="shared" si="60"/>
        <v>0</v>
      </c>
      <c r="V210" s="1110">
        <f t="shared" si="68"/>
        <v>0</v>
      </c>
      <c r="X210" s="1102">
        <f t="shared" si="61"/>
        <v>0</v>
      </c>
      <c r="Y210" s="873">
        <f t="shared" si="62"/>
        <v>0</v>
      </c>
      <c r="Z210" s="873">
        <f t="shared" si="63"/>
        <v>0</v>
      </c>
      <c r="AA210" s="885">
        <f t="shared" si="64"/>
        <v>0</v>
      </c>
    </row>
    <row r="211" spans="2:27" s="278" customFormat="1" ht="12" customHeight="1" x14ac:dyDescent="0.25">
      <c r="B211" s="1192" t="e">
        <f t="shared" si="69"/>
        <v>#N/A</v>
      </c>
      <c r="C211" s="732">
        <f t="shared" si="55"/>
        <v>31</v>
      </c>
      <c r="D211" s="35">
        <f t="shared" si="56"/>
        <v>3</v>
      </c>
      <c r="E211" s="889">
        <f t="shared" si="75"/>
        <v>80810</v>
      </c>
      <c r="F211" s="822">
        <f t="shared" si="57"/>
        <v>3</v>
      </c>
      <c r="G211" s="500">
        <f t="shared" si="70"/>
        <v>212</v>
      </c>
      <c r="H211" s="126">
        <f t="shared" si="58"/>
        <v>0</v>
      </c>
      <c r="I211" s="1098">
        <f t="shared" si="76"/>
        <v>0</v>
      </c>
      <c r="J211" s="887">
        <f t="shared" si="71"/>
        <v>192</v>
      </c>
      <c r="K211" s="1099">
        <f t="shared" si="65"/>
        <v>192</v>
      </c>
      <c r="L211" s="891" t="str">
        <f t="shared" si="66"/>
        <v>March</v>
      </c>
      <c r="M211" s="888">
        <f t="shared" si="72"/>
        <v>2121</v>
      </c>
      <c r="N211" s="883">
        <f t="shared" si="67"/>
        <v>0</v>
      </c>
      <c r="O211" s="883">
        <f t="shared" si="73"/>
        <v>0</v>
      </c>
      <c r="P211" s="1100"/>
      <c r="Q211" s="883">
        <f t="shared" si="59"/>
        <v>0</v>
      </c>
      <c r="R211" s="884">
        <f t="shared" si="74"/>
        <v>0</v>
      </c>
      <c r="S211" s="884">
        <f>IF(AND($AS$39="Early Payoff",J211&gt;=$S$13),0,IF($J211&lt;=$S$6,SUM($Q$20:$Q211),0))</f>
        <v>0</v>
      </c>
      <c r="T211" s="884">
        <f>IF(AND($AS$39="Early Payoff",J211&gt;=$S$13),0,IF($J211&lt;=$S$6,SUM($R$20:$R211),0))</f>
        <v>0</v>
      </c>
      <c r="U211" s="885">
        <f t="shared" si="60"/>
        <v>0</v>
      </c>
      <c r="V211" s="1110">
        <f t="shared" si="68"/>
        <v>0</v>
      </c>
      <c r="X211" s="1102">
        <f t="shared" si="61"/>
        <v>0</v>
      </c>
      <c r="Y211" s="873">
        <f t="shared" si="62"/>
        <v>0</v>
      </c>
      <c r="Z211" s="873">
        <f t="shared" si="63"/>
        <v>0</v>
      </c>
      <c r="AA211" s="885">
        <f t="shared" si="64"/>
        <v>0</v>
      </c>
    </row>
    <row r="212" spans="2:27" s="278" customFormat="1" ht="12" customHeight="1" x14ac:dyDescent="0.25">
      <c r="B212" s="1192" t="e">
        <f t="shared" si="69"/>
        <v>#N/A</v>
      </c>
      <c r="C212" s="732">
        <f t="shared" ref="C212:C275" si="77">DAY(EOMONTH(DATE($M212,$D212,1),0))</f>
        <v>31</v>
      </c>
      <c r="D212" s="35">
        <f t="shared" ref="D212:D275" si="78">INDEX($AT$22:$AU$34,MATCH($L212,$AT$22:$AT$34,0),MATCH("Number",$AT$22:$AU$22,0))</f>
        <v>8</v>
      </c>
      <c r="E212" s="889">
        <f t="shared" si="75"/>
        <v>80963</v>
      </c>
      <c r="F212" s="822">
        <f t="shared" ref="F212:F275" si="79">INDEX($AT$22:$AU$34,MATCH($L212,$AT$22:$AT$34,0),MATCH("Number",$AT$22:$AU$22,0))</f>
        <v>8</v>
      </c>
      <c r="G212" s="500">
        <f t="shared" si="70"/>
        <v>153</v>
      </c>
      <c r="H212" s="126">
        <f t="shared" ref="H212:H275" si="80">IF($T$4="Monthly",INDEX($AT$36:$AU$48,MATCH($L212,$AT$36:$AT$48,0),MATCH("Number",$AT$36:$AU$36,0)),0)</f>
        <v>0</v>
      </c>
      <c r="I212" s="1098">
        <f t="shared" si="76"/>
        <v>1</v>
      </c>
      <c r="J212" s="887">
        <f t="shared" si="71"/>
        <v>193</v>
      </c>
      <c r="K212" s="1099">
        <f t="shared" si="65"/>
        <v>193</v>
      </c>
      <c r="L212" s="891" t="str">
        <f t="shared" si="66"/>
        <v>August</v>
      </c>
      <c r="M212" s="888">
        <f t="shared" si="72"/>
        <v>2121</v>
      </c>
      <c r="N212" s="883">
        <f t="shared" si="67"/>
        <v>0</v>
      </c>
      <c r="O212" s="883">
        <f t="shared" si="73"/>
        <v>0</v>
      </c>
      <c r="P212" s="1100"/>
      <c r="Q212" s="883">
        <f t="shared" ref="Q212:Q275" si="81">IF(AND($AS$39="Early Payoff",J212&gt;=$S$13),0,IF($J212&gt;$S$6,0,IF(AND($AR$29&gt;0,$J212&lt;=$AR$29),0,+$O212-$R212)))</f>
        <v>0</v>
      </c>
      <c r="R212" s="884">
        <f t="shared" si="74"/>
        <v>0</v>
      </c>
      <c r="S212" s="884">
        <f>IF(AND($AS$39="Early Payoff",J212&gt;=$S$13),0,IF($J212&lt;=$S$6,SUM($Q$20:$Q212),0))</f>
        <v>0</v>
      </c>
      <c r="T212" s="884">
        <f>IF(AND($AS$39="Early Payoff",J212&gt;=$S$13),0,IF($J212&lt;=$S$6,SUM($R$20:$R212),0))</f>
        <v>0</v>
      </c>
      <c r="U212" s="885">
        <f t="shared" ref="U212:U275" si="82">IF($K212&lt;$S$13,SUM($N212,$Q212),0)</f>
        <v>0</v>
      </c>
      <c r="V212" s="1110">
        <f t="shared" si="68"/>
        <v>0</v>
      </c>
      <c r="X212" s="1102">
        <f t="shared" ref="X212:X275" si="83">IF($J212&gt;$S$6,0,IF($J212&lt;=$AR$27,0,IF(AND($Y$5="%/Payment",$AA$5=0),$O212*$Z$5,IF(AND($Y$5="%/Payment",$AA$5&gt;0,($O212*$Z$5)&lt;$AA$5),$O212*$Z$5,IF(AND($Y$5="%/Payment",$AA$5&gt;0,($O212*$Z$5)&gt;$AA$5),-$AA$5,IF(AND($Y$5="%/Balance",$AA$5=0),-$U212*$Z$5,IF(AND($Y$5="%/Balance",$AA$5&gt;0,($U212*$Z$5)&lt;$AA$5),-$U212*$Z$5,IF(AND($Y$5="%/Balance",$AA$5&gt;0,($U212*$Z$5)&gt;$AA$5),-$AA$5,IF($Y$5="Fixed Amount",-$Z$5,IF($Y$5="N/A",0))))))))))</f>
        <v>0</v>
      </c>
      <c r="Y212" s="873">
        <f t="shared" ref="Y212:Y275" si="84">IF($J212&gt;$S$6,0,IF($J212&lt;=$AR$27,0,IF(AND($Y$6="%/Payment",$AA$6=0),$O212*$Z$6,IF(AND($Y$6="%/Payment",$AA$6&gt;0,($O212*$Z$6)&lt;$AA$6),$O212*$Z$6,IF(AND($Y$6="%/Payment",$AA$6&gt;0,($O212*$Z$6)&gt;$AA$6),-$AA$6,IF(AND($Y$6="%/Balance",$AA$6=0),-$U212*$Z$6,IF(AND($Y$6="%/Balance",$AA$6&gt;0,($U212*$Z$6)&lt;$AA$6),-$U212*$Z$6,IF(AND($Y$6="%/Balance",$AA$6&gt;0,($U212*$Z$6)&gt;$AA$6),-$AA$6,IF($Y$6="Fixed Amount",-$Z$6,IF($Y$6="N/A",0))))))))))</f>
        <v>0</v>
      </c>
      <c r="Z212" s="873">
        <f t="shared" ref="Z212:Z275" si="85">IF($J212&gt;$S$6,0,IF($J212&lt;=$AR$27,0,IF(AND($Y$7="%/Payment",$AA$7=0),$O212*$Z$7,IF(AND($Y$7="%/Payment",$AA$7&gt;0,($O212*$Z$7)&lt;$AA$7),$O212*$Z$7,IF(AND($Y$7="%/Payment",$AA$7&gt;0,($O212*$Z$7)&gt;$AA$7),-$AA$7,IF(AND($Y$7="%/Balance",$AA$7=0),-$U212*$Z$7,IF(AND($Y$7="%/Balance",$AA$7&gt;0,($U212*$Z$7)&lt;$AA$7),-$U212*$Z$7,IF(AND($Y$7="%/Balance",$AA$7&gt;0,($O212*$Z$7)&gt;$AA$7),-$AA$7,IF($Y$7="Fixed Amount",-$Z$7,IF($Y$7="N/A",0))))))))))</f>
        <v>0</v>
      </c>
      <c r="AA212" s="885">
        <f t="shared" ref="AA212:AA275" si="86">SUM($O212,$X212:$Z212)</f>
        <v>0</v>
      </c>
    </row>
    <row r="213" spans="2:27" s="278" customFormat="1" ht="12" customHeight="1" x14ac:dyDescent="0.25">
      <c r="B213" s="1192" t="e">
        <f t="shared" si="69"/>
        <v>#N/A</v>
      </c>
      <c r="C213" s="732">
        <f t="shared" si="77"/>
        <v>31</v>
      </c>
      <c r="D213" s="35">
        <f t="shared" si="78"/>
        <v>3</v>
      </c>
      <c r="E213" s="889">
        <f t="shared" si="75"/>
        <v>81175</v>
      </c>
      <c r="F213" s="822">
        <f t="shared" si="79"/>
        <v>3</v>
      </c>
      <c r="G213" s="500">
        <f t="shared" si="70"/>
        <v>212</v>
      </c>
      <c r="H213" s="126">
        <f t="shared" si="80"/>
        <v>0</v>
      </c>
      <c r="I213" s="1098">
        <f t="shared" si="76"/>
        <v>0</v>
      </c>
      <c r="J213" s="887">
        <f t="shared" si="71"/>
        <v>194</v>
      </c>
      <c r="K213" s="1099">
        <f t="shared" ref="K213:K276" si="87">IF($J213&lt;=$AR$29,0,IF($J212&gt;=$AR$29,$K212+1))</f>
        <v>194</v>
      </c>
      <c r="L213" s="891" t="str">
        <f t="shared" ref="L213:L276" si="88">IF($T$4="Annual",$R$5,IF(AND($T$4="Bi-Annual",$F212&lt;MAX($R$4,$S$4)),INDEX($AU$22:$AV$34,MATCH(MAX($R$4,$S$4),$AU$22:$AU$34,0),MATCH("Month",$AU$22:$AV$22,0)),IF(AND($T$4="Bi-Annual",$F212=MAX($R$4,$S$4)),INDEX($AU$22:$AV$34,MATCH(MIN($R$4,$S$4),$AU$22:$AU$34,0),MATCH("Month",$AU$22:$AV$22,0)),IF(AND($T$4="Monthly",$F212&lt;12),INDEX($AU$22:$AV$34,MATCH($F212+1,$AU$22:$AU$34,0),MATCH("Month",$AU$22:$AV$22,0)),IF(AND($T$4="Monthly",$F212=12),INDEX($AU$22:$AV$34,MATCH($F212-11,$AU$22:$AU$34,0),MATCH("Month",$AU$22:$AV$22,0)))))))</f>
        <v>March</v>
      </c>
      <c r="M213" s="888">
        <f t="shared" si="72"/>
        <v>2122</v>
      </c>
      <c r="N213" s="883">
        <f t="shared" ref="N213:N276" si="89">IF(AND($AS$39="Early Payoff",$J213&gt;$S$13),0,IF(AND($AS$39="Early Payoff",$J213&lt;$S$13),$U212,IF($J213&gt;$S$6,0,$U212)))</f>
        <v>0</v>
      </c>
      <c r="O213" s="883">
        <f t="shared" si="73"/>
        <v>0</v>
      </c>
      <c r="P213" s="1100"/>
      <c r="Q213" s="883">
        <f t="shared" si="81"/>
        <v>0</v>
      </c>
      <c r="R213" s="884">
        <f t="shared" si="74"/>
        <v>0</v>
      </c>
      <c r="S213" s="884">
        <f>IF(AND($AS$39="Early Payoff",J213&gt;=$S$13),0,IF($J213&lt;=$S$6,SUM($Q$20:$Q213),0))</f>
        <v>0</v>
      </c>
      <c r="T213" s="884">
        <f>IF(AND($AS$39="Early Payoff",J213&gt;=$S$13),0,IF($J213&lt;=$S$6,SUM($R$20:$R213),0))</f>
        <v>0</v>
      </c>
      <c r="U213" s="885">
        <f t="shared" si="82"/>
        <v>0</v>
      </c>
      <c r="V213" s="1110">
        <f t="shared" ref="V213:V276" si="90">IF($T$4="Monthly",$N213,IF(AND(OR($T$4="Annual",$T$4="Bi-Annual"),$K213=$T$7),INDEX($J$19:$U$379,MATCH($T$7,$K$19:$K$2379,0),MATCH($N$19,$J$19:$U$19,0)),IF(AND(OR($T$4="Annual",$T$4="Bi-Annual"),$K213&lt;$T$7),$N213,0)))</f>
        <v>0</v>
      </c>
      <c r="X213" s="1102">
        <f t="shared" si="83"/>
        <v>0</v>
      </c>
      <c r="Y213" s="873">
        <f t="shared" si="84"/>
        <v>0</v>
      </c>
      <c r="Z213" s="873">
        <f t="shared" si="85"/>
        <v>0</v>
      </c>
      <c r="AA213" s="885">
        <f t="shared" si="86"/>
        <v>0</v>
      </c>
    </row>
    <row r="214" spans="2:27" s="278" customFormat="1" ht="12" customHeight="1" x14ac:dyDescent="0.25">
      <c r="B214" s="1192" t="e">
        <f t="shared" ref="B214:B277" si="91">B213+1</f>
        <v>#N/A</v>
      </c>
      <c r="C214" s="732">
        <f t="shared" si="77"/>
        <v>31</v>
      </c>
      <c r="D214" s="35">
        <f t="shared" si="78"/>
        <v>8</v>
      </c>
      <c r="E214" s="889">
        <f t="shared" si="75"/>
        <v>81328</v>
      </c>
      <c r="F214" s="822">
        <f t="shared" si="79"/>
        <v>8</v>
      </c>
      <c r="G214" s="500">
        <f t="shared" ref="G214:G277" si="92">E214-E213</f>
        <v>153</v>
      </c>
      <c r="H214" s="126">
        <f t="shared" si="80"/>
        <v>0</v>
      </c>
      <c r="I214" s="1098">
        <f t="shared" si="76"/>
        <v>1</v>
      </c>
      <c r="J214" s="887">
        <f t="shared" ref="J214:J277" si="93">J213+1</f>
        <v>195</v>
      </c>
      <c r="K214" s="1099">
        <f t="shared" si="87"/>
        <v>195</v>
      </c>
      <c r="L214" s="891" t="str">
        <f t="shared" si="88"/>
        <v>August</v>
      </c>
      <c r="M214" s="888">
        <f t="shared" ref="M214:M277" si="94">IF($T$4="Annual",$M213+$I214,IF($T$4="Bi-Annual",$M213+$I213,IF($T$4="Monthly",$M213+$H213)))</f>
        <v>2122</v>
      </c>
      <c r="N214" s="883">
        <f t="shared" si="89"/>
        <v>0</v>
      </c>
      <c r="O214" s="883">
        <f t="shared" ref="O214:O277" si="95">IF($J214&gt;$S$6,0,IF(AND($AR$29&gt;=0,$J214&lt;=$AR$29),0,IF(AND($AR$27&gt;=0,$J214&lt;=$AR$27),$R214,IF(K214=$T$7,SUM(-N214,R214),IF(AND($T$4="Annual",$AR$27&gt;=0,$AR$29&gt;=0,$J214&gt;$AR$27,$J214&gt;$AR$29),PMT($M$7,($S$6-$AR$27),$M$4),IF(AND($T$4="Bi-Annual",$AR$27&gt;=0,$AR$29&gt;=0,$J214&gt;$AR$27,$J214&gt;$AR$29),PMT($M$7/2,($S$6-$AR$27),$M$4),IF(AND($T$4="Monthly",$AR$27&gt;=0,$AR$29&gt;=0,$J214&gt;$AR$27,$J214&gt;$AR$29),PMT($M$7/12,($S$6-$AR$27),$M$4))))))))-P214</f>
        <v>0</v>
      </c>
      <c r="P214" s="1100"/>
      <c r="Q214" s="883">
        <f t="shared" si="81"/>
        <v>0</v>
      </c>
      <c r="R214" s="884">
        <f t="shared" ref="R214:R277" si="96">IF(AND($AS$39="Early Payoff",J214&gt;=$S$13),0,IF($T$4="Annual",-$M$7*$U213*1,IF(AND($T$4="Bi-Annual",$M$8="Base"),(-$M$7/2)*$U213*1,IF(AND($T$4="Bi-Annual",$M$8="Actual Days"),(-$M$7*$U213)*(G214/366),IF($T$4="Monthly",(-$M$7/12)*$U213*1)))))</f>
        <v>0</v>
      </c>
      <c r="S214" s="884">
        <f>IF(AND($AS$39="Early Payoff",J214&gt;=$S$13),0,IF($J214&lt;=$S$6,SUM($Q$20:$Q214),0))</f>
        <v>0</v>
      </c>
      <c r="T214" s="884">
        <f>IF(AND($AS$39="Early Payoff",J214&gt;=$S$13),0,IF($J214&lt;=$S$6,SUM($R$20:$R214),0))</f>
        <v>0</v>
      </c>
      <c r="U214" s="885">
        <f t="shared" si="82"/>
        <v>0</v>
      </c>
      <c r="V214" s="1110">
        <f t="shared" si="90"/>
        <v>0</v>
      </c>
      <c r="X214" s="1102">
        <f t="shared" si="83"/>
        <v>0</v>
      </c>
      <c r="Y214" s="873">
        <f t="shared" si="84"/>
        <v>0</v>
      </c>
      <c r="Z214" s="873">
        <f t="shared" si="85"/>
        <v>0</v>
      </c>
      <c r="AA214" s="885">
        <f t="shared" si="86"/>
        <v>0</v>
      </c>
    </row>
    <row r="215" spans="2:27" s="278" customFormat="1" ht="12" customHeight="1" x14ac:dyDescent="0.25">
      <c r="B215" s="1192" t="e">
        <f t="shared" si="91"/>
        <v>#N/A</v>
      </c>
      <c r="C215" s="732">
        <f t="shared" si="77"/>
        <v>31</v>
      </c>
      <c r="D215" s="35">
        <f t="shared" si="78"/>
        <v>3</v>
      </c>
      <c r="E215" s="889">
        <f t="shared" ref="E215:E278" si="97">DATE(M215,D215,C215)</f>
        <v>81540</v>
      </c>
      <c r="F215" s="822">
        <f t="shared" si="79"/>
        <v>3</v>
      </c>
      <c r="G215" s="500">
        <f t="shared" si="92"/>
        <v>212</v>
      </c>
      <c r="H215" s="126">
        <f t="shared" si="80"/>
        <v>0</v>
      </c>
      <c r="I215" s="1098">
        <f t="shared" ref="I215:I278" si="98">IF($T$4="Annual",1,IF(AND($T$4="Bi-Annual",$F215&gt;$F216),1,IF(AND($T$4="Bi-Annual",$F215&lt;$F216),0,IF($T$4="Monthly",0,))))</f>
        <v>0</v>
      </c>
      <c r="J215" s="887">
        <f t="shared" si="93"/>
        <v>196</v>
      </c>
      <c r="K215" s="1099">
        <f t="shared" si="87"/>
        <v>196</v>
      </c>
      <c r="L215" s="891" t="str">
        <f t="shared" si="88"/>
        <v>March</v>
      </c>
      <c r="M215" s="888">
        <f t="shared" si="94"/>
        <v>2123</v>
      </c>
      <c r="N215" s="883">
        <f t="shared" si="89"/>
        <v>0</v>
      </c>
      <c r="O215" s="883">
        <f t="shared" si="95"/>
        <v>0</v>
      </c>
      <c r="P215" s="1100"/>
      <c r="Q215" s="883">
        <f t="shared" si="81"/>
        <v>0</v>
      </c>
      <c r="R215" s="884">
        <f t="shared" si="96"/>
        <v>0</v>
      </c>
      <c r="S215" s="884">
        <f>IF(AND($AS$39="Early Payoff",J215&gt;=$S$13),0,IF($J215&lt;=$S$6,SUM($Q$20:$Q215),0))</f>
        <v>0</v>
      </c>
      <c r="T215" s="884">
        <f>IF(AND($AS$39="Early Payoff",J215&gt;=$S$13),0,IF($J215&lt;=$S$6,SUM($R$20:$R215),0))</f>
        <v>0</v>
      </c>
      <c r="U215" s="885">
        <f t="shared" si="82"/>
        <v>0</v>
      </c>
      <c r="V215" s="1110">
        <f t="shared" si="90"/>
        <v>0</v>
      </c>
      <c r="X215" s="1102">
        <f t="shared" si="83"/>
        <v>0</v>
      </c>
      <c r="Y215" s="873">
        <f t="shared" si="84"/>
        <v>0</v>
      </c>
      <c r="Z215" s="873">
        <f t="shared" si="85"/>
        <v>0</v>
      </c>
      <c r="AA215" s="885">
        <f t="shared" si="86"/>
        <v>0</v>
      </c>
    </row>
    <row r="216" spans="2:27" s="278" customFormat="1" ht="12" customHeight="1" x14ac:dyDescent="0.25">
      <c r="B216" s="1192" t="e">
        <f t="shared" si="91"/>
        <v>#N/A</v>
      </c>
      <c r="C216" s="732">
        <f t="shared" si="77"/>
        <v>31</v>
      </c>
      <c r="D216" s="35">
        <f t="shared" si="78"/>
        <v>8</v>
      </c>
      <c r="E216" s="889">
        <f t="shared" si="97"/>
        <v>81693</v>
      </c>
      <c r="F216" s="822">
        <f t="shared" si="79"/>
        <v>8</v>
      </c>
      <c r="G216" s="500">
        <f t="shared" si="92"/>
        <v>153</v>
      </c>
      <c r="H216" s="126">
        <f t="shared" si="80"/>
        <v>0</v>
      </c>
      <c r="I216" s="1098">
        <f t="shared" si="98"/>
        <v>1</v>
      </c>
      <c r="J216" s="887">
        <f t="shared" si="93"/>
        <v>197</v>
      </c>
      <c r="K216" s="1099">
        <f t="shared" si="87"/>
        <v>197</v>
      </c>
      <c r="L216" s="891" t="str">
        <f t="shared" si="88"/>
        <v>August</v>
      </c>
      <c r="M216" s="888">
        <f t="shared" si="94"/>
        <v>2123</v>
      </c>
      <c r="N216" s="883">
        <f t="shared" si="89"/>
        <v>0</v>
      </c>
      <c r="O216" s="883">
        <f t="shared" si="95"/>
        <v>0</v>
      </c>
      <c r="P216" s="1100"/>
      <c r="Q216" s="883">
        <f t="shared" si="81"/>
        <v>0</v>
      </c>
      <c r="R216" s="884">
        <f t="shared" si="96"/>
        <v>0</v>
      </c>
      <c r="S216" s="884">
        <f>IF(AND($AS$39="Early Payoff",J216&gt;=$S$13),0,IF($J216&lt;=$S$6,SUM($Q$20:$Q216),0))</f>
        <v>0</v>
      </c>
      <c r="T216" s="884">
        <f>IF(AND($AS$39="Early Payoff",J216&gt;=$S$13),0,IF($J216&lt;=$S$6,SUM($R$20:$R216),0))</f>
        <v>0</v>
      </c>
      <c r="U216" s="885">
        <f t="shared" si="82"/>
        <v>0</v>
      </c>
      <c r="V216" s="1110">
        <f t="shared" si="90"/>
        <v>0</v>
      </c>
      <c r="X216" s="1102">
        <f t="shared" si="83"/>
        <v>0</v>
      </c>
      <c r="Y216" s="873">
        <f t="shared" si="84"/>
        <v>0</v>
      </c>
      <c r="Z216" s="873">
        <f t="shared" si="85"/>
        <v>0</v>
      </c>
      <c r="AA216" s="885">
        <f t="shared" si="86"/>
        <v>0</v>
      </c>
    </row>
    <row r="217" spans="2:27" s="278" customFormat="1" ht="12" customHeight="1" x14ac:dyDescent="0.25">
      <c r="B217" s="1192" t="e">
        <f t="shared" si="91"/>
        <v>#N/A</v>
      </c>
      <c r="C217" s="732">
        <f t="shared" si="77"/>
        <v>31</v>
      </c>
      <c r="D217" s="35">
        <f t="shared" si="78"/>
        <v>3</v>
      </c>
      <c r="E217" s="889">
        <f t="shared" si="97"/>
        <v>81906</v>
      </c>
      <c r="F217" s="822">
        <f t="shared" si="79"/>
        <v>3</v>
      </c>
      <c r="G217" s="500">
        <f t="shared" si="92"/>
        <v>213</v>
      </c>
      <c r="H217" s="126">
        <f t="shared" si="80"/>
        <v>0</v>
      </c>
      <c r="I217" s="1098">
        <f t="shared" si="98"/>
        <v>0</v>
      </c>
      <c r="J217" s="887">
        <f t="shared" si="93"/>
        <v>198</v>
      </c>
      <c r="K217" s="1099">
        <f t="shared" si="87"/>
        <v>198</v>
      </c>
      <c r="L217" s="891" t="str">
        <f t="shared" si="88"/>
        <v>March</v>
      </c>
      <c r="M217" s="888">
        <f t="shared" si="94"/>
        <v>2124</v>
      </c>
      <c r="N217" s="883">
        <f t="shared" si="89"/>
        <v>0</v>
      </c>
      <c r="O217" s="883">
        <f t="shared" si="95"/>
        <v>0</v>
      </c>
      <c r="P217" s="1100"/>
      <c r="Q217" s="883">
        <f t="shared" si="81"/>
        <v>0</v>
      </c>
      <c r="R217" s="884">
        <f t="shared" si="96"/>
        <v>0</v>
      </c>
      <c r="S217" s="884">
        <f>IF(AND($AS$39="Early Payoff",J217&gt;=$S$13),0,IF($J217&lt;=$S$6,SUM($Q$20:$Q217),0))</f>
        <v>0</v>
      </c>
      <c r="T217" s="884">
        <f>IF(AND($AS$39="Early Payoff",J217&gt;=$S$13),0,IF($J217&lt;=$S$6,SUM($R$20:$R217),0))</f>
        <v>0</v>
      </c>
      <c r="U217" s="885">
        <f t="shared" si="82"/>
        <v>0</v>
      </c>
      <c r="V217" s="1110">
        <f t="shared" si="90"/>
        <v>0</v>
      </c>
      <c r="X217" s="1102">
        <f t="shared" si="83"/>
        <v>0</v>
      </c>
      <c r="Y217" s="873">
        <f t="shared" si="84"/>
        <v>0</v>
      </c>
      <c r="Z217" s="873">
        <f t="shared" si="85"/>
        <v>0</v>
      </c>
      <c r="AA217" s="885">
        <f t="shared" si="86"/>
        <v>0</v>
      </c>
    </row>
    <row r="218" spans="2:27" s="278" customFormat="1" ht="12" customHeight="1" x14ac:dyDescent="0.25">
      <c r="B218" s="1192" t="e">
        <f t="shared" si="91"/>
        <v>#N/A</v>
      </c>
      <c r="C218" s="732">
        <f t="shared" si="77"/>
        <v>31</v>
      </c>
      <c r="D218" s="35">
        <f t="shared" si="78"/>
        <v>8</v>
      </c>
      <c r="E218" s="889">
        <f t="shared" si="97"/>
        <v>82059</v>
      </c>
      <c r="F218" s="822">
        <f t="shared" si="79"/>
        <v>8</v>
      </c>
      <c r="G218" s="500">
        <f t="shared" si="92"/>
        <v>153</v>
      </c>
      <c r="H218" s="126">
        <f t="shared" si="80"/>
        <v>0</v>
      </c>
      <c r="I218" s="1098">
        <f t="shared" si="98"/>
        <v>1</v>
      </c>
      <c r="J218" s="887">
        <f t="shared" si="93"/>
        <v>199</v>
      </c>
      <c r="K218" s="1099">
        <f t="shared" si="87"/>
        <v>199</v>
      </c>
      <c r="L218" s="891" t="str">
        <f t="shared" si="88"/>
        <v>August</v>
      </c>
      <c r="M218" s="888">
        <f t="shared" si="94"/>
        <v>2124</v>
      </c>
      <c r="N218" s="883">
        <f t="shared" si="89"/>
        <v>0</v>
      </c>
      <c r="O218" s="883">
        <f t="shared" si="95"/>
        <v>0</v>
      </c>
      <c r="P218" s="1100"/>
      <c r="Q218" s="883">
        <f t="shared" si="81"/>
        <v>0</v>
      </c>
      <c r="R218" s="884">
        <f t="shared" si="96"/>
        <v>0</v>
      </c>
      <c r="S218" s="884">
        <f>IF(AND($AS$39="Early Payoff",J218&gt;=$S$13),0,IF($J218&lt;=$S$6,SUM($Q$20:$Q218),0))</f>
        <v>0</v>
      </c>
      <c r="T218" s="884">
        <f>IF(AND($AS$39="Early Payoff",J218&gt;=$S$13),0,IF($J218&lt;=$S$6,SUM($R$20:$R218),0))</f>
        <v>0</v>
      </c>
      <c r="U218" s="885">
        <f t="shared" si="82"/>
        <v>0</v>
      </c>
      <c r="V218" s="1110">
        <f t="shared" si="90"/>
        <v>0</v>
      </c>
      <c r="X218" s="1102">
        <f t="shared" si="83"/>
        <v>0</v>
      </c>
      <c r="Y218" s="873">
        <f t="shared" si="84"/>
        <v>0</v>
      </c>
      <c r="Z218" s="873">
        <f t="shared" si="85"/>
        <v>0</v>
      </c>
      <c r="AA218" s="885">
        <f t="shared" si="86"/>
        <v>0</v>
      </c>
    </row>
    <row r="219" spans="2:27" s="278" customFormat="1" ht="12" customHeight="1" x14ac:dyDescent="0.25">
      <c r="B219" s="1192" t="e">
        <f t="shared" si="91"/>
        <v>#N/A</v>
      </c>
      <c r="C219" s="732">
        <f t="shared" si="77"/>
        <v>31</v>
      </c>
      <c r="D219" s="35">
        <f t="shared" si="78"/>
        <v>3</v>
      </c>
      <c r="E219" s="889">
        <f t="shared" si="97"/>
        <v>82271</v>
      </c>
      <c r="F219" s="822">
        <f t="shared" si="79"/>
        <v>3</v>
      </c>
      <c r="G219" s="500">
        <f t="shared" si="92"/>
        <v>212</v>
      </c>
      <c r="H219" s="126">
        <f t="shared" si="80"/>
        <v>0</v>
      </c>
      <c r="I219" s="1098">
        <f t="shared" si="98"/>
        <v>0</v>
      </c>
      <c r="J219" s="887">
        <f t="shared" si="93"/>
        <v>200</v>
      </c>
      <c r="K219" s="1099">
        <f t="shared" si="87"/>
        <v>200</v>
      </c>
      <c r="L219" s="891" t="str">
        <f t="shared" si="88"/>
        <v>March</v>
      </c>
      <c r="M219" s="888">
        <f t="shared" si="94"/>
        <v>2125</v>
      </c>
      <c r="N219" s="883">
        <f t="shared" si="89"/>
        <v>0</v>
      </c>
      <c r="O219" s="883">
        <f t="shared" si="95"/>
        <v>0</v>
      </c>
      <c r="P219" s="1100"/>
      <c r="Q219" s="883">
        <f t="shared" si="81"/>
        <v>0</v>
      </c>
      <c r="R219" s="884">
        <f t="shared" si="96"/>
        <v>0</v>
      </c>
      <c r="S219" s="884">
        <f>IF(AND($AS$39="Early Payoff",J219&gt;=$S$13),0,IF($J219&lt;=$S$6,SUM($Q$20:$Q219),0))</f>
        <v>0</v>
      </c>
      <c r="T219" s="884">
        <f>IF(AND($AS$39="Early Payoff",J219&gt;=$S$13),0,IF($J219&lt;=$S$6,SUM($R$20:$R219),0))</f>
        <v>0</v>
      </c>
      <c r="U219" s="885">
        <f t="shared" si="82"/>
        <v>0</v>
      </c>
      <c r="V219" s="1110">
        <f t="shared" si="90"/>
        <v>0</v>
      </c>
      <c r="X219" s="1102">
        <f t="shared" si="83"/>
        <v>0</v>
      </c>
      <c r="Y219" s="873">
        <f t="shared" si="84"/>
        <v>0</v>
      </c>
      <c r="Z219" s="873">
        <f t="shared" si="85"/>
        <v>0</v>
      </c>
      <c r="AA219" s="885">
        <f t="shared" si="86"/>
        <v>0</v>
      </c>
    </row>
    <row r="220" spans="2:27" s="278" customFormat="1" ht="12" customHeight="1" x14ac:dyDescent="0.25">
      <c r="B220" s="1192" t="e">
        <f t="shared" si="91"/>
        <v>#N/A</v>
      </c>
      <c r="C220" s="732">
        <f t="shared" si="77"/>
        <v>31</v>
      </c>
      <c r="D220" s="35">
        <f t="shared" si="78"/>
        <v>8</v>
      </c>
      <c r="E220" s="889">
        <f t="shared" si="97"/>
        <v>82424</v>
      </c>
      <c r="F220" s="822">
        <f t="shared" si="79"/>
        <v>8</v>
      </c>
      <c r="G220" s="500">
        <f t="shared" si="92"/>
        <v>153</v>
      </c>
      <c r="H220" s="126">
        <f t="shared" si="80"/>
        <v>0</v>
      </c>
      <c r="I220" s="1098">
        <f t="shared" si="98"/>
        <v>1</v>
      </c>
      <c r="J220" s="887">
        <f t="shared" si="93"/>
        <v>201</v>
      </c>
      <c r="K220" s="1099">
        <f t="shared" si="87"/>
        <v>201</v>
      </c>
      <c r="L220" s="891" t="str">
        <f t="shared" si="88"/>
        <v>August</v>
      </c>
      <c r="M220" s="888">
        <f t="shared" si="94"/>
        <v>2125</v>
      </c>
      <c r="N220" s="883">
        <f t="shared" si="89"/>
        <v>0</v>
      </c>
      <c r="O220" s="883">
        <f t="shared" si="95"/>
        <v>0</v>
      </c>
      <c r="P220" s="1100"/>
      <c r="Q220" s="883">
        <f t="shared" si="81"/>
        <v>0</v>
      </c>
      <c r="R220" s="884">
        <f t="shared" si="96"/>
        <v>0</v>
      </c>
      <c r="S220" s="884">
        <f>IF(AND($AS$39="Early Payoff",J220&gt;=$S$13),0,IF($J220&lt;=$S$6,SUM($Q$20:$Q220),0))</f>
        <v>0</v>
      </c>
      <c r="T220" s="884">
        <f>IF(AND($AS$39="Early Payoff",J220&gt;=$S$13),0,IF($J220&lt;=$S$6,SUM($R$20:$R220),0))</f>
        <v>0</v>
      </c>
      <c r="U220" s="885">
        <f t="shared" si="82"/>
        <v>0</v>
      </c>
      <c r="V220" s="1110">
        <f t="shared" si="90"/>
        <v>0</v>
      </c>
      <c r="X220" s="1102">
        <f t="shared" si="83"/>
        <v>0</v>
      </c>
      <c r="Y220" s="873">
        <f t="shared" si="84"/>
        <v>0</v>
      </c>
      <c r="Z220" s="873">
        <f t="shared" si="85"/>
        <v>0</v>
      </c>
      <c r="AA220" s="885">
        <f t="shared" si="86"/>
        <v>0</v>
      </c>
    </row>
    <row r="221" spans="2:27" s="278" customFormat="1" ht="12" customHeight="1" x14ac:dyDescent="0.25">
      <c r="B221" s="1192" t="e">
        <f t="shared" si="91"/>
        <v>#N/A</v>
      </c>
      <c r="C221" s="732">
        <f t="shared" si="77"/>
        <v>31</v>
      </c>
      <c r="D221" s="35">
        <f t="shared" si="78"/>
        <v>3</v>
      </c>
      <c r="E221" s="889">
        <f t="shared" si="97"/>
        <v>82636</v>
      </c>
      <c r="F221" s="822">
        <f t="shared" si="79"/>
        <v>3</v>
      </c>
      <c r="G221" s="500">
        <f t="shared" si="92"/>
        <v>212</v>
      </c>
      <c r="H221" s="126">
        <f t="shared" si="80"/>
        <v>0</v>
      </c>
      <c r="I221" s="1098">
        <f t="shared" si="98"/>
        <v>0</v>
      </c>
      <c r="J221" s="887">
        <f t="shared" si="93"/>
        <v>202</v>
      </c>
      <c r="K221" s="1099">
        <f t="shared" si="87"/>
        <v>202</v>
      </c>
      <c r="L221" s="891" t="str">
        <f t="shared" si="88"/>
        <v>March</v>
      </c>
      <c r="M221" s="888">
        <f t="shared" si="94"/>
        <v>2126</v>
      </c>
      <c r="N221" s="883">
        <f t="shared" si="89"/>
        <v>0</v>
      </c>
      <c r="O221" s="883">
        <f t="shared" si="95"/>
        <v>0</v>
      </c>
      <c r="P221" s="1100"/>
      <c r="Q221" s="883">
        <f t="shared" si="81"/>
        <v>0</v>
      </c>
      <c r="R221" s="884">
        <f t="shared" si="96"/>
        <v>0</v>
      </c>
      <c r="S221" s="884">
        <f>IF(AND($AS$39="Early Payoff",J221&gt;=$S$13),0,IF($J221&lt;=$S$6,SUM($Q$20:$Q221),0))</f>
        <v>0</v>
      </c>
      <c r="T221" s="884">
        <f>IF(AND($AS$39="Early Payoff",J221&gt;=$S$13),0,IF($J221&lt;=$S$6,SUM($R$20:$R221),0))</f>
        <v>0</v>
      </c>
      <c r="U221" s="885">
        <f t="shared" si="82"/>
        <v>0</v>
      </c>
      <c r="V221" s="1110">
        <f t="shared" si="90"/>
        <v>0</v>
      </c>
      <c r="X221" s="1102">
        <f t="shared" si="83"/>
        <v>0</v>
      </c>
      <c r="Y221" s="873">
        <f t="shared" si="84"/>
        <v>0</v>
      </c>
      <c r="Z221" s="873">
        <f t="shared" si="85"/>
        <v>0</v>
      </c>
      <c r="AA221" s="885">
        <f t="shared" si="86"/>
        <v>0</v>
      </c>
    </row>
    <row r="222" spans="2:27" s="278" customFormat="1" ht="12" customHeight="1" x14ac:dyDescent="0.25">
      <c r="B222" s="1192" t="e">
        <f t="shared" si="91"/>
        <v>#N/A</v>
      </c>
      <c r="C222" s="732">
        <f t="shared" si="77"/>
        <v>31</v>
      </c>
      <c r="D222" s="35">
        <f t="shared" si="78"/>
        <v>8</v>
      </c>
      <c r="E222" s="889">
        <f t="shared" si="97"/>
        <v>82789</v>
      </c>
      <c r="F222" s="822">
        <f t="shared" si="79"/>
        <v>8</v>
      </c>
      <c r="G222" s="500">
        <f t="shared" si="92"/>
        <v>153</v>
      </c>
      <c r="H222" s="126">
        <f t="shared" si="80"/>
        <v>0</v>
      </c>
      <c r="I222" s="1098">
        <f t="shared" si="98"/>
        <v>1</v>
      </c>
      <c r="J222" s="887">
        <f t="shared" si="93"/>
        <v>203</v>
      </c>
      <c r="K222" s="1099">
        <f t="shared" si="87"/>
        <v>203</v>
      </c>
      <c r="L222" s="891" t="str">
        <f t="shared" si="88"/>
        <v>August</v>
      </c>
      <c r="M222" s="888">
        <f t="shared" si="94"/>
        <v>2126</v>
      </c>
      <c r="N222" s="883">
        <f t="shared" si="89"/>
        <v>0</v>
      </c>
      <c r="O222" s="883">
        <f t="shared" si="95"/>
        <v>0</v>
      </c>
      <c r="P222" s="1100"/>
      <c r="Q222" s="883">
        <f t="shared" si="81"/>
        <v>0</v>
      </c>
      <c r="R222" s="884">
        <f t="shared" si="96"/>
        <v>0</v>
      </c>
      <c r="S222" s="884">
        <f>IF(AND($AS$39="Early Payoff",J222&gt;=$S$13),0,IF($J222&lt;=$S$6,SUM($Q$20:$Q222),0))</f>
        <v>0</v>
      </c>
      <c r="T222" s="884">
        <f>IF(AND($AS$39="Early Payoff",J222&gt;=$S$13),0,IF($J222&lt;=$S$6,SUM($R$20:$R222),0))</f>
        <v>0</v>
      </c>
      <c r="U222" s="885">
        <f t="shared" si="82"/>
        <v>0</v>
      </c>
      <c r="V222" s="1110">
        <f t="shared" si="90"/>
        <v>0</v>
      </c>
      <c r="X222" s="1102">
        <f t="shared" si="83"/>
        <v>0</v>
      </c>
      <c r="Y222" s="873">
        <f t="shared" si="84"/>
        <v>0</v>
      </c>
      <c r="Z222" s="873">
        <f t="shared" si="85"/>
        <v>0</v>
      </c>
      <c r="AA222" s="885">
        <f t="shared" si="86"/>
        <v>0</v>
      </c>
    </row>
    <row r="223" spans="2:27" s="278" customFormat="1" ht="12" customHeight="1" x14ac:dyDescent="0.25">
      <c r="B223" s="1192" t="e">
        <f t="shared" si="91"/>
        <v>#N/A</v>
      </c>
      <c r="C223" s="732">
        <f t="shared" si="77"/>
        <v>31</v>
      </c>
      <c r="D223" s="35">
        <f t="shared" si="78"/>
        <v>3</v>
      </c>
      <c r="E223" s="889">
        <f t="shared" si="97"/>
        <v>83001</v>
      </c>
      <c r="F223" s="822">
        <f t="shared" si="79"/>
        <v>3</v>
      </c>
      <c r="G223" s="500">
        <f t="shared" si="92"/>
        <v>212</v>
      </c>
      <c r="H223" s="126">
        <f t="shared" si="80"/>
        <v>0</v>
      </c>
      <c r="I223" s="1098">
        <f t="shared" si="98"/>
        <v>0</v>
      </c>
      <c r="J223" s="887">
        <f t="shared" si="93"/>
        <v>204</v>
      </c>
      <c r="K223" s="1099">
        <f t="shared" si="87"/>
        <v>204</v>
      </c>
      <c r="L223" s="891" t="str">
        <f t="shared" si="88"/>
        <v>March</v>
      </c>
      <c r="M223" s="888">
        <f t="shared" si="94"/>
        <v>2127</v>
      </c>
      <c r="N223" s="883">
        <f t="shared" si="89"/>
        <v>0</v>
      </c>
      <c r="O223" s="883">
        <f t="shared" si="95"/>
        <v>0</v>
      </c>
      <c r="P223" s="1100"/>
      <c r="Q223" s="883">
        <f t="shared" si="81"/>
        <v>0</v>
      </c>
      <c r="R223" s="884">
        <f t="shared" si="96"/>
        <v>0</v>
      </c>
      <c r="S223" s="884">
        <f>IF(AND($AS$39="Early Payoff",J223&gt;=$S$13),0,IF($J223&lt;=$S$6,SUM($Q$20:$Q223),0))</f>
        <v>0</v>
      </c>
      <c r="T223" s="884">
        <f>IF(AND($AS$39="Early Payoff",J223&gt;=$S$13),0,IF($J223&lt;=$S$6,SUM($R$20:$R223),0))</f>
        <v>0</v>
      </c>
      <c r="U223" s="885">
        <f t="shared" si="82"/>
        <v>0</v>
      </c>
      <c r="V223" s="1110">
        <f t="shared" si="90"/>
        <v>0</v>
      </c>
      <c r="X223" s="1102">
        <f t="shared" si="83"/>
        <v>0</v>
      </c>
      <c r="Y223" s="873">
        <f t="shared" si="84"/>
        <v>0</v>
      </c>
      <c r="Z223" s="873">
        <f t="shared" si="85"/>
        <v>0</v>
      </c>
      <c r="AA223" s="885">
        <f t="shared" si="86"/>
        <v>0</v>
      </c>
    </row>
    <row r="224" spans="2:27" s="278" customFormat="1" ht="12" customHeight="1" x14ac:dyDescent="0.25">
      <c r="B224" s="1192" t="e">
        <f t="shared" si="91"/>
        <v>#N/A</v>
      </c>
      <c r="C224" s="732">
        <f t="shared" si="77"/>
        <v>31</v>
      </c>
      <c r="D224" s="35">
        <f t="shared" si="78"/>
        <v>8</v>
      </c>
      <c r="E224" s="889">
        <f t="shared" si="97"/>
        <v>83154</v>
      </c>
      <c r="F224" s="822">
        <f t="shared" si="79"/>
        <v>8</v>
      </c>
      <c r="G224" s="500">
        <f t="shared" si="92"/>
        <v>153</v>
      </c>
      <c r="H224" s="126">
        <f t="shared" si="80"/>
        <v>0</v>
      </c>
      <c r="I224" s="1098">
        <f t="shared" si="98"/>
        <v>1</v>
      </c>
      <c r="J224" s="887">
        <f t="shared" si="93"/>
        <v>205</v>
      </c>
      <c r="K224" s="1099">
        <f t="shared" si="87"/>
        <v>205</v>
      </c>
      <c r="L224" s="891" t="str">
        <f t="shared" si="88"/>
        <v>August</v>
      </c>
      <c r="M224" s="888">
        <f t="shared" si="94"/>
        <v>2127</v>
      </c>
      <c r="N224" s="883">
        <f t="shared" si="89"/>
        <v>0</v>
      </c>
      <c r="O224" s="883">
        <f t="shared" si="95"/>
        <v>0</v>
      </c>
      <c r="P224" s="1100"/>
      <c r="Q224" s="883">
        <f t="shared" si="81"/>
        <v>0</v>
      </c>
      <c r="R224" s="884">
        <f t="shared" si="96"/>
        <v>0</v>
      </c>
      <c r="S224" s="884">
        <f>IF(AND($AS$39="Early Payoff",J224&gt;=$S$13),0,IF($J224&lt;=$S$6,SUM($Q$20:$Q224),0))</f>
        <v>0</v>
      </c>
      <c r="T224" s="884">
        <f>IF(AND($AS$39="Early Payoff",J224&gt;=$S$13),0,IF($J224&lt;=$S$6,SUM($R$20:$R224),0))</f>
        <v>0</v>
      </c>
      <c r="U224" s="885">
        <f t="shared" si="82"/>
        <v>0</v>
      </c>
      <c r="V224" s="1110">
        <f t="shared" si="90"/>
        <v>0</v>
      </c>
      <c r="X224" s="1102">
        <f t="shared" si="83"/>
        <v>0</v>
      </c>
      <c r="Y224" s="873">
        <f t="shared" si="84"/>
        <v>0</v>
      </c>
      <c r="Z224" s="873">
        <f t="shared" si="85"/>
        <v>0</v>
      </c>
      <c r="AA224" s="885">
        <f t="shared" si="86"/>
        <v>0</v>
      </c>
    </row>
    <row r="225" spans="2:27" s="278" customFormat="1" ht="12" customHeight="1" x14ac:dyDescent="0.25">
      <c r="B225" s="1192" t="e">
        <f t="shared" si="91"/>
        <v>#N/A</v>
      </c>
      <c r="C225" s="732">
        <f t="shared" si="77"/>
        <v>31</v>
      </c>
      <c r="D225" s="35">
        <f t="shared" si="78"/>
        <v>3</v>
      </c>
      <c r="E225" s="889">
        <f t="shared" si="97"/>
        <v>83367</v>
      </c>
      <c r="F225" s="822">
        <f t="shared" si="79"/>
        <v>3</v>
      </c>
      <c r="G225" s="500">
        <f t="shared" si="92"/>
        <v>213</v>
      </c>
      <c r="H225" s="126">
        <f t="shared" si="80"/>
        <v>0</v>
      </c>
      <c r="I225" s="1098">
        <f t="shared" si="98"/>
        <v>0</v>
      </c>
      <c r="J225" s="887">
        <f t="shared" si="93"/>
        <v>206</v>
      </c>
      <c r="K225" s="1099">
        <f t="shared" si="87"/>
        <v>206</v>
      </c>
      <c r="L225" s="891" t="str">
        <f t="shared" si="88"/>
        <v>March</v>
      </c>
      <c r="M225" s="888">
        <f t="shared" si="94"/>
        <v>2128</v>
      </c>
      <c r="N225" s="883">
        <f t="shared" si="89"/>
        <v>0</v>
      </c>
      <c r="O225" s="883">
        <f t="shared" si="95"/>
        <v>0</v>
      </c>
      <c r="P225" s="1100"/>
      <c r="Q225" s="883">
        <f t="shared" si="81"/>
        <v>0</v>
      </c>
      <c r="R225" s="884">
        <f t="shared" si="96"/>
        <v>0</v>
      </c>
      <c r="S225" s="884">
        <f>IF(AND($AS$39="Early Payoff",J225&gt;=$S$13),0,IF($J225&lt;=$S$6,SUM($Q$20:$Q225),0))</f>
        <v>0</v>
      </c>
      <c r="T225" s="884">
        <f>IF(AND($AS$39="Early Payoff",J225&gt;=$S$13),0,IF($J225&lt;=$S$6,SUM($R$20:$R225),0))</f>
        <v>0</v>
      </c>
      <c r="U225" s="885">
        <f t="shared" si="82"/>
        <v>0</v>
      </c>
      <c r="V225" s="1110">
        <f t="shared" si="90"/>
        <v>0</v>
      </c>
      <c r="X225" s="1102">
        <f t="shared" si="83"/>
        <v>0</v>
      </c>
      <c r="Y225" s="873">
        <f t="shared" si="84"/>
        <v>0</v>
      </c>
      <c r="Z225" s="873">
        <f t="shared" si="85"/>
        <v>0</v>
      </c>
      <c r="AA225" s="885">
        <f t="shared" si="86"/>
        <v>0</v>
      </c>
    </row>
    <row r="226" spans="2:27" s="278" customFormat="1" ht="12" customHeight="1" x14ac:dyDescent="0.25">
      <c r="B226" s="1192" t="e">
        <f t="shared" si="91"/>
        <v>#N/A</v>
      </c>
      <c r="C226" s="732">
        <f t="shared" si="77"/>
        <v>31</v>
      </c>
      <c r="D226" s="35">
        <f t="shared" si="78"/>
        <v>8</v>
      </c>
      <c r="E226" s="889">
        <f t="shared" si="97"/>
        <v>83520</v>
      </c>
      <c r="F226" s="822">
        <f t="shared" si="79"/>
        <v>8</v>
      </c>
      <c r="G226" s="500">
        <f t="shared" si="92"/>
        <v>153</v>
      </c>
      <c r="H226" s="126">
        <f t="shared" si="80"/>
        <v>0</v>
      </c>
      <c r="I226" s="1098">
        <f t="shared" si="98"/>
        <v>1</v>
      </c>
      <c r="J226" s="887">
        <f t="shared" si="93"/>
        <v>207</v>
      </c>
      <c r="K226" s="1099">
        <f t="shared" si="87"/>
        <v>207</v>
      </c>
      <c r="L226" s="891" t="str">
        <f t="shared" si="88"/>
        <v>August</v>
      </c>
      <c r="M226" s="888">
        <f t="shared" si="94"/>
        <v>2128</v>
      </c>
      <c r="N226" s="883">
        <f t="shared" si="89"/>
        <v>0</v>
      </c>
      <c r="O226" s="883">
        <f t="shared" si="95"/>
        <v>0</v>
      </c>
      <c r="P226" s="1100"/>
      <c r="Q226" s="883">
        <f t="shared" si="81"/>
        <v>0</v>
      </c>
      <c r="R226" s="884">
        <f t="shared" si="96"/>
        <v>0</v>
      </c>
      <c r="S226" s="884">
        <f>IF(AND($AS$39="Early Payoff",J226&gt;=$S$13),0,IF($J226&lt;=$S$6,SUM($Q$20:$Q226),0))</f>
        <v>0</v>
      </c>
      <c r="T226" s="884">
        <f>IF(AND($AS$39="Early Payoff",J226&gt;=$S$13),0,IF($J226&lt;=$S$6,SUM($R$20:$R226),0))</f>
        <v>0</v>
      </c>
      <c r="U226" s="885">
        <f t="shared" si="82"/>
        <v>0</v>
      </c>
      <c r="V226" s="1110">
        <f t="shared" si="90"/>
        <v>0</v>
      </c>
      <c r="X226" s="1102">
        <f t="shared" si="83"/>
        <v>0</v>
      </c>
      <c r="Y226" s="873">
        <f t="shared" si="84"/>
        <v>0</v>
      </c>
      <c r="Z226" s="873">
        <f t="shared" si="85"/>
        <v>0</v>
      </c>
      <c r="AA226" s="885">
        <f t="shared" si="86"/>
        <v>0</v>
      </c>
    </row>
    <row r="227" spans="2:27" s="278" customFormat="1" ht="12" customHeight="1" x14ac:dyDescent="0.25">
      <c r="B227" s="1192" t="e">
        <f t="shared" si="91"/>
        <v>#N/A</v>
      </c>
      <c r="C227" s="732">
        <f t="shared" si="77"/>
        <v>31</v>
      </c>
      <c r="D227" s="35">
        <f t="shared" si="78"/>
        <v>3</v>
      </c>
      <c r="E227" s="889">
        <f t="shared" si="97"/>
        <v>83732</v>
      </c>
      <c r="F227" s="822">
        <f t="shared" si="79"/>
        <v>3</v>
      </c>
      <c r="G227" s="500">
        <f t="shared" si="92"/>
        <v>212</v>
      </c>
      <c r="H227" s="126">
        <f t="shared" si="80"/>
        <v>0</v>
      </c>
      <c r="I227" s="1098">
        <f t="shared" si="98"/>
        <v>0</v>
      </c>
      <c r="J227" s="887">
        <f t="shared" si="93"/>
        <v>208</v>
      </c>
      <c r="K227" s="1099">
        <f t="shared" si="87"/>
        <v>208</v>
      </c>
      <c r="L227" s="891" t="str">
        <f t="shared" si="88"/>
        <v>March</v>
      </c>
      <c r="M227" s="888">
        <f t="shared" si="94"/>
        <v>2129</v>
      </c>
      <c r="N227" s="883">
        <f t="shared" si="89"/>
        <v>0</v>
      </c>
      <c r="O227" s="883">
        <f t="shared" si="95"/>
        <v>0</v>
      </c>
      <c r="P227" s="1100"/>
      <c r="Q227" s="883">
        <f t="shared" si="81"/>
        <v>0</v>
      </c>
      <c r="R227" s="884">
        <f t="shared" si="96"/>
        <v>0</v>
      </c>
      <c r="S227" s="884">
        <f>IF(AND($AS$39="Early Payoff",J227&gt;=$S$13),0,IF($J227&lt;=$S$6,SUM($Q$20:$Q227),0))</f>
        <v>0</v>
      </c>
      <c r="T227" s="884">
        <f>IF(AND($AS$39="Early Payoff",J227&gt;=$S$13),0,IF($J227&lt;=$S$6,SUM($R$20:$R227),0))</f>
        <v>0</v>
      </c>
      <c r="U227" s="885">
        <f t="shared" si="82"/>
        <v>0</v>
      </c>
      <c r="V227" s="1110">
        <f t="shared" si="90"/>
        <v>0</v>
      </c>
      <c r="X227" s="1102">
        <f t="shared" si="83"/>
        <v>0</v>
      </c>
      <c r="Y227" s="873">
        <f t="shared" si="84"/>
        <v>0</v>
      </c>
      <c r="Z227" s="873">
        <f t="shared" si="85"/>
        <v>0</v>
      </c>
      <c r="AA227" s="885">
        <f t="shared" si="86"/>
        <v>0</v>
      </c>
    </row>
    <row r="228" spans="2:27" s="278" customFormat="1" ht="12" customHeight="1" x14ac:dyDescent="0.25">
      <c r="B228" s="1192" t="e">
        <f t="shared" si="91"/>
        <v>#N/A</v>
      </c>
      <c r="C228" s="732">
        <f t="shared" si="77"/>
        <v>31</v>
      </c>
      <c r="D228" s="35">
        <f t="shared" si="78"/>
        <v>8</v>
      </c>
      <c r="E228" s="889">
        <f t="shared" si="97"/>
        <v>83885</v>
      </c>
      <c r="F228" s="822">
        <f t="shared" si="79"/>
        <v>8</v>
      </c>
      <c r="G228" s="500">
        <f t="shared" si="92"/>
        <v>153</v>
      </c>
      <c r="H228" s="126">
        <f t="shared" si="80"/>
        <v>0</v>
      </c>
      <c r="I228" s="1098">
        <f t="shared" si="98"/>
        <v>1</v>
      </c>
      <c r="J228" s="887">
        <f t="shared" si="93"/>
        <v>209</v>
      </c>
      <c r="K228" s="1099">
        <f t="shared" si="87"/>
        <v>209</v>
      </c>
      <c r="L228" s="891" t="str">
        <f t="shared" si="88"/>
        <v>August</v>
      </c>
      <c r="M228" s="888">
        <f t="shared" si="94"/>
        <v>2129</v>
      </c>
      <c r="N228" s="883">
        <f t="shared" si="89"/>
        <v>0</v>
      </c>
      <c r="O228" s="883">
        <f t="shared" si="95"/>
        <v>0</v>
      </c>
      <c r="P228" s="1100"/>
      <c r="Q228" s="883">
        <f t="shared" si="81"/>
        <v>0</v>
      </c>
      <c r="R228" s="884">
        <f t="shared" si="96"/>
        <v>0</v>
      </c>
      <c r="S228" s="884">
        <f>IF(AND($AS$39="Early Payoff",J228&gt;=$S$13),0,IF($J228&lt;=$S$6,SUM($Q$20:$Q228),0))</f>
        <v>0</v>
      </c>
      <c r="T228" s="884">
        <f>IF(AND($AS$39="Early Payoff",J228&gt;=$S$13),0,IF($J228&lt;=$S$6,SUM($R$20:$R228),0))</f>
        <v>0</v>
      </c>
      <c r="U228" s="885">
        <f t="shared" si="82"/>
        <v>0</v>
      </c>
      <c r="V228" s="1110">
        <f t="shared" si="90"/>
        <v>0</v>
      </c>
      <c r="X228" s="1102">
        <f t="shared" si="83"/>
        <v>0</v>
      </c>
      <c r="Y228" s="873">
        <f t="shared" si="84"/>
        <v>0</v>
      </c>
      <c r="Z228" s="873">
        <f t="shared" si="85"/>
        <v>0</v>
      </c>
      <c r="AA228" s="885">
        <f t="shared" si="86"/>
        <v>0</v>
      </c>
    </row>
    <row r="229" spans="2:27" s="278" customFormat="1" ht="12" customHeight="1" x14ac:dyDescent="0.25">
      <c r="B229" s="1192" t="e">
        <f t="shared" si="91"/>
        <v>#N/A</v>
      </c>
      <c r="C229" s="732">
        <f t="shared" si="77"/>
        <v>31</v>
      </c>
      <c r="D229" s="35">
        <f t="shared" si="78"/>
        <v>3</v>
      </c>
      <c r="E229" s="889">
        <f t="shared" si="97"/>
        <v>84097</v>
      </c>
      <c r="F229" s="822">
        <f t="shared" si="79"/>
        <v>3</v>
      </c>
      <c r="G229" s="500">
        <f t="shared" si="92"/>
        <v>212</v>
      </c>
      <c r="H229" s="126">
        <f t="shared" si="80"/>
        <v>0</v>
      </c>
      <c r="I229" s="1098">
        <f t="shared" si="98"/>
        <v>0</v>
      </c>
      <c r="J229" s="887">
        <f t="shared" si="93"/>
        <v>210</v>
      </c>
      <c r="K229" s="1099">
        <f t="shared" si="87"/>
        <v>210</v>
      </c>
      <c r="L229" s="891" t="str">
        <f t="shared" si="88"/>
        <v>March</v>
      </c>
      <c r="M229" s="888">
        <f t="shared" si="94"/>
        <v>2130</v>
      </c>
      <c r="N229" s="883">
        <f t="shared" si="89"/>
        <v>0</v>
      </c>
      <c r="O229" s="883">
        <f t="shared" si="95"/>
        <v>0</v>
      </c>
      <c r="P229" s="1100"/>
      <c r="Q229" s="883">
        <f t="shared" si="81"/>
        <v>0</v>
      </c>
      <c r="R229" s="884">
        <f t="shared" si="96"/>
        <v>0</v>
      </c>
      <c r="S229" s="884">
        <f>IF(AND($AS$39="Early Payoff",J229&gt;=$S$13),0,IF($J229&lt;=$S$6,SUM($Q$20:$Q229),0))</f>
        <v>0</v>
      </c>
      <c r="T229" s="884">
        <f>IF(AND($AS$39="Early Payoff",J229&gt;=$S$13),0,IF($J229&lt;=$S$6,SUM($R$20:$R229),0))</f>
        <v>0</v>
      </c>
      <c r="U229" s="885">
        <f t="shared" si="82"/>
        <v>0</v>
      </c>
      <c r="V229" s="1110">
        <f t="shared" si="90"/>
        <v>0</v>
      </c>
      <c r="X229" s="1102">
        <f t="shared" si="83"/>
        <v>0</v>
      </c>
      <c r="Y229" s="873">
        <f t="shared" si="84"/>
        <v>0</v>
      </c>
      <c r="Z229" s="873">
        <f t="shared" si="85"/>
        <v>0</v>
      </c>
      <c r="AA229" s="885">
        <f t="shared" si="86"/>
        <v>0</v>
      </c>
    </row>
    <row r="230" spans="2:27" s="278" customFormat="1" ht="12" customHeight="1" x14ac:dyDescent="0.25">
      <c r="B230" s="1192" t="e">
        <f t="shared" si="91"/>
        <v>#N/A</v>
      </c>
      <c r="C230" s="732">
        <f t="shared" si="77"/>
        <v>31</v>
      </c>
      <c r="D230" s="35">
        <f t="shared" si="78"/>
        <v>8</v>
      </c>
      <c r="E230" s="889">
        <f t="shared" si="97"/>
        <v>84250</v>
      </c>
      <c r="F230" s="822">
        <f t="shared" si="79"/>
        <v>8</v>
      </c>
      <c r="G230" s="500">
        <f t="shared" si="92"/>
        <v>153</v>
      </c>
      <c r="H230" s="126">
        <f t="shared" si="80"/>
        <v>0</v>
      </c>
      <c r="I230" s="1098">
        <f t="shared" si="98"/>
        <v>1</v>
      </c>
      <c r="J230" s="887">
        <f t="shared" si="93"/>
        <v>211</v>
      </c>
      <c r="K230" s="1099">
        <f t="shared" si="87"/>
        <v>211</v>
      </c>
      <c r="L230" s="891" t="str">
        <f t="shared" si="88"/>
        <v>August</v>
      </c>
      <c r="M230" s="888">
        <f t="shared" si="94"/>
        <v>2130</v>
      </c>
      <c r="N230" s="883">
        <f t="shared" si="89"/>
        <v>0</v>
      </c>
      <c r="O230" s="883">
        <f t="shared" si="95"/>
        <v>0</v>
      </c>
      <c r="P230" s="1100"/>
      <c r="Q230" s="883">
        <f t="shared" si="81"/>
        <v>0</v>
      </c>
      <c r="R230" s="884">
        <f t="shared" si="96"/>
        <v>0</v>
      </c>
      <c r="S230" s="884">
        <f>IF(AND($AS$39="Early Payoff",J230&gt;=$S$13),0,IF($J230&lt;=$S$6,SUM($Q$20:$Q230),0))</f>
        <v>0</v>
      </c>
      <c r="T230" s="884">
        <f>IF(AND($AS$39="Early Payoff",J230&gt;=$S$13),0,IF($J230&lt;=$S$6,SUM($R$20:$R230),0))</f>
        <v>0</v>
      </c>
      <c r="U230" s="885">
        <f t="shared" si="82"/>
        <v>0</v>
      </c>
      <c r="V230" s="1110">
        <f t="shared" si="90"/>
        <v>0</v>
      </c>
      <c r="X230" s="1102">
        <f t="shared" si="83"/>
        <v>0</v>
      </c>
      <c r="Y230" s="873">
        <f t="shared" si="84"/>
        <v>0</v>
      </c>
      <c r="Z230" s="873">
        <f t="shared" si="85"/>
        <v>0</v>
      </c>
      <c r="AA230" s="885">
        <f t="shared" si="86"/>
        <v>0</v>
      </c>
    </row>
    <row r="231" spans="2:27" s="278" customFormat="1" ht="12" customHeight="1" x14ac:dyDescent="0.25">
      <c r="B231" s="1192" t="e">
        <f t="shared" si="91"/>
        <v>#N/A</v>
      </c>
      <c r="C231" s="732">
        <f t="shared" si="77"/>
        <v>31</v>
      </c>
      <c r="D231" s="35">
        <f t="shared" si="78"/>
        <v>3</v>
      </c>
      <c r="E231" s="889">
        <f t="shared" si="97"/>
        <v>84462</v>
      </c>
      <c r="F231" s="822">
        <f t="shared" si="79"/>
        <v>3</v>
      </c>
      <c r="G231" s="500">
        <f t="shared" si="92"/>
        <v>212</v>
      </c>
      <c r="H231" s="126">
        <f t="shared" si="80"/>
        <v>0</v>
      </c>
      <c r="I231" s="1098">
        <f t="shared" si="98"/>
        <v>0</v>
      </c>
      <c r="J231" s="887">
        <f t="shared" si="93"/>
        <v>212</v>
      </c>
      <c r="K231" s="1099">
        <f t="shared" si="87"/>
        <v>212</v>
      </c>
      <c r="L231" s="891" t="str">
        <f t="shared" si="88"/>
        <v>March</v>
      </c>
      <c r="M231" s="888">
        <f t="shared" si="94"/>
        <v>2131</v>
      </c>
      <c r="N231" s="883">
        <f t="shared" si="89"/>
        <v>0</v>
      </c>
      <c r="O231" s="883">
        <f t="shared" si="95"/>
        <v>0</v>
      </c>
      <c r="P231" s="1100"/>
      <c r="Q231" s="883">
        <f t="shared" si="81"/>
        <v>0</v>
      </c>
      <c r="R231" s="884">
        <f t="shared" si="96"/>
        <v>0</v>
      </c>
      <c r="S231" s="884">
        <f>IF(AND($AS$39="Early Payoff",J231&gt;=$S$13),0,IF($J231&lt;=$S$6,SUM($Q$20:$Q231),0))</f>
        <v>0</v>
      </c>
      <c r="T231" s="884">
        <f>IF(AND($AS$39="Early Payoff",J231&gt;=$S$13),0,IF($J231&lt;=$S$6,SUM($R$20:$R231),0))</f>
        <v>0</v>
      </c>
      <c r="U231" s="885">
        <f t="shared" si="82"/>
        <v>0</v>
      </c>
      <c r="V231" s="1110">
        <f t="shared" si="90"/>
        <v>0</v>
      </c>
      <c r="X231" s="1102">
        <f t="shared" si="83"/>
        <v>0</v>
      </c>
      <c r="Y231" s="873">
        <f t="shared" si="84"/>
        <v>0</v>
      </c>
      <c r="Z231" s="873">
        <f t="shared" si="85"/>
        <v>0</v>
      </c>
      <c r="AA231" s="885">
        <f t="shared" si="86"/>
        <v>0</v>
      </c>
    </row>
    <row r="232" spans="2:27" s="278" customFormat="1" ht="12" customHeight="1" x14ac:dyDescent="0.25">
      <c r="B232" s="1192" t="e">
        <f t="shared" si="91"/>
        <v>#N/A</v>
      </c>
      <c r="C232" s="732">
        <f t="shared" si="77"/>
        <v>31</v>
      </c>
      <c r="D232" s="35">
        <f t="shared" si="78"/>
        <v>8</v>
      </c>
      <c r="E232" s="889">
        <f t="shared" si="97"/>
        <v>84615</v>
      </c>
      <c r="F232" s="822">
        <f t="shared" si="79"/>
        <v>8</v>
      </c>
      <c r="G232" s="500">
        <f t="shared" si="92"/>
        <v>153</v>
      </c>
      <c r="H232" s="126">
        <f t="shared" si="80"/>
        <v>0</v>
      </c>
      <c r="I232" s="1098">
        <f t="shared" si="98"/>
        <v>1</v>
      </c>
      <c r="J232" s="887">
        <f t="shared" si="93"/>
        <v>213</v>
      </c>
      <c r="K232" s="1099">
        <f t="shared" si="87"/>
        <v>213</v>
      </c>
      <c r="L232" s="891" t="str">
        <f t="shared" si="88"/>
        <v>August</v>
      </c>
      <c r="M232" s="888">
        <f t="shared" si="94"/>
        <v>2131</v>
      </c>
      <c r="N232" s="883">
        <f t="shared" si="89"/>
        <v>0</v>
      </c>
      <c r="O232" s="883">
        <f t="shared" si="95"/>
        <v>0</v>
      </c>
      <c r="P232" s="1100"/>
      <c r="Q232" s="883">
        <f t="shared" si="81"/>
        <v>0</v>
      </c>
      <c r="R232" s="884">
        <f t="shared" si="96"/>
        <v>0</v>
      </c>
      <c r="S232" s="884">
        <f>IF(AND($AS$39="Early Payoff",J232&gt;=$S$13),0,IF($J232&lt;=$S$6,SUM($Q$20:$Q232),0))</f>
        <v>0</v>
      </c>
      <c r="T232" s="884">
        <f>IF(AND($AS$39="Early Payoff",J232&gt;=$S$13),0,IF($J232&lt;=$S$6,SUM($R$20:$R232),0))</f>
        <v>0</v>
      </c>
      <c r="U232" s="885">
        <f t="shared" si="82"/>
        <v>0</v>
      </c>
      <c r="V232" s="1110">
        <f t="shared" si="90"/>
        <v>0</v>
      </c>
      <c r="X232" s="1102">
        <f t="shared" si="83"/>
        <v>0</v>
      </c>
      <c r="Y232" s="873">
        <f t="shared" si="84"/>
        <v>0</v>
      </c>
      <c r="Z232" s="873">
        <f t="shared" si="85"/>
        <v>0</v>
      </c>
      <c r="AA232" s="885">
        <f t="shared" si="86"/>
        <v>0</v>
      </c>
    </row>
    <row r="233" spans="2:27" s="278" customFormat="1" ht="12" customHeight="1" x14ac:dyDescent="0.25">
      <c r="B233" s="1192" t="e">
        <f t="shared" si="91"/>
        <v>#N/A</v>
      </c>
      <c r="C233" s="732">
        <f t="shared" si="77"/>
        <v>31</v>
      </c>
      <c r="D233" s="35">
        <f t="shared" si="78"/>
        <v>3</v>
      </c>
      <c r="E233" s="889">
        <f t="shared" si="97"/>
        <v>84828</v>
      </c>
      <c r="F233" s="822">
        <f t="shared" si="79"/>
        <v>3</v>
      </c>
      <c r="G233" s="500">
        <f t="shared" si="92"/>
        <v>213</v>
      </c>
      <c r="H233" s="126">
        <f t="shared" si="80"/>
        <v>0</v>
      </c>
      <c r="I233" s="1098">
        <f t="shared" si="98"/>
        <v>0</v>
      </c>
      <c r="J233" s="887">
        <f t="shared" si="93"/>
        <v>214</v>
      </c>
      <c r="K233" s="1099">
        <f t="shared" si="87"/>
        <v>214</v>
      </c>
      <c r="L233" s="891" t="str">
        <f t="shared" si="88"/>
        <v>March</v>
      </c>
      <c r="M233" s="888">
        <f t="shared" si="94"/>
        <v>2132</v>
      </c>
      <c r="N233" s="883">
        <f t="shared" si="89"/>
        <v>0</v>
      </c>
      <c r="O233" s="883">
        <f t="shared" si="95"/>
        <v>0</v>
      </c>
      <c r="P233" s="1100"/>
      <c r="Q233" s="883">
        <f t="shared" si="81"/>
        <v>0</v>
      </c>
      <c r="R233" s="884">
        <f t="shared" si="96"/>
        <v>0</v>
      </c>
      <c r="S233" s="884">
        <f>IF(AND($AS$39="Early Payoff",J233&gt;=$S$13),0,IF($J233&lt;=$S$6,SUM($Q$20:$Q233),0))</f>
        <v>0</v>
      </c>
      <c r="T233" s="884">
        <f>IF(AND($AS$39="Early Payoff",J233&gt;=$S$13),0,IF($J233&lt;=$S$6,SUM($R$20:$R233),0))</f>
        <v>0</v>
      </c>
      <c r="U233" s="885">
        <f t="shared" si="82"/>
        <v>0</v>
      </c>
      <c r="V233" s="1110">
        <f t="shared" si="90"/>
        <v>0</v>
      </c>
      <c r="X233" s="1102">
        <f t="shared" si="83"/>
        <v>0</v>
      </c>
      <c r="Y233" s="873">
        <f t="shared" si="84"/>
        <v>0</v>
      </c>
      <c r="Z233" s="873">
        <f t="shared" si="85"/>
        <v>0</v>
      </c>
      <c r="AA233" s="885">
        <f t="shared" si="86"/>
        <v>0</v>
      </c>
    </row>
    <row r="234" spans="2:27" s="278" customFormat="1" ht="12" customHeight="1" x14ac:dyDescent="0.25">
      <c r="B234" s="1192" t="e">
        <f t="shared" si="91"/>
        <v>#N/A</v>
      </c>
      <c r="C234" s="732">
        <f t="shared" si="77"/>
        <v>31</v>
      </c>
      <c r="D234" s="35">
        <f t="shared" si="78"/>
        <v>8</v>
      </c>
      <c r="E234" s="889">
        <f t="shared" si="97"/>
        <v>84981</v>
      </c>
      <c r="F234" s="822">
        <f t="shared" si="79"/>
        <v>8</v>
      </c>
      <c r="G234" s="500">
        <f t="shared" si="92"/>
        <v>153</v>
      </c>
      <c r="H234" s="126">
        <f t="shared" si="80"/>
        <v>0</v>
      </c>
      <c r="I234" s="1098">
        <f t="shared" si="98"/>
        <v>1</v>
      </c>
      <c r="J234" s="887">
        <f t="shared" si="93"/>
        <v>215</v>
      </c>
      <c r="K234" s="1099">
        <f t="shared" si="87"/>
        <v>215</v>
      </c>
      <c r="L234" s="891" t="str">
        <f t="shared" si="88"/>
        <v>August</v>
      </c>
      <c r="M234" s="888">
        <f t="shared" si="94"/>
        <v>2132</v>
      </c>
      <c r="N234" s="883">
        <f t="shared" si="89"/>
        <v>0</v>
      </c>
      <c r="O234" s="883">
        <f t="shared" si="95"/>
        <v>0</v>
      </c>
      <c r="P234" s="1100"/>
      <c r="Q234" s="883">
        <f t="shared" si="81"/>
        <v>0</v>
      </c>
      <c r="R234" s="884">
        <f t="shared" si="96"/>
        <v>0</v>
      </c>
      <c r="S234" s="884">
        <f>IF(AND($AS$39="Early Payoff",J234&gt;=$S$13),0,IF($J234&lt;=$S$6,SUM($Q$20:$Q234),0))</f>
        <v>0</v>
      </c>
      <c r="T234" s="884">
        <f>IF(AND($AS$39="Early Payoff",J234&gt;=$S$13),0,IF($J234&lt;=$S$6,SUM($R$20:$R234),0))</f>
        <v>0</v>
      </c>
      <c r="U234" s="885">
        <f t="shared" si="82"/>
        <v>0</v>
      </c>
      <c r="V234" s="1110">
        <f t="shared" si="90"/>
        <v>0</v>
      </c>
      <c r="X234" s="1102">
        <f t="shared" si="83"/>
        <v>0</v>
      </c>
      <c r="Y234" s="873">
        <f t="shared" si="84"/>
        <v>0</v>
      </c>
      <c r="Z234" s="873">
        <f t="shared" si="85"/>
        <v>0</v>
      </c>
      <c r="AA234" s="885">
        <f t="shared" si="86"/>
        <v>0</v>
      </c>
    </row>
    <row r="235" spans="2:27" s="278" customFormat="1" ht="12" customHeight="1" x14ac:dyDescent="0.25">
      <c r="B235" s="1192" t="e">
        <f t="shared" si="91"/>
        <v>#N/A</v>
      </c>
      <c r="C235" s="732">
        <f t="shared" si="77"/>
        <v>31</v>
      </c>
      <c r="D235" s="35">
        <f t="shared" si="78"/>
        <v>3</v>
      </c>
      <c r="E235" s="889">
        <f t="shared" si="97"/>
        <v>85193</v>
      </c>
      <c r="F235" s="822">
        <f t="shared" si="79"/>
        <v>3</v>
      </c>
      <c r="G235" s="500">
        <f t="shared" si="92"/>
        <v>212</v>
      </c>
      <c r="H235" s="126">
        <f t="shared" si="80"/>
        <v>0</v>
      </c>
      <c r="I235" s="1098">
        <f t="shared" si="98"/>
        <v>0</v>
      </c>
      <c r="J235" s="887">
        <f t="shared" si="93"/>
        <v>216</v>
      </c>
      <c r="K235" s="1099">
        <f t="shared" si="87"/>
        <v>216</v>
      </c>
      <c r="L235" s="891" t="str">
        <f t="shared" si="88"/>
        <v>March</v>
      </c>
      <c r="M235" s="888">
        <f t="shared" si="94"/>
        <v>2133</v>
      </c>
      <c r="N235" s="883">
        <f t="shared" si="89"/>
        <v>0</v>
      </c>
      <c r="O235" s="883">
        <f t="shared" si="95"/>
        <v>0</v>
      </c>
      <c r="P235" s="1100"/>
      <c r="Q235" s="883">
        <f t="shared" si="81"/>
        <v>0</v>
      </c>
      <c r="R235" s="884">
        <f t="shared" si="96"/>
        <v>0</v>
      </c>
      <c r="S235" s="884">
        <f>IF(AND($AS$39="Early Payoff",J235&gt;=$S$13),0,IF($J235&lt;=$S$6,SUM($Q$20:$Q235),0))</f>
        <v>0</v>
      </c>
      <c r="T235" s="884">
        <f>IF(AND($AS$39="Early Payoff",J235&gt;=$S$13),0,IF($J235&lt;=$S$6,SUM($R$20:$R235),0))</f>
        <v>0</v>
      </c>
      <c r="U235" s="885">
        <f t="shared" si="82"/>
        <v>0</v>
      </c>
      <c r="V235" s="1110">
        <f t="shared" si="90"/>
        <v>0</v>
      </c>
      <c r="X235" s="1102">
        <f t="shared" si="83"/>
        <v>0</v>
      </c>
      <c r="Y235" s="873">
        <f t="shared" si="84"/>
        <v>0</v>
      </c>
      <c r="Z235" s="873">
        <f t="shared" si="85"/>
        <v>0</v>
      </c>
      <c r="AA235" s="885">
        <f t="shared" si="86"/>
        <v>0</v>
      </c>
    </row>
    <row r="236" spans="2:27" s="278" customFormat="1" ht="12" customHeight="1" x14ac:dyDescent="0.25">
      <c r="B236" s="1192" t="e">
        <f t="shared" si="91"/>
        <v>#N/A</v>
      </c>
      <c r="C236" s="732">
        <f t="shared" si="77"/>
        <v>31</v>
      </c>
      <c r="D236" s="35">
        <f t="shared" si="78"/>
        <v>8</v>
      </c>
      <c r="E236" s="889">
        <f t="shared" si="97"/>
        <v>85346</v>
      </c>
      <c r="F236" s="822">
        <f t="shared" si="79"/>
        <v>8</v>
      </c>
      <c r="G236" s="500">
        <f t="shared" si="92"/>
        <v>153</v>
      </c>
      <c r="H236" s="126">
        <f t="shared" si="80"/>
        <v>0</v>
      </c>
      <c r="I236" s="1098">
        <f t="shared" si="98"/>
        <v>1</v>
      </c>
      <c r="J236" s="887">
        <f t="shared" si="93"/>
        <v>217</v>
      </c>
      <c r="K236" s="1099">
        <f t="shared" si="87"/>
        <v>217</v>
      </c>
      <c r="L236" s="891" t="str">
        <f t="shared" si="88"/>
        <v>August</v>
      </c>
      <c r="M236" s="888">
        <f t="shared" si="94"/>
        <v>2133</v>
      </c>
      <c r="N236" s="883">
        <f t="shared" si="89"/>
        <v>0</v>
      </c>
      <c r="O236" s="883">
        <f t="shared" si="95"/>
        <v>0</v>
      </c>
      <c r="P236" s="1100"/>
      <c r="Q236" s="883">
        <f t="shared" si="81"/>
        <v>0</v>
      </c>
      <c r="R236" s="884">
        <f t="shared" si="96"/>
        <v>0</v>
      </c>
      <c r="S236" s="884">
        <f>IF(AND($AS$39="Early Payoff",J236&gt;=$S$13),0,IF($J236&lt;=$S$6,SUM($Q$20:$Q236),0))</f>
        <v>0</v>
      </c>
      <c r="T236" s="884">
        <f>IF(AND($AS$39="Early Payoff",J236&gt;=$S$13),0,IF($J236&lt;=$S$6,SUM($R$20:$R236),0))</f>
        <v>0</v>
      </c>
      <c r="U236" s="885">
        <f t="shared" si="82"/>
        <v>0</v>
      </c>
      <c r="V236" s="1110">
        <f t="shared" si="90"/>
        <v>0</v>
      </c>
      <c r="X236" s="1102">
        <f t="shared" si="83"/>
        <v>0</v>
      </c>
      <c r="Y236" s="873">
        <f t="shared" si="84"/>
        <v>0</v>
      </c>
      <c r="Z236" s="873">
        <f t="shared" si="85"/>
        <v>0</v>
      </c>
      <c r="AA236" s="885">
        <f t="shared" si="86"/>
        <v>0</v>
      </c>
    </row>
    <row r="237" spans="2:27" s="278" customFormat="1" ht="12" customHeight="1" x14ac:dyDescent="0.25">
      <c r="B237" s="1192" t="e">
        <f t="shared" si="91"/>
        <v>#N/A</v>
      </c>
      <c r="C237" s="732">
        <f t="shared" si="77"/>
        <v>31</v>
      </c>
      <c r="D237" s="35">
        <f t="shared" si="78"/>
        <v>3</v>
      </c>
      <c r="E237" s="889">
        <f t="shared" si="97"/>
        <v>85558</v>
      </c>
      <c r="F237" s="822">
        <f t="shared" si="79"/>
        <v>3</v>
      </c>
      <c r="G237" s="500">
        <f t="shared" si="92"/>
        <v>212</v>
      </c>
      <c r="H237" s="126">
        <f t="shared" si="80"/>
        <v>0</v>
      </c>
      <c r="I237" s="1098">
        <f t="shared" si="98"/>
        <v>0</v>
      </c>
      <c r="J237" s="887">
        <f t="shared" si="93"/>
        <v>218</v>
      </c>
      <c r="K237" s="1099">
        <f t="shared" si="87"/>
        <v>218</v>
      </c>
      <c r="L237" s="891" t="str">
        <f t="shared" si="88"/>
        <v>March</v>
      </c>
      <c r="M237" s="888">
        <f t="shared" si="94"/>
        <v>2134</v>
      </c>
      <c r="N237" s="883">
        <f t="shared" si="89"/>
        <v>0</v>
      </c>
      <c r="O237" s="883">
        <f t="shared" si="95"/>
        <v>0</v>
      </c>
      <c r="P237" s="1100"/>
      <c r="Q237" s="883">
        <f t="shared" si="81"/>
        <v>0</v>
      </c>
      <c r="R237" s="884">
        <f t="shared" si="96"/>
        <v>0</v>
      </c>
      <c r="S237" s="884">
        <f>IF(AND($AS$39="Early Payoff",J237&gt;=$S$13),0,IF($J237&lt;=$S$6,SUM($Q$20:$Q237),0))</f>
        <v>0</v>
      </c>
      <c r="T237" s="884">
        <f>IF(AND($AS$39="Early Payoff",J237&gt;=$S$13),0,IF($J237&lt;=$S$6,SUM($R$20:$R237),0))</f>
        <v>0</v>
      </c>
      <c r="U237" s="885">
        <f t="shared" si="82"/>
        <v>0</v>
      </c>
      <c r="V237" s="1110">
        <f t="shared" si="90"/>
        <v>0</v>
      </c>
      <c r="X237" s="1102">
        <f t="shared" si="83"/>
        <v>0</v>
      </c>
      <c r="Y237" s="873">
        <f t="shared" si="84"/>
        <v>0</v>
      </c>
      <c r="Z237" s="873">
        <f t="shared" si="85"/>
        <v>0</v>
      </c>
      <c r="AA237" s="885">
        <f t="shared" si="86"/>
        <v>0</v>
      </c>
    </row>
    <row r="238" spans="2:27" s="278" customFormat="1" ht="12" customHeight="1" x14ac:dyDescent="0.25">
      <c r="B238" s="1192" t="e">
        <f t="shared" si="91"/>
        <v>#N/A</v>
      </c>
      <c r="C238" s="732">
        <f t="shared" si="77"/>
        <v>31</v>
      </c>
      <c r="D238" s="35">
        <f t="shared" si="78"/>
        <v>8</v>
      </c>
      <c r="E238" s="889">
        <f t="shared" si="97"/>
        <v>85711</v>
      </c>
      <c r="F238" s="822">
        <f t="shared" si="79"/>
        <v>8</v>
      </c>
      <c r="G238" s="500">
        <f t="shared" si="92"/>
        <v>153</v>
      </c>
      <c r="H238" s="126">
        <f t="shared" si="80"/>
        <v>0</v>
      </c>
      <c r="I238" s="1098">
        <f t="shared" si="98"/>
        <v>1</v>
      </c>
      <c r="J238" s="887">
        <f t="shared" si="93"/>
        <v>219</v>
      </c>
      <c r="K238" s="1099">
        <f t="shared" si="87"/>
        <v>219</v>
      </c>
      <c r="L238" s="891" t="str">
        <f t="shared" si="88"/>
        <v>August</v>
      </c>
      <c r="M238" s="888">
        <f t="shared" si="94"/>
        <v>2134</v>
      </c>
      <c r="N238" s="883">
        <f t="shared" si="89"/>
        <v>0</v>
      </c>
      <c r="O238" s="883">
        <f t="shared" si="95"/>
        <v>0</v>
      </c>
      <c r="P238" s="1100"/>
      <c r="Q238" s="883">
        <f t="shared" si="81"/>
        <v>0</v>
      </c>
      <c r="R238" s="884">
        <f t="shared" si="96"/>
        <v>0</v>
      </c>
      <c r="S238" s="884">
        <f>IF(AND($AS$39="Early Payoff",J238&gt;=$S$13),0,IF($J238&lt;=$S$6,SUM($Q$20:$Q238),0))</f>
        <v>0</v>
      </c>
      <c r="T238" s="884">
        <f>IF(AND($AS$39="Early Payoff",J238&gt;=$S$13),0,IF($J238&lt;=$S$6,SUM($R$20:$R238),0))</f>
        <v>0</v>
      </c>
      <c r="U238" s="885">
        <f t="shared" si="82"/>
        <v>0</v>
      </c>
      <c r="V238" s="1110">
        <f t="shared" si="90"/>
        <v>0</v>
      </c>
      <c r="X238" s="1102">
        <f t="shared" si="83"/>
        <v>0</v>
      </c>
      <c r="Y238" s="873">
        <f t="shared" si="84"/>
        <v>0</v>
      </c>
      <c r="Z238" s="873">
        <f t="shared" si="85"/>
        <v>0</v>
      </c>
      <c r="AA238" s="885">
        <f t="shared" si="86"/>
        <v>0</v>
      </c>
    </row>
    <row r="239" spans="2:27" s="278" customFormat="1" ht="12" customHeight="1" x14ac:dyDescent="0.25">
      <c r="B239" s="1192" t="e">
        <f t="shared" si="91"/>
        <v>#N/A</v>
      </c>
      <c r="C239" s="732">
        <f t="shared" si="77"/>
        <v>31</v>
      </c>
      <c r="D239" s="35">
        <f t="shared" si="78"/>
        <v>3</v>
      </c>
      <c r="E239" s="889">
        <f t="shared" si="97"/>
        <v>85923</v>
      </c>
      <c r="F239" s="822">
        <f t="shared" si="79"/>
        <v>3</v>
      </c>
      <c r="G239" s="500">
        <f t="shared" si="92"/>
        <v>212</v>
      </c>
      <c r="H239" s="126">
        <f t="shared" si="80"/>
        <v>0</v>
      </c>
      <c r="I239" s="1098">
        <f t="shared" si="98"/>
        <v>0</v>
      </c>
      <c r="J239" s="887">
        <f t="shared" si="93"/>
        <v>220</v>
      </c>
      <c r="K239" s="1099">
        <f t="shared" si="87"/>
        <v>220</v>
      </c>
      <c r="L239" s="891" t="str">
        <f t="shared" si="88"/>
        <v>March</v>
      </c>
      <c r="M239" s="888">
        <f t="shared" si="94"/>
        <v>2135</v>
      </c>
      <c r="N239" s="883">
        <f t="shared" si="89"/>
        <v>0</v>
      </c>
      <c r="O239" s="883">
        <f t="shared" si="95"/>
        <v>0</v>
      </c>
      <c r="P239" s="1100"/>
      <c r="Q239" s="883">
        <f t="shared" si="81"/>
        <v>0</v>
      </c>
      <c r="R239" s="884">
        <f t="shared" si="96"/>
        <v>0</v>
      </c>
      <c r="S239" s="884">
        <f>IF(AND($AS$39="Early Payoff",J239&gt;=$S$13),0,IF($J239&lt;=$S$6,SUM($Q$20:$Q239),0))</f>
        <v>0</v>
      </c>
      <c r="T239" s="884">
        <f>IF(AND($AS$39="Early Payoff",J239&gt;=$S$13),0,IF($J239&lt;=$S$6,SUM($R$20:$R239),0))</f>
        <v>0</v>
      </c>
      <c r="U239" s="885">
        <f t="shared" si="82"/>
        <v>0</v>
      </c>
      <c r="V239" s="1110">
        <f t="shared" si="90"/>
        <v>0</v>
      </c>
      <c r="X239" s="1102">
        <f t="shared" si="83"/>
        <v>0</v>
      </c>
      <c r="Y239" s="873">
        <f t="shared" si="84"/>
        <v>0</v>
      </c>
      <c r="Z239" s="873">
        <f t="shared" si="85"/>
        <v>0</v>
      </c>
      <c r="AA239" s="885">
        <f t="shared" si="86"/>
        <v>0</v>
      </c>
    </row>
    <row r="240" spans="2:27" s="278" customFormat="1" ht="12" customHeight="1" x14ac:dyDescent="0.25">
      <c r="B240" s="1192" t="e">
        <f t="shared" si="91"/>
        <v>#N/A</v>
      </c>
      <c r="C240" s="732">
        <f t="shared" si="77"/>
        <v>31</v>
      </c>
      <c r="D240" s="35">
        <f t="shared" si="78"/>
        <v>8</v>
      </c>
      <c r="E240" s="889">
        <f t="shared" si="97"/>
        <v>86076</v>
      </c>
      <c r="F240" s="822">
        <f t="shared" si="79"/>
        <v>8</v>
      </c>
      <c r="G240" s="500">
        <f t="shared" si="92"/>
        <v>153</v>
      </c>
      <c r="H240" s="126">
        <f t="shared" si="80"/>
        <v>0</v>
      </c>
      <c r="I240" s="1098">
        <f t="shared" si="98"/>
        <v>1</v>
      </c>
      <c r="J240" s="887">
        <f t="shared" si="93"/>
        <v>221</v>
      </c>
      <c r="K240" s="1099">
        <f t="shared" si="87"/>
        <v>221</v>
      </c>
      <c r="L240" s="891" t="str">
        <f t="shared" si="88"/>
        <v>August</v>
      </c>
      <c r="M240" s="888">
        <f t="shared" si="94"/>
        <v>2135</v>
      </c>
      <c r="N240" s="883">
        <f t="shared" si="89"/>
        <v>0</v>
      </c>
      <c r="O240" s="883">
        <f t="shared" si="95"/>
        <v>0</v>
      </c>
      <c r="P240" s="1100"/>
      <c r="Q240" s="883">
        <f t="shared" si="81"/>
        <v>0</v>
      </c>
      <c r="R240" s="884">
        <f t="shared" si="96"/>
        <v>0</v>
      </c>
      <c r="S240" s="884">
        <f>IF(AND($AS$39="Early Payoff",J240&gt;=$S$13),0,IF($J240&lt;=$S$6,SUM($Q$20:$Q240),0))</f>
        <v>0</v>
      </c>
      <c r="T240" s="884">
        <f>IF(AND($AS$39="Early Payoff",J240&gt;=$S$13),0,IF($J240&lt;=$S$6,SUM($R$20:$R240),0))</f>
        <v>0</v>
      </c>
      <c r="U240" s="885">
        <f t="shared" si="82"/>
        <v>0</v>
      </c>
      <c r="V240" s="1110">
        <f t="shared" si="90"/>
        <v>0</v>
      </c>
      <c r="X240" s="1102">
        <f t="shared" si="83"/>
        <v>0</v>
      </c>
      <c r="Y240" s="873">
        <f t="shared" si="84"/>
        <v>0</v>
      </c>
      <c r="Z240" s="873">
        <f t="shared" si="85"/>
        <v>0</v>
      </c>
      <c r="AA240" s="885">
        <f t="shared" si="86"/>
        <v>0</v>
      </c>
    </row>
    <row r="241" spans="2:27" s="278" customFormat="1" ht="12" customHeight="1" x14ac:dyDescent="0.25">
      <c r="B241" s="1192" t="e">
        <f t="shared" si="91"/>
        <v>#N/A</v>
      </c>
      <c r="C241" s="732">
        <f t="shared" si="77"/>
        <v>31</v>
      </c>
      <c r="D241" s="35">
        <f t="shared" si="78"/>
        <v>3</v>
      </c>
      <c r="E241" s="889">
        <f t="shared" si="97"/>
        <v>86289</v>
      </c>
      <c r="F241" s="822">
        <f t="shared" si="79"/>
        <v>3</v>
      </c>
      <c r="G241" s="500">
        <f t="shared" si="92"/>
        <v>213</v>
      </c>
      <c r="H241" s="126">
        <f t="shared" si="80"/>
        <v>0</v>
      </c>
      <c r="I241" s="1098">
        <f t="shared" si="98"/>
        <v>0</v>
      </c>
      <c r="J241" s="887">
        <f t="shared" si="93"/>
        <v>222</v>
      </c>
      <c r="K241" s="1099">
        <f t="shared" si="87"/>
        <v>222</v>
      </c>
      <c r="L241" s="891" t="str">
        <f t="shared" si="88"/>
        <v>March</v>
      </c>
      <c r="M241" s="888">
        <f t="shared" si="94"/>
        <v>2136</v>
      </c>
      <c r="N241" s="883">
        <f t="shared" si="89"/>
        <v>0</v>
      </c>
      <c r="O241" s="883">
        <f t="shared" si="95"/>
        <v>0</v>
      </c>
      <c r="P241" s="1100"/>
      <c r="Q241" s="883">
        <f t="shared" si="81"/>
        <v>0</v>
      </c>
      <c r="R241" s="884">
        <f t="shared" si="96"/>
        <v>0</v>
      </c>
      <c r="S241" s="884">
        <f>IF(AND($AS$39="Early Payoff",J241&gt;=$S$13),0,IF($J241&lt;=$S$6,SUM($Q$20:$Q241),0))</f>
        <v>0</v>
      </c>
      <c r="T241" s="884">
        <f>IF(AND($AS$39="Early Payoff",J241&gt;=$S$13),0,IF($J241&lt;=$S$6,SUM($R$20:$R241),0))</f>
        <v>0</v>
      </c>
      <c r="U241" s="885">
        <f t="shared" si="82"/>
        <v>0</v>
      </c>
      <c r="V241" s="1110">
        <f t="shared" si="90"/>
        <v>0</v>
      </c>
      <c r="X241" s="1102">
        <f t="shared" si="83"/>
        <v>0</v>
      </c>
      <c r="Y241" s="873">
        <f t="shared" si="84"/>
        <v>0</v>
      </c>
      <c r="Z241" s="873">
        <f t="shared" si="85"/>
        <v>0</v>
      </c>
      <c r="AA241" s="885">
        <f t="shared" si="86"/>
        <v>0</v>
      </c>
    </row>
    <row r="242" spans="2:27" s="278" customFormat="1" ht="12" customHeight="1" x14ac:dyDescent="0.25">
      <c r="B242" s="1192" t="e">
        <f t="shared" si="91"/>
        <v>#N/A</v>
      </c>
      <c r="C242" s="732">
        <f t="shared" si="77"/>
        <v>31</v>
      </c>
      <c r="D242" s="35">
        <f t="shared" si="78"/>
        <v>8</v>
      </c>
      <c r="E242" s="889">
        <f t="shared" si="97"/>
        <v>86442</v>
      </c>
      <c r="F242" s="822">
        <f t="shared" si="79"/>
        <v>8</v>
      </c>
      <c r="G242" s="500">
        <f t="shared" si="92"/>
        <v>153</v>
      </c>
      <c r="H242" s="126">
        <f t="shared" si="80"/>
        <v>0</v>
      </c>
      <c r="I242" s="1098">
        <f t="shared" si="98"/>
        <v>1</v>
      </c>
      <c r="J242" s="887">
        <f t="shared" si="93"/>
        <v>223</v>
      </c>
      <c r="K242" s="1099">
        <f t="shared" si="87"/>
        <v>223</v>
      </c>
      <c r="L242" s="891" t="str">
        <f t="shared" si="88"/>
        <v>August</v>
      </c>
      <c r="M242" s="888">
        <f t="shared" si="94"/>
        <v>2136</v>
      </c>
      <c r="N242" s="883">
        <f t="shared" si="89"/>
        <v>0</v>
      </c>
      <c r="O242" s="883">
        <f t="shared" si="95"/>
        <v>0</v>
      </c>
      <c r="P242" s="1100"/>
      <c r="Q242" s="883">
        <f t="shared" si="81"/>
        <v>0</v>
      </c>
      <c r="R242" s="884">
        <f t="shared" si="96"/>
        <v>0</v>
      </c>
      <c r="S242" s="884">
        <f>IF(AND($AS$39="Early Payoff",J242&gt;=$S$13),0,IF($J242&lt;=$S$6,SUM($Q$20:$Q242),0))</f>
        <v>0</v>
      </c>
      <c r="T242" s="884">
        <f>IF(AND($AS$39="Early Payoff",J242&gt;=$S$13),0,IF($J242&lt;=$S$6,SUM($R$20:$R242),0))</f>
        <v>0</v>
      </c>
      <c r="U242" s="885">
        <f t="shared" si="82"/>
        <v>0</v>
      </c>
      <c r="V242" s="1110">
        <f t="shared" si="90"/>
        <v>0</v>
      </c>
      <c r="X242" s="1102">
        <f t="shared" si="83"/>
        <v>0</v>
      </c>
      <c r="Y242" s="873">
        <f t="shared" si="84"/>
        <v>0</v>
      </c>
      <c r="Z242" s="873">
        <f t="shared" si="85"/>
        <v>0</v>
      </c>
      <c r="AA242" s="885">
        <f t="shared" si="86"/>
        <v>0</v>
      </c>
    </row>
    <row r="243" spans="2:27" s="278" customFormat="1" ht="12" customHeight="1" x14ac:dyDescent="0.25">
      <c r="B243" s="1192" t="e">
        <f t="shared" si="91"/>
        <v>#N/A</v>
      </c>
      <c r="C243" s="732">
        <f t="shared" si="77"/>
        <v>31</v>
      </c>
      <c r="D243" s="35">
        <f t="shared" si="78"/>
        <v>3</v>
      </c>
      <c r="E243" s="889">
        <f t="shared" si="97"/>
        <v>86654</v>
      </c>
      <c r="F243" s="822">
        <f t="shared" si="79"/>
        <v>3</v>
      </c>
      <c r="G243" s="500">
        <f t="shared" si="92"/>
        <v>212</v>
      </c>
      <c r="H243" s="126">
        <f t="shared" si="80"/>
        <v>0</v>
      </c>
      <c r="I243" s="1098">
        <f t="shared" si="98"/>
        <v>0</v>
      </c>
      <c r="J243" s="887">
        <f t="shared" si="93"/>
        <v>224</v>
      </c>
      <c r="K243" s="1099">
        <f t="shared" si="87"/>
        <v>224</v>
      </c>
      <c r="L243" s="891" t="str">
        <f t="shared" si="88"/>
        <v>March</v>
      </c>
      <c r="M243" s="888">
        <f t="shared" si="94"/>
        <v>2137</v>
      </c>
      <c r="N243" s="883">
        <f t="shared" si="89"/>
        <v>0</v>
      </c>
      <c r="O243" s="883">
        <f t="shared" si="95"/>
        <v>0</v>
      </c>
      <c r="P243" s="1100"/>
      <c r="Q243" s="883">
        <f t="shared" si="81"/>
        <v>0</v>
      </c>
      <c r="R243" s="884">
        <f t="shared" si="96"/>
        <v>0</v>
      </c>
      <c r="S243" s="884">
        <f>IF(AND($AS$39="Early Payoff",J243&gt;=$S$13),0,IF($J243&lt;=$S$6,SUM($Q$20:$Q243),0))</f>
        <v>0</v>
      </c>
      <c r="T243" s="884">
        <f>IF(AND($AS$39="Early Payoff",J243&gt;=$S$13),0,IF($J243&lt;=$S$6,SUM($R$20:$R243),0))</f>
        <v>0</v>
      </c>
      <c r="U243" s="885">
        <f t="shared" si="82"/>
        <v>0</v>
      </c>
      <c r="V243" s="1110">
        <f t="shared" si="90"/>
        <v>0</v>
      </c>
      <c r="X243" s="1102">
        <f t="shared" si="83"/>
        <v>0</v>
      </c>
      <c r="Y243" s="873">
        <f t="shared" si="84"/>
        <v>0</v>
      </c>
      <c r="Z243" s="873">
        <f t="shared" si="85"/>
        <v>0</v>
      </c>
      <c r="AA243" s="885">
        <f t="shared" si="86"/>
        <v>0</v>
      </c>
    </row>
    <row r="244" spans="2:27" s="278" customFormat="1" ht="12" customHeight="1" x14ac:dyDescent="0.25">
      <c r="B244" s="1192" t="e">
        <f t="shared" si="91"/>
        <v>#N/A</v>
      </c>
      <c r="C244" s="732">
        <f t="shared" si="77"/>
        <v>31</v>
      </c>
      <c r="D244" s="35">
        <f t="shared" si="78"/>
        <v>8</v>
      </c>
      <c r="E244" s="889">
        <f t="shared" si="97"/>
        <v>86807</v>
      </c>
      <c r="F244" s="822">
        <f t="shared" si="79"/>
        <v>8</v>
      </c>
      <c r="G244" s="500">
        <f t="shared" si="92"/>
        <v>153</v>
      </c>
      <c r="H244" s="126">
        <f t="shared" si="80"/>
        <v>0</v>
      </c>
      <c r="I244" s="1098">
        <f t="shared" si="98"/>
        <v>1</v>
      </c>
      <c r="J244" s="887">
        <f t="shared" si="93"/>
        <v>225</v>
      </c>
      <c r="K244" s="1099">
        <f t="shared" si="87"/>
        <v>225</v>
      </c>
      <c r="L244" s="891" t="str">
        <f t="shared" si="88"/>
        <v>August</v>
      </c>
      <c r="M244" s="888">
        <f t="shared" si="94"/>
        <v>2137</v>
      </c>
      <c r="N244" s="883">
        <f t="shared" si="89"/>
        <v>0</v>
      </c>
      <c r="O244" s="883">
        <f t="shared" si="95"/>
        <v>0</v>
      </c>
      <c r="P244" s="1100"/>
      <c r="Q244" s="883">
        <f t="shared" si="81"/>
        <v>0</v>
      </c>
      <c r="R244" s="884">
        <f t="shared" si="96"/>
        <v>0</v>
      </c>
      <c r="S244" s="884">
        <f>IF(AND($AS$39="Early Payoff",J244&gt;=$S$13),0,IF($J244&lt;=$S$6,SUM($Q$20:$Q244),0))</f>
        <v>0</v>
      </c>
      <c r="T244" s="884">
        <f>IF(AND($AS$39="Early Payoff",J244&gt;=$S$13),0,IF($J244&lt;=$S$6,SUM($R$20:$R244),0))</f>
        <v>0</v>
      </c>
      <c r="U244" s="885">
        <f t="shared" si="82"/>
        <v>0</v>
      </c>
      <c r="V244" s="1110">
        <f t="shared" si="90"/>
        <v>0</v>
      </c>
      <c r="X244" s="1102">
        <f t="shared" si="83"/>
        <v>0</v>
      </c>
      <c r="Y244" s="873">
        <f t="shared" si="84"/>
        <v>0</v>
      </c>
      <c r="Z244" s="873">
        <f t="shared" si="85"/>
        <v>0</v>
      </c>
      <c r="AA244" s="885">
        <f t="shared" si="86"/>
        <v>0</v>
      </c>
    </row>
    <row r="245" spans="2:27" s="278" customFormat="1" ht="12" customHeight="1" x14ac:dyDescent="0.25">
      <c r="B245" s="1192" t="e">
        <f t="shared" si="91"/>
        <v>#N/A</v>
      </c>
      <c r="C245" s="732">
        <f t="shared" si="77"/>
        <v>31</v>
      </c>
      <c r="D245" s="35">
        <f t="shared" si="78"/>
        <v>3</v>
      </c>
      <c r="E245" s="889">
        <f t="shared" si="97"/>
        <v>87019</v>
      </c>
      <c r="F245" s="822">
        <f t="shared" si="79"/>
        <v>3</v>
      </c>
      <c r="G245" s="500">
        <f t="shared" si="92"/>
        <v>212</v>
      </c>
      <c r="H245" s="126">
        <f t="shared" si="80"/>
        <v>0</v>
      </c>
      <c r="I245" s="1098">
        <f t="shared" si="98"/>
        <v>0</v>
      </c>
      <c r="J245" s="887">
        <f t="shared" si="93"/>
        <v>226</v>
      </c>
      <c r="K245" s="1099">
        <f t="shared" si="87"/>
        <v>226</v>
      </c>
      <c r="L245" s="891" t="str">
        <f t="shared" si="88"/>
        <v>March</v>
      </c>
      <c r="M245" s="888">
        <f t="shared" si="94"/>
        <v>2138</v>
      </c>
      <c r="N245" s="883">
        <f t="shared" si="89"/>
        <v>0</v>
      </c>
      <c r="O245" s="883">
        <f t="shared" si="95"/>
        <v>0</v>
      </c>
      <c r="P245" s="1100"/>
      <c r="Q245" s="883">
        <f t="shared" si="81"/>
        <v>0</v>
      </c>
      <c r="R245" s="884">
        <f t="shared" si="96"/>
        <v>0</v>
      </c>
      <c r="S245" s="884">
        <f>IF(AND($AS$39="Early Payoff",J245&gt;=$S$13),0,IF($J245&lt;=$S$6,SUM($Q$20:$Q245),0))</f>
        <v>0</v>
      </c>
      <c r="T245" s="884">
        <f>IF(AND($AS$39="Early Payoff",J245&gt;=$S$13),0,IF($J245&lt;=$S$6,SUM($R$20:$R245),0))</f>
        <v>0</v>
      </c>
      <c r="U245" s="885">
        <f t="shared" si="82"/>
        <v>0</v>
      </c>
      <c r="V245" s="1110">
        <f t="shared" si="90"/>
        <v>0</v>
      </c>
      <c r="X245" s="1102">
        <f t="shared" si="83"/>
        <v>0</v>
      </c>
      <c r="Y245" s="873">
        <f t="shared" si="84"/>
        <v>0</v>
      </c>
      <c r="Z245" s="873">
        <f t="shared" si="85"/>
        <v>0</v>
      </c>
      <c r="AA245" s="885">
        <f t="shared" si="86"/>
        <v>0</v>
      </c>
    </row>
    <row r="246" spans="2:27" s="278" customFormat="1" ht="12" customHeight="1" x14ac:dyDescent="0.25">
      <c r="B246" s="1192" t="e">
        <f t="shared" si="91"/>
        <v>#N/A</v>
      </c>
      <c r="C246" s="732">
        <f t="shared" si="77"/>
        <v>31</v>
      </c>
      <c r="D246" s="35">
        <f t="shared" si="78"/>
        <v>8</v>
      </c>
      <c r="E246" s="889">
        <f t="shared" si="97"/>
        <v>87172</v>
      </c>
      <c r="F246" s="822">
        <f t="shared" si="79"/>
        <v>8</v>
      </c>
      <c r="G246" s="500">
        <f t="shared" si="92"/>
        <v>153</v>
      </c>
      <c r="H246" s="126">
        <f t="shared" si="80"/>
        <v>0</v>
      </c>
      <c r="I246" s="1098">
        <f t="shared" si="98"/>
        <v>1</v>
      </c>
      <c r="J246" s="887">
        <f t="shared" si="93"/>
        <v>227</v>
      </c>
      <c r="K246" s="1099">
        <f t="shared" si="87"/>
        <v>227</v>
      </c>
      <c r="L246" s="891" t="str">
        <f t="shared" si="88"/>
        <v>August</v>
      </c>
      <c r="M246" s="888">
        <f t="shared" si="94"/>
        <v>2138</v>
      </c>
      <c r="N246" s="883">
        <f t="shared" si="89"/>
        <v>0</v>
      </c>
      <c r="O246" s="883">
        <f t="shared" si="95"/>
        <v>0</v>
      </c>
      <c r="P246" s="1100"/>
      <c r="Q246" s="883">
        <f t="shared" si="81"/>
        <v>0</v>
      </c>
      <c r="R246" s="884">
        <f t="shared" si="96"/>
        <v>0</v>
      </c>
      <c r="S246" s="884">
        <f>IF(AND($AS$39="Early Payoff",J246&gt;=$S$13),0,IF($J246&lt;=$S$6,SUM($Q$20:$Q246),0))</f>
        <v>0</v>
      </c>
      <c r="T246" s="884">
        <f>IF(AND($AS$39="Early Payoff",J246&gt;=$S$13),0,IF($J246&lt;=$S$6,SUM($R$20:$R246),0))</f>
        <v>0</v>
      </c>
      <c r="U246" s="885">
        <f t="shared" si="82"/>
        <v>0</v>
      </c>
      <c r="V246" s="1110">
        <f t="shared" si="90"/>
        <v>0</v>
      </c>
      <c r="X246" s="1102">
        <f t="shared" si="83"/>
        <v>0</v>
      </c>
      <c r="Y246" s="873">
        <f t="shared" si="84"/>
        <v>0</v>
      </c>
      <c r="Z246" s="873">
        <f t="shared" si="85"/>
        <v>0</v>
      </c>
      <c r="AA246" s="885">
        <f t="shared" si="86"/>
        <v>0</v>
      </c>
    </row>
    <row r="247" spans="2:27" s="278" customFormat="1" ht="12" customHeight="1" x14ac:dyDescent="0.25">
      <c r="B247" s="1192" t="e">
        <f t="shared" si="91"/>
        <v>#N/A</v>
      </c>
      <c r="C247" s="732">
        <f t="shared" si="77"/>
        <v>31</v>
      </c>
      <c r="D247" s="35">
        <f t="shared" si="78"/>
        <v>3</v>
      </c>
      <c r="E247" s="889">
        <f t="shared" si="97"/>
        <v>87384</v>
      </c>
      <c r="F247" s="822">
        <f t="shared" si="79"/>
        <v>3</v>
      </c>
      <c r="G247" s="500">
        <f t="shared" si="92"/>
        <v>212</v>
      </c>
      <c r="H247" s="126">
        <f t="shared" si="80"/>
        <v>0</v>
      </c>
      <c r="I247" s="1098">
        <f t="shared" si="98"/>
        <v>0</v>
      </c>
      <c r="J247" s="887">
        <f t="shared" si="93"/>
        <v>228</v>
      </c>
      <c r="K247" s="1099">
        <f t="shared" si="87"/>
        <v>228</v>
      </c>
      <c r="L247" s="891" t="str">
        <f t="shared" si="88"/>
        <v>March</v>
      </c>
      <c r="M247" s="888">
        <f t="shared" si="94"/>
        <v>2139</v>
      </c>
      <c r="N247" s="883">
        <f t="shared" si="89"/>
        <v>0</v>
      </c>
      <c r="O247" s="883">
        <f t="shared" si="95"/>
        <v>0</v>
      </c>
      <c r="P247" s="1100"/>
      <c r="Q247" s="883">
        <f t="shared" si="81"/>
        <v>0</v>
      </c>
      <c r="R247" s="884">
        <f t="shared" si="96"/>
        <v>0</v>
      </c>
      <c r="S247" s="884">
        <f>IF(AND($AS$39="Early Payoff",J247&gt;=$S$13),0,IF($J247&lt;=$S$6,SUM($Q$20:$Q247),0))</f>
        <v>0</v>
      </c>
      <c r="T247" s="884">
        <f>IF(AND($AS$39="Early Payoff",J247&gt;=$S$13),0,IF($J247&lt;=$S$6,SUM($R$20:$R247),0))</f>
        <v>0</v>
      </c>
      <c r="U247" s="885">
        <f t="shared" si="82"/>
        <v>0</v>
      </c>
      <c r="V247" s="1110">
        <f t="shared" si="90"/>
        <v>0</v>
      </c>
      <c r="X247" s="1102">
        <f t="shared" si="83"/>
        <v>0</v>
      </c>
      <c r="Y247" s="873">
        <f t="shared" si="84"/>
        <v>0</v>
      </c>
      <c r="Z247" s="873">
        <f t="shared" si="85"/>
        <v>0</v>
      </c>
      <c r="AA247" s="885">
        <f t="shared" si="86"/>
        <v>0</v>
      </c>
    </row>
    <row r="248" spans="2:27" s="278" customFormat="1" ht="12" customHeight="1" x14ac:dyDescent="0.25">
      <c r="B248" s="1192" t="e">
        <f t="shared" si="91"/>
        <v>#N/A</v>
      </c>
      <c r="C248" s="732">
        <f t="shared" si="77"/>
        <v>31</v>
      </c>
      <c r="D248" s="35">
        <f t="shared" si="78"/>
        <v>8</v>
      </c>
      <c r="E248" s="889">
        <f t="shared" si="97"/>
        <v>87537</v>
      </c>
      <c r="F248" s="822">
        <f t="shared" si="79"/>
        <v>8</v>
      </c>
      <c r="G248" s="500">
        <f t="shared" si="92"/>
        <v>153</v>
      </c>
      <c r="H248" s="126">
        <f t="shared" si="80"/>
        <v>0</v>
      </c>
      <c r="I248" s="1098">
        <f t="shared" si="98"/>
        <v>1</v>
      </c>
      <c r="J248" s="887">
        <f t="shared" si="93"/>
        <v>229</v>
      </c>
      <c r="K248" s="1099">
        <f t="shared" si="87"/>
        <v>229</v>
      </c>
      <c r="L248" s="891" t="str">
        <f t="shared" si="88"/>
        <v>August</v>
      </c>
      <c r="M248" s="888">
        <f t="shared" si="94"/>
        <v>2139</v>
      </c>
      <c r="N248" s="883">
        <f t="shared" si="89"/>
        <v>0</v>
      </c>
      <c r="O248" s="883">
        <f t="shared" si="95"/>
        <v>0</v>
      </c>
      <c r="P248" s="1100"/>
      <c r="Q248" s="883">
        <f t="shared" si="81"/>
        <v>0</v>
      </c>
      <c r="R248" s="884">
        <f t="shared" si="96"/>
        <v>0</v>
      </c>
      <c r="S248" s="884">
        <f>IF(AND($AS$39="Early Payoff",J248&gt;=$S$13),0,IF($J248&lt;=$S$6,SUM($Q$20:$Q248),0))</f>
        <v>0</v>
      </c>
      <c r="T248" s="884">
        <f>IF(AND($AS$39="Early Payoff",J248&gt;=$S$13),0,IF($J248&lt;=$S$6,SUM($R$20:$R248),0))</f>
        <v>0</v>
      </c>
      <c r="U248" s="885">
        <f t="shared" si="82"/>
        <v>0</v>
      </c>
      <c r="V248" s="1110">
        <f t="shared" si="90"/>
        <v>0</v>
      </c>
      <c r="X248" s="1102">
        <f t="shared" si="83"/>
        <v>0</v>
      </c>
      <c r="Y248" s="873">
        <f t="shared" si="84"/>
        <v>0</v>
      </c>
      <c r="Z248" s="873">
        <f t="shared" si="85"/>
        <v>0</v>
      </c>
      <c r="AA248" s="885">
        <f t="shared" si="86"/>
        <v>0</v>
      </c>
    </row>
    <row r="249" spans="2:27" s="278" customFormat="1" ht="12" customHeight="1" x14ac:dyDescent="0.25">
      <c r="B249" s="1192" t="e">
        <f t="shared" si="91"/>
        <v>#N/A</v>
      </c>
      <c r="C249" s="732">
        <f t="shared" si="77"/>
        <v>31</v>
      </c>
      <c r="D249" s="35">
        <f t="shared" si="78"/>
        <v>3</v>
      </c>
      <c r="E249" s="889">
        <f t="shared" si="97"/>
        <v>87750</v>
      </c>
      <c r="F249" s="822">
        <f t="shared" si="79"/>
        <v>3</v>
      </c>
      <c r="G249" s="500">
        <f t="shared" si="92"/>
        <v>213</v>
      </c>
      <c r="H249" s="126">
        <f t="shared" si="80"/>
        <v>0</v>
      </c>
      <c r="I249" s="1098">
        <f t="shared" si="98"/>
        <v>0</v>
      </c>
      <c r="J249" s="887">
        <f t="shared" si="93"/>
        <v>230</v>
      </c>
      <c r="K249" s="1099">
        <f t="shared" si="87"/>
        <v>230</v>
      </c>
      <c r="L249" s="891" t="str">
        <f t="shared" si="88"/>
        <v>March</v>
      </c>
      <c r="M249" s="888">
        <f t="shared" si="94"/>
        <v>2140</v>
      </c>
      <c r="N249" s="883">
        <f t="shared" si="89"/>
        <v>0</v>
      </c>
      <c r="O249" s="883">
        <f t="shared" si="95"/>
        <v>0</v>
      </c>
      <c r="P249" s="1100"/>
      <c r="Q249" s="883">
        <f t="shared" si="81"/>
        <v>0</v>
      </c>
      <c r="R249" s="884">
        <f t="shared" si="96"/>
        <v>0</v>
      </c>
      <c r="S249" s="884">
        <f>IF(AND($AS$39="Early Payoff",J249&gt;=$S$13),0,IF($J249&lt;=$S$6,SUM($Q$20:$Q249),0))</f>
        <v>0</v>
      </c>
      <c r="T249" s="884">
        <f>IF(AND($AS$39="Early Payoff",J249&gt;=$S$13),0,IF($J249&lt;=$S$6,SUM($R$20:$R249),0))</f>
        <v>0</v>
      </c>
      <c r="U249" s="885">
        <f t="shared" si="82"/>
        <v>0</v>
      </c>
      <c r="V249" s="1110">
        <f t="shared" si="90"/>
        <v>0</v>
      </c>
      <c r="X249" s="1102">
        <f t="shared" si="83"/>
        <v>0</v>
      </c>
      <c r="Y249" s="873">
        <f t="shared" si="84"/>
        <v>0</v>
      </c>
      <c r="Z249" s="873">
        <f t="shared" si="85"/>
        <v>0</v>
      </c>
      <c r="AA249" s="885">
        <f t="shared" si="86"/>
        <v>0</v>
      </c>
    </row>
    <row r="250" spans="2:27" s="278" customFormat="1" ht="12" customHeight="1" x14ac:dyDescent="0.25">
      <c r="B250" s="1192" t="e">
        <f t="shared" si="91"/>
        <v>#N/A</v>
      </c>
      <c r="C250" s="732">
        <f t="shared" si="77"/>
        <v>31</v>
      </c>
      <c r="D250" s="35">
        <f t="shared" si="78"/>
        <v>8</v>
      </c>
      <c r="E250" s="889">
        <f t="shared" si="97"/>
        <v>87903</v>
      </c>
      <c r="F250" s="822">
        <f t="shared" si="79"/>
        <v>8</v>
      </c>
      <c r="G250" s="500">
        <f t="shared" si="92"/>
        <v>153</v>
      </c>
      <c r="H250" s="126">
        <f t="shared" si="80"/>
        <v>0</v>
      </c>
      <c r="I250" s="1098">
        <f t="shared" si="98"/>
        <v>1</v>
      </c>
      <c r="J250" s="887">
        <f t="shared" si="93"/>
        <v>231</v>
      </c>
      <c r="K250" s="1099">
        <f t="shared" si="87"/>
        <v>231</v>
      </c>
      <c r="L250" s="891" t="str">
        <f t="shared" si="88"/>
        <v>August</v>
      </c>
      <c r="M250" s="888">
        <f t="shared" si="94"/>
        <v>2140</v>
      </c>
      <c r="N250" s="883">
        <f t="shared" si="89"/>
        <v>0</v>
      </c>
      <c r="O250" s="883">
        <f t="shared" si="95"/>
        <v>0</v>
      </c>
      <c r="P250" s="1100"/>
      <c r="Q250" s="883">
        <f t="shared" si="81"/>
        <v>0</v>
      </c>
      <c r="R250" s="884">
        <f t="shared" si="96"/>
        <v>0</v>
      </c>
      <c r="S250" s="884">
        <f>IF(AND($AS$39="Early Payoff",J250&gt;=$S$13),0,IF($J250&lt;=$S$6,SUM($Q$20:$Q250),0))</f>
        <v>0</v>
      </c>
      <c r="T250" s="884">
        <f>IF(AND($AS$39="Early Payoff",J250&gt;=$S$13),0,IF($J250&lt;=$S$6,SUM($R$20:$R250),0))</f>
        <v>0</v>
      </c>
      <c r="U250" s="885">
        <f t="shared" si="82"/>
        <v>0</v>
      </c>
      <c r="V250" s="1110">
        <f t="shared" si="90"/>
        <v>0</v>
      </c>
      <c r="X250" s="1102">
        <f t="shared" si="83"/>
        <v>0</v>
      </c>
      <c r="Y250" s="873">
        <f t="shared" si="84"/>
        <v>0</v>
      </c>
      <c r="Z250" s="873">
        <f t="shared" si="85"/>
        <v>0</v>
      </c>
      <c r="AA250" s="885">
        <f t="shared" si="86"/>
        <v>0</v>
      </c>
    </row>
    <row r="251" spans="2:27" s="278" customFormat="1" ht="12" customHeight="1" x14ac:dyDescent="0.25">
      <c r="B251" s="1192" t="e">
        <f t="shared" si="91"/>
        <v>#N/A</v>
      </c>
      <c r="C251" s="732">
        <f t="shared" si="77"/>
        <v>31</v>
      </c>
      <c r="D251" s="35">
        <f t="shared" si="78"/>
        <v>3</v>
      </c>
      <c r="E251" s="889">
        <f t="shared" si="97"/>
        <v>88115</v>
      </c>
      <c r="F251" s="822">
        <f t="shared" si="79"/>
        <v>3</v>
      </c>
      <c r="G251" s="500">
        <f t="shared" si="92"/>
        <v>212</v>
      </c>
      <c r="H251" s="126">
        <f t="shared" si="80"/>
        <v>0</v>
      </c>
      <c r="I251" s="1098">
        <f t="shared" si="98"/>
        <v>0</v>
      </c>
      <c r="J251" s="887">
        <f t="shared" si="93"/>
        <v>232</v>
      </c>
      <c r="K251" s="1099">
        <f t="shared" si="87"/>
        <v>232</v>
      </c>
      <c r="L251" s="891" t="str">
        <f t="shared" si="88"/>
        <v>March</v>
      </c>
      <c r="M251" s="888">
        <f t="shared" si="94"/>
        <v>2141</v>
      </c>
      <c r="N251" s="883">
        <f t="shared" si="89"/>
        <v>0</v>
      </c>
      <c r="O251" s="883">
        <f t="shared" si="95"/>
        <v>0</v>
      </c>
      <c r="P251" s="1100"/>
      <c r="Q251" s="883">
        <f t="shared" si="81"/>
        <v>0</v>
      </c>
      <c r="R251" s="884">
        <f t="shared" si="96"/>
        <v>0</v>
      </c>
      <c r="S251" s="884">
        <f>IF(AND($AS$39="Early Payoff",J251&gt;=$S$13),0,IF($J251&lt;=$S$6,SUM($Q$20:$Q251),0))</f>
        <v>0</v>
      </c>
      <c r="T251" s="884">
        <f>IF(AND($AS$39="Early Payoff",J251&gt;=$S$13),0,IF($J251&lt;=$S$6,SUM($R$20:$R251),0))</f>
        <v>0</v>
      </c>
      <c r="U251" s="885">
        <f t="shared" si="82"/>
        <v>0</v>
      </c>
      <c r="V251" s="1110">
        <f t="shared" si="90"/>
        <v>0</v>
      </c>
      <c r="X251" s="1102">
        <f t="shared" si="83"/>
        <v>0</v>
      </c>
      <c r="Y251" s="873">
        <f t="shared" si="84"/>
        <v>0</v>
      </c>
      <c r="Z251" s="873">
        <f t="shared" si="85"/>
        <v>0</v>
      </c>
      <c r="AA251" s="885">
        <f t="shared" si="86"/>
        <v>0</v>
      </c>
    </row>
    <row r="252" spans="2:27" s="278" customFormat="1" ht="12" customHeight="1" x14ac:dyDescent="0.25">
      <c r="B252" s="1192" t="e">
        <f t="shared" si="91"/>
        <v>#N/A</v>
      </c>
      <c r="C252" s="732">
        <f t="shared" si="77"/>
        <v>31</v>
      </c>
      <c r="D252" s="35">
        <f t="shared" si="78"/>
        <v>8</v>
      </c>
      <c r="E252" s="889">
        <f t="shared" si="97"/>
        <v>88268</v>
      </c>
      <c r="F252" s="822">
        <f t="shared" si="79"/>
        <v>8</v>
      </c>
      <c r="G252" s="500">
        <f t="shared" si="92"/>
        <v>153</v>
      </c>
      <c r="H252" s="126">
        <f t="shared" si="80"/>
        <v>0</v>
      </c>
      <c r="I252" s="1098">
        <f t="shared" si="98"/>
        <v>1</v>
      </c>
      <c r="J252" s="887">
        <f t="shared" si="93"/>
        <v>233</v>
      </c>
      <c r="K252" s="1099">
        <f t="shared" si="87"/>
        <v>233</v>
      </c>
      <c r="L252" s="891" t="str">
        <f t="shared" si="88"/>
        <v>August</v>
      </c>
      <c r="M252" s="888">
        <f t="shared" si="94"/>
        <v>2141</v>
      </c>
      <c r="N252" s="883">
        <f t="shared" si="89"/>
        <v>0</v>
      </c>
      <c r="O252" s="883">
        <f t="shared" si="95"/>
        <v>0</v>
      </c>
      <c r="P252" s="1100"/>
      <c r="Q252" s="883">
        <f t="shared" si="81"/>
        <v>0</v>
      </c>
      <c r="R252" s="884">
        <f t="shared" si="96"/>
        <v>0</v>
      </c>
      <c r="S252" s="884">
        <f>IF(AND($AS$39="Early Payoff",J252&gt;=$S$13),0,IF($J252&lt;=$S$6,SUM($Q$20:$Q252),0))</f>
        <v>0</v>
      </c>
      <c r="T252" s="884">
        <f>IF(AND($AS$39="Early Payoff",J252&gt;=$S$13),0,IF($J252&lt;=$S$6,SUM($R$20:$R252),0))</f>
        <v>0</v>
      </c>
      <c r="U252" s="885">
        <f t="shared" si="82"/>
        <v>0</v>
      </c>
      <c r="V252" s="1110">
        <f t="shared" si="90"/>
        <v>0</v>
      </c>
      <c r="X252" s="1102">
        <f t="shared" si="83"/>
        <v>0</v>
      </c>
      <c r="Y252" s="873">
        <f t="shared" si="84"/>
        <v>0</v>
      </c>
      <c r="Z252" s="873">
        <f t="shared" si="85"/>
        <v>0</v>
      </c>
      <c r="AA252" s="885">
        <f t="shared" si="86"/>
        <v>0</v>
      </c>
    </row>
    <row r="253" spans="2:27" s="278" customFormat="1" ht="12" customHeight="1" x14ac:dyDescent="0.25">
      <c r="B253" s="1192" t="e">
        <f t="shared" si="91"/>
        <v>#N/A</v>
      </c>
      <c r="C253" s="732">
        <f t="shared" si="77"/>
        <v>31</v>
      </c>
      <c r="D253" s="35">
        <f t="shared" si="78"/>
        <v>3</v>
      </c>
      <c r="E253" s="889">
        <f t="shared" si="97"/>
        <v>88480</v>
      </c>
      <c r="F253" s="822">
        <f t="shared" si="79"/>
        <v>3</v>
      </c>
      <c r="G253" s="500">
        <f t="shared" si="92"/>
        <v>212</v>
      </c>
      <c r="H253" s="126">
        <f t="shared" si="80"/>
        <v>0</v>
      </c>
      <c r="I253" s="1098">
        <f t="shared" si="98"/>
        <v>0</v>
      </c>
      <c r="J253" s="887">
        <f t="shared" si="93"/>
        <v>234</v>
      </c>
      <c r="K253" s="1099">
        <f t="shared" si="87"/>
        <v>234</v>
      </c>
      <c r="L253" s="891" t="str">
        <f t="shared" si="88"/>
        <v>March</v>
      </c>
      <c r="M253" s="888">
        <f t="shared" si="94"/>
        <v>2142</v>
      </c>
      <c r="N253" s="883">
        <f t="shared" si="89"/>
        <v>0</v>
      </c>
      <c r="O253" s="883">
        <f t="shared" si="95"/>
        <v>0</v>
      </c>
      <c r="P253" s="1100"/>
      <c r="Q253" s="883">
        <f t="shared" si="81"/>
        <v>0</v>
      </c>
      <c r="R253" s="884">
        <f t="shared" si="96"/>
        <v>0</v>
      </c>
      <c r="S253" s="884">
        <f>IF(AND($AS$39="Early Payoff",J253&gt;=$S$13),0,IF($J253&lt;=$S$6,SUM($Q$20:$Q253),0))</f>
        <v>0</v>
      </c>
      <c r="T253" s="884">
        <f>IF(AND($AS$39="Early Payoff",J253&gt;=$S$13),0,IF($J253&lt;=$S$6,SUM($R$20:$R253),0))</f>
        <v>0</v>
      </c>
      <c r="U253" s="885">
        <f t="shared" si="82"/>
        <v>0</v>
      </c>
      <c r="V253" s="1110">
        <f t="shared" si="90"/>
        <v>0</v>
      </c>
      <c r="X253" s="1102">
        <f t="shared" si="83"/>
        <v>0</v>
      </c>
      <c r="Y253" s="873">
        <f t="shared" si="84"/>
        <v>0</v>
      </c>
      <c r="Z253" s="873">
        <f t="shared" si="85"/>
        <v>0</v>
      </c>
      <c r="AA253" s="885">
        <f t="shared" si="86"/>
        <v>0</v>
      </c>
    </row>
    <row r="254" spans="2:27" s="278" customFormat="1" ht="12" customHeight="1" x14ac:dyDescent="0.25">
      <c r="B254" s="1192" t="e">
        <f t="shared" si="91"/>
        <v>#N/A</v>
      </c>
      <c r="C254" s="732">
        <f t="shared" si="77"/>
        <v>31</v>
      </c>
      <c r="D254" s="35">
        <f t="shared" si="78"/>
        <v>8</v>
      </c>
      <c r="E254" s="889">
        <f t="shared" si="97"/>
        <v>88633</v>
      </c>
      <c r="F254" s="822">
        <f t="shared" si="79"/>
        <v>8</v>
      </c>
      <c r="G254" s="500">
        <f t="shared" si="92"/>
        <v>153</v>
      </c>
      <c r="H254" s="126">
        <f t="shared" si="80"/>
        <v>0</v>
      </c>
      <c r="I254" s="1098">
        <f t="shared" si="98"/>
        <v>1</v>
      </c>
      <c r="J254" s="887">
        <f t="shared" si="93"/>
        <v>235</v>
      </c>
      <c r="K254" s="1099">
        <f t="shared" si="87"/>
        <v>235</v>
      </c>
      <c r="L254" s="891" t="str">
        <f t="shared" si="88"/>
        <v>August</v>
      </c>
      <c r="M254" s="888">
        <f t="shared" si="94"/>
        <v>2142</v>
      </c>
      <c r="N254" s="883">
        <f t="shared" si="89"/>
        <v>0</v>
      </c>
      <c r="O254" s="883">
        <f t="shared" si="95"/>
        <v>0</v>
      </c>
      <c r="P254" s="1100"/>
      <c r="Q254" s="883">
        <f t="shared" si="81"/>
        <v>0</v>
      </c>
      <c r="R254" s="884">
        <f t="shared" si="96"/>
        <v>0</v>
      </c>
      <c r="S254" s="884">
        <f>IF(AND($AS$39="Early Payoff",J254&gt;=$S$13),0,IF($J254&lt;=$S$6,SUM($Q$20:$Q254),0))</f>
        <v>0</v>
      </c>
      <c r="T254" s="884">
        <f>IF(AND($AS$39="Early Payoff",J254&gt;=$S$13),0,IF($J254&lt;=$S$6,SUM($R$20:$R254),0))</f>
        <v>0</v>
      </c>
      <c r="U254" s="885">
        <f t="shared" si="82"/>
        <v>0</v>
      </c>
      <c r="V254" s="1110">
        <f t="shared" si="90"/>
        <v>0</v>
      </c>
      <c r="X254" s="1102">
        <f t="shared" si="83"/>
        <v>0</v>
      </c>
      <c r="Y254" s="873">
        <f t="shared" si="84"/>
        <v>0</v>
      </c>
      <c r="Z254" s="873">
        <f t="shared" si="85"/>
        <v>0</v>
      </c>
      <c r="AA254" s="885">
        <f t="shared" si="86"/>
        <v>0</v>
      </c>
    </row>
    <row r="255" spans="2:27" s="278" customFormat="1" ht="12" customHeight="1" x14ac:dyDescent="0.25">
      <c r="B255" s="1192" t="e">
        <f t="shared" si="91"/>
        <v>#N/A</v>
      </c>
      <c r="C255" s="732">
        <f t="shared" si="77"/>
        <v>31</v>
      </c>
      <c r="D255" s="35">
        <f t="shared" si="78"/>
        <v>3</v>
      </c>
      <c r="E255" s="889">
        <f t="shared" si="97"/>
        <v>88845</v>
      </c>
      <c r="F255" s="822">
        <f t="shared" si="79"/>
        <v>3</v>
      </c>
      <c r="G255" s="500">
        <f t="shared" si="92"/>
        <v>212</v>
      </c>
      <c r="H255" s="126">
        <f t="shared" si="80"/>
        <v>0</v>
      </c>
      <c r="I255" s="1098">
        <f t="shared" si="98"/>
        <v>0</v>
      </c>
      <c r="J255" s="887">
        <f t="shared" si="93"/>
        <v>236</v>
      </c>
      <c r="K255" s="1099">
        <f t="shared" si="87"/>
        <v>236</v>
      </c>
      <c r="L255" s="891" t="str">
        <f t="shared" si="88"/>
        <v>March</v>
      </c>
      <c r="M255" s="888">
        <f t="shared" si="94"/>
        <v>2143</v>
      </c>
      <c r="N255" s="883">
        <f t="shared" si="89"/>
        <v>0</v>
      </c>
      <c r="O255" s="883">
        <f t="shared" si="95"/>
        <v>0</v>
      </c>
      <c r="P255" s="1100"/>
      <c r="Q255" s="883">
        <f t="shared" si="81"/>
        <v>0</v>
      </c>
      <c r="R255" s="884">
        <f t="shared" si="96"/>
        <v>0</v>
      </c>
      <c r="S255" s="884">
        <f>IF(AND($AS$39="Early Payoff",J255&gt;=$S$13),0,IF($J255&lt;=$S$6,SUM($Q$20:$Q255),0))</f>
        <v>0</v>
      </c>
      <c r="T255" s="884">
        <f>IF(AND($AS$39="Early Payoff",J255&gt;=$S$13),0,IF($J255&lt;=$S$6,SUM($R$20:$R255),0))</f>
        <v>0</v>
      </c>
      <c r="U255" s="885">
        <f t="shared" si="82"/>
        <v>0</v>
      </c>
      <c r="V255" s="1110">
        <f t="shared" si="90"/>
        <v>0</v>
      </c>
      <c r="X255" s="1102">
        <f t="shared" si="83"/>
        <v>0</v>
      </c>
      <c r="Y255" s="873">
        <f t="shared" si="84"/>
        <v>0</v>
      </c>
      <c r="Z255" s="873">
        <f t="shared" si="85"/>
        <v>0</v>
      </c>
      <c r="AA255" s="885">
        <f t="shared" si="86"/>
        <v>0</v>
      </c>
    </row>
    <row r="256" spans="2:27" s="278" customFormat="1" ht="12" customHeight="1" x14ac:dyDescent="0.25">
      <c r="B256" s="1192" t="e">
        <f t="shared" si="91"/>
        <v>#N/A</v>
      </c>
      <c r="C256" s="732">
        <f t="shared" si="77"/>
        <v>31</v>
      </c>
      <c r="D256" s="35">
        <f t="shared" si="78"/>
        <v>8</v>
      </c>
      <c r="E256" s="889">
        <f t="shared" si="97"/>
        <v>88998</v>
      </c>
      <c r="F256" s="822">
        <f t="shared" si="79"/>
        <v>8</v>
      </c>
      <c r="G256" s="500">
        <f t="shared" si="92"/>
        <v>153</v>
      </c>
      <c r="H256" s="126">
        <f t="shared" si="80"/>
        <v>0</v>
      </c>
      <c r="I256" s="1098">
        <f t="shared" si="98"/>
        <v>1</v>
      </c>
      <c r="J256" s="887">
        <f t="shared" si="93"/>
        <v>237</v>
      </c>
      <c r="K256" s="1099">
        <f t="shared" si="87"/>
        <v>237</v>
      </c>
      <c r="L256" s="891" t="str">
        <f t="shared" si="88"/>
        <v>August</v>
      </c>
      <c r="M256" s="888">
        <f t="shared" si="94"/>
        <v>2143</v>
      </c>
      <c r="N256" s="883">
        <f t="shared" si="89"/>
        <v>0</v>
      </c>
      <c r="O256" s="883">
        <f t="shared" si="95"/>
        <v>0</v>
      </c>
      <c r="P256" s="1100"/>
      <c r="Q256" s="883">
        <f t="shared" si="81"/>
        <v>0</v>
      </c>
      <c r="R256" s="884">
        <f t="shared" si="96"/>
        <v>0</v>
      </c>
      <c r="S256" s="884">
        <f>IF(AND($AS$39="Early Payoff",J256&gt;=$S$13),0,IF($J256&lt;=$S$6,SUM($Q$20:$Q256),0))</f>
        <v>0</v>
      </c>
      <c r="T256" s="884">
        <f>IF(AND($AS$39="Early Payoff",J256&gt;=$S$13),0,IF($J256&lt;=$S$6,SUM($R$20:$R256),0))</f>
        <v>0</v>
      </c>
      <c r="U256" s="885">
        <f t="shared" si="82"/>
        <v>0</v>
      </c>
      <c r="V256" s="1110">
        <f t="shared" si="90"/>
        <v>0</v>
      </c>
      <c r="X256" s="1102">
        <f t="shared" si="83"/>
        <v>0</v>
      </c>
      <c r="Y256" s="873">
        <f t="shared" si="84"/>
        <v>0</v>
      </c>
      <c r="Z256" s="873">
        <f t="shared" si="85"/>
        <v>0</v>
      </c>
      <c r="AA256" s="885">
        <f t="shared" si="86"/>
        <v>0</v>
      </c>
    </row>
    <row r="257" spans="2:27" s="278" customFormat="1" ht="12" customHeight="1" x14ac:dyDescent="0.25">
      <c r="B257" s="1192" t="e">
        <f t="shared" si="91"/>
        <v>#N/A</v>
      </c>
      <c r="C257" s="732">
        <f t="shared" si="77"/>
        <v>31</v>
      </c>
      <c r="D257" s="35">
        <f t="shared" si="78"/>
        <v>3</v>
      </c>
      <c r="E257" s="889">
        <f t="shared" si="97"/>
        <v>89211</v>
      </c>
      <c r="F257" s="822">
        <f t="shared" si="79"/>
        <v>3</v>
      </c>
      <c r="G257" s="500">
        <f t="shared" si="92"/>
        <v>213</v>
      </c>
      <c r="H257" s="126">
        <f t="shared" si="80"/>
        <v>0</v>
      </c>
      <c r="I257" s="1098">
        <f t="shared" si="98"/>
        <v>0</v>
      </c>
      <c r="J257" s="887">
        <f t="shared" si="93"/>
        <v>238</v>
      </c>
      <c r="K257" s="1099">
        <f t="shared" si="87"/>
        <v>238</v>
      </c>
      <c r="L257" s="891" t="str">
        <f t="shared" si="88"/>
        <v>March</v>
      </c>
      <c r="M257" s="888">
        <f t="shared" si="94"/>
        <v>2144</v>
      </c>
      <c r="N257" s="883">
        <f t="shared" si="89"/>
        <v>0</v>
      </c>
      <c r="O257" s="883">
        <f t="shared" si="95"/>
        <v>0</v>
      </c>
      <c r="P257" s="1100"/>
      <c r="Q257" s="883">
        <f t="shared" si="81"/>
        <v>0</v>
      </c>
      <c r="R257" s="884">
        <f t="shared" si="96"/>
        <v>0</v>
      </c>
      <c r="S257" s="884">
        <f>IF(AND($AS$39="Early Payoff",J257&gt;=$S$13),0,IF($J257&lt;=$S$6,SUM($Q$20:$Q257),0))</f>
        <v>0</v>
      </c>
      <c r="T257" s="884">
        <f>IF(AND($AS$39="Early Payoff",J257&gt;=$S$13),0,IF($J257&lt;=$S$6,SUM($R$20:$R257),0))</f>
        <v>0</v>
      </c>
      <c r="U257" s="885">
        <f t="shared" si="82"/>
        <v>0</v>
      </c>
      <c r="V257" s="1110">
        <f t="shared" si="90"/>
        <v>0</v>
      </c>
      <c r="X257" s="1102">
        <f t="shared" si="83"/>
        <v>0</v>
      </c>
      <c r="Y257" s="873">
        <f t="shared" si="84"/>
        <v>0</v>
      </c>
      <c r="Z257" s="873">
        <f t="shared" si="85"/>
        <v>0</v>
      </c>
      <c r="AA257" s="885">
        <f t="shared" si="86"/>
        <v>0</v>
      </c>
    </row>
    <row r="258" spans="2:27" s="278" customFormat="1" ht="12" customHeight="1" x14ac:dyDescent="0.25">
      <c r="B258" s="1192" t="e">
        <f t="shared" si="91"/>
        <v>#N/A</v>
      </c>
      <c r="C258" s="732">
        <f t="shared" si="77"/>
        <v>31</v>
      </c>
      <c r="D258" s="35">
        <f t="shared" si="78"/>
        <v>8</v>
      </c>
      <c r="E258" s="889">
        <f t="shared" si="97"/>
        <v>89364</v>
      </c>
      <c r="F258" s="822">
        <f t="shared" si="79"/>
        <v>8</v>
      </c>
      <c r="G258" s="500">
        <f t="shared" si="92"/>
        <v>153</v>
      </c>
      <c r="H258" s="126">
        <f t="shared" si="80"/>
        <v>0</v>
      </c>
      <c r="I258" s="1098">
        <f t="shared" si="98"/>
        <v>1</v>
      </c>
      <c r="J258" s="887">
        <f t="shared" si="93"/>
        <v>239</v>
      </c>
      <c r="K258" s="1099">
        <f t="shared" si="87"/>
        <v>239</v>
      </c>
      <c r="L258" s="891" t="str">
        <f t="shared" si="88"/>
        <v>August</v>
      </c>
      <c r="M258" s="888">
        <f t="shared" si="94"/>
        <v>2144</v>
      </c>
      <c r="N258" s="883">
        <f t="shared" si="89"/>
        <v>0</v>
      </c>
      <c r="O258" s="883">
        <f t="shared" si="95"/>
        <v>0</v>
      </c>
      <c r="P258" s="1100"/>
      <c r="Q258" s="883">
        <f t="shared" si="81"/>
        <v>0</v>
      </c>
      <c r="R258" s="884">
        <f t="shared" si="96"/>
        <v>0</v>
      </c>
      <c r="S258" s="884">
        <f>IF(AND($AS$39="Early Payoff",J258&gt;=$S$13),0,IF($J258&lt;=$S$6,SUM($Q$20:$Q258),0))</f>
        <v>0</v>
      </c>
      <c r="T258" s="884">
        <f>IF(AND($AS$39="Early Payoff",J258&gt;=$S$13),0,IF($J258&lt;=$S$6,SUM($R$20:$R258),0))</f>
        <v>0</v>
      </c>
      <c r="U258" s="885">
        <f t="shared" si="82"/>
        <v>0</v>
      </c>
      <c r="V258" s="1110">
        <f t="shared" si="90"/>
        <v>0</v>
      </c>
      <c r="X258" s="1102">
        <f t="shared" si="83"/>
        <v>0</v>
      </c>
      <c r="Y258" s="873">
        <f t="shared" si="84"/>
        <v>0</v>
      </c>
      <c r="Z258" s="873">
        <f t="shared" si="85"/>
        <v>0</v>
      </c>
      <c r="AA258" s="885">
        <f t="shared" si="86"/>
        <v>0</v>
      </c>
    </row>
    <row r="259" spans="2:27" s="278" customFormat="1" ht="12" customHeight="1" x14ac:dyDescent="0.25">
      <c r="B259" s="1192" t="e">
        <f t="shared" si="91"/>
        <v>#N/A</v>
      </c>
      <c r="C259" s="732">
        <f t="shared" si="77"/>
        <v>31</v>
      </c>
      <c r="D259" s="35">
        <f t="shared" si="78"/>
        <v>3</v>
      </c>
      <c r="E259" s="889">
        <f t="shared" si="97"/>
        <v>89576</v>
      </c>
      <c r="F259" s="822">
        <f t="shared" si="79"/>
        <v>3</v>
      </c>
      <c r="G259" s="500">
        <f t="shared" si="92"/>
        <v>212</v>
      </c>
      <c r="H259" s="126">
        <f t="shared" si="80"/>
        <v>0</v>
      </c>
      <c r="I259" s="1098">
        <f t="shared" si="98"/>
        <v>0</v>
      </c>
      <c r="J259" s="887">
        <f t="shared" si="93"/>
        <v>240</v>
      </c>
      <c r="K259" s="1099">
        <f t="shared" si="87"/>
        <v>240</v>
      </c>
      <c r="L259" s="891" t="str">
        <f t="shared" si="88"/>
        <v>March</v>
      </c>
      <c r="M259" s="888">
        <f t="shared" si="94"/>
        <v>2145</v>
      </c>
      <c r="N259" s="883">
        <f t="shared" si="89"/>
        <v>0</v>
      </c>
      <c r="O259" s="883">
        <f t="shared" si="95"/>
        <v>0</v>
      </c>
      <c r="P259" s="1100"/>
      <c r="Q259" s="883">
        <f t="shared" si="81"/>
        <v>0</v>
      </c>
      <c r="R259" s="884">
        <f t="shared" si="96"/>
        <v>0</v>
      </c>
      <c r="S259" s="884">
        <f>IF(AND($AS$39="Early Payoff",J259&gt;=$S$13),0,IF($J259&lt;=$S$6,SUM($Q$20:$Q259),0))</f>
        <v>0</v>
      </c>
      <c r="T259" s="884">
        <f>IF(AND($AS$39="Early Payoff",J259&gt;=$S$13),0,IF($J259&lt;=$S$6,SUM($R$20:$R259),0))</f>
        <v>0</v>
      </c>
      <c r="U259" s="885">
        <f t="shared" si="82"/>
        <v>0</v>
      </c>
      <c r="V259" s="1110">
        <f t="shared" si="90"/>
        <v>0</v>
      </c>
      <c r="X259" s="1102">
        <f t="shared" si="83"/>
        <v>0</v>
      </c>
      <c r="Y259" s="873">
        <f t="shared" si="84"/>
        <v>0</v>
      </c>
      <c r="Z259" s="873">
        <f t="shared" si="85"/>
        <v>0</v>
      </c>
      <c r="AA259" s="885">
        <f t="shared" si="86"/>
        <v>0</v>
      </c>
    </row>
    <row r="260" spans="2:27" s="278" customFormat="1" ht="12" customHeight="1" x14ac:dyDescent="0.25">
      <c r="B260" s="1192" t="e">
        <f t="shared" si="91"/>
        <v>#N/A</v>
      </c>
      <c r="C260" s="732">
        <f t="shared" si="77"/>
        <v>31</v>
      </c>
      <c r="D260" s="35">
        <f t="shared" si="78"/>
        <v>8</v>
      </c>
      <c r="E260" s="889">
        <f t="shared" si="97"/>
        <v>89729</v>
      </c>
      <c r="F260" s="822">
        <f t="shared" si="79"/>
        <v>8</v>
      </c>
      <c r="G260" s="500">
        <f t="shared" si="92"/>
        <v>153</v>
      </c>
      <c r="H260" s="126">
        <f t="shared" si="80"/>
        <v>0</v>
      </c>
      <c r="I260" s="1098">
        <f t="shared" si="98"/>
        <v>1</v>
      </c>
      <c r="J260" s="887">
        <f t="shared" si="93"/>
        <v>241</v>
      </c>
      <c r="K260" s="1099">
        <f t="shared" si="87"/>
        <v>241</v>
      </c>
      <c r="L260" s="891" t="str">
        <f t="shared" si="88"/>
        <v>August</v>
      </c>
      <c r="M260" s="888">
        <f t="shared" si="94"/>
        <v>2145</v>
      </c>
      <c r="N260" s="883">
        <f t="shared" si="89"/>
        <v>0</v>
      </c>
      <c r="O260" s="883">
        <f t="shared" si="95"/>
        <v>0</v>
      </c>
      <c r="P260" s="1100"/>
      <c r="Q260" s="883">
        <f t="shared" si="81"/>
        <v>0</v>
      </c>
      <c r="R260" s="884">
        <f t="shared" si="96"/>
        <v>0</v>
      </c>
      <c r="S260" s="884">
        <f>IF(AND($AS$39="Early Payoff",J260&gt;=$S$13),0,IF($J260&lt;=$S$6,SUM($Q$20:$Q260),0))</f>
        <v>0</v>
      </c>
      <c r="T260" s="884">
        <f>IF(AND($AS$39="Early Payoff",J260&gt;=$S$13),0,IF($J260&lt;=$S$6,SUM($R$20:$R260),0))</f>
        <v>0</v>
      </c>
      <c r="U260" s="885">
        <f t="shared" si="82"/>
        <v>0</v>
      </c>
      <c r="V260" s="1110">
        <f t="shared" si="90"/>
        <v>0</v>
      </c>
      <c r="X260" s="1102">
        <f t="shared" si="83"/>
        <v>0</v>
      </c>
      <c r="Y260" s="873">
        <f t="shared" si="84"/>
        <v>0</v>
      </c>
      <c r="Z260" s="873">
        <f t="shared" si="85"/>
        <v>0</v>
      </c>
      <c r="AA260" s="885">
        <f t="shared" si="86"/>
        <v>0</v>
      </c>
    </row>
    <row r="261" spans="2:27" s="278" customFormat="1" ht="12" customHeight="1" x14ac:dyDescent="0.25">
      <c r="B261" s="1192" t="e">
        <f t="shared" si="91"/>
        <v>#N/A</v>
      </c>
      <c r="C261" s="732">
        <f t="shared" si="77"/>
        <v>31</v>
      </c>
      <c r="D261" s="35">
        <f t="shared" si="78"/>
        <v>3</v>
      </c>
      <c r="E261" s="889">
        <f t="shared" si="97"/>
        <v>89941</v>
      </c>
      <c r="F261" s="822">
        <f t="shared" si="79"/>
        <v>3</v>
      </c>
      <c r="G261" s="500">
        <f t="shared" si="92"/>
        <v>212</v>
      </c>
      <c r="H261" s="126">
        <f t="shared" si="80"/>
        <v>0</v>
      </c>
      <c r="I261" s="1098">
        <f t="shared" si="98"/>
        <v>0</v>
      </c>
      <c r="J261" s="887">
        <f t="shared" si="93"/>
        <v>242</v>
      </c>
      <c r="K261" s="1099">
        <f t="shared" si="87"/>
        <v>242</v>
      </c>
      <c r="L261" s="891" t="str">
        <f t="shared" si="88"/>
        <v>March</v>
      </c>
      <c r="M261" s="888">
        <f t="shared" si="94"/>
        <v>2146</v>
      </c>
      <c r="N261" s="883">
        <f t="shared" si="89"/>
        <v>0</v>
      </c>
      <c r="O261" s="883">
        <f t="shared" si="95"/>
        <v>0</v>
      </c>
      <c r="P261" s="1100"/>
      <c r="Q261" s="883">
        <f t="shared" si="81"/>
        <v>0</v>
      </c>
      <c r="R261" s="884">
        <f t="shared" si="96"/>
        <v>0</v>
      </c>
      <c r="S261" s="884">
        <f>IF(AND($AS$39="Early Payoff",J261&gt;=$S$13),0,IF($J261&lt;=$S$6,SUM($Q$20:$Q261),0))</f>
        <v>0</v>
      </c>
      <c r="T261" s="884">
        <f>IF(AND($AS$39="Early Payoff",J261&gt;=$S$13),0,IF($J261&lt;=$S$6,SUM($R$20:$R261),0))</f>
        <v>0</v>
      </c>
      <c r="U261" s="885">
        <f t="shared" si="82"/>
        <v>0</v>
      </c>
      <c r="V261" s="1110">
        <f t="shared" si="90"/>
        <v>0</v>
      </c>
      <c r="X261" s="1102">
        <f t="shared" si="83"/>
        <v>0</v>
      </c>
      <c r="Y261" s="873">
        <f t="shared" si="84"/>
        <v>0</v>
      </c>
      <c r="Z261" s="873">
        <f t="shared" si="85"/>
        <v>0</v>
      </c>
      <c r="AA261" s="885">
        <f t="shared" si="86"/>
        <v>0</v>
      </c>
    </row>
    <row r="262" spans="2:27" s="278" customFormat="1" ht="12" customHeight="1" x14ac:dyDescent="0.25">
      <c r="B262" s="1192" t="e">
        <f t="shared" si="91"/>
        <v>#N/A</v>
      </c>
      <c r="C262" s="732">
        <f t="shared" si="77"/>
        <v>31</v>
      </c>
      <c r="D262" s="35">
        <f t="shared" si="78"/>
        <v>8</v>
      </c>
      <c r="E262" s="889">
        <f t="shared" si="97"/>
        <v>90094</v>
      </c>
      <c r="F262" s="822">
        <f t="shared" si="79"/>
        <v>8</v>
      </c>
      <c r="G262" s="500">
        <f t="shared" si="92"/>
        <v>153</v>
      </c>
      <c r="H262" s="126">
        <f t="shared" si="80"/>
        <v>0</v>
      </c>
      <c r="I262" s="1098">
        <f t="shared" si="98"/>
        <v>1</v>
      </c>
      <c r="J262" s="887">
        <f t="shared" si="93"/>
        <v>243</v>
      </c>
      <c r="K262" s="1099">
        <f t="shared" si="87"/>
        <v>243</v>
      </c>
      <c r="L262" s="891" t="str">
        <f t="shared" si="88"/>
        <v>August</v>
      </c>
      <c r="M262" s="888">
        <f t="shared" si="94"/>
        <v>2146</v>
      </c>
      <c r="N262" s="883">
        <f t="shared" si="89"/>
        <v>0</v>
      </c>
      <c r="O262" s="883">
        <f t="shared" si="95"/>
        <v>0</v>
      </c>
      <c r="P262" s="1100"/>
      <c r="Q262" s="883">
        <f t="shared" si="81"/>
        <v>0</v>
      </c>
      <c r="R262" s="884">
        <f t="shared" si="96"/>
        <v>0</v>
      </c>
      <c r="S262" s="884">
        <f>IF(AND($AS$39="Early Payoff",J262&gt;=$S$13),0,IF($J262&lt;=$S$6,SUM($Q$20:$Q262),0))</f>
        <v>0</v>
      </c>
      <c r="T262" s="884">
        <f>IF(AND($AS$39="Early Payoff",J262&gt;=$S$13),0,IF($J262&lt;=$S$6,SUM($R$20:$R262),0))</f>
        <v>0</v>
      </c>
      <c r="U262" s="885">
        <f t="shared" si="82"/>
        <v>0</v>
      </c>
      <c r="V262" s="1110">
        <f t="shared" si="90"/>
        <v>0</v>
      </c>
      <c r="X262" s="1102">
        <f t="shared" si="83"/>
        <v>0</v>
      </c>
      <c r="Y262" s="873">
        <f t="shared" si="84"/>
        <v>0</v>
      </c>
      <c r="Z262" s="873">
        <f t="shared" si="85"/>
        <v>0</v>
      </c>
      <c r="AA262" s="885">
        <f t="shared" si="86"/>
        <v>0</v>
      </c>
    </row>
    <row r="263" spans="2:27" s="278" customFormat="1" ht="12" customHeight="1" x14ac:dyDescent="0.25">
      <c r="B263" s="1192" t="e">
        <f t="shared" si="91"/>
        <v>#N/A</v>
      </c>
      <c r="C263" s="732">
        <f t="shared" si="77"/>
        <v>31</v>
      </c>
      <c r="D263" s="35">
        <f t="shared" si="78"/>
        <v>3</v>
      </c>
      <c r="E263" s="889">
        <f t="shared" si="97"/>
        <v>90306</v>
      </c>
      <c r="F263" s="822">
        <f t="shared" si="79"/>
        <v>3</v>
      </c>
      <c r="G263" s="500">
        <f t="shared" si="92"/>
        <v>212</v>
      </c>
      <c r="H263" s="126">
        <f t="shared" si="80"/>
        <v>0</v>
      </c>
      <c r="I263" s="1098">
        <f t="shared" si="98"/>
        <v>0</v>
      </c>
      <c r="J263" s="887">
        <f t="shared" si="93"/>
        <v>244</v>
      </c>
      <c r="K263" s="1099">
        <f t="shared" si="87"/>
        <v>244</v>
      </c>
      <c r="L263" s="891" t="str">
        <f t="shared" si="88"/>
        <v>March</v>
      </c>
      <c r="M263" s="888">
        <f t="shared" si="94"/>
        <v>2147</v>
      </c>
      <c r="N263" s="883">
        <f t="shared" si="89"/>
        <v>0</v>
      </c>
      <c r="O263" s="883">
        <f t="shared" si="95"/>
        <v>0</v>
      </c>
      <c r="P263" s="1100"/>
      <c r="Q263" s="883">
        <f t="shared" si="81"/>
        <v>0</v>
      </c>
      <c r="R263" s="884">
        <f t="shared" si="96"/>
        <v>0</v>
      </c>
      <c r="S263" s="884">
        <f>IF(AND($AS$39="Early Payoff",J263&gt;=$S$13),0,IF($J263&lt;=$S$6,SUM($Q$20:$Q263),0))</f>
        <v>0</v>
      </c>
      <c r="T263" s="884">
        <f>IF(AND($AS$39="Early Payoff",J263&gt;=$S$13),0,IF($J263&lt;=$S$6,SUM($R$20:$R263),0))</f>
        <v>0</v>
      </c>
      <c r="U263" s="885">
        <f t="shared" si="82"/>
        <v>0</v>
      </c>
      <c r="V263" s="1110">
        <f t="shared" si="90"/>
        <v>0</v>
      </c>
      <c r="X263" s="1102">
        <f t="shared" si="83"/>
        <v>0</v>
      </c>
      <c r="Y263" s="873">
        <f t="shared" si="84"/>
        <v>0</v>
      </c>
      <c r="Z263" s="873">
        <f t="shared" si="85"/>
        <v>0</v>
      </c>
      <c r="AA263" s="885">
        <f t="shared" si="86"/>
        <v>0</v>
      </c>
    </row>
    <row r="264" spans="2:27" s="278" customFormat="1" ht="12" customHeight="1" x14ac:dyDescent="0.25">
      <c r="B264" s="1192" t="e">
        <f t="shared" si="91"/>
        <v>#N/A</v>
      </c>
      <c r="C264" s="732">
        <f t="shared" si="77"/>
        <v>31</v>
      </c>
      <c r="D264" s="35">
        <f t="shared" si="78"/>
        <v>8</v>
      </c>
      <c r="E264" s="889">
        <f t="shared" si="97"/>
        <v>90459</v>
      </c>
      <c r="F264" s="822">
        <f t="shared" si="79"/>
        <v>8</v>
      </c>
      <c r="G264" s="500">
        <f t="shared" si="92"/>
        <v>153</v>
      </c>
      <c r="H264" s="126">
        <f t="shared" si="80"/>
        <v>0</v>
      </c>
      <c r="I264" s="1098">
        <f t="shared" si="98"/>
        <v>1</v>
      </c>
      <c r="J264" s="887">
        <f t="shared" si="93"/>
        <v>245</v>
      </c>
      <c r="K264" s="1099">
        <f t="shared" si="87"/>
        <v>245</v>
      </c>
      <c r="L264" s="891" t="str">
        <f t="shared" si="88"/>
        <v>August</v>
      </c>
      <c r="M264" s="888">
        <f t="shared" si="94"/>
        <v>2147</v>
      </c>
      <c r="N264" s="883">
        <f t="shared" si="89"/>
        <v>0</v>
      </c>
      <c r="O264" s="883">
        <f t="shared" si="95"/>
        <v>0</v>
      </c>
      <c r="P264" s="1100"/>
      <c r="Q264" s="883">
        <f t="shared" si="81"/>
        <v>0</v>
      </c>
      <c r="R264" s="884">
        <f t="shared" si="96"/>
        <v>0</v>
      </c>
      <c r="S264" s="884">
        <f>IF(AND($AS$39="Early Payoff",J264&gt;=$S$13),0,IF($J264&lt;=$S$6,SUM($Q$20:$Q264),0))</f>
        <v>0</v>
      </c>
      <c r="T264" s="884">
        <f>IF(AND($AS$39="Early Payoff",J264&gt;=$S$13),0,IF($J264&lt;=$S$6,SUM($R$20:$R264),0))</f>
        <v>0</v>
      </c>
      <c r="U264" s="885">
        <f t="shared" si="82"/>
        <v>0</v>
      </c>
      <c r="V264" s="1110">
        <f t="shared" si="90"/>
        <v>0</v>
      </c>
      <c r="X264" s="1102">
        <f t="shared" si="83"/>
        <v>0</v>
      </c>
      <c r="Y264" s="873">
        <f t="shared" si="84"/>
        <v>0</v>
      </c>
      <c r="Z264" s="873">
        <f t="shared" si="85"/>
        <v>0</v>
      </c>
      <c r="AA264" s="885">
        <f t="shared" si="86"/>
        <v>0</v>
      </c>
    </row>
    <row r="265" spans="2:27" s="278" customFormat="1" ht="12" customHeight="1" x14ac:dyDescent="0.25">
      <c r="B265" s="1192" t="e">
        <f t="shared" si="91"/>
        <v>#N/A</v>
      </c>
      <c r="C265" s="732">
        <f t="shared" si="77"/>
        <v>31</v>
      </c>
      <c r="D265" s="35">
        <f t="shared" si="78"/>
        <v>3</v>
      </c>
      <c r="E265" s="889">
        <f t="shared" si="97"/>
        <v>90672</v>
      </c>
      <c r="F265" s="822">
        <f t="shared" si="79"/>
        <v>3</v>
      </c>
      <c r="G265" s="500">
        <f t="shared" si="92"/>
        <v>213</v>
      </c>
      <c r="H265" s="126">
        <f t="shared" si="80"/>
        <v>0</v>
      </c>
      <c r="I265" s="1098">
        <f t="shared" si="98"/>
        <v>0</v>
      </c>
      <c r="J265" s="887">
        <f t="shared" si="93"/>
        <v>246</v>
      </c>
      <c r="K265" s="1099">
        <f t="shared" si="87"/>
        <v>246</v>
      </c>
      <c r="L265" s="891" t="str">
        <f t="shared" si="88"/>
        <v>March</v>
      </c>
      <c r="M265" s="888">
        <f t="shared" si="94"/>
        <v>2148</v>
      </c>
      <c r="N265" s="883">
        <f t="shared" si="89"/>
        <v>0</v>
      </c>
      <c r="O265" s="883">
        <f t="shared" si="95"/>
        <v>0</v>
      </c>
      <c r="P265" s="1100"/>
      <c r="Q265" s="883">
        <f t="shared" si="81"/>
        <v>0</v>
      </c>
      <c r="R265" s="884">
        <f t="shared" si="96"/>
        <v>0</v>
      </c>
      <c r="S265" s="884">
        <f>IF(AND($AS$39="Early Payoff",J265&gt;=$S$13),0,IF($J265&lt;=$S$6,SUM($Q$20:$Q265),0))</f>
        <v>0</v>
      </c>
      <c r="T265" s="884">
        <f>IF(AND($AS$39="Early Payoff",J265&gt;=$S$13),0,IF($J265&lt;=$S$6,SUM($R$20:$R265),0))</f>
        <v>0</v>
      </c>
      <c r="U265" s="885">
        <f t="shared" si="82"/>
        <v>0</v>
      </c>
      <c r="V265" s="1110">
        <f t="shared" si="90"/>
        <v>0</v>
      </c>
      <c r="X265" s="1102">
        <f t="shared" si="83"/>
        <v>0</v>
      </c>
      <c r="Y265" s="873">
        <f t="shared" si="84"/>
        <v>0</v>
      </c>
      <c r="Z265" s="873">
        <f t="shared" si="85"/>
        <v>0</v>
      </c>
      <c r="AA265" s="885">
        <f t="shared" si="86"/>
        <v>0</v>
      </c>
    </row>
    <row r="266" spans="2:27" s="278" customFormat="1" ht="12" customHeight="1" x14ac:dyDescent="0.25">
      <c r="B266" s="1192" t="e">
        <f t="shared" si="91"/>
        <v>#N/A</v>
      </c>
      <c r="C266" s="732">
        <f t="shared" si="77"/>
        <v>31</v>
      </c>
      <c r="D266" s="35">
        <f t="shared" si="78"/>
        <v>8</v>
      </c>
      <c r="E266" s="889">
        <f t="shared" si="97"/>
        <v>90825</v>
      </c>
      <c r="F266" s="822">
        <f t="shared" si="79"/>
        <v>8</v>
      </c>
      <c r="G266" s="500">
        <f t="shared" si="92"/>
        <v>153</v>
      </c>
      <c r="H266" s="126">
        <f t="shared" si="80"/>
        <v>0</v>
      </c>
      <c r="I266" s="1098">
        <f t="shared" si="98"/>
        <v>1</v>
      </c>
      <c r="J266" s="887">
        <f t="shared" si="93"/>
        <v>247</v>
      </c>
      <c r="K266" s="1099">
        <f t="shared" si="87"/>
        <v>247</v>
      </c>
      <c r="L266" s="891" t="str">
        <f t="shared" si="88"/>
        <v>August</v>
      </c>
      <c r="M266" s="888">
        <f t="shared" si="94"/>
        <v>2148</v>
      </c>
      <c r="N266" s="883">
        <f t="shared" si="89"/>
        <v>0</v>
      </c>
      <c r="O266" s="883">
        <f t="shared" si="95"/>
        <v>0</v>
      </c>
      <c r="P266" s="1100"/>
      <c r="Q266" s="883">
        <f t="shared" si="81"/>
        <v>0</v>
      </c>
      <c r="R266" s="884">
        <f t="shared" si="96"/>
        <v>0</v>
      </c>
      <c r="S266" s="884">
        <f>IF(AND($AS$39="Early Payoff",J266&gt;=$S$13),0,IF($J266&lt;=$S$6,SUM($Q$20:$Q266),0))</f>
        <v>0</v>
      </c>
      <c r="T266" s="884">
        <f>IF(AND($AS$39="Early Payoff",J266&gt;=$S$13),0,IF($J266&lt;=$S$6,SUM($R$20:$R266),0))</f>
        <v>0</v>
      </c>
      <c r="U266" s="885">
        <f t="shared" si="82"/>
        <v>0</v>
      </c>
      <c r="V266" s="1110">
        <f t="shared" si="90"/>
        <v>0</v>
      </c>
      <c r="X266" s="1102">
        <f t="shared" si="83"/>
        <v>0</v>
      </c>
      <c r="Y266" s="873">
        <f t="shared" si="84"/>
        <v>0</v>
      </c>
      <c r="Z266" s="873">
        <f t="shared" si="85"/>
        <v>0</v>
      </c>
      <c r="AA266" s="885">
        <f t="shared" si="86"/>
        <v>0</v>
      </c>
    </row>
    <row r="267" spans="2:27" s="278" customFormat="1" ht="12" customHeight="1" x14ac:dyDescent="0.25">
      <c r="B267" s="1192" t="e">
        <f t="shared" si="91"/>
        <v>#N/A</v>
      </c>
      <c r="C267" s="732">
        <f t="shared" si="77"/>
        <v>31</v>
      </c>
      <c r="D267" s="35">
        <f t="shared" si="78"/>
        <v>3</v>
      </c>
      <c r="E267" s="889">
        <f t="shared" si="97"/>
        <v>91037</v>
      </c>
      <c r="F267" s="822">
        <f t="shared" si="79"/>
        <v>3</v>
      </c>
      <c r="G267" s="500">
        <f t="shared" si="92"/>
        <v>212</v>
      </c>
      <c r="H267" s="126">
        <f t="shared" si="80"/>
        <v>0</v>
      </c>
      <c r="I267" s="1098">
        <f t="shared" si="98"/>
        <v>0</v>
      </c>
      <c r="J267" s="887">
        <f t="shared" si="93"/>
        <v>248</v>
      </c>
      <c r="K267" s="1099">
        <f t="shared" si="87"/>
        <v>248</v>
      </c>
      <c r="L267" s="891" t="str">
        <f t="shared" si="88"/>
        <v>March</v>
      </c>
      <c r="M267" s="888">
        <f t="shared" si="94"/>
        <v>2149</v>
      </c>
      <c r="N267" s="883">
        <f t="shared" si="89"/>
        <v>0</v>
      </c>
      <c r="O267" s="883">
        <f t="shared" si="95"/>
        <v>0</v>
      </c>
      <c r="P267" s="1100"/>
      <c r="Q267" s="883">
        <f t="shared" si="81"/>
        <v>0</v>
      </c>
      <c r="R267" s="884">
        <f t="shared" si="96"/>
        <v>0</v>
      </c>
      <c r="S267" s="884">
        <f>IF(AND($AS$39="Early Payoff",J267&gt;=$S$13),0,IF($J267&lt;=$S$6,SUM($Q$20:$Q267),0))</f>
        <v>0</v>
      </c>
      <c r="T267" s="884">
        <f>IF(AND($AS$39="Early Payoff",J267&gt;=$S$13),0,IF($J267&lt;=$S$6,SUM($R$20:$R267),0))</f>
        <v>0</v>
      </c>
      <c r="U267" s="885">
        <f t="shared" si="82"/>
        <v>0</v>
      </c>
      <c r="V267" s="1110">
        <f t="shared" si="90"/>
        <v>0</v>
      </c>
      <c r="X267" s="1102">
        <f t="shared" si="83"/>
        <v>0</v>
      </c>
      <c r="Y267" s="873">
        <f t="shared" si="84"/>
        <v>0</v>
      </c>
      <c r="Z267" s="873">
        <f t="shared" si="85"/>
        <v>0</v>
      </c>
      <c r="AA267" s="885">
        <f t="shared" si="86"/>
        <v>0</v>
      </c>
    </row>
    <row r="268" spans="2:27" s="278" customFormat="1" ht="12" customHeight="1" x14ac:dyDescent="0.25">
      <c r="B268" s="1192" t="e">
        <f t="shared" si="91"/>
        <v>#N/A</v>
      </c>
      <c r="C268" s="732">
        <f t="shared" si="77"/>
        <v>31</v>
      </c>
      <c r="D268" s="35">
        <f t="shared" si="78"/>
        <v>8</v>
      </c>
      <c r="E268" s="889">
        <f t="shared" si="97"/>
        <v>91190</v>
      </c>
      <c r="F268" s="822">
        <f t="shared" si="79"/>
        <v>8</v>
      </c>
      <c r="G268" s="500">
        <f t="shared" si="92"/>
        <v>153</v>
      </c>
      <c r="H268" s="126">
        <f t="shared" si="80"/>
        <v>0</v>
      </c>
      <c r="I268" s="1098">
        <f t="shared" si="98"/>
        <v>1</v>
      </c>
      <c r="J268" s="887">
        <f t="shared" si="93"/>
        <v>249</v>
      </c>
      <c r="K268" s="1099">
        <f t="shared" si="87"/>
        <v>249</v>
      </c>
      <c r="L268" s="891" t="str">
        <f t="shared" si="88"/>
        <v>August</v>
      </c>
      <c r="M268" s="888">
        <f t="shared" si="94"/>
        <v>2149</v>
      </c>
      <c r="N268" s="883">
        <f t="shared" si="89"/>
        <v>0</v>
      </c>
      <c r="O268" s="883">
        <f t="shared" si="95"/>
        <v>0</v>
      </c>
      <c r="P268" s="1100"/>
      <c r="Q268" s="883">
        <f t="shared" si="81"/>
        <v>0</v>
      </c>
      <c r="R268" s="884">
        <f t="shared" si="96"/>
        <v>0</v>
      </c>
      <c r="S268" s="884">
        <f>IF(AND($AS$39="Early Payoff",J268&gt;=$S$13),0,IF($J268&lt;=$S$6,SUM($Q$20:$Q268),0))</f>
        <v>0</v>
      </c>
      <c r="T268" s="884">
        <f>IF(AND($AS$39="Early Payoff",J268&gt;=$S$13),0,IF($J268&lt;=$S$6,SUM($R$20:$R268),0))</f>
        <v>0</v>
      </c>
      <c r="U268" s="885">
        <f t="shared" si="82"/>
        <v>0</v>
      </c>
      <c r="V268" s="1110">
        <f t="shared" si="90"/>
        <v>0</v>
      </c>
      <c r="X268" s="1102">
        <f t="shared" si="83"/>
        <v>0</v>
      </c>
      <c r="Y268" s="873">
        <f t="shared" si="84"/>
        <v>0</v>
      </c>
      <c r="Z268" s="873">
        <f t="shared" si="85"/>
        <v>0</v>
      </c>
      <c r="AA268" s="885">
        <f t="shared" si="86"/>
        <v>0</v>
      </c>
    </row>
    <row r="269" spans="2:27" s="278" customFormat="1" ht="12" customHeight="1" x14ac:dyDescent="0.25">
      <c r="B269" s="1192" t="e">
        <f t="shared" si="91"/>
        <v>#N/A</v>
      </c>
      <c r="C269" s="732">
        <f t="shared" si="77"/>
        <v>31</v>
      </c>
      <c r="D269" s="35">
        <f t="shared" si="78"/>
        <v>3</v>
      </c>
      <c r="E269" s="889">
        <f t="shared" si="97"/>
        <v>91402</v>
      </c>
      <c r="F269" s="822">
        <f t="shared" si="79"/>
        <v>3</v>
      </c>
      <c r="G269" s="500">
        <f t="shared" si="92"/>
        <v>212</v>
      </c>
      <c r="H269" s="126">
        <f t="shared" si="80"/>
        <v>0</v>
      </c>
      <c r="I269" s="1098">
        <f t="shared" si="98"/>
        <v>0</v>
      </c>
      <c r="J269" s="887">
        <f t="shared" si="93"/>
        <v>250</v>
      </c>
      <c r="K269" s="1099">
        <f t="shared" si="87"/>
        <v>250</v>
      </c>
      <c r="L269" s="891" t="str">
        <f t="shared" si="88"/>
        <v>March</v>
      </c>
      <c r="M269" s="888">
        <f t="shared" si="94"/>
        <v>2150</v>
      </c>
      <c r="N269" s="883">
        <f t="shared" si="89"/>
        <v>0</v>
      </c>
      <c r="O269" s="883">
        <f t="shared" si="95"/>
        <v>0</v>
      </c>
      <c r="P269" s="1100"/>
      <c r="Q269" s="883">
        <f t="shared" si="81"/>
        <v>0</v>
      </c>
      <c r="R269" s="884">
        <f t="shared" si="96"/>
        <v>0</v>
      </c>
      <c r="S269" s="884">
        <f>IF(AND($AS$39="Early Payoff",J269&gt;=$S$13),0,IF($J269&lt;=$S$6,SUM($Q$20:$Q269),0))</f>
        <v>0</v>
      </c>
      <c r="T269" s="884">
        <f>IF(AND($AS$39="Early Payoff",J269&gt;=$S$13),0,IF($J269&lt;=$S$6,SUM($R$20:$R269),0))</f>
        <v>0</v>
      </c>
      <c r="U269" s="885">
        <f t="shared" si="82"/>
        <v>0</v>
      </c>
      <c r="V269" s="1110">
        <f t="shared" si="90"/>
        <v>0</v>
      </c>
      <c r="X269" s="1102">
        <f t="shared" si="83"/>
        <v>0</v>
      </c>
      <c r="Y269" s="873">
        <f t="shared" si="84"/>
        <v>0</v>
      </c>
      <c r="Z269" s="873">
        <f t="shared" si="85"/>
        <v>0</v>
      </c>
      <c r="AA269" s="885">
        <f t="shared" si="86"/>
        <v>0</v>
      </c>
    </row>
    <row r="270" spans="2:27" s="278" customFormat="1" ht="12" customHeight="1" x14ac:dyDescent="0.25">
      <c r="B270" s="1192" t="e">
        <f t="shared" si="91"/>
        <v>#N/A</v>
      </c>
      <c r="C270" s="732">
        <f t="shared" si="77"/>
        <v>31</v>
      </c>
      <c r="D270" s="35">
        <f t="shared" si="78"/>
        <v>8</v>
      </c>
      <c r="E270" s="889">
        <f t="shared" si="97"/>
        <v>91555</v>
      </c>
      <c r="F270" s="822">
        <f t="shared" si="79"/>
        <v>8</v>
      </c>
      <c r="G270" s="500">
        <f t="shared" si="92"/>
        <v>153</v>
      </c>
      <c r="H270" s="126">
        <f t="shared" si="80"/>
        <v>0</v>
      </c>
      <c r="I270" s="1098">
        <f t="shared" si="98"/>
        <v>1</v>
      </c>
      <c r="J270" s="887">
        <f t="shared" si="93"/>
        <v>251</v>
      </c>
      <c r="K270" s="1099">
        <f t="shared" si="87"/>
        <v>251</v>
      </c>
      <c r="L270" s="891" t="str">
        <f t="shared" si="88"/>
        <v>August</v>
      </c>
      <c r="M270" s="888">
        <f t="shared" si="94"/>
        <v>2150</v>
      </c>
      <c r="N270" s="883">
        <f t="shared" si="89"/>
        <v>0</v>
      </c>
      <c r="O270" s="883">
        <f t="shared" si="95"/>
        <v>0</v>
      </c>
      <c r="P270" s="1100"/>
      <c r="Q270" s="883">
        <f t="shared" si="81"/>
        <v>0</v>
      </c>
      <c r="R270" s="884">
        <f t="shared" si="96"/>
        <v>0</v>
      </c>
      <c r="S270" s="884">
        <f>IF(AND($AS$39="Early Payoff",J270&gt;=$S$13),0,IF($J270&lt;=$S$6,SUM($Q$20:$Q270),0))</f>
        <v>0</v>
      </c>
      <c r="T270" s="884">
        <f>IF(AND($AS$39="Early Payoff",J270&gt;=$S$13),0,IF($J270&lt;=$S$6,SUM($R$20:$R270),0))</f>
        <v>0</v>
      </c>
      <c r="U270" s="885">
        <f t="shared" si="82"/>
        <v>0</v>
      </c>
      <c r="V270" s="1110">
        <f t="shared" si="90"/>
        <v>0</v>
      </c>
      <c r="X270" s="1102">
        <f t="shared" si="83"/>
        <v>0</v>
      </c>
      <c r="Y270" s="873">
        <f t="shared" si="84"/>
        <v>0</v>
      </c>
      <c r="Z270" s="873">
        <f t="shared" si="85"/>
        <v>0</v>
      </c>
      <c r="AA270" s="885">
        <f t="shared" si="86"/>
        <v>0</v>
      </c>
    </row>
    <row r="271" spans="2:27" s="278" customFormat="1" ht="12" customHeight="1" x14ac:dyDescent="0.25">
      <c r="B271" s="1192" t="e">
        <f t="shared" si="91"/>
        <v>#N/A</v>
      </c>
      <c r="C271" s="732">
        <f t="shared" si="77"/>
        <v>31</v>
      </c>
      <c r="D271" s="35">
        <f t="shared" si="78"/>
        <v>3</v>
      </c>
      <c r="E271" s="889">
        <f t="shared" si="97"/>
        <v>91767</v>
      </c>
      <c r="F271" s="822">
        <f t="shared" si="79"/>
        <v>3</v>
      </c>
      <c r="G271" s="500">
        <f t="shared" si="92"/>
        <v>212</v>
      </c>
      <c r="H271" s="126">
        <f t="shared" si="80"/>
        <v>0</v>
      </c>
      <c r="I271" s="1098">
        <f t="shared" si="98"/>
        <v>0</v>
      </c>
      <c r="J271" s="887">
        <f t="shared" si="93"/>
        <v>252</v>
      </c>
      <c r="K271" s="1099">
        <f t="shared" si="87"/>
        <v>252</v>
      </c>
      <c r="L271" s="891" t="str">
        <f t="shared" si="88"/>
        <v>March</v>
      </c>
      <c r="M271" s="888">
        <f t="shared" si="94"/>
        <v>2151</v>
      </c>
      <c r="N271" s="883">
        <f t="shared" si="89"/>
        <v>0</v>
      </c>
      <c r="O271" s="883">
        <f t="shared" si="95"/>
        <v>0</v>
      </c>
      <c r="P271" s="1100"/>
      <c r="Q271" s="883">
        <f t="shared" si="81"/>
        <v>0</v>
      </c>
      <c r="R271" s="884">
        <f t="shared" si="96"/>
        <v>0</v>
      </c>
      <c r="S271" s="884">
        <f>IF(AND($AS$39="Early Payoff",J271&gt;=$S$13),0,IF($J271&lt;=$S$6,SUM($Q$20:$Q271),0))</f>
        <v>0</v>
      </c>
      <c r="T271" s="884">
        <f>IF(AND($AS$39="Early Payoff",J271&gt;=$S$13),0,IF($J271&lt;=$S$6,SUM($R$20:$R271),0))</f>
        <v>0</v>
      </c>
      <c r="U271" s="885">
        <f t="shared" si="82"/>
        <v>0</v>
      </c>
      <c r="V271" s="1110">
        <f t="shared" si="90"/>
        <v>0</v>
      </c>
      <c r="X271" s="1102">
        <f t="shared" si="83"/>
        <v>0</v>
      </c>
      <c r="Y271" s="873">
        <f t="shared" si="84"/>
        <v>0</v>
      </c>
      <c r="Z271" s="873">
        <f t="shared" si="85"/>
        <v>0</v>
      </c>
      <c r="AA271" s="885">
        <f t="shared" si="86"/>
        <v>0</v>
      </c>
    </row>
    <row r="272" spans="2:27" s="278" customFormat="1" ht="12" customHeight="1" x14ac:dyDescent="0.25">
      <c r="B272" s="1192" t="e">
        <f t="shared" si="91"/>
        <v>#N/A</v>
      </c>
      <c r="C272" s="732">
        <f t="shared" si="77"/>
        <v>31</v>
      </c>
      <c r="D272" s="35">
        <f t="shared" si="78"/>
        <v>8</v>
      </c>
      <c r="E272" s="889">
        <f t="shared" si="97"/>
        <v>91920</v>
      </c>
      <c r="F272" s="822">
        <f t="shared" si="79"/>
        <v>8</v>
      </c>
      <c r="G272" s="500">
        <f t="shared" si="92"/>
        <v>153</v>
      </c>
      <c r="H272" s="126">
        <f t="shared" si="80"/>
        <v>0</v>
      </c>
      <c r="I272" s="1098">
        <f t="shared" si="98"/>
        <v>1</v>
      </c>
      <c r="J272" s="887">
        <f t="shared" si="93"/>
        <v>253</v>
      </c>
      <c r="K272" s="1099">
        <f t="shared" si="87"/>
        <v>253</v>
      </c>
      <c r="L272" s="891" t="str">
        <f t="shared" si="88"/>
        <v>August</v>
      </c>
      <c r="M272" s="888">
        <f t="shared" si="94"/>
        <v>2151</v>
      </c>
      <c r="N272" s="883">
        <f t="shared" si="89"/>
        <v>0</v>
      </c>
      <c r="O272" s="883">
        <f t="shared" si="95"/>
        <v>0</v>
      </c>
      <c r="P272" s="1100"/>
      <c r="Q272" s="883">
        <f t="shared" si="81"/>
        <v>0</v>
      </c>
      <c r="R272" s="884">
        <f t="shared" si="96"/>
        <v>0</v>
      </c>
      <c r="S272" s="884">
        <f>IF(AND($AS$39="Early Payoff",J272&gt;=$S$13),0,IF($J272&lt;=$S$6,SUM($Q$20:$Q272),0))</f>
        <v>0</v>
      </c>
      <c r="T272" s="884">
        <f>IF(AND($AS$39="Early Payoff",J272&gt;=$S$13),0,IF($J272&lt;=$S$6,SUM($R$20:$R272),0))</f>
        <v>0</v>
      </c>
      <c r="U272" s="885">
        <f t="shared" si="82"/>
        <v>0</v>
      </c>
      <c r="V272" s="1110">
        <f t="shared" si="90"/>
        <v>0</v>
      </c>
      <c r="X272" s="1102">
        <f t="shared" si="83"/>
        <v>0</v>
      </c>
      <c r="Y272" s="873">
        <f t="shared" si="84"/>
        <v>0</v>
      </c>
      <c r="Z272" s="873">
        <f t="shared" si="85"/>
        <v>0</v>
      </c>
      <c r="AA272" s="885">
        <f t="shared" si="86"/>
        <v>0</v>
      </c>
    </row>
    <row r="273" spans="2:27" s="278" customFormat="1" ht="12" customHeight="1" x14ac:dyDescent="0.25">
      <c r="B273" s="1192" t="e">
        <f t="shared" si="91"/>
        <v>#N/A</v>
      </c>
      <c r="C273" s="732">
        <f t="shared" si="77"/>
        <v>31</v>
      </c>
      <c r="D273" s="35">
        <f t="shared" si="78"/>
        <v>3</v>
      </c>
      <c r="E273" s="889">
        <f t="shared" si="97"/>
        <v>92133</v>
      </c>
      <c r="F273" s="822">
        <f t="shared" si="79"/>
        <v>3</v>
      </c>
      <c r="G273" s="500">
        <f t="shared" si="92"/>
        <v>213</v>
      </c>
      <c r="H273" s="126">
        <f t="shared" si="80"/>
        <v>0</v>
      </c>
      <c r="I273" s="1098">
        <f t="shared" si="98"/>
        <v>0</v>
      </c>
      <c r="J273" s="887">
        <f t="shared" si="93"/>
        <v>254</v>
      </c>
      <c r="K273" s="1099">
        <f t="shared" si="87"/>
        <v>254</v>
      </c>
      <c r="L273" s="891" t="str">
        <f t="shared" si="88"/>
        <v>March</v>
      </c>
      <c r="M273" s="888">
        <f t="shared" si="94"/>
        <v>2152</v>
      </c>
      <c r="N273" s="883">
        <f t="shared" si="89"/>
        <v>0</v>
      </c>
      <c r="O273" s="883">
        <f t="shared" si="95"/>
        <v>0</v>
      </c>
      <c r="P273" s="1100"/>
      <c r="Q273" s="883">
        <f t="shared" si="81"/>
        <v>0</v>
      </c>
      <c r="R273" s="884">
        <f t="shared" si="96"/>
        <v>0</v>
      </c>
      <c r="S273" s="884">
        <f>IF(AND($AS$39="Early Payoff",J273&gt;=$S$13),0,IF($J273&lt;=$S$6,SUM($Q$20:$Q273),0))</f>
        <v>0</v>
      </c>
      <c r="T273" s="884">
        <f>IF(AND($AS$39="Early Payoff",J273&gt;=$S$13),0,IF($J273&lt;=$S$6,SUM($R$20:$R273),0))</f>
        <v>0</v>
      </c>
      <c r="U273" s="885">
        <f t="shared" si="82"/>
        <v>0</v>
      </c>
      <c r="V273" s="1110">
        <f t="shared" si="90"/>
        <v>0</v>
      </c>
      <c r="X273" s="1102">
        <f t="shared" si="83"/>
        <v>0</v>
      </c>
      <c r="Y273" s="873">
        <f t="shared" si="84"/>
        <v>0</v>
      </c>
      <c r="Z273" s="873">
        <f t="shared" si="85"/>
        <v>0</v>
      </c>
      <c r="AA273" s="885">
        <f t="shared" si="86"/>
        <v>0</v>
      </c>
    </row>
    <row r="274" spans="2:27" s="278" customFormat="1" ht="12" customHeight="1" x14ac:dyDescent="0.25">
      <c r="B274" s="1192" t="e">
        <f t="shared" si="91"/>
        <v>#N/A</v>
      </c>
      <c r="C274" s="732">
        <f t="shared" si="77"/>
        <v>31</v>
      </c>
      <c r="D274" s="35">
        <f t="shared" si="78"/>
        <v>8</v>
      </c>
      <c r="E274" s="889">
        <f t="shared" si="97"/>
        <v>92286</v>
      </c>
      <c r="F274" s="822">
        <f t="shared" si="79"/>
        <v>8</v>
      </c>
      <c r="G274" s="500">
        <f t="shared" si="92"/>
        <v>153</v>
      </c>
      <c r="H274" s="126">
        <f t="shared" si="80"/>
        <v>0</v>
      </c>
      <c r="I274" s="1098">
        <f t="shared" si="98"/>
        <v>1</v>
      </c>
      <c r="J274" s="887">
        <f t="shared" si="93"/>
        <v>255</v>
      </c>
      <c r="K274" s="1099">
        <f t="shared" si="87"/>
        <v>255</v>
      </c>
      <c r="L274" s="891" t="str">
        <f t="shared" si="88"/>
        <v>August</v>
      </c>
      <c r="M274" s="888">
        <f t="shared" si="94"/>
        <v>2152</v>
      </c>
      <c r="N274" s="883">
        <f t="shared" si="89"/>
        <v>0</v>
      </c>
      <c r="O274" s="883">
        <f t="shared" si="95"/>
        <v>0</v>
      </c>
      <c r="P274" s="1100"/>
      <c r="Q274" s="883">
        <f t="shared" si="81"/>
        <v>0</v>
      </c>
      <c r="R274" s="884">
        <f t="shared" si="96"/>
        <v>0</v>
      </c>
      <c r="S274" s="884">
        <f>IF(AND($AS$39="Early Payoff",J274&gt;=$S$13),0,IF($J274&lt;=$S$6,SUM($Q$20:$Q274),0))</f>
        <v>0</v>
      </c>
      <c r="T274" s="884">
        <f>IF(AND($AS$39="Early Payoff",J274&gt;=$S$13),0,IF($J274&lt;=$S$6,SUM($R$20:$R274),0))</f>
        <v>0</v>
      </c>
      <c r="U274" s="885">
        <f t="shared" si="82"/>
        <v>0</v>
      </c>
      <c r="V274" s="1110">
        <f t="shared" si="90"/>
        <v>0</v>
      </c>
      <c r="X274" s="1102">
        <f t="shared" si="83"/>
        <v>0</v>
      </c>
      <c r="Y274" s="873">
        <f t="shared" si="84"/>
        <v>0</v>
      </c>
      <c r="Z274" s="873">
        <f t="shared" si="85"/>
        <v>0</v>
      </c>
      <c r="AA274" s="885">
        <f t="shared" si="86"/>
        <v>0</v>
      </c>
    </row>
    <row r="275" spans="2:27" s="278" customFormat="1" ht="12" customHeight="1" x14ac:dyDescent="0.25">
      <c r="B275" s="1192" t="e">
        <f t="shared" si="91"/>
        <v>#N/A</v>
      </c>
      <c r="C275" s="732">
        <f t="shared" si="77"/>
        <v>31</v>
      </c>
      <c r="D275" s="35">
        <f t="shared" si="78"/>
        <v>3</v>
      </c>
      <c r="E275" s="889">
        <f t="shared" si="97"/>
        <v>92498</v>
      </c>
      <c r="F275" s="822">
        <f t="shared" si="79"/>
        <v>3</v>
      </c>
      <c r="G275" s="500">
        <f t="shared" si="92"/>
        <v>212</v>
      </c>
      <c r="H275" s="126">
        <f t="shared" si="80"/>
        <v>0</v>
      </c>
      <c r="I275" s="1098">
        <f t="shared" si="98"/>
        <v>0</v>
      </c>
      <c r="J275" s="887">
        <f t="shared" si="93"/>
        <v>256</v>
      </c>
      <c r="K275" s="1099">
        <f t="shared" si="87"/>
        <v>256</v>
      </c>
      <c r="L275" s="891" t="str">
        <f t="shared" si="88"/>
        <v>March</v>
      </c>
      <c r="M275" s="888">
        <f t="shared" si="94"/>
        <v>2153</v>
      </c>
      <c r="N275" s="883">
        <f t="shared" si="89"/>
        <v>0</v>
      </c>
      <c r="O275" s="883">
        <f t="shared" si="95"/>
        <v>0</v>
      </c>
      <c r="P275" s="1100"/>
      <c r="Q275" s="883">
        <f t="shared" si="81"/>
        <v>0</v>
      </c>
      <c r="R275" s="884">
        <f t="shared" si="96"/>
        <v>0</v>
      </c>
      <c r="S275" s="884">
        <f>IF(AND($AS$39="Early Payoff",J275&gt;=$S$13),0,IF($J275&lt;=$S$6,SUM($Q$20:$Q275),0))</f>
        <v>0</v>
      </c>
      <c r="T275" s="884">
        <f>IF(AND($AS$39="Early Payoff",J275&gt;=$S$13),0,IF($J275&lt;=$S$6,SUM($R$20:$R275),0))</f>
        <v>0</v>
      </c>
      <c r="U275" s="885">
        <f t="shared" si="82"/>
        <v>0</v>
      </c>
      <c r="V275" s="1110">
        <f t="shared" si="90"/>
        <v>0</v>
      </c>
      <c r="X275" s="1102">
        <f t="shared" si="83"/>
        <v>0</v>
      </c>
      <c r="Y275" s="873">
        <f t="shared" si="84"/>
        <v>0</v>
      </c>
      <c r="Z275" s="873">
        <f t="shared" si="85"/>
        <v>0</v>
      </c>
      <c r="AA275" s="885">
        <f t="shared" si="86"/>
        <v>0</v>
      </c>
    </row>
    <row r="276" spans="2:27" s="278" customFormat="1" ht="12" customHeight="1" x14ac:dyDescent="0.25">
      <c r="B276" s="1192" t="e">
        <f t="shared" si="91"/>
        <v>#N/A</v>
      </c>
      <c r="C276" s="732">
        <f t="shared" ref="C276:C339" si="99">DAY(EOMONTH(DATE($M276,$D276,1),0))</f>
        <v>31</v>
      </c>
      <c r="D276" s="35">
        <f t="shared" ref="D276:D339" si="100">INDEX($AT$22:$AU$34,MATCH($L276,$AT$22:$AT$34,0),MATCH("Number",$AT$22:$AU$22,0))</f>
        <v>8</v>
      </c>
      <c r="E276" s="889">
        <f t="shared" si="97"/>
        <v>92651</v>
      </c>
      <c r="F276" s="822">
        <f t="shared" ref="F276:F339" si="101">INDEX($AT$22:$AU$34,MATCH($L276,$AT$22:$AT$34,0),MATCH("Number",$AT$22:$AU$22,0))</f>
        <v>8</v>
      </c>
      <c r="G276" s="500">
        <f t="shared" si="92"/>
        <v>153</v>
      </c>
      <c r="H276" s="126">
        <f t="shared" ref="H276:H339" si="102">IF($T$4="Monthly",INDEX($AT$36:$AU$48,MATCH($L276,$AT$36:$AT$48,0),MATCH("Number",$AT$36:$AU$36,0)),0)</f>
        <v>0</v>
      </c>
      <c r="I276" s="1098">
        <f t="shared" si="98"/>
        <v>1</v>
      </c>
      <c r="J276" s="887">
        <f t="shared" si="93"/>
        <v>257</v>
      </c>
      <c r="K276" s="1099">
        <f t="shared" si="87"/>
        <v>257</v>
      </c>
      <c r="L276" s="891" t="str">
        <f t="shared" si="88"/>
        <v>August</v>
      </c>
      <c r="M276" s="888">
        <f t="shared" si="94"/>
        <v>2153</v>
      </c>
      <c r="N276" s="883">
        <f t="shared" si="89"/>
        <v>0</v>
      </c>
      <c r="O276" s="883">
        <f t="shared" si="95"/>
        <v>0</v>
      </c>
      <c r="P276" s="1100"/>
      <c r="Q276" s="883">
        <f t="shared" ref="Q276:Q339" si="103">IF(AND($AS$39="Early Payoff",J276&gt;=$S$13),0,IF($J276&gt;$S$6,0,IF(AND($AR$29&gt;0,$J276&lt;=$AR$29),0,+$O276-$R276)))</f>
        <v>0</v>
      </c>
      <c r="R276" s="884">
        <f t="shared" si="96"/>
        <v>0</v>
      </c>
      <c r="S276" s="884">
        <f>IF(AND($AS$39="Early Payoff",J276&gt;=$S$13),0,IF($J276&lt;=$S$6,SUM($Q$20:$Q276),0))</f>
        <v>0</v>
      </c>
      <c r="T276" s="884">
        <f>IF(AND($AS$39="Early Payoff",J276&gt;=$S$13),0,IF($J276&lt;=$S$6,SUM($R$20:$R276),0))</f>
        <v>0</v>
      </c>
      <c r="U276" s="885">
        <f t="shared" ref="U276:U339" si="104">IF($K276&lt;$S$13,SUM($N276,$Q276),0)</f>
        <v>0</v>
      </c>
      <c r="V276" s="1110">
        <f t="shared" si="90"/>
        <v>0</v>
      </c>
      <c r="X276" s="1102">
        <f t="shared" ref="X276:X339" si="105">IF($J276&gt;$S$6,0,IF($J276&lt;=$AR$27,0,IF(AND($Y$5="%/Payment",$AA$5=0),$O276*$Z$5,IF(AND($Y$5="%/Payment",$AA$5&gt;0,($O276*$Z$5)&lt;$AA$5),$O276*$Z$5,IF(AND($Y$5="%/Payment",$AA$5&gt;0,($O276*$Z$5)&gt;$AA$5),-$AA$5,IF(AND($Y$5="%/Balance",$AA$5=0),-$U276*$Z$5,IF(AND($Y$5="%/Balance",$AA$5&gt;0,($U276*$Z$5)&lt;$AA$5),-$U276*$Z$5,IF(AND($Y$5="%/Balance",$AA$5&gt;0,($U276*$Z$5)&gt;$AA$5),-$AA$5,IF($Y$5="Fixed Amount",-$Z$5,IF($Y$5="N/A",0))))))))))</f>
        <v>0</v>
      </c>
      <c r="Y276" s="873">
        <f t="shared" ref="Y276:Y339" si="106">IF($J276&gt;$S$6,0,IF($J276&lt;=$AR$27,0,IF(AND($Y$6="%/Payment",$AA$6=0),$O276*$Z$6,IF(AND($Y$6="%/Payment",$AA$6&gt;0,($O276*$Z$6)&lt;$AA$6),$O276*$Z$6,IF(AND($Y$6="%/Payment",$AA$6&gt;0,($O276*$Z$6)&gt;$AA$6),-$AA$6,IF(AND($Y$6="%/Balance",$AA$6=0),-$U276*$Z$6,IF(AND($Y$6="%/Balance",$AA$6&gt;0,($U276*$Z$6)&lt;$AA$6),-$U276*$Z$6,IF(AND($Y$6="%/Balance",$AA$6&gt;0,($U276*$Z$6)&gt;$AA$6),-$AA$6,IF($Y$6="Fixed Amount",-$Z$6,IF($Y$6="N/A",0))))))))))</f>
        <v>0</v>
      </c>
      <c r="Z276" s="873">
        <f t="shared" ref="Z276:Z339" si="107">IF($J276&gt;$S$6,0,IF($J276&lt;=$AR$27,0,IF(AND($Y$7="%/Payment",$AA$7=0),$O276*$Z$7,IF(AND($Y$7="%/Payment",$AA$7&gt;0,($O276*$Z$7)&lt;$AA$7),$O276*$Z$7,IF(AND($Y$7="%/Payment",$AA$7&gt;0,($O276*$Z$7)&gt;$AA$7),-$AA$7,IF(AND($Y$7="%/Balance",$AA$7=0),-$U276*$Z$7,IF(AND($Y$7="%/Balance",$AA$7&gt;0,($U276*$Z$7)&lt;$AA$7),-$U276*$Z$7,IF(AND($Y$7="%/Balance",$AA$7&gt;0,($O276*$Z$7)&gt;$AA$7),-$AA$7,IF($Y$7="Fixed Amount",-$Z$7,IF($Y$7="N/A",0))))))))))</f>
        <v>0</v>
      </c>
      <c r="AA276" s="885">
        <f t="shared" ref="AA276:AA339" si="108">SUM($O276,$X276:$Z276)</f>
        <v>0</v>
      </c>
    </row>
    <row r="277" spans="2:27" s="278" customFormat="1" ht="12" customHeight="1" x14ac:dyDescent="0.25">
      <c r="B277" s="1192" t="e">
        <f t="shared" si="91"/>
        <v>#N/A</v>
      </c>
      <c r="C277" s="732">
        <f t="shared" si="99"/>
        <v>31</v>
      </c>
      <c r="D277" s="35">
        <f t="shared" si="100"/>
        <v>3</v>
      </c>
      <c r="E277" s="889">
        <f t="shared" si="97"/>
        <v>92863</v>
      </c>
      <c r="F277" s="822">
        <f t="shared" si="101"/>
        <v>3</v>
      </c>
      <c r="G277" s="500">
        <f t="shared" si="92"/>
        <v>212</v>
      </c>
      <c r="H277" s="126">
        <f t="shared" si="102"/>
        <v>0</v>
      </c>
      <c r="I277" s="1098">
        <f t="shared" si="98"/>
        <v>0</v>
      </c>
      <c r="J277" s="887">
        <f t="shared" si="93"/>
        <v>258</v>
      </c>
      <c r="K277" s="1099">
        <f t="shared" ref="K277:K340" si="109">IF($J277&lt;=$AR$29,0,IF($J276&gt;=$AR$29,$K276+1))</f>
        <v>258</v>
      </c>
      <c r="L277" s="891" t="str">
        <f t="shared" ref="L277:L340" si="110">IF($T$4="Annual",$R$5,IF(AND($T$4="Bi-Annual",$F276&lt;MAX($R$4,$S$4)),INDEX($AU$22:$AV$34,MATCH(MAX($R$4,$S$4),$AU$22:$AU$34,0),MATCH("Month",$AU$22:$AV$22,0)),IF(AND($T$4="Bi-Annual",$F276=MAX($R$4,$S$4)),INDEX($AU$22:$AV$34,MATCH(MIN($R$4,$S$4),$AU$22:$AU$34,0),MATCH("Month",$AU$22:$AV$22,0)),IF(AND($T$4="Monthly",$F276&lt;12),INDEX($AU$22:$AV$34,MATCH($F276+1,$AU$22:$AU$34,0),MATCH("Month",$AU$22:$AV$22,0)),IF(AND($T$4="Monthly",$F276=12),INDEX($AU$22:$AV$34,MATCH($F276-11,$AU$22:$AU$34,0),MATCH("Month",$AU$22:$AV$22,0)))))))</f>
        <v>March</v>
      </c>
      <c r="M277" s="888">
        <f t="shared" si="94"/>
        <v>2154</v>
      </c>
      <c r="N277" s="883">
        <f t="shared" ref="N277:N340" si="111">IF(AND($AS$39="Early Payoff",$J277&gt;$S$13),0,IF(AND($AS$39="Early Payoff",$J277&lt;$S$13),$U276,IF($J277&gt;$S$6,0,$U276)))</f>
        <v>0</v>
      </c>
      <c r="O277" s="883">
        <f t="shared" si="95"/>
        <v>0</v>
      </c>
      <c r="P277" s="1100"/>
      <c r="Q277" s="883">
        <f t="shared" si="103"/>
        <v>0</v>
      </c>
      <c r="R277" s="884">
        <f t="shared" si="96"/>
        <v>0</v>
      </c>
      <c r="S277" s="884">
        <f>IF(AND($AS$39="Early Payoff",J277&gt;=$S$13),0,IF($J277&lt;=$S$6,SUM($Q$20:$Q277),0))</f>
        <v>0</v>
      </c>
      <c r="T277" s="884">
        <f>IF(AND($AS$39="Early Payoff",J277&gt;=$S$13),0,IF($J277&lt;=$S$6,SUM($R$20:$R277),0))</f>
        <v>0</v>
      </c>
      <c r="U277" s="885">
        <f t="shared" si="104"/>
        <v>0</v>
      </c>
      <c r="V277" s="1110">
        <f t="shared" ref="V277:V340" si="112">IF($T$4="Monthly",$N277,IF(AND(OR($T$4="Annual",$T$4="Bi-Annual"),$K277=$T$7),INDEX($J$19:$U$379,MATCH($T$7,$K$19:$K$2379,0),MATCH($N$19,$J$19:$U$19,0)),IF(AND(OR($T$4="Annual",$T$4="Bi-Annual"),$K277&lt;$T$7),$N277,0)))</f>
        <v>0</v>
      </c>
      <c r="X277" s="1102">
        <f t="shared" si="105"/>
        <v>0</v>
      </c>
      <c r="Y277" s="873">
        <f t="shared" si="106"/>
        <v>0</v>
      </c>
      <c r="Z277" s="873">
        <f t="shared" si="107"/>
        <v>0</v>
      </c>
      <c r="AA277" s="885">
        <f t="shared" si="108"/>
        <v>0</v>
      </c>
    </row>
    <row r="278" spans="2:27" s="278" customFormat="1" ht="12" customHeight="1" x14ac:dyDescent="0.25">
      <c r="B278" s="1192" t="e">
        <f t="shared" ref="B278:B341" si="113">B277+1</f>
        <v>#N/A</v>
      </c>
      <c r="C278" s="732">
        <f t="shared" si="99"/>
        <v>31</v>
      </c>
      <c r="D278" s="35">
        <f t="shared" si="100"/>
        <v>8</v>
      </c>
      <c r="E278" s="889">
        <f t="shared" si="97"/>
        <v>93016</v>
      </c>
      <c r="F278" s="822">
        <f t="shared" si="101"/>
        <v>8</v>
      </c>
      <c r="G278" s="500">
        <f t="shared" ref="G278:G341" si="114">E278-E277</f>
        <v>153</v>
      </c>
      <c r="H278" s="126">
        <f t="shared" si="102"/>
        <v>0</v>
      </c>
      <c r="I278" s="1098">
        <f t="shared" si="98"/>
        <v>1</v>
      </c>
      <c r="J278" s="887">
        <f t="shared" ref="J278:J341" si="115">J277+1</f>
        <v>259</v>
      </c>
      <c r="K278" s="1099">
        <f t="shared" si="109"/>
        <v>259</v>
      </c>
      <c r="L278" s="891" t="str">
        <f t="shared" si="110"/>
        <v>August</v>
      </c>
      <c r="M278" s="888">
        <f t="shared" ref="M278:M341" si="116">IF($T$4="Annual",$M277+$I278,IF($T$4="Bi-Annual",$M277+$I277,IF($T$4="Monthly",$M277+$H277)))</f>
        <v>2154</v>
      </c>
      <c r="N278" s="883">
        <f t="shared" si="111"/>
        <v>0</v>
      </c>
      <c r="O278" s="883">
        <f t="shared" ref="O278:O341" si="117">IF($J278&gt;$S$6,0,IF(AND($AR$29&gt;=0,$J278&lt;=$AR$29),0,IF(AND($AR$27&gt;=0,$J278&lt;=$AR$27),$R278,IF(K278=$T$7,SUM(-N278,R278),IF(AND($T$4="Annual",$AR$27&gt;=0,$AR$29&gt;=0,$J278&gt;$AR$27,$J278&gt;$AR$29),PMT($M$7,($S$6-$AR$27),$M$4),IF(AND($T$4="Bi-Annual",$AR$27&gt;=0,$AR$29&gt;=0,$J278&gt;$AR$27,$J278&gt;$AR$29),PMT($M$7/2,($S$6-$AR$27),$M$4),IF(AND($T$4="Monthly",$AR$27&gt;=0,$AR$29&gt;=0,$J278&gt;$AR$27,$J278&gt;$AR$29),PMT($M$7/12,($S$6-$AR$27),$M$4))))))))-P278</f>
        <v>0</v>
      </c>
      <c r="P278" s="1100"/>
      <c r="Q278" s="883">
        <f t="shared" si="103"/>
        <v>0</v>
      </c>
      <c r="R278" s="884">
        <f t="shared" ref="R278:R341" si="118">IF(AND($AS$39="Early Payoff",J278&gt;=$S$13),0,IF($T$4="Annual",-$M$7*$U277*1,IF(AND($T$4="Bi-Annual",$M$8="Base"),(-$M$7/2)*$U277*1,IF(AND($T$4="Bi-Annual",$M$8="Actual Days"),(-$M$7*$U277)*(G278/366),IF($T$4="Monthly",(-$M$7/12)*$U277*1)))))</f>
        <v>0</v>
      </c>
      <c r="S278" s="884">
        <f>IF(AND($AS$39="Early Payoff",J278&gt;=$S$13),0,IF($J278&lt;=$S$6,SUM($Q$20:$Q278),0))</f>
        <v>0</v>
      </c>
      <c r="T278" s="884">
        <f>IF(AND($AS$39="Early Payoff",J278&gt;=$S$13),0,IF($J278&lt;=$S$6,SUM($R$20:$R278),0))</f>
        <v>0</v>
      </c>
      <c r="U278" s="885">
        <f t="shared" si="104"/>
        <v>0</v>
      </c>
      <c r="V278" s="1110">
        <f t="shared" si="112"/>
        <v>0</v>
      </c>
      <c r="X278" s="1102">
        <f t="shared" si="105"/>
        <v>0</v>
      </c>
      <c r="Y278" s="873">
        <f t="shared" si="106"/>
        <v>0</v>
      </c>
      <c r="Z278" s="873">
        <f t="shared" si="107"/>
        <v>0</v>
      </c>
      <c r="AA278" s="885">
        <f t="shared" si="108"/>
        <v>0</v>
      </c>
    </row>
    <row r="279" spans="2:27" s="278" customFormat="1" ht="12" customHeight="1" x14ac:dyDescent="0.25">
      <c r="B279" s="1192" t="e">
        <f t="shared" si="113"/>
        <v>#N/A</v>
      </c>
      <c r="C279" s="732">
        <f t="shared" si="99"/>
        <v>31</v>
      </c>
      <c r="D279" s="35">
        <f t="shared" si="100"/>
        <v>3</v>
      </c>
      <c r="E279" s="889">
        <f t="shared" ref="E279:E342" si="119">DATE(M279,D279,C279)</f>
        <v>93228</v>
      </c>
      <c r="F279" s="822">
        <f t="shared" si="101"/>
        <v>3</v>
      </c>
      <c r="G279" s="500">
        <f t="shared" si="114"/>
        <v>212</v>
      </c>
      <c r="H279" s="126">
        <f t="shared" si="102"/>
        <v>0</v>
      </c>
      <c r="I279" s="1098">
        <f t="shared" ref="I279:I342" si="120">IF($T$4="Annual",1,IF(AND($T$4="Bi-Annual",$F279&gt;$F280),1,IF(AND($T$4="Bi-Annual",$F279&lt;$F280),0,IF($T$4="Monthly",0,))))</f>
        <v>0</v>
      </c>
      <c r="J279" s="887">
        <f t="shared" si="115"/>
        <v>260</v>
      </c>
      <c r="K279" s="1099">
        <f t="shared" si="109"/>
        <v>260</v>
      </c>
      <c r="L279" s="891" t="str">
        <f t="shared" si="110"/>
        <v>March</v>
      </c>
      <c r="M279" s="888">
        <f t="shared" si="116"/>
        <v>2155</v>
      </c>
      <c r="N279" s="883">
        <f t="shared" si="111"/>
        <v>0</v>
      </c>
      <c r="O279" s="883">
        <f t="shared" si="117"/>
        <v>0</v>
      </c>
      <c r="P279" s="1100"/>
      <c r="Q279" s="883">
        <f t="shared" si="103"/>
        <v>0</v>
      </c>
      <c r="R279" s="884">
        <f t="shared" si="118"/>
        <v>0</v>
      </c>
      <c r="S279" s="884">
        <f>IF(AND($AS$39="Early Payoff",J279&gt;=$S$13),0,IF($J279&lt;=$S$6,SUM($Q$20:$Q279),0))</f>
        <v>0</v>
      </c>
      <c r="T279" s="884">
        <f>IF(AND($AS$39="Early Payoff",J279&gt;=$S$13),0,IF($J279&lt;=$S$6,SUM($R$20:$R279),0))</f>
        <v>0</v>
      </c>
      <c r="U279" s="885">
        <f t="shared" si="104"/>
        <v>0</v>
      </c>
      <c r="V279" s="1110">
        <f t="shared" si="112"/>
        <v>0</v>
      </c>
      <c r="X279" s="1102">
        <f t="shared" si="105"/>
        <v>0</v>
      </c>
      <c r="Y279" s="873">
        <f t="shared" si="106"/>
        <v>0</v>
      </c>
      <c r="Z279" s="873">
        <f t="shared" si="107"/>
        <v>0</v>
      </c>
      <c r="AA279" s="885">
        <f t="shared" si="108"/>
        <v>0</v>
      </c>
    </row>
    <row r="280" spans="2:27" s="278" customFormat="1" ht="12" customHeight="1" x14ac:dyDescent="0.25">
      <c r="B280" s="1192" t="e">
        <f t="shared" si="113"/>
        <v>#N/A</v>
      </c>
      <c r="C280" s="732">
        <f t="shared" si="99"/>
        <v>31</v>
      </c>
      <c r="D280" s="35">
        <f t="shared" si="100"/>
        <v>8</v>
      </c>
      <c r="E280" s="889">
        <f t="shared" si="119"/>
        <v>93381</v>
      </c>
      <c r="F280" s="822">
        <f t="shared" si="101"/>
        <v>8</v>
      </c>
      <c r="G280" s="500">
        <f t="shared" si="114"/>
        <v>153</v>
      </c>
      <c r="H280" s="126">
        <f t="shared" si="102"/>
        <v>0</v>
      </c>
      <c r="I280" s="1098">
        <f t="shared" si="120"/>
        <v>1</v>
      </c>
      <c r="J280" s="887">
        <f t="shared" si="115"/>
        <v>261</v>
      </c>
      <c r="K280" s="1099">
        <f t="shared" si="109"/>
        <v>261</v>
      </c>
      <c r="L280" s="891" t="str">
        <f t="shared" si="110"/>
        <v>August</v>
      </c>
      <c r="M280" s="888">
        <f t="shared" si="116"/>
        <v>2155</v>
      </c>
      <c r="N280" s="883">
        <f t="shared" si="111"/>
        <v>0</v>
      </c>
      <c r="O280" s="883">
        <f t="shared" si="117"/>
        <v>0</v>
      </c>
      <c r="P280" s="1100"/>
      <c r="Q280" s="883">
        <f t="shared" si="103"/>
        <v>0</v>
      </c>
      <c r="R280" s="884">
        <f t="shared" si="118"/>
        <v>0</v>
      </c>
      <c r="S280" s="884">
        <f>IF(AND($AS$39="Early Payoff",J280&gt;=$S$13),0,IF($J280&lt;=$S$6,SUM($Q$20:$Q280),0))</f>
        <v>0</v>
      </c>
      <c r="T280" s="884">
        <f>IF(AND($AS$39="Early Payoff",J280&gt;=$S$13),0,IF($J280&lt;=$S$6,SUM($R$20:$R280),0))</f>
        <v>0</v>
      </c>
      <c r="U280" s="885">
        <f t="shared" si="104"/>
        <v>0</v>
      </c>
      <c r="V280" s="1110">
        <f t="shared" si="112"/>
        <v>0</v>
      </c>
      <c r="X280" s="1102">
        <f t="shared" si="105"/>
        <v>0</v>
      </c>
      <c r="Y280" s="873">
        <f t="shared" si="106"/>
        <v>0</v>
      </c>
      <c r="Z280" s="873">
        <f t="shared" si="107"/>
        <v>0</v>
      </c>
      <c r="AA280" s="885">
        <f t="shared" si="108"/>
        <v>0</v>
      </c>
    </row>
    <row r="281" spans="2:27" s="278" customFormat="1" ht="12" customHeight="1" x14ac:dyDescent="0.25">
      <c r="B281" s="1192" t="e">
        <f t="shared" si="113"/>
        <v>#N/A</v>
      </c>
      <c r="C281" s="732">
        <f t="shared" si="99"/>
        <v>31</v>
      </c>
      <c r="D281" s="35">
        <f t="shared" si="100"/>
        <v>3</v>
      </c>
      <c r="E281" s="889">
        <f t="shared" si="119"/>
        <v>93594</v>
      </c>
      <c r="F281" s="822">
        <f t="shared" si="101"/>
        <v>3</v>
      </c>
      <c r="G281" s="500">
        <f t="shared" si="114"/>
        <v>213</v>
      </c>
      <c r="H281" s="126">
        <f t="shared" si="102"/>
        <v>0</v>
      </c>
      <c r="I281" s="1098">
        <f t="shared" si="120"/>
        <v>0</v>
      </c>
      <c r="J281" s="887">
        <f t="shared" si="115"/>
        <v>262</v>
      </c>
      <c r="K281" s="1099">
        <f t="shared" si="109"/>
        <v>262</v>
      </c>
      <c r="L281" s="891" t="str">
        <f t="shared" si="110"/>
        <v>March</v>
      </c>
      <c r="M281" s="888">
        <f t="shared" si="116"/>
        <v>2156</v>
      </c>
      <c r="N281" s="883">
        <f t="shared" si="111"/>
        <v>0</v>
      </c>
      <c r="O281" s="883">
        <f t="shared" si="117"/>
        <v>0</v>
      </c>
      <c r="P281" s="1100"/>
      <c r="Q281" s="883">
        <f t="shared" si="103"/>
        <v>0</v>
      </c>
      <c r="R281" s="884">
        <f t="shared" si="118"/>
        <v>0</v>
      </c>
      <c r="S281" s="884">
        <f>IF(AND($AS$39="Early Payoff",J281&gt;=$S$13),0,IF($J281&lt;=$S$6,SUM($Q$20:$Q281),0))</f>
        <v>0</v>
      </c>
      <c r="T281" s="884">
        <f>IF(AND($AS$39="Early Payoff",J281&gt;=$S$13),0,IF($J281&lt;=$S$6,SUM($R$20:$R281),0))</f>
        <v>0</v>
      </c>
      <c r="U281" s="885">
        <f t="shared" si="104"/>
        <v>0</v>
      </c>
      <c r="V281" s="1110">
        <f t="shared" si="112"/>
        <v>0</v>
      </c>
      <c r="X281" s="1102">
        <f t="shared" si="105"/>
        <v>0</v>
      </c>
      <c r="Y281" s="873">
        <f t="shared" si="106"/>
        <v>0</v>
      </c>
      <c r="Z281" s="873">
        <f t="shared" si="107"/>
        <v>0</v>
      </c>
      <c r="AA281" s="885">
        <f t="shared" si="108"/>
        <v>0</v>
      </c>
    </row>
    <row r="282" spans="2:27" s="278" customFormat="1" ht="12" customHeight="1" x14ac:dyDescent="0.25">
      <c r="B282" s="1192" t="e">
        <f t="shared" si="113"/>
        <v>#N/A</v>
      </c>
      <c r="C282" s="732">
        <f t="shared" si="99"/>
        <v>31</v>
      </c>
      <c r="D282" s="35">
        <f t="shared" si="100"/>
        <v>8</v>
      </c>
      <c r="E282" s="889">
        <f t="shared" si="119"/>
        <v>93747</v>
      </c>
      <c r="F282" s="822">
        <f t="shared" si="101"/>
        <v>8</v>
      </c>
      <c r="G282" s="500">
        <f t="shared" si="114"/>
        <v>153</v>
      </c>
      <c r="H282" s="126">
        <f t="shared" si="102"/>
        <v>0</v>
      </c>
      <c r="I282" s="1098">
        <f t="shared" si="120"/>
        <v>1</v>
      </c>
      <c r="J282" s="887">
        <f t="shared" si="115"/>
        <v>263</v>
      </c>
      <c r="K282" s="1099">
        <f t="shared" si="109"/>
        <v>263</v>
      </c>
      <c r="L282" s="891" t="str">
        <f t="shared" si="110"/>
        <v>August</v>
      </c>
      <c r="M282" s="888">
        <f t="shared" si="116"/>
        <v>2156</v>
      </c>
      <c r="N282" s="883">
        <f t="shared" si="111"/>
        <v>0</v>
      </c>
      <c r="O282" s="883">
        <f t="shared" si="117"/>
        <v>0</v>
      </c>
      <c r="P282" s="1100"/>
      <c r="Q282" s="883">
        <f t="shared" si="103"/>
        <v>0</v>
      </c>
      <c r="R282" s="884">
        <f t="shared" si="118"/>
        <v>0</v>
      </c>
      <c r="S282" s="884">
        <f>IF(AND($AS$39="Early Payoff",J282&gt;=$S$13),0,IF($J282&lt;=$S$6,SUM($Q$20:$Q282),0))</f>
        <v>0</v>
      </c>
      <c r="T282" s="884">
        <f>IF(AND($AS$39="Early Payoff",J282&gt;=$S$13),0,IF($J282&lt;=$S$6,SUM($R$20:$R282),0))</f>
        <v>0</v>
      </c>
      <c r="U282" s="885">
        <f t="shared" si="104"/>
        <v>0</v>
      </c>
      <c r="V282" s="1110">
        <f t="shared" si="112"/>
        <v>0</v>
      </c>
      <c r="X282" s="1102">
        <f t="shared" si="105"/>
        <v>0</v>
      </c>
      <c r="Y282" s="873">
        <f t="shared" si="106"/>
        <v>0</v>
      </c>
      <c r="Z282" s="873">
        <f t="shared" si="107"/>
        <v>0</v>
      </c>
      <c r="AA282" s="885">
        <f t="shared" si="108"/>
        <v>0</v>
      </c>
    </row>
    <row r="283" spans="2:27" s="278" customFormat="1" ht="12" customHeight="1" x14ac:dyDescent="0.25">
      <c r="B283" s="1192" t="e">
        <f t="shared" si="113"/>
        <v>#N/A</v>
      </c>
      <c r="C283" s="732">
        <f t="shared" si="99"/>
        <v>31</v>
      </c>
      <c r="D283" s="35">
        <f t="shared" si="100"/>
        <v>3</v>
      </c>
      <c r="E283" s="889">
        <f t="shared" si="119"/>
        <v>93959</v>
      </c>
      <c r="F283" s="822">
        <f t="shared" si="101"/>
        <v>3</v>
      </c>
      <c r="G283" s="500">
        <f t="shared" si="114"/>
        <v>212</v>
      </c>
      <c r="H283" s="126">
        <f t="shared" si="102"/>
        <v>0</v>
      </c>
      <c r="I283" s="1098">
        <f t="shared" si="120"/>
        <v>0</v>
      </c>
      <c r="J283" s="887">
        <f t="shared" si="115"/>
        <v>264</v>
      </c>
      <c r="K283" s="1099">
        <f t="shared" si="109"/>
        <v>264</v>
      </c>
      <c r="L283" s="891" t="str">
        <f t="shared" si="110"/>
        <v>March</v>
      </c>
      <c r="M283" s="888">
        <f t="shared" si="116"/>
        <v>2157</v>
      </c>
      <c r="N283" s="883">
        <f t="shared" si="111"/>
        <v>0</v>
      </c>
      <c r="O283" s="883">
        <f t="shared" si="117"/>
        <v>0</v>
      </c>
      <c r="P283" s="1100"/>
      <c r="Q283" s="883">
        <f t="shared" si="103"/>
        <v>0</v>
      </c>
      <c r="R283" s="884">
        <f t="shared" si="118"/>
        <v>0</v>
      </c>
      <c r="S283" s="884">
        <f>IF(AND($AS$39="Early Payoff",J283&gt;=$S$13),0,IF($J283&lt;=$S$6,SUM($Q$20:$Q283),0))</f>
        <v>0</v>
      </c>
      <c r="T283" s="884">
        <f>IF(AND($AS$39="Early Payoff",J283&gt;=$S$13),0,IF($J283&lt;=$S$6,SUM($R$20:$R283),0))</f>
        <v>0</v>
      </c>
      <c r="U283" s="885">
        <f t="shared" si="104"/>
        <v>0</v>
      </c>
      <c r="V283" s="1110">
        <f t="shared" si="112"/>
        <v>0</v>
      </c>
      <c r="X283" s="1102">
        <f t="shared" si="105"/>
        <v>0</v>
      </c>
      <c r="Y283" s="873">
        <f t="shared" si="106"/>
        <v>0</v>
      </c>
      <c r="Z283" s="873">
        <f t="shared" si="107"/>
        <v>0</v>
      </c>
      <c r="AA283" s="885">
        <f t="shared" si="108"/>
        <v>0</v>
      </c>
    </row>
    <row r="284" spans="2:27" s="278" customFormat="1" ht="12" customHeight="1" x14ac:dyDescent="0.25">
      <c r="B284" s="1192" t="e">
        <f t="shared" si="113"/>
        <v>#N/A</v>
      </c>
      <c r="C284" s="732">
        <f t="shared" si="99"/>
        <v>31</v>
      </c>
      <c r="D284" s="35">
        <f t="shared" si="100"/>
        <v>8</v>
      </c>
      <c r="E284" s="889">
        <f t="shared" si="119"/>
        <v>94112</v>
      </c>
      <c r="F284" s="822">
        <f t="shared" si="101"/>
        <v>8</v>
      </c>
      <c r="G284" s="500">
        <f t="shared" si="114"/>
        <v>153</v>
      </c>
      <c r="H284" s="126">
        <f t="shared" si="102"/>
        <v>0</v>
      </c>
      <c r="I284" s="1098">
        <f t="shared" si="120"/>
        <v>1</v>
      </c>
      <c r="J284" s="887">
        <f t="shared" si="115"/>
        <v>265</v>
      </c>
      <c r="K284" s="1099">
        <f t="shared" si="109"/>
        <v>265</v>
      </c>
      <c r="L284" s="891" t="str">
        <f t="shared" si="110"/>
        <v>August</v>
      </c>
      <c r="M284" s="888">
        <f t="shared" si="116"/>
        <v>2157</v>
      </c>
      <c r="N284" s="883">
        <f t="shared" si="111"/>
        <v>0</v>
      </c>
      <c r="O284" s="883">
        <f t="shared" si="117"/>
        <v>0</v>
      </c>
      <c r="P284" s="1100"/>
      <c r="Q284" s="883">
        <f t="shared" si="103"/>
        <v>0</v>
      </c>
      <c r="R284" s="884">
        <f t="shared" si="118"/>
        <v>0</v>
      </c>
      <c r="S284" s="884">
        <f>IF(AND($AS$39="Early Payoff",J284&gt;=$S$13),0,IF($J284&lt;=$S$6,SUM($Q$20:$Q284),0))</f>
        <v>0</v>
      </c>
      <c r="T284" s="884">
        <f>IF(AND($AS$39="Early Payoff",J284&gt;=$S$13),0,IF($J284&lt;=$S$6,SUM($R$20:$R284),0))</f>
        <v>0</v>
      </c>
      <c r="U284" s="885">
        <f t="shared" si="104"/>
        <v>0</v>
      </c>
      <c r="V284" s="1110">
        <f t="shared" si="112"/>
        <v>0</v>
      </c>
      <c r="X284" s="1102">
        <f t="shared" si="105"/>
        <v>0</v>
      </c>
      <c r="Y284" s="873">
        <f t="shared" si="106"/>
        <v>0</v>
      </c>
      <c r="Z284" s="873">
        <f t="shared" si="107"/>
        <v>0</v>
      </c>
      <c r="AA284" s="885">
        <f t="shared" si="108"/>
        <v>0</v>
      </c>
    </row>
    <row r="285" spans="2:27" s="278" customFormat="1" ht="12" customHeight="1" x14ac:dyDescent="0.25">
      <c r="B285" s="1192" t="e">
        <f t="shared" si="113"/>
        <v>#N/A</v>
      </c>
      <c r="C285" s="732">
        <f t="shared" si="99"/>
        <v>31</v>
      </c>
      <c r="D285" s="35">
        <f t="shared" si="100"/>
        <v>3</v>
      </c>
      <c r="E285" s="889">
        <f t="shared" si="119"/>
        <v>94324</v>
      </c>
      <c r="F285" s="822">
        <f t="shared" si="101"/>
        <v>3</v>
      </c>
      <c r="G285" s="500">
        <f t="shared" si="114"/>
        <v>212</v>
      </c>
      <c r="H285" s="126">
        <f t="shared" si="102"/>
        <v>0</v>
      </c>
      <c r="I285" s="1098">
        <f t="shared" si="120"/>
        <v>0</v>
      </c>
      <c r="J285" s="887">
        <f t="shared" si="115"/>
        <v>266</v>
      </c>
      <c r="K285" s="1099">
        <f t="shared" si="109"/>
        <v>266</v>
      </c>
      <c r="L285" s="891" t="str">
        <f t="shared" si="110"/>
        <v>March</v>
      </c>
      <c r="M285" s="888">
        <f t="shared" si="116"/>
        <v>2158</v>
      </c>
      <c r="N285" s="883">
        <f t="shared" si="111"/>
        <v>0</v>
      </c>
      <c r="O285" s="883">
        <f t="shared" si="117"/>
        <v>0</v>
      </c>
      <c r="P285" s="1100"/>
      <c r="Q285" s="883">
        <f t="shared" si="103"/>
        <v>0</v>
      </c>
      <c r="R285" s="884">
        <f t="shared" si="118"/>
        <v>0</v>
      </c>
      <c r="S285" s="884">
        <f>IF(AND($AS$39="Early Payoff",J285&gt;=$S$13),0,IF($J285&lt;=$S$6,SUM($Q$20:$Q285),0))</f>
        <v>0</v>
      </c>
      <c r="T285" s="884">
        <f>IF(AND($AS$39="Early Payoff",J285&gt;=$S$13),0,IF($J285&lt;=$S$6,SUM($R$20:$R285),0))</f>
        <v>0</v>
      </c>
      <c r="U285" s="885">
        <f t="shared" si="104"/>
        <v>0</v>
      </c>
      <c r="V285" s="1110">
        <f t="shared" si="112"/>
        <v>0</v>
      </c>
      <c r="X285" s="1102">
        <f t="shared" si="105"/>
        <v>0</v>
      </c>
      <c r="Y285" s="873">
        <f t="shared" si="106"/>
        <v>0</v>
      </c>
      <c r="Z285" s="873">
        <f t="shared" si="107"/>
        <v>0</v>
      </c>
      <c r="AA285" s="885">
        <f t="shared" si="108"/>
        <v>0</v>
      </c>
    </row>
    <row r="286" spans="2:27" s="278" customFormat="1" ht="12" customHeight="1" x14ac:dyDescent="0.25">
      <c r="B286" s="1192" t="e">
        <f t="shared" si="113"/>
        <v>#N/A</v>
      </c>
      <c r="C286" s="732">
        <f t="shared" si="99"/>
        <v>31</v>
      </c>
      <c r="D286" s="35">
        <f t="shared" si="100"/>
        <v>8</v>
      </c>
      <c r="E286" s="889">
        <f t="shared" si="119"/>
        <v>94477</v>
      </c>
      <c r="F286" s="822">
        <f t="shared" si="101"/>
        <v>8</v>
      </c>
      <c r="G286" s="500">
        <f t="shared" si="114"/>
        <v>153</v>
      </c>
      <c r="H286" s="126">
        <f t="shared" si="102"/>
        <v>0</v>
      </c>
      <c r="I286" s="1098">
        <f t="shared" si="120"/>
        <v>1</v>
      </c>
      <c r="J286" s="887">
        <f t="shared" si="115"/>
        <v>267</v>
      </c>
      <c r="K286" s="1099">
        <f t="shared" si="109"/>
        <v>267</v>
      </c>
      <c r="L286" s="891" t="str">
        <f t="shared" si="110"/>
        <v>August</v>
      </c>
      <c r="M286" s="888">
        <f t="shared" si="116"/>
        <v>2158</v>
      </c>
      <c r="N286" s="883">
        <f t="shared" si="111"/>
        <v>0</v>
      </c>
      <c r="O286" s="883">
        <f t="shared" si="117"/>
        <v>0</v>
      </c>
      <c r="P286" s="1100"/>
      <c r="Q286" s="883">
        <f t="shared" si="103"/>
        <v>0</v>
      </c>
      <c r="R286" s="884">
        <f t="shared" si="118"/>
        <v>0</v>
      </c>
      <c r="S286" s="884">
        <f>IF(AND($AS$39="Early Payoff",J286&gt;=$S$13),0,IF($J286&lt;=$S$6,SUM($Q$20:$Q286),0))</f>
        <v>0</v>
      </c>
      <c r="T286" s="884">
        <f>IF(AND($AS$39="Early Payoff",J286&gt;=$S$13),0,IF($J286&lt;=$S$6,SUM($R$20:$R286),0))</f>
        <v>0</v>
      </c>
      <c r="U286" s="885">
        <f t="shared" si="104"/>
        <v>0</v>
      </c>
      <c r="V286" s="1110">
        <f t="shared" si="112"/>
        <v>0</v>
      </c>
      <c r="X286" s="1102">
        <f t="shared" si="105"/>
        <v>0</v>
      </c>
      <c r="Y286" s="873">
        <f t="shared" si="106"/>
        <v>0</v>
      </c>
      <c r="Z286" s="873">
        <f t="shared" si="107"/>
        <v>0</v>
      </c>
      <c r="AA286" s="885">
        <f t="shared" si="108"/>
        <v>0</v>
      </c>
    </row>
    <row r="287" spans="2:27" s="278" customFormat="1" ht="12" customHeight="1" x14ac:dyDescent="0.25">
      <c r="B287" s="1192" t="e">
        <f t="shared" si="113"/>
        <v>#N/A</v>
      </c>
      <c r="C287" s="732">
        <f t="shared" si="99"/>
        <v>31</v>
      </c>
      <c r="D287" s="35">
        <f t="shared" si="100"/>
        <v>3</v>
      </c>
      <c r="E287" s="889">
        <f t="shared" si="119"/>
        <v>94689</v>
      </c>
      <c r="F287" s="822">
        <f t="shared" si="101"/>
        <v>3</v>
      </c>
      <c r="G287" s="500">
        <f t="shared" si="114"/>
        <v>212</v>
      </c>
      <c r="H287" s="126">
        <f t="shared" si="102"/>
        <v>0</v>
      </c>
      <c r="I287" s="1098">
        <f t="shared" si="120"/>
        <v>0</v>
      </c>
      <c r="J287" s="887">
        <f t="shared" si="115"/>
        <v>268</v>
      </c>
      <c r="K287" s="1099">
        <f t="shared" si="109"/>
        <v>268</v>
      </c>
      <c r="L287" s="891" t="str">
        <f t="shared" si="110"/>
        <v>March</v>
      </c>
      <c r="M287" s="888">
        <f t="shared" si="116"/>
        <v>2159</v>
      </c>
      <c r="N287" s="883">
        <f t="shared" si="111"/>
        <v>0</v>
      </c>
      <c r="O287" s="883">
        <f t="shared" si="117"/>
        <v>0</v>
      </c>
      <c r="P287" s="1100"/>
      <c r="Q287" s="883">
        <f t="shared" si="103"/>
        <v>0</v>
      </c>
      <c r="R287" s="884">
        <f t="shared" si="118"/>
        <v>0</v>
      </c>
      <c r="S287" s="884">
        <f>IF(AND($AS$39="Early Payoff",J287&gt;=$S$13),0,IF($J287&lt;=$S$6,SUM($Q$20:$Q287),0))</f>
        <v>0</v>
      </c>
      <c r="T287" s="884">
        <f>IF(AND($AS$39="Early Payoff",J287&gt;=$S$13),0,IF($J287&lt;=$S$6,SUM($R$20:$R287),0))</f>
        <v>0</v>
      </c>
      <c r="U287" s="885">
        <f t="shared" si="104"/>
        <v>0</v>
      </c>
      <c r="V287" s="1110">
        <f t="shared" si="112"/>
        <v>0</v>
      </c>
      <c r="X287" s="1102">
        <f t="shared" si="105"/>
        <v>0</v>
      </c>
      <c r="Y287" s="873">
        <f t="shared" si="106"/>
        <v>0</v>
      </c>
      <c r="Z287" s="873">
        <f t="shared" si="107"/>
        <v>0</v>
      </c>
      <c r="AA287" s="885">
        <f t="shared" si="108"/>
        <v>0</v>
      </c>
    </row>
    <row r="288" spans="2:27" s="278" customFormat="1" ht="12" customHeight="1" x14ac:dyDescent="0.25">
      <c r="B288" s="1192" t="e">
        <f t="shared" si="113"/>
        <v>#N/A</v>
      </c>
      <c r="C288" s="732">
        <f t="shared" si="99"/>
        <v>31</v>
      </c>
      <c r="D288" s="35">
        <f t="shared" si="100"/>
        <v>8</v>
      </c>
      <c r="E288" s="889">
        <f t="shared" si="119"/>
        <v>94842</v>
      </c>
      <c r="F288" s="822">
        <f t="shared" si="101"/>
        <v>8</v>
      </c>
      <c r="G288" s="500">
        <f t="shared" si="114"/>
        <v>153</v>
      </c>
      <c r="H288" s="126">
        <f t="shared" si="102"/>
        <v>0</v>
      </c>
      <c r="I288" s="1098">
        <f t="shared" si="120"/>
        <v>1</v>
      </c>
      <c r="J288" s="887">
        <f t="shared" si="115"/>
        <v>269</v>
      </c>
      <c r="K288" s="1099">
        <f t="shared" si="109"/>
        <v>269</v>
      </c>
      <c r="L288" s="891" t="str">
        <f t="shared" si="110"/>
        <v>August</v>
      </c>
      <c r="M288" s="888">
        <f t="shared" si="116"/>
        <v>2159</v>
      </c>
      <c r="N288" s="883">
        <f t="shared" si="111"/>
        <v>0</v>
      </c>
      <c r="O288" s="883">
        <f t="shared" si="117"/>
        <v>0</v>
      </c>
      <c r="P288" s="1100"/>
      <c r="Q288" s="883">
        <f t="shared" si="103"/>
        <v>0</v>
      </c>
      <c r="R288" s="884">
        <f t="shared" si="118"/>
        <v>0</v>
      </c>
      <c r="S288" s="884">
        <f>IF(AND($AS$39="Early Payoff",J288&gt;=$S$13),0,IF($J288&lt;=$S$6,SUM($Q$20:$Q288),0))</f>
        <v>0</v>
      </c>
      <c r="T288" s="884">
        <f>IF(AND($AS$39="Early Payoff",J288&gt;=$S$13),0,IF($J288&lt;=$S$6,SUM($R$20:$R288),0))</f>
        <v>0</v>
      </c>
      <c r="U288" s="885">
        <f t="shared" si="104"/>
        <v>0</v>
      </c>
      <c r="V288" s="1110">
        <f t="shared" si="112"/>
        <v>0</v>
      </c>
      <c r="X288" s="1102">
        <f t="shared" si="105"/>
        <v>0</v>
      </c>
      <c r="Y288" s="873">
        <f t="shared" si="106"/>
        <v>0</v>
      </c>
      <c r="Z288" s="873">
        <f t="shared" si="107"/>
        <v>0</v>
      </c>
      <c r="AA288" s="885">
        <f t="shared" si="108"/>
        <v>0</v>
      </c>
    </row>
    <row r="289" spans="2:27" s="278" customFormat="1" ht="12" customHeight="1" x14ac:dyDescent="0.25">
      <c r="B289" s="1192" t="e">
        <f t="shared" si="113"/>
        <v>#N/A</v>
      </c>
      <c r="C289" s="732">
        <f t="shared" si="99"/>
        <v>31</v>
      </c>
      <c r="D289" s="35">
        <f t="shared" si="100"/>
        <v>3</v>
      </c>
      <c r="E289" s="889">
        <f t="shared" si="119"/>
        <v>95055</v>
      </c>
      <c r="F289" s="822">
        <f t="shared" si="101"/>
        <v>3</v>
      </c>
      <c r="G289" s="500">
        <f t="shared" si="114"/>
        <v>213</v>
      </c>
      <c r="H289" s="126">
        <f t="shared" si="102"/>
        <v>0</v>
      </c>
      <c r="I289" s="1098">
        <f t="shared" si="120"/>
        <v>0</v>
      </c>
      <c r="J289" s="887">
        <f t="shared" si="115"/>
        <v>270</v>
      </c>
      <c r="K289" s="1099">
        <f t="shared" si="109"/>
        <v>270</v>
      </c>
      <c r="L289" s="891" t="str">
        <f t="shared" si="110"/>
        <v>March</v>
      </c>
      <c r="M289" s="888">
        <f t="shared" si="116"/>
        <v>2160</v>
      </c>
      <c r="N289" s="883">
        <f t="shared" si="111"/>
        <v>0</v>
      </c>
      <c r="O289" s="883">
        <f t="shared" si="117"/>
        <v>0</v>
      </c>
      <c r="P289" s="1100"/>
      <c r="Q289" s="883">
        <f t="shared" si="103"/>
        <v>0</v>
      </c>
      <c r="R289" s="884">
        <f t="shared" si="118"/>
        <v>0</v>
      </c>
      <c r="S289" s="884">
        <f>IF(AND($AS$39="Early Payoff",J289&gt;=$S$13),0,IF($J289&lt;=$S$6,SUM($Q$20:$Q289),0))</f>
        <v>0</v>
      </c>
      <c r="T289" s="884">
        <f>IF(AND($AS$39="Early Payoff",J289&gt;=$S$13),0,IF($J289&lt;=$S$6,SUM($R$20:$R289),0))</f>
        <v>0</v>
      </c>
      <c r="U289" s="885">
        <f t="shared" si="104"/>
        <v>0</v>
      </c>
      <c r="V289" s="1110">
        <f t="shared" si="112"/>
        <v>0</v>
      </c>
      <c r="X289" s="1102">
        <f t="shared" si="105"/>
        <v>0</v>
      </c>
      <c r="Y289" s="873">
        <f t="shared" si="106"/>
        <v>0</v>
      </c>
      <c r="Z289" s="873">
        <f t="shared" si="107"/>
        <v>0</v>
      </c>
      <c r="AA289" s="885">
        <f t="shared" si="108"/>
        <v>0</v>
      </c>
    </row>
    <row r="290" spans="2:27" s="278" customFormat="1" ht="12" customHeight="1" x14ac:dyDescent="0.25">
      <c r="B290" s="1192" t="e">
        <f t="shared" si="113"/>
        <v>#N/A</v>
      </c>
      <c r="C290" s="732">
        <f t="shared" si="99"/>
        <v>31</v>
      </c>
      <c r="D290" s="35">
        <f t="shared" si="100"/>
        <v>8</v>
      </c>
      <c r="E290" s="889">
        <f t="shared" si="119"/>
        <v>95208</v>
      </c>
      <c r="F290" s="822">
        <f t="shared" si="101"/>
        <v>8</v>
      </c>
      <c r="G290" s="500">
        <f t="shared" si="114"/>
        <v>153</v>
      </c>
      <c r="H290" s="126">
        <f t="shared" si="102"/>
        <v>0</v>
      </c>
      <c r="I290" s="1098">
        <f t="shared" si="120"/>
        <v>1</v>
      </c>
      <c r="J290" s="887">
        <f t="shared" si="115"/>
        <v>271</v>
      </c>
      <c r="K290" s="1099">
        <f t="shared" si="109"/>
        <v>271</v>
      </c>
      <c r="L290" s="891" t="str">
        <f t="shared" si="110"/>
        <v>August</v>
      </c>
      <c r="M290" s="888">
        <f t="shared" si="116"/>
        <v>2160</v>
      </c>
      <c r="N290" s="883">
        <f t="shared" si="111"/>
        <v>0</v>
      </c>
      <c r="O290" s="883">
        <f t="shared" si="117"/>
        <v>0</v>
      </c>
      <c r="P290" s="1100"/>
      <c r="Q290" s="883">
        <f t="shared" si="103"/>
        <v>0</v>
      </c>
      <c r="R290" s="884">
        <f t="shared" si="118"/>
        <v>0</v>
      </c>
      <c r="S290" s="884">
        <f>IF(AND($AS$39="Early Payoff",J290&gt;=$S$13),0,IF($J290&lt;=$S$6,SUM($Q$20:$Q290),0))</f>
        <v>0</v>
      </c>
      <c r="T290" s="884">
        <f>IF(AND($AS$39="Early Payoff",J290&gt;=$S$13),0,IF($J290&lt;=$S$6,SUM($R$20:$R290),0))</f>
        <v>0</v>
      </c>
      <c r="U290" s="885">
        <f t="shared" si="104"/>
        <v>0</v>
      </c>
      <c r="V290" s="1110">
        <f t="shared" si="112"/>
        <v>0</v>
      </c>
      <c r="X290" s="1102">
        <f t="shared" si="105"/>
        <v>0</v>
      </c>
      <c r="Y290" s="873">
        <f t="shared" si="106"/>
        <v>0</v>
      </c>
      <c r="Z290" s="873">
        <f t="shared" si="107"/>
        <v>0</v>
      </c>
      <c r="AA290" s="885">
        <f t="shared" si="108"/>
        <v>0</v>
      </c>
    </row>
    <row r="291" spans="2:27" s="278" customFormat="1" ht="12" customHeight="1" x14ac:dyDescent="0.25">
      <c r="B291" s="1192" t="e">
        <f t="shared" si="113"/>
        <v>#N/A</v>
      </c>
      <c r="C291" s="732">
        <f t="shared" si="99"/>
        <v>31</v>
      </c>
      <c r="D291" s="35">
        <f t="shared" si="100"/>
        <v>3</v>
      </c>
      <c r="E291" s="889">
        <f t="shared" si="119"/>
        <v>95420</v>
      </c>
      <c r="F291" s="822">
        <f t="shared" si="101"/>
        <v>3</v>
      </c>
      <c r="G291" s="500">
        <f t="shared" si="114"/>
        <v>212</v>
      </c>
      <c r="H291" s="126">
        <f t="shared" si="102"/>
        <v>0</v>
      </c>
      <c r="I291" s="1098">
        <f t="shared" si="120"/>
        <v>0</v>
      </c>
      <c r="J291" s="887">
        <f t="shared" si="115"/>
        <v>272</v>
      </c>
      <c r="K291" s="1099">
        <f t="shared" si="109"/>
        <v>272</v>
      </c>
      <c r="L291" s="891" t="str">
        <f t="shared" si="110"/>
        <v>March</v>
      </c>
      <c r="M291" s="888">
        <f t="shared" si="116"/>
        <v>2161</v>
      </c>
      <c r="N291" s="883">
        <f t="shared" si="111"/>
        <v>0</v>
      </c>
      <c r="O291" s="883">
        <f t="shared" si="117"/>
        <v>0</v>
      </c>
      <c r="P291" s="1100"/>
      <c r="Q291" s="883">
        <f t="shared" si="103"/>
        <v>0</v>
      </c>
      <c r="R291" s="884">
        <f t="shared" si="118"/>
        <v>0</v>
      </c>
      <c r="S291" s="884">
        <f>IF(AND($AS$39="Early Payoff",J291&gt;=$S$13),0,IF($J291&lt;=$S$6,SUM($Q$20:$Q291),0))</f>
        <v>0</v>
      </c>
      <c r="T291" s="884">
        <f>IF(AND($AS$39="Early Payoff",J291&gt;=$S$13),0,IF($J291&lt;=$S$6,SUM($R$20:$R291),0))</f>
        <v>0</v>
      </c>
      <c r="U291" s="885">
        <f t="shared" si="104"/>
        <v>0</v>
      </c>
      <c r="V291" s="1110">
        <f t="shared" si="112"/>
        <v>0</v>
      </c>
      <c r="X291" s="1102">
        <f t="shared" si="105"/>
        <v>0</v>
      </c>
      <c r="Y291" s="873">
        <f t="shared" si="106"/>
        <v>0</v>
      </c>
      <c r="Z291" s="873">
        <f t="shared" si="107"/>
        <v>0</v>
      </c>
      <c r="AA291" s="885">
        <f t="shared" si="108"/>
        <v>0</v>
      </c>
    </row>
    <row r="292" spans="2:27" s="278" customFormat="1" ht="12" customHeight="1" x14ac:dyDescent="0.25">
      <c r="B292" s="1192" t="e">
        <f t="shared" si="113"/>
        <v>#N/A</v>
      </c>
      <c r="C292" s="732">
        <f t="shared" si="99"/>
        <v>31</v>
      </c>
      <c r="D292" s="35">
        <f t="shared" si="100"/>
        <v>8</v>
      </c>
      <c r="E292" s="889">
        <f t="shared" si="119"/>
        <v>95573</v>
      </c>
      <c r="F292" s="822">
        <f t="shared" si="101"/>
        <v>8</v>
      </c>
      <c r="G292" s="500">
        <f t="shared" si="114"/>
        <v>153</v>
      </c>
      <c r="H292" s="126">
        <f t="shared" si="102"/>
        <v>0</v>
      </c>
      <c r="I292" s="1098">
        <f t="shared" si="120"/>
        <v>1</v>
      </c>
      <c r="J292" s="887">
        <f t="shared" si="115"/>
        <v>273</v>
      </c>
      <c r="K292" s="1099">
        <f t="shared" si="109"/>
        <v>273</v>
      </c>
      <c r="L292" s="891" t="str">
        <f t="shared" si="110"/>
        <v>August</v>
      </c>
      <c r="M292" s="888">
        <f t="shared" si="116"/>
        <v>2161</v>
      </c>
      <c r="N292" s="883">
        <f t="shared" si="111"/>
        <v>0</v>
      </c>
      <c r="O292" s="883">
        <f t="shared" si="117"/>
        <v>0</v>
      </c>
      <c r="P292" s="1100"/>
      <c r="Q292" s="883">
        <f t="shared" si="103"/>
        <v>0</v>
      </c>
      <c r="R292" s="884">
        <f t="shared" si="118"/>
        <v>0</v>
      </c>
      <c r="S292" s="884">
        <f>IF(AND($AS$39="Early Payoff",J292&gt;=$S$13),0,IF($J292&lt;=$S$6,SUM($Q$20:$Q292),0))</f>
        <v>0</v>
      </c>
      <c r="T292" s="884">
        <f>IF(AND($AS$39="Early Payoff",J292&gt;=$S$13),0,IF($J292&lt;=$S$6,SUM($R$20:$R292),0))</f>
        <v>0</v>
      </c>
      <c r="U292" s="885">
        <f t="shared" si="104"/>
        <v>0</v>
      </c>
      <c r="V292" s="1110">
        <f t="shared" si="112"/>
        <v>0</v>
      </c>
      <c r="X292" s="1102">
        <f t="shared" si="105"/>
        <v>0</v>
      </c>
      <c r="Y292" s="873">
        <f t="shared" si="106"/>
        <v>0</v>
      </c>
      <c r="Z292" s="873">
        <f t="shared" si="107"/>
        <v>0</v>
      </c>
      <c r="AA292" s="885">
        <f t="shared" si="108"/>
        <v>0</v>
      </c>
    </row>
    <row r="293" spans="2:27" s="278" customFormat="1" ht="12" customHeight="1" x14ac:dyDescent="0.25">
      <c r="B293" s="1192" t="e">
        <f t="shared" si="113"/>
        <v>#N/A</v>
      </c>
      <c r="C293" s="732">
        <f t="shared" si="99"/>
        <v>31</v>
      </c>
      <c r="D293" s="35">
        <f t="shared" si="100"/>
        <v>3</v>
      </c>
      <c r="E293" s="889">
        <f t="shared" si="119"/>
        <v>95785</v>
      </c>
      <c r="F293" s="822">
        <f t="shared" si="101"/>
        <v>3</v>
      </c>
      <c r="G293" s="500">
        <f t="shared" si="114"/>
        <v>212</v>
      </c>
      <c r="H293" s="126">
        <f t="shared" si="102"/>
        <v>0</v>
      </c>
      <c r="I293" s="1098">
        <f t="shared" si="120"/>
        <v>0</v>
      </c>
      <c r="J293" s="887">
        <f t="shared" si="115"/>
        <v>274</v>
      </c>
      <c r="K293" s="1099">
        <f t="shared" si="109"/>
        <v>274</v>
      </c>
      <c r="L293" s="891" t="str">
        <f t="shared" si="110"/>
        <v>March</v>
      </c>
      <c r="M293" s="888">
        <f t="shared" si="116"/>
        <v>2162</v>
      </c>
      <c r="N293" s="883">
        <f t="shared" si="111"/>
        <v>0</v>
      </c>
      <c r="O293" s="883">
        <f t="shared" si="117"/>
        <v>0</v>
      </c>
      <c r="P293" s="1100"/>
      <c r="Q293" s="883">
        <f t="shared" si="103"/>
        <v>0</v>
      </c>
      <c r="R293" s="884">
        <f t="shared" si="118"/>
        <v>0</v>
      </c>
      <c r="S293" s="884">
        <f>IF(AND($AS$39="Early Payoff",J293&gt;=$S$13),0,IF($J293&lt;=$S$6,SUM($Q$20:$Q293),0))</f>
        <v>0</v>
      </c>
      <c r="T293" s="884">
        <f>IF(AND($AS$39="Early Payoff",J293&gt;=$S$13),0,IF($J293&lt;=$S$6,SUM($R$20:$R293),0))</f>
        <v>0</v>
      </c>
      <c r="U293" s="885">
        <f t="shared" si="104"/>
        <v>0</v>
      </c>
      <c r="V293" s="1110">
        <f t="shared" si="112"/>
        <v>0</v>
      </c>
      <c r="X293" s="1102">
        <f t="shared" si="105"/>
        <v>0</v>
      </c>
      <c r="Y293" s="873">
        <f t="shared" si="106"/>
        <v>0</v>
      </c>
      <c r="Z293" s="873">
        <f t="shared" si="107"/>
        <v>0</v>
      </c>
      <c r="AA293" s="885">
        <f t="shared" si="108"/>
        <v>0</v>
      </c>
    </row>
    <row r="294" spans="2:27" s="278" customFormat="1" ht="12" customHeight="1" x14ac:dyDescent="0.25">
      <c r="B294" s="1192" t="e">
        <f t="shared" si="113"/>
        <v>#N/A</v>
      </c>
      <c r="C294" s="732">
        <f t="shared" si="99"/>
        <v>31</v>
      </c>
      <c r="D294" s="35">
        <f t="shared" si="100"/>
        <v>8</v>
      </c>
      <c r="E294" s="889">
        <f t="shared" si="119"/>
        <v>95938</v>
      </c>
      <c r="F294" s="822">
        <f t="shared" si="101"/>
        <v>8</v>
      </c>
      <c r="G294" s="500">
        <f t="shared" si="114"/>
        <v>153</v>
      </c>
      <c r="H294" s="126">
        <f t="shared" si="102"/>
        <v>0</v>
      </c>
      <c r="I294" s="1098">
        <f t="shared" si="120"/>
        <v>1</v>
      </c>
      <c r="J294" s="887">
        <f t="shared" si="115"/>
        <v>275</v>
      </c>
      <c r="K294" s="1099">
        <f t="shared" si="109"/>
        <v>275</v>
      </c>
      <c r="L294" s="891" t="str">
        <f t="shared" si="110"/>
        <v>August</v>
      </c>
      <c r="M294" s="888">
        <f t="shared" si="116"/>
        <v>2162</v>
      </c>
      <c r="N294" s="883">
        <f t="shared" si="111"/>
        <v>0</v>
      </c>
      <c r="O294" s="883">
        <f t="shared" si="117"/>
        <v>0</v>
      </c>
      <c r="P294" s="1100"/>
      <c r="Q294" s="883">
        <f t="shared" si="103"/>
        <v>0</v>
      </c>
      <c r="R294" s="884">
        <f t="shared" si="118"/>
        <v>0</v>
      </c>
      <c r="S294" s="884">
        <f>IF(AND($AS$39="Early Payoff",J294&gt;=$S$13),0,IF($J294&lt;=$S$6,SUM($Q$20:$Q294),0))</f>
        <v>0</v>
      </c>
      <c r="T294" s="884">
        <f>IF(AND($AS$39="Early Payoff",J294&gt;=$S$13),0,IF($J294&lt;=$S$6,SUM($R$20:$R294),0))</f>
        <v>0</v>
      </c>
      <c r="U294" s="885">
        <f t="shared" si="104"/>
        <v>0</v>
      </c>
      <c r="V294" s="1110">
        <f t="shared" si="112"/>
        <v>0</v>
      </c>
      <c r="X294" s="1102">
        <f t="shared" si="105"/>
        <v>0</v>
      </c>
      <c r="Y294" s="873">
        <f t="shared" si="106"/>
        <v>0</v>
      </c>
      <c r="Z294" s="873">
        <f t="shared" si="107"/>
        <v>0</v>
      </c>
      <c r="AA294" s="885">
        <f t="shared" si="108"/>
        <v>0</v>
      </c>
    </row>
    <row r="295" spans="2:27" s="278" customFormat="1" ht="12" customHeight="1" x14ac:dyDescent="0.25">
      <c r="B295" s="1192" t="e">
        <f t="shared" si="113"/>
        <v>#N/A</v>
      </c>
      <c r="C295" s="732">
        <f t="shared" si="99"/>
        <v>31</v>
      </c>
      <c r="D295" s="35">
        <f t="shared" si="100"/>
        <v>3</v>
      </c>
      <c r="E295" s="889">
        <f t="shared" si="119"/>
        <v>96150</v>
      </c>
      <c r="F295" s="822">
        <f t="shared" si="101"/>
        <v>3</v>
      </c>
      <c r="G295" s="500">
        <f t="shared" si="114"/>
        <v>212</v>
      </c>
      <c r="H295" s="126">
        <f t="shared" si="102"/>
        <v>0</v>
      </c>
      <c r="I295" s="1098">
        <f t="shared" si="120"/>
        <v>0</v>
      </c>
      <c r="J295" s="887">
        <f t="shared" si="115"/>
        <v>276</v>
      </c>
      <c r="K295" s="1099">
        <f t="shared" si="109"/>
        <v>276</v>
      </c>
      <c r="L295" s="891" t="str">
        <f t="shared" si="110"/>
        <v>March</v>
      </c>
      <c r="M295" s="888">
        <f t="shared" si="116"/>
        <v>2163</v>
      </c>
      <c r="N295" s="883">
        <f t="shared" si="111"/>
        <v>0</v>
      </c>
      <c r="O295" s="883">
        <f t="shared" si="117"/>
        <v>0</v>
      </c>
      <c r="P295" s="1100"/>
      <c r="Q295" s="883">
        <f t="shared" si="103"/>
        <v>0</v>
      </c>
      <c r="R295" s="884">
        <f t="shared" si="118"/>
        <v>0</v>
      </c>
      <c r="S295" s="884">
        <f>IF(AND($AS$39="Early Payoff",J295&gt;=$S$13),0,IF($J295&lt;=$S$6,SUM($Q$20:$Q295),0))</f>
        <v>0</v>
      </c>
      <c r="T295" s="884">
        <f>IF(AND($AS$39="Early Payoff",J295&gt;=$S$13),0,IF($J295&lt;=$S$6,SUM($R$20:$R295),0))</f>
        <v>0</v>
      </c>
      <c r="U295" s="885">
        <f t="shared" si="104"/>
        <v>0</v>
      </c>
      <c r="V295" s="1110">
        <f t="shared" si="112"/>
        <v>0</v>
      </c>
      <c r="X295" s="1102">
        <f t="shared" si="105"/>
        <v>0</v>
      </c>
      <c r="Y295" s="873">
        <f t="shared" si="106"/>
        <v>0</v>
      </c>
      <c r="Z295" s="873">
        <f t="shared" si="107"/>
        <v>0</v>
      </c>
      <c r="AA295" s="885">
        <f t="shared" si="108"/>
        <v>0</v>
      </c>
    </row>
    <row r="296" spans="2:27" s="278" customFormat="1" ht="12" customHeight="1" x14ac:dyDescent="0.25">
      <c r="B296" s="1192" t="e">
        <f t="shared" si="113"/>
        <v>#N/A</v>
      </c>
      <c r="C296" s="732">
        <f t="shared" si="99"/>
        <v>31</v>
      </c>
      <c r="D296" s="35">
        <f t="shared" si="100"/>
        <v>8</v>
      </c>
      <c r="E296" s="889">
        <f t="shared" si="119"/>
        <v>96303</v>
      </c>
      <c r="F296" s="822">
        <f t="shared" si="101"/>
        <v>8</v>
      </c>
      <c r="G296" s="500">
        <f t="shared" si="114"/>
        <v>153</v>
      </c>
      <c r="H296" s="126">
        <f t="shared" si="102"/>
        <v>0</v>
      </c>
      <c r="I296" s="1098">
        <f t="shared" si="120"/>
        <v>1</v>
      </c>
      <c r="J296" s="887">
        <f t="shared" si="115"/>
        <v>277</v>
      </c>
      <c r="K296" s="1099">
        <f t="shared" si="109"/>
        <v>277</v>
      </c>
      <c r="L296" s="891" t="str">
        <f t="shared" si="110"/>
        <v>August</v>
      </c>
      <c r="M296" s="888">
        <f t="shared" si="116"/>
        <v>2163</v>
      </c>
      <c r="N296" s="883">
        <f t="shared" si="111"/>
        <v>0</v>
      </c>
      <c r="O296" s="883">
        <f t="shared" si="117"/>
        <v>0</v>
      </c>
      <c r="P296" s="1100"/>
      <c r="Q296" s="883">
        <f t="shared" si="103"/>
        <v>0</v>
      </c>
      <c r="R296" s="884">
        <f t="shared" si="118"/>
        <v>0</v>
      </c>
      <c r="S296" s="884">
        <f>IF(AND($AS$39="Early Payoff",J296&gt;=$S$13),0,IF($J296&lt;=$S$6,SUM($Q$20:$Q296),0))</f>
        <v>0</v>
      </c>
      <c r="T296" s="884">
        <f>IF(AND($AS$39="Early Payoff",J296&gt;=$S$13),0,IF($J296&lt;=$S$6,SUM($R$20:$R296),0))</f>
        <v>0</v>
      </c>
      <c r="U296" s="885">
        <f t="shared" si="104"/>
        <v>0</v>
      </c>
      <c r="V296" s="1110">
        <f t="shared" si="112"/>
        <v>0</v>
      </c>
      <c r="X296" s="1102">
        <f t="shared" si="105"/>
        <v>0</v>
      </c>
      <c r="Y296" s="873">
        <f t="shared" si="106"/>
        <v>0</v>
      </c>
      <c r="Z296" s="873">
        <f t="shared" si="107"/>
        <v>0</v>
      </c>
      <c r="AA296" s="885">
        <f t="shared" si="108"/>
        <v>0</v>
      </c>
    </row>
    <row r="297" spans="2:27" s="278" customFormat="1" ht="12" customHeight="1" x14ac:dyDescent="0.25">
      <c r="B297" s="1192" t="e">
        <f t="shared" si="113"/>
        <v>#N/A</v>
      </c>
      <c r="C297" s="732">
        <f t="shared" si="99"/>
        <v>31</v>
      </c>
      <c r="D297" s="35">
        <f t="shared" si="100"/>
        <v>3</v>
      </c>
      <c r="E297" s="889">
        <f t="shared" si="119"/>
        <v>96516</v>
      </c>
      <c r="F297" s="822">
        <f t="shared" si="101"/>
        <v>3</v>
      </c>
      <c r="G297" s="500">
        <f t="shared" si="114"/>
        <v>213</v>
      </c>
      <c r="H297" s="126">
        <f t="shared" si="102"/>
        <v>0</v>
      </c>
      <c r="I297" s="1098">
        <f t="shared" si="120"/>
        <v>0</v>
      </c>
      <c r="J297" s="887">
        <f t="shared" si="115"/>
        <v>278</v>
      </c>
      <c r="K297" s="1099">
        <f t="shared" si="109"/>
        <v>278</v>
      </c>
      <c r="L297" s="891" t="str">
        <f t="shared" si="110"/>
        <v>March</v>
      </c>
      <c r="M297" s="888">
        <f t="shared" si="116"/>
        <v>2164</v>
      </c>
      <c r="N297" s="883">
        <f t="shared" si="111"/>
        <v>0</v>
      </c>
      <c r="O297" s="883">
        <f t="shared" si="117"/>
        <v>0</v>
      </c>
      <c r="P297" s="1100"/>
      <c r="Q297" s="883">
        <f t="shared" si="103"/>
        <v>0</v>
      </c>
      <c r="R297" s="884">
        <f t="shared" si="118"/>
        <v>0</v>
      </c>
      <c r="S297" s="884">
        <f>IF(AND($AS$39="Early Payoff",J297&gt;=$S$13),0,IF($J297&lt;=$S$6,SUM($Q$20:$Q297),0))</f>
        <v>0</v>
      </c>
      <c r="T297" s="884">
        <f>IF(AND($AS$39="Early Payoff",J297&gt;=$S$13),0,IF($J297&lt;=$S$6,SUM($R$20:$R297),0))</f>
        <v>0</v>
      </c>
      <c r="U297" s="885">
        <f t="shared" si="104"/>
        <v>0</v>
      </c>
      <c r="V297" s="1110">
        <f t="shared" si="112"/>
        <v>0</v>
      </c>
      <c r="X297" s="1102">
        <f t="shared" si="105"/>
        <v>0</v>
      </c>
      <c r="Y297" s="873">
        <f t="shared" si="106"/>
        <v>0</v>
      </c>
      <c r="Z297" s="873">
        <f t="shared" si="107"/>
        <v>0</v>
      </c>
      <c r="AA297" s="885">
        <f t="shared" si="108"/>
        <v>0</v>
      </c>
    </row>
    <row r="298" spans="2:27" s="278" customFormat="1" ht="12" customHeight="1" x14ac:dyDescent="0.25">
      <c r="B298" s="1192" t="e">
        <f t="shared" si="113"/>
        <v>#N/A</v>
      </c>
      <c r="C298" s="732">
        <f t="shared" si="99"/>
        <v>31</v>
      </c>
      <c r="D298" s="35">
        <f t="shared" si="100"/>
        <v>8</v>
      </c>
      <c r="E298" s="889">
        <f t="shared" si="119"/>
        <v>96669</v>
      </c>
      <c r="F298" s="822">
        <f t="shared" si="101"/>
        <v>8</v>
      </c>
      <c r="G298" s="500">
        <f t="shared" si="114"/>
        <v>153</v>
      </c>
      <c r="H298" s="126">
        <f t="shared" si="102"/>
        <v>0</v>
      </c>
      <c r="I298" s="1098">
        <f t="shared" si="120"/>
        <v>1</v>
      </c>
      <c r="J298" s="887">
        <f t="shared" si="115"/>
        <v>279</v>
      </c>
      <c r="K298" s="1099">
        <f t="shared" si="109"/>
        <v>279</v>
      </c>
      <c r="L298" s="891" t="str">
        <f t="shared" si="110"/>
        <v>August</v>
      </c>
      <c r="M298" s="888">
        <f t="shared" si="116"/>
        <v>2164</v>
      </c>
      <c r="N298" s="883">
        <f t="shared" si="111"/>
        <v>0</v>
      </c>
      <c r="O298" s="883">
        <f t="shared" si="117"/>
        <v>0</v>
      </c>
      <c r="P298" s="1100"/>
      <c r="Q298" s="883">
        <f t="shared" si="103"/>
        <v>0</v>
      </c>
      <c r="R298" s="884">
        <f t="shared" si="118"/>
        <v>0</v>
      </c>
      <c r="S298" s="884">
        <f>IF(AND($AS$39="Early Payoff",J298&gt;=$S$13),0,IF($J298&lt;=$S$6,SUM($Q$20:$Q298),0))</f>
        <v>0</v>
      </c>
      <c r="T298" s="884">
        <f>IF(AND($AS$39="Early Payoff",J298&gt;=$S$13),0,IF($J298&lt;=$S$6,SUM($R$20:$R298),0))</f>
        <v>0</v>
      </c>
      <c r="U298" s="885">
        <f t="shared" si="104"/>
        <v>0</v>
      </c>
      <c r="V298" s="1110">
        <f t="shared" si="112"/>
        <v>0</v>
      </c>
      <c r="X298" s="1102">
        <f t="shared" si="105"/>
        <v>0</v>
      </c>
      <c r="Y298" s="873">
        <f t="shared" si="106"/>
        <v>0</v>
      </c>
      <c r="Z298" s="873">
        <f t="shared" si="107"/>
        <v>0</v>
      </c>
      <c r="AA298" s="885">
        <f t="shared" si="108"/>
        <v>0</v>
      </c>
    </row>
    <row r="299" spans="2:27" s="278" customFormat="1" ht="12" customHeight="1" x14ac:dyDescent="0.25">
      <c r="B299" s="1192" t="e">
        <f t="shared" si="113"/>
        <v>#N/A</v>
      </c>
      <c r="C299" s="732">
        <f t="shared" si="99"/>
        <v>31</v>
      </c>
      <c r="D299" s="35">
        <f t="shared" si="100"/>
        <v>3</v>
      </c>
      <c r="E299" s="889">
        <f t="shared" si="119"/>
        <v>96881</v>
      </c>
      <c r="F299" s="822">
        <f t="shared" si="101"/>
        <v>3</v>
      </c>
      <c r="G299" s="500">
        <f t="shared" si="114"/>
        <v>212</v>
      </c>
      <c r="H299" s="126">
        <f t="shared" si="102"/>
        <v>0</v>
      </c>
      <c r="I299" s="1098">
        <f t="shared" si="120"/>
        <v>0</v>
      </c>
      <c r="J299" s="887">
        <f t="shared" si="115"/>
        <v>280</v>
      </c>
      <c r="K299" s="1099">
        <f t="shared" si="109"/>
        <v>280</v>
      </c>
      <c r="L299" s="891" t="str">
        <f t="shared" si="110"/>
        <v>March</v>
      </c>
      <c r="M299" s="888">
        <f t="shared" si="116"/>
        <v>2165</v>
      </c>
      <c r="N299" s="883">
        <f t="shared" si="111"/>
        <v>0</v>
      </c>
      <c r="O299" s="883">
        <f t="shared" si="117"/>
        <v>0</v>
      </c>
      <c r="P299" s="1100"/>
      <c r="Q299" s="883">
        <f t="shared" si="103"/>
        <v>0</v>
      </c>
      <c r="R299" s="884">
        <f t="shared" si="118"/>
        <v>0</v>
      </c>
      <c r="S299" s="884">
        <f>IF(AND($AS$39="Early Payoff",J299&gt;=$S$13),0,IF($J299&lt;=$S$6,SUM($Q$20:$Q299),0))</f>
        <v>0</v>
      </c>
      <c r="T299" s="884">
        <f>IF(AND($AS$39="Early Payoff",J299&gt;=$S$13),0,IF($J299&lt;=$S$6,SUM($R$20:$R299),0))</f>
        <v>0</v>
      </c>
      <c r="U299" s="885">
        <f t="shared" si="104"/>
        <v>0</v>
      </c>
      <c r="V299" s="1110">
        <f t="shared" si="112"/>
        <v>0</v>
      </c>
      <c r="X299" s="1102">
        <f t="shared" si="105"/>
        <v>0</v>
      </c>
      <c r="Y299" s="873">
        <f t="shared" si="106"/>
        <v>0</v>
      </c>
      <c r="Z299" s="873">
        <f t="shared" si="107"/>
        <v>0</v>
      </c>
      <c r="AA299" s="885">
        <f t="shared" si="108"/>
        <v>0</v>
      </c>
    </row>
    <row r="300" spans="2:27" s="278" customFormat="1" ht="12" customHeight="1" x14ac:dyDescent="0.25">
      <c r="B300" s="1192" t="e">
        <f t="shared" si="113"/>
        <v>#N/A</v>
      </c>
      <c r="C300" s="732">
        <f t="shared" si="99"/>
        <v>31</v>
      </c>
      <c r="D300" s="35">
        <f t="shared" si="100"/>
        <v>8</v>
      </c>
      <c r="E300" s="889">
        <f t="shared" si="119"/>
        <v>97034</v>
      </c>
      <c r="F300" s="822">
        <f t="shared" si="101"/>
        <v>8</v>
      </c>
      <c r="G300" s="500">
        <f t="shared" si="114"/>
        <v>153</v>
      </c>
      <c r="H300" s="126">
        <f t="shared" si="102"/>
        <v>0</v>
      </c>
      <c r="I300" s="1098">
        <f t="shared" si="120"/>
        <v>1</v>
      </c>
      <c r="J300" s="887">
        <f t="shared" si="115"/>
        <v>281</v>
      </c>
      <c r="K300" s="1099">
        <f t="shared" si="109"/>
        <v>281</v>
      </c>
      <c r="L300" s="891" t="str">
        <f t="shared" si="110"/>
        <v>August</v>
      </c>
      <c r="M300" s="888">
        <f t="shared" si="116"/>
        <v>2165</v>
      </c>
      <c r="N300" s="883">
        <f t="shared" si="111"/>
        <v>0</v>
      </c>
      <c r="O300" s="883">
        <f t="shared" si="117"/>
        <v>0</v>
      </c>
      <c r="P300" s="1100"/>
      <c r="Q300" s="883">
        <f t="shared" si="103"/>
        <v>0</v>
      </c>
      <c r="R300" s="884">
        <f t="shared" si="118"/>
        <v>0</v>
      </c>
      <c r="S300" s="884">
        <f>IF(AND($AS$39="Early Payoff",J300&gt;=$S$13),0,IF($J300&lt;=$S$6,SUM($Q$20:$Q300),0))</f>
        <v>0</v>
      </c>
      <c r="T300" s="884">
        <f>IF(AND($AS$39="Early Payoff",J300&gt;=$S$13),0,IF($J300&lt;=$S$6,SUM($R$20:$R300),0))</f>
        <v>0</v>
      </c>
      <c r="U300" s="885">
        <f t="shared" si="104"/>
        <v>0</v>
      </c>
      <c r="V300" s="1110">
        <f t="shared" si="112"/>
        <v>0</v>
      </c>
      <c r="X300" s="1102">
        <f t="shared" si="105"/>
        <v>0</v>
      </c>
      <c r="Y300" s="873">
        <f t="shared" si="106"/>
        <v>0</v>
      </c>
      <c r="Z300" s="873">
        <f t="shared" si="107"/>
        <v>0</v>
      </c>
      <c r="AA300" s="885">
        <f t="shared" si="108"/>
        <v>0</v>
      </c>
    </row>
    <row r="301" spans="2:27" s="278" customFormat="1" ht="12" customHeight="1" x14ac:dyDescent="0.25">
      <c r="B301" s="1192" t="e">
        <f t="shared" si="113"/>
        <v>#N/A</v>
      </c>
      <c r="C301" s="732">
        <f t="shared" si="99"/>
        <v>31</v>
      </c>
      <c r="D301" s="35">
        <f t="shared" si="100"/>
        <v>3</v>
      </c>
      <c r="E301" s="889">
        <f t="shared" si="119"/>
        <v>97246</v>
      </c>
      <c r="F301" s="822">
        <f t="shared" si="101"/>
        <v>3</v>
      </c>
      <c r="G301" s="500">
        <f t="shared" si="114"/>
        <v>212</v>
      </c>
      <c r="H301" s="126">
        <f t="shared" si="102"/>
        <v>0</v>
      </c>
      <c r="I301" s="1098">
        <f t="shared" si="120"/>
        <v>0</v>
      </c>
      <c r="J301" s="887">
        <f t="shared" si="115"/>
        <v>282</v>
      </c>
      <c r="K301" s="1099">
        <f t="shared" si="109"/>
        <v>282</v>
      </c>
      <c r="L301" s="891" t="str">
        <f t="shared" si="110"/>
        <v>March</v>
      </c>
      <c r="M301" s="888">
        <f t="shared" si="116"/>
        <v>2166</v>
      </c>
      <c r="N301" s="883">
        <f t="shared" si="111"/>
        <v>0</v>
      </c>
      <c r="O301" s="883">
        <f t="shared" si="117"/>
        <v>0</v>
      </c>
      <c r="P301" s="1100"/>
      <c r="Q301" s="883">
        <f t="shared" si="103"/>
        <v>0</v>
      </c>
      <c r="R301" s="884">
        <f t="shared" si="118"/>
        <v>0</v>
      </c>
      <c r="S301" s="884">
        <f>IF(AND($AS$39="Early Payoff",J301&gt;=$S$13),0,IF($J301&lt;=$S$6,SUM($Q$20:$Q301),0))</f>
        <v>0</v>
      </c>
      <c r="T301" s="884">
        <f>IF(AND($AS$39="Early Payoff",J301&gt;=$S$13),0,IF($J301&lt;=$S$6,SUM($R$20:$R301),0))</f>
        <v>0</v>
      </c>
      <c r="U301" s="885">
        <f t="shared" si="104"/>
        <v>0</v>
      </c>
      <c r="V301" s="1110">
        <f t="shared" si="112"/>
        <v>0</v>
      </c>
      <c r="X301" s="1102">
        <f t="shared" si="105"/>
        <v>0</v>
      </c>
      <c r="Y301" s="873">
        <f t="shared" si="106"/>
        <v>0</v>
      </c>
      <c r="Z301" s="873">
        <f t="shared" si="107"/>
        <v>0</v>
      </c>
      <c r="AA301" s="885">
        <f t="shared" si="108"/>
        <v>0</v>
      </c>
    </row>
    <row r="302" spans="2:27" s="278" customFormat="1" ht="12" customHeight="1" x14ac:dyDescent="0.25">
      <c r="B302" s="1192" t="e">
        <f t="shared" si="113"/>
        <v>#N/A</v>
      </c>
      <c r="C302" s="732">
        <f t="shared" si="99"/>
        <v>31</v>
      </c>
      <c r="D302" s="35">
        <f t="shared" si="100"/>
        <v>8</v>
      </c>
      <c r="E302" s="889">
        <f t="shared" si="119"/>
        <v>97399</v>
      </c>
      <c r="F302" s="822">
        <f t="shared" si="101"/>
        <v>8</v>
      </c>
      <c r="G302" s="500">
        <f t="shared" si="114"/>
        <v>153</v>
      </c>
      <c r="H302" s="126">
        <f t="shared" si="102"/>
        <v>0</v>
      </c>
      <c r="I302" s="1098">
        <f t="shared" si="120"/>
        <v>1</v>
      </c>
      <c r="J302" s="887">
        <f t="shared" si="115"/>
        <v>283</v>
      </c>
      <c r="K302" s="1099">
        <f t="shared" si="109"/>
        <v>283</v>
      </c>
      <c r="L302" s="891" t="str">
        <f t="shared" si="110"/>
        <v>August</v>
      </c>
      <c r="M302" s="888">
        <f t="shared" si="116"/>
        <v>2166</v>
      </c>
      <c r="N302" s="883">
        <f t="shared" si="111"/>
        <v>0</v>
      </c>
      <c r="O302" s="883">
        <f t="shared" si="117"/>
        <v>0</v>
      </c>
      <c r="P302" s="1100"/>
      <c r="Q302" s="883">
        <f t="shared" si="103"/>
        <v>0</v>
      </c>
      <c r="R302" s="884">
        <f t="shared" si="118"/>
        <v>0</v>
      </c>
      <c r="S302" s="884">
        <f>IF(AND($AS$39="Early Payoff",J302&gt;=$S$13),0,IF($J302&lt;=$S$6,SUM($Q$20:$Q302),0))</f>
        <v>0</v>
      </c>
      <c r="T302" s="884">
        <f>IF(AND($AS$39="Early Payoff",J302&gt;=$S$13),0,IF($J302&lt;=$S$6,SUM($R$20:$R302),0))</f>
        <v>0</v>
      </c>
      <c r="U302" s="885">
        <f t="shared" si="104"/>
        <v>0</v>
      </c>
      <c r="V302" s="1110">
        <f t="shared" si="112"/>
        <v>0</v>
      </c>
      <c r="X302" s="1102">
        <f t="shared" si="105"/>
        <v>0</v>
      </c>
      <c r="Y302" s="873">
        <f t="shared" si="106"/>
        <v>0</v>
      </c>
      <c r="Z302" s="873">
        <f t="shared" si="107"/>
        <v>0</v>
      </c>
      <c r="AA302" s="885">
        <f t="shared" si="108"/>
        <v>0</v>
      </c>
    </row>
    <row r="303" spans="2:27" s="278" customFormat="1" ht="12" customHeight="1" x14ac:dyDescent="0.25">
      <c r="B303" s="1192" t="e">
        <f t="shared" si="113"/>
        <v>#N/A</v>
      </c>
      <c r="C303" s="732">
        <f t="shared" si="99"/>
        <v>31</v>
      </c>
      <c r="D303" s="35">
        <f t="shared" si="100"/>
        <v>3</v>
      </c>
      <c r="E303" s="889">
        <f t="shared" si="119"/>
        <v>97611</v>
      </c>
      <c r="F303" s="822">
        <f t="shared" si="101"/>
        <v>3</v>
      </c>
      <c r="G303" s="500">
        <f t="shared" si="114"/>
        <v>212</v>
      </c>
      <c r="H303" s="126">
        <f t="shared" si="102"/>
        <v>0</v>
      </c>
      <c r="I303" s="1098">
        <f t="shared" si="120"/>
        <v>0</v>
      </c>
      <c r="J303" s="887">
        <f t="shared" si="115"/>
        <v>284</v>
      </c>
      <c r="K303" s="1099">
        <f t="shared" si="109"/>
        <v>284</v>
      </c>
      <c r="L303" s="891" t="str">
        <f t="shared" si="110"/>
        <v>March</v>
      </c>
      <c r="M303" s="888">
        <f t="shared" si="116"/>
        <v>2167</v>
      </c>
      <c r="N303" s="883">
        <f t="shared" si="111"/>
        <v>0</v>
      </c>
      <c r="O303" s="883">
        <f t="shared" si="117"/>
        <v>0</v>
      </c>
      <c r="P303" s="1100"/>
      <c r="Q303" s="883">
        <f t="shared" si="103"/>
        <v>0</v>
      </c>
      <c r="R303" s="884">
        <f t="shared" si="118"/>
        <v>0</v>
      </c>
      <c r="S303" s="884">
        <f>IF(AND($AS$39="Early Payoff",J303&gt;=$S$13),0,IF($J303&lt;=$S$6,SUM($Q$20:$Q303),0))</f>
        <v>0</v>
      </c>
      <c r="T303" s="884">
        <f>IF(AND($AS$39="Early Payoff",J303&gt;=$S$13),0,IF($J303&lt;=$S$6,SUM($R$20:$R303),0))</f>
        <v>0</v>
      </c>
      <c r="U303" s="885">
        <f t="shared" si="104"/>
        <v>0</v>
      </c>
      <c r="V303" s="1110">
        <f t="shared" si="112"/>
        <v>0</v>
      </c>
      <c r="X303" s="1102">
        <f t="shared" si="105"/>
        <v>0</v>
      </c>
      <c r="Y303" s="873">
        <f t="shared" si="106"/>
        <v>0</v>
      </c>
      <c r="Z303" s="873">
        <f t="shared" si="107"/>
        <v>0</v>
      </c>
      <c r="AA303" s="885">
        <f t="shared" si="108"/>
        <v>0</v>
      </c>
    </row>
    <row r="304" spans="2:27" s="278" customFormat="1" ht="12" customHeight="1" x14ac:dyDescent="0.25">
      <c r="B304" s="1192" t="e">
        <f t="shared" si="113"/>
        <v>#N/A</v>
      </c>
      <c r="C304" s="732">
        <f t="shared" si="99"/>
        <v>31</v>
      </c>
      <c r="D304" s="35">
        <f t="shared" si="100"/>
        <v>8</v>
      </c>
      <c r="E304" s="889">
        <f t="shared" si="119"/>
        <v>97764</v>
      </c>
      <c r="F304" s="822">
        <f t="shared" si="101"/>
        <v>8</v>
      </c>
      <c r="G304" s="500">
        <f t="shared" si="114"/>
        <v>153</v>
      </c>
      <c r="H304" s="126">
        <f t="shared" si="102"/>
        <v>0</v>
      </c>
      <c r="I304" s="1098">
        <f t="shared" si="120"/>
        <v>1</v>
      </c>
      <c r="J304" s="887">
        <f t="shared" si="115"/>
        <v>285</v>
      </c>
      <c r="K304" s="1099">
        <f t="shared" si="109"/>
        <v>285</v>
      </c>
      <c r="L304" s="891" t="str">
        <f t="shared" si="110"/>
        <v>August</v>
      </c>
      <c r="M304" s="888">
        <f t="shared" si="116"/>
        <v>2167</v>
      </c>
      <c r="N304" s="883">
        <f t="shared" si="111"/>
        <v>0</v>
      </c>
      <c r="O304" s="883">
        <f t="shared" si="117"/>
        <v>0</v>
      </c>
      <c r="P304" s="1100"/>
      <c r="Q304" s="883">
        <f t="shared" si="103"/>
        <v>0</v>
      </c>
      <c r="R304" s="884">
        <f t="shared" si="118"/>
        <v>0</v>
      </c>
      <c r="S304" s="884">
        <f>IF(AND($AS$39="Early Payoff",J304&gt;=$S$13),0,IF($J304&lt;=$S$6,SUM($Q$20:$Q304),0))</f>
        <v>0</v>
      </c>
      <c r="T304" s="884">
        <f>IF(AND($AS$39="Early Payoff",J304&gt;=$S$13),0,IF($J304&lt;=$S$6,SUM($R$20:$R304),0))</f>
        <v>0</v>
      </c>
      <c r="U304" s="885">
        <f t="shared" si="104"/>
        <v>0</v>
      </c>
      <c r="V304" s="1110">
        <f t="shared" si="112"/>
        <v>0</v>
      </c>
      <c r="X304" s="1102">
        <f t="shared" si="105"/>
        <v>0</v>
      </c>
      <c r="Y304" s="873">
        <f t="shared" si="106"/>
        <v>0</v>
      </c>
      <c r="Z304" s="873">
        <f t="shared" si="107"/>
        <v>0</v>
      </c>
      <c r="AA304" s="885">
        <f t="shared" si="108"/>
        <v>0</v>
      </c>
    </row>
    <row r="305" spans="2:27" s="278" customFormat="1" ht="12" customHeight="1" x14ac:dyDescent="0.25">
      <c r="B305" s="1192" t="e">
        <f t="shared" si="113"/>
        <v>#N/A</v>
      </c>
      <c r="C305" s="732">
        <f t="shared" si="99"/>
        <v>31</v>
      </c>
      <c r="D305" s="35">
        <f t="shared" si="100"/>
        <v>3</v>
      </c>
      <c r="E305" s="889">
        <f t="shared" si="119"/>
        <v>97977</v>
      </c>
      <c r="F305" s="822">
        <f t="shared" si="101"/>
        <v>3</v>
      </c>
      <c r="G305" s="500">
        <f t="shared" si="114"/>
        <v>213</v>
      </c>
      <c r="H305" s="126">
        <f t="shared" si="102"/>
        <v>0</v>
      </c>
      <c r="I305" s="1098">
        <f t="shared" si="120"/>
        <v>0</v>
      </c>
      <c r="J305" s="887">
        <f t="shared" si="115"/>
        <v>286</v>
      </c>
      <c r="K305" s="1099">
        <f t="shared" si="109"/>
        <v>286</v>
      </c>
      <c r="L305" s="891" t="str">
        <f t="shared" si="110"/>
        <v>March</v>
      </c>
      <c r="M305" s="888">
        <f t="shared" si="116"/>
        <v>2168</v>
      </c>
      <c r="N305" s="883">
        <f t="shared" si="111"/>
        <v>0</v>
      </c>
      <c r="O305" s="883">
        <f t="shared" si="117"/>
        <v>0</v>
      </c>
      <c r="P305" s="1100"/>
      <c r="Q305" s="883">
        <f t="shared" si="103"/>
        <v>0</v>
      </c>
      <c r="R305" s="884">
        <f t="shared" si="118"/>
        <v>0</v>
      </c>
      <c r="S305" s="884">
        <f>IF(AND($AS$39="Early Payoff",J305&gt;=$S$13),0,IF($J305&lt;=$S$6,SUM($Q$20:$Q305),0))</f>
        <v>0</v>
      </c>
      <c r="T305" s="884">
        <f>IF(AND($AS$39="Early Payoff",J305&gt;=$S$13),0,IF($J305&lt;=$S$6,SUM($R$20:$R305),0))</f>
        <v>0</v>
      </c>
      <c r="U305" s="885">
        <f t="shared" si="104"/>
        <v>0</v>
      </c>
      <c r="V305" s="1110">
        <f t="shared" si="112"/>
        <v>0</v>
      </c>
      <c r="X305" s="1102">
        <f t="shared" si="105"/>
        <v>0</v>
      </c>
      <c r="Y305" s="873">
        <f t="shared" si="106"/>
        <v>0</v>
      </c>
      <c r="Z305" s="873">
        <f t="shared" si="107"/>
        <v>0</v>
      </c>
      <c r="AA305" s="885">
        <f t="shared" si="108"/>
        <v>0</v>
      </c>
    </row>
    <row r="306" spans="2:27" s="278" customFormat="1" ht="12" customHeight="1" x14ac:dyDescent="0.25">
      <c r="B306" s="1192" t="e">
        <f t="shared" si="113"/>
        <v>#N/A</v>
      </c>
      <c r="C306" s="732">
        <f t="shared" si="99"/>
        <v>31</v>
      </c>
      <c r="D306" s="35">
        <f t="shared" si="100"/>
        <v>8</v>
      </c>
      <c r="E306" s="889">
        <f t="shared" si="119"/>
        <v>98130</v>
      </c>
      <c r="F306" s="822">
        <f t="shared" si="101"/>
        <v>8</v>
      </c>
      <c r="G306" s="500">
        <f t="shared" si="114"/>
        <v>153</v>
      </c>
      <c r="H306" s="126">
        <f t="shared" si="102"/>
        <v>0</v>
      </c>
      <c r="I306" s="1098">
        <f t="shared" si="120"/>
        <v>1</v>
      </c>
      <c r="J306" s="887">
        <f t="shared" si="115"/>
        <v>287</v>
      </c>
      <c r="K306" s="1099">
        <f t="shared" si="109"/>
        <v>287</v>
      </c>
      <c r="L306" s="891" t="str">
        <f t="shared" si="110"/>
        <v>August</v>
      </c>
      <c r="M306" s="888">
        <f t="shared" si="116"/>
        <v>2168</v>
      </c>
      <c r="N306" s="883">
        <f t="shared" si="111"/>
        <v>0</v>
      </c>
      <c r="O306" s="883">
        <f t="shared" si="117"/>
        <v>0</v>
      </c>
      <c r="P306" s="1100"/>
      <c r="Q306" s="883">
        <f t="shared" si="103"/>
        <v>0</v>
      </c>
      <c r="R306" s="884">
        <f t="shared" si="118"/>
        <v>0</v>
      </c>
      <c r="S306" s="884">
        <f>IF(AND($AS$39="Early Payoff",J306&gt;=$S$13),0,IF($J306&lt;=$S$6,SUM($Q$20:$Q306),0))</f>
        <v>0</v>
      </c>
      <c r="T306" s="884">
        <f>IF(AND($AS$39="Early Payoff",J306&gt;=$S$13),0,IF($J306&lt;=$S$6,SUM($R$20:$R306),0))</f>
        <v>0</v>
      </c>
      <c r="U306" s="885">
        <f t="shared" si="104"/>
        <v>0</v>
      </c>
      <c r="V306" s="1110">
        <f t="shared" si="112"/>
        <v>0</v>
      </c>
      <c r="X306" s="1102">
        <f t="shared" si="105"/>
        <v>0</v>
      </c>
      <c r="Y306" s="873">
        <f t="shared" si="106"/>
        <v>0</v>
      </c>
      <c r="Z306" s="873">
        <f t="shared" si="107"/>
        <v>0</v>
      </c>
      <c r="AA306" s="885">
        <f t="shared" si="108"/>
        <v>0</v>
      </c>
    </row>
    <row r="307" spans="2:27" s="278" customFormat="1" ht="12" customHeight="1" x14ac:dyDescent="0.25">
      <c r="B307" s="1192" t="e">
        <f t="shared" si="113"/>
        <v>#N/A</v>
      </c>
      <c r="C307" s="732">
        <f t="shared" si="99"/>
        <v>31</v>
      </c>
      <c r="D307" s="35">
        <f t="shared" si="100"/>
        <v>3</v>
      </c>
      <c r="E307" s="889">
        <f t="shared" si="119"/>
        <v>98342</v>
      </c>
      <c r="F307" s="822">
        <f t="shared" si="101"/>
        <v>3</v>
      </c>
      <c r="G307" s="500">
        <f t="shared" si="114"/>
        <v>212</v>
      </c>
      <c r="H307" s="126">
        <f t="shared" si="102"/>
        <v>0</v>
      </c>
      <c r="I307" s="1098">
        <f t="shared" si="120"/>
        <v>0</v>
      </c>
      <c r="J307" s="887">
        <f t="shared" si="115"/>
        <v>288</v>
      </c>
      <c r="K307" s="1099">
        <f t="shared" si="109"/>
        <v>288</v>
      </c>
      <c r="L307" s="891" t="str">
        <f t="shared" si="110"/>
        <v>March</v>
      </c>
      <c r="M307" s="888">
        <f t="shared" si="116"/>
        <v>2169</v>
      </c>
      <c r="N307" s="883">
        <f t="shared" si="111"/>
        <v>0</v>
      </c>
      <c r="O307" s="883">
        <f t="shared" si="117"/>
        <v>0</v>
      </c>
      <c r="P307" s="1100"/>
      <c r="Q307" s="883">
        <f t="shared" si="103"/>
        <v>0</v>
      </c>
      <c r="R307" s="884">
        <f t="shared" si="118"/>
        <v>0</v>
      </c>
      <c r="S307" s="884">
        <f>IF(AND($AS$39="Early Payoff",J307&gt;=$S$13),0,IF($J307&lt;=$S$6,SUM($Q$20:$Q307),0))</f>
        <v>0</v>
      </c>
      <c r="T307" s="884">
        <f>IF(AND($AS$39="Early Payoff",J307&gt;=$S$13),0,IF($J307&lt;=$S$6,SUM($R$20:$R307),0))</f>
        <v>0</v>
      </c>
      <c r="U307" s="885">
        <f t="shared" si="104"/>
        <v>0</v>
      </c>
      <c r="V307" s="1110">
        <f t="shared" si="112"/>
        <v>0</v>
      </c>
      <c r="X307" s="1102">
        <f t="shared" si="105"/>
        <v>0</v>
      </c>
      <c r="Y307" s="873">
        <f t="shared" si="106"/>
        <v>0</v>
      </c>
      <c r="Z307" s="873">
        <f t="shared" si="107"/>
        <v>0</v>
      </c>
      <c r="AA307" s="885">
        <f t="shared" si="108"/>
        <v>0</v>
      </c>
    </row>
    <row r="308" spans="2:27" s="278" customFormat="1" ht="12" customHeight="1" x14ac:dyDescent="0.25">
      <c r="B308" s="1192" t="e">
        <f t="shared" si="113"/>
        <v>#N/A</v>
      </c>
      <c r="C308" s="732">
        <f t="shared" si="99"/>
        <v>31</v>
      </c>
      <c r="D308" s="35">
        <f t="shared" si="100"/>
        <v>8</v>
      </c>
      <c r="E308" s="889">
        <f t="shared" si="119"/>
        <v>98495</v>
      </c>
      <c r="F308" s="822">
        <f t="shared" si="101"/>
        <v>8</v>
      </c>
      <c r="G308" s="500">
        <f t="shared" si="114"/>
        <v>153</v>
      </c>
      <c r="H308" s="126">
        <f t="shared" si="102"/>
        <v>0</v>
      </c>
      <c r="I308" s="1098">
        <f t="shared" si="120"/>
        <v>1</v>
      </c>
      <c r="J308" s="887">
        <f t="shared" si="115"/>
        <v>289</v>
      </c>
      <c r="K308" s="1099">
        <f t="shared" si="109"/>
        <v>289</v>
      </c>
      <c r="L308" s="891" t="str">
        <f t="shared" si="110"/>
        <v>August</v>
      </c>
      <c r="M308" s="888">
        <f t="shared" si="116"/>
        <v>2169</v>
      </c>
      <c r="N308" s="883">
        <f t="shared" si="111"/>
        <v>0</v>
      </c>
      <c r="O308" s="883">
        <f t="shared" si="117"/>
        <v>0</v>
      </c>
      <c r="P308" s="1100"/>
      <c r="Q308" s="883">
        <f t="shared" si="103"/>
        <v>0</v>
      </c>
      <c r="R308" s="884">
        <f t="shared" si="118"/>
        <v>0</v>
      </c>
      <c r="S308" s="884">
        <f>IF(AND($AS$39="Early Payoff",J308&gt;=$S$13),0,IF($J308&lt;=$S$6,SUM($Q$20:$Q308),0))</f>
        <v>0</v>
      </c>
      <c r="T308" s="884">
        <f>IF(AND($AS$39="Early Payoff",J308&gt;=$S$13),0,IF($J308&lt;=$S$6,SUM($R$20:$R308),0))</f>
        <v>0</v>
      </c>
      <c r="U308" s="885">
        <f t="shared" si="104"/>
        <v>0</v>
      </c>
      <c r="V308" s="1110">
        <f t="shared" si="112"/>
        <v>0</v>
      </c>
      <c r="X308" s="1102">
        <f t="shared" si="105"/>
        <v>0</v>
      </c>
      <c r="Y308" s="873">
        <f t="shared" si="106"/>
        <v>0</v>
      </c>
      <c r="Z308" s="873">
        <f t="shared" si="107"/>
        <v>0</v>
      </c>
      <c r="AA308" s="885">
        <f t="shared" si="108"/>
        <v>0</v>
      </c>
    </row>
    <row r="309" spans="2:27" s="278" customFormat="1" ht="12" customHeight="1" x14ac:dyDescent="0.25">
      <c r="B309" s="1192" t="e">
        <f t="shared" si="113"/>
        <v>#N/A</v>
      </c>
      <c r="C309" s="732">
        <f t="shared" si="99"/>
        <v>31</v>
      </c>
      <c r="D309" s="35">
        <f t="shared" si="100"/>
        <v>3</v>
      </c>
      <c r="E309" s="889">
        <f t="shared" si="119"/>
        <v>98707</v>
      </c>
      <c r="F309" s="822">
        <f t="shared" si="101"/>
        <v>3</v>
      </c>
      <c r="G309" s="500">
        <f t="shared" si="114"/>
        <v>212</v>
      </c>
      <c r="H309" s="126">
        <f t="shared" si="102"/>
        <v>0</v>
      </c>
      <c r="I309" s="1098">
        <f t="shared" si="120"/>
        <v>0</v>
      </c>
      <c r="J309" s="887">
        <f t="shared" si="115"/>
        <v>290</v>
      </c>
      <c r="K309" s="1099">
        <f t="shared" si="109"/>
        <v>290</v>
      </c>
      <c r="L309" s="891" t="str">
        <f t="shared" si="110"/>
        <v>March</v>
      </c>
      <c r="M309" s="888">
        <f t="shared" si="116"/>
        <v>2170</v>
      </c>
      <c r="N309" s="883">
        <f t="shared" si="111"/>
        <v>0</v>
      </c>
      <c r="O309" s="883">
        <f t="shared" si="117"/>
        <v>0</v>
      </c>
      <c r="P309" s="1100"/>
      <c r="Q309" s="883">
        <f t="shared" si="103"/>
        <v>0</v>
      </c>
      <c r="R309" s="884">
        <f t="shared" si="118"/>
        <v>0</v>
      </c>
      <c r="S309" s="884">
        <f>IF(AND($AS$39="Early Payoff",J309&gt;=$S$13),0,IF($J309&lt;=$S$6,SUM($Q$20:$Q309),0))</f>
        <v>0</v>
      </c>
      <c r="T309" s="884">
        <f>IF(AND($AS$39="Early Payoff",J309&gt;=$S$13),0,IF($J309&lt;=$S$6,SUM($R$20:$R309),0))</f>
        <v>0</v>
      </c>
      <c r="U309" s="885">
        <f t="shared" si="104"/>
        <v>0</v>
      </c>
      <c r="V309" s="1110">
        <f t="shared" si="112"/>
        <v>0</v>
      </c>
      <c r="X309" s="1102">
        <f t="shared" si="105"/>
        <v>0</v>
      </c>
      <c r="Y309" s="873">
        <f t="shared" si="106"/>
        <v>0</v>
      </c>
      <c r="Z309" s="873">
        <f t="shared" si="107"/>
        <v>0</v>
      </c>
      <c r="AA309" s="885">
        <f t="shared" si="108"/>
        <v>0</v>
      </c>
    </row>
    <row r="310" spans="2:27" s="278" customFormat="1" ht="12" customHeight="1" x14ac:dyDescent="0.25">
      <c r="B310" s="1192" t="e">
        <f t="shared" si="113"/>
        <v>#N/A</v>
      </c>
      <c r="C310" s="732">
        <f t="shared" si="99"/>
        <v>31</v>
      </c>
      <c r="D310" s="35">
        <f t="shared" si="100"/>
        <v>8</v>
      </c>
      <c r="E310" s="889">
        <f t="shared" si="119"/>
        <v>98860</v>
      </c>
      <c r="F310" s="822">
        <f t="shared" si="101"/>
        <v>8</v>
      </c>
      <c r="G310" s="500">
        <f t="shared" si="114"/>
        <v>153</v>
      </c>
      <c r="H310" s="126">
        <f t="shared" si="102"/>
        <v>0</v>
      </c>
      <c r="I310" s="1098">
        <f t="shared" si="120"/>
        <v>1</v>
      </c>
      <c r="J310" s="887">
        <f t="shared" si="115"/>
        <v>291</v>
      </c>
      <c r="K310" s="1099">
        <f t="shared" si="109"/>
        <v>291</v>
      </c>
      <c r="L310" s="891" t="str">
        <f t="shared" si="110"/>
        <v>August</v>
      </c>
      <c r="M310" s="888">
        <f t="shared" si="116"/>
        <v>2170</v>
      </c>
      <c r="N310" s="883">
        <f t="shared" si="111"/>
        <v>0</v>
      </c>
      <c r="O310" s="883">
        <f t="shared" si="117"/>
        <v>0</v>
      </c>
      <c r="P310" s="1100"/>
      <c r="Q310" s="883">
        <f t="shared" si="103"/>
        <v>0</v>
      </c>
      <c r="R310" s="884">
        <f t="shared" si="118"/>
        <v>0</v>
      </c>
      <c r="S310" s="884">
        <f>IF(AND($AS$39="Early Payoff",J310&gt;=$S$13),0,IF($J310&lt;=$S$6,SUM($Q$20:$Q310),0))</f>
        <v>0</v>
      </c>
      <c r="T310" s="884">
        <f>IF(AND($AS$39="Early Payoff",J310&gt;=$S$13),0,IF($J310&lt;=$S$6,SUM($R$20:$R310),0))</f>
        <v>0</v>
      </c>
      <c r="U310" s="885">
        <f t="shared" si="104"/>
        <v>0</v>
      </c>
      <c r="V310" s="1110">
        <f t="shared" si="112"/>
        <v>0</v>
      </c>
      <c r="X310" s="1102">
        <f t="shared" si="105"/>
        <v>0</v>
      </c>
      <c r="Y310" s="873">
        <f t="shared" si="106"/>
        <v>0</v>
      </c>
      <c r="Z310" s="873">
        <f t="shared" si="107"/>
        <v>0</v>
      </c>
      <c r="AA310" s="885">
        <f t="shared" si="108"/>
        <v>0</v>
      </c>
    </row>
    <row r="311" spans="2:27" s="278" customFormat="1" ht="12" customHeight="1" x14ac:dyDescent="0.25">
      <c r="B311" s="1192" t="e">
        <f t="shared" si="113"/>
        <v>#N/A</v>
      </c>
      <c r="C311" s="732">
        <f t="shared" si="99"/>
        <v>31</v>
      </c>
      <c r="D311" s="35">
        <f t="shared" si="100"/>
        <v>3</v>
      </c>
      <c r="E311" s="889">
        <f t="shared" si="119"/>
        <v>99072</v>
      </c>
      <c r="F311" s="822">
        <f t="shared" si="101"/>
        <v>3</v>
      </c>
      <c r="G311" s="500">
        <f t="shared" si="114"/>
        <v>212</v>
      </c>
      <c r="H311" s="126">
        <f t="shared" si="102"/>
        <v>0</v>
      </c>
      <c r="I311" s="1098">
        <f t="shared" si="120"/>
        <v>0</v>
      </c>
      <c r="J311" s="887">
        <f t="shared" si="115"/>
        <v>292</v>
      </c>
      <c r="K311" s="1099">
        <f t="shared" si="109"/>
        <v>292</v>
      </c>
      <c r="L311" s="891" t="str">
        <f t="shared" si="110"/>
        <v>March</v>
      </c>
      <c r="M311" s="888">
        <f t="shared" si="116"/>
        <v>2171</v>
      </c>
      <c r="N311" s="883">
        <f t="shared" si="111"/>
        <v>0</v>
      </c>
      <c r="O311" s="883">
        <f t="shared" si="117"/>
        <v>0</v>
      </c>
      <c r="P311" s="1100"/>
      <c r="Q311" s="883">
        <f t="shared" si="103"/>
        <v>0</v>
      </c>
      <c r="R311" s="884">
        <f t="shared" si="118"/>
        <v>0</v>
      </c>
      <c r="S311" s="884">
        <f>IF(AND($AS$39="Early Payoff",J311&gt;=$S$13),0,IF($J311&lt;=$S$6,SUM($Q$20:$Q311),0))</f>
        <v>0</v>
      </c>
      <c r="T311" s="884">
        <f>IF(AND($AS$39="Early Payoff",J311&gt;=$S$13),0,IF($J311&lt;=$S$6,SUM($R$20:$R311),0))</f>
        <v>0</v>
      </c>
      <c r="U311" s="885">
        <f t="shared" si="104"/>
        <v>0</v>
      </c>
      <c r="V311" s="1110">
        <f t="shared" si="112"/>
        <v>0</v>
      </c>
      <c r="X311" s="1102">
        <f t="shared" si="105"/>
        <v>0</v>
      </c>
      <c r="Y311" s="873">
        <f t="shared" si="106"/>
        <v>0</v>
      </c>
      <c r="Z311" s="873">
        <f t="shared" si="107"/>
        <v>0</v>
      </c>
      <c r="AA311" s="885">
        <f t="shared" si="108"/>
        <v>0</v>
      </c>
    </row>
    <row r="312" spans="2:27" s="278" customFormat="1" ht="12" customHeight="1" x14ac:dyDescent="0.25">
      <c r="B312" s="1192" t="e">
        <f t="shared" si="113"/>
        <v>#N/A</v>
      </c>
      <c r="C312" s="732">
        <f t="shared" si="99"/>
        <v>31</v>
      </c>
      <c r="D312" s="35">
        <f t="shared" si="100"/>
        <v>8</v>
      </c>
      <c r="E312" s="889">
        <f t="shared" si="119"/>
        <v>99225</v>
      </c>
      <c r="F312" s="822">
        <f t="shared" si="101"/>
        <v>8</v>
      </c>
      <c r="G312" s="500">
        <f t="shared" si="114"/>
        <v>153</v>
      </c>
      <c r="H312" s="126">
        <f t="shared" si="102"/>
        <v>0</v>
      </c>
      <c r="I312" s="1098">
        <f t="shared" si="120"/>
        <v>1</v>
      </c>
      <c r="J312" s="887">
        <f t="shared" si="115"/>
        <v>293</v>
      </c>
      <c r="K312" s="1099">
        <f t="shared" si="109"/>
        <v>293</v>
      </c>
      <c r="L312" s="891" t="str">
        <f t="shared" si="110"/>
        <v>August</v>
      </c>
      <c r="M312" s="888">
        <f t="shared" si="116"/>
        <v>2171</v>
      </c>
      <c r="N312" s="883">
        <f t="shared" si="111"/>
        <v>0</v>
      </c>
      <c r="O312" s="883">
        <f t="shared" si="117"/>
        <v>0</v>
      </c>
      <c r="P312" s="1100"/>
      <c r="Q312" s="883">
        <f t="shared" si="103"/>
        <v>0</v>
      </c>
      <c r="R312" s="884">
        <f t="shared" si="118"/>
        <v>0</v>
      </c>
      <c r="S312" s="884">
        <f>IF(AND($AS$39="Early Payoff",J312&gt;=$S$13),0,IF($J312&lt;=$S$6,SUM($Q$20:$Q312),0))</f>
        <v>0</v>
      </c>
      <c r="T312" s="884">
        <f>IF(AND($AS$39="Early Payoff",J312&gt;=$S$13),0,IF($J312&lt;=$S$6,SUM($R$20:$R312),0))</f>
        <v>0</v>
      </c>
      <c r="U312" s="885">
        <f t="shared" si="104"/>
        <v>0</v>
      </c>
      <c r="V312" s="1110">
        <f t="shared" si="112"/>
        <v>0</v>
      </c>
      <c r="X312" s="1102">
        <f t="shared" si="105"/>
        <v>0</v>
      </c>
      <c r="Y312" s="873">
        <f t="shared" si="106"/>
        <v>0</v>
      </c>
      <c r="Z312" s="873">
        <f t="shared" si="107"/>
        <v>0</v>
      </c>
      <c r="AA312" s="885">
        <f t="shared" si="108"/>
        <v>0</v>
      </c>
    </row>
    <row r="313" spans="2:27" s="278" customFormat="1" ht="12" customHeight="1" x14ac:dyDescent="0.25">
      <c r="B313" s="1192" t="e">
        <f t="shared" si="113"/>
        <v>#N/A</v>
      </c>
      <c r="C313" s="732">
        <f t="shared" si="99"/>
        <v>31</v>
      </c>
      <c r="D313" s="35">
        <f t="shared" si="100"/>
        <v>3</v>
      </c>
      <c r="E313" s="889">
        <f t="shared" si="119"/>
        <v>99438</v>
      </c>
      <c r="F313" s="822">
        <f t="shared" si="101"/>
        <v>3</v>
      </c>
      <c r="G313" s="500">
        <f t="shared" si="114"/>
        <v>213</v>
      </c>
      <c r="H313" s="126">
        <f t="shared" si="102"/>
        <v>0</v>
      </c>
      <c r="I313" s="1098">
        <f t="shared" si="120"/>
        <v>0</v>
      </c>
      <c r="J313" s="887">
        <f t="shared" si="115"/>
        <v>294</v>
      </c>
      <c r="K313" s="1099">
        <f t="shared" si="109"/>
        <v>294</v>
      </c>
      <c r="L313" s="891" t="str">
        <f t="shared" si="110"/>
        <v>March</v>
      </c>
      <c r="M313" s="888">
        <f t="shared" si="116"/>
        <v>2172</v>
      </c>
      <c r="N313" s="883">
        <f t="shared" si="111"/>
        <v>0</v>
      </c>
      <c r="O313" s="883">
        <f t="shared" si="117"/>
        <v>0</v>
      </c>
      <c r="P313" s="1100"/>
      <c r="Q313" s="883">
        <f t="shared" si="103"/>
        <v>0</v>
      </c>
      <c r="R313" s="884">
        <f t="shared" si="118"/>
        <v>0</v>
      </c>
      <c r="S313" s="884">
        <f>IF(AND($AS$39="Early Payoff",J313&gt;=$S$13),0,IF($J313&lt;=$S$6,SUM($Q$20:$Q313),0))</f>
        <v>0</v>
      </c>
      <c r="T313" s="884">
        <f>IF(AND($AS$39="Early Payoff",J313&gt;=$S$13),0,IF($J313&lt;=$S$6,SUM($R$20:$R313),0))</f>
        <v>0</v>
      </c>
      <c r="U313" s="885">
        <f t="shared" si="104"/>
        <v>0</v>
      </c>
      <c r="V313" s="1110">
        <f t="shared" si="112"/>
        <v>0</v>
      </c>
      <c r="X313" s="1102">
        <f t="shared" si="105"/>
        <v>0</v>
      </c>
      <c r="Y313" s="873">
        <f t="shared" si="106"/>
        <v>0</v>
      </c>
      <c r="Z313" s="873">
        <f t="shared" si="107"/>
        <v>0</v>
      </c>
      <c r="AA313" s="885">
        <f t="shared" si="108"/>
        <v>0</v>
      </c>
    </row>
    <row r="314" spans="2:27" s="278" customFormat="1" ht="12" customHeight="1" x14ac:dyDescent="0.25">
      <c r="B314" s="1192" t="e">
        <f t="shared" si="113"/>
        <v>#N/A</v>
      </c>
      <c r="C314" s="732">
        <f t="shared" si="99"/>
        <v>31</v>
      </c>
      <c r="D314" s="35">
        <f t="shared" si="100"/>
        <v>8</v>
      </c>
      <c r="E314" s="889">
        <f t="shared" si="119"/>
        <v>99591</v>
      </c>
      <c r="F314" s="822">
        <f t="shared" si="101"/>
        <v>8</v>
      </c>
      <c r="G314" s="500">
        <f t="shared" si="114"/>
        <v>153</v>
      </c>
      <c r="H314" s="126">
        <f t="shared" si="102"/>
        <v>0</v>
      </c>
      <c r="I314" s="1098">
        <f t="shared" si="120"/>
        <v>1</v>
      </c>
      <c r="J314" s="887">
        <f t="shared" si="115"/>
        <v>295</v>
      </c>
      <c r="K314" s="1099">
        <f t="shared" si="109"/>
        <v>295</v>
      </c>
      <c r="L314" s="891" t="str">
        <f t="shared" si="110"/>
        <v>August</v>
      </c>
      <c r="M314" s="888">
        <f t="shared" si="116"/>
        <v>2172</v>
      </c>
      <c r="N314" s="883">
        <f t="shared" si="111"/>
        <v>0</v>
      </c>
      <c r="O314" s="883">
        <f t="shared" si="117"/>
        <v>0</v>
      </c>
      <c r="P314" s="1100"/>
      <c r="Q314" s="883">
        <f t="shared" si="103"/>
        <v>0</v>
      </c>
      <c r="R314" s="884">
        <f t="shared" si="118"/>
        <v>0</v>
      </c>
      <c r="S314" s="884">
        <f>IF(AND($AS$39="Early Payoff",J314&gt;=$S$13),0,IF($J314&lt;=$S$6,SUM($Q$20:$Q314),0))</f>
        <v>0</v>
      </c>
      <c r="T314" s="884">
        <f>IF(AND($AS$39="Early Payoff",J314&gt;=$S$13),0,IF($J314&lt;=$S$6,SUM($R$20:$R314),0))</f>
        <v>0</v>
      </c>
      <c r="U314" s="885">
        <f t="shared" si="104"/>
        <v>0</v>
      </c>
      <c r="V314" s="1110">
        <f t="shared" si="112"/>
        <v>0</v>
      </c>
      <c r="X314" s="1102">
        <f t="shared" si="105"/>
        <v>0</v>
      </c>
      <c r="Y314" s="873">
        <f t="shared" si="106"/>
        <v>0</v>
      </c>
      <c r="Z314" s="873">
        <f t="shared" si="107"/>
        <v>0</v>
      </c>
      <c r="AA314" s="885">
        <f t="shared" si="108"/>
        <v>0</v>
      </c>
    </row>
    <row r="315" spans="2:27" s="278" customFormat="1" ht="12" customHeight="1" x14ac:dyDescent="0.25">
      <c r="B315" s="1192" t="e">
        <f t="shared" si="113"/>
        <v>#N/A</v>
      </c>
      <c r="C315" s="732">
        <f t="shared" si="99"/>
        <v>31</v>
      </c>
      <c r="D315" s="35">
        <f t="shared" si="100"/>
        <v>3</v>
      </c>
      <c r="E315" s="889">
        <f t="shared" si="119"/>
        <v>99803</v>
      </c>
      <c r="F315" s="822">
        <f t="shared" si="101"/>
        <v>3</v>
      </c>
      <c r="G315" s="500">
        <f t="shared" si="114"/>
        <v>212</v>
      </c>
      <c r="H315" s="126">
        <f t="shared" si="102"/>
        <v>0</v>
      </c>
      <c r="I315" s="1098">
        <f t="shared" si="120"/>
        <v>0</v>
      </c>
      <c r="J315" s="887">
        <f t="shared" si="115"/>
        <v>296</v>
      </c>
      <c r="K315" s="1099">
        <f t="shared" si="109"/>
        <v>296</v>
      </c>
      <c r="L315" s="891" t="str">
        <f t="shared" si="110"/>
        <v>March</v>
      </c>
      <c r="M315" s="888">
        <f t="shared" si="116"/>
        <v>2173</v>
      </c>
      <c r="N315" s="883">
        <f t="shared" si="111"/>
        <v>0</v>
      </c>
      <c r="O315" s="883">
        <f t="shared" si="117"/>
        <v>0</v>
      </c>
      <c r="P315" s="1100"/>
      <c r="Q315" s="883">
        <f t="shared" si="103"/>
        <v>0</v>
      </c>
      <c r="R315" s="884">
        <f t="shared" si="118"/>
        <v>0</v>
      </c>
      <c r="S315" s="884">
        <f>IF(AND($AS$39="Early Payoff",J315&gt;=$S$13),0,IF($J315&lt;=$S$6,SUM($Q$20:$Q315),0))</f>
        <v>0</v>
      </c>
      <c r="T315" s="884">
        <f>IF(AND($AS$39="Early Payoff",J315&gt;=$S$13),0,IF($J315&lt;=$S$6,SUM($R$20:$R315),0))</f>
        <v>0</v>
      </c>
      <c r="U315" s="885">
        <f t="shared" si="104"/>
        <v>0</v>
      </c>
      <c r="V315" s="1110">
        <f t="shared" si="112"/>
        <v>0</v>
      </c>
      <c r="X315" s="1102">
        <f t="shared" si="105"/>
        <v>0</v>
      </c>
      <c r="Y315" s="873">
        <f t="shared" si="106"/>
        <v>0</v>
      </c>
      <c r="Z315" s="873">
        <f t="shared" si="107"/>
        <v>0</v>
      </c>
      <c r="AA315" s="885">
        <f t="shared" si="108"/>
        <v>0</v>
      </c>
    </row>
    <row r="316" spans="2:27" s="278" customFormat="1" ht="12" customHeight="1" x14ac:dyDescent="0.25">
      <c r="B316" s="1192" t="e">
        <f t="shared" si="113"/>
        <v>#N/A</v>
      </c>
      <c r="C316" s="732">
        <f t="shared" si="99"/>
        <v>31</v>
      </c>
      <c r="D316" s="35">
        <f t="shared" si="100"/>
        <v>8</v>
      </c>
      <c r="E316" s="889">
        <f t="shared" si="119"/>
        <v>99956</v>
      </c>
      <c r="F316" s="822">
        <f t="shared" si="101"/>
        <v>8</v>
      </c>
      <c r="G316" s="500">
        <f t="shared" si="114"/>
        <v>153</v>
      </c>
      <c r="H316" s="126">
        <f t="shared" si="102"/>
        <v>0</v>
      </c>
      <c r="I316" s="1098">
        <f t="shared" si="120"/>
        <v>1</v>
      </c>
      <c r="J316" s="887">
        <f t="shared" si="115"/>
        <v>297</v>
      </c>
      <c r="K316" s="1099">
        <f t="shared" si="109"/>
        <v>297</v>
      </c>
      <c r="L316" s="891" t="str">
        <f t="shared" si="110"/>
        <v>August</v>
      </c>
      <c r="M316" s="888">
        <f t="shared" si="116"/>
        <v>2173</v>
      </c>
      <c r="N316" s="883">
        <f t="shared" si="111"/>
        <v>0</v>
      </c>
      <c r="O316" s="883">
        <f t="shared" si="117"/>
        <v>0</v>
      </c>
      <c r="P316" s="1100"/>
      <c r="Q316" s="883">
        <f t="shared" si="103"/>
        <v>0</v>
      </c>
      <c r="R316" s="884">
        <f t="shared" si="118"/>
        <v>0</v>
      </c>
      <c r="S316" s="884">
        <f>IF(AND($AS$39="Early Payoff",J316&gt;=$S$13),0,IF($J316&lt;=$S$6,SUM($Q$20:$Q316),0))</f>
        <v>0</v>
      </c>
      <c r="T316" s="884">
        <f>IF(AND($AS$39="Early Payoff",J316&gt;=$S$13),0,IF($J316&lt;=$S$6,SUM($R$20:$R316),0))</f>
        <v>0</v>
      </c>
      <c r="U316" s="885">
        <f t="shared" si="104"/>
        <v>0</v>
      </c>
      <c r="V316" s="1110">
        <f t="shared" si="112"/>
        <v>0</v>
      </c>
      <c r="X316" s="1102">
        <f t="shared" si="105"/>
        <v>0</v>
      </c>
      <c r="Y316" s="873">
        <f t="shared" si="106"/>
        <v>0</v>
      </c>
      <c r="Z316" s="873">
        <f t="shared" si="107"/>
        <v>0</v>
      </c>
      <c r="AA316" s="885">
        <f t="shared" si="108"/>
        <v>0</v>
      </c>
    </row>
    <row r="317" spans="2:27" s="278" customFormat="1" ht="12" customHeight="1" x14ac:dyDescent="0.25">
      <c r="B317" s="1192" t="e">
        <f t="shared" si="113"/>
        <v>#N/A</v>
      </c>
      <c r="C317" s="732">
        <f t="shared" si="99"/>
        <v>31</v>
      </c>
      <c r="D317" s="35">
        <f t="shared" si="100"/>
        <v>3</v>
      </c>
      <c r="E317" s="889">
        <f t="shared" si="119"/>
        <v>100168</v>
      </c>
      <c r="F317" s="822">
        <f t="shared" si="101"/>
        <v>3</v>
      </c>
      <c r="G317" s="500">
        <f t="shared" si="114"/>
        <v>212</v>
      </c>
      <c r="H317" s="126">
        <f t="shared" si="102"/>
        <v>0</v>
      </c>
      <c r="I317" s="1098">
        <f t="shared" si="120"/>
        <v>0</v>
      </c>
      <c r="J317" s="887">
        <f t="shared" si="115"/>
        <v>298</v>
      </c>
      <c r="K317" s="1099">
        <f t="shared" si="109"/>
        <v>298</v>
      </c>
      <c r="L317" s="891" t="str">
        <f t="shared" si="110"/>
        <v>March</v>
      </c>
      <c r="M317" s="888">
        <f t="shared" si="116"/>
        <v>2174</v>
      </c>
      <c r="N317" s="883">
        <f t="shared" si="111"/>
        <v>0</v>
      </c>
      <c r="O317" s="883">
        <f t="shared" si="117"/>
        <v>0</v>
      </c>
      <c r="P317" s="1100"/>
      <c r="Q317" s="883">
        <f t="shared" si="103"/>
        <v>0</v>
      </c>
      <c r="R317" s="884">
        <f t="shared" si="118"/>
        <v>0</v>
      </c>
      <c r="S317" s="884">
        <f>IF(AND($AS$39="Early Payoff",J317&gt;=$S$13),0,IF($J317&lt;=$S$6,SUM($Q$20:$Q317),0))</f>
        <v>0</v>
      </c>
      <c r="T317" s="884">
        <f>IF(AND($AS$39="Early Payoff",J317&gt;=$S$13),0,IF($J317&lt;=$S$6,SUM($R$20:$R317),0))</f>
        <v>0</v>
      </c>
      <c r="U317" s="885">
        <f t="shared" si="104"/>
        <v>0</v>
      </c>
      <c r="V317" s="1110">
        <f t="shared" si="112"/>
        <v>0</v>
      </c>
      <c r="X317" s="1102">
        <f t="shared" si="105"/>
        <v>0</v>
      </c>
      <c r="Y317" s="873">
        <f t="shared" si="106"/>
        <v>0</v>
      </c>
      <c r="Z317" s="873">
        <f t="shared" si="107"/>
        <v>0</v>
      </c>
      <c r="AA317" s="885">
        <f t="shared" si="108"/>
        <v>0</v>
      </c>
    </row>
    <row r="318" spans="2:27" s="278" customFormat="1" ht="12" customHeight="1" x14ac:dyDescent="0.25">
      <c r="B318" s="1192" t="e">
        <f t="shared" si="113"/>
        <v>#N/A</v>
      </c>
      <c r="C318" s="732">
        <f t="shared" si="99"/>
        <v>31</v>
      </c>
      <c r="D318" s="35">
        <f t="shared" si="100"/>
        <v>8</v>
      </c>
      <c r="E318" s="889">
        <f t="shared" si="119"/>
        <v>100321</v>
      </c>
      <c r="F318" s="822">
        <f t="shared" si="101"/>
        <v>8</v>
      </c>
      <c r="G318" s="500">
        <f t="shared" si="114"/>
        <v>153</v>
      </c>
      <c r="H318" s="126">
        <f t="shared" si="102"/>
        <v>0</v>
      </c>
      <c r="I318" s="1098">
        <f t="shared" si="120"/>
        <v>1</v>
      </c>
      <c r="J318" s="887">
        <f t="shared" si="115"/>
        <v>299</v>
      </c>
      <c r="K318" s="1099">
        <f t="shared" si="109"/>
        <v>299</v>
      </c>
      <c r="L318" s="891" t="str">
        <f t="shared" si="110"/>
        <v>August</v>
      </c>
      <c r="M318" s="888">
        <f t="shared" si="116"/>
        <v>2174</v>
      </c>
      <c r="N318" s="883">
        <f t="shared" si="111"/>
        <v>0</v>
      </c>
      <c r="O318" s="883">
        <f t="shared" si="117"/>
        <v>0</v>
      </c>
      <c r="P318" s="1100"/>
      <c r="Q318" s="883">
        <f t="shared" si="103"/>
        <v>0</v>
      </c>
      <c r="R318" s="884">
        <f t="shared" si="118"/>
        <v>0</v>
      </c>
      <c r="S318" s="884">
        <f>IF(AND($AS$39="Early Payoff",J318&gt;=$S$13),0,IF($J318&lt;=$S$6,SUM($Q$20:$Q318),0))</f>
        <v>0</v>
      </c>
      <c r="T318" s="884">
        <f>IF(AND($AS$39="Early Payoff",J318&gt;=$S$13),0,IF($J318&lt;=$S$6,SUM($R$20:$R318),0))</f>
        <v>0</v>
      </c>
      <c r="U318" s="885">
        <f t="shared" si="104"/>
        <v>0</v>
      </c>
      <c r="V318" s="1110">
        <f t="shared" si="112"/>
        <v>0</v>
      </c>
      <c r="X318" s="1102">
        <f t="shared" si="105"/>
        <v>0</v>
      </c>
      <c r="Y318" s="873">
        <f t="shared" si="106"/>
        <v>0</v>
      </c>
      <c r="Z318" s="873">
        <f t="shared" si="107"/>
        <v>0</v>
      </c>
      <c r="AA318" s="885">
        <f t="shared" si="108"/>
        <v>0</v>
      </c>
    </row>
    <row r="319" spans="2:27" s="278" customFormat="1" ht="12" customHeight="1" x14ac:dyDescent="0.25">
      <c r="B319" s="1192" t="e">
        <f t="shared" si="113"/>
        <v>#N/A</v>
      </c>
      <c r="C319" s="732">
        <f t="shared" si="99"/>
        <v>31</v>
      </c>
      <c r="D319" s="35">
        <f t="shared" si="100"/>
        <v>3</v>
      </c>
      <c r="E319" s="889">
        <f t="shared" si="119"/>
        <v>100533</v>
      </c>
      <c r="F319" s="822">
        <f t="shared" si="101"/>
        <v>3</v>
      </c>
      <c r="G319" s="500">
        <f t="shared" si="114"/>
        <v>212</v>
      </c>
      <c r="H319" s="126">
        <f t="shared" si="102"/>
        <v>0</v>
      </c>
      <c r="I319" s="1098">
        <f t="shared" si="120"/>
        <v>0</v>
      </c>
      <c r="J319" s="887">
        <f t="shared" si="115"/>
        <v>300</v>
      </c>
      <c r="K319" s="1099">
        <f t="shared" si="109"/>
        <v>300</v>
      </c>
      <c r="L319" s="891" t="str">
        <f t="shared" si="110"/>
        <v>March</v>
      </c>
      <c r="M319" s="888">
        <f t="shared" si="116"/>
        <v>2175</v>
      </c>
      <c r="N319" s="883">
        <f t="shared" si="111"/>
        <v>0</v>
      </c>
      <c r="O319" s="883">
        <f t="shared" si="117"/>
        <v>0</v>
      </c>
      <c r="P319" s="1100"/>
      <c r="Q319" s="883">
        <f t="shared" si="103"/>
        <v>0</v>
      </c>
      <c r="R319" s="884">
        <f t="shared" si="118"/>
        <v>0</v>
      </c>
      <c r="S319" s="884">
        <f>IF(AND($AS$39="Early Payoff",J319&gt;=$S$13),0,IF($J319&lt;=$S$6,SUM($Q$20:$Q319),0))</f>
        <v>0</v>
      </c>
      <c r="T319" s="884">
        <f>IF(AND($AS$39="Early Payoff",J319&gt;=$S$13),0,IF($J319&lt;=$S$6,SUM($R$20:$R319),0))</f>
        <v>0</v>
      </c>
      <c r="U319" s="885">
        <f t="shared" si="104"/>
        <v>0</v>
      </c>
      <c r="V319" s="1110">
        <f t="shared" si="112"/>
        <v>0</v>
      </c>
      <c r="X319" s="1102">
        <f t="shared" si="105"/>
        <v>0</v>
      </c>
      <c r="Y319" s="873">
        <f t="shared" si="106"/>
        <v>0</v>
      </c>
      <c r="Z319" s="873">
        <f t="shared" si="107"/>
        <v>0</v>
      </c>
      <c r="AA319" s="885">
        <f t="shared" si="108"/>
        <v>0</v>
      </c>
    </row>
    <row r="320" spans="2:27" s="278" customFormat="1" ht="12" customHeight="1" x14ac:dyDescent="0.25">
      <c r="B320" s="1192" t="e">
        <f t="shared" si="113"/>
        <v>#N/A</v>
      </c>
      <c r="C320" s="732">
        <f t="shared" si="99"/>
        <v>31</v>
      </c>
      <c r="D320" s="35">
        <f t="shared" si="100"/>
        <v>8</v>
      </c>
      <c r="E320" s="889">
        <f t="shared" si="119"/>
        <v>100686</v>
      </c>
      <c r="F320" s="822">
        <f t="shared" si="101"/>
        <v>8</v>
      </c>
      <c r="G320" s="500">
        <f t="shared" si="114"/>
        <v>153</v>
      </c>
      <c r="H320" s="126">
        <f t="shared" si="102"/>
        <v>0</v>
      </c>
      <c r="I320" s="1098">
        <f t="shared" si="120"/>
        <v>1</v>
      </c>
      <c r="J320" s="887">
        <f t="shared" si="115"/>
        <v>301</v>
      </c>
      <c r="K320" s="1099">
        <f t="shared" si="109"/>
        <v>301</v>
      </c>
      <c r="L320" s="891" t="str">
        <f t="shared" si="110"/>
        <v>August</v>
      </c>
      <c r="M320" s="888">
        <f t="shared" si="116"/>
        <v>2175</v>
      </c>
      <c r="N320" s="883">
        <f t="shared" si="111"/>
        <v>0</v>
      </c>
      <c r="O320" s="883">
        <f t="shared" si="117"/>
        <v>0</v>
      </c>
      <c r="P320" s="1100"/>
      <c r="Q320" s="883">
        <f t="shared" si="103"/>
        <v>0</v>
      </c>
      <c r="R320" s="884">
        <f t="shared" si="118"/>
        <v>0</v>
      </c>
      <c r="S320" s="884">
        <f>IF(AND($AS$39="Early Payoff",J320&gt;=$S$13),0,IF($J320&lt;=$S$6,SUM($Q$20:$Q320),0))</f>
        <v>0</v>
      </c>
      <c r="T320" s="884">
        <f>IF(AND($AS$39="Early Payoff",J320&gt;=$S$13),0,IF($J320&lt;=$S$6,SUM($R$20:$R320),0))</f>
        <v>0</v>
      </c>
      <c r="U320" s="885">
        <f t="shared" si="104"/>
        <v>0</v>
      </c>
      <c r="V320" s="1110">
        <f t="shared" si="112"/>
        <v>0</v>
      </c>
      <c r="X320" s="1102">
        <f t="shared" si="105"/>
        <v>0</v>
      </c>
      <c r="Y320" s="873">
        <f t="shared" si="106"/>
        <v>0</v>
      </c>
      <c r="Z320" s="873">
        <f t="shared" si="107"/>
        <v>0</v>
      </c>
      <c r="AA320" s="885">
        <f t="shared" si="108"/>
        <v>0</v>
      </c>
    </row>
    <row r="321" spans="2:27" s="278" customFormat="1" ht="12" customHeight="1" x14ac:dyDescent="0.25">
      <c r="B321" s="1192" t="e">
        <f t="shared" si="113"/>
        <v>#N/A</v>
      </c>
      <c r="C321" s="732">
        <f t="shared" si="99"/>
        <v>31</v>
      </c>
      <c r="D321" s="35">
        <f t="shared" si="100"/>
        <v>3</v>
      </c>
      <c r="E321" s="889">
        <f t="shared" si="119"/>
        <v>100899</v>
      </c>
      <c r="F321" s="822">
        <f t="shared" si="101"/>
        <v>3</v>
      </c>
      <c r="G321" s="500">
        <f t="shared" si="114"/>
        <v>213</v>
      </c>
      <c r="H321" s="126">
        <f t="shared" si="102"/>
        <v>0</v>
      </c>
      <c r="I321" s="1098">
        <f t="shared" si="120"/>
        <v>0</v>
      </c>
      <c r="J321" s="887">
        <f t="shared" si="115"/>
        <v>302</v>
      </c>
      <c r="K321" s="1099">
        <f t="shared" si="109"/>
        <v>302</v>
      </c>
      <c r="L321" s="891" t="str">
        <f t="shared" si="110"/>
        <v>March</v>
      </c>
      <c r="M321" s="888">
        <f t="shared" si="116"/>
        <v>2176</v>
      </c>
      <c r="N321" s="883">
        <f t="shared" si="111"/>
        <v>0</v>
      </c>
      <c r="O321" s="883">
        <f t="shared" si="117"/>
        <v>0</v>
      </c>
      <c r="P321" s="1100"/>
      <c r="Q321" s="883">
        <f t="shared" si="103"/>
        <v>0</v>
      </c>
      <c r="R321" s="884">
        <f t="shared" si="118"/>
        <v>0</v>
      </c>
      <c r="S321" s="884">
        <f>IF(AND($AS$39="Early Payoff",J321&gt;=$S$13),0,IF($J321&lt;=$S$6,SUM($Q$20:$Q321),0))</f>
        <v>0</v>
      </c>
      <c r="T321" s="884">
        <f>IF(AND($AS$39="Early Payoff",J321&gt;=$S$13),0,IF($J321&lt;=$S$6,SUM($R$20:$R321),0))</f>
        <v>0</v>
      </c>
      <c r="U321" s="885">
        <f t="shared" si="104"/>
        <v>0</v>
      </c>
      <c r="V321" s="1110">
        <f t="shared" si="112"/>
        <v>0</v>
      </c>
      <c r="X321" s="1102">
        <f t="shared" si="105"/>
        <v>0</v>
      </c>
      <c r="Y321" s="873">
        <f t="shared" si="106"/>
        <v>0</v>
      </c>
      <c r="Z321" s="873">
        <f t="shared" si="107"/>
        <v>0</v>
      </c>
      <c r="AA321" s="885">
        <f t="shared" si="108"/>
        <v>0</v>
      </c>
    </row>
    <row r="322" spans="2:27" s="278" customFormat="1" ht="12" customHeight="1" x14ac:dyDescent="0.25">
      <c r="B322" s="1192" t="e">
        <f t="shared" si="113"/>
        <v>#N/A</v>
      </c>
      <c r="C322" s="732">
        <f t="shared" si="99"/>
        <v>31</v>
      </c>
      <c r="D322" s="35">
        <f t="shared" si="100"/>
        <v>8</v>
      </c>
      <c r="E322" s="889">
        <f t="shared" si="119"/>
        <v>101052</v>
      </c>
      <c r="F322" s="822">
        <f t="shared" si="101"/>
        <v>8</v>
      </c>
      <c r="G322" s="500">
        <f t="shared" si="114"/>
        <v>153</v>
      </c>
      <c r="H322" s="126">
        <f t="shared" si="102"/>
        <v>0</v>
      </c>
      <c r="I322" s="1098">
        <f t="shared" si="120"/>
        <v>1</v>
      </c>
      <c r="J322" s="887">
        <f t="shared" si="115"/>
        <v>303</v>
      </c>
      <c r="K322" s="1099">
        <f t="shared" si="109"/>
        <v>303</v>
      </c>
      <c r="L322" s="891" t="str">
        <f t="shared" si="110"/>
        <v>August</v>
      </c>
      <c r="M322" s="888">
        <f t="shared" si="116"/>
        <v>2176</v>
      </c>
      <c r="N322" s="883">
        <f t="shared" si="111"/>
        <v>0</v>
      </c>
      <c r="O322" s="883">
        <f t="shared" si="117"/>
        <v>0</v>
      </c>
      <c r="P322" s="1100"/>
      <c r="Q322" s="883">
        <f t="shared" si="103"/>
        <v>0</v>
      </c>
      <c r="R322" s="884">
        <f t="shared" si="118"/>
        <v>0</v>
      </c>
      <c r="S322" s="884">
        <f>IF(AND($AS$39="Early Payoff",J322&gt;=$S$13),0,IF($J322&lt;=$S$6,SUM($Q$20:$Q322),0))</f>
        <v>0</v>
      </c>
      <c r="T322" s="884">
        <f>IF(AND($AS$39="Early Payoff",J322&gt;=$S$13),0,IF($J322&lt;=$S$6,SUM($R$20:$R322),0))</f>
        <v>0</v>
      </c>
      <c r="U322" s="885">
        <f t="shared" si="104"/>
        <v>0</v>
      </c>
      <c r="V322" s="1110">
        <f t="shared" si="112"/>
        <v>0</v>
      </c>
      <c r="X322" s="1102">
        <f t="shared" si="105"/>
        <v>0</v>
      </c>
      <c r="Y322" s="873">
        <f t="shared" si="106"/>
        <v>0</v>
      </c>
      <c r="Z322" s="873">
        <f t="shared" si="107"/>
        <v>0</v>
      </c>
      <c r="AA322" s="885">
        <f t="shared" si="108"/>
        <v>0</v>
      </c>
    </row>
    <row r="323" spans="2:27" s="278" customFormat="1" ht="12" customHeight="1" x14ac:dyDescent="0.25">
      <c r="B323" s="1192" t="e">
        <f t="shared" si="113"/>
        <v>#N/A</v>
      </c>
      <c r="C323" s="732">
        <f t="shared" si="99"/>
        <v>31</v>
      </c>
      <c r="D323" s="35">
        <f t="shared" si="100"/>
        <v>3</v>
      </c>
      <c r="E323" s="889">
        <f t="shared" si="119"/>
        <v>101264</v>
      </c>
      <c r="F323" s="822">
        <f t="shared" si="101"/>
        <v>3</v>
      </c>
      <c r="G323" s="500">
        <f t="shared" si="114"/>
        <v>212</v>
      </c>
      <c r="H323" s="126">
        <f t="shared" si="102"/>
        <v>0</v>
      </c>
      <c r="I323" s="1098">
        <f t="shared" si="120"/>
        <v>0</v>
      </c>
      <c r="J323" s="887">
        <f t="shared" si="115"/>
        <v>304</v>
      </c>
      <c r="K323" s="1099">
        <f t="shared" si="109"/>
        <v>304</v>
      </c>
      <c r="L323" s="891" t="str">
        <f t="shared" si="110"/>
        <v>March</v>
      </c>
      <c r="M323" s="888">
        <f t="shared" si="116"/>
        <v>2177</v>
      </c>
      <c r="N323" s="883">
        <f t="shared" si="111"/>
        <v>0</v>
      </c>
      <c r="O323" s="883">
        <f t="shared" si="117"/>
        <v>0</v>
      </c>
      <c r="P323" s="1100"/>
      <c r="Q323" s="883">
        <f t="shared" si="103"/>
        <v>0</v>
      </c>
      <c r="R323" s="884">
        <f t="shared" si="118"/>
        <v>0</v>
      </c>
      <c r="S323" s="884">
        <f>IF(AND($AS$39="Early Payoff",J323&gt;=$S$13),0,IF($J323&lt;=$S$6,SUM($Q$20:$Q323),0))</f>
        <v>0</v>
      </c>
      <c r="T323" s="884">
        <f>IF(AND($AS$39="Early Payoff",J323&gt;=$S$13),0,IF($J323&lt;=$S$6,SUM($R$20:$R323),0))</f>
        <v>0</v>
      </c>
      <c r="U323" s="885">
        <f t="shared" si="104"/>
        <v>0</v>
      </c>
      <c r="V323" s="1110">
        <f t="shared" si="112"/>
        <v>0</v>
      </c>
      <c r="X323" s="1102">
        <f t="shared" si="105"/>
        <v>0</v>
      </c>
      <c r="Y323" s="873">
        <f t="shared" si="106"/>
        <v>0</v>
      </c>
      <c r="Z323" s="873">
        <f t="shared" si="107"/>
        <v>0</v>
      </c>
      <c r="AA323" s="885">
        <f t="shared" si="108"/>
        <v>0</v>
      </c>
    </row>
    <row r="324" spans="2:27" s="278" customFormat="1" ht="12" customHeight="1" x14ac:dyDescent="0.25">
      <c r="B324" s="1192" t="e">
        <f t="shared" si="113"/>
        <v>#N/A</v>
      </c>
      <c r="C324" s="732">
        <f t="shared" si="99"/>
        <v>31</v>
      </c>
      <c r="D324" s="35">
        <f t="shared" si="100"/>
        <v>8</v>
      </c>
      <c r="E324" s="889">
        <f t="shared" si="119"/>
        <v>101417</v>
      </c>
      <c r="F324" s="822">
        <f t="shared" si="101"/>
        <v>8</v>
      </c>
      <c r="G324" s="500">
        <f t="shared" si="114"/>
        <v>153</v>
      </c>
      <c r="H324" s="126">
        <f t="shared" si="102"/>
        <v>0</v>
      </c>
      <c r="I324" s="1098">
        <f t="shared" si="120"/>
        <v>1</v>
      </c>
      <c r="J324" s="887">
        <f t="shared" si="115"/>
        <v>305</v>
      </c>
      <c r="K324" s="1099">
        <f t="shared" si="109"/>
        <v>305</v>
      </c>
      <c r="L324" s="891" t="str">
        <f t="shared" si="110"/>
        <v>August</v>
      </c>
      <c r="M324" s="888">
        <f t="shared" si="116"/>
        <v>2177</v>
      </c>
      <c r="N324" s="883">
        <f t="shared" si="111"/>
        <v>0</v>
      </c>
      <c r="O324" s="883">
        <f t="shared" si="117"/>
        <v>0</v>
      </c>
      <c r="P324" s="1100"/>
      <c r="Q324" s="883">
        <f t="shared" si="103"/>
        <v>0</v>
      </c>
      <c r="R324" s="884">
        <f t="shared" si="118"/>
        <v>0</v>
      </c>
      <c r="S324" s="884">
        <f>IF(AND($AS$39="Early Payoff",J324&gt;=$S$13),0,IF($J324&lt;=$S$6,SUM($Q$20:$Q324),0))</f>
        <v>0</v>
      </c>
      <c r="T324" s="884">
        <f>IF(AND($AS$39="Early Payoff",J324&gt;=$S$13),0,IF($J324&lt;=$S$6,SUM($R$20:$R324),0))</f>
        <v>0</v>
      </c>
      <c r="U324" s="885">
        <f t="shared" si="104"/>
        <v>0</v>
      </c>
      <c r="V324" s="1110">
        <f t="shared" si="112"/>
        <v>0</v>
      </c>
      <c r="X324" s="1102">
        <f t="shared" si="105"/>
        <v>0</v>
      </c>
      <c r="Y324" s="873">
        <f t="shared" si="106"/>
        <v>0</v>
      </c>
      <c r="Z324" s="873">
        <f t="shared" si="107"/>
        <v>0</v>
      </c>
      <c r="AA324" s="885">
        <f t="shared" si="108"/>
        <v>0</v>
      </c>
    </row>
    <row r="325" spans="2:27" s="278" customFormat="1" ht="12" customHeight="1" x14ac:dyDescent="0.25">
      <c r="B325" s="1192" t="e">
        <f t="shared" si="113"/>
        <v>#N/A</v>
      </c>
      <c r="C325" s="732">
        <f t="shared" si="99"/>
        <v>31</v>
      </c>
      <c r="D325" s="35">
        <f t="shared" si="100"/>
        <v>3</v>
      </c>
      <c r="E325" s="889">
        <f t="shared" si="119"/>
        <v>101629</v>
      </c>
      <c r="F325" s="822">
        <f t="shared" si="101"/>
        <v>3</v>
      </c>
      <c r="G325" s="500">
        <f t="shared" si="114"/>
        <v>212</v>
      </c>
      <c r="H325" s="126">
        <f t="shared" si="102"/>
        <v>0</v>
      </c>
      <c r="I325" s="1098">
        <f t="shared" si="120"/>
        <v>0</v>
      </c>
      <c r="J325" s="887">
        <f t="shared" si="115"/>
        <v>306</v>
      </c>
      <c r="K325" s="1099">
        <f t="shared" si="109"/>
        <v>306</v>
      </c>
      <c r="L325" s="891" t="str">
        <f t="shared" si="110"/>
        <v>March</v>
      </c>
      <c r="M325" s="888">
        <f t="shared" si="116"/>
        <v>2178</v>
      </c>
      <c r="N325" s="883">
        <f t="shared" si="111"/>
        <v>0</v>
      </c>
      <c r="O325" s="883">
        <f t="shared" si="117"/>
        <v>0</v>
      </c>
      <c r="P325" s="1100"/>
      <c r="Q325" s="883">
        <f t="shared" si="103"/>
        <v>0</v>
      </c>
      <c r="R325" s="884">
        <f t="shared" si="118"/>
        <v>0</v>
      </c>
      <c r="S325" s="884">
        <f>IF(AND($AS$39="Early Payoff",J325&gt;=$S$13),0,IF($J325&lt;=$S$6,SUM($Q$20:$Q325),0))</f>
        <v>0</v>
      </c>
      <c r="T325" s="884">
        <f>IF(AND($AS$39="Early Payoff",J325&gt;=$S$13),0,IF($J325&lt;=$S$6,SUM($R$20:$R325),0))</f>
        <v>0</v>
      </c>
      <c r="U325" s="885">
        <f t="shared" si="104"/>
        <v>0</v>
      </c>
      <c r="V325" s="1110">
        <f t="shared" si="112"/>
        <v>0</v>
      </c>
      <c r="X325" s="1102">
        <f t="shared" si="105"/>
        <v>0</v>
      </c>
      <c r="Y325" s="873">
        <f t="shared" si="106"/>
        <v>0</v>
      </c>
      <c r="Z325" s="873">
        <f t="shared" si="107"/>
        <v>0</v>
      </c>
      <c r="AA325" s="885">
        <f t="shared" si="108"/>
        <v>0</v>
      </c>
    </row>
    <row r="326" spans="2:27" s="278" customFormat="1" ht="12" customHeight="1" x14ac:dyDescent="0.25">
      <c r="B326" s="1192" t="e">
        <f t="shared" si="113"/>
        <v>#N/A</v>
      </c>
      <c r="C326" s="732">
        <f t="shared" si="99"/>
        <v>31</v>
      </c>
      <c r="D326" s="35">
        <f t="shared" si="100"/>
        <v>8</v>
      </c>
      <c r="E326" s="889">
        <f t="shared" si="119"/>
        <v>101782</v>
      </c>
      <c r="F326" s="822">
        <f t="shared" si="101"/>
        <v>8</v>
      </c>
      <c r="G326" s="500">
        <f t="shared" si="114"/>
        <v>153</v>
      </c>
      <c r="H326" s="126">
        <f t="shared" si="102"/>
        <v>0</v>
      </c>
      <c r="I326" s="1098">
        <f t="shared" si="120"/>
        <v>1</v>
      </c>
      <c r="J326" s="887">
        <f t="shared" si="115"/>
        <v>307</v>
      </c>
      <c r="K326" s="1099">
        <f t="shared" si="109"/>
        <v>307</v>
      </c>
      <c r="L326" s="891" t="str">
        <f t="shared" si="110"/>
        <v>August</v>
      </c>
      <c r="M326" s="888">
        <f t="shared" si="116"/>
        <v>2178</v>
      </c>
      <c r="N326" s="883">
        <f t="shared" si="111"/>
        <v>0</v>
      </c>
      <c r="O326" s="883">
        <f t="shared" si="117"/>
        <v>0</v>
      </c>
      <c r="P326" s="1100"/>
      <c r="Q326" s="883">
        <f t="shared" si="103"/>
        <v>0</v>
      </c>
      <c r="R326" s="884">
        <f t="shared" si="118"/>
        <v>0</v>
      </c>
      <c r="S326" s="884">
        <f>IF(AND($AS$39="Early Payoff",J326&gt;=$S$13),0,IF($J326&lt;=$S$6,SUM($Q$20:$Q326),0))</f>
        <v>0</v>
      </c>
      <c r="T326" s="884">
        <f>IF(AND($AS$39="Early Payoff",J326&gt;=$S$13),0,IF($J326&lt;=$S$6,SUM($R$20:$R326),0))</f>
        <v>0</v>
      </c>
      <c r="U326" s="885">
        <f t="shared" si="104"/>
        <v>0</v>
      </c>
      <c r="V326" s="1110">
        <f t="shared" si="112"/>
        <v>0</v>
      </c>
      <c r="X326" s="1102">
        <f t="shared" si="105"/>
        <v>0</v>
      </c>
      <c r="Y326" s="873">
        <f t="shared" si="106"/>
        <v>0</v>
      </c>
      <c r="Z326" s="873">
        <f t="shared" si="107"/>
        <v>0</v>
      </c>
      <c r="AA326" s="885">
        <f t="shared" si="108"/>
        <v>0</v>
      </c>
    </row>
    <row r="327" spans="2:27" s="278" customFormat="1" ht="12" customHeight="1" x14ac:dyDescent="0.25">
      <c r="B327" s="1192" t="e">
        <f t="shared" si="113"/>
        <v>#N/A</v>
      </c>
      <c r="C327" s="732">
        <f t="shared" si="99"/>
        <v>31</v>
      </c>
      <c r="D327" s="35">
        <f t="shared" si="100"/>
        <v>3</v>
      </c>
      <c r="E327" s="889">
        <f t="shared" si="119"/>
        <v>101994</v>
      </c>
      <c r="F327" s="822">
        <f t="shared" si="101"/>
        <v>3</v>
      </c>
      <c r="G327" s="500">
        <f t="shared" si="114"/>
        <v>212</v>
      </c>
      <c r="H327" s="126">
        <f t="shared" si="102"/>
        <v>0</v>
      </c>
      <c r="I327" s="1098">
        <f t="shared" si="120"/>
        <v>0</v>
      </c>
      <c r="J327" s="887">
        <f t="shared" si="115"/>
        <v>308</v>
      </c>
      <c r="K327" s="1099">
        <f t="shared" si="109"/>
        <v>308</v>
      </c>
      <c r="L327" s="891" t="str">
        <f t="shared" si="110"/>
        <v>March</v>
      </c>
      <c r="M327" s="888">
        <f t="shared" si="116"/>
        <v>2179</v>
      </c>
      <c r="N327" s="883">
        <f t="shared" si="111"/>
        <v>0</v>
      </c>
      <c r="O327" s="883">
        <f t="shared" si="117"/>
        <v>0</v>
      </c>
      <c r="P327" s="1100"/>
      <c r="Q327" s="883">
        <f t="shared" si="103"/>
        <v>0</v>
      </c>
      <c r="R327" s="884">
        <f t="shared" si="118"/>
        <v>0</v>
      </c>
      <c r="S327" s="884">
        <f>IF(AND($AS$39="Early Payoff",J327&gt;=$S$13),0,IF($J327&lt;=$S$6,SUM($Q$20:$Q327),0))</f>
        <v>0</v>
      </c>
      <c r="T327" s="884">
        <f>IF(AND($AS$39="Early Payoff",J327&gt;=$S$13),0,IF($J327&lt;=$S$6,SUM($R$20:$R327),0))</f>
        <v>0</v>
      </c>
      <c r="U327" s="885">
        <f t="shared" si="104"/>
        <v>0</v>
      </c>
      <c r="V327" s="1110">
        <f t="shared" si="112"/>
        <v>0</v>
      </c>
      <c r="X327" s="1102">
        <f t="shared" si="105"/>
        <v>0</v>
      </c>
      <c r="Y327" s="873">
        <f t="shared" si="106"/>
        <v>0</v>
      </c>
      <c r="Z327" s="873">
        <f t="shared" si="107"/>
        <v>0</v>
      </c>
      <c r="AA327" s="885">
        <f t="shared" si="108"/>
        <v>0</v>
      </c>
    </row>
    <row r="328" spans="2:27" s="278" customFormat="1" ht="12" customHeight="1" x14ac:dyDescent="0.25">
      <c r="B328" s="1192" t="e">
        <f t="shared" si="113"/>
        <v>#N/A</v>
      </c>
      <c r="C328" s="732">
        <f t="shared" si="99"/>
        <v>31</v>
      </c>
      <c r="D328" s="35">
        <f t="shared" si="100"/>
        <v>8</v>
      </c>
      <c r="E328" s="889">
        <f t="shared" si="119"/>
        <v>102147</v>
      </c>
      <c r="F328" s="822">
        <f t="shared" si="101"/>
        <v>8</v>
      </c>
      <c r="G328" s="500">
        <f t="shared" si="114"/>
        <v>153</v>
      </c>
      <c r="H328" s="126">
        <f t="shared" si="102"/>
        <v>0</v>
      </c>
      <c r="I328" s="1098">
        <f t="shared" si="120"/>
        <v>1</v>
      </c>
      <c r="J328" s="887">
        <f t="shared" si="115"/>
        <v>309</v>
      </c>
      <c r="K328" s="1099">
        <f t="shared" si="109"/>
        <v>309</v>
      </c>
      <c r="L328" s="891" t="str">
        <f t="shared" si="110"/>
        <v>August</v>
      </c>
      <c r="M328" s="888">
        <f t="shared" si="116"/>
        <v>2179</v>
      </c>
      <c r="N328" s="883">
        <f t="shared" si="111"/>
        <v>0</v>
      </c>
      <c r="O328" s="883">
        <f t="shared" si="117"/>
        <v>0</v>
      </c>
      <c r="P328" s="1100"/>
      <c r="Q328" s="883">
        <f t="shared" si="103"/>
        <v>0</v>
      </c>
      <c r="R328" s="884">
        <f t="shared" si="118"/>
        <v>0</v>
      </c>
      <c r="S328" s="884">
        <f>IF(AND($AS$39="Early Payoff",J328&gt;=$S$13),0,IF($J328&lt;=$S$6,SUM($Q$20:$Q328),0))</f>
        <v>0</v>
      </c>
      <c r="T328" s="884">
        <f>IF(AND($AS$39="Early Payoff",J328&gt;=$S$13),0,IF($J328&lt;=$S$6,SUM($R$20:$R328),0))</f>
        <v>0</v>
      </c>
      <c r="U328" s="885">
        <f t="shared" si="104"/>
        <v>0</v>
      </c>
      <c r="V328" s="1110">
        <f t="shared" si="112"/>
        <v>0</v>
      </c>
      <c r="X328" s="1102">
        <f t="shared" si="105"/>
        <v>0</v>
      </c>
      <c r="Y328" s="873">
        <f t="shared" si="106"/>
        <v>0</v>
      </c>
      <c r="Z328" s="873">
        <f t="shared" si="107"/>
        <v>0</v>
      </c>
      <c r="AA328" s="885">
        <f t="shared" si="108"/>
        <v>0</v>
      </c>
    </row>
    <row r="329" spans="2:27" s="278" customFormat="1" ht="12" customHeight="1" x14ac:dyDescent="0.25">
      <c r="B329" s="1192" t="e">
        <f t="shared" si="113"/>
        <v>#N/A</v>
      </c>
      <c r="C329" s="732">
        <f t="shared" si="99"/>
        <v>31</v>
      </c>
      <c r="D329" s="35">
        <f t="shared" si="100"/>
        <v>3</v>
      </c>
      <c r="E329" s="889">
        <f t="shared" si="119"/>
        <v>102360</v>
      </c>
      <c r="F329" s="822">
        <f t="shared" si="101"/>
        <v>3</v>
      </c>
      <c r="G329" s="500">
        <f t="shared" si="114"/>
        <v>213</v>
      </c>
      <c r="H329" s="126">
        <f t="shared" si="102"/>
        <v>0</v>
      </c>
      <c r="I329" s="1098">
        <f t="shared" si="120"/>
        <v>0</v>
      </c>
      <c r="J329" s="887">
        <f t="shared" si="115"/>
        <v>310</v>
      </c>
      <c r="K329" s="1099">
        <f t="shared" si="109"/>
        <v>310</v>
      </c>
      <c r="L329" s="891" t="str">
        <f t="shared" si="110"/>
        <v>March</v>
      </c>
      <c r="M329" s="888">
        <f t="shared" si="116"/>
        <v>2180</v>
      </c>
      <c r="N329" s="883">
        <f t="shared" si="111"/>
        <v>0</v>
      </c>
      <c r="O329" s="883">
        <f t="shared" si="117"/>
        <v>0</v>
      </c>
      <c r="P329" s="1100"/>
      <c r="Q329" s="883">
        <f t="shared" si="103"/>
        <v>0</v>
      </c>
      <c r="R329" s="884">
        <f t="shared" si="118"/>
        <v>0</v>
      </c>
      <c r="S329" s="884">
        <f>IF(AND($AS$39="Early Payoff",J329&gt;=$S$13),0,IF($J329&lt;=$S$6,SUM($Q$20:$Q329),0))</f>
        <v>0</v>
      </c>
      <c r="T329" s="884">
        <f>IF(AND($AS$39="Early Payoff",J329&gt;=$S$13),0,IF($J329&lt;=$S$6,SUM($R$20:$R329),0))</f>
        <v>0</v>
      </c>
      <c r="U329" s="885">
        <f t="shared" si="104"/>
        <v>0</v>
      </c>
      <c r="V329" s="1110">
        <f t="shared" si="112"/>
        <v>0</v>
      </c>
      <c r="X329" s="1102">
        <f t="shared" si="105"/>
        <v>0</v>
      </c>
      <c r="Y329" s="873">
        <f t="shared" si="106"/>
        <v>0</v>
      </c>
      <c r="Z329" s="873">
        <f t="shared" si="107"/>
        <v>0</v>
      </c>
      <c r="AA329" s="885">
        <f t="shared" si="108"/>
        <v>0</v>
      </c>
    </row>
    <row r="330" spans="2:27" s="278" customFormat="1" ht="12" customHeight="1" x14ac:dyDescent="0.25">
      <c r="B330" s="1192" t="e">
        <f t="shared" si="113"/>
        <v>#N/A</v>
      </c>
      <c r="C330" s="732">
        <f t="shared" si="99"/>
        <v>31</v>
      </c>
      <c r="D330" s="35">
        <f t="shared" si="100"/>
        <v>8</v>
      </c>
      <c r="E330" s="889">
        <f t="shared" si="119"/>
        <v>102513</v>
      </c>
      <c r="F330" s="822">
        <f t="shared" si="101"/>
        <v>8</v>
      </c>
      <c r="G330" s="500">
        <f t="shared" si="114"/>
        <v>153</v>
      </c>
      <c r="H330" s="126">
        <f t="shared" si="102"/>
        <v>0</v>
      </c>
      <c r="I330" s="1098">
        <f t="shared" si="120"/>
        <v>1</v>
      </c>
      <c r="J330" s="887">
        <f t="shared" si="115"/>
        <v>311</v>
      </c>
      <c r="K330" s="1099">
        <f t="shared" si="109"/>
        <v>311</v>
      </c>
      <c r="L330" s="891" t="str">
        <f t="shared" si="110"/>
        <v>August</v>
      </c>
      <c r="M330" s="888">
        <f t="shared" si="116"/>
        <v>2180</v>
      </c>
      <c r="N330" s="883">
        <f t="shared" si="111"/>
        <v>0</v>
      </c>
      <c r="O330" s="883">
        <f t="shared" si="117"/>
        <v>0</v>
      </c>
      <c r="P330" s="1100"/>
      <c r="Q330" s="883">
        <f t="shared" si="103"/>
        <v>0</v>
      </c>
      <c r="R330" s="884">
        <f t="shared" si="118"/>
        <v>0</v>
      </c>
      <c r="S330" s="884">
        <f>IF(AND($AS$39="Early Payoff",J330&gt;=$S$13),0,IF($J330&lt;=$S$6,SUM($Q$20:$Q330),0))</f>
        <v>0</v>
      </c>
      <c r="T330" s="884">
        <f>IF(AND($AS$39="Early Payoff",J330&gt;=$S$13),0,IF($J330&lt;=$S$6,SUM($R$20:$R330),0))</f>
        <v>0</v>
      </c>
      <c r="U330" s="885">
        <f t="shared" si="104"/>
        <v>0</v>
      </c>
      <c r="V330" s="1110">
        <f t="shared" si="112"/>
        <v>0</v>
      </c>
      <c r="X330" s="1102">
        <f t="shared" si="105"/>
        <v>0</v>
      </c>
      <c r="Y330" s="873">
        <f t="shared" si="106"/>
        <v>0</v>
      </c>
      <c r="Z330" s="873">
        <f t="shared" si="107"/>
        <v>0</v>
      </c>
      <c r="AA330" s="885">
        <f t="shared" si="108"/>
        <v>0</v>
      </c>
    </row>
    <row r="331" spans="2:27" s="278" customFormat="1" ht="12" customHeight="1" x14ac:dyDescent="0.25">
      <c r="B331" s="1192" t="e">
        <f t="shared" si="113"/>
        <v>#N/A</v>
      </c>
      <c r="C331" s="732">
        <f t="shared" si="99"/>
        <v>31</v>
      </c>
      <c r="D331" s="35">
        <f t="shared" si="100"/>
        <v>3</v>
      </c>
      <c r="E331" s="889">
        <f t="shared" si="119"/>
        <v>102725</v>
      </c>
      <c r="F331" s="822">
        <f t="shared" si="101"/>
        <v>3</v>
      </c>
      <c r="G331" s="500">
        <f t="shared" si="114"/>
        <v>212</v>
      </c>
      <c r="H331" s="126">
        <f t="shared" si="102"/>
        <v>0</v>
      </c>
      <c r="I331" s="1098">
        <f t="shared" si="120"/>
        <v>0</v>
      </c>
      <c r="J331" s="887">
        <f t="shared" si="115"/>
        <v>312</v>
      </c>
      <c r="K331" s="1099">
        <f t="shared" si="109"/>
        <v>312</v>
      </c>
      <c r="L331" s="891" t="str">
        <f t="shared" si="110"/>
        <v>March</v>
      </c>
      <c r="M331" s="888">
        <f t="shared" si="116"/>
        <v>2181</v>
      </c>
      <c r="N331" s="883">
        <f t="shared" si="111"/>
        <v>0</v>
      </c>
      <c r="O331" s="883">
        <f t="shared" si="117"/>
        <v>0</v>
      </c>
      <c r="P331" s="1100"/>
      <c r="Q331" s="883">
        <f t="shared" si="103"/>
        <v>0</v>
      </c>
      <c r="R331" s="884">
        <f t="shared" si="118"/>
        <v>0</v>
      </c>
      <c r="S331" s="884">
        <f>IF(AND($AS$39="Early Payoff",J331&gt;=$S$13),0,IF($J331&lt;=$S$6,SUM($Q$20:$Q331),0))</f>
        <v>0</v>
      </c>
      <c r="T331" s="884">
        <f>IF(AND($AS$39="Early Payoff",J331&gt;=$S$13),0,IF($J331&lt;=$S$6,SUM($R$20:$R331),0))</f>
        <v>0</v>
      </c>
      <c r="U331" s="885">
        <f t="shared" si="104"/>
        <v>0</v>
      </c>
      <c r="V331" s="1110">
        <f t="shared" si="112"/>
        <v>0</v>
      </c>
      <c r="X331" s="1102">
        <f t="shared" si="105"/>
        <v>0</v>
      </c>
      <c r="Y331" s="873">
        <f t="shared" si="106"/>
        <v>0</v>
      </c>
      <c r="Z331" s="873">
        <f t="shared" si="107"/>
        <v>0</v>
      </c>
      <c r="AA331" s="885">
        <f t="shared" si="108"/>
        <v>0</v>
      </c>
    </row>
    <row r="332" spans="2:27" s="278" customFormat="1" ht="12" customHeight="1" x14ac:dyDescent="0.25">
      <c r="B332" s="1192" t="e">
        <f t="shared" si="113"/>
        <v>#N/A</v>
      </c>
      <c r="C332" s="732">
        <f t="shared" si="99"/>
        <v>31</v>
      </c>
      <c r="D332" s="35">
        <f t="shared" si="100"/>
        <v>8</v>
      </c>
      <c r="E332" s="889">
        <f t="shared" si="119"/>
        <v>102878</v>
      </c>
      <c r="F332" s="822">
        <f t="shared" si="101"/>
        <v>8</v>
      </c>
      <c r="G332" s="500">
        <f t="shared" si="114"/>
        <v>153</v>
      </c>
      <c r="H332" s="126">
        <f t="shared" si="102"/>
        <v>0</v>
      </c>
      <c r="I332" s="1098">
        <f t="shared" si="120"/>
        <v>1</v>
      </c>
      <c r="J332" s="887">
        <f t="shared" si="115"/>
        <v>313</v>
      </c>
      <c r="K332" s="1099">
        <f t="shared" si="109"/>
        <v>313</v>
      </c>
      <c r="L332" s="891" t="str">
        <f t="shared" si="110"/>
        <v>August</v>
      </c>
      <c r="M332" s="888">
        <f t="shared" si="116"/>
        <v>2181</v>
      </c>
      <c r="N332" s="883">
        <f t="shared" si="111"/>
        <v>0</v>
      </c>
      <c r="O332" s="883">
        <f t="shared" si="117"/>
        <v>0</v>
      </c>
      <c r="P332" s="1100"/>
      <c r="Q332" s="883">
        <f t="shared" si="103"/>
        <v>0</v>
      </c>
      <c r="R332" s="884">
        <f t="shared" si="118"/>
        <v>0</v>
      </c>
      <c r="S332" s="884">
        <f>IF(AND($AS$39="Early Payoff",J332&gt;=$S$13),0,IF($J332&lt;=$S$6,SUM($Q$20:$Q332),0))</f>
        <v>0</v>
      </c>
      <c r="T332" s="884">
        <f>IF(AND($AS$39="Early Payoff",J332&gt;=$S$13),0,IF($J332&lt;=$S$6,SUM($R$20:$R332),0))</f>
        <v>0</v>
      </c>
      <c r="U332" s="885">
        <f t="shared" si="104"/>
        <v>0</v>
      </c>
      <c r="V332" s="1110">
        <f t="shared" si="112"/>
        <v>0</v>
      </c>
      <c r="X332" s="1102">
        <f t="shared" si="105"/>
        <v>0</v>
      </c>
      <c r="Y332" s="873">
        <f t="shared" si="106"/>
        <v>0</v>
      </c>
      <c r="Z332" s="873">
        <f t="shared" si="107"/>
        <v>0</v>
      </c>
      <c r="AA332" s="885">
        <f t="shared" si="108"/>
        <v>0</v>
      </c>
    </row>
    <row r="333" spans="2:27" s="278" customFormat="1" ht="12" customHeight="1" x14ac:dyDescent="0.25">
      <c r="B333" s="1192" t="e">
        <f t="shared" si="113"/>
        <v>#N/A</v>
      </c>
      <c r="C333" s="732">
        <f t="shared" si="99"/>
        <v>31</v>
      </c>
      <c r="D333" s="35">
        <f t="shared" si="100"/>
        <v>3</v>
      </c>
      <c r="E333" s="889">
        <f t="shared" si="119"/>
        <v>103090</v>
      </c>
      <c r="F333" s="822">
        <f t="shared" si="101"/>
        <v>3</v>
      </c>
      <c r="G333" s="500">
        <f t="shared" si="114"/>
        <v>212</v>
      </c>
      <c r="H333" s="126">
        <f t="shared" si="102"/>
        <v>0</v>
      </c>
      <c r="I333" s="1098">
        <f t="shared" si="120"/>
        <v>0</v>
      </c>
      <c r="J333" s="887">
        <f t="shared" si="115"/>
        <v>314</v>
      </c>
      <c r="K333" s="1099">
        <f t="shared" si="109"/>
        <v>314</v>
      </c>
      <c r="L333" s="891" t="str">
        <f t="shared" si="110"/>
        <v>March</v>
      </c>
      <c r="M333" s="888">
        <f t="shared" si="116"/>
        <v>2182</v>
      </c>
      <c r="N333" s="883">
        <f t="shared" si="111"/>
        <v>0</v>
      </c>
      <c r="O333" s="883">
        <f t="shared" si="117"/>
        <v>0</v>
      </c>
      <c r="P333" s="1100"/>
      <c r="Q333" s="883">
        <f t="shared" si="103"/>
        <v>0</v>
      </c>
      <c r="R333" s="884">
        <f t="shared" si="118"/>
        <v>0</v>
      </c>
      <c r="S333" s="884">
        <f>IF(AND($AS$39="Early Payoff",J333&gt;=$S$13),0,IF($J333&lt;=$S$6,SUM($Q$20:$Q333),0))</f>
        <v>0</v>
      </c>
      <c r="T333" s="884">
        <f>IF(AND($AS$39="Early Payoff",J333&gt;=$S$13),0,IF($J333&lt;=$S$6,SUM($R$20:$R333),0))</f>
        <v>0</v>
      </c>
      <c r="U333" s="885">
        <f t="shared" si="104"/>
        <v>0</v>
      </c>
      <c r="V333" s="1110">
        <f t="shared" si="112"/>
        <v>0</v>
      </c>
      <c r="X333" s="1102">
        <f t="shared" si="105"/>
        <v>0</v>
      </c>
      <c r="Y333" s="873">
        <f t="shared" si="106"/>
        <v>0</v>
      </c>
      <c r="Z333" s="873">
        <f t="shared" si="107"/>
        <v>0</v>
      </c>
      <c r="AA333" s="885">
        <f t="shared" si="108"/>
        <v>0</v>
      </c>
    </row>
    <row r="334" spans="2:27" s="278" customFormat="1" ht="12" customHeight="1" x14ac:dyDescent="0.25">
      <c r="B334" s="1192" t="e">
        <f t="shared" si="113"/>
        <v>#N/A</v>
      </c>
      <c r="C334" s="732">
        <f t="shared" si="99"/>
        <v>31</v>
      </c>
      <c r="D334" s="35">
        <f t="shared" si="100"/>
        <v>8</v>
      </c>
      <c r="E334" s="889">
        <f t="shared" si="119"/>
        <v>103243</v>
      </c>
      <c r="F334" s="822">
        <f t="shared" si="101"/>
        <v>8</v>
      </c>
      <c r="G334" s="500">
        <f t="shared" si="114"/>
        <v>153</v>
      </c>
      <c r="H334" s="126">
        <f t="shared" si="102"/>
        <v>0</v>
      </c>
      <c r="I334" s="1098">
        <f t="shared" si="120"/>
        <v>1</v>
      </c>
      <c r="J334" s="887">
        <f t="shared" si="115"/>
        <v>315</v>
      </c>
      <c r="K334" s="1099">
        <f t="shared" si="109"/>
        <v>315</v>
      </c>
      <c r="L334" s="891" t="str">
        <f t="shared" si="110"/>
        <v>August</v>
      </c>
      <c r="M334" s="888">
        <f t="shared" si="116"/>
        <v>2182</v>
      </c>
      <c r="N334" s="883">
        <f t="shared" si="111"/>
        <v>0</v>
      </c>
      <c r="O334" s="883">
        <f t="shared" si="117"/>
        <v>0</v>
      </c>
      <c r="P334" s="1100"/>
      <c r="Q334" s="883">
        <f t="shared" si="103"/>
        <v>0</v>
      </c>
      <c r="R334" s="884">
        <f t="shared" si="118"/>
        <v>0</v>
      </c>
      <c r="S334" s="884">
        <f>IF(AND($AS$39="Early Payoff",J334&gt;=$S$13),0,IF($J334&lt;=$S$6,SUM($Q$20:$Q334),0))</f>
        <v>0</v>
      </c>
      <c r="T334" s="884">
        <f>IF(AND($AS$39="Early Payoff",J334&gt;=$S$13),0,IF($J334&lt;=$S$6,SUM($R$20:$R334),0))</f>
        <v>0</v>
      </c>
      <c r="U334" s="885">
        <f t="shared" si="104"/>
        <v>0</v>
      </c>
      <c r="V334" s="1110">
        <f t="shared" si="112"/>
        <v>0</v>
      </c>
      <c r="X334" s="1102">
        <f t="shared" si="105"/>
        <v>0</v>
      </c>
      <c r="Y334" s="873">
        <f t="shared" si="106"/>
        <v>0</v>
      </c>
      <c r="Z334" s="873">
        <f t="shared" si="107"/>
        <v>0</v>
      </c>
      <c r="AA334" s="885">
        <f t="shared" si="108"/>
        <v>0</v>
      </c>
    </row>
    <row r="335" spans="2:27" s="278" customFormat="1" ht="12" customHeight="1" x14ac:dyDescent="0.25">
      <c r="B335" s="1192" t="e">
        <f t="shared" si="113"/>
        <v>#N/A</v>
      </c>
      <c r="C335" s="732">
        <f t="shared" si="99"/>
        <v>31</v>
      </c>
      <c r="D335" s="35">
        <f t="shared" si="100"/>
        <v>3</v>
      </c>
      <c r="E335" s="889">
        <f t="shared" si="119"/>
        <v>103455</v>
      </c>
      <c r="F335" s="822">
        <f t="shared" si="101"/>
        <v>3</v>
      </c>
      <c r="G335" s="500">
        <f t="shared" si="114"/>
        <v>212</v>
      </c>
      <c r="H335" s="126">
        <f t="shared" si="102"/>
        <v>0</v>
      </c>
      <c r="I335" s="1098">
        <f t="shared" si="120"/>
        <v>0</v>
      </c>
      <c r="J335" s="887">
        <f t="shared" si="115"/>
        <v>316</v>
      </c>
      <c r="K335" s="1099">
        <f t="shared" si="109"/>
        <v>316</v>
      </c>
      <c r="L335" s="891" t="str">
        <f t="shared" si="110"/>
        <v>March</v>
      </c>
      <c r="M335" s="888">
        <f t="shared" si="116"/>
        <v>2183</v>
      </c>
      <c r="N335" s="883">
        <f t="shared" si="111"/>
        <v>0</v>
      </c>
      <c r="O335" s="883">
        <f t="shared" si="117"/>
        <v>0</v>
      </c>
      <c r="P335" s="1100"/>
      <c r="Q335" s="883">
        <f t="shared" si="103"/>
        <v>0</v>
      </c>
      <c r="R335" s="884">
        <f t="shared" si="118"/>
        <v>0</v>
      </c>
      <c r="S335" s="884">
        <f>IF(AND($AS$39="Early Payoff",J335&gt;=$S$13),0,IF($J335&lt;=$S$6,SUM($Q$20:$Q335),0))</f>
        <v>0</v>
      </c>
      <c r="T335" s="884">
        <f>IF(AND($AS$39="Early Payoff",J335&gt;=$S$13),0,IF($J335&lt;=$S$6,SUM($R$20:$R335),0))</f>
        <v>0</v>
      </c>
      <c r="U335" s="885">
        <f t="shared" si="104"/>
        <v>0</v>
      </c>
      <c r="V335" s="1110">
        <f t="shared" si="112"/>
        <v>0</v>
      </c>
      <c r="X335" s="1102">
        <f t="shared" si="105"/>
        <v>0</v>
      </c>
      <c r="Y335" s="873">
        <f t="shared" si="106"/>
        <v>0</v>
      </c>
      <c r="Z335" s="873">
        <f t="shared" si="107"/>
        <v>0</v>
      </c>
      <c r="AA335" s="885">
        <f t="shared" si="108"/>
        <v>0</v>
      </c>
    </row>
    <row r="336" spans="2:27" s="278" customFormat="1" ht="12" customHeight="1" x14ac:dyDescent="0.25">
      <c r="B336" s="1192" t="e">
        <f t="shared" si="113"/>
        <v>#N/A</v>
      </c>
      <c r="C336" s="732">
        <f t="shared" si="99"/>
        <v>31</v>
      </c>
      <c r="D336" s="35">
        <f t="shared" si="100"/>
        <v>8</v>
      </c>
      <c r="E336" s="889">
        <f t="shared" si="119"/>
        <v>103608</v>
      </c>
      <c r="F336" s="822">
        <f t="shared" si="101"/>
        <v>8</v>
      </c>
      <c r="G336" s="500">
        <f t="shared" si="114"/>
        <v>153</v>
      </c>
      <c r="H336" s="126">
        <f t="shared" si="102"/>
        <v>0</v>
      </c>
      <c r="I336" s="1098">
        <f t="shared" si="120"/>
        <v>1</v>
      </c>
      <c r="J336" s="887">
        <f t="shared" si="115"/>
        <v>317</v>
      </c>
      <c r="K336" s="1099">
        <f t="shared" si="109"/>
        <v>317</v>
      </c>
      <c r="L336" s="891" t="str">
        <f t="shared" si="110"/>
        <v>August</v>
      </c>
      <c r="M336" s="888">
        <f t="shared" si="116"/>
        <v>2183</v>
      </c>
      <c r="N336" s="883">
        <f t="shared" si="111"/>
        <v>0</v>
      </c>
      <c r="O336" s="883">
        <f t="shared" si="117"/>
        <v>0</v>
      </c>
      <c r="P336" s="1100"/>
      <c r="Q336" s="883">
        <f t="shared" si="103"/>
        <v>0</v>
      </c>
      <c r="R336" s="884">
        <f t="shared" si="118"/>
        <v>0</v>
      </c>
      <c r="S336" s="884">
        <f>IF(AND($AS$39="Early Payoff",J336&gt;=$S$13),0,IF($J336&lt;=$S$6,SUM($Q$20:$Q336),0))</f>
        <v>0</v>
      </c>
      <c r="T336" s="884">
        <f>IF(AND($AS$39="Early Payoff",J336&gt;=$S$13),0,IF($J336&lt;=$S$6,SUM($R$20:$R336),0))</f>
        <v>0</v>
      </c>
      <c r="U336" s="885">
        <f t="shared" si="104"/>
        <v>0</v>
      </c>
      <c r="V336" s="1110">
        <f t="shared" si="112"/>
        <v>0</v>
      </c>
      <c r="X336" s="1102">
        <f t="shared" si="105"/>
        <v>0</v>
      </c>
      <c r="Y336" s="873">
        <f t="shared" si="106"/>
        <v>0</v>
      </c>
      <c r="Z336" s="873">
        <f t="shared" si="107"/>
        <v>0</v>
      </c>
      <c r="AA336" s="885">
        <f t="shared" si="108"/>
        <v>0</v>
      </c>
    </row>
    <row r="337" spans="2:27" s="278" customFormat="1" ht="12" customHeight="1" x14ac:dyDescent="0.25">
      <c r="B337" s="1192" t="e">
        <f t="shared" si="113"/>
        <v>#N/A</v>
      </c>
      <c r="C337" s="732">
        <f t="shared" si="99"/>
        <v>31</v>
      </c>
      <c r="D337" s="35">
        <f t="shared" si="100"/>
        <v>3</v>
      </c>
      <c r="E337" s="889">
        <f t="shared" si="119"/>
        <v>103821</v>
      </c>
      <c r="F337" s="822">
        <f t="shared" si="101"/>
        <v>3</v>
      </c>
      <c r="G337" s="500">
        <f t="shared" si="114"/>
        <v>213</v>
      </c>
      <c r="H337" s="126">
        <f t="shared" si="102"/>
        <v>0</v>
      </c>
      <c r="I337" s="1098">
        <f t="shared" si="120"/>
        <v>0</v>
      </c>
      <c r="J337" s="887">
        <f t="shared" si="115"/>
        <v>318</v>
      </c>
      <c r="K337" s="1099">
        <f t="shared" si="109"/>
        <v>318</v>
      </c>
      <c r="L337" s="891" t="str">
        <f t="shared" si="110"/>
        <v>March</v>
      </c>
      <c r="M337" s="888">
        <f t="shared" si="116"/>
        <v>2184</v>
      </c>
      <c r="N337" s="883">
        <f t="shared" si="111"/>
        <v>0</v>
      </c>
      <c r="O337" s="883">
        <f t="shared" si="117"/>
        <v>0</v>
      </c>
      <c r="P337" s="1100"/>
      <c r="Q337" s="883">
        <f t="shared" si="103"/>
        <v>0</v>
      </c>
      <c r="R337" s="884">
        <f t="shared" si="118"/>
        <v>0</v>
      </c>
      <c r="S337" s="884">
        <f>IF(AND($AS$39="Early Payoff",J337&gt;=$S$13),0,IF($J337&lt;=$S$6,SUM($Q$20:$Q337),0))</f>
        <v>0</v>
      </c>
      <c r="T337" s="884">
        <f>IF(AND($AS$39="Early Payoff",J337&gt;=$S$13),0,IF($J337&lt;=$S$6,SUM($R$20:$R337),0))</f>
        <v>0</v>
      </c>
      <c r="U337" s="885">
        <f t="shared" si="104"/>
        <v>0</v>
      </c>
      <c r="V337" s="1110">
        <f t="shared" si="112"/>
        <v>0</v>
      </c>
      <c r="X337" s="1102">
        <f t="shared" si="105"/>
        <v>0</v>
      </c>
      <c r="Y337" s="873">
        <f t="shared" si="106"/>
        <v>0</v>
      </c>
      <c r="Z337" s="873">
        <f t="shared" si="107"/>
        <v>0</v>
      </c>
      <c r="AA337" s="885">
        <f t="shared" si="108"/>
        <v>0</v>
      </c>
    </row>
    <row r="338" spans="2:27" s="278" customFormat="1" ht="12" customHeight="1" x14ac:dyDescent="0.25">
      <c r="B338" s="1192" t="e">
        <f t="shared" si="113"/>
        <v>#N/A</v>
      </c>
      <c r="C338" s="732">
        <f t="shared" si="99"/>
        <v>31</v>
      </c>
      <c r="D338" s="35">
        <f t="shared" si="100"/>
        <v>8</v>
      </c>
      <c r="E338" s="889">
        <f t="shared" si="119"/>
        <v>103974</v>
      </c>
      <c r="F338" s="822">
        <f t="shared" si="101"/>
        <v>8</v>
      </c>
      <c r="G338" s="500">
        <f t="shared" si="114"/>
        <v>153</v>
      </c>
      <c r="H338" s="126">
        <f t="shared" si="102"/>
        <v>0</v>
      </c>
      <c r="I338" s="1098">
        <f t="shared" si="120"/>
        <v>1</v>
      </c>
      <c r="J338" s="887">
        <f t="shared" si="115"/>
        <v>319</v>
      </c>
      <c r="K338" s="1099">
        <f t="shared" si="109"/>
        <v>319</v>
      </c>
      <c r="L338" s="891" t="str">
        <f t="shared" si="110"/>
        <v>August</v>
      </c>
      <c r="M338" s="888">
        <f t="shared" si="116"/>
        <v>2184</v>
      </c>
      <c r="N338" s="883">
        <f t="shared" si="111"/>
        <v>0</v>
      </c>
      <c r="O338" s="883">
        <f t="shared" si="117"/>
        <v>0</v>
      </c>
      <c r="P338" s="1100"/>
      <c r="Q338" s="883">
        <f t="shared" si="103"/>
        <v>0</v>
      </c>
      <c r="R338" s="884">
        <f t="shared" si="118"/>
        <v>0</v>
      </c>
      <c r="S338" s="884">
        <f>IF(AND($AS$39="Early Payoff",J338&gt;=$S$13),0,IF($J338&lt;=$S$6,SUM($Q$20:$Q338),0))</f>
        <v>0</v>
      </c>
      <c r="T338" s="884">
        <f>IF(AND($AS$39="Early Payoff",J338&gt;=$S$13),0,IF($J338&lt;=$S$6,SUM($R$20:$R338),0))</f>
        <v>0</v>
      </c>
      <c r="U338" s="885">
        <f t="shared" si="104"/>
        <v>0</v>
      </c>
      <c r="V338" s="1110">
        <f t="shared" si="112"/>
        <v>0</v>
      </c>
      <c r="X338" s="1102">
        <f t="shared" si="105"/>
        <v>0</v>
      </c>
      <c r="Y338" s="873">
        <f t="shared" si="106"/>
        <v>0</v>
      </c>
      <c r="Z338" s="873">
        <f t="shared" si="107"/>
        <v>0</v>
      </c>
      <c r="AA338" s="885">
        <f t="shared" si="108"/>
        <v>0</v>
      </c>
    </row>
    <row r="339" spans="2:27" s="278" customFormat="1" ht="12" customHeight="1" x14ac:dyDescent="0.25">
      <c r="B339" s="1192" t="e">
        <f t="shared" si="113"/>
        <v>#N/A</v>
      </c>
      <c r="C339" s="732">
        <f t="shared" si="99"/>
        <v>31</v>
      </c>
      <c r="D339" s="35">
        <f t="shared" si="100"/>
        <v>3</v>
      </c>
      <c r="E339" s="889">
        <f t="shared" si="119"/>
        <v>104186</v>
      </c>
      <c r="F339" s="822">
        <f t="shared" si="101"/>
        <v>3</v>
      </c>
      <c r="G339" s="500">
        <f t="shared" si="114"/>
        <v>212</v>
      </c>
      <c r="H339" s="126">
        <f t="shared" si="102"/>
        <v>0</v>
      </c>
      <c r="I339" s="1098">
        <f t="shared" si="120"/>
        <v>0</v>
      </c>
      <c r="J339" s="887">
        <f t="shared" si="115"/>
        <v>320</v>
      </c>
      <c r="K339" s="1099">
        <f t="shared" si="109"/>
        <v>320</v>
      </c>
      <c r="L339" s="891" t="str">
        <f t="shared" si="110"/>
        <v>March</v>
      </c>
      <c r="M339" s="888">
        <f t="shared" si="116"/>
        <v>2185</v>
      </c>
      <c r="N339" s="883">
        <f t="shared" si="111"/>
        <v>0</v>
      </c>
      <c r="O339" s="883">
        <f t="shared" si="117"/>
        <v>0</v>
      </c>
      <c r="P339" s="1100"/>
      <c r="Q339" s="883">
        <f t="shared" si="103"/>
        <v>0</v>
      </c>
      <c r="R339" s="884">
        <f t="shared" si="118"/>
        <v>0</v>
      </c>
      <c r="S339" s="884">
        <f>IF(AND($AS$39="Early Payoff",J339&gt;=$S$13),0,IF($J339&lt;=$S$6,SUM($Q$20:$Q339),0))</f>
        <v>0</v>
      </c>
      <c r="T339" s="884">
        <f>IF(AND($AS$39="Early Payoff",J339&gt;=$S$13),0,IF($J339&lt;=$S$6,SUM($R$20:$R339),0))</f>
        <v>0</v>
      </c>
      <c r="U339" s="885">
        <f t="shared" si="104"/>
        <v>0</v>
      </c>
      <c r="V339" s="1110">
        <f t="shared" si="112"/>
        <v>0</v>
      </c>
      <c r="X339" s="1102">
        <f t="shared" si="105"/>
        <v>0</v>
      </c>
      <c r="Y339" s="873">
        <f t="shared" si="106"/>
        <v>0</v>
      </c>
      <c r="Z339" s="873">
        <f t="shared" si="107"/>
        <v>0</v>
      </c>
      <c r="AA339" s="885">
        <f t="shared" si="108"/>
        <v>0</v>
      </c>
    </row>
    <row r="340" spans="2:27" s="278" customFormat="1" ht="12" customHeight="1" x14ac:dyDescent="0.25">
      <c r="B340" s="1192" t="e">
        <f t="shared" si="113"/>
        <v>#N/A</v>
      </c>
      <c r="C340" s="732">
        <f t="shared" ref="C340:C403" si="121">DAY(EOMONTH(DATE($M340,$D340,1),0))</f>
        <v>31</v>
      </c>
      <c r="D340" s="35">
        <f t="shared" ref="D340:D403" si="122">INDEX($AT$22:$AU$34,MATCH($L340,$AT$22:$AT$34,0),MATCH("Number",$AT$22:$AU$22,0))</f>
        <v>8</v>
      </c>
      <c r="E340" s="889">
        <f t="shared" si="119"/>
        <v>104339</v>
      </c>
      <c r="F340" s="822">
        <f t="shared" ref="F340:F403" si="123">INDEX($AT$22:$AU$34,MATCH($L340,$AT$22:$AT$34,0),MATCH("Number",$AT$22:$AU$22,0))</f>
        <v>8</v>
      </c>
      <c r="G340" s="500">
        <f t="shared" si="114"/>
        <v>153</v>
      </c>
      <c r="H340" s="126">
        <f t="shared" ref="H340:H403" si="124">IF($T$4="Monthly",INDEX($AT$36:$AU$48,MATCH($L340,$AT$36:$AT$48,0),MATCH("Number",$AT$36:$AU$36,0)),0)</f>
        <v>0</v>
      </c>
      <c r="I340" s="1098">
        <f t="shared" si="120"/>
        <v>1</v>
      </c>
      <c r="J340" s="887">
        <f t="shared" si="115"/>
        <v>321</v>
      </c>
      <c r="K340" s="1099">
        <f t="shared" si="109"/>
        <v>321</v>
      </c>
      <c r="L340" s="891" t="str">
        <f t="shared" si="110"/>
        <v>August</v>
      </c>
      <c r="M340" s="888">
        <f t="shared" si="116"/>
        <v>2185</v>
      </c>
      <c r="N340" s="883">
        <f t="shared" si="111"/>
        <v>0</v>
      </c>
      <c r="O340" s="883">
        <f t="shared" si="117"/>
        <v>0</v>
      </c>
      <c r="P340" s="1100"/>
      <c r="Q340" s="883">
        <f t="shared" ref="Q340:Q378" si="125">IF(AND($AS$39="Early Payoff",J340&gt;=$S$13),0,IF($J340&gt;$S$6,0,IF(AND($AR$29&gt;0,$J340&lt;=$AR$29),0,+$O340-$R340)))</f>
        <v>0</v>
      </c>
      <c r="R340" s="884">
        <f t="shared" si="118"/>
        <v>0</v>
      </c>
      <c r="S340" s="884">
        <f>IF(AND($AS$39="Early Payoff",J340&gt;=$S$13),0,IF($J340&lt;=$S$6,SUM($Q$20:$Q340),0))</f>
        <v>0</v>
      </c>
      <c r="T340" s="884">
        <f>IF(AND($AS$39="Early Payoff",J340&gt;=$S$13),0,IF($J340&lt;=$S$6,SUM($R$20:$R340),0))</f>
        <v>0</v>
      </c>
      <c r="U340" s="885">
        <f t="shared" ref="U340:U403" si="126">IF($K340&lt;$S$13,SUM($N340,$Q340),0)</f>
        <v>0</v>
      </c>
      <c r="V340" s="1110">
        <f t="shared" si="112"/>
        <v>0</v>
      </c>
      <c r="X340" s="1102">
        <f t="shared" ref="X340:X379" si="127">IF($J340&gt;$S$6,0,IF($J340&lt;=$AR$27,0,IF(AND($Y$5="%/Payment",$AA$5=0),$O340*$Z$5,IF(AND($Y$5="%/Payment",$AA$5&gt;0,($O340*$Z$5)&lt;$AA$5),$O340*$Z$5,IF(AND($Y$5="%/Payment",$AA$5&gt;0,($O340*$Z$5)&gt;$AA$5),-$AA$5,IF(AND($Y$5="%/Balance",$AA$5=0),-$U340*$Z$5,IF(AND($Y$5="%/Balance",$AA$5&gt;0,($U340*$Z$5)&lt;$AA$5),-$U340*$Z$5,IF(AND($Y$5="%/Balance",$AA$5&gt;0,($U340*$Z$5)&gt;$AA$5),-$AA$5,IF($Y$5="Fixed Amount",-$Z$5,IF($Y$5="N/A",0))))))))))</f>
        <v>0</v>
      </c>
      <c r="Y340" s="873">
        <f t="shared" ref="Y340:Y379" si="128">IF($J340&gt;$S$6,0,IF($J340&lt;=$AR$27,0,IF(AND($Y$6="%/Payment",$AA$6=0),$O340*$Z$6,IF(AND($Y$6="%/Payment",$AA$6&gt;0,($O340*$Z$6)&lt;$AA$6),$O340*$Z$6,IF(AND($Y$6="%/Payment",$AA$6&gt;0,($O340*$Z$6)&gt;$AA$6),-$AA$6,IF(AND($Y$6="%/Balance",$AA$6=0),-$U340*$Z$6,IF(AND($Y$6="%/Balance",$AA$6&gt;0,($U340*$Z$6)&lt;$AA$6),-$U340*$Z$6,IF(AND($Y$6="%/Balance",$AA$6&gt;0,($U340*$Z$6)&gt;$AA$6),-$AA$6,IF($Y$6="Fixed Amount",-$Z$6,IF($Y$6="N/A",0))))))))))</f>
        <v>0</v>
      </c>
      <c r="Z340" s="873">
        <f t="shared" ref="Z340:Z379" si="129">IF($J340&gt;$S$6,0,IF($J340&lt;=$AR$27,0,IF(AND($Y$7="%/Payment",$AA$7=0),$O340*$Z$7,IF(AND($Y$7="%/Payment",$AA$7&gt;0,($O340*$Z$7)&lt;$AA$7),$O340*$Z$7,IF(AND($Y$7="%/Payment",$AA$7&gt;0,($O340*$Z$7)&gt;$AA$7),-$AA$7,IF(AND($Y$7="%/Balance",$AA$7=0),-$U340*$Z$7,IF(AND($Y$7="%/Balance",$AA$7&gt;0,($U340*$Z$7)&lt;$AA$7),-$U340*$Z$7,IF(AND($Y$7="%/Balance",$AA$7&gt;0,($O340*$Z$7)&gt;$AA$7),-$AA$7,IF($Y$7="Fixed Amount",-$Z$7,IF($Y$7="N/A",0))))))))))</f>
        <v>0</v>
      </c>
      <c r="AA340" s="885">
        <f t="shared" ref="AA340:AA379" si="130">SUM($O340,$X340:$Z340)</f>
        <v>0</v>
      </c>
    </row>
    <row r="341" spans="2:27" s="278" customFormat="1" ht="12" customHeight="1" x14ac:dyDescent="0.25">
      <c r="B341" s="1192" t="e">
        <f t="shared" si="113"/>
        <v>#N/A</v>
      </c>
      <c r="C341" s="732">
        <f t="shared" si="121"/>
        <v>31</v>
      </c>
      <c r="D341" s="35">
        <f t="shared" si="122"/>
        <v>3</v>
      </c>
      <c r="E341" s="889">
        <f t="shared" si="119"/>
        <v>104551</v>
      </c>
      <c r="F341" s="822">
        <f t="shared" si="123"/>
        <v>3</v>
      </c>
      <c r="G341" s="500">
        <f t="shared" si="114"/>
        <v>212</v>
      </c>
      <c r="H341" s="126">
        <f t="shared" si="124"/>
        <v>0</v>
      </c>
      <c r="I341" s="1098">
        <f t="shared" si="120"/>
        <v>0</v>
      </c>
      <c r="J341" s="887">
        <f t="shared" si="115"/>
        <v>322</v>
      </c>
      <c r="K341" s="1099">
        <f t="shared" ref="K341:K404" si="131">IF($J341&lt;=$AR$29,0,IF($J340&gt;=$AR$29,$K340+1))</f>
        <v>322</v>
      </c>
      <c r="L341" s="891" t="str">
        <f t="shared" ref="L341:L404" si="132">IF($T$4="Annual",$R$5,IF(AND($T$4="Bi-Annual",$F340&lt;MAX($R$4,$S$4)),INDEX($AU$22:$AV$34,MATCH(MAX($R$4,$S$4),$AU$22:$AU$34,0),MATCH("Month",$AU$22:$AV$22,0)),IF(AND($T$4="Bi-Annual",$F340=MAX($R$4,$S$4)),INDEX($AU$22:$AV$34,MATCH(MIN($R$4,$S$4),$AU$22:$AU$34,0),MATCH("Month",$AU$22:$AV$22,0)),IF(AND($T$4="Monthly",$F340&lt;12),INDEX($AU$22:$AV$34,MATCH($F340+1,$AU$22:$AU$34,0),MATCH("Month",$AU$22:$AV$22,0)),IF(AND($T$4="Monthly",$F340=12),INDEX($AU$22:$AV$34,MATCH($F340-11,$AU$22:$AU$34,0),MATCH("Month",$AU$22:$AV$22,0)))))))</f>
        <v>March</v>
      </c>
      <c r="M341" s="888">
        <f t="shared" si="116"/>
        <v>2186</v>
      </c>
      <c r="N341" s="883">
        <f t="shared" ref="N341:N404" si="133">IF(AND($AS$39="Early Payoff",$J341&gt;$S$13),0,IF(AND($AS$39="Early Payoff",$J341&lt;$S$13),$U340,IF($J341&gt;$S$6,0,$U340)))</f>
        <v>0</v>
      </c>
      <c r="O341" s="883">
        <f t="shared" si="117"/>
        <v>0</v>
      </c>
      <c r="P341" s="1100"/>
      <c r="Q341" s="883">
        <f t="shared" si="125"/>
        <v>0</v>
      </c>
      <c r="R341" s="884">
        <f t="shared" si="118"/>
        <v>0</v>
      </c>
      <c r="S341" s="884">
        <f>IF(AND($AS$39="Early Payoff",J341&gt;=$S$13),0,IF($J341&lt;=$S$6,SUM($Q$20:$Q341),0))</f>
        <v>0</v>
      </c>
      <c r="T341" s="884">
        <f>IF(AND($AS$39="Early Payoff",J341&gt;=$S$13),0,IF($J341&lt;=$S$6,SUM($R$20:$R341),0))</f>
        <v>0</v>
      </c>
      <c r="U341" s="885">
        <f t="shared" si="126"/>
        <v>0</v>
      </c>
      <c r="V341" s="1110">
        <f t="shared" ref="V341:V404" si="134">IF($T$4="Monthly",$N341,IF(AND(OR($T$4="Annual",$T$4="Bi-Annual"),$K341=$T$7),INDEX($J$19:$U$379,MATCH($T$7,$K$19:$K$2379,0),MATCH($N$19,$J$19:$U$19,0)),IF(AND(OR($T$4="Annual",$T$4="Bi-Annual"),$K341&lt;$T$7),$N341,0)))</f>
        <v>0</v>
      </c>
      <c r="X341" s="1102">
        <f t="shared" si="127"/>
        <v>0</v>
      </c>
      <c r="Y341" s="873">
        <f t="shared" si="128"/>
        <v>0</v>
      </c>
      <c r="Z341" s="873">
        <f t="shared" si="129"/>
        <v>0</v>
      </c>
      <c r="AA341" s="885">
        <f t="shared" si="130"/>
        <v>0</v>
      </c>
    </row>
    <row r="342" spans="2:27" s="278" customFormat="1" ht="12" customHeight="1" x14ac:dyDescent="0.25">
      <c r="B342" s="1192" t="e">
        <f t="shared" ref="B342:B405" si="135">B341+1</f>
        <v>#N/A</v>
      </c>
      <c r="C342" s="732">
        <f t="shared" si="121"/>
        <v>31</v>
      </c>
      <c r="D342" s="35">
        <f t="shared" si="122"/>
        <v>8</v>
      </c>
      <c r="E342" s="889">
        <f t="shared" si="119"/>
        <v>104704</v>
      </c>
      <c r="F342" s="822">
        <f t="shared" si="123"/>
        <v>8</v>
      </c>
      <c r="G342" s="500">
        <f t="shared" ref="G342:G378" si="136">E342-E341</f>
        <v>153</v>
      </c>
      <c r="H342" s="126">
        <f t="shared" si="124"/>
        <v>0</v>
      </c>
      <c r="I342" s="1098">
        <f t="shared" si="120"/>
        <v>1</v>
      </c>
      <c r="J342" s="887">
        <f t="shared" ref="J342:J405" si="137">J341+1</f>
        <v>323</v>
      </c>
      <c r="K342" s="1099">
        <f t="shared" si="131"/>
        <v>323</v>
      </c>
      <c r="L342" s="891" t="str">
        <f t="shared" si="132"/>
        <v>August</v>
      </c>
      <c r="M342" s="888">
        <f t="shared" ref="M342:M405" si="138">IF($T$4="Annual",$M341+$I342,IF($T$4="Bi-Annual",$M341+$I341,IF($T$4="Monthly",$M341+$H341)))</f>
        <v>2186</v>
      </c>
      <c r="N342" s="883">
        <f t="shared" si="133"/>
        <v>0</v>
      </c>
      <c r="O342" s="883">
        <f t="shared" ref="O342:O378" si="139">IF($J342&gt;$S$6,0,IF(AND($AR$29&gt;=0,$J342&lt;=$AR$29),0,IF(AND($AR$27&gt;=0,$J342&lt;=$AR$27),$R342,IF(K342=$T$7,SUM(-N342,R342),IF(AND($T$4="Annual",$AR$27&gt;=0,$AR$29&gt;=0,$J342&gt;$AR$27,$J342&gt;$AR$29),PMT($M$7,($S$6-$AR$27),$M$4),IF(AND($T$4="Bi-Annual",$AR$27&gt;=0,$AR$29&gt;=0,$J342&gt;$AR$27,$J342&gt;$AR$29),PMT($M$7/2,($S$6-$AR$27),$M$4),IF(AND($T$4="Monthly",$AR$27&gt;=0,$AR$29&gt;=0,$J342&gt;$AR$27,$J342&gt;$AR$29),PMT($M$7/12,($S$6-$AR$27),$M$4))))))))-P342</f>
        <v>0</v>
      </c>
      <c r="P342" s="1100"/>
      <c r="Q342" s="883">
        <f t="shared" si="125"/>
        <v>0</v>
      </c>
      <c r="R342" s="884">
        <f t="shared" ref="R342:R378" si="140">IF(AND($AS$39="Early Payoff",J342&gt;=$S$13),0,IF($T$4="Annual",-$M$7*$U341*1,IF(AND($T$4="Bi-Annual",$M$8="Base"),(-$M$7/2)*$U341*1,IF(AND($T$4="Bi-Annual",$M$8="Actual Days"),(-$M$7*$U341)*(G342/366),IF($T$4="Monthly",(-$M$7/12)*$U341*1)))))</f>
        <v>0</v>
      </c>
      <c r="S342" s="884">
        <f>IF(AND($AS$39="Early Payoff",J342&gt;=$S$13),0,IF($J342&lt;=$S$6,SUM($Q$20:$Q342),0))</f>
        <v>0</v>
      </c>
      <c r="T342" s="884">
        <f>IF(AND($AS$39="Early Payoff",J342&gt;=$S$13),0,IF($J342&lt;=$S$6,SUM($R$20:$R342),0))</f>
        <v>0</v>
      </c>
      <c r="U342" s="885">
        <f t="shared" si="126"/>
        <v>0</v>
      </c>
      <c r="V342" s="1110">
        <f t="shared" si="134"/>
        <v>0</v>
      </c>
      <c r="X342" s="1102">
        <f t="shared" si="127"/>
        <v>0</v>
      </c>
      <c r="Y342" s="873">
        <f t="shared" si="128"/>
        <v>0</v>
      </c>
      <c r="Z342" s="873">
        <f t="shared" si="129"/>
        <v>0</v>
      </c>
      <c r="AA342" s="885">
        <f t="shared" si="130"/>
        <v>0</v>
      </c>
    </row>
    <row r="343" spans="2:27" s="278" customFormat="1" ht="12" customHeight="1" x14ac:dyDescent="0.25">
      <c r="B343" s="1192" t="e">
        <f t="shared" si="135"/>
        <v>#N/A</v>
      </c>
      <c r="C343" s="732">
        <f t="shared" si="121"/>
        <v>31</v>
      </c>
      <c r="D343" s="35">
        <f t="shared" si="122"/>
        <v>3</v>
      </c>
      <c r="E343" s="889">
        <f t="shared" ref="E343:E378" si="141">DATE(M343,D343,C343)</f>
        <v>104916</v>
      </c>
      <c r="F343" s="822">
        <f t="shared" si="123"/>
        <v>3</v>
      </c>
      <c r="G343" s="500">
        <f t="shared" si="136"/>
        <v>212</v>
      </c>
      <c r="H343" s="126">
        <f t="shared" si="124"/>
        <v>0</v>
      </c>
      <c r="I343" s="1098">
        <f t="shared" ref="I343:I406" si="142">IF($T$4="Annual",1,IF(AND($T$4="Bi-Annual",$F343&gt;$F344),1,IF(AND($T$4="Bi-Annual",$F343&lt;$F344),0,IF($T$4="Monthly",0,))))</f>
        <v>0</v>
      </c>
      <c r="J343" s="887">
        <f t="shared" si="137"/>
        <v>324</v>
      </c>
      <c r="K343" s="1099">
        <f t="shared" si="131"/>
        <v>324</v>
      </c>
      <c r="L343" s="891" t="str">
        <f t="shared" si="132"/>
        <v>March</v>
      </c>
      <c r="M343" s="888">
        <f t="shared" si="138"/>
        <v>2187</v>
      </c>
      <c r="N343" s="883">
        <f t="shared" si="133"/>
        <v>0</v>
      </c>
      <c r="O343" s="883">
        <f t="shared" si="139"/>
        <v>0</v>
      </c>
      <c r="P343" s="1100"/>
      <c r="Q343" s="883">
        <f t="shared" si="125"/>
        <v>0</v>
      </c>
      <c r="R343" s="884">
        <f t="shared" si="140"/>
        <v>0</v>
      </c>
      <c r="S343" s="884">
        <f>IF(AND($AS$39="Early Payoff",J343&gt;=$S$13),0,IF($J343&lt;=$S$6,SUM($Q$20:$Q343),0))</f>
        <v>0</v>
      </c>
      <c r="T343" s="884">
        <f>IF(AND($AS$39="Early Payoff",J343&gt;=$S$13),0,IF($J343&lt;=$S$6,SUM($R$20:$R343),0))</f>
        <v>0</v>
      </c>
      <c r="U343" s="885">
        <f t="shared" si="126"/>
        <v>0</v>
      </c>
      <c r="V343" s="1110">
        <f t="shared" si="134"/>
        <v>0</v>
      </c>
      <c r="X343" s="1102">
        <f t="shared" si="127"/>
        <v>0</v>
      </c>
      <c r="Y343" s="873">
        <f t="shared" si="128"/>
        <v>0</v>
      </c>
      <c r="Z343" s="873">
        <f t="shared" si="129"/>
        <v>0</v>
      </c>
      <c r="AA343" s="885">
        <f t="shared" si="130"/>
        <v>0</v>
      </c>
    </row>
    <row r="344" spans="2:27" s="278" customFormat="1" ht="12" customHeight="1" x14ac:dyDescent="0.25">
      <c r="B344" s="1192" t="e">
        <f t="shared" si="135"/>
        <v>#N/A</v>
      </c>
      <c r="C344" s="732">
        <f t="shared" si="121"/>
        <v>31</v>
      </c>
      <c r="D344" s="35">
        <f t="shared" si="122"/>
        <v>8</v>
      </c>
      <c r="E344" s="889">
        <f t="shared" si="141"/>
        <v>105069</v>
      </c>
      <c r="F344" s="822">
        <f t="shared" si="123"/>
        <v>8</v>
      </c>
      <c r="G344" s="500">
        <f t="shared" si="136"/>
        <v>153</v>
      </c>
      <c r="H344" s="126">
        <f t="shared" si="124"/>
        <v>0</v>
      </c>
      <c r="I344" s="1098">
        <f t="shared" si="142"/>
        <v>1</v>
      </c>
      <c r="J344" s="887">
        <f t="shared" si="137"/>
        <v>325</v>
      </c>
      <c r="K344" s="1099">
        <f t="shared" si="131"/>
        <v>325</v>
      </c>
      <c r="L344" s="891" t="str">
        <f t="shared" si="132"/>
        <v>August</v>
      </c>
      <c r="M344" s="888">
        <f t="shared" si="138"/>
        <v>2187</v>
      </c>
      <c r="N344" s="883">
        <f t="shared" si="133"/>
        <v>0</v>
      </c>
      <c r="O344" s="883">
        <f t="shared" si="139"/>
        <v>0</v>
      </c>
      <c r="P344" s="1100"/>
      <c r="Q344" s="883">
        <f t="shared" si="125"/>
        <v>0</v>
      </c>
      <c r="R344" s="884">
        <f t="shared" si="140"/>
        <v>0</v>
      </c>
      <c r="S344" s="884">
        <f>IF(AND($AS$39="Early Payoff",J344&gt;=$S$13),0,IF($J344&lt;=$S$6,SUM($Q$20:$Q344),0))</f>
        <v>0</v>
      </c>
      <c r="T344" s="884">
        <f>IF(AND($AS$39="Early Payoff",J344&gt;=$S$13),0,IF($J344&lt;=$S$6,SUM($R$20:$R344),0))</f>
        <v>0</v>
      </c>
      <c r="U344" s="885">
        <f t="shared" si="126"/>
        <v>0</v>
      </c>
      <c r="V344" s="1110">
        <f t="shared" si="134"/>
        <v>0</v>
      </c>
      <c r="X344" s="1102">
        <f t="shared" si="127"/>
        <v>0</v>
      </c>
      <c r="Y344" s="873">
        <f t="shared" si="128"/>
        <v>0</v>
      </c>
      <c r="Z344" s="873">
        <f t="shared" si="129"/>
        <v>0</v>
      </c>
      <c r="AA344" s="885">
        <f t="shared" si="130"/>
        <v>0</v>
      </c>
    </row>
    <row r="345" spans="2:27" s="278" customFormat="1" ht="12" customHeight="1" x14ac:dyDescent="0.25">
      <c r="B345" s="1192" t="e">
        <f t="shared" si="135"/>
        <v>#N/A</v>
      </c>
      <c r="C345" s="732">
        <f t="shared" si="121"/>
        <v>31</v>
      </c>
      <c r="D345" s="35">
        <f t="shared" si="122"/>
        <v>3</v>
      </c>
      <c r="E345" s="889">
        <f t="shared" si="141"/>
        <v>105282</v>
      </c>
      <c r="F345" s="822">
        <f t="shared" si="123"/>
        <v>3</v>
      </c>
      <c r="G345" s="500">
        <f t="shared" si="136"/>
        <v>213</v>
      </c>
      <c r="H345" s="126">
        <f t="shared" si="124"/>
        <v>0</v>
      </c>
      <c r="I345" s="1098">
        <f t="shared" si="142"/>
        <v>0</v>
      </c>
      <c r="J345" s="887">
        <f t="shared" si="137"/>
        <v>326</v>
      </c>
      <c r="K345" s="1099">
        <f t="shared" si="131"/>
        <v>326</v>
      </c>
      <c r="L345" s="891" t="str">
        <f t="shared" si="132"/>
        <v>March</v>
      </c>
      <c r="M345" s="888">
        <f t="shared" si="138"/>
        <v>2188</v>
      </c>
      <c r="N345" s="883">
        <f t="shared" si="133"/>
        <v>0</v>
      </c>
      <c r="O345" s="883">
        <f t="shared" si="139"/>
        <v>0</v>
      </c>
      <c r="P345" s="1100"/>
      <c r="Q345" s="883">
        <f t="shared" si="125"/>
        <v>0</v>
      </c>
      <c r="R345" s="884">
        <f t="shared" si="140"/>
        <v>0</v>
      </c>
      <c r="S345" s="884">
        <f>IF(AND($AS$39="Early Payoff",J345&gt;=$S$13),0,IF($J345&lt;=$S$6,SUM($Q$20:$Q345),0))</f>
        <v>0</v>
      </c>
      <c r="T345" s="884">
        <f>IF(AND($AS$39="Early Payoff",J345&gt;=$S$13),0,IF($J345&lt;=$S$6,SUM($R$20:$R345),0))</f>
        <v>0</v>
      </c>
      <c r="U345" s="885">
        <f t="shared" si="126"/>
        <v>0</v>
      </c>
      <c r="V345" s="1110">
        <f t="shared" si="134"/>
        <v>0</v>
      </c>
      <c r="X345" s="1102">
        <f t="shared" si="127"/>
        <v>0</v>
      </c>
      <c r="Y345" s="873">
        <f t="shared" si="128"/>
        <v>0</v>
      </c>
      <c r="Z345" s="873">
        <f t="shared" si="129"/>
        <v>0</v>
      </c>
      <c r="AA345" s="885">
        <f t="shared" si="130"/>
        <v>0</v>
      </c>
    </row>
    <row r="346" spans="2:27" s="278" customFormat="1" ht="12" customHeight="1" x14ac:dyDescent="0.25">
      <c r="B346" s="1192" t="e">
        <f t="shared" si="135"/>
        <v>#N/A</v>
      </c>
      <c r="C346" s="732">
        <f t="shared" si="121"/>
        <v>31</v>
      </c>
      <c r="D346" s="35">
        <f t="shared" si="122"/>
        <v>8</v>
      </c>
      <c r="E346" s="889">
        <f t="shared" si="141"/>
        <v>105435</v>
      </c>
      <c r="F346" s="822">
        <f t="shared" si="123"/>
        <v>8</v>
      </c>
      <c r="G346" s="500">
        <f t="shared" si="136"/>
        <v>153</v>
      </c>
      <c r="H346" s="126">
        <f t="shared" si="124"/>
        <v>0</v>
      </c>
      <c r="I346" s="1098">
        <f t="shared" si="142"/>
        <v>1</v>
      </c>
      <c r="J346" s="887">
        <f t="shared" si="137"/>
        <v>327</v>
      </c>
      <c r="K346" s="1099">
        <f t="shared" si="131"/>
        <v>327</v>
      </c>
      <c r="L346" s="891" t="str">
        <f t="shared" si="132"/>
        <v>August</v>
      </c>
      <c r="M346" s="888">
        <f t="shared" si="138"/>
        <v>2188</v>
      </c>
      <c r="N346" s="883">
        <f t="shared" si="133"/>
        <v>0</v>
      </c>
      <c r="O346" s="883">
        <f t="shared" si="139"/>
        <v>0</v>
      </c>
      <c r="P346" s="1100"/>
      <c r="Q346" s="883">
        <f t="shared" si="125"/>
        <v>0</v>
      </c>
      <c r="R346" s="884">
        <f t="shared" si="140"/>
        <v>0</v>
      </c>
      <c r="S346" s="884">
        <f>IF(AND($AS$39="Early Payoff",J346&gt;=$S$13),0,IF($J346&lt;=$S$6,SUM($Q$20:$Q346),0))</f>
        <v>0</v>
      </c>
      <c r="T346" s="884">
        <f>IF(AND($AS$39="Early Payoff",J346&gt;=$S$13),0,IF($J346&lt;=$S$6,SUM($R$20:$R346),0))</f>
        <v>0</v>
      </c>
      <c r="U346" s="885">
        <f t="shared" si="126"/>
        <v>0</v>
      </c>
      <c r="V346" s="1110">
        <f t="shared" si="134"/>
        <v>0</v>
      </c>
      <c r="X346" s="1102">
        <f t="shared" si="127"/>
        <v>0</v>
      </c>
      <c r="Y346" s="873">
        <f t="shared" si="128"/>
        <v>0</v>
      </c>
      <c r="Z346" s="873">
        <f t="shared" si="129"/>
        <v>0</v>
      </c>
      <c r="AA346" s="885">
        <f t="shared" si="130"/>
        <v>0</v>
      </c>
    </row>
    <row r="347" spans="2:27" s="278" customFormat="1" ht="12" customHeight="1" x14ac:dyDescent="0.25">
      <c r="B347" s="1192" t="e">
        <f t="shared" si="135"/>
        <v>#N/A</v>
      </c>
      <c r="C347" s="732">
        <f t="shared" si="121"/>
        <v>31</v>
      </c>
      <c r="D347" s="35">
        <f t="shared" si="122"/>
        <v>3</v>
      </c>
      <c r="E347" s="889">
        <f t="shared" si="141"/>
        <v>105647</v>
      </c>
      <c r="F347" s="822">
        <f t="shared" si="123"/>
        <v>3</v>
      </c>
      <c r="G347" s="500">
        <f t="shared" si="136"/>
        <v>212</v>
      </c>
      <c r="H347" s="126">
        <f t="shared" si="124"/>
        <v>0</v>
      </c>
      <c r="I347" s="1098">
        <f t="shared" si="142"/>
        <v>0</v>
      </c>
      <c r="J347" s="887">
        <f t="shared" si="137"/>
        <v>328</v>
      </c>
      <c r="K347" s="1099">
        <f t="shared" si="131"/>
        <v>328</v>
      </c>
      <c r="L347" s="891" t="str">
        <f t="shared" si="132"/>
        <v>March</v>
      </c>
      <c r="M347" s="888">
        <f t="shared" si="138"/>
        <v>2189</v>
      </c>
      <c r="N347" s="883">
        <f t="shared" si="133"/>
        <v>0</v>
      </c>
      <c r="O347" s="883">
        <f t="shared" si="139"/>
        <v>0</v>
      </c>
      <c r="P347" s="1100"/>
      <c r="Q347" s="883">
        <f t="shared" si="125"/>
        <v>0</v>
      </c>
      <c r="R347" s="884">
        <f t="shared" si="140"/>
        <v>0</v>
      </c>
      <c r="S347" s="884">
        <f>IF(AND($AS$39="Early Payoff",J347&gt;=$S$13),0,IF($J347&lt;=$S$6,SUM($Q$20:$Q347),0))</f>
        <v>0</v>
      </c>
      <c r="T347" s="884">
        <f>IF(AND($AS$39="Early Payoff",J347&gt;=$S$13),0,IF($J347&lt;=$S$6,SUM($R$20:$R347),0))</f>
        <v>0</v>
      </c>
      <c r="U347" s="885">
        <f t="shared" si="126"/>
        <v>0</v>
      </c>
      <c r="V347" s="1110">
        <f t="shared" si="134"/>
        <v>0</v>
      </c>
      <c r="X347" s="1102">
        <f t="shared" si="127"/>
        <v>0</v>
      </c>
      <c r="Y347" s="873">
        <f t="shared" si="128"/>
        <v>0</v>
      </c>
      <c r="Z347" s="873">
        <f t="shared" si="129"/>
        <v>0</v>
      </c>
      <c r="AA347" s="885">
        <f t="shared" si="130"/>
        <v>0</v>
      </c>
    </row>
    <row r="348" spans="2:27" s="278" customFormat="1" ht="12" customHeight="1" x14ac:dyDescent="0.25">
      <c r="B348" s="1192" t="e">
        <f t="shared" si="135"/>
        <v>#N/A</v>
      </c>
      <c r="C348" s="732">
        <f t="shared" si="121"/>
        <v>31</v>
      </c>
      <c r="D348" s="35">
        <f t="shared" si="122"/>
        <v>8</v>
      </c>
      <c r="E348" s="889">
        <f t="shared" si="141"/>
        <v>105800</v>
      </c>
      <c r="F348" s="822">
        <f t="shared" si="123"/>
        <v>8</v>
      </c>
      <c r="G348" s="500">
        <f t="shared" si="136"/>
        <v>153</v>
      </c>
      <c r="H348" s="126">
        <f t="shared" si="124"/>
        <v>0</v>
      </c>
      <c r="I348" s="1098">
        <f t="shared" si="142"/>
        <v>1</v>
      </c>
      <c r="J348" s="887">
        <f t="shared" si="137"/>
        <v>329</v>
      </c>
      <c r="K348" s="1099">
        <f t="shared" si="131"/>
        <v>329</v>
      </c>
      <c r="L348" s="891" t="str">
        <f t="shared" si="132"/>
        <v>August</v>
      </c>
      <c r="M348" s="888">
        <f t="shared" si="138"/>
        <v>2189</v>
      </c>
      <c r="N348" s="883">
        <f t="shared" si="133"/>
        <v>0</v>
      </c>
      <c r="O348" s="883">
        <f t="shared" si="139"/>
        <v>0</v>
      </c>
      <c r="P348" s="1100"/>
      <c r="Q348" s="883">
        <f t="shared" si="125"/>
        <v>0</v>
      </c>
      <c r="R348" s="884">
        <f t="shared" si="140"/>
        <v>0</v>
      </c>
      <c r="S348" s="884">
        <f>IF(AND($AS$39="Early Payoff",J348&gt;=$S$13),0,IF($J348&lt;=$S$6,SUM($Q$20:$Q348),0))</f>
        <v>0</v>
      </c>
      <c r="T348" s="884">
        <f>IF(AND($AS$39="Early Payoff",J348&gt;=$S$13),0,IF($J348&lt;=$S$6,SUM($R$20:$R348),0))</f>
        <v>0</v>
      </c>
      <c r="U348" s="885">
        <f t="shared" si="126"/>
        <v>0</v>
      </c>
      <c r="V348" s="1110">
        <f t="shared" si="134"/>
        <v>0</v>
      </c>
      <c r="X348" s="1102">
        <f t="shared" si="127"/>
        <v>0</v>
      </c>
      <c r="Y348" s="873">
        <f t="shared" si="128"/>
        <v>0</v>
      </c>
      <c r="Z348" s="873">
        <f t="shared" si="129"/>
        <v>0</v>
      </c>
      <c r="AA348" s="885">
        <f t="shared" si="130"/>
        <v>0</v>
      </c>
    </row>
    <row r="349" spans="2:27" s="278" customFormat="1" ht="12" customHeight="1" x14ac:dyDescent="0.25">
      <c r="B349" s="1192" t="e">
        <f t="shared" si="135"/>
        <v>#N/A</v>
      </c>
      <c r="C349" s="732">
        <f t="shared" si="121"/>
        <v>31</v>
      </c>
      <c r="D349" s="35">
        <f t="shared" si="122"/>
        <v>3</v>
      </c>
      <c r="E349" s="889">
        <f t="shared" si="141"/>
        <v>106012</v>
      </c>
      <c r="F349" s="822">
        <f t="shared" si="123"/>
        <v>3</v>
      </c>
      <c r="G349" s="500">
        <f t="shared" si="136"/>
        <v>212</v>
      </c>
      <c r="H349" s="126">
        <f t="shared" si="124"/>
        <v>0</v>
      </c>
      <c r="I349" s="1098">
        <f t="shared" si="142"/>
        <v>0</v>
      </c>
      <c r="J349" s="887">
        <f t="shared" si="137"/>
        <v>330</v>
      </c>
      <c r="K349" s="1099">
        <f t="shared" si="131"/>
        <v>330</v>
      </c>
      <c r="L349" s="891" t="str">
        <f t="shared" si="132"/>
        <v>March</v>
      </c>
      <c r="M349" s="888">
        <f t="shared" si="138"/>
        <v>2190</v>
      </c>
      <c r="N349" s="883">
        <f t="shared" si="133"/>
        <v>0</v>
      </c>
      <c r="O349" s="883">
        <f t="shared" si="139"/>
        <v>0</v>
      </c>
      <c r="P349" s="1100"/>
      <c r="Q349" s="883">
        <f t="shared" si="125"/>
        <v>0</v>
      </c>
      <c r="R349" s="884">
        <f t="shared" si="140"/>
        <v>0</v>
      </c>
      <c r="S349" s="884">
        <f>IF(AND($AS$39="Early Payoff",J349&gt;=$S$13),0,IF($J349&lt;=$S$6,SUM($Q$20:$Q349),0))</f>
        <v>0</v>
      </c>
      <c r="T349" s="884">
        <f>IF(AND($AS$39="Early Payoff",J349&gt;=$S$13),0,IF($J349&lt;=$S$6,SUM($R$20:$R349),0))</f>
        <v>0</v>
      </c>
      <c r="U349" s="885">
        <f t="shared" si="126"/>
        <v>0</v>
      </c>
      <c r="V349" s="1110">
        <f t="shared" si="134"/>
        <v>0</v>
      </c>
      <c r="X349" s="1102">
        <f t="shared" si="127"/>
        <v>0</v>
      </c>
      <c r="Y349" s="873">
        <f t="shared" si="128"/>
        <v>0</v>
      </c>
      <c r="Z349" s="873">
        <f t="shared" si="129"/>
        <v>0</v>
      </c>
      <c r="AA349" s="885">
        <f t="shared" si="130"/>
        <v>0</v>
      </c>
    </row>
    <row r="350" spans="2:27" s="278" customFormat="1" ht="12" customHeight="1" x14ac:dyDescent="0.25">
      <c r="B350" s="1192" t="e">
        <f t="shared" si="135"/>
        <v>#N/A</v>
      </c>
      <c r="C350" s="732">
        <f t="shared" si="121"/>
        <v>31</v>
      </c>
      <c r="D350" s="35">
        <f t="shared" si="122"/>
        <v>8</v>
      </c>
      <c r="E350" s="889">
        <f t="shared" si="141"/>
        <v>106165</v>
      </c>
      <c r="F350" s="822">
        <f t="shared" si="123"/>
        <v>8</v>
      </c>
      <c r="G350" s="500">
        <f t="shared" si="136"/>
        <v>153</v>
      </c>
      <c r="H350" s="126">
        <f t="shared" si="124"/>
        <v>0</v>
      </c>
      <c r="I350" s="1098">
        <f t="shared" si="142"/>
        <v>1</v>
      </c>
      <c r="J350" s="887">
        <f t="shared" si="137"/>
        <v>331</v>
      </c>
      <c r="K350" s="1099">
        <f t="shared" si="131"/>
        <v>331</v>
      </c>
      <c r="L350" s="891" t="str">
        <f t="shared" si="132"/>
        <v>August</v>
      </c>
      <c r="M350" s="888">
        <f t="shared" si="138"/>
        <v>2190</v>
      </c>
      <c r="N350" s="883">
        <f t="shared" si="133"/>
        <v>0</v>
      </c>
      <c r="O350" s="883">
        <f t="shared" si="139"/>
        <v>0</v>
      </c>
      <c r="P350" s="1100"/>
      <c r="Q350" s="883">
        <f t="shared" si="125"/>
        <v>0</v>
      </c>
      <c r="R350" s="884">
        <f t="shared" si="140"/>
        <v>0</v>
      </c>
      <c r="S350" s="884">
        <f>IF(AND($AS$39="Early Payoff",J350&gt;=$S$13),0,IF($J350&lt;=$S$6,SUM($Q$20:$Q350),0))</f>
        <v>0</v>
      </c>
      <c r="T350" s="884">
        <f>IF(AND($AS$39="Early Payoff",J350&gt;=$S$13),0,IF($J350&lt;=$S$6,SUM($R$20:$R350),0))</f>
        <v>0</v>
      </c>
      <c r="U350" s="885">
        <f t="shared" si="126"/>
        <v>0</v>
      </c>
      <c r="V350" s="1110">
        <f t="shared" si="134"/>
        <v>0</v>
      </c>
      <c r="X350" s="1102">
        <f t="shared" si="127"/>
        <v>0</v>
      </c>
      <c r="Y350" s="873">
        <f t="shared" si="128"/>
        <v>0</v>
      </c>
      <c r="Z350" s="873">
        <f t="shared" si="129"/>
        <v>0</v>
      </c>
      <c r="AA350" s="885">
        <f t="shared" si="130"/>
        <v>0</v>
      </c>
    </row>
    <row r="351" spans="2:27" s="278" customFormat="1" ht="12" customHeight="1" x14ac:dyDescent="0.25">
      <c r="B351" s="1192" t="e">
        <f t="shared" si="135"/>
        <v>#N/A</v>
      </c>
      <c r="C351" s="732">
        <f t="shared" si="121"/>
        <v>31</v>
      </c>
      <c r="D351" s="35">
        <f t="shared" si="122"/>
        <v>3</v>
      </c>
      <c r="E351" s="889">
        <f t="shared" si="141"/>
        <v>106377</v>
      </c>
      <c r="F351" s="822">
        <f t="shared" si="123"/>
        <v>3</v>
      </c>
      <c r="G351" s="500">
        <f t="shared" si="136"/>
        <v>212</v>
      </c>
      <c r="H351" s="126">
        <f t="shared" si="124"/>
        <v>0</v>
      </c>
      <c r="I351" s="1098">
        <f t="shared" si="142"/>
        <v>0</v>
      </c>
      <c r="J351" s="887">
        <f t="shared" si="137"/>
        <v>332</v>
      </c>
      <c r="K351" s="1099">
        <f t="shared" si="131"/>
        <v>332</v>
      </c>
      <c r="L351" s="891" t="str">
        <f t="shared" si="132"/>
        <v>March</v>
      </c>
      <c r="M351" s="888">
        <f t="shared" si="138"/>
        <v>2191</v>
      </c>
      <c r="N351" s="883">
        <f t="shared" si="133"/>
        <v>0</v>
      </c>
      <c r="O351" s="883">
        <f t="shared" si="139"/>
        <v>0</v>
      </c>
      <c r="P351" s="1100"/>
      <c r="Q351" s="883">
        <f t="shared" si="125"/>
        <v>0</v>
      </c>
      <c r="R351" s="884">
        <f t="shared" si="140"/>
        <v>0</v>
      </c>
      <c r="S351" s="884">
        <f>IF(AND($AS$39="Early Payoff",J351&gt;=$S$13),0,IF($J351&lt;=$S$6,SUM($Q$20:$Q351),0))</f>
        <v>0</v>
      </c>
      <c r="T351" s="884">
        <f>IF(AND($AS$39="Early Payoff",J351&gt;=$S$13),0,IF($J351&lt;=$S$6,SUM($R$20:$R351),0))</f>
        <v>0</v>
      </c>
      <c r="U351" s="885">
        <f t="shared" si="126"/>
        <v>0</v>
      </c>
      <c r="V351" s="1110">
        <f t="shared" si="134"/>
        <v>0</v>
      </c>
      <c r="X351" s="1102">
        <f t="shared" si="127"/>
        <v>0</v>
      </c>
      <c r="Y351" s="873">
        <f t="shared" si="128"/>
        <v>0</v>
      </c>
      <c r="Z351" s="873">
        <f t="shared" si="129"/>
        <v>0</v>
      </c>
      <c r="AA351" s="885">
        <f t="shared" si="130"/>
        <v>0</v>
      </c>
    </row>
    <row r="352" spans="2:27" s="278" customFormat="1" ht="12" customHeight="1" x14ac:dyDescent="0.25">
      <c r="B352" s="1192" t="e">
        <f t="shared" si="135"/>
        <v>#N/A</v>
      </c>
      <c r="C352" s="732">
        <f t="shared" si="121"/>
        <v>31</v>
      </c>
      <c r="D352" s="35">
        <f t="shared" si="122"/>
        <v>8</v>
      </c>
      <c r="E352" s="889">
        <f t="shared" si="141"/>
        <v>106530</v>
      </c>
      <c r="F352" s="822">
        <f t="shared" si="123"/>
        <v>8</v>
      </c>
      <c r="G352" s="500">
        <f t="shared" si="136"/>
        <v>153</v>
      </c>
      <c r="H352" s="126">
        <f t="shared" si="124"/>
        <v>0</v>
      </c>
      <c r="I352" s="1098">
        <f t="shared" si="142"/>
        <v>1</v>
      </c>
      <c r="J352" s="887">
        <f t="shared" si="137"/>
        <v>333</v>
      </c>
      <c r="K352" s="1099">
        <f t="shared" si="131"/>
        <v>333</v>
      </c>
      <c r="L352" s="891" t="str">
        <f t="shared" si="132"/>
        <v>August</v>
      </c>
      <c r="M352" s="888">
        <f t="shared" si="138"/>
        <v>2191</v>
      </c>
      <c r="N352" s="883">
        <f t="shared" si="133"/>
        <v>0</v>
      </c>
      <c r="O352" s="883">
        <f t="shared" si="139"/>
        <v>0</v>
      </c>
      <c r="P352" s="1100"/>
      <c r="Q352" s="883">
        <f t="shared" si="125"/>
        <v>0</v>
      </c>
      <c r="R352" s="884">
        <f t="shared" si="140"/>
        <v>0</v>
      </c>
      <c r="S352" s="884">
        <f>IF(AND($AS$39="Early Payoff",J352&gt;=$S$13),0,IF($J352&lt;=$S$6,SUM($Q$20:$Q352),0))</f>
        <v>0</v>
      </c>
      <c r="T352" s="884">
        <f>IF(AND($AS$39="Early Payoff",J352&gt;=$S$13),0,IF($J352&lt;=$S$6,SUM($R$20:$R352),0))</f>
        <v>0</v>
      </c>
      <c r="U352" s="885">
        <f t="shared" si="126"/>
        <v>0</v>
      </c>
      <c r="V352" s="1110">
        <f t="shared" si="134"/>
        <v>0</v>
      </c>
      <c r="X352" s="1102">
        <f t="shared" si="127"/>
        <v>0</v>
      </c>
      <c r="Y352" s="873">
        <f t="shared" si="128"/>
        <v>0</v>
      </c>
      <c r="Z352" s="873">
        <f t="shared" si="129"/>
        <v>0</v>
      </c>
      <c r="AA352" s="885">
        <f t="shared" si="130"/>
        <v>0</v>
      </c>
    </row>
    <row r="353" spans="2:27" s="278" customFormat="1" ht="12" customHeight="1" x14ac:dyDescent="0.25">
      <c r="B353" s="1192" t="e">
        <f t="shared" si="135"/>
        <v>#N/A</v>
      </c>
      <c r="C353" s="732">
        <f t="shared" si="121"/>
        <v>31</v>
      </c>
      <c r="D353" s="35">
        <f t="shared" si="122"/>
        <v>3</v>
      </c>
      <c r="E353" s="889">
        <f t="shared" si="141"/>
        <v>106743</v>
      </c>
      <c r="F353" s="822">
        <f t="shared" si="123"/>
        <v>3</v>
      </c>
      <c r="G353" s="500">
        <f t="shared" si="136"/>
        <v>213</v>
      </c>
      <c r="H353" s="126">
        <f t="shared" si="124"/>
        <v>0</v>
      </c>
      <c r="I353" s="1098">
        <f t="shared" si="142"/>
        <v>0</v>
      </c>
      <c r="J353" s="887">
        <f t="shared" si="137"/>
        <v>334</v>
      </c>
      <c r="K353" s="1099">
        <f t="shared" si="131"/>
        <v>334</v>
      </c>
      <c r="L353" s="891" t="str">
        <f t="shared" si="132"/>
        <v>March</v>
      </c>
      <c r="M353" s="888">
        <f t="shared" si="138"/>
        <v>2192</v>
      </c>
      <c r="N353" s="883">
        <f t="shared" si="133"/>
        <v>0</v>
      </c>
      <c r="O353" s="883">
        <f t="shared" si="139"/>
        <v>0</v>
      </c>
      <c r="P353" s="1100"/>
      <c r="Q353" s="883">
        <f t="shared" si="125"/>
        <v>0</v>
      </c>
      <c r="R353" s="884">
        <f t="shared" si="140"/>
        <v>0</v>
      </c>
      <c r="S353" s="884">
        <f>IF(AND($AS$39="Early Payoff",J353&gt;=$S$13),0,IF($J353&lt;=$S$6,SUM($Q$20:$Q353),0))</f>
        <v>0</v>
      </c>
      <c r="T353" s="884">
        <f>IF(AND($AS$39="Early Payoff",J353&gt;=$S$13),0,IF($J353&lt;=$S$6,SUM($R$20:$R353),0))</f>
        <v>0</v>
      </c>
      <c r="U353" s="885">
        <f t="shared" si="126"/>
        <v>0</v>
      </c>
      <c r="V353" s="1110">
        <f t="shared" si="134"/>
        <v>0</v>
      </c>
      <c r="X353" s="1102">
        <f t="shared" si="127"/>
        <v>0</v>
      </c>
      <c r="Y353" s="873">
        <f t="shared" si="128"/>
        <v>0</v>
      </c>
      <c r="Z353" s="873">
        <f t="shared" si="129"/>
        <v>0</v>
      </c>
      <c r="AA353" s="885">
        <f t="shared" si="130"/>
        <v>0</v>
      </c>
    </row>
    <row r="354" spans="2:27" s="278" customFormat="1" ht="12" customHeight="1" x14ac:dyDescent="0.25">
      <c r="B354" s="1192" t="e">
        <f t="shared" si="135"/>
        <v>#N/A</v>
      </c>
      <c r="C354" s="732">
        <f t="shared" si="121"/>
        <v>31</v>
      </c>
      <c r="D354" s="35">
        <f t="shared" si="122"/>
        <v>8</v>
      </c>
      <c r="E354" s="889">
        <f t="shared" si="141"/>
        <v>106896</v>
      </c>
      <c r="F354" s="822">
        <f t="shared" si="123"/>
        <v>8</v>
      </c>
      <c r="G354" s="500">
        <f t="shared" si="136"/>
        <v>153</v>
      </c>
      <c r="H354" s="126">
        <f t="shared" si="124"/>
        <v>0</v>
      </c>
      <c r="I354" s="1098">
        <f t="shared" si="142"/>
        <v>1</v>
      </c>
      <c r="J354" s="887">
        <f t="shared" si="137"/>
        <v>335</v>
      </c>
      <c r="K354" s="1099">
        <f t="shared" si="131"/>
        <v>335</v>
      </c>
      <c r="L354" s="891" t="str">
        <f t="shared" si="132"/>
        <v>August</v>
      </c>
      <c r="M354" s="888">
        <f t="shared" si="138"/>
        <v>2192</v>
      </c>
      <c r="N354" s="883">
        <f t="shared" si="133"/>
        <v>0</v>
      </c>
      <c r="O354" s="883">
        <f t="shared" si="139"/>
        <v>0</v>
      </c>
      <c r="P354" s="1100"/>
      <c r="Q354" s="883">
        <f t="shared" si="125"/>
        <v>0</v>
      </c>
      <c r="R354" s="884">
        <f t="shared" si="140"/>
        <v>0</v>
      </c>
      <c r="S354" s="884">
        <f>IF(AND($AS$39="Early Payoff",J354&gt;=$S$13),0,IF($J354&lt;=$S$6,SUM($Q$20:$Q354),0))</f>
        <v>0</v>
      </c>
      <c r="T354" s="884">
        <f>IF(AND($AS$39="Early Payoff",J354&gt;=$S$13),0,IF($J354&lt;=$S$6,SUM($R$20:$R354),0))</f>
        <v>0</v>
      </c>
      <c r="U354" s="885">
        <f t="shared" si="126"/>
        <v>0</v>
      </c>
      <c r="V354" s="1110">
        <f t="shared" si="134"/>
        <v>0</v>
      </c>
      <c r="X354" s="1102">
        <f t="shared" si="127"/>
        <v>0</v>
      </c>
      <c r="Y354" s="873">
        <f t="shared" si="128"/>
        <v>0</v>
      </c>
      <c r="Z354" s="873">
        <f t="shared" si="129"/>
        <v>0</v>
      </c>
      <c r="AA354" s="885">
        <f t="shared" si="130"/>
        <v>0</v>
      </c>
    </row>
    <row r="355" spans="2:27" s="278" customFormat="1" ht="12" customHeight="1" x14ac:dyDescent="0.25">
      <c r="B355" s="1192" t="e">
        <f t="shared" si="135"/>
        <v>#N/A</v>
      </c>
      <c r="C355" s="732">
        <f t="shared" si="121"/>
        <v>31</v>
      </c>
      <c r="D355" s="35">
        <f t="shared" si="122"/>
        <v>3</v>
      </c>
      <c r="E355" s="889">
        <f t="shared" si="141"/>
        <v>107108</v>
      </c>
      <c r="F355" s="822">
        <f t="shared" si="123"/>
        <v>3</v>
      </c>
      <c r="G355" s="500">
        <f t="shared" si="136"/>
        <v>212</v>
      </c>
      <c r="H355" s="126">
        <f t="shared" si="124"/>
        <v>0</v>
      </c>
      <c r="I355" s="1098">
        <f t="shared" si="142"/>
        <v>0</v>
      </c>
      <c r="J355" s="887">
        <f t="shared" si="137"/>
        <v>336</v>
      </c>
      <c r="K355" s="1099">
        <f t="shared" si="131"/>
        <v>336</v>
      </c>
      <c r="L355" s="891" t="str">
        <f t="shared" si="132"/>
        <v>March</v>
      </c>
      <c r="M355" s="888">
        <f t="shared" si="138"/>
        <v>2193</v>
      </c>
      <c r="N355" s="883">
        <f t="shared" si="133"/>
        <v>0</v>
      </c>
      <c r="O355" s="883">
        <f t="shared" si="139"/>
        <v>0</v>
      </c>
      <c r="P355" s="1100"/>
      <c r="Q355" s="883">
        <f t="shared" si="125"/>
        <v>0</v>
      </c>
      <c r="R355" s="884">
        <f t="shared" si="140"/>
        <v>0</v>
      </c>
      <c r="S355" s="884">
        <f>IF(AND($AS$39="Early Payoff",J355&gt;=$S$13),0,IF($J355&lt;=$S$6,SUM($Q$20:$Q355),0))</f>
        <v>0</v>
      </c>
      <c r="T355" s="884">
        <f>IF(AND($AS$39="Early Payoff",J355&gt;=$S$13),0,IF($J355&lt;=$S$6,SUM($R$20:$R355),0))</f>
        <v>0</v>
      </c>
      <c r="U355" s="885">
        <f t="shared" si="126"/>
        <v>0</v>
      </c>
      <c r="V355" s="1110">
        <f t="shared" si="134"/>
        <v>0</v>
      </c>
      <c r="X355" s="1102">
        <f t="shared" si="127"/>
        <v>0</v>
      </c>
      <c r="Y355" s="873">
        <f t="shared" si="128"/>
        <v>0</v>
      </c>
      <c r="Z355" s="873">
        <f t="shared" si="129"/>
        <v>0</v>
      </c>
      <c r="AA355" s="885">
        <f t="shared" si="130"/>
        <v>0</v>
      </c>
    </row>
    <row r="356" spans="2:27" s="278" customFormat="1" ht="12" customHeight="1" x14ac:dyDescent="0.25">
      <c r="B356" s="1192" t="e">
        <f t="shared" si="135"/>
        <v>#N/A</v>
      </c>
      <c r="C356" s="732">
        <f t="shared" si="121"/>
        <v>31</v>
      </c>
      <c r="D356" s="35">
        <f t="shared" si="122"/>
        <v>8</v>
      </c>
      <c r="E356" s="889">
        <f t="shared" si="141"/>
        <v>107261</v>
      </c>
      <c r="F356" s="822">
        <f t="shared" si="123"/>
        <v>8</v>
      </c>
      <c r="G356" s="500">
        <f t="shared" si="136"/>
        <v>153</v>
      </c>
      <c r="H356" s="126">
        <f t="shared" si="124"/>
        <v>0</v>
      </c>
      <c r="I356" s="1098">
        <f t="shared" si="142"/>
        <v>1</v>
      </c>
      <c r="J356" s="887">
        <f t="shared" si="137"/>
        <v>337</v>
      </c>
      <c r="K356" s="1099">
        <f t="shared" si="131"/>
        <v>337</v>
      </c>
      <c r="L356" s="891" t="str">
        <f t="shared" si="132"/>
        <v>August</v>
      </c>
      <c r="M356" s="888">
        <f t="shared" si="138"/>
        <v>2193</v>
      </c>
      <c r="N356" s="883">
        <f t="shared" si="133"/>
        <v>0</v>
      </c>
      <c r="O356" s="883">
        <f t="shared" si="139"/>
        <v>0</v>
      </c>
      <c r="P356" s="1100"/>
      <c r="Q356" s="883">
        <f t="shared" si="125"/>
        <v>0</v>
      </c>
      <c r="R356" s="884">
        <f t="shared" si="140"/>
        <v>0</v>
      </c>
      <c r="S356" s="884">
        <f>IF(AND($AS$39="Early Payoff",J356&gt;=$S$13),0,IF($J356&lt;=$S$6,SUM($Q$20:$Q356),0))</f>
        <v>0</v>
      </c>
      <c r="T356" s="884">
        <f>IF(AND($AS$39="Early Payoff",J356&gt;=$S$13),0,IF($J356&lt;=$S$6,SUM($R$20:$R356),0))</f>
        <v>0</v>
      </c>
      <c r="U356" s="885">
        <f t="shared" si="126"/>
        <v>0</v>
      </c>
      <c r="V356" s="1110">
        <f t="shared" si="134"/>
        <v>0</v>
      </c>
      <c r="X356" s="1102">
        <f t="shared" si="127"/>
        <v>0</v>
      </c>
      <c r="Y356" s="873">
        <f t="shared" si="128"/>
        <v>0</v>
      </c>
      <c r="Z356" s="873">
        <f t="shared" si="129"/>
        <v>0</v>
      </c>
      <c r="AA356" s="885">
        <f t="shared" si="130"/>
        <v>0</v>
      </c>
    </row>
    <row r="357" spans="2:27" s="278" customFormat="1" ht="12" customHeight="1" x14ac:dyDescent="0.25">
      <c r="B357" s="1192" t="e">
        <f t="shared" si="135"/>
        <v>#N/A</v>
      </c>
      <c r="C357" s="732">
        <f t="shared" si="121"/>
        <v>31</v>
      </c>
      <c r="D357" s="35">
        <f t="shared" si="122"/>
        <v>3</v>
      </c>
      <c r="E357" s="889">
        <f t="shared" si="141"/>
        <v>107473</v>
      </c>
      <c r="F357" s="822">
        <f t="shared" si="123"/>
        <v>3</v>
      </c>
      <c r="G357" s="500">
        <f t="shared" si="136"/>
        <v>212</v>
      </c>
      <c r="H357" s="126">
        <f t="shared" si="124"/>
        <v>0</v>
      </c>
      <c r="I357" s="1098">
        <f t="shared" si="142"/>
        <v>0</v>
      </c>
      <c r="J357" s="887">
        <f t="shared" si="137"/>
        <v>338</v>
      </c>
      <c r="K357" s="1099">
        <f t="shared" si="131"/>
        <v>338</v>
      </c>
      <c r="L357" s="891" t="str">
        <f t="shared" si="132"/>
        <v>March</v>
      </c>
      <c r="M357" s="888">
        <f t="shared" si="138"/>
        <v>2194</v>
      </c>
      <c r="N357" s="883">
        <f t="shared" si="133"/>
        <v>0</v>
      </c>
      <c r="O357" s="883">
        <f t="shared" si="139"/>
        <v>0</v>
      </c>
      <c r="P357" s="1100"/>
      <c r="Q357" s="883">
        <f t="shared" si="125"/>
        <v>0</v>
      </c>
      <c r="R357" s="884">
        <f t="shared" si="140"/>
        <v>0</v>
      </c>
      <c r="S357" s="884">
        <f>IF(AND($AS$39="Early Payoff",J357&gt;=$S$13),0,IF($J357&lt;=$S$6,SUM($Q$20:$Q357),0))</f>
        <v>0</v>
      </c>
      <c r="T357" s="884">
        <f>IF(AND($AS$39="Early Payoff",J357&gt;=$S$13),0,IF($J357&lt;=$S$6,SUM($R$20:$R357),0))</f>
        <v>0</v>
      </c>
      <c r="U357" s="885">
        <f t="shared" si="126"/>
        <v>0</v>
      </c>
      <c r="V357" s="1110">
        <f t="shared" si="134"/>
        <v>0</v>
      </c>
      <c r="X357" s="1102">
        <f t="shared" si="127"/>
        <v>0</v>
      </c>
      <c r="Y357" s="873">
        <f t="shared" si="128"/>
        <v>0</v>
      </c>
      <c r="Z357" s="873">
        <f t="shared" si="129"/>
        <v>0</v>
      </c>
      <c r="AA357" s="885">
        <f t="shared" si="130"/>
        <v>0</v>
      </c>
    </row>
    <row r="358" spans="2:27" s="278" customFormat="1" ht="12" customHeight="1" x14ac:dyDescent="0.25">
      <c r="B358" s="1192" t="e">
        <f t="shared" si="135"/>
        <v>#N/A</v>
      </c>
      <c r="C358" s="732">
        <f t="shared" si="121"/>
        <v>31</v>
      </c>
      <c r="D358" s="35">
        <f t="shared" si="122"/>
        <v>8</v>
      </c>
      <c r="E358" s="889">
        <f t="shared" si="141"/>
        <v>107626</v>
      </c>
      <c r="F358" s="822">
        <f t="shared" si="123"/>
        <v>8</v>
      </c>
      <c r="G358" s="500">
        <f t="shared" si="136"/>
        <v>153</v>
      </c>
      <c r="H358" s="126">
        <f t="shared" si="124"/>
        <v>0</v>
      </c>
      <c r="I358" s="1098">
        <f t="shared" si="142"/>
        <v>1</v>
      </c>
      <c r="J358" s="887">
        <f t="shared" si="137"/>
        <v>339</v>
      </c>
      <c r="K358" s="1099">
        <f t="shared" si="131"/>
        <v>339</v>
      </c>
      <c r="L358" s="891" t="str">
        <f t="shared" si="132"/>
        <v>August</v>
      </c>
      <c r="M358" s="888">
        <f t="shared" si="138"/>
        <v>2194</v>
      </c>
      <c r="N358" s="883">
        <f t="shared" si="133"/>
        <v>0</v>
      </c>
      <c r="O358" s="883">
        <f t="shared" si="139"/>
        <v>0</v>
      </c>
      <c r="P358" s="1100"/>
      <c r="Q358" s="883">
        <f t="shared" si="125"/>
        <v>0</v>
      </c>
      <c r="R358" s="884">
        <f t="shared" si="140"/>
        <v>0</v>
      </c>
      <c r="S358" s="884">
        <f>IF(AND($AS$39="Early Payoff",J358&gt;=$S$13),0,IF($J358&lt;=$S$6,SUM($Q$20:$Q358),0))</f>
        <v>0</v>
      </c>
      <c r="T358" s="884">
        <f>IF(AND($AS$39="Early Payoff",J358&gt;=$S$13),0,IF($J358&lt;=$S$6,SUM($R$20:$R358),0))</f>
        <v>0</v>
      </c>
      <c r="U358" s="885">
        <f t="shared" si="126"/>
        <v>0</v>
      </c>
      <c r="V358" s="1110">
        <f t="shared" si="134"/>
        <v>0</v>
      </c>
      <c r="X358" s="1102">
        <f t="shared" si="127"/>
        <v>0</v>
      </c>
      <c r="Y358" s="873">
        <f t="shared" si="128"/>
        <v>0</v>
      </c>
      <c r="Z358" s="873">
        <f t="shared" si="129"/>
        <v>0</v>
      </c>
      <c r="AA358" s="885">
        <f t="shared" si="130"/>
        <v>0</v>
      </c>
    </row>
    <row r="359" spans="2:27" s="278" customFormat="1" ht="12" customHeight="1" x14ac:dyDescent="0.25">
      <c r="B359" s="1192" t="e">
        <f t="shared" si="135"/>
        <v>#N/A</v>
      </c>
      <c r="C359" s="732">
        <f t="shared" si="121"/>
        <v>31</v>
      </c>
      <c r="D359" s="35">
        <f t="shared" si="122"/>
        <v>3</v>
      </c>
      <c r="E359" s="889">
        <f t="shared" si="141"/>
        <v>107838</v>
      </c>
      <c r="F359" s="822">
        <f t="shared" si="123"/>
        <v>3</v>
      </c>
      <c r="G359" s="500">
        <f t="shared" si="136"/>
        <v>212</v>
      </c>
      <c r="H359" s="126">
        <f t="shared" si="124"/>
        <v>0</v>
      </c>
      <c r="I359" s="1098">
        <f t="shared" si="142"/>
        <v>0</v>
      </c>
      <c r="J359" s="887">
        <f t="shared" si="137"/>
        <v>340</v>
      </c>
      <c r="K359" s="1099">
        <f t="shared" si="131"/>
        <v>340</v>
      </c>
      <c r="L359" s="891" t="str">
        <f t="shared" si="132"/>
        <v>March</v>
      </c>
      <c r="M359" s="888">
        <f t="shared" si="138"/>
        <v>2195</v>
      </c>
      <c r="N359" s="883">
        <f t="shared" si="133"/>
        <v>0</v>
      </c>
      <c r="O359" s="883">
        <f t="shared" si="139"/>
        <v>0</v>
      </c>
      <c r="P359" s="1100"/>
      <c r="Q359" s="883">
        <f t="shared" si="125"/>
        <v>0</v>
      </c>
      <c r="R359" s="884">
        <f t="shared" si="140"/>
        <v>0</v>
      </c>
      <c r="S359" s="884">
        <f>IF(AND($AS$39="Early Payoff",J359&gt;=$S$13),0,IF($J359&lt;=$S$6,SUM($Q$20:$Q359),0))</f>
        <v>0</v>
      </c>
      <c r="T359" s="884">
        <f>IF(AND($AS$39="Early Payoff",J359&gt;=$S$13),0,IF($J359&lt;=$S$6,SUM($R$20:$R359),0))</f>
        <v>0</v>
      </c>
      <c r="U359" s="885">
        <f t="shared" si="126"/>
        <v>0</v>
      </c>
      <c r="V359" s="1110">
        <f t="shared" si="134"/>
        <v>0</v>
      </c>
      <c r="X359" s="1102">
        <f t="shared" si="127"/>
        <v>0</v>
      </c>
      <c r="Y359" s="873">
        <f t="shared" si="128"/>
        <v>0</v>
      </c>
      <c r="Z359" s="873">
        <f t="shared" si="129"/>
        <v>0</v>
      </c>
      <c r="AA359" s="885">
        <f t="shared" si="130"/>
        <v>0</v>
      </c>
    </row>
    <row r="360" spans="2:27" s="278" customFormat="1" ht="12" customHeight="1" x14ac:dyDescent="0.25">
      <c r="B360" s="1192" t="e">
        <f t="shared" si="135"/>
        <v>#N/A</v>
      </c>
      <c r="C360" s="732">
        <f t="shared" si="121"/>
        <v>31</v>
      </c>
      <c r="D360" s="35">
        <f t="shared" si="122"/>
        <v>8</v>
      </c>
      <c r="E360" s="889">
        <f t="shared" si="141"/>
        <v>107991</v>
      </c>
      <c r="F360" s="822">
        <f t="shared" si="123"/>
        <v>8</v>
      </c>
      <c r="G360" s="500">
        <f t="shared" si="136"/>
        <v>153</v>
      </c>
      <c r="H360" s="126">
        <f t="shared" si="124"/>
        <v>0</v>
      </c>
      <c r="I360" s="1098">
        <f t="shared" si="142"/>
        <v>1</v>
      </c>
      <c r="J360" s="887">
        <f t="shared" si="137"/>
        <v>341</v>
      </c>
      <c r="K360" s="1099">
        <f t="shared" si="131"/>
        <v>341</v>
      </c>
      <c r="L360" s="891" t="str">
        <f t="shared" si="132"/>
        <v>August</v>
      </c>
      <c r="M360" s="888">
        <f t="shared" si="138"/>
        <v>2195</v>
      </c>
      <c r="N360" s="883">
        <f t="shared" si="133"/>
        <v>0</v>
      </c>
      <c r="O360" s="883">
        <f t="shared" si="139"/>
        <v>0</v>
      </c>
      <c r="P360" s="1100"/>
      <c r="Q360" s="883">
        <f t="shared" si="125"/>
        <v>0</v>
      </c>
      <c r="R360" s="884">
        <f t="shared" si="140"/>
        <v>0</v>
      </c>
      <c r="S360" s="884">
        <f>IF(AND($AS$39="Early Payoff",J360&gt;=$S$13),0,IF($J360&lt;=$S$6,SUM($Q$20:$Q360),0))</f>
        <v>0</v>
      </c>
      <c r="T360" s="884">
        <f>IF(AND($AS$39="Early Payoff",J360&gt;=$S$13),0,IF($J360&lt;=$S$6,SUM($R$20:$R360),0))</f>
        <v>0</v>
      </c>
      <c r="U360" s="885">
        <f t="shared" si="126"/>
        <v>0</v>
      </c>
      <c r="V360" s="1110">
        <f t="shared" si="134"/>
        <v>0</v>
      </c>
      <c r="X360" s="1102">
        <f t="shared" si="127"/>
        <v>0</v>
      </c>
      <c r="Y360" s="873">
        <f t="shared" si="128"/>
        <v>0</v>
      </c>
      <c r="Z360" s="873">
        <f t="shared" si="129"/>
        <v>0</v>
      </c>
      <c r="AA360" s="885">
        <f t="shared" si="130"/>
        <v>0</v>
      </c>
    </row>
    <row r="361" spans="2:27" s="278" customFormat="1" ht="12" customHeight="1" x14ac:dyDescent="0.25">
      <c r="B361" s="1192" t="e">
        <f t="shared" si="135"/>
        <v>#N/A</v>
      </c>
      <c r="C361" s="732">
        <f t="shared" si="121"/>
        <v>31</v>
      </c>
      <c r="D361" s="35">
        <f t="shared" si="122"/>
        <v>3</v>
      </c>
      <c r="E361" s="889">
        <f t="shared" si="141"/>
        <v>108204</v>
      </c>
      <c r="F361" s="822">
        <f t="shared" si="123"/>
        <v>3</v>
      </c>
      <c r="G361" s="500">
        <f t="shared" si="136"/>
        <v>213</v>
      </c>
      <c r="H361" s="126">
        <f t="shared" si="124"/>
        <v>0</v>
      </c>
      <c r="I361" s="1098">
        <f t="shared" si="142"/>
        <v>0</v>
      </c>
      <c r="J361" s="887">
        <f t="shared" si="137"/>
        <v>342</v>
      </c>
      <c r="K361" s="1099">
        <f t="shared" si="131"/>
        <v>342</v>
      </c>
      <c r="L361" s="891" t="str">
        <f t="shared" si="132"/>
        <v>March</v>
      </c>
      <c r="M361" s="888">
        <f t="shared" si="138"/>
        <v>2196</v>
      </c>
      <c r="N361" s="883">
        <f t="shared" si="133"/>
        <v>0</v>
      </c>
      <c r="O361" s="883">
        <f t="shared" si="139"/>
        <v>0</v>
      </c>
      <c r="P361" s="1100"/>
      <c r="Q361" s="883">
        <f t="shared" si="125"/>
        <v>0</v>
      </c>
      <c r="R361" s="884">
        <f t="shared" si="140"/>
        <v>0</v>
      </c>
      <c r="S361" s="884">
        <f>IF(AND($AS$39="Early Payoff",J361&gt;=$S$13),0,IF($J361&lt;=$S$6,SUM($Q$20:$Q361),0))</f>
        <v>0</v>
      </c>
      <c r="T361" s="884">
        <f>IF(AND($AS$39="Early Payoff",J361&gt;=$S$13),0,IF($J361&lt;=$S$6,SUM($R$20:$R361),0))</f>
        <v>0</v>
      </c>
      <c r="U361" s="885">
        <f t="shared" si="126"/>
        <v>0</v>
      </c>
      <c r="V361" s="1110">
        <f t="shared" si="134"/>
        <v>0</v>
      </c>
      <c r="X361" s="1102">
        <f t="shared" si="127"/>
        <v>0</v>
      </c>
      <c r="Y361" s="873">
        <f t="shared" si="128"/>
        <v>0</v>
      </c>
      <c r="Z361" s="873">
        <f t="shared" si="129"/>
        <v>0</v>
      </c>
      <c r="AA361" s="885">
        <f t="shared" si="130"/>
        <v>0</v>
      </c>
    </row>
    <row r="362" spans="2:27" s="278" customFormat="1" ht="12" customHeight="1" x14ac:dyDescent="0.25">
      <c r="B362" s="1192" t="e">
        <f t="shared" si="135"/>
        <v>#N/A</v>
      </c>
      <c r="C362" s="732">
        <f t="shared" si="121"/>
        <v>31</v>
      </c>
      <c r="D362" s="35">
        <f t="shared" si="122"/>
        <v>8</v>
      </c>
      <c r="E362" s="889">
        <f t="shared" si="141"/>
        <v>108357</v>
      </c>
      <c r="F362" s="822">
        <f t="shared" si="123"/>
        <v>8</v>
      </c>
      <c r="G362" s="500">
        <f t="shared" si="136"/>
        <v>153</v>
      </c>
      <c r="H362" s="126">
        <f t="shared" si="124"/>
        <v>0</v>
      </c>
      <c r="I362" s="1098">
        <f t="shared" si="142"/>
        <v>1</v>
      </c>
      <c r="J362" s="887">
        <f t="shared" si="137"/>
        <v>343</v>
      </c>
      <c r="K362" s="1099">
        <f t="shared" si="131"/>
        <v>343</v>
      </c>
      <c r="L362" s="891" t="str">
        <f t="shared" si="132"/>
        <v>August</v>
      </c>
      <c r="M362" s="888">
        <f t="shared" si="138"/>
        <v>2196</v>
      </c>
      <c r="N362" s="883">
        <f t="shared" si="133"/>
        <v>0</v>
      </c>
      <c r="O362" s="883">
        <f t="shared" si="139"/>
        <v>0</v>
      </c>
      <c r="P362" s="1100"/>
      <c r="Q362" s="883">
        <f t="shared" si="125"/>
        <v>0</v>
      </c>
      <c r="R362" s="884">
        <f t="shared" si="140"/>
        <v>0</v>
      </c>
      <c r="S362" s="884">
        <f>IF(AND($AS$39="Early Payoff",J362&gt;=$S$13),0,IF($J362&lt;=$S$6,SUM($Q$20:$Q362),0))</f>
        <v>0</v>
      </c>
      <c r="T362" s="884">
        <f>IF(AND($AS$39="Early Payoff",J362&gt;=$S$13),0,IF($J362&lt;=$S$6,SUM($R$20:$R362),0))</f>
        <v>0</v>
      </c>
      <c r="U362" s="885">
        <f t="shared" si="126"/>
        <v>0</v>
      </c>
      <c r="V362" s="1110">
        <f t="shared" si="134"/>
        <v>0</v>
      </c>
      <c r="X362" s="1102">
        <f t="shared" si="127"/>
        <v>0</v>
      </c>
      <c r="Y362" s="873">
        <f t="shared" si="128"/>
        <v>0</v>
      </c>
      <c r="Z362" s="873">
        <f t="shared" si="129"/>
        <v>0</v>
      </c>
      <c r="AA362" s="885">
        <f t="shared" si="130"/>
        <v>0</v>
      </c>
    </row>
    <row r="363" spans="2:27" s="278" customFormat="1" ht="12" customHeight="1" x14ac:dyDescent="0.25">
      <c r="B363" s="1192" t="e">
        <f t="shared" si="135"/>
        <v>#N/A</v>
      </c>
      <c r="C363" s="732">
        <f t="shared" si="121"/>
        <v>31</v>
      </c>
      <c r="D363" s="35">
        <f t="shared" si="122"/>
        <v>3</v>
      </c>
      <c r="E363" s="889">
        <f t="shared" si="141"/>
        <v>108569</v>
      </c>
      <c r="F363" s="822">
        <f t="shared" si="123"/>
        <v>3</v>
      </c>
      <c r="G363" s="500">
        <f t="shared" si="136"/>
        <v>212</v>
      </c>
      <c r="H363" s="126">
        <f t="shared" si="124"/>
        <v>0</v>
      </c>
      <c r="I363" s="1098">
        <f t="shared" si="142"/>
        <v>0</v>
      </c>
      <c r="J363" s="887">
        <f t="shared" si="137"/>
        <v>344</v>
      </c>
      <c r="K363" s="1099">
        <f t="shared" si="131"/>
        <v>344</v>
      </c>
      <c r="L363" s="891" t="str">
        <f t="shared" si="132"/>
        <v>March</v>
      </c>
      <c r="M363" s="888">
        <f t="shared" si="138"/>
        <v>2197</v>
      </c>
      <c r="N363" s="883">
        <f t="shared" si="133"/>
        <v>0</v>
      </c>
      <c r="O363" s="883">
        <f t="shared" si="139"/>
        <v>0</v>
      </c>
      <c r="P363" s="1100"/>
      <c r="Q363" s="883">
        <f t="shared" si="125"/>
        <v>0</v>
      </c>
      <c r="R363" s="884">
        <f t="shared" si="140"/>
        <v>0</v>
      </c>
      <c r="S363" s="884">
        <f>IF(AND($AS$39="Early Payoff",J363&gt;=$S$13),0,IF($J363&lt;=$S$6,SUM($Q$20:$Q363),0))</f>
        <v>0</v>
      </c>
      <c r="T363" s="884">
        <f>IF(AND($AS$39="Early Payoff",J363&gt;=$S$13),0,IF($J363&lt;=$S$6,SUM($R$20:$R363),0))</f>
        <v>0</v>
      </c>
      <c r="U363" s="885">
        <f t="shared" si="126"/>
        <v>0</v>
      </c>
      <c r="V363" s="1110">
        <f t="shared" si="134"/>
        <v>0</v>
      </c>
      <c r="X363" s="1102">
        <f t="shared" si="127"/>
        <v>0</v>
      </c>
      <c r="Y363" s="873">
        <f t="shared" si="128"/>
        <v>0</v>
      </c>
      <c r="Z363" s="873">
        <f t="shared" si="129"/>
        <v>0</v>
      </c>
      <c r="AA363" s="885">
        <f t="shared" si="130"/>
        <v>0</v>
      </c>
    </row>
    <row r="364" spans="2:27" s="278" customFormat="1" ht="12" customHeight="1" x14ac:dyDescent="0.25">
      <c r="B364" s="1192" t="e">
        <f t="shared" si="135"/>
        <v>#N/A</v>
      </c>
      <c r="C364" s="732">
        <f t="shared" si="121"/>
        <v>31</v>
      </c>
      <c r="D364" s="35">
        <f t="shared" si="122"/>
        <v>8</v>
      </c>
      <c r="E364" s="889">
        <f t="shared" si="141"/>
        <v>108722</v>
      </c>
      <c r="F364" s="822">
        <f t="shared" si="123"/>
        <v>8</v>
      </c>
      <c r="G364" s="500">
        <f t="shared" si="136"/>
        <v>153</v>
      </c>
      <c r="H364" s="126">
        <f t="shared" si="124"/>
        <v>0</v>
      </c>
      <c r="I364" s="1098">
        <f t="shared" si="142"/>
        <v>1</v>
      </c>
      <c r="J364" s="887">
        <f t="shared" si="137"/>
        <v>345</v>
      </c>
      <c r="K364" s="1099">
        <f t="shared" si="131"/>
        <v>345</v>
      </c>
      <c r="L364" s="891" t="str">
        <f t="shared" si="132"/>
        <v>August</v>
      </c>
      <c r="M364" s="888">
        <f t="shared" si="138"/>
        <v>2197</v>
      </c>
      <c r="N364" s="883">
        <f t="shared" si="133"/>
        <v>0</v>
      </c>
      <c r="O364" s="883">
        <f t="shared" si="139"/>
        <v>0</v>
      </c>
      <c r="P364" s="1100"/>
      <c r="Q364" s="883">
        <f t="shared" si="125"/>
        <v>0</v>
      </c>
      <c r="R364" s="884">
        <f t="shared" si="140"/>
        <v>0</v>
      </c>
      <c r="S364" s="884">
        <f>IF(AND($AS$39="Early Payoff",J364&gt;=$S$13),0,IF($J364&lt;=$S$6,SUM($Q$20:$Q364),0))</f>
        <v>0</v>
      </c>
      <c r="T364" s="884">
        <f>IF(AND($AS$39="Early Payoff",J364&gt;=$S$13),0,IF($J364&lt;=$S$6,SUM($R$20:$R364),0))</f>
        <v>0</v>
      </c>
      <c r="U364" s="885">
        <f t="shared" si="126"/>
        <v>0</v>
      </c>
      <c r="V364" s="1110">
        <f t="shared" si="134"/>
        <v>0</v>
      </c>
      <c r="X364" s="1102">
        <f t="shared" si="127"/>
        <v>0</v>
      </c>
      <c r="Y364" s="873">
        <f t="shared" si="128"/>
        <v>0</v>
      </c>
      <c r="Z364" s="873">
        <f t="shared" si="129"/>
        <v>0</v>
      </c>
      <c r="AA364" s="885">
        <f t="shared" si="130"/>
        <v>0</v>
      </c>
    </row>
    <row r="365" spans="2:27" s="278" customFormat="1" ht="12" customHeight="1" x14ac:dyDescent="0.25">
      <c r="B365" s="1192" t="e">
        <f t="shared" si="135"/>
        <v>#N/A</v>
      </c>
      <c r="C365" s="732">
        <f t="shared" si="121"/>
        <v>31</v>
      </c>
      <c r="D365" s="35">
        <f t="shared" si="122"/>
        <v>3</v>
      </c>
      <c r="E365" s="889">
        <f t="shared" si="141"/>
        <v>108934</v>
      </c>
      <c r="F365" s="822">
        <f t="shared" si="123"/>
        <v>3</v>
      </c>
      <c r="G365" s="500">
        <f t="shared" si="136"/>
        <v>212</v>
      </c>
      <c r="H365" s="126">
        <f t="shared" si="124"/>
        <v>0</v>
      </c>
      <c r="I365" s="1098">
        <f t="shared" si="142"/>
        <v>0</v>
      </c>
      <c r="J365" s="887">
        <f t="shared" si="137"/>
        <v>346</v>
      </c>
      <c r="K365" s="1099">
        <f t="shared" si="131"/>
        <v>346</v>
      </c>
      <c r="L365" s="891" t="str">
        <f t="shared" si="132"/>
        <v>March</v>
      </c>
      <c r="M365" s="888">
        <f t="shared" si="138"/>
        <v>2198</v>
      </c>
      <c r="N365" s="883">
        <f t="shared" si="133"/>
        <v>0</v>
      </c>
      <c r="O365" s="883">
        <f t="shared" si="139"/>
        <v>0</v>
      </c>
      <c r="P365" s="1100"/>
      <c r="Q365" s="883">
        <f t="shared" si="125"/>
        <v>0</v>
      </c>
      <c r="R365" s="884">
        <f t="shared" si="140"/>
        <v>0</v>
      </c>
      <c r="S365" s="884">
        <f>IF(AND($AS$39="Early Payoff",J365&gt;=$S$13),0,IF($J365&lt;=$S$6,SUM($Q$20:$Q365),0))</f>
        <v>0</v>
      </c>
      <c r="T365" s="884">
        <f>IF(AND($AS$39="Early Payoff",J365&gt;=$S$13),0,IF($J365&lt;=$S$6,SUM($R$20:$R365),0))</f>
        <v>0</v>
      </c>
      <c r="U365" s="885">
        <f t="shared" si="126"/>
        <v>0</v>
      </c>
      <c r="V365" s="1110">
        <f t="shared" si="134"/>
        <v>0</v>
      </c>
      <c r="X365" s="1102">
        <f t="shared" si="127"/>
        <v>0</v>
      </c>
      <c r="Y365" s="873">
        <f t="shared" si="128"/>
        <v>0</v>
      </c>
      <c r="Z365" s="873">
        <f t="shared" si="129"/>
        <v>0</v>
      </c>
      <c r="AA365" s="885">
        <f t="shared" si="130"/>
        <v>0</v>
      </c>
    </row>
    <row r="366" spans="2:27" s="278" customFormat="1" ht="12" customHeight="1" x14ac:dyDescent="0.25">
      <c r="B366" s="1192" t="e">
        <f t="shared" si="135"/>
        <v>#N/A</v>
      </c>
      <c r="C366" s="732">
        <f t="shared" si="121"/>
        <v>31</v>
      </c>
      <c r="D366" s="35">
        <f t="shared" si="122"/>
        <v>8</v>
      </c>
      <c r="E366" s="889">
        <f t="shared" si="141"/>
        <v>109087</v>
      </c>
      <c r="F366" s="822">
        <f t="shared" si="123"/>
        <v>8</v>
      </c>
      <c r="G366" s="500">
        <f t="shared" si="136"/>
        <v>153</v>
      </c>
      <c r="H366" s="126">
        <f t="shared" si="124"/>
        <v>0</v>
      </c>
      <c r="I366" s="1098">
        <f t="shared" si="142"/>
        <v>1</v>
      </c>
      <c r="J366" s="887">
        <f t="shared" si="137"/>
        <v>347</v>
      </c>
      <c r="K366" s="1099">
        <f t="shared" si="131"/>
        <v>347</v>
      </c>
      <c r="L366" s="891" t="str">
        <f t="shared" si="132"/>
        <v>August</v>
      </c>
      <c r="M366" s="888">
        <f t="shared" si="138"/>
        <v>2198</v>
      </c>
      <c r="N366" s="883">
        <f t="shared" si="133"/>
        <v>0</v>
      </c>
      <c r="O366" s="883">
        <f t="shared" si="139"/>
        <v>0</v>
      </c>
      <c r="P366" s="1100"/>
      <c r="Q366" s="883">
        <f t="shared" si="125"/>
        <v>0</v>
      </c>
      <c r="R366" s="884">
        <f t="shared" si="140"/>
        <v>0</v>
      </c>
      <c r="S366" s="884">
        <f>IF(AND($AS$39="Early Payoff",J366&gt;=$S$13),0,IF($J366&lt;=$S$6,SUM($Q$20:$Q366),0))</f>
        <v>0</v>
      </c>
      <c r="T366" s="884">
        <f>IF(AND($AS$39="Early Payoff",J366&gt;=$S$13),0,IF($J366&lt;=$S$6,SUM($R$20:$R366),0))</f>
        <v>0</v>
      </c>
      <c r="U366" s="885">
        <f t="shared" si="126"/>
        <v>0</v>
      </c>
      <c r="V366" s="1110">
        <f t="shared" si="134"/>
        <v>0</v>
      </c>
      <c r="X366" s="1102">
        <f t="shared" si="127"/>
        <v>0</v>
      </c>
      <c r="Y366" s="873">
        <f t="shared" si="128"/>
        <v>0</v>
      </c>
      <c r="Z366" s="873">
        <f t="shared" si="129"/>
        <v>0</v>
      </c>
      <c r="AA366" s="885">
        <f t="shared" si="130"/>
        <v>0</v>
      </c>
    </row>
    <row r="367" spans="2:27" s="278" customFormat="1" ht="12" customHeight="1" x14ac:dyDescent="0.25">
      <c r="B367" s="1192" t="e">
        <f t="shared" si="135"/>
        <v>#N/A</v>
      </c>
      <c r="C367" s="732">
        <f t="shared" si="121"/>
        <v>31</v>
      </c>
      <c r="D367" s="35">
        <f t="shared" si="122"/>
        <v>3</v>
      </c>
      <c r="E367" s="889">
        <f t="shared" si="141"/>
        <v>109299</v>
      </c>
      <c r="F367" s="822">
        <f t="shared" si="123"/>
        <v>3</v>
      </c>
      <c r="G367" s="500">
        <f t="shared" si="136"/>
        <v>212</v>
      </c>
      <c r="H367" s="126">
        <f t="shared" si="124"/>
        <v>0</v>
      </c>
      <c r="I367" s="1098">
        <f t="shared" si="142"/>
        <v>0</v>
      </c>
      <c r="J367" s="887">
        <f t="shared" si="137"/>
        <v>348</v>
      </c>
      <c r="K367" s="1099">
        <f t="shared" si="131"/>
        <v>348</v>
      </c>
      <c r="L367" s="891" t="str">
        <f t="shared" si="132"/>
        <v>March</v>
      </c>
      <c r="M367" s="888">
        <f t="shared" si="138"/>
        <v>2199</v>
      </c>
      <c r="N367" s="883">
        <f t="shared" si="133"/>
        <v>0</v>
      </c>
      <c r="O367" s="883">
        <f t="shared" si="139"/>
        <v>0</v>
      </c>
      <c r="P367" s="1100"/>
      <c r="Q367" s="883">
        <f t="shared" si="125"/>
        <v>0</v>
      </c>
      <c r="R367" s="884">
        <f t="shared" si="140"/>
        <v>0</v>
      </c>
      <c r="S367" s="884">
        <f>IF(AND($AS$39="Early Payoff",J367&gt;=$S$13),0,IF($J367&lt;=$S$6,SUM($Q$20:$Q367),0))</f>
        <v>0</v>
      </c>
      <c r="T367" s="884">
        <f>IF(AND($AS$39="Early Payoff",J367&gt;=$S$13),0,IF($J367&lt;=$S$6,SUM($R$20:$R367),0))</f>
        <v>0</v>
      </c>
      <c r="U367" s="885">
        <f t="shared" si="126"/>
        <v>0</v>
      </c>
      <c r="V367" s="1110">
        <f t="shared" si="134"/>
        <v>0</v>
      </c>
      <c r="X367" s="1102">
        <f t="shared" si="127"/>
        <v>0</v>
      </c>
      <c r="Y367" s="873">
        <f t="shared" si="128"/>
        <v>0</v>
      </c>
      <c r="Z367" s="873">
        <f t="shared" si="129"/>
        <v>0</v>
      </c>
      <c r="AA367" s="885">
        <f t="shared" si="130"/>
        <v>0</v>
      </c>
    </row>
    <row r="368" spans="2:27" s="278" customFormat="1" ht="12" customHeight="1" x14ac:dyDescent="0.25">
      <c r="B368" s="1192" t="e">
        <f t="shared" si="135"/>
        <v>#N/A</v>
      </c>
      <c r="C368" s="732">
        <f t="shared" si="121"/>
        <v>31</v>
      </c>
      <c r="D368" s="35">
        <f t="shared" si="122"/>
        <v>8</v>
      </c>
      <c r="E368" s="889">
        <f t="shared" si="141"/>
        <v>109452</v>
      </c>
      <c r="F368" s="822">
        <f t="shared" si="123"/>
        <v>8</v>
      </c>
      <c r="G368" s="500">
        <f t="shared" si="136"/>
        <v>153</v>
      </c>
      <c r="H368" s="126">
        <f t="shared" si="124"/>
        <v>0</v>
      </c>
      <c r="I368" s="1098">
        <f t="shared" si="142"/>
        <v>1</v>
      </c>
      <c r="J368" s="887">
        <f t="shared" si="137"/>
        <v>349</v>
      </c>
      <c r="K368" s="1099">
        <f t="shared" si="131"/>
        <v>349</v>
      </c>
      <c r="L368" s="891" t="str">
        <f t="shared" si="132"/>
        <v>August</v>
      </c>
      <c r="M368" s="888">
        <f t="shared" si="138"/>
        <v>2199</v>
      </c>
      <c r="N368" s="883">
        <f t="shared" si="133"/>
        <v>0</v>
      </c>
      <c r="O368" s="883">
        <f t="shared" si="139"/>
        <v>0</v>
      </c>
      <c r="P368" s="1100"/>
      <c r="Q368" s="883">
        <f t="shared" si="125"/>
        <v>0</v>
      </c>
      <c r="R368" s="884">
        <f t="shared" si="140"/>
        <v>0</v>
      </c>
      <c r="S368" s="884">
        <f>IF(AND($AS$39="Early Payoff",J368&gt;=$S$13),0,IF($J368&lt;=$S$6,SUM($Q$20:$Q368),0))</f>
        <v>0</v>
      </c>
      <c r="T368" s="884">
        <f>IF(AND($AS$39="Early Payoff",J368&gt;=$S$13),0,IF($J368&lt;=$S$6,SUM($R$20:$R368),0))</f>
        <v>0</v>
      </c>
      <c r="U368" s="885">
        <f t="shared" si="126"/>
        <v>0</v>
      </c>
      <c r="V368" s="1110">
        <f t="shared" si="134"/>
        <v>0</v>
      </c>
      <c r="X368" s="1102">
        <f t="shared" si="127"/>
        <v>0</v>
      </c>
      <c r="Y368" s="873">
        <f t="shared" si="128"/>
        <v>0</v>
      </c>
      <c r="Z368" s="873">
        <f t="shared" si="129"/>
        <v>0</v>
      </c>
      <c r="AA368" s="885">
        <f t="shared" si="130"/>
        <v>0</v>
      </c>
    </row>
    <row r="369" spans="2:27" s="278" customFormat="1" ht="12" customHeight="1" x14ac:dyDescent="0.25">
      <c r="B369" s="1192" t="e">
        <f t="shared" si="135"/>
        <v>#N/A</v>
      </c>
      <c r="C369" s="732">
        <f t="shared" si="121"/>
        <v>31</v>
      </c>
      <c r="D369" s="35">
        <f t="shared" si="122"/>
        <v>3</v>
      </c>
      <c r="E369" s="889">
        <f t="shared" si="141"/>
        <v>109664</v>
      </c>
      <c r="F369" s="822">
        <f t="shared" si="123"/>
        <v>3</v>
      </c>
      <c r="G369" s="500">
        <f t="shared" si="136"/>
        <v>212</v>
      </c>
      <c r="H369" s="126">
        <f t="shared" si="124"/>
        <v>0</v>
      </c>
      <c r="I369" s="1098">
        <f t="shared" si="142"/>
        <v>0</v>
      </c>
      <c r="J369" s="887">
        <f t="shared" si="137"/>
        <v>350</v>
      </c>
      <c r="K369" s="1099">
        <f t="shared" si="131"/>
        <v>350</v>
      </c>
      <c r="L369" s="891" t="str">
        <f t="shared" si="132"/>
        <v>March</v>
      </c>
      <c r="M369" s="888">
        <f t="shared" si="138"/>
        <v>2200</v>
      </c>
      <c r="N369" s="883">
        <f t="shared" si="133"/>
        <v>0</v>
      </c>
      <c r="O369" s="883">
        <f t="shared" si="139"/>
        <v>0</v>
      </c>
      <c r="P369" s="1100"/>
      <c r="Q369" s="883">
        <f t="shared" si="125"/>
        <v>0</v>
      </c>
      <c r="R369" s="884">
        <f t="shared" si="140"/>
        <v>0</v>
      </c>
      <c r="S369" s="884">
        <f>IF(AND($AS$39="Early Payoff",J369&gt;=$S$13),0,IF($J369&lt;=$S$6,SUM($Q$20:$Q369),0))</f>
        <v>0</v>
      </c>
      <c r="T369" s="884">
        <f>IF(AND($AS$39="Early Payoff",J369&gt;=$S$13),0,IF($J369&lt;=$S$6,SUM($R$20:$R369),0))</f>
        <v>0</v>
      </c>
      <c r="U369" s="885">
        <f t="shared" si="126"/>
        <v>0</v>
      </c>
      <c r="V369" s="1110">
        <f t="shared" si="134"/>
        <v>0</v>
      </c>
      <c r="X369" s="1102">
        <f t="shared" si="127"/>
        <v>0</v>
      </c>
      <c r="Y369" s="873">
        <f t="shared" si="128"/>
        <v>0</v>
      </c>
      <c r="Z369" s="873">
        <f t="shared" si="129"/>
        <v>0</v>
      </c>
      <c r="AA369" s="885">
        <f t="shared" si="130"/>
        <v>0</v>
      </c>
    </row>
    <row r="370" spans="2:27" s="278" customFormat="1" ht="12" customHeight="1" x14ac:dyDescent="0.25">
      <c r="B370" s="1192" t="e">
        <f t="shared" si="135"/>
        <v>#N/A</v>
      </c>
      <c r="C370" s="732">
        <f t="shared" si="121"/>
        <v>31</v>
      </c>
      <c r="D370" s="35">
        <f t="shared" si="122"/>
        <v>8</v>
      </c>
      <c r="E370" s="889">
        <f t="shared" si="141"/>
        <v>109817</v>
      </c>
      <c r="F370" s="822">
        <f t="shared" si="123"/>
        <v>8</v>
      </c>
      <c r="G370" s="500">
        <f t="shared" si="136"/>
        <v>153</v>
      </c>
      <c r="H370" s="126">
        <f t="shared" si="124"/>
        <v>0</v>
      </c>
      <c r="I370" s="1098">
        <f t="shared" si="142"/>
        <v>1</v>
      </c>
      <c r="J370" s="887">
        <f t="shared" si="137"/>
        <v>351</v>
      </c>
      <c r="K370" s="1099">
        <f t="shared" si="131"/>
        <v>351</v>
      </c>
      <c r="L370" s="891" t="str">
        <f t="shared" si="132"/>
        <v>August</v>
      </c>
      <c r="M370" s="888">
        <f t="shared" si="138"/>
        <v>2200</v>
      </c>
      <c r="N370" s="883">
        <f t="shared" si="133"/>
        <v>0</v>
      </c>
      <c r="O370" s="883">
        <f t="shared" si="139"/>
        <v>0</v>
      </c>
      <c r="P370" s="1100"/>
      <c r="Q370" s="883">
        <f t="shared" si="125"/>
        <v>0</v>
      </c>
      <c r="R370" s="884">
        <f t="shared" si="140"/>
        <v>0</v>
      </c>
      <c r="S370" s="884">
        <f>IF(AND($AS$39="Early Payoff",J370&gt;=$S$13),0,IF($J370&lt;=$S$6,SUM($Q$20:$Q370),0))</f>
        <v>0</v>
      </c>
      <c r="T370" s="884">
        <f>IF(AND($AS$39="Early Payoff",J370&gt;=$S$13),0,IF($J370&lt;=$S$6,SUM($R$20:$R370),0))</f>
        <v>0</v>
      </c>
      <c r="U370" s="885">
        <f t="shared" si="126"/>
        <v>0</v>
      </c>
      <c r="V370" s="1110">
        <f t="shared" si="134"/>
        <v>0</v>
      </c>
      <c r="X370" s="1102">
        <f t="shared" si="127"/>
        <v>0</v>
      </c>
      <c r="Y370" s="873">
        <f t="shared" si="128"/>
        <v>0</v>
      </c>
      <c r="Z370" s="873">
        <f t="shared" si="129"/>
        <v>0</v>
      </c>
      <c r="AA370" s="885">
        <f t="shared" si="130"/>
        <v>0</v>
      </c>
    </row>
    <row r="371" spans="2:27" s="278" customFormat="1" ht="12" customHeight="1" x14ac:dyDescent="0.25">
      <c r="B371" s="1192" t="e">
        <f t="shared" si="135"/>
        <v>#N/A</v>
      </c>
      <c r="C371" s="732">
        <f t="shared" si="121"/>
        <v>31</v>
      </c>
      <c r="D371" s="35">
        <f t="shared" si="122"/>
        <v>3</v>
      </c>
      <c r="E371" s="889">
        <f t="shared" si="141"/>
        <v>110029</v>
      </c>
      <c r="F371" s="822">
        <f t="shared" si="123"/>
        <v>3</v>
      </c>
      <c r="G371" s="500">
        <f t="shared" si="136"/>
        <v>212</v>
      </c>
      <c r="H371" s="126">
        <f t="shared" si="124"/>
        <v>0</v>
      </c>
      <c r="I371" s="1098">
        <f t="shared" si="142"/>
        <v>0</v>
      </c>
      <c r="J371" s="887">
        <f t="shared" si="137"/>
        <v>352</v>
      </c>
      <c r="K371" s="1099">
        <f t="shared" si="131"/>
        <v>352</v>
      </c>
      <c r="L371" s="891" t="str">
        <f t="shared" si="132"/>
        <v>March</v>
      </c>
      <c r="M371" s="888">
        <f t="shared" si="138"/>
        <v>2201</v>
      </c>
      <c r="N371" s="883">
        <f t="shared" si="133"/>
        <v>0</v>
      </c>
      <c r="O371" s="883">
        <f t="shared" si="139"/>
        <v>0</v>
      </c>
      <c r="P371" s="1100"/>
      <c r="Q371" s="883">
        <f t="shared" si="125"/>
        <v>0</v>
      </c>
      <c r="R371" s="884">
        <f t="shared" si="140"/>
        <v>0</v>
      </c>
      <c r="S371" s="884">
        <f>IF(AND($AS$39="Early Payoff",J371&gt;=$S$13),0,IF($J371&lt;=$S$6,SUM($Q$20:$Q371),0))</f>
        <v>0</v>
      </c>
      <c r="T371" s="884">
        <f>IF(AND($AS$39="Early Payoff",J371&gt;=$S$13),0,IF($J371&lt;=$S$6,SUM($R$20:$R371),0))</f>
        <v>0</v>
      </c>
      <c r="U371" s="885">
        <f t="shared" si="126"/>
        <v>0</v>
      </c>
      <c r="V371" s="1110">
        <f t="shared" si="134"/>
        <v>0</v>
      </c>
      <c r="X371" s="1102">
        <f t="shared" si="127"/>
        <v>0</v>
      </c>
      <c r="Y371" s="873">
        <f t="shared" si="128"/>
        <v>0</v>
      </c>
      <c r="Z371" s="873">
        <f t="shared" si="129"/>
        <v>0</v>
      </c>
      <c r="AA371" s="885">
        <f t="shared" si="130"/>
        <v>0</v>
      </c>
    </row>
    <row r="372" spans="2:27" s="278" customFormat="1" ht="12" customHeight="1" x14ac:dyDescent="0.25">
      <c r="B372" s="1192" t="e">
        <f t="shared" si="135"/>
        <v>#N/A</v>
      </c>
      <c r="C372" s="732">
        <f t="shared" si="121"/>
        <v>31</v>
      </c>
      <c r="D372" s="35">
        <f t="shared" si="122"/>
        <v>8</v>
      </c>
      <c r="E372" s="889">
        <f t="shared" si="141"/>
        <v>110182</v>
      </c>
      <c r="F372" s="822">
        <f t="shared" si="123"/>
        <v>8</v>
      </c>
      <c r="G372" s="500">
        <f t="shared" si="136"/>
        <v>153</v>
      </c>
      <c r="H372" s="126">
        <f t="shared" si="124"/>
        <v>0</v>
      </c>
      <c r="I372" s="1098">
        <f t="shared" si="142"/>
        <v>1</v>
      </c>
      <c r="J372" s="887">
        <f t="shared" si="137"/>
        <v>353</v>
      </c>
      <c r="K372" s="1099">
        <f t="shared" si="131"/>
        <v>353</v>
      </c>
      <c r="L372" s="891" t="str">
        <f t="shared" si="132"/>
        <v>August</v>
      </c>
      <c r="M372" s="888">
        <f t="shared" si="138"/>
        <v>2201</v>
      </c>
      <c r="N372" s="883">
        <f t="shared" si="133"/>
        <v>0</v>
      </c>
      <c r="O372" s="883">
        <f t="shared" si="139"/>
        <v>0</v>
      </c>
      <c r="P372" s="1100"/>
      <c r="Q372" s="883">
        <f t="shared" si="125"/>
        <v>0</v>
      </c>
      <c r="R372" s="884">
        <f t="shared" si="140"/>
        <v>0</v>
      </c>
      <c r="S372" s="884">
        <f>IF(AND($AS$39="Early Payoff",J372&gt;=$S$13),0,IF($J372&lt;=$S$6,SUM($Q$20:$Q372),0))</f>
        <v>0</v>
      </c>
      <c r="T372" s="884">
        <f>IF(AND($AS$39="Early Payoff",J372&gt;=$S$13),0,IF($J372&lt;=$S$6,SUM($R$20:$R372),0))</f>
        <v>0</v>
      </c>
      <c r="U372" s="885">
        <f t="shared" si="126"/>
        <v>0</v>
      </c>
      <c r="V372" s="1110">
        <f t="shared" si="134"/>
        <v>0</v>
      </c>
      <c r="X372" s="1102">
        <f t="shared" si="127"/>
        <v>0</v>
      </c>
      <c r="Y372" s="873">
        <f t="shared" si="128"/>
        <v>0</v>
      </c>
      <c r="Z372" s="873">
        <f t="shared" si="129"/>
        <v>0</v>
      </c>
      <c r="AA372" s="885">
        <f t="shared" si="130"/>
        <v>0</v>
      </c>
    </row>
    <row r="373" spans="2:27" s="278" customFormat="1" ht="12" customHeight="1" x14ac:dyDescent="0.25">
      <c r="B373" s="1192" t="e">
        <f t="shared" si="135"/>
        <v>#N/A</v>
      </c>
      <c r="C373" s="732">
        <f t="shared" si="121"/>
        <v>31</v>
      </c>
      <c r="D373" s="35">
        <f t="shared" si="122"/>
        <v>3</v>
      </c>
      <c r="E373" s="889">
        <f t="shared" si="141"/>
        <v>110394</v>
      </c>
      <c r="F373" s="822">
        <f t="shared" si="123"/>
        <v>3</v>
      </c>
      <c r="G373" s="500">
        <f t="shared" si="136"/>
        <v>212</v>
      </c>
      <c r="H373" s="126">
        <f t="shared" si="124"/>
        <v>0</v>
      </c>
      <c r="I373" s="1098">
        <f t="shared" si="142"/>
        <v>0</v>
      </c>
      <c r="J373" s="887">
        <f t="shared" si="137"/>
        <v>354</v>
      </c>
      <c r="K373" s="1099">
        <f t="shared" si="131"/>
        <v>354</v>
      </c>
      <c r="L373" s="891" t="str">
        <f t="shared" si="132"/>
        <v>March</v>
      </c>
      <c r="M373" s="888">
        <f t="shared" si="138"/>
        <v>2202</v>
      </c>
      <c r="N373" s="883">
        <f t="shared" si="133"/>
        <v>0</v>
      </c>
      <c r="O373" s="883">
        <f t="shared" si="139"/>
        <v>0</v>
      </c>
      <c r="P373" s="1100"/>
      <c r="Q373" s="883">
        <f t="shared" si="125"/>
        <v>0</v>
      </c>
      <c r="R373" s="884">
        <f t="shared" si="140"/>
        <v>0</v>
      </c>
      <c r="S373" s="884">
        <f>IF(AND($AS$39="Early Payoff",J373&gt;=$S$13),0,IF($J373&lt;=$S$6,SUM($Q$20:$Q373),0))</f>
        <v>0</v>
      </c>
      <c r="T373" s="884">
        <f>IF(AND($AS$39="Early Payoff",J373&gt;=$S$13),0,IF($J373&lt;=$S$6,SUM($R$20:$R373),0))</f>
        <v>0</v>
      </c>
      <c r="U373" s="885">
        <f t="shared" si="126"/>
        <v>0</v>
      </c>
      <c r="V373" s="1110">
        <f t="shared" si="134"/>
        <v>0</v>
      </c>
      <c r="X373" s="1102">
        <f t="shared" si="127"/>
        <v>0</v>
      </c>
      <c r="Y373" s="873">
        <f t="shared" si="128"/>
        <v>0</v>
      </c>
      <c r="Z373" s="873">
        <f t="shared" si="129"/>
        <v>0</v>
      </c>
      <c r="AA373" s="885">
        <f t="shared" si="130"/>
        <v>0</v>
      </c>
    </row>
    <row r="374" spans="2:27" s="278" customFormat="1" ht="12" customHeight="1" x14ac:dyDescent="0.25">
      <c r="B374" s="1192" t="e">
        <f t="shared" si="135"/>
        <v>#N/A</v>
      </c>
      <c r="C374" s="732">
        <f t="shared" si="121"/>
        <v>31</v>
      </c>
      <c r="D374" s="35">
        <f t="shared" si="122"/>
        <v>8</v>
      </c>
      <c r="E374" s="889">
        <f t="shared" si="141"/>
        <v>110547</v>
      </c>
      <c r="F374" s="822">
        <f t="shared" si="123"/>
        <v>8</v>
      </c>
      <c r="G374" s="500">
        <f t="shared" si="136"/>
        <v>153</v>
      </c>
      <c r="H374" s="126">
        <f t="shared" si="124"/>
        <v>0</v>
      </c>
      <c r="I374" s="1098">
        <f t="shared" si="142"/>
        <v>1</v>
      </c>
      <c r="J374" s="887">
        <f t="shared" si="137"/>
        <v>355</v>
      </c>
      <c r="K374" s="1099">
        <f t="shared" si="131"/>
        <v>355</v>
      </c>
      <c r="L374" s="891" t="str">
        <f t="shared" si="132"/>
        <v>August</v>
      </c>
      <c r="M374" s="888">
        <f t="shared" si="138"/>
        <v>2202</v>
      </c>
      <c r="N374" s="883">
        <f t="shared" si="133"/>
        <v>0</v>
      </c>
      <c r="O374" s="883">
        <f t="shared" si="139"/>
        <v>0</v>
      </c>
      <c r="P374" s="1100"/>
      <c r="Q374" s="883">
        <f t="shared" si="125"/>
        <v>0</v>
      </c>
      <c r="R374" s="884">
        <f t="shared" si="140"/>
        <v>0</v>
      </c>
      <c r="S374" s="884">
        <f>IF(AND($AS$39="Early Payoff",J374&gt;=$S$13),0,IF($J374&lt;=$S$6,SUM($Q$20:$Q374),0))</f>
        <v>0</v>
      </c>
      <c r="T374" s="884">
        <f>IF(AND($AS$39="Early Payoff",J374&gt;=$S$13),0,IF($J374&lt;=$S$6,SUM($R$20:$R374),0))</f>
        <v>0</v>
      </c>
      <c r="U374" s="885">
        <f t="shared" si="126"/>
        <v>0</v>
      </c>
      <c r="V374" s="1110">
        <f t="shared" si="134"/>
        <v>0</v>
      </c>
      <c r="X374" s="1102">
        <f t="shared" si="127"/>
        <v>0</v>
      </c>
      <c r="Y374" s="873">
        <f t="shared" si="128"/>
        <v>0</v>
      </c>
      <c r="Z374" s="873">
        <f t="shared" si="129"/>
        <v>0</v>
      </c>
      <c r="AA374" s="885">
        <f t="shared" si="130"/>
        <v>0</v>
      </c>
    </row>
    <row r="375" spans="2:27" s="278" customFormat="1" ht="12" customHeight="1" x14ac:dyDescent="0.25">
      <c r="B375" s="1192" t="e">
        <f t="shared" si="135"/>
        <v>#N/A</v>
      </c>
      <c r="C375" s="732">
        <f t="shared" si="121"/>
        <v>31</v>
      </c>
      <c r="D375" s="35">
        <f t="shared" si="122"/>
        <v>3</v>
      </c>
      <c r="E375" s="889">
        <f t="shared" si="141"/>
        <v>110759</v>
      </c>
      <c r="F375" s="822">
        <f t="shared" si="123"/>
        <v>3</v>
      </c>
      <c r="G375" s="500">
        <f t="shared" si="136"/>
        <v>212</v>
      </c>
      <c r="H375" s="126">
        <f t="shared" si="124"/>
        <v>0</v>
      </c>
      <c r="I375" s="1098">
        <f t="shared" si="142"/>
        <v>0</v>
      </c>
      <c r="J375" s="887">
        <f t="shared" si="137"/>
        <v>356</v>
      </c>
      <c r="K375" s="1099">
        <f t="shared" si="131"/>
        <v>356</v>
      </c>
      <c r="L375" s="891" t="str">
        <f t="shared" si="132"/>
        <v>March</v>
      </c>
      <c r="M375" s="888">
        <f t="shared" si="138"/>
        <v>2203</v>
      </c>
      <c r="N375" s="883">
        <f t="shared" si="133"/>
        <v>0</v>
      </c>
      <c r="O375" s="883">
        <f t="shared" si="139"/>
        <v>0</v>
      </c>
      <c r="P375" s="1100"/>
      <c r="Q375" s="883">
        <f t="shared" si="125"/>
        <v>0</v>
      </c>
      <c r="R375" s="884">
        <f t="shared" si="140"/>
        <v>0</v>
      </c>
      <c r="S375" s="884">
        <f>IF(AND($AS$39="Early Payoff",J375&gt;=$S$13),0,IF($J375&lt;=$S$6,SUM($Q$20:$Q375),0))</f>
        <v>0</v>
      </c>
      <c r="T375" s="884">
        <f>IF(AND($AS$39="Early Payoff",J375&gt;=$S$13),0,IF($J375&lt;=$S$6,SUM($R$20:$R375),0))</f>
        <v>0</v>
      </c>
      <c r="U375" s="885">
        <f t="shared" si="126"/>
        <v>0</v>
      </c>
      <c r="V375" s="1110">
        <f t="shared" si="134"/>
        <v>0</v>
      </c>
      <c r="X375" s="1102">
        <f t="shared" si="127"/>
        <v>0</v>
      </c>
      <c r="Y375" s="873">
        <f t="shared" si="128"/>
        <v>0</v>
      </c>
      <c r="Z375" s="873">
        <f t="shared" si="129"/>
        <v>0</v>
      </c>
      <c r="AA375" s="885">
        <f t="shared" si="130"/>
        <v>0</v>
      </c>
    </row>
    <row r="376" spans="2:27" s="278" customFormat="1" ht="12" customHeight="1" x14ac:dyDescent="0.25">
      <c r="B376" s="1192" t="e">
        <f t="shared" si="135"/>
        <v>#N/A</v>
      </c>
      <c r="C376" s="732">
        <f t="shared" si="121"/>
        <v>31</v>
      </c>
      <c r="D376" s="35">
        <f t="shared" si="122"/>
        <v>8</v>
      </c>
      <c r="E376" s="889">
        <f t="shared" si="141"/>
        <v>110912</v>
      </c>
      <c r="F376" s="822">
        <f t="shared" si="123"/>
        <v>8</v>
      </c>
      <c r="G376" s="500">
        <f t="shared" si="136"/>
        <v>153</v>
      </c>
      <c r="H376" s="126">
        <f t="shared" si="124"/>
        <v>0</v>
      </c>
      <c r="I376" s="1098">
        <f t="shared" si="142"/>
        <v>1</v>
      </c>
      <c r="J376" s="887">
        <f t="shared" si="137"/>
        <v>357</v>
      </c>
      <c r="K376" s="1099">
        <f t="shared" si="131"/>
        <v>357</v>
      </c>
      <c r="L376" s="891" t="str">
        <f t="shared" si="132"/>
        <v>August</v>
      </c>
      <c r="M376" s="888">
        <f t="shared" si="138"/>
        <v>2203</v>
      </c>
      <c r="N376" s="883">
        <f t="shared" si="133"/>
        <v>0</v>
      </c>
      <c r="O376" s="883">
        <f t="shared" si="139"/>
        <v>0</v>
      </c>
      <c r="P376" s="1100"/>
      <c r="Q376" s="883">
        <f t="shared" si="125"/>
        <v>0</v>
      </c>
      <c r="R376" s="884">
        <f t="shared" si="140"/>
        <v>0</v>
      </c>
      <c r="S376" s="884">
        <f>IF(AND($AS$39="Early Payoff",J376&gt;=$S$13),0,IF($J376&lt;=$S$6,SUM($Q$20:$Q376),0))</f>
        <v>0</v>
      </c>
      <c r="T376" s="884">
        <f>IF(AND($AS$39="Early Payoff",J376&gt;=$S$13),0,IF($J376&lt;=$S$6,SUM($R$20:$R376),0))</f>
        <v>0</v>
      </c>
      <c r="U376" s="885">
        <f t="shared" si="126"/>
        <v>0</v>
      </c>
      <c r="V376" s="1110">
        <f t="shared" si="134"/>
        <v>0</v>
      </c>
      <c r="X376" s="1102">
        <f t="shared" si="127"/>
        <v>0</v>
      </c>
      <c r="Y376" s="873">
        <f t="shared" si="128"/>
        <v>0</v>
      </c>
      <c r="Z376" s="873">
        <f t="shared" si="129"/>
        <v>0</v>
      </c>
      <c r="AA376" s="885">
        <f t="shared" si="130"/>
        <v>0</v>
      </c>
    </row>
    <row r="377" spans="2:27" s="278" customFormat="1" ht="12" customHeight="1" x14ac:dyDescent="0.25">
      <c r="B377" s="1192" t="e">
        <f t="shared" si="135"/>
        <v>#N/A</v>
      </c>
      <c r="C377" s="732">
        <f t="shared" si="121"/>
        <v>31</v>
      </c>
      <c r="D377" s="35">
        <f t="shared" si="122"/>
        <v>3</v>
      </c>
      <c r="E377" s="889">
        <f t="shared" si="141"/>
        <v>111125</v>
      </c>
      <c r="F377" s="822">
        <f t="shared" si="123"/>
        <v>3</v>
      </c>
      <c r="G377" s="500">
        <f t="shared" si="136"/>
        <v>213</v>
      </c>
      <c r="H377" s="126">
        <f t="shared" si="124"/>
        <v>0</v>
      </c>
      <c r="I377" s="1098">
        <f t="shared" si="142"/>
        <v>0</v>
      </c>
      <c r="J377" s="887">
        <f t="shared" si="137"/>
        <v>358</v>
      </c>
      <c r="K377" s="1099">
        <f t="shared" si="131"/>
        <v>358</v>
      </c>
      <c r="L377" s="891" t="str">
        <f t="shared" si="132"/>
        <v>March</v>
      </c>
      <c r="M377" s="888">
        <f t="shared" si="138"/>
        <v>2204</v>
      </c>
      <c r="N377" s="883">
        <f t="shared" si="133"/>
        <v>0</v>
      </c>
      <c r="O377" s="883">
        <f t="shared" si="139"/>
        <v>0</v>
      </c>
      <c r="P377" s="1100"/>
      <c r="Q377" s="883">
        <f t="shared" si="125"/>
        <v>0</v>
      </c>
      <c r="R377" s="884">
        <f t="shared" si="140"/>
        <v>0</v>
      </c>
      <c r="S377" s="884">
        <f>IF(AND($AS$39="Early Payoff",J377&gt;=$S$13),0,IF($J377&lt;=$S$6,SUM($Q$20:$Q377),0))</f>
        <v>0</v>
      </c>
      <c r="T377" s="884">
        <f>IF(AND($AS$39="Early Payoff",J377&gt;=$S$13),0,IF($J377&lt;=$S$6,SUM($R$20:$R377),0))</f>
        <v>0</v>
      </c>
      <c r="U377" s="885">
        <f t="shared" si="126"/>
        <v>0</v>
      </c>
      <c r="V377" s="1110">
        <f t="shared" si="134"/>
        <v>0</v>
      </c>
      <c r="X377" s="1102">
        <f t="shared" si="127"/>
        <v>0</v>
      </c>
      <c r="Y377" s="873">
        <f t="shared" si="128"/>
        <v>0</v>
      </c>
      <c r="Z377" s="873">
        <f t="shared" si="129"/>
        <v>0</v>
      </c>
      <c r="AA377" s="885">
        <f t="shared" si="130"/>
        <v>0</v>
      </c>
    </row>
    <row r="378" spans="2:27" s="278" customFormat="1" ht="12" customHeight="1" x14ac:dyDescent="0.25">
      <c r="B378" s="1192" t="e">
        <f t="shared" si="135"/>
        <v>#N/A</v>
      </c>
      <c r="C378" s="732">
        <f t="shared" si="121"/>
        <v>31</v>
      </c>
      <c r="D378" s="35">
        <f t="shared" si="122"/>
        <v>8</v>
      </c>
      <c r="E378" s="889">
        <f t="shared" si="141"/>
        <v>111278</v>
      </c>
      <c r="F378" s="822">
        <f t="shared" si="123"/>
        <v>8</v>
      </c>
      <c r="G378" s="500">
        <f t="shared" si="136"/>
        <v>153</v>
      </c>
      <c r="H378" s="126">
        <f t="shared" si="124"/>
        <v>0</v>
      </c>
      <c r="I378" s="1098">
        <f t="shared" si="142"/>
        <v>1</v>
      </c>
      <c r="J378" s="887">
        <f t="shared" si="137"/>
        <v>359</v>
      </c>
      <c r="K378" s="1099">
        <f t="shared" si="131"/>
        <v>359</v>
      </c>
      <c r="L378" s="891" t="str">
        <f t="shared" si="132"/>
        <v>August</v>
      </c>
      <c r="M378" s="888">
        <f t="shared" si="138"/>
        <v>2204</v>
      </c>
      <c r="N378" s="883">
        <f t="shared" si="133"/>
        <v>0</v>
      </c>
      <c r="O378" s="883">
        <f t="shared" si="139"/>
        <v>0</v>
      </c>
      <c r="P378" s="1100"/>
      <c r="Q378" s="883">
        <f t="shared" si="125"/>
        <v>0</v>
      </c>
      <c r="R378" s="884">
        <f t="shared" si="140"/>
        <v>0</v>
      </c>
      <c r="S378" s="884">
        <f>IF(AND($AS$39="Early Payoff",J378&gt;=$S$13),0,IF($J378&lt;=$S$6,SUM($Q$20:$Q378),0))</f>
        <v>0</v>
      </c>
      <c r="T378" s="884">
        <f>IF(AND($AS$39="Early Payoff",J378&gt;=$S$13),0,IF($J378&lt;=$S$6,SUM($R$20:$R378),0))</f>
        <v>0</v>
      </c>
      <c r="U378" s="885">
        <f t="shared" si="126"/>
        <v>0</v>
      </c>
      <c r="V378" s="1110">
        <f t="shared" si="134"/>
        <v>0</v>
      </c>
      <c r="X378" s="1102">
        <f t="shared" si="127"/>
        <v>0</v>
      </c>
      <c r="Y378" s="873">
        <f t="shared" si="128"/>
        <v>0</v>
      </c>
      <c r="Z378" s="873">
        <f t="shared" si="129"/>
        <v>0</v>
      </c>
      <c r="AA378" s="885">
        <f t="shared" si="130"/>
        <v>0</v>
      </c>
    </row>
    <row r="379" spans="2:27" s="278" customFormat="1" ht="12" customHeight="1" x14ac:dyDescent="0.25">
      <c r="B379" s="1192" t="e">
        <f t="shared" si="135"/>
        <v>#N/A</v>
      </c>
      <c r="C379" s="732">
        <f t="shared" si="121"/>
        <v>31</v>
      </c>
      <c r="D379" s="35">
        <f t="shared" si="122"/>
        <v>3</v>
      </c>
      <c r="E379" s="889">
        <f t="shared" ref="E379:E385" si="143">DATE(M379,D379,C379)</f>
        <v>111490</v>
      </c>
      <c r="F379" s="822">
        <f t="shared" si="123"/>
        <v>3</v>
      </c>
      <c r="G379" s="500">
        <f t="shared" ref="G379:G385" si="144">E379-E378</f>
        <v>212</v>
      </c>
      <c r="H379" s="126">
        <f t="shared" si="124"/>
        <v>0</v>
      </c>
      <c r="I379" s="1098">
        <f t="shared" si="142"/>
        <v>0</v>
      </c>
      <c r="J379" s="1419">
        <f t="shared" si="137"/>
        <v>360</v>
      </c>
      <c r="K379" s="1099">
        <f t="shared" si="131"/>
        <v>360</v>
      </c>
      <c r="L379" s="891" t="str">
        <f t="shared" si="132"/>
        <v>March</v>
      </c>
      <c r="M379" s="888">
        <f t="shared" si="138"/>
        <v>2205</v>
      </c>
      <c r="N379" s="883">
        <f t="shared" si="133"/>
        <v>0</v>
      </c>
      <c r="O379" s="883">
        <f t="shared" ref="O379:O440" si="145">IF($J379&gt;$S$6,0,IF(AND($AR$29&gt;=0,$J379&lt;=$AR$29),0,IF(AND($AR$27&gt;=0,$J379&lt;=$AR$27),$R379,IF(K379=$T$7,SUM(-N379,R379),IF(AND($T$4="Annual",$AR$27&gt;=0,$AR$29&gt;=0,$J379&gt;$AR$27,$J379&gt;$AR$29),PMT($M$7,($S$6-$AR$27),$M$4),IF(AND($T$4="Bi-Annual",$AR$27&gt;=0,$AR$29&gt;=0,$J379&gt;$AR$27,$J379&gt;$AR$29),PMT($M$7/2,($S$6-$AR$27),$M$4),IF(AND($T$4="Monthly",$AR$27&gt;=0,$AR$29&gt;=0,$J379&gt;$AR$27,$J379&gt;$AR$29),PMT($M$7/12,($S$6-$AR$27),$M$4))))))))-P379</f>
        <v>0</v>
      </c>
      <c r="P379" s="1100"/>
      <c r="Q379" s="883">
        <f t="shared" ref="Q379:Q440" si="146">IF(AND($AS$39="Early Payoff",J379&gt;=$S$13),0,IF($J379&gt;$S$6,0,IF(AND($AR$29&gt;0,$J379&lt;=$AR$29),0,+$O379-$R379)))</f>
        <v>0</v>
      </c>
      <c r="R379" s="884">
        <f t="shared" ref="R379:R440" si="147">IF(AND($AS$39="Early Payoff",J379&gt;=$S$13),0,IF($T$4="Annual",-$M$7*$U378*1,IF(AND($T$4="Bi-Annual",$M$8="Base"),(-$M$7/2)*$U378*1,IF(AND($T$4="Bi-Annual",$M$8="Actual Days"),(-$M$7*$U378)*(G379/366),IF($T$4="Monthly",(-$M$7/12)*$U378*1)))))</f>
        <v>0</v>
      </c>
      <c r="S379" s="884">
        <f>IF(AND($AS$39="Early Payoff",J379&gt;=$S$13),0,IF($J379&lt;=$S$6,SUM($Q$20:$Q379),0))</f>
        <v>0</v>
      </c>
      <c r="T379" s="884">
        <f>IF(AND($AS$39="Early Payoff",J379&gt;=$S$13),0,IF($J379&lt;=$S$6,SUM($R$20:$R379),0))</f>
        <v>0</v>
      </c>
      <c r="U379" s="885">
        <f t="shared" si="126"/>
        <v>0</v>
      </c>
      <c r="V379" s="1110">
        <f t="shared" si="134"/>
        <v>0</v>
      </c>
      <c r="X379" s="1102">
        <f t="shared" si="127"/>
        <v>0</v>
      </c>
      <c r="Y379" s="873">
        <f t="shared" si="128"/>
        <v>0</v>
      </c>
      <c r="Z379" s="873">
        <f t="shared" si="129"/>
        <v>0</v>
      </c>
      <c r="AA379" s="885">
        <f t="shared" si="130"/>
        <v>0</v>
      </c>
    </row>
    <row r="380" spans="2:27" s="278" customFormat="1" ht="13.5" x14ac:dyDescent="0.25">
      <c r="B380" s="1192" t="e">
        <f t="shared" si="135"/>
        <v>#N/A</v>
      </c>
      <c r="C380" s="732">
        <f t="shared" si="121"/>
        <v>31</v>
      </c>
      <c r="D380" s="35">
        <f t="shared" si="122"/>
        <v>8</v>
      </c>
      <c r="E380" s="889">
        <f t="shared" si="143"/>
        <v>111643</v>
      </c>
      <c r="F380" s="822">
        <f t="shared" si="123"/>
        <v>8</v>
      </c>
      <c r="G380" s="500">
        <f t="shared" si="144"/>
        <v>153</v>
      </c>
      <c r="H380" s="126">
        <f t="shared" si="124"/>
        <v>0</v>
      </c>
      <c r="I380" s="1098">
        <f t="shared" si="142"/>
        <v>1</v>
      </c>
      <c r="J380" s="887">
        <f t="shared" si="137"/>
        <v>361</v>
      </c>
      <c r="K380" s="1099">
        <f t="shared" si="131"/>
        <v>361</v>
      </c>
      <c r="L380" s="891" t="str">
        <f t="shared" si="132"/>
        <v>August</v>
      </c>
      <c r="M380" s="888">
        <f t="shared" si="138"/>
        <v>2205</v>
      </c>
      <c r="N380" s="883">
        <f t="shared" si="133"/>
        <v>0</v>
      </c>
      <c r="O380" s="883">
        <f t="shared" si="145"/>
        <v>0</v>
      </c>
      <c r="P380" s="1100"/>
      <c r="Q380" s="883">
        <f t="shared" si="146"/>
        <v>0</v>
      </c>
      <c r="R380" s="884">
        <f t="shared" si="147"/>
        <v>0</v>
      </c>
      <c r="S380" s="884">
        <f>IF(AND($AS$39="Early Payoff",J380&gt;=$S$13),0,IF($J380&lt;=$S$6,SUM($Q$20:$Q380),0))</f>
        <v>0</v>
      </c>
      <c r="T380" s="884">
        <f>IF(AND($AS$39="Early Payoff",J380&gt;=$S$13),0,IF($J380&lt;=$S$6,SUM($R$20:$R380),0))</f>
        <v>0</v>
      </c>
      <c r="U380" s="885">
        <f t="shared" si="126"/>
        <v>0</v>
      </c>
      <c r="V380" s="1110">
        <f t="shared" si="134"/>
        <v>0</v>
      </c>
      <c r="X380" s="360"/>
      <c r="Y380" s="360"/>
      <c r="Z380" s="360"/>
      <c r="AA380" s="360"/>
    </row>
    <row r="381" spans="2:27" s="278" customFormat="1" ht="13.5" x14ac:dyDescent="0.25">
      <c r="B381" s="1192" t="e">
        <f t="shared" si="135"/>
        <v>#N/A</v>
      </c>
      <c r="C381" s="732">
        <f t="shared" si="121"/>
        <v>31</v>
      </c>
      <c r="D381" s="35">
        <f t="shared" si="122"/>
        <v>3</v>
      </c>
      <c r="E381" s="889">
        <f t="shared" si="143"/>
        <v>111855</v>
      </c>
      <c r="F381" s="822">
        <f t="shared" si="123"/>
        <v>3</v>
      </c>
      <c r="G381" s="500">
        <f t="shared" si="144"/>
        <v>212</v>
      </c>
      <c r="H381" s="126">
        <f t="shared" si="124"/>
        <v>0</v>
      </c>
      <c r="I381" s="1098">
        <f t="shared" si="142"/>
        <v>0</v>
      </c>
      <c r="J381" s="887">
        <f t="shared" si="137"/>
        <v>362</v>
      </c>
      <c r="K381" s="1099">
        <f t="shared" si="131"/>
        <v>362</v>
      </c>
      <c r="L381" s="891" t="str">
        <f t="shared" si="132"/>
        <v>March</v>
      </c>
      <c r="M381" s="888">
        <f t="shared" si="138"/>
        <v>2206</v>
      </c>
      <c r="N381" s="883">
        <f t="shared" si="133"/>
        <v>0</v>
      </c>
      <c r="O381" s="883">
        <f t="shared" si="145"/>
        <v>0</v>
      </c>
      <c r="P381" s="1100"/>
      <c r="Q381" s="883">
        <f t="shared" si="146"/>
        <v>0</v>
      </c>
      <c r="R381" s="884">
        <f t="shared" si="147"/>
        <v>0</v>
      </c>
      <c r="S381" s="884">
        <f>IF(AND($AS$39="Early Payoff",J381&gt;=$S$13),0,IF($J381&lt;=$S$6,SUM($Q$20:$Q381),0))</f>
        <v>0</v>
      </c>
      <c r="T381" s="884">
        <f>IF(AND($AS$39="Early Payoff",J381&gt;=$S$13),0,IF($J381&lt;=$S$6,SUM($R$20:$R381),0))</f>
        <v>0</v>
      </c>
      <c r="U381" s="885">
        <f t="shared" si="126"/>
        <v>0</v>
      </c>
      <c r="V381" s="1110">
        <f t="shared" si="134"/>
        <v>0</v>
      </c>
      <c r="X381" s="345"/>
      <c r="Y381" s="345"/>
      <c r="Z381" s="345"/>
      <c r="AA381" s="345"/>
    </row>
    <row r="382" spans="2:27" s="278" customFormat="1" ht="13.5" x14ac:dyDescent="0.25">
      <c r="B382" s="1192" t="e">
        <f t="shared" si="135"/>
        <v>#N/A</v>
      </c>
      <c r="C382" s="732">
        <f t="shared" si="121"/>
        <v>31</v>
      </c>
      <c r="D382" s="35">
        <f t="shared" si="122"/>
        <v>8</v>
      </c>
      <c r="E382" s="889">
        <f t="shared" si="143"/>
        <v>112008</v>
      </c>
      <c r="F382" s="822">
        <f t="shared" si="123"/>
        <v>8</v>
      </c>
      <c r="G382" s="500">
        <f t="shared" si="144"/>
        <v>153</v>
      </c>
      <c r="H382" s="126">
        <f t="shared" si="124"/>
        <v>0</v>
      </c>
      <c r="I382" s="1098">
        <f t="shared" si="142"/>
        <v>1</v>
      </c>
      <c r="J382" s="887">
        <f t="shared" si="137"/>
        <v>363</v>
      </c>
      <c r="K382" s="1099">
        <f t="shared" si="131"/>
        <v>363</v>
      </c>
      <c r="L382" s="891" t="str">
        <f t="shared" si="132"/>
        <v>August</v>
      </c>
      <c r="M382" s="888">
        <f t="shared" si="138"/>
        <v>2206</v>
      </c>
      <c r="N382" s="883">
        <f t="shared" si="133"/>
        <v>0</v>
      </c>
      <c r="O382" s="883">
        <f t="shared" si="145"/>
        <v>0</v>
      </c>
      <c r="P382" s="1100"/>
      <c r="Q382" s="883">
        <f t="shared" si="146"/>
        <v>0</v>
      </c>
      <c r="R382" s="884">
        <f t="shared" si="147"/>
        <v>0</v>
      </c>
      <c r="S382" s="884">
        <f>IF(AND($AS$39="Early Payoff",J382&gt;=$S$13),0,IF($J382&lt;=$S$6,SUM($Q$20:$Q382),0))</f>
        <v>0</v>
      </c>
      <c r="T382" s="884">
        <f>IF(AND($AS$39="Early Payoff",J382&gt;=$S$13),0,IF($J382&lt;=$S$6,SUM($R$20:$R382),0))</f>
        <v>0</v>
      </c>
      <c r="U382" s="885">
        <f t="shared" si="126"/>
        <v>0</v>
      </c>
      <c r="V382" s="1110">
        <f t="shared" si="134"/>
        <v>0</v>
      </c>
      <c r="X382" s="345"/>
      <c r="Y382" s="345"/>
      <c r="Z382" s="345"/>
      <c r="AA382" s="345"/>
    </row>
    <row r="383" spans="2:27" s="278" customFormat="1" ht="13.5" x14ac:dyDescent="0.25">
      <c r="B383" s="1192" t="e">
        <f t="shared" si="135"/>
        <v>#N/A</v>
      </c>
      <c r="C383" s="732">
        <f t="shared" si="121"/>
        <v>31</v>
      </c>
      <c r="D383" s="35">
        <f t="shared" si="122"/>
        <v>3</v>
      </c>
      <c r="E383" s="889">
        <f t="shared" si="143"/>
        <v>112220</v>
      </c>
      <c r="F383" s="822">
        <f t="shared" si="123"/>
        <v>3</v>
      </c>
      <c r="G383" s="500">
        <f t="shared" si="144"/>
        <v>212</v>
      </c>
      <c r="H383" s="126">
        <f t="shared" si="124"/>
        <v>0</v>
      </c>
      <c r="I383" s="1098">
        <f t="shared" si="142"/>
        <v>0</v>
      </c>
      <c r="J383" s="887">
        <f t="shared" si="137"/>
        <v>364</v>
      </c>
      <c r="K383" s="1099">
        <f t="shared" si="131"/>
        <v>364</v>
      </c>
      <c r="L383" s="891" t="str">
        <f t="shared" si="132"/>
        <v>March</v>
      </c>
      <c r="M383" s="888">
        <f t="shared" si="138"/>
        <v>2207</v>
      </c>
      <c r="N383" s="883">
        <f t="shared" si="133"/>
        <v>0</v>
      </c>
      <c r="O383" s="883">
        <f t="shared" si="145"/>
        <v>0</v>
      </c>
      <c r="P383" s="1100"/>
      <c r="Q383" s="883">
        <f t="shared" si="146"/>
        <v>0</v>
      </c>
      <c r="R383" s="884">
        <f t="shared" si="147"/>
        <v>0</v>
      </c>
      <c r="S383" s="884">
        <f>IF(AND($AS$39="Early Payoff",J383&gt;=$S$13),0,IF($J383&lt;=$S$6,SUM($Q$20:$Q383),0))</f>
        <v>0</v>
      </c>
      <c r="T383" s="884">
        <f>IF(AND($AS$39="Early Payoff",J383&gt;=$S$13),0,IF($J383&lt;=$S$6,SUM($R$20:$R383),0))</f>
        <v>0</v>
      </c>
      <c r="U383" s="885">
        <f t="shared" si="126"/>
        <v>0</v>
      </c>
      <c r="V383" s="1110">
        <f t="shared" si="134"/>
        <v>0</v>
      </c>
    </row>
    <row r="384" spans="2:27" s="278" customFormat="1" ht="13.5" x14ac:dyDescent="0.25">
      <c r="B384" s="1192" t="e">
        <f t="shared" si="135"/>
        <v>#N/A</v>
      </c>
      <c r="C384" s="732">
        <f t="shared" si="121"/>
        <v>31</v>
      </c>
      <c r="D384" s="35">
        <f t="shared" si="122"/>
        <v>8</v>
      </c>
      <c r="E384" s="889">
        <f t="shared" si="143"/>
        <v>112373</v>
      </c>
      <c r="F384" s="822">
        <f t="shared" si="123"/>
        <v>8</v>
      </c>
      <c r="G384" s="500">
        <f t="shared" si="144"/>
        <v>153</v>
      </c>
      <c r="H384" s="126">
        <f t="shared" si="124"/>
        <v>0</v>
      </c>
      <c r="I384" s="1098">
        <f t="shared" si="142"/>
        <v>1</v>
      </c>
      <c r="J384" s="887">
        <f t="shared" si="137"/>
        <v>365</v>
      </c>
      <c r="K384" s="1099">
        <f t="shared" si="131"/>
        <v>365</v>
      </c>
      <c r="L384" s="891" t="str">
        <f t="shared" si="132"/>
        <v>August</v>
      </c>
      <c r="M384" s="888">
        <f t="shared" si="138"/>
        <v>2207</v>
      </c>
      <c r="N384" s="883">
        <f t="shared" si="133"/>
        <v>0</v>
      </c>
      <c r="O384" s="883">
        <f t="shared" si="145"/>
        <v>0</v>
      </c>
      <c r="P384" s="1100"/>
      <c r="Q384" s="883">
        <f t="shared" si="146"/>
        <v>0</v>
      </c>
      <c r="R384" s="884">
        <f t="shared" si="147"/>
        <v>0</v>
      </c>
      <c r="S384" s="884">
        <f>IF(AND($AS$39="Early Payoff",J384&gt;=$S$13),0,IF($J384&lt;=$S$6,SUM($Q$20:$Q384),0))</f>
        <v>0</v>
      </c>
      <c r="T384" s="884">
        <f>IF(AND($AS$39="Early Payoff",J384&gt;=$S$13),0,IF($J384&lt;=$S$6,SUM($R$20:$R384),0))</f>
        <v>0</v>
      </c>
      <c r="U384" s="885">
        <f t="shared" si="126"/>
        <v>0</v>
      </c>
      <c r="V384" s="1110">
        <f t="shared" si="134"/>
        <v>0</v>
      </c>
    </row>
    <row r="385" spans="2:22" s="278" customFormat="1" ht="13.5" x14ac:dyDescent="0.25">
      <c r="B385" s="1192" t="e">
        <f t="shared" si="135"/>
        <v>#N/A</v>
      </c>
      <c r="C385" s="732">
        <f t="shared" si="121"/>
        <v>31</v>
      </c>
      <c r="D385" s="35">
        <f t="shared" si="122"/>
        <v>3</v>
      </c>
      <c r="E385" s="889">
        <f t="shared" si="143"/>
        <v>112586</v>
      </c>
      <c r="F385" s="822">
        <f t="shared" si="123"/>
        <v>3</v>
      </c>
      <c r="G385" s="500">
        <f t="shared" si="144"/>
        <v>213</v>
      </c>
      <c r="H385" s="126">
        <f t="shared" si="124"/>
        <v>0</v>
      </c>
      <c r="I385" s="1098">
        <f t="shared" si="142"/>
        <v>0</v>
      </c>
      <c r="J385" s="887">
        <f t="shared" si="137"/>
        <v>366</v>
      </c>
      <c r="K385" s="1099">
        <f t="shared" si="131"/>
        <v>366</v>
      </c>
      <c r="L385" s="891" t="str">
        <f t="shared" si="132"/>
        <v>March</v>
      </c>
      <c r="M385" s="888">
        <f t="shared" si="138"/>
        <v>2208</v>
      </c>
      <c r="N385" s="883">
        <f t="shared" si="133"/>
        <v>0</v>
      </c>
      <c r="O385" s="883">
        <f t="shared" si="145"/>
        <v>0</v>
      </c>
      <c r="P385" s="1100"/>
      <c r="Q385" s="883">
        <f t="shared" si="146"/>
        <v>0</v>
      </c>
      <c r="R385" s="884">
        <f t="shared" si="147"/>
        <v>0</v>
      </c>
      <c r="S385" s="884">
        <f>IF(AND($AS$39="Early Payoff",J385&gt;=$S$13),0,IF($J385&lt;=$S$6,SUM($Q$20:$Q385),0))</f>
        <v>0</v>
      </c>
      <c r="T385" s="884">
        <f>IF(AND($AS$39="Early Payoff",J385&gt;=$S$13),0,IF($J385&lt;=$S$6,SUM($R$20:$R385),0))</f>
        <v>0</v>
      </c>
      <c r="U385" s="885">
        <f t="shared" si="126"/>
        <v>0</v>
      </c>
      <c r="V385" s="1110">
        <f t="shared" si="134"/>
        <v>0</v>
      </c>
    </row>
    <row r="386" spans="2:22" s="278" customFormat="1" ht="13.5" x14ac:dyDescent="0.25">
      <c r="B386" s="1192" t="e">
        <f t="shared" si="135"/>
        <v>#N/A</v>
      </c>
      <c r="C386" s="732">
        <f t="shared" si="121"/>
        <v>31</v>
      </c>
      <c r="D386" s="35">
        <f t="shared" si="122"/>
        <v>8</v>
      </c>
      <c r="E386" s="889">
        <f t="shared" ref="E386:E440" si="148">DATE(M386,D386,C386)</f>
        <v>112739</v>
      </c>
      <c r="F386" s="822">
        <f t="shared" si="123"/>
        <v>8</v>
      </c>
      <c r="G386" s="500">
        <f t="shared" ref="G386:G440" si="149">E386-E385</f>
        <v>153</v>
      </c>
      <c r="H386" s="126">
        <f t="shared" si="124"/>
        <v>0</v>
      </c>
      <c r="I386" s="1098">
        <f t="shared" si="142"/>
        <v>1</v>
      </c>
      <c r="J386" s="887">
        <f t="shared" si="137"/>
        <v>367</v>
      </c>
      <c r="K386" s="1099">
        <f t="shared" si="131"/>
        <v>367</v>
      </c>
      <c r="L386" s="891" t="str">
        <f t="shared" si="132"/>
        <v>August</v>
      </c>
      <c r="M386" s="888">
        <f t="shared" si="138"/>
        <v>2208</v>
      </c>
      <c r="N386" s="883">
        <f t="shared" si="133"/>
        <v>0</v>
      </c>
      <c r="O386" s="883">
        <f t="shared" si="145"/>
        <v>0</v>
      </c>
      <c r="P386" s="1100"/>
      <c r="Q386" s="883">
        <f t="shared" si="146"/>
        <v>0</v>
      </c>
      <c r="R386" s="884">
        <f t="shared" si="147"/>
        <v>0</v>
      </c>
      <c r="S386" s="884">
        <f>IF(AND($AS$39="Early Payoff",J386&gt;=$S$13),0,IF($J386&lt;=$S$6,SUM($Q$20:$Q386),0))</f>
        <v>0</v>
      </c>
      <c r="T386" s="884">
        <f>IF(AND($AS$39="Early Payoff",J386&gt;=$S$13),0,IF($J386&lt;=$S$6,SUM($R$20:$R386),0))</f>
        <v>0</v>
      </c>
      <c r="U386" s="885">
        <f t="shared" si="126"/>
        <v>0</v>
      </c>
      <c r="V386" s="1110">
        <f t="shared" si="134"/>
        <v>0</v>
      </c>
    </row>
    <row r="387" spans="2:22" s="278" customFormat="1" ht="13.5" x14ac:dyDescent="0.25">
      <c r="B387" s="1192" t="e">
        <f t="shared" si="135"/>
        <v>#N/A</v>
      </c>
      <c r="C387" s="732">
        <f t="shared" si="121"/>
        <v>31</v>
      </c>
      <c r="D387" s="35">
        <f t="shared" si="122"/>
        <v>3</v>
      </c>
      <c r="E387" s="889">
        <f t="shared" si="148"/>
        <v>112951</v>
      </c>
      <c r="F387" s="822">
        <f t="shared" si="123"/>
        <v>3</v>
      </c>
      <c r="G387" s="500">
        <f t="shared" si="149"/>
        <v>212</v>
      </c>
      <c r="H387" s="126">
        <f t="shared" si="124"/>
        <v>0</v>
      </c>
      <c r="I387" s="1098">
        <f t="shared" si="142"/>
        <v>0</v>
      </c>
      <c r="J387" s="887">
        <f t="shared" si="137"/>
        <v>368</v>
      </c>
      <c r="K387" s="1099">
        <f t="shared" si="131"/>
        <v>368</v>
      </c>
      <c r="L387" s="891" t="str">
        <f t="shared" si="132"/>
        <v>March</v>
      </c>
      <c r="M387" s="888">
        <f t="shared" si="138"/>
        <v>2209</v>
      </c>
      <c r="N387" s="883">
        <f t="shared" si="133"/>
        <v>0</v>
      </c>
      <c r="O387" s="883">
        <f t="shared" si="145"/>
        <v>0</v>
      </c>
      <c r="P387" s="1100"/>
      <c r="Q387" s="883">
        <f t="shared" si="146"/>
        <v>0</v>
      </c>
      <c r="R387" s="884">
        <f t="shared" si="147"/>
        <v>0</v>
      </c>
      <c r="S387" s="884">
        <f>IF(AND($AS$39="Early Payoff",J387&gt;=$S$13),0,IF($J387&lt;=$S$6,SUM($Q$20:$Q387),0))</f>
        <v>0</v>
      </c>
      <c r="T387" s="884">
        <f>IF(AND($AS$39="Early Payoff",J387&gt;=$S$13),0,IF($J387&lt;=$S$6,SUM($R$20:$R387),0))</f>
        <v>0</v>
      </c>
      <c r="U387" s="885">
        <f t="shared" si="126"/>
        <v>0</v>
      </c>
      <c r="V387" s="1110">
        <f t="shared" si="134"/>
        <v>0</v>
      </c>
    </row>
    <row r="388" spans="2:22" s="278" customFormat="1" ht="13.5" x14ac:dyDescent="0.25">
      <c r="B388" s="1192" t="e">
        <f t="shared" si="135"/>
        <v>#N/A</v>
      </c>
      <c r="C388" s="732">
        <f t="shared" si="121"/>
        <v>31</v>
      </c>
      <c r="D388" s="35">
        <f t="shared" si="122"/>
        <v>8</v>
      </c>
      <c r="E388" s="889">
        <f t="shared" si="148"/>
        <v>113104</v>
      </c>
      <c r="F388" s="822">
        <f t="shared" si="123"/>
        <v>8</v>
      </c>
      <c r="G388" s="500">
        <f t="shared" si="149"/>
        <v>153</v>
      </c>
      <c r="H388" s="126">
        <f t="shared" si="124"/>
        <v>0</v>
      </c>
      <c r="I388" s="1098">
        <f t="shared" si="142"/>
        <v>1</v>
      </c>
      <c r="J388" s="887">
        <f t="shared" si="137"/>
        <v>369</v>
      </c>
      <c r="K388" s="1099">
        <f t="shared" si="131"/>
        <v>369</v>
      </c>
      <c r="L388" s="891" t="str">
        <f t="shared" si="132"/>
        <v>August</v>
      </c>
      <c r="M388" s="888">
        <f t="shared" si="138"/>
        <v>2209</v>
      </c>
      <c r="N388" s="883">
        <f t="shared" si="133"/>
        <v>0</v>
      </c>
      <c r="O388" s="883">
        <f t="shared" si="145"/>
        <v>0</v>
      </c>
      <c r="P388" s="1100"/>
      <c r="Q388" s="883">
        <f t="shared" si="146"/>
        <v>0</v>
      </c>
      <c r="R388" s="884">
        <f t="shared" si="147"/>
        <v>0</v>
      </c>
      <c r="S388" s="884">
        <f>IF(AND($AS$39="Early Payoff",J388&gt;=$S$13),0,IF($J388&lt;=$S$6,SUM($Q$20:$Q388),0))</f>
        <v>0</v>
      </c>
      <c r="T388" s="884">
        <f>IF(AND($AS$39="Early Payoff",J388&gt;=$S$13),0,IF($J388&lt;=$S$6,SUM($R$20:$R388),0))</f>
        <v>0</v>
      </c>
      <c r="U388" s="885">
        <f t="shared" si="126"/>
        <v>0</v>
      </c>
      <c r="V388" s="1110">
        <f t="shared" si="134"/>
        <v>0</v>
      </c>
    </row>
    <row r="389" spans="2:22" s="278" customFormat="1" ht="13.5" x14ac:dyDescent="0.25">
      <c r="B389" s="1192" t="e">
        <f t="shared" si="135"/>
        <v>#N/A</v>
      </c>
      <c r="C389" s="732">
        <f t="shared" si="121"/>
        <v>31</v>
      </c>
      <c r="D389" s="35">
        <f t="shared" si="122"/>
        <v>3</v>
      </c>
      <c r="E389" s="889">
        <f t="shared" si="148"/>
        <v>113316</v>
      </c>
      <c r="F389" s="822">
        <f t="shared" si="123"/>
        <v>3</v>
      </c>
      <c r="G389" s="500">
        <f t="shared" si="149"/>
        <v>212</v>
      </c>
      <c r="H389" s="126">
        <f t="shared" si="124"/>
        <v>0</v>
      </c>
      <c r="I389" s="1098">
        <f t="shared" si="142"/>
        <v>0</v>
      </c>
      <c r="J389" s="887">
        <f t="shared" si="137"/>
        <v>370</v>
      </c>
      <c r="K389" s="1099">
        <f t="shared" si="131"/>
        <v>370</v>
      </c>
      <c r="L389" s="891" t="str">
        <f t="shared" si="132"/>
        <v>March</v>
      </c>
      <c r="M389" s="888">
        <f t="shared" si="138"/>
        <v>2210</v>
      </c>
      <c r="N389" s="883">
        <f t="shared" si="133"/>
        <v>0</v>
      </c>
      <c r="O389" s="883">
        <f t="shared" si="145"/>
        <v>0</v>
      </c>
      <c r="P389" s="1100"/>
      <c r="Q389" s="883">
        <f t="shared" si="146"/>
        <v>0</v>
      </c>
      <c r="R389" s="884">
        <f t="shared" si="147"/>
        <v>0</v>
      </c>
      <c r="S389" s="884">
        <f>IF(AND($AS$39="Early Payoff",J389&gt;=$S$13),0,IF($J389&lt;=$S$6,SUM($Q$20:$Q389),0))</f>
        <v>0</v>
      </c>
      <c r="T389" s="884">
        <f>IF(AND($AS$39="Early Payoff",J389&gt;=$S$13),0,IF($J389&lt;=$S$6,SUM($R$20:$R389),0))</f>
        <v>0</v>
      </c>
      <c r="U389" s="885">
        <f t="shared" si="126"/>
        <v>0</v>
      </c>
      <c r="V389" s="1110">
        <f t="shared" si="134"/>
        <v>0</v>
      </c>
    </row>
    <row r="390" spans="2:22" s="278" customFormat="1" ht="13.5" x14ac:dyDescent="0.25">
      <c r="B390" s="1192" t="e">
        <f t="shared" si="135"/>
        <v>#N/A</v>
      </c>
      <c r="C390" s="732">
        <f t="shared" si="121"/>
        <v>31</v>
      </c>
      <c r="D390" s="35">
        <f t="shared" si="122"/>
        <v>8</v>
      </c>
      <c r="E390" s="889">
        <f t="shared" si="148"/>
        <v>113469</v>
      </c>
      <c r="F390" s="822">
        <f t="shared" si="123"/>
        <v>8</v>
      </c>
      <c r="G390" s="500">
        <f t="shared" si="149"/>
        <v>153</v>
      </c>
      <c r="H390" s="126">
        <f t="shared" si="124"/>
        <v>0</v>
      </c>
      <c r="I390" s="1098">
        <f t="shared" si="142"/>
        <v>1</v>
      </c>
      <c r="J390" s="887">
        <f t="shared" si="137"/>
        <v>371</v>
      </c>
      <c r="K390" s="1099">
        <f t="shared" si="131"/>
        <v>371</v>
      </c>
      <c r="L390" s="891" t="str">
        <f t="shared" si="132"/>
        <v>August</v>
      </c>
      <c r="M390" s="888">
        <f t="shared" si="138"/>
        <v>2210</v>
      </c>
      <c r="N390" s="883">
        <f t="shared" si="133"/>
        <v>0</v>
      </c>
      <c r="O390" s="883">
        <f t="shared" si="145"/>
        <v>0</v>
      </c>
      <c r="P390" s="1100"/>
      <c r="Q390" s="883">
        <f t="shared" si="146"/>
        <v>0</v>
      </c>
      <c r="R390" s="884">
        <f t="shared" si="147"/>
        <v>0</v>
      </c>
      <c r="S390" s="884">
        <f>IF(AND($AS$39="Early Payoff",J390&gt;=$S$13),0,IF($J390&lt;=$S$6,SUM($Q$20:$Q390),0))</f>
        <v>0</v>
      </c>
      <c r="T390" s="884">
        <f>IF(AND($AS$39="Early Payoff",J390&gt;=$S$13),0,IF($J390&lt;=$S$6,SUM($R$20:$R390),0))</f>
        <v>0</v>
      </c>
      <c r="U390" s="885">
        <f t="shared" si="126"/>
        <v>0</v>
      </c>
      <c r="V390" s="1110">
        <f t="shared" si="134"/>
        <v>0</v>
      </c>
    </row>
    <row r="391" spans="2:22" s="278" customFormat="1" ht="13.5" x14ac:dyDescent="0.25">
      <c r="B391" s="1192" t="e">
        <f t="shared" si="135"/>
        <v>#N/A</v>
      </c>
      <c r="C391" s="732">
        <f t="shared" si="121"/>
        <v>31</v>
      </c>
      <c r="D391" s="35">
        <f t="shared" si="122"/>
        <v>3</v>
      </c>
      <c r="E391" s="889">
        <f t="shared" si="148"/>
        <v>113681</v>
      </c>
      <c r="F391" s="822">
        <f t="shared" si="123"/>
        <v>3</v>
      </c>
      <c r="G391" s="500">
        <f t="shared" si="149"/>
        <v>212</v>
      </c>
      <c r="H391" s="126">
        <f t="shared" si="124"/>
        <v>0</v>
      </c>
      <c r="I391" s="1098">
        <f t="shared" si="142"/>
        <v>0</v>
      </c>
      <c r="J391" s="887">
        <f t="shared" si="137"/>
        <v>372</v>
      </c>
      <c r="K391" s="1099">
        <f t="shared" si="131"/>
        <v>372</v>
      </c>
      <c r="L391" s="891" t="str">
        <f t="shared" si="132"/>
        <v>March</v>
      </c>
      <c r="M391" s="888">
        <f t="shared" si="138"/>
        <v>2211</v>
      </c>
      <c r="N391" s="883">
        <f t="shared" si="133"/>
        <v>0</v>
      </c>
      <c r="O391" s="883">
        <f t="shared" si="145"/>
        <v>0</v>
      </c>
      <c r="P391" s="1100"/>
      <c r="Q391" s="883">
        <f t="shared" si="146"/>
        <v>0</v>
      </c>
      <c r="R391" s="884">
        <f t="shared" si="147"/>
        <v>0</v>
      </c>
      <c r="S391" s="884">
        <f>IF(AND($AS$39="Early Payoff",J391&gt;=$S$13),0,IF($J391&lt;=$S$6,SUM($Q$20:$Q391),0))</f>
        <v>0</v>
      </c>
      <c r="T391" s="884">
        <f>IF(AND($AS$39="Early Payoff",J391&gt;=$S$13),0,IF($J391&lt;=$S$6,SUM($R$20:$R391),0))</f>
        <v>0</v>
      </c>
      <c r="U391" s="885">
        <f t="shared" si="126"/>
        <v>0</v>
      </c>
      <c r="V391" s="1110">
        <f t="shared" si="134"/>
        <v>0</v>
      </c>
    </row>
    <row r="392" spans="2:22" s="278" customFormat="1" ht="13.5" x14ac:dyDescent="0.25">
      <c r="B392" s="1192" t="e">
        <f t="shared" si="135"/>
        <v>#N/A</v>
      </c>
      <c r="C392" s="732">
        <f t="shared" si="121"/>
        <v>31</v>
      </c>
      <c r="D392" s="35">
        <f t="shared" si="122"/>
        <v>8</v>
      </c>
      <c r="E392" s="889">
        <f t="shared" si="148"/>
        <v>113834</v>
      </c>
      <c r="F392" s="822">
        <f t="shared" si="123"/>
        <v>8</v>
      </c>
      <c r="G392" s="500">
        <f t="shared" si="149"/>
        <v>153</v>
      </c>
      <c r="H392" s="126">
        <f t="shared" si="124"/>
        <v>0</v>
      </c>
      <c r="I392" s="1098">
        <f t="shared" si="142"/>
        <v>1</v>
      </c>
      <c r="J392" s="887">
        <f t="shared" si="137"/>
        <v>373</v>
      </c>
      <c r="K392" s="1099">
        <f t="shared" si="131"/>
        <v>373</v>
      </c>
      <c r="L392" s="891" t="str">
        <f t="shared" si="132"/>
        <v>August</v>
      </c>
      <c r="M392" s="888">
        <f t="shared" si="138"/>
        <v>2211</v>
      </c>
      <c r="N392" s="883">
        <f t="shared" si="133"/>
        <v>0</v>
      </c>
      <c r="O392" s="883">
        <f t="shared" si="145"/>
        <v>0</v>
      </c>
      <c r="P392" s="1100"/>
      <c r="Q392" s="883">
        <f t="shared" si="146"/>
        <v>0</v>
      </c>
      <c r="R392" s="884">
        <f t="shared" si="147"/>
        <v>0</v>
      </c>
      <c r="S392" s="884">
        <f>IF(AND($AS$39="Early Payoff",J392&gt;=$S$13),0,IF($J392&lt;=$S$6,SUM($Q$20:$Q392),0))</f>
        <v>0</v>
      </c>
      <c r="T392" s="884">
        <f>IF(AND($AS$39="Early Payoff",J392&gt;=$S$13),0,IF($J392&lt;=$S$6,SUM($R$20:$R392),0))</f>
        <v>0</v>
      </c>
      <c r="U392" s="885">
        <f t="shared" si="126"/>
        <v>0</v>
      </c>
      <c r="V392" s="1110">
        <f t="shared" si="134"/>
        <v>0</v>
      </c>
    </row>
    <row r="393" spans="2:22" s="278" customFormat="1" ht="13.5" x14ac:dyDescent="0.25">
      <c r="B393" s="1192" t="e">
        <f t="shared" si="135"/>
        <v>#N/A</v>
      </c>
      <c r="C393" s="732">
        <f t="shared" si="121"/>
        <v>31</v>
      </c>
      <c r="D393" s="35">
        <f t="shared" si="122"/>
        <v>3</v>
      </c>
      <c r="E393" s="889">
        <f t="shared" si="148"/>
        <v>114047</v>
      </c>
      <c r="F393" s="822">
        <f t="shared" si="123"/>
        <v>3</v>
      </c>
      <c r="G393" s="500">
        <f t="shared" si="149"/>
        <v>213</v>
      </c>
      <c r="H393" s="126">
        <f t="shared" si="124"/>
        <v>0</v>
      </c>
      <c r="I393" s="1098">
        <f t="shared" si="142"/>
        <v>0</v>
      </c>
      <c r="J393" s="887">
        <f t="shared" si="137"/>
        <v>374</v>
      </c>
      <c r="K393" s="1099">
        <f t="shared" si="131"/>
        <v>374</v>
      </c>
      <c r="L393" s="891" t="str">
        <f t="shared" si="132"/>
        <v>March</v>
      </c>
      <c r="M393" s="888">
        <f t="shared" si="138"/>
        <v>2212</v>
      </c>
      <c r="N393" s="883">
        <f t="shared" si="133"/>
        <v>0</v>
      </c>
      <c r="O393" s="883">
        <f t="shared" si="145"/>
        <v>0</v>
      </c>
      <c r="P393" s="1100"/>
      <c r="Q393" s="883">
        <f t="shared" si="146"/>
        <v>0</v>
      </c>
      <c r="R393" s="884">
        <f t="shared" si="147"/>
        <v>0</v>
      </c>
      <c r="S393" s="884">
        <f>IF(AND($AS$39="Early Payoff",J393&gt;=$S$13),0,IF($J393&lt;=$S$6,SUM($Q$20:$Q393),0))</f>
        <v>0</v>
      </c>
      <c r="T393" s="884">
        <f>IF(AND($AS$39="Early Payoff",J393&gt;=$S$13),0,IF($J393&lt;=$S$6,SUM($R$20:$R393),0))</f>
        <v>0</v>
      </c>
      <c r="U393" s="885">
        <f t="shared" si="126"/>
        <v>0</v>
      </c>
      <c r="V393" s="1110">
        <f t="shared" si="134"/>
        <v>0</v>
      </c>
    </row>
    <row r="394" spans="2:22" s="278" customFormat="1" ht="13.5" x14ac:dyDescent="0.25">
      <c r="B394" s="1192" t="e">
        <f t="shared" si="135"/>
        <v>#N/A</v>
      </c>
      <c r="C394" s="732">
        <f t="shared" si="121"/>
        <v>31</v>
      </c>
      <c r="D394" s="35">
        <f t="shared" si="122"/>
        <v>8</v>
      </c>
      <c r="E394" s="889">
        <f t="shared" si="148"/>
        <v>114200</v>
      </c>
      <c r="F394" s="822">
        <f t="shared" si="123"/>
        <v>8</v>
      </c>
      <c r="G394" s="500">
        <f t="shared" si="149"/>
        <v>153</v>
      </c>
      <c r="H394" s="126">
        <f t="shared" si="124"/>
        <v>0</v>
      </c>
      <c r="I394" s="1098">
        <f t="shared" si="142"/>
        <v>1</v>
      </c>
      <c r="J394" s="887">
        <f t="shared" si="137"/>
        <v>375</v>
      </c>
      <c r="K394" s="1099">
        <f t="shared" si="131"/>
        <v>375</v>
      </c>
      <c r="L394" s="891" t="str">
        <f t="shared" si="132"/>
        <v>August</v>
      </c>
      <c r="M394" s="888">
        <f t="shared" si="138"/>
        <v>2212</v>
      </c>
      <c r="N394" s="883">
        <f t="shared" si="133"/>
        <v>0</v>
      </c>
      <c r="O394" s="883">
        <f t="shared" si="145"/>
        <v>0</v>
      </c>
      <c r="P394" s="1100"/>
      <c r="Q394" s="883">
        <f t="shared" si="146"/>
        <v>0</v>
      </c>
      <c r="R394" s="884">
        <f t="shared" si="147"/>
        <v>0</v>
      </c>
      <c r="S394" s="884">
        <f>IF(AND($AS$39="Early Payoff",J394&gt;=$S$13),0,IF($J394&lt;=$S$6,SUM($Q$20:$Q394),0))</f>
        <v>0</v>
      </c>
      <c r="T394" s="884">
        <f>IF(AND($AS$39="Early Payoff",J394&gt;=$S$13),0,IF($J394&lt;=$S$6,SUM($R$20:$R394),0))</f>
        <v>0</v>
      </c>
      <c r="U394" s="885">
        <f t="shared" si="126"/>
        <v>0</v>
      </c>
      <c r="V394" s="1110">
        <f t="shared" si="134"/>
        <v>0</v>
      </c>
    </row>
    <row r="395" spans="2:22" s="278" customFormat="1" ht="13.5" x14ac:dyDescent="0.25">
      <c r="B395" s="1192" t="e">
        <f t="shared" si="135"/>
        <v>#N/A</v>
      </c>
      <c r="C395" s="732">
        <f t="shared" si="121"/>
        <v>31</v>
      </c>
      <c r="D395" s="35">
        <f t="shared" si="122"/>
        <v>3</v>
      </c>
      <c r="E395" s="889">
        <f t="shared" si="148"/>
        <v>114412</v>
      </c>
      <c r="F395" s="822">
        <f t="shared" si="123"/>
        <v>3</v>
      </c>
      <c r="G395" s="500">
        <f t="shared" si="149"/>
        <v>212</v>
      </c>
      <c r="H395" s="126">
        <f t="shared" si="124"/>
        <v>0</v>
      </c>
      <c r="I395" s="1098">
        <f t="shared" si="142"/>
        <v>0</v>
      </c>
      <c r="J395" s="887">
        <f t="shared" si="137"/>
        <v>376</v>
      </c>
      <c r="K395" s="1099">
        <f t="shared" si="131"/>
        <v>376</v>
      </c>
      <c r="L395" s="891" t="str">
        <f t="shared" si="132"/>
        <v>March</v>
      </c>
      <c r="M395" s="888">
        <f t="shared" si="138"/>
        <v>2213</v>
      </c>
      <c r="N395" s="883">
        <f t="shared" si="133"/>
        <v>0</v>
      </c>
      <c r="O395" s="883">
        <f t="shared" si="145"/>
        <v>0</v>
      </c>
      <c r="P395" s="1100"/>
      <c r="Q395" s="883">
        <f t="shared" si="146"/>
        <v>0</v>
      </c>
      <c r="R395" s="884">
        <f t="shared" si="147"/>
        <v>0</v>
      </c>
      <c r="S395" s="884">
        <f>IF(AND($AS$39="Early Payoff",J395&gt;=$S$13),0,IF($J395&lt;=$S$6,SUM($Q$20:$Q395),0))</f>
        <v>0</v>
      </c>
      <c r="T395" s="884">
        <f>IF(AND($AS$39="Early Payoff",J395&gt;=$S$13),0,IF($J395&lt;=$S$6,SUM($R$20:$R395),0))</f>
        <v>0</v>
      </c>
      <c r="U395" s="885">
        <f t="shared" si="126"/>
        <v>0</v>
      </c>
      <c r="V395" s="1110">
        <f t="shared" si="134"/>
        <v>0</v>
      </c>
    </row>
    <row r="396" spans="2:22" s="278" customFormat="1" ht="13.5" x14ac:dyDescent="0.25">
      <c r="B396" s="1192" t="e">
        <f t="shared" si="135"/>
        <v>#N/A</v>
      </c>
      <c r="C396" s="732">
        <f t="shared" si="121"/>
        <v>31</v>
      </c>
      <c r="D396" s="35">
        <f t="shared" si="122"/>
        <v>8</v>
      </c>
      <c r="E396" s="889">
        <f t="shared" si="148"/>
        <v>114565</v>
      </c>
      <c r="F396" s="822">
        <f t="shared" si="123"/>
        <v>8</v>
      </c>
      <c r="G396" s="500">
        <f t="shared" si="149"/>
        <v>153</v>
      </c>
      <c r="H396" s="126">
        <f t="shared" si="124"/>
        <v>0</v>
      </c>
      <c r="I396" s="1098">
        <f t="shared" si="142"/>
        <v>1</v>
      </c>
      <c r="J396" s="887">
        <f t="shared" si="137"/>
        <v>377</v>
      </c>
      <c r="K396" s="1099">
        <f t="shared" si="131"/>
        <v>377</v>
      </c>
      <c r="L396" s="891" t="str">
        <f t="shared" si="132"/>
        <v>August</v>
      </c>
      <c r="M396" s="888">
        <f t="shared" si="138"/>
        <v>2213</v>
      </c>
      <c r="N396" s="883">
        <f t="shared" si="133"/>
        <v>0</v>
      </c>
      <c r="O396" s="883">
        <f t="shared" si="145"/>
        <v>0</v>
      </c>
      <c r="P396" s="1100"/>
      <c r="Q396" s="883">
        <f t="shared" si="146"/>
        <v>0</v>
      </c>
      <c r="R396" s="884">
        <f t="shared" si="147"/>
        <v>0</v>
      </c>
      <c r="S396" s="884">
        <f>IF(AND($AS$39="Early Payoff",J396&gt;=$S$13),0,IF($J396&lt;=$S$6,SUM($Q$20:$Q396),0))</f>
        <v>0</v>
      </c>
      <c r="T396" s="884">
        <f>IF(AND($AS$39="Early Payoff",J396&gt;=$S$13),0,IF($J396&lt;=$S$6,SUM($R$20:$R396),0))</f>
        <v>0</v>
      </c>
      <c r="U396" s="885">
        <f t="shared" si="126"/>
        <v>0</v>
      </c>
      <c r="V396" s="1110">
        <f t="shared" si="134"/>
        <v>0</v>
      </c>
    </row>
    <row r="397" spans="2:22" s="278" customFormat="1" ht="13.5" x14ac:dyDescent="0.25">
      <c r="B397" s="1192" t="e">
        <f t="shared" si="135"/>
        <v>#N/A</v>
      </c>
      <c r="C397" s="732">
        <f t="shared" si="121"/>
        <v>31</v>
      </c>
      <c r="D397" s="35">
        <f t="shared" si="122"/>
        <v>3</v>
      </c>
      <c r="E397" s="889">
        <f t="shared" si="148"/>
        <v>114777</v>
      </c>
      <c r="F397" s="822">
        <f t="shared" si="123"/>
        <v>3</v>
      </c>
      <c r="G397" s="500">
        <f t="shared" si="149"/>
        <v>212</v>
      </c>
      <c r="H397" s="126">
        <f t="shared" si="124"/>
        <v>0</v>
      </c>
      <c r="I397" s="1098">
        <f t="shared" si="142"/>
        <v>0</v>
      </c>
      <c r="J397" s="887">
        <f t="shared" si="137"/>
        <v>378</v>
      </c>
      <c r="K397" s="1099">
        <f t="shared" si="131"/>
        <v>378</v>
      </c>
      <c r="L397" s="891" t="str">
        <f t="shared" si="132"/>
        <v>March</v>
      </c>
      <c r="M397" s="888">
        <f t="shared" si="138"/>
        <v>2214</v>
      </c>
      <c r="N397" s="883">
        <f t="shared" si="133"/>
        <v>0</v>
      </c>
      <c r="O397" s="883">
        <f t="shared" si="145"/>
        <v>0</v>
      </c>
      <c r="P397" s="1100"/>
      <c r="Q397" s="883">
        <f t="shared" si="146"/>
        <v>0</v>
      </c>
      <c r="R397" s="884">
        <f t="shared" si="147"/>
        <v>0</v>
      </c>
      <c r="S397" s="884">
        <f>IF(AND($AS$39="Early Payoff",J397&gt;=$S$13),0,IF($J397&lt;=$S$6,SUM($Q$20:$Q397),0))</f>
        <v>0</v>
      </c>
      <c r="T397" s="884">
        <f>IF(AND($AS$39="Early Payoff",J397&gt;=$S$13),0,IF($J397&lt;=$S$6,SUM($R$20:$R397),0))</f>
        <v>0</v>
      </c>
      <c r="U397" s="885">
        <f t="shared" si="126"/>
        <v>0</v>
      </c>
      <c r="V397" s="1110">
        <f t="shared" si="134"/>
        <v>0</v>
      </c>
    </row>
    <row r="398" spans="2:22" ht="13.5" x14ac:dyDescent="0.25">
      <c r="B398" s="1192" t="e">
        <f t="shared" si="135"/>
        <v>#N/A</v>
      </c>
      <c r="C398" s="732">
        <f t="shared" si="121"/>
        <v>31</v>
      </c>
      <c r="D398" s="35">
        <f t="shared" si="122"/>
        <v>8</v>
      </c>
      <c r="E398" s="889">
        <f t="shared" si="148"/>
        <v>114930</v>
      </c>
      <c r="F398" s="822">
        <f t="shared" si="123"/>
        <v>8</v>
      </c>
      <c r="G398" s="500">
        <f t="shared" si="149"/>
        <v>153</v>
      </c>
      <c r="H398" s="126">
        <f t="shared" si="124"/>
        <v>0</v>
      </c>
      <c r="I398" s="1098">
        <f t="shared" si="142"/>
        <v>1</v>
      </c>
      <c r="J398" s="887">
        <f t="shared" si="137"/>
        <v>379</v>
      </c>
      <c r="K398" s="1099">
        <f t="shared" si="131"/>
        <v>379</v>
      </c>
      <c r="L398" s="891" t="str">
        <f t="shared" si="132"/>
        <v>August</v>
      </c>
      <c r="M398" s="888">
        <f t="shared" si="138"/>
        <v>2214</v>
      </c>
      <c r="N398" s="883">
        <f t="shared" si="133"/>
        <v>0</v>
      </c>
      <c r="O398" s="883">
        <f t="shared" si="145"/>
        <v>0</v>
      </c>
      <c r="P398" s="1100"/>
      <c r="Q398" s="883">
        <f t="shared" si="146"/>
        <v>0</v>
      </c>
      <c r="R398" s="884">
        <f t="shared" si="147"/>
        <v>0</v>
      </c>
      <c r="S398" s="884">
        <f>IF(AND($AS$39="Early Payoff",J398&gt;=$S$13),0,IF($J398&lt;=$S$6,SUM($Q$20:$Q398),0))</f>
        <v>0</v>
      </c>
      <c r="T398" s="884">
        <f>IF(AND($AS$39="Early Payoff",J398&gt;=$S$13),0,IF($J398&lt;=$S$6,SUM($R$20:$R398),0))</f>
        <v>0</v>
      </c>
      <c r="U398" s="885">
        <f t="shared" si="126"/>
        <v>0</v>
      </c>
      <c r="V398" s="1110">
        <f t="shared" si="134"/>
        <v>0</v>
      </c>
    </row>
    <row r="399" spans="2:22" ht="13.5" x14ac:dyDescent="0.25">
      <c r="B399" s="1192" t="e">
        <f t="shared" si="135"/>
        <v>#N/A</v>
      </c>
      <c r="C399" s="732">
        <f t="shared" si="121"/>
        <v>31</v>
      </c>
      <c r="D399" s="35">
        <f t="shared" si="122"/>
        <v>3</v>
      </c>
      <c r="E399" s="889">
        <f t="shared" si="148"/>
        <v>115142</v>
      </c>
      <c r="F399" s="822">
        <f t="shared" si="123"/>
        <v>3</v>
      </c>
      <c r="G399" s="500">
        <f t="shared" si="149"/>
        <v>212</v>
      </c>
      <c r="H399" s="126">
        <f t="shared" si="124"/>
        <v>0</v>
      </c>
      <c r="I399" s="1098">
        <f t="shared" si="142"/>
        <v>0</v>
      </c>
      <c r="J399" s="887">
        <f t="shared" si="137"/>
        <v>380</v>
      </c>
      <c r="K399" s="1099">
        <f t="shared" si="131"/>
        <v>380</v>
      </c>
      <c r="L399" s="891" t="str">
        <f t="shared" si="132"/>
        <v>March</v>
      </c>
      <c r="M399" s="888">
        <f t="shared" si="138"/>
        <v>2215</v>
      </c>
      <c r="N399" s="883">
        <f t="shared" si="133"/>
        <v>0</v>
      </c>
      <c r="O399" s="883">
        <f t="shared" si="145"/>
        <v>0</v>
      </c>
      <c r="P399" s="1100"/>
      <c r="Q399" s="883">
        <f t="shared" si="146"/>
        <v>0</v>
      </c>
      <c r="R399" s="884">
        <f t="shared" si="147"/>
        <v>0</v>
      </c>
      <c r="S399" s="884">
        <f>IF(AND($AS$39="Early Payoff",J399&gt;=$S$13),0,IF($J399&lt;=$S$6,SUM($Q$20:$Q399),0))</f>
        <v>0</v>
      </c>
      <c r="T399" s="884">
        <f>IF(AND($AS$39="Early Payoff",J399&gt;=$S$13),0,IF($J399&lt;=$S$6,SUM($R$20:$R399),0))</f>
        <v>0</v>
      </c>
      <c r="U399" s="885">
        <f t="shared" si="126"/>
        <v>0</v>
      </c>
      <c r="V399" s="1110">
        <f t="shared" si="134"/>
        <v>0</v>
      </c>
    </row>
    <row r="400" spans="2:22" ht="13.5" x14ac:dyDescent="0.25">
      <c r="B400" s="1192" t="e">
        <f t="shared" si="135"/>
        <v>#N/A</v>
      </c>
      <c r="C400" s="732">
        <f t="shared" si="121"/>
        <v>31</v>
      </c>
      <c r="D400" s="35">
        <f t="shared" si="122"/>
        <v>8</v>
      </c>
      <c r="E400" s="889">
        <f t="shared" si="148"/>
        <v>115295</v>
      </c>
      <c r="F400" s="822">
        <f t="shared" si="123"/>
        <v>8</v>
      </c>
      <c r="G400" s="500">
        <f t="shared" si="149"/>
        <v>153</v>
      </c>
      <c r="H400" s="126">
        <f t="shared" si="124"/>
        <v>0</v>
      </c>
      <c r="I400" s="1098">
        <f t="shared" si="142"/>
        <v>1</v>
      </c>
      <c r="J400" s="887">
        <f t="shared" si="137"/>
        <v>381</v>
      </c>
      <c r="K400" s="1099">
        <f t="shared" si="131"/>
        <v>381</v>
      </c>
      <c r="L400" s="891" t="str">
        <f t="shared" si="132"/>
        <v>August</v>
      </c>
      <c r="M400" s="888">
        <f t="shared" si="138"/>
        <v>2215</v>
      </c>
      <c r="N400" s="883">
        <f t="shared" si="133"/>
        <v>0</v>
      </c>
      <c r="O400" s="883">
        <f t="shared" si="145"/>
        <v>0</v>
      </c>
      <c r="P400" s="1100"/>
      <c r="Q400" s="883">
        <f t="shared" si="146"/>
        <v>0</v>
      </c>
      <c r="R400" s="884">
        <f t="shared" si="147"/>
        <v>0</v>
      </c>
      <c r="S400" s="884">
        <f>IF(AND($AS$39="Early Payoff",J400&gt;=$S$13),0,IF($J400&lt;=$S$6,SUM($Q$20:$Q400),0))</f>
        <v>0</v>
      </c>
      <c r="T400" s="884">
        <f>IF(AND($AS$39="Early Payoff",J400&gt;=$S$13),0,IF($J400&lt;=$S$6,SUM($R$20:$R400),0))</f>
        <v>0</v>
      </c>
      <c r="U400" s="885">
        <f t="shared" si="126"/>
        <v>0</v>
      </c>
      <c r="V400" s="1110">
        <f t="shared" si="134"/>
        <v>0</v>
      </c>
    </row>
    <row r="401" spans="1:50" ht="13.5" x14ac:dyDescent="0.25">
      <c r="B401" s="1192" t="e">
        <f t="shared" si="135"/>
        <v>#N/A</v>
      </c>
      <c r="C401" s="732">
        <f t="shared" si="121"/>
        <v>31</v>
      </c>
      <c r="D401" s="35">
        <f t="shared" si="122"/>
        <v>3</v>
      </c>
      <c r="E401" s="889">
        <f t="shared" si="148"/>
        <v>115508</v>
      </c>
      <c r="F401" s="822">
        <f t="shared" si="123"/>
        <v>3</v>
      </c>
      <c r="G401" s="500">
        <f t="shared" si="149"/>
        <v>213</v>
      </c>
      <c r="H401" s="126">
        <f t="shared" si="124"/>
        <v>0</v>
      </c>
      <c r="I401" s="1098">
        <f t="shared" si="142"/>
        <v>0</v>
      </c>
      <c r="J401" s="887">
        <f t="shared" si="137"/>
        <v>382</v>
      </c>
      <c r="K401" s="1099">
        <f t="shared" si="131"/>
        <v>382</v>
      </c>
      <c r="L401" s="891" t="str">
        <f t="shared" si="132"/>
        <v>March</v>
      </c>
      <c r="M401" s="888">
        <f t="shared" si="138"/>
        <v>2216</v>
      </c>
      <c r="N401" s="883">
        <f t="shared" si="133"/>
        <v>0</v>
      </c>
      <c r="O401" s="883">
        <f t="shared" si="145"/>
        <v>0</v>
      </c>
      <c r="P401" s="1100"/>
      <c r="Q401" s="883">
        <f t="shared" si="146"/>
        <v>0</v>
      </c>
      <c r="R401" s="884">
        <f t="shared" si="147"/>
        <v>0</v>
      </c>
      <c r="S401" s="884">
        <f>IF(AND($AS$39="Early Payoff",J401&gt;=$S$13),0,IF($J401&lt;=$S$6,SUM($Q$20:$Q401),0))</f>
        <v>0</v>
      </c>
      <c r="T401" s="884">
        <f>IF(AND($AS$39="Early Payoff",J401&gt;=$S$13),0,IF($J401&lt;=$S$6,SUM($R$20:$R401),0))</f>
        <v>0</v>
      </c>
      <c r="U401" s="885">
        <f t="shared" si="126"/>
        <v>0</v>
      </c>
      <c r="V401" s="1110">
        <f t="shared" si="134"/>
        <v>0</v>
      </c>
    </row>
    <row r="402" spans="1:50" ht="13.5" x14ac:dyDescent="0.25">
      <c r="B402" s="1192" t="e">
        <f t="shared" si="135"/>
        <v>#N/A</v>
      </c>
      <c r="C402" s="732">
        <f t="shared" si="121"/>
        <v>31</v>
      </c>
      <c r="D402" s="35">
        <f t="shared" si="122"/>
        <v>8</v>
      </c>
      <c r="E402" s="889">
        <f t="shared" si="148"/>
        <v>115661</v>
      </c>
      <c r="F402" s="822">
        <f t="shared" si="123"/>
        <v>8</v>
      </c>
      <c r="G402" s="500">
        <f t="shared" si="149"/>
        <v>153</v>
      </c>
      <c r="H402" s="126">
        <f t="shared" si="124"/>
        <v>0</v>
      </c>
      <c r="I402" s="1098">
        <f t="shared" si="142"/>
        <v>1</v>
      </c>
      <c r="J402" s="887">
        <f t="shared" si="137"/>
        <v>383</v>
      </c>
      <c r="K402" s="1099">
        <f t="shared" si="131"/>
        <v>383</v>
      </c>
      <c r="L402" s="891" t="str">
        <f t="shared" si="132"/>
        <v>August</v>
      </c>
      <c r="M402" s="888">
        <f t="shared" si="138"/>
        <v>2216</v>
      </c>
      <c r="N402" s="883">
        <f t="shared" si="133"/>
        <v>0</v>
      </c>
      <c r="O402" s="883">
        <f t="shared" si="145"/>
        <v>0</v>
      </c>
      <c r="P402" s="1100"/>
      <c r="Q402" s="883">
        <f t="shared" si="146"/>
        <v>0</v>
      </c>
      <c r="R402" s="884">
        <f t="shared" si="147"/>
        <v>0</v>
      </c>
      <c r="S402" s="884">
        <f>IF(AND($AS$39="Early Payoff",J402&gt;=$S$13),0,IF($J402&lt;=$S$6,SUM($Q$20:$Q402),0))</f>
        <v>0</v>
      </c>
      <c r="T402" s="884">
        <f>IF(AND($AS$39="Early Payoff",J402&gt;=$S$13),0,IF($J402&lt;=$S$6,SUM($R$20:$R402),0))</f>
        <v>0</v>
      </c>
      <c r="U402" s="885">
        <f t="shared" si="126"/>
        <v>0</v>
      </c>
      <c r="V402" s="1110">
        <f t="shared" si="134"/>
        <v>0</v>
      </c>
    </row>
    <row r="403" spans="1:50" ht="13.5" x14ac:dyDescent="0.25">
      <c r="B403" s="1192" t="e">
        <f t="shared" si="135"/>
        <v>#N/A</v>
      </c>
      <c r="C403" s="732">
        <f t="shared" si="121"/>
        <v>31</v>
      </c>
      <c r="D403" s="35">
        <f t="shared" si="122"/>
        <v>3</v>
      </c>
      <c r="E403" s="889">
        <f t="shared" si="148"/>
        <v>115873</v>
      </c>
      <c r="F403" s="822">
        <f t="shared" si="123"/>
        <v>3</v>
      </c>
      <c r="G403" s="500">
        <f t="shared" si="149"/>
        <v>212</v>
      </c>
      <c r="H403" s="126">
        <f t="shared" si="124"/>
        <v>0</v>
      </c>
      <c r="I403" s="1098">
        <f t="shared" si="142"/>
        <v>0</v>
      </c>
      <c r="J403" s="887">
        <f t="shared" si="137"/>
        <v>384</v>
      </c>
      <c r="K403" s="1099">
        <f t="shared" si="131"/>
        <v>384</v>
      </c>
      <c r="L403" s="891" t="str">
        <f t="shared" si="132"/>
        <v>March</v>
      </c>
      <c r="M403" s="888">
        <f t="shared" si="138"/>
        <v>2217</v>
      </c>
      <c r="N403" s="883">
        <f t="shared" si="133"/>
        <v>0</v>
      </c>
      <c r="O403" s="883">
        <f t="shared" si="145"/>
        <v>0</v>
      </c>
      <c r="P403" s="1100"/>
      <c r="Q403" s="883">
        <f t="shared" si="146"/>
        <v>0</v>
      </c>
      <c r="R403" s="884">
        <f t="shared" si="147"/>
        <v>0</v>
      </c>
      <c r="S403" s="884">
        <f>IF(AND($AS$39="Early Payoff",J403&gt;=$S$13),0,IF($J403&lt;=$S$6,SUM($Q$20:$Q403),0))</f>
        <v>0</v>
      </c>
      <c r="T403" s="884">
        <f>IF(AND($AS$39="Early Payoff",J403&gt;=$S$13),0,IF($J403&lt;=$S$6,SUM($R$20:$R403),0))</f>
        <v>0</v>
      </c>
      <c r="U403" s="885">
        <f t="shared" si="126"/>
        <v>0</v>
      </c>
      <c r="V403" s="1110">
        <f t="shared" si="134"/>
        <v>0</v>
      </c>
    </row>
    <row r="404" spans="1:50" ht="13.5" x14ac:dyDescent="0.25">
      <c r="B404" s="1192" t="e">
        <f t="shared" si="135"/>
        <v>#N/A</v>
      </c>
      <c r="C404" s="732">
        <f t="shared" ref="C404:C440" si="150">DAY(EOMONTH(DATE($M404,$D404,1),0))</f>
        <v>31</v>
      </c>
      <c r="D404" s="35">
        <f t="shared" ref="D404:D440" si="151">INDEX($AT$22:$AU$34,MATCH($L404,$AT$22:$AT$34,0),MATCH("Number",$AT$22:$AU$22,0))</f>
        <v>8</v>
      </c>
      <c r="E404" s="889">
        <f t="shared" si="148"/>
        <v>116026</v>
      </c>
      <c r="F404" s="822">
        <f t="shared" ref="F404:F440" si="152">INDEX($AT$22:$AU$34,MATCH($L404,$AT$22:$AT$34,0),MATCH("Number",$AT$22:$AU$22,0))</f>
        <v>8</v>
      </c>
      <c r="G404" s="500">
        <f t="shared" si="149"/>
        <v>153</v>
      </c>
      <c r="H404" s="126">
        <f t="shared" ref="H404:H440" si="153">IF($T$4="Monthly",INDEX($AT$36:$AU$48,MATCH($L404,$AT$36:$AT$48,0),MATCH("Number",$AT$36:$AU$36,0)),0)</f>
        <v>0</v>
      </c>
      <c r="I404" s="1098">
        <f t="shared" si="142"/>
        <v>1</v>
      </c>
      <c r="J404" s="887">
        <f t="shared" si="137"/>
        <v>385</v>
      </c>
      <c r="K404" s="1099">
        <f t="shared" si="131"/>
        <v>385</v>
      </c>
      <c r="L404" s="891" t="str">
        <f t="shared" si="132"/>
        <v>August</v>
      </c>
      <c r="M404" s="888">
        <f t="shared" si="138"/>
        <v>2217</v>
      </c>
      <c r="N404" s="883">
        <f t="shared" si="133"/>
        <v>0</v>
      </c>
      <c r="O404" s="883">
        <f t="shared" si="145"/>
        <v>0</v>
      </c>
      <c r="P404" s="1100"/>
      <c r="Q404" s="883">
        <f t="shared" si="146"/>
        <v>0</v>
      </c>
      <c r="R404" s="884">
        <f t="shared" si="147"/>
        <v>0</v>
      </c>
      <c r="S404" s="884">
        <f>IF(AND($AS$39="Early Payoff",J404&gt;=$S$13),0,IF($J404&lt;=$S$6,SUM($Q$20:$Q404),0))</f>
        <v>0</v>
      </c>
      <c r="T404" s="884">
        <f>IF(AND($AS$39="Early Payoff",J404&gt;=$S$13),0,IF($J404&lt;=$S$6,SUM($R$20:$R404),0))</f>
        <v>0</v>
      </c>
      <c r="U404" s="885">
        <f t="shared" ref="U404:U440" si="154">IF($K404&lt;$S$13,SUM($N404,$Q404),0)</f>
        <v>0</v>
      </c>
      <c r="V404" s="1110">
        <f t="shared" si="134"/>
        <v>0</v>
      </c>
    </row>
    <row r="405" spans="1:50" s="22" customFormat="1" ht="13.5" x14ac:dyDescent="0.25">
      <c r="A405" s="1"/>
      <c r="B405" s="1192" t="e">
        <f t="shared" si="135"/>
        <v>#N/A</v>
      </c>
      <c r="C405" s="732">
        <f t="shared" si="150"/>
        <v>31</v>
      </c>
      <c r="D405" s="35">
        <f t="shared" si="151"/>
        <v>3</v>
      </c>
      <c r="E405" s="889">
        <f t="shared" si="148"/>
        <v>116238</v>
      </c>
      <c r="F405" s="822">
        <f t="shared" si="152"/>
        <v>3</v>
      </c>
      <c r="G405" s="500">
        <f t="shared" si="149"/>
        <v>212</v>
      </c>
      <c r="H405" s="126">
        <f t="shared" si="153"/>
        <v>0</v>
      </c>
      <c r="I405" s="1098">
        <f t="shared" si="142"/>
        <v>0</v>
      </c>
      <c r="J405" s="887">
        <f t="shared" si="137"/>
        <v>386</v>
      </c>
      <c r="K405" s="1099">
        <f t="shared" ref="K405:K440" si="155">IF($J405&lt;=$AR$29,0,IF($J404&gt;=$AR$29,$K404+1))</f>
        <v>386</v>
      </c>
      <c r="L405" s="891" t="str">
        <f t="shared" ref="L405:L440" si="156">IF($T$4="Annual",$R$5,IF(AND($T$4="Bi-Annual",$F404&lt;MAX($R$4,$S$4)),INDEX($AU$22:$AV$34,MATCH(MAX($R$4,$S$4),$AU$22:$AU$34,0),MATCH("Month",$AU$22:$AV$22,0)),IF(AND($T$4="Bi-Annual",$F404=MAX($R$4,$S$4)),INDEX($AU$22:$AV$34,MATCH(MIN($R$4,$S$4),$AU$22:$AU$34,0),MATCH("Month",$AU$22:$AV$22,0)),IF(AND($T$4="Monthly",$F404&lt;12),INDEX($AU$22:$AV$34,MATCH($F404+1,$AU$22:$AU$34,0),MATCH("Month",$AU$22:$AV$22,0)),IF(AND($T$4="Monthly",$F404=12),INDEX($AU$22:$AV$34,MATCH($F404-11,$AU$22:$AU$34,0),MATCH("Month",$AU$22:$AV$22,0)))))))</f>
        <v>March</v>
      </c>
      <c r="M405" s="888">
        <f t="shared" si="138"/>
        <v>2218</v>
      </c>
      <c r="N405" s="883">
        <f t="shared" ref="N405:N440" si="157">IF(AND($AS$39="Early Payoff",$J405&gt;$S$13),0,IF(AND($AS$39="Early Payoff",$J405&lt;$S$13),$U404,IF($J405&gt;$S$6,0,$U404)))</f>
        <v>0</v>
      </c>
      <c r="O405" s="883">
        <f t="shared" si="145"/>
        <v>0</v>
      </c>
      <c r="P405" s="1100"/>
      <c r="Q405" s="883">
        <f t="shared" si="146"/>
        <v>0</v>
      </c>
      <c r="R405" s="884">
        <f t="shared" si="147"/>
        <v>0</v>
      </c>
      <c r="S405" s="884">
        <f>IF(AND($AS$39="Early Payoff",J405&gt;=$S$13),0,IF($J405&lt;=$S$6,SUM($Q$20:$Q405),0))</f>
        <v>0</v>
      </c>
      <c r="T405" s="884">
        <f>IF(AND($AS$39="Early Payoff",J405&gt;=$S$13),0,IF($J405&lt;=$S$6,SUM($R$20:$R405),0))</f>
        <v>0</v>
      </c>
      <c r="U405" s="885">
        <f t="shared" si="154"/>
        <v>0</v>
      </c>
      <c r="V405" s="1110">
        <f t="shared" ref="V405:V440" si="158">IF($T$4="Monthly",$N405,IF(AND(OR($T$4="Annual",$T$4="Bi-Annual"),$K405=$T$7),INDEX($J$19:$U$379,MATCH($T$7,$K$19:$K$2379,0),MATCH($N$19,$J$19:$U$19,0)),IF(AND(OR($T$4="Annual",$T$4="Bi-Annual"),$K405&lt;$T$7),$N405,0)))</f>
        <v>0</v>
      </c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</row>
    <row r="406" spans="1:50" s="22" customFormat="1" ht="13.5" x14ac:dyDescent="0.25">
      <c r="A406" s="1"/>
      <c r="B406" s="1192" t="e">
        <f t="shared" ref="B406:B440" si="159">B405+1</f>
        <v>#N/A</v>
      </c>
      <c r="C406" s="732">
        <f t="shared" si="150"/>
        <v>31</v>
      </c>
      <c r="D406" s="35">
        <f t="shared" si="151"/>
        <v>8</v>
      </c>
      <c r="E406" s="889">
        <f t="shared" si="148"/>
        <v>116391</v>
      </c>
      <c r="F406" s="822">
        <f t="shared" si="152"/>
        <v>8</v>
      </c>
      <c r="G406" s="500">
        <f t="shared" si="149"/>
        <v>153</v>
      </c>
      <c r="H406" s="126">
        <f t="shared" si="153"/>
        <v>0</v>
      </c>
      <c r="I406" s="1098">
        <f t="shared" si="142"/>
        <v>1</v>
      </c>
      <c r="J406" s="887">
        <f t="shared" ref="J406:J440" si="160">J405+1</f>
        <v>387</v>
      </c>
      <c r="K406" s="1099">
        <f t="shared" si="155"/>
        <v>387</v>
      </c>
      <c r="L406" s="891" t="str">
        <f t="shared" si="156"/>
        <v>August</v>
      </c>
      <c r="M406" s="888">
        <f t="shared" ref="M406:M440" si="161">IF($T$4="Annual",$M405+$I406,IF($T$4="Bi-Annual",$M405+$I405,IF($T$4="Monthly",$M405+$H405)))</f>
        <v>2218</v>
      </c>
      <c r="N406" s="883">
        <f t="shared" si="157"/>
        <v>0</v>
      </c>
      <c r="O406" s="883">
        <f t="shared" si="145"/>
        <v>0</v>
      </c>
      <c r="P406" s="1100"/>
      <c r="Q406" s="883">
        <f t="shared" si="146"/>
        <v>0</v>
      </c>
      <c r="R406" s="884">
        <f t="shared" si="147"/>
        <v>0</v>
      </c>
      <c r="S406" s="884">
        <f>IF(AND($AS$39="Early Payoff",J406&gt;=$S$13),0,IF($J406&lt;=$S$6,SUM($Q$20:$Q406),0))</f>
        <v>0</v>
      </c>
      <c r="T406" s="884">
        <f>IF(AND($AS$39="Early Payoff",J406&gt;=$S$13),0,IF($J406&lt;=$S$6,SUM($R$20:$R406),0))</f>
        <v>0</v>
      </c>
      <c r="U406" s="885">
        <f t="shared" si="154"/>
        <v>0</v>
      </c>
      <c r="V406" s="1110">
        <f t="shared" si="158"/>
        <v>0</v>
      </c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</row>
    <row r="407" spans="1:50" s="22" customFormat="1" ht="13.5" x14ac:dyDescent="0.25">
      <c r="A407" s="1"/>
      <c r="B407" s="1192" t="e">
        <f t="shared" si="159"/>
        <v>#N/A</v>
      </c>
      <c r="C407" s="732">
        <f t="shared" si="150"/>
        <v>31</v>
      </c>
      <c r="D407" s="35">
        <f t="shared" si="151"/>
        <v>3</v>
      </c>
      <c r="E407" s="889">
        <f t="shared" si="148"/>
        <v>116603</v>
      </c>
      <c r="F407" s="822">
        <f t="shared" si="152"/>
        <v>3</v>
      </c>
      <c r="G407" s="500">
        <f t="shared" si="149"/>
        <v>212</v>
      </c>
      <c r="H407" s="126">
        <f t="shared" si="153"/>
        <v>0</v>
      </c>
      <c r="I407" s="1098">
        <f t="shared" ref="I407:I440" si="162">IF($T$4="Annual",1,IF(AND($T$4="Bi-Annual",$F407&gt;$F408),1,IF(AND($T$4="Bi-Annual",$F407&lt;$F408),0,IF($T$4="Monthly",0,))))</f>
        <v>0</v>
      </c>
      <c r="J407" s="887">
        <f t="shared" si="160"/>
        <v>388</v>
      </c>
      <c r="K407" s="1099">
        <f t="shared" si="155"/>
        <v>388</v>
      </c>
      <c r="L407" s="891" t="str">
        <f t="shared" si="156"/>
        <v>March</v>
      </c>
      <c r="M407" s="888">
        <f t="shared" si="161"/>
        <v>2219</v>
      </c>
      <c r="N407" s="883">
        <f t="shared" si="157"/>
        <v>0</v>
      </c>
      <c r="O407" s="883">
        <f t="shared" si="145"/>
        <v>0</v>
      </c>
      <c r="P407" s="1100"/>
      <c r="Q407" s="883">
        <f t="shared" si="146"/>
        <v>0</v>
      </c>
      <c r="R407" s="884">
        <f t="shared" si="147"/>
        <v>0</v>
      </c>
      <c r="S407" s="884">
        <f>IF(AND($AS$39="Early Payoff",J407&gt;=$S$13),0,IF($J407&lt;=$S$6,SUM($Q$20:$Q407),0))</f>
        <v>0</v>
      </c>
      <c r="T407" s="884">
        <f>IF(AND($AS$39="Early Payoff",J407&gt;=$S$13),0,IF($J407&lt;=$S$6,SUM($R$20:$R407),0))</f>
        <v>0</v>
      </c>
      <c r="U407" s="885">
        <f t="shared" si="154"/>
        <v>0</v>
      </c>
      <c r="V407" s="1110">
        <f t="shared" si="158"/>
        <v>0</v>
      </c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</row>
    <row r="408" spans="1:50" s="22" customFormat="1" ht="13.5" x14ac:dyDescent="0.25">
      <c r="A408" s="1"/>
      <c r="B408" s="1192" t="e">
        <f t="shared" si="159"/>
        <v>#N/A</v>
      </c>
      <c r="C408" s="732">
        <f t="shared" si="150"/>
        <v>31</v>
      </c>
      <c r="D408" s="35">
        <f t="shared" si="151"/>
        <v>8</v>
      </c>
      <c r="E408" s="889">
        <f t="shared" si="148"/>
        <v>116756</v>
      </c>
      <c r="F408" s="822">
        <f t="shared" si="152"/>
        <v>8</v>
      </c>
      <c r="G408" s="500">
        <f t="shared" si="149"/>
        <v>153</v>
      </c>
      <c r="H408" s="126">
        <f t="shared" si="153"/>
        <v>0</v>
      </c>
      <c r="I408" s="1098">
        <f t="shared" si="162"/>
        <v>1</v>
      </c>
      <c r="J408" s="887">
        <f t="shared" si="160"/>
        <v>389</v>
      </c>
      <c r="K408" s="1099">
        <f t="shared" si="155"/>
        <v>389</v>
      </c>
      <c r="L408" s="891" t="str">
        <f t="shared" si="156"/>
        <v>August</v>
      </c>
      <c r="M408" s="888">
        <f t="shared" si="161"/>
        <v>2219</v>
      </c>
      <c r="N408" s="883">
        <f t="shared" si="157"/>
        <v>0</v>
      </c>
      <c r="O408" s="883">
        <f t="shared" si="145"/>
        <v>0</v>
      </c>
      <c r="P408" s="1100"/>
      <c r="Q408" s="883">
        <f t="shared" si="146"/>
        <v>0</v>
      </c>
      <c r="R408" s="884">
        <f t="shared" si="147"/>
        <v>0</v>
      </c>
      <c r="S408" s="884">
        <f>IF(AND($AS$39="Early Payoff",J408&gt;=$S$13),0,IF($J408&lt;=$S$6,SUM($Q$20:$Q408),0))</f>
        <v>0</v>
      </c>
      <c r="T408" s="884">
        <f>IF(AND($AS$39="Early Payoff",J408&gt;=$S$13),0,IF($J408&lt;=$S$6,SUM($R$20:$R408),0))</f>
        <v>0</v>
      </c>
      <c r="U408" s="885">
        <f t="shared" si="154"/>
        <v>0</v>
      </c>
      <c r="V408" s="1110">
        <f t="shared" si="158"/>
        <v>0</v>
      </c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</row>
    <row r="409" spans="1:50" s="22" customFormat="1" ht="13.5" x14ac:dyDescent="0.25">
      <c r="A409" s="1"/>
      <c r="B409" s="1192" t="e">
        <f t="shared" si="159"/>
        <v>#N/A</v>
      </c>
      <c r="C409" s="732">
        <f t="shared" si="150"/>
        <v>31</v>
      </c>
      <c r="D409" s="35">
        <f t="shared" si="151"/>
        <v>3</v>
      </c>
      <c r="E409" s="889">
        <f t="shared" si="148"/>
        <v>116969</v>
      </c>
      <c r="F409" s="822">
        <f t="shared" si="152"/>
        <v>3</v>
      </c>
      <c r="G409" s="500">
        <f t="shared" si="149"/>
        <v>213</v>
      </c>
      <c r="H409" s="126">
        <f t="shared" si="153"/>
        <v>0</v>
      </c>
      <c r="I409" s="1098">
        <f t="shared" si="162"/>
        <v>0</v>
      </c>
      <c r="J409" s="887">
        <f t="shared" si="160"/>
        <v>390</v>
      </c>
      <c r="K409" s="1099">
        <f t="shared" si="155"/>
        <v>390</v>
      </c>
      <c r="L409" s="891" t="str">
        <f t="shared" si="156"/>
        <v>March</v>
      </c>
      <c r="M409" s="888">
        <f t="shared" si="161"/>
        <v>2220</v>
      </c>
      <c r="N409" s="883">
        <f t="shared" si="157"/>
        <v>0</v>
      </c>
      <c r="O409" s="883">
        <f t="shared" si="145"/>
        <v>0</v>
      </c>
      <c r="P409" s="1100"/>
      <c r="Q409" s="883">
        <f t="shared" si="146"/>
        <v>0</v>
      </c>
      <c r="R409" s="884">
        <f t="shared" si="147"/>
        <v>0</v>
      </c>
      <c r="S409" s="884">
        <f>IF(AND($AS$39="Early Payoff",J409&gt;=$S$13),0,IF($J409&lt;=$S$6,SUM($Q$20:$Q409),0))</f>
        <v>0</v>
      </c>
      <c r="T409" s="884">
        <f>IF(AND($AS$39="Early Payoff",J409&gt;=$S$13),0,IF($J409&lt;=$S$6,SUM($R$20:$R409),0))</f>
        <v>0</v>
      </c>
      <c r="U409" s="885">
        <f t="shared" si="154"/>
        <v>0</v>
      </c>
      <c r="V409" s="1110">
        <f t="shared" si="158"/>
        <v>0</v>
      </c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</row>
    <row r="410" spans="1:50" s="22" customFormat="1" ht="13.5" x14ac:dyDescent="0.25">
      <c r="A410" s="1"/>
      <c r="B410" s="1192" t="e">
        <f t="shared" si="159"/>
        <v>#N/A</v>
      </c>
      <c r="C410" s="732">
        <f t="shared" si="150"/>
        <v>31</v>
      </c>
      <c r="D410" s="35">
        <f t="shared" si="151"/>
        <v>8</v>
      </c>
      <c r="E410" s="889">
        <f t="shared" si="148"/>
        <v>117122</v>
      </c>
      <c r="F410" s="822">
        <f t="shared" si="152"/>
        <v>8</v>
      </c>
      <c r="G410" s="500">
        <f t="shared" si="149"/>
        <v>153</v>
      </c>
      <c r="H410" s="126">
        <f t="shared" si="153"/>
        <v>0</v>
      </c>
      <c r="I410" s="1098">
        <f t="shared" si="162"/>
        <v>1</v>
      </c>
      <c r="J410" s="887">
        <f t="shared" si="160"/>
        <v>391</v>
      </c>
      <c r="K410" s="1099">
        <f t="shared" si="155"/>
        <v>391</v>
      </c>
      <c r="L410" s="891" t="str">
        <f t="shared" si="156"/>
        <v>August</v>
      </c>
      <c r="M410" s="888">
        <f t="shared" si="161"/>
        <v>2220</v>
      </c>
      <c r="N410" s="883">
        <f t="shared" si="157"/>
        <v>0</v>
      </c>
      <c r="O410" s="883">
        <f t="shared" si="145"/>
        <v>0</v>
      </c>
      <c r="P410" s="1100"/>
      <c r="Q410" s="883">
        <f t="shared" si="146"/>
        <v>0</v>
      </c>
      <c r="R410" s="884">
        <f t="shared" si="147"/>
        <v>0</v>
      </c>
      <c r="S410" s="884">
        <f>IF(AND($AS$39="Early Payoff",J410&gt;=$S$13),0,IF($J410&lt;=$S$6,SUM($Q$20:$Q410),0))</f>
        <v>0</v>
      </c>
      <c r="T410" s="884">
        <f>IF(AND($AS$39="Early Payoff",J410&gt;=$S$13),0,IF($J410&lt;=$S$6,SUM($R$20:$R410),0))</f>
        <v>0</v>
      </c>
      <c r="U410" s="885">
        <f t="shared" si="154"/>
        <v>0</v>
      </c>
      <c r="V410" s="1110">
        <f t="shared" si="158"/>
        <v>0</v>
      </c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</row>
    <row r="411" spans="1:50" s="22" customFormat="1" ht="13.5" x14ac:dyDescent="0.25">
      <c r="A411" s="1"/>
      <c r="B411" s="1192" t="e">
        <f t="shared" si="159"/>
        <v>#N/A</v>
      </c>
      <c r="C411" s="732">
        <f t="shared" si="150"/>
        <v>31</v>
      </c>
      <c r="D411" s="35">
        <f t="shared" si="151"/>
        <v>3</v>
      </c>
      <c r="E411" s="889">
        <f t="shared" si="148"/>
        <v>117334</v>
      </c>
      <c r="F411" s="822">
        <f t="shared" si="152"/>
        <v>3</v>
      </c>
      <c r="G411" s="500">
        <f t="shared" si="149"/>
        <v>212</v>
      </c>
      <c r="H411" s="126">
        <f t="shared" si="153"/>
        <v>0</v>
      </c>
      <c r="I411" s="1098">
        <f t="shared" si="162"/>
        <v>0</v>
      </c>
      <c r="J411" s="887">
        <f t="shared" si="160"/>
        <v>392</v>
      </c>
      <c r="K411" s="1099">
        <f t="shared" si="155"/>
        <v>392</v>
      </c>
      <c r="L411" s="891" t="str">
        <f t="shared" si="156"/>
        <v>March</v>
      </c>
      <c r="M411" s="888">
        <f t="shared" si="161"/>
        <v>2221</v>
      </c>
      <c r="N411" s="883">
        <f t="shared" si="157"/>
        <v>0</v>
      </c>
      <c r="O411" s="883">
        <f t="shared" si="145"/>
        <v>0</v>
      </c>
      <c r="P411" s="1100"/>
      <c r="Q411" s="883">
        <f t="shared" si="146"/>
        <v>0</v>
      </c>
      <c r="R411" s="884">
        <f t="shared" si="147"/>
        <v>0</v>
      </c>
      <c r="S411" s="884">
        <f>IF(AND($AS$39="Early Payoff",J411&gt;=$S$13),0,IF($J411&lt;=$S$6,SUM($Q$20:$Q411),0))</f>
        <v>0</v>
      </c>
      <c r="T411" s="884">
        <f>IF(AND($AS$39="Early Payoff",J411&gt;=$S$13),0,IF($J411&lt;=$S$6,SUM($R$20:$R411),0))</f>
        <v>0</v>
      </c>
      <c r="U411" s="885">
        <f t="shared" si="154"/>
        <v>0</v>
      </c>
      <c r="V411" s="1110">
        <f t="shared" si="158"/>
        <v>0</v>
      </c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</row>
    <row r="412" spans="1:50" s="22" customFormat="1" ht="13.5" x14ac:dyDescent="0.25">
      <c r="A412" s="1"/>
      <c r="B412" s="1192" t="e">
        <f t="shared" si="159"/>
        <v>#N/A</v>
      </c>
      <c r="C412" s="732">
        <f t="shared" si="150"/>
        <v>31</v>
      </c>
      <c r="D412" s="35">
        <f t="shared" si="151"/>
        <v>8</v>
      </c>
      <c r="E412" s="889">
        <f t="shared" si="148"/>
        <v>117487</v>
      </c>
      <c r="F412" s="822">
        <f t="shared" si="152"/>
        <v>8</v>
      </c>
      <c r="G412" s="500">
        <f t="shared" si="149"/>
        <v>153</v>
      </c>
      <c r="H412" s="126">
        <f t="shared" si="153"/>
        <v>0</v>
      </c>
      <c r="I412" s="1098">
        <f t="shared" si="162"/>
        <v>1</v>
      </c>
      <c r="J412" s="887">
        <f t="shared" si="160"/>
        <v>393</v>
      </c>
      <c r="K412" s="1099">
        <f t="shared" si="155"/>
        <v>393</v>
      </c>
      <c r="L412" s="891" t="str">
        <f t="shared" si="156"/>
        <v>August</v>
      </c>
      <c r="M412" s="888">
        <f t="shared" si="161"/>
        <v>2221</v>
      </c>
      <c r="N412" s="883">
        <f t="shared" si="157"/>
        <v>0</v>
      </c>
      <c r="O412" s="883">
        <f t="shared" si="145"/>
        <v>0</v>
      </c>
      <c r="P412" s="1100"/>
      <c r="Q412" s="883">
        <f t="shared" si="146"/>
        <v>0</v>
      </c>
      <c r="R412" s="884">
        <f t="shared" si="147"/>
        <v>0</v>
      </c>
      <c r="S412" s="884">
        <f>IF(AND($AS$39="Early Payoff",J412&gt;=$S$13),0,IF($J412&lt;=$S$6,SUM($Q$20:$Q412),0))</f>
        <v>0</v>
      </c>
      <c r="T412" s="884">
        <f>IF(AND($AS$39="Early Payoff",J412&gt;=$S$13),0,IF($J412&lt;=$S$6,SUM($R$20:$R412),0))</f>
        <v>0</v>
      </c>
      <c r="U412" s="885">
        <f t="shared" si="154"/>
        <v>0</v>
      </c>
      <c r="V412" s="1110">
        <f t="shared" si="158"/>
        <v>0</v>
      </c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</row>
    <row r="413" spans="1:50" s="22" customFormat="1" ht="13.5" x14ac:dyDescent="0.25">
      <c r="A413" s="1"/>
      <c r="B413" s="1192" t="e">
        <f t="shared" si="159"/>
        <v>#N/A</v>
      </c>
      <c r="C413" s="732">
        <f t="shared" si="150"/>
        <v>31</v>
      </c>
      <c r="D413" s="35">
        <f t="shared" si="151"/>
        <v>3</v>
      </c>
      <c r="E413" s="889">
        <f t="shared" si="148"/>
        <v>117699</v>
      </c>
      <c r="F413" s="822">
        <f t="shared" si="152"/>
        <v>3</v>
      </c>
      <c r="G413" s="500">
        <f t="shared" si="149"/>
        <v>212</v>
      </c>
      <c r="H413" s="126">
        <f t="shared" si="153"/>
        <v>0</v>
      </c>
      <c r="I413" s="1098">
        <f t="shared" si="162"/>
        <v>0</v>
      </c>
      <c r="J413" s="887">
        <f t="shared" si="160"/>
        <v>394</v>
      </c>
      <c r="K413" s="1099">
        <f t="shared" si="155"/>
        <v>394</v>
      </c>
      <c r="L413" s="891" t="str">
        <f t="shared" si="156"/>
        <v>March</v>
      </c>
      <c r="M413" s="888">
        <f t="shared" si="161"/>
        <v>2222</v>
      </c>
      <c r="N413" s="883">
        <f t="shared" si="157"/>
        <v>0</v>
      </c>
      <c r="O413" s="883">
        <f t="shared" si="145"/>
        <v>0</v>
      </c>
      <c r="P413" s="1100"/>
      <c r="Q413" s="883">
        <f t="shared" si="146"/>
        <v>0</v>
      </c>
      <c r="R413" s="884">
        <f t="shared" si="147"/>
        <v>0</v>
      </c>
      <c r="S413" s="884">
        <f>IF(AND($AS$39="Early Payoff",J413&gt;=$S$13),0,IF($J413&lt;=$S$6,SUM($Q$20:$Q413),0))</f>
        <v>0</v>
      </c>
      <c r="T413" s="884">
        <f>IF(AND($AS$39="Early Payoff",J413&gt;=$S$13),0,IF($J413&lt;=$S$6,SUM($R$20:$R413),0))</f>
        <v>0</v>
      </c>
      <c r="U413" s="885">
        <f t="shared" si="154"/>
        <v>0</v>
      </c>
      <c r="V413" s="1110">
        <f t="shared" si="158"/>
        <v>0</v>
      </c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</row>
    <row r="414" spans="1:50" s="22" customFormat="1" ht="13.5" x14ac:dyDescent="0.25">
      <c r="A414" s="1"/>
      <c r="B414" s="1192" t="e">
        <f t="shared" si="159"/>
        <v>#N/A</v>
      </c>
      <c r="C414" s="732">
        <f t="shared" si="150"/>
        <v>31</v>
      </c>
      <c r="D414" s="35">
        <f t="shared" si="151"/>
        <v>8</v>
      </c>
      <c r="E414" s="889">
        <f t="shared" si="148"/>
        <v>117852</v>
      </c>
      <c r="F414" s="822">
        <f t="shared" si="152"/>
        <v>8</v>
      </c>
      <c r="G414" s="500">
        <f t="shared" si="149"/>
        <v>153</v>
      </c>
      <c r="H414" s="126">
        <f t="shared" si="153"/>
        <v>0</v>
      </c>
      <c r="I414" s="1098">
        <f t="shared" si="162"/>
        <v>1</v>
      </c>
      <c r="J414" s="887">
        <f t="shared" si="160"/>
        <v>395</v>
      </c>
      <c r="K414" s="1099">
        <f t="shared" si="155"/>
        <v>395</v>
      </c>
      <c r="L414" s="891" t="str">
        <f t="shared" si="156"/>
        <v>August</v>
      </c>
      <c r="M414" s="888">
        <f t="shared" si="161"/>
        <v>2222</v>
      </c>
      <c r="N414" s="883">
        <f t="shared" si="157"/>
        <v>0</v>
      </c>
      <c r="O414" s="883">
        <f t="shared" si="145"/>
        <v>0</v>
      </c>
      <c r="P414" s="1100"/>
      <c r="Q414" s="883">
        <f t="shared" si="146"/>
        <v>0</v>
      </c>
      <c r="R414" s="884">
        <f t="shared" si="147"/>
        <v>0</v>
      </c>
      <c r="S414" s="884">
        <f>IF(AND($AS$39="Early Payoff",J414&gt;=$S$13),0,IF($J414&lt;=$S$6,SUM($Q$20:$Q414),0))</f>
        <v>0</v>
      </c>
      <c r="T414" s="884">
        <f>IF(AND($AS$39="Early Payoff",J414&gt;=$S$13),0,IF($J414&lt;=$S$6,SUM($R$20:$R414),0))</f>
        <v>0</v>
      </c>
      <c r="U414" s="885">
        <f t="shared" si="154"/>
        <v>0</v>
      </c>
      <c r="V414" s="1110">
        <f t="shared" si="158"/>
        <v>0</v>
      </c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</row>
    <row r="415" spans="1:50" s="22" customFormat="1" ht="13.5" x14ac:dyDescent="0.25">
      <c r="A415" s="1"/>
      <c r="B415" s="1192" t="e">
        <f t="shared" si="159"/>
        <v>#N/A</v>
      </c>
      <c r="C415" s="732">
        <f t="shared" si="150"/>
        <v>31</v>
      </c>
      <c r="D415" s="35">
        <f t="shared" si="151"/>
        <v>3</v>
      </c>
      <c r="E415" s="889">
        <f t="shared" si="148"/>
        <v>118064</v>
      </c>
      <c r="F415" s="822">
        <f t="shared" si="152"/>
        <v>3</v>
      </c>
      <c r="G415" s="500">
        <f t="shared" si="149"/>
        <v>212</v>
      </c>
      <c r="H415" s="126">
        <f t="shared" si="153"/>
        <v>0</v>
      </c>
      <c r="I415" s="1098">
        <f t="shared" si="162"/>
        <v>0</v>
      </c>
      <c r="J415" s="887">
        <f t="shared" si="160"/>
        <v>396</v>
      </c>
      <c r="K415" s="1099">
        <f t="shared" si="155"/>
        <v>396</v>
      </c>
      <c r="L415" s="891" t="str">
        <f t="shared" si="156"/>
        <v>March</v>
      </c>
      <c r="M415" s="888">
        <f t="shared" si="161"/>
        <v>2223</v>
      </c>
      <c r="N415" s="883">
        <f t="shared" si="157"/>
        <v>0</v>
      </c>
      <c r="O415" s="883">
        <f t="shared" si="145"/>
        <v>0</v>
      </c>
      <c r="P415" s="1100"/>
      <c r="Q415" s="883">
        <f t="shared" si="146"/>
        <v>0</v>
      </c>
      <c r="R415" s="884">
        <f t="shared" si="147"/>
        <v>0</v>
      </c>
      <c r="S415" s="884">
        <f>IF(AND($AS$39="Early Payoff",J415&gt;=$S$13),0,IF($J415&lt;=$S$6,SUM($Q$20:$Q415),0))</f>
        <v>0</v>
      </c>
      <c r="T415" s="884">
        <f>IF(AND($AS$39="Early Payoff",J415&gt;=$S$13),0,IF($J415&lt;=$S$6,SUM($R$20:$R415),0))</f>
        <v>0</v>
      </c>
      <c r="U415" s="885">
        <f t="shared" si="154"/>
        <v>0</v>
      </c>
      <c r="V415" s="1110">
        <f t="shared" si="158"/>
        <v>0</v>
      </c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</row>
    <row r="416" spans="1:50" s="22" customFormat="1" ht="13.5" x14ac:dyDescent="0.25">
      <c r="A416" s="1"/>
      <c r="B416" s="1192" t="e">
        <f t="shared" si="159"/>
        <v>#N/A</v>
      </c>
      <c r="C416" s="732">
        <f t="shared" si="150"/>
        <v>31</v>
      </c>
      <c r="D416" s="35">
        <f t="shared" si="151"/>
        <v>8</v>
      </c>
      <c r="E416" s="889">
        <f t="shared" si="148"/>
        <v>118217</v>
      </c>
      <c r="F416" s="822">
        <f t="shared" si="152"/>
        <v>8</v>
      </c>
      <c r="G416" s="500">
        <f t="shared" si="149"/>
        <v>153</v>
      </c>
      <c r="H416" s="126">
        <f t="shared" si="153"/>
        <v>0</v>
      </c>
      <c r="I416" s="1098">
        <f t="shared" si="162"/>
        <v>1</v>
      </c>
      <c r="J416" s="887">
        <f t="shared" si="160"/>
        <v>397</v>
      </c>
      <c r="K416" s="1099">
        <f t="shared" si="155"/>
        <v>397</v>
      </c>
      <c r="L416" s="891" t="str">
        <f t="shared" si="156"/>
        <v>August</v>
      </c>
      <c r="M416" s="888">
        <f t="shared" si="161"/>
        <v>2223</v>
      </c>
      <c r="N416" s="883">
        <f t="shared" si="157"/>
        <v>0</v>
      </c>
      <c r="O416" s="883">
        <f t="shared" si="145"/>
        <v>0</v>
      </c>
      <c r="P416" s="1100"/>
      <c r="Q416" s="883">
        <f t="shared" si="146"/>
        <v>0</v>
      </c>
      <c r="R416" s="884">
        <f t="shared" si="147"/>
        <v>0</v>
      </c>
      <c r="S416" s="884">
        <f>IF(AND($AS$39="Early Payoff",J416&gt;=$S$13),0,IF($J416&lt;=$S$6,SUM($Q$20:$Q416),0))</f>
        <v>0</v>
      </c>
      <c r="T416" s="884">
        <f>IF(AND($AS$39="Early Payoff",J416&gt;=$S$13),0,IF($J416&lt;=$S$6,SUM($R$20:$R416),0))</f>
        <v>0</v>
      </c>
      <c r="U416" s="885">
        <f t="shared" si="154"/>
        <v>0</v>
      </c>
      <c r="V416" s="1110">
        <f t="shared" si="158"/>
        <v>0</v>
      </c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</row>
    <row r="417" spans="1:50" s="22" customFormat="1" ht="13.5" x14ac:dyDescent="0.25">
      <c r="A417" s="1"/>
      <c r="B417" s="1192" t="e">
        <f t="shared" si="159"/>
        <v>#N/A</v>
      </c>
      <c r="C417" s="732">
        <f t="shared" si="150"/>
        <v>31</v>
      </c>
      <c r="D417" s="35">
        <f t="shared" si="151"/>
        <v>3</v>
      </c>
      <c r="E417" s="889">
        <f t="shared" si="148"/>
        <v>118430</v>
      </c>
      <c r="F417" s="822">
        <f t="shared" si="152"/>
        <v>3</v>
      </c>
      <c r="G417" s="500">
        <f t="shared" si="149"/>
        <v>213</v>
      </c>
      <c r="H417" s="126">
        <f t="shared" si="153"/>
        <v>0</v>
      </c>
      <c r="I417" s="1098">
        <f t="shared" si="162"/>
        <v>0</v>
      </c>
      <c r="J417" s="887">
        <f t="shared" si="160"/>
        <v>398</v>
      </c>
      <c r="K417" s="1099">
        <f t="shared" si="155"/>
        <v>398</v>
      </c>
      <c r="L417" s="891" t="str">
        <f t="shared" si="156"/>
        <v>March</v>
      </c>
      <c r="M417" s="888">
        <f t="shared" si="161"/>
        <v>2224</v>
      </c>
      <c r="N417" s="883">
        <f t="shared" si="157"/>
        <v>0</v>
      </c>
      <c r="O417" s="883">
        <f t="shared" si="145"/>
        <v>0</v>
      </c>
      <c r="P417" s="1100"/>
      <c r="Q417" s="883">
        <f t="shared" si="146"/>
        <v>0</v>
      </c>
      <c r="R417" s="884">
        <f t="shared" si="147"/>
        <v>0</v>
      </c>
      <c r="S417" s="884">
        <f>IF(AND($AS$39="Early Payoff",J417&gt;=$S$13),0,IF($J417&lt;=$S$6,SUM($Q$20:$Q417),0))</f>
        <v>0</v>
      </c>
      <c r="T417" s="884">
        <f>IF(AND($AS$39="Early Payoff",J417&gt;=$S$13),0,IF($J417&lt;=$S$6,SUM($R$20:$R417),0))</f>
        <v>0</v>
      </c>
      <c r="U417" s="885">
        <f t="shared" si="154"/>
        <v>0</v>
      </c>
      <c r="V417" s="1110">
        <f t="shared" si="158"/>
        <v>0</v>
      </c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</row>
    <row r="418" spans="1:50" ht="13.5" x14ac:dyDescent="0.25">
      <c r="B418" s="1192" t="e">
        <f t="shared" si="159"/>
        <v>#N/A</v>
      </c>
      <c r="C418" s="732">
        <f t="shared" si="150"/>
        <v>31</v>
      </c>
      <c r="D418" s="35">
        <f t="shared" si="151"/>
        <v>8</v>
      </c>
      <c r="E418" s="889">
        <f t="shared" si="148"/>
        <v>118583</v>
      </c>
      <c r="F418" s="822">
        <f t="shared" si="152"/>
        <v>8</v>
      </c>
      <c r="G418" s="500">
        <f t="shared" si="149"/>
        <v>153</v>
      </c>
      <c r="H418" s="126">
        <f t="shared" si="153"/>
        <v>0</v>
      </c>
      <c r="I418" s="1098">
        <f t="shared" si="162"/>
        <v>1</v>
      </c>
      <c r="J418" s="887">
        <f t="shared" si="160"/>
        <v>399</v>
      </c>
      <c r="K418" s="1099">
        <f t="shared" si="155"/>
        <v>399</v>
      </c>
      <c r="L418" s="891" t="str">
        <f t="shared" si="156"/>
        <v>August</v>
      </c>
      <c r="M418" s="888">
        <f t="shared" si="161"/>
        <v>2224</v>
      </c>
      <c r="N418" s="883">
        <f t="shared" si="157"/>
        <v>0</v>
      </c>
      <c r="O418" s="883">
        <f t="shared" si="145"/>
        <v>0</v>
      </c>
      <c r="P418" s="1100"/>
      <c r="Q418" s="883">
        <f t="shared" si="146"/>
        <v>0</v>
      </c>
      <c r="R418" s="884">
        <f t="shared" si="147"/>
        <v>0</v>
      </c>
      <c r="S418" s="884">
        <f>IF(AND($AS$39="Early Payoff",J418&gt;=$S$13),0,IF($J418&lt;=$S$6,SUM($Q$20:$Q418),0))</f>
        <v>0</v>
      </c>
      <c r="T418" s="884">
        <f>IF(AND($AS$39="Early Payoff",J418&gt;=$S$13),0,IF($J418&lt;=$S$6,SUM($R$20:$R418),0))</f>
        <v>0</v>
      </c>
      <c r="U418" s="885">
        <f t="shared" si="154"/>
        <v>0</v>
      </c>
      <c r="V418" s="1110">
        <f t="shared" si="158"/>
        <v>0</v>
      </c>
    </row>
    <row r="419" spans="1:50" ht="13.5" x14ac:dyDescent="0.25">
      <c r="B419" s="1192" t="e">
        <f t="shared" si="159"/>
        <v>#N/A</v>
      </c>
      <c r="C419" s="732">
        <f t="shared" si="150"/>
        <v>31</v>
      </c>
      <c r="D419" s="35">
        <f t="shared" si="151"/>
        <v>3</v>
      </c>
      <c r="E419" s="889">
        <f t="shared" si="148"/>
        <v>118795</v>
      </c>
      <c r="F419" s="822">
        <f t="shared" si="152"/>
        <v>3</v>
      </c>
      <c r="G419" s="500">
        <f t="shared" si="149"/>
        <v>212</v>
      </c>
      <c r="H419" s="126">
        <f t="shared" si="153"/>
        <v>0</v>
      </c>
      <c r="I419" s="1098">
        <f t="shared" si="162"/>
        <v>0</v>
      </c>
      <c r="J419" s="887">
        <f t="shared" si="160"/>
        <v>400</v>
      </c>
      <c r="K419" s="1099">
        <f t="shared" si="155"/>
        <v>400</v>
      </c>
      <c r="L419" s="891" t="str">
        <f t="shared" si="156"/>
        <v>March</v>
      </c>
      <c r="M419" s="888">
        <f t="shared" si="161"/>
        <v>2225</v>
      </c>
      <c r="N419" s="883">
        <f t="shared" si="157"/>
        <v>0</v>
      </c>
      <c r="O419" s="883">
        <f t="shared" si="145"/>
        <v>0</v>
      </c>
      <c r="P419" s="1100"/>
      <c r="Q419" s="883">
        <f t="shared" si="146"/>
        <v>0</v>
      </c>
      <c r="R419" s="884">
        <f t="shared" si="147"/>
        <v>0</v>
      </c>
      <c r="S419" s="884">
        <f>IF(AND($AS$39="Early Payoff",J419&gt;=$S$13),0,IF($J419&lt;=$S$6,SUM($Q$20:$Q419),0))</f>
        <v>0</v>
      </c>
      <c r="T419" s="884">
        <f>IF(AND($AS$39="Early Payoff",J419&gt;=$S$13),0,IF($J419&lt;=$S$6,SUM($R$20:$R419),0))</f>
        <v>0</v>
      </c>
      <c r="U419" s="885">
        <f t="shared" si="154"/>
        <v>0</v>
      </c>
      <c r="V419" s="1110">
        <f t="shared" si="158"/>
        <v>0</v>
      </c>
    </row>
    <row r="420" spans="1:50" ht="13.5" x14ac:dyDescent="0.25">
      <c r="B420" s="1192" t="e">
        <f t="shared" si="159"/>
        <v>#N/A</v>
      </c>
      <c r="C420" s="732">
        <f t="shared" si="150"/>
        <v>31</v>
      </c>
      <c r="D420" s="35">
        <f t="shared" si="151"/>
        <v>8</v>
      </c>
      <c r="E420" s="889">
        <f t="shared" si="148"/>
        <v>118948</v>
      </c>
      <c r="F420" s="822">
        <f t="shared" si="152"/>
        <v>8</v>
      </c>
      <c r="G420" s="500">
        <f t="shared" si="149"/>
        <v>153</v>
      </c>
      <c r="H420" s="126">
        <f t="shared" si="153"/>
        <v>0</v>
      </c>
      <c r="I420" s="1098">
        <f t="shared" si="162"/>
        <v>1</v>
      </c>
      <c r="J420" s="887">
        <f t="shared" si="160"/>
        <v>401</v>
      </c>
      <c r="K420" s="1099">
        <f t="shared" si="155"/>
        <v>401</v>
      </c>
      <c r="L420" s="891" t="str">
        <f t="shared" si="156"/>
        <v>August</v>
      </c>
      <c r="M420" s="888">
        <f t="shared" si="161"/>
        <v>2225</v>
      </c>
      <c r="N420" s="883">
        <f t="shared" si="157"/>
        <v>0</v>
      </c>
      <c r="O420" s="883">
        <f t="shared" si="145"/>
        <v>0</v>
      </c>
      <c r="P420" s="1100"/>
      <c r="Q420" s="883">
        <f t="shared" si="146"/>
        <v>0</v>
      </c>
      <c r="R420" s="884">
        <f t="shared" si="147"/>
        <v>0</v>
      </c>
      <c r="S420" s="884">
        <f>IF(AND($AS$39="Early Payoff",J420&gt;=$S$13),0,IF($J420&lt;=$S$6,SUM($Q$20:$Q420),0))</f>
        <v>0</v>
      </c>
      <c r="T420" s="884">
        <f>IF(AND($AS$39="Early Payoff",J420&gt;=$S$13),0,IF($J420&lt;=$S$6,SUM($R$20:$R420),0))</f>
        <v>0</v>
      </c>
      <c r="U420" s="885">
        <f t="shared" si="154"/>
        <v>0</v>
      </c>
      <c r="V420" s="1110">
        <f t="shared" si="158"/>
        <v>0</v>
      </c>
    </row>
    <row r="421" spans="1:50" ht="13.5" x14ac:dyDescent="0.25">
      <c r="B421" s="1192" t="e">
        <f t="shared" si="159"/>
        <v>#N/A</v>
      </c>
      <c r="C421" s="732">
        <f t="shared" si="150"/>
        <v>31</v>
      </c>
      <c r="D421" s="35">
        <f t="shared" si="151"/>
        <v>3</v>
      </c>
      <c r="E421" s="889">
        <f t="shared" si="148"/>
        <v>119160</v>
      </c>
      <c r="F421" s="822">
        <f t="shared" si="152"/>
        <v>3</v>
      </c>
      <c r="G421" s="500">
        <f t="shared" si="149"/>
        <v>212</v>
      </c>
      <c r="H421" s="126">
        <f t="shared" si="153"/>
        <v>0</v>
      </c>
      <c r="I421" s="1098">
        <f t="shared" si="162"/>
        <v>0</v>
      </c>
      <c r="J421" s="887">
        <f t="shared" si="160"/>
        <v>402</v>
      </c>
      <c r="K421" s="1099">
        <f t="shared" si="155"/>
        <v>402</v>
      </c>
      <c r="L421" s="891" t="str">
        <f t="shared" si="156"/>
        <v>March</v>
      </c>
      <c r="M421" s="888">
        <f t="shared" si="161"/>
        <v>2226</v>
      </c>
      <c r="N421" s="883">
        <f t="shared" si="157"/>
        <v>0</v>
      </c>
      <c r="O421" s="883">
        <f t="shared" si="145"/>
        <v>0</v>
      </c>
      <c r="P421" s="1100"/>
      <c r="Q421" s="883">
        <f t="shared" si="146"/>
        <v>0</v>
      </c>
      <c r="R421" s="884">
        <f t="shared" si="147"/>
        <v>0</v>
      </c>
      <c r="S421" s="884">
        <f>IF(AND($AS$39="Early Payoff",J421&gt;=$S$13),0,IF($J421&lt;=$S$6,SUM($Q$20:$Q421),0))</f>
        <v>0</v>
      </c>
      <c r="T421" s="884">
        <f>IF(AND($AS$39="Early Payoff",J421&gt;=$S$13),0,IF($J421&lt;=$S$6,SUM($R$20:$R421),0))</f>
        <v>0</v>
      </c>
      <c r="U421" s="885">
        <f t="shared" si="154"/>
        <v>0</v>
      </c>
      <c r="V421" s="1110">
        <f t="shared" si="158"/>
        <v>0</v>
      </c>
    </row>
    <row r="422" spans="1:50" ht="13.5" x14ac:dyDescent="0.25">
      <c r="B422" s="1192" t="e">
        <f t="shared" si="159"/>
        <v>#N/A</v>
      </c>
      <c r="C422" s="732">
        <f t="shared" si="150"/>
        <v>31</v>
      </c>
      <c r="D422" s="35">
        <f t="shared" si="151"/>
        <v>8</v>
      </c>
      <c r="E422" s="889">
        <f t="shared" si="148"/>
        <v>119313</v>
      </c>
      <c r="F422" s="822">
        <f t="shared" si="152"/>
        <v>8</v>
      </c>
      <c r="G422" s="500">
        <f t="shared" si="149"/>
        <v>153</v>
      </c>
      <c r="H422" s="126">
        <f t="shared" si="153"/>
        <v>0</v>
      </c>
      <c r="I422" s="1098">
        <f t="shared" si="162"/>
        <v>1</v>
      </c>
      <c r="J422" s="887">
        <f t="shared" si="160"/>
        <v>403</v>
      </c>
      <c r="K422" s="1099">
        <f t="shared" si="155"/>
        <v>403</v>
      </c>
      <c r="L422" s="891" t="str">
        <f t="shared" si="156"/>
        <v>August</v>
      </c>
      <c r="M422" s="888">
        <f t="shared" si="161"/>
        <v>2226</v>
      </c>
      <c r="N422" s="883">
        <f t="shared" si="157"/>
        <v>0</v>
      </c>
      <c r="O422" s="883">
        <f t="shared" si="145"/>
        <v>0</v>
      </c>
      <c r="P422" s="1100"/>
      <c r="Q422" s="883">
        <f t="shared" si="146"/>
        <v>0</v>
      </c>
      <c r="R422" s="884">
        <f t="shared" si="147"/>
        <v>0</v>
      </c>
      <c r="S422" s="884">
        <f>IF(AND($AS$39="Early Payoff",J422&gt;=$S$13),0,IF($J422&lt;=$S$6,SUM($Q$20:$Q422),0))</f>
        <v>0</v>
      </c>
      <c r="T422" s="884">
        <f>IF(AND($AS$39="Early Payoff",J422&gt;=$S$13),0,IF($J422&lt;=$S$6,SUM($R$20:$R422),0))</f>
        <v>0</v>
      </c>
      <c r="U422" s="885">
        <f t="shared" si="154"/>
        <v>0</v>
      </c>
      <c r="V422" s="1110">
        <f t="shared" si="158"/>
        <v>0</v>
      </c>
    </row>
    <row r="423" spans="1:50" ht="13.5" x14ac:dyDescent="0.25">
      <c r="B423" s="1192" t="e">
        <f t="shared" si="159"/>
        <v>#N/A</v>
      </c>
      <c r="C423" s="732">
        <f t="shared" si="150"/>
        <v>31</v>
      </c>
      <c r="D423" s="35">
        <f t="shared" si="151"/>
        <v>3</v>
      </c>
      <c r="E423" s="889">
        <f t="shared" si="148"/>
        <v>119525</v>
      </c>
      <c r="F423" s="822">
        <f t="shared" si="152"/>
        <v>3</v>
      </c>
      <c r="G423" s="500">
        <f t="shared" si="149"/>
        <v>212</v>
      </c>
      <c r="H423" s="126">
        <f t="shared" si="153"/>
        <v>0</v>
      </c>
      <c r="I423" s="1098">
        <f t="shared" si="162"/>
        <v>0</v>
      </c>
      <c r="J423" s="887">
        <f t="shared" si="160"/>
        <v>404</v>
      </c>
      <c r="K423" s="1099">
        <f t="shared" si="155"/>
        <v>404</v>
      </c>
      <c r="L423" s="891" t="str">
        <f t="shared" si="156"/>
        <v>March</v>
      </c>
      <c r="M423" s="888">
        <f t="shared" si="161"/>
        <v>2227</v>
      </c>
      <c r="N423" s="883">
        <f t="shared" si="157"/>
        <v>0</v>
      </c>
      <c r="O423" s="883">
        <f t="shared" si="145"/>
        <v>0</v>
      </c>
      <c r="P423" s="1100"/>
      <c r="Q423" s="883">
        <f t="shared" si="146"/>
        <v>0</v>
      </c>
      <c r="R423" s="884">
        <f t="shared" si="147"/>
        <v>0</v>
      </c>
      <c r="S423" s="884">
        <f>IF(AND($AS$39="Early Payoff",J423&gt;=$S$13),0,IF($J423&lt;=$S$6,SUM($Q$20:$Q423),0))</f>
        <v>0</v>
      </c>
      <c r="T423" s="884">
        <f>IF(AND($AS$39="Early Payoff",J423&gt;=$S$13),0,IF($J423&lt;=$S$6,SUM($R$20:$R423),0))</f>
        <v>0</v>
      </c>
      <c r="U423" s="885">
        <f t="shared" si="154"/>
        <v>0</v>
      </c>
      <c r="V423" s="1110">
        <f t="shared" si="158"/>
        <v>0</v>
      </c>
    </row>
    <row r="424" spans="1:50" ht="13.5" x14ac:dyDescent="0.25">
      <c r="B424" s="1192" t="e">
        <f t="shared" si="159"/>
        <v>#N/A</v>
      </c>
      <c r="C424" s="732">
        <f t="shared" si="150"/>
        <v>31</v>
      </c>
      <c r="D424" s="35">
        <f t="shared" si="151"/>
        <v>8</v>
      </c>
      <c r="E424" s="889">
        <f t="shared" si="148"/>
        <v>119678</v>
      </c>
      <c r="F424" s="822">
        <f t="shared" si="152"/>
        <v>8</v>
      </c>
      <c r="G424" s="500">
        <f t="shared" si="149"/>
        <v>153</v>
      </c>
      <c r="H424" s="126">
        <f t="shared" si="153"/>
        <v>0</v>
      </c>
      <c r="I424" s="1098">
        <f t="shared" si="162"/>
        <v>1</v>
      </c>
      <c r="J424" s="887">
        <f t="shared" si="160"/>
        <v>405</v>
      </c>
      <c r="K424" s="1099">
        <f t="shared" si="155"/>
        <v>405</v>
      </c>
      <c r="L424" s="891" t="str">
        <f t="shared" si="156"/>
        <v>August</v>
      </c>
      <c r="M424" s="888">
        <f t="shared" si="161"/>
        <v>2227</v>
      </c>
      <c r="N424" s="883">
        <f t="shared" si="157"/>
        <v>0</v>
      </c>
      <c r="O424" s="883">
        <f t="shared" si="145"/>
        <v>0</v>
      </c>
      <c r="P424" s="1100"/>
      <c r="Q424" s="883">
        <f t="shared" si="146"/>
        <v>0</v>
      </c>
      <c r="R424" s="884">
        <f t="shared" si="147"/>
        <v>0</v>
      </c>
      <c r="S424" s="884">
        <f>IF(AND($AS$39="Early Payoff",J424&gt;=$S$13),0,IF($J424&lt;=$S$6,SUM($Q$20:$Q424),0))</f>
        <v>0</v>
      </c>
      <c r="T424" s="884">
        <f>IF(AND($AS$39="Early Payoff",J424&gt;=$S$13),0,IF($J424&lt;=$S$6,SUM($R$20:$R424),0))</f>
        <v>0</v>
      </c>
      <c r="U424" s="885">
        <f t="shared" si="154"/>
        <v>0</v>
      </c>
      <c r="V424" s="1110">
        <f t="shared" si="158"/>
        <v>0</v>
      </c>
    </row>
    <row r="425" spans="1:50" ht="13.5" x14ac:dyDescent="0.25">
      <c r="B425" s="1192" t="e">
        <f t="shared" si="159"/>
        <v>#N/A</v>
      </c>
      <c r="C425" s="732">
        <f t="shared" si="150"/>
        <v>31</v>
      </c>
      <c r="D425" s="35">
        <f t="shared" si="151"/>
        <v>3</v>
      </c>
      <c r="E425" s="889">
        <f t="shared" si="148"/>
        <v>119891</v>
      </c>
      <c r="F425" s="822">
        <f t="shared" si="152"/>
        <v>3</v>
      </c>
      <c r="G425" s="500">
        <f t="shared" si="149"/>
        <v>213</v>
      </c>
      <c r="H425" s="126">
        <f t="shared" si="153"/>
        <v>0</v>
      </c>
      <c r="I425" s="1098">
        <f t="shared" si="162"/>
        <v>0</v>
      </c>
      <c r="J425" s="887">
        <f t="shared" si="160"/>
        <v>406</v>
      </c>
      <c r="K425" s="1099">
        <f t="shared" si="155"/>
        <v>406</v>
      </c>
      <c r="L425" s="891" t="str">
        <f t="shared" si="156"/>
        <v>March</v>
      </c>
      <c r="M425" s="888">
        <f t="shared" si="161"/>
        <v>2228</v>
      </c>
      <c r="N425" s="883">
        <f t="shared" si="157"/>
        <v>0</v>
      </c>
      <c r="O425" s="883">
        <f t="shared" si="145"/>
        <v>0</v>
      </c>
      <c r="P425" s="1100"/>
      <c r="Q425" s="883">
        <f t="shared" si="146"/>
        <v>0</v>
      </c>
      <c r="R425" s="884">
        <f t="shared" si="147"/>
        <v>0</v>
      </c>
      <c r="S425" s="884">
        <f>IF(AND($AS$39="Early Payoff",J425&gt;=$S$13),0,IF($J425&lt;=$S$6,SUM($Q$20:$Q425),0))</f>
        <v>0</v>
      </c>
      <c r="T425" s="884">
        <f>IF(AND($AS$39="Early Payoff",J425&gt;=$S$13),0,IF($J425&lt;=$S$6,SUM($R$20:$R425),0))</f>
        <v>0</v>
      </c>
      <c r="U425" s="885">
        <f t="shared" si="154"/>
        <v>0</v>
      </c>
      <c r="V425" s="1110">
        <f t="shared" si="158"/>
        <v>0</v>
      </c>
    </row>
    <row r="426" spans="1:50" ht="13.5" x14ac:dyDescent="0.25">
      <c r="B426" s="1192" t="e">
        <f t="shared" si="159"/>
        <v>#N/A</v>
      </c>
      <c r="C426" s="732">
        <f t="shared" si="150"/>
        <v>31</v>
      </c>
      <c r="D426" s="35">
        <f t="shared" si="151"/>
        <v>8</v>
      </c>
      <c r="E426" s="889">
        <f t="shared" si="148"/>
        <v>120044</v>
      </c>
      <c r="F426" s="822">
        <f t="shared" si="152"/>
        <v>8</v>
      </c>
      <c r="G426" s="500">
        <f t="shared" si="149"/>
        <v>153</v>
      </c>
      <c r="H426" s="126">
        <f t="shared" si="153"/>
        <v>0</v>
      </c>
      <c r="I426" s="1098">
        <f t="shared" si="162"/>
        <v>1</v>
      </c>
      <c r="J426" s="887">
        <f t="shared" si="160"/>
        <v>407</v>
      </c>
      <c r="K426" s="1099">
        <f t="shared" si="155"/>
        <v>407</v>
      </c>
      <c r="L426" s="891" t="str">
        <f t="shared" si="156"/>
        <v>August</v>
      </c>
      <c r="M426" s="888">
        <f t="shared" si="161"/>
        <v>2228</v>
      </c>
      <c r="N426" s="883">
        <f t="shared" si="157"/>
        <v>0</v>
      </c>
      <c r="O426" s="883">
        <f t="shared" si="145"/>
        <v>0</v>
      </c>
      <c r="P426" s="1100"/>
      <c r="Q426" s="883">
        <f t="shared" si="146"/>
        <v>0</v>
      </c>
      <c r="R426" s="884">
        <f t="shared" si="147"/>
        <v>0</v>
      </c>
      <c r="S426" s="884">
        <f>IF(AND($AS$39="Early Payoff",J426&gt;=$S$13),0,IF($J426&lt;=$S$6,SUM($Q$20:$Q426),0))</f>
        <v>0</v>
      </c>
      <c r="T426" s="884">
        <f>IF(AND($AS$39="Early Payoff",J426&gt;=$S$13),0,IF($J426&lt;=$S$6,SUM($R$20:$R426),0))</f>
        <v>0</v>
      </c>
      <c r="U426" s="885">
        <f t="shared" si="154"/>
        <v>0</v>
      </c>
      <c r="V426" s="1110">
        <f t="shared" si="158"/>
        <v>0</v>
      </c>
    </row>
    <row r="427" spans="1:50" ht="13.5" x14ac:dyDescent="0.25">
      <c r="B427" s="1192" t="e">
        <f t="shared" si="159"/>
        <v>#N/A</v>
      </c>
      <c r="C427" s="732">
        <f t="shared" si="150"/>
        <v>31</v>
      </c>
      <c r="D427" s="35">
        <f t="shared" si="151"/>
        <v>3</v>
      </c>
      <c r="E427" s="889">
        <f t="shared" si="148"/>
        <v>120256</v>
      </c>
      <c r="F427" s="822">
        <f t="shared" si="152"/>
        <v>3</v>
      </c>
      <c r="G427" s="500">
        <f t="shared" si="149"/>
        <v>212</v>
      </c>
      <c r="H427" s="126">
        <f t="shared" si="153"/>
        <v>0</v>
      </c>
      <c r="I427" s="1098">
        <f t="shared" si="162"/>
        <v>0</v>
      </c>
      <c r="J427" s="887">
        <f t="shared" si="160"/>
        <v>408</v>
      </c>
      <c r="K427" s="1099">
        <f t="shared" si="155"/>
        <v>408</v>
      </c>
      <c r="L427" s="891" t="str">
        <f t="shared" si="156"/>
        <v>March</v>
      </c>
      <c r="M427" s="888">
        <f t="shared" si="161"/>
        <v>2229</v>
      </c>
      <c r="N427" s="883">
        <f t="shared" si="157"/>
        <v>0</v>
      </c>
      <c r="O427" s="883">
        <f t="shared" si="145"/>
        <v>0</v>
      </c>
      <c r="P427" s="1100"/>
      <c r="Q427" s="883">
        <f t="shared" si="146"/>
        <v>0</v>
      </c>
      <c r="R427" s="884">
        <f t="shared" si="147"/>
        <v>0</v>
      </c>
      <c r="S427" s="884">
        <f>IF(AND($AS$39="Early Payoff",J427&gt;=$S$13),0,IF($J427&lt;=$S$6,SUM($Q$20:$Q427),0))</f>
        <v>0</v>
      </c>
      <c r="T427" s="884">
        <f>IF(AND($AS$39="Early Payoff",J427&gt;=$S$13),0,IF($J427&lt;=$S$6,SUM($R$20:$R427),0))</f>
        <v>0</v>
      </c>
      <c r="U427" s="885">
        <f t="shared" si="154"/>
        <v>0</v>
      </c>
      <c r="V427" s="1110">
        <f t="shared" si="158"/>
        <v>0</v>
      </c>
    </row>
    <row r="428" spans="1:50" ht="13.5" x14ac:dyDescent="0.25">
      <c r="B428" s="1192" t="e">
        <f t="shared" si="159"/>
        <v>#N/A</v>
      </c>
      <c r="C428" s="732">
        <f t="shared" si="150"/>
        <v>31</v>
      </c>
      <c r="D428" s="35">
        <f t="shared" si="151"/>
        <v>8</v>
      </c>
      <c r="E428" s="889">
        <f t="shared" si="148"/>
        <v>120409</v>
      </c>
      <c r="F428" s="822">
        <f t="shared" si="152"/>
        <v>8</v>
      </c>
      <c r="G428" s="500">
        <f t="shared" si="149"/>
        <v>153</v>
      </c>
      <c r="H428" s="126">
        <f t="shared" si="153"/>
        <v>0</v>
      </c>
      <c r="I428" s="1098">
        <f t="shared" si="162"/>
        <v>1</v>
      </c>
      <c r="J428" s="887">
        <f t="shared" si="160"/>
        <v>409</v>
      </c>
      <c r="K428" s="1099">
        <f t="shared" si="155"/>
        <v>409</v>
      </c>
      <c r="L428" s="891" t="str">
        <f t="shared" si="156"/>
        <v>August</v>
      </c>
      <c r="M428" s="888">
        <f t="shared" si="161"/>
        <v>2229</v>
      </c>
      <c r="N428" s="883">
        <f t="shared" si="157"/>
        <v>0</v>
      </c>
      <c r="O428" s="883">
        <f t="shared" si="145"/>
        <v>0</v>
      </c>
      <c r="P428" s="1100"/>
      <c r="Q428" s="883">
        <f t="shared" si="146"/>
        <v>0</v>
      </c>
      <c r="R428" s="884">
        <f t="shared" si="147"/>
        <v>0</v>
      </c>
      <c r="S428" s="884">
        <f>IF(AND($AS$39="Early Payoff",J428&gt;=$S$13),0,IF($J428&lt;=$S$6,SUM($Q$20:$Q428),0))</f>
        <v>0</v>
      </c>
      <c r="T428" s="884">
        <f>IF(AND($AS$39="Early Payoff",J428&gt;=$S$13),0,IF($J428&lt;=$S$6,SUM($R$20:$R428),0))</f>
        <v>0</v>
      </c>
      <c r="U428" s="885">
        <f t="shared" si="154"/>
        <v>0</v>
      </c>
      <c r="V428" s="1110">
        <f t="shared" si="158"/>
        <v>0</v>
      </c>
    </row>
    <row r="429" spans="1:50" ht="13.5" x14ac:dyDescent="0.25">
      <c r="B429" s="1192" t="e">
        <f t="shared" si="159"/>
        <v>#N/A</v>
      </c>
      <c r="C429" s="732">
        <f t="shared" si="150"/>
        <v>31</v>
      </c>
      <c r="D429" s="35">
        <f t="shared" si="151"/>
        <v>3</v>
      </c>
      <c r="E429" s="889">
        <f t="shared" si="148"/>
        <v>120621</v>
      </c>
      <c r="F429" s="822">
        <f t="shared" si="152"/>
        <v>3</v>
      </c>
      <c r="G429" s="500">
        <f t="shared" si="149"/>
        <v>212</v>
      </c>
      <c r="H429" s="126">
        <f t="shared" si="153"/>
        <v>0</v>
      </c>
      <c r="I429" s="1098">
        <f t="shared" si="162"/>
        <v>0</v>
      </c>
      <c r="J429" s="887">
        <f t="shared" si="160"/>
        <v>410</v>
      </c>
      <c r="K429" s="1099">
        <f t="shared" si="155"/>
        <v>410</v>
      </c>
      <c r="L429" s="891" t="str">
        <f t="shared" si="156"/>
        <v>March</v>
      </c>
      <c r="M429" s="888">
        <f t="shared" si="161"/>
        <v>2230</v>
      </c>
      <c r="N429" s="883">
        <f t="shared" si="157"/>
        <v>0</v>
      </c>
      <c r="O429" s="883">
        <f t="shared" si="145"/>
        <v>0</v>
      </c>
      <c r="P429" s="1100"/>
      <c r="Q429" s="883">
        <f t="shared" si="146"/>
        <v>0</v>
      </c>
      <c r="R429" s="884">
        <f t="shared" si="147"/>
        <v>0</v>
      </c>
      <c r="S429" s="884">
        <f>IF(AND($AS$39="Early Payoff",J429&gt;=$S$13),0,IF($J429&lt;=$S$6,SUM($Q$20:$Q429),0))</f>
        <v>0</v>
      </c>
      <c r="T429" s="884">
        <f>IF(AND($AS$39="Early Payoff",J429&gt;=$S$13),0,IF($J429&lt;=$S$6,SUM($R$20:$R429),0))</f>
        <v>0</v>
      </c>
      <c r="U429" s="885">
        <f t="shared" si="154"/>
        <v>0</v>
      </c>
      <c r="V429" s="1110">
        <f t="shared" si="158"/>
        <v>0</v>
      </c>
    </row>
    <row r="430" spans="1:50" ht="13.5" x14ac:dyDescent="0.25">
      <c r="B430" s="1192" t="e">
        <f t="shared" si="159"/>
        <v>#N/A</v>
      </c>
      <c r="C430" s="732">
        <f t="shared" si="150"/>
        <v>31</v>
      </c>
      <c r="D430" s="35">
        <f t="shared" si="151"/>
        <v>8</v>
      </c>
      <c r="E430" s="889">
        <f t="shared" si="148"/>
        <v>120774</v>
      </c>
      <c r="F430" s="822">
        <f t="shared" si="152"/>
        <v>8</v>
      </c>
      <c r="G430" s="500">
        <f t="shared" si="149"/>
        <v>153</v>
      </c>
      <c r="H430" s="126">
        <f t="shared" si="153"/>
        <v>0</v>
      </c>
      <c r="I430" s="1098">
        <f t="shared" si="162"/>
        <v>1</v>
      </c>
      <c r="J430" s="887">
        <f t="shared" si="160"/>
        <v>411</v>
      </c>
      <c r="K430" s="1099">
        <f t="shared" si="155"/>
        <v>411</v>
      </c>
      <c r="L430" s="891" t="str">
        <f t="shared" si="156"/>
        <v>August</v>
      </c>
      <c r="M430" s="888">
        <f t="shared" si="161"/>
        <v>2230</v>
      </c>
      <c r="N430" s="883">
        <f t="shared" si="157"/>
        <v>0</v>
      </c>
      <c r="O430" s="883">
        <f t="shared" si="145"/>
        <v>0</v>
      </c>
      <c r="P430" s="1100"/>
      <c r="Q430" s="883">
        <f t="shared" si="146"/>
        <v>0</v>
      </c>
      <c r="R430" s="884">
        <f t="shared" si="147"/>
        <v>0</v>
      </c>
      <c r="S430" s="884">
        <f>IF(AND($AS$39="Early Payoff",J430&gt;=$S$13),0,IF($J430&lt;=$S$6,SUM($Q$20:$Q430),0))</f>
        <v>0</v>
      </c>
      <c r="T430" s="884">
        <f>IF(AND($AS$39="Early Payoff",J430&gt;=$S$13),0,IF($J430&lt;=$S$6,SUM($R$20:$R430),0))</f>
        <v>0</v>
      </c>
      <c r="U430" s="885">
        <f t="shared" si="154"/>
        <v>0</v>
      </c>
      <c r="V430" s="1110">
        <f t="shared" si="158"/>
        <v>0</v>
      </c>
    </row>
    <row r="431" spans="1:50" ht="13.5" x14ac:dyDescent="0.25">
      <c r="B431" s="1192" t="e">
        <f t="shared" si="159"/>
        <v>#N/A</v>
      </c>
      <c r="C431" s="732">
        <f t="shared" si="150"/>
        <v>31</v>
      </c>
      <c r="D431" s="35">
        <f t="shared" si="151"/>
        <v>3</v>
      </c>
      <c r="E431" s="889">
        <f t="shared" si="148"/>
        <v>120986</v>
      </c>
      <c r="F431" s="822">
        <f t="shared" si="152"/>
        <v>3</v>
      </c>
      <c r="G431" s="500">
        <f t="shared" si="149"/>
        <v>212</v>
      </c>
      <c r="H431" s="126">
        <f t="shared" si="153"/>
        <v>0</v>
      </c>
      <c r="I431" s="1098">
        <f t="shared" si="162"/>
        <v>0</v>
      </c>
      <c r="J431" s="887">
        <f t="shared" si="160"/>
        <v>412</v>
      </c>
      <c r="K431" s="1099">
        <f t="shared" si="155"/>
        <v>412</v>
      </c>
      <c r="L431" s="891" t="str">
        <f t="shared" si="156"/>
        <v>March</v>
      </c>
      <c r="M431" s="888">
        <f t="shared" si="161"/>
        <v>2231</v>
      </c>
      <c r="N431" s="883">
        <f t="shared" si="157"/>
        <v>0</v>
      </c>
      <c r="O431" s="883">
        <f t="shared" si="145"/>
        <v>0</v>
      </c>
      <c r="P431" s="1100"/>
      <c r="Q431" s="883">
        <f t="shared" si="146"/>
        <v>0</v>
      </c>
      <c r="R431" s="884">
        <f t="shared" si="147"/>
        <v>0</v>
      </c>
      <c r="S431" s="884">
        <f>IF(AND($AS$39="Early Payoff",J431&gt;=$S$13),0,IF($J431&lt;=$S$6,SUM($Q$20:$Q431),0))</f>
        <v>0</v>
      </c>
      <c r="T431" s="884">
        <f>IF(AND($AS$39="Early Payoff",J431&gt;=$S$13),0,IF($J431&lt;=$S$6,SUM($R$20:$R431),0))</f>
        <v>0</v>
      </c>
      <c r="U431" s="885">
        <f t="shared" si="154"/>
        <v>0</v>
      </c>
      <c r="V431" s="1110">
        <f t="shared" si="158"/>
        <v>0</v>
      </c>
    </row>
    <row r="432" spans="1:50" ht="13.5" x14ac:dyDescent="0.25">
      <c r="B432" s="1192" t="e">
        <f t="shared" si="159"/>
        <v>#N/A</v>
      </c>
      <c r="C432" s="732">
        <f t="shared" si="150"/>
        <v>31</v>
      </c>
      <c r="D432" s="35">
        <f t="shared" si="151"/>
        <v>8</v>
      </c>
      <c r="E432" s="889">
        <f t="shared" si="148"/>
        <v>121139</v>
      </c>
      <c r="F432" s="822">
        <f t="shared" si="152"/>
        <v>8</v>
      </c>
      <c r="G432" s="500">
        <f t="shared" si="149"/>
        <v>153</v>
      </c>
      <c r="H432" s="126">
        <f t="shared" si="153"/>
        <v>0</v>
      </c>
      <c r="I432" s="1098">
        <f t="shared" si="162"/>
        <v>1</v>
      </c>
      <c r="J432" s="887">
        <f t="shared" si="160"/>
        <v>413</v>
      </c>
      <c r="K432" s="1099">
        <f t="shared" si="155"/>
        <v>413</v>
      </c>
      <c r="L432" s="891" t="str">
        <f t="shared" si="156"/>
        <v>August</v>
      </c>
      <c r="M432" s="888">
        <f t="shared" si="161"/>
        <v>2231</v>
      </c>
      <c r="N432" s="883">
        <f t="shared" si="157"/>
        <v>0</v>
      </c>
      <c r="O432" s="883">
        <f t="shared" si="145"/>
        <v>0</v>
      </c>
      <c r="P432" s="1100"/>
      <c r="Q432" s="883">
        <f t="shared" si="146"/>
        <v>0</v>
      </c>
      <c r="R432" s="884">
        <f t="shared" si="147"/>
        <v>0</v>
      </c>
      <c r="S432" s="884">
        <f>IF(AND($AS$39="Early Payoff",J432&gt;=$S$13),0,IF($J432&lt;=$S$6,SUM($Q$20:$Q432),0))</f>
        <v>0</v>
      </c>
      <c r="T432" s="884">
        <f>IF(AND($AS$39="Early Payoff",J432&gt;=$S$13),0,IF($J432&lt;=$S$6,SUM($R$20:$R432),0))</f>
        <v>0</v>
      </c>
      <c r="U432" s="885">
        <f t="shared" si="154"/>
        <v>0</v>
      </c>
      <c r="V432" s="1110">
        <f t="shared" si="158"/>
        <v>0</v>
      </c>
    </row>
    <row r="433" spans="2:22" ht="13.5" x14ac:dyDescent="0.25">
      <c r="B433" s="1192" t="e">
        <f t="shared" si="159"/>
        <v>#N/A</v>
      </c>
      <c r="C433" s="732">
        <f t="shared" si="150"/>
        <v>31</v>
      </c>
      <c r="D433" s="35">
        <f t="shared" si="151"/>
        <v>3</v>
      </c>
      <c r="E433" s="889">
        <f t="shared" si="148"/>
        <v>121352</v>
      </c>
      <c r="F433" s="822">
        <f t="shared" si="152"/>
        <v>3</v>
      </c>
      <c r="G433" s="500">
        <f t="shared" si="149"/>
        <v>213</v>
      </c>
      <c r="H433" s="126">
        <f t="shared" si="153"/>
        <v>0</v>
      </c>
      <c r="I433" s="1098">
        <f t="shared" si="162"/>
        <v>0</v>
      </c>
      <c r="J433" s="887">
        <f t="shared" si="160"/>
        <v>414</v>
      </c>
      <c r="K433" s="1099">
        <f t="shared" si="155"/>
        <v>414</v>
      </c>
      <c r="L433" s="891" t="str">
        <f t="shared" si="156"/>
        <v>March</v>
      </c>
      <c r="M433" s="888">
        <f t="shared" si="161"/>
        <v>2232</v>
      </c>
      <c r="N433" s="883">
        <f t="shared" si="157"/>
        <v>0</v>
      </c>
      <c r="O433" s="883">
        <f t="shared" si="145"/>
        <v>0</v>
      </c>
      <c r="P433" s="1100"/>
      <c r="Q433" s="883">
        <f t="shared" si="146"/>
        <v>0</v>
      </c>
      <c r="R433" s="884">
        <f t="shared" si="147"/>
        <v>0</v>
      </c>
      <c r="S433" s="884">
        <f>IF(AND($AS$39="Early Payoff",J433&gt;=$S$13),0,IF($J433&lt;=$S$6,SUM($Q$20:$Q433),0))</f>
        <v>0</v>
      </c>
      <c r="T433" s="884">
        <f>IF(AND($AS$39="Early Payoff",J433&gt;=$S$13),0,IF($J433&lt;=$S$6,SUM($R$20:$R433),0))</f>
        <v>0</v>
      </c>
      <c r="U433" s="885">
        <f t="shared" si="154"/>
        <v>0</v>
      </c>
      <c r="V433" s="1110">
        <f t="shared" si="158"/>
        <v>0</v>
      </c>
    </row>
    <row r="434" spans="2:22" ht="13.5" x14ac:dyDescent="0.25">
      <c r="B434" s="1192" t="e">
        <f t="shared" si="159"/>
        <v>#N/A</v>
      </c>
      <c r="C434" s="732">
        <f t="shared" si="150"/>
        <v>31</v>
      </c>
      <c r="D434" s="35">
        <f t="shared" si="151"/>
        <v>8</v>
      </c>
      <c r="E434" s="889">
        <f t="shared" si="148"/>
        <v>121505</v>
      </c>
      <c r="F434" s="822">
        <f t="shared" si="152"/>
        <v>8</v>
      </c>
      <c r="G434" s="500">
        <f t="shared" si="149"/>
        <v>153</v>
      </c>
      <c r="H434" s="126">
        <f t="shared" si="153"/>
        <v>0</v>
      </c>
      <c r="I434" s="1098">
        <f t="shared" si="162"/>
        <v>1</v>
      </c>
      <c r="J434" s="887">
        <f t="shared" si="160"/>
        <v>415</v>
      </c>
      <c r="K434" s="1099">
        <f t="shared" si="155"/>
        <v>415</v>
      </c>
      <c r="L434" s="891" t="str">
        <f t="shared" si="156"/>
        <v>August</v>
      </c>
      <c r="M434" s="888">
        <f t="shared" si="161"/>
        <v>2232</v>
      </c>
      <c r="N434" s="883">
        <f t="shared" si="157"/>
        <v>0</v>
      </c>
      <c r="O434" s="883">
        <f t="shared" si="145"/>
        <v>0</v>
      </c>
      <c r="P434" s="1100"/>
      <c r="Q434" s="883">
        <f t="shared" si="146"/>
        <v>0</v>
      </c>
      <c r="R434" s="884">
        <f t="shared" si="147"/>
        <v>0</v>
      </c>
      <c r="S434" s="884">
        <f>IF(AND($AS$39="Early Payoff",J434&gt;=$S$13),0,IF($J434&lt;=$S$6,SUM($Q$20:$Q434),0))</f>
        <v>0</v>
      </c>
      <c r="T434" s="884">
        <f>IF(AND($AS$39="Early Payoff",J434&gt;=$S$13),0,IF($J434&lt;=$S$6,SUM($R$20:$R434),0))</f>
        <v>0</v>
      </c>
      <c r="U434" s="885">
        <f t="shared" si="154"/>
        <v>0</v>
      </c>
      <c r="V434" s="1110">
        <f t="shared" si="158"/>
        <v>0</v>
      </c>
    </row>
    <row r="435" spans="2:22" ht="13.5" x14ac:dyDescent="0.25">
      <c r="B435" s="1192" t="e">
        <f t="shared" si="159"/>
        <v>#N/A</v>
      </c>
      <c r="C435" s="732">
        <f t="shared" si="150"/>
        <v>31</v>
      </c>
      <c r="D435" s="35">
        <f t="shared" si="151"/>
        <v>3</v>
      </c>
      <c r="E435" s="889">
        <f t="shared" si="148"/>
        <v>121717</v>
      </c>
      <c r="F435" s="822">
        <f t="shared" si="152"/>
        <v>3</v>
      </c>
      <c r="G435" s="500">
        <f t="shared" si="149"/>
        <v>212</v>
      </c>
      <c r="H435" s="126">
        <f t="shared" si="153"/>
        <v>0</v>
      </c>
      <c r="I435" s="1098">
        <f t="shared" si="162"/>
        <v>0</v>
      </c>
      <c r="J435" s="887">
        <f t="shared" si="160"/>
        <v>416</v>
      </c>
      <c r="K435" s="1099">
        <f t="shared" si="155"/>
        <v>416</v>
      </c>
      <c r="L435" s="891" t="str">
        <f t="shared" si="156"/>
        <v>March</v>
      </c>
      <c r="M435" s="888">
        <f t="shared" si="161"/>
        <v>2233</v>
      </c>
      <c r="N435" s="883">
        <f t="shared" si="157"/>
        <v>0</v>
      </c>
      <c r="O435" s="883">
        <f t="shared" si="145"/>
        <v>0</v>
      </c>
      <c r="P435" s="1100"/>
      <c r="Q435" s="883">
        <f t="shared" si="146"/>
        <v>0</v>
      </c>
      <c r="R435" s="884">
        <f t="shared" si="147"/>
        <v>0</v>
      </c>
      <c r="S435" s="884">
        <f>IF(AND($AS$39="Early Payoff",J435&gt;=$S$13),0,IF($J435&lt;=$S$6,SUM($Q$20:$Q435),0))</f>
        <v>0</v>
      </c>
      <c r="T435" s="884">
        <f>IF(AND($AS$39="Early Payoff",J435&gt;=$S$13),0,IF($J435&lt;=$S$6,SUM($R$20:$R435),0))</f>
        <v>0</v>
      </c>
      <c r="U435" s="885">
        <f t="shared" si="154"/>
        <v>0</v>
      </c>
      <c r="V435" s="1110">
        <f t="shared" si="158"/>
        <v>0</v>
      </c>
    </row>
    <row r="436" spans="2:22" ht="13.5" x14ac:dyDescent="0.25">
      <c r="B436" s="1192" t="e">
        <f t="shared" si="159"/>
        <v>#N/A</v>
      </c>
      <c r="C436" s="732">
        <f t="shared" si="150"/>
        <v>31</v>
      </c>
      <c r="D436" s="35">
        <f t="shared" si="151"/>
        <v>8</v>
      </c>
      <c r="E436" s="889">
        <f t="shared" si="148"/>
        <v>121870</v>
      </c>
      <c r="F436" s="822">
        <f t="shared" si="152"/>
        <v>8</v>
      </c>
      <c r="G436" s="500">
        <f t="shared" si="149"/>
        <v>153</v>
      </c>
      <c r="H436" s="126">
        <f t="shared" si="153"/>
        <v>0</v>
      </c>
      <c r="I436" s="1098">
        <f t="shared" si="162"/>
        <v>1</v>
      </c>
      <c r="J436" s="887">
        <f t="shared" si="160"/>
        <v>417</v>
      </c>
      <c r="K436" s="1099">
        <f t="shared" si="155"/>
        <v>417</v>
      </c>
      <c r="L436" s="891" t="str">
        <f t="shared" si="156"/>
        <v>August</v>
      </c>
      <c r="M436" s="888">
        <f t="shared" si="161"/>
        <v>2233</v>
      </c>
      <c r="N436" s="883">
        <f t="shared" si="157"/>
        <v>0</v>
      </c>
      <c r="O436" s="883">
        <f t="shared" si="145"/>
        <v>0</v>
      </c>
      <c r="P436" s="1100"/>
      <c r="Q436" s="883">
        <f t="shared" si="146"/>
        <v>0</v>
      </c>
      <c r="R436" s="884">
        <f t="shared" si="147"/>
        <v>0</v>
      </c>
      <c r="S436" s="884">
        <f>IF(AND($AS$39="Early Payoff",J436&gt;=$S$13),0,IF($J436&lt;=$S$6,SUM($Q$20:$Q436),0))</f>
        <v>0</v>
      </c>
      <c r="T436" s="884">
        <f>IF(AND($AS$39="Early Payoff",J436&gt;=$S$13),0,IF($J436&lt;=$S$6,SUM($R$20:$R436),0))</f>
        <v>0</v>
      </c>
      <c r="U436" s="885">
        <f t="shared" si="154"/>
        <v>0</v>
      </c>
      <c r="V436" s="1110">
        <f t="shared" si="158"/>
        <v>0</v>
      </c>
    </row>
    <row r="437" spans="2:22" ht="13.5" x14ac:dyDescent="0.25">
      <c r="B437" s="1192" t="e">
        <f t="shared" si="159"/>
        <v>#N/A</v>
      </c>
      <c r="C437" s="732">
        <f t="shared" si="150"/>
        <v>31</v>
      </c>
      <c r="D437" s="35">
        <f t="shared" si="151"/>
        <v>3</v>
      </c>
      <c r="E437" s="889">
        <f t="shared" si="148"/>
        <v>122082</v>
      </c>
      <c r="F437" s="822">
        <f t="shared" si="152"/>
        <v>3</v>
      </c>
      <c r="G437" s="500">
        <f t="shared" si="149"/>
        <v>212</v>
      </c>
      <c r="H437" s="126">
        <f t="shared" si="153"/>
        <v>0</v>
      </c>
      <c r="I437" s="1098">
        <f t="shared" si="162"/>
        <v>0</v>
      </c>
      <c r="J437" s="887">
        <f t="shared" si="160"/>
        <v>418</v>
      </c>
      <c r="K437" s="1099">
        <f t="shared" si="155"/>
        <v>418</v>
      </c>
      <c r="L437" s="891" t="str">
        <f t="shared" si="156"/>
        <v>March</v>
      </c>
      <c r="M437" s="888">
        <f t="shared" si="161"/>
        <v>2234</v>
      </c>
      <c r="N437" s="883">
        <f t="shared" si="157"/>
        <v>0</v>
      </c>
      <c r="O437" s="883">
        <f t="shared" si="145"/>
        <v>0</v>
      </c>
      <c r="P437" s="1100"/>
      <c r="Q437" s="883">
        <f t="shared" si="146"/>
        <v>0</v>
      </c>
      <c r="R437" s="884">
        <f t="shared" si="147"/>
        <v>0</v>
      </c>
      <c r="S437" s="884">
        <f>IF(AND($AS$39="Early Payoff",J437&gt;=$S$13),0,IF($J437&lt;=$S$6,SUM($Q$20:$Q437),0))</f>
        <v>0</v>
      </c>
      <c r="T437" s="884">
        <f>IF(AND($AS$39="Early Payoff",J437&gt;=$S$13),0,IF($J437&lt;=$S$6,SUM($R$20:$R437),0))</f>
        <v>0</v>
      </c>
      <c r="U437" s="885">
        <f t="shared" si="154"/>
        <v>0</v>
      </c>
      <c r="V437" s="1110">
        <f t="shared" si="158"/>
        <v>0</v>
      </c>
    </row>
    <row r="438" spans="2:22" ht="13.5" x14ac:dyDescent="0.25">
      <c r="B438" s="1192" t="e">
        <f t="shared" si="159"/>
        <v>#N/A</v>
      </c>
      <c r="C438" s="732">
        <f t="shared" si="150"/>
        <v>31</v>
      </c>
      <c r="D438" s="35">
        <f t="shared" si="151"/>
        <v>8</v>
      </c>
      <c r="E438" s="889">
        <f t="shared" si="148"/>
        <v>122235</v>
      </c>
      <c r="F438" s="822">
        <f t="shared" si="152"/>
        <v>8</v>
      </c>
      <c r="G438" s="500">
        <f t="shared" si="149"/>
        <v>153</v>
      </c>
      <c r="H438" s="126">
        <f t="shared" si="153"/>
        <v>0</v>
      </c>
      <c r="I438" s="1098">
        <f t="shared" si="162"/>
        <v>1</v>
      </c>
      <c r="J438" s="887">
        <f t="shared" si="160"/>
        <v>419</v>
      </c>
      <c r="K438" s="1099">
        <f t="shared" si="155"/>
        <v>419</v>
      </c>
      <c r="L438" s="891" t="str">
        <f t="shared" si="156"/>
        <v>August</v>
      </c>
      <c r="M438" s="888">
        <f t="shared" si="161"/>
        <v>2234</v>
      </c>
      <c r="N438" s="883">
        <f t="shared" si="157"/>
        <v>0</v>
      </c>
      <c r="O438" s="883">
        <f t="shared" si="145"/>
        <v>0</v>
      </c>
      <c r="P438" s="1100"/>
      <c r="Q438" s="883">
        <f t="shared" si="146"/>
        <v>0</v>
      </c>
      <c r="R438" s="884">
        <f t="shared" si="147"/>
        <v>0</v>
      </c>
      <c r="S438" s="884">
        <f>IF(AND($AS$39="Early Payoff",J438&gt;=$S$13),0,IF($J438&lt;=$S$6,SUM($Q$20:$Q438),0))</f>
        <v>0</v>
      </c>
      <c r="T438" s="884">
        <f>IF(AND($AS$39="Early Payoff",J438&gt;=$S$13),0,IF($J438&lt;=$S$6,SUM($R$20:$R438),0))</f>
        <v>0</v>
      </c>
      <c r="U438" s="885">
        <f t="shared" si="154"/>
        <v>0</v>
      </c>
      <c r="V438" s="1110">
        <f t="shared" si="158"/>
        <v>0</v>
      </c>
    </row>
    <row r="439" spans="2:22" ht="13.5" x14ac:dyDescent="0.25">
      <c r="B439" s="1192" t="e">
        <f t="shared" si="159"/>
        <v>#N/A</v>
      </c>
      <c r="C439" s="732">
        <f t="shared" si="150"/>
        <v>31</v>
      </c>
      <c r="D439" s="35">
        <f t="shared" si="151"/>
        <v>3</v>
      </c>
      <c r="E439" s="889">
        <f t="shared" si="148"/>
        <v>122447</v>
      </c>
      <c r="F439" s="822">
        <f t="shared" si="152"/>
        <v>3</v>
      </c>
      <c r="G439" s="500">
        <f t="shared" si="149"/>
        <v>212</v>
      </c>
      <c r="H439" s="126">
        <f t="shared" si="153"/>
        <v>0</v>
      </c>
      <c r="I439" s="1098">
        <f t="shared" si="162"/>
        <v>0</v>
      </c>
      <c r="J439" s="887">
        <f t="shared" si="160"/>
        <v>420</v>
      </c>
      <c r="K439" s="1099">
        <f t="shared" si="155"/>
        <v>420</v>
      </c>
      <c r="L439" s="891" t="str">
        <f t="shared" si="156"/>
        <v>March</v>
      </c>
      <c r="M439" s="888">
        <f t="shared" si="161"/>
        <v>2235</v>
      </c>
      <c r="N439" s="883">
        <f t="shared" si="157"/>
        <v>0</v>
      </c>
      <c r="O439" s="883">
        <f t="shared" si="145"/>
        <v>0</v>
      </c>
      <c r="P439" s="1100"/>
      <c r="Q439" s="883">
        <f t="shared" si="146"/>
        <v>0</v>
      </c>
      <c r="R439" s="884">
        <f t="shared" si="147"/>
        <v>0</v>
      </c>
      <c r="S439" s="884">
        <f>IF(AND($AS$39="Early Payoff",J439&gt;=$S$13),0,IF($J439&lt;=$S$6,SUM($Q$20:$Q439),0))</f>
        <v>0</v>
      </c>
      <c r="T439" s="884">
        <f>IF(AND($AS$39="Early Payoff",J439&gt;=$S$13),0,IF($J439&lt;=$S$6,SUM($R$20:$R439),0))</f>
        <v>0</v>
      </c>
      <c r="U439" s="885">
        <f t="shared" si="154"/>
        <v>0</v>
      </c>
      <c r="V439" s="1110">
        <f t="shared" si="158"/>
        <v>0</v>
      </c>
    </row>
    <row r="440" spans="2:22" ht="13.5" x14ac:dyDescent="0.25">
      <c r="B440" s="1192" t="e">
        <f t="shared" si="159"/>
        <v>#N/A</v>
      </c>
      <c r="C440" s="732">
        <f t="shared" si="150"/>
        <v>31</v>
      </c>
      <c r="D440" s="35">
        <f t="shared" si="151"/>
        <v>8</v>
      </c>
      <c r="E440" s="889">
        <f t="shared" si="148"/>
        <v>122600</v>
      </c>
      <c r="F440" s="822">
        <f t="shared" si="152"/>
        <v>8</v>
      </c>
      <c r="G440" s="500">
        <f t="shared" si="149"/>
        <v>153</v>
      </c>
      <c r="H440" s="126">
        <f t="shared" si="153"/>
        <v>0</v>
      </c>
      <c r="I440" s="1098">
        <f t="shared" si="162"/>
        <v>1</v>
      </c>
      <c r="J440" s="887">
        <f t="shared" si="160"/>
        <v>421</v>
      </c>
      <c r="K440" s="1099">
        <f t="shared" si="155"/>
        <v>421</v>
      </c>
      <c r="L440" s="891" t="str">
        <f t="shared" si="156"/>
        <v>August</v>
      </c>
      <c r="M440" s="888">
        <f t="shared" si="161"/>
        <v>2235</v>
      </c>
      <c r="N440" s="883">
        <f t="shared" si="157"/>
        <v>0</v>
      </c>
      <c r="O440" s="883">
        <f t="shared" si="145"/>
        <v>0</v>
      </c>
      <c r="P440" s="1100"/>
      <c r="Q440" s="883">
        <f t="shared" si="146"/>
        <v>0</v>
      </c>
      <c r="R440" s="884">
        <f t="shared" si="147"/>
        <v>0</v>
      </c>
      <c r="S440" s="884">
        <f>IF(AND($AS$39="Early Payoff",J440&gt;=$S$13),0,IF($J440&lt;=$S$6,SUM($Q$20:$Q440),0))</f>
        <v>0</v>
      </c>
      <c r="T440" s="884">
        <f>IF(AND($AS$39="Early Payoff",J440&gt;=$S$13),0,IF($J440&lt;=$S$6,SUM($R$20:$R440),0))</f>
        <v>0</v>
      </c>
      <c r="U440" s="885">
        <f t="shared" si="154"/>
        <v>0</v>
      </c>
      <c r="V440" s="1110">
        <f t="shared" si="158"/>
        <v>0</v>
      </c>
    </row>
    <row r="441" spans="2:22" x14ac:dyDescent="0.2">
      <c r="B441" s="1421"/>
      <c r="C441" s="1417"/>
      <c r="D441" s="1417"/>
      <c r="E441" s="1417"/>
      <c r="F441" s="1417"/>
      <c r="G441" s="1417"/>
      <c r="H441" s="1417"/>
      <c r="I441" s="1416"/>
      <c r="J441" s="1416"/>
      <c r="K441" s="1417"/>
      <c r="L441" s="1417"/>
      <c r="M441" s="1417"/>
      <c r="N441" s="1417"/>
      <c r="O441" s="1417"/>
      <c r="P441" s="1417"/>
      <c r="Q441" s="1417"/>
      <c r="R441" s="1417"/>
      <c r="S441" s="1417"/>
      <c r="T441" s="1417"/>
      <c r="U441" s="1418"/>
      <c r="V441" s="1418"/>
    </row>
    <row r="483" spans="1:50" s="22" customFormat="1" x14ac:dyDescent="0.2">
      <c r="A483" s="1"/>
      <c r="B483" s="406"/>
      <c r="I483" s="879"/>
      <c r="J483" s="879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</row>
    <row r="484" spans="1:50" s="22" customFormat="1" x14ac:dyDescent="0.2">
      <c r="A484" s="1"/>
      <c r="B484" s="406"/>
      <c r="I484" s="879"/>
      <c r="J484" s="879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</row>
    <row r="485" spans="1:50" s="22" customFormat="1" x14ac:dyDescent="0.2">
      <c r="A485" s="1"/>
      <c r="B485" s="406"/>
      <c r="I485" s="879"/>
      <c r="J485" s="879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</row>
    <row r="486" spans="1:50" s="22" customFormat="1" x14ac:dyDescent="0.2">
      <c r="A486" s="1"/>
      <c r="B486" s="406"/>
      <c r="I486" s="879"/>
      <c r="J486" s="879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</row>
    <row r="487" spans="1:50" s="22" customFormat="1" x14ac:dyDescent="0.2">
      <c r="A487" s="1"/>
      <c r="B487" s="406"/>
      <c r="I487" s="879"/>
      <c r="J487" s="879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</row>
    <row r="488" spans="1:50" s="22" customFormat="1" x14ac:dyDescent="0.2">
      <c r="A488" s="1"/>
      <c r="B488" s="406"/>
      <c r="I488" s="879"/>
      <c r="J488" s="879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</row>
    <row r="489" spans="1:50" s="22" customFormat="1" x14ac:dyDescent="0.2">
      <c r="A489" s="1"/>
      <c r="B489" s="406"/>
      <c r="I489" s="879"/>
      <c r="J489" s="879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</row>
    <row r="490" spans="1:50" s="22" customFormat="1" x14ac:dyDescent="0.2">
      <c r="A490" s="1"/>
      <c r="B490" s="406"/>
      <c r="I490" s="879"/>
      <c r="J490" s="879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</row>
    <row r="491" spans="1:50" s="22" customFormat="1" x14ac:dyDescent="0.2">
      <c r="A491" s="1"/>
      <c r="B491" s="406"/>
      <c r="I491" s="879"/>
      <c r="J491" s="879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</row>
    <row r="492" spans="1:50" s="22" customFormat="1" x14ac:dyDescent="0.2">
      <c r="A492" s="1"/>
      <c r="B492" s="406"/>
      <c r="I492" s="879"/>
      <c r="J492" s="879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</row>
    <row r="493" spans="1:50" s="22" customFormat="1" x14ac:dyDescent="0.2">
      <c r="A493" s="1"/>
      <c r="B493" s="406"/>
      <c r="I493" s="879"/>
      <c r="J493" s="879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</row>
    <row r="494" spans="1:50" s="22" customFormat="1" x14ac:dyDescent="0.2">
      <c r="A494" s="1"/>
      <c r="B494" s="406"/>
      <c r="I494" s="879"/>
      <c r="J494" s="879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</row>
    <row r="495" spans="1:50" s="22" customFormat="1" x14ac:dyDescent="0.2">
      <c r="A495" s="1"/>
      <c r="B495" s="406"/>
      <c r="I495" s="879"/>
      <c r="J495" s="879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</row>
    <row r="496" spans="1:50" s="22" customFormat="1" x14ac:dyDescent="0.2">
      <c r="A496" s="1"/>
      <c r="B496" s="406"/>
      <c r="I496" s="879"/>
      <c r="J496" s="879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</row>
    <row r="497" spans="1:50" s="22" customFormat="1" x14ac:dyDescent="0.2">
      <c r="A497" s="1"/>
      <c r="B497" s="406"/>
      <c r="I497" s="879"/>
      <c r="J497" s="879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</row>
    <row r="498" spans="1:50" s="22" customFormat="1" x14ac:dyDescent="0.2">
      <c r="A498" s="1"/>
      <c r="B498" s="406"/>
      <c r="I498" s="879"/>
      <c r="J498" s="879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</row>
    <row r="499" spans="1:50" s="22" customFormat="1" x14ac:dyDescent="0.2">
      <c r="A499" s="1"/>
      <c r="B499" s="406"/>
      <c r="I499" s="879"/>
      <c r="J499" s="879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</row>
    <row r="500" spans="1:50" s="22" customFormat="1" x14ac:dyDescent="0.2">
      <c r="A500" s="1"/>
      <c r="B500" s="406"/>
      <c r="I500" s="879"/>
      <c r="J500" s="879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</row>
    <row r="501" spans="1:50" s="22" customFormat="1" x14ac:dyDescent="0.2">
      <c r="A501" s="1"/>
      <c r="B501" s="406"/>
      <c r="I501" s="879"/>
      <c r="J501" s="879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</row>
    <row r="502" spans="1:50" s="22" customFormat="1" x14ac:dyDescent="0.2">
      <c r="A502" s="1"/>
      <c r="B502" s="406"/>
      <c r="I502" s="879"/>
      <c r="J502" s="879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</row>
    <row r="503" spans="1:50" s="22" customFormat="1" x14ac:dyDescent="0.2">
      <c r="A503" s="1"/>
      <c r="B503" s="406"/>
      <c r="I503" s="879"/>
      <c r="J503" s="879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</row>
    <row r="504" spans="1:50" s="22" customFormat="1" x14ac:dyDescent="0.2">
      <c r="A504" s="1"/>
      <c r="B504" s="406"/>
      <c r="I504" s="879"/>
      <c r="J504" s="879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</row>
    <row r="505" spans="1:50" s="22" customFormat="1" x14ac:dyDescent="0.2">
      <c r="A505" s="1"/>
      <c r="B505" s="406"/>
      <c r="I505" s="879"/>
      <c r="J505" s="879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</row>
    <row r="506" spans="1:50" s="22" customFormat="1" x14ac:dyDescent="0.2">
      <c r="A506" s="1"/>
      <c r="B506" s="406"/>
      <c r="I506" s="879"/>
      <c r="J506" s="879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</row>
    <row r="507" spans="1:50" s="22" customFormat="1" x14ac:dyDescent="0.2">
      <c r="A507" s="1"/>
      <c r="B507" s="406"/>
      <c r="I507" s="879"/>
      <c r="J507" s="879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</row>
    <row r="508" spans="1:50" s="22" customFormat="1" x14ac:dyDescent="0.2">
      <c r="A508" s="1"/>
      <c r="B508" s="406"/>
      <c r="I508" s="879"/>
      <c r="J508" s="879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</row>
    <row r="509" spans="1:50" s="22" customFormat="1" x14ac:dyDescent="0.2">
      <c r="A509" s="1"/>
      <c r="B509" s="406"/>
      <c r="I509" s="879"/>
      <c r="J509" s="879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</row>
    <row r="510" spans="1:50" s="22" customFormat="1" x14ac:dyDescent="0.2">
      <c r="A510" s="1"/>
      <c r="B510" s="406"/>
      <c r="I510" s="879"/>
      <c r="J510" s="879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</row>
    <row r="511" spans="1:50" s="22" customFormat="1" x14ac:dyDescent="0.2">
      <c r="A511" s="1"/>
      <c r="B511" s="406"/>
      <c r="I511" s="879"/>
      <c r="J511" s="879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</row>
    <row r="512" spans="1:50" s="22" customFormat="1" x14ac:dyDescent="0.2">
      <c r="A512" s="1"/>
      <c r="B512" s="406"/>
      <c r="I512" s="879"/>
      <c r="J512" s="879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</row>
    <row r="513" spans="1:50" s="22" customFormat="1" x14ac:dyDescent="0.2">
      <c r="A513" s="1"/>
      <c r="B513" s="406"/>
      <c r="I513" s="879"/>
      <c r="J513" s="879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</row>
    <row r="514" spans="1:50" s="22" customFormat="1" x14ac:dyDescent="0.2">
      <c r="A514" s="1"/>
      <c r="B514" s="406"/>
      <c r="I514" s="879"/>
      <c r="J514" s="879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</row>
    <row r="515" spans="1:50" s="22" customFormat="1" x14ac:dyDescent="0.2">
      <c r="A515" s="1"/>
      <c r="B515" s="406"/>
      <c r="I515" s="879"/>
      <c r="J515" s="879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</row>
    <row r="516" spans="1:50" s="22" customFormat="1" x14ac:dyDescent="0.2">
      <c r="A516" s="1"/>
      <c r="B516" s="406"/>
      <c r="I516" s="879"/>
      <c r="J516" s="879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</row>
    <row r="517" spans="1:50" s="22" customFormat="1" x14ac:dyDescent="0.2">
      <c r="A517" s="1"/>
      <c r="B517" s="406"/>
      <c r="I517" s="879"/>
      <c r="J517" s="879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</row>
    <row r="518" spans="1:50" s="22" customFormat="1" x14ac:dyDescent="0.2">
      <c r="A518" s="1"/>
      <c r="B518" s="406"/>
      <c r="I518" s="879"/>
      <c r="J518" s="879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</row>
    <row r="519" spans="1:50" s="22" customFormat="1" x14ac:dyDescent="0.2">
      <c r="A519" s="1"/>
      <c r="B519" s="406"/>
      <c r="I519" s="879"/>
      <c r="J519" s="879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</row>
    <row r="520" spans="1:50" s="22" customFormat="1" x14ac:dyDescent="0.2">
      <c r="A520" s="1"/>
      <c r="B520" s="406"/>
      <c r="I520" s="879"/>
      <c r="J520" s="879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</row>
    <row r="521" spans="1:50" s="22" customFormat="1" x14ac:dyDescent="0.2">
      <c r="A521" s="1"/>
      <c r="B521" s="406"/>
      <c r="I521" s="879"/>
      <c r="J521" s="879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</row>
    <row r="522" spans="1:50" s="22" customFormat="1" x14ac:dyDescent="0.2">
      <c r="A522" s="1"/>
      <c r="B522" s="406"/>
      <c r="I522" s="879"/>
      <c r="J522" s="879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</row>
    <row r="523" spans="1:50" s="22" customFormat="1" x14ac:dyDescent="0.2">
      <c r="A523" s="1"/>
      <c r="B523" s="406"/>
      <c r="I523" s="879"/>
      <c r="J523" s="879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</row>
    <row r="524" spans="1:50" s="22" customFormat="1" x14ac:dyDescent="0.2">
      <c r="A524" s="1"/>
      <c r="B524" s="406"/>
      <c r="I524" s="879"/>
      <c r="J524" s="879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</row>
    <row r="525" spans="1:50" s="22" customFormat="1" x14ac:dyDescent="0.2">
      <c r="A525" s="1"/>
      <c r="B525" s="406"/>
      <c r="I525" s="879"/>
      <c r="J525" s="879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</row>
    <row r="526" spans="1:50" s="22" customFormat="1" x14ac:dyDescent="0.2">
      <c r="A526" s="1"/>
      <c r="B526" s="406"/>
      <c r="I526" s="879"/>
      <c r="J526" s="879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</row>
    <row r="527" spans="1:50" s="22" customFormat="1" x14ac:dyDescent="0.2">
      <c r="A527" s="1"/>
      <c r="B527" s="406"/>
      <c r="I527" s="879"/>
      <c r="J527" s="879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</row>
    <row r="528" spans="1:50" s="22" customFormat="1" x14ac:dyDescent="0.2">
      <c r="A528" s="1"/>
      <c r="B528" s="406"/>
      <c r="I528" s="879"/>
      <c r="J528" s="879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</row>
    <row r="529" spans="1:50" s="22" customFormat="1" x14ac:dyDescent="0.2">
      <c r="A529" s="1"/>
      <c r="B529" s="406"/>
      <c r="I529" s="879"/>
      <c r="J529" s="879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</row>
    <row r="530" spans="1:50" s="22" customFormat="1" x14ac:dyDescent="0.2">
      <c r="A530" s="1"/>
      <c r="B530" s="406"/>
      <c r="I530" s="879"/>
      <c r="J530" s="879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</row>
    <row r="531" spans="1:50" s="22" customFormat="1" x14ac:dyDescent="0.2">
      <c r="A531" s="1"/>
      <c r="B531" s="406"/>
      <c r="I531" s="879"/>
      <c r="J531" s="879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</row>
    <row r="532" spans="1:50" s="22" customFormat="1" x14ac:dyDescent="0.2">
      <c r="A532" s="1"/>
      <c r="B532" s="406"/>
      <c r="I532" s="879"/>
      <c r="J532" s="879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</row>
  </sheetData>
  <sheetProtection formatColumns="0"/>
  <mergeCells count="10">
    <mergeCell ref="J10:K10"/>
    <mergeCell ref="J18:V18"/>
    <mergeCell ref="X18:AA18"/>
    <mergeCell ref="AC18:AN18"/>
    <mergeCell ref="J3:M3"/>
    <mergeCell ref="Q3:T3"/>
    <mergeCell ref="X3:AA3"/>
    <mergeCell ref="J4:K4"/>
    <mergeCell ref="J5:K5"/>
    <mergeCell ref="J6:K6"/>
  </mergeCells>
  <conditionalFormatting sqref="B20:V440 X20:AA379">
    <cfRule type="expression" dxfId="28" priority="10">
      <formula>IF($J20=$S$6,"TRUE","FALSE")</formula>
    </cfRule>
    <cfRule type="expression" dxfId="27" priority="11">
      <formula>IF($J20&gt;$S$6,"TRUE","FALSE")</formula>
    </cfRule>
  </conditionalFormatting>
  <conditionalFormatting sqref="D20:H440">
    <cfRule type="expression" dxfId="26" priority="8">
      <formula>IF($I$8="No","TRUE","FALSE")</formula>
    </cfRule>
  </conditionalFormatting>
  <conditionalFormatting sqref="R5">
    <cfRule type="expression" dxfId="25" priority="3">
      <formula>IF($T$4="Monthly","TRUE","FALSE")</formula>
    </cfRule>
  </conditionalFormatting>
  <conditionalFormatting sqref="S5">
    <cfRule type="expression" dxfId="24" priority="9">
      <formula>IF(OR($T$4="Annual",$T$4="Monthly"),"TRUE","FALSE")</formula>
    </cfRule>
  </conditionalFormatting>
  <conditionalFormatting sqref="Z5:Z7">
    <cfRule type="expression" dxfId="23" priority="5">
      <formula>IF($Y5="N/A","TRUE","FALSE")</formula>
    </cfRule>
    <cfRule type="expression" dxfId="22" priority="6">
      <formula>IF($Y5="Fixed Amount","TRUE","FALSE")</formula>
    </cfRule>
    <cfRule type="expression" dxfId="21" priority="7">
      <formula>IF(OR($Y5="%/Payment",$Y5="%/Balance"),"TRUE","FALSE")</formula>
    </cfRule>
  </conditionalFormatting>
  <conditionalFormatting sqref="AA5:AA7">
    <cfRule type="expression" dxfId="20" priority="4">
      <formula>IF(OR($Y5="N/A",$Y5="Fixed Amount"),"TRUE","FALSE")</formula>
    </cfRule>
  </conditionalFormatting>
  <conditionalFormatting sqref="AC20:AN49">
    <cfRule type="expression" dxfId="19" priority="1">
      <formula>IF($AC20&gt;$M$5,"TRUE","FALSE")</formula>
    </cfRule>
    <cfRule type="expression" dxfId="18" priority="2">
      <formula>IF($AC20=$M$5,"TRUE","FALSE")</formula>
    </cfRule>
  </conditionalFormatting>
  <dataValidations count="4">
    <dataValidation type="list" allowBlank="1" showInputMessage="1" showErrorMessage="1" sqref="M8" xr:uid="{7BE4835A-7309-4774-A597-F49701D2FBD1}">
      <formula1>"Base, Actual Days"</formula1>
    </dataValidation>
    <dataValidation type="list" allowBlank="1" showInputMessage="1" showErrorMessage="1" sqref="K7" xr:uid="{22DFAD8B-F3E5-44DF-A6D2-81F1D27D0049}">
      <formula1>"Base Rate,Actual/360 Rate,Actual/365 Rate"</formula1>
    </dataValidation>
    <dataValidation type="list" allowBlank="1" showInputMessage="1" showErrorMessage="1" sqref="Y5:Y7" xr:uid="{013602CE-1A9C-466A-9920-67131B238BB6}">
      <formula1>"%/Payment, %/Balance, Fixed Amount, N/A"</formula1>
    </dataValidation>
    <dataValidation type="list" allowBlank="1" showInputMessage="1" showErrorMessage="1" sqref="T4" xr:uid="{0C77D021-1E99-4A8E-B365-10AEE155515D}">
      <formula1>"Monthly, Bi-Annual, Annual"</formula1>
    </dataValidation>
  </dataValidations>
  <printOptions horizontalCentered="1"/>
  <pageMargins left="0.65" right="0.65" top="0.65" bottom="0.65" header="0.5" footer="0.5"/>
  <pageSetup scale="63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7DB91-E096-4F1C-BDDC-D7DD12629AA8}">
  <sheetPr>
    <pageSetUpPr fitToPage="1"/>
  </sheetPr>
  <dimension ref="A2:AV197"/>
  <sheetViews>
    <sheetView topLeftCell="A6" zoomScale="90" zoomScaleNormal="90" workbookViewId="0">
      <selection activeCell="G102" sqref="G102"/>
    </sheetView>
  </sheetViews>
  <sheetFormatPr defaultRowHeight="15" outlineLevelRow="1" outlineLevelCol="1" x14ac:dyDescent="0.25"/>
  <cols>
    <col min="1" max="1" width="9.140625" style="2"/>
    <col min="2" max="2" width="38.7109375" style="9" customWidth="1"/>
    <col min="3" max="3" width="20.7109375" style="9" customWidth="1"/>
    <col min="4" max="4" width="13" style="9" customWidth="1"/>
    <col min="5" max="5" width="14.7109375" style="9" hidden="1" customWidth="1" outlineLevel="1"/>
    <col min="6" max="6" width="14.28515625" style="9" customWidth="1" collapsed="1"/>
    <col min="7" max="7" width="14.28515625" style="10" customWidth="1"/>
    <col min="8" max="10" width="14.28515625" style="9" customWidth="1"/>
    <col min="11" max="13" width="14.28515625" style="9" customWidth="1" outlineLevel="1"/>
    <col min="14" max="20" width="14.28515625" style="2" customWidth="1"/>
    <col min="21" max="48" width="9.140625" style="2"/>
  </cols>
  <sheetData>
    <row r="2" spans="1:48" s="31" customFormat="1" ht="15.75" x14ac:dyDescent="0.25">
      <c r="A2" s="32"/>
      <c r="B2" s="497" t="str">
        <f>'Operating Assumptions'!D6</f>
        <v>Channahon</v>
      </c>
      <c r="C2" s="34"/>
      <c r="D2" s="34"/>
      <c r="E2" s="34"/>
      <c r="F2" s="34"/>
      <c r="G2" s="35"/>
      <c r="H2" s="34"/>
      <c r="I2" s="34"/>
      <c r="J2" s="34"/>
      <c r="K2" s="34"/>
      <c r="L2" s="34"/>
      <c r="M2" s="34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</row>
    <row r="3" spans="1:48" s="31" customFormat="1" ht="15.75" x14ac:dyDescent="0.25">
      <c r="A3" s="32"/>
      <c r="B3" s="497" t="str">
        <f>'Operating Assumptions'!D7</f>
        <v>Channahon, IL</v>
      </c>
      <c r="C3" s="34"/>
      <c r="D3" s="34"/>
      <c r="E3" s="34"/>
      <c r="F3" s="34"/>
      <c r="G3" s="35"/>
      <c r="H3" s="34"/>
      <c r="I3" s="34"/>
      <c r="J3" s="34"/>
      <c r="K3" s="34"/>
      <c r="L3" s="34"/>
      <c r="M3" s="34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</row>
    <row r="4" spans="1:48" s="31" customFormat="1" x14ac:dyDescent="0.25">
      <c r="A4" s="32"/>
      <c r="B4" s="34"/>
      <c r="C4" s="34"/>
      <c r="D4" s="34"/>
      <c r="E4" s="34"/>
      <c r="F4" s="34"/>
      <c r="G4" s="35"/>
      <c r="H4" s="34"/>
      <c r="I4" s="34"/>
      <c r="J4" s="34"/>
      <c r="K4" s="34"/>
      <c r="L4" s="34"/>
      <c r="M4" s="34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</row>
    <row r="5" spans="1:48" s="31" customFormat="1" x14ac:dyDescent="0.25">
      <c r="A5" s="32"/>
      <c r="B5" s="87" t="s">
        <v>167</v>
      </c>
      <c r="C5" s="34"/>
      <c r="D5" s="34"/>
      <c r="E5" s="34"/>
      <c r="F5" s="34"/>
      <c r="G5" s="35"/>
      <c r="H5" s="34"/>
      <c r="I5" s="34"/>
      <c r="J5" s="34"/>
      <c r="K5" s="34"/>
      <c r="L5" s="34"/>
      <c r="M5" s="34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</row>
    <row r="6" spans="1:48" s="31" customFormat="1" x14ac:dyDescent="0.25">
      <c r="A6" s="32"/>
      <c r="B6" s="87"/>
      <c r="C6" s="34"/>
      <c r="D6" s="34"/>
      <c r="E6" s="34"/>
      <c r="F6" s="34"/>
      <c r="G6" s="35"/>
      <c r="H6" s="34"/>
      <c r="I6" s="34"/>
      <c r="J6" s="34"/>
      <c r="K6" s="34"/>
      <c r="L6" s="34"/>
      <c r="M6" s="34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</row>
    <row r="7" spans="1:48" s="31" customFormat="1" x14ac:dyDescent="0.25">
      <c r="A7" s="32"/>
      <c r="B7" s="34"/>
      <c r="C7" s="34"/>
      <c r="D7" s="34"/>
      <c r="E7" s="86" t="s">
        <v>203</v>
      </c>
      <c r="F7" s="34"/>
      <c r="G7" s="35"/>
      <c r="H7" s="34"/>
      <c r="I7" s="34"/>
      <c r="J7" s="34"/>
      <c r="K7" s="34"/>
      <c r="L7" s="34"/>
      <c r="M7" s="34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</row>
    <row r="8" spans="1:48" s="31" customFormat="1" x14ac:dyDescent="0.25">
      <c r="A8" s="32"/>
      <c r="B8" s="85"/>
      <c r="C8" s="83"/>
      <c r="D8" s="83"/>
      <c r="E8" s="83"/>
      <c r="F8" s="83"/>
      <c r="G8" s="84"/>
      <c r="H8" s="83"/>
      <c r="I8" s="83"/>
      <c r="J8" s="83"/>
      <c r="K8" s="83"/>
      <c r="L8" s="83"/>
      <c r="M8" s="83"/>
      <c r="N8" s="5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</row>
    <row r="9" spans="1:48" s="31" customFormat="1" ht="12.75" customHeight="1" x14ac:dyDescent="0.25">
      <c r="A9" s="32"/>
      <c r="B9" s="73"/>
      <c r="C9" s="34"/>
      <c r="D9" s="36" t="s">
        <v>494</v>
      </c>
      <c r="E9" s="36" t="s">
        <v>202</v>
      </c>
      <c r="F9" s="34"/>
      <c r="G9" s="36" t="s">
        <v>123</v>
      </c>
      <c r="H9" s="36" t="s">
        <v>556</v>
      </c>
      <c r="I9" s="36" t="s">
        <v>77</v>
      </c>
      <c r="J9" s="36" t="s">
        <v>616</v>
      </c>
      <c r="K9" s="36" t="s">
        <v>124</v>
      </c>
      <c r="L9" s="36" t="s">
        <v>125</v>
      </c>
      <c r="M9" s="36" t="s">
        <v>126</v>
      </c>
      <c r="N9" s="5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</row>
    <row r="10" spans="1:48" s="31" customFormat="1" ht="12.75" customHeight="1" x14ac:dyDescent="0.25">
      <c r="A10" s="32"/>
      <c r="B10" s="73"/>
      <c r="C10" s="34"/>
      <c r="D10" s="49"/>
      <c r="E10" s="72"/>
      <c r="F10" s="2"/>
      <c r="G10" s="49"/>
      <c r="H10" s="66"/>
      <c r="I10" s="49"/>
      <c r="J10" s="49"/>
      <c r="K10" s="70"/>
      <c r="L10" s="79"/>
      <c r="M10" s="70"/>
      <c r="N10" s="5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</row>
    <row r="11" spans="1:48" s="31" customFormat="1" ht="12.75" customHeight="1" x14ac:dyDescent="0.25">
      <c r="A11" s="32"/>
      <c r="B11" s="73" t="s">
        <v>493</v>
      </c>
      <c r="C11" s="34"/>
      <c r="D11" s="75">
        <v>2500000</v>
      </c>
      <c r="E11" s="72">
        <v>0</v>
      </c>
      <c r="F11" s="86" t="s">
        <v>122</v>
      </c>
      <c r="G11" s="49">
        <f>IF($F11="N/A",0,IF(OR($E$7="Actual",$F11="Actual"),$E11,IF($F11="Set Amount",'Operating Assumptions'!$D$9,IF($F11="Fixed Amount",$D11))))</f>
        <v>2500000</v>
      </c>
      <c r="H11" s="66">
        <f>G11/'Operating Assumptions'!$D$12</f>
        <v>11.46200117370892</v>
      </c>
      <c r="I11" s="49">
        <f>G11/'Operating Assumptions'!$D$14</f>
        <v>10416.666666666666</v>
      </c>
      <c r="J11" s="1318">
        <f>G11/$G$102</f>
        <v>4.392203817669528E-2</v>
      </c>
      <c r="K11" s="76">
        <v>46082</v>
      </c>
      <c r="L11" s="75">
        <v>1</v>
      </c>
      <c r="M11" s="70">
        <f>EOMONTH(K11,L11-1)</f>
        <v>46112</v>
      </c>
      <c r="N11" s="5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</row>
    <row r="12" spans="1:48" s="31" customFormat="1" ht="12.75" customHeight="1" x14ac:dyDescent="0.25">
      <c r="A12" s="32"/>
      <c r="B12" s="73"/>
      <c r="C12" s="34"/>
      <c r="D12" s="36"/>
      <c r="E12" s="36"/>
      <c r="F12" s="34"/>
      <c r="G12" s="36"/>
      <c r="H12" s="36"/>
      <c r="I12" s="36"/>
      <c r="J12" s="36"/>
      <c r="K12" s="36"/>
      <c r="L12" s="36"/>
      <c r="M12" s="36"/>
      <c r="N12" s="5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</row>
    <row r="13" spans="1:48" s="31" customFormat="1" ht="12.75" customHeight="1" x14ac:dyDescent="0.25">
      <c r="A13" s="32"/>
      <c r="B13" s="73" t="s">
        <v>129</v>
      </c>
      <c r="C13" s="34"/>
      <c r="D13" s="36"/>
      <c r="E13" s="36"/>
      <c r="F13" s="34"/>
      <c r="G13" s="36"/>
      <c r="H13" s="36"/>
      <c r="I13" s="36"/>
      <c r="J13" s="36"/>
      <c r="K13" s="36"/>
      <c r="L13" s="36"/>
      <c r="M13" s="36"/>
      <c r="N13" s="5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</row>
    <row r="14" spans="1:48" s="31" customFormat="1" ht="12.75" customHeight="1" x14ac:dyDescent="0.25">
      <c r="A14" s="32"/>
      <c r="B14" s="81" t="s">
        <v>131</v>
      </c>
      <c r="C14" s="34"/>
      <c r="D14" s="75">
        <v>37390323</v>
      </c>
      <c r="E14" s="72">
        <v>0</v>
      </c>
      <c r="F14" s="806" t="s">
        <v>122</v>
      </c>
      <c r="G14" s="45">
        <f>IF(OR($E$7="Actual",$F14="Actual"),E14,IF(F14="Fixed Amount",D14,IF(F14="$/GSF",D14*'Operating Assumptions'!$D$11,IF(F14="$/Unit",D14*'Operating Assumptions'!$D$14,IF(F14="Parking SF",D14*'Operating Assumptions'!$D$13)))))</f>
        <v>37390323</v>
      </c>
      <c r="H14" s="71">
        <f>G14/'Operating Assumptions'!$D$12</f>
        <v>171.42717044454224</v>
      </c>
      <c r="I14" s="45">
        <f>G14/'Operating Assumptions'!$D$14</f>
        <v>155793.01250000001</v>
      </c>
      <c r="J14" s="975">
        <f t="shared" ref="J14:J24" si="0">G14/$G$102</f>
        <v>0.65690367769798697</v>
      </c>
      <c r="K14" s="76">
        <v>46082</v>
      </c>
      <c r="L14" s="75">
        <v>24</v>
      </c>
      <c r="M14" s="70">
        <f>EOMONTH(K14,L14-1)</f>
        <v>46812</v>
      </c>
      <c r="N14" s="5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</row>
    <row r="15" spans="1:48" s="31" customFormat="1" ht="12.75" customHeight="1" x14ac:dyDescent="0.25">
      <c r="A15" s="32"/>
      <c r="B15" s="81" t="s">
        <v>501</v>
      </c>
      <c r="C15" s="34"/>
      <c r="D15" s="722">
        <v>0</v>
      </c>
      <c r="E15" s="72">
        <v>0</v>
      </c>
      <c r="F15" s="806" t="s">
        <v>122</v>
      </c>
      <c r="G15" s="45">
        <f>IF(OR($E$7="Actual",$F15="Actual"),E15,IF(F15="Fixed Amount",D15,IF(F15="$/GSF",D15*'Operating Assumptions'!$D$11,IF(F15="$/Unit",D15*'Operating Assumptions'!$D$14,IF(F15="Parking SF",D15*'Operating Assumptions'!$D$13)))))</f>
        <v>0</v>
      </c>
      <c r="H15" s="71">
        <f>G15/'Operating Assumptions'!$D$12</f>
        <v>0</v>
      </c>
      <c r="I15" s="45">
        <f>G15/'Operating Assumptions'!$D$14</f>
        <v>0</v>
      </c>
      <c r="J15" s="975">
        <f t="shared" si="0"/>
        <v>0</v>
      </c>
      <c r="K15" s="76">
        <v>46082</v>
      </c>
      <c r="L15" s="75">
        <v>24</v>
      </c>
      <c r="M15" s="70">
        <f t="shared" ref="M15:M24" si="1">EOMONTH(K15,L15-1)</f>
        <v>46812</v>
      </c>
      <c r="N15" s="5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</row>
    <row r="16" spans="1:48" s="31" customFormat="1" ht="12.75" hidden="1" customHeight="1" outlineLevel="1" x14ac:dyDescent="0.25">
      <c r="A16" s="32"/>
      <c r="B16" s="81" t="s">
        <v>501</v>
      </c>
      <c r="C16" s="34"/>
      <c r="D16" s="75">
        <v>0</v>
      </c>
      <c r="E16" s="72">
        <v>0</v>
      </c>
      <c r="F16" s="806" t="s">
        <v>122</v>
      </c>
      <c r="G16" s="45">
        <f>IF(OR($E$7="Actual",$F16="Actual"),E16,IF(F16="Fixed Amount",D16,IF(F16="$/GSF",D16*'Operating Assumptions'!$D$11,IF(F16="$/Unit",D16*'Operating Assumptions'!$D$14,IF(F16="Parking SF",D16*'Operating Assumptions'!$D$13)))))</f>
        <v>0</v>
      </c>
      <c r="H16" s="71">
        <f>G16/'Operating Assumptions'!$D$12</f>
        <v>0</v>
      </c>
      <c r="I16" s="45">
        <f>G16/'Operating Assumptions'!$D$14</f>
        <v>0</v>
      </c>
      <c r="J16" s="975">
        <f t="shared" si="0"/>
        <v>0</v>
      </c>
      <c r="K16" s="76">
        <v>46082</v>
      </c>
      <c r="L16" s="75">
        <v>24</v>
      </c>
      <c r="M16" s="70">
        <f t="shared" si="1"/>
        <v>46812</v>
      </c>
      <c r="N16" s="5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</row>
    <row r="17" spans="1:48" s="31" customFormat="1" ht="12.75" hidden="1" customHeight="1" outlineLevel="1" x14ac:dyDescent="0.25">
      <c r="A17" s="32"/>
      <c r="B17" s="81" t="s">
        <v>501</v>
      </c>
      <c r="C17" s="34"/>
      <c r="D17" s="75">
        <v>0</v>
      </c>
      <c r="E17" s="72">
        <v>0</v>
      </c>
      <c r="F17" s="806" t="s">
        <v>122</v>
      </c>
      <c r="G17" s="45">
        <f>IF(OR($E$7="Actual",$F17="Actual"),E17,IF(F17="Fixed Amount",D17,IF(F17="$/GSF",D17*'Operating Assumptions'!$D$11,IF(F17="$/Unit",D17*'Operating Assumptions'!$D$14,IF(F17="Parking SF",D17*'Operating Assumptions'!$D$13)))))</f>
        <v>0</v>
      </c>
      <c r="H17" s="71">
        <f>G17/'Operating Assumptions'!$D$12</f>
        <v>0</v>
      </c>
      <c r="I17" s="45">
        <f>G17/'Operating Assumptions'!$D$14</f>
        <v>0</v>
      </c>
      <c r="J17" s="975">
        <f t="shared" si="0"/>
        <v>0</v>
      </c>
      <c r="K17" s="76">
        <v>46082</v>
      </c>
      <c r="L17" s="75">
        <v>24</v>
      </c>
      <c r="M17" s="70">
        <f t="shared" si="1"/>
        <v>46812</v>
      </c>
      <c r="N17" s="5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</row>
    <row r="18" spans="1:48" s="31" customFormat="1" ht="12.75" hidden="1" customHeight="1" outlineLevel="1" x14ac:dyDescent="0.25">
      <c r="A18" s="32"/>
      <c r="B18" s="81" t="s">
        <v>501</v>
      </c>
      <c r="C18" s="34"/>
      <c r="D18" s="75">
        <v>0</v>
      </c>
      <c r="E18" s="72">
        <v>0</v>
      </c>
      <c r="F18" s="806" t="s">
        <v>122</v>
      </c>
      <c r="G18" s="45">
        <f>IF(OR($E$7="Actual",$F18="Actual"),E18,IF(F18="Fixed Amount",D18,IF(F18="$/GSF",D18*'Operating Assumptions'!$D$11,IF(F18="$/Unit",D18*'Operating Assumptions'!$D$14,IF(F18="Parking SF",D18*'Operating Assumptions'!$D$13)))))</f>
        <v>0</v>
      </c>
      <c r="H18" s="71">
        <f>G18/'Operating Assumptions'!$D$12</f>
        <v>0</v>
      </c>
      <c r="I18" s="45">
        <f>G18/'Operating Assumptions'!$D$14</f>
        <v>0</v>
      </c>
      <c r="J18" s="975">
        <f t="shared" si="0"/>
        <v>0</v>
      </c>
      <c r="K18" s="76">
        <v>46082</v>
      </c>
      <c r="L18" s="75">
        <v>24</v>
      </c>
      <c r="M18" s="70">
        <f t="shared" si="1"/>
        <v>46812</v>
      </c>
      <c r="N18" s="52"/>
      <c r="O18" s="77"/>
      <c r="P18" s="34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</row>
    <row r="19" spans="1:48" s="31" customFormat="1" ht="12.75" hidden="1" customHeight="1" outlineLevel="1" x14ac:dyDescent="0.25">
      <c r="A19" s="32"/>
      <c r="B19" s="81" t="s">
        <v>501</v>
      </c>
      <c r="C19" s="34"/>
      <c r="D19" s="75">
        <v>0</v>
      </c>
      <c r="E19" s="72">
        <v>0</v>
      </c>
      <c r="F19" s="806" t="s">
        <v>122</v>
      </c>
      <c r="G19" s="45">
        <f>IF(OR($E$7="Actual",$F19="Actual"),E19,IF(F19="Fixed Amount",D19,IF(F19="$/GSF",D19*'Operating Assumptions'!$D$11,IF(F19="$/Unit",D19*'Operating Assumptions'!$D$14,IF(F19="Parking SF",D19*'Operating Assumptions'!$D$13)))))</f>
        <v>0</v>
      </c>
      <c r="H19" s="71">
        <f>G19/'Operating Assumptions'!$D$12</f>
        <v>0</v>
      </c>
      <c r="I19" s="45">
        <f>G19/'Operating Assumptions'!$D$14</f>
        <v>0</v>
      </c>
      <c r="J19" s="975">
        <f t="shared" si="0"/>
        <v>0</v>
      </c>
      <c r="K19" s="76">
        <v>46082</v>
      </c>
      <c r="L19" s="75">
        <v>24</v>
      </c>
      <c r="M19" s="70">
        <f t="shared" si="1"/>
        <v>46812</v>
      </c>
      <c r="N19" s="52"/>
      <c r="O19" s="77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</row>
    <row r="20" spans="1:48" s="31" customFormat="1" ht="12.75" hidden="1" customHeight="1" outlineLevel="1" x14ac:dyDescent="0.25">
      <c r="A20" s="32"/>
      <c r="B20" s="81" t="s">
        <v>501</v>
      </c>
      <c r="C20" s="34"/>
      <c r="D20" s="75">
        <v>0</v>
      </c>
      <c r="E20" s="72">
        <v>0</v>
      </c>
      <c r="F20" s="806" t="s">
        <v>122</v>
      </c>
      <c r="G20" s="45">
        <f>IF(OR($E$7="Actual",$F20="Actual"),E20,IF(F20="Fixed Amount",D20,IF(F20="$/GSF",D20*'Operating Assumptions'!$D$11,IF(F20="$/Unit",D20*'Operating Assumptions'!$D$14,IF(F20="Parking SF",D20*'Operating Assumptions'!$D$13)))))</f>
        <v>0</v>
      </c>
      <c r="H20" s="71">
        <f>G20/'Operating Assumptions'!$D$12</f>
        <v>0</v>
      </c>
      <c r="I20" s="45">
        <f>G20/'Operating Assumptions'!$D$14</f>
        <v>0</v>
      </c>
      <c r="J20" s="975">
        <f t="shared" si="0"/>
        <v>0</v>
      </c>
      <c r="K20" s="76">
        <v>46082</v>
      </c>
      <c r="L20" s="75">
        <v>24</v>
      </c>
      <c r="M20" s="70">
        <f t="shared" si="1"/>
        <v>46812</v>
      </c>
      <c r="N20" s="5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</row>
    <row r="21" spans="1:48" s="31" customFormat="1" ht="12.75" hidden="1" customHeight="1" outlineLevel="1" x14ac:dyDescent="0.25">
      <c r="A21" s="32"/>
      <c r="B21" s="81" t="s">
        <v>501</v>
      </c>
      <c r="C21" s="34"/>
      <c r="D21" s="75">
        <v>0</v>
      </c>
      <c r="E21" s="72">
        <v>0</v>
      </c>
      <c r="F21" s="806" t="s">
        <v>122</v>
      </c>
      <c r="G21" s="45">
        <f>IF(OR($E$7="Actual",$F21="Actual"),E21,IF(F21="Fixed Amount",D21,IF(F21="$/GSF",D21*'Operating Assumptions'!$D$11,IF(F21="$/Unit",D21*'Operating Assumptions'!$D$14,IF(F21="Parking SF",D21*'Operating Assumptions'!$D$13)))))</f>
        <v>0</v>
      </c>
      <c r="H21" s="71">
        <f>G21/'Operating Assumptions'!$D$12</f>
        <v>0</v>
      </c>
      <c r="I21" s="45">
        <f>G21/'Operating Assumptions'!$D$14</f>
        <v>0</v>
      </c>
      <c r="J21" s="975">
        <f t="shared" si="0"/>
        <v>0</v>
      </c>
      <c r="K21" s="76">
        <v>46082</v>
      </c>
      <c r="L21" s="75">
        <v>24</v>
      </c>
      <c r="M21" s="70">
        <f t="shared" si="1"/>
        <v>46812</v>
      </c>
      <c r="N21" s="5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</row>
    <row r="22" spans="1:48" s="31" customFormat="1" ht="12.75" hidden="1" customHeight="1" outlineLevel="1" x14ac:dyDescent="0.25">
      <c r="A22" s="32"/>
      <c r="B22" s="81" t="s">
        <v>501</v>
      </c>
      <c r="C22" s="34"/>
      <c r="D22" s="75">
        <v>0</v>
      </c>
      <c r="E22" s="72">
        <v>0</v>
      </c>
      <c r="F22" s="806" t="s">
        <v>122</v>
      </c>
      <c r="G22" s="45">
        <f>IF(OR($E$7="Actual",$F22="Actual"),E22,IF(F22="Fixed Amount",D22,IF(F22="$/GSF",D22*'Operating Assumptions'!$D$11,IF(F22="$/Unit",D22*'Operating Assumptions'!$D$14,IF(F22="Parking SF",D22*'Operating Assumptions'!$D$13)))))</f>
        <v>0</v>
      </c>
      <c r="H22" s="71">
        <f>G22/'Operating Assumptions'!$D$12</f>
        <v>0</v>
      </c>
      <c r="I22" s="45">
        <f>G22/'Operating Assumptions'!$D$14</f>
        <v>0</v>
      </c>
      <c r="J22" s="975">
        <f t="shared" si="0"/>
        <v>0</v>
      </c>
      <c r="K22" s="76">
        <v>46082</v>
      </c>
      <c r="L22" s="75">
        <v>24</v>
      </c>
      <c r="M22" s="70">
        <f t="shared" si="1"/>
        <v>46812</v>
      </c>
      <c r="N22" s="5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</row>
    <row r="23" spans="1:48" s="31" customFormat="1" ht="12.75" hidden="1" customHeight="1" outlineLevel="1" x14ac:dyDescent="0.25">
      <c r="A23" s="32"/>
      <c r="B23" s="81" t="s">
        <v>501</v>
      </c>
      <c r="C23" s="34"/>
      <c r="D23" s="75">
        <v>0</v>
      </c>
      <c r="E23" s="72">
        <v>0</v>
      </c>
      <c r="F23" s="806" t="s">
        <v>122</v>
      </c>
      <c r="G23" s="45">
        <f>IF(OR($E$7="Actual",$F23="Actual"),E23,IF(F23="Fixed Amount",D23,IF(F23="$/GSF",D23*'Operating Assumptions'!$D$11,IF(F23="$/Unit",D23*'Operating Assumptions'!$D$14,IF(F23="Parking SF",D23*'Operating Assumptions'!$D$13)))))</f>
        <v>0</v>
      </c>
      <c r="H23" s="71">
        <f>G23/'Operating Assumptions'!$D$12</f>
        <v>0</v>
      </c>
      <c r="I23" s="45">
        <f>G23/'Operating Assumptions'!$D$14</f>
        <v>0</v>
      </c>
      <c r="J23" s="975">
        <f t="shared" si="0"/>
        <v>0</v>
      </c>
      <c r="K23" s="76">
        <v>46082</v>
      </c>
      <c r="L23" s="75">
        <v>24</v>
      </c>
      <c r="M23" s="70">
        <f t="shared" si="1"/>
        <v>46812</v>
      </c>
      <c r="N23" s="5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</row>
    <row r="24" spans="1:48" s="31" customFormat="1" ht="12.75" customHeight="1" collapsed="1" x14ac:dyDescent="0.25">
      <c r="A24" s="32"/>
      <c r="B24" s="43" t="s">
        <v>130</v>
      </c>
      <c r="C24" s="34"/>
      <c r="D24" s="692">
        <v>0.04</v>
      </c>
      <c r="E24" s="72">
        <v>0</v>
      </c>
      <c r="F24" s="806" t="s">
        <v>767</v>
      </c>
      <c r="G24" s="45">
        <f>IF(OR($E$7="Actual",$F24="Actual"),E24,IF(F24="Fixed Amount",D24,IF(F24="$/GSF",D24*'Operating Assumptions'!$D$11,IF(F24="$/Unit",D24*'Operating Assumptions'!$D$14,IF(F24="%/Hard Costs",D24*SUM(G14:G23))))))</f>
        <v>1495612.92</v>
      </c>
      <c r="H24" s="71">
        <f>G24/'Operating Assumptions'!$D$12</f>
        <v>6.8570868177816902</v>
      </c>
      <c r="I24" s="45">
        <f>G24/'Operating Assumptions'!$D$14</f>
        <v>6231.7204999999994</v>
      </c>
      <c r="J24" s="975">
        <f t="shared" si="0"/>
        <v>2.6276147107919479E-2</v>
      </c>
      <c r="K24" s="76">
        <v>46082</v>
      </c>
      <c r="L24" s="75">
        <v>24</v>
      </c>
      <c r="M24" s="70">
        <f t="shared" si="1"/>
        <v>46812</v>
      </c>
      <c r="N24" s="5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</row>
    <row r="25" spans="1:48" s="31" customFormat="1" ht="12.75" customHeight="1" x14ac:dyDescent="0.25">
      <c r="A25" s="32"/>
      <c r="B25" s="81"/>
      <c r="C25" s="34"/>
      <c r="D25" s="34"/>
      <c r="E25" s="34"/>
      <c r="F25" s="34"/>
      <c r="G25" s="35"/>
      <c r="H25" s="34"/>
      <c r="I25" s="34"/>
      <c r="J25" s="34"/>
      <c r="K25" s="70"/>
      <c r="L25" s="35"/>
      <c r="M25" s="70"/>
      <c r="N25" s="5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</row>
    <row r="26" spans="1:48" s="31" customFormat="1" ht="12.75" customHeight="1" x14ac:dyDescent="0.25">
      <c r="A26" s="32"/>
      <c r="B26" s="43"/>
      <c r="C26" s="68" t="s">
        <v>133</v>
      </c>
      <c r="D26" s="67">
        <f>SUM(D14:D24)</f>
        <v>37390323.039999999</v>
      </c>
      <c r="E26" s="49">
        <f>SUM(E14:E24)</f>
        <v>0</v>
      </c>
      <c r="F26" s="34"/>
      <c r="G26" s="49">
        <f>SUM(G14:G24)</f>
        <v>38885935.920000002</v>
      </c>
      <c r="H26" s="66">
        <f>G26/'Operating Assumptions'!$D$12</f>
        <v>178.28425726232396</v>
      </c>
      <c r="I26" s="49">
        <f>G26/'Operating Assumptions'!$D$14</f>
        <v>162024.73300000001</v>
      </c>
      <c r="J26" s="1318">
        <f>G26/$G$102</f>
        <v>0.68317982480590655</v>
      </c>
      <c r="K26" s="35"/>
      <c r="L26" s="35"/>
      <c r="M26" s="35"/>
      <c r="N26" s="5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</row>
    <row r="27" spans="1:48" s="31" customFormat="1" ht="12.75" customHeight="1" x14ac:dyDescent="0.25">
      <c r="A27" s="32"/>
      <c r="B27" s="43"/>
      <c r="C27" s="34"/>
      <c r="D27" s="34"/>
      <c r="E27" s="34"/>
      <c r="F27" s="34"/>
      <c r="G27" s="35"/>
      <c r="H27" s="34"/>
      <c r="I27" s="34"/>
      <c r="J27" s="34"/>
      <c r="K27" s="35"/>
      <c r="L27" s="35"/>
      <c r="M27" s="35"/>
      <c r="N27" s="5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</row>
    <row r="28" spans="1:48" s="31" customFormat="1" ht="12.75" customHeight="1" x14ac:dyDescent="0.25">
      <c r="A28" s="32"/>
      <c r="B28" s="73" t="s">
        <v>65</v>
      </c>
      <c r="C28" s="34"/>
      <c r="D28" s="34"/>
      <c r="E28" s="36"/>
      <c r="F28" s="34"/>
      <c r="G28" s="36" t="s">
        <v>123</v>
      </c>
      <c r="H28" s="36" t="s">
        <v>556</v>
      </c>
      <c r="I28" s="36" t="s">
        <v>77</v>
      </c>
      <c r="J28" s="36" t="s">
        <v>616</v>
      </c>
      <c r="K28" s="36" t="s">
        <v>124</v>
      </c>
      <c r="L28" s="36" t="s">
        <v>125</v>
      </c>
      <c r="M28" s="36" t="s">
        <v>126</v>
      </c>
      <c r="N28" s="5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</row>
    <row r="29" spans="1:48" s="31" customFormat="1" ht="12.75" customHeight="1" x14ac:dyDescent="0.25">
      <c r="A29" s="32"/>
      <c r="B29" s="81" t="s">
        <v>741</v>
      </c>
      <c r="C29" s="77"/>
      <c r="D29" s="75">
        <v>200000</v>
      </c>
      <c r="E29" s="72">
        <v>0</v>
      </c>
      <c r="F29" s="806" t="s">
        <v>122</v>
      </c>
      <c r="G29" s="45">
        <f>IF(OR($E$7="Actual",$F29="Actual"),E29,IF(F29="Fixed Amount",D29,IF(F29="$/GSF",D29*'Operating Assumptions'!$D$11,IF(F29="$/Unit",D29*'Operating Assumptions'!$D$14,IF(F29="%/Hard Costs",$G$26*D29,IF(F29="Insurance Calc",(($G$26/1000)*D29)*'Operating Assumptions'!$D$49))))))</f>
        <v>200000</v>
      </c>
      <c r="H29" s="71">
        <f>G29/'Operating Assumptions'!$D$12</f>
        <v>0.91696009389671362</v>
      </c>
      <c r="I29" s="45">
        <f>G29/'Operating Assumptions'!$D$14</f>
        <v>833.33333333333337</v>
      </c>
      <c r="J29" s="975">
        <f t="shared" ref="J29:J52" si="2">G29/$G$102</f>
        <v>3.5137630541356222E-3</v>
      </c>
      <c r="K29" s="76">
        <v>46082</v>
      </c>
      <c r="L29" s="75">
        <v>9</v>
      </c>
      <c r="M29" s="70">
        <f t="shared" ref="M29:M52" si="3">EOMONTH(K29,L29-1)</f>
        <v>46356</v>
      </c>
      <c r="N29" s="5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</row>
    <row r="30" spans="1:48" s="31" customFormat="1" ht="12.75" customHeight="1" x14ac:dyDescent="0.25">
      <c r="A30" s="32"/>
      <c r="B30" s="81" t="s">
        <v>729</v>
      </c>
      <c r="C30" s="77"/>
      <c r="D30" s="75">
        <v>300000</v>
      </c>
      <c r="E30" s="72">
        <v>0</v>
      </c>
      <c r="F30" s="806" t="s">
        <v>122</v>
      </c>
      <c r="G30" s="45">
        <f>IF(OR($E$7="Actual",$F30="Actual"),E30,IF(F30="Fixed Amount",D30,IF(F30="$/GSF",D30*'Operating Assumptions'!$D$11,IF(F30="$/Unit",D30*'Operating Assumptions'!$D$14,IF(F30="%/Hard Costs",$G$26*D30,IF(F30="Insurance Calc",(($G$26/1000)*D30)*'Operating Assumptions'!$D$49))))))</f>
        <v>300000</v>
      </c>
      <c r="H30" s="71">
        <f>G30/'Operating Assumptions'!$D$12</f>
        <v>1.3754401408450705</v>
      </c>
      <c r="I30" s="45">
        <f>G30/'Operating Assumptions'!$D$14</f>
        <v>1250</v>
      </c>
      <c r="J30" s="975">
        <f t="shared" si="2"/>
        <v>5.2706445812034331E-3</v>
      </c>
      <c r="K30" s="76">
        <v>46082</v>
      </c>
      <c r="L30" s="75">
        <v>12</v>
      </c>
      <c r="M30" s="70">
        <f t="shared" si="3"/>
        <v>46446</v>
      </c>
      <c r="N30" s="52"/>
      <c r="O30" s="32"/>
      <c r="P30" s="726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</row>
    <row r="31" spans="1:48" s="31" customFormat="1" ht="12.75" customHeight="1" x14ac:dyDescent="0.25">
      <c r="A31" s="32"/>
      <c r="B31" s="81" t="s">
        <v>764</v>
      </c>
      <c r="C31" s="77"/>
      <c r="D31" s="75">
        <v>345000</v>
      </c>
      <c r="E31" s="72">
        <v>0</v>
      </c>
      <c r="F31" s="806" t="s">
        <v>122</v>
      </c>
      <c r="G31" s="45">
        <f>IF(OR($E$7="Actual",$F31="Actual"),E31,IF(F31="Fixed Amount",D31,IF(F31="$/GSF",D31*'Operating Assumptions'!$D$11,IF(F31="$/Unit",D31*'Operating Assumptions'!$D$14,IF(F31="%/Hard Costs",$G$26*D31,IF(F31="Insurance Calc",(($G$26/1000)*D31)*'Operating Assumptions'!$D$49))))))</f>
        <v>345000</v>
      </c>
      <c r="H31" s="71">
        <f>G31/'Operating Assumptions'!$D$12</f>
        <v>1.581756161971831</v>
      </c>
      <c r="I31" s="45">
        <f>G31/'Operating Assumptions'!$D$14</f>
        <v>1437.5</v>
      </c>
      <c r="J31" s="975">
        <f t="shared" si="2"/>
        <v>6.0612412683839481E-3</v>
      </c>
      <c r="K31" s="76">
        <v>46082</v>
      </c>
      <c r="L31" s="75">
        <v>24</v>
      </c>
      <c r="M31" s="70">
        <f t="shared" si="3"/>
        <v>46812</v>
      </c>
      <c r="N31" s="5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</row>
    <row r="32" spans="1:48" s="31" customFormat="1" ht="12.75" customHeight="1" x14ac:dyDescent="0.25">
      <c r="A32" s="32"/>
      <c r="B32" s="81" t="s">
        <v>742</v>
      </c>
      <c r="C32" s="77"/>
      <c r="D32" s="75">
        <v>1500000</v>
      </c>
      <c r="E32" s="72">
        <v>0</v>
      </c>
      <c r="F32" s="806" t="s">
        <v>122</v>
      </c>
      <c r="G32" s="45">
        <f>IF(OR($E$7="Actual",$F32="Actual"),E32,IF(F32="Fixed Amount",D32,IF(F32="$/GSF",D32*'Operating Assumptions'!$D$11,IF(F32="$/Unit",D32*'Operating Assumptions'!$D$14,IF(F32="%/Hard Costs",$G$26*D32,IF(F32="Insurance Calc",(($G$26/1000)*D32)*'Operating Assumptions'!$D$49))))))</f>
        <v>1500000</v>
      </c>
      <c r="H32" s="71">
        <f>G32/'Operating Assumptions'!$D$12</f>
        <v>6.877200704225352</v>
      </c>
      <c r="I32" s="45">
        <f>G32/'Operating Assumptions'!$D$14</f>
        <v>6250</v>
      </c>
      <c r="J32" s="975">
        <f t="shared" si="2"/>
        <v>2.6353222906017167E-2</v>
      </c>
      <c r="K32" s="76">
        <v>46082</v>
      </c>
      <c r="L32" s="75">
        <v>12</v>
      </c>
      <c r="M32" s="70">
        <f t="shared" si="3"/>
        <v>46446</v>
      </c>
      <c r="N32" s="52"/>
      <c r="O32" s="32"/>
      <c r="P32" s="727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</row>
    <row r="33" spans="1:48" s="31" customFormat="1" ht="12.75" customHeight="1" x14ac:dyDescent="0.25">
      <c r="A33" s="32"/>
      <c r="B33" s="81" t="s">
        <v>743</v>
      </c>
      <c r="C33" s="77"/>
      <c r="D33" s="75">
        <v>830000</v>
      </c>
      <c r="E33" s="72">
        <v>0</v>
      </c>
      <c r="F33" s="806" t="s">
        <v>122</v>
      </c>
      <c r="G33" s="45">
        <f>IF(OR($E$7="Actual",$F33="Actual"),E33,IF(F33="Fixed Amount",D33,IF(F33="$/GSF",D33*'Operating Assumptions'!$D$11,IF(F33="$/Unit",D33*'Operating Assumptions'!$D$14,IF(F33="%/Hard Costs",$G$26*D33,IF(F33="Insurance Calc",(($G$26/1000)*D33)*'Operating Assumptions'!$D$49))))))</f>
        <v>830000</v>
      </c>
      <c r="H33" s="71">
        <f>G33/'Operating Assumptions'!$D$12</f>
        <v>3.8053843896713615</v>
      </c>
      <c r="I33" s="45">
        <f>G33/'Operating Assumptions'!$D$14</f>
        <v>3458.3333333333335</v>
      </c>
      <c r="J33" s="975">
        <f t="shared" si="2"/>
        <v>1.4582116674662832E-2</v>
      </c>
      <c r="K33" s="76">
        <v>46082</v>
      </c>
      <c r="L33" s="75">
        <v>9</v>
      </c>
      <c r="M33" s="70">
        <f t="shared" si="3"/>
        <v>46356</v>
      </c>
      <c r="N33" s="52"/>
      <c r="O33" s="32"/>
      <c r="P33" s="727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</row>
    <row r="34" spans="1:48" s="31" customFormat="1" ht="12.75" customHeight="1" x14ac:dyDescent="0.25">
      <c r="A34" s="32"/>
      <c r="B34" s="81" t="s">
        <v>744</v>
      </c>
      <c r="C34" s="77"/>
      <c r="D34" s="75">
        <v>100000</v>
      </c>
      <c r="E34" s="72">
        <v>0</v>
      </c>
      <c r="F34" s="806" t="s">
        <v>122</v>
      </c>
      <c r="G34" s="45">
        <f>IF(OR($E$7="Actual",$F34="Actual"),E34,IF(F34="Fixed Amount",D34,IF(F34="$/GSF",D34*'Operating Assumptions'!$D$11,IF(F34="$/Unit",D34*'Operating Assumptions'!$D$14,IF(F34="%/Hard Costs",$G$26*D34,IF(F34="Insurance Calc",(($G$26/1000)*D34)*'Operating Assumptions'!$D$49))))))</f>
        <v>100000</v>
      </c>
      <c r="H34" s="71">
        <f>G34/'Operating Assumptions'!$D$12</f>
        <v>0.45848004694835681</v>
      </c>
      <c r="I34" s="45">
        <f>G34/'Operating Assumptions'!$D$14</f>
        <v>416.66666666666669</v>
      </c>
      <c r="J34" s="975">
        <f t="shared" si="2"/>
        <v>1.7568815270678111E-3</v>
      </c>
      <c r="K34" s="76">
        <v>46082</v>
      </c>
      <c r="L34" s="75">
        <v>6</v>
      </c>
      <c r="M34" s="70">
        <f t="shared" si="3"/>
        <v>46265</v>
      </c>
      <c r="N34" s="5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</row>
    <row r="35" spans="1:48" s="31" customFormat="1" ht="12.75" customHeight="1" x14ac:dyDescent="0.25">
      <c r="A35" s="32"/>
      <c r="B35" s="81" t="s">
        <v>763</v>
      </c>
      <c r="C35" s="77"/>
      <c r="D35" s="75">
        <v>300000</v>
      </c>
      <c r="E35" s="72"/>
      <c r="F35" s="806" t="s">
        <v>122</v>
      </c>
      <c r="G35" s="45">
        <f>IF(OR($E$7="Actual",$F35="Actual"),E35,IF(F35="Fixed Amount",D35,IF(F35="$/GSF",D35*'Operating Assumptions'!$D$11,IF(F35="$/Unit",D35*'Operating Assumptions'!$D$14,IF(F35="%/Hard Costs",$G$26*D35,IF(F35="Insurance Calc",(($G$26/1000)*D35)*'Operating Assumptions'!$D$49))))))</f>
        <v>300000</v>
      </c>
      <c r="H35" s="71">
        <f>G35/'Operating Assumptions'!$D$12</f>
        <v>1.3754401408450705</v>
      </c>
      <c r="I35" s="45">
        <f>G35/'Operating Assumptions'!$D$14</f>
        <v>1250</v>
      </c>
      <c r="J35" s="975">
        <f t="shared" si="2"/>
        <v>5.2706445812034331E-3</v>
      </c>
      <c r="K35" s="76">
        <v>46082</v>
      </c>
      <c r="L35" s="75">
        <v>1</v>
      </c>
      <c r="M35" s="70">
        <f t="shared" ref="M35:M36" si="4">EOMONTH(K35,L35-1)</f>
        <v>46112</v>
      </c>
      <c r="N35" s="5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</row>
    <row r="36" spans="1:48" s="31" customFormat="1" ht="12.75" customHeight="1" x14ac:dyDescent="0.25">
      <c r="A36" s="32"/>
      <c r="B36" s="81" t="s">
        <v>761</v>
      </c>
      <c r="C36" s="77"/>
      <c r="D36" s="75">
        <v>350000</v>
      </c>
      <c r="E36" s="72"/>
      <c r="F36" s="806" t="s">
        <v>122</v>
      </c>
      <c r="G36" s="45">
        <f>IF(OR($E$7="Actual",$F36="Actual"),E36,IF(F36="Fixed Amount",D36,IF(F36="$/GSF",D36*'Operating Assumptions'!$D$11,IF(F36="$/Unit",D36*'Operating Assumptions'!$D$14,IF(F36="%/Hard Costs",$G$26*D36,IF(F36="Insurance Calc",(($G$26/1000)*D36)*'Operating Assumptions'!$D$49))))))</f>
        <v>350000</v>
      </c>
      <c r="H36" s="71">
        <f>G36/'Operating Assumptions'!$D$12</f>
        <v>1.6046801643192488</v>
      </c>
      <c r="I36" s="45">
        <f>G36/'Operating Assumptions'!$D$14</f>
        <v>1458.3333333333333</v>
      </c>
      <c r="J36" s="975">
        <f t="shared" si="2"/>
        <v>6.1490853447373388E-3</v>
      </c>
      <c r="K36" s="76">
        <v>46082</v>
      </c>
      <c r="L36" s="75">
        <v>1</v>
      </c>
      <c r="M36" s="70">
        <f t="shared" si="4"/>
        <v>46112</v>
      </c>
      <c r="N36" s="5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</row>
    <row r="37" spans="1:48" s="31" customFormat="1" ht="12.75" customHeight="1" x14ac:dyDescent="0.25">
      <c r="A37" s="32"/>
      <c r="B37" s="81" t="s">
        <v>762</v>
      </c>
      <c r="C37" s="77"/>
      <c r="D37" s="75">
        <v>250000</v>
      </c>
      <c r="E37" s="72">
        <v>0</v>
      </c>
      <c r="F37" s="806" t="s">
        <v>122</v>
      </c>
      <c r="G37" s="45">
        <f>IF(OR($E$7="Actual",$F37="Actual"),E37,IF(F37="Fixed Amount",D37,IF(F37="$/GSF",D37*'Operating Assumptions'!$D$11,IF(F37="$/Unit",D37*'Operating Assumptions'!$D$14,IF(F37="%/Hard Costs",$G$26*D37,IF(F37="Insurance Calc",(($G$26/1000)*D37)*'Operating Assumptions'!$D$49))))))</f>
        <v>250000</v>
      </c>
      <c r="H37" s="71">
        <f>G37/'Operating Assumptions'!$D$12</f>
        <v>1.146200117370892</v>
      </c>
      <c r="I37" s="45">
        <f>G37/'Operating Assumptions'!$D$14</f>
        <v>1041.6666666666667</v>
      </c>
      <c r="J37" s="975">
        <f t="shared" si="2"/>
        <v>4.3922038176695275E-3</v>
      </c>
      <c r="K37" s="76">
        <v>46447</v>
      </c>
      <c r="L37" s="75">
        <v>12</v>
      </c>
      <c r="M37" s="70">
        <f t="shared" si="3"/>
        <v>46812</v>
      </c>
      <c r="N37" s="5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</row>
    <row r="38" spans="1:48" s="31" customFormat="1" ht="12.75" hidden="1" customHeight="1" outlineLevel="1" x14ac:dyDescent="0.25">
      <c r="A38" s="32"/>
      <c r="B38" s="81" t="s">
        <v>501</v>
      </c>
      <c r="C38" s="77"/>
      <c r="D38" s="75">
        <v>0</v>
      </c>
      <c r="E38" s="72">
        <v>0</v>
      </c>
      <c r="F38" s="806" t="s">
        <v>122</v>
      </c>
      <c r="G38" s="45">
        <f>IF(OR($E$7="Actual",$F38="Actual"),E38,IF(F38="Fixed Amount",D38,IF(F38="$/GSF",D38*'Operating Assumptions'!$D$11,IF(F38="$/Unit",D38*'Operating Assumptions'!$D$14,IF(F38="%/Hard Costs",$G$26*D38,IF(F38="Insurance Calc",(($G$26/1000)*D38)*'Operating Assumptions'!$D$49))))))</f>
        <v>0</v>
      </c>
      <c r="H38" s="71">
        <f>G38/'Operating Assumptions'!$D$12</f>
        <v>0</v>
      </c>
      <c r="I38" s="45">
        <f>G38/'Operating Assumptions'!$D$14</f>
        <v>0</v>
      </c>
      <c r="J38" s="975">
        <f t="shared" si="2"/>
        <v>0</v>
      </c>
      <c r="K38" s="76">
        <v>46082</v>
      </c>
      <c r="L38" s="75">
        <v>24</v>
      </c>
      <c r="M38" s="70">
        <f t="shared" si="3"/>
        <v>46812</v>
      </c>
      <c r="N38" s="5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</row>
    <row r="39" spans="1:48" s="31" customFormat="1" ht="12.75" hidden="1" customHeight="1" outlineLevel="1" x14ac:dyDescent="0.25">
      <c r="A39" s="32"/>
      <c r="B39" s="81" t="s">
        <v>501</v>
      </c>
      <c r="C39" s="77"/>
      <c r="D39" s="75">
        <v>0</v>
      </c>
      <c r="E39" s="72">
        <v>0</v>
      </c>
      <c r="F39" s="806" t="s">
        <v>122</v>
      </c>
      <c r="G39" s="45">
        <f>IF(OR($E$7="Actual",$F39="Actual"),E39,IF(F39="Fixed Amount",D39,IF(F39="$/GSF",D39*'Operating Assumptions'!$D$11,IF(F39="$/Unit",D39*'Operating Assumptions'!$D$14,IF(F39="%/Hard Costs",$G$26*D39,IF(F39="Insurance Calc",(($G$26/1000)*D39)*'Operating Assumptions'!$D$49))))))</f>
        <v>0</v>
      </c>
      <c r="H39" s="71">
        <f>G39/'Operating Assumptions'!$D$12</f>
        <v>0</v>
      </c>
      <c r="I39" s="45">
        <f>G39/'Operating Assumptions'!$D$14</f>
        <v>0</v>
      </c>
      <c r="J39" s="975">
        <f t="shared" si="2"/>
        <v>0</v>
      </c>
      <c r="K39" s="76">
        <v>46082</v>
      </c>
      <c r="L39" s="75">
        <v>24</v>
      </c>
      <c r="M39" s="70">
        <f t="shared" si="3"/>
        <v>46812</v>
      </c>
      <c r="N39" s="5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</row>
    <row r="40" spans="1:48" s="31" customFormat="1" ht="12.75" hidden="1" customHeight="1" outlineLevel="1" x14ac:dyDescent="0.25">
      <c r="A40" s="32"/>
      <c r="B40" s="81" t="s">
        <v>501</v>
      </c>
      <c r="C40" s="77"/>
      <c r="D40" s="75">
        <v>0</v>
      </c>
      <c r="E40" s="72">
        <v>0</v>
      </c>
      <c r="F40" s="806" t="s">
        <v>122</v>
      </c>
      <c r="G40" s="45">
        <f>IF(OR($E$7="Actual",$F40="Actual"),E40,IF(F40="Fixed Amount",D40,IF(F40="$/GSF",D40*'Operating Assumptions'!$D$11,IF(F40="$/Unit",D40*'Operating Assumptions'!$D$14,IF(F40="%/Hard Costs",$G$26*D40,IF(F40="Insurance Calc",(($G$26/1000)*D40)*'Operating Assumptions'!$D$49))))))</f>
        <v>0</v>
      </c>
      <c r="H40" s="71">
        <f>G40/'Operating Assumptions'!$D$12</f>
        <v>0</v>
      </c>
      <c r="I40" s="45">
        <f>G40/'Operating Assumptions'!$D$14</f>
        <v>0</v>
      </c>
      <c r="J40" s="975">
        <f t="shared" si="2"/>
        <v>0</v>
      </c>
      <c r="K40" s="76">
        <v>46082</v>
      </c>
      <c r="L40" s="75">
        <v>24</v>
      </c>
      <c r="M40" s="70">
        <f t="shared" si="3"/>
        <v>46812</v>
      </c>
      <c r="N40" s="52"/>
      <c r="O40" s="77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</row>
    <row r="41" spans="1:48" s="31" customFormat="1" ht="12.75" hidden="1" customHeight="1" outlineLevel="1" x14ac:dyDescent="0.25">
      <c r="A41" s="32"/>
      <c r="B41" s="81" t="s">
        <v>501</v>
      </c>
      <c r="C41" s="77"/>
      <c r="D41" s="75">
        <v>0</v>
      </c>
      <c r="E41" s="72">
        <v>0</v>
      </c>
      <c r="F41" s="806" t="s">
        <v>122</v>
      </c>
      <c r="G41" s="45">
        <f>IF(OR($E$7="Actual",$F41="Actual"),E41,IF(F41="Fixed Amount",D41,IF(F41="$/GSF",D41*'Operating Assumptions'!$D$11,IF(F41="$/Unit",D41*'Operating Assumptions'!$D$14,IF(F41="%/Hard Costs",$G$26*D41,IF(F41="Insurance Calc",(($G$26/1000)*D41)*'Operating Assumptions'!$D$49))))))</f>
        <v>0</v>
      </c>
      <c r="H41" s="71">
        <f>G41/'Operating Assumptions'!$D$12</f>
        <v>0</v>
      </c>
      <c r="I41" s="45">
        <f>G41/'Operating Assumptions'!$D$14</f>
        <v>0</v>
      </c>
      <c r="J41" s="975">
        <f t="shared" si="2"/>
        <v>0</v>
      </c>
      <c r="K41" s="76">
        <v>46082</v>
      </c>
      <c r="L41" s="75">
        <v>24</v>
      </c>
      <c r="M41" s="70">
        <f t="shared" si="3"/>
        <v>46812</v>
      </c>
      <c r="N41" s="52"/>
      <c r="O41" s="77"/>
      <c r="P41" s="77"/>
      <c r="Q41" s="7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</row>
    <row r="42" spans="1:48" s="31" customFormat="1" ht="12.75" hidden="1" customHeight="1" outlineLevel="1" x14ac:dyDescent="0.25">
      <c r="A42" s="32"/>
      <c r="B42" s="81" t="s">
        <v>501</v>
      </c>
      <c r="C42" s="77"/>
      <c r="D42" s="75">
        <v>0</v>
      </c>
      <c r="E42" s="72">
        <v>0</v>
      </c>
      <c r="F42" s="806" t="s">
        <v>122</v>
      </c>
      <c r="G42" s="45">
        <f>IF(OR($E$7="Actual",$F42="Actual"),E42,IF(F42="Fixed Amount",D42,IF(F42="$/GSF",D42*'Operating Assumptions'!$D$11,IF(F42="$/Unit",D42*'Operating Assumptions'!$D$14,IF(F42="%/Hard Costs",$G$26*D42,IF(F42="Insurance Calc",(($G$26/1000)*D42)*'Operating Assumptions'!$D$49))))))</f>
        <v>0</v>
      </c>
      <c r="H42" s="71">
        <f>G42/'Operating Assumptions'!$D$12</f>
        <v>0</v>
      </c>
      <c r="I42" s="45">
        <f>G42/'Operating Assumptions'!$D$14</f>
        <v>0</v>
      </c>
      <c r="J42" s="975">
        <f t="shared" si="2"/>
        <v>0</v>
      </c>
      <c r="K42" s="76">
        <v>46082</v>
      </c>
      <c r="L42" s="75">
        <v>24</v>
      </c>
      <c r="M42" s="70">
        <f t="shared" si="3"/>
        <v>46812</v>
      </c>
      <c r="N42" s="5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</row>
    <row r="43" spans="1:48" s="31" customFormat="1" ht="12.75" hidden="1" customHeight="1" outlineLevel="1" x14ac:dyDescent="0.25">
      <c r="A43" s="32"/>
      <c r="B43" s="81" t="s">
        <v>501</v>
      </c>
      <c r="C43" s="77"/>
      <c r="D43" s="75">
        <v>0</v>
      </c>
      <c r="E43" s="72">
        <v>0</v>
      </c>
      <c r="F43" s="806" t="s">
        <v>122</v>
      </c>
      <c r="G43" s="45">
        <f>IF(OR($E$7="Actual",$F43="Actual"),E43,IF(F43="Fixed Amount",D43,IF(F43="$/GSF",D43*'Operating Assumptions'!$D$11,IF(F43="$/Unit",D43*'Operating Assumptions'!$D$14,IF(F43="%/Hard Costs",$G$26*D43,IF(F43="Insurance Calc",(($G$26/1000)*D43)*'Operating Assumptions'!$D$49))))))</f>
        <v>0</v>
      </c>
      <c r="H43" s="71">
        <f>G43/'Operating Assumptions'!$D$12</f>
        <v>0</v>
      </c>
      <c r="I43" s="45">
        <f>G43/'Operating Assumptions'!$D$14</f>
        <v>0</v>
      </c>
      <c r="J43" s="975">
        <f t="shared" si="2"/>
        <v>0</v>
      </c>
      <c r="K43" s="76">
        <v>46082</v>
      </c>
      <c r="L43" s="75">
        <v>24</v>
      </c>
      <c r="M43" s="70">
        <f t="shared" si="3"/>
        <v>46812</v>
      </c>
      <c r="N43" s="52"/>
      <c r="O43" s="32"/>
      <c r="P43" s="726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</row>
    <row r="44" spans="1:48" s="31" customFormat="1" ht="12.75" hidden="1" customHeight="1" outlineLevel="1" x14ac:dyDescent="0.25">
      <c r="A44" s="32"/>
      <c r="B44" s="81" t="s">
        <v>501</v>
      </c>
      <c r="C44" s="77"/>
      <c r="D44" s="75">
        <v>0</v>
      </c>
      <c r="E44" s="72">
        <v>0</v>
      </c>
      <c r="F44" s="806" t="s">
        <v>122</v>
      </c>
      <c r="G44" s="45">
        <f>IF(OR($E$7="Actual",$F44="Actual"),E44,IF(F44="Fixed Amount",D44,IF(F44="$/GSF",D44*'Operating Assumptions'!$D$11,IF(F44="$/Unit",D44*'Operating Assumptions'!$D$14,IF(F44="%/Hard Costs",$G$26*D44,IF(F44="Insurance Calc",(($G$26/1000)*D44)*'Operating Assumptions'!$D$49))))))</f>
        <v>0</v>
      </c>
      <c r="H44" s="71">
        <f>G44/'Operating Assumptions'!$D$12</f>
        <v>0</v>
      </c>
      <c r="I44" s="45">
        <f>G44/'Operating Assumptions'!$D$14</f>
        <v>0</v>
      </c>
      <c r="J44" s="975">
        <f t="shared" si="2"/>
        <v>0</v>
      </c>
      <c r="K44" s="76">
        <v>46082</v>
      </c>
      <c r="L44" s="75">
        <v>24</v>
      </c>
      <c r="M44" s="70">
        <f t="shared" si="3"/>
        <v>46812</v>
      </c>
      <c r="N44" s="5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</row>
    <row r="45" spans="1:48" s="31" customFormat="1" ht="12.75" hidden="1" customHeight="1" outlineLevel="1" x14ac:dyDescent="0.25">
      <c r="A45" s="32"/>
      <c r="B45" s="81" t="s">
        <v>501</v>
      </c>
      <c r="C45" s="77"/>
      <c r="D45" s="75">
        <v>0</v>
      </c>
      <c r="E45" s="72">
        <v>0</v>
      </c>
      <c r="F45" s="806" t="s">
        <v>122</v>
      </c>
      <c r="G45" s="45">
        <f>IF(OR($E$7="Actual",$F45="Actual"),E45,IF(F45="Fixed Amount",D45,IF(F45="$/GSF",D45*'Operating Assumptions'!$D$11,IF(F45="$/Unit",D45*'Operating Assumptions'!$D$14,IF(F45="%/Hard Costs",$G$26*D45,IF(F45="Insurance Calc",(($G$26/1000)*D45)*'Operating Assumptions'!$D$49))))))</f>
        <v>0</v>
      </c>
      <c r="H45" s="71">
        <f>G45/'Operating Assumptions'!$D$12</f>
        <v>0</v>
      </c>
      <c r="I45" s="45">
        <f>G45/'Operating Assumptions'!$D$14</f>
        <v>0</v>
      </c>
      <c r="J45" s="975">
        <f t="shared" si="2"/>
        <v>0</v>
      </c>
      <c r="K45" s="76">
        <v>46082</v>
      </c>
      <c r="L45" s="75">
        <v>24</v>
      </c>
      <c r="M45" s="70">
        <f t="shared" si="3"/>
        <v>46812</v>
      </c>
      <c r="N45" s="5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</row>
    <row r="46" spans="1:48" s="31" customFormat="1" ht="12.75" hidden="1" customHeight="1" outlineLevel="1" x14ac:dyDescent="0.25">
      <c r="A46" s="32"/>
      <c r="B46" s="81" t="s">
        <v>501</v>
      </c>
      <c r="C46" s="77"/>
      <c r="D46" s="75">
        <v>0</v>
      </c>
      <c r="E46" s="72">
        <v>0</v>
      </c>
      <c r="F46" s="806" t="s">
        <v>122</v>
      </c>
      <c r="G46" s="45">
        <f>IF(OR($E$7="Actual",$F46="Actual"),E46,IF(F46="Fixed Amount",D46,IF(F46="$/GSF",D46*'Operating Assumptions'!$D$11,IF(F46="$/Unit",D46*'Operating Assumptions'!$D$14,IF(F46="%/Hard Costs",$G$26*D46,IF(F46="Insurance Calc",(($G$26/1000)*D46)*'Operating Assumptions'!$D$49))))))</f>
        <v>0</v>
      </c>
      <c r="H46" s="71">
        <f>G46/'Operating Assumptions'!$D$12</f>
        <v>0</v>
      </c>
      <c r="I46" s="45">
        <f>G46/'Operating Assumptions'!$D$14</f>
        <v>0</v>
      </c>
      <c r="J46" s="975">
        <f t="shared" si="2"/>
        <v>0</v>
      </c>
      <c r="K46" s="76">
        <v>46082</v>
      </c>
      <c r="L46" s="75">
        <v>24</v>
      </c>
      <c r="M46" s="70">
        <f t="shared" si="3"/>
        <v>46812</v>
      </c>
      <c r="N46" s="5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</row>
    <row r="47" spans="1:48" s="31" customFormat="1" ht="12.75" hidden="1" customHeight="1" outlineLevel="1" x14ac:dyDescent="0.25">
      <c r="A47" s="32"/>
      <c r="B47" s="81" t="s">
        <v>501</v>
      </c>
      <c r="C47" s="77"/>
      <c r="D47" s="75">
        <v>0</v>
      </c>
      <c r="E47" s="72">
        <v>0</v>
      </c>
      <c r="F47" s="806" t="s">
        <v>122</v>
      </c>
      <c r="G47" s="45">
        <f>IF(OR($E$7="Actual",$F47="Actual"),E47,IF(F47="Fixed Amount",D47,IF(F47="$/GSF",D47*'Operating Assumptions'!$D$11,IF(F47="$/Unit",D47*'Operating Assumptions'!$D$14,IF(F47="%/Hard Costs",$G$26*D47,IF(F47="Insurance Calc",(($G$26/1000)*D47)*'Operating Assumptions'!$D$49))))))</f>
        <v>0</v>
      </c>
      <c r="H47" s="71">
        <f>G47/'Operating Assumptions'!$D$12</f>
        <v>0</v>
      </c>
      <c r="I47" s="45">
        <f>G47/'Operating Assumptions'!$D$14</f>
        <v>0</v>
      </c>
      <c r="J47" s="975">
        <f t="shared" si="2"/>
        <v>0</v>
      </c>
      <c r="K47" s="76">
        <v>46082</v>
      </c>
      <c r="L47" s="75">
        <v>24</v>
      </c>
      <c r="M47" s="70">
        <f t="shared" si="3"/>
        <v>46812</v>
      </c>
      <c r="N47" s="5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</row>
    <row r="48" spans="1:48" s="31" customFormat="1" ht="12.75" hidden="1" customHeight="1" outlineLevel="1" x14ac:dyDescent="0.25">
      <c r="A48" s="32"/>
      <c r="B48" s="81" t="s">
        <v>501</v>
      </c>
      <c r="C48" s="77"/>
      <c r="D48" s="75">
        <v>0</v>
      </c>
      <c r="E48" s="72">
        <v>0</v>
      </c>
      <c r="F48" s="806" t="s">
        <v>122</v>
      </c>
      <c r="G48" s="45">
        <f>IF(OR($E$7="Actual",$F48="Actual"),E48,IF(F48="Fixed Amount",D48,IF(F48="$/GSF",D48*'Operating Assumptions'!$D$11,IF(F48="$/Unit",D48*'Operating Assumptions'!$D$14,IF(F48="%/Hard Costs",$G$26*D48,IF(F48="Insurance Calc",(($G$26/1000)*D48)*'Operating Assumptions'!$D$49))))))</f>
        <v>0</v>
      </c>
      <c r="H48" s="71">
        <f>G48/'Operating Assumptions'!$D$12</f>
        <v>0</v>
      </c>
      <c r="I48" s="45">
        <f>G48/'Operating Assumptions'!$D$14</f>
        <v>0</v>
      </c>
      <c r="J48" s="975">
        <f t="shared" si="2"/>
        <v>0</v>
      </c>
      <c r="K48" s="76">
        <v>46082</v>
      </c>
      <c r="L48" s="75">
        <v>24</v>
      </c>
      <c r="M48" s="70">
        <f t="shared" si="3"/>
        <v>46812</v>
      </c>
      <c r="N48" s="5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</row>
    <row r="49" spans="1:48" s="31" customFormat="1" ht="12.75" hidden="1" customHeight="1" outlineLevel="1" x14ac:dyDescent="0.25">
      <c r="A49" s="32"/>
      <c r="B49" s="81" t="s">
        <v>501</v>
      </c>
      <c r="C49" s="77"/>
      <c r="D49" s="75">
        <v>0</v>
      </c>
      <c r="E49" s="72">
        <v>0</v>
      </c>
      <c r="F49" s="806" t="s">
        <v>122</v>
      </c>
      <c r="G49" s="45">
        <f>IF(OR($E$7="Actual",$F49="Actual"),E49,IF(F49="Fixed Amount",D49,IF(F49="$/GSF",D49*'Operating Assumptions'!$D$11,IF(F49="$/Unit",D49*'Operating Assumptions'!$D$14,IF(F49="%/Hard Costs",$G$26*D49,IF(F49="Insurance Calc",(($G$26/1000)*D49)*'Operating Assumptions'!$D$49))))))</f>
        <v>0</v>
      </c>
      <c r="H49" s="71">
        <f>G49/'Operating Assumptions'!$D$12</f>
        <v>0</v>
      </c>
      <c r="I49" s="45">
        <f>G49/'Operating Assumptions'!$D$14</f>
        <v>0</v>
      </c>
      <c r="J49" s="975">
        <f t="shared" si="2"/>
        <v>0</v>
      </c>
      <c r="K49" s="76">
        <v>46082</v>
      </c>
      <c r="L49" s="75">
        <v>24</v>
      </c>
      <c r="M49" s="70">
        <f t="shared" si="3"/>
        <v>46812</v>
      </c>
      <c r="N49" s="5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</row>
    <row r="50" spans="1:48" s="31" customFormat="1" ht="12.75" hidden="1" customHeight="1" outlineLevel="1" x14ac:dyDescent="0.25">
      <c r="A50" s="32"/>
      <c r="B50" s="81" t="s">
        <v>501</v>
      </c>
      <c r="C50" s="77"/>
      <c r="D50" s="75">
        <v>0</v>
      </c>
      <c r="E50" s="72">
        <v>0</v>
      </c>
      <c r="F50" s="806" t="s">
        <v>122</v>
      </c>
      <c r="G50" s="45">
        <f>IF(OR($E$7="Actual",$F50="Actual"),E50,IF(F50="Fixed Amount",D50,IF(F50="$/GSF",D50*'Operating Assumptions'!$D$11,IF(F50="$/Unit",D50*'Operating Assumptions'!$D$14,IF(F50="%/Hard Costs",$G$26*D50,IF(F50="Insurance Calc",(($G$26/1000)*D50)*'Operating Assumptions'!$D$49))))))</f>
        <v>0</v>
      </c>
      <c r="H50" s="71">
        <f>G50/'Operating Assumptions'!$D$12</f>
        <v>0</v>
      </c>
      <c r="I50" s="45">
        <f>G50/'Operating Assumptions'!$D$14</f>
        <v>0</v>
      </c>
      <c r="J50" s="975">
        <f t="shared" si="2"/>
        <v>0</v>
      </c>
      <c r="K50" s="76">
        <v>46082</v>
      </c>
      <c r="L50" s="75">
        <v>24</v>
      </c>
      <c r="M50" s="70">
        <f t="shared" si="3"/>
        <v>46812</v>
      </c>
      <c r="N50" s="5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</row>
    <row r="51" spans="1:48" s="31" customFormat="1" ht="12.75" hidden="1" customHeight="1" outlineLevel="1" x14ac:dyDescent="0.25">
      <c r="A51" s="32"/>
      <c r="B51" s="81" t="s">
        <v>501</v>
      </c>
      <c r="C51" s="77"/>
      <c r="D51" s="75">
        <v>0</v>
      </c>
      <c r="E51" s="72">
        <v>0</v>
      </c>
      <c r="F51" s="806" t="s">
        <v>122</v>
      </c>
      <c r="G51" s="45">
        <f>IF(OR($E$7="Actual",$F51="Actual"),E51,IF(F51="Fixed Amount",D51,IF(F51="$/GSF",D51*'Operating Assumptions'!$D$11,IF(F51="$/Unit",D51*'Operating Assumptions'!$D$14,IF(F51="%/Hard Costs",$G$26*D51,IF(F51="Insurance Calc",(($G$26/1000)*D51)*'Operating Assumptions'!$D$49))))))</f>
        <v>0</v>
      </c>
      <c r="H51" s="71">
        <f>G51/'Operating Assumptions'!$D$12</f>
        <v>0</v>
      </c>
      <c r="I51" s="45">
        <f>G51/'Operating Assumptions'!$D$14</f>
        <v>0</v>
      </c>
      <c r="J51" s="975">
        <f t="shared" si="2"/>
        <v>0</v>
      </c>
      <c r="K51" s="76">
        <v>46082</v>
      </c>
      <c r="L51" s="75">
        <v>24</v>
      </c>
      <c r="M51" s="70">
        <f t="shared" si="3"/>
        <v>46812</v>
      </c>
      <c r="N51" s="5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</row>
    <row r="52" spans="1:48" s="31" customFormat="1" ht="12.75" customHeight="1" collapsed="1" x14ac:dyDescent="0.25">
      <c r="A52" s="32"/>
      <c r="B52" s="43" t="s">
        <v>128</v>
      </c>
      <c r="C52" s="77"/>
      <c r="D52" s="72">
        <v>500000</v>
      </c>
      <c r="E52" s="72">
        <v>0</v>
      </c>
      <c r="F52" s="806" t="s">
        <v>122</v>
      </c>
      <c r="G52" s="82">
        <f>IF(OR($E$7="Actual",$F52="Actual"),E52,IF(F52="Fixed Amount",D52,IF(F52="$/GSF",D52*'Operating Assumptions'!$D$11,IF(F52="$/Unit",D52*'Operating Assumptions'!$D$14,IF(F52="%/Soft Costs",D52*SUM(G29:G51))))))</f>
        <v>500000</v>
      </c>
      <c r="H52" s="71">
        <f>G52/'Operating Assumptions'!$D$12</f>
        <v>2.292400234741784</v>
      </c>
      <c r="I52" s="45">
        <f>G52/'Operating Assumptions'!$D$14</f>
        <v>2083.3333333333335</v>
      </c>
      <c r="J52" s="975">
        <f t="shared" si="2"/>
        <v>8.784407635339055E-3</v>
      </c>
      <c r="K52" s="76">
        <v>46082</v>
      </c>
      <c r="L52" s="75">
        <v>24</v>
      </c>
      <c r="M52" s="70">
        <f t="shared" si="3"/>
        <v>46812</v>
      </c>
      <c r="N52" s="126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</row>
    <row r="53" spans="1:48" s="31" customFormat="1" ht="12.75" customHeight="1" x14ac:dyDescent="0.25">
      <c r="A53" s="32"/>
      <c r="B53" s="43"/>
      <c r="C53" s="34"/>
      <c r="D53" s="34"/>
      <c r="E53" s="34"/>
      <c r="F53" s="34"/>
      <c r="G53" s="35"/>
      <c r="H53" s="34"/>
      <c r="I53" s="34"/>
      <c r="J53" s="34"/>
      <c r="K53" s="34"/>
      <c r="L53" s="34"/>
      <c r="M53" s="34"/>
      <c r="N53" s="5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</row>
    <row r="54" spans="1:48" s="31" customFormat="1" ht="12.75" customHeight="1" x14ac:dyDescent="0.25">
      <c r="A54" s="32"/>
      <c r="B54" s="43"/>
      <c r="C54" s="68" t="s">
        <v>132</v>
      </c>
      <c r="D54" s="67">
        <f>SUM(D29:D52)</f>
        <v>4675000</v>
      </c>
      <c r="E54" s="49">
        <f>SUM(E29:E52)</f>
        <v>0</v>
      </c>
      <c r="F54" s="34"/>
      <c r="G54" s="49">
        <f>SUM(G29:G52)</f>
        <v>4675000</v>
      </c>
      <c r="H54" s="66">
        <f>G54/'Operating Assumptions'!$D$12</f>
        <v>21.43394219483568</v>
      </c>
      <c r="I54" s="49">
        <f>G54/'Operating Assumptions'!$D$14</f>
        <v>19479.166666666668</v>
      </c>
      <c r="J54" s="1318">
        <f>G54/$G$102</f>
        <v>8.2134211390420167E-2</v>
      </c>
      <c r="K54" s="34"/>
      <c r="L54" s="34"/>
      <c r="M54" s="34"/>
      <c r="N54" s="5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</row>
    <row r="55" spans="1:48" s="31" customFormat="1" ht="12.75" customHeight="1" x14ac:dyDescent="0.25">
      <c r="A55" s="32"/>
      <c r="B55" s="43"/>
      <c r="C55" s="68"/>
      <c r="D55" s="67"/>
      <c r="E55" s="49"/>
      <c r="F55" s="34"/>
      <c r="G55" s="49"/>
      <c r="H55" s="66"/>
      <c r="I55" s="49"/>
      <c r="J55" s="49"/>
      <c r="K55" s="34"/>
      <c r="L55" s="34"/>
      <c r="M55" s="34"/>
      <c r="N55" s="5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</row>
    <row r="56" spans="1:48" s="31" customFormat="1" ht="12.75" customHeight="1" x14ac:dyDescent="0.25">
      <c r="A56" s="32"/>
      <c r="B56" s="73" t="s">
        <v>272</v>
      </c>
      <c r="C56" s="34"/>
      <c r="D56" s="34"/>
      <c r="E56" s="34"/>
      <c r="F56" s="34"/>
      <c r="G56" s="36" t="s">
        <v>123</v>
      </c>
      <c r="H56" s="36" t="s">
        <v>556</v>
      </c>
      <c r="I56" s="36" t="s">
        <v>77</v>
      </c>
      <c r="J56" s="36" t="s">
        <v>616</v>
      </c>
      <c r="K56" s="34"/>
      <c r="L56" s="34"/>
      <c r="M56" s="34"/>
      <c r="N56" s="5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</row>
    <row r="57" spans="1:48" s="31" customFormat="1" ht="12.75" customHeight="1" x14ac:dyDescent="0.25">
      <c r="A57" s="32"/>
      <c r="B57" s="81" t="s">
        <v>0</v>
      </c>
      <c r="C57" s="34"/>
      <c r="D57" s="72">
        <v>1250</v>
      </c>
      <c r="E57" s="72">
        <v>0</v>
      </c>
      <c r="F57" s="806" t="s">
        <v>77</v>
      </c>
      <c r="G57" s="45">
        <f>IF(OR($E$7="Actual",$F57="Actual"),E57,IF(F57="Fixed Amount",D57,IF(F57="$/GSF",D57*'Operating Assumptions'!$D$11,IF(F57="$/Unit",D57*'Operating Assumptions'!$D$14))))</f>
        <v>300000</v>
      </c>
      <c r="H57" s="71">
        <f>G57/'Operating Assumptions'!$D$12</f>
        <v>1.3754401408450705</v>
      </c>
      <c r="I57" s="45">
        <f>G57/'Operating Assumptions'!$D$14</f>
        <v>1250</v>
      </c>
      <c r="J57" s="975">
        <f t="shared" ref="J57:J70" si="5">G57/$G$102</f>
        <v>5.2706445812034331E-3</v>
      </c>
      <c r="K57" s="76">
        <v>46357</v>
      </c>
      <c r="L57" s="75">
        <v>12</v>
      </c>
      <c r="M57" s="70">
        <f t="shared" ref="M57:M70" si="6">EOMONTH(K57,L57-1)</f>
        <v>46721</v>
      </c>
      <c r="N57" s="5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</row>
    <row r="58" spans="1:48" s="31" customFormat="1" ht="12.75" hidden="1" customHeight="1" outlineLevel="1" x14ac:dyDescent="0.25">
      <c r="A58" s="32"/>
      <c r="B58" s="81" t="s">
        <v>501</v>
      </c>
      <c r="C58" s="34"/>
      <c r="D58" s="72">
        <v>0</v>
      </c>
      <c r="E58" s="72">
        <v>0</v>
      </c>
      <c r="F58" s="806" t="s">
        <v>122</v>
      </c>
      <c r="G58" s="45">
        <f>IF(OR($E$7="Actual",$F58="Actual"),E58,IF(F58="Fixed Amount",D58,IF(F58="$/GSF",D58*'Operating Assumptions'!$D$11,IF(F58="$/Unit",D58*'Operating Assumptions'!$D$14))))</f>
        <v>0</v>
      </c>
      <c r="H58" s="71">
        <f>G58/'Operating Assumptions'!$D$12</f>
        <v>0</v>
      </c>
      <c r="I58" s="45">
        <f>G58/'Operating Assumptions'!$D$14</f>
        <v>0</v>
      </c>
      <c r="J58" s="975">
        <f t="shared" si="5"/>
        <v>0</v>
      </c>
      <c r="K58" s="76">
        <v>46082</v>
      </c>
      <c r="L58" s="75">
        <v>12</v>
      </c>
      <c r="M58" s="70">
        <f t="shared" si="6"/>
        <v>46446</v>
      </c>
      <c r="N58" s="5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</row>
    <row r="59" spans="1:48" s="31" customFormat="1" ht="12.75" hidden="1" customHeight="1" outlineLevel="1" x14ac:dyDescent="0.25">
      <c r="A59" s="32"/>
      <c r="B59" s="81" t="s">
        <v>501</v>
      </c>
      <c r="C59" s="34"/>
      <c r="D59" s="72">
        <v>0</v>
      </c>
      <c r="E59" s="72">
        <v>0</v>
      </c>
      <c r="F59" s="806" t="s">
        <v>122</v>
      </c>
      <c r="G59" s="45">
        <f>IF(OR($E$7="Actual",$F59="Actual"),E59,IF(F59="Fixed Amount",D59,IF(F59="$/GSF",D59*'Operating Assumptions'!$D$11,IF(F59="$/Unit",D59*'Operating Assumptions'!$D$14))))</f>
        <v>0</v>
      </c>
      <c r="H59" s="71">
        <f>G59/'Operating Assumptions'!$D$12</f>
        <v>0</v>
      </c>
      <c r="I59" s="45">
        <f>G59/'Operating Assumptions'!$D$14</f>
        <v>0</v>
      </c>
      <c r="J59" s="975">
        <f t="shared" si="5"/>
        <v>0</v>
      </c>
      <c r="K59" s="76">
        <v>46082</v>
      </c>
      <c r="L59" s="75">
        <v>12</v>
      </c>
      <c r="M59" s="70">
        <f t="shared" si="6"/>
        <v>46446</v>
      </c>
      <c r="N59" s="5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</row>
    <row r="60" spans="1:48" s="31" customFormat="1" ht="12.75" hidden="1" customHeight="1" outlineLevel="1" x14ac:dyDescent="0.25">
      <c r="A60" s="32"/>
      <c r="B60" s="81" t="s">
        <v>501</v>
      </c>
      <c r="C60" s="34"/>
      <c r="D60" s="72">
        <v>0</v>
      </c>
      <c r="E60" s="72">
        <v>0</v>
      </c>
      <c r="F60" s="806" t="s">
        <v>122</v>
      </c>
      <c r="G60" s="45">
        <f>IF(OR($E$7="Actual",$F60="Actual"),E60,IF(F60="Fixed Amount",D60,IF(F60="$/GSF",D60*'Operating Assumptions'!$D$11,IF(F60="$/Unit",D60*'Operating Assumptions'!$D$14))))</f>
        <v>0</v>
      </c>
      <c r="H60" s="71">
        <f>G60/'Operating Assumptions'!$D$12</f>
        <v>0</v>
      </c>
      <c r="I60" s="45">
        <f>G60/'Operating Assumptions'!$D$14</f>
        <v>0</v>
      </c>
      <c r="J60" s="975">
        <f t="shared" si="5"/>
        <v>0</v>
      </c>
      <c r="K60" s="76">
        <v>46082</v>
      </c>
      <c r="L60" s="75">
        <v>12</v>
      </c>
      <c r="M60" s="70">
        <f t="shared" si="6"/>
        <v>46446</v>
      </c>
      <c r="N60" s="5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</row>
    <row r="61" spans="1:48" s="31" customFormat="1" ht="12.75" hidden="1" customHeight="1" outlineLevel="1" x14ac:dyDescent="0.25">
      <c r="A61" s="32"/>
      <c r="B61" s="81" t="s">
        <v>501</v>
      </c>
      <c r="C61" s="34"/>
      <c r="D61" s="72">
        <v>0</v>
      </c>
      <c r="E61" s="72">
        <v>0</v>
      </c>
      <c r="F61" s="806" t="s">
        <v>122</v>
      </c>
      <c r="G61" s="45">
        <f>IF(OR($E$7="Actual",$F61="Actual"),E61,IF(F61="Fixed Amount",D61,IF(F61="$/GSF",D61*'Operating Assumptions'!$D$11,IF(F61="$/Unit",D61*'Operating Assumptions'!$D$14))))</f>
        <v>0</v>
      </c>
      <c r="H61" s="71">
        <f>G61/'Operating Assumptions'!$D$12</f>
        <v>0</v>
      </c>
      <c r="I61" s="45">
        <f>G61/'Operating Assumptions'!$D$14</f>
        <v>0</v>
      </c>
      <c r="J61" s="975">
        <f t="shared" si="5"/>
        <v>0</v>
      </c>
      <c r="K61" s="76">
        <v>46082</v>
      </c>
      <c r="L61" s="75">
        <v>12</v>
      </c>
      <c r="M61" s="70">
        <f t="shared" si="6"/>
        <v>46446</v>
      </c>
      <c r="N61" s="5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</row>
    <row r="62" spans="1:48" s="31" customFormat="1" ht="12.75" hidden="1" customHeight="1" outlineLevel="1" x14ac:dyDescent="0.25">
      <c r="A62" s="32"/>
      <c r="B62" s="81" t="s">
        <v>501</v>
      </c>
      <c r="C62" s="34"/>
      <c r="D62" s="72">
        <v>0</v>
      </c>
      <c r="E62" s="72">
        <v>0</v>
      </c>
      <c r="F62" s="806" t="s">
        <v>122</v>
      </c>
      <c r="G62" s="45">
        <f>IF(OR($E$7="Actual",$F62="Actual"),E62,IF(F62="Fixed Amount",D62,IF(F62="$/GSF",D62*'Operating Assumptions'!$D$11,IF(F62="$/Unit",D62*'Operating Assumptions'!$D$14))))</f>
        <v>0</v>
      </c>
      <c r="H62" s="71">
        <f>G62/'Operating Assumptions'!$D$12</f>
        <v>0</v>
      </c>
      <c r="I62" s="45">
        <f>G62/'Operating Assumptions'!$D$14</f>
        <v>0</v>
      </c>
      <c r="J62" s="975">
        <f t="shared" si="5"/>
        <v>0</v>
      </c>
      <c r="K62" s="76">
        <v>46082</v>
      </c>
      <c r="L62" s="75">
        <v>12</v>
      </c>
      <c r="M62" s="70">
        <f t="shared" si="6"/>
        <v>46446</v>
      </c>
      <c r="N62" s="5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</row>
    <row r="63" spans="1:48" s="31" customFormat="1" ht="12.75" hidden="1" customHeight="1" outlineLevel="1" x14ac:dyDescent="0.25">
      <c r="A63" s="32"/>
      <c r="B63" s="81" t="s">
        <v>501</v>
      </c>
      <c r="C63" s="34"/>
      <c r="D63" s="72">
        <v>0</v>
      </c>
      <c r="E63" s="72">
        <v>0</v>
      </c>
      <c r="F63" s="806" t="s">
        <v>122</v>
      </c>
      <c r="G63" s="45">
        <f>IF(OR($E$7="Actual",$F63="Actual"),E63,IF(F63="Fixed Amount",D63,IF(F63="$/GSF",D63*'Operating Assumptions'!$D$11,IF(F63="$/Unit",D63*'Operating Assumptions'!$D$14))))</f>
        <v>0</v>
      </c>
      <c r="H63" s="71">
        <f>G63/'Operating Assumptions'!$D$12</f>
        <v>0</v>
      </c>
      <c r="I63" s="45">
        <f>G63/'Operating Assumptions'!$D$14</f>
        <v>0</v>
      </c>
      <c r="J63" s="975">
        <f t="shared" si="5"/>
        <v>0</v>
      </c>
      <c r="K63" s="76">
        <v>46082</v>
      </c>
      <c r="L63" s="75">
        <v>12</v>
      </c>
      <c r="M63" s="70">
        <f t="shared" si="6"/>
        <v>46446</v>
      </c>
      <c r="N63" s="5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</row>
    <row r="64" spans="1:48" s="31" customFormat="1" ht="12.75" hidden="1" customHeight="1" outlineLevel="1" x14ac:dyDescent="0.25">
      <c r="A64" s="32"/>
      <c r="B64" s="81" t="s">
        <v>501</v>
      </c>
      <c r="C64" s="34"/>
      <c r="D64" s="72">
        <v>0</v>
      </c>
      <c r="E64" s="72">
        <v>0</v>
      </c>
      <c r="F64" s="806" t="s">
        <v>122</v>
      </c>
      <c r="G64" s="45">
        <f>IF(OR($E$7="Actual",$F64="Actual"),E64,IF(F64="Fixed Amount",D64,IF(F64="$/GSF",D64*'Operating Assumptions'!$D$11,IF(F64="$/Unit",D64*'Operating Assumptions'!$D$14))))</f>
        <v>0</v>
      </c>
      <c r="H64" s="71">
        <f>G64/'Operating Assumptions'!$D$12</f>
        <v>0</v>
      </c>
      <c r="I64" s="45">
        <f>G64/'Operating Assumptions'!$D$14</f>
        <v>0</v>
      </c>
      <c r="J64" s="975">
        <f t="shared" si="5"/>
        <v>0</v>
      </c>
      <c r="K64" s="76">
        <v>46082</v>
      </c>
      <c r="L64" s="75">
        <v>12</v>
      </c>
      <c r="M64" s="70">
        <f t="shared" si="6"/>
        <v>46446</v>
      </c>
      <c r="N64" s="5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</row>
    <row r="65" spans="1:48" s="31" customFormat="1" ht="12.75" hidden="1" customHeight="1" outlineLevel="1" x14ac:dyDescent="0.25">
      <c r="A65" s="32"/>
      <c r="B65" s="81" t="s">
        <v>501</v>
      </c>
      <c r="C65" s="34"/>
      <c r="D65" s="72">
        <v>0</v>
      </c>
      <c r="E65" s="72">
        <v>0</v>
      </c>
      <c r="F65" s="806" t="s">
        <v>122</v>
      </c>
      <c r="G65" s="45">
        <f>IF(OR($E$7="Actual",$F65="Actual"),E65,IF(F65="Fixed Amount",D65,IF(F65="$/GSF",D65*'Operating Assumptions'!$D$11,IF(F65="$/Unit",D65*'Operating Assumptions'!$D$14))))</f>
        <v>0</v>
      </c>
      <c r="H65" s="71">
        <f>G65/'Operating Assumptions'!$D$12</f>
        <v>0</v>
      </c>
      <c r="I65" s="45">
        <f>G65/'Operating Assumptions'!$D$14</f>
        <v>0</v>
      </c>
      <c r="J65" s="975">
        <f t="shared" si="5"/>
        <v>0</v>
      </c>
      <c r="K65" s="76">
        <v>46082</v>
      </c>
      <c r="L65" s="75">
        <v>12</v>
      </c>
      <c r="M65" s="70">
        <f t="shared" si="6"/>
        <v>46446</v>
      </c>
      <c r="N65" s="5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</row>
    <row r="66" spans="1:48" s="31" customFormat="1" ht="12.75" hidden="1" customHeight="1" outlineLevel="1" x14ac:dyDescent="0.25">
      <c r="A66" s="32"/>
      <c r="B66" s="81" t="s">
        <v>501</v>
      </c>
      <c r="C66" s="34"/>
      <c r="D66" s="72">
        <v>0</v>
      </c>
      <c r="E66" s="72">
        <v>0</v>
      </c>
      <c r="F66" s="806" t="s">
        <v>122</v>
      </c>
      <c r="G66" s="45">
        <f>IF(OR($E$7="Actual",$F66="Actual"),E66,IF(F66="Fixed Amount",D66,IF(F66="$/GSF",D66*'Operating Assumptions'!$D$11,IF(F66="$/Unit",D66*'Operating Assumptions'!$D$14))))</f>
        <v>0</v>
      </c>
      <c r="H66" s="71">
        <f>G66/'Operating Assumptions'!$D$12</f>
        <v>0</v>
      </c>
      <c r="I66" s="45">
        <f>G66/'Operating Assumptions'!$D$14</f>
        <v>0</v>
      </c>
      <c r="J66" s="975">
        <f t="shared" si="5"/>
        <v>0</v>
      </c>
      <c r="K66" s="76">
        <v>46082</v>
      </c>
      <c r="L66" s="75">
        <v>12</v>
      </c>
      <c r="M66" s="70">
        <f t="shared" si="6"/>
        <v>46446</v>
      </c>
      <c r="N66" s="5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</row>
    <row r="67" spans="1:48" s="31" customFormat="1" ht="12.75" hidden="1" customHeight="1" outlineLevel="1" x14ac:dyDescent="0.25">
      <c r="A67" s="32"/>
      <c r="B67" s="81" t="s">
        <v>501</v>
      </c>
      <c r="C67" s="34"/>
      <c r="D67" s="72">
        <v>0</v>
      </c>
      <c r="E67" s="72">
        <v>0</v>
      </c>
      <c r="F67" s="806" t="s">
        <v>122</v>
      </c>
      <c r="G67" s="45">
        <f>IF(OR($E$7="Actual",$F67="Actual"),E67,IF(F67="Fixed Amount",D67,IF(F67="$/GSF",D67*'Operating Assumptions'!$D$11,IF(F67="$/Unit",D67*'Operating Assumptions'!$D$14))))</f>
        <v>0</v>
      </c>
      <c r="H67" s="71">
        <f>G67/'Operating Assumptions'!$D$12</f>
        <v>0</v>
      </c>
      <c r="I67" s="45">
        <f>G67/'Operating Assumptions'!$D$14</f>
        <v>0</v>
      </c>
      <c r="J67" s="975">
        <f t="shared" si="5"/>
        <v>0</v>
      </c>
      <c r="K67" s="76">
        <v>46082</v>
      </c>
      <c r="L67" s="75">
        <v>12</v>
      </c>
      <c r="M67" s="70">
        <f t="shared" si="6"/>
        <v>46446</v>
      </c>
      <c r="N67" s="5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</row>
    <row r="68" spans="1:48" s="31" customFormat="1" ht="12.75" hidden="1" customHeight="1" outlineLevel="1" x14ac:dyDescent="0.25">
      <c r="A68" s="32"/>
      <c r="B68" s="81" t="s">
        <v>501</v>
      </c>
      <c r="C68" s="34"/>
      <c r="D68" s="72">
        <v>0</v>
      </c>
      <c r="E68" s="72">
        <v>0</v>
      </c>
      <c r="F68" s="806" t="s">
        <v>122</v>
      </c>
      <c r="G68" s="45">
        <f>IF(OR($E$7="Actual",$F68="Actual"),E68,IF(F68="Fixed Amount",D68,IF(F68="$/GSF",D68*'Operating Assumptions'!$D$11,IF(F68="$/Unit",D68*'Operating Assumptions'!$D$14))))</f>
        <v>0</v>
      </c>
      <c r="H68" s="71">
        <f>G68/'Operating Assumptions'!$D$12</f>
        <v>0</v>
      </c>
      <c r="I68" s="45">
        <f>G68/'Operating Assumptions'!$D$14</f>
        <v>0</v>
      </c>
      <c r="J68" s="975">
        <f t="shared" si="5"/>
        <v>0</v>
      </c>
      <c r="K68" s="76">
        <v>46082</v>
      </c>
      <c r="L68" s="75">
        <v>12</v>
      </c>
      <c r="M68" s="70">
        <f t="shared" si="6"/>
        <v>46446</v>
      </c>
      <c r="N68" s="5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</row>
    <row r="69" spans="1:48" s="31" customFormat="1" ht="12.75" hidden="1" customHeight="1" outlineLevel="1" x14ac:dyDescent="0.25">
      <c r="A69" s="32"/>
      <c r="B69" s="81" t="s">
        <v>501</v>
      </c>
      <c r="C69" s="34"/>
      <c r="D69" s="72">
        <v>0</v>
      </c>
      <c r="E69" s="72">
        <v>0</v>
      </c>
      <c r="F69" s="806" t="s">
        <v>122</v>
      </c>
      <c r="G69" s="45">
        <f>IF(OR($E$7="Actual",$F69="Actual"),E69,IF(F69="Fixed Amount",D69,IF(F69="$/GSF",D69*'Operating Assumptions'!$D$11,IF(F69="$/Unit",D69*'Operating Assumptions'!$D$14))))</f>
        <v>0</v>
      </c>
      <c r="H69" s="71">
        <f>G69/'Operating Assumptions'!$D$12</f>
        <v>0</v>
      </c>
      <c r="I69" s="45">
        <f>G69/'Operating Assumptions'!$D$14</f>
        <v>0</v>
      </c>
      <c r="J69" s="975">
        <f t="shared" si="5"/>
        <v>0</v>
      </c>
      <c r="K69" s="76">
        <v>46082</v>
      </c>
      <c r="L69" s="75">
        <v>12</v>
      </c>
      <c r="M69" s="70">
        <f t="shared" si="6"/>
        <v>46446</v>
      </c>
      <c r="N69" s="5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</row>
    <row r="70" spans="1:48" s="31" customFormat="1" ht="12.75" customHeight="1" collapsed="1" x14ac:dyDescent="0.25">
      <c r="A70" s="32"/>
      <c r="B70" s="43" t="s">
        <v>424</v>
      </c>
      <c r="C70" s="34"/>
      <c r="D70" s="72">
        <v>0</v>
      </c>
      <c r="E70" s="72">
        <v>0</v>
      </c>
      <c r="F70" s="806" t="s">
        <v>122</v>
      </c>
      <c r="G70" s="45">
        <f>IF(OR($E$7="Actual",$F70="Actual"),E70,IF(F70="Fixed Amount",D70,IF(F70="$/GSF",D70*'Operating Assumptions'!$D$11,IF(F70="$/Unit",D70*'Operating Assumptions'!$D$14,IF(F70="%/FF&amp;E Costs",SUM(G57:G69)*D70)))))</f>
        <v>0</v>
      </c>
      <c r="H70" s="71">
        <f>G70/'Operating Assumptions'!$D$12</f>
        <v>0</v>
      </c>
      <c r="I70" s="45">
        <f>G70/'Operating Assumptions'!$D$14</f>
        <v>0</v>
      </c>
      <c r="J70" s="975">
        <f t="shared" si="5"/>
        <v>0</v>
      </c>
      <c r="K70" s="76">
        <v>46082</v>
      </c>
      <c r="L70" s="75">
        <v>24</v>
      </c>
      <c r="M70" s="70">
        <f t="shared" si="6"/>
        <v>46812</v>
      </c>
      <c r="N70" s="5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</row>
    <row r="71" spans="1:48" s="31" customFormat="1" ht="12.75" customHeight="1" x14ac:dyDescent="0.25">
      <c r="A71" s="32"/>
      <c r="B71" s="43"/>
      <c r="C71" s="34"/>
      <c r="D71" s="34"/>
      <c r="E71" s="34"/>
      <c r="F71" s="34"/>
      <c r="G71" s="35"/>
      <c r="H71" s="34"/>
      <c r="I71" s="34"/>
      <c r="J71" s="34"/>
      <c r="K71" s="34"/>
      <c r="L71" s="34"/>
      <c r="M71" s="34"/>
      <c r="N71" s="5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</row>
    <row r="72" spans="1:48" s="31" customFormat="1" ht="12.75" customHeight="1" x14ac:dyDescent="0.25">
      <c r="A72" s="32"/>
      <c r="B72" s="43"/>
      <c r="C72" s="68" t="s">
        <v>273</v>
      </c>
      <c r="D72" s="80">
        <f>SUM(D57:D70)</f>
        <v>1250</v>
      </c>
      <c r="E72" s="49">
        <f>SUM(E57:E70)</f>
        <v>0</v>
      </c>
      <c r="F72" s="34"/>
      <c r="G72" s="49">
        <f>SUM(G57:G70)</f>
        <v>300000</v>
      </c>
      <c r="H72" s="66">
        <f>G72/'Operating Assumptions'!$D$12</f>
        <v>1.3754401408450705</v>
      </c>
      <c r="I72" s="49">
        <f>G72/'Operating Assumptions'!$D$14</f>
        <v>1250</v>
      </c>
      <c r="J72" s="1318">
        <f>G72/$G$102</f>
        <v>5.2706445812034331E-3</v>
      </c>
      <c r="K72" s="34"/>
      <c r="L72" s="34"/>
      <c r="M72" s="34"/>
      <c r="N72" s="5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</row>
    <row r="73" spans="1:48" s="31" customFormat="1" ht="12.75" customHeight="1" x14ac:dyDescent="0.25">
      <c r="A73" s="381"/>
      <c r="B73" s="43"/>
      <c r="C73" s="34"/>
      <c r="D73" s="34"/>
      <c r="E73" s="34"/>
      <c r="F73" s="34"/>
      <c r="G73" s="35"/>
      <c r="H73" s="34"/>
      <c r="I73" s="34"/>
      <c r="J73" s="34"/>
      <c r="K73" s="34"/>
      <c r="L73" s="34"/>
      <c r="M73" s="34"/>
      <c r="N73" s="5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</row>
    <row r="74" spans="1:48" s="31" customFormat="1" ht="12.75" customHeight="1" x14ac:dyDescent="0.25">
      <c r="A74" s="381"/>
      <c r="B74" s="43"/>
      <c r="C74" s="34"/>
      <c r="D74" s="34"/>
      <c r="E74" s="34"/>
      <c r="F74" s="34"/>
      <c r="G74" s="35"/>
      <c r="H74" s="34"/>
      <c r="I74" s="34"/>
      <c r="J74" s="34"/>
      <c r="K74" s="34"/>
      <c r="L74" s="34"/>
      <c r="M74" s="34"/>
      <c r="N74" s="5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</row>
    <row r="75" spans="1:48" s="31" customFormat="1" ht="12.75" customHeight="1" x14ac:dyDescent="0.25">
      <c r="A75" s="381"/>
      <c r="B75" s="73" t="s">
        <v>127</v>
      </c>
      <c r="C75" s="77"/>
      <c r="D75" s="72">
        <v>0.04</v>
      </c>
      <c r="E75" s="72">
        <v>0</v>
      </c>
      <c r="F75" s="806" t="s">
        <v>766</v>
      </c>
      <c r="G75" s="49">
        <f>D75*SUM(G11,G26,G72,G87,G100)</f>
        <v>2009385.9368</v>
      </c>
      <c r="H75" s="66">
        <f>G75/'Operating Assumptions'!$D$12</f>
        <v>9.2126335864143201</v>
      </c>
      <c r="I75" s="49">
        <f>G75/'Operating Assumptions'!$D$14</f>
        <v>8372.4414033333342</v>
      </c>
      <c r="J75" s="1318">
        <f>G75/$G$102</f>
        <v>3.5302530331137685E-2</v>
      </c>
      <c r="K75" s="76">
        <v>46082</v>
      </c>
      <c r="L75" s="75">
        <v>24</v>
      </c>
      <c r="M75" s="70">
        <f>EOMONTH(K75,L75-1)</f>
        <v>46812</v>
      </c>
      <c r="N75" s="5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</row>
    <row r="76" spans="1:48" s="31" customFormat="1" ht="12.75" customHeight="1" x14ac:dyDescent="0.25">
      <c r="A76" s="381"/>
      <c r="B76" s="5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5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</row>
    <row r="77" spans="1:48" s="31" customFormat="1" ht="12.75" customHeight="1" x14ac:dyDescent="0.25">
      <c r="A77" s="381"/>
      <c r="B77" s="43"/>
      <c r="C77" s="34"/>
      <c r="D77" s="34"/>
      <c r="E77" s="34"/>
      <c r="F77" s="34"/>
      <c r="G77" s="35"/>
      <c r="H77" s="34"/>
      <c r="I77" s="34"/>
      <c r="J77" s="34"/>
      <c r="K77" s="34"/>
      <c r="L77" s="34"/>
      <c r="M77" s="34"/>
      <c r="N77" s="5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</row>
    <row r="78" spans="1:48" s="31" customFormat="1" ht="12.75" customHeight="1" x14ac:dyDescent="0.25">
      <c r="A78" s="32"/>
      <c r="B78" s="73" t="s">
        <v>149</v>
      </c>
      <c r="C78" s="34"/>
      <c r="D78" s="34"/>
      <c r="E78" s="34"/>
      <c r="F78" s="34"/>
      <c r="G78" s="36" t="s">
        <v>123</v>
      </c>
      <c r="H78" s="36" t="s">
        <v>556</v>
      </c>
      <c r="I78" s="36" t="s">
        <v>77</v>
      </c>
      <c r="J78" s="36" t="s">
        <v>616</v>
      </c>
      <c r="K78" s="36" t="s">
        <v>124</v>
      </c>
      <c r="L78" s="36" t="s">
        <v>125</v>
      </c>
      <c r="M78" s="36" t="s">
        <v>126</v>
      </c>
      <c r="N78" s="5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</row>
    <row r="79" spans="1:48" s="31" customFormat="1" ht="12.75" customHeight="1" outlineLevel="1" x14ac:dyDescent="0.25">
      <c r="A79" s="32"/>
      <c r="B79" s="81" t="s">
        <v>486</v>
      </c>
      <c r="C79" s="34"/>
      <c r="D79" s="75">
        <v>0</v>
      </c>
      <c r="E79" s="72">
        <v>0</v>
      </c>
      <c r="F79" s="86" t="s">
        <v>332</v>
      </c>
      <c r="G79" s="45">
        <f>IF($F79="N/A",0,IF($F79="Fixed Amount",$D79,IF(OR($E$7="Actual",$F79="Actual"),$E79)))</f>
        <v>0</v>
      </c>
      <c r="H79" s="71">
        <f>G79/'Operating Assumptions'!$D$12</f>
        <v>0</v>
      </c>
      <c r="I79" s="45">
        <f>IF(B79="","",IF(G79="NET",0,G79/'Operating Assumptions'!$D$14))</f>
        <v>0</v>
      </c>
      <c r="J79" s="975">
        <f>G79/$G$102</f>
        <v>0</v>
      </c>
      <c r="K79" s="76">
        <v>46082</v>
      </c>
      <c r="L79" s="75">
        <v>24</v>
      </c>
      <c r="M79" s="70">
        <f>EOMONTH(K79,L79-1)</f>
        <v>46812</v>
      </c>
      <c r="N79" s="5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</row>
    <row r="80" spans="1:48" s="31" customFormat="1" ht="12.75" customHeight="1" x14ac:dyDescent="0.25">
      <c r="A80" s="32"/>
      <c r="B80" s="43" t="s">
        <v>768</v>
      </c>
      <c r="C80" s="77"/>
      <c r="D80" s="75">
        <v>100000</v>
      </c>
      <c r="E80" s="72">
        <v>0</v>
      </c>
      <c r="F80" s="86" t="s">
        <v>122</v>
      </c>
      <c r="G80" s="45">
        <f>IF($F80="N/A",0,IF(OR($E$7="Actual",F80="Actual"),E80,IF(F80="% of Senior",D80*'Financing Assumptions'!$H$8,IF(F80="Fixed Amount",D80))))</f>
        <v>100000</v>
      </c>
      <c r="H80" s="71">
        <f>G80/'Operating Assumptions'!$D$12</f>
        <v>0.45848004694835681</v>
      </c>
      <c r="I80" s="45">
        <f>G80/'Operating Assumptions'!$D$14</f>
        <v>416.66666666666669</v>
      </c>
      <c r="J80" s="975">
        <f>G80/$G$102</f>
        <v>1.7568815270678111E-3</v>
      </c>
      <c r="K80" s="76">
        <v>46447</v>
      </c>
      <c r="L80" s="75">
        <v>6</v>
      </c>
      <c r="M80" s="70">
        <f>EOMONTH(K80,L80-1)</f>
        <v>46630</v>
      </c>
      <c r="N80" s="5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</row>
    <row r="81" spans="1:48" s="31" customFormat="1" ht="12.75" customHeight="1" x14ac:dyDescent="0.25">
      <c r="A81" s="32"/>
      <c r="B81" s="43" t="s">
        <v>150</v>
      </c>
      <c r="C81" s="34"/>
      <c r="D81" s="75">
        <v>0</v>
      </c>
      <c r="E81" s="72">
        <v>0</v>
      </c>
      <c r="F81" s="86" t="s">
        <v>332</v>
      </c>
      <c r="G81" s="45">
        <f>IF($F81="N/A",0,IF(OR($E$7="Actual",F81="Actual"),E81,IF(F81="% of Senior",D81*'Financing Assumptions'!$H$8,IF(F81="Fixed Amount",D81))))</f>
        <v>0</v>
      </c>
      <c r="H81" s="71">
        <f>G81/'Operating Assumptions'!$D$12</f>
        <v>0</v>
      </c>
      <c r="I81" s="45">
        <f>G81/'Operating Assumptions'!$D$14</f>
        <v>0</v>
      </c>
      <c r="J81" s="975">
        <f>G81/$G$102</f>
        <v>0</v>
      </c>
      <c r="K81" s="76">
        <v>46082</v>
      </c>
      <c r="L81" s="75">
        <v>24</v>
      </c>
      <c r="M81" s="70">
        <f>EOMONTH(K81,L81-1)</f>
        <v>46812</v>
      </c>
      <c r="N81" s="5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</row>
    <row r="82" spans="1:48" s="31" customFormat="1" ht="12.75" customHeight="1" x14ac:dyDescent="0.25">
      <c r="A82" s="32"/>
      <c r="B82" s="43" t="s">
        <v>161</v>
      </c>
      <c r="C82" s="34"/>
      <c r="D82" s="75">
        <v>5777800</v>
      </c>
      <c r="E82" s="72">
        <v>0</v>
      </c>
      <c r="F82" s="86" t="s">
        <v>122</v>
      </c>
      <c r="G82" s="45">
        <f>IF($F82="N/A",0,IF(OR($E$7="Actual",F82="Actual"),E82,IF(F82="FA Calc",'Financing Assumptions'!H15,IF(F82="Fixed Amount",D82))))</f>
        <v>5777800</v>
      </c>
      <c r="H82" s="71">
        <f>G82/'Operating Assumptions'!$D$11</f>
        <v>22.51658209990569</v>
      </c>
      <c r="I82" s="45">
        <f>G82/'Operating Assumptions'!$D$14</f>
        <v>24074.166666666668</v>
      </c>
      <c r="J82" s="975">
        <f>G82/$G$102</f>
        <v>0.10150910087092399</v>
      </c>
      <c r="K82" s="437">
        <f>'Financing Assumptions'!H22</f>
        <v>46112</v>
      </c>
      <c r="L82" s="79">
        <v>1</v>
      </c>
      <c r="M82" s="70">
        <f t="shared" ref="M82" si="7">EOMONTH(K82,L82-1)</f>
        <v>46112</v>
      </c>
      <c r="N82" s="5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</row>
    <row r="83" spans="1:48" s="31" customFormat="1" ht="12.75" customHeight="1" x14ac:dyDescent="0.25">
      <c r="A83" s="32"/>
      <c r="B83" s="43" t="str">
        <f>IF('Financing Assumptions'!$P$8="Yes",'Financing Assumptions'!$N$8&amp;" Interest Reserve",IF(AND('Financing Assumptions'!$P$8="No",'Financing Assumptions'!$T$8="Yes"),'Financing Assumptions'!$R$8&amp;" Interest Reserve",IF(AND('Financing Assumptions'!$P$8="No",'Financing Assumptions'!$T$8="No",'Financing Assumptions'!$X$8="Yes"),'Financing Assumptions'!$V$8&amp;" Interest Reserve",IF(AND('Financing Assumptions'!$P$8="No",'Financing Assumptions'!$T$8="No",'Financing Assumptions'!$X$8="No"),""))))</f>
        <v/>
      </c>
      <c r="C83" s="34"/>
      <c r="D83" s="75">
        <v>0</v>
      </c>
      <c r="E83" s="72">
        <v>0</v>
      </c>
      <c r="F83" s="86" t="s">
        <v>164</v>
      </c>
      <c r="G83" s="45" t="str">
        <f>IF($F83="N/A",0,IF(B83="","",IF(OR($E$7="Actual",$F83="Actual"),E83,IF(F83="Fixed Amount",D83,IF('Financing Assumptions'!$D$7="Net Financing","NET",IF(AND(F83="FA Calc",B83='Financing Assumptions'!$N$8&amp;" Interest Reserve"),'Financing Assumptions'!$P$15,IF(AND(F83="FA Calc",B83='Financing Assumptions'!$R$8&amp;" Interest Reserve"),'Financing Assumptions'!$T$15,IF(AND(F83="FA Calc",B83='Financing Assumptions'!$V$8&amp;" Interest Reserve"),'Financing Assumptions'!$X$17))))))))</f>
        <v/>
      </c>
      <c r="H83" s="71" t="str">
        <f>IF(B83="","",IF(G83="NET",0,G83/'Operating Assumptions'!$D$12))</f>
        <v/>
      </c>
      <c r="I83" s="45" t="str">
        <f>IF(B83="","",IF(G83="NET",0,G83/'Operating Assumptions'!$D$14))</f>
        <v/>
      </c>
      <c r="J83" s="45" t="str">
        <f>IF(B83="","",IF(G83="NET",0,G83/$G$102))</f>
        <v/>
      </c>
      <c r="K83" s="70" t="str">
        <f>IF(B83="","",IF(B83='Financing Assumptions'!$N$8&amp;" Interest Reserve",'Financing Assumptions'!$P$26,IF(B83='Financing Assumptions'!$R$8&amp;" Interest Reserve",'Financing Assumptions'!$T$26,IF(B83='Financing Assumptions'!$V$8&amp;" Interest Reserve",'Financing Assumptions'!$X$22))))</f>
        <v/>
      </c>
      <c r="L83" s="35" t="str">
        <f>IF(B83="","",1)</f>
        <v/>
      </c>
      <c r="M83" s="70" t="str">
        <f>IF(B83="","",EOMONTH(K83,L83-1))</f>
        <v/>
      </c>
      <c r="N83" s="5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</row>
    <row r="84" spans="1:48" s="31" customFormat="1" ht="12.75" customHeight="1" x14ac:dyDescent="0.25">
      <c r="A84" s="32"/>
      <c r="B84" s="43" t="str">
        <f>IF(AND('Financing Assumptions'!$P$8="Yes",'Financing Assumptions'!$T$8="Yes"),'Financing Assumptions'!$R$8&amp;" Interest Reserve",IF(AND('Financing Assumptions'!$P$8="No",'Financing Assumptions'!$T$8="No"),"",IF(AND('Financing Assumptions'!$P$8="Yes",'Financing Assumptions'!$T$8="No",'Financing Assumptions'!$X$8="Yes"),'Financing Assumptions'!$V$8&amp;" Interest Reserve",IF(AND('Financing Assumptions'!$P$8="No",'Financing Assumptions'!$T$8="Yes",'Financing Assumptions'!$X$8="Yes"),'Financing Assumptions'!$V$8&amp;" Interest Reserve",IF(AND('Financing Assumptions'!$P$8="Yes",'Financing Assumptions'!$T$8="No",'Financing Assumptions'!$X$8="No"),"",IF(AND('Financing Assumptions'!$P$8="No",'Financing Assumptions'!$T$8="Yes",'Financing Assumptions'!$X$8="No"),""))))))</f>
        <v/>
      </c>
      <c r="C84" s="34"/>
      <c r="D84" s="75">
        <v>0</v>
      </c>
      <c r="E84" s="72">
        <v>0</v>
      </c>
      <c r="F84" s="86" t="s">
        <v>164</v>
      </c>
      <c r="G84" s="45" t="str">
        <f>IF($F84="N/A",0,IF(B84="","",IF(OR($E$7="Actual",$F84="Actual"),E84,IF(F84="Fixed Amount",D84,IF('Financing Assumptions'!$D$7="Net Financing","NET",IF(AND(F84="FA Calc",B84='Financing Assumptions'!$N$8&amp;" Interest Reserve"),'Financing Assumptions'!#REF!,IF(AND(F84="FA Calc",B84='Financing Assumptions'!$R$8&amp;" Interest Reserve"),'Financing Assumptions'!$T$15,IF(AND(F84="FA Calc",B84='Financing Assumptions'!$V$8&amp;" Interest Reserve"),'Financing Assumptions'!$X$17))))))))</f>
        <v/>
      </c>
      <c r="H84" s="71" t="str">
        <f>IF(B84="","",IF(G84="NET",0,G84/'Operating Assumptions'!$D$12))</f>
        <v/>
      </c>
      <c r="I84" s="45" t="str">
        <f>IF(B84="","",IF(G84="NET",0,G84/'Operating Assumptions'!$D$14))</f>
        <v/>
      </c>
      <c r="J84" s="45" t="str">
        <f t="shared" ref="J84" si="8">IF(B84="","",IF(G84="NET",0,G84/$G$102))</f>
        <v/>
      </c>
      <c r="K84" s="70" t="str">
        <f>IF(B84="","",IF(B84='Financing Assumptions'!$N$8&amp;" Interest Reserve",'Financing Assumptions'!$P$26,IF(B84='Financing Assumptions'!$R$8&amp;" Interest Reserve",'Financing Assumptions'!$T$26,IF(B84='Financing Assumptions'!$V$8&amp;" Interest Reserve",'Financing Assumptions'!$X$22))))</f>
        <v/>
      </c>
      <c r="L84" s="35" t="str">
        <f>IF(B84="","",1)</f>
        <v/>
      </c>
      <c r="M84" s="70" t="str">
        <f>IF(B84="","",EOMONTH(K84,L84-1))</f>
        <v/>
      </c>
      <c r="N84" s="5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</row>
    <row r="85" spans="1:48" s="31" customFormat="1" ht="12.75" customHeight="1" x14ac:dyDescent="0.25">
      <c r="A85" s="381"/>
      <c r="B85" s="43" t="str">
        <f>IF(AND('Financing Assumptions'!$P$8="Yes",'Financing Assumptions'!$T$8="Yes",'Financing Assumptions'!$X$8="Yes"),'Financing Assumptions'!$V$8&amp;" Interest Reserve",IF(OR('Financing Assumptions'!$P$8="No",'Financing Assumptions'!$T$8="No",'Financing Assumptions'!$X$8="No"),""))</f>
        <v/>
      </c>
      <c r="C85" s="32"/>
      <c r="D85" s="75">
        <v>0</v>
      </c>
      <c r="E85" s="72">
        <v>0</v>
      </c>
      <c r="F85" s="86" t="s">
        <v>164</v>
      </c>
      <c r="G85" s="45" t="str">
        <f>IF($F85="N/A",0,IF(B85="","",IF(OR($E$7="Actual",$F85="Actual"),E85,IF(F85="Fixed Amount",D85,IF('Financing Assumptions'!$D$7="Net Financing","NET",IF(AND(F85="FA Calc",B85='Financing Assumptions'!$N$8&amp;" Interest Reserve"),'Financing Assumptions'!#REF!,IF(AND(F85="FA Calc",B85='Financing Assumptions'!$R$8&amp;" Interest Reserve"),'Financing Assumptions'!$T$15,IF(AND(F85="FA Calc",B85='Financing Assumptions'!$V$8&amp;" Interest Reserve"),'Financing Assumptions'!$X$17))))))))</f>
        <v/>
      </c>
      <c r="H85" s="71" t="str">
        <f>IF(B85="","",IF(G85="NET",0,G85/'Operating Assumptions'!$D$12))</f>
        <v/>
      </c>
      <c r="I85" s="45" t="str">
        <f>IF(B85="","",IF(G85="NET",0,G85/'Operating Assumptions'!$D$14))</f>
        <v/>
      </c>
      <c r="J85" s="45" t="str">
        <f>IF(B85="","",IF(G85="NET",0,G85/$G$102))</f>
        <v/>
      </c>
      <c r="K85" s="70" t="str">
        <f>IF(B85="","",IF(B85='Financing Assumptions'!$N$8&amp;" Interest Reserve",'Financing Assumptions'!$P$26,IF(B85='Financing Assumptions'!$R$8&amp;" Interest Reserve",'Financing Assumptions'!$T$26,IF(B85='Financing Assumptions'!$V$8&amp;" Interest Reserve",'Financing Assumptions'!$X$22))))</f>
        <v/>
      </c>
      <c r="L85" s="35" t="str">
        <f>IF(B85="","",1)</f>
        <v/>
      </c>
      <c r="M85" s="70" t="str">
        <f t="shared" ref="M85" si="9">IF(B85="","",EOMONTH(K85,L85-1))</f>
        <v/>
      </c>
      <c r="N85" s="5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</row>
    <row r="86" spans="1:48" s="31" customFormat="1" ht="12.75" customHeight="1" x14ac:dyDescent="0.25">
      <c r="A86" s="32"/>
      <c r="B86" s="43"/>
      <c r="C86" s="34"/>
      <c r="D86" s="34"/>
      <c r="E86" s="34"/>
      <c r="F86" s="34"/>
      <c r="G86" s="35"/>
      <c r="H86" s="34"/>
      <c r="I86" s="34"/>
      <c r="J86" s="34"/>
      <c r="K86" s="76"/>
      <c r="L86" s="75"/>
      <c r="M86" s="34"/>
      <c r="N86" s="5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</row>
    <row r="87" spans="1:48" s="31" customFormat="1" ht="12.75" customHeight="1" x14ac:dyDescent="0.25">
      <c r="A87" s="32"/>
      <c r="B87" s="43"/>
      <c r="C87" s="68" t="s">
        <v>152</v>
      </c>
      <c r="D87" s="67">
        <f>IF('Financing Assumptions'!$D$7="Gross Financing",SUM(D82:D85),IF('Financing Assumptions'!$D$7="Net Financing",SUM(D82:D82,D84:D85)))</f>
        <v>5777800</v>
      </c>
      <c r="E87" s="49">
        <v>0</v>
      </c>
      <c r="F87" s="34"/>
      <c r="G87" s="49">
        <f>SUM(G79:G85)</f>
        <v>5877800</v>
      </c>
      <c r="H87" s="66">
        <f>G87/'Operating Assumptions'!$D$12</f>
        <v>26.948540199530516</v>
      </c>
      <c r="I87" s="49">
        <f>G87/'Operating Assumptions'!$D$14</f>
        <v>24490.833333333332</v>
      </c>
      <c r="J87" s="1318">
        <f>G87/$G$102</f>
        <v>0.1032659823979918</v>
      </c>
      <c r="K87" s="34"/>
      <c r="L87" s="34"/>
      <c r="M87" s="34"/>
      <c r="N87" s="5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</row>
    <row r="88" spans="1:48" s="31" customFormat="1" ht="12.75" customHeight="1" x14ac:dyDescent="0.25">
      <c r="A88" s="32"/>
      <c r="B88" s="43"/>
      <c r="C88" s="68"/>
      <c r="D88" s="34"/>
      <c r="E88" s="34"/>
      <c r="F88" s="34"/>
      <c r="G88" s="49"/>
      <c r="H88" s="66"/>
      <c r="I88" s="49"/>
      <c r="J88" s="49"/>
      <c r="K88" s="34"/>
      <c r="L88" s="34"/>
      <c r="M88" s="34"/>
      <c r="N88" s="5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</row>
    <row r="89" spans="1:48" s="31" customFormat="1" ht="12.75" customHeight="1" x14ac:dyDescent="0.25">
      <c r="A89" s="32"/>
      <c r="B89" s="73" t="s">
        <v>485</v>
      </c>
      <c r="C89" s="34"/>
      <c r="D89" s="34"/>
      <c r="E89" s="34"/>
      <c r="F89" s="34"/>
      <c r="G89" s="36" t="s">
        <v>123</v>
      </c>
      <c r="H89" s="36" t="s">
        <v>556</v>
      </c>
      <c r="I89" s="36" t="s">
        <v>77</v>
      </c>
      <c r="J89" s="36" t="s">
        <v>616</v>
      </c>
      <c r="K89" s="36" t="s">
        <v>124</v>
      </c>
      <c r="L89" s="36" t="s">
        <v>125</v>
      </c>
      <c r="M89" s="36" t="s">
        <v>126</v>
      </c>
      <c r="N89" s="5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</row>
    <row r="90" spans="1:48" s="31" customFormat="1" ht="12.75" customHeight="1" outlineLevel="1" x14ac:dyDescent="0.25">
      <c r="A90" s="32"/>
      <c r="B90" s="81" t="s">
        <v>765</v>
      </c>
      <c r="C90" s="34"/>
      <c r="D90" s="75">
        <v>775000</v>
      </c>
      <c r="E90" s="72">
        <v>0</v>
      </c>
      <c r="F90" s="86" t="s">
        <v>122</v>
      </c>
      <c r="G90" s="45">
        <f>IF($F90="N/A",0,IF(OR($E$7="Actual",$F90="Actual"),$E90,IF($F90="Fixed Amount",$D90)))</f>
        <v>775000</v>
      </c>
      <c r="H90" s="71">
        <f>G90/'Operating Assumptions'!$D$12</f>
        <v>3.5532203638497655</v>
      </c>
      <c r="I90" s="45">
        <f>G90/'Operating Assumptions'!$D$14</f>
        <v>3229.1666666666665</v>
      </c>
      <c r="J90" s="975">
        <f t="shared" ref="J90:J92" si="10">G90/$G$102</f>
        <v>1.3615831834775537E-2</v>
      </c>
      <c r="K90" s="76">
        <v>46082</v>
      </c>
      <c r="L90" s="75">
        <v>12</v>
      </c>
      <c r="M90" s="70">
        <f t="shared" ref="M90:M91" si="11">EOMONTH(K90,L90-1)</f>
        <v>46446</v>
      </c>
      <c r="N90" s="5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</row>
    <row r="91" spans="1:48" s="31" customFormat="1" ht="12.75" customHeight="1" outlineLevel="1" x14ac:dyDescent="0.25">
      <c r="A91" s="32"/>
      <c r="B91" s="81" t="s">
        <v>760</v>
      </c>
      <c r="C91" s="34"/>
      <c r="D91" s="75">
        <v>850000</v>
      </c>
      <c r="E91" s="72">
        <v>0</v>
      </c>
      <c r="F91" s="86" t="s">
        <v>122</v>
      </c>
      <c r="G91" s="45">
        <f>IF($F91="N/A",0,IF(OR($E$7="Actual",$F91="Actual"),$E91,IF($F91="Fixed Amount",$D91)))</f>
        <v>850000</v>
      </c>
      <c r="H91" s="71">
        <f>G91/'Operating Assumptions'!$D$12</f>
        <v>3.897080399061033</v>
      </c>
      <c r="I91" s="45">
        <f>G91/'Operating Assumptions'!$D$14</f>
        <v>3541.6666666666665</v>
      </c>
      <c r="J91" s="975">
        <f t="shared" si="10"/>
        <v>1.4933492980076395E-2</v>
      </c>
      <c r="K91" s="76">
        <v>46082</v>
      </c>
      <c r="L91" s="75">
        <v>12</v>
      </c>
      <c r="M91" s="70">
        <f t="shared" si="11"/>
        <v>46446</v>
      </c>
      <c r="N91" s="5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</row>
    <row r="92" spans="1:48" s="31" customFormat="1" ht="12.75" customHeight="1" x14ac:dyDescent="0.25">
      <c r="A92" s="32"/>
      <c r="B92" s="43" t="s">
        <v>163</v>
      </c>
      <c r="C92" s="34"/>
      <c r="D92" s="75">
        <v>0</v>
      </c>
      <c r="E92" s="72">
        <v>0</v>
      </c>
      <c r="F92" s="86" t="s">
        <v>164</v>
      </c>
      <c r="G92" s="45">
        <f>IF(OR($E$7="Actual",$F92="Actual"),E92,IF(F92="FA Calc",'Financing Assumptions'!H16,IF(F92="Fixed Amount",D92)))</f>
        <v>1045912.5</v>
      </c>
      <c r="H92" s="71">
        <f>G92/'Operating Assumptions'!$D$12</f>
        <v>4.795300121038732</v>
      </c>
      <c r="I92" s="45">
        <f>G92/'Operating Assumptions'!$D$14</f>
        <v>4357.96875</v>
      </c>
      <c r="J92" s="975">
        <f t="shared" si="10"/>
        <v>1.8375443501793119E-2</v>
      </c>
      <c r="K92" s="70">
        <f>'Financing Assumptions'!H22</f>
        <v>46112</v>
      </c>
      <c r="L92" s="35">
        <v>1</v>
      </c>
      <c r="M92" s="70">
        <f>EOMONTH(K92,L92-1)</f>
        <v>46112</v>
      </c>
      <c r="N92" s="5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</row>
    <row r="93" spans="1:48" s="31" customFormat="1" ht="12.75" hidden="1" customHeight="1" x14ac:dyDescent="0.25">
      <c r="A93" s="32"/>
      <c r="B93" s="118" t="str">
        <f>IF('Financing Assumptions'!$P$8="Yes",'Financing Assumptions'!$N$8&amp;" Origination Fee",IF(AND('Financing Assumptions'!$P$8="No",'Financing Assumptions'!$T$8="Yes"),'Financing Assumptions'!$R$8&amp;" Origination Fee",IF(AND('Financing Assumptions'!$P$8="No",'Financing Assumptions'!$T$8="No",'Financing Assumptions'!$X$8="Yes"),'Financing Assumptions'!$V$8&amp;" Origination Fee",IF(AND('Financing Assumptions'!$P$8="No",'Financing Assumptions'!$T$8="No",'Financing Assumptions'!$X$8="No"),""))))</f>
        <v/>
      </c>
      <c r="C93" s="34"/>
      <c r="D93" s="75">
        <v>0</v>
      </c>
      <c r="E93" s="72">
        <v>0</v>
      </c>
      <c r="F93" s="86" t="s">
        <v>164</v>
      </c>
      <c r="G93" s="45" t="str">
        <f>IF($B93="","",IF($F93="N/A",0,IF('Financing Assumptions'!$D$7="Net Financing","NET",IF(OR($E$7="Actual",$F93="Actual"),$E93,IF($F93="Fixed Amount",$D93,IF(AND($F93="FA Calc",$B93='Financing Assumptions'!$N$8&amp;" Origination Fee"),'Financing Assumptions'!$P$16,IF(AND($F93="FA Calc",$B93='Financing Assumptions'!$N$8&amp;" Closing Fees"),'Financing Assumptions'!$P$17,IF(AND($F93="FA Calc",$B93='Financing Assumptions'!$R$8&amp;" Origination Fee"),'Financing Assumptions'!$T$16,IF(AND($F93="FA Calc",$B93='Financing Assumptions'!$R$8&amp;" Closing Fees"),'Financing Assumptions'!$T$17,IF(AND($F93="FA Calc",$B93='Financing Assumptions'!$V$8&amp;" Origination Fee"),'Financing Assumptions'!$X$18,IF(AND($F93="FA Calc",$B93='Financing Assumptions'!$V$8&amp;" Closing Fees"),'Financing Assumptions'!$X$19)))))))))))</f>
        <v/>
      </c>
      <c r="H93" s="71" t="str">
        <f>IF(B93="","",IF(G93="NET",0,G93/'Operating Assumptions'!$D$12))</f>
        <v/>
      </c>
      <c r="I93" s="45" t="str">
        <f>IF(B93="","",IF(G93="NET",0,G93/'Operating Assumptions'!$D$14))</f>
        <v/>
      </c>
      <c r="J93" s="45" t="str">
        <f>IF(B93="","",IF(G93="NET",0,G93/$G$102))</f>
        <v/>
      </c>
      <c r="K93" s="70" t="str">
        <f>IF($B93="","",IF(OR($B93='Financing Assumptions'!$N$8&amp;" Origination Fee",$B93='Financing Assumptions'!$N$8&amp;" Closing Fees"),'Financing Assumptions'!$P$26,IF(OR($B93='Financing Assumptions'!$R$8&amp;" Origination Fee",$B93='Financing Assumptions'!$R$8&amp;" Closing Fees"),'Financing Assumptions'!$T$26,IF(OR($B93='Financing Assumptions'!$V$8&amp;" Origination Fee",$B93='Financing Assumptions'!$V$8&amp;" Closing Fees"),'Financing Assumptions'!$X$22))))</f>
        <v/>
      </c>
      <c r="L93" s="35" t="str">
        <f>IF(B93="","",1)</f>
        <v/>
      </c>
      <c r="M93" s="70" t="str">
        <f>IF(B93="","",EOMONTH(K93,L93-1))</f>
        <v/>
      </c>
      <c r="N93" s="5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</row>
    <row r="94" spans="1:48" s="31" customFormat="1" ht="12.75" hidden="1" customHeight="1" x14ac:dyDescent="0.25">
      <c r="A94" s="32"/>
      <c r="B94" s="118" t="str">
        <f>IF(AND('Financing Assumptions'!$P$8="Yes",'Financing Assumptions'!$T$8="No",'Financing Assumptions'!$X$8="No"),'Financing Assumptions'!$N$8&amp;" Closing Fees",IF(AND('Financing Assumptions'!$P$8="Yes",'Financing Assumptions'!$T$8="Yes"),'Financing Assumptions'!$R$8&amp;" Origination Fee",IF(AND('Financing Assumptions'!$P$8="No",'Financing Assumptions'!$T$8="Yes",'Financing Assumptions'!$X$8="No"),'Financing Assumptions'!$R$8&amp;" Closing Fees",IF(AND('Financing Assumptions'!$P$8="Yes",'Financing Assumptions'!$T$8="No",'Financing Assumptions'!$X$8="Yes"),'Financing Assumptions'!$V$8&amp;" Origination Fee",IF(AND('Financing Assumptions'!$P$8="No",'Financing Assumptions'!$T$8="Yes",'Financing Assumptions'!$X$8="Yes"),'Financing Assumptions'!$V$8&amp;" Origination Fee",IF(AND('Financing Assumptions'!$P$8="No",'Financing Assumptions'!$T$8="No",'Financing Assumptions'!$X$8="Yes"),'Financing Assumptions'!$V$8&amp;" Closing Fees",IF(AND('Financing Assumptions'!$P$8="No",'Financing Assumptions'!$T$8="No",'Financing Assumptions'!$X$8="No"),"")))))))</f>
        <v/>
      </c>
      <c r="C94" s="34"/>
      <c r="D94" s="75">
        <v>0</v>
      </c>
      <c r="E94" s="72">
        <v>0</v>
      </c>
      <c r="F94" s="86" t="s">
        <v>164</v>
      </c>
      <c r="G94" s="45" t="str">
        <f>IF($B94="","",IF($F94="N/A",0,IF('Financing Assumptions'!$D$7="Net Financing","NET",IF(OR($E$7="Actual",$F94="Actual"),$E94,IF($F94="Fixed Amount",$D94,IF(AND($F94="FA Calc",$B94='Financing Assumptions'!$N$8&amp;" Origination Fee"),'Financing Assumptions'!$P$16,IF(AND($F94="FA Calc",$B94='Financing Assumptions'!$N$8&amp;" Closing Fees"),'Financing Assumptions'!$P$17,IF(AND($F94="FA Calc",$B94='Financing Assumptions'!$R$8&amp;" Origination Fee"),'Financing Assumptions'!$T$16,IF(AND($F94="FA Calc",$B94='Financing Assumptions'!$R$8&amp;" Closing Fees"),'Financing Assumptions'!$T$17,IF(AND($F94="FA Calc",$B94='Financing Assumptions'!$V$8&amp;" Origination Fee"),'Financing Assumptions'!$X$18,IF(AND($F94="FA Calc",$B94='Financing Assumptions'!$V$8&amp;" Closing Fees"),'Financing Assumptions'!$X$19)))))))))))</f>
        <v/>
      </c>
      <c r="H94" s="71" t="str">
        <f>IF(B94="","",IF(G94="NET",0,G94/'Operating Assumptions'!$D$12))</f>
        <v/>
      </c>
      <c r="I94" s="45" t="str">
        <f>IF(B94="","",IF(G94="NET",0,G94/'Operating Assumptions'!$D$14))</f>
        <v/>
      </c>
      <c r="J94" s="45" t="str">
        <f t="shared" ref="J94:J98" si="12">IF(B94="","",IF(G94="NET",0,G94/$G$102))</f>
        <v/>
      </c>
      <c r="K94" s="70" t="str">
        <f>IF($B94="","",IF(OR($B94='Financing Assumptions'!$N$8&amp;" Origination Fee",$B94='Financing Assumptions'!$N$8&amp;" Closing Fees"),'Financing Assumptions'!$P$26,IF(OR($B94='Financing Assumptions'!$R$8&amp;" Origination Fee",$B94='Financing Assumptions'!$R$8&amp;" Closing Fees"),'Financing Assumptions'!$T$26,IF(OR($B94='Financing Assumptions'!$V$8&amp;" Origination Fee",$B94='Financing Assumptions'!$V$8&amp;" Closing Fees"),'Financing Assumptions'!$X$22))))</f>
        <v/>
      </c>
      <c r="L94" s="35" t="str">
        <f t="shared" ref="L94:L98" si="13">IF(B94="","",1)</f>
        <v/>
      </c>
      <c r="M94" s="437" t="str">
        <f>IF(B94="","",EOMONTH(K94,L94-1))</f>
        <v/>
      </c>
      <c r="N94" s="5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</row>
    <row r="95" spans="1:48" s="31" customFormat="1" ht="12.75" hidden="1" customHeight="1" x14ac:dyDescent="0.25">
      <c r="A95" s="32"/>
      <c r="B95" s="118" t="str">
        <f>IF(AND('Financing Assumptions'!$P$8="Yes",'Financing Assumptions'!$T$8="Yes",'Financing Assumptions'!$X$8="Yes"),'Financing Assumptions'!$V$8&amp;" Origination Fee",IF(AND('Financing Assumptions'!$P$8="Yes",'Financing Assumptions'!$T$8="Yes",'Financing Assumptions'!$X$8="No"),'Financing Assumptions'!$N$8&amp;" Closing Fees",IF(AND('Financing Assumptions'!$P$8="Yes",'Financing Assumptions'!$T$8="No",'Financing Assumptions'!$X$8="Yes"),'Financing Assumptions'!$N$8&amp;" Closing Fees",IF(AND('Financing Assumptions'!$P$8="No",'Financing Assumptions'!$T$8="Yes",'Financing Assumptions'!$X$8="Yes"),'Financing Assumptions'!$R$8&amp;" Closing Fees",IF(AND('Financing Assumptions'!$P$8="Yes",'Financing Assumptions'!$T$8="No",'Financing Assumptions'!$X$8="No"),"",IF(AND('Financing Assumptions'!$P$8="No",'Financing Assumptions'!$T$8="Yes",'Financing Assumptions'!$X$8="No"),"",IF(AND('Financing Assumptions'!$P$8="No",'Financing Assumptions'!$T$8="No",'Financing Assumptions'!$X$8="Yes"),"",IF(AND('Financing Assumptions'!$P$8="No",'Financing Assumptions'!$T$8="No",'Financing Assumptions'!$X$8="No"),""))))))))</f>
        <v/>
      </c>
      <c r="C95" s="34"/>
      <c r="D95" s="75">
        <v>0</v>
      </c>
      <c r="E95" s="72">
        <v>0</v>
      </c>
      <c r="F95" s="86" t="s">
        <v>164</v>
      </c>
      <c r="G95" s="45" t="str">
        <f>IF($B95="","",IF($F95="N/A",0,IF('Financing Assumptions'!$D$7="Net Financing","NET",IF(OR($E$7="Actual",$F95="Actual"),$E95,IF($F95="Fixed Amount",$D95,IF(AND($F95="FA Calc",$B95='Financing Assumptions'!$N$8&amp;" Origination Fee"),'Financing Assumptions'!$P$16,IF(AND($F95="FA Calc",$B95='Financing Assumptions'!$N$8&amp;" Closing Fees"),'Financing Assumptions'!$P$17,IF(AND($F95="FA Calc",$B95='Financing Assumptions'!$R$8&amp;" Origination Fee"),'Financing Assumptions'!$T$16,IF(AND($F95="FA Calc",$B95='Financing Assumptions'!$R$8&amp;" Closing Fees"),'Financing Assumptions'!$T$17,IF(AND($F95="FA Calc",$B95='Financing Assumptions'!$V$8&amp;" Origination Fee"),'Financing Assumptions'!$X$18,IF(AND($F95="FA Calc",$B95='Financing Assumptions'!$V$8&amp;" Closing Fees"),'Financing Assumptions'!$X$19)))))))))))</f>
        <v/>
      </c>
      <c r="H95" s="71" t="str">
        <f>IF(B95="","",IF(G95="NET",0,G95/'Operating Assumptions'!$D$12))</f>
        <v/>
      </c>
      <c r="I95" s="45" t="str">
        <f>IF(B95="","",IF(G95="NET",0,G95/'Operating Assumptions'!$D$14))</f>
        <v/>
      </c>
      <c r="J95" s="45" t="str">
        <f t="shared" si="12"/>
        <v/>
      </c>
      <c r="K95" s="70" t="str">
        <f>IF($B95="","",IF(OR($B95='Financing Assumptions'!$N$8&amp;" Origination Fee",$B95='Financing Assumptions'!$N$8&amp;" Closing Fees"),'Financing Assumptions'!$P$26,IF(OR($B95='Financing Assumptions'!$R$8&amp;" Origination Fee",$B95='Financing Assumptions'!$R$8&amp;" Closing Fees"),'Financing Assumptions'!$T$26,IF(OR($B95='Financing Assumptions'!$V$8&amp;" Origination Fee",$B95='Financing Assumptions'!$V$8&amp;" Closing Fees"),'Financing Assumptions'!$X$22))))</f>
        <v/>
      </c>
      <c r="L95" s="35" t="str">
        <f t="shared" si="13"/>
        <v/>
      </c>
      <c r="M95" s="70" t="str">
        <f>IF(B95="","",EOMONTH(K95,L95-1))</f>
        <v/>
      </c>
      <c r="N95" s="5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</row>
    <row r="96" spans="1:48" s="31" customFormat="1" ht="12.75" hidden="1" customHeight="1" x14ac:dyDescent="0.25">
      <c r="A96" s="32"/>
      <c r="B96" s="118" t="str">
        <f>IF(AND('Financing Assumptions'!$P$8="Yes",'Financing Assumptions'!$T$8="Yes",'Financing Assumptions'!$X$8="Yes"),'Financing Assumptions'!$N$8&amp;" Closing Fees",IF(AND('Financing Assumptions'!$P$8="Yes",'Financing Assumptions'!$T$8="Yes",'Financing Assumptions'!$X$8="No"),'Financing Assumptions'!$R$8&amp;" Closing Fees",IF(AND('Financing Assumptions'!$P$8="Yes",'Financing Assumptions'!$T$8="No",'Financing Assumptions'!$X$8="Yes"),'Financing Assumptions'!$V$8&amp;" Closing Fees",IF(AND('Financing Assumptions'!$P$8="No",'Financing Assumptions'!$T$8="Yes",'Financing Assumptions'!$X$8="Yes"),'Financing Assumptions'!$V$8&amp;" Closing Fees",IF(AND('Financing Assumptions'!$P$8="Yes",'Financing Assumptions'!$T$8="No",'Financing Assumptions'!$X$8="No"),"",IF(AND('Financing Assumptions'!$P$8="No",'Financing Assumptions'!$T$8="Yes",'Financing Assumptions'!$X$8="No"),"",IF(AND('Financing Assumptions'!$P$8="No",'Financing Assumptions'!$T$8="No",'Financing Assumptions'!$X$8="Yes"),"",IF(AND('Financing Assumptions'!$P$8="No",'Financing Assumptions'!$T$8="No",'Financing Assumptions'!$X$8="No"),""))))))))</f>
        <v/>
      </c>
      <c r="C96" s="34"/>
      <c r="D96" s="75">
        <v>0</v>
      </c>
      <c r="E96" s="72">
        <v>0</v>
      </c>
      <c r="F96" s="86" t="s">
        <v>164</v>
      </c>
      <c r="G96" s="45" t="str">
        <f>IF($B96="","",IF($F96="N/A",0,IF('Financing Assumptions'!$D$7="Net Financing","NET",IF(OR($E$7="Actual",$F96="Actual"),$E96,IF($F96="Fixed Amount",$D96,IF(AND($F96="FA Calc",$B96='Financing Assumptions'!$N$8&amp;" Origination Fee"),'Financing Assumptions'!$P$16,IF(AND($F96="FA Calc",$B96='Financing Assumptions'!$N$8&amp;" Closing Fees"),'Financing Assumptions'!$P$17,IF(AND($F96="FA Calc",$B96='Financing Assumptions'!$R$8&amp;" Origination Fee"),'Financing Assumptions'!$T$16,IF(AND($F96="FA Calc",$B96='Financing Assumptions'!$R$8&amp;" Closing Fees"),'Financing Assumptions'!$T$17,IF(AND($F96="FA Calc",$B96='Financing Assumptions'!$V$8&amp;" Origination Fee"),'Financing Assumptions'!$X$18,IF(AND($F96="FA Calc",$B96='Financing Assumptions'!$V$8&amp;" Closing Fees"),'Financing Assumptions'!$X$19)))))))))))</f>
        <v/>
      </c>
      <c r="H96" s="71" t="str">
        <f>IF(B96="","",IF(G96="NET",0,G96/'Operating Assumptions'!$D$12))</f>
        <v/>
      </c>
      <c r="I96" s="45" t="str">
        <f>IF(B96="","",IF(G96="NET",0,G96/'Operating Assumptions'!$D$14))</f>
        <v/>
      </c>
      <c r="J96" s="45" t="str">
        <f t="shared" si="12"/>
        <v/>
      </c>
      <c r="K96" s="70" t="str">
        <f>IF($B96="","",IF(OR($B96='Financing Assumptions'!$N$8&amp;" Origination Fee",$B96='Financing Assumptions'!$N$8&amp;" Closing Fees"),'Financing Assumptions'!$P$26,IF(OR($B96='Financing Assumptions'!$R$8&amp;" Origination Fee",$B96='Financing Assumptions'!$R$8&amp;" Closing Fees"),'Financing Assumptions'!$T$26,IF(OR($B96='Financing Assumptions'!$V$8&amp;" Origination Fee",$B96='Financing Assumptions'!$V$8&amp;" Closing Fees"),'Financing Assumptions'!$X$22))))</f>
        <v/>
      </c>
      <c r="L96" s="35" t="str">
        <f t="shared" si="13"/>
        <v/>
      </c>
      <c r="M96" s="70" t="str">
        <f>IF(B96="","",EOMONTH(K96,L96-1))</f>
        <v/>
      </c>
      <c r="N96" s="5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</row>
    <row r="97" spans="1:48" s="31" customFormat="1" ht="12.75" hidden="1" customHeight="1" x14ac:dyDescent="0.25">
      <c r="A97" s="32"/>
      <c r="B97" s="1019" t="str">
        <f>IF(AND('Financing Assumptions'!$P$8="Yes",'Financing Assumptions'!$T$8="Yes",'Financing Assumptions'!$X$8="Yes"),'Financing Assumptions'!$R$8&amp;" Closing Fees",IF(OR('Financing Assumptions'!$P$8="No",'Financing Assumptions'!$T$8="No",'Financing Assumptions'!$X$8="No"),""))</f>
        <v/>
      </c>
      <c r="C97" s="34"/>
      <c r="D97" s="75">
        <v>0</v>
      </c>
      <c r="E97" s="72">
        <v>0</v>
      </c>
      <c r="F97" s="86" t="s">
        <v>164</v>
      </c>
      <c r="G97" s="45" t="str">
        <f>IF($B97="","",IF($F97="N/A",0,IF('Financing Assumptions'!$D$7="Net Financing","NET",IF(OR($E$7="Actual",$F97="Actual"),$E97,IF($F97="Fixed Amount",$D97,IF(AND($F97="FA Calc",$B97='Financing Assumptions'!$N$8&amp;" Origination Fee"),'Financing Assumptions'!$P$16,IF(AND($F97="FA Calc",$B97='Financing Assumptions'!$N$8&amp;" Closing Fees"),'Financing Assumptions'!$P$17,IF(AND($F97="FA Calc",$B97='Financing Assumptions'!$R$8&amp;" Origination Fee"),'Financing Assumptions'!$T$16,IF(AND($F97="FA Calc",$B97='Financing Assumptions'!$R$8&amp;" Closing Fees"),'Financing Assumptions'!$T$17,IF(AND($F97="FA Calc",$B97='Financing Assumptions'!$V$8&amp;" Origination Fee"),'Financing Assumptions'!$X$18,IF(AND($F97="FA Calc",$B97='Financing Assumptions'!$V$8&amp;" Closing Fees"),'Financing Assumptions'!$X$19)))))))))))</f>
        <v/>
      </c>
      <c r="H97" s="71" t="str">
        <f>IF(B97="","",IF(G97="NET",0,G97/'Operating Assumptions'!$D$12))</f>
        <v/>
      </c>
      <c r="I97" s="45" t="str">
        <f>IF(B97="","",IF(G97="NET",0,G97/'Operating Assumptions'!$D$14))</f>
        <v/>
      </c>
      <c r="J97" s="45" t="str">
        <f t="shared" si="12"/>
        <v/>
      </c>
      <c r="K97" s="70" t="str">
        <f>IF($B97="","",IF(OR($B97='Financing Assumptions'!$N$8&amp;" Origination Fee",$B97='Financing Assumptions'!$N$8&amp;" Closing Fees"),'Financing Assumptions'!$P$26,IF(OR($B97='Financing Assumptions'!$R$8&amp;" Origination Fee",$B97='Financing Assumptions'!$R$8&amp;" Closing Fees"),'Financing Assumptions'!$T$26,IF(OR($B97='Financing Assumptions'!$V$8&amp;" Origination Fee",$B97='Financing Assumptions'!$V$8&amp;" Closing Fees"),'Financing Assumptions'!$X$22))))</f>
        <v/>
      </c>
      <c r="L97" s="35" t="str">
        <f t="shared" si="13"/>
        <v/>
      </c>
      <c r="M97" s="70" t="str">
        <f t="shared" ref="M97" si="14">IF(B97="","",EOMONTH(K97,L97-1))</f>
        <v/>
      </c>
      <c r="N97" s="5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</row>
    <row r="98" spans="1:48" s="31" customFormat="1" ht="12.75" customHeight="1" x14ac:dyDescent="0.25">
      <c r="A98" s="32"/>
      <c r="B98" s="118" t="str">
        <f>IF(AND('Financing Assumptions'!$P$8="Yes",'Financing Assumptions'!$T$8="Yes",'Financing Assumptions'!$X$8="Yes"),'Financing Assumptions'!$V$8&amp;" Closing Fees",IF(OR('Financing Assumptions'!$P$8="No",'Financing Assumptions'!$T$8="No",'Financing Assumptions'!$X$8="No"),""))</f>
        <v/>
      </c>
      <c r="C98" s="34"/>
      <c r="D98" s="75">
        <v>0</v>
      </c>
      <c r="E98" s="72">
        <v>0</v>
      </c>
      <c r="F98" s="86" t="s">
        <v>164</v>
      </c>
      <c r="G98" s="45" t="str">
        <f>IF($B98="","",IF($F98="N/A",0,IF('Financing Assumptions'!$D$7="Net Financing","NET",IF(OR($E$7="Actual",$F98="Actual"),$E98,IF($F98="Fixed Amount",$D98,IF(AND($F98="FA Calc",$B98='Financing Assumptions'!$N$8&amp;" Origination Fee"),'Financing Assumptions'!$P$16,IF(AND($F98="FA Calc",$B98='Financing Assumptions'!$N$8&amp;" Closing Fees"),'Financing Assumptions'!$P$17,IF(AND($F98="FA Calc",$B98='Financing Assumptions'!$R$8&amp;" Origination Fee"),'Financing Assumptions'!$T$16,IF(AND($F98="FA Calc",$B98='Financing Assumptions'!$R$8&amp;" Closing Fees"),'Financing Assumptions'!$T$17,IF(AND($F98="FA Calc",$B98='Financing Assumptions'!$V$8&amp;" Origination Fee"),'Financing Assumptions'!$X$18,IF(AND($F98="FA Calc",$B98='Financing Assumptions'!$V$8&amp;" Closing Fees"),'Financing Assumptions'!$X$19)))))))))))</f>
        <v/>
      </c>
      <c r="H98" s="71" t="str">
        <f>IF(B98="","",IF(G98="NET",0,G98/'Operating Assumptions'!$D$12))</f>
        <v/>
      </c>
      <c r="I98" s="45" t="str">
        <f>IF(B98="","",IF(G98="NET",0,G98/'Operating Assumptions'!$D$14))</f>
        <v/>
      </c>
      <c r="J98" s="45" t="str">
        <f t="shared" si="12"/>
        <v/>
      </c>
      <c r="K98" s="70" t="str">
        <f>IF($B98="","",IF(OR($B98='Financing Assumptions'!$N$8&amp;" Origination Fee",$B98='Financing Assumptions'!$N$8&amp;" Closing Fees"),'Financing Assumptions'!$P$26,IF(OR($B98='Financing Assumptions'!$R$8&amp;" Origination Fee",$B98='Financing Assumptions'!$R$8&amp;" Closing Fees"),'Financing Assumptions'!$T$26,IF(OR($B98='Financing Assumptions'!$V$8&amp;" Origination Fee",$B98='Financing Assumptions'!$V$8&amp;" Closing Fees"),'Financing Assumptions'!$X$22))))</f>
        <v/>
      </c>
      <c r="L98" s="35" t="str">
        <f t="shared" si="13"/>
        <v/>
      </c>
      <c r="M98" s="70" t="str">
        <f>IF(B98="","",EOMONTH(K98,L98-1))</f>
        <v/>
      </c>
      <c r="N98" s="5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</row>
    <row r="99" spans="1:48" s="31" customFormat="1" ht="12.75" customHeight="1" x14ac:dyDescent="0.25">
      <c r="A99" s="32"/>
      <c r="B99" s="43"/>
      <c r="C99" s="34"/>
      <c r="D99" s="34"/>
      <c r="E99" s="34"/>
      <c r="F99" s="34"/>
      <c r="G99" s="35"/>
      <c r="H99" s="34"/>
      <c r="I99" s="34"/>
      <c r="J99" s="34"/>
      <c r="K99" s="35"/>
      <c r="L99" s="35"/>
      <c r="M99" s="35"/>
      <c r="N99" s="5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</row>
    <row r="100" spans="1:48" s="31" customFormat="1" ht="12.75" customHeight="1" x14ac:dyDescent="0.25">
      <c r="A100" s="32"/>
      <c r="B100" s="43"/>
      <c r="C100" s="68" t="s">
        <v>153</v>
      </c>
      <c r="D100" s="67">
        <f>IF('Financing Assumptions'!$D$7="Gross Financing",SUM(D92:D96),IF('Financing Assumptions'!$D$7="Net Financing",SUM(D92,D95:D96)))</f>
        <v>0</v>
      </c>
      <c r="E100" s="49">
        <f>SUM(E90:E98)</f>
        <v>0</v>
      </c>
      <c r="F100" s="34"/>
      <c r="G100" s="49">
        <f>SUM(G90:G98)</f>
        <v>2670912.5</v>
      </c>
      <c r="H100" s="66">
        <f>G100/'Operating Assumptions'!$D$12</f>
        <v>12.24560088394953</v>
      </c>
      <c r="I100" s="49">
        <f>G100/'Operating Assumptions'!$D$14</f>
        <v>11128.802083333334</v>
      </c>
      <c r="J100" s="1318">
        <f>G100/$G$102</f>
        <v>4.6924768316645049E-2</v>
      </c>
      <c r="K100" s="35"/>
      <c r="L100" s="35"/>
      <c r="M100" s="35"/>
      <c r="N100" s="5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</row>
    <row r="101" spans="1:48" s="31" customFormat="1" ht="12.75" customHeight="1" x14ac:dyDescent="0.25">
      <c r="A101" s="32"/>
      <c r="B101" s="57"/>
      <c r="C101" s="34"/>
      <c r="D101" s="34"/>
      <c r="E101" s="34"/>
      <c r="F101" s="34"/>
      <c r="G101" s="35"/>
      <c r="H101" s="34"/>
      <c r="I101" s="34"/>
      <c r="J101" s="34"/>
      <c r="K101" s="35"/>
      <c r="L101" s="35"/>
      <c r="M101" s="35"/>
      <c r="N101" s="5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</row>
    <row r="102" spans="1:48" s="31" customFormat="1" ht="12.75" customHeight="1" x14ac:dyDescent="0.25">
      <c r="A102" s="32"/>
      <c r="B102" s="64"/>
      <c r="C102" s="62"/>
      <c r="D102" s="63">
        <f>SUM(D14:D24,D29:D52,D57:D70,D11:D11,D75,D82:D85,D92:D98)</f>
        <v>50344373.079999998</v>
      </c>
      <c r="E102" s="60">
        <f>SUM(E100,E87,E75,E10,E54,E26)</f>
        <v>0</v>
      </c>
      <c r="F102" s="62"/>
      <c r="G102" s="60">
        <f>SUM(G11,G26,G54,G72,G75,G87,G100)</f>
        <v>56919034.356800005</v>
      </c>
      <c r="H102" s="61">
        <f>G102/'Operating Assumptions'!$D$12</f>
        <v>260.96241544160802</v>
      </c>
      <c r="I102" s="60">
        <f>G102/'Operating Assumptions'!$D$14</f>
        <v>237162.64315333337</v>
      </c>
      <c r="J102" s="1319">
        <f>SUM(J11,J26,J54,J72,J75,J87,J100)</f>
        <v>1</v>
      </c>
      <c r="K102" s="59"/>
      <c r="L102" s="59"/>
      <c r="M102" s="59"/>
      <c r="N102" s="5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</row>
    <row r="103" spans="1:48" s="31" customFormat="1" ht="12.75" customHeight="1" x14ac:dyDescent="0.25">
      <c r="A103" s="32"/>
      <c r="B103" s="34"/>
      <c r="C103" s="34"/>
      <c r="D103" s="34"/>
      <c r="E103" s="34"/>
      <c r="F103" s="34"/>
      <c r="G103" s="35"/>
      <c r="H103" s="34"/>
      <c r="I103" s="34"/>
      <c r="J103" s="34"/>
      <c r="K103" s="34"/>
      <c r="L103" s="34"/>
      <c r="M103" s="34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</row>
    <row r="104" spans="1:48" s="31" customFormat="1" ht="12.75" customHeight="1" x14ac:dyDescent="0.25">
      <c r="A104" s="32"/>
      <c r="B104" s="1503" t="s">
        <v>166</v>
      </c>
      <c r="C104" s="1504"/>
      <c r="D104" s="1504"/>
      <c r="E104" s="1504"/>
      <c r="F104" s="1504"/>
      <c r="G104" s="1505"/>
      <c r="H104" s="34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</row>
    <row r="105" spans="1:48" s="31" customFormat="1" ht="12.75" customHeight="1" x14ac:dyDescent="0.25">
      <c r="A105" s="32"/>
      <c r="B105" s="43" t="s">
        <v>217</v>
      </c>
      <c r="C105" s="34"/>
      <c r="D105" s="34"/>
      <c r="E105" s="45">
        <f>IF($E$7="Actual",D10,E10)</f>
        <v>0</v>
      </c>
      <c r="F105" s="34"/>
      <c r="G105" s="44">
        <f>G11</f>
        <v>2500000</v>
      </c>
      <c r="H105" s="34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</row>
    <row r="106" spans="1:48" s="31" customFormat="1" ht="12.75" customHeight="1" x14ac:dyDescent="0.25">
      <c r="A106" s="32"/>
      <c r="B106" s="43" t="s">
        <v>146</v>
      </c>
      <c r="C106" s="34"/>
      <c r="D106" s="34"/>
      <c r="E106" s="45">
        <f>IF($E$7="Actual",D26,E26)</f>
        <v>0</v>
      </c>
      <c r="F106" s="34"/>
      <c r="G106" s="44">
        <f>G26</f>
        <v>38885935.920000002</v>
      </c>
      <c r="H106" s="34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</row>
    <row r="107" spans="1:48" s="31" customFormat="1" ht="12.75" customHeight="1" x14ac:dyDescent="0.25">
      <c r="A107" s="32"/>
      <c r="B107" s="43" t="s">
        <v>147</v>
      </c>
      <c r="C107" s="34"/>
      <c r="D107" s="34"/>
      <c r="E107" s="45">
        <f>IF($E$7="Actual",D54,E54)</f>
        <v>0</v>
      </c>
      <c r="F107" s="34"/>
      <c r="G107" s="44">
        <f>G54</f>
        <v>4675000</v>
      </c>
      <c r="H107" s="43"/>
      <c r="I107" s="32"/>
      <c r="J107" s="32"/>
      <c r="K107" s="32"/>
      <c r="L107" s="32"/>
      <c r="M107" s="32"/>
      <c r="N107" s="1020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</row>
    <row r="108" spans="1:48" s="31" customFormat="1" ht="12.75" customHeight="1" x14ac:dyDescent="0.25">
      <c r="A108" s="32"/>
      <c r="B108" s="43" t="s">
        <v>272</v>
      </c>
      <c r="C108" s="32"/>
      <c r="D108" s="32"/>
      <c r="E108" s="45">
        <f>IF($E$7="Actual",D72,E72)</f>
        <v>0</v>
      </c>
      <c r="F108" s="32"/>
      <c r="G108" s="44">
        <f>G72</f>
        <v>300000</v>
      </c>
      <c r="H108" s="34"/>
      <c r="I108" s="32"/>
      <c r="J108" s="32"/>
      <c r="K108" s="32"/>
      <c r="L108" s="32"/>
      <c r="M108" s="32"/>
      <c r="N108" s="1020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</row>
    <row r="109" spans="1:48" s="31" customFormat="1" ht="12.75" customHeight="1" x14ac:dyDescent="0.25">
      <c r="A109" s="32"/>
      <c r="B109" s="43" t="s">
        <v>127</v>
      </c>
      <c r="C109" s="34"/>
      <c r="D109" s="34"/>
      <c r="E109" s="45">
        <f>IF($E$7="Actual",D75,E75)</f>
        <v>0</v>
      </c>
      <c r="F109" s="34"/>
      <c r="G109" s="44">
        <f>G75</f>
        <v>2009385.9368</v>
      </c>
      <c r="H109" s="34"/>
      <c r="I109" s="32"/>
      <c r="J109" s="32"/>
      <c r="K109" s="32"/>
      <c r="L109" s="32"/>
      <c r="M109" s="32"/>
      <c r="N109" s="1020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</row>
    <row r="110" spans="1:48" s="31" customFormat="1" ht="12.75" customHeight="1" x14ac:dyDescent="0.25">
      <c r="A110" s="32"/>
      <c r="B110" s="52"/>
      <c r="C110" s="32"/>
      <c r="D110" s="32"/>
      <c r="E110" s="32"/>
      <c r="F110" s="32"/>
      <c r="G110" s="381"/>
      <c r="H110" s="43"/>
      <c r="I110" s="32"/>
      <c r="J110" s="32"/>
      <c r="K110" s="32"/>
      <c r="L110" s="32"/>
      <c r="M110" s="32"/>
      <c r="N110" s="1020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</row>
    <row r="111" spans="1:48" s="31" customFormat="1" ht="12.75" customHeight="1" x14ac:dyDescent="0.25">
      <c r="A111" s="32"/>
      <c r="B111" s="50" t="s">
        <v>155</v>
      </c>
      <c r="C111" s="48"/>
      <c r="D111" s="48"/>
      <c r="E111" s="49">
        <f>SUM(E106:E109)</f>
        <v>0</v>
      </c>
      <c r="F111" s="48"/>
      <c r="G111" s="47">
        <f>SUM(G105:G109)</f>
        <v>48370321.856800005</v>
      </c>
      <c r="H111" s="34"/>
      <c r="I111" s="32"/>
      <c r="J111" s="32"/>
      <c r="K111" s="32"/>
      <c r="L111" s="32"/>
      <c r="M111" s="32"/>
      <c r="N111" s="1020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</row>
    <row r="112" spans="1:48" s="31" customFormat="1" ht="12.75" customHeight="1" x14ac:dyDescent="0.25">
      <c r="A112" s="32"/>
      <c r="B112" s="43"/>
      <c r="C112" s="34"/>
      <c r="D112" s="34"/>
      <c r="E112" s="35"/>
      <c r="F112" s="34"/>
      <c r="G112" s="46"/>
      <c r="H112" s="34"/>
      <c r="I112" s="34"/>
      <c r="J112" s="34"/>
      <c r="K112" s="33"/>
      <c r="L112" s="34"/>
      <c r="M112" s="33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</row>
    <row r="113" spans="1:48" s="31" customFormat="1" ht="12.75" customHeight="1" x14ac:dyDescent="0.25">
      <c r="A113" s="32"/>
      <c r="B113" s="43" t="s">
        <v>148</v>
      </c>
      <c r="C113" s="34"/>
      <c r="D113" s="34"/>
      <c r="E113" s="45">
        <f>IF($E$7="Actual",D87,E87)</f>
        <v>0</v>
      </c>
      <c r="F113" s="34"/>
      <c r="G113" s="44">
        <f>G87</f>
        <v>5877800</v>
      </c>
      <c r="H113" s="34"/>
      <c r="I113" s="34"/>
      <c r="J113" s="34"/>
      <c r="K113" s="33"/>
      <c r="L113" s="34"/>
      <c r="M113" s="33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</row>
    <row r="114" spans="1:48" s="31" customFormat="1" ht="12.75" customHeight="1" x14ac:dyDescent="0.25">
      <c r="A114" s="32"/>
      <c r="B114" s="43" t="s">
        <v>485</v>
      </c>
      <c r="C114" s="34"/>
      <c r="D114" s="34"/>
      <c r="E114" s="45">
        <f>IF($E$7="Actual",D100,E100)</f>
        <v>0</v>
      </c>
      <c r="F114" s="34"/>
      <c r="G114" s="44">
        <f>G100</f>
        <v>2670912.5</v>
      </c>
      <c r="H114" s="34"/>
      <c r="I114" s="34"/>
      <c r="J114" s="34"/>
      <c r="K114" s="33"/>
      <c r="L114" s="34"/>
      <c r="M114" s="33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</row>
    <row r="115" spans="1:48" s="31" customFormat="1" ht="12.75" customHeight="1" x14ac:dyDescent="0.25">
      <c r="A115" s="32"/>
      <c r="B115" s="43"/>
      <c r="C115" s="34"/>
      <c r="D115" s="34"/>
      <c r="E115" s="35"/>
      <c r="F115" s="34"/>
      <c r="G115" s="42"/>
      <c r="H115" s="34"/>
      <c r="I115" s="34"/>
      <c r="J115" s="34"/>
      <c r="K115" s="33"/>
      <c r="L115" s="34"/>
      <c r="M115" s="33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</row>
    <row r="116" spans="1:48" s="31" customFormat="1" ht="12.75" customHeight="1" x14ac:dyDescent="0.25">
      <c r="A116" s="32"/>
      <c r="B116" s="41" t="s">
        <v>165</v>
      </c>
      <c r="C116" s="39"/>
      <c r="D116" s="39"/>
      <c r="E116" s="40">
        <f>SUM(E111,E113:E114)</f>
        <v>0</v>
      </c>
      <c r="F116" s="39"/>
      <c r="G116" s="38">
        <f>SUM(G111,G113:G114)</f>
        <v>56919034.356800005</v>
      </c>
      <c r="H116" s="34"/>
      <c r="I116" s="34"/>
      <c r="J116" s="34"/>
      <c r="K116" s="33"/>
      <c r="L116" s="34"/>
      <c r="M116" s="33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</row>
    <row r="117" spans="1:48" s="31" customFormat="1" ht="12.75" customHeight="1" x14ac:dyDescent="0.25">
      <c r="A117" s="32"/>
      <c r="B117" s="34"/>
      <c r="C117" s="34"/>
      <c r="D117" s="34"/>
      <c r="E117" s="37"/>
      <c r="F117" s="34"/>
      <c r="G117" s="1003"/>
      <c r="H117" s="34"/>
      <c r="I117" s="34"/>
      <c r="J117" s="34"/>
      <c r="K117" s="33"/>
      <c r="L117" s="34"/>
      <c r="M117" s="33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</row>
    <row r="118" spans="1:48" s="31" customFormat="1" ht="12.75" customHeight="1" x14ac:dyDescent="0.25">
      <c r="A118" s="32"/>
      <c r="B118" s="1506" t="s">
        <v>495</v>
      </c>
      <c r="C118" s="1507"/>
      <c r="D118" s="1508"/>
      <c r="E118" s="1025"/>
      <c r="F118" s="32"/>
      <c r="G118" s="32"/>
      <c r="H118" s="34"/>
      <c r="I118" s="34"/>
      <c r="J118" s="34"/>
      <c r="K118" s="33"/>
      <c r="L118" s="34"/>
      <c r="M118" s="33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</row>
    <row r="119" spans="1:48" s="31" customFormat="1" ht="12.75" customHeight="1" x14ac:dyDescent="0.25">
      <c r="A119" s="32"/>
      <c r="B119" s="43"/>
      <c r="C119" s="36" t="s">
        <v>14</v>
      </c>
      <c r="D119" s="58" t="s">
        <v>145</v>
      </c>
      <c r="E119" s="32"/>
      <c r="F119" s="34"/>
      <c r="G119" s="35"/>
      <c r="H119" s="34"/>
      <c r="I119" s="34"/>
      <c r="J119" s="34"/>
      <c r="K119" s="33"/>
      <c r="L119" s="34"/>
      <c r="M119" s="33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</row>
    <row r="120" spans="1:48" s="31" customFormat="1" ht="12.75" customHeight="1" x14ac:dyDescent="0.25">
      <c r="A120" s="32"/>
      <c r="B120" s="57" t="s">
        <v>165</v>
      </c>
      <c r="C120" s="1023">
        <f>G116</f>
        <v>56919034.356800005</v>
      </c>
      <c r="D120" s="55"/>
      <c r="E120" s="32"/>
      <c r="F120" s="32"/>
      <c r="G120" s="32"/>
      <c r="H120" s="34"/>
      <c r="I120" s="34"/>
      <c r="J120" s="34"/>
      <c r="K120" s="33"/>
      <c r="L120" s="34"/>
      <c r="M120" s="33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</row>
    <row r="121" spans="1:48" s="31" customFormat="1" ht="12.75" customHeight="1" x14ac:dyDescent="0.25">
      <c r="A121" s="32"/>
      <c r="B121" s="43" t="s">
        <v>492</v>
      </c>
      <c r="C121" s="1024">
        <f>'Financing Assumptions'!H8</f>
        <v>46485000</v>
      </c>
      <c r="D121" s="1021">
        <f>'Financing Assumptions'!H$10</f>
        <v>0.816686377857472</v>
      </c>
      <c r="E121" s="32"/>
      <c r="F121" s="34"/>
      <c r="G121" s="35"/>
      <c r="H121" s="34"/>
      <c r="I121" s="34"/>
      <c r="J121" s="34"/>
      <c r="K121" s="33"/>
      <c r="L121" s="34"/>
      <c r="M121" s="33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</row>
    <row r="122" spans="1:48" s="31" customFormat="1" x14ac:dyDescent="0.25">
      <c r="A122" s="32"/>
      <c r="B122" s="34" t="str">
        <f>IF('Financing Assumptions'!$P$8="Yes",'Financing Assumptions'!$B$10,IF(AND('Financing Assumptions'!$P$8="No",'Financing Assumptions'!$X$8="Yes"),'Financing Assumptions'!$B$12,IF(AND('Financing Assumptions'!$P$8="No",'Financing Assumptions'!$X$8="No",'Financing Assumptions'!$T$8="Yes"),'Financing Assumptions'!$B$11,IF(AND('Financing Assumptions'!$P$8="No",'Financing Assumptions'!$X$8="No",'Financing Assumptions'!$T$8="No"),"Equity Amount"))))</f>
        <v>Equity Amount</v>
      </c>
      <c r="C122" s="1024">
        <f>IF($B122="","",IF($B122='Financing Assumptions'!$B$10,'Financing Assumptions'!$D$10,IF($B122='Financing Assumptions'!$B$12,'Financing Assumptions'!$D$12,IF($B122='Financing Assumptions'!$B$11,'Financing Assumptions'!$D$11,IF($B122="Equity Amount",SUM('Financing Assumptions'!$D$13:$D$18))))))</f>
        <v>10434034.356800005</v>
      </c>
      <c r="D122" s="1022">
        <f>IF(B122="","",C122/$C$120)</f>
        <v>0.183313622142528</v>
      </c>
      <c r="E122" s="32"/>
      <c r="F122" s="34"/>
      <c r="G122" s="35"/>
      <c r="H122" s="34"/>
      <c r="I122" s="34"/>
      <c r="J122" s="34"/>
      <c r="K122" s="33"/>
      <c r="L122" s="34"/>
      <c r="M122" s="33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</row>
    <row r="123" spans="1:48" s="31" customFormat="1" x14ac:dyDescent="0.25">
      <c r="A123" s="32"/>
      <c r="B123" s="34" t="str">
        <f>IF(AND('Financing Assumptions'!$P$8="Yes",'Financing Assumptions'!$T$8="Yes"),'Financing Assumptions'!$B$11,IF(AND('Financing Assumptions'!$P$8="No",'Financing Assumptions'!$T$8="Yes",'Financing Assumptions'!$X$8="Yes"),'Financing Assumptions'!$B$12,IF(AND('Financing Assumptions'!$P$8="Yes",'Financing Assumptions'!$T$8="No",'Financing Assumptions'!$X$8="Yes"),'Financing Assumptions'!$B$12,IF(AND('Financing Assumptions'!$P$8="Yes",'Financing Assumptions'!$T$8="No",'Financing Assumptions'!$X$8="No"),"Equity Amount",IF(AND('Financing Assumptions'!$P$8="No",'Financing Assumptions'!$T$8="Yes",'Financing Assumptions'!$X$8="No"),"Equity Amount",IF(AND('Financing Assumptions'!$P$8="No",'Financing Assumptions'!$T$8="No",'Financing Assumptions'!$X$8="Yes"),"Equity Amount",IF(AND('Financing Assumptions'!$P$8="No",'Financing Assumptions'!$T$8="No",'Financing Assumptions'!$X$8="No"),"")))))))</f>
        <v/>
      </c>
      <c r="C123" s="1024" t="str">
        <f>IF($B123="","",IF($B123='Financing Assumptions'!$B$10,'Financing Assumptions'!$D$10,IF($B123='Financing Assumptions'!$B$12,'Financing Assumptions'!$D$12,IF($B123='Financing Assumptions'!$B$11,'Financing Assumptions'!$D$11,IF($B123="Equity Amount",SUM('Financing Assumptions'!$D$13:$D$18))))))</f>
        <v/>
      </c>
      <c r="D123" s="1022" t="str">
        <f>IF(B123="","",C123/$C$120)</f>
        <v/>
      </c>
      <c r="E123" s="32"/>
      <c r="F123" s="34"/>
      <c r="G123" s="35"/>
      <c r="H123" s="34"/>
      <c r="I123" s="34"/>
      <c r="J123" s="34"/>
      <c r="K123" s="33"/>
      <c r="L123" s="34"/>
      <c r="M123" s="33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</row>
    <row r="124" spans="1:48" s="31" customFormat="1" x14ac:dyDescent="0.25">
      <c r="A124" s="32"/>
      <c r="B124" s="34" t="str">
        <f>IF(OR(B122="Equity Amount",B123="Equity Amount"),"",IF(AND('Financing Assumptions'!$P$8="Yes",'Financing Assumptions'!$T$8="Yes",'Financing Assumptions'!$X$8="Yes"),'Financing Assumptions'!$B$12,IF(AND('Financing Assumptions'!$P$8="Yes",'Financing Assumptions'!$T$8="Yes",'Financing Assumptions'!$X$8="No"),"Equity Amount",IF(AND('Financing Assumptions'!$P$8="Yes",'Financing Assumptions'!$T$8="No",'Financing Assumptions'!$X$8="Yes"),"Equity Amount",IF(AND('Financing Assumptions'!$P$8="No",'Financing Assumptions'!$T$8="Yes",'Financing Assumptions'!$X$8="Yes"),"Equity Amount")))))</f>
        <v/>
      </c>
      <c r="C124" s="1024" t="str">
        <f>IF($B124="","",IF($B124='Financing Assumptions'!$B$10,'Financing Assumptions'!$D$10,IF($B124='Financing Assumptions'!$B$12,'Financing Assumptions'!$D$12,IF($B124='Financing Assumptions'!$B$11,'Financing Assumptions'!$D$11,IF($B124="Equity Amount",SUM('Financing Assumptions'!$D$13:$D$18))))))</f>
        <v/>
      </c>
      <c r="D124" s="1022" t="str">
        <f>IF(B124="","",C124/$C$120)</f>
        <v/>
      </c>
      <c r="E124" s="32"/>
      <c r="F124" s="34"/>
      <c r="G124" s="35"/>
      <c r="H124" s="34"/>
      <c r="I124" s="34"/>
      <c r="J124" s="34"/>
      <c r="K124" s="33"/>
      <c r="L124" s="34"/>
      <c r="M124" s="33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</row>
    <row r="125" spans="1:48" s="31" customFormat="1" x14ac:dyDescent="0.25">
      <c r="A125" s="32"/>
      <c r="B125" s="34" t="str">
        <f>IF(B124='Financing Assumptions'!$B$12,"Equity Amount","")</f>
        <v/>
      </c>
      <c r="C125" s="1024" t="str">
        <f>IF($B125="","",IF($B125='Financing Assumptions'!$B$10,'Financing Assumptions'!$D$10,IF($B125='Financing Assumptions'!$B$12,'Financing Assumptions'!$D$12,IF($B125='Financing Assumptions'!$B$11,'Financing Assumptions'!$D$11,IF($B125="Equity Amount",SUM('Financing Assumptions'!$D$13:$D$18))))))</f>
        <v/>
      </c>
      <c r="D125" s="1022" t="str">
        <f>IF(B125="","",C125/$C$120)</f>
        <v/>
      </c>
      <c r="E125" s="32"/>
      <c r="F125" s="34"/>
      <c r="G125" s="35"/>
      <c r="H125" s="34"/>
      <c r="I125" s="34"/>
      <c r="J125" s="34"/>
      <c r="K125" s="33"/>
      <c r="L125" s="34"/>
      <c r="M125" s="33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</row>
    <row r="126" spans="1:48" s="31" customFormat="1" x14ac:dyDescent="0.25">
      <c r="A126" s="32"/>
      <c r="B126" s="34"/>
      <c r="C126" s="34"/>
      <c r="D126" s="34"/>
      <c r="E126" s="34"/>
      <c r="F126" s="34"/>
      <c r="G126" s="35"/>
      <c r="H126" s="34"/>
      <c r="I126" s="34"/>
      <c r="J126" s="34"/>
      <c r="K126" s="33"/>
      <c r="L126" s="34"/>
      <c r="M126" s="33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</row>
    <row r="127" spans="1:48" s="31" customFormat="1" x14ac:dyDescent="0.25">
      <c r="A127" s="32"/>
      <c r="B127" s="34"/>
      <c r="C127" s="34"/>
      <c r="D127" s="34"/>
      <c r="E127" s="34"/>
      <c r="F127" s="34"/>
      <c r="G127" s="35"/>
      <c r="H127" s="34"/>
      <c r="I127" s="34"/>
      <c r="J127" s="34"/>
      <c r="K127" s="33"/>
      <c r="L127" s="34"/>
      <c r="M127" s="33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</row>
    <row r="128" spans="1:48" s="31" customFormat="1" x14ac:dyDescent="0.25">
      <c r="A128" s="32"/>
      <c r="B128" s="34"/>
      <c r="C128" s="34"/>
      <c r="D128" s="34"/>
      <c r="E128" s="34"/>
      <c r="F128" s="34"/>
      <c r="G128" s="35"/>
      <c r="H128" s="34"/>
      <c r="I128" s="34"/>
      <c r="J128" s="34"/>
      <c r="K128" s="33"/>
      <c r="L128" s="34"/>
      <c r="M128" s="33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</row>
    <row r="129" spans="1:48" s="31" customFormat="1" x14ac:dyDescent="0.25">
      <c r="A129" s="32"/>
      <c r="B129" s="34"/>
      <c r="C129" s="34"/>
      <c r="D129" s="34"/>
      <c r="E129" s="34"/>
      <c r="F129" s="34"/>
      <c r="G129" s="35"/>
      <c r="H129" s="34"/>
      <c r="I129" s="34"/>
      <c r="J129" s="34"/>
      <c r="K129" s="33"/>
      <c r="L129" s="34"/>
      <c r="M129" s="33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</row>
    <row r="130" spans="1:48" s="31" customFormat="1" x14ac:dyDescent="0.25">
      <c r="A130" s="32"/>
      <c r="B130" s="34"/>
      <c r="C130" s="34"/>
      <c r="D130" s="34"/>
      <c r="E130" s="34"/>
      <c r="F130" s="34"/>
      <c r="G130" s="35"/>
      <c r="H130" s="34"/>
      <c r="I130" s="34"/>
      <c r="J130" s="34"/>
      <c r="K130" s="33"/>
      <c r="L130" s="34"/>
      <c r="M130" s="33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</row>
    <row r="131" spans="1:48" s="31" customFormat="1" x14ac:dyDescent="0.25">
      <c r="A131" s="32"/>
      <c r="B131" s="34"/>
      <c r="C131" s="34"/>
      <c r="D131" s="34"/>
      <c r="E131" s="34"/>
      <c r="F131" s="34"/>
      <c r="G131" s="35"/>
      <c r="H131" s="34"/>
      <c r="I131" s="34"/>
      <c r="J131" s="34"/>
      <c r="K131" s="33"/>
      <c r="L131" s="34"/>
      <c r="M131" s="33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</row>
    <row r="132" spans="1:48" s="31" customFormat="1" x14ac:dyDescent="0.25">
      <c r="A132" s="32"/>
      <c r="B132" s="34"/>
      <c r="C132" s="34"/>
      <c r="D132" s="34"/>
      <c r="E132" s="34"/>
      <c r="F132" s="34"/>
      <c r="G132" s="35"/>
      <c r="H132" s="34"/>
      <c r="I132" s="34"/>
      <c r="J132" s="34"/>
      <c r="K132" s="33"/>
      <c r="L132" s="34"/>
      <c r="M132" s="33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</row>
    <row r="133" spans="1:48" s="31" customFormat="1" x14ac:dyDescent="0.25">
      <c r="A133" s="32"/>
      <c r="B133" s="34"/>
      <c r="C133" s="34"/>
      <c r="D133" s="34"/>
      <c r="E133" s="34"/>
      <c r="F133" s="34"/>
      <c r="G133" s="35"/>
      <c r="H133" s="34"/>
      <c r="I133" s="34"/>
      <c r="J133" s="34"/>
      <c r="K133" s="33"/>
      <c r="L133" s="34"/>
      <c r="M133" s="33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</row>
    <row r="134" spans="1:48" s="31" customFormat="1" x14ac:dyDescent="0.25">
      <c r="A134" s="32"/>
      <c r="B134" s="34"/>
      <c r="C134" s="34"/>
      <c r="D134" s="34"/>
      <c r="E134" s="34"/>
      <c r="F134" s="34"/>
      <c r="G134" s="35"/>
      <c r="H134" s="34"/>
      <c r="I134" s="34"/>
      <c r="J134" s="34"/>
      <c r="K134" s="33"/>
      <c r="L134" s="34"/>
      <c r="M134" s="33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</row>
    <row r="135" spans="1:48" s="31" customFormat="1" x14ac:dyDescent="0.25">
      <c r="A135" s="32"/>
      <c r="B135" s="34"/>
      <c r="C135" s="34"/>
      <c r="D135" s="34"/>
      <c r="E135" s="34"/>
      <c r="F135" s="34"/>
      <c r="G135" s="35"/>
      <c r="H135" s="34"/>
      <c r="I135" s="34"/>
      <c r="J135" s="34"/>
      <c r="K135" s="33"/>
      <c r="L135" s="34"/>
      <c r="M135" s="33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</row>
    <row r="136" spans="1:48" s="31" customFormat="1" x14ac:dyDescent="0.25">
      <c r="A136" s="32"/>
      <c r="B136" s="34"/>
      <c r="C136" s="34"/>
      <c r="D136" s="34"/>
      <c r="E136" s="34"/>
      <c r="F136" s="34"/>
      <c r="G136" s="35"/>
      <c r="H136" s="34"/>
      <c r="I136" s="34"/>
      <c r="J136" s="34"/>
      <c r="K136" s="33"/>
      <c r="L136" s="34"/>
      <c r="M136" s="33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</row>
    <row r="137" spans="1:48" s="31" customFormat="1" x14ac:dyDescent="0.25">
      <c r="A137" s="32"/>
      <c r="B137" s="34"/>
      <c r="C137" s="34"/>
      <c r="D137" s="34"/>
      <c r="E137" s="34"/>
      <c r="F137" s="34"/>
      <c r="G137" s="35"/>
      <c r="H137" s="34"/>
      <c r="I137" s="34"/>
      <c r="J137" s="34"/>
      <c r="K137" s="33"/>
      <c r="L137" s="34"/>
      <c r="M137" s="33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</row>
    <row r="138" spans="1:48" s="31" customFormat="1" x14ac:dyDescent="0.25">
      <c r="A138" s="32"/>
      <c r="B138" s="34"/>
      <c r="C138" s="34"/>
      <c r="D138" s="34"/>
      <c r="E138" s="34"/>
      <c r="F138" s="34"/>
      <c r="G138" s="35"/>
      <c r="H138" s="34"/>
      <c r="I138" s="34"/>
      <c r="J138" s="34"/>
      <c r="K138" s="33"/>
      <c r="L138" s="34"/>
      <c r="M138" s="33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</row>
    <row r="139" spans="1:48" s="31" customFormat="1" x14ac:dyDescent="0.25">
      <c r="A139" s="32"/>
      <c r="B139" s="34"/>
      <c r="C139" s="34"/>
      <c r="D139" s="34"/>
      <c r="E139" s="34"/>
      <c r="F139" s="34"/>
      <c r="G139" s="35"/>
      <c r="H139" s="34"/>
      <c r="I139" s="34"/>
      <c r="J139" s="34"/>
      <c r="K139" s="33"/>
      <c r="L139" s="34"/>
      <c r="M139" s="33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</row>
    <row r="140" spans="1:48" s="31" customFormat="1" x14ac:dyDescent="0.25">
      <c r="A140" s="32"/>
      <c r="B140" s="34"/>
      <c r="C140" s="34"/>
      <c r="D140" s="34"/>
      <c r="E140" s="34"/>
      <c r="F140" s="34"/>
      <c r="G140" s="35"/>
      <c r="H140" s="34"/>
      <c r="I140" s="34"/>
      <c r="J140" s="34"/>
      <c r="K140" s="33"/>
      <c r="L140" s="34"/>
      <c r="M140" s="33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</row>
    <row r="141" spans="1:48" s="31" customFormat="1" x14ac:dyDescent="0.25">
      <c r="A141" s="32"/>
      <c r="B141" s="34"/>
      <c r="C141" s="34"/>
      <c r="D141" s="34"/>
      <c r="E141" s="34"/>
      <c r="F141" s="34"/>
      <c r="G141" s="35"/>
      <c r="H141" s="34"/>
      <c r="I141" s="34"/>
      <c r="J141" s="34"/>
      <c r="K141" s="33"/>
      <c r="L141" s="34"/>
      <c r="M141" s="33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</row>
    <row r="142" spans="1:48" s="31" customFormat="1" x14ac:dyDescent="0.25">
      <c r="A142" s="32"/>
      <c r="B142" s="34"/>
      <c r="C142" s="34"/>
      <c r="D142" s="34"/>
      <c r="E142" s="34"/>
      <c r="F142" s="34"/>
      <c r="G142" s="35"/>
      <c r="H142" s="34"/>
      <c r="I142" s="34"/>
      <c r="J142" s="34"/>
      <c r="K142" s="33"/>
      <c r="L142" s="34"/>
      <c r="M142" s="33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</row>
    <row r="143" spans="1:48" s="31" customFormat="1" x14ac:dyDescent="0.25">
      <c r="A143" s="32"/>
      <c r="B143" s="34"/>
      <c r="C143" s="34"/>
      <c r="D143" s="34"/>
      <c r="E143" s="34"/>
      <c r="F143" s="34"/>
      <c r="G143" s="35"/>
      <c r="H143" s="34"/>
      <c r="I143" s="34"/>
      <c r="J143" s="34"/>
      <c r="K143" s="33"/>
      <c r="L143" s="34"/>
      <c r="M143" s="33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</row>
    <row r="144" spans="1:48" s="31" customFormat="1" x14ac:dyDescent="0.25">
      <c r="A144" s="32"/>
      <c r="B144" s="34"/>
      <c r="C144" s="34"/>
      <c r="D144" s="34"/>
      <c r="E144" s="34"/>
      <c r="F144" s="34"/>
      <c r="G144" s="35"/>
      <c r="H144" s="34"/>
      <c r="I144" s="34"/>
      <c r="J144" s="34"/>
      <c r="K144" s="33"/>
      <c r="L144" s="34"/>
      <c r="M144" s="33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</row>
    <row r="145" spans="1:48" s="31" customFormat="1" x14ac:dyDescent="0.25">
      <c r="A145" s="32"/>
      <c r="B145" s="34"/>
      <c r="C145" s="34"/>
      <c r="D145" s="34"/>
      <c r="E145" s="34"/>
      <c r="F145" s="34"/>
      <c r="G145" s="35"/>
      <c r="H145" s="34"/>
      <c r="I145" s="34"/>
      <c r="J145" s="34"/>
      <c r="K145" s="33"/>
      <c r="L145" s="34"/>
      <c r="M145" s="33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</row>
    <row r="146" spans="1:48" s="31" customFormat="1" x14ac:dyDescent="0.25">
      <c r="A146" s="32"/>
      <c r="B146" s="34"/>
      <c r="C146" s="34"/>
      <c r="D146" s="34"/>
      <c r="E146" s="34"/>
      <c r="F146" s="34"/>
      <c r="G146" s="35"/>
      <c r="H146" s="34"/>
      <c r="I146" s="34"/>
      <c r="J146" s="34"/>
      <c r="K146" s="33"/>
      <c r="L146" s="34"/>
      <c r="M146" s="33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</row>
    <row r="147" spans="1:48" s="31" customFormat="1" x14ac:dyDescent="0.25">
      <c r="A147" s="32"/>
      <c r="B147" s="34"/>
      <c r="C147" s="34"/>
      <c r="D147" s="34"/>
      <c r="E147" s="34"/>
      <c r="F147" s="34"/>
      <c r="G147" s="35"/>
      <c r="H147" s="34"/>
      <c r="I147" s="34"/>
      <c r="J147" s="34"/>
      <c r="K147" s="33"/>
      <c r="L147" s="34"/>
      <c r="M147" s="33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</row>
    <row r="148" spans="1:48" s="31" customFormat="1" x14ac:dyDescent="0.25">
      <c r="A148" s="32"/>
      <c r="B148" s="34"/>
      <c r="C148" s="34"/>
      <c r="D148" s="34"/>
      <c r="E148" s="34"/>
      <c r="F148" s="34"/>
      <c r="G148" s="35"/>
      <c r="H148" s="34"/>
      <c r="I148" s="34"/>
      <c r="J148" s="34"/>
      <c r="K148" s="33"/>
      <c r="L148" s="34"/>
      <c r="M148" s="33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</row>
    <row r="149" spans="1:48" x14ac:dyDescent="0.25">
      <c r="K149" s="16"/>
      <c r="M149" s="16"/>
    </row>
    <row r="150" spans="1:48" x14ac:dyDescent="0.25">
      <c r="K150" s="16"/>
      <c r="M150" s="16"/>
    </row>
    <row r="151" spans="1:48" x14ac:dyDescent="0.25">
      <c r="K151" s="16"/>
      <c r="M151" s="16"/>
    </row>
    <row r="152" spans="1:48" x14ac:dyDescent="0.25">
      <c r="K152" s="16"/>
      <c r="M152" s="16"/>
    </row>
    <row r="153" spans="1:48" x14ac:dyDescent="0.25">
      <c r="K153" s="16"/>
      <c r="M153" s="16"/>
    </row>
    <row r="154" spans="1:48" x14ac:dyDescent="0.25">
      <c r="K154" s="16"/>
      <c r="M154" s="16"/>
    </row>
    <row r="155" spans="1:48" x14ac:dyDescent="0.25">
      <c r="K155" s="16"/>
      <c r="M155" s="16"/>
    </row>
    <row r="156" spans="1:48" x14ac:dyDescent="0.25">
      <c r="K156" s="16"/>
      <c r="M156" s="16"/>
    </row>
    <row r="157" spans="1:48" x14ac:dyDescent="0.25">
      <c r="K157" s="16"/>
      <c r="M157" s="16"/>
    </row>
    <row r="158" spans="1:48" x14ac:dyDescent="0.25">
      <c r="K158" s="16"/>
      <c r="M158" s="16"/>
    </row>
    <row r="159" spans="1:48" x14ac:dyDescent="0.25">
      <c r="K159" s="16"/>
      <c r="M159" s="16"/>
    </row>
    <row r="160" spans="1:48" x14ac:dyDescent="0.25">
      <c r="K160" s="16"/>
      <c r="M160" s="16"/>
    </row>
    <row r="161" spans="11:13" x14ac:dyDescent="0.25">
      <c r="K161" s="16"/>
      <c r="M161" s="16"/>
    </row>
    <row r="162" spans="11:13" x14ac:dyDescent="0.25">
      <c r="K162" s="16"/>
      <c r="M162" s="16"/>
    </row>
    <row r="163" spans="11:13" x14ac:dyDescent="0.25">
      <c r="K163" s="16"/>
      <c r="M163" s="16"/>
    </row>
    <row r="164" spans="11:13" x14ac:dyDescent="0.25">
      <c r="K164" s="16"/>
      <c r="M164" s="16"/>
    </row>
    <row r="165" spans="11:13" x14ac:dyDescent="0.25">
      <c r="K165" s="16"/>
      <c r="M165" s="16"/>
    </row>
    <row r="166" spans="11:13" x14ac:dyDescent="0.25">
      <c r="K166" s="16"/>
      <c r="M166" s="16"/>
    </row>
    <row r="167" spans="11:13" x14ac:dyDescent="0.25">
      <c r="K167" s="16"/>
      <c r="M167" s="16"/>
    </row>
    <row r="168" spans="11:13" x14ac:dyDescent="0.25">
      <c r="K168" s="16"/>
      <c r="M168" s="16"/>
    </row>
    <row r="169" spans="11:13" x14ac:dyDescent="0.25">
      <c r="K169" s="16"/>
      <c r="M169" s="16"/>
    </row>
    <row r="170" spans="11:13" x14ac:dyDescent="0.25">
      <c r="K170" s="16"/>
      <c r="M170" s="16"/>
    </row>
    <row r="171" spans="11:13" x14ac:dyDescent="0.25">
      <c r="K171" s="16"/>
      <c r="M171" s="16"/>
    </row>
    <row r="172" spans="11:13" x14ac:dyDescent="0.25">
      <c r="K172" s="16"/>
      <c r="M172" s="16"/>
    </row>
    <row r="173" spans="11:13" x14ac:dyDescent="0.25">
      <c r="K173" s="16"/>
      <c r="M173" s="16"/>
    </row>
    <row r="174" spans="11:13" x14ac:dyDescent="0.25">
      <c r="K174" s="16"/>
      <c r="M174" s="16"/>
    </row>
    <row r="175" spans="11:13" x14ac:dyDescent="0.25">
      <c r="K175" s="16"/>
      <c r="M175" s="16"/>
    </row>
    <row r="176" spans="11:13" x14ac:dyDescent="0.25">
      <c r="K176" s="16"/>
      <c r="M176" s="16"/>
    </row>
    <row r="177" spans="11:13" x14ac:dyDescent="0.25">
      <c r="K177" s="16"/>
      <c r="M177" s="16"/>
    </row>
    <row r="178" spans="11:13" x14ac:dyDescent="0.25">
      <c r="K178" s="16"/>
      <c r="M178" s="16"/>
    </row>
    <row r="179" spans="11:13" x14ac:dyDescent="0.25">
      <c r="K179" s="16"/>
      <c r="M179" s="16"/>
    </row>
    <row r="180" spans="11:13" x14ac:dyDescent="0.25">
      <c r="K180" s="16"/>
      <c r="M180" s="16"/>
    </row>
    <row r="181" spans="11:13" x14ac:dyDescent="0.25">
      <c r="K181" s="16"/>
      <c r="M181" s="16"/>
    </row>
    <row r="182" spans="11:13" x14ac:dyDescent="0.25">
      <c r="K182" s="16"/>
      <c r="M182" s="16"/>
    </row>
    <row r="183" spans="11:13" x14ac:dyDescent="0.25">
      <c r="K183" s="16"/>
      <c r="M183" s="16"/>
    </row>
    <row r="184" spans="11:13" x14ac:dyDescent="0.25">
      <c r="K184" s="16"/>
      <c r="M184" s="16"/>
    </row>
    <row r="185" spans="11:13" x14ac:dyDescent="0.25">
      <c r="K185" s="16"/>
      <c r="M185" s="16"/>
    </row>
    <row r="186" spans="11:13" x14ac:dyDescent="0.25">
      <c r="K186" s="16"/>
      <c r="M186" s="16"/>
    </row>
    <row r="187" spans="11:13" x14ac:dyDescent="0.25">
      <c r="K187" s="16"/>
      <c r="M187" s="16"/>
    </row>
    <row r="188" spans="11:13" x14ac:dyDescent="0.25">
      <c r="K188" s="16"/>
      <c r="M188" s="16"/>
    </row>
    <row r="189" spans="11:13" x14ac:dyDescent="0.25">
      <c r="K189" s="16"/>
      <c r="M189" s="16"/>
    </row>
    <row r="190" spans="11:13" x14ac:dyDescent="0.25">
      <c r="K190" s="16"/>
      <c r="M190" s="16"/>
    </row>
    <row r="191" spans="11:13" x14ac:dyDescent="0.25">
      <c r="K191" s="16"/>
      <c r="M191" s="16"/>
    </row>
    <row r="192" spans="11:13" x14ac:dyDescent="0.25">
      <c r="K192" s="16"/>
      <c r="M192" s="16"/>
    </row>
    <row r="193" spans="11:13" x14ac:dyDescent="0.25">
      <c r="K193" s="16"/>
      <c r="M193" s="16"/>
    </row>
    <row r="194" spans="11:13" x14ac:dyDescent="0.25">
      <c r="K194" s="16"/>
      <c r="M194" s="16"/>
    </row>
    <row r="195" spans="11:13" x14ac:dyDescent="0.25">
      <c r="K195" s="16"/>
      <c r="M195" s="16"/>
    </row>
    <row r="196" spans="11:13" x14ac:dyDescent="0.25">
      <c r="K196" s="16"/>
      <c r="M196" s="16"/>
    </row>
    <row r="197" spans="11:13" x14ac:dyDescent="0.25">
      <c r="K197" s="16"/>
      <c r="M197" s="16"/>
    </row>
  </sheetData>
  <mergeCells count="2">
    <mergeCell ref="B104:G104"/>
    <mergeCell ref="B118:D118"/>
  </mergeCells>
  <phoneticPr fontId="9" type="noConversion"/>
  <conditionalFormatting sqref="B122:B125">
    <cfRule type="expression" dxfId="340" priority="456">
      <formula>IF($B122="Equity Amount","TRUE","FALSE")</formula>
    </cfRule>
  </conditionalFormatting>
  <conditionalFormatting sqref="C122:C125">
    <cfRule type="expression" dxfId="339" priority="457">
      <formula>IF($B122="Equity Amount","TRUE","FALSE")</formula>
    </cfRule>
  </conditionalFormatting>
  <conditionalFormatting sqref="D11">
    <cfRule type="expression" dxfId="338" priority="2">
      <formula>IF(OR($F11="Fixed Amount",$F11="Actual"),"TRUE","FALSE")</formula>
    </cfRule>
    <cfRule type="expression" dxfId="337" priority="3">
      <formula>IF(OR($F11="N/A",$F11="Set Amount"),"TRUE","FALSE")</formula>
    </cfRule>
  </conditionalFormatting>
  <conditionalFormatting sqref="D14:D23">
    <cfRule type="expression" dxfId="336" priority="18">
      <formula>IF($F14="Parking SF","TRUE","FALSE")</formula>
    </cfRule>
  </conditionalFormatting>
  <conditionalFormatting sqref="D14:D24">
    <cfRule type="expression" dxfId="335" priority="22">
      <formula>IF(OR($F14="Fixed Amount",$F14="$/GSF",$F14="$/Unit"),"TRUE","FALSE")</formula>
    </cfRule>
  </conditionalFormatting>
  <conditionalFormatting sqref="D24">
    <cfRule type="expression" dxfId="334" priority="21">
      <formula>IF($F$24="%/Hard Costs","TRUE","FALSE")</formula>
    </cfRule>
  </conditionalFormatting>
  <conditionalFormatting sqref="D26 D54:D55">
    <cfRule type="expression" dxfId="333" priority="71">
      <formula>IF($E$7="Projected","TRUE","FALSE")</formula>
    </cfRule>
    <cfRule type="expression" dxfId="332" priority="72">
      <formula>IF($E$7="Actual","TRUE","FALSE")</formula>
    </cfRule>
  </conditionalFormatting>
  <conditionalFormatting sqref="D29:D51">
    <cfRule type="expression" dxfId="331" priority="23">
      <formula>IF($F29="%/Hard Costs","TRUE","FALSE")</formula>
    </cfRule>
  </conditionalFormatting>
  <conditionalFormatting sqref="D29:D52">
    <cfRule type="expression" dxfId="330" priority="37">
      <formula>IF(OR($F29="$/GSF",$F29="$/Unit",$F29="Insurance Calc"),"TRUE","FALSE")</formula>
    </cfRule>
    <cfRule type="expression" dxfId="329" priority="38">
      <formula>IF(F29="Fixed Amount","TRUE","FALSE")</formula>
    </cfRule>
  </conditionalFormatting>
  <conditionalFormatting sqref="D70">
    <cfRule type="expression" dxfId="328" priority="17">
      <formula>IF($F$70="%/FF&amp;E Costs","TRUE","FALSE")</formula>
    </cfRule>
  </conditionalFormatting>
  <conditionalFormatting sqref="D79:D85">
    <cfRule type="expression" dxfId="327" priority="7">
      <formula>IF(OR($E$7="Actual",$F79="Actual"),"TRUE","FALSE")</formula>
    </cfRule>
    <cfRule type="expression" dxfId="326" priority="8">
      <formula>IF($F79="% of Senior","TRUE","FALSE")</formula>
    </cfRule>
    <cfRule type="expression" dxfId="325" priority="9">
      <formula>IF($F79="Fixed Amount","TRUE","FALSE")</formula>
    </cfRule>
    <cfRule type="expression" dxfId="324" priority="10">
      <formula>IF(OR($F79="N/A",$F79="FA Calc"),"TRUE","FALSE")</formula>
    </cfRule>
  </conditionalFormatting>
  <conditionalFormatting sqref="D87 D100">
    <cfRule type="expression" dxfId="323" priority="47">
      <formula>IF($E$7="Projected","TRUE","FALSE")</formula>
    </cfRule>
    <cfRule type="expression" dxfId="322" priority="48">
      <formula>IF($E$7="Actual","TRUE","FALSE")</formula>
    </cfRule>
  </conditionalFormatting>
  <conditionalFormatting sqref="D90:D98">
    <cfRule type="expression" dxfId="321" priority="4">
      <formula>IF(OR($F90="Fixed Amount",$F90="Actual"),"TRUE","FALSE")</formula>
    </cfRule>
    <cfRule type="expression" dxfId="320" priority="6">
      <formula>IF(OR($F90="N/A",$F90="FA Calc"),"TRUE","FALSE")</formula>
    </cfRule>
  </conditionalFormatting>
  <conditionalFormatting sqref="D122:D125">
    <cfRule type="expression" dxfId="318" priority="458">
      <formula>IF($B122="Equity Amount","TRUE","FALSE")</formula>
    </cfRule>
  </conditionalFormatting>
  <conditionalFormatting sqref="D52:E52">
    <cfRule type="expression" dxfId="317" priority="36">
      <formula>IF(F52="%/Soft Costs","TRUE","FALSE")</formula>
    </cfRule>
  </conditionalFormatting>
  <conditionalFormatting sqref="D57:E70">
    <cfRule type="expression" dxfId="316" priority="43">
      <formula>IF(OR(F57="Per SF",F57="Per Unit"),"TRUE","FALSE")</formula>
    </cfRule>
    <cfRule type="expression" dxfId="315" priority="44">
      <formula>IF(F57="Fixed Amount","TRUE","FALSE")</formula>
    </cfRule>
  </conditionalFormatting>
  <conditionalFormatting sqref="D75:E75">
    <cfRule type="expression" dxfId="314" priority="65">
      <formula>IF(F75="% of H&amp;S Costs","TRUE","FALSE")</formula>
    </cfRule>
  </conditionalFormatting>
  <conditionalFormatting sqref="E26 E54:E55">
    <cfRule type="expression" dxfId="313" priority="69">
      <formula>IF($E$7="Actual","TRUE","FALSE")</formula>
    </cfRule>
    <cfRule type="expression" dxfId="312" priority="70">
      <formula>IF($E$7="Projected","TRUE","FALSE")</formula>
    </cfRule>
  </conditionalFormatting>
  <conditionalFormatting sqref="E80">
    <cfRule type="expression" dxfId="311" priority="62">
      <formula>IF(G80="% of Senior"&lt;"TRUE","FALSE")</formula>
    </cfRule>
    <cfRule type="expression" dxfId="310" priority="63">
      <formula>IF(G80="Fixed Amount","TRUE","FALSE")</formula>
    </cfRule>
  </conditionalFormatting>
  <conditionalFormatting sqref="E80:E81">
    <cfRule type="expression" dxfId="309" priority="49">
      <formula>IF(G80="FA Calc","TRUE","FALSE")</formula>
    </cfRule>
  </conditionalFormatting>
  <conditionalFormatting sqref="E81">
    <cfRule type="expression" dxfId="308" priority="60">
      <formula>IF(G81="% of Senior","TRUE","FALSE")</formula>
    </cfRule>
    <cfRule type="expression" dxfId="307" priority="61">
      <formula>IF(G81="Fixed Amount","TRUE","FALSE")</formula>
    </cfRule>
  </conditionalFormatting>
  <conditionalFormatting sqref="E87 E100">
    <cfRule type="expression" dxfId="306" priority="45">
      <formula>IF($E$7="Actual","TRUE","FALSE")</formula>
    </cfRule>
    <cfRule type="expression" dxfId="305" priority="46">
      <formula>IF($E$7="Projected","TRUE","FALSE")</formula>
    </cfRule>
  </conditionalFormatting>
  <conditionalFormatting sqref="G117">
    <cfRule type="expression" dxfId="304" priority="28">
      <formula>IF($G$117="Projected","TRUE","FALSE")</formula>
    </cfRule>
  </conditionalFormatting>
  <conditionalFormatting sqref="Q41">
    <cfRule type="expression" dxfId="303" priority="24">
      <formula>IF(OR(S41="Per SF",S41="Per Unit"),"TRUE","FALSE")</formula>
    </cfRule>
    <cfRule type="expression" dxfId="302" priority="25">
      <formula>IF(S41="Fixed Amount","TRUE","FALSE")</formula>
    </cfRule>
  </conditionalFormatting>
  <dataValidations count="11">
    <dataValidation type="list" allowBlank="1" showInputMessage="1" showErrorMessage="1" sqref="F92:F98 F82:F85" xr:uid="{E92C50EB-63DF-4B3C-8209-FD430EE0A402}">
      <formula1>"Fixed Amount, FA Calc, Actual, N/A"</formula1>
    </dataValidation>
    <dataValidation type="list" allowBlank="1" showInputMessage="1" showErrorMessage="1" sqref="F80:F81" xr:uid="{818CBAE7-8645-4D1B-A02C-2BAE5877C9E4}">
      <formula1>"Fixed Amount, % of Senior, Actual, N/A"</formula1>
    </dataValidation>
    <dataValidation type="list" allowBlank="1" showInputMessage="1" showErrorMessage="1" sqref="F75" xr:uid="{A2C7D6A0-2A78-40E4-BFE3-5E6CFB716044}">
      <formula1>"% of H&amp;S Costs, Fixed Amount, $/GSF, $/Unit, Actual"</formula1>
    </dataValidation>
    <dataValidation type="list" allowBlank="1" showInputMessage="1" showErrorMessage="1" sqref="E7" xr:uid="{D4C9B377-E407-4779-A794-EB582F50A909}">
      <formula1>"Projected, Actual"</formula1>
    </dataValidation>
    <dataValidation type="list" allowBlank="1" showInputMessage="1" showErrorMessage="1" sqref="F52" xr:uid="{08D8ED35-B2BF-46AC-938B-5A6C3CCFB4CD}">
      <formula1>"Fixed Amount, $/GSF, $/Unit, %/Soft Costs, Actual"</formula1>
    </dataValidation>
    <dataValidation type="list" allowBlank="1" showInputMessage="1" showErrorMessage="1" sqref="F24" xr:uid="{EEE91892-106D-4897-B700-5557051E6097}">
      <formula1>"Fixed Amount, $/GSF, $/Unit, %/Hard Costs, Actual"</formula1>
    </dataValidation>
    <dataValidation type="list" allowBlank="1" showInputMessage="1" showErrorMessage="1" sqref="F57:F69" xr:uid="{A0D99D04-4CAE-4D94-8D83-BC8978F7EC88}">
      <formula1>"Fixed Amount, $/GSF, $/Unit, Actual"</formula1>
    </dataValidation>
    <dataValidation type="list" allowBlank="1" showInputMessage="1" showErrorMessage="1" sqref="F29:F51" xr:uid="{D236B889-CBE7-4B9C-8084-95009AD4A54F}">
      <formula1>"Fixed Amount, $/GSF, $/Unit, %/Hard Costs, Insurance Calc, Actual"</formula1>
    </dataValidation>
    <dataValidation type="list" allowBlank="1" showInputMessage="1" showErrorMessage="1" sqref="F14:F23" xr:uid="{522D1B76-CEBC-45A8-AA1C-F8CCE1D126EE}">
      <formula1>"Fixed Amount, $/GSF, $/Unit, Parking SF, Actual"</formula1>
    </dataValidation>
    <dataValidation type="list" allowBlank="1" showInputMessage="1" showErrorMessage="1" sqref="F70" xr:uid="{4D48ACA0-C50A-4B95-8B35-F2AD78846B18}">
      <formula1>"Fixed Amount, $/GSF, $/Unit, %/FF&amp;E Costs, Actual"</formula1>
    </dataValidation>
    <dataValidation type="list" allowBlank="1" showInputMessage="1" showErrorMessage="1" sqref="F90:F91 F11 F79" xr:uid="{9C3EAE66-5A19-4B17-81D4-36A7154840A6}">
      <formula1>"Fixed Amount, Actual, N/A"</formula1>
    </dataValidation>
  </dataValidations>
  <pageMargins left="0.25" right="0.25" top="0.75" bottom="0.75" header="0.3" footer="0.3"/>
  <pageSetup scale="2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59" id="{6EF685FD-0116-48B6-A232-820456E4AAA3}">
            <xm:f>IF(OR($B122='Financing Assumptions'!$B$10,$B122='Financing Assumptions'!$B$12,$B122='Financing Assumptions'!$B$11),"TRUE","FALSE")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B122:B124</xm:sqref>
        </x14:conditionalFormatting>
        <x14:conditionalFormatting xmlns:xm="http://schemas.microsoft.com/office/excel/2006/main">
          <x14:cfRule type="expression" priority="460" id="{B5C4E673-DA31-420A-BE2C-C17D0B2619D4}">
            <xm:f>IF(OR($B122='Financing Assumptions'!$B$10,$B122='Financing Assumptions'!$B$12,$B122='Financing Assumptions'!$B$11),"TRUE","FALSE")</xm:f>
            <x14:dxf>
              <border>
                <right style="thin">
                  <color auto="1"/>
                </right>
                <vertical/>
                <horizontal/>
              </border>
            </x14:dxf>
          </x14:cfRule>
          <xm:sqref>D122:D124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C3BCF-77FB-463C-9E34-B40ABC2B0FCA}">
  <sheetPr>
    <tabColor rgb="FFFF0000"/>
    <pageSetUpPr autoPageBreaks="0" fitToPage="1"/>
  </sheetPr>
  <dimension ref="A1:AI529"/>
  <sheetViews>
    <sheetView showGridLines="0" zoomScaleNormal="100" workbookViewId="0">
      <selection activeCell="AB21" sqref="AB21"/>
    </sheetView>
  </sheetViews>
  <sheetFormatPr defaultColWidth="16.140625" defaultRowHeight="12.75" outlineLevelRow="1" x14ac:dyDescent="0.2"/>
  <cols>
    <col min="1" max="1" width="7.42578125" style="1" customWidth="1"/>
    <col min="2" max="2" width="6.140625" style="406" customWidth="1"/>
    <col min="3" max="3" width="3.85546875" style="249" customWidth="1"/>
    <col min="4" max="4" width="5.140625" style="248" customWidth="1"/>
    <col min="5" max="5" width="3.7109375" style="29" customWidth="1"/>
    <col min="6" max="13" width="15.7109375" style="22" customWidth="1"/>
    <col min="14" max="18" width="16.140625" style="22"/>
    <col min="19" max="19" width="5" style="22" customWidth="1"/>
    <col min="20" max="28" width="16.140625" style="22"/>
    <col min="29" max="16384" width="16.140625" style="1"/>
  </cols>
  <sheetData>
    <row r="1" spans="2:28" s="278" customFormat="1" ht="49.15" customHeight="1" x14ac:dyDescent="0.4">
      <c r="B1" s="409"/>
      <c r="C1" s="316"/>
      <c r="D1" s="315"/>
      <c r="E1" s="367" t="s">
        <v>382</v>
      </c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6"/>
      <c r="W1" s="366"/>
      <c r="X1" s="366"/>
      <c r="Y1" s="365"/>
      <c r="Z1" s="279"/>
      <c r="AA1" s="279"/>
      <c r="AB1" s="279"/>
    </row>
    <row r="2" spans="2:28" s="278" customFormat="1" ht="4.5" customHeight="1" x14ac:dyDescent="0.25">
      <c r="B2" s="412"/>
      <c r="C2" s="364"/>
      <c r="D2" s="363"/>
      <c r="E2" s="363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6"/>
      <c r="W2" s="286"/>
      <c r="X2" s="286"/>
      <c r="Y2" s="280"/>
      <c r="Z2" s="279"/>
      <c r="AA2" s="279"/>
      <c r="AB2" s="279"/>
    </row>
    <row r="3" spans="2:28" s="278" customFormat="1" ht="18" customHeight="1" x14ac:dyDescent="0.25">
      <c r="B3" s="409"/>
      <c r="C3" s="316"/>
      <c r="D3" s="315"/>
      <c r="E3" s="362"/>
      <c r="F3" s="361" t="s">
        <v>22</v>
      </c>
      <c r="G3" s="312"/>
      <c r="H3" s="311"/>
      <c r="I3" s="280"/>
      <c r="J3" s="279"/>
      <c r="K3" s="314" t="s">
        <v>23</v>
      </c>
      <c r="L3" s="312"/>
      <c r="M3" s="311"/>
      <c r="N3" s="280"/>
      <c r="O3" s="314" t="s">
        <v>183</v>
      </c>
      <c r="P3" s="312"/>
      <c r="Q3" s="311"/>
      <c r="R3" s="280"/>
      <c r="S3" s="280"/>
      <c r="T3" s="314" t="s">
        <v>22</v>
      </c>
      <c r="U3" s="312"/>
      <c r="V3" s="311"/>
      <c r="W3" s="286"/>
      <c r="X3" s="314" t="s">
        <v>22</v>
      </c>
      <c r="Y3" s="312"/>
      <c r="Z3" s="311"/>
      <c r="AA3" s="279"/>
      <c r="AB3" s="279"/>
    </row>
    <row r="4" spans="2:28" s="278" customFormat="1" ht="12" customHeight="1" x14ac:dyDescent="0.25">
      <c r="B4" s="409"/>
      <c r="C4" s="316"/>
      <c r="D4" s="315"/>
      <c r="E4" s="359" t="s">
        <v>24</v>
      </c>
      <c r="F4" s="360"/>
      <c r="G4" s="358"/>
      <c r="H4" s="357">
        <f>IF('Financing Assumptions'!X8="No",0,IF(AND('Financing Assumptions'!X8="Yes",'Financing Assumptions'!W8="Fixed Amount"),'Financing Assumptions'!X9,IF(AND('Financing Assumptions'!X8="Yes",'Financing Assumptions'!W8="TIF Calc"),'Financing Assumptions'!X10)))</f>
        <v>0</v>
      </c>
      <c r="I4" s="280"/>
      <c r="J4" s="279"/>
      <c r="K4" s="346" t="s">
        <v>25</v>
      </c>
      <c r="L4" s="337"/>
      <c r="M4" s="324">
        <f>IF(AND(ISNUMBER(H4),ISNUMBER(H6),ISNUMBER(H7),ISNUMBER(H10)),M5*12,"")</f>
        <v>0</v>
      </c>
      <c r="N4" s="291"/>
      <c r="O4" s="114" t="s">
        <v>184</v>
      </c>
      <c r="P4" s="358"/>
      <c r="Q4" s="541">
        <v>100000</v>
      </c>
      <c r="R4" s="291"/>
      <c r="S4" s="291"/>
      <c r="T4" s="359"/>
      <c r="U4" s="358"/>
      <c r="V4" s="357"/>
      <c r="W4" s="292"/>
      <c r="AA4" s="279"/>
      <c r="AB4" s="279"/>
    </row>
    <row r="5" spans="2:28" s="278" customFormat="1" ht="12" customHeight="1" x14ac:dyDescent="0.25">
      <c r="B5" s="409"/>
      <c r="C5" s="316"/>
      <c r="D5" s="315"/>
      <c r="E5" s="346" t="s">
        <v>26</v>
      </c>
      <c r="F5" s="345"/>
      <c r="G5" s="337"/>
      <c r="H5" s="356">
        <f>'Financing Assumptions'!X14</f>
        <v>0.09</v>
      </c>
      <c r="I5" s="318"/>
      <c r="J5" s="279"/>
      <c r="K5" s="346" t="s">
        <v>27</v>
      </c>
      <c r="L5" s="337"/>
      <c r="M5" s="324">
        <f>IF(AND(ISNUMBER(H4),ISNUMBER(H6),ISNUMBER(H7),ISNUMBER(H10)),PMT($H$6/12,IF($H$8&gt;=0,$G$7-$G$8),$H$4),"")</f>
        <v>0</v>
      </c>
      <c r="N5" s="291"/>
      <c r="O5" s="43" t="s">
        <v>165</v>
      </c>
      <c r="P5" s="345"/>
      <c r="Q5" s="538">
        <f>'Construction Budget'!G116</f>
        <v>56919034.356800005</v>
      </c>
      <c r="R5" s="291"/>
      <c r="S5" s="291"/>
      <c r="T5" s="347" t="s">
        <v>387</v>
      </c>
      <c r="U5" s="345"/>
      <c r="V5" s="566">
        <v>9000000</v>
      </c>
      <c r="W5" s="292"/>
      <c r="AA5" s="279"/>
      <c r="AB5" s="279"/>
    </row>
    <row r="6" spans="2:28" s="278" customFormat="1" ht="12" customHeight="1" x14ac:dyDescent="0.25">
      <c r="B6" s="409"/>
      <c r="C6" s="316"/>
      <c r="D6" s="315"/>
      <c r="E6" s="355"/>
      <c r="F6" s="354" t="s">
        <v>308</v>
      </c>
      <c r="G6" s="345"/>
      <c r="H6" s="352">
        <f>IF($F$6="Actual/360 Rate",($H$5/360)*365,IF($F$6="Base Rate",$H$5))</f>
        <v>9.1249999999999998E-2</v>
      </c>
      <c r="I6" s="353"/>
      <c r="K6" s="536" t="s">
        <v>307</v>
      </c>
      <c r="L6" s="803">
        <f>H9</f>
        <v>36</v>
      </c>
      <c r="M6" s="327">
        <f>INDEX($E$49:$M$411,MATCH($H$9,'TIF Loan Amortization'!$E$49:$E$411,0),MATCH('TIF Loan Amortization'!$L$49,'TIF Loan Amortization'!$E$49:$M$49,0))</f>
        <v>0</v>
      </c>
      <c r="N6" s="291"/>
      <c r="O6" s="43" t="s">
        <v>185</v>
      </c>
      <c r="P6" s="345"/>
      <c r="Q6" s="539">
        <f>'Taxes - TIF'!E21</f>
        <v>38075061.046400003</v>
      </c>
      <c r="R6" s="291"/>
      <c r="S6" s="291"/>
      <c r="T6" s="347" t="s">
        <v>388</v>
      </c>
      <c r="U6" s="345"/>
      <c r="V6" s="567">
        <v>7.0000000000000007E-2</v>
      </c>
      <c r="W6" s="292"/>
      <c r="AA6" s="279"/>
      <c r="AB6" s="279"/>
    </row>
    <row r="7" spans="2:28" s="278" customFormat="1" ht="12" customHeight="1" x14ac:dyDescent="0.25">
      <c r="B7" s="409"/>
      <c r="C7" s="316"/>
      <c r="D7" s="315"/>
      <c r="E7" s="346" t="s">
        <v>28</v>
      </c>
      <c r="F7" s="345"/>
      <c r="G7" s="351">
        <f>H7*12</f>
        <v>240</v>
      </c>
      <c r="H7" s="350">
        <f>'Financing Assumptions'!X15</f>
        <v>20</v>
      </c>
      <c r="I7" s="349"/>
      <c r="K7" s="379" t="s">
        <v>306</v>
      </c>
      <c r="L7" s="342"/>
      <c r="M7" s="411" t="e">
        <f>INDEX($C$49:$M$411,MATCH('Operating Assumptions'!$C$48,'TIF Loan Amortization'!$C$49:$C$411,0),MATCH('TIF Loan Amortization'!$L$49,'TIF Loan Amortization'!$C$49:$M$49,0))</f>
        <v>#N/A</v>
      </c>
      <c r="N7" s="291"/>
      <c r="O7" s="43" t="s">
        <v>186</v>
      </c>
      <c r="P7" s="345"/>
      <c r="Q7" s="539">
        <f>Q6-Q4</f>
        <v>37975061.046400003</v>
      </c>
      <c r="R7" s="291"/>
      <c r="S7" s="291"/>
      <c r="T7" s="347"/>
      <c r="U7" s="345"/>
      <c r="V7" s="348"/>
      <c r="W7" s="292"/>
      <c r="AA7" s="279"/>
      <c r="AB7" s="279"/>
    </row>
    <row r="8" spans="2:28" s="278" customFormat="1" ht="12" customHeight="1" x14ac:dyDescent="0.25">
      <c r="B8" s="409"/>
      <c r="C8" s="316"/>
      <c r="D8" s="315"/>
      <c r="E8" s="347" t="s">
        <v>305</v>
      </c>
      <c r="F8" s="345"/>
      <c r="G8" s="802">
        <f>H8/12</f>
        <v>3</v>
      </c>
      <c r="H8" s="417">
        <f>'Financing Assumptions'!X16</f>
        <v>36</v>
      </c>
      <c r="I8" s="338"/>
      <c r="J8" s="279"/>
      <c r="K8" s="343" t="s">
        <v>29</v>
      </c>
      <c r="L8" s="341"/>
      <c r="M8" s="320">
        <f>IF(AND(ISNUMBER(H4),ISNUMBER(H6),ISNUMBER(H7),ISNUMBER(H10)),SUM(J51:J345),"")</f>
        <v>0</v>
      </c>
      <c r="N8" s="291"/>
      <c r="O8" s="43" t="s">
        <v>383</v>
      </c>
      <c r="P8" s="337"/>
      <c r="Q8" s="540">
        <f>Q6*'Taxes - TIF'!E24/100</f>
        <v>672576.15435291198</v>
      </c>
      <c r="R8" s="291"/>
      <c r="S8" s="291"/>
      <c r="T8" s="379"/>
      <c r="U8" s="342"/>
      <c r="V8" s="568"/>
      <c r="W8" s="292"/>
      <c r="AA8" s="279"/>
      <c r="AB8" s="279"/>
    </row>
    <row r="9" spans="2:28" s="278" customFormat="1" ht="11.85" customHeight="1" x14ac:dyDescent="0.25">
      <c r="B9" s="409"/>
      <c r="C9" s="316"/>
      <c r="D9" s="315"/>
      <c r="E9" s="535" t="s">
        <v>304</v>
      </c>
      <c r="F9" s="345"/>
      <c r="G9" s="802">
        <f>H9/12</f>
        <v>3</v>
      </c>
      <c r="H9" s="417">
        <f>'Financing Assumptions'!W17</f>
        <v>36</v>
      </c>
      <c r="I9" s="338"/>
      <c r="J9" s="279"/>
      <c r="K9" s="343" t="s">
        <v>31</v>
      </c>
      <c r="L9" s="341"/>
      <c r="M9" s="320">
        <f>IF(AND(ISNUMBER(H4),ISNUMBER(H5),ISNUMBER(H7),ISNUMBER(H10)),M8-H4,"")</f>
        <v>0</v>
      </c>
      <c r="N9" s="291"/>
      <c r="O9" s="542" t="s">
        <v>190</v>
      </c>
      <c r="P9" s="293"/>
      <c r="Q9" s="543">
        <f>'Financing Assumptions'!X14</f>
        <v>0.09</v>
      </c>
      <c r="R9" s="291"/>
      <c r="S9" s="291"/>
      <c r="W9" s="292"/>
      <c r="X9" s="286"/>
      <c r="Y9" s="291"/>
      <c r="Z9" s="279"/>
      <c r="AA9" s="279"/>
      <c r="AB9" s="279"/>
    </row>
    <row r="10" spans="2:28" s="278" customFormat="1" ht="11.85" customHeight="1" x14ac:dyDescent="0.25">
      <c r="B10" s="409"/>
      <c r="C10" s="316"/>
      <c r="D10" s="315"/>
      <c r="E10" s="346" t="s">
        <v>303</v>
      </c>
      <c r="F10" s="345"/>
      <c r="G10" s="337"/>
      <c r="H10" s="344">
        <f>'Financing Assumptions'!X20</f>
        <v>2025</v>
      </c>
      <c r="I10" s="338"/>
      <c r="J10" s="279"/>
      <c r="N10" s="291"/>
      <c r="O10" s="542" t="s">
        <v>191</v>
      </c>
      <c r="P10" s="293"/>
      <c r="Q10" s="350">
        <f>H7</f>
        <v>20</v>
      </c>
      <c r="R10" s="291"/>
      <c r="S10" s="291"/>
      <c r="W10" s="292"/>
      <c r="X10" s="286"/>
      <c r="Y10" s="291"/>
      <c r="Z10" s="279"/>
      <c r="AA10" s="279"/>
      <c r="AB10" s="279"/>
    </row>
    <row r="11" spans="2:28" s="278" customFormat="1" ht="11.85" customHeight="1" thickBot="1" x14ac:dyDescent="0.3">
      <c r="B11" s="409"/>
      <c r="C11" s="316"/>
      <c r="D11" s="315"/>
      <c r="E11" s="343" t="s">
        <v>30</v>
      </c>
      <c r="F11" s="342"/>
      <c r="G11" s="341"/>
      <c r="H11" s="340" t="str">
        <f>'Financing Assumptions'!X21</f>
        <v>March</v>
      </c>
      <c r="I11" s="338"/>
      <c r="J11" s="279"/>
      <c r="N11" s="291"/>
      <c r="O11" s="542" t="s">
        <v>188</v>
      </c>
      <c r="P11" s="293"/>
      <c r="Q11" s="539">
        <f>ABS(PV(Q9,Q10,Q8,0,1))</f>
        <v>6692209.9336341256</v>
      </c>
      <c r="R11" s="291"/>
      <c r="S11" s="291"/>
      <c r="W11" s="537"/>
      <c r="X11" s="286"/>
      <c r="Y11" s="291"/>
      <c r="Z11" s="279"/>
      <c r="AA11" s="279"/>
      <c r="AB11" s="279"/>
    </row>
    <row r="12" spans="2:28" s="278" customFormat="1" ht="11.85" customHeight="1" thickTop="1" thickBot="1" x14ac:dyDescent="0.3">
      <c r="B12" s="409"/>
      <c r="C12" s="316"/>
      <c r="D12" s="315"/>
      <c r="E12" s="315"/>
      <c r="F12" s="337"/>
      <c r="G12" s="337"/>
      <c r="H12" s="339"/>
      <c r="I12" s="338"/>
      <c r="J12" s="279"/>
      <c r="K12" s="337"/>
      <c r="L12" s="337"/>
      <c r="M12" s="325"/>
      <c r="N12" s="291"/>
      <c r="O12" s="542" t="s">
        <v>192</v>
      </c>
      <c r="P12" s="293"/>
      <c r="Q12" s="555">
        <v>0.8</v>
      </c>
      <c r="R12" s="291"/>
      <c r="S12" s="291"/>
      <c r="T12" s="291"/>
      <c r="U12" s="291"/>
      <c r="V12" s="292"/>
      <c r="W12" s="292"/>
      <c r="X12" s="292"/>
      <c r="Y12" s="291"/>
      <c r="Z12" s="279"/>
      <c r="AA12" s="279"/>
      <c r="AB12" s="279"/>
    </row>
    <row r="13" spans="2:28" s="278" customFormat="1" ht="11.85" customHeight="1" x14ac:dyDescent="0.25">
      <c r="B13" s="410"/>
      <c r="C13" s="319"/>
      <c r="D13" s="318"/>
      <c r="E13" s="318"/>
      <c r="F13" s="280"/>
      <c r="G13" s="280"/>
      <c r="H13" s="317"/>
      <c r="I13" s="280"/>
      <c r="J13" s="280"/>
      <c r="K13" s="280"/>
      <c r="L13" s="280"/>
      <c r="M13" s="280"/>
      <c r="N13" s="280"/>
      <c r="O13" s="554" t="s">
        <v>193</v>
      </c>
      <c r="P13" s="544"/>
      <c r="Q13" s="556">
        <f>Q11*Q12</f>
        <v>5353767.9469073005</v>
      </c>
      <c r="R13" s="280"/>
      <c r="S13" s="280"/>
      <c r="T13" s="280"/>
      <c r="U13" s="280"/>
      <c r="V13" s="286"/>
      <c r="W13" s="286"/>
      <c r="X13" s="286"/>
      <c r="Y13" s="280"/>
      <c r="Z13" s="279"/>
      <c r="AA13" s="279"/>
      <c r="AB13" s="279"/>
    </row>
    <row r="14" spans="2:28" s="278" customFormat="1" ht="18" customHeight="1" x14ac:dyDescent="0.25">
      <c r="B14" s="410"/>
      <c r="C14" s="319"/>
      <c r="D14" s="318"/>
      <c r="E14" s="336"/>
      <c r="F14" s="312" t="s">
        <v>41</v>
      </c>
      <c r="G14" s="312"/>
      <c r="H14" s="312"/>
      <c r="I14" s="312"/>
      <c r="J14" s="312"/>
      <c r="K14" s="312"/>
      <c r="L14" s="312"/>
      <c r="M14" s="311"/>
      <c r="N14" s="280"/>
      <c r="R14" s="280"/>
      <c r="S14" s="314" t="s">
        <v>302</v>
      </c>
      <c r="T14" s="313"/>
      <c r="U14" s="312"/>
      <c r="V14" s="312"/>
      <c r="W14" s="312"/>
      <c r="X14" s="312"/>
      <c r="Y14" s="311"/>
      <c r="AB14" s="279"/>
    </row>
    <row r="15" spans="2:28" s="278" customFormat="1" ht="27" customHeight="1" x14ac:dyDescent="0.25">
      <c r="B15" s="410"/>
      <c r="C15" s="319"/>
      <c r="D15" s="318"/>
      <c r="E15" s="335"/>
      <c r="F15" s="332" t="s">
        <v>32</v>
      </c>
      <c r="G15" s="332" t="s">
        <v>34</v>
      </c>
      <c r="H15" s="332" t="s">
        <v>42</v>
      </c>
      <c r="I15" s="332" t="s">
        <v>9</v>
      </c>
      <c r="J15" s="332" t="s">
        <v>43</v>
      </c>
      <c r="K15" s="334" t="s">
        <v>38</v>
      </c>
      <c r="L15" s="332" t="s">
        <v>39</v>
      </c>
      <c r="M15" s="331" t="s">
        <v>40</v>
      </c>
      <c r="N15" s="280"/>
      <c r="R15" s="280"/>
      <c r="S15" s="545"/>
      <c r="T15" s="332" t="s">
        <v>380</v>
      </c>
      <c r="U15" s="332" t="s">
        <v>384</v>
      </c>
      <c r="V15" s="332" t="s">
        <v>356</v>
      </c>
      <c r="W15" s="332" t="s">
        <v>385</v>
      </c>
      <c r="X15" s="332" t="s">
        <v>386</v>
      </c>
      <c r="Y15" s="331"/>
      <c r="AB15" s="279"/>
    </row>
    <row r="16" spans="2:28" s="278" customFormat="1" ht="11.85" customHeight="1" x14ac:dyDescent="0.25">
      <c r="B16" s="410"/>
      <c r="C16" s="319"/>
      <c r="D16" s="318"/>
      <c r="E16" s="330">
        <v>1</v>
      </c>
      <c r="F16" s="329">
        <f>IF(NOT(ISNUMBER(H10)),"",IF(F50="Jan",1+H10,MAX(D50:D61)))</f>
        <v>2026</v>
      </c>
      <c r="G16" s="328">
        <f>IF(ISTEXT(F16),"",INDEX(M50:M61,13-AG422,1))</f>
        <v>0</v>
      </c>
      <c r="H16" s="328">
        <f t="shared" ref="H16:H45" ca="1" si="0">SUMIF($B$50:$B$350,$F16,$H$50:$H$345)</f>
        <v>0</v>
      </c>
      <c r="I16" s="328">
        <f t="shared" ref="I16:I45" ca="1" si="1">SUMIF($B$50:$B$350,$F16,$I$50:$I$345)</f>
        <v>0</v>
      </c>
      <c r="J16" s="328">
        <f t="shared" ref="J16:J45" ca="1" si="2">SUMIF($B$50:$B$350,$F16,$J$50:$J$345)</f>
        <v>0</v>
      </c>
      <c r="K16" s="328">
        <f ca="1">SUM($I$16:I16)</f>
        <v>0</v>
      </c>
      <c r="L16" s="328">
        <f ca="1">SUM($J$16:J16)</f>
        <v>0</v>
      </c>
      <c r="M16" s="327">
        <f t="shared" ref="M16:M35" ca="1" si="3">G16+I16</f>
        <v>0</v>
      </c>
      <c r="N16" s="280"/>
      <c r="R16" s="280"/>
      <c r="S16" s="546">
        <v>1</v>
      </c>
      <c r="T16" s="559">
        <f>H10</f>
        <v>2025</v>
      </c>
      <c r="U16" s="560">
        <v>0</v>
      </c>
      <c r="V16" s="561">
        <v>744000</v>
      </c>
      <c r="W16" s="562">
        <f>(V5-V16)*$V$6</f>
        <v>577920</v>
      </c>
      <c r="X16" s="562">
        <f>V5-V16+W16</f>
        <v>8833920</v>
      </c>
      <c r="Y16" s="563"/>
      <c r="Z16" s="279"/>
      <c r="AA16" s="279"/>
      <c r="AB16" s="279"/>
    </row>
    <row r="17" spans="2:28" s="278" customFormat="1" ht="11.85" customHeight="1" x14ac:dyDescent="0.25">
      <c r="B17" s="410"/>
      <c r="C17" s="319"/>
      <c r="D17" s="318"/>
      <c r="E17" s="326">
        <v>2</v>
      </c>
      <c r="F17" s="301">
        <f>IF(ISTEXT(F16),"",IF(MAX(F$16:F16)=AI$441,"",F16+1))</f>
        <v>2027</v>
      </c>
      <c r="G17" s="325">
        <f t="shared" ref="G17:G45" ca="1" si="4">IF(ISTEXT(F17),"",M16)</f>
        <v>0</v>
      </c>
      <c r="H17" s="325">
        <f t="shared" ca="1" si="0"/>
        <v>0</v>
      </c>
      <c r="I17" s="325">
        <f t="shared" ca="1" si="1"/>
        <v>0</v>
      </c>
      <c r="J17" s="325">
        <f t="shared" ca="1" si="2"/>
        <v>0</v>
      </c>
      <c r="K17" s="325">
        <f ca="1">SUM($I$16:I17)</f>
        <v>0</v>
      </c>
      <c r="L17" s="325">
        <f ca="1">SUM($J$16:J17)</f>
        <v>0</v>
      </c>
      <c r="M17" s="324">
        <f t="shared" ca="1" si="3"/>
        <v>0</v>
      </c>
      <c r="N17" s="280"/>
      <c r="R17" s="280"/>
      <c r="S17" s="546">
        <v>2</v>
      </c>
      <c r="T17" s="564">
        <f>T16+1</f>
        <v>2026</v>
      </c>
      <c r="U17" s="548">
        <v>0</v>
      </c>
      <c r="V17" s="550">
        <f>V16*(1+U17)</f>
        <v>744000</v>
      </c>
      <c r="W17" s="549">
        <f>(X16-V17)*$V$6</f>
        <v>566294.4</v>
      </c>
      <c r="X17" s="549">
        <f>X16-V17+W17</f>
        <v>8656214.4000000004</v>
      </c>
      <c r="Y17" s="557"/>
      <c r="Z17" s="279"/>
      <c r="AA17" s="279"/>
      <c r="AB17" s="279"/>
    </row>
    <row r="18" spans="2:28" s="278" customFormat="1" ht="11.85" customHeight="1" x14ac:dyDescent="0.25">
      <c r="B18" s="410"/>
      <c r="C18" s="319"/>
      <c r="D18" s="318"/>
      <c r="E18" s="326">
        <v>3</v>
      </c>
      <c r="F18" s="301">
        <f>IF(ISTEXT(F17),"",IF(MAX(F$16:F17)=AI$441,"",F17+1))</f>
        <v>2028</v>
      </c>
      <c r="G18" s="325">
        <f t="shared" ca="1" si="4"/>
        <v>0</v>
      </c>
      <c r="H18" s="325">
        <f t="shared" ca="1" si="0"/>
        <v>0</v>
      </c>
      <c r="I18" s="325">
        <f t="shared" ca="1" si="1"/>
        <v>0</v>
      </c>
      <c r="J18" s="325">
        <f t="shared" ca="1" si="2"/>
        <v>0</v>
      </c>
      <c r="K18" s="325">
        <f ca="1">SUM($I$16:I18)</f>
        <v>0</v>
      </c>
      <c r="L18" s="325">
        <f ca="1">SUM($J$16:J18)</f>
        <v>0</v>
      </c>
      <c r="M18" s="324">
        <f t="shared" ca="1" si="3"/>
        <v>0</v>
      </c>
      <c r="N18" s="280"/>
      <c r="O18" s="280"/>
      <c r="P18" s="280"/>
      <c r="Q18" s="280"/>
      <c r="R18" s="280"/>
      <c r="S18" s="546">
        <v>3</v>
      </c>
      <c r="T18" s="564">
        <f t="shared" ref="T18:T45" si="5">T17+1</f>
        <v>2027</v>
      </c>
      <c r="U18" s="548">
        <v>0</v>
      </c>
      <c r="V18" s="550">
        <f t="shared" ref="V18:V35" si="6">V17*(1+U18)</f>
        <v>744000</v>
      </c>
      <c r="W18" s="549">
        <f t="shared" ref="W18:W45" si="7">(X17-V18)*$V$6</f>
        <v>553855.00800000003</v>
      </c>
      <c r="X18" s="549">
        <f t="shared" ref="X18:X35" si="8">X17-V18+W18</f>
        <v>8466069.4079999998</v>
      </c>
      <c r="Y18" s="557"/>
      <c r="Z18" s="279"/>
      <c r="AA18" s="279"/>
      <c r="AB18" s="279"/>
    </row>
    <row r="19" spans="2:28" s="278" customFormat="1" ht="11.85" customHeight="1" x14ac:dyDescent="0.25">
      <c r="B19" s="410"/>
      <c r="C19" s="319"/>
      <c r="D19" s="318"/>
      <c r="E19" s="326">
        <v>4</v>
      </c>
      <c r="F19" s="301">
        <f>IF(ISTEXT(F18),"",IF(MAX(F$16:F18)=AI$441,"",F18+1))</f>
        <v>2029</v>
      </c>
      <c r="G19" s="325">
        <f t="shared" ca="1" si="4"/>
        <v>0</v>
      </c>
      <c r="H19" s="325">
        <f t="shared" ca="1" si="0"/>
        <v>0</v>
      </c>
      <c r="I19" s="325">
        <f t="shared" ca="1" si="1"/>
        <v>0</v>
      </c>
      <c r="J19" s="325">
        <f t="shared" ca="1" si="2"/>
        <v>0</v>
      </c>
      <c r="K19" s="325">
        <f ca="1">SUM($I$16:I19)</f>
        <v>0</v>
      </c>
      <c r="L19" s="325">
        <f ca="1">SUM($J$16:J19)</f>
        <v>0</v>
      </c>
      <c r="M19" s="324">
        <f t="shared" ca="1" si="3"/>
        <v>0</v>
      </c>
      <c r="N19" s="280"/>
      <c r="O19" s="280"/>
      <c r="P19" s="280"/>
      <c r="Q19" s="280"/>
      <c r="R19" s="280"/>
      <c r="S19" s="546">
        <v>4</v>
      </c>
      <c r="T19" s="564">
        <f t="shared" si="5"/>
        <v>2028</v>
      </c>
      <c r="U19" s="548">
        <v>0</v>
      </c>
      <c r="V19" s="550">
        <f t="shared" si="6"/>
        <v>744000</v>
      </c>
      <c r="W19" s="549">
        <f t="shared" si="7"/>
        <v>540544.85856000008</v>
      </c>
      <c r="X19" s="549">
        <f t="shared" si="8"/>
        <v>8262614.2665599994</v>
      </c>
      <c r="Y19" s="557"/>
      <c r="Z19" s="279"/>
      <c r="AA19" s="279"/>
      <c r="AB19" s="279"/>
    </row>
    <row r="20" spans="2:28" s="278" customFormat="1" ht="11.85" customHeight="1" x14ac:dyDescent="0.25">
      <c r="B20" s="410"/>
      <c r="C20" s="319"/>
      <c r="D20" s="318"/>
      <c r="E20" s="326">
        <v>5</v>
      </c>
      <c r="F20" s="301">
        <f>IF(ISTEXT(F19),"",IF(MAX(F$16:F19)=AI$441,"",F19+1))</f>
        <v>2030</v>
      </c>
      <c r="G20" s="325">
        <f t="shared" ca="1" si="4"/>
        <v>0</v>
      </c>
      <c r="H20" s="325">
        <f t="shared" ca="1" si="0"/>
        <v>0</v>
      </c>
      <c r="I20" s="325">
        <f t="shared" ca="1" si="1"/>
        <v>0</v>
      </c>
      <c r="J20" s="325">
        <f t="shared" ca="1" si="2"/>
        <v>0</v>
      </c>
      <c r="K20" s="325">
        <f ca="1">SUM($I$16:I20)</f>
        <v>0</v>
      </c>
      <c r="L20" s="325">
        <f ca="1">SUM($J$16:J20)</f>
        <v>0</v>
      </c>
      <c r="M20" s="324">
        <f t="shared" ca="1" si="3"/>
        <v>0</v>
      </c>
      <c r="N20" s="280"/>
      <c r="O20" s="280"/>
      <c r="P20" s="280"/>
      <c r="Q20" s="280"/>
      <c r="R20" s="280"/>
      <c r="S20" s="546">
        <v>5</v>
      </c>
      <c r="T20" s="564">
        <f t="shared" si="5"/>
        <v>2029</v>
      </c>
      <c r="U20" s="548">
        <v>0</v>
      </c>
      <c r="V20" s="550">
        <f t="shared" si="6"/>
        <v>744000</v>
      </c>
      <c r="W20" s="549">
        <f t="shared" si="7"/>
        <v>526302.99865920004</v>
      </c>
      <c r="X20" s="549">
        <f t="shared" si="8"/>
        <v>8044917.2652191995</v>
      </c>
      <c r="Y20" s="557"/>
      <c r="Z20" s="279"/>
      <c r="AA20" s="279"/>
      <c r="AB20" s="279"/>
    </row>
    <row r="21" spans="2:28" s="278" customFormat="1" ht="11.85" customHeight="1" x14ac:dyDescent="0.25">
      <c r="B21" s="410"/>
      <c r="C21" s="319"/>
      <c r="D21" s="318"/>
      <c r="E21" s="326">
        <v>6</v>
      </c>
      <c r="F21" s="301">
        <f>IF(ISTEXT(F20),"",IF(MAX(F$16:F20)=AI$441,"",F20+1))</f>
        <v>2031</v>
      </c>
      <c r="G21" s="325">
        <f t="shared" ca="1" si="4"/>
        <v>0</v>
      </c>
      <c r="H21" s="325">
        <f t="shared" ca="1" si="0"/>
        <v>0</v>
      </c>
      <c r="I21" s="325">
        <f t="shared" ca="1" si="1"/>
        <v>0</v>
      </c>
      <c r="J21" s="325">
        <f t="shared" ca="1" si="2"/>
        <v>0</v>
      </c>
      <c r="K21" s="325">
        <f ca="1">SUM($I$16:I21)</f>
        <v>0</v>
      </c>
      <c r="L21" s="325">
        <f ca="1">SUM($J$16:J21)</f>
        <v>0</v>
      </c>
      <c r="M21" s="324">
        <f t="shared" ca="1" si="3"/>
        <v>0</v>
      </c>
      <c r="N21" s="280"/>
      <c r="O21" s="280"/>
      <c r="P21" s="280"/>
      <c r="Q21" s="280"/>
      <c r="R21" s="280"/>
      <c r="S21" s="546">
        <v>6</v>
      </c>
      <c r="T21" s="564">
        <f t="shared" si="5"/>
        <v>2030</v>
      </c>
      <c r="U21" s="548">
        <v>0</v>
      </c>
      <c r="V21" s="550">
        <f t="shared" si="6"/>
        <v>744000</v>
      </c>
      <c r="W21" s="549">
        <f t="shared" si="7"/>
        <v>511064.20856534399</v>
      </c>
      <c r="X21" s="549">
        <f t="shared" si="8"/>
        <v>7811981.4737845436</v>
      </c>
      <c r="Y21" s="557"/>
      <c r="Z21" s="279"/>
      <c r="AA21" s="279"/>
      <c r="AB21" s="279"/>
    </row>
    <row r="22" spans="2:28" s="278" customFormat="1" ht="11.85" customHeight="1" x14ac:dyDescent="0.25">
      <c r="B22" s="410"/>
      <c r="C22" s="319"/>
      <c r="D22" s="318"/>
      <c r="E22" s="326">
        <v>7</v>
      </c>
      <c r="F22" s="301">
        <f>IF(ISTEXT(F21),"",IF(MAX(F$16:F21)=AI$441,"",F21+1))</f>
        <v>2032</v>
      </c>
      <c r="G22" s="325">
        <f t="shared" ca="1" si="4"/>
        <v>0</v>
      </c>
      <c r="H22" s="325">
        <f t="shared" ca="1" si="0"/>
        <v>0</v>
      </c>
      <c r="I22" s="325">
        <f t="shared" ca="1" si="1"/>
        <v>0</v>
      </c>
      <c r="J22" s="325">
        <f t="shared" ca="1" si="2"/>
        <v>0</v>
      </c>
      <c r="K22" s="325">
        <f ca="1">SUM($I$16:I22)</f>
        <v>0</v>
      </c>
      <c r="L22" s="325">
        <f ca="1">SUM($J$16:J22)</f>
        <v>0</v>
      </c>
      <c r="M22" s="324">
        <f t="shared" ca="1" si="3"/>
        <v>0</v>
      </c>
      <c r="N22" s="280"/>
      <c r="O22" s="280"/>
      <c r="P22" s="280"/>
      <c r="Q22" s="280"/>
      <c r="R22" s="280"/>
      <c r="S22" s="546">
        <v>7</v>
      </c>
      <c r="T22" s="564">
        <f t="shared" si="5"/>
        <v>2031</v>
      </c>
      <c r="U22" s="548">
        <v>0</v>
      </c>
      <c r="V22" s="550">
        <f t="shared" si="6"/>
        <v>744000</v>
      </c>
      <c r="W22" s="549">
        <f t="shared" si="7"/>
        <v>494758.70316491812</v>
      </c>
      <c r="X22" s="549">
        <f t="shared" si="8"/>
        <v>7562740.1769494619</v>
      </c>
      <c r="Y22" s="557"/>
      <c r="Z22" s="279"/>
      <c r="AA22" s="279"/>
      <c r="AB22" s="279"/>
    </row>
    <row r="23" spans="2:28" s="278" customFormat="1" ht="11.85" customHeight="1" x14ac:dyDescent="0.25">
      <c r="B23" s="410"/>
      <c r="C23" s="319"/>
      <c r="D23" s="318"/>
      <c r="E23" s="326">
        <v>8</v>
      </c>
      <c r="F23" s="301">
        <f>IF(ISTEXT(F22),"",IF(MAX(F$16:F22)=AI$441,"",F22+1))</f>
        <v>2033</v>
      </c>
      <c r="G23" s="325">
        <f t="shared" ca="1" si="4"/>
        <v>0</v>
      </c>
      <c r="H23" s="325">
        <f t="shared" ca="1" si="0"/>
        <v>0</v>
      </c>
      <c r="I23" s="325">
        <f t="shared" ca="1" si="1"/>
        <v>0</v>
      </c>
      <c r="J23" s="325">
        <f t="shared" ca="1" si="2"/>
        <v>0</v>
      </c>
      <c r="K23" s="325">
        <f ca="1">SUM($I$16:I23)</f>
        <v>0</v>
      </c>
      <c r="L23" s="325">
        <f ca="1">SUM($J$16:J23)</f>
        <v>0</v>
      </c>
      <c r="M23" s="324">
        <f t="shared" ca="1" si="3"/>
        <v>0</v>
      </c>
      <c r="N23" s="280"/>
      <c r="O23" s="280"/>
      <c r="P23" s="280"/>
      <c r="Q23" s="280"/>
      <c r="R23" s="280"/>
      <c r="S23" s="546">
        <v>8</v>
      </c>
      <c r="T23" s="564">
        <f t="shared" si="5"/>
        <v>2032</v>
      </c>
      <c r="U23" s="548">
        <v>0</v>
      </c>
      <c r="V23" s="550">
        <f t="shared" si="6"/>
        <v>744000</v>
      </c>
      <c r="W23" s="549">
        <f t="shared" si="7"/>
        <v>477311.81238646241</v>
      </c>
      <c r="X23" s="549">
        <f t="shared" si="8"/>
        <v>7296051.9893359244</v>
      </c>
      <c r="Y23" s="557"/>
      <c r="Z23" s="279"/>
      <c r="AA23" s="279"/>
      <c r="AB23" s="279"/>
    </row>
    <row r="24" spans="2:28" s="278" customFormat="1" ht="11.85" customHeight="1" x14ac:dyDescent="0.25">
      <c r="B24" s="410"/>
      <c r="C24" s="319"/>
      <c r="D24" s="318"/>
      <c r="E24" s="326">
        <v>9</v>
      </c>
      <c r="F24" s="301">
        <f>IF(ISTEXT(F23),"",IF(MAX(F$16:F23)=AI$441,"",F23+1))</f>
        <v>2034</v>
      </c>
      <c r="G24" s="325">
        <f t="shared" ca="1" si="4"/>
        <v>0</v>
      </c>
      <c r="H24" s="325">
        <f t="shared" ca="1" si="0"/>
        <v>0</v>
      </c>
      <c r="I24" s="325">
        <f t="shared" ca="1" si="1"/>
        <v>0</v>
      </c>
      <c r="J24" s="325">
        <f t="shared" ca="1" si="2"/>
        <v>0</v>
      </c>
      <c r="K24" s="325">
        <f ca="1">SUM($I$16:I24)</f>
        <v>0</v>
      </c>
      <c r="L24" s="325">
        <f ca="1">SUM($J$16:J24)</f>
        <v>0</v>
      </c>
      <c r="M24" s="324">
        <f t="shared" ca="1" si="3"/>
        <v>0</v>
      </c>
      <c r="N24" s="280"/>
      <c r="O24" s="280"/>
      <c r="P24" s="280"/>
      <c r="Q24" s="280"/>
      <c r="R24" s="280"/>
      <c r="S24" s="546">
        <v>9</v>
      </c>
      <c r="T24" s="564">
        <f t="shared" si="5"/>
        <v>2033</v>
      </c>
      <c r="U24" s="548">
        <v>0</v>
      </c>
      <c r="V24" s="550">
        <f t="shared" si="6"/>
        <v>744000</v>
      </c>
      <c r="W24" s="549">
        <f t="shared" si="7"/>
        <v>458643.63925351476</v>
      </c>
      <c r="X24" s="549">
        <f t="shared" si="8"/>
        <v>7010695.6285894392</v>
      </c>
      <c r="Y24" s="557"/>
      <c r="Z24" s="279"/>
      <c r="AA24" s="279"/>
      <c r="AB24" s="279"/>
    </row>
    <row r="25" spans="2:28" s="278" customFormat="1" ht="11.85" customHeight="1" x14ac:dyDescent="0.25">
      <c r="B25" s="410"/>
      <c r="C25" s="319"/>
      <c r="D25" s="318"/>
      <c r="E25" s="326">
        <v>10</v>
      </c>
      <c r="F25" s="301">
        <f>IF(ISTEXT(F24),"",IF(MAX(F$16:F24)=AI$441,"",F24+1))</f>
        <v>2035</v>
      </c>
      <c r="G25" s="325">
        <f t="shared" ca="1" si="4"/>
        <v>0</v>
      </c>
      <c r="H25" s="325">
        <f t="shared" ca="1" si="0"/>
        <v>0</v>
      </c>
      <c r="I25" s="325">
        <f t="shared" ca="1" si="1"/>
        <v>0</v>
      </c>
      <c r="J25" s="325">
        <f t="shared" ca="1" si="2"/>
        <v>0</v>
      </c>
      <c r="K25" s="325">
        <f ca="1">SUM($I$16:I25)</f>
        <v>0</v>
      </c>
      <c r="L25" s="325">
        <f ca="1">SUM($J$16:J25)</f>
        <v>0</v>
      </c>
      <c r="M25" s="324">
        <f t="shared" ca="1" si="3"/>
        <v>0</v>
      </c>
      <c r="N25" s="280"/>
      <c r="O25" s="280"/>
      <c r="P25" s="280"/>
      <c r="Q25" s="280"/>
      <c r="R25" s="280"/>
      <c r="S25" s="546">
        <v>10</v>
      </c>
      <c r="T25" s="564">
        <f t="shared" si="5"/>
        <v>2034</v>
      </c>
      <c r="U25" s="548">
        <v>0</v>
      </c>
      <c r="V25" s="550">
        <f t="shared" si="6"/>
        <v>744000</v>
      </c>
      <c r="W25" s="549">
        <f t="shared" si="7"/>
        <v>438668.6940012608</v>
      </c>
      <c r="X25" s="549">
        <f t="shared" si="8"/>
        <v>6705364.3225907004</v>
      </c>
      <c r="Y25" s="557"/>
      <c r="Z25" s="279"/>
      <c r="AA25" s="279"/>
      <c r="AB25" s="279"/>
    </row>
    <row r="26" spans="2:28" s="278" customFormat="1" ht="11.85" customHeight="1" x14ac:dyDescent="0.25">
      <c r="B26" s="410"/>
      <c r="C26" s="319"/>
      <c r="D26" s="318"/>
      <c r="E26" s="326">
        <v>11</v>
      </c>
      <c r="F26" s="301">
        <f>IF(ISTEXT(F25),"",IF(MAX(F$16:F25)=AI$441,"",F25+1))</f>
        <v>2036</v>
      </c>
      <c r="G26" s="325">
        <f t="shared" ca="1" si="4"/>
        <v>0</v>
      </c>
      <c r="H26" s="325">
        <f t="shared" ca="1" si="0"/>
        <v>0</v>
      </c>
      <c r="I26" s="325">
        <f t="shared" ca="1" si="1"/>
        <v>0</v>
      </c>
      <c r="J26" s="325">
        <f t="shared" ca="1" si="2"/>
        <v>0</v>
      </c>
      <c r="K26" s="325">
        <f t="shared" ref="K26:L41" ca="1" si="9">IF(ISTEXT(F26),"",K25+I26)</f>
        <v>0</v>
      </c>
      <c r="L26" s="325">
        <f t="shared" ca="1" si="9"/>
        <v>0</v>
      </c>
      <c r="M26" s="324">
        <f t="shared" ca="1" si="3"/>
        <v>0</v>
      </c>
      <c r="N26" s="280"/>
      <c r="O26" s="280"/>
      <c r="P26" s="280"/>
      <c r="Q26" s="280"/>
      <c r="R26" s="280"/>
      <c r="S26" s="546">
        <v>11</v>
      </c>
      <c r="T26" s="564">
        <f t="shared" si="5"/>
        <v>2035</v>
      </c>
      <c r="U26" s="548">
        <v>0</v>
      </c>
      <c r="V26" s="550">
        <f t="shared" si="6"/>
        <v>744000</v>
      </c>
      <c r="W26" s="549">
        <f t="shared" si="7"/>
        <v>417295.50258134905</v>
      </c>
      <c r="X26" s="549">
        <f t="shared" si="8"/>
        <v>6378659.825172049</v>
      </c>
      <c r="Y26" s="557"/>
      <c r="Z26" s="279"/>
      <c r="AA26" s="279"/>
      <c r="AB26" s="279"/>
    </row>
    <row r="27" spans="2:28" s="278" customFormat="1" ht="11.85" customHeight="1" x14ac:dyDescent="0.25">
      <c r="B27" s="410"/>
      <c r="C27" s="319"/>
      <c r="D27" s="318"/>
      <c r="E27" s="326">
        <v>12</v>
      </c>
      <c r="F27" s="301">
        <f>IF(ISTEXT(F26),"",IF(MAX(F$16:F26)=AI$441,"",F26+1))</f>
        <v>2037</v>
      </c>
      <c r="G27" s="325">
        <f t="shared" ca="1" si="4"/>
        <v>0</v>
      </c>
      <c r="H27" s="325">
        <f t="shared" ca="1" si="0"/>
        <v>0</v>
      </c>
      <c r="I27" s="325">
        <f t="shared" ca="1" si="1"/>
        <v>0</v>
      </c>
      <c r="J27" s="325">
        <f t="shared" ca="1" si="2"/>
        <v>0</v>
      </c>
      <c r="K27" s="325">
        <f t="shared" ca="1" si="9"/>
        <v>0</v>
      </c>
      <c r="L27" s="325">
        <f t="shared" ca="1" si="9"/>
        <v>0</v>
      </c>
      <c r="M27" s="324">
        <f t="shared" ca="1" si="3"/>
        <v>0</v>
      </c>
      <c r="N27" s="280"/>
      <c r="O27" s="280"/>
      <c r="P27" s="280"/>
      <c r="Q27" s="280"/>
      <c r="R27" s="280"/>
      <c r="S27" s="546">
        <v>12</v>
      </c>
      <c r="T27" s="564">
        <f t="shared" si="5"/>
        <v>2036</v>
      </c>
      <c r="U27" s="548">
        <v>0</v>
      </c>
      <c r="V27" s="550">
        <f t="shared" si="6"/>
        <v>744000</v>
      </c>
      <c r="W27" s="549">
        <f t="shared" si="7"/>
        <v>394426.18776204344</v>
      </c>
      <c r="X27" s="549">
        <f t="shared" si="8"/>
        <v>6029086.0129340924</v>
      </c>
      <c r="Y27" s="557"/>
      <c r="Z27" s="279"/>
      <c r="AA27" s="279"/>
      <c r="AB27" s="279"/>
    </row>
    <row r="28" spans="2:28" s="278" customFormat="1" ht="11.85" customHeight="1" x14ac:dyDescent="0.25">
      <c r="B28" s="410"/>
      <c r="C28" s="319"/>
      <c r="D28" s="318"/>
      <c r="E28" s="326">
        <v>13</v>
      </c>
      <c r="F28" s="301">
        <f>IF(ISTEXT(F27),"",IF(MAX(F$16:F27)=AI$441,"",F27+1))</f>
        <v>2038</v>
      </c>
      <c r="G28" s="325">
        <f t="shared" ca="1" si="4"/>
        <v>0</v>
      </c>
      <c r="H28" s="325">
        <f t="shared" ca="1" si="0"/>
        <v>0</v>
      </c>
      <c r="I28" s="325">
        <f t="shared" ca="1" si="1"/>
        <v>0</v>
      </c>
      <c r="J28" s="325">
        <f t="shared" ca="1" si="2"/>
        <v>0</v>
      </c>
      <c r="K28" s="325">
        <f t="shared" ca="1" si="9"/>
        <v>0</v>
      </c>
      <c r="L28" s="325">
        <f t="shared" ca="1" si="9"/>
        <v>0</v>
      </c>
      <c r="M28" s="324">
        <f t="shared" ca="1" si="3"/>
        <v>0</v>
      </c>
      <c r="N28" s="280"/>
      <c r="O28" s="280"/>
      <c r="P28" s="280"/>
      <c r="Q28" s="280"/>
      <c r="R28" s="280"/>
      <c r="S28" s="546">
        <v>13</v>
      </c>
      <c r="T28" s="564">
        <f t="shared" si="5"/>
        <v>2037</v>
      </c>
      <c r="U28" s="548">
        <v>0</v>
      </c>
      <c r="V28" s="550">
        <f t="shared" si="6"/>
        <v>744000</v>
      </c>
      <c r="W28" s="549">
        <f t="shared" si="7"/>
        <v>369956.02090538648</v>
      </c>
      <c r="X28" s="549">
        <f t="shared" si="8"/>
        <v>5655042.0338394791</v>
      </c>
      <c r="Y28" s="557"/>
      <c r="Z28" s="279"/>
      <c r="AA28" s="279"/>
      <c r="AB28" s="279"/>
    </row>
    <row r="29" spans="2:28" s="278" customFormat="1" ht="11.85" customHeight="1" x14ac:dyDescent="0.25">
      <c r="B29" s="410"/>
      <c r="C29" s="319"/>
      <c r="D29" s="318"/>
      <c r="E29" s="326">
        <v>14</v>
      </c>
      <c r="F29" s="301">
        <f>IF(ISTEXT(F28),"",IF(MAX(F$16:F28)=AI$441,"",F28+1))</f>
        <v>2039</v>
      </c>
      <c r="G29" s="325">
        <f t="shared" ca="1" si="4"/>
        <v>0</v>
      </c>
      <c r="H29" s="325">
        <f t="shared" ca="1" si="0"/>
        <v>0</v>
      </c>
      <c r="I29" s="325">
        <f t="shared" ca="1" si="1"/>
        <v>0</v>
      </c>
      <c r="J29" s="325">
        <f t="shared" ca="1" si="2"/>
        <v>0</v>
      </c>
      <c r="K29" s="325">
        <f t="shared" ca="1" si="9"/>
        <v>0</v>
      </c>
      <c r="L29" s="325">
        <f t="shared" ca="1" si="9"/>
        <v>0</v>
      </c>
      <c r="M29" s="324">
        <f t="shared" ca="1" si="3"/>
        <v>0</v>
      </c>
      <c r="N29" s="280"/>
      <c r="O29" s="280"/>
      <c r="P29" s="280"/>
      <c r="Q29" s="280"/>
      <c r="R29" s="280"/>
      <c r="S29" s="546">
        <v>14</v>
      </c>
      <c r="T29" s="564">
        <f t="shared" si="5"/>
        <v>2038</v>
      </c>
      <c r="U29" s="548">
        <v>0</v>
      </c>
      <c r="V29" s="550">
        <f t="shared" si="6"/>
        <v>744000</v>
      </c>
      <c r="W29" s="549">
        <f t="shared" si="7"/>
        <v>343772.94236876356</v>
      </c>
      <c r="X29" s="549">
        <f t="shared" si="8"/>
        <v>5254814.9762082426</v>
      </c>
      <c r="Y29" s="557"/>
      <c r="Z29" s="279"/>
      <c r="AA29" s="279"/>
      <c r="AB29" s="279"/>
    </row>
    <row r="30" spans="2:28" s="278" customFormat="1" ht="11.85" customHeight="1" x14ac:dyDescent="0.25">
      <c r="B30" s="410"/>
      <c r="C30" s="319"/>
      <c r="D30" s="318"/>
      <c r="E30" s="326">
        <v>15</v>
      </c>
      <c r="F30" s="301">
        <f>IF(ISTEXT(F29),"",IF(MAX(F$16:F29)=AI$441,"",F29+1))</f>
        <v>2040</v>
      </c>
      <c r="G30" s="325">
        <f t="shared" ca="1" si="4"/>
        <v>0</v>
      </c>
      <c r="H30" s="325">
        <f ca="1">SUMIF($B$50:$B$350,$F30,$H$50:$H$345)</f>
        <v>0</v>
      </c>
      <c r="I30" s="325">
        <f t="shared" ca="1" si="1"/>
        <v>0</v>
      </c>
      <c r="J30" s="325">
        <f t="shared" ca="1" si="2"/>
        <v>0</v>
      </c>
      <c r="K30" s="325">
        <f t="shared" ca="1" si="9"/>
        <v>0</v>
      </c>
      <c r="L30" s="325">
        <f t="shared" ca="1" si="9"/>
        <v>0</v>
      </c>
      <c r="M30" s="324">
        <f t="shared" ca="1" si="3"/>
        <v>0</v>
      </c>
      <c r="N30" s="280"/>
      <c r="O30" s="280"/>
      <c r="P30" s="280"/>
      <c r="Q30" s="280"/>
      <c r="R30" s="280"/>
      <c r="S30" s="546">
        <v>15</v>
      </c>
      <c r="T30" s="564">
        <f t="shared" si="5"/>
        <v>2039</v>
      </c>
      <c r="U30" s="548">
        <v>0</v>
      </c>
      <c r="V30" s="550">
        <f t="shared" si="6"/>
        <v>744000</v>
      </c>
      <c r="W30" s="549">
        <f t="shared" si="7"/>
        <v>315757.048334577</v>
      </c>
      <c r="X30" s="549">
        <f t="shared" si="8"/>
        <v>4826572.0245428197</v>
      </c>
      <c r="Y30" s="557"/>
      <c r="Z30" s="279"/>
      <c r="AA30" s="279"/>
      <c r="AB30" s="279"/>
    </row>
    <row r="31" spans="2:28" s="278" customFormat="1" ht="11.85" customHeight="1" x14ac:dyDescent="0.25">
      <c r="B31" s="410"/>
      <c r="C31" s="319"/>
      <c r="D31" s="318"/>
      <c r="E31" s="326">
        <v>16</v>
      </c>
      <c r="F31" s="301">
        <f>IF(ISTEXT(F30),"",IF(MAX(F$16:F30)=AI$441,"",F30+1))</f>
        <v>2041</v>
      </c>
      <c r="G31" s="325">
        <f t="shared" ca="1" si="4"/>
        <v>0</v>
      </c>
      <c r="H31" s="325">
        <f t="shared" ca="1" si="0"/>
        <v>0</v>
      </c>
      <c r="I31" s="325">
        <f t="shared" ca="1" si="1"/>
        <v>0</v>
      </c>
      <c r="J31" s="325">
        <f t="shared" ca="1" si="2"/>
        <v>0</v>
      </c>
      <c r="K31" s="325">
        <f t="shared" ca="1" si="9"/>
        <v>0</v>
      </c>
      <c r="L31" s="325">
        <f t="shared" ca="1" si="9"/>
        <v>0</v>
      </c>
      <c r="M31" s="324">
        <f t="shared" ca="1" si="3"/>
        <v>0</v>
      </c>
      <c r="N31" s="280"/>
      <c r="O31" s="280"/>
      <c r="P31" s="280"/>
      <c r="Q31" s="280"/>
      <c r="R31" s="280"/>
      <c r="S31" s="546">
        <v>16</v>
      </c>
      <c r="T31" s="564">
        <f t="shared" si="5"/>
        <v>2040</v>
      </c>
      <c r="U31" s="548">
        <v>0</v>
      </c>
      <c r="V31" s="550">
        <f t="shared" si="6"/>
        <v>744000</v>
      </c>
      <c r="W31" s="549">
        <f t="shared" si="7"/>
        <v>285780.0417179974</v>
      </c>
      <c r="X31" s="549">
        <f>X30-V31+W31</f>
        <v>4368352.0662608175</v>
      </c>
      <c r="Y31" s="557"/>
      <c r="Z31" s="279"/>
      <c r="AA31" s="279"/>
      <c r="AB31" s="279"/>
    </row>
    <row r="32" spans="2:28" s="278" customFormat="1" ht="11.85" customHeight="1" x14ac:dyDescent="0.25">
      <c r="B32" s="410"/>
      <c r="C32" s="319"/>
      <c r="D32" s="318"/>
      <c r="E32" s="326">
        <v>17</v>
      </c>
      <c r="F32" s="301">
        <f>IF(ISTEXT(F31),"",IF(MAX(F$16:F31)=AI$441,"",F31+1))</f>
        <v>2042</v>
      </c>
      <c r="G32" s="325">
        <f t="shared" ca="1" si="4"/>
        <v>0</v>
      </c>
      <c r="H32" s="325">
        <f t="shared" ca="1" si="0"/>
        <v>0</v>
      </c>
      <c r="I32" s="325">
        <f t="shared" ca="1" si="1"/>
        <v>0</v>
      </c>
      <c r="J32" s="325">
        <f t="shared" ca="1" si="2"/>
        <v>0</v>
      </c>
      <c r="K32" s="325">
        <f t="shared" ca="1" si="9"/>
        <v>0</v>
      </c>
      <c r="L32" s="325">
        <f t="shared" ca="1" si="9"/>
        <v>0</v>
      </c>
      <c r="M32" s="324">
        <f t="shared" ca="1" si="3"/>
        <v>0</v>
      </c>
      <c r="N32" s="280"/>
      <c r="O32" s="280"/>
      <c r="P32" s="280"/>
      <c r="Q32" s="280"/>
      <c r="R32" s="280"/>
      <c r="S32" s="546">
        <v>17</v>
      </c>
      <c r="T32" s="564">
        <f t="shared" si="5"/>
        <v>2041</v>
      </c>
      <c r="U32" s="548">
        <v>0</v>
      </c>
      <c r="V32" s="550">
        <f t="shared" si="6"/>
        <v>744000</v>
      </c>
      <c r="W32" s="549">
        <f t="shared" si="7"/>
        <v>253704.64463825725</v>
      </c>
      <c r="X32" s="549">
        <f t="shared" si="8"/>
        <v>3878056.7108990746</v>
      </c>
      <c r="Y32" s="557"/>
      <c r="Z32" s="279"/>
      <c r="AA32" s="279"/>
      <c r="AB32" s="279"/>
    </row>
    <row r="33" spans="2:28" s="278" customFormat="1" ht="11.85" customHeight="1" x14ac:dyDescent="0.25">
      <c r="B33" s="410"/>
      <c r="C33" s="319"/>
      <c r="D33" s="318"/>
      <c r="E33" s="326">
        <v>18</v>
      </c>
      <c r="F33" s="301">
        <f>IF(ISTEXT(F32),"",IF(MAX(F$16:F32)=AI$441,"",F32+1))</f>
        <v>2043</v>
      </c>
      <c r="G33" s="325">
        <f t="shared" ca="1" si="4"/>
        <v>0</v>
      </c>
      <c r="H33" s="325">
        <f t="shared" ca="1" si="0"/>
        <v>0</v>
      </c>
      <c r="I33" s="325">
        <f t="shared" ca="1" si="1"/>
        <v>0</v>
      </c>
      <c r="J33" s="325">
        <f t="shared" ca="1" si="2"/>
        <v>0</v>
      </c>
      <c r="K33" s="325">
        <f t="shared" ca="1" si="9"/>
        <v>0</v>
      </c>
      <c r="L33" s="325">
        <f t="shared" ca="1" si="9"/>
        <v>0</v>
      </c>
      <c r="M33" s="324">
        <f t="shared" ca="1" si="3"/>
        <v>0</v>
      </c>
      <c r="N33" s="280"/>
      <c r="O33" s="280"/>
      <c r="P33" s="280"/>
      <c r="Q33" s="280"/>
      <c r="R33" s="280"/>
      <c r="S33" s="546">
        <v>18</v>
      </c>
      <c r="T33" s="564">
        <f t="shared" si="5"/>
        <v>2042</v>
      </c>
      <c r="U33" s="548">
        <v>0</v>
      </c>
      <c r="V33" s="550">
        <f t="shared" si="6"/>
        <v>744000</v>
      </c>
      <c r="W33" s="549">
        <f t="shared" si="7"/>
        <v>219383.96976293524</v>
      </c>
      <c r="X33" s="549">
        <f t="shared" si="8"/>
        <v>3353440.6806620099</v>
      </c>
      <c r="Y33" s="557"/>
      <c r="Z33" s="279"/>
      <c r="AA33" s="279"/>
      <c r="AB33" s="279"/>
    </row>
    <row r="34" spans="2:28" s="278" customFormat="1" ht="11.85" customHeight="1" x14ac:dyDescent="0.25">
      <c r="B34" s="410"/>
      <c r="C34" s="319"/>
      <c r="D34" s="318"/>
      <c r="E34" s="326">
        <v>19</v>
      </c>
      <c r="F34" s="301">
        <f>IF(ISTEXT(F33),"",IF(MAX(F$16:F33)=AI$441,"",F33+1))</f>
        <v>2044</v>
      </c>
      <c r="G34" s="325">
        <f t="shared" ca="1" si="4"/>
        <v>0</v>
      </c>
      <c r="H34" s="325">
        <f t="shared" ca="1" si="0"/>
        <v>0</v>
      </c>
      <c r="I34" s="325">
        <f t="shared" ca="1" si="1"/>
        <v>0</v>
      </c>
      <c r="J34" s="325">
        <f t="shared" ca="1" si="2"/>
        <v>0</v>
      </c>
      <c r="K34" s="325">
        <f t="shared" ca="1" si="9"/>
        <v>0</v>
      </c>
      <c r="L34" s="325">
        <f t="shared" ca="1" si="9"/>
        <v>0</v>
      </c>
      <c r="M34" s="324">
        <f t="shared" ca="1" si="3"/>
        <v>0</v>
      </c>
      <c r="N34" s="280"/>
      <c r="O34" s="280"/>
      <c r="P34" s="280"/>
      <c r="Q34" s="280"/>
      <c r="R34" s="280"/>
      <c r="S34" s="546">
        <v>19</v>
      </c>
      <c r="T34" s="564">
        <f t="shared" si="5"/>
        <v>2043</v>
      </c>
      <c r="U34" s="548">
        <v>0</v>
      </c>
      <c r="V34" s="550">
        <f t="shared" si="6"/>
        <v>744000</v>
      </c>
      <c r="W34" s="549">
        <f t="shared" si="7"/>
        <v>182660.8476463407</v>
      </c>
      <c r="X34" s="549">
        <f t="shared" si="8"/>
        <v>2792101.5283083506</v>
      </c>
      <c r="Y34" s="557"/>
      <c r="Z34" s="279"/>
      <c r="AA34" s="279"/>
      <c r="AB34" s="279"/>
    </row>
    <row r="35" spans="2:28" s="278" customFormat="1" ht="11.85" customHeight="1" x14ac:dyDescent="0.25">
      <c r="B35" s="410"/>
      <c r="C35" s="319"/>
      <c r="D35" s="318"/>
      <c r="E35" s="326">
        <v>20</v>
      </c>
      <c r="F35" s="301">
        <f>IF(ISTEXT(F34),"",IF(MAX(F$16:F34)=AI$441,"",F34+1))</f>
        <v>2045</v>
      </c>
      <c r="G35" s="325">
        <f t="shared" ca="1" si="4"/>
        <v>0</v>
      </c>
      <c r="H35" s="325">
        <f t="shared" ca="1" si="0"/>
        <v>0</v>
      </c>
      <c r="I35" s="325">
        <f t="shared" ca="1" si="1"/>
        <v>0</v>
      </c>
      <c r="J35" s="325">
        <f t="shared" ca="1" si="2"/>
        <v>0</v>
      </c>
      <c r="K35" s="325">
        <f t="shared" ca="1" si="9"/>
        <v>0</v>
      </c>
      <c r="L35" s="325">
        <f t="shared" ca="1" si="9"/>
        <v>0</v>
      </c>
      <c r="M35" s="324">
        <f t="shared" ca="1" si="3"/>
        <v>0</v>
      </c>
      <c r="N35" s="280"/>
      <c r="O35" s="280"/>
      <c r="P35" s="280"/>
      <c r="Q35" s="280"/>
      <c r="R35" s="280"/>
      <c r="S35" s="546">
        <v>20</v>
      </c>
      <c r="T35" s="564">
        <f t="shared" si="5"/>
        <v>2044</v>
      </c>
      <c r="U35" s="548">
        <v>0</v>
      </c>
      <c r="V35" s="550">
        <f t="shared" si="6"/>
        <v>744000</v>
      </c>
      <c r="W35" s="549">
        <f t="shared" si="7"/>
        <v>143367.10698158457</v>
      </c>
      <c r="X35" s="549">
        <f t="shared" si="8"/>
        <v>2191468.6352899354</v>
      </c>
      <c r="Y35" s="557"/>
      <c r="Z35" s="279"/>
      <c r="AA35" s="279"/>
      <c r="AB35" s="279"/>
    </row>
    <row r="36" spans="2:28" s="278" customFormat="1" ht="11.85" customHeight="1" x14ac:dyDescent="0.25">
      <c r="B36" s="410"/>
      <c r="C36" s="319"/>
      <c r="D36" s="318"/>
      <c r="E36" s="326">
        <v>21</v>
      </c>
      <c r="F36" s="301" t="str">
        <f>IF(ISTEXT(F35),"",IF(MAX(F$16:F35)=AI$441,"",F35+1))</f>
        <v/>
      </c>
      <c r="G36" s="325" t="str">
        <f t="shared" si="4"/>
        <v/>
      </c>
      <c r="H36" s="325">
        <f t="shared" ca="1" si="0"/>
        <v>0</v>
      </c>
      <c r="I36" s="325">
        <f t="shared" ca="1" si="1"/>
        <v>0</v>
      </c>
      <c r="J36" s="325">
        <f t="shared" ca="1" si="2"/>
        <v>0</v>
      </c>
      <c r="K36" s="325" t="str">
        <f t="shared" si="9"/>
        <v/>
      </c>
      <c r="L36" s="325" t="str">
        <f t="shared" si="9"/>
        <v/>
      </c>
      <c r="M36" s="324" t="str">
        <f>IF(G36="","",G36+I36)</f>
        <v/>
      </c>
      <c r="N36" s="280"/>
      <c r="O36" s="280"/>
      <c r="P36" s="280"/>
      <c r="Q36" s="280"/>
      <c r="R36" s="280"/>
      <c r="S36" s="546">
        <v>21</v>
      </c>
      <c r="T36" s="564">
        <f t="shared" si="5"/>
        <v>2045</v>
      </c>
      <c r="U36" s="548">
        <v>0</v>
      </c>
      <c r="V36" s="550">
        <f t="shared" ref="V36:V41" si="10">V35*(1+U36)</f>
        <v>744000</v>
      </c>
      <c r="W36" s="549">
        <f t="shared" si="7"/>
        <v>101322.80447029549</v>
      </c>
      <c r="X36" s="549">
        <f t="shared" ref="X36:X41" si="11">X35-V36+W36</f>
        <v>1548791.4397602309</v>
      </c>
      <c r="Y36" s="557"/>
      <c r="Z36" s="279"/>
      <c r="AA36" s="279"/>
      <c r="AB36" s="279"/>
    </row>
    <row r="37" spans="2:28" s="278" customFormat="1" ht="11.85" customHeight="1" x14ac:dyDescent="0.25">
      <c r="B37" s="410"/>
      <c r="C37" s="319"/>
      <c r="D37" s="318"/>
      <c r="E37" s="326">
        <v>22</v>
      </c>
      <c r="F37" s="301" t="str">
        <f>IF(ISTEXT(F36),"",IF(MAX(F$16:F36)=AI$441,"",F36+1))</f>
        <v/>
      </c>
      <c r="G37" s="325" t="str">
        <f t="shared" si="4"/>
        <v/>
      </c>
      <c r="H37" s="325">
        <f t="shared" ca="1" si="0"/>
        <v>0</v>
      </c>
      <c r="I37" s="325">
        <f t="shared" ca="1" si="1"/>
        <v>0</v>
      </c>
      <c r="J37" s="325">
        <f t="shared" ca="1" si="2"/>
        <v>0</v>
      </c>
      <c r="K37" s="325" t="str">
        <f t="shared" si="9"/>
        <v/>
      </c>
      <c r="L37" s="325" t="str">
        <f t="shared" si="9"/>
        <v/>
      </c>
      <c r="M37" s="324" t="str">
        <f>IF(G37="","",G37+I37)</f>
        <v/>
      </c>
      <c r="N37" s="280"/>
      <c r="O37" s="280"/>
      <c r="P37" s="280"/>
      <c r="Q37" s="280"/>
      <c r="R37" s="280"/>
      <c r="S37" s="546">
        <v>22</v>
      </c>
      <c r="T37" s="564">
        <f t="shared" si="5"/>
        <v>2046</v>
      </c>
      <c r="U37" s="548">
        <v>0</v>
      </c>
      <c r="V37" s="550">
        <f t="shared" si="10"/>
        <v>744000</v>
      </c>
      <c r="W37" s="549">
        <f t="shared" si="7"/>
        <v>56335.400783216173</v>
      </c>
      <c r="X37" s="549">
        <f t="shared" si="11"/>
        <v>861126.84054344706</v>
      </c>
      <c r="Y37" s="557"/>
      <c r="Z37" s="279"/>
      <c r="AA37" s="279"/>
      <c r="AB37" s="279"/>
    </row>
    <row r="38" spans="2:28" s="278" customFormat="1" ht="11.85" customHeight="1" x14ac:dyDescent="0.25">
      <c r="B38" s="410"/>
      <c r="C38" s="319"/>
      <c r="D38" s="318"/>
      <c r="E38" s="326">
        <v>23</v>
      </c>
      <c r="F38" s="301" t="str">
        <f>IF(ISTEXT(F37),"",IF(MAX(F$16:F37)=AI$441,"",F37+1))</f>
        <v/>
      </c>
      <c r="G38" s="325" t="str">
        <f t="shared" si="4"/>
        <v/>
      </c>
      <c r="H38" s="325">
        <f t="shared" ca="1" si="0"/>
        <v>0</v>
      </c>
      <c r="I38" s="325">
        <f t="shared" ca="1" si="1"/>
        <v>0</v>
      </c>
      <c r="J38" s="325">
        <f t="shared" ca="1" si="2"/>
        <v>0</v>
      </c>
      <c r="K38" s="325" t="str">
        <f t="shared" si="9"/>
        <v/>
      </c>
      <c r="L38" s="325" t="str">
        <f t="shared" si="9"/>
        <v/>
      </c>
      <c r="M38" s="324" t="str">
        <f t="shared" ref="M38:M44" si="12">IF(G38="","",G38+I38)</f>
        <v/>
      </c>
      <c r="N38" s="280"/>
      <c r="O38" s="280"/>
      <c r="P38" s="280"/>
      <c r="Q38" s="280"/>
      <c r="R38" s="280"/>
      <c r="S38" s="546">
        <v>23</v>
      </c>
      <c r="T38" s="564">
        <f t="shared" si="5"/>
        <v>2047</v>
      </c>
      <c r="U38" s="548">
        <v>0</v>
      </c>
      <c r="V38" s="550">
        <f t="shared" si="10"/>
        <v>744000</v>
      </c>
      <c r="W38" s="549">
        <f t="shared" si="7"/>
        <v>8198.8788380412952</v>
      </c>
      <c r="X38" s="549">
        <f t="shared" si="11"/>
        <v>125325.71938148836</v>
      </c>
      <c r="Y38" s="557"/>
      <c r="Z38" s="279"/>
      <c r="AA38" s="279"/>
      <c r="AB38" s="279"/>
    </row>
    <row r="39" spans="2:28" s="278" customFormat="1" ht="11.85" customHeight="1" x14ac:dyDescent="0.25">
      <c r="B39" s="410"/>
      <c r="C39" s="319"/>
      <c r="D39" s="318"/>
      <c r="E39" s="326">
        <v>24</v>
      </c>
      <c r="F39" s="301" t="str">
        <f>IF(ISTEXT(F38),"",IF(MAX(F$16:F38)=AI$441,"",F38+1))</f>
        <v/>
      </c>
      <c r="G39" s="325" t="str">
        <f t="shared" si="4"/>
        <v/>
      </c>
      <c r="H39" s="325">
        <f t="shared" ca="1" si="0"/>
        <v>0</v>
      </c>
      <c r="I39" s="325">
        <f t="shared" ca="1" si="1"/>
        <v>0</v>
      </c>
      <c r="J39" s="325">
        <f t="shared" ca="1" si="2"/>
        <v>0</v>
      </c>
      <c r="K39" s="325" t="str">
        <f t="shared" si="9"/>
        <v/>
      </c>
      <c r="L39" s="325" t="str">
        <f t="shared" si="9"/>
        <v/>
      </c>
      <c r="M39" s="324" t="str">
        <f t="shared" si="12"/>
        <v/>
      </c>
      <c r="N39" s="280"/>
      <c r="O39" s="280"/>
      <c r="P39" s="280"/>
      <c r="Q39" s="280"/>
      <c r="R39" s="280"/>
      <c r="S39" s="546">
        <v>24</v>
      </c>
      <c r="T39" s="564">
        <f t="shared" si="5"/>
        <v>2048</v>
      </c>
      <c r="U39" s="548">
        <v>0</v>
      </c>
      <c r="V39" s="550">
        <f t="shared" si="10"/>
        <v>744000</v>
      </c>
      <c r="W39" s="549">
        <f t="shared" si="7"/>
        <v>-43307.199643295819</v>
      </c>
      <c r="X39" s="549">
        <f t="shared" si="11"/>
        <v>-661981.48026180745</v>
      </c>
      <c r="Y39" s="557"/>
      <c r="Z39" s="279"/>
      <c r="AA39" s="279"/>
      <c r="AB39" s="279"/>
    </row>
    <row r="40" spans="2:28" s="278" customFormat="1" ht="11.85" customHeight="1" x14ac:dyDescent="0.25">
      <c r="B40" s="410"/>
      <c r="C40" s="319"/>
      <c r="D40" s="318"/>
      <c r="E40" s="326">
        <v>25</v>
      </c>
      <c r="F40" s="301" t="str">
        <f>IF(ISTEXT(F39),"",IF(MAX(D$185:D208)=AI$441,"",F39+1))</f>
        <v/>
      </c>
      <c r="G40" s="325" t="str">
        <f t="shared" si="4"/>
        <v/>
      </c>
      <c r="H40" s="325">
        <f t="shared" ca="1" si="0"/>
        <v>0</v>
      </c>
      <c r="I40" s="325">
        <f t="shared" ca="1" si="1"/>
        <v>0</v>
      </c>
      <c r="J40" s="325">
        <f t="shared" ca="1" si="2"/>
        <v>0</v>
      </c>
      <c r="K40" s="325" t="str">
        <f t="shared" si="9"/>
        <v/>
      </c>
      <c r="L40" s="325" t="str">
        <f t="shared" si="9"/>
        <v/>
      </c>
      <c r="M40" s="324" t="str">
        <f t="shared" si="12"/>
        <v/>
      </c>
      <c r="N40" s="280"/>
      <c r="O40" s="280"/>
      <c r="P40" s="280"/>
      <c r="Q40" s="280"/>
      <c r="R40" s="280"/>
      <c r="S40" s="546">
        <v>25</v>
      </c>
      <c r="T40" s="564">
        <f t="shared" si="5"/>
        <v>2049</v>
      </c>
      <c r="U40" s="548">
        <v>0</v>
      </c>
      <c r="V40" s="550">
        <f t="shared" si="10"/>
        <v>744000</v>
      </c>
      <c r="W40" s="549">
        <f t="shared" si="7"/>
        <v>-98418.703618326515</v>
      </c>
      <c r="X40" s="549">
        <f t="shared" si="11"/>
        <v>-1504400.1838801338</v>
      </c>
      <c r="Y40" s="557"/>
      <c r="Z40" s="279"/>
      <c r="AA40" s="279"/>
      <c r="AB40" s="279"/>
    </row>
    <row r="41" spans="2:28" s="278" customFormat="1" ht="11.85" customHeight="1" x14ac:dyDescent="0.25">
      <c r="B41" s="410"/>
      <c r="C41" s="319"/>
      <c r="D41" s="318"/>
      <c r="E41" s="326">
        <v>26</v>
      </c>
      <c r="F41" s="301" t="str">
        <f>IF(ISTEXT(F40),"",IF(MAX(D$185:D209)=AI$441,"",F40+1))</f>
        <v/>
      </c>
      <c r="G41" s="325" t="str">
        <f t="shared" si="4"/>
        <v/>
      </c>
      <c r="H41" s="325">
        <f t="shared" ca="1" si="0"/>
        <v>0</v>
      </c>
      <c r="I41" s="325">
        <f ca="1">SUMIF($B$50:$B$350,$F41,$I$50:$I$345)</f>
        <v>0</v>
      </c>
      <c r="J41" s="325">
        <f t="shared" ca="1" si="2"/>
        <v>0</v>
      </c>
      <c r="K41" s="325" t="str">
        <f t="shared" si="9"/>
        <v/>
      </c>
      <c r="L41" s="325" t="str">
        <f t="shared" si="9"/>
        <v/>
      </c>
      <c r="M41" s="324" t="str">
        <f t="shared" si="12"/>
        <v/>
      </c>
      <c r="N41" s="280"/>
      <c r="O41" s="280"/>
      <c r="P41" s="280"/>
      <c r="Q41" s="280"/>
      <c r="R41" s="280"/>
      <c r="S41" s="546">
        <v>26</v>
      </c>
      <c r="T41" s="564">
        <f t="shared" si="5"/>
        <v>2050</v>
      </c>
      <c r="U41" s="548">
        <v>0</v>
      </c>
      <c r="V41" s="550">
        <f t="shared" si="10"/>
        <v>744000</v>
      </c>
      <c r="W41" s="549">
        <f t="shared" si="7"/>
        <v>-157388.01287160936</v>
      </c>
      <c r="X41" s="549">
        <f t="shared" si="11"/>
        <v>-2405788.1967517431</v>
      </c>
      <c r="Y41" s="557"/>
      <c r="Z41" s="279"/>
      <c r="AA41" s="279"/>
      <c r="AB41" s="279"/>
    </row>
    <row r="42" spans="2:28" s="278" customFormat="1" ht="11.85" customHeight="1" x14ac:dyDescent="0.25">
      <c r="B42" s="410"/>
      <c r="C42" s="319"/>
      <c r="D42" s="318"/>
      <c r="E42" s="326">
        <v>27</v>
      </c>
      <c r="F42" s="301" t="str">
        <f>IF(ISTEXT(F41),"",IF(MAX(D$185:D209)=AI$441,"",F41+1))</f>
        <v/>
      </c>
      <c r="G42" s="325" t="str">
        <f t="shared" si="4"/>
        <v/>
      </c>
      <c r="H42" s="325">
        <f t="shared" ca="1" si="0"/>
        <v>0</v>
      </c>
      <c r="I42" s="325">
        <f t="shared" ca="1" si="1"/>
        <v>0</v>
      </c>
      <c r="J42" s="325">
        <f t="shared" ca="1" si="2"/>
        <v>0</v>
      </c>
      <c r="K42" s="325" t="str">
        <f t="shared" ref="K42:L45" si="13">IF(ISTEXT(F42),"",K41+I42)</f>
        <v/>
      </c>
      <c r="L42" s="325" t="str">
        <f t="shared" si="13"/>
        <v/>
      </c>
      <c r="M42" s="324" t="str">
        <f t="shared" si="12"/>
        <v/>
      </c>
      <c r="N42" s="280"/>
      <c r="O42" s="280"/>
      <c r="P42" s="280"/>
      <c r="Q42" s="280"/>
      <c r="R42" s="280"/>
      <c r="S42" s="546">
        <v>27</v>
      </c>
      <c r="T42" s="564">
        <f t="shared" si="5"/>
        <v>2051</v>
      </c>
      <c r="U42" s="548">
        <v>0</v>
      </c>
      <c r="V42" s="550">
        <f t="shared" ref="V42:V45" si="14">V41*(1+U42)</f>
        <v>744000</v>
      </c>
      <c r="W42" s="549">
        <f t="shared" si="7"/>
        <v>-220485.17377262205</v>
      </c>
      <c r="X42" s="549">
        <f t="shared" ref="X42:X45" si="15">X41-V42+W42</f>
        <v>-3370273.370524365</v>
      </c>
      <c r="Y42" s="557"/>
      <c r="Z42" s="279"/>
      <c r="AA42" s="279"/>
      <c r="AB42" s="279"/>
    </row>
    <row r="43" spans="2:28" s="278" customFormat="1" ht="11.85" customHeight="1" x14ac:dyDescent="0.25">
      <c r="B43" s="410"/>
      <c r="C43" s="319"/>
      <c r="D43" s="318"/>
      <c r="E43" s="326">
        <v>28</v>
      </c>
      <c r="F43" s="301" t="str">
        <f>IF(ISTEXT(F42),"",IF(MAX(D$185:D209)=AI$441,"",F42+1))</f>
        <v/>
      </c>
      <c r="G43" s="325" t="str">
        <f t="shared" si="4"/>
        <v/>
      </c>
      <c r="H43" s="325">
        <f t="shared" ca="1" si="0"/>
        <v>0</v>
      </c>
      <c r="I43" s="325">
        <f t="shared" ca="1" si="1"/>
        <v>0</v>
      </c>
      <c r="J43" s="325">
        <f t="shared" ca="1" si="2"/>
        <v>0</v>
      </c>
      <c r="K43" s="325" t="str">
        <f t="shared" si="13"/>
        <v/>
      </c>
      <c r="L43" s="325" t="str">
        <f t="shared" si="13"/>
        <v/>
      </c>
      <c r="M43" s="324" t="str">
        <f t="shared" si="12"/>
        <v/>
      </c>
      <c r="N43" s="280"/>
      <c r="O43" s="280"/>
      <c r="P43" s="280"/>
      <c r="Q43" s="280"/>
      <c r="R43" s="280"/>
      <c r="S43" s="546">
        <v>28</v>
      </c>
      <c r="T43" s="564">
        <f t="shared" si="5"/>
        <v>2052</v>
      </c>
      <c r="U43" s="548">
        <v>0</v>
      </c>
      <c r="V43" s="550">
        <f t="shared" si="14"/>
        <v>744000</v>
      </c>
      <c r="W43" s="549">
        <f t="shared" si="7"/>
        <v>-287999.13593670557</v>
      </c>
      <c r="X43" s="549">
        <f t="shared" si="15"/>
        <v>-4402272.5064610709</v>
      </c>
      <c r="Y43" s="557"/>
      <c r="Z43" s="279"/>
      <c r="AA43" s="279"/>
      <c r="AB43" s="279"/>
    </row>
    <row r="44" spans="2:28" s="278" customFormat="1" ht="11.85" customHeight="1" x14ac:dyDescent="0.25">
      <c r="B44" s="410"/>
      <c r="C44" s="319"/>
      <c r="D44" s="318"/>
      <c r="E44" s="326">
        <v>29</v>
      </c>
      <c r="F44" s="301" t="str">
        <f>IF(ISTEXT(F43),"",IF(MAX(D$185:D209)=AI$441,"",F43+1))</f>
        <v/>
      </c>
      <c r="G44" s="325" t="str">
        <f t="shared" si="4"/>
        <v/>
      </c>
      <c r="H44" s="325">
        <f t="shared" ca="1" si="0"/>
        <v>0</v>
      </c>
      <c r="I44" s="325">
        <f t="shared" ca="1" si="1"/>
        <v>0</v>
      </c>
      <c r="J44" s="325">
        <f t="shared" ca="1" si="2"/>
        <v>0</v>
      </c>
      <c r="K44" s="325" t="str">
        <f t="shared" si="13"/>
        <v/>
      </c>
      <c r="L44" s="325" t="str">
        <f t="shared" si="13"/>
        <v/>
      </c>
      <c r="M44" s="324" t="str">
        <f t="shared" si="12"/>
        <v/>
      </c>
      <c r="N44" s="280"/>
      <c r="O44" s="280"/>
      <c r="P44" s="280"/>
      <c r="Q44" s="280"/>
      <c r="R44" s="280"/>
      <c r="S44" s="546">
        <v>29</v>
      </c>
      <c r="T44" s="564">
        <f t="shared" si="5"/>
        <v>2053</v>
      </c>
      <c r="U44" s="548">
        <v>0</v>
      </c>
      <c r="V44" s="550">
        <f t="shared" si="14"/>
        <v>744000</v>
      </c>
      <c r="W44" s="549">
        <f t="shared" si="7"/>
        <v>-360239.07545227499</v>
      </c>
      <c r="X44" s="549">
        <f t="shared" si="15"/>
        <v>-5506511.5819133455</v>
      </c>
      <c r="Y44" s="557"/>
      <c r="Z44" s="279"/>
      <c r="AA44" s="279"/>
      <c r="AB44" s="279"/>
    </row>
    <row r="45" spans="2:28" s="278" customFormat="1" ht="11.85" customHeight="1" x14ac:dyDescent="0.25">
      <c r="B45" s="410"/>
      <c r="C45" s="319"/>
      <c r="D45" s="318"/>
      <c r="E45" s="323">
        <v>30</v>
      </c>
      <c r="F45" s="322" t="str">
        <f>IF(ISTEXT(F44),"",IF(MAX(D$185:D209)=AI$441,"",F44+1))</f>
        <v/>
      </c>
      <c r="G45" s="321" t="str">
        <f t="shared" si="4"/>
        <v/>
      </c>
      <c r="H45" s="321">
        <f t="shared" ca="1" si="0"/>
        <v>0</v>
      </c>
      <c r="I45" s="321">
        <f t="shared" ca="1" si="1"/>
        <v>0</v>
      </c>
      <c r="J45" s="321">
        <f t="shared" ca="1" si="2"/>
        <v>0</v>
      </c>
      <c r="K45" s="321" t="str">
        <f t="shared" si="13"/>
        <v/>
      </c>
      <c r="L45" s="321" t="str">
        <f t="shared" si="13"/>
        <v/>
      </c>
      <c r="M45" s="320" t="str">
        <f>IF(G45="","",G45+I45)</f>
        <v/>
      </c>
      <c r="N45" s="280"/>
      <c r="O45" s="280"/>
      <c r="P45" s="280"/>
      <c r="Q45" s="280"/>
      <c r="R45" s="280"/>
      <c r="S45" s="547">
        <v>30</v>
      </c>
      <c r="T45" s="565">
        <f t="shared" si="5"/>
        <v>2054</v>
      </c>
      <c r="U45" s="551">
        <v>0</v>
      </c>
      <c r="V45" s="552">
        <f t="shared" si="14"/>
        <v>744000</v>
      </c>
      <c r="W45" s="553">
        <f t="shared" si="7"/>
        <v>-437535.81073393422</v>
      </c>
      <c r="X45" s="553">
        <f t="shared" si="15"/>
        <v>-6688047.3926472794</v>
      </c>
      <c r="Y45" s="558"/>
      <c r="Z45" s="279"/>
      <c r="AA45" s="279"/>
      <c r="AB45" s="279"/>
    </row>
    <row r="46" spans="2:28" s="278" customFormat="1" ht="11.85" customHeight="1" x14ac:dyDescent="0.25">
      <c r="B46" s="410"/>
      <c r="C46" s="319"/>
      <c r="D46" s="318"/>
      <c r="E46" s="318"/>
      <c r="F46" s="280"/>
      <c r="G46" s="280"/>
      <c r="H46" s="317"/>
      <c r="I46" s="280"/>
      <c r="J46" s="280"/>
      <c r="K46" s="280"/>
      <c r="L46" s="280"/>
      <c r="M46" s="280"/>
      <c r="N46" s="280"/>
      <c r="O46" s="280"/>
      <c r="P46" s="280"/>
      <c r="Q46" s="280"/>
      <c r="R46" s="280"/>
      <c r="S46" s="280"/>
      <c r="T46" s="280"/>
      <c r="U46" s="280"/>
      <c r="V46" s="286"/>
      <c r="W46" s="286"/>
      <c r="X46" s="286"/>
      <c r="Y46" s="280"/>
      <c r="Z46" s="279"/>
      <c r="AA46" s="279"/>
      <c r="AB46" s="279"/>
    </row>
    <row r="47" spans="2:28" s="278" customFormat="1" ht="11.85" customHeight="1" x14ac:dyDescent="0.25">
      <c r="B47" s="410"/>
      <c r="C47" s="319"/>
      <c r="D47" s="318"/>
      <c r="E47" s="318"/>
      <c r="F47" s="280"/>
      <c r="G47" s="280"/>
      <c r="H47" s="317"/>
      <c r="I47" s="280"/>
      <c r="J47" s="280"/>
      <c r="K47" s="280"/>
      <c r="L47" s="280"/>
      <c r="M47" s="280"/>
      <c r="N47" s="280"/>
      <c r="O47" s="280"/>
      <c r="P47" s="280"/>
      <c r="Q47" s="280"/>
      <c r="R47" s="280"/>
      <c r="S47" s="280"/>
      <c r="T47" s="280"/>
      <c r="U47" s="280"/>
      <c r="V47" s="286"/>
      <c r="W47" s="286"/>
      <c r="X47" s="286"/>
      <c r="Y47" s="280"/>
      <c r="Z47" s="279"/>
      <c r="AA47" s="279"/>
      <c r="AB47" s="279"/>
    </row>
    <row r="48" spans="2:28" s="278" customFormat="1" ht="18" customHeight="1" x14ac:dyDescent="0.25">
      <c r="B48" s="409"/>
      <c r="C48" s="316"/>
      <c r="D48" s="315"/>
      <c r="E48" s="314" t="s">
        <v>301</v>
      </c>
      <c r="F48" s="313"/>
      <c r="G48" s="312"/>
      <c r="H48" s="312"/>
      <c r="I48" s="312"/>
      <c r="J48" s="312"/>
      <c r="K48" s="312"/>
      <c r="L48" s="312"/>
      <c r="M48" s="311"/>
      <c r="N48" s="280"/>
      <c r="O48" s="280"/>
      <c r="P48" s="280"/>
      <c r="Q48" s="280"/>
      <c r="R48" s="280"/>
      <c r="S48" s="280"/>
      <c r="T48" s="280"/>
      <c r="U48" s="280"/>
      <c r="V48" s="286"/>
      <c r="W48" s="286"/>
      <c r="X48" s="286"/>
      <c r="Y48" s="280"/>
      <c r="Z48" s="279"/>
      <c r="AA48" s="279"/>
      <c r="AB48" s="279"/>
    </row>
    <row r="49" spans="1:28" s="278" customFormat="1" ht="27" customHeight="1" x14ac:dyDescent="0.25">
      <c r="B49" s="408"/>
      <c r="C49" s="310"/>
      <c r="D49" s="309"/>
      <c r="E49" s="1585" t="s">
        <v>33</v>
      </c>
      <c r="F49" s="1586"/>
      <c r="G49" s="308" t="s">
        <v>34</v>
      </c>
      <c r="H49" s="308" t="s">
        <v>35</v>
      </c>
      <c r="I49" s="308" t="s">
        <v>36</v>
      </c>
      <c r="J49" s="308" t="s">
        <v>37</v>
      </c>
      <c r="K49" s="308" t="s">
        <v>38</v>
      </c>
      <c r="L49" s="308" t="s">
        <v>39</v>
      </c>
      <c r="M49" s="307" t="s">
        <v>40</v>
      </c>
      <c r="N49" s="294"/>
      <c r="O49" s="294"/>
      <c r="P49" s="294"/>
      <c r="Q49" s="294"/>
      <c r="R49" s="294"/>
      <c r="S49" s="294"/>
      <c r="T49" s="294"/>
      <c r="U49" s="294"/>
      <c r="V49" s="295"/>
      <c r="W49" s="295"/>
      <c r="X49" s="295"/>
      <c r="Y49" s="294"/>
      <c r="Z49" s="279"/>
      <c r="AA49" s="279"/>
      <c r="AB49" s="279"/>
    </row>
    <row r="50" spans="1:28" s="278" customFormat="1" ht="11.65" customHeight="1" x14ac:dyDescent="0.25">
      <c r="A50" s="299"/>
      <c r="B50" s="270" t="e">
        <f>IF(AND($C50&gt;='TIF Loan Amortization'!$H$480,$C50&lt;='TIF Loan Amortization'!$I$480),'TIF Loan Amortization'!$G$480,IF(AND($C50&gt;='TIF Loan Amortization'!$H$481,$C50&lt;='TIF Loan Amortization'!I$481),'TIF Loan Amortization'!$G$481,IF(AND($C50&gt;='TIF Loan Amortization'!$H$482,$C50&lt;='TIF Loan Amortization'!I$482),'TIF Loan Amortization'!$G$482,IF(AND($C50&gt;='TIF Loan Amortization'!$H$483,$C50&lt;='TIF Loan Amortization'!I$483),'TIF Loan Amortization'!$G$483,IF(AND($C50&gt;='TIF Loan Amortization'!$H$484,$C50&lt;='TIF Loan Amortization'!I$484),'TIF Loan Amortization'!$G$484,IF(AND($C50&gt;='TIF Loan Amortization'!$H$485,$C50&lt;='TIF Loan Amortization'!I$485),'TIF Loan Amortization'!$G$485,IF(AND($C50&gt;='TIF Loan Amortization'!$H$486,$C50&lt;='TIF Loan Amortization'!I$486),'TIF Loan Amortization'!$G$486,IF(AND($C50&gt;='TIF Loan Amortization'!$H$487,$C50&lt;='TIF Loan Amortization'!I$487),'TIF Loan Amortization'!$G$487,IF(AND($C50&gt;='TIF Loan Amortization'!$H$488,$C50&lt;='TIF Loan Amortization'!I$488),'TIF Loan Amortization'!$G$488,IF(AND($C50&gt;='TIF Loan Amortization'!$H$489,$C50&lt;='TIF Loan Amortization'!I$489),'TIF Loan Amortization'!$G$489,IF(AND($C50&gt;='TIF Loan Amortization'!$H$490,$C50&lt;='TIF Loan Amortization'!I$490),'TIF Loan Amortization'!$G$490,IF(AND($C50&gt;='TIF Loan Amortization'!$H$491,$C50&lt;='TIF Loan Amortization'!I$491),'TIF Loan Amortization'!$G$491,IF(AND($C50&gt;='TIF Loan Amortization'!$H$492,$C50&lt;='TIF Loan Amortization'!I$492),'TIF Loan Amortization'!$G$492,IF(AND($C50&gt;='TIF Loan Amortization'!$H$493,$C50&lt;='TIF Loan Amortization'!I$493),'TIF Loan Amortization'!$G$493,IF(AND($C50&gt;='TIF Loan Amortization'!$H$494,$C50&lt;='TIF Loan Amortization'!I$494),'TIF Loan Amortization'!$G$494,IF(AND($C50&gt;='TIF Loan Amortization'!$H$495,$C50&lt;='TIF Loan Amortization'!I$495),'TIF Loan Amortization'!$G$495,IF(AND($C50&gt;='TIF Loan Amortization'!$H$496,$C50&lt;='TIF Loan Amortization'!I$496),'TIF Loan Amortization'!$G$496,IF(AND($C50&gt;='TIF Loan Amortization'!$H$497,$C50&lt;='TIF Loan Amortization'!I$497),'TIF Loan Amortization'!$G$497,IF(AND($C50&gt;='TIF Loan Amortization'!$H$498,$C50&lt;='TIF Loan Amortization'!I$498),'TIF Loan Amortization'!$G$498,IF(AND($C50&gt;='TIF Loan Amortization'!$H$499,$C50&lt;='TIF Loan Amortization'!I$499),'TIF Loan Amortization'!$G$499,IF(AND($C50&gt;='TIF Loan Amortization'!$H$500,$C50&lt;='TIF Loan Amortization'!I$500),'TIF Loan Amortization'!$G$500,IF(AND($C50&gt;='TIF Loan Amortization'!$H$501,$C50&lt;='TIF Loan Amortization'!I$501),'TIF Loan Amortization'!$G$501,IF(AND($C50&gt;='TIF Loan Amortization'!$H$502,$C50&lt;='TIF Loan Amortization'!I$502),'TIF Loan Amortization'!$G$502,IF(AND($C50&gt;='TIF Loan Amortization'!$H$503,$C50&lt;='TIF Loan Amortization'!I$503),'TIF Loan Amortization'!$G$503,IF(AND($C50&gt;='TIF Loan Amortization'!$H$504,$C50&lt;='TIF Loan Amortization'!I$504),'TIF Loan Amortization'!$G$504,IF(AND($C50&gt;='TIF Loan Amortization'!$H$505,$C50&lt;='TIF Loan Amortization'!I$505),'TIF Loan Amortization'!$G$505,IF(AND($C50&gt;='TIF Loan Amortization'!$H$506,$C50&lt;='TIF Loan Amortization'!I$506),'TIF Loan Amortization'!$G$506,IF(AND($C50&gt;='TIF Loan Amortization'!$H$507,$C50&lt;='TIF Loan Amortization'!I$507),'TIF Loan Amortization'!$G$507,IF(AND($C50&gt;='TIF Loan Amortization'!$H$508,$C50&lt;='TIF Loan Amortization'!I$508),'TIF Loan Amortization'!$G$508,IF(AND($C50&gt;='TIF Loan Amortization'!$H$509,$C50&lt;='TIF Loan Amortization'!I$509),'TIF Loan Amortization'!$G$509,IF(AND($C50&gt;='TIF Loan Amortization'!$H$510,$C50&lt;='TIF Loan Amortization'!I$510),'TIF Loan Amortization'!$G$510,IF(AND($C50&gt;='TIF Loan Amortization'!$H$511,$C50&lt;='TIF Loan Amortization'!I$511),'TIF Loan Amortization'!$G$511,IF(AND($C50&gt;='TIF Loan Amortization'!$H$512,$C50&lt;='TIF Loan Amortization'!I$512),'TIF Loan Amortization'!$G$512,IF(AND($C50&gt;='TIF Loan Amortization'!$H$513,$C50&lt;='TIF Loan Amortization'!I$513),'TIF Loan Amortization'!$G$513,IF(AND($C50&gt;='TIF Loan Amortization'!$H$514,$C50&lt;='TIF Loan Amortization'!I$514),'TIF Loan Amortization'!$G$514,IF(AND($C50&gt;='TIF Loan Amortization'!$H$515,$C50&lt;='TIF Loan Amortization'!I$515),'TIF Loan Amortization'!$G$515,IF(AND($C50&gt;='TIF Loan Amortization'!$H$516,$C50&lt;='TIF Loan Amortization'!I$516),'TIF Loan Amortization'!$G$516,IF(AND($C50&gt;='TIF Loan Amortization'!$H$517,$C50&lt;='TIF Loan Amortization'!I$517),'TIF Loan Amortization'!$G$517,IF(AND($C50&gt;='TIF Loan Amortization'!$H$518,$C50&lt;='TIF Loan Amortization'!I$518),'TIF Loan Amortization'!$G$518,IF(AND($C50&gt;='TIF Loan Amortization'!$H$519,$C50&lt;='TIF Loan Amortization'!I$519),'TIF Loan Amortization'!$G$519))))))))))))))))))))))))))))))))))))))))</f>
        <v>#N/A</v>
      </c>
      <c r="C50" s="478" t="e">
        <f>HLOOKUP('Financing Assumptions'!$P$26,'Monthly CF'!$H$11:$FT$13,2)</f>
        <v>#N/A</v>
      </c>
      <c r="D50" s="281">
        <f>H10</f>
        <v>2025</v>
      </c>
      <c r="E50" s="306">
        <v>0</v>
      </c>
      <c r="F50" s="305" t="str">
        <f>VLOOKUP(AG422,AE422:AF433,2)</f>
        <v>Mar</v>
      </c>
      <c r="G50" s="303">
        <f>IF(ISTEXT(M4),"",H4)</f>
        <v>0</v>
      </c>
      <c r="H50" s="304">
        <v>0</v>
      </c>
      <c r="I50" s="303">
        <f>IF(E50&lt;=$G$8,0,$M$5-J50)</f>
        <v>0</v>
      </c>
      <c r="J50" s="303">
        <v>0</v>
      </c>
      <c r="K50" s="303">
        <f>IF(ISTEXT($M$4),"",SUM(I$50:I50))</f>
        <v>0</v>
      </c>
      <c r="L50" s="303">
        <f>IF(ISTEXT($M$4),"",SUM(J$50:J50))</f>
        <v>0</v>
      </c>
      <c r="M50" s="302">
        <f>IF(ISTEXT(M$4),"",G50-I50)</f>
        <v>0</v>
      </c>
      <c r="N50" s="291"/>
      <c r="O50" s="291"/>
      <c r="P50" s="291"/>
      <c r="Q50" s="291"/>
      <c r="R50" s="291"/>
      <c r="S50" s="291"/>
      <c r="T50" s="291"/>
      <c r="U50" s="291"/>
      <c r="V50" s="292"/>
      <c r="W50" s="292"/>
      <c r="X50" s="292"/>
      <c r="Y50" s="291"/>
      <c r="Z50" s="279"/>
      <c r="AA50" s="279"/>
      <c r="AB50" s="279"/>
    </row>
    <row r="51" spans="1:28" s="278" customFormat="1" ht="11.65" customHeight="1" x14ac:dyDescent="0.25">
      <c r="A51" s="299"/>
      <c r="B51" s="270" t="e">
        <f>IF(AND($C51&gt;='TIF Loan Amortization'!$H$480,$C51&lt;='TIF Loan Amortization'!$I$480),'TIF Loan Amortization'!$G$480,IF(AND($C51&gt;='TIF Loan Amortization'!$H$481,$C51&lt;='TIF Loan Amortization'!I$481),'TIF Loan Amortization'!$G$481,IF(AND($C51&gt;='TIF Loan Amortization'!$H$482,$C51&lt;='TIF Loan Amortization'!I$482),'TIF Loan Amortization'!$G$482,IF(AND($C51&gt;='TIF Loan Amortization'!$H$483,$C51&lt;='TIF Loan Amortization'!I$483),'TIF Loan Amortization'!$G$483,IF(AND($C51&gt;='TIF Loan Amortization'!$H$484,$C51&lt;='TIF Loan Amortization'!I$484),'TIF Loan Amortization'!$G$484,IF(AND($C51&gt;='TIF Loan Amortization'!$H$485,$C51&lt;='TIF Loan Amortization'!I$485),'TIF Loan Amortization'!$G$485,IF(AND($C51&gt;='TIF Loan Amortization'!$H$486,$C51&lt;='TIF Loan Amortization'!I$486),'TIF Loan Amortization'!$G$486,IF(AND($C51&gt;='TIF Loan Amortization'!$H$487,$C51&lt;='TIF Loan Amortization'!I$487),'TIF Loan Amortization'!$G$487,IF(AND($C51&gt;='TIF Loan Amortization'!$H$488,$C51&lt;='TIF Loan Amortization'!I$488),'TIF Loan Amortization'!$G$488,IF(AND($C51&gt;='TIF Loan Amortization'!$H$489,$C51&lt;='TIF Loan Amortization'!I$489),'TIF Loan Amortization'!$G$489,IF(AND($C51&gt;='TIF Loan Amortization'!$H$490,$C51&lt;='TIF Loan Amortization'!I$490),'TIF Loan Amortization'!$G$490,IF(AND($C51&gt;='TIF Loan Amortization'!$H$491,$C51&lt;='TIF Loan Amortization'!I$491),'TIF Loan Amortization'!$G$491,IF(AND($C51&gt;='TIF Loan Amortization'!$H$492,$C51&lt;='TIF Loan Amortization'!I$492),'TIF Loan Amortization'!$G$492,IF(AND($C51&gt;='TIF Loan Amortization'!$H$493,$C51&lt;='TIF Loan Amortization'!I$493),'TIF Loan Amortization'!$G$493,IF(AND($C51&gt;='TIF Loan Amortization'!$H$494,$C51&lt;='TIF Loan Amortization'!I$494),'TIF Loan Amortization'!$G$494,IF(AND($C51&gt;='TIF Loan Amortization'!$H$495,$C51&lt;='TIF Loan Amortization'!I$495),'TIF Loan Amortization'!$G$495,IF(AND($C51&gt;='TIF Loan Amortization'!$H$496,$C51&lt;='TIF Loan Amortization'!I$496),'TIF Loan Amortization'!$G$496,IF(AND($C51&gt;='TIF Loan Amortization'!$H$497,$C51&lt;='TIF Loan Amortization'!I$497),'TIF Loan Amortization'!$G$497,IF(AND($C51&gt;='TIF Loan Amortization'!$H$498,$C51&lt;='TIF Loan Amortization'!I$498),'TIF Loan Amortization'!$G$498,IF(AND($C51&gt;='TIF Loan Amortization'!$H$499,$C51&lt;='TIF Loan Amortization'!I$499),'TIF Loan Amortization'!$G$499,IF(AND($C51&gt;='TIF Loan Amortization'!$H$500,$C51&lt;='TIF Loan Amortization'!I$500),'TIF Loan Amortization'!$G$500,IF(AND($C51&gt;='TIF Loan Amortization'!$H$501,$C51&lt;='TIF Loan Amortization'!I$501),'TIF Loan Amortization'!$G$501,IF(AND($C51&gt;='TIF Loan Amortization'!$H$502,$C51&lt;='TIF Loan Amortization'!I$502),'TIF Loan Amortization'!$G$502,IF(AND($C51&gt;='TIF Loan Amortization'!$H$503,$C51&lt;='TIF Loan Amortization'!I$503),'TIF Loan Amortization'!$G$503,IF(AND($C51&gt;='TIF Loan Amortization'!$H$504,$C51&lt;='TIF Loan Amortization'!I$504),'TIF Loan Amortization'!$G$504,IF(AND($C51&gt;='TIF Loan Amortization'!$H$505,$C51&lt;='TIF Loan Amortization'!I$505),'TIF Loan Amortization'!$G$505,IF(AND($C51&gt;='TIF Loan Amortization'!$H$506,$C51&lt;='TIF Loan Amortization'!I$506),'TIF Loan Amortization'!$G$506,IF(AND($C51&gt;='TIF Loan Amortization'!$H$507,$C51&lt;='TIF Loan Amortization'!I$507),'TIF Loan Amortization'!$G$507,IF(AND($C51&gt;='TIF Loan Amortization'!$H$508,$C51&lt;='TIF Loan Amortization'!I$508),'TIF Loan Amortization'!$G$508,IF(AND($C51&gt;='TIF Loan Amortization'!$H$509,$C51&lt;='TIF Loan Amortization'!I$509),'TIF Loan Amortization'!$G$509,IF(AND($C51&gt;='TIF Loan Amortization'!$H$510,$C51&lt;='TIF Loan Amortization'!I$510),'TIF Loan Amortization'!$G$510,IF(AND($C51&gt;='TIF Loan Amortization'!$H$511,$C51&lt;='TIF Loan Amortization'!I$511),'TIF Loan Amortization'!$G$511,IF(AND($C51&gt;='TIF Loan Amortization'!$H$512,$C51&lt;='TIF Loan Amortization'!I$512),'TIF Loan Amortization'!$G$512,IF(AND($C51&gt;='TIF Loan Amortization'!$H$513,$C51&lt;='TIF Loan Amortization'!I$513),'TIF Loan Amortization'!$G$513,IF(AND($C51&gt;='TIF Loan Amortization'!$H$514,$C51&lt;='TIF Loan Amortization'!I$514),'TIF Loan Amortization'!$G$514,IF(AND($C51&gt;='TIF Loan Amortization'!$H$515,$C51&lt;='TIF Loan Amortization'!I$515),'TIF Loan Amortization'!$G$515,IF(AND($C51&gt;='TIF Loan Amortization'!$H$516,$C51&lt;='TIF Loan Amortization'!I$516),'TIF Loan Amortization'!$G$516,IF(AND($C51&gt;='TIF Loan Amortization'!$H$517,$C51&lt;='TIF Loan Amortization'!I$517),'TIF Loan Amortization'!$G$517,IF(AND($C51&gt;='TIF Loan Amortization'!$H$518,$C51&lt;='TIF Loan Amortization'!I$518),'TIF Loan Amortization'!$G$518,IF(AND($C51&gt;='TIF Loan Amortization'!$H$519,$C51&lt;='TIF Loan Amortization'!I$519),'TIF Loan Amortization'!$G$519))))))))))))))))))))))))))))))))))))))))</f>
        <v>#N/A</v>
      </c>
      <c r="C51" s="269" t="e">
        <f t="shared" ref="C51:C114" si="16">C50+1</f>
        <v>#N/A</v>
      </c>
      <c r="D51" s="281" t="str">
        <f>IF(AG423=1,H10+1,"")</f>
        <v/>
      </c>
      <c r="E51" s="274">
        <v>1</v>
      </c>
      <c r="F51" s="300" t="str">
        <f>VLOOKUP(AG423,AE422:AF433,2)</f>
        <v>Apr</v>
      </c>
      <c r="G51" s="272">
        <f t="shared" ref="G51:G114" si="17">IF(ISTEXT(M$4),"",M50)</f>
        <v>0</v>
      </c>
      <c r="H51" s="283">
        <f>IF(E51&gt;$G$7,0,IF(AND($G$9&gt;=0,E51&lt;=$H$9),0,IF(AND($G$8&gt;=0,E51&lt;=$H$8),J51,IF(AND($G$8&gt;=0,$G$9&gt;=0,E51&gt;$H$8,E51&gt;$H$9),PMT($H$6/12,IF($G$8&gt;=0,$G$7-$H$8),$H$4)))))</f>
        <v>0</v>
      </c>
      <c r="I51" s="272">
        <f>IF(E51&gt;$G$7,0,IF(AND($G$9,E51&lt;=$H$9),0,+H51-J51))</f>
        <v>0</v>
      </c>
      <c r="J51" s="272">
        <f>+$H$6/12*$M50*-1</f>
        <v>0</v>
      </c>
      <c r="K51" s="272">
        <f>IF(ISTEXT($M$4),"",SUM(I$50:I51))</f>
        <v>0</v>
      </c>
      <c r="L51" s="272">
        <f>IF(ISTEXT($M$4),"",SUM(J$50:J51))</f>
        <v>0</v>
      </c>
      <c r="M51" s="271">
        <f t="shared" ref="M51:M114" si="18">+G51+I51</f>
        <v>0</v>
      </c>
      <c r="N51" s="291"/>
      <c r="O51" s="291"/>
      <c r="P51" s="291"/>
      <c r="Q51" s="291"/>
      <c r="R51" s="291"/>
      <c r="S51" s="291"/>
      <c r="T51" s="291"/>
      <c r="U51" s="291"/>
      <c r="V51" s="292"/>
      <c r="W51" s="292"/>
      <c r="X51" s="292"/>
      <c r="Y51" s="291"/>
      <c r="Z51" s="279"/>
      <c r="AA51" s="279"/>
      <c r="AB51" s="279"/>
    </row>
    <row r="52" spans="1:28" s="278" customFormat="1" ht="11.65" customHeight="1" x14ac:dyDescent="0.25">
      <c r="A52" s="299"/>
      <c r="B52" s="270" t="e">
        <f>IF(AND($C52&gt;='TIF Loan Amortization'!$H$480,$C52&lt;='TIF Loan Amortization'!$I$480),'TIF Loan Amortization'!$G$480,IF(AND($C52&gt;='TIF Loan Amortization'!$H$481,$C52&lt;='TIF Loan Amortization'!I$481),'TIF Loan Amortization'!$G$481,IF(AND($C52&gt;='TIF Loan Amortization'!$H$482,$C52&lt;='TIF Loan Amortization'!I$482),'TIF Loan Amortization'!$G$482,IF(AND($C52&gt;='TIF Loan Amortization'!$H$483,$C52&lt;='TIF Loan Amortization'!I$483),'TIF Loan Amortization'!$G$483,IF(AND($C52&gt;='TIF Loan Amortization'!$H$484,$C52&lt;='TIF Loan Amortization'!I$484),'TIF Loan Amortization'!$G$484,IF(AND($C52&gt;='TIF Loan Amortization'!$H$485,$C52&lt;='TIF Loan Amortization'!I$485),'TIF Loan Amortization'!$G$485,IF(AND($C52&gt;='TIF Loan Amortization'!$H$486,$C52&lt;='TIF Loan Amortization'!I$486),'TIF Loan Amortization'!$G$486,IF(AND($C52&gt;='TIF Loan Amortization'!$H$487,$C52&lt;='TIF Loan Amortization'!I$487),'TIF Loan Amortization'!$G$487,IF(AND($C52&gt;='TIF Loan Amortization'!$H$488,$C52&lt;='TIF Loan Amortization'!I$488),'TIF Loan Amortization'!$G$488,IF(AND($C52&gt;='TIF Loan Amortization'!$H$489,$C52&lt;='TIF Loan Amortization'!I$489),'TIF Loan Amortization'!$G$489,IF(AND($C52&gt;='TIF Loan Amortization'!$H$490,$C52&lt;='TIF Loan Amortization'!I$490),'TIF Loan Amortization'!$G$490,IF(AND($C52&gt;='TIF Loan Amortization'!$H$491,$C52&lt;='TIF Loan Amortization'!I$491),'TIF Loan Amortization'!$G$491,IF(AND($C52&gt;='TIF Loan Amortization'!$H$492,$C52&lt;='TIF Loan Amortization'!I$492),'TIF Loan Amortization'!$G$492,IF(AND($C52&gt;='TIF Loan Amortization'!$H$493,$C52&lt;='TIF Loan Amortization'!I$493),'TIF Loan Amortization'!$G$493,IF(AND($C52&gt;='TIF Loan Amortization'!$H$494,$C52&lt;='TIF Loan Amortization'!I$494),'TIF Loan Amortization'!$G$494,IF(AND($C52&gt;='TIF Loan Amortization'!$H$495,$C52&lt;='TIF Loan Amortization'!I$495),'TIF Loan Amortization'!$G$495,IF(AND($C52&gt;='TIF Loan Amortization'!$H$496,$C52&lt;='TIF Loan Amortization'!I$496),'TIF Loan Amortization'!$G$496,IF(AND($C52&gt;='TIF Loan Amortization'!$H$497,$C52&lt;='TIF Loan Amortization'!I$497),'TIF Loan Amortization'!$G$497,IF(AND($C52&gt;='TIF Loan Amortization'!$H$498,$C52&lt;='TIF Loan Amortization'!I$498),'TIF Loan Amortization'!$G$498,IF(AND($C52&gt;='TIF Loan Amortization'!$H$499,$C52&lt;='TIF Loan Amortization'!I$499),'TIF Loan Amortization'!$G$499,IF(AND($C52&gt;='TIF Loan Amortization'!$H$500,$C52&lt;='TIF Loan Amortization'!I$500),'TIF Loan Amortization'!$G$500,IF(AND($C52&gt;='TIF Loan Amortization'!$H$501,$C52&lt;='TIF Loan Amortization'!I$501),'TIF Loan Amortization'!$G$501,IF(AND($C52&gt;='TIF Loan Amortization'!$H$502,$C52&lt;='TIF Loan Amortization'!I$502),'TIF Loan Amortization'!$G$502,IF(AND($C52&gt;='TIF Loan Amortization'!$H$503,$C52&lt;='TIF Loan Amortization'!I$503),'TIF Loan Amortization'!$G$503,IF(AND($C52&gt;='TIF Loan Amortization'!$H$504,$C52&lt;='TIF Loan Amortization'!I$504),'TIF Loan Amortization'!$G$504,IF(AND($C52&gt;='TIF Loan Amortization'!$H$505,$C52&lt;='TIF Loan Amortization'!I$505),'TIF Loan Amortization'!$G$505,IF(AND($C52&gt;='TIF Loan Amortization'!$H$506,$C52&lt;='TIF Loan Amortization'!I$506),'TIF Loan Amortization'!$G$506,IF(AND($C52&gt;='TIF Loan Amortization'!$H$507,$C52&lt;='TIF Loan Amortization'!I$507),'TIF Loan Amortization'!$G$507,IF(AND($C52&gt;='TIF Loan Amortization'!$H$508,$C52&lt;='TIF Loan Amortization'!I$508),'TIF Loan Amortization'!$G$508,IF(AND($C52&gt;='TIF Loan Amortization'!$H$509,$C52&lt;='TIF Loan Amortization'!I$509),'TIF Loan Amortization'!$G$509,IF(AND($C52&gt;='TIF Loan Amortization'!$H$510,$C52&lt;='TIF Loan Amortization'!I$510),'TIF Loan Amortization'!$G$510,IF(AND($C52&gt;='TIF Loan Amortization'!$H$511,$C52&lt;='TIF Loan Amortization'!I$511),'TIF Loan Amortization'!$G$511,IF(AND($C52&gt;='TIF Loan Amortization'!$H$512,$C52&lt;='TIF Loan Amortization'!I$512),'TIF Loan Amortization'!$G$512,IF(AND($C52&gt;='TIF Loan Amortization'!$H$513,$C52&lt;='TIF Loan Amortization'!I$513),'TIF Loan Amortization'!$G$513,IF(AND($C52&gt;='TIF Loan Amortization'!$H$514,$C52&lt;='TIF Loan Amortization'!I$514),'TIF Loan Amortization'!$G$514,IF(AND($C52&gt;='TIF Loan Amortization'!$H$515,$C52&lt;='TIF Loan Amortization'!I$515),'TIF Loan Amortization'!$G$515,IF(AND($C52&gt;='TIF Loan Amortization'!$H$516,$C52&lt;='TIF Loan Amortization'!I$516),'TIF Loan Amortization'!$G$516,IF(AND($C52&gt;='TIF Loan Amortization'!$H$517,$C52&lt;='TIF Loan Amortization'!I$517),'TIF Loan Amortization'!$G$517,IF(AND($C52&gt;='TIF Loan Amortization'!$H$518,$C52&lt;='TIF Loan Amortization'!I$518),'TIF Loan Amortization'!$G$518,IF(AND($C52&gt;='TIF Loan Amortization'!$H$519,$C52&lt;='TIF Loan Amortization'!I$519),'TIF Loan Amortization'!$G$519))))))))))))))))))))))))))))))))))))))))</f>
        <v>#N/A</v>
      </c>
      <c r="C52" s="269" t="e">
        <f t="shared" si="16"/>
        <v>#N/A</v>
      </c>
      <c r="D52" s="281" t="str">
        <f>IF(AG424=1,H10+1,"")</f>
        <v/>
      </c>
      <c r="E52" s="274">
        <v>2</v>
      </c>
      <c r="F52" s="300" t="str">
        <f>VLOOKUP(AG424,AE422:AF433,2)</f>
        <v>May</v>
      </c>
      <c r="G52" s="272">
        <f t="shared" si="17"/>
        <v>0</v>
      </c>
      <c r="H52" s="272">
        <f>IF(E52&gt;$G$7,0,IF(AND($G$9&gt;=0,E52&lt;=$H$9),0,IF(AND($G$8&gt;=0,E52&lt;=$H$8),J52,IF(AND($G$8&gt;=0,$G$9&gt;=0,E52&gt;$H$8,E52&gt;$H$9),PMT($H$6/12,IF($G$8&gt;=0,$G$7-$H$8),$H$4)))))</f>
        <v>0</v>
      </c>
      <c r="I52" s="272">
        <f>IF(E52&gt;$G$7,0,IF(AND($G$9,E52&lt;=$H$9),0,+H52-J52))</f>
        <v>0</v>
      </c>
      <c r="J52" s="272">
        <f t="shared" ref="J52:J114" si="19">+$H$6/12*$M51*-1</f>
        <v>0</v>
      </c>
      <c r="K52" s="272">
        <f>IF(ISTEXT($M$4),"",SUM(I$50:I52))</f>
        <v>0</v>
      </c>
      <c r="L52" s="272">
        <f>IF(ISTEXT($M$4),"",SUM(J$50:J52))</f>
        <v>0</v>
      </c>
      <c r="M52" s="271">
        <f t="shared" si="18"/>
        <v>0</v>
      </c>
      <c r="N52" s="291" t="e">
        <f>IF(C52='Operating Assumptions'!$C$48,"Construction Finish","")</f>
        <v>#N/A</v>
      </c>
      <c r="O52" s="291"/>
      <c r="P52" s="291"/>
      <c r="Q52" s="291"/>
      <c r="R52" s="291"/>
      <c r="S52" s="291"/>
      <c r="T52" s="291"/>
      <c r="U52" s="291"/>
      <c r="V52" s="292"/>
      <c r="W52" s="292"/>
      <c r="X52" s="292"/>
      <c r="Y52" s="291"/>
      <c r="Z52" s="279"/>
      <c r="AA52" s="279"/>
      <c r="AB52" s="279"/>
    </row>
    <row r="53" spans="1:28" s="278" customFormat="1" ht="11.65" customHeight="1" x14ac:dyDescent="0.25">
      <c r="A53" s="299"/>
      <c r="B53" s="270" t="e">
        <f>IF(AND($C53&gt;='TIF Loan Amortization'!$H$480,$C53&lt;='TIF Loan Amortization'!$I$480),'TIF Loan Amortization'!$G$480,IF(AND($C53&gt;='TIF Loan Amortization'!$H$481,$C53&lt;='TIF Loan Amortization'!I$481),'TIF Loan Amortization'!$G$481,IF(AND($C53&gt;='TIF Loan Amortization'!$H$482,$C53&lt;='TIF Loan Amortization'!I$482),'TIF Loan Amortization'!$G$482,IF(AND($C53&gt;='TIF Loan Amortization'!$H$483,$C53&lt;='TIF Loan Amortization'!I$483),'TIF Loan Amortization'!$G$483,IF(AND($C53&gt;='TIF Loan Amortization'!$H$484,$C53&lt;='TIF Loan Amortization'!I$484),'TIF Loan Amortization'!$G$484,IF(AND($C53&gt;='TIF Loan Amortization'!$H$485,$C53&lt;='TIF Loan Amortization'!I$485),'TIF Loan Amortization'!$G$485,IF(AND($C53&gt;='TIF Loan Amortization'!$H$486,$C53&lt;='TIF Loan Amortization'!I$486),'TIF Loan Amortization'!$G$486,IF(AND($C53&gt;='TIF Loan Amortization'!$H$487,$C53&lt;='TIF Loan Amortization'!I$487),'TIF Loan Amortization'!$G$487,IF(AND($C53&gt;='TIF Loan Amortization'!$H$488,$C53&lt;='TIF Loan Amortization'!I$488),'TIF Loan Amortization'!$G$488,IF(AND($C53&gt;='TIF Loan Amortization'!$H$489,$C53&lt;='TIF Loan Amortization'!I$489),'TIF Loan Amortization'!$G$489,IF(AND($C53&gt;='TIF Loan Amortization'!$H$490,$C53&lt;='TIF Loan Amortization'!I$490),'TIF Loan Amortization'!$G$490,IF(AND($C53&gt;='TIF Loan Amortization'!$H$491,$C53&lt;='TIF Loan Amortization'!I$491),'TIF Loan Amortization'!$G$491,IF(AND($C53&gt;='TIF Loan Amortization'!$H$492,$C53&lt;='TIF Loan Amortization'!I$492),'TIF Loan Amortization'!$G$492,IF(AND($C53&gt;='TIF Loan Amortization'!$H$493,$C53&lt;='TIF Loan Amortization'!I$493),'TIF Loan Amortization'!$G$493,IF(AND($C53&gt;='TIF Loan Amortization'!$H$494,$C53&lt;='TIF Loan Amortization'!I$494),'TIF Loan Amortization'!$G$494,IF(AND($C53&gt;='TIF Loan Amortization'!$H$495,$C53&lt;='TIF Loan Amortization'!I$495),'TIF Loan Amortization'!$G$495,IF(AND($C53&gt;='TIF Loan Amortization'!$H$496,$C53&lt;='TIF Loan Amortization'!I$496),'TIF Loan Amortization'!$G$496,IF(AND($C53&gt;='TIF Loan Amortization'!$H$497,$C53&lt;='TIF Loan Amortization'!I$497),'TIF Loan Amortization'!$G$497,IF(AND($C53&gt;='TIF Loan Amortization'!$H$498,$C53&lt;='TIF Loan Amortization'!I$498),'TIF Loan Amortization'!$G$498,IF(AND($C53&gt;='TIF Loan Amortization'!$H$499,$C53&lt;='TIF Loan Amortization'!I$499),'TIF Loan Amortization'!$G$499,IF(AND($C53&gt;='TIF Loan Amortization'!$H$500,$C53&lt;='TIF Loan Amortization'!I$500),'TIF Loan Amortization'!$G$500,IF(AND($C53&gt;='TIF Loan Amortization'!$H$501,$C53&lt;='TIF Loan Amortization'!I$501),'TIF Loan Amortization'!$G$501,IF(AND($C53&gt;='TIF Loan Amortization'!$H$502,$C53&lt;='TIF Loan Amortization'!I$502),'TIF Loan Amortization'!$G$502,IF(AND($C53&gt;='TIF Loan Amortization'!$H$503,$C53&lt;='TIF Loan Amortization'!I$503),'TIF Loan Amortization'!$G$503,IF(AND($C53&gt;='TIF Loan Amortization'!$H$504,$C53&lt;='TIF Loan Amortization'!I$504),'TIF Loan Amortization'!$G$504,IF(AND($C53&gt;='TIF Loan Amortization'!$H$505,$C53&lt;='TIF Loan Amortization'!I$505),'TIF Loan Amortization'!$G$505,IF(AND($C53&gt;='TIF Loan Amortization'!$H$506,$C53&lt;='TIF Loan Amortization'!I$506),'TIF Loan Amortization'!$G$506,IF(AND($C53&gt;='TIF Loan Amortization'!$H$507,$C53&lt;='TIF Loan Amortization'!I$507),'TIF Loan Amortization'!$G$507,IF(AND($C53&gt;='TIF Loan Amortization'!$H$508,$C53&lt;='TIF Loan Amortization'!I$508),'TIF Loan Amortization'!$G$508,IF(AND($C53&gt;='TIF Loan Amortization'!$H$509,$C53&lt;='TIF Loan Amortization'!I$509),'TIF Loan Amortization'!$G$509,IF(AND($C53&gt;='TIF Loan Amortization'!$H$510,$C53&lt;='TIF Loan Amortization'!I$510),'TIF Loan Amortization'!$G$510,IF(AND($C53&gt;='TIF Loan Amortization'!$H$511,$C53&lt;='TIF Loan Amortization'!I$511),'TIF Loan Amortization'!$G$511,IF(AND($C53&gt;='TIF Loan Amortization'!$H$512,$C53&lt;='TIF Loan Amortization'!I$512),'TIF Loan Amortization'!$G$512,IF(AND($C53&gt;='TIF Loan Amortization'!$H$513,$C53&lt;='TIF Loan Amortization'!I$513),'TIF Loan Amortization'!$G$513,IF(AND($C53&gt;='TIF Loan Amortization'!$H$514,$C53&lt;='TIF Loan Amortization'!I$514),'TIF Loan Amortization'!$G$514,IF(AND($C53&gt;='TIF Loan Amortization'!$H$515,$C53&lt;='TIF Loan Amortization'!I$515),'TIF Loan Amortization'!$G$515,IF(AND($C53&gt;='TIF Loan Amortization'!$H$516,$C53&lt;='TIF Loan Amortization'!I$516),'TIF Loan Amortization'!$G$516,IF(AND($C53&gt;='TIF Loan Amortization'!$H$517,$C53&lt;='TIF Loan Amortization'!I$517),'TIF Loan Amortization'!$G$517,IF(AND($C53&gt;='TIF Loan Amortization'!$H$518,$C53&lt;='TIF Loan Amortization'!I$518),'TIF Loan Amortization'!$G$518,IF(AND($C53&gt;='TIF Loan Amortization'!$H$519,$C53&lt;='TIF Loan Amortization'!I$519),'TIF Loan Amortization'!$G$519))))))))))))))))))))))))))))))))))))))))</f>
        <v>#N/A</v>
      </c>
      <c r="C53" s="269" t="e">
        <f t="shared" si="16"/>
        <v>#N/A</v>
      </c>
      <c r="D53" s="281" t="str">
        <f>IF(AG425=1,H10+1,"")</f>
        <v/>
      </c>
      <c r="E53" s="274">
        <v>3</v>
      </c>
      <c r="F53" s="300" t="str">
        <f>VLOOKUP(AG425,AE422:AF433,2)</f>
        <v>Jun</v>
      </c>
      <c r="G53" s="272">
        <f t="shared" si="17"/>
        <v>0</v>
      </c>
      <c r="H53" s="272">
        <f t="shared" ref="H53:H116" si="20">IF(E53&gt;$G$7,0,IF(AND($G$9&gt;=0,E53&lt;=$H$9),0,IF(AND($G$8&gt;=0,E53&lt;=$H$8),J53,IF(AND($G$8&gt;=0,$G$9&gt;=0,E53&gt;$H$8,E53&gt;$H$9),PMT($H$6/12,IF($G$8&gt;=0,$G$7-$H$8),$H$4)))))</f>
        <v>0</v>
      </c>
      <c r="I53" s="272">
        <f t="shared" ref="I53:I116" si="21">IF(E53&gt;$G$7,0,IF(AND($G$9,E53&lt;=$H$9),0,+H53-J53))</f>
        <v>0</v>
      </c>
      <c r="J53" s="272">
        <f t="shared" si="19"/>
        <v>0</v>
      </c>
      <c r="K53" s="272">
        <f>IF(ISTEXT($M$4),"",SUM(I$50:I53))</f>
        <v>0</v>
      </c>
      <c r="L53" s="272">
        <f>IF(ISTEXT($M$4),"",SUM(J$50:J53))</f>
        <v>0</v>
      </c>
      <c r="M53" s="271">
        <f t="shared" si="18"/>
        <v>0</v>
      </c>
      <c r="N53" s="291" t="e">
        <f>IF(C53='Operating Assumptions'!$C$48,"Construction Finish","")</f>
        <v>#N/A</v>
      </c>
      <c r="O53" s="291"/>
      <c r="P53" s="291"/>
      <c r="Q53" s="291"/>
      <c r="R53" s="291"/>
      <c r="S53" s="291"/>
      <c r="T53" s="291"/>
      <c r="U53" s="291"/>
      <c r="V53" s="292"/>
      <c r="W53" s="292"/>
      <c r="X53" s="292"/>
      <c r="Y53" s="291"/>
      <c r="Z53" s="279"/>
      <c r="AA53" s="279"/>
      <c r="AB53" s="279"/>
    </row>
    <row r="54" spans="1:28" s="278" customFormat="1" ht="11.65" customHeight="1" x14ac:dyDescent="0.25">
      <c r="A54" s="299"/>
      <c r="B54" s="270" t="e">
        <f>IF(AND($C54&gt;='TIF Loan Amortization'!$H$480,$C54&lt;='TIF Loan Amortization'!$I$480),'TIF Loan Amortization'!$G$480,IF(AND($C54&gt;='TIF Loan Amortization'!$H$481,$C54&lt;='TIF Loan Amortization'!I$481),'TIF Loan Amortization'!$G$481,IF(AND($C54&gt;='TIF Loan Amortization'!$H$482,$C54&lt;='TIF Loan Amortization'!I$482),'TIF Loan Amortization'!$G$482,IF(AND($C54&gt;='TIF Loan Amortization'!$H$483,$C54&lt;='TIF Loan Amortization'!I$483),'TIF Loan Amortization'!$G$483,IF(AND($C54&gt;='TIF Loan Amortization'!$H$484,$C54&lt;='TIF Loan Amortization'!I$484),'TIF Loan Amortization'!$G$484,IF(AND($C54&gt;='TIF Loan Amortization'!$H$485,$C54&lt;='TIF Loan Amortization'!I$485),'TIF Loan Amortization'!$G$485,IF(AND($C54&gt;='TIF Loan Amortization'!$H$486,$C54&lt;='TIF Loan Amortization'!I$486),'TIF Loan Amortization'!$G$486,IF(AND($C54&gt;='TIF Loan Amortization'!$H$487,$C54&lt;='TIF Loan Amortization'!I$487),'TIF Loan Amortization'!$G$487,IF(AND($C54&gt;='TIF Loan Amortization'!$H$488,$C54&lt;='TIF Loan Amortization'!I$488),'TIF Loan Amortization'!$G$488,IF(AND($C54&gt;='TIF Loan Amortization'!$H$489,$C54&lt;='TIF Loan Amortization'!I$489),'TIF Loan Amortization'!$G$489,IF(AND($C54&gt;='TIF Loan Amortization'!$H$490,$C54&lt;='TIF Loan Amortization'!I$490),'TIF Loan Amortization'!$G$490,IF(AND($C54&gt;='TIF Loan Amortization'!$H$491,$C54&lt;='TIF Loan Amortization'!I$491),'TIF Loan Amortization'!$G$491,IF(AND($C54&gt;='TIF Loan Amortization'!$H$492,$C54&lt;='TIF Loan Amortization'!I$492),'TIF Loan Amortization'!$G$492,IF(AND($C54&gt;='TIF Loan Amortization'!$H$493,$C54&lt;='TIF Loan Amortization'!I$493),'TIF Loan Amortization'!$G$493,IF(AND($C54&gt;='TIF Loan Amortization'!$H$494,$C54&lt;='TIF Loan Amortization'!I$494),'TIF Loan Amortization'!$G$494,IF(AND($C54&gt;='TIF Loan Amortization'!$H$495,$C54&lt;='TIF Loan Amortization'!I$495),'TIF Loan Amortization'!$G$495,IF(AND($C54&gt;='TIF Loan Amortization'!$H$496,$C54&lt;='TIF Loan Amortization'!I$496),'TIF Loan Amortization'!$G$496,IF(AND($C54&gt;='TIF Loan Amortization'!$H$497,$C54&lt;='TIF Loan Amortization'!I$497),'TIF Loan Amortization'!$G$497,IF(AND($C54&gt;='TIF Loan Amortization'!$H$498,$C54&lt;='TIF Loan Amortization'!I$498),'TIF Loan Amortization'!$G$498,IF(AND($C54&gt;='TIF Loan Amortization'!$H$499,$C54&lt;='TIF Loan Amortization'!I$499),'TIF Loan Amortization'!$G$499,IF(AND($C54&gt;='TIF Loan Amortization'!$H$500,$C54&lt;='TIF Loan Amortization'!I$500),'TIF Loan Amortization'!$G$500,IF(AND($C54&gt;='TIF Loan Amortization'!$H$501,$C54&lt;='TIF Loan Amortization'!I$501),'TIF Loan Amortization'!$G$501,IF(AND($C54&gt;='TIF Loan Amortization'!$H$502,$C54&lt;='TIF Loan Amortization'!I$502),'TIF Loan Amortization'!$G$502,IF(AND($C54&gt;='TIF Loan Amortization'!$H$503,$C54&lt;='TIF Loan Amortization'!I$503),'TIF Loan Amortization'!$G$503,IF(AND($C54&gt;='TIF Loan Amortization'!$H$504,$C54&lt;='TIF Loan Amortization'!I$504),'TIF Loan Amortization'!$G$504,IF(AND($C54&gt;='TIF Loan Amortization'!$H$505,$C54&lt;='TIF Loan Amortization'!I$505),'TIF Loan Amortization'!$G$505,IF(AND($C54&gt;='TIF Loan Amortization'!$H$506,$C54&lt;='TIF Loan Amortization'!I$506),'TIF Loan Amortization'!$G$506,IF(AND($C54&gt;='TIF Loan Amortization'!$H$507,$C54&lt;='TIF Loan Amortization'!I$507),'TIF Loan Amortization'!$G$507,IF(AND($C54&gt;='TIF Loan Amortization'!$H$508,$C54&lt;='TIF Loan Amortization'!I$508),'TIF Loan Amortization'!$G$508,IF(AND($C54&gt;='TIF Loan Amortization'!$H$509,$C54&lt;='TIF Loan Amortization'!I$509),'TIF Loan Amortization'!$G$509,IF(AND($C54&gt;='TIF Loan Amortization'!$H$510,$C54&lt;='TIF Loan Amortization'!I$510),'TIF Loan Amortization'!$G$510,IF(AND($C54&gt;='TIF Loan Amortization'!$H$511,$C54&lt;='TIF Loan Amortization'!I$511),'TIF Loan Amortization'!$G$511,IF(AND($C54&gt;='TIF Loan Amortization'!$H$512,$C54&lt;='TIF Loan Amortization'!I$512),'TIF Loan Amortization'!$G$512,IF(AND($C54&gt;='TIF Loan Amortization'!$H$513,$C54&lt;='TIF Loan Amortization'!I$513),'TIF Loan Amortization'!$G$513,IF(AND($C54&gt;='TIF Loan Amortization'!$H$514,$C54&lt;='TIF Loan Amortization'!I$514),'TIF Loan Amortization'!$G$514,IF(AND($C54&gt;='TIF Loan Amortization'!$H$515,$C54&lt;='TIF Loan Amortization'!I$515),'TIF Loan Amortization'!$G$515,IF(AND($C54&gt;='TIF Loan Amortization'!$H$516,$C54&lt;='TIF Loan Amortization'!I$516),'TIF Loan Amortization'!$G$516,IF(AND($C54&gt;='TIF Loan Amortization'!$H$517,$C54&lt;='TIF Loan Amortization'!I$517),'TIF Loan Amortization'!$G$517,IF(AND($C54&gt;='TIF Loan Amortization'!$H$518,$C54&lt;='TIF Loan Amortization'!I$518),'TIF Loan Amortization'!$G$518,IF(AND($C54&gt;='TIF Loan Amortization'!$H$519,$C54&lt;='TIF Loan Amortization'!I$519),'TIF Loan Amortization'!$G$519))))))))))))))))))))))))))))))))))))))))</f>
        <v>#N/A</v>
      </c>
      <c r="C54" s="269" t="e">
        <f t="shared" si="16"/>
        <v>#N/A</v>
      </c>
      <c r="D54" s="281" t="str">
        <f>IF(AG426=1,H10+1,"")</f>
        <v/>
      </c>
      <c r="E54" s="274">
        <v>4</v>
      </c>
      <c r="F54" s="300" t="str">
        <f>VLOOKUP(AG426,AE422:AF433,2)</f>
        <v>Jul</v>
      </c>
      <c r="G54" s="272">
        <f t="shared" si="17"/>
        <v>0</v>
      </c>
      <c r="H54" s="272">
        <f t="shared" si="20"/>
        <v>0</v>
      </c>
      <c r="I54" s="272">
        <f t="shared" si="21"/>
        <v>0</v>
      </c>
      <c r="J54" s="272">
        <f t="shared" si="19"/>
        <v>0</v>
      </c>
      <c r="K54" s="272">
        <f>IF(ISTEXT($M$4),"",SUM(I$50:I54))</f>
        <v>0</v>
      </c>
      <c r="L54" s="272">
        <f>IF(ISTEXT($M$4),"",SUM(J$50:J54))</f>
        <v>0</v>
      </c>
      <c r="M54" s="271">
        <f t="shared" si="18"/>
        <v>0</v>
      </c>
      <c r="N54" s="291" t="e">
        <f>IF(C54='Operating Assumptions'!$C$48,"Construction Finish","")</f>
        <v>#N/A</v>
      </c>
      <c r="O54" s="291"/>
      <c r="P54" s="291"/>
      <c r="Q54" s="291"/>
      <c r="R54" s="291"/>
      <c r="S54" s="291"/>
      <c r="T54" s="291"/>
      <c r="U54" s="291"/>
      <c r="V54" s="292"/>
      <c r="W54" s="292"/>
      <c r="X54" s="292"/>
      <c r="Y54" s="291"/>
      <c r="Z54" s="279"/>
      <c r="AA54" s="279"/>
      <c r="AB54" s="279"/>
    </row>
    <row r="55" spans="1:28" s="278" customFormat="1" ht="11.65" customHeight="1" x14ac:dyDescent="0.25">
      <c r="A55" s="299"/>
      <c r="B55" s="270" t="e">
        <f>IF(AND($C55&gt;='TIF Loan Amortization'!$H$480,$C55&lt;='TIF Loan Amortization'!$I$480),'TIF Loan Amortization'!$G$480,IF(AND($C55&gt;='TIF Loan Amortization'!$H$481,$C55&lt;='TIF Loan Amortization'!I$481),'TIF Loan Amortization'!$G$481,IF(AND($C55&gt;='TIF Loan Amortization'!$H$482,$C55&lt;='TIF Loan Amortization'!I$482),'TIF Loan Amortization'!$G$482,IF(AND($C55&gt;='TIF Loan Amortization'!$H$483,$C55&lt;='TIF Loan Amortization'!I$483),'TIF Loan Amortization'!$G$483,IF(AND($C55&gt;='TIF Loan Amortization'!$H$484,$C55&lt;='TIF Loan Amortization'!I$484),'TIF Loan Amortization'!$G$484,IF(AND($C55&gt;='TIF Loan Amortization'!$H$485,$C55&lt;='TIF Loan Amortization'!I$485),'TIF Loan Amortization'!$G$485,IF(AND($C55&gt;='TIF Loan Amortization'!$H$486,$C55&lt;='TIF Loan Amortization'!I$486),'TIF Loan Amortization'!$G$486,IF(AND($C55&gt;='TIF Loan Amortization'!$H$487,$C55&lt;='TIF Loan Amortization'!I$487),'TIF Loan Amortization'!$G$487,IF(AND($C55&gt;='TIF Loan Amortization'!$H$488,$C55&lt;='TIF Loan Amortization'!I$488),'TIF Loan Amortization'!$G$488,IF(AND($C55&gt;='TIF Loan Amortization'!$H$489,$C55&lt;='TIF Loan Amortization'!I$489),'TIF Loan Amortization'!$G$489,IF(AND($C55&gt;='TIF Loan Amortization'!$H$490,$C55&lt;='TIF Loan Amortization'!I$490),'TIF Loan Amortization'!$G$490,IF(AND($C55&gt;='TIF Loan Amortization'!$H$491,$C55&lt;='TIF Loan Amortization'!I$491),'TIF Loan Amortization'!$G$491,IF(AND($C55&gt;='TIF Loan Amortization'!$H$492,$C55&lt;='TIF Loan Amortization'!I$492),'TIF Loan Amortization'!$G$492,IF(AND($C55&gt;='TIF Loan Amortization'!$H$493,$C55&lt;='TIF Loan Amortization'!I$493),'TIF Loan Amortization'!$G$493,IF(AND($C55&gt;='TIF Loan Amortization'!$H$494,$C55&lt;='TIF Loan Amortization'!I$494),'TIF Loan Amortization'!$G$494,IF(AND($C55&gt;='TIF Loan Amortization'!$H$495,$C55&lt;='TIF Loan Amortization'!I$495),'TIF Loan Amortization'!$G$495,IF(AND($C55&gt;='TIF Loan Amortization'!$H$496,$C55&lt;='TIF Loan Amortization'!I$496),'TIF Loan Amortization'!$G$496,IF(AND($C55&gt;='TIF Loan Amortization'!$H$497,$C55&lt;='TIF Loan Amortization'!I$497),'TIF Loan Amortization'!$G$497,IF(AND($C55&gt;='TIF Loan Amortization'!$H$498,$C55&lt;='TIF Loan Amortization'!I$498),'TIF Loan Amortization'!$G$498,IF(AND($C55&gt;='TIF Loan Amortization'!$H$499,$C55&lt;='TIF Loan Amortization'!I$499),'TIF Loan Amortization'!$G$499,IF(AND($C55&gt;='TIF Loan Amortization'!$H$500,$C55&lt;='TIF Loan Amortization'!I$500),'TIF Loan Amortization'!$G$500,IF(AND($C55&gt;='TIF Loan Amortization'!$H$501,$C55&lt;='TIF Loan Amortization'!I$501),'TIF Loan Amortization'!$G$501,IF(AND($C55&gt;='TIF Loan Amortization'!$H$502,$C55&lt;='TIF Loan Amortization'!I$502),'TIF Loan Amortization'!$G$502,IF(AND($C55&gt;='TIF Loan Amortization'!$H$503,$C55&lt;='TIF Loan Amortization'!I$503),'TIF Loan Amortization'!$G$503,IF(AND($C55&gt;='TIF Loan Amortization'!$H$504,$C55&lt;='TIF Loan Amortization'!I$504),'TIF Loan Amortization'!$G$504,IF(AND($C55&gt;='TIF Loan Amortization'!$H$505,$C55&lt;='TIF Loan Amortization'!I$505),'TIF Loan Amortization'!$G$505,IF(AND($C55&gt;='TIF Loan Amortization'!$H$506,$C55&lt;='TIF Loan Amortization'!I$506),'TIF Loan Amortization'!$G$506,IF(AND($C55&gt;='TIF Loan Amortization'!$H$507,$C55&lt;='TIF Loan Amortization'!I$507),'TIF Loan Amortization'!$G$507,IF(AND($C55&gt;='TIF Loan Amortization'!$H$508,$C55&lt;='TIF Loan Amortization'!I$508),'TIF Loan Amortization'!$G$508,IF(AND($C55&gt;='TIF Loan Amortization'!$H$509,$C55&lt;='TIF Loan Amortization'!I$509),'TIF Loan Amortization'!$G$509,IF(AND($C55&gt;='TIF Loan Amortization'!$H$510,$C55&lt;='TIF Loan Amortization'!I$510),'TIF Loan Amortization'!$G$510,IF(AND($C55&gt;='TIF Loan Amortization'!$H$511,$C55&lt;='TIF Loan Amortization'!I$511),'TIF Loan Amortization'!$G$511,IF(AND($C55&gt;='TIF Loan Amortization'!$H$512,$C55&lt;='TIF Loan Amortization'!I$512),'TIF Loan Amortization'!$G$512,IF(AND($C55&gt;='TIF Loan Amortization'!$H$513,$C55&lt;='TIF Loan Amortization'!I$513),'TIF Loan Amortization'!$G$513,IF(AND($C55&gt;='TIF Loan Amortization'!$H$514,$C55&lt;='TIF Loan Amortization'!I$514),'TIF Loan Amortization'!$G$514,IF(AND($C55&gt;='TIF Loan Amortization'!$H$515,$C55&lt;='TIF Loan Amortization'!I$515),'TIF Loan Amortization'!$G$515,IF(AND($C55&gt;='TIF Loan Amortization'!$H$516,$C55&lt;='TIF Loan Amortization'!I$516),'TIF Loan Amortization'!$G$516,IF(AND($C55&gt;='TIF Loan Amortization'!$H$517,$C55&lt;='TIF Loan Amortization'!I$517),'TIF Loan Amortization'!$G$517,IF(AND($C55&gt;='TIF Loan Amortization'!$H$518,$C55&lt;='TIF Loan Amortization'!I$518),'TIF Loan Amortization'!$G$518,IF(AND($C55&gt;='TIF Loan Amortization'!$H$519,$C55&lt;='TIF Loan Amortization'!I$519),'TIF Loan Amortization'!$G$519))))))))))))))))))))))))))))))))))))))))</f>
        <v>#N/A</v>
      </c>
      <c r="C55" s="269" t="e">
        <f t="shared" si="16"/>
        <v>#N/A</v>
      </c>
      <c r="D55" s="281" t="str">
        <f>IF(AG427=1,H10+1,"")</f>
        <v/>
      </c>
      <c r="E55" s="274">
        <v>5</v>
      </c>
      <c r="F55" s="300" t="str">
        <f>VLOOKUP(AG427,AE422:AF433,2)</f>
        <v>Aug</v>
      </c>
      <c r="G55" s="272">
        <f t="shared" si="17"/>
        <v>0</v>
      </c>
      <c r="H55" s="272">
        <f t="shared" si="20"/>
        <v>0</v>
      </c>
      <c r="I55" s="272">
        <f t="shared" si="21"/>
        <v>0</v>
      </c>
      <c r="J55" s="272">
        <f t="shared" si="19"/>
        <v>0</v>
      </c>
      <c r="K55" s="272">
        <f>IF(ISTEXT($M$4),"",SUM(I$50:I55))</f>
        <v>0</v>
      </c>
      <c r="L55" s="272">
        <f>IF(ISTEXT($M$4),"",SUM(J$50:J55))</f>
        <v>0</v>
      </c>
      <c r="M55" s="271">
        <f t="shared" si="18"/>
        <v>0</v>
      </c>
      <c r="N55" s="291" t="e">
        <f>IF(C55='Operating Assumptions'!$C$48,"Construction Finish","")</f>
        <v>#N/A</v>
      </c>
      <c r="O55" s="291"/>
      <c r="P55" s="291"/>
      <c r="Q55" s="291"/>
      <c r="R55" s="291"/>
      <c r="S55" s="291"/>
      <c r="T55" s="291"/>
      <c r="U55" s="291"/>
      <c r="V55" s="292"/>
      <c r="W55" s="292"/>
      <c r="X55" s="292"/>
      <c r="Y55" s="291"/>
      <c r="Z55" s="279"/>
      <c r="AA55" s="279"/>
      <c r="AB55" s="279"/>
    </row>
    <row r="56" spans="1:28" s="278" customFormat="1" ht="11.65" customHeight="1" x14ac:dyDescent="0.25">
      <c r="A56" s="299"/>
      <c r="B56" s="270" t="e">
        <f>IF(AND($C56&gt;='TIF Loan Amortization'!$H$480,$C56&lt;='TIF Loan Amortization'!$I$480),'TIF Loan Amortization'!$G$480,IF(AND($C56&gt;='TIF Loan Amortization'!$H$481,$C56&lt;='TIF Loan Amortization'!I$481),'TIF Loan Amortization'!$G$481,IF(AND($C56&gt;='TIF Loan Amortization'!$H$482,$C56&lt;='TIF Loan Amortization'!I$482),'TIF Loan Amortization'!$G$482,IF(AND($C56&gt;='TIF Loan Amortization'!$H$483,$C56&lt;='TIF Loan Amortization'!I$483),'TIF Loan Amortization'!$G$483,IF(AND($C56&gt;='TIF Loan Amortization'!$H$484,$C56&lt;='TIF Loan Amortization'!I$484),'TIF Loan Amortization'!$G$484,IF(AND($C56&gt;='TIF Loan Amortization'!$H$485,$C56&lt;='TIF Loan Amortization'!I$485),'TIF Loan Amortization'!$G$485,IF(AND($C56&gt;='TIF Loan Amortization'!$H$486,$C56&lt;='TIF Loan Amortization'!I$486),'TIF Loan Amortization'!$G$486,IF(AND($C56&gt;='TIF Loan Amortization'!$H$487,$C56&lt;='TIF Loan Amortization'!I$487),'TIF Loan Amortization'!$G$487,IF(AND($C56&gt;='TIF Loan Amortization'!$H$488,$C56&lt;='TIF Loan Amortization'!I$488),'TIF Loan Amortization'!$G$488,IF(AND($C56&gt;='TIF Loan Amortization'!$H$489,$C56&lt;='TIF Loan Amortization'!I$489),'TIF Loan Amortization'!$G$489,IF(AND($C56&gt;='TIF Loan Amortization'!$H$490,$C56&lt;='TIF Loan Amortization'!I$490),'TIF Loan Amortization'!$G$490,IF(AND($C56&gt;='TIF Loan Amortization'!$H$491,$C56&lt;='TIF Loan Amortization'!I$491),'TIF Loan Amortization'!$G$491,IF(AND($C56&gt;='TIF Loan Amortization'!$H$492,$C56&lt;='TIF Loan Amortization'!I$492),'TIF Loan Amortization'!$G$492,IF(AND($C56&gt;='TIF Loan Amortization'!$H$493,$C56&lt;='TIF Loan Amortization'!I$493),'TIF Loan Amortization'!$G$493,IF(AND($C56&gt;='TIF Loan Amortization'!$H$494,$C56&lt;='TIF Loan Amortization'!I$494),'TIF Loan Amortization'!$G$494,IF(AND($C56&gt;='TIF Loan Amortization'!$H$495,$C56&lt;='TIF Loan Amortization'!I$495),'TIF Loan Amortization'!$G$495,IF(AND($C56&gt;='TIF Loan Amortization'!$H$496,$C56&lt;='TIF Loan Amortization'!I$496),'TIF Loan Amortization'!$G$496,IF(AND($C56&gt;='TIF Loan Amortization'!$H$497,$C56&lt;='TIF Loan Amortization'!I$497),'TIF Loan Amortization'!$G$497,IF(AND($C56&gt;='TIF Loan Amortization'!$H$498,$C56&lt;='TIF Loan Amortization'!I$498),'TIF Loan Amortization'!$G$498,IF(AND($C56&gt;='TIF Loan Amortization'!$H$499,$C56&lt;='TIF Loan Amortization'!I$499),'TIF Loan Amortization'!$G$499,IF(AND($C56&gt;='TIF Loan Amortization'!$H$500,$C56&lt;='TIF Loan Amortization'!I$500),'TIF Loan Amortization'!$G$500,IF(AND($C56&gt;='TIF Loan Amortization'!$H$501,$C56&lt;='TIF Loan Amortization'!I$501),'TIF Loan Amortization'!$G$501,IF(AND($C56&gt;='TIF Loan Amortization'!$H$502,$C56&lt;='TIF Loan Amortization'!I$502),'TIF Loan Amortization'!$G$502,IF(AND($C56&gt;='TIF Loan Amortization'!$H$503,$C56&lt;='TIF Loan Amortization'!I$503),'TIF Loan Amortization'!$G$503,IF(AND($C56&gt;='TIF Loan Amortization'!$H$504,$C56&lt;='TIF Loan Amortization'!I$504),'TIF Loan Amortization'!$G$504,IF(AND($C56&gt;='TIF Loan Amortization'!$H$505,$C56&lt;='TIF Loan Amortization'!I$505),'TIF Loan Amortization'!$G$505,IF(AND($C56&gt;='TIF Loan Amortization'!$H$506,$C56&lt;='TIF Loan Amortization'!I$506),'TIF Loan Amortization'!$G$506,IF(AND($C56&gt;='TIF Loan Amortization'!$H$507,$C56&lt;='TIF Loan Amortization'!I$507),'TIF Loan Amortization'!$G$507,IF(AND($C56&gt;='TIF Loan Amortization'!$H$508,$C56&lt;='TIF Loan Amortization'!I$508),'TIF Loan Amortization'!$G$508,IF(AND($C56&gt;='TIF Loan Amortization'!$H$509,$C56&lt;='TIF Loan Amortization'!I$509),'TIF Loan Amortization'!$G$509,IF(AND($C56&gt;='TIF Loan Amortization'!$H$510,$C56&lt;='TIF Loan Amortization'!I$510),'TIF Loan Amortization'!$G$510,IF(AND($C56&gt;='TIF Loan Amortization'!$H$511,$C56&lt;='TIF Loan Amortization'!I$511),'TIF Loan Amortization'!$G$511,IF(AND($C56&gt;='TIF Loan Amortization'!$H$512,$C56&lt;='TIF Loan Amortization'!I$512),'TIF Loan Amortization'!$G$512,IF(AND($C56&gt;='TIF Loan Amortization'!$H$513,$C56&lt;='TIF Loan Amortization'!I$513),'TIF Loan Amortization'!$G$513,IF(AND($C56&gt;='TIF Loan Amortization'!$H$514,$C56&lt;='TIF Loan Amortization'!I$514),'TIF Loan Amortization'!$G$514,IF(AND($C56&gt;='TIF Loan Amortization'!$H$515,$C56&lt;='TIF Loan Amortization'!I$515),'TIF Loan Amortization'!$G$515,IF(AND($C56&gt;='TIF Loan Amortization'!$H$516,$C56&lt;='TIF Loan Amortization'!I$516),'TIF Loan Amortization'!$G$516,IF(AND($C56&gt;='TIF Loan Amortization'!$H$517,$C56&lt;='TIF Loan Amortization'!I$517),'TIF Loan Amortization'!$G$517,IF(AND($C56&gt;='TIF Loan Amortization'!$H$518,$C56&lt;='TIF Loan Amortization'!I$518),'TIF Loan Amortization'!$G$518,IF(AND($C56&gt;='TIF Loan Amortization'!$H$519,$C56&lt;='TIF Loan Amortization'!I$519),'TIF Loan Amortization'!$G$519))))))))))))))))))))))))))))))))))))))))</f>
        <v>#N/A</v>
      </c>
      <c r="C56" s="269" t="e">
        <f t="shared" si="16"/>
        <v>#N/A</v>
      </c>
      <c r="D56" s="281" t="str">
        <f>IF(AG428=1,H10+1,"")</f>
        <v/>
      </c>
      <c r="E56" s="274">
        <v>6</v>
      </c>
      <c r="F56" s="300" t="str">
        <f>VLOOKUP(AG428,AE422:AF433,2)</f>
        <v>Sep</v>
      </c>
      <c r="G56" s="272">
        <f t="shared" si="17"/>
        <v>0</v>
      </c>
      <c r="H56" s="272">
        <f t="shared" si="20"/>
        <v>0</v>
      </c>
      <c r="I56" s="272">
        <f t="shared" si="21"/>
        <v>0</v>
      </c>
      <c r="J56" s="272">
        <f t="shared" si="19"/>
        <v>0</v>
      </c>
      <c r="K56" s="272">
        <f>IF(ISTEXT($M$4),"",SUM(I$50:I56))</f>
        <v>0</v>
      </c>
      <c r="L56" s="272">
        <f>IF(ISTEXT($M$4),"",SUM(J$50:J56))</f>
        <v>0</v>
      </c>
      <c r="M56" s="271">
        <f t="shared" si="18"/>
        <v>0</v>
      </c>
      <c r="N56" s="291" t="e">
        <f>IF(C56='Operating Assumptions'!$C$48,"Construction Finish","")</f>
        <v>#N/A</v>
      </c>
      <c r="O56" s="291"/>
      <c r="P56" s="291"/>
      <c r="Q56" s="291"/>
      <c r="R56" s="291"/>
      <c r="S56" s="291"/>
      <c r="T56" s="291"/>
      <c r="U56" s="291"/>
      <c r="V56" s="292"/>
      <c r="W56" s="292"/>
      <c r="X56" s="292"/>
      <c r="Y56" s="291"/>
      <c r="Z56" s="279"/>
      <c r="AA56" s="279"/>
      <c r="AB56" s="279"/>
    </row>
    <row r="57" spans="1:28" s="278" customFormat="1" ht="11.65" customHeight="1" x14ac:dyDescent="0.25">
      <c r="A57" s="299"/>
      <c r="B57" s="270" t="e">
        <f>IF(AND($C57&gt;='TIF Loan Amortization'!$H$480,$C57&lt;='TIF Loan Amortization'!$I$480),'TIF Loan Amortization'!$G$480,IF(AND($C57&gt;='TIF Loan Amortization'!$H$481,$C57&lt;='TIF Loan Amortization'!I$481),'TIF Loan Amortization'!$G$481,IF(AND($C57&gt;='TIF Loan Amortization'!$H$482,$C57&lt;='TIF Loan Amortization'!I$482),'TIF Loan Amortization'!$G$482,IF(AND($C57&gt;='TIF Loan Amortization'!$H$483,$C57&lt;='TIF Loan Amortization'!I$483),'TIF Loan Amortization'!$G$483,IF(AND($C57&gt;='TIF Loan Amortization'!$H$484,$C57&lt;='TIF Loan Amortization'!I$484),'TIF Loan Amortization'!$G$484,IF(AND($C57&gt;='TIF Loan Amortization'!$H$485,$C57&lt;='TIF Loan Amortization'!I$485),'TIF Loan Amortization'!$G$485,IF(AND($C57&gt;='TIF Loan Amortization'!$H$486,$C57&lt;='TIF Loan Amortization'!I$486),'TIF Loan Amortization'!$G$486,IF(AND($C57&gt;='TIF Loan Amortization'!$H$487,$C57&lt;='TIF Loan Amortization'!I$487),'TIF Loan Amortization'!$G$487,IF(AND($C57&gt;='TIF Loan Amortization'!$H$488,$C57&lt;='TIF Loan Amortization'!I$488),'TIF Loan Amortization'!$G$488,IF(AND($C57&gt;='TIF Loan Amortization'!$H$489,$C57&lt;='TIF Loan Amortization'!I$489),'TIF Loan Amortization'!$G$489,IF(AND($C57&gt;='TIF Loan Amortization'!$H$490,$C57&lt;='TIF Loan Amortization'!I$490),'TIF Loan Amortization'!$G$490,IF(AND($C57&gt;='TIF Loan Amortization'!$H$491,$C57&lt;='TIF Loan Amortization'!I$491),'TIF Loan Amortization'!$G$491,IF(AND($C57&gt;='TIF Loan Amortization'!$H$492,$C57&lt;='TIF Loan Amortization'!I$492),'TIF Loan Amortization'!$G$492,IF(AND($C57&gt;='TIF Loan Amortization'!$H$493,$C57&lt;='TIF Loan Amortization'!I$493),'TIF Loan Amortization'!$G$493,IF(AND($C57&gt;='TIF Loan Amortization'!$H$494,$C57&lt;='TIF Loan Amortization'!I$494),'TIF Loan Amortization'!$G$494,IF(AND($C57&gt;='TIF Loan Amortization'!$H$495,$C57&lt;='TIF Loan Amortization'!I$495),'TIF Loan Amortization'!$G$495,IF(AND($C57&gt;='TIF Loan Amortization'!$H$496,$C57&lt;='TIF Loan Amortization'!I$496),'TIF Loan Amortization'!$G$496,IF(AND($C57&gt;='TIF Loan Amortization'!$H$497,$C57&lt;='TIF Loan Amortization'!I$497),'TIF Loan Amortization'!$G$497,IF(AND($C57&gt;='TIF Loan Amortization'!$H$498,$C57&lt;='TIF Loan Amortization'!I$498),'TIF Loan Amortization'!$G$498,IF(AND($C57&gt;='TIF Loan Amortization'!$H$499,$C57&lt;='TIF Loan Amortization'!I$499),'TIF Loan Amortization'!$G$499,IF(AND($C57&gt;='TIF Loan Amortization'!$H$500,$C57&lt;='TIF Loan Amortization'!I$500),'TIF Loan Amortization'!$G$500,IF(AND($C57&gt;='TIF Loan Amortization'!$H$501,$C57&lt;='TIF Loan Amortization'!I$501),'TIF Loan Amortization'!$G$501,IF(AND($C57&gt;='TIF Loan Amortization'!$H$502,$C57&lt;='TIF Loan Amortization'!I$502),'TIF Loan Amortization'!$G$502,IF(AND($C57&gt;='TIF Loan Amortization'!$H$503,$C57&lt;='TIF Loan Amortization'!I$503),'TIF Loan Amortization'!$G$503,IF(AND($C57&gt;='TIF Loan Amortization'!$H$504,$C57&lt;='TIF Loan Amortization'!I$504),'TIF Loan Amortization'!$G$504,IF(AND($C57&gt;='TIF Loan Amortization'!$H$505,$C57&lt;='TIF Loan Amortization'!I$505),'TIF Loan Amortization'!$G$505,IF(AND($C57&gt;='TIF Loan Amortization'!$H$506,$C57&lt;='TIF Loan Amortization'!I$506),'TIF Loan Amortization'!$G$506,IF(AND($C57&gt;='TIF Loan Amortization'!$H$507,$C57&lt;='TIF Loan Amortization'!I$507),'TIF Loan Amortization'!$G$507,IF(AND($C57&gt;='TIF Loan Amortization'!$H$508,$C57&lt;='TIF Loan Amortization'!I$508),'TIF Loan Amortization'!$G$508,IF(AND($C57&gt;='TIF Loan Amortization'!$H$509,$C57&lt;='TIF Loan Amortization'!I$509),'TIF Loan Amortization'!$G$509,IF(AND($C57&gt;='TIF Loan Amortization'!$H$510,$C57&lt;='TIF Loan Amortization'!I$510),'TIF Loan Amortization'!$G$510,IF(AND($C57&gt;='TIF Loan Amortization'!$H$511,$C57&lt;='TIF Loan Amortization'!I$511),'TIF Loan Amortization'!$G$511,IF(AND($C57&gt;='TIF Loan Amortization'!$H$512,$C57&lt;='TIF Loan Amortization'!I$512),'TIF Loan Amortization'!$G$512,IF(AND($C57&gt;='TIF Loan Amortization'!$H$513,$C57&lt;='TIF Loan Amortization'!I$513),'TIF Loan Amortization'!$G$513,IF(AND($C57&gt;='TIF Loan Amortization'!$H$514,$C57&lt;='TIF Loan Amortization'!I$514),'TIF Loan Amortization'!$G$514,IF(AND($C57&gt;='TIF Loan Amortization'!$H$515,$C57&lt;='TIF Loan Amortization'!I$515),'TIF Loan Amortization'!$G$515,IF(AND($C57&gt;='TIF Loan Amortization'!$H$516,$C57&lt;='TIF Loan Amortization'!I$516),'TIF Loan Amortization'!$G$516,IF(AND($C57&gt;='TIF Loan Amortization'!$H$517,$C57&lt;='TIF Loan Amortization'!I$517),'TIF Loan Amortization'!$G$517,IF(AND($C57&gt;='TIF Loan Amortization'!$H$518,$C57&lt;='TIF Loan Amortization'!I$518),'TIF Loan Amortization'!$G$518,IF(AND($C57&gt;='TIF Loan Amortization'!$H$519,$C57&lt;='TIF Loan Amortization'!I$519),'TIF Loan Amortization'!$G$519))))))))))))))))))))))))))))))))))))))))</f>
        <v>#N/A</v>
      </c>
      <c r="C57" s="269" t="e">
        <f t="shared" si="16"/>
        <v>#N/A</v>
      </c>
      <c r="D57" s="281" t="str">
        <f>IF(AG429=1,$H$10+1,"")</f>
        <v/>
      </c>
      <c r="E57" s="274">
        <v>7</v>
      </c>
      <c r="F57" s="300" t="str">
        <f>VLOOKUP(AG429,AE422:AF433,2)</f>
        <v>Oct</v>
      </c>
      <c r="G57" s="272">
        <f t="shared" si="17"/>
        <v>0</v>
      </c>
      <c r="H57" s="272">
        <f t="shared" si="20"/>
        <v>0</v>
      </c>
      <c r="I57" s="272">
        <f t="shared" si="21"/>
        <v>0</v>
      </c>
      <c r="J57" s="272">
        <f t="shared" si="19"/>
        <v>0</v>
      </c>
      <c r="K57" s="272">
        <f>IF(ISTEXT($M$4),"",SUM(I$50:I57))</f>
        <v>0</v>
      </c>
      <c r="L57" s="272">
        <f>IF(ISTEXT($M$4),"",SUM(J$50:J57))</f>
        <v>0</v>
      </c>
      <c r="M57" s="271">
        <f t="shared" si="18"/>
        <v>0</v>
      </c>
      <c r="N57" s="291" t="e">
        <f>IF(C57='Operating Assumptions'!$C$48,"Construction Finish","")</f>
        <v>#N/A</v>
      </c>
      <c r="O57" s="291"/>
      <c r="P57" s="291"/>
      <c r="Q57" s="291"/>
      <c r="R57" s="291"/>
      <c r="S57" s="291"/>
      <c r="T57" s="291"/>
      <c r="U57" s="291"/>
      <c r="V57" s="292"/>
      <c r="W57" s="292"/>
      <c r="X57" s="292"/>
      <c r="Y57" s="291"/>
      <c r="Z57" s="279"/>
      <c r="AA57" s="279"/>
      <c r="AB57" s="279"/>
    </row>
    <row r="58" spans="1:28" s="278" customFormat="1" ht="11.65" customHeight="1" x14ac:dyDescent="0.25">
      <c r="A58" s="299"/>
      <c r="B58" s="270" t="e">
        <f>IF(AND($C58&gt;='TIF Loan Amortization'!$H$480,$C58&lt;='TIF Loan Amortization'!$I$480),'TIF Loan Amortization'!$G$480,IF(AND($C58&gt;='TIF Loan Amortization'!$H$481,$C58&lt;='TIF Loan Amortization'!I$481),'TIF Loan Amortization'!$G$481,IF(AND($C58&gt;='TIF Loan Amortization'!$H$482,$C58&lt;='TIF Loan Amortization'!I$482),'TIF Loan Amortization'!$G$482,IF(AND($C58&gt;='TIF Loan Amortization'!$H$483,$C58&lt;='TIF Loan Amortization'!I$483),'TIF Loan Amortization'!$G$483,IF(AND($C58&gt;='TIF Loan Amortization'!$H$484,$C58&lt;='TIF Loan Amortization'!I$484),'TIF Loan Amortization'!$G$484,IF(AND($C58&gt;='TIF Loan Amortization'!$H$485,$C58&lt;='TIF Loan Amortization'!I$485),'TIF Loan Amortization'!$G$485,IF(AND($C58&gt;='TIF Loan Amortization'!$H$486,$C58&lt;='TIF Loan Amortization'!I$486),'TIF Loan Amortization'!$G$486,IF(AND($C58&gt;='TIF Loan Amortization'!$H$487,$C58&lt;='TIF Loan Amortization'!I$487),'TIF Loan Amortization'!$G$487,IF(AND($C58&gt;='TIF Loan Amortization'!$H$488,$C58&lt;='TIF Loan Amortization'!I$488),'TIF Loan Amortization'!$G$488,IF(AND($C58&gt;='TIF Loan Amortization'!$H$489,$C58&lt;='TIF Loan Amortization'!I$489),'TIF Loan Amortization'!$G$489,IF(AND($C58&gt;='TIF Loan Amortization'!$H$490,$C58&lt;='TIF Loan Amortization'!I$490),'TIF Loan Amortization'!$G$490,IF(AND($C58&gt;='TIF Loan Amortization'!$H$491,$C58&lt;='TIF Loan Amortization'!I$491),'TIF Loan Amortization'!$G$491,IF(AND($C58&gt;='TIF Loan Amortization'!$H$492,$C58&lt;='TIF Loan Amortization'!I$492),'TIF Loan Amortization'!$G$492,IF(AND($C58&gt;='TIF Loan Amortization'!$H$493,$C58&lt;='TIF Loan Amortization'!I$493),'TIF Loan Amortization'!$G$493,IF(AND($C58&gt;='TIF Loan Amortization'!$H$494,$C58&lt;='TIF Loan Amortization'!I$494),'TIF Loan Amortization'!$G$494,IF(AND($C58&gt;='TIF Loan Amortization'!$H$495,$C58&lt;='TIF Loan Amortization'!I$495),'TIF Loan Amortization'!$G$495,IF(AND($C58&gt;='TIF Loan Amortization'!$H$496,$C58&lt;='TIF Loan Amortization'!I$496),'TIF Loan Amortization'!$G$496,IF(AND($C58&gt;='TIF Loan Amortization'!$H$497,$C58&lt;='TIF Loan Amortization'!I$497),'TIF Loan Amortization'!$G$497,IF(AND($C58&gt;='TIF Loan Amortization'!$H$498,$C58&lt;='TIF Loan Amortization'!I$498),'TIF Loan Amortization'!$G$498,IF(AND($C58&gt;='TIF Loan Amortization'!$H$499,$C58&lt;='TIF Loan Amortization'!I$499),'TIF Loan Amortization'!$G$499,IF(AND($C58&gt;='TIF Loan Amortization'!$H$500,$C58&lt;='TIF Loan Amortization'!I$500),'TIF Loan Amortization'!$G$500,IF(AND($C58&gt;='TIF Loan Amortization'!$H$501,$C58&lt;='TIF Loan Amortization'!I$501),'TIF Loan Amortization'!$G$501,IF(AND($C58&gt;='TIF Loan Amortization'!$H$502,$C58&lt;='TIF Loan Amortization'!I$502),'TIF Loan Amortization'!$G$502,IF(AND($C58&gt;='TIF Loan Amortization'!$H$503,$C58&lt;='TIF Loan Amortization'!I$503),'TIF Loan Amortization'!$G$503,IF(AND($C58&gt;='TIF Loan Amortization'!$H$504,$C58&lt;='TIF Loan Amortization'!I$504),'TIF Loan Amortization'!$G$504,IF(AND($C58&gt;='TIF Loan Amortization'!$H$505,$C58&lt;='TIF Loan Amortization'!I$505),'TIF Loan Amortization'!$G$505,IF(AND($C58&gt;='TIF Loan Amortization'!$H$506,$C58&lt;='TIF Loan Amortization'!I$506),'TIF Loan Amortization'!$G$506,IF(AND($C58&gt;='TIF Loan Amortization'!$H$507,$C58&lt;='TIF Loan Amortization'!I$507),'TIF Loan Amortization'!$G$507,IF(AND($C58&gt;='TIF Loan Amortization'!$H$508,$C58&lt;='TIF Loan Amortization'!I$508),'TIF Loan Amortization'!$G$508,IF(AND($C58&gt;='TIF Loan Amortization'!$H$509,$C58&lt;='TIF Loan Amortization'!I$509),'TIF Loan Amortization'!$G$509,IF(AND($C58&gt;='TIF Loan Amortization'!$H$510,$C58&lt;='TIF Loan Amortization'!I$510),'TIF Loan Amortization'!$G$510,IF(AND($C58&gt;='TIF Loan Amortization'!$H$511,$C58&lt;='TIF Loan Amortization'!I$511),'TIF Loan Amortization'!$G$511,IF(AND($C58&gt;='TIF Loan Amortization'!$H$512,$C58&lt;='TIF Loan Amortization'!I$512),'TIF Loan Amortization'!$G$512,IF(AND($C58&gt;='TIF Loan Amortization'!$H$513,$C58&lt;='TIF Loan Amortization'!I$513),'TIF Loan Amortization'!$G$513,IF(AND($C58&gt;='TIF Loan Amortization'!$H$514,$C58&lt;='TIF Loan Amortization'!I$514),'TIF Loan Amortization'!$G$514,IF(AND($C58&gt;='TIF Loan Amortization'!$H$515,$C58&lt;='TIF Loan Amortization'!I$515),'TIF Loan Amortization'!$G$515,IF(AND($C58&gt;='TIF Loan Amortization'!$H$516,$C58&lt;='TIF Loan Amortization'!I$516),'TIF Loan Amortization'!$G$516,IF(AND($C58&gt;='TIF Loan Amortization'!$H$517,$C58&lt;='TIF Loan Amortization'!I$517),'TIF Loan Amortization'!$G$517,IF(AND($C58&gt;='TIF Loan Amortization'!$H$518,$C58&lt;='TIF Loan Amortization'!I$518),'TIF Loan Amortization'!$G$518,IF(AND($C58&gt;='TIF Loan Amortization'!$H$519,$C58&lt;='TIF Loan Amortization'!I$519),'TIF Loan Amortization'!$G$519))))))))))))))))))))))))))))))))))))))))</f>
        <v>#N/A</v>
      </c>
      <c r="C58" s="269" t="e">
        <f t="shared" si="16"/>
        <v>#N/A</v>
      </c>
      <c r="D58" s="281" t="str">
        <f>IF(AG430=1,$H$10+1,"")</f>
        <v/>
      </c>
      <c r="E58" s="274">
        <v>8</v>
      </c>
      <c r="F58" s="300" t="str">
        <f>VLOOKUP(AG430,AE422:AF433,2)</f>
        <v>Nov</v>
      </c>
      <c r="G58" s="272">
        <f t="shared" si="17"/>
        <v>0</v>
      </c>
      <c r="H58" s="272">
        <f t="shared" si="20"/>
        <v>0</v>
      </c>
      <c r="I58" s="272">
        <f t="shared" si="21"/>
        <v>0</v>
      </c>
      <c r="J58" s="272">
        <f t="shared" si="19"/>
        <v>0</v>
      </c>
      <c r="K58" s="272">
        <f>IF(ISTEXT($M$4),"",SUM(I$50:I58))</f>
        <v>0</v>
      </c>
      <c r="L58" s="272">
        <f>IF(ISTEXT($M$4),"",SUM(J$50:J58))</f>
        <v>0</v>
      </c>
      <c r="M58" s="271">
        <f t="shared" si="18"/>
        <v>0</v>
      </c>
      <c r="N58" s="291" t="e">
        <f>IF(C58='Operating Assumptions'!$C$48,"Construction Finish","")</f>
        <v>#N/A</v>
      </c>
      <c r="O58" s="291"/>
      <c r="P58" s="291"/>
      <c r="Q58" s="291"/>
      <c r="R58" s="291"/>
      <c r="S58" s="291"/>
      <c r="T58" s="291"/>
      <c r="U58" s="291"/>
      <c r="V58" s="292"/>
      <c r="W58" s="292"/>
      <c r="X58" s="292"/>
      <c r="Y58" s="291"/>
      <c r="Z58" s="279"/>
      <c r="AA58" s="279"/>
      <c r="AB58" s="279"/>
    </row>
    <row r="59" spans="1:28" s="278" customFormat="1" ht="11.65" customHeight="1" x14ac:dyDescent="0.25">
      <c r="A59" s="299"/>
      <c r="B59" s="270" t="e">
        <f>IF(AND($C59&gt;='TIF Loan Amortization'!$H$480,$C59&lt;='TIF Loan Amortization'!$I$480),'TIF Loan Amortization'!$G$480,IF(AND($C59&gt;='TIF Loan Amortization'!$H$481,$C59&lt;='TIF Loan Amortization'!I$481),'TIF Loan Amortization'!$G$481,IF(AND($C59&gt;='TIF Loan Amortization'!$H$482,$C59&lt;='TIF Loan Amortization'!I$482),'TIF Loan Amortization'!$G$482,IF(AND($C59&gt;='TIF Loan Amortization'!$H$483,$C59&lt;='TIF Loan Amortization'!I$483),'TIF Loan Amortization'!$G$483,IF(AND($C59&gt;='TIF Loan Amortization'!$H$484,$C59&lt;='TIF Loan Amortization'!I$484),'TIF Loan Amortization'!$G$484,IF(AND($C59&gt;='TIF Loan Amortization'!$H$485,$C59&lt;='TIF Loan Amortization'!I$485),'TIF Loan Amortization'!$G$485,IF(AND($C59&gt;='TIF Loan Amortization'!$H$486,$C59&lt;='TIF Loan Amortization'!I$486),'TIF Loan Amortization'!$G$486,IF(AND($C59&gt;='TIF Loan Amortization'!$H$487,$C59&lt;='TIF Loan Amortization'!I$487),'TIF Loan Amortization'!$G$487,IF(AND($C59&gt;='TIF Loan Amortization'!$H$488,$C59&lt;='TIF Loan Amortization'!I$488),'TIF Loan Amortization'!$G$488,IF(AND($C59&gt;='TIF Loan Amortization'!$H$489,$C59&lt;='TIF Loan Amortization'!I$489),'TIF Loan Amortization'!$G$489,IF(AND($C59&gt;='TIF Loan Amortization'!$H$490,$C59&lt;='TIF Loan Amortization'!I$490),'TIF Loan Amortization'!$G$490,IF(AND($C59&gt;='TIF Loan Amortization'!$H$491,$C59&lt;='TIF Loan Amortization'!I$491),'TIF Loan Amortization'!$G$491,IF(AND($C59&gt;='TIF Loan Amortization'!$H$492,$C59&lt;='TIF Loan Amortization'!I$492),'TIF Loan Amortization'!$G$492,IF(AND($C59&gt;='TIF Loan Amortization'!$H$493,$C59&lt;='TIF Loan Amortization'!I$493),'TIF Loan Amortization'!$G$493,IF(AND($C59&gt;='TIF Loan Amortization'!$H$494,$C59&lt;='TIF Loan Amortization'!I$494),'TIF Loan Amortization'!$G$494,IF(AND($C59&gt;='TIF Loan Amortization'!$H$495,$C59&lt;='TIF Loan Amortization'!I$495),'TIF Loan Amortization'!$G$495,IF(AND($C59&gt;='TIF Loan Amortization'!$H$496,$C59&lt;='TIF Loan Amortization'!I$496),'TIF Loan Amortization'!$G$496,IF(AND($C59&gt;='TIF Loan Amortization'!$H$497,$C59&lt;='TIF Loan Amortization'!I$497),'TIF Loan Amortization'!$G$497,IF(AND($C59&gt;='TIF Loan Amortization'!$H$498,$C59&lt;='TIF Loan Amortization'!I$498),'TIF Loan Amortization'!$G$498,IF(AND($C59&gt;='TIF Loan Amortization'!$H$499,$C59&lt;='TIF Loan Amortization'!I$499),'TIF Loan Amortization'!$G$499,IF(AND($C59&gt;='TIF Loan Amortization'!$H$500,$C59&lt;='TIF Loan Amortization'!I$500),'TIF Loan Amortization'!$G$500,IF(AND($C59&gt;='TIF Loan Amortization'!$H$501,$C59&lt;='TIF Loan Amortization'!I$501),'TIF Loan Amortization'!$G$501,IF(AND($C59&gt;='TIF Loan Amortization'!$H$502,$C59&lt;='TIF Loan Amortization'!I$502),'TIF Loan Amortization'!$G$502,IF(AND($C59&gt;='TIF Loan Amortization'!$H$503,$C59&lt;='TIF Loan Amortization'!I$503),'TIF Loan Amortization'!$G$503,IF(AND($C59&gt;='TIF Loan Amortization'!$H$504,$C59&lt;='TIF Loan Amortization'!I$504),'TIF Loan Amortization'!$G$504,IF(AND($C59&gt;='TIF Loan Amortization'!$H$505,$C59&lt;='TIF Loan Amortization'!I$505),'TIF Loan Amortization'!$G$505,IF(AND($C59&gt;='TIF Loan Amortization'!$H$506,$C59&lt;='TIF Loan Amortization'!I$506),'TIF Loan Amortization'!$G$506,IF(AND($C59&gt;='TIF Loan Amortization'!$H$507,$C59&lt;='TIF Loan Amortization'!I$507),'TIF Loan Amortization'!$G$507,IF(AND($C59&gt;='TIF Loan Amortization'!$H$508,$C59&lt;='TIF Loan Amortization'!I$508),'TIF Loan Amortization'!$G$508,IF(AND($C59&gt;='TIF Loan Amortization'!$H$509,$C59&lt;='TIF Loan Amortization'!I$509),'TIF Loan Amortization'!$G$509,IF(AND($C59&gt;='TIF Loan Amortization'!$H$510,$C59&lt;='TIF Loan Amortization'!I$510),'TIF Loan Amortization'!$G$510,IF(AND($C59&gt;='TIF Loan Amortization'!$H$511,$C59&lt;='TIF Loan Amortization'!I$511),'TIF Loan Amortization'!$G$511,IF(AND($C59&gt;='TIF Loan Amortization'!$H$512,$C59&lt;='TIF Loan Amortization'!I$512),'TIF Loan Amortization'!$G$512,IF(AND($C59&gt;='TIF Loan Amortization'!$H$513,$C59&lt;='TIF Loan Amortization'!I$513),'TIF Loan Amortization'!$G$513,IF(AND($C59&gt;='TIF Loan Amortization'!$H$514,$C59&lt;='TIF Loan Amortization'!I$514),'TIF Loan Amortization'!$G$514,IF(AND($C59&gt;='TIF Loan Amortization'!$H$515,$C59&lt;='TIF Loan Amortization'!I$515),'TIF Loan Amortization'!$G$515,IF(AND($C59&gt;='TIF Loan Amortization'!$H$516,$C59&lt;='TIF Loan Amortization'!I$516),'TIF Loan Amortization'!$G$516,IF(AND($C59&gt;='TIF Loan Amortization'!$H$517,$C59&lt;='TIF Loan Amortization'!I$517),'TIF Loan Amortization'!$G$517,IF(AND($C59&gt;='TIF Loan Amortization'!$H$518,$C59&lt;='TIF Loan Amortization'!I$518),'TIF Loan Amortization'!$G$518,IF(AND($C59&gt;='TIF Loan Amortization'!$H$519,$C59&lt;='TIF Loan Amortization'!I$519),'TIF Loan Amortization'!$G$519))))))))))))))))))))))))))))))))))))))))</f>
        <v>#N/A</v>
      </c>
      <c r="C59" s="269" t="e">
        <f t="shared" si="16"/>
        <v>#N/A</v>
      </c>
      <c r="D59" s="281" t="str">
        <f>IF(AG431=1,$H$10+1,"")</f>
        <v/>
      </c>
      <c r="E59" s="274">
        <v>9</v>
      </c>
      <c r="F59" s="301" t="str">
        <f>VLOOKUP(AG431,AE422:AF433,2)</f>
        <v>Dec</v>
      </c>
      <c r="G59" s="272">
        <f t="shared" si="17"/>
        <v>0</v>
      </c>
      <c r="H59" s="272">
        <f t="shared" si="20"/>
        <v>0</v>
      </c>
      <c r="I59" s="272">
        <f t="shared" si="21"/>
        <v>0</v>
      </c>
      <c r="J59" s="272">
        <f t="shared" si="19"/>
        <v>0</v>
      </c>
      <c r="K59" s="272">
        <f>IF(ISTEXT($M$4),"",SUM(I$50:I59))</f>
        <v>0</v>
      </c>
      <c r="L59" s="272">
        <f>IF(ISTEXT($M$4),"",SUM(J$50:J59))</f>
        <v>0</v>
      </c>
      <c r="M59" s="271">
        <f t="shared" si="18"/>
        <v>0</v>
      </c>
      <c r="N59" s="291" t="e">
        <f>IF(C59='Operating Assumptions'!$C$48,"Construction Finish","")</f>
        <v>#N/A</v>
      </c>
      <c r="O59" s="291"/>
      <c r="P59" s="291"/>
      <c r="Q59" s="291"/>
      <c r="R59" s="291"/>
      <c r="S59" s="291"/>
      <c r="T59" s="291"/>
      <c r="U59" s="291"/>
      <c r="V59" s="292"/>
      <c r="W59" s="292"/>
      <c r="X59" s="292"/>
      <c r="Y59" s="291"/>
      <c r="Z59" s="279"/>
      <c r="AA59" s="279"/>
      <c r="AB59" s="279"/>
    </row>
    <row r="60" spans="1:28" s="278" customFormat="1" ht="11.65" customHeight="1" x14ac:dyDescent="0.25">
      <c r="A60" s="299"/>
      <c r="B60" s="270" t="e">
        <f>IF(AND($C60&gt;='TIF Loan Amortization'!$H$480,$C60&lt;='TIF Loan Amortization'!$I$480),'TIF Loan Amortization'!$G$480,IF(AND($C60&gt;='TIF Loan Amortization'!$H$481,$C60&lt;='TIF Loan Amortization'!I$481),'TIF Loan Amortization'!$G$481,IF(AND($C60&gt;='TIF Loan Amortization'!$H$482,$C60&lt;='TIF Loan Amortization'!I$482),'TIF Loan Amortization'!$G$482,IF(AND($C60&gt;='TIF Loan Amortization'!$H$483,$C60&lt;='TIF Loan Amortization'!I$483),'TIF Loan Amortization'!$G$483,IF(AND($C60&gt;='TIF Loan Amortization'!$H$484,$C60&lt;='TIF Loan Amortization'!I$484),'TIF Loan Amortization'!$G$484,IF(AND($C60&gt;='TIF Loan Amortization'!$H$485,$C60&lt;='TIF Loan Amortization'!I$485),'TIF Loan Amortization'!$G$485,IF(AND($C60&gt;='TIF Loan Amortization'!$H$486,$C60&lt;='TIF Loan Amortization'!I$486),'TIF Loan Amortization'!$G$486,IF(AND($C60&gt;='TIF Loan Amortization'!$H$487,$C60&lt;='TIF Loan Amortization'!I$487),'TIF Loan Amortization'!$G$487,IF(AND($C60&gt;='TIF Loan Amortization'!$H$488,$C60&lt;='TIF Loan Amortization'!I$488),'TIF Loan Amortization'!$G$488,IF(AND($C60&gt;='TIF Loan Amortization'!$H$489,$C60&lt;='TIF Loan Amortization'!I$489),'TIF Loan Amortization'!$G$489,IF(AND($C60&gt;='TIF Loan Amortization'!$H$490,$C60&lt;='TIF Loan Amortization'!I$490),'TIF Loan Amortization'!$G$490,IF(AND($C60&gt;='TIF Loan Amortization'!$H$491,$C60&lt;='TIF Loan Amortization'!I$491),'TIF Loan Amortization'!$G$491,IF(AND($C60&gt;='TIF Loan Amortization'!$H$492,$C60&lt;='TIF Loan Amortization'!I$492),'TIF Loan Amortization'!$G$492,IF(AND($C60&gt;='TIF Loan Amortization'!$H$493,$C60&lt;='TIF Loan Amortization'!I$493),'TIF Loan Amortization'!$G$493,IF(AND($C60&gt;='TIF Loan Amortization'!$H$494,$C60&lt;='TIF Loan Amortization'!I$494),'TIF Loan Amortization'!$G$494,IF(AND($C60&gt;='TIF Loan Amortization'!$H$495,$C60&lt;='TIF Loan Amortization'!I$495),'TIF Loan Amortization'!$G$495,IF(AND($C60&gt;='TIF Loan Amortization'!$H$496,$C60&lt;='TIF Loan Amortization'!I$496),'TIF Loan Amortization'!$G$496,IF(AND($C60&gt;='TIF Loan Amortization'!$H$497,$C60&lt;='TIF Loan Amortization'!I$497),'TIF Loan Amortization'!$G$497,IF(AND($C60&gt;='TIF Loan Amortization'!$H$498,$C60&lt;='TIF Loan Amortization'!I$498),'TIF Loan Amortization'!$G$498,IF(AND($C60&gt;='TIF Loan Amortization'!$H$499,$C60&lt;='TIF Loan Amortization'!I$499),'TIF Loan Amortization'!$G$499,IF(AND($C60&gt;='TIF Loan Amortization'!$H$500,$C60&lt;='TIF Loan Amortization'!I$500),'TIF Loan Amortization'!$G$500,IF(AND($C60&gt;='TIF Loan Amortization'!$H$501,$C60&lt;='TIF Loan Amortization'!I$501),'TIF Loan Amortization'!$G$501,IF(AND($C60&gt;='TIF Loan Amortization'!$H$502,$C60&lt;='TIF Loan Amortization'!I$502),'TIF Loan Amortization'!$G$502,IF(AND($C60&gt;='TIF Loan Amortization'!$H$503,$C60&lt;='TIF Loan Amortization'!I$503),'TIF Loan Amortization'!$G$503,IF(AND($C60&gt;='TIF Loan Amortization'!$H$504,$C60&lt;='TIF Loan Amortization'!I$504),'TIF Loan Amortization'!$G$504,IF(AND($C60&gt;='TIF Loan Amortization'!$H$505,$C60&lt;='TIF Loan Amortization'!I$505),'TIF Loan Amortization'!$G$505,IF(AND($C60&gt;='TIF Loan Amortization'!$H$506,$C60&lt;='TIF Loan Amortization'!I$506),'TIF Loan Amortization'!$G$506,IF(AND($C60&gt;='TIF Loan Amortization'!$H$507,$C60&lt;='TIF Loan Amortization'!I$507),'TIF Loan Amortization'!$G$507,IF(AND($C60&gt;='TIF Loan Amortization'!$H$508,$C60&lt;='TIF Loan Amortization'!I$508),'TIF Loan Amortization'!$G$508,IF(AND($C60&gt;='TIF Loan Amortization'!$H$509,$C60&lt;='TIF Loan Amortization'!I$509),'TIF Loan Amortization'!$G$509,IF(AND($C60&gt;='TIF Loan Amortization'!$H$510,$C60&lt;='TIF Loan Amortization'!I$510),'TIF Loan Amortization'!$G$510,IF(AND($C60&gt;='TIF Loan Amortization'!$H$511,$C60&lt;='TIF Loan Amortization'!I$511),'TIF Loan Amortization'!$G$511,IF(AND($C60&gt;='TIF Loan Amortization'!$H$512,$C60&lt;='TIF Loan Amortization'!I$512),'TIF Loan Amortization'!$G$512,IF(AND($C60&gt;='TIF Loan Amortization'!$H$513,$C60&lt;='TIF Loan Amortization'!I$513),'TIF Loan Amortization'!$G$513,IF(AND($C60&gt;='TIF Loan Amortization'!$H$514,$C60&lt;='TIF Loan Amortization'!I$514),'TIF Loan Amortization'!$G$514,IF(AND($C60&gt;='TIF Loan Amortization'!$H$515,$C60&lt;='TIF Loan Amortization'!I$515),'TIF Loan Amortization'!$G$515,IF(AND($C60&gt;='TIF Loan Amortization'!$H$516,$C60&lt;='TIF Loan Amortization'!I$516),'TIF Loan Amortization'!$G$516,IF(AND($C60&gt;='TIF Loan Amortization'!$H$517,$C60&lt;='TIF Loan Amortization'!I$517),'TIF Loan Amortization'!$G$517,IF(AND($C60&gt;='TIF Loan Amortization'!$H$518,$C60&lt;='TIF Loan Amortization'!I$518),'TIF Loan Amortization'!$G$518,IF(AND($C60&gt;='TIF Loan Amortization'!$H$519,$C60&lt;='TIF Loan Amortization'!I$519),'TIF Loan Amortization'!$G$519))))))))))))))))))))))))))))))))))))))))</f>
        <v>#N/A</v>
      </c>
      <c r="C60" s="269" t="e">
        <f t="shared" si="16"/>
        <v>#N/A</v>
      </c>
      <c r="D60" s="281">
        <f>IF(AG432=1,$H$10+1,"")</f>
        <v>2026</v>
      </c>
      <c r="E60" s="274">
        <v>10</v>
      </c>
      <c r="F60" s="300" t="str">
        <f>VLOOKUP(AG432,AE422:AF433,2)</f>
        <v>Jan</v>
      </c>
      <c r="G60" s="272">
        <f t="shared" si="17"/>
        <v>0</v>
      </c>
      <c r="H60" s="272">
        <f t="shared" si="20"/>
        <v>0</v>
      </c>
      <c r="I60" s="272">
        <f t="shared" si="21"/>
        <v>0</v>
      </c>
      <c r="J60" s="272">
        <f t="shared" si="19"/>
        <v>0</v>
      </c>
      <c r="K60" s="272">
        <f>IF(ISTEXT($M$4),"",SUM(I$50:I60))</f>
        <v>0</v>
      </c>
      <c r="L60" s="272">
        <f>IF(ISTEXT($M$4),"",SUM(J$50:J60))</f>
        <v>0</v>
      </c>
      <c r="M60" s="271">
        <f t="shared" si="18"/>
        <v>0</v>
      </c>
      <c r="N60" s="291" t="e">
        <f>IF(C60='Operating Assumptions'!$C$48,"Construction Finish","")</f>
        <v>#N/A</v>
      </c>
      <c r="O60" s="291"/>
      <c r="P60" s="291"/>
      <c r="Q60" s="291"/>
      <c r="R60" s="291"/>
      <c r="S60" s="291"/>
      <c r="T60" s="291"/>
      <c r="U60" s="291"/>
      <c r="V60" s="292"/>
      <c r="W60" s="292"/>
      <c r="X60" s="292"/>
      <c r="Y60" s="291"/>
      <c r="Z60" s="279"/>
      <c r="AA60" s="279"/>
      <c r="AB60" s="279"/>
    </row>
    <row r="61" spans="1:28" s="278" customFormat="1" ht="11.65" customHeight="1" x14ac:dyDescent="0.25">
      <c r="A61" s="299"/>
      <c r="B61" s="270" t="e">
        <f>IF(AND($C61&gt;='TIF Loan Amortization'!$H$480,$C61&lt;='TIF Loan Amortization'!$I$480),'TIF Loan Amortization'!$G$480,IF(AND($C61&gt;='TIF Loan Amortization'!$H$481,$C61&lt;='TIF Loan Amortization'!I$481),'TIF Loan Amortization'!$G$481,IF(AND($C61&gt;='TIF Loan Amortization'!$H$482,$C61&lt;='TIF Loan Amortization'!I$482),'TIF Loan Amortization'!$G$482,IF(AND($C61&gt;='TIF Loan Amortization'!$H$483,$C61&lt;='TIF Loan Amortization'!I$483),'TIF Loan Amortization'!$G$483,IF(AND($C61&gt;='TIF Loan Amortization'!$H$484,$C61&lt;='TIF Loan Amortization'!I$484),'TIF Loan Amortization'!$G$484,IF(AND($C61&gt;='TIF Loan Amortization'!$H$485,$C61&lt;='TIF Loan Amortization'!I$485),'TIF Loan Amortization'!$G$485,IF(AND($C61&gt;='TIF Loan Amortization'!$H$486,$C61&lt;='TIF Loan Amortization'!I$486),'TIF Loan Amortization'!$G$486,IF(AND($C61&gt;='TIF Loan Amortization'!$H$487,$C61&lt;='TIF Loan Amortization'!I$487),'TIF Loan Amortization'!$G$487,IF(AND($C61&gt;='TIF Loan Amortization'!$H$488,$C61&lt;='TIF Loan Amortization'!I$488),'TIF Loan Amortization'!$G$488,IF(AND($C61&gt;='TIF Loan Amortization'!$H$489,$C61&lt;='TIF Loan Amortization'!I$489),'TIF Loan Amortization'!$G$489,IF(AND($C61&gt;='TIF Loan Amortization'!$H$490,$C61&lt;='TIF Loan Amortization'!I$490),'TIF Loan Amortization'!$G$490,IF(AND($C61&gt;='TIF Loan Amortization'!$H$491,$C61&lt;='TIF Loan Amortization'!I$491),'TIF Loan Amortization'!$G$491,IF(AND($C61&gt;='TIF Loan Amortization'!$H$492,$C61&lt;='TIF Loan Amortization'!I$492),'TIF Loan Amortization'!$G$492,IF(AND($C61&gt;='TIF Loan Amortization'!$H$493,$C61&lt;='TIF Loan Amortization'!I$493),'TIF Loan Amortization'!$G$493,IF(AND($C61&gt;='TIF Loan Amortization'!$H$494,$C61&lt;='TIF Loan Amortization'!I$494),'TIF Loan Amortization'!$G$494,IF(AND($C61&gt;='TIF Loan Amortization'!$H$495,$C61&lt;='TIF Loan Amortization'!I$495),'TIF Loan Amortization'!$G$495,IF(AND($C61&gt;='TIF Loan Amortization'!$H$496,$C61&lt;='TIF Loan Amortization'!I$496),'TIF Loan Amortization'!$G$496,IF(AND($C61&gt;='TIF Loan Amortization'!$H$497,$C61&lt;='TIF Loan Amortization'!I$497),'TIF Loan Amortization'!$G$497,IF(AND($C61&gt;='TIF Loan Amortization'!$H$498,$C61&lt;='TIF Loan Amortization'!I$498),'TIF Loan Amortization'!$G$498,IF(AND($C61&gt;='TIF Loan Amortization'!$H$499,$C61&lt;='TIF Loan Amortization'!I$499),'TIF Loan Amortization'!$G$499,IF(AND($C61&gt;='TIF Loan Amortization'!$H$500,$C61&lt;='TIF Loan Amortization'!I$500),'TIF Loan Amortization'!$G$500,IF(AND($C61&gt;='TIF Loan Amortization'!$H$501,$C61&lt;='TIF Loan Amortization'!I$501),'TIF Loan Amortization'!$G$501,IF(AND($C61&gt;='TIF Loan Amortization'!$H$502,$C61&lt;='TIF Loan Amortization'!I$502),'TIF Loan Amortization'!$G$502,IF(AND($C61&gt;='TIF Loan Amortization'!$H$503,$C61&lt;='TIF Loan Amortization'!I$503),'TIF Loan Amortization'!$G$503,IF(AND($C61&gt;='TIF Loan Amortization'!$H$504,$C61&lt;='TIF Loan Amortization'!I$504),'TIF Loan Amortization'!$G$504,IF(AND($C61&gt;='TIF Loan Amortization'!$H$505,$C61&lt;='TIF Loan Amortization'!I$505),'TIF Loan Amortization'!$G$505,IF(AND($C61&gt;='TIF Loan Amortization'!$H$506,$C61&lt;='TIF Loan Amortization'!I$506),'TIF Loan Amortization'!$G$506,IF(AND($C61&gt;='TIF Loan Amortization'!$H$507,$C61&lt;='TIF Loan Amortization'!I$507),'TIF Loan Amortization'!$G$507,IF(AND($C61&gt;='TIF Loan Amortization'!$H$508,$C61&lt;='TIF Loan Amortization'!I$508),'TIF Loan Amortization'!$G$508,IF(AND($C61&gt;='TIF Loan Amortization'!$H$509,$C61&lt;='TIF Loan Amortization'!I$509),'TIF Loan Amortization'!$G$509,IF(AND($C61&gt;='TIF Loan Amortization'!$H$510,$C61&lt;='TIF Loan Amortization'!I$510),'TIF Loan Amortization'!$G$510,IF(AND($C61&gt;='TIF Loan Amortization'!$H$511,$C61&lt;='TIF Loan Amortization'!I$511),'TIF Loan Amortization'!$G$511,IF(AND($C61&gt;='TIF Loan Amortization'!$H$512,$C61&lt;='TIF Loan Amortization'!I$512),'TIF Loan Amortization'!$G$512,IF(AND($C61&gt;='TIF Loan Amortization'!$H$513,$C61&lt;='TIF Loan Amortization'!I$513),'TIF Loan Amortization'!$G$513,IF(AND($C61&gt;='TIF Loan Amortization'!$H$514,$C61&lt;='TIF Loan Amortization'!I$514),'TIF Loan Amortization'!$G$514,IF(AND($C61&gt;='TIF Loan Amortization'!$H$515,$C61&lt;='TIF Loan Amortization'!I$515),'TIF Loan Amortization'!$G$515,IF(AND($C61&gt;='TIF Loan Amortization'!$H$516,$C61&lt;='TIF Loan Amortization'!I$516),'TIF Loan Amortization'!$G$516,IF(AND($C61&gt;='TIF Loan Amortization'!$H$517,$C61&lt;='TIF Loan Amortization'!I$517),'TIF Loan Amortization'!$G$517,IF(AND($C61&gt;='TIF Loan Amortization'!$H$518,$C61&lt;='TIF Loan Amortization'!I$518),'TIF Loan Amortization'!$G$518,IF(AND($C61&gt;='TIF Loan Amortization'!$H$519,$C61&lt;='TIF Loan Amortization'!I$519),'TIF Loan Amortization'!$G$519))))))))))))))))))))))))))))))))))))))))</f>
        <v>#N/A</v>
      </c>
      <c r="C61" s="269" t="e">
        <f t="shared" si="16"/>
        <v>#N/A</v>
      </c>
      <c r="D61" s="281" t="str">
        <f>IF(AG433=1,$H$10+1,"")</f>
        <v/>
      </c>
      <c r="E61" s="274">
        <v>11</v>
      </c>
      <c r="F61" s="300" t="str">
        <f>VLOOKUP(AG433,AE422:AF433,2)</f>
        <v>Feb</v>
      </c>
      <c r="G61" s="272">
        <f t="shared" si="17"/>
        <v>0</v>
      </c>
      <c r="H61" s="272">
        <f t="shared" si="20"/>
        <v>0</v>
      </c>
      <c r="I61" s="272">
        <f t="shared" si="21"/>
        <v>0</v>
      </c>
      <c r="J61" s="272">
        <f t="shared" si="19"/>
        <v>0</v>
      </c>
      <c r="K61" s="272">
        <f>IF(ISTEXT($M$4),"",SUM(I$50:I61))</f>
        <v>0</v>
      </c>
      <c r="L61" s="272">
        <f>IF(ISTEXT($M$4),"",SUM(J$50:J61))</f>
        <v>0</v>
      </c>
      <c r="M61" s="271">
        <f t="shared" si="18"/>
        <v>0</v>
      </c>
      <c r="N61" s="291" t="e">
        <f>IF(C61='Operating Assumptions'!$C$48,"Construction Finish","")</f>
        <v>#N/A</v>
      </c>
      <c r="O61" s="291"/>
      <c r="P61" s="291"/>
      <c r="Q61" s="291"/>
      <c r="R61" s="291"/>
      <c r="S61" s="291"/>
      <c r="T61" s="291"/>
      <c r="U61" s="291"/>
      <c r="V61" s="292"/>
      <c r="W61" s="292"/>
      <c r="X61" s="292"/>
      <c r="Y61" s="291"/>
      <c r="Z61" s="279"/>
      <c r="AA61" s="279"/>
      <c r="AB61" s="279"/>
    </row>
    <row r="62" spans="1:28" s="278" customFormat="1" ht="11.65" customHeight="1" x14ac:dyDescent="0.25">
      <c r="A62" s="299"/>
      <c r="B62" s="270" t="e">
        <f>IF(AND($C62&gt;='TIF Loan Amortization'!$H$480,$C62&lt;='TIF Loan Amortization'!$I$480),'TIF Loan Amortization'!$G$480,IF(AND($C62&gt;='TIF Loan Amortization'!$H$481,$C62&lt;='TIF Loan Amortization'!I$481),'TIF Loan Amortization'!$G$481,IF(AND($C62&gt;='TIF Loan Amortization'!$H$482,$C62&lt;='TIF Loan Amortization'!I$482),'TIF Loan Amortization'!$G$482,IF(AND($C62&gt;='TIF Loan Amortization'!$H$483,$C62&lt;='TIF Loan Amortization'!I$483),'TIF Loan Amortization'!$G$483,IF(AND($C62&gt;='TIF Loan Amortization'!$H$484,$C62&lt;='TIF Loan Amortization'!I$484),'TIF Loan Amortization'!$G$484,IF(AND($C62&gt;='TIF Loan Amortization'!$H$485,$C62&lt;='TIF Loan Amortization'!I$485),'TIF Loan Amortization'!$G$485,IF(AND($C62&gt;='TIF Loan Amortization'!$H$486,$C62&lt;='TIF Loan Amortization'!I$486),'TIF Loan Amortization'!$G$486,IF(AND($C62&gt;='TIF Loan Amortization'!$H$487,$C62&lt;='TIF Loan Amortization'!I$487),'TIF Loan Amortization'!$G$487,IF(AND($C62&gt;='TIF Loan Amortization'!$H$488,$C62&lt;='TIF Loan Amortization'!I$488),'TIF Loan Amortization'!$G$488,IF(AND($C62&gt;='TIF Loan Amortization'!$H$489,$C62&lt;='TIF Loan Amortization'!I$489),'TIF Loan Amortization'!$G$489,IF(AND($C62&gt;='TIF Loan Amortization'!$H$490,$C62&lt;='TIF Loan Amortization'!I$490),'TIF Loan Amortization'!$G$490,IF(AND($C62&gt;='TIF Loan Amortization'!$H$491,$C62&lt;='TIF Loan Amortization'!I$491),'TIF Loan Amortization'!$G$491,IF(AND($C62&gt;='TIF Loan Amortization'!$H$492,$C62&lt;='TIF Loan Amortization'!I$492),'TIF Loan Amortization'!$G$492,IF(AND($C62&gt;='TIF Loan Amortization'!$H$493,$C62&lt;='TIF Loan Amortization'!I$493),'TIF Loan Amortization'!$G$493,IF(AND($C62&gt;='TIF Loan Amortization'!$H$494,$C62&lt;='TIF Loan Amortization'!I$494),'TIF Loan Amortization'!$G$494,IF(AND($C62&gt;='TIF Loan Amortization'!$H$495,$C62&lt;='TIF Loan Amortization'!I$495),'TIF Loan Amortization'!$G$495,IF(AND($C62&gt;='TIF Loan Amortization'!$H$496,$C62&lt;='TIF Loan Amortization'!I$496),'TIF Loan Amortization'!$G$496,IF(AND($C62&gt;='TIF Loan Amortization'!$H$497,$C62&lt;='TIF Loan Amortization'!I$497),'TIF Loan Amortization'!$G$497,IF(AND($C62&gt;='TIF Loan Amortization'!$H$498,$C62&lt;='TIF Loan Amortization'!I$498),'TIF Loan Amortization'!$G$498,IF(AND($C62&gt;='TIF Loan Amortization'!$H$499,$C62&lt;='TIF Loan Amortization'!I$499),'TIF Loan Amortization'!$G$499,IF(AND($C62&gt;='TIF Loan Amortization'!$H$500,$C62&lt;='TIF Loan Amortization'!I$500),'TIF Loan Amortization'!$G$500,IF(AND($C62&gt;='TIF Loan Amortization'!$H$501,$C62&lt;='TIF Loan Amortization'!I$501),'TIF Loan Amortization'!$G$501,IF(AND($C62&gt;='TIF Loan Amortization'!$H$502,$C62&lt;='TIF Loan Amortization'!I$502),'TIF Loan Amortization'!$G$502,IF(AND($C62&gt;='TIF Loan Amortization'!$H$503,$C62&lt;='TIF Loan Amortization'!I$503),'TIF Loan Amortization'!$G$503,IF(AND($C62&gt;='TIF Loan Amortization'!$H$504,$C62&lt;='TIF Loan Amortization'!I$504),'TIF Loan Amortization'!$G$504,IF(AND($C62&gt;='TIF Loan Amortization'!$H$505,$C62&lt;='TIF Loan Amortization'!I$505),'TIF Loan Amortization'!$G$505,IF(AND($C62&gt;='TIF Loan Amortization'!$H$506,$C62&lt;='TIF Loan Amortization'!I$506),'TIF Loan Amortization'!$G$506,IF(AND($C62&gt;='TIF Loan Amortization'!$H$507,$C62&lt;='TIF Loan Amortization'!I$507),'TIF Loan Amortization'!$G$507,IF(AND($C62&gt;='TIF Loan Amortization'!$H$508,$C62&lt;='TIF Loan Amortization'!I$508),'TIF Loan Amortization'!$G$508,IF(AND($C62&gt;='TIF Loan Amortization'!$H$509,$C62&lt;='TIF Loan Amortization'!I$509),'TIF Loan Amortization'!$G$509,IF(AND($C62&gt;='TIF Loan Amortization'!$H$510,$C62&lt;='TIF Loan Amortization'!I$510),'TIF Loan Amortization'!$G$510,IF(AND($C62&gt;='TIF Loan Amortization'!$H$511,$C62&lt;='TIF Loan Amortization'!I$511),'TIF Loan Amortization'!$G$511,IF(AND($C62&gt;='TIF Loan Amortization'!$H$512,$C62&lt;='TIF Loan Amortization'!I$512),'TIF Loan Amortization'!$G$512,IF(AND($C62&gt;='TIF Loan Amortization'!$H$513,$C62&lt;='TIF Loan Amortization'!I$513),'TIF Loan Amortization'!$G$513,IF(AND($C62&gt;='TIF Loan Amortization'!$H$514,$C62&lt;='TIF Loan Amortization'!I$514),'TIF Loan Amortization'!$G$514,IF(AND($C62&gt;='TIF Loan Amortization'!$H$515,$C62&lt;='TIF Loan Amortization'!I$515),'TIF Loan Amortization'!$G$515,IF(AND($C62&gt;='TIF Loan Amortization'!$H$516,$C62&lt;='TIF Loan Amortization'!I$516),'TIF Loan Amortization'!$G$516,IF(AND($C62&gt;='TIF Loan Amortization'!$H$517,$C62&lt;='TIF Loan Amortization'!I$517),'TIF Loan Amortization'!$G$517,IF(AND($C62&gt;='TIF Loan Amortization'!$H$518,$C62&lt;='TIF Loan Amortization'!I$518),'TIF Loan Amortization'!$G$518,IF(AND($C62&gt;='TIF Loan Amortization'!$H$519,$C62&lt;='TIF Loan Amortization'!I$519),'TIF Loan Amortization'!$G$519))))))))))))))))))))))))))))))))))))))))</f>
        <v>#N/A</v>
      </c>
      <c r="C62" s="269" t="e">
        <f t="shared" si="16"/>
        <v>#N/A</v>
      </c>
      <c r="D62" s="281" t="str">
        <f>IF($H$11="January",$H$10+1,IF(AG422=1,$H$10+2,""))</f>
        <v/>
      </c>
      <c r="E62" s="274">
        <v>12</v>
      </c>
      <c r="F62" s="273" t="str">
        <f>VLOOKUP($AG$422,$AE$422:$AF$433,2)</f>
        <v>Mar</v>
      </c>
      <c r="G62" s="272">
        <f t="shared" si="17"/>
        <v>0</v>
      </c>
      <c r="H62" s="272">
        <f t="shared" si="20"/>
        <v>0</v>
      </c>
      <c r="I62" s="272">
        <f t="shared" si="21"/>
        <v>0</v>
      </c>
      <c r="J62" s="272">
        <f t="shared" si="19"/>
        <v>0</v>
      </c>
      <c r="K62" s="272">
        <f>IF(ISTEXT($M$4),"",SUM(I$50:I62))</f>
        <v>0</v>
      </c>
      <c r="L62" s="272">
        <f>IF(ISTEXT($M$4),"",SUM(J$50:J62))</f>
        <v>0</v>
      </c>
      <c r="M62" s="271">
        <f t="shared" si="18"/>
        <v>0</v>
      </c>
      <c r="N62" s="291" t="e">
        <f>IF(C62='Operating Assumptions'!$C$48,"Construction Finish","")</f>
        <v>#N/A</v>
      </c>
      <c r="O62" s="291"/>
      <c r="P62" s="291"/>
      <c r="Q62" s="291"/>
      <c r="R62" s="291"/>
      <c r="S62" s="291"/>
      <c r="T62" s="291"/>
      <c r="U62" s="291"/>
      <c r="V62" s="292"/>
      <c r="W62" s="292"/>
      <c r="X62" s="292"/>
      <c r="Y62" s="291"/>
      <c r="Z62" s="279"/>
      <c r="AA62" s="279"/>
      <c r="AB62" s="279"/>
    </row>
    <row r="63" spans="1:28" s="278" customFormat="1" ht="11.65" customHeight="1" x14ac:dyDescent="0.25">
      <c r="A63" s="299"/>
      <c r="B63" s="270" t="e">
        <f>IF(AND($C63&gt;='TIF Loan Amortization'!$H$480,$C63&lt;='TIF Loan Amortization'!$I$480),'TIF Loan Amortization'!$G$480,IF(AND($C63&gt;='TIF Loan Amortization'!$H$481,$C63&lt;='TIF Loan Amortization'!I$481),'TIF Loan Amortization'!$G$481,IF(AND($C63&gt;='TIF Loan Amortization'!$H$482,$C63&lt;='TIF Loan Amortization'!I$482),'TIF Loan Amortization'!$G$482,IF(AND($C63&gt;='TIF Loan Amortization'!$H$483,$C63&lt;='TIF Loan Amortization'!I$483),'TIF Loan Amortization'!$G$483,IF(AND($C63&gt;='TIF Loan Amortization'!$H$484,$C63&lt;='TIF Loan Amortization'!I$484),'TIF Loan Amortization'!$G$484,IF(AND($C63&gt;='TIF Loan Amortization'!$H$485,$C63&lt;='TIF Loan Amortization'!I$485),'TIF Loan Amortization'!$G$485,IF(AND($C63&gt;='TIF Loan Amortization'!$H$486,$C63&lt;='TIF Loan Amortization'!I$486),'TIF Loan Amortization'!$G$486,IF(AND($C63&gt;='TIF Loan Amortization'!$H$487,$C63&lt;='TIF Loan Amortization'!I$487),'TIF Loan Amortization'!$G$487,IF(AND($C63&gt;='TIF Loan Amortization'!$H$488,$C63&lt;='TIF Loan Amortization'!I$488),'TIF Loan Amortization'!$G$488,IF(AND($C63&gt;='TIF Loan Amortization'!$H$489,$C63&lt;='TIF Loan Amortization'!I$489),'TIF Loan Amortization'!$G$489,IF(AND($C63&gt;='TIF Loan Amortization'!$H$490,$C63&lt;='TIF Loan Amortization'!I$490),'TIF Loan Amortization'!$G$490,IF(AND($C63&gt;='TIF Loan Amortization'!$H$491,$C63&lt;='TIF Loan Amortization'!I$491),'TIF Loan Amortization'!$G$491,IF(AND($C63&gt;='TIF Loan Amortization'!$H$492,$C63&lt;='TIF Loan Amortization'!I$492),'TIF Loan Amortization'!$G$492,IF(AND($C63&gt;='TIF Loan Amortization'!$H$493,$C63&lt;='TIF Loan Amortization'!I$493),'TIF Loan Amortization'!$G$493,IF(AND($C63&gt;='TIF Loan Amortization'!$H$494,$C63&lt;='TIF Loan Amortization'!I$494),'TIF Loan Amortization'!$G$494,IF(AND($C63&gt;='TIF Loan Amortization'!$H$495,$C63&lt;='TIF Loan Amortization'!I$495),'TIF Loan Amortization'!$G$495,IF(AND($C63&gt;='TIF Loan Amortization'!$H$496,$C63&lt;='TIF Loan Amortization'!I$496),'TIF Loan Amortization'!$G$496,IF(AND($C63&gt;='TIF Loan Amortization'!$H$497,$C63&lt;='TIF Loan Amortization'!I$497),'TIF Loan Amortization'!$G$497,IF(AND($C63&gt;='TIF Loan Amortization'!$H$498,$C63&lt;='TIF Loan Amortization'!I$498),'TIF Loan Amortization'!$G$498,IF(AND($C63&gt;='TIF Loan Amortization'!$H$499,$C63&lt;='TIF Loan Amortization'!I$499),'TIF Loan Amortization'!$G$499,IF(AND($C63&gt;='TIF Loan Amortization'!$H$500,$C63&lt;='TIF Loan Amortization'!I$500),'TIF Loan Amortization'!$G$500,IF(AND($C63&gt;='TIF Loan Amortization'!$H$501,$C63&lt;='TIF Loan Amortization'!I$501),'TIF Loan Amortization'!$G$501,IF(AND($C63&gt;='TIF Loan Amortization'!$H$502,$C63&lt;='TIF Loan Amortization'!I$502),'TIF Loan Amortization'!$G$502,IF(AND($C63&gt;='TIF Loan Amortization'!$H$503,$C63&lt;='TIF Loan Amortization'!I$503),'TIF Loan Amortization'!$G$503,IF(AND($C63&gt;='TIF Loan Amortization'!$H$504,$C63&lt;='TIF Loan Amortization'!I$504),'TIF Loan Amortization'!$G$504,IF(AND($C63&gt;='TIF Loan Amortization'!$H$505,$C63&lt;='TIF Loan Amortization'!I$505),'TIF Loan Amortization'!$G$505,IF(AND($C63&gt;='TIF Loan Amortization'!$H$506,$C63&lt;='TIF Loan Amortization'!I$506),'TIF Loan Amortization'!$G$506,IF(AND($C63&gt;='TIF Loan Amortization'!$H$507,$C63&lt;='TIF Loan Amortization'!I$507),'TIF Loan Amortization'!$G$507,IF(AND($C63&gt;='TIF Loan Amortization'!$H$508,$C63&lt;='TIF Loan Amortization'!I$508),'TIF Loan Amortization'!$G$508,IF(AND($C63&gt;='TIF Loan Amortization'!$H$509,$C63&lt;='TIF Loan Amortization'!I$509),'TIF Loan Amortization'!$G$509,IF(AND($C63&gt;='TIF Loan Amortization'!$H$510,$C63&lt;='TIF Loan Amortization'!I$510),'TIF Loan Amortization'!$G$510,IF(AND($C63&gt;='TIF Loan Amortization'!$H$511,$C63&lt;='TIF Loan Amortization'!I$511),'TIF Loan Amortization'!$G$511,IF(AND($C63&gt;='TIF Loan Amortization'!$H$512,$C63&lt;='TIF Loan Amortization'!I$512),'TIF Loan Amortization'!$G$512,IF(AND($C63&gt;='TIF Loan Amortization'!$H$513,$C63&lt;='TIF Loan Amortization'!I$513),'TIF Loan Amortization'!$G$513,IF(AND($C63&gt;='TIF Loan Amortization'!$H$514,$C63&lt;='TIF Loan Amortization'!I$514),'TIF Loan Amortization'!$G$514,IF(AND($C63&gt;='TIF Loan Amortization'!$H$515,$C63&lt;='TIF Loan Amortization'!I$515),'TIF Loan Amortization'!$G$515,IF(AND($C63&gt;='TIF Loan Amortization'!$H$516,$C63&lt;='TIF Loan Amortization'!I$516),'TIF Loan Amortization'!$G$516,IF(AND($C63&gt;='TIF Loan Amortization'!$H$517,$C63&lt;='TIF Loan Amortization'!I$517),'TIF Loan Amortization'!$G$517,IF(AND($C63&gt;='TIF Loan Amortization'!$H$518,$C63&lt;='TIF Loan Amortization'!I$518),'TIF Loan Amortization'!$G$518,IF(AND($C63&gt;='TIF Loan Amortization'!$H$519,$C63&lt;='TIF Loan Amortization'!I$519),'TIF Loan Amortization'!$G$519))))))))))))))))))))))))))))))))))))))))</f>
        <v>#N/A</v>
      </c>
      <c r="C63" s="269" t="e">
        <f t="shared" si="16"/>
        <v>#N/A</v>
      </c>
      <c r="D63" s="281" t="str">
        <f t="shared" ref="D63:D70" si="22">IF(AG423=1,$H$10+2,"")</f>
        <v/>
      </c>
      <c r="E63" s="274">
        <v>13</v>
      </c>
      <c r="F63" s="275" t="str">
        <f>VLOOKUP($AG$423,$AE$422:$AF$433,2)</f>
        <v>Apr</v>
      </c>
      <c r="G63" s="272">
        <f t="shared" si="17"/>
        <v>0</v>
      </c>
      <c r="H63" s="272">
        <f t="shared" si="20"/>
        <v>0</v>
      </c>
      <c r="I63" s="272">
        <f t="shared" si="21"/>
        <v>0</v>
      </c>
      <c r="J63" s="272">
        <f t="shared" si="19"/>
        <v>0</v>
      </c>
      <c r="K63" s="272">
        <f>IF(ISTEXT($M$4),"",SUM(I$50:I63))</f>
        <v>0</v>
      </c>
      <c r="L63" s="272">
        <f>IF(ISTEXT($M$4),"",SUM(J$50:J63))</f>
        <v>0</v>
      </c>
      <c r="M63" s="271">
        <f t="shared" si="18"/>
        <v>0</v>
      </c>
      <c r="N63" s="291" t="e">
        <f>IF(C63='Operating Assumptions'!$C$48,"Construction Finish","")</f>
        <v>#N/A</v>
      </c>
      <c r="O63" s="291"/>
      <c r="P63" s="291"/>
      <c r="Q63" s="291"/>
      <c r="R63" s="291"/>
      <c r="S63" s="291"/>
      <c r="T63" s="291"/>
      <c r="U63" s="291"/>
      <c r="V63" s="292"/>
      <c r="W63" s="292"/>
      <c r="X63" s="292"/>
      <c r="Y63" s="291"/>
      <c r="Z63" s="279"/>
      <c r="AA63" s="279"/>
      <c r="AB63" s="279"/>
    </row>
    <row r="64" spans="1:28" s="278" customFormat="1" ht="11.65" customHeight="1" x14ac:dyDescent="0.25">
      <c r="A64" s="299"/>
      <c r="B64" s="270" t="e">
        <f>IF(AND($C64&gt;='TIF Loan Amortization'!$H$480,$C64&lt;='TIF Loan Amortization'!$I$480),'TIF Loan Amortization'!$G$480,IF(AND($C64&gt;='TIF Loan Amortization'!$H$481,$C64&lt;='TIF Loan Amortization'!I$481),'TIF Loan Amortization'!$G$481,IF(AND($C64&gt;='TIF Loan Amortization'!$H$482,$C64&lt;='TIF Loan Amortization'!I$482),'TIF Loan Amortization'!$G$482,IF(AND($C64&gt;='TIF Loan Amortization'!$H$483,$C64&lt;='TIF Loan Amortization'!I$483),'TIF Loan Amortization'!$G$483,IF(AND($C64&gt;='TIF Loan Amortization'!$H$484,$C64&lt;='TIF Loan Amortization'!I$484),'TIF Loan Amortization'!$G$484,IF(AND($C64&gt;='TIF Loan Amortization'!$H$485,$C64&lt;='TIF Loan Amortization'!I$485),'TIF Loan Amortization'!$G$485,IF(AND($C64&gt;='TIF Loan Amortization'!$H$486,$C64&lt;='TIF Loan Amortization'!I$486),'TIF Loan Amortization'!$G$486,IF(AND($C64&gt;='TIF Loan Amortization'!$H$487,$C64&lt;='TIF Loan Amortization'!I$487),'TIF Loan Amortization'!$G$487,IF(AND($C64&gt;='TIF Loan Amortization'!$H$488,$C64&lt;='TIF Loan Amortization'!I$488),'TIF Loan Amortization'!$G$488,IF(AND($C64&gt;='TIF Loan Amortization'!$H$489,$C64&lt;='TIF Loan Amortization'!I$489),'TIF Loan Amortization'!$G$489,IF(AND($C64&gt;='TIF Loan Amortization'!$H$490,$C64&lt;='TIF Loan Amortization'!I$490),'TIF Loan Amortization'!$G$490,IF(AND($C64&gt;='TIF Loan Amortization'!$H$491,$C64&lt;='TIF Loan Amortization'!I$491),'TIF Loan Amortization'!$G$491,IF(AND($C64&gt;='TIF Loan Amortization'!$H$492,$C64&lt;='TIF Loan Amortization'!I$492),'TIF Loan Amortization'!$G$492,IF(AND($C64&gt;='TIF Loan Amortization'!$H$493,$C64&lt;='TIF Loan Amortization'!I$493),'TIF Loan Amortization'!$G$493,IF(AND($C64&gt;='TIF Loan Amortization'!$H$494,$C64&lt;='TIF Loan Amortization'!I$494),'TIF Loan Amortization'!$G$494,IF(AND($C64&gt;='TIF Loan Amortization'!$H$495,$C64&lt;='TIF Loan Amortization'!I$495),'TIF Loan Amortization'!$G$495,IF(AND($C64&gt;='TIF Loan Amortization'!$H$496,$C64&lt;='TIF Loan Amortization'!I$496),'TIF Loan Amortization'!$G$496,IF(AND($C64&gt;='TIF Loan Amortization'!$H$497,$C64&lt;='TIF Loan Amortization'!I$497),'TIF Loan Amortization'!$G$497,IF(AND($C64&gt;='TIF Loan Amortization'!$H$498,$C64&lt;='TIF Loan Amortization'!I$498),'TIF Loan Amortization'!$G$498,IF(AND($C64&gt;='TIF Loan Amortization'!$H$499,$C64&lt;='TIF Loan Amortization'!I$499),'TIF Loan Amortization'!$G$499,IF(AND($C64&gt;='TIF Loan Amortization'!$H$500,$C64&lt;='TIF Loan Amortization'!I$500),'TIF Loan Amortization'!$G$500,IF(AND($C64&gt;='TIF Loan Amortization'!$H$501,$C64&lt;='TIF Loan Amortization'!I$501),'TIF Loan Amortization'!$G$501,IF(AND($C64&gt;='TIF Loan Amortization'!$H$502,$C64&lt;='TIF Loan Amortization'!I$502),'TIF Loan Amortization'!$G$502,IF(AND($C64&gt;='TIF Loan Amortization'!$H$503,$C64&lt;='TIF Loan Amortization'!I$503),'TIF Loan Amortization'!$G$503,IF(AND($C64&gt;='TIF Loan Amortization'!$H$504,$C64&lt;='TIF Loan Amortization'!I$504),'TIF Loan Amortization'!$G$504,IF(AND($C64&gt;='TIF Loan Amortization'!$H$505,$C64&lt;='TIF Loan Amortization'!I$505),'TIF Loan Amortization'!$G$505,IF(AND($C64&gt;='TIF Loan Amortization'!$H$506,$C64&lt;='TIF Loan Amortization'!I$506),'TIF Loan Amortization'!$G$506,IF(AND($C64&gt;='TIF Loan Amortization'!$H$507,$C64&lt;='TIF Loan Amortization'!I$507),'TIF Loan Amortization'!$G$507,IF(AND($C64&gt;='TIF Loan Amortization'!$H$508,$C64&lt;='TIF Loan Amortization'!I$508),'TIF Loan Amortization'!$G$508,IF(AND($C64&gt;='TIF Loan Amortization'!$H$509,$C64&lt;='TIF Loan Amortization'!I$509),'TIF Loan Amortization'!$G$509,IF(AND($C64&gt;='TIF Loan Amortization'!$H$510,$C64&lt;='TIF Loan Amortization'!I$510),'TIF Loan Amortization'!$G$510,IF(AND($C64&gt;='TIF Loan Amortization'!$H$511,$C64&lt;='TIF Loan Amortization'!I$511),'TIF Loan Amortization'!$G$511,IF(AND($C64&gt;='TIF Loan Amortization'!$H$512,$C64&lt;='TIF Loan Amortization'!I$512),'TIF Loan Amortization'!$G$512,IF(AND($C64&gt;='TIF Loan Amortization'!$H$513,$C64&lt;='TIF Loan Amortization'!I$513),'TIF Loan Amortization'!$G$513,IF(AND($C64&gt;='TIF Loan Amortization'!$H$514,$C64&lt;='TIF Loan Amortization'!I$514),'TIF Loan Amortization'!$G$514,IF(AND($C64&gt;='TIF Loan Amortization'!$H$515,$C64&lt;='TIF Loan Amortization'!I$515),'TIF Loan Amortization'!$G$515,IF(AND($C64&gt;='TIF Loan Amortization'!$H$516,$C64&lt;='TIF Loan Amortization'!I$516),'TIF Loan Amortization'!$G$516,IF(AND($C64&gt;='TIF Loan Amortization'!$H$517,$C64&lt;='TIF Loan Amortization'!I$517),'TIF Loan Amortization'!$G$517,IF(AND($C64&gt;='TIF Loan Amortization'!$H$518,$C64&lt;='TIF Loan Amortization'!I$518),'TIF Loan Amortization'!$G$518,IF(AND($C64&gt;='TIF Loan Amortization'!$H$519,$C64&lt;='TIF Loan Amortization'!I$519),'TIF Loan Amortization'!$G$519))))))))))))))))))))))))))))))))))))))))</f>
        <v>#N/A</v>
      </c>
      <c r="C64" s="269" t="e">
        <f t="shared" si="16"/>
        <v>#N/A</v>
      </c>
      <c r="D64" s="281" t="str">
        <f t="shared" si="22"/>
        <v/>
      </c>
      <c r="E64" s="274">
        <v>14</v>
      </c>
      <c r="F64" s="275" t="str">
        <f>VLOOKUP($AG$424,$AE$422:$AF$433,2)</f>
        <v>May</v>
      </c>
      <c r="G64" s="272">
        <f t="shared" si="17"/>
        <v>0</v>
      </c>
      <c r="H64" s="272">
        <f t="shared" si="20"/>
        <v>0</v>
      </c>
      <c r="I64" s="272">
        <f t="shared" si="21"/>
        <v>0</v>
      </c>
      <c r="J64" s="272">
        <f t="shared" si="19"/>
        <v>0</v>
      </c>
      <c r="K64" s="272">
        <f>IF(ISTEXT($M$4),"",SUM(I$50:I64))</f>
        <v>0</v>
      </c>
      <c r="L64" s="272">
        <f>IF(ISTEXT($M$4),"",SUM(J$50:J64))</f>
        <v>0</v>
      </c>
      <c r="M64" s="271">
        <f t="shared" si="18"/>
        <v>0</v>
      </c>
      <c r="N64" s="291" t="e">
        <f>IF(C64='Operating Assumptions'!$C$48,"Construction Finish","")</f>
        <v>#N/A</v>
      </c>
      <c r="O64" s="291"/>
      <c r="P64" s="291"/>
      <c r="Q64" s="291"/>
      <c r="R64" s="291"/>
      <c r="S64" s="291"/>
      <c r="T64" s="291"/>
      <c r="U64" s="291"/>
      <c r="V64" s="292"/>
      <c r="W64" s="292"/>
      <c r="X64" s="292"/>
      <c r="Y64" s="291"/>
      <c r="Z64" s="279"/>
      <c r="AA64" s="279"/>
      <c r="AB64" s="279"/>
    </row>
    <row r="65" spans="1:28" s="278" customFormat="1" ht="11.65" customHeight="1" x14ac:dyDescent="0.25">
      <c r="A65" s="299"/>
      <c r="B65" s="270" t="e">
        <f>IF(AND($C65&gt;='TIF Loan Amortization'!$H$480,$C65&lt;='TIF Loan Amortization'!$I$480),'TIF Loan Amortization'!$G$480,IF(AND($C65&gt;='TIF Loan Amortization'!$H$481,$C65&lt;='TIF Loan Amortization'!I$481),'TIF Loan Amortization'!$G$481,IF(AND($C65&gt;='TIF Loan Amortization'!$H$482,$C65&lt;='TIF Loan Amortization'!I$482),'TIF Loan Amortization'!$G$482,IF(AND($C65&gt;='TIF Loan Amortization'!$H$483,$C65&lt;='TIF Loan Amortization'!I$483),'TIF Loan Amortization'!$G$483,IF(AND($C65&gt;='TIF Loan Amortization'!$H$484,$C65&lt;='TIF Loan Amortization'!I$484),'TIF Loan Amortization'!$G$484,IF(AND($C65&gt;='TIF Loan Amortization'!$H$485,$C65&lt;='TIF Loan Amortization'!I$485),'TIF Loan Amortization'!$G$485,IF(AND($C65&gt;='TIF Loan Amortization'!$H$486,$C65&lt;='TIF Loan Amortization'!I$486),'TIF Loan Amortization'!$G$486,IF(AND($C65&gt;='TIF Loan Amortization'!$H$487,$C65&lt;='TIF Loan Amortization'!I$487),'TIF Loan Amortization'!$G$487,IF(AND($C65&gt;='TIF Loan Amortization'!$H$488,$C65&lt;='TIF Loan Amortization'!I$488),'TIF Loan Amortization'!$G$488,IF(AND($C65&gt;='TIF Loan Amortization'!$H$489,$C65&lt;='TIF Loan Amortization'!I$489),'TIF Loan Amortization'!$G$489,IF(AND($C65&gt;='TIF Loan Amortization'!$H$490,$C65&lt;='TIF Loan Amortization'!I$490),'TIF Loan Amortization'!$G$490,IF(AND($C65&gt;='TIF Loan Amortization'!$H$491,$C65&lt;='TIF Loan Amortization'!I$491),'TIF Loan Amortization'!$G$491,IF(AND($C65&gt;='TIF Loan Amortization'!$H$492,$C65&lt;='TIF Loan Amortization'!I$492),'TIF Loan Amortization'!$G$492,IF(AND($C65&gt;='TIF Loan Amortization'!$H$493,$C65&lt;='TIF Loan Amortization'!I$493),'TIF Loan Amortization'!$G$493,IF(AND($C65&gt;='TIF Loan Amortization'!$H$494,$C65&lt;='TIF Loan Amortization'!I$494),'TIF Loan Amortization'!$G$494,IF(AND($C65&gt;='TIF Loan Amortization'!$H$495,$C65&lt;='TIF Loan Amortization'!I$495),'TIF Loan Amortization'!$G$495,IF(AND($C65&gt;='TIF Loan Amortization'!$H$496,$C65&lt;='TIF Loan Amortization'!I$496),'TIF Loan Amortization'!$G$496,IF(AND($C65&gt;='TIF Loan Amortization'!$H$497,$C65&lt;='TIF Loan Amortization'!I$497),'TIF Loan Amortization'!$G$497,IF(AND($C65&gt;='TIF Loan Amortization'!$H$498,$C65&lt;='TIF Loan Amortization'!I$498),'TIF Loan Amortization'!$G$498,IF(AND($C65&gt;='TIF Loan Amortization'!$H$499,$C65&lt;='TIF Loan Amortization'!I$499),'TIF Loan Amortization'!$G$499,IF(AND($C65&gt;='TIF Loan Amortization'!$H$500,$C65&lt;='TIF Loan Amortization'!I$500),'TIF Loan Amortization'!$G$500,IF(AND($C65&gt;='TIF Loan Amortization'!$H$501,$C65&lt;='TIF Loan Amortization'!I$501),'TIF Loan Amortization'!$G$501,IF(AND($C65&gt;='TIF Loan Amortization'!$H$502,$C65&lt;='TIF Loan Amortization'!I$502),'TIF Loan Amortization'!$G$502,IF(AND($C65&gt;='TIF Loan Amortization'!$H$503,$C65&lt;='TIF Loan Amortization'!I$503),'TIF Loan Amortization'!$G$503,IF(AND($C65&gt;='TIF Loan Amortization'!$H$504,$C65&lt;='TIF Loan Amortization'!I$504),'TIF Loan Amortization'!$G$504,IF(AND($C65&gt;='TIF Loan Amortization'!$H$505,$C65&lt;='TIF Loan Amortization'!I$505),'TIF Loan Amortization'!$G$505,IF(AND($C65&gt;='TIF Loan Amortization'!$H$506,$C65&lt;='TIF Loan Amortization'!I$506),'TIF Loan Amortization'!$G$506,IF(AND($C65&gt;='TIF Loan Amortization'!$H$507,$C65&lt;='TIF Loan Amortization'!I$507),'TIF Loan Amortization'!$G$507,IF(AND($C65&gt;='TIF Loan Amortization'!$H$508,$C65&lt;='TIF Loan Amortization'!I$508),'TIF Loan Amortization'!$G$508,IF(AND($C65&gt;='TIF Loan Amortization'!$H$509,$C65&lt;='TIF Loan Amortization'!I$509),'TIF Loan Amortization'!$G$509,IF(AND($C65&gt;='TIF Loan Amortization'!$H$510,$C65&lt;='TIF Loan Amortization'!I$510),'TIF Loan Amortization'!$G$510,IF(AND($C65&gt;='TIF Loan Amortization'!$H$511,$C65&lt;='TIF Loan Amortization'!I$511),'TIF Loan Amortization'!$G$511,IF(AND($C65&gt;='TIF Loan Amortization'!$H$512,$C65&lt;='TIF Loan Amortization'!I$512),'TIF Loan Amortization'!$G$512,IF(AND($C65&gt;='TIF Loan Amortization'!$H$513,$C65&lt;='TIF Loan Amortization'!I$513),'TIF Loan Amortization'!$G$513,IF(AND($C65&gt;='TIF Loan Amortization'!$H$514,$C65&lt;='TIF Loan Amortization'!I$514),'TIF Loan Amortization'!$G$514,IF(AND($C65&gt;='TIF Loan Amortization'!$H$515,$C65&lt;='TIF Loan Amortization'!I$515),'TIF Loan Amortization'!$G$515,IF(AND($C65&gt;='TIF Loan Amortization'!$H$516,$C65&lt;='TIF Loan Amortization'!I$516),'TIF Loan Amortization'!$G$516,IF(AND($C65&gt;='TIF Loan Amortization'!$H$517,$C65&lt;='TIF Loan Amortization'!I$517),'TIF Loan Amortization'!$G$517,IF(AND($C65&gt;='TIF Loan Amortization'!$H$518,$C65&lt;='TIF Loan Amortization'!I$518),'TIF Loan Amortization'!$G$518,IF(AND($C65&gt;='TIF Loan Amortization'!$H$519,$C65&lt;='TIF Loan Amortization'!I$519),'TIF Loan Amortization'!$G$519))))))))))))))))))))))))))))))))))))))))</f>
        <v>#N/A</v>
      </c>
      <c r="C65" s="269" t="e">
        <f t="shared" si="16"/>
        <v>#N/A</v>
      </c>
      <c r="D65" s="281" t="str">
        <f t="shared" si="22"/>
        <v/>
      </c>
      <c r="E65" s="274">
        <v>15</v>
      </c>
      <c r="F65" s="275" t="str">
        <f>VLOOKUP($AG$425,$AE$422:$AF$433,2)</f>
        <v>Jun</v>
      </c>
      <c r="G65" s="272">
        <f t="shared" si="17"/>
        <v>0</v>
      </c>
      <c r="H65" s="272">
        <f t="shared" si="20"/>
        <v>0</v>
      </c>
      <c r="I65" s="272">
        <f t="shared" si="21"/>
        <v>0</v>
      </c>
      <c r="J65" s="272">
        <f t="shared" si="19"/>
        <v>0</v>
      </c>
      <c r="K65" s="272">
        <f>IF(ISTEXT($M$4),"",SUM(I$50:I65))</f>
        <v>0</v>
      </c>
      <c r="L65" s="272">
        <f>IF(ISTEXT($M$4),"",SUM(J$50:J65))</f>
        <v>0</v>
      </c>
      <c r="M65" s="271">
        <f t="shared" si="18"/>
        <v>0</v>
      </c>
      <c r="N65" s="291" t="e">
        <f>IF(C65='Operating Assumptions'!$C$48,"Construction Finish","")</f>
        <v>#N/A</v>
      </c>
      <c r="O65" s="291"/>
      <c r="P65" s="291"/>
      <c r="Q65" s="291"/>
      <c r="R65" s="291"/>
      <c r="S65" s="291"/>
      <c r="T65" s="291"/>
      <c r="U65" s="291"/>
      <c r="V65" s="292"/>
      <c r="W65" s="292"/>
      <c r="X65" s="292"/>
      <c r="Y65" s="291"/>
      <c r="Z65" s="279"/>
      <c r="AA65" s="279"/>
      <c r="AB65" s="279"/>
    </row>
    <row r="66" spans="1:28" s="278" customFormat="1" ht="11.65" customHeight="1" x14ac:dyDescent="0.25">
      <c r="A66" s="299"/>
      <c r="B66" s="270" t="e">
        <f>IF(AND($C66&gt;='TIF Loan Amortization'!$H$480,$C66&lt;='TIF Loan Amortization'!$I$480),'TIF Loan Amortization'!$G$480,IF(AND($C66&gt;='TIF Loan Amortization'!$H$481,$C66&lt;='TIF Loan Amortization'!I$481),'TIF Loan Amortization'!$G$481,IF(AND($C66&gt;='TIF Loan Amortization'!$H$482,$C66&lt;='TIF Loan Amortization'!I$482),'TIF Loan Amortization'!$G$482,IF(AND($C66&gt;='TIF Loan Amortization'!$H$483,$C66&lt;='TIF Loan Amortization'!I$483),'TIF Loan Amortization'!$G$483,IF(AND($C66&gt;='TIF Loan Amortization'!$H$484,$C66&lt;='TIF Loan Amortization'!I$484),'TIF Loan Amortization'!$G$484,IF(AND($C66&gt;='TIF Loan Amortization'!$H$485,$C66&lt;='TIF Loan Amortization'!I$485),'TIF Loan Amortization'!$G$485,IF(AND($C66&gt;='TIF Loan Amortization'!$H$486,$C66&lt;='TIF Loan Amortization'!I$486),'TIF Loan Amortization'!$G$486,IF(AND($C66&gt;='TIF Loan Amortization'!$H$487,$C66&lt;='TIF Loan Amortization'!I$487),'TIF Loan Amortization'!$G$487,IF(AND($C66&gt;='TIF Loan Amortization'!$H$488,$C66&lt;='TIF Loan Amortization'!I$488),'TIF Loan Amortization'!$G$488,IF(AND($C66&gt;='TIF Loan Amortization'!$H$489,$C66&lt;='TIF Loan Amortization'!I$489),'TIF Loan Amortization'!$G$489,IF(AND($C66&gt;='TIF Loan Amortization'!$H$490,$C66&lt;='TIF Loan Amortization'!I$490),'TIF Loan Amortization'!$G$490,IF(AND($C66&gt;='TIF Loan Amortization'!$H$491,$C66&lt;='TIF Loan Amortization'!I$491),'TIF Loan Amortization'!$G$491,IF(AND($C66&gt;='TIF Loan Amortization'!$H$492,$C66&lt;='TIF Loan Amortization'!I$492),'TIF Loan Amortization'!$G$492,IF(AND($C66&gt;='TIF Loan Amortization'!$H$493,$C66&lt;='TIF Loan Amortization'!I$493),'TIF Loan Amortization'!$G$493,IF(AND($C66&gt;='TIF Loan Amortization'!$H$494,$C66&lt;='TIF Loan Amortization'!I$494),'TIF Loan Amortization'!$G$494,IF(AND($C66&gt;='TIF Loan Amortization'!$H$495,$C66&lt;='TIF Loan Amortization'!I$495),'TIF Loan Amortization'!$G$495,IF(AND($C66&gt;='TIF Loan Amortization'!$H$496,$C66&lt;='TIF Loan Amortization'!I$496),'TIF Loan Amortization'!$G$496,IF(AND($C66&gt;='TIF Loan Amortization'!$H$497,$C66&lt;='TIF Loan Amortization'!I$497),'TIF Loan Amortization'!$G$497,IF(AND($C66&gt;='TIF Loan Amortization'!$H$498,$C66&lt;='TIF Loan Amortization'!I$498),'TIF Loan Amortization'!$G$498,IF(AND($C66&gt;='TIF Loan Amortization'!$H$499,$C66&lt;='TIF Loan Amortization'!I$499),'TIF Loan Amortization'!$G$499,IF(AND($C66&gt;='TIF Loan Amortization'!$H$500,$C66&lt;='TIF Loan Amortization'!I$500),'TIF Loan Amortization'!$G$500,IF(AND($C66&gt;='TIF Loan Amortization'!$H$501,$C66&lt;='TIF Loan Amortization'!I$501),'TIF Loan Amortization'!$G$501,IF(AND($C66&gt;='TIF Loan Amortization'!$H$502,$C66&lt;='TIF Loan Amortization'!I$502),'TIF Loan Amortization'!$G$502,IF(AND($C66&gt;='TIF Loan Amortization'!$H$503,$C66&lt;='TIF Loan Amortization'!I$503),'TIF Loan Amortization'!$G$503,IF(AND($C66&gt;='TIF Loan Amortization'!$H$504,$C66&lt;='TIF Loan Amortization'!I$504),'TIF Loan Amortization'!$G$504,IF(AND($C66&gt;='TIF Loan Amortization'!$H$505,$C66&lt;='TIF Loan Amortization'!I$505),'TIF Loan Amortization'!$G$505,IF(AND($C66&gt;='TIF Loan Amortization'!$H$506,$C66&lt;='TIF Loan Amortization'!I$506),'TIF Loan Amortization'!$G$506,IF(AND($C66&gt;='TIF Loan Amortization'!$H$507,$C66&lt;='TIF Loan Amortization'!I$507),'TIF Loan Amortization'!$G$507,IF(AND($C66&gt;='TIF Loan Amortization'!$H$508,$C66&lt;='TIF Loan Amortization'!I$508),'TIF Loan Amortization'!$G$508,IF(AND($C66&gt;='TIF Loan Amortization'!$H$509,$C66&lt;='TIF Loan Amortization'!I$509),'TIF Loan Amortization'!$G$509,IF(AND($C66&gt;='TIF Loan Amortization'!$H$510,$C66&lt;='TIF Loan Amortization'!I$510),'TIF Loan Amortization'!$G$510,IF(AND($C66&gt;='TIF Loan Amortization'!$H$511,$C66&lt;='TIF Loan Amortization'!I$511),'TIF Loan Amortization'!$G$511,IF(AND($C66&gt;='TIF Loan Amortization'!$H$512,$C66&lt;='TIF Loan Amortization'!I$512),'TIF Loan Amortization'!$G$512,IF(AND($C66&gt;='TIF Loan Amortization'!$H$513,$C66&lt;='TIF Loan Amortization'!I$513),'TIF Loan Amortization'!$G$513,IF(AND($C66&gt;='TIF Loan Amortization'!$H$514,$C66&lt;='TIF Loan Amortization'!I$514),'TIF Loan Amortization'!$G$514,IF(AND($C66&gt;='TIF Loan Amortization'!$H$515,$C66&lt;='TIF Loan Amortization'!I$515),'TIF Loan Amortization'!$G$515,IF(AND($C66&gt;='TIF Loan Amortization'!$H$516,$C66&lt;='TIF Loan Amortization'!I$516),'TIF Loan Amortization'!$G$516,IF(AND($C66&gt;='TIF Loan Amortization'!$H$517,$C66&lt;='TIF Loan Amortization'!I$517),'TIF Loan Amortization'!$G$517,IF(AND($C66&gt;='TIF Loan Amortization'!$H$518,$C66&lt;='TIF Loan Amortization'!I$518),'TIF Loan Amortization'!$G$518,IF(AND($C66&gt;='TIF Loan Amortization'!$H$519,$C66&lt;='TIF Loan Amortization'!I$519),'TIF Loan Amortization'!$G$519))))))))))))))))))))))))))))))))))))))))</f>
        <v>#N/A</v>
      </c>
      <c r="C66" s="269" t="e">
        <f t="shared" si="16"/>
        <v>#N/A</v>
      </c>
      <c r="D66" s="281" t="str">
        <f t="shared" si="22"/>
        <v/>
      </c>
      <c r="E66" s="274">
        <v>16</v>
      </c>
      <c r="F66" s="275" t="str">
        <f>VLOOKUP($AG$426,$AE$422:$AF$433,2)</f>
        <v>Jul</v>
      </c>
      <c r="G66" s="272">
        <f t="shared" si="17"/>
        <v>0</v>
      </c>
      <c r="H66" s="272">
        <f t="shared" si="20"/>
        <v>0</v>
      </c>
      <c r="I66" s="272">
        <f t="shared" si="21"/>
        <v>0</v>
      </c>
      <c r="J66" s="272">
        <f t="shared" si="19"/>
        <v>0</v>
      </c>
      <c r="K66" s="272">
        <f>IF(ISTEXT($M$4),"",SUM(I$50:I66))</f>
        <v>0</v>
      </c>
      <c r="L66" s="272">
        <f>IF(ISTEXT($M$4),"",SUM(J$50:J66))</f>
        <v>0</v>
      </c>
      <c r="M66" s="271">
        <f t="shared" si="18"/>
        <v>0</v>
      </c>
      <c r="N66" s="291" t="e">
        <f>IF(C66='Operating Assumptions'!$C$48,"Construction Finish","")</f>
        <v>#N/A</v>
      </c>
      <c r="O66" s="291"/>
      <c r="P66" s="291"/>
      <c r="Q66" s="291"/>
      <c r="R66" s="291"/>
      <c r="S66" s="291"/>
      <c r="T66" s="291"/>
      <c r="U66" s="291"/>
      <c r="V66" s="292"/>
      <c r="W66" s="292"/>
      <c r="X66" s="292"/>
      <c r="Y66" s="291"/>
      <c r="Z66" s="279"/>
      <c r="AA66" s="279"/>
      <c r="AB66" s="279"/>
    </row>
    <row r="67" spans="1:28" s="278" customFormat="1" ht="11.65" customHeight="1" x14ac:dyDescent="0.25">
      <c r="A67" s="299"/>
      <c r="B67" s="270" t="e">
        <f>IF(AND($C67&gt;='TIF Loan Amortization'!$H$480,$C67&lt;='TIF Loan Amortization'!$I$480),'TIF Loan Amortization'!$G$480,IF(AND($C67&gt;='TIF Loan Amortization'!$H$481,$C67&lt;='TIF Loan Amortization'!I$481),'TIF Loan Amortization'!$G$481,IF(AND($C67&gt;='TIF Loan Amortization'!$H$482,$C67&lt;='TIF Loan Amortization'!I$482),'TIF Loan Amortization'!$G$482,IF(AND($C67&gt;='TIF Loan Amortization'!$H$483,$C67&lt;='TIF Loan Amortization'!I$483),'TIF Loan Amortization'!$G$483,IF(AND($C67&gt;='TIF Loan Amortization'!$H$484,$C67&lt;='TIF Loan Amortization'!I$484),'TIF Loan Amortization'!$G$484,IF(AND($C67&gt;='TIF Loan Amortization'!$H$485,$C67&lt;='TIF Loan Amortization'!I$485),'TIF Loan Amortization'!$G$485,IF(AND($C67&gt;='TIF Loan Amortization'!$H$486,$C67&lt;='TIF Loan Amortization'!I$486),'TIF Loan Amortization'!$G$486,IF(AND($C67&gt;='TIF Loan Amortization'!$H$487,$C67&lt;='TIF Loan Amortization'!I$487),'TIF Loan Amortization'!$G$487,IF(AND($C67&gt;='TIF Loan Amortization'!$H$488,$C67&lt;='TIF Loan Amortization'!I$488),'TIF Loan Amortization'!$G$488,IF(AND($C67&gt;='TIF Loan Amortization'!$H$489,$C67&lt;='TIF Loan Amortization'!I$489),'TIF Loan Amortization'!$G$489,IF(AND($C67&gt;='TIF Loan Amortization'!$H$490,$C67&lt;='TIF Loan Amortization'!I$490),'TIF Loan Amortization'!$G$490,IF(AND($C67&gt;='TIF Loan Amortization'!$H$491,$C67&lt;='TIF Loan Amortization'!I$491),'TIF Loan Amortization'!$G$491,IF(AND($C67&gt;='TIF Loan Amortization'!$H$492,$C67&lt;='TIF Loan Amortization'!I$492),'TIF Loan Amortization'!$G$492,IF(AND($C67&gt;='TIF Loan Amortization'!$H$493,$C67&lt;='TIF Loan Amortization'!I$493),'TIF Loan Amortization'!$G$493,IF(AND($C67&gt;='TIF Loan Amortization'!$H$494,$C67&lt;='TIF Loan Amortization'!I$494),'TIF Loan Amortization'!$G$494,IF(AND($C67&gt;='TIF Loan Amortization'!$H$495,$C67&lt;='TIF Loan Amortization'!I$495),'TIF Loan Amortization'!$G$495,IF(AND($C67&gt;='TIF Loan Amortization'!$H$496,$C67&lt;='TIF Loan Amortization'!I$496),'TIF Loan Amortization'!$G$496,IF(AND($C67&gt;='TIF Loan Amortization'!$H$497,$C67&lt;='TIF Loan Amortization'!I$497),'TIF Loan Amortization'!$G$497,IF(AND($C67&gt;='TIF Loan Amortization'!$H$498,$C67&lt;='TIF Loan Amortization'!I$498),'TIF Loan Amortization'!$G$498,IF(AND($C67&gt;='TIF Loan Amortization'!$H$499,$C67&lt;='TIF Loan Amortization'!I$499),'TIF Loan Amortization'!$G$499,IF(AND($C67&gt;='TIF Loan Amortization'!$H$500,$C67&lt;='TIF Loan Amortization'!I$500),'TIF Loan Amortization'!$G$500,IF(AND($C67&gt;='TIF Loan Amortization'!$H$501,$C67&lt;='TIF Loan Amortization'!I$501),'TIF Loan Amortization'!$G$501,IF(AND($C67&gt;='TIF Loan Amortization'!$H$502,$C67&lt;='TIF Loan Amortization'!I$502),'TIF Loan Amortization'!$G$502,IF(AND($C67&gt;='TIF Loan Amortization'!$H$503,$C67&lt;='TIF Loan Amortization'!I$503),'TIF Loan Amortization'!$G$503,IF(AND($C67&gt;='TIF Loan Amortization'!$H$504,$C67&lt;='TIF Loan Amortization'!I$504),'TIF Loan Amortization'!$G$504,IF(AND($C67&gt;='TIF Loan Amortization'!$H$505,$C67&lt;='TIF Loan Amortization'!I$505),'TIF Loan Amortization'!$G$505,IF(AND($C67&gt;='TIF Loan Amortization'!$H$506,$C67&lt;='TIF Loan Amortization'!I$506),'TIF Loan Amortization'!$G$506,IF(AND($C67&gt;='TIF Loan Amortization'!$H$507,$C67&lt;='TIF Loan Amortization'!I$507),'TIF Loan Amortization'!$G$507,IF(AND($C67&gt;='TIF Loan Amortization'!$H$508,$C67&lt;='TIF Loan Amortization'!I$508),'TIF Loan Amortization'!$G$508,IF(AND($C67&gt;='TIF Loan Amortization'!$H$509,$C67&lt;='TIF Loan Amortization'!I$509),'TIF Loan Amortization'!$G$509,IF(AND($C67&gt;='TIF Loan Amortization'!$H$510,$C67&lt;='TIF Loan Amortization'!I$510),'TIF Loan Amortization'!$G$510,IF(AND($C67&gt;='TIF Loan Amortization'!$H$511,$C67&lt;='TIF Loan Amortization'!I$511),'TIF Loan Amortization'!$G$511,IF(AND($C67&gt;='TIF Loan Amortization'!$H$512,$C67&lt;='TIF Loan Amortization'!I$512),'TIF Loan Amortization'!$G$512,IF(AND($C67&gt;='TIF Loan Amortization'!$H$513,$C67&lt;='TIF Loan Amortization'!I$513),'TIF Loan Amortization'!$G$513,IF(AND($C67&gt;='TIF Loan Amortization'!$H$514,$C67&lt;='TIF Loan Amortization'!I$514),'TIF Loan Amortization'!$G$514,IF(AND($C67&gt;='TIF Loan Amortization'!$H$515,$C67&lt;='TIF Loan Amortization'!I$515),'TIF Loan Amortization'!$G$515,IF(AND($C67&gt;='TIF Loan Amortization'!$H$516,$C67&lt;='TIF Loan Amortization'!I$516),'TIF Loan Amortization'!$G$516,IF(AND($C67&gt;='TIF Loan Amortization'!$H$517,$C67&lt;='TIF Loan Amortization'!I$517),'TIF Loan Amortization'!$G$517,IF(AND($C67&gt;='TIF Loan Amortization'!$H$518,$C67&lt;='TIF Loan Amortization'!I$518),'TIF Loan Amortization'!$G$518,IF(AND($C67&gt;='TIF Loan Amortization'!$H$519,$C67&lt;='TIF Loan Amortization'!I$519),'TIF Loan Amortization'!$G$519))))))))))))))))))))))))))))))))))))))))</f>
        <v>#N/A</v>
      </c>
      <c r="C67" s="269" t="e">
        <f t="shared" si="16"/>
        <v>#N/A</v>
      </c>
      <c r="D67" s="281" t="str">
        <f t="shared" si="22"/>
        <v/>
      </c>
      <c r="E67" s="274">
        <v>17</v>
      </c>
      <c r="F67" s="275" t="str">
        <f>VLOOKUP($AG$427,$AE$422:$AF$433,2)</f>
        <v>Aug</v>
      </c>
      <c r="G67" s="272">
        <f t="shared" si="17"/>
        <v>0</v>
      </c>
      <c r="H67" s="272">
        <f t="shared" si="20"/>
        <v>0</v>
      </c>
      <c r="I67" s="272">
        <f t="shared" si="21"/>
        <v>0</v>
      </c>
      <c r="J67" s="272">
        <f t="shared" si="19"/>
        <v>0</v>
      </c>
      <c r="K67" s="272">
        <f>IF(ISTEXT($M$4),"",SUM(I$50:I67))</f>
        <v>0</v>
      </c>
      <c r="L67" s="272">
        <f>IF(ISTEXT($M$4),"",SUM(J$50:J67))</f>
        <v>0</v>
      </c>
      <c r="M67" s="271">
        <f t="shared" si="18"/>
        <v>0</v>
      </c>
      <c r="N67" s="291" t="e">
        <f>IF(C67='Operating Assumptions'!$C$48,"Construction Finish","")</f>
        <v>#N/A</v>
      </c>
      <c r="O67" s="291"/>
      <c r="P67" s="291"/>
      <c r="Q67" s="291"/>
      <c r="R67" s="291"/>
      <c r="S67" s="291"/>
      <c r="T67" s="291"/>
      <c r="U67" s="291"/>
      <c r="V67" s="292"/>
      <c r="W67" s="292"/>
      <c r="X67" s="292"/>
      <c r="Y67" s="291"/>
      <c r="Z67" s="279"/>
      <c r="AA67" s="279"/>
      <c r="AB67" s="279"/>
    </row>
    <row r="68" spans="1:28" s="278" customFormat="1" ht="11.65" customHeight="1" x14ac:dyDescent="0.25">
      <c r="A68" s="299"/>
      <c r="B68" s="270" t="e">
        <f>IF(AND($C68&gt;='TIF Loan Amortization'!$H$480,$C68&lt;='TIF Loan Amortization'!$I$480),'TIF Loan Amortization'!$G$480,IF(AND($C68&gt;='TIF Loan Amortization'!$H$481,$C68&lt;='TIF Loan Amortization'!I$481),'TIF Loan Amortization'!$G$481,IF(AND($C68&gt;='TIF Loan Amortization'!$H$482,$C68&lt;='TIF Loan Amortization'!I$482),'TIF Loan Amortization'!$G$482,IF(AND($C68&gt;='TIF Loan Amortization'!$H$483,$C68&lt;='TIF Loan Amortization'!I$483),'TIF Loan Amortization'!$G$483,IF(AND($C68&gt;='TIF Loan Amortization'!$H$484,$C68&lt;='TIF Loan Amortization'!I$484),'TIF Loan Amortization'!$G$484,IF(AND($C68&gt;='TIF Loan Amortization'!$H$485,$C68&lt;='TIF Loan Amortization'!I$485),'TIF Loan Amortization'!$G$485,IF(AND($C68&gt;='TIF Loan Amortization'!$H$486,$C68&lt;='TIF Loan Amortization'!I$486),'TIF Loan Amortization'!$G$486,IF(AND($C68&gt;='TIF Loan Amortization'!$H$487,$C68&lt;='TIF Loan Amortization'!I$487),'TIF Loan Amortization'!$G$487,IF(AND($C68&gt;='TIF Loan Amortization'!$H$488,$C68&lt;='TIF Loan Amortization'!I$488),'TIF Loan Amortization'!$G$488,IF(AND($C68&gt;='TIF Loan Amortization'!$H$489,$C68&lt;='TIF Loan Amortization'!I$489),'TIF Loan Amortization'!$G$489,IF(AND($C68&gt;='TIF Loan Amortization'!$H$490,$C68&lt;='TIF Loan Amortization'!I$490),'TIF Loan Amortization'!$G$490,IF(AND($C68&gt;='TIF Loan Amortization'!$H$491,$C68&lt;='TIF Loan Amortization'!I$491),'TIF Loan Amortization'!$G$491,IF(AND($C68&gt;='TIF Loan Amortization'!$H$492,$C68&lt;='TIF Loan Amortization'!I$492),'TIF Loan Amortization'!$G$492,IF(AND($C68&gt;='TIF Loan Amortization'!$H$493,$C68&lt;='TIF Loan Amortization'!I$493),'TIF Loan Amortization'!$G$493,IF(AND($C68&gt;='TIF Loan Amortization'!$H$494,$C68&lt;='TIF Loan Amortization'!I$494),'TIF Loan Amortization'!$G$494,IF(AND($C68&gt;='TIF Loan Amortization'!$H$495,$C68&lt;='TIF Loan Amortization'!I$495),'TIF Loan Amortization'!$G$495,IF(AND($C68&gt;='TIF Loan Amortization'!$H$496,$C68&lt;='TIF Loan Amortization'!I$496),'TIF Loan Amortization'!$G$496,IF(AND($C68&gt;='TIF Loan Amortization'!$H$497,$C68&lt;='TIF Loan Amortization'!I$497),'TIF Loan Amortization'!$G$497,IF(AND($C68&gt;='TIF Loan Amortization'!$H$498,$C68&lt;='TIF Loan Amortization'!I$498),'TIF Loan Amortization'!$G$498,IF(AND($C68&gt;='TIF Loan Amortization'!$H$499,$C68&lt;='TIF Loan Amortization'!I$499),'TIF Loan Amortization'!$G$499,IF(AND($C68&gt;='TIF Loan Amortization'!$H$500,$C68&lt;='TIF Loan Amortization'!I$500),'TIF Loan Amortization'!$G$500,IF(AND($C68&gt;='TIF Loan Amortization'!$H$501,$C68&lt;='TIF Loan Amortization'!I$501),'TIF Loan Amortization'!$G$501,IF(AND($C68&gt;='TIF Loan Amortization'!$H$502,$C68&lt;='TIF Loan Amortization'!I$502),'TIF Loan Amortization'!$G$502,IF(AND($C68&gt;='TIF Loan Amortization'!$H$503,$C68&lt;='TIF Loan Amortization'!I$503),'TIF Loan Amortization'!$G$503,IF(AND($C68&gt;='TIF Loan Amortization'!$H$504,$C68&lt;='TIF Loan Amortization'!I$504),'TIF Loan Amortization'!$G$504,IF(AND($C68&gt;='TIF Loan Amortization'!$H$505,$C68&lt;='TIF Loan Amortization'!I$505),'TIF Loan Amortization'!$G$505,IF(AND($C68&gt;='TIF Loan Amortization'!$H$506,$C68&lt;='TIF Loan Amortization'!I$506),'TIF Loan Amortization'!$G$506,IF(AND($C68&gt;='TIF Loan Amortization'!$H$507,$C68&lt;='TIF Loan Amortization'!I$507),'TIF Loan Amortization'!$G$507,IF(AND($C68&gt;='TIF Loan Amortization'!$H$508,$C68&lt;='TIF Loan Amortization'!I$508),'TIF Loan Amortization'!$G$508,IF(AND($C68&gt;='TIF Loan Amortization'!$H$509,$C68&lt;='TIF Loan Amortization'!I$509),'TIF Loan Amortization'!$G$509,IF(AND($C68&gt;='TIF Loan Amortization'!$H$510,$C68&lt;='TIF Loan Amortization'!I$510),'TIF Loan Amortization'!$G$510,IF(AND($C68&gt;='TIF Loan Amortization'!$H$511,$C68&lt;='TIF Loan Amortization'!I$511),'TIF Loan Amortization'!$G$511,IF(AND($C68&gt;='TIF Loan Amortization'!$H$512,$C68&lt;='TIF Loan Amortization'!I$512),'TIF Loan Amortization'!$G$512,IF(AND($C68&gt;='TIF Loan Amortization'!$H$513,$C68&lt;='TIF Loan Amortization'!I$513),'TIF Loan Amortization'!$G$513,IF(AND($C68&gt;='TIF Loan Amortization'!$H$514,$C68&lt;='TIF Loan Amortization'!I$514),'TIF Loan Amortization'!$G$514,IF(AND($C68&gt;='TIF Loan Amortization'!$H$515,$C68&lt;='TIF Loan Amortization'!I$515),'TIF Loan Amortization'!$G$515,IF(AND($C68&gt;='TIF Loan Amortization'!$H$516,$C68&lt;='TIF Loan Amortization'!I$516),'TIF Loan Amortization'!$G$516,IF(AND($C68&gt;='TIF Loan Amortization'!$H$517,$C68&lt;='TIF Loan Amortization'!I$517),'TIF Loan Amortization'!$G$517,IF(AND($C68&gt;='TIF Loan Amortization'!$H$518,$C68&lt;='TIF Loan Amortization'!I$518),'TIF Loan Amortization'!$G$518,IF(AND($C68&gt;='TIF Loan Amortization'!$H$519,$C68&lt;='TIF Loan Amortization'!I$519),'TIF Loan Amortization'!$G$519))))))))))))))))))))))))))))))))))))))))</f>
        <v>#N/A</v>
      </c>
      <c r="C68" s="269" t="e">
        <f t="shared" si="16"/>
        <v>#N/A</v>
      </c>
      <c r="D68" s="281" t="str">
        <f t="shared" si="22"/>
        <v/>
      </c>
      <c r="E68" s="274">
        <v>18</v>
      </c>
      <c r="F68" s="275" t="str">
        <f>VLOOKUP($AG$428,$AE$422:$AF$433,2)</f>
        <v>Sep</v>
      </c>
      <c r="G68" s="272">
        <f t="shared" si="17"/>
        <v>0</v>
      </c>
      <c r="H68" s="272">
        <f t="shared" si="20"/>
        <v>0</v>
      </c>
      <c r="I68" s="272">
        <f t="shared" si="21"/>
        <v>0</v>
      </c>
      <c r="J68" s="272">
        <f t="shared" si="19"/>
        <v>0</v>
      </c>
      <c r="K68" s="272">
        <f>IF(ISTEXT($M$4),"",SUM(I$50:I68))</f>
        <v>0</v>
      </c>
      <c r="L68" s="272">
        <f>IF(ISTEXT($M$4),"",SUM(J$50:J68))</f>
        <v>0</v>
      </c>
      <c r="M68" s="271">
        <f t="shared" si="18"/>
        <v>0</v>
      </c>
      <c r="N68" s="532" t="e">
        <f>IF(C68='Operating Assumptions'!$C$48,"Construction Finish","")</f>
        <v>#N/A</v>
      </c>
      <c r="O68" s="532"/>
      <c r="P68" s="532"/>
      <c r="Q68" s="532"/>
      <c r="R68" s="532"/>
      <c r="S68" s="532"/>
      <c r="T68" s="291"/>
      <c r="U68" s="291"/>
      <c r="V68" s="292"/>
      <c r="W68" s="292"/>
      <c r="X68" s="292"/>
      <c r="Y68" s="291"/>
      <c r="Z68" s="279"/>
      <c r="AA68" s="279"/>
      <c r="AB68" s="279"/>
    </row>
    <row r="69" spans="1:28" s="278" customFormat="1" ht="11.65" customHeight="1" x14ac:dyDescent="0.25">
      <c r="A69" s="299"/>
      <c r="B69" s="270" t="e">
        <f>IF(AND($C69&gt;='TIF Loan Amortization'!$H$480,$C69&lt;='TIF Loan Amortization'!$I$480),'TIF Loan Amortization'!$G$480,IF(AND($C69&gt;='TIF Loan Amortization'!$H$481,$C69&lt;='TIF Loan Amortization'!I$481),'TIF Loan Amortization'!$G$481,IF(AND($C69&gt;='TIF Loan Amortization'!$H$482,$C69&lt;='TIF Loan Amortization'!I$482),'TIF Loan Amortization'!$G$482,IF(AND($C69&gt;='TIF Loan Amortization'!$H$483,$C69&lt;='TIF Loan Amortization'!I$483),'TIF Loan Amortization'!$G$483,IF(AND($C69&gt;='TIF Loan Amortization'!$H$484,$C69&lt;='TIF Loan Amortization'!I$484),'TIF Loan Amortization'!$G$484,IF(AND($C69&gt;='TIF Loan Amortization'!$H$485,$C69&lt;='TIF Loan Amortization'!I$485),'TIF Loan Amortization'!$G$485,IF(AND($C69&gt;='TIF Loan Amortization'!$H$486,$C69&lt;='TIF Loan Amortization'!I$486),'TIF Loan Amortization'!$G$486,IF(AND($C69&gt;='TIF Loan Amortization'!$H$487,$C69&lt;='TIF Loan Amortization'!I$487),'TIF Loan Amortization'!$G$487,IF(AND($C69&gt;='TIF Loan Amortization'!$H$488,$C69&lt;='TIF Loan Amortization'!I$488),'TIF Loan Amortization'!$G$488,IF(AND($C69&gt;='TIF Loan Amortization'!$H$489,$C69&lt;='TIF Loan Amortization'!I$489),'TIF Loan Amortization'!$G$489,IF(AND($C69&gt;='TIF Loan Amortization'!$H$490,$C69&lt;='TIF Loan Amortization'!I$490),'TIF Loan Amortization'!$G$490,IF(AND($C69&gt;='TIF Loan Amortization'!$H$491,$C69&lt;='TIF Loan Amortization'!I$491),'TIF Loan Amortization'!$G$491,IF(AND($C69&gt;='TIF Loan Amortization'!$H$492,$C69&lt;='TIF Loan Amortization'!I$492),'TIF Loan Amortization'!$G$492,IF(AND($C69&gt;='TIF Loan Amortization'!$H$493,$C69&lt;='TIF Loan Amortization'!I$493),'TIF Loan Amortization'!$G$493,IF(AND($C69&gt;='TIF Loan Amortization'!$H$494,$C69&lt;='TIF Loan Amortization'!I$494),'TIF Loan Amortization'!$G$494,IF(AND($C69&gt;='TIF Loan Amortization'!$H$495,$C69&lt;='TIF Loan Amortization'!I$495),'TIF Loan Amortization'!$G$495,IF(AND($C69&gt;='TIF Loan Amortization'!$H$496,$C69&lt;='TIF Loan Amortization'!I$496),'TIF Loan Amortization'!$G$496,IF(AND($C69&gt;='TIF Loan Amortization'!$H$497,$C69&lt;='TIF Loan Amortization'!I$497),'TIF Loan Amortization'!$G$497,IF(AND($C69&gt;='TIF Loan Amortization'!$H$498,$C69&lt;='TIF Loan Amortization'!I$498),'TIF Loan Amortization'!$G$498,IF(AND($C69&gt;='TIF Loan Amortization'!$H$499,$C69&lt;='TIF Loan Amortization'!I$499),'TIF Loan Amortization'!$G$499,IF(AND($C69&gt;='TIF Loan Amortization'!$H$500,$C69&lt;='TIF Loan Amortization'!I$500),'TIF Loan Amortization'!$G$500,IF(AND($C69&gt;='TIF Loan Amortization'!$H$501,$C69&lt;='TIF Loan Amortization'!I$501),'TIF Loan Amortization'!$G$501,IF(AND($C69&gt;='TIF Loan Amortization'!$H$502,$C69&lt;='TIF Loan Amortization'!I$502),'TIF Loan Amortization'!$G$502,IF(AND($C69&gt;='TIF Loan Amortization'!$H$503,$C69&lt;='TIF Loan Amortization'!I$503),'TIF Loan Amortization'!$G$503,IF(AND($C69&gt;='TIF Loan Amortization'!$H$504,$C69&lt;='TIF Loan Amortization'!I$504),'TIF Loan Amortization'!$G$504,IF(AND($C69&gt;='TIF Loan Amortization'!$H$505,$C69&lt;='TIF Loan Amortization'!I$505),'TIF Loan Amortization'!$G$505,IF(AND($C69&gt;='TIF Loan Amortization'!$H$506,$C69&lt;='TIF Loan Amortization'!I$506),'TIF Loan Amortization'!$G$506,IF(AND($C69&gt;='TIF Loan Amortization'!$H$507,$C69&lt;='TIF Loan Amortization'!I$507),'TIF Loan Amortization'!$G$507,IF(AND($C69&gt;='TIF Loan Amortization'!$H$508,$C69&lt;='TIF Loan Amortization'!I$508),'TIF Loan Amortization'!$G$508,IF(AND($C69&gt;='TIF Loan Amortization'!$H$509,$C69&lt;='TIF Loan Amortization'!I$509),'TIF Loan Amortization'!$G$509,IF(AND($C69&gt;='TIF Loan Amortization'!$H$510,$C69&lt;='TIF Loan Amortization'!I$510),'TIF Loan Amortization'!$G$510,IF(AND($C69&gt;='TIF Loan Amortization'!$H$511,$C69&lt;='TIF Loan Amortization'!I$511),'TIF Loan Amortization'!$G$511,IF(AND($C69&gt;='TIF Loan Amortization'!$H$512,$C69&lt;='TIF Loan Amortization'!I$512),'TIF Loan Amortization'!$G$512,IF(AND($C69&gt;='TIF Loan Amortization'!$H$513,$C69&lt;='TIF Loan Amortization'!I$513),'TIF Loan Amortization'!$G$513,IF(AND($C69&gt;='TIF Loan Amortization'!$H$514,$C69&lt;='TIF Loan Amortization'!I$514),'TIF Loan Amortization'!$G$514,IF(AND($C69&gt;='TIF Loan Amortization'!$H$515,$C69&lt;='TIF Loan Amortization'!I$515),'TIF Loan Amortization'!$G$515,IF(AND($C69&gt;='TIF Loan Amortization'!$H$516,$C69&lt;='TIF Loan Amortization'!I$516),'TIF Loan Amortization'!$G$516,IF(AND($C69&gt;='TIF Loan Amortization'!$H$517,$C69&lt;='TIF Loan Amortization'!I$517),'TIF Loan Amortization'!$G$517,IF(AND($C69&gt;='TIF Loan Amortization'!$H$518,$C69&lt;='TIF Loan Amortization'!I$518),'TIF Loan Amortization'!$G$518,IF(AND($C69&gt;='TIF Loan Amortization'!$H$519,$C69&lt;='TIF Loan Amortization'!I$519),'TIF Loan Amortization'!$G$519))))))))))))))))))))))))))))))))))))))))</f>
        <v>#N/A</v>
      </c>
      <c r="C69" s="269" t="e">
        <f t="shared" si="16"/>
        <v>#N/A</v>
      </c>
      <c r="D69" s="281" t="str">
        <f t="shared" si="22"/>
        <v/>
      </c>
      <c r="E69" s="274">
        <v>19</v>
      </c>
      <c r="F69" s="275" t="str">
        <f>VLOOKUP($AG$429,$AE$422:$AF$433,2)</f>
        <v>Oct</v>
      </c>
      <c r="G69" s="272">
        <f t="shared" si="17"/>
        <v>0</v>
      </c>
      <c r="H69" s="272">
        <f t="shared" si="20"/>
        <v>0</v>
      </c>
      <c r="I69" s="272">
        <f t="shared" si="21"/>
        <v>0</v>
      </c>
      <c r="J69" s="272">
        <f t="shared" si="19"/>
        <v>0</v>
      </c>
      <c r="K69" s="272">
        <f>IF(ISTEXT($M$4),"",SUM(I$50:I69))</f>
        <v>0</v>
      </c>
      <c r="L69" s="272">
        <f>IF(ISTEXT($M$4),"",SUM(J$50:J69))</f>
        <v>0</v>
      </c>
      <c r="M69" s="271">
        <f t="shared" si="18"/>
        <v>0</v>
      </c>
      <c r="N69" s="291" t="e">
        <f>IF(C69='Operating Assumptions'!$C$48,"Construction Finish","")</f>
        <v>#N/A</v>
      </c>
      <c r="O69" s="291"/>
      <c r="P69" s="291"/>
      <c r="Q69" s="291"/>
      <c r="R69" s="291"/>
      <c r="S69" s="291"/>
      <c r="T69" s="291"/>
      <c r="U69" s="291"/>
      <c r="V69" s="292"/>
      <c r="W69" s="292"/>
      <c r="X69" s="292"/>
      <c r="Y69" s="291"/>
      <c r="Z69" s="279"/>
      <c r="AA69" s="279"/>
      <c r="AB69" s="279"/>
    </row>
    <row r="70" spans="1:28" s="278" customFormat="1" ht="11.65" customHeight="1" x14ac:dyDescent="0.25">
      <c r="A70" s="299"/>
      <c r="B70" s="270" t="e">
        <f>IF(AND($C70&gt;='TIF Loan Amortization'!$H$480,$C70&lt;='TIF Loan Amortization'!$I$480),'TIF Loan Amortization'!$G$480,IF(AND($C70&gt;='TIF Loan Amortization'!$H$481,$C70&lt;='TIF Loan Amortization'!I$481),'TIF Loan Amortization'!$G$481,IF(AND($C70&gt;='TIF Loan Amortization'!$H$482,$C70&lt;='TIF Loan Amortization'!I$482),'TIF Loan Amortization'!$G$482,IF(AND($C70&gt;='TIF Loan Amortization'!$H$483,$C70&lt;='TIF Loan Amortization'!I$483),'TIF Loan Amortization'!$G$483,IF(AND($C70&gt;='TIF Loan Amortization'!$H$484,$C70&lt;='TIF Loan Amortization'!I$484),'TIF Loan Amortization'!$G$484,IF(AND($C70&gt;='TIF Loan Amortization'!$H$485,$C70&lt;='TIF Loan Amortization'!I$485),'TIF Loan Amortization'!$G$485,IF(AND($C70&gt;='TIF Loan Amortization'!$H$486,$C70&lt;='TIF Loan Amortization'!I$486),'TIF Loan Amortization'!$G$486,IF(AND($C70&gt;='TIF Loan Amortization'!$H$487,$C70&lt;='TIF Loan Amortization'!I$487),'TIF Loan Amortization'!$G$487,IF(AND($C70&gt;='TIF Loan Amortization'!$H$488,$C70&lt;='TIF Loan Amortization'!I$488),'TIF Loan Amortization'!$G$488,IF(AND($C70&gt;='TIF Loan Amortization'!$H$489,$C70&lt;='TIF Loan Amortization'!I$489),'TIF Loan Amortization'!$G$489,IF(AND($C70&gt;='TIF Loan Amortization'!$H$490,$C70&lt;='TIF Loan Amortization'!I$490),'TIF Loan Amortization'!$G$490,IF(AND($C70&gt;='TIF Loan Amortization'!$H$491,$C70&lt;='TIF Loan Amortization'!I$491),'TIF Loan Amortization'!$G$491,IF(AND($C70&gt;='TIF Loan Amortization'!$H$492,$C70&lt;='TIF Loan Amortization'!I$492),'TIF Loan Amortization'!$G$492,IF(AND($C70&gt;='TIF Loan Amortization'!$H$493,$C70&lt;='TIF Loan Amortization'!I$493),'TIF Loan Amortization'!$G$493,IF(AND($C70&gt;='TIF Loan Amortization'!$H$494,$C70&lt;='TIF Loan Amortization'!I$494),'TIF Loan Amortization'!$G$494,IF(AND($C70&gt;='TIF Loan Amortization'!$H$495,$C70&lt;='TIF Loan Amortization'!I$495),'TIF Loan Amortization'!$G$495,IF(AND($C70&gt;='TIF Loan Amortization'!$H$496,$C70&lt;='TIF Loan Amortization'!I$496),'TIF Loan Amortization'!$G$496,IF(AND($C70&gt;='TIF Loan Amortization'!$H$497,$C70&lt;='TIF Loan Amortization'!I$497),'TIF Loan Amortization'!$G$497,IF(AND($C70&gt;='TIF Loan Amortization'!$H$498,$C70&lt;='TIF Loan Amortization'!I$498),'TIF Loan Amortization'!$G$498,IF(AND($C70&gt;='TIF Loan Amortization'!$H$499,$C70&lt;='TIF Loan Amortization'!I$499),'TIF Loan Amortization'!$G$499,IF(AND($C70&gt;='TIF Loan Amortization'!$H$500,$C70&lt;='TIF Loan Amortization'!I$500),'TIF Loan Amortization'!$G$500,IF(AND($C70&gt;='TIF Loan Amortization'!$H$501,$C70&lt;='TIF Loan Amortization'!I$501),'TIF Loan Amortization'!$G$501,IF(AND($C70&gt;='TIF Loan Amortization'!$H$502,$C70&lt;='TIF Loan Amortization'!I$502),'TIF Loan Amortization'!$G$502,IF(AND($C70&gt;='TIF Loan Amortization'!$H$503,$C70&lt;='TIF Loan Amortization'!I$503),'TIF Loan Amortization'!$G$503,IF(AND($C70&gt;='TIF Loan Amortization'!$H$504,$C70&lt;='TIF Loan Amortization'!I$504),'TIF Loan Amortization'!$G$504,IF(AND($C70&gt;='TIF Loan Amortization'!$H$505,$C70&lt;='TIF Loan Amortization'!I$505),'TIF Loan Amortization'!$G$505,IF(AND($C70&gt;='TIF Loan Amortization'!$H$506,$C70&lt;='TIF Loan Amortization'!I$506),'TIF Loan Amortization'!$G$506,IF(AND($C70&gt;='TIF Loan Amortization'!$H$507,$C70&lt;='TIF Loan Amortization'!I$507),'TIF Loan Amortization'!$G$507,IF(AND($C70&gt;='TIF Loan Amortization'!$H$508,$C70&lt;='TIF Loan Amortization'!I$508),'TIF Loan Amortization'!$G$508,IF(AND($C70&gt;='TIF Loan Amortization'!$H$509,$C70&lt;='TIF Loan Amortization'!I$509),'TIF Loan Amortization'!$G$509,IF(AND($C70&gt;='TIF Loan Amortization'!$H$510,$C70&lt;='TIF Loan Amortization'!I$510),'TIF Loan Amortization'!$G$510,IF(AND($C70&gt;='TIF Loan Amortization'!$H$511,$C70&lt;='TIF Loan Amortization'!I$511),'TIF Loan Amortization'!$G$511,IF(AND($C70&gt;='TIF Loan Amortization'!$H$512,$C70&lt;='TIF Loan Amortization'!I$512),'TIF Loan Amortization'!$G$512,IF(AND($C70&gt;='TIF Loan Amortization'!$H$513,$C70&lt;='TIF Loan Amortization'!I$513),'TIF Loan Amortization'!$G$513,IF(AND($C70&gt;='TIF Loan Amortization'!$H$514,$C70&lt;='TIF Loan Amortization'!I$514),'TIF Loan Amortization'!$G$514,IF(AND($C70&gt;='TIF Loan Amortization'!$H$515,$C70&lt;='TIF Loan Amortization'!I$515),'TIF Loan Amortization'!$G$515,IF(AND($C70&gt;='TIF Loan Amortization'!$H$516,$C70&lt;='TIF Loan Amortization'!I$516),'TIF Loan Amortization'!$G$516,IF(AND($C70&gt;='TIF Loan Amortization'!$H$517,$C70&lt;='TIF Loan Amortization'!I$517),'TIF Loan Amortization'!$G$517,IF(AND($C70&gt;='TIF Loan Amortization'!$H$518,$C70&lt;='TIF Loan Amortization'!I$518),'TIF Loan Amortization'!$G$518,IF(AND($C70&gt;='TIF Loan Amortization'!$H$519,$C70&lt;='TIF Loan Amortization'!I$519),'TIF Loan Amortization'!$G$519))))))))))))))))))))))))))))))))))))))))</f>
        <v>#N/A</v>
      </c>
      <c r="C70" s="269" t="e">
        <f t="shared" si="16"/>
        <v>#N/A</v>
      </c>
      <c r="D70" s="281" t="str">
        <f t="shared" si="22"/>
        <v/>
      </c>
      <c r="E70" s="274">
        <v>20</v>
      </c>
      <c r="F70" s="275" t="str">
        <f>VLOOKUP($AG$430,$AE$422:$AF$433,2)</f>
        <v>Nov</v>
      </c>
      <c r="G70" s="272">
        <f t="shared" si="17"/>
        <v>0</v>
      </c>
      <c r="H70" s="272">
        <f t="shared" si="20"/>
        <v>0</v>
      </c>
      <c r="I70" s="272">
        <f t="shared" si="21"/>
        <v>0</v>
      </c>
      <c r="J70" s="272">
        <f t="shared" si="19"/>
        <v>0</v>
      </c>
      <c r="K70" s="272">
        <f>IF(ISTEXT($M$4),"",SUM(I$50:I70))</f>
        <v>0</v>
      </c>
      <c r="L70" s="272">
        <f>IF(ISTEXT($M$4),"",SUM(J$50:J70))</f>
        <v>0</v>
      </c>
      <c r="M70" s="271">
        <f t="shared" si="18"/>
        <v>0</v>
      </c>
      <c r="N70" s="291" t="e">
        <f>IF(C70='Operating Assumptions'!$C$48,"Construction Finish","")</f>
        <v>#N/A</v>
      </c>
      <c r="O70" s="291"/>
      <c r="P70" s="291"/>
      <c r="Q70" s="291"/>
      <c r="R70" s="291"/>
      <c r="S70" s="291"/>
      <c r="T70" s="291"/>
      <c r="U70" s="291"/>
      <c r="V70" s="292"/>
      <c r="W70" s="292"/>
      <c r="X70" s="292"/>
      <c r="Y70" s="291"/>
      <c r="Z70" s="279"/>
      <c r="AA70" s="279"/>
      <c r="AB70" s="279"/>
    </row>
    <row r="71" spans="1:28" s="278" customFormat="1" ht="11.65" customHeight="1" x14ac:dyDescent="0.25">
      <c r="B71" s="270" t="e">
        <f>IF(AND($C71&gt;='TIF Loan Amortization'!$H$480,$C71&lt;='TIF Loan Amortization'!$I$480),'TIF Loan Amortization'!$G$480,IF(AND($C71&gt;='TIF Loan Amortization'!$H$481,$C71&lt;='TIF Loan Amortization'!I$481),'TIF Loan Amortization'!$G$481,IF(AND($C71&gt;='TIF Loan Amortization'!$H$482,$C71&lt;='TIF Loan Amortization'!I$482),'TIF Loan Amortization'!$G$482,IF(AND($C71&gt;='TIF Loan Amortization'!$H$483,$C71&lt;='TIF Loan Amortization'!I$483),'TIF Loan Amortization'!$G$483,IF(AND($C71&gt;='TIF Loan Amortization'!$H$484,$C71&lt;='TIF Loan Amortization'!I$484),'TIF Loan Amortization'!$G$484,IF(AND($C71&gt;='TIF Loan Amortization'!$H$485,$C71&lt;='TIF Loan Amortization'!I$485),'TIF Loan Amortization'!$G$485,IF(AND($C71&gt;='TIF Loan Amortization'!$H$486,$C71&lt;='TIF Loan Amortization'!I$486),'TIF Loan Amortization'!$G$486,IF(AND($C71&gt;='TIF Loan Amortization'!$H$487,$C71&lt;='TIF Loan Amortization'!I$487),'TIF Loan Amortization'!$G$487,IF(AND($C71&gt;='TIF Loan Amortization'!$H$488,$C71&lt;='TIF Loan Amortization'!I$488),'TIF Loan Amortization'!$G$488,IF(AND($C71&gt;='TIF Loan Amortization'!$H$489,$C71&lt;='TIF Loan Amortization'!I$489),'TIF Loan Amortization'!$G$489,IF(AND($C71&gt;='TIF Loan Amortization'!$H$490,$C71&lt;='TIF Loan Amortization'!I$490),'TIF Loan Amortization'!$G$490,IF(AND($C71&gt;='TIF Loan Amortization'!$H$491,$C71&lt;='TIF Loan Amortization'!I$491),'TIF Loan Amortization'!$G$491,IF(AND($C71&gt;='TIF Loan Amortization'!$H$492,$C71&lt;='TIF Loan Amortization'!I$492),'TIF Loan Amortization'!$G$492,IF(AND($C71&gt;='TIF Loan Amortization'!$H$493,$C71&lt;='TIF Loan Amortization'!I$493),'TIF Loan Amortization'!$G$493,IF(AND($C71&gt;='TIF Loan Amortization'!$H$494,$C71&lt;='TIF Loan Amortization'!I$494),'TIF Loan Amortization'!$G$494,IF(AND($C71&gt;='TIF Loan Amortization'!$H$495,$C71&lt;='TIF Loan Amortization'!I$495),'TIF Loan Amortization'!$G$495,IF(AND($C71&gt;='TIF Loan Amortization'!$H$496,$C71&lt;='TIF Loan Amortization'!I$496),'TIF Loan Amortization'!$G$496,IF(AND($C71&gt;='TIF Loan Amortization'!$H$497,$C71&lt;='TIF Loan Amortization'!I$497),'TIF Loan Amortization'!$G$497,IF(AND($C71&gt;='TIF Loan Amortization'!$H$498,$C71&lt;='TIF Loan Amortization'!I$498),'TIF Loan Amortization'!$G$498,IF(AND($C71&gt;='TIF Loan Amortization'!$H$499,$C71&lt;='TIF Loan Amortization'!I$499),'TIF Loan Amortization'!$G$499,IF(AND($C71&gt;='TIF Loan Amortization'!$H$500,$C71&lt;='TIF Loan Amortization'!I$500),'TIF Loan Amortization'!$G$500,IF(AND($C71&gt;='TIF Loan Amortization'!$H$501,$C71&lt;='TIF Loan Amortization'!I$501),'TIF Loan Amortization'!$G$501,IF(AND($C71&gt;='TIF Loan Amortization'!$H$502,$C71&lt;='TIF Loan Amortization'!I$502),'TIF Loan Amortization'!$G$502,IF(AND($C71&gt;='TIF Loan Amortization'!$H$503,$C71&lt;='TIF Loan Amortization'!I$503),'TIF Loan Amortization'!$G$503,IF(AND($C71&gt;='TIF Loan Amortization'!$H$504,$C71&lt;='TIF Loan Amortization'!I$504),'TIF Loan Amortization'!$G$504,IF(AND($C71&gt;='TIF Loan Amortization'!$H$505,$C71&lt;='TIF Loan Amortization'!I$505),'TIF Loan Amortization'!$G$505,IF(AND($C71&gt;='TIF Loan Amortization'!$H$506,$C71&lt;='TIF Loan Amortization'!I$506),'TIF Loan Amortization'!$G$506,IF(AND($C71&gt;='TIF Loan Amortization'!$H$507,$C71&lt;='TIF Loan Amortization'!I$507),'TIF Loan Amortization'!$G$507,IF(AND($C71&gt;='TIF Loan Amortization'!$H$508,$C71&lt;='TIF Loan Amortization'!I$508),'TIF Loan Amortization'!$G$508,IF(AND($C71&gt;='TIF Loan Amortization'!$H$509,$C71&lt;='TIF Loan Amortization'!I$509),'TIF Loan Amortization'!$G$509,IF(AND($C71&gt;='TIF Loan Amortization'!$H$510,$C71&lt;='TIF Loan Amortization'!I$510),'TIF Loan Amortization'!$G$510,IF(AND($C71&gt;='TIF Loan Amortization'!$H$511,$C71&lt;='TIF Loan Amortization'!I$511),'TIF Loan Amortization'!$G$511,IF(AND($C71&gt;='TIF Loan Amortization'!$H$512,$C71&lt;='TIF Loan Amortization'!I$512),'TIF Loan Amortization'!$G$512,IF(AND($C71&gt;='TIF Loan Amortization'!$H$513,$C71&lt;='TIF Loan Amortization'!I$513),'TIF Loan Amortization'!$G$513,IF(AND($C71&gt;='TIF Loan Amortization'!$H$514,$C71&lt;='TIF Loan Amortization'!I$514),'TIF Loan Amortization'!$G$514,IF(AND($C71&gt;='TIF Loan Amortization'!$H$515,$C71&lt;='TIF Loan Amortization'!I$515),'TIF Loan Amortization'!$G$515,IF(AND($C71&gt;='TIF Loan Amortization'!$H$516,$C71&lt;='TIF Loan Amortization'!I$516),'TIF Loan Amortization'!$G$516,IF(AND($C71&gt;='TIF Loan Amortization'!$H$517,$C71&lt;='TIF Loan Amortization'!I$517),'TIF Loan Amortization'!$G$517,IF(AND($C71&gt;='TIF Loan Amortization'!$H$518,$C71&lt;='TIF Loan Amortization'!I$518),'TIF Loan Amortization'!$G$518,IF(AND($C71&gt;='TIF Loan Amortization'!$H$519,$C71&lt;='TIF Loan Amortization'!I$519),'TIF Loan Amortization'!$G$519))))))))))))))))))))))))))))))))))))))))</f>
        <v>#N/A</v>
      </c>
      <c r="C71" s="269" t="e">
        <f t="shared" si="16"/>
        <v>#N/A</v>
      </c>
      <c r="D71" s="281" t="str">
        <f>IF($AG$431=1,$H$10+2,"")</f>
        <v/>
      </c>
      <c r="E71" s="274">
        <v>21</v>
      </c>
      <c r="F71" s="275" t="str">
        <f>VLOOKUP($AG$431,$AE$422:$AF$433,2)</f>
        <v>Dec</v>
      </c>
      <c r="G71" s="272">
        <f t="shared" si="17"/>
        <v>0</v>
      </c>
      <c r="H71" s="272">
        <f t="shared" si="20"/>
        <v>0</v>
      </c>
      <c r="I71" s="272">
        <f t="shared" si="21"/>
        <v>0</v>
      </c>
      <c r="J71" s="272">
        <f t="shared" si="19"/>
        <v>0</v>
      </c>
      <c r="K71" s="272">
        <f>IF(ISTEXT($M$4),"",SUM(I$50:I71))</f>
        <v>0</v>
      </c>
      <c r="L71" s="272">
        <f>IF(ISTEXT($M$4),"",SUM(J$50:J71))</f>
        <v>0</v>
      </c>
      <c r="M71" s="271">
        <f t="shared" si="18"/>
        <v>0</v>
      </c>
      <c r="N71" s="291" t="e">
        <f>IF(C71='Operating Assumptions'!$C$48,"Construction Finish","")</f>
        <v>#N/A</v>
      </c>
      <c r="O71" s="291"/>
      <c r="P71" s="291"/>
      <c r="Q71" s="291"/>
      <c r="R71" s="291"/>
      <c r="S71" s="291"/>
      <c r="T71" s="291"/>
      <c r="U71" s="291"/>
      <c r="V71" s="292"/>
      <c r="W71" s="292"/>
      <c r="X71" s="292"/>
      <c r="Y71" s="291"/>
      <c r="Z71" s="279"/>
      <c r="AA71" s="279"/>
      <c r="AB71" s="279"/>
    </row>
    <row r="72" spans="1:28" s="278" customFormat="1" ht="11.65" customHeight="1" x14ac:dyDescent="0.25">
      <c r="B72" s="270" t="e">
        <f>IF(AND($C72&gt;='TIF Loan Amortization'!$H$480,$C72&lt;='TIF Loan Amortization'!$I$480),'TIF Loan Amortization'!$G$480,IF(AND($C72&gt;='TIF Loan Amortization'!$H$481,$C72&lt;='TIF Loan Amortization'!I$481),'TIF Loan Amortization'!$G$481,IF(AND($C72&gt;='TIF Loan Amortization'!$H$482,$C72&lt;='TIF Loan Amortization'!I$482),'TIF Loan Amortization'!$G$482,IF(AND($C72&gt;='TIF Loan Amortization'!$H$483,$C72&lt;='TIF Loan Amortization'!I$483),'TIF Loan Amortization'!$G$483,IF(AND($C72&gt;='TIF Loan Amortization'!$H$484,$C72&lt;='TIF Loan Amortization'!I$484),'TIF Loan Amortization'!$G$484,IF(AND($C72&gt;='TIF Loan Amortization'!$H$485,$C72&lt;='TIF Loan Amortization'!I$485),'TIF Loan Amortization'!$G$485,IF(AND($C72&gt;='TIF Loan Amortization'!$H$486,$C72&lt;='TIF Loan Amortization'!I$486),'TIF Loan Amortization'!$G$486,IF(AND($C72&gt;='TIF Loan Amortization'!$H$487,$C72&lt;='TIF Loan Amortization'!I$487),'TIF Loan Amortization'!$G$487,IF(AND($C72&gt;='TIF Loan Amortization'!$H$488,$C72&lt;='TIF Loan Amortization'!I$488),'TIF Loan Amortization'!$G$488,IF(AND($C72&gt;='TIF Loan Amortization'!$H$489,$C72&lt;='TIF Loan Amortization'!I$489),'TIF Loan Amortization'!$G$489,IF(AND($C72&gt;='TIF Loan Amortization'!$H$490,$C72&lt;='TIF Loan Amortization'!I$490),'TIF Loan Amortization'!$G$490,IF(AND($C72&gt;='TIF Loan Amortization'!$H$491,$C72&lt;='TIF Loan Amortization'!I$491),'TIF Loan Amortization'!$G$491,IF(AND($C72&gt;='TIF Loan Amortization'!$H$492,$C72&lt;='TIF Loan Amortization'!I$492),'TIF Loan Amortization'!$G$492,IF(AND($C72&gt;='TIF Loan Amortization'!$H$493,$C72&lt;='TIF Loan Amortization'!I$493),'TIF Loan Amortization'!$G$493,IF(AND($C72&gt;='TIF Loan Amortization'!$H$494,$C72&lt;='TIF Loan Amortization'!I$494),'TIF Loan Amortization'!$G$494,IF(AND($C72&gt;='TIF Loan Amortization'!$H$495,$C72&lt;='TIF Loan Amortization'!I$495),'TIF Loan Amortization'!$G$495,IF(AND($C72&gt;='TIF Loan Amortization'!$H$496,$C72&lt;='TIF Loan Amortization'!I$496),'TIF Loan Amortization'!$G$496,IF(AND($C72&gt;='TIF Loan Amortization'!$H$497,$C72&lt;='TIF Loan Amortization'!I$497),'TIF Loan Amortization'!$G$497,IF(AND($C72&gt;='TIF Loan Amortization'!$H$498,$C72&lt;='TIF Loan Amortization'!I$498),'TIF Loan Amortization'!$G$498,IF(AND($C72&gt;='TIF Loan Amortization'!$H$499,$C72&lt;='TIF Loan Amortization'!I$499),'TIF Loan Amortization'!$G$499,IF(AND($C72&gt;='TIF Loan Amortization'!$H$500,$C72&lt;='TIF Loan Amortization'!I$500),'TIF Loan Amortization'!$G$500,IF(AND($C72&gt;='TIF Loan Amortization'!$H$501,$C72&lt;='TIF Loan Amortization'!I$501),'TIF Loan Amortization'!$G$501,IF(AND($C72&gt;='TIF Loan Amortization'!$H$502,$C72&lt;='TIF Loan Amortization'!I$502),'TIF Loan Amortization'!$G$502,IF(AND($C72&gt;='TIF Loan Amortization'!$H$503,$C72&lt;='TIF Loan Amortization'!I$503),'TIF Loan Amortization'!$G$503,IF(AND($C72&gt;='TIF Loan Amortization'!$H$504,$C72&lt;='TIF Loan Amortization'!I$504),'TIF Loan Amortization'!$G$504,IF(AND($C72&gt;='TIF Loan Amortization'!$H$505,$C72&lt;='TIF Loan Amortization'!I$505),'TIF Loan Amortization'!$G$505,IF(AND($C72&gt;='TIF Loan Amortization'!$H$506,$C72&lt;='TIF Loan Amortization'!I$506),'TIF Loan Amortization'!$G$506,IF(AND($C72&gt;='TIF Loan Amortization'!$H$507,$C72&lt;='TIF Loan Amortization'!I$507),'TIF Loan Amortization'!$G$507,IF(AND($C72&gt;='TIF Loan Amortization'!$H$508,$C72&lt;='TIF Loan Amortization'!I$508),'TIF Loan Amortization'!$G$508,IF(AND($C72&gt;='TIF Loan Amortization'!$H$509,$C72&lt;='TIF Loan Amortization'!I$509),'TIF Loan Amortization'!$G$509,IF(AND($C72&gt;='TIF Loan Amortization'!$H$510,$C72&lt;='TIF Loan Amortization'!I$510),'TIF Loan Amortization'!$G$510,IF(AND($C72&gt;='TIF Loan Amortization'!$H$511,$C72&lt;='TIF Loan Amortization'!I$511),'TIF Loan Amortization'!$G$511,IF(AND($C72&gt;='TIF Loan Amortization'!$H$512,$C72&lt;='TIF Loan Amortization'!I$512),'TIF Loan Amortization'!$G$512,IF(AND($C72&gt;='TIF Loan Amortization'!$H$513,$C72&lt;='TIF Loan Amortization'!I$513),'TIF Loan Amortization'!$G$513,IF(AND($C72&gt;='TIF Loan Amortization'!$H$514,$C72&lt;='TIF Loan Amortization'!I$514),'TIF Loan Amortization'!$G$514,IF(AND($C72&gt;='TIF Loan Amortization'!$H$515,$C72&lt;='TIF Loan Amortization'!I$515),'TIF Loan Amortization'!$G$515,IF(AND($C72&gt;='TIF Loan Amortization'!$H$516,$C72&lt;='TIF Loan Amortization'!I$516),'TIF Loan Amortization'!$G$516,IF(AND($C72&gt;='TIF Loan Amortization'!$H$517,$C72&lt;='TIF Loan Amortization'!I$517),'TIF Loan Amortization'!$G$517,IF(AND($C72&gt;='TIF Loan Amortization'!$H$518,$C72&lt;='TIF Loan Amortization'!I$518),'TIF Loan Amortization'!$G$518,IF(AND($C72&gt;='TIF Loan Amortization'!$H$519,$C72&lt;='TIF Loan Amortization'!I$519),'TIF Loan Amortization'!$G$519))))))))))))))))))))))))))))))))))))))))</f>
        <v>#N/A</v>
      </c>
      <c r="C72" s="269" t="e">
        <f t="shared" si="16"/>
        <v>#N/A</v>
      </c>
      <c r="D72" s="281">
        <f>IF($AG$432=1,$H$10+2,"")</f>
        <v>2027</v>
      </c>
      <c r="E72" s="274">
        <v>22</v>
      </c>
      <c r="F72" s="273" t="str">
        <f>VLOOKUP($AG$432,$AE$422:$AF$433,2)</f>
        <v>Jan</v>
      </c>
      <c r="G72" s="272">
        <f t="shared" si="17"/>
        <v>0</v>
      </c>
      <c r="H72" s="272">
        <f t="shared" si="20"/>
        <v>0</v>
      </c>
      <c r="I72" s="272">
        <f t="shared" si="21"/>
        <v>0</v>
      </c>
      <c r="J72" s="272">
        <f t="shared" si="19"/>
        <v>0</v>
      </c>
      <c r="K72" s="272">
        <f>IF(ISTEXT($M$4),"",SUM(I$50:I72))</f>
        <v>0</v>
      </c>
      <c r="L72" s="272">
        <f>IF(ISTEXT($M$4),"",SUM(J$50:J72))</f>
        <v>0</v>
      </c>
      <c r="M72" s="271">
        <f t="shared" si="18"/>
        <v>0</v>
      </c>
      <c r="N72" s="291" t="e">
        <f>IF(C72='Operating Assumptions'!$C$48,"Construction Finish","")</f>
        <v>#N/A</v>
      </c>
      <c r="O72" s="291"/>
      <c r="P72" s="291"/>
      <c r="Q72" s="291"/>
      <c r="R72" s="291"/>
      <c r="S72" s="291"/>
      <c r="T72" s="291"/>
      <c r="U72" s="291"/>
      <c r="V72" s="292"/>
      <c r="W72" s="292"/>
      <c r="X72" s="292"/>
      <c r="Y72" s="291"/>
      <c r="Z72" s="279"/>
      <c r="AA72" s="279"/>
      <c r="AB72" s="279"/>
    </row>
    <row r="73" spans="1:28" s="278" customFormat="1" ht="11.65" customHeight="1" x14ac:dyDescent="0.25">
      <c r="B73" s="270" t="e">
        <f>IF(AND($C73&gt;='TIF Loan Amortization'!$H$480,$C73&lt;='TIF Loan Amortization'!$I$480),'TIF Loan Amortization'!$G$480,IF(AND($C73&gt;='TIF Loan Amortization'!$H$481,$C73&lt;='TIF Loan Amortization'!I$481),'TIF Loan Amortization'!$G$481,IF(AND($C73&gt;='TIF Loan Amortization'!$H$482,$C73&lt;='TIF Loan Amortization'!I$482),'TIF Loan Amortization'!$G$482,IF(AND($C73&gt;='TIF Loan Amortization'!$H$483,$C73&lt;='TIF Loan Amortization'!I$483),'TIF Loan Amortization'!$G$483,IF(AND($C73&gt;='TIF Loan Amortization'!$H$484,$C73&lt;='TIF Loan Amortization'!I$484),'TIF Loan Amortization'!$G$484,IF(AND($C73&gt;='TIF Loan Amortization'!$H$485,$C73&lt;='TIF Loan Amortization'!I$485),'TIF Loan Amortization'!$G$485,IF(AND($C73&gt;='TIF Loan Amortization'!$H$486,$C73&lt;='TIF Loan Amortization'!I$486),'TIF Loan Amortization'!$G$486,IF(AND($C73&gt;='TIF Loan Amortization'!$H$487,$C73&lt;='TIF Loan Amortization'!I$487),'TIF Loan Amortization'!$G$487,IF(AND($C73&gt;='TIF Loan Amortization'!$H$488,$C73&lt;='TIF Loan Amortization'!I$488),'TIF Loan Amortization'!$G$488,IF(AND($C73&gt;='TIF Loan Amortization'!$H$489,$C73&lt;='TIF Loan Amortization'!I$489),'TIF Loan Amortization'!$G$489,IF(AND($C73&gt;='TIF Loan Amortization'!$H$490,$C73&lt;='TIF Loan Amortization'!I$490),'TIF Loan Amortization'!$G$490,IF(AND($C73&gt;='TIF Loan Amortization'!$H$491,$C73&lt;='TIF Loan Amortization'!I$491),'TIF Loan Amortization'!$G$491,IF(AND($C73&gt;='TIF Loan Amortization'!$H$492,$C73&lt;='TIF Loan Amortization'!I$492),'TIF Loan Amortization'!$G$492,IF(AND($C73&gt;='TIF Loan Amortization'!$H$493,$C73&lt;='TIF Loan Amortization'!I$493),'TIF Loan Amortization'!$G$493,IF(AND($C73&gt;='TIF Loan Amortization'!$H$494,$C73&lt;='TIF Loan Amortization'!I$494),'TIF Loan Amortization'!$G$494,IF(AND($C73&gt;='TIF Loan Amortization'!$H$495,$C73&lt;='TIF Loan Amortization'!I$495),'TIF Loan Amortization'!$G$495,IF(AND($C73&gt;='TIF Loan Amortization'!$H$496,$C73&lt;='TIF Loan Amortization'!I$496),'TIF Loan Amortization'!$G$496,IF(AND($C73&gt;='TIF Loan Amortization'!$H$497,$C73&lt;='TIF Loan Amortization'!I$497),'TIF Loan Amortization'!$G$497,IF(AND($C73&gt;='TIF Loan Amortization'!$H$498,$C73&lt;='TIF Loan Amortization'!I$498),'TIF Loan Amortization'!$G$498,IF(AND($C73&gt;='TIF Loan Amortization'!$H$499,$C73&lt;='TIF Loan Amortization'!I$499),'TIF Loan Amortization'!$G$499,IF(AND($C73&gt;='TIF Loan Amortization'!$H$500,$C73&lt;='TIF Loan Amortization'!I$500),'TIF Loan Amortization'!$G$500,IF(AND($C73&gt;='TIF Loan Amortization'!$H$501,$C73&lt;='TIF Loan Amortization'!I$501),'TIF Loan Amortization'!$G$501,IF(AND($C73&gt;='TIF Loan Amortization'!$H$502,$C73&lt;='TIF Loan Amortization'!I$502),'TIF Loan Amortization'!$G$502,IF(AND($C73&gt;='TIF Loan Amortization'!$H$503,$C73&lt;='TIF Loan Amortization'!I$503),'TIF Loan Amortization'!$G$503,IF(AND($C73&gt;='TIF Loan Amortization'!$H$504,$C73&lt;='TIF Loan Amortization'!I$504),'TIF Loan Amortization'!$G$504,IF(AND($C73&gt;='TIF Loan Amortization'!$H$505,$C73&lt;='TIF Loan Amortization'!I$505),'TIF Loan Amortization'!$G$505,IF(AND($C73&gt;='TIF Loan Amortization'!$H$506,$C73&lt;='TIF Loan Amortization'!I$506),'TIF Loan Amortization'!$G$506,IF(AND($C73&gt;='TIF Loan Amortization'!$H$507,$C73&lt;='TIF Loan Amortization'!I$507),'TIF Loan Amortization'!$G$507,IF(AND($C73&gt;='TIF Loan Amortization'!$H$508,$C73&lt;='TIF Loan Amortization'!I$508),'TIF Loan Amortization'!$G$508,IF(AND($C73&gt;='TIF Loan Amortization'!$H$509,$C73&lt;='TIF Loan Amortization'!I$509),'TIF Loan Amortization'!$G$509,IF(AND($C73&gt;='TIF Loan Amortization'!$H$510,$C73&lt;='TIF Loan Amortization'!I$510),'TIF Loan Amortization'!$G$510,IF(AND($C73&gt;='TIF Loan Amortization'!$H$511,$C73&lt;='TIF Loan Amortization'!I$511),'TIF Loan Amortization'!$G$511,IF(AND($C73&gt;='TIF Loan Amortization'!$H$512,$C73&lt;='TIF Loan Amortization'!I$512),'TIF Loan Amortization'!$G$512,IF(AND($C73&gt;='TIF Loan Amortization'!$H$513,$C73&lt;='TIF Loan Amortization'!I$513),'TIF Loan Amortization'!$G$513,IF(AND($C73&gt;='TIF Loan Amortization'!$H$514,$C73&lt;='TIF Loan Amortization'!I$514),'TIF Loan Amortization'!$G$514,IF(AND($C73&gt;='TIF Loan Amortization'!$H$515,$C73&lt;='TIF Loan Amortization'!I$515),'TIF Loan Amortization'!$G$515,IF(AND($C73&gt;='TIF Loan Amortization'!$H$516,$C73&lt;='TIF Loan Amortization'!I$516),'TIF Loan Amortization'!$G$516,IF(AND($C73&gt;='TIF Loan Amortization'!$H$517,$C73&lt;='TIF Loan Amortization'!I$517),'TIF Loan Amortization'!$G$517,IF(AND($C73&gt;='TIF Loan Amortization'!$H$518,$C73&lt;='TIF Loan Amortization'!I$518),'TIF Loan Amortization'!$G$518,IF(AND($C73&gt;='TIF Loan Amortization'!$H$519,$C73&lt;='TIF Loan Amortization'!I$519),'TIF Loan Amortization'!$G$519))))))))))))))))))))))))))))))))))))))))</f>
        <v>#N/A</v>
      </c>
      <c r="C73" s="269" t="e">
        <f t="shared" si="16"/>
        <v>#N/A</v>
      </c>
      <c r="D73" s="281" t="str">
        <f>IF($AG$433=1,$H$10+2,"")</f>
        <v/>
      </c>
      <c r="E73" s="274">
        <v>23</v>
      </c>
      <c r="F73" s="273" t="str">
        <f>VLOOKUP($AG$433,$AE$422:$AF$433,2)</f>
        <v>Feb</v>
      </c>
      <c r="G73" s="272">
        <f t="shared" si="17"/>
        <v>0</v>
      </c>
      <c r="H73" s="272">
        <f t="shared" si="20"/>
        <v>0</v>
      </c>
      <c r="I73" s="272">
        <f t="shared" si="21"/>
        <v>0</v>
      </c>
      <c r="J73" s="272">
        <f t="shared" si="19"/>
        <v>0</v>
      </c>
      <c r="K73" s="272">
        <f>IF(ISTEXT($M$4),"",SUM(I$50:I73))</f>
        <v>0</v>
      </c>
      <c r="L73" s="272">
        <f>IF(ISTEXT($M$4),"",SUM(J$50:J73))</f>
        <v>0</v>
      </c>
      <c r="M73" s="271">
        <f t="shared" si="18"/>
        <v>0</v>
      </c>
      <c r="N73" s="291" t="e">
        <f>IF(C73='Operating Assumptions'!$C$48,"Construction Finish","")</f>
        <v>#N/A</v>
      </c>
      <c r="O73" s="291"/>
      <c r="P73" s="291"/>
      <c r="Q73" s="291"/>
      <c r="R73" s="291"/>
      <c r="S73" s="291"/>
      <c r="T73" s="291"/>
      <c r="U73" s="291"/>
      <c r="V73" s="292"/>
      <c r="W73" s="292"/>
      <c r="X73" s="292"/>
      <c r="Y73" s="291"/>
      <c r="Z73" s="279"/>
      <c r="AA73" s="279"/>
      <c r="AB73" s="279"/>
    </row>
    <row r="74" spans="1:28" s="278" customFormat="1" ht="11.65" customHeight="1" x14ac:dyDescent="0.25">
      <c r="B74" s="270" t="e">
        <f>IF(AND($C74&gt;='TIF Loan Amortization'!$H$480,$C74&lt;='TIF Loan Amortization'!$I$480),'TIF Loan Amortization'!$G$480,IF(AND($C74&gt;='TIF Loan Amortization'!$H$481,$C74&lt;='TIF Loan Amortization'!I$481),'TIF Loan Amortization'!$G$481,IF(AND($C74&gt;='TIF Loan Amortization'!$H$482,$C74&lt;='TIF Loan Amortization'!I$482),'TIF Loan Amortization'!$G$482,IF(AND($C74&gt;='TIF Loan Amortization'!$H$483,$C74&lt;='TIF Loan Amortization'!I$483),'TIF Loan Amortization'!$G$483,IF(AND($C74&gt;='TIF Loan Amortization'!$H$484,$C74&lt;='TIF Loan Amortization'!I$484),'TIF Loan Amortization'!$G$484,IF(AND($C74&gt;='TIF Loan Amortization'!$H$485,$C74&lt;='TIF Loan Amortization'!I$485),'TIF Loan Amortization'!$G$485,IF(AND($C74&gt;='TIF Loan Amortization'!$H$486,$C74&lt;='TIF Loan Amortization'!I$486),'TIF Loan Amortization'!$G$486,IF(AND($C74&gt;='TIF Loan Amortization'!$H$487,$C74&lt;='TIF Loan Amortization'!I$487),'TIF Loan Amortization'!$G$487,IF(AND($C74&gt;='TIF Loan Amortization'!$H$488,$C74&lt;='TIF Loan Amortization'!I$488),'TIF Loan Amortization'!$G$488,IF(AND($C74&gt;='TIF Loan Amortization'!$H$489,$C74&lt;='TIF Loan Amortization'!I$489),'TIF Loan Amortization'!$G$489,IF(AND($C74&gt;='TIF Loan Amortization'!$H$490,$C74&lt;='TIF Loan Amortization'!I$490),'TIF Loan Amortization'!$G$490,IF(AND($C74&gt;='TIF Loan Amortization'!$H$491,$C74&lt;='TIF Loan Amortization'!I$491),'TIF Loan Amortization'!$G$491,IF(AND($C74&gt;='TIF Loan Amortization'!$H$492,$C74&lt;='TIF Loan Amortization'!I$492),'TIF Loan Amortization'!$G$492,IF(AND($C74&gt;='TIF Loan Amortization'!$H$493,$C74&lt;='TIF Loan Amortization'!I$493),'TIF Loan Amortization'!$G$493,IF(AND($C74&gt;='TIF Loan Amortization'!$H$494,$C74&lt;='TIF Loan Amortization'!I$494),'TIF Loan Amortization'!$G$494,IF(AND($C74&gt;='TIF Loan Amortization'!$H$495,$C74&lt;='TIF Loan Amortization'!I$495),'TIF Loan Amortization'!$G$495,IF(AND($C74&gt;='TIF Loan Amortization'!$H$496,$C74&lt;='TIF Loan Amortization'!I$496),'TIF Loan Amortization'!$G$496,IF(AND($C74&gt;='TIF Loan Amortization'!$H$497,$C74&lt;='TIF Loan Amortization'!I$497),'TIF Loan Amortization'!$G$497,IF(AND($C74&gt;='TIF Loan Amortization'!$H$498,$C74&lt;='TIF Loan Amortization'!I$498),'TIF Loan Amortization'!$G$498,IF(AND($C74&gt;='TIF Loan Amortization'!$H$499,$C74&lt;='TIF Loan Amortization'!I$499),'TIF Loan Amortization'!$G$499,IF(AND($C74&gt;='TIF Loan Amortization'!$H$500,$C74&lt;='TIF Loan Amortization'!I$500),'TIF Loan Amortization'!$G$500,IF(AND($C74&gt;='TIF Loan Amortization'!$H$501,$C74&lt;='TIF Loan Amortization'!I$501),'TIF Loan Amortization'!$G$501,IF(AND($C74&gt;='TIF Loan Amortization'!$H$502,$C74&lt;='TIF Loan Amortization'!I$502),'TIF Loan Amortization'!$G$502,IF(AND($C74&gt;='TIF Loan Amortization'!$H$503,$C74&lt;='TIF Loan Amortization'!I$503),'TIF Loan Amortization'!$G$503,IF(AND($C74&gt;='TIF Loan Amortization'!$H$504,$C74&lt;='TIF Loan Amortization'!I$504),'TIF Loan Amortization'!$G$504,IF(AND($C74&gt;='TIF Loan Amortization'!$H$505,$C74&lt;='TIF Loan Amortization'!I$505),'TIF Loan Amortization'!$G$505,IF(AND($C74&gt;='TIF Loan Amortization'!$H$506,$C74&lt;='TIF Loan Amortization'!I$506),'TIF Loan Amortization'!$G$506,IF(AND($C74&gt;='TIF Loan Amortization'!$H$507,$C74&lt;='TIF Loan Amortization'!I$507),'TIF Loan Amortization'!$G$507,IF(AND($C74&gt;='TIF Loan Amortization'!$H$508,$C74&lt;='TIF Loan Amortization'!I$508),'TIF Loan Amortization'!$G$508,IF(AND($C74&gt;='TIF Loan Amortization'!$H$509,$C74&lt;='TIF Loan Amortization'!I$509),'TIF Loan Amortization'!$G$509,IF(AND($C74&gt;='TIF Loan Amortization'!$H$510,$C74&lt;='TIF Loan Amortization'!I$510),'TIF Loan Amortization'!$G$510,IF(AND($C74&gt;='TIF Loan Amortization'!$H$511,$C74&lt;='TIF Loan Amortization'!I$511),'TIF Loan Amortization'!$G$511,IF(AND($C74&gt;='TIF Loan Amortization'!$H$512,$C74&lt;='TIF Loan Amortization'!I$512),'TIF Loan Amortization'!$G$512,IF(AND($C74&gt;='TIF Loan Amortization'!$H$513,$C74&lt;='TIF Loan Amortization'!I$513),'TIF Loan Amortization'!$G$513,IF(AND($C74&gt;='TIF Loan Amortization'!$H$514,$C74&lt;='TIF Loan Amortization'!I$514),'TIF Loan Amortization'!$G$514,IF(AND($C74&gt;='TIF Loan Amortization'!$H$515,$C74&lt;='TIF Loan Amortization'!I$515),'TIF Loan Amortization'!$G$515,IF(AND($C74&gt;='TIF Loan Amortization'!$H$516,$C74&lt;='TIF Loan Amortization'!I$516),'TIF Loan Amortization'!$G$516,IF(AND($C74&gt;='TIF Loan Amortization'!$H$517,$C74&lt;='TIF Loan Amortization'!I$517),'TIF Loan Amortization'!$G$517,IF(AND($C74&gt;='TIF Loan Amortization'!$H$518,$C74&lt;='TIF Loan Amortization'!I$518),'TIF Loan Amortization'!$G$518,IF(AND($C74&gt;='TIF Loan Amortization'!$H$519,$C74&lt;='TIF Loan Amortization'!I$519),'TIF Loan Amortization'!$G$519))))))))))))))))))))))))))))))))))))))))</f>
        <v>#N/A</v>
      </c>
      <c r="C74" s="269" t="e">
        <f t="shared" si="16"/>
        <v>#N/A</v>
      </c>
      <c r="D74" s="281" t="str">
        <f>IF($H$11="January",$H$10+2,IF($AG$422=1,$H$10+3,""))</f>
        <v/>
      </c>
      <c r="E74" s="274">
        <v>24</v>
      </c>
      <c r="F74" s="273" t="str">
        <f>VLOOKUP($AG$422,$AE$422:$AF$433,2)</f>
        <v>Mar</v>
      </c>
      <c r="G74" s="272">
        <f t="shared" si="17"/>
        <v>0</v>
      </c>
      <c r="H74" s="272">
        <f t="shared" si="20"/>
        <v>0</v>
      </c>
      <c r="I74" s="272">
        <f t="shared" si="21"/>
        <v>0</v>
      </c>
      <c r="J74" s="272">
        <f t="shared" si="19"/>
        <v>0</v>
      </c>
      <c r="K74" s="272">
        <f>IF(ISTEXT($M$4),"",SUM(I$50:I74))</f>
        <v>0</v>
      </c>
      <c r="L74" s="272">
        <f>IF(ISTEXT($M$4),"",SUM(J$50:J74))</f>
        <v>0</v>
      </c>
      <c r="M74" s="271">
        <f t="shared" si="18"/>
        <v>0</v>
      </c>
      <c r="N74" s="291" t="e">
        <f>IF(C74='Operating Assumptions'!$C$48,"Construction Finish","")</f>
        <v>#N/A</v>
      </c>
      <c r="O74" s="291"/>
      <c r="P74" s="291"/>
      <c r="Q74" s="291"/>
      <c r="R74" s="291"/>
      <c r="S74" s="291"/>
      <c r="T74" s="291"/>
      <c r="U74" s="291"/>
      <c r="V74" s="292"/>
      <c r="W74" s="292"/>
      <c r="X74" s="292"/>
      <c r="Y74" s="291"/>
      <c r="Z74" s="279"/>
      <c r="AA74" s="279"/>
      <c r="AB74" s="279"/>
    </row>
    <row r="75" spans="1:28" s="278" customFormat="1" ht="11.65" customHeight="1" x14ac:dyDescent="0.25">
      <c r="B75" s="270" t="e">
        <f>IF(AND($C75&gt;='TIF Loan Amortization'!$H$480,$C75&lt;='TIF Loan Amortization'!$I$480),'TIF Loan Amortization'!$G$480,IF(AND($C75&gt;='TIF Loan Amortization'!$H$481,$C75&lt;='TIF Loan Amortization'!I$481),'TIF Loan Amortization'!$G$481,IF(AND($C75&gt;='TIF Loan Amortization'!$H$482,$C75&lt;='TIF Loan Amortization'!I$482),'TIF Loan Amortization'!$G$482,IF(AND($C75&gt;='TIF Loan Amortization'!$H$483,$C75&lt;='TIF Loan Amortization'!I$483),'TIF Loan Amortization'!$G$483,IF(AND($C75&gt;='TIF Loan Amortization'!$H$484,$C75&lt;='TIF Loan Amortization'!I$484),'TIF Loan Amortization'!$G$484,IF(AND($C75&gt;='TIF Loan Amortization'!$H$485,$C75&lt;='TIF Loan Amortization'!I$485),'TIF Loan Amortization'!$G$485,IF(AND($C75&gt;='TIF Loan Amortization'!$H$486,$C75&lt;='TIF Loan Amortization'!I$486),'TIF Loan Amortization'!$G$486,IF(AND($C75&gt;='TIF Loan Amortization'!$H$487,$C75&lt;='TIF Loan Amortization'!I$487),'TIF Loan Amortization'!$G$487,IF(AND($C75&gt;='TIF Loan Amortization'!$H$488,$C75&lt;='TIF Loan Amortization'!I$488),'TIF Loan Amortization'!$G$488,IF(AND($C75&gt;='TIF Loan Amortization'!$H$489,$C75&lt;='TIF Loan Amortization'!I$489),'TIF Loan Amortization'!$G$489,IF(AND($C75&gt;='TIF Loan Amortization'!$H$490,$C75&lt;='TIF Loan Amortization'!I$490),'TIF Loan Amortization'!$G$490,IF(AND($C75&gt;='TIF Loan Amortization'!$H$491,$C75&lt;='TIF Loan Amortization'!I$491),'TIF Loan Amortization'!$G$491,IF(AND($C75&gt;='TIF Loan Amortization'!$H$492,$C75&lt;='TIF Loan Amortization'!I$492),'TIF Loan Amortization'!$G$492,IF(AND($C75&gt;='TIF Loan Amortization'!$H$493,$C75&lt;='TIF Loan Amortization'!I$493),'TIF Loan Amortization'!$G$493,IF(AND($C75&gt;='TIF Loan Amortization'!$H$494,$C75&lt;='TIF Loan Amortization'!I$494),'TIF Loan Amortization'!$G$494,IF(AND($C75&gt;='TIF Loan Amortization'!$H$495,$C75&lt;='TIF Loan Amortization'!I$495),'TIF Loan Amortization'!$G$495,IF(AND($C75&gt;='TIF Loan Amortization'!$H$496,$C75&lt;='TIF Loan Amortization'!I$496),'TIF Loan Amortization'!$G$496,IF(AND($C75&gt;='TIF Loan Amortization'!$H$497,$C75&lt;='TIF Loan Amortization'!I$497),'TIF Loan Amortization'!$G$497,IF(AND($C75&gt;='TIF Loan Amortization'!$H$498,$C75&lt;='TIF Loan Amortization'!I$498),'TIF Loan Amortization'!$G$498,IF(AND($C75&gt;='TIF Loan Amortization'!$H$499,$C75&lt;='TIF Loan Amortization'!I$499),'TIF Loan Amortization'!$G$499,IF(AND($C75&gt;='TIF Loan Amortization'!$H$500,$C75&lt;='TIF Loan Amortization'!I$500),'TIF Loan Amortization'!$G$500,IF(AND($C75&gt;='TIF Loan Amortization'!$H$501,$C75&lt;='TIF Loan Amortization'!I$501),'TIF Loan Amortization'!$G$501,IF(AND($C75&gt;='TIF Loan Amortization'!$H$502,$C75&lt;='TIF Loan Amortization'!I$502),'TIF Loan Amortization'!$G$502,IF(AND($C75&gt;='TIF Loan Amortization'!$H$503,$C75&lt;='TIF Loan Amortization'!I$503),'TIF Loan Amortization'!$G$503,IF(AND($C75&gt;='TIF Loan Amortization'!$H$504,$C75&lt;='TIF Loan Amortization'!I$504),'TIF Loan Amortization'!$G$504,IF(AND($C75&gt;='TIF Loan Amortization'!$H$505,$C75&lt;='TIF Loan Amortization'!I$505),'TIF Loan Amortization'!$G$505,IF(AND($C75&gt;='TIF Loan Amortization'!$H$506,$C75&lt;='TIF Loan Amortization'!I$506),'TIF Loan Amortization'!$G$506,IF(AND($C75&gt;='TIF Loan Amortization'!$H$507,$C75&lt;='TIF Loan Amortization'!I$507),'TIF Loan Amortization'!$G$507,IF(AND($C75&gt;='TIF Loan Amortization'!$H$508,$C75&lt;='TIF Loan Amortization'!I$508),'TIF Loan Amortization'!$G$508,IF(AND($C75&gt;='TIF Loan Amortization'!$H$509,$C75&lt;='TIF Loan Amortization'!I$509),'TIF Loan Amortization'!$G$509,IF(AND($C75&gt;='TIF Loan Amortization'!$H$510,$C75&lt;='TIF Loan Amortization'!I$510),'TIF Loan Amortization'!$G$510,IF(AND($C75&gt;='TIF Loan Amortization'!$H$511,$C75&lt;='TIF Loan Amortization'!I$511),'TIF Loan Amortization'!$G$511,IF(AND($C75&gt;='TIF Loan Amortization'!$H$512,$C75&lt;='TIF Loan Amortization'!I$512),'TIF Loan Amortization'!$G$512,IF(AND($C75&gt;='TIF Loan Amortization'!$H$513,$C75&lt;='TIF Loan Amortization'!I$513),'TIF Loan Amortization'!$G$513,IF(AND($C75&gt;='TIF Loan Amortization'!$H$514,$C75&lt;='TIF Loan Amortization'!I$514),'TIF Loan Amortization'!$G$514,IF(AND($C75&gt;='TIF Loan Amortization'!$H$515,$C75&lt;='TIF Loan Amortization'!I$515),'TIF Loan Amortization'!$G$515,IF(AND($C75&gt;='TIF Loan Amortization'!$H$516,$C75&lt;='TIF Loan Amortization'!I$516),'TIF Loan Amortization'!$G$516,IF(AND($C75&gt;='TIF Loan Amortization'!$H$517,$C75&lt;='TIF Loan Amortization'!I$517),'TIF Loan Amortization'!$G$517,IF(AND($C75&gt;='TIF Loan Amortization'!$H$518,$C75&lt;='TIF Loan Amortization'!I$518),'TIF Loan Amortization'!$G$518,IF(AND($C75&gt;='TIF Loan Amortization'!$H$519,$C75&lt;='TIF Loan Amortization'!I$519),'TIF Loan Amortization'!$G$519))))))))))))))))))))))))))))))))))))))))</f>
        <v>#N/A</v>
      </c>
      <c r="C75" s="269" t="e">
        <f t="shared" si="16"/>
        <v>#N/A</v>
      </c>
      <c r="D75" s="281" t="str">
        <f>IF($AG$423=1,$H$10+3,"")</f>
        <v/>
      </c>
      <c r="E75" s="274">
        <v>25</v>
      </c>
      <c r="F75" s="275" t="str">
        <f>VLOOKUP($AG$423,$AE$422:$AF$433,2)</f>
        <v>Apr</v>
      </c>
      <c r="G75" s="272">
        <f t="shared" si="17"/>
        <v>0</v>
      </c>
      <c r="H75" s="272">
        <f t="shared" si="20"/>
        <v>0</v>
      </c>
      <c r="I75" s="272">
        <f t="shared" si="21"/>
        <v>0</v>
      </c>
      <c r="J75" s="272">
        <f t="shared" si="19"/>
        <v>0</v>
      </c>
      <c r="K75" s="272">
        <f>IF(ISTEXT($M$4),"",SUM(I$50:I75))</f>
        <v>0</v>
      </c>
      <c r="L75" s="272">
        <f>IF(ISTEXT($M$4),"",SUM(J$50:J75))</f>
        <v>0</v>
      </c>
      <c r="M75" s="271">
        <f t="shared" si="18"/>
        <v>0</v>
      </c>
      <c r="N75" s="291" t="e">
        <f>IF(C75='Operating Assumptions'!$C$48,"Construction Finish","")</f>
        <v>#N/A</v>
      </c>
      <c r="O75" s="291"/>
      <c r="P75" s="291"/>
      <c r="Q75" s="291"/>
      <c r="R75" s="291"/>
      <c r="S75" s="291"/>
      <c r="T75" s="291"/>
      <c r="U75" s="291"/>
      <c r="V75" s="292"/>
      <c r="W75" s="292"/>
      <c r="X75" s="292"/>
      <c r="Y75" s="291"/>
      <c r="Z75" s="279"/>
      <c r="AA75" s="279"/>
      <c r="AB75" s="279"/>
    </row>
    <row r="76" spans="1:28" s="278" customFormat="1" ht="11.65" customHeight="1" x14ac:dyDescent="0.25">
      <c r="B76" s="270" t="e">
        <f>IF(AND($C76&gt;='TIF Loan Amortization'!$H$480,$C76&lt;='TIF Loan Amortization'!$I$480),'TIF Loan Amortization'!$G$480,IF(AND($C76&gt;='TIF Loan Amortization'!$H$481,$C76&lt;='TIF Loan Amortization'!I$481),'TIF Loan Amortization'!$G$481,IF(AND($C76&gt;='TIF Loan Amortization'!$H$482,$C76&lt;='TIF Loan Amortization'!I$482),'TIF Loan Amortization'!$G$482,IF(AND($C76&gt;='TIF Loan Amortization'!$H$483,$C76&lt;='TIF Loan Amortization'!I$483),'TIF Loan Amortization'!$G$483,IF(AND($C76&gt;='TIF Loan Amortization'!$H$484,$C76&lt;='TIF Loan Amortization'!I$484),'TIF Loan Amortization'!$G$484,IF(AND($C76&gt;='TIF Loan Amortization'!$H$485,$C76&lt;='TIF Loan Amortization'!I$485),'TIF Loan Amortization'!$G$485,IF(AND($C76&gt;='TIF Loan Amortization'!$H$486,$C76&lt;='TIF Loan Amortization'!I$486),'TIF Loan Amortization'!$G$486,IF(AND($C76&gt;='TIF Loan Amortization'!$H$487,$C76&lt;='TIF Loan Amortization'!I$487),'TIF Loan Amortization'!$G$487,IF(AND($C76&gt;='TIF Loan Amortization'!$H$488,$C76&lt;='TIF Loan Amortization'!I$488),'TIF Loan Amortization'!$G$488,IF(AND($C76&gt;='TIF Loan Amortization'!$H$489,$C76&lt;='TIF Loan Amortization'!I$489),'TIF Loan Amortization'!$G$489,IF(AND($C76&gt;='TIF Loan Amortization'!$H$490,$C76&lt;='TIF Loan Amortization'!I$490),'TIF Loan Amortization'!$G$490,IF(AND($C76&gt;='TIF Loan Amortization'!$H$491,$C76&lt;='TIF Loan Amortization'!I$491),'TIF Loan Amortization'!$G$491,IF(AND($C76&gt;='TIF Loan Amortization'!$H$492,$C76&lt;='TIF Loan Amortization'!I$492),'TIF Loan Amortization'!$G$492,IF(AND($C76&gt;='TIF Loan Amortization'!$H$493,$C76&lt;='TIF Loan Amortization'!I$493),'TIF Loan Amortization'!$G$493,IF(AND($C76&gt;='TIF Loan Amortization'!$H$494,$C76&lt;='TIF Loan Amortization'!I$494),'TIF Loan Amortization'!$G$494,IF(AND($C76&gt;='TIF Loan Amortization'!$H$495,$C76&lt;='TIF Loan Amortization'!I$495),'TIF Loan Amortization'!$G$495,IF(AND($C76&gt;='TIF Loan Amortization'!$H$496,$C76&lt;='TIF Loan Amortization'!I$496),'TIF Loan Amortization'!$G$496,IF(AND($C76&gt;='TIF Loan Amortization'!$H$497,$C76&lt;='TIF Loan Amortization'!I$497),'TIF Loan Amortization'!$G$497,IF(AND($C76&gt;='TIF Loan Amortization'!$H$498,$C76&lt;='TIF Loan Amortization'!I$498),'TIF Loan Amortization'!$G$498,IF(AND($C76&gt;='TIF Loan Amortization'!$H$499,$C76&lt;='TIF Loan Amortization'!I$499),'TIF Loan Amortization'!$G$499,IF(AND($C76&gt;='TIF Loan Amortization'!$H$500,$C76&lt;='TIF Loan Amortization'!I$500),'TIF Loan Amortization'!$G$500,IF(AND($C76&gt;='TIF Loan Amortization'!$H$501,$C76&lt;='TIF Loan Amortization'!I$501),'TIF Loan Amortization'!$G$501,IF(AND($C76&gt;='TIF Loan Amortization'!$H$502,$C76&lt;='TIF Loan Amortization'!I$502),'TIF Loan Amortization'!$G$502,IF(AND($C76&gt;='TIF Loan Amortization'!$H$503,$C76&lt;='TIF Loan Amortization'!I$503),'TIF Loan Amortization'!$G$503,IF(AND($C76&gt;='TIF Loan Amortization'!$H$504,$C76&lt;='TIF Loan Amortization'!I$504),'TIF Loan Amortization'!$G$504,IF(AND($C76&gt;='TIF Loan Amortization'!$H$505,$C76&lt;='TIF Loan Amortization'!I$505),'TIF Loan Amortization'!$G$505,IF(AND($C76&gt;='TIF Loan Amortization'!$H$506,$C76&lt;='TIF Loan Amortization'!I$506),'TIF Loan Amortization'!$G$506,IF(AND($C76&gt;='TIF Loan Amortization'!$H$507,$C76&lt;='TIF Loan Amortization'!I$507),'TIF Loan Amortization'!$G$507,IF(AND($C76&gt;='TIF Loan Amortization'!$H$508,$C76&lt;='TIF Loan Amortization'!I$508),'TIF Loan Amortization'!$G$508,IF(AND($C76&gt;='TIF Loan Amortization'!$H$509,$C76&lt;='TIF Loan Amortization'!I$509),'TIF Loan Amortization'!$G$509,IF(AND($C76&gt;='TIF Loan Amortization'!$H$510,$C76&lt;='TIF Loan Amortization'!I$510),'TIF Loan Amortization'!$G$510,IF(AND($C76&gt;='TIF Loan Amortization'!$H$511,$C76&lt;='TIF Loan Amortization'!I$511),'TIF Loan Amortization'!$G$511,IF(AND($C76&gt;='TIF Loan Amortization'!$H$512,$C76&lt;='TIF Loan Amortization'!I$512),'TIF Loan Amortization'!$G$512,IF(AND($C76&gt;='TIF Loan Amortization'!$H$513,$C76&lt;='TIF Loan Amortization'!I$513),'TIF Loan Amortization'!$G$513,IF(AND($C76&gt;='TIF Loan Amortization'!$H$514,$C76&lt;='TIF Loan Amortization'!I$514),'TIF Loan Amortization'!$G$514,IF(AND($C76&gt;='TIF Loan Amortization'!$H$515,$C76&lt;='TIF Loan Amortization'!I$515),'TIF Loan Amortization'!$G$515,IF(AND($C76&gt;='TIF Loan Amortization'!$H$516,$C76&lt;='TIF Loan Amortization'!I$516),'TIF Loan Amortization'!$G$516,IF(AND($C76&gt;='TIF Loan Amortization'!$H$517,$C76&lt;='TIF Loan Amortization'!I$517),'TIF Loan Amortization'!$G$517,IF(AND($C76&gt;='TIF Loan Amortization'!$H$518,$C76&lt;='TIF Loan Amortization'!I$518),'TIF Loan Amortization'!$G$518,IF(AND($C76&gt;='TIF Loan Amortization'!$H$519,$C76&lt;='TIF Loan Amortization'!I$519),'TIF Loan Amortization'!$G$519))))))))))))))))))))))))))))))))))))))))</f>
        <v>#N/A</v>
      </c>
      <c r="C76" s="269" t="e">
        <f t="shared" si="16"/>
        <v>#N/A</v>
      </c>
      <c r="D76" s="281" t="str">
        <f>IF($AG$424=1,$H$10+3,"")</f>
        <v/>
      </c>
      <c r="E76" s="274">
        <v>26</v>
      </c>
      <c r="F76" s="275" t="str">
        <f>VLOOKUP($AG$424,$AE$422:$AF$433,2)</f>
        <v>May</v>
      </c>
      <c r="G76" s="272">
        <f t="shared" si="17"/>
        <v>0</v>
      </c>
      <c r="H76" s="272">
        <f t="shared" si="20"/>
        <v>0</v>
      </c>
      <c r="I76" s="272">
        <f t="shared" si="21"/>
        <v>0</v>
      </c>
      <c r="J76" s="272">
        <f t="shared" si="19"/>
        <v>0</v>
      </c>
      <c r="K76" s="272">
        <f>IF(ISTEXT($M$4),"",SUM(I$50:I76))</f>
        <v>0</v>
      </c>
      <c r="L76" s="272">
        <f>IF(ISTEXT($M$4),"",SUM(J$50:J76))</f>
        <v>0</v>
      </c>
      <c r="M76" s="271">
        <f t="shared" si="18"/>
        <v>0</v>
      </c>
      <c r="N76" s="291" t="e">
        <f>IF(C76='Operating Assumptions'!$C$48,"Construction Finish","")</f>
        <v>#N/A</v>
      </c>
      <c r="O76" s="291"/>
      <c r="P76" s="291"/>
      <c r="Q76" s="291"/>
      <c r="R76" s="291"/>
      <c r="S76" s="291"/>
      <c r="T76" s="291"/>
      <c r="U76" s="291"/>
      <c r="V76" s="292"/>
      <c r="W76" s="292"/>
      <c r="X76" s="292"/>
      <c r="Y76" s="291"/>
      <c r="Z76" s="279"/>
      <c r="AA76" s="279"/>
      <c r="AB76" s="279"/>
    </row>
    <row r="77" spans="1:28" s="278" customFormat="1" ht="11.65" customHeight="1" x14ac:dyDescent="0.25">
      <c r="B77" s="270" t="e">
        <f>IF(AND($C77&gt;='TIF Loan Amortization'!$H$480,$C77&lt;='TIF Loan Amortization'!$I$480),'TIF Loan Amortization'!$G$480,IF(AND($C77&gt;='TIF Loan Amortization'!$H$481,$C77&lt;='TIF Loan Amortization'!I$481),'TIF Loan Amortization'!$G$481,IF(AND($C77&gt;='TIF Loan Amortization'!$H$482,$C77&lt;='TIF Loan Amortization'!I$482),'TIF Loan Amortization'!$G$482,IF(AND($C77&gt;='TIF Loan Amortization'!$H$483,$C77&lt;='TIF Loan Amortization'!I$483),'TIF Loan Amortization'!$G$483,IF(AND($C77&gt;='TIF Loan Amortization'!$H$484,$C77&lt;='TIF Loan Amortization'!I$484),'TIF Loan Amortization'!$G$484,IF(AND($C77&gt;='TIF Loan Amortization'!$H$485,$C77&lt;='TIF Loan Amortization'!I$485),'TIF Loan Amortization'!$G$485,IF(AND($C77&gt;='TIF Loan Amortization'!$H$486,$C77&lt;='TIF Loan Amortization'!I$486),'TIF Loan Amortization'!$G$486,IF(AND($C77&gt;='TIF Loan Amortization'!$H$487,$C77&lt;='TIF Loan Amortization'!I$487),'TIF Loan Amortization'!$G$487,IF(AND($C77&gt;='TIF Loan Amortization'!$H$488,$C77&lt;='TIF Loan Amortization'!I$488),'TIF Loan Amortization'!$G$488,IF(AND($C77&gt;='TIF Loan Amortization'!$H$489,$C77&lt;='TIF Loan Amortization'!I$489),'TIF Loan Amortization'!$G$489,IF(AND($C77&gt;='TIF Loan Amortization'!$H$490,$C77&lt;='TIF Loan Amortization'!I$490),'TIF Loan Amortization'!$G$490,IF(AND($C77&gt;='TIF Loan Amortization'!$H$491,$C77&lt;='TIF Loan Amortization'!I$491),'TIF Loan Amortization'!$G$491,IF(AND($C77&gt;='TIF Loan Amortization'!$H$492,$C77&lt;='TIF Loan Amortization'!I$492),'TIF Loan Amortization'!$G$492,IF(AND($C77&gt;='TIF Loan Amortization'!$H$493,$C77&lt;='TIF Loan Amortization'!I$493),'TIF Loan Amortization'!$G$493,IF(AND($C77&gt;='TIF Loan Amortization'!$H$494,$C77&lt;='TIF Loan Amortization'!I$494),'TIF Loan Amortization'!$G$494,IF(AND($C77&gt;='TIF Loan Amortization'!$H$495,$C77&lt;='TIF Loan Amortization'!I$495),'TIF Loan Amortization'!$G$495,IF(AND($C77&gt;='TIF Loan Amortization'!$H$496,$C77&lt;='TIF Loan Amortization'!I$496),'TIF Loan Amortization'!$G$496,IF(AND($C77&gt;='TIF Loan Amortization'!$H$497,$C77&lt;='TIF Loan Amortization'!I$497),'TIF Loan Amortization'!$G$497,IF(AND($C77&gt;='TIF Loan Amortization'!$H$498,$C77&lt;='TIF Loan Amortization'!I$498),'TIF Loan Amortization'!$G$498,IF(AND($C77&gt;='TIF Loan Amortization'!$H$499,$C77&lt;='TIF Loan Amortization'!I$499),'TIF Loan Amortization'!$G$499,IF(AND($C77&gt;='TIF Loan Amortization'!$H$500,$C77&lt;='TIF Loan Amortization'!I$500),'TIF Loan Amortization'!$G$500,IF(AND($C77&gt;='TIF Loan Amortization'!$H$501,$C77&lt;='TIF Loan Amortization'!I$501),'TIF Loan Amortization'!$G$501,IF(AND($C77&gt;='TIF Loan Amortization'!$H$502,$C77&lt;='TIF Loan Amortization'!I$502),'TIF Loan Amortization'!$G$502,IF(AND($C77&gt;='TIF Loan Amortization'!$H$503,$C77&lt;='TIF Loan Amortization'!I$503),'TIF Loan Amortization'!$G$503,IF(AND($C77&gt;='TIF Loan Amortization'!$H$504,$C77&lt;='TIF Loan Amortization'!I$504),'TIF Loan Amortization'!$G$504,IF(AND($C77&gt;='TIF Loan Amortization'!$H$505,$C77&lt;='TIF Loan Amortization'!I$505),'TIF Loan Amortization'!$G$505,IF(AND($C77&gt;='TIF Loan Amortization'!$H$506,$C77&lt;='TIF Loan Amortization'!I$506),'TIF Loan Amortization'!$G$506,IF(AND($C77&gt;='TIF Loan Amortization'!$H$507,$C77&lt;='TIF Loan Amortization'!I$507),'TIF Loan Amortization'!$G$507,IF(AND($C77&gt;='TIF Loan Amortization'!$H$508,$C77&lt;='TIF Loan Amortization'!I$508),'TIF Loan Amortization'!$G$508,IF(AND($C77&gt;='TIF Loan Amortization'!$H$509,$C77&lt;='TIF Loan Amortization'!I$509),'TIF Loan Amortization'!$G$509,IF(AND($C77&gt;='TIF Loan Amortization'!$H$510,$C77&lt;='TIF Loan Amortization'!I$510),'TIF Loan Amortization'!$G$510,IF(AND($C77&gt;='TIF Loan Amortization'!$H$511,$C77&lt;='TIF Loan Amortization'!I$511),'TIF Loan Amortization'!$G$511,IF(AND($C77&gt;='TIF Loan Amortization'!$H$512,$C77&lt;='TIF Loan Amortization'!I$512),'TIF Loan Amortization'!$G$512,IF(AND($C77&gt;='TIF Loan Amortization'!$H$513,$C77&lt;='TIF Loan Amortization'!I$513),'TIF Loan Amortization'!$G$513,IF(AND($C77&gt;='TIF Loan Amortization'!$H$514,$C77&lt;='TIF Loan Amortization'!I$514),'TIF Loan Amortization'!$G$514,IF(AND($C77&gt;='TIF Loan Amortization'!$H$515,$C77&lt;='TIF Loan Amortization'!I$515),'TIF Loan Amortization'!$G$515,IF(AND($C77&gt;='TIF Loan Amortization'!$H$516,$C77&lt;='TIF Loan Amortization'!I$516),'TIF Loan Amortization'!$G$516,IF(AND($C77&gt;='TIF Loan Amortization'!$H$517,$C77&lt;='TIF Loan Amortization'!I$517),'TIF Loan Amortization'!$G$517,IF(AND($C77&gt;='TIF Loan Amortization'!$H$518,$C77&lt;='TIF Loan Amortization'!I$518),'TIF Loan Amortization'!$G$518,IF(AND($C77&gt;='TIF Loan Amortization'!$H$519,$C77&lt;='TIF Loan Amortization'!I$519),'TIF Loan Amortization'!$G$519))))))))))))))))))))))))))))))))))))))))</f>
        <v>#N/A</v>
      </c>
      <c r="C77" s="269" t="e">
        <f t="shared" si="16"/>
        <v>#N/A</v>
      </c>
      <c r="D77" s="281" t="str">
        <f>IF($AG$425=1,$H$10+3,"")</f>
        <v/>
      </c>
      <c r="E77" s="274">
        <v>27</v>
      </c>
      <c r="F77" s="275" t="str">
        <f>VLOOKUP($AG$425,$AE$422:$AF$433,2)</f>
        <v>Jun</v>
      </c>
      <c r="G77" s="272">
        <f t="shared" si="17"/>
        <v>0</v>
      </c>
      <c r="H77" s="272">
        <f t="shared" si="20"/>
        <v>0</v>
      </c>
      <c r="I77" s="272">
        <f t="shared" si="21"/>
        <v>0</v>
      </c>
      <c r="J77" s="272">
        <f t="shared" si="19"/>
        <v>0</v>
      </c>
      <c r="K77" s="272">
        <f>IF(ISTEXT($M$4),"",SUM(I$50:I77))</f>
        <v>0</v>
      </c>
      <c r="L77" s="272">
        <f>IF(ISTEXT($M$4),"",SUM(J$50:J77))</f>
        <v>0</v>
      </c>
      <c r="M77" s="271">
        <f t="shared" si="18"/>
        <v>0</v>
      </c>
      <c r="N77" s="291" t="e">
        <f>IF(C77='Operating Assumptions'!$C$48,"Construction Finish","")</f>
        <v>#N/A</v>
      </c>
      <c r="O77" s="291"/>
      <c r="P77" s="291"/>
      <c r="Q77" s="291"/>
      <c r="R77" s="291"/>
      <c r="S77" s="291"/>
      <c r="T77" s="291"/>
      <c r="U77" s="291"/>
      <c r="V77" s="292"/>
      <c r="W77" s="292"/>
      <c r="X77" s="292"/>
      <c r="Y77" s="291"/>
      <c r="Z77" s="279"/>
      <c r="AA77" s="279"/>
      <c r="AB77" s="279"/>
    </row>
    <row r="78" spans="1:28" s="278" customFormat="1" ht="11.65" customHeight="1" x14ac:dyDescent="0.25">
      <c r="B78" s="270" t="e">
        <f>IF(AND($C78&gt;='TIF Loan Amortization'!$H$480,$C78&lt;='TIF Loan Amortization'!$I$480),'TIF Loan Amortization'!$G$480,IF(AND($C78&gt;='TIF Loan Amortization'!$H$481,$C78&lt;='TIF Loan Amortization'!I$481),'TIF Loan Amortization'!$G$481,IF(AND($C78&gt;='TIF Loan Amortization'!$H$482,$C78&lt;='TIF Loan Amortization'!I$482),'TIF Loan Amortization'!$G$482,IF(AND($C78&gt;='TIF Loan Amortization'!$H$483,$C78&lt;='TIF Loan Amortization'!I$483),'TIF Loan Amortization'!$G$483,IF(AND($C78&gt;='TIF Loan Amortization'!$H$484,$C78&lt;='TIF Loan Amortization'!I$484),'TIF Loan Amortization'!$G$484,IF(AND($C78&gt;='TIF Loan Amortization'!$H$485,$C78&lt;='TIF Loan Amortization'!I$485),'TIF Loan Amortization'!$G$485,IF(AND($C78&gt;='TIF Loan Amortization'!$H$486,$C78&lt;='TIF Loan Amortization'!I$486),'TIF Loan Amortization'!$G$486,IF(AND($C78&gt;='TIF Loan Amortization'!$H$487,$C78&lt;='TIF Loan Amortization'!I$487),'TIF Loan Amortization'!$G$487,IF(AND($C78&gt;='TIF Loan Amortization'!$H$488,$C78&lt;='TIF Loan Amortization'!I$488),'TIF Loan Amortization'!$G$488,IF(AND($C78&gt;='TIF Loan Amortization'!$H$489,$C78&lt;='TIF Loan Amortization'!I$489),'TIF Loan Amortization'!$G$489,IF(AND($C78&gt;='TIF Loan Amortization'!$H$490,$C78&lt;='TIF Loan Amortization'!I$490),'TIF Loan Amortization'!$G$490,IF(AND($C78&gt;='TIF Loan Amortization'!$H$491,$C78&lt;='TIF Loan Amortization'!I$491),'TIF Loan Amortization'!$G$491,IF(AND($C78&gt;='TIF Loan Amortization'!$H$492,$C78&lt;='TIF Loan Amortization'!I$492),'TIF Loan Amortization'!$G$492,IF(AND($C78&gt;='TIF Loan Amortization'!$H$493,$C78&lt;='TIF Loan Amortization'!I$493),'TIF Loan Amortization'!$G$493,IF(AND($C78&gt;='TIF Loan Amortization'!$H$494,$C78&lt;='TIF Loan Amortization'!I$494),'TIF Loan Amortization'!$G$494,IF(AND($C78&gt;='TIF Loan Amortization'!$H$495,$C78&lt;='TIF Loan Amortization'!I$495),'TIF Loan Amortization'!$G$495,IF(AND($C78&gt;='TIF Loan Amortization'!$H$496,$C78&lt;='TIF Loan Amortization'!I$496),'TIF Loan Amortization'!$G$496,IF(AND($C78&gt;='TIF Loan Amortization'!$H$497,$C78&lt;='TIF Loan Amortization'!I$497),'TIF Loan Amortization'!$G$497,IF(AND($C78&gt;='TIF Loan Amortization'!$H$498,$C78&lt;='TIF Loan Amortization'!I$498),'TIF Loan Amortization'!$G$498,IF(AND($C78&gt;='TIF Loan Amortization'!$H$499,$C78&lt;='TIF Loan Amortization'!I$499),'TIF Loan Amortization'!$G$499,IF(AND($C78&gt;='TIF Loan Amortization'!$H$500,$C78&lt;='TIF Loan Amortization'!I$500),'TIF Loan Amortization'!$G$500,IF(AND($C78&gt;='TIF Loan Amortization'!$H$501,$C78&lt;='TIF Loan Amortization'!I$501),'TIF Loan Amortization'!$G$501,IF(AND($C78&gt;='TIF Loan Amortization'!$H$502,$C78&lt;='TIF Loan Amortization'!I$502),'TIF Loan Amortization'!$G$502,IF(AND($C78&gt;='TIF Loan Amortization'!$H$503,$C78&lt;='TIF Loan Amortization'!I$503),'TIF Loan Amortization'!$G$503,IF(AND($C78&gt;='TIF Loan Amortization'!$H$504,$C78&lt;='TIF Loan Amortization'!I$504),'TIF Loan Amortization'!$G$504,IF(AND($C78&gt;='TIF Loan Amortization'!$H$505,$C78&lt;='TIF Loan Amortization'!I$505),'TIF Loan Amortization'!$G$505,IF(AND($C78&gt;='TIF Loan Amortization'!$H$506,$C78&lt;='TIF Loan Amortization'!I$506),'TIF Loan Amortization'!$G$506,IF(AND($C78&gt;='TIF Loan Amortization'!$H$507,$C78&lt;='TIF Loan Amortization'!I$507),'TIF Loan Amortization'!$G$507,IF(AND($C78&gt;='TIF Loan Amortization'!$H$508,$C78&lt;='TIF Loan Amortization'!I$508),'TIF Loan Amortization'!$G$508,IF(AND($C78&gt;='TIF Loan Amortization'!$H$509,$C78&lt;='TIF Loan Amortization'!I$509),'TIF Loan Amortization'!$G$509,IF(AND($C78&gt;='TIF Loan Amortization'!$H$510,$C78&lt;='TIF Loan Amortization'!I$510),'TIF Loan Amortization'!$G$510,IF(AND($C78&gt;='TIF Loan Amortization'!$H$511,$C78&lt;='TIF Loan Amortization'!I$511),'TIF Loan Amortization'!$G$511,IF(AND($C78&gt;='TIF Loan Amortization'!$H$512,$C78&lt;='TIF Loan Amortization'!I$512),'TIF Loan Amortization'!$G$512,IF(AND($C78&gt;='TIF Loan Amortization'!$H$513,$C78&lt;='TIF Loan Amortization'!I$513),'TIF Loan Amortization'!$G$513,IF(AND($C78&gt;='TIF Loan Amortization'!$H$514,$C78&lt;='TIF Loan Amortization'!I$514),'TIF Loan Amortization'!$G$514,IF(AND($C78&gt;='TIF Loan Amortization'!$H$515,$C78&lt;='TIF Loan Amortization'!I$515),'TIF Loan Amortization'!$G$515,IF(AND($C78&gt;='TIF Loan Amortization'!$H$516,$C78&lt;='TIF Loan Amortization'!I$516),'TIF Loan Amortization'!$G$516,IF(AND($C78&gt;='TIF Loan Amortization'!$H$517,$C78&lt;='TIF Loan Amortization'!I$517),'TIF Loan Amortization'!$G$517,IF(AND($C78&gt;='TIF Loan Amortization'!$H$518,$C78&lt;='TIF Loan Amortization'!I$518),'TIF Loan Amortization'!$G$518,IF(AND($C78&gt;='TIF Loan Amortization'!$H$519,$C78&lt;='TIF Loan Amortization'!I$519),'TIF Loan Amortization'!$G$519))))))))))))))))))))))))))))))))))))))))</f>
        <v>#N/A</v>
      </c>
      <c r="C78" s="269" t="e">
        <f t="shared" si="16"/>
        <v>#N/A</v>
      </c>
      <c r="D78" s="281" t="str">
        <f>IF($AG$426=1,$H$10+3,"")</f>
        <v/>
      </c>
      <c r="E78" s="274">
        <v>28</v>
      </c>
      <c r="F78" s="275" t="str">
        <f>VLOOKUP($AG$426,$AE$422:$AF$433,2)</f>
        <v>Jul</v>
      </c>
      <c r="G78" s="272">
        <f t="shared" si="17"/>
        <v>0</v>
      </c>
      <c r="H78" s="272">
        <f t="shared" si="20"/>
        <v>0</v>
      </c>
      <c r="I78" s="272">
        <f t="shared" si="21"/>
        <v>0</v>
      </c>
      <c r="J78" s="272">
        <f t="shared" si="19"/>
        <v>0</v>
      </c>
      <c r="K78" s="272">
        <f>IF(ISTEXT($M$4),"",SUM(I$50:I78))</f>
        <v>0</v>
      </c>
      <c r="L78" s="272">
        <f>IF(ISTEXT($M$4),"",SUM(J$50:J78))</f>
        <v>0</v>
      </c>
      <c r="M78" s="271">
        <f t="shared" si="18"/>
        <v>0</v>
      </c>
      <c r="N78" s="291" t="e">
        <f>IF(C78='Operating Assumptions'!$C$48,"Construction Finish","")</f>
        <v>#N/A</v>
      </c>
      <c r="O78" s="291"/>
      <c r="P78" s="291"/>
      <c r="Q78" s="291"/>
      <c r="R78" s="291"/>
      <c r="S78" s="291"/>
      <c r="T78" s="291"/>
      <c r="U78" s="291"/>
      <c r="V78" s="292"/>
      <c r="W78" s="292"/>
      <c r="X78" s="292"/>
      <c r="Y78" s="291"/>
      <c r="Z78" s="279"/>
      <c r="AA78" s="279"/>
      <c r="AB78" s="279"/>
    </row>
    <row r="79" spans="1:28" s="278" customFormat="1" ht="11.65" customHeight="1" x14ac:dyDescent="0.25">
      <c r="B79" s="270" t="e">
        <f>IF(AND($C79&gt;='TIF Loan Amortization'!$H$480,$C79&lt;='TIF Loan Amortization'!$I$480),'TIF Loan Amortization'!$G$480,IF(AND($C79&gt;='TIF Loan Amortization'!$H$481,$C79&lt;='TIF Loan Amortization'!I$481),'TIF Loan Amortization'!$G$481,IF(AND($C79&gt;='TIF Loan Amortization'!$H$482,$C79&lt;='TIF Loan Amortization'!I$482),'TIF Loan Amortization'!$G$482,IF(AND($C79&gt;='TIF Loan Amortization'!$H$483,$C79&lt;='TIF Loan Amortization'!I$483),'TIF Loan Amortization'!$G$483,IF(AND($C79&gt;='TIF Loan Amortization'!$H$484,$C79&lt;='TIF Loan Amortization'!I$484),'TIF Loan Amortization'!$G$484,IF(AND($C79&gt;='TIF Loan Amortization'!$H$485,$C79&lt;='TIF Loan Amortization'!I$485),'TIF Loan Amortization'!$G$485,IF(AND($C79&gt;='TIF Loan Amortization'!$H$486,$C79&lt;='TIF Loan Amortization'!I$486),'TIF Loan Amortization'!$G$486,IF(AND($C79&gt;='TIF Loan Amortization'!$H$487,$C79&lt;='TIF Loan Amortization'!I$487),'TIF Loan Amortization'!$G$487,IF(AND($C79&gt;='TIF Loan Amortization'!$H$488,$C79&lt;='TIF Loan Amortization'!I$488),'TIF Loan Amortization'!$G$488,IF(AND($C79&gt;='TIF Loan Amortization'!$H$489,$C79&lt;='TIF Loan Amortization'!I$489),'TIF Loan Amortization'!$G$489,IF(AND($C79&gt;='TIF Loan Amortization'!$H$490,$C79&lt;='TIF Loan Amortization'!I$490),'TIF Loan Amortization'!$G$490,IF(AND($C79&gt;='TIF Loan Amortization'!$H$491,$C79&lt;='TIF Loan Amortization'!I$491),'TIF Loan Amortization'!$G$491,IF(AND($C79&gt;='TIF Loan Amortization'!$H$492,$C79&lt;='TIF Loan Amortization'!I$492),'TIF Loan Amortization'!$G$492,IF(AND($C79&gt;='TIF Loan Amortization'!$H$493,$C79&lt;='TIF Loan Amortization'!I$493),'TIF Loan Amortization'!$G$493,IF(AND($C79&gt;='TIF Loan Amortization'!$H$494,$C79&lt;='TIF Loan Amortization'!I$494),'TIF Loan Amortization'!$G$494,IF(AND($C79&gt;='TIF Loan Amortization'!$H$495,$C79&lt;='TIF Loan Amortization'!I$495),'TIF Loan Amortization'!$G$495,IF(AND($C79&gt;='TIF Loan Amortization'!$H$496,$C79&lt;='TIF Loan Amortization'!I$496),'TIF Loan Amortization'!$G$496,IF(AND($C79&gt;='TIF Loan Amortization'!$H$497,$C79&lt;='TIF Loan Amortization'!I$497),'TIF Loan Amortization'!$G$497,IF(AND($C79&gt;='TIF Loan Amortization'!$H$498,$C79&lt;='TIF Loan Amortization'!I$498),'TIF Loan Amortization'!$G$498,IF(AND($C79&gt;='TIF Loan Amortization'!$H$499,$C79&lt;='TIF Loan Amortization'!I$499),'TIF Loan Amortization'!$G$499,IF(AND($C79&gt;='TIF Loan Amortization'!$H$500,$C79&lt;='TIF Loan Amortization'!I$500),'TIF Loan Amortization'!$G$500,IF(AND($C79&gt;='TIF Loan Amortization'!$H$501,$C79&lt;='TIF Loan Amortization'!I$501),'TIF Loan Amortization'!$G$501,IF(AND($C79&gt;='TIF Loan Amortization'!$H$502,$C79&lt;='TIF Loan Amortization'!I$502),'TIF Loan Amortization'!$G$502,IF(AND($C79&gt;='TIF Loan Amortization'!$H$503,$C79&lt;='TIF Loan Amortization'!I$503),'TIF Loan Amortization'!$G$503,IF(AND($C79&gt;='TIF Loan Amortization'!$H$504,$C79&lt;='TIF Loan Amortization'!I$504),'TIF Loan Amortization'!$G$504,IF(AND($C79&gt;='TIF Loan Amortization'!$H$505,$C79&lt;='TIF Loan Amortization'!I$505),'TIF Loan Amortization'!$G$505,IF(AND($C79&gt;='TIF Loan Amortization'!$H$506,$C79&lt;='TIF Loan Amortization'!I$506),'TIF Loan Amortization'!$G$506,IF(AND($C79&gt;='TIF Loan Amortization'!$H$507,$C79&lt;='TIF Loan Amortization'!I$507),'TIF Loan Amortization'!$G$507,IF(AND($C79&gt;='TIF Loan Amortization'!$H$508,$C79&lt;='TIF Loan Amortization'!I$508),'TIF Loan Amortization'!$G$508,IF(AND($C79&gt;='TIF Loan Amortization'!$H$509,$C79&lt;='TIF Loan Amortization'!I$509),'TIF Loan Amortization'!$G$509,IF(AND($C79&gt;='TIF Loan Amortization'!$H$510,$C79&lt;='TIF Loan Amortization'!I$510),'TIF Loan Amortization'!$G$510,IF(AND($C79&gt;='TIF Loan Amortization'!$H$511,$C79&lt;='TIF Loan Amortization'!I$511),'TIF Loan Amortization'!$G$511,IF(AND($C79&gt;='TIF Loan Amortization'!$H$512,$C79&lt;='TIF Loan Amortization'!I$512),'TIF Loan Amortization'!$G$512,IF(AND($C79&gt;='TIF Loan Amortization'!$H$513,$C79&lt;='TIF Loan Amortization'!I$513),'TIF Loan Amortization'!$G$513,IF(AND($C79&gt;='TIF Loan Amortization'!$H$514,$C79&lt;='TIF Loan Amortization'!I$514),'TIF Loan Amortization'!$G$514,IF(AND($C79&gt;='TIF Loan Amortization'!$H$515,$C79&lt;='TIF Loan Amortization'!I$515),'TIF Loan Amortization'!$G$515,IF(AND($C79&gt;='TIF Loan Amortization'!$H$516,$C79&lt;='TIF Loan Amortization'!I$516),'TIF Loan Amortization'!$G$516,IF(AND($C79&gt;='TIF Loan Amortization'!$H$517,$C79&lt;='TIF Loan Amortization'!I$517),'TIF Loan Amortization'!$G$517,IF(AND($C79&gt;='TIF Loan Amortization'!$H$518,$C79&lt;='TIF Loan Amortization'!I$518),'TIF Loan Amortization'!$G$518,IF(AND($C79&gt;='TIF Loan Amortization'!$H$519,$C79&lt;='TIF Loan Amortization'!I$519),'TIF Loan Amortization'!$G$519))))))))))))))))))))))))))))))))))))))))</f>
        <v>#N/A</v>
      </c>
      <c r="C79" s="269" t="e">
        <f t="shared" si="16"/>
        <v>#N/A</v>
      </c>
      <c r="D79" s="281" t="str">
        <f>IF($AG$427=1,$H$10+3,"")</f>
        <v/>
      </c>
      <c r="E79" s="274">
        <v>29</v>
      </c>
      <c r="F79" s="275" t="str">
        <f>VLOOKUP($AG$427,$AE$422:$AF$433,2)</f>
        <v>Aug</v>
      </c>
      <c r="G79" s="272">
        <f t="shared" si="17"/>
        <v>0</v>
      </c>
      <c r="H79" s="272">
        <f t="shared" si="20"/>
        <v>0</v>
      </c>
      <c r="I79" s="272">
        <f t="shared" si="21"/>
        <v>0</v>
      </c>
      <c r="J79" s="272">
        <f t="shared" si="19"/>
        <v>0</v>
      </c>
      <c r="K79" s="272">
        <f>IF(ISTEXT($M$4),"",SUM(I$50:I79))</f>
        <v>0</v>
      </c>
      <c r="L79" s="272">
        <f>IF(ISTEXT($M$4),"",SUM(J$50:J79))</f>
        <v>0</v>
      </c>
      <c r="M79" s="271">
        <f t="shared" si="18"/>
        <v>0</v>
      </c>
      <c r="N79" s="291" t="e">
        <f>IF(C79='Operating Assumptions'!$C$48,"Construction Finish","")</f>
        <v>#N/A</v>
      </c>
      <c r="O79" s="291"/>
      <c r="P79" s="291"/>
      <c r="Q79" s="291"/>
      <c r="R79" s="291"/>
      <c r="S79" s="291"/>
      <c r="T79" s="291"/>
      <c r="U79" s="291"/>
      <c r="V79" s="292"/>
      <c r="W79" s="292"/>
      <c r="X79" s="292"/>
      <c r="Y79" s="291"/>
      <c r="Z79" s="279"/>
      <c r="AA79" s="279"/>
      <c r="AB79" s="279"/>
    </row>
    <row r="80" spans="1:28" s="278" customFormat="1" ht="11.65" customHeight="1" x14ac:dyDescent="0.25">
      <c r="B80" s="270" t="e">
        <f>IF(AND($C80&gt;='TIF Loan Amortization'!$H$480,$C80&lt;='TIF Loan Amortization'!$I$480),'TIF Loan Amortization'!$G$480,IF(AND($C80&gt;='TIF Loan Amortization'!$H$481,$C80&lt;='TIF Loan Amortization'!I$481),'TIF Loan Amortization'!$G$481,IF(AND($C80&gt;='TIF Loan Amortization'!$H$482,$C80&lt;='TIF Loan Amortization'!I$482),'TIF Loan Amortization'!$G$482,IF(AND($C80&gt;='TIF Loan Amortization'!$H$483,$C80&lt;='TIF Loan Amortization'!I$483),'TIF Loan Amortization'!$G$483,IF(AND($C80&gt;='TIF Loan Amortization'!$H$484,$C80&lt;='TIF Loan Amortization'!I$484),'TIF Loan Amortization'!$G$484,IF(AND($C80&gt;='TIF Loan Amortization'!$H$485,$C80&lt;='TIF Loan Amortization'!I$485),'TIF Loan Amortization'!$G$485,IF(AND($C80&gt;='TIF Loan Amortization'!$H$486,$C80&lt;='TIF Loan Amortization'!I$486),'TIF Loan Amortization'!$G$486,IF(AND($C80&gt;='TIF Loan Amortization'!$H$487,$C80&lt;='TIF Loan Amortization'!I$487),'TIF Loan Amortization'!$G$487,IF(AND($C80&gt;='TIF Loan Amortization'!$H$488,$C80&lt;='TIF Loan Amortization'!I$488),'TIF Loan Amortization'!$G$488,IF(AND($C80&gt;='TIF Loan Amortization'!$H$489,$C80&lt;='TIF Loan Amortization'!I$489),'TIF Loan Amortization'!$G$489,IF(AND($C80&gt;='TIF Loan Amortization'!$H$490,$C80&lt;='TIF Loan Amortization'!I$490),'TIF Loan Amortization'!$G$490,IF(AND($C80&gt;='TIF Loan Amortization'!$H$491,$C80&lt;='TIF Loan Amortization'!I$491),'TIF Loan Amortization'!$G$491,IF(AND($C80&gt;='TIF Loan Amortization'!$H$492,$C80&lt;='TIF Loan Amortization'!I$492),'TIF Loan Amortization'!$G$492,IF(AND($C80&gt;='TIF Loan Amortization'!$H$493,$C80&lt;='TIF Loan Amortization'!I$493),'TIF Loan Amortization'!$G$493,IF(AND($C80&gt;='TIF Loan Amortization'!$H$494,$C80&lt;='TIF Loan Amortization'!I$494),'TIF Loan Amortization'!$G$494,IF(AND($C80&gt;='TIF Loan Amortization'!$H$495,$C80&lt;='TIF Loan Amortization'!I$495),'TIF Loan Amortization'!$G$495,IF(AND($C80&gt;='TIF Loan Amortization'!$H$496,$C80&lt;='TIF Loan Amortization'!I$496),'TIF Loan Amortization'!$G$496,IF(AND($C80&gt;='TIF Loan Amortization'!$H$497,$C80&lt;='TIF Loan Amortization'!I$497),'TIF Loan Amortization'!$G$497,IF(AND($C80&gt;='TIF Loan Amortization'!$H$498,$C80&lt;='TIF Loan Amortization'!I$498),'TIF Loan Amortization'!$G$498,IF(AND($C80&gt;='TIF Loan Amortization'!$H$499,$C80&lt;='TIF Loan Amortization'!I$499),'TIF Loan Amortization'!$G$499,IF(AND($C80&gt;='TIF Loan Amortization'!$H$500,$C80&lt;='TIF Loan Amortization'!I$500),'TIF Loan Amortization'!$G$500,IF(AND($C80&gt;='TIF Loan Amortization'!$H$501,$C80&lt;='TIF Loan Amortization'!I$501),'TIF Loan Amortization'!$G$501,IF(AND($C80&gt;='TIF Loan Amortization'!$H$502,$C80&lt;='TIF Loan Amortization'!I$502),'TIF Loan Amortization'!$G$502,IF(AND($C80&gt;='TIF Loan Amortization'!$H$503,$C80&lt;='TIF Loan Amortization'!I$503),'TIF Loan Amortization'!$G$503,IF(AND($C80&gt;='TIF Loan Amortization'!$H$504,$C80&lt;='TIF Loan Amortization'!I$504),'TIF Loan Amortization'!$G$504,IF(AND($C80&gt;='TIF Loan Amortization'!$H$505,$C80&lt;='TIF Loan Amortization'!I$505),'TIF Loan Amortization'!$G$505,IF(AND($C80&gt;='TIF Loan Amortization'!$H$506,$C80&lt;='TIF Loan Amortization'!I$506),'TIF Loan Amortization'!$G$506,IF(AND($C80&gt;='TIF Loan Amortization'!$H$507,$C80&lt;='TIF Loan Amortization'!I$507),'TIF Loan Amortization'!$G$507,IF(AND($C80&gt;='TIF Loan Amortization'!$H$508,$C80&lt;='TIF Loan Amortization'!I$508),'TIF Loan Amortization'!$G$508,IF(AND($C80&gt;='TIF Loan Amortization'!$H$509,$C80&lt;='TIF Loan Amortization'!I$509),'TIF Loan Amortization'!$G$509,IF(AND($C80&gt;='TIF Loan Amortization'!$H$510,$C80&lt;='TIF Loan Amortization'!I$510),'TIF Loan Amortization'!$G$510,IF(AND($C80&gt;='TIF Loan Amortization'!$H$511,$C80&lt;='TIF Loan Amortization'!I$511),'TIF Loan Amortization'!$G$511,IF(AND($C80&gt;='TIF Loan Amortization'!$H$512,$C80&lt;='TIF Loan Amortization'!I$512),'TIF Loan Amortization'!$G$512,IF(AND($C80&gt;='TIF Loan Amortization'!$H$513,$C80&lt;='TIF Loan Amortization'!I$513),'TIF Loan Amortization'!$G$513,IF(AND($C80&gt;='TIF Loan Amortization'!$H$514,$C80&lt;='TIF Loan Amortization'!I$514),'TIF Loan Amortization'!$G$514,IF(AND($C80&gt;='TIF Loan Amortization'!$H$515,$C80&lt;='TIF Loan Amortization'!I$515),'TIF Loan Amortization'!$G$515,IF(AND($C80&gt;='TIF Loan Amortization'!$H$516,$C80&lt;='TIF Loan Amortization'!I$516),'TIF Loan Amortization'!$G$516,IF(AND($C80&gt;='TIF Loan Amortization'!$H$517,$C80&lt;='TIF Loan Amortization'!I$517),'TIF Loan Amortization'!$G$517,IF(AND($C80&gt;='TIF Loan Amortization'!$H$518,$C80&lt;='TIF Loan Amortization'!I$518),'TIF Loan Amortization'!$G$518,IF(AND($C80&gt;='TIF Loan Amortization'!$H$519,$C80&lt;='TIF Loan Amortization'!I$519),'TIF Loan Amortization'!$G$519))))))))))))))))))))))))))))))))))))))))</f>
        <v>#N/A</v>
      </c>
      <c r="C80" s="269" t="e">
        <f t="shared" si="16"/>
        <v>#N/A</v>
      </c>
      <c r="D80" s="281" t="str">
        <f>IF($AG$428=1,$H$10+3,"")</f>
        <v/>
      </c>
      <c r="E80" s="274">
        <v>30</v>
      </c>
      <c r="F80" s="275" t="str">
        <f>VLOOKUP($AG$428,$AE$422:$AF$433,2)</f>
        <v>Sep</v>
      </c>
      <c r="G80" s="272">
        <f t="shared" si="17"/>
        <v>0</v>
      </c>
      <c r="H80" s="272">
        <f t="shared" si="20"/>
        <v>0</v>
      </c>
      <c r="I80" s="272">
        <f t="shared" si="21"/>
        <v>0</v>
      </c>
      <c r="J80" s="272">
        <f t="shared" si="19"/>
        <v>0</v>
      </c>
      <c r="K80" s="272">
        <f>IF(ISTEXT($M$4),"",SUM(I$50:I80))</f>
        <v>0</v>
      </c>
      <c r="L80" s="272">
        <f>IF(ISTEXT($M$4),"",SUM(J$50:J80))</f>
        <v>0</v>
      </c>
      <c r="M80" s="271">
        <f t="shared" si="18"/>
        <v>0</v>
      </c>
      <c r="N80" s="291" t="e">
        <f>IF(C80='Operating Assumptions'!$C$48,"Construction Finish","")</f>
        <v>#N/A</v>
      </c>
      <c r="O80" s="291"/>
      <c r="P80" s="291"/>
      <c r="Q80" s="291"/>
      <c r="R80" s="291"/>
      <c r="S80" s="291"/>
      <c r="T80" s="291"/>
      <c r="U80" s="291"/>
      <c r="V80" s="292"/>
      <c r="W80" s="292"/>
      <c r="X80" s="292"/>
      <c r="Y80" s="291"/>
      <c r="Z80" s="279"/>
      <c r="AA80" s="279"/>
      <c r="AB80" s="279"/>
    </row>
    <row r="81" spans="2:28" s="278" customFormat="1" ht="11.65" customHeight="1" x14ac:dyDescent="0.25">
      <c r="B81" s="270" t="e">
        <f>IF(AND($C81&gt;='TIF Loan Amortization'!$H$480,$C81&lt;='TIF Loan Amortization'!$I$480),'TIF Loan Amortization'!$G$480,IF(AND($C81&gt;='TIF Loan Amortization'!$H$481,$C81&lt;='TIF Loan Amortization'!I$481),'TIF Loan Amortization'!$G$481,IF(AND($C81&gt;='TIF Loan Amortization'!$H$482,$C81&lt;='TIF Loan Amortization'!I$482),'TIF Loan Amortization'!$G$482,IF(AND($C81&gt;='TIF Loan Amortization'!$H$483,$C81&lt;='TIF Loan Amortization'!I$483),'TIF Loan Amortization'!$G$483,IF(AND($C81&gt;='TIF Loan Amortization'!$H$484,$C81&lt;='TIF Loan Amortization'!I$484),'TIF Loan Amortization'!$G$484,IF(AND($C81&gt;='TIF Loan Amortization'!$H$485,$C81&lt;='TIF Loan Amortization'!I$485),'TIF Loan Amortization'!$G$485,IF(AND($C81&gt;='TIF Loan Amortization'!$H$486,$C81&lt;='TIF Loan Amortization'!I$486),'TIF Loan Amortization'!$G$486,IF(AND($C81&gt;='TIF Loan Amortization'!$H$487,$C81&lt;='TIF Loan Amortization'!I$487),'TIF Loan Amortization'!$G$487,IF(AND($C81&gt;='TIF Loan Amortization'!$H$488,$C81&lt;='TIF Loan Amortization'!I$488),'TIF Loan Amortization'!$G$488,IF(AND($C81&gt;='TIF Loan Amortization'!$H$489,$C81&lt;='TIF Loan Amortization'!I$489),'TIF Loan Amortization'!$G$489,IF(AND($C81&gt;='TIF Loan Amortization'!$H$490,$C81&lt;='TIF Loan Amortization'!I$490),'TIF Loan Amortization'!$G$490,IF(AND($C81&gt;='TIF Loan Amortization'!$H$491,$C81&lt;='TIF Loan Amortization'!I$491),'TIF Loan Amortization'!$G$491,IF(AND($C81&gt;='TIF Loan Amortization'!$H$492,$C81&lt;='TIF Loan Amortization'!I$492),'TIF Loan Amortization'!$G$492,IF(AND($C81&gt;='TIF Loan Amortization'!$H$493,$C81&lt;='TIF Loan Amortization'!I$493),'TIF Loan Amortization'!$G$493,IF(AND($C81&gt;='TIF Loan Amortization'!$H$494,$C81&lt;='TIF Loan Amortization'!I$494),'TIF Loan Amortization'!$G$494,IF(AND($C81&gt;='TIF Loan Amortization'!$H$495,$C81&lt;='TIF Loan Amortization'!I$495),'TIF Loan Amortization'!$G$495,IF(AND($C81&gt;='TIF Loan Amortization'!$H$496,$C81&lt;='TIF Loan Amortization'!I$496),'TIF Loan Amortization'!$G$496,IF(AND($C81&gt;='TIF Loan Amortization'!$H$497,$C81&lt;='TIF Loan Amortization'!I$497),'TIF Loan Amortization'!$G$497,IF(AND($C81&gt;='TIF Loan Amortization'!$H$498,$C81&lt;='TIF Loan Amortization'!I$498),'TIF Loan Amortization'!$G$498,IF(AND($C81&gt;='TIF Loan Amortization'!$H$499,$C81&lt;='TIF Loan Amortization'!I$499),'TIF Loan Amortization'!$G$499,IF(AND($C81&gt;='TIF Loan Amortization'!$H$500,$C81&lt;='TIF Loan Amortization'!I$500),'TIF Loan Amortization'!$G$500,IF(AND($C81&gt;='TIF Loan Amortization'!$H$501,$C81&lt;='TIF Loan Amortization'!I$501),'TIF Loan Amortization'!$G$501,IF(AND($C81&gt;='TIF Loan Amortization'!$H$502,$C81&lt;='TIF Loan Amortization'!I$502),'TIF Loan Amortization'!$G$502,IF(AND($C81&gt;='TIF Loan Amortization'!$H$503,$C81&lt;='TIF Loan Amortization'!I$503),'TIF Loan Amortization'!$G$503,IF(AND($C81&gt;='TIF Loan Amortization'!$H$504,$C81&lt;='TIF Loan Amortization'!I$504),'TIF Loan Amortization'!$G$504,IF(AND($C81&gt;='TIF Loan Amortization'!$H$505,$C81&lt;='TIF Loan Amortization'!I$505),'TIF Loan Amortization'!$G$505,IF(AND($C81&gt;='TIF Loan Amortization'!$H$506,$C81&lt;='TIF Loan Amortization'!I$506),'TIF Loan Amortization'!$G$506,IF(AND($C81&gt;='TIF Loan Amortization'!$H$507,$C81&lt;='TIF Loan Amortization'!I$507),'TIF Loan Amortization'!$G$507,IF(AND($C81&gt;='TIF Loan Amortization'!$H$508,$C81&lt;='TIF Loan Amortization'!I$508),'TIF Loan Amortization'!$G$508,IF(AND($C81&gt;='TIF Loan Amortization'!$H$509,$C81&lt;='TIF Loan Amortization'!I$509),'TIF Loan Amortization'!$G$509,IF(AND($C81&gt;='TIF Loan Amortization'!$H$510,$C81&lt;='TIF Loan Amortization'!I$510),'TIF Loan Amortization'!$G$510,IF(AND($C81&gt;='TIF Loan Amortization'!$H$511,$C81&lt;='TIF Loan Amortization'!I$511),'TIF Loan Amortization'!$G$511,IF(AND($C81&gt;='TIF Loan Amortization'!$H$512,$C81&lt;='TIF Loan Amortization'!I$512),'TIF Loan Amortization'!$G$512,IF(AND($C81&gt;='TIF Loan Amortization'!$H$513,$C81&lt;='TIF Loan Amortization'!I$513),'TIF Loan Amortization'!$G$513,IF(AND($C81&gt;='TIF Loan Amortization'!$H$514,$C81&lt;='TIF Loan Amortization'!I$514),'TIF Loan Amortization'!$G$514,IF(AND($C81&gt;='TIF Loan Amortization'!$H$515,$C81&lt;='TIF Loan Amortization'!I$515),'TIF Loan Amortization'!$G$515,IF(AND($C81&gt;='TIF Loan Amortization'!$H$516,$C81&lt;='TIF Loan Amortization'!I$516),'TIF Loan Amortization'!$G$516,IF(AND($C81&gt;='TIF Loan Amortization'!$H$517,$C81&lt;='TIF Loan Amortization'!I$517),'TIF Loan Amortization'!$G$517,IF(AND($C81&gt;='TIF Loan Amortization'!$H$518,$C81&lt;='TIF Loan Amortization'!I$518),'TIF Loan Amortization'!$G$518,IF(AND($C81&gt;='TIF Loan Amortization'!$H$519,$C81&lt;='TIF Loan Amortization'!I$519),'TIF Loan Amortization'!$G$519))))))))))))))))))))))))))))))))))))))))</f>
        <v>#N/A</v>
      </c>
      <c r="C81" s="269" t="e">
        <f t="shared" si="16"/>
        <v>#N/A</v>
      </c>
      <c r="D81" s="281" t="str">
        <f>IF($AG$429=1,$H$10+3,"")</f>
        <v/>
      </c>
      <c r="E81" s="274">
        <v>31</v>
      </c>
      <c r="F81" s="275" t="str">
        <f>VLOOKUP($AG$429,$AE$422:$AF$433,2)</f>
        <v>Oct</v>
      </c>
      <c r="G81" s="272">
        <f t="shared" si="17"/>
        <v>0</v>
      </c>
      <c r="H81" s="272">
        <f t="shared" si="20"/>
        <v>0</v>
      </c>
      <c r="I81" s="272">
        <f t="shared" si="21"/>
        <v>0</v>
      </c>
      <c r="J81" s="272">
        <f t="shared" si="19"/>
        <v>0</v>
      </c>
      <c r="K81" s="272">
        <f>IF(ISTEXT($M$4),"",SUM(I$50:I81))</f>
        <v>0</v>
      </c>
      <c r="L81" s="272">
        <f>IF(ISTEXT($M$4),"",SUM(J$50:J81))</f>
        <v>0</v>
      </c>
      <c r="M81" s="271">
        <f t="shared" si="18"/>
        <v>0</v>
      </c>
      <c r="N81" s="291" t="e">
        <f>IF(C81='Operating Assumptions'!$C$48,"Construction Finish","")</f>
        <v>#N/A</v>
      </c>
      <c r="O81" s="291"/>
      <c r="P81" s="291"/>
      <c r="Q81" s="291"/>
      <c r="R81" s="291"/>
      <c r="S81" s="291"/>
      <c r="T81" s="291"/>
      <c r="U81" s="291"/>
      <c r="V81" s="292"/>
      <c r="W81" s="292"/>
      <c r="X81" s="292"/>
      <c r="Y81" s="291"/>
      <c r="Z81" s="279"/>
      <c r="AA81" s="279"/>
      <c r="AB81" s="279"/>
    </row>
    <row r="82" spans="2:28" s="278" customFormat="1" ht="11.65" customHeight="1" x14ac:dyDescent="0.25">
      <c r="B82" s="270" t="e">
        <f>IF(AND($C82&gt;='TIF Loan Amortization'!$H$480,$C82&lt;='TIF Loan Amortization'!$I$480),'TIF Loan Amortization'!$G$480,IF(AND($C82&gt;='TIF Loan Amortization'!$H$481,$C82&lt;='TIF Loan Amortization'!I$481),'TIF Loan Amortization'!$G$481,IF(AND($C82&gt;='TIF Loan Amortization'!$H$482,$C82&lt;='TIF Loan Amortization'!I$482),'TIF Loan Amortization'!$G$482,IF(AND($C82&gt;='TIF Loan Amortization'!$H$483,$C82&lt;='TIF Loan Amortization'!I$483),'TIF Loan Amortization'!$G$483,IF(AND($C82&gt;='TIF Loan Amortization'!$H$484,$C82&lt;='TIF Loan Amortization'!I$484),'TIF Loan Amortization'!$G$484,IF(AND($C82&gt;='TIF Loan Amortization'!$H$485,$C82&lt;='TIF Loan Amortization'!I$485),'TIF Loan Amortization'!$G$485,IF(AND($C82&gt;='TIF Loan Amortization'!$H$486,$C82&lt;='TIF Loan Amortization'!I$486),'TIF Loan Amortization'!$G$486,IF(AND($C82&gt;='TIF Loan Amortization'!$H$487,$C82&lt;='TIF Loan Amortization'!I$487),'TIF Loan Amortization'!$G$487,IF(AND($C82&gt;='TIF Loan Amortization'!$H$488,$C82&lt;='TIF Loan Amortization'!I$488),'TIF Loan Amortization'!$G$488,IF(AND($C82&gt;='TIF Loan Amortization'!$H$489,$C82&lt;='TIF Loan Amortization'!I$489),'TIF Loan Amortization'!$G$489,IF(AND($C82&gt;='TIF Loan Amortization'!$H$490,$C82&lt;='TIF Loan Amortization'!I$490),'TIF Loan Amortization'!$G$490,IF(AND($C82&gt;='TIF Loan Amortization'!$H$491,$C82&lt;='TIF Loan Amortization'!I$491),'TIF Loan Amortization'!$G$491,IF(AND($C82&gt;='TIF Loan Amortization'!$H$492,$C82&lt;='TIF Loan Amortization'!I$492),'TIF Loan Amortization'!$G$492,IF(AND($C82&gt;='TIF Loan Amortization'!$H$493,$C82&lt;='TIF Loan Amortization'!I$493),'TIF Loan Amortization'!$G$493,IF(AND($C82&gt;='TIF Loan Amortization'!$H$494,$C82&lt;='TIF Loan Amortization'!I$494),'TIF Loan Amortization'!$G$494,IF(AND($C82&gt;='TIF Loan Amortization'!$H$495,$C82&lt;='TIF Loan Amortization'!I$495),'TIF Loan Amortization'!$G$495,IF(AND($C82&gt;='TIF Loan Amortization'!$H$496,$C82&lt;='TIF Loan Amortization'!I$496),'TIF Loan Amortization'!$G$496,IF(AND($C82&gt;='TIF Loan Amortization'!$H$497,$C82&lt;='TIF Loan Amortization'!I$497),'TIF Loan Amortization'!$G$497,IF(AND($C82&gt;='TIF Loan Amortization'!$H$498,$C82&lt;='TIF Loan Amortization'!I$498),'TIF Loan Amortization'!$G$498,IF(AND($C82&gt;='TIF Loan Amortization'!$H$499,$C82&lt;='TIF Loan Amortization'!I$499),'TIF Loan Amortization'!$G$499,IF(AND($C82&gt;='TIF Loan Amortization'!$H$500,$C82&lt;='TIF Loan Amortization'!I$500),'TIF Loan Amortization'!$G$500,IF(AND($C82&gt;='TIF Loan Amortization'!$H$501,$C82&lt;='TIF Loan Amortization'!I$501),'TIF Loan Amortization'!$G$501,IF(AND($C82&gt;='TIF Loan Amortization'!$H$502,$C82&lt;='TIF Loan Amortization'!I$502),'TIF Loan Amortization'!$G$502,IF(AND($C82&gt;='TIF Loan Amortization'!$H$503,$C82&lt;='TIF Loan Amortization'!I$503),'TIF Loan Amortization'!$G$503,IF(AND($C82&gt;='TIF Loan Amortization'!$H$504,$C82&lt;='TIF Loan Amortization'!I$504),'TIF Loan Amortization'!$G$504,IF(AND($C82&gt;='TIF Loan Amortization'!$H$505,$C82&lt;='TIF Loan Amortization'!I$505),'TIF Loan Amortization'!$G$505,IF(AND($C82&gt;='TIF Loan Amortization'!$H$506,$C82&lt;='TIF Loan Amortization'!I$506),'TIF Loan Amortization'!$G$506,IF(AND($C82&gt;='TIF Loan Amortization'!$H$507,$C82&lt;='TIF Loan Amortization'!I$507),'TIF Loan Amortization'!$G$507,IF(AND($C82&gt;='TIF Loan Amortization'!$H$508,$C82&lt;='TIF Loan Amortization'!I$508),'TIF Loan Amortization'!$G$508,IF(AND($C82&gt;='TIF Loan Amortization'!$H$509,$C82&lt;='TIF Loan Amortization'!I$509),'TIF Loan Amortization'!$G$509,IF(AND($C82&gt;='TIF Loan Amortization'!$H$510,$C82&lt;='TIF Loan Amortization'!I$510),'TIF Loan Amortization'!$G$510,IF(AND($C82&gt;='TIF Loan Amortization'!$H$511,$C82&lt;='TIF Loan Amortization'!I$511),'TIF Loan Amortization'!$G$511,IF(AND($C82&gt;='TIF Loan Amortization'!$H$512,$C82&lt;='TIF Loan Amortization'!I$512),'TIF Loan Amortization'!$G$512,IF(AND($C82&gt;='TIF Loan Amortization'!$H$513,$C82&lt;='TIF Loan Amortization'!I$513),'TIF Loan Amortization'!$G$513,IF(AND($C82&gt;='TIF Loan Amortization'!$H$514,$C82&lt;='TIF Loan Amortization'!I$514),'TIF Loan Amortization'!$G$514,IF(AND($C82&gt;='TIF Loan Amortization'!$H$515,$C82&lt;='TIF Loan Amortization'!I$515),'TIF Loan Amortization'!$G$515,IF(AND($C82&gt;='TIF Loan Amortization'!$H$516,$C82&lt;='TIF Loan Amortization'!I$516),'TIF Loan Amortization'!$G$516,IF(AND($C82&gt;='TIF Loan Amortization'!$H$517,$C82&lt;='TIF Loan Amortization'!I$517),'TIF Loan Amortization'!$G$517,IF(AND($C82&gt;='TIF Loan Amortization'!$H$518,$C82&lt;='TIF Loan Amortization'!I$518),'TIF Loan Amortization'!$G$518,IF(AND($C82&gt;='TIF Loan Amortization'!$H$519,$C82&lt;='TIF Loan Amortization'!I$519),'TIF Loan Amortization'!$G$519))))))))))))))))))))))))))))))))))))))))</f>
        <v>#N/A</v>
      </c>
      <c r="C82" s="269" t="e">
        <f t="shared" si="16"/>
        <v>#N/A</v>
      </c>
      <c r="D82" s="281" t="str">
        <f>IF($AG$430=1,$H$10+3,"")</f>
        <v/>
      </c>
      <c r="E82" s="274">
        <v>32</v>
      </c>
      <c r="F82" s="275" t="str">
        <f>VLOOKUP($AG$430,$AE$422:$AF$433,2)</f>
        <v>Nov</v>
      </c>
      <c r="G82" s="272">
        <f t="shared" si="17"/>
        <v>0</v>
      </c>
      <c r="H82" s="272">
        <f t="shared" si="20"/>
        <v>0</v>
      </c>
      <c r="I82" s="272">
        <f t="shared" si="21"/>
        <v>0</v>
      </c>
      <c r="J82" s="272">
        <f t="shared" si="19"/>
        <v>0</v>
      </c>
      <c r="K82" s="272">
        <f>IF(ISTEXT($M$4),"",SUM(I$50:I82))</f>
        <v>0</v>
      </c>
      <c r="L82" s="272">
        <f>IF(ISTEXT($M$4),"",SUM(J$50:J82))</f>
        <v>0</v>
      </c>
      <c r="M82" s="271">
        <f t="shared" si="18"/>
        <v>0</v>
      </c>
      <c r="N82" s="291" t="e">
        <f>IF(C82='Operating Assumptions'!$C$48,"Construction Finish","")</f>
        <v>#N/A</v>
      </c>
      <c r="O82" s="291"/>
      <c r="P82" s="291"/>
      <c r="Q82" s="291"/>
      <c r="R82" s="291"/>
      <c r="S82" s="291"/>
      <c r="T82" s="291"/>
      <c r="U82" s="291"/>
      <c r="V82" s="292"/>
      <c r="W82" s="292"/>
      <c r="X82" s="292"/>
      <c r="Y82" s="291"/>
      <c r="Z82" s="279"/>
      <c r="AA82" s="279"/>
      <c r="AB82" s="279"/>
    </row>
    <row r="83" spans="2:28" s="278" customFormat="1" ht="11.65" customHeight="1" x14ac:dyDescent="0.25">
      <c r="B83" s="270" t="e">
        <f>IF(AND($C83&gt;='TIF Loan Amortization'!$H$480,$C83&lt;='TIF Loan Amortization'!$I$480),'TIF Loan Amortization'!$G$480,IF(AND($C83&gt;='TIF Loan Amortization'!$H$481,$C83&lt;='TIF Loan Amortization'!I$481),'TIF Loan Amortization'!$G$481,IF(AND($C83&gt;='TIF Loan Amortization'!$H$482,$C83&lt;='TIF Loan Amortization'!I$482),'TIF Loan Amortization'!$G$482,IF(AND($C83&gt;='TIF Loan Amortization'!$H$483,$C83&lt;='TIF Loan Amortization'!I$483),'TIF Loan Amortization'!$G$483,IF(AND($C83&gt;='TIF Loan Amortization'!$H$484,$C83&lt;='TIF Loan Amortization'!I$484),'TIF Loan Amortization'!$G$484,IF(AND($C83&gt;='TIF Loan Amortization'!$H$485,$C83&lt;='TIF Loan Amortization'!I$485),'TIF Loan Amortization'!$G$485,IF(AND($C83&gt;='TIF Loan Amortization'!$H$486,$C83&lt;='TIF Loan Amortization'!I$486),'TIF Loan Amortization'!$G$486,IF(AND($C83&gt;='TIF Loan Amortization'!$H$487,$C83&lt;='TIF Loan Amortization'!I$487),'TIF Loan Amortization'!$G$487,IF(AND($C83&gt;='TIF Loan Amortization'!$H$488,$C83&lt;='TIF Loan Amortization'!I$488),'TIF Loan Amortization'!$G$488,IF(AND($C83&gt;='TIF Loan Amortization'!$H$489,$C83&lt;='TIF Loan Amortization'!I$489),'TIF Loan Amortization'!$G$489,IF(AND($C83&gt;='TIF Loan Amortization'!$H$490,$C83&lt;='TIF Loan Amortization'!I$490),'TIF Loan Amortization'!$G$490,IF(AND($C83&gt;='TIF Loan Amortization'!$H$491,$C83&lt;='TIF Loan Amortization'!I$491),'TIF Loan Amortization'!$G$491,IF(AND($C83&gt;='TIF Loan Amortization'!$H$492,$C83&lt;='TIF Loan Amortization'!I$492),'TIF Loan Amortization'!$G$492,IF(AND($C83&gt;='TIF Loan Amortization'!$H$493,$C83&lt;='TIF Loan Amortization'!I$493),'TIF Loan Amortization'!$G$493,IF(AND($C83&gt;='TIF Loan Amortization'!$H$494,$C83&lt;='TIF Loan Amortization'!I$494),'TIF Loan Amortization'!$G$494,IF(AND($C83&gt;='TIF Loan Amortization'!$H$495,$C83&lt;='TIF Loan Amortization'!I$495),'TIF Loan Amortization'!$G$495,IF(AND($C83&gt;='TIF Loan Amortization'!$H$496,$C83&lt;='TIF Loan Amortization'!I$496),'TIF Loan Amortization'!$G$496,IF(AND($C83&gt;='TIF Loan Amortization'!$H$497,$C83&lt;='TIF Loan Amortization'!I$497),'TIF Loan Amortization'!$G$497,IF(AND($C83&gt;='TIF Loan Amortization'!$H$498,$C83&lt;='TIF Loan Amortization'!I$498),'TIF Loan Amortization'!$G$498,IF(AND($C83&gt;='TIF Loan Amortization'!$H$499,$C83&lt;='TIF Loan Amortization'!I$499),'TIF Loan Amortization'!$G$499,IF(AND($C83&gt;='TIF Loan Amortization'!$H$500,$C83&lt;='TIF Loan Amortization'!I$500),'TIF Loan Amortization'!$G$500,IF(AND($C83&gt;='TIF Loan Amortization'!$H$501,$C83&lt;='TIF Loan Amortization'!I$501),'TIF Loan Amortization'!$G$501,IF(AND($C83&gt;='TIF Loan Amortization'!$H$502,$C83&lt;='TIF Loan Amortization'!I$502),'TIF Loan Amortization'!$G$502,IF(AND($C83&gt;='TIF Loan Amortization'!$H$503,$C83&lt;='TIF Loan Amortization'!I$503),'TIF Loan Amortization'!$G$503,IF(AND($C83&gt;='TIF Loan Amortization'!$H$504,$C83&lt;='TIF Loan Amortization'!I$504),'TIF Loan Amortization'!$G$504,IF(AND($C83&gt;='TIF Loan Amortization'!$H$505,$C83&lt;='TIF Loan Amortization'!I$505),'TIF Loan Amortization'!$G$505,IF(AND($C83&gt;='TIF Loan Amortization'!$H$506,$C83&lt;='TIF Loan Amortization'!I$506),'TIF Loan Amortization'!$G$506,IF(AND($C83&gt;='TIF Loan Amortization'!$H$507,$C83&lt;='TIF Loan Amortization'!I$507),'TIF Loan Amortization'!$G$507,IF(AND($C83&gt;='TIF Loan Amortization'!$H$508,$C83&lt;='TIF Loan Amortization'!I$508),'TIF Loan Amortization'!$G$508,IF(AND($C83&gt;='TIF Loan Amortization'!$H$509,$C83&lt;='TIF Loan Amortization'!I$509),'TIF Loan Amortization'!$G$509,IF(AND($C83&gt;='TIF Loan Amortization'!$H$510,$C83&lt;='TIF Loan Amortization'!I$510),'TIF Loan Amortization'!$G$510,IF(AND($C83&gt;='TIF Loan Amortization'!$H$511,$C83&lt;='TIF Loan Amortization'!I$511),'TIF Loan Amortization'!$G$511,IF(AND($C83&gt;='TIF Loan Amortization'!$H$512,$C83&lt;='TIF Loan Amortization'!I$512),'TIF Loan Amortization'!$G$512,IF(AND($C83&gt;='TIF Loan Amortization'!$H$513,$C83&lt;='TIF Loan Amortization'!I$513),'TIF Loan Amortization'!$G$513,IF(AND($C83&gt;='TIF Loan Amortization'!$H$514,$C83&lt;='TIF Loan Amortization'!I$514),'TIF Loan Amortization'!$G$514,IF(AND($C83&gt;='TIF Loan Amortization'!$H$515,$C83&lt;='TIF Loan Amortization'!I$515),'TIF Loan Amortization'!$G$515,IF(AND($C83&gt;='TIF Loan Amortization'!$H$516,$C83&lt;='TIF Loan Amortization'!I$516),'TIF Loan Amortization'!$G$516,IF(AND($C83&gt;='TIF Loan Amortization'!$H$517,$C83&lt;='TIF Loan Amortization'!I$517),'TIF Loan Amortization'!$G$517,IF(AND($C83&gt;='TIF Loan Amortization'!$H$518,$C83&lt;='TIF Loan Amortization'!I$518),'TIF Loan Amortization'!$G$518,IF(AND($C83&gt;='TIF Loan Amortization'!$H$519,$C83&lt;='TIF Loan Amortization'!I$519),'TIF Loan Amortization'!$G$519))))))))))))))))))))))))))))))))))))))))</f>
        <v>#N/A</v>
      </c>
      <c r="C83" s="269" t="e">
        <f t="shared" si="16"/>
        <v>#N/A</v>
      </c>
      <c r="D83" s="281" t="str">
        <f>IF($AG$431=1,$H$10+3,"")</f>
        <v/>
      </c>
      <c r="E83" s="274">
        <v>33</v>
      </c>
      <c r="F83" s="275" t="str">
        <f>VLOOKUP($AG$431,$AE$422:$AF$433,2)</f>
        <v>Dec</v>
      </c>
      <c r="G83" s="272">
        <f t="shared" si="17"/>
        <v>0</v>
      </c>
      <c r="H83" s="272">
        <f t="shared" si="20"/>
        <v>0</v>
      </c>
      <c r="I83" s="272">
        <f t="shared" si="21"/>
        <v>0</v>
      </c>
      <c r="J83" s="272">
        <f t="shared" si="19"/>
        <v>0</v>
      </c>
      <c r="K83" s="272">
        <f>IF(ISTEXT($M$4),"",SUM(I$50:I83))</f>
        <v>0</v>
      </c>
      <c r="L83" s="272">
        <f>IF(ISTEXT($M$4),"",SUM(J$50:J83))</f>
        <v>0</v>
      </c>
      <c r="M83" s="271">
        <f t="shared" si="18"/>
        <v>0</v>
      </c>
      <c r="N83" s="291" t="e">
        <f>IF(C83='Operating Assumptions'!$C$48,"Construction Finish","")</f>
        <v>#N/A</v>
      </c>
      <c r="O83" s="291"/>
      <c r="P83" s="291"/>
      <c r="Q83" s="291"/>
      <c r="R83" s="291"/>
      <c r="S83" s="291"/>
      <c r="T83" s="291"/>
      <c r="U83" s="291"/>
      <c r="V83" s="292"/>
      <c r="W83" s="292"/>
      <c r="X83" s="292"/>
      <c r="Y83" s="291"/>
      <c r="Z83" s="279"/>
      <c r="AA83" s="279"/>
      <c r="AB83" s="279"/>
    </row>
    <row r="84" spans="2:28" s="278" customFormat="1" ht="11.65" customHeight="1" x14ac:dyDescent="0.25">
      <c r="B84" s="270" t="e">
        <f>IF(AND($C84&gt;='TIF Loan Amortization'!$H$480,$C84&lt;='TIF Loan Amortization'!$I$480),'TIF Loan Amortization'!$G$480,IF(AND($C84&gt;='TIF Loan Amortization'!$H$481,$C84&lt;='TIF Loan Amortization'!I$481),'TIF Loan Amortization'!$G$481,IF(AND($C84&gt;='TIF Loan Amortization'!$H$482,$C84&lt;='TIF Loan Amortization'!I$482),'TIF Loan Amortization'!$G$482,IF(AND($C84&gt;='TIF Loan Amortization'!$H$483,$C84&lt;='TIF Loan Amortization'!I$483),'TIF Loan Amortization'!$G$483,IF(AND($C84&gt;='TIF Loan Amortization'!$H$484,$C84&lt;='TIF Loan Amortization'!I$484),'TIF Loan Amortization'!$G$484,IF(AND($C84&gt;='TIF Loan Amortization'!$H$485,$C84&lt;='TIF Loan Amortization'!I$485),'TIF Loan Amortization'!$G$485,IF(AND($C84&gt;='TIF Loan Amortization'!$H$486,$C84&lt;='TIF Loan Amortization'!I$486),'TIF Loan Amortization'!$G$486,IF(AND($C84&gt;='TIF Loan Amortization'!$H$487,$C84&lt;='TIF Loan Amortization'!I$487),'TIF Loan Amortization'!$G$487,IF(AND($C84&gt;='TIF Loan Amortization'!$H$488,$C84&lt;='TIF Loan Amortization'!I$488),'TIF Loan Amortization'!$G$488,IF(AND($C84&gt;='TIF Loan Amortization'!$H$489,$C84&lt;='TIF Loan Amortization'!I$489),'TIF Loan Amortization'!$G$489,IF(AND($C84&gt;='TIF Loan Amortization'!$H$490,$C84&lt;='TIF Loan Amortization'!I$490),'TIF Loan Amortization'!$G$490,IF(AND($C84&gt;='TIF Loan Amortization'!$H$491,$C84&lt;='TIF Loan Amortization'!I$491),'TIF Loan Amortization'!$G$491,IF(AND($C84&gt;='TIF Loan Amortization'!$H$492,$C84&lt;='TIF Loan Amortization'!I$492),'TIF Loan Amortization'!$G$492,IF(AND($C84&gt;='TIF Loan Amortization'!$H$493,$C84&lt;='TIF Loan Amortization'!I$493),'TIF Loan Amortization'!$G$493,IF(AND($C84&gt;='TIF Loan Amortization'!$H$494,$C84&lt;='TIF Loan Amortization'!I$494),'TIF Loan Amortization'!$G$494,IF(AND($C84&gt;='TIF Loan Amortization'!$H$495,$C84&lt;='TIF Loan Amortization'!I$495),'TIF Loan Amortization'!$G$495,IF(AND($C84&gt;='TIF Loan Amortization'!$H$496,$C84&lt;='TIF Loan Amortization'!I$496),'TIF Loan Amortization'!$G$496,IF(AND($C84&gt;='TIF Loan Amortization'!$H$497,$C84&lt;='TIF Loan Amortization'!I$497),'TIF Loan Amortization'!$G$497,IF(AND($C84&gt;='TIF Loan Amortization'!$H$498,$C84&lt;='TIF Loan Amortization'!I$498),'TIF Loan Amortization'!$G$498,IF(AND($C84&gt;='TIF Loan Amortization'!$H$499,$C84&lt;='TIF Loan Amortization'!I$499),'TIF Loan Amortization'!$G$499,IF(AND($C84&gt;='TIF Loan Amortization'!$H$500,$C84&lt;='TIF Loan Amortization'!I$500),'TIF Loan Amortization'!$G$500,IF(AND($C84&gt;='TIF Loan Amortization'!$H$501,$C84&lt;='TIF Loan Amortization'!I$501),'TIF Loan Amortization'!$G$501,IF(AND($C84&gt;='TIF Loan Amortization'!$H$502,$C84&lt;='TIF Loan Amortization'!I$502),'TIF Loan Amortization'!$G$502,IF(AND($C84&gt;='TIF Loan Amortization'!$H$503,$C84&lt;='TIF Loan Amortization'!I$503),'TIF Loan Amortization'!$G$503,IF(AND($C84&gt;='TIF Loan Amortization'!$H$504,$C84&lt;='TIF Loan Amortization'!I$504),'TIF Loan Amortization'!$G$504,IF(AND($C84&gt;='TIF Loan Amortization'!$H$505,$C84&lt;='TIF Loan Amortization'!I$505),'TIF Loan Amortization'!$G$505,IF(AND($C84&gt;='TIF Loan Amortization'!$H$506,$C84&lt;='TIF Loan Amortization'!I$506),'TIF Loan Amortization'!$G$506,IF(AND($C84&gt;='TIF Loan Amortization'!$H$507,$C84&lt;='TIF Loan Amortization'!I$507),'TIF Loan Amortization'!$G$507,IF(AND($C84&gt;='TIF Loan Amortization'!$H$508,$C84&lt;='TIF Loan Amortization'!I$508),'TIF Loan Amortization'!$G$508,IF(AND($C84&gt;='TIF Loan Amortization'!$H$509,$C84&lt;='TIF Loan Amortization'!I$509),'TIF Loan Amortization'!$G$509,IF(AND($C84&gt;='TIF Loan Amortization'!$H$510,$C84&lt;='TIF Loan Amortization'!I$510),'TIF Loan Amortization'!$G$510,IF(AND($C84&gt;='TIF Loan Amortization'!$H$511,$C84&lt;='TIF Loan Amortization'!I$511),'TIF Loan Amortization'!$G$511,IF(AND($C84&gt;='TIF Loan Amortization'!$H$512,$C84&lt;='TIF Loan Amortization'!I$512),'TIF Loan Amortization'!$G$512,IF(AND($C84&gt;='TIF Loan Amortization'!$H$513,$C84&lt;='TIF Loan Amortization'!I$513),'TIF Loan Amortization'!$G$513,IF(AND($C84&gt;='TIF Loan Amortization'!$H$514,$C84&lt;='TIF Loan Amortization'!I$514),'TIF Loan Amortization'!$G$514,IF(AND($C84&gt;='TIF Loan Amortization'!$H$515,$C84&lt;='TIF Loan Amortization'!I$515),'TIF Loan Amortization'!$G$515,IF(AND($C84&gt;='TIF Loan Amortization'!$H$516,$C84&lt;='TIF Loan Amortization'!I$516),'TIF Loan Amortization'!$G$516,IF(AND($C84&gt;='TIF Loan Amortization'!$H$517,$C84&lt;='TIF Loan Amortization'!I$517),'TIF Loan Amortization'!$G$517,IF(AND($C84&gt;='TIF Loan Amortization'!$H$518,$C84&lt;='TIF Loan Amortization'!I$518),'TIF Loan Amortization'!$G$518,IF(AND($C84&gt;='TIF Loan Amortization'!$H$519,$C84&lt;='TIF Loan Amortization'!I$519),'TIF Loan Amortization'!$G$519))))))))))))))))))))))))))))))))))))))))</f>
        <v>#N/A</v>
      </c>
      <c r="C84" s="269" t="e">
        <f t="shared" si="16"/>
        <v>#N/A</v>
      </c>
      <c r="D84" s="281">
        <f>IF($AG$432=1,$H$10+3,"")</f>
        <v>2028</v>
      </c>
      <c r="E84" s="274">
        <v>34</v>
      </c>
      <c r="F84" s="273" t="str">
        <f>VLOOKUP($AG$432,$AE$422:$AF$433,2)</f>
        <v>Jan</v>
      </c>
      <c r="G84" s="272">
        <f t="shared" si="17"/>
        <v>0</v>
      </c>
      <c r="H84" s="272">
        <f t="shared" si="20"/>
        <v>0</v>
      </c>
      <c r="I84" s="272">
        <f t="shared" si="21"/>
        <v>0</v>
      </c>
      <c r="J84" s="272">
        <f t="shared" si="19"/>
        <v>0</v>
      </c>
      <c r="K84" s="272">
        <f>IF(ISTEXT($M$4),"",SUM(I$50:I84))</f>
        <v>0</v>
      </c>
      <c r="L84" s="272">
        <f>IF(ISTEXT($M$4),"",SUM(J$50:J84))</f>
        <v>0</v>
      </c>
      <c r="M84" s="271">
        <f t="shared" si="18"/>
        <v>0</v>
      </c>
      <c r="N84" s="291" t="e">
        <f>IF(C84='Operating Assumptions'!$C$48,"Construction Finish","")</f>
        <v>#N/A</v>
      </c>
      <c r="O84" s="291"/>
      <c r="P84" s="291"/>
      <c r="Q84" s="291"/>
      <c r="R84" s="291"/>
      <c r="S84" s="291"/>
      <c r="T84" s="291"/>
      <c r="U84" s="291"/>
      <c r="V84" s="292"/>
      <c r="W84" s="292"/>
      <c r="X84" s="292"/>
      <c r="Y84" s="291"/>
      <c r="Z84" s="279"/>
      <c r="AA84" s="279"/>
      <c r="AB84" s="279"/>
    </row>
    <row r="85" spans="2:28" s="278" customFormat="1" ht="11.65" customHeight="1" x14ac:dyDescent="0.25">
      <c r="B85" s="270" t="e">
        <f>IF(AND($C85&gt;='TIF Loan Amortization'!$H$480,$C85&lt;='TIF Loan Amortization'!$I$480),'TIF Loan Amortization'!$G$480,IF(AND($C85&gt;='TIF Loan Amortization'!$H$481,$C85&lt;='TIF Loan Amortization'!I$481),'TIF Loan Amortization'!$G$481,IF(AND($C85&gt;='TIF Loan Amortization'!$H$482,$C85&lt;='TIF Loan Amortization'!I$482),'TIF Loan Amortization'!$G$482,IF(AND($C85&gt;='TIF Loan Amortization'!$H$483,$C85&lt;='TIF Loan Amortization'!I$483),'TIF Loan Amortization'!$G$483,IF(AND($C85&gt;='TIF Loan Amortization'!$H$484,$C85&lt;='TIF Loan Amortization'!I$484),'TIF Loan Amortization'!$G$484,IF(AND($C85&gt;='TIF Loan Amortization'!$H$485,$C85&lt;='TIF Loan Amortization'!I$485),'TIF Loan Amortization'!$G$485,IF(AND($C85&gt;='TIF Loan Amortization'!$H$486,$C85&lt;='TIF Loan Amortization'!I$486),'TIF Loan Amortization'!$G$486,IF(AND($C85&gt;='TIF Loan Amortization'!$H$487,$C85&lt;='TIF Loan Amortization'!I$487),'TIF Loan Amortization'!$G$487,IF(AND($C85&gt;='TIF Loan Amortization'!$H$488,$C85&lt;='TIF Loan Amortization'!I$488),'TIF Loan Amortization'!$G$488,IF(AND($C85&gt;='TIF Loan Amortization'!$H$489,$C85&lt;='TIF Loan Amortization'!I$489),'TIF Loan Amortization'!$G$489,IF(AND($C85&gt;='TIF Loan Amortization'!$H$490,$C85&lt;='TIF Loan Amortization'!I$490),'TIF Loan Amortization'!$G$490,IF(AND($C85&gt;='TIF Loan Amortization'!$H$491,$C85&lt;='TIF Loan Amortization'!I$491),'TIF Loan Amortization'!$G$491,IF(AND($C85&gt;='TIF Loan Amortization'!$H$492,$C85&lt;='TIF Loan Amortization'!I$492),'TIF Loan Amortization'!$G$492,IF(AND($C85&gt;='TIF Loan Amortization'!$H$493,$C85&lt;='TIF Loan Amortization'!I$493),'TIF Loan Amortization'!$G$493,IF(AND($C85&gt;='TIF Loan Amortization'!$H$494,$C85&lt;='TIF Loan Amortization'!I$494),'TIF Loan Amortization'!$G$494,IF(AND($C85&gt;='TIF Loan Amortization'!$H$495,$C85&lt;='TIF Loan Amortization'!I$495),'TIF Loan Amortization'!$G$495,IF(AND($C85&gt;='TIF Loan Amortization'!$H$496,$C85&lt;='TIF Loan Amortization'!I$496),'TIF Loan Amortization'!$G$496,IF(AND($C85&gt;='TIF Loan Amortization'!$H$497,$C85&lt;='TIF Loan Amortization'!I$497),'TIF Loan Amortization'!$G$497,IF(AND($C85&gt;='TIF Loan Amortization'!$H$498,$C85&lt;='TIF Loan Amortization'!I$498),'TIF Loan Amortization'!$G$498,IF(AND($C85&gt;='TIF Loan Amortization'!$H$499,$C85&lt;='TIF Loan Amortization'!I$499),'TIF Loan Amortization'!$G$499,IF(AND($C85&gt;='TIF Loan Amortization'!$H$500,$C85&lt;='TIF Loan Amortization'!I$500),'TIF Loan Amortization'!$G$500,IF(AND($C85&gt;='TIF Loan Amortization'!$H$501,$C85&lt;='TIF Loan Amortization'!I$501),'TIF Loan Amortization'!$G$501,IF(AND($C85&gt;='TIF Loan Amortization'!$H$502,$C85&lt;='TIF Loan Amortization'!I$502),'TIF Loan Amortization'!$G$502,IF(AND($C85&gt;='TIF Loan Amortization'!$H$503,$C85&lt;='TIF Loan Amortization'!I$503),'TIF Loan Amortization'!$G$503,IF(AND($C85&gt;='TIF Loan Amortization'!$H$504,$C85&lt;='TIF Loan Amortization'!I$504),'TIF Loan Amortization'!$G$504,IF(AND($C85&gt;='TIF Loan Amortization'!$H$505,$C85&lt;='TIF Loan Amortization'!I$505),'TIF Loan Amortization'!$G$505,IF(AND($C85&gt;='TIF Loan Amortization'!$H$506,$C85&lt;='TIF Loan Amortization'!I$506),'TIF Loan Amortization'!$G$506,IF(AND($C85&gt;='TIF Loan Amortization'!$H$507,$C85&lt;='TIF Loan Amortization'!I$507),'TIF Loan Amortization'!$G$507,IF(AND($C85&gt;='TIF Loan Amortization'!$H$508,$C85&lt;='TIF Loan Amortization'!I$508),'TIF Loan Amortization'!$G$508,IF(AND($C85&gt;='TIF Loan Amortization'!$H$509,$C85&lt;='TIF Loan Amortization'!I$509),'TIF Loan Amortization'!$G$509,IF(AND($C85&gt;='TIF Loan Amortization'!$H$510,$C85&lt;='TIF Loan Amortization'!I$510),'TIF Loan Amortization'!$G$510,IF(AND($C85&gt;='TIF Loan Amortization'!$H$511,$C85&lt;='TIF Loan Amortization'!I$511),'TIF Loan Amortization'!$G$511,IF(AND($C85&gt;='TIF Loan Amortization'!$H$512,$C85&lt;='TIF Loan Amortization'!I$512),'TIF Loan Amortization'!$G$512,IF(AND($C85&gt;='TIF Loan Amortization'!$H$513,$C85&lt;='TIF Loan Amortization'!I$513),'TIF Loan Amortization'!$G$513,IF(AND($C85&gt;='TIF Loan Amortization'!$H$514,$C85&lt;='TIF Loan Amortization'!I$514),'TIF Loan Amortization'!$G$514,IF(AND($C85&gt;='TIF Loan Amortization'!$H$515,$C85&lt;='TIF Loan Amortization'!I$515),'TIF Loan Amortization'!$G$515,IF(AND($C85&gt;='TIF Loan Amortization'!$H$516,$C85&lt;='TIF Loan Amortization'!I$516),'TIF Loan Amortization'!$G$516,IF(AND($C85&gt;='TIF Loan Amortization'!$H$517,$C85&lt;='TIF Loan Amortization'!I$517),'TIF Loan Amortization'!$G$517,IF(AND($C85&gt;='TIF Loan Amortization'!$H$518,$C85&lt;='TIF Loan Amortization'!I$518),'TIF Loan Amortization'!$G$518,IF(AND($C85&gt;='TIF Loan Amortization'!$H$519,$C85&lt;='TIF Loan Amortization'!I$519),'TIF Loan Amortization'!$G$519))))))))))))))))))))))))))))))))))))))))</f>
        <v>#N/A</v>
      </c>
      <c r="C85" s="269" t="e">
        <f t="shared" si="16"/>
        <v>#N/A</v>
      </c>
      <c r="D85" s="281" t="str">
        <f>IF($AG$433=1,$H$10+3,"")</f>
        <v/>
      </c>
      <c r="E85" s="274">
        <v>35</v>
      </c>
      <c r="F85" s="273" t="str">
        <f>VLOOKUP($AG$433,$AE$422:$AF$433,2)</f>
        <v>Feb</v>
      </c>
      <c r="G85" s="272">
        <f t="shared" si="17"/>
        <v>0</v>
      </c>
      <c r="H85" s="272">
        <f t="shared" si="20"/>
        <v>0</v>
      </c>
      <c r="I85" s="272">
        <f t="shared" si="21"/>
        <v>0</v>
      </c>
      <c r="J85" s="272">
        <f t="shared" si="19"/>
        <v>0</v>
      </c>
      <c r="K85" s="272">
        <f>IF(ISTEXT($M$4),"",SUM(I$50:I85))</f>
        <v>0</v>
      </c>
      <c r="L85" s="272">
        <f>IF(ISTEXT($M$4),"",SUM(J$50:J85))</f>
        <v>0</v>
      </c>
      <c r="M85" s="271">
        <f t="shared" si="18"/>
        <v>0</v>
      </c>
      <c r="N85" s="291" t="e">
        <f>IF(C85='Operating Assumptions'!$C$48,"Construction Finish","")</f>
        <v>#N/A</v>
      </c>
      <c r="O85" s="291"/>
      <c r="P85" s="291"/>
      <c r="Q85" s="291"/>
      <c r="R85" s="291"/>
      <c r="S85" s="291"/>
      <c r="T85" s="291"/>
      <c r="U85" s="291"/>
      <c r="V85" s="292"/>
      <c r="W85" s="292"/>
      <c r="X85" s="292"/>
      <c r="Y85" s="291"/>
      <c r="Z85" s="279"/>
      <c r="AA85" s="279"/>
      <c r="AB85" s="279"/>
    </row>
    <row r="86" spans="2:28" s="278" customFormat="1" ht="11.65" customHeight="1" x14ac:dyDescent="0.25">
      <c r="B86" s="270" t="e">
        <f>IF(AND($C86&gt;='TIF Loan Amortization'!$H$480,$C86&lt;='TIF Loan Amortization'!$I$480),'TIF Loan Amortization'!$G$480,IF(AND($C86&gt;='TIF Loan Amortization'!$H$481,$C86&lt;='TIF Loan Amortization'!I$481),'TIF Loan Amortization'!$G$481,IF(AND($C86&gt;='TIF Loan Amortization'!$H$482,$C86&lt;='TIF Loan Amortization'!I$482),'TIF Loan Amortization'!$G$482,IF(AND($C86&gt;='TIF Loan Amortization'!$H$483,$C86&lt;='TIF Loan Amortization'!I$483),'TIF Loan Amortization'!$G$483,IF(AND($C86&gt;='TIF Loan Amortization'!$H$484,$C86&lt;='TIF Loan Amortization'!I$484),'TIF Loan Amortization'!$G$484,IF(AND($C86&gt;='TIF Loan Amortization'!$H$485,$C86&lt;='TIF Loan Amortization'!I$485),'TIF Loan Amortization'!$G$485,IF(AND($C86&gt;='TIF Loan Amortization'!$H$486,$C86&lt;='TIF Loan Amortization'!I$486),'TIF Loan Amortization'!$G$486,IF(AND($C86&gt;='TIF Loan Amortization'!$H$487,$C86&lt;='TIF Loan Amortization'!I$487),'TIF Loan Amortization'!$G$487,IF(AND($C86&gt;='TIF Loan Amortization'!$H$488,$C86&lt;='TIF Loan Amortization'!I$488),'TIF Loan Amortization'!$G$488,IF(AND($C86&gt;='TIF Loan Amortization'!$H$489,$C86&lt;='TIF Loan Amortization'!I$489),'TIF Loan Amortization'!$G$489,IF(AND($C86&gt;='TIF Loan Amortization'!$H$490,$C86&lt;='TIF Loan Amortization'!I$490),'TIF Loan Amortization'!$G$490,IF(AND($C86&gt;='TIF Loan Amortization'!$H$491,$C86&lt;='TIF Loan Amortization'!I$491),'TIF Loan Amortization'!$G$491,IF(AND($C86&gt;='TIF Loan Amortization'!$H$492,$C86&lt;='TIF Loan Amortization'!I$492),'TIF Loan Amortization'!$G$492,IF(AND($C86&gt;='TIF Loan Amortization'!$H$493,$C86&lt;='TIF Loan Amortization'!I$493),'TIF Loan Amortization'!$G$493,IF(AND($C86&gt;='TIF Loan Amortization'!$H$494,$C86&lt;='TIF Loan Amortization'!I$494),'TIF Loan Amortization'!$G$494,IF(AND($C86&gt;='TIF Loan Amortization'!$H$495,$C86&lt;='TIF Loan Amortization'!I$495),'TIF Loan Amortization'!$G$495,IF(AND($C86&gt;='TIF Loan Amortization'!$H$496,$C86&lt;='TIF Loan Amortization'!I$496),'TIF Loan Amortization'!$G$496,IF(AND($C86&gt;='TIF Loan Amortization'!$H$497,$C86&lt;='TIF Loan Amortization'!I$497),'TIF Loan Amortization'!$G$497,IF(AND($C86&gt;='TIF Loan Amortization'!$H$498,$C86&lt;='TIF Loan Amortization'!I$498),'TIF Loan Amortization'!$G$498,IF(AND($C86&gt;='TIF Loan Amortization'!$H$499,$C86&lt;='TIF Loan Amortization'!I$499),'TIF Loan Amortization'!$G$499,IF(AND($C86&gt;='TIF Loan Amortization'!$H$500,$C86&lt;='TIF Loan Amortization'!I$500),'TIF Loan Amortization'!$G$500,IF(AND($C86&gt;='TIF Loan Amortization'!$H$501,$C86&lt;='TIF Loan Amortization'!I$501),'TIF Loan Amortization'!$G$501,IF(AND($C86&gt;='TIF Loan Amortization'!$H$502,$C86&lt;='TIF Loan Amortization'!I$502),'TIF Loan Amortization'!$G$502,IF(AND($C86&gt;='TIF Loan Amortization'!$H$503,$C86&lt;='TIF Loan Amortization'!I$503),'TIF Loan Amortization'!$G$503,IF(AND($C86&gt;='TIF Loan Amortization'!$H$504,$C86&lt;='TIF Loan Amortization'!I$504),'TIF Loan Amortization'!$G$504,IF(AND($C86&gt;='TIF Loan Amortization'!$H$505,$C86&lt;='TIF Loan Amortization'!I$505),'TIF Loan Amortization'!$G$505,IF(AND($C86&gt;='TIF Loan Amortization'!$H$506,$C86&lt;='TIF Loan Amortization'!I$506),'TIF Loan Amortization'!$G$506,IF(AND($C86&gt;='TIF Loan Amortization'!$H$507,$C86&lt;='TIF Loan Amortization'!I$507),'TIF Loan Amortization'!$G$507,IF(AND($C86&gt;='TIF Loan Amortization'!$H$508,$C86&lt;='TIF Loan Amortization'!I$508),'TIF Loan Amortization'!$G$508,IF(AND($C86&gt;='TIF Loan Amortization'!$H$509,$C86&lt;='TIF Loan Amortization'!I$509),'TIF Loan Amortization'!$G$509,IF(AND($C86&gt;='TIF Loan Amortization'!$H$510,$C86&lt;='TIF Loan Amortization'!I$510),'TIF Loan Amortization'!$G$510,IF(AND($C86&gt;='TIF Loan Amortization'!$H$511,$C86&lt;='TIF Loan Amortization'!I$511),'TIF Loan Amortization'!$G$511,IF(AND($C86&gt;='TIF Loan Amortization'!$H$512,$C86&lt;='TIF Loan Amortization'!I$512),'TIF Loan Amortization'!$G$512,IF(AND($C86&gt;='TIF Loan Amortization'!$H$513,$C86&lt;='TIF Loan Amortization'!I$513),'TIF Loan Amortization'!$G$513,IF(AND($C86&gt;='TIF Loan Amortization'!$H$514,$C86&lt;='TIF Loan Amortization'!I$514),'TIF Loan Amortization'!$G$514,IF(AND($C86&gt;='TIF Loan Amortization'!$H$515,$C86&lt;='TIF Loan Amortization'!I$515),'TIF Loan Amortization'!$G$515,IF(AND($C86&gt;='TIF Loan Amortization'!$H$516,$C86&lt;='TIF Loan Amortization'!I$516),'TIF Loan Amortization'!$G$516,IF(AND($C86&gt;='TIF Loan Amortization'!$H$517,$C86&lt;='TIF Loan Amortization'!I$517),'TIF Loan Amortization'!$G$517,IF(AND($C86&gt;='TIF Loan Amortization'!$H$518,$C86&lt;='TIF Loan Amortization'!I$518),'TIF Loan Amortization'!$G$518,IF(AND($C86&gt;='TIF Loan Amortization'!$H$519,$C86&lt;='TIF Loan Amortization'!I$519),'TIF Loan Amortization'!$G$519))))))))))))))))))))))))))))))))))))))))</f>
        <v>#N/A</v>
      </c>
      <c r="C86" s="269" t="e">
        <f t="shared" si="16"/>
        <v>#N/A</v>
      </c>
      <c r="D86" s="281" t="str">
        <f>IF($H$11="January",$H$10+3,IF($AG$422=1,$H$10+4,""))</f>
        <v/>
      </c>
      <c r="E86" s="298">
        <v>36</v>
      </c>
      <c r="F86" s="297" t="str">
        <f>VLOOKUP($AG$422,$AE$422:$AF$433,2)</f>
        <v>Mar</v>
      </c>
      <c r="G86" s="266">
        <f t="shared" si="17"/>
        <v>0</v>
      </c>
      <c r="H86" s="266">
        <f t="shared" si="20"/>
        <v>0</v>
      </c>
      <c r="I86" s="266">
        <f t="shared" si="21"/>
        <v>0</v>
      </c>
      <c r="J86" s="266">
        <f t="shared" si="19"/>
        <v>0</v>
      </c>
      <c r="K86" s="266">
        <f>IF(ISTEXT($M$4),"",SUM(I$50:I86))</f>
        <v>0</v>
      </c>
      <c r="L86" s="266">
        <f>IF(ISTEXT($M$4),"",SUM(J$50:J86))</f>
        <v>0</v>
      </c>
      <c r="M86" s="265">
        <f t="shared" si="18"/>
        <v>0</v>
      </c>
      <c r="N86" s="291" t="e">
        <f>IF(C86='Operating Assumptions'!$C$48,"Construction Finish","")</f>
        <v>#N/A</v>
      </c>
      <c r="O86" s="291"/>
      <c r="P86" s="291"/>
      <c r="Q86" s="291"/>
      <c r="R86" s="291"/>
      <c r="S86" s="291"/>
      <c r="T86" s="291"/>
      <c r="U86" s="291"/>
      <c r="V86" s="292"/>
      <c r="W86" s="292"/>
      <c r="X86" s="292"/>
      <c r="Y86" s="291"/>
      <c r="Z86" s="279"/>
      <c r="AA86" s="279"/>
      <c r="AB86" s="279"/>
    </row>
    <row r="87" spans="2:28" s="278" customFormat="1" ht="11.65" hidden="1" customHeight="1" outlineLevel="1" x14ac:dyDescent="0.25">
      <c r="B87" s="270" t="e">
        <f>IF(AND($C87&gt;='TIF Loan Amortization'!$H$480,$C87&lt;='TIF Loan Amortization'!$I$480),'TIF Loan Amortization'!$G$480,IF(AND($C87&gt;='TIF Loan Amortization'!$H$481,$C87&lt;='TIF Loan Amortization'!I$481),'TIF Loan Amortization'!$G$481,IF(AND($C87&gt;='TIF Loan Amortization'!$H$482,$C87&lt;='TIF Loan Amortization'!I$482),'TIF Loan Amortization'!$G$482,IF(AND($C87&gt;='TIF Loan Amortization'!$H$483,$C87&lt;='TIF Loan Amortization'!I$483),'TIF Loan Amortization'!$G$483,IF(AND($C87&gt;='TIF Loan Amortization'!$H$484,$C87&lt;='TIF Loan Amortization'!I$484),'TIF Loan Amortization'!$G$484,IF(AND($C87&gt;='TIF Loan Amortization'!$H$485,$C87&lt;='TIF Loan Amortization'!I$485),'TIF Loan Amortization'!$G$485,IF(AND($C87&gt;='TIF Loan Amortization'!$H$486,$C87&lt;='TIF Loan Amortization'!I$486),'TIF Loan Amortization'!$G$486,IF(AND($C87&gt;='TIF Loan Amortization'!$H$487,$C87&lt;='TIF Loan Amortization'!I$487),'TIF Loan Amortization'!$G$487,IF(AND($C87&gt;='TIF Loan Amortization'!$H$488,$C87&lt;='TIF Loan Amortization'!I$488),'TIF Loan Amortization'!$G$488,IF(AND($C87&gt;='TIF Loan Amortization'!$H$489,$C87&lt;='TIF Loan Amortization'!I$489),'TIF Loan Amortization'!$G$489,IF(AND($C87&gt;='TIF Loan Amortization'!$H$490,$C87&lt;='TIF Loan Amortization'!I$490),'TIF Loan Amortization'!$G$490,IF(AND($C87&gt;='TIF Loan Amortization'!$H$491,$C87&lt;='TIF Loan Amortization'!I$491),'TIF Loan Amortization'!$G$491,IF(AND($C87&gt;='TIF Loan Amortization'!$H$492,$C87&lt;='TIF Loan Amortization'!I$492),'TIF Loan Amortization'!$G$492,IF(AND($C87&gt;='TIF Loan Amortization'!$H$493,$C87&lt;='TIF Loan Amortization'!I$493),'TIF Loan Amortization'!$G$493,IF(AND($C87&gt;='TIF Loan Amortization'!$H$494,$C87&lt;='TIF Loan Amortization'!I$494),'TIF Loan Amortization'!$G$494,IF(AND($C87&gt;='TIF Loan Amortization'!$H$495,$C87&lt;='TIF Loan Amortization'!I$495),'TIF Loan Amortization'!$G$495,IF(AND($C87&gt;='TIF Loan Amortization'!$H$496,$C87&lt;='TIF Loan Amortization'!I$496),'TIF Loan Amortization'!$G$496,IF(AND($C87&gt;='TIF Loan Amortization'!$H$497,$C87&lt;='TIF Loan Amortization'!I$497),'TIF Loan Amortization'!$G$497,IF(AND($C87&gt;='TIF Loan Amortization'!$H$498,$C87&lt;='TIF Loan Amortization'!I$498),'TIF Loan Amortization'!$G$498,IF(AND($C87&gt;='TIF Loan Amortization'!$H$499,$C87&lt;='TIF Loan Amortization'!I$499),'TIF Loan Amortization'!$G$499,IF(AND($C87&gt;='TIF Loan Amortization'!$H$500,$C87&lt;='TIF Loan Amortization'!I$500),'TIF Loan Amortization'!$G$500,IF(AND($C87&gt;='TIF Loan Amortization'!$H$501,$C87&lt;='TIF Loan Amortization'!I$501),'TIF Loan Amortization'!$G$501,IF(AND($C87&gt;='TIF Loan Amortization'!$H$502,$C87&lt;='TIF Loan Amortization'!I$502),'TIF Loan Amortization'!$G$502,IF(AND($C87&gt;='TIF Loan Amortization'!$H$503,$C87&lt;='TIF Loan Amortization'!I$503),'TIF Loan Amortization'!$G$503,IF(AND($C87&gt;='TIF Loan Amortization'!$H$504,$C87&lt;='TIF Loan Amortization'!I$504),'TIF Loan Amortization'!$G$504,IF(AND($C87&gt;='TIF Loan Amortization'!$H$505,$C87&lt;='TIF Loan Amortization'!I$505),'TIF Loan Amortization'!$G$505,IF(AND($C87&gt;='TIF Loan Amortization'!$H$506,$C87&lt;='TIF Loan Amortization'!I$506),'TIF Loan Amortization'!$G$506,IF(AND($C87&gt;='TIF Loan Amortization'!$H$507,$C87&lt;='TIF Loan Amortization'!I$507),'TIF Loan Amortization'!$G$507,IF(AND($C87&gt;='TIF Loan Amortization'!$H$508,$C87&lt;='TIF Loan Amortization'!I$508),'TIF Loan Amortization'!$G$508,IF(AND($C87&gt;='TIF Loan Amortization'!$H$509,$C87&lt;='TIF Loan Amortization'!I$509),'TIF Loan Amortization'!$G$509,IF(AND($C87&gt;='TIF Loan Amortization'!$H$510,$C87&lt;='TIF Loan Amortization'!I$510),'TIF Loan Amortization'!$G$510,IF(AND($C87&gt;='TIF Loan Amortization'!$H$511,$C87&lt;='TIF Loan Amortization'!I$511),'TIF Loan Amortization'!$G$511,IF(AND($C87&gt;='TIF Loan Amortization'!$H$512,$C87&lt;='TIF Loan Amortization'!I$512),'TIF Loan Amortization'!$G$512,IF(AND($C87&gt;='TIF Loan Amortization'!$H$513,$C87&lt;='TIF Loan Amortization'!I$513),'TIF Loan Amortization'!$G$513,IF(AND($C87&gt;='TIF Loan Amortization'!$H$514,$C87&lt;='TIF Loan Amortization'!I$514),'TIF Loan Amortization'!$G$514,IF(AND($C87&gt;='TIF Loan Amortization'!$H$515,$C87&lt;='TIF Loan Amortization'!I$515),'TIF Loan Amortization'!$G$515,IF(AND($C87&gt;='TIF Loan Amortization'!$H$516,$C87&lt;='TIF Loan Amortization'!I$516),'TIF Loan Amortization'!$G$516,IF(AND($C87&gt;='TIF Loan Amortization'!$H$517,$C87&lt;='TIF Loan Amortization'!I$517),'TIF Loan Amortization'!$G$517,IF(AND($C87&gt;='TIF Loan Amortization'!$H$518,$C87&lt;='TIF Loan Amortization'!I$518),'TIF Loan Amortization'!$G$518,IF(AND($C87&gt;='TIF Loan Amortization'!$H$519,$C87&lt;='TIF Loan Amortization'!I$519),'TIF Loan Amortization'!$G$519))))))))))))))))))))))))))))))))))))))))</f>
        <v>#N/A</v>
      </c>
      <c r="C87" s="269" t="e">
        <f t="shared" si="16"/>
        <v>#N/A</v>
      </c>
      <c r="D87" s="281" t="str">
        <f>IF($AG$423=1,$H$10+4,"")</f>
        <v/>
      </c>
      <c r="E87" s="285">
        <v>37</v>
      </c>
      <c r="F87" s="296" t="str">
        <f>VLOOKUP($AG$423,$AE$422:$AF$433,2)</f>
        <v>Apr</v>
      </c>
      <c r="G87" s="283">
        <f t="shared" si="17"/>
        <v>0</v>
      </c>
      <c r="H87" s="272">
        <f t="shared" si="20"/>
        <v>0</v>
      </c>
      <c r="I87" s="272">
        <f t="shared" si="21"/>
        <v>0</v>
      </c>
      <c r="J87" s="283">
        <f t="shared" si="19"/>
        <v>0</v>
      </c>
      <c r="K87" s="283">
        <f>IF(ISTEXT($M$4),"",SUM(I$50:I87))</f>
        <v>0</v>
      </c>
      <c r="L87" s="283">
        <f>IF(ISTEXT($M$4),"",SUM(J$50:J87))</f>
        <v>0</v>
      </c>
      <c r="M87" s="282">
        <f t="shared" si="18"/>
        <v>0</v>
      </c>
      <c r="N87" s="291" t="e">
        <f>IF(C87='Operating Assumptions'!$C$48,"Construction Finish","")</f>
        <v>#N/A</v>
      </c>
      <c r="O87" s="291"/>
      <c r="P87" s="291"/>
      <c r="Q87" s="291"/>
      <c r="R87" s="291"/>
      <c r="S87" s="291"/>
      <c r="T87" s="291"/>
      <c r="U87" s="291"/>
      <c r="V87" s="292"/>
      <c r="W87" s="292"/>
      <c r="X87" s="292"/>
      <c r="Y87" s="291"/>
      <c r="Z87" s="279"/>
      <c r="AA87" s="279"/>
      <c r="AB87" s="279"/>
    </row>
    <row r="88" spans="2:28" s="278" customFormat="1" ht="11.65" hidden="1" customHeight="1" outlineLevel="1" x14ac:dyDescent="0.25">
      <c r="B88" s="270" t="e">
        <f>IF(AND($C88&gt;='TIF Loan Amortization'!$H$480,$C88&lt;='TIF Loan Amortization'!$I$480),'TIF Loan Amortization'!$G$480,IF(AND($C88&gt;='TIF Loan Amortization'!$H$481,$C88&lt;='TIF Loan Amortization'!I$481),'TIF Loan Amortization'!$G$481,IF(AND($C88&gt;='TIF Loan Amortization'!$H$482,$C88&lt;='TIF Loan Amortization'!I$482),'TIF Loan Amortization'!$G$482,IF(AND($C88&gt;='TIF Loan Amortization'!$H$483,$C88&lt;='TIF Loan Amortization'!I$483),'TIF Loan Amortization'!$G$483,IF(AND($C88&gt;='TIF Loan Amortization'!$H$484,$C88&lt;='TIF Loan Amortization'!I$484),'TIF Loan Amortization'!$G$484,IF(AND($C88&gt;='TIF Loan Amortization'!$H$485,$C88&lt;='TIF Loan Amortization'!I$485),'TIF Loan Amortization'!$G$485,IF(AND($C88&gt;='TIF Loan Amortization'!$H$486,$C88&lt;='TIF Loan Amortization'!I$486),'TIF Loan Amortization'!$G$486,IF(AND($C88&gt;='TIF Loan Amortization'!$H$487,$C88&lt;='TIF Loan Amortization'!I$487),'TIF Loan Amortization'!$G$487,IF(AND($C88&gt;='TIF Loan Amortization'!$H$488,$C88&lt;='TIF Loan Amortization'!I$488),'TIF Loan Amortization'!$G$488,IF(AND($C88&gt;='TIF Loan Amortization'!$H$489,$C88&lt;='TIF Loan Amortization'!I$489),'TIF Loan Amortization'!$G$489,IF(AND($C88&gt;='TIF Loan Amortization'!$H$490,$C88&lt;='TIF Loan Amortization'!I$490),'TIF Loan Amortization'!$G$490,IF(AND($C88&gt;='TIF Loan Amortization'!$H$491,$C88&lt;='TIF Loan Amortization'!I$491),'TIF Loan Amortization'!$G$491,IF(AND($C88&gt;='TIF Loan Amortization'!$H$492,$C88&lt;='TIF Loan Amortization'!I$492),'TIF Loan Amortization'!$G$492,IF(AND($C88&gt;='TIF Loan Amortization'!$H$493,$C88&lt;='TIF Loan Amortization'!I$493),'TIF Loan Amortization'!$G$493,IF(AND($C88&gt;='TIF Loan Amortization'!$H$494,$C88&lt;='TIF Loan Amortization'!I$494),'TIF Loan Amortization'!$G$494,IF(AND($C88&gt;='TIF Loan Amortization'!$H$495,$C88&lt;='TIF Loan Amortization'!I$495),'TIF Loan Amortization'!$G$495,IF(AND($C88&gt;='TIF Loan Amortization'!$H$496,$C88&lt;='TIF Loan Amortization'!I$496),'TIF Loan Amortization'!$G$496,IF(AND($C88&gt;='TIF Loan Amortization'!$H$497,$C88&lt;='TIF Loan Amortization'!I$497),'TIF Loan Amortization'!$G$497,IF(AND($C88&gt;='TIF Loan Amortization'!$H$498,$C88&lt;='TIF Loan Amortization'!I$498),'TIF Loan Amortization'!$G$498,IF(AND($C88&gt;='TIF Loan Amortization'!$H$499,$C88&lt;='TIF Loan Amortization'!I$499),'TIF Loan Amortization'!$G$499,IF(AND($C88&gt;='TIF Loan Amortization'!$H$500,$C88&lt;='TIF Loan Amortization'!I$500),'TIF Loan Amortization'!$G$500,IF(AND($C88&gt;='TIF Loan Amortization'!$H$501,$C88&lt;='TIF Loan Amortization'!I$501),'TIF Loan Amortization'!$G$501,IF(AND($C88&gt;='TIF Loan Amortization'!$H$502,$C88&lt;='TIF Loan Amortization'!I$502),'TIF Loan Amortization'!$G$502,IF(AND($C88&gt;='TIF Loan Amortization'!$H$503,$C88&lt;='TIF Loan Amortization'!I$503),'TIF Loan Amortization'!$G$503,IF(AND($C88&gt;='TIF Loan Amortization'!$H$504,$C88&lt;='TIF Loan Amortization'!I$504),'TIF Loan Amortization'!$G$504,IF(AND($C88&gt;='TIF Loan Amortization'!$H$505,$C88&lt;='TIF Loan Amortization'!I$505),'TIF Loan Amortization'!$G$505,IF(AND($C88&gt;='TIF Loan Amortization'!$H$506,$C88&lt;='TIF Loan Amortization'!I$506),'TIF Loan Amortization'!$G$506,IF(AND($C88&gt;='TIF Loan Amortization'!$H$507,$C88&lt;='TIF Loan Amortization'!I$507),'TIF Loan Amortization'!$G$507,IF(AND($C88&gt;='TIF Loan Amortization'!$H$508,$C88&lt;='TIF Loan Amortization'!I$508),'TIF Loan Amortization'!$G$508,IF(AND($C88&gt;='TIF Loan Amortization'!$H$509,$C88&lt;='TIF Loan Amortization'!I$509),'TIF Loan Amortization'!$G$509,IF(AND($C88&gt;='TIF Loan Amortization'!$H$510,$C88&lt;='TIF Loan Amortization'!I$510),'TIF Loan Amortization'!$G$510,IF(AND($C88&gt;='TIF Loan Amortization'!$H$511,$C88&lt;='TIF Loan Amortization'!I$511),'TIF Loan Amortization'!$G$511,IF(AND($C88&gt;='TIF Loan Amortization'!$H$512,$C88&lt;='TIF Loan Amortization'!I$512),'TIF Loan Amortization'!$G$512,IF(AND($C88&gt;='TIF Loan Amortization'!$H$513,$C88&lt;='TIF Loan Amortization'!I$513),'TIF Loan Amortization'!$G$513,IF(AND($C88&gt;='TIF Loan Amortization'!$H$514,$C88&lt;='TIF Loan Amortization'!I$514),'TIF Loan Amortization'!$G$514,IF(AND($C88&gt;='TIF Loan Amortization'!$H$515,$C88&lt;='TIF Loan Amortization'!I$515),'TIF Loan Amortization'!$G$515,IF(AND($C88&gt;='TIF Loan Amortization'!$H$516,$C88&lt;='TIF Loan Amortization'!I$516),'TIF Loan Amortization'!$G$516,IF(AND($C88&gt;='TIF Loan Amortization'!$H$517,$C88&lt;='TIF Loan Amortization'!I$517),'TIF Loan Amortization'!$G$517,IF(AND($C88&gt;='TIF Loan Amortization'!$H$518,$C88&lt;='TIF Loan Amortization'!I$518),'TIF Loan Amortization'!$G$518,IF(AND($C88&gt;='TIF Loan Amortization'!$H$519,$C88&lt;='TIF Loan Amortization'!I$519),'TIF Loan Amortization'!$G$519))))))))))))))))))))))))))))))))))))))))</f>
        <v>#N/A</v>
      </c>
      <c r="C88" s="269" t="e">
        <f t="shared" si="16"/>
        <v>#N/A</v>
      </c>
      <c r="D88" s="281" t="str">
        <f>IF($AG$424=1,$H$10+4,"")</f>
        <v/>
      </c>
      <c r="E88" s="274">
        <v>38</v>
      </c>
      <c r="F88" s="275" t="str">
        <f>VLOOKUP($AG$424,$AE$422:$AF$433,2)</f>
        <v>May</v>
      </c>
      <c r="G88" s="272">
        <f t="shared" si="17"/>
        <v>0</v>
      </c>
      <c r="H88" s="272">
        <f t="shared" si="20"/>
        <v>0</v>
      </c>
      <c r="I88" s="272">
        <f t="shared" si="21"/>
        <v>0</v>
      </c>
      <c r="J88" s="272">
        <f t="shared" si="19"/>
        <v>0</v>
      </c>
      <c r="K88" s="272">
        <f>IF(ISTEXT($M$4),"",SUM(I$50:I88))</f>
        <v>0</v>
      </c>
      <c r="L88" s="272">
        <f>IF(ISTEXT($M$4),"",SUM(J$50:J88))</f>
        <v>0</v>
      </c>
      <c r="M88" s="271">
        <f t="shared" si="18"/>
        <v>0</v>
      </c>
      <c r="N88" s="291" t="e">
        <f>IF(C88='Operating Assumptions'!$C$48,"Construction Finish","")</f>
        <v>#N/A</v>
      </c>
      <c r="O88" s="291"/>
      <c r="P88" s="291"/>
      <c r="Q88" s="291"/>
      <c r="R88" s="291"/>
      <c r="S88" s="291"/>
      <c r="T88" s="291"/>
      <c r="U88" s="291"/>
      <c r="V88" s="292"/>
      <c r="W88" s="292"/>
      <c r="X88" s="292"/>
      <c r="Y88" s="291"/>
      <c r="Z88" s="279"/>
      <c r="AA88" s="279"/>
      <c r="AB88" s="279"/>
    </row>
    <row r="89" spans="2:28" s="278" customFormat="1" ht="11.65" hidden="1" customHeight="1" outlineLevel="1" x14ac:dyDescent="0.25">
      <c r="B89" s="270" t="e">
        <f>IF(AND($C89&gt;='TIF Loan Amortization'!$H$480,$C89&lt;='TIF Loan Amortization'!$I$480),'TIF Loan Amortization'!$G$480,IF(AND($C89&gt;='TIF Loan Amortization'!$H$481,$C89&lt;='TIF Loan Amortization'!I$481),'TIF Loan Amortization'!$G$481,IF(AND($C89&gt;='TIF Loan Amortization'!$H$482,$C89&lt;='TIF Loan Amortization'!I$482),'TIF Loan Amortization'!$G$482,IF(AND($C89&gt;='TIF Loan Amortization'!$H$483,$C89&lt;='TIF Loan Amortization'!I$483),'TIF Loan Amortization'!$G$483,IF(AND($C89&gt;='TIF Loan Amortization'!$H$484,$C89&lt;='TIF Loan Amortization'!I$484),'TIF Loan Amortization'!$G$484,IF(AND($C89&gt;='TIF Loan Amortization'!$H$485,$C89&lt;='TIF Loan Amortization'!I$485),'TIF Loan Amortization'!$G$485,IF(AND($C89&gt;='TIF Loan Amortization'!$H$486,$C89&lt;='TIF Loan Amortization'!I$486),'TIF Loan Amortization'!$G$486,IF(AND($C89&gt;='TIF Loan Amortization'!$H$487,$C89&lt;='TIF Loan Amortization'!I$487),'TIF Loan Amortization'!$G$487,IF(AND($C89&gt;='TIF Loan Amortization'!$H$488,$C89&lt;='TIF Loan Amortization'!I$488),'TIF Loan Amortization'!$G$488,IF(AND($C89&gt;='TIF Loan Amortization'!$H$489,$C89&lt;='TIF Loan Amortization'!I$489),'TIF Loan Amortization'!$G$489,IF(AND($C89&gt;='TIF Loan Amortization'!$H$490,$C89&lt;='TIF Loan Amortization'!I$490),'TIF Loan Amortization'!$G$490,IF(AND($C89&gt;='TIF Loan Amortization'!$H$491,$C89&lt;='TIF Loan Amortization'!I$491),'TIF Loan Amortization'!$G$491,IF(AND($C89&gt;='TIF Loan Amortization'!$H$492,$C89&lt;='TIF Loan Amortization'!I$492),'TIF Loan Amortization'!$G$492,IF(AND($C89&gt;='TIF Loan Amortization'!$H$493,$C89&lt;='TIF Loan Amortization'!I$493),'TIF Loan Amortization'!$G$493,IF(AND($C89&gt;='TIF Loan Amortization'!$H$494,$C89&lt;='TIF Loan Amortization'!I$494),'TIF Loan Amortization'!$G$494,IF(AND($C89&gt;='TIF Loan Amortization'!$H$495,$C89&lt;='TIF Loan Amortization'!I$495),'TIF Loan Amortization'!$G$495,IF(AND($C89&gt;='TIF Loan Amortization'!$H$496,$C89&lt;='TIF Loan Amortization'!I$496),'TIF Loan Amortization'!$G$496,IF(AND($C89&gt;='TIF Loan Amortization'!$H$497,$C89&lt;='TIF Loan Amortization'!I$497),'TIF Loan Amortization'!$G$497,IF(AND($C89&gt;='TIF Loan Amortization'!$H$498,$C89&lt;='TIF Loan Amortization'!I$498),'TIF Loan Amortization'!$G$498,IF(AND($C89&gt;='TIF Loan Amortization'!$H$499,$C89&lt;='TIF Loan Amortization'!I$499),'TIF Loan Amortization'!$G$499,IF(AND($C89&gt;='TIF Loan Amortization'!$H$500,$C89&lt;='TIF Loan Amortization'!I$500),'TIF Loan Amortization'!$G$500,IF(AND($C89&gt;='TIF Loan Amortization'!$H$501,$C89&lt;='TIF Loan Amortization'!I$501),'TIF Loan Amortization'!$G$501,IF(AND($C89&gt;='TIF Loan Amortization'!$H$502,$C89&lt;='TIF Loan Amortization'!I$502),'TIF Loan Amortization'!$G$502,IF(AND($C89&gt;='TIF Loan Amortization'!$H$503,$C89&lt;='TIF Loan Amortization'!I$503),'TIF Loan Amortization'!$G$503,IF(AND($C89&gt;='TIF Loan Amortization'!$H$504,$C89&lt;='TIF Loan Amortization'!I$504),'TIF Loan Amortization'!$G$504,IF(AND($C89&gt;='TIF Loan Amortization'!$H$505,$C89&lt;='TIF Loan Amortization'!I$505),'TIF Loan Amortization'!$G$505,IF(AND($C89&gt;='TIF Loan Amortization'!$H$506,$C89&lt;='TIF Loan Amortization'!I$506),'TIF Loan Amortization'!$G$506,IF(AND($C89&gt;='TIF Loan Amortization'!$H$507,$C89&lt;='TIF Loan Amortization'!I$507),'TIF Loan Amortization'!$G$507,IF(AND($C89&gt;='TIF Loan Amortization'!$H$508,$C89&lt;='TIF Loan Amortization'!I$508),'TIF Loan Amortization'!$G$508,IF(AND($C89&gt;='TIF Loan Amortization'!$H$509,$C89&lt;='TIF Loan Amortization'!I$509),'TIF Loan Amortization'!$G$509,IF(AND($C89&gt;='TIF Loan Amortization'!$H$510,$C89&lt;='TIF Loan Amortization'!I$510),'TIF Loan Amortization'!$G$510,IF(AND($C89&gt;='TIF Loan Amortization'!$H$511,$C89&lt;='TIF Loan Amortization'!I$511),'TIF Loan Amortization'!$G$511,IF(AND($C89&gt;='TIF Loan Amortization'!$H$512,$C89&lt;='TIF Loan Amortization'!I$512),'TIF Loan Amortization'!$G$512,IF(AND($C89&gt;='TIF Loan Amortization'!$H$513,$C89&lt;='TIF Loan Amortization'!I$513),'TIF Loan Amortization'!$G$513,IF(AND($C89&gt;='TIF Loan Amortization'!$H$514,$C89&lt;='TIF Loan Amortization'!I$514),'TIF Loan Amortization'!$G$514,IF(AND($C89&gt;='TIF Loan Amortization'!$H$515,$C89&lt;='TIF Loan Amortization'!I$515),'TIF Loan Amortization'!$G$515,IF(AND($C89&gt;='TIF Loan Amortization'!$H$516,$C89&lt;='TIF Loan Amortization'!I$516),'TIF Loan Amortization'!$G$516,IF(AND($C89&gt;='TIF Loan Amortization'!$H$517,$C89&lt;='TIF Loan Amortization'!I$517),'TIF Loan Amortization'!$G$517,IF(AND($C89&gt;='TIF Loan Amortization'!$H$518,$C89&lt;='TIF Loan Amortization'!I$518),'TIF Loan Amortization'!$G$518,IF(AND($C89&gt;='TIF Loan Amortization'!$H$519,$C89&lt;='TIF Loan Amortization'!I$519),'TIF Loan Amortization'!$G$519))))))))))))))))))))))))))))))))))))))))</f>
        <v>#N/A</v>
      </c>
      <c r="C89" s="269" t="e">
        <f t="shared" si="16"/>
        <v>#N/A</v>
      </c>
      <c r="D89" s="281" t="str">
        <f>IF($AG$425=1,$H$10+4,"")</f>
        <v/>
      </c>
      <c r="E89" s="274">
        <v>39</v>
      </c>
      <c r="F89" s="275" t="str">
        <f>VLOOKUP($AG$425,$AE$422:$AF$433,2)</f>
        <v>Jun</v>
      </c>
      <c r="G89" s="272">
        <f t="shared" si="17"/>
        <v>0</v>
      </c>
      <c r="H89" s="272">
        <f t="shared" si="20"/>
        <v>0</v>
      </c>
      <c r="I89" s="272">
        <f t="shared" si="21"/>
        <v>0</v>
      </c>
      <c r="J89" s="272">
        <f t="shared" si="19"/>
        <v>0</v>
      </c>
      <c r="K89" s="272">
        <f>IF(ISTEXT($M$4),"",SUM(I$50:I89))</f>
        <v>0</v>
      </c>
      <c r="L89" s="272">
        <f>IF(ISTEXT($M$4),"",SUM(J$50:J89))</f>
        <v>0</v>
      </c>
      <c r="M89" s="271">
        <f t="shared" si="18"/>
        <v>0</v>
      </c>
      <c r="N89" s="291" t="e">
        <f>IF(C89='Operating Assumptions'!$C$48,"Construction Finish","")</f>
        <v>#N/A</v>
      </c>
      <c r="O89" s="291"/>
      <c r="P89" s="291"/>
      <c r="Q89" s="291"/>
      <c r="R89" s="291"/>
      <c r="S89" s="291"/>
      <c r="T89" s="291"/>
      <c r="U89" s="291"/>
      <c r="V89" s="292"/>
      <c r="W89" s="292"/>
      <c r="X89" s="292"/>
      <c r="Y89" s="291"/>
      <c r="Z89" s="279"/>
      <c r="AA89" s="279"/>
      <c r="AB89" s="279"/>
    </row>
    <row r="90" spans="2:28" s="278" customFormat="1" ht="11.65" hidden="1" customHeight="1" outlineLevel="1" x14ac:dyDescent="0.25">
      <c r="B90" s="270" t="e">
        <f>IF(AND($C90&gt;='TIF Loan Amortization'!$H$480,$C90&lt;='TIF Loan Amortization'!$I$480),'TIF Loan Amortization'!$G$480,IF(AND($C90&gt;='TIF Loan Amortization'!$H$481,$C90&lt;='TIF Loan Amortization'!I$481),'TIF Loan Amortization'!$G$481,IF(AND($C90&gt;='TIF Loan Amortization'!$H$482,$C90&lt;='TIF Loan Amortization'!I$482),'TIF Loan Amortization'!$G$482,IF(AND($C90&gt;='TIF Loan Amortization'!$H$483,$C90&lt;='TIF Loan Amortization'!I$483),'TIF Loan Amortization'!$G$483,IF(AND($C90&gt;='TIF Loan Amortization'!$H$484,$C90&lt;='TIF Loan Amortization'!I$484),'TIF Loan Amortization'!$G$484,IF(AND($C90&gt;='TIF Loan Amortization'!$H$485,$C90&lt;='TIF Loan Amortization'!I$485),'TIF Loan Amortization'!$G$485,IF(AND($C90&gt;='TIF Loan Amortization'!$H$486,$C90&lt;='TIF Loan Amortization'!I$486),'TIF Loan Amortization'!$G$486,IF(AND($C90&gt;='TIF Loan Amortization'!$H$487,$C90&lt;='TIF Loan Amortization'!I$487),'TIF Loan Amortization'!$G$487,IF(AND($C90&gt;='TIF Loan Amortization'!$H$488,$C90&lt;='TIF Loan Amortization'!I$488),'TIF Loan Amortization'!$G$488,IF(AND($C90&gt;='TIF Loan Amortization'!$H$489,$C90&lt;='TIF Loan Amortization'!I$489),'TIF Loan Amortization'!$G$489,IF(AND($C90&gt;='TIF Loan Amortization'!$H$490,$C90&lt;='TIF Loan Amortization'!I$490),'TIF Loan Amortization'!$G$490,IF(AND($C90&gt;='TIF Loan Amortization'!$H$491,$C90&lt;='TIF Loan Amortization'!I$491),'TIF Loan Amortization'!$G$491,IF(AND($C90&gt;='TIF Loan Amortization'!$H$492,$C90&lt;='TIF Loan Amortization'!I$492),'TIF Loan Amortization'!$G$492,IF(AND($C90&gt;='TIF Loan Amortization'!$H$493,$C90&lt;='TIF Loan Amortization'!I$493),'TIF Loan Amortization'!$G$493,IF(AND($C90&gt;='TIF Loan Amortization'!$H$494,$C90&lt;='TIF Loan Amortization'!I$494),'TIF Loan Amortization'!$G$494,IF(AND($C90&gt;='TIF Loan Amortization'!$H$495,$C90&lt;='TIF Loan Amortization'!I$495),'TIF Loan Amortization'!$G$495,IF(AND($C90&gt;='TIF Loan Amortization'!$H$496,$C90&lt;='TIF Loan Amortization'!I$496),'TIF Loan Amortization'!$G$496,IF(AND($C90&gt;='TIF Loan Amortization'!$H$497,$C90&lt;='TIF Loan Amortization'!I$497),'TIF Loan Amortization'!$G$497,IF(AND($C90&gt;='TIF Loan Amortization'!$H$498,$C90&lt;='TIF Loan Amortization'!I$498),'TIF Loan Amortization'!$G$498,IF(AND($C90&gt;='TIF Loan Amortization'!$H$499,$C90&lt;='TIF Loan Amortization'!I$499),'TIF Loan Amortization'!$G$499,IF(AND($C90&gt;='TIF Loan Amortization'!$H$500,$C90&lt;='TIF Loan Amortization'!I$500),'TIF Loan Amortization'!$G$500,IF(AND($C90&gt;='TIF Loan Amortization'!$H$501,$C90&lt;='TIF Loan Amortization'!I$501),'TIF Loan Amortization'!$G$501,IF(AND($C90&gt;='TIF Loan Amortization'!$H$502,$C90&lt;='TIF Loan Amortization'!I$502),'TIF Loan Amortization'!$G$502,IF(AND($C90&gt;='TIF Loan Amortization'!$H$503,$C90&lt;='TIF Loan Amortization'!I$503),'TIF Loan Amortization'!$G$503,IF(AND($C90&gt;='TIF Loan Amortization'!$H$504,$C90&lt;='TIF Loan Amortization'!I$504),'TIF Loan Amortization'!$G$504,IF(AND($C90&gt;='TIF Loan Amortization'!$H$505,$C90&lt;='TIF Loan Amortization'!I$505),'TIF Loan Amortization'!$G$505,IF(AND($C90&gt;='TIF Loan Amortization'!$H$506,$C90&lt;='TIF Loan Amortization'!I$506),'TIF Loan Amortization'!$G$506,IF(AND($C90&gt;='TIF Loan Amortization'!$H$507,$C90&lt;='TIF Loan Amortization'!I$507),'TIF Loan Amortization'!$G$507,IF(AND($C90&gt;='TIF Loan Amortization'!$H$508,$C90&lt;='TIF Loan Amortization'!I$508),'TIF Loan Amortization'!$G$508,IF(AND($C90&gt;='TIF Loan Amortization'!$H$509,$C90&lt;='TIF Loan Amortization'!I$509),'TIF Loan Amortization'!$G$509,IF(AND($C90&gt;='TIF Loan Amortization'!$H$510,$C90&lt;='TIF Loan Amortization'!I$510),'TIF Loan Amortization'!$G$510,IF(AND($C90&gt;='TIF Loan Amortization'!$H$511,$C90&lt;='TIF Loan Amortization'!I$511),'TIF Loan Amortization'!$G$511,IF(AND($C90&gt;='TIF Loan Amortization'!$H$512,$C90&lt;='TIF Loan Amortization'!I$512),'TIF Loan Amortization'!$G$512,IF(AND($C90&gt;='TIF Loan Amortization'!$H$513,$C90&lt;='TIF Loan Amortization'!I$513),'TIF Loan Amortization'!$G$513,IF(AND($C90&gt;='TIF Loan Amortization'!$H$514,$C90&lt;='TIF Loan Amortization'!I$514),'TIF Loan Amortization'!$G$514,IF(AND($C90&gt;='TIF Loan Amortization'!$H$515,$C90&lt;='TIF Loan Amortization'!I$515),'TIF Loan Amortization'!$G$515,IF(AND($C90&gt;='TIF Loan Amortization'!$H$516,$C90&lt;='TIF Loan Amortization'!I$516),'TIF Loan Amortization'!$G$516,IF(AND($C90&gt;='TIF Loan Amortization'!$H$517,$C90&lt;='TIF Loan Amortization'!I$517),'TIF Loan Amortization'!$G$517,IF(AND($C90&gt;='TIF Loan Amortization'!$H$518,$C90&lt;='TIF Loan Amortization'!I$518),'TIF Loan Amortization'!$G$518,IF(AND($C90&gt;='TIF Loan Amortization'!$H$519,$C90&lt;='TIF Loan Amortization'!I$519),'TIF Loan Amortization'!$G$519))))))))))))))))))))))))))))))))))))))))</f>
        <v>#N/A</v>
      </c>
      <c r="C90" s="269" t="e">
        <f t="shared" si="16"/>
        <v>#N/A</v>
      </c>
      <c r="D90" s="281" t="str">
        <f>IF($AG$426=1,$H$10+4,"")</f>
        <v/>
      </c>
      <c r="E90" s="274">
        <v>40</v>
      </c>
      <c r="F90" s="275" t="str">
        <f>VLOOKUP($AG$426,$AE$422:$AF$433,2)</f>
        <v>Jul</v>
      </c>
      <c r="G90" s="272">
        <f t="shared" si="17"/>
        <v>0</v>
      </c>
      <c r="H90" s="272">
        <f t="shared" si="20"/>
        <v>0</v>
      </c>
      <c r="I90" s="272">
        <f t="shared" si="21"/>
        <v>0</v>
      </c>
      <c r="J90" s="272">
        <f t="shared" si="19"/>
        <v>0</v>
      </c>
      <c r="K90" s="272">
        <f>IF(ISTEXT($M$4),"",SUM(I$50:I90))</f>
        <v>0</v>
      </c>
      <c r="L90" s="272">
        <f>IF(ISTEXT($M$4),"",SUM(J$50:J90))</f>
        <v>0</v>
      </c>
      <c r="M90" s="271">
        <f t="shared" si="18"/>
        <v>0</v>
      </c>
      <c r="N90" s="291" t="e">
        <f>IF(C90='Operating Assumptions'!$C$48,"Construction Finish","")</f>
        <v>#N/A</v>
      </c>
      <c r="O90" s="291"/>
      <c r="P90" s="291"/>
      <c r="Q90" s="291"/>
      <c r="R90" s="291"/>
      <c r="S90" s="291"/>
      <c r="T90" s="291"/>
      <c r="U90" s="291"/>
      <c r="V90" s="292"/>
      <c r="W90" s="292"/>
      <c r="X90" s="292"/>
      <c r="Y90" s="291"/>
      <c r="Z90" s="279"/>
      <c r="AA90" s="279"/>
      <c r="AB90" s="279"/>
    </row>
    <row r="91" spans="2:28" s="278" customFormat="1" ht="11.65" hidden="1" customHeight="1" outlineLevel="1" x14ac:dyDescent="0.25">
      <c r="B91" s="270" t="e">
        <f>IF(AND($C91&gt;='TIF Loan Amortization'!$H$480,$C91&lt;='TIF Loan Amortization'!$I$480),'TIF Loan Amortization'!$G$480,IF(AND($C91&gt;='TIF Loan Amortization'!$H$481,$C91&lt;='TIF Loan Amortization'!I$481),'TIF Loan Amortization'!$G$481,IF(AND($C91&gt;='TIF Loan Amortization'!$H$482,$C91&lt;='TIF Loan Amortization'!I$482),'TIF Loan Amortization'!$G$482,IF(AND($C91&gt;='TIF Loan Amortization'!$H$483,$C91&lt;='TIF Loan Amortization'!I$483),'TIF Loan Amortization'!$G$483,IF(AND($C91&gt;='TIF Loan Amortization'!$H$484,$C91&lt;='TIF Loan Amortization'!I$484),'TIF Loan Amortization'!$G$484,IF(AND($C91&gt;='TIF Loan Amortization'!$H$485,$C91&lt;='TIF Loan Amortization'!I$485),'TIF Loan Amortization'!$G$485,IF(AND($C91&gt;='TIF Loan Amortization'!$H$486,$C91&lt;='TIF Loan Amortization'!I$486),'TIF Loan Amortization'!$G$486,IF(AND($C91&gt;='TIF Loan Amortization'!$H$487,$C91&lt;='TIF Loan Amortization'!I$487),'TIF Loan Amortization'!$G$487,IF(AND($C91&gt;='TIF Loan Amortization'!$H$488,$C91&lt;='TIF Loan Amortization'!I$488),'TIF Loan Amortization'!$G$488,IF(AND($C91&gt;='TIF Loan Amortization'!$H$489,$C91&lt;='TIF Loan Amortization'!I$489),'TIF Loan Amortization'!$G$489,IF(AND($C91&gt;='TIF Loan Amortization'!$H$490,$C91&lt;='TIF Loan Amortization'!I$490),'TIF Loan Amortization'!$G$490,IF(AND($C91&gt;='TIF Loan Amortization'!$H$491,$C91&lt;='TIF Loan Amortization'!I$491),'TIF Loan Amortization'!$G$491,IF(AND($C91&gt;='TIF Loan Amortization'!$H$492,$C91&lt;='TIF Loan Amortization'!I$492),'TIF Loan Amortization'!$G$492,IF(AND($C91&gt;='TIF Loan Amortization'!$H$493,$C91&lt;='TIF Loan Amortization'!I$493),'TIF Loan Amortization'!$G$493,IF(AND($C91&gt;='TIF Loan Amortization'!$H$494,$C91&lt;='TIF Loan Amortization'!I$494),'TIF Loan Amortization'!$G$494,IF(AND($C91&gt;='TIF Loan Amortization'!$H$495,$C91&lt;='TIF Loan Amortization'!I$495),'TIF Loan Amortization'!$G$495,IF(AND($C91&gt;='TIF Loan Amortization'!$H$496,$C91&lt;='TIF Loan Amortization'!I$496),'TIF Loan Amortization'!$G$496,IF(AND($C91&gt;='TIF Loan Amortization'!$H$497,$C91&lt;='TIF Loan Amortization'!I$497),'TIF Loan Amortization'!$G$497,IF(AND($C91&gt;='TIF Loan Amortization'!$H$498,$C91&lt;='TIF Loan Amortization'!I$498),'TIF Loan Amortization'!$G$498,IF(AND($C91&gt;='TIF Loan Amortization'!$H$499,$C91&lt;='TIF Loan Amortization'!I$499),'TIF Loan Amortization'!$G$499,IF(AND($C91&gt;='TIF Loan Amortization'!$H$500,$C91&lt;='TIF Loan Amortization'!I$500),'TIF Loan Amortization'!$G$500,IF(AND($C91&gt;='TIF Loan Amortization'!$H$501,$C91&lt;='TIF Loan Amortization'!I$501),'TIF Loan Amortization'!$G$501,IF(AND($C91&gt;='TIF Loan Amortization'!$H$502,$C91&lt;='TIF Loan Amortization'!I$502),'TIF Loan Amortization'!$G$502,IF(AND($C91&gt;='TIF Loan Amortization'!$H$503,$C91&lt;='TIF Loan Amortization'!I$503),'TIF Loan Amortization'!$G$503,IF(AND($C91&gt;='TIF Loan Amortization'!$H$504,$C91&lt;='TIF Loan Amortization'!I$504),'TIF Loan Amortization'!$G$504,IF(AND($C91&gt;='TIF Loan Amortization'!$H$505,$C91&lt;='TIF Loan Amortization'!I$505),'TIF Loan Amortization'!$G$505,IF(AND($C91&gt;='TIF Loan Amortization'!$H$506,$C91&lt;='TIF Loan Amortization'!I$506),'TIF Loan Amortization'!$G$506,IF(AND($C91&gt;='TIF Loan Amortization'!$H$507,$C91&lt;='TIF Loan Amortization'!I$507),'TIF Loan Amortization'!$G$507,IF(AND($C91&gt;='TIF Loan Amortization'!$H$508,$C91&lt;='TIF Loan Amortization'!I$508),'TIF Loan Amortization'!$G$508,IF(AND($C91&gt;='TIF Loan Amortization'!$H$509,$C91&lt;='TIF Loan Amortization'!I$509),'TIF Loan Amortization'!$G$509,IF(AND($C91&gt;='TIF Loan Amortization'!$H$510,$C91&lt;='TIF Loan Amortization'!I$510),'TIF Loan Amortization'!$G$510,IF(AND($C91&gt;='TIF Loan Amortization'!$H$511,$C91&lt;='TIF Loan Amortization'!I$511),'TIF Loan Amortization'!$G$511,IF(AND($C91&gt;='TIF Loan Amortization'!$H$512,$C91&lt;='TIF Loan Amortization'!I$512),'TIF Loan Amortization'!$G$512,IF(AND($C91&gt;='TIF Loan Amortization'!$H$513,$C91&lt;='TIF Loan Amortization'!I$513),'TIF Loan Amortization'!$G$513,IF(AND($C91&gt;='TIF Loan Amortization'!$H$514,$C91&lt;='TIF Loan Amortization'!I$514),'TIF Loan Amortization'!$G$514,IF(AND($C91&gt;='TIF Loan Amortization'!$H$515,$C91&lt;='TIF Loan Amortization'!I$515),'TIF Loan Amortization'!$G$515,IF(AND($C91&gt;='TIF Loan Amortization'!$H$516,$C91&lt;='TIF Loan Amortization'!I$516),'TIF Loan Amortization'!$G$516,IF(AND($C91&gt;='TIF Loan Amortization'!$H$517,$C91&lt;='TIF Loan Amortization'!I$517),'TIF Loan Amortization'!$G$517,IF(AND($C91&gt;='TIF Loan Amortization'!$H$518,$C91&lt;='TIF Loan Amortization'!I$518),'TIF Loan Amortization'!$G$518,IF(AND($C91&gt;='TIF Loan Amortization'!$H$519,$C91&lt;='TIF Loan Amortization'!I$519),'TIF Loan Amortization'!$G$519))))))))))))))))))))))))))))))))))))))))</f>
        <v>#N/A</v>
      </c>
      <c r="C91" s="269" t="e">
        <f t="shared" si="16"/>
        <v>#N/A</v>
      </c>
      <c r="D91" s="281" t="str">
        <f>IF($AG$427=1,$H$10+4,"")</f>
        <v/>
      </c>
      <c r="E91" s="274">
        <v>41</v>
      </c>
      <c r="F91" s="275" t="str">
        <f>VLOOKUP($AG$427,$AE$422:$AF$433,2)</f>
        <v>Aug</v>
      </c>
      <c r="G91" s="272">
        <f t="shared" si="17"/>
        <v>0</v>
      </c>
      <c r="H91" s="272">
        <f t="shared" si="20"/>
        <v>0</v>
      </c>
      <c r="I91" s="272">
        <f t="shared" si="21"/>
        <v>0</v>
      </c>
      <c r="J91" s="272">
        <f t="shared" si="19"/>
        <v>0</v>
      </c>
      <c r="K91" s="272">
        <f>IF(ISTEXT($M$4),"",SUM(I$50:I91))</f>
        <v>0</v>
      </c>
      <c r="L91" s="272">
        <f>IF(ISTEXT($M$4),"",SUM(J$50:J91))</f>
        <v>0</v>
      </c>
      <c r="M91" s="271">
        <f t="shared" si="18"/>
        <v>0</v>
      </c>
      <c r="N91" s="291" t="e">
        <f>IF(C91='Operating Assumptions'!$C$48,"Construction Finish","")</f>
        <v>#N/A</v>
      </c>
      <c r="O91" s="291"/>
      <c r="P91" s="291"/>
      <c r="Q91" s="291"/>
      <c r="R91" s="291"/>
      <c r="S91" s="291"/>
      <c r="T91" s="291"/>
      <c r="U91" s="291"/>
      <c r="V91" s="292"/>
      <c r="W91" s="292"/>
      <c r="X91" s="292"/>
      <c r="Y91" s="291"/>
      <c r="Z91" s="279"/>
      <c r="AA91" s="279"/>
      <c r="AB91" s="279"/>
    </row>
    <row r="92" spans="2:28" s="278" customFormat="1" ht="11.65" hidden="1" customHeight="1" outlineLevel="1" x14ac:dyDescent="0.25">
      <c r="B92" s="270" t="e">
        <f>IF(AND($C92&gt;='TIF Loan Amortization'!$H$480,$C92&lt;='TIF Loan Amortization'!$I$480),'TIF Loan Amortization'!$G$480,IF(AND($C92&gt;='TIF Loan Amortization'!$H$481,$C92&lt;='TIF Loan Amortization'!I$481),'TIF Loan Amortization'!$G$481,IF(AND($C92&gt;='TIF Loan Amortization'!$H$482,$C92&lt;='TIF Loan Amortization'!I$482),'TIF Loan Amortization'!$G$482,IF(AND($C92&gt;='TIF Loan Amortization'!$H$483,$C92&lt;='TIF Loan Amortization'!I$483),'TIF Loan Amortization'!$G$483,IF(AND($C92&gt;='TIF Loan Amortization'!$H$484,$C92&lt;='TIF Loan Amortization'!I$484),'TIF Loan Amortization'!$G$484,IF(AND($C92&gt;='TIF Loan Amortization'!$H$485,$C92&lt;='TIF Loan Amortization'!I$485),'TIF Loan Amortization'!$G$485,IF(AND($C92&gt;='TIF Loan Amortization'!$H$486,$C92&lt;='TIF Loan Amortization'!I$486),'TIF Loan Amortization'!$G$486,IF(AND($C92&gt;='TIF Loan Amortization'!$H$487,$C92&lt;='TIF Loan Amortization'!I$487),'TIF Loan Amortization'!$G$487,IF(AND($C92&gt;='TIF Loan Amortization'!$H$488,$C92&lt;='TIF Loan Amortization'!I$488),'TIF Loan Amortization'!$G$488,IF(AND($C92&gt;='TIF Loan Amortization'!$H$489,$C92&lt;='TIF Loan Amortization'!I$489),'TIF Loan Amortization'!$G$489,IF(AND($C92&gt;='TIF Loan Amortization'!$H$490,$C92&lt;='TIF Loan Amortization'!I$490),'TIF Loan Amortization'!$G$490,IF(AND($C92&gt;='TIF Loan Amortization'!$H$491,$C92&lt;='TIF Loan Amortization'!I$491),'TIF Loan Amortization'!$G$491,IF(AND($C92&gt;='TIF Loan Amortization'!$H$492,$C92&lt;='TIF Loan Amortization'!I$492),'TIF Loan Amortization'!$G$492,IF(AND($C92&gt;='TIF Loan Amortization'!$H$493,$C92&lt;='TIF Loan Amortization'!I$493),'TIF Loan Amortization'!$G$493,IF(AND($C92&gt;='TIF Loan Amortization'!$H$494,$C92&lt;='TIF Loan Amortization'!I$494),'TIF Loan Amortization'!$G$494,IF(AND($C92&gt;='TIF Loan Amortization'!$H$495,$C92&lt;='TIF Loan Amortization'!I$495),'TIF Loan Amortization'!$G$495,IF(AND($C92&gt;='TIF Loan Amortization'!$H$496,$C92&lt;='TIF Loan Amortization'!I$496),'TIF Loan Amortization'!$G$496,IF(AND($C92&gt;='TIF Loan Amortization'!$H$497,$C92&lt;='TIF Loan Amortization'!I$497),'TIF Loan Amortization'!$G$497,IF(AND($C92&gt;='TIF Loan Amortization'!$H$498,$C92&lt;='TIF Loan Amortization'!I$498),'TIF Loan Amortization'!$G$498,IF(AND($C92&gt;='TIF Loan Amortization'!$H$499,$C92&lt;='TIF Loan Amortization'!I$499),'TIF Loan Amortization'!$G$499,IF(AND($C92&gt;='TIF Loan Amortization'!$H$500,$C92&lt;='TIF Loan Amortization'!I$500),'TIF Loan Amortization'!$G$500,IF(AND($C92&gt;='TIF Loan Amortization'!$H$501,$C92&lt;='TIF Loan Amortization'!I$501),'TIF Loan Amortization'!$G$501,IF(AND($C92&gt;='TIF Loan Amortization'!$H$502,$C92&lt;='TIF Loan Amortization'!I$502),'TIF Loan Amortization'!$G$502,IF(AND($C92&gt;='TIF Loan Amortization'!$H$503,$C92&lt;='TIF Loan Amortization'!I$503),'TIF Loan Amortization'!$G$503,IF(AND($C92&gt;='TIF Loan Amortization'!$H$504,$C92&lt;='TIF Loan Amortization'!I$504),'TIF Loan Amortization'!$G$504,IF(AND($C92&gt;='TIF Loan Amortization'!$H$505,$C92&lt;='TIF Loan Amortization'!I$505),'TIF Loan Amortization'!$G$505,IF(AND($C92&gt;='TIF Loan Amortization'!$H$506,$C92&lt;='TIF Loan Amortization'!I$506),'TIF Loan Amortization'!$G$506,IF(AND($C92&gt;='TIF Loan Amortization'!$H$507,$C92&lt;='TIF Loan Amortization'!I$507),'TIF Loan Amortization'!$G$507,IF(AND($C92&gt;='TIF Loan Amortization'!$H$508,$C92&lt;='TIF Loan Amortization'!I$508),'TIF Loan Amortization'!$G$508,IF(AND($C92&gt;='TIF Loan Amortization'!$H$509,$C92&lt;='TIF Loan Amortization'!I$509),'TIF Loan Amortization'!$G$509,IF(AND($C92&gt;='TIF Loan Amortization'!$H$510,$C92&lt;='TIF Loan Amortization'!I$510),'TIF Loan Amortization'!$G$510,IF(AND($C92&gt;='TIF Loan Amortization'!$H$511,$C92&lt;='TIF Loan Amortization'!I$511),'TIF Loan Amortization'!$G$511,IF(AND($C92&gt;='TIF Loan Amortization'!$H$512,$C92&lt;='TIF Loan Amortization'!I$512),'TIF Loan Amortization'!$G$512,IF(AND($C92&gt;='TIF Loan Amortization'!$H$513,$C92&lt;='TIF Loan Amortization'!I$513),'TIF Loan Amortization'!$G$513,IF(AND($C92&gt;='TIF Loan Amortization'!$H$514,$C92&lt;='TIF Loan Amortization'!I$514),'TIF Loan Amortization'!$G$514,IF(AND($C92&gt;='TIF Loan Amortization'!$H$515,$C92&lt;='TIF Loan Amortization'!I$515),'TIF Loan Amortization'!$G$515,IF(AND($C92&gt;='TIF Loan Amortization'!$H$516,$C92&lt;='TIF Loan Amortization'!I$516),'TIF Loan Amortization'!$G$516,IF(AND($C92&gt;='TIF Loan Amortization'!$H$517,$C92&lt;='TIF Loan Amortization'!I$517),'TIF Loan Amortization'!$G$517,IF(AND($C92&gt;='TIF Loan Amortization'!$H$518,$C92&lt;='TIF Loan Amortization'!I$518),'TIF Loan Amortization'!$G$518,IF(AND($C92&gt;='TIF Loan Amortization'!$H$519,$C92&lt;='TIF Loan Amortization'!I$519),'TIF Loan Amortization'!$G$519))))))))))))))))))))))))))))))))))))))))</f>
        <v>#N/A</v>
      </c>
      <c r="C92" s="269" t="e">
        <f t="shared" si="16"/>
        <v>#N/A</v>
      </c>
      <c r="D92" s="281" t="str">
        <f>IF($AG$428=1,$H$10+4,"")</f>
        <v/>
      </c>
      <c r="E92" s="274">
        <v>42</v>
      </c>
      <c r="F92" s="275" t="str">
        <f>VLOOKUP($AG$428,$AE$422:$AF$433,2)</f>
        <v>Sep</v>
      </c>
      <c r="G92" s="272">
        <f t="shared" si="17"/>
        <v>0</v>
      </c>
      <c r="H92" s="272">
        <f t="shared" si="20"/>
        <v>0</v>
      </c>
      <c r="I92" s="272">
        <f t="shared" si="21"/>
        <v>0</v>
      </c>
      <c r="J92" s="272">
        <f t="shared" si="19"/>
        <v>0</v>
      </c>
      <c r="K92" s="272">
        <f>IF(ISTEXT($M$4),"",SUM(I$50:I92))</f>
        <v>0</v>
      </c>
      <c r="L92" s="272">
        <f>IF(ISTEXT($M$4),"",SUM(J$50:J92))</f>
        <v>0</v>
      </c>
      <c r="M92" s="271">
        <f t="shared" si="18"/>
        <v>0</v>
      </c>
      <c r="N92" s="291" t="e">
        <f>IF(C92='Operating Assumptions'!$C$48,"Construction Finish","")</f>
        <v>#N/A</v>
      </c>
      <c r="O92" s="291"/>
      <c r="P92" s="291"/>
      <c r="Q92" s="291"/>
      <c r="R92" s="291"/>
      <c r="S92" s="291"/>
      <c r="T92" s="291"/>
      <c r="U92" s="291"/>
      <c r="V92" s="292"/>
      <c r="W92" s="292"/>
      <c r="X92" s="292"/>
      <c r="Y92" s="291"/>
      <c r="Z92" s="279"/>
      <c r="AA92" s="279"/>
      <c r="AB92" s="279"/>
    </row>
    <row r="93" spans="2:28" s="278" customFormat="1" ht="11.65" hidden="1" customHeight="1" outlineLevel="1" x14ac:dyDescent="0.25">
      <c r="B93" s="270" t="e">
        <f>IF(AND($C93&gt;='TIF Loan Amortization'!$H$480,$C93&lt;='TIF Loan Amortization'!$I$480),'TIF Loan Amortization'!$G$480,IF(AND($C93&gt;='TIF Loan Amortization'!$H$481,$C93&lt;='TIF Loan Amortization'!I$481),'TIF Loan Amortization'!$G$481,IF(AND($C93&gt;='TIF Loan Amortization'!$H$482,$C93&lt;='TIF Loan Amortization'!I$482),'TIF Loan Amortization'!$G$482,IF(AND($C93&gt;='TIF Loan Amortization'!$H$483,$C93&lt;='TIF Loan Amortization'!I$483),'TIF Loan Amortization'!$G$483,IF(AND($C93&gt;='TIF Loan Amortization'!$H$484,$C93&lt;='TIF Loan Amortization'!I$484),'TIF Loan Amortization'!$G$484,IF(AND($C93&gt;='TIF Loan Amortization'!$H$485,$C93&lt;='TIF Loan Amortization'!I$485),'TIF Loan Amortization'!$G$485,IF(AND($C93&gt;='TIF Loan Amortization'!$H$486,$C93&lt;='TIF Loan Amortization'!I$486),'TIF Loan Amortization'!$G$486,IF(AND($C93&gt;='TIF Loan Amortization'!$H$487,$C93&lt;='TIF Loan Amortization'!I$487),'TIF Loan Amortization'!$G$487,IF(AND($C93&gt;='TIF Loan Amortization'!$H$488,$C93&lt;='TIF Loan Amortization'!I$488),'TIF Loan Amortization'!$G$488,IF(AND($C93&gt;='TIF Loan Amortization'!$H$489,$C93&lt;='TIF Loan Amortization'!I$489),'TIF Loan Amortization'!$G$489,IF(AND($C93&gt;='TIF Loan Amortization'!$H$490,$C93&lt;='TIF Loan Amortization'!I$490),'TIF Loan Amortization'!$G$490,IF(AND($C93&gt;='TIF Loan Amortization'!$H$491,$C93&lt;='TIF Loan Amortization'!I$491),'TIF Loan Amortization'!$G$491,IF(AND($C93&gt;='TIF Loan Amortization'!$H$492,$C93&lt;='TIF Loan Amortization'!I$492),'TIF Loan Amortization'!$G$492,IF(AND($C93&gt;='TIF Loan Amortization'!$H$493,$C93&lt;='TIF Loan Amortization'!I$493),'TIF Loan Amortization'!$G$493,IF(AND($C93&gt;='TIF Loan Amortization'!$H$494,$C93&lt;='TIF Loan Amortization'!I$494),'TIF Loan Amortization'!$G$494,IF(AND($C93&gt;='TIF Loan Amortization'!$H$495,$C93&lt;='TIF Loan Amortization'!I$495),'TIF Loan Amortization'!$G$495,IF(AND($C93&gt;='TIF Loan Amortization'!$H$496,$C93&lt;='TIF Loan Amortization'!I$496),'TIF Loan Amortization'!$G$496,IF(AND($C93&gt;='TIF Loan Amortization'!$H$497,$C93&lt;='TIF Loan Amortization'!I$497),'TIF Loan Amortization'!$G$497,IF(AND($C93&gt;='TIF Loan Amortization'!$H$498,$C93&lt;='TIF Loan Amortization'!I$498),'TIF Loan Amortization'!$G$498,IF(AND($C93&gt;='TIF Loan Amortization'!$H$499,$C93&lt;='TIF Loan Amortization'!I$499),'TIF Loan Amortization'!$G$499,IF(AND($C93&gt;='TIF Loan Amortization'!$H$500,$C93&lt;='TIF Loan Amortization'!I$500),'TIF Loan Amortization'!$G$500,IF(AND($C93&gt;='TIF Loan Amortization'!$H$501,$C93&lt;='TIF Loan Amortization'!I$501),'TIF Loan Amortization'!$G$501,IF(AND($C93&gt;='TIF Loan Amortization'!$H$502,$C93&lt;='TIF Loan Amortization'!I$502),'TIF Loan Amortization'!$G$502,IF(AND($C93&gt;='TIF Loan Amortization'!$H$503,$C93&lt;='TIF Loan Amortization'!I$503),'TIF Loan Amortization'!$G$503,IF(AND($C93&gt;='TIF Loan Amortization'!$H$504,$C93&lt;='TIF Loan Amortization'!I$504),'TIF Loan Amortization'!$G$504,IF(AND($C93&gt;='TIF Loan Amortization'!$H$505,$C93&lt;='TIF Loan Amortization'!I$505),'TIF Loan Amortization'!$G$505,IF(AND($C93&gt;='TIF Loan Amortization'!$H$506,$C93&lt;='TIF Loan Amortization'!I$506),'TIF Loan Amortization'!$G$506,IF(AND($C93&gt;='TIF Loan Amortization'!$H$507,$C93&lt;='TIF Loan Amortization'!I$507),'TIF Loan Amortization'!$G$507,IF(AND($C93&gt;='TIF Loan Amortization'!$H$508,$C93&lt;='TIF Loan Amortization'!I$508),'TIF Loan Amortization'!$G$508,IF(AND($C93&gt;='TIF Loan Amortization'!$H$509,$C93&lt;='TIF Loan Amortization'!I$509),'TIF Loan Amortization'!$G$509,IF(AND($C93&gt;='TIF Loan Amortization'!$H$510,$C93&lt;='TIF Loan Amortization'!I$510),'TIF Loan Amortization'!$G$510,IF(AND($C93&gt;='TIF Loan Amortization'!$H$511,$C93&lt;='TIF Loan Amortization'!I$511),'TIF Loan Amortization'!$G$511,IF(AND($C93&gt;='TIF Loan Amortization'!$H$512,$C93&lt;='TIF Loan Amortization'!I$512),'TIF Loan Amortization'!$G$512,IF(AND($C93&gt;='TIF Loan Amortization'!$H$513,$C93&lt;='TIF Loan Amortization'!I$513),'TIF Loan Amortization'!$G$513,IF(AND($C93&gt;='TIF Loan Amortization'!$H$514,$C93&lt;='TIF Loan Amortization'!I$514),'TIF Loan Amortization'!$G$514,IF(AND($C93&gt;='TIF Loan Amortization'!$H$515,$C93&lt;='TIF Loan Amortization'!I$515),'TIF Loan Amortization'!$G$515,IF(AND($C93&gt;='TIF Loan Amortization'!$H$516,$C93&lt;='TIF Loan Amortization'!I$516),'TIF Loan Amortization'!$G$516,IF(AND($C93&gt;='TIF Loan Amortization'!$H$517,$C93&lt;='TIF Loan Amortization'!I$517),'TIF Loan Amortization'!$G$517,IF(AND($C93&gt;='TIF Loan Amortization'!$H$518,$C93&lt;='TIF Loan Amortization'!I$518),'TIF Loan Amortization'!$G$518,IF(AND($C93&gt;='TIF Loan Amortization'!$H$519,$C93&lt;='TIF Loan Amortization'!I$519),'TIF Loan Amortization'!$G$519))))))))))))))))))))))))))))))))))))))))</f>
        <v>#N/A</v>
      </c>
      <c r="C93" s="269" t="e">
        <f t="shared" si="16"/>
        <v>#N/A</v>
      </c>
      <c r="D93" s="281" t="str">
        <f>IF($AG$429=1,$H$10+4,"")</f>
        <v/>
      </c>
      <c r="E93" s="274">
        <v>43</v>
      </c>
      <c r="F93" s="275" t="str">
        <f>VLOOKUP($AG$429,$AE$422:$AF$433,2)</f>
        <v>Oct</v>
      </c>
      <c r="G93" s="272">
        <f t="shared" si="17"/>
        <v>0</v>
      </c>
      <c r="H93" s="272">
        <f t="shared" si="20"/>
        <v>0</v>
      </c>
      <c r="I93" s="272">
        <f t="shared" si="21"/>
        <v>0</v>
      </c>
      <c r="J93" s="272">
        <f t="shared" si="19"/>
        <v>0</v>
      </c>
      <c r="K93" s="272">
        <f>IF(ISTEXT($M$4),"",SUM(I$50:I93))</f>
        <v>0</v>
      </c>
      <c r="L93" s="272">
        <f>IF(ISTEXT($M$4),"",SUM(J$50:J93))</f>
        <v>0</v>
      </c>
      <c r="M93" s="271">
        <f t="shared" si="18"/>
        <v>0</v>
      </c>
      <c r="N93" s="291" t="e">
        <f>IF(C93='Operating Assumptions'!$C$48,"Construction Finish","")</f>
        <v>#N/A</v>
      </c>
      <c r="O93" s="291"/>
      <c r="P93" s="291"/>
      <c r="Q93" s="291"/>
      <c r="R93" s="291"/>
      <c r="S93" s="291"/>
      <c r="T93" s="291"/>
      <c r="U93" s="291"/>
      <c r="V93" s="292"/>
      <c r="W93" s="292"/>
      <c r="X93" s="292"/>
      <c r="Y93" s="291"/>
      <c r="Z93" s="279"/>
      <c r="AA93" s="279"/>
      <c r="AB93" s="279"/>
    </row>
    <row r="94" spans="2:28" s="278" customFormat="1" ht="11.65" hidden="1" customHeight="1" outlineLevel="1" x14ac:dyDescent="0.25">
      <c r="B94" s="270" t="e">
        <f>IF(AND($C94&gt;='TIF Loan Amortization'!$H$480,$C94&lt;='TIF Loan Amortization'!$I$480),'TIF Loan Amortization'!$G$480,IF(AND($C94&gt;='TIF Loan Amortization'!$H$481,$C94&lt;='TIF Loan Amortization'!I$481),'TIF Loan Amortization'!$G$481,IF(AND($C94&gt;='TIF Loan Amortization'!$H$482,$C94&lt;='TIF Loan Amortization'!I$482),'TIF Loan Amortization'!$G$482,IF(AND($C94&gt;='TIF Loan Amortization'!$H$483,$C94&lt;='TIF Loan Amortization'!I$483),'TIF Loan Amortization'!$G$483,IF(AND($C94&gt;='TIF Loan Amortization'!$H$484,$C94&lt;='TIF Loan Amortization'!I$484),'TIF Loan Amortization'!$G$484,IF(AND($C94&gt;='TIF Loan Amortization'!$H$485,$C94&lt;='TIF Loan Amortization'!I$485),'TIF Loan Amortization'!$G$485,IF(AND($C94&gt;='TIF Loan Amortization'!$H$486,$C94&lt;='TIF Loan Amortization'!I$486),'TIF Loan Amortization'!$G$486,IF(AND($C94&gt;='TIF Loan Amortization'!$H$487,$C94&lt;='TIF Loan Amortization'!I$487),'TIF Loan Amortization'!$G$487,IF(AND($C94&gt;='TIF Loan Amortization'!$H$488,$C94&lt;='TIF Loan Amortization'!I$488),'TIF Loan Amortization'!$G$488,IF(AND($C94&gt;='TIF Loan Amortization'!$H$489,$C94&lt;='TIF Loan Amortization'!I$489),'TIF Loan Amortization'!$G$489,IF(AND($C94&gt;='TIF Loan Amortization'!$H$490,$C94&lt;='TIF Loan Amortization'!I$490),'TIF Loan Amortization'!$G$490,IF(AND($C94&gt;='TIF Loan Amortization'!$H$491,$C94&lt;='TIF Loan Amortization'!I$491),'TIF Loan Amortization'!$G$491,IF(AND($C94&gt;='TIF Loan Amortization'!$H$492,$C94&lt;='TIF Loan Amortization'!I$492),'TIF Loan Amortization'!$G$492,IF(AND($C94&gt;='TIF Loan Amortization'!$H$493,$C94&lt;='TIF Loan Amortization'!I$493),'TIF Loan Amortization'!$G$493,IF(AND($C94&gt;='TIF Loan Amortization'!$H$494,$C94&lt;='TIF Loan Amortization'!I$494),'TIF Loan Amortization'!$G$494,IF(AND($C94&gt;='TIF Loan Amortization'!$H$495,$C94&lt;='TIF Loan Amortization'!I$495),'TIF Loan Amortization'!$G$495,IF(AND($C94&gt;='TIF Loan Amortization'!$H$496,$C94&lt;='TIF Loan Amortization'!I$496),'TIF Loan Amortization'!$G$496,IF(AND($C94&gt;='TIF Loan Amortization'!$H$497,$C94&lt;='TIF Loan Amortization'!I$497),'TIF Loan Amortization'!$G$497,IF(AND($C94&gt;='TIF Loan Amortization'!$H$498,$C94&lt;='TIF Loan Amortization'!I$498),'TIF Loan Amortization'!$G$498,IF(AND($C94&gt;='TIF Loan Amortization'!$H$499,$C94&lt;='TIF Loan Amortization'!I$499),'TIF Loan Amortization'!$G$499,IF(AND($C94&gt;='TIF Loan Amortization'!$H$500,$C94&lt;='TIF Loan Amortization'!I$500),'TIF Loan Amortization'!$G$500,IF(AND($C94&gt;='TIF Loan Amortization'!$H$501,$C94&lt;='TIF Loan Amortization'!I$501),'TIF Loan Amortization'!$G$501,IF(AND($C94&gt;='TIF Loan Amortization'!$H$502,$C94&lt;='TIF Loan Amortization'!I$502),'TIF Loan Amortization'!$G$502,IF(AND($C94&gt;='TIF Loan Amortization'!$H$503,$C94&lt;='TIF Loan Amortization'!I$503),'TIF Loan Amortization'!$G$503,IF(AND($C94&gt;='TIF Loan Amortization'!$H$504,$C94&lt;='TIF Loan Amortization'!I$504),'TIF Loan Amortization'!$G$504,IF(AND($C94&gt;='TIF Loan Amortization'!$H$505,$C94&lt;='TIF Loan Amortization'!I$505),'TIF Loan Amortization'!$G$505,IF(AND($C94&gt;='TIF Loan Amortization'!$H$506,$C94&lt;='TIF Loan Amortization'!I$506),'TIF Loan Amortization'!$G$506,IF(AND($C94&gt;='TIF Loan Amortization'!$H$507,$C94&lt;='TIF Loan Amortization'!I$507),'TIF Loan Amortization'!$G$507,IF(AND($C94&gt;='TIF Loan Amortization'!$H$508,$C94&lt;='TIF Loan Amortization'!I$508),'TIF Loan Amortization'!$G$508,IF(AND($C94&gt;='TIF Loan Amortization'!$H$509,$C94&lt;='TIF Loan Amortization'!I$509),'TIF Loan Amortization'!$G$509,IF(AND($C94&gt;='TIF Loan Amortization'!$H$510,$C94&lt;='TIF Loan Amortization'!I$510),'TIF Loan Amortization'!$G$510,IF(AND($C94&gt;='TIF Loan Amortization'!$H$511,$C94&lt;='TIF Loan Amortization'!I$511),'TIF Loan Amortization'!$G$511,IF(AND($C94&gt;='TIF Loan Amortization'!$H$512,$C94&lt;='TIF Loan Amortization'!I$512),'TIF Loan Amortization'!$G$512,IF(AND($C94&gt;='TIF Loan Amortization'!$H$513,$C94&lt;='TIF Loan Amortization'!I$513),'TIF Loan Amortization'!$G$513,IF(AND($C94&gt;='TIF Loan Amortization'!$H$514,$C94&lt;='TIF Loan Amortization'!I$514),'TIF Loan Amortization'!$G$514,IF(AND($C94&gt;='TIF Loan Amortization'!$H$515,$C94&lt;='TIF Loan Amortization'!I$515),'TIF Loan Amortization'!$G$515,IF(AND($C94&gt;='TIF Loan Amortization'!$H$516,$C94&lt;='TIF Loan Amortization'!I$516),'TIF Loan Amortization'!$G$516,IF(AND($C94&gt;='TIF Loan Amortization'!$H$517,$C94&lt;='TIF Loan Amortization'!I$517),'TIF Loan Amortization'!$G$517,IF(AND($C94&gt;='TIF Loan Amortization'!$H$518,$C94&lt;='TIF Loan Amortization'!I$518),'TIF Loan Amortization'!$G$518,IF(AND($C94&gt;='TIF Loan Amortization'!$H$519,$C94&lt;='TIF Loan Amortization'!I$519),'TIF Loan Amortization'!$G$519))))))))))))))))))))))))))))))))))))))))</f>
        <v>#N/A</v>
      </c>
      <c r="C94" s="269" t="e">
        <f t="shared" si="16"/>
        <v>#N/A</v>
      </c>
      <c r="D94" s="281" t="str">
        <f>IF($AG$430=1,$H$10+4,"")</f>
        <v/>
      </c>
      <c r="E94" s="274">
        <v>44</v>
      </c>
      <c r="F94" s="275" t="str">
        <f>VLOOKUP($AG$430,$AE$422:$AF$433,2)</f>
        <v>Nov</v>
      </c>
      <c r="G94" s="272">
        <f t="shared" si="17"/>
        <v>0</v>
      </c>
      <c r="H94" s="272">
        <f t="shared" si="20"/>
        <v>0</v>
      </c>
      <c r="I94" s="272">
        <f t="shared" si="21"/>
        <v>0</v>
      </c>
      <c r="J94" s="272">
        <f t="shared" si="19"/>
        <v>0</v>
      </c>
      <c r="K94" s="272">
        <f>IF(ISTEXT($M$4),"",SUM(I$50:I94))</f>
        <v>0</v>
      </c>
      <c r="L94" s="272">
        <f>IF(ISTEXT($M$4),"",SUM(J$50:J94))</f>
        <v>0</v>
      </c>
      <c r="M94" s="271">
        <f t="shared" si="18"/>
        <v>0</v>
      </c>
      <c r="N94" s="291" t="e">
        <f>IF(C94='Operating Assumptions'!$C$48,"Construction Finish","")</f>
        <v>#N/A</v>
      </c>
      <c r="O94" s="291"/>
      <c r="P94" s="291"/>
      <c r="Q94" s="291"/>
      <c r="R94" s="291"/>
      <c r="S94" s="291"/>
      <c r="T94" s="291"/>
      <c r="U94" s="291"/>
      <c r="V94" s="292"/>
      <c r="W94" s="292"/>
      <c r="X94" s="292"/>
      <c r="Y94" s="291"/>
      <c r="Z94" s="279"/>
      <c r="AA94" s="279"/>
      <c r="AB94" s="279"/>
    </row>
    <row r="95" spans="2:28" s="278" customFormat="1" ht="11.65" hidden="1" customHeight="1" outlineLevel="1" x14ac:dyDescent="0.25">
      <c r="B95" s="270" t="e">
        <f>IF(AND($C95&gt;='TIF Loan Amortization'!$H$480,$C95&lt;='TIF Loan Amortization'!$I$480),'TIF Loan Amortization'!$G$480,IF(AND($C95&gt;='TIF Loan Amortization'!$H$481,$C95&lt;='TIF Loan Amortization'!I$481),'TIF Loan Amortization'!$G$481,IF(AND($C95&gt;='TIF Loan Amortization'!$H$482,$C95&lt;='TIF Loan Amortization'!I$482),'TIF Loan Amortization'!$G$482,IF(AND($C95&gt;='TIF Loan Amortization'!$H$483,$C95&lt;='TIF Loan Amortization'!I$483),'TIF Loan Amortization'!$G$483,IF(AND($C95&gt;='TIF Loan Amortization'!$H$484,$C95&lt;='TIF Loan Amortization'!I$484),'TIF Loan Amortization'!$G$484,IF(AND($C95&gt;='TIF Loan Amortization'!$H$485,$C95&lt;='TIF Loan Amortization'!I$485),'TIF Loan Amortization'!$G$485,IF(AND($C95&gt;='TIF Loan Amortization'!$H$486,$C95&lt;='TIF Loan Amortization'!I$486),'TIF Loan Amortization'!$G$486,IF(AND($C95&gt;='TIF Loan Amortization'!$H$487,$C95&lt;='TIF Loan Amortization'!I$487),'TIF Loan Amortization'!$G$487,IF(AND($C95&gt;='TIF Loan Amortization'!$H$488,$C95&lt;='TIF Loan Amortization'!I$488),'TIF Loan Amortization'!$G$488,IF(AND($C95&gt;='TIF Loan Amortization'!$H$489,$C95&lt;='TIF Loan Amortization'!I$489),'TIF Loan Amortization'!$G$489,IF(AND($C95&gt;='TIF Loan Amortization'!$H$490,$C95&lt;='TIF Loan Amortization'!I$490),'TIF Loan Amortization'!$G$490,IF(AND($C95&gt;='TIF Loan Amortization'!$H$491,$C95&lt;='TIF Loan Amortization'!I$491),'TIF Loan Amortization'!$G$491,IF(AND($C95&gt;='TIF Loan Amortization'!$H$492,$C95&lt;='TIF Loan Amortization'!I$492),'TIF Loan Amortization'!$G$492,IF(AND($C95&gt;='TIF Loan Amortization'!$H$493,$C95&lt;='TIF Loan Amortization'!I$493),'TIF Loan Amortization'!$G$493,IF(AND($C95&gt;='TIF Loan Amortization'!$H$494,$C95&lt;='TIF Loan Amortization'!I$494),'TIF Loan Amortization'!$G$494,IF(AND($C95&gt;='TIF Loan Amortization'!$H$495,$C95&lt;='TIF Loan Amortization'!I$495),'TIF Loan Amortization'!$G$495,IF(AND($C95&gt;='TIF Loan Amortization'!$H$496,$C95&lt;='TIF Loan Amortization'!I$496),'TIF Loan Amortization'!$G$496,IF(AND($C95&gt;='TIF Loan Amortization'!$H$497,$C95&lt;='TIF Loan Amortization'!I$497),'TIF Loan Amortization'!$G$497,IF(AND($C95&gt;='TIF Loan Amortization'!$H$498,$C95&lt;='TIF Loan Amortization'!I$498),'TIF Loan Amortization'!$G$498,IF(AND($C95&gt;='TIF Loan Amortization'!$H$499,$C95&lt;='TIF Loan Amortization'!I$499),'TIF Loan Amortization'!$G$499,IF(AND($C95&gt;='TIF Loan Amortization'!$H$500,$C95&lt;='TIF Loan Amortization'!I$500),'TIF Loan Amortization'!$G$500,IF(AND($C95&gt;='TIF Loan Amortization'!$H$501,$C95&lt;='TIF Loan Amortization'!I$501),'TIF Loan Amortization'!$G$501,IF(AND($C95&gt;='TIF Loan Amortization'!$H$502,$C95&lt;='TIF Loan Amortization'!I$502),'TIF Loan Amortization'!$G$502,IF(AND($C95&gt;='TIF Loan Amortization'!$H$503,$C95&lt;='TIF Loan Amortization'!I$503),'TIF Loan Amortization'!$G$503,IF(AND($C95&gt;='TIF Loan Amortization'!$H$504,$C95&lt;='TIF Loan Amortization'!I$504),'TIF Loan Amortization'!$G$504,IF(AND($C95&gt;='TIF Loan Amortization'!$H$505,$C95&lt;='TIF Loan Amortization'!I$505),'TIF Loan Amortization'!$G$505,IF(AND($C95&gt;='TIF Loan Amortization'!$H$506,$C95&lt;='TIF Loan Amortization'!I$506),'TIF Loan Amortization'!$G$506,IF(AND($C95&gt;='TIF Loan Amortization'!$H$507,$C95&lt;='TIF Loan Amortization'!I$507),'TIF Loan Amortization'!$G$507,IF(AND($C95&gt;='TIF Loan Amortization'!$H$508,$C95&lt;='TIF Loan Amortization'!I$508),'TIF Loan Amortization'!$G$508,IF(AND($C95&gt;='TIF Loan Amortization'!$H$509,$C95&lt;='TIF Loan Amortization'!I$509),'TIF Loan Amortization'!$G$509,IF(AND($C95&gt;='TIF Loan Amortization'!$H$510,$C95&lt;='TIF Loan Amortization'!I$510),'TIF Loan Amortization'!$G$510,IF(AND($C95&gt;='TIF Loan Amortization'!$H$511,$C95&lt;='TIF Loan Amortization'!I$511),'TIF Loan Amortization'!$G$511,IF(AND($C95&gt;='TIF Loan Amortization'!$H$512,$C95&lt;='TIF Loan Amortization'!I$512),'TIF Loan Amortization'!$G$512,IF(AND($C95&gt;='TIF Loan Amortization'!$H$513,$C95&lt;='TIF Loan Amortization'!I$513),'TIF Loan Amortization'!$G$513,IF(AND($C95&gt;='TIF Loan Amortization'!$H$514,$C95&lt;='TIF Loan Amortization'!I$514),'TIF Loan Amortization'!$G$514,IF(AND($C95&gt;='TIF Loan Amortization'!$H$515,$C95&lt;='TIF Loan Amortization'!I$515),'TIF Loan Amortization'!$G$515,IF(AND($C95&gt;='TIF Loan Amortization'!$H$516,$C95&lt;='TIF Loan Amortization'!I$516),'TIF Loan Amortization'!$G$516,IF(AND($C95&gt;='TIF Loan Amortization'!$H$517,$C95&lt;='TIF Loan Amortization'!I$517),'TIF Loan Amortization'!$G$517,IF(AND($C95&gt;='TIF Loan Amortization'!$H$518,$C95&lt;='TIF Loan Amortization'!I$518),'TIF Loan Amortization'!$G$518,IF(AND($C95&gt;='TIF Loan Amortization'!$H$519,$C95&lt;='TIF Loan Amortization'!I$519),'TIF Loan Amortization'!$G$519))))))))))))))))))))))))))))))))))))))))</f>
        <v>#N/A</v>
      </c>
      <c r="C95" s="269" t="e">
        <f t="shared" si="16"/>
        <v>#N/A</v>
      </c>
      <c r="D95" s="281" t="str">
        <f>IF($AG$431=1,$H$10+4,"")</f>
        <v/>
      </c>
      <c r="E95" s="274">
        <v>45</v>
      </c>
      <c r="F95" s="275" t="str">
        <f>VLOOKUP($AG$431,$AE$422:$AF$433,2)</f>
        <v>Dec</v>
      </c>
      <c r="G95" s="272">
        <f t="shared" si="17"/>
        <v>0</v>
      </c>
      <c r="H95" s="272">
        <f t="shared" si="20"/>
        <v>0</v>
      </c>
      <c r="I95" s="272">
        <f t="shared" si="21"/>
        <v>0</v>
      </c>
      <c r="J95" s="272">
        <f t="shared" si="19"/>
        <v>0</v>
      </c>
      <c r="K95" s="272">
        <f>IF(ISTEXT($M$4),"",SUM(I$50:I95))</f>
        <v>0</v>
      </c>
      <c r="L95" s="272">
        <f>IF(ISTEXT($M$4),"",SUM(J$50:J95))</f>
        <v>0</v>
      </c>
      <c r="M95" s="271">
        <f t="shared" si="18"/>
        <v>0</v>
      </c>
      <c r="N95" s="291" t="e">
        <f>IF(C95='Operating Assumptions'!$C$48,"Construction Finish","")</f>
        <v>#N/A</v>
      </c>
      <c r="O95" s="291"/>
      <c r="P95" s="291"/>
      <c r="Q95" s="291"/>
      <c r="R95" s="291"/>
      <c r="S95" s="291"/>
      <c r="T95" s="291"/>
      <c r="U95" s="291"/>
      <c r="V95" s="292"/>
      <c r="W95" s="292"/>
      <c r="X95" s="292"/>
      <c r="Y95" s="291"/>
      <c r="Z95" s="279"/>
      <c r="AA95" s="279"/>
      <c r="AB95" s="279"/>
    </row>
    <row r="96" spans="2:28" s="278" customFormat="1" ht="11.65" hidden="1" customHeight="1" outlineLevel="1" x14ac:dyDescent="0.25">
      <c r="B96" s="270" t="e">
        <f>IF(AND($C96&gt;='TIF Loan Amortization'!$H$480,$C96&lt;='TIF Loan Amortization'!$I$480),'TIF Loan Amortization'!$G$480,IF(AND($C96&gt;='TIF Loan Amortization'!$H$481,$C96&lt;='TIF Loan Amortization'!I$481),'TIF Loan Amortization'!$G$481,IF(AND($C96&gt;='TIF Loan Amortization'!$H$482,$C96&lt;='TIF Loan Amortization'!I$482),'TIF Loan Amortization'!$G$482,IF(AND($C96&gt;='TIF Loan Amortization'!$H$483,$C96&lt;='TIF Loan Amortization'!I$483),'TIF Loan Amortization'!$G$483,IF(AND($C96&gt;='TIF Loan Amortization'!$H$484,$C96&lt;='TIF Loan Amortization'!I$484),'TIF Loan Amortization'!$G$484,IF(AND($C96&gt;='TIF Loan Amortization'!$H$485,$C96&lt;='TIF Loan Amortization'!I$485),'TIF Loan Amortization'!$G$485,IF(AND($C96&gt;='TIF Loan Amortization'!$H$486,$C96&lt;='TIF Loan Amortization'!I$486),'TIF Loan Amortization'!$G$486,IF(AND($C96&gt;='TIF Loan Amortization'!$H$487,$C96&lt;='TIF Loan Amortization'!I$487),'TIF Loan Amortization'!$G$487,IF(AND($C96&gt;='TIF Loan Amortization'!$H$488,$C96&lt;='TIF Loan Amortization'!I$488),'TIF Loan Amortization'!$G$488,IF(AND($C96&gt;='TIF Loan Amortization'!$H$489,$C96&lt;='TIF Loan Amortization'!I$489),'TIF Loan Amortization'!$G$489,IF(AND($C96&gt;='TIF Loan Amortization'!$H$490,$C96&lt;='TIF Loan Amortization'!I$490),'TIF Loan Amortization'!$G$490,IF(AND($C96&gt;='TIF Loan Amortization'!$H$491,$C96&lt;='TIF Loan Amortization'!I$491),'TIF Loan Amortization'!$G$491,IF(AND($C96&gt;='TIF Loan Amortization'!$H$492,$C96&lt;='TIF Loan Amortization'!I$492),'TIF Loan Amortization'!$G$492,IF(AND($C96&gt;='TIF Loan Amortization'!$H$493,$C96&lt;='TIF Loan Amortization'!I$493),'TIF Loan Amortization'!$G$493,IF(AND($C96&gt;='TIF Loan Amortization'!$H$494,$C96&lt;='TIF Loan Amortization'!I$494),'TIF Loan Amortization'!$G$494,IF(AND($C96&gt;='TIF Loan Amortization'!$H$495,$C96&lt;='TIF Loan Amortization'!I$495),'TIF Loan Amortization'!$G$495,IF(AND($C96&gt;='TIF Loan Amortization'!$H$496,$C96&lt;='TIF Loan Amortization'!I$496),'TIF Loan Amortization'!$G$496,IF(AND($C96&gt;='TIF Loan Amortization'!$H$497,$C96&lt;='TIF Loan Amortization'!I$497),'TIF Loan Amortization'!$G$497,IF(AND($C96&gt;='TIF Loan Amortization'!$H$498,$C96&lt;='TIF Loan Amortization'!I$498),'TIF Loan Amortization'!$G$498,IF(AND($C96&gt;='TIF Loan Amortization'!$H$499,$C96&lt;='TIF Loan Amortization'!I$499),'TIF Loan Amortization'!$G$499,IF(AND($C96&gt;='TIF Loan Amortization'!$H$500,$C96&lt;='TIF Loan Amortization'!I$500),'TIF Loan Amortization'!$G$500,IF(AND($C96&gt;='TIF Loan Amortization'!$H$501,$C96&lt;='TIF Loan Amortization'!I$501),'TIF Loan Amortization'!$G$501,IF(AND($C96&gt;='TIF Loan Amortization'!$H$502,$C96&lt;='TIF Loan Amortization'!I$502),'TIF Loan Amortization'!$G$502,IF(AND($C96&gt;='TIF Loan Amortization'!$H$503,$C96&lt;='TIF Loan Amortization'!I$503),'TIF Loan Amortization'!$G$503,IF(AND($C96&gt;='TIF Loan Amortization'!$H$504,$C96&lt;='TIF Loan Amortization'!I$504),'TIF Loan Amortization'!$G$504,IF(AND($C96&gt;='TIF Loan Amortization'!$H$505,$C96&lt;='TIF Loan Amortization'!I$505),'TIF Loan Amortization'!$G$505,IF(AND($C96&gt;='TIF Loan Amortization'!$H$506,$C96&lt;='TIF Loan Amortization'!I$506),'TIF Loan Amortization'!$G$506,IF(AND($C96&gt;='TIF Loan Amortization'!$H$507,$C96&lt;='TIF Loan Amortization'!I$507),'TIF Loan Amortization'!$G$507,IF(AND($C96&gt;='TIF Loan Amortization'!$H$508,$C96&lt;='TIF Loan Amortization'!I$508),'TIF Loan Amortization'!$G$508,IF(AND($C96&gt;='TIF Loan Amortization'!$H$509,$C96&lt;='TIF Loan Amortization'!I$509),'TIF Loan Amortization'!$G$509,IF(AND($C96&gt;='TIF Loan Amortization'!$H$510,$C96&lt;='TIF Loan Amortization'!I$510),'TIF Loan Amortization'!$G$510,IF(AND($C96&gt;='TIF Loan Amortization'!$H$511,$C96&lt;='TIF Loan Amortization'!I$511),'TIF Loan Amortization'!$G$511,IF(AND($C96&gt;='TIF Loan Amortization'!$H$512,$C96&lt;='TIF Loan Amortization'!I$512),'TIF Loan Amortization'!$G$512,IF(AND($C96&gt;='TIF Loan Amortization'!$H$513,$C96&lt;='TIF Loan Amortization'!I$513),'TIF Loan Amortization'!$G$513,IF(AND($C96&gt;='TIF Loan Amortization'!$H$514,$C96&lt;='TIF Loan Amortization'!I$514),'TIF Loan Amortization'!$G$514,IF(AND($C96&gt;='TIF Loan Amortization'!$H$515,$C96&lt;='TIF Loan Amortization'!I$515),'TIF Loan Amortization'!$G$515,IF(AND($C96&gt;='TIF Loan Amortization'!$H$516,$C96&lt;='TIF Loan Amortization'!I$516),'TIF Loan Amortization'!$G$516,IF(AND($C96&gt;='TIF Loan Amortization'!$H$517,$C96&lt;='TIF Loan Amortization'!I$517),'TIF Loan Amortization'!$G$517,IF(AND($C96&gt;='TIF Loan Amortization'!$H$518,$C96&lt;='TIF Loan Amortization'!I$518),'TIF Loan Amortization'!$G$518,IF(AND($C96&gt;='TIF Loan Amortization'!$H$519,$C96&lt;='TIF Loan Amortization'!I$519),'TIF Loan Amortization'!$G$519))))))))))))))))))))))))))))))))))))))))</f>
        <v>#N/A</v>
      </c>
      <c r="C96" s="269" t="e">
        <f t="shared" si="16"/>
        <v>#N/A</v>
      </c>
      <c r="D96" s="281">
        <f>IF($AG$432=1,$H$10+4,"")</f>
        <v>2029</v>
      </c>
      <c r="E96" s="274">
        <v>46</v>
      </c>
      <c r="F96" s="273" t="str">
        <f>VLOOKUP($AG$432,$AE$422:$AF$433,2)</f>
        <v>Jan</v>
      </c>
      <c r="G96" s="272">
        <f t="shared" si="17"/>
        <v>0</v>
      </c>
      <c r="H96" s="272">
        <f t="shared" si="20"/>
        <v>0</v>
      </c>
      <c r="I96" s="272">
        <f t="shared" si="21"/>
        <v>0</v>
      </c>
      <c r="J96" s="272">
        <f t="shared" si="19"/>
        <v>0</v>
      </c>
      <c r="K96" s="272">
        <f>IF(ISTEXT($M$4),"",SUM(I$50:I96))</f>
        <v>0</v>
      </c>
      <c r="L96" s="272">
        <f>IF(ISTEXT($M$4),"",SUM(J$50:J96))</f>
        <v>0</v>
      </c>
      <c r="M96" s="271">
        <f t="shared" si="18"/>
        <v>0</v>
      </c>
      <c r="N96" s="291" t="e">
        <f>IF(C96='Operating Assumptions'!$C$48,"Construction Finish","")</f>
        <v>#N/A</v>
      </c>
      <c r="O96" s="291"/>
      <c r="P96" s="291"/>
      <c r="Q96" s="291"/>
      <c r="R96" s="291"/>
      <c r="S96" s="291"/>
      <c r="T96" s="291"/>
      <c r="U96" s="291"/>
      <c r="V96" s="292"/>
      <c r="W96" s="292"/>
      <c r="X96" s="292"/>
      <c r="Y96" s="291"/>
      <c r="Z96" s="279"/>
      <c r="AA96" s="279"/>
      <c r="AB96" s="279"/>
    </row>
    <row r="97" spans="2:28" s="278" customFormat="1" ht="11.65" hidden="1" customHeight="1" outlineLevel="1" x14ac:dyDescent="0.25">
      <c r="B97" s="270" t="e">
        <f>IF(AND($C97&gt;='TIF Loan Amortization'!$H$480,$C97&lt;='TIF Loan Amortization'!$I$480),'TIF Loan Amortization'!$G$480,IF(AND($C97&gt;='TIF Loan Amortization'!$H$481,$C97&lt;='TIF Loan Amortization'!I$481),'TIF Loan Amortization'!$G$481,IF(AND($C97&gt;='TIF Loan Amortization'!$H$482,$C97&lt;='TIF Loan Amortization'!I$482),'TIF Loan Amortization'!$G$482,IF(AND($C97&gt;='TIF Loan Amortization'!$H$483,$C97&lt;='TIF Loan Amortization'!I$483),'TIF Loan Amortization'!$G$483,IF(AND($C97&gt;='TIF Loan Amortization'!$H$484,$C97&lt;='TIF Loan Amortization'!I$484),'TIF Loan Amortization'!$G$484,IF(AND($C97&gt;='TIF Loan Amortization'!$H$485,$C97&lt;='TIF Loan Amortization'!I$485),'TIF Loan Amortization'!$G$485,IF(AND($C97&gt;='TIF Loan Amortization'!$H$486,$C97&lt;='TIF Loan Amortization'!I$486),'TIF Loan Amortization'!$G$486,IF(AND($C97&gt;='TIF Loan Amortization'!$H$487,$C97&lt;='TIF Loan Amortization'!I$487),'TIF Loan Amortization'!$G$487,IF(AND($C97&gt;='TIF Loan Amortization'!$H$488,$C97&lt;='TIF Loan Amortization'!I$488),'TIF Loan Amortization'!$G$488,IF(AND($C97&gt;='TIF Loan Amortization'!$H$489,$C97&lt;='TIF Loan Amortization'!I$489),'TIF Loan Amortization'!$G$489,IF(AND($C97&gt;='TIF Loan Amortization'!$H$490,$C97&lt;='TIF Loan Amortization'!I$490),'TIF Loan Amortization'!$G$490,IF(AND($C97&gt;='TIF Loan Amortization'!$H$491,$C97&lt;='TIF Loan Amortization'!I$491),'TIF Loan Amortization'!$G$491,IF(AND($C97&gt;='TIF Loan Amortization'!$H$492,$C97&lt;='TIF Loan Amortization'!I$492),'TIF Loan Amortization'!$G$492,IF(AND($C97&gt;='TIF Loan Amortization'!$H$493,$C97&lt;='TIF Loan Amortization'!I$493),'TIF Loan Amortization'!$G$493,IF(AND($C97&gt;='TIF Loan Amortization'!$H$494,$C97&lt;='TIF Loan Amortization'!I$494),'TIF Loan Amortization'!$G$494,IF(AND($C97&gt;='TIF Loan Amortization'!$H$495,$C97&lt;='TIF Loan Amortization'!I$495),'TIF Loan Amortization'!$G$495,IF(AND($C97&gt;='TIF Loan Amortization'!$H$496,$C97&lt;='TIF Loan Amortization'!I$496),'TIF Loan Amortization'!$G$496,IF(AND($C97&gt;='TIF Loan Amortization'!$H$497,$C97&lt;='TIF Loan Amortization'!I$497),'TIF Loan Amortization'!$G$497,IF(AND($C97&gt;='TIF Loan Amortization'!$H$498,$C97&lt;='TIF Loan Amortization'!I$498),'TIF Loan Amortization'!$G$498,IF(AND($C97&gt;='TIF Loan Amortization'!$H$499,$C97&lt;='TIF Loan Amortization'!I$499),'TIF Loan Amortization'!$G$499,IF(AND($C97&gt;='TIF Loan Amortization'!$H$500,$C97&lt;='TIF Loan Amortization'!I$500),'TIF Loan Amortization'!$G$500,IF(AND($C97&gt;='TIF Loan Amortization'!$H$501,$C97&lt;='TIF Loan Amortization'!I$501),'TIF Loan Amortization'!$G$501,IF(AND($C97&gt;='TIF Loan Amortization'!$H$502,$C97&lt;='TIF Loan Amortization'!I$502),'TIF Loan Amortization'!$G$502,IF(AND($C97&gt;='TIF Loan Amortization'!$H$503,$C97&lt;='TIF Loan Amortization'!I$503),'TIF Loan Amortization'!$G$503,IF(AND($C97&gt;='TIF Loan Amortization'!$H$504,$C97&lt;='TIF Loan Amortization'!I$504),'TIF Loan Amortization'!$G$504,IF(AND($C97&gt;='TIF Loan Amortization'!$H$505,$C97&lt;='TIF Loan Amortization'!I$505),'TIF Loan Amortization'!$G$505,IF(AND($C97&gt;='TIF Loan Amortization'!$H$506,$C97&lt;='TIF Loan Amortization'!I$506),'TIF Loan Amortization'!$G$506,IF(AND($C97&gt;='TIF Loan Amortization'!$H$507,$C97&lt;='TIF Loan Amortization'!I$507),'TIF Loan Amortization'!$G$507,IF(AND($C97&gt;='TIF Loan Amortization'!$H$508,$C97&lt;='TIF Loan Amortization'!I$508),'TIF Loan Amortization'!$G$508,IF(AND($C97&gt;='TIF Loan Amortization'!$H$509,$C97&lt;='TIF Loan Amortization'!I$509),'TIF Loan Amortization'!$G$509,IF(AND($C97&gt;='TIF Loan Amortization'!$H$510,$C97&lt;='TIF Loan Amortization'!I$510),'TIF Loan Amortization'!$G$510,IF(AND($C97&gt;='TIF Loan Amortization'!$H$511,$C97&lt;='TIF Loan Amortization'!I$511),'TIF Loan Amortization'!$G$511,IF(AND($C97&gt;='TIF Loan Amortization'!$H$512,$C97&lt;='TIF Loan Amortization'!I$512),'TIF Loan Amortization'!$G$512,IF(AND($C97&gt;='TIF Loan Amortization'!$H$513,$C97&lt;='TIF Loan Amortization'!I$513),'TIF Loan Amortization'!$G$513,IF(AND($C97&gt;='TIF Loan Amortization'!$H$514,$C97&lt;='TIF Loan Amortization'!I$514),'TIF Loan Amortization'!$G$514,IF(AND($C97&gt;='TIF Loan Amortization'!$H$515,$C97&lt;='TIF Loan Amortization'!I$515),'TIF Loan Amortization'!$G$515,IF(AND($C97&gt;='TIF Loan Amortization'!$H$516,$C97&lt;='TIF Loan Amortization'!I$516),'TIF Loan Amortization'!$G$516,IF(AND($C97&gt;='TIF Loan Amortization'!$H$517,$C97&lt;='TIF Loan Amortization'!I$517),'TIF Loan Amortization'!$G$517,IF(AND($C97&gt;='TIF Loan Amortization'!$H$518,$C97&lt;='TIF Loan Amortization'!I$518),'TIF Loan Amortization'!$G$518,IF(AND($C97&gt;='TIF Loan Amortization'!$H$519,$C97&lt;='TIF Loan Amortization'!I$519),'TIF Loan Amortization'!$G$519))))))))))))))))))))))))))))))))))))))))</f>
        <v>#N/A</v>
      </c>
      <c r="C97" s="269" t="e">
        <f t="shared" si="16"/>
        <v>#N/A</v>
      </c>
      <c r="D97" s="281" t="str">
        <f>IF($AG$433=1,$H$10+4,"")</f>
        <v/>
      </c>
      <c r="E97" s="274">
        <v>47</v>
      </c>
      <c r="F97" s="273" t="str">
        <f>VLOOKUP($AG$433,$AE$422:$AF$433,2)</f>
        <v>Feb</v>
      </c>
      <c r="G97" s="272">
        <f t="shared" si="17"/>
        <v>0</v>
      </c>
      <c r="H97" s="272">
        <f t="shared" si="20"/>
        <v>0</v>
      </c>
      <c r="I97" s="272">
        <f t="shared" si="21"/>
        <v>0</v>
      </c>
      <c r="J97" s="272">
        <f t="shared" si="19"/>
        <v>0</v>
      </c>
      <c r="K97" s="272">
        <f>IF(ISTEXT($M$4),"",SUM(I$50:I97))</f>
        <v>0</v>
      </c>
      <c r="L97" s="272">
        <f>IF(ISTEXT($M$4),"",SUM(J$50:J97))</f>
        <v>0</v>
      </c>
      <c r="M97" s="271">
        <f t="shared" si="18"/>
        <v>0</v>
      </c>
      <c r="N97" s="291" t="e">
        <f>IF(C97='Operating Assumptions'!$C$48,"Construction Finish","")</f>
        <v>#N/A</v>
      </c>
      <c r="O97" s="291"/>
      <c r="P97" s="291"/>
      <c r="Q97" s="291"/>
      <c r="R97" s="291"/>
      <c r="S97" s="291"/>
      <c r="T97" s="291"/>
      <c r="U97" s="291"/>
      <c r="V97" s="292"/>
      <c r="W97" s="292"/>
      <c r="X97" s="292"/>
      <c r="Y97" s="291"/>
      <c r="Z97" s="279"/>
      <c r="AA97" s="279"/>
      <c r="AB97" s="279"/>
    </row>
    <row r="98" spans="2:28" s="278" customFormat="1" ht="11.65" hidden="1" customHeight="1" outlineLevel="1" x14ac:dyDescent="0.25">
      <c r="B98" s="270" t="e">
        <f>IF(AND($C98&gt;='TIF Loan Amortization'!$H$480,$C98&lt;='TIF Loan Amortization'!$I$480),'TIF Loan Amortization'!$G$480,IF(AND($C98&gt;='TIF Loan Amortization'!$H$481,$C98&lt;='TIF Loan Amortization'!I$481),'TIF Loan Amortization'!$G$481,IF(AND($C98&gt;='TIF Loan Amortization'!$H$482,$C98&lt;='TIF Loan Amortization'!I$482),'TIF Loan Amortization'!$G$482,IF(AND($C98&gt;='TIF Loan Amortization'!$H$483,$C98&lt;='TIF Loan Amortization'!I$483),'TIF Loan Amortization'!$G$483,IF(AND($C98&gt;='TIF Loan Amortization'!$H$484,$C98&lt;='TIF Loan Amortization'!I$484),'TIF Loan Amortization'!$G$484,IF(AND($C98&gt;='TIF Loan Amortization'!$H$485,$C98&lt;='TIF Loan Amortization'!I$485),'TIF Loan Amortization'!$G$485,IF(AND($C98&gt;='TIF Loan Amortization'!$H$486,$C98&lt;='TIF Loan Amortization'!I$486),'TIF Loan Amortization'!$G$486,IF(AND($C98&gt;='TIF Loan Amortization'!$H$487,$C98&lt;='TIF Loan Amortization'!I$487),'TIF Loan Amortization'!$G$487,IF(AND($C98&gt;='TIF Loan Amortization'!$H$488,$C98&lt;='TIF Loan Amortization'!I$488),'TIF Loan Amortization'!$G$488,IF(AND($C98&gt;='TIF Loan Amortization'!$H$489,$C98&lt;='TIF Loan Amortization'!I$489),'TIF Loan Amortization'!$G$489,IF(AND($C98&gt;='TIF Loan Amortization'!$H$490,$C98&lt;='TIF Loan Amortization'!I$490),'TIF Loan Amortization'!$G$490,IF(AND($C98&gt;='TIF Loan Amortization'!$H$491,$C98&lt;='TIF Loan Amortization'!I$491),'TIF Loan Amortization'!$G$491,IF(AND($C98&gt;='TIF Loan Amortization'!$H$492,$C98&lt;='TIF Loan Amortization'!I$492),'TIF Loan Amortization'!$G$492,IF(AND($C98&gt;='TIF Loan Amortization'!$H$493,$C98&lt;='TIF Loan Amortization'!I$493),'TIF Loan Amortization'!$G$493,IF(AND($C98&gt;='TIF Loan Amortization'!$H$494,$C98&lt;='TIF Loan Amortization'!I$494),'TIF Loan Amortization'!$G$494,IF(AND($C98&gt;='TIF Loan Amortization'!$H$495,$C98&lt;='TIF Loan Amortization'!I$495),'TIF Loan Amortization'!$G$495,IF(AND($C98&gt;='TIF Loan Amortization'!$H$496,$C98&lt;='TIF Loan Amortization'!I$496),'TIF Loan Amortization'!$G$496,IF(AND($C98&gt;='TIF Loan Amortization'!$H$497,$C98&lt;='TIF Loan Amortization'!I$497),'TIF Loan Amortization'!$G$497,IF(AND($C98&gt;='TIF Loan Amortization'!$H$498,$C98&lt;='TIF Loan Amortization'!I$498),'TIF Loan Amortization'!$G$498,IF(AND($C98&gt;='TIF Loan Amortization'!$H$499,$C98&lt;='TIF Loan Amortization'!I$499),'TIF Loan Amortization'!$G$499,IF(AND($C98&gt;='TIF Loan Amortization'!$H$500,$C98&lt;='TIF Loan Amortization'!I$500),'TIF Loan Amortization'!$G$500,IF(AND($C98&gt;='TIF Loan Amortization'!$H$501,$C98&lt;='TIF Loan Amortization'!I$501),'TIF Loan Amortization'!$G$501,IF(AND($C98&gt;='TIF Loan Amortization'!$H$502,$C98&lt;='TIF Loan Amortization'!I$502),'TIF Loan Amortization'!$G$502,IF(AND($C98&gt;='TIF Loan Amortization'!$H$503,$C98&lt;='TIF Loan Amortization'!I$503),'TIF Loan Amortization'!$G$503,IF(AND($C98&gt;='TIF Loan Amortization'!$H$504,$C98&lt;='TIF Loan Amortization'!I$504),'TIF Loan Amortization'!$G$504,IF(AND($C98&gt;='TIF Loan Amortization'!$H$505,$C98&lt;='TIF Loan Amortization'!I$505),'TIF Loan Amortization'!$G$505,IF(AND($C98&gt;='TIF Loan Amortization'!$H$506,$C98&lt;='TIF Loan Amortization'!I$506),'TIF Loan Amortization'!$G$506,IF(AND($C98&gt;='TIF Loan Amortization'!$H$507,$C98&lt;='TIF Loan Amortization'!I$507),'TIF Loan Amortization'!$G$507,IF(AND($C98&gt;='TIF Loan Amortization'!$H$508,$C98&lt;='TIF Loan Amortization'!I$508),'TIF Loan Amortization'!$G$508,IF(AND($C98&gt;='TIF Loan Amortization'!$H$509,$C98&lt;='TIF Loan Amortization'!I$509),'TIF Loan Amortization'!$G$509,IF(AND($C98&gt;='TIF Loan Amortization'!$H$510,$C98&lt;='TIF Loan Amortization'!I$510),'TIF Loan Amortization'!$G$510,IF(AND($C98&gt;='TIF Loan Amortization'!$H$511,$C98&lt;='TIF Loan Amortization'!I$511),'TIF Loan Amortization'!$G$511,IF(AND($C98&gt;='TIF Loan Amortization'!$H$512,$C98&lt;='TIF Loan Amortization'!I$512),'TIF Loan Amortization'!$G$512,IF(AND($C98&gt;='TIF Loan Amortization'!$H$513,$C98&lt;='TIF Loan Amortization'!I$513),'TIF Loan Amortization'!$G$513,IF(AND($C98&gt;='TIF Loan Amortization'!$H$514,$C98&lt;='TIF Loan Amortization'!I$514),'TIF Loan Amortization'!$G$514,IF(AND($C98&gt;='TIF Loan Amortization'!$H$515,$C98&lt;='TIF Loan Amortization'!I$515),'TIF Loan Amortization'!$G$515,IF(AND($C98&gt;='TIF Loan Amortization'!$H$516,$C98&lt;='TIF Loan Amortization'!I$516),'TIF Loan Amortization'!$G$516,IF(AND($C98&gt;='TIF Loan Amortization'!$H$517,$C98&lt;='TIF Loan Amortization'!I$517),'TIF Loan Amortization'!$G$517,IF(AND($C98&gt;='TIF Loan Amortization'!$H$518,$C98&lt;='TIF Loan Amortization'!I$518),'TIF Loan Amortization'!$G$518,IF(AND($C98&gt;='TIF Loan Amortization'!$H$519,$C98&lt;='TIF Loan Amortization'!I$519),'TIF Loan Amortization'!$G$519))))))))))))))))))))))))))))))))))))))))</f>
        <v>#N/A</v>
      </c>
      <c r="C98" s="269" t="e">
        <f t="shared" si="16"/>
        <v>#N/A</v>
      </c>
      <c r="D98" s="281" t="str">
        <f>IF($H$11="January",$H$10+4,IF($AG$422=1,$H$10+5,""))</f>
        <v/>
      </c>
      <c r="E98" s="274">
        <v>48</v>
      </c>
      <c r="F98" s="273" t="str">
        <f>VLOOKUP($AG$422,$AE$422:$AF$433,2)</f>
        <v>Mar</v>
      </c>
      <c r="G98" s="272">
        <f t="shared" si="17"/>
        <v>0</v>
      </c>
      <c r="H98" s="272">
        <f t="shared" si="20"/>
        <v>0</v>
      </c>
      <c r="I98" s="272">
        <f t="shared" si="21"/>
        <v>0</v>
      </c>
      <c r="J98" s="272">
        <f t="shared" si="19"/>
        <v>0</v>
      </c>
      <c r="K98" s="272">
        <f>IF(ISTEXT($M$4),"",SUM(I$50:I98))</f>
        <v>0</v>
      </c>
      <c r="L98" s="272">
        <f>IF(ISTEXT($M$4),"",SUM(J$50:J98))</f>
        <v>0</v>
      </c>
      <c r="M98" s="271">
        <f t="shared" si="18"/>
        <v>0</v>
      </c>
      <c r="N98" s="291" t="e">
        <f>IF(C98='Operating Assumptions'!$C$48,"Construction Finish","")</f>
        <v>#N/A</v>
      </c>
      <c r="O98" s="291"/>
      <c r="P98" s="291"/>
      <c r="Q98" s="291"/>
      <c r="R98" s="291"/>
      <c r="S98" s="291"/>
      <c r="T98" s="291"/>
      <c r="U98" s="291"/>
      <c r="V98" s="292"/>
      <c r="W98" s="292"/>
      <c r="X98" s="292"/>
      <c r="Y98" s="291"/>
      <c r="Z98" s="279"/>
      <c r="AA98" s="279"/>
      <c r="AB98" s="279"/>
    </row>
    <row r="99" spans="2:28" s="278" customFormat="1" ht="11.65" hidden="1" customHeight="1" outlineLevel="1" x14ac:dyDescent="0.25">
      <c r="B99" s="270" t="e">
        <f>IF(AND($C99&gt;='TIF Loan Amortization'!$H$480,$C99&lt;='TIF Loan Amortization'!$I$480),'TIF Loan Amortization'!$G$480,IF(AND($C99&gt;='TIF Loan Amortization'!$H$481,$C99&lt;='TIF Loan Amortization'!I$481),'TIF Loan Amortization'!$G$481,IF(AND($C99&gt;='TIF Loan Amortization'!$H$482,$C99&lt;='TIF Loan Amortization'!I$482),'TIF Loan Amortization'!$G$482,IF(AND($C99&gt;='TIF Loan Amortization'!$H$483,$C99&lt;='TIF Loan Amortization'!I$483),'TIF Loan Amortization'!$G$483,IF(AND($C99&gt;='TIF Loan Amortization'!$H$484,$C99&lt;='TIF Loan Amortization'!I$484),'TIF Loan Amortization'!$G$484,IF(AND($C99&gt;='TIF Loan Amortization'!$H$485,$C99&lt;='TIF Loan Amortization'!I$485),'TIF Loan Amortization'!$G$485,IF(AND($C99&gt;='TIF Loan Amortization'!$H$486,$C99&lt;='TIF Loan Amortization'!I$486),'TIF Loan Amortization'!$G$486,IF(AND($C99&gt;='TIF Loan Amortization'!$H$487,$C99&lt;='TIF Loan Amortization'!I$487),'TIF Loan Amortization'!$G$487,IF(AND($C99&gt;='TIF Loan Amortization'!$H$488,$C99&lt;='TIF Loan Amortization'!I$488),'TIF Loan Amortization'!$G$488,IF(AND($C99&gt;='TIF Loan Amortization'!$H$489,$C99&lt;='TIF Loan Amortization'!I$489),'TIF Loan Amortization'!$G$489,IF(AND($C99&gt;='TIF Loan Amortization'!$H$490,$C99&lt;='TIF Loan Amortization'!I$490),'TIF Loan Amortization'!$G$490,IF(AND($C99&gt;='TIF Loan Amortization'!$H$491,$C99&lt;='TIF Loan Amortization'!I$491),'TIF Loan Amortization'!$G$491,IF(AND($C99&gt;='TIF Loan Amortization'!$H$492,$C99&lt;='TIF Loan Amortization'!I$492),'TIF Loan Amortization'!$G$492,IF(AND($C99&gt;='TIF Loan Amortization'!$H$493,$C99&lt;='TIF Loan Amortization'!I$493),'TIF Loan Amortization'!$G$493,IF(AND($C99&gt;='TIF Loan Amortization'!$H$494,$C99&lt;='TIF Loan Amortization'!I$494),'TIF Loan Amortization'!$G$494,IF(AND($C99&gt;='TIF Loan Amortization'!$H$495,$C99&lt;='TIF Loan Amortization'!I$495),'TIF Loan Amortization'!$G$495,IF(AND($C99&gt;='TIF Loan Amortization'!$H$496,$C99&lt;='TIF Loan Amortization'!I$496),'TIF Loan Amortization'!$G$496,IF(AND($C99&gt;='TIF Loan Amortization'!$H$497,$C99&lt;='TIF Loan Amortization'!I$497),'TIF Loan Amortization'!$G$497,IF(AND($C99&gt;='TIF Loan Amortization'!$H$498,$C99&lt;='TIF Loan Amortization'!I$498),'TIF Loan Amortization'!$G$498,IF(AND($C99&gt;='TIF Loan Amortization'!$H$499,$C99&lt;='TIF Loan Amortization'!I$499),'TIF Loan Amortization'!$G$499,IF(AND($C99&gt;='TIF Loan Amortization'!$H$500,$C99&lt;='TIF Loan Amortization'!I$500),'TIF Loan Amortization'!$G$500,IF(AND($C99&gt;='TIF Loan Amortization'!$H$501,$C99&lt;='TIF Loan Amortization'!I$501),'TIF Loan Amortization'!$G$501,IF(AND($C99&gt;='TIF Loan Amortization'!$H$502,$C99&lt;='TIF Loan Amortization'!I$502),'TIF Loan Amortization'!$G$502,IF(AND($C99&gt;='TIF Loan Amortization'!$H$503,$C99&lt;='TIF Loan Amortization'!I$503),'TIF Loan Amortization'!$G$503,IF(AND($C99&gt;='TIF Loan Amortization'!$H$504,$C99&lt;='TIF Loan Amortization'!I$504),'TIF Loan Amortization'!$G$504,IF(AND($C99&gt;='TIF Loan Amortization'!$H$505,$C99&lt;='TIF Loan Amortization'!I$505),'TIF Loan Amortization'!$G$505,IF(AND($C99&gt;='TIF Loan Amortization'!$H$506,$C99&lt;='TIF Loan Amortization'!I$506),'TIF Loan Amortization'!$G$506,IF(AND($C99&gt;='TIF Loan Amortization'!$H$507,$C99&lt;='TIF Loan Amortization'!I$507),'TIF Loan Amortization'!$G$507,IF(AND($C99&gt;='TIF Loan Amortization'!$H$508,$C99&lt;='TIF Loan Amortization'!I$508),'TIF Loan Amortization'!$G$508,IF(AND($C99&gt;='TIF Loan Amortization'!$H$509,$C99&lt;='TIF Loan Amortization'!I$509),'TIF Loan Amortization'!$G$509,IF(AND($C99&gt;='TIF Loan Amortization'!$H$510,$C99&lt;='TIF Loan Amortization'!I$510),'TIF Loan Amortization'!$G$510,IF(AND($C99&gt;='TIF Loan Amortization'!$H$511,$C99&lt;='TIF Loan Amortization'!I$511),'TIF Loan Amortization'!$G$511,IF(AND($C99&gt;='TIF Loan Amortization'!$H$512,$C99&lt;='TIF Loan Amortization'!I$512),'TIF Loan Amortization'!$G$512,IF(AND($C99&gt;='TIF Loan Amortization'!$H$513,$C99&lt;='TIF Loan Amortization'!I$513),'TIF Loan Amortization'!$G$513,IF(AND($C99&gt;='TIF Loan Amortization'!$H$514,$C99&lt;='TIF Loan Amortization'!I$514),'TIF Loan Amortization'!$G$514,IF(AND($C99&gt;='TIF Loan Amortization'!$H$515,$C99&lt;='TIF Loan Amortization'!I$515),'TIF Loan Amortization'!$G$515,IF(AND($C99&gt;='TIF Loan Amortization'!$H$516,$C99&lt;='TIF Loan Amortization'!I$516),'TIF Loan Amortization'!$G$516,IF(AND($C99&gt;='TIF Loan Amortization'!$H$517,$C99&lt;='TIF Loan Amortization'!I$517),'TIF Loan Amortization'!$G$517,IF(AND($C99&gt;='TIF Loan Amortization'!$H$518,$C99&lt;='TIF Loan Amortization'!I$518),'TIF Loan Amortization'!$G$518,IF(AND($C99&gt;='TIF Loan Amortization'!$H$519,$C99&lt;='TIF Loan Amortization'!I$519),'TIF Loan Amortization'!$G$519))))))))))))))))))))))))))))))))))))))))</f>
        <v>#N/A</v>
      </c>
      <c r="C99" s="269" t="e">
        <f t="shared" si="16"/>
        <v>#N/A</v>
      </c>
      <c r="D99" s="281" t="str">
        <f>IF($AG$423=1,$H$10+5,"")</f>
        <v/>
      </c>
      <c r="E99" s="274">
        <v>49</v>
      </c>
      <c r="F99" s="275" t="str">
        <f>VLOOKUP($AG$423,$AE$422:$AF$433,2)</f>
        <v>Apr</v>
      </c>
      <c r="G99" s="272">
        <f t="shared" si="17"/>
        <v>0</v>
      </c>
      <c r="H99" s="272">
        <f t="shared" si="20"/>
        <v>0</v>
      </c>
      <c r="I99" s="272">
        <f t="shared" si="21"/>
        <v>0</v>
      </c>
      <c r="J99" s="272">
        <f t="shared" si="19"/>
        <v>0</v>
      </c>
      <c r="K99" s="272">
        <f>IF(ISTEXT($M$4),"",SUM(I$50:I99))</f>
        <v>0</v>
      </c>
      <c r="L99" s="272">
        <f>IF(ISTEXT($M$4),"",SUM(J$50:J99))</f>
        <v>0</v>
      </c>
      <c r="M99" s="271">
        <f t="shared" si="18"/>
        <v>0</v>
      </c>
      <c r="N99" s="291" t="e">
        <f>IF(C99='Operating Assumptions'!$C$48,"Construction Finish","")</f>
        <v>#N/A</v>
      </c>
      <c r="O99" s="291"/>
      <c r="P99" s="291"/>
      <c r="Q99" s="291"/>
      <c r="R99" s="291"/>
      <c r="S99" s="291"/>
      <c r="T99" s="291"/>
      <c r="U99" s="291"/>
      <c r="V99" s="292"/>
      <c r="W99" s="292"/>
      <c r="X99" s="292"/>
      <c r="Y99" s="291"/>
      <c r="Z99" s="279"/>
      <c r="AA99" s="279"/>
      <c r="AB99" s="279"/>
    </row>
    <row r="100" spans="2:28" s="278" customFormat="1" ht="11.65" hidden="1" customHeight="1" outlineLevel="1" x14ac:dyDescent="0.25">
      <c r="B100" s="270" t="e">
        <f>IF(AND($C100&gt;='TIF Loan Amortization'!$H$480,$C100&lt;='TIF Loan Amortization'!$I$480),'TIF Loan Amortization'!$G$480,IF(AND($C100&gt;='TIF Loan Amortization'!$H$481,$C100&lt;='TIF Loan Amortization'!I$481),'TIF Loan Amortization'!$G$481,IF(AND($C100&gt;='TIF Loan Amortization'!$H$482,$C100&lt;='TIF Loan Amortization'!I$482),'TIF Loan Amortization'!$G$482,IF(AND($C100&gt;='TIF Loan Amortization'!$H$483,$C100&lt;='TIF Loan Amortization'!I$483),'TIF Loan Amortization'!$G$483,IF(AND($C100&gt;='TIF Loan Amortization'!$H$484,$C100&lt;='TIF Loan Amortization'!I$484),'TIF Loan Amortization'!$G$484,IF(AND($C100&gt;='TIF Loan Amortization'!$H$485,$C100&lt;='TIF Loan Amortization'!I$485),'TIF Loan Amortization'!$G$485,IF(AND($C100&gt;='TIF Loan Amortization'!$H$486,$C100&lt;='TIF Loan Amortization'!I$486),'TIF Loan Amortization'!$G$486,IF(AND($C100&gt;='TIF Loan Amortization'!$H$487,$C100&lt;='TIF Loan Amortization'!I$487),'TIF Loan Amortization'!$G$487,IF(AND($C100&gt;='TIF Loan Amortization'!$H$488,$C100&lt;='TIF Loan Amortization'!I$488),'TIF Loan Amortization'!$G$488,IF(AND($C100&gt;='TIF Loan Amortization'!$H$489,$C100&lt;='TIF Loan Amortization'!I$489),'TIF Loan Amortization'!$G$489,IF(AND($C100&gt;='TIF Loan Amortization'!$H$490,$C100&lt;='TIF Loan Amortization'!I$490),'TIF Loan Amortization'!$G$490,IF(AND($C100&gt;='TIF Loan Amortization'!$H$491,$C100&lt;='TIF Loan Amortization'!I$491),'TIF Loan Amortization'!$G$491,IF(AND($C100&gt;='TIF Loan Amortization'!$H$492,$C100&lt;='TIF Loan Amortization'!I$492),'TIF Loan Amortization'!$G$492,IF(AND($C100&gt;='TIF Loan Amortization'!$H$493,$C100&lt;='TIF Loan Amortization'!I$493),'TIF Loan Amortization'!$G$493,IF(AND($C100&gt;='TIF Loan Amortization'!$H$494,$C100&lt;='TIF Loan Amortization'!I$494),'TIF Loan Amortization'!$G$494,IF(AND($C100&gt;='TIF Loan Amortization'!$H$495,$C100&lt;='TIF Loan Amortization'!I$495),'TIF Loan Amortization'!$G$495,IF(AND($C100&gt;='TIF Loan Amortization'!$H$496,$C100&lt;='TIF Loan Amortization'!I$496),'TIF Loan Amortization'!$G$496,IF(AND($C100&gt;='TIF Loan Amortization'!$H$497,$C100&lt;='TIF Loan Amortization'!I$497),'TIF Loan Amortization'!$G$497,IF(AND($C100&gt;='TIF Loan Amortization'!$H$498,$C100&lt;='TIF Loan Amortization'!I$498),'TIF Loan Amortization'!$G$498,IF(AND($C100&gt;='TIF Loan Amortization'!$H$499,$C100&lt;='TIF Loan Amortization'!I$499),'TIF Loan Amortization'!$G$499,IF(AND($C100&gt;='TIF Loan Amortization'!$H$500,$C100&lt;='TIF Loan Amortization'!I$500),'TIF Loan Amortization'!$G$500,IF(AND($C100&gt;='TIF Loan Amortization'!$H$501,$C100&lt;='TIF Loan Amortization'!I$501),'TIF Loan Amortization'!$G$501,IF(AND($C100&gt;='TIF Loan Amortization'!$H$502,$C100&lt;='TIF Loan Amortization'!I$502),'TIF Loan Amortization'!$G$502,IF(AND($C100&gt;='TIF Loan Amortization'!$H$503,$C100&lt;='TIF Loan Amortization'!I$503),'TIF Loan Amortization'!$G$503,IF(AND($C100&gt;='TIF Loan Amortization'!$H$504,$C100&lt;='TIF Loan Amortization'!I$504),'TIF Loan Amortization'!$G$504,IF(AND($C100&gt;='TIF Loan Amortization'!$H$505,$C100&lt;='TIF Loan Amortization'!I$505),'TIF Loan Amortization'!$G$505,IF(AND($C100&gt;='TIF Loan Amortization'!$H$506,$C100&lt;='TIF Loan Amortization'!I$506),'TIF Loan Amortization'!$G$506,IF(AND($C100&gt;='TIF Loan Amortization'!$H$507,$C100&lt;='TIF Loan Amortization'!I$507),'TIF Loan Amortization'!$G$507,IF(AND($C100&gt;='TIF Loan Amortization'!$H$508,$C100&lt;='TIF Loan Amortization'!I$508),'TIF Loan Amortization'!$G$508,IF(AND($C100&gt;='TIF Loan Amortization'!$H$509,$C100&lt;='TIF Loan Amortization'!I$509),'TIF Loan Amortization'!$G$509,IF(AND($C100&gt;='TIF Loan Amortization'!$H$510,$C100&lt;='TIF Loan Amortization'!I$510),'TIF Loan Amortization'!$G$510,IF(AND($C100&gt;='TIF Loan Amortization'!$H$511,$C100&lt;='TIF Loan Amortization'!I$511),'TIF Loan Amortization'!$G$511,IF(AND($C100&gt;='TIF Loan Amortization'!$H$512,$C100&lt;='TIF Loan Amortization'!I$512),'TIF Loan Amortization'!$G$512,IF(AND($C100&gt;='TIF Loan Amortization'!$H$513,$C100&lt;='TIF Loan Amortization'!I$513),'TIF Loan Amortization'!$G$513,IF(AND($C100&gt;='TIF Loan Amortization'!$H$514,$C100&lt;='TIF Loan Amortization'!I$514),'TIF Loan Amortization'!$G$514,IF(AND($C100&gt;='TIF Loan Amortization'!$H$515,$C100&lt;='TIF Loan Amortization'!I$515),'TIF Loan Amortization'!$G$515,IF(AND($C100&gt;='TIF Loan Amortization'!$H$516,$C100&lt;='TIF Loan Amortization'!I$516),'TIF Loan Amortization'!$G$516,IF(AND($C100&gt;='TIF Loan Amortization'!$H$517,$C100&lt;='TIF Loan Amortization'!I$517),'TIF Loan Amortization'!$G$517,IF(AND($C100&gt;='TIF Loan Amortization'!$H$518,$C100&lt;='TIF Loan Amortization'!I$518),'TIF Loan Amortization'!$G$518,IF(AND($C100&gt;='TIF Loan Amortization'!$H$519,$C100&lt;='TIF Loan Amortization'!I$519),'TIF Loan Amortization'!$G$519))))))))))))))))))))))))))))))))))))))))</f>
        <v>#N/A</v>
      </c>
      <c r="C100" s="269" t="e">
        <f t="shared" si="16"/>
        <v>#N/A</v>
      </c>
      <c r="D100" s="281" t="str">
        <f>IF($AG$424=1,$H$10+5,"")</f>
        <v/>
      </c>
      <c r="E100" s="274">
        <v>50</v>
      </c>
      <c r="F100" s="275" t="str">
        <f>VLOOKUP($AG$424,$AE$422:$AF$433,2)</f>
        <v>May</v>
      </c>
      <c r="G100" s="272">
        <f t="shared" si="17"/>
        <v>0</v>
      </c>
      <c r="H100" s="272">
        <f t="shared" si="20"/>
        <v>0</v>
      </c>
      <c r="I100" s="272">
        <f t="shared" si="21"/>
        <v>0</v>
      </c>
      <c r="J100" s="272">
        <f t="shared" si="19"/>
        <v>0</v>
      </c>
      <c r="K100" s="272">
        <f>IF(ISTEXT($M$4),"",SUM(I$50:I100))</f>
        <v>0</v>
      </c>
      <c r="L100" s="272">
        <f>IF(ISTEXT($M$4),"",SUM(J$50:J100))</f>
        <v>0</v>
      </c>
      <c r="M100" s="271">
        <f t="shared" si="18"/>
        <v>0</v>
      </c>
      <c r="N100" s="291" t="e">
        <f>IF(C100='Operating Assumptions'!$C$48,"Construction Finish","")</f>
        <v>#N/A</v>
      </c>
      <c r="O100" s="291"/>
      <c r="P100" s="291"/>
      <c r="Q100" s="291"/>
      <c r="R100" s="291"/>
      <c r="S100" s="291"/>
      <c r="T100" s="291"/>
      <c r="U100" s="291"/>
      <c r="V100" s="292"/>
      <c r="W100" s="292"/>
      <c r="X100" s="292"/>
      <c r="Y100" s="291"/>
      <c r="Z100" s="279"/>
      <c r="AA100" s="279"/>
      <c r="AB100" s="279"/>
    </row>
    <row r="101" spans="2:28" s="278" customFormat="1" ht="11.65" hidden="1" customHeight="1" outlineLevel="1" x14ac:dyDescent="0.25">
      <c r="B101" s="270" t="e">
        <f>IF(AND($C101&gt;='TIF Loan Amortization'!$H$480,$C101&lt;='TIF Loan Amortization'!$I$480),'TIF Loan Amortization'!$G$480,IF(AND($C101&gt;='TIF Loan Amortization'!$H$481,$C101&lt;='TIF Loan Amortization'!I$481),'TIF Loan Amortization'!$G$481,IF(AND($C101&gt;='TIF Loan Amortization'!$H$482,$C101&lt;='TIF Loan Amortization'!I$482),'TIF Loan Amortization'!$G$482,IF(AND($C101&gt;='TIF Loan Amortization'!$H$483,$C101&lt;='TIF Loan Amortization'!I$483),'TIF Loan Amortization'!$G$483,IF(AND($C101&gt;='TIF Loan Amortization'!$H$484,$C101&lt;='TIF Loan Amortization'!I$484),'TIF Loan Amortization'!$G$484,IF(AND($C101&gt;='TIF Loan Amortization'!$H$485,$C101&lt;='TIF Loan Amortization'!I$485),'TIF Loan Amortization'!$G$485,IF(AND($C101&gt;='TIF Loan Amortization'!$H$486,$C101&lt;='TIF Loan Amortization'!I$486),'TIF Loan Amortization'!$G$486,IF(AND($C101&gt;='TIF Loan Amortization'!$H$487,$C101&lt;='TIF Loan Amortization'!I$487),'TIF Loan Amortization'!$G$487,IF(AND($C101&gt;='TIF Loan Amortization'!$H$488,$C101&lt;='TIF Loan Amortization'!I$488),'TIF Loan Amortization'!$G$488,IF(AND($C101&gt;='TIF Loan Amortization'!$H$489,$C101&lt;='TIF Loan Amortization'!I$489),'TIF Loan Amortization'!$G$489,IF(AND($C101&gt;='TIF Loan Amortization'!$H$490,$C101&lt;='TIF Loan Amortization'!I$490),'TIF Loan Amortization'!$G$490,IF(AND($C101&gt;='TIF Loan Amortization'!$H$491,$C101&lt;='TIF Loan Amortization'!I$491),'TIF Loan Amortization'!$G$491,IF(AND($C101&gt;='TIF Loan Amortization'!$H$492,$C101&lt;='TIF Loan Amortization'!I$492),'TIF Loan Amortization'!$G$492,IF(AND($C101&gt;='TIF Loan Amortization'!$H$493,$C101&lt;='TIF Loan Amortization'!I$493),'TIF Loan Amortization'!$G$493,IF(AND($C101&gt;='TIF Loan Amortization'!$H$494,$C101&lt;='TIF Loan Amortization'!I$494),'TIF Loan Amortization'!$G$494,IF(AND($C101&gt;='TIF Loan Amortization'!$H$495,$C101&lt;='TIF Loan Amortization'!I$495),'TIF Loan Amortization'!$G$495,IF(AND($C101&gt;='TIF Loan Amortization'!$H$496,$C101&lt;='TIF Loan Amortization'!I$496),'TIF Loan Amortization'!$G$496,IF(AND($C101&gt;='TIF Loan Amortization'!$H$497,$C101&lt;='TIF Loan Amortization'!I$497),'TIF Loan Amortization'!$G$497,IF(AND($C101&gt;='TIF Loan Amortization'!$H$498,$C101&lt;='TIF Loan Amortization'!I$498),'TIF Loan Amortization'!$G$498,IF(AND($C101&gt;='TIF Loan Amortization'!$H$499,$C101&lt;='TIF Loan Amortization'!I$499),'TIF Loan Amortization'!$G$499,IF(AND($C101&gt;='TIF Loan Amortization'!$H$500,$C101&lt;='TIF Loan Amortization'!I$500),'TIF Loan Amortization'!$G$500,IF(AND($C101&gt;='TIF Loan Amortization'!$H$501,$C101&lt;='TIF Loan Amortization'!I$501),'TIF Loan Amortization'!$G$501,IF(AND($C101&gt;='TIF Loan Amortization'!$H$502,$C101&lt;='TIF Loan Amortization'!I$502),'TIF Loan Amortization'!$G$502,IF(AND($C101&gt;='TIF Loan Amortization'!$H$503,$C101&lt;='TIF Loan Amortization'!I$503),'TIF Loan Amortization'!$G$503,IF(AND($C101&gt;='TIF Loan Amortization'!$H$504,$C101&lt;='TIF Loan Amortization'!I$504),'TIF Loan Amortization'!$G$504,IF(AND($C101&gt;='TIF Loan Amortization'!$H$505,$C101&lt;='TIF Loan Amortization'!I$505),'TIF Loan Amortization'!$G$505,IF(AND($C101&gt;='TIF Loan Amortization'!$H$506,$C101&lt;='TIF Loan Amortization'!I$506),'TIF Loan Amortization'!$G$506,IF(AND($C101&gt;='TIF Loan Amortization'!$H$507,$C101&lt;='TIF Loan Amortization'!I$507),'TIF Loan Amortization'!$G$507,IF(AND($C101&gt;='TIF Loan Amortization'!$H$508,$C101&lt;='TIF Loan Amortization'!I$508),'TIF Loan Amortization'!$G$508,IF(AND($C101&gt;='TIF Loan Amortization'!$H$509,$C101&lt;='TIF Loan Amortization'!I$509),'TIF Loan Amortization'!$G$509,IF(AND($C101&gt;='TIF Loan Amortization'!$H$510,$C101&lt;='TIF Loan Amortization'!I$510),'TIF Loan Amortization'!$G$510,IF(AND($C101&gt;='TIF Loan Amortization'!$H$511,$C101&lt;='TIF Loan Amortization'!I$511),'TIF Loan Amortization'!$G$511,IF(AND($C101&gt;='TIF Loan Amortization'!$H$512,$C101&lt;='TIF Loan Amortization'!I$512),'TIF Loan Amortization'!$G$512,IF(AND($C101&gt;='TIF Loan Amortization'!$H$513,$C101&lt;='TIF Loan Amortization'!I$513),'TIF Loan Amortization'!$G$513,IF(AND($C101&gt;='TIF Loan Amortization'!$H$514,$C101&lt;='TIF Loan Amortization'!I$514),'TIF Loan Amortization'!$G$514,IF(AND($C101&gt;='TIF Loan Amortization'!$H$515,$C101&lt;='TIF Loan Amortization'!I$515),'TIF Loan Amortization'!$G$515,IF(AND($C101&gt;='TIF Loan Amortization'!$H$516,$C101&lt;='TIF Loan Amortization'!I$516),'TIF Loan Amortization'!$G$516,IF(AND($C101&gt;='TIF Loan Amortization'!$H$517,$C101&lt;='TIF Loan Amortization'!I$517),'TIF Loan Amortization'!$G$517,IF(AND($C101&gt;='TIF Loan Amortization'!$H$518,$C101&lt;='TIF Loan Amortization'!I$518),'TIF Loan Amortization'!$G$518,IF(AND($C101&gt;='TIF Loan Amortization'!$H$519,$C101&lt;='TIF Loan Amortization'!I$519),'TIF Loan Amortization'!$G$519))))))))))))))))))))))))))))))))))))))))</f>
        <v>#N/A</v>
      </c>
      <c r="C101" s="269" t="e">
        <f t="shared" si="16"/>
        <v>#N/A</v>
      </c>
      <c r="D101" s="281" t="str">
        <f>IF($AG$425=1,$H$10+5,"")</f>
        <v/>
      </c>
      <c r="E101" s="274">
        <v>51</v>
      </c>
      <c r="F101" s="275" t="str">
        <f>VLOOKUP($AG$425,$AE$422:$AF$433,2)</f>
        <v>Jun</v>
      </c>
      <c r="G101" s="272">
        <f t="shared" si="17"/>
        <v>0</v>
      </c>
      <c r="H101" s="272">
        <f t="shared" si="20"/>
        <v>0</v>
      </c>
      <c r="I101" s="272">
        <f t="shared" si="21"/>
        <v>0</v>
      </c>
      <c r="J101" s="272">
        <f t="shared" si="19"/>
        <v>0</v>
      </c>
      <c r="K101" s="272">
        <f>IF(ISTEXT($M$4),"",SUM(I$50:I101))</f>
        <v>0</v>
      </c>
      <c r="L101" s="272">
        <f>IF(ISTEXT($M$4),"",SUM(J$50:J101))</f>
        <v>0</v>
      </c>
      <c r="M101" s="271">
        <f t="shared" si="18"/>
        <v>0</v>
      </c>
      <c r="N101" s="291" t="e">
        <f>IF(C101='Operating Assumptions'!$C$48,"Construction Finish","")</f>
        <v>#N/A</v>
      </c>
      <c r="O101" s="291"/>
      <c r="P101" s="291"/>
      <c r="Q101" s="291"/>
      <c r="R101" s="291"/>
      <c r="S101" s="291"/>
      <c r="T101" s="291"/>
      <c r="U101" s="291"/>
      <c r="V101" s="292"/>
      <c r="W101" s="292"/>
      <c r="X101" s="292"/>
      <c r="Y101" s="291"/>
      <c r="Z101" s="279"/>
      <c r="AA101" s="279"/>
      <c r="AB101" s="279"/>
    </row>
    <row r="102" spans="2:28" s="278" customFormat="1" ht="11.65" hidden="1" customHeight="1" outlineLevel="1" x14ac:dyDescent="0.25">
      <c r="B102" s="270" t="e">
        <f>IF(AND($C102&gt;='TIF Loan Amortization'!$H$480,$C102&lt;='TIF Loan Amortization'!$I$480),'TIF Loan Amortization'!$G$480,IF(AND($C102&gt;='TIF Loan Amortization'!$H$481,$C102&lt;='TIF Loan Amortization'!I$481),'TIF Loan Amortization'!$G$481,IF(AND($C102&gt;='TIF Loan Amortization'!$H$482,$C102&lt;='TIF Loan Amortization'!I$482),'TIF Loan Amortization'!$G$482,IF(AND($C102&gt;='TIF Loan Amortization'!$H$483,$C102&lt;='TIF Loan Amortization'!I$483),'TIF Loan Amortization'!$G$483,IF(AND($C102&gt;='TIF Loan Amortization'!$H$484,$C102&lt;='TIF Loan Amortization'!I$484),'TIF Loan Amortization'!$G$484,IF(AND($C102&gt;='TIF Loan Amortization'!$H$485,$C102&lt;='TIF Loan Amortization'!I$485),'TIF Loan Amortization'!$G$485,IF(AND($C102&gt;='TIF Loan Amortization'!$H$486,$C102&lt;='TIF Loan Amortization'!I$486),'TIF Loan Amortization'!$G$486,IF(AND($C102&gt;='TIF Loan Amortization'!$H$487,$C102&lt;='TIF Loan Amortization'!I$487),'TIF Loan Amortization'!$G$487,IF(AND($C102&gt;='TIF Loan Amortization'!$H$488,$C102&lt;='TIF Loan Amortization'!I$488),'TIF Loan Amortization'!$G$488,IF(AND($C102&gt;='TIF Loan Amortization'!$H$489,$C102&lt;='TIF Loan Amortization'!I$489),'TIF Loan Amortization'!$G$489,IF(AND($C102&gt;='TIF Loan Amortization'!$H$490,$C102&lt;='TIF Loan Amortization'!I$490),'TIF Loan Amortization'!$G$490,IF(AND($C102&gt;='TIF Loan Amortization'!$H$491,$C102&lt;='TIF Loan Amortization'!I$491),'TIF Loan Amortization'!$G$491,IF(AND($C102&gt;='TIF Loan Amortization'!$H$492,$C102&lt;='TIF Loan Amortization'!I$492),'TIF Loan Amortization'!$G$492,IF(AND($C102&gt;='TIF Loan Amortization'!$H$493,$C102&lt;='TIF Loan Amortization'!I$493),'TIF Loan Amortization'!$G$493,IF(AND($C102&gt;='TIF Loan Amortization'!$H$494,$C102&lt;='TIF Loan Amortization'!I$494),'TIF Loan Amortization'!$G$494,IF(AND($C102&gt;='TIF Loan Amortization'!$H$495,$C102&lt;='TIF Loan Amortization'!I$495),'TIF Loan Amortization'!$G$495,IF(AND($C102&gt;='TIF Loan Amortization'!$H$496,$C102&lt;='TIF Loan Amortization'!I$496),'TIF Loan Amortization'!$G$496,IF(AND($C102&gt;='TIF Loan Amortization'!$H$497,$C102&lt;='TIF Loan Amortization'!I$497),'TIF Loan Amortization'!$G$497,IF(AND($C102&gt;='TIF Loan Amortization'!$H$498,$C102&lt;='TIF Loan Amortization'!I$498),'TIF Loan Amortization'!$G$498,IF(AND($C102&gt;='TIF Loan Amortization'!$H$499,$C102&lt;='TIF Loan Amortization'!I$499),'TIF Loan Amortization'!$G$499,IF(AND($C102&gt;='TIF Loan Amortization'!$H$500,$C102&lt;='TIF Loan Amortization'!I$500),'TIF Loan Amortization'!$G$500,IF(AND($C102&gt;='TIF Loan Amortization'!$H$501,$C102&lt;='TIF Loan Amortization'!I$501),'TIF Loan Amortization'!$G$501,IF(AND($C102&gt;='TIF Loan Amortization'!$H$502,$C102&lt;='TIF Loan Amortization'!I$502),'TIF Loan Amortization'!$G$502,IF(AND($C102&gt;='TIF Loan Amortization'!$H$503,$C102&lt;='TIF Loan Amortization'!I$503),'TIF Loan Amortization'!$G$503,IF(AND($C102&gt;='TIF Loan Amortization'!$H$504,$C102&lt;='TIF Loan Amortization'!I$504),'TIF Loan Amortization'!$G$504,IF(AND($C102&gt;='TIF Loan Amortization'!$H$505,$C102&lt;='TIF Loan Amortization'!I$505),'TIF Loan Amortization'!$G$505,IF(AND($C102&gt;='TIF Loan Amortization'!$H$506,$C102&lt;='TIF Loan Amortization'!I$506),'TIF Loan Amortization'!$G$506,IF(AND($C102&gt;='TIF Loan Amortization'!$H$507,$C102&lt;='TIF Loan Amortization'!I$507),'TIF Loan Amortization'!$G$507,IF(AND($C102&gt;='TIF Loan Amortization'!$H$508,$C102&lt;='TIF Loan Amortization'!I$508),'TIF Loan Amortization'!$G$508,IF(AND($C102&gt;='TIF Loan Amortization'!$H$509,$C102&lt;='TIF Loan Amortization'!I$509),'TIF Loan Amortization'!$G$509,IF(AND($C102&gt;='TIF Loan Amortization'!$H$510,$C102&lt;='TIF Loan Amortization'!I$510),'TIF Loan Amortization'!$G$510,IF(AND($C102&gt;='TIF Loan Amortization'!$H$511,$C102&lt;='TIF Loan Amortization'!I$511),'TIF Loan Amortization'!$G$511,IF(AND($C102&gt;='TIF Loan Amortization'!$H$512,$C102&lt;='TIF Loan Amortization'!I$512),'TIF Loan Amortization'!$G$512,IF(AND($C102&gt;='TIF Loan Amortization'!$H$513,$C102&lt;='TIF Loan Amortization'!I$513),'TIF Loan Amortization'!$G$513,IF(AND($C102&gt;='TIF Loan Amortization'!$H$514,$C102&lt;='TIF Loan Amortization'!I$514),'TIF Loan Amortization'!$G$514,IF(AND($C102&gt;='TIF Loan Amortization'!$H$515,$C102&lt;='TIF Loan Amortization'!I$515),'TIF Loan Amortization'!$G$515,IF(AND($C102&gt;='TIF Loan Amortization'!$H$516,$C102&lt;='TIF Loan Amortization'!I$516),'TIF Loan Amortization'!$G$516,IF(AND($C102&gt;='TIF Loan Amortization'!$H$517,$C102&lt;='TIF Loan Amortization'!I$517),'TIF Loan Amortization'!$G$517,IF(AND($C102&gt;='TIF Loan Amortization'!$H$518,$C102&lt;='TIF Loan Amortization'!I$518),'TIF Loan Amortization'!$G$518,IF(AND($C102&gt;='TIF Loan Amortization'!$H$519,$C102&lt;='TIF Loan Amortization'!I$519),'TIF Loan Amortization'!$G$519))))))))))))))))))))))))))))))))))))))))</f>
        <v>#N/A</v>
      </c>
      <c r="C102" s="269" t="e">
        <f t="shared" si="16"/>
        <v>#N/A</v>
      </c>
      <c r="D102" s="281" t="str">
        <f>IF($AG$426=1,$H$10+5,"")</f>
        <v/>
      </c>
      <c r="E102" s="274">
        <v>52</v>
      </c>
      <c r="F102" s="275" t="str">
        <f>VLOOKUP($AG$426,$AE$422:$AF$433,2)</f>
        <v>Jul</v>
      </c>
      <c r="G102" s="272">
        <f t="shared" si="17"/>
        <v>0</v>
      </c>
      <c r="H102" s="272">
        <f t="shared" si="20"/>
        <v>0</v>
      </c>
      <c r="I102" s="272">
        <f t="shared" si="21"/>
        <v>0</v>
      </c>
      <c r="J102" s="272">
        <f t="shared" si="19"/>
        <v>0</v>
      </c>
      <c r="K102" s="272">
        <f>IF(ISTEXT($M$4),"",SUM(I$50:I102))</f>
        <v>0</v>
      </c>
      <c r="L102" s="272">
        <f>IF(ISTEXT($M$4),"",SUM(J$50:J102))</f>
        <v>0</v>
      </c>
      <c r="M102" s="271">
        <f t="shared" si="18"/>
        <v>0</v>
      </c>
      <c r="N102" s="291" t="e">
        <f>IF(C102='Operating Assumptions'!$C$48,"Construction Finish","")</f>
        <v>#N/A</v>
      </c>
      <c r="O102" s="291"/>
      <c r="P102" s="291"/>
      <c r="Q102" s="291"/>
      <c r="R102" s="291"/>
      <c r="S102" s="291"/>
      <c r="T102" s="291"/>
      <c r="U102" s="291"/>
      <c r="V102" s="292"/>
      <c r="W102" s="292"/>
      <c r="X102" s="292"/>
      <c r="Y102" s="291"/>
      <c r="Z102" s="279"/>
      <c r="AA102" s="279"/>
      <c r="AB102" s="279"/>
    </row>
    <row r="103" spans="2:28" s="278" customFormat="1" ht="11.65" hidden="1" customHeight="1" outlineLevel="1" x14ac:dyDescent="0.25">
      <c r="B103" s="270" t="e">
        <f>IF(AND($C103&gt;='TIF Loan Amortization'!$H$480,$C103&lt;='TIF Loan Amortization'!$I$480),'TIF Loan Amortization'!$G$480,IF(AND($C103&gt;='TIF Loan Amortization'!$H$481,$C103&lt;='TIF Loan Amortization'!I$481),'TIF Loan Amortization'!$G$481,IF(AND($C103&gt;='TIF Loan Amortization'!$H$482,$C103&lt;='TIF Loan Amortization'!I$482),'TIF Loan Amortization'!$G$482,IF(AND($C103&gt;='TIF Loan Amortization'!$H$483,$C103&lt;='TIF Loan Amortization'!I$483),'TIF Loan Amortization'!$G$483,IF(AND($C103&gt;='TIF Loan Amortization'!$H$484,$C103&lt;='TIF Loan Amortization'!I$484),'TIF Loan Amortization'!$G$484,IF(AND($C103&gt;='TIF Loan Amortization'!$H$485,$C103&lt;='TIF Loan Amortization'!I$485),'TIF Loan Amortization'!$G$485,IF(AND($C103&gt;='TIF Loan Amortization'!$H$486,$C103&lt;='TIF Loan Amortization'!I$486),'TIF Loan Amortization'!$G$486,IF(AND($C103&gt;='TIF Loan Amortization'!$H$487,$C103&lt;='TIF Loan Amortization'!I$487),'TIF Loan Amortization'!$G$487,IF(AND($C103&gt;='TIF Loan Amortization'!$H$488,$C103&lt;='TIF Loan Amortization'!I$488),'TIF Loan Amortization'!$G$488,IF(AND($C103&gt;='TIF Loan Amortization'!$H$489,$C103&lt;='TIF Loan Amortization'!I$489),'TIF Loan Amortization'!$G$489,IF(AND($C103&gt;='TIF Loan Amortization'!$H$490,$C103&lt;='TIF Loan Amortization'!I$490),'TIF Loan Amortization'!$G$490,IF(AND($C103&gt;='TIF Loan Amortization'!$H$491,$C103&lt;='TIF Loan Amortization'!I$491),'TIF Loan Amortization'!$G$491,IF(AND($C103&gt;='TIF Loan Amortization'!$H$492,$C103&lt;='TIF Loan Amortization'!I$492),'TIF Loan Amortization'!$G$492,IF(AND($C103&gt;='TIF Loan Amortization'!$H$493,$C103&lt;='TIF Loan Amortization'!I$493),'TIF Loan Amortization'!$G$493,IF(AND($C103&gt;='TIF Loan Amortization'!$H$494,$C103&lt;='TIF Loan Amortization'!I$494),'TIF Loan Amortization'!$G$494,IF(AND($C103&gt;='TIF Loan Amortization'!$H$495,$C103&lt;='TIF Loan Amortization'!I$495),'TIF Loan Amortization'!$G$495,IF(AND($C103&gt;='TIF Loan Amortization'!$H$496,$C103&lt;='TIF Loan Amortization'!I$496),'TIF Loan Amortization'!$G$496,IF(AND($C103&gt;='TIF Loan Amortization'!$H$497,$C103&lt;='TIF Loan Amortization'!I$497),'TIF Loan Amortization'!$G$497,IF(AND($C103&gt;='TIF Loan Amortization'!$H$498,$C103&lt;='TIF Loan Amortization'!I$498),'TIF Loan Amortization'!$G$498,IF(AND($C103&gt;='TIF Loan Amortization'!$H$499,$C103&lt;='TIF Loan Amortization'!I$499),'TIF Loan Amortization'!$G$499,IF(AND($C103&gt;='TIF Loan Amortization'!$H$500,$C103&lt;='TIF Loan Amortization'!I$500),'TIF Loan Amortization'!$G$500,IF(AND($C103&gt;='TIF Loan Amortization'!$H$501,$C103&lt;='TIF Loan Amortization'!I$501),'TIF Loan Amortization'!$G$501,IF(AND($C103&gt;='TIF Loan Amortization'!$H$502,$C103&lt;='TIF Loan Amortization'!I$502),'TIF Loan Amortization'!$G$502,IF(AND($C103&gt;='TIF Loan Amortization'!$H$503,$C103&lt;='TIF Loan Amortization'!I$503),'TIF Loan Amortization'!$G$503,IF(AND($C103&gt;='TIF Loan Amortization'!$H$504,$C103&lt;='TIF Loan Amortization'!I$504),'TIF Loan Amortization'!$G$504,IF(AND($C103&gt;='TIF Loan Amortization'!$H$505,$C103&lt;='TIF Loan Amortization'!I$505),'TIF Loan Amortization'!$G$505,IF(AND($C103&gt;='TIF Loan Amortization'!$H$506,$C103&lt;='TIF Loan Amortization'!I$506),'TIF Loan Amortization'!$G$506,IF(AND($C103&gt;='TIF Loan Amortization'!$H$507,$C103&lt;='TIF Loan Amortization'!I$507),'TIF Loan Amortization'!$G$507,IF(AND($C103&gt;='TIF Loan Amortization'!$H$508,$C103&lt;='TIF Loan Amortization'!I$508),'TIF Loan Amortization'!$G$508,IF(AND($C103&gt;='TIF Loan Amortization'!$H$509,$C103&lt;='TIF Loan Amortization'!I$509),'TIF Loan Amortization'!$G$509,IF(AND($C103&gt;='TIF Loan Amortization'!$H$510,$C103&lt;='TIF Loan Amortization'!I$510),'TIF Loan Amortization'!$G$510,IF(AND($C103&gt;='TIF Loan Amortization'!$H$511,$C103&lt;='TIF Loan Amortization'!I$511),'TIF Loan Amortization'!$G$511,IF(AND($C103&gt;='TIF Loan Amortization'!$H$512,$C103&lt;='TIF Loan Amortization'!I$512),'TIF Loan Amortization'!$G$512,IF(AND($C103&gt;='TIF Loan Amortization'!$H$513,$C103&lt;='TIF Loan Amortization'!I$513),'TIF Loan Amortization'!$G$513,IF(AND($C103&gt;='TIF Loan Amortization'!$H$514,$C103&lt;='TIF Loan Amortization'!I$514),'TIF Loan Amortization'!$G$514,IF(AND($C103&gt;='TIF Loan Amortization'!$H$515,$C103&lt;='TIF Loan Amortization'!I$515),'TIF Loan Amortization'!$G$515,IF(AND($C103&gt;='TIF Loan Amortization'!$H$516,$C103&lt;='TIF Loan Amortization'!I$516),'TIF Loan Amortization'!$G$516,IF(AND($C103&gt;='TIF Loan Amortization'!$H$517,$C103&lt;='TIF Loan Amortization'!I$517),'TIF Loan Amortization'!$G$517,IF(AND($C103&gt;='TIF Loan Amortization'!$H$518,$C103&lt;='TIF Loan Amortization'!I$518),'TIF Loan Amortization'!$G$518,IF(AND($C103&gt;='TIF Loan Amortization'!$H$519,$C103&lt;='TIF Loan Amortization'!I$519),'TIF Loan Amortization'!$G$519))))))))))))))))))))))))))))))))))))))))</f>
        <v>#N/A</v>
      </c>
      <c r="C103" s="269" t="e">
        <f t="shared" si="16"/>
        <v>#N/A</v>
      </c>
      <c r="D103" s="281" t="str">
        <f>IF($AG$427=1,$H$10+5,"")</f>
        <v/>
      </c>
      <c r="E103" s="274">
        <v>53</v>
      </c>
      <c r="F103" s="275" t="str">
        <f>VLOOKUP($AG$427,$AE$422:$AF$433,2)</f>
        <v>Aug</v>
      </c>
      <c r="G103" s="272">
        <f t="shared" si="17"/>
        <v>0</v>
      </c>
      <c r="H103" s="272">
        <f t="shared" si="20"/>
        <v>0</v>
      </c>
      <c r="I103" s="272">
        <f t="shared" si="21"/>
        <v>0</v>
      </c>
      <c r="J103" s="272">
        <f t="shared" si="19"/>
        <v>0</v>
      </c>
      <c r="K103" s="272">
        <f>IF(ISTEXT($M$4),"",SUM(I$50:I103))</f>
        <v>0</v>
      </c>
      <c r="L103" s="272">
        <f>IF(ISTEXT($M$4),"",SUM(J$50:J103))</f>
        <v>0</v>
      </c>
      <c r="M103" s="271">
        <f t="shared" si="18"/>
        <v>0</v>
      </c>
      <c r="N103" s="291" t="e">
        <f>IF(C103='Operating Assumptions'!$C$48,"Construction Finish","")</f>
        <v>#N/A</v>
      </c>
      <c r="O103" s="291"/>
      <c r="P103" s="291"/>
      <c r="Q103" s="291"/>
      <c r="R103" s="291"/>
      <c r="S103" s="291"/>
      <c r="T103" s="291"/>
      <c r="U103" s="291"/>
      <c r="V103" s="292"/>
      <c r="W103" s="292"/>
      <c r="X103" s="292"/>
      <c r="Y103" s="291"/>
      <c r="Z103" s="279"/>
      <c r="AA103" s="279"/>
      <c r="AB103" s="279"/>
    </row>
    <row r="104" spans="2:28" s="278" customFormat="1" ht="11.65" hidden="1" customHeight="1" outlineLevel="1" x14ac:dyDescent="0.25">
      <c r="B104" s="270" t="e">
        <f>IF(AND($C104&gt;='TIF Loan Amortization'!$H$480,$C104&lt;='TIF Loan Amortization'!$I$480),'TIF Loan Amortization'!$G$480,IF(AND($C104&gt;='TIF Loan Amortization'!$H$481,$C104&lt;='TIF Loan Amortization'!I$481),'TIF Loan Amortization'!$G$481,IF(AND($C104&gt;='TIF Loan Amortization'!$H$482,$C104&lt;='TIF Loan Amortization'!I$482),'TIF Loan Amortization'!$G$482,IF(AND($C104&gt;='TIF Loan Amortization'!$H$483,$C104&lt;='TIF Loan Amortization'!I$483),'TIF Loan Amortization'!$G$483,IF(AND($C104&gt;='TIF Loan Amortization'!$H$484,$C104&lt;='TIF Loan Amortization'!I$484),'TIF Loan Amortization'!$G$484,IF(AND($C104&gt;='TIF Loan Amortization'!$H$485,$C104&lt;='TIF Loan Amortization'!I$485),'TIF Loan Amortization'!$G$485,IF(AND($C104&gt;='TIF Loan Amortization'!$H$486,$C104&lt;='TIF Loan Amortization'!I$486),'TIF Loan Amortization'!$G$486,IF(AND($C104&gt;='TIF Loan Amortization'!$H$487,$C104&lt;='TIF Loan Amortization'!I$487),'TIF Loan Amortization'!$G$487,IF(AND($C104&gt;='TIF Loan Amortization'!$H$488,$C104&lt;='TIF Loan Amortization'!I$488),'TIF Loan Amortization'!$G$488,IF(AND($C104&gt;='TIF Loan Amortization'!$H$489,$C104&lt;='TIF Loan Amortization'!I$489),'TIF Loan Amortization'!$G$489,IF(AND($C104&gt;='TIF Loan Amortization'!$H$490,$C104&lt;='TIF Loan Amortization'!I$490),'TIF Loan Amortization'!$G$490,IF(AND($C104&gt;='TIF Loan Amortization'!$H$491,$C104&lt;='TIF Loan Amortization'!I$491),'TIF Loan Amortization'!$G$491,IF(AND($C104&gt;='TIF Loan Amortization'!$H$492,$C104&lt;='TIF Loan Amortization'!I$492),'TIF Loan Amortization'!$G$492,IF(AND($C104&gt;='TIF Loan Amortization'!$H$493,$C104&lt;='TIF Loan Amortization'!I$493),'TIF Loan Amortization'!$G$493,IF(AND($C104&gt;='TIF Loan Amortization'!$H$494,$C104&lt;='TIF Loan Amortization'!I$494),'TIF Loan Amortization'!$G$494,IF(AND($C104&gt;='TIF Loan Amortization'!$H$495,$C104&lt;='TIF Loan Amortization'!I$495),'TIF Loan Amortization'!$G$495,IF(AND($C104&gt;='TIF Loan Amortization'!$H$496,$C104&lt;='TIF Loan Amortization'!I$496),'TIF Loan Amortization'!$G$496,IF(AND($C104&gt;='TIF Loan Amortization'!$H$497,$C104&lt;='TIF Loan Amortization'!I$497),'TIF Loan Amortization'!$G$497,IF(AND($C104&gt;='TIF Loan Amortization'!$H$498,$C104&lt;='TIF Loan Amortization'!I$498),'TIF Loan Amortization'!$G$498,IF(AND($C104&gt;='TIF Loan Amortization'!$H$499,$C104&lt;='TIF Loan Amortization'!I$499),'TIF Loan Amortization'!$G$499,IF(AND($C104&gt;='TIF Loan Amortization'!$H$500,$C104&lt;='TIF Loan Amortization'!I$500),'TIF Loan Amortization'!$G$500,IF(AND($C104&gt;='TIF Loan Amortization'!$H$501,$C104&lt;='TIF Loan Amortization'!I$501),'TIF Loan Amortization'!$G$501,IF(AND($C104&gt;='TIF Loan Amortization'!$H$502,$C104&lt;='TIF Loan Amortization'!I$502),'TIF Loan Amortization'!$G$502,IF(AND($C104&gt;='TIF Loan Amortization'!$H$503,$C104&lt;='TIF Loan Amortization'!I$503),'TIF Loan Amortization'!$G$503,IF(AND($C104&gt;='TIF Loan Amortization'!$H$504,$C104&lt;='TIF Loan Amortization'!I$504),'TIF Loan Amortization'!$G$504,IF(AND($C104&gt;='TIF Loan Amortization'!$H$505,$C104&lt;='TIF Loan Amortization'!I$505),'TIF Loan Amortization'!$G$505,IF(AND($C104&gt;='TIF Loan Amortization'!$H$506,$C104&lt;='TIF Loan Amortization'!I$506),'TIF Loan Amortization'!$G$506,IF(AND($C104&gt;='TIF Loan Amortization'!$H$507,$C104&lt;='TIF Loan Amortization'!I$507),'TIF Loan Amortization'!$G$507,IF(AND($C104&gt;='TIF Loan Amortization'!$H$508,$C104&lt;='TIF Loan Amortization'!I$508),'TIF Loan Amortization'!$G$508,IF(AND($C104&gt;='TIF Loan Amortization'!$H$509,$C104&lt;='TIF Loan Amortization'!I$509),'TIF Loan Amortization'!$G$509,IF(AND($C104&gt;='TIF Loan Amortization'!$H$510,$C104&lt;='TIF Loan Amortization'!I$510),'TIF Loan Amortization'!$G$510,IF(AND($C104&gt;='TIF Loan Amortization'!$H$511,$C104&lt;='TIF Loan Amortization'!I$511),'TIF Loan Amortization'!$G$511,IF(AND($C104&gt;='TIF Loan Amortization'!$H$512,$C104&lt;='TIF Loan Amortization'!I$512),'TIF Loan Amortization'!$G$512,IF(AND($C104&gt;='TIF Loan Amortization'!$H$513,$C104&lt;='TIF Loan Amortization'!I$513),'TIF Loan Amortization'!$G$513,IF(AND($C104&gt;='TIF Loan Amortization'!$H$514,$C104&lt;='TIF Loan Amortization'!I$514),'TIF Loan Amortization'!$G$514,IF(AND($C104&gt;='TIF Loan Amortization'!$H$515,$C104&lt;='TIF Loan Amortization'!I$515),'TIF Loan Amortization'!$G$515,IF(AND($C104&gt;='TIF Loan Amortization'!$H$516,$C104&lt;='TIF Loan Amortization'!I$516),'TIF Loan Amortization'!$G$516,IF(AND($C104&gt;='TIF Loan Amortization'!$H$517,$C104&lt;='TIF Loan Amortization'!I$517),'TIF Loan Amortization'!$G$517,IF(AND($C104&gt;='TIF Loan Amortization'!$H$518,$C104&lt;='TIF Loan Amortization'!I$518),'TIF Loan Amortization'!$G$518,IF(AND($C104&gt;='TIF Loan Amortization'!$H$519,$C104&lt;='TIF Loan Amortization'!I$519),'TIF Loan Amortization'!$G$519))))))))))))))))))))))))))))))))))))))))</f>
        <v>#N/A</v>
      </c>
      <c r="C104" s="269" t="e">
        <f t="shared" si="16"/>
        <v>#N/A</v>
      </c>
      <c r="D104" s="281" t="str">
        <f>IF($AG$428=1,$H$10+5,"")</f>
        <v/>
      </c>
      <c r="E104" s="274">
        <v>54</v>
      </c>
      <c r="F104" s="275" t="str">
        <f>VLOOKUP($AG$428,$AE$422:$AF$433,2)</f>
        <v>Sep</v>
      </c>
      <c r="G104" s="272">
        <f t="shared" si="17"/>
        <v>0</v>
      </c>
      <c r="H104" s="272">
        <f t="shared" si="20"/>
        <v>0</v>
      </c>
      <c r="I104" s="272">
        <f t="shared" si="21"/>
        <v>0</v>
      </c>
      <c r="J104" s="272">
        <f t="shared" si="19"/>
        <v>0</v>
      </c>
      <c r="K104" s="272">
        <f>IF(ISTEXT($M$4),"",SUM(I$50:I104))</f>
        <v>0</v>
      </c>
      <c r="L104" s="272">
        <f>IF(ISTEXT($M$4),"",SUM(J$50:J104))</f>
        <v>0</v>
      </c>
      <c r="M104" s="271">
        <f t="shared" si="18"/>
        <v>0</v>
      </c>
      <c r="N104" s="291" t="e">
        <f>IF(C104='Operating Assumptions'!$C$48,"Construction Finish","")</f>
        <v>#N/A</v>
      </c>
      <c r="O104" s="291"/>
      <c r="P104" s="291"/>
      <c r="Q104" s="291"/>
      <c r="R104" s="291"/>
      <c r="S104" s="291"/>
      <c r="T104" s="291"/>
      <c r="U104" s="291"/>
      <c r="V104" s="292"/>
      <c r="W104" s="292"/>
      <c r="X104" s="292"/>
      <c r="Y104" s="291"/>
      <c r="Z104" s="279"/>
      <c r="AA104" s="279"/>
      <c r="AB104" s="279"/>
    </row>
    <row r="105" spans="2:28" s="278" customFormat="1" ht="11.65" hidden="1" customHeight="1" outlineLevel="1" x14ac:dyDescent="0.25">
      <c r="B105" s="270" t="e">
        <f>IF(AND($C105&gt;='TIF Loan Amortization'!$H$480,$C105&lt;='TIF Loan Amortization'!$I$480),'TIF Loan Amortization'!$G$480,IF(AND($C105&gt;='TIF Loan Amortization'!$H$481,$C105&lt;='TIF Loan Amortization'!I$481),'TIF Loan Amortization'!$G$481,IF(AND($C105&gt;='TIF Loan Amortization'!$H$482,$C105&lt;='TIF Loan Amortization'!I$482),'TIF Loan Amortization'!$G$482,IF(AND($C105&gt;='TIF Loan Amortization'!$H$483,$C105&lt;='TIF Loan Amortization'!I$483),'TIF Loan Amortization'!$G$483,IF(AND($C105&gt;='TIF Loan Amortization'!$H$484,$C105&lt;='TIF Loan Amortization'!I$484),'TIF Loan Amortization'!$G$484,IF(AND($C105&gt;='TIF Loan Amortization'!$H$485,$C105&lt;='TIF Loan Amortization'!I$485),'TIF Loan Amortization'!$G$485,IF(AND($C105&gt;='TIF Loan Amortization'!$H$486,$C105&lt;='TIF Loan Amortization'!I$486),'TIF Loan Amortization'!$G$486,IF(AND($C105&gt;='TIF Loan Amortization'!$H$487,$C105&lt;='TIF Loan Amortization'!I$487),'TIF Loan Amortization'!$G$487,IF(AND($C105&gt;='TIF Loan Amortization'!$H$488,$C105&lt;='TIF Loan Amortization'!I$488),'TIF Loan Amortization'!$G$488,IF(AND($C105&gt;='TIF Loan Amortization'!$H$489,$C105&lt;='TIF Loan Amortization'!I$489),'TIF Loan Amortization'!$G$489,IF(AND($C105&gt;='TIF Loan Amortization'!$H$490,$C105&lt;='TIF Loan Amortization'!I$490),'TIF Loan Amortization'!$G$490,IF(AND($C105&gt;='TIF Loan Amortization'!$H$491,$C105&lt;='TIF Loan Amortization'!I$491),'TIF Loan Amortization'!$G$491,IF(AND($C105&gt;='TIF Loan Amortization'!$H$492,$C105&lt;='TIF Loan Amortization'!I$492),'TIF Loan Amortization'!$G$492,IF(AND($C105&gt;='TIF Loan Amortization'!$H$493,$C105&lt;='TIF Loan Amortization'!I$493),'TIF Loan Amortization'!$G$493,IF(AND($C105&gt;='TIF Loan Amortization'!$H$494,$C105&lt;='TIF Loan Amortization'!I$494),'TIF Loan Amortization'!$G$494,IF(AND($C105&gt;='TIF Loan Amortization'!$H$495,$C105&lt;='TIF Loan Amortization'!I$495),'TIF Loan Amortization'!$G$495,IF(AND($C105&gt;='TIF Loan Amortization'!$H$496,$C105&lt;='TIF Loan Amortization'!I$496),'TIF Loan Amortization'!$G$496,IF(AND($C105&gt;='TIF Loan Amortization'!$H$497,$C105&lt;='TIF Loan Amortization'!I$497),'TIF Loan Amortization'!$G$497,IF(AND($C105&gt;='TIF Loan Amortization'!$H$498,$C105&lt;='TIF Loan Amortization'!I$498),'TIF Loan Amortization'!$G$498,IF(AND($C105&gt;='TIF Loan Amortization'!$H$499,$C105&lt;='TIF Loan Amortization'!I$499),'TIF Loan Amortization'!$G$499,IF(AND($C105&gt;='TIF Loan Amortization'!$H$500,$C105&lt;='TIF Loan Amortization'!I$500),'TIF Loan Amortization'!$G$500,IF(AND($C105&gt;='TIF Loan Amortization'!$H$501,$C105&lt;='TIF Loan Amortization'!I$501),'TIF Loan Amortization'!$G$501,IF(AND($C105&gt;='TIF Loan Amortization'!$H$502,$C105&lt;='TIF Loan Amortization'!I$502),'TIF Loan Amortization'!$G$502,IF(AND($C105&gt;='TIF Loan Amortization'!$H$503,$C105&lt;='TIF Loan Amortization'!I$503),'TIF Loan Amortization'!$G$503,IF(AND($C105&gt;='TIF Loan Amortization'!$H$504,$C105&lt;='TIF Loan Amortization'!I$504),'TIF Loan Amortization'!$G$504,IF(AND($C105&gt;='TIF Loan Amortization'!$H$505,$C105&lt;='TIF Loan Amortization'!I$505),'TIF Loan Amortization'!$G$505,IF(AND($C105&gt;='TIF Loan Amortization'!$H$506,$C105&lt;='TIF Loan Amortization'!I$506),'TIF Loan Amortization'!$G$506,IF(AND($C105&gt;='TIF Loan Amortization'!$H$507,$C105&lt;='TIF Loan Amortization'!I$507),'TIF Loan Amortization'!$G$507,IF(AND($C105&gt;='TIF Loan Amortization'!$H$508,$C105&lt;='TIF Loan Amortization'!I$508),'TIF Loan Amortization'!$G$508,IF(AND($C105&gt;='TIF Loan Amortization'!$H$509,$C105&lt;='TIF Loan Amortization'!I$509),'TIF Loan Amortization'!$G$509,IF(AND($C105&gt;='TIF Loan Amortization'!$H$510,$C105&lt;='TIF Loan Amortization'!I$510),'TIF Loan Amortization'!$G$510,IF(AND($C105&gt;='TIF Loan Amortization'!$H$511,$C105&lt;='TIF Loan Amortization'!I$511),'TIF Loan Amortization'!$G$511,IF(AND($C105&gt;='TIF Loan Amortization'!$H$512,$C105&lt;='TIF Loan Amortization'!I$512),'TIF Loan Amortization'!$G$512,IF(AND($C105&gt;='TIF Loan Amortization'!$H$513,$C105&lt;='TIF Loan Amortization'!I$513),'TIF Loan Amortization'!$G$513,IF(AND($C105&gt;='TIF Loan Amortization'!$H$514,$C105&lt;='TIF Loan Amortization'!I$514),'TIF Loan Amortization'!$G$514,IF(AND($C105&gt;='TIF Loan Amortization'!$H$515,$C105&lt;='TIF Loan Amortization'!I$515),'TIF Loan Amortization'!$G$515,IF(AND($C105&gt;='TIF Loan Amortization'!$H$516,$C105&lt;='TIF Loan Amortization'!I$516),'TIF Loan Amortization'!$G$516,IF(AND($C105&gt;='TIF Loan Amortization'!$H$517,$C105&lt;='TIF Loan Amortization'!I$517),'TIF Loan Amortization'!$G$517,IF(AND($C105&gt;='TIF Loan Amortization'!$H$518,$C105&lt;='TIF Loan Amortization'!I$518),'TIF Loan Amortization'!$G$518,IF(AND($C105&gt;='TIF Loan Amortization'!$H$519,$C105&lt;='TIF Loan Amortization'!I$519),'TIF Loan Amortization'!$G$519))))))))))))))))))))))))))))))))))))))))</f>
        <v>#N/A</v>
      </c>
      <c r="C105" s="269" t="e">
        <f t="shared" si="16"/>
        <v>#N/A</v>
      </c>
      <c r="D105" s="281" t="str">
        <f>IF($AG$429=1,$H$10+5,"")</f>
        <v/>
      </c>
      <c r="E105" s="274">
        <v>55</v>
      </c>
      <c r="F105" s="275" t="str">
        <f>VLOOKUP($AG$429,$AE$422:$AF$433,2)</f>
        <v>Oct</v>
      </c>
      <c r="G105" s="272">
        <f t="shared" si="17"/>
        <v>0</v>
      </c>
      <c r="H105" s="272">
        <f t="shared" si="20"/>
        <v>0</v>
      </c>
      <c r="I105" s="272">
        <f t="shared" si="21"/>
        <v>0</v>
      </c>
      <c r="J105" s="272">
        <f t="shared" si="19"/>
        <v>0</v>
      </c>
      <c r="K105" s="272">
        <f>IF(ISTEXT($M$4),"",SUM(I$50:I105))</f>
        <v>0</v>
      </c>
      <c r="L105" s="272">
        <f>IF(ISTEXT($M$4),"",SUM(J$50:J105))</f>
        <v>0</v>
      </c>
      <c r="M105" s="271">
        <f t="shared" si="18"/>
        <v>0</v>
      </c>
      <c r="N105" s="291" t="e">
        <f>IF(C105='Operating Assumptions'!$C$48,"Construction Finish","")</f>
        <v>#N/A</v>
      </c>
      <c r="O105" s="291"/>
      <c r="P105" s="291"/>
      <c r="Q105" s="291"/>
      <c r="R105" s="291"/>
      <c r="S105" s="291"/>
      <c r="T105" s="291"/>
      <c r="U105" s="291"/>
      <c r="V105" s="292"/>
      <c r="W105" s="292"/>
      <c r="X105" s="292"/>
      <c r="Y105" s="291"/>
      <c r="Z105" s="279"/>
      <c r="AA105" s="279"/>
      <c r="AB105" s="279"/>
    </row>
    <row r="106" spans="2:28" s="278" customFormat="1" ht="11.65" hidden="1" customHeight="1" outlineLevel="1" x14ac:dyDescent="0.25">
      <c r="B106" s="270" t="e">
        <f>IF(AND($C106&gt;='TIF Loan Amortization'!$H$480,$C106&lt;='TIF Loan Amortization'!$I$480),'TIF Loan Amortization'!$G$480,IF(AND($C106&gt;='TIF Loan Amortization'!$H$481,$C106&lt;='TIF Loan Amortization'!I$481),'TIF Loan Amortization'!$G$481,IF(AND($C106&gt;='TIF Loan Amortization'!$H$482,$C106&lt;='TIF Loan Amortization'!I$482),'TIF Loan Amortization'!$G$482,IF(AND($C106&gt;='TIF Loan Amortization'!$H$483,$C106&lt;='TIF Loan Amortization'!I$483),'TIF Loan Amortization'!$G$483,IF(AND($C106&gt;='TIF Loan Amortization'!$H$484,$C106&lt;='TIF Loan Amortization'!I$484),'TIF Loan Amortization'!$G$484,IF(AND($C106&gt;='TIF Loan Amortization'!$H$485,$C106&lt;='TIF Loan Amortization'!I$485),'TIF Loan Amortization'!$G$485,IF(AND($C106&gt;='TIF Loan Amortization'!$H$486,$C106&lt;='TIF Loan Amortization'!I$486),'TIF Loan Amortization'!$G$486,IF(AND($C106&gt;='TIF Loan Amortization'!$H$487,$C106&lt;='TIF Loan Amortization'!I$487),'TIF Loan Amortization'!$G$487,IF(AND($C106&gt;='TIF Loan Amortization'!$H$488,$C106&lt;='TIF Loan Amortization'!I$488),'TIF Loan Amortization'!$G$488,IF(AND($C106&gt;='TIF Loan Amortization'!$H$489,$C106&lt;='TIF Loan Amortization'!I$489),'TIF Loan Amortization'!$G$489,IF(AND($C106&gt;='TIF Loan Amortization'!$H$490,$C106&lt;='TIF Loan Amortization'!I$490),'TIF Loan Amortization'!$G$490,IF(AND($C106&gt;='TIF Loan Amortization'!$H$491,$C106&lt;='TIF Loan Amortization'!I$491),'TIF Loan Amortization'!$G$491,IF(AND($C106&gt;='TIF Loan Amortization'!$H$492,$C106&lt;='TIF Loan Amortization'!I$492),'TIF Loan Amortization'!$G$492,IF(AND($C106&gt;='TIF Loan Amortization'!$H$493,$C106&lt;='TIF Loan Amortization'!I$493),'TIF Loan Amortization'!$G$493,IF(AND($C106&gt;='TIF Loan Amortization'!$H$494,$C106&lt;='TIF Loan Amortization'!I$494),'TIF Loan Amortization'!$G$494,IF(AND($C106&gt;='TIF Loan Amortization'!$H$495,$C106&lt;='TIF Loan Amortization'!I$495),'TIF Loan Amortization'!$G$495,IF(AND($C106&gt;='TIF Loan Amortization'!$H$496,$C106&lt;='TIF Loan Amortization'!I$496),'TIF Loan Amortization'!$G$496,IF(AND($C106&gt;='TIF Loan Amortization'!$H$497,$C106&lt;='TIF Loan Amortization'!I$497),'TIF Loan Amortization'!$G$497,IF(AND($C106&gt;='TIF Loan Amortization'!$H$498,$C106&lt;='TIF Loan Amortization'!I$498),'TIF Loan Amortization'!$G$498,IF(AND($C106&gt;='TIF Loan Amortization'!$H$499,$C106&lt;='TIF Loan Amortization'!I$499),'TIF Loan Amortization'!$G$499,IF(AND($C106&gt;='TIF Loan Amortization'!$H$500,$C106&lt;='TIF Loan Amortization'!I$500),'TIF Loan Amortization'!$G$500,IF(AND($C106&gt;='TIF Loan Amortization'!$H$501,$C106&lt;='TIF Loan Amortization'!I$501),'TIF Loan Amortization'!$G$501,IF(AND($C106&gt;='TIF Loan Amortization'!$H$502,$C106&lt;='TIF Loan Amortization'!I$502),'TIF Loan Amortization'!$G$502,IF(AND($C106&gt;='TIF Loan Amortization'!$H$503,$C106&lt;='TIF Loan Amortization'!I$503),'TIF Loan Amortization'!$G$503,IF(AND($C106&gt;='TIF Loan Amortization'!$H$504,$C106&lt;='TIF Loan Amortization'!I$504),'TIF Loan Amortization'!$G$504,IF(AND($C106&gt;='TIF Loan Amortization'!$H$505,$C106&lt;='TIF Loan Amortization'!I$505),'TIF Loan Amortization'!$G$505,IF(AND($C106&gt;='TIF Loan Amortization'!$H$506,$C106&lt;='TIF Loan Amortization'!I$506),'TIF Loan Amortization'!$G$506,IF(AND($C106&gt;='TIF Loan Amortization'!$H$507,$C106&lt;='TIF Loan Amortization'!I$507),'TIF Loan Amortization'!$G$507,IF(AND($C106&gt;='TIF Loan Amortization'!$H$508,$C106&lt;='TIF Loan Amortization'!I$508),'TIF Loan Amortization'!$G$508,IF(AND($C106&gt;='TIF Loan Amortization'!$H$509,$C106&lt;='TIF Loan Amortization'!I$509),'TIF Loan Amortization'!$G$509,IF(AND($C106&gt;='TIF Loan Amortization'!$H$510,$C106&lt;='TIF Loan Amortization'!I$510),'TIF Loan Amortization'!$G$510,IF(AND($C106&gt;='TIF Loan Amortization'!$H$511,$C106&lt;='TIF Loan Amortization'!I$511),'TIF Loan Amortization'!$G$511,IF(AND($C106&gt;='TIF Loan Amortization'!$H$512,$C106&lt;='TIF Loan Amortization'!I$512),'TIF Loan Amortization'!$G$512,IF(AND($C106&gt;='TIF Loan Amortization'!$H$513,$C106&lt;='TIF Loan Amortization'!I$513),'TIF Loan Amortization'!$G$513,IF(AND($C106&gt;='TIF Loan Amortization'!$H$514,$C106&lt;='TIF Loan Amortization'!I$514),'TIF Loan Amortization'!$G$514,IF(AND($C106&gt;='TIF Loan Amortization'!$H$515,$C106&lt;='TIF Loan Amortization'!I$515),'TIF Loan Amortization'!$G$515,IF(AND($C106&gt;='TIF Loan Amortization'!$H$516,$C106&lt;='TIF Loan Amortization'!I$516),'TIF Loan Amortization'!$G$516,IF(AND($C106&gt;='TIF Loan Amortization'!$H$517,$C106&lt;='TIF Loan Amortization'!I$517),'TIF Loan Amortization'!$G$517,IF(AND($C106&gt;='TIF Loan Amortization'!$H$518,$C106&lt;='TIF Loan Amortization'!I$518),'TIF Loan Amortization'!$G$518,IF(AND($C106&gt;='TIF Loan Amortization'!$H$519,$C106&lt;='TIF Loan Amortization'!I$519),'TIF Loan Amortization'!$G$519))))))))))))))))))))))))))))))))))))))))</f>
        <v>#N/A</v>
      </c>
      <c r="C106" s="269" t="e">
        <f t="shared" si="16"/>
        <v>#N/A</v>
      </c>
      <c r="D106" s="281" t="str">
        <f>IF($AG$430=1,$H$10+5,"")</f>
        <v/>
      </c>
      <c r="E106" s="274">
        <v>56</v>
      </c>
      <c r="F106" s="275" t="str">
        <f>VLOOKUP($AG$430,$AE$422:$AF$433,2)</f>
        <v>Nov</v>
      </c>
      <c r="G106" s="272">
        <f t="shared" si="17"/>
        <v>0</v>
      </c>
      <c r="H106" s="272">
        <f t="shared" si="20"/>
        <v>0</v>
      </c>
      <c r="I106" s="272">
        <f t="shared" si="21"/>
        <v>0</v>
      </c>
      <c r="J106" s="272">
        <f t="shared" si="19"/>
        <v>0</v>
      </c>
      <c r="K106" s="272">
        <f>IF(ISTEXT($M$4),"",SUM(I$50:I106))</f>
        <v>0</v>
      </c>
      <c r="L106" s="272">
        <f>IF(ISTEXT($M$4),"",SUM(J$50:J106))</f>
        <v>0</v>
      </c>
      <c r="M106" s="271">
        <f t="shared" si="18"/>
        <v>0</v>
      </c>
      <c r="N106" s="291" t="e">
        <f>IF(C106='Operating Assumptions'!$C$48,"Construction Finish","")</f>
        <v>#N/A</v>
      </c>
      <c r="O106" s="291"/>
      <c r="P106" s="291"/>
      <c r="Q106" s="291"/>
      <c r="R106" s="291"/>
      <c r="S106" s="291"/>
      <c r="T106" s="291"/>
      <c r="U106" s="291"/>
      <c r="V106" s="292"/>
      <c r="W106" s="292"/>
      <c r="X106" s="292"/>
      <c r="Y106" s="291"/>
      <c r="Z106" s="279"/>
      <c r="AA106" s="279"/>
      <c r="AB106" s="279"/>
    </row>
    <row r="107" spans="2:28" s="278" customFormat="1" ht="11.65" hidden="1" customHeight="1" outlineLevel="1" x14ac:dyDescent="0.25">
      <c r="B107" s="270" t="e">
        <f>IF(AND($C107&gt;='TIF Loan Amortization'!$H$480,$C107&lt;='TIF Loan Amortization'!$I$480),'TIF Loan Amortization'!$G$480,IF(AND($C107&gt;='TIF Loan Amortization'!$H$481,$C107&lt;='TIF Loan Amortization'!I$481),'TIF Loan Amortization'!$G$481,IF(AND($C107&gt;='TIF Loan Amortization'!$H$482,$C107&lt;='TIF Loan Amortization'!I$482),'TIF Loan Amortization'!$G$482,IF(AND($C107&gt;='TIF Loan Amortization'!$H$483,$C107&lt;='TIF Loan Amortization'!I$483),'TIF Loan Amortization'!$G$483,IF(AND($C107&gt;='TIF Loan Amortization'!$H$484,$C107&lt;='TIF Loan Amortization'!I$484),'TIF Loan Amortization'!$G$484,IF(AND($C107&gt;='TIF Loan Amortization'!$H$485,$C107&lt;='TIF Loan Amortization'!I$485),'TIF Loan Amortization'!$G$485,IF(AND($C107&gt;='TIF Loan Amortization'!$H$486,$C107&lt;='TIF Loan Amortization'!I$486),'TIF Loan Amortization'!$G$486,IF(AND($C107&gt;='TIF Loan Amortization'!$H$487,$C107&lt;='TIF Loan Amortization'!I$487),'TIF Loan Amortization'!$G$487,IF(AND($C107&gt;='TIF Loan Amortization'!$H$488,$C107&lt;='TIF Loan Amortization'!I$488),'TIF Loan Amortization'!$G$488,IF(AND($C107&gt;='TIF Loan Amortization'!$H$489,$C107&lt;='TIF Loan Amortization'!I$489),'TIF Loan Amortization'!$G$489,IF(AND($C107&gt;='TIF Loan Amortization'!$H$490,$C107&lt;='TIF Loan Amortization'!I$490),'TIF Loan Amortization'!$G$490,IF(AND($C107&gt;='TIF Loan Amortization'!$H$491,$C107&lt;='TIF Loan Amortization'!I$491),'TIF Loan Amortization'!$G$491,IF(AND($C107&gt;='TIF Loan Amortization'!$H$492,$C107&lt;='TIF Loan Amortization'!I$492),'TIF Loan Amortization'!$G$492,IF(AND($C107&gt;='TIF Loan Amortization'!$H$493,$C107&lt;='TIF Loan Amortization'!I$493),'TIF Loan Amortization'!$G$493,IF(AND($C107&gt;='TIF Loan Amortization'!$H$494,$C107&lt;='TIF Loan Amortization'!I$494),'TIF Loan Amortization'!$G$494,IF(AND($C107&gt;='TIF Loan Amortization'!$H$495,$C107&lt;='TIF Loan Amortization'!I$495),'TIF Loan Amortization'!$G$495,IF(AND($C107&gt;='TIF Loan Amortization'!$H$496,$C107&lt;='TIF Loan Amortization'!I$496),'TIF Loan Amortization'!$G$496,IF(AND($C107&gt;='TIF Loan Amortization'!$H$497,$C107&lt;='TIF Loan Amortization'!I$497),'TIF Loan Amortization'!$G$497,IF(AND($C107&gt;='TIF Loan Amortization'!$H$498,$C107&lt;='TIF Loan Amortization'!I$498),'TIF Loan Amortization'!$G$498,IF(AND($C107&gt;='TIF Loan Amortization'!$H$499,$C107&lt;='TIF Loan Amortization'!I$499),'TIF Loan Amortization'!$G$499,IF(AND($C107&gt;='TIF Loan Amortization'!$H$500,$C107&lt;='TIF Loan Amortization'!I$500),'TIF Loan Amortization'!$G$500,IF(AND($C107&gt;='TIF Loan Amortization'!$H$501,$C107&lt;='TIF Loan Amortization'!I$501),'TIF Loan Amortization'!$G$501,IF(AND($C107&gt;='TIF Loan Amortization'!$H$502,$C107&lt;='TIF Loan Amortization'!I$502),'TIF Loan Amortization'!$G$502,IF(AND($C107&gt;='TIF Loan Amortization'!$H$503,$C107&lt;='TIF Loan Amortization'!I$503),'TIF Loan Amortization'!$G$503,IF(AND($C107&gt;='TIF Loan Amortization'!$H$504,$C107&lt;='TIF Loan Amortization'!I$504),'TIF Loan Amortization'!$G$504,IF(AND($C107&gt;='TIF Loan Amortization'!$H$505,$C107&lt;='TIF Loan Amortization'!I$505),'TIF Loan Amortization'!$G$505,IF(AND($C107&gt;='TIF Loan Amortization'!$H$506,$C107&lt;='TIF Loan Amortization'!I$506),'TIF Loan Amortization'!$G$506,IF(AND($C107&gt;='TIF Loan Amortization'!$H$507,$C107&lt;='TIF Loan Amortization'!I$507),'TIF Loan Amortization'!$G$507,IF(AND($C107&gt;='TIF Loan Amortization'!$H$508,$C107&lt;='TIF Loan Amortization'!I$508),'TIF Loan Amortization'!$G$508,IF(AND($C107&gt;='TIF Loan Amortization'!$H$509,$C107&lt;='TIF Loan Amortization'!I$509),'TIF Loan Amortization'!$G$509,IF(AND($C107&gt;='TIF Loan Amortization'!$H$510,$C107&lt;='TIF Loan Amortization'!I$510),'TIF Loan Amortization'!$G$510,IF(AND($C107&gt;='TIF Loan Amortization'!$H$511,$C107&lt;='TIF Loan Amortization'!I$511),'TIF Loan Amortization'!$G$511,IF(AND($C107&gt;='TIF Loan Amortization'!$H$512,$C107&lt;='TIF Loan Amortization'!I$512),'TIF Loan Amortization'!$G$512,IF(AND($C107&gt;='TIF Loan Amortization'!$H$513,$C107&lt;='TIF Loan Amortization'!I$513),'TIF Loan Amortization'!$G$513,IF(AND($C107&gt;='TIF Loan Amortization'!$H$514,$C107&lt;='TIF Loan Amortization'!I$514),'TIF Loan Amortization'!$G$514,IF(AND($C107&gt;='TIF Loan Amortization'!$H$515,$C107&lt;='TIF Loan Amortization'!I$515),'TIF Loan Amortization'!$G$515,IF(AND($C107&gt;='TIF Loan Amortization'!$H$516,$C107&lt;='TIF Loan Amortization'!I$516),'TIF Loan Amortization'!$G$516,IF(AND($C107&gt;='TIF Loan Amortization'!$H$517,$C107&lt;='TIF Loan Amortization'!I$517),'TIF Loan Amortization'!$G$517,IF(AND($C107&gt;='TIF Loan Amortization'!$H$518,$C107&lt;='TIF Loan Amortization'!I$518),'TIF Loan Amortization'!$G$518,IF(AND($C107&gt;='TIF Loan Amortization'!$H$519,$C107&lt;='TIF Loan Amortization'!I$519),'TIF Loan Amortization'!$G$519))))))))))))))))))))))))))))))))))))))))</f>
        <v>#N/A</v>
      </c>
      <c r="C107" s="269" t="e">
        <f t="shared" si="16"/>
        <v>#N/A</v>
      </c>
      <c r="D107" s="281" t="str">
        <f>IF($AG$431=1,$H$10+5,"")</f>
        <v/>
      </c>
      <c r="E107" s="274">
        <v>57</v>
      </c>
      <c r="F107" s="275" t="str">
        <f>VLOOKUP($AG$431,$AE$422:$AF$433,2)</f>
        <v>Dec</v>
      </c>
      <c r="G107" s="272">
        <f t="shared" si="17"/>
        <v>0</v>
      </c>
      <c r="H107" s="272">
        <f t="shared" si="20"/>
        <v>0</v>
      </c>
      <c r="I107" s="272">
        <f t="shared" si="21"/>
        <v>0</v>
      </c>
      <c r="J107" s="272">
        <f t="shared" si="19"/>
        <v>0</v>
      </c>
      <c r="K107" s="272">
        <f>IF(ISTEXT($M$4),"",SUM(I$50:I107))</f>
        <v>0</v>
      </c>
      <c r="L107" s="272">
        <f>IF(ISTEXT($M$4),"",SUM(J$50:J107))</f>
        <v>0</v>
      </c>
      <c r="M107" s="271">
        <f t="shared" si="18"/>
        <v>0</v>
      </c>
      <c r="N107" s="291" t="e">
        <f>IF(C107='Operating Assumptions'!$C$48,"Construction Finish","")</f>
        <v>#N/A</v>
      </c>
      <c r="O107" s="291"/>
      <c r="P107" s="291"/>
      <c r="Q107" s="291"/>
      <c r="R107" s="291"/>
      <c r="S107" s="291"/>
      <c r="T107" s="291"/>
      <c r="U107" s="291"/>
      <c r="V107" s="292"/>
      <c r="W107" s="292"/>
      <c r="X107" s="292"/>
      <c r="Y107" s="291"/>
      <c r="Z107" s="279"/>
      <c r="AA107" s="279"/>
      <c r="AB107" s="279"/>
    </row>
    <row r="108" spans="2:28" s="278" customFormat="1" ht="11.65" hidden="1" customHeight="1" outlineLevel="1" x14ac:dyDescent="0.25">
      <c r="B108" s="270" t="e">
        <f>IF(AND($C108&gt;='TIF Loan Amortization'!$H$480,$C108&lt;='TIF Loan Amortization'!$I$480),'TIF Loan Amortization'!$G$480,IF(AND($C108&gt;='TIF Loan Amortization'!$H$481,$C108&lt;='TIF Loan Amortization'!I$481),'TIF Loan Amortization'!$G$481,IF(AND($C108&gt;='TIF Loan Amortization'!$H$482,$C108&lt;='TIF Loan Amortization'!I$482),'TIF Loan Amortization'!$G$482,IF(AND($C108&gt;='TIF Loan Amortization'!$H$483,$C108&lt;='TIF Loan Amortization'!I$483),'TIF Loan Amortization'!$G$483,IF(AND($C108&gt;='TIF Loan Amortization'!$H$484,$C108&lt;='TIF Loan Amortization'!I$484),'TIF Loan Amortization'!$G$484,IF(AND($C108&gt;='TIF Loan Amortization'!$H$485,$C108&lt;='TIF Loan Amortization'!I$485),'TIF Loan Amortization'!$G$485,IF(AND($C108&gt;='TIF Loan Amortization'!$H$486,$C108&lt;='TIF Loan Amortization'!I$486),'TIF Loan Amortization'!$G$486,IF(AND($C108&gt;='TIF Loan Amortization'!$H$487,$C108&lt;='TIF Loan Amortization'!I$487),'TIF Loan Amortization'!$G$487,IF(AND($C108&gt;='TIF Loan Amortization'!$H$488,$C108&lt;='TIF Loan Amortization'!I$488),'TIF Loan Amortization'!$G$488,IF(AND($C108&gt;='TIF Loan Amortization'!$H$489,$C108&lt;='TIF Loan Amortization'!I$489),'TIF Loan Amortization'!$G$489,IF(AND($C108&gt;='TIF Loan Amortization'!$H$490,$C108&lt;='TIF Loan Amortization'!I$490),'TIF Loan Amortization'!$G$490,IF(AND($C108&gt;='TIF Loan Amortization'!$H$491,$C108&lt;='TIF Loan Amortization'!I$491),'TIF Loan Amortization'!$G$491,IF(AND($C108&gt;='TIF Loan Amortization'!$H$492,$C108&lt;='TIF Loan Amortization'!I$492),'TIF Loan Amortization'!$G$492,IF(AND($C108&gt;='TIF Loan Amortization'!$H$493,$C108&lt;='TIF Loan Amortization'!I$493),'TIF Loan Amortization'!$G$493,IF(AND($C108&gt;='TIF Loan Amortization'!$H$494,$C108&lt;='TIF Loan Amortization'!I$494),'TIF Loan Amortization'!$G$494,IF(AND($C108&gt;='TIF Loan Amortization'!$H$495,$C108&lt;='TIF Loan Amortization'!I$495),'TIF Loan Amortization'!$G$495,IF(AND($C108&gt;='TIF Loan Amortization'!$H$496,$C108&lt;='TIF Loan Amortization'!I$496),'TIF Loan Amortization'!$G$496,IF(AND($C108&gt;='TIF Loan Amortization'!$H$497,$C108&lt;='TIF Loan Amortization'!I$497),'TIF Loan Amortization'!$G$497,IF(AND($C108&gt;='TIF Loan Amortization'!$H$498,$C108&lt;='TIF Loan Amortization'!I$498),'TIF Loan Amortization'!$G$498,IF(AND($C108&gt;='TIF Loan Amortization'!$H$499,$C108&lt;='TIF Loan Amortization'!I$499),'TIF Loan Amortization'!$G$499,IF(AND($C108&gt;='TIF Loan Amortization'!$H$500,$C108&lt;='TIF Loan Amortization'!I$500),'TIF Loan Amortization'!$G$500,IF(AND($C108&gt;='TIF Loan Amortization'!$H$501,$C108&lt;='TIF Loan Amortization'!I$501),'TIF Loan Amortization'!$G$501,IF(AND($C108&gt;='TIF Loan Amortization'!$H$502,$C108&lt;='TIF Loan Amortization'!I$502),'TIF Loan Amortization'!$G$502,IF(AND($C108&gt;='TIF Loan Amortization'!$H$503,$C108&lt;='TIF Loan Amortization'!I$503),'TIF Loan Amortization'!$G$503,IF(AND($C108&gt;='TIF Loan Amortization'!$H$504,$C108&lt;='TIF Loan Amortization'!I$504),'TIF Loan Amortization'!$G$504,IF(AND($C108&gt;='TIF Loan Amortization'!$H$505,$C108&lt;='TIF Loan Amortization'!I$505),'TIF Loan Amortization'!$G$505,IF(AND($C108&gt;='TIF Loan Amortization'!$H$506,$C108&lt;='TIF Loan Amortization'!I$506),'TIF Loan Amortization'!$G$506,IF(AND($C108&gt;='TIF Loan Amortization'!$H$507,$C108&lt;='TIF Loan Amortization'!I$507),'TIF Loan Amortization'!$G$507,IF(AND($C108&gt;='TIF Loan Amortization'!$H$508,$C108&lt;='TIF Loan Amortization'!I$508),'TIF Loan Amortization'!$G$508,IF(AND($C108&gt;='TIF Loan Amortization'!$H$509,$C108&lt;='TIF Loan Amortization'!I$509),'TIF Loan Amortization'!$G$509,IF(AND($C108&gt;='TIF Loan Amortization'!$H$510,$C108&lt;='TIF Loan Amortization'!I$510),'TIF Loan Amortization'!$G$510,IF(AND($C108&gt;='TIF Loan Amortization'!$H$511,$C108&lt;='TIF Loan Amortization'!I$511),'TIF Loan Amortization'!$G$511,IF(AND($C108&gt;='TIF Loan Amortization'!$H$512,$C108&lt;='TIF Loan Amortization'!I$512),'TIF Loan Amortization'!$G$512,IF(AND($C108&gt;='TIF Loan Amortization'!$H$513,$C108&lt;='TIF Loan Amortization'!I$513),'TIF Loan Amortization'!$G$513,IF(AND($C108&gt;='TIF Loan Amortization'!$H$514,$C108&lt;='TIF Loan Amortization'!I$514),'TIF Loan Amortization'!$G$514,IF(AND($C108&gt;='TIF Loan Amortization'!$H$515,$C108&lt;='TIF Loan Amortization'!I$515),'TIF Loan Amortization'!$G$515,IF(AND($C108&gt;='TIF Loan Amortization'!$H$516,$C108&lt;='TIF Loan Amortization'!I$516),'TIF Loan Amortization'!$G$516,IF(AND($C108&gt;='TIF Loan Amortization'!$H$517,$C108&lt;='TIF Loan Amortization'!I$517),'TIF Loan Amortization'!$G$517,IF(AND($C108&gt;='TIF Loan Amortization'!$H$518,$C108&lt;='TIF Loan Amortization'!I$518),'TIF Loan Amortization'!$G$518,IF(AND($C108&gt;='TIF Loan Amortization'!$H$519,$C108&lt;='TIF Loan Amortization'!I$519),'TIF Loan Amortization'!$G$519))))))))))))))))))))))))))))))))))))))))</f>
        <v>#N/A</v>
      </c>
      <c r="C108" s="269" t="e">
        <f t="shared" si="16"/>
        <v>#N/A</v>
      </c>
      <c r="D108" s="281">
        <f>IF($AG$432=1,$H$10+5,"")</f>
        <v>2030</v>
      </c>
      <c r="E108" s="274">
        <v>58</v>
      </c>
      <c r="F108" s="273" t="str">
        <f>VLOOKUP($AG$432,$AE$422:$AF$433,2)</f>
        <v>Jan</v>
      </c>
      <c r="G108" s="272">
        <f t="shared" si="17"/>
        <v>0</v>
      </c>
      <c r="H108" s="272">
        <f t="shared" si="20"/>
        <v>0</v>
      </c>
      <c r="I108" s="272">
        <f t="shared" si="21"/>
        <v>0</v>
      </c>
      <c r="J108" s="272">
        <f t="shared" si="19"/>
        <v>0</v>
      </c>
      <c r="K108" s="272">
        <f>IF(ISTEXT($M$4),"",SUM(I$50:I108))</f>
        <v>0</v>
      </c>
      <c r="L108" s="272">
        <f>IF(ISTEXT($M$4),"",SUM(J$50:J108))</f>
        <v>0</v>
      </c>
      <c r="M108" s="271">
        <f t="shared" si="18"/>
        <v>0</v>
      </c>
      <c r="N108" s="291" t="e">
        <f>IF(C108='Operating Assumptions'!$C$48,"Construction Finish","")</f>
        <v>#N/A</v>
      </c>
      <c r="O108" s="291"/>
      <c r="P108" s="291"/>
      <c r="Q108" s="291"/>
      <c r="R108" s="291"/>
      <c r="S108" s="291"/>
      <c r="T108" s="291"/>
      <c r="U108" s="291"/>
      <c r="V108" s="292"/>
      <c r="W108" s="292"/>
      <c r="X108" s="292"/>
      <c r="Y108" s="291"/>
      <c r="Z108" s="279"/>
      <c r="AA108" s="279"/>
      <c r="AB108" s="279"/>
    </row>
    <row r="109" spans="2:28" s="278" customFormat="1" ht="11.65" hidden="1" customHeight="1" outlineLevel="1" x14ac:dyDescent="0.25">
      <c r="B109" s="270" t="e">
        <f>IF(AND($C109&gt;='TIF Loan Amortization'!$H$480,$C109&lt;='TIF Loan Amortization'!$I$480),'TIF Loan Amortization'!$G$480,IF(AND($C109&gt;='TIF Loan Amortization'!$H$481,$C109&lt;='TIF Loan Amortization'!I$481),'TIF Loan Amortization'!$G$481,IF(AND($C109&gt;='TIF Loan Amortization'!$H$482,$C109&lt;='TIF Loan Amortization'!I$482),'TIF Loan Amortization'!$G$482,IF(AND($C109&gt;='TIF Loan Amortization'!$H$483,$C109&lt;='TIF Loan Amortization'!I$483),'TIF Loan Amortization'!$G$483,IF(AND($C109&gt;='TIF Loan Amortization'!$H$484,$C109&lt;='TIF Loan Amortization'!I$484),'TIF Loan Amortization'!$G$484,IF(AND($C109&gt;='TIF Loan Amortization'!$H$485,$C109&lt;='TIF Loan Amortization'!I$485),'TIF Loan Amortization'!$G$485,IF(AND($C109&gt;='TIF Loan Amortization'!$H$486,$C109&lt;='TIF Loan Amortization'!I$486),'TIF Loan Amortization'!$G$486,IF(AND($C109&gt;='TIF Loan Amortization'!$H$487,$C109&lt;='TIF Loan Amortization'!I$487),'TIF Loan Amortization'!$G$487,IF(AND($C109&gt;='TIF Loan Amortization'!$H$488,$C109&lt;='TIF Loan Amortization'!I$488),'TIF Loan Amortization'!$G$488,IF(AND($C109&gt;='TIF Loan Amortization'!$H$489,$C109&lt;='TIF Loan Amortization'!I$489),'TIF Loan Amortization'!$G$489,IF(AND($C109&gt;='TIF Loan Amortization'!$H$490,$C109&lt;='TIF Loan Amortization'!I$490),'TIF Loan Amortization'!$G$490,IF(AND($C109&gt;='TIF Loan Amortization'!$H$491,$C109&lt;='TIF Loan Amortization'!I$491),'TIF Loan Amortization'!$G$491,IF(AND($C109&gt;='TIF Loan Amortization'!$H$492,$C109&lt;='TIF Loan Amortization'!I$492),'TIF Loan Amortization'!$G$492,IF(AND($C109&gt;='TIF Loan Amortization'!$H$493,$C109&lt;='TIF Loan Amortization'!I$493),'TIF Loan Amortization'!$G$493,IF(AND($C109&gt;='TIF Loan Amortization'!$H$494,$C109&lt;='TIF Loan Amortization'!I$494),'TIF Loan Amortization'!$G$494,IF(AND($C109&gt;='TIF Loan Amortization'!$H$495,$C109&lt;='TIF Loan Amortization'!I$495),'TIF Loan Amortization'!$G$495,IF(AND($C109&gt;='TIF Loan Amortization'!$H$496,$C109&lt;='TIF Loan Amortization'!I$496),'TIF Loan Amortization'!$G$496,IF(AND($C109&gt;='TIF Loan Amortization'!$H$497,$C109&lt;='TIF Loan Amortization'!I$497),'TIF Loan Amortization'!$G$497,IF(AND($C109&gt;='TIF Loan Amortization'!$H$498,$C109&lt;='TIF Loan Amortization'!I$498),'TIF Loan Amortization'!$G$498,IF(AND($C109&gt;='TIF Loan Amortization'!$H$499,$C109&lt;='TIF Loan Amortization'!I$499),'TIF Loan Amortization'!$G$499,IF(AND($C109&gt;='TIF Loan Amortization'!$H$500,$C109&lt;='TIF Loan Amortization'!I$500),'TIF Loan Amortization'!$G$500,IF(AND($C109&gt;='TIF Loan Amortization'!$H$501,$C109&lt;='TIF Loan Amortization'!I$501),'TIF Loan Amortization'!$G$501,IF(AND($C109&gt;='TIF Loan Amortization'!$H$502,$C109&lt;='TIF Loan Amortization'!I$502),'TIF Loan Amortization'!$G$502,IF(AND($C109&gt;='TIF Loan Amortization'!$H$503,$C109&lt;='TIF Loan Amortization'!I$503),'TIF Loan Amortization'!$G$503,IF(AND($C109&gt;='TIF Loan Amortization'!$H$504,$C109&lt;='TIF Loan Amortization'!I$504),'TIF Loan Amortization'!$G$504,IF(AND($C109&gt;='TIF Loan Amortization'!$H$505,$C109&lt;='TIF Loan Amortization'!I$505),'TIF Loan Amortization'!$G$505,IF(AND($C109&gt;='TIF Loan Amortization'!$H$506,$C109&lt;='TIF Loan Amortization'!I$506),'TIF Loan Amortization'!$G$506,IF(AND($C109&gt;='TIF Loan Amortization'!$H$507,$C109&lt;='TIF Loan Amortization'!I$507),'TIF Loan Amortization'!$G$507,IF(AND($C109&gt;='TIF Loan Amortization'!$H$508,$C109&lt;='TIF Loan Amortization'!I$508),'TIF Loan Amortization'!$G$508,IF(AND($C109&gt;='TIF Loan Amortization'!$H$509,$C109&lt;='TIF Loan Amortization'!I$509),'TIF Loan Amortization'!$G$509,IF(AND($C109&gt;='TIF Loan Amortization'!$H$510,$C109&lt;='TIF Loan Amortization'!I$510),'TIF Loan Amortization'!$G$510,IF(AND($C109&gt;='TIF Loan Amortization'!$H$511,$C109&lt;='TIF Loan Amortization'!I$511),'TIF Loan Amortization'!$G$511,IF(AND($C109&gt;='TIF Loan Amortization'!$H$512,$C109&lt;='TIF Loan Amortization'!I$512),'TIF Loan Amortization'!$G$512,IF(AND($C109&gt;='TIF Loan Amortization'!$H$513,$C109&lt;='TIF Loan Amortization'!I$513),'TIF Loan Amortization'!$G$513,IF(AND($C109&gt;='TIF Loan Amortization'!$H$514,$C109&lt;='TIF Loan Amortization'!I$514),'TIF Loan Amortization'!$G$514,IF(AND($C109&gt;='TIF Loan Amortization'!$H$515,$C109&lt;='TIF Loan Amortization'!I$515),'TIF Loan Amortization'!$G$515,IF(AND($C109&gt;='TIF Loan Amortization'!$H$516,$C109&lt;='TIF Loan Amortization'!I$516),'TIF Loan Amortization'!$G$516,IF(AND($C109&gt;='TIF Loan Amortization'!$H$517,$C109&lt;='TIF Loan Amortization'!I$517),'TIF Loan Amortization'!$G$517,IF(AND($C109&gt;='TIF Loan Amortization'!$H$518,$C109&lt;='TIF Loan Amortization'!I$518),'TIF Loan Amortization'!$G$518,IF(AND($C109&gt;='TIF Loan Amortization'!$H$519,$C109&lt;='TIF Loan Amortization'!I$519),'TIF Loan Amortization'!$G$519))))))))))))))))))))))))))))))))))))))))</f>
        <v>#N/A</v>
      </c>
      <c r="C109" s="269" t="e">
        <f t="shared" si="16"/>
        <v>#N/A</v>
      </c>
      <c r="D109" s="281" t="str">
        <f>IF($AG$433=1,$H$10+5,"")</f>
        <v/>
      </c>
      <c r="E109" s="274">
        <v>59</v>
      </c>
      <c r="F109" s="273" t="str">
        <f>VLOOKUP($AG$433,$AE$422:$AF$433,2)</f>
        <v>Feb</v>
      </c>
      <c r="G109" s="272">
        <f t="shared" si="17"/>
        <v>0</v>
      </c>
      <c r="H109" s="272">
        <f t="shared" si="20"/>
        <v>0</v>
      </c>
      <c r="I109" s="272">
        <f t="shared" si="21"/>
        <v>0</v>
      </c>
      <c r="J109" s="272">
        <f t="shared" si="19"/>
        <v>0</v>
      </c>
      <c r="K109" s="272">
        <f>IF(ISTEXT($M$4),"",SUM(I$50:I109))</f>
        <v>0</v>
      </c>
      <c r="L109" s="272">
        <f>IF(ISTEXT($M$4),"",SUM(J$50:J109))</f>
        <v>0</v>
      </c>
      <c r="M109" s="271">
        <f t="shared" si="18"/>
        <v>0</v>
      </c>
      <c r="N109" s="291" t="e">
        <f>IF(C109='Operating Assumptions'!$C$48,"Construction Finish","")</f>
        <v>#N/A</v>
      </c>
      <c r="O109" s="291"/>
      <c r="P109" s="291"/>
      <c r="Q109" s="291"/>
      <c r="R109" s="291"/>
      <c r="S109" s="291"/>
      <c r="T109" s="291"/>
      <c r="U109" s="291"/>
      <c r="V109" s="292"/>
      <c r="W109" s="292"/>
      <c r="X109" s="292"/>
      <c r="Y109" s="291"/>
      <c r="Z109" s="279"/>
      <c r="AA109" s="279"/>
      <c r="AB109" s="279"/>
    </row>
    <row r="110" spans="2:28" s="278" customFormat="1" ht="11.65" hidden="1" customHeight="1" outlineLevel="1" x14ac:dyDescent="0.25">
      <c r="B110" s="270" t="e">
        <f>IF(AND($C110&gt;='TIF Loan Amortization'!$H$480,$C110&lt;='TIF Loan Amortization'!$I$480),'TIF Loan Amortization'!$G$480,IF(AND($C110&gt;='TIF Loan Amortization'!$H$481,$C110&lt;='TIF Loan Amortization'!I$481),'TIF Loan Amortization'!$G$481,IF(AND($C110&gt;='TIF Loan Amortization'!$H$482,$C110&lt;='TIF Loan Amortization'!I$482),'TIF Loan Amortization'!$G$482,IF(AND($C110&gt;='TIF Loan Amortization'!$H$483,$C110&lt;='TIF Loan Amortization'!I$483),'TIF Loan Amortization'!$G$483,IF(AND($C110&gt;='TIF Loan Amortization'!$H$484,$C110&lt;='TIF Loan Amortization'!I$484),'TIF Loan Amortization'!$G$484,IF(AND($C110&gt;='TIF Loan Amortization'!$H$485,$C110&lt;='TIF Loan Amortization'!I$485),'TIF Loan Amortization'!$G$485,IF(AND($C110&gt;='TIF Loan Amortization'!$H$486,$C110&lt;='TIF Loan Amortization'!I$486),'TIF Loan Amortization'!$G$486,IF(AND($C110&gt;='TIF Loan Amortization'!$H$487,$C110&lt;='TIF Loan Amortization'!I$487),'TIF Loan Amortization'!$G$487,IF(AND($C110&gt;='TIF Loan Amortization'!$H$488,$C110&lt;='TIF Loan Amortization'!I$488),'TIF Loan Amortization'!$G$488,IF(AND($C110&gt;='TIF Loan Amortization'!$H$489,$C110&lt;='TIF Loan Amortization'!I$489),'TIF Loan Amortization'!$G$489,IF(AND($C110&gt;='TIF Loan Amortization'!$H$490,$C110&lt;='TIF Loan Amortization'!I$490),'TIF Loan Amortization'!$G$490,IF(AND($C110&gt;='TIF Loan Amortization'!$H$491,$C110&lt;='TIF Loan Amortization'!I$491),'TIF Loan Amortization'!$G$491,IF(AND($C110&gt;='TIF Loan Amortization'!$H$492,$C110&lt;='TIF Loan Amortization'!I$492),'TIF Loan Amortization'!$G$492,IF(AND($C110&gt;='TIF Loan Amortization'!$H$493,$C110&lt;='TIF Loan Amortization'!I$493),'TIF Loan Amortization'!$G$493,IF(AND($C110&gt;='TIF Loan Amortization'!$H$494,$C110&lt;='TIF Loan Amortization'!I$494),'TIF Loan Amortization'!$G$494,IF(AND($C110&gt;='TIF Loan Amortization'!$H$495,$C110&lt;='TIF Loan Amortization'!I$495),'TIF Loan Amortization'!$G$495,IF(AND($C110&gt;='TIF Loan Amortization'!$H$496,$C110&lt;='TIF Loan Amortization'!I$496),'TIF Loan Amortization'!$G$496,IF(AND($C110&gt;='TIF Loan Amortization'!$H$497,$C110&lt;='TIF Loan Amortization'!I$497),'TIF Loan Amortization'!$G$497,IF(AND($C110&gt;='TIF Loan Amortization'!$H$498,$C110&lt;='TIF Loan Amortization'!I$498),'TIF Loan Amortization'!$G$498,IF(AND($C110&gt;='TIF Loan Amortization'!$H$499,$C110&lt;='TIF Loan Amortization'!I$499),'TIF Loan Amortization'!$G$499,IF(AND($C110&gt;='TIF Loan Amortization'!$H$500,$C110&lt;='TIF Loan Amortization'!I$500),'TIF Loan Amortization'!$G$500,IF(AND($C110&gt;='TIF Loan Amortization'!$H$501,$C110&lt;='TIF Loan Amortization'!I$501),'TIF Loan Amortization'!$G$501,IF(AND($C110&gt;='TIF Loan Amortization'!$H$502,$C110&lt;='TIF Loan Amortization'!I$502),'TIF Loan Amortization'!$G$502,IF(AND($C110&gt;='TIF Loan Amortization'!$H$503,$C110&lt;='TIF Loan Amortization'!I$503),'TIF Loan Amortization'!$G$503,IF(AND($C110&gt;='TIF Loan Amortization'!$H$504,$C110&lt;='TIF Loan Amortization'!I$504),'TIF Loan Amortization'!$G$504,IF(AND($C110&gt;='TIF Loan Amortization'!$H$505,$C110&lt;='TIF Loan Amortization'!I$505),'TIF Loan Amortization'!$G$505,IF(AND($C110&gt;='TIF Loan Amortization'!$H$506,$C110&lt;='TIF Loan Amortization'!I$506),'TIF Loan Amortization'!$G$506,IF(AND($C110&gt;='TIF Loan Amortization'!$H$507,$C110&lt;='TIF Loan Amortization'!I$507),'TIF Loan Amortization'!$G$507,IF(AND($C110&gt;='TIF Loan Amortization'!$H$508,$C110&lt;='TIF Loan Amortization'!I$508),'TIF Loan Amortization'!$G$508,IF(AND($C110&gt;='TIF Loan Amortization'!$H$509,$C110&lt;='TIF Loan Amortization'!I$509),'TIF Loan Amortization'!$G$509,IF(AND($C110&gt;='TIF Loan Amortization'!$H$510,$C110&lt;='TIF Loan Amortization'!I$510),'TIF Loan Amortization'!$G$510,IF(AND($C110&gt;='TIF Loan Amortization'!$H$511,$C110&lt;='TIF Loan Amortization'!I$511),'TIF Loan Amortization'!$G$511,IF(AND($C110&gt;='TIF Loan Amortization'!$H$512,$C110&lt;='TIF Loan Amortization'!I$512),'TIF Loan Amortization'!$G$512,IF(AND($C110&gt;='TIF Loan Amortization'!$H$513,$C110&lt;='TIF Loan Amortization'!I$513),'TIF Loan Amortization'!$G$513,IF(AND($C110&gt;='TIF Loan Amortization'!$H$514,$C110&lt;='TIF Loan Amortization'!I$514),'TIF Loan Amortization'!$G$514,IF(AND($C110&gt;='TIF Loan Amortization'!$H$515,$C110&lt;='TIF Loan Amortization'!I$515),'TIF Loan Amortization'!$G$515,IF(AND($C110&gt;='TIF Loan Amortization'!$H$516,$C110&lt;='TIF Loan Amortization'!I$516),'TIF Loan Amortization'!$G$516,IF(AND($C110&gt;='TIF Loan Amortization'!$H$517,$C110&lt;='TIF Loan Amortization'!I$517),'TIF Loan Amortization'!$G$517,IF(AND($C110&gt;='TIF Loan Amortization'!$H$518,$C110&lt;='TIF Loan Amortization'!I$518),'TIF Loan Amortization'!$G$518,IF(AND($C110&gt;='TIF Loan Amortization'!$H$519,$C110&lt;='TIF Loan Amortization'!I$519),'TIF Loan Amortization'!$G$519))))))))))))))))))))))))))))))))))))))))</f>
        <v>#N/A</v>
      </c>
      <c r="C110" s="269" t="e">
        <f t="shared" si="16"/>
        <v>#N/A</v>
      </c>
      <c r="D110" s="281" t="str">
        <f>IF($H$11="January",$H$10+5,IF($AG$422=1,$H$10+6,""))</f>
        <v/>
      </c>
      <c r="E110" s="274">
        <v>60</v>
      </c>
      <c r="F110" s="273" t="str">
        <f>VLOOKUP($AG$422,$AE$422:$AF$433,2)</f>
        <v>Mar</v>
      </c>
      <c r="G110" s="272">
        <f t="shared" si="17"/>
        <v>0</v>
      </c>
      <c r="H110" s="272">
        <f t="shared" si="20"/>
        <v>0</v>
      </c>
      <c r="I110" s="272">
        <f t="shared" si="21"/>
        <v>0</v>
      </c>
      <c r="J110" s="272">
        <f t="shared" si="19"/>
        <v>0</v>
      </c>
      <c r="K110" s="272">
        <f>IF(ISTEXT($M$4),"",SUM(I$50:I110))</f>
        <v>0</v>
      </c>
      <c r="L110" s="272">
        <f>IF(ISTEXT($M$4),"",SUM(J$50:J110))</f>
        <v>0</v>
      </c>
      <c r="M110" s="271">
        <f t="shared" si="18"/>
        <v>0</v>
      </c>
      <c r="N110" s="291" t="e">
        <f>IF(C110='Operating Assumptions'!$C$48,"Construction Finish","")</f>
        <v>#N/A</v>
      </c>
      <c r="O110" s="291"/>
      <c r="P110" s="291"/>
      <c r="Q110" s="291"/>
      <c r="R110" s="291"/>
      <c r="S110" s="291"/>
      <c r="T110" s="291"/>
      <c r="U110" s="291"/>
      <c r="V110" s="292"/>
      <c r="W110" s="292"/>
      <c r="X110" s="292"/>
      <c r="Y110" s="291"/>
      <c r="Z110" s="279"/>
      <c r="AA110" s="279"/>
      <c r="AB110" s="279"/>
    </row>
    <row r="111" spans="2:28" s="278" customFormat="1" ht="11.65" hidden="1" customHeight="1" outlineLevel="1" x14ac:dyDescent="0.25">
      <c r="B111" s="270" t="e">
        <f>IF(AND($C111&gt;='TIF Loan Amortization'!$H$480,$C111&lt;='TIF Loan Amortization'!$I$480),'TIF Loan Amortization'!$G$480,IF(AND($C111&gt;='TIF Loan Amortization'!$H$481,$C111&lt;='TIF Loan Amortization'!I$481),'TIF Loan Amortization'!$G$481,IF(AND($C111&gt;='TIF Loan Amortization'!$H$482,$C111&lt;='TIF Loan Amortization'!I$482),'TIF Loan Amortization'!$G$482,IF(AND($C111&gt;='TIF Loan Amortization'!$H$483,$C111&lt;='TIF Loan Amortization'!I$483),'TIF Loan Amortization'!$G$483,IF(AND($C111&gt;='TIF Loan Amortization'!$H$484,$C111&lt;='TIF Loan Amortization'!I$484),'TIF Loan Amortization'!$G$484,IF(AND($C111&gt;='TIF Loan Amortization'!$H$485,$C111&lt;='TIF Loan Amortization'!I$485),'TIF Loan Amortization'!$G$485,IF(AND($C111&gt;='TIF Loan Amortization'!$H$486,$C111&lt;='TIF Loan Amortization'!I$486),'TIF Loan Amortization'!$G$486,IF(AND($C111&gt;='TIF Loan Amortization'!$H$487,$C111&lt;='TIF Loan Amortization'!I$487),'TIF Loan Amortization'!$G$487,IF(AND($C111&gt;='TIF Loan Amortization'!$H$488,$C111&lt;='TIF Loan Amortization'!I$488),'TIF Loan Amortization'!$G$488,IF(AND($C111&gt;='TIF Loan Amortization'!$H$489,$C111&lt;='TIF Loan Amortization'!I$489),'TIF Loan Amortization'!$G$489,IF(AND($C111&gt;='TIF Loan Amortization'!$H$490,$C111&lt;='TIF Loan Amortization'!I$490),'TIF Loan Amortization'!$G$490,IF(AND($C111&gt;='TIF Loan Amortization'!$H$491,$C111&lt;='TIF Loan Amortization'!I$491),'TIF Loan Amortization'!$G$491,IF(AND($C111&gt;='TIF Loan Amortization'!$H$492,$C111&lt;='TIF Loan Amortization'!I$492),'TIF Loan Amortization'!$G$492,IF(AND($C111&gt;='TIF Loan Amortization'!$H$493,$C111&lt;='TIF Loan Amortization'!I$493),'TIF Loan Amortization'!$G$493,IF(AND($C111&gt;='TIF Loan Amortization'!$H$494,$C111&lt;='TIF Loan Amortization'!I$494),'TIF Loan Amortization'!$G$494,IF(AND($C111&gt;='TIF Loan Amortization'!$H$495,$C111&lt;='TIF Loan Amortization'!I$495),'TIF Loan Amortization'!$G$495,IF(AND($C111&gt;='TIF Loan Amortization'!$H$496,$C111&lt;='TIF Loan Amortization'!I$496),'TIF Loan Amortization'!$G$496,IF(AND($C111&gt;='TIF Loan Amortization'!$H$497,$C111&lt;='TIF Loan Amortization'!I$497),'TIF Loan Amortization'!$G$497,IF(AND($C111&gt;='TIF Loan Amortization'!$H$498,$C111&lt;='TIF Loan Amortization'!I$498),'TIF Loan Amortization'!$G$498,IF(AND($C111&gt;='TIF Loan Amortization'!$H$499,$C111&lt;='TIF Loan Amortization'!I$499),'TIF Loan Amortization'!$G$499,IF(AND($C111&gt;='TIF Loan Amortization'!$H$500,$C111&lt;='TIF Loan Amortization'!I$500),'TIF Loan Amortization'!$G$500,IF(AND($C111&gt;='TIF Loan Amortization'!$H$501,$C111&lt;='TIF Loan Amortization'!I$501),'TIF Loan Amortization'!$G$501,IF(AND($C111&gt;='TIF Loan Amortization'!$H$502,$C111&lt;='TIF Loan Amortization'!I$502),'TIF Loan Amortization'!$G$502,IF(AND($C111&gt;='TIF Loan Amortization'!$H$503,$C111&lt;='TIF Loan Amortization'!I$503),'TIF Loan Amortization'!$G$503,IF(AND($C111&gt;='TIF Loan Amortization'!$H$504,$C111&lt;='TIF Loan Amortization'!I$504),'TIF Loan Amortization'!$G$504,IF(AND($C111&gt;='TIF Loan Amortization'!$H$505,$C111&lt;='TIF Loan Amortization'!I$505),'TIF Loan Amortization'!$G$505,IF(AND($C111&gt;='TIF Loan Amortization'!$H$506,$C111&lt;='TIF Loan Amortization'!I$506),'TIF Loan Amortization'!$G$506,IF(AND($C111&gt;='TIF Loan Amortization'!$H$507,$C111&lt;='TIF Loan Amortization'!I$507),'TIF Loan Amortization'!$G$507,IF(AND($C111&gt;='TIF Loan Amortization'!$H$508,$C111&lt;='TIF Loan Amortization'!I$508),'TIF Loan Amortization'!$G$508,IF(AND($C111&gt;='TIF Loan Amortization'!$H$509,$C111&lt;='TIF Loan Amortization'!I$509),'TIF Loan Amortization'!$G$509,IF(AND($C111&gt;='TIF Loan Amortization'!$H$510,$C111&lt;='TIF Loan Amortization'!I$510),'TIF Loan Amortization'!$G$510,IF(AND($C111&gt;='TIF Loan Amortization'!$H$511,$C111&lt;='TIF Loan Amortization'!I$511),'TIF Loan Amortization'!$G$511,IF(AND($C111&gt;='TIF Loan Amortization'!$H$512,$C111&lt;='TIF Loan Amortization'!I$512),'TIF Loan Amortization'!$G$512,IF(AND($C111&gt;='TIF Loan Amortization'!$H$513,$C111&lt;='TIF Loan Amortization'!I$513),'TIF Loan Amortization'!$G$513,IF(AND($C111&gt;='TIF Loan Amortization'!$H$514,$C111&lt;='TIF Loan Amortization'!I$514),'TIF Loan Amortization'!$G$514,IF(AND($C111&gt;='TIF Loan Amortization'!$H$515,$C111&lt;='TIF Loan Amortization'!I$515),'TIF Loan Amortization'!$G$515,IF(AND($C111&gt;='TIF Loan Amortization'!$H$516,$C111&lt;='TIF Loan Amortization'!I$516),'TIF Loan Amortization'!$G$516,IF(AND($C111&gt;='TIF Loan Amortization'!$H$517,$C111&lt;='TIF Loan Amortization'!I$517),'TIF Loan Amortization'!$G$517,IF(AND($C111&gt;='TIF Loan Amortization'!$H$518,$C111&lt;='TIF Loan Amortization'!I$518),'TIF Loan Amortization'!$G$518,IF(AND($C111&gt;='TIF Loan Amortization'!$H$519,$C111&lt;='TIF Loan Amortization'!I$519),'TIF Loan Amortization'!$G$519))))))))))))))))))))))))))))))))))))))))</f>
        <v>#N/A</v>
      </c>
      <c r="C111" s="269" t="e">
        <f t="shared" si="16"/>
        <v>#N/A</v>
      </c>
      <c r="D111" s="281" t="str">
        <f>IF($AG$423=1,$H$10+6,"")</f>
        <v/>
      </c>
      <c r="E111" s="274">
        <v>61</v>
      </c>
      <c r="F111" s="275" t="str">
        <f>VLOOKUP($AG$423,$AE$422:$AF$433,2)</f>
        <v>Apr</v>
      </c>
      <c r="G111" s="272">
        <f t="shared" si="17"/>
        <v>0</v>
      </c>
      <c r="H111" s="272">
        <f t="shared" si="20"/>
        <v>0</v>
      </c>
      <c r="I111" s="272">
        <f t="shared" si="21"/>
        <v>0</v>
      </c>
      <c r="J111" s="272">
        <f t="shared" si="19"/>
        <v>0</v>
      </c>
      <c r="K111" s="272">
        <f>IF(ISTEXT($M$4),"",SUM(I$50:I111))</f>
        <v>0</v>
      </c>
      <c r="L111" s="272">
        <f>IF(ISTEXT($M$4),"",SUM(J$50:J111))</f>
        <v>0</v>
      </c>
      <c r="M111" s="271">
        <f t="shared" si="18"/>
        <v>0</v>
      </c>
      <c r="N111" s="291" t="e">
        <f>IF(C111='Operating Assumptions'!$C$48,"Construction Finish","")</f>
        <v>#N/A</v>
      </c>
      <c r="O111" s="291"/>
      <c r="P111" s="291"/>
      <c r="Q111" s="291"/>
      <c r="R111" s="291"/>
      <c r="S111" s="291"/>
      <c r="T111" s="291"/>
      <c r="U111" s="291"/>
      <c r="V111" s="292"/>
      <c r="W111" s="292"/>
      <c r="X111" s="292"/>
      <c r="Y111" s="291"/>
      <c r="Z111" s="279"/>
      <c r="AA111" s="279"/>
      <c r="AB111" s="279"/>
    </row>
    <row r="112" spans="2:28" s="278" customFormat="1" ht="11.65" hidden="1" customHeight="1" outlineLevel="1" x14ac:dyDescent="0.25">
      <c r="B112" s="270" t="e">
        <f>IF(AND($C112&gt;='TIF Loan Amortization'!$H$480,$C112&lt;='TIF Loan Amortization'!$I$480),'TIF Loan Amortization'!$G$480,IF(AND($C112&gt;='TIF Loan Amortization'!$H$481,$C112&lt;='TIF Loan Amortization'!I$481),'TIF Loan Amortization'!$G$481,IF(AND($C112&gt;='TIF Loan Amortization'!$H$482,$C112&lt;='TIF Loan Amortization'!I$482),'TIF Loan Amortization'!$G$482,IF(AND($C112&gt;='TIF Loan Amortization'!$H$483,$C112&lt;='TIF Loan Amortization'!I$483),'TIF Loan Amortization'!$G$483,IF(AND($C112&gt;='TIF Loan Amortization'!$H$484,$C112&lt;='TIF Loan Amortization'!I$484),'TIF Loan Amortization'!$G$484,IF(AND($C112&gt;='TIF Loan Amortization'!$H$485,$C112&lt;='TIF Loan Amortization'!I$485),'TIF Loan Amortization'!$G$485,IF(AND($C112&gt;='TIF Loan Amortization'!$H$486,$C112&lt;='TIF Loan Amortization'!I$486),'TIF Loan Amortization'!$G$486,IF(AND($C112&gt;='TIF Loan Amortization'!$H$487,$C112&lt;='TIF Loan Amortization'!I$487),'TIF Loan Amortization'!$G$487,IF(AND($C112&gt;='TIF Loan Amortization'!$H$488,$C112&lt;='TIF Loan Amortization'!I$488),'TIF Loan Amortization'!$G$488,IF(AND($C112&gt;='TIF Loan Amortization'!$H$489,$C112&lt;='TIF Loan Amortization'!I$489),'TIF Loan Amortization'!$G$489,IF(AND($C112&gt;='TIF Loan Amortization'!$H$490,$C112&lt;='TIF Loan Amortization'!I$490),'TIF Loan Amortization'!$G$490,IF(AND($C112&gt;='TIF Loan Amortization'!$H$491,$C112&lt;='TIF Loan Amortization'!I$491),'TIF Loan Amortization'!$G$491,IF(AND($C112&gt;='TIF Loan Amortization'!$H$492,$C112&lt;='TIF Loan Amortization'!I$492),'TIF Loan Amortization'!$G$492,IF(AND($C112&gt;='TIF Loan Amortization'!$H$493,$C112&lt;='TIF Loan Amortization'!I$493),'TIF Loan Amortization'!$G$493,IF(AND($C112&gt;='TIF Loan Amortization'!$H$494,$C112&lt;='TIF Loan Amortization'!I$494),'TIF Loan Amortization'!$G$494,IF(AND($C112&gt;='TIF Loan Amortization'!$H$495,$C112&lt;='TIF Loan Amortization'!I$495),'TIF Loan Amortization'!$G$495,IF(AND($C112&gt;='TIF Loan Amortization'!$H$496,$C112&lt;='TIF Loan Amortization'!I$496),'TIF Loan Amortization'!$G$496,IF(AND($C112&gt;='TIF Loan Amortization'!$H$497,$C112&lt;='TIF Loan Amortization'!I$497),'TIF Loan Amortization'!$G$497,IF(AND($C112&gt;='TIF Loan Amortization'!$H$498,$C112&lt;='TIF Loan Amortization'!I$498),'TIF Loan Amortization'!$G$498,IF(AND($C112&gt;='TIF Loan Amortization'!$H$499,$C112&lt;='TIF Loan Amortization'!I$499),'TIF Loan Amortization'!$G$499,IF(AND($C112&gt;='TIF Loan Amortization'!$H$500,$C112&lt;='TIF Loan Amortization'!I$500),'TIF Loan Amortization'!$G$500,IF(AND($C112&gt;='TIF Loan Amortization'!$H$501,$C112&lt;='TIF Loan Amortization'!I$501),'TIF Loan Amortization'!$G$501,IF(AND($C112&gt;='TIF Loan Amortization'!$H$502,$C112&lt;='TIF Loan Amortization'!I$502),'TIF Loan Amortization'!$G$502,IF(AND($C112&gt;='TIF Loan Amortization'!$H$503,$C112&lt;='TIF Loan Amortization'!I$503),'TIF Loan Amortization'!$G$503,IF(AND($C112&gt;='TIF Loan Amortization'!$H$504,$C112&lt;='TIF Loan Amortization'!I$504),'TIF Loan Amortization'!$G$504,IF(AND($C112&gt;='TIF Loan Amortization'!$H$505,$C112&lt;='TIF Loan Amortization'!I$505),'TIF Loan Amortization'!$G$505,IF(AND($C112&gt;='TIF Loan Amortization'!$H$506,$C112&lt;='TIF Loan Amortization'!I$506),'TIF Loan Amortization'!$G$506,IF(AND($C112&gt;='TIF Loan Amortization'!$H$507,$C112&lt;='TIF Loan Amortization'!I$507),'TIF Loan Amortization'!$G$507,IF(AND($C112&gt;='TIF Loan Amortization'!$H$508,$C112&lt;='TIF Loan Amortization'!I$508),'TIF Loan Amortization'!$G$508,IF(AND($C112&gt;='TIF Loan Amortization'!$H$509,$C112&lt;='TIF Loan Amortization'!I$509),'TIF Loan Amortization'!$G$509,IF(AND($C112&gt;='TIF Loan Amortization'!$H$510,$C112&lt;='TIF Loan Amortization'!I$510),'TIF Loan Amortization'!$G$510,IF(AND($C112&gt;='TIF Loan Amortization'!$H$511,$C112&lt;='TIF Loan Amortization'!I$511),'TIF Loan Amortization'!$G$511,IF(AND($C112&gt;='TIF Loan Amortization'!$H$512,$C112&lt;='TIF Loan Amortization'!I$512),'TIF Loan Amortization'!$G$512,IF(AND($C112&gt;='TIF Loan Amortization'!$H$513,$C112&lt;='TIF Loan Amortization'!I$513),'TIF Loan Amortization'!$G$513,IF(AND($C112&gt;='TIF Loan Amortization'!$H$514,$C112&lt;='TIF Loan Amortization'!I$514),'TIF Loan Amortization'!$G$514,IF(AND($C112&gt;='TIF Loan Amortization'!$H$515,$C112&lt;='TIF Loan Amortization'!I$515),'TIF Loan Amortization'!$G$515,IF(AND($C112&gt;='TIF Loan Amortization'!$H$516,$C112&lt;='TIF Loan Amortization'!I$516),'TIF Loan Amortization'!$G$516,IF(AND($C112&gt;='TIF Loan Amortization'!$H$517,$C112&lt;='TIF Loan Amortization'!I$517),'TIF Loan Amortization'!$G$517,IF(AND($C112&gt;='TIF Loan Amortization'!$H$518,$C112&lt;='TIF Loan Amortization'!I$518),'TIF Loan Amortization'!$G$518,IF(AND($C112&gt;='TIF Loan Amortization'!$H$519,$C112&lt;='TIF Loan Amortization'!I$519),'TIF Loan Amortization'!$G$519))))))))))))))))))))))))))))))))))))))))</f>
        <v>#N/A</v>
      </c>
      <c r="C112" s="269" t="e">
        <f t="shared" si="16"/>
        <v>#N/A</v>
      </c>
      <c r="D112" s="281" t="str">
        <f>IF($AG$424=1,$H$10+6,"")</f>
        <v/>
      </c>
      <c r="E112" s="274">
        <v>62</v>
      </c>
      <c r="F112" s="275" t="str">
        <f>VLOOKUP($AG$424,$AE$422:$AF$433,2)</f>
        <v>May</v>
      </c>
      <c r="G112" s="272">
        <f t="shared" si="17"/>
        <v>0</v>
      </c>
      <c r="H112" s="272">
        <f t="shared" si="20"/>
        <v>0</v>
      </c>
      <c r="I112" s="272">
        <f t="shared" si="21"/>
        <v>0</v>
      </c>
      <c r="J112" s="272">
        <f t="shared" si="19"/>
        <v>0</v>
      </c>
      <c r="K112" s="272">
        <f>IF(ISTEXT($M$4),"",SUM(I$50:I112))</f>
        <v>0</v>
      </c>
      <c r="L112" s="272">
        <f>IF(ISTEXT($M$4),"",SUM(J$50:J112))</f>
        <v>0</v>
      </c>
      <c r="M112" s="271">
        <f t="shared" si="18"/>
        <v>0</v>
      </c>
      <c r="N112" s="291" t="e">
        <f>IF(C112='Operating Assumptions'!$C$48,"Construction Finish","")</f>
        <v>#N/A</v>
      </c>
      <c r="O112" s="291"/>
      <c r="P112" s="291"/>
      <c r="Q112" s="291"/>
      <c r="R112" s="291"/>
      <c r="S112" s="291"/>
      <c r="T112" s="291"/>
      <c r="U112" s="291"/>
      <c r="V112" s="292"/>
      <c r="W112" s="292"/>
      <c r="X112" s="292"/>
      <c r="Y112" s="291"/>
      <c r="Z112" s="279"/>
      <c r="AA112" s="279"/>
      <c r="AB112" s="279"/>
    </row>
    <row r="113" spans="2:28" s="278" customFormat="1" ht="11.65" hidden="1" customHeight="1" outlineLevel="1" x14ac:dyDescent="0.25">
      <c r="B113" s="270" t="e">
        <f>IF(AND($C113&gt;='TIF Loan Amortization'!$H$480,$C113&lt;='TIF Loan Amortization'!$I$480),'TIF Loan Amortization'!$G$480,IF(AND($C113&gt;='TIF Loan Amortization'!$H$481,$C113&lt;='TIF Loan Amortization'!I$481),'TIF Loan Amortization'!$G$481,IF(AND($C113&gt;='TIF Loan Amortization'!$H$482,$C113&lt;='TIF Loan Amortization'!I$482),'TIF Loan Amortization'!$G$482,IF(AND($C113&gt;='TIF Loan Amortization'!$H$483,$C113&lt;='TIF Loan Amortization'!I$483),'TIF Loan Amortization'!$G$483,IF(AND($C113&gt;='TIF Loan Amortization'!$H$484,$C113&lt;='TIF Loan Amortization'!I$484),'TIF Loan Amortization'!$G$484,IF(AND($C113&gt;='TIF Loan Amortization'!$H$485,$C113&lt;='TIF Loan Amortization'!I$485),'TIF Loan Amortization'!$G$485,IF(AND($C113&gt;='TIF Loan Amortization'!$H$486,$C113&lt;='TIF Loan Amortization'!I$486),'TIF Loan Amortization'!$G$486,IF(AND($C113&gt;='TIF Loan Amortization'!$H$487,$C113&lt;='TIF Loan Amortization'!I$487),'TIF Loan Amortization'!$G$487,IF(AND($C113&gt;='TIF Loan Amortization'!$H$488,$C113&lt;='TIF Loan Amortization'!I$488),'TIF Loan Amortization'!$G$488,IF(AND($C113&gt;='TIF Loan Amortization'!$H$489,$C113&lt;='TIF Loan Amortization'!I$489),'TIF Loan Amortization'!$G$489,IF(AND($C113&gt;='TIF Loan Amortization'!$H$490,$C113&lt;='TIF Loan Amortization'!I$490),'TIF Loan Amortization'!$G$490,IF(AND($C113&gt;='TIF Loan Amortization'!$H$491,$C113&lt;='TIF Loan Amortization'!I$491),'TIF Loan Amortization'!$G$491,IF(AND($C113&gt;='TIF Loan Amortization'!$H$492,$C113&lt;='TIF Loan Amortization'!I$492),'TIF Loan Amortization'!$G$492,IF(AND($C113&gt;='TIF Loan Amortization'!$H$493,$C113&lt;='TIF Loan Amortization'!I$493),'TIF Loan Amortization'!$G$493,IF(AND($C113&gt;='TIF Loan Amortization'!$H$494,$C113&lt;='TIF Loan Amortization'!I$494),'TIF Loan Amortization'!$G$494,IF(AND($C113&gt;='TIF Loan Amortization'!$H$495,$C113&lt;='TIF Loan Amortization'!I$495),'TIF Loan Amortization'!$G$495,IF(AND($C113&gt;='TIF Loan Amortization'!$H$496,$C113&lt;='TIF Loan Amortization'!I$496),'TIF Loan Amortization'!$G$496,IF(AND($C113&gt;='TIF Loan Amortization'!$H$497,$C113&lt;='TIF Loan Amortization'!I$497),'TIF Loan Amortization'!$G$497,IF(AND($C113&gt;='TIF Loan Amortization'!$H$498,$C113&lt;='TIF Loan Amortization'!I$498),'TIF Loan Amortization'!$G$498,IF(AND($C113&gt;='TIF Loan Amortization'!$H$499,$C113&lt;='TIF Loan Amortization'!I$499),'TIF Loan Amortization'!$G$499,IF(AND($C113&gt;='TIF Loan Amortization'!$H$500,$C113&lt;='TIF Loan Amortization'!I$500),'TIF Loan Amortization'!$G$500,IF(AND($C113&gt;='TIF Loan Amortization'!$H$501,$C113&lt;='TIF Loan Amortization'!I$501),'TIF Loan Amortization'!$G$501,IF(AND($C113&gt;='TIF Loan Amortization'!$H$502,$C113&lt;='TIF Loan Amortization'!I$502),'TIF Loan Amortization'!$G$502,IF(AND($C113&gt;='TIF Loan Amortization'!$H$503,$C113&lt;='TIF Loan Amortization'!I$503),'TIF Loan Amortization'!$G$503,IF(AND($C113&gt;='TIF Loan Amortization'!$H$504,$C113&lt;='TIF Loan Amortization'!I$504),'TIF Loan Amortization'!$G$504,IF(AND($C113&gt;='TIF Loan Amortization'!$H$505,$C113&lt;='TIF Loan Amortization'!I$505),'TIF Loan Amortization'!$G$505,IF(AND($C113&gt;='TIF Loan Amortization'!$H$506,$C113&lt;='TIF Loan Amortization'!I$506),'TIF Loan Amortization'!$G$506,IF(AND($C113&gt;='TIF Loan Amortization'!$H$507,$C113&lt;='TIF Loan Amortization'!I$507),'TIF Loan Amortization'!$G$507,IF(AND($C113&gt;='TIF Loan Amortization'!$H$508,$C113&lt;='TIF Loan Amortization'!I$508),'TIF Loan Amortization'!$G$508,IF(AND($C113&gt;='TIF Loan Amortization'!$H$509,$C113&lt;='TIF Loan Amortization'!I$509),'TIF Loan Amortization'!$G$509,IF(AND($C113&gt;='TIF Loan Amortization'!$H$510,$C113&lt;='TIF Loan Amortization'!I$510),'TIF Loan Amortization'!$G$510,IF(AND($C113&gt;='TIF Loan Amortization'!$H$511,$C113&lt;='TIF Loan Amortization'!I$511),'TIF Loan Amortization'!$G$511,IF(AND($C113&gt;='TIF Loan Amortization'!$H$512,$C113&lt;='TIF Loan Amortization'!I$512),'TIF Loan Amortization'!$G$512,IF(AND($C113&gt;='TIF Loan Amortization'!$H$513,$C113&lt;='TIF Loan Amortization'!I$513),'TIF Loan Amortization'!$G$513,IF(AND($C113&gt;='TIF Loan Amortization'!$H$514,$C113&lt;='TIF Loan Amortization'!I$514),'TIF Loan Amortization'!$G$514,IF(AND($C113&gt;='TIF Loan Amortization'!$H$515,$C113&lt;='TIF Loan Amortization'!I$515),'TIF Loan Amortization'!$G$515,IF(AND($C113&gt;='TIF Loan Amortization'!$H$516,$C113&lt;='TIF Loan Amortization'!I$516),'TIF Loan Amortization'!$G$516,IF(AND($C113&gt;='TIF Loan Amortization'!$H$517,$C113&lt;='TIF Loan Amortization'!I$517),'TIF Loan Amortization'!$G$517,IF(AND($C113&gt;='TIF Loan Amortization'!$H$518,$C113&lt;='TIF Loan Amortization'!I$518),'TIF Loan Amortization'!$G$518,IF(AND($C113&gt;='TIF Loan Amortization'!$H$519,$C113&lt;='TIF Loan Amortization'!I$519),'TIF Loan Amortization'!$G$519))))))))))))))))))))))))))))))))))))))))</f>
        <v>#N/A</v>
      </c>
      <c r="C113" s="269" t="e">
        <f t="shared" si="16"/>
        <v>#N/A</v>
      </c>
      <c r="D113" s="281" t="str">
        <f>IF($AG$425=1,$H$10+6,"")</f>
        <v/>
      </c>
      <c r="E113" s="274">
        <v>63</v>
      </c>
      <c r="F113" s="275" t="str">
        <f>VLOOKUP($AG$425,$AE$422:$AF$433,2)</f>
        <v>Jun</v>
      </c>
      <c r="G113" s="272">
        <f t="shared" si="17"/>
        <v>0</v>
      </c>
      <c r="H113" s="272">
        <f t="shared" si="20"/>
        <v>0</v>
      </c>
      <c r="I113" s="272">
        <f t="shared" si="21"/>
        <v>0</v>
      </c>
      <c r="J113" s="272">
        <f t="shared" si="19"/>
        <v>0</v>
      </c>
      <c r="K113" s="272">
        <f>IF(ISTEXT($M$4),"",SUM(I$50:I113))</f>
        <v>0</v>
      </c>
      <c r="L113" s="272">
        <f>IF(ISTEXT($M$4),"",SUM(J$50:J113))</f>
        <v>0</v>
      </c>
      <c r="M113" s="271">
        <f t="shared" si="18"/>
        <v>0</v>
      </c>
      <c r="N113" s="291" t="e">
        <f>IF(C113='Operating Assumptions'!$C$48,"Construction Finish","")</f>
        <v>#N/A</v>
      </c>
      <c r="O113" s="291"/>
      <c r="P113" s="291"/>
      <c r="Q113" s="291"/>
      <c r="R113" s="291"/>
      <c r="S113" s="291"/>
      <c r="T113" s="291"/>
      <c r="U113" s="291"/>
      <c r="V113" s="292"/>
      <c r="W113" s="292"/>
      <c r="X113" s="292"/>
      <c r="Y113" s="291"/>
      <c r="Z113" s="279"/>
      <c r="AA113" s="279"/>
      <c r="AB113" s="279"/>
    </row>
    <row r="114" spans="2:28" s="278" customFormat="1" ht="11.65" hidden="1" customHeight="1" outlineLevel="1" x14ac:dyDescent="0.25">
      <c r="B114" s="270" t="e">
        <f>IF(AND($C114&gt;='TIF Loan Amortization'!$H$480,$C114&lt;='TIF Loan Amortization'!$I$480),'TIF Loan Amortization'!$G$480,IF(AND($C114&gt;='TIF Loan Amortization'!$H$481,$C114&lt;='TIF Loan Amortization'!I$481),'TIF Loan Amortization'!$G$481,IF(AND($C114&gt;='TIF Loan Amortization'!$H$482,$C114&lt;='TIF Loan Amortization'!I$482),'TIF Loan Amortization'!$G$482,IF(AND($C114&gt;='TIF Loan Amortization'!$H$483,$C114&lt;='TIF Loan Amortization'!I$483),'TIF Loan Amortization'!$G$483,IF(AND($C114&gt;='TIF Loan Amortization'!$H$484,$C114&lt;='TIF Loan Amortization'!I$484),'TIF Loan Amortization'!$G$484,IF(AND($C114&gt;='TIF Loan Amortization'!$H$485,$C114&lt;='TIF Loan Amortization'!I$485),'TIF Loan Amortization'!$G$485,IF(AND($C114&gt;='TIF Loan Amortization'!$H$486,$C114&lt;='TIF Loan Amortization'!I$486),'TIF Loan Amortization'!$G$486,IF(AND($C114&gt;='TIF Loan Amortization'!$H$487,$C114&lt;='TIF Loan Amortization'!I$487),'TIF Loan Amortization'!$G$487,IF(AND($C114&gt;='TIF Loan Amortization'!$H$488,$C114&lt;='TIF Loan Amortization'!I$488),'TIF Loan Amortization'!$G$488,IF(AND($C114&gt;='TIF Loan Amortization'!$H$489,$C114&lt;='TIF Loan Amortization'!I$489),'TIF Loan Amortization'!$G$489,IF(AND($C114&gt;='TIF Loan Amortization'!$H$490,$C114&lt;='TIF Loan Amortization'!I$490),'TIF Loan Amortization'!$G$490,IF(AND($C114&gt;='TIF Loan Amortization'!$H$491,$C114&lt;='TIF Loan Amortization'!I$491),'TIF Loan Amortization'!$G$491,IF(AND($C114&gt;='TIF Loan Amortization'!$H$492,$C114&lt;='TIF Loan Amortization'!I$492),'TIF Loan Amortization'!$G$492,IF(AND($C114&gt;='TIF Loan Amortization'!$H$493,$C114&lt;='TIF Loan Amortization'!I$493),'TIF Loan Amortization'!$G$493,IF(AND($C114&gt;='TIF Loan Amortization'!$H$494,$C114&lt;='TIF Loan Amortization'!I$494),'TIF Loan Amortization'!$G$494,IF(AND($C114&gt;='TIF Loan Amortization'!$H$495,$C114&lt;='TIF Loan Amortization'!I$495),'TIF Loan Amortization'!$G$495,IF(AND($C114&gt;='TIF Loan Amortization'!$H$496,$C114&lt;='TIF Loan Amortization'!I$496),'TIF Loan Amortization'!$G$496,IF(AND($C114&gt;='TIF Loan Amortization'!$H$497,$C114&lt;='TIF Loan Amortization'!I$497),'TIF Loan Amortization'!$G$497,IF(AND($C114&gt;='TIF Loan Amortization'!$H$498,$C114&lt;='TIF Loan Amortization'!I$498),'TIF Loan Amortization'!$G$498,IF(AND($C114&gt;='TIF Loan Amortization'!$H$499,$C114&lt;='TIF Loan Amortization'!I$499),'TIF Loan Amortization'!$G$499,IF(AND($C114&gt;='TIF Loan Amortization'!$H$500,$C114&lt;='TIF Loan Amortization'!I$500),'TIF Loan Amortization'!$G$500,IF(AND($C114&gt;='TIF Loan Amortization'!$H$501,$C114&lt;='TIF Loan Amortization'!I$501),'TIF Loan Amortization'!$G$501,IF(AND($C114&gt;='TIF Loan Amortization'!$H$502,$C114&lt;='TIF Loan Amortization'!I$502),'TIF Loan Amortization'!$G$502,IF(AND($C114&gt;='TIF Loan Amortization'!$H$503,$C114&lt;='TIF Loan Amortization'!I$503),'TIF Loan Amortization'!$G$503,IF(AND($C114&gt;='TIF Loan Amortization'!$H$504,$C114&lt;='TIF Loan Amortization'!I$504),'TIF Loan Amortization'!$G$504,IF(AND($C114&gt;='TIF Loan Amortization'!$H$505,$C114&lt;='TIF Loan Amortization'!I$505),'TIF Loan Amortization'!$G$505,IF(AND($C114&gt;='TIF Loan Amortization'!$H$506,$C114&lt;='TIF Loan Amortization'!I$506),'TIF Loan Amortization'!$G$506,IF(AND($C114&gt;='TIF Loan Amortization'!$H$507,$C114&lt;='TIF Loan Amortization'!I$507),'TIF Loan Amortization'!$G$507,IF(AND($C114&gt;='TIF Loan Amortization'!$H$508,$C114&lt;='TIF Loan Amortization'!I$508),'TIF Loan Amortization'!$G$508,IF(AND($C114&gt;='TIF Loan Amortization'!$H$509,$C114&lt;='TIF Loan Amortization'!I$509),'TIF Loan Amortization'!$G$509,IF(AND($C114&gt;='TIF Loan Amortization'!$H$510,$C114&lt;='TIF Loan Amortization'!I$510),'TIF Loan Amortization'!$G$510,IF(AND($C114&gt;='TIF Loan Amortization'!$H$511,$C114&lt;='TIF Loan Amortization'!I$511),'TIF Loan Amortization'!$G$511,IF(AND($C114&gt;='TIF Loan Amortization'!$H$512,$C114&lt;='TIF Loan Amortization'!I$512),'TIF Loan Amortization'!$G$512,IF(AND($C114&gt;='TIF Loan Amortization'!$H$513,$C114&lt;='TIF Loan Amortization'!I$513),'TIF Loan Amortization'!$G$513,IF(AND($C114&gt;='TIF Loan Amortization'!$H$514,$C114&lt;='TIF Loan Amortization'!I$514),'TIF Loan Amortization'!$G$514,IF(AND($C114&gt;='TIF Loan Amortization'!$H$515,$C114&lt;='TIF Loan Amortization'!I$515),'TIF Loan Amortization'!$G$515,IF(AND($C114&gt;='TIF Loan Amortization'!$H$516,$C114&lt;='TIF Loan Amortization'!I$516),'TIF Loan Amortization'!$G$516,IF(AND($C114&gt;='TIF Loan Amortization'!$H$517,$C114&lt;='TIF Loan Amortization'!I$517),'TIF Loan Amortization'!$G$517,IF(AND($C114&gt;='TIF Loan Amortization'!$H$518,$C114&lt;='TIF Loan Amortization'!I$518),'TIF Loan Amortization'!$G$518,IF(AND($C114&gt;='TIF Loan Amortization'!$H$519,$C114&lt;='TIF Loan Amortization'!I$519),'TIF Loan Amortization'!$G$519))))))))))))))))))))))))))))))))))))))))</f>
        <v>#N/A</v>
      </c>
      <c r="C114" s="269" t="e">
        <f t="shared" si="16"/>
        <v>#N/A</v>
      </c>
      <c r="D114" s="281" t="str">
        <f>IF($AG$426=1,$H$10+6,"")</f>
        <v/>
      </c>
      <c r="E114" s="274">
        <v>64</v>
      </c>
      <c r="F114" s="275" t="str">
        <f>VLOOKUP($AG$426,$AE$422:$AF$433,2)</f>
        <v>Jul</v>
      </c>
      <c r="G114" s="272">
        <f t="shared" si="17"/>
        <v>0</v>
      </c>
      <c r="H114" s="272">
        <f t="shared" si="20"/>
        <v>0</v>
      </c>
      <c r="I114" s="272">
        <f t="shared" si="21"/>
        <v>0</v>
      </c>
      <c r="J114" s="272">
        <f t="shared" si="19"/>
        <v>0</v>
      </c>
      <c r="K114" s="272">
        <f>IF(ISTEXT($M$4),"",SUM(I$50:I114))</f>
        <v>0</v>
      </c>
      <c r="L114" s="272">
        <f>IF(ISTEXT($M$4),"",SUM(J$50:J114))</f>
        <v>0</v>
      </c>
      <c r="M114" s="271">
        <f t="shared" si="18"/>
        <v>0</v>
      </c>
      <c r="N114" s="291" t="e">
        <f>IF(C114='Operating Assumptions'!$C$48,"Construction Finish","")</f>
        <v>#N/A</v>
      </c>
      <c r="O114" s="291"/>
      <c r="P114" s="291"/>
      <c r="Q114" s="291"/>
      <c r="R114" s="291"/>
      <c r="S114" s="291"/>
      <c r="T114" s="291"/>
      <c r="U114" s="291"/>
      <c r="V114" s="292"/>
      <c r="W114" s="292"/>
      <c r="X114" s="292"/>
      <c r="Y114" s="291"/>
      <c r="Z114" s="279"/>
      <c r="AA114" s="279"/>
      <c r="AB114" s="279"/>
    </row>
    <row r="115" spans="2:28" s="278" customFormat="1" ht="11.65" hidden="1" customHeight="1" outlineLevel="1" x14ac:dyDescent="0.25">
      <c r="B115" s="270" t="e">
        <f>IF(AND($C115&gt;='TIF Loan Amortization'!$H$480,$C115&lt;='TIF Loan Amortization'!$I$480),'TIF Loan Amortization'!$G$480,IF(AND($C115&gt;='TIF Loan Amortization'!$H$481,$C115&lt;='TIF Loan Amortization'!I$481),'TIF Loan Amortization'!$G$481,IF(AND($C115&gt;='TIF Loan Amortization'!$H$482,$C115&lt;='TIF Loan Amortization'!I$482),'TIF Loan Amortization'!$G$482,IF(AND($C115&gt;='TIF Loan Amortization'!$H$483,$C115&lt;='TIF Loan Amortization'!I$483),'TIF Loan Amortization'!$G$483,IF(AND($C115&gt;='TIF Loan Amortization'!$H$484,$C115&lt;='TIF Loan Amortization'!I$484),'TIF Loan Amortization'!$G$484,IF(AND($C115&gt;='TIF Loan Amortization'!$H$485,$C115&lt;='TIF Loan Amortization'!I$485),'TIF Loan Amortization'!$G$485,IF(AND($C115&gt;='TIF Loan Amortization'!$H$486,$C115&lt;='TIF Loan Amortization'!I$486),'TIF Loan Amortization'!$G$486,IF(AND($C115&gt;='TIF Loan Amortization'!$H$487,$C115&lt;='TIF Loan Amortization'!I$487),'TIF Loan Amortization'!$G$487,IF(AND($C115&gt;='TIF Loan Amortization'!$H$488,$C115&lt;='TIF Loan Amortization'!I$488),'TIF Loan Amortization'!$G$488,IF(AND($C115&gt;='TIF Loan Amortization'!$H$489,$C115&lt;='TIF Loan Amortization'!I$489),'TIF Loan Amortization'!$G$489,IF(AND($C115&gt;='TIF Loan Amortization'!$H$490,$C115&lt;='TIF Loan Amortization'!I$490),'TIF Loan Amortization'!$G$490,IF(AND($C115&gt;='TIF Loan Amortization'!$H$491,$C115&lt;='TIF Loan Amortization'!I$491),'TIF Loan Amortization'!$G$491,IF(AND($C115&gt;='TIF Loan Amortization'!$H$492,$C115&lt;='TIF Loan Amortization'!I$492),'TIF Loan Amortization'!$G$492,IF(AND($C115&gt;='TIF Loan Amortization'!$H$493,$C115&lt;='TIF Loan Amortization'!I$493),'TIF Loan Amortization'!$G$493,IF(AND($C115&gt;='TIF Loan Amortization'!$H$494,$C115&lt;='TIF Loan Amortization'!I$494),'TIF Loan Amortization'!$G$494,IF(AND($C115&gt;='TIF Loan Amortization'!$H$495,$C115&lt;='TIF Loan Amortization'!I$495),'TIF Loan Amortization'!$G$495,IF(AND($C115&gt;='TIF Loan Amortization'!$H$496,$C115&lt;='TIF Loan Amortization'!I$496),'TIF Loan Amortization'!$G$496,IF(AND($C115&gt;='TIF Loan Amortization'!$H$497,$C115&lt;='TIF Loan Amortization'!I$497),'TIF Loan Amortization'!$G$497,IF(AND($C115&gt;='TIF Loan Amortization'!$H$498,$C115&lt;='TIF Loan Amortization'!I$498),'TIF Loan Amortization'!$G$498,IF(AND($C115&gt;='TIF Loan Amortization'!$H$499,$C115&lt;='TIF Loan Amortization'!I$499),'TIF Loan Amortization'!$G$499,IF(AND($C115&gt;='TIF Loan Amortization'!$H$500,$C115&lt;='TIF Loan Amortization'!I$500),'TIF Loan Amortization'!$G$500,IF(AND($C115&gt;='TIF Loan Amortization'!$H$501,$C115&lt;='TIF Loan Amortization'!I$501),'TIF Loan Amortization'!$G$501,IF(AND($C115&gt;='TIF Loan Amortization'!$H$502,$C115&lt;='TIF Loan Amortization'!I$502),'TIF Loan Amortization'!$G$502,IF(AND($C115&gt;='TIF Loan Amortization'!$H$503,$C115&lt;='TIF Loan Amortization'!I$503),'TIF Loan Amortization'!$G$503,IF(AND($C115&gt;='TIF Loan Amortization'!$H$504,$C115&lt;='TIF Loan Amortization'!I$504),'TIF Loan Amortization'!$G$504,IF(AND($C115&gt;='TIF Loan Amortization'!$H$505,$C115&lt;='TIF Loan Amortization'!I$505),'TIF Loan Amortization'!$G$505,IF(AND($C115&gt;='TIF Loan Amortization'!$H$506,$C115&lt;='TIF Loan Amortization'!I$506),'TIF Loan Amortization'!$G$506,IF(AND($C115&gt;='TIF Loan Amortization'!$H$507,$C115&lt;='TIF Loan Amortization'!I$507),'TIF Loan Amortization'!$G$507,IF(AND($C115&gt;='TIF Loan Amortization'!$H$508,$C115&lt;='TIF Loan Amortization'!I$508),'TIF Loan Amortization'!$G$508,IF(AND($C115&gt;='TIF Loan Amortization'!$H$509,$C115&lt;='TIF Loan Amortization'!I$509),'TIF Loan Amortization'!$G$509,IF(AND($C115&gt;='TIF Loan Amortization'!$H$510,$C115&lt;='TIF Loan Amortization'!I$510),'TIF Loan Amortization'!$G$510,IF(AND($C115&gt;='TIF Loan Amortization'!$H$511,$C115&lt;='TIF Loan Amortization'!I$511),'TIF Loan Amortization'!$G$511,IF(AND($C115&gt;='TIF Loan Amortization'!$H$512,$C115&lt;='TIF Loan Amortization'!I$512),'TIF Loan Amortization'!$G$512,IF(AND($C115&gt;='TIF Loan Amortization'!$H$513,$C115&lt;='TIF Loan Amortization'!I$513),'TIF Loan Amortization'!$G$513,IF(AND($C115&gt;='TIF Loan Amortization'!$H$514,$C115&lt;='TIF Loan Amortization'!I$514),'TIF Loan Amortization'!$G$514,IF(AND($C115&gt;='TIF Loan Amortization'!$H$515,$C115&lt;='TIF Loan Amortization'!I$515),'TIF Loan Amortization'!$G$515,IF(AND($C115&gt;='TIF Loan Amortization'!$H$516,$C115&lt;='TIF Loan Amortization'!I$516),'TIF Loan Amortization'!$G$516,IF(AND($C115&gt;='TIF Loan Amortization'!$H$517,$C115&lt;='TIF Loan Amortization'!I$517),'TIF Loan Amortization'!$G$517,IF(AND($C115&gt;='TIF Loan Amortization'!$H$518,$C115&lt;='TIF Loan Amortization'!I$518),'TIF Loan Amortization'!$G$518,IF(AND($C115&gt;='TIF Loan Amortization'!$H$519,$C115&lt;='TIF Loan Amortization'!I$519),'TIF Loan Amortization'!$G$519))))))))))))))))))))))))))))))))))))))))</f>
        <v>#N/A</v>
      </c>
      <c r="C115" s="269" t="e">
        <f t="shared" ref="C115:C178" si="23">C114+1</f>
        <v>#N/A</v>
      </c>
      <c r="D115" s="281" t="str">
        <f>IF($AG$427=1,$H$10+6,"")</f>
        <v/>
      </c>
      <c r="E115" s="274">
        <v>65</v>
      </c>
      <c r="F115" s="275" t="str">
        <f>VLOOKUP($AG$427,$AE$422:$AF$433,2)</f>
        <v>Aug</v>
      </c>
      <c r="G115" s="272">
        <f t="shared" ref="G115:G178" si="24">IF(ISTEXT(M$4),"",M114)</f>
        <v>0</v>
      </c>
      <c r="H115" s="272">
        <f t="shared" si="20"/>
        <v>0</v>
      </c>
      <c r="I115" s="272">
        <f t="shared" si="21"/>
        <v>0</v>
      </c>
      <c r="J115" s="272">
        <f t="shared" ref="J115:J178" si="25">+$H$6/12*$M114*-1</f>
        <v>0</v>
      </c>
      <c r="K115" s="272">
        <f>IF(ISTEXT($M$4),"",SUM(I$50:I115))</f>
        <v>0</v>
      </c>
      <c r="L115" s="272">
        <f>IF(ISTEXT($M$4),"",SUM(J$50:J115))</f>
        <v>0</v>
      </c>
      <c r="M115" s="271">
        <f t="shared" ref="M115:M178" si="26">+G115+I115</f>
        <v>0</v>
      </c>
      <c r="N115" s="291" t="e">
        <f>IF(C115='Operating Assumptions'!$C$48,"Construction Finish","")</f>
        <v>#N/A</v>
      </c>
      <c r="O115" s="291"/>
      <c r="P115" s="291"/>
      <c r="Q115" s="291"/>
      <c r="R115" s="291"/>
      <c r="S115" s="291"/>
      <c r="T115" s="291"/>
      <c r="U115" s="291"/>
      <c r="V115" s="292"/>
      <c r="W115" s="292"/>
      <c r="X115" s="292"/>
      <c r="Y115" s="291"/>
      <c r="Z115" s="279"/>
      <c r="AA115" s="279"/>
      <c r="AB115" s="279"/>
    </row>
    <row r="116" spans="2:28" s="278" customFormat="1" ht="11.65" hidden="1" customHeight="1" outlineLevel="1" x14ac:dyDescent="0.25">
      <c r="B116" s="270" t="e">
        <f>IF(AND($C116&gt;='TIF Loan Amortization'!$H$480,$C116&lt;='TIF Loan Amortization'!$I$480),'TIF Loan Amortization'!$G$480,IF(AND($C116&gt;='TIF Loan Amortization'!$H$481,$C116&lt;='TIF Loan Amortization'!I$481),'TIF Loan Amortization'!$G$481,IF(AND($C116&gt;='TIF Loan Amortization'!$H$482,$C116&lt;='TIF Loan Amortization'!I$482),'TIF Loan Amortization'!$G$482,IF(AND($C116&gt;='TIF Loan Amortization'!$H$483,$C116&lt;='TIF Loan Amortization'!I$483),'TIF Loan Amortization'!$G$483,IF(AND($C116&gt;='TIF Loan Amortization'!$H$484,$C116&lt;='TIF Loan Amortization'!I$484),'TIF Loan Amortization'!$G$484,IF(AND($C116&gt;='TIF Loan Amortization'!$H$485,$C116&lt;='TIF Loan Amortization'!I$485),'TIF Loan Amortization'!$G$485,IF(AND($C116&gt;='TIF Loan Amortization'!$H$486,$C116&lt;='TIF Loan Amortization'!I$486),'TIF Loan Amortization'!$G$486,IF(AND($C116&gt;='TIF Loan Amortization'!$H$487,$C116&lt;='TIF Loan Amortization'!I$487),'TIF Loan Amortization'!$G$487,IF(AND($C116&gt;='TIF Loan Amortization'!$H$488,$C116&lt;='TIF Loan Amortization'!I$488),'TIF Loan Amortization'!$G$488,IF(AND($C116&gt;='TIF Loan Amortization'!$H$489,$C116&lt;='TIF Loan Amortization'!I$489),'TIF Loan Amortization'!$G$489,IF(AND($C116&gt;='TIF Loan Amortization'!$H$490,$C116&lt;='TIF Loan Amortization'!I$490),'TIF Loan Amortization'!$G$490,IF(AND($C116&gt;='TIF Loan Amortization'!$H$491,$C116&lt;='TIF Loan Amortization'!I$491),'TIF Loan Amortization'!$G$491,IF(AND($C116&gt;='TIF Loan Amortization'!$H$492,$C116&lt;='TIF Loan Amortization'!I$492),'TIF Loan Amortization'!$G$492,IF(AND($C116&gt;='TIF Loan Amortization'!$H$493,$C116&lt;='TIF Loan Amortization'!I$493),'TIF Loan Amortization'!$G$493,IF(AND($C116&gt;='TIF Loan Amortization'!$H$494,$C116&lt;='TIF Loan Amortization'!I$494),'TIF Loan Amortization'!$G$494,IF(AND($C116&gt;='TIF Loan Amortization'!$H$495,$C116&lt;='TIF Loan Amortization'!I$495),'TIF Loan Amortization'!$G$495,IF(AND($C116&gt;='TIF Loan Amortization'!$H$496,$C116&lt;='TIF Loan Amortization'!I$496),'TIF Loan Amortization'!$G$496,IF(AND($C116&gt;='TIF Loan Amortization'!$H$497,$C116&lt;='TIF Loan Amortization'!I$497),'TIF Loan Amortization'!$G$497,IF(AND($C116&gt;='TIF Loan Amortization'!$H$498,$C116&lt;='TIF Loan Amortization'!I$498),'TIF Loan Amortization'!$G$498,IF(AND($C116&gt;='TIF Loan Amortization'!$H$499,$C116&lt;='TIF Loan Amortization'!I$499),'TIF Loan Amortization'!$G$499,IF(AND($C116&gt;='TIF Loan Amortization'!$H$500,$C116&lt;='TIF Loan Amortization'!I$500),'TIF Loan Amortization'!$G$500,IF(AND($C116&gt;='TIF Loan Amortization'!$H$501,$C116&lt;='TIF Loan Amortization'!I$501),'TIF Loan Amortization'!$G$501,IF(AND($C116&gt;='TIF Loan Amortization'!$H$502,$C116&lt;='TIF Loan Amortization'!I$502),'TIF Loan Amortization'!$G$502,IF(AND($C116&gt;='TIF Loan Amortization'!$H$503,$C116&lt;='TIF Loan Amortization'!I$503),'TIF Loan Amortization'!$G$503,IF(AND($C116&gt;='TIF Loan Amortization'!$H$504,$C116&lt;='TIF Loan Amortization'!I$504),'TIF Loan Amortization'!$G$504,IF(AND($C116&gt;='TIF Loan Amortization'!$H$505,$C116&lt;='TIF Loan Amortization'!I$505),'TIF Loan Amortization'!$G$505,IF(AND($C116&gt;='TIF Loan Amortization'!$H$506,$C116&lt;='TIF Loan Amortization'!I$506),'TIF Loan Amortization'!$G$506,IF(AND($C116&gt;='TIF Loan Amortization'!$H$507,$C116&lt;='TIF Loan Amortization'!I$507),'TIF Loan Amortization'!$G$507,IF(AND($C116&gt;='TIF Loan Amortization'!$H$508,$C116&lt;='TIF Loan Amortization'!I$508),'TIF Loan Amortization'!$G$508,IF(AND($C116&gt;='TIF Loan Amortization'!$H$509,$C116&lt;='TIF Loan Amortization'!I$509),'TIF Loan Amortization'!$G$509,IF(AND($C116&gt;='TIF Loan Amortization'!$H$510,$C116&lt;='TIF Loan Amortization'!I$510),'TIF Loan Amortization'!$G$510,IF(AND($C116&gt;='TIF Loan Amortization'!$H$511,$C116&lt;='TIF Loan Amortization'!I$511),'TIF Loan Amortization'!$G$511,IF(AND($C116&gt;='TIF Loan Amortization'!$H$512,$C116&lt;='TIF Loan Amortization'!I$512),'TIF Loan Amortization'!$G$512,IF(AND($C116&gt;='TIF Loan Amortization'!$H$513,$C116&lt;='TIF Loan Amortization'!I$513),'TIF Loan Amortization'!$G$513,IF(AND($C116&gt;='TIF Loan Amortization'!$H$514,$C116&lt;='TIF Loan Amortization'!I$514),'TIF Loan Amortization'!$G$514,IF(AND($C116&gt;='TIF Loan Amortization'!$H$515,$C116&lt;='TIF Loan Amortization'!I$515),'TIF Loan Amortization'!$G$515,IF(AND($C116&gt;='TIF Loan Amortization'!$H$516,$C116&lt;='TIF Loan Amortization'!I$516),'TIF Loan Amortization'!$G$516,IF(AND($C116&gt;='TIF Loan Amortization'!$H$517,$C116&lt;='TIF Loan Amortization'!I$517),'TIF Loan Amortization'!$G$517,IF(AND($C116&gt;='TIF Loan Amortization'!$H$518,$C116&lt;='TIF Loan Amortization'!I$518),'TIF Loan Amortization'!$G$518,IF(AND($C116&gt;='TIF Loan Amortization'!$H$519,$C116&lt;='TIF Loan Amortization'!I$519),'TIF Loan Amortization'!$G$519))))))))))))))))))))))))))))))))))))))))</f>
        <v>#N/A</v>
      </c>
      <c r="C116" s="269" t="e">
        <f t="shared" si="23"/>
        <v>#N/A</v>
      </c>
      <c r="D116" s="281" t="str">
        <f>IF($AG$428=1,$H$10+6,"")</f>
        <v/>
      </c>
      <c r="E116" s="274">
        <v>66</v>
      </c>
      <c r="F116" s="275" t="str">
        <f>VLOOKUP($AG$428,$AE$422:$AF$433,2)</f>
        <v>Sep</v>
      </c>
      <c r="G116" s="272">
        <f t="shared" si="24"/>
        <v>0</v>
      </c>
      <c r="H116" s="272">
        <f t="shared" si="20"/>
        <v>0</v>
      </c>
      <c r="I116" s="272">
        <f t="shared" si="21"/>
        <v>0</v>
      </c>
      <c r="J116" s="272">
        <f t="shared" si="25"/>
        <v>0</v>
      </c>
      <c r="K116" s="272">
        <f>IF(ISTEXT($M$4),"",SUM(I$50:I116))</f>
        <v>0</v>
      </c>
      <c r="L116" s="272">
        <f>IF(ISTEXT($M$4),"",SUM(J$50:J116))</f>
        <v>0</v>
      </c>
      <c r="M116" s="271">
        <f t="shared" si="26"/>
        <v>0</v>
      </c>
      <c r="N116" s="291" t="e">
        <f>IF(C116='Operating Assumptions'!$C$48,"Construction Finish","")</f>
        <v>#N/A</v>
      </c>
      <c r="O116" s="291"/>
      <c r="P116" s="291"/>
      <c r="Q116" s="291"/>
      <c r="R116" s="291"/>
      <c r="S116" s="291"/>
      <c r="T116" s="291"/>
      <c r="U116" s="291"/>
      <c r="V116" s="292"/>
      <c r="W116" s="292"/>
      <c r="X116" s="292"/>
      <c r="Y116" s="291"/>
      <c r="Z116" s="279"/>
      <c r="AA116" s="279"/>
      <c r="AB116" s="279"/>
    </row>
    <row r="117" spans="2:28" s="278" customFormat="1" ht="11.65" hidden="1" customHeight="1" outlineLevel="1" x14ac:dyDescent="0.25">
      <c r="B117" s="270" t="e">
        <f>IF(AND($C117&gt;='TIF Loan Amortization'!$H$480,$C117&lt;='TIF Loan Amortization'!$I$480),'TIF Loan Amortization'!$G$480,IF(AND($C117&gt;='TIF Loan Amortization'!$H$481,$C117&lt;='TIF Loan Amortization'!I$481),'TIF Loan Amortization'!$G$481,IF(AND($C117&gt;='TIF Loan Amortization'!$H$482,$C117&lt;='TIF Loan Amortization'!I$482),'TIF Loan Amortization'!$G$482,IF(AND($C117&gt;='TIF Loan Amortization'!$H$483,$C117&lt;='TIF Loan Amortization'!I$483),'TIF Loan Amortization'!$G$483,IF(AND($C117&gt;='TIF Loan Amortization'!$H$484,$C117&lt;='TIF Loan Amortization'!I$484),'TIF Loan Amortization'!$G$484,IF(AND($C117&gt;='TIF Loan Amortization'!$H$485,$C117&lt;='TIF Loan Amortization'!I$485),'TIF Loan Amortization'!$G$485,IF(AND($C117&gt;='TIF Loan Amortization'!$H$486,$C117&lt;='TIF Loan Amortization'!I$486),'TIF Loan Amortization'!$G$486,IF(AND($C117&gt;='TIF Loan Amortization'!$H$487,$C117&lt;='TIF Loan Amortization'!I$487),'TIF Loan Amortization'!$G$487,IF(AND($C117&gt;='TIF Loan Amortization'!$H$488,$C117&lt;='TIF Loan Amortization'!I$488),'TIF Loan Amortization'!$G$488,IF(AND($C117&gt;='TIF Loan Amortization'!$H$489,$C117&lt;='TIF Loan Amortization'!I$489),'TIF Loan Amortization'!$G$489,IF(AND($C117&gt;='TIF Loan Amortization'!$H$490,$C117&lt;='TIF Loan Amortization'!I$490),'TIF Loan Amortization'!$G$490,IF(AND($C117&gt;='TIF Loan Amortization'!$H$491,$C117&lt;='TIF Loan Amortization'!I$491),'TIF Loan Amortization'!$G$491,IF(AND($C117&gt;='TIF Loan Amortization'!$H$492,$C117&lt;='TIF Loan Amortization'!I$492),'TIF Loan Amortization'!$G$492,IF(AND($C117&gt;='TIF Loan Amortization'!$H$493,$C117&lt;='TIF Loan Amortization'!I$493),'TIF Loan Amortization'!$G$493,IF(AND($C117&gt;='TIF Loan Amortization'!$H$494,$C117&lt;='TIF Loan Amortization'!I$494),'TIF Loan Amortization'!$G$494,IF(AND($C117&gt;='TIF Loan Amortization'!$H$495,$C117&lt;='TIF Loan Amortization'!I$495),'TIF Loan Amortization'!$G$495,IF(AND($C117&gt;='TIF Loan Amortization'!$H$496,$C117&lt;='TIF Loan Amortization'!I$496),'TIF Loan Amortization'!$G$496,IF(AND($C117&gt;='TIF Loan Amortization'!$H$497,$C117&lt;='TIF Loan Amortization'!I$497),'TIF Loan Amortization'!$G$497,IF(AND($C117&gt;='TIF Loan Amortization'!$H$498,$C117&lt;='TIF Loan Amortization'!I$498),'TIF Loan Amortization'!$G$498,IF(AND($C117&gt;='TIF Loan Amortization'!$H$499,$C117&lt;='TIF Loan Amortization'!I$499),'TIF Loan Amortization'!$G$499,IF(AND($C117&gt;='TIF Loan Amortization'!$H$500,$C117&lt;='TIF Loan Amortization'!I$500),'TIF Loan Amortization'!$G$500,IF(AND($C117&gt;='TIF Loan Amortization'!$H$501,$C117&lt;='TIF Loan Amortization'!I$501),'TIF Loan Amortization'!$G$501,IF(AND($C117&gt;='TIF Loan Amortization'!$H$502,$C117&lt;='TIF Loan Amortization'!I$502),'TIF Loan Amortization'!$G$502,IF(AND($C117&gt;='TIF Loan Amortization'!$H$503,$C117&lt;='TIF Loan Amortization'!I$503),'TIF Loan Amortization'!$G$503,IF(AND($C117&gt;='TIF Loan Amortization'!$H$504,$C117&lt;='TIF Loan Amortization'!I$504),'TIF Loan Amortization'!$G$504,IF(AND($C117&gt;='TIF Loan Amortization'!$H$505,$C117&lt;='TIF Loan Amortization'!I$505),'TIF Loan Amortization'!$G$505,IF(AND($C117&gt;='TIF Loan Amortization'!$H$506,$C117&lt;='TIF Loan Amortization'!I$506),'TIF Loan Amortization'!$G$506,IF(AND($C117&gt;='TIF Loan Amortization'!$H$507,$C117&lt;='TIF Loan Amortization'!I$507),'TIF Loan Amortization'!$G$507,IF(AND($C117&gt;='TIF Loan Amortization'!$H$508,$C117&lt;='TIF Loan Amortization'!I$508),'TIF Loan Amortization'!$G$508,IF(AND($C117&gt;='TIF Loan Amortization'!$H$509,$C117&lt;='TIF Loan Amortization'!I$509),'TIF Loan Amortization'!$G$509,IF(AND($C117&gt;='TIF Loan Amortization'!$H$510,$C117&lt;='TIF Loan Amortization'!I$510),'TIF Loan Amortization'!$G$510,IF(AND($C117&gt;='TIF Loan Amortization'!$H$511,$C117&lt;='TIF Loan Amortization'!I$511),'TIF Loan Amortization'!$G$511,IF(AND($C117&gt;='TIF Loan Amortization'!$H$512,$C117&lt;='TIF Loan Amortization'!I$512),'TIF Loan Amortization'!$G$512,IF(AND($C117&gt;='TIF Loan Amortization'!$H$513,$C117&lt;='TIF Loan Amortization'!I$513),'TIF Loan Amortization'!$G$513,IF(AND($C117&gt;='TIF Loan Amortization'!$H$514,$C117&lt;='TIF Loan Amortization'!I$514),'TIF Loan Amortization'!$G$514,IF(AND($C117&gt;='TIF Loan Amortization'!$H$515,$C117&lt;='TIF Loan Amortization'!I$515),'TIF Loan Amortization'!$G$515,IF(AND($C117&gt;='TIF Loan Amortization'!$H$516,$C117&lt;='TIF Loan Amortization'!I$516),'TIF Loan Amortization'!$G$516,IF(AND($C117&gt;='TIF Loan Amortization'!$H$517,$C117&lt;='TIF Loan Amortization'!I$517),'TIF Loan Amortization'!$G$517,IF(AND($C117&gt;='TIF Loan Amortization'!$H$518,$C117&lt;='TIF Loan Amortization'!I$518),'TIF Loan Amortization'!$G$518,IF(AND($C117&gt;='TIF Loan Amortization'!$H$519,$C117&lt;='TIF Loan Amortization'!I$519),'TIF Loan Amortization'!$G$519))))))))))))))))))))))))))))))))))))))))</f>
        <v>#N/A</v>
      </c>
      <c r="C117" s="269" t="e">
        <f t="shared" si="23"/>
        <v>#N/A</v>
      </c>
      <c r="D117" s="281" t="str">
        <f>IF($AG$429=1,$H$10+6,"")</f>
        <v/>
      </c>
      <c r="E117" s="274">
        <v>67</v>
      </c>
      <c r="F117" s="275" t="str">
        <f>VLOOKUP($AG$429,$AE$422:$AF$433,2)</f>
        <v>Oct</v>
      </c>
      <c r="G117" s="272">
        <f t="shared" si="24"/>
        <v>0</v>
      </c>
      <c r="H117" s="272">
        <f t="shared" ref="H117:H180" si="27">IF(E117&gt;$G$7,0,IF(AND($G$9&gt;=0,E117&lt;=$H$9),0,IF(AND($G$8&gt;=0,E117&lt;=$H$8),J117,IF(AND($G$8&gt;=0,$G$9&gt;=0,E117&gt;$H$8,E117&gt;$H$9),PMT($H$6/12,IF($G$8&gt;=0,$G$7-$H$8),$H$4)))))</f>
        <v>0</v>
      </c>
      <c r="I117" s="272">
        <f t="shared" ref="I117:I180" si="28">IF(E117&gt;$G$7,0,IF(AND($G$9,E117&lt;=$H$9),0,+H117-J117))</f>
        <v>0</v>
      </c>
      <c r="J117" s="272">
        <f t="shared" si="25"/>
        <v>0</v>
      </c>
      <c r="K117" s="272">
        <f>IF(ISTEXT($M$4),"",SUM(I$50:I117))</f>
        <v>0</v>
      </c>
      <c r="L117" s="272">
        <f>IF(ISTEXT($M$4),"",SUM(J$50:J117))</f>
        <v>0</v>
      </c>
      <c r="M117" s="271">
        <f t="shared" si="26"/>
        <v>0</v>
      </c>
      <c r="N117" s="291" t="e">
        <f>IF(C117='Operating Assumptions'!$C$48,"Construction Finish","")</f>
        <v>#N/A</v>
      </c>
      <c r="O117" s="291"/>
      <c r="P117" s="291"/>
      <c r="Q117" s="291"/>
      <c r="R117" s="291"/>
      <c r="S117" s="291"/>
      <c r="T117" s="291"/>
      <c r="U117" s="291"/>
      <c r="V117" s="292"/>
      <c r="W117" s="292"/>
      <c r="X117" s="292"/>
      <c r="Y117" s="291"/>
      <c r="Z117" s="279"/>
      <c r="AA117" s="279"/>
      <c r="AB117" s="279"/>
    </row>
    <row r="118" spans="2:28" s="278" customFormat="1" ht="11.65" hidden="1" customHeight="1" outlineLevel="1" x14ac:dyDescent="0.25">
      <c r="B118" s="270" t="e">
        <f>IF(AND($C118&gt;='TIF Loan Amortization'!$H$480,$C118&lt;='TIF Loan Amortization'!$I$480),'TIF Loan Amortization'!$G$480,IF(AND($C118&gt;='TIF Loan Amortization'!$H$481,$C118&lt;='TIF Loan Amortization'!I$481),'TIF Loan Amortization'!$G$481,IF(AND($C118&gt;='TIF Loan Amortization'!$H$482,$C118&lt;='TIF Loan Amortization'!I$482),'TIF Loan Amortization'!$G$482,IF(AND($C118&gt;='TIF Loan Amortization'!$H$483,$C118&lt;='TIF Loan Amortization'!I$483),'TIF Loan Amortization'!$G$483,IF(AND($C118&gt;='TIF Loan Amortization'!$H$484,$C118&lt;='TIF Loan Amortization'!I$484),'TIF Loan Amortization'!$G$484,IF(AND($C118&gt;='TIF Loan Amortization'!$H$485,$C118&lt;='TIF Loan Amortization'!I$485),'TIF Loan Amortization'!$G$485,IF(AND($C118&gt;='TIF Loan Amortization'!$H$486,$C118&lt;='TIF Loan Amortization'!I$486),'TIF Loan Amortization'!$G$486,IF(AND($C118&gt;='TIF Loan Amortization'!$H$487,$C118&lt;='TIF Loan Amortization'!I$487),'TIF Loan Amortization'!$G$487,IF(AND($C118&gt;='TIF Loan Amortization'!$H$488,$C118&lt;='TIF Loan Amortization'!I$488),'TIF Loan Amortization'!$G$488,IF(AND($C118&gt;='TIF Loan Amortization'!$H$489,$C118&lt;='TIF Loan Amortization'!I$489),'TIF Loan Amortization'!$G$489,IF(AND($C118&gt;='TIF Loan Amortization'!$H$490,$C118&lt;='TIF Loan Amortization'!I$490),'TIF Loan Amortization'!$G$490,IF(AND($C118&gt;='TIF Loan Amortization'!$H$491,$C118&lt;='TIF Loan Amortization'!I$491),'TIF Loan Amortization'!$G$491,IF(AND($C118&gt;='TIF Loan Amortization'!$H$492,$C118&lt;='TIF Loan Amortization'!I$492),'TIF Loan Amortization'!$G$492,IF(AND($C118&gt;='TIF Loan Amortization'!$H$493,$C118&lt;='TIF Loan Amortization'!I$493),'TIF Loan Amortization'!$G$493,IF(AND($C118&gt;='TIF Loan Amortization'!$H$494,$C118&lt;='TIF Loan Amortization'!I$494),'TIF Loan Amortization'!$G$494,IF(AND($C118&gt;='TIF Loan Amortization'!$H$495,$C118&lt;='TIF Loan Amortization'!I$495),'TIF Loan Amortization'!$G$495,IF(AND($C118&gt;='TIF Loan Amortization'!$H$496,$C118&lt;='TIF Loan Amortization'!I$496),'TIF Loan Amortization'!$G$496,IF(AND($C118&gt;='TIF Loan Amortization'!$H$497,$C118&lt;='TIF Loan Amortization'!I$497),'TIF Loan Amortization'!$G$497,IF(AND($C118&gt;='TIF Loan Amortization'!$H$498,$C118&lt;='TIF Loan Amortization'!I$498),'TIF Loan Amortization'!$G$498,IF(AND($C118&gt;='TIF Loan Amortization'!$H$499,$C118&lt;='TIF Loan Amortization'!I$499),'TIF Loan Amortization'!$G$499,IF(AND($C118&gt;='TIF Loan Amortization'!$H$500,$C118&lt;='TIF Loan Amortization'!I$500),'TIF Loan Amortization'!$G$500,IF(AND($C118&gt;='TIF Loan Amortization'!$H$501,$C118&lt;='TIF Loan Amortization'!I$501),'TIF Loan Amortization'!$G$501,IF(AND($C118&gt;='TIF Loan Amortization'!$H$502,$C118&lt;='TIF Loan Amortization'!I$502),'TIF Loan Amortization'!$G$502,IF(AND($C118&gt;='TIF Loan Amortization'!$H$503,$C118&lt;='TIF Loan Amortization'!I$503),'TIF Loan Amortization'!$G$503,IF(AND($C118&gt;='TIF Loan Amortization'!$H$504,$C118&lt;='TIF Loan Amortization'!I$504),'TIF Loan Amortization'!$G$504,IF(AND($C118&gt;='TIF Loan Amortization'!$H$505,$C118&lt;='TIF Loan Amortization'!I$505),'TIF Loan Amortization'!$G$505,IF(AND($C118&gt;='TIF Loan Amortization'!$H$506,$C118&lt;='TIF Loan Amortization'!I$506),'TIF Loan Amortization'!$G$506,IF(AND($C118&gt;='TIF Loan Amortization'!$H$507,$C118&lt;='TIF Loan Amortization'!I$507),'TIF Loan Amortization'!$G$507,IF(AND($C118&gt;='TIF Loan Amortization'!$H$508,$C118&lt;='TIF Loan Amortization'!I$508),'TIF Loan Amortization'!$G$508,IF(AND($C118&gt;='TIF Loan Amortization'!$H$509,$C118&lt;='TIF Loan Amortization'!I$509),'TIF Loan Amortization'!$G$509,IF(AND($C118&gt;='TIF Loan Amortization'!$H$510,$C118&lt;='TIF Loan Amortization'!I$510),'TIF Loan Amortization'!$G$510,IF(AND($C118&gt;='TIF Loan Amortization'!$H$511,$C118&lt;='TIF Loan Amortization'!I$511),'TIF Loan Amortization'!$G$511,IF(AND($C118&gt;='TIF Loan Amortization'!$H$512,$C118&lt;='TIF Loan Amortization'!I$512),'TIF Loan Amortization'!$G$512,IF(AND($C118&gt;='TIF Loan Amortization'!$H$513,$C118&lt;='TIF Loan Amortization'!I$513),'TIF Loan Amortization'!$G$513,IF(AND($C118&gt;='TIF Loan Amortization'!$H$514,$C118&lt;='TIF Loan Amortization'!I$514),'TIF Loan Amortization'!$G$514,IF(AND($C118&gt;='TIF Loan Amortization'!$H$515,$C118&lt;='TIF Loan Amortization'!I$515),'TIF Loan Amortization'!$G$515,IF(AND($C118&gt;='TIF Loan Amortization'!$H$516,$C118&lt;='TIF Loan Amortization'!I$516),'TIF Loan Amortization'!$G$516,IF(AND($C118&gt;='TIF Loan Amortization'!$H$517,$C118&lt;='TIF Loan Amortization'!I$517),'TIF Loan Amortization'!$G$517,IF(AND($C118&gt;='TIF Loan Amortization'!$H$518,$C118&lt;='TIF Loan Amortization'!I$518),'TIF Loan Amortization'!$G$518,IF(AND($C118&gt;='TIF Loan Amortization'!$H$519,$C118&lt;='TIF Loan Amortization'!I$519),'TIF Loan Amortization'!$G$519))))))))))))))))))))))))))))))))))))))))</f>
        <v>#N/A</v>
      </c>
      <c r="C118" s="269" t="e">
        <f t="shared" si="23"/>
        <v>#N/A</v>
      </c>
      <c r="D118" s="281" t="str">
        <f>IF($AG$430=1,$H$10+6,"")</f>
        <v/>
      </c>
      <c r="E118" s="274">
        <v>68</v>
      </c>
      <c r="F118" s="275" t="str">
        <f>VLOOKUP($AG$430,$AE$422:$AF$433,2)</f>
        <v>Nov</v>
      </c>
      <c r="G118" s="272">
        <f t="shared" si="24"/>
        <v>0</v>
      </c>
      <c r="H118" s="272">
        <f t="shared" si="27"/>
        <v>0</v>
      </c>
      <c r="I118" s="272">
        <f t="shared" si="28"/>
        <v>0</v>
      </c>
      <c r="J118" s="272">
        <f t="shared" si="25"/>
        <v>0</v>
      </c>
      <c r="K118" s="272">
        <f>IF(ISTEXT($M$4),"",SUM(I$50:I118))</f>
        <v>0</v>
      </c>
      <c r="L118" s="272">
        <f>IF(ISTEXT($M$4),"",SUM(J$50:J118))</f>
        <v>0</v>
      </c>
      <c r="M118" s="271">
        <f t="shared" si="26"/>
        <v>0</v>
      </c>
      <c r="N118" s="291" t="e">
        <f>IF(C118='Operating Assumptions'!$C$48,"Construction Finish","")</f>
        <v>#N/A</v>
      </c>
      <c r="O118" s="291"/>
      <c r="P118" s="291"/>
      <c r="Q118" s="291"/>
      <c r="R118" s="291"/>
      <c r="S118" s="291"/>
      <c r="T118" s="291"/>
      <c r="U118" s="291"/>
      <c r="V118" s="292"/>
      <c r="W118" s="292"/>
      <c r="X118" s="292"/>
      <c r="Y118" s="291"/>
      <c r="Z118" s="279"/>
      <c r="AA118" s="279"/>
      <c r="AB118" s="279"/>
    </row>
    <row r="119" spans="2:28" s="278" customFormat="1" ht="11.65" hidden="1" customHeight="1" outlineLevel="1" x14ac:dyDescent="0.25">
      <c r="B119" s="270" t="e">
        <f>IF(AND($C119&gt;='TIF Loan Amortization'!$H$480,$C119&lt;='TIF Loan Amortization'!$I$480),'TIF Loan Amortization'!$G$480,IF(AND($C119&gt;='TIF Loan Amortization'!$H$481,$C119&lt;='TIF Loan Amortization'!I$481),'TIF Loan Amortization'!$G$481,IF(AND($C119&gt;='TIF Loan Amortization'!$H$482,$C119&lt;='TIF Loan Amortization'!I$482),'TIF Loan Amortization'!$G$482,IF(AND($C119&gt;='TIF Loan Amortization'!$H$483,$C119&lt;='TIF Loan Amortization'!I$483),'TIF Loan Amortization'!$G$483,IF(AND($C119&gt;='TIF Loan Amortization'!$H$484,$C119&lt;='TIF Loan Amortization'!I$484),'TIF Loan Amortization'!$G$484,IF(AND($C119&gt;='TIF Loan Amortization'!$H$485,$C119&lt;='TIF Loan Amortization'!I$485),'TIF Loan Amortization'!$G$485,IF(AND($C119&gt;='TIF Loan Amortization'!$H$486,$C119&lt;='TIF Loan Amortization'!I$486),'TIF Loan Amortization'!$G$486,IF(AND($C119&gt;='TIF Loan Amortization'!$H$487,$C119&lt;='TIF Loan Amortization'!I$487),'TIF Loan Amortization'!$G$487,IF(AND($C119&gt;='TIF Loan Amortization'!$H$488,$C119&lt;='TIF Loan Amortization'!I$488),'TIF Loan Amortization'!$G$488,IF(AND($C119&gt;='TIF Loan Amortization'!$H$489,$C119&lt;='TIF Loan Amortization'!I$489),'TIF Loan Amortization'!$G$489,IF(AND($C119&gt;='TIF Loan Amortization'!$H$490,$C119&lt;='TIF Loan Amortization'!I$490),'TIF Loan Amortization'!$G$490,IF(AND($C119&gt;='TIF Loan Amortization'!$H$491,$C119&lt;='TIF Loan Amortization'!I$491),'TIF Loan Amortization'!$G$491,IF(AND($C119&gt;='TIF Loan Amortization'!$H$492,$C119&lt;='TIF Loan Amortization'!I$492),'TIF Loan Amortization'!$G$492,IF(AND($C119&gt;='TIF Loan Amortization'!$H$493,$C119&lt;='TIF Loan Amortization'!I$493),'TIF Loan Amortization'!$G$493,IF(AND($C119&gt;='TIF Loan Amortization'!$H$494,$C119&lt;='TIF Loan Amortization'!I$494),'TIF Loan Amortization'!$G$494,IF(AND($C119&gt;='TIF Loan Amortization'!$H$495,$C119&lt;='TIF Loan Amortization'!I$495),'TIF Loan Amortization'!$G$495,IF(AND($C119&gt;='TIF Loan Amortization'!$H$496,$C119&lt;='TIF Loan Amortization'!I$496),'TIF Loan Amortization'!$G$496,IF(AND($C119&gt;='TIF Loan Amortization'!$H$497,$C119&lt;='TIF Loan Amortization'!I$497),'TIF Loan Amortization'!$G$497,IF(AND($C119&gt;='TIF Loan Amortization'!$H$498,$C119&lt;='TIF Loan Amortization'!I$498),'TIF Loan Amortization'!$G$498,IF(AND($C119&gt;='TIF Loan Amortization'!$H$499,$C119&lt;='TIF Loan Amortization'!I$499),'TIF Loan Amortization'!$G$499,IF(AND($C119&gt;='TIF Loan Amortization'!$H$500,$C119&lt;='TIF Loan Amortization'!I$500),'TIF Loan Amortization'!$G$500,IF(AND($C119&gt;='TIF Loan Amortization'!$H$501,$C119&lt;='TIF Loan Amortization'!I$501),'TIF Loan Amortization'!$G$501,IF(AND($C119&gt;='TIF Loan Amortization'!$H$502,$C119&lt;='TIF Loan Amortization'!I$502),'TIF Loan Amortization'!$G$502,IF(AND($C119&gt;='TIF Loan Amortization'!$H$503,$C119&lt;='TIF Loan Amortization'!I$503),'TIF Loan Amortization'!$G$503,IF(AND($C119&gt;='TIF Loan Amortization'!$H$504,$C119&lt;='TIF Loan Amortization'!I$504),'TIF Loan Amortization'!$G$504,IF(AND($C119&gt;='TIF Loan Amortization'!$H$505,$C119&lt;='TIF Loan Amortization'!I$505),'TIF Loan Amortization'!$G$505,IF(AND($C119&gt;='TIF Loan Amortization'!$H$506,$C119&lt;='TIF Loan Amortization'!I$506),'TIF Loan Amortization'!$G$506,IF(AND($C119&gt;='TIF Loan Amortization'!$H$507,$C119&lt;='TIF Loan Amortization'!I$507),'TIF Loan Amortization'!$G$507,IF(AND($C119&gt;='TIF Loan Amortization'!$H$508,$C119&lt;='TIF Loan Amortization'!I$508),'TIF Loan Amortization'!$G$508,IF(AND($C119&gt;='TIF Loan Amortization'!$H$509,$C119&lt;='TIF Loan Amortization'!I$509),'TIF Loan Amortization'!$G$509,IF(AND($C119&gt;='TIF Loan Amortization'!$H$510,$C119&lt;='TIF Loan Amortization'!I$510),'TIF Loan Amortization'!$G$510,IF(AND($C119&gt;='TIF Loan Amortization'!$H$511,$C119&lt;='TIF Loan Amortization'!I$511),'TIF Loan Amortization'!$G$511,IF(AND($C119&gt;='TIF Loan Amortization'!$H$512,$C119&lt;='TIF Loan Amortization'!I$512),'TIF Loan Amortization'!$G$512,IF(AND($C119&gt;='TIF Loan Amortization'!$H$513,$C119&lt;='TIF Loan Amortization'!I$513),'TIF Loan Amortization'!$G$513,IF(AND($C119&gt;='TIF Loan Amortization'!$H$514,$C119&lt;='TIF Loan Amortization'!I$514),'TIF Loan Amortization'!$G$514,IF(AND($C119&gt;='TIF Loan Amortization'!$H$515,$C119&lt;='TIF Loan Amortization'!I$515),'TIF Loan Amortization'!$G$515,IF(AND($C119&gt;='TIF Loan Amortization'!$H$516,$C119&lt;='TIF Loan Amortization'!I$516),'TIF Loan Amortization'!$G$516,IF(AND($C119&gt;='TIF Loan Amortization'!$H$517,$C119&lt;='TIF Loan Amortization'!I$517),'TIF Loan Amortization'!$G$517,IF(AND($C119&gt;='TIF Loan Amortization'!$H$518,$C119&lt;='TIF Loan Amortization'!I$518),'TIF Loan Amortization'!$G$518,IF(AND($C119&gt;='TIF Loan Amortization'!$H$519,$C119&lt;='TIF Loan Amortization'!I$519),'TIF Loan Amortization'!$G$519))))))))))))))))))))))))))))))))))))))))</f>
        <v>#N/A</v>
      </c>
      <c r="C119" s="269" t="e">
        <f t="shared" si="23"/>
        <v>#N/A</v>
      </c>
      <c r="D119" s="281" t="str">
        <f>IF($AG$431=1,$H$10+6,"")</f>
        <v/>
      </c>
      <c r="E119" s="274">
        <v>69</v>
      </c>
      <c r="F119" s="275" t="str">
        <f>VLOOKUP($AG$431,$AE$422:$AF$433,2)</f>
        <v>Dec</v>
      </c>
      <c r="G119" s="272">
        <f t="shared" si="24"/>
        <v>0</v>
      </c>
      <c r="H119" s="272">
        <f t="shared" si="27"/>
        <v>0</v>
      </c>
      <c r="I119" s="272">
        <f t="shared" si="28"/>
        <v>0</v>
      </c>
      <c r="J119" s="272">
        <f t="shared" si="25"/>
        <v>0</v>
      </c>
      <c r="K119" s="272">
        <f>IF(ISTEXT($M$4),"",SUM(I$50:I119))</f>
        <v>0</v>
      </c>
      <c r="L119" s="272">
        <f>IF(ISTEXT($M$4),"",SUM(J$50:J119))</f>
        <v>0</v>
      </c>
      <c r="M119" s="271">
        <f t="shared" si="26"/>
        <v>0</v>
      </c>
      <c r="N119" s="291" t="e">
        <f>IF(C119='Operating Assumptions'!$C$48,"Construction Finish","")</f>
        <v>#N/A</v>
      </c>
      <c r="O119" s="291"/>
      <c r="P119" s="291"/>
      <c r="Q119" s="291"/>
      <c r="R119" s="291"/>
      <c r="S119" s="291"/>
      <c r="T119" s="291"/>
      <c r="U119" s="291"/>
      <c r="V119" s="292"/>
      <c r="W119" s="292"/>
      <c r="X119" s="292"/>
      <c r="Y119" s="291"/>
      <c r="Z119" s="279"/>
      <c r="AA119" s="279"/>
      <c r="AB119" s="279"/>
    </row>
    <row r="120" spans="2:28" s="278" customFormat="1" ht="11.65" hidden="1" customHeight="1" outlineLevel="1" x14ac:dyDescent="0.25">
      <c r="B120" s="270" t="e">
        <f>IF(AND($C120&gt;='TIF Loan Amortization'!$H$480,$C120&lt;='TIF Loan Amortization'!$I$480),'TIF Loan Amortization'!$G$480,IF(AND($C120&gt;='TIF Loan Amortization'!$H$481,$C120&lt;='TIF Loan Amortization'!I$481),'TIF Loan Amortization'!$G$481,IF(AND($C120&gt;='TIF Loan Amortization'!$H$482,$C120&lt;='TIF Loan Amortization'!I$482),'TIF Loan Amortization'!$G$482,IF(AND($C120&gt;='TIF Loan Amortization'!$H$483,$C120&lt;='TIF Loan Amortization'!I$483),'TIF Loan Amortization'!$G$483,IF(AND($C120&gt;='TIF Loan Amortization'!$H$484,$C120&lt;='TIF Loan Amortization'!I$484),'TIF Loan Amortization'!$G$484,IF(AND($C120&gt;='TIF Loan Amortization'!$H$485,$C120&lt;='TIF Loan Amortization'!I$485),'TIF Loan Amortization'!$G$485,IF(AND($C120&gt;='TIF Loan Amortization'!$H$486,$C120&lt;='TIF Loan Amortization'!I$486),'TIF Loan Amortization'!$G$486,IF(AND($C120&gt;='TIF Loan Amortization'!$H$487,$C120&lt;='TIF Loan Amortization'!I$487),'TIF Loan Amortization'!$G$487,IF(AND($C120&gt;='TIF Loan Amortization'!$H$488,$C120&lt;='TIF Loan Amortization'!I$488),'TIF Loan Amortization'!$G$488,IF(AND($C120&gt;='TIF Loan Amortization'!$H$489,$C120&lt;='TIF Loan Amortization'!I$489),'TIF Loan Amortization'!$G$489,IF(AND($C120&gt;='TIF Loan Amortization'!$H$490,$C120&lt;='TIF Loan Amortization'!I$490),'TIF Loan Amortization'!$G$490,IF(AND($C120&gt;='TIF Loan Amortization'!$H$491,$C120&lt;='TIF Loan Amortization'!I$491),'TIF Loan Amortization'!$G$491,IF(AND($C120&gt;='TIF Loan Amortization'!$H$492,$C120&lt;='TIF Loan Amortization'!I$492),'TIF Loan Amortization'!$G$492,IF(AND($C120&gt;='TIF Loan Amortization'!$H$493,$C120&lt;='TIF Loan Amortization'!I$493),'TIF Loan Amortization'!$G$493,IF(AND($C120&gt;='TIF Loan Amortization'!$H$494,$C120&lt;='TIF Loan Amortization'!I$494),'TIF Loan Amortization'!$G$494,IF(AND($C120&gt;='TIF Loan Amortization'!$H$495,$C120&lt;='TIF Loan Amortization'!I$495),'TIF Loan Amortization'!$G$495,IF(AND($C120&gt;='TIF Loan Amortization'!$H$496,$C120&lt;='TIF Loan Amortization'!I$496),'TIF Loan Amortization'!$G$496,IF(AND($C120&gt;='TIF Loan Amortization'!$H$497,$C120&lt;='TIF Loan Amortization'!I$497),'TIF Loan Amortization'!$G$497,IF(AND($C120&gt;='TIF Loan Amortization'!$H$498,$C120&lt;='TIF Loan Amortization'!I$498),'TIF Loan Amortization'!$G$498,IF(AND($C120&gt;='TIF Loan Amortization'!$H$499,$C120&lt;='TIF Loan Amortization'!I$499),'TIF Loan Amortization'!$G$499,IF(AND($C120&gt;='TIF Loan Amortization'!$H$500,$C120&lt;='TIF Loan Amortization'!I$500),'TIF Loan Amortization'!$G$500,IF(AND($C120&gt;='TIF Loan Amortization'!$H$501,$C120&lt;='TIF Loan Amortization'!I$501),'TIF Loan Amortization'!$G$501,IF(AND($C120&gt;='TIF Loan Amortization'!$H$502,$C120&lt;='TIF Loan Amortization'!I$502),'TIF Loan Amortization'!$G$502,IF(AND($C120&gt;='TIF Loan Amortization'!$H$503,$C120&lt;='TIF Loan Amortization'!I$503),'TIF Loan Amortization'!$G$503,IF(AND($C120&gt;='TIF Loan Amortization'!$H$504,$C120&lt;='TIF Loan Amortization'!I$504),'TIF Loan Amortization'!$G$504,IF(AND($C120&gt;='TIF Loan Amortization'!$H$505,$C120&lt;='TIF Loan Amortization'!I$505),'TIF Loan Amortization'!$G$505,IF(AND($C120&gt;='TIF Loan Amortization'!$H$506,$C120&lt;='TIF Loan Amortization'!I$506),'TIF Loan Amortization'!$G$506,IF(AND($C120&gt;='TIF Loan Amortization'!$H$507,$C120&lt;='TIF Loan Amortization'!I$507),'TIF Loan Amortization'!$G$507,IF(AND($C120&gt;='TIF Loan Amortization'!$H$508,$C120&lt;='TIF Loan Amortization'!I$508),'TIF Loan Amortization'!$G$508,IF(AND($C120&gt;='TIF Loan Amortization'!$H$509,$C120&lt;='TIF Loan Amortization'!I$509),'TIF Loan Amortization'!$G$509,IF(AND($C120&gt;='TIF Loan Amortization'!$H$510,$C120&lt;='TIF Loan Amortization'!I$510),'TIF Loan Amortization'!$G$510,IF(AND($C120&gt;='TIF Loan Amortization'!$H$511,$C120&lt;='TIF Loan Amortization'!I$511),'TIF Loan Amortization'!$G$511,IF(AND($C120&gt;='TIF Loan Amortization'!$H$512,$C120&lt;='TIF Loan Amortization'!I$512),'TIF Loan Amortization'!$G$512,IF(AND($C120&gt;='TIF Loan Amortization'!$H$513,$C120&lt;='TIF Loan Amortization'!I$513),'TIF Loan Amortization'!$G$513,IF(AND($C120&gt;='TIF Loan Amortization'!$H$514,$C120&lt;='TIF Loan Amortization'!I$514),'TIF Loan Amortization'!$G$514,IF(AND($C120&gt;='TIF Loan Amortization'!$H$515,$C120&lt;='TIF Loan Amortization'!I$515),'TIF Loan Amortization'!$G$515,IF(AND($C120&gt;='TIF Loan Amortization'!$H$516,$C120&lt;='TIF Loan Amortization'!I$516),'TIF Loan Amortization'!$G$516,IF(AND($C120&gt;='TIF Loan Amortization'!$H$517,$C120&lt;='TIF Loan Amortization'!I$517),'TIF Loan Amortization'!$G$517,IF(AND($C120&gt;='TIF Loan Amortization'!$H$518,$C120&lt;='TIF Loan Amortization'!I$518),'TIF Loan Amortization'!$G$518,IF(AND($C120&gt;='TIF Loan Amortization'!$H$519,$C120&lt;='TIF Loan Amortization'!I$519),'TIF Loan Amortization'!$G$519))))))))))))))))))))))))))))))))))))))))</f>
        <v>#N/A</v>
      </c>
      <c r="C120" s="269" t="e">
        <f t="shared" si="23"/>
        <v>#N/A</v>
      </c>
      <c r="D120" s="281">
        <f>IF($AG$432=1,$H$10+6,"")</f>
        <v>2031</v>
      </c>
      <c r="E120" s="274">
        <v>70</v>
      </c>
      <c r="F120" s="273" t="str">
        <f>VLOOKUP($AG$432,$AE$422:$AF$433,2)</f>
        <v>Jan</v>
      </c>
      <c r="G120" s="272">
        <f t="shared" si="24"/>
        <v>0</v>
      </c>
      <c r="H120" s="272">
        <f t="shared" si="27"/>
        <v>0</v>
      </c>
      <c r="I120" s="272">
        <f t="shared" si="28"/>
        <v>0</v>
      </c>
      <c r="J120" s="272">
        <f t="shared" si="25"/>
        <v>0</v>
      </c>
      <c r="K120" s="272">
        <f>IF(ISTEXT($M$4),"",SUM(I$50:I120))</f>
        <v>0</v>
      </c>
      <c r="L120" s="272">
        <f>IF(ISTEXT($M$4),"",SUM(J$50:J120))</f>
        <v>0</v>
      </c>
      <c r="M120" s="271">
        <f t="shared" si="26"/>
        <v>0</v>
      </c>
      <c r="N120" s="291" t="e">
        <f>IF(C120='Operating Assumptions'!$C$48,"Construction Finish","")</f>
        <v>#N/A</v>
      </c>
      <c r="O120" s="291"/>
      <c r="P120" s="291"/>
      <c r="Q120" s="291"/>
      <c r="R120" s="291"/>
      <c r="S120" s="291"/>
      <c r="T120" s="291"/>
      <c r="U120" s="291"/>
      <c r="V120" s="292"/>
      <c r="W120" s="292"/>
      <c r="X120" s="292"/>
      <c r="Y120" s="291"/>
      <c r="Z120" s="279"/>
      <c r="AA120" s="279"/>
      <c r="AB120" s="279"/>
    </row>
    <row r="121" spans="2:28" s="278" customFormat="1" ht="11.65" hidden="1" customHeight="1" outlineLevel="1" x14ac:dyDescent="0.25">
      <c r="B121" s="270" t="e">
        <f>IF(AND($C121&gt;='TIF Loan Amortization'!$H$480,$C121&lt;='TIF Loan Amortization'!$I$480),'TIF Loan Amortization'!$G$480,IF(AND($C121&gt;='TIF Loan Amortization'!$H$481,$C121&lt;='TIF Loan Amortization'!I$481),'TIF Loan Amortization'!$G$481,IF(AND($C121&gt;='TIF Loan Amortization'!$H$482,$C121&lt;='TIF Loan Amortization'!I$482),'TIF Loan Amortization'!$G$482,IF(AND($C121&gt;='TIF Loan Amortization'!$H$483,$C121&lt;='TIF Loan Amortization'!I$483),'TIF Loan Amortization'!$G$483,IF(AND($C121&gt;='TIF Loan Amortization'!$H$484,$C121&lt;='TIF Loan Amortization'!I$484),'TIF Loan Amortization'!$G$484,IF(AND($C121&gt;='TIF Loan Amortization'!$H$485,$C121&lt;='TIF Loan Amortization'!I$485),'TIF Loan Amortization'!$G$485,IF(AND($C121&gt;='TIF Loan Amortization'!$H$486,$C121&lt;='TIF Loan Amortization'!I$486),'TIF Loan Amortization'!$G$486,IF(AND($C121&gt;='TIF Loan Amortization'!$H$487,$C121&lt;='TIF Loan Amortization'!I$487),'TIF Loan Amortization'!$G$487,IF(AND($C121&gt;='TIF Loan Amortization'!$H$488,$C121&lt;='TIF Loan Amortization'!I$488),'TIF Loan Amortization'!$G$488,IF(AND($C121&gt;='TIF Loan Amortization'!$H$489,$C121&lt;='TIF Loan Amortization'!I$489),'TIF Loan Amortization'!$G$489,IF(AND($C121&gt;='TIF Loan Amortization'!$H$490,$C121&lt;='TIF Loan Amortization'!I$490),'TIF Loan Amortization'!$G$490,IF(AND($C121&gt;='TIF Loan Amortization'!$H$491,$C121&lt;='TIF Loan Amortization'!I$491),'TIF Loan Amortization'!$G$491,IF(AND($C121&gt;='TIF Loan Amortization'!$H$492,$C121&lt;='TIF Loan Amortization'!I$492),'TIF Loan Amortization'!$G$492,IF(AND($C121&gt;='TIF Loan Amortization'!$H$493,$C121&lt;='TIF Loan Amortization'!I$493),'TIF Loan Amortization'!$G$493,IF(AND($C121&gt;='TIF Loan Amortization'!$H$494,$C121&lt;='TIF Loan Amortization'!I$494),'TIF Loan Amortization'!$G$494,IF(AND($C121&gt;='TIF Loan Amortization'!$H$495,$C121&lt;='TIF Loan Amortization'!I$495),'TIF Loan Amortization'!$G$495,IF(AND($C121&gt;='TIF Loan Amortization'!$H$496,$C121&lt;='TIF Loan Amortization'!I$496),'TIF Loan Amortization'!$G$496,IF(AND($C121&gt;='TIF Loan Amortization'!$H$497,$C121&lt;='TIF Loan Amortization'!I$497),'TIF Loan Amortization'!$G$497,IF(AND($C121&gt;='TIF Loan Amortization'!$H$498,$C121&lt;='TIF Loan Amortization'!I$498),'TIF Loan Amortization'!$G$498,IF(AND($C121&gt;='TIF Loan Amortization'!$H$499,$C121&lt;='TIF Loan Amortization'!I$499),'TIF Loan Amortization'!$G$499,IF(AND($C121&gt;='TIF Loan Amortization'!$H$500,$C121&lt;='TIF Loan Amortization'!I$500),'TIF Loan Amortization'!$G$500,IF(AND($C121&gt;='TIF Loan Amortization'!$H$501,$C121&lt;='TIF Loan Amortization'!I$501),'TIF Loan Amortization'!$G$501,IF(AND($C121&gt;='TIF Loan Amortization'!$H$502,$C121&lt;='TIF Loan Amortization'!I$502),'TIF Loan Amortization'!$G$502,IF(AND($C121&gt;='TIF Loan Amortization'!$H$503,$C121&lt;='TIF Loan Amortization'!I$503),'TIF Loan Amortization'!$G$503,IF(AND($C121&gt;='TIF Loan Amortization'!$H$504,$C121&lt;='TIF Loan Amortization'!I$504),'TIF Loan Amortization'!$G$504,IF(AND($C121&gt;='TIF Loan Amortization'!$H$505,$C121&lt;='TIF Loan Amortization'!I$505),'TIF Loan Amortization'!$G$505,IF(AND($C121&gt;='TIF Loan Amortization'!$H$506,$C121&lt;='TIF Loan Amortization'!I$506),'TIF Loan Amortization'!$G$506,IF(AND($C121&gt;='TIF Loan Amortization'!$H$507,$C121&lt;='TIF Loan Amortization'!I$507),'TIF Loan Amortization'!$G$507,IF(AND($C121&gt;='TIF Loan Amortization'!$H$508,$C121&lt;='TIF Loan Amortization'!I$508),'TIF Loan Amortization'!$G$508,IF(AND($C121&gt;='TIF Loan Amortization'!$H$509,$C121&lt;='TIF Loan Amortization'!I$509),'TIF Loan Amortization'!$G$509,IF(AND($C121&gt;='TIF Loan Amortization'!$H$510,$C121&lt;='TIF Loan Amortization'!I$510),'TIF Loan Amortization'!$G$510,IF(AND($C121&gt;='TIF Loan Amortization'!$H$511,$C121&lt;='TIF Loan Amortization'!I$511),'TIF Loan Amortization'!$G$511,IF(AND($C121&gt;='TIF Loan Amortization'!$H$512,$C121&lt;='TIF Loan Amortization'!I$512),'TIF Loan Amortization'!$G$512,IF(AND($C121&gt;='TIF Loan Amortization'!$H$513,$C121&lt;='TIF Loan Amortization'!I$513),'TIF Loan Amortization'!$G$513,IF(AND($C121&gt;='TIF Loan Amortization'!$H$514,$C121&lt;='TIF Loan Amortization'!I$514),'TIF Loan Amortization'!$G$514,IF(AND($C121&gt;='TIF Loan Amortization'!$H$515,$C121&lt;='TIF Loan Amortization'!I$515),'TIF Loan Amortization'!$G$515,IF(AND($C121&gt;='TIF Loan Amortization'!$H$516,$C121&lt;='TIF Loan Amortization'!I$516),'TIF Loan Amortization'!$G$516,IF(AND($C121&gt;='TIF Loan Amortization'!$H$517,$C121&lt;='TIF Loan Amortization'!I$517),'TIF Loan Amortization'!$G$517,IF(AND($C121&gt;='TIF Loan Amortization'!$H$518,$C121&lt;='TIF Loan Amortization'!I$518),'TIF Loan Amortization'!$G$518,IF(AND($C121&gt;='TIF Loan Amortization'!$H$519,$C121&lt;='TIF Loan Amortization'!I$519),'TIF Loan Amortization'!$G$519))))))))))))))))))))))))))))))))))))))))</f>
        <v>#N/A</v>
      </c>
      <c r="C121" s="269" t="e">
        <f t="shared" si="23"/>
        <v>#N/A</v>
      </c>
      <c r="D121" s="281" t="str">
        <f>IF($AG$433=1,$H$10+6,"")</f>
        <v/>
      </c>
      <c r="E121" s="274">
        <v>71</v>
      </c>
      <c r="F121" s="273" t="str">
        <f>VLOOKUP($AG$433,$AE$422:$AF$433,2)</f>
        <v>Feb</v>
      </c>
      <c r="G121" s="272">
        <f t="shared" si="24"/>
        <v>0</v>
      </c>
      <c r="H121" s="272">
        <f t="shared" si="27"/>
        <v>0</v>
      </c>
      <c r="I121" s="272">
        <f t="shared" si="28"/>
        <v>0</v>
      </c>
      <c r="J121" s="272">
        <f t="shared" si="25"/>
        <v>0</v>
      </c>
      <c r="K121" s="272">
        <f>IF(ISTEXT($M$4),"",SUM(I$50:I121))</f>
        <v>0</v>
      </c>
      <c r="L121" s="272">
        <f>IF(ISTEXT($M$4),"",SUM(J$50:J121))</f>
        <v>0</v>
      </c>
      <c r="M121" s="271">
        <f t="shared" si="26"/>
        <v>0</v>
      </c>
      <c r="N121" s="291" t="e">
        <f>IF(C121='Operating Assumptions'!$C$48,"Construction Finish","")</f>
        <v>#N/A</v>
      </c>
      <c r="O121" s="291"/>
      <c r="P121" s="291"/>
      <c r="Q121" s="291"/>
      <c r="R121" s="291"/>
      <c r="S121" s="291"/>
      <c r="T121" s="291"/>
      <c r="U121" s="291"/>
      <c r="V121" s="292"/>
      <c r="W121" s="292"/>
      <c r="X121" s="292"/>
      <c r="Y121" s="291"/>
      <c r="Z121" s="279"/>
      <c r="AA121" s="279"/>
      <c r="AB121" s="279"/>
    </row>
    <row r="122" spans="2:28" s="278" customFormat="1" ht="11.65" hidden="1" customHeight="1" outlineLevel="1" x14ac:dyDescent="0.25">
      <c r="B122" s="270" t="e">
        <f>IF(AND($C122&gt;='TIF Loan Amortization'!$H$480,$C122&lt;='TIF Loan Amortization'!$I$480),'TIF Loan Amortization'!$G$480,IF(AND($C122&gt;='TIF Loan Amortization'!$H$481,$C122&lt;='TIF Loan Amortization'!I$481),'TIF Loan Amortization'!$G$481,IF(AND($C122&gt;='TIF Loan Amortization'!$H$482,$C122&lt;='TIF Loan Amortization'!I$482),'TIF Loan Amortization'!$G$482,IF(AND($C122&gt;='TIF Loan Amortization'!$H$483,$C122&lt;='TIF Loan Amortization'!I$483),'TIF Loan Amortization'!$G$483,IF(AND($C122&gt;='TIF Loan Amortization'!$H$484,$C122&lt;='TIF Loan Amortization'!I$484),'TIF Loan Amortization'!$G$484,IF(AND($C122&gt;='TIF Loan Amortization'!$H$485,$C122&lt;='TIF Loan Amortization'!I$485),'TIF Loan Amortization'!$G$485,IF(AND($C122&gt;='TIF Loan Amortization'!$H$486,$C122&lt;='TIF Loan Amortization'!I$486),'TIF Loan Amortization'!$G$486,IF(AND($C122&gt;='TIF Loan Amortization'!$H$487,$C122&lt;='TIF Loan Amortization'!I$487),'TIF Loan Amortization'!$G$487,IF(AND($C122&gt;='TIF Loan Amortization'!$H$488,$C122&lt;='TIF Loan Amortization'!I$488),'TIF Loan Amortization'!$G$488,IF(AND($C122&gt;='TIF Loan Amortization'!$H$489,$C122&lt;='TIF Loan Amortization'!I$489),'TIF Loan Amortization'!$G$489,IF(AND($C122&gt;='TIF Loan Amortization'!$H$490,$C122&lt;='TIF Loan Amortization'!I$490),'TIF Loan Amortization'!$G$490,IF(AND($C122&gt;='TIF Loan Amortization'!$H$491,$C122&lt;='TIF Loan Amortization'!I$491),'TIF Loan Amortization'!$G$491,IF(AND($C122&gt;='TIF Loan Amortization'!$H$492,$C122&lt;='TIF Loan Amortization'!I$492),'TIF Loan Amortization'!$G$492,IF(AND($C122&gt;='TIF Loan Amortization'!$H$493,$C122&lt;='TIF Loan Amortization'!I$493),'TIF Loan Amortization'!$G$493,IF(AND($C122&gt;='TIF Loan Amortization'!$H$494,$C122&lt;='TIF Loan Amortization'!I$494),'TIF Loan Amortization'!$G$494,IF(AND($C122&gt;='TIF Loan Amortization'!$H$495,$C122&lt;='TIF Loan Amortization'!I$495),'TIF Loan Amortization'!$G$495,IF(AND($C122&gt;='TIF Loan Amortization'!$H$496,$C122&lt;='TIF Loan Amortization'!I$496),'TIF Loan Amortization'!$G$496,IF(AND($C122&gt;='TIF Loan Amortization'!$H$497,$C122&lt;='TIF Loan Amortization'!I$497),'TIF Loan Amortization'!$G$497,IF(AND($C122&gt;='TIF Loan Amortization'!$H$498,$C122&lt;='TIF Loan Amortization'!I$498),'TIF Loan Amortization'!$G$498,IF(AND($C122&gt;='TIF Loan Amortization'!$H$499,$C122&lt;='TIF Loan Amortization'!I$499),'TIF Loan Amortization'!$G$499,IF(AND($C122&gt;='TIF Loan Amortization'!$H$500,$C122&lt;='TIF Loan Amortization'!I$500),'TIF Loan Amortization'!$G$500,IF(AND($C122&gt;='TIF Loan Amortization'!$H$501,$C122&lt;='TIF Loan Amortization'!I$501),'TIF Loan Amortization'!$G$501,IF(AND($C122&gt;='TIF Loan Amortization'!$H$502,$C122&lt;='TIF Loan Amortization'!I$502),'TIF Loan Amortization'!$G$502,IF(AND($C122&gt;='TIF Loan Amortization'!$H$503,$C122&lt;='TIF Loan Amortization'!I$503),'TIF Loan Amortization'!$G$503,IF(AND($C122&gt;='TIF Loan Amortization'!$H$504,$C122&lt;='TIF Loan Amortization'!I$504),'TIF Loan Amortization'!$G$504,IF(AND($C122&gt;='TIF Loan Amortization'!$H$505,$C122&lt;='TIF Loan Amortization'!I$505),'TIF Loan Amortization'!$G$505,IF(AND($C122&gt;='TIF Loan Amortization'!$H$506,$C122&lt;='TIF Loan Amortization'!I$506),'TIF Loan Amortization'!$G$506,IF(AND($C122&gt;='TIF Loan Amortization'!$H$507,$C122&lt;='TIF Loan Amortization'!I$507),'TIF Loan Amortization'!$G$507,IF(AND($C122&gt;='TIF Loan Amortization'!$H$508,$C122&lt;='TIF Loan Amortization'!I$508),'TIF Loan Amortization'!$G$508,IF(AND($C122&gt;='TIF Loan Amortization'!$H$509,$C122&lt;='TIF Loan Amortization'!I$509),'TIF Loan Amortization'!$G$509,IF(AND($C122&gt;='TIF Loan Amortization'!$H$510,$C122&lt;='TIF Loan Amortization'!I$510),'TIF Loan Amortization'!$G$510,IF(AND($C122&gt;='TIF Loan Amortization'!$H$511,$C122&lt;='TIF Loan Amortization'!I$511),'TIF Loan Amortization'!$G$511,IF(AND($C122&gt;='TIF Loan Amortization'!$H$512,$C122&lt;='TIF Loan Amortization'!I$512),'TIF Loan Amortization'!$G$512,IF(AND($C122&gt;='TIF Loan Amortization'!$H$513,$C122&lt;='TIF Loan Amortization'!I$513),'TIF Loan Amortization'!$G$513,IF(AND($C122&gt;='TIF Loan Amortization'!$H$514,$C122&lt;='TIF Loan Amortization'!I$514),'TIF Loan Amortization'!$G$514,IF(AND($C122&gt;='TIF Loan Amortization'!$H$515,$C122&lt;='TIF Loan Amortization'!I$515),'TIF Loan Amortization'!$G$515,IF(AND($C122&gt;='TIF Loan Amortization'!$H$516,$C122&lt;='TIF Loan Amortization'!I$516),'TIF Loan Amortization'!$G$516,IF(AND($C122&gt;='TIF Loan Amortization'!$H$517,$C122&lt;='TIF Loan Amortization'!I$517),'TIF Loan Amortization'!$G$517,IF(AND($C122&gt;='TIF Loan Amortization'!$H$518,$C122&lt;='TIF Loan Amortization'!I$518),'TIF Loan Amortization'!$G$518,IF(AND($C122&gt;='TIF Loan Amortization'!$H$519,$C122&lt;='TIF Loan Amortization'!I$519),'TIF Loan Amortization'!$G$519))))))))))))))))))))))))))))))))))))))))</f>
        <v>#N/A</v>
      </c>
      <c r="C122" s="269" t="e">
        <f t="shared" si="23"/>
        <v>#N/A</v>
      </c>
      <c r="D122" s="281" t="str">
        <f>IF($H$11="January",$H$10+6,IF($AG$422=1,$H$10+7,""))</f>
        <v/>
      </c>
      <c r="E122" s="274">
        <v>72</v>
      </c>
      <c r="F122" s="273" t="str">
        <f>VLOOKUP($AG$422,$AE$422:$AF$433,2)</f>
        <v>Mar</v>
      </c>
      <c r="G122" s="272">
        <f t="shared" si="24"/>
        <v>0</v>
      </c>
      <c r="H122" s="272">
        <f t="shared" si="27"/>
        <v>0</v>
      </c>
      <c r="I122" s="272">
        <f t="shared" si="28"/>
        <v>0</v>
      </c>
      <c r="J122" s="272">
        <f t="shared" si="25"/>
        <v>0</v>
      </c>
      <c r="K122" s="272">
        <f>IF(ISTEXT($M$4),"",SUM(I$50:I122))</f>
        <v>0</v>
      </c>
      <c r="L122" s="272">
        <f>IF(ISTEXT($M$4),"",SUM(J$50:J122))</f>
        <v>0</v>
      </c>
      <c r="M122" s="271">
        <f t="shared" si="26"/>
        <v>0</v>
      </c>
      <c r="N122" s="291" t="e">
        <f>IF(C122='Operating Assumptions'!$C$48,"Construction Finish","")</f>
        <v>#N/A</v>
      </c>
      <c r="O122" s="291"/>
      <c r="P122" s="291"/>
      <c r="Q122" s="291"/>
      <c r="R122" s="291"/>
      <c r="S122" s="291"/>
      <c r="T122" s="291"/>
      <c r="U122" s="291"/>
      <c r="V122" s="292"/>
      <c r="W122" s="292"/>
      <c r="X122" s="292"/>
      <c r="Y122" s="291"/>
      <c r="Z122" s="279"/>
      <c r="AA122" s="279"/>
      <c r="AB122" s="279"/>
    </row>
    <row r="123" spans="2:28" s="278" customFormat="1" ht="11.65" hidden="1" customHeight="1" outlineLevel="1" x14ac:dyDescent="0.25">
      <c r="B123" s="270" t="e">
        <f>IF(AND($C123&gt;='TIF Loan Amortization'!$H$480,$C123&lt;='TIF Loan Amortization'!$I$480),'TIF Loan Amortization'!$G$480,IF(AND($C123&gt;='TIF Loan Amortization'!$H$481,$C123&lt;='TIF Loan Amortization'!I$481),'TIF Loan Amortization'!$G$481,IF(AND($C123&gt;='TIF Loan Amortization'!$H$482,$C123&lt;='TIF Loan Amortization'!I$482),'TIF Loan Amortization'!$G$482,IF(AND($C123&gt;='TIF Loan Amortization'!$H$483,$C123&lt;='TIF Loan Amortization'!I$483),'TIF Loan Amortization'!$G$483,IF(AND($C123&gt;='TIF Loan Amortization'!$H$484,$C123&lt;='TIF Loan Amortization'!I$484),'TIF Loan Amortization'!$G$484,IF(AND($C123&gt;='TIF Loan Amortization'!$H$485,$C123&lt;='TIF Loan Amortization'!I$485),'TIF Loan Amortization'!$G$485,IF(AND($C123&gt;='TIF Loan Amortization'!$H$486,$C123&lt;='TIF Loan Amortization'!I$486),'TIF Loan Amortization'!$G$486,IF(AND($C123&gt;='TIF Loan Amortization'!$H$487,$C123&lt;='TIF Loan Amortization'!I$487),'TIF Loan Amortization'!$G$487,IF(AND($C123&gt;='TIF Loan Amortization'!$H$488,$C123&lt;='TIF Loan Amortization'!I$488),'TIF Loan Amortization'!$G$488,IF(AND($C123&gt;='TIF Loan Amortization'!$H$489,$C123&lt;='TIF Loan Amortization'!I$489),'TIF Loan Amortization'!$G$489,IF(AND($C123&gt;='TIF Loan Amortization'!$H$490,$C123&lt;='TIF Loan Amortization'!I$490),'TIF Loan Amortization'!$G$490,IF(AND($C123&gt;='TIF Loan Amortization'!$H$491,$C123&lt;='TIF Loan Amortization'!I$491),'TIF Loan Amortization'!$G$491,IF(AND($C123&gt;='TIF Loan Amortization'!$H$492,$C123&lt;='TIF Loan Amortization'!I$492),'TIF Loan Amortization'!$G$492,IF(AND($C123&gt;='TIF Loan Amortization'!$H$493,$C123&lt;='TIF Loan Amortization'!I$493),'TIF Loan Amortization'!$G$493,IF(AND($C123&gt;='TIF Loan Amortization'!$H$494,$C123&lt;='TIF Loan Amortization'!I$494),'TIF Loan Amortization'!$G$494,IF(AND($C123&gt;='TIF Loan Amortization'!$H$495,$C123&lt;='TIF Loan Amortization'!I$495),'TIF Loan Amortization'!$G$495,IF(AND($C123&gt;='TIF Loan Amortization'!$H$496,$C123&lt;='TIF Loan Amortization'!I$496),'TIF Loan Amortization'!$G$496,IF(AND($C123&gt;='TIF Loan Amortization'!$H$497,$C123&lt;='TIF Loan Amortization'!I$497),'TIF Loan Amortization'!$G$497,IF(AND($C123&gt;='TIF Loan Amortization'!$H$498,$C123&lt;='TIF Loan Amortization'!I$498),'TIF Loan Amortization'!$G$498,IF(AND($C123&gt;='TIF Loan Amortization'!$H$499,$C123&lt;='TIF Loan Amortization'!I$499),'TIF Loan Amortization'!$G$499,IF(AND($C123&gt;='TIF Loan Amortization'!$H$500,$C123&lt;='TIF Loan Amortization'!I$500),'TIF Loan Amortization'!$G$500,IF(AND($C123&gt;='TIF Loan Amortization'!$H$501,$C123&lt;='TIF Loan Amortization'!I$501),'TIF Loan Amortization'!$G$501,IF(AND($C123&gt;='TIF Loan Amortization'!$H$502,$C123&lt;='TIF Loan Amortization'!I$502),'TIF Loan Amortization'!$G$502,IF(AND($C123&gt;='TIF Loan Amortization'!$H$503,$C123&lt;='TIF Loan Amortization'!I$503),'TIF Loan Amortization'!$G$503,IF(AND($C123&gt;='TIF Loan Amortization'!$H$504,$C123&lt;='TIF Loan Amortization'!I$504),'TIF Loan Amortization'!$G$504,IF(AND($C123&gt;='TIF Loan Amortization'!$H$505,$C123&lt;='TIF Loan Amortization'!I$505),'TIF Loan Amortization'!$G$505,IF(AND($C123&gt;='TIF Loan Amortization'!$H$506,$C123&lt;='TIF Loan Amortization'!I$506),'TIF Loan Amortization'!$G$506,IF(AND($C123&gt;='TIF Loan Amortization'!$H$507,$C123&lt;='TIF Loan Amortization'!I$507),'TIF Loan Amortization'!$G$507,IF(AND($C123&gt;='TIF Loan Amortization'!$H$508,$C123&lt;='TIF Loan Amortization'!I$508),'TIF Loan Amortization'!$G$508,IF(AND($C123&gt;='TIF Loan Amortization'!$H$509,$C123&lt;='TIF Loan Amortization'!I$509),'TIF Loan Amortization'!$G$509,IF(AND($C123&gt;='TIF Loan Amortization'!$H$510,$C123&lt;='TIF Loan Amortization'!I$510),'TIF Loan Amortization'!$G$510,IF(AND($C123&gt;='TIF Loan Amortization'!$H$511,$C123&lt;='TIF Loan Amortization'!I$511),'TIF Loan Amortization'!$G$511,IF(AND($C123&gt;='TIF Loan Amortization'!$H$512,$C123&lt;='TIF Loan Amortization'!I$512),'TIF Loan Amortization'!$G$512,IF(AND($C123&gt;='TIF Loan Amortization'!$H$513,$C123&lt;='TIF Loan Amortization'!I$513),'TIF Loan Amortization'!$G$513,IF(AND($C123&gt;='TIF Loan Amortization'!$H$514,$C123&lt;='TIF Loan Amortization'!I$514),'TIF Loan Amortization'!$G$514,IF(AND($C123&gt;='TIF Loan Amortization'!$H$515,$C123&lt;='TIF Loan Amortization'!I$515),'TIF Loan Amortization'!$G$515,IF(AND($C123&gt;='TIF Loan Amortization'!$H$516,$C123&lt;='TIF Loan Amortization'!I$516),'TIF Loan Amortization'!$G$516,IF(AND($C123&gt;='TIF Loan Amortization'!$H$517,$C123&lt;='TIF Loan Amortization'!I$517),'TIF Loan Amortization'!$G$517,IF(AND($C123&gt;='TIF Loan Amortization'!$H$518,$C123&lt;='TIF Loan Amortization'!I$518),'TIF Loan Amortization'!$G$518,IF(AND($C123&gt;='TIF Loan Amortization'!$H$519,$C123&lt;='TIF Loan Amortization'!I$519),'TIF Loan Amortization'!$G$519))))))))))))))))))))))))))))))))))))))))</f>
        <v>#N/A</v>
      </c>
      <c r="C123" s="269" t="e">
        <f t="shared" si="23"/>
        <v>#N/A</v>
      </c>
      <c r="D123" s="281" t="str">
        <f>IF($AG$423=1,$H$10+7,"")</f>
        <v/>
      </c>
      <c r="E123" s="274">
        <v>73</v>
      </c>
      <c r="F123" s="275" t="str">
        <f>VLOOKUP($AG$423,$AE$422:$AF$433,2)</f>
        <v>Apr</v>
      </c>
      <c r="G123" s="272">
        <f t="shared" si="24"/>
        <v>0</v>
      </c>
      <c r="H123" s="272">
        <f t="shared" si="27"/>
        <v>0</v>
      </c>
      <c r="I123" s="272">
        <f t="shared" si="28"/>
        <v>0</v>
      </c>
      <c r="J123" s="272">
        <f t="shared" si="25"/>
        <v>0</v>
      </c>
      <c r="K123" s="272">
        <f>IF(ISTEXT($M$4),"",SUM(I$50:I123))</f>
        <v>0</v>
      </c>
      <c r="L123" s="272">
        <f>IF(ISTEXT($M$4),"",SUM(J$50:J123))</f>
        <v>0</v>
      </c>
      <c r="M123" s="271">
        <f t="shared" si="26"/>
        <v>0</v>
      </c>
      <c r="N123" s="291" t="e">
        <f>IF(C123='Operating Assumptions'!$C$48,"Construction Finish","")</f>
        <v>#N/A</v>
      </c>
      <c r="O123" s="291"/>
      <c r="P123" s="291"/>
      <c r="Q123" s="291"/>
      <c r="R123" s="291"/>
      <c r="S123" s="291"/>
      <c r="T123" s="291"/>
      <c r="U123" s="291"/>
      <c r="V123" s="292"/>
      <c r="W123" s="292"/>
      <c r="X123" s="292"/>
      <c r="Y123" s="291"/>
      <c r="Z123" s="279"/>
      <c r="AA123" s="279"/>
      <c r="AB123" s="279"/>
    </row>
    <row r="124" spans="2:28" s="278" customFormat="1" ht="11.65" hidden="1" customHeight="1" outlineLevel="1" x14ac:dyDescent="0.25">
      <c r="B124" s="270" t="e">
        <f>IF(AND($C124&gt;='TIF Loan Amortization'!$H$480,$C124&lt;='TIF Loan Amortization'!$I$480),'TIF Loan Amortization'!$G$480,IF(AND($C124&gt;='TIF Loan Amortization'!$H$481,$C124&lt;='TIF Loan Amortization'!I$481),'TIF Loan Amortization'!$G$481,IF(AND($C124&gt;='TIF Loan Amortization'!$H$482,$C124&lt;='TIF Loan Amortization'!I$482),'TIF Loan Amortization'!$G$482,IF(AND($C124&gt;='TIF Loan Amortization'!$H$483,$C124&lt;='TIF Loan Amortization'!I$483),'TIF Loan Amortization'!$G$483,IF(AND($C124&gt;='TIF Loan Amortization'!$H$484,$C124&lt;='TIF Loan Amortization'!I$484),'TIF Loan Amortization'!$G$484,IF(AND($C124&gt;='TIF Loan Amortization'!$H$485,$C124&lt;='TIF Loan Amortization'!I$485),'TIF Loan Amortization'!$G$485,IF(AND($C124&gt;='TIF Loan Amortization'!$H$486,$C124&lt;='TIF Loan Amortization'!I$486),'TIF Loan Amortization'!$G$486,IF(AND($C124&gt;='TIF Loan Amortization'!$H$487,$C124&lt;='TIF Loan Amortization'!I$487),'TIF Loan Amortization'!$G$487,IF(AND($C124&gt;='TIF Loan Amortization'!$H$488,$C124&lt;='TIF Loan Amortization'!I$488),'TIF Loan Amortization'!$G$488,IF(AND($C124&gt;='TIF Loan Amortization'!$H$489,$C124&lt;='TIF Loan Amortization'!I$489),'TIF Loan Amortization'!$G$489,IF(AND($C124&gt;='TIF Loan Amortization'!$H$490,$C124&lt;='TIF Loan Amortization'!I$490),'TIF Loan Amortization'!$G$490,IF(AND($C124&gt;='TIF Loan Amortization'!$H$491,$C124&lt;='TIF Loan Amortization'!I$491),'TIF Loan Amortization'!$G$491,IF(AND($C124&gt;='TIF Loan Amortization'!$H$492,$C124&lt;='TIF Loan Amortization'!I$492),'TIF Loan Amortization'!$G$492,IF(AND($C124&gt;='TIF Loan Amortization'!$H$493,$C124&lt;='TIF Loan Amortization'!I$493),'TIF Loan Amortization'!$G$493,IF(AND($C124&gt;='TIF Loan Amortization'!$H$494,$C124&lt;='TIF Loan Amortization'!I$494),'TIF Loan Amortization'!$G$494,IF(AND($C124&gt;='TIF Loan Amortization'!$H$495,$C124&lt;='TIF Loan Amortization'!I$495),'TIF Loan Amortization'!$G$495,IF(AND($C124&gt;='TIF Loan Amortization'!$H$496,$C124&lt;='TIF Loan Amortization'!I$496),'TIF Loan Amortization'!$G$496,IF(AND($C124&gt;='TIF Loan Amortization'!$H$497,$C124&lt;='TIF Loan Amortization'!I$497),'TIF Loan Amortization'!$G$497,IF(AND($C124&gt;='TIF Loan Amortization'!$H$498,$C124&lt;='TIF Loan Amortization'!I$498),'TIF Loan Amortization'!$G$498,IF(AND($C124&gt;='TIF Loan Amortization'!$H$499,$C124&lt;='TIF Loan Amortization'!I$499),'TIF Loan Amortization'!$G$499,IF(AND($C124&gt;='TIF Loan Amortization'!$H$500,$C124&lt;='TIF Loan Amortization'!I$500),'TIF Loan Amortization'!$G$500,IF(AND($C124&gt;='TIF Loan Amortization'!$H$501,$C124&lt;='TIF Loan Amortization'!I$501),'TIF Loan Amortization'!$G$501,IF(AND($C124&gt;='TIF Loan Amortization'!$H$502,$C124&lt;='TIF Loan Amortization'!I$502),'TIF Loan Amortization'!$G$502,IF(AND($C124&gt;='TIF Loan Amortization'!$H$503,$C124&lt;='TIF Loan Amortization'!I$503),'TIF Loan Amortization'!$G$503,IF(AND($C124&gt;='TIF Loan Amortization'!$H$504,$C124&lt;='TIF Loan Amortization'!I$504),'TIF Loan Amortization'!$G$504,IF(AND($C124&gt;='TIF Loan Amortization'!$H$505,$C124&lt;='TIF Loan Amortization'!I$505),'TIF Loan Amortization'!$G$505,IF(AND($C124&gt;='TIF Loan Amortization'!$H$506,$C124&lt;='TIF Loan Amortization'!I$506),'TIF Loan Amortization'!$G$506,IF(AND($C124&gt;='TIF Loan Amortization'!$H$507,$C124&lt;='TIF Loan Amortization'!I$507),'TIF Loan Amortization'!$G$507,IF(AND($C124&gt;='TIF Loan Amortization'!$H$508,$C124&lt;='TIF Loan Amortization'!I$508),'TIF Loan Amortization'!$G$508,IF(AND($C124&gt;='TIF Loan Amortization'!$H$509,$C124&lt;='TIF Loan Amortization'!I$509),'TIF Loan Amortization'!$G$509,IF(AND($C124&gt;='TIF Loan Amortization'!$H$510,$C124&lt;='TIF Loan Amortization'!I$510),'TIF Loan Amortization'!$G$510,IF(AND($C124&gt;='TIF Loan Amortization'!$H$511,$C124&lt;='TIF Loan Amortization'!I$511),'TIF Loan Amortization'!$G$511,IF(AND($C124&gt;='TIF Loan Amortization'!$H$512,$C124&lt;='TIF Loan Amortization'!I$512),'TIF Loan Amortization'!$G$512,IF(AND($C124&gt;='TIF Loan Amortization'!$H$513,$C124&lt;='TIF Loan Amortization'!I$513),'TIF Loan Amortization'!$G$513,IF(AND($C124&gt;='TIF Loan Amortization'!$H$514,$C124&lt;='TIF Loan Amortization'!I$514),'TIF Loan Amortization'!$G$514,IF(AND($C124&gt;='TIF Loan Amortization'!$H$515,$C124&lt;='TIF Loan Amortization'!I$515),'TIF Loan Amortization'!$G$515,IF(AND($C124&gt;='TIF Loan Amortization'!$H$516,$C124&lt;='TIF Loan Amortization'!I$516),'TIF Loan Amortization'!$G$516,IF(AND($C124&gt;='TIF Loan Amortization'!$H$517,$C124&lt;='TIF Loan Amortization'!I$517),'TIF Loan Amortization'!$G$517,IF(AND($C124&gt;='TIF Loan Amortization'!$H$518,$C124&lt;='TIF Loan Amortization'!I$518),'TIF Loan Amortization'!$G$518,IF(AND($C124&gt;='TIF Loan Amortization'!$H$519,$C124&lt;='TIF Loan Amortization'!I$519),'TIF Loan Amortization'!$G$519))))))))))))))))))))))))))))))))))))))))</f>
        <v>#N/A</v>
      </c>
      <c r="C124" s="269" t="e">
        <f t="shared" si="23"/>
        <v>#N/A</v>
      </c>
      <c r="D124" s="281" t="str">
        <f>IF($AG$424=1,$H$10+7,"")</f>
        <v/>
      </c>
      <c r="E124" s="274">
        <v>74</v>
      </c>
      <c r="F124" s="275" t="str">
        <f>VLOOKUP($AG$424,$AE$422:$AF$433,2)</f>
        <v>May</v>
      </c>
      <c r="G124" s="272">
        <f t="shared" si="24"/>
        <v>0</v>
      </c>
      <c r="H124" s="272">
        <f t="shared" si="27"/>
        <v>0</v>
      </c>
      <c r="I124" s="272">
        <f t="shared" si="28"/>
        <v>0</v>
      </c>
      <c r="J124" s="272">
        <f t="shared" si="25"/>
        <v>0</v>
      </c>
      <c r="K124" s="272">
        <f>IF(ISTEXT($M$4),"",SUM(I$50:I124))</f>
        <v>0</v>
      </c>
      <c r="L124" s="272">
        <f>IF(ISTEXT($M$4),"",SUM(J$50:J124))</f>
        <v>0</v>
      </c>
      <c r="M124" s="271">
        <f t="shared" si="26"/>
        <v>0</v>
      </c>
      <c r="N124" s="291" t="e">
        <f>IF(C124='Operating Assumptions'!$C$48,"Construction Finish","")</f>
        <v>#N/A</v>
      </c>
      <c r="O124" s="291"/>
      <c r="P124" s="291"/>
      <c r="Q124" s="291"/>
      <c r="R124" s="291"/>
      <c r="S124" s="291"/>
      <c r="T124" s="291"/>
      <c r="U124" s="291"/>
      <c r="V124" s="292"/>
      <c r="W124" s="292"/>
      <c r="X124" s="292"/>
      <c r="Y124" s="291"/>
      <c r="Z124" s="279"/>
      <c r="AA124" s="279"/>
      <c r="AB124" s="279"/>
    </row>
    <row r="125" spans="2:28" s="278" customFormat="1" ht="11.65" hidden="1" customHeight="1" outlineLevel="1" x14ac:dyDescent="0.25">
      <c r="B125" s="270" t="e">
        <f>IF(AND($C125&gt;='TIF Loan Amortization'!$H$480,$C125&lt;='TIF Loan Amortization'!$I$480),'TIF Loan Amortization'!$G$480,IF(AND($C125&gt;='TIF Loan Amortization'!$H$481,$C125&lt;='TIF Loan Amortization'!I$481),'TIF Loan Amortization'!$G$481,IF(AND($C125&gt;='TIF Loan Amortization'!$H$482,$C125&lt;='TIF Loan Amortization'!I$482),'TIF Loan Amortization'!$G$482,IF(AND($C125&gt;='TIF Loan Amortization'!$H$483,$C125&lt;='TIF Loan Amortization'!I$483),'TIF Loan Amortization'!$G$483,IF(AND($C125&gt;='TIF Loan Amortization'!$H$484,$C125&lt;='TIF Loan Amortization'!I$484),'TIF Loan Amortization'!$G$484,IF(AND($C125&gt;='TIF Loan Amortization'!$H$485,$C125&lt;='TIF Loan Amortization'!I$485),'TIF Loan Amortization'!$G$485,IF(AND($C125&gt;='TIF Loan Amortization'!$H$486,$C125&lt;='TIF Loan Amortization'!I$486),'TIF Loan Amortization'!$G$486,IF(AND($C125&gt;='TIF Loan Amortization'!$H$487,$C125&lt;='TIF Loan Amortization'!I$487),'TIF Loan Amortization'!$G$487,IF(AND($C125&gt;='TIF Loan Amortization'!$H$488,$C125&lt;='TIF Loan Amortization'!I$488),'TIF Loan Amortization'!$G$488,IF(AND($C125&gt;='TIF Loan Amortization'!$H$489,$C125&lt;='TIF Loan Amortization'!I$489),'TIF Loan Amortization'!$G$489,IF(AND($C125&gt;='TIF Loan Amortization'!$H$490,$C125&lt;='TIF Loan Amortization'!I$490),'TIF Loan Amortization'!$G$490,IF(AND($C125&gt;='TIF Loan Amortization'!$H$491,$C125&lt;='TIF Loan Amortization'!I$491),'TIF Loan Amortization'!$G$491,IF(AND($C125&gt;='TIF Loan Amortization'!$H$492,$C125&lt;='TIF Loan Amortization'!I$492),'TIF Loan Amortization'!$G$492,IF(AND($C125&gt;='TIF Loan Amortization'!$H$493,$C125&lt;='TIF Loan Amortization'!I$493),'TIF Loan Amortization'!$G$493,IF(AND($C125&gt;='TIF Loan Amortization'!$H$494,$C125&lt;='TIF Loan Amortization'!I$494),'TIF Loan Amortization'!$G$494,IF(AND($C125&gt;='TIF Loan Amortization'!$H$495,$C125&lt;='TIF Loan Amortization'!I$495),'TIF Loan Amortization'!$G$495,IF(AND($C125&gt;='TIF Loan Amortization'!$H$496,$C125&lt;='TIF Loan Amortization'!I$496),'TIF Loan Amortization'!$G$496,IF(AND($C125&gt;='TIF Loan Amortization'!$H$497,$C125&lt;='TIF Loan Amortization'!I$497),'TIF Loan Amortization'!$G$497,IF(AND($C125&gt;='TIF Loan Amortization'!$H$498,$C125&lt;='TIF Loan Amortization'!I$498),'TIF Loan Amortization'!$G$498,IF(AND($C125&gt;='TIF Loan Amortization'!$H$499,$C125&lt;='TIF Loan Amortization'!I$499),'TIF Loan Amortization'!$G$499,IF(AND($C125&gt;='TIF Loan Amortization'!$H$500,$C125&lt;='TIF Loan Amortization'!I$500),'TIF Loan Amortization'!$G$500,IF(AND($C125&gt;='TIF Loan Amortization'!$H$501,$C125&lt;='TIF Loan Amortization'!I$501),'TIF Loan Amortization'!$G$501,IF(AND($C125&gt;='TIF Loan Amortization'!$H$502,$C125&lt;='TIF Loan Amortization'!I$502),'TIF Loan Amortization'!$G$502,IF(AND($C125&gt;='TIF Loan Amortization'!$H$503,$C125&lt;='TIF Loan Amortization'!I$503),'TIF Loan Amortization'!$G$503,IF(AND($C125&gt;='TIF Loan Amortization'!$H$504,$C125&lt;='TIF Loan Amortization'!I$504),'TIF Loan Amortization'!$G$504,IF(AND($C125&gt;='TIF Loan Amortization'!$H$505,$C125&lt;='TIF Loan Amortization'!I$505),'TIF Loan Amortization'!$G$505,IF(AND($C125&gt;='TIF Loan Amortization'!$H$506,$C125&lt;='TIF Loan Amortization'!I$506),'TIF Loan Amortization'!$G$506,IF(AND($C125&gt;='TIF Loan Amortization'!$H$507,$C125&lt;='TIF Loan Amortization'!I$507),'TIF Loan Amortization'!$G$507,IF(AND($C125&gt;='TIF Loan Amortization'!$H$508,$C125&lt;='TIF Loan Amortization'!I$508),'TIF Loan Amortization'!$G$508,IF(AND($C125&gt;='TIF Loan Amortization'!$H$509,$C125&lt;='TIF Loan Amortization'!I$509),'TIF Loan Amortization'!$G$509,IF(AND($C125&gt;='TIF Loan Amortization'!$H$510,$C125&lt;='TIF Loan Amortization'!I$510),'TIF Loan Amortization'!$G$510,IF(AND($C125&gt;='TIF Loan Amortization'!$H$511,$C125&lt;='TIF Loan Amortization'!I$511),'TIF Loan Amortization'!$G$511,IF(AND($C125&gt;='TIF Loan Amortization'!$H$512,$C125&lt;='TIF Loan Amortization'!I$512),'TIF Loan Amortization'!$G$512,IF(AND($C125&gt;='TIF Loan Amortization'!$H$513,$C125&lt;='TIF Loan Amortization'!I$513),'TIF Loan Amortization'!$G$513,IF(AND($C125&gt;='TIF Loan Amortization'!$H$514,$C125&lt;='TIF Loan Amortization'!I$514),'TIF Loan Amortization'!$G$514,IF(AND($C125&gt;='TIF Loan Amortization'!$H$515,$C125&lt;='TIF Loan Amortization'!I$515),'TIF Loan Amortization'!$G$515,IF(AND($C125&gt;='TIF Loan Amortization'!$H$516,$C125&lt;='TIF Loan Amortization'!I$516),'TIF Loan Amortization'!$G$516,IF(AND($C125&gt;='TIF Loan Amortization'!$H$517,$C125&lt;='TIF Loan Amortization'!I$517),'TIF Loan Amortization'!$G$517,IF(AND($C125&gt;='TIF Loan Amortization'!$H$518,$C125&lt;='TIF Loan Amortization'!I$518),'TIF Loan Amortization'!$G$518,IF(AND($C125&gt;='TIF Loan Amortization'!$H$519,$C125&lt;='TIF Loan Amortization'!I$519),'TIF Loan Amortization'!$G$519))))))))))))))))))))))))))))))))))))))))</f>
        <v>#N/A</v>
      </c>
      <c r="C125" s="269" t="e">
        <f t="shared" si="23"/>
        <v>#N/A</v>
      </c>
      <c r="D125" s="281" t="str">
        <f>IF($AG$425=1,$H$10+7,"")</f>
        <v/>
      </c>
      <c r="E125" s="274">
        <v>75</v>
      </c>
      <c r="F125" s="275" t="str">
        <f>VLOOKUP($AG$425,$AE$422:$AF$433,2)</f>
        <v>Jun</v>
      </c>
      <c r="G125" s="272">
        <f t="shared" si="24"/>
        <v>0</v>
      </c>
      <c r="H125" s="272">
        <f t="shared" si="27"/>
        <v>0</v>
      </c>
      <c r="I125" s="272">
        <f t="shared" si="28"/>
        <v>0</v>
      </c>
      <c r="J125" s="272">
        <f t="shared" si="25"/>
        <v>0</v>
      </c>
      <c r="K125" s="272">
        <f>IF(ISTEXT($M$4),"",SUM(I$50:I125))</f>
        <v>0</v>
      </c>
      <c r="L125" s="272">
        <f>IF(ISTEXT($M$4),"",SUM(J$50:J125))</f>
        <v>0</v>
      </c>
      <c r="M125" s="271">
        <f t="shared" si="26"/>
        <v>0</v>
      </c>
      <c r="N125" s="291" t="e">
        <f>IF(C125='Operating Assumptions'!$C$48,"Construction Finish","")</f>
        <v>#N/A</v>
      </c>
      <c r="O125" s="291"/>
      <c r="P125" s="291"/>
      <c r="Q125" s="291"/>
      <c r="R125" s="291"/>
      <c r="S125" s="291"/>
      <c r="T125" s="291"/>
      <c r="U125" s="291"/>
      <c r="V125" s="292"/>
      <c r="W125" s="292"/>
      <c r="X125" s="292"/>
      <c r="Y125" s="291"/>
      <c r="Z125" s="279"/>
      <c r="AA125" s="279"/>
      <c r="AB125" s="279"/>
    </row>
    <row r="126" spans="2:28" s="278" customFormat="1" ht="11.65" hidden="1" customHeight="1" outlineLevel="1" x14ac:dyDescent="0.25">
      <c r="B126" s="270" t="e">
        <f>IF(AND($C126&gt;='TIF Loan Amortization'!$H$480,$C126&lt;='TIF Loan Amortization'!$I$480),'TIF Loan Amortization'!$G$480,IF(AND($C126&gt;='TIF Loan Amortization'!$H$481,$C126&lt;='TIF Loan Amortization'!I$481),'TIF Loan Amortization'!$G$481,IF(AND($C126&gt;='TIF Loan Amortization'!$H$482,$C126&lt;='TIF Loan Amortization'!I$482),'TIF Loan Amortization'!$G$482,IF(AND($C126&gt;='TIF Loan Amortization'!$H$483,$C126&lt;='TIF Loan Amortization'!I$483),'TIF Loan Amortization'!$G$483,IF(AND($C126&gt;='TIF Loan Amortization'!$H$484,$C126&lt;='TIF Loan Amortization'!I$484),'TIF Loan Amortization'!$G$484,IF(AND($C126&gt;='TIF Loan Amortization'!$H$485,$C126&lt;='TIF Loan Amortization'!I$485),'TIF Loan Amortization'!$G$485,IF(AND($C126&gt;='TIF Loan Amortization'!$H$486,$C126&lt;='TIF Loan Amortization'!I$486),'TIF Loan Amortization'!$G$486,IF(AND($C126&gt;='TIF Loan Amortization'!$H$487,$C126&lt;='TIF Loan Amortization'!I$487),'TIF Loan Amortization'!$G$487,IF(AND($C126&gt;='TIF Loan Amortization'!$H$488,$C126&lt;='TIF Loan Amortization'!I$488),'TIF Loan Amortization'!$G$488,IF(AND($C126&gt;='TIF Loan Amortization'!$H$489,$C126&lt;='TIF Loan Amortization'!I$489),'TIF Loan Amortization'!$G$489,IF(AND($C126&gt;='TIF Loan Amortization'!$H$490,$C126&lt;='TIF Loan Amortization'!I$490),'TIF Loan Amortization'!$G$490,IF(AND($C126&gt;='TIF Loan Amortization'!$H$491,$C126&lt;='TIF Loan Amortization'!I$491),'TIF Loan Amortization'!$G$491,IF(AND($C126&gt;='TIF Loan Amortization'!$H$492,$C126&lt;='TIF Loan Amortization'!I$492),'TIF Loan Amortization'!$G$492,IF(AND($C126&gt;='TIF Loan Amortization'!$H$493,$C126&lt;='TIF Loan Amortization'!I$493),'TIF Loan Amortization'!$G$493,IF(AND($C126&gt;='TIF Loan Amortization'!$H$494,$C126&lt;='TIF Loan Amortization'!I$494),'TIF Loan Amortization'!$G$494,IF(AND($C126&gt;='TIF Loan Amortization'!$H$495,$C126&lt;='TIF Loan Amortization'!I$495),'TIF Loan Amortization'!$G$495,IF(AND($C126&gt;='TIF Loan Amortization'!$H$496,$C126&lt;='TIF Loan Amortization'!I$496),'TIF Loan Amortization'!$G$496,IF(AND($C126&gt;='TIF Loan Amortization'!$H$497,$C126&lt;='TIF Loan Amortization'!I$497),'TIF Loan Amortization'!$G$497,IF(AND($C126&gt;='TIF Loan Amortization'!$H$498,$C126&lt;='TIF Loan Amortization'!I$498),'TIF Loan Amortization'!$G$498,IF(AND($C126&gt;='TIF Loan Amortization'!$H$499,$C126&lt;='TIF Loan Amortization'!I$499),'TIF Loan Amortization'!$G$499,IF(AND($C126&gt;='TIF Loan Amortization'!$H$500,$C126&lt;='TIF Loan Amortization'!I$500),'TIF Loan Amortization'!$G$500,IF(AND($C126&gt;='TIF Loan Amortization'!$H$501,$C126&lt;='TIF Loan Amortization'!I$501),'TIF Loan Amortization'!$G$501,IF(AND($C126&gt;='TIF Loan Amortization'!$H$502,$C126&lt;='TIF Loan Amortization'!I$502),'TIF Loan Amortization'!$G$502,IF(AND($C126&gt;='TIF Loan Amortization'!$H$503,$C126&lt;='TIF Loan Amortization'!I$503),'TIF Loan Amortization'!$G$503,IF(AND($C126&gt;='TIF Loan Amortization'!$H$504,$C126&lt;='TIF Loan Amortization'!I$504),'TIF Loan Amortization'!$G$504,IF(AND($C126&gt;='TIF Loan Amortization'!$H$505,$C126&lt;='TIF Loan Amortization'!I$505),'TIF Loan Amortization'!$G$505,IF(AND($C126&gt;='TIF Loan Amortization'!$H$506,$C126&lt;='TIF Loan Amortization'!I$506),'TIF Loan Amortization'!$G$506,IF(AND($C126&gt;='TIF Loan Amortization'!$H$507,$C126&lt;='TIF Loan Amortization'!I$507),'TIF Loan Amortization'!$G$507,IF(AND($C126&gt;='TIF Loan Amortization'!$H$508,$C126&lt;='TIF Loan Amortization'!I$508),'TIF Loan Amortization'!$G$508,IF(AND($C126&gt;='TIF Loan Amortization'!$H$509,$C126&lt;='TIF Loan Amortization'!I$509),'TIF Loan Amortization'!$G$509,IF(AND($C126&gt;='TIF Loan Amortization'!$H$510,$C126&lt;='TIF Loan Amortization'!I$510),'TIF Loan Amortization'!$G$510,IF(AND($C126&gt;='TIF Loan Amortization'!$H$511,$C126&lt;='TIF Loan Amortization'!I$511),'TIF Loan Amortization'!$G$511,IF(AND($C126&gt;='TIF Loan Amortization'!$H$512,$C126&lt;='TIF Loan Amortization'!I$512),'TIF Loan Amortization'!$G$512,IF(AND($C126&gt;='TIF Loan Amortization'!$H$513,$C126&lt;='TIF Loan Amortization'!I$513),'TIF Loan Amortization'!$G$513,IF(AND($C126&gt;='TIF Loan Amortization'!$H$514,$C126&lt;='TIF Loan Amortization'!I$514),'TIF Loan Amortization'!$G$514,IF(AND($C126&gt;='TIF Loan Amortization'!$H$515,$C126&lt;='TIF Loan Amortization'!I$515),'TIF Loan Amortization'!$G$515,IF(AND($C126&gt;='TIF Loan Amortization'!$H$516,$C126&lt;='TIF Loan Amortization'!I$516),'TIF Loan Amortization'!$G$516,IF(AND($C126&gt;='TIF Loan Amortization'!$H$517,$C126&lt;='TIF Loan Amortization'!I$517),'TIF Loan Amortization'!$G$517,IF(AND($C126&gt;='TIF Loan Amortization'!$H$518,$C126&lt;='TIF Loan Amortization'!I$518),'TIF Loan Amortization'!$G$518,IF(AND($C126&gt;='TIF Loan Amortization'!$H$519,$C126&lt;='TIF Loan Amortization'!I$519),'TIF Loan Amortization'!$G$519))))))))))))))))))))))))))))))))))))))))</f>
        <v>#N/A</v>
      </c>
      <c r="C126" s="269" t="e">
        <f t="shared" si="23"/>
        <v>#N/A</v>
      </c>
      <c r="D126" s="281" t="str">
        <f>IF($AG$426=1,$H$10+7,"")</f>
        <v/>
      </c>
      <c r="E126" s="274">
        <v>76</v>
      </c>
      <c r="F126" s="275" t="str">
        <f>VLOOKUP($AG$426,$AE$422:$AF$433,2)</f>
        <v>Jul</v>
      </c>
      <c r="G126" s="272">
        <f t="shared" si="24"/>
        <v>0</v>
      </c>
      <c r="H126" s="272">
        <f t="shared" si="27"/>
        <v>0</v>
      </c>
      <c r="I126" s="272">
        <f t="shared" si="28"/>
        <v>0</v>
      </c>
      <c r="J126" s="272">
        <f t="shared" si="25"/>
        <v>0</v>
      </c>
      <c r="K126" s="272">
        <f>IF(ISTEXT($M$4),"",SUM(I$50:I126))</f>
        <v>0</v>
      </c>
      <c r="L126" s="272">
        <f>IF(ISTEXT($M$4),"",SUM(J$50:J126))</f>
        <v>0</v>
      </c>
      <c r="M126" s="271">
        <f t="shared" si="26"/>
        <v>0</v>
      </c>
      <c r="N126" s="291" t="e">
        <f>IF(C126='Operating Assumptions'!$C$48,"Construction Finish","")</f>
        <v>#N/A</v>
      </c>
      <c r="O126" s="291"/>
      <c r="P126" s="291"/>
      <c r="Q126" s="291"/>
      <c r="R126" s="291"/>
      <c r="S126" s="291"/>
      <c r="T126" s="291"/>
      <c r="U126" s="291"/>
      <c r="V126" s="292"/>
      <c r="W126" s="292"/>
      <c r="X126" s="292"/>
      <c r="Y126" s="291"/>
      <c r="Z126" s="279"/>
      <c r="AA126" s="279"/>
      <c r="AB126" s="279"/>
    </row>
    <row r="127" spans="2:28" s="278" customFormat="1" ht="11.65" hidden="1" customHeight="1" outlineLevel="1" x14ac:dyDescent="0.25">
      <c r="B127" s="270" t="e">
        <f>IF(AND($C127&gt;='TIF Loan Amortization'!$H$480,$C127&lt;='TIF Loan Amortization'!$I$480),'TIF Loan Amortization'!$G$480,IF(AND($C127&gt;='TIF Loan Amortization'!$H$481,$C127&lt;='TIF Loan Amortization'!I$481),'TIF Loan Amortization'!$G$481,IF(AND($C127&gt;='TIF Loan Amortization'!$H$482,$C127&lt;='TIF Loan Amortization'!I$482),'TIF Loan Amortization'!$G$482,IF(AND($C127&gt;='TIF Loan Amortization'!$H$483,$C127&lt;='TIF Loan Amortization'!I$483),'TIF Loan Amortization'!$G$483,IF(AND($C127&gt;='TIF Loan Amortization'!$H$484,$C127&lt;='TIF Loan Amortization'!I$484),'TIF Loan Amortization'!$G$484,IF(AND($C127&gt;='TIF Loan Amortization'!$H$485,$C127&lt;='TIF Loan Amortization'!I$485),'TIF Loan Amortization'!$G$485,IF(AND($C127&gt;='TIF Loan Amortization'!$H$486,$C127&lt;='TIF Loan Amortization'!I$486),'TIF Loan Amortization'!$G$486,IF(AND($C127&gt;='TIF Loan Amortization'!$H$487,$C127&lt;='TIF Loan Amortization'!I$487),'TIF Loan Amortization'!$G$487,IF(AND($C127&gt;='TIF Loan Amortization'!$H$488,$C127&lt;='TIF Loan Amortization'!I$488),'TIF Loan Amortization'!$G$488,IF(AND($C127&gt;='TIF Loan Amortization'!$H$489,$C127&lt;='TIF Loan Amortization'!I$489),'TIF Loan Amortization'!$G$489,IF(AND($C127&gt;='TIF Loan Amortization'!$H$490,$C127&lt;='TIF Loan Amortization'!I$490),'TIF Loan Amortization'!$G$490,IF(AND($C127&gt;='TIF Loan Amortization'!$H$491,$C127&lt;='TIF Loan Amortization'!I$491),'TIF Loan Amortization'!$G$491,IF(AND($C127&gt;='TIF Loan Amortization'!$H$492,$C127&lt;='TIF Loan Amortization'!I$492),'TIF Loan Amortization'!$G$492,IF(AND($C127&gt;='TIF Loan Amortization'!$H$493,$C127&lt;='TIF Loan Amortization'!I$493),'TIF Loan Amortization'!$G$493,IF(AND($C127&gt;='TIF Loan Amortization'!$H$494,$C127&lt;='TIF Loan Amortization'!I$494),'TIF Loan Amortization'!$G$494,IF(AND($C127&gt;='TIF Loan Amortization'!$H$495,$C127&lt;='TIF Loan Amortization'!I$495),'TIF Loan Amortization'!$G$495,IF(AND($C127&gt;='TIF Loan Amortization'!$H$496,$C127&lt;='TIF Loan Amortization'!I$496),'TIF Loan Amortization'!$G$496,IF(AND($C127&gt;='TIF Loan Amortization'!$H$497,$C127&lt;='TIF Loan Amortization'!I$497),'TIF Loan Amortization'!$G$497,IF(AND($C127&gt;='TIF Loan Amortization'!$H$498,$C127&lt;='TIF Loan Amortization'!I$498),'TIF Loan Amortization'!$G$498,IF(AND($C127&gt;='TIF Loan Amortization'!$H$499,$C127&lt;='TIF Loan Amortization'!I$499),'TIF Loan Amortization'!$G$499,IF(AND($C127&gt;='TIF Loan Amortization'!$H$500,$C127&lt;='TIF Loan Amortization'!I$500),'TIF Loan Amortization'!$G$500,IF(AND($C127&gt;='TIF Loan Amortization'!$H$501,$C127&lt;='TIF Loan Amortization'!I$501),'TIF Loan Amortization'!$G$501,IF(AND($C127&gt;='TIF Loan Amortization'!$H$502,$C127&lt;='TIF Loan Amortization'!I$502),'TIF Loan Amortization'!$G$502,IF(AND($C127&gt;='TIF Loan Amortization'!$H$503,$C127&lt;='TIF Loan Amortization'!I$503),'TIF Loan Amortization'!$G$503,IF(AND($C127&gt;='TIF Loan Amortization'!$H$504,$C127&lt;='TIF Loan Amortization'!I$504),'TIF Loan Amortization'!$G$504,IF(AND($C127&gt;='TIF Loan Amortization'!$H$505,$C127&lt;='TIF Loan Amortization'!I$505),'TIF Loan Amortization'!$G$505,IF(AND($C127&gt;='TIF Loan Amortization'!$H$506,$C127&lt;='TIF Loan Amortization'!I$506),'TIF Loan Amortization'!$G$506,IF(AND($C127&gt;='TIF Loan Amortization'!$H$507,$C127&lt;='TIF Loan Amortization'!I$507),'TIF Loan Amortization'!$G$507,IF(AND($C127&gt;='TIF Loan Amortization'!$H$508,$C127&lt;='TIF Loan Amortization'!I$508),'TIF Loan Amortization'!$G$508,IF(AND($C127&gt;='TIF Loan Amortization'!$H$509,$C127&lt;='TIF Loan Amortization'!I$509),'TIF Loan Amortization'!$G$509,IF(AND($C127&gt;='TIF Loan Amortization'!$H$510,$C127&lt;='TIF Loan Amortization'!I$510),'TIF Loan Amortization'!$G$510,IF(AND($C127&gt;='TIF Loan Amortization'!$H$511,$C127&lt;='TIF Loan Amortization'!I$511),'TIF Loan Amortization'!$G$511,IF(AND($C127&gt;='TIF Loan Amortization'!$H$512,$C127&lt;='TIF Loan Amortization'!I$512),'TIF Loan Amortization'!$G$512,IF(AND($C127&gt;='TIF Loan Amortization'!$H$513,$C127&lt;='TIF Loan Amortization'!I$513),'TIF Loan Amortization'!$G$513,IF(AND($C127&gt;='TIF Loan Amortization'!$H$514,$C127&lt;='TIF Loan Amortization'!I$514),'TIF Loan Amortization'!$G$514,IF(AND($C127&gt;='TIF Loan Amortization'!$H$515,$C127&lt;='TIF Loan Amortization'!I$515),'TIF Loan Amortization'!$G$515,IF(AND($C127&gt;='TIF Loan Amortization'!$H$516,$C127&lt;='TIF Loan Amortization'!I$516),'TIF Loan Amortization'!$G$516,IF(AND($C127&gt;='TIF Loan Amortization'!$H$517,$C127&lt;='TIF Loan Amortization'!I$517),'TIF Loan Amortization'!$G$517,IF(AND($C127&gt;='TIF Loan Amortization'!$H$518,$C127&lt;='TIF Loan Amortization'!I$518),'TIF Loan Amortization'!$G$518,IF(AND($C127&gt;='TIF Loan Amortization'!$H$519,$C127&lt;='TIF Loan Amortization'!I$519),'TIF Loan Amortization'!$G$519))))))))))))))))))))))))))))))))))))))))</f>
        <v>#N/A</v>
      </c>
      <c r="C127" s="269" t="e">
        <f t="shared" si="23"/>
        <v>#N/A</v>
      </c>
      <c r="D127" s="281" t="str">
        <f>IF($AG$427=1,$H$10+7,"")</f>
        <v/>
      </c>
      <c r="E127" s="274">
        <v>77</v>
      </c>
      <c r="F127" s="275" t="str">
        <f>VLOOKUP($AG$427,$AE$422:$AF$433,2)</f>
        <v>Aug</v>
      </c>
      <c r="G127" s="272">
        <f t="shared" si="24"/>
        <v>0</v>
      </c>
      <c r="H127" s="272">
        <f t="shared" si="27"/>
        <v>0</v>
      </c>
      <c r="I127" s="272">
        <f t="shared" si="28"/>
        <v>0</v>
      </c>
      <c r="J127" s="272">
        <f t="shared" si="25"/>
        <v>0</v>
      </c>
      <c r="K127" s="272">
        <f>IF(ISTEXT($M$4),"",SUM(I$50:I127))</f>
        <v>0</v>
      </c>
      <c r="L127" s="272">
        <f>IF(ISTEXT($M$4),"",SUM(J$50:J127))</f>
        <v>0</v>
      </c>
      <c r="M127" s="271">
        <f t="shared" si="26"/>
        <v>0</v>
      </c>
      <c r="N127" s="291" t="e">
        <f>IF(C127='Operating Assumptions'!$C$48,"Construction Finish","")</f>
        <v>#N/A</v>
      </c>
      <c r="O127" s="291"/>
      <c r="P127" s="291"/>
      <c r="Q127" s="291"/>
      <c r="R127" s="291"/>
      <c r="S127" s="291"/>
      <c r="T127" s="291"/>
      <c r="U127" s="291"/>
      <c r="V127" s="292"/>
      <c r="W127" s="292"/>
      <c r="X127" s="292"/>
      <c r="Y127" s="291"/>
      <c r="Z127" s="279"/>
      <c r="AA127" s="279"/>
      <c r="AB127" s="279"/>
    </row>
    <row r="128" spans="2:28" s="278" customFormat="1" ht="11.65" hidden="1" customHeight="1" outlineLevel="1" x14ac:dyDescent="0.25">
      <c r="B128" s="270" t="e">
        <f>IF(AND($C128&gt;='TIF Loan Amortization'!$H$480,$C128&lt;='TIF Loan Amortization'!$I$480),'TIF Loan Amortization'!$G$480,IF(AND($C128&gt;='TIF Loan Amortization'!$H$481,$C128&lt;='TIF Loan Amortization'!I$481),'TIF Loan Amortization'!$G$481,IF(AND($C128&gt;='TIF Loan Amortization'!$H$482,$C128&lt;='TIF Loan Amortization'!I$482),'TIF Loan Amortization'!$G$482,IF(AND($C128&gt;='TIF Loan Amortization'!$H$483,$C128&lt;='TIF Loan Amortization'!I$483),'TIF Loan Amortization'!$G$483,IF(AND($C128&gt;='TIF Loan Amortization'!$H$484,$C128&lt;='TIF Loan Amortization'!I$484),'TIF Loan Amortization'!$G$484,IF(AND($C128&gt;='TIF Loan Amortization'!$H$485,$C128&lt;='TIF Loan Amortization'!I$485),'TIF Loan Amortization'!$G$485,IF(AND($C128&gt;='TIF Loan Amortization'!$H$486,$C128&lt;='TIF Loan Amortization'!I$486),'TIF Loan Amortization'!$G$486,IF(AND($C128&gt;='TIF Loan Amortization'!$H$487,$C128&lt;='TIF Loan Amortization'!I$487),'TIF Loan Amortization'!$G$487,IF(AND($C128&gt;='TIF Loan Amortization'!$H$488,$C128&lt;='TIF Loan Amortization'!I$488),'TIF Loan Amortization'!$G$488,IF(AND($C128&gt;='TIF Loan Amortization'!$H$489,$C128&lt;='TIF Loan Amortization'!I$489),'TIF Loan Amortization'!$G$489,IF(AND($C128&gt;='TIF Loan Amortization'!$H$490,$C128&lt;='TIF Loan Amortization'!I$490),'TIF Loan Amortization'!$G$490,IF(AND($C128&gt;='TIF Loan Amortization'!$H$491,$C128&lt;='TIF Loan Amortization'!I$491),'TIF Loan Amortization'!$G$491,IF(AND($C128&gt;='TIF Loan Amortization'!$H$492,$C128&lt;='TIF Loan Amortization'!I$492),'TIF Loan Amortization'!$G$492,IF(AND($C128&gt;='TIF Loan Amortization'!$H$493,$C128&lt;='TIF Loan Amortization'!I$493),'TIF Loan Amortization'!$G$493,IF(AND($C128&gt;='TIF Loan Amortization'!$H$494,$C128&lt;='TIF Loan Amortization'!I$494),'TIF Loan Amortization'!$G$494,IF(AND($C128&gt;='TIF Loan Amortization'!$H$495,$C128&lt;='TIF Loan Amortization'!I$495),'TIF Loan Amortization'!$G$495,IF(AND($C128&gt;='TIF Loan Amortization'!$H$496,$C128&lt;='TIF Loan Amortization'!I$496),'TIF Loan Amortization'!$G$496,IF(AND($C128&gt;='TIF Loan Amortization'!$H$497,$C128&lt;='TIF Loan Amortization'!I$497),'TIF Loan Amortization'!$G$497,IF(AND($C128&gt;='TIF Loan Amortization'!$H$498,$C128&lt;='TIF Loan Amortization'!I$498),'TIF Loan Amortization'!$G$498,IF(AND($C128&gt;='TIF Loan Amortization'!$H$499,$C128&lt;='TIF Loan Amortization'!I$499),'TIF Loan Amortization'!$G$499,IF(AND($C128&gt;='TIF Loan Amortization'!$H$500,$C128&lt;='TIF Loan Amortization'!I$500),'TIF Loan Amortization'!$G$500,IF(AND($C128&gt;='TIF Loan Amortization'!$H$501,$C128&lt;='TIF Loan Amortization'!I$501),'TIF Loan Amortization'!$G$501,IF(AND($C128&gt;='TIF Loan Amortization'!$H$502,$C128&lt;='TIF Loan Amortization'!I$502),'TIF Loan Amortization'!$G$502,IF(AND($C128&gt;='TIF Loan Amortization'!$H$503,$C128&lt;='TIF Loan Amortization'!I$503),'TIF Loan Amortization'!$G$503,IF(AND($C128&gt;='TIF Loan Amortization'!$H$504,$C128&lt;='TIF Loan Amortization'!I$504),'TIF Loan Amortization'!$G$504,IF(AND($C128&gt;='TIF Loan Amortization'!$H$505,$C128&lt;='TIF Loan Amortization'!I$505),'TIF Loan Amortization'!$G$505,IF(AND($C128&gt;='TIF Loan Amortization'!$H$506,$C128&lt;='TIF Loan Amortization'!I$506),'TIF Loan Amortization'!$G$506,IF(AND($C128&gt;='TIF Loan Amortization'!$H$507,$C128&lt;='TIF Loan Amortization'!I$507),'TIF Loan Amortization'!$G$507,IF(AND($C128&gt;='TIF Loan Amortization'!$H$508,$C128&lt;='TIF Loan Amortization'!I$508),'TIF Loan Amortization'!$G$508,IF(AND($C128&gt;='TIF Loan Amortization'!$H$509,$C128&lt;='TIF Loan Amortization'!I$509),'TIF Loan Amortization'!$G$509,IF(AND($C128&gt;='TIF Loan Amortization'!$H$510,$C128&lt;='TIF Loan Amortization'!I$510),'TIF Loan Amortization'!$G$510,IF(AND($C128&gt;='TIF Loan Amortization'!$H$511,$C128&lt;='TIF Loan Amortization'!I$511),'TIF Loan Amortization'!$G$511,IF(AND($C128&gt;='TIF Loan Amortization'!$H$512,$C128&lt;='TIF Loan Amortization'!I$512),'TIF Loan Amortization'!$G$512,IF(AND($C128&gt;='TIF Loan Amortization'!$H$513,$C128&lt;='TIF Loan Amortization'!I$513),'TIF Loan Amortization'!$G$513,IF(AND($C128&gt;='TIF Loan Amortization'!$H$514,$C128&lt;='TIF Loan Amortization'!I$514),'TIF Loan Amortization'!$G$514,IF(AND($C128&gt;='TIF Loan Amortization'!$H$515,$C128&lt;='TIF Loan Amortization'!I$515),'TIF Loan Amortization'!$G$515,IF(AND($C128&gt;='TIF Loan Amortization'!$H$516,$C128&lt;='TIF Loan Amortization'!I$516),'TIF Loan Amortization'!$G$516,IF(AND($C128&gt;='TIF Loan Amortization'!$H$517,$C128&lt;='TIF Loan Amortization'!I$517),'TIF Loan Amortization'!$G$517,IF(AND($C128&gt;='TIF Loan Amortization'!$H$518,$C128&lt;='TIF Loan Amortization'!I$518),'TIF Loan Amortization'!$G$518,IF(AND($C128&gt;='TIF Loan Amortization'!$H$519,$C128&lt;='TIF Loan Amortization'!I$519),'TIF Loan Amortization'!$G$519))))))))))))))))))))))))))))))))))))))))</f>
        <v>#N/A</v>
      </c>
      <c r="C128" s="269" t="e">
        <f t="shared" si="23"/>
        <v>#N/A</v>
      </c>
      <c r="D128" s="281" t="str">
        <f>IF($AG$428=1,$H$10+7,"")</f>
        <v/>
      </c>
      <c r="E128" s="274">
        <v>78</v>
      </c>
      <c r="F128" s="275" t="str">
        <f>VLOOKUP($AG$428,$AE$422:$AF$433,2)</f>
        <v>Sep</v>
      </c>
      <c r="G128" s="272">
        <f t="shared" si="24"/>
        <v>0</v>
      </c>
      <c r="H128" s="272">
        <f t="shared" si="27"/>
        <v>0</v>
      </c>
      <c r="I128" s="272">
        <f t="shared" si="28"/>
        <v>0</v>
      </c>
      <c r="J128" s="272">
        <f t="shared" si="25"/>
        <v>0</v>
      </c>
      <c r="K128" s="272">
        <f>IF(ISTEXT($M$4),"",SUM(I$50:I128))</f>
        <v>0</v>
      </c>
      <c r="L128" s="272">
        <f>IF(ISTEXT($M$4),"",SUM(J$50:J128))</f>
        <v>0</v>
      </c>
      <c r="M128" s="271">
        <f t="shared" si="26"/>
        <v>0</v>
      </c>
      <c r="N128" s="291" t="e">
        <f>IF(C128='Operating Assumptions'!$C$48,"Construction Finish","")</f>
        <v>#N/A</v>
      </c>
      <c r="O128" s="291"/>
      <c r="P128" s="291"/>
      <c r="Q128" s="291"/>
      <c r="R128" s="291"/>
      <c r="S128" s="291"/>
      <c r="T128" s="291"/>
      <c r="U128" s="291"/>
      <c r="V128" s="292"/>
      <c r="W128" s="292"/>
      <c r="X128" s="292"/>
      <c r="Y128" s="291"/>
      <c r="Z128" s="279"/>
      <c r="AA128" s="279"/>
      <c r="AB128" s="279"/>
    </row>
    <row r="129" spans="2:28" s="278" customFormat="1" ht="11.65" hidden="1" customHeight="1" outlineLevel="1" x14ac:dyDescent="0.25">
      <c r="B129" s="270" t="e">
        <f>IF(AND($C129&gt;='TIF Loan Amortization'!$H$480,$C129&lt;='TIF Loan Amortization'!$I$480),'TIF Loan Amortization'!$G$480,IF(AND($C129&gt;='TIF Loan Amortization'!$H$481,$C129&lt;='TIF Loan Amortization'!I$481),'TIF Loan Amortization'!$G$481,IF(AND($C129&gt;='TIF Loan Amortization'!$H$482,$C129&lt;='TIF Loan Amortization'!I$482),'TIF Loan Amortization'!$G$482,IF(AND($C129&gt;='TIF Loan Amortization'!$H$483,$C129&lt;='TIF Loan Amortization'!I$483),'TIF Loan Amortization'!$G$483,IF(AND($C129&gt;='TIF Loan Amortization'!$H$484,$C129&lt;='TIF Loan Amortization'!I$484),'TIF Loan Amortization'!$G$484,IF(AND($C129&gt;='TIF Loan Amortization'!$H$485,$C129&lt;='TIF Loan Amortization'!I$485),'TIF Loan Amortization'!$G$485,IF(AND($C129&gt;='TIF Loan Amortization'!$H$486,$C129&lt;='TIF Loan Amortization'!I$486),'TIF Loan Amortization'!$G$486,IF(AND($C129&gt;='TIF Loan Amortization'!$H$487,$C129&lt;='TIF Loan Amortization'!I$487),'TIF Loan Amortization'!$G$487,IF(AND($C129&gt;='TIF Loan Amortization'!$H$488,$C129&lt;='TIF Loan Amortization'!I$488),'TIF Loan Amortization'!$G$488,IF(AND($C129&gt;='TIF Loan Amortization'!$H$489,$C129&lt;='TIF Loan Amortization'!I$489),'TIF Loan Amortization'!$G$489,IF(AND($C129&gt;='TIF Loan Amortization'!$H$490,$C129&lt;='TIF Loan Amortization'!I$490),'TIF Loan Amortization'!$G$490,IF(AND($C129&gt;='TIF Loan Amortization'!$H$491,$C129&lt;='TIF Loan Amortization'!I$491),'TIF Loan Amortization'!$G$491,IF(AND($C129&gt;='TIF Loan Amortization'!$H$492,$C129&lt;='TIF Loan Amortization'!I$492),'TIF Loan Amortization'!$G$492,IF(AND($C129&gt;='TIF Loan Amortization'!$H$493,$C129&lt;='TIF Loan Amortization'!I$493),'TIF Loan Amortization'!$G$493,IF(AND($C129&gt;='TIF Loan Amortization'!$H$494,$C129&lt;='TIF Loan Amortization'!I$494),'TIF Loan Amortization'!$G$494,IF(AND($C129&gt;='TIF Loan Amortization'!$H$495,$C129&lt;='TIF Loan Amortization'!I$495),'TIF Loan Amortization'!$G$495,IF(AND($C129&gt;='TIF Loan Amortization'!$H$496,$C129&lt;='TIF Loan Amortization'!I$496),'TIF Loan Amortization'!$G$496,IF(AND($C129&gt;='TIF Loan Amortization'!$H$497,$C129&lt;='TIF Loan Amortization'!I$497),'TIF Loan Amortization'!$G$497,IF(AND($C129&gt;='TIF Loan Amortization'!$H$498,$C129&lt;='TIF Loan Amortization'!I$498),'TIF Loan Amortization'!$G$498,IF(AND($C129&gt;='TIF Loan Amortization'!$H$499,$C129&lt;='TIF Loan Amortization'!I$499),'TIF Loan Amortization'!$G$499,IF(AND($C129&gt;='TIF Loan Amortization'!$H$500,$C129&lt;='TIF Loan Amortization'!I$500),'TIF Loan Amortization'!$G$500,IF(AND($C129&gt;='TIF Loan Amortization'!$H$501,$C129&lt;='TIF Loan Amortization'!I$501),'TIF Loan Amortization'!$G$501,IF(AND($C129&gt;='TIF Loan Amortization'!$H$502,$C129&lt;='TIF Loan Amortization'!I$502),'TIF Loan Amortization'!$G$502,IF(AND($C129&gt;='TIF Loan Amortization'!$H$503,$C129&lt;='TIF Loan Amortization'!I$503),'TIF Loan Amortization'!$G$503,IF(AND($C129&gt;='TIF Loan Amortization'!$H$504,$C129&lt;='TIF Loan Amortization'!I$504),'TIF Loan Amortization'!$G$504,IF(AND($C129&gt;='TIF Loan Amortization'!$H$505,$C129&lt;='TIF Loan Amortization'!I$505),'TIF Loan Amortization'!$G$505,IF(AND($C129&gt;='TIF Loan Amortization'!$H$506,$C129&lt;='TIF Loan Amortization'!I$506),'TIF Loan Amortization'!$G$506,IF(AND($C129&gt;='TIF Loan Amortization'!$H$507,$C129&lt;='TIF Loan Amortization'!I$507),'TIF Loan Amortization'!$G$507,IF(AND($C129&gt;='TIF Loan Amortization'!$H$508,$C129&lt;='TIF Loan Amortization'!I$508),'TIF Loan Amortization'!$G$508,IF(AND($C129&gt;='TIF Loan Amortization'!$H$509,$C129&lt;='TIF Loan Amortization'!I$509),'TIF Loan Amortization'!$G$509,IF(AND($C129&gt;='TIF Loan Amortization'!$H$510,$C129&lt;='TIF Loan Amortization'!I$510),'TIF Loan Amortization'!$G$510,IF(AND($C129&gt;='TIF Loan Amortization'!$H$511,$C129&lt;='TIF Loan Amortization'!I$511),'TIF Loan Amortization'!$G$511,IF(AND($C129&gt;='TIF Loan Amortization'!$H$512,$C129&lt;='TIF Loan Amortization'!I$512),'TIF Loan Amortization'!$G$512,IF(AND($C129&gt;='TIF Loan Amortization'!$H$513,$C129&lt;='TIF Loan Amortization'!I$513),'TIF Loan Amortization'!$G$513,IF(AND($C129&gt;='TIF Loan Amortization'!$H$514,$C129&lt;='TIF Loan Amortization'!I$514),'TIF Loan Amortization'!$G$514,IF(AND($C129&gt;='TIF Loan Amortization'!$H$515,$C129&lt;='TIF Loan Amortization'!I$515),'TIF Loan Amortization'!$G$515,IF(AND($C129&gt;='TIF Loan Amortization'!$H$516,$C129&lt;='TIF Loan Amortization'!I$516),'TIF Loan Amortization'!$G$516,IF(AND($C129&gt;='TIF Loan Amortization'!$H$517,$C129&lt;='TIF Loan Amortization'!I$517),'TIF Loan Amortization'!$G$517,IF(AND($C129&gt;='TIF Loan Amortization'!$H$518,$C129&lt;='TIF Loan Amortization'!I$518),'TIF Loan Amortization'!$G$518,IF(AND($C129&gt;='TIF Loan Amortization'!$H$519,$C129&lt;='TIF Loan Amortization'!I$519),'TIF Loan Amortization'!$G$519))))))))))))))))))))))))))))))))))))))))</f>
        <v>#N/A</v>
      </c>
      <c r="C129" s="269" t="e">
        <f t="shared" si="23"/>
        <v>#N/A</v>
      </c>
      <c r="D129" s="281" t="str">
        <f>IF($AG$429=1,$H$10+7,"")</f>
        <v/>
      </c>
      <c r="E129" s="274">
        <v>79</v>
      </c>
      <c r="F129" s="275" t="str">
        <f>VLOOKUP($AG$429,$AE$422:$AF$433,2)</f>
        <v>Oct</v>
      </c>
      <c r="G129" s="272">
        <f t="shared" si="24"/>
        <v>0</v>
      </c>
      <c r="H129" s="272">
        <f t="shared" si="27"/>
        <v>0</v>
      </c>
      <c r="I129" s="272">
        <f t="shared" si="28"/>
        <v>0</v>
      </c>
      <c r="J129" s="272">
        <f t="shared" si="25"/>
        <v>0</v>
      </c>
      <c r="K129" s="272">
        <f>IF(ISTEXT($M$4),"",SUM(I$50:I129))</f>
        <v>0</v>
      </c>
      <c r="L129" s="272">
        <f>IF(ISTEXT($M$4),"",SUM(J$50:J129))</f>
        <v>0</v>
      </c>
      <c r="M129" s="271">
        <f t="shared" si="26"/>
        <v>0</v>
      </c>
      <c r="N129" s="291" t="e">
        <f>IF(C129='Operating Assumptions'!$C$48,"Construction Finish","")</f>
        <v>#N/A</v>
      </c>
      <c r="O129" s="291"/>
      <c r="P129" s="291"/>
      <c r="Q129" s="291"/>
      <c r="R129" s="291"/>
      <c r="S129" s="291"/>
      <c r="T129" s="291"/>
      <c r="U129" s="291"/>
      <c r="V129" s="292"/>
      <c r="W129" s="292"/>
      <c r="X129" s="292"/>
      <c r="Y129" s="291"/>
      <c r="Z129" s="279"/>
      <c r="AA129" s="279"/>
      <c r="AB129" s="279"/>
    </row>
    <row r="130" spans="2:28" s="278" customFormat="1" ht="11.65" hidden="1" customHeight="1" outlineLevel="1" x14ac:dyDescent="0.25">
      <c r="B130" s="270" t="e">
        <f>IF(AND($C130&gt;='TIF Loan Amortization'!$H$480,$C130&lt;='TIF Loan Amortization'!$I$480),'TIF Loan Amortization'!$G$480,IF(AND($C130&gt;='TIF Loan Amortization'!$H$481,$C130&lt;='TIF Loan Amortization'!I$481),'TIF Loan Amortization'!$G$481,IF(AND($C130&gt;='TIF Loan Amortization'!$H$482,$C130&lt;='TIF Loan Amortization'!I$482),'TIF Loan Amortization'!$G$482,IF(AND($C130&gt;='TIF Loan Amortization'!$H$483,$C130&lt;='TIF Loan Amortization'!I$483),'TIF Loan Amortization'!$G$483,IF(AND($C130&gt;='TIF Loan Amortization'!$H$484,$C130&lt;='TIF Loan Amortization'!I$484),'TIF Loan Amortization'!$G$484,IF(AND($C130&gt;='TIF Loan Amortization'!$H$485,$C130&lt;='TIF Loan Amortization'!I$485),'TIF Loan Amortization'!$G$485,IF(AND($C130&gt;='TIF Loan Amortization'!$H$486,$C130&lt;='TIF Loan Amortization'!I$486),'TIF Loan Amortization'!$G$486,IF(AND($C130&gt;='TIF Loan Amortization'!$H$487,$C130&lt;='TIF Loan Amortization'!I$487),'TIF Loan Amortization'!$G$487,IF(AND($C130&gt;='TIF Loan Amortization'!$H$488,$C130&lt;='TIF Loan Amortization'!I$488),'TIF Loan Amortization'!$G$488,IF(AND($C130&gt;='TIF Loan Amortization'!$H$489,$C130&lt;='TIF Loan Amortization'!I$489),'TIF Loan Amortization'!$G$489,IF(AND($C130&gt;='TIF Loan Amortization'!$H$490,$C130&lt;='TIF Loan Amortization'!I$490),'TIF Loan Amortization'!$G$490,IF(AND($C130&gt;='TIF Loan Amortization'!$H$491,$C130&lt;='TIF Loan Amortization'!I$491),'TIF Loan Amortization'!$G$491,IF(AND($C130&gt;='TIF Loan Amortization'!$H$492,$C130&lt;='TIF Loan Amortization'!I$492),'TIF Loan Amortization'!$G$492,IF(AND($C130&gt;='TIF Loan Amortization'!$H$493,$C130&lt;='TIF Loan Amortization'!I$493),'TIF Loan Amortization'!$G$493,IF(AND($C130&gt;='TIF Loan Amortization'!$H$494,$C130&lt;='TIF Loan Amortization'!I$494),'TIF Loan Amortization'!$G$494,IF(AND($C130&gt;='TIF Loan Amortization'!$H$495,$C130&lt;='TIF Loan Amortization'!I$495),'TIF Loan Amortization'!$G$495,IF(AND($C130&gt;='TIF Loan Amortization'!$H$496,$C130&lt;='TIF Loan Amortization'!I$496),'TIF Loan Amortization'!$G$496,IF(AND($C130&gt;='TIF Loan Amortization'!$H$497,$C130&lt;='TIF Loan Amortization'!I$497),'TIF Loan Amortization'!$G$497,IF(AND($C130&gt;='TIF Loan Amortization'!$H$498,$C130&lt;='TIF Loan Amortization'!I$498),'TIF Loan Amortization'!$G$498,IF(AND($C130&gt;='TIF Loan Amortization'!$H$499,$C130&lt;='TIF Loan Amortization'!I$499),'TIF Loan Amortization'!$G$499,IF(AND($C130&gt;='TIF Loan Amortization'!$H$500,$C130&lt;='TIF Loan Amortization'!I$500),'TIF Loan Amortization'!$G$500,IF(AND($C130&gt;='TIF Loan Amortization'!$H$501,$C130&lt;='TIF Loan Amortization'!I$501),'TIF Loan Amortization'!$G$501,IF(AND($C130&gt;='TIF Loan Amortization'!$H$502,$C130&lt;='TIF Loan Amortization'!I$502),'TIF Loan Amortization'!$G$502,IF(AND($C130&gt;='TIF Loan Amortization'!$H$503,$C130&lt;='TIF Loan Amortization'!I$503),'TIF Loan Amortization'!$G$503,IF(AND($C130&gt;='TIF Loan Amortization'!$H$504,$C130&lt;='TIF Loan Amortization'!I$504),'TIF Loan Amortization'!$G$504,IF(AND($C130&gt;='TIF Loan Amortization'!$H$505,$C130&lt;='TIF Loan Amortization'!I$505),'TIF Loan Amortization'!$G$505,IF(AND($C130&gt;='TIF Loan Amortization'!$H$506,$C130&lt;='TIF Loan Amortization'!I$506),'TIF Loan Amortization'!$G$506,IF(AND($C130&gt;='TIF Loan Amortization'!$H$507,$C130&lt;='TIF Loan Amortization'!I$507),'TIF Loan Amortization'!$G$507,IF(AND($C130&gt;='TIF Loan Amortization'!$H$508,$C130&lt;='TIF Loan Amortization'!I$508),'TIF Loan Amortization'!$G$508,IF(AND($C130&gt;='TIF Loan Amortization'!$H$509,$C130&lt;='TIF Loan Amortization'!I$509),'TIF Loan Amortization'!$G$509,IF(AND($C130&gt;='TIF Loan Amortization'!$H$510,$C130&lt;='TIF Loan Amortization'!I$510),'TIF Loan Amortization'!$G$510,IF(AND($C130&gt;='TIF Loan Amortization'!$H$511,$C130&lt;='TIF Loan Amortization'!I$511),'TIF Loan Amortization'!$G$511,IF(AND($C130&gt;='TIF Loan Amortization'!$H$512,$C130&lt;='TIF Loan Amortization'!I$512),'TIF Loan Amortization'!$G$512,IF(AND($C130&gt;='TIF Loan Amortization'!$H$513,$C130&lt;='TIF Loan Amortization'!I$513),'TIF Loan Amortization'!$G$513,IF(AND($C130&gt;='TIF Loan Amortization'!$H$514,$C130&lt;='TIF Loan Amortization'!I$514),'TIF Loan Amortization'!$G$514,IF(AND($C130&gt;='TIF Loan Amortization'!$H$515,$C130&lt;='TIF Loan Amortization'!I$515),'TIF Loan Amortization'!$G$515,IF(AND($C130&gt;='TIF Loan Amortization'!$H$516,$C130&lt;='TIF Loan Amortization'!I$516),'TIF Loan Amortization'!$G$516,IF(AND($C130&gt;='TIF Loan Amortization'!$H$517,$C130&lt;='TIF Loan Amortization'!I$517),'TIF Loan Amortization'!$G$517,IF(AND($C130&gt;='TIF Loan Amortization'!$H$518,$C130&lt;='TIF Loan Amortization'!I$518),'TIF Loan Amortization'!$G$518,IF(AND($C130&gt;='TIF Loan Amortization'!$H$519,$C130&lt;='TIF Loan Amortization'!I$519),'TIF Loan Amortization'!$G$519))))))))))))))))))))))))))))))))))))))))</f>
        <v>#N/A</v>
      </c>
      <c r="C130" s="269" t="e">
        <f t="shared" si="23"/>
        <v>#N/A</v>
      </c>
      <c r="D130" s="281" t="str">
        <f>IF($AG$430=1,$H$10+7,"")</f>
        <v/>
      </c>
      <c r="E130" s="274">
        <v>80</v>
      </c>
      <c r="F130" s="275" t="str">
        <f>VLOOKUP($AG$430,$AE$422:$AF$433,2)</f>
        <v>Nov</v>
      </c>
      <c r="G130" s="272">
        <f t="shared" si="24"/>
        <v>0</v>
      </c>
      <c r="H130" s="272">
        <f t="shared" si="27"/>
        <v>0</v>
      </c>
      <c r="I130" s="272">
        <f t="shared" si="28"/>
        <v>0</v>
      </c>
      <c r="J130" s="272">
        <f t="shared" si="25"/>
        <v>0</v>
      </c>
      <c r="K130" s="272">
        <f>IF(ISTEXT($M$4),"",SUM(I$50:I130))</f>
        <v>0</v>
      </c>
      <c r="L130" s="272">
        <f>IF(ISTEXT($M$4),"",SUM(J$50:J130))</f>
        <v>0</v>
      </c>
      <c r="M130" s="271">
        <f t="shared" si="26"/>
        <v>0</v>
      </c>
      <c r="N130" s="291" t="e">
        <f>IF(C130='Operating Assumptions'!$C$48,"Construction Finish","")</f>
        <v>#N/A</v>
      </c>
      <c r="O130" s="291"/>
      <c r="P130" s="291"/>
      <c r="Q130" s="291"/>
      <c r="R130" s="291"/>
      <c r="S130" s="291"/>
      <c r="T130" s="291"/>
      <c r="U130" s="291"/>
      <c r="V130" s="292"/>
      <c r="W130" s="292"/>
      <c r="X130" s="292"/>
      <c r="Y130" s="291"/>
      <c r="Z130" s="279"/>
      <c r="AA130" s="279"/>
      <c r="AB130" s="279"/>
    </row>
    <row r="131" spans="2:28" s="278" customFormat="1" ht="11.65" hidden="1" customHeight="1" outlineLevel="1" x14ac:dyDescent="0.25">
      <c r="B131" s="270" t="e">
        <f>IF(AND($C131&gt;='TIF Loan Amortization'!$H$480,$C131&lt;='TIF Loan Amortization'!$I$480),'TIF Loan Amortization'!$G$480,IF(AND($C131&gt;='TIF Loan Amortization'!$H$481,$C131&lt;='TIF Loan Amortization'!I$481),'TIF Loan Amortization'!$G$481,IF(AND($C131&gt;='TIF Loan Amortization'!$H$482,$C131&lt;='TIF Loan Amortization'!I$482),'TIF Loan Amortization'!$G$482,IF(AND($C131&gt;='TIF Loan Amortization'!$H$483,$C131&lt;='TIF Loan Amortization'!I$483),'TIF Loan Amortization'!$G$483,IF(AND($C131&gt;='TIF Loan Amortization'!$H$484,$C131&lt;='TIF Loan Amortization'!I$484),'TIF Loan Amortization'!$G$484,IF(AND($C131&gt;='TIF Loan Amortization'!$H$485,$C131&lt;='TIF Loan Amortization'!I$485),'TIF Loan Amortization'!$G$485,IF(AND($C131&gt;='TIF Loan Amortization'!$H$486,$C131&lt;='TIF Loan Amortization'!I$486),'TIF Loan Amortization'!$G$486,IF(AND($C131&gt;='TIF Loan Amortization'!$H$487,$C131&lt;='TIF Loan Amortization'!I$487),'TIF Loan Amortization'!$G$487,IF(AND($C131&gt;='TIF Loan Amortization'!$H$488,$C131&lt;='TIF Loan Amortization'!I$488),'TIF Loan Amortization'!$G$488,IF(AND($C131&gt;='TIF Loan Amortization'!$H$489,$C131&lt;='TIF Loan Amortization'!I$489),'TIF Loan Amortization'!$G$489,IF(AND($C131&gt;='TIF Loan Amortization'!$H$490,$C131&lt;='TIF Loan Amortization'!I$490),'TIF Loan Amortization'!$G$490,IF(AND($C131&gt;='TIF Loan Amortization'!$H$491,$C131&lt;='TIF Loan Amortization'!I$491),'TIF Loan Amortization'!$G$491,IF(AND($C131&gt;='TIF Loan Amortization'!$H$492,$C131&lt;='TIF Loan Amortization'!I$492),'TIF Loan Amortization'!$G$492,IF(AND($C131&gt;='TIF Loan Amortization'!$H$493,$C131&lt;='TIF Loan Amortization'!I$493),'TIF Loan Amortization'!$G$493,IF(AND($C131&gt;='TIF Loan Amortization'!$H$494,$C131&lt;='TIF Loan Amortization'!I$494),'TIF Loan Amortization'!$G$494,IF(AND($C131&gt;='TIF Loan Amortization'!$H$495,$C131&lt;='TIF Loan Amortization'!I$495),'TIF Loan Amortization'!$G$495,IF(AND($C131&gt;='TIF Loan Amortization'!$H$496,$C131&lt;='TIF Loan Amortization'!I$496),'TIF Loan Amortization'!$G$496,IF(AND($C131&gt;='TIF Loan Amortization'!$H$497,$C131&lt;='TIF Loan Amortization'!I$497),'TIF Loan Amortization'!$G$497,IF(AND($C131&gt;='TIF Loan Amortization'!$H$498,$C131&lt;='TIF Loan Amortization'!I$498),'TIF Loan Amortization'!$G$498,IF(AND($C131&gt;='TIF Loan Amortization'!$H$499,$C131&lt;='TIF Loan Amortization'!I$499),'TIF Loan Amortization'!$G$499,IF(AND($C131&gt;='TIF Loan Amortization'!$H$500,$C131&lt;='TIF Loan Amortization'!I$500),'TIF Loan Amortization'!$G$500,IF(AND($C131&gt;='TIF Loan Amortization'!$H$501,$C131&lt;='TIF Loan Amortization'!I$501),'TIF Loan Amortization'!$G$501,IF(AND($C131&gt;='TIF Loan Amortization'!$H$502,$C131&lt;='TIF Loan Amortization'!I$502),'TIF Loan Amortization'!$G$502,IF(AND($C131&gt;='TIF Loan Amortization'!$H$503,$C131&lt;='TIF Loan Amortization'!I$503),'TIF Loan Amortization'!$G$503,IF(AND($C131&gt;='TIF Loan Amortization'!$H$504,$C131&lt;='TIF Loan Amortization'!I$504),'TIF Loan Amortization'!$G$504,IF(AND($C131&gt;='TIF Loan Amortization'!$H$505,$C131&lt;='TIF Loan Amortization'!I$505),'TIF Loan Amortization'!$G$505,IF(AND($C131&gt;='TIF Loan Amortization'!$H$506,$C131&lt;='TIF Loan Amortization'!I$506),'TIF Loan Amortization'!$G$506,IF(AND($C131&gt;='TIF Loan Amortization'!$H$507,$C131&lt;='TIF Loan Amortization'!I$507),'TIF Loan Amortization'!$G$507,IF(AND($C131&gt;='TIF Loan Amortization'!$H$508,$C131&lt;='TIF Loan Amortization'!I$508),'TIF Loan Amortization'!$G$508,IF(AND($C131&gt;='TIF Loan Amortization'!$H$509,$C131&lt;='TIF Loan Amortization'!I$509),'TIF Loan Amortization'!$G$509,IF(AND($C131&gt;='TIF Loan Amortization'!$H$510,$C131&lt;='TIF Loan Amortization'!I$510),'TIF Loan Amortization'!$G$510,IF(AND($C131&gt;='TIF Loan Amortization'!$H$511,$C131&lt;='TIF Loan Amortization'!I$511),'TIF Loan Amortization'!$G$511,IF(AND($C131&gt;='TIF Loan Amortization'!$H$512,$C131&lt;='TIF Loan Amortization'!I$512),'TIF Loan Amortization'!$G$512,IF(AND($C131&gt;='TIF Loan Amortization'!$H$513,$C131&lt;='TIF Loan Amortization'!I$513),'TIF Loan Amortization'!$G$513,IF(AND($C131&gt;='TIF Loan Amortization'!$H$514,$C131&lt;='TIF Loan Amortization'!I$514),'TIF Loan Amortization'!$G$514,IF(AND($C131&gt;='TIF Loan Amortization'!$H$515,$C131&lt;='TIF Loan Amortization'!I$515),'TIF Loan Amortization'!$G$515,IF(AND($C131&gt;='TIF Loan Amortization'!$H$516,$C131&lt;='TIF Loan Amortization'!I$516),'TIF Loan Amortization'!$G$516,IF(AND($C131&gt;='TIF Loan Amortization'!$H$517,$C131&lt;='TIF Loan Amortization'!I$517),'TIF Loan Amortization'!$G$517,IF(AND($C131&gt;='TIF Loan Amortization'!$H$518,$C131&lt;='TIF Loan Amortization'!I$518),'TIF Loan Amortization'!$G$518,IF(AND($C131&gt;='TIF Loan Amortization'!$H$519,$C131&lt;='TIF Loan Amortization'!I$519),'TIF Loan Amortization'!$G$519))))))))))))))))))))))))))))))))))))))))</f>
        <v>#N/A</v>
      </c>
      <c r="C131" s="269" t="e">
        <f t="shared" si="23"/>
        <v>#N/A</v>
      </c>
      <c r="D131" s="281" t="str">
        <f>IF($AG$431=1,$H$10+7,"")</f>
        <v/>
      </c>
      <c r="E131" s="274">
        <v>81</v>
      </c>
      <c r="F131" s="275" t="str">
        <f>VLOOKUP($AG$431,$AE$422:$AF$433,2)</f>
        <v>Dec</v>
      </c>
      <c r="G131" s="272">
        <f t="shared" si="24"/>
        <v>0</v>
      </c>
      <c r="H131" s="272">
        <f t="shared" si="27"/>
        <v>0</v>
      </c>
      <c r="I131" s="272">
        <f t="shared" si="28"/>
        <v>0</v>
      </c>
      <c r="J131" s="272">
        <f t="shared" si="25"/>
        <v>0</v>
      </c>
      <c r="K131" s="272">
        <f>IF(ISTEXT($M$4),"",SUM(I$50:I131))</f>
        <v>0</v>
      </c>
      <c r="L131" s="272">
        <f>IF(ISTEXT($M$4),"",SUM(J$50:J131))</f>
        <v>0</v>
      </c>
      <c r="M131" s="271">
        <f t="shared" si="26"/>
        <v>0</v>
      </c>
      <c r="N131" s="291" t="e">
        <f>IF(C131='Operating Assumptions'!$C$48,"Construction Finish","")</f>
        <v>#N/A</v>
      </c>
      <c r="O131" s="291"/>
      <c r="P131" s="291"/>
      <c r="Q131" s="291"/>
      <c r="R131" s="291"/>
      <c r="S131" s="291"/>
      <c r="T131" s="291"/>
      <c r="U131" s="291"/>
      <c r="V131" s="292"/>
      <c r="W131" s="292"/>
      <c r="X131" s="292"/>
      <c r="Y131" s="291"/>
      <c r="Z131" s="279"/>
      <c r="AA131" s="279"/>
      <c r="AB131" s="279"/>
    </row>
    <row r="132" spans="2:28" s="278" customFormat="1" ht="11.65" hidden="1" customHeight="1" outlineLevel="1" x14ac:dyDescent="0.25">
      <c r="B132" s="270" t="e">
        <f>IF(AND($C132&gt;='TIF Loan Amortization'!$H$480,$C132&lt;='TIF Loan Amortization'!$I$480),'TIF Loan Amortization'!$G$480,IF(AND($C132&gt;='TIF Loan Amortization'!$H$481,$C132&lt;='TIF Loan Amortization'!I$481),'TIF Loan Amortization'!$G$481,IF(AND($C132&gt;='TIF Loan Amortization'!$H$482,$C132&lt;='TIF Loan Amortization'!I$482),'TIF Loan Amortization'!$G$482,IF(AND($C132&gt;='TIF Loan Amortization'!$H$483,$C132&lt;='TIF Loan Amortization'!I$483),'TIF Loan Amortization'!$G$483,IF(AND($C132&gt;='TIF Loan Amortization'!$H$484,$C132&lt;='TIF Loan Amortization'!I$484),'TIF Loan Amortization'!$G$484,IF(AND($C132&gt;='TIF Loan Amortization'!$H$485,$C132&lt;='TIF Loan Amortization'!I$485),'TIF Loan Amortization'!$G$485,IF(AND($C132&gt;='TIF Loan Amortization'!$H$486,$C132&lt;='TIF Loan Amortization'!I$486),'TIF Loan Amortization'!$G$486,IF(AND($C132&gt;='TIF Loan Amortization'!$H$487,$C132&lt;='TIF Loan Amortization'!I$487),'TIF Loan Amortization'!$G$487,IF(AND($C132&gt;='TIF Loan Amortization'!$H$488,$C132&lt;='TIF Loan Amortization'!I$488),'TIF Loan Amortization'!$G$488,IF(AND($C132&gt;='TIF Loan Amortization'!$H$489,$C132&lt;='TIF Loan Amortization'!I$489),'TIF Loan Amortization'!$G$489,IF(AND($C132&gt;='TIF Loan Amortization'!$H$490,$C132&lt;='TIF Loan Amortization'!I$490),'TIF Loan Amortization'!$G$490,IF(AND($C132&gt;='TIF Loan Amortization'!$H$491,$C132&lt;='TIF Loan Amortization'!I$491),'TIF Loan Amortization'!$G$491,IF(AND($C132&gt;='TIF Loan Amortization'!$H$492,$C132&lt;='TIF Loan Amortization'!I$492),'TIF Loan Amortization'!$G$492,IF(AND($C132&gt;='TIF Loan Amortization'!$H$493,$C132&lt;='TIF Loan Amortization'!I$493),'TIF Loan Amortization'!$G$493,IF(AND($C132&gt;='TIF Loan Amortization'!$H$494,$C132&lt;='TIF Loan Amortization'!I$494),'TIF Loan Amortization'!$G$494,IF(AND($C132&gt;='TIF Loan Amortization'!$H$495,$C132&lt;='TIF Loan Amortization'!I$495),'TIF Loan Amortization'!$G$495,IF(AND($C132&gt;='TIF Loan Amortization'!$H$496,$C132&lt;='TIF Loan Amortization'!I$496),'TIF Loan Amortization'!$G$496,IF(AND($C132&gt;='TIF Loan Amortization'!$H$497,$C132&lt;='TIF Loan Amortization'!I$497),'TIF Loan Amortization'!$G$497,IF(AND($C132&gt;='TIF Loan Amortization'!$H$498,$C132&lt;='TIF Loan Amortization'!I$498),'TIF Loan Amortization'!$G$498,IF(AND($C132&gt;='TIF Loan Amortization'!$H$499,$C132&lt;='TIF Loan Amortization'!I$499),'TIF Loan Amortization'!$G$499,IF(AND($C132&gt;='TIF Loan Amortization'!$H$500,$C132&lt;='TIF Loan Amortization'!I$500),'TIF Loan Amortization'!$G$500,IF(AND($C132&gt;='TIF Loan Amortization'!$H$501,$C132&lt;='TIF Loan Amortization'!I$501),'TIF Loan Amortization'!$G$501,IF(AND($C132&gt;='TIF Loan Amortization'!$H$502,$C132&lt;='TIF Loan Amortization'!I$502),'TIF Loan Amortization'!$G$502,IF(AND($C132&gt;='TIF Loan Amortization'!$H$503,$C132&lt;='TIF Loan Amortization'!I$503),'TIF Loan Amortization'!$G$503,IF(AND($C132&gt;='TIF Loan Amortization'!$H$504,$C132&lt;='TIF Loan Amortization'!I$504),'TIF Loan Amortization'!$G$504,IF(AND($C132&gt;='TIF Loan Amortization'!$H$505,$C132&lt;='TIF Loan Amortization'!I$505),'TIF Loan Amortization'!$G$505,IF(AND($C132&gt;='TIF Loan Amortization'!$H$506,$C132&lt;='TIF Loan Amortization'!I$506),'TIF Loan Amortization'!$G$506,IF(AND($C132&gt;='TIF Loan Amortization'!$H$507,$C132&lt;='TIF Loan Amortization'!I$507),'TIF Loan Amortization'!$G$507,IF(AND($C132&gt;='TIF Loan Amortization'!$H$508,$C132&lt;='TIF Loan Amortization'!I$508),'TIF Loan Amortization'!$G$508,IF(AND($C132&gt;='TIF Loan Amortization'!$H$509,$C132&lt;='TIF Loan Amortization'!I$509),'TIF Loan Amortization'!$G$509,IF(AND($C132&gt;='TIF Loan Amortization'!$H$510,$C132&lt;='TIF Loan Amortization'!I$510),'TIF Loan Amortization'!$G$510,IF(AND($C132&gt;='TIF Loan Amortization'!$H$511,$C132&lt;='TIF Loan Amortization'!I$511),'TIF Loan Amortization'!$G$511,IF(AND($C132&gt;='TIF Loan Amortization'!$H$512,$C132&lt;='TIF Loan Amortization'!I$512),'TIF Loan Amortization'!$G$512,IF(AND($C132&gt;='TIF Loan Amortization'!$H$513,$C132&lt;='TIF Loan Amortization'!I$513),'TIF Loan Amortization'!$G$513,IF(AND($C132&gt;='TIF Loan Amortization'!$H$514,$C132&lt;='TIF Loan Amortization'!I$514),'TIF Loan Amortization'!$G$514,IF(AND($C132&gt;='TIF Loan Amortization'!$H$515,$C132&lt;='TIF Loan Amortization'!I$515),'TIF Loan Amortization'!$G$515,IF(AND($C132&gt;='TIF Loan Amortization'!$H$516,$C132&lt;='TIF Loan Amortization'!I$516),'TIF Loan Amortization'!$G$516,IF(AND($C132&gt;='TIF Loan Amortization'!$H$517,$C132&lt;='TIF Loan Amortization'!I$517),'TIF Loan Amortization'!$G$517,IF(AND($C132&gt;='TIF Loan Amortization'!$H$518,$C132&lt;='TIF Loan Amortization'!I$518),'TIF Loan Amortization'!$G$518,IF(AND($C132&gt;='TIF Loan Amortization'!$H$519,$C132&lt;='TIF Loan Amortization'!I$519),'TIF Loan Amortization'!$G$519))))))))))))))))))))))))))))))))))))))))</f>
        <v>#N/A</v>
      </c>
      <c r="C132" s="269" t="e">
        <f t="shared" si="23"/>
        <v>#N/A</v>
      </c>
      <c r="D132" s="281">
        <f>IF($AG$432=1,$H$10+7,"")</f>
        <v>2032</v>
      </c>
      <c r="E132" s="274">
        <v>82</v>
      </c>
      <c r="F132" s="273" t="str">
        <f>VLOOKUP($AG$432,$AE$422:$AF$433,2)</f>
        <v>Jan</v>
      </c>
      <c r="G132" s="272">
        <f t="shared" si="24"/>
        <v>0</v>
      </c>
      <c r="H132" s="272">
        <f t="shared" si="27"/>
        <v>0</v>
      </c>
      <c r="I132" s="272">
        <f t="shared" si="28"/>
        <v>0</v>
      </c>
      <c r="J132" s="272">
        <f t="shared" si="25"/>
        <v>0</v>
      </c>
      <c r="K132" s="272">
        <f>IF(ISTEXT($M$4),"",SUM(I$50:I132))</f>
        <v>0</v>
      </c>
      <c r="L132" s="272">
        <f>IF(ISTEXT($M$4),"",SUM(J$50:J132))</f>
        <v>0</v>
      </c>
      <c r="M132" s="271">
        <f t="shared" si="26"/>
        <v>0</v>
      </c>
      <c r="N132" s="291" t="e">
        <f>IF(C132='Operating Assumptions'!$C$48,"Construction Finish","")</f>
        <v>#N/A</v>
      </c>
      <c r="O132" s="291"/>
      <c r="P132" s="291"/>
      <c r="Q132" s="291"/>
      <c r="R132" s="291"/>
      <c r="S132" s="291"/>
      <c r="T132" s="291"/>
      <c r="U132" s="291"/>
      <c r="V132" s="292"/>
      <c r="W132" s="292"/>
      <c r="X132" s="292"/>
      <c r="Y132" s="291"/>
      <c r="Z132" s="279"/>
      <c r="AA132" s="279"/>
      <c r="AB132" s="279"/>
    </row>
    <row r="133" spans="2:28" s="278" customFormat="1" ht="11.65" hidden="1" customHeight="1" outlineLevel="1" x14ac:dyDescent="0.25">
      <c r="B133" s="270" t="e">
        <f>IF(AND($C133&gt;='TIF Loan Amortization'!$H$480,$C133&lt;='TIF Loan Amortization'!$I$480),'TIF Loan Amortization'!$G$480,IF(AND($C133&gt;='TIF Loan Amortization'!$H$481,$C133&lt;='TIF Loan Amortization'!I$481),'TIF Loan Amortization'!$G$481,IF(AND($C133&gt;='TIF Loan Amortization'!$H$482,$C133&lt;='TIF Loan Amortization'!I$482),'TIF Loan Amortization'!$G$482,IF(AND($C133&gt;='TIF Loan Amortization'!$H$483,$C133&lt;='TIF Loan Amortization'!I$483),'TIF Loan Amortization'!$G$483,IF(AND($C133&gt;='TIF Loan Amortization'!$H$484,$C133&lt;='TIF Loan Amortization'!I$484),'TIF Loan Amortization'!$G$484,IF(AND($C133&gt;='TIF Loan Amortization'!$H$485,$C133&lt;='TIF Loan Amortization'!I$485),'TIF Loan Amortization'!$G$485,IF(AND($C133&gt;='TIF Loan Amortization'!$H$486,$C133&lt;='TIF Loan Amortization'!I$486),'TIF Loan Amortization'!$G$486,IF(AND($C133&gt;='TIF Loan Amortization'!$H$487,$C133&lt;='TIF Loan Amortization'!I$487),'TIF Loan Amortization'!$G$487,IF(AND($C133&gt;='TIF Loan Amortization'!$H$488,$C133&lt;='TIF Loan Amortization'!I$488),'TIF Loan Amortization'!$G$488,IF(AND($C133&gt;='TIF Loan Amortization'!$H$489,$C133&lt;='TIF Loan Amortization'!I$489),'TIF Loan Amortization'!$G$489,IF(AND($C133&gt;='TIF Loan Amortization'!$H$490,$C133&lt;='TIF Loan Amortization'!I$490),'TIF Loan Amortization'!$G$490,IF(AND($C133&gt;='TIF Loan Amortization'!$H$491,$C133&lt;='TIF Loan Amortization'!I$491),'TIF Loan Amortization'!$G$491,IF(AND($C133&gt;='TIF Loan Amortization'!$H$492,$C133&lt;='TIF Loan Amortization'!I$492),'TIF Loan Amortization'!$G$492,IF(AND($C133&gt;='TIF Loan Amortization'!$H$493,$C133&lt;='TIF Loan Amortization'!I$493),'TIF Loan Amortization'!$G$493,IF(AND($C133&gt;='TIF Loan Amortization'!$H$494,$C133&lt;='TIF Loan Amortization'!I$494),'TIF Loan Amortization'!$G$494,IF(AND($C133&gt;='TIF Loan Amortization'!$H$495,$C133&lt;='TIF Loan Amortization'!I$495),'TIF Loan Amortization'!$G$495,IF(AND($C133&gt;='TIF Loan Amortization'!$H$496,$C133&lt;='TIF Loan Amortization'!I$496),'TIF Loan Amortization'!$G$496,IF(AND($C133&gt;='TIF Loan Amortization'!$H$497,$C133&lt;='TIF Loan Amortization'!I$497),'TIF Loan Amortization'!$G$497,IF(AND($C133&gt;='TIF Loan Amortization'!$H$498,$C133&lt;='TIF Loan Amortization'!I$498),'TIF Loan Amortization'!$G$498,IF(AND($C133&gt;='TIF Loan Amortization'!$H$499,$C133&lt;='TIF Loan Amortization'!I$499),'TIF Loan Amortization'!$G$499,IF(AND($C133&gt;='TIF Loan Amortization'!$H$500,$C133&lt;='TIF Loan Amortization'!I$500),'TIF Loan Amortization'!$G$500,IF(AND($C133&gt;='TIF Loan Amortization'!$H$501,$C133&lt;='TIF Loan Amortization'!I$501),'TIF Loan Amortization'!$G$501,IF(AND($C133&gt;='TIF Loan Amortization'!$H$502,$C133&lt;='TIF Loan Amortization'!I$502),'TIF Loan Amortization'!$G$502,IF(AND($C133&gt;='TIF Loan Amortization'!$H$503,$C133&lt;='TIF Loan Amortization'!I$503),'TIF Loan Amortization'!$G$503,IF(AND($C133&gt;='TIF Loan Amortization'!$H$504,$C133&lt;='TIF Loan Amortization'!I$504),'TIF Loan Amortization'!$G$504,IF(AND($C133&gt;='TIF Loan Amortization'!$H$505,$C133&lt;='TIF Loan Amortization'!I$505),'TIF Loan Amortization'!$G$505,IF(AND($C133&gt;='TIF Loan Amortization'!$H$506,$C133&lt;='TIF Loan Amortization'!I$506),'TIF Loan Amortization'!$G$506,IF(AND($C133&gt;='TIF Loan Amortization'!$H$507,$C133&lt;='TIF Loan Amortization'!I$507),'TIF Loan Amortization'!$G$507,IF(AND($C133&gt;='TIF Loan Amortization'!$H$508,$C133&lt;='TIF Loan Amortization'!I$508),'TIF Loan Amortization'!$G$508,IF(AND($C133&gt;='TIF Loan Amortization'!$H$509,$C133&lt;='TIF Loan Amortization'!I$509),'TIF Loan Amortization'!$G$509,IF(AND($C133&gt;='TIF Loan Amortization'!$H$510,$C133&lt;='TIF Loan Amortization'!I$510),'TIF Loan Amortization'!$G$510,IF(AND($C133&gt;='TIF Loan Amortization'!$H$511,$C133&lt;='TIF Loan Amortization'!I$511),'TIF Loan Amortization'!$G$511,IF(AND($C133&gt;='TIF Loan Amortization'!$H$512,$C133&lt;='TIF Loan Amortization'!I$512),'TIF Loan Amortization'!$G$512,IF(AND($C133&gt;='TIF Loan Amortization'!$H$513,$C133&lt;='TIF Loan Amortization'!I$513),'TIF Loan Amortization'!$G$513,IF(AND($C133&gt;='TIF Loan Amortization'!$H$514,$C133&lt;='TIF Loan Amortization'!I$514),'TIF Loan Amortization'!$G$514,IF(AND($C133&gt;='TIF Loan Amortization'!$H$515,$C133&lt;='TIF Loan Amortization'!I$515),'TIF Loan Amortization'!$G$515,IF(AND($C133&gt;='TIF Loan Amortization'!$H$516,$C133&lt;='TIF Loan Amortization'!I$516),'TIF Loan Amortization'!$G$516,IF(AND($C133&gt;='TIF Loan Amortization'!$H$517,$C133&lt;='TIF Loan Amortization'!I$517),'TIF Loan Amortization'!$G$517,IF(AND($C133&gt;='TIF Loan Amortization'!$H$518,$C133&lt;='TIF Loan Amortization'!I$518),'TIF Loan Amortization'!$G$518,IF(AND($C133&gt;='TIF Loan Amortization'!$H$519,$C133&lt;='TIF Loan Amortization'!I$519),'TIF Loan Amortization'!$G$519))))))))))))))))))))))))))))))))))))))))</f>
        <v>#N/A</v>
      </c>
      <c r="C133" s="269" t="e">
        <f t="shared" si="23"/>
        <v>#N/A</v>
      </c>
      <c r="D133" s="281" t="str">
        <f>IF($AG$433=1,$H$10+7,"")</f>
        <v/>
      </c>
      <c r="E133" s="274">
        <v>83</v>
      </c>
      <c r="F133" s="273" t="str">
        <f>VLOOKUP($AG$433,$AE$422:$AF$433,2)</f>
        <v>Feb</v>
      </c>
      <c r="G133" s="272">
        <f t="shared" si="24"/>
        <v>0</v>
      </c>
      <c r="H133" s="272">
        <f t="shared" si="27"/>
        <v>0</v>
      </c>
      <c r="I133" s="272">
        <f t="shared" si="28"/>
        <v>0</v>
      </c>
      <c r="J133" s="272">
        <f t="shared" si="25"/>
        <v>0</v>
      </c>
      <c r="K133" s="272">
        <f>IF(ISTEXT($M$4),"",SUM(I$50:I133))</f>
        <v>0</v>
      </c>
      <c r="L133" s="272">
        <f>IF(ISTEXT($M$4),"",SUM(J$50:J133))</f>
        <v>0</v>
      </c>
      <c r="M133" s="271">
        <f t="shared" si="26"/>
        <v>0</v>
      </c>
      <c r="N133" s="291" t="e">
        <f>IF(C133='Operating Assumptions'!$C$48,"Construction Finish","")</f>
        <v>#N/A</v>
      </c>
      <c r="O133" s="291"/>
      <c r="P133" s="291"/>
      <c r="Q133" s="291"/>
      <c r="R133" s="291"/>
      <c r="S133" s="291"/>
      <c r="T133" s="291"/>
      <c r="U133" s="291"/>
      <c r="V133" s="292"/>
      <c r="W133" s="292"/>
      <c r="X133" s="292"/>
      <c r="Y133" s="291"/>
      <c r="Z133" s="279"/>
      <c r="AA133" s="279"/>
      <c r="AB133" s="279"/>
    </row>
    <row r="134" spans="2:28" s="278" customFormat="1" ht="11.65" hidden="1" customHeight="1" outlineLevel="1" x14ac:dyDescent="0.25">
      <c r="B134" s="270" t="e">
        <f>IF(AND($C134&gt;='TIF Loan Amortization'!$H$480,$C134&lt;='TIF Loan Amortization'!$I$480),'TIF Loan Amortization'!$G$480,IF(AND($C134&gt;='TIF Loan Amortization'!$H$481,$C134&lt;='TIF Loan Amortization'!I$481),'TIF Loan Amortization'!$G$481,IF(AND($C134&gt;='TIF Loan Amortization'!$H$482,$C134&lt;='TIF Loan Amortization'!I$482),'TIF Loan Amortization'!$G$482,IF(AND($C134&gt;='TIF Loan Amortization'!$H$483,$C134&lt;='TIF Loan Amortization'!I$483),'TIF Loan Amortization'!$G$483,IF(AND($C134&gt;='TIF Loan Amortization'!$H$484,$C134&lt;='TIF Loan Amortization'!I$484),'TIF Loan Amortization'!$G$484,IF(AND($C134&gt;='TIF Loan Amortization'!$H$485,$C134&lt;='TIF Loan Amortization'!I$485),'TIF Loan Amortization'!$G$485,IF(AND($C134&gt;='TIF Loan Amortization'!$H$486,$C134&lt;='TIF Loan Amortization'!I$486),'TIF Loan Amortization'!$G$486,IF(AND($C134&gt;='TIF Loan Amortization'!$H$487,$C134&lt;='TIF Loan Amortization'!I$487),'TIF Loan Amortization'!$G$487,IF(AND($C134&gt;='TIF Loan Amortization'!$H$488,$C134&lt;='TIF Loan Amortization'!I$488),'TIF Loan Amortization'!$G$488,IF(AND($C134&gt;='TIF Loan Amortization'!$H$489,$C134&lt;='TIF Loan Amortization'!I$489),'TIF Loan Amortization'!$G$489,IF(AND($C134&gt;='TIF Loan Amortization'!$H$490,$C134&lt;='TIF Loan Amortization'!I$490),'TIF Loan Amortization'!$G$490,IF(AND($C134&gt;='TIF Loan Amortization'!$H$491,$C134&lt;='TIF Loan Amortization'!I$491),'TIF Loan Amortization'!$G$491,IF(AND($C134&gt;='TIF Loan Amortization'!$H$492,$C134&lt;='TIF Loan Amortization'!I$492),'TIF Loan Amortization'!$G$492,IF(AND($C134&gt;='TIF Loan Amortization'!$H$493,$C134&lt;='TIF Loan Amortization'!I$493),'TIF Loan Amortization'!$G$493,IF(AND($C134&gt;='TIF Loan Amortization'!$H$494,$C134&lt;='TIF Loan Amortization'!I$494),'TIF Loan Amortization'!$G$494,IF(AND($C134&gt;='TIF Loan Amortization'!$H$495,$C134&lt;='TIF Loan Amortization'!I$495),'TIF Loan Amortization'!$G$495,IF(AND($C134&gt;='TIF Loan Amortization'!$H$496,$C134&lt;='TIF Loan Amortization'!I$496),'TIF Loan Amortization'!$G$496,IF(AND($C134&gt;='TIF Loan Amortization'!$H$497,$C134&lt;='TIF Loan Amortization'!I$497),'TIF Loan Amortization'!$G$497,IF(AND($C134&gt;='TIF Loan Amortization'!$H$498,$C134&lt;='TIF Loan Amortization'!I$498),'TIF Loan Amortization'!$G$498,IF(AND($C134&gt;='TIF Loan Amortization'!$H$499,$C134&lt;='TIF Loan Amortization'!I$499),'TIF Loan Amortization'!$G$499,IF(AND($C134&gt;='TIF Loan Amortization'!$H$500,$C134&lt;='TIF Loan Amortization'!I$500),'TIF Loan Amortization'!$G$500,IF(AND($C134&gt;='TIF Loan Amortization'!$H$501,$C134&lt;='TIF Loan Amortization'!I$501),'TIF Loan Amortization'!$G$501,IF(AND($C134&gt;='TIF Loan Amortization'!$H$502,$C134&lt;='TIF Loan Amortization'!I$502),'TIF Loan Amortization'!$G$502,IF(AND($C134&gt;='TIF Loan Amortization'!$H$503,$C134&lt;='TIF Loan Amortization'!I$503),'TIF Loan Amortization'!$G$503,IF(AND($C134&gt;='TIF Loan Amortization'!$H$504,$C134&lt;='TIF Loan Amortization'!I$504),'TIF Loan Amortization'!$G$504,IF(AND($C134&gt;='TIF Loan Amortization'!$H$505,$C134&lt;='TIF Loan Amortization'!I$505),'TIF Loan Amortization'!$G$505,IF(AND($C134&gt;='TIF Loan Amortization'!$H$506,$C134&lt;='TIF Loan Amortization'!I$506),'TIF Loan Amortization'!$G$506,IF(AND($C134&gt;='TIF Loan Amortization'!$H$507,$C134&lt;='TIF Loan Amortization'!I$507),'TIF Loan Amortization'!$G$507,IF(AND($C134&gt;='TIF Loan Amortization'!$H$508,$C134&lt;='TIF Loan Amortization'!I$508),'TIF Loan Amortization'!$G$508,IF(AND($C134&gt;='TIF Loan Amortization'!$H$509,$C134&lt;='TIF Loan Amortization'!I$509),'TIF Loan Amortization'!$G$509,IF(AND($C134&gt;='TIF Loan Amortization'!$H$510,$C134&lt;='TIF Loan Amortization'!I$510),'TIF Loan Amortization'!$G$510,IF(AND($C134&gt;='TIF Loan Amortization'!$H$511,$C134&lt;='TIF Loan Amortization'!I$511),'TIF Loan Amortization'!$G$511,IF(AND($C134&gt;='TIF Loan Amortization'!$H$512,$C134&lt;='TIF Loan Amortization'!I$512),'TIF Loan Amortization'!$G$512,IF(AND($C134&gt;='TIF Loan Amortization'!$H$513,$C134&lt;='TIF Loan Amortization'!I$513),'TIF Loan Amortization'!$G$513,IF(AND($C134&gt;='TIF Loan Amortization'!$H$514,$C134&lt;='TIF Loan Amortization'!I$514),'TIF Loan Amortization'!$G$514,IF(AND($C134&gt;='TIF Loan Amortization'!$H$515,$C134&lt;='TIF Loan Amortization'!I$515),'TIF Loan Amortization'!$G$515,IF(AND($C134&gt;='TIF Loan Amortization'!$H$516,$C134&lt;='TIF Loan Amortization'!I$516),'TIF Loan Amortization'!$G$516,IF(AND($C134&gt;='TIF Loan Amortization'!$H$517,$C134&lt;='TIF Loan Amortization'!I$517),'TIF Loan Amortization'!$G$517,IF(AND($C134&gt;='TIF Loan Amortization'!$H$518,$C134&lt;='TIF Loan Amortization'!I$518),'TIF Loan Amortization'!$G$518,IF(AND($C134&gt;='TIF Loan Amortization'!$H$519,$C134&lt;='TIF Loan Amortization'!I$519),'TIF Loan Amortization'!$G$519))))))))))))))))))))))))))))))))))))))))</f>
        <v>#N/A</v>
      </c>
      <c r="C134" s="269" t="e">
        <f t="shared" si="23"/>
        <v>#N/A</v>
      </c>
      <c r="D134" s="281" t="str">
        <f>IF($H$11="January",$H$10+7,IF($AG$422=1,$H$10+8,""))</f>
        <v/>
      </c>
      <c r="E134" s="274">
        <v>84</v>
      </c>
      <c r="F134" s="273" t="str">
        <f>VLOOKUP($AG$422,$AE$422:$AF$433,2)</f>
        <v>Mar</v>
      </c>
      <c r="G134" s="272">
        <f t="shared" si="24"/>
        <v>0</v>
      </c>
      <c r="H134" s="272">
        <f t="shared" si="27"/>
        <v>0</v>
      </c>
      <c r="I134" s="272">
        <f t="shared" si="28"/>
        <v>0</v>
      </c>
      <c r="J134" s="272">
        <f t="shared" si="25"/>
        <v>0</v>
      </c>
      <c r="K134" s="272">
        <f>IF(ISTEXT($M$4),"",SUM(I$50:I134))</f>
        <v>0</v>
      </c>
      <c r="L134" s="272">
        <f>IF(ISTEXT($M$4),"",SUM(J$50:J134))</f>
        <v>0</v>
      </c>
      <c r="M134" s="271">
        <f t="shared" si="26"/>
        <v>0</v>
      </c>
      <c r="N134" s="291" t="e">
        <f>IF(C134='Operating Assumptions'!$C$48,"Construction Finish","")</f>
        <v>#N/A</v>
      </c>
      <c r="O134" s="291"/>
      <c r="P134" s="291"/>
      <c r="Q134" s="291"/>
      <c r="R134" s="291"/>
      <c r="S134" s="291"/>
      <c r="T134" s="291"/>
      <c r="U134" s="291"/>
      <c r="V134" s="292"/>
      <c r="W134" s="292"/>
      <c r="X134" s="292"/>
      <c r="Y134" s="291"/>
      <c r="Z134" s="279"/>
      <c r="AA134" s="279"/>
      <c r="AB134" s="279"/>
    </row>
    <row r="135" spans="2:28" s="278" customFormat="1" ht="11.65" hidden="1" customHeight="1" outlineLevel="1" x14ac:dyDescent="0.25">
      <c r="B135" s="270" t="e">
        <f>IF(AND($C135&gt;='TIF Loan Amortization'!$H$480,$C135&lt;='TIF Loan Amortization'!$I$480),'TIF Loan Amortization'!$G$480,IF(AND($C135&gt;='TIF Loan Amortization'!$H$481,$C135&lt;='TIF Loan Amortization'!I$481),'TIF Loan Amortization'!$G$481,IF(AND($C135&gt;='TIF Loan Amortization'!$H$482,$C135&lt;='TIF Loan Amortization'!I$482),'TIF Loan Amortization'!$G$482,IF(AND($C135&gt;='TIF Loan Amortization'!$H$483,$C135&lt;='TIF Loan Amortization'!I$483),'TIF Loan Amortization'!$G$483,IF(AND($C135&gt;='TIF Loan Amortization'!$H$484,$C135&lt;='TIF Loan Amortization'!I$484),'TIF Loan Amortization'!$G$484,IF(AND($C135&gt;='TIF Loan Amortization'!$H$485,$C135&lt;='TIF Loan Amortization'!I$485),'TIF Loan Amortization'!$G$485,IF(AND($C135&gt;='TIF Loan Amortization'!$H$486,$C135&lt;='TIF Loan Amortization'!I$486),'TIF Loan Amortization'!$G$486,IF(AND($C135&gt;='TIF Loan Amortization'!$H$487,$C135&lt;='TIF Loan Amortization'!I$487),'TIF Loan Amortization'!$G$487,IF(AND($C135&gt;='TIF Loan Amortization'!$H$488,$C135&lt;='TIF Loan Amortization'!I$488),'TIF Loan Amortization'!$G$488,IF(AND($C135&gt;='TIF Loan Amortization'!$H$489,$C135&lt;='TIF Loan Amortization'!I$489),'TIF Loan Amortization'!$G$489,IF(AND($C135&gt;='TIF Loan Amortization'!$H$490,$C135&lt;='TIF Loan Amortization'!I$490),'TIF Loan Amortization'!$G$490,IF(AND($C135&gt;='TIF Loan Amortization'!$H$491,$C135&lt;='TIF Loan Amortization'!I$491),'TIF Loan Amortization'!$G$491,IF(AND($C135&gt;='TIF Loan Amortization'!$H$492,$C135&lt;='TIF Loan Amortization'!I$492),'TIF Loan Amortization'!$G$492,IF(AND($C135&gt;='TIF Loan Amortization'!$H$493,$C135&lt;='TIF Loan Amortization'!I$493),'TIF Loan Amortization'!$G$493,IF(AND($C135&gt;='TIF Loan Amortization'!$H$494,$C135&lt;='TIF Loan Amortization'!I$494),'TIF Loan Amortization'!$G$494,IF(AND($C135&gt;='TIF Loan Amortization'!$H$495,$C135&lt;='TIF Loan Amortization'!I$495),'TIF Loan Amortization'!$G$495,IF(AND($C135&gt;='TIF Loan Amortization'!$H$496,$C135&lt;='TIF Loan Amortization'!I$496),'TIF Loan Amortization'!$G$496,IF(AND($C135&gt;='TIF Loan Amortization'!$H$497,$C135&lt;='TIF Loan Amortization'!I$497),'TIF Loan Amortization'!$G$497,IF(AND($C135&gt;='TIF Loan Amortization'!$H$498,$C135&lt;='TIF Loan Amortization'!I$498),'TIF Loan Amortization'!$G$498,IF(AND($C135&gt;='TIF Loan Amortization'!$H$499,$C135&lt;='TIF Loan Amortization'!I$499),'TIF Loan Amortization'!$G$499,IF(AND($C135&gt;='TIF Loan Amortization'!$H$500,$C135&lt;='TIF Loan Amortization'!I$500),'TIF Loan Amortization'!$G$500,IF(AND($C135&gt;='TIF Loan Amortization'!$H$501,$C135&lt;='TIF Loan Amortization'!I$501),'TIF Loan Amortization'!$G$501,IF(AND($C135&gt;='TIF Loan Amortization'!$H$502,$C135&lt;='TIF Loan Amortization'!I$502),'TIF Loan Amortization'!$G$502,IF(AND($C135&gt;='TIF Loan Amortization'!$H$503,$C135&lt;='TIF Loan Amortization'!I$503),'TIF Loan Amortization'!$G$503,IF(AND($C135&gt;='TIF Loan Amortization'!$H$504,$C135&lt;='TIF Loan Amortization'!I$504),'TIF Loan Amortization'!$G$504,IF(AND($C135&gt;='TIF Loan Amortization'!$H$505,$C135&lt;='TIF Loan Amortization'!I$505),'TIF Loan Amortization'!$G$505,IF(AND($C135&gt;='TIF Loan Amortization'!$H$506,$C135&lt;='TIF Loan Amortization'!I$506),'TIF Loan Amortization'!$G$506,IF(AND($C135&gt;='TIF Loan Amortization'!$H$507,$C135&lt;='TIF Loan Amortization'!I$507),'TIF Loan Amortization'!$G$507,IF(AND($C135&gt;='TIF Loan Amortization'!$H$508,$C135&lt;='TIF Loan Amortization'!I$508),'TIF Loan Amortization'!$G$508,IF(AND($C135&gt;='TIF Loan Amortization'!$H$509,$C135&lt;='TIF Loan Amortization'!I$509),'TIF Loan Amortization'!$G$509,IF(AND($C135&gt;='TIF Loan Amortization'!$H$510,$C135&lt;='TIF Loan Amortization'!I$510),'TIF Loan Amortization'!$G$510,IF(AND($C135&gt;='TIF Loan Amortization'!$H$511,$C135&lt;='TIF Loan Amortization'!I$511),'TIF Loan Amortization'!$G$511,IF(AND($C135&gt;='TIF Loan Amortization'!$H$512,$C135&lt;='TIF Loan Amortization'!I$512),'TIF Loan Amortization'!$G$512,IF(AND($C135&gt;='TIF Loan Amortization'!$H$513,$C135&lt;='TIF Loan Amortization'!I$513),'TIF Loan Amortization'!$G$513,IF(AND($C135&gt;='TIF Loan Amortization'!$H$514,$C135&lt;='TIF Loan Amortization'!I$514),'TIF Loan Amortization'!$G$514,IF(AND($C135&gt;='TIF Loan Amortization'!$H$515,$C135&lt;='TIF Loan Amortization'!I$515),'TIF Loan Amortization'!$G$515,IF(AND($C135&gt;='TIF Loan Amortization'!$H$516,$C135&lt;='TIF Loan Amortization'!I$516),'TIF Loan Amortization'!$G$516,IF(AND($C135&gt;='TIF Loan Amortization'!$H$517,$C135&lt;='TIF Loan Amortization'!I$517),'TIF Loan Amortization'!$G$517,IF(AND($C135&gt;='TIF Loan Amortization'!$H$518,$C135&lt;='TIF Loan Amortization'!I$518),'TIF Loan Amortization'!$G$518,IF(AND($C135&gt;='TIF Loan Amortization'!$H$519,$C135&lt;='TIF Loan Amortization'!I$519),'TIF Loan Amortization'!$G$519))))))))))))))))))))))))))))))))))))))))</f>
        <v>#N/A</v>
      </c>
      <c r="C135" s="269" t="e">
        <f t="shared" si="23"/>
        <v>#N/A</v>
      </c>
      <c r="D135" s="281" t="str">
        <f>IF($AG$423=1,$H$10+8,"")</f>
        <v/>
      </c>
      <c r="E135" s="274">
        <v>85</v>
      </c>
      <c r="F135" s="275" t="str">
        <f>VLOOKUP($AG$423,$AE$422:$AF$433,2)</f>
        <v>Apr</v>
      </c>
      <c r="G135" s="272">
        <f t="shared" si="24"/>
        <v>0</v>
      </c>
      <c r="H135" s="272">
        <f t="shared" si="27"/>
        <v>0</v>
      </c>
      <c r="I135" s="272">
        <f t="shared" si="28"/>
        <v>0</v>
      </c>
      <c r="J135" s="272">
        <f t="shared" si="25"/>
        <v>0</v>
      </c>
      <c r="K135" s="272">
        <f>IF(ISTEXT($M$4),"",SUM(I$50:I135))</f>
        <v>0</v>
      </c>
      <c r="L135" s="272">
        <f>IF(ISTEXT($M$4),"",SUM(J$50:J135))</f>
        <v>0</v>
      </c>
      <c r="M135" s="271">
        <f t="shared" si="26"/>
        <v>0</v>
      </c>
      <c r="N135" s="291" t="e">
        <f>IF(C135='Operating Assumptions'!$C$48,"Construction Finish","")</f>
        <v>#N/A</v>
      </c>
      <c r="O135" s="291"/>
      <c r="P135" s="291"/>
      <c r="Q135" s="291"/>
      <c r="R135" s="291"/>
      <c r="S135" s="291"/>
      <c r="T135" s="291"/>
      <c r="U135" s="291"/>
      <c r="V135" s="292"/>
      <c r="W135" s="292"/>
      <c r="X135" s="292"/>
      <c r="Y135" s="291"/>
      <c r="Z135" s="279"/>
      <c r="AA135" s="279"/>
      <c r="AB135" s="279"/>
    </row>
    <row r="136" spans="2:28" s="278" customFormat="1" ht="11.65" hidden="1" customHeight="1" outlineLevel="1" x14ac:dyDescent="0.25">
      <c r="B136" s="270" t="e">
        <f>IF(AND($C136&gt;='TIF Loan Amortization'!$H$480,$C136&lt;='TIF Loan Amortization'!$I$480),'TIF Loan Amortization'!$G$480,IF(AND($C136&gt;='TIF Loan Amortization'!$H$481,$C136&lt;='TIF Loan Amortization'!I$481),'TIF Loan Amortization'!$G$481,IF(AND($C136&gt;='TIF Loan Amortization'!$H$482,$C136&lt;='TIF Loan Amortization'!I$482),'TIF Loan Amortization'!$G$482,IF(AND($C136&gt;='TIF Loan Amortization'!$H$483,$C136&lt;='TIF Loan Amortization'!I$483),'TIF Loan Amortization'!$G$483,IF(AND($C136&gt;='TIF Loan Amortization'!$H$484,$C136&lt;='TIF Loan Amortization'!I$484),'TIF Loan Amortization'!$G$484,IF(AND($C136&gt;='TIF Loan Amortization'!$H$485,$C136&lt;='TIF Loan Amortization'!I$485),'TIF Loan Amortization'!$G$485,IF(AND($C136&gt;='TIF Loan Amortization'!$H$486,$C136&lt;='TIF Loan Amortization'!I$486),'TIF Loan Amortization'!$G$486,IF(AND($C136&gt;='TIF Loan Amortization'!$H$487,$C136&lt;='TIF Loan Amortization'!I$487),'TIF Loan Amortization'!$G$487,IF(AND($C136&gt;='TIF Loan Amortization'!$H$488,$C136&lt;='TIF Loan Amortization'!I$488),'TIF Loan Amortization'!$G$488,IF(AND($C136&gt;='TIF Loan Amortization'!$H$489,$C136&lt;='TIF Loan Amortization'!I$489),'TIF Loan Amortization'!$G$489,IF(AND($C136&gt;='TIF Loan Amortization'!$H$490,$C136&lt;='TIF Loan Amortization'!I$490),'TIF Loan Amortization'!$G$490,IF(AND($C136&gt;='TIF Loan Amortization'!$H$491,$C136&lt;='TIF Loan Amortization'!I$491),'TIF Loan Amortization'!$G$491,IF(AND($C136&gt;='TIF Loan Amortization'!$H$492,$C136&lt;='TIF Loan Amortization'!I$492),'TIF Loan Amortization'!$G$492,IF(AND($C136&gt;='TIF Loan Amortization'!$H$493,$C136&lt;='TIF Loan Amortization'!I$493),'TIF Loan Amortization'!$G$493,IF(AND($C136&gt;='TIF Loan Amortization'!$H$494,$C136&lt;='TIF Loan Amortization'!I$494),'TIF Loan Amortization'!$G$494,IF(AND($C136&gt;='TIF Loan Amortization'!$H$495,$C136&lt;='TIF Loan Amortization'!I$495),'TIF Loan Amortization'!$G$495,IF(AND($C136&gt;='TIF Loan Amortization'!$H$496,$C136&lt;='TIF Loan Amortization'!I$496),'TIF Loan Amortization'!$G$496,IF(AND($C136&gt;='TIF Loan Amortization'!$H$497,$C136&lt;='TIF Loan Amortization'!I$497),'TIF Loan Amortization'!$G$497,IF(AND($C136&gt;='TIF Loan Amortization'!$H$498,$C136&lt;='TIF Loan Amortization'!I$498),'TIF Loan Amortization'!$G$498,IF(AND($C136&gt;='TIF Loan Amortization'!$H$499,$C136&lt;='TIF Loan Amortization'!I$499),'TIF Loan Amortization'!$G$499,IF(AND($C136&gt;='TIF Loan Amortization'!$H$500,$C136&lt;='TIF Loan Amortization'!I$500),'TIF Loan Amortization'!$G$500,IF(AND($C136&gt;='TIF Loan Amortization'!$H$501,$C136&lt;='TIF Loan Amortization'!I$501),'TIF Loan Amortization'!$G$501,IF(AND($C136&gt;='TIF Loan Amortization'!$H$502,$C136&lt;='TIF Loan Amortization'!I$502),'TIF Loan Amortization'!$G$502,IF(AND($C136&gt;='TIF Loan Amortization'!$H$503,$C136&lt;='TIF Loan Amortization'!I$503),'TIF Loan Amortization'!$G$503,IF(AND($C136&gt;='TIF Loan Amortization'!$H$504,$C136&lt;='TIF Loan Amortization'!I$504),'TIF Loan Amortization'!$G$504,IF(AND($C136&gt;='TIF Loan Amortization'!$H$505,$C136&lt;='TIF Loan Amortization'!I$505),'TIF Loan Amortization'!$G$505,IF(AND($C136&gt;='TIF Loan Amortization'!$H$506,$C136&lt;='TIF Loan Amortization'!I$506),'TIF Loan Amortization'!$G$506,IF(AND($C136&gt;='TIF Loan Amortization'!$H$507,$C136&lt;='TIF Loan Amortization'!I$507),'TIF Loan Amortization'!$G$507,IF(AND($C136&gt;='TIF Loan Amortization'!$H$508,$C136&lt;='TIF Loan Amortization'!I$508),'TIF Loan Amortization'!$G$508,IF(AND($C136&gt;='TIF Loan Amortization'!$H$509,$C136&lt;='TIF Loan Amortization'!I$509),'TIF Loan Amortization'!$G$509,IF(AND($C136&gt;='TIF Loan Amortization'!$H$510,$C136&lt;='TIF Loan Amortization'!I$510),'TIF Loan Amortization'!$G$510,IF(AND($C136&gt;='TIF Loan Amortization'!$H$511,$C136&lt;='TIF Loan Amortization'!I$511),'TIF Loan Amortization'!$G$511,IF(AND($C136&gt;='TIF Loan Amortization'!$H$512,$C136&lt;='TIF Loan Amortization'!I$512),'TIF Loan Amortization'!$G$512,IF(AND($C136&gt;='TIF Loan Amortization'!$H$513,$C136&lt;='TIF Loan Amortization'!I$513),'TIF Loan Amortization'!$G$513,IF(AND($C136&gt;='TIF Loan Amortization'!$H$514,$C136&lt;='TIF Loan Amortization'!I$514),'TIF Loan Amortization'!$G$514,IF(AND($C136&gt;='TIF Loan Amortization'!$H$515,$C136&lt;='TIF Loan Amortization'!I$515),'TIF Loan Amortization'!$G$515,IF(AND($C136&gt;='TIF Loan Amortization'!$H$516,$C136&lt;='TIF Loan Amortization'!I$516),'TIF Loan Amortization'!$G$516,IF(AND($C136&gt;='TIF Loan Amortization'!$H$517,$C136&lt;='TIF Loan Amortization'!I$517),'TIF Loan Amortization'!$G$517,IF(AND($C136&gt;='TIF Loan Amortization'!$H$518,$C136&lt;='TIF Loan Amortization'!I$518),'TIF Loan Amortization'!$G$518,IF(AND($C136&gt;='TIF Loan Amortization'!$H$519,$C136&lt;='TIF Loan Amortization'!I$519),'TIF Loan Amortization'!$G$519))))))))))))))))))))))))))))))))))))))))</f>
        <v>#N/A</v>
      </c>
      <c r="C136" s="269" t="e">
        <f t="shared" si="23"/>
        <v>#N/A</v>
      </c>
      <c r="D136" s="281" t="str">
        <f>IF($AG$424=1,$H$10+8,"")</f>
        <v/>
      </c>
      <c r="E136" s="274">
        <v>86</v>
      </c>
      <c r="F136" s="275" t="str">
        <f>VLOOKUP($AG$424,$AE$422:$AF$433,2)</f>
        <v>May</v>
      </c>
      <c r="G136" s="272">
        <f t="shared" si="24"/>
        <v>0</v>
      </c>
      <c r="H136" s="272">
        <f t="shared" si="27"/>
        <v>0</v>
      </c>
      <c r="I136" s="272">
        <f t="shared" si="28"/>
        <v>0</v>
      </c>
      <c r="J136" s="272">
        <f t="shared" si="25"/>
        <v>0</v>
      </c>
      <c r="K136" s="272">
        <f>IF(ISTEXT($M$4),"",SUM(I$50:I136))</f>
        <v>0</v>
      </c>
      <c r="L136" s="272">
        <f>IF(ISTEXT($M$4),"",SUM(J$50:J136))</f>
        <v>0</v>
      </c>
      <c r="M136" s="271">
        <f t="shared" si="26"/>
        <v>0</v>
      </c>
      <c r="N136" s="291" t="e">
        <f>IF(C136='Operating Assumptions'!$C$48,"Construction Finish","")</f>
        <v>#N/A</v>
      </c>
      <c r="O136" s="291"/>
      <c r="P136" s="291"/>
      <c r="Q136" s="291"/>
      <c r="R136" s="291"/>
      <c r="S136" s="291"/>
      <c r="T136" s="291"/>
      <c r="U136" s="291"/>
      <c r="V136" s="292"/>
      <c r="W136" s="292"/>
      <c r="X136" s="292"/>
      <c r="Y136" s="291"/>
      <c r="Z136" s="279"/>
      <c r="AA136" s="279"/>
      <c r="AB136" s="279"/>
    </row>
    <row r="137" spans="2:28" s="278" customFormat="1" ht="11.65" hidden="1" customHeight="1" outlineLevel="1" x14ac:dyDescent="0.25">
      <c r="B137" s="270" t="e">
        <f>IF(AND($C137&gt;='TIF Loan Amortization'!$H$480,$C137&lt;='TIF Loan Amortization'!$I$480),'TIF Loan Amortization'!$G$480,IF(AND($C137&gt;='TIF Loan Amortization'!$H$481,$C137&lt;='TIF Loan Amortization'!I$481),'TIF Loan Amortization'!$G$481,IF(AND($C137&gt;='TIF Loan Amortization'!$H$482,$C137&lt;='TIF Loan Amortization'!I$482),'TIF Loan Amortization'!$G$482,IF(AND($C137&gt;='TIF Loan Amortization'!$H$483,$C137&lt;='TIF Loan Amortization'!I$483),'TIF Loan Amortization'!$G$483,IF(AND($C137&gt;='TIF Loan Amortization'!$H$484,$C137&lt;='TIF Loan Amortization'!I$484),'TIF Loan Amortization'!$G$484,IF(AND($C137&gt;='TIF Loan Amortization'!$H$485,$C137&lt;='TIF Loan Amortization'!I$485),'TIF Loan Amortization'!$G$485,IF(AND($C137&gt;='TIF Loan Amortization'!$H$486,$C137&lt;='TIF Loan Amortization'!I$486),'TIF Loan Amortization'!$G$486,IF(AND($C137&gt;='TIF Loan Amortization'!$H$487,$C137&lt;='TIF Loan Amortization'!I$487),'TIF Loan Amortization'!$G$487,IF(AND($C137&gt;='TIF Loan Amortization'!$H$488,$C137&lt;='TIF Loan Amortization'!I$488),'TIF Loan Amortization'!$G$488,IF(AND($C137&gt;='TIF Loan Amortization'!$H$489,$C137&lt;='TIF Loan Amortization'!I$489),'TIF Loan Amortization'!$G$489,IF(AND($C137&gt;='TIF Loan Amortization'!$H$490,$C137&lt;='TIF Loan Amortization'!I$490),'TIF Loan Amortization'!$G$490,IF(AND($C137&gt;='TIF Loan Amortization'!$H$491,$C137&lt;='TIF Loan Amortization'!I$491),'TIF Loan Amortization'!$G$491,IF(AND($C137&gt;='TIF Loan Amortization'!$H$492,$C137&lt;='TIF Loan Amortization'!I$492),'TIF Loan Amortization'!$G$492,IF(AND($C137&gt;='TIF Loan Amortization'!$H$493,$C137&lt;='TIF Loan Amortization'!I$493),'TIF Loan Amortization'!$G$493,IF(AND($C137&gt;='TIF Loan Amortization'!$H$494,$C137&lt;='TIF Loan Amortization'!I$494),'TIF Loan Amortization'!$G$494,IF(AND($C137&gt;='TIF Loan Amortization'!$H$495,$C137&lt;='TIF Loan Amortization'!I$495),'TIF Loan Amortization'!$G$495,IF(AND($C137&gt;='TIF Loan Amortization'!$H$496,$C137&lt;='TIF Loan Amortization'!I$496),'TIF Loan Amortization'!$G$496,IF(AND($C137&gt;='TIF Loan Amortization'!$H$497,$C137&lt;='TIF Loan Amortization'!I$497),'TIF Loan Amortization'!$G$497,IF(AND($C137&gt;='TIF Loan Amortization'!$H$498,$C137&lt;='TIF Loan Amortization'!I$498),'TIF Loan Amortization'!$G$498,IF(AND($C137&gt;='TIF Loan Amortization'!$H$499,$C137&lt;='TIF Loan Amortization'!I$499),'TIF Loan Amortization'!$G$499,IF(AND($C137&gt;='TIF Loan Amortization'!$H$500,$C137&lt;='TIF Loan Amortization'!I$500),'TIF Loan Amortization'!$G$500,IF(AND($C137&gt;='TIF Loan Amortization'!$H$501,$C137&lt;='TIF Loan Amortization'!I$501),'TIF Loan Amortization'!$G$501,IF(AND($C137&gt;='TIF Loan Amortization'!$H$502,$C137&lt;='TIF Loan Amortization'!I$502),'TIF Loan Amortization'!$G$502,IF(AND($C137&gt;='TIF Loan Amortization'!$H$503,$C137&lt;='TIF Loan Amortization'!I$503),'TIF Loan Amortization'!$G$503,IF(AND($C137&gt;='TIF Loan Amortization'!$H$504,$C137&lt;='TIF Loan Amortization'!I$504),'TIF Loan Amortization'!$G$504,IF(AND($C137&gt;='TIF Loan Amortization'!$H$505,$C137&lt;='TIF Loan Amortization'!I$505),'TIF Loan Amortization'!$G$505,IF(AND($C137&gt;='TIF Loan Amortization'!$H$506,$C137&lt;='TIF Loan Amortization'!I$506),'TIF Loan Amortization'!$G$506,IF(AND($C137&gt;='TIF Loan Amortization'!$H$507,$C137&lt;='TIF Loan Amortization'!I$507),'TIF Loan Amortization'!$G$507,IF(AND($C137&gt;='TIF Loan Amortization'!$H$508,$C137&lt;='TIF Loan Amortization'!I$508),'TIF Loan Amortization'!$G$508,IF(AND($C137&gt;='TIF Loan Amortization'!$H$509,$C137&lt;='TIF Loan Amortization'!I$509),'TIF Loan Amortization'!$G$509,IF(AND($C137&gt;='TIF Loan Amortization'!$H$510,$C137&lt;='TIF Loan Amortization'!I$510),'TIF Loan Amortization'!$G$510,IF(AND($C137&gt;='TIF Loan Amortization'!$H$511,$C137&lt;='TIF Loan Amortization'!I$511),'TIF Loan Amortization'!$G$511,IF(AND($C137&gt;='TIF Loan Amortization'!$H$512,$C137&lt;='TIF Loan Amortization'!I$512),'TIF Loan Amortization'!$G$512,IF(AND($C137&gt;='TIF Loan Amortization'!$H$513,$C137&lt;='TIF Loan Amortization'!I$513),'TIF Loan Amortization'!$G$513,IF(AND($C137&gt;='TIF Loan Amortization'!$H$514,$C137&lt;='TIF Loan Amortization'!I$514),'TIF Loan Amortization'!$G$514,IF(AND($C137&gt;='TIF Loan Amortization'!$H$515,$C137&lt;='TIF Loan Amortization'!I$515),'TIF Loan Amortization'!$G$515,IF(AND($C137&gt;='TIF Loan Amortization'!$H$516,$C137&lt;='TIF Loan Amortization'!I$516),'TIF Loan Amortization'!$G$516,IF(AND($C137&gt;='TIF Loan Amortization'!$H$517,$C137&lt;='TIF Loan Amortization'!I$517),'TIF Loan Amortization'!$G$517,IF(AND($C137&gt;='TIF Loan Amortization'!$H$518,$C137&lt;='TIF Loan Amortization'!I$518),'TIF Loan Amortization'!$G$518,IF(AND($C137&gt;='TIF Loan Amortization'!$H$519,$C137&lt;='TIF Loan Amortization'!I$519),'TIF Loan Amortization'!$G$519))))))))))))))))))))))))))))))))))))))))</f>
        <v>#N/A</v>
      </c>
      <c r="C137" s="269" t="e">
        <f t="shared" si="23"/>
        <v>#N/A</v>
      </c>
      <c r="D137" s="281" t="str">
        <f>IF($AG$425=1,$H$10+8,"")</f>
        <v/>
      </c>
      <c r="E137" s="274">
        <v>87</v>
      </c>
      <c r="F137" s="275" t="str">
        <f>VLOOKUP($AG$425,$AE$422:$AF$433,2)</f>
        <v>Jun</v>
      </c>
      <c r="G137" s="272">
        <f t="shared" si="24"/>
        <v>0</v>
      </c>
      <c r="H137" s="272">
        <f t="shared" si="27"/>
        <v>0</v>
      </c>
      <c r="I137" s="272">
        <f t="shared" si="28"/>
        <v>0</v>
      </c>
      <c r="J137" s="272">
        <f t="shared" si="25"/>
        <v>0</v>
      </c>
      <c r="K137" s="272">
        <f>IF(ISTEXT($M$4),"",SUM(I$50:I137))</f>
        <v>0</v>
      </c>
      <c r="L137" s="272">
        <f>IF(ISTEXT($M$4),"",SUM(J$50:J137))</f>
        <v>0</v>
      </c>
      <c r="M137" s="271">
        <f t="shared" si="26"/>
        <v>0</v>
      </c>
      <c r="N137" s="291" t="e">
        <f>IF(C137='Operating Assumptions'!$C$48,"Construction Finish","")</f>
        <v>#N/A</v>
      </c>
      <c r="O137" s="291"/>
      <c r="P137" s="291"/>
      <c r="Q137" s="291"/>
      <c r="R137" s="291"/>
      <c r="S137" s="291"/>
      <c r="T137" s="291"/>
      <c r="U137" s="291"/>
      <c r="V137" s="292"/>
      <c r="W137" s="292"/>
      <c r="X137" s="292"/>
      <c r="Y137" s="291"/>
      <c r="Z137" s="279"/>
      <c r="AA137" s="279"/>
      <c r="AB137" s="279"/>
    </row>
    <row r="138" spans="2:28" s="278" customFormat="1" ht="11.65" hidden="1" customHeight="1" outlineLevel="1" x14ac:dyDescent="0.25">
      <c r="B138" s="270" t="e">
        <f>IF(AND($C138&gt;='TIF Loan Amortization'!$H$480,$C138&lt;='TIF Loan Amortization'!$I$480),'TIF Loan Amortization'!$G$480,IF(AND($C138&gt;='TIF Loan Amortization'!$H$481,$C138&lt;='TIF Loan Amortization'!I$481),'TIF Loan Amortization'!$G$481,IF(AND($C138&gt;='TIF Loan Amortization'!$H$482,$C138&lt;='TIF Loan Amortization'!I$482),'TIF Loan Amortization'!$G$482,IF(AND($C138&gt;='TIF Loan Amortization'!$H$483,$C138&lt;='TIF Loan Amortization'!I$483),'TIF Loan Amortization'!$G$483,IF(AND($C138&gt;='TIF Loan Amortization'!$H$484,$C138&lt;='TIF Loan Amortization'!I$484),'TIF Loan Amortization'!$G$484,IF(AND($C138&gt;='TIF Loan Amortization'!$H$485,$C138&lt;='TIF Loan Amortization'!I$485),'TIF Loan Amortization'!$G$485,IF(AND($C138&gt;='TIF Loan Amortization'!$H$486,$C138&lt;='TIF Loan Amortization'!I$486),'TIF Loan Amortization'!$G$486,IF(AND($C138&gt;='TIF Loan Amortization'!$H$487,$C138&lt;='TIF Loan Amortization'!I$487),'TIF Loan Amortization'!$G$487,IF(AND($C138&gt;='TIF Loan Amortization'!$H$488,$C138&lt;='TIF Loan Amortization'!I$488),'TIF Loan Amortization'!$G$488,IF(AND($C138&gt;='TIF Loan Amortization'!$H$489,$C138&lt;='TIF Loan Amortization'!I$489),'TIF Loan Amortization'!$G$489,IF(AND($C138&gt;='TIF Loan Amortization'!$H$490,$C138&lt;='TIF Loan Amortization'!I$490),'TIF Loan Amortization'!$G$490,IF(AND($C138&gt;='TIF Loan Amortization'!$H$491,$C138&lt;='TIF Loan Amortization'!I$491),'TIF Loan Amortization'!$G$491,IF(AND($C138&gt;='TIF Loan Amortization'!$H$492,$C138&lt;='TIF Loan Amortization'!I$492),'TIF Loan Amortization'!$G$492,IF(AND($C138&gt;='TIF Loan Amortization'!$H$493,$C138&lt;='TIF Loan Amortization'!I$493),'TIF Loan Amortization'!$G$493,IF(AND($C138&gt;='TIF Loan Amortization'!$H$494,$C138&lt;='TIF Loan Amortization'!I$494),'TIF Loan Amortization'!$G$494,IF(AND($C138&gt;='TIF Loan Amortization'!$H$495,$C138&lt;='TIF Loan Amortization'!I$495),'TIF Loan Amortization'!$G$495,IF(AND($C138&gt;='TIF Loan Amortization'!$H$496,$C138&lt;='TIF Loan Amortization'!I$496),'TIF Loan Amortization'!$G$496,IF(AND($C138&gt;='TIF Loan Amortization'!$H$497,$C138&lt;='TIF Loan Amortization'!I$497),'TIF Loan Amortization'!$G$497,IF(AND($C138&gt;='TIF Loan Amortization'!$H$498,$C138&lt;='TIF Loan Amortization'!I$498),'TIF Loan Amortization'!$G$498,IF(AND($C138&gt;='TIF Loan Amortization'!$H$499,$C138&lt;='TIF Loan Amortization'!I$499),'TIF Loan Amortization'!$G$499,IF(AND($C138&gt;='TIF Loan Amortization'!$H$500,$C138&lt;='TIF Loan Amortization'!I$500),'TIF Loan Amortization'!$G$500,IF(AND($C138&gt;='TIF Loan Amortization'!$H$501,$C138&lt;='TIF Loan Amortization'!I$501),'TIF Loan Amortization'!$G$501,IF(AND($C138&gt;='TIF Loan Amortization'!$H$502,$C138&lt;='TIF Loan Amortization'!I$502),'TIF Loan Amortization'!$G$502,IF(AND($C138&gt;='TIF Loan Amortization'!$H$503,$C138&lt;='TIF Loan Amortization'!I$503),'TIF Loan Amortization'!$G$503,IF(AND($C138&gt;='TIF Loan Amortization'!$H$504,$C138&lt;='TIF Loan Amortization'!I$504),'TIF Loan Amortization'!$G$504,IF(AND($C138&gt;='TIF Loan Amortization'!$H$505,$C138&lt;='TIF Loan Amortization'!I$505),'TIF Loan Amortization'!$G$505,IF(AND($C138&gt;='TIF Loan Amortization'!$H$506,$C138&lt;='TIF Loan Amortization'!I$506),'TIF Loan Amortization'!$G$506,IF(AND($C138&gt;='TIF Loan Amortization'!$H$507,$C138&lt;='TIF Loan Amortization'!I$507),'TIF Loan Amortization'!$G$507,IF(AND($C138&gt;='TIF Loan Amortization'!$H$508,$C138&lt;='TIF Loan Amortization'!I$508),'TIF Loan Amortization'!$G$508,IF(AND($C138&gt;='TIF Loan Amortization'!$H$509,$C138&lt;='TIF Loan Amortization'!I$509),'TIF Loan Amortization'!$G$509,IF(AND($C138&gt;='TIF Loan Amortization'!$H$510,$C138&lt;='TIF Loan Amortization'!I$510),'TIF Loan Amortization'!$G$510,IF(AND($C138&gt;='TIF Loan Amortization'!$H$511,$C138&lt;='TIF Loan Amortization'!I$511),'TIF Loan Amortization'!$G$511,IF(AND($C138&gt;='TIF Loan Amortization'!$H$512,$C138&lt;='TIF Loan Amortization'!I$512),'TIF Loan Amortization'!$G$512,IF(AND($C138&gt;='TIF Loan Amortization'!$H$513,$C138&lt;='TIF Loan Amortization'!I$513),'TIF Loan Amortization'!$G$513,IF(AND($C138&gt;='TIF Loan Amortization'!$H$514,$C138&lt;='TIF Loan Amortization'!I$514),'TIF Loan Amortization'!$G$514,IF(AND($C138&gt;='TIF Loan Amortization'!$H$515,$C138&lt;='TIF Loan Amortization'!I$515),'TIF Loan Amortization'!$G$515,IF(AND($C138&gt;='TIF Loan Amortization'!$H$516,$C138&lt;='TIF Loan Amortization'!I$516),'TIF Loan Amortization'!$G$516,IF(AND($C138&gt;='TIF Loan Amortization'!$H$517,$C138&lt;='TIF Loan Amortization'!I$517),'TIF Loan Amortization'!$G$517,IF(AND($C138&gt;='TIF Loan Amortization'!$H$518,$C138&lt;='TIF Loan Amortization'!I$518),'TIF Loan Amortization'!$G$518,IF(AND($C138&gt;='TIF Loan Amortization'!$H$519,$C138&lt;='TIF Loan Amortization'!I$519),'TIF Loan Amortization'!$G$519))))))))))))))))))))))))))))))))))))))))</f>
        <v>#N/A</v>
      </c>
      <c r="C138" s="269" t="e">
        <f t="shared" si="23"/>
        <v>#N/A</v>
      </c>
      <c r="D138" s="281" t="str">
        <f>IF($AG$426=1,$H$10+8,"")</f>
        <v/>
      </c>
      <c r="E138" s="274">
        <v>88</v>
      </c>
      <c r="F138" s="275" t="str">
        <f>VLOOKUP($AG$426,$AE$422:$AF$433,2)</f>
        <v>Jul</v>
      </c>
      <c r="G138" s="272">
        <f t="shared" si="24"/>
        <v>0</v>
      </c>
      <c r="H138" s="272">
        <f t="shared" si="27"/>
        <v>0</v>
      </c>
      <c r="I138" s="272">
        <f t="shared" si="28"/>
        <v>0</v>
      </c>
      <c r="J138" s="272">
        <f t="shared" si="25"/>
        <v>0</v>
      </c>
      <c r="K138" s="272">
        <f>IF(ISTEXT($M$4),"",SUM(I$50:I138))</f>
        <v>0</v>
      </c>
      <c r="L138" s="272">
        <f>IF(ISTEXT($M$4),"",SUM(J$50:J138))</f>
        <v>0</v>
      </c>
      <c r="M138" s="271">
        <f t="shared" si="26"/>
        <v>0</v>
      </c>
      <c r="N138" s="291" t="e">
        <f>IF(C138='Operating Assumptions'!$C$48,"Construction Finish","")</f>
        <v>#N/A</v>
      </c>
      <c r="O138" s="291"/>
      <c r="P138" s="291"/>
      <c r="Q138" s="291"/>
      <c r="R138" s="291"/>
      <c r="S138" s="291"/>
      <c r="T138" s="291"/>
      <c r="U138" s="291"/>
      <c r="V138" s="292"/>
      <c r="W138" s="292"/>
      <c r="X138" s="292"/>
      <c r="Y138" s="291"/>
      <c r="Z138" s="279"/>
      <c r="AA138" s="279"/>
      <c r="AB138" s="279"/>
    </row>
    <row r="139" spans="2:28" s="278" customFormat="1" ht="11.65" hidden="1" customHeight="1" outlineLevel="1" x14ac:dyDescent="0.25">
      <c r="B139" s="270" t="e">
        <f>IF(AND($C139&gt;='TIF Loan Amortization'!$H$480,$C139&lt;='TIF Loan Amortization'!$I$480),'TIF Loan Amortization'!$G$480,IF(AND($C139&gt;='TIF Loan Amortization'!$H$481,$C139&lt;='TIF Loan Amortization'!I$481),'TIF Loan Amortization'!$G$481,IF(AND($C139&gt;='TIF Loan Amortization'!$H$482,$C139&lt;='TIF Loan Amortization'!I$482),'TIF Loan Amortization'!$G$482,IF(AND($C139&gt;='TIF Loan Amortization'!$H$483,$C139&lt;='TIF Loan Amortization'!I$483),'TIF Loan Amortization'!$G$483,IF(AND($C139&gt;='TIF Loan Amortization'!$H$484,$C139&lt;='TIF Loan Amortization'!I$484),'TIF Loan Amortization'!$G$484,IF(AND($C139&gt;='TIF Loan Amortization'!$H$485,$C139&lt;='TIF Loan Amortization'!I$485),'TIF Loan Amortization'!$G$485,IF(AND($C139&gt;='TIF Loan Amortization'!$H$486,$C139&lt;='TIF Loan Amortization'!I$486),'TIF Loan Amortization'!$G$486,IF(AND($C139&gt;='TIF Loan Amortization'!$H$487,$C139&lt;='TIF Loan Amortization'!I$487),'TIF Loan Amortization'!$G$487,IF(AND($C139&gt;='TIF Loan Amortization'!$H$488,$C139&lt;='TIF Loan Amortization'!I$488),'TIF Loan Amortization'!$G$488,IF(AND($C139&gt;='TIF Loan Amortization'!$H$489,$C139&lt;='TIF Loan Amortization'!I$489),'TIF Loan Amortization'!$G$489,IF(AND($C139&gt;='TIF Loan Amortization'!$H$490,$C139&lt;='TIF Loan Amortization'!I$490),'TIF Loan Amortization'!$G$490,IF(AND($C139&gt;='TIF Loan Amortization'!$H$491,$C139&lt;='TIF Loan Amortization'!I$491),'TIF Loan Amortization'!$G$491,IF(AND($C139&gt;='TIF Loan Amortization'!$H$492,$C139&lt;='TIF Loan Amortization'!I$492),'TIF Loan Amortization'!$G$492,IF(AND($C139&gt;='TIF Loan Amortization'!$H$493,$C139&lt;='TIF Loan Amortization'!I$493),'TIF Loan Amortization'!$G$493,IF(AND($C139&gt;='TIF Loan Amortization'!$H$494,$C139&lt;='TIF Loan Amortization'!I$494),'TIF Loan Amortization'!$G$494,IF(AND($C139&gt;='TIF Loan Amortization'!$H$495,$C139&lt;='TIF Loan Amortization'!I$495),'TIF Loan Amortization'!$G$495,IF(AND($C139&gt;='TIF Loan Amortization'!$H$496,$C139&lt;='TIF Loan Amortization'!I$496),'TIF Loan Amortization'!$G$496,IF(AND($C139&gt;='TIF Loan Amortization'!$H$497,$C139&lt;='TIF Loan Amortization'!I$497),'TIF Loan Amortization'!$G$497,IF(AND($C139&gt;='TIF Loan Amortization'!$H$498,$C139&lt;='TIF Loan Amortization'!I$498),'TIF Loan Amortization'!$G$498,IF(AND($C139&gt;='TIF Loan Amortization'!$H$499,$C139&lt;='TIF Loan Amortization'!I$499),'TIF Loan Amortization'!$G$499,IF(AND($C139&gt;='TIF Loan Amortization'!$H$500,$C139&lt;='TIF Loan Amortization'!I$500),'TIF Loan Amortization'!$G$500,IF(AND($C139&gt;='TIF Loan Amortization'!$H$501,$C139&lt;='TIF Loan Amortization'!I$501),'TIF Loan Amortization'!$G$501,IF(AND($C139&gt;='TIF Loan Amortization'!$H$502,$C139&lt;='TIF Loan Amortization'!I$502),'TIF Loan Amortization'!$G$502,IF(AND($C139&gt;='TIF Loan Amortization'!$H$503,$C139&lt;='TIF Loan Amortization'!I$503),'TIF Loan Amortization'!$G$503,IF(AND($C139&gt;='TIF Loan Amortization'!$H$504,$C139&lt;='TIF Loan Amortization'!I$504),'TIF Loan Amortization'!$G$504,IF(AND($C139&gt;='TIF Loan Amortization'!$H$505,$C139&lt;='TIF Loan Amortization'!I$505),'TIF Loan Amortization'!$G$505,IF(AND($C139&gt;='TIF Loan Amortization'!$H$506,$C139&lt;='TIF Loan Amortization'!I$506),'TIF Loan Amortization'!$G$506,IF(AND($C139&gt;='TIF Loan Amortization'!$H$507,$C139&lt;='TIF Loan Amortization'!I$507),'TIF Loan Amortization'!$G$507,IF(AND($C139&gt;='TIF Loan Amortization'!$H$508,$C139&lt;='TIF Loan Amortization'!I$508),'TIF Loan Amortization'!$G$508,IF(AND($C139&gt;='TIF Loan Amortization'!$H$509,$C139&lt;='TIF Loan Amortization'!I$509),'TIF Loan Amortization'!$G$509,IF(AND($C139&gt;='TIF Loan Amortization'!$H$510,$C139&lt;='TIF Loan Amortization'!I$510),'TIF Loan Amortization'!$G$510,IF(AND($C139&gt;='TIF Loan Amortization'!$H$511,$C139&lt;='TIF Loan Amortization'!I$511),'TIF Loan Amortization'!$G$511,IF(AND($C139&gt;='TIF Loan Amortization'!$H$512,$C139&lt;='TIF Loan Amortization'!I$512),'TIF Loan Amortization'!$G$512,IF(AND($C139&gt;='TIF Loan Amortization'!$H$513,$C139&lt;='TIF Loan Amortization'!I$513),'TIF Loan Amortization'!$G$513,IF(AND($C139&gt;='TIF Loan Amortization'!$H$514,$C139&lt;='TIF Loan Amortization'!I$514),'TIF Loan Amortization'!$G$514,IF(AND($C139&gt;='TIF Loan Amortization'!$H$515,$C139&lt;='TIF Loan Amortization'!I$515),'TIF Loan Amortization'!$G$515,IF(AND($C139&gt;='TIF Loan Amortization'!$H$516,$C139&lt;='TIF Loan Amortization'!I$516),'TIF Loan Amortization'!$G$516,IF(AND($C139&gt;='TIF Loan Amortization'!$H$517,$C139&lt;='TIF Loan Amortization'!I$517),'TIF Loan Amortization'!$G$517,IF(AND($C139&gt;='TIF Loan Amortization'!$H$518,$C139&lt;='TIF Loan Amortization'!I$518),'TIF Loan Amortization'!$G$518,IF(AND($C139&gt;='TIF Loan Amortization'!$H$519,$C139&lt;='TIF Loan Amortization'!I$519),'TIF Loan Amortization'!$G$519))))))))))))))))))))))))))))))))))))))))</f>
        <v>#N/A</v>
      </c>
      <c r="C139" s="269" t="e">
        <f t="shared" si="23"/>
        <v>#N/A</v>
      </c>
      <c r="D139" s="281" t="str">
        <f>IF($AG$427=1,$H$10+8,"")</f>
        <v/>
      </c>
      <c r="E139" s="274">
        <v>89</v>
      </c>
      <c r="F139" s="275" t="str">
        <f>VLOOKUP($AG$427,$AE$422:$AF$433,2)</f>
        <v>Aug</v>
      </c>
      <c r="G139" s="272">
        <f t="shared" si="24"/>
        <v>0</v>
      </c>
      <c r="H139" s="272">
        <f t="shared" si="27"/>
        <v>0</v>
      </c>
      <c r="I139" s="272">
        <f t="shared" si="28"/>
        <v>0</v>
      </c>
      <c r="J139" s="272">
        <f t="shared" si="25"/>
        <v>0</v>
      </c>
      <c r="K139" s="272">
        <f>IF(ISTEXT($M$4),"",SUM(I$50:I139))</f>
        <v>0</v>
      </c>
      <c r="L139" s="272">
        <f>IF(ISTEXT($M$4),"",SUM(J$50:J139))</f>
        <v>0</v>
      </c>
      <c r="M139" s="271">
        <f t="shared" si="26"/>
        <v>0</v>
      </c>
      <c r="N139" s="291" t="e">
        <f>IF(C139='Operating Assumptions'!$C$48,"Construction Finish","")</f>
        <v>#N/A</v>
      </c>
      <c r="O139" s="291"/>
      <c r="P139" s="291"/>
      <c r="Q139" s="291"/>
      <c r="R139" s="291"/>
      <c r="S139" s="291"/>
      <c r="T139" s="291"/>
      <c r="U139" s="291"/>
      <c r="V139" s="292"/>
      <c r="W139" s="292"/>
      <c r="X139" s="292"/>
      <c r="Y139" s="291"/>
      <c r="Z139" s="279"/>
      <c r="AA139" s="279"/>
      <c r="AB139" s="279"/>
    </row>
    <row r="140" spans="2:28" s="278" customFormat="1" ht="11.65" hidden="1" customHeight="1" outlineLevel="1" x14ac:dyDescent="0.25">
      <c r="B140" s="270" t="e">
        <f>IF(AND($C140&gt;='TIF Loan Amortization'!$H$480,$C140&lt;='TIF Loan Amortization'!$I$480),'TIF Loan Amortization'!$G$480,IF(AND($C140&gt;='TIF Loan Amortization'!$H$481,$C140&lt;='TIF Loan Amortization'!I$481),'TIF Loan Amortization'!$G$481,IF(AND($C140&gt;='TIF Loan Amortization'!$H$482,$C140&lt;='TIF Loan Amortization'!I$482),'TIF Loan Amortization'!$G$482,IF(AND($C140&gt;='TIF Loan Amortization'!$H$483,$C140&lt;='TIF Loan Amortization'!I$483),'TIF Loan Amortization'!$G$483,IF(AND($C140&gt;='TIF Loan Amortization'!$H$484,$C140&lt;='TIF Loan Amortization'!I$484),'TIF Loan Amortization'!$G$484,IF(AND($C140&gt;='TIF Loan Amortization'!$H$485,$C140&lt;='TIF Loan Amortization'!I$485),'TIF Loan Amortization'!$G$485,IF(AND($C140&gt;='TIF Loan Amortization'!$H$486,$C140&lt;='TIF Loan Amortization'!I$486),'TIF Loan Amortization'!$G$486,IF(AND($C140&gt;='TIF Loan Amortization'!$H$487,$C140&lt;='TIF Loan Amortization'!I$487),'TIF Loan Amortization'!$G$487,IF(AND($C140&gt;='TIF Loan Amortization'!$H$488,$C140&lt;='TIF Loan Amortization'!I$488),'TIF Loan Amortization'!$G$488,IF(AND($C140&gt;='TIF Loan Amortization'!$H$489,$C140&lt;='TIF Loan Amortization'!I$489),'TIF Loan Amortization'!$G$489,IF(AND($C140&gt;='TIF Loan Amortization'!$H$490,$C140&lt;='TIF Loan Amortization'!I$490),'TIF Loan Amortization'!$G$490,IF(AND($C140&gt;='TIF Loan Amortization'!$H$491,$C140&lt;='TIF Loan Amortization'!I$491),'TIF Loan Amortization'!$G$491,IF(AND($C140&gt;='TIF Loan Amortization'!$H$492,$C140&lt;='TIF Loan Amortization'!I$492),'TIF Loan Amortization'!$G$492,IF(AND($C140&gt;='TIF Loan Amortization'!$H$493,$C140&lt;='TIF Loan Amortization'!I$493),'TIF Loan Amortization'!$G$493,IF(AND($C140&gt;='TIF Loan Amortization'!$H$494,$C140&lt;='TIF Loan Amortization'!I$494),'TIF Loan Amortization'!$G$494,IF(AND($C140&gt;='TIF Loan Amortization'!$H$495,$C140&lt;='TIF Loan Amortization'!I$495),'TIF Loan Amortization'!$G$495,IF(AND($C140&gt;='TIF Loan Amortization'!$H$496,$C140&lt;='TIF Loan Amortization'!I$496),'TIF Loan Amortization'!$G$496,IF(AND($C140&gt;='TIF Loan Amortization'!$H$497,$C140&lt;='TIF Loan Amortization'!I$497),'TIF Loan Amortization'!$G$497,IF(AND($C140&gt;='TIF Loan Amortization'!$H$498,$C140&lt;='TIF Loan Amortization'!I$498),'TIF Loan Amortization'!$G$498,IF(AND($C140&gt;='TIF Loan Amortization'!$H$499,$C140&lt;='TIF Loan Amortization'!I$499),'TIF Loan Amortization'!$G$499,IF(AND($C140&gt;='TIF Loan Amortization'!$H$500,$C140&lt;='TIF Loan Amortization'!I$500),'TIF Loan Amortization'!$G$500,IF(AND($C140&gt;='TIF Loan Amortization'!$H$501,$C140&lt;='TIF Loan Amortization'!I$501),'TIF Loan Amortization'!$G$501,IF(AND($C140&gt;='TIF Loan Amortization'!$H$502,$C140&lt;='TIF Loan Amortization'!I$502),'TIF Loan Amortization'!$G$502,IF(AND($C140&gt;='TIF Loan Amortization'!$H$503,$C140&lt;='TIF Loan Amortization'!I$503),'TIF Loan Amortization'!$G$503,IF(AND($C140&gt;='TIF Loan Amortization'!$H$504,$C140&lt;='TIF Loan Amortization'!I$504),'TIF Loan Amortization'!$G$504,IF(AND($C140&gt;='TIF Loan Amortization'!$H$505,$C140&lt;='TIF Loan Amortization'!I$505),'TIF Loan Amortization'!$G$505,IF(AND($C140&gt;='TIF Loan Amortization'!$H$506,$C140&lt;='TIF Loan Amortization'!I$506),'TIF Loan Amortization'!$G$506,IF(AND($C140&gt;='TIF Loan Amortization'!$H$507,$C140&lt;='TIF Loan Amortization'!I$507),'TIF Loan Amortization'!$G$507,IF(AND($C140&gt;='TIF Loan Amortization'!$H$508,$C140&lt;='TIF Loan Amortization'!I$508),'TIF Loan Amortization'!$G$508,IF(AND($C140&gt;='TIF Loan Amortization'!$H$509,$C140&lt;='TIF Loan Amortization'!I$509),'TIF Loan Amortization'!$G$509,IF(AND($C140&gt;='TIF Loan Amortization'!$H$510,$C140&lt;='TIF Loan Amortization'!I$510),'TIF Loan Amortization'!$G$510,IF(AND($C140&gt;='TIF Loan Amortization'!$H$511,$C140&lt;='TIF Loan Amortization'!I$511),'TIF Loan Amortization'!$G$511,IF(AND($C140&gt;='TIF Loan Amortization'!$H$512,$C140&lt;='TIF Loan Amortization'!I$512),'TIF Loan Amortization'!$G$512,IF(AND($C140&gt;='TIF Loan Amortization'!$H$513,$C140&lt;='TIF Loan Amortization'!I$513),'TIF Loan Amortization'!$G$513,IF(AND($C140&gt;='TIF Loan Amortization'!$H$514,$C140&lt;='TIF Loan Amortization'!I$514),'TIF Loan Amortization'!$G$514,IF(AND($C140&gt;='TIF Loan Amortization'!$H$515,$C140&lt;='TIF Loan Amortization'!I$515),'TIF Loan Amortization'!$G$515,IF(AND($C140&gt;='TIF Loan Amortization'!$H$516,$C140&lt;='TIF Loan Amortization'!I$516),'TIF Loan Amortization'!$G$516,IF(AND($C140&gt;='TIF Loan Amortization'!$H$517,$C140&lt;='TIF Loan Amortization'!I$517),'TIF Loan Amortization'!$G$517,IF(AND($C140&gt;='TIF Loan Amortization'!$H$518,$C140&lt;='TIF Loan Amortization'!I$518),'TIF Loan Amortization'!$G$518,IF(AND($C140&gt;='TIF Loan Amortization'!$H$519,$C140&lt;='TIF Loan Amortization'!I$519),'TIF Loan Amortization'!$G$519))))))))))))))))))))))))))))))))))))))))</f>
        <v>#N/A</v>
      </c>
      <c r="C140" s="269" t="e">
        <f t="shared" si="23"/>
        <v>#N/A</v>
      </c>
      <c r="D140" s="281" t="str">
        <f>IF($AG$428=1,$H$10+8,"")</f>
        <v/>
      </c>
      <c r="E140" s="274">
        <v>90</v>
      </c>
      <c r="F140" s="275" t="str">
        <f>VLOOKUP($AG$428,$AE$422:$AF$433,2)</f>
        <v>Sep</v>
      </c>
      <c r="G140" s="272">
        <f t="shared" si="24"/>
        <v>0</v>
      </c>
      <c r="H140" s="272">
        <f t="shared" si="27"/>
        <v>0</v>
      </c>
      <c r="I140" s="272">
        <f t="shared" si="28"/>
        <v>0</v>
      </c>
      <c r="J140" s="272">
        <f t="shared" si="25"/>
        <v>0</v>
      </c>
      <c r="K140" s="272">
        <f>IF(ISTEXT($M$4),"",SUM(I$50:I140))</f>
        <v>0</v>
      </c>
      <c r="L140" s="272">
        <f>IF(ISTEXT($M$4),"",SUM(J$50:J140))</f>
        <v>0</v>
      </c>
      <c r="M140" s="271">
        <f t="shared" si="26"/>
        <v>0</v>
      </c>
      <c r="N140" s="291" t="e">
        <f>IF(C140='Operating Assumptions'!$C$48,"Construction Finish","")</f>
        <v>#N/A</v>
      </c>
      <c r="O140" s="291"/>
      <c r="P140" s="291"/>
      <c r="Q140" s="291"/>
      <c r="R140" s="291"/>
      <c r="S140" s="291"/>
      <c r="T140" s="291"/>
      <c r="U140" s="291"/>
      <c r="V140" s="292"/>
      <c r="W140" s="292"/>
      <c r="X140" s="292"/>
      <c r="Y140" s="291"/>
      <c r="Z140" s="279"/>
      <c r="AA140" s="279"/>
      <c r="AB140" s="279"/>
    </row>
    <row r="141" spans="2:28" s="278" customFormat="1" ht="11.65" hidden="1" customHeight="1" outlineLevel="1" x14ac:dyDescent="0.25">
      <c r="B141" s="270" t="e">
        <f>IF(AND($C141&gt;='TIF Loan Amortization'!$H$480,$C141&lt;='TIF Loan Amortization'!$I$480),'TIF Loan Amortization'!$G$480,IF(AND($C141&gt;='TIF Loan Amortization'!$H$481,$C141&lt;='TIF Loan Amortization'!I$481),'TIF Loan Amortization'!$G$481,IF(AND($C141&gt;='TIF Loan Amortization'!$H$482,$C141&lt;='TIF Loan Amortization'!I$482),'TIF Loan Amortization'!$G$482,IF(AND($C141&gt;='TIF Loan Amortization'!$H$483,$C141&lt;='TIF Loan Amortization'!I$483),'TIF Loan Amortization'!$G$483,IF(AND($C141&gt;='TIF Loan Amortization'!$H$484,$C141&lt;='TIF Loan Amortization'!I$484),'TIF Loan Amortization'!$G$484,IF(AND($C141&gt;='TIF Loan Amortization'!$H$485,$C141&lt;='TIF Loan Amortization'!I$485),'TIF Loan Amortization'!$G$485,IF(AND($C141&gt;='TIF Loan Amortization'!$H$486,$C141&lt;='TIF Loan Amortization'!I$486),'TIF Loan Amortization'!$G$486,IF(AND($C141&gt;='TIF Loan Amortization'!$H$487,$C141&lt;='TIF Loan Amortization'!I$487),'TIF Loan Amortization'!$G$487,IF(AND($C141&gt;='TIF Loan Amortization'!$H$488,$C141&lt;='TIF Loan Amortization'!I$488),'TIF Loan Amortization'!$G$488,IF(AND($C141&gt;='TIF Loan Amortization'!$H$489,$C141&lt;='TIF Loan Amortization'!I$489),'TIF Loan Amortization'!$G$489,IF(AND($C141&gt;='TIF Loan Amortization'!$H$490,$C141&lt;='TIF Loan Amortization'!I$490),'TIF Loan Amortization'!$G$490,IF(AND($C141&gt;='TIF Loan Amortization'!$H$491,$C141&lt;='TIF Loan Amortization'!I$491),'TIF Loan Amortization'!$G$491,IF(AND($C141&gt;='TIF Loan Amortization'!$H$492,$C141&lt;='TIF Loan Amortization'!I$492),'TIF Loan Amortization'!$G$492,IF(AND($C141&gt;='TIF Loan Amortization'!$H$493,$C141&lt;='TIF Loan Amortization'!I$493),'TIF Loan Amortization'!$G$493,IF(AND($C141&gt;='TIF Loan Amortization'!$H$494,$C141&lt;='TIF Loan Amortization'!I$494),'TIF Loan Amortization'!$G$494,IF(AND($C141&gt;='TIF Loan Amortization'!$H$495,$C141&lt;='TIF Loan Amortization'!I$495),'TIF Loan Amortization'!$G$495,IF(AND($C141&gt;='TIF Loan Amortization'!$H$496,$C141&lt;='TIF Loan Amortization'!I$496),'TIF Loan Amortization'!$G$496,IF(AND($C141&gt;='TIF Loan Amortization'!$H$497,$C141&lt;='TIF Loan Amortization'!I$497),'TIF Loan Amortization'!$G$497,IF(AND($C141&gt;='TIF Loan Amortization'!$H$498,$C141&lt;='TIF Loan Amortization'!I$498),'TIF Loan Amortization'!$G$498,IF(AND($C141&gt;='TIF Loan Amortization'!$H$499,$C141&lt;='TIF Loan Amortization'!I$499),'TIF Loan Amortization'!$G$499,IF(AND($C141&gt;='TIF Loan Amortization'!$H$500,$C141&lt;='TIF Loan Amortization'!I$500),'TIF Loan Amortization'!$G$500,IF(AND($C141&gt;='TIF Loan Amortization'!$H$501,$C141&lt;='TIF Loan Amortization'!I$501),'TIF Loan Amortization'!$G$501,IF(AND($C141&gt;='TIF Loan Amortization'!$H$502,$C141&lt;='TIF Loan Amortization'!I$502),'TIF Loan Amortization'!$G$502,IF(AND($C141&gt;='TIF Loan Amortization'!$H$503,$C141&lt;='TIF Loan Amortization'!I$503),'TIF Loan Amortization'!$G$503,IF(AND($C141&gt;='TIF Loan Amortization'!$H$504,$C141&lt;='TIF Loan Amortization'!I$504),'TIF Loan Amortization'!$G$504,IF(AND($C141&gt;='TIF Loan Amortization'!$H$505,$C141&lt;='TIF Loan Amortization'!I$505),'TIF Loan Amortization'!$G$505,IF(AND($C141&gt;='TIF Loan Amortization'!$H$506,$C141&lt;='TIF Loan Amortization'!I$506),'TIF Loan Amortization'!$G$506,IF(AND($C141&gt;='TIF Loan Amortization'!$H$507,$C141&lt;='TIF Loan Amortization'!I$507),'TIF Loan Amortization'!$G$507,IF(AND($C141&gt;='TIF Loan Amortization'!$H$508,$C141&lt;='TIF Loan Amortization'!I$508),'TIF Loan Amortization'!$G$508,IF(AND($C141&gt;='TIF Loan Amortization'!$H$509,$C141&lt;='TIF Loan Amortization'!I$509),'TIF Loan Amortization'!$G$509,IF(AND($C141&gt;='TIF Loan Amortization'!$H$510,$C141&lt;='TIF Loan Amortization'!I$510),'TIF Loan Amortization'!$G$510,IF(AND($C141&gt;='TIF Loan Amortization'!$H$511,$C141&lt;='TIF Loan Amortization'!I$511),'TIF Loan Amortization'!$G$511,IF(AND($C141&gt;='TIF Loan Amortization'!$H$512,$C141&lt;='TIF Loan Amortization'!I$512),'TIF Loan Amortization'!$G$512,IF(AND($C141&gt;='TIF Loan Amortization'!$H$513,$C141&lt;='TIF Loan Amortization'!I$513),'TIF Loan Amortization'!$G$513,IF(AND($C141&gt;='TIF Loan Amortization'!$H$514,$C141&lt;='TIF Loan Amortization'!I$514),'TIF Loan Amortization'!$G$514,IF(AND($C141&gt;='TIF Loan Amortization'!$H$515,$C141&lt;='TIF Loan Amortization'!I$515),'TIF Loan Amortization'!$G$515,IF(AND($C141&gt;='TIF Loan Amortization'!$H$516,$C141&lt;='TIF Loan Amortization'!I$516),'TIF Loan Amortization'!$G$516,IF(AND($C141&gt;='TIF Loan Amortization'!$H$517,$C141&lt;='TIF Loan Amortization'!I$517),'TIF Loan Amortization'!$G$517,IF(AND($C141&gt;='TIF Loan Amortization'!$H$518,$C141&lt;='TIF Loan Amortization'!I$518),'TIF Loan Amortization'!$G$518,IF(AND($C141&gt;='TIF Loan Amortization'!$H$519,$C141&lt;='TIF Loan Amortization'!I$519),'TIF Loan Amortization'!$G$519))))))))))))))))))))))))))))))))))))))))</f>
        <v>#N/A</v>
      </c>
      <c r="C141" s="269" t="e">
        <f t="shared" si="23"/>
        <v>#N/A</v>
      </c>
      <c r="D141" s="281" t="str">
        <f>IF($AG$429=1,$H$10+8,"")</f>
        <v/>
      </c>
      <c r="E141" s="274">
        <v>91</v>
      </c>
      <c r="F141" s="275" t="str">
        <f>VLOOKUP($AG$429,$AE$422:$AF$433,2)</f>
        <v>Oct</v>
      </c>
      <c r="G141" s="272">
        <f t="shared" si="24"/>
        <v>0</v>
      </c>
      <c r="H141" s="272">
        <f t="shared" si="27"/>
        <v>0</v>
      </c>
      <c r="I141" s="272">
        <f t="shared" si="28"/>
        <v>0</v>
      </c>
      <c r="J141" s="272">
        <f t="shared" si="25"/>
        <v>0</v>
      </c>
      <c r="K141" s="272">
        <f>IF(ISTEXT($M$4),"",SUM(I$50:I141))</f>
        <v>0</v>
      </c>
      <c r="L141" s="272">
        <f>IF(ISTEXT($M$4),"",SUM(J$50:J141))</f>
        <v>0</v>
      </c>
      <c r="M141" s="271">
        <f t="shared" si="26"/>
        <v>0</v>
      </c>
      <c r="N141" s="291" t="e">
        <f>IF(C141='Operating Assumptions'!$C$48,"Construction Finish","")</f>
        <v>#N/A</v>
      </c>
      <c r="O141" s="291"/>
      <c r="P141" s="291"/>
      <c r="Q141" s="291"/>
      <c r="R141" s="291"/>
      <c r="S141" s="291"/>
      <c r="T141" s="291"/>
      <c r="U141" s="291"/>
      <c r="V141" s="292"/>
      <c r="W141" s="292"/>
      <c r="X141" s="292"/>
      <c r="Y141" s="291"/>
      <c r="Z141" s="279"/>
      <c r="AA141" s="279"/>
      <c r="AB141" s="279"/>
    </row>
    <row r="142" spans="2:28" s="278" customFormat="1" ht="11.65" hidden="1" customHeight="1" outlineLevel="1" x14ac:dyDescent="0.25">
      <c r="B142" s="270" t="e">
        <f>IF(AND($C142&gt;='TIF Loan Amortization'!$H$480,$C142&lt;='TIF Loan Amortization'!$I$480),'TIF Loan Amortization'!$G$480,IF(AND($C142&gt;='TIF Loan Amortization'!$H$481,$C142&lt;='TIF Loan Amortization'!I$481),'TIF Loan Amortization'!$G$481,IF(AND($C142&gt;='TIF Loan Amortization'!$H$482,$C142&lt;='TIF Loan Amortization'!I$482),'TIF Loan Amortization'!$G$482,IF(AND($C142&gt;='TIF Loan Amortization'!$H$483,$C142&lt;='TIF Loan Amortization'!I$483),'TIF Loan Amortization'!$G$483,IF(AND($C142&gt;='TIF Loan Amortization'!$H$484,$C142&lt;='TIF Loan Amortization'!I$484),'TIF Loan Amortization'!$G$484,IF(AND($C142&gt;='TIF Loan Amortization'!$H$485,$C142&lt;='TIF Loan Amortization'!I$485),'TIF Loan Amortization'!$G$485,IF(AND($C142&gt;='TIF Loan Amortization'!$H$486,$C142&lt;='TIF Loan Amortization'!I$486),'TIF Loan Amortization'!$G$486,IF(AND($C142&gt;='TIF Loan Amortization'!$H$487,$C142&lt;='TIF Loan Amortization'!I$487),'TIF Loan Amortization'!$G$487,IF(AND($C142&gt;='TIF Loan Amortization'!$H$488,$C142&lt;='TIF Loan Amortization'!I$488),'TIF Loan Amortization'!$G$488,IF(AND($C142&gt;='TIF Loan Amortization'!$H$489,$C142&lt;='TIF Loan Amortization'!I$489),'TIF Loan Amortization'!$G$489,IF(AND($C142&gt;='TIF Loan Amortization'!$H$490,$C142&lt;='TIF Loan Amortization'!I$490),'TIF Loan Amortization'!$G$490,IF(AND($C142&gt;='TIF Loan Amortization'!$H$491,$C142&lt;='TIF Loan Amortization'!I$491),'TIF Loan Amortization'!$G$491,IF(AND($C142&gt;='TIF Loan Amortization'!$H$492,$C142&lt;='TIF Loan Amortization'!I$492),'TIF Loan Amortization'!$G$492,IF(AND($C142&gt;='TIF Loan Amortization'!$H$493,$C142&lt;='TIF Loan Amortization'!I$493),'TIF Loan Amortization'!$G$493,IF(AND($C142&gt;='TIF Loan Amortization'!$H$494,$C142&lt;='TIF Loan Amortization'!I$494),'TIF Loan Amortization'!$G$494,IF(AND($C142&gt;='TIF Loan Amortization'!$H$495,$C142&lt;='TIF Loan Amortization'!I$495),'TIF Loan Amortization'!$G$495,IF(AND($C142&gt;='TIF Loan Amortization'!$H$496,$C142&lt;='TIF Loan Amortization'!I$496),'TIF Loan Amortization'!$G$496,IF(AND($C142&gt;='TIF Loan Amortization'!$H$497,$C142&lt;='TIF Loan Amortization'!I$497),'TIF Loan Amortization'!$G$497,IF(AND($C142&gt;='TIF Loan Amortization'!$H$498,$C142&lt;='TIF Loan Amortization'!I$498),'TIF Loan Amortization'!$G$498,IF(AND($C142&gt;='TIF Loan Amortization'!$H$499,$C142&lt;='TIF Loan Amortization'!I$499),'TIF Loan Amortization'!$G$499,IF(AND($C142&gt;='TIF Loan Amortization'!$H$500,$C142&lt;='TIF Loan Amortization'!I$500),'TIF Loan Amortization'!$G$500,IF(AND($C142&gt;='TIF Loan Amortization'!$H$501,$C142&lt;='TIF Loan Amortization'!I$501),'TIF Loan Amortization'!$G$501,IF(AND($C142&gt;='TIF Loan Amortization'!$H$502,$C142&lt;='TIF Loan Amortization'!I$502),'TIF Loan Amortization'!$G$502,IF(AND($C142&gt;='TIF Loan Amortization'!$H$503,$C142&lt;='TIF Loan Amortization'!I$503),'TIF Loan Amortization'!$G$503,IF(AND($C142&gt;='TIF Loan Amortization'!$H$504,$C142&lt;='TIF Loan Amortization'!I$504),'TIF Loan Amortization'!$G$504,IF(AND($C142&gt;='TIF Loan Amortization'!$H$505,$C142&lt;='TIF Loan Amortization'!I$505),'TIF Loan Amortization'!$G$505,IF(AND($C142&gt;='TIF Loan Amortization'!$H$506,$C142&lt;='TIF Loan Amortization'!I$506),'TIF Loan Amortization'!$G$506,IF(AND($C142&gt;='TIF Loan Amortization'!$H$507,$C142&lt;='TIF Loan Amortization'!I$507),'TIF Loan Amortization'!$G$507,IF(AND($C142&gt;='TIF Loan Amortization'!$H$508,$C142&lt;='TIF Loan Amortization'!I$508),'TIF Loan Amortization'!$G$508,IF(AND($C142&gt;='TIF Loan Amortization'!$H$509,$C142&lt;='TIF Loan Amortization'!I$509),'TIF Loan Amortization'!$G$509,IF(AND($C142&gt;='TIF Loan Amortization'!$H$510,$C142&lt;='TIF Loan Amortization'!I$510),'TIF Loan Amortization'!$G$510,IF(AND($C142&gt;='TIF Loan Amortization'!$H$511,$C142&lt;='TIF Loan Amortization'!I$511),'TIF Loan Amortization'!$G$511,IF(AND($C142&gt;='TIF Loan Amortization'!$H$512,$C142&lt;='TIF Loan Amortization'!I$512),'TIF Loan Amortization'!$G$512,IF(AND($C142&gt;='TIF Loan Amortization'!$H$513,$C142&lt;='TIF Loan Amortization'!I$513),'TIF Loan Amortization'!$G$513,IF(AND($C142&gt;='TIF Loan Amortization'!$H$514,$C142&lt;='TIF Loan Amortization'!I$514),'TIF Loan Amortization'!$G$514,IF(AND($C142&gt;='TIF Loan Amortization'!$H$515,$C142&lt;='TIF Loan Amortization'!I$515),'TIF Loan Amortization'!$G$515,IF(AND($C142&gt;='TIF Loan Amortization'!$H$516,$C142&lt;='TIF Loan Amortization'!I$516),'TIF Loan Amortization'!$G$516,IF(AND($C142&gt;='TIF Loan Amortization'!$H$517,$C142&lt;='TIF Loan Amortization'!I$517),'TIF Loan Amortization'!$G$517,IF(AND($C142&gt;='TIF Loan Amortization'!$H$518,$C142&lt;='TIF Loan Amortization'!I$518),'TIF Loan Amortization'!$G$518,IF(AND($C142&gt;='TIF Loan Amortization'!$H$519,$C142&lt;='TIF Loan Amortization'!I$519),'TIF Loan Amortization'!$G$519))))))))))))))))))))))))))))))))))))))))</f>
        <v>#N/A</v>
      </c>
      <c r="C142" s="269" t="e">
        <f t="shared" si="23"/>
        <v>#N/A</v>
      </c>
      <c r="D142" s="281" t="str">
        <f>IF($AG$430=1,$H$10+8,"")</f>
        <v/>
      </c>
      <c r="E142" s="274">
        <v>92</v>
      </c>
      <c r="F142" s="275" t="str">
        <f>VLOOKUP($AG$430,$AE$422:$AF$433,2)</f>
        <v>Nov</v>
      </c>
      <c r="G142" s="272">
        <f t="shared" si="24"/>
        <v>0</v>
      </c>
      <c r="H142" s="272">
        <f t="shared" si="27"/>
        <v>0</v>
      </c>
      <c r="I142" s="272">
        <f t="shared" si="28"/>
        <v>0</v>
      </c>
      <c r="J142" s="272">
        <f t="shared" si="25"/>
        <v>0</v>
      </c>
      <c r="K142" s="272">
        <f>IF(ISTEXT($M$4),"",SUM(I$50:I142))</f>
        <v>0</v>
      </c>
      <c r="L142" s="272">
        <f>IF(ISTEXT($M$4),"",SUM(J$50:J142))</f>
        <v>0</v>
      </c>
      <c r="M142" s="271">
        <f t="shared" si="26"/>
        <v>0</v>
      </c>
      <c r="N142" s="291" t="e">
        <f>IF(C142='Operating Assumptions'!$C$48,"Construction Finish","")</f>
        <v>#N/A</v>
      </c>
      <c r="O142" s="291"/>
      <c r="P142" s="291"/>
      <c r="Q142" s="291"/>
      <c r="R142" s="291"/>
      <c r="S142" s="291"/>
      <c r="T142" s="291"/>
      <c r="U142" s="291"/>
      <c r="V142" s="292"/>
      <c r="W142" s="292"/>
      <c r="X142" s="292"/>
      <c r="Y142" s="291"/>
      <c r="Z142" s="279"/>
      <c r="AA142" s="279"/>
      <c r="AB142" s="279"/>
    </row>
    <row r="143" spans="2:28" s="278" customFormat="1" ht="11.65" hidden="1" customHeight="1" outlineLevel="1" x14ac:dyDescent="0.25">
      <c r="B143" s="270" t="e">
        <f>IF(AND($C143&gt;='TIF Loan Amortization'!$H$480,$C143&lt;='TIF Loan Amortization'!$I$480),'TIF Loan Amortization'!$G$480,IF(AND($C143&gt;='TIF Loan Amortization'!$H$481,$C143&lt;='TIF Loan Amortization'!I$481),'TIF Loan Amortization'!$G$481,IF(AND($C143&gt;='TIF Loan Amortization'!$H$482,$C143&lt;='TIF Loan Amortization'!I$482),'TIF Loan Amortization'!$G$482,IF(AND($C143&gt;='TIF Loan Amortization'!$H$483,$C143&lt;='TIF Loan Amortization'!I$483),'TIF Loan Amortization'!$G$483,IF(AND($C143&gt;='TIF Loan Amortization'!$H$484,$C143&lt;='TIF Loan Amortization'!I$484),'TIF Loan Amortization'!$G$484,IF(AND($C143&gt;='TIF Loan Amortization'!$H$485,$C143&lt;='TIF Loan Amortization'!I$485),'TIF Loan Amortization'!$G$485,IF(AND($C143&gt;='TIF Loan Amortization'!$H$486,$C143&lt;='TIF Loan Amortization'!I$486),'TIF Loan Amortization'!$G$486,IF(AND($C143&gt;='TIF Loan Amortization'!$H$487,$C143&lt;='TIF Loan Amortization'!I$487),'TIF Loan Amortization'!$G$487,IF(AND($C143&gt;='TIF Loan Amortization'!$H$488,$C143&lt;='TIF Loan Amortization'!I$488),'TIF Loan Amortization'!$G$488,IF(AND($C143&gt;='TIF Loan Amortization'!$H$489,$C143&lt;='TIF Loan Amortization'!I$489),'TIF Loan Amortization'!$G$489,IF(AND($C143&gt;='TIF Loan Amortization'!$H$490,$C143&lt;='TIF Loan Amortization'!I$490),'TIF Loan Amortization'!$G$490,IF(AND($C143&gt;='TIF Loan Amortization'!$H$491,$C143&lt;='TIF Loan Amortization'!I$491),'TIF Loan Amortization'!$G$491,IF(AND($C143&gt;='TIF Loan Amortization'!$H$492,$C143&lt;='TIF Loan Amortization'!I$492),'TIF Loan Amortization'!$G$492,IF(AND($C143&gt;='TIF Loan Amortization'!$H$493,$C143&lt;='TIF Loan Amortization'!I$493),'TIF Loan Amortization'!$G$493,IF(AND($C143&gt;='TIF Loan Amortization'!$H$494,$C143&lt;='TIF Loan Amortization'!I$494),'TIF Loan Amortization'!$G$494,IF(AND($C143&gt;='TIF Loan Amortization'!$H$495,$C143&lt;='TIF Loan Amortization'!I$495),'TIF Loan Amortization'!$G$495,IF(AND($C143&gt;='TIF Loan Amortization'!$H$496,$C143&lt;='TIF Loan Amortization'!I$496),'TIF Loan Amortization'!$G$496,IF(AND($C143&gt;='TIF Loan Amortization'!$H$497,$C143&lt;='TIF Loan Amortization'!I$497),'TIF Loan Amortization'!$G$497,IF(AND($C143&gt;='TIF Loan Amortization'!$H$498,$C143&lt;='TIF Loan Amortization'!I$498),'TIF Loan Amortization'!$G$498,IF(AND($C143&gt;='TIF Loan Amortization'!$H$499,$C143&lt;='TIF Loan Amortization'!I$499),'TIF Loan Amortization'!$G$499,IF(AND($C143&gt;='TIF Loan Amortization'!$H$500,$C143&lt;='TIF Loan Amortization'!I$500),'TIF Loan Amortization'!$G$500,IF(AND($C143&gt;='TIF Loan Amortization'!$H$501,$C143&lt;='TIF Loan Amortization'!I$501),'TIF Loan Amortization'!$G$501,IF(AND($C143&gt;='TIF Loan Amortization'!$H$502,$C143&lt;='TIF Loan Amortization'!I$502),'TIF Loan Amortization'!$G$502,IF(AND($C143&gt;='TIF Loan Amortization'!$H$503,$C143&lt;='TIF Loan Amortization'!I$503),'TIF Loan Amortization'!$G$503,IF(AND($C143&gt;='TIF Loan Amortization'!$H$504,$C143&lt;='TIF Loan Amortization'!I$504),'TIF Loan Amortization'!$G$504,IF(AND($C143&gt;='TIF Loan Amortization'!$H$505,$C143&lt;='TIF Loan Amortization'!I$505),'TIF Loan Amortization'!$G$505,IF(AND($C143&gt;='TIF Loan Amortization'!$H$506,$C143&lt;='TIF Loan Amortization'!I$506),'TIF Loan Amortization'!$G$506,IF(AND($C143&gt;='TIF Loan Amortization'!$H$507,$C143&lt;='TIF Loan Amortization'!I$507),'TIF Loan Amortization'!$G$507,IF(AND($C143&gt;='TIF Loan Amortization'!$H$508,$C143&lt;='TIF Loan Amortization'!I$508),'TIF Loan Amortization'!$G$508,IF(AND($C143&gt;='TIF Loan Amortization'!$H$509,$C143&lt;='TIF Loan Amortization'!I$509),'TIF Loan Amortization'!$G$509,IF(AND($C143&gt;='TIF Loan Amortization'!$H$510,$C143&lt;='TIF Loan Amortization'!I$510),'TIF Loan Amortization'!$G$510,IF(AND($C143&gt;='TIF Loan Amortization'!$H$511,$C143&lt;='TIF Loan Amortization'!I$511),'TIF Loan Amortization'!$G$511,IF(AND($C143&gt;='TIF Loan Amortization'!$H$512,$C143&lt;='TIF Loan Amortization'!I$512),'TIF Loan Amortization'!$G$512,IF(AND($C143&gt;='TIF Loan Amortization'!$H$513,$C143&lt;='TIF Loan Amortization'!I$513),'TIF Loan Amortization'!$G$513,IF(AND($C143&gt;='TIF Loan Amortization'!$H$514,$C143&lt;='TIF Loan Amortization'!I$514),'TIF Loan Amortization'!$G$514,IF(AND($C143&gt;='TIF Loan Amortization'!$H$515,$C143&lt;='TIF Loan Amortization'!I$515),'TIF Loan Amortization'!$G$515,IF(AND($C143&gt;='TIF Loan Amortization'!$H$516,$C143&lt;='TIF Loan Amortization'!I$516),'TIF Loan Amortization'!$G$516,IF(AND($C143&gt;='TIF Loan Amortization'!$H$517,$C143&lt;='TIF Loan Amortization'!I$517),'TIF Loan Amortization'!$G$517,IF(AND($C143&gt;='TIF Loan Amortization'!$H$518,$C143&lt;='TIF Loan Amortization'!I$518),'TIF Loan Amortization'!$G$518,IF(AND($C143&gt;='TIF Loan Amortization'!$H$519,$C143&lt;='TIF Loan Amortization'!I$519),'TIF Loan Amortization'!$G$519))))))))))))))))))))))))))))))))))))))))</f>
        <v>#N/A</v>
      </c>
      <c r="C143" s="269" t="e">
        <f t="shared" si="23"/>
        <v>#N/A</v>
      </c>
      <c r="D143" s="281" t="str">
        <f>IF($AG$431=1,$H$10+8,"")</f>
        <v/>
      </c>
      <c r="E143" s="274">
        <v>93</v>
      </c>
      <c r="F143" s="275" t="str">
        <f>VLOOKUP($AG$431,$AE$422:$AF$433,2)</f>
        <v>Dec</v>
      </c>
      <c r="G143" s="272">
        <f t="shared" si="24"/>
        <v>0</v>
      </c>
      <c r="H143" s="272">
        <f t="shared" si="27"/>
        <v>0</v>
      </c>
      <c r="I143" s="272">
        <f t="shared" si="28"/>
        <v>0</v>
      </c>
      <c r="J143" s="272">
        <f t="shared" si="25"/>
        <v>0</v>
      </c>
      <c r="K143" s="272">
        <f>IF(ISTEXT($M$4),"",SUM(I$50:I143))</f>
        <v>0</v>
      </c>
      <c r="L143" s="272">
        <f>IF(ISTEXT($M$4),"",SUM(J$50:J143))</f>
        <v>0</v>
      </c>
      <c r="M143" s="271">
        <f t="shared" si="26"/>
        <v>0</v>
      </c>
      <c r="N143" s="291" t="e">
        <f>IF(C143='Operating Assumptions'!$C$48,"Construction Finish","")</f>
        <v>#N/A</v>
      </c>
      <c r="O143" s="291"/>
      <c r="P143" s="291"/>
      <c r="Q143" s="291"/>
      <c r="R143" s="291"/>
      <c r="S143" s="291"/>
      <c r="T143" s="291"/>
      <c r="U143" s="291"/>
      <c r="V143" s="292"/>
      <c r="W143" s="292"/>
      <c r="X143" s="292"/>
      <c r="Y143" s="291"/>
      <c r="Z143" s="279"/>
      <c r="AA143" s="279"/>
      <c r="AB143" s="279"/>
    </row>
    <row r="144" spans="2:28" s="278" customFormat="1" ht="11.65" hidden="1" customHeight="1" outlineLevel="1" x14ac:dyDescent="0.25">
      <c r="B144" s="270" t="e">
        <f>IF(AND($C144&gt;='TIF Loan Amortization'!$H$480,$C144&lt;='TIF Loan Amortization'!$I$480),'TIF Loan Amortization'!$G$480,IF(AND($C144&gt;='TIF Loan Amortization'!$H$481,$C144&lt;='TIF Loan Amortization'!I$481),'TIF Loan Amortization'!$G$481,IF(AND($C144&gt;='TIF Loan Amortization'!$H$482,$C144&lt;='TIF Loan Amortization'!I$482),'TIF Loan Amortization'!$G$482,IF(AND($C144&gt;='TIF Loan Amortization'!$H$483,$C144&lt;='TIF Loan Amortization'!I$483),'TIF Loan Amortization'!$G$483,IF(AND($C144&gt;='TIF Loan Amortization'!$H$484,$C144&lt;='TIF Loan Amortization'!I$484),'TIF Loan Amortization'!$G$484,IF(AND($C144&gt;='TIF Loan Amortization'!$H$485,$C144&lt;='TIF Loan Amortization'!I$485),'TIF Loan Amortization'!$G$485,IF(AND($C144&gt;='TIF Loan Amortization'!$H$486,$C144&lt;='TIF Loan Amortization'!I$486),'TIF Loan Amortization'!$G$486,IF(AND($C144&gt;='TIF Loan Amortization'!$H$487,$C144&lt;='TIF Loan Amortization'!I$487),'TIF Loan Amortization'!$G$487,IF(AND($C144&gt;='TIF Loan Amortization'!$H$488,$C144&lt;='TIF Loan Amortization'!I$488),'TIF Loan Amortization'!$G$488,IF(AND($C144&gt;='TIF Loan Amortization'!$H$489,$C144&lt;='TIF Loan Amortization'!I$489),'TIF Loan Amortization'!$G$489,IF(AND($C144&gt;='TIF Loan Amortization'!$H$490,$C144&lt;='TIF Loan Amortization'!I$490),'TIF Loan Amortization'!$G$490,IF(AND($C144&gt;='TIF Loan Amortization'!$H$491,$C144&lt;='TIF Loan Amortization'!I$491),'TIF Loan Amortization'!$G$491,IF(AND($C144&gt;='TIF Loan Amortization'!$H$492,$C144&lt;='TIF Loan Amortization'!I$492),'TIF Loan Amortization'!$G$492,IF(AND($C144&gt;='TIF Loan Amortization'!$H$493,$C144&lt;='TIF Loan Amortization'!I$493),'TIF Loan Amortization'!$G$493,IF(AND($C144&gt;='TIF Loan Amortization'!$H$494,$C144&lt;='TIF Loan Amortization'!I$494),'TIF Loan Amortization'!$G$494,IF(AND($C144&gt;='TIF Loan Amortization'!$H$495,$C144&lt;='TIF Loan Amortization'!I$495),'TIF Loan Amortization'!$G$495,IF(AND($C144&gt;='TIF Loan Amortization'!$H$496,$C144&lt;='TIF Loan Amortization'!I$496),'TIF Loan Amortization'!$G$496,IF(AND($C144&gt;='TIF Loan Amortization'!$H$497,$C144&lt;='TIF Loan Amortization'!I$497),'TIF Loan Amortization'!$G$497,IF(AND($C144&gt;='TIF Loan Amortization'!$H$498,$C144&lt;='TIF Loan Amortization'!I$498),'TIF Loan Amortization'!$G$498,IF(AND($C144&gt;='TIF Loan Amortization'!$H$499,$C144&lt;='TIF Loan Amortization'!I$499),'TIF Loan Amortization'!$G$499,IF(AND($C144&gt;='TIF Loan Amortization'!$H$500,$C144&lt;='TIF Loan Amortization'!I$500),'TIF Loan Amortization'!$G$500,IF(AND($C144&gt;='TIF Loan Amortization'!$H$501,$C144&lt;='TIF Loan Amortization'!I$501),'TIF Loan Amortization'!$G$501,IF(AND($C144&gt;='TIF Loan Amortization'!$H$502,$C144&lt;='TIF Loan Amortization'!I$502),'TIF Loan Amortization'!$G$502,IF(AND($C144&gt;='TIF Loan Amortization'!$H$503,$C144&lt;='TIF Loan Amortization'!I$503),'TIF Loan Amortization'!$G$503,IF(AND($C144&gt;='TIF Loan Amortization'!$H$504,$C144&lt;='TIF Loan Amortization'!I$504),'TIF Loan Amortization'!$G$504,IF(AND($C144&gt;='TIF Loan Amortization'!$H$505,$C144&lt;='TIF Loan Amortization'!I$505),'TIF Loan Amortization'!$G$505,IF(AND($C144&gt;='TIF Loan Amortization'!$H$506,$C144&lt;='TIF Loan Amortization'!I$506),'TIF Loan Amortization'!$G$506,IF(AND($C144&gt;='TIF Loan Amortization'!$H$507,$C144&lt;='TIF Loan Amortization'!I$507),'TIF Loan Amortization'!$G$507,IF(AND($C144&gt;='TIF Loan Amortization'!$H$508,$C144&lt;='TIF Loan Amortization'!I$508),'TIF Loan Amortization'!$G$508,IF(AND($C144&gt;='TIF Loan Amortization'!$H$509,$C144&lt;='TIF Loan Amortization'!I$509),'TIF Loan Amortization'!$G$509,IF(AND($C144&gt;='TIF Loan Amortization'!$H$510,$C144&lt;='TIF Loan Amortization'!I$510),'TIF Loan Amortization'!$G$510,IF(AND($C144&gt;='TIF Loan Amortization'!$H$511,$C144&lt;='TIF Loan Amortization'!I$511),'TIF Loan Amortization'!$G$511,IF(AND($C144&gt;='TIF Loan Amortization'!$H$512,$C144&lt;='TIF Loan Amortization'!I$512),'TIF Loan Amortization'!$G$512,IF(AND($C144&gt;='TIF Loan Amortization'!$H$513,$C144&lt;='TIF Loan Amortization'!I$513),'TIF Loan Amortization'!$G$513,IF(AND($C144&gt;='TIF Loan Amortization'!$H$514,$C144&lt;='TIF Loan Amortization'!I$514),'TIF Loan Amortization'!$G$514,IF(AND($C144&gt;='TIF Loan Amortization'!$H$515,$C144&lt;='TIF Loan Amortization'!I$515),'TIF Loan Amortization'!$G$515,IF(AND($C144&gt;='TIF Loan Amortization'!$H$516,$C144&lt;='TIF Loan Amortization'!I$516),'TIF Loan Amortization'!$G$516,IF(AND($C144&gt;='TIF Loan Amortization'!$H$517,$C144&lt;='TIF Loan Amortization'!I$517),'TIF Loan Amortization'!$G$517,IF(AND($C144&gt;='TIF Loan Amortization'!$H$518,$C144&lt;='TIF Loan Amortization'!I$518),'TIF Loan Amortization'!$G$518,IF(AND($C144&gt;='TIF Loan Amortization'!$H$519,$C144&lt;='TIF Loan Amortization'!I$519),'TIF Loan Amortization'!$G$519))))))))))))))))))))))))))))))))))))))))</f>
        <v>#N/A</v>
      </c>
      <c r="C144" s="269" t="e">
        <f t="shared" si="23"/>
        <v>#N/A</v>
      </c>
      <c r="D144" s="281">
        <f>IF($AG$432=1,$H$10+8,"")</f>
        <v>2033</v>
      </c>
      <c r="E144" s="274">
        <v>94</v>
      </c>
      <c r="F144" s="273" t="str">
        <f>VLOOKUP($AG$432,$AE$422:$AF$433,2)</f>
        <v>Jan</v>
      </c>
      <c r="G144" s="272">
        <f t="shared" si="24"/>
        <v>0</v>
      </c>
      <c r="H144" s="272">
        <f t="shared" si="27"/>
        <v>0</v>
      </c>
      <c r="I144" s="272">
        <f t="shared" si="28"/>
        <v>0</v>
      </c>
      <c r="J144" s="272">
        <f t="shared" si="25"/>
        <v>0</v>
      </c>
      <c r="K144" s="272">
        <f>IF(ISTEXT($M$4),"",SUM(I$50:I144))</f>
        <v>0</v>
      </c>
      <c r="L144" s="272">
        <f>IF(ISTEXT($M$4),"",SUM(J$50:J144))</f>
        <v>0</v>
      </c>
      <c r="M144" s="271">
        <f t="shared" si="26"/>
        <v>0</v>
      </c>
      <c r="N144" s="291" t="e">
        <f>IF(C144='Operating Assumptions'!$C$48,"Construction Finish","")</f>
        <v>#N/A</v>
      </c>
      <c r="O144" s="291"/>
      <c r="P144" s="291"/>
      <c r="Q144" s="291"/>
      <c r="R144" s="291"/>
      <c r="S144" s="291"/>
      <c r="T144" s="291"/>
      <c r="U144" s="291"/>
      <c r="V144" s="292"/>
      <c r="W144" s="292"/>
      <c r="X144" s="292"/>
      <c r="Y144" s="291"/>
      <c r="Z144" s="279"/>
      <c r="AA144" s="279"/>
      <c r="AB144" s="279"/>
    </row>
    <row r="145" spans="2:28" s="278" customFormat="1" ht="11.65" hidden="1" customHeight="1" outlineLevel="1" x14ac:dyDescent="0.25">
      <c r="B145" s="270" t="e">
        <f>IF(AND($C145&gt;='TIF Loan Amortization'!$H$480,$C145&lt;='TIF Loan Amortization'!$I$480),'TIF Loan Amortization'!$G$480,IF(AND($C145&gt;='TIF Loan Amortization'!$H$481,$C145&lt;='TIF Loan Amortization'!I$481),'TIF Loan Amortization'!$G$481,IF(AND($C145&gt;='TIF Loan Amortization'!$H$482,$C145&lt;='TIF Loan Amortization'!I$482),'TIF Loan Amortization'!$G$482,IF(AND($C145&gt;='TIF Loan Amortization'!$H$483,$C145&lt;='TIF Loan Amortization'!I$483),'TIF Loan Amortization'!$G$483,IF(AND($C145&gt;='TIF Loan Amortization'!$H$484,$C145&lt;='TIF Loan Amortization'!I$484),'TIF Loan Amortization'!$G$484,IF(AND($C145&gt;='TIF Loan Amortization'!$H$485,$C145&lt;='TIF Loan Amortization'!I$485),'TIF Loan Amortization'!$G$485,IF(AND($C145&gt;='TIF Loan Amortization'!$H$486,$C145&lt;='TIF Loan Amortization'!I$486),'TIF Loan Amortization'!$G$486,IF(AND($C145&gt;='TIF Loan Amortization'!$H$487,$C145&lt;='TIF Loan Amortization'!I$487),'TIF Loan Amortization'!$G$487,IF(AND($C145&gt;='TIF Loan Amortization'!$H$488,$C145&lt;='TIF Loan Amortization'!I$488),'TIF Loan Amortization'!$G$488,IF(AND($C145&gt;='TIF Loan Amortization'!$H$489,$C145&lt;='TIF Loan Amortization'!I$489),'TIF Loan Amortization'!$G$489,IF(AND($C145&gt;='TIF Loan Amortization'!$H$490,$C145&lt;='TIF Loan Amortization'!I$490),'TIF Loan Amortization'!$G$490,IF(AND($C145&gt;='TIF Loan Amortization'!$H$491,$C145&lt;='TIF Loan Amortization'!I$491),'TIF Loan Amortization'!$G$491,IF(AND($C145&gt;='TIF Loan Amortization'!$H$492,$C145&lt;='TIF Loan Amortization'!I$492),'TIF Loan Amortization'!$G$492,IF(AND($C145&gt;='TIF Loan Amortization'!$H$493,$C145&lt;='TIF Loan Amortization'!I$493),'TIF Loan Amortization'!$G$493,IF(AND($C145&gt;='TIF Loan Amortization'!$H$494,$C145&lt;='TIF Loan Amortization'!I$494),'TIF Loan Amortization'!$G$494,IF(AND($C145&gt;='TIF Loan Amortization'!$H$495,$C145&lt;='TIF Loan Amortization'!I$495),'TIF Loan Amortization'!$G$495,IF(AND($C145&gt;='TIF Loan Amortization'!$H$496,$C145&lt;='TIF Loan Amortization'!I$496),'TIF Loan Amortization'!$G$496,IF(AND($C145&gt;='TIF Loan Amortization'!$H$497,$C145&lt;='TIF Loan Amortization'!I$497),'TIF Loan Amortization'!$G$497,IF(AND($C145&gt;='TIF Loan Amortization'!$H$498,$C145&lt;='TIF Loan Amortization'!I$498),'TIF Loan Amortization'!$G$498,IF(AND($C145&gt;='TIF Loan Amortization'!$H$499,$C145&lt;='TIF Loan Amortization'!I$499),'TIF Loan Amortization'!$G$499,IF(AND($C145&gt;='TIF Loan Amortization'!$H$500,$C145&lt;='TIF Loan Amortization'!I$500),'TIF Loan Amortization'!$G$500,IF(AND($C145&gt;='TIF Loan Amortization'!$H$501,$C145&lt;='TIF Loan Amortization'!I$501),'TIF Loan Amortization'!$G$501,IF(AND($C145&gt;='TIF Loan Amortization'!$H$502,$C145&lt;='TIF Loan Amortization'!I$502),'TIF Loan Amortization'!$G$502,IF(AND($C145&gt;='TIF Loan Amortization'!$H$503,$C145&lt;='TIF Loan Amortization'!I$503),'TIF Loan Amortization'!$G$503,IF(AND($C145&gt;='TIF Loan Amortization'!$H$504,$C145&lt;='TIF Loan Amortization'!I$504),'TIF Loan Amortization'!$G$504,IF(AND($C145&gt;='TIF Loan Amortization'!$H$505,$C145&lt;='TIF Loan Amortization'!I$505),'TIF Loan Amortization'!$G$505,IF(AND($C145&gt;='TIF Loan Amortization'!$H$506,$C145&lt;='TIF Loan Amortization'!I$506),'TIF Loan Amortization'!$G$506,IF(AND($C145&gt;='TIF Loan Amortization'!$H$507,$C145&lt;='TIF Loan Amortization'!I$507),'TIF Loan Amortization'!$G$507,IF(AND($C145&gt;='TIF Loan Amortization'!$H$508,$C145&lt;='TIF Loan Amortization'!I$508),'TIF Loan Amortization'!$G$508,IF(AND($C145&gt;='TIF Loan Amortization'!$H$509,$C145&lt;='TIF Loan Amortization'!I$509),'TIF Loan Amortization'!$G$509,IF(AND($C145&gt;='TIF Loan Amortization'!$H$510,$C145&lt;='TIF Loan Amortization'!I$510),'TIF Loan Amortization'!$G$510,IF(AND($C145&gt;='TIF Loan Amortization'!$H$511,$C145&lt;='TIF Loan Amortization'!I$511),'TIF Loan Amortization'!$G$511,IF(AND($C145&gt;='TIF Loan Amortization'!$H$512,$C145&lt;='TIF Loan Amortization'!I$512),'TIF Loan Amortization'!$G$512,IF(AND($C145&gt;='TIF Loan Amortization'!$H$513,$C145&lt;='TIF Loan Amortization'!I$513),'TIF Loan Amortization'!$G$513,IF(AND($C145&gt;='TIF Loan Amortization'!$H$514,$C145&lt;='TIF Loan Amortization'!I$514),'TIF Loan Amortization'!$G$514,IF(AND($C145&gt;='TIF Loan Amortization'!$H$515,$C145&lt;='TIF Loan Amortization'!I$515),'TIF Loan Amortization'!$G$515,IF(AND($C145&gt;='TIF Loan Amortization'!$H$516,$C145&lt;='TIF Loan Amortization'!I$516),'TIF Loan Amortization'!$G$516,IF(AND($C145&gt;='TIF Loan Amortization'!$H$517,$C145&lt;='TIF Loan Amortization'!I$517),'TIF Loan Amortization'!$G$517,IF(AND($C145&gt;='TIF Loan Amortization'!$H$518,$C145&lt;='TIF Loan Amortization'!I$518),'TIF Loan Amortization'!$G$518,IF(AND($C145&gt;='TIF Loan Amortization'!$H$519,$C145&lt;='TIF Loan Amortization'!I$519),'TIF Loan Amortization'!$G$519))))))))))))))))))))))))))))))))))))))))</f>
        <v>#N/A</v>
      </c>
      <c r="C145" s="269" t="e">
        <f t="shared" si="23"/>
        <v>#N/A</v>
      </c>
      <c r="D145" s="281" t="str">
        <f>IF($AG$433=1,$H$10+8,"")</f>
        <v/>
      </c>
      <c r="E145" s="274">
        <v>95</v>
      </c>
      <c r="F145" s="273" t="str">
        <f>VLOOKUP($AG$433,$AE$422:$AF$433,2)</f>
        <v>Feb</v>
      </c>
      <c r="G145" s="272">
        <f t="shared" si="24"/>
        <v>0</v>
      </c>
      <c r="H145" s="272">
        <f t="shared" si="27"/>
        <v>0</v>
      </c>
      <c r="I145" s="272">
        <f t="shared" si="28"/>
        <v>0</v>
      </c>
      <c r="J145" s="272">
        <f t="shared" si="25"/>
        <v>0</v>
      </c>
      <c r="K145" s="272">
        <f>IF(ISTEXT($M$4),"",SUM(I$50:I145))</f>
        <v>0</v>
      </c>
      <c r="L145" s="272">
        <f>IF(ISTEXT($M$4),"",SUM(J$50:J145))</f>
        <v>0</v>
      </c>
      <c r="M145" s="271">
        <f t="shared" si="26"/>
        <v>0</v>
      </c>
      <c r="N145" s="291" t="e">
        <f>IF(C145='Operating Assumptions'!$C$48,"Construction Finish","")</f>
        <v>#N/A</v>
      </c>
      <c r="O145" s="291"/>
      <c r="P145" s="291"/>
      <c r="Q145" s="291"/>
      <c r="R145" s="291"/>
      <c r="S145" s="291"/>
      <c r="T145" s="291"/>
      <c r="U145" s="291"/>
      <c r="V145" s="292"/>
      <c r="W145" s="292"/>
      <c r="X145" s="292"/>
      <c r="Y145" s="291"/>
      <c r="Z145" s="279"/>
      <c r="AA145" s="279"/>
      <c r="AB145" s="279"/>
    </row>
    <row r="146" spans="2:28" s="278" customFormat="1" ht="11.65" hidden="1" customHeight="1" outlineLevel="1" x14ac:dyDescent="0.25">
      <c r="B146" s="270" t="e">
        <f>IF(AND($C146&gt;='TIF Loan Amortization'!$H$480,$C146&lt;='TIF Loan Amortization'!$I$480),'TIF Loan Amortization'!$G$480,IF(AND($C146&gt;='TIF Loan Amortization'!$H$481,$C146&lt;='TIF Loan Amortization'!I$481),'TIF Loan Amortization'!$G$481,IF(AND($C146&gt;='TIF Loan Amortization'!$H$482,$C146&lt;='TIF Loan Amortization'!I$482),'TIF Loan Amortization'!$G$482,IF(AND($C146&gt;='TIF Loan Amortization'!$H$483,$C146&lt;='TIF Loan Amortization'!I$483),'TIF Loan Amortization'!$G$483,IF(AND($C146&gt;='TIF Loan Amortization'!$H$484,$C146&lt;='TIF Loan Amortization'!I$484),'TIF Loan Amortization'!$G$484,IF(AND($C146&gt;='TIF Loan Amortization'!$H$485,$C146&lt;='TIF Loan Amortization'!I$485),'TIF Loan Amortization'!$G$485,IF(AND($C146&gt;='TIF Loan Amortization'!$H$486,$C146&lt;='TIF Loan Amortization'!I$486),'TIF Loan Amortization'!$G$486,IF(AND($C146&gt;='TIF Loan Amortization'!$H$487,$C146&lt;='TIF Loan Amortization'!I$487),'TIF Loan Amortization'!$G$487,IF(AND($C146&gt;='TIF Loan Amortization'!$H$488,$C146&lt;='TIF Loan Amortization'!I$488),'TIF Loan Amortization'!$G$488,IF(AND($C146&gt;='TIF Loan Amortization'!$H$489,$C146&lt;='TIF Loan Amortization'!I$489),'TIF Loan Amortization'!$G$489,IF(AND($C146&gt;='TIF Loan Amortization'!$H$490,$C146&lt;='TIF Loan Amortization'!I$490),'TIF Loan Amortization'!$G$490,IF(AND($C146&gt;='TIF Loan Amortization'!$H$491,$C146&lt;='TIF Loan Amortization'!I$491),'TIF Loan Amortization'!$G$491,IF(AND($C146&gt;='TIF Loan Amortization'!$H$492,$C146&lt;='TIF Loan Amortization'!I$492),'TIF Loan Amortization'!$G$492,IF(AND($C146&gt;='TIF Loan Amortization'!$H$493,$C146&lt;='TIF Loan Amortization'!I$493),'TIF Loan Amortization'!$G$493,IF(AND($C146&gt;='TIF Loan Amortization'!$H$494,$C146&lt;='TIF Loan Amortization'!I$494),'TIF Loan Amortization'!$G$494,IF(AND($C146&gt;='TIF Loan Amortization'!$H$495,$C146&lt;='TIF Loan Amortization'!I$495),'TIF Loan Amortization'!$G$495,IF(AND($C146&gt;='TIF Loan Amortization'!$H$496,$C146&lt;='TIF Loan Amortization'!I$496),'TIF Loan Amortization'!$G$496,IF(AND($C146&gt;='TIF Loan Amortization'!$H$497,$C146&lt;='TIF Loan Amortization'!I$497),'TIF Loan Amortization'!$G$497,IF(AND($C146&gt;='TIF Loan Amortization'!$H$498,$C146&lt;='TIF Loan Amortization'!I$498),'TIF Loan Amortization'!$G$498,IF(AND($C146&gt;='TIF Loan Amortization'!$H$499,$C146&lt;='TIF Loan Amortization'!I$499),'TIF Loan Amortization'!$G$499,IF(AND($C146&gt;='TIF Loan Amortization'!$H$500,$C146&lt;='TIF Loan Amortization'!I$500),'TIF Loan Amortization'!$G$500,IF(AND($C146&gt;='TIF Loan Amortization'!$H$501,$C146&lt;='TIF Loan Amortization'!I$501),'TIF Loan Amortization'!$G$501,IF(AND($C146&gt;='TIF Loan Amortization'!$H$502,$C146&lt;='TIF Loan Amortization'!I$502),'TIF Loan Amortization'!$G$502,IF(AND($C146&gt;='TIF Loan Amortization'!$H$503,$C146&lt;='TIF Loan Amortization'!I$503),'TIF Loan Amortization'!$G$503,IF(AND($C146&gt;='TIF Loan Amortization'!$H$504,$C146&lt;='TIF Loan Amortization'!I$504),'TIF Loan Amortization'!$G$504,IF(AND($C146&gt;='TIF Loan Amortization'!$H$505,$C146&lt;='TIF Loan Amortization'!I$505),'TIF Loan Amortization'!$G$505,IF(AND($C146&gt;='TIF Loan Amortization'!$H$506,$C146&lt;='TIF Loan Amortization'!I$506),'TIF Loan Amortization'!$G$506,IF(AND($C146&gt;='TIF Loan Amortization'!$H$507,$C146&lt;='TIF Loan Amortization'!I$507),'TIF Loan Amortization'!$G$507,IF(AND($C146&gt;='TIF Loan Amortization'!$H$508,$C146&lt;='TIF Loan Amortization'!I$508),'TIF Loan Amortization'!$G$508,IF(AND($C146&gt;='TIF Loan Amortization'!$H$509,$C146&lt;='TIF Loan Amortization'!I$509),'TIF Loan Amortization'!$G$509,IF(AND($C146&gt;='TIF Loan Amortization'!$H$510,$C146&lt;='TIF Loan Amortization'!I$510),'TIF Loan Amortization'!$G$510,IF(AND($C146&gt;='TIF Loan Amortization'!$H$511,$C146&lt;='TIF Loan Amortization'!I$511),'TIF Loan Amortization'!$G$511,IF(AND($C146&gt;='TIF Loan Amortization'!$H$512,$C146&lt;='TIF Loan Amortization'!I$512),'TIF Loan Amortization'!$G$512,IF(AND($C146&gt;='TIF Loan Amortization'!$H$513,$C146&lt;='TIF Loan Amortization'!I$513),'TIF Loan Amortization'!$G$513,IF(AND($C146&gt;='TIF Loan Amortization'!$H$514,$C146&lt;='TIF Loan Amortization'!I$514),'TIF Loan Amortization'!$G$514,IF(AND($C146&gt;='TIF Loan Amortization'!$H$515,$C146&lt;='TIF Loan Amortization'!I$515),'TIF Loan Amortization'!$G$515,IF(AND($C146&gt;='TIF Loan Amortization'!$H$516,$C146&lt;='TIF Loan Amortization'!I$516),'TIF Loan Amortization'!$G$516,IF(AND($C146&gt;='TIF Loan Amortization'!$H$517,$C146&lt;='TIF Loan Amortization'!I$517),'TIF Loan Amortization'!$G$517,IF(AND($C146&gt;='TIF Loan Amortization'!$H$518,$C146&lt;='TIF Loan Amortization'!I$518),'TIF Loan Amortization'!$G$518,IF(AND($C146&gt;='TIF Loan Amortization'!$H$519,$C146&lt;='TIF Loan Amortization'!I$519),'TIF Loan Amortization'!$G$519))))))))))))))))))))))))))))))))))))))))</f>
        <v>#N/A</v>
      </c>
      <c r="C146" s="269" t="e">
        <f t="shared" si="23"/>
        <v>#N/A</v>
      </c>
      <c r="D146" s="281" t="str">
        <f>IF($H$11="January",$H$10+8,IF($AG$422=1,$H$10+9,""))</f>
        <v/>
      </c>
      <c r="E146" s="274">
        <v>96</v>
      </c>
      <c r="F146" s="273" t="str">
        <f>VLOOKUP($AG$422,$AE$422:$AF$433,2)</f>
        <v>Mar</v>
      </c>
      <c r="G146" s="272">
        <f t="shared" si="24"/>
        <v>0</v>
      </c>
      <c r="H146" s="272">
        <f t="shared" si="27"/>
        <v>0</v>
      </c>
      <c r="I146" s="272">
        <f t="shared" si="28"/>
        <v>0</v>
      </c>
      <c r="J146" s="272">
        <f t="shared" si="25"/>
        <v>0</v>
      </c>
      <c r="K146" s="272">
        <f>IF(ISTEXT($M$4),"",SUM(I$50:I146))</f>
        <v>0</v>
      </c>
      <c r="L146" s="272">
        <f>IF(ISTEXT($M$4),"",SUM(J$50:J146))</f>
        <v>0</v>
      </c>
      <c r="M146" s="271">
        <f t="shared" si="26"/>
        <v>0</v>
      </c>
      <c r="N146" s="291" t="e">
        <f>IF(C146='Operating Assumptions'!$C$48,"Construction Finish","")</f>
        <v>#N/A</v>
      </c>
      <c r="O146" s="291"/>
      <c r="P146" s="291"/>
      <c r="Q146" s="291"/>
      <c r="R146" s="291"/>
      <c r="S146" s="291"/>
      <c r="T146" s="291"/>
      <c r="U146" s="291"/>
      <c r="V146" s="292"/>
      <c r="W146" s="292"/>
      <c r="X146" s="292"/>
      <c r="Y146" s="291"/>
      <c r="Z146" s="279"/>
      <c r="AA146" s="279"/>
      <c r="AB146" s="279"/>
    </row>
    <row r="147" spans="2:28" s="278" customFormat="1" ht="11.65" hidden="1" customHeight="1" outlineLevel="1" x14ac:dyDescent="0.25">
      <c r="B147" s="270" t="e">
        <f>IF(AND($C147&gt;='TIF Loan Amortization'!$H$480,$C147&lt;='TIF Loan Amortization'!$I$480),'TIF Loan Amortization'!$G$480,IF(AND($C147&gt;='TIF Loan Amortization'!$H$481,$C147&lt;='TIF Loan Amortization'!I$481),'TIF Loan Amortization'!$G$481,IF(AND($C147&gt;='TIF Loan Amortization'!$H$482,$C147&lt;='TIF Loan Amortization'!I$482),'TIF Loan Amortization'!$G$482,IF(AND($C147&gt;='TIF Loan Amortization'!$H$483,$C147&lt;='TIF Loan Amortization'!I$483),'TIF Loan Amortization'!$G$483,IF(AND($C147&gt;='TIF Loan Amortization'!$H$484,$C147&lt;='TIF Loan Amortization'!I$484),'TIF Loan Amortization'!$G$484,IF(AND($C147&gt;='TIF Loan Amortization'!$H$485,$C147&lt;='TIF Loan Amortization'!I$485),'TIF Loan Amortization'!$G$485,IF(AND($C147&gt;='TIF Loan Amortization'!$H$486,$C147&lt;='TIF Loan Amortization'!I$486),'TIF Loan Amortization'!$G$486,IF(AND($C147&gt;='TIF Loan Amortization'!$H$487,$C147&lt;='TIF Loan Amortization'!I$487),'TIF Loan Amortization'!$G$487,IF(AND($C147&gt;='TIF Loan Amortization'!$H$488,$C147&lt;='TIF Loan Amortization'!I$488),'TIF Loan Amortization'!$G$488,IF(AND($C147&gt;='TIF Loan Amortization'!$H$489,$C147&lt;='TIF Loan Amortization'!I$489),'TIF Loan Amortization'!$G$489,IF(AND($C147&gt;='TIF Loan Amortization'!$H$490,$C147&lt;='TIF Loan Amortization'!I$490),'TIF Loan Amortization'!$G$490,IF(AND($C147&gt;='TIF Loan Amortization'!$H$491,$C147&lt;='TIF Loan Amortization'!I$491),'TIF Loan Amortization'!$G$491,IF(AND($C147&gt;='TIF Loan Amortization'!$H$492,$C147&lt;='TIF Loan Amortization'!I$492),'TIF Loan Amortization'!$G$492,IF(AND($C147&gt;='TIF Loan Amortization'!$H$493,$C147&lt;='TIF Loan Amortization'!I$493),'TIF Loan Amortization'!$G$493,IF(AND($C147&gt;='TIF Loan Amortization'!$H$494,$C147&lt;='TIF Loan Amortization'!I$494),'TIF Loan Amortization'!$G$494,IF(AND($C147&gt;='TIF Loan Amortization'!$H$495,$C147&lt;='TIF Loan Amortization'!I$495),'TIF Loan Amortization'!$G$495,IF(AND($C147&gt;='TIF Loan Amortization'!$H$496,$C147&lt;='TIF Loan Amortization'!I$496),'TIF Loan Amortization'!$G$496,IF(AND($C147&gt;='TIF Loan Amortization'!$H$497,$C147&lt;='TIF Loan Amortization'!I$497),'TIF Loan Amortization'!$G$497,IF(AND($C147&gt;='TIF Loan Amortization'!$H$498,$C147&lt;='TIF Loan Amortization'!I$498),'TIF Loan Amortization'!$G$498,IF(AND($C147&gt;='TIF Loan Amortization'!$H$499,$C147&lt;='TIF Loan Amortization'!I$499),'TIF Loan Amortization'!$G$499,IF(AND($C147&gt;='TIF Loan Amortization'!$H$500,$C147&lt;='TIF Loan Amortization'!I$500),'TIF Loan Amortization'!$G$500,IF(AND($C147&gt;='TIF Loan Amortization'!$H$501,$C147&lt;='TIF Loan Amortization'!I$501),'TIF Loan Amortization'!$G$501,IF(AND($C147&gt;='TIF Loan Amortization'!$H$502,$C147&lt;='TIF Loan Amortization'!I$502),'TIF Loan Amortization'!$G$502,IF(AND($C147&gt;='TIF Loan Amortization'!$H$503,$C147&lt;='TIF Loan Amortization'!I$503),'TIF Loan Amortization'!$G$503,IF(AND($C147&gt;='TIF Loan Amortization'!$H$504,$C147&lt;='TIF Loan Amortization'!I$504),'TIF Loan Amortization'!$G$504,IF(AND($C147&gt;='TIF Loan Amortization'!$H$505,$C147&lt;='TIF Loan Amortization'!I$505),'TIF Loan Amortization'!$G$505,IF(AND($C147&gt;='TIF Loan Amortization'!$H$506,$C147&lt;='TIF Loan Amortization'!I$506),'TIF Loan Amortization'!$G$506,IF(AND($C147&gt;='TIF Loan Amortization'!$H$507,$C147&lt;='TIF Loan Amortization'!I$507),'TIF Loan Amortization'!$G$507,IF(AND($C147&gt;='TIF Loan Amortization'!$H$508,$C147&lt;='TIF Loan Amortization'!I$508),'TIF Loan Amortization'!$G$508,IF(AND($C147&gt;='TIF Loan Amortization'!$H$509,$C147&lt;='TIF Loan Amortization'!I$509),'TIF Loan Amortization'!$G$509,IF(AND($C147&gt;='TIF Loan Amortization'!$H$510,$C147&lt;='TIF Loan Amortization'!I$510),'TIF Loan Amortization'!$G$510,IF(AND($C147&gt;='TIF Loan Amortization'!$H$511,$C147&lt;='TIF Loan Amortization'!I$511),'TIF Loan Amortization'!$G$511,IF(AND($C147&gt;='TIF Loan Amortization'!$H$512,$C147&lt;='TIF Loan Amortization'!I$512),'TIF Loan Amortization'!$G$512,IF(AND($C147&gt;='TIF Loan Amortization'!$H$513,$C147&lt;='TIF Loan Amortization'!I$513),'TIF Loan Amortization'!$G$513,IF(AND($C147&gt;='TIF Loan Amortization'!$H$514,$C147&lt;='TIF Loan Amortization'!I$514),'TIF Loan Amortization'!$G$514,IF(AND($C147&gt;='TIF Loan Amortization'!$H$515,$C147&lt;='TIF Loan Amortization'!I$515),'TIF Loan Amortization'!$G$515,IF(AND($C147&gt;='TIF Loan Amortization'!$H$516,$C147&lt;='TIF Loan Amortization'!I$516),'TIF Loan Amortization'!$G$516,IF(AND($C147&gt;='TIF Loan Amortization'!$H$517,$C147&lt;='TIF Loan Amortization'!I$517),'TIF Loan Amortization'!$G$517,IF(AND($C147&gt;='TIF Loan Amortization'!$H$518,$C147&lt;='TIF Loan Amortization'!I$518),'TIF Loan Amortization'!$G$518,IF(AND($C147&gt;='TIF Loan Amortization'!$H$519,$C147&lt;='TIF Loan Amortization'!I$519),'TIF Loan Amortization'!$G$519))))))))))))))))))))))))))))))))))))))))</f>
        <v>#N/A</v>
      </c>
      <c r="C147" s="269" t="e">
        <f t="shared" si="23"/>
        <v>#N/A</v>
      </c>
      <c r="D147" s="281" t="str">
        <f>IF($AG$423=1,$H$10+9,"")</f>
        <v/>
      </c>
      <c r="E147" s="274">
        <v>97</v>
      </c>
      <c r="F147" s="275" t="str">
        <f>VLOOKUP($AG$423,$AE$422:$AF$433,2)</f>
        <v>Apr</v>
      </c>
      <c r="G147" s="272">
        <f t="shared" si="24"/>
        <v>0</v>
      </c>
      <c r="H147" s="272">
        <f t="shared" si="27"/>
        <v>0</v>
      </c>
      <c r="I147" s="272">
        <f t="shared" si="28"/>
        <v>0</v>
      </c>
      <c r="J147" s="272">
        <f t="shared" si="25"/>
        <v>0</v>
      </c>
      <c r="K147" s="272">
        <f>IF(ISTEXT($M$4),"",SUM(I$50:I147))</f>
        <v>0</v>
      </c>
      <c r="L147" s="272">
        <f>IF(ISTEXT($M$4),"",SUM(J$50:J147))</f>
        <v>0</v>
      </c>
      <c r="M147" s="271">
        <f t="shared" si="26"/>
        <v>0</v>
      </c>
      <c r="N147" s="291" t="e">
        <f>IF(C147='Operating Assumptions'!$C$48,"Construction Finish","")</f>
        <v>#N/A</v>
      </c>
      <c r="O147" s="291"/>
      <c r="P147" s="291"/>
      <c r="Q147" s="291"/>
      <c r="R147" s="291"/>
      <c r="S147" s="291"/>
      <c r="T147" s="291"/>
      <c r="U147" s="291"/>
      <c r="V147" s="292"/>
      <c r="W147" s="292"/>
      <c r="X147" s="292"/>
      <c r="Y147" s="291"/>
      <c r="Z147" s="279"/>
      <c r="AA147" s="279"/>
      <c r="AB147" s="279"/>
    </row>
    <row r="148" spans="2:28" s="278" customFormat="1" ht="11.65" hidden="1" customHeight="1" outlineLevel="1" x14ac:dyDescent="0.25">
      <c r="B148" s="270" t="e">
        <f>IF(AND($C148&gt;='TIF Loan Amortization'!$H$480,$C148&lt;='TIF Loan Amortization'!$I$480),'TIF Loan Amortization'!$G$480,IF(AND($C148&gt;='TIF Loan Amortization'!$H$481,$C148&lt;='TIF Loan Amortization'!I$481),'TIF Loan Amortization'!$G$481,IF(AND($C148&gt;='TIF Loan Amortization'!$H$482,$C148&lt;='TIF Loan Amortization'!I$482),'TIF Loan Amortization'!$G$482,IF(AND($C148&gt;='TIF Loan Amortization'!$H$483,$C148&lt;='TIF Loan Amortization'!I$483),'TIF Loan Amortization'!$G$483,IF(AND($C148&gt;='TIF Loan Amortization'!$H$484,$C148&lt;='TIF Loan Amortization'!I$484),'TIF Loan Amortization'!$G$484,IF(AND($C148&gt;='TIF Loan Amortization'!$H$485,$C148&lt;='TIF Loan Amortization'!I$485),'TIF Loan Amortization'!$G$485,IF(AND($C148&gt;='TIF Loan Amortization'!$H$486,$C148&lt;='TIF Loan Amortization'!I$486),'TIF Loan Amortization'!$G$486,IF(AND($C148&gt;='TIF Loan Amortization'!$H$487,$C148&lt;='TIF Loan Amortization'!I$487),'TIF Loan Amortization'!$G$487,IF(AND($C148&gt;='TIF Loan Amortization'!$H$488,$C148&lt;='TIF Loan Amortization'!I$488),'TIF Loan Amortization'!$G$488,IF(AND($C148&gt;='TIF Loan Amortization'!$H$489,$C148&lt;='TIF Loan Amortization'!I$489),'TIF Loan Amortization'!$G$489,IF(AND($C148&gt;='TIF Loan Amortization'!$H$490,$C148&lt;='TIF Loan Amortization'!I$490),'TIF Loan Amortization'!$G$490,IF(AND($C148&gt;='TIF Loan Amortization'!$H$491,$C148&lt;='TIF Loan Amortization'!I$491),'TIF Loan Amortization'!$G$491,IF(AND($C148&gt;='TIF Loan Amortization'!$H$492,$C148&lt;='TIF Loan Amortization'!I$492),'TIF Loan Amortization'!$G$492,IF(AND($C148&gt;='TIF Loan Amortization'!$H$493,$C148&lt;='TIF Loan Amortization'!I$493),'TIF Loan Amortization'!$G$493,IF(AND($C148&gt;='TIF Loan Amortization'!$H$494,$C148&lt;='TIF Loan Amortization'!I$494),'TIF Loan Amortization'!$G$494,IF(AND($C148&gt;='TIF Loan Amortization'!$H$495,$C148&lt;='TIF Loan Amortization'!I$495),'TIF Loan Amortization'!$G$495,IF(AND($C148&gt;='TIF Loan Amortization'!$H$496,$C148&lt;='TIF Loan Amortization'!I$496),'TIF Loan Amortization'!$G$496,IF(AND($C148&gt;='TIF Loan Amortization'!$H$497,$C148&lt;='TIF Loan Amortization'!I$497),'TIF Loan Amortization'!$G$497,IF(AND($C148&gt;='TIF Loan Amortization'!$H$498,$C148&lt;='TIF Loan Amortization'!I$498),'TIF Loan Amortization'!$G$498,IF(AND($C148&gt;='TIF Loan Amortization'!$H$499,$C148&lt;='TIF Loan Amortization'!I$499),'TIF Loan Amortization'!$G$499,IF(AND($C148&gt;='TIF Loan Amortization'!$H$500,$C148&lt;='TIF Loan Amortization'!I$500),'TIF Loan Amortization'!$G$500,IF(AND($C148&gt;='TIF Loan Amortization'!$H$501,$C148&lt;='TIF Loan Amortization'!I$501),'TIF Loan Amortization'!$G$501,IF(AND($C148&gt;='TIF Loan Amortization'!$H$502,$C148&lt;='TIF Loan Amortization'!I$502),'TIF Loan Amortization'!$G$502,IF(AND($C148&gt;='TIF Loan Amortization'!$H$503,$C148&lt;='TIF Loan Amortization'!I$503),'TIF Loan Amortization'!$G$503,IF(AND($C148&gt;='TIF Loan Amortization'!$H$504,$C148&lt;='TIF Loan Amortization'!I$504),'TIF Loan Amortization'!$G$504,IF(AND($C148&gt;='TIF Loan Amortization'!$H$505,$C148&lt;='TIF Loan Amortization'!I$505),'TIF Loan Amortization'!$G$505,IF(AND($C148&gt;='TIF Loan Amortization'!$H$506,$C148&lt;='TIF Loan Amortization'!I$506),'TIF Loan Amortization'!$G$506,IF(AND($C148&gt;='TIF Loan Amortization'!$H$507,$C148&lt;='TIF Loan Amortization'!I$507),'TIF Loan Amortization'!$G$507,IF(AND($C148&gt;='TIF Loan Amortization'!$H$508,$C148&lt;='TIF Loan Amortization'!I$508),'TIF Loan Amortization'!$G$508,IF(AND($C148&gt;='TIF Loan Amortization'!$H$509,$C148&lt;='TIF Loan Amortization'!I$509),'TIF Loan Amortization'!$G$509,IF(AND($C148&gt;='TIF Loan Amortization'!$H$510,$C148&lt;='TIF Loan Amortization'!I$510),'TIF Loan Amortization'!$G$510,IF(AND($C148&gt;='TIF Loan Amortization'!$H$511,$C148&lt;='TIF Loan Amortization'!I$511),'TIF Loan Amortization'!$G$511,IF(AND($C148&gt;='TIF Loan Amortization'!$H$512,$C148&lt;='TIF Loan Amortization'!I$512),'TIF Loan Amortization'!$G$512,IF(AND($C148&gt;='TIF Loan Amortization'!$H$513,$C148&lt;='TIF Loan Amortization'!I$513),'TIF Loan Amortization'!$G$513,IF(AND($C148&gt;='TIF Loan Amortization'!$H$514,$C148&lt;='TIF Loan Amortization'!I$514),'TIF Loan Amortization'!$G$514,IF(AND($C148&gt;='TIF Loan Amortization'!$H$515,$C148&lt;='TIF Loan Amortization'!I$515),'TIF Loan Amortization'!$G$515,IF(AND($C148&gt;='TIF Loan Amortization'!$H$516,$C148&lt;='TIF Loan Amortization'!I$516),'TIF Loan Amortization'!$G$516,IF(AND($C148&gt;='TIF Loan Amortization'!$H$517,$C148&lt;='TIF Loan Amortization'!I$517),'TIF Loan Amortization'!$G$517,IF(AND($C148&gt;='TIF Loan Amortization'!$H$518,$C148&lt;='TIF Loan Amortization'!I$518),'TIF Loan Amortization'!$G$518,IF(AND($C148&gt;='TIF Loan Amortization'!$H$519,$C148&lt;='TIF Loan Amortization'!I$519),'TIF Loan Amortization'!$G$519))))))))))))))))))))))))))))))))))))))))</f>
        <v>#N/A</v>
      </c>
      <c r="C148" s="269" t="e">
        <f t="shared" si="23"/>
        <v>#N/A</v>
      </c>
      <c r="D148" s="281" t="str">
        <f>IF($AG$424=1,$H$10+9,"")</f>
        <v/>
      </c>
      <c r="E148" s="274">
        <v>98</v>
      </c>
      <c r="F148" s="275" t="str">
        <f>VLOOKUP($AG$424,$AE$422:$AF$433,2)</f>
        <v>May</v>
      </c>
      <c r="G148" s="272">
        <f t="shared" si="24"/>
        <v>0</v>
      </c>
      <c r="H148" s="272">
        <f t="shared" si="27"/>
        <v>0</v>
      </c>
      <c r="I148" s="272">
        <f t="shared" si="28"/>
        <v>0</v>
      </c>
      <c r="J148" s="272">
        <f t="shared" si="25"/>
        <v>0</v>
      </c>
      <c r="K148" s="272">
        <f>IF(ISTEXT($M$4),"",SUM(I$50:I148))</f>
        <v>0</v>
      </c>
      <c r="L148" s="272">
        <f>IF(ISTEXT($M$4),"",SUM(J$50:J148))</f>
        <v>0</v>
      </c>
      <c r="M148" s="271">
        <f t="shared" si="26"/>
        <v>0</v>
      </c>
      <c r="N148" s="291" t="e">
        <f>IF(C148='Operating Assumptions'!$C$48,"Construction Finish","")</f>
        <v>#N/A</v>
      </c>
      <c r="O148" s="291"/>
      <c r="P148" s="291"/>
      <c r="Q148" s="291"/>
      <c r="R148" s="291"/>
      <c r="S148" s="291"/>
      <c r="T148" s="291"/>
      <c r="U148" s="291"/>
      <c r="V148" s="292"/>
      <c r="W148" s="292"/>
      <c r="X148" s="292"/>
      <c r="Y148" s="291"/>
      <c r="Z148" s="279"/>
      <c r="AA148" s="279"/>
      <c r="AB148" s="279"/>
    </row>
    <row r="149" spans="2:28" s="278" customFormat="1" ht="11.65" hidden="1" customHeight="1" outlineLevel="1" x14ac:dyDescent="0.25">
      <c r="B149" s="270" t="e">
        <f>IF(AND($C149&gt;='TIF Loan Amortization'!$H$480,$C149&lt;='TIF Loan Amortization'!$I$480),'TIF Loan Amortization'!$G$480,IF(AND($C149&gt;='TIF Loan Amortization'!$H$481,$C149&lt;='TIF Loan Amortization'!I$481),'TIF Loan Amortization'!$G$481,IF(AND($C149&gt;='TIF Loan Amortization'!$H$482,$C149&lt;='TIF Loan Amortization'!I$482),'TIF Loan Amortization'!$G$482,IF(AND($C149&gt;='TIF Loan Amortization'!$H$483,$C149&lt;='TIF Loan Amortization'!I$483),'TIF Loan Amortization'!$G$483,IF(AND($C149&gt;='TIF Loan Amortization'!$H$484,$C149&lt;='TIF Loan Amortization'!I$484),'TIF Loan Amortization'!$G$484,IF(AND($C149&gt;='TIF Loan Amortization'!$H$485,$C149&lt;='TIF Loan Amortization'!I$485),'TIF Loan Amortization'!$G$485,IF(AND($C149&gt;='TIF Loan Amortization'!$H$486,$C149&lt;='TIF Loan Amortization'!I$486),'TIF Loan Amortization'!$G$486,IF(AND($C149&gt;='TIF Loan Amortization'!$H$487,$C149&lt;='TIF Loan Amortization'!I$487),'TIF Loan Amortization'!$G$487,IF(AND($C149&gt;='TIF Loan Amortization'!$H$488,$C149&lt;='TIF Loan Amortization'!I$488),'TIF Loan Amortization'!$G$488,IF(AND($C149&gt;='TIF Loan Amortization'!$H$489,$C149&lt;='TIF Loan Amortization'!I$489),'TIF Loan Amortization'!$G$489,IF(AND($C149&gt;='TIF Loan Amortization'!$H$490,$C149&lt;='TIF Loan Amortization'!I$490),'TIF Loan Amortization'!$G$490,IF(AND($C149&gt;='TIF Loan Amortization'!$H$491,$C149&lt;='TIF Loan Amortization'!I$491),'TIF Loan Amortization'!$G$491,IF(AND($C149&gt;='TIF Loan Amortization'!$H$492,$C149&lt;='TIF Loan Amortization'!I$492),'TIF Loan Amortization'!$G$492,IF(AND($C149&gt;='TIF Loan Amortization'!$H$493,$C149&lt;='TIF Loan Amortization'!I$493),'TIF Loan Amortization'!$G$493,IF(AND($C149&gt;='TIF Loan Amortization'!$H$494,$C149&lt;='TIF Loan Amortization'!I$494),'TIF Loan Amortization'!$G$494,IF(AND($C149&gt;='TIF Loan Amortization'!$H$495,$C149&lt;='TIF Loan Amortization'!I$495),'TIF Loan Amortization'!$G$495,IF(AND($C149&gt;='TIF Loan Amortization'!$H$496,$C149&lt;='TIF Loan Amortization'!I$496),'TIF Loan Amortization'!$G$496,IF(AND($C149&gt;='TIF Loan Amortization'!$H$497,$C149&lt;='TIF Loan Amortization'!I$497),'TIF Loan Amortization'!$G$497,IF(AND($C149&gt;='TIF Loan Amortization'!$H$498,$C149&lt;='TIF Loan Amortization'!I$498),'TIF Loan Amortization'!$G$498,IF(AND($C149&gt;='TIF Loan Amortization'!$H$499,$C149&lt;='TIF Loan Amortization'!I$499),'TIF Loan Amortization'!$G$499,IF(AND($C149&gt;='TIF Loan Amortization'!$H$500,$C149&lt;='TIF Loan Amortization'!I$500),'TIF Loan Amortization'!$G$500,IF(AND($C149&gt;='TIF Loan Amortization'!$H$501,$C149&lt;='TIF Loan Amortization'!I$501),'TIF Loan Amortization'!$G$501,IF(AND($C149&gt;='TIF Loan Amortization'!$H$502,$C149&lt;='TIF Loan Amortization'!I$502),'TIF Loan Amortization'!$G$502,IF(AND($C149&gt;='TIF Loan Amortization'!$H$503,$C149&lt;='TIF Loan Amortization'!I$503),'TIF Loan Amortization'!$G$503,IF(AND($C149&gt;='TIF Loan Amortization'!$H$504,$C149&lt;='TIF Loan Amortization'!I$504),'TIF Loan Amortization'!$G$504,IF(AND($C149&gt;='TIF Loan Amortization'!$H$505,$C149&lt;='TIF Loan Amortization'!I$505),'TIF Loan Amortization'!$G$505,IF(AND($C149&gt;='TIF Loan Amortization'!$H$506,$C149&lt;='TIF Loan Amortization'!I$506),'TIF Loan Amortization'!$G$506,IF(AND($C149&gt;='TIF Loan Amortization'!$H$507,$C149&lt;='TIF Loan Amortization'!I$507),'TIF Loan Amortization'!$G$507,IF(AND($C149&gt;='TIF Loan Amortization'!$H$508,$C149&lt;='TIF Loan Amortization'!I$508),'TIF Loan Amortization'!$G$508,IF(AND($C149&gt;='TIF Loan Amortization'!$H$509,$C149&lt;='TIF Loan Amortization'!I$509),'TIF Loan Amortization'!$G$509,IF(AND($C149&gt;='TIF Loan Amortization'!$H$510,$C149&lt;='TIF Loan Amortization'!I$510),'TIF Loan Amortization'!$G$510,IF(AND($C149&gt;='TIF Loan Amortization'!$H$511,$C149&lt;='TIF Loan Amortization'!I$511),'TIF Loan Amortization'!$G$511,IF(AND($C149&gt;='TIF Loan Amortization'!$H$512,$C149&lt;='TIF Loan Amortization'!I$512),'TIF Loan Amortization'!$G$512,IF(AND($C149&gt;='TIF Loan Amortization'!$H$513,$C149&lt;='TIF Loan Amortization'!I$513),'TIF Loan Amortization'!$G$513,IF(AND($C149&gt;='TIF Loan Amortization'!$H$514,$C149&lt;='TIF Loan Amortization'!I$514),'TIF Loan Amortization'!$G$514,IF(AND($C149&gt;='TIF Loan Amortization'!$H$515,$C149&lt;='TIF Loan Amortization'!I$515),'TIF Loan Amortization'!$G$515,IF(AND($C149&gt;='TIF Loan Amortization'!$H$516,$C149&lt;='TIF Loan Amortization'!I$516),'TIF Loan Amortization'!$G$516,IF(AND($C149&gt;='TIF Loan Amortization'!$H$517,$C149&lt;='TIF Loan Amortization'!I$517),'TIF Loan Amortization'!$G$517,IF(AND($C149&gt;='TIF Loan Amortization'!$H$518,$C149&lt;='TIF Loan Amortization'!I$518),'TIF Loan Amortization'!$G$518,IF(AND($C149&gt;='TIF Loan Amortization'!$H$519,$C149&lt;='TIF Loan Amortization'!I$519),'TIF Loan Amortization'!$G$519))))))))))))))))))))))))))))))))))))))))</f>
        <v>#N/A</v>
      </c>
      <c r="C149" s="269" t="e">
        <f t="shared" si="23"/>
        <v>#N/A</v>
      </c>
      <c r="D149" s="281" t="str">
        <f>IF($AG$425=1,$H$10+9,"")</f>
        <v/>
      </c>
      <c r="E149" s="274">
        <v>99</v>
      </c>
      <c r="F149" s="275" t="str">
        <f>VLOOKUP($AG$425,$AE$422:$AF$433,2)</f>
        <v>Jun</v>
      </c>
      <c r="G149" s="272">
        <f t="shared" si="24"/>
        <v>0</v>
      </c>
      <c r="H149" s="272">
        <f t="shared" si="27"/>
        <v>0</v>
      </c>
      <c r="I149" s="272">
        <f t="shared" si="28"/>
        <v>0</v>
      </c>
      <c r="J149" s="272">
        <f t="shared" si="25"/>
        <v>0</v>
      </c>
      <c r="K149" s="272">
        <f>IF(ISTEXT($M$4),"",SUM(I$50:I149))</f>
        <v>0</v>
      </c>
      <c r="L149" s="272">
        <f>IF(ISTEXT($M$4),"",SUM(J$50:J149))</f>
        <v>0</v>
      </c>
      <c r="M149" s="271">
        <f t="shared" si="26"/>
        <v>0</v>
      </c>
      <c r="N149" s="291" t="e">
        <f>IF(C149='Operating Assumptions'!$C$48,"Construction Finish","")</f>
        <v>#N/A</v>
      </c>
      <c r="O149" s="291"/>
      <c r="P149" s="291"/>
      <c r="Q149" s="291"/>
      <c r="R149" s="291"/>
      <c r="S149" s="291"/>
      <c r="T149" s="291"/>
      <c r="U149" s="291"/>
      <c r="V149" s="292"/>
      <c r="W149" s="292"/>
      <c r="X149" s="292"/>
      <c r="Y149" s="291"/>
      <c r="Z149" s="279"/>
      <c r="AA149" s="279"/>
      <c r="AB149" s="279"/>
    </row>
    <row r="150" spans="2:28" s="278" customFormat="1" ht="11.65" hidden="1" customHeight="1" outlineLevel="1" x14ac:dyDescent="0.25">
      <c r="B150" s="270" t="e">
        <f>IF(AND($C150&gt;='TIF Loan Amortization'!$H$480,$C150&lt;='TIF Loan Amortization'!$I$480),'TIF Loan Amortization'!$G$480,IF(AND($C150&gt;='TIF Loan Amortization'!$H$481,$C150&lt;='TIF Loan Amortization'!I$481),'TIF Loan Amortization'!$G$481,IF(AND($C150&gt;='TIF Loan Amortization'!$H$482,$C150&lt;='TIF Loan Amortization'!I$482),'TIF Loan Amortization'!$G$482,IF(AND($C150&gt;='TIF Loan Amortization'!$H$483,$C150&lt;='TIF Loan Amortization'!I$483),'TIF Loan Amortization'!$G$483,IF(AND($C150&gt;='TIF Loan Amortization'!$H$484,$C150&lt;='TIF Loan Amortization'!I$484),'TIF Loan Amortization'!$G$484,IF(AND($C150&gt;='TIF Loan Amortization'!$H$485,$C150&lt;='TIF Loan Amortization'!I$485),'TIF Loan Amortization'!$G$485,IF(AND($C150&gt;='TIF Loan Amortization'!$H$486,$C150&lt;='TIF Loan Amortization'!I$486),'TIF Loan Amortization'!$G$486,IF(AND($C150&gt;='TIF Loan Amortization'!$H$487,$C150&lt;='TIF Loan Amortization'!I$487),'TIF Loan Amortization'!$G$487,IF(AND($C150&gt;='TIF Loan Amortization'!$H$488,$C150&lt;='TIF Loan Amortization'!I$488),'TIF Loan Amortization'!$G$488,IF(AND($C150&gt;='TIF Loan Amortization'!$H$489,$C150&lt;='TIF Loan Amortization'!I$489),'TIF Loan Amortization'!$G$489,IF(AND($C150&gt;='TIF Loan Amortization'!$H$490,$C150&lt;='TIF Loan Amortization'!I$490),'TIF Loan Amortization'!$G$490,IF(AND($C150&gt;='TIF Loan Amortization'!$H$491,$C150&lt;='TIF Loan Amortization'!I$491),'TIF Loan Amortization'!$G$491,IF(AND($C150&gt;='TIF Loan Amortization'!$H$492,$C150&lt;='TIF Loan Amortization'!I$492),'TIF Loan Amortization'!$G$492,IF(AND($C150&gt;='TIF Loan Amortization'!$H$493,$C150&lt;='TIF Loan Amortization'!I$493),'TIF Loan Amortization'!$G$493,IF(AND($C150&gt;='TIF Loan Amortization'!$H$494,$C150&lt;='TIF Loan Amortization'!I$494),'TIF Loan Amortization'!$G$494,IF(AND($C150&gt;='TIF Loan Amortization'!$H$495,$C150&lt;='TIF Loan Amortization'!I$495),'TIF Loan Amortization'!$G$495,IF(AND($C150&gt;='TIF Loan Amortization'!$H$496,$C150&lt;='TIF Loan Amortization'!I$496),'TIF Loan Amortization'!$G$496,IF(AND($C150&gt;='TIF Loan Amortization'!$H$497,$C150&lt;='TIF Loan Amortization'!I$497),'TIF Loan Amortization'!$G$497,IF(AND($C150&gt;='TIF Loan Amortization'!$H$498,$C150&lt;='TIF Loan Amortization'!I$498),'TIF Loan Amortization'!$G$498,IF(AND($C150&gt;='TIF Loan Amortization'!$H$499,$C150&lt;='TIF Loan Amortization'!I$499),'TIF Loan Amortization'!$G$499,IF(AND($C150&gt;='TIF Loan Amortization'!$H$500,$C150&lt;='TIF Loan Amortization'!I$500),'TIF Loan Amortization'!$G$500,IF(AND($C150&gt;='TIF Loan Amortization'!$H$501,$C150&lt;='TIF Loan Amortization'!I$501),'TIF Loan Amortization'!$G$501,IF(AND($C150&gt;='TIF Loan Amortization'!$H$502,$C150&lt;='TIF Loan Amortization'!I$502),'TIF Loan Amortization'!$G$502,IF(AND($C150&gt;='TIF Loan Amortization'!$H$503,$C150&lt;='TIF Loan Amortization'!I$503),'TIF Loan Amortization'!$G$503,IF(AND($C150&gt;='TIF Loan Amortization'!$H$504,$C150&lt;='TIF Loan Amortization'!I$504),'TIF Loan Amortization'!$G$504,IF(AND($C150&gt;='TIF Loan Amortization'!$H$505,$C150&lt;='TIF Loan Amortization'!I$505),'TIF Loan Amortization'!$G$505,IF(AND($C150&gt;='TIF Loan Amortization'!$H$506,$C150&lt;='TIF Loan Amortization'!I$506),'TIF Loan Amortization'!$G$506,IF(AND($C150&gt;='TIF Loan Amortization'!$H$507,$C150&lt;='TIF Loan Amortization'!I$507),'TIF Loan Amortization'!$G$507,IF(AND($C150&gt;='TIF Loan Amortization'!$H$508,$C150&lt;='TIF Loan Amortization'!I$508),'TIF Loan Amortization'!$G$508,IF(AND($C150&gt;='TIF Loan Amortization'!$H$509,$C150&lt;='TIF Loan Amortization'!I$509),'TIF Loan Amortization'!$G$509,IF(AND($C150&gt;='TIF Loan Amortization'!$H$510,$C150&lt;='TIF Loan Amortization'!I$510),'TIF Loan Amortization'!$G$510,IF(AND($C150&gt;='TIF Loan Amortization'!$H$511,$C150&lt;='TIF Loan Amortization'!I$511),'TIF Loan Amortization'!$G$511,IF(AND($C150&gt;='TIF Loan Amortization'!$H$512,$C150&lt;='TIF Loan Amortization'!I$512),'TIF Loan Amortization'!$G$512,IF(AND($C150&gt;='TIF Loan Amortization'!$H$513,$C150&lt;='TIF Loan Amortization'!I$513),'TIF Loan Amortization'!$G$513,IF(AND($C150&gt;='TIF Loan Amortization'!$H$514,$C150&lt;='TIF Loan Amortization'!I$514),'TIF Loan Amortization'!$G$514,IF(AND($C150&gt;='TIF Loan Amortization'!$H$515,$C150&lt;='TIF Loan Amortization'!I$515),'TIF Loan Amortization'!$G$515,IF(AND($C150&gt;='TIF Loan Amortization'!$H$516,$C150&lt;='TIF Loan Amortization'!I$516),'TIF Loan Amortization'!$G$516,IF(AND($C150&gt;='TIF Loan Amortization'!$H$517,$C150&lt;='TIF Loan Amortization'!I$517),'TIF Loan Amortization'!$G$517,IF(AND($C150&gt;='TIF Loan Amortization'!$H$518,$C150&lt;='TIF Loan Amortization'!I$518),'TIF Loan Amortization'!$G$518,IF(AND($C150&gt;='TIF Loan Amortization'!$H$519,$C150&lt;='TIF Loan Amortization'!I$519),'TIF Loan Amortization'!$G$519))))))))))))))))))))))))))))))))))))))))</f>
        <v>#N/A</v>
      </c>
      <c r="C150" s="269" t="e">
        <f t="shared" si="23"/>
        <v>#N/A</v>
      </c>
      <c r="D150" s="281" t="str">
        <f>IF($AG$426=1,$H$10+9,"")</f>
        <v/>
      </c>
      <c r="E150" s="274">
        <v>100</v>
      </c>
      <c r="F150" s="275" t="str">
        <f>VLOOKUP($AG$426,$AE$422:$AF$433,2)</f>
        <v>Jul</v>
      </c>
      <c r="G150" s="272">
        <f t="shared" si="24"/>
        <v>0</v>
      </c>
      <c r="H150" s="272">
        <f t="shared" si="27"/>
        <v>0</v>
      </c>
      <c r="I150" s="272">
        <f t="shared" si="28"/>
        <v>0</v>
      </c>
      <c r="J150" s="272">
        <f t="shared" si="25"/>
        <v>0</v>
      </c>
      <c r="K150" s="272">
        <f>IF(ISTEXT($M$4),"",SUM(I$50:I150))</f>
        <v>0</v>
      </c>
      <c r="L150" s="272">
        <f>IF(ISTEXT($M$4),"",SUM(J$50:J150))</f>
        <v>0</v>
      </c>
      <c r="M150" s="271">
        <f t="shared" si="26"/>
        <v>0</v>
      </c>
      <c r="N150" s="291" t="e">
        <f>IF(C150='Operating Assumptions'!$C$48,"Construction Finish","")</f>
        <v>#N/A</v>
      </c>
      <c r="O150" s="291"/>
      <c r="P150" s="291"/>
      <c r="Q150" s="291"/>
      <c r="R150" s="291"/>
      <c r="S150" s="291"/>
      <c r="T150" s="291"/>
      <c r="U150" s="291"/>
      <c r="V150" s="292"/>
      <c r="W150" s="292"/>
      <c r="X150" s="292"/>
      <c r="Y150" s="291"/>
      <c r="Z150" s="279"/>
      <c r="AA150" s="279"/>
      <c r="AB150" s="279"/>
    </row>
    <row r="151" spans="2:28" s="278" customFormat="1" ht="11.65" hidden="1" customHeight="1" outlineLevel="1" x14ac:dyDescent="0.25">
      <c r="B151" s="270" t="e">
        <f>IF(AND($C151&gt;='TIF Loan Amortization'!$H$480,$C151&lt;='TIF Loan Amortization'!$I$480),'TIF Loan Amortization'!$G$480,IF(AND($C151&gt;='TIF Loan Amortization'!$H$481,$C151&lt;='TIF Loan Amortization'!I$481),'TIF Loan Amortization'!$G$481,IF(AND($C151&gt;='TIF Loan Amortization'!$H$482,$C151&lt;='TIF Loan Amortization'!I$482),'TIF Loan Amortization'!$G$482,IF(AND($C151&gt;='TIF Loan Amortization'!$H$483,$C151&lt;='TIF Loan Amortization'!I$483),'TIF Loan Amortization'!$G$483,IF(AND($C151&gt;='TIF Loan Amortization'!$H$484,$C151&lt;='TIF Loan Amortization'!I$484),'TIF Loan Amortization'!$G$484,IF(AND($C151&gt;='TIF Loan Amortization'!$H$485,$C151&lt;='TIF Loan Amortization'!I$485),'TIF Loan Amortization'!$G$485,IF(AND($C151&gt;='TIF Loan Amortization'!$H$486,$C151&lt;='TIF Loan Amortization'!I$486),'TIF Loan Amortization'!$G$486,IF(AND($C151&gt;='TIF Loan Amortization'!$H$487,$C151&lt;='TIF Loan Amortization'!I$487),'TIF Loan Amortization'!$G$487,IF(AND($C151&gt;='TIF Loan Amortization'!$H$488,$C151&lt;='TIF Loan Amortization'!I$488),'TIF Loan Amortization'!$G$488,IF(AND($C151&gt;='TIF Loan Amortization'!$H$489,$C151&lt;='TIF Loan Amortization'!I$489),'TIF Loan Amortization'!$G$489,IF(AND($C151&gt;='TIF Loan Amortization'!$H$490,$C151&lt;='TIF Loan Amortization'!I$490),'TIF Loan Amortization'!$G$490,IF(AND($C151&gt;='TIF Loan Amortization'!$H$491,$C151&lt;='TIF Loan Amortization'!I$491),'TIF Loan Amortization'!$G$491,IF(AND($C151&gt;='TIF Loan Amortization'!$H$492,$C151&lt;='TIF Loan Amortization'!I$492),'TIF Loan Amortization'!$G$492,IF(AND($C151&gt;='TIF Loan Amortization'!$H$493,$C151&lt;='TIF Loan Amortization'!I$493),'TIF Loan Amortization'!$G$493,IF(AND($C151&gt;='TIF Loan Amortization'!$H$494,$C151&lt;='TIF Loan Amortization'!I$494),'TIF Loan Amortization'!$G$494,IF(AND($C151&gt;='TIF Loan Amortization'!$H$495,$C151&lt;='TIF Loan Amortization'!I$495),'TIF Loan Amortization'!$G$495,IF(AND($C151&gt;='TIF Loan Amortization'!$H$496,$C151&lt;='TIF Loan Amortization'!I$496),'TIF Loan Amortization'!$G$496,IF(AND($C151&gt;='TIF Loan Amortization'!$H$497,$C151&lt;='TIF Loan Amortization'!I$497),'TIF Loan Amortization'!$G$497,IF(AND($C151&gt;='TIF Loan Amortization'!$H$498,$C151&lt;='TIF Loan Amortization'!I$498),'TIF Loan Amortization'!$G$498,IF(AND($C151&gt;='TIF Loan Amortization'!$H$499,$C151&lt;='TIF Loan Amortization'!I$499),'TIF Loan Amortization'!$G$499,IF(AND($C151&gt;='TIF Loan Amortization'!$H$500,$C151&lt;='TIF Loan Amortization'!I$500),'TIF Loan Amortization'!$G$500,IF(AND($C151&gt;='TIF Loan Amortization'!$H$501,$C151&lt;='TIF Loan Amortization'!I$501),'TIF Loan Amortization'!$G$501,IF(AND($C151&gt;='TIF Loan Amortization'!$H$502,$C151&lt;='TIF Loan Amortization'!I$502),'TIF Loan Amortization'!$G$502,IF(AND($C151&gt;='TIF Loan Amortization'!$H$503,$C151&lt;='TIF Loan Amortization'!I$503),'TIF Loan Amortization'!$G$503,IF(AND($C151&gt;='TIF Loan Amortization'!$H$504,$C151&lt;='TIF Loan Amortization'!I$504),'TIF Loan Amortization'!$G$504,IF(AND($C151&gt;='TIF Loan Amortization'!$H$505,$C151&lt;='TIF Loan Amortization'!I$505),'TIF Loan Amortization'!$G$505,IF(AND($C151&gt;='TIF Loan Amortization'!$H$506,$C151&lt;='TIF Loan Amortization'!I$506),'TIF Loan Amortization'!$G$506,IF(AND($C151&gt;='TIF Loan Amortization'!$H$507,$C151&lt;='TIF Loan Amortization'!I$507),'TIF Loan Amortization'!$G$507,IF(AND($C151&gt;='TIF Loan Amortization'!$H$508,$C151&lt;='TIF Loan Amortization'!I$508),'TIF Loan Amortization'!$G$508,IF(AND($C151&gt;='TIF Loan Amortization'!$H$509,$C151&lt;='TIF Loan Amortization'!I$509),'TIF Loan Amortization'!$G$509,IF(AND($C151&gt;='TIF Loan Amortization'!$H$510,$C151&lt;='TIF Loan Amortization'!I$510),'TIF Loan Amortization'!$G$510,IF(AND($C151&gt;='TIF Loan Amortization'!$H$511,$C151&lt;='TIF Loan Amortization'!I$511),'TIF Loan Amortization'!$G$511,IF(AND($C151&gt;='TIF Loan Amortization'!$H$512,$C151&lt;='TIF Loan Amortization'!I$512),'TIF Loan Amortization'!$G$512,IF(AND($C151&gt;='TIF Loan Amortization'!$H$513,$C151&lt;='TIF Loan Amortization'!I$513),'TIF Loan Amortization'!$G$513,IF(AND($C151&gt;='TIF Loan Amortization'!$H$514,$C151&lt;='TIF Loan Amortization'!I$514),'TIF Loan Amortization'!$G$514,IF(AND($C151&gt;='TIF Loan Amortization'!$H$515,$C151&lt;='TIF Loan Amortization'!I$515),'TIF Loan Amortization'!$G$515,IF(AND($C151&gt;='TIF Loan Amortization'!$H$516,$C151&lt;='TIF Loan Amortization'!I$516),'TIF Loan Amortization'!$G$516,IF(AND($C151&gt;='TIF Loan Amortization'!$H$517,$C151&lt;='TIF Loan Amortization'!I$517),'TIF Loan Amortization'!$G$517,IF(AND($C151&gt;='TIF Loan Amortization'!$H$518,$C151&lt;='TIF Loan Amortization'!I$518),'TIF Loan Amortization'!$G$518,IF(AND($C151&gt;='TIF Loan Amortization'!$H$519,$C151&lt;='TIF Loan Amortization'!I$519),'TIF Loan Amortization'!$G$519))))))))))))))))))))))))))))))))))))))))</f>
        <v>#N/A</v>
      </c>
      <c r="C151" s="269" t="e">
        <f t="shared" si="23"/>
        <v>#N/A</v>
      </c>
      <c r="D151" s="281" t="str">
        <f>IF($AG$427=1,$H$10+9,"")</f>
        <v/>
      </c>
      <c r="E151" s="274">
        <v>101</v>
      </c>
      <c r="F151" s="275" t="str">
        <f>VLOOKUP($AG$427,$AE$422:$AF$433,2)</f>
        <v>Aug</v>
      </c>
      <c r="G151" s="272">
        <f t="shared" si="24"/>
        <v>0</v>
      </c>
      <c r="H151" s="272">
        <f t="shared" si="27"/>
        <v>0</v>
      </c>
      <c r="I151" s="272">
        <f t="shared" si="28"/>
        <v>0</v>
      </c>
      <c r="J151" s="272">
        <f t="shared" si="25"/>
        <v>0</v>
      </c>
      <c r="K151" s="272">
        <f>IF(ISTEXT($M$4),"",SUM(I$50:I151))</f>
        <v>0</v>
      </c>
      <c r="L151" s="272">
        <f>IF(ISTEXT($M$4),"",SUM(J$50:J151))</f>
        <v>0</v>
      </c>
      <c r="M151" s="271">
        <f t="shared" si="26"/>
        <v>0</v>
      </c>
      <c r="N151" s="291" t="e">
        <f>IF(C151='Operating Assumptions'!$C$48,"Construction Finish","")</f>
        <v>#N/A</v>
      </c>
      <c r="O151" s="291"/>
      <c r="P151" s="291"/>
      <c r="Q151" s="291"/>
      <c r="R151" s="291"/>
      <c r="S151" s="291"/>
      <c r="T151" s="291"/>
      <c r="U151" s="291"/>
      <c r="V151" s="292"/>
      <c r="W151" s="292"/>
      <c r="X151" s="292"/>
      <c r="Y151" s="291"/>
      <c r="Z151" s="279"/>
      <c r="AA151" s="279"/>
      <c r="AB151" s="279"/>
    </row>
    <row r="152" spans="2:28" s="278" customFormat="1" ht="11.65" hidden="1" customHeight="1" outlineLevel="1" x14ac:dyDescent="0.25">
      <c r="B152" s="270" t="e">
        <f>IF(AND($C152&gt;='TIF Loan Amortization'!$H$480,$C152&lt;='TIF Loan Amortization'!$I$480),'TIF Loan Amortization'!$G$480,IF(AND($C152&gt;='TIF Loan Amortization'!$H$481,$C152&lt;='TIF Loan Amortization'!I$481),'TIF Loan Amortization'!$G$481,IF(AND($C152&gt;='TIF Loan Amortization'!$H$482,$C152&lt;='TIF Loan Amortization'!I$482),'TIF Loan Amortization'!$G$482,IF(AND($C152&gt;='TIF Loan Amortization'!$H$483,$C152&lt;='TIF Loan Amortization'!I$483),'TIF Loan Amortization'!$G$483,IF(AND($C152&gt;='TIF Loan Amortization'!$H$484,$C152&lt;='TIF Loan Amortization'!I$484),'TIF Loan Amortization'!$G$484,IF(AND($C152&gt;='TIF Loan Amortization'!$H$485,$C152&lt;='TIF Loan Amortization'!I$485),'TIF Loan Amortization'!$G$485,IF(AND($C152&gt;='TIF Loan Amortization'!$H$486,$C152&lt;='TIF Loan Amortization'!I$486),'TIF Loan Amortization'!$G$486,IF(AND($C152&gt;='TIF Loan Amortization'!$H$487,$C152&lt;='TIF Loan Amortization'!I$487),'TIF Loan Amortization'!$G$487,IF(AND($C152&gt;='TIF Loan Amortization'!$H$488,$C152&lt;='TIF Loan Amortization'!I$488),'TIF Loan Amortization'!$G$488,IF(AND($C152&gt;='TIF Loan Amortization'!$H$489,$C152&lt;='TIF Loan Amortization'!I$489),'TIF Loan Amortization'!$G$489,IF(AND($C152&gt;='TIF Loan Amortization'!$H$490,$C152&lt;='TIF Loan Amortization'!I$490),'TIF Loan Amortization'!$G$490,IF(AND($C152&gt;='TIF Loan Amortization'!$H$491,$C152&lt;='TIF Loan Amortization'!I$491),'TIF Loan Amortization'!$G$491,IF(AND($C152&gt;='TIF Loan Amortization'!$H$492,$C152&lt;='TIF Loan Amortization'!I$492),'TIF Loan Amortization'!$G$492,IF(AND($C152&gt;='TIF Loan Amortization'!$H$493,$C152&lt;='TIF Loan Amortization'!I$493),'TIF Loan Amortization'!$G$493,IF(AND($C152&gt;='TIF Loan Amortization'!$H$494,$C152&lt;='TIF Loan Amortization'!I$494),'TIF Loan Amortization'!$G$494,IF(AND($C152&gt;='TIF Loan Amortization'!$H$495,$C152&lt;='TIF Loan Amortization'!I$495),'TIF Loan Amortization'!$G$495,IF(AND($C152&gt;='TIF Loan Amortization'!$H$496,$C152&lt;='TIF Loan Amortization'!I$496),'TIF Loan Amortization'!$G$496,IF(AND($C152&gt;='TIF Loan Amortization'!$H$497,$C152&lt;='TIF Loan Amortization'!I$497),'TIF Loan Amortization'!$G$497,IF(AND($C152&gt;='TIF Loan Amortization'!$H$498,$C152&lt;='TIF Loan Amortization'!I$498),'TIF Loan Amortization'!$G$498,IF(AND($C152&gt;='TIF Loan Amortization'!$H$499,$C152&lt;='TIF Loan Amortization'!I$499),'TIF Loan Amortization'!$G$499,IF(AND($C152&gt;='TIF Loan Amortization'!$H$500,$C152&lt;='TIF Loan Amortization'!I$500),'TIF Loan Amortization'!$G$500,IF(AND($C152&gt;='TIF Loan Amortization'!$H$501,$C152&lt;='TIF Loan Amortization'!I$501),'TIF Loan Amortization'!$G$501,IF(AND($C152&gt;='TIF Loan Amortization'!$H$502,$C152&lt;='TIF Loan Amortization'!I$502),'TIF Loan Amortization'!$G$502,IF(AND($C152&gt;='TIF Loan Amortization'!$H$503,$C152&lt;='TIF Loan Amortization'!I$503),'TIF Loan Amortization'!$G$503,IF(AND($C152&gt;='TIF Loan Amortization'!$H$504,$C152&lt;='TIF Loan Amortization'!I$504),'TIF Loan Amortization'!$G$504,IF(AND($C152&gt;='TIF Loan Amortization'!$H$505,$C152&lt;='TIF Loan Amortization'!I$505),'TIF Loan Amortization'!$G$505,IF(AND($C152&gt;='TIF Loan Amortization'!$H$506,$C152&lt;='TIF Loan Amortization'!I$506),'TIF Loan Amortization'!$G$506,IF(AND($C152&gt;='TIF Loan Amortization'!$H$507,$C152&lt;='TIF Loan Amortization'!I$507),'TIF Loan Amortization'!$G$507,IF(AND($C152&gt;='TIF Loan Amortization'!$H$508,$C152&lt;='TIF Loan Amortization'!I$508),'TIF Loan Amortization'!$G$508,IF(AND($C152&gt;='TIF Loan Amortization'!$H$509,$C152&lt;='TIF Loan Amortization'!I$509),'TIF Loan Amortization'!$G$509,IF(AND($C152&gt;='TIF Loan Amortization'!$H$510,$C152&lt;='TIF Loan Amortization'!I$510),'TIF Loan Amortization'!$G$510,IF(AND($C152&gt;='TIF Loan Amortization'!$H$511,$C152&lt;='TIF Loan Amortization'!I$511),'TIF Loan Amortization'!$G$511,IF(AND($C152&gt;='TIF Loan Amortization'!$H$512,$C152&lt;='TIF Loan Amortization'!I$512),'TIF Loan Amortization'!$G$512,IF(AND($C152&gt;='TIF Loan Amortization'!$H$513,$C152&lt;='TIF Loan Amortization'!I$513),'TIF Loan Amortization'!$G$513,IF(AND($C152&gt;='TIF Loan Amortization'!$H$514,$C152&lt;='TIF Loan Amortization'!I$514),'TIF Loan Amortization'!$G$514,IF(AND($C152&gt;='TIF Loan Amortization'!$H$515,$C152&lt;='TIF Loan Amortization'!I$515),'TIF Loan Amortization'!$G$515,IF(AND($C152&gt;='TIF Loan Amortization'!$H$516,$C152&lt;='TIF Loan Amortization'!I$516),'TIF Loan Amortization'!$G$516,IF(AND($C152&gt;='TIF Loan Amortization'!$H$517,$C152&lt;='TIF Loan Amortization'!I$517),'TIF Loan Amortization'!$G$517,IF(AND($C152&gt;='TIF Loan Amortization'!$H$518,$C152&lt;='TIF Loan Amortization'!I$518),'TIF Loan Amortization'!$G$518,IF(AND($C152&gt;='TIF Loan Amortization'!$H$519,$C152&lt;='TIF Loan Amortization'!I$519),'TIF Loan Amortization'!$G$519))))))))))))))))))))))))))))))))))))))))</f>
        <v>#N/A</v>
      </c>
      <c r="C152" s="269" t="e">
        <f t="shared" si="23"/>
        <v>#N/A</v>
      </c>
      <c r="D152" s="281" t="str">
        <f>IF($AG$428=1,$H$10+9,"")</f>
        <v/>
      </c>
      <c r="E152" s="274">
        <v>102</v>
      </c>
      <c r="F152" s="275" t="str">
        <f>VLOOKUP($AG$428,$AE$422:$AF$433,2)</f>
        <v>Sep</v>
      </c>
      <c r="G152" s="272">
        <f t="shared" si="24"/>
        <v>0</v>
      </c>
      <c r="H152" s="272">
        <f t="shared" si="27"/>
        <v>0</v>
      </c>
      <c r="I152" s="272">
        <f t="shared" si="28"/>
        <v>0</v>
      </c>
      <c r="J152" s="272">
        <f t="shared" si="25"/>
        <v>0</v>
      </c>
      <c r="K152" s="272">
        <f>IF(ISTEXT($M$4),"",SUM(I$50:I152))</f>
        <v>0</v>
      </c>
      <c r="L152" s="272">
        <f>IF(ISTEXT($M$4),"",SUM(J$50:J152))</f>
        <v>0</v>
      </c>
      <c r="M152" s="271">
        <f t="shared" si="26"/>
        <v>0</v>
      </c>
      <c r="N152" s="291" t="e">
        <f>IF(C152='Operating Assumptions'!$C$48,"Construction Finish","")</f>
        <v>#N/A</v>
      </c>
      <c r="O152" s="291"/>
      <c r="P152" s="291"/>
      <c r="Q152" s="291"/>
      <c r="R152" s="291"/>
      <c r="S152" s="291"/>
      <c r="T152" s="291"/>
      <c r="U152" s="291"/>
      <c r="V152" s="292"/>
      <c r="W152" s="292"/>
      <c r="X152" s="292"/>
      <c r="Y152" s="291"/>
      <c r="Z152" s="279"/>
      <c r="AA152" s="279"/>
      <c r="AB152" s="279"/>
    </row>
    <row r="153" spans="2:28" s="278" customFormat="1" ht="11.65" hidden="1" customHeight="1" outlineLevel="1" x14ac:dyDescent="0.25">
      <c r="B153" s="270" t="e">
        <f>IF(AND($C153&gt;='TIF Loan Amortization'!$H$480,$C153&lt;='TIF Loan Amortization'!$I$480),'TIF Loan Amortization'!$G$480,IF(AND($C153&gt;='TIF Loan Amortization'!$H$481,$C153&lt;='TIF Loan Amortization'!I$481),'TIF Loan Amortization'!$G$481,IF(AND($C153&gt;='TIF Loan Amortization'!$H$482,$C153&lt;='TIF Loan Amortization'!I$482),'TIF Loan Amortization'!$G$482,IF(AND($C153&gt;='TIF Loan Amortization'!$H$483,$C153&lt;='TIF Loan Amortization'!I$483),'TIF Loan Amortization'!$G$483,IF(AND($C153&gt;='TIF Loan Amortization'!$H$484,$C153&lt;='TIF Loan Amortization'!I$484),'TIF Loan Amortization'!$G$484,IF(AND($C153&gt;='TIF Loan Amortization'!$H$485,$C153&lt;='TIF Loan Amortization'!I$485),'TIF Loan Amortization'!$G$485,IF(AND($C153&gt;='TIF Loan Amortization'!$H$486,$C153&lt;='TIF Loan Amortization'!I$486),'TIF Loan Amortization'!$G$486,IF(AND($C153&gt;='TIF Loan Amortization'!$H$487,$C153&lt;='TIF Loan Amortization'!I$487),'TIF Loan Amortization'!$G$487,IF(AND($C153&gt;='TIF Loan Amortization'!$H$488,$C153&lt;='TIF Loan Amortization'!I$488),'TIF Loan Amortization'!$G$488,IF(AND($C153&gt;='TIF Loan Amortization'!$H$489,$C153&lt;='TIF Loan Amortization'!I$489),'TIF Loan Amortization'!$G$489,IF(AND($C153&gt;='TIF Loan Amortization'!$H$490,$C153&lt;='TIF Loan Amortization'!I$490),'TIF Loan Amortization'!$G$490,IF(AND($C153&gt;='TIF Loan Amortization'!$H$491,$C153&lt;='TIF Loan Amortization'!I$491),'TIF Loan Amortization'!$G$491,IF(AND($C153&gt;='TIF Loan Amortization'!$H$492,$C153&lt;='TIF Loan Amortization'!I$492),'TIF Loan Amortization'!$G$492,IF(AND($C153&gt;='TIF Loan Amortization'!$H$493,$C153&lt;='TIF Loan Amortization'!I$493),'TIF Loan Amortization'!$G$493,IF(AND($C153&gt;='TIF Loan Amortization'!$H$494,$C153&lt;='TIF Loan Amortization'!I$494),'TIF Loan Amortization'!$G$494,IF(AND($C153&gt;='TIF Loan Amortization'!$H$495,$C153&lt;='TIF Loan Amortization'!I$495),'TIF Loan Amortization'!$G$495,IF(AND($C153&gt;='TIF Loan Amortization'!$H$496,$C153&lt;='TIF Loan Amortization'!I$496),'TIF Loan Amortization'!$G$496,IF(AND($C153&gt;='TIF Loan Amortization'!$H$497,$C153&lt;='TIF Loan Amortization'!I$497),'TIF Loan Amortization'!$G$497,IF(AND($C153&gt;='TIF Loan Amortization'!$H$498,$C153&lt;='TIF Loan Amortization'!I$498),'TIF Loan Amortization'!$G$498,IF(AND($C153&gt;='TIF Loan Amortization'!$H$499,$C153&lt;='TIF Loan Amortization'!I$499),'TIF Loan Amortization'!$G$499,IF(AND($C153&gt;='TIF Loan Amortization'!$H$500,$C153&lt;='TIF Loan Amortization'!I$500),'TIF Loan Amortization'!$G$500,IF(AND($C153&gt;='TIF Loan Amortization'!$H$501,$C153&lt;='TIF Loan Amortization'!I$501),'TIF Loan Amortization'!$G$501,IF(AND($C153&gt;='TIF Loan Amortization'!$H$502,$C153&lt;='TIF Loan Amortization'!I$502),'TIF Loan Amortization'!$G$502,IF(AND($C153&gt;='TIF Loan Amortization'!$H$503,$C153&lt;='TIF Loan Amortization'!I$503),'TIF Loan Amortization'!$G$503,IF(AND($C153&gt;='TIF Loan Amortization'!$H$504,$C153&lt;='TIF Loan Amortization'!I$504),'TIF Loan Amortization'!$G$504,IF(AND($C153&gt;='TIF Loan Amortization'!$H$505,$C153&lt;='TIF Loan Amortization'!I$505),'TIF Loan Amortization'!$G$505,IF(AND($C153&gt;='TIF Loan Amortization'!$H$506,$C153&lt;='TIF Loan Amortization'!I$506),'TIF Loan Amortization'!$G$506,IF(AND($C153&gt;='TIF Loan Amortization'!$H$507,$C153&lt;='TIF Loan Amortization'!I$507),'TIF Loan Amortization'!$G$507,IF(AND($C153&gt;='TIF Loan Amortization'!$H$508,$C153&lt;='TIF Loan Amortization'!I$508),'TIF Loan Amortization'!$G$508,IF(AND($C153&gt;='TIF Loan Amortization'!$H$509,$C153&lt;='TIF Loan Amortization'!I$509),'TIF Loan Amortization'!$G$509,IF(AND($C153&gt;='TIF Loan Amortization'!$H$510,$C153&lt;='TIF Loan Amortization'!I$510),'TIF Loan Amortization'!$G$510,IF(AND($C153&gt;='TIF Loan Amortization'!$H$511,$C153&lt;='TIF Loan Amortization'!I$511),'TIF Loan Amortization'!$G$511,IF(AND($C153&gt;='TIF Loan Amortization'!$H$512,$C153&lt;='TIF Loan Amortization'!I$512),'TIF Loan Amortization'!$G$512,IF(AND($C153&gt;='TIF Loan Amortization'!$H$513,$C153&lt;='TIF Loan Amortization'!I$513),'TIF Loan Amortization'!$G$513,IF(AND($C153&gt;='TIF Loan Amortization'!$H$514,$C153&lt;='TIF Loan Amortization'!I$514),'TIF Loan Amortization'!$G$514,IF(AND($C153&gt;='TIF Loan Amortization'!$H$515,$C153&lt;='TIF Loan Amortization'!I$515),'TIF Loan Amortization'!$G$515,IF(AND($C153&gt;='TIF Loan Amortization'!$H$516,$C153&lt;='TIF Loan Amortization'!I$516),'TIF Loan Amortization'!$G$516,IF(AND($C153&gt;='TIF Loan Amortization'!$H$517,$C153&lt;='TIF Loan Amortization'!I$517),'TIF Loan Amortization'!$G$517,IF(AND($C153&gt;='TIF Loan Amortization'!$H$518,$C153&lt;='TIF Loan Amortization'!I$518),'TIF Loan Amortization'!$G$518,IF(AND($C153&gt;='TIF Loan Amortization'!$H$519,$C153&lt;='TIF Loan Amortization'!I$519),'TIF Loan Amortization'!$G$519))))))))))))))))))))))))))))))))))))))))</f>
        <v>#N/A</v>
      </c>
      <c r="C153" s="269" t="e">
        <f t="shared" si="23"/>
        <v>#N/A</v>
      </c>
      <c r="D153" s="281" t="str">
        <f>IF($AG$429=1,$H$10+9,"")</f>
        <v/>
      </c>
      <c r="E153" s="274">
        <v>103</v>
      </c>
      <c r="F153" s="275" t="str">
        <f>VLOOKUP($AG$429,$AE$422:$AF$433,2)</f>
        <v>Oct</v>
      </c>
      <c r="G153" s="272">
        <f t="shared" si="24"/>
        <v>0</v>
      </c>
      <c r="H153" s="272">
        <f t="shared" si="27"/>
        <v>0</v>
      </c>
      <c r="I153" s="272">
        <f t="shared" si="28"/>
        <v>0</v>
      </c>
      <c r="J153" s="272">
        <f t="shared" si="25"/>
        <v>0</v>
      </c>
      <c r="K153" s="272">
        <f>IF(ISTEXT($M$4),"",SUM(I$50:I153))</f>
        <v>0</v>
      </c>
      <c r="L153" s="272">
        <f>IF(ISTEXT($M$4),"",SUM(J$50:J153))</f>
        <v>0</v>
      </c>
      <c r="M153" s="271">
        <f t="shared" si="26"/>
        <v>0</v>
      </c>
      <c r="N153" s="291" t="e">
        <f>IF(C153='Operating Assumptions'!$C$48,"Construction Finish","")</f>
        <v>#N/A</v>
      </c>
      <c r="O153" s="291"/>
      <c r="P153" s="291"/>
      <c r="Q153" s="291"/>
      <c r="R153" s="291"/>
      <c r="S153" s="291"/>
      <c r="T153" s="291"/>
      <c r="U153" s="291"/>
      <c r="V153" s="292"/>
      <c r="W153" s="292"/>
      <c r="X153" s="292"/>
      <c r="Y153" s="291"/>
      <c r="Z153" s="279"/>
      <c r="AA153" s="279"/>
      <c r="AB153" s="279"/>
    </row>
    <row r="154" spans="2:28" s="278" customFormat="1" ht="11.65" hidden="1" customHeight="1" outlineLevel="1" x14ac:dyDescent="0.25">
      <c r="B154" s="270" t="e">
        <f>IF(AND($C154&gt;='TIF Loan Amortization'!$H$480,$C154&lt;='TIF Loan Amortization'!$I$480),'TIF Loan Amortization'!$G$480,IF(AND($C154&gt;='TIF Loan Amortization'!$H$481,$C154&lt;='TIF Loan Amortization'!I$481),'TIF Loan Amortization'!$G$481,IF(AND($C154&gt;='TIF Loan Amortization'!$H$482,$C154&lt;='TIF Loan Amortization'!I$482),'TIF Loan Amortization'!$G$482,IF(AND($C154&gt;='TIF Loan Amortization'!$H$483,$C154&lt;='TIF Loan Amortization'!I$483),'TIF Loan Amortization'!$G$483,IF(AND($C154&gt;='TIF Loan Amortization'!$H$484,$C154&lt;='TIF Loan Amortization'!I$484),'TIF Loan Amortization'!$G$484,IF(AND($C154&gt;='TIF Loan Amortization'!$H$485,$C154&lt;='TIF Loan Amortization'!I$485),'TIF Loan Amortization'!$G$485,IF(AND($C154&gt;='TIF Loan Amortization'!$H$486,$C154&lt;='TIF Loan Amortization'!I$486),'TIF Loan Amortization'!$G$486,IF(AND($C154&gt;='TIF Loan Amortization'!$H$487,$C154&lt;='TIF Loan Amortization'!I$487),'TIF Loan Amortization'!$G$487,IF(AND($C154&gt;='TIF Loan Amortization'!$H$488,$C154&lt;='TIF Loan Amortization'!I$488),'TIF Loan Amortization'!$G$488,IF(AND($C154&gt;='TIF Loan Amortization'!$H$489,$C154&lt;='TIF Loan Amortization'!I$489),'TIF Loan Amortization'!$G$489,IF(AND($C154&gt;='TIF Loan Amortization'!$H$490,$C154&lt;='TIF Loan Amortization'!I$490),'TIF Loan Amortization'!$G$490,IF(AND($C154&gt;='TIF Loan Amortization'!$H$491,$C154&lt;='TIF Loan Amortization'!I$491),'TIF Loan Amortization'!$G$491,IF(AND($C154&gt;='TIF Loan Amortization'!$H$492,$C154&lt;='TIF Loan Amortization'!I$492),'TIF Loan Amortization'!$G$492,IF(AND($C154&gt;='TIF Loan Amortization'!$H$493,$C154&lt;='TIF Loan Amortization'!I$493),'TIF Loan Amortization'!$G$493,IF(AND($C154&gt;='TIF Loan Amortization'!$H$494,$C154&lt;='TIF Loan Amortization'!I$494),'TIF Loan Amortization'!$G$494,IF(AND($C154&gt;='TIF Loan Amortization'!$H$495,$C154&lt;='TIF Loan Amortization'!I$495),'TIF Loan Amortization'!$G$495,IF(AND($C154&gt;='TIF Loan Amortization'!$H$496,$C154&lt;='TIF Loan Amortization'!I$496),'TIF Loan Amortization'!$G$496,IF(AND($C154&gt;='TIF Loan Amortization'!$H$497,$C154&lt;='TIF Loan Amortization'!I$497),'TIF Loan Amortization'!$G$497,IF(AND($C154&gt;='TIF Loan Amortization'!$H$498,$C154&lt;='TIF Loan Amortization'!I$498),'TIF Loan Amortization'!$G$498,IF(AND($C154&gt;='TIF Loan Amortization'!$H$499,$C154&lt;='TIF Loan Amortization'!I$499),'TIF Loan Amortization'!$G$499,IF(AND($C154&gt;='TIF Loan Amortization'!$H$500,$C154&lt;='TIF Loan Amortization'!I$500),'TIF Loan Amortization'!$G$500,IF(AND($C154&gt;='TIF Loan Amortization'!$H$501,$C154&lt;='TIF Loan Amortization'!I$501),'TIF Loan Amortization'!$G$501,IF(AND($C154&gt;='TIF Loan Amortization'!$H$502,$C154&lt;='TIF Loan Amortization'!I$502),'TIF Loan Amortization'!$G$502,IF(AND($C154&gt;='TIF Loan Amortization'!$H$503,$C154&lt;='TIF Loan Amortization'!I$503),'TIF Loan Amortization'!$G$503,IF(AND($C154&gt;='TIF Loan Amortization'!$H$504,$C154&lt;='TIF Loan Amortization'!I$504),'TIF Loan Amortization'!$G$504,IF(AND($C154&gt;='TIF Loan Amortization'!$H$505,$C154&lt;='TIF Loan Amortization'!I$505),'TIF Loan Amortization'!$G$505,IF(AND($C154&gt;='TIF Loan Amortization'!$H$506,$C154&lt;='TIF Loan Amortization'!I$506),'TIF Loan Amortization'!$G$506,IF(AND($C154&gt;='TIF Loan Amortization'!$H$507,$C154&lt;='TIF Loan Amortization'!I$507),'TIF Loan Amortization'!$G$507,IF(AND($C154&gt;='TIF Loan Amortization'!$H$508,$C154&lt;='TIF Loan Amortization'!I$508),'TIF Loan Amortization'!$G$508,IF(AND($C154&gt;='TIF Loan Amortization'!$H$509,$C154&lt;='TIF Loan Amortization'!I$509),'TIF Loan Amortization'!$G$509,IF(AND($C154&gt;='TIF Loan Amortization'!$H$510,$C154&lt;='TIF Loan Amortization'!I$510),'TIF Loan Amortization'!$G$510,IF(AND($C154&gt;='TIF Loan Amortization'!$H$511,$C154&lt;='TIF Loan Amortization'!I$511),'TIF Loan Amortization'!$G$511,IF(AND($C154&gt;='TIF Loan Amortization'!$H$512,$C154&lt;='TIF Loan Amortization'!I$512),'TIF Loan Amortization'!$G$512,IF(AND($C154&gt;='TIF Loan Amortization'!$H$513,$C154&lt;='TIF Loan Amortization'!I$513),'TIF Loan Amortization'!$G$513,IF(AND($C154&gt;='TIF Loan Amortization'!$H$514,$C154&lt;='TIF Loan Amortization'!I$514),'TIF Loan Amortization'!$G$514,IF(AND($C154&gt;='TIF Loan Amortization'!$H$515,$C154&lt;='TIF Loan Amortization'!I$515),'TIF Loan Amortization'!$G$515,IF(AND($C154&gt;='TIF Loan Amortization'!$H$516,$C154&lt;='TIF Loan Amortization'!I$516),'TIF Loan Amortization'!$G$516,IF(AND($C154&gt;='TIF Loan Amortization'!$H$517,$C154&lt;='TIF Loan Amortization'!I$517),'TIF Loan Amortization'!$G$517,IF(AND($C154&gt;='TIF Loan Amortization'!$H$518,$C154&lt;='TIF Loan Amortization'!I$518),'TIF Loan Amortization'!$G$518,IF(AND($C154&gt;='TIF Loan Amortization'!$H$519,$C154&lt;='TIF Loan Amortization'!I$519),'TIF Loan Amortization'!$G$519))))))))))))))))))))))))))))))))))))))))</f>
        <v>#N/A</v>
      </c>
      <c r="C154" s="269" t="e">
        <f t="shared" si="23"/>
        <v>#N/A</v>
      </c>
      <c r="D154" s="281" t="str">
        <f>IF($AG$430=1,$H$10+9,"")</f>
        <v/>
      </c>
      <c r="E154" s="274">
        <v>104</v>
      </c>
      <c r="F154" s="275" t="str">
        <f>VLOOKUP($AG$430,$AE$422:$AF$433,2)</f>
        <v>Nov</v>
      </c>
      <c r="G154" s="272">
        <f t="shared" si="24"/>
        <v>0</v>
      </c>
      <c r="H154" s="272">
        <f t="shared" si="27"/>
        <v>0</v>
      </c>
      <c r="I154" s="272">
        <f t="shared" si="28"/>
        <v>0</v>
      </c>
      <c r="J154" s="272">
        <f t="shared" si="25"/>
        <v>0</v>
      </c>
      <c r="K154" s="272">
        <f>IF(ISTEXT($M$4),"",SUM(I$50:I154))</f>
        <v>0</v>
      </c>
      <c r="L154" s="272">
        <f>IF(ISTEXT($M$4),"",SUM(J$50:J154))</f>
        <v>0</v>
      </c>
      <c r="M154" s="271">
        <f t="shared" si="26"/>
        <v>0</v>
      </c>
      <c r="N154" s="291" t="e">
        <f>IF(C154='Operating Assumptions'!$C$48,"Construction Finish","")</f>
        <v>#N/A</v>
      </c>
      <c r="O154" s="291"/>
      <c r="P154" s="291"/>
      <c r="Q154" s="291"/>
      <c r="R154" s="291"/>
      <c r="S154" s="291"/>
      <c r="T154" s="291"/>
      <c r="U154" s="291"/>
      <c r="V154" s="292"/>
      <c r="W154" s="292"/>
      <c r="X154" s="292"/>
      <c r="Y154" s="291"/>
      <c r="Z154" s="279"/>
      <c r="AA154" s="279"/>
      <c r="AB154" s="279"/>
    </row>
    <row r="155" spans="2:28" s="278" customFormat="1" ht="11.65" hidden="1" customHeight="1" outlineLevel="1" x14ac:dyDescent="0.25">
      <c r="B155" s="270" t="e">
        <f>IF(AND($C155&gt;='TIF Loan Amortization'!$H$480,$C155&lt;='TIF Loan Amortization'!$I$480),'TIF Loan Amortization'!$G$480,IF(AND($C155&gt;='TIF Loan Amortization'!$H$481,$C155&lt;='TIF Loan Amortization'!I$481),'TIF Loan Amortization'!$G$481,IF(AND($C155&gt;='TIF Loan Amortization'!$H$482,$C155&lt;='TIF Loan Amortization'!I$482),'TIF Loan Amortization'!$G$482,IF(AND($C155&gt;='TIF Loan Amortization'!$H$483,$C155&lt;='TIF Loan Amortization'!I$483),'TIF Loan Amortization'!$G$483,IF(AND($C155&gt;='TIF Loan Amortization'!$H$484,$C155&lt;='TIF Loan Amortization'!I$484),'TIF Loan Amortization'!$G$484,IF(AND($C155&gt;='TIF Loan Amortization'!$H$485,$C155&lt;='TIF Loan Amortization'!I$485),'TIF Loan Amortization'!$G$485,IF(AND($C155&gt;='TIF Loan Amortization'!$H$486,$C155&lt;='TIF Loan Amortization'!I$486),'TIF Loan Amortization'!$G$486,IF(AND($C155&gt;='TIF Loan Amortization'!$H$487,$C155&lt;='TIF Loan Amortization'!I$487),'TIF Loan Amortization'!$G$487,IF(AND($C155&gt;='TIF Loan Amortization'!$H$488,$C155&lt;='TIF Loan Amortization'!I$488),'TIF Loan Amortization'!$G$488,IF(AND($C155&gt;='TIF Loan Amortization'!$H$489,$C155&lt;='TIF Loan Amortization'!I$489),'TIF Loan Amortization'!$G$489,IF(AND($C155&gt;='TIF Loan Amortization'!$H$490,$C155&lt;='TIF Loan Amortization'!I$490),'TIF Loan Amortization'!$G$490,IF(AND($C155&gt;='TIF Loan Amortization'!$H$491,$C155&lt;='TIF Loan Amortization'!I$491),'TIF Loan Amortization'!$G$491,IF(AND($C155&gt;='TIF Loan Amortization'!$H$492,$C155&lt;='TIF Loan Amortization'!I$492),'TIF Loan Amortization'!$G$492,IF(AND($C155&gt;='TIF Loan Amortization'!$H$493,$C155&lt;='TIF Loan Amortization'!I$493),'TIF Loan Amortization'!$G$493,IF(AND($C155&gt;='TIF Loan Amortization'!$H$494,$C155&lt;='TIF Loan Amortization'!I$494),'TIF Loan Amortization'!$G$494,IF(AND($C155&gt;='TIF Loan Amortization'!$H$495,$C155&lt;='TIF Loan Amortization'!I$495),'TIF Loan Amortization'!$G$495,IF(AND($C155&gt;='TIF Loan Amortization'!$H$496,$C155&lt;='TIF Loan Amortization'!I$496),'TIF Loan Amortization'!$G$496,IF(AND($C155&gt;='TIF Loan Amortization'!$H$497,$C155&lt;='TIF Loan Amortization'!I$497),'TIF Loan Amortization'!$G$497,IF(AND($C155&gt;='TIF Loan Amortization'!$H$498,$C155&lt;='TIF Loan Amortization'!I$498),'TIF Loan Amortization'!$G$498,IF(AND($C155&gt;='TIF Loan Amortization'!$H$499,$C155&lt;='TIF Loan Amortization'!I$499),'TIF Loan Amortization'!$G$499,IF(AND($C155&gt;='TIF Loan Amortization'!$H$500,$C155&lt;='TIF Loan Amortization'!I$500),'TIF Loan Amortization'!$G$500,IF(AND($C155&gt;='TIF Loan Amortization'!$H$501,$C155&lt;='TIF Loan Amortization'!I$501),'TIF Loan Amortization'!$G$501,IF(AND($C155&gt;='TIF Loan Amortization'!$H$502,$C155&lt;='TIF Loan Amortization'!I$502),'TIF Loan Amortization'!$G$502,IF(AND($C155&gt;='TIF Loan Amortization'!$H$503,$C155&lt;='TIF Loan Amortization'!I$503),'TIF Loan Amortization'!$G$503,IF(AND($C155&gt;='TIF Loan Amortization'!$H$504,$C155&lt;='TIF Loan Amortization'!I$504),'TIF Loan Amortization'!$G$504,IF(AND($C155&gt;='TIF Loan Amortization'!$H$505,$C155&lt;='TIF Loan Amortization'!I$505),'TIF Loan Amortization'!$G$505,IF(AND($C155&gt;='TIF Loan Amortization'!$H$506,$C155&lt;='TIF Loan Amortization'!I$506),'TIF Loan Amortization'!$G$506,IF(AND($C155&gt;='TIF Loan Amortization'!$H$507,$C155&lt;='TIF Loan Amortization'!I$507),'TIF Loan Amortization'!$G$507,IF(AND($C155&gt;='TIF Loan Amortization'!$H$508,$C155&lt;='TIF Loan Amortization'!I$508),'TIF Loan Amortization'!$G$508,IF(AND($C155&gt;='TIF Loan Amortization'!$H$509,$C155&lt;='TIF Loan Amortization'!I$509),'TIF Loan Amortization'!$G$509,IF(AND($C155&gt;='TIF Loan Amortization'!$H$510,$C155&lt;='TIF Loan Amortization'!I$510),'TIF Loan Amortization'!$G$510,IF(AND($C155&gt;='TIF Loan Amortization'!$H$511,$C155&lt;='TIF Loan Amortization'!I$511),'TIF Loan Amortization'!$G$511,IF(AND($C155&gt;='TIF Loan Amortization'!$H$512,$C155&lt;='TIF Loan Amortization'!I$512),'TIF Loan Amortization'!$G$512,IF(AND($C155&gt;='TIF Loan Amortization'!$H$513,$C155&lt;='TIF Loan Amortization'!I$513),'TIF Loan Amortization'!$G$513,IF(AND($C155&gt;='TIF Loan Amortization'!$H$514,$C155&lt;='TIF Loan Amortization'!I$514),'TIF Loan Amortization'!$G$514,IF(AND($C155&gt;='TIF Loan Amortization'!$H$515,$C155&lt;='TIF Loan Amortization'!I$515),'TIF Loan Amortization'!$G$515,IF(AND($C155&gt;='TIF Loan Amortization'!$H$516,$C155&lt;='TIF Loan Amortization'!I$516),'TIF Loan Amortization'!$G$516,IF(AND($C155&gt;='TIF Loan Amortization'!$H$517,$C155&lt;='TIF Loan Amortization'!I$517),'TIF Loan Amortization'!$G$517,IF(AND($C155&gt;='TIF Loan Amortization'!$H$518,$C155&lt;='TIF Loan Amortization'!I$518),'TIF Loan Amortization'!$G$518,IF(AND($C155&gt;='TIF Loan Amortization'!$H$519,$C155&lt;='TIF Loan Amortization'!I$519),'TIF Loan Amortization'!$G$519))))))))))))))))))))))))))))))))))))))))</f>
        <v>#N/A</v>
      </c>
      <c r="C155" s="269" t="e">
        <f t="shared" si="23"/>
        <v>#N/A</v>
      </c>
      <c r="D155" s="281" t="str">
        <f>IF($AG$431=1,$H$10+9,"")</f>
        <v/>
      </c>
      <c r="E155" s="274">
        <v>105</v>
      </c>
      <c r="F155" s="275" t="str">
        <f>VLOOKUP($AG$431,$AE$422:$AF$433,2)</f>
        <v>Dec</v>
      </c>
      <c r="G155" s="272">
        <f t="shared" si="24"/>
        <v>0</v>
      </c>
      <c r="H155" s="272">
        <f t="shared" si="27"/>
        <v>0</v>
      </c>
      <c r="I155" s="272">
        <f t="shared" si="28"/>
        <v>0</v>
      </c>
      <c r="J155" s="272">
        <f t="shared" si="25"/>
        <v>0</v>
      </c>
      <c r="K155" s="272">
        <f>IF(ISTEXT($M$4),"",SUM(I$50:I155))</f>
        <v>0</v>
      </c>
      <c r="L155" s="272">
        <f>IF(ISTEXT($M$4),"",SUM(J$50:J155))</f>
        <v>0</v>
      </c>
      <c r="M155" s="271">
        <f t="shared" si="26"/>
        <v>0</v>
      </c>
      <c r="N155" s="291" t="e">
        <f>IF(C155='Operating Assumptions'!$C$48,"Construction Finish","")</f>
        <v>#N/A</v>
      </c>
      <c r="O155" s="291"/>
      <c r="P155" s="291"/>
      <c r="Q155" s="291"/>
      <c r="R155" s="291"/>
      <c r="S155" s="291"/>
      <c r="T155" s="291"/>
      <c r="U155" s="291"/>
      <c r="V155" s="292"/>
      <c r="W155" s="292"/>
      <c r="X155" s="292"/>
      <c r="Y155" s="291"/>
      <c r="Z155" s="279"/>
      <c r="AA155" s="279"/>
      <c r="AB155" s="279"/>
    </row>
    <row r="156" spans="2:28" s="278" customFormat="1" ht="11.65" hidden="1" customHeight="1" outlineLevel="1" x14ac:dyDescent="0.25">
      <c r="B156" s="270" t="e">
        <f>IF(AND($C156&gt;='TIF Loan Amortization'!$H$480,$C156&lt;='TIF Loan Amortization'!$I$480),'TIF Loan Amortization'!$G$480,IF(AND($C156&gt;='TIF Loan Amortization'!$H$481,$C156&lt;='TIF Loan Amortization'!I$481),'TIF Loan Amortization'!$G$481,IF(AND($C156&gt;='TIF Loan Amortization'!$H$482,$C156&lt;='TIF Loan Amortization'!I$482),'TIF Loan Amortization'!$G$482,IF(AND($C156&gt;='TIF Loan Amortization'!$H$483,$C156&lt;='TIF Loan Amortization'!I$483),'TIF Loan Amortization'!$G$483,IF(AND($C156&gt;='TIF Loan Amortization'!$H$484,$C156&lt;='TIF Loan Amortization'!I$484),'TIF Loan Amortization'!$G$484,IF(AND($C156&gt;='TIF Loan Amortization'!$H$485,$C156&lt;='TIF Loan Amortization'!I$485),'TIF Loan Amortization'!$G$485,IF(AND($C156&gt;='TIF Loan Amortization'!$H$486,$C156&lt;='TIF Loan Amortization'!I$486),'TIF Loan Amortization'!$G$486,IF(AND($C156&gt;='TIF Loan Amortization'!$H$487,$C156&lt;='TIF Loan Amortization'!I$487),'TIF Loan Amortization'!$G$487,IF(AND($C156&gt;='TIF Loan Amortization'!$H$488,$C156&lt;='TIF Loan Amortization'!I$488),'TIF Loan Amortization'!$G$488,IF(AND($C156&gt;='TIF Loan Amortization'!$H$489,$C156&lt;='TIF Loan Amortization'!I$489),'TIF Loan Amortization'!$G$489,IF(AND($C156&gt;='TIF Loan Amortization'!$H$490,$C156&lt;='TIF Loan Amortization'!I$490),'TIF Loan Amortization'!$G$490,IF(AND($C156&gt;='TIF Loan Amortization'!$H$491,$C156&lt;='TIF Loan Amortization'!I$491),'TIF Loan Amortization'!$G$491,IF(AND($C156&gt;='TIF Loan Amortization'!$H$492,$C156&lt;='TIF Loan Amortization'!I$492),'TIF Loan Amortization'!$G$492,IF(AND($C156&gt;='TIF Loan Amortization'!$H$493,$C156&lt;='TIF Loan Amortization'!I$493),'TIF Loan Amortization'!$G$493,IF(AND($C156&gt;='TIF Loan Amortization'!$H$494,$C156&lt;='TIF Loan Amortization'!I$494),'TIF Loan Amortization'!$G$494,IF(AND($C156&gt;='TIF Loan Amortization'!$H$495,$C156&lt;='TIF Loan Amortization'!I$495),'TIF Loan Amortization'!$G$495,IF(AND($C156&gt;='TIF Loan Amortization'!$H$496,$C156&lt;='TIF Loan Amortization'!I$496),'TIF Loan Amortization'!$G$496,IF(AND($C156&gt;='TIF Loan Amortization'!$H$497,$C156&lt;='TIF Loan Amortization'!I$497),'TIF Loan Amortization'!$G$497,IF(AND($C156&gt;='TIF Loan Amortization'!$H$498,$C156&lt;='TIF Loan Amortization'!I$498),'TIF Loan Amortization'!$G$498,IF(AND($C156&gt;='TIF Loan Amortization'!$H$499,$C156&lt;='TIF Loan Amortization'!I$499),'TIF Loan Amortization'!$G$499,IF(AND($C156&gt;='TIF Loan Amortization'!$H$500,$C156&lt;='TIF Loan Amortization'!I$500),'TIF Loan Amortization'!$G$500,IF(AND($C156&gt;='TIF Loan Amortization'!$H$501,$C156&lt;='TIF Loan Amortization'!I$501),'TIF Loan Amortization'!$G$501,IF(AND($C156&gt;='TIF Loan Amortization'!$H$502,$C156&lt;='TIF Loan Amortization'!I$502),'TIF Loan Amortization'!$G$502,IF(AND($C156&gt;='TIF Loan Amortization'!$H$503,$C156&lt;='TIF Loan Amortization'!I$503),'TIF Loan Amortization'!$G$503,IF(AND($C156&gt;='TIF Loan Amortization'!$H$504,$C156&lt;='TIF Loan Amortization'!I$504),'TIF Loan Amortization'!$G$504,IF(AND($C156&gt;='TIF Loan Amortization'!$H$505,$C156&lt;='TIF Loan Amortization'!I$505),'TIF Loan Amortization'!$G$505,IF(AND($C156&gt;='TIF Loan Amortization'!$H$506,$C156&lt;='TIF Loan Amortization'!I$506),'TIF Loan Amortization'!$G$506,IF(AND($C156&gt;='TIF Loan Amortization'!$H$507,$C156&lt;='TIF Loan Amortization'!I$507),'TIF Loan Amortization'!$G$507,IF(AND($C156&gt;='TIF Loan Amortization'!$H$508,$C156&lt;='TIF Loan Amortization'!I$508),'TIF Loan Amortization'!$G$508,IF(AND($C156&gt;='TIF Loan Amortization'!$H$509,$C156&lt;='TIF Loan Amortization'!I$509),'TIF Loan Amortization'!$G$509,IF(AND($C156&gt;='TIF Loan Amortization'!$H$510,$C156&lt;='TIF Loan Amortization'!I$510),'TIF Loan Amortization'!$G$510,IF(AND($C156&gt;='TIF Loan Amortization'!$H$511,$C156&lt;='TIF Loan Amortization'!I$511),'TIF Loan Amortization'!$G$511,IF(AND($C156&gt;='TIF Loan Amortization'!$H$512,$C156&lt;='TIF Loan Amortization'!I$512),'TIF Loan Amortization'!$G$512,IF(AND($C156&gt;='TIF Loan Amortization'!$H$513,$C156&lt;='TIF Loan Amortization'!I$513),'TIF Loan Amortization'!$G$513,IF(AND($C156&gt;='TIF Loan Amortization'!$H$514,$C156&lt;='TIF Loan Amortization'!I$514),'TIF Loan Amortization'!$G$514,IF(AND($C156&gt;='TIF Loan Amortization'!$H$515,$C156&lt;='TIF Loan Amortization'!I$515),'TIF Loan Amortization'!$G$515,IF(AND($C156&gt;='TIF Loan Amortization'!$H$516,$C156&lt;='TIF Loan Amortization'!I$516),'TIF Loan Amortization'!$G$516,IF(AND($C156&gt;='TIF Loan Amortization'!$H$517,$C156&lt;='TIF Loan Amortization'!I$517),'TIF Loan Amortization'!$G$517,IF(AND($C156&gt;='TIF Loan Amortization'!$H$518,$C156&lt;='TIF Loan Amortization'!I$518),'TIF Loan Amortization'!$G$518,IF(AND($C156&gt;='TIF Loan Amortization'!$H$519,$C156&lt;='TIF Loan Amortization'!I$519),'TIF Loan Amortization'!$G$519))))))))))))))))))))))))))))))))))))))))</f>
        <v>#N/A</v>
      </c>
      <c r="C156" s="269" t="e">
        <f t="shared" si="23"/>
        <v>#N/A</v>
      </c>
      <c r="D156" s="281">
        <f>IF($AG$432=1,$H$10+9,"")</f>
        <v>2034</v>
      </c>
      <c r="E156" s="274">
        <v>106</v>
      </c>
      <c r="F156" s="273" t="str">
        <f>VLOOKUP($AG$432,$AE$422:$AF$433,2)</f>
        <v>Jan</v>
      </c>
      <c r="G156" s="272">
        <f t="shared" si="24"/>
        <v>0</v>
      </c>
      <c r="H156" s="272">
        <f t="shared" si="27"/>
        <v>0</v>
      </c>
      <c r="I156" s="272">
        <f t="shared" si="28"/>
        <v>0</v>
      </c>
      <c r="J156" s="272">
        <f t="shared" si="25"/>
        <v>0</v>
      </c>
      <c r="K156" s="272">
        <f>IF(ISTEXT($M$4),"",SUM(I$50:I156))</f>
        <v>0</v>
      </c>
      <c r="L156" s="272">
        <f>IF(ISTEXT($M$4),"",SUM(J$50:J156))</f>
        <v>0</v>
      </c>
      <c r="M156" s="271">
        <f t="shared" si="26"/>
        <v>0</v>
      </c>
      <c r="N156" s="291" t="e">
        <f>IF(C156='Operating Assumptions'!$C$48,"Construction Finish","")</f>
        <v>#N/A</v>
      </c>
      <c r="O156" s="291"/>
      <c r="P156" s="291"/>
      <c r="Q156" s="291"/>
      <c r="R156" s="291"/>
      <c r="S156" s="291"/>
      <c r="T156" s="291"/>
      <c r="U156" s="291"/>
      <c r="V156" s="292"/>
      <c r="W156" s="292"/>
      <c r="X156" s="292"/>
      <c r="Y156" s="291"/>
      <c r="Z156" s="279"/>
      <c r="AA156" s="279"/>
      <c r="AB156" s="279"/>
    </row>
    <row r="157" spans="2:28" s="278" customFormat="1" ht="11.65" hidden="1" customHeight="1" outlineLevel="1" x14ac:dyDescent="0.25">
      <c r="B157" s="270" t="e">
        <f>IF(AND($C157&gt;='TIF Loan Amortization'!$H$480,$C157&lt;='TIF Loan Amortization'!$I$480),'TIF Loan Amortization'!$G$480,IF(AND($C157&gt;='TIF Loan Amortization'!$H$481,$C157&lt;='TIF Loan Amortization'!I$481),'TIF Loan Amortization'!$G$481,IF(AND($C157&gt;='TIF Loan Amortization'!$H$482,$C157&lt;='TIF Loan Amortization'!I$482),'TIF Loan Amortization'!$G$482,IF(AND($C157&gt;='TIF Loan Amortization'!$H$483,$C157&lt;='TIF Loan Amortization'!I$483),'TIF Loan Amortization'!$G$483,IF(AND($C157&gt;='TIF Loan Amortization'!$H$484,$C157&lt;='TIF Loan Amortization'!I$484),'TIF Loan Amortization'!$G$484,IF(AND($C157&gt;='TIF Loan Amortization'!$H$485,$C157&lt;='TIF Loan Amortization'!I$485),'TIF Loan Amortization'!$G$485,IF(AND($C157&gt;='TIF Loan Amortization'!$H$486,$C157&lt;='TIF Loan Amortization'!I$486),'TIF Loan Amortization'!$G$486,IF(AND($C157&gt;='TIF Loan Amortization'!$H$487,$C157&lt;='TIF Loan Amortization'!I$487),'TIF Loan Amortization'!$G$487,IF(AND($C157&gt;='TIF Loan Amortization'!$H$488,$C157&lt;='TIF Loan Amortization'!I$488),'TIF Loan Amortization'!$G$488,IF(AND($C157&gt;='TIF Loan Amortization'!$H$489,$C157&lt;='TIF Loan Amortization'!I$489),'TIF Loan Amortization'!$G$489,IF(AND($C157&gt;='TIF Loan Amortization'!$H$490,$C157&lt;='TIF Loan Amortization'!I$490),'TIF Loan Amortization'!$G$490,IF(AND($C157&gt;='TIF Loan Amortization'!$H$491,$C157&lt;='TIF Loan Amortization'!I$491),'TIF Loan Amortization'!$G$491,IF(AND($C157&gt;='TIF Loan Amortization'!$H$492,$C157&lt;='TIF Loan Amortization'!I$492),'TIF Loan Amortization'!$G$492,IF(AND($C157&gt;='TIF Loan Amortization'!$H$493,$C157&lt;='TIF Loan Amortization'!I$493),'TIF Loan Amortization'!$G$493,IF(AND($C157&gt;='TIF Loan Amortization'!$H$494,$C157&lt;='TIF Loan Amortization'!I$494),'TIF Loan Amortization'!$G$494,IF(AND($C157&gt;='TIF Loan Amortization'!$H$495,$C157&lt;='TIF Loan Amortization'!I$495),'TIF Loan Amortization'!$G$495,IF(AND($C157&gt;='TIF Loan Amortization'!$H$496,$C157&lt;='TIF Loan Amortization'!I$496),'TIF Loan Amortization'!$G$496,IF(AND($C157&gt;='TIF Loan Amortization'!$H$497,$C157&lt;='TIF Loan Amortization'!I$497),'TIF Loan Amortization'!$G$497,IF(AND($C157&gt;='TIF Loan Amortization'!$H$498,$C157&lt;='TIF Loan Amortization'!I$498),'TIF Loan Amortization'!$G$498,IF(AND($C157&gt;='TIF Loan Amortization'!$H$499,$C157&lt;='TIF Loan Amortization'!I$499),'TIF Loan Amortization'!$G$499,IF(AND($C157&gt;='TIF Loan Amortization'!$H$500,$C157&lt;='TIF Loan Amortization'!I$500),'TIF Loan Amortization'!$G$500,IF(AND($C157&gt;='TIF Loan Amortization'!$H$501,$C157&lt;='TIF Loan Amortization'!I$501),'TIF Loan Amortization'!$G$501,IF(AND($C157&gt;='TIF Loan Amortization'!$H$502,$C157&lt;='TIF Loan Amortization'!I$502),'TIF Loan Amortization'!$G$502,IF(AND($C157&gt;='TIF Loan Amortization'!$H$503,$C157&lt;='TIF Loan Amortization'!I$503),'TIF Loan Amortization'!$G$503,IF(AND($C157&gt;='TIF Loan Amortization'!$H$504,$C157&lt;='TIF Loan Amortization'!I$504),'TIF Loan Amortization'!$G$504,IF(AND($C157&gt;='TIF Loan Amortization'!$H$505,$C157&lt;='TIF Loan Amortization'!I$505),'TIF Loan Amortization'!$G$505,IF(AND($C157&gt;='TIF Loan Amortization'!$H$506,$C157&lt;='TIF Loan Amortization'!I$506),'TIF Loan Amortization'!$G$506,IF(AND($C157&gt;='TIF Loan Amortization'!$H$507,$C157&lt;='TIF Loan Amortization'!I$507),'TIF Loan Amortization'!$G$507,IF(AND($C157&gt;='TIF Loan Amortization'!$H$508,$C157&lt;='TIF Loan Amortization'!I$508),'TIF Loan Amortization'!$G$508,IF(AND($C157&gt;='TIF Loan Amortization'!$H$509,$C157&lt;='TIF Loan Amortization'!I$509),'TIF Loan Amortization'!$G$509,IF(AND($C157&gt;='TIF Loan Amortization'!$H$510,$C157&lt;='TIF Loan Amortization'!I$510),'TIF Loan Amortization'!$G$510,IF(AND($C157&gt;='TIF Loan Amortization'!$H$511,$C157&lt;='TIF Loan Amortization'!I$511),'TIF Loan Amortization'!$G$511,IF(AND($C157&gt;='TIF Loan Amortization'!$H$512,$C157&lt;='TIF Loan Amortization'!I$512),'TIF Loan Amortization'!$G$512,IF(AND($C157&gt;='TIF Loan Amortization'!$H$513,$C157&lt;='TIF Loan Amortization'!I$513),'TIF Loan Amortization'!$G$513,IF(AND($C157&gt;='TIF Loan Amortization'!$H$514,$C157&lt;='TIF Loan Amortization'!I$514),'TIF Loan Amortization'!$G$514,IF(AND($C157&gt;='TIF Loan Amortization'!$H$515,$C157&lt;='TIF Loan Amortization'!I$515),'TIF Loan Amortization'!$G$515,IF(AND($C157&gt;='TIF Loan Amortization'!$H$516,$C157&lt;='TIF Loan Amortization'!I$516),'TIF Loan Amortization'!$G$516,IF(AND($C157&gt;='TIF Loan Amortization'!$H$517,$C157&lt;='TIF Loan Amortization'!I$517),'TIF Loan Amortization'!$G$517,IF(AND($C157&gt;='TIF Loan Amortization'!$H$518,$C157&lt;='TIF Loan Amortization'!I$518),'TIF Loan Amortization'!$G$518,IF(AND($C157&gt;='TIF Loan Amortization'!$H$519,$C157&lt;='TIF Loan Amortization'!I$519),'TIF Loan Amortization'!$G$519))))))))))))))))))))))))))))))))))))))))</f>
        <v>#N/A</v>
      </c>
      <c r="C157" s="269" t="e">
        <f t="shared" si="23"/>
        <v>#N/A</v>
      </c>
      <c r="D157" s="281" t="str">
        <f>IF($AG$433=1,$H$10+9,"")</f>
        <v/>
      </c>
      <c r="E157" s="274">
        <v>107</v>
      </c>
      <c r="F157" s="273" t="str">
        <f>VLOOKUP($AG$433,$AE$422:$AF$433,2)</f>
        <v>Feb</v>
      </c>
      <c r="G157" s="272">
        <f t="shared" si="24"/>
        <v>0</v>
      </c>
      <c r="H157" s="272">
        <f t="shared" si="27"/>
        <v>0</v>
      </c>
      <c r="I157" s="272">
        <f t="shared" si="28"/>
        <v>0</v>
      </c>
      <c r="J157" s="272">
        <f t="shared" si="25"/>
        <v>0</v>
      </c>
      <c r="K157" s="272">
        <f>IF(ISTEXT($M$4),"",SUM(I$50:I157))</f>
        <v>0</v>
      </c>
      <c r="L157" s="272">
        <f>IF(ISTEXT($M$4),"",SUM(J$50:J157))</f>
        <v>0</v>
      </c>
      <c r="M157" s="271">
        <f t="shared" si="26"/>
        <v>0</v>
      </c>
      <c r="N157" s="291" t="e">
        <f>IF(C157='Operating Assumptions'!$C$48,"Construction Finish","")</f>
        <v>#N/A</v>
      </c>
      <c r="O157" s="291"/>
      <c r="P157" s="291"/>
      <c r="Q157" s="291"/>
      <c r="R157" s="291"/>
      <c r="S157" s="291"/>
      <c r="T157" s="291"/>
      <c r="U157" s="291"/>
      <c r="V157" s="292"/>
      <c r="W157" s="292"/>
      <c r="X157" s="292"/>
      <c r="Y157" s="291"/>
      <c r="Z157" s="279"/>
      <c r="AA157" s="279"/>
      <c r="AB157" s="279"/>
    </row>
    <row r="158" spans="2:28" s="278" customFormat="1" ht="11.65" hidden="1" customHeight="1" outlineLevel="1" x14ac:dyDescent="0.25">
      <c r="B158" s="270" t="e">
        <f>IF(AND($C158&gt;='TIF Loan Amortization'!$H$480,$C158&lt;='TIF Loan Amortization'!$I$480),'TIF Loan Amortization'!$G$480,IF(AND($C158&gt;='TIF Loan Amortization'!$H$481,$C158&lt;='TIF Loan Amortization'!I$481),'TIF Loan Amortization'!$G$481,IF(AND($C158&gt;='TIF Loan Amortization'!$H$482,$C158&lt;='TIF Loan Amortization'!I$482),'TIF Loan Amortization'!$G$482,IF(AND($C158&gt;='TIF Loan Amortization'!$H$483,$C158&lt;='TIF Loan Amortization'!I$483),'TIF Loan Amortization'!$G$483,IF(AND($C158&gt;='TIF Loan Amortization'!$H$484,$C158&lt;='TIF Loan Amortization'!I$484),'TIF Loan Amortization'!$G$484,IF(AND($C158&gt;='TIF Loan Amortization'!$H$485,$C158&lt;='TIF Loan Amortization'!I$485),'TIF Loan Amortization'!$G$485,IF(AND($C158&gt;='TIF Loan Amortization'!$H$486,$C158&lt;='TIF Loan Amortization'!I$486),'TIF Loan Amortization'!$G$486,IF(AND($C158&gt;='TIF Loan Amortization'!$H$487,$C158&lt;='TIF Loan Amortization'!I$487),'TIF Loan Amortization'!$G$487,IF(AND($C158&gt;='TIF Loan Amortization'!$H$488,$C158&lt;='TIF Loan Amortization'!I$488),'TIF Loan Amortization'!$G$488,IF(AND($C158&gt;='TIF Loan Amortization'!$H$489,$C158&lt;='TIF Loan Amortization'!I$489),'TIF Loan Amortization'!$G$489,IF(AND($C158&gt;='TIF Loan Amortization'!$H$490,$C158&lt;='TIF Loan Amortization'!I$490),'TIF Loan Amortization'!$G$490,IF(AND($C158&gt;='TIF Loan Amortization'!$H$491,$C158&lt;='TIF Loan Amortization'!I$491),'TIF Loan Amortization'!$G$491,IF(AND($C158&gt;='TIF Loan Amortization'!$H$492,$C158&lt;='TIF Loan Amortization'!I$492),'TIF Loan Amortization'!$G$492,IF(AND($C158&gt;='TIF Loan Amortization'!$H$493,$C158&lt;='TIF Loan Amortization'!I$493),'TIF Loan Amortization'!$G$493,IF(AND($C158&gt;='TIF Loan Amortization'!$H$494,$C158&lt;='TIF Loan Amortization'!I$494),'TIF Loan Amortization'!$G$494,IF(AND($C158&gt;='TIF Loan Amortization'!$H$495,$C158&lt;='TIF Loan Amortization'!I$495),'TIF Loan Amortization'!$G$495,IF(AND($C158&gt;='TIF Loan Amortization'!$H$496,$C158&lt;='TIF Loan Amortization'!I$496),'TIF Loan Amortization'!$G$496,IF(AND($C158&gt;='TIF Loan Amortization'!$H$497,$C158&lt;='TIF Loan Amortization'!I$497),'TIF Loan Amortization'!$G$497,IF(AND($C158&gt;='TIF Loan Amortization'!$H$498,$C158&lt;='TIF Loan Amortization'!I$498),'TIF Loan Amortization'!$G$498,IF(AND($C158&gt;='TIF Loan Amortization'!$H$499,$C158&lt;='TIF Loan Amortization'!I$499),'TIF Loan Amortization'!$G$499,IF(AND($C158&gt;='TIF Loan Amortization'!$H$500,$C158&lt;='TIF Loan Amortization'!I$500),'TIF Loan Amortization'!$G$500,IF(AND($C158&gt;='TIF Loan Amortization'!$H$501,$C158&lt;='TIF Loan Amortization'!I$501),'TIF Loan Amortization'!$G$501,IF(AND($C158&gt;='TIF Loan Amortization'!$H$502,$C158&lt;='TIF Loan Amortization'!I$502),'TIF Loan Amortization'!$G$502,IF(AND($C158&gt;='TIF Loan Amortization'!$H$503,$C158&lt;='TIF Loan Amortization'!I$503),'TIF Loan Amortization'!$G$503,IF(AND($C158&gt;='TIF Loan Amortization'!$H$504,$C158&lt;='TIF Loan Amortization'!I$504),'TIF Loan Amortization'!$G$504,IF(AND($C158&gt;='TIF Loan Amortization'!$H$505,$C158&lt;='TIF Loan Amortization'!I$505),'TIF Loan Amortization'!$G$505,IF(AND($C158&gt;='TIF Loan Amortization'!$H$506,$C158&lt;='TIF Loan Amortization'!I$506),'TIF Loan Amortization'!$G$506,IF(AND($C158&gt;='TIF Loan Amortization'!$H$507,$C158&lt;='TIF Loan Amortization'!I$507),'TIF Loan Amortization'!$G$507,IF(AND($C158&gt;='TIF Loan Amortization'!$H$508,$C158&lt;='TIF Loan Amortization'!I$508),'TIF Loan Amortization'!$G$508,IF(AND($C158&gt;='TIF Loan Amortization'!$H$509,$C158&lt;='TIF Loan Amortization'!I$509),'TIF Loan Amortization'!$G$509,IF(AND($C158&gt;='TIF Loan Amortization'!$H$510,$C158&lt;='TIF Loan Amortization'!I$510),'TIF Loan Amortization'!$G$510,IF(AND($C158&gt;='TIF Loan Amortization'!$H$511,$C158&lt;='TIF Loan Amortization'!I$511),'TIF Loan Amortization'!$G$511,IF(AND($C158&gt;='TIF Loan Amortization'!$H$512,$C158&lt;='TIF Loan Amortization'!I$512),'TIF Loan Amortization'!$G$512,IF(AND($C158&gt;='TIF Loan Amortization'!$H$513,$C158&lt;='TIF Loan Amortization'!I$513),'TIF Loan Amortization'!$G$513,IF(AND($C158&gt;='TIF Loan Amortization'!$H$514,$C158&lt;='TIF Loan Amortization'!I$514),'TIF Loan Amortization'!$G$514,IF(AND($C158&gt;='TIF Loan Amortization'!$H$515,$C158&lt;='TIF Loan Amortization'!I$515),'TIF Loan Amortization'!$G$515,IF(AND($C158&gt;='TIF Loan Amortization'!$H$516,$C158&lt;='TIF Loan Amortization'!I$516),'TIF Loan Amortization'!$G$516,IF(AND($C158&gt;='TIF Loan Amortization'!$H$517,$C158&lt;='TIF Loan Amortization'!I$517),'TIF Loan Amortization'!$G$517,IF(AND($C158&gt;='TIF Loan Amortization'!$H$518,$C158&lt;='TIF Loan Amortization'!I$518),'TIF Loan Amortization'!$G$518,IF(AND($C158&gt;='TIF Loan Amortization'!$H$519,$C158&lt;='TIF Loan Amortization'!I$519),'TIF Loan Amortization'!$G$519))))))))))))))))))))))))))))))))))))))))</f>
        <v>#N/A</v>
      </c>
      <c r="C158" s="269" t="e">
        <f t="shared" si="23"/>
        <v>#N/A</v>
      </c>
      <c r="D158" s="281" t="str">
        <f>IF($H$11="January",$H$10+9,IF($AG$422=1,$H$10+10,""))</f>
        <v/>
      </c>
      <c r="E158" s="274">
        <v>108</v>
      </c>
      <c r="F158" s="273" t="str">
        <f>VLOOKUP($AG$422,$AE$422:$AF$433,2)</f>
        <v>Mar</v>
      </c>
      <c r="G158" s="272">
        <f t="shared" si="24"/>
        <v>0</v>
      </c>
      <c r="H158" s="272">
        <f t="shared" si="27"/>
        <v>0</v>
      </c>
      <c r="I158" s="272">
        <f t="shared" si="28"/>
        <v>0</v>
      </c>
      <c r="J158" s="272">
        <f t="shared" si="25"/>
        <v>0</v>
      </c>
      <c r="K158" s="272">
        <f>IF(ISTEXT($M$4),"",SUM(I$50:I158))</f>
        <v>0</v>
      </c>
      <c r="L158" s="272">
        <f>IF(ISTEXT($M$4),"",SUM(J$50:J158))</f>
        <v>0</v>
      </c>
      <c r="M158" s="271">
        <f t="shared" si="26"/>
        <v>0</v>
      </c>
      <c r="N158" s="291" t="e">
        <f>IF(C158='Operating Assumptions'!$C$48,"Construction Finish","")</f>
        <v>#N/A</v>
      </c>
      <c r="O158" s="291"/>
      <c r="P158" s="291"/>
      <c r="Q158" s="291"/>
      <c r="R158" s="291"/>
      <c r="S158" s="291"/>
      <c r="T158" s="291"/>
      <c r="U158" s="291"/>
      <c r="V158" s="292"/>
      <c r="W158" s="292"/>
      <c r="X158" s="292"/>
      <c r="Y158" s="291"/>
      <c r="Z158" s="279"/>
      <c r="AA158" s="279"/>
      <c r="AB158" s="279"/>
    </row>
    <row r="159" spans="2:28" s="278" customFormat="1" ht="11.65" hidden="1" customHeight="1" outlineLevel="1" x14ac:dyDescent="0.25">
      <c r="B159" s="270" t="e">
        <f>IF(AND($C159&gt;='TIF Loan Amortization'!$H$480,$C159&lt;='TIF Loan Amortization'!$I$480),'TIF Loan Amortization'!$G$480,IF(AND($C159&gt;='TIF Loan Amortization'!$H$481,$C159&lt;='TIF Loan Amortization'!I$481),'TIF Loan Amortization'!$G$481,IF(AND($C159&gt;='TIF Loan Amortization'!$H$482,$C159&lt;='TIF Loan Amortization'!I$482),'TIF Loan Amortization'!$G$482,IF(AND($C159&gt;='TIF Loan Amortization'!$H$483,$C159&lt;='TIF Loan Amortization'!I$483),'TIF Loan Amortization'!$G$483,IF(AND($C159&gt;='TIF Loan Amortization'!$H$484,$C159&lt;='TIF Loan Amortization'!I$484),'TIF Loan Amortization'!$G$484,IF(AND($C159&gt;='TIF Loan Amortization'!$H$485,$C159&lt;='TIF Loan Amortization'!I$485),'TIF Loan Amortization'!$G$485,IF(AND($C159&gt;='TIF Loan Amortization'!$H$486,$C159&lt;='TIF Loan Amortization'!I$486),'TIF Loan Amortization'!$G$486,IF(AND($C159&gt;='TIF Loan Amortization'!$H$487,$C159&lt;='TIF Loan Amortization'!I$487),'TIF Loan Amortization'!$G$487,IF(AND($C159&gt;='TIF Loan Amortization'!$H$488,$C159&lt;='TIF Loan Amortization'!I$488),'TIF Loan Amortization'!$G$488,IF(AND($C159&gt;='TIF Loan Amortization'!$H$489,$C159&lt;='TIF Loan Amortization'!I$489),'TIF Loan Amortization'!$G$489,IF(AND($C159&gt;='TIF Loan Amortization'!$H$490,$C159&lt;='TIF Loan Amortization'!I$490),'TIF Loan Amortization'!$G$490,IF(AND($C159&gt;='TIF Loan Amortization'!$H$491,$C159&lt;='TIF Loan Amortization'!I$491),'TIF Loan Amortization'!$G$491,IF(AND($C159&gt;='TIF Loan Amortization'!$H$492,$C159&lt;='TIF Loan Amortization'!I$492),'TIF Loan Amortization'!$G$492,IF(AND($C159&gt;='TIF Loan Amortization'!$H$493,$C159&lt;='TIF Loan Amortization'!I$493),'TIF Loan Amortization'!$G$493,IF(AND($C159&gt;='TIF Loan Amortization'!$H$494,$C159&lt;='TIF Loan Amortization'!I$494),'TIF Loan Amortization'!$G$494,IF(AND($C159&gt;='TIF Loan Amortization'!$H$495,$C159&lt;='TIF Loan Amortization'!I$495),'TIF Loan Amortization'!$G$495,IF(AND($C159&gt;='TIF Loan Amortization'!$H$496,$C159&lt;='TIF Loan Amortization'!I$496),'TIF Loan Amortization'!$G$496,IF(AND($C159&gt;='TIF Loan Amortization'!$H$497,$C159&lt;='TIF Loan Amortization'!I$497),'TIF Loan Amortization'!$G$497,IF(AND($C159&gt;='TIF Loan Amortization'!$H$498,$C159&lt;='TIF Loan Amortization'!I$498),'TIF Loan Amortization'!$G$498,IF(AND($C159&gt;='TIF Loan Amortization'!$H$499,$C159&lt;='TIF Loan Amortization'!I$499),'TIF Loan Amortization'!$G$499,IF(AND($C159&gt;='TIF Loan Amortization'!$H$500,$C159&lt;='TIF Loan Amortization'!I$500),'TIF Loan Amortization'!$G$500,IF(AND($C159&gt;='TIF Loan Amortization'!$H$501,$C159&lt;='TIF Loan Amortization'!I$501),'TIF Loan Amortization'!$G$501,IF(AND($C159&gt;='TIF Loan Amortization'!$H$502,$C159&lt;='TIF Loan Amortization'!I$502),'TIF Loan Amortization'!$G$502,IF(AND($C159&gt;='TIF Loan Amortization'!$H$503,$C159&lt;='TIF Loan Amortization'!I$503),'TIF Loan Amortization'!$G$503,IF(AND($C159&gt;='TIF Loan Amortization'!$H$504,$C159&lt;='TIF Loan Amortization'!I$504),'TIF Loan Amortization'!$G$504,IF(AND($C159&gt;='TIF Loan Amortization'!$H$505,$C159&lt;='TIF Loan Amortization'!I$505),'TIF Loan Amortization'!$G$505,IF(AND($C159&gt;='TIF Loan Amortization'!$H$506,$C159&lt;='TIF Loan Amortization'!I$506),'TIF Loan Amortization'!$G$506,IF(AND($C159&gt;='TIF Loan Amortization'!$H$507,$C159&lt;='TIF Loan Amortization'!I$507),'TIF Loan Amortization'!$G$507,IF(AND($C159&gt;='TIF Loan Amortization'!$H$508,$C159&lt;='TIF Loan Amortization'!I$508),'TIF Loan Amortization'!$G$508,IF(AND($C159&gt;='TIF Loan Amortization'!$H$509,$C159&lt;='TIF Loan Amortization'!I$509),'TIF Loan Amortization'!$G$509,IF(AND($C159&gt;='TIF Loan Amortization'!$H$510,$C159&lt;='TIF Loan Amortization'!I$510),'TIF Loan Amortization'!$G$510,IF(AND($C159&gt;='TIF Loan Amortization'!$H$511,$C159&lt;='TIF Loan Amortization'!I$511),'TIF Loan Amortization'!$G$511,IF(AND($C159&gt;='TIF Loan Amortization'!$H$512,$C159&lt;='TIF Loan Amortization'!I$512),'TIF Loan Amortization'!$G$512,IF(AND($C159&gt;='TIF Loan Amortization'!$H$513,$C159&lt;='TIF Loan Amortization'!I$513),'TIF Loan Amortization'!$G$513,IF(AND($C159&gt;='TIF Loan Amortization'!$H$514,$C159&lt;='TIF Loan Amortization'!I$514),'TIF Loan Amortization'!$G$514,IF(AND($C159&gt;='TIF Loan Amortization'!$H$515,$C159&lt;='TIF Loan Amortization'!I$515),'TIF Loan Amortization'!$G$515,IF(AND($C159&gt;='TIF Loan Amortization'!$H$516,$C159&lt;='TIF Loan Amortization'!I$516),'TIF Loan Amortization'!$G$516,IF(AND($C159&gt;='TIF Loan Amortization'!$H$517,$C159&lt;='TIF Loan Amortization'!I$517),'TIF Loan Amortization'!$G$517,IF(AND($C159&gt;='TIF Loan Amortization'!$H$518,$C159&lt;='TIF Loan Amortization'!I$518),'TIF Loan Amortization'!$G$518,IF(AND($C159&gt;='TIF Loan Amortization'!$H$519,$C159&lt;='TIF Loan Amortization'!I$519),'TIF Loan Amortization'!$G$519))))))))))))))))))))))))))))))))))))))))</f>
        <v>#N/A</v>
      </c>
      <c r="C159" s="269" t="e">
        <f t="shared" si="23"/>
        <v>#N/A</v>
      </c>
      <c r="D159" s="281" t="str">
        <f>IF($AG$423=1,$H$10+10,"")</f>
        <v/>
      </c>
      <c r="E159" s="274">
        <v>109</v>
      </c>
      <c r="F159" s="275" t="str">
        <f>VLOOKUP($AG$423,$AE$422:$AF$433,2)</f>
        <v>Apr</v>
      </c>
      <c r="G159" s="272">
        <f t="shared" si="24"/>
        <v>0</v>
      </c>
      <c r="H159" s="272">
        <f t="shared" si="27"/>
        <v>0</v>
      </c>
      <c r="I159" s="272">
        <f t="shared" si="28"/>
        <v>0</v>
      </c>
      <c r="J159" s="272">
        <f t="shared" si="25"/>
        <v>0</v>
      </c>
      <c r="K159" s="272">
        <f>IF(ISTEXT($M$4),"",SUM(I$50:I159))</f>
        <v>0</v>
      </c>
      <c r="L159" s="272">
        <f>IF(ISTEXT($M$4),"",SUM(J$50:J159))</f>
        <v>0</v>
      </c>
      <c r="M159" s="271">
        <f t="shared" si="26"/>
        <v>0</v>
      </c>
      <c r="N159" s="291" t="e">
        <f>IF(C159='Operating Assumptions'!$C$48,"Construction Finish","")</f>
        <v>#N/A</v>
      </c>
      <c r="O159" s="291"/>
      <c r="P159" s="291"/>
      <c r="Q159" s="291"/>
      <c r="R159" s="291"/>
      <c r="S159" s="291"/>
      <c r="T159" s="291"/>
      <c r="U159" s="291"/>
      <c r="V159" s="292"/>
      <c r="W159" s="292"/>
      <c r="X159" s="292"/>
      <c r="Y159" s="291"/>
      <c r="Z159" s="279"/>
      <c r="AA159" s="279"/>
      <c r="AB159" s="279"/>
    </row>
    <row r="160" spans="2:28" s="278" customFormat="1" ht="11.65" hidden="1" customHeight="1" outlineLevel="1" x14ac:dyDescent="0.25">
      <c r="B160" s="270" t="e">
        <f>IF(AND($C160&gt;='TIF Loan Amortization'!$H$480,$C160&lt;='TIF Loan Amortization'!$I$480),'TIF Loan Amortization'!$G$480,IF(AND($C160&gt;='TIF Loan Amortization'!$H$481,$C160&lt;='TIF Loan Amortization'!I$481),'TIF Loan Amortization'!$G$481,IF(AND($C160&gt;='TIF Loan Amortization'!$H$482,$C160&lt;='TIF Loan Amortization'!I$482),'TIF Loan Amortization'!$G$482,IF(AND($C160&gt;='TIF Loan Amortization'!$H$483,$C160&lt;='TIF Loan Amortization'!I$483),'TIF Loan Amortization'!$G$483,IF(AND($C160&gt;='TIF Loan Amortization'!$H$484,$C160&lt;='TIF Loan Amortization'!I$484),'TIF Loan Amortization'!$G$484,IF(AND($C160&gt;='TIF Loan Amortization'!$H$485,$C160&lt;='TIF Loan Amortization'!I$485),'TIF Loan Amortization'!$G$485,IF(AND($C160&gt;='TIF Loan Amortization'!$H$486,$C160&lt;='TIF Loan Amortization'!I$486),'TIF Loan Amortization'!$G$486,IF(AND($C160&gt;='TIF Loan Amortization'!$H$487,$C160&lt;='TIF Loan Amortization'!I$487),'TIF Loan Amortization'!$G$487,IF(AND($C160&gt;='TIF Loan Amortization'!$H$488,$C160&lt;='TIF Loan Amortization'!I$488),'TIF Loan Amortization'!$G$488,IF(AND($C160&gt;='TIF Loan Amortization'!$H$489,$C160&lt;='TIF Loan Amortization'!I$489),'TIF Loan Amortization'!$G$489,IF(AND($C160&gt;='TIF Loan Amortization'!$H$490,$C160&lt;='TIF Loan Amortization'!I$490),'TIF Loan Amortization'!$G$490,IF(AND($C160&gt;='TIF Loan Amortization'!$H$491,$C160&lt;='TIF Loan Amortization'!I$491),'TIF Loan Amortization'!$G$491,IF(AND($C160&gt;='TIF Loan Amortization'!$H$492,$C160&lt;='TIF Loan Amortization'!I$492),'TIF Loan Amortization'!$G$492,IF(AND($C160&gt;='TIF Loan Amortization'!$H$493,$C160&lt;='TIF Loan Amortization'!I$493),'TIF Loan Amortization'!$G$493,IF(AND($C160&gt;='TIF Loan Amortization'!$H$494,$C160&lt;='TIF Loan Amortization'!I$494),'TIF Loan Amortization'!$G$494,IF(AND($C160&gt;='TIF Loan Amortization'!$H$495,$C160&lt;='TIF Loan Amortization'!I$495),'TIF Loan Amortization'!$G$495,IF(AND($C160&gt;='TIF Loan Amortization'!$H$496,$C160&lt;='TIF Loan Amortization'!I$496),'TIF Loan Amortization'!$G$496,IF(AND($C160&gt;='TIF Loan Amortization'!$H$497,$C160&lt;='TIF Loan Amortization'!I$497),'TIF Loan Amortization'!$G$497,IF(AND($C160&gt;='TIF Loan Amortization'!$H$498,$C160&lt;='TIF Loan Amortization'!I$498),'TIF Loan Amortization'!$G$498,IF(AND($C160&gt;='TIF Loan Amortization'!$H$499,$C160&lt;='TIF Loan Amortization'!I$499),'TIF Loan Amortization'!$G$499,IF(AND($C160&gt;='TIF Loan Amortization'!$H$500,$C160&lt;='TIF Loan Amortization'!I$500),'TIF Loan Amortization'!$G$500,IF(AND($C160&gt;='TIF Loan Amortization'!$H$501,$C160&lt;='TIF Loan Amortization'!I$501),'TIF Loan Amortization'!$G$501,IF(AND($C160&gt;='TIF Loan Amortization'!$H$502,$C160&lt;='TIF Loan Amortization'!I$502),'TIF Loan Amortization'!$G$502,IF(AND($C160&gt;='TIF Loan Amortization'!$H$503,$C160&lt;='TIF Loan Amortization'!I$503),'TIF Loan Amortization'!$G$503,IF(AND($C160&gt;='TIF Loan Amortization'!$H$504,$C160&lt;='TIF Loan Amortization'!I$504),'TIF Loan Amortization'!$G$504,IF(AND($C160&gt;='TIF Loan Amortization'!$H$505,$C160&lt;='TIF Loan Amortization'!I$505),'TIF Loan Amortization'!$G$505,IF(AND($C160&gt;='TIF Loan Amortization'!$H$506,$C160&lt;='TIF Loan Amortization'!I$506),'TIF Loan Amortization'!$G$506,IF(AND($C160&gt;='TIF Loan Amortization'!$H$507,$C160&lt;='TIF Loan Amortization'!I$507),'TIF Loan Amortization'!$G$507,IF(AND($C160&gt;='TIF Loan Amortization'!$H$508,$C160&lt;='TIF Loan Amortization'!I$508),'TIF Loan Amortization'!$G$508,IF(AND($C160&gt;='TIF Loan Amortization'!$H$509,$C160&lt;='TIF Loan Amortization'!I$509),'TIF Loan Amortization'!$G$509,IF(AND($C160&gt;='TIF Loan Amortization'!$H$510,$C160&lt;='TIF Loan Amortization'!I$510),'TIF Loan Amortization'!$G$510,IF(AND($C160&gt;='TIF Loan Amortization'!$H$511,$C160&lt;='TIF Loan Amortization'!I$511),'TIF Loan Amortization'!$G$511,IF(AND($C160&gt;='TIF Loan Amortization'!$H$512,$C160&lt;='TIF Loan Amortization'!I$512),'TIF Loan Amortization'!$G$512,IF(AND($C160&gt;='TIF Loan Amortization'!$H$513,$C160&lt;='TIF Loan Amortization'!I$513),'TIF Loan Amortization'!$G$513,IF(AND($C160&gt;='TIF Loan Amortization'!$H$514,$C160&lt;='TIF Loan Amortization'!I$514),'TIF Loan Amortization'!$G$514,IF(AND($C160&gt;='TIF Loan Amortization'!$H$515,$C160&lt;='TIF Loan Amortization'!I$515),'TIF Loan Amortization'!$G$515,IF(AND($C160&gt;='TIF Loan Amortization'!$H$516,$C160&lt;='TIF Loan Amortization'!I$516),'TIF Loan Amortization'!$G$516,IF(AND($C160&gt;='TIF Loan Amortization'!$H$517,$C160&lt;='TIF Loan Amortization'!I$517),'TIF Loan Amortization'!$G$517,IF(AND($C160&gt;='TIF Loan Amortization'!$H$518,$C160&lt;='TIF Loan Amortization'!I$518),'TIF Loan Amortization'!$G$518,IF(AND($C160&gt;='TIF Loan Amortization'!$H$519,$C160&lt;='TIF Loan Amortization'!I$519),'TIF Loan Amortization'!$G$519))))))))))))))))))))))))))))))))))))))))</f>
        <v>#N/A</v>
      </c>
      <c r="C160" s="269" t="e">
        <f t="shared" si="23"/>
        <v>#N/A</v>
      </c>
      <c r="D160" s="281" t="str">
        <f>IF($AG$424=1,$H$10+10,"")</f>
        <v/>
      </c>
      <c r="E160" s="274">
        <v>110</v>
      </c>
      <c r="F160" s="275" t="str">
        <f>VLOOKUP($AG$424,$AE$422:$AF$433,2)</f>
        <v>May</v>
      </c>
      <c r="G160" s="272">
        <f t="shared" si="24"/>
        <v>0</v>
      </c>
      <c r="H160" s="272">
        <f t="shared" si="27"/>
        <v>0</v>
      </c>
      <c r="I160" s="272">
        <f t="shared" si="28"/>
        <v>0</v>
      </c>
      <c r="J160" s="272">
        <f t="shared" si="25"/>
        <v>0</v>
      </c>
      <c r="K160" s="272">
        <f>IF(ISTEXT($M$4),"",SUM(I$50:I160))</f>
        <v>0</v>
      </c>
      <c r="L160" s="272">
        <f>IF(ISTEXT($M$4),"",SUM(J$50:J160))</f>
        <v>0</v>
      </c>
      <c r="M160" s="271">
        <f t="shared" si="26"/>
        <v>0</v>
      </c>
      <c r="N160" s="291" t="e">
        <f>IF(C160='Operating Assumptions'!$C$48,"Construction Finish","")</f>
        <v>#N/A</v>
      </c>
      <c r="O160" s="291"/>
      <c r="P160" s="291"/>
      <c r="Q160" s="291"/>
      <c r="R160" s="291"/>
      <c r="S160" s="291"/>
      <c r="T160" s="291"/>
      <c r="U160" s="291"/>
      <c r="V160" s="292"/>
      <c r="W160" s="292"/>
      <c r="X160" s="292"/>
      <c r="Y160" s="291"/>
      <c r="Z160" s="279"/>
      <c r="AA160" s="279"/>
      <c r="AB160" s="279"/>
    </row>
    <row r="161" spans="2:28" s="278" customFormat="1" ht="11.65" hidden="1" customHeight="1" outlineLevel="1" x14ac:dyDescent="0.25">
      <c r="B161" s="270" t="e">
        <f>IF(AND($C161&gt;='TIF Loan Amortization'!$H$480,$C161&lt;='TIF Loan Amortization'!$I$480),'TIF Loan Amortization'!$G$480,IF(AND($C161&gt;='TIF Loan Amortization'!$H$481,$C161&lt;='TIF Loan Amortization'!I$481),'TIF Loan Amortization'!$G$481,IF(AND($C161&gt;='TIF Loan Amortization'!$H$482,$C161&lt;='TIF Loan Amortization'!I$482),'TIF Loan Amortization'!$G$482,IF(AND($C161&gt;='TIF Loan Amortization'!$H$483,$C161&lt;='TIF Loan Amortization'!I$483),'TIF Loan Amortization'!$G$483,IF(AND($C161&gt;='TIF Loan Amortization'!$H$484,$C161&lt;='TIF Loan Amortization'!I$484),'TIF Loan Amortization'!$G$484,IF(AND($C161&gt;='TIF Loan Amortization'!$H$485,$C161&lt;='TIF Loan Amortization'!I$485),'TIF Loan Amortization'!$G$485,IF(AND($C161&gt;='TIF Loan Amortization'!$H$486,$C161&lt;='TIF Loan Amortization'!I$486),'TIF Loan Amortization'!$G$486,IF(AND($C161&gt;='TIF Loan Amortization'!$H$487,$C161&lt;='TIF Loan Amortization'!I$487),'TIF Loan Amortization'!$G$487,IF(AND($C161&gt;='TIF Loan Amortization'!$H$488,$C161&lt;='TIF Loan Amortization'!I$488),'TIF Loan Amortization'!$G$488,IF(AND($C161&gt;='TIF Loan Amortization'!$H$489,$C161&lt;='TIF Loan Amortization'!I$489),'TIF Loan Amortization'!$G$489,IF(AND($C161&gt;='TIF Loan Amortization'!$H$490,$C161&lt;='TIF Loan Amortization'!I$490),'TIF Loan Amortization'!$G$490,IF(AND($C161&gt;='TIF Loan Amortization'!$H$491,$C161&lt;='TIF Loan Amortization'!I$491),'TIF Loan Amortization'!$G$491,IF(AND($C161&gt;='TIF Loan Amortization'!$H$492,$C161&lt;='TIF Loan Amortization'!I$492),'TIF Loan Amortization'!$G$492,IF(AND($C161&gt;='TIF Loan Amortization'!$H$493,$C161&lt;='TIF Loan Amortization'!I$493),'TIF Loan Amortization'!$G$493,IF(AND($C161&gt;='TIF Loan Amortization'!$H$494,$C161&lt;='TIF Loan Amortization'!I$494),'TIF Loan Amortization'!$G$494,IF(AND($C161&gt;='TIF Loan Amortization'!$H$495,$C161&lt;='TIF Loan Amortization'!I$495),'TIF Loan Amortization'!$G$495,IF(AND($C161&gt;='TIF Loan Amortization'!$H$496,$C161&lt;='TIF Loan Amortization'!I$496),'TIF Loan Amortization'!$G$496,IF(AND($C161&gt;='TIF Loan Amortization'!$H$497,$C161&lt;='TIF Loan Amortization'!I$497),'TIF Loan Amortization'!$G$497,IF(AND($C161&gt;='TIF Loan Amortization'!$H$498,$C161&lt;='TIF Loan Amortization'!I$498),'TIF Loan Amortization'!$G$498,IF(AND($C161&gt;='TIF Loan Amortization'!$H$499,$C161&lt;='TIF Loan Amortization'!I$499),'TIF Loan Amortization'!$G$499,IF(AND($C161&gt;='TIF Loan Amortization'!$H$500,$C161&lt;='TIF Loan Amortization'!I$500),'TIF Loan Amortization'!$G$500,IF(AND($C161&gt;='TIF Loan Amortization'!$H$501,$C161&lt;='TIF Loan Amortization'!I$501),'TIF Loan Amortization'!$G$501,IF(AND($C161&gt;='TIF Loan Amortization'!$H$502,$C161&lt;='TIF Loan Amortization'!I$502),'TIF Loan Amortization'!$G$502,IF(AND($C161&gt;='TIF Loan Amortization'!$H$503,$C161&lt;='TIF Loan Amortization'!I$503),'TIF Loan Amortization'!$G$503,IF(AND($C161&gt;='TIF Loan Amortization'!$H$504,$C161&lt;='TIF Loan Amortization'!I$504),'TIF Loan Amortization'!$G$504,IF(AND($C161&gt;='TIF Loan Amortization'!$H$505,$C161&lt;='TIF Loan Amortization'!I$505),'TIF Loan Amortization'!$G$505,IF(AND($C161&gt;='TIF Loan Amortization'!$H$506,$C161&lt;='TIF Loan Amortization'!I$506),'TIF Loan Amortization'!$G$506,IF(AND($C161&gt;='TIF Loan Amortization'!$H$507,$C161&lt;='TIF Loan Amortization'!I$507),'TIF Loan Amortization'!$G$507,IF(AND($C161&gt;='TIF Loan Amortization'!$H$508,$C161&lt;='TIF Loan Amortization'!I$508),'TIF Loan Amortization'!$G$508,IF(AND($C161&gt;='TIF Loan Amortization'!$H$509,$C161&lt;='TIF Loan Amortization'!I$509),'TIF Loan Amortization'!$G$509,IF(AND($C161&gt;='TIF Loan Amortization'!$H$510,$C161&lt;='TIF Loan Amortization'!I$510),'TIF Loan Amortization'!$G$510,IF(AND($C161&gt;='TIF Loan Amortization'!$H$511,$C161&lt;='TIF Loan Amortization'!I$511),'TIF Loan Amortization'!$G$511,IF(AND($C161&gt;='TIF Loan Amortization'!$H$512,$C161&lt;='TIF Loan Amortization'!I$512),'TIF Loan Amortization'!$G$512,IF(AND($C161&gt;='TIF Loan Amortization'!$H$513,$C161&lt;='TIF Loan Amortization'!I$513),'TIF Loan Amortization'!$G$513,IF(AND($C161&gt;='TIF Loan Amortization'!$H$514,$C161&lt;='TIF Loan Amortization'!I$514),'TIF Loan Amortization'!$G$514,IF(AND($C161&gt;='TIF Loan Amortization'!$H$515,$C161&lt;='TIF Loan Amortization'!I$515),'TIF Loan Amortization'!$G$515,IF(AND($C161&gt;='TIF Loan Amortization'!$H$516,$C161&lt;='TIF Loan Amortization'!I$516),'TIF Loan Amortization'!$G$516,IF(AND($C161&gt;='TIF Loan Amortization'!$H$517,$C161&lt;='TIF Loan Amortization'!I$517),'TIF Loan Amortization'!$G$517,IF(AND($C161&gt;='TIF Loan Amortization'!$H$518,$C161&lt;='TIF Loan Amortization'!I$518),'TIF Loan Amortization'!$G$518,IF(AND($C161&gt;='TIF Loan Amortization'!$H$519,$C161&lt;='TIF Loan Amortization'!I$519),'TIF Loan Amortization'!$G$519))))))))))))))))))))))))))))))))))))))))</f>
        <v>#N/A</v>
      </c>
      <c r="C161" s="269" t="e">
        <f t="shared" si="23"/>
        <v>#N/A</v>
      </c>
      <c r="D161" s="281" t="str">
        <f>IF($AG$425=1,$H$10+10,"")</f>
        <v/>
      </c>
      <c r="E161" s="274">
        <v>111</v>
      </c>
      <c r="F161" s="275" t="str">
        <f>VLOOKUP($AG$425,$AE$422:$AF$433,2)</f>
        <v>Jun</v>
      </c>
      <c r="G161" s="272">
        <f t="shared" si="24"/>
        <v>0</v>
      </c>
      <c r="H161" s="272">
        <f t="shared" si="27"/>
        <v>0</v>
      </c>
      <c r="I161" s="272">
        <f t="shared" si="28"/>
        <v>0</v>
      </c>
      <c r="J161" s="272">
        <f t="shared" si="25"/>
        <v>0</v>
      </c>
      <c r="K161" s="272">
        <f>IF(ISTEXT($M$4),"",SUM(I$50:I161))</f>
        <v>0</v>
      </c>
      <c r="L161" s="272">
        <f>IF(ISTEXT($M$4),"",SUM(J$50:J161))</f>
        <v>0</v>
      </c>
      <c r="M161" s="271">
        <f t="shared" si="26"/>
        <v>0</v>
      </c>
      <c r="N161" s="291" t="e">
        <f>IF(C161='Operating Assumptions'!$C$48,"Construction Finish","")</f>
        <v>#N/A</v>
      </c>
      <c r="O161" s="291"/>
      <c r="P161" s="291"/>
      <c r="Q161" s="291"/>
      <c r="R161" s="291"/>
      <c r="S161" s="291"/>
      <c r="T161" s="291"/>
      <c r="U161" s="291"/>
      <c r="V161" s="292"/>
      <c r="W161" s="292"/>
      <c r="X161" s="292"/>
      <c r="Y161" s="291"/>
      <c r="Z161" s="279"/>
      <c r="AA161" s="279"/>
      <c r="AB161" s="279"/>
    </row>
    <row r="162" spans="2:28" s="278" customFormat="1" ht="11.65" hidden="1" customHeight="1" outlineLevel="1" x14ac:dyDescent="0.25">
      <c r="B162" s="270" t="e">
        <f>IF(AND($C162&gt;='TIF Loan Amortization'!$H$480,$C162&lt;='TIF Loan Amortization'!$I$480),'TIF Loan Amortization'!$G$480,IF(AND($C162&gt;='TIF Loan Amortization'!$H$481,$C162&lt;='TIF Loan Amortization'!I$481),'TIF Loan Amortization'!$G$481,IF(AND($C162&gt;='TIF Loan Amortization'!$H$482,$C162&lt;='TIF Loan Amortization'!I$482),'TIF Loan Amortization'!$G$482,IF(AND($C162&gt;='TIF Loan Amortization'!$H$483,$C162&lt;='TIF Loan Amortization'!I$483),'TIF Loan Amortization'!$G$483,IF(AND($C162&gt;='TIF Loan Amortization'!$H$484,$C162&lt;='TIF Loan Amortization'!I$484),'TIF Loan Amortization'!$G$484,IF(AND($C162&gt;='TIF Loan Amortization'!$H$485,$C162&lt;='TIF Loan Amortization'!I$485),'TIF Loan Amortization'!$G$485,IF(AND($C162&gt;='TIF Loan Amortization'!$H$486,$C162&lt;='TIF Loan Amortization'!I$486),'TIF Loan Amortization'!$G$486,IF(AND($C162&gt;='TIF Loan Amortization'!$H$487,$C162&lt;='TIF Loan Amortization'!I$487),'TIF Loan Amortization'!$G$487,IF(AND($C162&gt;='TIF Loan Amortization'!$H$488,$C162&lt;='TIF Loan Amortization'!I$488),'TIF Loan Amortization'!$G$488,IF(AND($C162&gt;='TIF Loan Amortization'!$H$489,$C162&lt;='TIF Loan Amortization'!I$489),'TIF Loan Amortization'!$G$489,IF(AND($C162&gt;='TIF Loan Amortization'!$H$490,$C162&lt;='TIF Loan Amortization'!I$490),'TIF Loan Amortization'!$G$490,IF(AND($C162&gt;='TIF Loan Amortization'!$H$491,$C162&lt;='TIF Loan Amortization'!I$491),'TIF Loan Amortization'!$G$491,IF(AND($C162&gt;='TIF Loan Amortization'!$H$492,$C162&lt;='TIF Loan Amortization'!I$492),'TIF Loan Amortization'!$G$492,IF(AND($C162&gt;='TIF Loan Amortization'!$H$493,$C162&lt;='TIF Loan Amortization'!I$493),'TIF Loan Amortization'!$G$493,IF(AND($C162&gt;='TIF Loan Amortization'!$H$494,$C162&lt;='TIF Loan Amortization'!I$494),'TIF Loan Amortization'!$G$494,IF(AND($C162&gt;='TIF Loan Amortization'!$H$495,$C162&lt;='TIF Loan Amortization'!I$495),'TIF Loan Amortization'!$G$495,IF(AND($C162&gt;='TIF Loan Amortization'!$H$496,$C162&lt;='TIF Loan Amortization'!I$496),'TIF Loan Amortization'!$G$496,IF(AND($C162&gt;='TIF Loan Amortization'!$H$497,$C162&lt;='TIF Loan Amortization'!I$497),'TIF Loan Amortization'!$G$497,IF(AND($C162&gt;='TIF Loan Amortization'!$H$498,$C162&lt;='TIF Loan Amortization'!I$498),'TIF Loan Amortization'!$G$498,IF(AND($C162&gt;='TIF Loan Amortization'!$H$499,$C162&lt;='TIF Loan Amortization'!I$499),'TIF Loan Amortization'!$G$499,IF(AND($C162&gt;='TIF Loan Amortization'!$H$500,$C162&lt;='TIF Loan Amortization'!I$500),'TIF Loan Amortization'!$G$500,IF(AND($C162&gt;='TIF Loan Amortization'!$H$501,$C162&lt;='TIF Loan Amortization'!I$501),'TIF Loan Amortization'!$G$501,IF(AND($C162&gt;='TIF Loan Amortization'!$H$502,$C162&lt;='TIF Loan Amortization'!I$502),'TIF Loan Amortization'!$G$502,IF(AND($C162&gt;='TIF Loan Amortization'!$H$503,$C162&lt;='TIF Loan Amortization'!I$503),'TIF Loan Amortization'!$G$503,IF(AND($C162&gt;='TIF Loan Amortization'!$H$504,$C162&lt;='TIF Loan Amortization'!I$504),'TIF Loan Amortization'!$G$504,IF(AND($C162&gt;='TIF Loan Amortization'!$H$505,$C162&lt;='TIF Loan Amortization'!I$505),'TIF Loan Amortization'!$G$505,IF(AND($C162&gt;='TIF Loan Amortization'!$H$506,$C162&lt;='TIF Loan Amortization'!I$506),'TIF Loan Amortization'!$G$506,IF(AND($C162&gt;='TIF Loan Amortization'!$H$507,$C162&lt;='TIF Loan Amortization'!I$507),'TIF Loan Amortization'!$G$507,IF(AND($C162&gt;='TIF Loan Amortization'!$H$508,$C162&lt;='TIF Loan Amortization'!I$508),'TIF Loan Amortization'!$G$508,IF(AND($C162&gt;='TIF Loan Amortization'!$H$509,$C162&lt;='TIF Loan Amortization'!I$509),'TIF Loan Amortization'!$G$509,IF(AND($C162&gt;='TIF Loan Amortization'!$H$510,$C162&lt;='TIF Loan Amortization'!I$510),'TIF Loan Amortization'!$G$510,IF(AND($C162&gt;='TIF Loan Amortization'!$H$511,$C162&lt;='TIF Loan Amortization'!I$511),'TIF Loan Amortization'!$G$511,IF(AND($C162&gt;='TIF Loan Amortization'!$H$512,$C162&lt;='TIF Loan Amortization'!I$512),'TIF Loan Amortization'!$G$512,IF(AND($C162&gt;='TIF Loan Amortization'!$H$513,$C162&lt;='TIF Loan Amortization'!I$513),'TIF Loan Amortization'!$G$513,IF(AND($C162&gt;='TIF Loan Amortization'!$H$514,$C162&lt;='TIF Loan Amortization'!I$514),'TIF Loan Amortization'!$G$514,IF(AND($C162&gt;='TIF Loan Amortization'!$H$515,$C162&lt;='TIF Loan Amortization'!I$515),'TIF Loan Amortization'!$G$515,IF(AND($C162&gt;='TIF Loan Amortization'!$H$516,$C162&lt;='TIF Loan Amortization'!I$516),'TIF Loan Amortization'!$G$516,IF(AND($C162&gt;='TIF Loan Amortization'!$H$517,$C162&lt;='TIF Loan Amortization'!I$517),'TIF Loan Amortization'!$G$517,IF(AND($C162&gt;='TIF Loan Amortization'!$H$518,$C162&lt;='TIF Loan Amortization'!I$518),'TIF Loan Amortization'!$G$518,IF(AND($C162&gt;='TIF Loan Amortization'!$H$519,$C162&lt;='TIF Loan Amortization'!I$519),'TIF Loan Amortization'!$G$519))))))))))))))))))))))))))))))))))))))))</f>
        <v>#N/A</v>
      </c>
      <c r="C162" s="269" t="e">
        <f t="shared" si="23"/>
        <v>#N/A</v>
      </c>
      <c r="D162" s="281" t="str">
        <f>IF($AG$426=1,$H$10+10,"")</f>
        <v/>
      </c>
      <c r="E162" s="274">
        <v>112</v>
      </c>
      <c r="F162" s="275" t="str">
        <f>VLOOKUP($AG$426,$AE$422:$AF$433,2)</f>
        <v>Jul</v>
      </c>
      <c r="G162" s="272">
        <f t="shared" si="24"/>
        <v>0</v>
      </c>
      <c r="H162" s="272">
        <f t="shared" si="27"/>
        <v>0</v>
      </c>
      <c r="I162" s="272">
        <f t="shared" si="28"/>
        <v>0</v>
      </c>
      <c r="J162" s="272">
        <f t="shared" si="25"/>
        <v>0</v>
      </c>
      <c r="K162" s="272">
        <f>IF(ISTEXT($M$4),"",SUM(I$50:I162))</f>
        <v>0</v>
      </c>
      <c r="L162" s="272">
        <f>IF(ISTEXT($M$4),"",SUM(J$50:J162))</f>
        <v>0</v>
      </c>
      <c r="M162" s="271">
        <f t="shared" si="26"/>
        <v>0</v>
      </c>
      <c r="N162" s="291" t="e">
        <f>IF(C162='Operating Assumptions'!$C$48,"Construction Finish","")</f>
        <v>#N/A</v>
      </c>
      <c r="O162" s="291"/>
      <c r="P162" s="291"/>
      <c r="Q162" s="291"/>
      <c r="R162" s="291"/>
      <c r="S162" s="291"/>
      <c r="T162" s="291"/>
      <c r="U162" s="291"/>
      <c r="V162" s="292"/>
      <c r="W162" s="292"/>
      <c r="X162" s="292"/>
      <c r="Y162" s="291"/>
      <c r="Z162" s="279"/>
      <c r="AA162" s="279"/>
      <c r="AB162" s="279"/>
    </row>
    <row r="163" spans="2:28" s="278" customFormat="1" ht="11.65" hidden="1" customHeight="1" outlineLevel="1" x14ac:dyDescent="0.25">
      <c r="B163" s="270" t="e">
        <f>IF(AND($C163&gt;='TIF Loan Amortization'!$H$480,$C163&lt;='TIF Loan Amortization'!$I$480),'TIF Loan Amortization'!$G$480,IF(AND($C163&gt;='TIF Loan Amortization'!$H$481,$C163&lt;='TIF Loan Amortization'!I$481),'TIF Loan Amortization'!$G$481,IF(AND($C163&gt;='TIF Loan Amortization'!$H$482,$C163&lt;='TIF Loan Amortization'!I$482),'TIF Loan Amortization'!$G$482,IF(AND($C163&gt;='TIF Loan Amortization'!$H$483,$C163&lt;='TIF Loan Amortization'!I$483),'TIF Loan Amortization'!$G$483,IF(AND($C163&gt;='TIF Loan Amortization'!$H$484,$C163&lt;='TIF Loan Amortization'!I$484),'TIF Loan Amortization'!$G$484,IF(AND($C163&gt;='TIF Loan Amortization'!$H$485,$C163&lt;='TIF Loan Amortization'!I$485),'TIF Loan Amortization'!$G$485,IF(AND($C163&gt;='TIF Loan Amortization'!$H$486,$C163&lt;='TIF Loan Amortization'!I$486),'TIF Loan Amortization'!$G$486,IF(AND($C163&gt;='TIF Loan Amortization'!$H$487,$C163&lt;='TIF Loan Amortization'!I$487),'TIF Loan Amortization'!$G$487,IF(AND($C163&gt;='TIF Loan Amortization'!$H$488,$C163&lt;='TIF Loan Amortization'!I$488),'TIF Loan Amortization'!$G$488,IF(AND($C163&gt;='TIF Loan Amortization'!$H$489,$C163&lt;='TIF Loan Amortization'!I$489),'TIF Loan Amortization'!$G$489,IF(AND($C163&gt;='TIF Loan Amortization'!$H$490,$C163&lt;='TIF Loan Amortization'!I$490),'TIF Loan Amortization'!$G$490,IF(AND($C163&gt;='TIF Loan Amortization'!$H$491,$C163&lt;='TIF Loan Amortization'!I$491),'TIF Loan Amortization'!$G$491,IF(AND($C163&gt;='TIF Loan Amortization'!$H$492,$C163&lt;='TIF Loan Amortization'!I$492),'TIF Loan Amortization'!$G$492,IF(AND($C163&gt;='TIF Loan Amortization'!$H$493,$C163&lt;='TIF Loan Amortization'!I$493),'TIF Loan Amortization'!$G$493,IF(AND($C163&gt;='TIF Loan Amortization'!$H$494,$C163&lt;='TIF Loan Amortization'!I$494),'TIF Loan Amortization'!$G$494,IF(AND($C163&gt;='TIF Loan Amortization'!$H$495,$C163&lt;='TIF Loan Amortization'!I$495),'TIF Loan Amortization'!$G$495,IF(AND($C163&gt;='TIF Loan Amortization'!$H$496,$C163&lt;='TIF Loan Amortization'!I$496),'TIF Loan Amortization'!$G$496,IF(AND($C163&gt;='TIF Loan Amortization'!$H$497,$C163&lt;='TIF Loan Amortization'!I$497),'TIF Loan Amortization'!$G$497,IF(AND($C163&gt;='TIF Loan Amortization'!$H$498,$C163&lt;='TIF Loan Amortization'!I$498),'TIF Loan Amortization'!$G$498,IF(AND($C163&gt;='TIF Loan Amortization'!$H$499,$C163&lt;='TIF Loan Amortization'!I$499),'TIF Loan Amortization'!$G$499,IF(AND($C163&gt;='TIF Loan Amortization'!$H$500,$C163&lt;='TIF Loan Amortization'!I$500),'TIF Loan Amortization'!$G$500,IF(AND($C163&gt;='TIF Loan Amortization'!$H$501,$C163&lt;='TIF Loan Amortization'!I$501),'TIF Loan Amortization'!$G$501,IF(AND($C163&gt;='TIF Loan Amortization'!$H$502,$C163&lt;='TIF Loan Amortization'!I$502),'TIF Loan Amortization'!$G$502,IF(AND($C163&gt;='TIF Loan Amortization'!$H$503,$C163&lt;='TIF Loan Amortization'!I$503),'TIF Loan Amortization'!$G$503,IF(AND($C163&gt;='TIF Loan Amortization'!$H$504,$C163&lt;='TIF Loan Amortization'!I$504),'TIF Loan Amortization'!$G$504,IF(AND($C163&gt;='TIF Loan Amortization'!$H$505,$C163&lt;='TIF Loan Amortization'!I$505),'TIF Loan Amortization'!$G$505,IF(AND($C163&gt;='TIF Loan Amortization'!$H$506,$C163&lt;='TIF Loan Amortization'!I$506),'TIF Loan Amortization'!$G$506,IF(AND($C163&gt;='TIF Loan Amortization'!$H$507,$C163&lt;='TIF Loan Amortization'!I$507),'TIF Loan Amortization'!$G$507,IF(AND($C163&gt;='TIF Loan Amortization'!$H$508,$C163&lt;='TIF Loan Amortization'!I$508),'TIF Loan Amortization'!$G$508,IF(AND($C163&gt;='TIF Loan Amortization'!$H$509,$C163&lt;='TIF Loan Amortization'!I$509),'TIF Loan Amortization'!$G$509,IF(AND($C163&gt;='TIF Loan Amortization'!$H$510,$C163&lt;='TIF Loan Amortization'!I$510),'TIF Loan Amortization'!$G$510,IF(AND($C163&gt;='TIF Loan Amortization'!$H$511,$C163&lt;='TIF Loan Amortization'!I$511),'TIF Loan Amortization'!$G$511,IF(AND($C163&gt;='TIF Loan Amortization'!$H$512,$C163&lt;='TIF Loan Amortization'!I$512),'TIF Loan Amortization'!$G$512,IF(AND($C163&gt;='TIF Loan Amortization'!$H$513,$C163&lt;='TIF Loan Amortization'!I$513),'TIF Loan Amortization'!$G$513,IF(AND($C163&gt;='TIF Loan Amortization'!$H$514,$C163&lt;='TIF Loan Amortization'!I$514),'TIF Loan Amortization'!$G$514,IF(AND($C163&gt;='TIF Loan Amortization'!$H$515,$C163&lt;='TIF Loan Amortization'!I$515),'TIF Loan Amortization'!$G$515,IF(AND($C163&gt;='TIF Loan Amortization'!$H$516,$C163&lt;='TIF Loan Amortization'!I$516),'TIF Loan Amortization'!$G$516,IF(AND($C163&gt;='TIF Loan Amortization'!$H$517,$C163&lt;='TIF Loan Amortization'!I$517),'TIF Loan Amortization'!$G$517,IF(AND($C163&gt;='TIF Loan Amortization'!$H$518,$C163&lt;='TIF Loan Amortization'!I$518),'TIF Loan Amortization'!$G$518,IF(AND($C163&gt;='TIF Loan Amortization'!$H$519,$C163&lt;='TIF Loan Amortization'!I$519),'TIF Loan Amortization'!$G$519))))))))))))))))))))))))))))))))))))))))</f>
        <v>#N/A</v>
      </c>
      <c r="C163" s="269" t="e">
        <f t="shared" si="23"/>
        <v>#N/A</v>
      </c>
      <c r="D163" s="281" t="str">
        <f>IF($AG$427=1,$H$10+10,"")</f>
        <v/>
      </c>
      <c r="E163" s="274">
        <v>113</v>
      </c>
      <c r="F163" s="275" t="str">
        <f>VLOOKUP($AG$427,$AE$422:$AF$433,2)</f>
        <v>Aug</v>
      </c>
      <c r="G163" s="272">
        <f t="shared" si="24"/>
        <v>0</v>
      </c>
      <c r="H163" s="272">
        <f t="shared" si="27"/>
        <v>0</v>
      </c>
      <c r="I163" s="272">
        <f t="shared" si="28"/>
        <v>0</v>
      </c>
      <c r="J163" s="272">
        <f t="shared" si="25"/>
        <v>0</v>
      </c>
      <c r="K163" s="272">
        <f>IF(ISTEXT($M$4),"",SUM(I$50:I163))</f>
        <v>0</v>
      </c>
      <c r="L163" s="272">
        <f>IF(ISTEXT($M$4),"",SUM(J$50:J163))</f>
        <v>0</v>
      </c>
      <c r="M163" s="271">
        <f t="shared" si="26"/>
        <v>0</v>
      </c>
      <c r="N163" s="291" t="e">
        <f>IF(C163='Operating Assumptions'!$C$48,"Construction Finish","")</f>
        <v>#N/A</v>
      </c>
      <c r="O163" s="291"/>
      <c r="P163" s="291"/>
      <c r="Q163" s="291"/>
      <c r="R163" s="291"/>
      <c r="S163" s="291"/>
      <c r="T163" s="291"/>
      <c r="U163" s="291"/>
      <c r="V163" s="292"/>
      <c r="W163" s="292"/>
      <c r="X163" s="292"/>
      <c r="Y163" s="291"/>
      <c r="Z163" s="279"/>
      <c r="AA163" s="279"/>
      <c r="AB163" s="279"/>
    </row>
    <row r="164" spans="2:28" s="278" customFormat="1" ht="11.65" hidden="1" customHeight="1" outlineLevel="1" x14ac:dyDescent="0.25">
      <c r="B164" s="270" t="e">
        <f>IF(AND($C164&gt;='TIF Loan Amortization'!$H$480,$C164&lt;='TIF Loan Amortization'!$I$480),'TIF Loan Amortization'!$G$480,IF(AND($C164&gt;='TIF Loan Amortization'!$H$481,$C164&lt;='TIF Loan Amortization'!I$481),'TIF Loan Amortization'!$G$481,IF(AND($C164&gt;='TIF Loan Amortization'!$H$482,$C164&lt;='TIF Loan Amortization'!I$482),'TIF Loan Amortization'!$G$482,IF(AND($C164&gt;='TIF Loan Amortization'!$H$483,$C164&lt;='TIF Loan Amortization'!I$483),'TIF Loan Amortization'!$G$483,IF(AND($C164&gt;='TIF Loan Amortization'!$H$484,$C164&lt;='TIF Loan Amortization'!I$484),'TIF Loan Amortization'!$G$484,IF(AND($C164&gt;='TIF Loan Amortization'!$H$485,$C164&lt;='TIF Loan Amortization'!I$485),'TIF Loan Amortization'!$G$485,IF(AND($C164&gt;='TIF Loan Amortization'!$H$486,$C164&lt;='TIF Loan Amortization'!I$486),'TIF Loan Amortization'!$G$486,IF(AND($C164&gt;='TIF Loan Amortization'!$H$487,$C164&lt;='TIF Loan Amortization'!I$487),'TIF Loan Amortization'!$G$487,IF(AND($C164&gt;='TIF Loan Amortization'!$H$488,$C164&lt;='TIF Loan Amortization'!I$488),'TIF Loan Amortization'!$G$488,IF(AND($C164&gt;='TIF Loan Amortization'!$H$489,$C164&lt;='TIF Loan Amortization'!I$489),'TIF Loan Amortization'!$G$489,IF(AND($C164&gt;='TIF Loan Amortization'!$H$490,$C164&lt;='TIF Loan Amortization'!I$490),'TIF Loan Amortization'!$G$490,IF(AND($C164&gt;='TIF Loan Amortization'!$H$491,$C164&lt;='TIF Loan Amortization'!I$491),'TIF Loan Amortization'!$G$491,IF(AND($C164&gt;='TIF Loan Amortization'!$H$492,$C164&lt;='TIF Loan Amortization'!I$492),'TIF Loan Amortization'!$G$492,IF(AND($C164&gt;='TIF Loan Amortization'!$H$493,$C164&lt;='TIF Loan Amortization'!I$493),'TIF Loan Amortization'!$G$493,IF(AND($C164&gt;='TIF Loan Amortization'!$H$494,$C164&lt;='TIF Loan Amortization'!I$494),'TIF Loan Amortization'!$G$494,IF(AND($C164&gt;='TIF Loan Amortization'!$H$495,$C164&lt;='TIF Loan Amortization'!I$495),'TIF Loan Amortization'!$G$495,IF(AND($C164&gt;='TIF Loan Amortization'!$H$496,$C164&lt;='TIF Loan Amortization'!I$496),'TIF Loan Amortization'!$G$496,IF(AND($C164&gt;='TIF Loan Amortization'!$H$497,$C164&lt;='TIF Loan Amortization'!I$497),'TIF Loan Amortization'!$G$497,IF(AND($C164&gt;='TIF Loan Amortization'!$H$498,$C164&lt;='TIF Loan Amortization'!I$498),'TIF Loan Amortization'!$G$498,IF(AND($C164&gt;='TIF Loan Amortization'!$H$499,$C164&lt;='TIF Loan Amortization'!I$499),'TIF Loan Amortization'!$G$499,IF(AND($C164&gt;='TIF Loan Amortization'!$H$500,$C164&lt;='TIF Loan Amortization'!I$500),'TIF Loan Amortization'!$G$500,IF(AND($C164&gt;='TIF Loan Amortization'!$H$501,$C164&lt;='TIF Loan Amortization'!I$501),'TIF Loan Amortization'!$G$501,IF(AND($C164&gt;='TIF Loan Amortization'!$H$502,$C164&lt;='TIF Loan Amortization'!I$502),'TIF Loan Amortization'!$G$502,IF(AND($C164&gt;='TIF Loan Amortization'!$H$503,$C164&lt;='TIF Loan Amortization'!I$503),'TIF Loan Amortization'!$G$503,IF(AND($C164&gt;='TIF Loan Amortization'!$H$504,$C164&lt;='TIF Loan Amortization'!I$504),'TIF Loan Amortization'!$G$504,IF(AND($C164&gt;='TIF Loan Amortization'!$H$505,$C164&lt;='TIF Loan Amortization'!I$505),'TIF Loan Amortization'!$G$505,IF(AND($C164&gt;='TIF Loan Amortization'!$H$506,$C164&lt;='TIF Loan Amortization'!I$506),'TIF Loan Amortization'!$G$506,IF(AND($C164&gt;='TIF Loan Amortization'!$H$507,$C164&lt;='TIF Loan Amortization'!I$507),'TIF Loan Amortization'!$G$507,IF(AND($C164&gt;='TIF Loan Amortization'!$H$508,$C164&lt;='TIF Loan Amortization'!I$508),'TIF Loan Amortization'!$G$508,IF(AND($C164&gt;='TIF Loan Amortization'!$H$509,$C164&lt;='TIF Loan Amortization'!I$509),'TIF Loan Amortization'!$G$509,IF(AND($C164&gt;='TIF Loan Amortization'!$H$510,$C164&lt;='TIF Loan Amortization'!I$510),'TIF Loan Amortization'!$G$510,IF(AND($C164&gt;='TIF Loan Amortization'!$H$511,$C164&lt;='TIF Loan Amortization'!I$511),'TIF Loan Amortization'!$G$511,IF(AND($C164&gt;='TIF Loan Amortization'!$H$512,$C164&lt;='TIF Loan Amortization'!I$512),'TIF Loan Amortization'!$G$512,IF(AND($C164&gt;='TIF Loan Amortization'!$H$513,$C164&lt;='TIF Loan Amortization'!I$513),'TIF Loan Amortization'!$G$513,IF(AND($C164&gt;='TIF Loan Amortization'!$H$514,$C164&lt;='TIF Loan Amortization'!I$514),'TIF Loan Amortization'!$G$514,IF(AND($C164&gt;='TIF Loan Amortization'!$H$515,$C164&lt;='TIF Loan Amortization'!I$515),'TIF Loan Amortization'!$G$515,IF(AND($C164&gt;='TIF Loan Amortization'!$H$516,$C164&lt;='TIF Loan Amortization'!I$516),'TIF Loan Amortization'!$G$516,IF(AND($C164&gt;='TIF Loan Amortization'!$H$517,$C164&lt;='TIF Loan Amortization'!I$517),'TIF Loan Amortization'!$G$517,IF(AND($C164&gt;='TIF Loan Amortization'!$H$518,$C164&lt;='TIF Loan Amortization'!I$518),'TIF Loan Amortization'!$G$518,IF(AND($C164&gt;='TIF Loan Amortization'!$H$519,$C164&lt;='TIF Loan Amortization'!I$519),'TIF Loan Amortization'!$G$519))))))))))))))))))))))))))))))))))))))))</f>
        <v>#N/A</v>
      </c>
      <c r="C164" s="269" t="e">
        <f t="shared" si="23"/>
        <v>#N/A</v>
      </c>
      <c r="D164" s="281" t="str">
        <f>IF($AG$428=1,$H$10+10,"")</f>
        <v/>
      </c>
      <c r="E164" s="274">
        <v>114</v>
      </c>
      <c r="F164" s="275" t="str">
        <f>VLOOKUP($AG$428,$AE$422:$AF$433,2)</f>
        <v>Sep</v>
      </c>
      <c r="G164" s="272">
        <f t="shared" si="24"/>
        <v>0</v>
      </c>
      <c r="H164" s="272">
        <f t="shared" si="27"/>
        <v>0</v>
      </c>
      <c r="I164" s="272">
        <f t="shared" si="28"/>
        <v>0</v>
      </c>
      <c r="J164" s="272">
        <f t="shared" si="25"/>
        <v>0</v>
      </c>
      <c r="K164" s="272">
        <f>IF(ISTEXT($M$4),"",SUM(I$50:I164))</f>
        <v>0</v>
      </c>
      <c r="L164" s="272">
        <f>IF(ISTEXT($M$4),"",SUM(J$50:J164))</f>
        <v>0</v>
      </c>
      <c r="M164" s="271">
        <f t="shared" si="26"/>
        <v>0</v>
      </c>
      <c r="N164" s="291" t="e">
        <f>IF(C164='Operating Assumptions'!$C$48,"Construction Finish","")</f>
        <v>#N/A</v>
      </c>
      <c r="O164" s="291"/>
      <c r="P164" s="291"/>
      <c r="Q164" s="291"/>
      <c r="R164" s="291"/>
      <c r="S164" s="291"/>
      <c r="T164" s="291"/>
      <c r="U164" s="291"/>
      <c r="V164" s="292"/>
      <c r="W164" s="292"/>
      <c r="X164" s="292"/>
      <c r="Y164" s="291"/>
      <c r="Z164" s="279"/>
      <c r="AA164" s="279"/>
      <c r="AB164" s="279"/>
    </row>
    <row r="165" spans="2:28" s="278" customFormat="1" ht="11.65" hidden="1" customHeight="1" outlineLevel="1" x14ac:dyDescent="0.25">
      <c r="B165" s="270" t="e">
        <f>IF(AND($C165&gt;='TIF Loan Amortization'!$H$480,$C165&lt;='TIF Loan Amortization'!$I$480),'TIF Loan Amortization'!$G$480,IF(AND($C165&gt;='TIF Loan Amortization'!$H$481,$C165&lt;='TIF Loan Amortization'!I$481),'TIF Loan Amortization'!$G$481,IF(AND($C165&gt;='TIF Loan Amortization'!$H$482,$C165&lt;='TIF Loan Amortization'!I$482),'TIF Loan Amortization'!$G$482,IF(AND($C165&gt;='TIF Loan Amortization'!$H$483,$C165&lt;='TIF Loan Amortization'!I$483),'TIF Loan Amortization'!$G$483,IF(AND($C165&gt;='TIF Loan Amortization'!$H$484,$C165&lt;='TIF Loan Amortization'!I$484),'TIF Loan Amortization'!$G$484,IF(AND($C165&gt;='TIF Loan Amortization'!$H$485,$C165&lt;='TIF Loan Amortization'!I$485),'TIF Loan Amortization'!$G$485,IF(AND($C165&gt;='TIF Loan Amortization'!$H$486,$C165&lt;='TIF Loan Amortization'!I$486),'TIF Loan Amortization'!$G$486,IF(AND($C165&gt;='TIF Loan Amortization'!$H$487,$C165&lt;='TIF Loan Amortization'!I$487),'TIF Loan Amortization'!$G$487,IF(AND($C165&gt;='TIF Loan Amortization'!$H$488,$C165&lt;='TIF Loan Amortization'!I$488),'TIF Loan Amortization'!$G$488,IF(AND($C165&gt;='TIF Loan Amortization'!$H$489,$C165&lt;='TIF Loan Amortization'!I$489),'TIF Loan Amortization'!$G$489,IF(AND($C165&gt;='TIF Loan Amortization'!$H$490,$C165&lt;='TIF Loan Amortization'!I$490),'TIF Loan Amortization'!$G$490,IF(AND($C165&gt;='TIF Loan Amortization'!$H$491,$C165&lt;='TIF Loan Amortization'!I$491),'TIF Loan Amortization'!$G$491,IF(AND($C165&gt;='TIF Loan Amortization'!$H$492,$C165&lt;='TIF Loan Amortization'!I$492),'TIF Loan Amortization'!$G$492,IF(AND($C165&gt;='TIF Loan Amortization'!$H$493,$C165&lt;='TIF Loan Amortization'!I$493),'TIF Loan Amortization'!$G$493,IF(AND($C165&gt;='TIF Loan Amortization'!$H$494,$C165&lt;='TIF Loan Amortization'!I$494),'TIF Loan Amortization'!$G$494,IF(AND($C165&gt;='TIF Loan Amortization'!$H$495,$C165&lt;='TIF Loan Amortization'!I$495),'TIF Loan Amortization'!$G$495,IF(AND($C165&gt;='TIF Loan Amortization'!$H$496,$C165&lt;='TIF Loan Amortization'!I$496),'TIF Loan Amortization'!$G$496,IF(AND($C165&gt;='TIF Loan Amortization'!$H$497,$C165&lt;='TIF Loan Amortization'!I$497),'TIF Loan Amortization'!$G$497,IF(AND($C165&gt;='TIF Loan Amortization'!$H$498,$C165&lt;='TIF Loan Amortization'!I$498),'TIF Loan Amortization'!$G$498,IF(AND($C165&gt;='TIF Loan Amortization'!$H$499,$C165&lt;='TIF Loan Amortization'!I$499),'TIF Loan Amortization'!$G$499,IF(AND($C165&gt;='TIF Loan Amortization'!$H$500,$C165&lt;='TIF Loan Amortization'!I$500),'TIF Loan Amortization'!$G$500,IF(AND($C165&gt;='TIF Loan Amortization'!$H$501,$C165&lt;='TIF Loan Amortization'!I$501),'TIF Loan Amortization'!$G$501,IF(AND($C165&gt;='TIF Loan Amortization'!$H$502,$C165&lt;='TIF Loan Amortization'!I$502),'TIF Loan Amortization'!$G$502,IF(AND($C165&gt;='TIF Loan Amortization'!$H$503,$C165&lt;='TIF Loan Amortization'!I$503),'TIF Loan Amortization'!$G$503,IF(AND($C165&gt;='TIF Loan Amortization'!$H$504,$C165&lt;='TIF Loan Amortization'!I$504),'TIF Loan Amortization'!$G$504,IF(AND($C165&gt;='TIF Loan Amortization'!$H$505,$C165&lt;='TIF Loan Amortization'!I$505),'TIF Loan Amortization'!$G$505,IF(AND($C165&gt;='TIF Loan Amortization'!$H$506,$C165&lt;='TIF Loan Amortization'!I$506),'TIF Loan Amortization'!$G$506,IF(AND($C165&gt;='TIF Loan Amortization'!$H$507,$C165&lt;='TIF Loan Amortization'!I$507),'TIF Loan Amortization'!$G$507,IF(AND($C165&gt;='TIF Loan Amortization'!$H$508,$C165&lt;='TIF Loan Amortization'!I$508),'TIF Loan Amortization'!$G$508,IF(AND($C165&gt;='TIF Loan Amortization'!$H$509,$C165&lt;='TIF Loan Amortization'!I$509),'TIF Loan Amortization'!$G$509,IF(AND($C165&gt;='TIF Loan Amortization'!$H$510,$C165&lt;='TIF Loan Amortization'!I$510),'TIF Loan Amortization'!$G$510,IF(AND($C165&gt;='TIF Loan Amortization'!$H$511,$C165&lt;='TIF Loan Amortization'!I$511),'TIF Loan Amortization'!$G$511,IF(AND($C165&gt;='TIF Loan Amortization'!$H$512,$C165&lt;='TIF Loan Amortization'!I$512),'TIF Loan Amortization'!$G$512,IF(AND($C165&gt;='TIF Loan Amortization'!$H$513,$C165&lt;='TIF Loan Amortization'!I$513),'TIF Loan Amortization'!$G$513,IF(AND($C165&gt;='TIF Loan Amortization'!$H$514,$C165&lt;='TIF Loan Amortization'!I$514),'TIF Loan Amortization'!$G$514,IF(AND($C165&gt;='TIF Loan Amortization'!$H$515,$C165&lt;='TIF Loan Amortization'!I$515),'TIF Loan Amortization'!$G$515,IF(AND($C165&gt;='TIF Loan Amortization'!$H$516,$C165&lt;='TIF Loan Amortization'!I$516),'TIF Loan Amortization'!$G$516,IF(AND($C165&gt;='TIF Loan Amortization'!$H$517,$C165&lt;='TIF Loan Amortization'!I$517),'TIF Loan Amortization'!$G$517,IF(AND($C165&gt;='TIF Loan Amortization'!$H$518,$C165&lt;='TIF Loan Amortization'!I$518),'TIF Loan Amortization'!$G$518,IF(AND($C165&gt;='TIF Loan Amortization'!$H$519,$C165&lt;='TIF Loan Amortization'!I$519),'TIF Loan Amortization'!$G$519))))))))))))))))))))))))))))))))))))))))</f>
        <v>#N/A</v>
      </c>
      <c r="C165" s="269" t="e">
        <f t="shared" si="23"/>
        <v>#N/A</v>
      </c>
      <c r="D165" s="281" t="str">
        <f>IF($AG$429=1,$H$10+10,"")</f>
        <v/>
      </c>
      <c r="E165" s="274">
        <v>115</v>
      </c>
      <c r="F165" s="275" t="str">
        <f>VLOOKUP($AG$429,$AE$422:$AF$433,2)</f>
        <v>Oct</v>
      </c>
      <c r="G165" s="272">
        <f t="shared" si="24"/>
        <v>0</v>
      </c>
      <c r="H165" s="272">
        <f t="shared" si="27"/>
        <v>0</v>
      </c>
      <c r="I165" s="272">
        <f t="shared" si="28"/>
        <v>0</v>
      </c>
      <c r="J165" s="272">
        <f t="shared" si="25"/>
        <v>0</v>
      </c>
      <c r="K165" s="272">
        <f>IF(ISTEXT($M$4),"",SUM(I$50:I165))</f>
        <v>0</v>
      </c>
      <c r="L165" s="272">
        <f>IF(ISTEXT($M$4),"",SUM(J$50:J165))</f>
        <v>0</v>
      </c>
      <c r="M165" s="271">
        <f t="shared" si="26"/>
        <v>0</v>
      </c>
      <c r="N165" s="291" t="e">
        <f>IF(C165='Operating Assumptions'!$C$48,"Construction Finish","")</f>
        <v>#N/A</v>
      </c>
      <c r="O165" s="291"/>
      <c r="P165" s="291"/>
      <c r="Q165" s="291"/>
      <c r="R165" s="291"/>
      <c r="S165" s="291"/>
      <c r="T165" s="291"/>
      <c r="U165" s="291"/>
      <c r="V165" s="292"/>
      <c r="W165" s="292"/>
      <c r="X165" s="292"/>
      <c r="Y165" s="291"/>
      <c r="Z165" s="279"/>
      <c r="AA165" s="279"/>
      <c r="AB165" s="279"/>
    </row>
    <row r="166" spans="2:28" s="278" customFormat="1" ht="11.65" hidden="1" customHeight="1" outlineLevel="1" x14ac:dyDescent="0.25">
      <c r="B166" s="270" t="e">
        <f>IF(AND($C166&gt;='TIF Loan Amortization'!$H$480,$C166&lt;='TIF Loan Amortization'!$I$480),'TIF Loan Amortization'!$G$480,IF(AND($C166&gt;='TIF Loan Amortization'!$H$481,$C166&lt;='TIF Loan Amortization'!I$481),'TIF Loan Amortization'!$G$481,IF(AND($C166&gt;='TIF Loan Amortization'!$H$482,$C166&lt;='TIF Loan Amortization'!I$482),'TIF Loan Amortization'!$G$482,IF(AND($C166&gt;='TIF Loan Amortization'!$H$483,$C166&lt;='TIF Loan Amortization'!I$483),'TIF Loan Amortization'!$G$483,IF(AND($C166&gt;='TIF Loan Amortization'!$H$484,$C166&lt;='TIF Loan Amortization'!I$484),'TIF Loan Amortization'!$G$484,IF(AND($C166&gt;='TIF Loan Amortization'!$H$485,$C166&lt;='TIF Loan Amortization'!I$485),'TIF Loan Amortization'!$G$485,IF(AND($C166&gt;='TIF Loan Amortization'!$H$486,$C166&lt;='TIF Loan Amortization'!I$486),'TIF Loan Amortization'!$G$486,IF(AND($C166&gt;='TIF Loan Amortization'!$H$487,$C166&lt;='TIF Loan Amortization'!I$487),'TIF Loan Amortization'!$G$487,IF(AND($C166&gt;='TIF Loan Amortization'!$H$488,$C166&lt;='TIF Loan Amortization'!I$488),'TIF Loan Amortization'!$G$488,IF(AND($C166&gt;='TIF Loan Amortization'!$H$489,$C166&lt;='TIF Loan Amortization'!I$489),'TIF Loan Amortization'!$G$489,IF(AND($C166&gt;='TIF Loan Amortization'!$H$490,$C166&lt;='TIF Loan Amortization'!I$490),'TIF Loan Amortization'!$G$490,IF(AND($C166&gt;='TIF Loan Amortization'!$H$491,$C166&lt;='TIF Loan Amortization'!I$491),'TIF Loan Amortization'!$G$491,IF(AND($C166&gt;='TIF Loan Amortization'!$H$492,$C166&lt;='TIF Loan Amortization'!I$492),'TIF Loan Amortization'!$G$492,IF(AND($C166&gt;='TIF Loan Amortization'!$H$493,$C166&lt;='TIF Loan Amortization'!I$493),'TIF Loan Amortization'!$G$493,IF(AND($C166&gt;='TIF Loan Amortization'!$H$494,$C166&lt;='TIF Loan Amortization'!I$494),'TIF Loan Amortization'!$G$494,IF(AND($C166&gt;='TIF Loan Amortization'!$H$495,$C166&lt;='TIF Loan Amortization'!I$495),'TIF Loan Amortization'!$G$495,IF(AND($C166&gt;='TIF Loan Amortization'!$H$496,$C166&lt;='TIF Loan Amortization'!I$496),'TIF Loan Amortization'!$G$496,IF(AND($C166&gt;='TIF Loan Amortization'!$H$497,$C166&lt;='TIF Loan Amortization'!I$497),'TIF Loan Amortization'!$G$497,IF(AND($C166&gt;='TIF Loan Amortization'!$H$498,$C166&lt;='TIF Loan Amortization'!I$498),'TIF Loan Amortization'!$G$498,IF(AND($C166&gt;='TIF Loan Amortization'!$H$499,$C166&lt;='TIF Loan Amortization'!I$499),'TIF Loan Amortization'!$G$499,IF(AND($C166&gt;='TIF Loan Amortization'!$H$500,$C166&lt;='TIF Loan Amortization'!I$500),'TIF Loan Amortization'!$G$500,IF(AND($C166&gt;='TIF Loan Amortization'!$H$501,$C166&lt;='TIF Loan Amortization'!I$501),'TIF Loan Amortization'!$G$501,IF(AND($C166&gt;='TIF Loan Amortization'!$H$502,$C166&lt;='TIF Loan Amortization'!I$502),'TIF Loan Amortization'!$G$502,IF(AND($C166&gt;='TIF Loan Amortization'!$H$503,$C166&lt;='TIF Loan Amortization'!I$503),'TIF Loan Amortization'!$G$503,IF(AND($C166&gt;='TIF Loan Amortization'!$H$504,$C166&lt;='TIF Loan Amortization'!I$504),'TIF Loan Amortization'!$G$504,IF(AND($C166&gt;='TIF Loan Amortization'!$H$505,$C166&lt;='TIF Loan Amortization'!I$505),'TIF Loan Amortization'!$G$505,IF(AND($C166&gt;='TIF Loan Amortization'!$H$506,$C166&lt;='TIF Loan Amortization'!I$506),'TIF Loan Amortization'!$G$506,IF(AND($C166&gt;='TIF Loan Amortization'!$H$507,$C166&lt;='TIF Loan Amortization'!I$507),'TIF Loan Amortization'!$G$507,IF(AND($C166&gt;='TIF Loan Amortization'!$H$508,$C166&lt;='TIF Loan Amortization'!I$508),'TIF Loan Amortization'!$G$508,IF(AND($C166&gt;='TIF Loan Amortization'!$H$509,$C166&lt;='TIF Loan Amortization'!I$509),'TIF Loan Amortization'!$G$509,IF(AND($C166&gt;='TIF Loan Amortization'!$H$510,$C166&lt;='TIF Loan Amortization'!I$510),'TIF Loan Amortization'!$G$510,IF(AND($C166&gt;='TIF Loan Amortization'!$H$511,$C166&lt;='TIF Loan Amortization'!I$511),'TIF Loan Amortization'!$G$511,IF(AND($C166&gt;='TIF Loan Amortization'!$H$512,$C166&lt;='TIF Loan Amortization'!I$512),'TIF Loan Amortization'!$G$512,IF(AND($C166&gt;='TIF Loan Amortization'!$H$513,$C166&lt;='TIF Loan Amortization'!I$513),'TIF Loan Amortization'!$G$513,IF(AND($C166&gt;='TIF Loan Amortization'!$H$514,$C166&lt;='TIF Loan Amortization'!I$514),'TIF Loan Amortization'!$G$514,IF(AND($C166&gt;='TIF Loan Amortization'!$H$515,$C166&lt;='TIF Loan Amortization'!I$515),'TIF Loan Amortization'!$G$515,IF(AND($C166&gt;='TIF Loan Amortization'!$H$516,$C166&lt;='TIF Loan Amortization'!I$516),'TIF Loan Amortization'!$G$516,IF(AND($C166&gt;='TIF Loan Amortization'!$H$517,$C166&lt;='TIF Loan Amortization'!I$517),'TIF Loan Amortization'!$G$517,IF(AND($C166&gt;='TIF Loan Amortization'!$H$518,$C166&lt;='TIF Loan Amortization'!I$518),'TIF Loan Amortization'!$G$518,IF(AND($C166&gt;='TIF Loan Amortization'!$H$519,$C166&lt;='TIF Loan Amortization'!I$519),'TIF Loan Amortization'!$G$519))))))))))))))))))))))))))))))))))))))))</f>
        <v>#N/A</v>
      </c>
      <c r="C166" s="269" t="e">
        <f t="shared" si="23"/>
        <v>#N/A</v>
      </c>
      <c r="D166" s="281" t="str">
        <f>IF($AG$430=1,$H$10+10,"")</f>
        <v/>
      </c>
      <c r="E166" s="274">
        <v>116</v>
      </c>
      <c r="F166" s="275" t="str">
        <f>VLOOKUP($AG$430,$AE$422:$AF$433,2)</f>
        <v>Nov</v>
      </c>
      <c r="G166" s="272">
        <f t="shared" si="24"/>
        <v>0</v>
      </c>
      <c r="H166" s="272">
        <f t="shared" si="27"/>
        <v>0</v>
      </c>
      <c r="I166" s="272">
        <f t="shared" si="28"/>
        <v>0</v>
      </c>
      <c r="J166" s="272">
        <f t="shared" si="25"/>
        <v>0</v>
      </c>
      <c r="K166" s="272">
        <f>IF(ISTEXT($M$4),"",SUM(I$50:I166))</f>
        <v>0</v>
      </c>
      <c r="L166" s="272">
        <f>IF(ISTEXT($M$4),"",SUM(J$50:J166))</f>
        <v>0</v>
      </c>
      <c r="M166" s="271">
        <f t="shared" si="26"/>
        <v>0</v>
      </c>
      <c r="N166" s="291" t="e">
        <f>IF(C166='Operating Assumptions'!$C$48,"Construction Finish","")</f>
        <v>#N/A</v>
      </c>
      <c r="O166" s="291"/>
      <c r="P166" s="291"/>
      <c r="Q166" s="291"/>
      <c r="R166" s="291"/>
      <c r="S166" s="291"/>
      <c r="T166" s="291"/>
      <c r="U166" s="291"/>
      <c r="V166" s="292"/>
      <c r="W166" s="292"/>
      <c r="X166" s="292"/>
      <c r="Y166" s="291"/>
      <c r="Z166" s="279"/>
      <c r="AA166" s="279"/>
      <c r="AB166" s="279"/>
    </row>
    <row r="167" spans="2:28" s="278" customFormat="1" ht="11.65" hidden="1" customHeight="1" outlineLevel="1" x14ac:dyDescent="0.25">
      <c r="B167" s="270" t="e">
        <f>IF(AND($C167&gt;='TIF Loan Amortization'!$H$480,$C167&lt;='TIF Loan Amortization'!$I$480),'TIF Loan Amortization'!$G$480,IF(AND($C167&gt;='TIF Loan Amortization'!$H$481,$C167&lt;='TIF Loan Amortization'!I$481),'TIF Loan Amortization'!$G$481,IF(AND($C167&gt;='TIF Loan Amortization'!$H$482,$C167&lt;='TIF Loan Amortization'!I$482),'TIF Loan Amortization'!$G$482,IF(AND($C167&gt;='TIF Loan Amortization'!$H$483,$C167&lt;='TIF Loan Amortization'!I$483),'TIF Loan Amortization'!$G$483,IF(AND($C167&gt;='TIF Loan Amortization'!$H$484,$C167&lt;='TIF Loan Amortization'!I$484),'TIF Loan Amortization'!$G$484,IF(AND($C167&gt;='TIF Loan Amortization'!$H$485,$C167&lt;='TIF Loan Amortization'!I$485),'TIF Loan Amortization'!$G$485,IF(AND($C167&gt;='TIF Loan Amortization'!$H$486,$C167&lt;='TIF Loan Amortization'!I$486),'TIF Loan Amortization'!$G$486,IF(AND($C167&gt;='TIF Loan Amortization'!$H$487,$C167&lt;='TIF Loan Amortization'!I$487),'TIF Loan Amortization'!$G$487,IF(AND($C167&gt;='TIF Loan Amortization'!$H$488,$C167&lt;='TIF Loan Amortization'!I$488),'TIF Loan Amortization'!$G$488,IF(AND($C167&gt;='TIF Loan Amortization'!$H$489,$C167&lt;='TIF Loan Amortization'!I$489),'TIF Loan Amortization'!$G$489,IF(AND($C167&gt;='TIF Loan Amortization'!$H$490,$C167&lt;='TIF Loan Amortization'!I$490),'TIF Loan Amortization'!$G$490,IF(AND($C167&gt;='TIF Loan Amortization'!$H$491,$C167&lt;='TIF Loan Amortization'!I$491),'TIF Loan Amortization'!$G$491,IF(AND($C167&gt;='TIF Loan Amortization'!$H$492,$C167&lt;='TIF Loan Amortization'!I$492),'TIF Loan Amortization'!$G$492,IF(AND($C167&gt;='TIF Loan Amortization'!$H$493,$C167&lt;='TIF Loan Amortization'!I$493),'TIF Loan Amortization'!$G$493,IF(AND($C167&gt;='TIF Loan Amortization'!$H$494,$C167&lt;='TIF Loan Amortization'!I$494),'TIF Loan Amortization'!$G$494,IF(AND($C167&gt;='TIF Loan Amortization'!$H$495,$C167&lt;='TIF Loan Amortization'!I$495),'TIF Loan Amortization'!$G$495,IF(AND($C167&gt;='TIF Loan Amortization'!$H$496,$C167&lt;='TIF Loan Amortization'!I$496),'TIF Loan Amortization'!$G$496,IF(AND($C167&gt;='TIF Loan Amortization'!$H$497,$C167&lt;='TIF Loan Amortization'!I$497),'TIF Loan Amortization'!$G$497,IF(AND($C167&gt;='TIF Loan Amortization'!$H$498,$C167&lt;='TIF Loan Amortization'!I$498),'TIF Loan Amortization'!$G$498,IF(AND($C167&gt;='TIF Loan Amortization'!$H$499,$C167&lt;='TIF Loan Amortization'!I$499),'TIF Loan Amortization'!$G$499,IF(AND($C167&gt;='TIF Loan Amortization'!$H$500,$C167&lt;='TIF Loan Amortization'!I$500),'TIF Loan Amortization'!$G$500,IF(AND($C167&gt;='TIF Loan Amortization'!$H$501,$C167&lt;='TIF Loan Amortization'!I$501),'TIF Loan Amortization'!$G$501,IF(AND($C167&gt;='TIF Loan Amortization'!$H$502,$C167&lt;='TIF Loan Amortization'!I$502),'TIF Loan Amortization'!$G$502,IF(AND($C167&gt;='TIF Loan Amortization'!$H$503,$C167&lt;='TIF Loan Amortization'!I$503),'TIF Loan Amortization'!$G$503,IF(AND($C167&gt;='TIF Loan Amortization'!$H$504,$C167&lt;='TIF Loan Amortization'!I$504),'TIF Loan Amortization'!$G$504,IF(AND($C167&gt;='TIF Loan Amortization'!$H$505,$C167&lt;='TIF Loan Amortization'!I$505),'TIF Loan Amortization'!$G$505,IF(AND($C167&gt;='TIF Loan Amortization'!$H$506,$C167&lt;='TIF Loan Amortization'!I$506),'TIF Loan Amortization'!$G$506,IF(AND($C167&gt;='TIF Loan Amortization'!$H$507,$C167&lt;='TIF Loan Amortization'!I$507),'TIF Loan Amortization'!$G$507,IF(AND($C167&gt;='TIF Loan Amortization'!$H$508,$C167&lt;='TIF Loan Amortization'!I$508),'TIF Loan Amortization'!$G$508,IF(AND($C167&gt;='TIF Loan Amortization'!$H$509,$C167&lt;='TIF Loan Amortization'!I$509),'TIF Loan Amortization'!$G$509,IF(AND($C167&gt;='TIF Loan Amortization'!$H$510,$C167&lt;='TIF Loan Amortization'!I$510),'TIF Loan Amortization'!$G$510,IF(AND($C167&gt;='TIF Loan Amortization'!$H$511,$C167&lt;='TIF Loan Amortization'!I$511),'TIF Loan Amortization'!$G$511,IF(AND($C167&gt;='TIF Loan Amortization'!$H$512,$C167&lt;='TIF Loan Amortization'!I$512),'TIF Loan Amortization'!$G$512,IF(AND($C167&gt;='TIF Loan Amortization'!$H$513,$C167&lt;='TIF Loan Amortization'!I$513),'TIF Loan Amortization'!$G$513,IF(AND($C167&gt;='TIF Loan Amortization'!$H$514,$C167&lt;='TIF Loan Amortization'!I$514),'TIF Loan Amortization'!$G$514,IF(AND($C167&gt;='TIF Loan Amortization'!$H$515,$C167&lt;='TIF Loan Amortization'!I$515),'TIF Loan Amortization'!$G$515,IF(AND($C167&gt;='TIF Loan Amortization'!$H$516,$C167&lt;='TIF Loan Amortization'!I$516),'TIF Loan Amortization'!$G$516,IF(AND($C167&gt;='TIF Loan Amortization'!$H$517,$C167&lt;='TIF Loan Amortization'!I$517),'TIF Loan Amortization'!$G$517,IF(AND($C167&gt;='TIF Loan Amortization'!$H$518,$C167&lt;='TIF Loan Amortization'!I$518),'TIF Loan Amortization'!$G$518,IF(AND($C167&gt;='TIF Loan Amortization'!$H$519,$C167&lt;='TIF Loan Amortization'!I$519),'TIF Loan Amortization'!$G$519))))))))))))))))))))))))))))))))))))))))</f>
        <v>#N/A</v>
      </c>
      <c r="C167" s="269" t="e">
        <f t="shared" si="23"/>
        <v>#N/A</v>
      </c>
      <c r="D167" s="281" t="str">
        <f>IF($AG$431=1,$H$10+10,"")</f>
        <v/>
      </c>
      <c r="E167" s="274">
        <v>117</v>
      </c>
      <c r="F167" s="275" t="str">
        <f>VLOOKUP($AG$431,$AE$422:$AF$433,2)</f>
        <v>Dec</v>
      </c>
      <c r="G167" s="272">
        <f t="shared" si="24"/>
        <v>0</v>
      </c>
      <c r="H167" s="272">
        <f t="shared" si="27"/>
        <v>0</v>
      </c>
      <c r="I167" s="272">
        <f t="shared" si="28"/>
        <v>0</v>
      </c>
      <c r="J167" s="272">
        <f t="shared" si="25"/>
        <v>0</v>
      </c>
      <c r="K167" s="272">
        <f>IF(ISTEXT($M$4),"",SUM(I$50:I167))</f>
        <v>0</v>
      </c>
      <c r="L167" s="272">
        <f>IF(ISTEXT($M$4),"",SUM(J$50:J167))</f>
        <v>0</v>
      </c>
      <c r="M167" s="271">
        <f t="shared" si="26"/>
        <v>0</v>
      </c>
      <c r="N167" s="291" t="e">
        <f>IF(C167='Operating Assumptions'!$C$48,"Construction Finish","")</f>
        <v>#N/A</v>
      </c>
      <c r="O167" s="291"/>
      <c r="P167" s="291"/>
      <c r="Q167" s="291"/>
      <c r="R167" s="291"/>
      <c r="S167" s="291"/>
      <c r="T167" s="291"/>
      <c r="U167" s="291"/>
      <c r="V167" s="292"/>
      <c r="W167" s="292"/>
      <c r="X167" s="292"/>
      <c r="Y167" s="291"/>
      <c r="Z167" s="279"/>
      <c r="AA167" s="279"/>
      <c r="AB167" s="279"/>
    </row>
    <row r="168" spans="2:28" s="278" customFormat="1" ht="11.65" hidden="1" customHeight="1" outlineLevel="1" x14ac:dyDescent="0.25">
      <c r="B168" s="270" t="e">
        <f>IF(AND($C168&gt;='TIF Loan Amortization'!$H$480,$C168&lt;='TIF Loan Amortization'!$I$480),'TIF Loan Amortization'!$G$480,IF(AND($C168&gt;='TIF Loan Amortization'!$H$481,$C168&lt;='TIF Loan Amortization'!I$481),'TIF Loan Amortization'!$G$481,IF(AND($C168&gt;='TIF Loan Amortization'!$H$482,$C168&lt;='TIF Loan Amortization'!I$482),'TIF Loan Amortization'!$G$482,IF(AND($C168&gt;='TIF Loan Amortization'!$H$483,$C168&lt;='TIF Loan Amortization'!I$483),'TIF Loan Amortization'!$G$483,IF(AND($C168&gt;='TIF Loan Amortization'!$H$484,$C168&lt;='TIF Loan Amortization'!I$484),'TIF Loan Amortization'!$G$484,IF(AND($C168&gt;='TIF Loan Amortization'!$H$485,$C168&lt;='TIF Loan Amortization'!I$485),'TIF Loan Amortization'!$G$485,IF(AND($C168&gt;='TIF Loan Amortization'!$H$486,$C168&lt;='TIF Loan Amortization'!I$486),'TIF Loan Amortization'!$G$486,IF(AND($C168&gt;='TIF Loan Amortization'!$H$487,$C168&lt;='TIF Loan Amortization'!I$487),'TIF Loan Amortization'!$G$487,IF(AND($C168&gt;='TIF Loan Amortization'!$H$488,$C168&lt;='TIF Loan Amortization'!I$488),'TIF Loan Amortization'!$G$488,IF(AND($C168&gt;='TIF Loan Amortization'!$H$489,$C168&lt;='TIF Loan Amortization'!I$489),'TIF Loan Amortization'!$G$489,IF(AND($C168&gt;='TIF Loan Amortization'!$H$490,$C168&lt;='TIF Loan Amortization'!I$490),'TIF Loan Amortization'!$G$490,IF(AND($C168&gt;='TIF Loan Amortization'!$H$491,$C168&lt;='TIF Loan Amortization'!I$491),'TIF Loan Amortization'!$G$491,IF(AND($C168&gt;='TIF Loan Amortization'!$H$492,$C168&lt;='TIF Loan Amortization'!I$492),'TIF Loan Amortization'!$G$492,IF(AND($C168&gt;='TIF Loan Amortization'!$H$493,$C168&lt;='TIF Loan Amortization'!I$493),'TIF Loan Amortization'!$G$493,IF(AND($C168&gt;='TIF Loan Amortization'!$H$494,$C168&lt;='TIF Loan Amortization'!I$494),'TIF Loan Amortization'!$G$494,IF(AND($C168&gt;='TIF Loan Amortization'!$H$495,$C168&lt;='TIF Loan Amortization'!I$495),'TIF Loan Amortization'!$G$495,IF(AND($C168&gt;='TIF Loan Amortization'!$H$496,$C168&lt;='TIF Loan Amortization'!I$496),'TIF Loan Amortization'!$G$496,IF(AND($C168&gt;='TIF Loan Amortization'!$H$497,$C168&lt;='TIF Loan Amortization'!I$497),'TIF Loan Amortization'!$G$497,IF(AND($C168&gt;='TIF Loan Amortization'!$H$498,$C168&lt;='TIF Loan Amortization'!I$498),'TIF Loan Amortization'!$G$498,IF(AND($C168&gt;='TIF Loan Amortization'!$H$499,$C168&lt;='TIF Loan Amortization'!I$499),'TIF Loan Amortization'!$G$499,IF(AND($C168&gt;='TIF Loan Amortization'!$H$500,$C168&lt;='TIF Loan Amortization'!I$500),'TIF Loan Amortization'!$G$500,IF(AND($C168&gt;='TIF Loan Amortization'!$H$501,$C168&lt;='TIF Loan Amortization'!I$501),'TIF Loan Amortization'!$G$501,IF(AND($C168&gt;='TIF Loan Amortization'!$H$502,$C168&lt;='TIF Loan Amortization'!I$502),'TIF Loan Amortization'!$G$502,IF(AND($C168&gt;='TIF Loan Amortization'!$H$503,$C168&lt;='TIF Loan Amortization'!I$503),'TIF Loan Amortization'!$G$503,IF(AND($C168&gt;='TIF Loan Amortization'!$H$504,$C168&lt;='TIF Loan Amortization'!I$504),'TIF Loan Amortization'!$G$504,IF(AND($C168&gt;='TIF Loan Amortization'!$H$505,$C168&lt;='TIF Loan Amortization'!I$505),'TIF Loan Amortization'!$G$505,IF(AND($C168&gt;='TIF Loan Amortization'!$H$506,$C168&lt;='TIF Loan Amortization'!I$506),'TIF Loan Amortization'!$G$506,IF(AND($C168&gt;='TIF Loan Amortization'!$H$507,$C168&lt;='TIF Loan Amortization'!I$507),'TIF Loan Amortization'!$G$507,IF(AND($C168&gt;='TIF Loan Amortization'!$H$508,$C168&lt;='TIF Loan Amortization'!I$508),'TIF Loan Amortization'!$G$508,IF(AND($C168&gt;='TIF Loan Amortization'!$H$509,$C168&lt;='TIF Loan Amortization'!I$509),'TIF Loan Amortization'!$G$509,IF(AND($C168&gt;='TIF Loan Amortization'!$H$510,$C168&lt;='TIF Loan Amortization'!I$510),'TIF Loan Amortization'!$G$510,IF(AND($C168&gt;='TIF Loan Amortization'!$H$511,$C168&lt;='TIF Loan Amortization'!I$511),'TIF Loan Amortization'!$G$511,IF(AND($C168&gt;='TIF Loan Amortization'!$H$512,$C168&lt;='TIF Loan Amortization'!I$512),'TIF Loan Amortization'!$G$512,IF(AND($C168&gt;='TIF Loan Amortization'!$H$513,$C168&lt;='TIF Loan Amortization'!I$513),'TIF Loan Amortization'!$G$513,IF(AND($C168&gt;='TIF Loan Amortization'!$H$514,$C168&lt;='TIF Loan Amortization'!I$514),'TIF Loan Amortization'!$G$514,IF(AND($C168&gt;='TIF Loan Amortization'!$H$515,$C168&lt;='TIF Loan Amortization'!I$515),'TIF Loan Amortization'!$G$515,IF(AND($C168&gt;='TIF Loan Amortization'!$H$516,$C168&lt;='TIF Loan Amortization'!I$516),'TIF Loan Amortization'!$G$516,IF(AND($C168&gt;='TIF Loan Amortization'!$H$517,$C168&lt;='TIF Loan Amortization'!I$517),'TIF Loan Amortization'!$G$517,IF(AND($C168&gt;='TIF Loan Amortization'!$H$518,$C168&lt;='TIF Loan Amortization'!I$518),'TIF Loan Amortization'!$G$518,IF(AND($C168&gt;='TIF Loan Amortization'!$H$519,$C168&lt;='TIF Loan Amortization'!I$519),'TIF Loan Amortization'!$G$519))))))))))))))))))))))))))))))))))))))))</f>
        <v>#N/A</v>
      </c>
      <c r="C168" s="269" t="e">
        <f t="shared" si="23"/>
        <v>#N/A</v>
      </c>
      <c r="D168" s="281">
        <f>IF($AG$432=1,$H$10+10,"")</f>
        <v>2035</v>
      </c>
      <c r="E168" s="274">
        <v>118</v>
      </c>
      <c r="F168" s="273" t="str">
        <f>VLOOKUP($AG$432,$AE$422:$AF$433,2)</f>
        <v>Jan</v>
      </c>
      <c r="G168" s="272">
        <f t="shared" si="24"/>
        <v>0</v>
      </c>
      <c r="H168" s="272">
        <f t="shared" si="27"/>
        <v>0</v>
      </c>
      <c r="I168" s="272">
        <f t="shared" si="28"/>
        <v>0</v>
      </c>
      <c r="J168" s="272">
        <f t="shared" si="25"/>
        <v>0</v>
      </c>
      <c r="K168" s="272">
        <f>IF(ISTEXT($M$4),"",SUM(I$50:I168))</f>
        <v>0</v>
      </c>
      <c r="L168" s="272">
        <f>IF(ISTEXT($M$4),"",SUM(J$50:J168))</f>
        <v>0</v>
      </c>
      <c r="M168" s="271">
        <f t="shared" si="26"/>
        <v>0</v>
      </c>
      <c r="N168" s="291" t="e">
        <f>IF(C168='Operating Assumptions'!$C$48,"Construction Finish","")</f>
        <v>#N/A</v>
      </c>
      <c r="O168" s="291"/>
      <c r="P168" s="291"/>
      <c r="Q168" s="291"/>
      <c r="R168" s="291"/>
      <c r="S168" s="291"/>
      <c r="T168" s="291"/>
      <c r="U168" s="291"/>
      <c r="V168" s="292"/>
      <c r="W168" s="292"/>
      <c r="X168" s="292"/>
      <c r="Y168" s="291"/>
      <c r="Z168" s="279"/>
      <c r="AA168" s="279"/>
      <c r="AB168" s="279"/>
    </row>
    <row r="169" spans="2:28" s="278" customFormat="1" ht="11.65" hidden="1" customHeight="1" outlineLevel="1" x14ac:dyDescent="0.25">
      <c r="B169" s="270" t="e">
        <f>IF(AND($C169&gt;='TIF Loan Amortization'!$H$480,$C169&lt;='TIF Loan Amortization'!$I$480),'TIF Loan Amortization'!$G$480,IF(AND($C169&gt;='TIF Loan Amortization'!$H$481,$C169&lt;='TIF Loan Amortization'!I$481),'TIF Loan Amortization'!$G$481,IF(AND($C169&gt;='TIF Loan Amortization'!$H$482,$C169&lt;='TIF Loan Amortization'!I$482),'TIF Loan Amortization'!$G$482,IF(AND($C169&gt;='TIF Loan Amortization'!$H$483,$C169&lt;='TIF Loan Amortization'!I$483),'TIF Loan Amortization'!$G$483,IF(AND($C169&gt;='TIF Loan Amortization'!$H$484,$C169&lt;='TIF Loan Amortization'!I$484),'TIF Loan Amortization'!$G$484,IF(AND($C169&gt;='TIF Loan Amortization'!$H$485,$C169&lt;='TIF Loan Amortization'!I$485),'TIF Loan Amortization'!$G$485,IF(AND($C169&gt;='TIF Loan Amortization'!$H$486,$C169&lt;='TIF Loan Amortization'!I$486),'TIF Loan Amortization'!$G$486,IF(AND($C169&gt;='TIF Loan Amortization'!$H$487,$C169&lt;='TIF Loan Amortization'!I$487),'TIF Loan Amortization'!$G$487,IF(AND($C169&gt;='TIF Loan Amortization'!$H$488,$C169&lt;='TIF Loan Amortization'!I$488),'TIF Loan Amortization'!$G$488,IF(AND($C169&gt;='TIF Loan Amortization'!$H$489,$C169&lt;='TIF Loan Amortization'!I$489),'TIF Loan Amortization'!$G$489,IF(AND($C169&gt;='TIF Loan Amortization'!$H$490,$C169&lt;='TIF Loan Amortization'!I$490),'TIF Loan Amortization'!$G$490,IF(AND($C169&gt;='TIF Loan Amortization'!$H$491,$C169&lt;='TIF Loan Amortization'!I$491),'TIF Loan Amortization'!$G$491,IF(AND($C169&gt;='TIF Loan Amortization'!$H$492,$C169&lt;='TIF Loan Amortization'!I$492),'TIF Loan Amortization'!$G$492,IF(AND($C169&gt;='TIF Loan Amortization'!$H$493,$C169&lt;='TIF Loan Amortization'!I$493),'TIF Loan Amortization'!$G$493,IF(AND($C169&gt;='TIF Loan Amortization'!$H$494,$C169&lt;='TIF Loan Amortization'!I$494),'TIF Loan Amortization'!$G$494,IF(AND($C169&gt;='TIF Loan Amortization'!$H$495,$C169&lt;='TIF Loan Amortization'!I$495),'TIF Loan Amortization'!$G$495,IF(AND($C169&gt;='TIF Loan Amortization'!$H$496,$C169&lt;='TIF Loan Amortization'!I$496),'TIF Loan Amortization'!$G$496,IF(AND($C169&gt;='TIF Loan Amortization'!$H$497,$C169&lt;='TIF Loan Amortization'!I$497),'TIF Loan Amortization'!$G$497,IF(AND($C169&gt;='TIF Loan Amortization'!$H$498,$C169&lt;='TIF Loan Amortization'!I$498),'TIF Loan Amortization'!$G$498,IF(AND($C169&gt;='TIF Loan Amortization'!$H$499,$C169&lt;='TIF Loan Amortization'!I$499),'TIF Loan Amortization'!$G$499,IF(AND($C169&gt;='TIF Loan Amortization'!$H$500,$C169&lt;='TIF Loan Amortization'!I$500),'TIF Loan Amortization'!$G$500,IF(AND($C169&gt;='TIF Loan Amortization'!$H$501,$C169&lt;='TIF Loan Amortization'!I$501),'TIF Loan Amortization'!$G$501,IF(AND($C169&gt;='TIF Loan Amortization'!$H$502,$C169&lt;='TIF Loan Amortization'!I$502),'TIF Loan Amortization'!$G$502,IF(AND($C169&gt;='TIF Loan Amortization'!$H$503,$C169&lt;='TIF Loan Amortization'!I$503),'TIF Loan Amortization'!$G$503,IF(AND($C169&gt;='TIF Loan Amortization'!$H$504,$C169&lt;='TIF Loan Amortization'!I$504),'TIF Loan Amortization'!$G$504,IF(AND($C169&gt;='TIF Loan Amortization'!$H$505,$C169&lt;='TIF Loan Amortization'!I$505),'TIF Loan Amortization'!$G$505,IF(AND($C169&gt;='TIF Loan Amortization'!$H$506,$C169&lt;='TIF Loan Amortization'!I$506),'TIF Loan Amortization'!$G$506,IF(AND($C169&gt;='TIF Loan Amortization'!$H$507,$C169&lt;='TIF Loan Amortization'!I$507),'TIF Loan Amortization'!$G$507,IF(AND($C169&gt;='TIF Loan Amortization'!$H$508,$C169&lt;='TIF Loan Amortization'!I$508),'TIF Loan Amortization'!$G$508,IF(AND($C169&gt;='TIF Loan Amortization'!$H$509,$C169&lt;='TIF Loan Amortization'!I$509),'TIF Loan Amortization'!$G$509,IF(AND($C169&gt;='TIF Loan Amortization'!$H$510,$C169&lt;='TIF Loan Amortization'!I$510),'TIF Loan Amortization'!$G$510,IF(AND($C169&gt;='TIF Loan Amortization'!$H$511,$C169&lt;='TIF Loan Amortization'!I$511),'TIF Loan Amortization'!$G$511,IF(AND($C169&gt;='TIF Loan Amortization'!$H$512,$C169&lt;='TIF Loan Amortization'!I$512),'TIF Loan Amortization'!$G$512,IF(AND($C169&gt;='TIF Loan Amortization'!$H$513,$C169&lt;='TIF Loan Amortization'!I$513),'TIF Loan Amortization'!$G$513,IF(AND($C169&gt;='TIF Loan Amortization'!$H$514,$C169&lt;='TIF Loan Amortization'!I$514),'TIF Loan Amortization'!$G$514,IF(AND($C169&gt;='TIF Loan Amortization'!$H$515,$C169&lt;='TIF Loan Amortization'!I$515),'TIF Loan Amortization'!$G$515,IF(AND($C169&gt;='TIF Loan Amortization'!$H$516,$C169&lt;='TIF Loan Amortization'!I$516),'TIF Loan Amortization'!$G$516,IF(AND($C169&gt;='TIF Loan Amortization'!$H$517,$C169&lt;='TIF Loan Amortization'!I$517),'TIF Loan Amortization'!$G$517,IF(AND($C169&gt;='TIF Loan Amortization'!$H$518,$C169&lt;='TIF Loan Amortization'!I$518),'TIF Loan Amortization'!$G$518,IF(AND($C169&gt;='TIF Loan Amortization'!$H$519,$C169&lt;='TIF Loan Amortization'!I$519),'TIF Loan Amortization'!$G$519))))))))))))))))))))))))))))))))))))))))</f>
        <v>#N/A</v>
      </c>
      <c r="C169" s="269" t="e">
        <f t="shared" si="23"/>
        <v>#N/A</v>
      </c>
      <c r="D169" s="281" t="str">
        <f>IF($AG$433=1,$H$10+10,"")</f>
        <v/>
      </c>
      <c r="E169" s="274">
        <v>119</v>
      </c>
      <c r="F169" s="273" t="str">
        <f>VLOOKUP($AG$433,$AE$422:$AF$433,2)</f>
        <v>Feb</v>
      </c>
      <c r="G169" s="272">
        <f t="shared" si="24"/>
        <v>0</v>
      </c>
      <c r="H169" s="272">
        <f t="shared" si="27"/>
        <v>0</v>
      </c>
      <c r="I169" s="272">
        <f t="shared" si="28"/>
        <v>0</v>
      </c>
      <c r="J169" s="272">
        <f t="shared" si="25"/>
        <v>0</v>
      </c>
      <c r="K169" s="272">
        <f>IF(ISTEXT($M$4),"",SUM(I$50:I169))</f>
        <v>0</v>
      </c>
      <c r="L169" s="272">
        <f>IF(ISTEXT($M$4),"",SUM(J$50:J169))</f>
        <v>0</v>
      </c>
      <c r="M169" s="271">
        <f t="shared" si="26"/>
        <v>0</v>
      </c>
      <c r="N169" s="291" t="e">
        <f>IF(C169='Operating Assumptions'!$C$48,"Construction Finish","")</f>
        <v>#N/A</v>
      </c>
      <c r="O169" s="291"/>
      <c r="P169" s="291"/>
      <c r="Q169" s="291"/>
      <c r="R169" s="291"/>
      <c r="S169" s="291"/>
      <c r="T169" s="291"/>
      <c r="U169" s="291"/>
      <c r="V169" s="292"/>
      <c r="W169" s="292"/>
      <c r="X169" s="292"/>
      <c r="Y169" s="291"/>
      <c r="Z169" s="279"/>
      <c r="AA169" s="279"/>
      <c r="AB169" s="279"/>
    </row>
    <row r="170" spans="2:28" s="278" customFormat="1" ht="11.65" hidden="1" customHeight="1" outlineLevel="1" x14ac:dyDescent="0.25">
      <c r="B170" s="270" t="e">
        <f>IF(AND($C170&gt;='TIF Loan Amortization'!$H$480,$C170&lt;='TIF Loan Amortization'!$I$480),'TIF Loan Amortization'!$G$480,IF(AND($C170&gt;='TIF Loan Amortization'!$H$481,$C170&lt;='TIF Loan Amortization'!I$481),'TIF Loan Amortization'!$G$481,IF(AND($C170&gt;='TIF Loan Amortization'!$H$482,$C170&lt;='TIF Loan Amortization'!I$482),'TIF Loan Amortization'!$G$482,IF(AND($C170&gt;='TIF Loan Amortization'!$H$483,$C170&lt;='TIF Loan Amortization'!I$483),'TIF Loan Amortization'!$G$483,IF(AND($C170&gt;='TIF Loan Amortization'!$H$484,$C170&lt;='TIF Loan Amortization'!I$484),'TIF Loan Amortization'!$G$484,IF(AND($C170&gt;='TIF Loan Amortization'!$H$485,$C170&lt;='TIF Loan Amortization'!I$485),'TIF Loan Amortization'!$G$485,IF(AND($C170&gt;='TIF Loan Amortization'!$H$486,$C170&lt;='TIF Loan Amortization'!I$486),'TIF Loan Amortization'!$G$486,IF(AND($C170&gt;='TIF Loan Amortization'!$H$487,$C170&lt;='TIF Loan Amortization'!I$487),'TIF Loan Amortization'!$G$487,IF(AND($C170&gt;='TIF Loan Amortization'!$H$488,$C170&lt;='TIF Loan Amortization'!I$488),'TIF Loan Amortization'!$G$488,IF(AND($C170&gt;='TIF Loan Amortization'!$H$489,$C170&lt;='TIF Loan Amortization'!I$489),'TIF Loan Amortization'!$G$489,IF(AND($C170&gt;='TIF Loan Amortization'!$H$490,$C170&lt;='TIF Loan Amortization'!I$490),'TIF Loan Amortization'!$G$490,IF(AND($C170&gt;='TIF Loan Amortization'!$H$491,$C170&lt;='TIF Loan Amortization'!I$491),'TIF Loan Amortization'!$G$491,IF(AND($C170&gt;='TIF Loan Amortization'!$H$492,$C170&lt;='TIF Loan Amortization'!I$492),'TIF Loan Amortization'!$G$492,IF(AND($C170&gt;='TIF Loan Amortization'!$H$493,$C170&lt;='TIF Loan Amortization'!I$493),'TIF Loan Amortization'!$G$493,IF(AND($C170&gt;='TIF Loan Amortization'!$H$494,$C170&lt;='TIF Loan Amortization'!I$494),'TIF Loan Amortization'!$G$494,IF(AND($C170&gt;='TIF Loan Amortization'!$H$495,$C170&lt;='TIF Loan Amortization'!I$495),'TIF Loan Amortization'!$G$495,IF(AND($C170&gt;='TIF Loan Amortization'!$H$496,$C170&lt;='TIF Loan Amortization'!I$496),'TIF Loan Amortization'!$G$496,IF(AND($C170&gt;='TIF Loan Amortization'!$H$497,$C170&lt;='TIF Loan Amortization'!I$497),'TIF Loan Amortization'!$G$497,IF(AND($C170&gt;='TIF Loan Amortization'!$H$498,$C170&lt;='TIF Loan Amortization'!I$498),'TIF Loan Amortization'!$G$498,IF(AND($C170&gt;='TIF Loan Amortization'!$H$499,$C170&lt;='TIF Loan Amortization'!I$499),'TIF Loan Amortization'!$G$499,IF(AND($C170&gt;='TIF Loan Amortization'!$H$500,$C170&lt;='TIF Loan Amortization'!I$500),'TIF Loan Amortization'!$G$500,IF(AND($C170&gt;='TIF Loan Amortization'!$H$501,$C170&lt;='TIF Loan Amortization'!I$501),'TIF Loan Amortization'!$G$501,IF(AND($C170&gt;='TIF Loan Amortization'!$H$502,$C170&lt;='TIF Loan Amortization'!I$502),'TIF Loan Amortization'!$G$502,IF(AND($C170&gt;='TIF Loan Amortization'!$H$503,$C170&lt;='TIF Loan Amortization'!I$503),'TIF Loan Amortization'!$G$503,IF(AND($C170&gt;='TIF Loan Amortization'!$H$504,$C170&lt;='TIF Loan Amortization'!I$504),'TIF Loan Amortization'!$G$504,IF(AND($C170&gt;='TIF Loan Amortization'!$H$505,$C170&lt;='TIF Loan Amortization'!I$505),'TIF Loan Amortization'!$G$505,IF(AND($C170&gt;='TIF Loan Amortization'!$H$506,$C170&lt;='TIF Loan Amortization'!I$506),'TIF Loan Amortization'!$G$506,IF(AND($C170&gt;='TIF Loan Amortization'!$H$507,$C170&lt;='TIF Loan Amortization'!I$507),'TIF Loan Amortization'!$G$507,IF(AND($C170&gt;='TIF Loan Amortization'!$H$508,$C170&lt;='TIF Loan Amortization'!I$508),'TIF Loan Amortization'!$G$508,IF(AND($C170&gt;='TIF Loan Amortization'!$H$509,$C170&lt;='TIF Loan Amortization'!I$509),'TIF Loan Amortization'!$G$509,IF(AND($C170&gt;='TIF Loan Amortization'!$H$510,$C170&lt;='TIF Loan Amortization'!I$510),'TIF Loan Amortization'!$G$510,IF(AND($C170&gt;='TIF Loan Amortization'!$H$511,$C170&lt;='TIF Loan Amortization'!I$511),'TIF Loan Amortization'!$G$511,IF(AND($C170&gt;='TIF Loan Amortization'!$H$512,$C170&lt;='TIF Loan Amortization'!I$512),'TIF Loan Amortization'!$G$512,IF(AND($C170&gt;='TIF Loan Amortization'!$H$513,$C170&lt;='TIF Loan Amortization'!I$513),'TIF Loan Amortization'!$G$513,IF(AND($C170&gt;='TIF Loan Amortization'!$H$514,$C170&lt;='TIF Loan Amortization'!I$514),'TIF Loan Amortization'!$G$514,IF(AND($C170&gt;='TIF Loan Amortization'!$H$515,$C170&lt;='TIF Loan Amortization'!I$515),'TIF Loan Amortization'!$G$515,IF(AND($C170&gt;='TIF Loan Amortization'!$H$516,$C170&lt;='TIF Loan Amortization'!I$516),'TIF Loan Amortization'!$G$516,IF(AND($C170&gt;='TIF Loan Amortization'!$H$517,$C170&lt;='TIF Loan Amortization'!I$517),'TIF Loan Amortization'!$G$517,IF(AND($C170&gt;='TIF Loan Amortization'!$H$518,$C170&lt;='TIF Loan Amortization'!I$518),'TIF Loan Amortization'!$G$518,IF(AND($C170&gt;='TIF Loan Amortization'!$H$519,$C170&lt;='TIF Loan Amortization'!I$519),'TIF Loan Amortization'!$G$519))))))))))))))))))))))))))))))))))))))))</f>
        <v>#N/A</v>
      </c>
      <c r="C170" s="269" t="e">
        <f t="shared" si="23"/>
        <v>#N/A</v>
      </c>
      <c r="D170" s="281" t="str">
        <f>IF($H$11="January",$H$10+10,IF($AG$422=1,$H$10+11,""))</f>
        <v/>
      </c>
      <c r="E170" s="274">
        <v>120</v>
      </c>
      <c r="F170" s="273" t="str">
        <f>VLOOKUP($AG$422,$AE$422:$AF$433,2)</f>
        <v>Mar</v>
      </c>
      <c r="G170" s="272">
        <f t="shared" si="24"/>
        <v>0</v>
      </c>
      <c r="H170" s="272">
        <f t="shared" si="27"/>
        <v>0</v>
      </c>
      <c r="I170" s="272">
        <f t="shared" si="28"/>
        <v>0</v>
      </c>
      <c r="J170" s="272">
        <f t="shared" si="25"/>
        <v>0</v>
      </c>
      <c r="K170" s="272">
        <f>IF(ISTEXT($M$4),"",SUM(I$50:I170))</f>
        <v>0</v>
      </c>
      <c r="L170" s="272">
        <f>IF(ISTEXT($M$4),"",SUM(J$50:J170))</f>
        <v>0</v>
      </c>
      <c r="M170" s="271">
        <f t="shared" si="26"/>
        <v>0</v>
      </c>
      <c r="N170" s="291" t="e">
        <f>IF(C170='Operating Assumptions'!$C$48,"Construction Finish","")</f>
        <v>#N/A</v>
      </c>
      <c r="O170" s="291"/>
      <c r="P170" s="291"/>
      <c r="Q170" s="291"/>
      <c r="R170" s="291"/>
      <c r="S170" s="291"/>
      <c r="T170" s="291"/>
      <c r="U170" s="291"/>
      <c r="V170" s="292"/>
      <c r="W170" s="292"/>
      <c r="X170" s="292"/>
      <c r="Y170" s="291"/>
      <c r="Z170" s="279"/>
      <c r="AA170" s="279"/>
      <c r="AB170" s="279"/>
    </row>
    <row r="171" spans="2:28" s="278" customFormat="1" ht="11.65" hidden="1" customHeight="1" outlineLevel="1" x14ac:dyDescent="0.25">
      <c r="B171" s="270" t="e">
        <f>IF(AND($C171&gt;='TIF Loan Amortization'!$H$480,$C171&lt;='TIF Loan Amortization'!$I$480),'TIF Loan Amortization'!$G$480,IF(AND($C171&gt;='TIF Loan Amortization'!$H$481,$C171&lt;='TIF Loan Amortization'!I$481),'TIF Loan Amortization'!$G$481,IF(AND($C171&gt;='TIF Loan Amortization'!$H$482,$C171&lt;='TIF Loan Amortization'!I$482),'TIF Loan Amortization'!$G$482,IF(AND($C171&gt;='TIF Loan Amortization'!$H$483,$C171&lt;='TIF Loan Amortization'!I$483),'TIF Loan Amortization'!$G$483,IF(AND($C171&gt;='TIF Loan Amortization'!$H$484,$C171&lt;='TIF Loan Amortization'!I$484),'TIF Loan Amortization'!$G$484,IF(AND($C171&gt;='TIF Loan Amortization'!$H$485,$C171&lt;='TIF Loan Amortization'!I$485),'TIF Loan Amortization'!$G$485,IF(AND($C171&gt;='TIF Loan Amortization'!$H$486,$C171&lt;='TIF Loan Amortization'!I$486),'TIF Loan Amortization'!$G$486,IF(AND($C171&gt;='TIF Loan Amortization'!$H$487,$C171&lt;='TIF Loan Amortization'!I$487),'TIF Loan Amortization'!$G$487,IF(AND($C171&gt;='TIF Loan Amortization'!$H$488,$C171&lt;='TIF Loan Amortization'!I$488),'TIF Loan Amortization'!$G$488,IF(AND($C171&gt;='TIF Loan Amortization'!$H$489,$C171&lt;='TIF Loan Amortization'!I$489),'TIF Loan Amortization'!$G$489,IF(AND($C171&gt;='TIF Loan Amortization'!$H$490,$C171&lt;='TIF Loan Amortization'!I$490),'TIF Loan Amortization'!$G$490,IF(AND($C171&gt;='TIF Loan Amortization'!$H$491,$C171&lt;='TIF Loan Amortization'!I$491),'TIF Loan Amortization'!$G$491,IF(AND($C171&gt;='TIF Loan Amortization'!$H$492,$C171&lt;='TIF Loan Amortization'!I$492),'TIF Loan Amortization'!$G$492,IF(AND($C171&gt;='TIF Loan Amortization'!$H$493,$C171&lt;='TIF Loan Amortization'!I$493),'TIF Loan Amortization'!$G$493,IF(AND($C171&gt;='TIF Loan Amortization'!$H$494,$C171&lt;='TIF Loan Amortization'!I$494),'TIF Loan Amortization'!$G$494,IF(AND($C171&gt;='TIF Loan Amortization'!$H$495,$C171&lt;='TIF Loan Amortization'!I$495),'TIF Loan Amortization'!$G$495,IF(AND($C171&gt;='TIF Loan Amortization'!$H$496,$C171&lt;='TIF Loan Amortization'!I$496),'TIF Loan Amortization'!$G$496,IF(AND($C171&gt;='TIF Loan Amortization'!$H$497,$C171&lt;='TIF Loan Amortization'!I$497),'TIF Loan Amortization'!$G$497,IF(AND($C171&gt;='TIF Loan Amortization'!$H$498,$C171&lt;='TIF Loan Amortization'!I$498),'TIF Loan Amortization'!$G$498,IF(AND($C171&gt;='TIF Loan Amortization'!$H$499,$C171&lt;='TIF Loan Amortization'!I$499),'TIF Loan Amortization'!$G$499,IF(AND($C171&gt;='TIF Loan Amortization'!$H$500,$C171&lt;='TIF Loan Amortization'!I$500),'TIF Loan Amortization'!$G$500,IF(AND($C171&gt;='TIF Loan Amortization'!$H$501,$C171&lt;='TIF Loan Amortization'!I$501),'TIF Loan Amortization'!$G$501,IF(AND($C171&gt;='TIF Loan Amortization'!$H$502,$C171&lt;='TIF Loan Amortization'!I$502),'TIF Loan Amortization'!$G$502,IF(AND($C171&gt;='TIF Loan Amortization'!$H$503,$C171&lt;='TIF Loan Amortization'!I$503),'TIF Loan Amortization'!$G$503,IF(AND($C171&gt;='TIF Loan Amortization'!$H$504,$C171&lt;='TIF Loan Amortization'!I$504),'TIF Loan Amortization'!$G$504,IF(AND($C171&gt;='TIF Loan Amortization'!$H$505,$C171&lt;='TIF Loan Amortization'!I$505),'TIF Loan Amortization'!$G$505,IF(AND($C171&gt;='TIF Loan Amortization'!$H$506,$C171&lt;='TIF Loan Amortization'!I$506),'TIF Loan Amortization'!$G$506,IF(AND($C171&gt;='TIF Loan Amortization'!$H$507,$C171&lt;='TIF Loan Amortization'!I$507),'TIF Loan Amortization'!$G$507,IF(AND($C171&gt;='TIF Loan Amortization'!$H$508,$C171&lt;='TIF Loan Amortization'!I$508),'TIF Loan Amortization'!$G$508,IF(AND($C171&gt;='TIF Loan Amortization'!$H$509,$C171&lt;='TIF Loan Amortization'!I$509),'TIF Loan Amortization'!$G$509,IF(AND($C171&gt;='TIF Loan Amortization'!$H$510,$C171&lt;='TIF Loan Amortization'!I$510),'TIF Loan Amortization'!$G$510,IF(AND($C171&gt;='TIF Loan Amortization'!$H$511,$C171&lt;='TIF Loan Amortization'!I$511),'TIF Loan Amortization'!$G$511,IF(AND($C171&gt;='TIF Loan Amortization'!$H$512,$C171&lt;='TIF Loan Amortization'!I$512),'TIF Loan Amortization'!$G$512,IF(AND($C171&gt;='TIF Loan Amortization'!$H$513,$C171&lt;='TIF Loan Amortization'!I$513),'TIF Loan Amortization'!$G$513,IF(AND($C171&gt;='TIF Loan Amortization'!$H$514,$C171&lt;='TIF Loan Amortization'!I$514),'TIF Loan Amortization'!$G$514,IF(AND($C171&gt;='TIF Loan Amortization'!$H$515,$C171&lt;='TIF Loan Amortization'!I$515),'TIF Loan Amortization'!$G$515,IF(AND($C171&gt;='TIF Loan Amortization'!$H$516,$C171&lt;='TIF Loan Amortization'!I$516),'TIF Loan Amortization'!$G$516,IF(AND($C171&gt;='TIF Loan Amortization'!$H$517,$C171&lt;='TIF Loan Amortization'!I$517),'TIF Loan Amortization'!$G$517,IF(AND($C171&gt;='TIF Loan Amortization'!$H$518,$C171&lt;='TIF Loan Amortization'!I$518),'TIF Loan Amortization'!$G$518,IF(AND($C171&gt;='TIF Loan Amortization'!$H$519,$C171&lt;='TIF Loan Amortization'!I$519),'TIF Loan Amortization'!$G$519))))))))))))))))))))))))))))))))))))))))</f>
        <v>#N/A</v>
      </c>
      <c r="C171" s="269" t="e">
        <f t="shared" si="23"/>
        <v>#N/A</v>
      </c>
      <c r="D171" s="281" t="str">
        <f>IF($AG$423=1,$H$10+11,"")</f>
        <v/>
      </c>
      <c r="E171" s="274">
        <v>121</v>
      </c>
      <c r="F171" s="275" t="str">
        <f>VLOOKUP($AG$423,$AE$422:$AF$433,2)</f>
        <v>Apr</v>
      </c>
      <c r="G171" s="272">
        <f t="shared" si="24"/>
        <v>0</v>
      </c>
      <c r="H171" s="272">
        <f t="shared" si="27"/>
        <v>0</v>
      </c>
      <c r="I171" s="272">
        <f t="shared" si="28"/>
        <v>0</v>
      </c>
      <c r="J171" s="272">
        <f t="shared" si="25"/>
        <v>0</v>
      </c>
      <c r="K171" s="272">
        <f>IF(ISTEXT($M$4),"",SUM(I$50:I171))</f>
        <v>0</v>
      </c>
      <c r="L171" s="272">
        <f>IF(ISTEXT($M$4),"",SUM(J$50:J171))</f>
        <v>0</v>
      </c>
      <c r="M171" s="271">
        <f t="shared" si="26"/>
        <v>0</v>
      </c>
      <c r="N171" s="291" t="e">
        <f>IF(C171='Operating Assumptions'!$C$48,"Construction Finish","")</f>
        <v>#N/A</v>
      </c>
      <c r="O171" s="291"/>
      <c r="P171" s="291"/>
      <c r="Q171" s="291"/>
      <c r="R171" s="291"/>
      <c r="S171" s="291"/>
      <c r="T171" s="291"/>
      <c r="U171" s="291"/>
      <c r="V171" s="292"/>
      <c r="W171" s="292"/>
      <c r="X171" s="292"/>
      <c r="Y171" s="291"/>
      <c r="Z171" s="279"/>
      <c r="AA171" s="279"/>
      <c r="AB171" s="279"/>
    </row>
    <row r="172" spans="2:28" s="278" customFormat="1" ht="11.65" hidden="1" customHeight="1" outlineLevel="1" x14ac:dyDescent="0.25">
      <c r="B172" s="270" t="e">
        <f>IF(AND($C172&gt;='TIF Loan Amortization'!$H$480,$C172&lt;='TIF Loan Amortization'!$I$480),'TIF Loan Amortization'!$G$480,IF(AND($C172&gt;='TIF Loan Amortization'!$H$481,$C172&lt;='TIF Loan Amortization'!I$481),'TIF Loan Amortization'!$G$481,IF(AND($C172&gt;='TIF Loan Amortization'!$H$482,$C172&lt;='TIF Loan Amortization'!I$482),'TIF Loan Amortization'!$G$482,IF(AND($C172&gt;='TIF Loan Amortization'!$H$483,$C172&lt;='TIF Loan Amortization'!I$483),'TIF Loan Amortization'!$G$483,IF(AND($C172&gt;='TIF Loan Amortization'!$H$484,$C172&lt;='TIF Loan Amortization'!I$484),'TIF Loan Amortization'!$G$484,IF(AND($C172&gt;='TIF Loan Amortization'!$H$485,$C172&lt;='TIF Loan Amortization'!I$485),'TIF Loan Amortization'!$G$485,IF(AND($C172&gt;='TIF Loan Amortization'!$H$486,$C172&lt;='TIF Loan Amortization'!I$486),'TIF Loan Amortization'!$G$486,IF(AND($C172&gt;='TIF Loan Amortization'!$H$487,$C172&lt;='TIF Loan Amortization'!I$487),'TIF Loan Amortization'!$G$487,IF(AND($C172&gt;='TIF Loan Amortization'!$H$488,$C172&lt;='TIF Loan Amortization'!I$488),'TIF Loan Amortization'!$G$488,IF(AND($C172&gt;='TIF Loan Amortization'!$H$489,$C172&lt;='TIF Loan Amortization'!I$489),'TIF Loan Amortization'!$G$489,IF(AND($C172&gt;='TIF Loan Amortization'!$H$490,$C172&lt;='TIF Loan Amortization'!I$490),'TIF Loan Amortization'!$G$490,IF(AND($C172&gt;='TIF Loan Amortization'!$H$491,$C172&lt;='TIF Loan Amortization'!I$491),'TIF Loan Amortization'!$G$491,IF(AND($C172&gt;='TIF Loan Amortization'!$H$492,$C172&lt;='TIF Loan Amortization'!I$492),'TIF Loan Amortization'!$G$492,IF(AND($C172&gt;='TIF Loan Amortization'!$H$493,$C172&lt;='TIF Loan Amortization'!I$493),'TIF Loan Amortization'!$G$493,IF(AND($C172&gt;='TIF Loan Amortization'!$H$494,$C172&lt;='TIF Loan Amortization'!I$494),'TIF Loan Amortization'!$G$494,IF(AND($C172&gt;='TIF Loan Amortization'!$H$495,$C172&lt;='TIF Loan Amortization'!I$495),'TIF Loan Amortization'!$G$495,IF(AND($C172&gt;='TIF Loan Amortization'!$H$496,$C172&lt;='TIF Loan Amortization'!I$496),'TIF Loan Amortization'!$G$496,IF(AND($C172&gt;='TIF Loan Amortization'!$H$497,$C172&lt;='TIF Loan Amortization'!I$497),'TIF Loan Amortization'!$G$497,IF(AND($C172&gt;='TIF Loan Amortization'!$H$498,$C172&lt;='TIF Loan Amortization'!I$498),'TIF Loan Amortization'!$G$498,IF(AND($C172&gt;='TIF Loan Amortization'!$H$499,$C172&lt;='TIF Loan Amortization'!I$499),'TIF Loan Amortization'!$G$499,IF(AND($C172&gt;='TIF Loan Amortization'!$H$500,$C172&lt;='TIF Loan Amortization'!I$500),'TIF Loan Amortization'!$G$500,IF(AND($C172&gt;='TIF Loan Amortization'!$H$501,$C172&lt;='TIF Loan Amortization'!I$501),'TIF Loan Amortization'!$G$501,IF(AND($C172&gt;='TIF Loan Amortization'!$H$502,$C172&lt;='TIF Loan Amortization'!I$502),'TIF Loan Amortization'!$G$502,IF(AND($C172&gt;='TIF Loan Amortization'!$H$503,$C172&lt;='TIF Loan Amortization'!I$503),'TIF Loan Amortization'!$G$503,IF(AND($C172&gt;='TIF Loan Amortization'!$H$504,$C172&lt;='TIF Loan Amortization'!I$504),'TIF Loan Amortization'!$G$504,IF(AND($C172&gt;='TIF Loan Amortization'!$H$505,$C172&lt;='TIF Loan Amortization'!I$505),'TIF Loan Amortization'!$G$505,IF(AND($C172&gt;='TIF Loan Amortization'!$H$506,$C172&lt;='TIF Loan Amortization'!I$506),'TIF Loan Amortization'!$G$506,IF(AND($C172&gt;='TIF Loan Amortization'!$H$507,$C172&lt;='TIF Loan Amortization'!I$507),'TIF Loan Amortization'!$G$507,IF(AND($C172&gt;='TIF Loan Amortization'!$H$508,$C172&lt;='TIF Loan Amortization'!I$508),'TIF Loan Amortization'!$G$508,IF(AND($C172&gt;='TIF Loan Amortization'!$H$509,$C172&lt;='TIF Loan Amortization'!I$509),'TIF Loan Amortization'!$G$509,IF(AND($C172&gt;='TIF Loan Amortization'!$H$510,$C172&lt;='TIF Loan Amortization'!I$510),'TIF Loan Amortization'!$G$510,IF(AND($C172&gt;='TIF Loan Amortization'!$H$511,$C172&lt;='TIF Loan Amortization'!I$511),'TIF Loan Amortization'!$G$511,IF(AND($C172&gt;='TIF Loan Amortization'!$H$512,$C172&lt;='TIF Loan Amortization'!I$512),'TIF Loan Amortization'!$G$512,IF(AND($C172&gt;='TIF Loan Amortization'!$H$513,$C172&lt;='TIF Loan Amortization'!I$513),'TIF Loan Amortization'!$G$513,IF(AND($C172&gt;='TIF Loan Amortization'!$H$514,$C172&lt;='TIF Loan Amortization'!I$514),'TIF Loan Amortization'!$G$514,IF(AND($C172&gt;='TIF Loan Amortization'!$H$515,$C172&lt;='TIF Loan Amortization'!I$515),'TIF Loan Amortization'!$G$515,IF(AND($C172&gt;='TIF Loan Amortization'!$H$516,$C172&lt;='TIF Loan Amortization'!I$516),'TIF Loan Amortization'!$G$516,IF(AND($C172&gt;='TIF Loan Amortization'!$H$517,$C172&lt;='TIF Loan Amortization'!I$517),'TIF Loan Amortization'!$G$517,IF(AND($C172&gt;='TIF Loan Amortization'!$H$518,$C172&lt;='TIF Loan Amortization'!I$518),'TIF Loan Amortization'!$G$518,IF(AND($C172&gt;='TIF Loan Amortization'!$H$519,$C172&lt;='TIF Loan Amortization'!I$519),'TIF Loan Amortization'!$G$519))))))))))))))))))))))))))))))))))))))))</f>
        <v>#N/A</v>
      </c>
      <c r="C172" s="269" t="e">
        <f t="shared" si="23"/>
        <v>#N/A</v>
      </c>
      <c r="D172" s="281" t="str">
        <f>IF($AG$424=1,$H$10+11,"")</f>
        <v/>
      </c>
      <c r="E172" s="274">
        <v>122</v>
      </c>
      <c r="F172" s="275" t="str">
        <f>VLOOKUP($AG$424,$AE$422:$AF$433,2)</f>
        <v>May</v>
      </c>
      <c r="G172" s="272">
        <f t="shared" si="24"/>
        <v>0</v>
      </c>
      <c r="H172" s="272">
        <f t="shared" si="27"/>
        <v>0</v>
      </c>
      <c r="I172" s="272">
        <f t="shared" si="28"/>
        <v>0</v>
      </c>
      <c r="J172" s="272">
        <f t="shared" si="25"/>
        <v>0</v>
      </c>
      <c r="K172" s="272">
        <f>IF(ISTEXT($M$4),"",SUM(I$50:I172))</f>
        <v>0</v>
      </c>
      <c r="L172" s="272">
        <f>IF(ISTEXT($M$4),"",SUM(J$50:J172))</f>
        <v>0</v>
      </c>
      <c r="M172" s="271">
        <f t="shared" si="26"/>
        <v>0</v>
      </c>
      <c r="N172" s="291" t="e">
        <f>IF(C172='Operating Assumptions'!$C$48,"Construction Finish","")</f>
        <v>#N/A</v>
      </c>
      <c r="O172" s="291"/>
      <c r="P172" s="291"/>
      <c r="Q172" s="291"/>
      <c r="R172" s="291"/>
      <c r="S172" s="291"/>
      <c r="T172" s="291"/>
      <c r="U172" s="291"/>
      <c r="V172" s="292"/>
      <c r="W172" s="292"/>
      <c r="X172" s="292"/>
      <c r="Y172" s="291"/>
      <c r="Z172" s="279"/>
      <c r="AA172" s="279"/>
      <c r="AB172" s="279"/>
    </row>
    <row r="173" spans="2:28" s="278" customFormat="1" ht="11.65" hidden="1" customHeight="1" outlineLevel="1" x14ac:dyDescent="0.25">
      <c r="B173" s="270" t="e">
        <f>IF(AND($C173&gt;='TIF Loan Amortization'!$H$480,$C173&lt;='TIF Loan Amortization'!$I$480),'TIF Loan Amortization'!$G$480,IF(AND($C173&gt;='TIF Loan Amortization'!$H$481,$C173&lt;='TIF Loan Amortization'!I$481),'TIF Loan Amortization'!$G$481,IF(AND($C173&gt;='TIF Loan Amortization'!$H$482,$C173&lt;='TIF Loan Amortization'!I$482),'TIF Loan Amortization'!$G$482,IF(AND($C173&gt;='TIF Loan Amortization'!$H$483,$C173&lt;='TIF Loan Amortization'!I$483),'TIF Loan Amortization'!$G$483,IF(AND($C173&gt;='TIF Loan Amortization'!$H$484,$C173&lt;='TIF Loan Amortization'!I$484),'TIF Loan Amortization'!$G$484,IF(AND($C173&gt;='TIF Loan Amortization'!$H$485,$C173&lt;='TIF Loan Amortization'!I$485),'TIF Loan Amortization'!$G$485,IF(AND($C173&gt;='TIF Loan Amortization'!$H$486,$C173&lt;='TIF Loan Amortization'!I$486),'TIF Loan Amortization'!$G$486,IF(AND($C173&gt;='TIF Loan Amortization'!$H$487,$C173&lt;='TIF Loan Amortization'!I$487),'TIF Loan Amortization'!$G$487,IF(AND($C173&gt;='TIF Loan Amortization'!$H$488,$C173&lt;='TIF Loan Amortization'!I$488),'TIF Loan Amortization'!$G$488,IF(AND($C173&gt;='TIF Loan Amortization'!$H$489,$C173&lt;='TIF Loan Amortization'!I$489),'TIF Loan Amortization'!$G$489,IF(AND($C173&gt;='TIF Loan Amortization'!$H$490,$C173&lt;='TIF Loan Amortization'!I$490),'TIF Loan Amortization'!$G$490,IF(AND($C173&gt;='TIF Loan Amortization'!$H$491,$C173&lt;='TIF Loan Amortization'!I$491),'TIF Loan Amortization'!$G$491,IF(AND($C173&gt;='TIF Loan Amortization'!$H$492,$C173&lt;='TIF Loan Amortization'!I$492),'TIF Loan Amortization'!$G$492,IF(AND($C173&gt;='TIF Loan Amortization'!$H$493,$C173&lt;='TIF Loan Amortization'!I$493),'TIF Loan Amortization'!$G$493,IF(AND($C173&gt;='TIF Loan Amortization'!$H$494,$C173&lt;='TIF Loan Amortization'!I$494),'TIF Loan Amortization'!$G$494,IF(AND($C173&gt;='TIF Loan Amortization'!$H$495,$C173&lt;='TIF Loan Amortization'!I$495),'TIF Loan Amortization'!$G$495,IF(AND($C173&gt;='TIF Loan Amortization'!$H$496,$C173&lt;='TIF Loan Amortization'!I$496),'TIF Loan Amortization'!$G$496,IF(AND($C173&gt;='TIF Loan Amortization'!$H$497,$C173&lt;='TIF Loan Amortization'!I$497),'TIF Loan Amortization'!$G$497,IF(AND($C173&gt;='TIF Loan Amortization'!$H$498,$C173&lt;='TIF Loan Amortization'!I$498),'TIF Loan Amortization'!$G$498,IF(AND($C173&gt;='TIF Loan Amortization'!$H$499,$C173&lt;='TIF Loan Amortization'!I$499),'TIF Loan Amortization'!$G$499,IF(AND($C173&gt;='TIF Loan Amortization'!$H$500,$C173&lt;='TIF Loan Amortization'!I$500),'TIF Loan Amortization'!$G$500,IF(AND($C173&gt;='TIF Loan Amortization'!$H$501,$C173&lt;='TIF Loan Amortization'!I$501),'TIF Loan Amortization'!$G$501,IF(AND($C173&gt;='TIF Loan Amortization'!$H$502,$C173&lt;='TIF Loan Amortization'!I$502),'TIF Loan Amortization'!$G$502,IF(AND($C173&gt;='TIF Loan Amortization'!$H$503,$C173&lt;='TIF Loan Amortization'!I$503),'TIF Loan Amortization'!$G$503,IF(AND($C173&gt;='TIF Loan Amortization'!$H$504,$C173&lt;='TIF Loan Amortization'!I$504),'TIF Loan Amortization'!$G$504,IF(AND($C173&gt;='TIF Loan Amortization'!$H$505,$C173&lt;='TIF Loan Amortization'!I$505),'TIF Loan Amortization'!$G$505,IF(AND($C173&gt;='TIF Loan Amortization'!$H$506,$C173&lt;='TIF Loan Amortization'!I$506),'TIF Loan Amortization'!$G$506,IF(AND($C173&gt;='TIF Loan Amortization'!$H$507,$C173&lt;='TIF Loan Amortization'!I$507),'TIF Loan Amortization'!$G$507,IF(AND($C173&gt;='TIF Loan Amortization'!$H$508,$C173&lt;='TIF Loan Amortization'!I$508),'TIF Loan Amortization'!$G$508,IF(AND($C173&gt;='TIF Loan Amortization'!$H$509,$C173&lt;='TIF Loan Amortization'!I$509),'TIF Loan Amortization'!$G$509,IF(AND($C173&gt;='TIF Loan Amortization'!$H$510,$C173&lt;='TIF Loan Amortization'!I$510),'TIF Loan Amortization'!$G$510,IF(AND($C173&gt;='TIF Loan Amortization'!$H$511,$C173&lt;='TIF Loan Amortization'!I$511),'TIF Loan Amortization'!$G$511,IF(AND($C173&gt;='TIF Loan Amortization'!$H$512,$C173&lt;='TIF Loan Amortization'!I$512),'TIF Loan Amortization'!$G$512,IF(AND($C173&gt;='TIF Loan Amortization'!$H$513,$C173&lt;='TIF Loan Amortization'!I$513),'TIF Loan Amortization'!$G$513,IF(AND($C173&gt;='TIF Loan Amortization'!$H$514,$C173&lt;='TIF Loan Amortization'!I$514),'TIF Loan Amortization'!$G$514,IF(AND($C173&gt;='TIF Loan Amortization'!$H$515,$C173&lt;='TIF Loan Amortization'!I$515),'TIF Loan Amortization'!$G$515,IF(AND($C173&gt;='TIF Loan Amortization'!$H$516,$C173&lt;='TIF Loan Amortization'!I$516),'TIF Loan Amortization'!$G$516,IF(AND($C173&gt;='TIF Loan Amortization'!$H$517,$C173&lt;='TIF Loan Amortization'!I$517),'TIF Loan Amortization'!$G$517,IF(AND($C173&gt;='TIF Loan Amortization'!$H$518,$C173&lt;='TIF Loan Amortization'!I$518),'TIF Loan Amortization'!$G$518,IF(AND($C173&gt;='TIF Loan Amortization'!$H$519,$C173&lt;='TIF Loan Amortization'!I$519),'TIF Loan Amortization'!$G$519))))))))))))))))))))))))))))))))))))))))</f>
        <v>#N/A</v>
      </c>
      <c r="C173" s="269" t="e">
        <f t="shared" si="23"/>
        <v>#N/A</v>
      </c>
      <c r="D173" s="281" t="str">
        <f>IF($AG$425=1,$H$10+11,"")</f>
        <v/>
      </c>
      <c r="E173" s="274">
        <v>123</v>
      </c>
      <c r="F173" s="275" t="str">
        <f>VLOOKUP($AG$425,$AE$422:$AF$433,2)</f>
        <v>Jun</v>
      </c>
      <c r="G173" s="272">
        <f t="shared" si="24"/>
        <v>0</v>
      </c>
      <c r="H173" s="272">
        <f t="shared" si="27"/>
        <v>0</v>
      </c>
      <c r="I173" s="272">
        <f t="shared" si="28"/>
        <v>0</v>
      </c>
      <c r="J173" s="272">
        <f t="shared" si="25"/>
        <v>0</v>
      </c>
      <c r="K173" s="272">
        <f>IF(ISTEXT($M$4),"",SUM(I$50:I173))</f>
        <v>0</v>
      </c>
      <c r="L173" s="272">
        <f>IF(ISTEXT($M$4),"",SUM(J$50:J173))</f>
        <v>0</v>
      </c>
      <c r="M173" s="271">
        <f t="shared" si="26"/>
        <v>0</v>
      </c>
      <c r="N173" s="291" t="e">
        <f>IF(C173='Operating Assumptions'!$C$48,"Construction Finish","")</f>
        <v>#N/A</v>
      </c>
      <c r="O173" s="291"/>
      <c r="P173" s="291"/>
      <c r="Q173" s="291"/>
      <c r="R173" s="291"/>
      <c r="S173" s="291"/>
      <c r="T173" s="291"/>
      <c r="U173" s="291"/>
      <c r="V173" s="292"/>
      <c r="W173" s="292"/>
      <c r="X173" s="292"/>
      <c r="Y173" s="291"/>
      <c r="Z173" s="279"/>
      <c r="AA173" s="279"/>
      <c r="AB173" s="279"/>
    </row>
    <row r="174" spans="2:28" s="278" customFormat="1" ht="11.65" hidden="1" customHeight="1" outlineLevel="1" x14ac:dyDescent="0.25">
      <c r="B174" s="270" t="e">
        <f>IF(AND($C174&gt;='TIF Loan Amortization'!$H$480,$C174&lt;='TIF Loan Amortization'!$I$480),'TIF Loan Amortization'!$G$480,IF(AND($C174&gt;='TIF Loan Amortization'!$H$481,$C174&lt;='TIF Loan Amortization'!I$481),'TIF Loan Amortization'!$G$481,IF(AND($C174&gt;='TIF Loan Amortization'!$H$482,$C174&lt;='TIF Loan Amortization'!I$482),'TIF Loan Amortization'!$G$482,IF(AND($C174&gt;='TIF Loan Amortization'!$H$483,$C174&lt;='TIF Loan Amortization'!I$483),'TIF Loan Amortization'!$G$483,IF(AND($C174&gt;='TIF Loan Amortization'!$H$484,$C174&lt;='TIF Loan Amortization'!I$484),'TIF Loan Amortization'!$G$484,IF(AND($C174&gt;='TIF Loan Amortization'!$H$485,$C174&lt;='TIF Loan Amortization'!I$485),'TIF Loan Amortization'!$G$485,IF(AND($C174&gt;='TIF Loan Amortization'!$H$486,$C174&lt;='TIF Loan Amortization'!I$486),'TIF Loan Amortization'!$G$486,IF(AND($C174&gt;='TIF Loan Amortization'!$H$487,$C174&lt;='TIF Loan Amortization'!I$487),'TIF Loan Amortization'!$G$487,IF(AND($C174&gt;='TIF Loan Amortization'!$H$488,$C174&lt;='TIF Loan Amortization'!I$488),'TIF Loan Amortization'!$G$488,IF(AND($C174&gt;='TIF Loan Amortization'!$H$489,$C174&lt;='TIF Loan Amortization'!I$489),'TIF Loan Amortization'!$G$489,IF(AND($C174&gt;='TIF Loan Amortization'!$H$490,$C174&lt;='TIF Loan Amortization'!I$490),'TIF Loan Amortization'!$G$490,IF(AND($C174&gt;='TIF Loan Amortization'!$H$491,$C174&lt;='TIF Loan Amortization'!I$491),'TIF Loan Amortization'!$G$491,IF(AND($C174&gt;='TIF Loan Amortization'!$H$492,$C174&lt;='TIF Loan Amortization'!I$492),'TIF Loan Amortization'!$G$492,IF(AND($C174&gt;='TIF Loan Amortization'!$H$493,$C174&lt;='TIF Loan Amortization'!I$493),'TIF Loan Amortization'!$G$493,IF(AND($C174&gt;='TIF Loan Amortization'!$H$494,$C174&lt;='TIF Loan Amortization'!I$494),'TIF Loan Amortization'!$G$494,IF(AND($C174&gt;='TIF Loan Amortization'!$H$495,$C174&lt;='TIF Loan Amortization'!I$495),'TIF Loan Amortization'!$G$495,IF(AND($C174&gt;='TIF Loan Amortization'!$H$496,$C174&lt;='TIF Loan Amortization'!I$496),'TIF Loan Amortization'!$G$496,IF(AND($C174&gt;='TIF Loan Amortization'!$H$497,$C174&lt;='TIF Loan Amortization'!I$497),'TIF Loan Amortization'!$G$497,IF(AND($C174&gt;='TIF Loan Amortization'!$H$498,$C174&lt;='TIF Loan Amortization'!I$498),'TIF Loan Amortization'!$G$498,IF(AND($C174&gt;='TIF Loan Amortization'!$H$499,$C174&lt;='TIF Loan Amortization'!I$499),'TIF Loan Amortization'!$G$499,IF(AND($C174&gt;='TIF Loan Amortization'!$H$500,$C174&lt;='TIF Loan Amortization'!I$500),'TIF Loan Amortization'!$G$500,IF(AND($C174&gt;='TIF Loan Amortization'!$H$501,$C174&lt;='TIF Loan Amortization'!I$501),'TIF Loan Amortization'!$G$501,IF(AND($C174&gt;='TIF Loan Amortization'!$H$502,$C174&lt;='TIF Loan Amortization'!I$502),'TIF Loan Amortization'!$G$502,IF(AND($C174&gt;='TIF Loan Amortization'!$H$503,$C174&lt;='TIF Loan Amortization'!I$503),'TIF Loan Amortization'!$G$503,IF(AND($C174&gt;='TIF Loan Amortization'!$H$504,$C174&lt;='TIF Loan Amortization'!I$504),'TIF Loan Amortization'!$G$504,IF(AND($C174&gt;='TIF Loan Amortization'!$H$505,$C174&lt;='TIF Loan Amortization'!I$505),'TIF Loan Amortization'!$G$505,IF(AND($C174&gt;='TIF Loan Amortization'!$H$506,$C174&lt;='TIF Loan Amortization'!I$506),'TIF Loan Amortization'!$G$506,IF(AND($C174&gt;='TIF Loan Amortization'!$H$507,$C174&lt;='TIF Loan Amortization'!I$507),'TIF Loan Amortization'!$G$507,IF(AND($C174&gt;='TIF Loan Amortization'!$H$508,$C174&lt;='TIF Loan Amortization'!I$508),'TIF Loan Amortization'!$G$508,IF(AND($C174&gt;='TIF Loan Amortization'!$H$509,$C174&lt;='TIF Loan Amortization'!I$509),'TIF Loan Amortization'!$G$509,IF(AND($C174&gt;='TIF Loan Amortization'!$H$510,$C174&lt;='TIF Loan Amortization'!I$510),'TIF Loan Amortization'!$G$510,IF(AND($C174&gt;='TIF Loan Amortization'!$H$511,$C174&lt;='TIF Loan Amortization'!I$511),'TIF Loan Amortization'!$G$511,IF(AND($C174&gt;='TIF Loan Amortization'!$H$512,$C174&lt;='TIF Loan Amortization'!I$512),'TIF Loan Amortization'!$G$512,IF(AND($C174&gt;='TIF Loan Amortization'!$H$513,$C174&lt;='TIF Loan Amortization'!I$513),'TIF Loan Amortization'!$G$513,IF(AND($C174&gt;='TIF Loan Amortization'!$H$514,$C174&lt;='TIF Loan Amortization'!I$514),'TIF Loan Amortization'!$G$514,IF(AND($C174&gt;='TIF Loan Amortization'!$H$515,$C174&lt;='TIF Loan Amortization'!I$515),'TIF Loan Amortization'!$G$515,IF(AND($C174&gt;='TIF Loan Amortization'!$H$516,$C174&lt;='TIF Loan Amortization'!I$516),'TIF Loan Amortization'!$G$516,IF(AND($C174&gt;='TIF Loan Amortization'!$H$517,$C174&lt;='TIF Loan Amortization'!I$517),'TIF Loan Amortization'!$G$517,IF(AND($C174&gt;='TIF Loan Amortization'!$H$518,$C174&lt;='TIF Loan Amortization'!I$518),'TIF Loan Amortization'!$G$518,IF(AND($C174&gt;='TIF Loan Amortization'!$H$519,$C174&lt;='TIF Loan Amortization'!I$519),'TIF Loan Amortization'!$G$519))))))))))))))))))))))))))))))))))))))))</f>
        <v>#N/A</v>
      </c>
      <c r="C174" s="269" t="e">
        <f t="shared" si="23"/>
        <v>#N/A</v>
      </c>
      <c r="D174" s="281" t="str">
        <f>IF($AG$426=1,$H$10+11,"")</f>
        <v/>
      </c>
      <c r="E174" s="274">
        <v>124</v>
      </c>
      <c r="F174" s="275" t="str">
        <f>VLOOKUP($AG$426,$AE$422:$AF$433,2)</f>
        <v>Jul</v>
      </c>
      <c r="G174" s="272">
        <f t="shared" si="24"/>
        <v>0</v>
      </c>
      <c r="H174" s="272">
        <f t="shared" si="27"/>
        <v>0</v>
      </c>
      <c r="I174" s="272">
        <f t="shared" si="28"/>
        <v>0</v>
      </c>
      <c r="J174" s="272">
        <f t="shared" si="25"/>
        <v>0</v>
      </c>
      <c r="K174" s="272">
        <f>IF(ISTEXT($M$4),"",SUM(I$50:I174))</f>
        <v>0</v>
      </c>
      <c r="L174" s="272">
        <f>IF(ISTEXT($M$4),"",SUM(J$50:J174))</f>
        <v>0</v>
      </c>
      <c r="M174" s="271">
        <f t="shared" si="26"/>
        <v>0</v>
      </c>
      <c r="N174" s="291" t="e">
        <f>IF(C174='Operating Assumptions'!$C$48,"Construction Finish","")</f>
        <v>#N/A</v>
      </c>
      <c r="O174" s="291"/>
      <c r="P174" s="291"/>
      <c r="Q174" s="291"/>
      <c r="R174" s="291"/>
      <c r="S174" s="291"/>
      <c r="T174" s="291"/>
      <c r="U174" s="291"/>
      <c r="V174" s="292"/>
      <c r="W174" s="292"/>
      <c r="X174" s="292"/>
      <c r="Y174" s="291"/>
      <c r="Z174" s="279"/>
      <c r="AA174" s="279"/>
      <c r="AB174" s="279"/>
    </row>
    <row r="175" spans="2:28" s="278" customFormat="1" ht="11.65" hidden="1" customHeight="1" outlineLevel="1" x14ac:dyDescent="0.25">
      <c r="B175" s="270" t="e">
        <f>IF(AND($C175&gt;='TIF Loan Amortization'!$H$480,$C175&lt;='TIF Loan Amortization'!$I$480),'TIF Loan Amortization'!$G$480,IF(AND($C175&gt;='TIF Loan Amortization'!$H$481,$C175&lt;='TIF Loan Amortization'!I$481),'TIF Loan Amortization'!$G$481,IF(AND($C175&gt;='TIF Loan Amortization'!$H$482,$C175&lt;='TIF Loan Amortization'!I$482),'TIF Loan Amortization'!$G$482,IF(AND($C175&gt;='TIF Loan Amortization'!$H$483,$C175&lt;='TIF Loan Amortization'!I$483),'TIF Loan Amortization'!$G$483,IF(AND($C175&gt;='TIF Loan Amortization'!$H$484,$C175&lt;='TIF Loan Amortization'!I$484),'TIF Loan Amortization'!$G$484,IF(AND($C175&gt;='TIF Loan Amortization'!$H$485,$C175&lt;='TIF Loan Amortization'!I$485),'TIF Loan Amortization'!$G$485,IF(AND($C175&gt;='TIF Loan Amortization'!$H$486,$C175&lt;='TIF Loan Amortization'!I$486),'TIF Loan Amortization'!$G$486,IF(AND($C175&gt;='TIF Loan Amortization'!$H$487,$C175&lt;='TIF Loan Amortization'!I$487),'TIF Loan Amortization'!$G$487,IF(AND($C175&gt;='TIF Loan Amortization'!$H$488,$C175&lt;='TIF Loan Amortization'!I$488),'TIF Loan Amortization'!$G$488,IF(AND($C175&gt;='TIF Loan Amortization'!$H$489,$C175&lt;='TIF Loan Amortization'!I$489),'TIF Loan Amortization'!$G$489,IF(AND($C175&gt;='TIF Loan Amortization'!$H$490,$C175&lt;='TIF Loan Amortization'!I$490),'TIF Loan Amortization'!$G$490,IF(AND($C175&gt;='TIF Loan Amortization'!$H$491,$C175&lt;='TIF Loan Amortization'!I$491),'TIF Loan Amortization'!$G$491,IF(AND($C175&gt;='TIF Loan Amortization'!$H$492,$C175&lt;='TIF Loan Amortization'!I$492),'TIF Loan Amortization'!$G$492,IF(AND($C175&gt;='TIF Loan Amortization'!$H$493,$C175&lt;='TIF Loan Amortization'!I$493),'TIF Loan Amortization'!$G$493,IF(AND($C175&gt;='TIF Loan Amortization'!$H$494,$C175&lt;='TIF Loan Amortization'!I$494),'TIF Loan Amortization'!$G$494,IF(AND($C175&gt;='TIF Loan Amortization'!$H$495,$C175&lt;='TIF Loan Amortization'!I$495),'TIF Loan Amortization'!$G$495,IF(AND($C175&gt;='TIF Loan Amortization'!$H$496,$C175&lt;='TIF Loan Amortization'!I$496),'TIF Loan Amortization'!$G$496,IF(AND($C175&gt;='TIF Loan Amortization'!$H$497,$C175&lt;='TIF Loan Amortization'!I$497),'TIF Loan Amortization'!$G$497,IF(AND($C175&gt;='TIF Loan Amortization'!$H$498,$C175&lt;='TIF Loan Amortization'!I$498),'TIF Loan Amortization'!$G$498,IF(AND($C175&gt;='TIF Loan Amortization'!$H$499,$C175&lt;='TIF Loan Amortization'!I$499),'TIF Loan Amortization'!$G$499,IF(AND($C175&gt;='TIF Loan Amortization'!$H$500,$C175&lt;='TIF Loan Amortization'!I$500),'TIF Loan Amortization'!$G$500,IF(AND($C175&gt;='TIF Loan Amortization'!$H$501,$C175&lt;='TIF Loan Amortization'!I$501),'TIF Loan Amortization'!$G$501,IF(AND($C175&gt;='TIF Loan Amortization'!$H$502,$C175&lt;='TIF Loan Amortization'!I$502),'TIF Loan Amortization'!$G$502,IF(AND($C175&gt;='TIF Loan Amortization'!$H$503,$C175&lt;='TIF Loan Amortization'!I$503),'TIF Loan Amortization'!$G$503,IF(AND($C175&gt;='TIF Loan Amortization'!$H$504,$C175&lt;='TIF Loan Amortization'!I$504),'TIF Loan Amortization'!$G$504,IF(AND($C175&gt;='TIF Loan Amortization'!$H$505,$C175&lt;='TIF Loan Amortization'!I$505),'TIF Loan Amortization'!$G$505,IF(AND($C175&gt;='TIF Loan Amortization'!$H$506,$C175&lt;='TIF Loan Amortization'!I$506),'TIF Loan Amortization'!$G$506,IF(AND($C175&gt;='TIF Loan Amortization'!$H$507,$C175&lt;='TIF Loan Amortization'!I$507),'TIF Loan Amortization'!$G$507,IF(AND($C175&gt;='TIF Loan Amortization'!$H$508,$C175&lt;='TIF Loan Amortization'!I$508),'TIF Loan Amortization'!$G$508,IF(AND($C175&gt;='TIF Loan Amortization'!$H$509,$C175&lt;='TIF Loan Amortization'!I$509),'TIF Loan Amortization'!$G$509,IF(AND($C175&gt;='TIF Loan Amortization'!$H$510,$C175&lt;='TIF Loan Amortization'!I$510),'TIF Loan Amortization'!$G$510,IF(AND($C175&gt;='TIF Loan Amortization'!$H$511,$C175&lt;='TIF Loan Amortization'!I$511),'TIF Loan Amortization'!$G$511,IF(AND($C175&gt;='TIF Loan Amortization'!$H$512,$C175&lt;='TIF Loan Amortization'!I$512),'TIF Loan Amortization'!$G$512,IF(AND($C175&gt;='TIF Loan Amortization'!$H$513,$C175&lt;='TIF Loan Amortization'!I$513),'TIF Loan Amortization'!$G$513,IF(AND($C175&gt;='TIF Loan Amortization'!$H$514,$C175&lt;='TIF Loan Amortization'!I$514),'TIF Loan Amortization'!$G$514,IF(AND($C175&gt;='TIF Loan Amortization'!$H$515,$C175&lt;='TIF Loan Amortization'!I$515),'TIF Loan Amortization'!$G$515,IF(AND($C175&gt;='TIF Loan Amortization'!$H$516,$C175&lt;='TIF Loan Amortization'!I$516),'TIF Loan Amortization'!$G$516,IF(AND($C175&gt;='TIF Loan Amortization'!$H$517,$C175&lt;='TIF Loan Amortization'!I$517),'TIF Loan Amortization'!$G$517,IF(AND($C175&gt;='TIF Loan Amortization'!$H$518,$C175&lt;='TIF Loan Amortization'!I$518),'TIF Loan Amortization'!$G$518,IF(AND($C175&gt;='TIF Loan Amortization'!$H$519,$C175&lt;='TIF Loan Amortization'!I$519),'TIF Loan Amortization'!$G$519))))))))))))))))))))))))))))))))))))))))</f>
        <v>#N/A</v>
      </c>
      <c r="C175" s="269" t="e">
        <f t="shared" si="23"/>
        <v>#N/A</v>
      </c>
      <c r="D175" s="281" t="str">
        <f>IF($AG$427=1,$H$10+11,"")</f>
        <v/>
      </c>
      <c r="E175" s="274">
        <v>125</v>
      </c>
      <c r="F175" s="275" t="str">
        <f>VLOOKUP($AG$427,$AE$422:$AF$433,2)</f>
        <v>Aug</v>
      </c>
      <c r="G175" s="272">
        <f t="shared" si="24"/>
        <v>0</v>
      </c>
      <c r="H175" s="272">
        <f t="shared" si="27"/>
        <v>0</v>
      </c>
      <c r="I175" s="272">
        <f t="shared" si="28"/>
        <v>0</v>
      </c>
      <c r="J175" s="272">
        <f t="shared" si="25"/>
        <v>0</v>
      </c>
      <c r="K175" s="272">
        <f>IF(ISTEXT($M$4),"",SUM(I$50:I175))</f>
        <v>0</v>
      </c>
      <c r="L175" s="272">
        <f>IF(ISTEXT($M$4),"",SUM(J$50:J175))</f>
        <v>0</v>
      </c>
      <c r="M175" s="271">
        <f t="shared" si="26"/>
        <v>0</v>
      </c>
      <c r="N175" s="291" t="e">
        <f>IF(C175='Operating Assumptions'!$C$48,"Construction Finish","")</f>
        <v>#N/A</v>
      </c>
      <c r="O175" s="291"/>
      <c r="P175" s="291"/>
      <c r="Q175" s="291"/>
      <c r="R175" s="291"/>
      <c r="S175" s="291"/>
      <c r="T175" s="291"/>
      <c r="U175" s="291"/>
      <c r="V175" s="292"/>
      <c r="W175" s="292"/>
      <c r="X175" s="292"/>
      <c r="Y175" s="291"/>
      <c r="Z175" s="279"/>
      <c r="AA175" s="279"/>
      <c r="AB175" s="279"/>
    </row>
    <row r="176" spans="2:28" s="278" customFormat="1" ht="11.65" hidden="1" customHeight="1" outlineLevel="1" x14ac:dyDescent="0.25">
      <c r="B176" s="270" t="e">
        <f>IF(AND($C176&gt;='TIF Loan Amortization'!$H$480,$C176&lt;='TIF Loan Amortization'!$I$480),'TIF Loan Amortization'!$G$480,IF(AND($C176&gt;='TIF Loan Amortization'!$H$481,$C176&lt;='TIF Loan Amortization'!I$481),'TIF Loan Amortization'!$G$481,IF(AND($C176&gt;='TIF Loan Amortization'!$H$482,$C176&lt;='TIF Loan Amortization'!I$482),'TIF Loan Amortization'!$G$482,IF(AND($C176&gt;='TIF Loan Amortization'!$H$483,$C176&lt;='TIF Loan Amortization'!I$483),'TIF Loan Amortization'!$G$483,IF(AND($C176&gt;='TIF Loan Amortization'!$H$484,$C176&lt;='TIF Loan Amortization'!I$484),'TIF Loan Amortization'!$G$484,IF(AND($C176&gt;='TIF Loan Amortization'!$H$485,$C176&lt;='TIF Loan Amortization'!I$485),'TIF Loan Amortization'!$G$485,IF(AND($C176&gt;='TIF Loan Amortization'!$H$486,$C176&lt;='TIF Loan Amortization'!I$486),'TIF Loan Amortization'!$G$486,IF(AND($C176&gt;='TIF Loan Amortization'!$H$487,$C176&lt;='TIF Loan Amortization'!I$487),'TIF Loan Amortization'!$G$487,IF(AND($C176&gt;='TIF Loan Amortization'!$H$488,$C176&lt;='TIF Loan Amortization'!I$488),'TIF Loan Amortization'!$G$488,IF(AND($C176&gt;='TIF Loan Amortization'!$H$489,$C176&lt;='TIF Loan Amortization'!I$489),'TIF Loan Amortization'!$G$489,IF(AND($C176&gt;='TIF Loan Amortization'!$H$490,$C176&lt;='TIF Loan Amortization'!I$490),'TIF Loan Amortization'!$G$490,IF(AND($C176&gt;='TIF Loan Amortization'!$H$491,$C176&lt;='TIF Loan Amortization'!I$491),'TIF Loan Amortization'!$G$491,IF(AND($C176&gt;='TIF Loan Amortization'!$H$492,$C176&lt;='TIF Loan Amortization'!I$492),'TIF Loan Amortization'!$G$492,IF(AND($C176&gt;='TIF Loan Amortization'!$H$493,$C176&lt;='TIF Loan Amortization'!I$493),'TIF Loan Amortization'!$G$493,IF(AND($C176&gt;='TIF Loan Amortization'!$H$494,$C176&lt;='TIF Loan Amortization'!I$494),'TIF Loan Amortization'!$G$494,IF(AND($C176&gt;='TIF Loan Amortization'!$H$495,$C176&lt;='TIF Loan Amortization'!I$495),'TIF Loan Amortization'!$G$495,IF(AND($C176&gt;='TIF Loan Amortization'!$H$496,$C176&lt;='TIF Loan Amortization'!I$496),'TIF Loan Amortization'!$G$496,IF(AND($C176&gt;='TIF Loan Amortization'!$H$497,$C176&lt;='TIF Loan Amortization'!I$497),'TIF Loan Amortization'!$G$497,IF(AND($C176&gt;='TIF Loan Amortization'!$H$498,$C176&lt;='TIF Loan Amortization'!I$498),'TIF Loan Amortization'!$G$498,IF(AND($C176&gt;='TIF Loan Amortization'!$H$499,$C176&lt;='TIF Loan Amortization'!I$499),'TIF Loan Amortization'!$G$499,IF(AND($C176&gt;='TIF Loan Amortization'!$H$500,$C176&lt;='TIF Loan Amortization'!I$500),'TIF Loan Amortization'!$G$500,IF(AND($C176&gt;='TIF Loan Amortization'!$H$501,$C176&lt;='TIF Loan Amortization'!I$501),'TIF Loan Amortization'!$G$501,IF(AND($C176&gt;='TIF Loan Amortization'!$H$502,$C176&lt;='TIF Loan Amortization'!I$502),'TIF Loan Amortization'!$G$502,IF(AND($C176&gt;='TIF Loan Amortization'!$H$503,$C176&lt;='TIF Loan Amortization'!I$503),'TIF Loan Amortization'!$G$503,IF(AND($C176&gt;='TIF Loan Amortization'!$H$504,$C176&lt;='TIF Loan Amortization'!I$504),'TIF Loan Amortization'!$G$504,IF(AND($C176&gt;='TIF Loan Amortization'!$H$505,$C176&lt;='TIF Loan Amortization'!I$505),'TIF Loan Amortization'!$G$505,IF(AND($C176&gt;='TIF Loan Amortization'!$H$506,$C176&lt;='TIF Loan Amortization'!I$506),'TIF Loan Amortization'!$G$506,IF(AND($C176&gt;='TIF Loan Amortization'!$H$507,$C176&lt;='TIF Loan Amortization'!I$507),'TIF Loan Amortization'!$G$507,IF(AND($C176&gt;='TIF Loan Amortization'!$H$508,$C176&lt;='TIF Loan Amortization'!I$508),'TIF Loan Amortization'!$G$508,IF(AND($C176&gt;='TIF Loan Amortization'!$H$509,$C176&lt;='TIF Loan Amortization'!I$509),'TIF Loan Amortization'!$G$509,IF(AND($C176&gt;='TIF Loan Amortization'!$H$510,$C176&lt;='TIF Loan Amortization'!I$510),'TIF Loan Amortization'!$G$510,IF(AND($C176&gt;='TIF Loan Amortization'!$H$511,$C176&lt;='TIF Loan Amortization'!I$511),'TIF Loan Amortization'!$G$511,IF(AND($C176&gt;='TIF Loan Amortization'!$H$512,$C176&lt;='TIF Loan Amortization'!I$512),'TIF Loan Amortization'!$G$512,IF(AND($C176&gt;='TIF Loan Amortization'!$H$513,$C176&lt;='TIF Loan Amortization'!I$513),'TIF Loan Amortization'!$G$513,IF(AND($C176&gt;='TIF Loan Amortization'!$H$514,$C176&lt;='TIF Loan Amortization'!I$514),'TIF Loan Amortization'!$G$514,IF(AND($C176&gt;='TIF Loan Amortization'!$H$515,$C176&lt;='TIF Loan Amortization'!I$515),'TIF Loan Amortization'!$G$515,IF(AND($C176&gt;='TIF Loan Amortization'!$H$516,$C176&lt;='TIF Loan Amortization'!I$516),'TIF Loan Amortization'!$G$516,IF(AND($C176&gt;='TIF Loan Amortization'!$H$517,$C176&lt;='TIF Loan Amortization'!I$517),'TIF Loan Amortization'!$G$517,IF(AND($C176&gt;='TIF Loan Amortization'!$H$518,$C176&lt;='TIF Loan Amortization'!I$518),'TIF Loan Amortization'!$G$518,IF(AND($C176&gt;='TIF Loan Amortization'!$H$519,$C176&lt;='TIF Loan Amortization'!I$519),'TIF Loan Amortization'!$G$519))))))))))))))))))))))))))))))))))))))))</f>
        <v>#N/A</v>
      </c>
      <c r="C176" s="269" t="e">
        <f t="shared" si="23"/>
        <v>#N/A</v>
      </c>
      <c r="D176" s="281" t="str">
        <f>IF($AG$428=1,$H$10+11,"")</f>
        <v/>
      </c>
      <c r="E176" s="274">
        <v>126</v>
      </c>
      <c r="F176" s="275" t="str">
        <f>VLOOKUP($AG$428,$AE$422:$AF$433,2)</f>
        <v>Sep</v>
      </c>
      <c r="G176" s="272">
        <f t="shared" si="24"/>
        <v>0</v>
      </c>
      <c r="H176" s="272">
        <f t="shared" si="27"/>
        <v>0</v>
      </c>
      <c r="I176" s="272">
        <f t="shared" si="28"/>
        <v>0</v>
      </c>
      <c r="J176" s="272">
        <f t="shared" si="25"/>
        <v>0</v>
      </c>
      <c r="K176" s="272">
        <f>IF(ISTEXT($M$4),"",SUM(I$50:I176))</f>
        <v>0</v>
      </c>
      <c r="L176" s="272">
        <f>IF(ISTEXT($M$4),"",SUM(J$50:J176))</f>
        <v>0</v>
      </c>
      <c r="M176" s="271">
        <f t="shared" si="26"/>
        <v>0</v>
      </c>
      <c r="N176" s="291" t="e">
        <f>IF(C176='Operating Assumptions'!$C$48,"Construction Finish","")</f>
        <v>#N/A</v>
      </c>
      <c r="O176" s="291"/>
      <c r="P176" s="291"/>
      <c r="Q176" s="291"/>
      <c r="R176" s="291"/>
      <c r="S176" s="291"/>
      <c r="T176" s="291"/>
      <c r="U176" s="291"/>
      <c r="V176" s="292"/>
      <c r="W176" s="292"/>
      <c r="X176" s="292"/>
      <c r="Y176" s="291"/>
      <c r="Z176" s="279"/>
      <c r="AA176" s="279"/>
      <c r="AB176" s="279"/>
    </row>
    <row r="177" spans="2:28" s="278" customFormat="1" ht="11.65" hidden="1" customHeight="1" outlineLevel="1" x14ac:dyDescent="0.25">
      <c r="B177" s="270" t="e">
        <f>IF(AND($C177&gt;='TIF Loan Amortization'!$H$480,$C177&lt;='TIF Loan Amortization'!$I$480),'TIF Loan Amortization'!$G$480,IF(AND($C177&gt;='TIF Loan Amortization'!$H$481,$C177&lt;='TIF Loan Amortization'!I$481),'TIF Loan Amortization'!$G$481,IF(AND($C177&gt;='TIF Loan Amortization'!$H$482,$C177&lt;='TIF Loan Amortization'!I$482),'TIF Loan Amortization'!$G$482,IF(AND($C177&gt;='TIF Loan Amortization'!$H$483,$C177&lt;='TIF Loan Amortization'!I$483),'TIF Loan Amortization'!$G$483,IF(AND($C177&gt;='TIF Loan Amortization'!$H$484,$C177&lt;='TIF Loan Amortization'!I$484),'TIF Loan Amortization'!$G$484,IF(AND($C177&gt;='TIF Loan Amortization'!$H$485,$C177&lt;='TIF Loan Amortization'!I$485),'TIF Loan Amortization'!$G$485,IF(AND($C177&gt;='TIF Loan Amortization'!$H$486,$C177&lt;='TIF Loan Amortization'!I$486),'TIF Loan Amortization'!$G$486,IF(AND($C177&gt;='TIF Loan Amortization'!$H$487,$C177&lt;='TIF Loan Amortization'!I$487),'TIF Loan Amortization'!$G$487,IF(AND($C177&gt;='TIF Loan Amortization'!$H$488,$C177&lt;='TIF Loan Amortization'!I$488),'TIF Loan Amortization'!$G$488,IF(AND($C177&gt;='TIF Loan Amortization'!$H$489,$C177&lt;='TIF Loan Amortization'!I$489),'TIF Loan Amortization'!$G$489,IF(AND($C177&gt;='TIF Loan Amortization'!$H$490,$C177&lt;='TIF Loan Amortization'!I$490),'TIF Loan Amortization'!$G$490,IF(AND($C177&gt;='TIF Loan Amortization'!$H$491,$C177&lt;='TIF Loan Amortization'!I$491),'TIF Loan Amortization'!$G$491,IF(AND($C177&gt;='TIF Loan Amortization'!$H$492,$C177&lt;='TIF Loan Amortization'!I$492),'TIF Loan Amortization'!$G$492,IF(AND($C177&gt;='TIF Loan Amortization'!$H$493,$C177&lt;='TIF Loan Amortization'!I$493),'TIF Loan Amortization'!$G$493,IF(AND($C177&gt;='TIF Loan Amortization'!$H$494,$C177&lt;='TIF Loan Amortization'!I$494),'TIF Loan Amortization'!$G$494,IF(AND($C177&gt;='TIF Loan Amortization'!$H$495,$C177&lt;='TIF Loan Amortization'!I$495),'TIF Loan Amortization'!$G$495,IF(AND($C177&gt;='TIF Loan Amortization'!$H$496,$C177&lt;='TIF Loan Amortization'!I$496),'TIF Loan Amortization'!$G$496,IF(AND($C177&gt;='TIF Loan Amortization'!$H$497,$C177&lt;='TIF Loan Amortization'!I$497),'TIF Loan Amortization'!$G$497,IF(AND($C177&gt;='TIF Loan Amortization'!$H$498,$C177&lt;='TIF Loan Amortization'!I$498),'TIF Loan Amortization'!$G$498,IF(AND($C177&gt;='TIF Loan Amortization'!$H$499,$C177&lt;='TIF Loan Amortization'!I$499),'TIF Loan Amortization'!$G$499,IF(AND($C177&gt;='TIF Loan Amortization'!$H$500,$C177&lt;='TIF Loan Amortization'!I$500),'TIF Loan Amortization'!$G$500,IF(AND($C177&gt;='TIF Loan Amortization'!$H$501,$C177&lt;='TIF Loan Amortization'!I$501),'TIF Loan Amortization'!$G$501,IF(AND($C177&gt;='TIF Loan Amortization'!$H$502,$C177&lt;='TIF Loan Amortization'!I$502),'TIF Loan Amortization'!$G$502,IF(AND($C177&gt;='TIF Loan Amortization'!$H$503,$C177&lt;='TIF Loan Amortization'!I$503),'TIF Loan Amortization'!$G$503,IF(AND($C177&gt;='TIF Loan Amortization'!$H$504,$C177&lt;='TIF Loan Amortization'!I$504),'TIF Loan Amortization'!$G$504,IF(AND($C177&gt;='TIF Loan Amortization'!$H$505,$C177&lt;='TIF Loan Amortization'!I$505),'TIF Loan Amortization'!$G$505,IF(AND($C177&gt;='TIF Loan Amortization'!$H$506,$C177&lt;='TIF Loan Amortization'!I$506),'TIF Loan Amortization'!$G$506,IF(AND($C177&gt;='TIF Loan Amortization'!$H$507,$C177&lt;='TIF Loan Amortization'!I$507),'TIF Loan Amortization'!$G$507,IF(AND($C177&gt;='TIF Loan Amortization'!$H$508,$C177&lt;='TIF Loan Amortization'!I$508),'TIF Loan Amortization'!$G$508,IF(AND($C177&gt;='TIF Loan Amortization'!$H$509,$C177&lt;='TIF Loan Amortization'!I$509),'TIF Loan Amortization'!$G$509,IF(AND($C177&gt;='TIF Loan Amortization'!$H$510,$C177&lt;='TIF Loan Amortization'!I$510),'TIF Loan Amortization'!$G$510,IF(AND($C177&gt;='TIF Loan Amortization'!$H$511,$C177&lt;='TIF Loan Amortization'!I$511),'TIF Loan Amortization'!$G$511,IF(AND($C177&gt;='TIF Loan Amortization'!$H$512,$C177&lt;='TIF Loan Amortization'!I$512),'TIF Loan Amortization'!$G$512,IF(AND($C177&gt;='TIF Loan Amortization'!$H$513,$C177&lt;='TIF Loan Amortization'!I$513),'TIF Loan Amortization'!$G$513,IF(AND($C177&gt;='TIF Loan Amortization'!$H$514,$C177&lt;='TIF Loan Amortization'!I$514),'TIF Loan Amortization'!$G$514,IF(AND($C177&gt;='TIF Loan Amortization'!$H$515,$C177&lt;='TIF Loan Amortization'!I$515),'TIF Loan Amortization'!$G$515,IF(AND($C177&gt;='TIF Loan Amortization'!$H$516,$C177&lt;='TIF Loan Amortization'!I$516),'TIF Loan Amortization'!$G$516,IF(AND($C177&gt;='TIF Loan Amortization'!$H$517,$C177&lt;='TIF Loan Amortization'!I$517),'TIF Loan Amortization'!$G$517,IF(AND($C177&gt;='TIF Loan Amortization'!$H$518,$C177&lt;='TIF Loan Amortization'!I$518),'TIF Loan Amortization'!$G$518,IF(AND($C177&gt;='TIF Loan Amortization'!$H$519,$C177&lt;='TIF Loan Amortization'!I$519),'TIF Loan Amortization'!$G$519))))))))))))))))))))))))))))))))))))))))</f>
        <v>#N/A</v>
      </c>
      <c r="C177" s="269" t="e">
        <f t="shared" si="23"/>
        <v>#N/A</v>
      </c>
      <c r="D177" s="281" t="str">
        <f>IF($AG$429=1,$H$10+11,"")</f>
        <v/>
      </c>
      <c r="E177" s="274">
        <v>127</v>
      </c>
      <c r="F177" s="275" t="str">
        <f>VLOOKUP($AG$429,$AE$422:$AF$433,2)</f>
        <v>Oct</v>
      </c>
      <c r="G177" s="272">
        <f t="shared" si="24"/>
        <v>0</v>
      </c>
      <c r="H177" s="272">
        <f t="shared" si="27"/>
        <v>0</v>
      </c>
      <c r="I177" s="272">
        <f t="shared" si="28"/>
        <v>0</v>
      </c>
      <c r="J177" s="272">
        <f t="shared" si="25"/>
        <v>0</v>
      </c>
      <c r="K177" s="272">
        <f>IF(ISTEXT($M$4),"",SUM(I$50:I177))</f>
        <v>0</v>
      </c>
      <c r="L177" s="272">
        <f>IF(ISTEXT($M$4),"",SUM(J$50:J177))</f>
        <v>0</v>
      </c>
      <c r="M177" s="271">
        <f t="shared" si="26"/>
        <v>0</v>
      </c>
      <c r="N177" s="291" t="e">
        <f>IF(C177='Operating Assumptions'!$C$48,"Construction Finish","")</f>
        <v>#N/A</v>
      </c>
      <c r="O177" s="291"/>
      <c r="P177" s="291"/>
      <c r="Q177" s="291"/>
      <c r="R177" s="291"/>
      <c r="S177" s="291"/>
      <c r="T177" s="291"/>
      <c r="U177" s="291"/>
      <c r="V177" s="292"/>
      <c r="W177" s="292"/>
      <c r="X177" s="292"/>
      <c r="Y177" s="291"/>
      <c r="Z177" s="279"/>
      <c r="AA177" s="279"/>
      <c r="AB177" s="279"/>
    </row>
    <row r="178" spans="2:28" s="278" customFormat="1" ht="11.65" hidden="1" customHeight="1" outlineLevel="1" x14ac:dyDescent="0.25">
      <c r="B178" s="270" t="e">
        <f>IF(AND($C178&gt;='TIF Loan Amortization'!$H$480,$C178&lt;='TIF Loan Amortization'!$I$480),'TIF Loan Amortization'!$G$480,IF(AND($C178&gt;='TIF Loan Amortization'!$H$481,$C178&lt;='TIF Loan Amortization'!I$481),'TIF Loan Amortization'!$G$481,IF(AND($C178&gt;='TIF Loan Amortization'!$H$482,$C178&lt;='TIF Loan Amortization'!I$482),'TIF Loan Amortization'!$G$482,IF(AND($C178&gt;='TIF Loan Amortization'!$H$483,$C178&lt;='TIF Loan Amortization'!I$483),'TIF Loan Amortization'!$G$483,IF(AND($C178&gt;='TIF Loan Amortization'!$H$484,$C178&lt;='TIF Loan Amortization'!I$484),'TIF Loan Amortization'!$G$484,IF(AND($C178&gt;='TIF Loan Amortization'!$H$485,$C178&lt;='TIF Loan Amortization'!I$485),'TIF Loan Amortization'!$G$485,IF(AND($C178&gt;='TIF Loan Amortization'!$H$486,$C178&lt;='TIF Loan Amortization'!I$486),'TIF Loan Amortization'!$G$486,IF(AND($C178&gt;='TIF Loan Amortization'!$H$487,$C178&lt;='TIF Loan Amortization'!I$487),'TIF Loan Amortization'!$G$487,IF(AND($C178&gt;='TIF Loan Amortization'!$H$488,$C178&lt;='TIF Loan Amortization'!I$488),'TIF Loan Amortization'!$G$488,IF(AND($C178&gt;='TIF Loan Amortization'!$H$489,$C178&lt;='TIF Loan Amortization'!I$489),'TIF Loan Amortization'!$G$489,IF(AND($C178&gt;='TIF Loan Amortization'!$H$490,$C178&lt;='TIF Loan Amortization'!I$490),'TIF Loan Amortization'!$G$490,IF(AND($C178&gt;='TIF Loan Amortization'!$H$491,$C178&lt;='TIF Loan Amortization'!I$491),'TIF Loan Amortization'!$G$491,IF(AND($C178&gt;='TIF Loan Amortization'!$H$492,$C178&lt;='TIF Loan Amortization'!I$492),'TIF Loan Amortization'!$G$492,IF(AND($C178&gt;='TIF Loan Amortization'!$H$493,$C178&lt;='TIF Loan Amortization'!I$493),'TIF Loan Amortization'!$G$493,IF(AND($C178&gt;='TIF Loan Amortization'!$H$494,$C178&lt;='TIF Loan Amortization'!I$494),'TIF Loan Amortization'!$G$494,IF(AND($C178&gt;='TIF Loan Amortization'!$H$495,$C178&lt;='TIF Loan Amortization'!I$495),'TIF Loan Amortization'!$G$495,IF(AND($C178&gt;='TIF Loan Amortization'!$H$496,$C178&lt;='TIF Loan Amortization'!I$496),'TIF Loan Amortization'!$G$496,IF(AND($C178&gt;='TIF Loan Amortization'!$H$497,$C178&lt;='TIF Loan Amortization'!I$497),'TIF Loan Amortization'!$G$497,IF(AND($C178&gt;='TIF Loan Amortization'!$H$498,$C178&lt;='TIF Loan Amortization'!I$498),'TIF Loan Amortization'!$G$498,IF(AND($C178&gt;='TIF Loan Amortization'!$H$499,$C178&lt;='TIF Loan Amortization'!I$499),'TIF Loan Amortization'!$G$499,IF(AND($C178&gt;='TIF Loan Amortization'!$H$500,$C178&lt;='TIF Loan Amortization'!I$500),'TIF Loan Amortization'!$G$500,IF(AND($C178&gt;='TIF Loan Amortization'!$H$501,$C178&lt;='TIF Loan Amortization'!I$501),'TIF Loan Amortization'!$G$501,IF(AND($C178&gt;='TIF Loan Amortization'!$H$502,$C178&lt;='TIF Loan Amortization'!I$502),'TIF Loan Amortization'!$G$502,IF(AND($C178&gt;='TIF Loan Amortization'!$H$503,$C178&lt;='TIF Loan Amortization'!I$503),'TIF Loan Amortization'!$G$503,IF(AND($C178&gt;='TIF Loan Amortization'!$H$504,$C178&lt;='TIF Loan Amortization'!I$504),'TIF Loan Amortization'!$G$504,IF(AND($C178&gt;='TIF Loan Amortization'!$H$505,$C178&lt;='TIF Loan Amortization'!I$505),'TIF Loan Amortization'!$G$505,IF(AND($C178&gt;='TIF Loan Amortization'!$H$506,$C178&lt;='TIF Loan Amortization'!I$506),'TIF Loan Amortization'!$G$506,IF(AND($C178&gt;='TIF Loan Amortization'!$H$507,$C178&lt;='TIF Loan Amortization'!I$507),'TIF Loan Amortization'!$G$507,IF(AND($C178&gt;='TIF Loan Amortization'!$H$508,$C178&lt;='TIF Loan Amortization'!I$508),'TIF Loan Amortization'!$G$508,IF(AND($C178&gt;='TIF Loan Amortization'!$H$509,$C178&lt;='TIF Loan Amortization'!I$509),'TIF Loan Amortization'!$G$509,IF(AND($C178&gt;='TIF Loan Amortization'!$H$510,$C178&lt;='TIF Loan Amortization'!I$510),'TIF Loan Amortization'!$G$510,IF(AND($C178&gt;='TIF Loan Amortization'!$H$511,$C178&lt;='TIF Loan Amortization'!I$511),'TIF Loan Amortization'!$G$511,IF(AND($C178&gt;='TIF Loan Amortization'!$H$512,$C178&lt;='TIF Loan Amortization'!I$512),'TIF Loan Amortization'!$G$512,IF(AND($C178&gt;='TIF Loan Amortization'!$H$513,$C178&lt;='TIF Loan Amortization'!I$513),'TIF Loan Amortization'!$G$513,IF(AND($C178&gt;='TIF Loan Amortization'!$H$514,$C178&lt;='TIF Loan Amortization'!I$514),'TIF Loan Amortization'!$G$514,IF(AND($C178&gt;='TIF Loan Amortization'!$H$515,$C178&lt;='TIF Loan Amortization'!I$515),'TIF Loan Amortization'!$G$515,IF(AND($C178&gt;='TIF Loan Amortization'!$H$516,$C178&lt;='TIF Loan Amortization'!I$516),'TIF Loan Amortization'!$G$516,IF(AND($C178&gt;='TIF Loan Amortization'!$H$517,$C178&lt;='TIF Loan Amortization'!I$517),'TIF Loan Amortization'!$G$517,IF(AND($C178&gt;='TIF Loan Amortization'!$H$518,$C178&lt;='TIF Loan Amortization'!I$518),'TIF Loan Amortization'!$G$518,IF(AND($C178&gt;='TIF Loan Amortization'!$H$519,$C178&lt;='TIF Loan Amortization'!I$519),'TIF Loan Amortization'!$G$519))))))))))))))))))))))))))))))))))))))))</f>
        <v>#N/A</v>
      </c>
      <c r="C178" s="269" t="e">
        <f t="shared" si="23"/>
        <v>#N/A</v>
      </c>
      <c r="D178" s="281" t="str">
        <f>IF($AG$430=1,$H$10+11,"")</f>
        <v/>
      </c>
      <c r="E178" s="274">
        <v>128</v>
      </c>
      <c r="F178" s="275" t="str">
        <f>VLOOKUP($AG$430,$AE$422:$AF$433,2)</f>
        <v>Nov</v>
      </c>
      <c r="G178" s="272">
        <f t="shared" si="24"/>
        <v>0</v>
      </c>
      <c r="H178" s="272">
        <f t="shared" si="27"/>
        <v>0</v>
      </c>
      <c r="I178" s="272">
        <f t="shared" si="28"/>
        <v>0</v>
      </c>
      <c r="J178" s="272">
        <f t="shared" si="25"/>
        <v>0</v>
      </c>
      <c r="K178" s="272">
        <f>IF(ISTEXT($M$4),"",SUM(I$50:I178))</f>
        <v>0</v>
      </c>
      <c r="L178" s="272">
        <f>IF(ISTEXT($M$4),"",SUM(J$50:J178))</f>
        <v>0</v>
      </c>
      <c r="M178" s="271">
        <f t="shared" si="26"/>
        <v>0</v>
      </c>
      <c r="N178" s="291" t="e">
        <f>IF(C178='Operating Assumptions'!$C$48,"Construction Finish","")</f>
        <v>#N/A</v>
      </c>
      <c r="O178" s="291"/>
      <c r="P178" s="291"/>
      <c r="Q178" s="291"/>
      <c r="R178" s="291"/>
      <c r="S178" s="291"/>
      <c r="T178" s="291"/>
      <c r="U178" s="291"/>
      <c r="V178" s="292"/>
      <c r="W178" s="292"/>
      <c r="X178" s="292"/>
      <c r="Y178" s="291"/>
      <c r="Z178" s="279"/>
      <c r="AA178" s="279"/>
      <c r="AB178" s="279"/>
    </row>
    <row r="179" spans="2:28" s="278" customFormat="1" ht="11.65" hidden="1" customHeight="1" outlineLevel="1" x14ac:dyDescent="0.25">
      <c r="B179" s="270" t="e">
        <f>IF(AND($C179&gt;='TIF Loan Amortization'!$H$480,$C179&lt;='TIF Loan Amortization'!$I$480),'TIF Loan Amortization'!$G$480,IF(AND($C179&gt;='TIF Loan Amortization'!$H$481,$C179&lt;='TIF Loan Amortization'!I$481),'TIF Loan Amortization'!$G$481,IF(AND($C179&gt;='TIF Loan Amortization'!$H$482,$C179&lt;='TIF Loan Amortization'!I$482),'TIF Loan Amortization'!$G$482,IF(AND($C179&gt;='TIF Loan Amortization'!$H$483,$C179&lt;='TIF Loan Amortization'!I$483),'TIF Loan Amortization'!$G$483,IF(AND($C179&gt;='TIF Loan Amortization'!$H$484,$C179&lt;='TIF Loan Amortization'!I$484),'TIF Loan Amortization'!$G$484,IF(AND($C179&gt;='TIF Loan Amortization'!$H$485,$C179&lt;='TIF Loan Amortization'!I$485),'TIF Loan Amortization'!$G$485,IF(AND($C179&gt;='TIF Loan Amortization'!$H$486,$C179&lt;='TIF Loan Amortization'!I$486),'TIF Loan Amortization'!$G$486,IF(AND($C179&gt;='TIF Loan Amortization'!$H$487,$C179&lt;='TIF Loan Amortization'!I$487),'TIF Loan Amortization'!$G$487,IF(AND($C179&gt;='TIF Loan Amortization'!$H$488,$C179&lt;='TIF Loan Amortization'!I$488),'TIF Loan Amortization'!$G$488,IF(AND($C179&gt;='TIF Loan Amortization'!$H$489,$C179&lt;='TIF Loan Amortization'!I$489),'TIF Loan Amortization'!$G$489,IF(AND($C179&gt;='TIF Loan Amortization'!$H$490,$C179&lt;='TIF Loan Amortization'!I$490),'TIF Loan Amortization'!$G$490,IF(AND($C179&gt;='TIF Loan Amortization'!$H$491,$C179&lt;='TIF Loan Amortization'!I$491),'TIF Loan Amortization'!$G$491,IF(AND($C179&gt;='TIF Loan Amortization'!$H$492,$C179&lt;='TIF Loan Amortization'!I$492),'TIF Loan Amortization'!$G$492,IF(AND($C179&gt;='TIF Loan Amortization'!$H$493,$C179&lt;='TIF Loan Amortization'!I$493),'TIF Loan Amortization'!$G$493,IF(AND($C179&gt;='TIF Loan Amortization'!$H$494,$C179&lt;='TIF Loan Amortization'!I$494),'TIF Loan Amortization'!$G$494,IF(AND($C179&gt;='TIF Loan Amortization'!$H$495,$C179&lt;='TIF Loan Amortization'!I$495),'TIF Loan Amortization'!$G$495,IF(AND($C179&gt;='TIF Loan Amortization'!$H$496,$C179&lt;='TIF Loan Amortization'!I$496),'TIF Loan Amortization'!$G$496,IF(AND($C179&gt;='TIF Loan Amortization'!$H$497,$C179&lt;='TIF Loan Amortization'!I$497),'TIF Loan Amortization'!$G$497,IF(AND($C179&gt;='TIF Loan Amortization'!$H$498,$C179&lt;='TIF Loan Amortization'!I$498),'TIF Loan Amortization'!$G$498,IF(AND($C179&gt;='TIF Loan Amortization'!$H$499,$C179&lt;='TIF Loan Amortization'!I$499),'TIF Loan Amortization'!$G$499,IF(AND($C179&gt;='TIF Loan Amortization'!$H$500,$C179&lt;='TIF Loan Amortization'!I$500),'TIF Loan Amortization'!$G$500,IF(AND($C179&gt;='TIF Loan Amortization'!$H$501,$C179&lt;='TIF Loan Amortization'!I$501),'TIF Loan Amortization'!$G$501,IF(AND($C179&gt;='TIF Loan Amortization'!$H$502,$C179&lt;='TIF Loan Amortization'!I$502),'TIF Loan Amortization'!$G$502,IF(AND($C179&gt;='TIF Loan Amortization'!$H$503,$C179&lt;='TIF Loan Amortization'!I$503),'TIF Loan Amortization'!$G$503,IF(AND($C179&gt;='TIF Loan Amortization'!$H$504,$C179&lt;='TIF Loan Amortization'!I$504),'TIF Loan Amortization'!$G$504,IF(AND($C179&gt;='TIF Loan Amortization'!$H$505,$C179&lt;='TIF Loan Amortization'!I$505),'TIF Loan Amortization'!$G$505,IF(AND($C179&gt;='TIF Loan Amortization'!$H$506,$C179&lt;='TIF Loan Amortization'!I$506),'TIF Loan Amortization'!$G$506,IF(AND($C179&gt;='TIF Loan Amortization'!$H$507,$C179&lt;='TIF Loan Amortization'!I$507),'TIF Loan Amortization'!$G$507,IF(AND($C179&gt;='TIF Loan Amortization'!$H$508,$C179&lt;='TIF Loan Amortization'!I$508),'TIF Loan Amortization'!$G$508,IF(AND($C179&gt;='TIF Loan Amortization'!$H$509,$C179&lt;='TIF Loan Amortization'!I$509),'TIF Loan Amortization'!$G$509,IF(AND($C179&gt;='TIF Loan Amortization'!$H$510,$C179&lt;='TIF Loan Amortization'!I$510),'TIF Loan Amortization'!$G$510,IF(AND($C179&gt;='TIF Loan Amortization'!$H$511,$C179&lt;='TIF Loan Amortization'!I$511),'TIF Loan Amortization'!$G$511,IF(AND($C179&gt;='TIF Loan Amortization'!$H$512,$C179&lt;='TIF Loan Amortization'!I$512),'TIF Loan Amortization'!$G$512,IF(AND($C179&gt;='TIF Loan Amortization'!$H$513,$C179&lt;='TIF Loan Amortization'!I$513),'TIF Loan Amortization'!$G$513,IF(AND($C179&gt;='TIF Loan Amortization'!$H$514,$C179&lt;='TIF Loan Amortization'!I$514),'TIF Loan Amortization'!$G$514,IF(AND($C179&gt;='TIF Loan Amortization'!$H$515,$C179&lt;='TIF Loan Amortization'!I$515),'TIF Loan Amortization'!$G$515,IF(AND($C179&gt;='TIF Loan Amortization'!$H$516,$C179&lt;='TIF Loan Amortization'!I$516),'TIF Loan Amortization'!$G$516,IF(AND($C179&gt;='TIF Loan Amortization'!$H$517,$C179&lt;='TIF Loan Amortization'!I$517),'TIF Loan Amortization'!$G$517,IF(AND($C179&gt;='TIF Loan Amortization'!$H$518,$C179&lt;='TIF Loan Amortization'!I$518),'TIF Loan Amortization'!$G$518,IF(AND($C179&gt;='TIF Loan Amortization'!$H$519,$C179&lt;='TIF Loan Amortization'!I$519),'TIF Loan Amortization'!$G$519))))))))))))))))))))))))))))))))))))))))</f>
        <v>#N/A</v>
      </c>
      <c r="C179" s="269" t="e">
        <f t="shared" ref="C179:C242" si="29">C178+1</f>
        <v>#N/A</v>
      </c>
      <c r="D179" s="281" t="str">
        <f>IF($AG$431=1,$H$10+11,"")</f>
        <v/>
      </c>
      <c r="E179" s="274">
        <v>129</v>
      </c>
      <c r="F179" s="275" t="str">
        <f>VLOOKUP($AG$431,$AE$422:$AF$433,2)</f>
        <v>Dec</v>
      </c>
      <c r="G179" s="272">
        <f t="shared" ref="G179:G242" si="30">IF(ISTEXT(M$4),"",M178)</f>
        <v>0</v>
      </c>
      <c r="H179" s="272">
        <f t="shared" si="27"/>
        <v>0</v>
      </c>
      <c r="I179" s="272">
        <f t="shared" si="28"/>
        <v>0</v>
      </c>
      <c r="J179" s="272">
        <f t="shared" ref="J179:J242" si="31">+$H$6/12*$M178*-1</f>
        <v>0</v>
      </c>
      <c r="K179" s="272">
        <f>IF(ISTEXT($M$4),"",SUM(I$50:I179))</f>
        <v>0</v>
      </c>
      <c r="L179" s="272">
        <f>IF(ISTEXT($M$4),"",SUM(J$50:J179))</f>
        <v>0</v>
      </c>
      <c r="M179" s="271">
        <f t="shared" ref="M179:M242" si="32">+G179+I179</f>
        <v>0</v>
      </c>
      <c r="N179" s="291" t="e">
        <f>IF(C179='Operating Assumptions'!$C$48,"Construction Finish","")</f>
        <v>#N/A</v>
      </c>
      <c r="O179" s="291"/>
      <c r="P179" s="291"/>
      <c r="Q179" s="291"/>
      <c r="R179" s="291"/>
      <c r="S179" s="291"/>
      <c r="T179" s="291"/>
      <c r="U179" s="291"/>
      <c r="V179" s="292"/>
      <c r="W179" s="292"/>
      <c r="X179" s="292"/>
      <c r="Y179" s="291"/>
      <c r="Z179" s="279"/>
      <c r="AA179" s="279"/>
      <c r="AB179" s="279"/>
    </row>
    <row r="180" spans="2:28" s="278" customFormat="1" ht="11.65" hidden="1" customHeight="1" outlineLevel="1" x14ac:dyDescent="0.25">
      <c r="B180" s="270" t="e">
        <f>IF(AND($C180&gt;='TIF Loan Amortization'!$H$480,$C180&lt;='TIF Loan Amortization'!$I$480),'TIF Loan Amortization'!$G$480,IF(AND($C180&gt;='TIF Loan Amortization'!$H$481,$C180&lt;='TIF Loan Amortization'!I$481),'TIF Loan Amortization'!$G$481,IF(AND($C180&gt;='TIF Loan Amortization'!$H$482,$C180&lt;='TIF Loan Amortization'!I$482),'TIF Loan Amortization'!$G$482,IF(AND($C180&gt;='TIF Loan Amortization'!$H$483,$C180&lt;='TIF Loan Amortization'!I$483),'TIF Loan Amortization'!$G$483,IF(AND($C180&gt;='TIF Loan Amortization'!$H$484,$C180&lt;='TIF Loan Amortization'!I$484),'TIF Loan Amortization'!$G$484,IF(AND($C180&gt;='TIF Loan Amortization'!$H$485,$C180&lt;='TIF Loan Amortization'!I$485),'TIF Loan Amortization'!$G$485,IF(AND($C180&gt;='TIF Loan Amortization'!$H$486,$C180&lt;='TIF Loan Amortization'!I$486),'TIF Loan Amortization'!$G$486,IF(AND($C180&gt;='TIF Loan Amortization'!$H$487,$C180&lt;='TIF Loan Amortization'!I$487),'TIF Loan Amortization'!$G$487,IF(AND($C180&gt;='TIF Loan Amortization'!$H$488,$C180&lt;='TIF Loan Amortization'!I$488),'TIF Loan Amortization'!$G$488,IF(AND($C180&gt;='TIF Loan Amortization'!$H$489,$C180&lt;='TIF Loan Amortization'!I$489),'TIF Loan Amortization'!$G$489,IF(AND($C180&gt;='TIF Loan Amortization'!$H$490,$C180&lt;='TIF Loan Amortization'!I$490),'TIF Loan Amortization'!$G$490,IF(AND($C180&gt;='TIF Loan Amortization'!$H$491,$C180&lt;='TIF Loan Amortization'!I$491),'TIF Loan Amortization'!$G$491,IF(AND($C180&gt;='TIF Loan Amortization'!$H$492,$C180&lt;='TIF Loan Amortization'!I$492),'TIF Loan Amortization'!$G$492,IF(AND($C180&gt;='TIF Loan Amortization'!$H$493,$C180&lt;='TIF Loan Amortization'!I$493),'TIF Loan Amortization'!$G$493,IF(AND($C180&gt;='TIF Loan Amortization'!$H$494,$C180&lt;='TIF Loan Amortization'!I$494),'TIF Loan Amortization'!$G$494,IF(AND($C180&gt;='TIF Loan Amortization'!$H$495,$C180&lt;='TIF Loan Amortization'!I$495),'TIF Loan Amortization'!$G$495,IF(AND($C180&gt;='TIF Loan Amortization'!$H$496,$C180&lt;='TIF Loan Amortization'!I$496),'TIF Loan Amortization'!$G$496,IF(AND($C180&gt;='TIF Loan Amortization'!$H$497,$C180&lt;='TIF Loan Amortization'!I$497),'TIF Loan Amortization'!$G$497,IF(AND($C180&gt;='TIF Loan Amortization'!$H$498,$C180&lt;='TIF Loan Amortization'!I$498),'TIF Loan Amortization'!$G$498,IF(AND($C180&gt;='TIF Loan Amortization'!$H$499,$C180&lt;='TIF Loan Amortization'!I$499),'TIF Loan Amortization'!$G$499,IF(AND($C180&gt;='TIF Loan Amortization'!$H$500,$C180&lt;='TIF Loan Amortization'!I$500),'TIF Loan Amortization'!$G$500,IF(AND($C180&gt;='TIF Loan Amortization'!$H$501,$C180&lt;='TIF Loan Amortization'!I$501),'TIF Loan Amortization'!$G$501,IF(AND($C180&gt;='TIF Loan Amortization'!$H$502,$C180&lt;='TIF Loan Amortization'!I$502),'TIF Loan Amortization'!$G$502,IF(AND($C180&gt;='TIF Loan Amortization'!$H$503,$C180&lt;='TIF Loan Amortization'!I$503),'TIF Loan Amortization'!$G$503,IF(AND($C180&gt;='TIF Loan Amortization'!$H$504,$C180&lt;='TIF Loan Amortization'!I$504),'TIF Loan Amortization'!$G$504,IF(AND($C180&gt;='TIF Loan Amortization'!$H$505,$C180&lt;='TIF Loan Amortization'!I$505),'TIF Loan Amortization'!$G$505,IF(AND($C180&gt;='TIF Loan Amortization'!$H$506,$C180&lt;='TIF Loan Amortization'!I$506),'TIF Loan Amortization'!$G$506,IF(AND($C180&gt;='TIF Loan Amortization'!$H$507,$C180&lt;='TIF Loan Amortization'!I$507),'TIF Loan Amortization'!$G$507,IF(AND($C180&gt;='TIF Loan Amortization'!$H$508,$C180&lt;='TIF Loan Amortization'!I$508),'TIF Loan Amortization'!$G$508,IF(AND($C180&gt;='TIF Loan Amortization'!$H$509,$C180&lt;='TIF Loan Amortization'!I$509),'TIF Loan Amortization'!$G$509,IF(AND($C180&gt;='TIF Loan Amortization'!$H$510,$C180&lt;='TIF Loan Amortization'!I$510),'TIF Loan Amortization'!$G$510,IF(AND($C180&gt;='TIF Loan Amortization'!$H$511,$C180&lt;='TIF Loan Amortization'!I$511),'TIF Loan Amortization'!$G$511,IF(AND($C180&gt;='TIF Loan Amortization'!$H$512,$C180&lt;='TIF Loan Amortization'!I$512),'TIF Loan Amortization'!$G$512,IF(AND($C180&gt;='TIF Loan Amortization'!$H$513,$C180&lt;='TIF Loan Amortization'!I$513),'TIF Loan Amortization'!$G$513,IF(AND($C180&gt;='TIF Loan Amortization'!$H$514,$C180&lt;='TIF Loan Amortization'!I$514),'TIF Loan Amortization'!$G$514,IF(AND($C180&gt;='TIF Loan Amortization'!$H$515,$C180&lt;='TIF Loan Amortization'!I$515),'TIF Loan Amortization'!$G$515,IF(AND($C180&gt;='TIF Loan Amortization'!$H$516,$C180&lt;='TIF Loan Amortization'!I$516),'TIF Loan Amortization'!$G$516,IF(AND($C180&gt;='TIF Loan Amortization'!$H$517,$C180&lt;='TIF Loan Amortization'!I$517),'TIF Loan Amortization'!$G$517,IF(AND($C180&gt;='TIF Loan Amortization'!$H$518,$C180&lt;='TIF Loan Amortization'!I$518),'TIF Loan Amortization'!$G$518,IF(AND($C180&gt;='TIF Loan Amortization'!$H$519,$C180&lt;='TIF Loan Amortization'!I$519),'TIF Loan Amortization'!$G$519))))))))))))))))))))))))))))))))))))))))</f>
        <v>#N/A</v>
      </c>
      <c r="C180" s="269" t="e">
        <f t="shared" si="29"/>
        <v>#N/A</v>
      </c>
      <c r="D180" s="281">
        <f>IF($AG$432=1,$H$10+11,"")</f>
        <v>2036</v>
      </c>
      <c r="E180" s="274">
        <v>130</v>
      </c>
      <c r="F180" s="273" t="str">
        <f>VLOOKUP($AG$432,$AE$422:$AF$433,2)</f>
        <v>Jan</v>
      </c>
      <c r="G180" s="272">
        <f t="shared" si="30"/>
        <v>0</v>
      </c>
      <c r="H180" s="272">
        <f t="shared" si="27"/>
        <v>0</v>
      </c>
      <c r="I180" s="272">
        <f t="shared" si="28"/>
        <v>0</v>
      </c>
      <c r="J180" s="272">
        <f t="shared" si="31"/>
        <v>0</v>
      </c>
      <c r="K180" s="272">
        <f>IF(ISTEXT($M$4),"",SUM(I$50:I180))</f>
        <v>0</v>
      </c>
      <c r="L180" s="272">
        <f>IF(ISTEXT($M$4),"",SUM(J$50:J180))</f>
        <v>0</v>
      </c>
      <c r="M180" s="271">
        <f t="shared" si="32"/>
        <v>0</v>
      </c>
      <c r="N180" s="291" t="e">
        <f>IF(C180='Operating Assumptions'!$C$48,"Construction Finish","")</f>
        <v>#N/A</v>
      </c>
      <c r="O180" s="291"/>
      <c r="P180" s="291"/>
      <c r="Q180" s="291"/>
      <c r="R180" s="291"/>
      <c r="S180" s="291"/>
      <c r="T180" s="291"/>
      <c r="U180" s="291"/>
      <c r="V180" s="292"/>
      <c r="W180" s="292"/>
      <c r="X180" s="292"/>
      <c r="Y180" s="291"/>
      <c r="Z180" s="279"/>
      <c r="AA180" s="279"/>
      <c r="AB180" s="279"/>
    </row>
    <row r="181" spans="2:28" s="278" customFormat="1" ht="11.85" hidden="1" customHeight="1" outlineLevel="1" x14ac:dyDescent="0.25">
      <c r="B181" s="270" t="e">
        <f>IF(AND($C181&gt;='TIF Loan Amortization'!$H$480,$C181&lt;='TIF Loan Amortization'!$I$480),'TIF Loan Amortization'!$G$480,IF(AND($C181&gt;='TIF Loan Amortization'!$H$481,$C181&lt;='TIF Loan Amortization'!I$481),'TIF Loan Amortization'!$G$481,IF(AND($C181&gt;='TIF Loan Amortization'!$H$482,$C181&lt;='TIF Loan Amortization'!I$482),'TIF Loan Amortization'!$G$482,IF(AND($C181&gt;='TIF Loan Amortization'!$H$483,$C181&lt;='TIF Loan Amortization'!I$483),'TIF Loan Amortization'!$G$483,IF(AND($C181&gt;='TIF Loan Amortization'!$H$484,$C181&lt;='TIF Loan Amortization'!I$484),'TIF Loan Amortization'!$G$484,IF(AND($C181&gt;='TIF Loan Amortization'!$H$485,$C181&lt;='TIF Loan Amortization'!I$485),'TIF Loan Amortization'!$G$485,IF(AND($C181&gt;='TIF Loan Amortization'!$H$486,$C181&lt;='TIF Loan Amortization'!I$486),'TIF Loan Amortization'!$G$486,IF(AND($C181&gt;='TIF Loan Amortization'!$H$487,$C181&lt;='TIF Loan Amortization'!I$487),'TIF Loan Amortization'!$G$487,IF(AND($C181&gt;='TIF Loan Amortization'!$H$488,$C181&lt;='TIF Loan Amortization'!I$488),'TIF Loan Amortization'!$G$488,IF(AND($C181&gt;='TIF Loan Amortization'!$H$489,$C181&lt;='TIF Loan Amortization'!I$489),'TIF Loan Amortization'!$G$489,IF(AND($C181&gt;='TIF Loan Amortization'!$H$490,$C181&lt;='TIF Loan Amortization'!I$490),'TIF Loan Amortization'!$G$490,IF(AND($C181&gt;='TIF Loan Amortization'!$H$491,$C181&lt;='TIF Loan Amortization'!I$491),'TIF Loan Amortization'!$G$491,IF(AND($C181&gt;='TIF Loan Amortization'!$H$492,$C181&lt;='TIF Loan Amortization'!I$492),'TIF Loan Amortization'!$G$492,IF(AND($C181&gt;='TIF Loan Amortization'!$H$493,$C181&lt;='TIF Loan Amortization'!I$493),'TIF Loan Amortization'!$G$493,IF(AND($C181&gt;='TIF Loan Amortization'!$H$494,$C181&lt;='TIF Loan Amortization'!I$494),'TIF Loan Amortization'!$G$494,IF(AND($C181&gt;='TIF Loan Amortization'!$H$495,$C181&lt;='TIF Loan Amortization'!I$495),'TIF Loan Amortization'!$G$495,IF(AND($C181&gt;='TIF Loan Amortization'!$H$496,$C181&lt;='TIF Loan Amortization'!I$496),'TIF Loan Amortization'!$G$496,IF(AND($C181&gt;='TIF Loan Amortization'!$H$497,$C181&lt;='TIF Loan Amortization'!I$497),'TIF Loan Amortization'!$G$497,IF(AND($C181&gt;='TIF Loan Amortization'!$H$498,$C181&lt;='TIF Loan Amortization'!I$498),'TIF Loan Amortization'!$G$498,IF(AND($C181&gt;='TIF Loan Amortization'!$H$499,$C181&lt;='TIF Loan Amortization'!I$499),'TIF Loan Amortization'!$G$499,IF(AND($C181&gt;='TIF Loan Amortization'!$H$500,$C181&lt;='TIF Loan Amortization'!I$500),'TIF Loan Amortization'!$G$500,IF(AND($C181&gt;='TIF Loan Amortization'!$H$501,$C181&lt;='TIF Loan Amortization'!I$501),'TIF Loan Amortization'!$G$501,IF(AND($C181&gt;='TIF Loan Amortization'!$H$502,$C181&lt;='TIF Loan Amortization'!I$502),'TIF Loan Amortization'!$G$502,IF(AND($C181&gt;='TIF Loan Amortization'!$H$503,$C181&lt;='TIF Loan Amortization'!I$503),'TIF Loan Amortization'!$G$503,IF(AND($C181&gt;='TIF Loan Amortization'!$H$504,$C181&lt;='TIF Loan Amortization'!I$504),'TIF Loan Amortization'!$G$504,IF(AND($C181&gt;='TIF Loan Amortization'!$H$505,$C181&lt;='TIF Loan Amortization'!I$505),'TIF Loan Amortization'!$G$505,IF(AND($C181&gt;='TIF Loan Amortization'!$H$506,$C181&lt;='TIF Loan Amortization'!I$506),'TIF Loan Amortization'!$G$506,IF(AND($C181&gt;='TIF Loan Amortization'!$H$507,$C181&lt;='TIF Loan Amortization'!I$507),'TIF Loan Amortization'!$G$507,IF(AND($C181&gt;='TIF Loan Amortization'!$H$508,$C181&lt;='TIF Loan Amortization'!I$508),'TIF Loan Amortization'!$G$508,IF(AND($C181&gt;='TIF Loan Amortization'!$H$509,$C181&lt;='TIF Loan Amortization'!I$509),'TIF Loan Amortization'!$G$509,IF(AND($C181&gt;='TIF Loan Amortization'!$H$510,$C181&lt;='TIF Loan Amortization'!I$510),'TIF Loan Amortization'!$G$510,IF(AND($C181&gt;='TIF Loan Amortization'!$H$511,$C181&lt;='TIF Loan Amortization'!I$511),'TIF Loan Amortization'!$G$511,IF(AND($C181&gt;='TIF Loan Amortization'!$H$512,$C181&lt;='TIF Loan Amortization'!I$512),'TIF Loan Amortization'!$G$512,IF(AND($C181&gt;='TIF Loan Amortization'!$H$513,$C181&lt;='TIF Loan Amortization'!I$513),'TIF Loan Amortization'!$G$513,IF(AND($C181&gt;='TIF Loan Amortization'!$H$514,$C181&lt;='TIF Loan Amortization'!I$514),'TIF Loan Amortization'!$G$514,IF(AND($C181&gt;='TIF Loan Amortization'!$H$515,$C181&lt;='TIF Loan Amortization'!I$515),'TIF Loan Amortization'!$G$515,IF(AND($C181&gt;='TIF Loan Amortization'!$H$516,$C181&lt;='TIF Loan Amortization'!I$516),'TIF Loan Amortization'!$G$516,IF(AND($C181&gt;='TIF Loan Amortization'!$H$517,$C181&lt;='TIF Loan Amortization'!I$517),'TIF Loan Amortization'!$G$517,IF(AND($C181&gt;='TIF Loan Amortization'!$H$518,$C181&lt;='TIF Loan Amortization'!I$518),'TIF Loan Amortization'!$G$518,IF(AND($C181&gt;='TIF Loan Amortization'!$H$519,$C181&lt;='TIF Loan Amortization'!I$519),'TIF Loan Amortization'!$G$519))))))))))))))))))))))))))))))))))))))))</f>
        <v>#N/A</v>
      </c>
      <c r="C181" s="269" t="e">
        <f t="shared" si="29"/>
        <v>#N/A</v>
      </c>
      <c r="D181" s="281" t="str">
        <f>IF($AG$433=1,$H$10+11,"")</f>
        <v/>
      </c>
      <c r="E181" s="274">
        <v>131</v>
      </c>
      <c r="F181" s="273" t="str">
        <f>VLOOKUP($AG$433,$AE$422:$AF$433,2)</f>
        <v>Feb</v>
      </c>
      <c r="G181" s="272">
        <f t="shared" si="30"/>
        <v>0</v>
      </c>
      <c r="H181" s="272">
        <f t="shared" ref="H181:H244" si="33">IF(E181&gt;$G$7,0,IF(AND($G$9&gt;=0,E181&lt;=$H$9),0,IF(AND($G$8&gt;=0,E181&lt;=$H$8),J181,IF(AND($G$8&gt;=0,$G$9&gt;=0,E181&gt;$H$8,E181&gt;$H$9),PMT($H$6/12,IF($G$8&gt;=0,$G$7-$H$8),$H$4)))))</f>
        <v>0</v>
      </c>
      <c r="I181" s="272">
        <f t="shared" ref="I181:I244" si="34">IF(E181&gt;$G$7,0,IF(AND($G$9,E181&lt;=$H$9),0,+H181-J181))</f>
        <v>0</v>
      </c>
      <c r="J181" s="272">
        <f t="shared" si="31"/>
        <v>0</v>
      </c>
      <c r="K181" s="272">
        <f>IF(ISTEXT($M$4),"",SUM(I$50:I181))</f>
        <v>0</v>
      </c>
      <c r="L181" s="272">
        <f>IF(ISTEXT($M$4),"",SUM(J$50:J181))</f>
        <v>0</v>
      </c>
      <c r="M181" s="271">
        <f t="shared" si="32"/>
        <v>0</v>
      </c>
      <c r="N181" s="291" t="e">
        <f>IF(C181='Operating Assumptions'!$C$48,"Construction Finish","")</f>
        <v>#N/A</v>
      </c>
      <c r="O181" s="291"/>
      <c r="P181" s="291"/>
      <c r="Q181" s="291"/>
      <c r="R181" s="291"/>
      <c r="S181" s="291"/>
      <c r="T181" s="280"/>
      <c r="U181" s="280"/>
      <c r="V181" s="286"/>
      <c r="W181" s="286"/>
      <c r="X181" s="286"/>
      <c r="Y181" s="280"/>
      <c r="Z181" s="279"/>
      <c r="AA181" s="279"/>
      <c r="AB181" s="279"/>
    </row>
    <row r="182" spans="2:28" s="278" customFormat="1" ht="11.85" hidden="1" customHeight="1" outlineLevel="1" x14ac:dyDescent="0.25">
      <c r="B182" s="270" t="e">
        <f>IF(AND($C182&gt;='TIF Loan Amortization'!$H$480,$C182&lt;='TIF Loan Amortization'!$I$480),'TIF Loan Amortization'!$G$480,IF(AND($C182&gt;='TIF Loan Amortization'!$H$481,$C182&lt;='TIF Loan Amortization'!I$481),'TIF Loan Amortization'!$G$481,IF(AND($C182&gt;='TIF Loan Amortization'!$H$482,$C182&lt;='TIF Loan Amortization'!I$482),'TIF Loan Amortization'!$G$482,IF(AND($C182&gt;='TIF Loan Amortization'!$H$483,$C182&lt;='TIF Loan Amortization'!I$483),'TIF Loan Amortization'!$G$483,IF(AND($C182&gt;='TIF Loan Amortization'!$H$484,$C182&lt;='TIF Loan Amortization'!I$484),'TIF Loan Amortization'!$G$484,IF(AND($C182&gt;='TIF Loan Amortization'!$H$485,$C182&lt;='TIF Loan Amortization'!I$485),'TIF Loan Amortization'!$G$485,IF(AND($C182&gt;='TIF Loan Amortization'!$H$486,$C182&lt;='TIF Loan Amortization'!I$486),'TIF Loan Amortization'!$G$486,IF(AND($C182&gt;='TIF Loan Amortization'!$H$487,$C182&lt;='TIF Loan Amortization'!I$487),'TIF Loan Amortization'!$G$487,IF(AND($C182&gt;='TIF Loan Amortization'!$H$488,$C182&lt;='TIF Loan Amortization'!I$488),'TIF Loan Amortization'!$G$488,IF(AND($C182&gt;='TIF Loan Amortization'!$H$489,$C182&lt;='TIF Loan Amortization'!I$489),'TIF Loan Amortization'!$G$489,IF(AND($C182&gt;='TIF Loan Amortization'!$H$490,$C182&lt;='TIF Loan Amortization'!I$490),'TIF Loan Amortization'!$G$490,IF(AND($C182&gt;='TIF Loan Amortization'!$H$491,$C182&lt;='TIF Loan Amortization'!I$491),'TIF Loan Amortization'!$G$491,IF(AND($C182&gt;='TIF Loan Amortization'!$H$492,$C182&lt;='TIF Loan Amortization'!I$492),'TIF Loan Amortization'!$G$492,IF(AND($C182&gt;='TIF Loan Amortization'!$H$493,$C182&lt;='TIF Loan Amortization'!I$493),'TIF Loan Amortization'!$G$493,IF(AND($C182&gt;='TIF Loan Amortization'!$H$494,$C182&lt;='TIF Loan Amortization'!I$494),'TIF Loan Amortization'!$G$494,IF(AND($C182&gt;='TIF Loan Amortization'!$H$495,$C182&lt;='TIF Loan Amortization'!I$495),'TIF Loan Amortization'!$G$495,IF(AND($C182&gt;='TIF Loan Amortization'!$H$496,$C182&lt;='TIF Loan Amortization'!I$496),'TIF Loan Amortization'!$G$496,IF(AND($C182&gt;='TIF Loan Amortization'!$H$497,$C182&lt;='TIF Loan Amortization'!I$497),'TIF Loan Amortization'!$G$497,IF(AND($C182&gt;='TIF Loan Amortization'!$H$498,$C182&lt;='TIF Loan Amortization'!I$498),'TIF Loan Amortization'!$G$498,IF(AND($C182&gt;='TIF Loan Amortization'!$H$499,$C182&lt;='TIF Loan Amortization'!I$499),'TIF Loan Amortization'!$G$499,IF(AND($C182&gt;='TIF Loan Amortization'!$H$500,$C182&lt;='TIF Loan Amortization'!I$500),'TIF Loan Amortization'!$G$500,IF(AND($C182&gt;='TIF Loan Amortization'!$H$501,$C182&lt;='TIF Loan Amortization'!I$501),'TIF Loan Amortization'!$G$501,IF(AND($C182&gt;='TIF Loan Amortization'!$H$502,$C182&lt;='TIF Loan Amortization'!I$502),'TIF Loan Amortization'!$G$502,IF(AND($C182&gt;='TIF Loan Amortization'!$H$503,$C182&lt;='TIF Loan Amortization'!I$503),'TIF Loan Amortization'!$G$503,IF(AND($C182&gt;='TIF Loan Amortization'!$H$504,$C182&lt;='TIF Loan Amortization'!I$504),'TIF Loan Amortization'!$G$504,IF(AND($C182&gt;='TIF Loan Amortization'!$H$505,$C182&lt;='TIF Loan Amortization'!I$505),'TIF Loan Amortization'!$G$505,IF(AND($C182&gt;='TIF Loan Amortization'!$H$506,$C182&lt;='TIF Loan Amortization'!I$506),'TIF Loan Amortization'!$G$506,IF(AND($C182&gt;='TIF Loan Amortization'!$H$507,$C182&lt;='TIF Loan Amortization'!I$507),'TIF Loan Amortization'!$G$507,IF(AND($C182&gt;='TIF Loan Amortization'!$H$508,$C182&lt;='TIF Loan Amortization'!I$508),'TIF Loan Amortization'!$G$508,IF(AND($C182&gt;='TIF Loan Amortization'!$H$509,$C182&lt;='TIF Loan Amortization'!I$509),'TIF Loan Amortization'!$G$509,IF(AND($C182&gt;='TIF Loan Amortization'!$H$510,$C182&lt;='TIF Loan Amortization'!I$510),'TIF Loan Amortization'!$G$510,IF(AND($C182&gt;='TIF Loan Amortization'!$H$511,$C182&lt;='TIF Loan Amortization'!I$511),'TIF Loan Amortization'!$G$511,IF(AND($C182&gt;='TIF Loan Amortization'!$H$512,$C182&lt;='TIF Loan Amortization'!I$512),'TIF Loan Amortization'!$G$512,IF(AND($C182&gt;='TIF Loan Amortization'!$H$513,$C182&lt;='TIF Loan Amortization'!I$513),'TIF Loan Amortization'!$G$513,IF(AND($C182&gt;='TIF Loan Amortization'!$H$514,$C182&lt;='TIF Loan Amortization'!I$514),'TIF Loan Amortization'!$G$514,IF(AND($C182&gt;='TIF Loan Amortization'!$H$515,$C182&lt;='TIF Loan Amortization'!I$515),'TIF Loan Amortization'!$G$515,IF(AND($C182&gt;='TIF Loan Amortization'!$H$516,$C182&lt;='TIF Loan Amortization'!I$516),'TIF Loan Amortization'!$G$516,IF(AND($C182&gt;='TIF Loan Amortization'!$H$517,$C182&lt;='TIF Loan Amortization'!I$517),'TIF Loan Amortization'!$G$517,IF(AND($C182&gt;='TIF Loan Amortization'!$H$518,$C182&lt;='TIF Loan Amortization'!I$518),'TIF Loan Amortization'!$G$518,IF(AND($C182&gt;='TIF Loan Amortization'!$H$519,$C182&lt;='TIF Loan Amortization'!I$519),'TIF Loan Amortization'!$G$519))))))))))))))))))))))))))))))))))))))))</f>
        <v>#N/A</v>
      </c>
      <c r="C182" s="269" t="e">
        <f t="shared" si="29"/>
        <v>#N/A</v>
      </c>
      <c r="D182" s="281" t="str">
        <f>IF($H$11="January",$H$10+11,IF($AG422=1,$H$10+12,""))</f>
        <v/>
      </c>
      <c r="E182" s="274">
        <v>132</v>
      </c>
      <c r="F182" s="273" t="str">
        <f>VLOOKUP($AG$422,$AE$422:$AF$433,2)</f>
        <v>Mar</v>
      </c>
      <c r="G182" s="272">
        <f t="shared" si="30"/>
        <v>0</v>
      </c>
      <c r="H182" s="272">
        <f t="shared" si="33"/>
        <v>0</v>
      </c>
      <c r="I182" s="272">
        <f t="shared" si="34"/>
        <v>0</v>
      </c>
      <c r="J182" s="272">
        <f t="shared" si="31"/>
        <v>0</v>
      </c>
      <c r="K182" s="272">
        <f>IF(ISTEXT($M$4),"",SUM(I$50:I182))</f>
        <v>0</v>
      </c>
      <c r="L182" s="272">
        <f>IF(ISTEXT($M$4),"",SUM(J$50:J182))</f>
        <v>0</v>
      </c>
      <c r="M182" s="271">
        <f t="shared" si="32"/>
        <v>0</v>
      </c>
      <c r="N182" s="291" t="e">
        <f>IF(C182='Operating Assumptions'!$C$48,"Construction Finish","")</f>
        <v>#N/A</v>
      </c>
      <c r="O182" s="291"/>
      <c r="P182" s="291"/>
      <c r="Q182" s="291"/>
      <c r="R182" s="291"/>
      <c r="S182" s="291"/>
      <c r="T182" s="280"/>
      <c r="U182" s="280"/>
      <c r="V182" s="286"/>
      <c r="W182" s="286"/>
      <c r="X182" s="286"/>
      <c r="Y182" s="280"/>
      <c r="Z182" s="279"/>
      <c r="AA182" s="279"/>
      <c r="AB182" s="279"/>
    </row>
    <row r="183" spans="2:28" s="278" customFormat="1" ht="11.85" hidden="1" customHeight="1" outlineLevel="1" x14ac:dyDescent="0.25">
      <c r="B183" s="270" t="e">
        <f>IF(AND($C183&gt;='TIF Loan Amortization'!$H$480,$C183&lt;='TIF Loan Amortization'!$I$480),'TIF Loan Amortization'!$G$480,IF(AND($C183&gt;='TIF Loan Amortization'!$H$481,$C183&lt;='TIF Loan Amortization'!I$481),'TIF Loan Amortization'!$G$481,IF(AND($C183&gt;='TIF Loan Amortization'!$H$482,$C183&lt;='TIF Loan Amortization'!I$482),'TIF Loan Amortization'!$G$482,IF(AND($C183&gt;='TIF Loan Amortization'!$H$483,$C183&lt;='TIF Loan Amortization'!I$483),'TIF Loan Amortization'!$G$483,IF(AND($C183&gt;='TIF Loan Amortization'!$H$484,$C183&lt;='TIF Loan Amortization'!I$484),'TIF Loan Amortization'!$G$484,IF(AND($C183&gt;='TIF Loan Amortization'!$H$485,$C183&lt;='TIF Loan Amortization'!I$485),'TIF Loan Amortization'!$G$485,IF(AND($C183&gt;='TIF Loan Amortization'!$H$486,$C183&lt;='TIF Loan Amortization'!I$486),'TIF Loan Amortization'!$G$486,IF(AND($C183&gt;='TIF Loan Amortization'!$H$487,$C183&lt;='TIF Loan Amortization'!I$487),'TIF Loan Amortization'!$G$487,IF(AND($C183&gt;='TIF Loan Amortization'!$H$488,$C183&lt;='TIF Loan Amortization'!I$488),'TIF Loan Amortization'!$G$488,IF(AND($C183&gt;='TIF Loan Amortization'!$H$489,$C183&lt;='TIF Loan Amortization'!I$489),'TIF Loan Amortization'!$G$489,IF(AND($C183&gt;='TIF Loan Amortization'!$H$490,$C183&lt;='TIF Loan Amortization'!I$490),'TIF Loan Amortization'!$G$490,IF(AND($C183&gt;='TIF Loan Amortization'!$H$491,$C183&lt;='TIF Loan Amortization'!I$491),'TIF Loan Amortization'!$G$491,IF(AND($C183&gt;='TIF Loan Amortization'!$H$492,$C183&lt;='TIF Loan Amortization'!I$492),'TIF Loan Amortization'!$G$492,IF(AND($C183&gt;='TIF Loan Amortization'!$H$493,$C183&lt;='TIF Loan Amortization'!I$493),'TIF Loan Amortization'!$G$493,IF(AND($C183&gt;='TIF Loan Amortization'!$H$494,$C183&lt;='TIF Loan Amortization'!I$494),'TIF Loan Amortization'!$G$494,IF(AND($C183&gt;='TIF Loan Amortization'!$H$495,$C183&lt;='TIF Loan Amortization'!I$495),'TIF Loan Amortization'!$G$495,IF(AND($C183&gt;='TIF Loan Amortization'!$H$496,$C183&lt;='TIF Loan Amortization'!I$496),'TIF Loan Amortization'!$G$496,IF(AND($C183&gt;='TIF Loan Amortization'!$H$497,$C183&lt;='TIF Loan Amortization'!I$497),'TIF Loan Amortization'!$G$497,IF(AND($C183&gt;='TIF Loan Amortization'!$H$498,$C183&lt;='TIF Loan Amortization'!I$498),'TIF Loan Amortization'!$G$498,IF(AND($C183&gt;='TIF Loan Amortization'!$H$499,$C183&lt;='TIF Loan Amortization'!I$499),'TIF Loan Amortization'!$G$499,IF(AND($C183&gt;='TIF Loan Amortization'!$H$500,$C183&lt;='TIF Loan Amortization'!I$500),'TIF Loan Amortization'!$G$500,IF(AND($C183&gt;='TIF Loan Amortization'!$H$501,$C183&lt;='TIF Loan Amortization'!I$501),'TIF Loan Amortization'!$G$501,IF(AND($C183&gt;='TIF Loan Amortization'!$H$502,$C183&lt;='TIF Loan Amortization'!I$502),'TIF Loan Amortization'!$G$502,IF(AND($C183&gt;='TIF Loan Amortization'!$H$503,$C183&lt;='TIF Loan Amortization'!I$503),'TIF Loan Amortization'!$G$503,IF(AND($C183&gt;='TIF Loan Amortization'!$H$504,$C183&lt;='TIF Loan Amortization'!I$504),'TIF Loan Amortization'!$G$504,IF(AND($C183&gt;='TIF Loan Amortization'!$H$505,$C183&lt;='TIF Loan Amortization'!I$505),'TIF Loan Amortization'!$G$505,IF(AND($C183&gt;='TIF Loan Amortization'!$H$506,$C183&lt;='TIF Loan Amortization'!I$506),'TIF Loan Amortization'!$G$506,IF(AND($C183&gt;='TIF Loan Amortization'!$H$507,$C183&lt;='TIF Loan Amortization'!I$507),'TIF Loan Amortization'!$G$507,IF(AND($C183&gt;='TIF Loan Amortization'!$H$508,$C183&lt;='TIF Loan Amortization'!I$508),'TIF Loan Amortization'!$G$508,IF(AND($C183&gt;='TIF Loan Amortization'!$H$509,$C183&lt;='TIF Loan Amortization'!I$509),'TIF Loan Amortization'!$G$509,IF(AND($C183&gt;='TIF Loan Amortization'!$H$510,$C183&lt;='TIF Loan Amortization'!I$510),'TIF Loan Amortization'!$G$510,IF(AND($C183&gt;='TIF Loan Amortization'!$H$511,$C183&lt;='TIF Loan Amortization'!I$511),'TIF Loan Amortization'!$G$511,IF(AND($C183&gt;='TIF Loan Amortization'!$H$512,$C183&lt;='TIF Loan Amortization'!I$512),'TIF Loan Amortization'!$G$512,IF(AND($C183&gt;='TIF Loan Amortization'!$H$513,$C183&lt;='TIF Loan Amortization'!I$513),'TIF Loan Amortization'!$G$513,IF(AND($C183&gt;='TIF Loan Amortization'!$H$514,$C183&lt;='TIF Loan Amortization'!I$514),'TIF Loan Amortization'!$G$514,IF(AND($C183&gt;='TIF Loan Amortization'!$H$515,$C183&lt;='TIF Loan Amortization'!I$515),'TIF Loan Amortization'!$G$515,IF(AND($C183&gt;='TIF Loan Amortization'!$H$516,$C183&lt;='TIF Loan Amortization'!I$516),'TIF Loan Amortization'!$G$516,IF(AND($C183&gt;='TIF Loan Amortization'!$H$517,$C183&lt;='TIF Loan Amortization'!I$517),'TIF Loan Amortization'!$G$517,IF(AND($C183&gt;='TIF Loan Amortization'!$H$518,$C183&lt;='TIF Loan Amortization'!I$518),'TIF Loan Amortization'!$G$518,IF(AND($C183&gt;='TIF Loan Amortization'!$H$519,$C183&lt;='TIF Loan Amortization'!I$519),'TIF Loan Amortization'!$G$519))))))))))))))))))))))))))))))))))))))))</f>
        <v>#N/A</v>
      </c>
      <c r="C183" s="269" t="e">
        <f t="shared" si="29"/>
        <v>#N/A</v>
      </c>
      <c r="D183" s="281" t="str">
        <f t="shared" ref="D183:D193" si="35">IF($AG423=1,$H$10+12,"")</f>
        <v/>
      </c>
      <c r="E183" s="274">
        <v>133</v>
      </c>
      <c r="F183" s="275" t="str">
        <f>VLOOKUP($AG$423,$AE$422:$AF$433,2)</f>
        <v>Apr</v>
      </c>
      <c r="G183" s="272">
        <f t="shared" si="30"/>
        <v>0</v>
      </c>
      <c r="H183" s="272">
        <f t="shared" si="33"/>
        <v>0</v>
      </c>
      <c r="I183" s="272">
        <f t="shared" si="34"/>
        <v>0</v>
      </c>
      <c r="J183" s="272">
        <f t="shared" si="31"/>
        <v>0</v>
      </c>
      <c r="K183" s="272">
        <f>IF(ISTEXT($M$4),"",SUM(I$50:I183))</f>
        <v>0</v>
      </c>
      <c r="L183" s="272">
        <f>IF(ISTEXT($M$4),"",SUM(J$50:J183))</f>
        <v>0</v>
      </c>
      <c r="M183" s="271">
        <f t="shared" si="32"/>
        <v>0</v>
      </c>
      <c r="N183" s="291" t="e">
        <f>IF(C183='Operating Assumptions'!$C$48,"Construction Finish","")</f>
        <v>#N/A</v>
      </c>
      <c r="O183" s="291"/>
      <c r="P183" s="291"/>
      <c r="Q183" s="291"/>
      <c r="R183" s="291"/>
      <c r="S183" s="291"/>
      <c r="T183" s="280"/>
      <c r="U183" s="280"/>
      <c r="V183" s="286"/>
      <c r="W183" s="286"/>
      <c r="X183" s="286"/>
      <c r="Y183" s="280"/>
      <c r="Z183" s="279"/>
      <c r="AA183" s="279"/>
      <c r="AB183" s="279"/>
    </row>
    <row r="184" spans="2:28" s="278" customFormat="1" ht="11.85" hidden="1" customHeight="1" outlineLevel="1" x14ac:dyDescent="0.25">
      <c r="B184" s="270" t="e">
        <f>IF(AND($C184&gt;='TIF Loan Amortization'!$H$480,$C184&lt;='TIF Loan Amortization'!$I$480),'TIF Loan Amortization'!$G$480,IF(AND($C184&gt;='TIF Loan Amortization'!$H$481,$C184&lt;='TIF Loan Amortization'!I$481),'TIF Loan Amortization'!$G$481,IF(AND($C184&gt;='TIF Loan Amortization'!$H$482,$C184&lt;='TIF Loan Amortization'!I$482),'TIF Loan Amortization'!$G$482,IF(AND($C184&gt;='TIF Loan Amortization'!$H$483,$C184&lt;='TIF Loan Amortization'!I$483),'TIF Loan Amortization'!$G$483,IF(AND($C184&gt;='TIF Loan Amortization'!$H$484,$C184&lt;='TIF Loan Amortization'!I$484),'TIF Loan Amortization'!$G$484,IF(AND($C184&gt;='TIF Loan Amortization'!$H$485,$C184&lt;='TIF Loan Amortization'!I$485),'TIF Loan Amortization'!$G$485,IF(AND($C184&gt;='TIF Loan Amortization'!$H$486,$C184&lt;='TIF Loan Amortization'!I$486),'TIF Loan Amortization'!$G$486,IF(AND($C184&gt;='TIF Loan Amortization'!$H$487,$C184&lt;='TIF Loan Amortization'!I$487),'TIF Loan Amortization'!$G$487,IF(AND($C184&gt;='TIF Loan Amortization'!$H$488,$C184&lt;='TIF Loan Amortization'!I$488),'TIF Loan Amortization'!$G$488,IF(AND($C184&gt;='TIF Loan Amortization'!$H$489,$C184&lt;='TIF Loan Amortization'!I$489),'TIF Loan Amortization'!$G$489,IF(AND($C184&gt;='TIF Loan Amortization'!$H$490,$C184&lt;='TIF Loan Amortization'!I$490),'TIF Loan Amortization'!$G$490,IF(AND($C184&gt;='TIF Loan Amortization'!$H$491,$C184&lt;='TIF Loan Amortization'!I$491),'TIF Loan Amortization'!$G$491,IF(AND($C184&gt;='TIF Loan Amortization'!$H$492,$C184&lt;='TIF Loan Amortization'!I$492),'TIF Loan Amortization'!$G$492,IF(AND($C184&gt;='TIF Loan Amortization'!$H$493,$C184&lt;='TIF Loan Amortization'!I$493),'TIF Loan Amortization'!$G$493,IF(AND($C184&gt;='TIF Loan Amortization'!$H$494,$C184&lt;='TIF Loan Amortization'!I$494),'TIF Loan Amortization'!$G$494,IF(AND($C184&gt;='TIF Loan Amortization'!$H$495,$C184&lt;='TIF Loan Amortization'!I$495),'TIF Loan Amortization'!$G$495,IF(AND($C184&gt;='TIF Loan Amortization'!$H$496,$C184&lt;='TIF Loan Amortization'!I$496),'TIF Loan Amortization'!$G$496,IF(AND($C184&gt;='TIF Loan Amortization'!$H$497,$C184&lt;='TIF Loan Amortization'!I$497),'TIF Loan Amortization'!$G$497,IF(AND($C184&gt;='TIF Loan Amortization'!$H$498,$C184&lt;='TIF Loan Amortization'!I$498),'TIF Loan Amortization'!$G$498,IF(AND($C184&gt;='TIF Loan Amortization'!$H$499,$C184&lt;='TIF Loan Amortization'!I$499),'TIF Loan Amortization'!$G$499,IF(AND($C184&gt;='TIF Loan Amortization'!$H$500,$C184&lt;='TIF Loan Amortization'!I$500),'TIF Loan Amortization'!$G$500,IF(AND($C184&gt;='TIF Loan Amortization'!$H$501,$C184&lt;='TIF Loan Amortization'!I$501),'TIF Loan Amortization'!$G$501,IF(AND($C184&gt;='TIF Loan Amortization'!$H$502,$C184&lt;='TIF Loan Amortization'!I$502),'TIF Loan Amortization'!$G$502,IF(AND($C184&gt;='TIF Loan Amortization'!$H$503,$C184&lt;='TIF Loan Amortization'!I$503),'TIF Loan Amortization'!$G$503,IF(AND($C184&gt;='TIF Loan Amortization'!$H$504,$C184&lt;='TIF Loan Amortization'!I$504),'TIF Loan Amortization'!$G$504,IF(AND($C184&gt;='TIF Loan Amortization'!$H$505,$C184&lt;='TIF Loan Amortization'!I$505),'TIF Loan Amortization'!$G$505,IF(AND($C184&gt;='TIF Loan Amortization'!$H$506,$C184&lt;='TIF Loan Amortization'!I$506),'TIF Loan Amortization'!$G$506,IF(AND($C184&gt;='TIF Loan Amortization'!$H$507,$C184&lt;='TIF Loan Amortization'!I$507),'TIF Loan Amortization'!$G$507,IF(AND($C184&gt;='TIF Loan Amortization'!$H$508,$C184&lt;='TIF Loan Amortization'!I$508),'TIF Loan Amortization'!$G$508,IF(AND($C184&gt;='TIF Loan Amortization'!$H$509,$C184&lt;='TIF Loan Amortization'!I$509),'TIF Loan Amortization'!$G$509,IF(AND($C184&gt;='TIF Loan Amortization'!$H$510,$C184&lt;='TIF Loan Amortization'!I$510),'TIF Loan Amortization'!$G$510,IF(AND($C184&gt;='TIF Loan Amortization'!$H$511,$C184&lt;='TIF Loan Amortization'!I$511),'TIF Loan Amortization'!$G$511,IF(AND($C184&gt;='TIF Loan Amortization'!$H$512,$C184&lt;='TIF Loan Amortization'!I$512),'TIF Loan Amortization'!$G$512,IF(AND($C184&gt;='TIF Loan Amortization'!$H$513,$C184&lt;='TIF Loan Amortization'!I$513),'TIF Loan Amortization'!$G$513,IF(AND($C184&gt;='TIF Loan Amortization'!$H$514,$C184&lt;='TIF Loan Amortization'!I$514),'TIF Loan Amortization'!$G$514,IF(AND($C184&gt;='TIF Loan Amortization'!$H$515,$C184&lt;='TIF Loan Amortization'!I$515),'TIF Loan Amortization'!$G$515,IF(AND($C184&gt;='TIF Loan Amortization'!$H$516,$C184&lt;='TIF Loan Amortization'!I$516),'TIF Loan Amortization'!$G$516,IF(AND($C184&gt;='TIF Loan Amortization'!$H$517,$C184&lt;='TIF Loan Amortization'!I$517),'TIF Loan Amortization'!$G$517,IF(AND($C184&gt;='TIF Loan Amortization'!$H$518,$C184&lt;='TIF Loan Amortization'!I$518),'TIF Loan Amortization'!$G$518,IF(AND($C184&gt;='TIF Loan Amortization'!$H$519,$C184&lt;='TIF Loan Amortization'!I$519),'TIF Loan Amortization'!$G$519))))))))))))))))))))))))))))))))))))))))</f>
        <v>#N/A</v>
      </c>
      <c r="C184" s="269" t="e">
        <f t="shared" si="29"/>
        <v>#N/A</v>
      </c>
      <c r="D184" s="281" t="str">
        <f t="shared" si="35"/>
        <v/>
      </c>
      <c r="E184" s="274">
        <v>134</v>
      </c>
      <c r="F184" s="275" t="str">
        <f>VLOOKUP($AG$424,$AE$422:$AF$433,2)</f>
        <v>May</v>
      </c>
      <c r="G184" s="272">
        <f t="shared" si="30"/>
        <v>0</v>
      </c>
      <c r="H184" s="272">
        <f t="shared" si="33"/>
        <v>0</v>
      </c>
      <c r="I184" s="272">
        <f t="shared" si="34"/>
        <v>0</v>
      </c>
      <c r="J184" s="272">
        <f t="shared" si="31"/>
        <v>0</v>
      </c>
      <c r="K184" s="272">
        <f>IF(ISTEXT($M$4),"",SUM(I$50:I184))</f>
        <v>0</v>
      </c>
      <c r="L184" s="272">
        <f>IF(ISTEXT($M$4),"",SUM(J$50:J184))</f>
        <v>0</v>
      </c>
      <c r="M184" s="271">
        <f t="shared" si="32"/>
        <v>0</v>
      </c>
      <c r="N184" s="291" t="e">
        <f>IF(C184='Operating Assumptions'!$C$48,"Construction Finish","")</f>
        <v>#N/A</v>
      </c>
      <c r="O184" s="291"/>
      <c r="P184" s="291"/>
      <c r="Q184" s="291"/>
      <c r="R184" s="291"/>
      <c r="S184" s="291"/>
      <c r="T184" s="294"/>
      <c r="U184" s="294"/>
      <c r="V184" s="295"/>
      <c r="W184" s="295"/>
      <c r="X184" s="295"/>
      <c r="Y184" s="294"/>
      <c r="Z184" s="279"/>
      <c r="AA184" s="279"/>
      <c r="AB184" s="279"/>
    </row>
    <row r="185" spans="2:28" s="278" customFormat="1" ht="11.85" hidden="1" customHeight="1" outlineLevel="1" x14ac:dyDescent="0.25">
      <c r="B185" s="270" t="e">
        <f>IF(AND($C185&gt;='TIF Loan Amortization'!$H$480,$C185&lt;='TIF Loan Amortization'!$I$480),'TIF Loan Amortization'!$G$480,IF(AND($C185&gt;='TIF Loan Amortization'!$H$481,$C185&lt;='TIF Loan Amortization'!I$481),'TIF Loan Amortization'!$G$481,IF(AND($C185&gt;='TIF Loan Amortization'!$H$482,$C185&lt;='TIF Loan Amortization'!I$482),'TIF Loan Amortization'!$G$482,IF(AND($C185&gt;='TIF Loan Amortization'!$H$483,$C185&lt;='TIF Loan Amortization'!I$483),'TIF Loan Amortization'!$G$483,IF(AND($C185&gt;='TIF Loan Amortization'!$H$484,$C185&lt;='TIF Loan Amortization'!I$484),'TIF Loan Amortization'!$G$484,IF(AND($C185&gt;='TIF Loan Amortization'!$H$485,$C185&lt;='TIF Loan Amortization'!I$485),'TIF Loan Amortization'!$G$485,IF(AND($C185&gt;='TIF Loan Amortization'!$H$486,$C185&lt;='TIF Loan Amortization'!I$486),'TIF Loan Amortization'!$G$486,IF(AND($C185&gt;='TIF Loan Amortization'!$H$487,$C185&lt;='TIF Loan Amortization'!I$487),'TIF Loan Amortization'!$G$487,IF(AND($C185&gt;='TIF Loan Amortization'!$H$488,$C185&lt;='TIF Loan Amortization'!I$488),'TIF Loan Amortization'!$G$488,IF(AND($C185&gt;='TIF Loan Amortization'!$H$489,$C185&lt;='TIF Loan Amortization'!I$489),'TIF Loan Amortization'!$G$489,IF(AND($C185&gt;='TIF Loan Amortization'!$H$490,$C185&lt;='TIF Loan Amortization'!I$490),'TIF Loan Amortization'!$G$490,IF(AND($C185&gt;='TIF Loan Amortization'!$H$491,$C185&lt;='TIF Loan Amortization'!I$491),'TIF Loan Amortization'!$G$491,IF(AND($C185&gt;='TIF Loan Amortization'!$H$492,$C185&lt;='TIF Loan Amortization'!I$492),'TIF Loan Amortization'!$G$492,IF(AND($C185&gt;='TIF Loan Amortization'!$H$493,$C185&lt;='TIF Loan Amortization'!I$493),'TIF Loan Amortization'!$G$493,IF(AND($C185&gt;='TIF Loan Amortization'!$H$494,$C185&lt;='TIF Loan Amortization'!I$494),'TIF Loan Amortization'!$G$494,IF(AND($C185&gt;='TIF Loan Amortization'!$H$495,$C185&lt;='TIF Loan Amortization'!I$495),'TIF Loan Amortization'!$G$495,IF(AND($C185&gt;='TIF Loan Amortization'!$H$496,$C185&lt;='TIF Loan Amortization'!I$496),'TIF Loan Amortization'!$G$496,IF(AND($C185&gt;='TIF Loan Amortization'!$H$497,$C185&lt;='TIF Loan Amortization'!I$497),'TIF Loan Amortization'!$G$497,IF(AND($C185&gt;='TIF Loan Amortization'!$H$498,$C185&lt;='TIF Loan Amortization'!I$498),'TIF Loan Amortization'!$G$498,IF(AND($C185&gt;='TIF Loan Amortization'!$H$499,$C185&lt;='TIF Loan Amortization'!I$499),'TIF Loan Amortization'!$G$499,IF(AND($C185&gt;='TIF Loan Amortization'!$H$500,$C185&lt;='TIF Loan Amortization'!I$500),'TIF Loan Amortization'!$G$500,IF(AND($C185&gt;='TIF Loan Amortization'!$H$501,$C185&lt;='TIF Loan Amortization'!I$501),'TIF Loan Amortization'!$G$501,IF(AND($C185&gt;='TIF Loan Amortization'!$H$502,$C185&lt;='TIF Loan Amortization'!I$502),'TIF Loan Amortization'!$G$502,IF(AND($C185&gt;='TIF Loan Amortization'!$H$503,$C185&lt;='TIF Loan Amortization'!I$503),'TIF Loan Amortization'!$G$503,IF(AND($C185&gt;='TIF Loan Amortization'!$H$504,$C185&lt;='TIF Loan Amortization'!I$504),'TIF Loan Amortization'!$G$504,IF(AND($C185&gt;='TIF Loan Amortization'!$H$505,$C185&lt;='TIF Loan Amortization'!I$505),'TIF Loan Amortization'!$G$505,IF(AND($C185&gt;='TIF Loan Amortization'!$H$506,$C185&lt;='TIF Loan Amortization'!I$506),'TIF Loan Amortization'!$G$506,IF(AND($C185&gt;='TIF Loan Amortization'!$H$507,$C185&lt;='TIF Loan Amortization'!I$507),'TIF Loan Amortization'!$G$507,IF(AND($C185&gt;='TIF Loan Amortization'!$H$508,$C185&lt;='TIF Loan Amortization'!I$508),'TIF Loan Amortization'!$G$508,IF(AND($C185&gt;='TIF Loan Amortization'!$H$509,$C185&lt;='TIF Loan Amortization'!I$509),'TIF Loan Amortization'!$G$509,IF(AND($C185&gt;='TIF Loan Amortization'!$H$510,$C185&lt;='TIF Loan Amortization'!I$510),'TIF Loan Amortization'!$G$510,IF(AND($C185&gt;='TIF Loan Amortization'!$H$511,$C185&lt;='TIF Loan Amortization'!I$511),'TIF Loan Amortization'!$G$511,IF(AND($C185&gt;='TIF Loan Amortization'!$H$512,$C185&lt;='TIF Loan Amortization'!I$512),'TIF Loan Amortization'!$G$512,IF(AND($C185&gt;='TIF Loan Amortization'!$H$513,$C185&lt;='TIF Loan Amortization'!I$513),'TIF Loan Amortization'!$G$513,IF(AND($C185&gt;='TIF Loan Amortization'!$H$514,$C185&lt;='TIF Loan Amortization'!I$514),'TIF Loan Amortization'!$G$514,IF(AND($C185&gt;='TIF Loan Amortization'!$H$515,$C185&lt;='TIF Loan Amortization'!I$515),'TIF Loan Amortization'!$G$515,IF(AND($C185&gt;='TIF Loan Amortization'!$H$516,$C185&lt;='TIF Loan Amortization'!I$516),'TIF Loan Amortization'!$G$516,IF(AND($C185&gt;='TIF Loan Amortization'!$H$517,$C185&lt;='TIF Loan Amortization'!I$517),'TIF Loan Amortization'!$G$517,IF(AND($C185&gt;='TIF Loan Amortization'!$H$518,$C185&lt;='TIF Loan Amortization'!I$518),'TIF Loan Amortization'!$G$518,IF(AND($C185&gt;='TIF Loan Amortization'!$H$519,$C185&lt;='TIF Loan Amortization'!I$519),'TIF Loan Amortization'!$G$519))))))))))))))))))))))))))))))))))))))))</f>
        <v>#N/A</v>
      </c>
      <c r="C185" s="269" t="e">
        <f t="shared" si="29"/>
        <v>#N/A</v>
      </c>
      <c r="D185" s="281" t="str">
        <f t="shared" si="35"/>
        <v/>
      </c>
      <c r="E185" s="274">
        <v>135</v>
      </c>
      <c r="F185" s="275" t="str">
        <f>VLOOKUP($AG$425,$AE$422:$AF$433,2)</f>
        <v>Jun</v>
      </c>
      <c r="G185" s="272">
        <f t="shared" si="30"/>
        <v>0</v>
      </c>
      <c r="H185" s="272">
        <f t="shared" si="33"/>
        <v>0</v>
      </c>
      <c r="I185" s="272">
        <f t="shared" si="34"/>
        <v>0</v>
      </c>
      <c r="J185" s="272">
        <f t="shared" si="31"/>
        <v>0</v>
      </c>
      <c r="K185" s="272">
        <f>IF(ISTEXT($M$4),"",SUM(I$50:I185))</f>
        <v>0</v>
      </c>
      <c r="L185" s="272">
        <f>IF(ISTEXT($M$4),"",SUM(J$50:J185))</f>
        <v>0</v>
      </c>
      <c r="M185" s="271">
        <f t="shared" si="32"/>
        <v>0</v>
      </c>
      <c r="N185" s="291" t="e">
        <f>IF(C185='Operating Assumptions'!$C$48,"Construction Finish","")</f>
        <v>#N/A</v>
      </c>
      <c r="O185" s="291"/>
      <c r="P185" s="291"/>
      <c r="Q185" s="291"/>
      <c r="R185" s="291"/>
      <c r="S185" s="291"/>
      <c r="T185" s="291"/>
      <c r="U185" s="291"/>
      <c r="V185" s="292"/>
      <c r="W185" s="292"/>
      <c r="X185" s="292"/>
      <c r="Y185" s="291"/>
      <c r="Z185" s="279"/>
      <c r="AA185" s="279"/>
      <c r="AB185" s="279"/>
    </row>
    <row r="186" spans="2:28" s="278" customFormat="1" ht="11.85" hidden="1" customHeight="1" outlineLevel="1" x14ac:dyDescent="0.25">
      <c r="B186" s="270" t="e">
        <f>IF(AND($C186&gt;='TIF Loan Amortization'!$H$480,$C186&lt;='TIF Loan Amortization'!$I$480),'TIF Loan Amortization'!$G$480,IF(AND($C186&gt;='TIF Loan Amortization'!$H$481,$C186&lt;='TIF Loan Amortization'!I$481),'TIF Loan Amortization'!$G$481,IF(AND($C186&gt;='TIF Loan Amortization'!$H$482,$C186&lt;='TIF Loan Amortization'!I$482),'TIF Loan Amortization'!$G$482,IF(AND($C186&gt;='TIF Loan Amortization'!$H$483,$C186&lt;='TIF Loan Amortization'!I$483),'TIF Loan Amortization'!$G$483,IF(AND($C186&gt;='TIF Loan Amortization'!$H$484,$C186&lt;='TIF Loan Amortization'!I$484),'TIF Loan Amortization'!$G$484,IF(AND($C186&gt;='TIF Loan Amortization'!$H$485,$C186&lt;='TIF Loan Amortization'!I$485),'TIF Loan Amortization'!$G$485,IF(AND($C186&gt;='TIF Loan Amortization'!$H$486,$C186&lt;='TIF Loan Amortization'!I$486),'TIF Loan Amortization'!$G$486,IF(AND($C186&gt;='TIF Loan Amortization'!$H$487,$C186&lt;='TIF Loan Amortization'!I$487),'TIF Loan Amortization'!$G$487,IF(AND($C186&gt;='TIF Loan Amortization'!$H$488,$C186&lt;='TIF Loan Amortization'!I$488),'TIF Loan Amortization'!$G$488,IF(AND($C186&gt;='TIF Loan Amortization'!$H$489,$C186&lt;='TIF Loan Amortization'!I$489),'TIF Loan Amortization'!$G$489,IF(AND($C186&gt;='TIF Loan Amortization'!$H$490,$C186&lt;='TIF Loan Amortization'!I$490),'TIF Loan Amortization'!$G$490,IF(AND($C186&gt;='TIF Loan Amortization'!$H$491,$C186&lt;='TIF Loan Amortization'!I$491),'TIF Loan Amortization'!$G$491,IF(AND($C186&gt;='TIF Loan Amortization'!$H$492,$C186&lt;='TIF Loan Amortization'!I$492),'TIF Loan Amortization'!$G$492,IF(AND($C186&gt;='TIF Loan Amortization'!$H$493,$C186&lt;='TIF Loan Amortization'!I$493),'TIF Loan Amortization'!$G$493,IF(AND($C186&gt;='TIF Loan Amortization'!$H$494,$C186&lt;='TIF Loan Amortization'!I$494),'TIF Loan Amortization'!$G$494,IF(AND($C186&gt;='TIF Loan Amortization'!$H$495,$C186&lt;='TIF Loan Amortization'!I$495),'TIF Loan Amortization'!$G$495,IF(AND($C186&gt;='TIF Loan Amortization'!$H$496,$C186&lt;='TIF Loan Amortization'!I$496),'TIF Loan Amortization'!$G$496,IF(AND($C186&gt;='TIF Loan Amortization'!$H$497,$C186&lt;='TIF Loan Amortization'!I$497),'TIF Loan Amortization'!$G$497,IF(AND($C186&gt;='TIF Loan Amortization'!$H$498,$C186&lt;='TIF Loan Amortization'!I$498),'TIF Loan Amortization'!$G$498,IF(AND($C186&gt;='TIF Loan Amortization'!$H$499,$C186&lt;='TIF Loan Amortization'!I$499),'TIF Loan Amortization'!$G$499,IF(AND($C186&gt;='TIF Loan Amortization'!$H$500,$C186&lt;='TIF Loan Amortization'!I$500),'TIF Loan Amortization'!$G$500,IF(AND($C186&gt;='TIF Loan Amortization'!$H$501,$C186&lt;='TIF Loan Amortization'!I$501),'TIF Loan Amortization'!$G$501,IF(AND($C186&gt;='TIF Loan Amortization'!$H$502,$C186&lt;='TIF Loan Amortization'!I$502),'TIF Loan Amortization'!$G$502,IF(AND($C186&gt;='TIF Loan Amortization'!$H$503,$C186&lt;='TIF Loan Amortization'!I$503),'TIF Loan Amortization'!$G$503,IF(AND($C186&gt;='TIF Loan Amortization'!$H$504,$C186&lt;='TIF Loan Amortization'!I$504),'TIF Loan Amortization'!$G$504,IF(AND($C186&gt;='TIF Loan Amortization'!$H$505,$C186&lt;='TIF Loan Amortization'!I$505),'TIF Loan Amortization'!$G$505,IF(AND($C186&gt;='TIF Loan Amortization'!$H$506,$C186&lt;='TIF Loan Amortization'!I$506),'TIF Loan Amortization'!$G$506,IF(AND($C186&gt;='TIF Loan Amortization'!$H$507,$C186&lt;='TIF Loan Amortization'!I$507),'TIF Loan Amortization'!$G$507,IF(AND($C186&gt;='TIF Loan Amortization'!$H$508,$C186&lt;='TIF Loan Amortization'!I$508),'TIF Loan Amortization'!$G$508,IF(AND($C186&gt;='TIF Loan Amortization'!$H$509,$C186&lt;='TIF Loan Amortization'!I$509),'TIF Loan Amortization'!$G$509,IF(AND($C186&gt;='TIF Loan Amortization'!$H$510,$C186&lt;='TIF Loan Amortization'!I$510),'TIF Loan Amortization'!$G$510,IF(AND($C186&gt;='TIF Loan Amortization'!$H$511,$C186&lt;='TIF Loan Amortization'!I$511),'TIF Loan Amortization'!$G$511,IF(AND($C186&gt;='TIF Loan Amortization'!$H$512,$C186&lt;='TIF Loan Amortization'!I$512),'TIF Loan Amortization'!$G$512,IF(AND($C186&gt;='TIF Loan Amortization'!$H$513,$C186&lt;='TIF Loan Amortization'!I$513),'TIF Loan Amortization'!$G$513,IF(AND($C186&gt;='TIF Loan Amortization'!$H$514,$C186&lt;='TIF Loan Amortization'!I$514),'TIF Loan Amortization'!$G$514,IF(AND($C186&gt;='TIF Loan Amortization'!$H$515,$C186&lt;='TIF Loan Amortization'!I$515),'TIF Loan Amortization'!$G$515,IF(AND($C186&gt;='TIF Loan Amortization'!$H$516,$C186&lt;='TIF Loan Amortization'!I$516),'TIF Loan Amortization'!$G$516,IF(AND($C186&gt;='TIF Loan Amortization'!$H$517,$C186&lt;='TIF Loan Amortization'!I$517),'TIF Loan Amortization'!$G$517,IF(AND($C186&gt;='TIF Loan Amortization'!$H$518,$C186&lt;='TIF Loan Amortization'!I$518),'TIF Loan Amortization'!$G$518,IF(AND($C186&gt;='TIF Loan Amortization'!$H$519,$C186&lt;='TIF Loan Amortization'!I$519),'TIF Loan Amortization'!$G$519))))))))))))))))))))))))))))))))))))))))</f>
        <v>#N/A</v>
      </c>
      <c r="C186" s="269" t="e">
        <f t="shared" si="29"/>
        <v>#N/A</v>
      </c>
      <c r="D186" s="281" t="str">
        <f t="shared" si="35"/>
        <v/>
      </c>
      <c r="E186" s="274">
        <v>136</v>
      </c>
      <c r="F186" s="275" t="str">
        <f>VLOOKUP($AG$426,$AE$422:$AF$433,2)</f>
        <v>Jul</v>
      </c>
      <c r="G186" s="272">
        <f t="shared" si="30"/>
        <v>0</v>
      </c>
      <c r="H186" s="272">
        <f t="shared" si="33"/>
        <v>0</v>
      </c>
      <c r="I186" s="272">
        <f t="shared" si="34"/>
        <v>0</v>
      </c>
      <c r="J186" s="272">
        <f t="shared" si="31"/>
        <v>0</v>
      </c>
      <c r="K186" s="272">
        <f>IF(ISTEXT($M$4),"",SUM(I$50:I186))</f>
        <v>0</v>
      </c>
      <c r="L186" s="272">
        <f>IF(ISTEXT($M$4),"",SUM(J$50:J186))</f>
        <v>0</v>
      </c>
      <c r="M186" s="271">
        <f t="shared" si="32"/>
        <v>0</v>
      </c>
      <c r="N186" s="291" t="e">
        <f>IF(C186='Operating Assumptions'!$C$48,"Construction Finish","")</f>
        <v>#N/A</v>
      </c>
      <c r="O186" s="291"/>
      <c r="P186" s="291"/>
      <c r="Q186" s="291"/>
      <c r="R186" s="291"/>
      <c r="S186" s="291"/>
      <c r="T186" s="291"/>
      <c r="U186" s="291"/>
      <c r="V186" s="292"/>
      <c r="W186" s="292"/>
      <c r="X186" s="292"/>
      <c r="Y186" s="291"/>
      <c r="Z186" s="279"/>
      <c r="AA186" s="279"/>
      <c r="AB186" s="279"/>
    </row>
    <row r="187" spans="2:28" s="278" customFormat="1" ht="11.65" hidden="1" customHeight="1" outlineLevel="1" x14ac:dyDescent="0.25">
      <c r="B187" s="270" t="e">
        <f>IF(AND($C187&gt;='TIF Loan Amortization'!$H$480,$C187&lt;='TIF Loan Amortization'!$I$480),'TIF Loan Amortization'!$G$480,IF(AND($C187&gt;='TIF Loan Amortization'!$H$481,$C187&lt;='TIF Loan Amortization'!I$481),'TIF Loan Amortization'!$G$481,IF(AND($C187&gt;='TIF Loan Amortization'!$H$482,$C187&lt;='TIF Loan Amortization'!I$482),'TIF Loan Amortization'!$G$482,IF(AND($C187&gt;='TIF Loan Amortization'!$H$483,$C187&lt;='TIF Loan Amortization'!I$483),'TIF Loan Amortization'!$G$483,IF(AND($C187&gt;='TIF Loan Amortization'!$H$484,$C187&lt;='TIF Loan Amortization'!I$484),'TIF Loan Amortization'!$G$484,IF(AND($C187&gt;='TIF Loan Amortization'!$H$485,$C187&lt;='TIF Loan Amortization'!I$485),'TIF Loan Amortization'!$G$485,IF(AND($C187&gt;='TIF Loan Amortization'!$H$486,$C187&lt;='TIF Loan Amortization'!I$486),'TIF Loan Amortization'!$G$486,IF(AND($C187&gt;='TIF Loan Amortization'!$H$487,$C187&lt;='TIF Loan Amortization'!I$487),'TIF Loan Amortization'!$G$487,IF(AND($C187&gt;='TIF Loan Amortization'!$H$488,$C187&lt;='TIF Loan Amortization'!I$488),'TIF Loan Amortization'!$G$488,IF(AND($C187&gt;='TIF Loan Amortization'!$H$489,$C187&lt;='TIF Loan Amortization'!I$489),'TIF Loan Amortization'!$G$489,IF(AND($C187&gt;='TIF Loan Amortization'!$H$490,$C187&lt;='TIF Loan Amortization'!I$490),'TIF Loan Amortization'!$G$490,IF(AND($C187&gt;='TIF Loan Amortization'!$H$491,$C187&lt;='TIF Loan Amortization'!I$491),'TIF Loan Amortization'!$G$491,IF(AND($C187&gt;='TIF Loan Amortization'!$H$492,$C187&lt;='TIF Loan Amortization'!I$492),'TIF Loan Amortization'!$G$492,IF(AND($C187&gt;='TIF Loan Amortization'!$H$493,$C187&lt;='TIF Loan Amortization'!I$493),'TIF Loan Amortization'!$G$493,IF(AND($C187&gt;='TIF Loan Amortization'!$H$494,$C187&lt;='TIF Loan Amortization'!I$494),'TIF Loan Amortization'!$G$494,IF(AND($C187&gt;='TIF Loan Amortization'!$H$495,$C187&lt;='TIF Loan Amortization'!I$495),'TIF Loan Amortization'!$G$495,IF(AND($C187&gt;='TIF Loan Amortization'!$H$496,$C187&lt;='TIF Loan Amortization'!I$496),'TIF Loan Amortization'!$G$496,IF(AND($C187&gt;='TIF Loan Amortization'!$H$497,$C187&lt;='TIF Loan Amortization'!I$497),'TIF Loan Amortization'!$G$497,IF(AND($C187&gt;='TIF Loan Amortization'!$H$498,$C187&lt;='TIF Loan Amortization'!I$498),'TIF Loan Amortization'!$G$498,IF(AND($C187&gt;='TIF Loan Amortization'!$H$499,$C187&lt;='TIF Loan Amortization'!I$499),'TIF Loan Amortization'!$G$499,IF(AND($C187&gt;='TIF Loan Amortization'!$H$500,$C187&lt;='TIF Loan Amortization'!I$500),'TIF Loan Amortization'!$G$500,IF(AND($C187&gt;='TIF Loan Amortization'!$H$501,$C187&lt;='TIF Loan Amortization'!I$501),'TIF Loan Amortization'!$G$501,IF(AND($C187&gt;='TIF Loan Amortization'!$H$502,$C187&lt;='TIF Loan Amortization'!I$502),'TIF Loan Amortization'!$G$502,IF(AND($C187&gt;='TIF Loan Amortization'!$H$503,$C187&lt;='TIF Loan Amortization'!I$503),'TIF Loan Amortization'!$G$503,IF(AND($C187&gt;='TIF Loan Amortization'!$H$504,$C187&lt;='TIF Loan Amortization'!I$504),'TIF Loan Amortization'!$G$504,IF(AND($C187&gt;='TIF Loan Amortization'!$H$505,$C187&lt;='TIF Loan Amortization'!I$505),'TIF Loan Amortization'!$G$505,IF(AND($C187&gt;='TIF Loan Amortization'!$H$506,$C187&lt;='TIF Loan Amortization'!I$506),'TIF Loan Amortization'!$G$506,IF(AND($C187&gt;='TIF Loan Amortization'!$H$507,$C187&lt;='TIF Loan Amortization'!I$507),'TIF Loan Amortization'!$G$507,IF(AND($C187&gt;='TIF Loan Amortization'!$H$508,$C187&lt;='TIF Loan Amortization'!I$508),'TIF Loan Amortization'!$G$508,IF(AND($C187&gt;='TIF Loan Amortization'!$H$509,$C187&lt;='TIF Loan Amortization'!I$509),'TIF Loan Amortization'!$G$509,IF(AND($C187&gt;='TIF Loan Amortization'!$H$510,$C187&lt;='TIF Loan Amortization'!I$510),'TIF Loan Amortization'!$G$510,IF(AND($C187&gt;='TIF Loan Amortization'!$H$511,$C187&lt;='TIF Loan Amortization'!I$511),'TIF Loan Amortization'!$G$511,IF(AND($C187&gt;='TIF Loan Amortization'!$H$512,$C187&lt;='TIF Loan Amortization'!I$512),'TIF Loan Amortization'!$G$512,IF(AND($C187&gt;='TIF Loan Amortization'!$H$513,$C187&lt;='TIF Loan Amortization'!I$513),'TIF Loan Amortization'!$G$513,IF(AND($C187&gt;='TIF Loan Amortization'!$H$514,$C187&lt;='TIF Loan Amortization'!I$514),'TIF Loan Amortization'!$G$514,IF(AND($C187&gt;='TIF Loan Amortization'!$H$515,$C187&lt;='TIF Loan Amortization'!I$515),'TIF Loan Amortization'!$G$515,IF(AND($C187&gt;='TIF Loan Amortization'!$H$516,$C187&lt;='TIF Loan Amortization'!I$516),'TIF Loan Amortization'!$G$516,IF(AND($C187&gt;='TIF Loan Amortization'!$H$517,$C187&lt;='TIF Loan Amortization'!I$517),'TIF Loan Amortization'!$G$517,IF(AND($C187&gt;='TIF Loan Amortization'!$H$518,$C187&lt;='TIF Loan Amortization'!I$518),'TIF Loan Amortization'!$G$518,IF(AND($C187&gt;='TIF Loan Amortization'!$H$519,$C187&lt;='TIF Loan Amortization'!I$519),'TIF Loan Amortization'!$G$519))))))))))))))))))))))))))))))))))))))))</f>
        <v>#N/A</v>
      </c>
      <c r="C187" s="269" t="e">
        <f t="shared" si="29"/>
        <v>#N/A</v>
      </c>
      <c r="D187" s="281" t="str">
        <f t="shared" si="35"/>
        <v/>
      </c>
      <c r="E187" s="274">
        <v>137</v>
      </c>
      <c r="F187" s="275" t="str">
        <f>VLOOKUP($AG$427,$AE$422:$AF$433,2)</f>
        <v>Aug</v>
      </c>
      <c r="G187" s="272">
        <f t="shared" si="30"/>
        <v>0</v>
      </c>
      <c r="H187" s="272">
        <f t="shared" si="33"/>
        <v>0</v>
      </c>
      <c r="I187" s="272">
        <f t="shared" si="34"/>
        <v>0</v>
      </c>
      <c r="J187" s="272">
        <f t="shared" si="31"/>
        <v>0</v>
      </c>
      <c r="K187" s="272">
        <f>IF(ISTEXT($M$4),"",SUM(I$50:I187))</f>
        <v>0</v>
      </c>
      <c r="L187" s="272">
        <f>IF(ISTEXT($M$4),"",SUM(J$50:J187))</f>
        <v>0</v>
      </c>
      <c r="M187" s="271">
        <f t="shared" si="32"/>
        <v>0</v>
      </c>
      <c r="N187" s="291" t="e">
        <f>IF(C187='Operating Assumptions'!$C$48,"Construction Finish","")</f>
        <v>#N/A</v>
      </c>
      <c r="O187" s="291"/>
      <c r="P187" s="291"/>
      <c r="Q187" s="291"/>
      <c r="R187" s="291"/>
      <c r="S187" s="291"/>
      <c r="T187" s="291"/>
      <c r="U187" s="291"/>
      <c r="V187" s="292"/>
      <c r="W187" s="292"/>
      <c r="X187" s="292"/>
      <c r="Y187" s="291"/>
      <c r="Z187" s="279"/>
      <c r="AA187" s="279"/>
      <c r="AB187" s="279"/>
    </row>
    <row r="188" spans="2:28" s="278" customFormat="1" ht="11.65" hidden="1" customHeight="1" outlineLevel="1" x14ac:dyDescent="0.25">
      <c r="B188" s="270" t="e">
        <f>IF(AND($C188&gt;='TIF Loan Amortization'!$H$480,$C188&lt;='TIF Loan Amortization'!$I$480),'TIF Loan Amortization'!$G$480,IF(AND($C188&gt;='TIF Loan Amortization'!$H$481,$C188&lt;='TIF Loan Amortization'!I$481),'TIF Loan Amortization'!$G$481,IF(AND($C188&gt;='TIF Loan Amortization'!$H$482,$C188&lt;='TIF Loan Amortization'!I$482),'TIF Loan Amortization'!$G$482,IF(AND($C188&gt;='TIF Loan Amortization'!$H$483,$C188&lt;='TIF Loan Amortization'!I$483),'TIF Loan Amortization'!$G$483,IF(AND($C188&gt;='TIF Loan Amortization'!$H$484,$C188&lt;='TIF Loan Amortization'!I$484),'TIF Loan Amortization'!$G$484,IF(AND($C188&gt;='TIF Loan Amortization'!$H$485,$C188&lt;='TIF Loan Amortization'!I$485),'TIF Loan Amortization'!$G$485,IF(AND($C188&gt;='TIF Loan Amortization'!$H$486,$C188&lt;='TIF Loan Amortization'!I$486),'TIF Loan Amortization'!$G$486,IF(AND($C188&gt;='TIF Loan Amortization'!$H$487,$C188&lt;='TIF Loan Amortization'!I$487),'TIF Loan Amortization'!$G$487,IF(AND($C188&gt;='TIF Loan Amortization'!$H$488,$C188&lt;='TIF Loan Amortization'!I$488),'TIF Loan Amortization'!$G$488,IF(AND($C188&gt;='TIF Loan Amortization'!$H$489,$C188&lt;='TIF Loan Amortization'!I$489),'TIF Loan Amortization'!$G$489,IF(AND($C188&gt;='TIF Loan Amortization'!$H$490,$C188&lt;='TIF Loan Amortization'!I$490),'TIF Loan Amortization'!$G$490,IF(AND($C188&gt;='TIF Loan Amortization'!$H$491,$C188&lt;='TIF Loan Amortization'!I$491),'TIF Loan Amortization'!$G$491,IF(AND($C188&gt;='TIF Loan Amortization'!$H$492,$C188&lt;='TIF Loan Amortization'!I$492),'TIF Loan Amortization'!$G$492,IF(AND($C188&gt;='TIF Loan Amortization'!$H$493,$C188&lt;='TIF Loan Amortization'!I$493),'TIF Loan Amortization'!$G$493,IF(AND($C188&gt;='TIF Loan Amortization'!$H$494,$C188&lt;='TIF Loan Amortization'!I$494),'TIF Loan Amortization'!$G$494,IF(AND($C188&gt;='TIF Loan Amortization'!$H$495,$C188&lt;='TIF Loan Amortization'!I$495),'TIF Loan Amortization'!$G$495,IF(AND($C188&gt;='TIF Loan Amortization'!$H$496,$C188&lt;='TIF Loan Amortization'!I$496),'TIF Loan Amortization'!$G$496,IF(AND($C188&gt;='TIF Loan Amortization'!$H$497,$C188&lt;='TIF Loan Amortization'!I$497),'TIF Loan Amortization'!$G$497,IF(AND($C188&gt;='TIF Loan Amortization'!$H$498,$C188&lt;='TIF Loan Amortization'!I$498),'TIF Loan Amortization'!$G$498,IF(AND($C188&gt;='TIF Loan Amortization'!$H$499,$C188&lt;='TIF Loan Amortization'!I$499),'TIF Loan Amortization'!$G$499,IF(AND($C188&gt;='TIF Loan Amortization'!$H$500,$C188&lt;='TIF Loan Amortization'!I$500),'TIF Loan Amortization'!$G$500,IF(AND($C188&gt;='TIF Loan Amortization'!$H$501,$C188&lt;='TIF Loan Amortization'!I$501),'TIF Loan Amortization'!$G$501,IF(AND($C188&gt;='TIF Loan Amortization'!$H$502,$C188&lt;='TIF Loan Amortization'!I$502),'TIF Loan Amortization'!$G$502,IF(AND($C188&gt;='TIF Loan Amortization'!$H$503,$C188&lt;='TIF Loan Amortization'!I$503),'TIF Loan Amortization'!$G$503,IF(AND($C188&gt;='TIF Loan Amortization'!$H$504,$C188&lt;='TIF Loan Amortization'!I$504),'TIF Loan Amortization'!$G$504,IF(AND($C188&gt;='TIF Loan Amortization'!$H$505,$C188&lt;='TIF Loan Amortization'!I$505),'TIF Loan Amortization'!$G$505,IF(AND($C188&gt;='TIF Loan Amortization'!$H$506,$C188&lt;='TIF Loan Amortization'!I$506),'TIF Loan Amortization'!$G$506,IF(AND($C188&gt;='TIF Loan Amortization'!$H$507,$C188&lt;='TIF Loan Amortization'!I$507),'TIF Loan Amortization'!$G$507,IF(AND($C188&gt;='TIF Loan Amortization'!$H$508,$C188&lt;='TIF Loan Amortization'!I$508),'TIF Loan Amortization'!$G$508,IF(AND($C188&gt;='TIF Loan Amortization'!$H$509,$C188&lt;='TIF Loan Amortization'!I$509),'TIF Loan Amortization'!$G$509,IF(AND($C188&gt;='TIF Loan Amortization'!$H$510,$C188&lt;='TIF Loan Amortization'!I$510),'TIF Loan Amortization'!$G$510,IF(AND($C188&gt;='TIF Loan Amortization'!$H$511,$C188&lt;='TIF Loan Amortization'!I$511),'TIF Loan Amortization'!$G$511,IF(AND($C188&gt;='TIF Loan Amortization'!$H$512,$C188&lt;='TIF Loan Amortization'!I$512),'TIF Loan Amortization'!$G$512,IF(AND($C188&gt;='TIF Loan Amortization'!$H$513,$C188&lt;='TIF Loan Amortization'!I$513),'TIF Loan Amortization'!$G$513,IF(AND($C188&gt;='TIF Loan Amortization'!$H$514,$C188&lt;='TIF Loan Amortization'!I$514),'TIF Loan Amortization'!$G$514,IF(AND($C188&gt;='TIF Loan Amortization'!$H$515,$C188&lt;='TIF Loan Amortization'!I$515),'TIF Loan Amortization'!$G$515,IF(AND($C188&gt;='TIF Loan Amortization'!$H$516,$C188&lt;='TIF Loan Amortization'!I$516),'TIF Loan Amortization'!$G$516,IF(AND($C188&gt;='TIF Loan Amortization'!$H$517,$C188&lt;='TIF Loan Amortization'!I$517),'TIF Loan Amortization'!$G$517,IF(AND($C188&gt;='TIF Loan Amortization'!$H$518,$C188&lt;='TIF Loan Amortization'!I$518),'TIF Loan Amortization'!$G$518,IF(AND($C188&gt;='TIF Loan Amortization'!$H$519,$C188&lt;='TIF Loan Amortization'!I$519),'TIF Loan Amortization'!$G$519))))))))))))))))))))))))))))))))))))))))</f>
        <v>#N/A</v>
      </c>
      <c r="C188" s="269" t="e">
        <f t="shared" si="29"/>
        <v>#N/A</v>
      </c>
      <c r="D188" s="281" t="str">
        <f t="shared" si="35"/>
        <v/>
      </c>
      <c r="E188" s="274">
        <v>138</v>
      </c>
      <c r="F188" s="275" t="str">
        <f>VLOOKUP($AG$428,$AE$422:$AF$433,2)</f>
        <v>Sep</v>
      </c>
      <c r="G188" s="272">
        <f t="shared" si="30"/>
        <v>0</v>
      </c>
      <c r="H188" s="272">
        <f t="shared" si="33"/>
        <v>0</v>
      </c>
      <c r="I188" s="272">
        <f t="shared" si="34"/>
        <v>0</v>
      </c>
      <c r="J188" s="272">
        <f t="shared" si="31"/>
        <v>0</v>
      </c>
      <c r="K188" s="272">
        <f>IF(ISTEXT($M$4),"",SUM(I$50:I188))</f>
        <v>0</v>
      </c>
      <c r="L188" s="272">
        <f>IF(ISTEXT($M$4),"",SUM(J$50:J188))</f>
        <v>0</v>
      </c>
      <c r="M188" s="271">
        <f t="shared" si="32"/>
        <v>0</v>
      </c>
      <c r="N188" s="291" t="e">
        <f>IF(C188='Operating Assumptions'!$C$48,"Construction Finish","")</f>
        <v>#N/A</v>
      </c>
      <c r="O188" s="291"/>
      <c r="P188" s="291"/>
      <c r="Q188" s="291"/>
      <c r="R188" s="291"/>
      <c r="S188" s="291"/>
      <c r="T188" s="291"/>
      <c r="U188" s="291"/>
      <c r="V188" s="292"/>
      <c r="W188" s="292"/>
      <c r="X188" s="292"/>
      <c r="Y188" s="291"/>
      <c r="Z188" s="279"/>
      <c r="AA188" s="279"/>
      <c r="AB188" s="279"/>
    </row>
    <row r="189" spans="2:28" s="278" customFormat="1" ht="11.65" hidden="1" customHeight="1" outlineLevel="1" x14ac:dyDescent="0.25">
      <c r="B189" s="270" t="e">
        <f>IF(AND($C189&gt;='TIF Loan Amortization'!$H$480,$C189&lt;='TIF Loan Amortization'!$I$480),'TIF Loan Amortization'!$G$480,IF(AND($C189&gt;='TIF Loan Amortization'!$H$481,$C189&lt;='TIF Loan Amortization'!I$481),'TIF Loan Amortization'!$G$481,IF(AND($C189&gt;='TIF Loan Amortization'!$H$482,$C189&lt;='TIF Loan Amortization'!I$482),'TIF Loan Amortization'!$G$482,IF(AND($C189&gt;='TIF Loan Amortization'!$H$483,$C189&lt;='TIF Loan Amortization'!I$483),'TIF Loan Amortization'!$G$483,IF(AND($C189&gt;='TIF Loan Amortization'!$H$484,$C189&lt;='TIF Loan Amortization'!I$484),'TIF Loan Amortization'!$G$484,IF(AND($C189&gt;='TIF Loan Amortization'!$H$485,$C189&lt;='TIF Loan Amortization'!I$485),'TIF Loan Amortization'!$G$485,IF(AND($C189&gt;='TIF Loan Amortization'!$H$486,$C189&lt;='TIF Loan Amortization'!I$486),'TIF Loan Amortization'!$G$486,IF(AND($C189&gt;='TIF Loan Amortization'!$H$487,$C189&lt;='TIF Loan Amortization'!I$487),'TIF Loan Amortization'!$G$487,IF(AND($C189&gt;='TIF Loan Amortization'!$H$488,$C189&lt;='TIF Loan Amortization'!I$488),'TIF Loan Amortization'!$G$488,IF(AND($C189&gt;='TIF Loan Amortization'!$H$489,$C189&lt;='TIF Loan Amortization'!I$489),'TIF Loan Amortization'!$G$489,IF(AND($C189&gt;='TIF Loan Amortization'!$H$490,$C189&lt;='TIF Loan Amortization'!I$490),'TIF Loan Amortization'!$G$490,IF(AND($C189&gt;='TIF Loan Amortization'!$H$491,$C189&lt;='TIF Loan Amortization'!I$491),'TIF Loan Amortization'!$G$491,IF(AND($C189&gt;='TIF Loan Amortization'!$H$492,$C189&lt;='TIF Loan Amortization'!I$492),'TIF Loan Amortization'!$G$492,IF(AND($C189&gt;='TIF Loan Amortization'!$H$493,$C189&lt;='TIF Loan Amortization'!I$493),'TIF Loan Amortization'!$G$493,IF(AND($C189&gt;='TIF Loan Amortization'!$H$494,$C189&lt;='TIF Loan Amortization'!I$494),'TIF Loan Amortization'!$G$494,IF(AND($C189&gt;='TIF Loan Amortization'!$H$495,$C189&lt;='TIF Loan Amortization'!I$495),'TIF Loan Amortization'!$G$495,IF(AND($C189&gt;='TIF Loan Amortization'!$H$496,$C189&lt;='TIF Loan Amortization'!I$496),'TIF Loan Amortization'!$G$496,IF(AND($C189&gt;='TIF Loan Amortization'!$H$497,$C189&lt;='TIF Loan Amortization'!I$497),'TIF Loan Amortization'!$G$497,IF(AND($C189&gt;='TIF Loan Amortization'!$H$498,$C189&lt;='TIF Loan Amortization'!I$498),'TIF Loan Amortization'!$G$498,IF(AND($C189&gt;='TIF Loan Amortization'!$H$499,$C189&lt;='TIF Loan Amortization'!I$499),'TIF Loan Amortization'!$G$499,IF(AND($C189&gt;='TIF Loan Amortization'!$H$500,$C189&lt;='TIF Loan Amortization'!I$500),'TIF Loan Amortization'!$G$500,IF(AND($C189&gt;='TIF Loan Amortization'!$H$501,$C189&lt;='TIF Loan Amortization'!I$501),'TIF Loan Amortization'!$G$501,IF(AND($C189&gt;='TIF Loan Amortization'!$H$502,$C189&lt;='TIF Loan Amortization'!I$502),'TIF Loan Amortization'!$G$502,IF(AND($C189&gt;='TIF Loan Amortization'!$H$503,$C189&lt;='TIF Loan Amortization'!I$503),'TIF Loan Amortization'!$G$503,IF(AND($C189&gt;='TIF Loan Amortization'!$H$504,$C189&lt;='TIF Loan Amortization'!I$504),'TIF Loan Amortization'!$G$504,IF(AND($C189&gt;='TIF Loan Amortization'!$H$505,$C189&lt;='TIF Loan Amortization'!I$505),'TIF Loan Amortization'!$G$505,IF(AND($C189&gt;='TIF Loan Amortization'!$H$506,$C189&lt;='TIF Loan Amortization'!I$506),'TIF Loan Amortization'!$G$506,IF(AND($C189&gt;='TIF Loan Amortization'!$H$507,$C189&lt;='TIF Loan Amortization'!I$507),'TIF Loan Amortization'!$G$507,IF(AND($C189&gt;='TIF Loan Amortization'!$H$508,$C189&lt;='TIF Loan Amortization'!I$508),'TIF Loan Amortization'!$G$508,IF(AND($C189&gt;='TIF Loan Amortization'!$H$509,$C189&lt;='TIF Loan Amortization'!I$509),'TIF Loan Amortization'!$G$509,IF(AND($C189&gt;='TIF Loan Amortization'!$H$510,$C189&lt;='TIF Loan Amortization'!I$510),'TIF Loan Amortization'!$G$510,IF(AND($C189&gt;='TIF Loan Amortization'!$H$511,$C189&lt;='TIF Loan Amortization'!I$511),'TIF Loan Amortization'!$G$511,IF(AND($C189&gt;='TIF Loan Amortization'!$H$512,$C189&lt;='TIF Loan Amortization'!I$512),'TIF Loan Amortization'!$G$512,IF(AND($C189&gt;='TIF Loan Amortization'!$H$513,$C189&lt;='TIF Loan Amortization'!I$513),'TIF Loan Amortization'!$G$513,IF(AND($C189&gt;='TIF Loan Amortization'!$H$514,$C189&lt;='TIF Loan Amortization'!I$514),'TIF Loan Amortization'!$G$514,IF(AND($C189&gt;='TIF Loan Amortization'!$H$515,$C189&lt;='TIF Loan Amortization'!I$515),'TIF Loan Amortization'!$G$515,IF(AND($C189&gt;='TIF Loan Amortization'!$H$516,$C189&lt;='TIF Loan Amortization'!I$516),'TIF Loan Amortization'!$G$516,IF(AND($C189&gt;='TIF Loan Amortization'!$H$517,$C189&lt;='TIF Loan Amortization'!I$517),'TIF Loan Amortization'!$G$517,IF(AND($C189&gt;='TIF Loan Amortization'!$H$518,$C189&lt;='TIF Loan Amortization'!I$518),'TIF Loan Amortization'!$G$518,IF(AND($C189&gt;='TIF Loan Amortization'!$H$519,$C189&lt;='TIF Loan Amortization'!I$519),'TIF Loan Amortization'!$G$519))))))))))))))))))))))))))))))))))))))))</f>
        <v>#N/A</v>
      </c>
      <c r="C189" s="269" t="e">
        <f t="shared" si="29"/>
        <v>#N/A</v>
      </c>
      <c r="D189" s="281" t="str">
        <f t="shared" si="35"/>
        <v/>
      </c>
      <c r="E189" s="274">
        <v>139</v>
      </c>
      <c r="F189" s="275" t="str">
        <f>VLOOKUP($AG$429,$AE$422:$AF$433,2)</f>
        <v>Oct</v>
      </c>
      <c r="G189" s="272">
        <f t="shared" si="30"/>
        <v>0</v>
      </c>
      <c r="H189" s="272">
        <f t="shared" si="33"/>
        <v>0</v>
      </c>
      <c r="I189" s="272">
        <f t="shared" si="34"/>
        <v>0</v>
      </c>
      <c r="J189" s="272">
        <f t="shared" si="31"/>
        <v>0</v>
      </c>
      <c r="K189" s="272">
        <f>IF(ISTEXT($M$4),"",SUM(I$50:I189))</f>
        <v>0</v>
      </c>
      <c r="L189" s="272">
        <f>IF(ISTEXT($M$4),"",SUM(J$50:J189))</f>
        <v>0</v>
      </c>
      <c r="M189" s="271">
        <f t="shared" si="32"/>
        <v>0</v>
      </c>
      <c r="N189" s="291" t="e">
        <f>IF(C189='Operating Assumptions'!$C$48,"Construction Finish","")</f>
        <v>#N/A</v>
      </c>
      <c r="O189" s="291"/>
      <c r="P189" s="291"/>
      <c r="Q189" s="291"/>
      <c r="R189" s="291"/>
      <c r="S189" s="291"/>
      <c r="T189" s="291"/>
      <c r="U189" s="291"/>
      <c r="V189" s="292"/>
      <c r="W189" s="292"/>
      <c r="X189" s="292"/>
      <c r="Y189" s="291"/>
      <c r="Z189" s="279"/>
      <c r="AA189" s="279"/>
      <c r="AB189" s="279"/>
    </row>
    <row r="190" spans="2:28" s="278" customFormat="1" ht="11.65" hidden="1" customHeight="1" outlineLevel="1" x14ac:dyDescent="0.25">
      <c r="B190" s="270" t="e">
        <f>IF(AND($C190&gt;='TIF Loan Amortization'!$H$480,$C190&lt;='TIF Loan Amortization'!$I$480),'TIF Loan Amortization'!$G$480,IF(AND($C190&gt;='TIF Loan Amortization'!$H$481,$C190&lt;='TIF Loan Amortization'!I$481),'TIF Loan Amortization'!$G$481,IF(AND($C190&gt;='TIF Loan Amortization'!$H$482,$C190&lt;='TIF Loan Amortization'!I$482),'TIF Loan Amortization'!$G$482,IF(AND($C190&gt;='TIF Loan Amortization'!$H$483,$C190&lt;='TIF Loan Amortization'!I$483),'TIF Loan Amortization'!$G$483,IF(AND($C190&gt;='TIF Loan Amortization'!$H$484,$C190&lt;='TIF Loan Amortization'!I$484),'TIF Loan Amortization'!$G$484,IF(AND($C190&gt;='TIF Loan Amortization'!$H$485,$C190&lt;='TIF Loan Amortization'!I$485),'TIF Loan Amortization'!$G$485,IF(AND($C190&gt;='TIF Loan Amortization'!$H$486,$C190&lt;='TIF Loan Amortization'!I$486),'TIF Loan Amortization'!$G$486,IF(AND($C190&gt;='TIF Loan Amortization'!$H$487,$C190&lt;='TIF Loan Amortization'!I$487),'TIF Loan Amortization'!$G$487,IF(AND($C190&gt;='TIF Loan Amortization'!$H$488,$C190&lt;='TIF Loan Amortization'!I$488),'TIF Loan Amortization'!$G$488,IF(AND($C190&gt;='TIF Loan Amortization'!$H$489,$C190&lt;='TIF Loan Amortization'!I$489),'TIF Loan Amortization'!$G$489,IF(AND($C190&gt;='TIF Loan Amortization'!$H$490,$C190&lt;='TIF Loan Amortization'!I$490),'TIF Loan Amortization'!$G$490,IF(AND($C190&gt;='TIF Loan Amortization'!$H$491,$C190&lt;='TIF Loan Amortization'!I$491),'TIF Loan Amortization'!$G$491,IF(AND($C190&gt;='TIF Loan Amortization'!$H$492,$C190&lt;='TIF Loan Amortization'!I$492),'TIF Loan Amortization'!$G$492,IF(AND($C190&gt;='TIF Loan Amortization'!$H$493,$C190&lt;='TIF Loan Amortization'!I$493),'TIF Loan Amortization'!$G$493,IF(AND($C190&gt;='TIF Loan Amortization'!$H$494,$C190&lt;='TIF Loan Amortization'!I$494),'TIF Loan Amortization'!$G$494,IF(AND($C190&gt;='TIF Loan Amortization'!$H$495,$C190&lt;='TIF Loan Amortization'!I$495),'TIF Loan Amortization'!$G$495,IF(AND($C190&gt;='TIF Loan Amortization'!$H$496,$C190&lt;='TIF Loan Amortization'!I$496),'TIF Loan Amortization'!$G$496,IF(AND($C190&gt;='TIF Loan Amortization'!$H$497,$C190&lt;='TIF Loan Amortization'!I$497),'TIF Loan Amortization'!$G$497,IF(AND($C190&gt;='TIF Loan Amortization'!$H$498,$C190&lt;='TIF Loan Amortization'!I$498),'TIF Loan Amortization'!$G$498,IF(AND($C190&gt;='TIF Loan Amortization'!$H$499,$C190&lt;='TIF Loan Amortization'!I$499),'TIF Loan Amortization'!$G$499,IF(AND($C190&gt;='TIF Loan Amortization'!$H$500,$C190&lt;='TIF Loan Amortization'!I$500),'TIF Loan Amortization'!$G$500,IF(AND($C190&gt;='TIF Loan Amortization'!$H$501,$C190&lt;='TIF Loan Amortization'!I$501),'TIF Loan Amortization'!$G$501,IF(AND($C190&gt;='TIF Loan Amortization'!$H$502,$C190&lt;='TIF Loan Amortization'!I$502),'TIF Loan Amortization'!$G$502,IF(AND($C190&gt;='TIF Loan Amortization'!$H$503,$C190&lt;='TIF Loan Amortization'!I$503),'TIF Loan Amortization'!$G$503,IF(AND($C190&gt;='TIF Loan Amortization'!$H$504,$C190&lt;='TIF Loan Amortization'!I$504),'TIF Loan Amortization'!$G$504,IF(AND($C190&gt;='TIF Loan Amortization'!$H$505,$C190&lt;='TIF Loan Amortization'!I$505),'TIF Loan Amortization'!$G$505,IF(AND($C190&gt;='TIF Loan Amortization'!$H$506,$C190&lt;='TIF Loan Amortization'!I$506),'TIF Loan Amortization'!$G$506,IF(AND($C190&gt;='TIF Loan Amortization'!$H$507,$C190&lt;='TIF Loan Amortization'!I$507),'TIF Loan Amortization'!$G$507,IF(AND($C190&gt;='TIF Loan Amortization'!$H$508,$C190&lt;='TIF Loan Amortization'!I$508),'TIF Loan Amortization'!$G$508,IF(AND($C190&gt;='TIF Loan Amortization'!$H$509,$C190&lt;='TIF Loan Amortization'!I$509),'TIF Loan Amortization'!$G$509,IF(AND($C190&gt;='TIF Loan Amortization'!$H$510,$C190&lt;='TIF Loan Amortization'!I$510),'TIF Loan Amortization'!$G$510,IF(AND($C190&gt;='TIF Loan Amortization'!$H$511,$C190&lt;='TIF Loan Amortization'!I$511),'TIF Loan Amortization'!$G$511,IF(AND($C190&gt;='TIF Loan Amortization'!$H$512,$C190&lt;='TIF Loan Amortization'!I$512),'TIF Loan Amortization'!$G$512,IF(AND($C190&gt;='TIF Loan Amortization'!$H$513,$C190&lt;='TIF Loan Amortization'!I$513),'TIF Loan Amortization'!$G$513,IF(AND($C190&gt;='TIF Loan Amortization'!$H$514,$C190&lt;='TIF Loan Amortization'!I$514),'TIF Loan Amortization'!$G$514,IF(AND($C190&gt;='TIF Loan Amortization'!$H$515,$C190&lt;='TIF Loan Amortization'!I$515),'TIF Loan Amortization'!$G$515,IF(AND($C190&gt;='TIF Loan Amortization'!$H$516,$C190&lt;='TIF Loan Amortization'!I$516),'TIF Loan Amortization'!$G$516,IF(AND($C190&gt;='TIF Loan Amortization'!$H$517,$C190&lt;='TIF Loan Amortization'!I$517),'TIF Loan Amortization'!$G$517,IF(AND($C190&gt;='TIF Loan Amortization'!$H$518,$C190&lt;='TIF Loan Amortization'!I$518),'TIF Loan Amortization'!$G$518,IF(AND($C190&gt;='TIF Loan Amortization'!$H$519,$C190&lt;='TIF Loan Amortization'!I$519),'TIF Loan Amortization'!$G$519))))))))))))))))))))))))))))))))))))))))</f>
        <v>#N/A</v>
      </c>
      <c r="C190" s="269" t="e">
        <f t="shared" si="29"/>
        <v>#N/A</v>
      </c>
      <c r="D190" s="281" t="str">
        <f t="shared" si="35"/>
        <v/>
      </c>
      <c r="E190" s="274">
        <v>140</v>
      </c>
      <c r="F190" s="275" t="str">
        <f>VLOOKUP($AG$430,$AE$422:$AF$433,2)</f>
        <v>Nov</v>
      </c>
      <c r="G190" s="272">
        <f t="shared" si="30"/>
        <v>0</v>
      </c>
      <c r="H190" s="272">
        <f t="shared" si="33"/>
        <v>0</v>
      </c>
      <c r="I190" s="272">
        <f t="shared" si="34"/>
        <v>0</v>
      </c>
      <c r="J190" s="272">
        <f t="shared" si="31"/>
        <v>0</v>
      </c>
      <c r="K190" s="272">
        <f>IF(ISTEXT($M$4),"",SUM(I$50:I190))</f>
        <v>0</v>
      </c>
      <c r="L190" s="272">
        <f>IF(ISTEXT($M$4),"",SUM(J$50:J190))</f>
        <v>0</v>
      </c>
      <c r="M190" s="271">
        <f t="shared" si="32"/>
        <v>0</v>
      </c>
      <c r="N190" s="291" t="e">
        <f>IF(C190='Operating Assumptions'!$C$48,"Construction Finish","")</f>
        <v>#N/A</v>
      </c>
      <c r="O190" s="291"/>
      <c r="P190" s="291"/>
      <c r="Q190" s="291"/>
      <c r="R190" s="291"/>
      <c r="S190" s="291"/>
      <c r="T190" s="291"/>
      <c r="U190" s="291"/>
      <c r="V190" s="292"/>
      <c r="W190" s="292"/>
      <c r="X190" s="292"/>
      <c r="Y190" s="291"/>
      <c r="Z190" s="279"/>
      <c r="AA190" s="279"/>
      <c r="AB190" s="279"/>
    </row>
    <row r="191" spans="2:28" s="278" customFormat="1" ht="11.65" hidden="1" customHeight="1" outlineLevel="1" x14ac:dyDescent="0.25">
      <c r="B191" s="270" t="e">
        <f>IF(AND($C191&gt;='TIF Loan Amortization'!$H$480,$C191&lt;='TIF Loan Amortization'!$I$480),'TIF Loan Amortization'!$G$480,IF(AND($C191&gt;='TIF Loan Amortization'!$H$481,$C191&lt;='TIF Loan Amortization'!I$481),'TIF Loan Amortization'!$G$481,IF(AND($C191&gt;='TIF Loan Amortization'!$H$482,$C191&lt;='TIF Loan Amortization'!I$482),'TIF Loan Amortization'!$G$482,IF(AND($C191&gt;='TIF Loan Amortization'!$H$483,$C191&lt;='TIF Loan Amortization'!I$483),'TIF Loan Amortization'!$G$483,IF(AND($C191&gt;='TIF Loan Amortization'!$H$484,$C191&lt;='TIF Loan Amortization'!I$484),'TIF Loan Amortization'!$G$484,IF(AND($C191&gt;='TIF Loan Amortization'!$H$485,$C191&lt;='TIF Loan Amortization'!I$485),'TIF Loan Amortization'!$G$485,IF(AND($C191&gt;='TIF Loan Amortization'!$H$486,$C191&lt;='TIF Loan Amortization'!I$486),'TIF Loan Amortization'!$G$486,IF(AND($C191&gt;='TIF Loan Amortization'!$H$487,$C191&lt;='TIF Loan Amortization'!I$487),'TIF Loan Amortization'!$G$487,IF(AND($C191&gt;='TIF Loan Amortization'!$H$488,$C191&lt;='TIF Loan Amortization'!I$488),'TIF Loan Amortization'!$G$488,IF(AND($C191&gt;='TIF Loan Amortization'!$H$489,$C191&lt;='TIF Loan Amortization'!I$489),'TIF Loan Amortization'!$G$489,IF(AND($C191&gt;='TIF Loan Amortization'!$H$490,$C191&lt;='TIF Loan Amortization'!I$490),'TIF Loan Amortization'!$G$490,IF(AND($C191&gt;='TIF Loan Amortization'!$H$491,$C191&lt;='TIF Loan Amortization'!I$491),'TIF Loan Amortization'!$G$491,IF(AND($C191&gt;='TIF Loan Amortization'!$H$492,$C191&lt;='TIF Loan Amortization'!I$492),'TIF Loan Amortization'!$G$492,IF(AND($C191&gt;='TIF Loan Amortization'!$H$493,$C191&lt;='TIF Loan Amortization'!I$493),'TIF Loan Amortization'!$G$493,IF(AND($C191&gt;='TIF Loan Amortization'!$H$494,$C191&lt;='TIF Loan Amortization'!I$494),'TIF Loan Amortization'!$G$494,IF(AND($C191&gt;='TIF Loan Amortization'!$H$495,$C191&lt;='TIF Loan Amortization'!I$495),'TIF Loan Amortization'!$G$495,IF(AND($C191&gt;='TIF Loan Amortization'!$H$496,$C191&lt;='TIF Loan Amortization'!I$496),'TIF Loan Amortization'!$G$496,IF(AND($C191&gt;='TIF Loan Amortization'!$H$497,$C191&lt;='TIF Loan Amortization'!I$497),'TIF Loan Amortization'!$G$497,IF(AND($C191&gt;='TIF Loan Amortization'!$H$498,$C191&lt;='TIF Loan Amortization'!I$498),'TIF Loan Amortization'!$G$498,IF(AND($C191&gt;='TIF Loan Amortization'!$H$499,$C191&lt;='TIF Loan Amortization'!I$499),'TIF Loan Amortization'!$G$499,IF(AND($C191&gt;='TIF Loan Amortization'!$H$500,$C191&lt;='TIF Loan Amortization'!I$500),'TIF Loan Amortization'!$G$500,IF(AND($C191&gt;='TIF Loan Amortization'!$H$501,$C191&lt;='TIF Loan Amortization'!I$501),'TIF Loan Amortization'!$G$501,IF(AND($C191&gt;='TIF Loan Amortization'!$H$502,$C191&lt;='TIF Loan Amortization'!I$502),'TIF Loan Amortization'!$G$502,IF(AND($C191&gt;='TIF Loan Amortization'!$H$503,$C191&lt;='TIF Loan Amortization'!I$503),'TIF Loan Amortization'!$G$503,IF(AND($C191&gt;='TIF Loan Amortization'!$H$504,$C191&lt;='TIF Loan Amortization'!I$504),'TIF Loan Amortization'!$G$504,IF(AND($C191&gt;='TIF Loan Amortization'!$H$505,$C191&lt;='TIF Loan Amortization'!I$505),'TIF Loan Amortization'!$G$505,IF(AND($C191&gt;='TIF Loan Amortization'!$H$506,$C191&lt;='TIF Loan Amortization'!I$506),'TIF Loan Amortization'!$G$506,IF(AND($C191&gt;='TIF Loan Amortization'!$H$507,$C191&lt;='TIF Loan Amortization'!I$507),'TIF Loan Amortization'!$G$507,IF(AND($C191&gt;='TIF Loan Amortization'!$H$508,$C191&lt;='TIF Loan Amortization'!I$508),'TIF Loan Amortization'!$G$508,IF(AND($C191&gt;='TIF Loan Amortization'!$H$509,$C191&lt;='TIF Loan Amortization'!I$509),'TIF Loan Amortization'!$G$509,IF(AND($C191&gt;='TIF Loan Amortization'!$H$510,$C191&lt;='TIF Loan Amortization'!I$510),'TIF Loan Amortization'!$G$510,IF(AND($C191&gt;='TIF Loan Amortization'!$H$511,$C191&lt;='TIF Loan Amortization'!I$511),'TIF Loan Amortization'!$G$511,IF(AND($C191&gt;='TIF Loan Amortization'!$H$512,$C191&lt;='TIF Loan Amortization'!I$512),'TIF Loan Amortization'!$G$512,IF(AND($C191&gt;='TIF Loan Amortization'!$H$513,$C191&lt;='TIF Loan Amortization'!I$513),'TIF Loan Amortization'!$G$513,IF(AND($C191&gt;='TIF Loan Amortization'!$H$514,$C191&lt;='TIF Loan Amortization'!I$514),'TIF Loan Amortization'!$G$514,IF(AND($C191&gt;='TIF Loan Amortization'!$H$515,$C191&lt;='TIF Loan Amortization'!I$515),'TIF Loan Amortization'!$G$515,IF(AND($C191&gt;='TIF Loan Amortization'!$H$516,$C191&lt;='TIF Loan Amortization'!I$516),'TIF Loan Amortization'!$G$516,IF(AND($C191&gt;='TIF Loan Amortization'!$H$517,$C191&lt;='TIF Loan Amortization'!I$517),'TIF Loan Amortization'!$G$517,IF(AND($C191&gt;='TIF Loan Amortization'!$H$518,$C191&lt;='TIF Loan Amortization'!I$518),'TIF Loan Amortization'!$G$518,IF(AND($C191&gt;='TIF Loan Amortization'!$H$519,$C191&lt;='TIF Loan Amortization'!I$519),'TIF Loan Amortization'!$G$519))))))))))))))))))))))))))))))))))))))))</f>
        <v>#N/A</v>
      </c>
      <c r="C191" s="269" t="e">
        <f t="shared" si="29"/>
        <v>#N/A</v>
      </c>
      <c r="D191" s="281" t="str">
        <f t="shared" si="35"/>
        <v/>
      </c>
      <c r="E191" s="274">
        <v>141</v>
      </c>
      <c r="F191" s="275" t="str">
        <f>VLOOKUP($AG$431,$AE$422:$AF$433,2)</f>
        <v>Dec</v>
      </c>
      <c r="G191" s="272">
        <f t="shared" si="30"/>
        <v>0</v>
      </c>
      <c r="H191" s="272">
        <f t="shared" si="33"/>
        <v>0</v>
      </c>
      <c r="I191" s="272">
        <f t="shared" si="34"/>
        <v>0</v>
      </c>
      <c r="J191" s="272">
        <f t="shared" si="31"/>
        <v>0</v>
      </c>
      <c r="K191" s="272">
        <f>IF(ISTEXT($M$4),"",SUM(I$50:I191))</f>
        <v>0</v>
      </c>
      <c r="L191" s="272">
        <f>IF(ISTEXT($M$4),"",SUM(J$50:J191))</f>
        <v>0</v>
      </c>
      <c r="M191" s="271">
        <f t="shared" si="32"/>
        <v>0</v>
      </c>
      <c r="N191" s="291" t="e">
        <f>IF(C191='Operating Assumptions'!$C$48,"Construction Finish","")</f>
        <v>#N/A</v>
      </c>
      <c r="O191" s="291"/>
      <c r="P191" s="291"/>
      <c r="Q191" s="291"/>
      <c r="R191" s="291"/>
      <c r="S191" s="291"/>
      <c r="T191" s="291"/>
      <c r="U191" s="291"/>
      <c r="V191" s="292"/>
      <c r="W191" s="292"/>
      <c r="X191" s="292"/>
      <c r="Y191" s="291"/>
      <c r="Z191" s="279"/>
      <c r="AA191" s="279"/>
      <c r="AB191" s="279"/>
    </row>
    <row r="192" spans="2:28" s="278" customFormat="1" ht="11.65" hidden="1" customHeight="1" outlineLevel="1" x14ac:dyDescent="0.25">
      <c r="B192" s="270" t="e">
        <f>IF(AND($C192&gt;='TIF Loan Amortization'!$H$480,$C192&lt;='TIF Loan Amortization'!$I$480),'TIF Loan Amortization'!$G$480,IF(AND($C192&gt;='TIF Loan Amortization'!$H$481,$C192&lt;='TIF Loan Amortization'!I$481),'TIF Loan Amortization'!$G$481,IF(AND($C192&gt;='TIF Loan Amortization'!$H$482,$C192&lt;='TIF Loan Amortization'!I$482),'TIF Loan Amortization'!$G$482,IF(AND($C192&gt;='TIF Loan Amortization'!$H$483,$C192&lt;='TIF Loan Amortization'!I$483),'TIF Loan Amortization'!$G$483,IF(AND($C192&gt;='TIF Loan Amortization'!$H$484,$C192&lt;='TIF Loan Amortization'!I$484),'TIF Loan Amortization'!$G$484,IF(AND($C192&gt;='TIF Loan Amortization'!$H$485,$C192&lt;='TIF Loan Amortization'!I$485),'TIF Loan Amortization'!$G$485,IF(AND($C192&gt;='TIF Loan Amortization'!$H$486,$C192&lt;='TIF Loan Amortization'!I$486),'TIF Loan Amortization'!$G$486,IF(AND($C192&gt;='TIF Loan Amortization'!$H$487,$C192&lt;='TIF Loan Amortization'!I$487),'TIF Loan Amortization'!$G$487,IF(AND($C192&gt;='TIF Loan Amortization'!$H$488,$C192&lt;='TIF Loan Amortization'!I$488),'TIF Loan Amortization'!$G$488,IF(AND($C192&gt;='TIF Loan Amortization'!$H$489,$C192&lt;='TIF Loan Amortization'!I$489),'TIF Loan Amortization'!$G$489,IF(AND($C192&gt;='TIF Loan Amortization'!$H$490,$C192&lt;='TIF Loan Amortization'!I$490),'TIF Loan Amortization'!$G$490,IF(AND($C192&gt;='TIF Loan Amortization'!$H$491,$C192&lt;='TIF Loan Amortization'!I$491),'TIF Loan Amortization'!$G$491,IF(AND($C192&gt;='TIF Loan Amortization'!$H$492,$C192&lt;='TIF Loan Amortization'!I$492),'TIF Loan Amortization'!$G$492,IF(AND($C192&gt;='TIF Loan Amortization'!$H$493,$C192&lt;='TIF Loan Amortization'!I$493),'TIF Loan Amortization'!$G$493,IF(AND($C192&gt;='TIF Loan Amortization'!$H$494,$C192&lt;='TIF Loan Amortization'!I$494),'TIF Loan Amortization'!$G$494,IF(AND($C192&gt;='TIF Loan Amortization'!$H$495,$C192&lt;='TIF Loan Amortization'!I$495),'TIF Loan Amortization'!$G$495,IF(AND($C192&gt;='TIF Loan Amortization'!$H$496,$C192&lt;='TIF Loan Amortization'!I$496),'TIF Loan Amortization'!$G$496,IF(AND($C192&gt;='TIF Loan Amortization'!$H$497,$C192&lt;='TIF Loan Amortization'!I$497),'TIF Loan Amortization'!$G$497,IF(AND($C192&gt;='TIF Loan Amortization'!$H$498,$C192&lt;='TIF Loan Amortization'!I$498),'TIF Loan Amortization'!$G$498,IF(AND($C192&gt;='TIF Loan Amortization'!$H$499,$C192&lt;='TIF Loan Amortization'!I$499),'TIF Loan Amortization'!$G$499,IF(AND($C192&gt;='TIF Loan Amortization'!$H$500,$C192&lt;='TIF Loan Amortization'!I$500),'TIF Loan Amortization'!$G$500,IF(AND($C192&gt;='TIF Loan Amortization'!$H$501,$C192&lt;='TIF Loan Amortization'!I$501),'TIF Loan Amortization'!$G$501,IF(AND($C192&gt;='TIF Loan Amortization'!$H$502,$C192&lt;='TIF Loan Amortization'!I$502),'TIF Loan Amortization'!$G$502,IF(AND($C192&gt;='TIF Loan Amortization'!$H$503,$C192&lt;='TIF Loan Amortization'!I$503),'TIF Loan Amortization'!$G$503,IF(AND($C192&gt;='TIF Loan Amortization'!$H$504,$C192&lt;='TIF Loan Amortization'!I$504),'TIF Loan Amortization'!$G$504,IF(AND($C192&gt;='TIF Loan Amortization'!$H$505,$C192&lt;='TIF Loan Amortization'!I$505),'TIF Loan Amortization'!$G$505,IF(AND($C192&gt;='TIF Loan Amortization'!$H$506,$C192&lt;='TIF Loan Amortization'!I$506),'TIF Loan Amortization'!$G$506,IF(AND($C192&gt;='TIF Loan Amortization'!$H$507,$C192&lt;='TIF Loan Amortization'!I$507),'TIF Loan Amortization'!$G$507,IF(AND($C192&gt;='TIF Loan Amortization'!$H$508,$C192&lt;='TIF Loan Amortization'!I$508),'TIF Loan Amortization'!$G$508,IF(AND($C192&gt;='TIF Loan Amortization'!$H$509,$C192&lt;='TIF Loan Amortization'!I$509),'TIF Loan Amortization'!$G$509,IF(AND($C192&gt;='TIF Loan Amortization'!$H$510,$C192&lt;='TIF Loan Amortization'!I$510),'TIF Loan Amortization'!$G$510,IF(AND($C192&gt;='TIF Loan Amortization'!$H$511,$C192&lt;='TIF Loan Amortization'!I$511),'TIF Loan Amortization'!$G$511,IF(AND($C192&gt;='TIF Loan Amortization'!$H$512,$C192&lt;='TIF Loan Amortization'!I$512),'TIF Loan Amortization'!$G$512,IF(AND($C192&gt;='TIF Loan Amortization'!$H$513,$C192&lt;='TIF Loan Amortization'!I$513),'TIF Loan Amortization'!$G$513,IF(AND($C192&gt;='TIF Loan Amortization'!$H$514,$C192&lt;='TIF Loan Amortization'!I$514),'TIF Loan Amortization'!$G$514,IF(AND($C192&gt;='TIF Loan Amortization'!$H$515,$C192&lt;='TIF Loan Amortization'!I$515),'TIF Loan Amortization'!$G$515,IF(AND($C192&gt;='TIF Loan Amortization'!$H$516,$C192&lt;='TIF Loan Amortization'!I$516),'TIF Loan Amortization'!$G$516,IF(AND($C192&gt;='TIF Loan Amortization'!$H$517,$C192&lt;='TIF Loan Amortization'!I$517),'TIF Loan Amortization'!$G$517,IF(AND($C192&gt;='TIF Loan Amortization'!$H$518,$C192&lt;='TIF Loan Amortization'!I$518),'TIF Loan Amortization'!$G$518,IF(AND($C192&gt;='TIF Loan Amortization'!$H$519,$C192&lt;='TIF Loan Amortization'!I$519),'TIF Loan Amortization'!$G$519))))))))))))))))))))))))))))))))))))))))</f>
        <v>#N/A</v>
      </c>
      <c r="C192" s="269" t="e">
        <f t="shared" si="29"/>
        <v>#N/A</v>
      </c>
      <c r="D192" s="281">
        <f t="shared" si="35"/>
        <v>2037</v>
      </c>
      <c r="E192" s="274">
        <v>142</v>
      </c>
      <c r="F192" s="273" t="str">
        <f>VLOOKUP($AG$432,$AE$422:$AF$433,2)</f>
        <v>Jan</v>
      </c>
      <c r="G192" s="272">
        <f t="shared" si="30"/>
        <v>0</v>
      </c>
      <c r="H192" s="272">
        <f t="shared" si="33"/>
        <v>0</v>
      </c>
      <c r="I192" s="272">
        <f t="shared" si="34"/>
        <v>0</v>
      </c>
      <c r="J192" s="272">
        <f t="shared" si="31"/>
        <v>0</v>
      </c>
      <c r="K192" s="272">
        <f>IF(ISTEXT($M$4),"",SUM(I$50:I192))</f>
        <v>0</v>
      </c>
      <c r="L192" s="272">
        <f>IF(ISTEXT($M$4),"",SUM(J$50:J192))</f>
        <v>0</v>
      </c>
      <c r="M192" s="271">
        <f t="shared" si="32"/>
        <v>0</v>
      </c>
      <c r="N192" s="291" t="e">
        <f>IF(C192='Operating Assumptions'!$C$48,"Construction Finish","")</f>
        <v>#N/A</v>
      </c>
      <c r="O192" s="291"/>
      <c r="P192" s="291"/>
      <c r="Q192" s="291"/>
      <c r="R192" s="291"/>
      <c r="S192" s="291"/>
      <c r="T192" s="291"/>
      <c r="U192" s="291"/>
      <c r="V192" s="292"/>
      <c r="W192" s="292"/>
      <c r="X192" s="292"/>
      <c r="Y192" s="291"/>
      <c r="Z192" s="279"/>
      <c r="AA192" s="279"/>
      <c r="AB192" s="279"/>
    </row>
    <row r="193" spans="2:28" s="278" customFormat="1" ht="11.65" hidden="1" customHeight="1" outlineLevel="1" x14ac:dyDescent="0.25">
      <c r="B193" s="270" t="e">
        <f>IF(AND($C193&gt;='TIF Loan Amortization'!$H$480,$C193&lt;='TIF Loan Amortization'!$I$480),'TIF Loan Amortization'!$G$480,IF(AND($C193&gt;='TIF Loan Amortization'!$H$481,$C193&lt;='TIF Loan Amortization'!I$481),'TIF Loan Amortization'!$G$481,IF(AND($C193&gt;='TIF Loan Amortization'!$H$482,$C193&lt;='TIF Loan Amortization'!I$482),'TIF Loan Amortization'!$G$482,IF(AND($C193&gt;='TIF Loan Amortization'!$H$483,$C193&lt;='TIF Loan Amortization'!I$483),'TIF Loan Amortization'!$G$483,IF(AND($C193&gt;='TIF Loan Amortization'!$H$484,$C193&lt;='TIF Loan Amortization'!I$484),'TIF Loan Amortization'!$G$484,IF(AND($C193&gt;='TIF Loan Amortization'!$H$485,$C193&lt;='TIF Loan Amortization'!I$485),'TIF Loan Amortization'!$G$485,IF(AND($C193&gt;='TIF Loan Amortization'!$H$486,$C193&lt;='TIF Loan Amortization'!I$486),'TIF Loan Amortization'!$G$486,IF(AND($C193&gt;='TIF Loan Amortization'!$H$487,$C193&lt;='TIF Loan Amortization'!I$487),'TIF Loan Amortization'!$G$487,IF(AND($C193&gt;='TIF Loan Amortization'!$H$488,$C193&lt;='TIF Loan Amortization'!I$488),'TIF Loan Amortization'!$G$488,IF(AND($C193&gt;='TIF Loan Amortization'!$H$489,$C193&lt;='TIF Loan Amortization'!I$489),'TIF Loan Amortization'!$G$489,IF(AND($C193&gt;='TIF Loan Amortization'!$H$490,$C193&lt;='TIF Loan Amortization'!I$490),'TIF Loan Amortization'!$G$490,IF(AND($C193&gt;='TIF Loan Amortization'!$H$491,$C193&lt;='TIF Loan Amortization'!I$491),'TIF Loan Amortization'!$G$491,IF(AND($C193&gt;='TIF Loan Amortization'!$H$492,$C193&lt;='TIF Loan Amortization'!I$492),'TIF Loan Amortization'!$G$492,IF(AND($C193&gt;='TIF Loan Amortization'!$H$493,$C193&lt;='TIF Loan Amortization'!I$493),'TIF Loan Amortization'!$G$493,IF(AND($C193&gt;='TIF Loan Amortization'!$H$494,$C193&lt;='TIF Loan Amortization'!I$494),'TIF Loan Amortization'!$G$494,IF(AND($C193&gt;='TIF Loan Amortization'!$H$495,$C193&lt;='TIF Loan Amortization'!I$495),'TIF Loan Amortization'!$G$495,IF(AND($C193&gt;='TIF Loan Amortization'!$H$496,$C193&lt;='TIF Loan Amortization'!I$496),'TIF Loan Amortization'!$G$496,IF(AND($C193&gt;='TIF Loan Amortization'!$H$497,$C193&lt;='TIF Loan Amortization'!I$497),'TIF Loan Amortization'!$G$497,IF(AND($C193&gt;='TIF Loan Amortization'!$H$498,$C193&lt;='TIF Loan Amortization'!I$498),'TIF Loan Amortization'!$G$498,IF(AND($C193&gt;='TIF Loan Amortization'!$H$499,$C193&lt;='TIF Loan Amortization'!I$499),'TIF Loan Amortization'!$G$499,IF(AND($C193&gt;='TIF Loan Amortization'!$H$500,$C193&lt;='TIF Loan Amortization'!I$500),'TIF Loan Amortization'!$G$500,IF(AND($C193&gt;='TIF Loan Amortization'!$H$501,$C193&lt;='TIF Loan Amortization'!I$501),'TIF Loan Amortization'!$G$501,IF(AND($C193&gt;='TIF Loan Amortization'!$H$502,$C193&lt;='TIF Loan Amortization'!I$502),'TIF Loan Amortization'!$G$502,IF(AND($C193&gt;='TIF Loan Amortization'!$H$503,$C193&lt;='TIF Loan Amortization'!I$503),'TIF Loan Amortization'!$G$503,IF(AND($C193&gt;='TIF Loan Amortization'!$H$504,$C193&lt;='TIF Loan Amortization'!I$504),'TIF Loan Amortization'!$G$504,IF(AND($C193&gt;='TIF Loan Amortization'!$H$505,$C193&lt;='TIF Loan Amortization'!I$505),'TIF Loan Amortization'!$G$505,IF(AND($C193&gt;='TIF Loan Amortization'!$H$506,$C193&lt;='TIF Loan Amortization'!I$506),'TIF Loan Amortization'!$G$506,IF(AND($C193&gt;='TIF Loan Amortization'!$H$507,$C193&lt;='TIF Loan Amortization'!I$507),'TIF Loan Amortization'!$G$507,IF(AND($C193&gt;='TIF Loan Amortization'!$H$508,$C193&lt;='TIF Loan Amortization'!I$508),'TIF Loan Amortization'!$G$508,IF(AND($C193&gt;='TIF Loan Amortization'!$H$509,$C193&lt;='TIF Loan Amortization'!I$509),'TIF Loan Amortization'!$G$509,IF(AND($C193&gt;='TIF Loan Amortization'!$H$510,$C193&lt;='TIF Loan Amortization'!I$510),'TIF Loan Amortization'!$G$510,IF(AND($C193&gt;='TIF Loan Amortization'!$H$511,$C193&lt;='TIF Loan Amortization'!I$511),'TIF Loan Amortization'!$G$511,IF(AND($C193&gt;='TIF Loan Amortization'!$H$512,$C193&lt;='TIF Loan Amortization'!I$512),'TIF Loan Amortization'!$G$512,IF(AND($C193&gt;='TIF Loan Amortization'!$H$513,$C193&lt;='TIF Loan Amortization'!I$513),'TIF Loan Amortization'!$G$513,IF(AND($C193&gt;='TIF Loan Amortization'!$H$514,$C193&lt;='TIF Loan Amortization'!I$514),'TIF Loan Amortization'!$G$514,IF(AND($C193&gt;='TIF Loan Amortization'!$H$515,$C193&lt;='TIF Loan Amortization'!I$515),'TIF Loan Amortization'!$G$515,IF(AND($C193&gt;='TIF Loan Amortization'!$H$516,$C193&lt;='TIF Loan Amortization'!I$516),'TIF Loan Amortization'!$G$516,IF(AND($C193&gt;='TIF Loan Amortization'!$H$517,$C193&lt;='TIF Loan Amortization'!I$517),'TIF Loan Amortization'!$G$517,IF(AND($C193&gt;='TIF Loan Amortization'!$H$518,$C193&lt;='TIF Loan Amortization'!I$518),'TIF Loan Amortization'!$G$518,IF(AND($C193&gt;='TIF Loan Amortization'!$H$519,$C193&lt;='TIF Loan Amortization'!I$519),'TIF Loan Amortization'!$G$519))))))))))))))))))))))))))))))))))))))))</f>
        <v>#N/A</v>
      </c>
      <c r="C193" s="269" t="e">
        <f t="shared" si="29"/>
        <v>#N/A</v>
      </c>
      <c r="D193" s="281" t="str">
        <f t="shared" si="35"/>
        <v/>
      </c>
      <c r="E193" s="274">
        <v>143</v>
      </c>
      <c r="F193" s="273" t="str">
        <f>VLOOKUP($AG$433,$AE$422:$AF$433,2)</f>
        <v>Feb</v>
      </c>
      <c r="G193" s="272">
        <f t="shared" si="30"/>
        <v>0</v>
      </c>
      <c r="H193" s="272">
        <f t="shared" si="33"/>
        <v>0</v>
      </c>
      <c r="I193" s="272">
        <f t="shared" si="34"/>
        <v>0</v>
      </c>
      <c r="J193" s="272">
        <f t="shared" si="31"/>
        <v>0</v>
      </c>
      <c r="K193" s="272">
        <f>IF(ISTEXT($M$4),"",SUM(I$50:I193))</f>
        <v>0</v>
      </c>
      <c r="L193" s="272">
        <f>IF(ISTEXT($M$4),"",SUM(J$50:J193))</f>
        <v>0</v>
      </c>
      <c r="M193" s="271">
        <f t="shared" si="32"/>
        <v>0</v>
      </c>
      <c r="N193" s="291" t="e">
        <f>IF(C193='Operating Assumptions'!$C$48,"Construction Finish","")</f>
        <v>#N/A</v>
      </c>
      <c r="O193" s="291"/>
      <c r="P193" s="291"/>
      <c r="Q193" s="291"/>
      <c r="R193" s="291"/>
      <c r="S193" s="291"/>
      <c r="T193" s="291"/>
      <c r="U193" s="291"/>
      <c r="V193" s="292"/>
      <c r="W193" s="292"/>
      <c r="X193" s="292"/>
      <c r="Y193" s="291"/>
      <c r="Z193" s="279"/>
      <c r="AA193" s="279"/>
      <c r="AB193" s="279"/>
    </row>
    <row r="194" spans="2:28" s="278" customFormat="1" ht="11.65" hidden="1" customHeight="1" outlineLevel="1" x14ac:dyDescent="0.25">
      <c r="B194" s="270" t="e">
        <f>IF(AND($C194&gt;='TIF Loan Amortization'!$H$480,$C194&lt;='TIF Loan Amortization'!$I$480),'TIF Loan Amortization'!$G$480,IF(AND($C194&gt;='TIF Loan Amortization'!$H$481,$C194&lt;='TIF Loan Amortization'!I$481),'TIF Loan Amortization'!$G$481,IF(AND($C194&gt;='TIF Loan Amortization'!$H$482,$C194&lt;='TIF Loan Amortization'!I$482),'TIF Loan Amortization'!$G$482,IF(AND($C194&gt;='TIF Loan Amortization'!$H$483,$C194&lt;='TIF Loan Amortization'!I$483),'TIF Loan Amortization'!$G$483,IF(AND($C194&gt;='TIF Loan Amortization'!$H$484,$C194&lt;='TIF Loan Amortization'!I$484),'TIF Loan Amortization'!$G$484,IF(AND($C194&gt;='TIF Loan Amortization'!$H$485,$C194&lt;='TIF Loan Amortization'!I$485),'TIF Loan Amortization'!$G$485,IF(AND($C194&gt;='TIF Loan Amortization'!$H$486,$C194&lt;='TIF Loan Amortization'!I$486),'TIF Loan Amortization'!$G$486,IF(AND($C194&gt;='TIF Loan Amortization'!$H$487,$C194&lt;='TIF Loan Amortization'!I$487),'TIF Loan Amortization'!$G$487,IF(AND($C194&gt;='TIF Loan Amortization'!$H$488,$C194&lt;='TIF Loan Amortization'!I$488),'TIF Loan Amortization'!$G$488,IF(AND($C194&gt;='TIF Loan Amortization'!$H$489,$C194&lt;='TIF Loan Amortization'!I$489),'TIF Loan Amortization'!$G$489,IF(AND($C194&gt;='TIF Loan Amortization'!$H$490,$C194&lt;='TIF Loan Amortization'!I$490),'TIF Loan Amortization'!$G$490,IF(AND($C194&gt;='TIF Loan Amortization'!$H$491,$C194&lt;='TIF Loan Amortization'!I$491),'TIF Loan Amortization'!$G$491,IF(AND($C194&gt;='TIF Loan Amortization'!$H$492,$C194&lt;='TIF Loan Amortization'!I$492),'TIF Loan Amortization'!$G$492,IF(AND($C194&gt;='TIF Loan Amortization'!$H$493,$C194&lt;='TIF Loan Amortization'!I$493),'TIF Loan Amortization'!$G$493,IF(AND($C194&gt;='TIF Loan Amortization'!$H$494,$C194&lt;='TIF Loan Amortization'!I$494),'TIF Loan Amortization'!$G$494,IF(AND($C194&gt;='TIF Loan Amortization'!$H$495,$C194&lt;='TIF Loan Amortization'!I$495),'TIF Loan Amortization'!$G$495,IF(AND($C194&gt;='TIF Loan Amortization'!$H$496,$C194&lt;='TIF Loan Amortization'!I$496),'TIF Loan Amortization'!$G$496,IF(AND($C194&gt;='TIF Loan Amortization'!$H$497,$C194&lt;='TIF Loan Amortization'!I$497),'TIF Loan Amortization'!$G$497,IF(AND($C194&gt;='TIF Loan Amortization'!$H$498,$C194&lt;='TIF Loan Amortization'!I$498),'TIF Loan Amortization'!$G$498,IF(AND($C194&gt;='TIF Loan Amortization'!$H$499,$C194&lt;='TIF Loan Amortization'!I$499),'TIF Loan Amortization'!$G$499,IF(AND($C194&gt;='TIF Loan Amortization'!$H$500,$C194&lt;='TIF Loan Amortization'!I$500),'TIF Loan Amortization'!$G$500,IF(AND($C194&gt;='TIF Loan Amortization'!$H$501,$C194&lt;='TIF Loan Amortization'!I$501),'TIF Loan Amortization'!$G$501,IF(AND($C194&gt;='TIF Loan Amortization'!$H$502,$C194&lt;='TIF Loan Amortization'!I$502),'TIF Loan Amortization'!$G$502,IF(AND($C194&gt;='TIF Loan Amortization'!$H$503,$C194&lt;='TIF Loan Amortization'!I$503),'TIF Loan Amortization'!$G$503,IF(AND($C194&gt;='TIF Loan Amortization'!$H$504,$C194&lt;='TIF Loan Amortization'!I$504),'TIF Loan Amortization'!$G$504,IF(AND($C194&gt;='TIF Loan Amortization'!$H$505,$C194&lt;='TIF Loan Amortization'!I$505),'TIF Loan Amortization'!$G$505,IF(AND($C194&gt;='TIF Loan Amortization'!$H$506,$C194&lt;='TIF Loan Amortization'!I$506),'TIF Loan Amortization'!$G$506,IF(AND($C194&gt;='TIF Loan Amortization'!$H$507,$C194&lt;='TIF Loan Amortization'!I$507),'TIF Loan Amortization'!$G$507,IF(AND($C194&gt;='TIF Loan Amortization'!$H$508,$C194&lt;='TIF Loan Amortization'!I$508),'TIF Loan Amortization'!$G$508,IF(AND($C194&gt;='TIF Loan Amortization'!$H$509,$C194&lt;='TIF Loan Amortization'!I$509),'TIF Loan Amortization'!$G$509,IF(AND($C194&gt;='TIF Loan Amortization'!$H$510,$C194&lt;='TIF Loan Amortization'!I$510),'TIF Loan Amortization'!$G$510,IF(AND($C194&gt;='TIF Loan Amortization'!$H$511,$C194&lt;='TIF Loan Amortization'!I$511),'TIF Loan Amortization'!$G$511,IF(AND($C194&gt;='TIF Loan Amortization'!$H$512,$C194&lt;='TIF Loan Amortization'!I$512),'TIF Loan Amortization'!$G$512,IF(AND($C194&gt;='TIF Loan Amortization'!$H$513,$C194&lt;='TIF Loan Amortization'!I$513),'TIF Loan Amortization'!$G$513,IF(AND($C194&gt;='TIF Loan Amortization'!$H$514,$C194&lt;='TIF Loan Amortization'!I$514),'TIF Loan Amortization'!$G$514,IF(AND($C194&gt;='TIF Loan Amortization'!$H$515,$C194&lt;='TIF Loan Amortization'!I$515),'TIF Loan Amortization'!$G$515,IF(AND($C194&gt;='TIF Loan Amortization'!$H$516,$C194&lt;='TIF Loan Amortization'!I$516),'TIF Loan Amortization'!$G$516,IF(AND($C194&gt;='TIF Loan Amortization'!$H$517,$C194&lt;='TIF Loan Amortization'!I$517),'TIF Loan Amortization'!$G$517,IF(AND($C194&gt;='TIF Loan Amortization'!$H$518,$C194&lt;='TIF Loan Amortization'!I$518),'TIF Loan Amortization'!$G$518,IF(AND($C194&gt;='TIF Loan Amortization'!$H$519,$C194&lt;='TIF Loan Amortization'!I$519),'TIF Loan Amortization'!$G$519))))))))))))))))))))))))))))))))))))))))</f>
        <v>#N/A</v>
      </c>
      <c r="C194" s="269" t="e">
        <f t="shared" si="29"/>
        <v>#N/A</v>
      </c>
      <c r="D194" s="281" t="str">
        <f>IF($H$11="January",$H$10+12,IF($AG422=1,$H$10+13,""))</f>
        <v/>
      </c>
      <c r="E194" s="274">
        <v>144</v>
      </c>
      <c r="F194" s="273" t="str">
        <f>VLOOKUP($AG$422,$AE$422:$AF$433,2)</f>
        <v>Mar</v>
      </c>
      <c r="G194" s="272">
        <f t="shared" si="30"/>
        <v>0</v>
      </c>
      <c r="H194" s="272">
        <f t="shared" si="33"/>
        <v>0</v>
      </c>
      <c r="I194" s="272">
        <f t="shared" si="34"/>
        <v>0</v>
      </c>
      <c r="J194" s="272">
        <f t="shared" si="31"/>
        <v>0</v>
      </c>
      <c r="K194" s="272">
        <f>IF(ISTEXT($M$4),"",SUM(I$50:I194))</f>
        <v>0</v>
      </c>
      <c r="L194" s="272">
        <f>IF(ISTEXT($M$4),"",SUM(J$50:J194))</f>
        <v>0</v>
      </c>
      <c r="M194" s="271">
        <f t="shared" si="32"/>
        <v>0</v>
      </c>
      <c r="N194" s="291" t="e">
        <f>IF(C194='Operating Assumptions'!$C$48,"Construction Finish","")</f>
        <v>#N/A</v>
      </c>
      <c r="O194" s="291"/>
      <c r="P194" s="291"/>
      <c r="Q194" s="291"/>
      <c r="R194" s="291"/>
      <c r="S194" s="291"/>
      <c r="T194" s="291"/>
      <c r="U194" s="291"/>
      <c r="V194" s="292"/>
      <c r="W194" s="292"/>
      <c r="X194" s="292"/>
      <c r="Y194" s="291"/>
      <c r="Z194" s="279"/>
      <c r="AA194" s="279"/>
      <c r="AB194" s="279"/>
    </row>
    <row r="195" spans="2:28" s="278" customFormat="1" ht="11.65" hidden="1" customHeight="1" outlineLevel="1" x14ac:dyDescent="0.25">
      <c r="B195" s="270" t="e">
        <f>IF(AND($C195&gt;='TIF Loan Amortization'!$H$480,$C195&lt;='TIF Loan Amortization'!$I$480),'TIF Loan Amortization'!$G$480,IF(AND($C195&gt;='TIF Loan Amortization'!$H$481,$C195&lt;='TIF Loan Amortization'!I$481),'TIF Loan Amortization'!$G$481,IF(AND($C195&gt;='TIF Loan Amortization'!$H$482,$C195&lt;='TIF Loan Amortization'!I$482),'TIF Loan Amortization'!$G$482,IF(AND($C195&gt;='TIF Loan Amortization'!$H$483,$C195&lt;='TIF Loan Amortization'!I$483),'TIF Loan Amortization'!$G$483,IF(AND($C195&gt;='TIF Loan Amortization'!$H$484,$C195&lt;='TIF Loan Amortization'!I$484),'TIF Loan Amortization'!$G$484,IF(AND($C195&gt;='TIF Loan Amortization'!$H$485,$C195&lt;='TIF Loan Amortization'!I$485),'TIF Loan Amortization'!$G$485,IF(AND($C195&gt;='TIF Loan Amortization'!$H$486,$C195&lt;='TIF Loan Amortization'!I$486),'TIF Loan Amortization'!$G$486,IF(AND($C195&gt;='TIF Loan Amortization'!$H$487,$C195&lt;='TIF Loan Amortization'!I$487),'TIF Loan Amortization'!$G$487,IF(AND($C195&gt;='TIF Loan Amortization'!$H$488,$C195&lt;='TIF Loan Amortization'!I$488),'TIF Loan Amortization'!$G$488,IF(AND($C195&gt;='TIF Loan Amortization'!$H$489,$C195&lt;='TIF Loan Amortization'!I$489),'TIF Loan Amortization'!$G$489,IF(AND($C195&gt;='TIF Loan Amortization'!$H$490,$C195&lt;='TIF Loan Amortization'!I$490),'TIF Loan Amortization'!$G$490,IF(AND($C195&gt;='TIF Loan Amortization'!$H$491,$C195&lt;='TIF Loan Amortization'!I$491),'TIF Loan Amortization'!$G$491,IF(AND($C195&gt;='TIF Loan Amortization'!$H$492,$C195&lt;='TIF Loan Amortization'!I$492),'TIF Loan Amortization'!$G$492,IF(AND($C195&gt;='TIF Loan Amortization'!$H$493,$C195&lt;='TIF Loan Amortization'!I$493),'TIF Loan Amortization'!$G$493,IF(AND($C195&gt;='TIF Loan Amortization'!$H$494,$C195&lt;='TIF Loan Amortization'!I$494),'TIF Loan Amortization'!$G$494,IF(AND($C195&gt;='TIF Loan Amortization'!$H$495,$C195&lt;='TIF Loan Amortization'!I$495),'TIF Loan Amortization'!$G$495,IF(AND($C195&gt;='TIF Loan Amortization'!$H$496,$C195&lt;='TIF Loan Amortization'!I$496),'TIF Loan Amortization'!$G$496,IF(AND($C195&gt;='TIF Loan Amortization'!$H$497,$C195&lt;='TIF Loan Amortization'!I$497),'TIF Loan Amortization'!$G$497,IF(AND($C195&gt;='TIF Loan Amortization'!$H$498,$C195&lt;='TIF Loan Amortization'!I$498),'TIF Loan Amortization'!$G$498,IF(AND($C195&gt;='TIF Loan Amortization'!$H$499,$C195&lt;='TIF Loan Amortization'!I$499),'TIF Loan Amortization'!$G$499,IF(AND($C195&gt;='TIF Loan Amortization'!$H$500,$C195&lt;='TIF Loan Amortization'!I$500),'TIF Loan Amortization'!$G$500,IF(AND($C195&gt;='TIF Loan Amortization'!$H$501,$C195&lt;='TIF Loan Amortization'!I$501),'TIF Loan Amortization'!$G$501,IF(AND($C195&gt;='TIF Loan Amortization'!$H$502,$C195&lt;='TIF Loan Amortization'!I$502),'TIF Loan Amortization'!$G$502,IF(AND($C195&gt;='TIF Loan Amortization'!$H$503,$C195&lt;='TIF Loan Amortization'!I$503),'TIF Loan Amortization'!$G$503,IF(AND($C195&gt;='TIF Loan Amortization'!$H$504,$C195&lt;='TIF Loan Amortization'!I$504),'TIF Loan Amortization'!$G$504,IF(AND($C195&gt;='TIF Loan Amortization'!$H$505,$C195&lt;='TIF Loan Amortization'!I$505),'TIF Loan Amortization'!$G$505,IF(AND($C195&gt;='TIF Loan Amortization'!$H$506,$C195&lt;='TIF Loan Amortization'!I$506),'TIF Loan Amortization'!$G$506,IF(AND($C195&gt;='TIF Loan Amortization'!$H$507,$C195&lt;='TIF Loan Amortization'!I$507),'TIF Loan Amortization'!$G$507,IF(AND($C195&gt;='TIF Loan Amortization'!$H$508,$C195&lt;='TIF Loan Amortization'!I$508),'TIF Loan Amortization'!$G$508,IF(AND($C195&gt;='TIF Loan Amortization'!$H$509,$C195&lt;='TIF Loan Amortization'!I$509),'TIF Loan Amortization'!$G$509,IF(AND($C195&gt;='TIF Loan Amortization'!$H$510,$C195&lt;='TIF Loan Amortization'!I$510),'TIF Loan Amortization'!$G$510,IF(AND($C195&gt;='TIF Loan Amortization'!$H$511,$C195&lt;='TIF Loan Amortization'!I$511),'TIF Loan Amortization'!$G$511,IF(AND($C195&gt;='TIF Loan Amortization'!$H$512,$C195&lt;='TIF Loan Amortization'!I$512),'TIF Loan Amortization'!$G$512,IF(AND($C195&gt;='TIF Loan Amortization'!$H$513,$C195&lt;='TIF Loan Amortization'!I$513),'TIF Loan Amortization'!$G$513,IF(AND($C195&gt;='TIF Loan Amortization'!$H$514,$C195&lt;='TIF Loan Amortization'!I$514),'TIF Loan Amortization'!$G$514,IF(AND($C195&gt;='TIF Loan Amortization'!$H$515,$C195&lt;='TIF Loan Amortization'!I$515),'TIF Loan Amortization'!$G$515,IF(AND($C195&gt;='TIF Loan Amortization'!$H$516,$C195&lt;='TIF Loan Amortization'!I$516),'TIF Loan Amortization'!$G$516,IF(AND($C195&gt;='TIF Loan Amortization'!$H$517,$C195&lt;='TIF Loan Amortization'!I$517),'TIF Loan Amortization'!$G$517,IF(AND($C195&gt;='TIF Loan Amortization'!$H$518,$C195&lt;='TIF Loan Amortization'!I$518),'TIF Loan Amortization'!$G$518,IF(AND($C195&gt;='TIF Loan Amortization'!$H$519,$C195&lt;='TIF Loan Amortization'!I$519),'TIF Loan Amortization'!$G$519))))))))))))))))))))))))))))))))))))))))</f>
        <v>#N/A</v>
      </c>
      <c r="C195" s="269" t="e">
        <f t="shared" si="29"/>
        <v>#N/A</v>
      </c>
      <c r="D195" s="281" t="str">
        <f>IF($AG$423=1,$H$10+13,"")</f>
        <v/>
      </c>
      <c r="E195" s="274">
        <v>145</v>
      </c>
      <c r="F195" s="275" t="str">
        <f>VLOOKUP($AG$423,$AE$422:$AF$433,2)</f>
        <v>Apr</v>
      </c>
      <c r="G195" s="272">
        <f t="shared" si="30"/>
        <v>0</v>
      </c>
      <c r="H195" s="272">
        <f t="shared" si="33"/>
        <v>0</v>
      </c>
      <c r="I195" s="272">
        <f t="shared" si="34"/>
        <v>0</v>
      </c>
      <c r="J195" s="272">
        <f t="shared" si="31"/>
        <v>0</v>
      </c>
      <c r="K195" s="272">
        <f>IF(ISTEXT($M$4),"",SUM(I$50:I195))</f>
        <v>0</v>
      </c>
      <c r="L195" s="272">
        <f>IF(ISTEXT($M$4),"",SUM(J$50:J195))</f>
        <v>0</v>
      </c>
      <c r="M195" s="271">
        <f t="shared" si="32"/>
        <v>0</v>
      </c>
      <c r="N195" s="291" t="e">
        <f>IF(C195='Operating Assumptions'!$C$48,"Construction Finish","")</f>
        <v>#N/A</v>
      </c>
      <c r="O195" s="291"/>
      <c r="P195" s="291"/>
      <c r="Q195" s="291"/>
      <c r="R195" s="291"/>
      <c r="S195" s="291"/>
      <c r="T195" s="291"/>
      <c r="U195" s="291"/>
      <c r="V195" s="292"/>
      <c r="W195" s="292"/>
      <c r="X195" s="292"/>
      <c r="Y195" s="291"/>
      <c r="Z195" s="279"/>
      <c r="AA195" s="279"/>
      <c r="AB195" s="279"/>
    </row>
    <row r="196" spans="2:28" s="278" customFormat="1" ht="11.65" hidden="1" customHeight="1" outlineLevel="1" x14ac:dyDescent="0.25">
      <c r="B196" s="270" t="e">
        <f>IF(AND($C196&gt;='TIF Loan Amortization'!$H$480,$C196&lt;='TIF Loan Amortization'!$I$480),'TIF Loan Amortization'!$G$480,IF(AND($C196&gt;='TIF Loan Amortization'!$H$481,$C196&lt;='TIF Loan Amortization'!I$481),'TIF Loan Amortization'!$G$481,IF(AND($C196&gt;='TIF Loan Amortization'!$H$482,$C196&lt;='TIF Loan Amortization'!I$482),'TIF Loan Amortization'!$G$482,IF(AND($C196&gt;='TIF Loan Amortization'!$H$483,$C196&lt;='TIF Loan Amortization'!I$483),'TIF Loan Amortization'!$G$483,IF(AND($C196&gt;='TIF Loan Amortization'!$H$484,$C196&lt;='TIF Loan Amortization'!I$484),'TIF Loan Amortization'!$G$484,IF(AND($C196&gt;='TIF Loan Amortization'!$H$485,$C196&lt;='TIF Loan Amortization'!I$485),'TIF Loan Amortization'!$G$485,IF(AND($C196&gt;='TIF Loan Amortization'!$H$486,$C196&lt;='TIF Loan Amortization'!I$486),'TIF Loan Amortization'!$G$486,IF(AND($C196&gt;='TIF Loan Amortization'!$H$487,$C196&lt;='TIF Loan Amortization'!I$487),'TIF Loan Amortization'!$G$487,IF(AND($C196&gt;='TIF Loan Amortization'!$H$488,$C196&lt;='TIF Loan Amortization'!I$488),'TIF Loan Amortization'!$G$488,IF(AND($C196&gt;='TIF Loan Amortization'!$H$489,$C196&lt;='TIF Loan Amortization'!I$489),'TIF Loan Amortization'!$G$489,IF(AND($C196&gt;='TIF Loan Amortization'!$H$490,$C196&lt;='TIF Loan Amortization'!I$490),'TIF Loan Amortization'!$G$490,IF(AND($C196&gt;='TIF Loan Amortization'!$H$491,$C196&lt;='TIF Loan Amortization'!I$491),'TIF Loan Amortization'!$G$491,IF(AND($C196&gt;='TIF Loan Amortization'!$H$492,$C196&lt;='TIF Loan Amortization'!I$492),'TIF Loan Amortization'!$G$492,IF(AND($C196&gt;='TIF Loan Amortization'!$H$493,$C196&lt;='TIF Loan Amortization'!I$493),'TIF Loan Amortization'!$G$493,IF(AND($C196&gt;='TIF Loan Amortization'!$H$494,$C196&lt;='TIF Loan Amortization'!I$494),'TIF Loan Amortization'!$G$494,IF(AND($C196&gt;='TIF Loan Amortization'!$H$495,$C196&lt;='TIF Loan Amortization'!I$495),'TIF Loan Amortization'!$G$495,IF(AND($C196&gt;='TIF Loan Amortization'!$H$496,$C196&lt;='TIF Loan Amortization'!I$496),'TIF Loan Amortization'!$G$496,IF(AND($C196&gt;='TIF Loan Amortization'!$H$497,$C196&lt;='TIF Loan Amortization'!I$497),'TIF Loan Amortization'!$G$497,IF(AND($C196&gt;='TIF Loan Amortization'!$H$498,$C196&lt;='TIF Loan Amortization'!I$498),'TIF Loan Amortization'!$G$498,IF(AND($C196&gt;='TIF Loan Amortization'!$H$499,$C196&lt;='TIF Loan Amortization'!I$499),'TIF Loan Amortization'!$G$499,IF(AND($C196&gt;='TIF Loan Amortization'!$H$500,$C196&lt;='TIF Loan Amortization'!I$500),'TIF Loan Amortization'!$G$500,IF(AND($C196&gt;='TIF Loan Amortization'!$H$501,$C196&lt;='TIF Loan Amortization'!I$501),'TIF Loan Amortization'!$G$501,IF(AND($C196&gt;='TIF Loan Amortization'!$H$502,$C196&lt;='TIF Loan Amortization'!I$502),'TIF Loan Amortization'!$G$502,IF(AND($C196&gt;='TIF Loan Amortization'!$H$503,$C196&lt;='TIF Loan Amortization'!I$503),'TIF Loan Amortization'!$G$503,IF(AND($C196&gt;='TIF Loan Amortization'!$H$504,$C196&lt;='TIF Loan Amortization'!I$504),'TIF Loan Amortization'!$G$504,IF(AND($C196&gt;='TIF Loan Amortization'!$H$505,$C196&lt;='TIF Loan Amortization'!I$505),'TIF Loan Amortization'!$G$505,IF(AND($C196&gt;='TIF Loan Amortization'!$H$506,$C196&lt;='TIF Loan Amortization'!I$506),'TIF Loan Amortization'!$G$506,IF(AND($C196&gt;='TIF Loan Amortization'!$H$507,$C196&lt;='TIF Loan Amortization'!I$507),'TIF Loan Amortization'!$G$507,IF(AND($C196&gt;='TIF Loan Amortization'!$H$508,$C196&lt;='TIF Loan Amortization'!I$508),'TIF Loan Amortization'!$G$508,IF(AND($C196&gt;='TIF Loan Amortization'!$H$509,$C196&lt;='TIF Loan Amortization'!I$509),'TIF Loan Amortization'!$G$509,IF(AND($C196&gt;='TIF Loan Amortization'!$H$510,$C196&lt;='TIF Loan Amortization'!I$510),'TIF Loan Amortization'!$G$510,IF(AND($C196&gt;='TIF Loan Amortization'!$H$511,$C196&lt;='TIF Loan Amortization'!I$511),'TIF Loan Amortization'!$G$511,IF(AND($C196&gt;='TIF Loan Amortization'!$H$512,$C196&lt;='TIF Loan Amortization'!I$512),'TIF Loan Amortization'!$G$512,IF(AND($C196&gt;='TIF Loan Amortization'!$H$513,$C196&lt;='TIF Loan Amortization'!I$513),'TIF Loan Amortization'!$G$513,IF(AND($C196&gt;='TIF Loan Amortization'!$H$514,$C196&lt;='TIF Loan Amortization'!I$514),'TIF Loan Amortization'!$G$514,IF(AND($C196&gt;='TIF Loan Amortization'!$H$515,$C196&lt;='TIF Loan Amortization'!I$515),'TIF Loan Amortization'!$G$515,IF(AND($C196&gt;='TIF Loan Amortization'!$H$516,$C196&lt;='TIF Loan Amortization'!I$516),'TIF Loan Amortization'!$G$516,IF(AND($C196&gt;='TIF Loan Amortization'!$H$517,$C196&lt;='TIF Loan Amortization'!I$517),'TIF Loan Amortization'!$G$517,IF(AND($C196&gt;='TIF Loan Amortization'!$H$518,$C196&lt;='TIF Loan Amortization'!I$518),'TIF Loan Amortization'!$G$518,IF(AND($C196&gt;='TIF Loan Amortization'!$H$519,$C196&lt;='TIF Loan Amortization'!I$519),'TIF Loan Amortization'!$G$519))))))))))))))))))))))))))))))))))))))))</f>
        <v>#N/A</v>
      </c>
      <c r="C196" s="269" t="e">
        <f t="shared" si="29"/>
        <v>#N/A</v>
      </c>
      <c r="D196" s="281" t="str">
        <f>IF($AG$424=1,$H$10+13,"")</f>
        <v/>
      </c>
      <c r="E196" s="274">
        <v>146</v>
      </c>
      <c r="F196" s="275" t="str">
        <f>VLOOKUP($AG$424,$AE$422:$AF$433,2)</f>
        <v>May</v>
      </c>
      <c r="G196" s="272">
        <f t="shared" si="30"/>
        <v>0</v>
      </c>
      <c r="H196" s="272">
        <f t="shared" si="33"/>
        <v>0</v>
      </c>
      <c r="I196" s="272">
        <f t="shared" si="34"/>
        <v>0</v>
      </c>
      <c r="J196" s="272">
        <f t="shared" si="31"/>
        <v>0</v>
      </c>
      <c r="K196" s="272">
        <f>IF(ISTEXT($M$4),"",SUM(I$50:I196))</f>
        <v>0</v>
      </c>
      <c r="L196" s="272">
        <f>IF(ISTEXT($M$4),"",SUM(J$50:J196))</f>
        <v>0</v>
      </c>
      <c r="M196" s="271">
        <f t="shared" si="32"/>
        <v>0</v>
      </c>
      <c r="N196" s="291" t="e">
        <f>IF(C196='Operating Assumptions'!$C$48,"Construction Finish","")</f>
        <v>#N/A</v>
      </c>
      <c r="O196" s="291"/>
      <c r="P196" s="291"/>
      <c r="Q196" s="291"/>
      <c r="R196" s="291"/>
      <c r="S196" s="291"/>
      <c r="T196" s="291"/>
      <c r="U196" s="291"/>
      <c r="V196" s="292"/>
      <c r="W196" s="292"/>
      <c r="X196" s="292"/>
      <c r="Y196" s="291"/>
      <c r="Z196" s="279"/>
      <c r="AA196" s="279"/>
      <c r="AB196" s="279"/>
    </row>
    <row r="197" spans="2:28" s="278" customFormat="1" ht="11.65" hidden="1" customHeight="1" outlineLevel="1" x14ac:dyDescent="0.25">
      <c r="B197" s="270" t="e">
        <f>IF(AND($C197&gt;='TIF Loan Amortization'!$H$480,$C197&lt;='TIF Loan Amortization'!$I$480),'TIF Loan Amortization'!$G$480,IF(AND($C197&gt;='TIF Loan Amortization'!$H$481,$C197&lt;='TIF Loan Amortization'!I$481),'TIF Loan Amortization'!$G$481,IF(AND($C197&gt;='TIF Loan Amortization'!$H$482,$C197&lt;='TIF Loan Amortization'!I$482),'TIF Loan Amortization'!$G$482,IF(AND($C197&gt;='TIF Loan Amortization'!$H$483,$C197&lt;='TIF Loan Amortization'!I$483),'TIF Loan Amortization'!$G$483,IF(AND($C197&gt;='TIF Loan Amortization'!$H$484,$C197&lt;='TIF Loan Amortization'!I$484),'TIF Loan Amortization'!$G$484,IF(AND($C197&gt;='TIF Loan Amortization'!$H$485,$C197&lt;='TIF Loan Amortization'!I$485),'TIF Loan Amortization'!$G$485,IF(AND($C197&gt;='TIF Loan Amortization'!$H$486,$C197&lt;='TIF Loan Amortization'!I$486),'TIF Loan Amortization'!$G$486,IF(AND($C197&gt;='TIF Loan Amortization'!$H$487,$C197&lt;='TIF Loan Amortization'!I$487),'TIF Loan Amortization'!$G$487,IF(AND($C197&gt;='TIF Loan Amortization'!$H$488,$C197&lt;='TIF Loan Amortization'!I$488),'TIF Loan Amortization'!$G$488,IF(AND($C197&gt;='TIF Loan Amortization'!$H$489,$C197&lt;='TIF Loan Amortization'!I$489),'TIF Loan Amortization'!$G$489,IF(AND($C197&gt;='TIF Loan Amortization'!$H$490,$C197&lt;='TIF Loan Amortization'!I$490),'TIF Loan Amortization'!$G$490,IF(AND($C197&gt;='TIF Loan Amortization'!$H$491,$C197&lt;='TIF Loan Amortization'!I$491),'TIF Loan Amortization'!$G$491,IF(AND($C197&gt;='TIF Loan Amortization'!$H$492,$C197&lt;='TIF Loan Amortization'!I$492),'TIF Loan Amortization'!$G$492,IF(AND($C197&gt;='TIF Loan Amortization'!$H$493,$C197&lt;='TIF Loan Amortization'!I$493),'TIF Loan Amortization'!$G$493,IF(AND($C197&gt;='TIF Loan Amortization'!$H$494,$C197&lt;='TIF Loan Amortization'!I$494),'TIF Loan Amortization'!$G$494,IF(AND($C197&gt;='TIF Loan Amortization'!$H$495,$C197&lt;='TIF Loan Amortization'!I$495),'TIF Loan Amortization'!$G$495,IF(AND($C197&gt;='TIF Loan Amortization'!$H$496,$C197&lt;='TIF Loan Amortization'!I$496),'TIF Loan Amortization'!$G$496,IF(AND($C197&gt;='TIF Loan Amortization'!$H$497,$C197&lt;='TIF Loan Amortization'!I$497),'TIF Loan Amortization'!$G$497,IF(AND($C197&gt;='TIF Loan Amortization'!$H$498,$C197&lt;='TIF Loan Amortization'!I$498),'TIF Loan Amortization'!$G$498,IF(AND($C197&gt;='TIF Loan Amortization'!$H$499,$C197&lt;='TIF Loan Amortization'!I$499),'TIF Loan Amortization'!$G$499,IF(AND($C197&gt;='TIF Loan Amortization'!$H$500,$C197&lt;='TIF Loan Amortization'!I$500),'TIF Loan Amortization'!$G$500,IF(AND($C197&gt;='TIF Loan Amortization'!$H$501,$C197&lt;='TIF Loan Amortization'!I$501),'TIF Loan Amortization'!$G$501,IF(AND($C197&gt;='TIF Loan Amortization'!$H$502,$C197&lt;='TIF Loan Amortization'!I$502),'TIF Loan Amortization'!$G$502,IF(AND($C197&gt;='TIF Loan Amortization'!$H$503,$C197&lt;='TIF Loan Amortization'!I$503),'TIF Loan Amortization'!$G$503,IF(AND($C197&gt;='TIF Loan Amortization'!$H$504,$C197&lt;='TIF Loan Amortization'!I$504),'TIF Loan Amortization'!$G$504,IF(AND($C197&gt;='TIF Loan Amortization'!$H$505,$C197&lt;='TIF Loan Amortization'!I$505),'TIF Loan Amortization'!$G$505,IF(AND($C197&gt;='TIF Loan Amortization'!$H$506,$C197&lt;='TIF Loan Amortization'!I$506),'TIF Loan Amortization'!$G$506,IF(AND($C197&gt;='TIF Loan Amortization'!$H$507,$C197&lt;='TIF Loan Amortization'!I$507),'TIF Loan Amortization'!$G$507,IF(AND($C197&gt;='TIF Loan Amortization'!$H$508,$C197&lt;='TIF Loan Amortization'!I$508),'TIF Loan Amortization'!$G$508,IF(AND($C197&gt;='TIF Loan Amortization'!$H$509,$C197&lt;='TIF Loan Amortization'!I$509),'TIF Loan Amortization'!$G$509,IF(AND($C197&gt;='TIF Loan Amortization'!$H$510,$C197&lt;='TIF Loan Amortization'!I$510),'TIF Loan Amortization'!$G$510,IF(AND($C197&gt;='TIF Loan Amortization'!$H$511,$C197&lt;='TIF Loan Amortization'!I$511),'TIF Loan Amortization'!$G$511,IF(AND($C197&gt;='TIF Loan Amortization'!$H$512,$C197&lt;='TIF Loan Amortization'!I$512),'TIF Loan Amortization'!$G$512,IF(AND($C197&gt;='TIF Loan Amortization'!$H$513,$C197&lt;='TIF Loan Amortization'!I$513),'TIF Loan Amortization'!$G$513,IF(AND($C197&gt;='TIF Loan Amortization'!$H$514,$C197&lt;='TIF Loan Amortization'!I$514),'TIF Loan Amortization'!$G$514,IF(AND($C197&gt;='TIF Loan Amortization'!$H$515,$C197&lt;='TIF Loan Amortization'!I$515),'TIF Loan Amortization'!$G$515,IF(AND($C197&gt;='TIF Loan Amortization'!$H$516,$C197&lt;='TIF Loan Amortization'!I$516),'TIF Loan Amortization'!$G$516,IF(AND($C197&gt;='TIF Loan Amortization'!$H$517,$C197&lt;='TIF Loan Amortization'!I$517),'TIF Loan Amortization'!$G$517,IF(AND($C197&gt;='TIF Loan Amortization'!$H$518,$C197&lt;='TIF Loan Amortization'!I$518),'TIF Loan Amortization'!$G$518,IF(AND($C197&gt;='TIF Loan Amortization'!$H$519,$C197&lt;='TIF Loan Amortization'!I$519),'TIF Loan Amortization'!$G$519))))))))))))))))))))))))))))))))))))))))</f>
        <v>#N/A</v>
      </c>
      <c r="C197" s="269" t="e">
        <f t="shared" si="29"/>
        <v>#N/A</v>
      </c>
      <c r="D197" s="281" t="str">
        <f>IF($AG$425=1,$H$10+13,"")</f>
        <v/>
      </c>
      <c r="E197" s="274">
        <v>147</v>
      </c>
      <c r="F197" s="275" t="str">
        <f>VLOOKUP($AG$425,$AE$422:$AF$433,2)</f>
        <v>Jun</v>
      </c>
      <c r="G197" s="272">
        <f t="shared" si="30"/>
        <v>0</v>
      </c>
      <c r="H197" s="272">
        <f t="shared" si="33"/>
        <v>0</v>
      </c>
      <c r="I197" s="272">
        <f t="shared" si="34"/>
        <v>0</v>
      </c>
      <c r="J197" s="272">
        <f t="shared" si="31"/>
        <v>0</v>
      </c>
      <c r="K197" s="272">
        <f>IF(ISTEXT($M$4),"",SUM(I$50:I197))</f>
        <v>0</v>
      </c>
      <c r="L197" s="272">
        <f>IF(ISTEXT($M$4),"",SUM(J$50:J197))</f>
        <v>0</v>
      </c>
      <c r="M197" s="271">
        <f t="shared" si="32"/>
        <v>0</v>
      </c>
      <c r="N197" s="291" t="e">
        <f>IF(C197='Operating Assumptions'!$C$48,"Construction Finish","")</f>
        <v>#N/A</v>
      </c>
      <c r="O197" s="291"/>
      <c r="P197" s="291"/>
      <c r="Q197" s="291"/>
      <c r="R197" s="291"/>
      <c r="S197" s="291"/>
      <c r="T197" s="291"/>
      <c r="U197" s="291"/>
      <c r="V197" s="292"/>
      <c r="W197" s="292"/>
      <c r="X197" s="292"/>
      <c r="Y197" s="291"/>
      <c r="Z197" s="279"/>
      <c r="AA197" s="279"/>
      <c r="AB197" s="279"/>
    </row>
    <row r="198" spans="2:28" s="278" customFormat="1" ht="11.65" hidden="1" customHeight="1" outlineLevel="1" x14ac:dyDescent="0.25">
      <c r="B198" s="270" t="e">
        <f>IF(AND($C198&gt;='TIF Loan Amortization'!$H$480,$C198&lt;='TIF Loan Amortization'!$I$480),'TIF Loan Amortization'!$G$480,IF(AND($C198&gt;='TIF Loan Amortization'!$H$481,$C198&lt;='TIF Loan Amortization'!I$481),'TIF Loan Amortization'!$G$481,IF(AND($C198&gt;='TIF Loan Amortization'!$H$482,$C198&lt;='TIF Loan Amortization'!I$482),'TIF Loan Amortization'!$G$482,IF(AND($C198&gt;='TIF Loan Amortization'!$H$483,$C198&lt;='TIF Loan Amortization'!I$483),'TIF Loan Amortization'!$G$483,IF(AND($C198&gt;='TIF Loan Amortization'!$H$484,$C198&lt;='TIF Loan Amortization'!I$484),'TIF Loan Amortization'!$G$484,IF(AND($C198&gt;='TIF Loan Amortization'!$H$485,$C198&lt;='TIF Loan Amortization'!I$485),'TIF Loan Amortization'!$G$485,IF(AND($C198&gt;='TIF Loan Amortization'!$H$486,$C198&lt;='TIF Loan Amortization'!I$486),'TIF Loan Amortization'!$G$486,IF(AND($C198&gt;='TIF Loan Amortization'!$H$487,$C198&lt;='TIF Loan Amortization'!I$487),'TIF Loan Amortization'!$G$487,IF(AND($C198&gt;='TIF Loan Amortization'!$H$488,$C198&lt;='TIF Loan Amortization'!I$488),'TIF Loan Amortization'!$G$488,IF(AND($C198&gt;='TIF Loan Amortization'!$H$489,$C198&lt;='TIF Loan Amortization'!I$489),'TIF Loan Amortization'!$G$489,IF(AND($C198&gt;='TIF Loan Amortization'!$H$490,$C198&lt;='TIF Loan Amortization'!I$490),'TIF Loan Amortization'!$G$490,IF(AND($C198&gt;='TIF Loan Amortization'!$H$491,$C198&lt;='TIF Loan Amortization'!I$491),'TIF Loan Amortization'!$G$491,IF(AND($C198&gt;='TIF Loan Amortization'!$H$492,$C198&lt;='TIF Loan Amortization'!I$492),'TIF Loan Amortization'!$G$492,IF(AND($C198&gt;='TIF Loan Amortization'!$H$493,$C198&lt;='TIF Loan Amortization'!I$493),'TIF Loan Amortization'!$G$493,IF(AND($C198&gt;='TIF Loan Amortization'!$H$494,$C198&lt;='TIF Loan Amortization'!I$494),'TIF Loan Amortization'!$G$494,IF(AND($C198&gt;='TIF Loan Amortization'!$H$495,$C198&lt;='TIF Loan Amortization'!I$495),'TIF Loan Amortization'!$G$495,IF(AND($C198&gt;='TIF Loan Amortization'!$H$496,$C198&lt;='TIF Loan Amortization'!I$496),'TIF Loan Amortization'!$G$496,IF(AND($C198&gt;='TIF Loan Amortization'!$H$497,$C198&lt;='TIF Loan Amortization'!I$497),'TIF Loan Amortization'!$G$497,IF(AND($C198&gt;='TIF Loan Amortization'!$H$498,$C198&lt;='TIF Loan Amortization'!I$498),'TIF Loan Amortization'!$G$498,IF(AND($C198&gt;='TIF Loan Amortization'!$H$499,$C198&lt;='TIF Loan Amortization'!I$499),'TIF Loan Amortization'!$G$499,IF(AND($C198&gt;='TIF Loan Amortization'!$H$500,$C198&lt;='TIF Loan Amortization'!I$500),'TIF Loan Amortization'!$G$500,IF(AND($C198&gt;='TIF Loan Amortization'!$H$501,$C198&lt;='TIF Loan Amortization'!I$501),'TIF Loan Amortization'!$G$501,IF(AND($C198&gt;='TIF Loan Amortization'!$H$502,$C198&lt;='TIF Loan Amortization'!I$502),'TIF Loan Amortization'!$G$502,IF(AND($C198&gt;='TIF Loan Amortization'!$H$503,$C198&lt;='TIF Loan Amortization'!I$503),'TIF Loan Amortization'!$G$503,IF(AND($C198&gt;='TIF Loan Amortization'!$H$504,$C198&lt;='TIF Loan Amortization'!I$504),'TIF Loan Amortization'!$G$504,IF(AND($C198&gt;='TIF Loan Amortization'!$H$505,$C198&lt;='TIF Loan Amortization'!I$505),'TIF Loan Amortization'!$G$505,IF(AND($C198&gt;='TIF Loan Amortization'!$H$506,$C198&lt;='TIF Loan Amortization'!I$506),'TIF Loan Amortization'!$G$506,IF(AND($C198&gt;='TIF Loan Amortization'!$H$507,$C198&lt;='TIF Loan Amortization'!I$507),'TIF Loan Amortization'!$G$507,IF(AND($C198&gt;='TIF Loan Amortization'!$H$508,$C198&lt;='TIF Loan Amortization'!I$508),'TIF Loan Amortization'!$G$508,IF(AND($C198&gt;='TIF Loan Amortization'!$H$509,$C198&lt;='TIF Loan Amortization'!I$509),'TIF Loan Amortization'!$G$509,IF(AND($C198&gt;='TIF Loan Amortization'!$H$510,$C198&lt;='TIF Loan Amortization'!I$510),'TIF Loan Amortization'!$G$510,IF(AND($C198&gt;='TIF Loan Amortization'!$H$511,$C198&lt;='TIF Loan Amortization'!I$511),'TIF Loan Amortization'!$G$511,IF(AND($C198&gt;='TIF Loan Amortization'!$H$512,$C198&lt;='TIF Loan Amortization'!I$512),'TIF Loan Amortization'!$G$512,IF(AND($C198&gt;='TIF Loan Amortization'!$H$513,$C198&lt;='TIF Loan Amortization'!I$513),'TIF Loan Amortization'!$G$513,IF(AND($C198&gt;='TIF Loan Amortization'!$H$514,$C198&lt;='TIF Loan Amortization'!I$514),'TIF Loan Amortization'!$G$514,IF(AND($C198&gt;='TIF Loan Amortization'!$H$515,$C198&lt;='TIF Loan Amortization'!I$515),'TIF Loan Amortization'!$G$515,IF(AND($C198&gt;='TIF Loan Amortization'!$H$516,$C198&lt;='TIF Loan Amortization'!I$516),'TIF Loan Amortization'!$G$516,IF(AND($C198&gt;='TIF Loan Amortization'!$H$517,$C198&lt;='TIF Loan Amortization'!I$517),'TIF Loan Amortization'!$G$517,IF(AND($C198&gt;='TIF Loan Amortization'!$H$518,$C198&lt;='TIF Loan Amortization'!I$518),'TIF Loan Amortization'!$G$518,IF(AND($C198&gt;='TIF Loan Amortization'!$H$519,$C198&lt;='TIF Loan Amortization'!I$519),'TIF Loan Amortization'!$G$519))))))))))))))))))))))))))))))))))))))))</f>
        <v>#N/A</v>
      </c>
      <c r="C198" s="269" t="e">
        <f t="shared" si="29"/>
        <v>#N/A</v>
      </c>
      <c r="D198" s="281" t="str">
        <f>IF($AG$426=1,$H$10+13,"")</f>
        <v/>
      </c>
      <c r="E198" s="274">
        <v>148</v>
      </c>
      <c r="F198" s="275" t="str">
        <f>VLOOKUP($AG$426,$AE$422:$AF$433,2)</f>
        <v>Jul</v>
      </c>
      <c r="G198" s="272">
        <f t="shared" si="30"/>
        <v>0</v>
      </c>
      <c r="H198" s="272">
        <f t="shared" si="33"/>
        <v>0</v>
      </c>
      <c r="I198" s="272">
        <f t="shared" si="34"/>
        <v>0</v>
      </c>
      <c r="J198" s="272">
        <f t="shared" si="31"/>
        <v>0</v>
      </c>
      <c r="K198" s="272">
        <f>IF(ISTEXT($M$4),"",SUM(I$50:I198))</f>
        <v>0</v>
      </c>
      <c r="L198" s="272">
        <f>IF(ISTEXT($M$4),"",SUM(J$50:J198))</f>
        <v>0</v>
      </c>
      <c r="M198" s="271">
        <f t="shared" si="32"/>
        <v>0</v>
      </c>
      <c r="N198" s="291" t="e">
        <f>IF(C198='Operating Assumptions'!$C$48,"Construction Finish","")</f>
        <v>#N/A</v>
      </c>
      <c r="O198" s="291"/>
      <c r="P198" s="291"/>
      <c r="Q198" s="291"/>
      <c r="R198" s="291"/>
      <c r="S198" s="291"/>
      <c r="T198" s="291"/>
      <c r="U198" s="291"/>
      <c r="V198" s="292"/>
      <c r="W198" s="292"/>
      <c r="X198" s="292"/>
      <c r="Y198" s="291"/>
      <c r="Z198" s="279"/>
      <c r="AA198" s="279"/>
      <c r="AB198" s="279"/>
    </row>
    <row r="199" spans="2:28" s="278" customFormat="1" ht="11.65" hidden="1" customHeight="1" outlineLevel="1" x14ac:dyDescent="0.25">
      <c r="B199" s="270" t="e">
        <f>IF(AND($C199&gt;='TIF Loan Amortization'!$H$480,$C199&lt;='TIF Loan Amortization'!$I$480),'TIF Loan Amortization'!$G$480,IF(AND($C199&gt;='TIF Loan Amortization'!$H$481,$C199&lt;='TIF Loan Amortization'!I$481),'TIF Loan Amortization'!$G$481,IF(AND($C199&gt;='TIF Loan Amortization'!$H$482,$C199&lt;='TIF Loan Amortization'!I$482),'TIF Loan Amortization'!$G$482,IF(AND($C199&gt;='TIF Loan Amortization'!$H$483,$C199&lt;='TIF Loan Amortization'!I$483),'TIF Loan Amortization'!$G$483,IF(AND($C199&gt;='TIF Loan Amortization'!$H$484,$C199&lt;='TIF Loan Amortization'!I$484),'TIF Loan Amortization'!$G$484,IF(AND($C199&gt;='TIF Loan Amortization'!$H$485,$C199&lt;='TIF Loan Amortization'!I$485),'TIF Loan Amortization'!$G$485,IF(AND($C199&gt;='TIF Loan Amortization'!$H$486,$C199&lt;='TIF Loan Amortization'!I$486),'TIF Loan Amortization'!$G$486,IF(AND($C199&gt;='TIF Loan Amortization'!$H$487,$C199&lt;='TIF Loan Amortization'!I$487),'TIF Loan Amortization'!$G$487,IF(AND($C199&gt;='TIF Loan Amortization'!$H$488,$C199&lt;='TIF Loan Amortization'!I$488),'TIF Loan Amortization'!$G$488,IF(AND($C199&gt;='TIF Loan Amortization'!$H$489,$C199&lt;='TIF Loan Amortization'!I$489),'TIF Loan Amortization'!$G$489,IF(AND($C199&gt;='TIF Loan Amortization'!$H$490,$C199&lt;='TIF Loan Amortization'!I$490),'TIF Loan Amortization'!$G$490,IF(AND($C199&gt;='TIF Loan Amortization'!$H$491,$C199&lt;='TIF Loan Amortization'!I$491),'TIF Loan Amortization'!$G$491,IF(AND($C199&gt;='TIF Loan Amortization'!$H$492,$C199&lt;='TIF Loan Amortization'!I$492),'TIF Loan Amortization'!$G$492,IF(AND($C199&gt;='TIF Loan Amortization'!$H$493,$C199&lt;='TIF Loan Amortization'!I$493),'TIF Loan Amortization'!$G$493,IF(AND($C199&gt;='TIF Loan Amortization'!$H$494,$C199&lt;='TIF Loan Amortization'!I$494),'TIF Loan Amortization'!$G$494,IF(AND($C199&gt;='TIF Loan Amortization'!$H$495,$C199&lt;='TIF Loan Amortization'!I$495),'TIF Loan Amortization'!$G$495,IF(AND($C199&gt;='TIF Loan Amortization'!$H$496,$C199&lt;='TIF Loan Amortization'!I$496),'TIF Loan Amortization'!$G$496,IF(AND($C199&gt;='TIF Loan Amortization'!$H$497,$C199&lt;='TIF Loan Amortization'!I$497),'TIF Loan Amortization'!$G$497,IF(AND($C199&gt;='TIF Loan Amortization'!$H$498,$C199&lt;='TIF Loan Amortization'!I$498),'TIF Loan Amortization'!$G$498,IF(AND($C199&gt;='TIF Loan Amortization'!$H$499,$C199&lt;='TIF Loan Amortization'!I$499),'TIF Loan Amortization'!$G$499,IF(AND($C199&gt;='TIF Loan Amortization'!$H$500,$C199&lt;='TIF Loan Amortization'!I$500),'TIF Loan Amortization'!$G$500,IF(AND($C199&gt;='TIF Loan Amortization'!$H$501,$C199&lt;='TIF Loan Amortization'!I$501),'TIF Loan Amortization'!$G$501,IF(AND($C199&gt;='TIF Loan Amortization'!$H$502,$C199&lt;='TIF Loan Amortization'!I$502),'TIF Loan Amortization'!$G$502,IF(AND($C199&gt;='TIF Loan Amortization'!$H$503,$C199&lt;='TIF Loan Amortization'!I$503),'TIF Loan Amortization'!$G$503,IF(AND($C199&gt;='TIF Loan Amortization'!$H$504,$C199&lt;='TIF Loan Amortization'!I$504),'TIF Loan Amortization'!$G$504,IF(AND($C199&gt;='TIF Loan Amortization'!$H$505,$C199&lt;='TIF Loan Amortization'!I$505),'TIF Loan Amortization'!$G$505,IF(AND($C199&gt;='TIF Loan Amortization'!$H$506,$C199&lt;='TIF Loan Amortization'!I$506),'TIF Loan Amortization'!$G$506,IF(AND($C199&gt;='TIF Loan Amortization'!$H$507,$C199&lt;='TIF Loan Amortization'!I$507),'TIF Loan Amortization'!$G$507,IF(AND($C199&gt;='TIF Loan Amortization'!$H$508,$C199&lt;='TIF Loan Amortization'!I$508),'TIF Loan Amortization'!$G$508,IF(AND($C199&gt;='TIF Loan Amortization'!$H$509,$C199&lt;='TIF Loan Amortization'!I$509),'TIF Loan Amortization'!$G$509,IF(AND($C199&gt;='TIF Loan Amortization'!$H$510,$C199&lt;='TIF Loan Amortization'!I$510),'TIF Loan Amortization'!$G$510,IF(AND($C199&gt;='TIF Loan Amortization'!$H$511,$C199&lt;='TIF Loan Amortization'!I$511),'TIF Loan Amortization'!$G$511,IF(AND($C199&gt;='TIF Loan Amortization'!$H$512,$C199&lt;='TIF Loan Amortization'!I$512),'TIF Loan Amortization'!$G$512,IF(AND($C199&gt;='TIF Loan Amortization'!$H$513,$C199&lt;='TIF Loan Amortization'!I$513),'TIF Loan Amortization'!$G$513,IF(AND($C199&gt;='TIF Loan Amortization'!$H$514,$C199&lt;='TIF Loan Amortization'!I$514),'TIF Loan Amortization'!$G$514,IF(AND($C199&gt;='TIF Loan Amortization'!$H$515,$C199&lt;='TIF Loan Amortization'!I$515),'TIF Loan Amortization'!$G$515,IF(AND($C199&gt;='TIF Loan Amortization'!$H$516,$C199&lt;='TIF Loan Amortization'!I$516),'TIF Loan Amortization'!$G$516,IF(AND($C199&gt;='TIF Loan Amortization'!$H$517,$C199&lt;='TIF Loan Amortization'!I$517),'TIF Loan Amortization'!$G$517,IF(AND($C199&gt;='TIF Loan Amortization'!$H$518,$C199&lt;='TIF Loan Amortization'!I$518),'TIF Loan Amortization'!$G$518,IF(AND($C199&gt;='TIF Loan Amortization'!$H$519,$C199&lt;='TIF Loan Amortization'!I$519),'TIF Loan Amortization'!$G$519))))))))))))))))))))))))))))))))))))))))</f>
        <v>#N/A</v>
      </c>
      <c r="C199" s="269" t="e">
        <f t="shared" si="29"/>
        <v>#N/A</v>
      </c>
      <c r="D199" s="281" t="str">
        <f>IF($AG$427=1,$H$10+13,"")</f>
        <v/>
      </c>
      <c r="E199" s="274">
        <v>149</v>
      </c>
      <c r="F199" s="275" t="str">
        <f>VLOOKUP($AG$427,$AE$422:$AF$433,2)</f>
        <v>Aug</v>
      </c>
      <c r="G199" s="272">
        <f t="shared" si="30"/>
        <v>0</v>
      </c>
      <c r="H199" s="272">
        <f t="shared" si="33"/>
        <v>0</v>
      </c>
      <c r="I199" s="272">
        <f t="shared" si="34"/>
        <v>0</v>
      </c>
      <c r="J199" s="272">
        <f t="shared" si="31"/>
        <v>0</v>
      </c>
      <c r="K199" s="272">
        <f>IF(ISTEXT($M$4),"",SUM(I$50:I199))</f>
        <v>0</v>
      </c>
      <c r="L199" s="272">
        <f>IF(ISTEXT($M$4),"",SUM(J$50:J199))</f>
        <v>0</v>
      </c>
      <c r="M199" s="271">
        <f t="shared" si="32"/>
        <v>0</v>
      </c>
      <c r="N199" s="291" t="e">
        <f>IF(C199='Operating Assumptions'!$C$48,"Construction Finish","")</f>
        <v>#N/A</v>
      </c>
      <c r="O199" s="291"/>
      <c r="P199" s="291"/>
      <c r="Q199" s="291"/>
      <c r="R199" s="291"/>
      <c r="S199" s="291"/>
      <c r="T199" s="291"/>
      <c r="U199" s="291"/>
      <c r="V199" s="292"/>
      <c r="W199" s="292"/>
      <c r="X199" s="292"/>
      <c r="Y199" s="291"/>
      <c r="Z199" s="279"/>
      <c r="AA199" s="279"/>
      <c r="AB199" s="279"/>
    </row>
    <row r="200" spans="2:28" s="278" customFormat="1" ht="11.65" hidden="1" customHeight="1" outlineLevel="1" x14ac:dyDescent="0.25">
      <c r="B200" s="270" t="e">
        <f>IF(AND($C200&gt;='TIF Loan Amortization'!$H$480,$C200&lt;='TIF Loan Amortization'!$I$480),'TIF Loan Amortization'!$G$480,IF(AND($C200&gt;='TIF Loan Amortization'!$H$481,$C200&lt;='TIF Loan Amortization'!I$481),'TIF Loan Amortization'!$G$481,IF(AND($C200&gt;='TIF Loan Amortization'!$H$482,$C200&lt;='TIF Loan Amortization'!I$482),'TIF Loan Amortization'!$G$482,IF(AND($C200&gt;='TIF Loan Amortization'!$H$483,$C200&lt;='TIF Loan Amortization'!I$483),'TIF Loan Amortization'!$G$483,IF(AND($C200&gt;='TIF Loan Amortization'!$H$484,$C200&lt;='TIF Loan Amortization'!I$484),'TIF Loan Amortization'!$G$484,IF(AND($C200&gt;='TIF Loan Amortization'!$H$485,$C200&lt;='TIF Loan Amortization'!I$485),'TIF Loan Amortization'!$G$485,IF(AND($C200&gt;='TIF Loan Amortization'!$H$486,$C200&lt;='TIF Loan Amortization'!I$486),'TIF Loan Amortization'!$G$486,IF(AND($C200&gt;='TIF Loan Amortization'!$H$487,$C200&lt;='TIF Loan Amortization'!I$487),'TIF Loan Amortization'!$G$487,IF(AND($C200&gt;='TIF Loan Amortization'!$H$488,$C200&lt;='TIF Loan Amortization'!I$488),'TIF Loan Amortization'!$G$488,IF(AND($C200&gt;='TIF Loan Amortization'!$H$489,$C200&lt;='TIF Loan Amortization'!I$489),'TIF Loan Amortization'!$G$489,IF(AND($C200&gt;='TIF Loan Amortization'!$H$490,$C200&lt;='TIF Loan Amortization'!I$490),'TIF Loan Amortization'!$G$490,IF(AND($C200&gt;='TIF Loan Amortization'!$H$491,$C200&lt;='TIF Loan Amortization'!I$491),'TIF Loan Amortization'!$G$491,IF(AND($C200&gt;='TIF Loan Amortization'!$H$492,$C200&lt;='TIF Loan Amortization'!I$492),'TIF Loan Amortization'!$G$492,IF(AND($C200&gt;='TIF Loan Amortization'!$H$493,$C200&lt;='TIF Loan Amortization'!I$493),'TIF Loan Amortization'!$G$493,IF(AND($C200&gt;='TIF Loan Amortization'!$H$494,$C200&lt;='TIF Loan Amortization'!I$494),'TIF Loan Amortization'!$G$494,IF(AND($C200&gt;='TIF Loan Amortization'!$H$495,$C200&lt;='TIF Loan Amortization'!I$495),'TIF Loan Amortization'!$G$495,IF(AND($C200&gt;='TIF Loan Amortization'!$H$496,$C200&lt;='TIF Loan Amortization'!I$496),'TIF Loan Amortization'!$G$496,IF(AND($C200&gt;='TIF Loan Amortization'!$H$497,$C200&lt;='TIF Loan Amortization'!I$497),'TIF Loan Amortization'!$G$497,IF(AND($C200&gt;='TIF Loan Amortization'!$H$498,$C200&lt;='TIF Loan Amortization'!I$498),'TIF Loan Amortization'!$G$498,IF(AND($C200&gt;='TIF Loan Amortization'!$H$499,$C200&lt;='TIF Loan Amortization'!I$499),'TIF Loan Amortization'!$G$499,IF(AND($C200&gt;='TIF Loan Amortization'!$H$500,$C200&lt;='TIF Loan Amortization'!I$500),'TIF Loan Amortization'!$G$500,IF(AND($C200&gt;='TIF Loan Amortization'!$H$501,$C200&lt;='TIF Loan Amortization'!I$501),'TIF Loan Amortization'!$G$501,IF(AND($C200&gt;='TIF Loan Amortization'!$H$502,$C200&lt;='TIF Loan Amortization'!I$502),'TIF Loan Amortization'!$G$502,IF(AND($C200&gt;='TIF Loan Amortization'!$H$503,$C200&lt;='TIF Loan Amortization'!I$503),'TIF Loan Amortization'!$G$503,IF(AND($C200&gt;='TIF Loan Amortization'!$H$504,$C200&lt;='TIF Loan Amortization'!I$504),'TIF Loan Amortization'!$G$504,IF(AND($C200&gt;='TIF Loan Amortization'!$H$505,$C200&lt;='TIF Loan Amortization'!I$505),'TIF Loan Amortization'!$G$505,IF(AND($C200&gt;='TIF Loan Amortization'!$H$506,$C200&lt;='TIF Loan Amortization'!I$506),'TIF Loan Amortization'!$G$506,IF(AND($C200&gt;='TIF Loan Amortization'!$H$507,$C200&lt;='TIF Loan Amortization'!I$507),'TIF Loan Amortization'!$G$507,IF(AND($C200&gt;='TIF Loan Amortization'!$H$508,$C200&lt;='TIF Loan Amortization'!I$508),'TIF Loan Amortization'!$G$508,IF(AND($C200&gt;='TIF Loan Amortization'!$H$509,$C200&lt;='TIF Loan Amortization'!I$509),'TIF Loan Amortization'!$G$509,IF(AND($C200&gt;='TIF Loan Amortization'!$H$510,$C200&lt;='TIF Loan Amortization'!I$510),'TIF Loan Amortization'!$G$510,IF(AND($C200&gt;='TIF Loan Amortization'!$H$511,$C200&lt;='TIF Loan Amortization'!I$511),'TIF Loan Amortization'!$G$511,IF(AND($C200&gt;='TIF Loan Amortization'!$H$512,$C200&lt;='TIF Loan Amortization'!I$512),'TIF Loan Amortization'!$G$512,IF(AND($C200&gt;='TIF Loan Amortization'!$H$513,$C200&lt;='TIF Loan Amortization'!I$513),'TIF Loan Amortization'!$G$513,IF(AND($C200&gt;='TIF Loan Amortization'!$H$514,$C200&lt;='TIF Loan Amortization'!I$514),'TIF Loan Amortization'!$G$514,IF(AND($C200&gt;='TIF Loan Amortization'!$H$515,$C200&lt;='TIF Loan Amortization'!I$515),'TIF Loan Amortization'!$G$515,IF(AND($C200&gt;='TIF Loan Amortization'!$H$516,$C200&lt;='TIF Loan Amortization'!I$516),'TIF Loan Amortization'!$G$516,IF(AND($C200&gt;='TIF Loan Amortization'!$H$517,$C200&lt;='TIF Loan Amortization'!I$517),'TIF Loan Amortization'!$G$517,IF(AND($C200&gt;='TIF Loan Amortization'!$H$518,$C200&lt;='TIF Loan Amortization'!I$518),'TIF Loan Amortization'!$G$518,IF(AND($C200&gt;='TIF Loan Amortization'!$H$519,$C200&lt;='TIF Loan Amortization'!I$519),'TIF Loan Amortization'!$G$519))))))))))))))))))))))))))))))))))))))))</f>
        <v>#N/A</v>
      </c>
      <c r="C200" s="269" t="e">
        <f t="shared" si="29"/>
        <v>#N/A</v>
      </c>
      <c r="D200" s="281" t="str">
        <f>IF($AG$428=1,$H$10+13,"")</f>
        <v/>
      </c>
      <c r="E200" s="274">
        <v>150</v>
      </c>
      <c r="F200" s="275" t="str">
        <f>VLOOKUP($AG$428,$AE$422:$AF$433,2)</f>
        <v>Sep</v>
      </c>
      <c r="G200" s="272">
        <f t="shared" si="30"/>
        <v>0</v>
      </c>
      <c r="H200" s="272">
        <f t="shared" si="33"/>
        <v>0</v>
      </c>
      <c r="I200" s="272">
        <f t="shared" si="34"/>
        <v>0</v>
      </c>
      <c r="J200" s="272">
        <f t="shared" si="31"/>
        <v>0</v>
      </c>
      <c r="K200" s="272">
        <f>IF(ISTEXT($M$4),"",SUM(I$50:I200))</f>
        <v>0</v>
      </c>
      <c r="L200" s="272">
        <f>IF(ISTEXT($M$4),"",SUM(J$50:J200))</f>
        <v>0</v>
      </c>
      <c r="M200" s="271">
        <f t="shared" si="32"/>
        <v>0</v>
      </c>
      <c r="N200" s="291" t="e">
        <f>IF(C200='Operating Assumptions'!$C$48,"Construction Finish","")</f>
        <v>#N/A</v>
      </c>
      <c r="O200" s="291"/>
      <c r="P200" s="291"/>
      <c r="Q200" s="291"/>
      <c r="R200" s="291"/>
      <c r="S200" s="291"/>
      <c r="T200" s="291"/>
      <c r="U200" s="291"/>
      <c r="V200" s="292"/>
      <c r="W200" s="292"/>
      <c r="X200" s="292"/>
      <c r="Y200" s="291"/>
      <c r="Z200" s="279"/>
      <c r="AA200" s="279"/>
      <c r="AB200" s="279"/>
    </row>
    <row r="201" spans="2:28" s="278" customFormat="1" ht="11.65" hidden="1" customHeight="1" outlineLevel="1" x14ac:dyDescent="0.25">
      <c r="B201" s="270" t="e">
        <f>IF(AND($C201&gt;='TIF Loan Amortization'!$H$480,$C201&lt;='TIF Loan Amortization'!$I$480),'TIF Loan Amortization'!$G$480,IF(AND($C201&gt;='TIF Loan Amortization'!$H$481,$C201&lt;='TIF Loan Amortization'!I$481),'TIF Loan Amortization'!$G$481,IF(AND($C201&gt;='TIF Loan Amortization'!$H$482,$C201&lt;='TIF Loan Amortization'!I$482),'TIF Loan Amortization'!$G$482,IF(AND($C201&gt;='TIF Loan Amortization'!$H$483,$C201&lt;='TIF Loan Amortization'!I$483),'TIF Loan Amortization'!$G$483,IF(AND($C201&gt;='TIF Loan Amortization'!$H$484,$C201&lt;='TIF Loan Amortization'!I$484),'TIF Loan Amortization'!$G$484,IF(AND($C201&gt;='TIF Loan Amortization'!$H$485,$C201&lt;='TIF Loan Amortization'!I$485),'TIF Loan Amortization'!$G$485,IF(AND($C201&gt;='TIF Loan Amortization'!$H$486,$C201&lt;='TIF Loan Amortization'!I$486),'TIF Loan Amortization'!$G$486,IF(AND($C201&gt;='TIF Loan Amortization'!$H$487,$C201&lt;='TIF Loan Amortization'!I$487),'TIF Loan Amortization'!$G$487,IF(AND($C201&gt;='TIF Loan Amortization'!$H$488,$C201&lt;='TIF Loan Amortization'!I$488),'TIF Loan Amortization'!$G$488,IF(AND($C201&gt;='TIF Loan Amortization'!$H$489,$C201&lt;='TIF Loan Amortization'!I$489),'TIF Loan Amortization'!$G$489,IF(AND($C201&gt;='TIF Loan Amortization'!$H$490,$C201&lt;='TIF Loan Amortization'!I$490),'TIF Loan Amortization'!$G$490,IF(AND($C201&gt;='TIF Loan Amortization'!$H$491,$C201&lt;='TIF Loan Amortization'!I$491),'TIF Loan Amortization'!$G$491,IF(AND($C201&gt;='TIF Loan Amortization'!$H$492,$C201&lt;='TIF Loan Amortization'!I$492),'TIF Loan Amortization'!$G$492,IF(AND($C201&gt;='TIF Loan Amortization'!$H$493,$C201&lt;='TIF Loan Amortization'!I$493),'TIF Loan Amortization'!$G$493,IF(AND($C201&gt;='TIF Loan Amortization'!$H$494,$C201&lt;='TIF Loan Amortization'!I$494),'TIF Loan Amortization'!$G$494,IF(AND($C201&gt;='TIF Loan Amortization'!$H$495,$C201&lt;='TIF Loan Amortization'!I$495),'TIF Loan Amortization'!$G$495,IF(AND($C201&gt;='TIF Loan Amortization'!$H$496,$C201&lt;='TIF Loan Amortization'!I$496),'TIF Loan Amortization'!$G$496,IF(AND($C201&gt;='TIF Loan Amortization'!$H$497,$C201&lt;='TIF Loan Amortization'!I$497),'TIF Loan Amortization'!$G$497,IF(AND($C201&gt;='TIF Loan Amortization'!$H$498,$C201&lt;='TIF Loan Amortization'!I$498),'TIF Loan Amortization'!$G$498,IF(AND($C201&gt;='TIF Loan Amortization'!$H$499,$C201&lt;='TIF Loan Amortization'!I$499),'TIF Loan Amortization'!$G$499,IF(AND($C201&gt;='TIF Loan Amortization'!$H$500,$C201&lt;='TIF Loan Amortization'!I$500),'TIF Loan Amortization'!$G$500,IF(AND($C201&gt;='TIF Loan Amortization'!$H$501,$C201&lt;='TIF Loan Amortization'!I$501),'TIF Loan Amortization'!$G$501,IF(AND($C201&gt;='TIF Loan Amortization'!$H$502,$C201&lt;='TIF Loan Amortization'!I$502),'TIF Loan Amortization'!$G$502,IF(AND($C201&gt;='TIF Loan Amortization'!$H$503,$C201&lt;='TIF Loan Amortization'!I$503),'TIF Loan Amortization'!$G$503,IF(AND($C201&gt;='TIF Loan Amortization'!$H$504,$C201&lt;='TIF Loan Amortization'!I$504),'TIF Loan Amortization'!$G$504,IF(AND($C201&gt;='TIF Loan Amortization'!$H$505,$C201&lt;='TIF Loan Amortization'!I$505),'TIF Loan Amortization'!$G$505,IF(AND($C201&gt;='TIF Loan Amortization'!$H$506,$C201&lt;='TIF Loan Amortization'!I$506),'TIF Loan Amortization'!$G$506,IF(AND($C201&gt;='TIF Loan Amortization'!$H$507,$C201&lt;='TIF Loan Amortization'!I$507),'TIF Loan Amortization'!$G$507,IF(AND($C201&gt;='TIF Loan Amortization'!$H$508,$C201&lt;='TIF Loan Amortization'!I$508),'TIF Loan Amortization'!$G$508,IF(AND($C201&gt;='TIF Loan Amortization'!$H$509,$C201&lt;='TIF Loan Amortization'!I$509),'TIF Loan Amortization'!$G$509,IF(AND($C201&gt;='TIF Loan Amortization'!$H$510,$C201&lt;='TIF Loan Amortization'!I$510),'TIF Loan Amortization'!$G$510,IF(AND($C201&gt;='TIF Loan Amortization'!$H$511,$C201&lt;='TIF Loan Amortization'!I$511),'TIF Loan Amortization'!$G$511,IF(AND($C201&gt;='TIF Loan Amortization'!$H$512,$C201&lt;='TIF Loan Amortization'!I$512),'TIF Loan Amortization'!$G$512,IF(AND($C201&gt;='TIF Loan Amortization'!$H$513,$C201&lt;='TIF Loan Amortization'!I$513),'TIF Loan Amortization'!$G$513,IF(AND($C201&gt;='TIF Loan Amortization'!$H$514,$C201&lt;='TIF Loan Amortization'!I$514),'TIF Loan Amortization'!$G$514,IF(AND($C201&gt;='TIF Loan Amortization'!$H$515,$C201&lt;='TIF Loan Amortization'!I$515),'TIF Loan Amortization'!$G$515,IF(AND($C201&gt;='TIF Loan Amortization'!$H$516,$C201&lt;='TIF Loan Amortization'!I$516),'TIF Loan Amortization'!$G$516,IF(AND($C201&gt;='TIF Loan Amortization'!$H$517,$C201&lt;='TIF Loan Amortization'!I$517),'TIF Loan Amortization'!$G$517,IF(AND($C201&gt;='TIF Loan Amortization'!$H$518,$C201&lt;='TIF Loan Amortization'!I$518),'TIF Loan Amortization'!$G$518,IF(AND($C201&gt;='TIF Loan Amortization'!$H$519,$C201&lt;='TIF Loan Amortization'!I$519),'TIF Loan Amortization'!$G$519))))))))))))))))))))))))))))))))))))))))</f>
        <v>#N/A</v>
      </c>
      <c r="C201" s="269" t="e">
        <f t="shared" si="29"/>
        <v>#N/A</v>
      </c>
      <c r="D201" s="281" t="str">
        <f>IF($AG$429=1,$H$10+13,"")</f>
        <v/>
      </c>
      <c r="E201" s="274">
        <v>151</v>
      </c>
      <c r="F201" s="275" t="str">
        <f>VLOOKUP($AG$429,$AE$422:$AF$433,2)</f>
        <v>Oct</v>
      </c>
      <c r="G201" s="272">
        <f t="shared" si="30"/>
        <v>0</v>
      </c>
      <c r="H201" s="272">
        <f t="shared" si="33"/>
        <v>0</v>
      </c>
      <c r="I201" s="272">
        <f t="shared" si="34"/>
        <v>0</v>
      </c>
      <c r="J201" s="272">
        <f t="shared" si="31"/>
        <v>0</v>
      </c>
      <c r="K201" s="272">
        <f>IF(ISTEXT($M$4),"",SUM(I$50:I201))</f>
        <v>0</v>
      </c>
      <c r="L201" s="272">
        <f>IF(ISTEXT($M$4),"",SUM(J$50:J201))</f>
        <v>0</v>
      </c>
      <c r="M201" s="271">
        <f t="shared" si="32"/>
        <v>0</v>
      </c>
      <c r="N201" s="291" t="e">
        <f>IF(C201='Operating Assumptions'!$C$48,"Construction Finish","")</f>
        <v>#N/A</v>
      </c>
      <c r="O201" s="291"/>
      <c r="P201" s="291"/>
      <c r="Q201" s="291"/>
      <c r="R201" s="291"/>
      <c r="S201" s="291"/>
      <c r="T201" s="291"/>
      <c r="U201" s="291"/>
      <c r="V201" s="292"/>
      <c r="W201" s="292"/>
      <c r="X201" s="292"/>
      <c r="Y201" s="291"/>
      <c r="Z201" s="279"/>
      <c r="AA201" s="279"/>
      <c r="AB201" s="279"/>
    </row>
    <row r="202" spans="2:28" s="278" customFormat="1" ht="11.65" hidden="1" customHeight="1" outlineLevel="1" x14ac:dyDescent="0.25">
      <c r="B202" s="270" t="e">
        <f>IF(AND($C202&gt;='TIF Loan Amortization'!$H$480,$C202&lt;='TIF Loan Amortization'!$I$480),'TIF Loan Amortization'!$G$480,IF(AND($C202&gt;='TIF Loan Amortization'!$H$481,$C202&lt;='TIF Loan Amortization'!I$481),'TIF Loan Amortization'!$G$481,IF(AND($C202&gt;='TIF Loan Amortization'!$H$482,$C202&lt;='TIF Loan Amortization'!I$482),'TIF Loan Amortization'!$G$482,IF(AND($C202&gt;='TIF Loan Amortization'!$H$483,$C202&lt;='TIF Loan Amortization'!I$483),'TIF Loan Amortization'!$G$483,IF(AND($C202&gt;='TIF Loan Amortization'!$H$484,$C202&lt;='TIF Loan Amortization'!I$484),'TIF Loan Amortization'!$G$484,IF(AND($C202&gt;='TIF Loan Amortization'!$H$485,$C202&lt;='TIF Loan Amortization'!I$485),'TIF Loan Amortization'!$G$485,IF(AND($C202&gt;='TIF Loan Amortization'!$H$486,$C202&lt;='TIF Loan Amortization'!I$486),'TIF Loan Amortization'!$G$486,IF(AND($C202&gt;='TIF Loan Amortization'!$H$487,$C202&lt;='TIF Loan Amortization'!I$487),'TIF Loan Amortization'!$G$487,IF(AND($C202&gt;='TIF Loan Amortization'!$H$488,$C202&lt;='TIF Loan Amortization'!I$488),'TIF Loan Amortization'!$G$488,IF(AND($C202&gt;='TIF Loan Amortization'!$H$489,$C202&lt;='TIF Loan Amortization'!I$489),'TIF Loan Amortization'!$G$489,IF(AND($C202&gt;='TIF Loan Amortization'!$H$490,$C202&lt;='TIF Loan Amortization'!I$490),'TIF Loan Amortization'!$G$490,IF(AND($C202&gt;='TIF Loan Amortization'!$H$491,$C202&lt;='TIF Loan Amortization'!I$491),'TIF Loan Amortization'!$G$491,IF(AND($C202&gt;='TIF Loan Amortization'!$H$492,$C202&lt;='TIF Loan Amortization'!I$492),'TIF Loan Amortization'!$G$492,IF(AND($C202&gt;='TIF Loan Amortization'!$H$493,$C202&lt;='TIF Loan Amortization'!I$493),'TIF Loan Amortization'!$G$493,IF(AND($C202&gt;='TIF Loan Amortization'!$H$494,$C202&lt;='TIF Loan Amortization'!I$494),'TIF Loan Amortization'!$G$494,IF(AND($C202&gt;='TIF Loan Amortization'!$H$495,$C202&lt;='TIF Loan Amortization'!I$495),'TIF Loan Amortization'!$G$495,IF(AND($C202&gt;='TIF Loan Amortization'!$H$496,$C202&lt;='TIF Loan Amortization'!I$496),'TIF Loan Amortization'!$G$496,IF(AND($C202&gt;='TIF Loan Amortization'!$H$497,$C202&lt;='TIF Loan Amortization'!I$497),'TIF Loan Amortization'!$G$497,IF(AND($C202&gt;='TIF Loan Amortization'!$H$498,$C202&lt;='TIF Loan Amortization'!I$498),'TIF Loan Amortization'!$G$498,IF(AND($C202&gt;='TIF Loan Amortization'!$H$499,$C202&lt;='TIF Loan Amortization'!I$499),'TIF Loan Amortization'!$G$499,IF(AND($C202&gt;='TIF Loan Amortization'!$H$500,$C202&lt;='TIF Loan Amortization'!I$500),'TIF Loan Amortization'!$G$500,IF(AND($C202&gt;='TIF Loan Amortization'!$H$501,$C202&lt;='TIF Loan Amortization'!I$501),'TIF Loan Amortization'!$G$501,IF(AND($C202&gt;='TIF Loan Amortization'!$H$502,$C202&lt;='TIF Loan Amortization'!I$502),'TIF Loan Amortization'!$G$502,IF(AND($C202&gt;='TIF Loan Amortization'!$H$503,$C202&lt;='TIF Loan Amortization'!I$503),'TIF Loan Amortization'!$G$503,IF(AND($C202&gt;='TIF Loan Amortization'!$H$504,$C202&lt;='TIF Loan Amortization'!I$504),'TIF Loan Amortization'!$G$504,IF(AND($C202&gt;='TIF Loan Amortization'!$H$505,$C202&lt;='TIF Loan Amortization'!I$505),'TIF Loan Amortization'!$G$505,IF(AND($C202&gt;='TIF Loan Amortization'!$H$506,$C202&lt;='TIF Loan Amortization'!I$506),'TIF Loan Amortization'!$G$506,IF(AND($C202&gt;='TIF Loan Amortization'!$H$507,$C202&lt;='TIF Loan Amortization'!I$507),'TIF Loan Amortization'!$G$507,IF(AND($C202&gt;='TIF Loan Amortization'!$H$508,$C202&lt;='TIF Loan Amortization'!I$508),'TIF Loan Amortization'!$G$508,IF(AND($C202&gt;='TIF Loan Amortization'!$H$509,$C202&lt;='TIF Loan Amortization'!I$509),'TIF Loan Amortization'!$G$509,IF(AND($C202&gt;='TIF Loan Amortization'!$H$510,$C202&lt;='TIF Loan Amortization'!I$510),'TIF Loan Amortization'!$G$510,IF(AND($C202&gt;='TIF Loan Amortization'!$H$511,$C202&lt;='TIF Loan Amortization'!I$511),'TIF Loan Amortization'!$G$511,IF(AND($C202&gt;='TIF Loan Amortization'!$H$512,$C202&lt;='TIF Loan Amortization'!I$512),'TIF Loan Amortization'!$G$512,IF(AND($C202&gt;='TIF Loan Amortization'!$H$513,$C202&lt;='TIF Loan Amortization'!I$513),'TIF Loan Amortization'!$G$513,IF(AND($C202&gt;='TIF Loan Amortization'!$H$514,$C202&lt;='TIF Loan Amortization'!I$514),'TIF Loan Amortization'!$G$514,IF(AND($C202&gt;='TIF Loan Amortization'!$H$515,$C202&lt;='TIF Loan Amortization'!I$515),'TIF Loan Amortization'!$G$515,IF(AND($C202&gt;='TIF Loan Amortization'!$H$516,$C202&lt;='TIF Loan Amortization'!I$516),'TIF Loan Amortization'!$G$516,IF(AND($C202&gt;='TIF Loan Amortization'!$H$517,$C202&lt;='TIF Loan Amortization'!I$517),'TIF Loan Amortization'!$G$517,IF(AND($C202&gt;='TIF Loan Amortization'!$H$518,$C202&lt;='TIF Loan Amortization'!I$518),'TIF Loan Amortization'!$G$518,IF(AND($C202&gt;='TIF Loan Amortization'!$H$519,$C202&lt;='TIF Loan Amortization'!I$519),'TIF Loan Amortization'!$G$519))))))))))))))))))))))))))))))))))))))))</f>
        <v>#N/A</v>
      </c>
      <c r="C202" s="269" t="e">
        <f t="shared" si="29"/>
        <v>#N/A</v>
      </c>
      <c r="D202" s="281" t="str">
        <f>IF($AG$430=1,$H$10+13,"")</f>
        <v/>
      </c>
      <c r="E202" s="274">
        <v>152</v>
      </c>
      <c r="F202" s="275" t="str">
        <f>VLOOKUP($AG$430,$AE$422:$AF$433,2)</f>
        <v>Nov</v>
      </c>
      <c r="G202" s="272">
        <f t="shared" si="30"/>
        <v>0</v>
      </c>
      <c r="H202" s="272">
        <f t="shared" si="33"/>
        <v>0</v>
      </c>
      <c r="I202" s="272">
        <f t="shared" si="34"/>
        <v>0</v>
      </c>
      <c r="J202" s="272">
        <f t="shared" si="31"/>
        <v>0</v>
      </c>
      <c r="K202" s="272">
        <f>IF(ISTEXT($M$4),"",SUM(I$50:I202))</f>
        <v>0</v>
      </c>
      <c r="L202" s="272">
        <f>IF(ISTEXT($M$4),"",SUM(J$50:J202))</f>
        <v>0</v>
      </c>
      <c r="M202" s="271">
        <f t="shared" si="32"/>
        <v>0</v>
      </c>
      <c r="N202" s="291" t="e">
        <f>IF(C202='Operating Assumptions'!$C$48,"Construction Finish","")</f>
        <v>#N/A</v>
      </c>
      <c r="O202" s="291"/>
      <c r="P202" s="291"/>
      <c r="Q202" s="291"/>
      <c r="R202" s="291"/>
      <c r="S202" s="291"/>
      <c r="T202" s="291"/>
      <c r="U202" s="291"/>
      <c r="V202" s="292"/>
      <c r="W202" s="292"/>
      <c r="X202" s="292"/>
      <c r="Y202" s="291"/>
      <c r="Z202" s="279"/>
      <c r="AA202" s="279"/>
      <c r="AB202" s="279"/>
    </row>
    <row r="203" spans="2:28" s="278" customFormat="1" ht="11.65" hidden="1" customHeight="1" outlineLevel="1" x14ac:dyDescent="0.25">
      <c r="B203" s="270" t="e">
        <f>IF(AND($C203&gt;='TIF Loan Amortization'!$H$480,$C203&lt;='TIF Loan Amortization'!$I$480),'TIF Loan Amortization'!$G$480,IF(AND($C203&gt;='TIF Loan Amortization'!$H$481,$C203&lt;='TIF Loan Amortization'!I$481),'TIF Loan Amortization'!$G$481,IF(AND($C203&gt;='TIF Loan Amortization'!$H$482,$C203&lt;='TIF Loan Amortization'!I$482),'TIF Loan Amortization'!$G$482,IF(AND($C203&gt;='TIF Loan Amortization'!$H$483,$C203&lt;='TIF Loan Amortization'!I$483),'TIF Loan Amortization'!$G$483,IF(AND($C203&gt;='TIF Loan Amortization'!$H$484,$C203&lt;='TIF Loan Amortization'!I$484),'TIF Loan Amortization'!$G$484,IF(AND($C203&gt;='TIF Loan Amortization'!$H$485,$C203&lt;='TIF Loan Amortization'!I$485),'TIF Loan Amortization'!$G$485,IF(AND($C203&gt;='TIF Loan Amortization'!$H$486,$C203&lt;='TIF Loan Amortization'!I$486),'TIF Loan Amortization'!$G$486,IF(AND($C203&gt;='TIF Loan Amortization'!$H$487,$C203&lt;='TIF Loan Amortization'!I$487),'TIF Loan Amortization'!$G$487,IF(AND($C203&gt;='TIF Loan Amortization'!$H$488,$C203&lt;='TIF Loan Amortization'!I$488),'TIF Loan Amortization'!$G$488,IF(AND($C203&gt;='TIF Loan Amortization'!$H$489,$C203&lt;='TIF Loan Amortization'!I$489),'TIF Loan Amortization'!$G$489,IF(AND($C203&gt;='TIF Loan Amortization'!$H$490,$C203&lt;='TIF Loan Amortization'!I$490),'TIF Loan Amortization'!$G$490,IF(AND($C203&gt;='TIF Loan Amortization'!$H$491,$C203&lt;='TIF Loan Amortization'!I$491),'TIF Loan Amortization'!$G$491,IF(AND($C203&gt;='TIF Loan Amortization'!$H$492,$C203&lt;='TIF Loan Amortization'!I$492),'TIF Loan Amortization'!$G$492,IF(AND($C203&gt;='TIF Loan Amortization'!$H$493,$C203&lt;='TIF Loan Amortization'!I$493),'TIF Loan Amortization'!$G$493,IF(AND($C203&gt;='TIF Loan Amortization'!$H$494,$C203&lt;='TIF Loan Amortization'!I$494),'TIF Loan Amortization'!$G$494,IF(AND($C203&gt;='TIF Loan Amortization'!$H$495,$C203&lt;='TIF Loan Amortization'!I$495),'TIF Loan Amortization'!$G$495,IF(AND($C203&gt;='TIF Loan Amortization'!$H$496,$C203&lt;='TIF Loan Amortization'!I$496),'TIF Loan Amortization'!$G$496,IF(AND($C203&gt;='TIF Loan Amortization'!$H$497,$C203&lt;='TIF Loan Amortization'!I$497),'TIF Loan Amortization'!$G$497,IF(AND($C203&gt;='TIF Loan Amortization'!$H$498,$C203&lt;='TIF Loan Amortization'!I$498),'TIF Loan Amortization'!$G$498,IF(AND($C203&gt;='TIF Loan Amortization'!$H$499,$C203&lt;='TIF Loan Amortization'!I$499),'TIF Loan Amortization'!$G$499,IF(AND($C203&gt;='TIF Loan Amortization'!$H$500,$C203&lt;='TIF Loan Amortization'!I$500),'TIF Loan Amortization'!$G$500,IF(AND($C203&gt;='TIF Loan Amortization'!$H$501,$C203&lt;='TIF Loan Amortization'!I$501),'TIF Loan Amortization'!$G$501,IF(AND($C203&gt;='TIF Loan Amortization'!$H$502,$C203&lt;='TIF Loan Amortization'!I$502),'TIF Loan Amortization'!$G$502,IF(AND($C203&gt;='TIF Loan Amortization'!$H$503,$C203&lt;='TIF Loan Amortization'!I$503),'TIF Loan Amortization'!$G$503,IF(AND($C203&gt;='TIF Loan Amortization'!$H$504,$C203&lt;='TIF Loan Amortization'!I$504),'TIF Loan Amortization'!$G$504,IF(AND($C203&gt;='TIF Loan Amortization'!$H$505,$C203&lt;='TIF Loan Amortization'!I$505),'TIF Loan Amortization'!$G$505,IF(AND($C203&gt;='TIF Loan Amortization'!$H$506,$C203&lt;='TIF Loan Amortization'!I$506),'TIF Loan Amortization'!$G$506,IF(AND($C203&gt;='TIF Loan Amortization'!$H$507,$C203&lt;='TIF Loan Amortization'!I$507),'TIF Loan Amortization'!$G$507,IF(AND($C203&gt;='TIF Loan Amortization'!$H$508,$C203&lt;='TIF Loan Amortization'!I$508),'TIF Loan Amortization'!$G$508,IF(AND($C203&gt;='TIF Loan Amortization'!$H$509,$C203&lt;='TIF Loan Amortization'!I$509),'TIF Loan Amortization'!$G$509,IF(AND($C203&gt;='TIF Loan Amortization'!$H$510,$C203&lt;='TIF Loan Amortization'!I$510),'TIF Loan Amortization'!$G$510,IF(AND($C203&gt;='TIF Loan Amortization'!$H$511,$C203&lt;='TIF Loan Amortization'!I$511),'TIF Loan Amortization'!$G$511,IF(AND($C203&gt;='TIF Loan Amortization'!$H$512,$C203&lt;='TIF Loan Amortization'!I$512),'TIF Loan Amortization'!$G$512,IF(AND($C203&gt;='TIF Loan Amortization'!$H$513,$C203&lt;='TIF Loan Amortization'!I$513),'TIF Loan Amortization'!$G$513,IF(AND($C203&gt;='TIF Loan Amortization'!$H$514,$C203&lt;='TIF Loan Amortization'!I$514),'TIF Loan Amortization'!$G$514,IF(AND($C203&gt;='TIF Loan Amortization'!$H$515,$C203&lt;='TIF Loan Amortization'!I$515),'TIF Loan Amortization'!$G$515,IF(AND($C203&gt;='TIF Loan Amortization'!$H$516,$C203&lt;='TIF Loan Amortization'!I$516),'TIF Loan Amortization'!$G$516,IF(AND($C203&gt;='TIF Loan Amortization'!$H$517,$C203&lt;='TIF Loan Amortization'!I$517),'TIF Loan Amortization'!$G$517,IF(AND($C203&gt;='TIF Loan Amortization'!$H$518,$C203&lt;='TIF Loan Amortization'!I$518),'TIF Loan Amortization'!$G$518,IF(AND($C203&gt;='TIF Loan Amortization'!$H$519,$C203&lt;='TIF Loan Amortization'!I$519),'TIF Loan Amortization'!$G$519))))))))))))))))))))))))))))))))))))))))</f>
        <v>#N/A</v>
      </c>
      <c r="C203" s="269" t="e">
        <f t="shared" si="29"/>
        <v>#N/A</v>
      </c>
      <c r="D203" s="281" t="str">
        <f>IF($AG$431=1,$H$10+13,"")</f>
        <v/>
      </c>
      <c r="E203" s="274">
        <v>153</v>
      </c>
      <c r="F203" s="275" t="str">
        <f>VLOOKUP($AG$431,$AE$422:$AF$433,2)</f>
        <v>Dec</v>
      </c>
      <c r="G203" s="272">
        <f t="shared" si="30"/>
        <v>0</v>
      </c>
      <c r="H203" s="272">
        <f t="shared" si="33"/>
        <v>0</v>
      </c>
      <c r="I203" s="272">
        <f t="shared" si="34"/>
        <v>0</v>
      </c>
      <c r="J203" s="272">
        <f t="shared" si="31"/>
        <v>0</v>
      </c>
      <c r="K203" s="272">
        <f>IF(ISTEXT($M$4),"",SUM(I$50:I203))</f>
        <v>0</v>
      </c>
      <c r="L203" s="272">
        <f>IF(ISTEXT($M$4),"",SUM(J$50:J203))</f>
        <v>0</v>
      </c>
      <c r="M203" s="271">
        <f t="shared" si="32"/>
        <v>0</v>
      </c>
      <c r="N203" s="291" t="e">
        <f>IF(C203='Operating Assumptions'!$C$48,"Construction Finish","")</f>
        <v>#N/A</v>
      </c>
      <c r="O203" s="291"/>
      <c r="P203" s="291"/>
      <c r="Q203" s="291"/>
      <c r="R203" s="291"/>
      <c r="S203" s="291"/>
      <c r="T203" s="291"/>
      <c r="U203" s="291"/>
      <c r="V203" s="292"/>
      <c r="W203" s="292"/>
      <c r="X203" s="292"/>
      <c r="Y203" s="291"/>
      <c r="Z203" s="279"/>
      <c r="AA203" s="279"/>
      <c r="AB203" s="279"/>
    </row>
    <row r="204" spans="2:28" s="278" customFormat="1" ht="11.65" hidden="1" customHeight="1" outlineLevel="1" x14ac:dyDescent="0.25">
      <c r="B204" s="270" t="e">
        <f>IF(AND($C204&gt;='TIF Loan Amortization'!$H$480,$C204&lt;='TIF Loan Amortization'!$I$480),'TIF Loan Amortization'!$G$480,IF(AND($C204&gt;='TIF Loan Amortization'!$H$481,$C204&lt;='TIF Loan Amortization'!I$481),'TIF Loan Amortization'!$G$481,IF(AND($C204&gt;='TIF Loan Amortization'!$H$482,$C204&lt;='TIF Loan Amortization'!I$482),'TIF Loan Amortization'!$G$482,IF(AND($C204&gt;='TIF Loan Amortization'!$H$483,$C204&lt;='TIF Loan Amortization'!I$483),'TIF Loan Amortization'!$G$483,IF(AND($C204&gt;='TIF Loan Amortization'!$H$484,$C204&lt;='TIF Loan Amortization'!I$484),'TIF Loan Amortization'!$G$484,IF(AND($C204&gt;='TIF Loan Amortization'!$H$485,$C204&lt;='TIF Loan Amortization'!I$485),'TIF Loan Amortization'!$G$485,IF(AND($C204&gt;='TIF Loan Amortization'!$H$486,$C204&lt;='TIF Loan Amortization'!I$486),'TIF Loan Amortization'!$G$486,IF(AND($C204&gt;='TIF Loan Amortization'!$H$487,$C204&lt;='TIF Loan Amortization'!I$487),'TIF Loan Amortization'!$G$487,IF(AND($C204&gt;='TIF Loan Amortization'!$H$488,$C204&lt;='TIF Loan Amortization'!I$488),'TIF Loan Amortization'!$G$488,IF(AND($C204&gt;='TIF Loan Amortization'!$H$489,$C204&lt;='TIF Loan Amortization'!I$489),'TIF Loan Amortization'!$G$489,IF(AND($C204&gt;='TIF Loan Amortization'!$H$490,$C204&lt;='TIF Loan Amortization'!I$490),'TIF Loan Amortization'!$G$490,IF(AND($C204&gt;='TIF Loan Amortization'!$H$491,$C204&lt;='TIF Loan Amortization'!I$491),'TIF Loan Amortization'!$G$491,IF(AND($C204&gt;='TIF Loan Amortization'!$H$492,$C204&lt;='TIF Loan Amortization'!I$492),'TIF Loan Amortization'!$G$492,IF(AND($C204&gt;='TIF Loan Amortization'!$H$493,$C204&lt;='TIF Loan Amortization'!I$493),'TIF Loan Amortization'!$G$493,IF(AND($C204&gt;='TIF Loan Amortization'!$H$494,$C204&lt;='TIF Loan Amortization'!I$494),'TIF Loan Amortization'!$G$494,IF(AND($C204&gt;='TIF Loan Amortization'!$H$495,$C204&lt;='TIF Loan Amortization'!I$495),'TIF Loan Amortization'!$G$495,IF(AND($C204&gt;='TIF Loan Amortization'!$H$496,$C204&lt;='TIF Loan Amortization'!I$496),'TIF Loan Amortization'!$G$496,IF(AND($C204&gt;='TIF Loan Amortization'!$H$497,$C204&lt;='TIF Loan Amortization'!I$497),'TIF Loan Amortization'!$G$497,IF(AND($C204&gt;='TIF Loan Amortization'!$H$498,$C204&lt;='TIF Loan Amortization'!I$498),'TIF Loan Amortization'!$G$498,IF(AND($C204&gt;='TIF Loan Amortization'!$H$499,$C204&lt;='TIF Loan Amortization'!I$499),'TIF Loan Amortization'!$G$499,IF(AND($C204&gt;='TIF Loan Amortization'!$H$500,$C204&lt;='TIF Loan Amortization'!I$500),'TIF Loan Amortization'!$G$500,IF(AND($C204&gt;='TIF Loan Amortization'!$H$501,$C204&lt;='TIF Loan Amortization'!I$501),'TIF Loan Amortization'!$G$501,IF(AND($C204&gt;='TIF Loan Amortization'!$H$502,$C204&lt;='TIF Loan Amortization'!I$502),'TIF Loan Amortization'!$G$502,IF(AND($C204&gt;='TIF Loan Amortization'!$H$503,$C204&lt;='TIF Loan Amortization'!I$503),'TIF Loan Amortization'!$G$503,IF(AND($C204&gt;='TIF Loan Amortization'!$H$504,$C204&lt;='TIF Loan Amortization'!I$504),'TIF Loan Amortization'!$G$504,IF(AND($C204&gt;='TIF Loan Amortization'!$H$505,$C204&lt;='TIF Loan Amortization'!I$505),'TIF Loan Amortization'!$G$505,IF(AND($C204&gt;='TIF Loan Amortization'!$H$506,$C204&lt;='TIF Loan Amortization'!I$506),'TIF Loan Amortization'!$G$506,IF(AND($C204&gt;='TIF Loan Amortization'!$H$507,$C204&lt;='TIF Loan Amortization'!I$507),'TIF Loan Amortization'!$G$507,IF(AND($C204&gt;='TIF Loan Amortization'!$H$508,$C204&lt;='TIF Loan Amortization'!I$508),'TIF Loan Amortization'!$G$508,IF(AND($C204&gt;='TIF Loan Amortization'!$H$509,$C204&lt;='TIF Loan Amortization'!I$509),'TIF Loan Amortization'!$G$509,IF(AND($C204&gt;='TIF Loan Amortization'!$H$510,$C204&lt;='TIF Loan Amortization'!I$510),'TIF Loan Amortization'!$G$510,IF(AND($C204&gt;='TIF Loan Amortization'!$H$511,$C204&lt;='TIF Loan Amortization'!I$511),'TIF Loan Amortization'!$G$511,IF(AND($C204&gt;='TIF Loan Amortization'!$H$512,$C204&lt;='TIF Loan Amortization'!I$512),'TIF Loan Amortization'!$G$512,IF(AND($C204&gt;='TIF Loan Amortization'!$H$513,$C204&lt;='TIF Loan Amortization'!I$513),'TIF Loan Amortization'!$G$513,IF(AND($C204&gt;='TIF Loan Amortization'!$H$514,$C204&lt;='TIF Loan Amortization'!I$514),'TIF Loan Amortization'!$G$514,IF(AND($C204&gt;='TIF Loan Amortization'!$H$515,$C204&lt;='TIF Loan Amortization'!I$515),'TIF Loan Amortization'!$G$515,IF(AND($C204&gt;='TIF Loan Amortization'!$H$516,$C204&lt;='TIF Loan Amortization'!I$516),'TIF Loan Amortization'!$G$516,IF(AND($C204&gt;='TIF Loan Amortization'!$H$517,$C204&lt;='TIF Loan Amortization'!I$517),'TIF Loan Amortization'!$G$517,IF(AND($C204&gt;='TIF Loan Amortization'!$H$518,$C204&lt;='TIF Loan Amortization'!I$518),'TIF Loan Amortization'!$G$518,IF(AND($C204&gt;='TIF Loan Amortization'!$H$519,$C204&lt;='TIF Loan Amortization'!I$519),'TIF Loan Amortization'!$G$519))))))))))))))))))))))))))))))))))))))))</f>
        <v>#N/A</v>
      </c>
      <c r="C204" s="269" t="e">
        <f t="shared" si="29"/>
        <v>#N/A</v>
      </c>
      <c r="D204" s="281">
        <f>IF($AG$432=1,$H$10+13,"")</f>
        <v>2038</v>
      </c>
      <c r="E204" s="274">
        <v>154</v>
      </c>
      <c r="F204" s="273" t="str">
        <f>VLOOKUP($AG$432,$AE$422:$AF$433,2)</f>
        <v>Jan</v>
      </c>
      <c r="G204" s="272">
        <f t="shared" si="30"/>
        <v>0</v>
      </c>
      <c r="H204" s="272">
        <f t="shared" si="33"/>
        <v>0</v>
      </c>
      <c r="I204" s="272">
        <f t="shared" si="34"/>
        <v>0</v>
      </c>
      <c r="J204" s="272">
        <f t="shared" si="31"/>
        <v>0</v>
      </c>
      <c r="K204" s="272">
        <f>IF(ISTEXT($M$4),"",SUM(I$50:I204))</f>
        <v>0</v>
      </c>
      <c r="L204" s="272">
        <f>IF(ISTEXT($M$4),"",SUM(J$50:J204))</f>
        <v>0</v>
      </c>
      <c r="M204" s="271">
        <f t="shared" si="32"/>
        <v>0</v>
      </c>
      <c r="N204" s="291" t="e">
        <f>IF(C204='Operating Assumptions'!$C$48,"Construction Finish","")</f>
        <v>#N/A</v>
      </c>
      <c r="O204" s="291"/>
      <c r="P204" s="291"/>
      <c r="Q204" s="291"/>
      <c r="R204" s="291"/>
      <c r="S204" s="291"/>
      <c r="T204" s="291"/>
      <c r="U204" s="291"/>
      <c r="V204" s="292"/>
      <c r="W204" s="292"/>
      <c r="X204" s="292"/>
      <c r="Y204" s="291"/>
      <c r="Z204" s="279"/>
      <c r="AA204" s="279"/>
      <c r="AB204" s="279"/>
    </row>
    <row r="205" spans="2:28" s="278" customFormat="1" ht="11.65" hidden="1" customHeight="1" outlineLevel="1" x14ac:dyDescent="0.25">
      <c r="B205" s="270" t="e">
        <f>IF(AND($C205&gt;='TIF Loan Amortization'!$H$480,$C205&lt;='TIF Loan Amortization'!$I$480),'TIF Loan Amortization'!$G$480,IF(AND($C205&gt;='TIF Loan Amortization'!$H$481,$C205&lt;='TIF Loan Amortization'!I$481),'TIF Loan Amortization'!$G$481,IF(AND($C205&gt;='TIF Loan Amortization'!$H$482,$C205&lt;='TIF Loan Amortization'!I$482),'TIF Loan Amortization'!$G$482,IF(AND($C205&gt;='TIF Loan Amortization'!$H$483,$C205&lt;='TIF Loan Amortization'!I$483),'TIF Loan Amortization'!$G$483,IF(AND($C205&gt;='TIF Loan Amortization'!$H$484,$C205&lt;='TIF Loan Amortization'!I$484),'TIF Loan Amortization'!$G$484,IF(AND($C205&gt;='TIF Loan Amortization'!$H$485,$C205&lt;='TIF Loan Amortization'!I$485),'TIF Loan Amortization'!$G$485,IF(AND($C205&gt;='TIF Loan Amortization'!$H$486,$C205&lt;='TIF Loan Amortization'!I$486),'TIF Loan Amortization'!$G$486,IF(AND($C205&gt;='TIF Loan Amortization'!$H$487,$C205&lt;='TIF Loan Amortization'!I$487),'TIF Loan Amortization'!$G$487,IF(AND($C205&gt;='TIF Loan Amortization'!$H$488,$C205&lt;='TIF Loan Amortization'!I$488),'TIF Loan Amortization'!$G$488,IF(AND($C205&gt;='TIF Loan Amortization'!$H$489,$C205&lt;='TIF Loan Amortization'!I$489),'TIF Loan Amortization'!$G$489,IF(AND($C205&gt;='TIF Loan Amortization'!$H$490,$C205&lt;='TIF Loan Amortization'!I$490),'TIF Loan Amortization'!$G$490,IF(AND($C205&gt;='TIF Loan Amortization'!$H$491,$C205&lt;='TIF Loan Amortization'!I$491),'TIF Loan Amortization'!$G$491,IF(AND($C205&gt;='TIF Loan Amortization'!$H$492,$C205&lt;='TIF Loan Amortization'!I$492),'TIF Loan Amortization'!$G$492,IF(AND($C205&gt;='TIF Loan Amortization'!$H$493,$C205&lt;='TIF Loan Amortization'!I$493),'TIF Loan Amortization'!$G$493,IF(AND($C205&gt;='TIF Loan Amortization'!$H$494,$C205&lt;='TIF Loan Amortization'!I$494),'TIF Loan Amortization'!$G$494,IF(AND($C205&gt;='TIF Loan Amortization'!$H$495,$C205&lt;='TIF Loan Amortization'!I$495),'TIF Loan Amortization'!$G$495,IF(AND($C205&gt;='TIF Loan Amortization'!$H$496,$C205&lt;='TIF Loan Amortization'!I$496),'TIF Loan Amortization'!$G$496,IF(AND($C205&gt;='TIF Loan Amortization'!$H$497,$C205&lt;='TIF Loan Amortization'!I$497),'TIF Loan Amortization'!$G$497,IF(AND($C205&gt;='TIF Loan Amortization'!$H$498,$C205&lt;='TIF Loan Amortization'!I$498),'TIF Loan Amortization'!$G$498,IF(AND($C205&gt;='TIF Loan Amortization'!$H$499,$C205&lt;='TIF Loan Amortization'!I$499),'TIF Loan Amortization'!$G$499,IF(AND($C205&gt;='TIF Loan Amortization'!$H$500,$C205&lt;='TIF Loan Amortization'!I$500),'TIF Loan Amortization'!$G$500,IF(AND($C205&gt;='TIF Loan Amortization'!$H$501,$C205&lt;='TIF Loan Amortization'!I$501),'TIF Loan Amortization'!$G$501,IF(AND($C205&gt;='TIF Loan Amortization'!$H$502,$C205&lt;='TIF Loan Amortization'!I$502),'TIF Loan Amortization'!$G$502,IF(AND($C205&gt;='TIF Loan Amortization'!$H$503,$C205&lt;='TIF Loan Amortization'!I$503),'TIF Loan Amortization'!$G$503,IF(AND($C205&gt;='TIF Loan Amortization'!$H$504,$C205&lt;='TIF Loan Amortization'!I$504),'TIF Loan Amortization'!$G$504,IF(AND($C205&gt;='TIF Loan Amortization'!$H$505,$C205&lt;='TIF Loan Amortization'!I$505),'TIF Loan Amortization'!$G$505,IF(AND($C205&gt;='TIF Loan Amortization'!$H$506,$C205&lt;='TIF Loan Amortization'!I$506),'TIF Loan Amortization'!$G$506,IF(AND($C205&gt;='TIF Loan Amortization'!$H$507,$C205&lt;='TIF Loan Amortization'!I$507),'TIF Loan Amortization'!$G$507,IF(AND($C205&gt;='TIF Loan Amortization'!$H$508,$C205&lt;='TIF Loan Amortization'!I$508),'TIF Loan Amortization'!$G$508,IF(AND($C205&gt;='TIF Loan Amortization'!$H$509,$C205&lt;='TIF Loan Amortization'!I$509),'TIF Loan Amortization'!$G$509,IF(AND($C205&gt;='TIF Loan Amortization'!$H$510,$C205&lt;='TIF Loan Amortization'!I$510),'TIF Loan Amortization'!$G$510,IF(AND($C205&gt;='TIF Loan Amortization'!$H$511,$C205&lt;='TIF Loan Amortization'!I$511),'TIF Loan Amortization'!$G$511,IF(AND($C205&gt;='TIF Loan Amortization'!$H$512,$C205&lt;='TIF Loan Amortization'!I$512),'TIF Loan Amortization'!$G$512,IF(AND($C205&gt;='TIF Loan Amortization'!$H$513,$C205&lt;='TIF Loan Amortization'!I$513),'TIF Loan Amortization'!$G$513,IF(AND($C205&gt;='TIF Loan Amortization'!$H$514,$C205&lt;='TIF Loan Amortization'!I$514),'TIF Loan Amortization'!$G$514,IF(AND($C205&gt;='TIF Loan Amortization'!$H$515,$C205&lt;='TIF Loan Amortization'!I$515),'TIF Loan Amortization'!$G$515,IF(AND($C205&gt;='TIF Loan Amortization'!$H$516,$C205&lt;='TIF Loan Amortization'!I$516),'TIF Loan Amortization'!$G$516,IF(AND($C205&gt;='TIF Loan Amortization'!$H$517,$C205&lt;='TIF Loan Amortization'!I$517),'TIF Loan Amortization'!$G$517,IF(AND($C205&gt;='TIF Loan Amortization'!$H$518,$C205&lt;='TIF Loan Amortization'!I$518),'TIF Loan Amortization'!$G$518,IF(AND($C205&gt;='TIF Loan Amortization'!$H$519,$C205&lt;='TIF Loan Amortization'!I$519),'TIF Loan Amortization'!$G$519))))))))))))))))))))))))))))))))))))))))</f>
        <v>#N/A</v>
      </c>
      <c r="C205" s="269" t="e">
        <f t="shared" si="29"/>
        <v>#N/A</v>
      </c>
      <c r="D205" s="281" t="str">
        <f>IF($AG$433=1,$H$10+13,"")</f>
        <v/>
      </c>
      <c r="E205" s="274">
        <v>155</v>
      </c>
      <c r="F205" s="273" t="str">
        <f>VLOOKUP($AG$433,$AE$422:$AF$433,2)</f>
        <v>Feb</v>
      </c>
      <c r="G205" s="272">
        <f t="shared" si="30"/>
        <v>0</v>
      </c>
      <c r="H205" s="272">
        <f t="shared" si="33"/>
        <v>0</v>
      </c>
      <c r="I205" s="272">
        <f t="shared" si="34"/>
        <v>0</v>
      </c>
      <c r="J205" s="272">
        <f t="shared" si="31"/>
        <v>0</v>
      </c>
      <c r="K205" s="272">
        <f>IF(ISTEXT($M$4),"",SUM(I$50:I205))</f>
        <v>0</v>
      </c>
      <c r="L205" s="272">
        <f>IF(ISTEXT($M$4),"",SUM(J$50:J205))</f>
        <v>0</v>
      </c>
      <c r="M205" s="271">
        <f t="shared" si="32"/>
        <v>0</v>
      </c>
      <c r="N205" s="291" t="e">
        <f>IF(C205='Operating Assumptions'!$C$48,"Construction Finish","")</f>
        <v>#N/A</v>
      </c>
      <c r="O205" s="291"/>
      <c r="P205" s="291"/>
      <c r="Q205" s="291"/>
      <c r="R205" s="291"/>
      <c r="S205" s="291"/>
      <c r="T205" s="291"/>
      <c r="U205" s="291"/>
      <c r="V205" s="292"/>
      <c r="W205" s="292"/>
      <c r="X205" s="292"/>
      <c r="Y205" s="291"/>
      <c r="Z205" s="279"/>
      <c r="AA205" s="279"/>
      <c r="AB205" s="279"/>
    </row>
    <row r="206" spans="2:28" s="278" customFormat="1" ht="11.65" hidden="1" customHeight="1" outlineLevel="1" x14ac:dyDescent="0.25">
      <c r="B206" s="270" t="e">
        <f>IF(AND($C206&gt;='TIF Loan Amortization'!$H$480,$C206&lt;='TIF Loan Amortization'!$I$480),'TIF Loan Amortization'!$G$480,IF(AND($C206&gt;='TIF Loan Amortization'!$H$481,$C206&lt;='TIF Loan Amortization'!I$481),'TIF Loan Amortization'!$G$481,IF(AND($C206&gt;='TIF Loan Amortization'!$H$482,$C206&lt;='TIF Loan Amortization'!I$482),'TIF Loan Amortization'!$G$482,IF(AND($C206&gt;='TIF Loan Amortization'!$H$483,$C206&lt;='TIF Loan Amortization'!I$483),'TIF Loan Amortization'!$G$483,IF(AND($C206&gt;='TIF Loan Amortization'!$H$484,$C206&lt;='TIF Loan Amortization'!I$484),'TIF Loan Amortization'!$G$484,IF(AND($C206&gt;='TIF Loan Amortization'!$H$485,$C206&lt;='TIF Loan Amortization'!I$485),'TIF Loan Amortization'!$G$485,IF(AND($C206&gt;='TIF Loan Amortization'!$H$486,$C206&lt;='TIF Loan Amortization'!I$486),'TIF Loan Amortization'!$G$486,IF(AND($C206&gt;='TIF Loan Amortization'!$H$487,$C206&lt;='TIF Loan Amortization'!I$487),'TIF Loan Amortization'!$G$487,IF(AND($C206&gt;='TIF Loan Amortization'!$H$488,$C206&lt;='TIF Loan Amortization'!I$488),'TIF Loan Amortization'!$G$488,IF(AND($C206&gt;='TIF Loan Amortization'!$H$489,$C206&lt;='TIF Loan Amortization'!I$489),'TIF Loan Amortization'!$G$489,IF(AND($C206&gt;='TIF Loan Amortization'!$H$490,$C206&lt;='TIF Loan Amortization'!I$490),'TIF Loan Amortization'!$G$490,IF(AND($C206&gt;='TIF Loan Amortization'!$H$491,$C206&lt;='TIF Loan Amortization'!I$491),'TIF Loan Amortization'!$G$491,IF(AND($C206&gt;='TIF Loan Amortization'!$H$492,$C206&lt;='TIF Loan Amortization'!I$492),'TIF Loan Amortization'!$G$492,IF(AND($C206&gt;='TIF Loan Amortization'!$H$493,$C206&lt;='TIF Loan Amortization'!I$493),'TIF Loan Amortization'!$G$493,IF(AND($C206&gt;='TIF Loan Amortization'!$H$494,$C206&lt;='TIF Loan Amortization'!I$494),'TIF Loan Amortization'!$G$494,IF(AND($C206&gt;='TIF Loan Amortization'!$H$495,$C206&lt;='TIF Loan Amortization'!I$495),'TIF Loan Amortization'!$G$495,IF(AND($C206&gt;='TIF Loan Amortization'!$H$496,$C206&lt;='TIF Loan Amortization'!I$496),'TIF Loan Amortization'!$G$496,IF(AND($C206&gt;='TIF Loan Amortization'!$H$497,$C206&lt;='TIF Loan Amortization'!I$497),'TIF Loan Amortization'!$G$497,IF(AND($C206&gt;='TIF Loan Amortization'!$H$498,$C206&lt;='TIF Loan Amortization'!I$498),'TIF Loan Amortization'!$G$498,IF(AND($C206&gt;='TIF Loan Amortization'!$H$499,$C206&lt;='TIF Loan Amortization'!I$499),'TIF Loan Amortization'!$G$499,IF(AND($C206&gt;='TIF Loan Amortization'!$H$500,$C206&lt;='TIF Loan Amortization'!I$500),'TIF Loan Amortization'!$G$500,IF(AND($C206&gt;='TIF Loan Amortization'!$H$501,$C206&lt;='TIF Loan Amortization'!I$501),'TIF Loan Amortization'!$G$501,IF(AND($C206&gt;='TIF Loan Amortization'!$H$502,$C206&lt;='TIF Loan Amortization'!I$502),'TIF Loan Amortization'!$G$502,IF(AND($C206&gt;='TIF Loan Amortization'!$H$503,$C206&lt;='TIF Loan Amortization'!I$503),'TIF Loan Amortization'!$G$503,IF(AND($C206&gt;='TIF Loan Amortization'!$H$504,$C206&lt;='TIF Loan Amortization'!I$504),'TIF Loan Amortization'!$G$504,IF(AND($C206&gt;='TIF Loan Amortization'!$H$505,$C206&lt;='TIF Loan Amortization'!I$505),'TIF Loan Amortization'!$G$505,IF(AND($C206&gt;='TIF Loan Amortization'!$H$506,$C206&lt;='TIF Loan Amortization'!I$506),'TIF Loan Amortization'!$G$506,IF(AND($C206&gt;='TIF Loan Amortization'!$H$507,$C206&lt;='TIF Loan Amortization'!I$507),'TIF Loan Amortization'!$G$507,IF(AND($C206&gt;='TIF Loan Amortization'!$H$508,$C206&lt;='TIF Loan Amortization'!I$508),'TIF Loan Amortization'!$G$508,IF(AND($C206&gt;='TIF Loan Amortization'!$H$509,$C206&lt;='TIF Loan Amortization'!I$509),'TIF Loan Amortization'!$G$509,IF(AND($C206&gt;='TIF Loan Amortization'!$H$510,$C206&lt;='TIF Loan Amortization'!I$510),'TIF Loan Amortization'!$G$510,IF(AND($C206&gt;='TIF Loan Amortization'!$H$511,$C206&lt;='TIF Loan Amortization'!I$511),'TIF Loan Amortization'!$G$511,IF(AND($C206&gt;='TIF Loan Amortization'!$H$512,$C206&lt;='TIF Loan Amortization'!I$512),'TIF Loan Amortization'!$G$512,IF(AND($C206&gt;='TIF Loan Amortization'!$H$513,$C206&lt;='TIF Loan Amortization'!I$513),'TIF Loan Amortization'!$G$513,IF(AND($C206&gt;='TIF Loan Amortization'!$H$514,$C206&lt;='TIF Loan Amortization'!I$514),'TIF Loan Amortization'!$G$514,IF(AND($C206&gt;='TIF Loan Amortization'!$H$515,$C206&lt;='TIF Loan Amortization'!I$515),'TIF Loan Amortization'!$G$515,IF(AND($C206&gt;='TIF Loan Amortization'!$H$516,$C206&lt;='TIF Loan Amortization'!I$516),'TIF Loan Amortization'!$G$516,IF(AND($C206&gt;='TIF Loan Amortization'!$H$517,$C206&lt;='TIF Loan Amortization'!I$517),'TIF Loan Amortization'!$G$517,IF(AND($C206&gt;='TIF Loan Amortization'!$H$518,$C206&lt;='TIF Loan Amortization'!I$518),'TIF Loan Amortization'!$G$518,IF(AND($C206&gt;='TIF Loan Amortization'!$H$519,$C206&lt;='TIF Loan Amortization'!I$519),'TIF Loan Amortization'!$G$519))))))))))))))))))))))))))))))))))))))))</f>
        <v>#N/A</v>
      </c>
      <c r="C206" s="269" t="e">
        <f t="shared" si="29"/>
        <v>#N/A</v>
      </c>
      <c r="D206" s="281" t="str">
        <f>IF($H$11="January",$H$10+13,IF($AG$422=1,$H$10+14,""))</f>
        <v/>
      </c>
      <c r="E206" s="274">
        <v>156</v>
      </c>
      <c r="F206" s="273" t="str">
        <f>VLOOKUP($AG$422,$AE$422:$AF$433,2)</f>
        <v>Mar</v>
      </c>
      <c r="G206" s="272">
        <f t="shared" si="30"/>
        <v>0</v>
      </c>
      <c r="H206" s="272">
        <f t="shared" si="33"/>
        <v>0</v>
      </c>
      <c r="I206" s="272">
        <f t="shared" si="34"/>
        <v>0</v>
      </c>
      <c r="J206" s="272">
        <f t="shared" si="31"/>
        <v>0</v>
      </c>
      <c r="K206" s="272">
        <f>IF(ISTEXT($M$4),"",SUM(I$50:I206))</f>
        <v>0</v>
      </c>
      <c r="L206" s="272">
        <f>IF(ISTEXT($M$4),"",SUM(J$50:J206))</f>
        <v>0</v>
      </c>
      <c r="M206" s="271">
        <f t="shared" si="32"/>
        <v>0</v>
      </c>
      <c r="N206" s="291" t="e">
        <f>IF(C206='Operating Assumptions'!$C$48,"Construction Finish","")</f>
        <v>#N/A</v>
      </c>
      <c r="O206" s="291"/>
      <c r="P206" s="291"/>
      <c r="Q206" s="291"/>
      <c r="R206" s="291"/>
      <c r="S206" s="291"/>
      <c r="T206" s="291"/>
      <c r="U206" s="291"/>
      <c r="V206" s="292"/>
      <c r="W206" s="292"/>
      <c r="X206" s="292"/>
      <c r="Y206" s="291"/>
      <c r="Z206" s="279"/>
      <c r="AA206" s="279"/>
      <c r="AB206" s="279"/>
    </row>
    <row r="207" spans="2:28" s="278" customFormat="1" ht="11.65" hidden="1" customHeight="1" outlineLevel="1" x14ac:dyDescent="0.25">
      <c r="B207" s="270" t="e">
        <f>IF(AND($C207&gt;='TIF Loan Amortization'!$H$480,$C207&lt;='TIF Loan Amortization'!$I$480),'TIF Loan Amortization'!$G$480,IF(AND($C207&gt;='TIF Loan Amortization'!$H$481,$C207&lt;='TIF Loan Amortization'!I$481),'TIF Loan Amortization'!$G$481,IF(AND($C207&gt;='TIF Loan Amortization'!$H$482,$C207&lt;='TIF Loan Amortization'!I$482),'TIF Loan Amortization'!$G$482,IF(AND($C207&gt;='TIF Loan Amortization'!$H$483,$C207&lt;='TIF Loan Amortization'!I$483),'TIF Loan Amortization'!$G$483,IF(AND($C207&gt;='TIF Loan Amortization'!$H$484,$C207&lt;='TIF Loan Amortization'!I$484),'TIF Loan Amortization'!$G$484,IF(AND($C207&gt;='TIF Loan Amortization'!$H$485,$C207&lt;='TIF Loan Amortization'!I$485),'TIF Loan Amortization'!$G$485,IF(AND($C207&gt;='TIF Loan Amortization'!$H$486,$C207&lt;='TIF Loan Amortization'!I$486),'TIF Loan Amortization'!$G$486,IF(AND($C207&gt;='TIF Loan Amortization'!$H$487,$C207&lt;='TIF Loan Amortization'!I$487),'TIF Loan Amortization'!$G$487,IF(AND($C207&gt;='TIF Loan Amortization'!$H$488,$C207&lt;='TIF Loan Amortization'!I$488),'TIF Loan Amortization'!$G$488,IF(AND($C207&gt;='TIF Loan Amortization'!$H$489,$C207&lt;='TIF Loan Amortization'!I$489),'TIF Loan Amortization'!$G$489,IF(AND($C207&gt;='TIF Loan Amortization'!$H$490,$C207&lt;='TIF Loan Amortization'!I$490),'TIF Loan Amortization'!$G$490,IF(AND($C207&gt;='TIF Loan Amortization'!$H$491,$C207&lt;='TIF Loan Amortization'!I$491),'TIF Loan Amortization'!$G$491,IF(AND($C207&gt;='TIF Loan Amortization'!$H$492,$C207&lt;='TIF Loan Amortization'!I$492),'TIF Loan Amortization'!$G$492,IF(AND($C207&gt;='TIF Loan Amortization'!$H$493,$C207&lt;='TIF Loan Amortization'!I$493),'TIF Loan Amortization'!$G$493,IF(AND($C207&gt;='TIF Loan Amortization'!$H$494,$C207&lt;='TIF Loan Amortization'!I$494),'TIF Loan Amortization'!$G$494,IF(AND($C207&gt;='TIF Loan Amortization'!$H$495,$C207&lt;='TIF Loan Amortization'!I$495),'TIF Loan Amortization'!$G$495,IF(AND($C207&gt;='TIF Loan Amortization'!$H$496,$C207&lt;='TIF Loan Amortization'!I$496),'TIF Loan Amortization'!$G$496,IF(AND($C207&gt;='TIF Loan Amortization'!$H$497,$C207&lt;='TIF Loan Amortization'!I$497),'TIF Loan Amortization'!$G$497,IF(AND($C207&gt;='TIF Loan Amortization'!$H$498,$C207&lt;='TIF Loan Amortization'!I$498),'TIF Loan Amortization'!$G$498,IF(AND($C207&gt;='TIF Loan Amortization'!$H$499,$C207&lt;='TIF Loan Amortization'!I$499),'TIF Loan Amortization'!$G$499,IF(AND($C207&gt;='TIF Loan Amortization'!$H$500,$C207&lt;='TIF Loan Amortization'!I$500),'TIF Loan Amortization'!$G$500,IF(AND($C207&gt;='TIF Loan Amortization'!$H$501,$C207&lt;='TIF Loan Amortization'!I$501),'TIF Loan Amortization'!$G$501,IF(AND($C207&gt;='TIF Loan Amortization'!$H$502,$C207&lt;='TIF Loan Amortization'!I$502),'TIF Loan Amortization'!$G$502,IF(AND($C207&gt;='TIF Loan Amortization'!$H$503,$C207&lt;='TIF Loan Amortization'!I$503),'TIF Loan Amortization'!$G$503,IF(AND($C207&gt;='TIF Loan Amortization'!$H$504,$C207&lt;='TIF Loan Amortization'!I$504),'TIF Loan Amortization'!$G$504,IF(AND($C207&gt;='TIF Loan Amortization'!$H$505,$C207&lt;='TIF Loan Amortization'!I$505),'TIF Loan Amortization'!$G$505,IF(AND($C207&gt;='TIF Loan Amortization'!$H$506,$C207&lt;='TIF Loan Amortization'!I$506),'TIF Loan Amortization'!$G$506,IF(AND($C207&gt;='TIF Loan Amortization'!$H$507,$C207&lt;='TIF Loan Amortization'!I$507),'TIF Loan Amortization'!$G$507,IF(AND($C207&gt;='TIF Loan Amortization'!$H$508,$C207&lt;='TIF Loan Amortization'!I$508),'TIF Loan Amortization'!$G$508,IF(AND($C207&gt;='TIF Loan Amortization'!$H$509,$C207&lt;='TIF Loan Amortization'!I$509),'TIF Loan Amortization'!$G$509,IF(AND($C207&gt;='TIF Loan Amortization'!$H$510,$C207&lt;='TIF Loan Amortization'!I$510),'TIF Loan Amortization'!$G$510,IF(AND($C207&gt;='TIF Loan Amortization'!$H$511,$C207&lt;='TIF Loan Amortization'!I$511),'TIF Loan Amortization'!$G$511,IF(AND($C207&gt;='TIF Loan Amortization'!$H$512,$C207&lt;='TIF Loan Amortization'!I$512),'TIF Loan Amortization'!$G$512,IF(AND($C207&gt;='TIF Loan Amortization'!$H$513,$C207&lt;='TIF Loan Amortization'!I$513),'TIF Loan Amortization'!$G$513,IF(AND($C207&gt;='TIF Loan Amortization'!$H$514,$C207&lt;='TIF Loan Amortization'!I$514),'TIF Loan Amortization'!$G$514,IF(AND($C207&gt;='TIF Loan Amortization'!$H$515,$C207&lt;='TIF Loan Amortization'!I$515),'TIF Loan Amortization'!$G$515,IF(AND($C207&gt;='TIF Loan Amortization'!$H$516,$C207&lt;='TIF Loan Amortization'!I$516),'TIF Loan Amortization'!$G$516,IF(AND($C207&gt;='TIF Loan Amortization'!$H$517,$C207&lt;='TIF Loan Amortization'!I$517),'TIF Loan Amortization'!$G$517,IF(AND($C207&gt;='TIF Loan Amortization'!$H$518,$C207&lt;='TIF Loan Amortization'!I$518),'TIF Loan Amortization'!$G$518,IF(AND($C207&gt;='TIF Loan Amortization'!$H$519,$C207&lt;='TIF Loan Amortization'!I$519),'TIF Loan Amortization'!$G$519))))))))))))))))))))))))))))))))))))))))</f>
        <v>#N/A</v>
      </c>
      <c r="C207" s="269" t="e">
        <f t="shared" si="29"/>
        <v>#N/A</v>
      </c>
      <c r="D207" s="281" t="str">
        <f>IF($AG$423=1,$H$10+14,"")</f>
        <v/>
      </c>
      <c r="E207" s="274">
        <v>157</v>
      </c>
      <c r="F207" s="275" t="str">
        <f>VLOOKUP($AG$423,$AE$422:$AF$433,2)</f>
        <v>Apr</v>
      </c>
      <c r="G207" s="272">
        <f t="shared" si="30"/>
        <v>0</v>
      </c>
      <c r="H207" s="272">
        <f t="shared" si="33"/>
        <v>0</v>
      </c>
      <c r="I207" s="272">
        <f t="shared" si="34"/>
        <v>0</v>
      </c>
      <c r="J207" s="272">
        <f t="shared" si="31"/>
        <v>0</v>
      </c>
      <c r="K207" s="272">
        <f>IF(ISTEXT($M$4),"",SUM(I$50:I207))</f>
        <v>0</v>
      </c>
      <c r="L207" s="272">
        <f>IF(ISTEXT($M$4),"",SUM(J$50:J207))</f>
        <v>0</v>
      </c>
      <c r="M207" s="271">
        <f t="shared" si="32"/>
        <v>0</v>
      </c>
      <c r="N207" s="291" t="e">
        <f>IF(C207='Operating Assumptions'!$C$48,"Construction Finish","")</f>
        <v>#N/A</v>
      </c>
      <c r="O207" s="291"/>
      <c r="P207" s="291"/>
      <c r="Q207" s="291"/>
      <c r="R207" s="291"/>
      <c r="S207" s="291"/>
      <c r="T207" s="291"/>
      <c r="U207" s="291"/>
      <c r="V207" s="292"/>
      <c r="W207" s="292"/>
      <c r="X207" s="292"/>
      <c r="Y207" s="291"/>
      <c r="Z207" s="279"/>
      <c r="AA207" s="279"/>
      <c r="AB207" s="279"/>
    </row>
    <row r="208" spans="2:28" s="278" customFormat="1" ht="11.65" hidden="1" customHeight="1" outlineLevel="1" x14ac:dyDescent="0.25">
      <c r="B208" s="270" t="e">
        <f>IF(AND($C208&gt;='TIF Loan Amortization'!$H$480,$C208&lt;='TIF Loan Amortization'!$I$480),'TIF Loan Amortization'!$G$480,IF(AND($C208&gt;='TIF Loan Amortization'!$H$481,$C208&lt;='TIF Loan Amortization'!I$481),'TIF Loan Amortization'!$G$481,IF(AND($C208&gt;='TIF Loan Amortization'!$H$482,$C208&lt;='TIF Loan Amortization'!I$482),'TIF Loan Amortization'!$G$482,IF(AND($C208&gt;='TIF Loan Amortization'!$H$483,$C208&lt;='TIF Loan Amortization'!I$483),'TIF Loan Amortization'!$G$483,IF(AND($C208&gt;='TIF Loan Amortization'!$H$484,$C208&lt;='TIF Loan Amortization'!I$484),'TIF Loan Amortization'!$G$484,IF(AND($C208&gt;='TIF Loan Amortization'!$H$485,$C208&lt;='TIF Loan Amortization'!I$485),'TIF Loan Amortization'!$G$485,IF(AND($C208&gt;='TIF Loan Amortization'!$H$486,$C208&lt;='TIF Loan Amortization'!I$486),'TIF Loan Amortization'!$G$486,IF(AND($C208&gt;='TIF Loan Amortization'!$H$487,$C208&lt;='TIF Loan Amortization'!I$487),'TIF Loan Amortization'!$G$487,IF(AND($C208&gt;='TIF Loan Amortization'!$H$488,$C208&lt;='TIF Loan Amortization'!I$488),'TIF Loan Amortization'!$G$488,IF(AND($C208&gt;='TIF Loan Amortization'!$H$489,$C208&lt;='TIF Loan Amortization'!I$489),'TIF Loan Amortization'!$G$489,IF(AND($C208&gt;='TIF Loan Amortization'!$H$490,$C208&lt;='TIF Loan Amortization'!I$490),'TIF Loan Amortization'!$G$490,IF(AND($C208&gt;='TIF Loan Amortization'!$H$491,$C208&lt;='TIF Loan Amortization'!I$491),'TIF Loan Amortization'!$G$491,IF(AND($C208&gt;='TIF Loan Amortization'!$H$492,$C208&lt;='TIF Loan Amortization'!I$492),'TIF Loan Amortization'!$G$492,IF(AND($C208&gt;='TIF Loan Amortization'!$H$493,$C208&lt;='TIF Loan Amortization'!I$493),'TIF Loan Amortization'!$G$493,IF(AND($C208&gt;='TIF Loan Amortization'!$H$494,$C208&lt;='TIF Loan Amortization'!I$494),'TIF Loan Amortization'!$G$494,IF(AND($C208&gt;='TIF Loan Amortization'!$H$495,$C208&lt;='TIF Loan Amortization'!I$495),'TIF Loan Amortization'!$G$495,IF(AND($C208&gt;='TIF Loan Amortization'!$H$496,$C208&lt;='TIF Loan Amortization'!I$496),'TIF Loan Amortization'!$G$496,IF(AND($C208&gt;='TIF Loan Amortization'!$H$497,$C208&lt;='TIF Loan Amortization'!I$497),'TIF Loan Amortization'!$G$497,IF(AND($C208&gt;='TIF Loan Amortization'!$H$498,$C208&lt;='TIF Loan Amortization'!I$498),'TIF Loan Amortization'!$G$498,IF(AND($C208&gt;='TIF Loan Amortization'!$H$499,$C208&lt;='TIF Loan Amortization'!I$499),'TIF Loan Amortization'!$G$499,IF(AND($C208&gt;='TIF Loan Amortization'!$H$500,$C208&lt;='TIF Loan Amortization'!I$500),'TIF Loan Amortization'!$G$500,IF(AND($C208&gt;='TIF Loan Amortization'!$H$501,$C208&lt;='TIF Loan Amortization'!I$501),'TIF Loan Amortization'!$G$501,IF(AND($C208&gt;='TIF Loan Amortization'!$H$502,$C208&lt;='TIF Loan Amortization'!I$502),'TIF Loan Amortization'!$G$502,IF(AND($C208&gt;='TIF Loan Amortization'!$H$503,$C208&lt;='TIF Loan Amortization'!I$503),'TIF Loan Amortization'!$G$503,IF(AND($C208&gt;='TIF Loan Amortization'!$H$504,$C208&lt;='TIF Loan Amortization'!I$504),'TIF Loan Amortization'!$G$504,IF(AND($C208&gt;='TIF Loan Amortization'!$H$505,$C208&lt;='TIF Loan Amortization'!I$505),'TIF Loan Amortization'!$G$505,IF(AND($C208&gt;='TIF Loan Amortization'!$H$506,$C208&lt;='TIF Loan Amortization'!I$506),'TIF Loan Amortization'!$G$506,IF(AND($C208&gt;='TIF Loan Amortization'!$H$507,$C208&lt;='TIF Loan Amortization'!I$507),'TIF Loan Amortization'!$G$507,IF(AND($C208&gt;='TIF Loan Amortization'!$H$508,$C208&lt;='TIF Loan Amortization'!I$508),'TIF Loan Amortization'!$G$508,IF(AND($C208&gt;='TIF Loan Amortization'!$H$509,$C208&lt;='TIF Loan Amortization'!I$509),'TIF Loan Amortization'!$G$509,IF(AND($C208&gt;='TIF Loan Amortization'!$H$510,$C208&lt;='TIF Loan Amortization'!I$510),'TIF Loan Amortization'!$G$510,IF(AND($C208&gt;='TIF Loan Amortization'!$H$511,$C208&lt;='TIF Loan Amortization'!I$511),'TIF Loan Amortization'!$G$511,IF(AND($C208&gt;='TIF Loan Amortization'!$H$512,$C208&lt;='TIF Loan Amortization'!I$512),'TIF Loan Amortization'!$G$512,IF(AND($C208&gt;='TIF Loan Amortization'!$H$513,$C208&lt;='TIF Loan Amortization'!I$513),'TIF Loan Amortization'!$G$513,IF(AND($C208&gt;='TIF Loan Amortization'!$H$514,$C208&lt;='TIF Loan Amortization'!I$514),'TIF Loan Amortization'!$G$514,IF(AND($C208&gt;='TIF Loan Amortization'!$H$515,$C208&lt;='TIF Loan Amortization'!I$515),'TIF Loan Amortization'!$G$515,IF(AND($C208&gt;='TIF Loan Amortization'!$H$516,$C208&lt;='TIF Loan Amortization'!I$516),'TIF Loan Amortization'!$G$516,IF(AND($C208&gt;='TIF Loan Amortization'!$H$517,$C208&lt;='TIF Loan Amortization'!I$517),'TIF Loan Amortization'!$G$517,IF(AND($C208&gt;='TIF Loan Amortization'!$H$518,$C208&lt;='TIF Loan Amortization'!I$518),'TIF Loan Amortization'!$G$518,IF(AND($C208&gt;='TIF Loan Amortization'!$H$519,$C208&lt;='TIF Loan Amortization'!I$519),'TIF Loan Amortization'!$G$519))))))))))))))))))))))))))))))))))))))))</f>
        <v>#N/A</v>
      </c>
      <c r="C208" s="269" t="e">
        <f t="shared" si="29"/>
        <v>#N/A</v>
      </c>
      <c r="D208" s="281" t="str">
        <f>IF($AG$424=1,$H$10+14,"")</f>
        <v/>
      </c>
      <c r="E208" s="274">
        <v>158</v>
      </c>
      <c r="F208" s="275" t="str">
        <f>VLOOKUP($AG$424,$AE$422:$AF$433,2)</f>
        <v>May</v>
      </c>
      <c r="G208" s="272">
        <f t="shared" si="30"/>
        <v>0</v>
      </c>
      <c r="H208" s="272">
        <f t="shared" si="33"/>
        <v>0</v>
      </c>
      <c r="I208" s="272">
        <f t="shared" si="34"/>
        <v>0</v>
      </c>
      <c r="J208" s="272">
        <f t="shared" si="31"/>
        <v>0</v>
      </c>
      <c r="K208" s="272">
        <f>IF(ISTEXT($M$4),"",SUM(I$50:I208))</f>
        <v>0</v>
      </c>
      <c r="L208" s="272">
        <f>IF(ISTEXT($M$4),"",SUM(J$50:J208))</f>
        <v>0</v>
      </c>
      <c r="M208" s="271">
        <f t="shared" si="32"/>
        <v>0</v>
      </c>
      <c r="N208" s="291" t="e">
        <f>IF(C208='Operating Assumptions'!$C$48,"Construction Finish","")</f>
        <v>#N/A</v>
      </c>
      <c r="O208" s="291"/>
      <c r="P208" s="291"/>
      <c r="Q208" s="291"/>
      <c r="R208" s="291"/>
      <c r="S208" s="291"/>
      <c r="T208" s="291"/>
      <c r="U208" s="291"/>
      <c r="V208" s="292"/>
      <c r="W208" s="292"/>
      <c r="X208" s="292"/>
      <c r="Y208" s="291"/>
      <c r="Z208" s="279"/>
      <c r="AA208" s="279"/>
      <c r="AB208" s="279"/>
    </row>
    <row r="209" spans="2:28" s="278" customFormat="1" ht="11.65" hidden="1" customHeight="1" outlineLevel="1" x14ac:dyDescent="0.25">
      <c r="B209" s="270" t="e">
        <f>IF(AND($C209&gt;='TIF Loan Amortization'!$H$480,$C209&lt;='TIF Loan Amortization'!$I$480),'TIF Loan Amortization'!$G$480,IF(AND($C209&gt;='TIF Loan Amortization'!$H$481,$C209&lt;='TIF Loan Amortization'!I$481),'TIF Loan Amortization'!$G$481,IF(AND($C209&gt;='TIF Loan Amortization'!$H$482,$C209&lt;='TIF Loan Amortization'!I$482),'TIF Loan Amortization'!$G$482,IF(AND($C209&gt;='TIF Loan Amortization'!$H$483,$C209&lt;='TIF Loan Amortization'!I$483),'TIF Loan Amortization'!$G$483,IF(AND($C209&gt;='TIF Loan Amortization'!$H$484,$C209&lt;='TIF Loan Amortization'!I$484),'TIF Loan Amortization'!$G$484,IF(AND($C209&gt;='TIF Loan Amortization'!$H$485,$C209&lt;='TIF Loan Amortization'!I$485),'TIF Loan Amortization'!$G$485,IF(AND($C209&gt;='TIF Loan Amortization'!$H$486,$C209&lt;='TIF Loan Amortization'!I$486),'TIF Loan Amortization'!$G$486,IF(AND($C209&gt;='TIF Loan Amortization'!$H$487,$C209&lt;='TIF Loan Amortization'!I$487),'TIF Loan Amortization'!$G$487,IF(AND($C209&gt;='TIF Loan Amortization'!$H$488,$C209&lt;='TIF Loan Amortization'!I$488),'TIF Loan Amortization'!$G$488,IF(AND($C209&gt;='TIF Loan Amortization'!$H$489,$C209&lt;='TIF Loan Amortization'!I$489),'TIF Loan Amortization'!$G$489,IF(AND($C209&gt;='TIF Loan Amortization'!$H$490,$C209&lt;='TIF Loan Amortization'!I$490),'TIF Loan Amortization'!$G$490,IF(AND($C209&gt;='TIF Loan Amortization'!$H$491,$C209&lt;='TIF Loan Amortization'!I$491),'TIF Loan Amortization'!$G$491,IF(AND($C209&gt;='TIF Loan Amortization'!$H$492,$C209&lt;='TIF Loan Amortization'!I$492),'TIF Loan Amortization'!$G$492,IF(AND($C209&gt;='TIF Loan Amortization'!$H$493,$C209&lt;='TIF Loan Amortization'!I$493),'TIF Loan Amortization'!$G$493,IF(AND($C209&gt;='TIF Loan Amortization'!$H$494,$C209&lt;='TIF Loan Amortization'!I$494),'TIF Loan Amortization'!$G$494,IF(AND($C209&gt;='TIF Loan Amortization'!$H$495,$C209&lt;='TIF Loan Amortization'!I$495),'TIF Loan Amortization'!$G$495,IF(AND($C209&gt;='TIF Loan Amortization'!$H$496,$C209&lt;='TIF Loan Amortization'!I$496),'TIF Loan Amortization'!$G$496,IF(AND($C209&gt;='TIF Loan Amortization'!$H$497,$C209&lt;='TIF Loan Amortization'!I$497),'TIF Loan Amortization'!$G$497,IF(AND($C209&gt;='TIF Loan Amortization'!$H$498,$C209&lt;='TIF Loan Amortization'!I$498),'TIF Loan Amortization'!$G$498,IF(AND($C209&gt;='TIF Loan Amortization'!$H$499,$C209&lt;='TIF Loan Amortization'!I$499),'TIF Loan Amortization'!$G$499,IF(AND($C209&gt;='TIF Loan Amortization'!$H$500,$C209&lt;='TIF Loan Amortization'!I$500),'TIF Loan Amortization'!$G$500,IF(AND($C209&gt;='TIF Loan Amortization'!$H$501,$C209&lt;='TIF Loan Amortization'!I$501),'TIF Loan Amortization'!$G$501,IF(AND($C209&gt;='TIF Loan Amortization'!$H$502,$C209&lt;='TIF Loan Amortization'!I$502),'TIF Loan Amortization'!$G$502,IF(AND($C209&gt;='TIF Loan Amortization'!$H$503,$C209&lt;='TIF Loan Amortization'!I$503),'TIF Loan Amortization'!$G$503,IF(AND($C209&gt;='TIF Loan Amortization'!$H$504,$C209&lt;='TIF Loan Amortization'!I$504),'TIF Loan Amortization'!$G$504,IF(AND($C209&gt;='TIF Loan Amortization'!$H$505,$C209&lt;='TIF Loan Amortization'!I$505),'TIF Loan Amortization'!$G$505,IF(AND($C209&gt;='TIF Loan Amortization'!$H$506,$C209&lt;='TIF Loan Amortization'!I$506),'TIF Loan Amortization'!$G$506,IF(AND($C209&gt;='TIF Loan Amortization'!$H$507,$C209&lt;='TIF Loan Amortization'!I$507),'TIF Loan Amortization'!$G$507,IF(AND($C209&gt;='TIF Loan Amortization'!$H$508,$C209&lt;='TIF Loan Amortization'!I$508),'TIF Loan Amortization'!$G$508,IF(AND($C209&gt;='TIF Loan Amortization'!$H$509,$C209&lt;='TIF Loan Amortization'!I$509),'TIF Loan Amortization'!$G$509,IF(AND($C209&gt;='TIF Loan Amortization'!$H$510,$C209&lt;='TIF Loan Amortization'!I$510),'TIF Loan Amortization'!$G$510,IF(AND($C209&gt;='TIF Loan Amortization'!$H$511,$C209&lt;='TIF Loan Amortization'!I$511),'TIF Loan Amortization'!$G$511,IF(AND($C209&gt;='TIF Loan Amortization'!$H$512,$C209&lt;='TIF Loan Amortization'!I$512),'TIF Loan Amortization'!$G$512,IF(AND($C209&gt;='TIF Loan Amortization'!$H$513,$C209&lt;='TIF Loan Amortization'!I$513),'TIF Loan Amortization'!$G$513,IF(AND($C209&gt;='TIF Loan Amortization'!$H$514,$C209&lt;='TIF Loan Amortization'!I$514),'TIF Loan Amortization'!$G$514,IF(AND($C209&gt;='TIF Loan Amortization'!$H$515,$C209&lt;='TIF Loan Amortization'!I$515),'TIF Loan Amortization'!$G$515,IF(AND($C209&gt;='TIF Loan Amortization'!$H$516,$C209&lt;='TIF Loan Amortization'!I$516),'TIF Loan Amortization'!$G$516,IF(AND($C209&gt;='TIF Loan Amortization'!$H$517,$C209&lt;='TIF Loan Amortization'!I$517),'TIF Loan Amortization'!$G$517,IF(AND($C209&gt;='TIF Loan Amortization'!$H$518,$C209&lt;='TIF Loan Amortization'!I$518),'TIF Loan Amortization'!$G$518,IF(AND($C209&gt;='TIF Loan Amortization'!$H$519,$C209&lt;='TIF Loan Amortization'!I$519),'TIF Loan Amortization'!$G$519))))))))))))))))))))))))))))))))))))))))</f>
        <v>#N/A</v>
      </c>
      <c r="C209" s="269" t="e">
        <f t="shared" si="29"/>
        <v>#N/A</v>
      </c>
      <c r="D209" s="281" t="str">
        <f>IF($AG$425=1,$H$10+14,"")</f>
        <v/>
      </c>
      <c r="E209" s="274">
        <v>159</v>
      </c>
      <c r="F209" s="275" t="str">
        <f>VLOOKUP($AG$425,$AE$422:$AF$433,2)</f>
        <v>Jun</v>
      </c>
      <c r="G209" s="272">
        <f t="shared" si="30"/>
        <v>0</v>
      </c>
      <c r="H209" s="272">
        <f t="shared" si="33"/>
        <v>0</v>
      </c>
      <c r="I209" s="272">
        <f t="shared" si="34"/>
        <v>0</v>
      </c>
      <c r="J209" s="272">
        <f t="shared" si="31"/>
        <v>0</v>
      </c>
      <c r="K209" s="272">
        <f>IF(ISTEXT($M$4),"",SUM(I$50:I209))</f>
        <v>0</v>
      </c>
      <c r="L209" s="272">
        <f>IF(ISTEXT($M$4),"",SUM(J$50:J209))</f>
        <v>0</v>
      </c>
      <c r="M209" s="271">
        <f t="shared" si="32"/>
        <v>0</v>
      </c>
      <c r="N209" s="291" t="e">
        <f>IF(C209='Operating Assumptions'!$C$48,"Construction Finish","")</f>
        <v>#N/A</v>
      </c>
      <c r="O209" s="291"/>
      <c r="P209" s="291"/>
      <c r="Q209" s="291"/>
      <c r="R209" s="291"/>
      <c r="S209" s="291"/>
      <c r="T209" s="291"/>
      <c r="U209" s="291"/>
      <c r="V209" s="292"/>
      <c r="W209" s="292"/>
      <c r="X209" s="292"/>
      <c r="Y209" s="291"/>
      <c r="Z209" s="279"/>
      <c r="AA209" s="279"/>
      <c r="AB209" s="279"/>
    </row>
    <row r="210" spans="2:28" s="278" customFormat="1" ht="11.65" hidden="1" customHeight="1" outlineLevel="1" x14ac:dyDescent="0.25">
      <c r="B210" s="270" t="e">
        <f>IF(AND($C210&gt;='TIF Loan Amortization'!$H$480,$C210&lt;='TIF Loan Amortization'!$I$480),'TIF Loan Amortization'!$G$480,IF(AND($C210&gt;='TIF Loan Amortization'!$H$481,$C210&lt;='TIF Loan Amortization'!I$481),'TIF Loan Amortization'!$G$481,IF(AND($C210&gt;='TIF Loan Amortization'!$H$482,$C210&lt;='TIF Loan Amortization'!I$482),'TIF Loan Amortization'!$G$482,IF(AND($C210&gt;='TIF Loan Amortization'!$H$483,$C210&lt;='TIF Loan Amortization'!I$483),'TIF Loan Amortization'!$G$483,IF(AND($C210&gt;='TIF Loan Amortization'!$H$484,$C210&lt;='TIF Loan Amortization'!I$484),'TIF Loan Amortization'!$G$484,IF(AND($C210&gt;='TIF Loan Amortization'!$H$485,$C210&lt;='TIF Loan Amortization'!I$485),'TIF Loan Amortization'!$G$485,IF(AND($C210&gt;='TIF Loan Amortization'!$H$486,$C210&lt;='TIF Loan Amortization'!I$486),'TIF Loan Amortization'!$G$486,IF(AND($C210&gt;='TIF Loan Amortization'!$H$487,$C210&lt;='TIF Loan Amortization'!I$487),'TIF Loan Amortization'!$G$487,IF(AND($C210&gt;='TIF Loan Amortization'!$H$488,$C210&lt;='TIF Loan Amortization'!I$488),'TIF Loan Amortization'!$G$488,IF(AND($C210&gt;='TIF Loan Amortization'!$H$489,$C210&lt;='TIF Loan Amortization'!I$489),'TIF Loan Amortization'!$G$489,IF(AND($C210&gt;='TIF Loan Amortization'!$H$490,$C210&lt;='TIF Loan Amortization'!I$490),'TIF Loan Amortization'!$G$490,IF(AND($C210&gt;='TIF Loan Amortization'!$H$491,$C210&lt;='TIF Loan Amortization'!I$491),'TIF Loan Amortization'!$G$491,IF(AND($C210&gt;='TIF Loan Amortization'!$H$492,$C210&lt;='TIF Loan Amortization'!I$492),'TIF Loan Amortization'!$G$492,IF(AND($C210&gt;='TIF Loan Amortization'!$H$493,$C210&lt;='TIF Loan Amortization'!I$493),'TIF Loan Amortization'!$G$493,IF(AND($C210&gt;='TIF Loan Amortization'!$H$494,$C210&lt;='TIF Loan Amortization'!I$494),'TIF Loan Amortization'!$G$494,IF(AND($C210&gt;='TIF Loan Amortization'!$H$495,$C210&lt;='TIF Loan Amortization'!I$495),'TIF Loan Amortization'!$G$495,IF(AND($C210&gt;='TIF Loan Amortization'!$H$496,$C210&lt;='TIF Loan Amortization'!I$496),'TIF Loan Amortization'!$G$496,IF(AND($C210&gt;='TIF Loan Amortization'!$H$497,$C210&lt;='TIF Loan Amortization'!I$497),'TIF Loan Amortization'!$G$497,IF(AND($C210&gt;='TIF Loan Amortization'!$H$498,$C210&lt;='TIF Loan Amortization'!I$498),'TIF Loan Amortization'!$G$498,IF(AND($C210&gt;='TIF Loan Amortization'!$H$499,$C210&lt;='TIF Loan Amortization'!I$499),'TIF Loan Amortization'!$G$499,IF(AND($C210&gt;='TIF Loan Amortization'!$H$500,$C210&lt;='TIF Loan Amortization'!I$500),'TIF Loan Amortization'!$G$500,IF(AND($C210&gt;='TIF Loan Amortization'!$H$501,$C210&lt;='TIF Loan Amortization'!I$501),'TIF Loan Amortization'!$G$501,IF(AND($C210&gt;='TIF Loan Amortization'!$H$502,$C210&lt;='TIF Loan Amortization'!I$502),'TIF Loan Amortization'!$G$502,IF(AND($C210&gt;='TIF Loan Amortization'!$H$503,$C210&lt;='TIF Loan Amortization'!I$503),'TIF Loan Amortization'!$G$503,IF(AND($C210&gt;='TIF Loan Amortization'!$H$504,$C210&lt;='TIF Loan Amortization'!I$504),'TIF Loan Amortization'!$G$504,IF(AND($C210&gt;='TIF Loan Amortization'!$H$505,$C210&lt;='TIF Loan Amortization'!I$505),'TIF Loan Amortization'!$G$505,IF(AND($C210&gt;='TIF Loan Amortization'!$H$506,$C210&lt;='TIF Loan Amortization'!I$506),'TIF Loan Amortization'!$G$506,IF(AND($C210&gt;='TIF Loan Amortization'!$H$507,$C210&lt;='TIF Loan Amortization'!I$507),'TIF Loan Amortization'!$G$507,IF(AND($C210&gt;='TIF Loan Amortization'!$H$508,$C210&lt;='TIF Loan Amortization'!I$508),'TIF Loan Amortization'!$G$508,IF(AND($C210&gt;='TIF Loan Amortization'!$H$509,$C210&lt;='TIF Loan Amortization'!I$509),'TIF Loan Amortization'!$G$509,IF(AND($C210&gt;='TIF Loan Amortization'!$H$510,$C210&lt;='TIF Loan Amortization'!I$510),'TIF Loan Amortization'!$G$510,IF(AND($C210&gt;='TIF Loan Amortization'!$H$511,$C210&lt;='TIF Loan Amortization'!I$511),'TIF Loan Amortization'!$G$511,IF(AND($C210&gt;='TIF Loan Amortization'!$H$512,$C210&lt;='TIF Loan Amortization'!I$512),'TIF Loan Amortization'!$G$512,IF(AND($C210&gt;='TIF Loan Amortization'!$H$513,$C210&lt;='TIF Loan Amortization'!I$513),'TIF Loan Amortization'!$G$513,IF(AND($C210&gt;='TIF Loan Amortization'!$H$514,$C210&lt;='TIF Loan Amortization'!I$514),'TIF Loan Amortization'!$G$514,IF(AND($C210&gt;='TIF Loan Amortization'!$H$515,$C210&lt;='TIF Loan Amortization'!I$515),'TIF Loan Amortization'!$G$515,IF(AND($C210&gt;='TIF Loan Amortization'!$H$516,$C210&lt;='TIF Loan Amortization'!I$516),'TIF Loan Amortization'!$G$516,IF(AND($C210&gt;='TIF Loan Amortization'!$H$517,$C210&lt;='TIF Loan Amortization'!I$517),'TIF Loan Amortization'!$G$517,IF(AND($C210&gt;='TIF Loan Amortization'!$H$518,$C210&lt;='TIF Loan Amortization'!I$518),'TIF Loan Amortization'!$G$518,IF(AND($C210&gt;='TIF Loan Amortization'!$H$519,$C210&lt;='TIF Loan Amortization'!I$519),'TIF Loan Amortization'!$G$519))))))))))))))))))))))))))))))))))))))))</f>
        <v>#N/A</v>
      </c>
      <c r="C210" s="269" t="e">
        <f t="shared" si="29"/>
        <v>#N/A</v>
      </c>
      <c r="D210" s="281" t="str">
        <f>IF($AG$426=1,$H$10+14,"")</f>
        <v/>
      </c>
      <c r="E210" s="290">
        <v>160</v>
      </c>
      <c r="F210" s="275" t="str">
        <f>VLOOKUP($AG$426,$AE$422:$AF$433,2)</f>
        <v>Jul</v>
      </c>
      <c r="G210" s="272">
        <f t="shared" si="30"/>
        <v>0</v>
      </c>
      <c r="H210" s="272">
        <f t="shared" si="33"/>
        <v>0</v>
      </c>
      <c r="I210" s="272">
        <f t="shared" si="34"/>
        <v>0</v>
      </c>
      <c r="J210" s="272">
        <f t="shared" si="31"/>
        <v>0</v>
      </c>
      <c r="K210" s="272">
        <f>IF(ISTEXT($M$4),"",SUM(I$50:I210))</f>
        <v>0</v>
      </c>
      <c r="L210" s="272">
        <f>IF(ISTEXT($M$4),"",SUM(J$50:J210))</f>
        <v>0</v>
      </c>
      <c r="M210" s="271">
        <f t="shared" si="32"/>
        <v>0</v>
      </c>
      <c r="N210" s="291" t="e">
        <f>IF(C210='Operating Assumptions'!$C$48,"Construction Finish","")</f>
        <v>#N/A</v>
      </c>
      <c r="O210" s="291"/>
      <c r="P210" s="291"/>
      <c r="Q210" s="291"/>
      <c r="R210" s="291"/>
      <c r="S210" s="291"/>
      <c r="T210" s="291"/>
      <c r="U210" s="291"/>
      <c r="V210" s="292"/>
      <c r="W210" s="292"/>
      <c r="X210" s="292"/>
      <c r="Y210" s="291"/>
      <c r="Z210" s="279"/>
      <c r="AA210" s="279"/>
      <c r="AB210" s="279"/>
    </row>
    <row r="211" spans="2:28" s="278" customFormat="1" ht="11.65" hidden="1" customHeight="1" outlineLevel="1" x14ac:dyDescent="0.25">
      <c r="B211" s="270" t="e">
        <f>IF(AND($C211&gt;='TIF Loan Amortization'!$H$480,$C211&lt;='TIF Loan Amortization'!$I$480),'TIF Loan Amortization'!$G$480,IF(AND($C211&gt;='TIF Loan Amortization'!$H$481,$C211&lt;='TIF Loan Amortization'!I$481),'TIF Loan Amortization'!$G$481,IF(AND($C211&gt;='TIF Loan Amortization'!$H$482,$C211&lt;='TIF Loan Amortization'!I$482),'TIF Loan Amortization'!$G$482,IF(AND($C211&gt;='TIF Loan Amortization'!$H$483,$C211&lt;='TIF Loan Amortization'!I$483),'TIF Loan Amortization'!$G$483,IF(AND($C211&gt;='TIF Loan Amortization'!$H$484,$C211&lt;='TIF Loan Amortization'!I$484),'TIF Loan Amortization'!$G$484,IF(AND($C211&gt;='TIF Loan Amortization'!$H$485,$C211&lt;='TIF Loan Amortization'!I$485),'TIF Loan Amortization'!$G$485,IF(AND($C211&gt;='TIF Loan Amortization'!$H$486,$C211&lt;='TIF Loan Amortization'!I$486),'TIF Loan Amortization'!$G$486,IF(AND($C211&gt;='TIF Loan Amortization'!$H$487,$C211&lt;='TIF Loan Amortization'!I$487),'TIF Loan Amortization'!$G$487,IF(AND($C211&gt;='TIF Loan Amortization'!$H$488,$C211&lt;='TIF Loan Amortization'!I$488),'TIF Loan Amortization'!$G$488,IF(AND($C211&gt;='TIF Loan Amortization'!$H$489,$C211&lt;='TIF Loan Amortization'!I$489),'TIF Loan Amortization'!$G$489,IF(AND($C211&gt;='TIF Loan Amortization'!$H$490,$C211&lt;='TIF Loan Amortization'!I$490),'TIF Loan Amortization'!$G$490,IF(AND($C211&gt;='TIF Loan Amortization'!$H$491,$C211&lt;='TIF Loan Amortization'!I$491),'TIF Loan Amortization'!$G$491,IF(AND($C211&gt;='TIF Loan Amortization'!$H$492,$C211&lt;='TIF Loan Amortization'!I$492),'TIF Loan Amortization'!$G$492,IF(AND($C211&gt;='TIF Loan Amortization'!$H$493,$C211&lt;='TIF Loan Amortization'!I$493),'TIF Loan Amortization'!$G$493,IF(AND($C211&gt;='TIF Loan Amortization'!$H$494,$C211&lt;='TIF Loan Amortization'!I$494),'TIF Loan Amortization'!$G$494,IF(AND($C211&gt;='TIF Loan Amortization'!$H$495,$C211&lt;='TIF Loan Amortization'!I$495),'TIF Loan Amortization'!$G$495,IF(AND($C211&gt;='TIF Loan Amortization'!$H$496,$C211&lt;='TIF Loan Amortization'!I$496),'TIF Loan Amortization'!$G$496,IF(AND($C211&gt;='TIF Loan Amortization'!$H$497,$C211&lt;='TIF Loan Amortization'!I$497),'TIF Loan Amortization'!$G$497,IF(AND($C211&gt;='TIF Loan Amortization'!$H$498,$C211&lt;='TIF Loan Amortization'!I$498),'TIF Loan Amortization'!$G$498,IF(AND($C211&gt;='TIF Loan Amortization'!$H$499,$C211&lt;='TIF Loan Amortization'!I$499),'TIF Loan Amortization'!$G$499,IF(AND($C211&gt;='TIF Loan Amortization'!$H$500,$C211&lt;='TIF Loan Amortization'!I$500),'TIF Loan Amortization'!$G$500,IF(AND($C211&gt;='TIF Loan Amortization'!$H$501,$C211&lt;='TIF Loan Amortization'!I$501),'TIF Loan Amortization'!$G$501,IF(AND($C211&gt;='TIF Loan Amortization'!$H$502,$C211&lt;='TIF Loan Amortization'!I$502),'TIF Loan Amortization'!$G$502,IF(AND($C211&gt;='TIF Loan Amortization'!$H$503,$C211&lt;='TIF Loan Amortization'!I$503),'TIF Loan Amortization'!$G$503,IF(AND($C211&gt;='TIF Loan Amortization'!$H$504,$C211&lt;='TIF Loan Amortization'!I$504),'TIF Loan Amortization'!$G$504,IF(AND($C211&gt;='TIF Loan Amortization'!$H$505,$C211&lt;='TIF Loan Amortization'!I$505),'TIF Loan Amortization'!$G$505,IF(AND($C211&gt;='TIF Loan Amortization'!$H$506,$C211&lt;='TIF Loan Amortization'!I$506),'TIF Loan Amortization'!$G$506,IF(AND($C211&gt;='TIF Loan Amortization'!$H$507,$C211&lt;='TIF Loan Amortization'!I$507),'TIF Loan Amortization'!$G$507,IF(AND($C211&gt;='TIF Loan Amortization'!$H$508,$C211&lt;='TIF Loan Amortization'!I$508),'TIF Loan Amortization'!$G$508,IF(AND($C211&gt;='TIF Loan Amortization'!$H$509,$C211&lt;='TIF Loan Amortization'!I$509),'TIF Loan Amortization'!$G$509,IF(AND($C211&gt;='TIF Loan Amortization'!$H$510,$C211&lt;='TIF Loan Amortization'!I$510),'TIF Loan Amortization'!$G$510,IF(AND($C211&gt;='TIF Loan Amortization'!$H$511,$C211&lt;='TIF Loan Amortization'!I$511),'TIF Loan Amortization'!$G$511,IF(AND($C211&gt;='TIF Loan Amortization'!$H$512,$C211&lt;='TIF Loan Amortization'!I$512),'TIF Loan Amortization'!$G$512,IF(AND($C211&gt;='TIF Loan Amortization'!$H$513,$C211&lt;='TIF Loan Amortization'!I$513),'TIF Loan Amortization'!$G$513,IF(AND($C211&gt;='TIF Loan Amortization'!$H$514,$C211&lt;='TIF Loan Amortization'!I$514),'TIF Loan Amortization'!$G$514,IF(AND($C211&gt;='TIF Loan Amortization'!$H$515,$C211&lt;='TIF Loan Amortization'!I$515),'TIF Loan Amortization'!$G$515,IF(AND($C211&gt;='TIF Loan Amortization'!$H$516,$C211&lt;='TIF Loan Amortization'!I$516),'TIF Loan Amortization'!$G$516,IF(AND($C211&gt;='TIF Loan Amortization'!$H$517,$C211&lt;='TIF Loan Amortization'!I$517),'TIF Loan Amortization'!$G$517,IF(AND($C211&gt;='TIF Loan Amortization'!$H$518,$C211&lt;='TIF Loan Amortization'!I$518),'TIF Loan Amortization'!$G$518,IF(AND($C211&gt;='TIF Loan Amortization'!$H$519,$C211&lt;='TIF Loan Amortization'!I$519),'TIF Loan Amortization'!$G$519))))))))))))))))))))))))))))))))))))))))</f>
        <v>#N/A</v>
      </c>
      <c r="C211" s="269" t="e">
        <f t="shared" si="29"/>
        <v>#N/A</v>
      </c>
      <c r="D211" s="281" t="str">
        <f>IF($AG$427=1,$H$10+14,"")</f>
        <v/>
      </c>
      <c r="E211" s="290">
        <v>161</v>
      </c>
      <c r="F211" s="275" t="str">
        <f>VLOOKUP($AG$427,$AE$422:$AF$433,2)</f>
        <v>Aug</v>
      </c>
      <c r="G211" s="272">
        <f t="shared" si="30"/>
        <v>0</v>
      </c>
      <c r="H211" s="272">
        <f t="shared" si="33"/>
        <v>0</v>
      </c>
      <c r="I211" s="272">
        <f t="shared" si="34"/>
        <v>0</v>
      </c>
      <c r="J211" s="272">
        <f t="shared" si="31"/>
        <v>0</v>
      </c>
      <c r="K211" s="272">
        <f>IF(ISTEXT($M$4),"",SUM(I$50:I211))</f>
        <v>0</v>
      </c>
      <c r="L211" s="272">
        <f>IF(ISTEXT($M$4),"",SUM(J$50:J211))</f>
        <v>0</v>
      </c>
      <c r="M211" s="271">
        <f t="shared" si="32"/>
        <v>0</v>
      </c>
      <c r="N211" s="291" t="e">
        <f>IF(C211='Operating Assumptions'!$C$48,"Construction Finish","")</f>
        <v>#N/A</v>
      </c>
      <c r="O211" s="291"/>
      <c r="P211" s="291"/>
      <c r="Q211" s="291"/>
      <c r="R211" s="291"/>
      <c r="S211" s="291"/>
      <c r="T211" s="291"/>
      <c r="U211" s="291"/>
      <c r="V211" s="292"/>
      <c r="W211" s="292"/>
      <c r="X211" s="292"/>
      <c r="Y211" s="291"/>
      <c r="Z211" s="279"/>
      <c r="AA211" s="279"/>
      <c r="AB211" s="279"/>
    </row>
    <row r="212" spans="2:28" s="278" customFormat="1" ht="11.65" hidden="1" customHeight="1" outlineLevel="1" x14ac:dyDescent="0.25">
      <c r="B212" s="270" t="e">
        <f>IF(AND($C212&gt;='TIF Loan Amortization'!$H$480,$C212&lt;='TIF Loan Amortization'!$I$480),'TIF Loan Amortization'!$G$480,IF(AND($C212&gt;='TIF Loan Amortization'!$H$481,$C212&lt;='TIF Loan Amortization'!I$481),'TIF Loan Amortization'!$G$481,IF(AND($C212&gt;='TIF Loan Amortization'!$H$482,$C212&lt;='TIF Loan Amortization'!I$482),'TIF Loan Amortization'!$G$482,IF(AND($C212&gt;='TIF Loan Amortization'!$H$483,$C212&lt;='TIF Loan Amortization'!I$483),'TIF Loan Amortization'!$G$483,IF(AND($C212&gt;='TIF Loan Amortization'!$H$484,$C212&lt;='TIF Loan Amortization'!I$484),'TIF Loan Amortization'!$G$484,IF(AND($C212&gt;='TIF Loan Amortization'!$H$485,$C212&lt;='TIF Loan Amortization'!I$485),'TIF Loan Amortization'!$G$485,IF(AND($C212&gt;='TIF Loan Amortization'!$H$486,$C212&lt;='TIF Loan Amortization'!I$486),'TIF Loan Amortization'!$G$486,IF(AND($C212&gt;='TIF Loan Amortization'!$H$487,$C212&lt;='TIF Loan Amortization'!I$487),'TIF Loan Amortization'!$G$487,IF(AND($C212&gt;='TIF Loan Amortization'!$H$488,$C212&lt;='TIF Loan Amortization'!I$488),'TIF Loan Amortization'!$G$488,IF(AND($C212&gt;='TIF Loan Amortization'!$H$489,$C212&lt;='TIF Loan Amortization'!I$489),'TIF Loan Amortization'!$G$489,IF(AND($C212&gt;='TIF Loan Amortization'!$H$490,$C212&lt;='TIF Loan Amortization'!I$490),'TIF Loan Amortization'!$G$490,IF(AND($C212&gt;='TIF Loan Amortization'!$H$491,$C212&lt;='TIF Loan Amortization'!I$491),'TIF Loan Amortization'!$G$491,IF(AND($C212&gt;='TIF Loan Amortization'!$H$492,$C212&lt;='TIF Loan Amortization'!I$492),'TIF Loan Amortization'!$G$492,IF(AND($C212&gt;='TIF Loan Amortization'!$H$493,$C212&lt;='TIF Loan Amortization'!I$493),'TIF Loan Amortization'!$G$493,IF(AND($C212&gt;='TIF Loan Amortization'!$H$494,$C212&lt;='TIF Loan Amortization'!I$494),'TIF Loan Amortization'!$G$494,IF(AND($C212&gt;='TIF Loan Amortization'!$H$495,$C212&lt;='TIF Loan Amortization'!I$495),'TIF Loan Amortization'!$G$495,IF(AND($C212&gt;='TIF Loan Amortization'!$H$496,$C212&lt;='TIF Loan Amortization'!I$496),'TIF Loan Amortization'!$G$496,IF(AND($C212&gt;='TIF Loan Amortization'!$H$497,$C212&lt;='TIF Loan Amortization'!I$497),'TIF Loan Amortization'!$G$497,IF(AND($C212&gt;='TIF Loan Amortization'!$H$498,$C212&lt;='TIF Loan Amortization'!I$498),'TIF Loan Amortization'!$G$498,IF(AND($C212&gt;='TIF Loan Amortization'!$H$499,$C212&lt;='TIF Loan Amortization'!I$499),'TIF Loan Amortization'!$G$499,IF(AND($C212&gt;='TIF Loan Amortization'!$H$500,$C212&lt;='TIF Loan Amortization'!I$500),'TIF Loan Amortization'!$G$500,IF(AND($C212&gt;='TIF Loan Amortization'!$H$501,$C212&lt;='TIF Loan Amortization'!I$501),'TIF Loan Amortization'!$G$501,IF(AND($C212&gt;='TIF Loan Amortization'!$H$502,$C212&lt;='TIF Loan Amortization'!I$502),'TIF Loan Amortization'!$G$502,IF(AND($C212&gt;='TIF Loan Amortization'!$H$503,$C212&lt;='TIF Loan Amortization'!I$503),'TIF Loan Amortization'!$G$503,IF(AND($C212&gt;='TIF Loan Amortization'!$H$504,$C212&lt;='TIF Loan Amortization'!I$504),'TIF Loan Amortization'!$G$504,IF(AND($C212&gt;='TIF Loan Amortization'!$H$505,$C212&lt;='TIF Loan Amortization'!I$505),'TIF Loan Amortization'!$G$505,IF(AND($C212&gt;='TIF Loan Amortization'!$H$506,$C212&lt;='TIF Loan Amortization'!I$506),'TIF Loan Amortization'!$G$506,IF(AND($C212&gt;='TIF Loan Amortization'!$H$507,$C212&lt;='TIF Loan Amortization'!I$507),'TIF Loan Amortization'!$G$507,IF(AND($C212&gt;='TIF Loan Amortization'!$H$508,$C212&lt;='TIF Loan Amortization'!I$508),'TIF Loan Amortization'!$G$508,IF(AND($C212&gt;='TIF Loan Amortization'!$H$509,$C212&lt;='TIF Loan Amortization'!I$509),'TIF Loan Amortization'!$G$509,IF(AND($C212&gt;='TIF Loan Amortization'!$H$510,$C212&lt;='TIF Loan Amortization'!I$510),'TIF Loan Amortization'!$G$510,IF(AND($C212&gt;='TIF Loan Amortization'!$H$511,$C212&lt;='TIF Loan Amortization'!I$511),'TIF Loan Amortization'!$G$511,IF(AND($C212&gt;='TIF Loan Amortization'!$H$512,$C212&lt;='TIF Loan Amortization'!I$512),'TIF Loan Amortization'!$G$512,IF(AND($C212&gt;='TIF Loan Amortization'!$H$513,$C212&lt;='TIF Loan Amortization'!I$513),'TIF Loan Amortization'!$G$513,IF(AND($C212&gt;='TIF Loan Amortization'!$H$514,$C212&lt;='TIF Loan Amortization'!I$514),'TIF Loan Amortization'!$G$514,IF(AND($C212&gt;='TIF Loan Amortization'!$H$515,$C212&lt;='TIF Loan Amortization'!I$515),'TIF Loan Amortization'!$G$515,IF(AND($C212&gt;='TIF Loan Amortization'!$H$516,$C212&lt;='TIF Loan Amortization'!I$516),'TIF Loan Amortization'!$G$516,IF(AND($C212&gt;='TIF Loan Amortization'!$H$517,$C212&lt;='TIF Loan Amortization'!I$517),'TIF Loan Amortization'!$G$517,IF(AND($C212&gt;='TIF Loan Amortization'!$H$518,$C212&lt;='TIF Loan Amortization'!I$518),'TIF Loan Amortization'!$G$518,IF(AND($C212&gt;='TIF Loan Amortization'!$H$519,$C212&lt;='TIF Loan Amortization'!I$519),'TIF Loan Amortization'!$G$519))))))))))))))))))))))))))))))))))))))))</f>
        <v>#N/A</v>
      </c>
      <c r="C212" s="269" t="e">
        <f t="shared" si="29"/>
        <v>#N/A</v>
      </c>
      <c r="D212" s="281" t="str">
        <f>IF($AG$428=1,$H$10+14,"")</f>
        <v/>
      </c>
      <c r="E212" s="290">
        <v>162</v>
      </c>
      <c r="F212" s="275" t="str">
        <f>VLOOKUP($AG$428,$AE$422:$AF$433,2)</f>
        <v>Sep</v>
      </c>
      <c r="G212" s="272">
        <f t="shared" si="30"/>
        <v>0</v>
      </c>
      <c r="H212" s="272">
        <f t="shared" si="33"/>
        <v>0</v>
      </c>
      <c r="I212" s="272">
        <f t="shared" si="34"/>
        <v>0</v>
      </c>
      <c r="J212" s="272">
        <f t="shared" si="31"/>
        <v>0</v>
      </c>
      <c r="K212" s="272">
        <f>IF(ISTEXT($M$4),"",SUM(I$50:I212))</f>
        <v>0</v>
      </c>
      <c r="L212" s="272">
        <f>IF(ISTEXT($M$4),"",SUM(J$50:J212))</f>
        <v>0</v>
      </c>
      <c r="M212" s="271">
        <f t="shared" si="32"/>
        <v>0</v>
      </c>
      <c r="N212" s="291" t="e">
        <f>IF(C212='Operating Assumptions'!$C$48,"Construction Finish","")</f>
        <v>#N/A</v>
      </c>
      <c r="O212" s="291"/>
      <c r="P212" s="291"/>
      <c r="Q212" s="291"/>
      <c r="R212" s="291"/>
      <c r="S212" s="291"/>
      <c r="T212" s="291"/>
      <c r="U212" s="291"/>
      <c r="V212" s="292"/>
      <c r="W212" s="292"/>
      <c r="X212" s="292"/>
      <c r="Y212" s="291"/>
      <c r="Z212" s="279"/>
      <c r="AA212" s="279"/>
      <c r="AB212" s="279"/>
    </row>
    <row r="213" spans="2:28" s="278" customFormat="1" ht="11.65" hidden="1" customHeight="1" outlineLevel="1" x14ac:dyDescent="0.25">
      <c r="B213" s="270" t="e">
        <f>IF(AND($C213&gt;='TIF Loan Amortization'!$H$480,$C213&lt;='TIF Loan Amortization'!$I$480),'TIF Loan Amortization'!$G$480,IF(AND($C213&gt;='TIF Loan Amortization'!$H$481,$C213&lt;='TIF Loan Amortization'!I$481),'TIF Loan Amortization'!$G$481,IF(AND($C213&gt;='TIF Loan Amortization'!$H$482,$C213&lt;='TIF Loan Amortization'!I$482),'TIF Loan Amortization'!$G$482,IF(AND($C213&gt;='TIF Loan Amortization'!$H$483,$C213&lt;='TIF Loan Amortization'!I$483),'TIF Loan Amortization'!$G$483,IF(AND($C213&gt;='TIF Loan Amortization'!$H$484,$C213&lt;='TIF Loan Amortization'!I$484),'TIF Loan Amortization'!$G$484,IF(AND($C213&gt;='TIF Loan Amortization'!$H$485,$C213&lt;='TIF Loan Amortization'!I$485),'TIF Loan Amortization'!$G$485,IF(AND($C213&gt;='TIF Loan Amortization'!$H$486,$C213&lt;='TIF Loan Amortization'!I$486),'TIF Loan Amortization'!$G$486,IF(AND($C213&gt;='TIF Loan Amortization'!$H$487,$C213&lt;='TIF Loan Amortization'!I$487),'TIF Loan Amortization'!$G$487,IF(AND($C213&gt;='TIF Loan Amortization'!$H$488,$C213&lt;='TIF Loan Amortization'!I$488),'TIF Loan Amortization'!$G$488,IF(AND($C213&gt;='TIF Loan Amortization'!$H$489,$C213&lt;='TIF Loan Amortization'!I$489),'TIF Loan Amortization'!$G$489,IF(AND($C213&gt;='TIF Loan Amortization'!$H$490,$C213&lt;='TIF Loan Amortization'!I$490),'TIF Loan Amortization'!$G$490,IF(AND($C213&gt;='TIF Loan Amortization'!$H$491,$C213&lt;='TIF Loan Amortization'!I$491),'TIF Loan Amortization'!$G$491,IF(AND($C213&gt;='TIF Loan Amortization'!$H$492,$C213&lt;='TIF Loan Amortization'!I$492),'TIF Loan Amortization'!$G$492,IF(AND($C213&gt;='TIF Loan Amortization'!$H$493,$C213&lt;='TIF Loan Amortization'!I$493),'TIF Loan Amortization'!$G$493,IF(AND($C213&gt;='TIF Loan Amortization'!$H$494,$C213&lt;='TIF Loan Amortization'!I$494),'TIF Loan Amortization'!$G$494,IF(AND($C213&gt;='TIF Loan Amortization'!$H$495,$C213&lt;='TIF Loan Amortization'!I$495),'TIF Loan Amortization'!$G$495,IF(AND($C213&gt;='TIF Loan Amortization'!$H$496,$C213&lt;='TIF Loan Amortization'!I$496),'TIF Loan Amortization'!$G$496,IF(AND($C213&gt;='TIF Loan Amortization'!$H$497,$C213&lt;='TIF Loan Amortization'!I$497),'TIF Loan Amortization'!$G$497,IF(AND($C213&gt;='TIF Loan Amortization'!$H$498,$C213&lt;='TIF Loan Amortization'!I$498),'TIF Loan Amortization'!$G$498,IF(AND($C213&gt;='TIF Loan Amortization'!$H$499,$C213&lt;='TIF Loan Amortization'!I$499),'TIF Loan Amortization'!$G$499,IF(AND($C213&gt;='TIF Loan Amortization'!$H$500,$C213&lt;='TIF Loan Amortization'!I$500),'TIF Loan Amortization'!$G$500,IF(AND($C213&gt;='TIF Loan Amortization'!$H$501,$C213&lt;='TIF Loan Amortization'!I$501),'TIF Loan Amortization'!$G$501,IF(AND($C213&gt;='TIF Loan Amortization'!$H$502,$C213&lt;='TIF Loan Amortization'!I$502),'TIF Loan Amortization'!$G$502,IF(AND($C213&gt;='TIF Loan Amortization'!$H$503,$C213&lt;='TIF Loan Amortization'!I$503),'TIF Loan Amortization'!$G$503,IF(AND($C213&gt;='TIF Loan Amortization'!$H$504,$C213&lt;='TIF Loan Amortization'!I$504),'TIF Loan Amortization'!$G$504,IF(AND($C213&gt;='TIF Loan Amortization'!$H$505,$C213&lt;='TIF Loan Amortization'!I$505),'TIF Loan Amortization'!$G$505,IF(AND($C213&gt;='TIF Loan Amortization'!$H$506,$C213&lt;='TIF Loan Amortization'!I$506),'TIF Loan Amortization'!$G$506,IF(AND($C213&gt;='TIF Loan Amortization'!$H$507,$C213&lt;='TIF Loan Amortization'!I$507),'TIF Loan Amortization'!$G$507,IF(AND($C213&gt;='TIF Loan Amortization'!$H$508,$C213&lt;='TIF Loan Amortization'!I$508),'TIF Loan Amortization'!$G$508,IF(AND($C213&gt;='TIF Loan Amortization'!$H$509,$C213&lt;='TIF Loan Amortization'!I$509),'TIF Loan Amortization'!$G$509,IF(AND($C213&gt;='TIF Loan Amortization'!$H$510,$C213&lt;='TIF Loan Amortization'!I$510),'TIF Loan Amortization'!$G$510,IF(AND($C213&gt;='TIF Loan Amortization'!$H$511,$C213&lt;='TIF Loan Amortization'!I$511),'TIF Loan Amortization'!$G$511,IF(AND($C213&gt;='TIF Loan Amortization'!$H$512,$C213&lt;='TIF Loan Amortization'!I$512),'TIF Loan Amortization'!$G$512,IF(AND($C213&gt;='TIF Loan Amortization'!$H$513,$C213&lt;='TIF Loan Amortization'!I$513),'TIF Loan Amortization'!$G$513,IF(AND($C213&gt;='TIF Loan Amortization'!$H$514,$C213&lt;='TIF Loan Amortization'!I$514),'TIF Loan Amortization'!$G$514,IF(AND($C213&gt;='TIF Loan Amortization'!$H$515,$C213&lt;='TIF Loan Amortization'!I$515),'TIF Loan Amortization'!$G$515,IF(AND($C213&gt;='TIF Loan Amortization'!$H$516,$C213&lt;='TIF Loan Amortization'!I$516),'TIF Loan Amortization'!$G$516,IF(AND($C213&gt;='TIF Loan Amortization'!$H$517,$C213&lt;='TIF Loan Amortization'!I$517),'TIF Loan Amortization'!$G$517,IF(AND($C213&gt;='TIF Loan Amortization'!$H$518,$C213&lt;='TIF Loan Amortization'!I$518),'TIF Loan Amortization'!$G$518,IF(AND($C213&gt;='TIF Loan Amortization'!$H$519,$C213&lt;='TIF Loan Amortization'!I$519),'TIF Loan Amortization'!$G$519))))))))))))))))))))))))))))))))))))))))</f>
        <v>#N/A</v>
      </c>
      <c r="C213" s="269" t="e">
        <f t="shared" si="29"/>
        <v>#N/A</v>
      </c>
      <c r="D213" s="281" t="str">
        <f>IF($AG$429=1,$H$10+14,"")</f>
        <v/>
      </c>
      <c r="E213" s="290">
        <v>163</v>
      </c>
      <c r="F213" s="275" t="str">
        <f>VLOOKUP($AG$429,$AE$422:$AF$433,2)</f>
        <v>Oct</v>
      </c>
      <c r="G213" s="272">
        <f t="shared" si="30"/>
        <v>0</v>
      </c>
      <c r="H213" s="272">
        <f t="shared" si="33"/>
        <v>0</v>
      </c>
      <c r="I213" s="272">
        <f t="shared" si="34"/>
        <v>0</v>
      </c>
      <c r="J213" s="272">
        <f t="shared" si="31"/>
        <v>0</v>
      </c>
      <c r="K213" s="272">
        <f>IF(ISTEXT($M$4),"",SUM(I$50:I213))</f>
        <v>0</v>
      </c>
      <c r="L213" s="272">
        <f>IF(ISTEXT($M$4),"",SUM(J$50:J213))</f>
        <v>0</v>
      </c>
      <c r="M213" s="271">
        <f t="shared" si="32"/>
        <v>0</v>
      </c>
      <c r="N213" s="291" t="e">
        <f>IF(C213='Operating Assumptions'!$C$48,"Construction Finish","")</f>
        <v>#N/A</v>
      </c>
      <c r="O213" s="291"/>
      <c r="P213" s="291"/>
      <c r="Q213" s="291"/>
      <c r="R213" s="291"/>
      <c r="S213" s="291"/>
      <c r="T213" s="291"/>
      <c r="U213" s="291"/>
      <c r="V213" s="292"/>
      <c r="W213" s="292"/>
      <c r="X213" s="292"/>
      <c r="Y213" s="291"/>
      <c r="Z213" s="279"/>
      <c r="AA213" s="279"/>
      <c r="AB213" s="279"/>
    </row>
    <row r="214" spans="2:28" s="278" customFormat="1" ht="11.65" hidden="1" customHeight="1" outlineLevel="1" x14ac:dyDescent="0.25">
      <c r="B214" s="270" t="e">
        <f>IF(AND($C214&gt;='TIF Loan Amortization'!$H$480,$C214&lt;='TIF Loan Amortization'!$I$480),'TIF Loan Amortization'!$G$480,IF(AND($C214&gt;='TIF Loan Amortization'!$H$481,$C214&lt;='TIF Loan Amortization'!I$481),'TIF Loan Amortization'!$G$481,IF(AND($C214&gt;='TIF Loan Amortization'!$H$482,$C214&lt;='TIF Loan Amortization'!I$482),'TIF Loan Amortization'!$G$482,IF(AND($C214&gt;='TIF Loan Amortization'!$H$483,$C214&lt;='TIF Loan Amortization'!I$483),'TIF Loan Amortization'!$G$483,IF(AND($C214&gt;='TIF Loan Amortization'!$H$484,$C214&lt;='TIF Loan Amortization'!I$484),'TIF Loan Amortization'!$G$484,IF(AND($C214&gt;='TIF Loan Amortization'!$H$485,$C214&lt;='TIF Loan Amortization'!I$485),'TIF Loan Amortization'!$G$485,IF(AND($C214&gt;='TIF Loan Amortization'!$H$486,$C214&lt;='TIF Loan Amortization'!I$486),'TIF Loan Amortization'!$G$486,IF(AND($C214&gt;='TIF Loan Amortization'!$H$487,$C214&lt;='TIF Loan Amortization'!I$487),'TIF Loan Amortization'!$G$487,IF(AND($C214&gt;='TIF Loan Amortization'!$H$488,$C214&lt;='TIF Loan Amortization'!I$488),'TIF Loan Amortization'!$G$488,IF(AND($C214&gt;='TIF Loan Amortization'!$H$489,$C214&lt;='TIF Loan Amortization'!I$489),'TIF Loan Amortization'!$G$489,IF(AND($C214&gt;='TIF Loan Amortization'!$H$490,$C214&lt;='TIF Loan Amortization'!I$490),'TIF Loan Amortization'!$G$490,IF(AND($C214&gt;='TIF Loan Amortization'!$H$491,$C214&lt;='TIF Loan Amortization'!I$491),'TIF Loan Amortization'!$G$491,IF(AND($C214&gt;='TIF Loan Amortization'!$H$492,$C214&lt;='TIF Loan Amortization'!I$492),'TIF Loan Amortization'!$G$492,IF(AND($C214&gt;='TIF Loan Amortization'!$H$493,$C214&lt;='TIF Loan Amortization'!I$493),'TIF Loan Amortization'!$G$493,IF(AND($C214&gt;='TIF Loan Amortization'!$H$494,$C214&lt;='TIF Loan Amortization'!I$494),'TIF Loan Amortization'!$G$494,IF(AND($C214&gt;='TIF Loan Amortization'!$H$495,$C214&lt;='TIF Loan Amortization'!I$495),'TIF Loan Amortization'!$G$495,IF(AND($C214&gt;='TIF Loan Amortization'!$H$496,$C214&lt;='TIF Loan Amortization'!I$496),'TIF Loan Amortization'!$G$496,IF(AND($C214&gt;='TIF Loan Amortization'!$H$497,$C214&lt;='TIF Loan Amortization'!I$497),'TIF Loan Amortization'!$G$497,IF(AND($C214&gt;='TIF Loan Amortization'!$H$498,$C214&lt;='TIF Loan Amortization'!I$498),'TIF Loan Amortization'!$G$498,IF(AND($C214&gt;='TIF Loan Amortization'!$H$499,$C214&lt;='TIF Loan Amortization'!I$499),'TIF Loan Amortization'!$G$499,IF(AND($C214&gt;='TIF Loan Amortization'!$H$500,$C214&lt;='TIF Loan Amortization'!I$500),'TIF Loan Amortization'!$G$500,IF(AND($C214&gt;='TIF Loan Amortization'!$H$501,$C214&lt;='TIF Loan Amortization'!I$501),'TIF Loan Amortization'!$G$501,IF(AND($C214&gt;='TIF Loan Amortization'!$H$502,$C214&lt;='TIF Loan Amortization'!I$502),'TIF Loan Amortization'!$G$502,IF(AND($C214&gt;='TIF Loan Amortization'!$H$503,$C214&lt;='TIF Loan Amortization'!I$503),'TIF Loan Amortization'!$G$503,IF(AND($C214&gt;='TIF Loan Amortization'!$H$504,$C214&lt;='TIF Loan Amortization'!I$504),'TIF Loan Amortization'!$G$504,IF(AND($C214&gt;='TIF Loan Amortization'!$H$505,$C214&lt;='TIF Loan Amortization'!I$505),'TIF Loan Amortization'!$G$505,IF(AND($C214&gt;='TIF Loan Amortization'!$H$506,$C214&lt;='TIF Loan Amortization'!I$506),'TIF Loan Amortization'!$G$506,IF(AND($C214&gt;='TIF Loan Amortization'!$H$507,$C214&lt;='TIF Loan Amortization'!I$507),'TIF Loan Amortization'!$G$507,IF(AND($C214&gt;='TIF Loan Amortization'!$H$508,$C214&lt;='TIF Loan Amortization'!I$508),'TIF Loan Amortization'!$G$508,IF(AND($C214&gt;='TIF Loan Amortization'!$H$509,$C214&lt;='TIF Loan Amortization'!I$509),'TIF Loan Amortization'!$G$509,IF(AND($C214&gt;='TIF Loan Amortization'!$H$510,$C214&lt;='TIF Loan Amortization'!I$510),'TIF Loan Amortization'!$G$510,IF(AND($C214&gt;='TIF Loan Amortization'!$H$511,$C214&lt;='TIF Loan Amortization'!I$511),'TIF Loan Amortization'!$G$511,IF(AND($C214&gt;='TIF Loan Amortization'!$H$512,$C214&lt;='TIF Loan Amortization'!I$512),'TIF Loan Amortization'!$G$512,IF(AND($C214&gt;='TIF Loan Amortization'!$H$513,$C214&lt;='TIF Loan Amortization'!I$513),'TIF Loan Amortization'!$G$513,IF(AND($C214&gt;='TIF Loan Amortization'!$H$514,$C214&lt;='TIF Loan Amortization'!I$514),'TIF Loan Amortization'!$G$514,IF(AND($C214&gt;='TIF Loan Amortization'!$H$515,$C214&lt;='TIF Loan Amortization'!I$515),'TIF Loan Amortization'!$G$515,IF(AND($C214&gt;='TIF Loan Amortization'!$H$516,$C214&lt;='TIF Loan Amortization'!I$516),'TIF Loan Amortization'!$G$516,IF(AND($C214&gt;='TIF Loan Amortization'!$H$517,$C214&lt;='TIF Loan Amortization'!I$517),'TIF Loan Amortization'!$G$517,IF(AND($C214&gt;='TIF Loan Amortization'!$H$518,$C214&lt;='TIF Loan Amortization'!I$518),'TIF Loan Amortization'!$G$518,IF(AND($C214&gt;='TIF Loan Amortization'!$H$519,$C214&lt;='TIF Loan Amortization'!I$519),'TIF Loan Amortization'!$G$519))))))))))))))))))))))))))))))))))))))))</f>
        <v>#N/A</v>
      </c>
      <c r="C214" s="269" t="e">
        <f t="shared" si="29"/>
        <v>#N/A</v>
      </c>
      <c r="D214" s="281" t="str">
        <f>IF($AG$430=1,$H$10+14,"")</f>
        <v/>
      </c>
      <c r="E214" s="290">
        <v>164</v>
      </c>
      <c r="F214" s="275" t="str">
        <f>VLOOKUP($AG$430,$AE$422:$AF$433,2)</f>
        <v>Nov</v>
      </c>
      <c r="G214" s="272">
        <f t="shared" si="30"/>
        <v>0</v>
      </c>
      <c r="H214" s="272">
        <f t="shared" si="33"/>
        <v>0</v>
      </c>
      <c r="I214" s="272">
        <f t="shared" si="34"/>
        <v>0</v>
      </c>
      <c r="J214" s="272">
        <f t="shared" si="31"/>
        <v>0</v>
      </c>
      <c r="K214" s="272">
        <f>IF(ISTEXT($M$4),"",SUM(I$50:I214))</f>
        <v>0</v>
      </c>
      <c r="L214" s="272">
        <f>IF(ISTEXT($M$4),"",SUM(J$50:J214))</f>
        <v>0</v>
      </c>
      <c r="M214" s="271">
        <f t="shared" si="32"/>
        <v>0</v>
      </c>
      <c r="N214" s="291" t="e">
        <f>IF(C214='Operating Assumptions'!$C$48,"Construction Finish","")</f>
        <v>#N/A</v>
      </c>
      <c r="O214" s="291"/>
      <c r="P214" s="291"/>
      <c r="Q214" s="291"/>
      <c r="R214" s="291"/>
      <c r="S214" s="291"/>
      <c r="T214" s="291"/>
      <c r="U214" s="291"/>
      <c r="V214" s="292"/>
      <c r="W214" s="292"/>
      <c r="X214" s="292"/>
      <c r="Y214" s="291"/>
      <c r="Z214" s="279"/>
      <c r="AA214" s="279"/>
      <c r="AB214" s="279"/>
    </row>
    <row r="215" spans="2:28" s="278" customFormat="1" ht="13.5" hidden="1" outlineLevel="1" x14ac:dyDescent="0.25">
      <c r="B215" s="270" t="e">
        <f>IF(AND($C215&gt;='TIF Loan Amortization'!$H$480,$C215&lt;='TIF Loan Amortization'!$I$480),'TIF Loan Amortization'!$G$480,IF(AND($C215&gt;='TIF Loan Amortization'!$H$481,$C215&lt;='TIF Loan Amortization'!I$481),'TIF Loan Amortization'!$G$481,IF(AND($C215&gt;='TIF Loan Amortization'!$H$482,$C215&lt;='TIF Loan Amortization'!I$482),'TIF Loan Amortization'!$G$482,IF(AND($C215&gt;='TIF Loan Amortization'!$H$483,$C215&lt;='TIF Loan Amortization'!I$483),'TIF Loan Amortization'!$G$483,IF(AND($C215&gt;='TIF Loan Amortization'!$H$484,$C215&lt;='TIF Loan Amortization'!I$484),'TIF Loan Amortization'!$G$484,IF(AND($C215&gt;='TIF Loan Amortization'!$H$485,$C215&lt;='TIF Loan Amortization'!I$485),'TIF Loan Amortization'!$G$485,IF(AND($C215&gt;='TIF Loan Amortization'!$H$486,$C215&lt;='TIF Loan Amortization'!I$486),'TIF Loan Amortization'!$G$486,IF(AND($C215&gt;='TIF Loan Amortization'!$H$487,$C215&lt;='TIF Loan Amortization'!I$487),'TIF Loan Amortization'!$G$487,IF(AND($C215&gt;='TIF Loan Amortization'!$H$488,$C215&lt;='TIF Loan Amortization'!I$488),'TIF Loan Amortization'!$G$488,IF(AND($C215&gt;='TIF Loan Amortization'!$H$489,$C215&lt;='TIF Loan Amortization'!I$489),'TIF Loan Amortization'!$G$489,IF(AND($C215&gt;='TIF Loan Amortization'!$H$490,$C215&lt;='TIF Loan Amortization'!I$490),'TIF Loan Amortization'!$G$490,IF(AND($C215&gt;='TIF Loan Amortization'!$H$491,$C215&lt;='TIF Loan Amortization'!I$491),'TIF Loan Amortization'!$G$491,IF(AND($C215&gt;='TIF Loan Amortization'!$H$492,$C215&lt;='TIF Loan Amortization'!I$492),'TIF Loan Amortization'!$G$492,IF(AND($C215&gt;='TIF Loan Amortization'!$H$493,$C215&lt;='TIF Loan Amortization'!I$493),'TIF Loan Amortization'!$G$493,IF(AND($C215&gt;='TIF Loan Amortization'!$H$494,$C215&lt;='TIF Loan Amortization'!I$494),'TIF Loan Amortization'!$G$494,IF(AND($C215&gt;='TIF Loan Amortization'!$H$495,$C215&lt;='TIF Loan Amortization'!I$495),'TIF Loan Amortization'!$G$495,IF(AND($C215&gt;='TIF Loan Amortization'!$H$496,$C215&lt;='TIF Loan Amortization'!I$496),'TIF Loan Amortization'!$G$496,IF(AND($C215&gt;='TIF Loan Amortization'!$H$497,$C215&lt;='TIF Loan Amortization'!I$497),'TIF Loan Amortization'!$G$497,IF(AND($C215&gt;='TIF Loan Amortization'!$H$498,$C215&lt;='TIF Loan Amortization'!I$498),'TIF Loan Amortization'!$G$498,IF(AND($C215&gt;='TIF Loan Amortization'!$H$499,$C215&lt;='TIF Loan Amortization'!I$499),'TIF Loan Amortization'!$G$499,IF(AND($C215&gt;='TIF Loan Amortization'!$H$500,$C215&lt;='TIF Loan Amortization'!I$500),'TIF Loan Amortization'!$G$500,IF(AND($C215&gt;='TIF Loan Amortization'!$H$501,$C215&lt;='TIF Loan Amortization'!I$501),'TIF Loan Amortization'!$G$501,IF(AND($C215&gt;='TIF Loan Amortization'!$H$502,$C215&lt;='TIF Loan Amortization'!I$502),'TIF Loan Amortization'!$G$502,IF(AND($C215&gt;='TIF Loan Amortization'!$H$503,$C215&lt;='TIF Loan Amortization'!I$503),'TIF Loan Amortization'!$G$503,IF(AND($C215&gt;='TIF Loan Amortization'!$H$504,$C215&lt;='TIF Loan Amortization'!I$504),'TIF Loan Amortization'!$G$504,IF(AND($C215&gt;='TIF Loan Amortization'!$H$505,$C215&lt;='TIF Loan Amortization'!I$505),'TIF Loan Amortization'!$G$505,IF(AND($C215&gt;='TIF Loan Amortization'!$H$506,$C215&lt;='TIF Loan Amortization'!I$506),'TIF Loan Amortization'!$G$506,IF(AND($C215&gt;='TIF Loan Amortization'!$H$507,$C215&lt;='TIF Loan Amortization'!I$507),'TIF Loan Amortization'!$G$507,IF(AND($C215&gt;='TIF Loan Amortization'!$H$508,$C215&lt;='TIF Loan Amortization'!I$508),'TIF Loan Amortization'!$G$508,IF(AND($C215&gt;='TIF Loan Amortization'!$H$509,$C215&lt;='TIF Loan Amortization'!I$509),'TIF Loan Amortization'!$G$509,IF(AND($C215&gt;='TIF Loan Amortization'!$H$510,$C215&lt;='TIF Loan Amortization'!I$510),'TIF Loan Amortization'!$G$510,IF(AND($C215&gt;='TIF Loan Amortization'!$H$511,$C215&lt;='TIF Loan Amortization'!I$511),'TIF Loan Amortization'!$G$511,IF(AND($C215&gt;='TIF Loan Amortization'!$H$512,$C215&lt;='TIF Loan Amortization'!I$512),'TIF Loan Amortization'!$G$512,IF(AND($C215&gt;='TIF Loan Amortization'!$H$513,$C215&lt;='TIF Loan Amortization'!I$513),'TIF Loan Amortization'!$G$513,IF(AND($C215&gt;='TIF Loan Amortization'!$H$514,$C215&lt;='TIF Loan Amortization'!I$514),'TIF Loan Amortization'!$G$514,IF(AND($C215&gt;='TIF Loan Amortization'!$H$515,$C215&lt;='TIF Loan Amortization'!I$515),'TIF Loan Amortization'!$G$515,IF(AND($C215&gt;='TIF Loan Amortization'!$H$516,$C215&lt;='TIF Loan Amortization'!I$516),'TIF Loan Amortization'!$G$516,IF(AND($C215&gt;='TIF Loan Amortization'!$H$517,$C215&lt;='TIF Loan Amortization'!I$517),'TIF Loan Amortization'!$G$517,IF(AND($C215&gt;='TIF Loan Amortization'!$H$518,$C215&lt;='TIF Loan Amortization'!I$518),'TIF Loan Amortization'!$G$518,IF(AND($C215&gt;='TIF Loan Amortization'!$H$519,$C215&lt;='TIF Loan Amortization'!I$519),'TIF Loan Amortization'!$G$519))))))))))))))))))))))))))))))))))))))))</f>
        <v>#N/A</v>
      </c>
      <c r="C215" s="269" t="e">
        <f t="shared" si="29"/>
        <v>#N/A</v>
      </c>
      <c r="D215" s="281" t="str">
        <f>IF($AG$431=1,$H$10+14,"")</f>
        <v/>
      </c>
      <c r="E215" s="290">
        <v>165</v>
      </c>
      <c r="F215" s="275" t="str">
        <f>VLOOKUP($AG$431,$AE$422:$AF$433,2)</f>
        <v>Dec</v>
      </c>
      <c r="G215" s="272">
        <f t="shared" si="30"/>
        <v>0</v>
      </c>
      <c r="H215" s="272">
        <f t="shared" si="33"/>
        <v>0</v>
      </c>
      <c r="I215" s="272">
        <f t="shared" si="34"/>
        <v>0</v>
      </c>
      <c r="J215" s="272">
        <f t="shared" si="31"/>
        <v>0</v>
      </c>
      <c r="K215" s="272">
        <f>IF(ISTEXT($M$4),"",SUM(I$50:I215))</f>
        <v>0</v>
      </c>
      <c r="L215" s="272">
        <f>IF(ISTEXT($M$4),"",SUM(J$50:J215))</f>
        <v>0</v>
      </c>
      <c r="M215" s="271">
        <f t="shared" si="32"/>
        <v>0</v>
      </c>
      <c r="N215" s="291" t="e">
        <f>IF(C215='Operating Assumptions'!$C$48,"Construction Finish","")</f>
        <v>#N/A</v>
      </c>
      <c r="O215" s="291"/>
      <c r="P215" s="291"/>
      <c r="Q215" s="291"/>
      <c r="R215" s="291"/>
      <c r="S215" s="291"/>
      <c r="T215" s="280"/>
      <c r="U215" s="280"/>
      <c r="V215" s="286"/>
      <c r="W215" s="286"/>
      <c r="X215" s="286"/>
      <c r="Y215" s="280"/>
      <c r="Z215" s="279"/>
      <c r="AA215" s="279"/>
      <c r="AB215" s="279"/>
    </row>
    <row r="216" spans="2:28" s="278" customFormat="1" ht="13.5" hidden="1" outlineLevel="1" x14ac:dyDescent="0.25">
      <c r="B216" s="270" t="e">
        <f>IF(AND($C216&gt;='TIF Loan Amortization'!$H$480,$C216&lt;='TIF Loan Amortization'!$I$480),'TIF Loan Amortization'!$G$480,IF(AND($C216&gt;='TIF Loan Amortization'!$H$481,$C216&lt;='TIF Loan Amortization'!I$481),'TIF Loan Amortization'!$G$481,IF(AND($C216&gt;='TIF Loan Amortization'!$H$482,$C216&lt;='TIF Loan Amortization'!I$482),'TIF Loan Amortization'!$G$482,IF(AND($C216&gt;='TIF Loan Amortization'!$H$483,$C216&lt;='TIF Loan Amortization'!I$483),'TIF Loan Amortization'!$G$483,IF(AND($C216&gt;='TIF Loan Amortization'!$H$484,$C216&lt;='TIF Loan Amortization'!I$484),'TIF Loan Amortization'!$G$484,IF(AND($C216&gt;='TIF Loan Amortization'!$H$485,$C216&lt;='TIF Loan Amortization'!I$485),'TIF Loan Amortization'!$G$485,IF(AND($C216&gt;='TIF Loan Amortization'!$H$486,$C216&lt;='TIF Loan Amortization'!I$486),'TIF Loan Amortization'!$G$486,IF(AND($C216&gt;='TIF Loan Amortization'!$H$487,$C216&lt;='TIF Loan Amortization'!I$487),'TIF Loan Amortization'!$G$487,IF(AND($C216&gt;='TIF Loan Amortization'!$H$488,$C216&lt;='TIF Loan Amortization'!I$488),'TIF Loan Amortization'!$G$488,IF(AND($C216&gt;='TIF Loan Amortization'!$H$489,$C216&lt;='TIF Loan Amortization'!I$489),'TIF Loan Amortization'!$G$489,IF(AND($C216&gt;='TIF Loan Amortization'!$H$490,$C216&lt;='TIF Loan Amortization'!I$490),'TIF Loan Amortization'!$G$490,IF(AND($C216&gt;='TIF Loan Amortization'!$H$491,$C216&lt;='TIF Loan Amortization'!I$491),'TIF Loan Amortization'!$G$491,IF(AND($C216&gt;='TIF Loan Amortization'!$H$492,$C216&lt;='TIF Loan Amortization'!I$492),'TIF Loan Amortization'!$G$492,IF(AND($C216&gt;='TIF Loan Amortization'!$H$493,$C216&lt;='TIF Loan Amortization'!I$493),'TIF Loan Amortization'!$G$493,IF(AND($C216&gt;='TIF Loan Amortization'!$H$494,$C216&lt;='TIF Loan Amortization'!I$494),'TIF Loan Amortization'!$G$494,IF(AND($C216&gt;='TIF Loan Amortization'!$H$495,$C216&lt;='TIF Loan Amortization'!I$495),'TIF Loan Amortization'!$G$495,IF(AND($C216&gt;='TIF Loan Amortization'!$H$496,$C216&lt;='TIF Loan Amortization'!I$496),'TIF Loan Amortization'!$G$496,IF(AND($C216&gt;='TIF Loan Amortization'!$H$497,$C216&lt;='TIF Loan Amortization'!I$497),'TIF Loan Amortization'!$G$497,IF(AND($C216&gt;='TIF Loan Amortization'!$H$498,$C216&lt;='TIF Loan Amortization'!I$498),'TIF Loan Amortization'!$G$498,IF(AND($C216&gt;='TIF Loan Amortization'!$H$499,$C216&lt;='TIF Loan Amortization'!I$499),'TIF Loan Amortization'!$G$499,IF(AND($C216&gt;='TIF Loan Amortization'!$H$500,$C216&lt;='TIF Loan Amortization'!I$500),'TIF Loan Amortization'!$G$500,IF(AND($C216&gt;='TIF Loan Amortization'!$H$501,$C216&lt;='TIF Loan Amortization'!I$501),'TIF Loan Amortization'!$G$501,IF(AND($C216&gt;='TIF Loan Amortization'!$H$502,$C216&lt;='TIF Loan Amortization'!I$502),'TIF Loan Amortization'!$G$502,IF(AND($C216&gt;='TIF Loan Amortization'!$H$503,$C216&lt;='TIF Loan Amortization'!I$503),'TIF Loan Amortization'!$G$503,IF(AND($C216&gt;='TIF Loan Amortization'!$H$504,$C216&lt;='TIF Loan Amortization'!I$504),'TIF Loan Amortization'!$G$504,IF(AND($C216&gt;='TIF Loan Amortization'!$H$505,$C216&lt;='TIF Loan Amortization'!I$505),'TIF Loan Amortization'!$G$505,IF(AND($C216&gt;='TIF Loan Amortization'!$H$506,$C216&lt;='TIF Loan Amortization'!I$506),'TIF Loan Amortization'!$G$506,IF(AND($C216&gt;='TIF Loan Amortization'!$H$507,$C216&lt;='TIF Loan Amortization'!I$507),'TIF Loan Amortization'!$G$507,IF(AND($C216&gt;='TIF Loan Amortization'!$H$508,$C216&lt;='TIF Loan Amortization'!I$508),'TIF Loan Amortization'!$G$508,IF(AND($C216&gt;='TIF Loan Amortization'!$H$509,$C216&lt;='TIF Loan Amortization'!I$509),'TIF Loan Amortization'!$G$509,IF(AND($C216&gt;='TIF Loan Amortization'!$H$510,$C216&lt;='TIF Loan Amortization'!I$510),'TIF Loan Amortization'!$G$510,IF(AND($C216&gt;='TIF Loan Amortization'!$H$511,$C216&lt;='TIF Loan Amortization'!I$511),'TIF Loan Amortization'!$G$511,IF(AND($C216&gt;='TIF Loan Amortization'!$H$512,$C216&lt;='TIF Loan Amortization'!I$512),'TIF Loan Amortization'!$G$512,IF(AND($C216&gt;='TIF Loan Amortization'!$H$513,$C216&lt;='TIF Loan Amortization'!I$513),'TIF Loan Amortization'!$G$513,IF(AND($C216&gt;='TIF Loan Amortization'!$H$514,$C216&lt;='TIF Loan Amortization'!I$514),'TIF Loan Amortization'!$G$514,IF(AND($C216&gt;='TIF Loan Amortization'!$H$515,$C216&lt;='TIF Loan Amortization'!I$515),'TIF Loan Amortization'!$G$515,IF(AND($C216&gt;='TIF Loan Amortization'!$H$516,$C216&lt;='TIF Loan Amortization'!I$516),'TIF Loan Amortization'!$G$516,IF(AND($C216&gt;='TIF Loan Amortization'!$H$517,$C216&lt;='TIF Loan Amortization'!I$517),'TIF Loan Amortization'!$G$517,IF(AND($C216&gt;='TIF Loan Amortization'!$H$518,$C216&lt;='TIF Loan Amortization'!I$518),'TIF Loan Amortization'!$G$518,IF(AND($C216&gt;='TIF Loan Amortization'!$H$519,$C216&lt;='TIF Loan Amortization'!I$519),'TIF Loan Amortization'!$G$519))))))))))))))))))))))))))))))))))))))))</f>
        <v>#N/A</v>
      </c>
      <c r="C216" s="269" t="e">
        <f t="shared" si="29"/>
        <v>#N/A</v>
      </c>
      <c r="D216" s="281">
        <f>IF($AG$432=1,$H$10+14,"")</f>
        <v>2039</v>
      </c>
      <c r="E216" s="274">
        <v>166</v>
      </c>
      <c r="F216" s="273" t="str">
        <f>VLOOKUP($AG$432,$AE$422:$AF$433,2)</f>
        <v>Jan</v>
      </c>
      <c r="G216" s="272">
        <f t="shared" si="30"/>
        <v>0</v>
      </c>
      <c r="H216" s="272">
        <f t="shared" si="33"/>
        <v>0</v>
      </c>
      <c r="I216" s="272">
        <f t="shared" si="34"/>
        <v>0</v>
      </c>
      <c r="J216" s="272">
        <f t="shared" si="31"/>
        <v>0</v>
      </c>
      <c r="K216" s="272">
        <f>IF(ISTEXT($M$4),"",SUM(I$50:I216))</f>
        <v>0</v>
      </c>
      <c r="L216" s="272">
        <f>IF(ISTEXT($M$4),"",SUM(J$50:J216))</f>
        <v>0</v>
      </c>
      <c r="M216" s="271">
        <f t="shared" si="32"/>
        <v>0</v>
      </c>
      <c r="N216" s="291" t="e">
        <f>IF(C216='Operating Assumptions'!$C$48,"Construction Finish","")</f>
        <v>#N/A</v>
      </c>
      <c r="O216" s="291"/>
      <c r="P216" s="291"/>
      <c r="Q216" s="291"/>
      <c r="R216" s="291"/>
      <c r="S216" s="291"/>
      <c r="T216" s="280"/>
      <c r="U216" s="280"/>
      <c r="V216" s="286"/>
      <c r="W216" s="286"/>
      <c r="X216" s="286"/>
      <c r="Y216" s="280"/>
      <c r="Z216" s="279"/>
      <c r="AA216" s="279"/>
      <c r="AB216" s="279"/>
    </row>
    <row r="217" spans="2:28" s="278" customFormat="1" ht="13.5" hidden="1" outlineLevel="1" x14ac:dyDescent="0.25">
      <c r="B217" s="270" t="e">
        <f>IF(AND($C217&gt;='TIF Loan Amortization'!$H$480,$C217&lt;='TIF Loan Amortization'!$I$480),'TIF Loan Amortization'!$G$480,IF(AND($C217&gt;='TIF Loan Amortization'!$H$481,$C217&lt;='TIF Loan Amortization'!I$481),'TIF Loan Amortization'!$G$481,IF(AND($C217&gt;='TIF Loan Amortization'!$H$482,$C217&lt;='TIF Loan Amortization'!I$482),'TIF Loan Amortization'!$G$482,IF(AND($C217&gt;='TIF Loan Amortization'!$H$483,$C217&lt;='TIF Loan Amortization'!I$483),'TIF Loan Amortization'!$G$483,IF(AND($C217&gt;='TIF Loan Amortization'!$H$484,$C217&lt;='TIF Loan Amortization'!I$484),'TIF Loan Amortization'!$G$484,IF(AND($C217&gt;='TIF Loan Amortization'!$H$485,$C217&lt;='TIF Loan Amortization'!I$485),'TIF Loan Amortization'!$G$485,IF(AND($C217&gt;='TIF Loan Amortization'!$H$486,$C217&lt;='TIF Loan Amortization'!I$486),'TIF Loan Amortization'!$G$486,IF(AND($C217&gt;='TIF Loan Amortization'!$H$487,$C217&lt;='TIF Loan Amortization'!I$487),'TIF Loan Amortization'!$G$487,IF(AND($C217&gt;='TIF Loan Amortization'!$H$488,$C217&lt;='TIF Loan Amortization'!I$488),'TIF Loan Amortization'!$G$488,IF(AND($C217&gt;='TIF Loan Amortization'!$H$489,$C217&lt;='TIF Loan Amortization'!I$489),'TIF Loan Amortization'!$G$489,IF(AND($C217&gt;='TIF Loan Amortization'!$H$490,$C217&lt;='TIF Loan Amortization'!I$490),'TIF Loan Amortization'!$G$490,IF(AND($C217&gt;='TIF Loan Amortization'!$H$491,$C217&lt;='TIF Loan Amortization'!I$491),'TIF Loan Amortization'!$G$491,IF(AND($C217&gt;='TIF Loan Amortization'!$H$492,$C217&lt;='TIF Loan Amortization'!I$492),'TIF Loan Amortization'!$G$492,IF(AND($C217&gt;='TIF Loan Amortization'!$H$493,$C217&lt;='TIF Loan Amortization'!I$493),'TIF Loan Amortization'!$G$493,IF(AND($C217&gt;='TIF Loan Amortization'!$H$494,$C217&lt;='TIF Loan Amortization'!I$494),'TIF Loan Amortization'!$G$494,IF(AND($C217&gt;='TIF Loan Amortization'!$H$495,$C217&lt;='TIF Loan Amortization'!I$495),'TIF Loan Amortization'!$G$495,IF(AND($C217&gt;='TIF Loan Amortization'!$H$496,$C217&lt;='TIF Loan Amortization'!I$496),'TIF Loan Amortization'!$G$496,IF(AND($C217&gt;='TIF Loan Amortization'!$H$497,$C217&lt;='TIF Loan Amortization'!I$497),'TIF Loan Amortization'!$G$497,IF(AND($C217&gt;='TIF Loan Amortization'!$H$498,$C217&lt;='TIF Loan Amortization'!I$498),'TIF Loan Amortization'!$G$498,IF(AND($C217&gt;='TIF Loan Amortization'!$H$499,$C217&lt;='TIF Loan Amortization'!I$499),'TIF Loan Amortization'!$G$499,IF(AND($C217&gt;='TIF Loan Amortization'!$H$500,$C217&lt;='TIF Loan Amortization'!I$500),'TIF Loan Amortization'!$G$500,IF(AND($C217&gt;='TIF Loan Amortization'!$H$501,$C217&lt;='TIF Loan Amortization'!I$501),'TIF Loan Amortization'!$G$501,IF(AND($C217&gt;='TIF Loan Amortization'!$H$502,$C217&lt;='TIF Loan Amortization'!I$502),'TIF Loan Amortization'!$G$502,IF(AND($C217&gt;='TIF Loan Amortization'!$H$503,$C217&lt;='TIF Loan Amortization'!I$503),'TIF Loan Amortization'!$G$503,IF(AND($C217&gt;='TIF Loan Amortization'!$H$504,$C217&lt;='TIF Loan Amortization'!I$504),'TIF Loan Amortization'!$G$504,IF(AND($C217&gt;='TIF Loan Amortization'!$H$505,$C217&lt;='TIF Loan Amortization'!I$505),'TIF Loan Amortization'!$G$505,IF(AND($C217&gt;='TIF Loan Amortization'!$H$506,$C217&lt;='TIF Loan Amortization'!I$506),'TIF Loan Amortization'!$G$506,IF(AND($C217&gt;='TIF Loan Amortization'!$H$507,$C217&lt;='TIF Loan Amortization'!I$507),'TIF Loan Amortization'!$G$507,IF(AND($C217&gt;='TIF Loan Amortization'!$H$508,$C217&lt;='TIF Loan Amortization'!I$508),'TIF Loan Amortization'!$G$508,IF(AND($C217&gt;='TIF Loan Amortization'!$H$509,$C217&lt;='TIF Loan Amortization'!I$509),'TIF Loan Amortization'!$G$509,IF(AND($C217&gt;='TIF Loan Amortization'!$H$510,$C217&lt;='TIF Loan Amortization'!I$510),'TIF Loan Amortization'!$G$510,IF(AND($C217&gt;='TIF Loan Amortization'!$H$511,$C217&lt;='TIF Loan Amortization'!I$511),'TIF Loan Amortization'!$G$511,IF(AND($C217&gt;='TIF Loan Amortization'!$H$512,$C217&lt;='TIF Loan Amortization'!I$512),'TIF Loan Amortization'!$G$512,IF(AND($C217&gt;='TIF Loan Amortization'!$H$513,$C217&lt;='TIF Loan Amortization'!I$513),'TIF Loan Amortization'!$G$513,IF(AND($C217&gt;='TIF Loan Amortization'!$H$514,$C217&lt;='TIF Loan Amortization'!I$514),'TIF Loan Amortization'!$G$514,IF(AND($C217&gt;='TIF Loan Amortization'!$H$515,$C217&lt;='TIF Loan Amortization'!I$515),'TIF Loan Amortization'!$G$515,IF(AND($C217&gt;='TIF Loan Amortization'!$H$516,$C217&lt;='TIF Loan Amortization'!I$516),'TIF Loan Amortization'!$G$516,IF(AND($C217&gt;='TIF Loan Amortization'!$H$517,$C217&lt;='TIF Loan Amortization'!I$517),'TIF Loan Amortization'!$G$517,IF(AND($C217&gt;='TIF Loan Amortization'!$H$518,$C217&lt;='TIF Loan Amortization'!I$518),'TIF Loan Amortization'!$G$518,IF(AND($C217&gt;='TIF Loan Amortization'!$H$519,$C217&lt;='TIF Loan Amortization'!I$519),'TIF Loan Amortization'!$G$519))))))))))))))))))))))))))))))))))))))))</f>
        <v>#N/A</v>
      </c>
      <c r="C217" s="269" t="e">
        <f t="shared" si="29"/>
        <v>#N/A</v>
      </c>
      <c r="D217" s="281" t="str">
        <f>IF($AG$433=1,$H$10+14,"")</f>
        <v/>
      </c>
      <c r="E217" s="274">
        <v>167</v>
      </c>
      <c r="F217" s="273" t="str">
        <f>VLOOKUP($AG$433,$AE$422:$AF$433,2)</f>
        <v>Feb</v>
      </c>
      <c r="G217" s="272">
        <f t="shared" si="30"/>
        <v>0</v>
      </c>
      <c r="H217" s="272">
        <f t="shared" si="33"/>
        <v>0</v>
      </c>
      <c r="I217" s="272">
        <f t="shared" si="34"/>
        <v>0</v>
      </c>
      <c r="J217" s="272">
        <f t="shared" si="31"/>
        <v>0</v>
      </c>
      <c r="K217" s="272">
        <f>IF(ISTEXT($M$4),"",SUM(I$50:I217))</f>
        <v>0</v>
      </c>
      <c r="L217" s="272">
        <f>IF(ISTEXT($M$4),"",SUM(J$50:J217))</f>
        <v>0</v>
      </c>
      <c r="M217" s="271">
        <f t="shared" si="32"/>
        <v>0</v>
      </c>
      <c r="N217" s="291" t="e">
        <f>IF(C217='Operating Assumptions'!$C$48,"Construction Finish","")</f>
        <v>#N/A</v>
      </c>
      <c r="O217" s="291"/>
      <c r="P217" s="291"/>
      <c r="Q217" s="291"/>
      <c r="R217" s="291"/>
      <c r="S217" s="291"/>
      <c r="T217" s="280"/>
      <c r="U217" s="280"/>
      <c r="V217" s="286"/>
      <c r="W217" s="286"/>
      <c r="X217" s="286"/>
      <c r="Y217" s="280"/>
      <c r="Z217" s="279"/>
      <c r="AA217" s="279"/>
      <c r="AB217" s="279"/>
    </row>
    <row r="218" spans="2:28" s="278" customFormat="1" ht="13.5" hidden="1" outlineLevel="1" x14ac:dyDescent="0.25">
      <c r="B218" s="270" t="e">
        <f>IF(AND($C218&gt;='TIF Loan Amortization'!$H$480,$C218&lt;='TIF Loan Amortization'!$I$480),'TIF Loan Amortization'!$G$480,IF(AND($C218&gt;='TIF Loan Amortization'!$H$481,$C218&lt;='TIF Loan Amortization'!I$481),'TIF Loan Amortization'!$G$481,IF(AND($C218&gt;='TIF Loan Amortization'!$H$482,$C218&lt;='TIF Loan Amortization'!I$482),'TIF Loan Amortization'!$G$482,IF(AND($C218&gt;='TIF Loan Amortization'!$H$483,$C218&lt;='TIF Loan Amortization'!I$483),'TIF Loan Amortization'!$G$483,IF(AND($C218&gt;='TIF Loan Amortization'!$H$484,$C218&lt;='TIF Loan Amortization'!I$484),'TIF Loan Amortization'!$G$484,IF(AND($C218&gt;='TIF Loan Amortization'!$H$485,$C218&lt;='TIF Loan Amortization'!I$485),'TIF Loan Amortization'!$G$485,IF(AND($C218&gt;='TIF Loan Amortization'!$H$486,$C218&lt;='TIF Loan Amortization'!I$486),'TIF Loan Amortization'!$G$486,IF(AND($C218&gt;='TIF Loan Amortization'!$H$487,$C218&lt;='TIF Loan Amortization'!I$487),'TIF Loan Amortization'!$G$487,IF(AND($C218&gt;='TIF Loan Amortization'!$H$488,$C218&lt;='TIF Loan Amortization'!I$488),'TIF Loan Amortization'!$G$488,IF(AND($C218&gt;='TIF Loan Amortization'!$H$489,$C218&lt;='TIF Loan Amortization'!I$489),'TIF Loan Amortization'!$G$489,IF(AND($C218&gt;='TIF Loan Amortization'!$H$490,$C218&lt;='TIF Loan Amortization'!I$490),'TIF Loan Amortization'!$G$490,IF(AND($C218&gt;='TIF Loan Amortization'!$H$491,$C218&lt;='TIF Loan Amortization'!I$491),'TIF Loan Amortization'!$G$491,IF(AND($C218&gt;='TIF Loan Amortization'!$H$492,$C218&lt;='TIF Loan Amortization'!I$492),'TIF Loan Amortization'!$G$492,IF(AND($C218&gt;='TIF Loan Amortization'!$H$493,$C218&lt;='TIF Loan Amortization'!I$493),'TIF Loan Amortization'!$G$493,IF(AND($C218&gt;='TIF Loan Amortization'!$H$494,$C218&lt;='TIF Loan Amortization'!I$494),'TIF Loan Amortization'!$G$494,IF(AND($C218&gt;='TIF Loan Amortization'!$H$495,$C218&lt;='TIF Loan Amortization'!I$495),'TIF Loan Amortization'!$G$495,IF(AND($C218&gt;='TIF Loan Amortization'!$H$496,$C218&lt;='TIF Loan Amortization'!I$496),'TIF Loan Amortization'!$G$496,IF(AND($C218&gt;='TIF Loan Amortization'!$H$497,$C218&lt;='TIF Loan Amortization'!I$497),'TIF Loan Amortization'!$G$497,IF(AND($C218&gt;='TIF Loan Amortization'!$H$498,$C218&lt;='TIF Loan Amortization'!I$498),'TIF Loan Amortization'!$G$498,IF(AND($C218&gt;='TIF Loan Amortization'!$H$499,$C218&lt;='TIF Loan Amortization'!I$499),'TIF Loan Amortization'!$G$499,IF(AND($C218&gt;='TIF Loan Amortization'!$H$500,$C218&lt;='TIF Loan Amortization'!I$500),'TIF Loan Amortization'!$G$500,IF(AND($C218&gt;='TIF Loan Amortization'!$H$501,$C218&lt;='TIF Loan Amortization'!I$501),'TIF Loan Amortization'!$G$501,IF(AND($C218&gt;='TIF Loan Amortization'!$H$502,$C218&lt;='TIF Loan Amortization'!I$502),'TIF Loan Amortization'!$G$502,IF(AND($C218&gt;='TIF Loan Amortization'!$H$503,$C218&lt;='TIF Loan Amortization'!I$503),'TIF Loan Amortization'!$G$503,IF(AND($C218&gt;='TIF Loan Amortization'!$H$504,$C218&lt;='TIF Loan Amortization'!I$504),'TIF Loan Amortization'!$G$504,IF(AND($C218&gt;='TIF Loan Amortization'!$H$505,$C218&lt;='TIF Loan Amortization'!I$505),'TIF Loan Amortization'!$G$505,IF(AND($C218&gt;='TIF Loan Amortization'!$H$506,$C218&lt;='TIF Loan Amortization'!I$506),'TIF Loan Amortization'!$G$506,IF(AND($C218&gt;='TIF Loan Amortization'!$H$507,$C218&lt;='TIF Loan Amortization'!I$507),'TIF Loan Amortization'!$G$507,IF(AND($C218&gt;='TIF Loan Amortization'!$H$508,$C218&lt;='TIF Loan Amortization'!I$508),'TIF Loan Amortization'!$G$508,IF(AND($C218&gt;='TIF Loan Amortization'!$H$509,$C218&lt;='TIF Loan Amortization'!I$509),'TIF Loan Amortization'!$G$509,IF(AND($C218&gt;='TIF Loan Amortization'!$H$510,$C218&lt;='TIF Loan Amortization'!I$510),'TIF Loan Amortization'!$G$510,IF(AND($C218&gt;='TIF Loan Amortization'!$H$511,$C218&lt;='TIF Loan Amortization'!I$511),'TIF Loan Amortization'!$G$511,IF(AND($C218&gt;='TIF Loan Amortization'!$H$512,$C218&lt;='TIF Loan Amortization'!I$512),'TIF Loan Amortization'!$G$512,IF(AND($C218&gt;='TIF Loan Amortization'!$H$513,$C218&lt;='TIF Loan Amortization'!I$513),'TIF Loan Amortization'!$G$513,IF(AND($C218&gt;='TIF Loan Amortization'!$H$514,$C218&lt;='TIF Loan Amortization'!I$514),'TIF Loan Amortization'!$G$514,IF(AND($C218&gt;='TIF Loan Amortization'!$H$515,$C218&lt;='TIF Loan Amortization'!I$515),'TIF Loan Amortization'!$G$515,IF(AND($C218&gt;='TIF Loan Amortization'!$H$516,$C218&lt;='TIF Loan Amortization'!I$516),'TIF Loan Amortization'!$G$516,IF(AND($C218&gt;='TIF Loan Amortization'!$H$517,$C218&lt;='TIF Loan Amortization'!I$517),'TIF Loan Amortization'!$G$517,IF(AND($C218&gt;='TIF Loan Amortization'!$H$518,$C218&lt;='TIF Loan Amortization'!I$518),'TIF Loan Amortization'!$G$518,IF(AND($C218&gt;='TIF Loan Amortization'!$H$519,$C218&lt;='TIF Loan Amortization'!I$519),'TIF Loan Amortization'!$G$519))))))))))))))))))))))))))))))))))))))))</f>
        <v>#N/A</v>
      </c>
      <c r="C218" s="269" t="e">
        <f t="shared" si="29"/>
        <v>#N/A</v>
      </c>
      <c r="D218" s="281" t="str">
        <f>IF($H$11="January",$H$10+14,IF($AG$422=1,$H$10+15,""))</f>
        <v/>
      </c>
      <c r="E218" s="274">
        <v>168</v>
      </c>
      <c r="F218" s="273" t="str">
        <f>VLOOKUP($AG$422,$AE$422:$AF$433,2)</f>
        <v>Mar</v>
      </c>
      <c r="G218" s="272">
        <f t="shared" si="30"/>
        <v>0</v>
      </c>
      <c r="H218" s="272">
        <f t="shared" si="33"/>
        <v>0</v>
      </c>
      <c r="I218" s="272">
        <f t="shared" si="34"/>
        <v>0</v>
      </c>
      <c r="J218" s="272">
        <f t="shared" si="31"/>
        <v>0</v>
      </c>
      <c r="K218" s="272">
        <f>IF(ISTEXT($M$4),"",SUM(I$50:I218))</f>
        <v>0</v>
      </c>
      <c r="L218" s="272">
        <f>IF(ISTEXT($M$4),"",SUM(J$50:J218))</f>
        <v>0</v>
      </c>
      <c r="M218" s="271">
        <f t="shared" si="32"/>
        <v>0</v>
      </c>
      <c r="N218" s="291" t="e">
        <f>IF(C218='Operating Assumptions'!$C$48,"Construction Finish","")</f>
        <v>#N/A</v>
      </c>
      <c r="O218" s="291"/>
      <c r="P218" s="291"/>
      <c r="Q218" s="291"/>
      <c r="R218" s="291"/>
      <c r="S218" s="291"/>
      <c r="T218" s="280"/>
      <c r="U218" s="280"/>
      <c r="V218" s="286"/>
      <c r="W218" s="286"/>
      <c r="X218" s="286"/>
      <c r="Y218" s="280"/>
      <c r="Z218" s="279"/>
      <c r="AA218" s="279"/>
      <c r="AB218" s="279"/>
    </row>
    <row r="219" spans="2:28" s="278" customFormat="1" ht="13.5" hidden="1" outlineLevel="1" x14ac:dyDescent="0.25">
      <c r="B219" s="270" t="e">
        <f>IF(AND($C219&gt;='TIF Loan Amortization'!$H$480,$C219&lt;='TIF Loan Amortization'!$I$480),'TIF Loan Amortization'!$G$480,IF(AND($C219&gt;='TIF Loan Amortization'!$H$481,$C219&lt;='TIF Loan Amortization'!I$481),'TIF Loan Amortization'!$G$481,IF(AND($C219&gt;='TIF Loan Amortization'!$H$482,$C219&lt;='TIF Loan Amortization'!I$482),'TIF Loan Amortization'!$G$482,IF(AND($C219&gt;='TIF Loan Amortization'!$H$483,$C219&lt;='TIF Loan Amortization'!I$483),'TIF Loan Amortization'!$G$483,IF(AND($C219&gt;='TIF Loan Amortization'!$H$484,$C219&lt;='TIF Loan Amortization'!I$484),'TIF Loan Amortization'!$G$484,IF(AND($C219&gt;='TIF Loan Amortization'!$H$485,$C219&lt;='TIF Loan Amortization'!I$485),'TIF Loan Amortization'!$G$485,IF(AND($C219&gt;='TIF Loan Amortization'!$H$486,$C219&lt;='TIF Loan Amortization'!I$486),'TIF Loan Amortization'!$G$486,IF(AND($C219&gt;='TIF Loan Amortization'!$H$487,$C219&lt;='TIF Loan Amortization'!I$487),'TIF Loan Amortization'!$G$487,IF(AND($C219&gt;='TIF Loan Amortization'!$H$488,$C219&lt;='TIF Loan Amortization'!I$488),'TIF Loan Amortization'!$G$488,IF(AND($C219&gt;='TIF Loan Amortization'!$H$489,$C219&lt;='TIF Loan Amortization'!I$489),'TIF Loan Amortization'!$G$489,IF(AND($C219&gt;='TIF Loan Amortization'!$H$490,$C219&lt;='TIF Loan Amortization'!I$490),'TIF Loan Amortization'!$G$490,IF(AND($C219&gt;='TIF Loan Amortization'!$H$491,$C219&lt;='TIF Loan Amortization'!I$491),'TIF Loan Amortization'!$G$491,IF(AND($C219&gt;='TIF Loan Amortization'!$H$492,$C219&lt;='TIF Loan Amortization'!I$492),'TIF Loan Amortization'!$G$492,IF(AND($C219&gt;='TIF Loan Amortization'!$H$493,$C219&lt;='TIF Loan Amortization'!I$493),'TIF Loan Amortization'!$G$493,IF(AND($C219&gt;='TIF Loan Amortization'!$H$494,$C219&lt;='TIF Loan Amortization'!I$494),'TIF Loan Amortization'!$G$494,IF(AND($C219&gt;='TIF Loan Amortization'!$H$495,$C219&lt;='TIF Loan Amortization'!I$495),'TIF Loan Amortization'!$G$495,IF(AND($C219&gt;='TIF Loan Amortization'!$H$496,$C219&lt;='TIF Loan Amortization'!I$496),'TIF Loan Amortization'!$G$496,IF(AND($C219&gt;='TIF Loan Amortization'!$H$497,$C219&lt;='TIF Loan Amortization'!I$497),'TIF Loan Amortization'!$G$497,IF(AND($C219&gt;='TIF Loan Amortization'!$H$498,$C219&lt;='TIF Loan Amortization'!I$498),'TIF Loan Amortization'!$G$498,IF(AND($C219&gt;='TIF Loan Amortization'!$H$499,$C219&lt;='TIF Loan Amortization'!I$499),'TIF Loan Amortization'!$G$499,IF(AND($C219&gt;='TIF Loan Amortization'!$H$500,$C219&lt;='TIF Loan Amortization'!I$500),'TIF Loan Amortization'!$G$500,IF(AND($C219&gt;='TIF Loan Amortization'!$H$501,$C219&lt;='TIF Loan Amortization'!I$501),'TIF Loan Amortization'!$G$501,IF(AND($C219&gt;='TIF Loan Amortization'!$H$502,$C219&lt;='TIF Loan Amortization'!I$502),'TIF Loan Amortization'!$G$502,IF(AND($C219&gt;='TIF Loan Amortization'!$H$503,$C219&lt;='TIF Loan Amortization'!I$503),'TIF Loan Amortization'!$G$503,IF(AND($C219&gt;='TIF Loan Amortization'!$H$504,$C219&lt;='TIF Loan Amortization'!I$504),'TIF Loan Amortization'!$G$504,IF(AND($C219&gt;='TIF Loan Amortization'!$H$505,$C219&lt;='TIF Loan Amortization'!I$505),'TIF Loan Amortization'!$G$505,IF(AND($C219&gt;='TIF Loan Amortization'!$H$506,$C219&lt;='TIF Loan Amortization'!I$506),'TIF Loan Amortization'!$G$506,IF(AND($C219&gt;='TIF Loan Amortization'!$H$507,$C219&lt;='TIF Loan Amortization'!I$507),'TIF Loan Amortization'!$G$507,IF(AND($C219&gt;='TIF Loan Amortization'!$H$508,$C219&lt;='TIF Loan Amortization'!I$508),'TIF Loan Amortization'!$G$508,IF(AND($C219&gt;='TIF Loan Amortization'!$H$509,$C219&lt;='TIF Loan Amortization'!I$509),'TIF Loan Amortization'!$G$509,IF(AND($C219&gt;='TIF Loan Amortization'!$H$510,$C219&lt;='TIF Loan Amortization'!I$510),'TIF Loan Amortization'!$G$510,IF(AND($C219&gt;='TIF Loan Amortization'!$H$511,$C219&lt;='TIF Loan Amortization'!I$511),'TIF Loan Amortization'!$G$511,IF(AND($C219&gt;='TIF Loan Amortization'!$H$512,$C219&lt;='TIF Loan Amortization'!I$512),'TIF Loan Amortization'!$G$512,IF(AND($C219&gt;='TIF Loan Amortization'!$H$513,$C219&lt;='TIF Loan Amortization'!I$513),'TIF Loan Amortization'!$G$513,IF(AND($C219&gt;='TIF Loan Amortization'!$H$514,$C219&lt;='TIF Loan Amortization'!I$514),'TIF Loan Amortization'!$G$514,IF(AND($C219&gt;='TIF Loan Amortization'!$H$515,$C219&lt;='TIF Loan Amortization'!I$515),'TIF Loan Amortization'!$G$515,IF(AND($C219&gt;='TIF Loan Amortization'!$H$516,$C219&lt;='TIF Loan Amortization'!I$516),'TIF Loan Amortization'!$G$516,IF(AND($C219&gt;='TIF Loan Amortization'!$H$517,$C219&lt;='TIF Loan Amortization'!I$517),'TIF Loan Amortization'!$G$517,IF(AND($C219&gt;='TIF Loan Amortization'!$H$518,$C219&lt;='TIF Loan Amortization'!I$518),'TIF Loan Amortization'!$G$518,IF(AND($C219&gt;='TIF Loan Amortization'!$H$519,$C219&lt;='TIF Loan Amortization'!I$519),'TIF Loan Amortization'!$G$519))))))))))))))))))))))))))))))))))))))))</f>
        <v>#N/A</v>
      </c>
      <c r="C219" s="269" t="e">
        <f t="shared" si="29"/>
        <v>#N/A</v>
      </c>
      <c r="D219" s="281" t="str">
        <f>IF($AG$423=1,$H$10+15,"")</f>
        <v/>
      </c>
      <c r="E219" s="274">
        <v>169</v>
      </c>
      <c r="F219" s="275" t="str">
        <f>VLOOKUP($AG$423,$AE$422:$AF$433,2)</f>
        <v>Apr</v>
      </c>
      <c r="G219" s="272">
        <f t="shared" si="30"/>
        <v>0</v>
      </c>
      <c r="H219" s="272">
        <f t="shared" si="33"/>
        <v>0</v>
      </c>
      <c r="I219" s="272">
        <f t="shared" si="34"/>
        <v>0</v>
      </c>
      <c r="J219" s="272">
        <f t="shared" si="31"/>
        <v>0</v>
      </c>
      <c r="K219" s="272">
        <f>IF(ISTEXT($M$4),"",SUM(I$50:I219))</f>
        <v>0</v>
      </c>
      <c r="L219" s="272">
        <f>IF(ISTEXT($M$4),"",SUM(J$50:J219))</f>
        <v>0</v>
      </c>
      <c r="M219" s="271">
        <f t="shared" si="32"/>
        <v>0</v>
      </c>
      <c r="N219" s="291" t="e">
        <f>IF(C219='Operating Assumptions'!$C$48,"Construction Finish","")</f>
        <v>#N/A</v>
      </c>
      <c r="O219" s="291"/>
      <c r="P219" s="291"/>
      <c r="Q219" s="291"/>
      <c r="R219" s="291"/>
      <c r="S219" s="291"/>
      <c r="T219" s="280"/>
      <c r="U219" s="280"/>
      <c r="V219" s="286"/>
      <c r="W219" s="286"/>
      <c r="X219" s="286"/>
      <c r="Y219" s="280"/>
      <c r="Z219" s="279"/>
      <c r="AA219" s="279"/>
      <c r="AB219" s="279"/>
    </row>
    <row r="220" spans="2:28" s="278" customFormat="1" ht="13.5" hidden="1" outlineLevel="1" x14ac:dyDescent="0.25">
      <c r="B220" s="270" t="e">
        <f>IF(AND($C220&gt;='TIF Loan Amortization'!$H$480,$C220&lt;='TIF Loan Amortization'!$I$480),'TIF Loan Amortization'!$G$480,IF(AND($C220&gt;='TIF Loan Amortization'!$H$481,$C220&lt;='TIF Loan Amortization'!I$481),'TIF Loan Amortization'!$G$481,IF(AND($C220&gt;='TIF Loan Amortization'!$H$482,$C220&lt;='TIF Loan Amortization'!I$482),'TIF Loan Amortization'!$G$482,IF(AND($C220&gt;='TIF Loan Amortization'!$H$483,$C220&lt;='TIF Loan Amortization'!I$483),'TIF Loan Amortization'!$G$483,IF(AND($C220&gt;='TIF Loan Amortization'!$H$484,$C220&lt;='TIF Loan Amortization'!I$484),'TIF Loan Amortization'!$G$484,IF(AND($C220&gt;='TIF Loan Amortization'!$H$485,$C220&lt;='TIF Loan Amortization'!I$485),'TIF Loan Amortization'!$G$485,IF(AND($C220&gt;='TIF Loan Amortization'!$H$486,$C220&lt;='TIF Loan Amortization'!I$486),'TIF Loan Amortization'!$G$486,IF(AND($C220&gt;='TIF Loan Amortization'!$H$487,$C220&lt;='TIF Loan Amortization'!I$487),'TIF Loan Amortization'!$G$487,IF(AND($C220&gt;='TIF Loan Amortization'!$H$488,$C220&lt;='TIF Loan Amortization'!I$488),'TIF Loan Amortization'!$G$488,IF(AND($C220&gt;='TIF Loan Amortization'!$H$489,$C220&lt;='TIF Loan Amortization'!I$489),'TIF Loan Amortization'!$G$489,IF(AND($C220&gt;='TIF Loan Amortization'!$H$490,$C220&lt;='TIF Loan Amortization'!I$490),'TIF Loan Amortization'!$G$490,IF(AND($C220&gt;='TIF Loan Amortization'!$H$491,$C220&lt;='TIF Loan Amortization'!I$491),'TIF Loan Amortization'!$G$491,IF(AND($C220&gt;='TIF Loan Amortization'!$H$492,$C220&lt;='TIF Loan Amortization'!I$492),'TIF Loan Amortization'!$G$492,IF(AND($C220&gt;='TIF Loan Amortization'!$H$493,$C220&lt;='TIF Loan Amortization'!I$493),'TIF Loan Amortization'!$G$493,IF(AND($C220&gt;='TIF Loan Amortization'!$H$494,$C220&lt;='TIF Loan Amortization'!I$494),'TIF Loan Amortization'!$G$494,IF(AND($C220&gt;='TIF Loan Amortization'!$H$495,$C220&lt;='TIF Loan Amortization'!I$495),'TIF Loan Amortization'!$G$495,IF(AND($C220&gt;='TIF Loan Amortization'!$H$496,$C220&lt;='TIF Loan Amortization'!I$496),'TIF Loan Amortization'!$G$496,IF(AND($C220&gt;='TIF Loan Amortization'!$H$497,$C220&lt;='TIF Loan Amortization'!I$497),'TIF Loan Amortization'!$G$497,IF(AND($C220&gt;='TIF Loan Amortization'!$H$498,$C220&lt;='TIF Loan Amortization'!I$498),'TIF Loan Amortization'!$G$498,IF(AND($C220&gt;='TIF Loan Amortization'!$H$499,$C220&lt;='TIF Loan Amortization'!I$499),'TIF Loan Amortization'!$G$499,IF(AND($C220&gt;='TIF Loan Amortization'!$H$500,$C220&lt;='TIF Loan Amortization'!I$500),'TIF Loan Amortization'!$G$500,IF(AND($C220&gt;='TIF Loan Amortization'!$H$501,$C220&lt;='TIF Loan Amortization'!I$501),'TIF Loan Amortization'!$G$501,IF(AND($C220&gt;='TIF Loan Amortization'!$H$502,$C220&lt;='TIF Loan Amortization'!I$502),'TIF Loan Amortization'!$G$502,IF(AND($C220&gt;='TIF Loan Amortization'!$H$503,$C220&lt;='TIF Loan Amortization'!I$503),'TIF Loan Amortization'!$G$503,IF(AND($C220&gt;='TIF Loan Amortization'!$H$504,$C220&lt;='TIF Loan Amortization'!I$504),'TIF Loan Amortization'!$G$504,IF(AND($C220&gt;='TIF Loan Amortization'!$H$505,$C220&lt;='TIF Loan Amortization'!I$505),'TIF Loan Amortization'!$G$505,IF(AND($C220&gt;='TIF Loan Amortization'!$H$506,$C220&lt;='TIF Loan Amortization'!I$506),'TIF Loan Amortization'!$G$506,IF(AND($C220&gt;='TIF Loan Amortization'!$H$507,$C220&lt;='TIF Loan Amortization'!I$507),'TIF Loan Amortization'!$G$507,IF(AND($C220&gt;='TIF Loan Amortization'!$H$508,$C220&lt;='TIF Loan Amortization'!I$508),'TIF Loan Amortization'!$G$508,IF(AND($C220&gt;='TIF Loan Amortization'!$H$509,$C220&lt;='TIF Loan Amortization'!I$509),'TIF Loan Amortization'!$G$509,IF(AND($C220&gt;='TIF Loan Amortization'!$H$510,$C220&lt;='TIF Loan Amortization'!I$510),'TIF Loan Amortization'!$G$510,IF(AND($C220&gt;='TIF Loan Amortization'!$H$511,$C220&lt;='TIF Loan Amortization'!I$511),'TIF Loan Amortization'!$G$511,IF(AND($C220&gt;='TIF Loan Amortization'!$H$512,$C220&lt;='TIF Loan Amortization'!I$512),'TIF Loan Amortization'!$G$512,IF(AND($C220&gt;='TIF Loan Amortization'!$H$513,$C220&lt;='TIF Loan Amortization'!I$513),'TIF Loan Amortization'!$G$513,IF(AND($C220&gt;='TIF Loan Amortization'!$H$514,$C220&lt;='TIF Loan Amortization'!I$514),'TIF Loan Amortization'!$G$514,IF(AND($C220&gt;='TIF Loan Amortization'!$H$515,$C220&lt;='TIF Loan Amortization'!I$515),'TIF Loan Amortization'!$G$515,IF(AND($C220&gt;='TIF Loan Amortization'!$H$516,$C220&lt;='TIF Loan Amortization'!I$516),'TIF Loan Amortization'!$G$516,IF(AND($C220&gt;='TIF Loan Amortization'!$H$517,$C220&lt;='TIF Loan Amortization'!I$517),'TIF Loan Amortization'!$G$517,IF(AND($C220&gt;='TIF Loan Amortization'!$H$518,$C220&lt;='TIF Loan Amortization'!I$518),'TIF Loan Amortization'!$G$518,IF(AND($C220&gt;='TIF Loan Amortization'!$H$519,$C220&lt;='TIF Loan Amortization'!I$519),'TIF Loan Amortization'!$G$519))))))))))))))))))))))))))))))))))))))))</f>
        <v>#N/A</v>
      </c>
      <c r="C220" s="269" t="e">
        <f t="shared" si="29"/>
        <v>#N/A</v>
      </c>
      <c r="D220" s="281" t="str">
        <f>IF($AG$424=1,$H$10+15,"")</f>
        <v/>
      </c>
      <c r="E220" s="274">
        <v>170</v>
      </c>
      <c r="F220" s="275" t="str">
        <f>VLOOKUP($AG$424,$AE$422:$AF$433,2)</f>
        <v>May</v>
      </c>
      <c r="G220" s="272">
        <f t="shared" si="30"/>
        <v>0</v>
      </c>
      <c r="H220" s="272">
        <f t="shared" si="33"/>
        <v>0</v>
      </c>
      <c r="I220" s="272">
        <f t="shared" si="34"/>
        <v>0</v>
      </c>
      <c r="J220" s="272">
        <f t="shared" si="31"/>
        <v>0</v>
      </c>
      <c r="K220" s="272">
        <f>IF(ISTEXT($M$4),"",SUM(I$50:I220))</f>
        <v>0</v>
      </c>
      <c r="L220" s="272">
        <f>IF(ISTEXT($M$4),"",SUM(J$50:J220))</f>
        <v>0</v>
      </c>
      <c r="M220" s="271">
        <f t="shared" si="32"/>
        <v>0</v>
      </c>
      <c r="N220" s="291" t="e">
        <f>IF(C220='Operating Assumptions'!$C$48,"Construction Finish","")</f>
        <v>#N/A</v>
      </c>
      <c r="O220" s="291"/>
      <c r="P220" s="291"/>
      <c r="Q220" s="291"/>
      <c r="R220" s="291"/>
      <c r="S220" s="291"/>
      <c r="T220" s="280"/>
      <c r="U220" s="280"/>
      <c r="V220" s="286"/>
      <c r="W220" s="286"/>
      <c r="X220" s="286"/>
      <c r="Y220" s="280"/>
      <c r="Z220" s="279"/>
      <c r="AA220" s="279"/>
      <c r="AB220" s="279"/>
    </row>
    <row r="221" spans="2:28" s="278" customFormat="1" ht="13.5" hidden="1" outlineLevel="1" x14ac:dyDescent="0.25">
      <c r="B221" s="270" t="e">
        <f>IF(AND($C221&gt;='TIF Loan Amortization'!$H$480,$C221&lt;='TIF Loan Amortization'!$I$480),'TIF Loan Amortization'!$G$480,IF(AND($C221&gt;='TIF Loan Amortization'!$H$481,$C221&lt;='TIF Loan Amortization'!I$481),'TIF Loan Amortization'!$G$481,IF(AND($C221&gt;='TIF Loan Amortization'!$H$482,$C221&lt;='TIF Loan Amortization'!I$482),'TIF Loan Amortization'!$G$482,IF(AND($C221&gt;='TIF Loan Amortization'!$H$483,$C221&lt;='TIF Loan Amortization'!I$483),'TIF Loan Amortization'!$G$483,IF(AND($C221&gt;='TIF Loan Amortization'!$H$484,$C221&lt;='TIF Loan Amortization'!I$484),'TIF Loan Amortization'!$G$484,IF(AND($C221&gt;='TIF Loan Amortization'!$H$485,$C221&lt;='TIF Loan Amortization'!I$485),'TIF Loan Amortization'!$G$485,IF(AND($C221&gt;='TIF Loan Amortization'!$H$486,$C221&lt;='TIF Loan Amortization'!I$486),'TIF Loan Amortization'!$G$486,IF(AND($C221&gt;='TIF Loan Amortization'!$H$487,$C221&lt;='TIF Loan Amortization'!I$487),'TIF Loan Amortization'!$G$487,IF(AND($C221&gt;='TIF Loan Amortization'!$H$488,$C221&lt;='TIF Loan Amortization'!I$488),'TIF Loan Amortization'!$G$488,IF(AND($C221&gt;='TIF Loan Amortization'!$H$489,$C221&lt;='TIF Loan Amortization'!I$489),'TIF Loan Amortization'!$G$489,IF(AND($C221&gt;='TIF Loan Amortization'!$H$490,$C221&lt;='TIF Loan Amortization'!I$490),'TIF Loan Amortization'!$G$490,IF(AND($C221&gt;='TIF Loan Amortization'!$H$491,$C221&lt;='TIF Loan Amortization'!I$491),'TIF Loan Amortization'!$G$491,IF(AND($C221&gt;='TIF Loan Amortization'!$H$492,$C221&lt;='TIF Loan Amortization'!I$492),'TIF Loan Amortization'!$G$492,IF(AND($C221&gt;='TIF Loan Amortization'!$H$493,$C221&lt;='TIF Loan Amortization'!I$493),'TIF Loan Amortization'!$G$493,IF(AND($C221&gt;='TIF Loan Amortization'!$H$494,$C221&lt;='TIF Loan Amortization'!I$494),'TIF Loan Amortization'!$G$494,IF(AND($C221&gt;='TIF Loan Amortization'!$H$495,$C221&lt;='TIF Loan Amortization'!I$495),'TIF Loan Amortization'!$G$495,IF(AND($C221&gt;='TIF Loan Amortization'!$H$496,$C221&lt;='TIF Loan Amortization'!I$496),'TIF Loan Amortization'!$G$496,IF(AND($C221&gt;='TIF Loan Amortization'!$H$497,$C221&lt;='TIF Loan Amortization'!I$497),'TIF Loan Amortization'!$G$497,IF(AND($C221&gt;='TIF Loan Amortization'!$H$498,$C221&lt;='TIF Loan Amortization'!I$498),'TIF Loan Amortization'!$G$498,IF(AND($C221&gt;='TIF Loan Amortization'!$H$499,$C221&lt;='TIF Loan Amortization'!I$499),'TIF Loan Amortization'!$G$499,IF(AND($C221&gt;='TIF Loan Amortization'!$H$500,$C221&lt;='TIF Loan Amortization'!I$500),'TIF Loan Amortization'!$G$500,IF(AND($C221&gt;='TIF Loan Amortization'!$H$501,$C221&lt;='TIF Loan Amortization'!I$501),'TIF Loan Amortization'!$G$501,IF(AND($C221&gt;='TIF Loan Amortization'!$H$502,$C221&lt;='TIF Loan Amortization'!I$502),'TIF Loan Amortization'!$G$502,IF(AND($C221&gt;='TIF Loan Amortization'!$H$503,$C221&lt;='TIF Loan Amortization'!I$503),'TIF Loan Amortization'!$G$503,IF(AND($C221&gt;='TIF Loan Amortization'!$H$504,$C221&lt;='TIF Loan Amortization'!I$504),'TIF Loan Amortization'!$G$504,IF(AND($C221&gt;='TIF Loan Amortization'!$H$505,$C221&lt;='TIF Loan Amortization'!I$505),'TIF Loan Amortization'!$G$505,IF(AND($C221&gt;='TIF Loan Amortization'!$H$506,$C221&lt;='TIF Loan Amortization'!I$506),'TIF Loan Amortization'!$G$506,IF(AND($C221&gt;='TIF Loan Amortization'!$H$507,$C221&lt;='TIF Loan Amortization'!I$507),'TIF Loan Amortization'!$G$507,IF(AND($C221&gt;='TIF Loan Amortization'!$H$508,$C221&lt;='TIF Loan Amortization'!I$508),'TIF Loan Amortization'!$G$508,IF(AND($C221&gt;='TIF Loan Amortization'!$H$509,$C221&lt;='TIF Loan Amortization'!I$509),'TIF Loan Amortization'!$G$509,IF(AND($C221&gt;='TIF Loan Amortization'!$H$510,$C221&lt;='TIF Loan Amortization'!I$510),'TIF Loan Amortization'!$G$510,IF(AND($C221&gt;='TIF Loan Amortization'!$H$511,$C221&lt;='TIF Loan Amortization'!I$511),'TIF Loan Amortization'!$G$511,IF(AND($C221&gt;='TIF Loan Amortization'!$H$512,$C221&lt;='TIF Loan Amortization'!I$512),'TIF Loan Amortization'!$G$512,IF(AND($C221&gt;='TIF Loan Amortization'!$H$513,$C221&lt;='TIF Loan Amortization'!I$513),'TIF Loan Amortization'!$G$513,IF(AND($C221&gt;='TIF Loan Amortization'!$H$514,$C221&lt;='TIF Loan Amortization'!I$514),'TIF Loan Amortization'!$G$514,IF(AND($C221&gt;='TIF Loan Amortization'!$H$515,$C221&lt;='TIF Loan Amortization'!I$515),'TIF Loan Amortization'!$G$515,IF(AND($C221&gt;='TIF Loan Amortization'!$H$516,$C221&lt;='TIF Loan Amortization'!I$516),'TIF Loan Amortization'!$G$516,IF(AND($C221&gt;='TIF Loan Amortization'!$H$517,$C221&lt;='TIF Loan Amortization'!I$517),'TIF Loan Amortization'!$G$517,IF(AND($C221&gt;='TIF Loan Amortization'!$H$518,$C221&lt;='TIF Loan Amortization'!I$518),'TIF Loan Amortization'!$G$518,IF(AND($C221&gt;='TIF Loan Amortization'!$H$519,$C221&lt;='TIF Loan Amortization'!I$519),'TIF Loan Amortization'!$G$519))))))))))))))))))))))))))))))))))))))))</f>
        <v>#N/A</v>
      </c>
      <c r="C221" s="269" t="e">
        <f t="shared" si="29"/>
        <v>#N/A</v>
      </c>
      <c r="D221" s="281" t="str">
        <f>IF($AG$425=1,$H$10+15,"")</f>
        <v/>
      </c>
      <c r="E221" s="274">
        <v>171</v>
      </c>
      <c r="F221" s="275" t="str">
        <f>VLOOKUP($AG$425,$AE$422:$AF$433,2)</f>
        <v>Jun</v>
      </c>
      <c r="G221" s="272">
        <f t="shared" si="30"/>
        <v>0</v>
      </c>
      <c r="H221" s="272">
        <f t="shared" si="33"/>
        <v>0</v>
      </c>
      <c r="I221" s="272">
        <f t="shared" si="34"/>
        <v>0</v>
      </c>
      <c r="J221" s="272">
        <f t="shared" si="31"/>
        <v>0</v>
      </c>
      <c r="K221" s="272">
        <f>IF(ISTEXT($M$4),"",SUM(I$50:I221))</f>
        <v>0</v>
      </c>
      <c r="L221" s="272">
        <f>IF(ISTEXT($M$4),"",SUM(J$50:J221))</f>
        <v>0</v>
      </c>
      <c r="M221" s="271">
        <f t="shared" si="32"/>
        <v>0</v>
      </c>
      <c r="N221" s="291" t="e">
        <f>IF(C221='Operating Assumptions'!$C$48,"Construction Finish","")</f>
        <v>#N/A</v>
      </c>
      <c r="O221" s="291"/>
      <c r="P221" s="291"/>
      <c r="Q221" s="291"/>
      <c r="R221" s="291"/>
      <c r="S221" s="291"/>
      <c r="T221" s="280"/>
      <c r="U221" s="280"/>
      <c r="V221" s="286"/>
      <c r="W221" s="286"/>
      <c r="X221" s="286"/>
      <c r="Y221" s="280"/>
      <c r="Z221" s="279"/>
      <c r="AA221" s="279"/>
      <c r="AB221" s="279"/>
    </row>
    <row r="222" spans="2:28" s="278" customFormat="1" ht="13.5" hidden="1" outlineLevel="1" x14ac:dyDescent="0.25">
      <c r="B222" s="270" t="e">
        <f>IF(AND($C222&gt;='TIF Loan Amortization'!$H$480,$C222&lt;='TIF Loan Amortization'!$I$480),'TIF Loan Amortization'!$G$480,IF(AND($C222&gt;='TIF Loan Amortization'!$H$481,$C222&lt;='TIF Loan Amortization'!I$481),'TIF Loan Amortization'!$G$481,IF(AND($C222&gt;='TIF Loan Amortization'!$H$482,$C222&lt;='TIF Loan Amortization'!I$482),'TIF Loan Amortization'!$G$482,IF(AND($C222&gt;='TIF Loan Amortization'!$H$483,$C222&lt;='TIF Loan Amortization'!I$483),'TIF Loan Amortization'!$G$483,IF(AND($C222&gt;='TIF Loan Amortization'!$H$484,$C222&lt;='TIF Loan Amortization'!I$484),'TIF Loan Amortization'!$G$484,IF(AND($C222&gt;='TIF Loan Amortization'!$H$485,$C222&lt;='TIF Loan Amortization'!I$485),'TIF Loan Amortization'!$G$485,IF(AND($C222&gt;='TIF Loan Amortization'!$H$486,$C222&lt;='TIF Loan Amortization'!I$486),'TIF Loan Amortization'!$G$486,IF(AND($C222&gt;='TIF Loan Amortization'!$H$487,$C222&lt;='TIF Loan Amortization'!I$487),'TIF Loan Amortization'!$G$487,IF(AND($C222&gt;='TIF Loan Amortization'!$H$488,$C222&lt;='TIF Loan Amortization'!I$488),'TIF Loan Amortization'!$G$488,IF(AND($C222&gt;='TIF Loan Amortization'!$H$489,$C222&lt;='TIF Loan Amortization'!I$489),'TIF Loan Amortization'!$G$489,IF(AND($C222&gt;='TIF Loan Amortization'!$H$490,$C222&lt;='TIF Loan Amortization'!I$490),'TIF Loan Amortization'!$G$490,IF(AND($C222&gt;='TIF Loan Amortization'!$H$491,$C222&lt;='TIF Loan Amortization'!I$491),'TIF Loan Amortization'!$G$491,IF(AND($C222&gt;='TIF Loan Amortization'!$H$492,$C222&lt;='TIF Loan Amortization'!I$492),'TIF Loan Amortization'!$G$492,IF(AND($C222&gt;='TIF Loan Amortization'!$H$493,$C222&lt;='TIF Loan Amortization'!I$493),'TIF Loan Amortization'!$G$493,IF(AND($C222&gt;='TIF Loan Amortization'!$H$494,$C222&lt;='TIF Loan Amortization'!I$494),'TIF Loan Amortization'!$G$494,IF(AND($C222&gt;='TIF Loan Amortization'!$H$495,$C222&lt;='TIF Loan Amortization'!I$495),'TIF Loan Amortization'!$G$495,IF(AND($C222&gt;='TIF Loan Amortization'!$H$496,$C222&lt;='TIF Loan Amortization'!I$496),'TIF Loan Amortization'!$G$496,IF(AND($C222&gt;='TIF Loan Amortization'!$H$497,$C222&lt;='TIF Loan Amortization'!I$497),'TIF Loan Amortization'!$G$497,IF(AND($C222&gt;='TIF Loan Amortization'!$H$498,$C222&lt;='TIF Loan Amortization'!I$498),'TIF Loan Amortization'!$G$498,IF(AND($C222&gt;='TIF Loan Amortization'!$H$499,$C222&lt;='TIF Loan Amortization'!I$499),'TIF Loan Amortization'!$G$499,IF(AND($C222&gt;='TIF Loan Amortization'!$H$500,$C222&lt;='TIF Loan Amortization'!I$500),'TIF Loan Amortization'!$G$500,IF(AND($C222&gt;='TIF Loan Amortization'!$H$501,$C222&lt;='TIF Loan Amortization'!I$501),'TIF Loan Amortization'!$G$501,IF(AND($C222&gt;='TIF Loan Amortization'!$H$502,$C222&lt;='TIF Loan Amortization'!I$502),'TIF Loan Amortization'!$G$502,IF(AND($C222&gt;='TIF Loan Amortization'!$H$503,$C222&lt;='TIF Loan Amortization'!I$503),'TIF Loan Amortization'!$G$503,IF(AND($C222&gt;='TIF Loan Amortization'!$H$504,$C222&lt;='TIF Loan Amortization'!I$504),'TIF Loan Amortization'!$G$504,IF(AND($C222&gt;='TIF Loan Amortization'!$H$505,$C222&lt;='TIF Loan Amortization'!I$505),'TIF Loan Amortization'!$G$505,IF(AND($C222&gt;='TIF Loan Amortization'!$H$506,$C222&lt;='TIF Loan Amortization'!I$506),'TIF Loan Amortization'!$G$506,IF(AND($C222&gt;='TIF Loan Amortization'!$H$507,$C222&lt;='TIF Loan Amortization'!I$507),'TIF Loan Amortization'!$G$507,IF(AND($C222&gt;='TIF Loan Amortization'!$H$508,$C222&lt;='TIF Loan Amortization'!I$508),'TIF Loan Amortization'!$G$508,IF(AND($C222&gt;='TIF Loan Amortization'!$H$509,$C222&lt;='TIF Loan Amortization'!I$509),'TIF Loan Amortization'!$G$509,IF(AND($C222&gt;='TIF Loan Amortization'!$H$510,$C222&lt;='TIF Loan Amortization'!I$510),'TIF Loan Amortization'!$G$510,IF(AND($C222&gt;='TIF Loan Amortization'!$H$511,$C222&lt;='TIF Loan Amortization'!I$511),'TIF Loan Amortization'!$G$511,IF(AND($C222&gt;='TIF Loan Amortization'!$H$512,$C222&lt;='TIF Loan Amortization'!I$512),'TIF Loan Amortization'!$G$512,IF(AND($C222&gt;='TIF Loan Amortization'!$H$513,$C222&lt;='TIF Loan Amortization'!I$513),'TIF Loan Amortization'!$G$513,IF(AND($C222&gt;='TIF Loan Amortization'!$H$514,$C222&lt;='TIF Loan Amortization'!I$514),'TIF Loan Amortization'!$G$514,IF(AND($C222&gt;='TIF Loan Amortization'!$H$515,$C222&lt;='TIF Loan Amortization'!I$515),'TIF Loan Amortization'!$G$515,IF(AND($C222&gt;='TIF Loan Amortization'!$H$516,$C222&lt;='TIF Loan Amortization'!I$516),'TIF Loan Amortization'!$G$516,IF(AND($C222&gt;='TIF Loan Amortization'!$H$517,$C222&lt;='TIF Loan Amortization'!I$517),'TIF Loan Amortization'!$G$517,IF(AND($C222&gt;='TIF Loan Amortization'!$H$518,$C222&lt;='TIF Loan Amortization'!I$518),'TIF Loan Amortization'!$G$518,IF(AND($C222&gt;='TIF Loan Amortization'!$H$519,$C222&lt;='TIF Loan Amortization'!I$519),'TIF Loan Amortization'!$G$519))))))))))))))))))))))))))))))))))))))))</f>
        <v>#N/A</v>
      </c>
      <c r="C222" s="269" t="e">
        <f t="shared" si="29"/>
        <v>#N/A</v>
      </c>
      <c r="D222" s="281" t="str">
        <f>IF($AG$426=1,$H$10+15,"")</f>
        <v/>
      </c>
      <c r="E222" s="274">
        <v>172</v>
      </c>
      <c r="F222" s="275" t="str">
        <f>VLOOKUP($AG$426,$AE$422:$AF$433,2)</f>
        <v>Jul</v>
      </c>
      <c r="G222" s="272">
        <f t="shared" si="30"/>
        <v>0</v>
      </c>
      <c r="H222" s="272">
        <f t="shared" si="33"/>
        <v>0</v>
      </c>
      <c r="I222" s="272">
        <f t="shared" si="34"/>
        <v>0</v>
      </c>
      <c r="J222" s="272">
        <f t="shared" si="31"/>
        <v>0</v>
      </c>
      <c r="K222" s="272">
        <f>IF(ISTEXT($M$4),"",SUM(I$50:I222))</f>
        <v>0</v>
      </c>
      <c r="L222" s="272">
        <f>IF(ISTEXT($M$4),"",SUM(J$50:J222))</f>
        <v>0</v>
      </c>
      <c r="M222" s="271">
        <f t="shared" si="32"/>
        <v>0</v>
      </c>
      <c r="N222" s="291" t="e">
        <f>IF(C222='Operating Assumptions'!$C$48,"Construction Finish","")</f>
        <v>#N/A</v>
      </c>
      <c r="O222" s="291"/>
      <c r="P222" s="291"/>
      <c r="Q222" s="291"/>
      <c r="R222" s="291"/>
      <c r="S222" s="291"/>
      <c r="T222" s="280"/>
      <c r="U222" s="280"/>
      <c r="V222" s="286"/>
      <c r="W222" s="286"/>
      <c r="X222" s="286"/>
      <c r="Y222" s="280"/>
      <c r="Z222" s="279"/>
      <c r="AA222" s="279"/>
      <c r="AB222" s="279"/>
    </row>
    <row r="223" spans="2:28" s="278" customFormat="1" ht="13.5" hidden="1" outlineLevel="1" x14ac:dyDescent="0.25">
      <c r="B223" s="270" t="e">
        <f>IF(AND($C223&gt;='TIF Loan Amortization'!$H$480,$C223&lt;='TIF Loan Amortization'!$I$480),'TIF Loan Amortization'!$G$480,IF(AND($C223&gt;='TIF Loan Amortization'!$H$481,$C223&lt;='TIF Loan Amortization'!I$481),'TIF Loan Amortization'!$G$481,IF(AND($C223&gt;='TIF Loan Amortization'!$H$482,$C223&lt;='TIF Loan Amortization'!I$482),'TIF Loan Amortization'!$G$482,IF(AND($C223&gt;='TIF Loan Amortization'!$H$483,$C223&lt;='TIF Loan Amortization'!I$483),'TIF Loan Amortization'!$G$483,IF(AND($C223&gt;='TIF Loan Amortization'!$H$484,$C223&lt;='TIF Loan Amortization'!I$484),'TIF Loan Amortization'!$G$484,IF(AND($C223&gt;='TIF Loan Amortization'!$H$485,$C223&lt;='TIF Loan Amortization'!I$485),'TIF Loan Amortization'!$G$485,IF(AND($C223&gt;='TIF Loan Amortization'!$H$486,$C223&lt;='TIF Loan Amortization'!I$486),'TIF Loan Amortization'!$G$486,IF(AND($C223&gt;='TIF Loan Amortization'!$H$487,$C223&lt;='TIF Loan Amortization'!I$487),'TIF Loan Amortization'!$G$487,IF(AND($C223&gt;='TIF Loan Amortization'!$H$488,$C223&lt;='TIF Loan Amortization'!I$488),'TIF Loan Amortization'!$G$488,IF(AND($C223&gt;='TIF Loan Amortization'!$H$489,$C223&lt;='TIF Loan Amortization'!I$489),'TIF Loan Amortization'!$G$489,IF(AND($C223&gt;='TIF Loan Amortization'!$H$490,$C223&lt;='TIF Loan Amortization'!I$490),'TIF Loan Amortization'!$G$490,IF(AND($C223&gt;='TIF Loan Amortization'!$H$491,$C223&lt;='TIF Loan Amortization'!I$491),'TIF Loan Amortization'!$G$491,IF(AND($C223&gt;='TIF Loan Amortization'!$H$492,$C223&lt;='TIF Loan Amortization'!I$492),'TIF Loan Amortization'!$G$492,IF(AND($C223&gt;='TIF Loan Amortization'!$H$493,$C223&lt;='TIF Loan Amortization'!I$493),'TIF Loan Amortization'!$G$493,IF(AND($C223&gt;='TIF Loan Amortization'!$H$494,$C223&lt;='TIF Loan Amortization'!I$494),'TIF Loan Amortization'!$G$494,IF(AND($C223&gt;='TIF Loan Amortization'!$H$495,$C223&lt;='TIF Loan Amortization'!I$495),'TIF Loan Amortization'!$G$495,IF(AND($C223&gt;='TIF Loan Amortization'!$H$496,$C223&lt;='TIF Loan Amortization'!I$496),'TIF Loan Amortization'!$G$496,IF(AND($C223&gt;='TIF Loan Amortization'!$H$497,$C223&lt;='TIF Loan Amortization'!I$497),'TIF Loan Amortization'!$G$497,IF(AND($C223&gt;='TIF Loan Amortization'!$H$498,$C223&lt;='TIF Loan Amortization'!I$498),'TIF Loan Amortization'!$G$498,IF(AND($C223&gt;='TIF Loan Amortization'!$H$499,$C223&lt;='TIF Loan Amortization'!I$499),'TIF Loan Amortization'!$G$499,IF(AND($C223&gt;='TIF Loan Amortization'!$H$500,$C223&lt;='TIF Loan Amortization'!I$500),'TIF Loan Amortization'!$G$500,IF(AND($C223&gt;='TIF Loan Amortization'!$H$501,$C223&lt;='TIF Loan Amortization'!I$501),'TIF Loan Amortization'!$G$501,IF(AND($C223&gt;='TIF Loan Amortization'!$H$502,$C223&lt;='TIF Loan Amortization'!I$502),'TIF Loan Amortization'!$G$502,IF(AND($C223&gt;='TIF Loan Amortization'!$H$503,$C223&lt;='TIF Loan Amortization'!I$503),'TIF Loan Amortization'!$G$503,IF(AND($C223&gt;='TIF Loan Amortization'!$H$504,$C223&lt;='TIF Loan Amortization'!I$504),'TIF Loan Amortization'!$G$504,IF(AND($C223&gt;='TIF Loan Amortization'!$H$505,$C223&lt;='TIF Loan Amortization'!I$505),'TIF Loan Amortization'!$G$505,IF(AND($C223&gt;='TIF Loan Amortization'!$H$506,$C223&lt;='TIF Loan Amortization'!I$506),'TIF Loan Amortization'!$G$506,IF(AND($C223&gt;='TIF Loan Amortization'!$H$507,$C223&lt;='TIF Loan Amortization'!I$507),'TIF Loan Amortization'!$G$507,IF(AND($C223&gt;='TIF Loan Amortization'!$H$508,$C223&lt;='TIF Loan Amortization'!I$508),'TIF Loan Amortization'!$G$508,IF(AND($C223&gt;='TIF Loan Amortization'!$H$509,$C223&lt;='TIF Loan Amortization'!I$509),'TIF Loan Amortization'!$G$509,IF(AND($C223&gt;='TIF Loan Amortization'!$H$510,$C223&lt;='TIF Loan Amortization'!I$510),'TIF Loan Amortization'!$G$510,IF(AND($C223&gt;='TIF Loan Amortization'!$H$511,$C223&lt;='TIF Loan Amortization'!I$511),'TIF Loan Amortization'!$G$511,IF(AND($C223&gt;='TIF Loan Amortization'!$H$512,$C223&lt;='TIF Loan Amortization'!I$512),'TIF Loan Amortization'!$G$512,IF(AND($C223&gt;='TIF Loan Amortization'!$H$513,$C223&lt;='TIF Loan Amortization'!I$513),'TIF Loan Amortization'!$G$513,IF(AND($C223&gt;='TIF Loan Amortization'!$H$514,$C223&lt;='TIF Loan Amortization'!I$514),'TIF Loan Amortization'!$G$514,IF(AND($C223&gt;='TIF Loan Amortization'!$H$515,$C223&lt;='TIF Loan Amortization'!I$515),'TIF Loan Amortization'!$G$515,IF(AND($C223&gt;='TIF Loan Amortization'!$H$516,$C223&lt;='TIF Loan Amortization'!I$516),'TIF Loan Amortization'!$G$516,IF(AND($C223&gt;='TIF Loan Amortization'!$H$517,$C223&lt;='TIF Loan Amortization'!I$517),'TIF Loan Amortization'!$G$517,IF(AND($C223&gt;='TIF Loan Amortization'!$H$518,$C223&lt;='TIF Loan Amortization'!I$518),'TIF Loan Amortization'!$G$518,IF(AND($C223&gt;='TIF Loan Amortization'!$H$519,$C223&lt;='TIF Loan Amortization'!I$519),'TIF Loan Amortization'!$G$519))))))))))))))))))))))))))))))))))))))))</f>
        <v>#N/A</v>
      </c>
      <c r="C223" s="269" t="e">
        <f t="shared" si="29"/>
        <v>#N/A</v>
      </c>
      <c r="D223" s="281" t="str">
        <f>IF($AG$427=1,$H$10+15,"")</f>
        <v/>
      </c>
      <c r="E223" s="274">
        <v>173</v>
      </c>
      <c r="F223" s="275" t="str">
        <f>VLOOKUP($AG$427,$AE$422:$AF$433,2)</f>
        <v>Aug</v>
      </c>
      <c r="G223" s="272">
        <f t="shared" si="30"/>
        <v>0</v>
      </c>
      <c r="H223" s="272">
        <f t="shared" si="33"/>
        <v>0</v>
      </c>
      <c r="I223" s="272">
        <f t="shared" si="34"/>
        <v>0</v>
      </c>
      <c r="J223" s="272">
        <f t="shared" si="31"/>
        <v>0</v>
      </c>
      <c r="K223" s="272">
        <f>IF(ISTEXT($M$4),"",SUM(I$50:I223))</f>
        <v>0</v>
      </c>
      <c r="L223" s="272">
        <f>IF(ISTEXT($M$4),"",SUM(J$50:J223))</f>
        <v>0</v>
      </c>
      <c r="M223" s="271">
        <f t="shared" si="32"/>
        <v>0</v>
      </c>
      <c r="N223" s="291" t="e">
        <f>IF(C223='Operating Assumptions'!$C$48,"Construction Finish","")</f>
        <v>#N/A</v>
      </c>
      <c r="O223" s="291"/>
      <c r="P223" s="291"/>
      <c r="Q223" s="291"/>
      <c r="R223" s="291"/>
      <c r="S223" s="291"/>
      <c r="T223" s="280"/>
      <c r="U223" s="280"/>
      <c r="V223" s="286"/>
      <c r="W223" s="286"/>
      <c r="X223" s="286"/>
      <c r="Y223" s="280"/>
      <c r="Z223" s="279"/>
      <c r="AA223" s="279"/>
      <c r="AB223" s="279"/>
    </row>
    <row r="224" spans="2:28" s="278" customFormat="1" ht="13.5" hidden="1" outlineLevel="1" x14ac:dyDescent="0.25">
      <c r="B224" s="270" t="e">
        <f>IF(AND($C224&gt;='TIF Loan Amortization'!$H$480,$C224&lt;='TIF Loan Amortization'!$I$480),'TIF Loan Amortization'!$G$480,IF(AND($C224&gt;='TIF Loan Amortization'!$H$481,$C224&lt;='TIF Loan Amortization'!I$481),'TIF Loan Amortization'!$G$481,IF(AND($C224&gt;='TIF Loan Amortization'!$H$482,$C224&lt;='TIF Loan Amortization'!I$482),'TIF Loan Amortization'!$G$482,IF(AND($C224&gt;='TIF Loan Amortization'!$H$483,$C224&lt;='TIF Loan Amortization'!I$483),'TIF Loan Amortization'!$G$483,IF(AND($C224&gt;='TIF Loan Amortization'!$H$484,$C224&lt;='TIF Loan Amortization'!I$484),'TIF Loan Amortization'!$G$484,IF(AND($C224&gt;='TIF Loan Amortization'!$H$485,$C224&lt;='TIF Loan Amortization'!I$485),'TIF Loan Amortization'!$G$485,IF(AND($C224&gt;='TIF Loan Amortization'!$H$486,$C224&lt;='TIF Loan Amortization'!I$486),'TIF Loan Amortization'!$G$486,IF(AND($C224&gt;='TIF Loan Amortization'!$H$487,$C224&lt;='TIF Loan Amortization'!I$487),'TIF Loan Amortization'!$G$487,IF(AND($C224&gt;='TIF Loan Amortization'!$H$488,$C224&lt;='TIF Loan Amortization'!I$488),'TIF Loan Amortization'!$G$488,IF(AND($C224&gt;='TIF Loan Amortization'!$H$489,$C224&lt;='TIF Loan Amortization'!I$489),'TIF Loan Amortization'!$G$489,IF(AND($C224&gt;='TIF Loan Amortization'!$H$490,$C224&lt;='TIF Loan Amortization'!I$490),'TIF Loan Amortization'!$G$490,IF(AND($C224&gt;='TIF Loan Amortization'!$H$491,$C224&lt;='TIF Loan Amortization'!I$491),'TIF Loan Amortization'!$G$491,IF(AND($C224&gt;='TIF Loan Amortization'!$H$492,$C224&lt;='TIF Loan Amortization'!I$492),'TIF Loan Amortization'!$G$492,IF(AND($C224&gt;='TIF Loan Amortization'!$H$493,$C224&lt;='TIF Loan Amortization'!I$493),'TIF Loan Amortization'!$G$493,IF(AND($C224&gt;='TIF Loan Amortization'!$H$494,$C224&lt;='TIF Loan Amortization'!I$494),'TIF Loan Amortization'!$G$494,IF(AND($C224&gt;='TIF Loan Amortization'!$H$495,$C224&lt;='TIF Loan Amortization'!I$495),'TIF Loan Amortization'!$G$495,IF(AND($C224&gt;='TIF Loan Amortization'!$H$496,$C224&lt;='TIF Loan Amortization'!I$496),'TIF Loan Amortization'!$G$496,IF(AND($C224&gt;='TIF Loan Amortization'!$H$497,$C224&lt;='TIF Loan Amortization'!I$497),'TIF Loan Amortization'!$G$497,IF(AND($C224&gt;='TIF Loan Amortization'!$H$498,$C224&lt;='TIF Loan Amortization'!I$498),'TIF Loan Amortization'!$G$498,IF(AND($C224&gt;='TIF Loan Amortization'!$H$499,$C224&lt;='TIF Loan Amortization'!I$499),'TIF Loan Amortization'!$G$499,IF(AND($C224&gt;='TIF Loan Amortization'!$H$500,$C224&lt;='TIF Loan Amortization'!I$500),'TIF Loan Amortization'!$G$500,IF(AND($C224&gt;='TIF Loan Amortization'!$H$501,$C224&lt;='TIF Loan Amortization'!I$501),'TIF Loan Amortization'!$G$501,IF(AND($C224&gt;='TIF Loan Amortization'!$H$502,$C224&lt;='TIF Loan Amortization'!I$502),'TIF Loan Amortization'!$G$502,IF(AND($C224&gt;='TIF Loan Amortization'!$H$503,$C224&lt;='TIF Loan Amortization'!I$503),'TIF Loan Amortization'!$G$503,IF(AND($C224&gt;='TIF Loan Amortization'!$H$504,$C224&lt;='TIF Loan Amortization'!I$504),'TIF Loan Amortization'!$G$504,IF(AND($C224&gt;='TIF Loan Amortization'!$H$505,$C224&lt;='TIF Loan Amortization'!I$505),'TIF Loan Amortization'!$G$505,IF(AND($C224&gt;='TIF Loan Amortization'!$H$506,$C224&lt;='TIF Loan Amortization'!I$506),'TIF Loan Amortization'!$G$506,IF(AND($C224&gt;='TIF Loan Amortization'!$H$507,$C224&lt;='TIF Loan Amortization'!I$507),'TIF Loan Amortization'!$G$507,IF(AND($C224&gt;='TIF Loan Amortization'!$H$508,$C224&lt;='TIF Loan Amortization'!I$508),'TIF Loan Amortization'!$G$508,IF(AND($C224&gt;='TIF Loan Amortization'!$H$509,$C224&lt;='TIF Loan Amortization'!I$509),'TIF Loan Amortization'!$G$509,IF(AND($C224&gt;='TIF Loan Amortization'!$H$510,$C224&lt;='TIF Loan Amortization'!I$510),'TIF Loan Amortization'!$G$510,IF(AND($C224&gt;='TIF Loan Amortization'!$H$511,$C224&lt;='TIF Loan Amortization'!I$511),'TIF Loan Amortization'!$G$511,IF(AND($C224&gt;='TIF Loan Amortization'!$H$512,$C224&lt;='TIF Loan Amortization'!I$512),'TIF Loan Amortization'!$G$512,IF(AND($C224&gt;='TIF Loan Amortization'!$H$513,$C224&lt;='TIF Loan Amortization'!I$513),'TIF Loan Amortization'!$G$513,IF(AND($C224&gt;='TIF Loan Amortization'!$H$514,$C224&lt;='TIF Loan Amortization'!I$514),'TIF Loan Amortization'!$G$514,IF(AND($C224&gt;='TIF Loan Amortization'!$H$515,$C224&lt;='TIF Loan Amortization'!I$515),'TIF Loan Amortization'!$G$515,IF(AND($C224&gt;='TIF Loan Amortization'!$H$516,$C224&lt;='TIF Loan Amortization'!I$516),'TIF Loan Amortization'!$G$516,IF(AND($C224&gt;='TIF Loan Amortization'!$H$517,$C224&lt;='TIF Loan Amortization'!I$517),'TIF Loan Amortization'!$G$517,IF(AND($C224&gt;='TIF Loan Amortization'!$H$518,$C224&lt;='TIF Loan Amortization'!I$518),'TIF Loan Amortization'!$G$518,IF(AND($C224&gt;='TIF Loan Amortization'!$H$519,$C224&lt;='TIF Loan Amortization'!I$519),'TIF Loan Amortization'!$G$519))))))))))))))))))))))))))))))))))))))))</f>
        <v>#N/A</v>
      </c>
      <c r="C224" s="269" t="e">
        <f t="shared" si="29"/>
        <v>#N/A</v>
      </c>
      <c r="D224" s="281" t="str">
        <f>IF($AG$428=1,$H$10+15,"")</f>
        <v/>
      </c>
      <c r="E224" s="274">
        <v>174</v>
      </c>
      <c r="F224" s="275" t="str">
        <f>VLOOKUP($AG$428,$AE$422:$AF$433,2)</f>
        <v>Sep</v>
      </c>
      <c r="G224" s="272">
        <f t="shared" si="30"/>
        <v>0</v>
      </c>
      <c r="H224" s="272">
        <f t="shared" si="33"/>
        <v>0</v>
      </c>
      <c r="I224" s="272">
        <f t="shared" si="34"/>
        <v>0</v>
      </c>
      <c r="J224" s="272">
        <f t="shared" si="31"/>
        <v>0</v>
      </c>
      <c r="K224" s="272">
        <f>IF(ISTEXT($M$4),"",SUM(I$50:I224))</f>
        <v>0</v>
      </c>
      <c r="L224" s="272">
        <f>IF(ISTEXT($M$4),"",SUM(J$50:J224))</f>
        <v>0</v>
      </c>
      <c r="M224" s="271">
        <f t="shared" si="32"/>
        <v>0</v>
      </c>
      <c r="N224" s="291" t="e">
        <f>IF(C224='Operating Assumptions'!$C$48,"Construction Finish","")</f>
        <v>#N/A</v>
      </c>
      <c r="O224" s="291"/>
      <c r="P224" s="291"/>
      <c r="Q224" s="291"/>
      <c r="R224" s="291"/>
      <c r="S224" s="291"/>
      <c r="T224" s="280"/>
      <c r="U224" s="280"/>
      <c r="V224" s="286"/>
      <c r="W224" s="286"/>
      <c r="X224" s="286"/>
      <c r="Y224" s="280"/>
      <c r="Z224" s="279"/>
      <c r="AA224" s="279"/>
      <c r="AB224" s="279"/>
    </row>
    <row r="225" spans="2:28" s="278" customFormat="1" ht="13.5" hidden="1" outlineLevel="1" x14ac:dyDescent="0.25">
      <c r="B225" s="270" t="e">
        <f>IF(AND($C225&gt;='TIF Loan Amortization'!$H$480,$C225&lt;='TIF Loan Amortization'!$I$480),'TIF Loan Amortization'!$G$480,IF(AND($C225&gt;='TIF Loan Amortization'!$H$481,$C225&lt;='TIF Loan Amortization'!I$481),'TIF Loan Amortization'!$G$481,IF(AND($C225&gt;='TIF Loan Amortization'!$H$482,$C225&lt;='TIF Loan Amortization'!I$482),'TIF Loan Amortization'!$G$482,IF(AND($C225&gt;='TIF Loan Amortization'!$H$483,$C225&lt;='TIF Loan Amortization'!I$483),'TIF Loan Amortization'!$G$483,IF(AND($C225&gt;='TIF Loan Amortization'!$H$484,$C225&lt;='TIF Loan Amortization'!I$484),'TIF Loan Amortization'!$G$484,IF(AND($C225&gt;='TIF Loan Amortization'!$H$485,$C225&lt;='TIF Loan Amortization'!I$485),'TIF Loan Amortization'!$G$485,IF(AND($C225&gt;='TIF Loan Amortization'!$H$486,$C225&lt;='TIF Loan Amortization'!I$486),'TIF Loan Amortization'!$G$486,IF(AND($C225&gt;='TIF Loan Amortization'!$H$487,$C225&lt;='TIF Loan Amortization'!I$487),'TIF Loan Amortization'!$G$487,IF(AND($C225&gt;='TIF Loan Amortization'!$H$488,$C225&lt;='TIF Loan Amortization'!I$488),'TIF Loan Amortization'!$G$488,IF(AND($C225&gt;='TIF Loan Amortization'!$H$489,$C225&lt;='TIF Loan Amortization'!I$489),'TIF Loan Amortization'!$G$489,IF(AND($C225&gt;='TIF Loan Amortization'!$H$490,$C225&lt;='TIF Loan Amortization'!I$490),'TIF Loan Amortization'!$G$490,IF(AND($C225&gt;='TIF Loan Amortization'!$H$491,$C225&lt;='TIF Loan Amortization'!I$491),'TIF Loan Amortization'!$G$491,IF(AND($C225&gt;='TIF Loan Amortization'!$H$492,$C225&lt;='TIF Loan Amortization'!I$492),'TIF Loan Amortization'!$G$492,IF(AND($C225&gt;='TIF Loan Amortization'!$H$493,$C225&lt;='TIF Loan Amortization'!I$493),'TIF Loan Amortization'!$G$493,IF(AND($C225&gt;='TIF Loan Amortization'!$H$494,$C225&lt;='TIF Loan Amortization'!I$494),'TIF Loan Amortization'!$G$494,IF(AND($C225&gt;='TIF Loan Amortization'!$H$495,$C225&lt;='TIF Loan Amortization'!I$495),'TIF Loan Amortization'!$G$495,IF(AND($C225&gt;='TIF Loan Amortization'!$H$496,$C225&lt;='TIF Loan Amortization'!I$496),'TIF Loan Amortization'!$G$496,IF(AND($C225&gt;='TIF Loan Amortization'!$H$497,$C225&lt;='TIF Loan Amortization'!I$497),'TIF Loan Amortization'!$G$497,IF(AND($C225&gt;='TIF Loan Amortization'!$H$498,$C225&lt;='TIF Loan Amortization'!I$498),'TIF Loan Amortization'!$G$498,IF(AND($C225&gt;='TIF Loan Amortization'!$H$499,$C225&lt;='TIF Loan Amortization'!I$499),'TIF Loan Amortization'!$G$499,IF(AND($C225&gt;='TIF Loan Amortization'!$H$500,$C225&lt;='TIF Loan Amortization'!I$500),'TIF Loan Amortization'!$G$500,IF(AND($C225&gt;='TIF Loan Amortization'!$H$501,$C225&lt;='TIF Loan Amortization'!I$501),'TIF Loan Amortization'!$G$501,IF(AND($C225&gt;='TIF Loan Amortization'!$H$502,$C225&lt;='TIF Loan Amortization'!I$502),'TIF Loan Amortization'!$G$502,IF(AND($C225&gt;='TIF Loan Amortization'!$H$503,$C225&lt;='TIF Loan Amortization'!I$503),'TIF Loan Amortization'!$G$503,IF(AND($C225&gt;='TIF Loan Amortization'!$H$504,$C225&lt;='TIF Loan Amortization'!I$504),'TIF Loan Amortization'!$G$504,IF(AND($C225&gt;='TIF Loan Amortization'!$H$505,$C225&lt;='TIF Loan Amortization'!I$505),'TIF Loan Amortization'!$G$505,IF(AND($C225&gt;='TIF Loan Amortization'!$H$506,$C225&lt;='TIF Loan Amortization'!I$506),'TIF Loan Amortization'!$G$506,IF(AND($C225&gt;='TIF Loan Amortization'!$H$507,$C225&lt;='TIF Loan Amortization'!I$507),'TIF Loan Amortization'!$G$507,IF(AND($C225&gt;='TIF Loan Amortization'!$H$508,$C225&lt;='TIF Loan Amortization'!I$508),'TIF Loan Amortization'!$G$508,IF(AND($C225&gt;='TIF Loan Amortization'!$H$509,$C225&lt;='TIF Loan Amortization'!I$509),'TIF Loan Amortization'!$G$509,IF(AND($C225&gt;='TIF Loan Amortization'!$H$510,$C225&lt;='TIF Loan Amortization'!I$510),'TIF Loan Amortization'!$G$510,IF(AND($C225&gt;='TIF Loan Amortization'!$H$511,$C225&lt;='TIF Loan Amortization'!I$511),'TIF Loan Amortization'!$G$511,IF(AND($C225&gt;='TIF Loan Amortization'!$H$512,$C225&lt;='TIF Loan Amortization'!I$512),'TIF Loan Amortization'!$G$512,IF(AND($C225&gt;='TIF Loan Amortization'!$H$513,$C225&lt;='TIF Loan Amortization'!I$513),'TIF Loan Amortization'!$G$513,IF(AND($C225&gt;='TIF Loan Amortization'!$H$514,$C225&lt;='TIF Loan Amortization'!I$514),'TIF Loan Amortization'!$G$514,IF(AND($C225&gt;='TIF Loan Amortization'!$H$515,$C225&lt;='TIF Loan Amortization'!I$515),'TIF Loan Amortization'!$G$515,IF(AND($C225&gt;='TIF Loan Amortization'!$H$516,$C225&lt;='TIF Loan Amortization'!I$516),'TIF Loan Amortization'!$G$516,IF(AND($C225&gt;='TIF Loan Amortization'!$H$517,$C225&lt;='TIF Loan Amortization'!I$517),'TIF Loan Amortization'!$G$517,IF(AND($C225&gt;='TIF Loan Amortization'!$H$518,$C225&lt;='TIF Loan Amortization'!I$518),'TIF Loan Amortization'!$G$518,IF(AND($C225&gt;='TIF Loan Amortization'!$H$519,$C225&lt;='TIF Loan Amortization'!I$519),'TIF Loan Amortization'!$G$519))))))))))))))))))))))))))))))))))))))))</f>
        <v>#N/A</v>
      </c>
      <c r="C225" s="269" t="e">
        <f t="shared" si="29"/>
        <v>#N/A</v>
      </c>
      <c r="D225" s="281" t="str">
        <f>IF($AG$429=1,$H$10+15,"")</f>
        <v/>
      </c>
      <c r="E225" s="274">
        <v>175</v>
      </c>
      <c r="F225" s="275" t="str">
        <f>VLOOKUP($AG$429,$AE$422:$AF$433,2)</f>
        <v>Oct</v>
      </c>
      <c r="G225" s="272">
        <f t="shared" si="30"/>
        <v>0</v>
      </c>
      <c r="H225" s="272">
        <f t="shared" si="33"/>
        <v>0</v>
      </c>
      <c r="I225" s="272">
        <f t="shared" si="34"/>
        <v>0</v>
      </c>
      <c r="J225" s="272">
        <f t="shared" si="31"/>
        <v>0</v>
      </c>
      <c r="K225" s="272">
        <f>IF(ISTEXT($M$4),"",SUM(I$50:I225))</f>
        <v>0</v>
      </c>
      <c r="L225" s="272">
        <f>IF(ISTEXT($M$4),"",SUM(J$50:J225))</f>
        <v>0</v>
      </c>
      <c r="M225" s="271">
        <f t="shared" si="32"/>
        <v>0</v>
      </c>
      <c r="N225" s="291" t="e">
        <f>IF(C225='Operating Assumptions'!$C$48,"Construction Finish","")</f>
        <v>#N/A</v>
      </c>
      <c r="O225" s="291"/>
      <c r="P225" s="291"/>
      <c r="Q225" s="291"/>
      <c r="R225" s="291"/>
      <c r="S225" s="291"/>
      <c r="T225" s="280"/>
      <c r="U225" s="280"/>
      <c r="V225" s="286"/>
      <c r="W225" s="286"/>
      <c r="X225" s="286"/>
      <c r="Y225" s="280"/>
      <c r="Z225" s="279"/>
      <c r="AA225" s="279"/>
      <c r="AB225" s="279"/>
    </row>
    <row r="226" spans="2:28" s="278" customFormat="1" ht="13.5" hidden="1" outlineLevel="1" x14ac:dyDescent="0.25">
      <c r="B226" s="270" t="e">
        <f>IF(AND($C226&gt;='TIF Loan Amortization'!$H$480,$C226&lt;='TIF Loan Amortization'!$I$480),'TIF Loan Amortization'!$G$480,IF(AND($C226&gt;='TIF Loan Amortization'!$H$481,$C226&lt;='TIF Loan Amortization'!I$481),'TIF Loan Amortization'!$G$481,IF(AND($C226&gt;='TIF Loan Amortization'!$H$482,$C226&lt;='TIF Loan Amortization'!I$482),'TIF Loan Amortization'!$G$482,IF(AND($C226&gt;='TIF Loan Amortization'!$H$483,$C226&lt;='TIF Loan Amortization'!I$483),'TIF Loan Amortization'!$G$483,IF(AND($C226&gt;='TIF Loan Amortization'!$H$484,$C226&lt;='TIF Loan Amortization'!I$484),'TIF Loan Amortization'!$G$484,IF(AND($C226&gt;='TIF Loan Amortization'!$H$485,$C226&lt;='TIF Loan Amortization'!I$485),'TIF Loan Amortization'!$G$485,IF(AND($C226&gt;='TIF Loan Amortization'!$H$486,$C226&lt;='TIF Loan Amortization'!I$486),'TIF Loan Amortization'!$G$486,IF(AND($C226&gt;='TIF Loan Amortization'!$H$487,$C226&lt;='TIF Loan Amortization'!I$487),'TIF Loan Amortization'!$G$487,IF(AND($C226&gt;='TIF Loan Amortization'!$H$488,$C226&lt;='TIF Loan Amortization'!I$488),'TIF Loan Amortization'!$G$488,IF(AND($C226&gt;='TIF Loan Amortization'!$H$489,$C226&lt;='TIF Loan Amortization'!I$489),'TIF Loan Amortization'!$G$489,IF(AND($C226&gt;='TIF Loan Amortization'!$H$490,$C226&lt;='TIF Loan Amortization'!I$490),'TIF Loan Amortization'!$G$490,IF(AND($C226&gt;='TIF Loan Amortization'!$H$491,$C226&lt;='TIF Loan Amortization'!I$491),'TIF Loan Amortization'!$G$491,IF(AND($C226&gt;='TIF Loan Amortization'!$H$492,$C226&lt;='TIF Loan Amortization'!I$492),'TIF Loan Amortization'!$G$492,IF(AND($C226&gt;='TIF Loan Amortization'!$H$493,$C226&lt;='TIF Loan Amortization'!I$493),'TIF Loan Amortization'!$G$493,IF(AND($C226&gt;='TIF Loan Amortization'!$H$494,$C226&lt;='TIF Loan Amortization'!I$494),'TIF Loan Amortization'!$G$494,IF(AND($C226&gt;='TIF Loan Amortization'!$H$495,$C226&lt;='TIF Loan Amortization'!I$495),'TIF Loan Amortization'!$G$495,IF(AND($C226&gt;='TIF Loan Amortization'!$H$496,$C226&lt;='TIF Loan Amortization'!I$496),'TIF Loan Amortization'!$G$496,IF(AND($C226&gt;='TIF Loan Amortization'!$H$497,$C226&lt;='TIF Loan Amortization'!I$497),'TIF Loan Amortization'!$G$497,IF(AND($C226&gt;='TIF Loan Amortization'!$H$498,$C226&lt;='TIF Loan Amortization'!I$498),'TIF Loan Amortization'!$G$498,IF(AND($C226&gt;='TIF Loan Amortization'!$H$499,$C226&lt;='TIF Loan Amortization'!I$499),'TIF Loan Amortization'!$G$499,IF(AND($C226&gt;='TIF Loan Amortization'!$H$500,$C226&lt;='TIF Loan Amortization'!I$500),'TIF Loan Amortization'!$G$500,IF(AND($C226&gt;='TIF Loan Amortization'!$H$501,$C226&lt;='TIF Loan Amortization'!I$501),'TIF Loan Amortization'!$G$501,IF(AND($C226&gt;='TIF Loan Amortization'!$H$502,$C226&lt;='TIF Loan Amortization'!I$502),'TIF Loan Amortization'!$G$502,IF(AND($C226&gt;='TIF Loan Amortization'!$H$503,$C226&lt;='TIF Loan Amortization'!I$503),'TIF Loan Amortization'!$G$503,IF(AND($C226&gt;='TIF Loan Amortization'!$H$504,$C226&lt;='TIF Loan Amortization'!I$504),'TIF Loan Amortization'!$G$504,IF(AND($C226&gt;='TIF Loan Amortization'!$H$505,$C226&lt;='TIF Loan Amortization'!I$505),'TIF Loan Amortization'!$G$505,IF(AND($C226&gt;='TIF Loan Amortization'!$H$506,$C226&lt;='TIF Loan Amortization'!I$506),'TIF Loan Amortization'!$G$506,IF(AND($C226&gt;='TIF Loan Amortization'!$H$507,$C226&lt;='TIF Loan Amortization'!I$507),'TIF Loan Amortization'!$G$507,IF(AND($C226&gt;='TIF Loan Amortization'!$H$508,$C226&lt;='TIF Loan Amortization'!I$508),'TIF Loan Amortization'!$G$508,IF(AND($C226&gt;='TIF Loan Amortization'!$H$509,$C226&lt;='TIF Loan Amortization'!I$509),'TIF Loan Amortization'!$G$509,IF(AND($C226&gt;='TIF Loan Amortization'!$H$510,$C226&lt;='TIF Loan Amortization'!I$510),'TIF Loan Amortization'!$G$510,IF(AND($C226&gt;='TIF Loan Amortization'!$H$511,$C226&lt;='TIF Loan Amortization'!I$511),'TIF Loan Amortization'!$G$511,IF(AND($C226&gt;='TIF Loan Amortization'!$H$512,$C226&lt;='TIF Loan Amortization'!I$512),'TIF Loan Amortization'!$G$512,IF(AND($C226&gt;='TIF Loan Amortization'!$H$513,$C226&lt;='TIF Loan Amortization'!I$513),'TIF Loan Amortization'!$G$513,IF(AND($C226&gt;='TIF Loan Amortization'!$H$514,$C226&lt;='TIF Loan Amortization'!I$514),'TIF Loan Amortization'!$G$514,IF(AND($C226&gt;='TIF Loan Amortization'!$H$515,$C226&lt;='TIF Loan Amortization'!I$515),'TIF Loan Amortization'!$G$515,IF(AND($C226&gt;='TIF Loan Amortization'!$H$516,$C226&lt;='TIF Loan Amortization'!I$516),'TIF Loan Amortization'!$G$516,IF(AND($C226&gt;='TIF Loan Amortization'!$H$517,$C226&lt;='TIF Loan Amortization'!I$517),'TIF Loan Amortization'!$G$517,IF(AND($C226&gt;='TIF Loan Amortization'!$H$518,$C226&lt;='TIF Loan Amortization'!I$518),'TIF Loan Amortization'!$G$518,IF(AND($C226&gt;='TIF Loan Amortization'!$H$519,$C226&lt;='TIF Loan Amortization'!I$519),'TIF Loan Amortization'!$G$519))))))))))))))))))))))))))))))))))))))))</f>
        <v>#N/A</v>
      </c>
      <c r="C226" s="269" t="e">
        <f t="shared" si="29"/>
        <v>#N/A</v>
      </c>
      <c r="D226" s="281" t="str">
        <f>IF($AG$430=1,$H$10+15,"")</f>
        <v/>
      </c>
      <c r="E226" s="274">
        <v>176</v>
      </c>
      <c r="F226" s="275" t="str">
        <f>VLOOKUP($AG$430,$AE$422:$AF$433,2)</f>
        <v>Nov</v>
      </c>
      <c r="G226" s="272">
        <f t="shared" si="30"/>
        <v>0</v>
      </c>
      <c r="H226" s="272">
        <f t="shared" si="33"/>
        <v>0</v>
      </c>
      <c r="I226" s="272">
        <f t="shared" si="34"/>
        <v>0</v>
      </c>
      <c r="J226" s="272">
        <f t="shared" si="31"/>
        <v>0</v>
      </c>
      <c r="K226" s="272">
        <f>IF(ISTEXT($M$4),"",SUM(I$50:I226))</f>
        <v>0</v>
      </c>
      <c r="L226" s="272">
        <f>IF(ISTEXT($M$4),"",SUM(J$50:J226))</f>
        <v>0</v>
      </c>
      <c r="M226" s="271">
        <f t="shared" si="32"/>
        <v>0</v>
      </c>
      <c r="N226" s="291" t="e">
        <f>IF(C226='Operating Assumptions'!$C$48,"Construction Finish","")</f>
        <v>#N/A</v>
      </c>
      <c r="O226" s="291"/>
      <c r="P226" s="291"/>
      <c r="Q226" s="291"/>
      <c r="R226" s="291"/>
      <c r="S226" s="291"/>
      <c r="T226" s="280"/>
      <c r="U226" s="280"/>
      <c r="V226" s="286"/>
      <c r="W226" s="286"/>
      <c r="X226" s="286"/>
      <c r="Y226" s="280"/>
      <c r="Z226" s="279"/>
      <c r="AA226" s="279"/>
      <c r="AB226" s="279"/>
    </row>
    <row r="227" spans="2:28" s="278" customFormat="1" ht="13.5" hidden="1" outlineLevel="1" x14ac:dyDescent="0.25">
      <c r="B227" s="270" t="e">
        <f>IF(AND($C227&gt;='TIF Loan Amortization'!$H$480,$C227&lt;='TIF Loan Amortization'!$I$480),'TIF Loan Amortization'!$G$480,IF(AND($C227&gt;='TIF Loan Amortization'!$H$481,$C227&lt;='TIF Loan Amortization'!I$481),'TIF Loan Amortization'!$G$481,IF(AND($C227&gt;='TIF Loan Amortization'!$H$482,$C227&lt;='TIF Loan Amortization'!I$482),'TIF Loan Amortization'!$G$482,IF(AND($C227&gt;='TIF Loan Amortization'!$H$483,$C227&lt;='TIF Loan Amortization'!I$483),'TIF Loan Amortization'!$G$483,IF(AND($C227&gt;='TIF Loan Amortization'!$H$484,$C227&lt;='TIF Loan Amortization'!I$484),'TIF Loan Amortization'!$G$484,IF(AND($C227&gt;='TIF Loan Amortization'!$H$485,$C227&lt;='TIF Loan Amortization'!I$485),'TIF Loan Amortization'!$G$485,IF(AND($C227&gt;='TIF Loan Amortization'!$H$486,$C227&lt;='TIF Loan Amortization'!I$486),'TIF Loan Amortization'!$G$486,IF(AND($C227&gt;='TIF Loan Amortization'!$H$487,$C227&lt;='TIF Loan Amortization'!I$487),'TIF Loan Amortization'!$G$487,IF(AND($C227&gt;='TIF Loan Amortization'!$H$488,$C227&lt;='TIF Loan Amortization'!I$488),'TIF Loan Amortization'!$G$488,IF(AND($C227&gt;='TIF Loan Amortization'!$H$489,$C227&lt;='TIF Loan Amortization'!I$489),'TIF Loan Amortization'!$G$489,IF(AND($C227&gt;='TIF Loan Amortization'!$H$490,$C227&lt;='TIF Loan Amortization'!I$490),'TIF Loan Amortization'!$G$490,IF(AND($C227&gt;='TIF Loan Amortization'!$H$491,$C227&lt;='TIF Loan Amortization'!I$491),'TIF Loan Amortization'!$G$491,IF(AND($C227&gt;='TIF Loan Amortization'!$H$492,$C227&lt;='TIF Loan Amortization'!I$492),'TIF Loan Amortization'!$G$492,IF(AND($C227&gt;='TIF Loan Amortization'!$H$493,$C227&lt;='TIF Loan Amortization'!I$493),'TIF Loan Amortization'!$G$493,IF(AND($C227&gt;='TIF Loan Amortization'!$H$494,$C227&lt;='TIF Loan Amortization'!I$494),'TIF Loan Amortization'!$G$494,IF(AND($C227&gt;='TIF Loan Amortization'!$H$495,$C227&lt;='TIF Loan Amortization'!I$495),'TIF Loan Amortization'!$G$495,IF(AND($C227&gt;='TIF Loan Amortization'!$H$496,$C227&lt;='TIF Loan Amortization'!I$496),'TIF Loan Amortization'!$G$496,IF(AND($C227&gt;='TIF Loan Amortization'!$H$497,$C227&lt;='TIF Loan Amortization'!I$497),'TIF Loan Amortization'!$G$497,IF(AND($C227&gt;='TIF Loan Amortization'!$H$498,$C227&lt;='TIF Loan Amortization'!I$498),'TIF Loan Amortization'!$G$498,IF(AND($C227&gt;='TIF Loan Amortization'!$H$499,$C227&lt;='TIF Loan Amortization'!I$499),'TIF Loan Amortization'!$G$499,IF(AND($C227&gt;='TIF Loan Amortization'!$H$500,$C227&lt;='TIF Loan Amortization'!I$500),'TIF Loan Amortization'!$G$500,IF(AND($C227&gt;='TIF Loan Amortization'!$H$501,$C227&lt;='TIF Loan Amortization'!I$501),'TIF Loan Amortization'!$G$501,IF(AND($C227&gt;='TIF Loan Amortization'!$H$502,$C227&lt;='TIF Loan Amortization'!I$502),'TIF Loan Amortization'!$G$502,IF(AND($C227&gt;='TIF Loan Amortization'!$H$503,$C227&lt;='TIF Loan Amortization'!I$503),'TIF Loan Amortization'!$G$503,IF(AND($C227&gt;='TIF Loan Amortization'!$H$504,$C227&lt;='TIF Loan Amortization'!I$504),'TIF Loan Amortization'!$G$504,IF(AND($C227&gt;='TIF Loan Amortization'!$H$505,$C227&lt;='TIF Loan Amortization'!I$505),'TIF Loan Amortization'!$G$505,IF(AND($C227&gt;='TIF Loan Amortization'!$H$506,$C227&lt;='TIF Loan Amortization'!I$506),'TIF Loan Amortization'!$G$506,IF(AND($C227&gt;='TIF Loan Amortization'!$H$507,$C227&lt;='TIF Loan Amortization'!I$507),'TIF Loan Amortization'!$G$507,IF(AND($C227&gt;='TIF Loan Amortization'!$H$508,$C227&lt;='TIF Loan Amortization'!I$508),'TIF Loan Amortization'!$G$508,IF(AND($C227&gt;='TIF Loan Amortization'!$H$509,$C227&lt;='TIF Loan Amortization'!I$509),'TIF Loan Amortization'!$G$509,IF(AND($C227&gt;='TIF Loan Amortization'!$H$510,$C227&lt;='TIF Loan Amortization'!I$510),'TIF Loan Amortization'!$G$510,IF(AND($C227&gt;='TIF Loan Amortization'!$H$511,$C227&lt;='TIF Loan Amortization'!I$511),'TIF Loan Amortization'!$G$511,IF(AND($C227&gt;='TIF Loan Amortization'!$H$512,$C227&lt;='TIF Loan Amortization'!I$512),'TIF Loan Amortization'!$G$512,IF(AND($C227&gt;='TIF Loan Amortization'!$H$513,$C227&lt;='TIF Loan Amortization'!I$513),'TIF Loan Amortization'!$G$513,IF(AND($C227&gt;='TIF Loan Amortization'!$H$514,$C227&lt;='TIF Loan Amortization'!I$514),'TIF Loan Amortization'!$G$514,IF(AND($C227&gt;='TIF Loan Amortization'!$H$515,$C227&lt;='TIF Loan Amortization'!I$515),'TIF Loan Amortization'!$G$515,IF(AND($C227&gt;='TIF Loan Amortization'!$H$516,$C227&lt;='TIF Loan Amortization'!I$516),'TIF Loan Amortization'!$G$516,IF(AND($C227&gt;='TIF Loan Amortization'!$H$517,$C227&lt;='TIF Loan Amortization'!I$517),'TIF Loan Amortization'!$G$517,IF(AND($C227&gt;='TIF Loan Amortization'!$H$518,$C227&lt;='TIF Loan Amortization'!I$518),'TIF Loan Amortization'!$G$518,IF(AND($C227&gt;='TIF Loan Amortization'!$H$519,$C227&lt;='TIF Loan Amortization'!I$519),'TIF Loan Amortization'!$G$519))))))))))))))))))))))))))))))))))))))))</f>
        <v>#N/A</v>
      </c>
      <c r="C227" s="269" t="e">
        <f t="shared" si="29"/>
        <v>#N/A</v>
      </c>
      <c r="D227" s="281" t="str">
        <f>IF($AG$431=1,$H$10+15,"")</f>
        <v/>
      </c>
      <c r="E227" s="274">
        <v>177</v>
      </c>
      <c r="F227" s="275" t="str">
        <f>VLOOKUP($AG$431,$AE$422:$AF$433,2)</f>
        <v>Dec</v>
      </c>
      <c r="G227" s="272">
        <f t="shared" si="30"/>
        <v>0</v>
      </c>
      <c r="H227" s="272">
        <f t="shared" si="33"/>
        <v>0</v>
      </c>
      <c r="I227" s="272">
        <f t="shared" si="34"/>
        <v>0</v>
      </c>
      <c r="J227" s="272">
        <f t="shared" si="31"/>
        <v>0</v>
      </c>
      <c r="K227" s="272">
        <f>IF(ISTEXT($M$4),"",SUM(I$50:I227))</f>
        <v>0</v>
      </c>
      <c r="L227" s="272">
        <f>IF(ISTEXT($M$4),"",SUM(J$50:J227))</f>
        <v>0</v>
      </c>
      <c r="M227" s="271">
        <f t="shared" si="32"/>
        <v>0</v>
      </c>
      <c r="N227" s="291" t="e">
        <f>IF(C227='Operating Assumptions'!$C$48,"Construction Finish","")</f>
        <v>#N/A</v>
      </c>
      <c r="O227" s="291"/>
      <c r="P227" s="291"/>
      <c r="Q227" s="291"/>
      <c r="R227" s="291"/>
      <c r="S227" s="291"/>
      <c r="T227" s="280"/>
      <c r="U227" s="280"/>
      <c r="V227" s="286"/>
      <c r="W227" s="286"/>
      <c r="X227" s="286"/>
      <c r="Y227" s="280"/>
      <c r="Z227" s="279"/>
      <c r="AA227" s="279"/>
      <c r="AB227" s="279"/>
    </row>
    <row r="228" spans="2:28" s="278" customFormat="1" ht="13.5" hidden="1" outlineLevel="1" x14ac:dyDescent="0.25">
      <c r="B228" s="270" t="e">
        <f>IF(AND($C228&gt;='TIF Loan Amortization'!$H$480,$C228&lt;='TIF Loan Amortization'!$I$480),'TIF Loan Amortization'!$G$480,IF(AND($C228&gt;='TIF Loan Amortization'!$H$481,$C228&lt;='TIF Loan Amortization'!I$481),'TIF Loan Amortization'!$G$481,IF(AND($C228&gt;='TIF Loan Amortization'!$H$482,$C228&lt;='TIF Loan Amortization'!I$482),'TIF Loan Amortization'!$G$482,IF(AND($C228&gt;='TIF Loan Amortization'!$H$483,$C228&lt;='TIF Loan Amortization'!I$483),'TIF Loan Amortization'!$G$483,IF(AND($C228&gt;='TIF Loan Amortization'!$H$484,$C228&lt;='TIF Loan Amortization'!I$484),'TIF Loan Amortization'!$G$484,IF(AND($C228&gt;='TIF Loan Amortization'!$H$485,$C228&lt;='TIF Loan Amortization'!I$485),'TIF Loan Amortization'!$G$485,IF(AND($C228&gt;='TIF Loan Amortization'!$H$486,$C228&lt;='TIF Loan Amortization'!I$486),'TIF Loan Amortization'!$G$486,IF(AND($C228&gt;='TIF Loan Amortization'!$H$487,$C228&lt;='TIF Loan Amortization'!I$487),'TIF Loan Amortization'!$G$487,IF(AND($C228&gt;='TIF Loan Amortization'!$H$488,$C228&lt;='TIF Loan Amortization'!I$488),'TIF Loan Amortization'!$G$488,IF(AND($C228&gt;='TIF Loan Amortization'!$H$489,$C228&lt;='TIF Loan Amortization'!I$489),'TIF Loan Amortization'!$G$489,IF(AND($C228&gt;='TIF Loan Amortization'!$H$490,$C228&lt;='TIF Loan Amortization'!I$490),'TIF Loan Amortization'!$G$490,IF(AND($C228&gt;='TIF Loan Amortization'!$H$491,$C228&lt;='TIF Loan Amortization'!I$491),'TIF Loan Amortization'!$G$491,IF(AND($C228&gt;='TIF Loan Amortization'!$H$492,$C228&lt;='TIF Loan Amortization'!I$492),'TIF Loan Amortization'!$G$492,IF(AND($C228&gt;='TIF Loan Amortization'!$H$493,$C228&lt;='TIF Loan Amortization'!I$493),'TIF Loan Amortization'!$G$493,IF(AND($C228&gt;='TIF Loan Amortization'!$H$494,$C228&lt;='TIF Loan Amortization'!I$494),'TIF Loan Amortization'!$G$494,IF(AND($C228&gt;='TIF Loan Amortization'!$H$495,$C228&lt;='TIF Loan Amortization'!I$495),'TIF Loan Amortization'!$G$495,IF(AND($C228&gt;='TIF Loan Amortization'!$H$496,$C228&lt;='TIF Loan Amortization'!I$496),'TIF Loan Amortization'!$G$496,IF(AND($C228&gt;='TIF Loan Amortization'!$H$497,$C228&lt;='TIF Loan Amortization'!I$497),'TIF Loan Amortization'!$G$497,IF(AND($C228&gt;='TIF Loan Amortization'!$H$498,$C228&lt;='TIF Loan Amortization'!I$498),'TIF Loan Amortization'!$G$498,IF(AND($C228&gt;='TIF Loan Amortization'!$H$499,$C228&lt;='TIF Loan Amortization'!I$499),'TIF Loan Amortization'!$G$499,IF(AND($C228&gt;='TIF Loan Amortization'!$H$500,$C228&lt;='TIF Loan Amortization'!I$500),'TIF Loan Amortization'!$G$500,IF(AND($C228&gt;='TIF Loan Amortization'!$H$501,$C228&lt;='TIF Loan Amortization'!I$501),'TIF Loan Amortization'!$G$501,IF(AND($C228&gt;='TIF Loan Amortization'!$H$502,$C228&lt;='TIF Loan Amortization'!I$502),'TIF Loan Amortization'!$G$502,IF(AND($C228&gt;='TIF Loan Amortization'!$H$503,$C228&lt;='TIF Loan Amortization'!I$503),'TIF Loan Amortization'!$G$503,IF(AND($C228&gt;='TIF Loan Amortization'!$H$504,$C228&lt;='TIF Loan Amortization'!I$504),'TIF Loan Amortization'!$G$504,IF(AND($C228&gt;='TIF Loan Amortization'!$H$505,$C228&lt;='TIF Loan Amortization'!I$505),'TIF Loan Amortization'!$G$505,IF(AND($C228&gt;='TIF Loan Amortization'!$H$506,$C228&lt;='TIF Loan Amortization'!I$506),'TIF Loan Amortization'!$G$506,IF(AND($C228&gt;='TIF Loan Amortization'!$H$507,$C228&lt;='TIF Loan Amortization'!I$507),'TIF Loan Amortization'!$G$507,IF(AND($C228&gt;='TIF Loan Amortization'!$H$508,$C228&lt;='TIF Loan Amortization'!I$508),'TIF Loan Amortization'!$G$508,IF(AND($C228&gt;='TIF Loan Amortization'!$H$509,$C228&lt;='TIF Loan Amortization'!I$509),'TIF Loan Amortization'!$G$509,IF(AND($C228&gt;='TIF Loan Amortization'!$H$510,$C228&lt;='TIF Loan Amortization'!I$510),'TIF Loan Amortization'!$G$510,IF(AND($C228&gt;='TIF Loan Amortization'!$H$511,$C228&lt;='TIF Loan Amortization'!I$511),'TIF Loan Amortization'!$G$511,IF(AND($C228&gt;='TIF Loan Amortization'!$H$512,$C228&lt;='TIF Loan Amortization'!I$512),'TIF Loan Amortization'!$G$512,IF(AND($C228&gt;='TIF Loan Amortization'!$H$513,$C228&lt;='TIF Loan Amortization'!I$513),'TIF Loan Amortization'!$G$513,IF(AND($C228&gt;='TIF Loan Amortization'!$H$514,$C228&lt;='TIF Loan Amortization'!I$514),'TIF Loan Amortization'!$G$514,IF(AND($C228&gt;='TIF Loan Amortization'!$H$515,$C228&lt;='TIF Loan Amortization'!I$515),'TIF Loan Amortization'!$G$515,IF(AND($C228&gt;='TIF Loan Amortization'!$H$516,$C228&lt;='TIF Loan Amortization'!I$516),'TIF Loan Amortization'!$G$516,IF(AND($C228&gt;='TIF Loan Amortization'!$H$517,$C228&lt;='TIF Loan Amortization'!I$517),'TIF Loan Amortization'!$G$517,IF(AND($C228&gt;='TIF Loan Amortization'!$H$518,$C228&lt;='TIF Loan Amortization'!I$518),'TIF Loan Amortization'!$G$518,IF(AND($C228&gt;='TIF Loan Amortization'!$H$519,$C228&lt;='TIF Loan Amortization'!I$519),'TIF Loan Amortization'!$G$519))))))))))))))))))))))))))))))))))))))))</f>
        <v>#N/A</v>
      </c>
      <c r="C228" s="269" t="e">
        <f t="shared" si="29"/>
        <v>#N/A</v>
      </c>
      <c r="D228" s="281">
        <f>IF($AG$432=1,$H$10+15,"")</f>
        <v>2040</v>
      </c>
      <c r="E228" s="274">
        <v>178</v>
      </c>
      <c r="F228" s="273" t="str">
        <f>VLOOKUP($AG$432,$AE$422:$AF$433,2)</f>
        <v>Jan</v>
      </c>
      <c r="G228" s="272">
        <f t="shared" si="30"/>
        <v>0</v>
      </c>
      <c r="H228" s="272">
        <f t="shared" si="33"/>
        <v>0</v>
      </c>
      <c r="I228" s="272">
        <f t="shared" si="34"/>
        <v>0</v>
      </c>
      <c r="J228" s="272">
        <f t="shared" si="31"/>
        <v>0</v>
      </c>
      <c r="K228" s="272">
        <f>IF(ISTEXT($M$4),"",SUM(I$50:I228))</f>
        <v>0</v>
      </c>
      <c r="L228" s="272">
        <f>IF(ISTEXT($M$4),"",SUM(J$50:J228))</f>
        <v>0</v>
      </c>
      <c r="M228" s="271">
        <f t="shared" si="32"/>
        <v>0</v>
      </c>
      <c r="N228" s="291" t="e">
        <f>IF(C228='Operating Assumptions'!$C$48,"Construction Finish","")</f>
        <v>#N/A</v>
      </c>
      <c r="O228" s="291"/>
      <c r="P228" s="291"/>
      <c r="Q228" s="291"/>
      <c r="R228" s="291"/>
      <c r="S228" s="291"/>
      <c r="T228" s="280"/>
      <c r="U228" s="280"/>
      <c r="V228" s="286"/>
      <c r="W228" s="286"/>
      <c r="X228" s="286"/>
      <c r="Y228" s="280"/>
      <c r="Z228" s="279"/>
      <c r="AA228" s="279"/>
      <c r="AB228" s="279"/>
    </row>
    <row r="229" spans="2:28" s="278" customFormat="1" ht="13.5" hidden="1" outlineLevel="1" x14ac:dyDescent="0.25">
      <c r="B229" s="270" t="e">
        <f>IF(AND($C229&gt;='TIF Loan Amortization'!$H$480,$C229&lt;='TIF Loan Amortization'!$I$480),'TIF Loan Amortization'!$G$480,IF(AND($C229&gt;='TIF Loan Amortization'!$H$481,$C229&lt;='TIF Loan Amortization'!I$481),'TIF Loan Amortization'!$G$481,IF(AND($C229&gt;='TIF Loan Amortization'!$H$482,$C229&lt;='TIF Loan Amortization'!I$482),'TIF Loan Amortization'!$G$482,IF(AND($C229&gt;='TIF Loan Amortization'!$H$483,$C229&lt;='TIF Loan Amortization'!I$483),'TIF Loan Amortization'!$G$483,IF(AND($C229&gt;='TIF Loan Amortization'!$H$484,$C229&lt;='TIF Loan Amortization'!I$484),'TIF Loan Amortization'!$G$484,IF(AND($C229&gt;='TIF Loan Amortization'!$H$485,$C229&lt;='TIF Loan Amortization'!I$485),'TIF Loan Amortization'!$G$485,IF(AND($C229&gt;='TIF Loan Amortization'!$H$486,$C229&lt;='TIF Loan Amortization'!I$486),'TIF Loan Amortization'!$G$486,IF(AND($C229&gt;='TIF Loan Amortization'!$H$487,$C229&lt;='TIF Loan Amortization'!I$487),'TIF Loan Amortization'!$G$487,IF(AND($C229&gt;='TIF Loan Amortization'!$H$488,$C229&lt;='TIF Loan Amortization'!I$488),'TIF Loan Amortization'!$G$488,IF(AND($C229&gt;='TIF Loan Amortization'!$H$489,$C229&lt;='TIF Loan Amortization'!I$489),'TIF Loan Amortization'!$G$489,IF(AND($C229&gt;='TIF Loan Amortization'!$H$490,$C229&lt;='TIF Loan Amortization'!I$490),'TIF Loan Amortization'!$G$490,IF(AND($C229&gt;='TIF Loan Amortization'!$H$491,$C229&lt;='TIF Loan Amortization'!I$491),'TIF Loan Amortization'!$G$491,IF(AND($C229&gt;='TIF Loan Amortization'!$H$492,$C229&lt;='TIF Loan Amortization'!I$492),'TIF Loan Amortization'!$G$492,IF(AND($C229&gt;='TIF Loan Amortization'!$H$493,$C229&lt;='TIF Loan Amortization'!I$493),'TIF Loan Amortization'!$G$493,IF(AND($C229&gt;='TIF Loan Amortization'!$H$494,$C229&lt;='TIF Loan Amortization'!I$494),'TIF Loan Amortization'!$G$494,IF(AND($C229&gt;='TIF Loan Amortization'!$H$495,$C229&lt;='TIF Loan Amortization'!I$495),'TIF Loan Amortization'!$G$495,IF(AND($C229&gt;='TIF Loan Amortization'!$H$496,$C229&lt;='TIF Loan Amortization'!I$496),'TIF Loan Amortization'!$G$496,IF(AND($C229&gt;='TIF Loan Amortization'!$H$497,$C229&lt;='TIF Loan Amortization'!I$497),'TIF Loan Amortization'!$G$497,IF(AND($C229&gt;='TIF Loan Amortization'!$H$498,$C229&lt;='TIF Loan Amortization'!I$498),'TIF Loan Amortization'!$G$498,IF(AND($C229&gt;='TIF Loan Amortization'!$H$499,$C229&lt;='TIF Loan Amortization'!I$499),'TIF Loan Amortization'!$G$499,IF(AND($C229&gt;='TIF Loan Amortization'!$H$500,$C229&lt;='TIF Loan Amortization'!I$500),'TIF Loan Amortization'!$G$500,IF(AND($C229&gt;='TIF Loan Amortization'!$H$501,$C229&lt;='TIF Loan Amortization'!I$501),'TIF Loan Amortization'!$G$501,IF(AND($C229&gt;='TIF Loan Amortization'!$H$502,$C229&lt;='TIF Loan Amortization'!I$502),'TIF Loan Amortization'!$G$502,IF(AND($C229&gt;='TIF Loan Amortization'!$H$503,$C229&lt;='TIF Loan Amortization'!I$503),'TIF Loan Amortization'!$G$503,IF(AND($C229&gt;='TIF Loan Amortization'!$H$504,$C229&lt;='TIF Loan Amortization'!I$504),'TIF Loan Amortization'!$G$504,IF(AND($C229&gt;='TIF Loan Amortization'!$H$505,$C229&lt;='TIF Loan Amortization'!I$505),'TIF Loan Amortization'!$G$505,IF(AND($C229&gt;='TIF Loan Amortization'!$H$506,$C229&lt;='TIF Loan Amortization'!I$506),'TIF Loan Amortization'!$G$506,IF(AND($C229&gt;='TIF Loan Amortization'!$H$507,$C229&lt;='TIF Loan Amortization'!I$507),'TIF Loan Amortization'!$G$507,IF(AND($C229&gt;='TIF Loan Amortization'!$H$508,$C229&lt;='TIF Loan Amortization'!I$508),'TIF Loan Amortization'!$G$508,IF(AND($C229&gt;='TIF Loan Amortization'!$H$509,$C229&lt;='TIF Loan Amortization'!I$509),'TIF Loan Amortization'!$G$509,IF(AND($C229&gt;='TIF Loan Amortization'!$H$510,$C229&lt;='TIF Loan Amortization'!I$510),'TIF Loan Amortization'!$G$510,IF(AND($C229&gt;='TIF Loan Amortization'!$H$511,$C229&lt;='TIF Loan Amortization'!I$511),'TIF Loan Amortization'!$G$511,IF(AND($C229&gt;='TIF Loan Amortization'!$H$512,$C229&lt;='TIF Loan Amortization'!I$512),'TIF Loan Amortization'!$G$512,IF(AND($C229&gt;='TIF Loan Amortization'!$H$513,$C229&lt;='TIF Loan Amortization'!I$513),'TIF Loan Amortization'!$G$513,IF(AND($C229&gt;='TIF Loan Amortization'!$H$514,$C229&lt;='TIF Loan Amortization'!I$514),'TIF Loan Amortization'!$G$514,IF(AND($C229&gt;='TIF Loan Amortization'!$H$515,$C229&lt;='TIF Loan Amortization'!I$515),'TIF Loan Amortization'!$G$515,IF(AND($C229&gt;='TIF Loan Amortization'!$H$516,$C229&lt;='TIF Loan Amortization'!I$516),'TIF Loan Amortization'!$G$516,IF(AND($C229&gt;='TIF Loan Amortization'!$H$517,$C229&lt;='TIF Loan Amortization'!I$517),'TIF Loan Amortization'!$G$517,IF(AND($C229&gt;='TIF Loan Amortization'!$H$518,$C229&lt;='TIF Loan Amortization'!I$518),'TIF Loan Amortization'!$G$518,IF(AND($C229&gt;='TIF Loan Amortization'!$H$519,$C229&lt;='TIF Loan Amortization'!I$519),'TIF Loan Amortization'!$G$519))))))))))))))))))))))))))))))))))))))))</f>
        <v>#N/A</v>
      </c>
      <c r="C229" s="269" t="e">
        <f t="shared" si="29"/>
        <v>#N/A</v>
      </c>
      <c r="D229" s="281" t="str">
        <f>IF($AG$433=1,$H$10+15,"")</f>
        <v/>
      </c>
      <c r="E229" s="274">
        <v>179</v>
      </c>
      <c r="F229" s="273" t="str">
        <f>VLOOKUP($AG$433,$AE$422:$AF$433,2)</f>
        <v>Feb</v>
      </c>
      <c r="G229" s="272">
        <f t="shared" si="30"/>
        <v>0</v>
      </c>
      <c r="H229" s="272">
        <f t="shared" si="33"/>
        <v>0</v>
      </c>
      <c r="I229" s="272">
        <f t="shared" si="34"/>
        <v>0</v>
      </c>
      <c r="J229" s="272">
        <f t="shared" si="31"/>
        <v>0</v>
      </c>
      <c r="K229" s="272">
        <f>IF(ISTEXT($M$4),"",SUM(I$50:I229))</f>
        <v>0</v>
      </c>
      <c r="L229" s="272">
        <f>IF(ISTEXT($M$4),"",SUM(J$50:J229))</f>
        <v>0</v>
      </c>
      <c r="M229" s="271">
        <f t="shared" si="32"/>
        <v>0</v>
      </c>
      <c r="N229" s="291" t="e">
        <f>IF(C229='Operating Assumptions'!$C$48,"Construction Finish","")</f>
        <v>#N/A</v>
      </c>
      <c r="O229" s="291"/>
      <c r="P229" s="291"/>
      <c r="Q229" s="291"/>
      <c r="R229" s="291"/>
      <c r="S229" s="291"/>
      <c r="T229" s="280"/>
      <c r="U229" s="280"/>
      <c r="V229" s="286"/>
      <c r="W229" s="286"/>
      <c r="X229" s="286"/>
      <c r="Y229" s="280"/>
      <c r="Z229" s="279"/>
      <c r="AA229" s="279"/>
      <c r="AB229" s="279"/>
    </row>
    <row r="230" spans="2:28" s="278" customFormat="1" ht="13.5" hidden="1" outlineLevel="1" x14ac:dyDescent="0.25">
      <c r="B230" s="270" t="e">
        <f>IF(AND($C230&gt;='TIF Loan Amortization'!$H$480,$C230&lt;='TIF Loan Amortization'!$I$480),'TIF Loan Amortization'!$G$480,IF(AND($C230&gt;='TIF Loan Amortization'!$H$481,$C230&lt;='TIF Loan Amortization'!I$481),'TIF Loan Amortization'!$G$481,IF(AND($C230&gt;='TIF Loan Amortization'!$H$482,$C230&lt;='TIF Loan Amortization'!I$482),'TIF Loan Amortization'!$G$482,IF(AND($C230&gt;='TIF Loan Amortization'!$H$483,$C230&lt;='TIF Loan Amortization'!I$483),'TIF Loan Amortization'!$G$483,IF(AND($C230&gt;='TIF Loan Amortization'!$H$484,$C230&lt;='TIF Loan Amortization'!I$484),'TIF Loan Amortization'!$G$484,IF(AND($C230&gt;='TIF Loan Amortization'!$H$485,$C230&lt;='TIF Loan Amortization'!I$485),'TIF Loan Amortization'!$G$485,IF(AND($C230&gt;='TIF Loan Amortization'!$H$486,$C230&lt;='TIF Loan Amortization'!I$486),'TIF Loan Amortization'!$G$486,IF(AND($C230&gt;='TIF Loan Amortization'!$H$487,$C230&lt;='TIF Loan Amortization'!I$487),'TIF Loan Amortization'!$G$487,IF(AND($C230&gt;='TIF Loan Amortization'!$H$488,$C230&lt;='TIF Loan Amortization'!I$488),'TIF Loan Amortization'!$G$488,IF(AND($C230&gt;='TIF Loan Amortization'!$H$489,$C230&lt;='TIF Loan Amortization'!I$489),'TIF Loan Amortization'!$G$489,IF(AND($C230&gt;='TIF Loan Amortization'!$H$490,$C230&lt;='TIF Loan Amortization'!I$490),'TIF Loan Amortization'!$G$490,IF(AND($C230&gt;='TIF Loan Amortization'!$H$491,$C230&lt;='TIF Loan Amortization'!I$491),'TIF Loan Amortization'!$G$491,IF(AND($C230&gt;='TIF Loan Amortization'!$H$492,$C230&lt;='TIF Loan Amortization'!I$492),'TIF Loan Amortization'!$G$492,IF(AND($C230&gt;='TIF Loan Amortization'!$H$493,$C230&lt;='TIF Loan Amortization'!I$493),'TIF Loan Amortization'!$G$493,IF(AND($C230&gt;='TIF Loan Amortization'!$H$494,$C230&lt;='TIF Loan Amortization'!I$494),'TIF Loan Amortization'!$G$494,IF(AND($C230&gt;='TIF Loan Amortization'!$H$495,$C230&lt;='TIF Loan Amortization'!I$495),'TIF Loan Amortization'!$G$495,IF(AND($C230&gt;='TIF Loan Amortization'!$H$496,$C230&lt;='TIF Loan Amortization'!I$496),'TIF Loan Amortization'!$G$496,IF(AND($C230&gt;='TIF Loan Amortization'!$H$497,$C230&lt;='TIF Loan Amortization'!I$497),'TIF Loan Amortization'!$G$497,IF(AND($C230&gt;='TIF Loan Amortization'!$H$498,$C230&lt;='TIF Loan Amortization'!I$498),'TIF Loan Amortization'!$G$498,IF(AND($C230&gt;='TIF Loan Amortization'!$H$499,$C230&lt;='TIF Loan Amortization'!I$499),'TIF Loan Amortization'!$G$499,IF(AND($C230&gt;='TIF Loan Amortization'!$H$500,$C230&lt;='TIF Loan Amortization'!I$500),'TIF Loan Amortization'!$G$500,IF(AND($C230&gt;='TIF Loan Amortization'!$H$501,$C230&lt;='TIF Loan Amortization'!I$501),'TIF Loan Amortization'!$G$501,IF(AND($C230&gt;='TIF Loan Amortization'!$H$502,$C230&lt;='TIF Loan Amortization'!I$502),'TIF Loan Amortization'!$G$502,IF(AND($C230&gt;='TIF Loan Amortization'!$H$503,$C230&lt;='TIF Loan Amortization'!I$503),'TIF Loan Amortization'!$G$503,IF(AND($C230&gt;='TIF Loan Amortization'!$H$504,$C230&lt;='TIF Loan Amortization'!I$504),'TIF Loan Amortization'!$G$504,IF(AND($C230&gt;='TIF Loan Amortization'!$H$505,$C230&lt;='TIF Loan Amortization'!I$505),'TIF Loan Amortization'!$G$505,IF(AND($C230&gt;='TIF Loan Amortization'!$H$506,$C230&lt;='TIF Loan Amortization'!I$506),'TIF Loan Amortization'!$G$506,IF(AND($C230&gt;='TIF Loan Amortization'!$H$507,$C230&lt;='TIF Loan Amortization'!I$507),'TIF Loan Amortization'!$G$507,IF(AND($C230&gt;='TIF Loan Amortization'!$H$508,$C230&lt;='TIF Loan Amortization'!I$508),'TIF Loan Amortization'!$G$508,IF(AND($C230&gt;='TIF Loan Amortization'!$H$509,$C230&lt;='TIF Loan Amortization'!I$509),'TIF Loan Amortization'!$G$509,IF(AND($C230&gt;='TIF Loan Amortization'!$H$510,$C230&lt;='TIF Loan Amortization'!I$510),'TIF Loan Amortization'!$G$510,IF(AND($C230&gt;='TIF Loan Amortization'!$H$511,$C230&lt;='TIF Loan Amortization'!I$511),'TIF Loan Amortization'!$G$511,IF(AND($C230&gt;='TIF Loan Amortization'!$H$512,$C230&lt;='TIF Loan Amortization'!I$512),'TIF Loan Amortization'!$G$512,IF(AND($C230&gt;='TIF Loan Amortization'!$H$513,$C230&lt;='TIF Loan Amortization'!I$513),'TIF Loan Amortization'!$G$513,IF(AND($C230&gt;='TIF Loan Amortization'!$H$514,$C230&lt;='TIF Loan Amortization'!I$514),'TIF Loan Amortization'!$G$514,IF(AND($C230&gt;='TIF Loan Amortization'!$H$515,$C230&lt;='TIF Loan Amortization'!I$515),'TIF Loan Amortization'!$G$515,IF(AND($C230&gt;='TIF Loan Amortization'!$H$516,$C230&lt;='TIF Loan Amortization'!I$516),'TIF Loan Amortization'!$G$516,IF(AND($C230&gt;='TIF Loan Amortization'!$H$517,$C230&lt;='TIF Loan Amortization'!I$517),'TIF Loan Amortization'!$G$517,IF(AND($C230&gt;='TIF Loan Amortization'!$H$518,$C230&lt;='TIF Loan Amortization'!I$518),'TIF Loan Amortization'!$G$518,IF(AND($C230&gt;='TIF Loan Amortization'!$H$519,$C230&lt;='TIF Loan Amortization'!I$519),'TIF Loan Amortization'!$G$519))))))))))))))))))))))))))))))))))))))))</f>
        <v>#N/A</v>
      </c>
      <c r="C230" s="269" t="e">
        <f t="shared" si="29"/>
        <v>#N/A</v>
      </c>
      <c r="D230" s="281" t="str">
        <f>IF($H$11="January",$H$10+15,IF($AG$422=1,$H$10+16,""))</f>
        <v/>
      </c>
      <c r="E230" s="274">
        <v>180</v>
      </c>
      <c r="F230" s="273" t="str">
        <f>VLOOKUP($AG$422,$AE$422:$AF$433,2)</f>
        <v>Mar</v>
      </c>
      <c r="G230" s="272">
        <f t="shared" si="30"/>
        <v>0</v>
      </c>
      <c r="H230" s="272">
        <f t="shared" si="33"/>
        <v>0</v>
      </c>
      <c r="I230" s="272">
        <f t="shared" si="34"/>
        <v>0</v>
      </c>
      <c r="J230" s="272">
        <f t="shared" si="31"/>
        <v>0</v>
      </c>
      <c r="K230" s="272">
        <f>IF(ISTEXT($M$4),"",SUM(I$50:I230))</f>
        <v>0</v>
      </c>
      <c r="L230" s="272">
        <f>IF(ISTEXT($M$4),"",SUM(J$50:J230))</f>
        <v>0</v>
      </c>
      <c r="M230" s="271">
        <f t="shared" si="32"/>
        <v>0</v>
      </c>
      <c r="N230" s="291" t="e">
        <f>IF(C230='Operating Assumptions'!$C$48,"Construction Finish","")</f>
        <v>#N/A</v>
      </c>
      <c r="O230" s="291"/>
      <c r="P230" s="291"/>
      <c r="Q230" s="291"/>
      <c r="R230" s="291"/>
      <c r="S230" s="291"/>
      <c r="T230" s="280"/>
      <c r="U230" s="280"/>
      <c r="V230" s="286"/>
      <c r="W230" s="286"/>
      <c r="X230" s="286"/>
      <c r="Y230" s="280"/>
      <c r="Z230" s="279"/>
      <c r="AA230" s="279"/>
      <c r="AB230" s="279"/>
    </row>
    <row r="231" spans="2:28" s="278" customFormat="1" ht="13.5" hidden="1" outlineLevel="1" x14ac:dyDescent="0.25">
      <c r="B231" s="270" t="e">
        <f>IF(AND($C231&gt;='TIF Loan Amortization'!$H$480,$C231&lt;='TIF Loan Amortization'!$I$480),'TIF Loan Amortization'!$G$480,IF(AND($C231&gt;='TIF Loan Amortization'!$H$481,$C231&lt;='TIF Loan Amortization'!I$481),'TIF Loan Amortization'!$G$481,IF(AND($C231&gt;='TIF Loan Amortization'!$H$482,$C231&lt;='TIF Loan Amortization'!I$482),'TIF Loan Amortization'!$G$482,IF(AND($C231&gt;='TIF Loan Amortization'!$H$483,$C231&lt;='TIF Loan Amortization'!I$483),'TIF Loan Amortization'!$G$483,IF(AND($C231&gt;='TIF Loan Amortization'!$H$484,$C231&lt;='TIF Loan Amortization'!I$484),'TIF Loan Amortization'!$G$484,IF(AND($C231&gt;='TIF Loan Amortization'!$H$485,$C231&lt;='TIF Loan Amortization'!I$485),'TIF Loan Amortization'!$G$485,IF(AND($C231&gt;='TIF Loan Amortization'!$H$486,$C231&lt;='TIF Loan Amortization'!I$486),'TIF Loan Amortization'!$G$486,IF(AND($C231&gt;='TIF Loan Amortization'!$H$487,$C231&lt;='TIF Loan Amortization'!I$487),'TIF Loan Amortization'!$G$487,IF(AND($C231&gt;='TIF Loan Amortization'!$H$488,$C231&lt;='TIF Loan Amortization'!I$488),'TIF Loan Amortization'!$G$488,IF(AND($C231&gt;='TIF Loan Amortization'!$H$489,$C231&lt;='TIF Loan Amortization'!I$489),'TIF Loan Amortization'!$G$489,IF(AND($C231&gt;='TIF Loan Amortization'!$H$490,$C231&lt;='TIF Loan Amortization'!I$490),'TIF Loan Amortization'!$G$490,IF(AND($C231&gt;='TIF Loan Amortization'!$H$491,$C231&lt;='TIF Loan Amortization'!I$491),'TIF Loan Amortization'!$G$491,IF(AND($C231&gt;='TIF Loan Amortization'!$H$492,$C231&lt;='TIF Loan Amortization'!I$492),'TIF Loan Amortization'!$G$492,IF(AND($C231&gt;='TIF Loan Amortization'!$H$493,$C231&lt;='TIF Loan Amortization'!I$493),'TIF Loan Amortization'!$G$493,IF(AND($C231&gt;='TIF Loan Amortization'!$H$494,$C231&lt;='TIF Loan Amortization'!I$494),'TIF Loan Amortization'!$G$494,IF(AND($C231&gt;='TIF Loan Amortization'!$H$495,$C231&lt;='TIF Loan Amortization'!I$495),'TIF Loan Amortization'!$G$495,IF(AND($C231&gt;='TIF Loan Amortization'!$H$496,$C231&lt;='TIF Loan Amortization'!I$496),'TIF Loan Amortization'!$G$496,IF(AND($C231&gt;='TIF Loan Amortization'!$H$497,$C231&lt;='TIF Loan Amortization'!I$497),'TIF Loan Amortization'!$G$497,IF(AND($C231&gt;='TIF Loan Amortization'!$H$498,$C231&lt;='TIF Loan Amortization'!I$498),'TIF Loan Amortization'!$G$498,IF(AND($C231&gt;='TIF Loan Amortization'!$H$499,$C231&lt;='TIF Loan Amortization'!I$499),'TIF Loan Amortization'!$G$499,IF(AND($C231&gt;='TIF Loan Amortization'!$H$500,$C231&lt;='TIF Loan Amortization'!I$500),'TIF Loan Amortization'!$G$500,IF(AND($C231&gt;='TIF Loan Amortization'!$H$501,$C231&lt;='TIF Loan Amortization'!I$501),'TIF Loan Amortization'!$G$501,IF(AND($C231&gt;='TIF Loan Amortization'!$H$502,$C231&lt;='TIF Loan Amortization'!I$502),'TIF Loan Amortization'!$G$502,IF(AND($C231&gt;='TIF Loan Amortization'!$H$503,$C231&lt;='TIF Loan Amortization'!I$503),'TIF Loan Amortization'!$G$503,IF(AND($C231&gt;='TIF Loan Amortization'!$H$504,$C231&lt;='TIF Loan Amortization'!I$504),'TIF Loan Amortization'!$G$504,IF(AND($C231&gt;='TIF Loan Amortization'!$H$505,$C231&lt;='TIF Loan Amortization'!I$505),'TIF Loan Amortization'!$G$505,IF(AND($C231&gt;='TIF Loan Amortization'!$H$506,$C231&lt;='TIF Loan Amortization'!I$506),'TIF Loan Amortization'!$G$506,IF(AND($C231&gt;='TIF Loan Amortization'!$H$507,$C231&lt;='TIF Loan Amortization'!I$507),'TIF Loan Amortization'!$G$507,IF(AND($C231&gt;='TIF Loan Amortization'!$H$508,$C231&lt;='TIF Loan Amortization'!I$508),'TIF Loan Amortization'!$G$508,IF(AND($C231&gt;='TIF Loan Amortization'!$H$509,$C231&lt;='TIF Loan Amortization'!I$509),'TIF Loan Amortization'!$G$509,IF(AND($C231&gt;='TIF Loan Amortization'!$H$510,$C231&lt;='TIF Loan Amortization'!I$510),'TIF Loan Amortization'!$G$510,IF(AND($C231&gt;='TIF Loan Amortization'!$H$511,$C231&lt;='TIF Loan Amortization'!I$511),'TIF Loan Amortization'!$G$511,IF(AND($C231&gt;='TIF Loan Amortization'!$H$512,$C231&lt;='TIF Loan Amortization'!I$512),'TIF Loan Amortization'!$G$512,IF(AND($C231&gt;='TIF Loan Amortization'!$H$513,$C231&lt;='TIF Loan Amortization'!I$513),'TIF Loan Amortization'!$G$513,IF(AND($C231&gt;='TIF Loan Amortization'!$H$514,$C231&lt;='TIF Loan Amortization'!I$514),'TIF Loan Amortization'!$G$514,IF(AND($C231&gt;='TIF Loan Amortization'!$H$515,$C231&lt;='TIF Loan Amortization'!I$515),'TIF Loan Amortization'!$G$515,IF(AND($C231&gt;='TIF Loan Amortization'!$H$516,$C231&lt;='TIF Loan Amortization'!I$516),'TIF Loan Amortization'!$G$516,IF(AND($C231&gt;='TIF Loan Amortization'!$H$517,$C231&lt;='TIF Loan Amortization'!I$517),'TIF Loan Amortization'!$G$517,IF(AND($C231&gt;='TIF Loan Amortization'!$H$518,$C231&lt;='TIF Loan Amortization'!I$518),'TIF Loan Amortization'!$G$518,IF(AND($C231&gt;='TIF Loan Amortization'!$H$519,$C231&lt;='TIF Loan Amortization'!I$519),'TIF Loan Amortization'!$G$519))))))))))))))))))))))))))))))))))))))))</f>
        <v>#N/A</v>
      </c>
      <c r="C231" s="269" t="e">
        <f t="shared" si="29"/>
        <v>#N/A</v>
      </c>
      <c r="D231" s="281" t="str">
        <f>IF($AG$423=1,$H$10+16,"")</f>
        <v/>
      </c>
      <c r="E231" s="274">
        <v>181</v>
      </c>
      <c r="F231" s="275" t="str">
        <f>VLOOKUP($AG$423,$AE$422:$AF$433,2)</f>
        <v>Apr</v>
      </c>
      <c r="G231" s="272">
        <f t="shared" si="30"/>
        <v>0</v>
      </c>
      <c r="H231" s="272">
        <f t="shared" si="33"/>
        <v>0</v>
      </c>
      <c r="I231" s="272">
        <f t="shared" si="34"/>
        <v>0</v>
      </c>
      <c r="J231" s="272">
        <f t="shared" si="31"/>
        <v>0</v>
      </c>
      <c r="K231" s="272">
        <f>IF(ISTEXT($M$4),"",SUM(I$50:I231))</f>
        <v>0</v>
      </c>
      <c r="L231" s="272">
        <f>IF(ISTEXT($M$4),"",SUM(J$50:J231))</f>
        <v>0</v>
      </c>
      <c r="M231" s="271">
        <f t="shared" si="32"/>
        <v>0</v>
      </c>
      <c r="N231" s="291" t="e">
        <f>IF(C231='Operating Assumptions'!$C$48,"Construction Finish","")</f>
        <v>#N/A</v>
      </c>
      <c r="O231" s="291"/>
      <c r="P231" s="291"/>
      <c r="Q231" s="291"/>
      <c r="R231" s="291"/>
      <c r="S231" s="291"/>
      <c r="T231" s="280"/>
      <c r="U231" s="280"/>
      <c r="V231" s="286"/>
      <c r="W231" s="286"/>
      <c r="X231" s="286"/>
      <c r="Y231" s="280"/>
      <c r="Z231" s="279"/>
      <c r="AA231" s="279"/>
      <c r="AB231" s="279"/>
    </row>
    <row r="232" spans="2:28" s="278" customFormat="1" ht="13.5" hidden="1" outlineLevel="1" x14ac:dyDescent="0.25">
      <c r="B232" s="270" t="e">
        <f>IF(AND($C232&gt;='TIF Loan Amortization'!$H$480,$C232&lt;='TIF Loan Amortization'!$I$480),'TIF Loan Amortization'!$G$480,IF(AND($C232&gt;='TIF Loan Amortization'!$H$481,$C232&lt;='TIF Loan Amortization'!I$481),'TIF Loan Amortization'!$G$481,IF(AND($C232&gt;='TIF Loan Amortization'!$H$482,$C232&lt;='TIF Loan Amortization'!I$482),'TIF Loan Amortization'!$G$482,IF(AND($C232&gt;='TIF Loan Amortization'!$H$483,$C232&lt;='TIF Loan Amortization'!I$483),'TIF Loan Amortization'!$G$483,IF(AND($C232&gt;='TIF Loan Amortization'!$H$484,$C232&lt;='TIF Loan Amortization'!I$484),'TIF Loan Amortization'!$G$484,IF(AND($C232&gt;='TIF Loan Amortization'!$H$485,$C232&lt;='TIF Loan Amortization'!I$485),'TIF Loan Amortization'!$G$485,IF(AND($C232&gt;='TIF Loan Amortization'!$H$486,$C232&lt;='TIF Loan Amortization'!I$486),'TIF Loan Amortization'!$G$486,IF(AND($C232&gt;='TIF Loan Amortization'!$H$487,$C232&lt;='TIF Loan Amortization'!I$487),'TIF Loan Amortization'!$G$487,IF(AND($C232&gt;='TIF Loan Amortization'!$H$488,$C232&lt;='TIF Loan Amortization'!I$488),'TIF Loan Amortization'!$G$488,IF(AND($C232&gt;='TIF Loan Amortization'!$H$489,$C232&lt;='TIF Loan Amortization'!I$489),'TIF Loan Amortization'!$G$489,IF(AND($C232&gt;='TIF Loan Amortization'!$H$490,$C232&lt;='TIF Loan Amortization'!I$490),'TIF Loan Amortization'!$G$490,IF(AND($C232&gt;='TIF Loan Amortization'!$H$491,$C232&lt;='TIF Loan Amortization'!I$491),'TIF Loan Amortization'!$G$491,IF(AND($C232&gt;='TIF Loan Amortization'!$H$492,$C232&lt;='TIF Loan Amortization'!I$492),'TIF Loan Amortization'!$G$492,IF(AND($C232&gt;='TIF Loan Amortization'!$H$493,$C232&lt;='TIF Loan Amortization'!I$493),'TIF Loan Amortization'!$G$493,IF(AND($C232&gt;='TIF Loan Amortization'!$H$494,$C232&lt;='TIF Loan Amortization'!I$494),'TIF Loan Amortization'!$G$494,IF(AND($C232&gt;='TIF Loan Amortization'!$H$495,$C232&lt;='TIF Loan Amortization'!I$495),'TIF Loan Amortization'!$G$495,IF(AND($C232&gt;='TIF Loan Amortization'!$H$496,$C232&lt;='TIF Loan Amortization'!I$496),'TIF Loan Amortization'!$G$496,IF(AND($C232&gt;='TIF Loan Amortization'!$H$497,$C232&lt;='TIF Loan Amortization'!I$497),'TIF Loan Amortization'!$G$497,IF(AND($C232&gt;='TIF Loan Amortization'!$H$498,$C232&lt;='TIF Loan Amortization'!I$498),'TIF Loan Amortization'!$G$498,IF(AND($C232&gt;='TIF Loan Amortization'!$H$499,$C232&lt;='TIF Loan Amortization'!I$499),'TIF Loan Amortization'!$G$499,IF(AND($C232&gt;='TIF Loan Amortization'!$H$500,$C232&lt;='TIF Loan Amortization'!I$500),'TIF Loan Amortization'!$G$500,IF(AND($C232&gt;='TIF Loan Amortization'!$H$501,$C232&lt;='TIF Loan Amortization'!I$501),'TIF Loan Amortization'!$G$501,IF(AND($C232&gt;='TIF Loan Amortization'!$H$502,$C232&lt;='TIF Loan Amortization'!I$502),'TIF Loan Amortization'!$G$502,IF(AND($C232&gt;='TIF Loan Amortization'!$H$503,$C232&lt;='TIF Loan Amortization'!I$503),'TIF Loan Amortization'!$G$503,IF(AND($C232&gt;='TIF Loan Amortization'!$H$504,$C232&lt;='TIF Loan Amortization'!I$504),'TIF Loan Amortization'!$G$504,IF(AND($C232&gt;='TIF Loan Amortization'!$H$505,$C232&lt;='TIF Loan Amortization'!I$505),'TIF Loan Amortization'!$G$505,IF(AND($C232&gt;='TIF Loan Amortization'!$H$506,$C232&lt;='TIF Loan Amortization'!I$506),'TIF Loan Amortization'!$G$506,IF(AND($C232&gt;='TIF Loan Amortization'!$H$507,$C232&lt;='TIF Loan Amortization'!I$507),'TIF Loan Amortization'!$G$507,IF(AND($C232&gt;='TIF Loan Amortization'!$H$508,$C232&lt;='TIF Loan Amortization'!I$508),'TIF Loan Amortization'!$G$508,IF(AND($C232&gt;='TIF Loan Amortization'!$H$509,$C232&lt;='TIF Loan Amortization'!I$509),'TIF Loan Amortization'!$G$509,IF(AND($C232&gt;='TIF Loan Amortization'!$H$510,$C232&lt;='TIF Loan Amortization'!I$510),'TIF Loan Amortization'!$G$510,IF(AND($C232&gt;='TIF Loan Amortization'!$H$511,$C232&lt;='TIF Loan Amortization'!I$511),'TIF Loan Amortization'!$G$511,IF(AND($C232&gt;='TIF Loan Amortization'!$H$512,$C232&lt;='TIF Loan Amortization'!I$512),'TIF Loan Amortization'!$G$512,IF(AND($C232&gt;='TIF Loan Amortization'!$H$513,$C232&lt;='TIF Loan Amortization'!I$513),'TIF Loan Amortization'!$G$513,IF(AND($C232&gt;='TIF Loan Amortization'!$H$514,$C232&lt;='TIF Loan Amortization'!I$514),'TIF Loan Amortization'!$G$514,IF(AND($C232&gt;='TIF Loan Amortization'!$H$515,$C232&lt;='TIF Loan Amortization'!I$515),'TIF Loan Amortization'!$G$515,IF(AND($C232&gt;='TIF Loan Amortization'!$H$516,$C232&lt;='TIF Loan Amortization'!I$516),'TIF Loan Amortization'!$G$516,IF(AND($C232&gt;='TIF Loan Amortization'!$H$517,$C232&lt;='TIF Loan Amortization'!I$517),'TIF Loan Amortization'!$G$517,IF(AND($C232&gt;='TIF Loan Amortization'!$H$518,$C232&lt;='TIF Loan Amortization'!I$518),'TIF Loan Amortization'!$G$518,IF(AND($C232&gt;='TIF Loan Amortization'!$H$519,$C232&lt;='TIF Loan Amortization'!I$519),'TIF Loan Amortization'!$G$519))))))))))))))))))))))))))))))))))))))))</f>
        <v>#N/A</v>
      </c>
      <c r="C232" s="269" t="e">
        <f t="shared" si="29"/>
        <v>#N/A</v>
      </c>
      <c r="D232" s="281" t="str">
        <f>IF($AG$424=1,$H$10+16,"")</f>
        <v/>
      </c>
      <c r="E232" s="274">
        <v>182</v>
      </c>
      <c r="F232" s="275" t="str">
        <f>VLOOKUP($AG$424,$AE$422:$AF$433,2)</f>
        <v>May</v>
      </c>
      <c r="G232" s="272">
        <f t="shared" si="30"/>
        <v>0</v>
      </c>
      <c r="H232" s="272">
        <f t="shared" si="33"/>
        <v>0</v>
      </c>
      <c r="I232" s="272">
        <f t="shared" si="34"/>
        <v>0</v>
      </c>
      <c r="J232" s="272">
        <f t="shared" si="31"/>
        <v>0</v>
      </c>
      <c r="K232" s="272">
        <f>IF(ISTEXT($M$4),"",SUM(I$50:I232))</f>
        <v>0</v>
      </c>
      <c r="L232" s="272">
        <f>IF(ISTEXT($M$4),"",SUM(J$50:J232))</f>
        <v>0</v>
      </c>
      <c r="M232" s="271">
        <f t="shared" si="32"/>
        <v>0</v>
      </c>
      <c r="N232" s="291" t="e">
        <f>IF(C232='Operating Assumptions'!$C$48,"Construction Finish","")</f>
        <v>#N/A</v>
      </c>
      <c r="O232" s="291"/>
      <c r="P232" s="291"/>
      <c r="Q232" s="291"/>
      <c r="R232" s="291"/>
      <c r="S232" s="291"/>
      <c r="T232" s="280"/>
      <c r="U232" s="280"/>
      <c r="V232" s="286"/>
      <c r="W232" s="286"/>
      <c r="X232" s="286"/>
      <c r="Y232" s="280"/>
      <c r="Z232" s="279"/>
      <c r="AA232" s="279"/>
      <c r="AB232" s="279"/>
    </row>
    <row r="233" spans="2:28" s="278" customFormat="1" ht="13.5" hidden="1" outlineLevel="1" x14ac:dyDescent="0.25">
      <c r="B233" s="270" t="e">
        <f>IF(AND($C233&gt;='TIF Loan Amortization'!$H$480,$C233&lt;='TIF Loan Amortization'!$I$480),'TIF Loan Amortization'!$G$480,IF(AND($C233&gt;='TIF Loan Amortization'!$H$481,$C233&lt;='TIF Loan Amortization'!I$481),'TIF Loan Amortization'!$G$481,IF(AND($C233&gt;='TIF Loan Amortization'!$H$482,$C233&lt;='TIF Loan Amortization'!I$482),'TIF Loan Amortization'!$G$482,IF(AND($C233&gt;='TIF Loan Amortization'!$H$483,$C233&lt;='TIF Loan Amortization'!I$483),'TIF Loan Amortization'!$G$483,IF(AND($C233&gt;='TIF Loan Amortization'!$H$484,$C233&lt;='TIF Loan Amortization'!I$484),'TIF Loan Amortization'!$G$484,IF(AND($C233&gt;='TIF Loan Amortization'!$H$485,$C233&lt;='TIF Loan Amortization'!I$485),'TIF Loan Amortization'!$G$485,IF(AND($C233&gt;='TIF Loan Amortization'!$H$486,$C233&lt;='TIF Loan Amortization'!I$486),'TIF Loan Amortization'!$G$486,IF(AND($C233&gt;='TIF Loan Amortization'!$H$487,$C233&lt;='TIF Loan Amortization'!I$487),'TIF Loan Amortization'!$G$487,IF(AND($C233&gt;='TIF Loan Amortization'!$H$488,$C233&lt;='TIF Loan Amortization'!I$488),'TIF Loan Amortization'!$G$488,IF(AND($C233&gt;='TIF Loan Amortization'!$H$489,$C233&lt;='TIF Loan Amortization'!I$489),'TIF Loan Amortization'!$G$489,IF(AND($C233&gt;='TIF Loan Amortization'!$H$490,$C233&lt;='TIF Loan Amortization'!I$490),'TIF Loan Amortization'!$G$490,IF(AND($C233&gt;='TIF Loan Amortization'!$H$491,$C233&lt;='TIF Loan Amortization'!I$491),'TIF Loan Amortization'!$G$491,IF(AND($C233&gt;='TIF Loan Amortization'!$H$492,$C233&lt;='TIF Loan Amortization'!I$492),'TIF Loan Amortization'!$G$492,IF(AND($C233&gt;='TIF Loan Amortization'!$H$493,$C233&lt;='TIF Loan Amortization'!I$493),'TIF Loan Amortization'!$G$493,IF(AND($C233&gt;='TIF Loan Amortization'!$H$494,$C233&lt;='TIF Loan Amortization'!I$494),'TIF Loan Amortization'!$G$494,IF(AND($C233&gt;='TIF Loan Amortization'!$H$495,$C233&lt;='TIF Loan Amortization'!I$495),'TIF Loan Amortization'!$G$495,IF(AND($C233&gt;='TIF Loan Amortization'!$H$496,$C233&lt;='TIF Loan Amortization'!I$496),'TIF Loan Amortization'!$G$496,IF(AND($C233&gt;='TIF Loan Amortization'!$H$497,$C233&lt;='TIF Loan Amortization'!I$497),'TIF Loan Amortization'!$G$497,IF(AND($C233&gt;='TIF Loan Amortization'!$H$498,$C233&lt;='TIF Loan Amortization'!I$498),'TIF Loan Amortization'!$G$498,IF(AND($C233&gt;='TIF Loan Amortization'!$H$499,$C233&lt;='TIF Loan Amortization'!I$499),'TIF Loan Amortization'!$G$499,IF(AND($C233&gt;='TIF Loan Amortization'!$H$500,$C233&lt;='TIF Loan Amortization'!I$500),'TIF Loan Amortization'!$G$500,IF(AND($C233&gt;='TIF Loan Amortization'!$H$501,$C233&lt;='TIF Loan Amortization'!I$501),'TIF Loan Amortization'!$G$501,IF(AND($C233&gt;='TIF Loan Amortization'!$H$502,$C233&lt;='TIF Loan Amortization'!I$502),'TIF Loan Amortization'!$G$502,IF(AND($C233&gt;='TIF Loan Amortization'!$H$503,$C233&lt;='TIF Loan Amortization'!I$503),'TIF Loan Amortization'!$G$503,IF(AND($C233&gt;='TIF Loan Amortization'!$H$504,$C233&lt;='TIF Loan Amortization'!I$504),'TIF Loan Amortization'!$G$504,IF(AND($C233&gt;='TIF Loan Amortization'!$H$505,$C233&lt;='TIF Loan Amortization'!I$505),'TIF Loan Amortization'!$G$505,IF(AND($C233&gt;='TIF Loan Amortization'!$H$506,$C233&lt;='TIF Loan Amortization'!I$506),'TIF Loan Amortization'!$G$506,IF(AND($C233&gt;='TIF Loan Amortization'!$H$507,$C233&lt;='TIF Loan Amortization'!I$507),'TIF Loan Amortization'!$G$507,IF(AND($C233&gt;='TIF Loan Amortization'!$H$508,$C233&lt;='TIF Loan Amortization'!I$508),'TIF Loan Amortization'!$G$508,IF(AND($C233&gt;='TIF Loan Amortization'!$H$509,$C233&lt;='TIF Loan Amortization'!I$509),'TIF Loan Amortization'!$G$509,IF(AND($C233&gt;='TIF Loan Amortization'!$H$510,$C233&lt;='TIF Loan Amortization'!I$510),'TIF Loan Amortization'!$G$510,IF(AND($C233&gt;='TIF Loan Amortization'!$H$511,$C233&lt;='TIF Loan Amortization'!I$511),'TIF Loan Amortization'!$G$511,IF(AND($C233&gt;='TIF Loan Amortization'!$H$512,$C233&lt;='TIF Loan Amortization'!I$512),'TIF Loan Amortization'!$G$512,IF(AND($C233&gt;='TIF Loan Amortization'!$H$513,$C233&lt;='TIF Loan Amortization'!I$513),'TIF Loan Amortization'!$G$513,IF(AND($C233&gt;='TIF Loan Amortization'!$H$514,$C233&lt;='TIF Loan Amortization'!I$514),'TIF Loan Amortization'!$G$514,IF(AND($C233&gt;='TIF Loan Amortization'!$H$515,$C233&lt;='TIF Loan Amortization'!I$515),'TIF Loan Amortization'!$G$515,IF(AND($C233&gt;='TIF Loan Amortization'!$H$516,$C233&lt;='TIF Loan Amortization'!I$516),'TIF Loan Amortization'!$G$516,IF(AND($C233&gt;='TIF Loan Amortization'!$H$517,$C233&lt;='TIF Loan Amortization'!I$517),'TIF Loan Amortization'!$G$517,IF(AND($C233&gt;='TIF Loan Amortization'!$H$518,$C233&lt;='TIF Loan Amortization'!I$518),'TIF Loan Amortization'!$G$518,IF(AND($C233&gt;='TIF Loan Amortization'!$H$519,$C233&lt;='TIF Loan Amortization'!I$519),'TIF Loan Amortization'!$G$519))))))))))))))))))))))))))))))))))))))))</f>
        <v>#N/A</v>
      </c>
      <c r="C233" s="269" t="e">
        <f t="shared" si="29"/>
        <v>#N/A</v>
      </c>
      <c r="D233" s="281" t="str">
        <f>IF($AG$425=1,$H$10+16,"")</f>
        <v/>
      </c>
      <c r="E233" s="274">
        <v>183</v>
      </c>
      <c r="F233" s="275" t="str">
        <f>VLOOKUP($AG$425,$AE$422:$AF$433,2)</f>
        <v>Jun</v>
      </c>
      <c r="G233" s="272">
        <f t="shared" si="30"/>
        <v>0</v>
      </c>
      <c r="H233" s="272">
        <f t="shared" si="33"/>
        <v>0</v>
      </c>
      <c r="I233" s="272">
        <f t="shared" si="34"/>
        <v>0</v>
      </c>
      <c r="J233" s="272">
        <f t="shared" si="31"/>
        <v>0</v>
      </c>
      <c r="K233" s="272">
        <f>IF(ISTEXT($M$4),"",SUM(I$50:I233))</f>
        <v>0</v>
      </c>
      <c r="L233" s="272">
        <f>IF(ISTEXT($M$4),"",SUM(J$50:J233))</f>
        <v>0</v>
      </c>
      <c r="M233" s="271">
        <f t="shared" si="32"/>
        <v>0</v>
      </c>
      <c r="N233" s="291" t="e">
        <f>IF(C233='Operating Assumptions'!$C$48,"Construction Finish","")</f>
        <v>#N/A</v>
      </c>
      <c r="O233" s="291"/>
      <c r="P233" s="291"/>
      <c r="Q233" s="291"/>
      <c r="R233" s="291"/>
      <c r="S233" s="291"/>
      <c r="T233" s="280"/>
      <c r="U233" s="280"/>
      <c r="V233" s="286"/>
      <c r="W233" s="286"/>
      <c r="X233" s="286"/>
      <c r="Y233" s="280"/>
      <c r="Z233" s="279"/>
      <c r="AA233" s="279"/>
      <c r="AB233" s="279"/>
    </row>
    <row r="234" spans="2:28" s="278" customFormat="1" ht="13.5" hidden="1" outlineLevel="1" x14ac:dyDescent="0.25">
      <c r="B234" s="270" t="e">
        <f>IF(AND($C234&gt;='TIF Loan Amortization'!$H$480,$C234&lt;='TIF Loan Amortization'!$I$480),'TIF Loan Amortization'!$G$480,IF(AND($C234&gt;='TIF Loan Amortization'!$H$481,$C234&lt;='TIF Loan Amortization'!I$481),'TIF Loan Amortization'!$G$481,IF(AND($C234&gt;='TIF Loan Amortization'!$H$482,$C234&lt;='TIF Loan Amortization'!I$482),'TIF Loan Amortization'!$G$482,IF(AND($C234&gt;='TIF Loan Amortization'!$H$483,$C234&lt;='TIF Loan Amortization'!I$483),'TIF Loan Amortization'!$G$483,IF(AND($C234&gt;='TIF Loan Amortization'!$H$484,$C234&lt;='TIF Loan Amortization'!I$484),'TIF Loan Amortization'!$G$484,IF(AND($C234&gt;='TIF Loan Amortization'!$H$485,$C234&lt;='TIF Loan Amortization'!I$485),'TIF Loan Amortization'!$G$485,IF(AND($C234&gt;='TIF Loan Amortization'!$H$486,$C234&lt;='TIF Loan Amortization'!I$486),'TIF Loan Amortization'!$G$486,IF(AND($C234&gt;='TIF Loan Amortization'!$H$487,$C234&lt;='TIF Loan Amortization'!I$487),'TIF Loan Amortization'!$G$487,IF(AND($C234&gt;='TIF Loan Amortization'!$H$488,$C234&lt;='TIF Loan Amortization'!I$488),'TIF Loan Amortization'!$G$488,IF(AND($C234&gt;='TIF Loan Amortization'!$H$489,$C234&lt;='TIF Loan Amortization'!I$489),'TIF Loan Amortization'!$G$489,IF(AND($C234&gt;='TIF Loan Amortization'!$H$490,$C234&lt;='TIF Loan Amortization'!I$490),'TIF Loan Amortization'!$G$490,IF(AND($C234&gt;='TIF Loan Amortization'!$H$491,$C234&lt;='TIF Loan Amortization'!I$491),'TIF Loan Amortization'!$G$491,IF(AND($C234&gt;='TIF Loan Amortization'!$H$492,$C234&lt;='TIF Loan Amortization'!I$492),'TIF Loan Amortization'!$G$492,IF(AND($C234&gt;='TIF Loan Amortization'!$H$493,$C234&lt;='TIF Loan Amortization'!I$493),'TIF Loan Amortization'!$G$493,IF(AND($C234&gt;='TIF Loan Amortization'!$H$494,$C234&lt;='TIF Loan Amortization'!I$494),'TIF Loan Amortization'!$G$494,IF(AND($C234&gt;='TIF Loan Amortization'!$H$495,$C234&lt;='TIF Loan Amortization'!I$495),'TIF Loan Amortization'!$G$495,IF(AND($C234&gt;='TIF Loan Amortization'!$H$496,$C234&lt;='TIF Loan Amortization'!I$496),'TIF Loan Amortization'!$G$496,IF(AND($C234&gt;='TIF Loan Amortization'!$H$497,$C234&lt;='TIF Loan Amortization'!I$497),'TIF Loan Amortization'!$G$497,IF(AND($C234&gt;='TIF Loan Amortization'!$H$498,$C234&lt;='TIF Loan Amortization'!I$498),'TIF Loan Amortization'!$G$498,IF(AND($C234&gt;='TIF Loan Amortization'!$H$499,$C234&lt;='TIF Loan Amortization'!I$499),'TIF Loan Amortization'!$G$499,IF(AND($C234&gt;='TIF Loan Amortization'!$H$500,$C234&lt;='TIF Loan Amortization'!I$500),'TIF Loan Amortization'!$G$500,IF(AND($C234&gt;='TIF Loan Amortization'!$H$501,$C234&lt;='TIF Loan Amortization'!I$501),'TIF Loan Amortization'!$G$501,IF(AND($C234&gt;='TIF Loan Amortization'!$H$502,$C234&lt;='TIF Loan Amortization'!I$502),'TIF Loan Amortization'!$G$502,IF(AND($C234&gt;='TIF Loan Amortization'!$H$503,$C234&lt;='TIF Loan Amortization'!I$503),'TIF Loan Amortization'!$G$503,IF(AND($C234&gt;='TIF Loan Amortization'!$H$504,$C234&lt;='TIF Loan Amortization'!I$504),'TIF Loan Amortization'!$G$504,IF(AND($C234&gt;='TIF Loan Amortization'!$H$505,$C234&lt;='TIF Loan Amortization'!I$505),'TIF Loan Amortization'!$G$505,IF(AND($C234&gt;='TIF Loan Amortization'!$H$506,$C234&lt;='TIF Loan Amortization'!I$506),'TIF Loan Amortization'!$G$506,IF(AND($C234&gt;='TIF Loan Amortization'!$H$507,$C234&lt;='TIF Loan Amortization'!I$507),'TIF Loan Amortization'!$G$507,IF(AND($C234&gt;='TIF Loan Amortization'!$H$508,$C234&lt;='TIF Loan Amortization'!I$508),'TIF Loan Amortization'!$G$508,IF(AND($C234&gt;='TIF Loan Amortization'!$H$509,$C234&lt;='TIF Loan Amortization'!I$509),'TIF Loan Amortization'!$G$509,IF(AND($C234&gt;='TIF Loan Amortization'!$H$510,$C234&lt;='TIF Loan Amortization'!I$510),'TIF Loan Amortization'!$G$510,IF(AND($C234&gt;='TIF Loan Amortization'!$H$511,$C234&lt;='TIF Loan Amortization'!I$511),'TIF Loan Amortization'!$G$511,IF(AND($C234&gt;='TIF Loan Amortization'!$H$512,$C234&lt;='TIF Loan Amortization'!I$512),'TIF Loan Amortization'!$G$512,IF(AND($C234&gt;='TIF Loan Amortization'!$H$513,$C234&lt;='TIF Loan Amortization'!I$513),'TIF Loan Amortization'!$G$513,IF(AND($C234&gt;='TIF Loan Amortization'!$H$514,$C234&lt;='TIF Loan Amortization'!I$514),'TIF Loan Amortization'!$G$514,IF(AND($C234&gt;='TIF Loan Amortization'!$H$515,$C234&lt;='TIF Loan Amortization'!I$515),'TIF Loan Amortization'!$G$515,IF(AND($C234&gt;='TIF Loan Amortization'!$H$516,$C234&lt;='TIF Loan Amortization'!I$516),'TIF Loan Amortization'!$G$516,IF(AND($C234&gt;='TIF Loan Amortization'!$H$517,$C234&lt;='TIF Loan Amortization'!I$517),'TIF Loan Amortization'!$G$517,IF(AND($C234&gt;='TIF Loan Amortization'!$H$518,$C234&lt;='TIF Loan Amortization'!I$518),'TIF Loan Amortization'!$G$518,IF(AND($C234&gt;='TIF Loan Amortization'!$H$519,$C234&lt;='TIF Loan Amortization'!I$519),'TIF Loan Amortization'!$G$519))))))))))))))))))))))))))))))))))))))))</f>
        <v>#N/A</v>
      </c>
      <c r="C234" s="269" t="e">
        <f t="shared" si="29"/>
        <v>#N/A</v>
      </c>
      <c r="D234" s="281" t="str">
        <f>IF($AG$426=1,$H$10+16,"")</f>
        <v/>
      </c>
      <c r="E234" s="274">
        <v>184</v>
      </c>
      <c r="F234" s="275" t="str">
        <f>VLOOKUP($AG$426,$AE$422:$AF$433,2)</f>
        <v>Jul</v>
      </c>
      <c r="G234" s="272">
        <f t="shared" si="30"/>
        <v>0</v>
      </c>
      <c r="H234" s="272">
        <f t="shared" si="33"/>
        <v>0</v>
      </c>
      <c r="I234" s="272">
        <f t="shared" si="34"/>
        <v>0</v>
      </c>
      <c r="J234" s="272">
        <f t="shared" si="31"/>
        <v>0</v>
      </c>
      <c r="K234" s="272">
        <f>IF(ISTEXT($M$4),"",SUM(I$50:I234))</f>
        <v>0</v>
      </c>
      <c r="L234" s="272">
        <f>IF(ISTEXT($M$4),"",SUM(J$50:J234))</f>
        <v>0</v>
      </c>
      <c r="M234" s="271">
        <f t="shared" si="32"/>
        <v>0</v>
      </c>
      <c r="N234" s="291" t="e">
        <f>IF(C234='Operating Assumptions'!$C$48,"Construction Finish","")</f>
        <v>#N/A</v>
      </c>
      <c r="O234" s="291"/>
      <c r="P234" s="291"/>
      <c r="Q234" s="291"/>
      <c r="R234" s="291"/>
      <c r="S234" s="291"/>
      <c r="T234" s="280"/>
      <c r="U234" s="280"/>
      <c r="V234" s="286"/>
      <c r="W234" s="286"/>
      <c r="X234" s="286"/>
      <c r="Y234" s="280"/>
      <c r="Z234" s="279"/>
      <c r="AA234" s="279"/>
      <c r="AB234" s="279"/>
    </row>
    <row r="235" spans="2:28" s="278" customFormat="1" ht="13.5" hidden="1" outlineLevel="1" x14ac:dyDescent="0.25">
      <c r="B235" s="270" t="e">
        <f>IF(AND($C235&gt;='TIF Loan Amortization'!$H$480,$C235&lt;='TIF Loan Amortization'!$I$480),'TIF Loan Amortization'!$G$480,IF(AND($C235&gt;='TIF Loan Amortization'!$H$481,$C235&lt;='TIF Loan Amortization'!I$481),'TIF Loan Amortization'!$G$481,IF(AND($C235&gt;='TIF Loan Amortization'!$H$482,$C235&lt;='TIF Loan Amortization'!I$482),'TIF Loan Amortization'!$G$482,IF(AND($C235&gt;='TIF Loan Amortization'!$H$483,$C235&lt;='TIF Loan Amortization'!I$483),'TIF Loan Amortization'!$G$483,IF(AND($C235&gt;='TIF Loan Amortization'!$H$484,$C235&lt;='TIF Loan Amortization'!I$484),'TIF Loan Amortization'!$G$484,IF(AND($C235&gt;='TIF Loan Amortization'!$H$485,$C235&lt;='TIF Loan Amortization'!I$485),'TIF Loan Amortization'!$G$485,IF(AND($C235&gt;='TIF Loan Amortization'!$H$486,$C235&lt;='TIF Loan Amortization'!I$486),'TIF Loan Amortization'!$G$486,IF(AND($C235&gt;='TIF Loan Amortization'!$H$487,$C235&lt;='TIF Loan Amortization'!I$487),'TIF Loan Amortization'!$G$487,IF(AND($C235&gt;='TIF Loan Amortization'!$H$488,$C235&lt;='TIF Loan Amortization'!I$488),'TIF Loan Amortization'!$G$488,IF(AND($C235&gt;='TIF Loan Amortization'!$H$489,$C235&lt;='TIF Loan Amortization'!I$489),'TIF Loan Amortization'!$G$489,IF(AND($C235&gt;='TIF Loan Amortization'!$H$490,$C235&lt;='TIF Loan Amortization'!I$490),'TIF Loan Amortization'!$G$490,IF(AND($C235&gt;='TIF Loan Amortization'!$H$491,$C235&lt;='TIF Loan Amortization'!I$491),'TIF Loan Amortization'!$G$491,IF(AND($C235&gt;='TIF Loan Amortization'!$H$492,$C235&lt;='TIF Loan Amortization'!I$492),'TIF Loan Amortization'!$G$492,IF(AND($C235&gt;='TIF Loan Amortization'!$H$493,$C235&lt;='TIF Loan Amortization'!I$493),'TIF Loan Amortization'!$G$493,IF(AND($C235&gt;='TIF Loan Amortization'!$H$494,$C235&lt;='TIF Loan Amortization'!I$494),'TIF Loan Amortization'!$G$494,IF(AND($C235&gt;='TIF Loan Amortization'!$H$495,$C235&lt;='TIF Loan Amortization'!I$495),'TIF Loan Amortization'!$G$495,IF(AND($C235&gt;='TIF Loan Amortization'!$H$496,$C235&lt;='TIF Loan Amortization'!I$496),'TIF Loan Amortization'!$G$496,IF(AND($C235&gt;='TIF Loan Amortization'!$H$497,$C235&lt;='TIF Loan Amortization'!I$497),'TIF Loan Amortization'!$G$497,IF(AND($C235&gt;='TIF Loan Amortization'!$H$498,$C235&lt;='TIF Loan Amortization'!I$498),'TIF Loan Amortization'!$G$498,IF(AND($C235&gt;='TIF Loan Amortization'!$H$499,$C235&lt;='TIF Loan Amortization'!I$499),'TIF Loan Amortization'!$G$499,IF(AND($C235&gt;='TIF Loan Amortization'!$H$500,$C235&lt;='TIF Loan Amortization'!I$500),'TIF Loan Amortization'!$G$500,IF(AND($C235&gt;='TIF Loan Amortization'!$H$501,$C235&lt;='TIF Loan Amortization'!I$501),'TIF Loan Amortization'!$G$501,IF(AND($C235&gt;='TIF Loan Amortization'!$H$502,$C235&lt;='TIF Loan Amortization'!I$502),'TIF Loan Amortization'!$G$502,IF(AND($C235&gt;='TIF Loan Amortization'!$H$503,$C235&lt;='TIF Loan Amortization'!I$503),'TIF Loan Amortization'!$G$503,IF(AND($C235&gt;='TIF Loan Amortization'!$H$504,$C235&lt;='TIF Loan Amortization'!I$504),'TIF Loan Amortization'!$G$504,IF(AND($C235&gt;='TIF Loan Amortization'!$H$505,$C235&lt;='TIF Loan Amortization'!I$505),'TIF Loan Amortization'!$G$505,IF(AND($C235&gt;='TIF Loan Amortization'!$H$506,$C235&lt;='TIF Loan Amortization'!I$506),'TIF Loan Amortization'!$G$506,IF(AND($C235&gt;='TIF Loan Amortization'!$H$507,$C235&lt;='TIF Loan Amortization'!I$507),'TIF Loan Amortization'!$G$507,IF(AND($C235&gt;='TIF Loan Amortization'!$H$508,$C235&lt;='TIF Loan Amortization'!I$508),'TIF Loan Amortization'!$G$508,IF(AND($C235&gt;='TIF Loan Amortization'!$H$509,$C235&lt;='TIF Loan Amortization'!I$509),'TIF Loan Amortization'!$G$509,IF(AND($C235&gt;='TIF Loan Amortization'!$H$510,$C235&lt;='TIF Loan Amortization'!I$510),'TIF Loan Amortization'!$G$510,IF(AND($C235&gt;='TIF Loan Amortization'!$H$511,$C235&lt;='TIF Loan Amortization'!I$511),'TIF Loan Amortization'!$G$511,IF(AND($C235&gt;='TIF Loan Amortization'!$H$512,$C235&lt;='TIF Loan Amortization'!I$512),'TIF Loan Amortization'!$G$512,IF(AND($C235&gt;='TIF Loan Amortization'!$H$513,$C235&lt;='TIF Loan Amortization'!I$513),'TIF Loan Amortization'!$G$513,IF(AND($C235&gt;='TIF Loan Amortization'!$H$514,$C235&lt;='TIF Loan Amortization'!I$514),'TIF Loan Amortization'!$G$514,IF(AND($C235&gt;='TIF Loan Amortization'!$H$515,$C235&lt;='TIF Loan Amortization'!I$515),'TIF Loan Amortization'!$G$515,IF(AND($C235&gt;='TIF Loan Amortization'!$H$516,$C235&lt;='TIF Loan Amortization'!I$516),'TIF Loan Amortization'!$G$516,IF(AND($C235&gt;='TIF Loan Amortization'!$H$517,$C235&lt;='TIF Loan Amortization'!I$517),'TIF Loan Amortization'!$G$517,IF(AND($C235&gt;='TIF Loan Amortization'!$H$518,$C235&lt;='TIF Loan Amortization'!I$518),'TIF Loan Amortization'!$G$518,IF(AND($C235&gt;='TIF Loan Amortization'!$H$519,$C235&lt;='TIF Loan Amortization'!I$519),'TIF Loan Amortization'!$G$519))))))))))))))))))))))))))))))))))))))))</f>
        <v>#N/A</v>
      </c>
      <c r="C235" s="269" t="e">
        <f t="shared" si="29"/>
        <v>#N/A</v>
      </c>
      <c r="D235" s="281" t="str">
        <f>IF($AG$427=1,$H$10+16,"")</f>
        <v/>
      </c>
      <c r="E235" s="274">
        <v>185</v>
      </c>
      <c r="F235" s="275" t="str">
        <f>VLOOKUP($AG$427,$AE$422:$AF$433,2)</f>
        <v>Aug</v>
      </c>
      <c r="G235" s="272">
        <f t="shared" si="30"/>
        <v>0</v>
      </c>
      <c r="H235" s="272">
        <f t="shared" si="33"/>
        <v>0</v>
      </c>
      <c r="I235" s="272">
        <f t="shared" si="34"/>
        <v>0</v>
      </c>
      <c r="J235" s="272">
        <f t="shared" si="31"/>
        <v>0</v>
      </c>
      <c r="K235" s="272">
        <f>IF(ISTEXT($M$4),"",SUM(I$50:I235))</f>
        <v>0</v>
      </c>
      <c r="L235" s="272">
        <f>IF(ISTEXT($M$4),"",SUM(J$50:J235))</f>
        <v>0</v>
      </c>
      <c r="M235" s="271">
        <f t="shared" si="32"/>
        <v>0</v>
      </c>
      <c r="N235" s="291" t="e">
        <f>IF(C235='Operating Assumptions'!$C$48,"Construction Finish","")</f>
        <v>#N/A</v>
      </c>
      <c r="O235" s="291"/>
      <c r="P235" s="291"/>
      <c r="Q235" s="291"/>
      <c r="R235" s="291"/>
      <c r="S235" s="291"/>
      <c r="T235" s="280"/>
      <c r="U235" s="280"/>
      <c r="V235" s="286"/>
      <c r="W235" s="286"/>
      <c r="X235" s="286"/>
      <c r="Y235" s="280"/>
      <c r="Z235" s="279"/>
      <c r="AA235" s="279"/>
      <c r="AB235" s="279"/>
    </row>
    <row r="236" spans="2:28" s="278" customFormat="1" ht="13.5" hidden="1" outlineLevel="1" x14ac:dyDescent="0.25">
      <c r="B236" s="270" t="e">
        <f>IF(AND($C236&gt;='TIF Loan Amortization'!$H$480,$C236&lt;='TIF Loan Amortization'!$I$480),'TIF Loan Amortization'!$G$480,IF(AND($C236&gt;='TIF Loan Amortization'!$H$481,$C236&lt;='TIF Loan Amortization'!I$481),'TIF Loan Amortization'!$G$481,IF(AND($C236&gt;='TIF Loan Amortization'!$H$482,$C236&lt;='TIF Loan Amortization'!I$482),'TIF Loan Amortization'!$G$482,IF(AND($C236&gt;='TIF Loan Amortization'!$H$483,$C236&lt;='TIF Loan Amortization'!I$483),'TIF Loan Amortization'!$G$483,IF(AND($C236&gt;='TIF Loan Amortization'!$H$484,$C236&lt;='TIF Loan Amortization'!I$484),'TIF Loan Amortization'!$G$484,IF(AND($C236&gt;='TIF Loan Amortization'!$H$485,$C236&lt;='TIF Loan Amortization'!I$485),'TIF Loan Amortization'!$G$485,IF(AND($C236&gt;='TIF Loan Amortization'!$H$486,$C236&lt;='TIF Loan Amortization'!I$486),'TIF Loan Amortization'!$G$486,IF(AND($C236&gt;='TIF Loan Amortization'!$H$487,$C236&lt;='TIF Loan Amortization'!I$487),'TIF Loan Amortization'!$G$487,IF(AND($C236&gt;='TIF Loan Amortization'!$H$488,$C236&lt;='TIF Loan Amortization'!I$488),'TIF Loan Amortization'!$G$488,IF(AND($C236&gt;='TIF Loan Amortization'!$H$489,$C236&lt;='TIF Loan Amortization'!I$489),'TIF Loan Amortization'!$G$489,IF(AND($C236&gt;='TIF Loan Amortization'!$H$490,$C236&lt;='TIF Loan Amortization'!I$490),'TIF Loan Amortization'!$G$490,IF(AND($C236&gt;='TIF Loan Amortization'!$H$491,$C236&lt;='TIF Loan Amortization'!I$491),'TIF Loan Amortization'!$G$491,IF(AND($C236&gt;='TIF Loan Amortization'!$H$492,$C236&lt;='TIF Loan Amortization'!I$492),'TIF Loan Amortization'!$G$492,IF(AND($C236&gt;='TIF Loan Amortization'!$H$493,$C236&lt;='TIF Loan Amortization'!I$493),'TIF Loan Amortization'!$G$493,IF(AND($C236&gt;='TIF Loan Amortization'!$H$494,$C236&lt;='TIF Loan Amortization'!I$494),'TIF Loan Amortization'!$G$494,IF(AND($C236&gt;='TIF Loan Amortization'!$H$495,$C236&lt;='TIF Loan Amortization'!I$495),'TIF Loan Amortization'!$G$495,IF(AND($C236&gt;='TIF Loan Amortization'!$H$496,$C236&lt;='TIF Loan Amortization'!I$496),'TIF Loan Amortization'!$G$496,IF(AND($C236&gt;='TIF Loan Amortization'!$H$497,$C236&lt;='TIF Loan Amortization'!I$497),'TIF Loan Amortization'!$G$497,IF(AND($C236&gt;='TIF Loan Amortization'!$H$498,$C236&lt;='TIF Loan Amortization'!I$498),'TIF Loan Amortization'!$G$498,IF(AND($C236&gt;='TIF Loan Amortization'!$H$499,$C236&lt;='TIF Loan Amortization'!I$499),'TIF Loan Amortization'!$G$499,IF(AND($C236&gt;='TIF Loan Amortization'!$H$500,$C236&lt;='TIF Loan Amortization'!I$500),'TIF Loan Amortization'!$G$500,IF(AND($C236&gt;='TIF Loan Amortization'!$H$501,$C236&lt;='TIF Loan Amortization'!I$501),'TIF Loan Amortization'!$G$501,IF(AND($C236&gt;='TIF Loan Amortization'!$H$502,$C236&lt;='TIF Loan Amortization'!I$502),'TIF Loan Amortization'!$G$502,IF(AND($C236&gt;='TIF Loan Amortization'!$H$503,$C236&lt;='TIF Loan Amortization'!I$503),'TIF Loan Amortization'!$G$503,IF(AND($C236&gt;='TIF Loan Amortization'!$H$504,$C236&lt;='TIF Loan Amortization'!I$504),'TIF Loan Amortization'!$G$504,IF(AND($C236&gt;='TIF Loan Amortization'!$H$505,$C236&lt;='TIF Loan Amortization'!I$505),'TIF Loan Amortization'!$G$505,IF(AND($C236&gt;='TIF Loan Amortization'!$H$506,$C236&lt;='TIF Loan Amortization'!I$506),'TIF Loan Amortization'!$G$506,IF(AND($C236&gt;='TIF Loan Amortization'!$H$507,$C236&lt;='TIF Loan Amortization'!I$507),'TIF Loan Amortization'!$G$507,IF(AND($C236&gt;='TIF Loan Amortization'!$H$508,$C236&lt;='TIF Loan Amortization'!I$508),'TIF Loan Amortization'!$G$508,IF(AND($C236&gt;='TIF Loan Amortization'!$H$509,$C236&lt;='TIF Loan Amortization'!I$509),'TIF Loan Amortization'!$G$509,IF(AND($C236&gt;='TIF Loan Amortization'!$H$510,$C236&lt;='TIF Loan Amortization'!I$510),'TIF Loan Amortization'!$G$510,IF(AND($C236&gt;='TIF Loan Amortization'!$H$511,$C236&lt;='TIF Loan Amortization'!I$511),'TIF Loan Amortization'!$G$511,IF(AND($C236&gt;='TIF Loan Amortization'!$H$512,$C236&lt;='TIF Loan Amortization'!I$512),'TIF Loan Amortization'!$G$512,IF(AND($C236&gt;='TIF Loan Amortization'!$H$513,$C236&lt;='TIF Loan Amortization'!I$513),'TIF Loan Amortization'!$G$513,IF(AND($C236&gt;='TIF Loan Amortization'!$H$514,$C236&lt;='TIF Loan Amortization'!I$514),'TIF Loan Amortization'!$G$514,IF(AND($C236&gt;='TIF Loan Amortization'!$H$515,$C236&lt;='TIF Loan Amortization'!I$515),'TIF Loan Amortization'!$G$515,IF(AND($C236&gt;='TIF Loan Amortization'!$H$516,$C236&lt;='TIF Loan Amortization'!I$516),'TIF Loan Amortization'!$G$516,IF(AND($C236&gt;='TIF Loan Amortization'!$H$517,$C236&lt;='TIF Loan Amortization'!I$517),'TIF Loan Amortization'!$G$517,IF(AND($C236&gt;='TIF Loan Amortization'!$H$518,$C236&lt;='TIF Loan Amortization'!I$518),'TIF Loan Amortization'!$G$518,IF(AND($C236&gt;='TIF Loan Amortization'!$H$519,$C236&lt;='TIF Loan Amortization'!I$519),'TIF Loan Amortization'!$G$519))))))))))))))))))))))))))))))))))))))))</f>
        <v>#N/A</v>
      </c>
      <c r="C236" s="269" t="e">
        <f t="shared" si="29"/>
        <v>#N/A</v>
      </c>
      <c r="D236" s="281" t="str">
        <f>IF($AG$428=1,$H$10+16,"")</f>
        <v/>
      </c>
      <c r="E236" s="274">
        <v>186</v>
      </c>
      <c r="F236" s="275" t="str">
        <f>VLOOKUP($AG$428,$AE$422:$AF$433,2)</f>
        <v>Sep</v>
      </c>
      <c r="G236" s="272">
        <f t="shared" si="30"/>
        <v>0</v>
      </c>
      <c r="H236" s="272">
        <f t="shared" si="33"/>
        <v>0</v>
      </c>
      <c r="I236" s="272">
        <f t="shared" si="34"/>
        <v>0</v>
      </c>
      <c r="J236" s="272">
        <f t="shared" si="31"/>
        <v>0</v>
      </c>
      <c r="K236" s="272">
        <f>IF(ISTEXT($M$4),"",SUM(I$50:I236))</f>
        <v>0</v>
      </c>
      <c r="L236" s="272">
        <f>IF(ISTEXT($M$4),"",SUM(J$50:J236))</f>
        <v>0</v>
      </c>
      <c r="M236" s="271">
        <f t="shared" si="32"/>
        <v>0</v>
      </c>
      <c r="N236" s="291" t="e">
        <f>IF(C236='Operating Assumptions'!$C$48,"Construction Finish","")</f>
        <v>#N/A</v>
      </c>
      <c r="O236" s="291"/>
      <c r="P236" s="291"/>
      <c r="Q236" s="291"/>
      <c r="R236" s="291"/>
      <c r="S236" s="291"/>
      <c r="T236" s="280"/>
      <c r="U236" s="280"/>
      <c r="V236" s="286"/>
      <c r="W236" s="286"/>
      <c r="X236" s="286"/>
      <c r="Y236" s="280"/>
      <c r="Z236" s="279"/>
      <c r="AA236" s="279"/>
      <c r="AB236" s="279"/>
    </row>
    <row r="237" spans="2:28" s="278" customFormat="1" ht="13.5" hidden="1" outlineLevel="1" x14ac:dyDescent="0.25">
      <c r="B237" s="270" t="e">
        <f>IF(AND($C237&gt;='TIF Loan Amortization'!$H$480,$C237&lt;='TIF Loan Amortization'!$I$480),'TIF Loan Amortization'!$G$480,IF(AND($C237&gt;='TIF Loan Amortization'!$H$481,$C237&lt;='TIF Loan Amortization'!I$481),'TIF Loan Amortization'!$G$481,IF(AND($C237&gt;='TIF Loan Amortization'!$H$482,$C237&lt;='TIF Loan Amortization'!I$482),'TIF Loan Amortization'!$G$482,IF(AND($C237&gt;='TIF Loan Amortization'!$H$483,$C237&lt;='TIF Loan Amortization'!I$483),'TIF Loan Amortization'!$G$483,IF(AND($C237&gt;='TIF Loan Amortization'!$H$484,$C237&lt;='TIF Loan Amortization'!I$484),'TIF Loan Amortization'!$G$484,IF(AND($C237&gt;='TIF Loan Amortization'!$H$485,$C237&lt;='TIF Loan Amortization'!I$485),'TIF Loan Amortization'!$G$485,IF(AND($C237&gt;='TIF Loan Amortization'!$H$486,$C237&lt;='TIF Loan Amortization'!I$486),'TIF Loan Amortization'!$G$486,IF(AND($C237&gt;='TIF Loan Amortization'!$H$487,$C237&lt;='TIF Loan Amortization'!I$487),'TIF Loan Amortization'!$G$487,IF(AND($C237&gt;='TIF Loan Amortization'!$H$488,$C237&lt;='TIF Loan Amortization'!I$488),'TIF Loan Amortization'!$G$488,IF(AND($C237&gt;='TIF Loan Amortization'!$H$489,$C237&lt;='TIF Loan Amortization'!I$489),'TIF Loan Amortization'!$G$489,IF(AND($C237&gt;='TIF Loan Amortization'!$H$490,$C237&lt;='TIF Loan Amortization'!I$490),'TIF Loan Amortization'!$G$490,IF(AND($C237&gt;='TIF Loan Amortization'!$H$491,$C237&lt;='TIF Loan Amortization'!I$491),'TIF Loan Amortization'!$G$491,IF(AND($C237&gt;='TIF Loan Amortization'!$H$492,$C237&lt;='TIF Loan Amortization'!I$492),'TIF Loan Amortization'!$G$492,IF(AND($C237&gt;='TIF Loan Amortization'!$H$493,$C237&lt;='TIF Loan Amortization'!I$493),'TIF Loan Amortization'!$G$493,IF(AND($C237&gt;='TIF Loan Amortization'!$H$494,$C237&lt;='TIF Loan Amortization'!I$494),'TIF Loan Amortization'!$G$494,IF(AND($C237&gt;='TIF Loan Amortization'!$H$495,$C237&lt;='TIF Loan Amortization'!I$495),'TIF Loan Amortization'!$G$495,IF(AND($C237&gt;='TIF Loan Amortization'!$H$496,$C237&lt;='TIF Loan Amortization'!I$496),'TIF Loan Amortization'!$G$496,IF(AND($C237&gt;='TIF Loan Amortization'!$H$497,$C237&lt;='TIF Loan Amortization'!I$497),'TIF Loan Amortization'!$G$497,IF(AND($C237&gt;='TIF Loan Amortization'!$H$498,$C237&lt;='TIF Loan Amortization'!I$498),'TIF Loan Amortization'!$G$498,IF(AND($C237&gt;='TIF Loan Amortization'!$H$499,$C237&lt;='TIF Loan Amortization'!I$499),'TIF Loan Amortization'!$G$499,IF(AND($C237&gt;='TIF Loan Amortization'!$H$500,$C237&lt;='TIF Loan Amortization'!I$500),'TIF Loan Amortization'!$G$500,IF(AND($C237&gt;='TIF Loan Amortization'!$H$501,$C237&lt;='TIF Loan Amortization'!I$501),'TIF Loan Amortization'!$G$501,IF(AND($C237&gt;='TIF Loan Amortization'!$H$502,$C237&lt;='TIF Loan Amortization'!I$502),'TIF Loan Amortization'!$G$502,IF(AND($C237&gt;='TIF Loan Amortization'!$H$503,$C237&lt;='TIF Loan Amortization'!I$503),'TIF Loan Amortization'!$G$503,IF(AND($C237&gt;='TIF Loan Amortization'!$H$504,$C237&lt;='TIF Loan Amortization'!I$504),'TIF Loan Amortization'!$G$504,IF(AND($C237&gt;='TIF Loan Amortization'!$H$505,$C237&lt;='TIF Loan Amortization'!I$505),'TIF Loan Amortization'!$G$505,IF(AND($C237&gt;='TIF Loan Amortization'!$H$506,$C237&lt;='TIF Loan Amortization'!I$506),'TIF Loan Amortization'!$G$506,IF(AND($C237&gt;='TIF Loan Amortization'!$H$507,$C237&lt;='TIF Loan Amortization'!I$507),'TIF Loan Amortization'!$G$507,IF(AND($C237&gt;='TIF Loan Amortization'!$H$508,$C237&lt;='TIF Loan Amortization'!I$508),'TIF Loan Amortization'!$G$508,IF(AND($C237&gt;='TIF Loan Amortization'!$H$509,$C237&lt;='TIF Loan Amortization'!I$509),'TIF Loan Amortization'!$G$509,IF(AND($C237&gt;='TIF Loan Amortization'!$H$510,$C237&lt;='TIF Loan Amortization'!I$510),'TIF Loan Amortization'!$G$510,IF(AND($C237&gt;='TIF Loan Amortization'!$H$511,$C237&lt;='TIF Loan Amortization'!I$511),'TIF Loan Amortization'!$G$511,IF(AND($C237&gt;='TIF Loan Amortization'!$H$512,$C237&lt;='TIF Loan Amortization'!I$512),'TIF Loan Amortization'!$G$512,IF(AND($C237&gt;='TIF Loan Amortization'!$H$513,$C237&lt;='TIF Loan Amortization'!I$513),'TIF Loan Amortization'!$G$513,IF(AND($C237&gt;='TIF Loan Amortization'!$H$514,$C237&lt;='TIF Loan Amortization'!I$514),'TIF Loan Amortization'!$G$514,IF(AND($C237&gt;='TIF Loan Amortization'!$H$515,$C237&lt;='TIF Loan Amortization'!I$515),'TIF Loan Amortization'!$G$515,IF(AND($C237&gt;='TIF Loan Amortization'!$H$516,$C237&lt;='TIF Loan Amortization'!I$516),'TIF Loan Amortization'!$G$516,IF(AND($C237&gt;='TIF Loan Amortization'!$H$517,$C237&lt;='TIF Loan Amortization'!I$517),'TIF Loan Amortization'!$G$517,IF(AND($C237&gt;='TIF Loan Amortization'!$H$518,$C237&lt;='TIF Loan Amortization'!I$518),'TIF Loan Amortization'!$G$518,IF(AND($C237&gt;='TIF Loan Amortization'!$H$519,$C237&lt;='TIF Loan Amortization'!I$519),'TIF Loan Amortization'!$G$519))))))))))))))))))))))))))))))))))))))))</f>
        <v>#N/A</v>
      </c>
      <c r="C237" s="269" t="e">
        <f t="shared" si="29"/>
        <v>#N/A</v>
      </c>
      <c r="D237" s="281" t="str">
        <f>IF($AG$429=1,$H$10+16,"")</f>
        <v/>
      </c>
      <c r="E237" s="274">
        <v>187</v>
      </c>
      <c r="F237" s="275" t="str">
        <f>VLOOKUP($AG$429,$AE$422:$AF$433,2)</f>
        <v>Oct</v>
      </c>
      <c r="G237" s="272">
        <f t="shared" si="30"/>
        <v>0</v>
      </c>
      <c r="H237" s="272">
        <f t="shared" si="33"/>
        <v>0</v>
      </c>
      <c r="I237" s="272">
        <f t="shared" si="34"/>
        <v>0</v>
      </c>
      <c r="J237" s="272">
        <f t="shared" si="31"/>
        <v>0</v>
      </c>
      <c r="K237" s="272">
        <f>IF(ISTEXT($M$4),"",SUM(I$50:I237))</f>
        <v>0</v>
      </c>
      <c r="L237" s="272">
        <f>IF(ISTEXT($M$4),"",SUM(J$50:J237))</f>
        <v>0</v>
      </c>
      <c r="M237" s="271">
        <f t="shared" si="32"/>
        <v>0</v>
      </c>
      <c r="N237" s="291" t="e">
        <f>IF(C237='Operating Assumptions'!$C$48,"Construction Finish","")</f>
        <v>#N/A</v>
      </c>
      <c r="O237" s="291"/>
      <c r="P237" s="291"/>
      <c r="Q237" s="291"/>
      <c r="R237" s="291"/>
      <c r="S237" s="291"/>
      <c r="T237" s="280"/>
      <c r="U237" s="280"/>
      <c r="V237" s="286"/>
      <c r="W237" s="286"/>
      <c r="X237" s="286"/>
      <c r="Y237" s="280"/>
      <c r="Z237" s="279"/>
      <c r="AA237" s="279"/>
      <c r="AB237" s="279"/>
    </row>
    <row r="238" spans="2:28" s="278" customFormat="1" ht="13.5" hidden="1" outlineLevel="1" x14ac:dyDescent="0.25">
      <c r="B238" s="270" t="e">
        <f>IF(AND($C238&gt;='TIF Loan Amortization'!$H$480,$C238&lt;='TIF Loan Amortization'!$I$480),'TIF Loan Amortization'!$G$480,IF(AND($C238&gt;='TIF Loan Amortization'!$H$481,$C238&lt;='TIF Loan Amortization'!I$481),'TIF Loan Amortization'!$G$481,IF(AND($C238&gt;='TIF Loan Amortization'!$H$482,$C238&lt;='TIF Loan Amortization'!I$482),'TIF Loan Amortization'!$G$482,IF(AND($C238&gt;='TIF Loan Amortization'!$H$483,$C238&lt;='TIF Loan Amortization'!I$483),'TIF Loan Amortization'!$G$483,IF(AND($C238&gt;='TIF Loan Amortization'!$H$484,$C238&lt;='TIF Loan Amortization'!I$484),'TIF Loan Amortization'!$G$484,IF(AND($C238&gt;='TIF Loan Amortization'!$H$485,$C238&lt;='TIF Loan Amortization'!I$485),'TIF Loan Amortization'!$G$485,IF(AND($C238&gt;='TIF Loan Amortization'!$H$486,$C238&lt;='TIF Loan Amortization'!I$486),'TIF Loan Amortization'!$G$486,IF(AND($C238&gt;='TIF Loan Amortization'!$H$487,$C238&lt;='TIF Loan Amortization'!I$487),'TIF Loan Amortization'!$G$487,IF(AND($C238&gt;='TIF Loan Amortization'!$H$488,$C238&lt;='TIF Loan Amortization'!I$488),'TIF Loan Amortization'!$G$488,IF(AND($C238&gt;='TIF Loan Amortization'!$H$489,$C238&lt;='TIF Loan Amortization'!I$489),'TIF Loan Amortization'!$G$489,IF(AND($C238&gt;='TIF Loan Amortization'!$H$490,$C238&lt;='TIF Loan Amortization'!I$490),'TIF Loan Amortization'!$G$490,IF(AND($C238&gt;='TIF Loan Amortization'!$H$491,$C238&lt;='TIF Loan Amortization'!I$491),'TIF Loan Amortization'!$G$491,IF(AND($C238&gt;='TIF Loan Amortization'!$H$492,$C238&lt;='TIF Loan Amortization'!I$492),'TIF Loan Amortization'!$G$492,IF(AND($C238&gt;='TIF Loan Amortization'!$H$493,$C238&lt;='TIF Loan Amortization'!I$493),'TIF Loan Amortization'!$G$493,IF(AND($C238&gt;='TIF Loan Amortization'!$H$494,$C238&lt;='TIF Loan Amortization'!I$494),'TIF Loan Amortization'!$G$494,IF(AND($C238&gt;='TIF Loan Amortization'!$H$495,$C238&lt;='TIF Loan Amortization'!I$495),'TIF Loan Amortization'!$G$495,IF(AND($C238&gt;='TIF Loan Amortization'!$H$496,$C238&lt;='TIF Loan Amortization'!I$496),'TIF Loan Amortization'!$G$496,IF(AND($C238&gt;='TIF Loan Amortization'!$H$497,$C238&lt;='TIF Loan Amortization'!I$497),'TIF Loan Amortization'!$G$497,IF(AND($C238&gt;='TIF Loan Amortization'!$H$498,$C238&lt;='TIF Loan Amortization'!I$498),'TIF Loan Amortization'!$G$498,IF(AND($C238&gt;='TIF Loan Amortization'!$H$499,$C238&lt;='TIF Loan Amortization'!I$499),'TIF Loan Amortization'!$G$499,IF(AND($C238&gt;='TIF Loan Amortization'!$H$500,$C238&lt;='TIF Loan Amortization'!I$500),'TIF Loan Amortization'!$G$500,IF(AND($C238&gt;='TIF Loan Amortization'!$H$501,$C238&lt;='TIF Loan Amortization'!I$501),'TIF Loan Amortization'!$G$501,IF(AND($C238&gt;='TIF Loan Amortization'!$H$502,$C238&lt;='TIF Loan Amortization'!I$502),'TIF Loan Amortization'!$G$502,IF(AND($C238&gt;='TIF Loan Amortization'!$H$503,$C238&lt;='TIF Loan Amortization'!I$503),'TIF Loan Amortization'!$G$503,IF(AND($C238&gt;='TIF Loan Amortization'!$H$504,$C238&lt;='TIF Loan Amortization'!I$504),'TIF Loan Amortization'!$G$504,IF(AND($C238&gt;='TIF Loan Amortization'!$H$505,$C238&lt;='TIF Loan Amortization'!I$505),'TIF Loan Amortization'!$G$505,IF(AND($C238&gt;='TIF Loan Amortization'!$H$506,$C238&lt;='TIF Loan Amortization'!I$506),'TIF Loan Amortization'!$G$506,IF(AND($C238&gt;='TIF Loan Amortization'!$H$507,$C238&lt;='TIF Loan Amortization'!I$507),'TIF Loan Amortization'!$G$507,IF(AND($C238&gt;='TIF Loan Amortization'!$H$508,$C238&lt;='TIF Loan Amortization'!I$508),'TIF Loan Amortization'!$G$508,IF(AND($C238&gt;='TIF Loan Amortization'!$H$509,$C238&lt;='TIF Loan Amortization'!I$509),'TIF Loan Amortization'!$G$509,IF(AND($C238&gt;='TIF Loan Amortization'!$H$510,$C238&lt;='TIF Loan Amortization'!I$510),'TIF Loan Amortization'!$G$510,IF(AND($C238&gt;='TIF Loan Amortization'!$H$511,$C238&lt;='TIF Loan Amortization'!I$511),'TIF Loan Amortization'!$G$511,IF(AND($C238&gt;='TIF Loan Amortization'!$H$512,$C238&lt;='TIF Loan Amortization'!I$512),'TIF Loan Amortization'!$G$512,IF(AND($C238&gt;='TIF Loan Amortization'!$H$513,$C238&lt;='TIF Loan Amortization'!I$513),'TIF Loan Amortization'!$G$513,IF(AND($C238&gt;='TIF Loan Amortization'!$H$514,$C238&lt;='TIF Loan Amortization'!I$514),'TIF Loan Amortization'!$G$514,IF(AND($C238&gt;='TIF Loan Amortization'!$H$515,$C238&lt;='TIF Loan Amortization'!I$515),'TIF Loan Amortization'!$G$515,IF(AND($C238&gt;='TIF Loan Amortization'!$H$516,$C238&lt;='TIF Loan Amortization'!I$516),'TIF Loan Amortization'!$G$516,IF(AND($C238&gt;='TIF Loan Amortization'!$H$517,$C238&lt;='TIF Loan Amortization'!I$517),'TIF Loan Amortization'!$G$517,IF(AND($C238&gt;='TIF Loan Amortization'!$H$518,$C238&lt;='TIF Loan Amortization'!I$518),'TIF Loan Amortization'!$G$518,IF(AND($C238&gt;='TIF Loan Amortization'!$H$519,$C238&lt;='TIF Loan Amortization'!I$519),'TIF Loan Amortization'!$G$519))))))))))))))))))))))))))))))))))))))))</f>
        <v>#N/A</v>
      </c>
      <c r="C238" s="269" t="e">
        <f t="shared" si="29"/>
        <v>#N/A</v>
      </c>
      <c r="D238" s="281" t="str">
        <f>IF($AG$430=1,$H$10+16,"")</f>
        <v/>
      </c>
      <c r="E238" s="274">
        <v>188</v>
      </c>
      <c r="F238" s="275" t="str">
        <f>VLOOKUP($AG$430,$AE$422:$AF$433,2)</f>
        <v>Nov</v>
      </c>
      <c r="G238" s="272">
        <f t="shared" si="30"/>
        <v>0</v>
      </c>
      <c r="H238" s="272">
        <f t="shared" si="33"/>
        <v>0</v>
      </c>
      <c r="I238" s="272">
        <f t="shared" si="34"/>
        <v>0</v>
      </c>
      <c r="J238" s="272">
        <f t="shared" si="31"/>
        <v>0</v>
      </c>
      <c r="K238" s="272">
        <f>IF(ISTEXT($M$4),"",SUM(I$50:I238))</f>
        <v>0</v>
      </c>
      <c r="L238" s="272">
        <f>IF(ISTEXT($M$4),"",SUM(J$50:J238))</f>
        <v>0</v>
      </c>
      <c r="M238" s="271">
        <f t="shared" si="32"/>
        <v>0</v>
      </c>
      <c r="N238" s="291" t="e">
        <f>IF(C238='Operating Assumptions'!$C$48,"Construction Finish","")</f>
        <v>#N/A</v>
      </c>
      <c r="O238" s="291"/>
      <c r="P238" s="291"/>
      <c r="Q238" s="291"/>
      <c r="R238" s="291"/>
      <c r="S238" s="291"/>
      <c r="T238" s="280"/>
      <c r="U238" s="280"/>
      <c r="V238" s="286"/>
      <c r="W238" s="286"/>
      <c r="X238" s="286"/>
      <c r="Y238" s="280"/>
      <c r="Z238" s="279"/>
      <c r="AA238" s="279"/>
      <c r="AB238" s="279"/>
    </row>
    <row r="239" spans="2:28" s="278" customFormat="1" ht="13.5" hidden="1" outlineLevel="1" x14ac:dyDescent="0.25">
      <c r="B239" s="270" t="e">
        <f>IF(AND($C239&gt;='TIF Loan Amortization'!$H$480,$C239&lt;='TIF Loan Amortization'!$I$480),'TIF Loan Amortization'!$G$480,IF(AND($C239&gt;='TIF Loan Amortization'!$H$481,$C239&lt;='TIF Loan Amortization'!I$481),'TIF Loan Amortization'!$G$481,IF(AND($C239&gt;='TIF Loan Amortization'!$H$482,$C239&lt;='TIF Loan Amortization'!I$482),'TIF Loan Amortization'!$G$482,IF(AND($C239&gt;='TIF Loan Amortization'!$H$483,$C239&lt;='TIF Loan Amortization'!I$483),'TIF Loan Amortization'!$G$483,IF(AND($C239&gt;='TIF Loan Amortization'!$H$484,$C239&lt;='TIF Loan Amortization'!I$484),'TIF Loan Amortization'!$G$484,IF(AND($C239&gt;='TIF Loan Amortization'!$H$485,$C239&lt;='TIF Loan Amortization'!I$485),'TIF Loan Amortization'!$G$485,IF(AND($C239&gt;='TIF Loan Amortization'!$H$486,$C239&lt;='TIF Loan Amortization'!I$486),'TIF Loan Amortization'!$G$486,IF(AND($C239&gt;='TIF Loan Amortization'!$H$487,$C239&lt;='TIF Loan Amortization'!I$487),'TIF Loan Amortization'!$G$487,IF(AND($C239&gt;='TIF Loan Amortization'!$H$488,$C239&lt;='TIF Loan Amortization'!I$488),'TIF Loan Amortization'!$G$488,IF(AND($C239&gt;='TIF Loan Amortization'!$H$489,$C239&lt;='TIF Loan Amortization'!I$489),'TIF Loan Amortization'!$G$489,IF(AND($C239&gt;='TIF Loan Amortization'!$H$490,$C239&lt;='TIF Loan Amortization'!I$490),'TIF Loan Amortization'!$G$490,IF(AND($C239&gt;='TIF Loan Amortization'!$H$491,$C239&lt;='TIF Loan Amortization'!I$491),'TIF Loan Amortization'!$G$491,IF(AND($C239&gt;='TIF Loan Amortization'!$H$492,$C239&lt;='TIF Loan Amortization'!I$492),'TIF Loan Amortization'!$G$492,IF(AND($C239&gt;='TIF Loan Amortization'!$H$493,$C239&lt;='TIF Loan Amortization'!I$493),'TIF Loan Amortization'!$G$493,IF(AND($C239&gt;='TIF Loan Amortization'!$H$494,$C239&lt;='TIF Loan Amortization'!I$494),'TIF Loan Amortization'!$G$494,IF(AND($C239&gt;='TIF Loan Amortization'!$H$495,$C239&lt;='TIF Loan Amortization'!I$495),'TIF Loan Amortization'!$G$495,IF(AND($C239&gt;='TIF Loan Amortization'!$H$496,$C239&lt;='TIF Loan Amortization'!I$496),'TIF Loan Amortization'!$G$496,IF(AND($C239&gt;='TIF Loan Amortization'!$H$497,$C239&lt;='TIF Loan Amortization'!I$497),'TIF Loan Amortization'!$G$497,IF(AND($C239&gt;='TIF Loan Amortization'!$H$498,$C239&lt;='TIF Loan Amortization'!I$498),'TIF Loan Amortization'!$G$498,IF(AND($C239&gt;='TIF Loan Amortization'!$H$499,$C239&lt;='TIF Loan Amortization'!I$499),'TIF Loan Amortization'!$G$499,IF(AND($C239&gt;='TIF Loan Amortization'!$H$500,$C239&lt;='TIF Loan Amortization'!I$500),'TIF Loan Amortization'!$G$500,IF(AND($C239&gt;='TIF Loan Amortization'!$H$501,$C239&lt;='TIF Loan Amortization'!I$501),'TIF Loan Amortization'!$G$501,IF(AND($C239&gt;='TIF Loan Amortization'!$H$502,$C239&lt;='TIF Loan Amortization'!I$502),'TIF Loan Amortization'!$G$502,IF(AND($C239&gt;='TIF Loan Amortization'!$H$503,$C239&lt;='TIF Loan Amortization'!I$503),'TIF Loan Amortization'!$G$503,IF(AND($C239&gt;='TIF Loan Amortization'!$H$504,$C239&lt;='TIF Loan Amortization'!I$504),'TIF Loan Amortization'!$G$504,IF(AND($C239&gt;='TIF Loan Amortization'!$H$505,$C239&lt;='TIF Loan Amortization'!I$505),'TIF Loan Amortization'!$G$505,IF(AND($C239&gt;='TIF Loan Amortization'!$H$506,$C239&lt;='TIF Loan Amortization'!I$506),'TIF Loan Amortization'!$G$506,IF(AND($C239&gt;='TIF Loan Amortization'!$H$507,$C239&lt;='TIF Loan Amortization'!I$507),'TIF Loan Amortization'!$G$507,IF(AND($C239&gt;='TIF Loan Amortization'!$H$508,$C239&lt;='TIF Loan Amortization'!I$508),'TIF Loan Amortization'!$G$508,IF(AND($C239&gt;='TIF Loan Amortization'!$H$509,$C239&lt;='TIF Loan Amortization'!I$509),'TIF Loan Amortization'!$G$509,IF(AND($C239&gt;='TIF Loan Amortization'!$H$510,$C239&lt;='TIF Loan Amortization'!I$510),'TIF Loan Amortization'!$G$510,IF(AND($C239&gt;='TIF Loan Amortization'!$H$511,$C239&lt;='TIF Loan Amortization'!I$511),'TIF Loan Amortization'!$G$511,IF(AND($C239&gt;='TIF Loan Amortization'!$H$512,$C239&lt;='TIF Loan Amortization'!I$512),'TIF Loan Amortization'!$G$512,IF(AND($C239&gt;='TIF Loan Amortization'!$H$513,$C239&lt;='TIF Loan Amortization'!I$513),'TIF Loan Amortization'!$G$513,IF(AND($C239&gt;='TIF Loan Amortization'!$H$514,$C239&lt;='TIF Loan Amortization'!I$514),'TIF Loan Amortization'!$G$514,IF(AND($C239&gt;='TIF Loan Amortization'!$H$515,$C239&lt;='TIF Loan Amortization'!I$515),'TIF Loan Amortization'!$G$515,IF(AND($C239&gt;='TIF Loan Amortization'!$H$516,$C239&lt;='TIF Loan Amortization'!I$516),'TIF Loan Amortization'!$G$516,IF(AND($C239&gt;='TIF Loan Amortization'!$H$517,$C239&lt;='TIF Loan Amortization'!I$517),'TIF Loan Amortization'!$G$517,IF(AND($C239&gt;='TIF Loan Amortization'!$H$518,$C239&lt;='TIF Loan Amortization'!I$518),'TIF Loan Amortization'!$G$518,IF(AND($C239&gt;='TIF Loan Amortization'!$H$519,$C239&lt;='TIF Loan Amortization'!I$519),'TIF Loan Amortization'!$G$519))))))))))))))))))))))))))))))))))))))))</f>
        <v>#N/A</v>
      </c>
      <c r="C239" s="269" t="e">
        <f t="shared" si="29"/>
        <v>#N/A</v>
      </c>
      <c r="D239" s="281" t="str">
        <f>IF($AG$431=1,$H$10+16,"")</f>
        <v/>
      </c>
      <c r="E239" s="274">
        <v>189</v>
      </c>
      <c r="F239" s="275" t="str">
        <f>VLOOKUP($AG$431,$AE$422:$AF$433,2)</f>
        <v>Dec</v>
      </c>
      <c r="G239" s="272">
        <f t="shared" si="30"/>
        <v>0</v>
      </c>
      <c r="H239" s="272">
        <f t="shared" si="33"/>
        <v>0</v>
      </c>
      <c r="I239" s="272">
        <f t="shared" si="34"/>
        <v>0</v>
      </c>
      <c r="J239" s="272">
        <f t="shared" si="31"/>
        <v>0</v>
      </c>
      <c r="K239" s="272">
        <f>IF(ISTEXT($M$4),"",SUM(I$50:I239))</f>
        <v>0</v>
      </c>
      <c r="L239" s="272">
        <f>IF(ISTEXT($M$4),"",SUM(J$50:J239))</f>
        <v>0</v>
      </c>
      <c r="M239" s="271">
        <f t="shared" si="32"/>
        <v>0</v>
      </c>
      <c r="N239" s="291" t="e">
        <f>IF(C239='Operating Assumptions'!$C$48,"Construction Finish","")</f>
        <v>#N/A</v>
      </c>
      <c r="O239" s="291"/>
      <c r="P239" s="291"/>
      <c r="Q239" s="291"/>
      <c r="R239" s="291"/>
      <c r="S239" s="291"/>
      <c r="T239" s="280"/>
      <c r="U239" s="280"/>
      <c r="V239" s="286"/>
      <c r="W239" s="286"/>
      <c r="X239" s="286"/>
      <c r="Y239" s="280"/>
      <c r="Z239" s="279"/>
      <c r="AA239" s="279"/>
      <c r="AB239" s="279"/>
    </row>
    <row r="240" spans="2:28" s="278" customFormat="1" ht="13.5" hidden="1" outlineLevel="1" x14ac:dyDescent="0.25">
      <c r="B240" s="270" t="e">
        <f>IF(AND($C240&gt;='TIF Loan Amortization'!$H$480,$C240&lt;='TIF Loan Amortization'!$I$480),'TIF Loan Amortization'!$G$480,IF(AND($C240&gt;='TIF Loan Amortization'!$H$481,$C240&lt;='TIF Loan Amortization'!I$481),'TIF Loan Amortization'!$G$481,IF(AND($C240&gt;='TIF Loan Amortization'!$H$482,$C240&lt;='TIF Loan Amortization'!I$482),'TIF Loan Amortization'!$G$482,IF(AND($C240&gt;='TIF Loan Amortization'!$H$483,$C240&lt;='TIF Loan Amortization'!I$483),'TIF Loan Amortization'!$G$483,IF(AND($C240&gt;='TIF Loan Amortization'!$H$484,$C240&lt;='TIF Loan Amortization'!I$484),'TIF Loan Amortization'!$G$484,IF(AND($C240&gt;='TIF Loan Amortization'!$H$485,$C240&lt;='TIF Loan Amortization'!I$485),'TIF Loan Amortization'!$G$485,IF(AND($C240&gt;='TIF Loan Amortization'!$H$486,$C240&lt;='TIF Loan Amortization'!I$486),'TIF Loan Amortization'!$G$486,IF(AND($C240&gt;='TIF Loan Amortization'!$H$487,$C240&lt;='TIF Loan Amortization'!I$487),'TIF Loan Amortization'!$G$487,IF(AND($C240&gt;='TIF Loan Amortization'!$H$488,$C240&lt;='TIF Loan Amortization'!I$488),'TIF Loan Amortization'!$G$488,IF(AND($C240&gt;='TIF Loan Amortization'!$H$489,$C240&lt;='TIF Loan Amortization'!I$489),'TIF Loan Amortization'!$G$489,IF(AND($C240&gt;='TIF Loan Amortization'!$H$490,$C240&lt;='TIF Loan Amortization'!I$490),'TIF Loan Amortization'!$G$490,IF(AND($C240&gt;='TIF Loan Amortization'!$H$491,$C240&lt;='TIF Loan Amortization'!I$491),'TIF Loan Amortization'!$G$491,IF(AND($C240&gt;='TIF Loan Amortization'!$H$492,$C240&lt;='TIF Loan Amortization'!I$492),'TIF Loan Amortization'!$G$492,IF(AND($C240&gt;='TIF Loan Amortization'!$H$493,$C240&lt;='TIF Loan Amortization'!I$493),'TIF Loan Amortization'!$G$493,IF(AND($C240&gt;='TIF Loan Amortization'!$H$494,$C240&lt;='TIF Loan Amortization'!I$494),'TIF Loan Amortization'!$G$494,IF(AND($C240&gt;='TIF Loan Amortization'!$H$495,$C240&lt;='TIF Loan Amortization'!I$495),'TIF Loan Amortization'!$G$495,IF(AND($C240&gt;='TIF Loan Amortization'!$H$496,$C240&lt;='TIF Loan Amortization'!I$496),'TIF Loan Amortization'!$G$496,IF(AND($C240&gt;='TIF Loan Amortization'!$H$497,$C240&lt;='TIF Loan Amortization'!I$497),'TIF Loan Amortization'!$G$497,IF(AND($C240&gt;='TIF Loan Amortization'!$H$498,$C240&lt;='TIF Loan Amortization'!I$498),'TIF Loan Amortization'!$G$498,IF(AND($C240&gt;='TIF Loan Amortization'!$H$499,$C240&lt;='TIF Loan Amortization'!I$499),'TIF Loan Amortization'!$G$499,IF(AND($C240&gt;='TIF Loan Amortization'!$H$500,$C240&lt;='TIF Loan Amortization'!I$500),'TIF Loan Amortization'!$G$500,IF(AND($C240&gt;='TIF Loan Amortization'!$H$501,$C240&lt;='TIF Loan Amortization'!I$501),'TIF Loan Amortization'!$G$501,IF(AND($C240&gt;='TIF Loan Amortization'!$H$502,$C240&lt;='TIF Loan Amortization'!I$502),'TIF Loan Amortization'!$G$502,IF(AND($C240&gt;='TIF Loan Amortization'!$H$503,$C240&lt;='TIF Loan Amortization'!I$503),'TIF Loan Amortization'!$G$503,IF(AND($C240&gt;='TIF Loan Amortization'!$H$504,$C240&lt;='TIF Loan Amortization'!I$504),'TIF Loan Amortization'!$G$504,IF(AND($C240&gt;='TIF Loan Amortization'!$H$505,$C240&lt;='TIF Loan Amortization'!I$505),'TIF Loan Amortization'!$G$505,IF(AND($C240&gt;='TIF Loan Amortization'!$H$506,$C240&lt;='TIF Loan Amortization'!I$506),'TIF Loan Amortization'!$G$506,IF(AND($C240&gt;='TIF Loan Amortization'!$H$507,$C240&lt;='TIF Loan Amortization'!I$507),'TIF Loan Amortization'!$G$507,IF(AND($C240&gt;='TIF Loan Amortization'!$H$508,$C240&lt;='TIF Loan Amortization'!I$508),'TIF Loan Amortization'!$G$508,IF(AND($C240&gt;='TIF Loan Amortization'!$H$509,$C240&lt;='TIF Loan Amortization'!I$509),'TIF Loan Amortization'!$G$509,IF(AND($C240&gt;='TIF Loan Amortization'!$H$510,$C240&lt;='TIF Loan Amortization'!I$510),'TIF Loan Amortization'!$G$510,IF(AND($C240&gt;='TIF Loan Amortization'!$H$511,$C240&lt;='TIF Loan Amortization'!I$511),'TIF Loan Amortization'!$G$511,IF(AND($C240&gt;='TIF Loan Amortization'!$H$512,$C240&lt;='TIF Loan Amortization'!I$512),'TIF Loan Amortization'!$G$512,IF(AND($C240&gt;='TIF Loan Amortization'!$H$513,$C240&lt;='TIF Loan Amortization'!I$513),'TIF Loan Amortization'!$G$513,IF(AND($C240&gt;='TIF Loan Amortization'!$H$514,$C240&lt;='TIF Loan Amortization'!I$514),'TIF Loan Amortization'!$G$514,IF(AND($C240&gt;='TIF Loan Amortization'!$H$515,$C240&lt;='TIF Loan Amortization'!I$515),'TIF Loan Amortization'!$G$515,IF(AND($C240&gt;='TIF Loan Amortization'!$H$516,$C240&lt;='TIF Loan Amortization'!I$516),'TIF Loan Amortization'!$G$516,IF(AND($C240&gt;='TIF Loan Amortization'!$H$517,$C240&lt;='TIF Loan Amortization'!I$517),'TIF Loan Amortization'!$G$517,IF(AND($C240&gt;='TIF Loan Amortization'!$H$518,$C240&lt;='TIF Loan Amortization'!I$518),'TIF Loan Amortization'!$G$518,IF(AND($C240&gt;='TIF Loan Amortization'!$H$519,$C240&lt;='TIF Loan Amortization'!I$519),'TIF Loan Amortization'!$G$519))))))))))))))))))))))))))))))))))))))))</f>
        <v>#N/A</v>
      </c>
      <c r="C240" s="269" t="e">
        <f t="shared" si="29"/>
        <v>#N/A</v>
      </c>
      <c r="D240" s="281">
        <f>IF($AG$432=1,$H$10+16,"")</f>
        <v>2041</v>
      </c>
      <c r="E240" s="274">
        <v>190</v>
      </c>
      <c r="F240" s="273" t="str">
        <f>VLOOKUP($AG$432,$AE$422:$AF$433,2)</f>
        <v>Jan</v>
      </c>
      <c r="G240" s="272">
        <f t="shared" si="30"/>
        <v>0</v>
      </c>
      <c r="H240" s="272">
        <f t="shared" si="33"/>
        <v>0</v>
      </c>
      <c r="I240" s="272">
        <f t="shared" si="34"/>
        <v>0</v>
      </c>
      <c r="J240" s="272">
        <f t="shared" si="31"/>
        <v>0</v>
      </c>
      <c r="K240" s="272">
        <f>IF(ISTEXT($M$4),"",SUM(I$50:I240))</f>
        <v>0</v>
      </c>
      <c r="L240" s="272">
        <f>IF(ISTEXT($M$4),"",SUM(J$50:J240))</f>
        <v>0</v>
      </c>
      <c r="M240" s="271">
        <f t="shared" si="32"/>
        <v>0</v>
      </c>
      <c r="N240" s="291" t="e">
        <f>IF(C240='Operating Assumptions'!$C$48,"Construction Finish","")</f>
        <v>#N/A</v>
      </c>
      <c r="O240" s="291"/>
      <c r="P240" s="291"/>
      <c r="Q240" s="291"/>
      <c r="R240" s="291"/>
      <c r="S240" s="291"/>
      <c r="T240" s="280"/>
      <c r="U240" s="280"/>
      <c r="V240" s="286"/>
      <c r="W240" s="286"/>
      <c r="X240" s="286"/>
      <c r="Y240" s="280"/>
      <c r="Z240" s="279"/>
      <c r="AA240" s="279"/>
      <c r="AB240" s="279"/>
    </row>
    <row r="241" spans="2:28" s="278" customFormat="1" ht="13.5" hidden="1" outlineLevel="1" x14ac:dyDescent="0.25">
      <c r="B241" s="270" t="e">
        <f>IF(AND($C241&gt;='TIF Loan Amortization'!$H$480,$C241&lt;='TIF Loan Amortization'!$I$480),'TIF Loan Amortization'!$G$480,IF(AND($C241&gt;='TIF Loan Amortization'!$H$481,$C241&lt;='TIF Loan Amortization'!I$481),'TIF Loan Amortization'!$G$481,IF(AND($C241&gt;='TIF Loan Amortization'!$H$482,$C241&lt;='TIF Loan Amortization'!I$482),'TIF Loan Amortization'!$G$482,IF(AND($C241&gt;='TIF Loan Amortization'!$H$483,$C241&lt;='TIF Loan Amortization'!I$483),'TIF Loan Amortization'!$G$483,IF(AND($C241&gt;='TIF Loan Amortization'!$H$484,$C241&lt;='TIF Loan Amortization'!I$484),'TIF Loan Amortization'!$G$484,IF(AND($C241&gt;='TIF Loan Amortization'!$H$485,$C241&lt;='TIF Loan Amortization'!I$485),'TIF Loan Amortization'!$G$485,IF(AND($C241&gt;='TIF Loan Amortization'!$H$486,$C241&lt;='TIF Loan Amortization'!I$486),'TIF Loan Amortization'!$G$486,IF(AND($C241&gt;='TIF Loan Amortization'!$H$487,$C241&lt;='TIF Loan Amortization'!I$487),'TIF Loan Amortization'!$G$487,IF(AND($C241&gt;='TIF Loan Amortization'!$H$488,$C241&lt;='TIF Loan Amortization'!I$488),'TIF Loan Amortization'!$G$488,IF(AND($C241&gt;='TIF Loan Amortization'!$H$489,$C241&lt;='TIF Loan Amortization'!I$489),'TIF Loan Amortization'!$G$489,IF(AND($C241&gt;='TIF Loan Amortization'!$H$490,$C241&lt;='TIF Loan Amortization'!I$490),'TIF Loan Amortization'!$G$490,IF(AND($C241&gt;='TIF Loan Amortization'!$H$491,$C241&lt;='TIF Loan Amortization'!I$491),'TIF Loan Amortization'!$G$491,IF(AND($C241&gt;='TIF Loan Amortization'!$H$492,$C241&lt;='TIF Loan Amortization'!I$492),'TIF Loan Amortization'!$G$492,IF(AND($C241&gt;='TIF Loan Amortization'!$H$493,$C241&lt;='TIF Loan Amortization'!I$493),'TIF Loan Amortization'!$G$493,IF(AND($C241&gt;='TIF Loan Amortization'!$H$494,$C241&lt;='TIF Loan Amortization'!I$494),'TIF Loan Amortization'!$G$494,IF(AND($C241&gt;='TIF Loan Amortization'!$H$495,$C241&lt;='TIF Loan Amortization'!I$495),'TIF Loan Amortization'!$G$495,IF(AND($C241&gt;='TIF Loan Amortization'!$H$496,$C241&lt;='TIF Loan Amortization'!I$496),'TIF Loan Amortization'!$G$496,IF(AND($C241&gt;='TIF Loan Amortization'!$H$497,$C241&lt;='TIF Loan Amortization'!I$497),'TIF Loan Amortization'!$G$497,IF(AND($C241&gt;='TIF Loan Amortization'!$H$498,$C241&lt;='TIF Loan Amortization'!I$498),'TIF Loan Amortization'!$G$498,IF(AND($C241&gt;='TIF Loan Amortization'!$H$499,$C241&lt;='TIF Loan Amortization'!I$499),'TIF Loan Amortization'!$G$499,IF(AND($C241&gt;='TIF Loan Amortization'!$H$500,$C241&lt;='TIF Loan Amortization'!I$500),'TIF Loan Amortization'!$G$500,IF(AND($C241&gt;='TIF Loan Amortization'!$H$501,$C241&lt;='TIF Loan Amortization'!I$501),'TIF Loan Amortization'!$G$501,IF(AND($C241&gt;='TIF Loan Amortization'!$H$502,$C241&lt;='TIF Loan Amortization'!I$502),'TIF Loan Amortization'!$G$502,IF(AND($C241&gt;='TIF Loan Amortization'!$H$503,$C241&lt;='TIF Loan Amortization'!I$503),'TIF Loan Amortization'!$G$503,IF(AND($C241&gt;='TIF Loan Amortization'!$H$504,$C241&lt;='TIF Loan Amortization'!I$504),'TIF Loan Amortization'!$G$504,IF(AND($C241&gt;='TIF Loan Amortization'!$H$505,$C241&lt;='TIF Loan Amortization'!I$505),'TIF Loan Amortization'!$G$505,IF(AND($C241&gt;='TIF Loan Amortization'!$H$506,$C241&lt;='TIF Loan Amortization'!I$506),'TIF Loan Amortization'!$G$506,IF(AND($C241&gt;='TIF Loan Amortization'!$H$507,$C241&lt;='TIF Loan Amortization'!I$507),'TIF Loan Amortization'!$G$507,IF(AND($C241&gt;='TIF Loan Amortization'!$H$508,$C241&lt;='TIF Loan Amortization'!I$508),'TIF Loan Amortization'!$G$508,IF(AND($C241&gt;='TIF Loan Amortization'!$H$509,$C241&lt;='TIF Loan Amortization'!I$509),'TIF Loan Amortization'!$G$509,IF(AND($C241&gt;='TIF Loan Amortization'!$H$510,$C241&lt;='TIF Loan Amortization'!I$510),'TIF Loan Amortization'!$G$510,IF(AND($C241&gt;='TIF Loan Amortization'!$H$511,$C241&lt;='TIF Loan Amortization'!I$511),'TIF Loan Amortization'!$G$511,IF(AND($C241&gt;='TIF Loan Amortization'!$H$512,$C241&lt;='TIF Loan Amortization'!I$512),'TIF Loan Amortization'!$G$512,IF(AND($C241&gt;='TIF Loan Amortization'!$H$513,$C241&lt;='TIF Loan Amortization'!I$513),'TIF Loan Amortization'!$G$513,IF(AND($C241&gt;='TIF Loan Amortization'!$H$514,$C241&lt;='TIF Loan Amortization'!I$514),'TIF Loan Amortization'!$G$514,IF(AND($C241&gt;='TIF Loan Amortization'!$H$515,$C241&lt;='TIF Loan Amortization'!I$515),'TIF Loan Amortization'!$G$515,IF(AND($C241&gt;='TIF Loan Amortization'!$H$516,$C241&lt;='TIF Loan Amortization'!I$516),'TIF Loan Amortization'!$G$516,IF(AND($C241&gt;='TIF Loan Amortization'!$H$517,$C241&lt;='TIF Loan Amortization'!I$517),'TIF Loan Amortization'!$G$517,IF(AND($C241&gt;='TIF Loan Amortization'!$H$518,$C241&lt;='TIF Loan Amortization'!I$518),'TIF Loan Amortization'!$G$518,IF(AND($C241&gt;='TIF Loan Amortization'!$H$519,$C241&lt;='TIF Loan Amortization'!I$519),'TIF Loan Amortization'!$G$519))))))))))))))))))))))))))))))))))))))))</f>
        <v>#N/A</v>
      </c>
      <c r="C241" s="269" t="e">
        <f t="shared" si="29"/>
        <v>#N/A</v>
      </c>
      <c r="D241" s="281" t="str">
        <f>IF($AG$433=1,$H$10+16,"")</f>
        <v/>
      </c>
      <c r="E241" s="274">
        <v>191</v>
      </c>
      <c r="F241" s="273" t="str">
        <f>VLOOKUP($AG$433,$AE$422:$AF$433,2)</f>
        <v>Feb</v>
      </c>
      <c r="G241" s="272">
        <f t="shared" si="30"/>
        <v>0</v>
      </c>
      <c r="H241" s="272">
        <f t="shared" si="33"/>
        <v>0</v>
      </c>
      <c r="I241" s="272">
        <f t="shared" si="34"/>
        <v>0</v>
      </c>
      <c r="J241" s="272">
        <f t="shared" si="31"/>
        <v>0</v>
      </c>
      <c r="K241" s="272">
        <f>IF(ISTEXT($M$4),"",SUM(I$50:I241))</f>
        <v>0</v>
      </c>
      <c r="L241" s="272">
        <f>IF(ISTEXT($M$4),"",SUM(J$50:J241))</f>
        <v>0</v>
      </c>
      <c r="M241" s="271">
        <f t="shared" si="32"/>
        <v>0</v>
      </c>
      <c r="N241" s="291" t="e">
        <f>IF(C241='Operating Assumptions'!$C$48,"Construction Finish","")</f>
        <v>#N/A</v>
      </c>
      <c r="O241" s="291"/>
      <c r="P241" s="291"/>
      <c r="Q241" s="291"/>
      <c r="R241" s="291"/>
      <c r="S241" s="291"/>
      <c r="T241" s="280"/>
      <c r="U241" s="280"/>
      <c r="V241" s="286"/>
      <c r="W241" s="286"/>
      <c r="X241" s="286"/>
      <c r="Y241" s="280"/>
      <c r="Z241" s="279"/>
      <c r="AA241" s="279"/>
      <c r="AB241" s="279"/>
    </row>
    <row r="242" spans="2:28" s="278" customFormat="1" ht="13.5" hidden="1" outlineLevel="1" x14ac:dyDescent="0.25">
      <c r="B242" s="270" t="e">
        <f>IF(AND($C242&gt;='TIF Loan Amortization'!$H$480,$C242&lt;='TIF Loan Amortization'!$I$480),'TIF Loan Amortization'!$G$480,IF(AND($C242&gt;='TIF Loan Amortization'!$H$481,$C242&lt;='TIF Loan Amortization'!I$481),'TIF Loan Amortization'!$G$481,IF(AND($C242&gt;='TIF Loan Amortization'!$H$482,$C242&lt;='TIF Loan Amortization'!I$482),'TIF Loan Amortization'!$G$482,IF(AND($C242&gt;='TIF Loan Amortization'!$H$483,$C242&lt;='TIF Loan Amortization'!I$483),'TIF Loan Amortization'!$G$483,IF(AND($C242&gt;='TIF Loan Amortization'!$H$484,$C242&lt;='TIF Loan Amortization'!I$484),'TIF Loan Amortization'!$G$484,IF(AND($C242&gt;='TIF Loan Amortization'!$H$485,$C242&lt;='TIF Loan Amortization'!I$485),'TIF Loan Amortization'!$G$485,IF(AND($C242&gt;='TIF Loan Amortization'!$H$486,$C242&lt;='TIF Loan Amortization'!I$486),'TIF Loan Amortization'!$G$486,IF(AND($C242&gt;='TIF Loan Amortization'!$H$487,$C242&lt;='TIF Loan Amortization'!I$487),'TIF Loan Amortization'!$G$487,IF(AND($C242&gt;='TIF Loan Amortization'!$H$488,$C242&lt;='TIF Loan Amortization'!I$488),'TIF Loan Amortization'!$G$488,IF(AND($C242&gt;='TIF Loan Amortization'!$H$489,$C242&lt;='TIF Loan Amortization'!I$489),'TIF Loan Amortization'!$G$489,IF(AND($C242&gt;='TIF Loan Amortization'!$H$490,$C242&lt;='TIF Loan Amortization'!I$490),'TIF Loan Amortization'!$G$490,IF(AND($C242&gt;='TIF Loan Amortization'!$H$491,$C242&lt;='TIF Loan Amortization'!I$491),'TIF Loan Amortization'!$G$491,IF(AND($C242&gt;='TIF Loan Amortization'!$H$492,$C242&lt;='TIF Loan Amortization'!I$492),'TIF Loan Amortization'!$G$492,IF(AND($C242&gt;='TIF Loan Amortization'!$H$493,$C242&lt;='TIF Loan Amortization'!I$493),'TIF Loan Amortization'!$G$493,IF(AND($C242&gt;='TIF Loan Amortization'!$H$494,$C242&lt;='TIF Loan Amortization'!I$494),'TIF Loan Amortization'!$G$494,IF(AND($C242&gt;='TIF Loan Amortization'!$H$495,$C242&lt;='TIF Loan Amortization'!I$495),'TIF Loan Amortization'!$G$495,IF(AND($C242&gt;='TIF Loan Amortization'!$H$496,$C242&lt;='TIF Loan Amortization'!I$496),'TIF Loan Amortization'!$G$496,IF(AND($C242&gt;='TIF Loan Amortization'!$H$497,$C242&lt;='TIF Loan Amortization'!I$497),'TIF Loan Amortization'!$G$497,IF(AND($C242&gt;='TIF Loan Amortization'!$H$498,$C242&lt;='TIF Loan Amortization'!I$498),'TIF Loan Amortization'!$G$498,IF(AND($C242&gt;='TIF Loan Amortization'!$H$499,$C242&lt;='TIF Loan Amortization'!I$499),'TIF Loan Amortization'!$G$499,IF(AND($C242&gt;='TIF Loan Amortization'!$H$500,$C242&lt;='TIF Loan Amortization'!I$500),'TIF Loan Amortization'!$G$500,IF(AND($C242&gt;='TIF Loan Amortization'!$H$501,$C242&lt;='TIF Loan Amortization'!I$501),'TIF Loan Amortization'!$G$501,IF(AND($C242&gt;='TIF Loan Amortization'!$H$502,$C242&lt;='TIF Loan Amortization'!I$502),'TIF Loan Amortization'!$G$502,IF(AND($C242&gt;='TIF Loan Amortization'!$H$503,$C242&lt;='TIF Loan Amortization'!I$503),'TIF Loan Amortization'!$G$503,IF(AND($C242&gt;='TIF Loan Amortization'!$H$504,$C242&lt;='TIF Loan Amortization'!I$504),'TIF Loan Amortization'!$G$504,IF(AND($C242&gt;='TIF Loan Amortization'!$H$505,$C242&lt;='TIF Loan Amortization'!I$505),'TIF Loan Amortization'!$G$505,IF(AND($C242&gt;='TIF Loan Amortization'!$H$506,$C242&lt;='TIF Loan Amortization'!I$506),'TIF Loan Amortization'!$G$506,IF(AND($C242&gt;='TIF Loan Amortization'!$H$507,$C242&lt;='TIF Loan Amortization'!I$507),'TIF Loan Amortization'!$G$507,IF(AND($C242&gt;='TIF Loan Amortization'!$H$508,$C242&lt;='TIF Loan Amortization'!I$508),'TIF Loan Amortization'!$G$508,IF(AND($C242&gt;='TIF Loan Amortization'!$H$509,$C242&lt;='TIF Loan Amortization'!I$509),'TIF Loan Amortization'!$G$509,IF(AND($C242&gt;='TIF Loan Amortization'!$H$510,$C242&lt;='TIF Loan Amortization'!I$510),'TIF Loan Amortization'!$G$510,IF(AND($C242&gt;='TIF Loan Amortization'!$H$511,$C242&lt;='TIF Loan Amortization'!I$511),'TIF Loan Amortization'!$G$511,IF(AND($C242&gt;='TIF Loan Amortization'!$H$512,$C242&lt;='TIF Loan Amortization'!I$512),'TIF Loan Amortization'!$G$512,IF(AND($C242&gt;='TIF Loan Amortization'!$H$513,$C242&lt;='TIF Loan Amortization'!I$513),'TIF Loan Amortization'!$G$513,IF(AND($C242&gt;='TIF Loan Amortization'!$H$514,$C242&lt;='TIF Loan Amortization'!I$514),'TIF Loan Amortization'!$G$514,IF(AND($C242&gt;='TIF Loan Amortization'!$H$515,$C242&lt;='TIF Loan Amortization'!I$515),'TIF Loan Amortization'!$G$515,IF(AND($C242&gt;='TIF Loan Amortization'!$H$516,$C242&lt;='TIF Loan Amortization'!I$516),'TIF Loan Amortization'!$G$516,IF(AND($C242&gt;='TIF Loan Amortization'!$H$517,$C242&lt;='TIF Loan Amortization'!I$517),'TIF Loan Amortization'!$G$517,IF(AND($C242&gt;='TIF Loan Amortization'!$H$518,$C242&lt;='TIF Loan Amortization'!I$518),'TIF Loan Amortization'!$G$518,IF(AND($C242&gt;='TIF Loan Amortization'!$H$519,$C242&lt;='TIF Loan Amortization'!I$519),'TIF Loan Amortization'!$G$519))))))))))))))))))))))))))))))))))))))))</f>
        <v>#N/A</v>
      </c>
      <c r="C242" s="269" t="e">
        <f t="shared" si="29"/>
        <v>#N/A</v>
      </c>
      <c r="D242" s="281" t="str">
        <f>IF($H$11="January",$H$10+16,IF($AG$422=1,$H$10+17,""))</f>
        <v/>
      </c>
      <c r="E242" s="274">
        <v>192</v>
      </c>
      <c r="F242" s="273" t="str">
        <f>VLOOKUP($AG$422,$AE$422:$AF$433,2)</f>
        <v>Mar</v>
      </c>
      <c r="G242" s="272">
        <f t="shared" si="30"/>
        <v>0</v>
      </c>
      <c r="H242" s="272">
        <f t="shared" si="33"/>
        <v>0</v>
      </c>
      <c r="I242" s="272">
        <f t="shared" si="34"/>
        <v>0</v>
      </c>
      <c r="J242" s="272">
        <f t="shared" si="31"/>
        <v>0</v>
      </c>
      <c r="K242" s="272">
        <f>IF(ISTEXT($M$4),"",SUM(I$50:I242))</f>
        <v>0</v>
      </c>
      <c r="L242" s="272">
        <f>IF(ISTEXT($M$4),"",SUM(J$50:J242))</f>
        <v>0</v>
      </c>
      <c r="M242" s="271">
        <f t="shared" si="32"/>
        <v>0</v>
      </c>
      <c r="N242" s="291" t="e">
        <f>IF(C242='Operating Assumptions'!$C$48,"Construction Finish","")</f>
        <v>#N/A</v>
      </c>
      <c r="O242" s="291"/>
      <c r="P242" s="291"/>
      <c r="Q242" s="291"/>
      <c r="R242" s="291"/>
      <c r="S242" s="291"/>
      <c r="T242" s="280"/>
      <c r="U242" s="280"/>
      <c r="V242" s="286"/>
      <c r="W242" s="286"/>
      <c r="X242" s="286"/>
      <c r="Y242" s="280"/>
      <c r="Z242" s="279"/>
      <c r="AA242" s="279"/>
      <c r="AB242" s="279"/>
    </row>
    <row r="243" spans="2:28" s="278" customFormat="1" ht="13.5" hidden="1" outlineLevel="1" x14ac:dyDescent="0.25">
      <c r="B243" s="270" t="e">
        <f>IF(AND($C243&gt;='TIF Loan Amortization'!$H$480,$C243&lt;='TIF Loan Amortization'!$I$480),'TIF Loan Amortization'!$G$480,IF(AND($C243&gt;='TIF Loan Amortization'!$H$481,$C243&lt;='TIF Loan Amortization'!I$481),'TIF Loan Amortization'!$G$481,IF(AND($C243&gt;='TIF Loan Amortization'!$H$482,$C243&lt;='TIF Loan Amortization'!I$482),'TIF Loan Amortization'!$G$482,IF(AND($C243&gt;='TIF Loan Amortization'!$H$483,$C243&lt;='TIF Loan Amortization'!I$483),'TIF Loan Amortization'!$G$483,IF(AND($C243&gt;='TIF Loan Amortization'!$H$484,$C243&lt;='TIF Loan Amortization'!I$484),'TIF Loan Amortization'!$G$484,IF(AND($C243&gt;='TIF Loan Amortization'!$H$485,$C243&lt;='TIF Loan Amortization'!I$485),'TIF Loan Amortization'!$G$485,IF(AND($C243&gt;='TIF Loan Amortization'!$H$486,$C243&lt;='TIF Loan Amortization'!I$486),'TIF Loan Amortization'!$G$486,IF(AND($C243&gt;='TIF Loan Amortization'!$H$487,$C243&lt;='TIF Loan Amortization'!I$487),'TIF Loan Amortization'!$G$487,IF(AND($C243&gt;='TIF Loan Amortization'!$H$488,$C243&lt;='TIF Loan Amortization'!I$488),'TIF Loan Amortization'!$G$488,IF(AND($C243&gt;='TIF Loan Amortization'!$H$489,$C243&lt;='TIF Loan Amortization'!I$489),'TIF Loan Amortization'!$G$489,IF(AND($C243&gt;='TIF Loan Amortization'!$H$490,$C243&lt;='TIF Loan Amortization'!I$490),'TIF Loan Amortization'!$G$490,IF(AND($C243&gt;='TIF Loan Amortization'!$H$491,$C243&lt;='TIF Loan Amortization'!I$491),'TIF Loan Amortization'!$G$491,IF(AND($C243&gt;='TIF Loan Amortization'!$H$492,$C243&lt;='TIF Loan Amortization'!I$492),'TIF Loan Amortization'!$G$492,IF(AND($C243&gt;='TIF Loan Amortization'!$H$493,$C243&lt;='TIF Loan Amortization'!I$493),'TIF Loan Amortization'!$G$493,IF(AND($C243&gt;='TIF Loan Amortization'!$H$494,$C243&lt;='TIF Loan Amortization'!I$494),'TIF Loan Amortization'!$G$494,IF(AND($C243&gt;='TIF Loan Amortization'!$H$495,$C243&lt;='TIF Loan Amortization'!I$495),'TIF Loan Amortization'!$G$495,IF(AND($C243&gt;='TIF Loan Amortization'!$H$496,$C243&lt;='TIF Loan Amortization'!I$496),'TIF Loan Amortization'!$G$496,IF(AND($C243&gt;='TIF Loan Amortization'!$H$497,$C243&lt;='TIF Loan Amortization'!I$497),'TIF Loan Amortization'!$G$497,IF(AND($C243&gt;='TIF Loan Amortization'!$H$498,$C243&lt;='TIF Loan Amortization'!I$498),'TIF Loan Amortization'!$G$498,IF(AND($C243&gt;='TIF Loan Amortization'!$H$499,$C243&lt;='TIF Loan Amortization'!I$499),'TIF Loan Amortization'!$G$499,IF(AND($C243&gt;='TIF Loan Amortization'!$H$500,$C243&lt;='TIF Loan Amortization'!I$500),'TIF Loan Amortization'!$G$500,IF(AND($C243&gt;='TIF Loan Amortization'!$H$501,$C243&lt;='TIF Loan Amortization'!I$501),'TIF Loan Amortization'!$G$501,IF(AND($C243&gt;='TIF Loan Amortization'!$H$502,$C243&lt;='TIF Loan Amortization'!I$502),'TIF Loan Amortization'!$G$502,IF(AND($C243&gt;='TIF Loan Amortization'!$H$503,$C243&lt;='TIF Loan Amortization'!I$503),'TIF Loan Amortization'!$G$503,IF(AND($C243&gt;='TIF Loan Amortization'!$H$504,$C243&lt;='TIF Loan Amortization'!I$504),'TIF Loan Amortization'!$G$504,IF(AND($C243&gt;='TIF Loan Amortization'!$H$505,$C243&lt;='TIF Loan Amortization'!I$505),'TIF Loan Amortization'!$G$505,IF(AND($C243&gt;='TIF Loan Amortization'!$H$506,$C243&lt;='TIF Loan Amortization'!I$506),'TIF Loan Amortization'!$G$506,IF(AND($C243&gt;='TIF Loan Amortization'!$H$507,$C243&lt;='TIF Loan Amortization'!I$507),'TIF Loan Amortization'!$G$507,IF(AND($C243&gt;='TIF Loan Amortization'!$H$508,$C243&lt;='TIF Loan Amortization'!I$508),'TIF Loan Amortization'!$G$508,IF(AND($C243&gt;='TIF Loan Amortization'!$H$509,$C243&lt;='TIF Loan Amortization'!I$509),'TIF Loan Amortization'!$G$509,IF(AND($C243&gt;='TIF Loan Amortization'!$H$510,$C243&lt;='TIF Loan Amortization'!I$510),'TIF Loan Amortization'!$G$510,IF(AND($C243&gt;='TIF Loan Amortization'!$H$511,$C243&lt;='TIF Loan Amortization'!I$511),'TIF Loan Amortization'!$G$511,IF(AND($C243&gt;='TIF Loan Amortization'!$H$512,$C243&lt;='TIF Loan Amortization'!I$512),'TIF Loan Amortization'!$G$512,IF(AND($C243&gt;='TIF Loan Amortization'!$H$513,$C243&lt;='TIF Loan Amortization'!I$513),'TIF Loan Amortization'!$G$513,IF(AND($C243&gt;='TIF Loan Amortization'!$H$514,$C243&lt;='TIF Loan Amortization'!I$514),'TIF Loan Amortization'!$G$514,IF(AND($C243&gt;='TIF Loan Amortization'!$H$515,$C243&lt;='TIF Loan Amortization'!I$515),'TIF Loan Amortization'!$G$515,IF(AND($C243&gt;='TIF Loan Amortization'!$H$516,$C243&lt;='TIF Loan Amortization'!I$516),'TIF Loan Amortization'!$G$516,IF(AND($C243&gt;='TIF Loan Amortization'!$H$517,$C243&lt;='TIF Loan Amortization'!I$517),'TIF Loan Amortization'!$G$517,IF(AND($C243&gt;='TIF Loan Amortization'!$H$518,$C243&lt;='TIF Loan Amortization'!I$518),'TIF Loan Amortization'!$G$518,IF(AND($C243&gt;='TIF Loan Amortization'!$H$519,$C243&lt;='TIF Loan Amortization'!I$519),'TIF Loan Amortization'!$G$519))))))))))))))))))))))))))))))))))))))))</f>
        <v>#N/A</v>
      </c>
      <c r="C243" s="269" t="e">
        <f t="shared" ref="C243:C306" si="36">C242+1</f>
        <v>#N/A</v>
      </c>
      <c r="D243" s="281" t="str">
        <f>IF($AG$423=1,$H$10+17,"")</f>
        <v/>
      </c>
      <c r="E243" s="274">
        <v>193</v>
      </c>
      <c r="F243" s="275" t="str">
        <f>VLOOKUP($AG$423,$AE$422:$AF$433,2)</f>
        <v>Apr</v>
      </c>
      <c r="G243" s="272">
        <f t="shared" ref="G243:G306" si="37">IF(ISTEXT(M$4),"",M242)</f>
        <v>0</v>
      </c>
      <c r="H243" s="272">
        <f t="shared" si="33"/>
        <v>0</v>
      </c>
      <c r="I243" s="272">
        <f t="shared" si="34"/>
        <v>0</v>
      </c>
      <c r="J243" s="272">
        <f t="shared" ref="J243:J306" si="38">+$H$6/12*$M242*-1</f>
        <v>0</v>
      </c>
      <c r="K243" s="272">
        <f>IF(ISTEXT($M$4),"",SUM(I$50:I243))</f>
        <v>0</v>
      </c>
      <c r="L243" s="272">
        <f>IF(ISTEXT($M$4),"",SUM(J$50:J243))</f>
        <v>0</v>
      </c>
      <c r="M243" s="271">
        <f t="shared" ref="M243:M306" si="39">+G243+I243</f>
        <v>0</v>
      </c>
      <c r="N243" s="291" t="e">
        <f>IF(C243='Operating Assumptions'!$C$48,"Construction Finish","")</f>
        <v>#N/A</v>
      </c>
      <c r="O243" s="291"/>
      <c r="P243" s="291"/>
      <c r="Q243" s="291"/>
      <c r="R243" s="291"/>
      <c r="S243" s="291"/>
      <c r="T243" s="280"/>
      <c r="U243" s="280"/>
      <c r="V243" s="286"/>
      <c r="W243" s="286"/>
      <c r="X243" s="286"/>
      <c r="Y243" s="280"/>
      <c r="Z243" s="279"/>
      <c r="AA243" s="279"/>
      <c r="AB243" s="279"/>
    </row>
    <row r="244" spans="2:28" s="278" customFormat="1" ht="13.5" hidden="1" outlineLevel="1" x14ac:dyDescent="0.25">
      <c r="B244" s="270" t="e">
        <f>IF(AND($C244&gt;='TIF Loan Amortization'!$H$480,$C244&lt;='TIF Loan Amortization'!$I$480),'TIF Loan Amortization'!$G$480,IF(AND($C244&gt;='TIF Loan Amortization'!$H$481,$C244&lt;='TIF Loan Amortization'!I$481),'TIF Loan Amortization'!$G$481,IF(AND($C244&gt;='TIF Loan Amortization'!$H$482,$C244&lt;='TIF Loan Amortization'!I$482),'TIF Loan Amortization'!$G$482,IF(AND($C244&gt;='TIF Loan Amortization'!$H$483,$C244&lt;='TIF Loan Amortization'!I$483),'TIF Loan Amortization'!$G$483,IF(AND($C244&gt;='TIF Loan Amortization'!$H$484,$C244&lt;='TIF Loan Amortization'!I$484),'TIF Loan Amortization'!$G$484,IF(AND($C244&gt;='TIF Loan Amortization'!$H$485,$C244&lt;='TIF Loan Amortization'!I$485),'TIF Loan Amortization'!$G$485,IF(AND($C244&gt;='TIF Loan Amortization'!$H$486,$C244&lt;='TIF Loan Amortization'!I$486),'TIF Loan Amortization'!$G$486,IF(AND($C244&gt;='TIF Loan Amortization'!$H$487,$C244&lt;='TIF Loan Amortization'!I$487),'TIF Loan Amortization'!$G$487,IF(AND($C244&gt;='TIF Loan Amortization'!$H$488,$C244&lt;='TIF Loan Amortization'!I$488),'TIF Loan Amortization'!$G$488,IF(AND($C244&gt;='TIF Loan Amortization'!$H$489,$C244&lt;='TIF Loan Amortization'!I$489),'TIF Loan Amortization'!$G$489,IF(AND($C244&gt;='TIF Loan Amortization'!$H$490,$C244&lt;='TIF Loan Amortization'!I$490),'TIF Loan Amortization'!$G$490,IF(AND($C244&gt;='TIF Loan Amortization'!$H$491,$C244&lt;='TIF Loan Amortization'!I$491),'TIF Loan Amortization'!$G$491,IF(AND($C244&gt;='TIF Loan Amortization'!$H$492,$C244&lt;='TIF Loan Amortization'!I$492),'TIF Loan Amortization'!$G$492,IF(AND($C244&gt;='TIF Loan Amortization'!$H$493,$C244&lt;='TIF Loan Amortization'!I$493),'TIF Loan Amortization'!$G$493,IF(AND($C244&gt;='TIF Loan Amortization'!$H$494,$C244&lt;='TIF Loan Amortization'!I$494),'TIF Loan Amortization'!$G$494,IF(AND($C244&gt;='TIF Loan Amortization'!$H$495,$C244&lt;='TIF Loan Amortization'!I$495),'TIF Loan Amortization'!$G$495,IF(AND($C244&gt;='TIF Loan Amortization'!$H$496,$C244&lt;='TIF Loan Amortization'!I$496),'TIF Loan Amortization'!$G$496,IF(AND($C244&gt;='TIF Loan Amortization'!$H$497,$C244&lt;='TIF Loan Amortization'!I$497),'TIF Loan Amortization'!$G$497,IF(AND($C244&gt;='TIF Loan Amortization'!$H$498,$C244&lt;='TIF Loan Amortization'!I$498),'TIF Loan Amortization'!$G$498,IF(AND($C244&gt;='TIF Loan Amortization'!$H$499,$C244&lt;='TIF Loan Amortization'!I$499),'TIF Loan Amortization'!$G$499,IF(AND($C244&gt;='TIF Loan Amortization'!$H$500,$C244&lt;='TIF Loan Amortization'!I$500),'TIF Loan Amortization'!$G$500,IF(AND($C244&gt;='TIF Loan Amortization'!$H$501,$C244&lt;='TIF Loan Amortization'!I$501),'TIF Loan Amortization'!$G$501,IF(AND($C244&gt;='TIF Loan Amortization'!$H$502,$C244&lt;='TIF Loan Amortization'!I$502),'TIF Loan Amortization'!$G$502,IF(AND($C244&gt;='TIF Loan Amortization'!$H$503,$C244&lt;='TIF Loan Amortization'!I$503),'TIF Loan Amortization'!$G$503,IF(AND($C244&gt;='TIF Loan Amortization'!$H$504,$C244&lt;='TIF Loan Amortization'!I$504),'TIF Loan Amortization'!$G$504,IF(AND($C244&gt;='TIF Loan Amortization'!$H$505,$C244&lt;='TIF Loan Amortization'!I$505),'TIF Loan Amortization'!$G$505,IF(AND($C244&gt;='TIF Loan Amortization'!$H$506,$C244&lt;='TIF Loan Amortization'!I$506),'TIF Loan Amortization'!$G$506,IF(AND($C244&gt;='TIF Loan Amortization'!$H$507,$C244&lt;='TIF Loan Amortization'!I$507),'TIF Loan Amortization'!$G$507,IF(AND($C244&gt;='TIF Loan Amortization'!$H$508,$C244&lt;='TIF Loan Amortization'!I$508),'TIF Loan Amortization'!$G$508,IF(AND($C244&gt;='TIF Loan Amortization'!$H$509,$C244&lt;='TIF Loan Amortization'!I$509),'TIF Loan Amortization'!$G$509,IF(AND($C244&gt;='TIF Loan Amortization'!$H$510,$C244&lt;='TIF Loan Amortization'!I$510),'TIF Loan Amortization'!$G$510,IF(AND($C244&gt;='TIF Loan Amortization'!$H$511,$C244&lt;='TIF Loan Amortization'!I$511),'TIF Loan Amortization'!$G$511,IF(AND($C244&gt;='TIF Loan Amortization'!$H$512,$C244&lt;='TIF Loan Amortization'!I$512),'TIF Loan Amortization'!$G$512,IF(AND($C244&gt;='TIF Loan Amortization'!$H$513,$C244&lt;='TIF Loan Amortization'!I$513),'TIF Loan Amortization'!$G$513,IF(AND($C244&gt;='TIF Loan Amortization'!$H$514,$C244&lt;='TIF Loan Amortization'!I$514),'TIF Loan Amortization'!$G$514,IF(AND($C244&gt;='TIF Loan Amortization'!$H$515,$C244&lt;='TIF Loan Amortization'!I$515),'TIF Loan Amortization'!$G$515,IF(AND($C244&gt;='TIF Loan Amortization'!$H$516,$C244&lt;='TIF Loan Amortization'!I$516),'TIF Loan Amortization'!$G$516,IF(AND($C244&gt;='TIF Loan Amortization'!$H$517,$C244&lt;='TIF Loan Amortization'!I$517),'TIF Loan Amortization'!$G$517,IF(AND($C244&gt;='TIF Loan Amortization'!$H$518,$C244&lt;='TIF Loan Amortization'!I$518),'TIF Loan Amortization'!$G$518,IF(AND($C244&gt;='TIF Loan Amortization'!$H$519,$C244&lt;='TIF Loan Amortization'!I$519),'TIF Loan Amortization'!$G$519))))))))))))))))))))))))))))))))))))))))</f>
        <v>#N/A</v>
      </c>
      <c r="C244" s="269" t="e">
        <f t="shared" si="36"/>
        <v>#N/A</v>
      </c>
      <c r="D244" s="281" t="str">
        <f>IF($AG$424=1,$H$10+17,"")</f>
        <v/>
      </c>
      <c r="E244" s="274">
        <v>194</v>
      </c>
      <c r="F244" s="275" t="str">
        <f>VLOOKUP($AG$424,$AE$422:$AF$433,2)</f>
        <v>May</v>
      </c>
      <c r="G244" s="272">
        <f t="shared" si="37"/>
        <v>0</v>
      </c>
      <c r="H244" s="272">
        <f t="shared" si="33"/>
        <v>0</v>
      </c>
      <c r="I244" s="272">
        <f t="shared" si="34"/>
        <v>0</v>
      </c>
      <c r="J244" s="272">
        <f t="shared" si="38"/>
        <v>0</v>
      </c>
      <c r="K244" s="272">
        <f>IF(ISTEXT($M$4),"",SUM(I$50:I244))</f>
        <v>0</v>
      </c>
      <c r="L244" s="272">
        <f>IF(ISTEXT($M$4),"",SUM(J$50:J244))</f>
        <v>0</v>
      </c>
      <c r="M244" s="271">
        <f t="shared" si="39"/>
        <v>0</v>
      </c>
      <c r="N244" s="291" t="e">
        <f>IF(C244='Operating Assumptions'!$C$48,"Construction Finish","")</f>
        <v>#N/A</v>
      </c>
      <c r="O244" s="291"/>
      <c r="P244" s="291"/>
      <c r="Q244" s="291"/>
      <c r="R244" s="291"/>
      <c r="S244" s="291"/>
      <c r="T244" s="280"/>
      <c r="U244" s="280"/>
      <c r="V244" s="286"/>
      <c r="W244" s="286"/>
      <c r="X244" s="286"/>
      <c r="Y244" s="280"/>
      <c r="Z244" s="279"/>
      <c r="AA244" s="279"/>
      <c r="AB244" s="279"/>
    </row>
    <row r="245" spans="2:28" s="278" customFormat="1" ht="13.5" hidden="1" outlineLevel="1" x14ac:dyDescent="0.25">
      <c r="B245" s="270" t="e">
        <f>IF(AND($C245&gt;='TIF Loan Amortization'!$H$480,$C245&lt;='TIF Loan Amortization'!$I$480),'TIF Loan Amortization'!$G$480,IF(AND($C245&gt;='TIF Loan Amortization'!$H$481,$C245&lt;='TIF Loan Amortization'!I$481),'TIF Loan Amortization'!$G$481,IF(AND($C245&gt;='TIF Loan Amortization'!$H$482,$C245&lt;='TIF Loan Amortization'!I$482),'TIF Loan Amortization'!$G$482,IF(AND($C245&gt;='TIF Loan Amortization'!$H$483,$C245&lt;='TIF Loan Amortization'!I$483),'TIF Loan Amortization'!$G$483,IF(AND($C245&gt;='TIF Loan Amortization'!$H$484,$C245&lt;='TIF Loan Amortization'!I$484),'TIF Loan Amortization'!$G$484,IF(AND($C245&gt;='TIF Loan Amortization'!$H$485,$C245&lt;='TIF Loan Amortization'!I$485),'TIF Loan Amortization'!$G$485,IF(AND($C245&gt;='TIF Loan Amortization'!$H$486,$C245&lt;='TIF Loan Amortization'!I$486),'TIF Loan Amortization'!$G$486,IF(AND($C245&gt;='TIF Loan Amortization'!$H$487,$C245&lt;='TIF Loan Amortization'!I$487),'TIF Loan Amortization'!$G$487,IF(AND($C245&gt;='TIF Loan Amortization'!$H$488,$C245&lt;='TIF Loan Amortization'!I$488),'TIF Loan Amortization'!$G$488,IF(AND($C245&gt;='TIF Loan Amortization'!$H$489,$C245&lt;='TIF Loan Amortization'!I$489),'TIF Loan Amortization'!$G$489,IF(AND($C245&gt;='TIF Loan Amortization'!$H$490,$C245&lt;='TIF Loan Amortization'!I$490),'TIF Loan Amortization'!$G$490,IF(AND($C245&gt;='TIF Loan Amortization'!$H$491,$C245&lt;='TIF Loan Amortization'!I$491),'TIF Loan Amortization'!$G$491,IF(AND($C245&gt;='TIF Loan Amortization'!$H$492,$C245&lt;='TIF Loan Amortization'!I$492),'TIF Loan Amortization'!$G$492,IF(AND($C245&gt;='TIF Loan Amortization'!$H$493,$C245&lt;='TIF Loan Amortization'!I$493),'TIF Loan Amortization'!$G$493,IF(AND($C245&gt;='TIF Loan Amortization'!$H$494,$C245&lt;='TIF Loan Amortization'!I$494),'TIF Loan Amortization'!$G$494,IF(AND($C245&gt;='TIF Loan Amortization'!$H$495,$C245&lt;='TIF Loan Amortization'!I$495),'TIF Loan Amortization'!$G$495,IF(AND($C245&gt;='TIF Loan Amortization'!$H$496,$C245&lt;='TIF Loan Amortization'!I$496),'TIF Loan Amortization'!$G$496,IF(AND($C245&gt;='TIF Loan Amortization'!$H$497,$C245&lt;='TIF Loan Amortization'!I$497),'TIF Loan Amortization'!$G$497,IF(AND($C245&gt;='TIF Loan Amortization'!$H$498,$C245&lt;='TIF Loan Amortization'!I$498),'TIF Loan Amortization'!$G$498,IF(AND($C245&gt;='TIF Loan Amortization'!$H$499,$C245&lt;='TIF Loan Amortization'!I$499),'TIF Loan Amortization'!$G$499,IF(AND($C245&gt;='TIF Loan Amortization'!$H$500,$C245&lt;='TIF Loan Amortization'!I$500),'TIF Loan Amortization'!$G$500,IF(AND($C245&gt;='TIF Loan Amortization'!$H$501,$C245&lt;='TIF Loan Amortization'!I$501),'TIF Loan Amortization'!$G$501,IF(AND($C245&gt;='TIF Loan Amortization'!$H$502,$C245&lt;='TIF Loan Amortization'!I$502),'TIF Loan Amortization'!$G$502,IF(AND($C245&gt;='TIF Loan Amortization'!$H$503,$C245&lt;='TIF Loan Amortization'!I$503),'TIF Loan Amortization'!$G$503,IF(AND($C245&gt;='TIF Loan Amortization'!$H$504,$C245&lt;='TIF Loan Amortization'!I$504),'TIF Loan Amortization'!$G$504,IF(AND($C245&gt;='TIF Loan Amortization'!$H$505,$C245&lt;='TIF Loan Amortization'!I$505),'TIF Loan Amortization'!$G$505,IF(AND($C245&gt;='TIF Loan Amortization'!$H$506,$C245&lt;='TIF Loan Amortization'!I$506),'TIF Loan Amortization'!$G$506,IF(AND($C245&gt;='TIF Loan Amortization'!$H$507,$C245&lt;='TIF Loan Amortization'!I$507),'TIF Loan Amortization'!$G$507,IF(AND($C245&gt;='TIF Loan Amortization'!$H$508,$C245&lt;='TIF Loan Amortization'!I$508),'TIF Loan Amortization'!$G$508,IF(AND($C245&gt;='TIF Loan Amortization'!$H$509,$C245&lt;='TIF Loan Amortization'!I$509),'TIF Loan Amortization'!$G$509,IF(AND($C245&gt;='TIF Loan Amortization'!$H$510,$C245&lt;='TIF Loan Amortization'!I$510),'TIF Loan Amortization'!$G$510,IF(AND($C245&gt;='TIF Loan Amortization'!$H$511,$C245&lt;='TIF Loan Amortization'!I$511),'TIF Loan Amortization'!$G$511,IF(AND($C245&gt;='TIF Loan Amortization'!$H$512,$C245&lt;='TIF Loan Amortization'!I$512),'TIF Loan Amortization'!$G$512,IF(AND($C245&gt;='TIF Loan Amortization'!$H$513,$C245&lt;='TIF Loan Amortization'!I$513),'TIF Loan Amortization'!$G$513,IF(AND($C245&gt;='TIF Loan Amortization'!$H$514,$C245&lt;='TIF Loan Amortization'!I$514),'TIF Loan Amortization'!$G$514,IF(AND($C245&gt;='TIF Loan Amortization'!$H$515,$C245&lt;='TIF Loan Amortization'!I$515),'TIF Loan Amortization'!$G$515,IF(AND($C245&gt;='TIF Loan Amortization'!$H$516,$C245&lt;='TIF Loan Amortization'!I$516),'TIF Loan Amortization'!$G$516,IF(AND($C245&gt;='TIF Loan Amortization'!$H$517,$C245&lt;='TIF Loan Amortization'!I$517),'TIF Loan Amortization'!$G$517,IF(AND($C245&gt;='TIF Loan Amortization'!$H$518,$C245&lt;='TIF Loan Amortization'!I$518),'TIF Loan Amortization'!$G$518,IF(AND($C245&gt;='TIF Loan Amortization'!$H$519,$C245&lt;='TIF Loan Amortization'!I$519),'TIF Loan Amortization'!$G$519))))))))))))))))))))))))))))))))))))))))</f>
        <v>#N/A</v>
      </c>
      <c r="C245" s="269" t="e">
        <f t="shared" si="36"/>
        <v>#N/A</v>
      </c>
      <c r="D245" s="281" t="str">
        <f>IF($AG$425=1,$H$10+17,"")</f>
        <v/>
      </c>
      <c r="E245" s="274">
        <v>195</v>
      </c>
      <c r="F245" s="275" t="str">
        <f>VLOOKUP($AG$425,$AE$422:$AF$433,2)</f>
        <v>Jun</v>
      </c>
      <c r="G245" s="272">
        <f t="shared" si="37"/>
        <v>0</v>
      </c>
      <c r="H245" s="272">
        <f t="shared" ref="H245:H308" si="40">IF(E245&gt;$G$7,0,IF(AND($G$9&gt;=0,E245&lt;=$H$9),0,IF(AND($G$8&gt;=0,E245&lt;=$H$8),J245,IF(AND($G$8&gt;=0,$G$9&gt;=0,E245&gt;$H$8,E245&gt;$H$9),PMT($H$6/12,IF($G$8&gt;=0,$G$7-$H$8),$H$4)))))</f>
        <v>0</v>
      </c>
      <c r="I245" s="272">
        <f t="shared" ref="I245:I308" si="41">IF(E245&gt;$G$7,0,IF(AND($G$9,E245&lt;=$H$9),0,+H245-J245))</f>
        <v>0</v>
      </c>
      <c r="J245" s="272">
        <f t="shared" si="38"/>
        <v>0</v>
      </c>
      <c r="K245" s="272">
        <f>IF(ISTEXT($M$4),"",SUM(I$50:I245))</f>
        <v>0</v>
      </c>
      <c r="L245" s="272">
        <f>IF(ISTEXT($M$4),"",SUM(J$50:J245))</f>
        <v>0</v>
      </c>
      <c r="M245" s="271">
        <f t="shared" si="39"/>
        <v>0</v>
      </c>
      <c r="N245" s="291" t="e">
        <f>IF(C245='Operating Assumptions'!$C$48,"Construction Finish","")</f>
        <v>#N/A</v>
      </c>
      <c r="O245" s="291"/>
      <c r="P245" s="291"/>
      <c r="Q245" s="291"/>
      <c r="R245" s="291"/>
      <c r="S245" s="291"/>
      <c r="T245" s="280"/>
      <c r="U245" s="280"/>
      <c r="V245" s="286"/>
      <c r="W245" s="286"/>
      <c r="X245" s="286"/>
      <c r="Y245" s="280"/>
      <c r="Z245" s="279"/>
      <c r="AA245" s="279"/>
      <c r="AB245" s="279"/>
    </row>
    <row r="246" spans="2:28" s="278" customFormat="1" ht="13.5" hidden="1" outlineLevel="1" x14ac:dyDescent="0.25">
      <c r="B246" s="270" t="e">
        <f>IF(AND($C246&gt;='TIF Loan Amortization'!$H$480,$C246&lt;='TIF Loan Amortization'!$I$480),'TIF Loan Amortization'!$G$480,IF(AND($C246&gt;='TIF Loan Amortization'!$H$481,$C246&lt;='TIF Loan Amortization'!I$481),'TIF Loan Amortization'!$G$481,IF(AND($C246&gt;='TIF Loan Amortization'!$H$482,$C246&lt;='TIF Loan Amortization'!I$482),'TIF Loan Amortization'!$G$482,IF(AND($C246&gt;='TIF Loan Amortization'!$H$483,$C246&lt;='TIF Loan Amortization'!I$483),'TIF Loan Amortization'!$G$483,IF(AND($C246&gt;='TIF Loan Amortization'!$H$484,$C246&lt;='TIF Loan Amortization'!I$484),'TIF Loan Amortization'!$G$484,IF(AND($C246&gt;='TIF Loan Amortization'!$H$485,$C246&lt;='TIF Loan Amortization'!I$485),'TIF Loan Amortization'!$G$485,IF(AND($C246&gt;='TIF Loan Amortization'!$H$486,$C246&lt;='TIF Loan Amortization'!I$486),'TIF Loan Amortization'!$G$486,IF(AND($C246&gt;='TIF Loan Amortization'!$H$487,$C246&lt;='TIF Loan Amortization'!I$487),'TIF Loan Amortization'!$G$487,IF(AND($C246&gt;='TIF Loan Amortization'!$H$488,$C246&lt;='TIF Loan Amortization'!I$488),'TIF Loan Amortization'!$G$488,IF(AND($C246&gt;='TIF Loan Amortization'!$H$489,$C246&lt;='TIF Loan Amortization'!I$489),'TIF Loan Amortization'!$G$489,IF(AND($C246&gt;='TIF Loan Amortization'!$H$490,$C246&lt;='TIF Loan Amortization'!I$490),'TIF Loan Amortization'!$G$490,IF(AND($C246&gt;='TIF Loan Amortization'!$H$491,$C246&lt;='TIF Loan Amortization'!I$491),'TIF Loan Amortization'!$G$491,IF(AND($C246&gt;='TIF Loan Amortization'!$H$492,$C246&lt;='TIF Loan Amortization'!I$492),'TIF Loan Amortization'!$G$492,IF(AND($C246&gt;='TIF Loan Amortization'!$H$493,$C246&lt;='TIF Loan Amortization'!I$493),'TIF Loan Amortization'!$G$493,IF(AND($C246&gt;='TIF Loan Amortization'!$H$494,$C246&lt;='TIF Loan Amortization'!I$494),'TIF Loan Amortization'!$G$494,IF(AND($C246&gt;='TIF Loan Amortization'!$H$495,$C246&lt;='TIF Loan Amortization'!I$495),'TIF Loan Amortization'!$G$495,IF(AND($C246&gt;='TIF Loan Amortization'!$H$496,$C246&lt;='TIF Loan Amortization'!I$496),'TIF Loan Amortization'!$G$496,IF(AND($C246&gt;='TIF Loan Amortization'!$H$497,$C246&lt;='TIF Loan Amortization'!I$497),'TIF Loan Amortization'!$G$497,IF(AND($C246&gt;='TIF Loan Amortization'!$H$498,$C246&lt;='TIF Loan Amortization'!I$498),'TIF Loan Amortization'!$G$498,IF(AND($C246&gt;='TIF Loan Amortization'!$H$499,$C246&lt;='TIF Loan Amortization'!I$499),'TIF Loan Amortization'!$G$499,IF(AND($C246&gt;='TIF Loan Amortization'!$H$500,$C246&lt;='TIF Loan Amortization'!I$500),'TIF Loan Amortization'!$G$500,IF(AND($C246&gt;='TIF Loan Amortization'!$H$501,$C246&lt;='TIF Loan Amortization'!I$501),'TIF Loan Amortization'!$G$501,IF(AND($C246&gt;='TIF Loan Amortization'!$H$502,$C246&lt;='TIF Loan Amortization'!I$502),'TIF Loan Amortization'!$G$502,IF(AND($C246&gt;='TIF Loan Amortization'!$H$503,$C246&lt;='TIF Loan Amortization'!I$503),'TIF Loan Amortization'!$G$503,IF(AND($C246&gt;='TIF Loan Amortization'!$H$504,$C246&lt;='TIF Loan Amortization'!I$504),'TIF Loan Amortization'!$G$504,IF(AND($C246&gt;='TIF Loan Amortization'!$H$505,$C246&lt;='TIF Loan Amortization'!I$505),'TIF Loan Amortization'!$G$505,IF(AND($C246&gt;='TIF Loan Amortization'!$H$506,$C246&lt;='TIF Loan Amortization'!I$506),'TIF Loan Amortization'!$G$506,IF(AND($C246&gt;='TIF Loan Amortization'!$H$507,$C246&lt;='TIF Loan Amortization'!I$507),'TIF Loan Amortization'!$G$507,IF(AND($C246&gt;='TIF Loan Amortization'!$H$508,$C246&lt;='TIF Loan Amortization'!I$508),'TIF Loan Amortization'!$G$508,IF(AND($C246&gt;='TIF Loan Amortization'!$H$509,$C246&lt;='TIF Loan Amortization'!I$509),'TIF Loan Amortization'!$G$509,IF(AND($C246&gt;='TIF Loan Amortization'!$H$510,$C246&lt;='TIF Loan Amortization'!I$510),'TIF Loan Amortization'!$G$510,IF(AND($C246&gt;='TIF Loan Amortization'!$H$511,$C246&lt;='TIF Loan Amortization'!I$511),'TIF Loan Amortization'!$G$511,IF(AND($C246&gt;='TIF Loan Amortization'!$H$512,$C246&lt;='TIF Loan Amortization'!I$512),'TIF Loan Amortization'!$G$512,IF(AND($C246&gt;='TIF Loan Amortization'!$H$513,$C246&lt;='TIF Loan Amortization'!I$513),'TIF Loan Amortization'!$G$513,IF(AND($C246&gt;='TIF Loan Amortization'!$H$514,$C246&lt;='TIF Loan Amortization'!I$514),'TIF Loan Amortization'!$G$514,IF(AND($C246&gt;='TIF Loan Amortization'!$H$515,$C246&lt;='TIF Loan Amortization'!I$515),'TIF Loan Amortization'!$G$515,IF(AND($C246&gt;='TIF Loan Amortization'!$H$516,$C246&lt;='TIF Loan Amortization'!I$516),'TIF Loan Amortization'!$G$516,IF(AND($C246&gt;='TIF Loan Amortization'!$H$517,$C246&lt;='TIF Loan Amortization'!I$517),'TIF Loan Amortization'!$G$517,IF(AND($C246&gt;='TIF Loan Amortization'!$H$518,$C246&lt;='TIF Loan Amortization'!I$518),'TIF Loan Amortization'!$G$518,IF(AND($C246&gt;='TIF Loan Amortization'!$H$519,$C246&lt;='TIF Loan Amortization'!I$519),'TIF Loan Amortization'!$G$519))))))))))))))))))))))))))))))))))))))))</f>
        <v>#N/A</v>
      </c>
      <c r="C246" s="269" t="e">
        <f t="shared" si="36"/>
        <v>#N/A</v>
      </c>
      <c r="D246" s="281" t="str">
        <f>IF($AG$426=1,$H$10+17,"")</f>
        <v/>
      </c>
      <c r="E246" s="274">
        <v>196</v>
      </c>
      <c r="F246" s="275" t="str">
        <f>VLOOKUP($AG$426,$AE$422:$AF$433,2)</f>
        <v>Jul</v>
      </c>
      <c r="G246" s="272">
        <f t="shared" si="37"/>
        <v>0</v>
      </c>
      <c r="H246" s="272">
        <f t="shared" si="40"/>
        <v>0</v>
      </c>
      <c r="I246" s="272">
        <f t="shared" si="41"/>
        <v>0</v>
      </c>
      <c r="J246" s="272">
        <f t="shared" si="38"/>
        <v>0</v>
      </c>
      <c r="K246" s="272">
        <f>IF(ISTEXT($M$4),"",SUM(I$50:I246))</f>
        <v>0</v>
      </c>
      <c r="L246" s="272">
        <f>IF(ISTEXT($M$4),"",SUM(J$50:J246))</f>
        <v>0</v>
      </c>
      <c r="M246" s="271">
        <f t="shared" si="39"/>
        <v>0</v>
      </c>
      <c r="N246" s="291" t="e">
        <f>IF(C246='Operating Assumptions'!$C$48,"Construction Finish","")</f>
        <v>#N/A</v>
      </c>
      <c r="O246" s="291"/>
      <c r="P246" s="291"/>
      <c r="Q246" s="291"/>
      <c r="R246" s="291"/>
      <c r="S246" s="291"/>
      <c r="T246" s="280"/>
      <c r="U246" s="280"/>
      <c r="V246" s="286"/>
      <c r="W246" s="286"/>
      <c r="X246" s="286"/>
      <c r="Y246" s="280"/>
      <c r="Z246" s="279"/>
      <c r="AA246" s="279"/>
      <c r="AB246" s="279"/>
    </row>
    <row r="247" spans="2:28" s="278" customFormat="1" ht="13.5" hidden="1" outlineLevel="1" x14ac:dyDescent="0.25">
      <c r="B247" s="270" t="e">
        <f>IF(AND($C247&gt;='TIF Loan Amortization'!$H$480,$C247&lt;='TIF Loan Amortization'!$I$480),'TIF Loan Amortization'!$G$480,IF(AND($C247&gt;='TIF Loan Amortization'!$H$481,$C247&lt;='TIF Loan Amortization'!I$481),'TIF Loan Amortization'!$G$481,IF(AND($C247&gt;='TIF Loan Amortization'!$H$482,$C247&lt;='TIF Loan Amortization'!I$482),'TIF Loan Amortization'!$G$482,IF(AND($C247&gt;='TIF Loan Amortization'!$H$483,$C247&lt;='TIF Loan Amortization'!I$483),'TIF Loan Amortization'!$G$483,IF(AND($C247&gt;='TIF Loan Amortization'!$H$484,$C247&lt;='TIF Loan Amortization'!I$484),'TIF Loan Amortization'!$G$484,IF(AND($C247&gt;='TIF Loan Amortization'!$H$485,$C247&lt;='TIF Loan Amortization'!I$485),'TIF Loan Amortization'!$G$485,IF(AND($C247&gt;='TIF Loan Amortization'!$H$486,$C247&lt;='TIF Loan Amortization'!I$486),'TIF Loan Amortization'!$G$486,IF(AND($C247&gt;='TIF Loan Amortization'!$H$487,$C247&lt;='TIF Loan Amortization'!I$487),'TIF Loan Amortization'!$G$487,IF(AND($C247&gt;='TIF Loan Amortization'!$H$488,$C247&lt;='TIF Loan Amortization'!I$488),'TIF Loan Amortization'!$G$488,IF(AND($C247&gt;='TIF Loan Amortization'!$H$489,$C247&lt;='TIF Loan Amortization'!I$489),'TIF Loan Amortization'!$G$489,IF(AND($C247&gt;='TIF Loan Amortization'!$H$490,$C247&lt;='TIF Loan Amortization'!I$490),'TIF Loan Amortization'!$G$490,IF(AND($C247&gt;='TIF Loan Amortization'!$H$491,$C247&lt;='TIF Loan Amortization'!I$491),'TIF Loan Amortization'!$G$491,IF(AND($C247&gt;='TIF Loan Amortization'!$H$492,$C247&lt;='TIF Loan Amortization'!I$492),'TIF Loan Amortization'!$G$492,IF(AND($C247&gt;='TIF Loan Amortization'!$H$493,$C247&lt;='TIF Loan Amortization'!I$493),'TIF Loan Amortization'!$G$493,IF(AND($C247&gt;='TIF Loan Amortization'!$H$494,$C247&lt;='TIF Loan Amortization'!I$494),'TIF Loan Amortization'!$G$494,IF(AND($C247&gt;='TIF Loan Amortization'!$H$495,$C247&lt;='TIF Loan Amortization'!I$495),'TIF Loan Amortization'!$G$495,IF(AND($C247&gt;='TIF Loan Amortization'!$H$496,$C247&lt;='TIF Loan Amortization'!I$496),'TIF Loan Amortization'!$G$496,IF(AND($C247&gt;='TIF Loan Amortization'!$H$497,$C247&lt;='TIF Loan Amortization'!I$497),'TIF Loan Amortization'!$G$497,IF(AND($C247&gt;='TIF Loan Amortization'!$H$498,$C247&lt;='TIF Loan Amortization'!I$498),'TIF Loan Amortization'!$G$498,IF(AND($C247&gt;='TIF Loan Amortization'!$H$499,$C247&lt;='TIF Loan Amortization'!I$499),'TIF Loan Amortization'!$G$499,IF(AND($C247&gt;='TIF Loan Amortization'!$H$500,$C247&lt;='TIF Loan Amortization'!I$500),'TIF Loan Amortization'!$G$500,IF(AND($C247&gt;='TIF Loan Amortization'!$H$501,$C247&lt;='TIF Loan Amortization'!I$501),'TIF Loan Amortization'!$G$501,IF(AND($C247&gt;='TIF Loan Amortization'!$H$502,$C247&lt;='TIF Loan Amortization'!I$502),'TIF Loan Amortization'!$G$502,IF(AND($C247&gt;='TIF Loan Amortization'!$H$503,$C247&lt;='TIF Loan Amortization'!I$503),'TIF Loan Amortization'!$G$503,IF(AND($C247&gt;='TIF Loan Amortization'!$H$504,$C247&lt;='TIF Loan Amortization'!I$504),'TIF Loan Amortization'!$G$504,IF(AND($C247&gt;='TIF Loan Amortization'!$H$505,$C247&lt;='TIF Loan Amortization'!I$505),'TIF Loan Amortization'!$G$505,IF(AND($C247&gt;='TIF Loan Amortization'!$H$506,$C247&lt;='TIF Loan Amortization'!I$506),'TIF Loan Amortization'!$G$506,IF(AND($C247&gt;='TIF Loan Amortization'!$H$507,$C247&lt;='TIF Loan Amortization'!I$507),'TIF Loan Amortization'!$G$507,IF(AND($C247&gt;='TIF Loan Amortization'!$H$508,$C247&lt;='TIF Loan Amortization'!I$508),'TIF Loan Amortization'!$G$508,IF(AND($C247&gt;='TIF Loan Amortization'!$H$509,$C247&lt;='TIF Loan Amortization'!I$509),'TIF Loan Amortization'!$G$509,IF(AND($C247&gt;='TIF Loan Amortization'!$H$510,$C247&lt;='TIF Loan Amortization'!I$510),'TIF Loan Amortization'!$G$510,IF(AND($C247&gt;='TIF Loan Amortization'!$H$511,$C247&lt;='TIF Loan Amortization'!I$511),'TIF Loan Amortization'!$G$511,IF(AND($C247&gt;='TIF Loan Amortization'!$H$512,$C247&lt;='TIF Loan Amortization'!I$512),'TIF Loan Amortization'!$G$512,IF(AND($C247&gt;='TIF Loan Amortization'!$H$513,$C247&lt;='TIF Loan Amortization'!I$513),'TIF Loan Amortization'!$G$513,IF(AND($C247&gt;='TIF Loan Amortization'!$H$514,$C247&lt;='TIF Loan Amortization'!I$514),'TIF Loan Amortization'!$G$514,IF(AND($C247&gt;='TIF Loan Amortization'!$H$515,$C247&lt;='TIF Loan Amortization'!I$515),'TIF Loan Amortization'!$G$515,IF(AND($C247&gt;='TIF Loan Amortization'!$H$516,$C247&lt;='TIF Loan Amortization'!I$516),'TIF Loan Amortization'!$G$516,IF(AND($C247&gt;='TIF Loan Amortization'!$H$517,$C247&lt;='TIF Loan Amortization'!I$517),'TIF Loan Amortization'!$G$517,IF(AND($C247&gt;='TIF Loan Amortization'!$H$518,$C247&lt;='TIF Loan Amortization'!I$518),'TIF Loan Amortization'!$G$518,IF(AND($C247&gt;='TIF Loan Amortization'!$H$519,$C247&lt;='TIF Loan Amortization'!I$519),'TIF Loan Amortization'!$G$519))))))))))))))))))))))))))))))))))))))))</f>
        <v>#N/A</v>
      </c>
      <c r="C247" s="269" t="e">
        <f t="shared" si="36"/>
        <v>#N/A</v>
      </c>
      <c r="D247" s="281" t="str">
        <f>IF($AG$427=1,$H$10+17,"")</f>
        <v/>
      </c>
      <c r="E247" s="274">
        <v>197</v>
      </c>
      <c r="F247" s="275" t="str">
        <f>VLOOKUP($AG$427,$AE$422:$AF$433,2)</f>
        <v>Aug</v>
      </c>
      <c r="G247" s="272">
        <f t="shared" si="37"/>
        <v>0</v>
      </c>
      <c r="H247" s="272">
        <f t="shared" si="40"/>
        <v>0</v>
      </c>
      <c r="I247" s="272">
        <f t="shared" si="41"/>
        <v>0</v>
      </c>
      <c r="J247" s="272">
        <f t="shared" si="38"/>
        <v>0</v>
      </c>
      <c r="K247" s="272">
        <f>IF(ISTEXT($M$4),"",SUM(I$50:I247))</f>
        <v>0</v>
      </c>
      <c r="L247" s="272">
        <f>IF(ISTEXT($M$4),"",SUM(J$50:J247))</f>
        <v>0</v>
      </c>
      <c r="M247" s="271">
        <f t="shared" si="39"/>
        <v>0</v>
      </c>
      <c r="N247" s="291" t="e">
        <f>IF(C247='Operating Assumptions'!$C$48,"Construction Finish","")</f>
        <v>#N/A</v>
      </c>
      <c r="O247" s="291"/>
      <c r="P247" s="291"/>
      <c r="Q247" s="291"/>
      <c r="R247" s="291"/>
      <c r="S247" s="291"/>
      <c r="T247" s="280"/>
      <c r="U247" s="280"/>
      <c r="V247" s="286"/>
      <c r="W247" s="286"/>
      <c r="X247" s="286"/>
      <c r="Y247" s="280"/>
      <c r="Z247" s="279"/>
      <c r="AA247" s="279"/>
      <c r="AB247" s="279"/>
    </row>
    <row r="248" spans="2:28" s="278" customFormat="1" ht="13.5" hidden="1" outlineLevel="1" x14ac:dyDescent="0.25">
      <c r="B248" s="270" t="e">
        <f>IF(AND($C248&gt;='TIF Loan Amortization'!$H$480,$C248&lt;='TIF Loan Amortization'!$I$480),'TIF Loan Amortization'!$G$480,IF(AND($C248&gt;='TIF Loan Amortization'!$H$481,$C248&lt;='TIF Loan Amortization'!I$481),'TIF Loan Amortization'!$G$481,IF(AND($C248&gt;='TIF Loan Amortization'!$H$482,$C248&lt;='TIF Loan Amortization'!I$482),'TIF Loan Amortization'!$G$482,IF(AND($C248&gt;='TIF Loan Amortization'!$H$483,$C248&lt;='TIF Loan Amortization'!I$483),'TIF Loan Amortization'!$G$483,IF(AND($C248&gt;='TIF Loan Amortization'!$H$484,$C248&lt;='TIF Loan Amortization'!I$484),'TIF Loan Amortization'!$G$484,IF(AND($C248&gt;='TIF Loan Amortization'!$H$485,$C248&lt;='TIF Loan Amortization'!I$485),'TIF Loan Amortization'!$G$485,IF(AND($C248&gt;='TIF Loan Amortization'!$H$486,$C248&lt;='TIF Loan Amortization'!I$486),'TIF Loan Amortization'!$G$486,IF(AND($C248&gt;='TIF Loan Amortization'!$H$487,$C248&lt;='TIF Loan Amortization'!I$487),'TIF Loan Amortization'!$G$487,IF(AND($C248&gt;='TIF Loan Amortization'!$H$488,$C248&lt;='TIF Loan Amortization'!I$488),'TIF Loan Amortization'!$G$488,IF(AND($C248&gt;='TIF Loan Amortization'!$H$489,$C248&lt;='TIF Loan Amortization'!I$489),'TIF Loan Amortization'!$G$489,IF(AND($C248&gt;='TIF Loan Amortization'!$H$490,$C248&lt;='TIF Loan Amortization'!I$490),'TIF Loan Amortization'!$G$490,IF(AND($C248&gt;='TIF Loan Amortization'!$H$491,$C248&lt;='TIF Loan Amortization'!I$491),'TIF Loan Amortization'!$G$491,IF(AND($C248&gt;='TIF Loan Amortization'!$H$492,$C248&lt;='TIF Loan Amortization'!I$492),'TIF Loan Amortization'!$G$492,IF(AND($C248&gt;='TIF Loan Amortization'!$H$493,$C248&lt;='TIF Loan Amortization'!I$493),'TIF Loan Amortization'!$G$493,IF(AND($C248&gt;='TIF Loan Amortization'!$H$494,$C248&lt;='TIF Loan Amortization'!I$494),'TIF Loan Amortization'!$G$494,IF(AND($C248&gt;='TIF Loan Amortization'!$H$495,$C248&lt;='TIF Loan Amortization'!I$495),'TIF Loan Amortization'!$G$495,IF(AND($C248&gt;='TIF Loan Amortization'!$H$496,$C248&lt;='TIF Loan Amortization'!I$496),'TIF Loan Amortization'!$G$496,IF(AND($C248&gt;='TIF Loan Amortization'!$H$497,$C248&lt;='TIF Loan Amortization'!I$497),'TIF Loan Amortization'!$G$497,IF(AND($C248&gt;='TIF Loan Amortization'!$H$498,$C248&lt;='TIF Loan Amortization'!I$498),'TIF Loan Amortization'!$G$498,IF(AND($C248&gt;='TIF Loan Amortization'!$H$499,$C248&lt;='TIF Loan Amortization'!I$499),'TIF Loan Amortization'!$G$499,IF(AND($C248&gt;='TIF Loan Amortization'!$H$500,$C248&lt;='TIF Loan Amortization'!I$500),'TIF Loan Amortization'!$G$500,IF(AND($C248&gt;='TIF Loan Amortization'!$H$501,$C248&lt;='TIF Loan Amortization'!I$501),'TIF Loan Amortization'!$G$501,IF(AND($C248&gt;='TIF Loan Amortization'!$H$502,$C248&lt;='TIF Loan Amortization'!I$502),'TIF Loan Amortization'!$G$502,IF(AND($C248&gt;='TIF Loan Amortization'!$H$503,$C248&lt;='TIF Loan Amortization'!I$503),'TIF Loan Amortization'!$G$503,IF(AND($C248&gt;='TIF Loan Amortization'!$H$504,$C248&lt;='TIF Loan Amortization'!I$504),'TIF Loan Amortization'!$G$504,IF(AND($C248&gt;='TIF Loan Amortization'!$H$505,$C248&lt;='TIF Loan Amortization'!I$505),'TIF Loan Amortization'!$G$505,IF(AND($C248&gt;='TIF Loan Amortization'!$H$506,$C248&lt;='TIF Loan Amortization'!I$506),'TIF Loan Amortization'!$G$506,IF(AND($C248&gt;='TIF Loan Amortization'!$H$507,$C248&lt;='TIF Loan Amortization'!I$507),'TIF Loan Amortization'!$G$507,IF(AND($C248&gt;='TIF Loan Amortization'!$H$508,$C248&lt;='TIF Loan Amortization'!I$508),'TIF Loan Amortization'!$G$508,IF(AND($C248&gt;='TIF Loan Amortization'!$H$509,$C248&lt;='TIF Loan Amortization'!I$509),'TIF Loan Amortization'!$G$509,IF(AND($C248&gt;='TIF Loan Amortization'!$H$510,$C248&lt;='TIF Loan Amortization'!I$510),'TIF Loan Amortization'!$G$510,IF(AND($C248&gt;='TIF Loan Amortization'!$H$511,$C248&lt;='TIF Loan Amortization'!I$511),'TIF Loan Amortization'!$G$511,IF(AND($C248&gt;='TIF Loan Amortization'!$H$512,$C248&lt;='TIF Loan Amortization'!I$512),'TIF Loan Amortization'!$G$512,IF(AND($C248&gt;='TIF Loan Amortization'!$H$513,$C248&lt;='TIF Loan Amortization'!I$513),'TIF Loan Amortization'!$G$513,IF(AND($C248&gt;='TIF Loan Amortization'!$H$514,$C248&lt;='TIF Loan Amortization'!I$514),'TIF Loan Amortization'!$G$514,IF(AND($C248&gt;='TIF Loan Amortization'!$H$515,$C248&lt;='TIF Loan Amortization'!I$515),'TIF Loan Amortization'!$G$515,IF(AND($C248&gt;='TIF Loan Amortization'!$H$516,$C248&lt;='TIF Loan Amortization'!I$516),'TIF Loan Amortization'!$G$516,IF(AND($C248&gt;='TIF Loan Amortization'!$H$517,$C248&lt;='TIF Loan Amortization'!I$517),'TIF Loan Amortization'!$G$517,IF(AND($C248&gt;='TIF Loan Amortization'!$H$518,$C248&lt;='TIF Loan Amortization'!I$518),'TIF Loan Amortization'!$G$518,IF(AND($C248&gt;='TIF Loan Amortization'!$H$519,$C248&lt;='TIF Loan Amortization'!I$519),'TIF Loan Amortization'!$G$519))))))))))))))))))))))))))))))))))))))))</f>
        <v>#N/A</v>
      </c>
      <c r="C248" s="269" t="e">
        <f t="shared" si="36"/>
        <v>#N/A</v>
      </c>
      <c r="D248" s="281" t="str">
        <f>IF($AG$428=1,$H$10+17,"")</f>
        <v/>
      </c>
      <c r="E248" s="274">
        <v>198</v>
      </c>
      <c r="F248" s="275" t="str">
        <f>VLOOKUP($AG$428,$AE$422:$AF$433,2)</f>
        <v>Sep</v>
      </c>
      <c r="G248" s="272">
        <f t="shared" si="37"/>
        <v>0</v>
      </c>
      <c r="H248" s="272">
        <f t="shared" si="40"/>
        <v>0</v>
      </c>
      <c r="I248" s="272">
        <f t="shared" si="41"/>
        <v>0</v>
      </c>
      <c r="J248" s="272">
        <f t="shared" si="38"/>
        <v>0</v>
      </c>
      <c r="K248" s="272">
        <f>IF(ISTEXT($M$4),"",SUM(I$50:I248))</f>
        <v>0</v>
      </c>
      <c r="L248" s="272">
        <f>IF(ISTEXT($M$4),"",SUM(J$50:J248))</f>
        <v>0</v>
      </c>
      <c r="M248" s="271">
        <f t="shared" si="39"/>
        <v>0</v>
      </c>
      <c r="N248" s="291" t="e">
        <f>IF(C248='Operating Assumptions'!$C$48,"Construction Finish","")</f>
        <v>#N/A</v>
      </c>
      <c r="O248" s="291"/>
      <c r="P248" s="291"/>
      <c r="Q248" s="291"/>
      <c r="R248" s="291"/>
      <c r="S248" s="291"/>
      <c r="T248" s="280"/>
      <c r="U248" s="280"/>
      <c r="V248" s="286"/>
      <c r="W248" s="286"/>
      <c r="X248" s="286"/>
      <c r="Y248" s="280"/>
      <c r="Z248" s="279"/>
      <c r="AA248" s="279"/>
      <c r="AB248" s="279"/>
    </row>
    <row r="249" spans="2:28" s="278" customFormat="1" ht="13.5" hidden="1" outlineLevel="1" x14ac:dyDescent="0.25">
      <c r="B249" s="270" t="e">
        <f>IF(AND($C249&gt;='TIF Loan Amortization'!$H$480,$C249&lt;='TIF Loan Amortization'!$I$480),'TIF Loan Amortization'!$G$480,IF(AND($C249&gt;='TIF Loan Amortization'!$H$481,$C249&lt;='TIF Loan Amortization'!I$481),'TIF Loan Amortization'!$G$481,IF(AND($C249&gt;='TIF Loan Amortization'!$H$482,$C249&lt;='TIF Loan Amortization'!I$482),'TIF Loan Amortization'!$G$482,IF(AND($C249&gt;='TIF Loan Amortization'!$H$483,$C249&lt;='TIF Loan Amortization'!I$483),'TIF Loan Amortization'!$G$483,IF(AND($C249&gt;='TIF Loan Amortization'!$H$484,$C249&lt;='TIF Loan Amortization'!I$484),'TIF Loan Amortization'!$G$484,IF(AND($C249&gt;='TIF Loan Amortization'!$H$485,$C249&lt;='TIF Loan Amortization'!I$485),'TIF Loan Amortization'!$G$485,IF(AND($C249&gt;='TIF Loan Amortization'!$H$486,$C249&lt;='TIF Loan Amortization'!I$486),'TIF Loan Amortization'!$G$486,IF(AND($C249&gt;='TIF Loan Amortization'!$H$487,$C249&lt;='TIF Loan Amortization'!I$487),'TIF Loan Amortization'!$G$487,IF(AND($C249&gt;='TIF Loan Amortization'!$H$488,$C249&lt;='TIF Loan Amortization'!I$488),'TIF Loan Amortization'!$G$488,IF(AND($C249&gt;='TIF Loan Amortization'!$H$489,$C249&lt;='TIF Loan Amortization'!I$489),'TIF Loan Amortization'!$G$489,IF(AND($C249&gt;='TIF Loan Amortization'!$H$490,$C249&lt;='TIF Loan Amortization'!I$490),'TIF Loan Amortization'!$G$490,IF(AND($C249&gt;='TIF Loan Amortization'!$H$491,$C249&lt;='TIF Loan Amortization'!I$491),'TIF Loan Amortization'!$G$491,IF(AND($C249&gt;='TIF Loan Amortization'!$H$492,$C249&lt;='TIF Loan Amortization'!I$492),'TIF Loan Amortization'!$G$492,IF(AND($C249&gt;='TIF Loan Amortization'!$H$493,$C249&lt;='TIF Loan Amortization'!I$493),'TIF Loan Amortization'!$G$493,IF(AND($C249&gt;='TIF Loan Amortization'!$H$494,$C249&lt;='TIF Loan Amortization'!I$494),'TIF Loan Amortization'!$G$494,IF(AND($C249&gt;='TIF Loan Amortization'!$H$495,$C249&lt;='TIF Loan Amortization'!I$495),'TIF Loan Amortization'!$G$495,IF(AND($C249&gt;='TIF Loan Amortization'!$H$496,$C249&lt;='TIF Loan Amortization'!I$496),'TIF Loan Amortization'!$G$496,IF(AND($C249&gt;='TIF Loan Amortization'!$H$497,$C249&lt;='TIF Loan Amortization'!I$497),'TIF Loan Amortization'!$G$497,IF(AND($C249&gt;='TIF Loan Amortization'!$H$498,$C249&lt;='TIF Loan Amortization'!I$498),'TIF Loan Amortization'!$G$498,IF(AND($C249&gt;='TIF Loan Amortization'!$H$499,$C249&lt;='TIF Loan Amortization'!I$499),'TIF Loan Amortization'!$G$499,IF(AND($C249&gt;='TIF Loan Amortization'!$H$500,$C249&lt;='TIF Loan Amortization'!I$500),'TIF Loan Amortization'!$G$500,IF(AND($C249&gt;='TIF Loan Amortization'!$H$501,$C249&lt;='TIF Loan Amortization'!I$501),'TIF Loan Amortization'!$G$501,IF(AND($C249&gt;='TIF Loan Amortization'!$H$502,$C249&lt;='TIF Loan Amortization'!I$502),'TIF Loan Amortization'!$G$502,IF(AND($C249&gt;='TIF Loan Amortization'!$H$503,$C249&lt;='TIF Loan Amortization'!I$503),'TIF Loan Amortization'!$G$503,IF(AND($C249&gt;='TIF Loan Amortization'!$H$504,$C249&lt;='TIF Loan Amortization'!I$504),'TIF Loan Amortization'!$G$504,IF(AND($C249&gt;='TIF Loan Amortization'!$H$505,$C249&lt;='TIF Loan Amortization'!I$505),'TIF Loan Amortization'!$G$505,IF(AND($C249&gt;='TIF Loan Amortization'!$H$506,$C249&lt;='TIF Loan Amortization'!I$506),'TIF Loan Amortization'!$G$506,IF(AND($C249&gt;='TIF Loan Amortization'!$H$507,$C249&lt;='TIF Loan Amortization'!I$507),'TIF Loan Amortization'!$G$507,IF(AND($C249&gt;='TIF Loan Amortization'!$H$508,$C249&lt;='TIF Loan Amortization'!I$508),'TIF Loan Amortization'!$G$508,IF(AND($C249&gt;='TIF Loan Amortization'!$H$509,$C249&lt;='TIF Loan Amortization'!I$509),'TIF Loan Amortization'!$G$509,IF(AND($C249&gt;='TIF Loan Amortization'!$H$510,$C249&lt;='TIF Loan Amortization'!I$510),'TIF Loan Amortization'!$G$510,IF(AND($C249&gt;='TIF Loan Amortization'!$H$511,$C249&lt;='TIF Loan Amortization'!I$511),'TIF Loan Amortization'!$G$511,IF(AND($C249&gt;='TIF Loan Amortization'!$H$512,$C249&lt;='TIF Loan Amortization'!I$512),'TIF Loan Amortization'!$G$512,IF(AND($C249&gt;='TIF Loan Amortization'!$H$513,$C249&lt;='TIF Loan Amortization'!I$513),'TIF Loan Amortization'!$G$513,IF(AND($C249&gt;='TIF Loan Amortization'!$H$514,$C249&lt;='TIF Loan Amortization'!I$514),'TIF Loan Amortization'!$G$514,IF(AND($C249&gt;='TIF Loan Amortization'!$H$515,$C249&lt;='TIF Loan Amortization'!I$515),'TIF Loan Amortization'!$G$515,IF(AND($C249&gt;='TIF Loan Amortization'!$H$516,$C249&lt;='TIF Loan Amortization'!I$516),'TIF Loan Amortization'!$G$516,IF(AND($C249&gt;='TIF Loan Amortization'!$H$517,$C249&lt;='TIF Loan Amortization'!I$517),'TIF Loan Amortization'!$G$517,IF(AND($C249&gt;='TIF Loan Amortization'!$H$518,$C249&lt;='TIF Loan Amortization'!I$518),'TIF Loan Amortization'!$G$518,IF(AND($C249&gt;='TIF Loan Amortization'!$H$519,$C249&lt;='TIF Loan Amortization'!I$519),'TIF Loan Amortization'!$G$519))))))))))))))))))))))))))))))))))))))))</f>
        <v>#N/A</v>
      </c>
      <c r="C249" s="269" t="e">
        <f t="shared" si="36"/>
        <v>#N/A</v>
      </c>
      <c r="D249" s="281" t="str">
        <f>IF($AG$429=1,$H$10+17,"")</f>
        <v/>
      </c>
      <c r="E249" s="274">
        <v>199</v>
      </c>
      <c r="F249" s="275" t="str">
        <f>VLOOKUP($AG$429,$AE$422:$AF$433,2)</f>
        <v>Oct</v>
      </c>
      <c r="G249" s="272">
        <f t="shared" si="37"/>
        <v>0</v>
      </c>
      <c r="H249" s="272">
        <f t="shared" si="40"/>
        <v>0</v>
      </c>
      <c r="I249" s="272">
        <f t="shared" si="41"/>
        <v>0</v>
      </c>
      <c r="J249" s="272">
        <f t="shared" si="38"/>
        <v>0</v>
      </c>
      <c r="K249" s="272">
        <f>IF(ISTEXT($M$4),"",SUM(I$50:I249))</f>
        <v>0</v>
      </c>
      <c r="L249" s="272">
        <f>IF(ISTEXT($M$4),"",SUM(J$50:J249))</f>
        <v>0</v>
      </c>
      <c r="M249" s="271">
        <f t="shared" si="39"/>
        <v>0</v>
      </c>
      <c r="N249" s="291" t="e">
        <f>IF(C249='Operating Assumptions'!$C$48,"Construction Finish","")</f>
        <v>#N/A</v>
      </c>
      <c r="O249" s="291"/>
      <c r="P249" s="291"/>
      <c r="Q249" s="291"/>
      <c r="R249" s="291"/>
      <c r="S249" s="291"/>
      <c r="T249" s="280"/>
      <c r="U249" s="280"/>
      <c r="V249" s="286"/>
      <c r="W249" s="286"/>
      <c r="X249" s="286"/>
      <c r="Y249" s="280"/>
      <c r="Z249" s="279"/>
      <c r="AA249" s="279"/>
      <c r="AB249" s="279"/>
    </row>
    <row r="250" spans="2:28" s="278" customFormat="1" ht="13.5" hidden="1" outlineLevel="1" x14ac:dyDescent="0.25">
      <c r="B250" s="270" t="e">
        <f>IF(AND($C250&gt;='TIF Loan Amortization'!$H$480,$C250&lt;='TIF Loan Amortization'!$I$480),'TIF Loan Amortization'!$G$480,IF(AND($C250&gt;='TIF Loan Amortization'!$H$481,$C250&lt;='TIF Loan Amortization'!I$481),'TIF Loan Amortization'!$G$481,IF(AND($C250&gt;='TIF Loan Amortization'!$H$482,$C250&lt;='TIF Loan Amortization'!I$482),'TIF Loan Amortization'!$G$482,IF(AND($C250&gt;='TIF Loan Amortization'!$H$483,$C250&lt;='TIF Loan Amortization'!I$483),'TIF Loan Amortization'!$G$483,IF(AND($C250&gt;='TIF Loan Amortization'!$H$484,$C250&lt;='TIF Loan Amortization'!I$484),'TIF Loan Amortization'!$G$484,IF(AND($C250&gt;='TIF Loan Amortization'!$H$485,$C250&lt;='TIF Loan Amortization'!I$485),'TIF Loan Amortization'!$G$485,IF(AND($C250&gt;='TIF Loan Amortization'!$H$486,$C250&lt;='TIF Loan Amortization'!I$486),'TIF Loan Amortization'!$G$486,IF(AND($C250&gt;='TIF Loan Amortization'!$H$487,$C250&lt;='TIF Loan Amortization'!I$487),'TIF Loan Amortization'!$G$487,IF(AND($C250&gt;='TIF Loan Amortization'!$H$488,$C250&lt;='TIF Loan Amortization'!I$488),'TIF Loan Amortization'!$G$488,IF(AND($C250&gt;='TIF Loan Amortization'!$H$489,$C250&lt;='TIF Loan Amortization'!I$489),'TIF Loan Amortization'!$G$489,IF(AND($C250&gt;='TIF Loan Amortization'!$H$490,$C250&lt;='TIF Loan Amortization'!I$490),'TIF Loan Amortization'!$G$490,IF(AND($C250&gt;='TIF Loan Amortization'!$H$491,$C250&lt;='TIF Loan Amortization'!I$491),'TIF Loan Amortization'!$G$491,IF(AND($C250&gt;='TIF Loan Amortization'!$H$492,$C250&lt;='TIF Loan Amortization'!I$492),'TIF Loan Amortization'!$G$492,IF(AND($C250&gt;='TIF Loan Amortization'!$H$493,$C250&lt;='TIF Loan Amortization'!I$493),'TIF Loan Amortization'!$G$493,IF(AND($C250&gt;='TIF Loan Amortization'!$H$494,$C250&lt;='TIF Loan Amortization'!I$494),'TIF Loan Amortization'!$G$494,IF(AND($C250&gt;='TIF Loan Amortization'!$H$495,$C250&lt;='TIF Loan Amortization'!I$495),'TIF Loan Amortization'!$G$495,IF(AND($C250&gt;='TIF Loan Amortization'!$H$496,$C250&lt;='TIF Loan Amortization'!I$496),'TIF Loan Amortization'!$G$496,IF(AND($C250&gt;='TIF Loan Amortization'!$H$497,$C250&lt;='TIF Loan Amortization'!I$497),'TIF Loan Amortization'!$G$497,IF(AND($C250&gt;='TIF Loan Amortization'!$H$498,$C250&lt;='TIF Loan Amortization'!I$498),'TIF Loan Amortization'!$G$498,IF(AND($C250&gt;='TIF Loan Amortization'!$H$499,$C250&lt;='TIF Loan Amortization'!I$499),'TIF Loan Amortization'!$G$499,IF(AND($C250&gt;='TIF Loan Amortization'!$H$500,$C250&lt;='TIF Loan Amortization'!I$500),'TIF Loan Amortization'!$G$500,IF(AND($C250&gt;='TIF Loan Amortization'!$H$501,$C250&lt;='TIF Loan Amortization'!I$501),'TIF Loan Amortization'!$G$501,IF(AND($C250&gt;='TIF Loan Amortization'!$H$502,$C250&lt;='TIF Loan Amortization'!I$502),'TIF Loan Amortization'!$G$502,IF(AND($C250&gt;='TIF Loan Amortization'!$H$503,$C250&lt;='TIF Loan Amortization'!I$503),'TIF Loan Amortization'!$G$503,IF(AND($C250&gt;='TIF Loan Amortization'!$H$504,$C250&lt;='TIF Loan Amortization'!I$504),'TIF Loan Amortization'!$G$504,IF(AND($C250&gt;='TIF Loan Amortization'!$H$505,$C250&lt;='TIF Loan Amortization'!I$505),'TIF Loan Amortization'!$G$505,IF(AND($C250&gt;='TIF Loan Amortization'!$H$506,$C250&lt;='TIF Loan Amortization'!I$506),'TIF Loan Amortization'!$G$506,IF(AND($C250&gt;='TIF Loan Amortization'!$H$507,$C250&lt;='TIF Loan Amortization'!I$507),'TIF Loan Amortization'!$G$507,IF(AND($C250&gt;='TIF Loan Amortization'!$H$508,$C250&lt;='TIF Loan Amortization'!I$508),'TIF Loan Amortization'!$G$508,IF(AND($C250&gt;='TIF Loan Amortization'!$H$509,$C250&lt;='TIF Loan Amortization'!I$509),'TIF Loan Amortization'!$G$509,IF(AND($C250&gt;='TIF Loan Amortization'!$H$510,$C250&lt;='TIF Loan Amortization'!I$510),'TIF Loan Amortization'!$G$510,IF(AND($C250&gt;='TIF Loan Amortization'!$H$511,$C250&lt;='TIF Loan Amortization'!I$511),'TIF Loan Amortization'!$G$511,IF(AND($C250&gt;='TIF Loan Amortization'!$H$512,$C250&lt;='TIF Loan Amortization'!I$512),'TIF Loan Amortization'!$G$512,IF(AND($C250&gt;='TIF Loan Amortization'!$H$513,$C250&lt;='TIF Loan Amortization'!I$513),'TIF Loan Amortization'!$G$513,IF(AND($C250&gt;='TIF Loan Amortization'!$H$514,$C250&lt;='TIF Loan Amortization'!I$514),'TIF Loan Amortization'!$G$514,IF(AND($C250&gt;='TIF Loan Amortization'!$H$515,$C250&lt;='TIF Loan Amortization'!I$515),'TIF Loan Amortization'!$G$515,IF(AND($C250&gt;='TIF Loan Amortization'!$H$516,$C250&lt;='TIF Loan Amortization'!I$516),'TIF Loan Amortization'!$G$516,IF(AND($C250&gt;='TIF Loan Amortization'!$H$517,$C250&lt;='TIF Loan Amortization'!I$517),'TIF Loan Amortization'!$G$517,IF(AND($C250&gt;='TIF Loan Amortization'!$H$518,$C250&lt;='TIF Loan Amortization'!I$518),'TIF Loan Amortization'!$G$518,IF(AND($C250&gt;='TIF Loan Amortization'!$H$519,$C250&lt;='TIF Loan Amortization'!I$519),'TIF Loan Amortization'!$G$519))))))))))))))))))))))))))))))))))))))))</f>
        <v>#N/A</v>
      </c>
      <c r="C250" s="269" t="e">
        <f t="shared" si="36"/>
        <v>#N/A</v>
      </c>
      <c r="D250" s="281" t="str">
        <f>IF($AG$430=1,$H$10+17,"")</f>
        <v/>
      </c>
      <c r="E250" s="274">
        <v>200</v>
      </c>
      <c r="F250" s="275" t="str">
        <f>VLOOKUP($AG$430,$AE$422:$AF$433,2)</f>
        <v>Nov</v>
      </c>
      <c r="G250" s="272">
        <f t="shared" si="37"/>
        <v>0</v>
      </c>
      <c r="H250" s="272">
        <f t="shared" si="40"/>
        <v>0</v>
      </c>
      <c r="I250" s="272">
        <f t="shared" si="41"/>
        <v>0</v>
      </c>
      <c r="J250" s="272">
        <f t="shared" si="38"/>
        <v>0</v>
      </c>
      <c r="K250" s="272">
        <f>IF(ISTEXT($M$4),"",SUM(I$50:I250))</f>
        <v>0</v>
      </c>
      <c r="L250" s="272">
        <f>IF(ISTEXT($M$4),"",SUM(J$50:J250))</f>
        <v>0</v>
      </c>
      <c r="M250" s="271">
        <f t="shared" si="39"/>
        <v>0</v>
      </c>
      <c r="N250" s="291" t="e">
        <f>IF(C250='Operating Assumptions'!$C$48,"Construction Finish","")</f>
        <v>#N/A</v>
      </c>
      <c r="O250" s="291"/>
      <c r="P250" s="291"/>
      <c r="Q250" s="291"/>
      <c r="R250" s="291"/>
      <c r="S250" s="291"/>
      <c r="T250" s="280"/>
      <c r="U250" s="280"/>
      <c r="V250" s="286"/>
      <c r="W250" s="286"/>
      <c r="X250" s="286"/>
      <c r="Y250" s="280"/>
      <c r="Z250" s="279"/>
      <c r="AA250" s="279"/>
      <c r="AB250" s="279"/>
    </row>
    <row r="251" spans="2:28" s="278" customFormat="1" ht="13.5" hidden="1" outlineLevel="1" x14ac:dyDescent="0.25">
      <c r="B251" s="270" t="e">
        <f>IF(AND($C251&gt;='TIF Loan Amortization'!$H$480,$C251&lt;='TIF Loan Amortization'!$I$480),'TIF Loan Amortization'!$G$480,IF(AND($C251&gt;='TIF Loan Amortization'!$H$481,$C251&lt;='TIF Loan Amortization'!I$481),'TIF Loan Amortization'!$G$481,IF(AND($C251&gt;='TIF Loan Amortization'!$H$482,$C251&lt;='TIF Loan Amortization'!I$482),'TIF Loan Amortization'!$G$482,IF(AND($C251&gt;='TIF Loan Amortization'!$H$483,$C251&lt;='TIF Loan Amortization'!I$483),'TIF Loan Amortization'!$G$483,IF(AND($C251&gt;='TIF Loan Amortization'!$H$484,$C251&lt;='TIF Loan Amortization'!I$484),'TIF Loan Amortization'!$G$484,IF(AND($C251&gt;='TIF Loan Amortization'!$H$485,$C251&lt;='TIF Loan Amortization'!I$485),'TIF Loan Amortization'!$G$485,IF(AND($C251&gt;='TIF Loan Amortization'!$H$486,$C251&lt;='TIF Loan Amortization'!I$486),'TIF Loan Amortization'!$G$486,IF(AND($C251&gt;='TIF Loan Amortization'!$H$487,$C251&lt;='TIF Loan Amortization'!I$487),'TIF Loan Amortization'!$G$487,IF(AND($C251&gt;='TIF Loan Amortization'!$H$488,$C251&lt;='TIF Loan Amortization'!I$488),'TIF Loan Amortization'!$G$488,IF(AND($C251&gt;='TIF Loan Amortization'!$H$489,$C251&lt;='TIF Loan Amortization'!I$489),'TIF Loan Amortization'!$G$489,IF(AND($C251&gt;='TIF Loan Amortization'!$H$490,$C251&lt;='TIF Loan Amortization'!I$490),'TIF Loan Amortization'!$G$490,IF(AND($C251&gt;='TIF Loan Amortization'!$H$491,$C251&lt;='TIF Loan Amortization'!I$491),'TIF Loan Amortization'!$G$491,IF(AND($C251&gt;='TIF Loan Amortization'!$H$492,$C251&lt;='TIF Loan Amortization'!I$492),'TIF Loan Amortization'!$G$492,IF(AND($C251&gt;='TIF Loan Amortization'!$H$493,$C251&lt;='TIF Loan Amortization'!I$493),'TIF Loan Amortization'!$G$493,IF(AND($C251&gt;='TIF Loan Amortization'!$H$494,$C251&lt;='TIF Loan Amortization'!I$494),'TIF Loan Amortization'!$G$494,IF(AND($C251&gt;='TIF Loan Amortization'!$H$495,$C251&lt;='TIF Loan Amortization'!I$495),'TIF Loan Amortization'!$G$495,IF(AND($C251&gt;='TIF Loan Amortization'!$H$496,$C251&lt;='TIF Loan Amortization'!I$496),'TIF Loan Amortization'!$G$496,IF(AND($C251&gt;='TIF Loan Amortization'!$H$497,$C251&lt;='TIF Loan Amortization'!I$497),'TIF Loan Amortization'!$G$497,IF(AND($C251&gt;='TIF Loan Amortization'!$H$498,$C251&lt;='TIF Loan Amortization'!I$498),'TIF Loan Amortization'!$G$498,IF(AND($C251&gt;='TIF Loan Amortization'!$H$499,$C251&lt;='TIF Loan Amortization'!I$499),'TIF Loan Amortization'!$G$499,IF(AND($C251&gt;='TIF Loan Amortization'!$H$500,$C251&lt;='TIF Loan Amortization'!I$500),'TIF Loan Amortization'!$G$500,IF(AND($C251&gt;='TIF Loan Amortization'!$H$501,$C251&lt;='TIF Loan Amortization'!I$501),'TIF Loan Amortization'!$G$501,IF(AND($C251&gt;='TIF Loan Amortization'!$H$502,$C251&lt;='TIF Loan Amortization'!I$502),'TIF Loan Amortization'!$G$502,IF(AND($C251&gt;='TIF Loan Amortization'!$H$503,$C251&lt;='TIF Loan Amortization'!I$503),'TIF Loan Amortization'!$G$503,IF(AND($C251&gt;='TIF Loan Amortization'!$H$504,$C251&lt;='TIF Loan Amortization'!I$504),'TIF Loan Amortization'!$G$504,IF(AND($C251&gt;='TIF Loan Amortization'!$H$505,$C251&lt;='TIF Loan Amortization'!I$505),'TIF Loan Amortization'!$G$505,IF(AND($C251&gt;='TIF Loan Amortization'!$H$506,$C251&lt;='TIF Loan Amortization'!I$506),'TIF Loan Amortization'!$G$506,IF(AND($C251&gt;='TIF Loan Amortization'!$H$507,$C251&lt;='TIF Loan Amortization'!I$507),'TIF Loan Amortization'!$G$507,IF(AND($C251&gt;='TIF Loan Amortization'!$H$508,$C251&lt;='TIF Loan Amortization'!I$508),'TIF Loan Amortization'!$G$508,IF(AND($C251&gt;='TIF Loan Amortization'!$H$509,$C251&lt;='TIF Loan Amortization'!I$509),'TIF Loan Amortization'!$G$509,IF(AND($C251&gt;='TIF Loan Amortization'!$H$510,$C251&lt;='TIF Loan Amortization'!I$510),'TIF Loan Amortization'!$G$510,IF(AND($C251&gt;='TIF Loan Amortization'!$H$511,$C251&lt;='TIF Loan Amortization'!I$511),'TIF Loan Amortization'!$G$511,IF(AND($C251&gt;='TIF Loan Amortization'!$H$512,$C251&lt;='TIF Loan Amortization'!I$512),'TIF Loan Amortization'!$G$512,IF(AND($C251&gt;='TIF Loan Amortization'!$H$513,$C251&lt;='TIF Loan Amortization'!I$513),'TIF Loan Amortization'!$G$513,IF(AND($C251&gt;='TIF Loan Amortization'!$H$514,$C251&lt;='TIF Loan Amortization'!I$514),'TIF Loan Amortization'!$G$514,IF(AND($C251&gt;='TIF Loan Amortization'!$H$515,$C251&lt;='TIF Loan Amortization'!I$515),'TIF Loan Amortization'!$G$515,IF(AND($C251&gt;='TIF Loan Amortization'!$H$516,$C251&lt;='TIF Loan Amortization'!I$516),'TIF Loan Amortization'!$G$516,IF(AND($C251&gt;='TIF Loan Amortization'!$H$517,$C251&lt;='TIF Loan Amortization'!I$517),'TIF Loan Amortization'!$G$517,IF(AND($C251&gt;='TIF Loan Amortization'!$H$518,$C251&lt;='TIF Loan Amortization'!I$518),'TIF Loan Amortization'!$G$518,IF(AND($C251&gt;='TIF Loan Amortization'!$H$519,$C251&lt;='TIF Loan Amortization'!I$519),'TIF Loan Amortization'!$G$519))))))))))))))))))))))))))))))))))))))))</f>
        <v>#N/A</v>
      </c>
      <c r="C251" s="269" t="e">
        <f t="shared" si="36"/>
        <v>#N/A</v>
      </c>
      <c r="D251" s="281" t="str">
        <f>IF($AG$431=1,$H$10+17,"")</f>
        <v/>
      </c>
      <c r="E251" s="274">
        <v>201</v>
      </c>
      <c r="F251" s="275" t="str">
        <f>VLOOKUP($AG$431,$AE$422:$AF$433,2)</f>
        <v>Dec</v>
      </c>
      <c r="G251" s="272">
        <f t="shared" si="37"/>
        <v>0</v>
      </c>
      <c r="H251" s="272">
        <f t="shared" si="40"/>
        <v>0</v>
      </c>
      <c r="I251" s="272">
        <f t="shared" si="41"/>
        <v>0</v>
      </c>
      <c r="J251" s="272">
        <f t="shared" si="38"/>
        <v>0</v>
      </c>
      <c r="K251" s="272">
        <f>IF(ISTEXT($M$4),"",SUM(I$50:I251))</f>
        <v>0</v>
      </c>
      <c r="L251" s="272">
        <f>IF(ISTEXT($M$4),"",SUM(J$50:J251))</f>
        <v>0</v>
      </c>
      <c r="M251" s="271">
        <f t="shared" si="39"/>
        <v>0</v>
      </c>
      <c r="N251" s="291" t="e">
        <f>IF(C251='Operating Assumptions'!$C$48,"Construction Finish","")</f>
        <v>#N/A</v>
      </c>
      <c r="O251" s="291"/>
      <c r="P251" s="291"/>
      <c r="Q251" s="291"/>
      <c r="R251" s="291"/>
      <c r="S251" s="291"/>
      <c r="T251" s="280"/>
      <c r="U251" s="280"/>
      <c r="V251" s="286"/>
      <c r="W251" s="286"/>
      <c r="X251" s="286"/>
      <c r="Y251" s="280"/>
      <c r="Z251" s="279"/>
      <c r="AA251" s="279"/>
      <c r="AB251" s="279"/>
    </row>
    <row r="252" spans="2:28" s="278" customFormat="1" ht="13.5" hidden="1" outlineLevel="1" x14ac:dyDescent="0.25">
      <c r="B252" s="270" t="e">
        <f>IF(AND($C252&gt;='TIF Loan Amortization'!$H$480,$C252&lt;='TIF Loan Amortization'!$I$480),'TIF Loan Amortization'!$G$480,IF(AND($C252&gt;='TIF Loan Amortization'!$H$481,$C252&lt;='TIF Loan Amortization'!I$481),'TIF Loan Amortization'!$G$481,IF(AND($C252&gt;='TIF Loan Amortization'!$H$482,$C252&lt;='TIF Loan Amortization'!I$482),'TIF Loan Amortization'!$G$482,IF(AND($C252&gt;='TIF Loan Amortization'!$H$483,$C252&lt;='TIF Loan Amortization'!I$483),'TIF Loan Amortization'!$G$483,IF(AND($C252&gt;='TIF Loan Amortization'!$H$484,$C252&lt;='TIF Loan Amortization'!I$484),'TIF Loan Amortization'!$G$484,IF(AND($C252&gt;='TIF Loan Amortization'!$H$485,$C252&lt;='TIF Loan Amortization'!I$485),'TIF Loan Amortization'!$G$485,IF(AND($C252&gt;='TIF Loan Amortization'!$H$486,$C252&lt;='TIF Loan Amortization'!I$486),'TIF Loan Amortization'!$G$486,IF(AND($C252&gt;='TIF Loan Amortization'!$H$487,$C252&lt;='TIF Loan Amortization'!I$487),'TIF Loan Amortization'!$G$487,IF(AND($C252&gt;='TIF Loan Amortization'!$H$488,$C252&lt;='TIF Loan Amortization'!I$488),'TIF Loan Amortization'!$G$488,IF(AND($C252&gt;='TIF Loan Amortization'!$H$489,$C252&lt;='TIF Loan Amortization'!I$489),'TIF Loan Amortization'!$G$489,IF(AND($C252&gt;='TIF Loan Amortization'!$H$490,$C252&lt;='TIF Loan Amortization'!I$490),'TIF Loan Amortization'!$G$490,IF(AND($C252&gt;='TIF Loan Amortization'!$H$491,$C252&lt;='TIF Loan Amortization'!I$491),'TIF Loan Amortization'!$G$491,IF(AND($C252&gt;='TIF Loan Amortization'!$H$492,$C252&lt;='TIF Loan Amortization'!I$492),'TIF Loan Amortization'!$G$492,IF(AND($C252&gt;='TIF Loan Amortization'!$H$493,$C252&lt;='TIF Loan Amortization'!I$493),'TIF Loan Amortization'!$G$493,IF(AND($C252&gt;='TIF Loan Amortization'!$H$494,$C252&lt;='TIF Loan Amortization'!I$494),'TIF Loan Amortization'!$G$494,IF(AND($C252&gt;='TIF Loan Amortization'!$H$495,$C252&lt;='TIF Loan Amortization'!I$495),'TIF Loan Amortization'!$G$495,IF(AND($C252&gt;='TIF Loan Amortization'!$H$496,$C252&lt;='TIF Loan Amortization'!I$496),'TIF Loan Amortization'!$G$496,IF(AND($C252&gt;='TIF Loan Amortization'!$H$497,$C252&lt;='TIF Loan Amortization'!I$497),'TIF Loan Amortization'!$G$497,IF(AND($C252&gt;='TIF Loan Amortization'!$H$498,$C252&lt;='TIF Loan Amortization'!I$498),'TIF Loan Amortization'!$G$498,IF(AND($C252&gt;='TIF Loan Amortization'!$H$499,$C252&lt;='TIF Loan Amortization'!I$499),'TIF Loan Amortization'!$G$499,IF(AND($C252&gt;='TIF Loan Amortization'!$H$500,$C252&lt;='TIF Loan Amortization'!I$500),'TIF Loan Amortization'!$G$500,IF(AND($C252&gt;='TIF Loan Amortization'!$H$501,$C252&lt;='TIF Loan Amortization'!I$501),'TIF Loan Amortization'!$G$501,IF(AND($C252&gt;='TIF Loan Amortization'!$H$502,$C252&lt;='TIF Loan Amortization'!I$502),'TIF Loan Amortization'!$G$502,IF(AND($C252&gt;='TIF Loan Amortization'!$H$503,$C252&lt;='TIF Loan Amortization'!I$503),'TIF Loan Amortization'!$G$503,IF(AND($C252&gt;='TIF Loan Amortization'!$H$504,$C252&lt;='TIF Loan Amortization'!I$504),'TIF Loan Amortization'!$G$504,IF(AND($C252&gt;='TIF Loan Amortization'!$H$505,$C252&lt;='TIF Loan Amortization'!I$505),'TIF Loan Amortization'!$G$505,IF(AND($C252&gt;='TIF Loan Amortization'!$H$506,$C252&lt;='TIF Loan Amortization'!I$506),'TIF Loan Amortization'!$G$506,IF(AND($C252&gt;='TIF Loan Amortization'!$H$507,$C252&lt;='TIF Loan Amortization'!I$507),'TIF Loan Amortization'!$G$507,IF(AND($C252&gt;='TIF Loan Amortization'!$H$508,$C252&lt;='TIF Loan Amortization'!I$508),'TIF Loan Amortization'!$G$508,IF(AND($C252&gt;='TIF Loan Amortization'!$H$509,$C252&lt;='TIF Loan Amortization'!I$509),'TIF Loan Amortization'!$G$509,IF(AND($C252&gt;='TIF Loan Amortization'!$H$510,$C252&lt;='TIF Loan Amortization'!I$510),'TIF Loan Amortization'!$G$510,IF(AND($C252&gt;='TIF Loan Amortization'!$H$511,$C252&lt;='TIF Loan Amortization'!I$511),'TIF Loan Amortization'!$G$511,IF(AND($C252&gt;='TIF Loan Amortization'!$H$512,$C252&lt;='TIF Loan Amortization'!I$512),'TIF Loan Amortization'!$G$512,IF(AND($C252&gt;='TIF Loan Amortization'!$H$513,$C252&lt;='TIF Loan Amortization'!I$513),'TIF Loan Amortization'!$G$513,IF(AND($C252&gt;='TIF Loan Amortization'!$H$514,$C252&lt;='TIF Loan Amortization'!I$514),'TIF Loan Amortization'!$G$514,IF(AND($C252&gt;='TIF Loan Amortization'!$H$515,$C252&lt;='TIF Loan Amortization'!I$515),'TIF Loan Amortization'!$G$515,IF(AND($C252&gt;='TIF Loan Amortization'!$H$516,$C252&lt;='TIF Loan Amortization'!I$516),'TIF Loan Amortization'!$G$516,IF(AND($C252&gt;='TIF Loan Amortization'!$H$517,$C252&lt;='TIF Loan Amortization'!I$517),'TIF Loan Amortization'!$G$517,IF(AND($C252&gt;='TIF Loan Amortization'!$H$518,$C252&lt;='TIF Loan Amortization'!I$518),'TIF Loan Amortization'!$G$518,IF(AND($C252&gt;='TIF Loan Amortization'!$H$519,$C252&lt;='TIF Loan Amortization'!I$519),'TIF Loan Amortization'!$G$519))))))))))))))))))))))))))))))))))))))))</f>
        <v>#N/A</v>
      </c>
      <c r="C252" s="269" t="e">
        <f t="shared" si="36"/>
        <v>#N/A</v>
      </c>
      <c r="D252" s="281">
        <f>IF($AG$432=1,$H$10+17,"")</f>
        <v>2042</v>
      </c>
      <c r="E252" s="274">
        <v>202</v>
      </c>
      <c r="F252" s="273" t="str">
        <f>VLOOKUP($AG$432,$AE$422:$AF$433,2)</f>
        <v>Jan</v>
      </c>
      <c r="G252" s="272">
        <f t="shared" si="37"/>
        <v>0</v>
      </c>
      <c r="H252" s="272">
        <f t="shared" si="40"/>
        <v>0</v>
      </c>
      <c r="I252" s="272">
        <f t="shared" si="41"/>
        <v>0</v>
      </c>
      <c r="J252" s="272">
        <f t="shared" si="38"/>
        <v>0</v>
      </c>
      <c r="K252" s="272">
        <f>IF(ISTEXT($M$4),"",SUM(I$50:I252))</f>
        <v>0</v>
      </c>
      <c r="L252" s="272">
        <f>IF(ISTEXT($M$4),"",SUM(J$50:J252))</f>
        <v>0</v>
      </c>
      <c r="M252" s="271">
        <f t="shared" si="39"/>
        <v>0</v>
      </c>
      <c r="N252" s="291" t="e">
        <f>IF(C252='Operating Assumptions'!$C$48,"Construction Finish","")</f>
        <v>#N/A</v>
      </c>
      <c r="O252" s="291"/>
      <c r="P252" s="291"/>
      <c r="Q252" s="291"/>
      <c r="R252" s="291"/>
      <c r="S252" s="291"/>
      <c r="T252" s="280"/>
      <c r="U252" s="280"/>
      <c r="V252" s="286"/>
      <c r="W252" s="286"/>
      <c r="X252" s="286"/>
      <c r="Y252" s="280"/>
      <c r="Z252" s="279"/>
      <c r="AA252" s="279"/>
      <c r="AB252" s="279"/>
    </row>
    <row r="253" spans="2:28" s="278" customFormat="1" ht="13.5" hidden="1" outlineLevel="1" x14ac:dyDescent="0.25">
      <c r="B253" s="270" t="e">
        <f>IF(AND($C253&gt;='TIF Loan Amortization'!$H$480,$C253&lt;='TIF Loan Amortization'!$I$480),'TIF Loan Amortization'!$G$480,IF(AND($C253&gt;='TIF Loan Amortization'!$H$481,$C253&lt;='TIF Loan Amortization'!I$481),'TIF Loan Amortization'!$G$481,IF(AND($C253&gt;='TIF Loan Amortization'!$H$482,$C253&lt;='TIF Loan Amortization'!I$482),'TIF Loan Amortization'!$G$482,IF(AND($C253&gt;='TIF Loan Amortization'!$H$483,$C253&lt;='TIF Loan Amortization'!I$483),'TIF Loan Amortization'!$G$483,IF(AND($C253&gt;='TIF Loan Amortization'!$H$484,$C253&lt;='TIF Loan Amortization'!I$484),'TIF Loan Amortization'!$G$484,IF(AND($C253&gt;='TIF Loan Amortization'!$H$485,$C253&lt;='TIF Loan Amortization'!I$485),'TIF Loan Amortization'!$G$485,IF(AND($C253&gt;='TIF Loan Amortization'!$H$486,$C253&lt;='TIF Loan Amortization'!I$486),'TIF Loan Amortization'!$G$486,IF(AND($C253&gt;='TIF Loan Amortization'!$H$487,$C253&lt;='TIF Loan Amortization'!I$487),'TIF Loan Amortization'!$G$487,IF(AND($C253&gt;='TIF Loan Amortization'!$H$488,$C253&lt;='TIF Loan Amortization'!I$488),'TIF Loan Amortization'!$G$488,IF(AND($C253&gt;='TIF Loan Amortization'!$H$489,$C253&lt;='TIF Loan Amortization'!I$489),'TIF Loan Amortization'!$G$489,IF(AND($C253&gt;='TIF Loan Amortization'!$H$490,$C253&lt;='TIF Loan Amortization'!I$490),'TIF Loan Amortization'!$G$490,IF(AND($C253&gt;='TIF Loan Amortization'!$H$491,$C253&lt;='TIF Loan Amortization'!I$491),'TIF Loan Amortization'!$G$491,IF(AND($C253&gt;='TIF Loan Amortization'!$H$492,$C253&lt;='TIF Loan Amortization'!I$492),'TIF Loan Amortization'!$G$492,IF(AND($C253&gt;='TIF Loan Amortization'!$H$493,$C253&lt;='TIF Loan Amortization'!I$493),'TIF Loan Amortization'!$G$493,IF(AND($C253&gt;='TIF Loan Amortization'!$H$494,$C253&lt;='TIF Loan Amortization'!I$494),'TIF Loan Amortization'!$G$494,IF(AND($C253&gt;='TIF Loan Amortization'!$H$495,$C253&lt;='TIF Loan Amortization'!I$495),'TIF Loan Amortization'!$G$495,IF(AND($C253&gt;='TIF Loan Amortization'!$H$496,$C253&lt;='TIF Loan Amortization'!I$496),'TIF Loan Amortization'!$G$496,IF(AND($C253&gt;='TIF Loan Amortization'!$H$497,$C253&lt;='TIF Loan Amortization'!I$497),'TIF Loan Amortization'!$G$497,IF(AND($C253&gt;='TIF Loan Amortization'!$H$498,$C253&lt;='TIF Loan Amortization'!I$498),'TIF Loan Amortization'!$G$498,IF(AND($C253&gt;='TIF Loan Amortization'!$H$499,$C253&lt;='TIF Loan Amortization'!I$499),'TIF Loan Amortization'!$G$499,IF(AND($C253&gt;='TIF Loan Amortization'!$H$500,$C253&lt;='TIF Loan Amortization'!I$500),'TIF Loan Amortization'!$G$500,IF(AND($C253&gt;='TIF Loan Amortization'!$H$501,$C253&lt;='TIF Loan Amortization'!I$501),'TIF Loan Amortization'!$G$501,IF(AND($C253&gt;='TIF Loan Amortization'!$H$502,$C253&lt;='TIF Loan Amortization'!I$502),'TIF Loan Amortization'!$G$502,IF(AND($C253&gt;='TIF Loan Amortization'!$H$503,$C253&lt;='TIF Loan Amortization'!I$503),'TIF Loan Amortization'!$G$503,IF(AND($C253&gt;='TIF Loan Amortization'!$H$504,$C253&lt;='TIF Loan Amortization'!I$504),'TIF Loan Amortization'!$G$504,IF(AND($C253&gt;='TIF Loan Amortization'!$H$505,$C253&lt;='TIF Loan Amortization'!I$505),'TIF Loan Amortization'!$G$505,IF(AND($C253&gt;='TIF Loan Amortization'!$H$506,$C253&lt;='TIF Loan Amortization'!I$506),'TIF Loan Amortization'!$G$506,IF(AND($C253&gt;='TIF Loan Amortization'!$H$507,$C253&lt;='TIF Loan Amortization'!I$507),'TIF Loan Amortization'!$G$507,IF(AND($C253&gt;='TIF Loan Amortization'!$H$508,$C253&lt;='TIF Loan Amortization'!I$508),'TIF Loan Amortization'!$G$508,IF(AND($C253&gt;='TIF Loan Amortization'!$H$509,$C253&lt;='TIF Loan Amortization'!I$509),'TIF Loan Amortization'!$G$509,IF(AND($C253&gt;='TIF Loan Amortization'!$H$510,$C253&lt;='TIF Loan Amortization'!I$510),'TIF Loan Amortization'!$G$510,IF(AND($C253&gt;='TIF Loan Amortization'!$H$511,$C253&lt;='TIF Loan Amortization'!I$511),'TIF Loan Amortization'!$G$511,IF(AND($C253&gt;='TIF Loan Amortization'!$H$512,$C253&lt;='TIF Loan Amortization'!I$512),'TIF Loan Amortization'!$G$512,IF(AND($C253&gt;='TIF Loan Amortization'!$H$513,$C253&lt;='TIF Loan Amortization'!I$513),'TIF Loan Amortization'!$G$513,IF(AND($C253&gt;='TIF Loan Amortization'!$H$514,$C253&lt;='TIF Loan Amortization'!I$514),'TIF Loan Amortization'!$G$514,IF(AND($C253&gt;='TIF Loan Amortization'!$H$515,$C253&lt;='TIF Loan Amortization'!I$515),'TIF Loan Amortization'!$G$515,IF(AND($C253&gt;='TIF Loan Amortization'!$H$516,$C253&lt;='TIF Loan Amortization'!I$516),'TIF Loan Amortization'!$G$516,IF(AND($C253&gt;='TIF Loan Amortization'!$H$517,$C253&lt;='TIF Loan Amortization'!I$517),'TIF Loan Amortization'!$G$517,IF(AND($C253&gt;='TIF Loan Amortization'!$H$518,$C253&lt;='TIF Loan Amortization'!I$518),'TIF Loan Amortization'!$G$518,IF(AND($C253&gt;='TIF Loan Amortization'!$H$519,$C253&lt;='TIF Loan Amortization'!I$519),'TIF Loan Amortization'!$G$519))))))))))))))))))))))))))))))))))))))))</f>
        <v>#N/A</v>
      </c>
      <c r="C253" s="269" t="e">
        <f t="shared" si="36"/>
        <v>#N/A</v>
      </c>
      <c r="D253" s="281" t="str">
        <f>IF($AG$433=1,$H$10+17,"")</f>
        <v/>
      </c>
      <c r="E253" s="274">
        <v>203</v>
      </c>
      <c r="F253" s="273" t="str">
        <f>VLOOKUP($AG$433,$AE$422:$AF$433,2)</f>
        <v>Feb</v>
      </c>
      <c r="G253" s="272">
        <f t="shared" si="37"/>
        <v>0</v>
      </c>
      <c r="H253" s="272">
        <f t="shared" si="40"/>
        <v>0</v>
      </c>
      <c r="I253" s="272">
        <f t="shared" si="41"/>
        <v>0</v>
      </c>
      <c r="J253" s="272">
        <f t="shared" si="38"/>
        <v>0</v>
      </c>
      <c r="K253" s="272">
        <f>IF(ISTEXT($M$4),"",SUM(I$50:I253))</f>
        <v>0</v>
      </c>
      <c r="L253" s="272">
        <f>IF(ISTEXT($M$4),"",SUM(J$50:J253))</f>
        <v>0</v>
      </c>
      <c r="M253" s="271">
        <f t="shared" si="39"/>
        <v>0</v>
      </c>
      <c r="N253" s="291" t="e">
        <f>IF(C253='Operating Assumptions'!$C$48,"Construction Finish","")</f>
        <v>#N/A</v>
      </c>
      <c r="O253" s="291"/>
      <c r="P253" s="291"/>
      <c r="Q253" s="291"/>
      <c r="R253" s="291"/>
      <c r="S253" s="291"/>
      <c r="T253" s="280"/>
      <c r="U253" s="280"/>
      <c r="V253" s="286"/>
      <c r="W253" s="286"/>
      <c r="X253" s="286"/>
      <c r="Y253" s="280"/>
      <c r="Z253" s="279"/>
      <c r="AA253" s="279"/>
      <c r="AB253" s="279"/>
    </row>
    <row r="254" spans="2:28" s="278" customFormat="1" ht="13.5" hidden="1" outlineLevel="1" x14ac:dyDescent="0.25">
      <c r="B254" s="270" t="e">
        <f>IF(AND($C254&gt;='TIF Loan Amortization'!$H$480,$C254&lt;='TIF Loan Amortization'!$I$480),'TIF Loan Amortization'!$G$480,IF(AND($C254&gt;='TIF Loan Amortization'!$H$481,$C254&lt;='TIF Loan Amortization'!I$481),'TIF Loan Amortization'!$G$481,IF(AND($C254&gt;='TIF Loan Amortization'!$H$482,$C254&lt;='TIF Loan Amortization'!I$482),'TIF Loan Amortization'!$G$482,IF(AND($C254&gt;='TIF Loan Amortization'!$H$483,$C254&lt;='TIF Loan Amortization'!I$483),'TIF Loan Amortization'!$G$483,IF(AND($C254&gt;='TIF Loan Amortization'!$H$484,$C254&lt;='TIF Loan Amortization'!I$484),'TIF Loan Amortization'!$G$484,IF(AND($C254&gt;='TIF Loan Amortization'!$H$485,$C254&lt;='TIF Loan Amortization'!I$485),'TIF Loan Amortization'!$G$485,IF(AND($C254&gt;='TIF Loan Amortization'!$H$486,$C254&lt;='TIF Loan Amortization'!I$486),'TIF Loan Amortization'!$G$486,IF(AND($C254&gt;='TIF Loan Amortization'!$H$487,$C254&lt;='TIF Loan Amortization'!I$487),'TIF Loan Amortization'!$G$487,IF(AND($C254&gt;='TIF Loan Amortization'!$H$488,$C254&lt;='TIF Loan Amortization'!I$488),'TIF Loan Amortization'!$G$488,IF(AND($C254&gt;='TIF Loan Amortization'!$H$489,$C254&lt;='TIF Loan Amortization'!I$489),'TIF Loan Amortization'!$G$489,IF(AND($C254&gt;='TIF Loan Amortization'!$H$490,$C254&lt;='TIF Loan Amortization'!I$490),'TIF Loan Amortization'!$G$490,IF(AND($C254&gt;='TIF Loan Amortization'!$H$491,$C254&lt;='TIF Loan Amortization'!I$491),'TIF Loan Amortization'!$G$491,IF(AND($C254&gt;='TIF Loan Amortization'!$H$492,$C254&lt;='TIF Loan Amortization'!I$492),'TIF Loan Amortization'!$G$492,IF(AND($C254&gt;='TIF Loan Amortization'!$H$493,$C254&lt;='TIF Loan Amortization'!I$493),'TIF Loan Amortization'!$G$493,IF(AND($C254&gt;='TIF Loan Amortization'!$H$494,$C254&lt;='TIF Loan Amortization'!I$494),'TIF Loan Amortization'!$G$494,IF(AND($C254&gt;='TIF Loan Amortization'!$H$495,$C254&lt;='TIF Loan Amortization'!I$495),'TIF Loan Amortization'!$G$495,IF(AND($C254&gt;='TIF Loan Amortization'!$H$496,$C254&lt;='TIF Loan Amortization'!I$496),'TIF Loan Amortization'!$G$496,IF(AND($C254&gt;='TIF Loan Amortization'!$H$497,$C254&lt;='TIF Loan Amortization'!I$497),'TIF Loan Amortization'!$G$497,IF(AND($C254&gt;='TIF Loan Amortization'!$H$498,$C254&lt;='TIF Loan Amortization'!I$498),'TIF Loan Amortization'!$G$498,IF(AND($C254&gt;='TIF Loan Amortization'!$H$499,$C254&lt;='TIF Loan Amortization'!I$499),'TIF Loan Amortization'!$G$499,IF(AND($C254&gt;='TIF Loan Amortization'!$H$500,$C254&lt;='TIF Loan Amortization'!I$500),'TIF Loan Amortization'!$G$500,IF(AND($C254&gt;='TIF Loan Amortization'!$H$501,$C254&lt;='TIF Loan Amortization'!I$501),'TIF Loan Amortization'!$G$501,IF(AND($C254&gt;='TIF Loan Amortization'!$H$502,$C254&lt;='TIF Loan Amortization'!I$502),'TIF Loan Amortization'!$G$502,IF(AND($C254&gt;='TIF Loan Amortization'!$H$503,$C254&lt;='TIF Loan Amortization'!I$503),'TIF Loan Amortization'!$G$503,IF(AND($C254&gt;='TIF Loan Amortization'!$H$504,$C254&lt;='TIF Loan Amortization'!I$504),'TIF Loan Amortization'!$G$504,IF(AND($C254&gt;='TIF Loan Amortization'!$H$505,$C254&lt;='TIF Loan Amortization'!I$505),'TIF Loan Amortization'!$G$505,IF(AND($C254&gt;='TIF Loan Amortization'!$H$506,$C254&lt;='TIF Loan Amortization'!I$506),'TIF Loan Amortization'!$G$506,IF(AND($C254&gt;='TIF Loan Amortization'!$H$507,$C254&lt;='TIF Loan Amortization'!I$507),'TIF Loan Amortization'!$G$507,IF(AND($C254&gt;='TIF Loan Amortization'!$H$508,$C254&lt;='TIF Loan Amortization'!I$508),'TIF Loan Amortization'!$G$508,IF(AND($C254&gt;='TIF Loan Amortization'!$H$509,$C254&lt;='TIF Loan Amortization'!I$509),'TIF Loan Amortization'!$G$509,IF(AND($C254&gt;='TIF Loan Amortization'!$H$510,$C254&lt;='TIF Loan Amortization'!I$510),'TIF Loan Amortization'!$G$510,IF(AND($C254&gt;='TIF Loan Amortization'!$H$511,$C254&lt;='TIF Loan Amortization'!I$511),'TIF Loan Amortization'!$G$511,IF(AND($C254&gt;='TIF Loan Amortization'!$H$512,$C254&lt;='TIF Loan Amortization'!I$512),'TIF Loan Amortization'!$G$512,IF(AND($C254&gt;='TIF Loan Amortization'!$H$513,$C254&lt;='TIF Loan Amortization'!I$513),'TIF Loan Amortization'!$G$513,IF(AND($C254&gt;='TIF Loan Amortization'!$H$514,$C254&lt;='TIF Loan Amortization'!I$514),'TIF Loan Amortization'!$G$514,IF(AND($C254&gt;='TIF Loan Amortization'!$H$515,$C254&lt;='TIF Loan Amortization'!I$515),'TIF Loan Amortization'!$G$515,IF(AND($C254&gt;='TIF Loan Amortization'!$H$516,$C254&lt;='TIF Loan Amortization'!I$516),'TIF Loan Amortization'!$G$516,IF(AND($C254&gt;='TIF Loan Amortization'!$H$517,$C254&lt;='TIF Loan Amortization'!I$517),'TIF Loan Amortization'!$G$517,IF(AND($C254&gt;='TIF Loan Amortization'!$H$518,$C254&lt;='TIF Loan Amortization'!I$518),'TIF Loan Amortization'!$G$518,IF(AND($C254&gt;='TIF Loan Amortization'!$H$519,$C254&lt;='TIF Loan Amortization'!I$519),'TIF Loan Amortization'!$G$519))))))))))))))))))))))))))))))))))))))))</f>
        <v>#N/A</v>
      </c>
      <c r="C254" s="269" t="e">
        <f t="shared" si="36"/>
        <v>#N/A</v>
      </c>
      <c r="D254" s="281" t="str">
        <f>IF($H$11="January",$H$10+17,IF($AG$422=1,$H$10+18,""))</f>
        <v/>
      </c>
      <c r="E254" s="274">
        <v>204</v>
      </c>
      <c r="F254" s="273" t="str">
        <f>VLOOKUP($AG$422,$AE$422:$AF$433,2)</f>
        <v>Mar</v>
      </c>
      <c r="G254" s="272">
        <f t="shared" si="37"/>
        <v>0</v>
      </c>
      <c r="H254" s="272">
        <f t="shared" si="40"/>
        <v>0</v>
      </c>
      <c r="I254" s="272">
        <f t="shared" si="41"/>
        <v>0</v>
      </c>
      <c r="J254" s="272">
        <f t="shared" si="38"/>
        <v>0</v>
      </c>
      <c r="K254" s="272">
        <f>IF(ISTEXT($M$4),"",SUM(I$50:I254))</f>
        <v>0</v>
      </c>
      <c r="L254" s="272">
        <f>IF(ISTEXT($M$4),"",SUM(J$50:J254))</f>
        <v>0</v>
      </c>
      <c r="M254" s="271">
        <f t="shared" si="39"/>
        <v>0</v>
      </c>
      <c r="N254" s="291" t="e">
        <f>IF(C254='Operating Assumptions'!$C$48,"Construction Finish","")</f>
        <v>#N/A</v>
      </c>
      <c r="O254" s="291"/>
      <c r="P254" s="291"/>
      <c r="Q254" s="291"/>
      <c r="R254" s="291"/>
      <c r="S254" s="291"/>
      <c r="T254" s="280"/>
      <c r="U254" s="280"/>
      <c r="V254" s="286"/>
      <c r="W254" s="286"/>
      <c r="X254" s="286"/>
      <c r="Y254" s="280"/>
      <c r="Z254" s="279"/>
      <c r="AA254" s="279"/>
      <c r="AB254" s="279"/>
    </row>
    <row r="255" spans="2:28" s="278" customFormat="1" ht="13.5" hidden="1" outlineLevel="1" x14ac:dyDescent="0.25">
      <c r="B255" s="270" t="e">
        <f>IF(AND($C255&gt;='TIF Loan Amortization'!$H$480,$C255&lt;='TIF Loan Amortization'!$I$480),'TIF Loan Amortization'!$G$480,IF(AND($C255&gt;='TIF Loan Amortization'!$H$481,$C255&lt;='TIF Loan Amortization'!I$481),'TIF Loan Amortization'!$G$481,IF(AND($C255&gt;='TIF Loan Amortization'!$H$482,$C255&lt;='TIF Loan Amortization'!I$482),'TIF Loan Amortization'!$G$482,IF(AND($C255&gt;='TIF Loan Amortization'!$H$483,$C255&lt;='TIF Loan Amortization'!I$483),'TIF Loan Amortization'!$G$483,IF(AND($C255&gt;='TIF Loan Amortization'!$H$484,$C255&lt;='TIF Loan Amortization'!I$484),'TIF Loan Amortization'!$G$484,IF(AND($C255&gt;='TIF Loan Amortization'!$H$485,$C255&lt;='TIF Loan Amortization'!I$485),'TIF Loan Amortization'!$G$485,IF(AND($C255&gt;='TIF Loan Amortization'!$H$486,$C255&lt;='TIF Loan Amortization'!I$486),'TIF Loan Amortization'!$G$486,IF(AND($C255&gt;='TIF Loan Amortization'!$H$487,$C255&lt;='TIF Loan Amortization'!I$487),'TIF Loan Amortization'!$G$487,IF(AND($C255&gt;='TIF Loan Amortization'!$H$488,$C255&lt;='TIF Loan Amortization'!I$488),'TIF Loan Amortization'!$G$488,IF(AND($C255&gt;='TIF Loan Amortization'!$H$489,$C255&lt;='TIF Loan Amortization'!I$489),'TIF Loan Amortization'!$G$489,IF(AND($C255&gt;='TIF Loan Amortization'!$H$490,$C255&lt;='TIF Loan Amortization'!I$490),'TIF Loan Amortization'!$G$490,IF(AND($C255&gt;='TIF Loan Amortization'!$H$491,$C255&lt;='TIF Loan Amortization'!I$491),'TIF Loan Amortization'!$G$491,IF(AND($C255&gt;='TIF Loan Amortization'!$H$492,$C255&lt;='TIF Loan Amortization'!I$492),'TIF Loan Amortization'!$G$492,IF(AND($C255&gt;='TIF Loan Amortization'!$H$493,$C255&lt;='TIF Loan Amortization'!I$493),'TIF Loan Amortization'!$G$493,IF(AND($C255&gt;='TIF Loan Amortization'!$H$494,$C255&lt;='TIF Loan Amortization'!I$494),'TIF Loan Amortization'!$G$494,IF(AND($C255&gt;='TIF Loan Amortization'!$H$495,$C255&lt;='TIF Loan Amortization'!I$495),'TIF Loan Amortization'!$G$495,IF(AND($C255&gt;='TIF Loan Amortization'!$H$496,$C255&lt;='TIF Loan Amortization'!I$496),'TIF Loan Amortization'!$G$496,IF(AND($C255&gt;='TIF Loan Amortization'!$H$497,$C255&lt;='TIF Loan Amortization'!I$497),'TIF Loan Amortization'!$G$497,IF(AND($C255&gt;='TIF Loan Amortization'!$H$498,$C255&lt;='TIF Loan Amortization'!I$498),'TIF Loan Amortization'!$G$498,IF(AND($C255&gt;='TIF Loan Amortization'!$H$499,$C255&lt;='TIF Loan Amortization'!I$499),'TIF Loan Amortization'!$G$499,IF(AND($C255&gt;='TIF Loan Amortization'!$H$500,$C255&lt;='TIF Loan Amortization'!I$500),'TIF Loan Amortization'!$G$500,IF(AND($C255&gt;='TIF Loan Amortization'!$H$501,$C255&lt;='TIF Loan Amortization'!I$501),'TIF Loan Amortization'!$G$501,IF(AND($C255&gt;='TIF Loan Amortization'!$H$502,$C255&lt;='TIF Loan Amortization'!I$502),'TIF Loan Amortization'!$G$502,IF(AND($C255&gt;='TIF Loan Amortization'!$H$503,$C255&lt;='TIF Loan Amortization'!I$503),'TIF Loan Amortization'!$G$503,IF(AND($C255&gt;='TIF Loan Amortization'!$H$504,$C255&lt;='TIF Loan Amortization'!I$504),'TIF Loan Amortization'!$G$504,IF(AND($C255&gt;='TIF Loan Amortization'!$H$505,$C255&lt;='TIF Loan Amortization'!I$505),'TIF Loan Amortization'!$G$505,IF(AND($C255&gt;='TIF Loan Amortization'!$H$506,$C255&lt;='TIF Loan Amortization'!I$506),'TIF Loan Amortization'!$G$506,IF(AND($C255&gt;='TIF Loan Amortization'!$H$507,$C255&lt;='TIF Loan Amortization'!I$507),'TIF Loan Amortization'!$G$507,IF(AND($C255&gt;='TIF Loan Amortization'!$H$508,$C255&lt;='TIF Loan Amortization'!I$508),'TIF Loan Amortization'!$G$508,IF(AND($C255&gt;='TIF Loan Amortization'!$H$509,$C255&lt;='TIF Loan Amortization'!I$509),'TIF Loan Amortization'!$G$509,IF(AND($C255&gt;='TIF Loan Amortization'!$H$510,$C255&lt;='TIF Loan Amortization'!I$510),'TIF Loan Amortization'!$G$510,IF(AND($C255&gt;='TIF Loan Amortization'!$H$511,$C255&lt;='TIF Loan Amortization'!I$511),'TIF Loan Amortization'!$G$511,IF(AND($C255&gt;='TIF Loan Amortization'!$H$512,$C255&lt;='TIF Loan Amortization'!I$512),'TIF Loan Amortization'!$G$512,IF(AND($C255&gt;='TIF Loan Amortization'!$H$513,$C255&lt;='TIF Loan Amortization'!I$513),'TIF Loan Amortization'!$G$513,IF(AND($C255&gt;='TIF Loan Amortization'!$H$514,$C255&lt;='TIF Loan Amortization'!I$514),'TIF Loan Amortization'!$G$514,IF(AND($C255&gt;='TIF Loan Amortization'!$H$515,$C255&lt;='TIF Loan Amortization'!I$515),'TIF Loan Amortization'!$G$515,IF(AND($C255&gt;='TIF Loan Amortization'!$H$516,$C255&lt;='TIF Loan Amortization'!I$516),'TIF Loan Amortization'!$G$516,IF(AND($C255&gt;='TIF Loan Amortization'!$H$517,$C255&lt;='TIF Loan Amortization'!I$517),'TIF Loan Amortization'!$G$517,IF(AND($C255&gt;='TIF Loan Amortization'!$H$518,$C255&lt;='TIF Loan Amortization'!I$518),'TIF Loan Amortization'!$G$518,IF(AND($C255&gt;='TIF Loan Amortization'!$H$519,$C255&lt;='TIF Loan Amortization'!I$519),'TIF Loan Amortization'!$G$519))))))))))))))))))))))))))))))))))))))))</f>
        <v>#N/A</v>
      </c>
      <c r="C255" s="269" t="e">
        <f t="shared" si="36"/>
        <v>#N/A</v>
      </c>
      <c r="D255" s="281" t="str">
        <f>IF($AG$423=1,$H$10+18,"")</f>
        <v/>
      </c>
      <c r="E255" s="274">
        <v>205</v>
      </c>
      <c r="F255" s="275" t="str">
        <f>VLOOKUP($AG$423,$AE$422:$AF$433,2)</f>
        <v>Apr</v>
      </c>
      <c r="G255" s="272">
        <f t="shared" si="37"/>
        <v>0</v>
      </c>
      <c r="H255" s="272">
        <f t="shared" si="40"/>
        <v>0</v>
      </c>
      <c r="I255" s="272">
        <f t="shared" si="41"/>
        <v>0</v>
      </c>
      <c r="J255" s="272">
        <f t="shared" si="38"/>
        <v>0</v>
      </c>
      <c r="K255" s="272">
        <f>IF(ISTEXT($M$4),"",SUM(I$50:I255))</f>
        <v>0</v>
      </c>
      <c r="L255" s="272">
        <f>IF(ISTEXT($M$4),"",SUM(J$50:J255))</f>
        <v>0</v>
      </c>
      <c r="M255" s="271">
        <f t="shared" si="39"/>
        <v>0</v>
      </c>
      <c r="N255" s="291" t="e">
        <f>IF(C255='Operating Assumptions'!$C$48,"Construction Finish","")</f>
        <v>#N/A</v>
      </c>
      <c r="O255" s="291"/>
      <c r="P255" s="291"/>
      <c r="Q255" s="291"/>
      <c r="R255" s="291"/>
      <c r="S255" s="291"/>
      <c r="T255" s="280"/>
      <c r="U255" s="280"/>
      <c r="V255" s="286"/>
      <c r="W255" s="286"/>
      <c r="X255" s="286"/>
      <c r="Y255" s="280"/>
      <c r="Z255" s="279"/>
      <c r="AA255" s="279"/>
      <c r="AB255" s="279"/>
    </row>
    <row r="256" spans="2:28" s="278" customFormat="1" ht="13.5" hidden="1" outlineLevel="1" x14ac:dyDescent="0.25">
      <c r="B256" s="270" t="e">
        <f>IF(AND($C256&gt;='TIF Loan Amortization'!$H$480,$C256&lt;='TIF Loan Amortization'!$I$480),'TIF Loan Amortization'!$G$480,IF(AND($C256&gt;='TIF Loan Amortization'!$H$481,$C256&lt;='TIF Loan Amortization'!I$481),'TIF Loan Amortization'!$G$481,IF(AND($C256&gt;='TIF Loan Amortization'!$H$482,$C256&lt;='TIF Loan Amortization'!I$482),'TIF Loan Amortization'!$G$482,IF(AND($C256&gt;='TIF Loan Amortization'!$H$483,$C256&lt;='TIF Loan Amortization'!I$483),'TIF Loan Amortization'!$G$483,IF(AND($C256&gt;='TIF Loan Amortization'!$H$484,$C256&lt;='TIF Loan Amortization'!I$484),'TIF Loan Amortization'!$G$484,IF(AND($C256&gt;='TIF Loan Amortization'!$H$485,$C256&lt;='TIF Loan Amortization'!I$485),'TIF Loan Amortization'!$G$485,IF(AND($C256&gt;='TIF Loan Amortization'!$H$486,$C256&lt;='TIF Loan Amortization'!I$486),'TIF Loan Amortization'!$G$486,IF(AND($C256&gt;='TIF Loan Amortization'!$H$487,$C256&lt;='TIF Loan Amortization'!I$487),'TIF Loan Amortization'!$G$487,IF(AND($C256&gt;='TIF Loan Amortization'!$H$488,$C256&lt;='TIF Loan Amortization'!I$488),'TIF Loan Amortization'!$G$488,IF(AND($C256&gt;='TIF Loan Amortization'!$H$489,$C256&lt;='TIF Loan Amortization'!I$489),'TIF Loan Amortization'!$G$489,IF(AND($C256&gt;='TIF Loan Amortization'!$H$490,$C256&lt;='TIF Loan Amortization'!I$490),'TIF Loan Amortization'!$G$490,IF(AND($C256&gt;='TIF Loan Amortization'!$H$491,$C256&lt;='TIF Loan Amortization'!I$491),'TIF Loan Amortization'!$G$491,IF(AND($C256&gt;='TIF Loan Amortization'!$H$492,$C256&lt;='TIF Loan Amortization'!I$492),'TIF Loan Amortization'!$G$492,IF(AND($C256&gt;='TIF Loan Amortization'!$H$493,$C256&lt;='TIF Loan Amortization'!I$493),'TIF Loan Amortization'!$G$493,IF(AND($C256&gt;='TIF Loan Amortization'!$H$494,$C256&lt;='TIF Loan Amortization'!I$494),'TIF Loan Amortization'!$G$494,IF(AND($C256&gt;='TIF Loan Amortization'!$H$495,$C256&lt;='TIF Loan Amortization'!I$495),'TIF Loan Amortization'!$G$495,IF(AND($C256&gt;='TIF Loan Amortization'!$H$496,$C256&lt;='TIF Loan Amortization'!I$496),'TIF Loan Amortization'!$G$496,IF(AND($C256&gt;='TIF Loan Amortization'!$H$497,$C256&lt;='TIF Loan Amortization'!I$497),'TIF Loan Amortization'!$G$497,IF(AND($C256&gt;='TIF Loan Amortization'!$H$498,$C256&lt;='TIF Loan Amortization'!I$498),'TIF Loan Amortization'!$G$498,IF(AND($C256&gt;='TIF Loan Amortization'!$H$499,$C256&lt;='TIF Loan Amortization'!I$499),'TIF Loan Amortization'!$G$499,IF(AND($C256&gt;='TIF Loan Amortization'!$H$500,$C256&lt;='TIF Loan Amortization'!I$500),'TIF Loan Amortization'!$G$500,IF(AND($C256&gt;='TIF Loan Amortization'!$H$501,$C256&lt;='TIF Loan Amortization'!I$501),'TIF Loan Amortization'!$G$501,IF(AND($C256&gt;='TIF Loan Amortization'!$H$502,$C256&lt;='TIF Loan Amortization'!I$502),'TIF Loan Amortization'!$G$502,IF(AND($C256&gt;='TIF Loan Amortization'!$H$503,$C256&lt;='TIF Loan Amortization'!I$503),'TIF Loan Amortization'!$G$503,IF(AND($C256&gt;='TIF Loan Amortization'!$H$504,$C256&lt;='TIF Loan Amortization'!I$504),'TIF Loan Amortization'!$G$504,IF(AND($C256&gt;='TIF Loan Amortization'!$H$505,$C256&lt;='TIF Loan Amortization'!I$505),'TIF Loan Amortization'!$G$505,IF(AND($C256&gt;='TIF Loan Amortization'!$H$506,$C256&lt;='TIF Loan Amortization'!I$506),'TIF Loan Amortization'!$G$506,IF(AND($C256&gt;='TIF Loan Amortization'!$H$507,$C256&lt;='TIF Loan Amortization'!I$507),'TIF Loan Amortization'!$G$507,IF(AND($C256&gt;='TIF Loan Amortization'!$H$508,$C256&lt;='TIF Loan Amortization'!I$508),'TIF Loan Amortization'!$G$508,IF(AND($C256&gt;='TIF Loan Amortization'!$H$509,$C256&lt;='TIF Loan Amortization'!I$509),'TIF Loan Amortization'!$G$509,IF(AND($C256&gt;='TIF Loan Amortization'!$H$510,$C256&lt;='TIF Loan Amortization'!I$510),'TIF Loan Amortization'!$G$510,IF(AND($C256&gt;='TIF Loan Amortization'!$H$511,$C256&lt;='TIF Loan Amortization'!I$511),'TIF Loan Amortization'!$G$511,IF(AND($C256&gt;='TIF Loan Amortization'!$H$512,$C256&lt;='TIF Loan Amortization'!I$512),'TIF Loan Amortization'!$G$512,IF(AND($C256&gt;='TIF Loan Amortization'!$H$513,$C256&lt;='TIF Loan Amortization'!I$513),'TIF Loan Amortization'!$G$513,IF(AND($C256&gt;='TIF Loan Amortization'!$H$514,$C256&lt;='TIF Loan Amortization'!I$514),'TIF Loan Amortization'!$G$514,IF(AND($C256&gt;='TIF Loan Amortization'!$H$515,$C256&lt;='TIF Loan Amortization'!I$515),'TIF Loan Amortization'!$G$515,IF(AND($C256&gt;='TIF Loan Amortization'!$H$516,$C256&lt;='TIF Loan Amortization'!I$516),'TIF Loan Amortization'!$G$516,IF(AND($C256&gt;='TIF Loan Amortization'!$H$517,$C256&lt;='TIF Loan Amortization'!I$517),'TIF Loan Amortization'!$G$517,IF(AND($C256&gt;='TIF Loan Amortization'!$H$518,$C256&lt;='TIF Loan Amortization'!I$518),'TIF Loan Amortization'!$G$518,IF(AND($C256&gt;='TIF Loan Amortization'!$H$519,$C256&lt;='TIF Loan Amortization'!I$519),'TIF Loan Amortization'!$G$519))))))))))))))))))))))))))))))))))))))))</f>
        <v>#N/A</v>
      </c>
      <c r="C256" s="269" t="e">
        <f t="shared" si="36"/>
        <v>#N/A</v>
      </c>
      <c r="D256" s="281" t="str">
        <f>IF($AG$424=1,$H$10+18,"")</f>
        <v/>
      </c>
      <c r="E256" s="274">
        <v>206</v>
      </c>
      <c r="F256" s="275" t="str">
        <f>VLOOKUP($AG$424,$AE$422:$AF$433,2)</f>
        <v>May</v>
      </c>
      <c r="G256" s="272">
        <f t="shared" si="37"/>
        <v>0</v>
      </c>
      <c r="H256" s="272">
        <f t="shared" si="40"/>
        <v>0</v>
      </c>
      <c r="I256" s="272">
        <f t="shared" si="41"/>
        <v>0</v>
      </c>
      <c r="J256" s="272">
        <f t="shared" si="38"/>
        <v>0</v>
      </c>
      <c r="K256" s="272">
        <f>IF(ISTEXT($M$4),"",SUM(I$50:I256))</f>
        <v>0</v>
      </c>
      <c r="L256" s="272">
        <f>IF(ISTEXT($M$4),"",SUM(J$50:J256))</f>
        <v>0</v>
      </c>
      <c r="M256" s="271">
        <f t="shared" si="39"/>
        <v>0</v>
      </c>
      <c r="N256" s="291" t="e">
        <f>IF(C256='Operating Assumptions'!$C$48,"Construction Finish","")</f>
        <v>#N/A</v>
      </c>
      <c r="O256" s="291"/>
      <c r="P256" s="291"/>
      <c r="Q256" s="291"/>
      <c r="R256" s="291"/>
      <c r="S256" s="291"/>
      <c r="T256" s="280"/>
      <c r="U256" s="280"/>
      <c r="V256" s="286"/>
      <c r="W256" s="286"/>
      <c r="X256" s="286"/>
      <c r="Y256" s="280"/>
      <c r="Z256" s="279"/>
      <c r="AA256" s="279"/>
      <c r="AB256" s="279"/>
    </row>
    <row r="257" spans="2:28" s="278" customFormat="1" ht="13.5" hidden="1" outlineLevel="1" x14ac:dyDescent="0.25">
      <c r="B257" s="270" t="e">
        <f>IF(AND($C257&gt;='TIF Loan Amortization'!$H$480,$C257&lt;='TIF Loan Amortization'!$I$480),'TIF Loan Amortization'!$G$480,IF(AND($C257&gt;='TIF Loan Amortization'!$H$481,$C257&lt;='TIF Loan Amortization'!I$481),'TIF Loan Amortization'!$G$481,IF(AND($C257&gt;='TIF Loan Amortization'!$H$482,$C257&lt;='TIF Loan Amortization'!I$482),'TIF Loan Amortization'!$G$482,IF(AND($C257&gt;='TIF Loan Amortization'!$H$483,$C257&lt;='TIF Loan Amortization'!I$483),'TIF Loan Amortization'!$G$483,IF(AND($C257&gt;='TIF Loan Amortization'!$H$484,$C257&lt;='TIF Loan Amortization'!I$484),'TIF Loan Amortization'!$G$484,IF(AND($C257&gt;='TIF Loan Amortization'!$H$485,$C257&lt;='TIF Loan Amortization'!I$485),'TIF Loan Amortization'!$G$485,IF(AND($C257&gt;='TIF Loan Amortization'!$H$486,$C257&lt;='TIF Loan Amortization'!I$486),'TIF Loan Amortization'!$G$486,IF(AND($C257&gt;='TIF Loan Amortization'!$H$487,$C257&lt;='TIF Loan Amortization'!I$487),'TIF Loan Amortization'!$G$487,IF(AND($C257&gt;='TIF Loan Amortization'!$H$488,$C257&lt;='TIF Loan Amortization'!I$488),'TIF Loan Amortization'!$G$488,IF(AND($C257&gt;='TIF Loan Amortization'!$H$489,$C257&lt;='TIF Loan Amortization'!I$489),'TIF Loan Amortization'!$G$489,IF(AND($C257&gt;='TIF Loan Amortization'!$H$490,$C257&lt;='TIF Loan Amortization'!I$490),'TIF Loan Amortization'!$G$490,IF(AND($C257&gt;='TIF Loan Amortization'!$H$491,$C257&lt;='TIF Loan Amortization'!I$491),'TIF Loan Amortization'!$G$491,IF(AND($C257&gt;='TIF Loan Amortization'!$H$492,$C257&lt;='TIF Loan Amortization'!I$492),'TIF Loan Amortization'!$G$492,IF(AND($C257&gt;='TIF Loan Amortization'!$H$493,$C257&lt;='TIF Loan Amortization'!I$493),'TIF Loan Amortization'!$G$493,IF(AND($C257&gt;='TIF Loan Amortization'!$H$494,$C257&lt;='TIF Loan Amortization'!I$494),'TIF Loan Amortization'!$G$494,IF(AND($C257&gt;='TIF Loan Amortization'!$H$495,$C257&lt;='TIF Loan Amortization'!I$495),'TIF Loan Amortization'!$G$495,IF(AND($C257&gt;='TIF Loan Amortization'!$H$496,$C257&lt;='TIF Loan Amortization'!I$496),'TIF Loan Amortization'!$G$496,IF(AND($C257&gt;='TIF Loan Amortization'!$H$497,$C257&lt;='TIF Loan Amortization'!I$497),'TIF Loan Amortization'!$G$497,IF(AND($C257&gt;='TIF Loan Amortization'!$H$498,$C257&lt;='TIF Loan Amortization'!I$498),'TIF Loan Amortization'!$G$498,IF(AND($C257&gt;='TIF Loan Amortization'!$H$499,$C257&lt;='TIF Loan Amortization'!I$499),'TIF Loan Amortization'!$G$499,IF(AND($C257&gt;='TIF Loan Amortization'!$H$500,$C257&lt;='TIF Loan Amortization'!I$500),'TIF Loan Amortization'!$G$500,IF(AND($C257&gt;='TIF Loan Amortization'!$H$501,$C257&lt;='TIF Loan Amortization'!I$501),'TIF Loan Amortization'!$G$501,IF(AND($C257&gt;='TIF Loan Amortization'!$H$502,$C257&lt;='TIF Loan Amortization'!I$502),'TIF Loan Amortization'!$G$502,IF(AND($C257&gt;='TIF Loan Amortization'!$H$503,$C257&lt;='TIF Loan Amortization'!I$503),'TIF Loan Amortization'!$G$503,IF(AND($C257&gt;='TIF Loan Amortization'!$H$504,$C257&lt;='TIF Loan Amortization'!I$504),'TIF Loan Amortization'!$G$504,IF(AND($C257&gt;='TIF Loan Amortization'!$H$505,$C257&lt;='TIF Loan Amortization'!I$505),'TIF Loan Amortization'!$G$505,IF(AND($C257&gt;='TIF Loan Amortization'!$H$506,$C257&lt;='TIF Loan Amortization'!I$506),'TIF Loan Amortization'!$G$506,IF(AND($C257&gt;='TIF Loan Amortization'!$H$507,$C257&lt;='TIF Loan Amortization'!I$507),'TIF Loan Amortization'!$G$507,IF(AND($C257&gt;='TIF Loan Amortization'!$H$508,$C257&lt;='TIF Loan Amortization'!I$508),'TIF Loan Amortization'!$G$508,IF(AND($C257&gt;='TIF Loan Amortization'!$H$509,$C257&lt;='TIF Loan Amortization'!I$509),'TIF Loan Amortization'!$G$509,IF(AND($C257&gt;='TIF Loan Amortization'!$H$510,$C257&lt;='TIF Loan Amortization'!I$510),'TIF Loan Amortization'!$G$510,IF(AND($C257&gt;='TIF Loan Amortization'!$H$511,$C257&lt;='TIF Loan Amortization'!I$511),'TIF Loan Amortization'!$G$511,IF(AND($C257&gt;='TIF Loan Amortization'!$H$512,$C257&lt;='TIF Loan Amortization'!I$512),'TIF Loan Amortization'!$G$512,IF(AND($C257&gt;='TIF Loan Amortization'!$H$513,$C257&lt;='TIF Loan Amortization'!I$513),'TIF Loan Amortization'!$G$513,IF(AND($C257&gt;='TIF Loan Amortization'!$H$514,$C257&lt;='TIF Loan Amortization'!I$514),'TIF Loan Amortization'!$G$514,IF(AND($C257&gt;='TIF Loan Amortization'!$H$515,$C257&lt;='TIF Loan Amortization'!I$515),'TIF Loan Amortization'!$G$515,IF(AND($C257&gt;='TIF Loan Amortization'!$H$516,$C257&lt;='TIF Loan Amortization'!I$516),'TIF Loan Amortization'!$G$516,IF(AND($C257&gt;='TIF Loan Amortization'!$H$517,$C257&lt;='TIF Loan Amortization'!I$517),'TIF Loan Amortization'!$G$517,IF(AND($C257&gt;='TIF Loan Amortization'!$H$518,$C257&lt;='TIF Loan Amortization'!I$518),'TIF Loan Amortization'!$G$518,IF(AND($C257&gt;='TIF Loan Amortization'!$H$519,$C257&lt;='TIF Loan Amortization'!I$519),'TIF Loan Amortization'!$G$519))))))))))))))))))))))))))))))))))))))))</f>
        <v>#N/A</v>
      </c>
      <c r="C257" s="269" t="e">
        <f t="shared" si="36"/>
        <v>#N/A</v>
      </c>
      <c r="D257" s="281" t="str">
        <f>IF($AG$425=1,$H$10+18,"")</f>
        <v/>
      </c>
      <c r="E257" s="274">
        <v>207</v>
      </c>
      <c r="F257" s="275" t="str">
        <f>VLOOKUP($AG$425,$AE$422:$AF$433,2)</f>
        <v>Jun</v>
      </c>
      <c r="G257" s="272">
        <f t="shared" si="37"/>
        <v>0</v>
      </c>
      <c r="H257" s="272">
        <f t="shared" si="40"/>
        <v>0</v>
      </c>
      <c r="I257" s="272">
        <f t="shared" si="41"/>
        <v>0</v>
      </c>
      <c r="J257" s="272">
        <f t="shared" si="38"/>
        <v>0</v>
      </c>
      <c r="K257" s="272">
        <f>IF(ISTEXT($M$4),"",SUM(I$50:I257))</f>
        <v>0</v>
      </c>
      <c r="L257" s="272">
        <f>IF(ISTEXT($M$4),"",SUM(J$50:J257))</f>
        <v>0</v>
      </c>
      <c r="M257" s="271">
        <f t="shared" si="39"/>
        <v>0</v>
      </c>
      <c r="N257" s="291" t="e">
        <f>IF(C257='Operating Assumptions'!$C$48,"Construction Finish","")</f>
        <v>#N/A</v>
      </c>
      <c r="O257" s="291"/>
      <c r="P257" s="291"/>
      <c r="Q257" s="291"/>
      <c r="R257" s="291"/>
      <c r="S257" s="291"/>
      <c r="T257" s="280"/>
      <c r="U257" s="280"/>
      <c r="V257" s="286"/>
      <c r="W257" s="286"/>
      <c r="X257" s="286"/>
      <c r="Y257" s="280"/>
      <c r="Z257" s="279"/>
      <c r="AA257" s="279"/>
      <c r="AB257" s="279"/>
    </row>
    <row r="258" spans="2:28" s="278" customFormat="1" ht="13.5" hidden="1" outlineLevel="1" x14ac:dyDescent="0.25">
      <c r="B258" s="270" t="e">
        <f>IF(AND($C258&gt;='TIF Loan Amortization'!$H$480,$C258&lt;='TIF Loan Amortization'!$I$480),'TIF Loan Amortization'!$G$480,IF(AND($C258&gt;='TIF Loan Amortization'!$H$481,$C258&lt;='TIF Loan Amortization'!I$481),'TIF Loan Amortization'!$G$481,IF(AND($C258&gt;='TIF Loan Amortization'!$H$482,$C258&lt;='TIF Loan Amortization'!I$482),'TIF Loan Amortization'!$G$482,IF(AND($C258&gt;='TIF Loan Amortization'!$H$483,$C258&lt;='TIF Loan Amortization'!I$483),'TIF Loan Amortization'!$G$483,IF(AND($C258&gt;='TIF Loan Amortization'!$H$484,$C258&lt;='TIF Loan Amortization'!I$484),'TIF Loan Amortization'!$G$484,IF(AND($C258&gt;='TIF Loan Amortization'!$H$485,$C258&lt;='TIF Loan Amortization'!I$485),'TIF Loan Amortization'!$G$485,IF(AND($C258&gt;='TIF Loan Amortization'!$H$486,$C258&lt;='TIF Loan Amortization'!I$486),'TIF Loan Amortization'!$G$486,IF(AND($C258&gt;='TIF Loan Amortization'!$H$487,$C258&lt;='TIF Loan Amortization'!I$487),'TIF Loan Amortization'!$G$487,IF(AND($C258&gt;='TIF Loan Amortization'!$H$488,$C258&lt;='TIF Loan Amortization'!I$488),'TIF Loan Amortization'!$G$488,IF(AND($C258&gt;='TIF Loan Amortization'!$H$489,$C258&lt;='TIF Loan Amortization'!I$489),'TIF Loan Amortization'!$G$489,IF(AND($C258&gt;='TIF Loan Amortization'!$H$490,$C258&lt;='TIF Loan Amortization'!I$490),'TIF Loan Amortization'!$G$490,IF(AND($C258&gt;='TIF Loan Amortization'!$H$491,$C258&lt;='TIF Loan Amortization'!I$491),'TIF Loan Amortization'!$G$491,IF(AND($C258&gt;='TIF Loan Amortization'!$H$492,$C258&lt;='TIF Loan Amortization'!I$492),'TIF Loan Amortization'!$G$492,IF(AND($C258&gt;='TIF Loan Amortization'!$H$493,$C258&lt;='TIF Loan Amortization'!I$493),'TIF Loan Amortization'!$G$493,IF(AND($C258&gt;='TIF Loan Amortization'!$H$494,$C258&lt;='TIF Loan Amortization'!I$494),'TIF Loan Amortization'!$G$494,IF(AND($C258&gt;='TIF Loan Amortization'!$H$495,$C258&lt;='TIF Loan Amortization'!I$495),'TIF Loan Amortization'!$G$495,IF(AND($C258&gt;='TIF Loan Amortization'!$H$496,$C258&lt;='TIF Loan Amortization'!I$496),'TIF Loan Amortization'!$G$496,IF(AND($C258&gt;='TIF Loan Amortization'!$H$497,$C258&lt;='TIF Loan Amortization'!I$497),'TIF Loan Amortization'!$G$497,IF(AND($C258&gt;='TIF Loan Amortization'!$H$498,$C258&lt;='TIF Loan Amortization'!I$498),'TIF Loan Amortization'!$G$498,IF(AND($C258&gt;='TIF Loan Amortization'!$H$499,$C258&lt;='TIF Loan Amortization'!I$499),'TIF Loan Amortization'!$G$499,IF(AND($C258&gt;='TIF Loan Amortization'!$H$500,$C258&lt;='TIF Loan Amortization'!I$500),'TIF Loan Amortization'!$G$500,IF(AND($C258&gt;='TIF Loan Amortization'!$H$501,$C258&lt;='TIF Loan Amortization'!I$501),'TIF Loan Amortization'!$G$501,IF(AND($C258&gt;='TIF Loan Amortization'!$H$502,$C258&lt;='TIF Loan Amortization'!I$502),'TIF Loan Amortization'!$G$502,IF(AND($C258&gt;='TIF Loan Amortization'!$H$503,$C258&lt;='TIF Loan Amortization'!I$503),'TIF Loan Amortization'!$G$503,IF(AND($C258&gt;='TIF Loan Amortization'!$H$504,$C258&lt;='TIF Loan Amortization'!I$504),'TIF Loan Amortization'!$G$504,IF(AND($C258&gt;='TIF Loan Amortization'!$H$505,$C258&lt;='TIF Loan Amortization'!I$505),'TIF Loan Amortization'!$G$505,IF(AND($C258&gt;='TIF Loan Amortization'!$H$506,$C258&lt;='TIF Loan Amortization'!I$506),'TIF Loan Amortization'!$G$506,IF(AND($C258&gt;='TIF Loan Amortization'!$H$507,$C258&lt;='TIF Loan Amortization'!I$507),'TIF Loan Amortization'!$G$507,IF(AND($C258&gt;='TIF Loan Amortization'!$H$508,$C258&lt;='TIF Loan Amortization'!I$508),'TIF Loan Amortization'!$G$508,IF(AND($C258&gt;='TIF Loan Amortization'!$H$509,$C258&lt;='TIF Loan Amortization'!I$509),'TIF Loan Amortization'!$G$509,IF(AND($C258&gt;='TIF Loan Amortization'!$H$510,$C258&lt;='TIF Loan Amortization'!I$510),'TIF Loan Amortization'!$G$510,IF(AND($C258&gt;='TIF Loan Amortization'!$H$511,$C258&lt;='TIF Loan Amortization'!I$511),'TIF Loan Amortization'!$G$511,IF(AND($C258&gt;='TIF Loan Amortization'!$H$512,$C258&lt;='TIF Loan Amortization'!I$512),'TIF Loan Amortization'!$G$512,IF(AND($C258&gt;='TIF Loan Amortization'!$H$513,$C258&lt;='TIF Loan Amortization'!I$513),'TIF Loan Amortization'!$G$513,IF(AND($C258&gt;='TIF Loan Amortization'!$H$514,$C258&lt;='TIF Loan Amortization'!I$514),'TIF Loan Amortization'!$G$514,IF(AND($C258&gt;='TIF Loan Amortization'!$H$515,$C258&lt;='TIF Loan Amortization'!I$515),'TIF Loan Amortization'!$G$515,IF(AND($C258&gt;='TIF Loan Amortization'!$H$516,$C258&lt;='TIF Loan Amortization'!I$516),'TIF Loan Amortization'!$G$516,IF(AND($C258&gt;='TIF Loan Amortization'!$H$517,$C258&lt;='TIF Loan Amortization'!I$517),'TIF Loan Amortization'!$G$517,IF(AND($C258&gt;='TIF Loan Amortization'!$H$518,$C258&lt;='TIF Loan Amortization'!I$518),'TIF Loan Amortization'!$G$518,IF(AND($C258&gt;='TIF Loan Amortization'!$H$519,$C258&lt;='TIF Loan Amortization'!I$519),'TIF Loan Amortization'!$G$519))))))))))))))))))))))))))))))))))))))))</f>
        <v>#N/A</v>
      </c>
      <c r="C258" s="269" t="e">
        <f t="shared" si="36"/>
        <v>#N/A</v>
      </c>
      <c r="D258" s="281" t="str">
        <f>IF($AG$426=1,$H$10+18,"")</f>
        <v/>
      </c>
      <c r="E258" s="274">
        <v>208</v>
      </c>
      <c r="F258" s="275" t="str">
        <f>VLOOKUP($AG$426,$AE$422:$AF$433,2)</f>
        <v>Jul</v>
      </c>
      <c r="G258" s="272">
        <f t="shared" si="37"/>
        <v>0</v>
      </c>
      <c r="H258" s="272">
        <f t="shared" si="40"/>
        <v>0</v>
      </c>
      <c r="I258" s="272">
        <f t="shared" si="41"/>
        <v>0</v>
      </c>
      <c r="J258" s="272">
        <f t="shared" si="38"/>
        <v>0</v>
      </c>
      <c r="K258" s="272">
        <f>IF(ISTEXT($M$4),"",SUM(I$50:I258))</f>
        <v>0</v>
      </c>
      <c r="L258" s="272">
        <f>IF(ISTEXT($M$4),"",SUM(J$50:J258))</f>
        <v>0</v>
      </c>
      <c r="M258" s="271">
        <f t="shared" si="39"/>
        <v>0</v>
      </c>
      <c r="N258" s="291" t="e">
        <f>IF(C258='Operating Assumptions'!$C$48,"Construction Finish","")</f>
        <v>#N/A</v>
      </c>
      <c r="O258" s="291"/>
      <c r="P258" s="291"/>
      <c r="Q258" s="291"/>
      <c r="R258" s="291"/>
      <c r="S258" s="291"/>
      <c r="T258" s="280"/>
      <c r="U258" s="280"/>
      <c r="V258" s="286"/>
      <c r="W258" s="286"/>
      <c r="X258" s="286"/>
      <c r="Y258" s="280"/>
      <c r="Z258" s="279"/>
      <c r="AA258" s="279"/>
      <c r="AB258" s="279"/>
    </row>
    <row r="259" spans="2:28" s="278" customFormat="1" ht="13.5" hidden="1" outlineLevel="1" x14ac:dyDescent="0.25">
      <c r="B259" s="270" t="e">
        <f>IF(AND($C259&gt;='TIF Loan Amortization'!$H$480,$C259&lt;='TIF Loan Amortization'!$I$480),'TIF Loan Amortization'!$G$480,IF(AND($C259&gt;='TIF Loan Amortization'!$H$481,$C259&lt;='TIF Loan Amortization'!I$481),'TIF Loan Amortization'!$G$481,IF(AND($C259&gt;='TIF Loan Amortization'!$H$482,$C259&lt;='TIF Loan Amortization'!I$482),'TIF Loan Amortization'!$G$482,IF(AND($C259&gt;='TIF Loan Amortization'!$H$483,$C259&lt;='TIF Loan Amortization'!I$483),'TIF Loan Amortization'!$G$483,IF(AND($C259&gt;='TIF Loan Amortization'!$H$484,$C259&lt;='TIF Loan Amortization'!I$484),'TIF Loan Amortization'!$G$484,IF(AND($C259&gt;='TIF Loan Amortization'!$H$485,$C259&lt;='TIF Loan Amortization'!I$485),'TIF Loan Amortization'!$G$485,IF(AND($C259&gt;='TIF Loan Amortization'!$H$486,$C259&lt;='TIF Loan Amortization'!I$486),'TIF Loan Amortization'!$G$486,IF(AND($C259&gt;='TIF Loan Amortization'!$H$487,$C259&lt;='TIF Loan Amortization'!I$487),'TIF Loan Amortization'!$G$487,IF(AND($C259&gt;='TIF Loan Amortization'!$H$488,$C259&lt;='TIF Loan Amortization'!I$488),'TIF Loan Amortization'!$G$488,IF(AND($C259&gt;='TIF Loan Amortization'!$H$489,$C259&lt;='TIF Loan Amortization'!I$489),'TIF Loan Amortization'!$G$489,IF(AND($C259&gt;='TIF Loan Amortization'!$H$490,$C259&lt;='TIF Loan Amortization'!I$490),'TIF Loan Amortization'!$G$490,IF(AND($C259&gt;='TIF Loan Amortization'!$H$491,$C259&lt;='TIF Loan Amortization'!I$491),'TIF Loan Amortization'!$G$491,IF(AND($C259&gt;='TIF Loan Amortization'!$H$492,$C259&lt;='TIF Loan Amortization'!I$492),'TIF Loan Amortization'!$G$492,IF(AND($C259&gt;='TIF Loan Amortization'!$H$493,$C259&lt;='TIF Loan Amortization'!I$493),'TIF Loan Amortization'!$G$493,IF(AND($C259&gt;='TIF Loan Amortization'!$H$494,$C259&lt;='TIF Loan Amortization'!I$494),'TIF Loan Amortization'!$G$494,IF(AND($C259&gt;='TIF Loan Amortization'!$H$495,$C259&lt;='TIF Loan Amortization'!I$495),'TIF Loan Amortization'!$G$495,IF(AND($C259&gt;='TIF Loan Amortization'!$H$496,$C259&lt;='TIF Loan Amortization'!I$496),'TIF Loan Amortization'!$G$496,IF(AND($C259&gt;='TIF Loan Amortization'!$H$497,$C259&lt;='TIF Loan Amortization'!I$497),'TIF Loan Amortization'!$G$497,IF(AND($C259&gt;='TIF Loan Amortization'!$H$498,$C259&lt;='TIF Loan Amortization'!I$498),'TIF Loan Amortization'!$G$498,IF(AND($C259&gt;='TIF Loan Amortization'!$H$499,$C259&lt;='TIF Loan Amortization'!I$499),'TIF Loan Amortization'!$G$499,IF(AND($C259&gt;='TIF Loan Amortization'!$H$500,$C259&lt;='TIF Loan Amortization'!I$500),'TIF Loan Amortization'!$G$500,IF(AND($C259&gt;='TIF Loan Amortization'!$H$501,$C259&lt;='TIF Loan Amortization'!I$501),'TIF Loan Amortization'!$G$501,IF(AND($C259&gt;='TIF Loan Amortization'!$H$502,$C259&lt;='TIF Loan Amortization'!I$502),'TIF Loan Amortization'!$G$502,IF(AND($C259&gt;='TIF Loan Amortization'!$H$503,$C259&lt;='TIF Loan Amortization'!I$503),'TIF Loan Amortization'!$G$503,IF(AND($C259&gt;='TIF Loan Amortization'!$H$504,$C259&lt;='TIF Loan Amortization'!I$504),'TIF Loan Amortization'!$G$504,IF(AND($C259&gt;='TIF Loan Amortization'!$H$505,$C259&lt;='TIF Loan Amortization'!I$505),'TIF Loan Amortization'!$G$505,IF(AND($C259&gt;='TIF Loan Amortization'!$H$506,$C259&lt;='TIF Loan Amortization'!I$506),'TIF Loan Amortization'!$G$506,IF(AND($C259&gt;='TIF Loan Amortization'!$H$507,$C259&lt;='TIF Loan Amortization'!I$507),'TIF Loan Amortization'!$G$507,IF(AND($C259&gt;='TIF Loan Amortization'!$H$508,$C259&lt;='TIF Loan Amortization'!I$508),'TIF Loan Amortization'!$G$508,IF(AND($C259&gt;='TIF Loan Amortization'!$H$509,$C259&lt;='TIF Loan Amortization'!I$509),'TIF Loan Amortization'!$G$509,IF(AND($C259&gt;='TIF Loan Amortization'!$H$510,$C259&lt;='TIF Loan Amortization'!I$510),'TIF Loan Amortization'!$G$510,IF(AND($C259&gt;='TIF Loan Amortization'!$H$511,$C259&lt;='TIF Loan Amortization'!I$511),'TIF Loan Amortization'!$G$511,IF(AND($C259&gt;='TIF Loan Amortization'!$H$512,$C259&lt;='TIF Loan Amortization'!I$512),'TIF Loan Amortization'!$G$512,IF(AND($C259&gt;='TIF Loan Amortization'!$H$513,$C259&lt;='TIF Loan Amortization'!I$513),'TIF Loan Amortization'!$G$513,IF(AND($C259&gt;='TIF Loan Amortization'!$H$514,$C259&lt;='TIF Loan Amortization'!I$514),'TIF Loan Amortization'!$G$514,IF(AND($C259&gt;='TIF Loan Amortization'!$H$515,$C259&lt;='TIF Loan Amortization'!I$515),'TIF Loan Amortization'!$G$515,IF(AND($C259&gt;='TIF Loan Amortization'!$H$516,$C259&lt;='TIF Loan Amortization'!I$516),'TIF Loan Amortization'!$G$516,IF(AND($C259&gt;='TIF Loan Amortization'!$H$517,$C259&lt;='TIF Loan Amortization'!I$517),'TIF Loan Amortization'!$G$517,IF(AND($C259&gt;='TIF Loan Amortization'!$H$518,$C259&lt;='TIF Loan Amortization'!I$518),'TIF Loan Amortization'!$G$518,IF(AND($C259&gt;='TIF Loan Amortization'!$H$519,$C259&lt;='TIF Loan Amortization'!I$519),'TIF Loan Amortization'!$G$519))))))))))))))))))))))))))))))))))))))))</f>
        <v>#N/A</v>
      </c>
      <c r="C259" s="269" t="e">
        <f t="shared" si="36"/>
        <v>#N/A</v>
      </c>
      <c r="D259" s="281" t="str">
        <f>IF($AG$427=1,$H$10+18,"")</f>
        <v/>
      </c>
      <c r="E259" s="274">
        <v>209</v>
      </c>
      <c r="F259" s="275" t="str">
        <f>VLOOKUP($AG$427,$AE$422:$AF$433,2)</f>
        <v>Aug</v>
      </c>
      <c r="G259" s="272">
        <f t="shared" si="37"/>
        <v>0</v>
      </c>
      <c r="H259" s="272">
        <f t="shared" si="40"/>
        <v>0</v>
      </c>
      <c r="I259" s="272">
        <f t="shared" si="41"/>
        <v>0</v>
      </c>
      <c r="J259" s="272">
        <f t="shared" si="38"/>
        <v>0</v>
      </c>
      <c r="K259" s="272">
        <f>IF(ISTEXT($M$4),"",SUM(I$50:I259))</f>
        <v>0</v>
      </c>
      <c r="L259" s="272">
        <f>IF(ISTEXT($M$4),"",SUM(J$50:J259))</f>
        <v>0</v>
      </c>
      <c r="M259" s="271">
        <f t="shared" si="39"/>
        <v>0</v>
      </c>
      <c r="N259" s="291" t="e">
        <f>IF(C259='Operating Assumptions'!$C$48,"Construction Finish","")</f>
        <v>#N/A</v>
      </c>
      <c r="O259" s="291"/>
      <c r="P259" s="291"/>
      <c r="Q259" s="291"/>
      <c r="R259" s="291"/>
      <c r="S259" s="291"/>
      <c r="T259" s="280"/>
      <c r="U259" s="280"/>
      <c r="V259" s="286"/>
      <c r="W259" s="286"/>
      <c r="X259" s="286"/>
      <c r="Y259" s="280"/>
      <c r="Z259" s="279"/>
      <c r="AA259" s="279"/>
      <c r="AB259" s="279"/>
    </row>
    <row r="260" spans="2:28" s="278" customFormat="1" ht="13.5" hidden="1" outlineLevel="1" x14ac:dyDescent="0.25">
      <c r="B260" s="270" t="e">
        <f>IF(AND($C260&gt;='TIF Loan Amortization'!$H$480,$C260&lt;='TIF Loan Amortization'!$I$480),'TIF Loan Amortization'!$G$480,IF(AND($C260&gt;='TIF Loan Amortization'!$H$481,$C260&lt;='TIF Loan Amortization'!I$481),'TIF Loan Amortization'!$G$481,IF(AND($C260&gt;='TIF Loan Amortization'!$H$482,$C260&lt;='TIF Loan Amortization'!I$482),'TIF Loan Amortization'!$G$482,IF(AND($C260&gt;='TIF Loan Amortization'!$H$483,$C260&lt;='TIF Loan Amortization'!I$483),'TIF Loan Amortization'!$G$483,IF(AND($C260&gt;='TIF Loan Amortization'!$H$484,$C260&lt;='TIF Loan Amortization'!I$484),'TIF Loan Amortization'!$G$484,IF(AND($C260&gt;='TIF Loan Amortization'!$H$485,$C260&lt;='TIF Loan Amortization'!I$485),'TIF Loan Amortization'!$G$485,IF(AND($C260&gt;='TIF Loan Amortization'!$H$486,$C260&lt;='TIF Loan Amortization'!I$486),'TIF Loan Amortization'!$G$486,IF(AND($C260&gt;='TIF Loan Amortization'!$H$487,$C260&lt;='TIF Loan Amortization'!I$487),'TIF Loan Amortization'!$G$487,IF(AND($C260&gt;='TIF Loan Amortization'!$H$488,$C260&lt;='TIF Loan Amortization'!I$488),'TIF Loan Amortization'!$G$488,IF(AND($C260&gt;='TIF Loan Amortization'!$H$489,$C260&lt;='TIF Loan Amortization'!I$489),'TIF Loan Amortization'!$G$489,IF(AND($C260&gt;='TIF Loan Amortization'!$H$490,$C260&lt;='TIF Loan Amortization'!I$490),'TIF Loan Amortization'!$G$490,IF(AND($C260&gt;='TIF Loan Amortization'!$H$491,$C260&lt;='TIF Loan Amortization'!I$491),'TIF Loan Amortization'!$G$491,IF(AND($C260&gt;='TIF Loan Amortization'!$H$492,$C260&lt;='TIF Loan Amortization'!I$492),'TIF Loan Amortization'!$G$492,IF(AND($C260&gt;='TIF Loan Amortization'!$H$493,$C260&lt;='TIF Loan Amortization'!I$493),'TIF Loan Amortization'!$G$493,IF(AND($C260&gt;='TIF Loan Amortization'!$H$494,$C260&lt;='TIF Loan Amortization'!I$494),'TIF Loan Amortization'!$G$494,IF(AND($C260&gt;='TIF Loan Amortization'!$H$495,$C260&lt;='TIF Loan Amortization'!I$495),'TIF Loan Amortization'!$G$495,IF(AND($C260&gt;='TIF Loan Amortization'!$H$496,$C260&lt;='TIF Loan Amortization'!I$496),'TIF Loan Amortization'!$G$496,IF(AND($C260&gt;='TIF Loan Amortization'!$H$497,$C260&lt;='TIF Loan Amortization'!I$497),'TIF Loan Amortization'!$G$497,IF(AND($C260&gt;='TIF Loan Amortization'!$H$498,$C260&lt;='TIF Loan Amortization'!I$498),'TIF Loan Amortization'!$G$498,IF(AND($C260&gt;='TIF Loan Amortization'!$H$499,$C260&lt;='TIF Loan Amortization'!I$499),'TIF Loan Amortization'!$G$499,IF(AND($C260&gt;='TIF Loan Amortization'!$H$500,$C260&lt;='TIF Loan Amortization'!I$500),'TIF Loan Amortization'!$G$500,IF(AND($C260&gt;='TIF Loan Amortization'!$H$501,$C260&lt;='TIF Loan Amortization'!I$501),'TIF Loan Amortization'!$G$501,IF(AND($C260&gt;='TIF Loan Amortization'!$H$502,$C260&lt;='TIF Loan Amortization'!I$502),'TIF Loan Amortization'!$G$502,IF(AND($C260&gt;='TIF Loan Amortization'!$H$503,$C260&lt;='TIF Loan Amortization'!I$503),'TIF Loan Amortization'!$G$503,IF(AND($C260&gt;='TIF Loan Amortization'!$H$504,$C260&lt;='TIF Loan Amortization'!I$504),'TIF Loan Amortization'!$G$504,IF(AND($C260&gt;='TIF Loan Amortization'!$H$505,$C260&lt;='TIF Loan Amortization'!I$505),'TIF Loan Amortization'!$G$505,IF(AND($C260&gt;='TIF Loan Amortization'!$H$506,$C260&lt;='TIF Loan Amortization'!I$506),'TIF Loan Amortization'!$G$506,IF(AND($C260&gt;='TIF Loan Amortization'!$H$507,$C260&lt;='TIF Loan Amortization'!I$507),'TIF Loan Amortization'!$G$507,IF(AND($C260&gt;='TIF Loan Amortization'!$H$508,$C260&lt;='TIF Loan Amortization'!I$508),'TIF Loan Amortization'!$G$508,IF(AND($C260&gt;='TIF Loan Amortization'!$H$509,$C260&lt;='TIF Loan Amortization'!I$509),'TIF Loan Amortization'!$G$509,IF(AND($C260&gt;='TIF Loan Amortization'!$H$510,$C260&lt;='TIF Loan Amortization'!I$510),'TIF Loan Amortization'!$G$510,IF(AND($C260&gt;='TIF Loan Amortization'!$H$511,$C260&lt;='TIF Loan Amortization'!I$511),'TIF Loan Amortization'!$G$511,IF(AND($C260&gt;='TIF Loan Amortization'!$H$512,$C260&lt;='TIF Loan Amortization'!I$512),'TIF Loan Amortization'!$G$512,IF(AND($C260&gt;='TIF Loan Amortization'!$H$513,$C260&lt;='TIF Loan Amortization'!I$513),'TIF Loan Amortization'!$G$513,IF(AND($C260&gt;='TIF Loan Amortization'!$H$514,$C260&lt;='TIF Loan Amortization'!I$514),'TIF Loan Amortization'!$G$514,IF(AND($C260&gt;='TIF Loan Amortization'!$H$515,$C260&lt;='TIF Loan Amortization'!I$515),'TIF Loan Amortization'!$G$515,IF(AND($C260&gt;='TIF Loan Amortization'!$H$516,$C260&lt;='TIF Loan Amortization'!I$516),'TIF Loan Amortization'!$G$516,IF(AND($C260&gt;='TIF Loan Amortization'!$H$517,$C260&lt;='TIF Loan Amortization'!I$517),'TIF Loan Amortization'!$G$517,IF(AND($C260&gt;='TIF Loan Amortization'!$H$518,$C260&lt;='TIF Loan Amortization'!I$518),'TIF Loan Amortization'!$G$518,IF(AND($C260&gt;='TIF Loan Amortization'!$H$519,$C260&lt;='TIF Loan Amortization'!I$519),'TIF Loan Amortization'!$G$519))))))))))))))))))))))))))))))))))))))))</f>
        <v>#N/A</v>
      </c>
      <c r="C260" s="269" t="e">
        <f t="shared" si="36"/>
        <v>#N/A</v>
      </c>
      <c r="D260" s="281" t="str">
        <f>IF($AG$428=1,$H$10+18,"")</f>
        <v/>
      </c>
      <c r="E260" s="274">
        <v>210</v>
      </c>
      <c r="F260" s="275" t="str">
        <f>VLOOKUP($AG$428,$AE$422:$AF$433,2)</f>
        <v>Sep</v>
      </c>
      <c r="G260" s="272">
        <f t="shared" si="37"/>
        <v>0</v>
      </c>
      <c r="H260" s="272">
        <f t="shared" si="40"/>
        <v>0</v>
      </c>
      <c r="I260" s="272">
        <f t="shared" si="41"/>
        <v>0</v>
      </c>
      <c r="J260" s="272">
        <f t="shared" si="38"/>
        <v>0</v>
      </c>
      <c r="K260" s="272">
        <f>IF(ISTEXT($M$4),"",SUM(I$50:I260))</f>
        <v>0</v>
      </c>
      <c r="L260" s="272">
        <f>IF(ISTEXT($M$4),"",SUM(J$50:J260))</f>
        <v>0</v>
      </c>
      <c r="M260" s="271">
        <f t="shared" si="39"/>
        <v>0</v>
      </c>
      <c r="N260" s="291" t="e">
        <f>IF(C260='Operating Assumptions'!$C$48,"Construction Finish","")</f>
        <v>#N/A</v>
      </c>
      <c r="O260" s="291"/>
      <c r="P260" s="291"/>
      <c r="Q260" s="291"/>
      <c r="R260" s="291"/>
      <c r="S260" s="291"/>
      <c r="T260" s="280"/>
      <c r="U260" s="280"/>
      <c r="V260" s="286"/>
      <c r="W260" s="286"/>
      <c r="X260" s="286"/>
      <c r="Y260" s="280"/>
      <c r="Z260" s="279"/>
      <c r="AA260" s="279"/>
      <c r="AB260" s="279"/>
    </row>
    <row r="261" spans="2:28" s="278" customFormat="1" ht="13.5" hidden="1" outlineLevel="1" x14ac:dyDescent="0.25">
      <c r="B261" s="270" t="e">
        <f>IF(AND($C261&gt;='TIF Loan Amortization'!$H$480,$C261&lt;='TIF Loan Amortization'!$I$480),'TIF Loan Amortization'!$G$480,IF(AND($C261&gt;='TIF Loan Amortization'!$H$481,$C261&lt;='TIF Loan Amortization'!I$481),'TIF Loan Amortization'!$G$481,IF(AND($C261&gt;='TIF Loan Amortization'!$H$482,$C261&lt;='TIF Loan Amortization'!I$482),'TIF Loan Amortization'!$G$482,IF(AND($C261&gt;='TIF Loan Amortization'!$H$483,$C261&lt;='TIF Loan Amortization'!I$483),'TIF Loan Amortization'!$G$483,IF(AND($C261&gt;='TIF Loan Amortization'!$H$484,$C261&lt;='TIF Loan Amortization'!I$484),'TIF Loan Amortization'!$G$484,IF(AND($C261&gt;='TIF Loan Amortization'!$H$485,$C261&lt;='TIF Loan Amortization'!I$485),'TIF Loan Amortization'!$G$485,IF(AND($C261&gt;='TIF Loan Amortization'!$H$486,$C261&lt;='TIF Loan Amortization'!I$486),'TIF Loan Amortization'!$G$486,IF(AND($C261&gt;='TIF Loan Amortization'!$H$487,$C261&lt;='TIF Loan Amortization'!I$487),'TIF Loan Amortization'!$G$487,IF(AND($C261&gt;='TIF Loan Amortization'!$H$488,$C261&lt;='TIF Loan Amortization'!I$488),'TIF Loan Amortization'!$G$488,IF(AND($C261&gt;='TIF Loan Amortization'!$H$489,$C261&lt;='TIF Loan Amortization'!I$489),'TIF Loan Amortization'!$G$489,IF(AND($C261&gt;='TIF Loan Amortization'!$H$490,$C261&lt;='TIF Loan Amortization'!I$490),'TIF Loan Amortization'!$G$490,IF(AND($C261&gt;='TIF Loan Amortization'!$H$491,$C261&lt;='TIF Loan Amortization'!I$491),'TIF Loan Amortization'!$G$491,IF(AND($C261&gt;='TIF Loan Amortization'!$H$492,$C261&lt;='TIF Loan Amortization'!I$492),'TIF Loan Amortization'!$G$492,IF(AND($C261&gt;='TIF Loan Amortization'!$H$493,$C261&lt;='TIF Loan Amortization'!I$493),'TIF Loan Amortization'!$G$493,IF(AND($C261&gt;='TIF Loan Amortization'!$H$494,$C261&lt;='TIF Loan Amortization'!I$494),'TIF Loan Amortization'!$G$494,IF(AND($C261&gt;='TIF Loan Amortization'!$H$495,$C261&lt;='TIF Loan Amortization'!I$495),'TIF Loan Amortization'!$G$495,IF(AND($C261&gt;='TIF Loan Amortization'!$H$496,$C261&lt;='TIF Loan Amortization'!I$496),'TIF Loan Amortization'!$G$496,IF(AND($C261&gt;='TIF Loan Amortization'!$H$497,$C261&lt;='TIF Loan Amortization'!I$497),'TIF Loan Amortization'!$G$497,IF(AND($C261&gt;='TIF Loan Amortization'!$H$498,$C261&lt;='TIF Loan Amortization'!I$498),'TIF Loan Amortization'!$G$498,IF(AND($C261&gt;='TIF Loan Amortization'!$H$499,$C261&lt;='TIF Loan Amortization'!I$499),'TIF Loan Amortization'!$G$499,IF(AND($C261&gt;='TIF Loan Amortization'!$H$500,$C261&lt;='TIF Loan Amortization'!I$500),'TIF Loan Amortization'!$G$500,IF(AND($C261&gt;='TIF Loan Amortization'!$H$501,$C261&lt;='TIF Loan Amortization'!I$501),'TIF Loan Amortization'!$G$501,IF(AND($C261&gt;='TIF Loan Amortization'!$H$502,$C261&lt;='TIF Loan Amortization'!I$502),'TIF Loan Amortization'!$G$502,IF(AND($C261&gt;='TIF Loan Amortization'!$H$503,$C261&lt;='TIF Loan Amortization'!I$503),'TIF Loan Amortization'!$G$503,IF(AND($C261&gt;='TIF Loan Amortization'!$H$504,$C261&lt;='TIF Loan Amortization'!I$504),'TIF Loan Amortization'!$G$504,IF(AND($C261&gt;='TIF Loan Amortization'!$H$505,$C261&lt;='TIF Loan Amortization'!I$505),'TIF Loan Amortization'!$G$505,IF(AND($C261&gt;='TIF Loan Amortization'!$H$506,$C261&lt;='TIF Loan Amortization'!I$506),'TIF Loan Amortization'!$G$506,IF(AND($C261&gt;='TIF Loan Amortization'!$H$507,$C261&lt;='TIF Loan Amortization'!I$507),'TIF Loan Amortization'!$G$507,IF(AND($C261&gt;='TIF Loan Amortization'!$H$508,$C261&lt;='TIF Loan Amortization'!I$508),'TIF Loan Amortization'!$G$508,IF(AND($C261&gt;='TIF Loan Amortization'!$H$509,$C261&lt;='TIF Loan Amortization'!I$509),'TIF Loan Amortization'!$G$509,IF(AND($C261&gt;='TIF Loan Amortization'!$H$510,$C261&lt;='TIF Loan Amortization'!I$510),'TIF Loan Amortization'!$G$510,IF(AND($C261&gt;='TIF Loan Amortization'!$H$511,$C261&lt;='TIF Loan Amortization'!I$511),'TIF Loan Amortization'!$G$511,IF(AND($C261&gt;='TIF Loan Amortization'!$H$512,$C261&lt;='TIF Loan Amortization'!I$512),'TIF Loan Amortization'!$G$512,IF(AND($C261&gt;='TIF Loan Amortization'!$H$513,$C261&lt;='TIF Loan Amortization'!I$513),'TIF Loan Amortization'!$G$513,IF(AND($C261&gt;='TIF Loan Amortization'!$H$514,$C261&lt;='TIF Loan Amortization'!I$514),'TIF Loan Amortization'!$G$514,IF(AND($C261&gt;='TIF Loan Amortization'!$H$515,$C261&lt;='TIF Loan Amortization'!I$515),'TIF Loan Amortization'!$G$515,IF(AND($C261&gt;='TIF Loan Amortization'!$H$516,$C261&lt;='TIF Loan Amortization'!I$516),'TIF Loan Amortization'!$G$516,IF(AND($C261&gt;='TIF Loan Amortization'!$H$517,$C261&lt;='TIF Loan Amortization'!I$517),'TIF Loan Amortization'!$G$517,IF(AND($C261&gt;='TIF Loan Amortization'!$H$518,$C261&lt;='TIF Loan Amortization'!I$518),'TIF Loan Amortization'!$G$518,IF(AND($C261&gt;='TIF Loan Amortization'!$H$519,$C261&lt;='TIF Loan Amortization'!I$519),'TIF Loan Amortization'!$G$519))))))))))))))))))))))))))))))))))))))))</f>
        <v>#N/A</v>
      </c>
      <c r="C261" s="269" t="e">
        <f t="shared" si="36"/>
        <v>#N/A</v>
      </c>
      <c r="D261" s="281" t="str">
        <f>IF($AG$429=1,$H$10+18,"")</f>
        <v/>
      </c>
      <c r="E261" s="274">
        <v>211</v>
      </c>
      <c r="F261" s="275" t="str">
        <f>VLOOKUP($AG$429,$AE$422:$AF$433,2)</f>
        <v>Oct</v>
      </c>
      <c r="G261" s="272">
        <f t="shared" si="37"/>
        <v>0</v>
      </c>
      <c r="H261" s="272">
        <f t="shared" si="40"/>
        <v>0</v>
      </c>
      <c r="I261" s="272">
        <f t="shared" si="41"/>
        <v>0</v>
      </c>
      <c r="J261" s="272">
        <f t="shared" si="38"/>
        <v>0</v>
      </c>
      <c r="K261" s="272">
        <f>IF(ISTEXT($M$4),"",SUM(I$50:I261))</f>
        <v>0</v>
      </c>
      <c r="L261" s="272">
        <f>IF(ISTEXT($M$4),"",SUM(J$50:J261))</f>
        <v>0</v>
      </c>
      <c r="M261" s="271">
        <f t="shared" si="39"/>
        <v>0</v>
      </c>
      <c r="N261" s="291" t="e">
        <f>IF(C261='Operating Assumptions'!$C$48,"Construction Finish","")</f>
        <v>#N/A</v>
      </c>
      <c r="O261" s="291"/>
      <c r="P261" s="291"/>
      <c r="Q261" s="291"/>
      <c r="R261" s="291"/>
      <c r="S261" s="291"/>
      <c r="T261" s="280"/>
      <c r="U261" s="280"/>
      <c r="V261" s="286"/>
      <c r="W261" s="286"/>
      <c r="X261" s="286"/>
      <c r="Y261" s="280"/>
      <c r="Z261" s="279"/>
      <c r="AA261" s="279"/>
      <c r="AB261" s="279"/>
    </row>
    <row r="262" spans="2:28" s="278" customFormat="1" ht="13.5" hidden="1" outlineLevel="1" x14ac:dyDescent="0.25">
      <c r="B262" s="270" t="e">
        <f>IF(AND($C262&gt;='TIF Loan Amortization'!$H$480,$C262&lt;='TIF Loan Amortization'!$I$480),'TIF Loan Amortization'!$G$480,IF(AND($C262&gt;='TIF Loan Amortization'!$H$481,$C262&lt;='TIF Loan Amortization'!I$481),'TIF Loan Amortization'!$G$481,IF(AND($C262&gt;='TIF Loan Amortization'!$H$482,$C262&lt;='TIF Loan Amortization'!I$482),'TIF Loan Amortization'!$G$482,IF(AND($C262&gt;='TIF Loan Amortization'!$H$483,$C262&lt;='TIF Loan Amortization'!I$483),'TIF Loan Amortization'!$G$483,IF(AND($C262&gt;='TIF Loan Amortization'!$H$484,$C262&lt;='TIF Loan Amortization'!I$484),'TIF Loan Amortization'!$G$484,IF(AND($C262&gt;='TIF Loan Amortization'!$H$485,$C262&lt;='TIF Loan Amortization'!I$485),'TIF Loan Amortization'!$G$485,IF(AND($C262&gt;='TIF Loan Amortization'!$H$486,$C262&lt;='TIF Loan Amortization'!I$486),'TIF Loan Amortization'!$G$486,IF(AND($C262&gt;='TIF Loan Amortization'!$H$487,$C262&lt;='TIF Loan Amortization'!I$487),'TIF Loan Amortization'!$G$487,IF(AND($C262&gt;='TIF Loan Amortization'!$H$488,$C262&lt;='TIF Loan Amortization'!I$488),'TIF Loan Amortization'!$G$488,IF(AND($C262&gt;='TIF Loan Amortization'!$H$489,$C262&lt;='TIF Loan Amortization'!I$489),'TIF Loan Amortization'!$G$489,IF(AND($C262&gt;='TIF Loan Amortization'!$H$490,$C262&lt;='TIF Loan Amortization'!I$490),'TIF Loan Amortization'!$G$490,IF(AND($C262&gt;='TIF Loan Amortization'!$H$491,$C262&lt;='TIF Loan Amortization'!I$491),'TIF Loan Amortization'!$G$491,IF(AND($C262&gt;='TIF Loan Amortization'!$H$492,$C262&lt;='TIF Loan Amortization'!I$492),'TIF Loan Amortization'!$G$492,IF(AND($C262&gt;='TIF Loan Amortization'!$H$493,$C262&lt;='TIF Loan Amortization'!I$493),'TIF Loan Amortization'!$G$493,IF(AND($C262&gt;='TIF Loan Amortization'!$H$494,$C262&lt;='TIF Loan Amortization'!I$494),'TIF Loan Amortization'!$G$494,IF(AND($C262&gt;='TIF Loan Amortization'!$H$495,$C262&lt;='TIF Loan Amortization'!I$495),'TIF Loan Amortization'!$G$495,IF(AND($C262&gt;='TIF Loan Amortization'!$H$496,$C262&lt;='TIF Loan Amortization'!I$496),'TIF Loan Amortization'!$G$496,IF(AND($C262&gt;='TIF Loan Amortization'!$H$497,$C262&lt;='TIF Loan Amortization'!I$497),'TIF Loan Amortization'!$G$497,IF(AND($C262&gt;='TIF Loan Amortization'!$H$498,$C262&lt;='TIF Loan Amortization'!I$498),'TIF Loan Amortization'!$G$498,IF(AND($C262&gt;='TIF Loan Amortization'!$H$499,$C262&lt;='TIF Loan Amortization'!I$499),'TIF Loan Amortization'!$G$499,IF(AND($C262&gt;='TIF Loan Amortization'!$H$500,$C262&lt;='TIF Loan Amortization'!I$500),'TIF Loan Amortization'!$G$500,IF(AND($C262&gt;='TIF Loan Amortization'!$H$501,$C262&lt;='TIF Loan Amortization'!I$501),'TIF Loan Amortization'!$G$501,IF(AND($C262&gt;='TIF Loan Amortization'!$H$502,$C262&lt;='TIF Loan Amortization'!I$502),'TIF Loan Amortization'!$G$502,IF(AND($C262&gt;='TIF Loan Amortization'!$H$503,$C262&lt;='TIF Loan Amortization'!I$503),'TIF Loan Amortization'!$G$503,IF(AND($C262&gt;='TIF Loan Amortization'!$H$504,$C262&lt;='TIF Loan Amortization'!I$504),'TIF Loan Amortization'!$G$504,IF(AND($C262&gt;='TIF Loan Amortization'!$H$505,$C262&lt;='TIF Loan Amortization'!I$505),'TIF Loan Amortization'!$G$505,IF(AND($C262&gt;='TIF Loan Amortization'!$H$506,$C262&lt;='TIF Loan Amortization'!I$506),'TIF Loan Amortization'!$G$506,IF(AND($C262&gt;='TIF Loan Amortization'!$H$507,$C262&lt;='TIF Loan Amortization'!I$507),'TIF Loan Amortization'!$G$507,IF(AND($C262&gt;='TIF Loan Amortization'!$H$508,$C262&lt;='TIF Loan Amortization'!I$508),'TIF Loan Amortization'!$G$508,IF(AND($C262&gt;='TIF Loan Amortization'!$H$509,$C262&lt;='TIF Loan Amortization'!I$509),'TIF Loan Amortization'!$G$509,IF(AND($C262&gt;='TIF Loan Amortization'!$H$510,$C262&lt;='TIF Loan Amortization'!I$510),'TIF Loan Amortization'!$G$510,IF(AND($C262&gt;='TIF Loan Amortization'!$H$511,$C262&lt;='TIF Loan Amortization'!I$511),'TIF Loan Amortization'!$G$511,IF(AND($C262&gt;='TIF Loan Amortization'!$H$512,$C262&lt;='TIF Loan Amortization'!I$512),'TIF Loan Amortization'!$G$512,IF(AND($C262&gt;='TIF Loan Amortization'!$H$513,$C262&lt;='TIF Loan Amortization'!I$513),'TIF Loan Amortization'!$G$513,IF(AND($C262&gt;='TIF Loan Amortization'!$H$514,$C262&lt;='TIF Loan Amortization'!I$514),'TIF Loan Amortization'!$G$514,IF(AND($C262&gt;='TIF Loan Amortization'!$H$515,$C262&lt;='TIF Loan Amortization'!I$515),'TIF Loan Amortization'!$G$515,IF(AND($C262&gt;='TIF Loan Amortization'!$H$516,$C262&lt;='TIF Loan Amortization'!I$516),'TIF Loan Amortization'!$G$516,IF(AND($C262&gt;='TIF Loan Amortization'!$H$517,$C262&lt;='TIF Loan Amortization'!I$517),'TIF Loan Amortization'!$G$517,IF(AND($C262&gt;='TIF Loan Amortization'!$H$518,$C262&lt;='TIF Loan Amortization'!I$518),'TIF Loan Amortization'!$G$518,IF(AND($C262&gt;='TIF Loan Amortization'!$H$519,$C262&lt;='TIF Loan Amortization'!I$519),'TIF Loan Amortization'!$G$519))))))))))))))))))))))))))))))))))))))))</f>
        <v>#N/A</v>
      </c>
      <c r="C262" s="269" t="e">
        <f t="shared" si="36"/>
        <v>#N/A</v>
      </c>
      <c r="D262" s="281" t="str">
        <f>IF($AG$430=1,$H$10+18,"")</f>
        <v/>
      </c>
      <c r="E262" s="274">
        <v>212</v>
      </c>
      <c r="F262" s="275" t="str">
        <f>VLOOKUP($AG$430,$AE$422:$AF$433,2)</f>
        <v>Nov</v>
      </c>
      <c r="G262" s="272">
        <f t="shared" si="37"/>
        <v>0</v>
      </c>
      <c r="H262" s="272">
        <f t="shared" si="40"/>
        <v>0</v>
      </c>
      <c r="I262" s="272">
        <f t="shared" si="41"/>
        <v>0</v>
      </c>
      <c r="J262" s="272">
        <f t="shared" si="38"/>
        <v>0</v>
      </c>
      <c r="K262" s="272">
        <f>IF(ISTEXT($M$4),"",SUM(I$50:I262))</f>
        <v>0</v>
      </c>
      <c r="L262" s="272">
        <f>IF(ISTEXT($M$4),"",SUM(J$50:J262))</f>
        <v>0</v>
      </c>
      <c r="M262" s="271">
        <f t="shared" si="39"/>
        <v>0</v>
      </c>
      <c r="N262" s="291" t="e">
        <f>IF(C262='Operating Assumptions'!$C$48,"Construction Finish","")</f>
        <v>#N/A</v>
      </c>
      <c r="O262" s="291"/>
      <c r="P262" s="291"/>
      <c r="Q262" s="291"/>
      <c r="R262" s="291"/>
      <c r="S262" s="291"/>
      <c r="T262" s="280"/>
      <c r="U262" s="280"/>
      <c r="V262" s="286"/>
      <c r="W262" s="286"/>
      <c r="X262" s="286"/>
      <c r="Y262" s="280"/>
      <c r="Z262" s="279"/>
      <c r="AA262" s="279"/>
      <c r="AB262" s="279"/>
    </row>
    <row r="263" spans="2:28" s="278" customFormat="1" ht="13.5" hidden="1" outlineLevel="1" x14ac:dyDescent="0.25">
      <c r="B263" s="270" t="e">
        <f>IF(AND($C263&gt;='TIF Loan Amortization'!$H$480,$C263&lt;='TIF Loan Amortization'!$I$480),'TIF Loan Amortization'!$G$480,IF(AND($C263&gt;='TIF Loan Amortization'!$H$481,$C263&lt;='TIF Loan Amortization'!I$481),'TIF Loan Amortization'!$G$481,IF(AND($C263&gt;='TIF Loan Amortization'!$H$482,$C263&lt;='TIF Loan Amortization'!I$482),'TIF Loan Amortization'!$G$482,IF(AND($C263&gt;='TIF Loan Amortization'!$H$483,$C263&lt;='TIF Loan Amortization'!I$483),'TIF Loan Amortization'!$G$483,IF(AND($C263&gt;='TIF Loan Amortization'!$H$484,$C263&lt;='TIF Loan Amortization'!I$484),'TIF Loan Amortization'!$G$484,IF(AND($C263&gt;='TIF Loan Amortization'!$H$485,$C263&lt;='TIF Loan Amortization'!I$485),'TIF Loan Amortization'!$G$485,IF(AND($C263&gt;='TIF Loan Amortization'!$H$486,$C263&lt;='TIF Loan Amortization'!I$486),'TIF Loan Amortization'!$G$486,IF(AND($C263&gt;='TIF Loan Amortization'!$H$487,$C263&lt;='TIF Loan Amortization'!I$487),'TIF Loan Amortization'!$G$487,IF(AND($C263&gt;='TIF Loan Amortization'!$H$488,$C263&lt;='TIF Loan Amortization'!I$488),'TIF Loan Amortization'!$G$488,IF(AND($C263&gt;='TIF Loan Amortization'!$H$489,$C263&lt;='TIF Loan Amortization'!I$489),'TIF Loan Amortization'!$G$489,IF(AND($C263&gt;='TIF Loan Amortization'!$H$490,$C263&lt;='TIF Loan Amortization'!I$490),'TIF Loan Amortization'!$G$490,IF(AND($C263&gt;='TIF Loan Amortization'!$H$491,$C263&lt;='TIF Loan Amortization'!I$491),'TIF Loan Amortization'!$G$491,IF(AND($C263&gt;='TIF Loan Amortization'!$H$492,$C263&lt;='TIF Loan Amortization'!I$492),'TIF Loan Amortization'!$G$492,IF(AND($C263&gt;='TIF Loan Amortization'!$H$493,$C263&lt;='TIF Loan Amortization'!I$493),'TIF Loan Amortization'!$G$493,IF(AND($C263&gt;='TIF Loan Amortization'!$H$494,$C263&lt;='TIF Loan Amortization'!I$494),'TIF Loan Amortization'!$G$494,IF(AND($C263&gt;='TIF Loan Amortization'!$H$495,$C263&lt;='TIF Loan Amortization'!I$495),'TIF Loan Amortization'!$G$495,IF(AND($C263&gt;='TIF Loan Amortization'!$H$496,$C263&lt;='TIF Loan Amortization'!I$496),'TIF Loan Amortization'!$G$496,IF(AND($C263&gt;='TIF Loan Amortization'!$H$497,$C263&lt;='TIF Loan Amortization'!I$497),'TIF Loan Amortization'!$G$497,IF(AND($C263&gt;='TIF Loan Amortization'!$H$498,$C263&lt;='TIF Loan Amortization'!I$498),'TIF Loan Amortization'!$G$498,IF(AND($C263&gt;='TIF Loan Amortization'!$H$499,$C263&lt;='TIF Loan Amortization'!I$499),'TIF Loan Amortization'!$G$499,IF(AND($C263&gt;='TIF Loan Amortization'!$H$500,$C263&lt;='TIF Loan Amortization'!I$500),'TIF Loan Amortization'!$G$500,IF(AND($C263&gt;='TIF Loan Amortization'!$H$501,$C263&lt;='TIF Loan Amortization'!I$501),'TIF Loan Amortization'!$G$501,IF(AND($C263&gt;='TIF Loan Amortization'!$H$502,$C263&lt;='TIF Loan Amortization'!I$502),'TIF Loan Amortization'!$G$502,IF(AND($C263&gt;='TIF Loan Amortization'!$H$503,$C263&lt;='TIF Loan Amortization'!I$503),'TIF Loan Amortization'!$G$503,IF(AND($C263&gt;='TIF Loan Amortization'!$H$504,$C263&lt;='TIF Loan Amortization'!I$504),'TIF Loan Amortization'!$G$504,IF(AND($C263&gt;='TIF Loan Amortization'!$H$505,$C263&lt;='TIF Loan Amortization'!I$505),'TIF Loan Amortization'!$G$505,IF(AND($C263&gt;='TIF Loan Amortization'!$H$506,$C263&lt;='TIF Loan Amortization'!I$506),'TIF Loan Amortization'!$G$506,IF(AND($C263&gt;='TIF Loan Amortization'!$H$507,$C263&lt;='TIF Loan Amortization'!I$507),'TIF Loan Amortization'!$G$507,IF(AND($C263&gt;='TIF Loan Amortization'!$H$508,$C263&lt;='TIF Loan Amortization'!I$508),'TIF Loan Amortization'!$G$508,IF(AND($C263&gt;='TIF Loan Amortization'!$H$509,$C263&lt;='TIF Loan Amortization'!I$509),'TIF Loan Amortization'!$G$509,IF(AND($C263&gt;='TIF Loan Amortization'!$H$510,$C263&lt;='TIF Loan Amortization'!I$510),'TIF Loan Amortization'!$G$510,IF(AND($C263&gt;='TIF Loan Amortization'!$H$511,$C263&lt;='TIF Loan Amortization'!I$511),'TIF Loan Amortization'!$G$511,IF(AND($C263&gt;='TIF Loan Amortization'!$H$512,$C263&lt;='TIF Loan Amortization'!I$512),'TIF Loan Amortization'!$G$512,IF(AND($C263&gt;='TIF Loan Amortization'!$H$513,$C263&lt;='TIF Loan Amortization'!I$513),'TIF Loan Amortization'!$G$513,IF(AND($C263&gt;='TIF Loan Amortization'!$H$514,$C263&lt;='TIF Loan Amortization'!I$514),'TIF Loan Amortization'!$G$514,IF(AND($C263&gt;='TIF Loan Amortization'!$H$515,$C263&lt;='TIF Loan Amortization'!I$515),'TIF Loan Amortization'!$G$515,IF(AND($C263&gt;='TIF Loan Amortization'!$H$516,$C263&lt;='TIF Loan Amortization'!I$516),'TIF Loan Amortization'!$G$516,IF(AND($C263&gt;='TIF Loan Amortization'!$H$517,$C263&lt;='TIF Loan Amortization'!I$517),'TIF Loan Amortization'!$G$517,IF(AND($C263&gt;='TIF Loan Amortization'!$H$518,$C263&lt;='TIF Loan Amortization'!I$518),'TIF Loan Amortization'!$G$518,IF(AND($C263&gt;='TIF Loan Amortization'!$H$519,$C263&lt;='TIF Loan Amortization'!I$519),'TIF Loan Amortization'!$G$519))))))))))))))))))))))))))))))))))))))))</f>
        <v>#N/A</v>
      </c>
      <c r="C263" s="269" t="e">
        <f t="shared" si="36"/>
        <v>#N/A</v>
      </c>
      <c r="D263" s="281" t="str">
        <f>IF($AG$431=1,$H$10+18,"")</f>
        <v/>
      </c>
      <c r="E263" s="274">
        <v>213</v>
      </c>
      <c r="F263" s="275" t="str">
        <f>VLOOKUP($AG$431,$AE$422:$AF$433,2)</f>
        <v>Dec</v>
      </c>
      <c r="G263" s="272">
        <f t="shared" si="37"/>
        <v>0</v>
      </c>
      <c r="H263" s="272">
        <f t="shared" si="40"/>
        <v>0</v>
      </c>
      <c r="I263" s="272">
        <f t="shared" si="41"/>
        <v>0</v>
      </c>
      <c r="J263" s="272">
        <f t="shared" si="38"/>
        <v>0</v>
      </c>
      <c r="K263" s="272">
        <f>IF(ISTEXT($M$4),"",SUM(I$50:I263))</f>
        <v>0</v>
      </c>
      <c r="L263" s="272">
        <f>IF(ISTEXT($M$4),"",SUM(J$50:J263))</f>
        <v>0</v>
      </c>
      <c r="M263" s="271">
        <f t="shared" si="39"/>
        <v>0</v>
      </c>
      <c r="N263" s="291" t="e">
        <f>IF(C263='Operating Assumptions'!$C$48,"Construction Finish","")</f>
        <v>#N/A</v>
      </c>
      <c r="O263" s="291"/>
      <c r="P263" s="291"/>
      <c r="Q263" s="291"/>
      <c r="R263" s="291"/>
      <c r="S263" s="291"/>
      <c r="T263" s="280"/>
      <c r="U263" s="280"/>
      <c r="V263" s="286"/>
      <c r="W263" s="286"/>
      <c r="X263" s="286"/>
      <c r="Y263" s="280"/>
      <c r="Z263" s="279"/>
      <c r="AA263" s="279"/>
      <c r="AB263" s="279"/>
    </row>
    <row r="264" spans="2:28" s="278" customFormat="1" ht="13.5" hidden="1" outlineLevel="1" x14ac:dyDescent="0.25">
      <c r="B264" s="270" t="e">
        <f>IF(AND($C264&gt;='TIF Loan Amortization'!$H$480,$C264&lt;='TIF Loan Amortization'!$I$480),'TIF Loan Amortization'!$G$480,IF(AND($C264&gt;='TIF Loan Amortization'!$H$481,$C264&lt;='TIF Loan Amortization'!I$481),'TIF Loan Amortization'!$G$481,IF(AND($C264&gt;='TIF Loan Amortization'!$H$482,$C264&lt;='TIF Loan Amortization'!I$482),'TIF Loan Amortization'!$G$482,IF(AND($C264&gt;='TIF Loan Amortization'!$H$483,$C264&lt;='TIF Loan Amortization'!I$483),'TIF Loan Amortization'!$G$483,IF(AND($C264&gt;='TIF Loan Amortization'!$H$484,$C264&lt;='TIF Loan Amortization'!I$484),'TIF Loan Amortization'!$G$484,IF(AND($C264&gt;='TIF Loan Amortization'!$H$485,$C264&lt;='TIF Loan Amortization'!I$485),'TIF Loan Amortization'!$G$485,IF(AND($C264&gt;='TIF Loan Amortization'!$H$486,$C264&lt;='TIF Loan Amortization'!I$486),'TIF Loan Amortization'!$G$486,IF(AND($C264&gt;='TIF Loan Amortization'!$H$487,$C264&lt;='TIF Loan Amortization'!I$487),'TIF Loan Amortization'!$G$487,IF(AND($C264&gt;='TIF Loan Amortization'!$H$488,$C264&lt;='TIF Loan Amortization'!I$488),'TIF Loan Amortization'!$G$488,IF(AND($C264&gt;='TIF Loan Amortization'!$H$489,$C264&lt;='TIF Loan Amortization'!I$489),'TIF Loan Amortization'!$G$489,IF(AND($C264&gt;='TIF Loan Amortization'!$H$490,$C264&lt;='TIF Loan Amortization'!I$490),'TIF Loan Amortization'!$G$490,IF(AND($C264&gt;='TIF Loan Amortization'!$H$491,$C264&lt;='TIF Loan Amortization'!I$491),'TIF Loan Amortization'!$G$491,IF(AND($C264&gt;='TIF Loan Amortization'!$H$492,$C264&lt;='TIF Loan Amortization'!I$492),'TIF Loan Amortization'!$G$492,IF(AND($C264&gt;='TIF Loan Amortization'!$H$493,$C264&lt;='TIF Loan Amortization'!I$493),'TIF Loan Amortization'!$G$493,IF(AND($C264&gt;='TIF Loan Amortization'!$H$494,$C264&lt;='TIF Loan Amortization'!I$494),'TIF Loan Amortization'!$G$494,IF(AND($C264&gt;='TIF Loan Amortization'!$H$495,$C264&lt;='TIF Loan Amortization'!I$495),'TIF Loan Amortization'!$G$495,IF(AND($C264&gt;='TIF Loan Amortization'!$H$496,$C264&lt;='TIF Loan Amortization'!I$496),'TIF Loan Amortization'!$G$496,IF(AND($C264&gt;='TIF Loan Amortization'!$H$497,$C264&lt;='TIF Loan Amortization'!I$497),'TIF Loan Amortization'!$G$497,IF(AND($C264&gt;='TIF Loan Amortization'!$H$498,$C264&lt;='TIF Loan Amortization'!I$498),'TIF Loan Amortization'!$G$498,IF(AND($C264&gt;='TIF Loan Amortization'!$H$499,$C264&lt;='TIF Loan Amortization'!I$499),'TIF Loan Amortization'!$G$499,IF(AND($C264&gt;='TIF Loan Amortization'!$H$500,$C264&lt;='TIF Loan Amortization'!I$500),'TIF Loan Amortization'!$G$500,IF(AND($C264&gt;='TIF Loan Amortization'!$H$501,$C264&lt;='TIF Loan Amortization'!I$501),'TIF Loan Amortization'!$G$501,IF(AND($C264&gt;='TIF Loan Amortization'!$H$502,$C264&lt;='TIF Loan Amortization'!I$502),'TIF Loan Amortization'!$G$502,IF(AND($C264&gt;='TIF Loan Amortization'!$H$503,$C264&lt;='TIF Loan Amortization'!I$503),'TIF Loan Amortization'!$G$503,IF(AND($C264&gt;='TIF Loan Amortization'!$H$504,$C264&lt;='TIF Loan Amortization'!I$504),'TIF Loan Amortization'!$G$504,IF(AND($C264&gt;='TIF Loan Amortization'!$H$505,$C264&lt;='TIF Loan Amortization'!I$505),'TIF Loan Amortization'!$G$505,IF(AND($C264&gt;='TIF Loan Amortization'!$H$506,$C264&lt;='TIF Loan Amortization'!I$506),'TIF Loan Amortization'!$G$506,IF(AND($C264&gt;='TIF Loan Amortization'!$H$507,$C264&lt;='TIF Loan Amortization'!I$507),'TIF Loan Amortization'!$G$507,IF(AND($C264&gt;='TIF Loan Amortization'!$H$508,$C264&lt;='TIF Loan Amortization'!I$508),'TIF Loan Amortization'!$G$508,IF(AND($C264&gt;='TIF Loan Amortization'!$H$509,$C264&lt;='TIF Loan Amortization'!I$509),'TIF Loan Amortization'!$G$509,IF(AND($C264&gt;='TIF Loan Amortization'!$H$510,$C264&lt;='TIF Loan Amortization'!I$510),'TIF Loan Amortization'!$G$510,IF(AND($C264&gt;='TIF Loan Amortization'!$H$511,$C264&lt;='TIF Loan Amortization'!I$511),'TIF Loan Amortization'!$G$511,IF(AND($C264&gt;='TIF Loan Amortization'!$H$512,$C264&lt;='TIF Loan Amortization'!I$512),'TIF Loan Amortization'!$G$512,IF(AND($C264&gt;='TIF Loan Amortization'!$H$513,$C264&lt;='TIF Loan Amortization'!I$513),'TIF Loan Amortization'!$G$513,IF(AND($C264&gt;='TIF Loan Amortization'!$H$514,$C264&lt;='TIF Loan Amortization'!I$514),'TIF Loan Amortization'!$G$514,IF(AND($C264&gt;='TIF Loan Amortization'!$H$515,$C264&lt;='TIF Loan Amortization'!I$515),'TIF Loan Amortization'!$G$515,IF(AND($C264&gt;='TIF Loan Amortization'!$H$516,$C264&lt;='TIF Loan Amortization'!I$516),'TIF Loan Amortization'!$G$516,IF(AND($C264&gt;='TIF Loan Amortization'!$H$517,$C264&lt;='TIF Loan Amortization'!I$517),'TIF Loan Amortization'!$G$517,IF(AND($C264&gt;='TIF Loan Amortization'!$H$518,$C264&lt;='TIF Loan Amortization'!I$518),'TIF Loan Amortization'!$G$518,IF(AND($C264&gt;='TIF Loan Amortization'!$H$519,$C264&lt;='TIF Loan Amortization'!I$519),'TIF Loan Amortization'!$G$519))))))))))))))))))))))))))))))))))))))))</f>
        <v>#N/A</v>
      </c>
      <c r="C264" s="269" t="e">
        <f t="shared" si="36"/>
        <v>#N/A</v>
      </c>
      <c r="D264" s="281">
        <f>IF($AG$432=1,$H$10+18,"")</f>
        <v>2043</v>
      </c>
      <c r="E264" s="274">
        <v>214</v>
      </c>
      <c r="F264" s="273" t="str">
        <f>VLOOKUP($AG$432,$AE$422:$AF$433,2)</f>
        <v>Jan</v>
      </c>
      <c r="G264" s="272">
        <f t="shared" si="37"/>
        <v>0</v>
      </c>
      <c r="H264" s="272">
        <f t="shared" si="40"/>
        <v>0</v>
      </c>
      <c r="I264" s="272">
        <f t="shared" si="41"/>
        <v>0</v>
      </c>
      <c r="J264" s="272">
        <f t="shared" si="38"/>
        <v>0</v>
      </c>
      <c r="K264" s="272">
        <f>IF(ISTEXT($M$4),"",SUM(I$50:I264))</f>
        <v>0</v>
      </c>
      <c r="L264" s="272">
        <f>IF(ISTEXT($M$4),"",SUM(J$50:J264))</f>
        <v>0</v>
      </c>
      <c r="M264" s="271">
        <f t="shared" si="39"/>
        <v>0</v>
      </c>
      <c r="N264" s="291" t="e">
        <f>IF(C264='Operating Assumptions'!$C$48,"Construction Finish","")</f>
        <v>#N/A</v>
      </c>
      <c r="O264" s="291"/>
      <c r="P264" s="291"/>
      <c r="Q264" s="291"/>
      <c r="R264" s="291"/>
      <c r="S264" s="291"/>
      <c r="T264" s="280"/>
      <c r="U264" s="280"/>
      <c r="V264" s="286"/>
      <c r="W264" s="286"/>
      <c r="X264" s="286"/>
      <c r="Y264" s="280"/>
      <c r="Z264" s="279"/>
      <c r="AA264" s="279"/>
      <c r="AB264" s="279"/>
    </row>
    <row r="265" spans="2:28" s="278" customFormat="1" ht="13.5" hidden="1" outlineLevel="1" x14ac:dyDescent="0.25">
      <c r="B265" s="270" t="e">
        <f>IF(AND($C265&gt;='TIF Loan Amortization'!$H$480,$C265&lt;='TIF Loan Amortization'!$I$480),'TIF Loan Amortization'!$G$480,IF(AND($C265&gt;='TIF Loan Amortization'!$H$481,$C265&lt;='TIF Loan Amortization'!I$481),'TIF Loan Amortization'!$G$481,IF(AND($C265&gt;='TIF Loan Amortization'!$H$482,$C265&lt;='TIF Loan Amortization'!I$482),'TIF Loan Amortization'!$G$482,IF(AND($C265&gt;='TIF Loan Amortization'!$H$483,$C265&lt;='TIF Loan Amortization'!I$483),'TIF Loan Amortization'!$G$483,IF(AND($C265&gt;='TIF Loan Amortization'!$H$484,$C265&lt;='TIF Loan Amortization'!I$484),'TIF Loan Amortization'!$G$484,IF(AND($C265&gt;='TIF Loan Amortization'!$H$485,$C265&lt;='TIF Loan Amortization'!I$485),'TIF Loan Amortization'!$G$485,IF(AND($C265&gt;='TIF Loan Amortization'!$H$486,$C265&lt;='TIF Loan Amortization'!I$486),'TIF Loan Amortization'!$G$486,IF(AND($C265&gt;='TIF Loan Amortization'!$H$487,$C265&lt;='TIF Loan Amortization'!I$487),'TIF Loan Amortization'!$G$487,IF(AND($C265&gt;='TIF Loan Amortization'!$H$488,$C265&lt;='TIF Loan Amortization'!I$488),'TIF Loan Amortization'!$G$488,IF(AND($C265&gt;='TIF Loan Amortization'!$H$489,$C265&lt;='TIF Loan Amortization'!I$489),'TIF Loan Amortization'!$G$489,IF(AND($C265&gt;='TIF Loan Amortization'!$H$490,$C265&lt;='TIF Loan Amortization'!I$490),'TIF Loan Amortization'!$G$490,IF(AND($C265&gt;='TIF Loan Amortization'!$H$491,$C265&lt;='TIF Loan Amortization'!I$491),'TIF Loan Amortization'!$G$491,IF(AND($C265&gt;='TIF Loan Amortization'!$H$492,$C265&lt;='TIF Loan Amortization'!I$492),'TIF Loan Amortization'!$G$492,IF(AND($C265&gt;='TIF Loan Amortization'!$H$493,$C265&lt;='TIF Loan Amortization'!I$493),'TIF Loan Amortization'!$G$493,IF(AND($C265&gt;='TIF Loan Amortization'!$H$494,$C265&lt;='TIF Loan Amortization'!I$494),'TIF Loan Amortization'!$G$494,IF(AND($C265&gt;='TIF Loan Amortization'!$H$495,$C265&lt;='TIF Loan Amortization'!I$495),'TIF Loan Amortization'!$G$495,IF(AND($C265&gt;='TIF Loan Amortization'!$H$496,$C265&lt;='TIF Loan Amortization'!I$496),'TIF Loan Amortization'!$G$496,IF(AND($C265&gt;='TIF Loan Amortization'!$H$497,$C265&lt;='TIF Loan Amortization'!I$497),'TIF Loan Amortization'!$G$497,IF(AND($C265&gt;='TIF Loan Amortization'!$H$498,$C265&lt;='TIF Loan Amortization'!I$498),'TIF Loan Amortization'!$G$498,IF(AND($C265&gt;='TIF Loan Amortization'!$H$499,$C265&lt;='TIF Loan Amortization'!I$499),'TIF Loan Amortization'!$G$499,IF(AND($C265&gt;='TIF Loan Amortization'!$H$500,$C265&lt;='TIF Loan Amortization'!I$500),'TIF Loan Amortization'!$G$500,IF(AND($C265&gt;='TIF Loan Amortization'!$H$501,$C265&lt;='TIF Loan Amortization'!I$501),'TIF Loan Amortization'!$G$501,IF(AND($C265&gt;='TIF Loan Amortization'!$H$502,$C265&lt;='TIF Loan Amortization'!I$502),'TIF Loan Amortization'!$G$502,IF(AND($C265&gt;='TIF Loan Amortization'!$H$503,$C265&lt;='TIF Loan Amortization'!I$503),'TIF Loan Amortization'!$G$503,IF(AND($C265&gt;='TIF Loan Amortization'!$H$504,$C265&lt;='TIF Loan Amortization'!I$504),'TIF Loan Amortization'!$G$504,IF(AND($C265&gt;='TIF Loan Amortization'!$H$505,$C265&lt;='TIF Loan Amortization'!I$505),'TIF Loan Amortization'!$G$505,IF(AND($C265&gt;='TIF Loan Amortization'!$H$506,$C265&lt;='TIF Loan Amortization'!I$506),'TIF Loan Amortization'!$G$506,IF(AND($C265&gt;='TIF Loan Amortization'!$H$507,$C265&lt;='TIF Loan Amortization'!I$507),'TIF Loan Amortization'!$G$507,IF(AND($C265&gt;='TIF Loan Amortization'!$H$508,$C265&lt;='TIF Loan Amortization'!I$508),'TIF Loan Amortization'!$G$508,IF(AND($C265&gt;='TIF Loan Amortization'!$H$509,$C265&lt;='TIF Loan Amortization'!I$509),'TIF Loan Amortization'!$G$509,IF(AND($C265&gt;='TIF Loan Amortization'!$H$510,$C265&lt;='TIF Loan Amortization'!I$510),'TIF Loan Amortization'!$G$510,IF(AND($C265&gt;='TIF Loan Amortization'!$H$511,$C265&lt;='TIF Loan Amortization'!I$511),'TIF Loan Amortization'!$G$511,IF(AND($C265&gt;='TIF Loan Amortization'!$H$512,$C265&lt;='TIF Loan Amortization'!I$512),'TIF Loan Amortization'!$G$512,IF(AND($C265&gt;='TIF Loan Amortization'!$H$513,$C265&lt;='TIF Loan Amortization'!I$513),'TIF Loan Amortization'!$G$513,IF(AND($C265&gt;='TIF Loan Amortization'!$H$514,$C265&lt;='TIF Loan Amortization'!I$514),'TIF Loan Amortization'!$G$514,IF(AND($C265&gt;='TIF Loan Amortization'!$H$515,$C265&lt;='TIF Loan Amortization'!I$515),'TIF Loan Amortization'!$G$515,IF(AND($C265&gt;='TIF Loan Amortization'!$H$516,$C265&lt;='TIF Loan Amortization'!I$516),'TIF Loan Amortization'!$G$516,IF(AND($C265&gt;='TIF Loan Amortization'!$H$517,$C265&lt;='TIF Loan Amortization'!I$517),'TIF Loan Amortization'!$G$517,IF(AND($C265&gt;='TIF Loan Amortization'!$H$518,$C265&lt;='TIF Loan Amortization'!I$518),'TIF Loan Amortization'!$G$518,IF(AND($C265&gt;='TIF Loan Amortization'!$H$519,$C265&lt;='TIF Loan Amortization'!I$519),'TIF Loan Amortization'!$G$519))))))))))))))))))))))))))))))))))))))))</f>
        <v>#N/A</v>
      </c>
      <c r="C265" s="269" t="e">
        <f t="shared" si="36"/>
        <v>#N/A</v>
      </c>
      <c r="D265" s="281" t="str">
        <f>IF($AG$433=1,$H$10+18,"")</f>
        <v/>
      </c>
      <c r="E265" s="274">
        <v>215</v>
      </c>
      <c r="F265" s="273" t="str">
        <f>VLOOKUP($AG$433,$AE$422:$AF$433,2)</f>
        <v>Feb</v>
      </c>
      <c r="G265" s="272">
        <f t="shared" si="37"/>
        <v>0</v>
      </c>
      <c r="H265" s="272">
        <f t="shared" si="40"/>
        <v>0</v>
      </c>
      <c r="I265" s="272">
        <f t="shared" si="41"/>
        <v>0</v>
      </c>
      <c r="J265" s="272">
        <f t="shared" si="38"/>
        <v>0</v>
      </c>
      <c r="K265" s="272">
        <f>IF(ISTEXT($M$4),"",SUM(I$50:I265))</f>
        <v>0</v>
      </c>
      <c r="L265" s="272">
        <f>IF(ISTEXT($M$4),"",SUM(J$50:J265))</f>
        <v>0</v>
      </c>
      <c r="M265" s="271">
        <f t="shared" si="39"/>
        <v>0</v>
      </c>
      <c r="N265" s="291" t="e">
        <f>IF(C265='Operating Assumptions'!$C$48,"Construction Finish","")</f>
        <v>#N/A</v>
      </c>
      <c r="O265" s="291"/>
      <c r="P265" s="291"/>
      <c r="Q265" s="291"/>
      <c r="R265" s="291"/>
      <c r="S265" s="291"/>
      <c r="T265" s="280"/>
      <c r="U265" s="280"/>
      <c r="V265" s="286"/>
      <c r="W265" s="286"/>
      <c r="X265" s="286"/>
      <c r="Y265" s="280"/>
      <c r="Z265" s="279"/>
      <c r="AA265" s="279"/>
      <c r="AB265" s="279"/>
    </row>
    <row r="266" spans="2:28" s="278" customFormat="1" ht="13.5" hidden="1" outlineLevel="1" x14ac:dyDescent="0.25">
      <c r="B266" s="270" t="e">
        <f>IF(AND($C266&gt;='TIF Loan Amortization'!$H$480,$C266&lt;='TIF Loan Amortization'!$I$480),'TIF Loan Amortization'!$G$480,IF(AND($C266&gt;='TIF Loan Amortization'!$H$481,$C266&lt;='TIF Loan Amortization'!I$481),'TIF Loan Amortization'!$G$481,IF(AND($C266&gt;='TIF Loan Amortization'!$H$482,$C266&lt;='TIF Loan Amortization'!I$482),'TIF Loan Amortization'!$G$482,IF(AND($C266&gt;='TIF Loan Amortization'!$H$483,$C266&lt;='TIF Loan Amortization'!I$483),'TIF Loan Amortization'!$G$483,IF(AND($C266&gt;='TIF Loan Amortization'!$H$484,$C266&lt;='TIF Loan Amortization'!I$484),'TIF Loan Amortization'!$G$484,IF(AND($C266&gt;='TIF Loan Amortization'!$H$485,$C266&lt;='TIF Loan Amortization'!I$485),'TIF Loan Amortization'!$G$485,IF(AND($C266&gt;='TIF Loan Amortization'!$H$486,$C266&lt;='TIF Loan Amortization'!I$486),'TIF Loan Amortization'!$G$486,IF(AND($C266&gt;='TIF Loan Amortization'!$H$487,$C266&lt;='TIF Loan Amortization'!I$487),'TIF Loan Amortization'!$G$487,IF(AND($C266&gt;='TIF Loan Amortization'!$H$488,$C266&lt;='TIF Loan Amortization'!I$488),'TIF Loan Amortization'!$G$488,IF(AND($C266&gt;='TIF Loan Amortization'!$H$489,$C266&lt;='TIF Loan Amortization'!I$489),'TIF Loan Amortization'!$G$489,IF(AND($C266&gt;='TIF Loan Amortization'!$H$490,$C266&lt;='TIF Loan Amortization'!I$490),'TIF Loan Amortization'!$G$490,IF(AND($C266&gt;='TIF Loan Amortization'!$H$491,$C266&lt;='TIF Loan Amortization'!I$491),'TIF Loan Amortization'!$G$491,IF(AND($C266&gt;='TIF Loan Amortization'!$H$492,$C266&lt;='TIF Loan Amortization'!I$492),'TIF Loan Amortization'!$G$492,IF(AND($C266&gt;='TIF Loan Amortization'!$H$493,$C266&lt;='TIF Loan Amortization'!I$493),'TIF Loan Amortization'!$G$493,IF(AND($C266&gt;='TIF Loan Amortization'!$H$494,$C266&lt;='TIF Loan Amortization'!I$494),'TIF Loan Amortization'!$G$494,IF(AND($C266&gt;='TIF Loan Amortization'!$H$495,$C266&lt;='TIF Loan Amortization'!I$495),'TIF Loan Amortization'!$G$495,IF(AND($C266&gt;='TIF Loan Amortization'!$H$496,$C266&lt;='TIF Loan Amortization'!I$496),'TIF Loan Amortization'!$G$496,IF(AND($C266&gt;='TIF Loan Amortization'!$H$497,$C266&lt;='TIF Loan Amortization'!I$497),'TIF Loan Amortization'!$G$497,IF(AND($C266&gt;='TIF Loan Amortization'!$H$498,$C266&lt;='TIF Loan Amortization'!I$498),'TIF Loan Amortization'!$G$498,IF(AND($C266&gt;='TIF Loan Amortization'!$H$499,$C266&lt;='TIF Loan Amortization'!I$499),'TIF Loan Amortization'!$G$499,IF(AND($C266&gt;='TIF Loan Amortization'!$H$500,$C266&lt;='TIF Loan Amortization'!I$500),'TIF Loan Amortization'!$G$500,IF(AND($C266&gt;='TIF Loan Amortization'!$H$501,$C266&lt;='TIF Loan Amortization'!I$501),'TIF Loan Amortization'!$G$501,IF(AND($C266&gt;='TIF Loan Amortization'!$H$502,$C266&lt;='TIF Loan Amortization'!I$502),'TIF Loan Amortization'!$G$502,IF(AND($C266&gt;='TIF Loan Amortization'!$H$503,$C266&lt;='TIF Loan Amortization'!I$503),'TIF Loan Amortization'!$G$503,IF(AND($C266&gt;='TIF Loan Amortization'!$H$504,$C266&lt;='TIF Loan Amortization'!I$504),'TIF Loan Amortization'!$G$504,IF(AND($C266&gt;='TIF Loan Amortization'!$H$505,$C266&lt;='TIF Loan Amortization'!I$505),'TIF Loan Amortization'!$G$505,IF(AND($C266&gt;='TIF Loan Amortization'!$H$506,$C266&lt;='TIF Loan Amortization'!I$506),'TIF Loan Amortization'!$G$506,IF(AND($C266&gt;='TIF Loan Amortization'!$H$507,$C266&lt;='TIF Loan Amortization'!I$507),'TIF Loan Amortization'!$G$507,IF(AND($C266&gt;='TIF Loan Amortization'!$H$508,$C266&lt;='TIF Loan Amortization'!I$508),'TIF Loan Amortization'!$G$508,IF(AND($C266&gt;='TIF Loan Amortization'!$H$509,$C266&lt;='TIF Loan Amortization'!I$509),'TIF Loan Amortization'!$G$509,IF(AND($C266&gt;='TIF Loan Amortization'!$H$510,$C266&lt;='TIF Loan Amortization'!I$510),'TIF Loan Amortization'!$G$510,IF(AND($C266&gt;='TIF Loan Amortization'!$H$511,$C266&lt;='TIF Loan Amortization'!I$511),'TIF Loan Amortization'!$G$511,IF(AND($C266&gt;='TIF Loan Amortization'!$H$512,$C266&lt;='TIF Loan Amortization'!I$512),'TIF Loan Amortization'!$G$512,IF(AND($C266&gt;='TIF Loan Amortization'!$H$513,$C266&lt;='TIF Loan Amortization'!I$513),'TIF Loan Amortization'!$G$513,IF(AND($C266&gt;='TIF Loan Amortization'!$H$514,$C266&lt;='TIF Loan Amortization'!I$514),'TIF Loan Amortization'!$G$514,IF(AND($C266&gt;='TIF Loan Amortization'!$H$515,$C266&lt;='TIF Loan Amortization'!I$515),'TIF Loan Amortization'!$G$515,IF(AND($C266&gt;='TIF Loan Amortization'!$H$516,$C266&lt;='TIF Loan Amortization'!I$516),'TIF Loan Amortization'!$G$516,IF(AND($C266&gt;='TIF Loan Amortization'!$H$517,$C266&lt;='TIF Loan Amortization'!I$517),'TIF Loan Amortization'!$G$517,IF(AND($C266&gt;='TIF Loan Amortization'!$H$518,$C266&lt;='TIF Loan Amortization'!I$518),'TIF Loan Amortization'!$G$518,IF(AND($C266&gt;='TIF Loan Amortization'!$H$519,$C266&lt;='TIF Loan Amortization'!I$519),'TIF Loan Amortization'!$G$519))))))))))))))))))))))))))))))))))))))))</f>
        <v>#N/A</v>
      </c>
      <c r="C266" s="269" t="e">
        <f t="shared" si="36"/>
        <v>#N/A</v>
      </c>
      <c r="D266" s="281" t="str">
        <f>IF($H$11="January",$H$10+18,IF($AG$422=1,$H$10+19,""))</f>
        <v/>
      </c>
      <c r="E266" s="274">
        <v>216</v>
      </c>
      <c r="F266" s="273" t="str">
        <f>VLOOKUP($AG$422,$AE$422:$AF$433,2)</f>
        <v>Mar</v>
      </c>
      <c r="G266" s="272">
        <f t="shared" si="37"/>
        <v>0</v>
      </c>
      <c r="H266" s="272">
        <f t="shared" si="40"/>
        <v>0</v>
      </c>
      <c r="I266" s="272">
        <f t="shared" si="41"/>
        <v>0</v>
      </c>
      <c r="J266" s="272">
        <f t="shared" si="38"/>
        <v>0</v>
      </c>
      <c r="K266" s="272">
        <f>IF(ISTEXT($M$4),"",SUM(I$50:I266))</f>
        <v>0</v>
      </c>
      <c r="L266" s="272">
        <f>IF(ISTEXT($M$4),"",SUM(J$50:J266))</f>
        <v>0</v>
      </c>
      <c r="M266" s="271">
        <f t="shared" si="39"/>
        <v>0</v>
      </c>
      <c r="N266" s="291" t="e">
        <f>IF(C266='Operating Assumptions'!$C$48,"Construction Finish","")</f>
        <v>#N/A</v>
      </c>
      <c r="O266" s="291"/>
      <c r="P266" s="291"/>
      <c r="Q266" s="291"/>
      <c r="R266" s="291"/>
      <c r="S266" s="291"/>
      <c r="T266" s="280"/>
      <c r="U266" s="280"/>
      <c r="V266" s="286"/>
      <c r="W266" s="286"/>
      <c r="X266" s="286"/>
      <c r="Y266" s="280"/>
      <c r="Z266" s="279"/>
      <c r="AA266" s="279"/>
      <c r="AB266" s="279"/>
    </row>
    <row r="267" spans="2:28" s="278" customFormat="1" ht="13.5" hidden="1" outlineLevel="1" x14ac:dyDescent="0.25">
      <c r="B267" s="270" t="e">
        <f>IF(AND($C267&gt;='TIF Loan Amortization'!$H$480,$C267&lt;='TIF Loan Amortization'!$I$480),'TIF Loan Amortization'!$G$480,IF(AND($C267&gt;='TIF Loan Amortization'!$H$481,$C267&lt;='TIF Loan Amortization'!I$481),'TIF Loan Amortization'!$G$481,IF(AND($C267&gt;='TIF Loan Amortization'!$H$482,$C267&lt;='TIF Loan Amortization'!I$482),'TIF Loan Amortization'!$G$482,IF(AND($C267&gt;='TIF Loan Amortization'!$H$483,$C267&lt;='TIF Loan Amortization'!I$483),'TIF Loan Amortization'!$G$483,IF(AND($C267&gt;='TIF Loan Amortization'!$H$484,$C267&lt;='TIF Loan Amortization'!I$484),'TIF Loan Amortization'!$G$484,IF(AND($C267&gt;='TIF Loan Amortization'!$H$485,$C267&lt;='TIF Loan Amortization'!I$485),'TIF Loan Amortization'!$G$485,IF(AND($C267&gt;='TIF Loan Amortization'!$H$486,$C267&lt;='TIF Loan Amortization'!I$486),'TIF Loan Amortization'!$G$486,IF(AND($C267&gt;='TIF Loan Amortization'!$H$487,$C267&lt;='TIF Loan Amortization'!I$487),'TIF Loan Amortization'!$G$487,IF(AND($C267&gt;='TIF Loan Amortization'!$H$488,$C267&lt;='TIF Loan Amortization'!I$488),'TIF Loan Amortization'!$G$488,IF(AND($C267&gt;='TIF Loan Amortization'!$H$489,$C267&lt;='TIF Loan Amortization'!I$489),'TIF Loan Amortization'!$G$489,IF(AND($C267&gt;='TIF Loan Amortization'!$H$490,$C267&lt;='TIF Loan Amortization'!I$490),'TIF Loan Amortization'!$G$490,IF(AND($C267&gt;='TIF Loan Amortization'!$H$491,$C267&lt;='TIF Loan Amortization'!I$491),'TIF Loan Amortization'!$G$491,IF(AND($C267&gt;='TIF Loan Amortization'!$H$492,$C267&lt;='TIF Loan Amortization'!I$492),'TIF Loan Amortization'!$G$492,IF(AND($C267&gt;='TIF Loan Amortization'!$H$493,$C267&lt;='TIF Loan Amortization'!I$493),'TIF Loan Amortization'!$G$493,IF(AND($C267&gt;='TIF Loan Amortization'!$H$494,$C267&lt;='TIF Loan Amortization'!I$494),'TIF Loan Amortization'!$G$494,IF(AND($C267&gt;='TIF Loan Amortization'!$H$495,$C267&lt;='TIF Loan Amortization'!I$495),'TIF Loan Amortization'!$G$495,IF(AND($C267&gt;='TIF Loan Amortization'!$H$496,$C267&lt;='TIF Loan Amortization'!I$496),'TIF Loan Amortization'!$G$496,IF(AND($C267&gt;='TIF Loan Amortization'!$H$497,$C267&lt;='TIF Loan Amortization'!I$497),'TIF Loan Amortization'!$G$497,IF(AND($C267&gt;='TIF Loan Amortization'!$H$498,$C267&lt;='TIF Loan Amortization'!I$498),'TIF Loan Amortization'!$G$498,IF(AND($C267&gt;='TIF Loan Amortization'!$H$499,$C267&lt;='TIF Loan Amortization'!I$499),'TIF Loan Amortization'!$G$499,IF(AND($C267&gt;='TIF Loan Amortization'!$H$500,$C267&lt;='TIF Loan Amortization'!I$500),'TIF Loan Amortization'!$G$500,IF(AND($C267&gt;='TIF Loan Amortization'!$H$501,$C267&lt;='TIF Loan Amortization'!I$501),'TIF Loan Amortization'!$G$501,IF(AND($C267&gt;='TIF Loan Amortization'!$H$502,$C267&lt;='TIF Loan Amortization'!I$502),'TIF Loan Amortization'!$G$502,IF(AND($C267&gt;='TIF Loan Amortization'!$H$503,$C267&lt;='TIF Loan Amortization'!I$503),'TIF Loan Amortization'!$G$503,IF(AND($C267&gt;='TIF Loan Amortization'!$H$504,$C267&lt;='TIF Loan Amortization'!I$504),'TIF Loan Amortization'!$G$504,IF(AND($C267&gt;='TIF Loan Amortization'!$H$505,$C267&lt;='TIF Loan Amortization'!I$505),'TIF Loan Amortization'!$G$505,IF(AND($C267&gt;='TIF Loan Amortization'!$H$506,$C267&lt;='TIF Loan Amortization'!I$506),'TIF Loan Amortization'!$G$506,IF(AND($C267&gt;='TIF Loan Amortization'!$H$507,$C267&lt;='TIF Loan Amortization'!I$507),'TIF Loan Amortization'!$G$507,IF(AND($C267&gt;='TIF Loan Amortization'!$H$508,$C267&lt;='TIF Loan Amortization'!I$508),'TIF Loan Amortization'!$G$508,IF(AND($C267&gt;='TIF Loan Amortization'!$H$509,$C267&lt;='TIF Loan Amortization'!I$509),'TIF Loan Amortization'!$G$509,IF(AND($C267&gt;='TIF Loan Amortization'!$H$510,$C267&lt;='TIF Loan Amortization'!I$510),'TIF Loan Amortization'!$G$510,IF(AND($C267&gt;='TIF Loan Amortization'!$H$511,$C267&lt;='TIF Loan Amortization'!I$511),'TIF Loan Amortization'!$G$511,IF(AND($C267&gt;='TIF Loan Amortization'!$H$512,$C267&lt;='TIF Loan Amortization'!I$512),'TIF Loan Amortization'!$G$512,IF(AND($C267&gt;='TIF Loan Amortization'!$H$513,$C267&lt;='TIF Loan Amortization'!I$513),'TIF Loan Amortization'!$G$513,IF(AND($C267&gt;='TIF Loan Amortization'!$H$514,$C267&lt;='TIF Loan Amortization'!I$514),'TIF Loan Amortization'!$G$514,IF(AND($C267&gt;='TIF Loan Amortization'!$H$515,$C267&lt;='TIF Loan Amortization'!I$515),'TIF Loan Amortization'!$G$515,IF(AND($C267&gt;='TIF Loan Amortization'!$H$516,$C267&lt;='TIF Loan Amortization'!I$516),'TIF Loan Amortization'!$G$516,IF(AND($C267&gt;='TIF Loan Amortization'!$H$517,$C267&lt;='TIF Loan Amortization'!I$517),'TIF Loan Amortization'!$G$517,IF(AND($C267&gt;='TIF Loan Amortization'!$H$518,$C267&lt;='TIF Loan Amortization'!I$518),'TIF Loan Amortization'!$G$518,IF(AND($C267&gt;='TIF Loan Amortization'!$H$519,$C267&lt;='TIF Loan Amortization'!I$519),'TIF Loan Amortization'!$G$519))))))))))))))))))))))))))))))))))))))))</f>
        <v>#N/A</v>
      </c>
      <c r="C267" s="269" t="e">
        <f t="shared" si="36"/>
        <v>#N/A</v>
      </c>
      <c r="D267" s="281" t="str">
        <f>IF($AG$423=1,$H$10+19,"")</f>
        <v/>
      </c>
      <c r="E267" s="274">
        <v>217</v>
      </c>
      <c r="F267" s="275" t="str">
        <f>VLOOKUP($AG$423,$AE$422:$AF$433,2)</f>
        <v>Apr</v>
      </c>
      <c r="G267" s="272">
        <f t="shared" si="37"/>
        <v>0</v>
      </c>
      <c r="H267" s="272">
        <f t="shared" si="40"/>
        <v>0</v>
      </c>
      <c r="I267" s="272">
        <f t="shared" si="41"/>
        <v>0</v>
      </c>
      <c r="J267" s="272">
        <f t="shared" si="38"/>
        <v>0</v>
      </c>
      <c r="K267" s="272">
        <f>IF(ISTEXT($M$4),"",SUM(I$50:I267))</f>
        <v>0</v>
      </c>
      <c r="L267" s="272">
        <f>IF(ISTEXT($M$4),"",SUM(J$50:J267))</f>
        <v>0</v>
      </c>
      <c r="M267" s="271">
        <f t="shared" si="39"/>
        <v>0</v>
      </c>
      <c r="N267" s="291" t="e">
        <f>IF(C267='Operating Assumptions'!$C$48,"Construction Finish","")</f>
        <v>#N/A</v>
      </c>
      <c r="O267" s="291"/>
      <c r="P267" s="291"/>
      <c r="Q267" s="291"/>
      <c r="R267" s="291"/>
      <c r="S267" s="291"/>
      <c r="T267" s="280"/>
      <c r="U267" s="280"/>
      <c r="V267" s="286"/>
      <c r="W267" s="286"/>
      <c r="X267" s="286"/>
      <c r="Y267" s="280"/>
      <c r="Z267" s="279"/>
      <c r="AA267" s="279"/>
      <c r="AB267" s="279"/>
    </row>
    <row r="268" spans="2:28" s="278" customFormat="1" ht="13.5" hidden="1" outlineLevel="1" x14ac:dyDescent="0.25">
      <c r="B268" s="270" t="e">
        <f>IF(AND($C268&gt;='TIF Loan Amortization'!$H$480,$C268&lt;='TIF Loan Amortization'!$I$480),'TIF Loan Amortization'!$G$480,IF(AND($C268&gt;='TIF Loan Amortization'!$H$481,$C268&lt;='TIF Loan Amortization'!I$481),'TIF Loan Amortization'!$G$481,IF(AND($C268&gt;='TIF Loan Amortization'!$H$482,$C268&lt;='TIF Loan Amortization'!I$482),'TIF Loan Amortization'!$G$482,IF(AND($C268&gt;='TIF Loan Amortization'!$H$483,$C268&lt;='TIF Loan Amortization'!I$483),'TIF Loan Amortization'!$G$483,IF(AND($C268&gt;='TIF Loan Amortization'!$H$484,$C268&lt;='TIF Loan Amortization'!I$484),'TIF Loan Amortization'!$G$484,IF(AND($C268&gt;='TIF Loan Amortization'!$H$485,$C268&lt;='TIF Loan Amortization'!I$485),'TIF Loan Amortization'!$G$485,IF(AND($C268&gt;='TIF Loan Amortization'!$H$486,$C268&lt;='TIF Loan Amortization'!I$486),'TIF Loan Amortization'!$G$486,IF(AND($C268&gt;='TIF Loan Amortization'!$H$487,$C268&lt;='TIF Loan Amortization'!I$487),'TIF Loan Amortization'!$G$487,IF(AND($C268&gt;='TIF Loan Amortization'!$H$488,$C268&lt;='TIF Loan Amortization'!I$488),'TIF Loan Amortization'!$G$488,IF(AND($C268&gt;='TIF Loan Amortization'!$H$489,$C268&lt;='TIF Loan Amortization'!I$489),'TIF Loan Amortization'!$G$489,IF(AND($C268&gt;='TIF Loan Amortization'!$H$490,$C268&lt;='TIF Loan Amortization'!I$490),'TIF Loan Amortization'!$G$490,IF(AND($C268&gt;='TIF Loan Amortization'!$H$491,$C268&lt;='TIF Loan Amortization'!I$491),'TIF Loan Amortization'!$G$491,IF(AND($C268&gt;='TIF Loan Amortization'!$H$492,$C268&lt;='TIF Loan Amortization'!I$492),'TIF Loan Amortization'!$G$492,IF(AND($C268&gt;='TIF Loan Amortization'!$H$493,$C268&lt;='TIF Loan Amortization'!I$493),'TIF Loan Amortization'!$G$493,IF(AND($C268&gt;='TIF Loan Amortization'!$H$494,$C268&lt;='TIF Loan Amortization'!I$494),'TIF Loan Amortization'!$G$494,IF(AND($C268&gt;='TIF Loan Amortization'!$H$495,$C268&lt;='TIF Loan Amortization'!I$495),'TIF Loan Amortization'!$G$495,IF(AND($C268&gt;='TIF Loan Amortization'!$H$496,$C268&lt;='TIF Loan Amortization'!I$496),'TIF Loan Amortization'!$G$496,IF(AND($C268&gt;='TIF Loan Amortization'!$H$497,$C268&lt;='TIF Loan Amortization'!I$497),'TIF Loan Amortization'!$G$497,IF(AND($C268&gt;='TIF Loan Amortization'!$H$498,$C268&lt;='TIF Loan Amortization'!I$498),'TIF Loan Amortization'!$G$498,IF(AND($C268&gt;='TIF Loan Amortization'!$H$499,$C268&lt;='TIF Loan Amortization'!I$499),'TIF Loan Amortization'!$G$499,IF(AND($C268&gt;='TIF Loan Amortization'!$H$500,$C268&lt;='TIF Loan Amortization'!I$500),'TIF Loan Amortization'!$G$500,IF(AND($C268&gt;='TIF Loan Amortization'!$H$501,$C268&lt;='TIF Loan Amortization'!I$501),'TIF Loan Amortization'!$G$501,IF(AND($C268&gt;='TIF Loan Amortization'!$H$502,$C268&lt;='TIF Loan Amortization'!I$502),'TIF Loan Amortization'!$G$502,IF(AND($C268&gt;='TIF Loan Amortization'!$H$503,$C268&lt;='TIF Loan Amortization'!I$503),'TIF Loan Amortization'!$G$503,IF(AND($C268&gt;='TIF Loan Amortization'!$H$504,$C268&lt;='TIF Loan Amortization'!I$504),'TIF Loan Amortization'!$G$504,IF(AND($C268&gt;='TIF Loan Amortization'!$H$505,$C268&lt;='TIF Loan Amortization'!I$505),'TIF Loan Amortization'!$G$505,IF(AND($C268&gt;='TIF Loan Amortization'!$H$506,$C268&lt;='TIF Loan Amortization'!I$506),'TIF Loan Amortization'!$G$506,IF(AND($C268&gt;='TIF Loan Amortization'!$H$507,$C268&lt;='TIF Loan Amortization'!I$507),'TIF Loan Amortization'!$G$507,IF(AND($C268&gt;='TIF Loan Amortization'!$H$508,$C268&lt;='TIF Loan Amortization'!I$508),'TIF Loan Amortization'!$G$508,IF(AND($C268&gt;='TIF Loan Amortization'!$H$509,$C268&lt;='TIF Loan Amortization'!I$509),'TIF Loan Amortization'!$G$509,IF(AND($C268&gt;='TIF Loan Amortization'!$H$510,$C268&lt;='TIF Loan Amortization'!I$510),'TIF Loan Amortization'!$G$510,IF(AND($C268&gt;='TIF Loan Amortization'!$H$511,$C268&lt;='TIF Loan Amortization'!I$511),'TIF Loan Amortization'!$G$511,IF(AND($C268&gt;='TIF Loan Amortization'!$H$512,$C268&lt;='TIF Loan Amortization'!I$512),'TIF Loan Amortization'!$G$512,IF(AND($C268&gt;='TIF Loan Amortization'!$H$513,$C268&lt;='TIF Loan Amortization'!I$513),'TIF Loan Amortization'!$G$513,IF(AND($C268&gt;='TIF Loan Amortization'!$H$514,$C268&lt;='TIF Loan Amortization'!I$514),'TIF Loan Amortization'!$G$514,IF(AND($C268&gt;='TIF Loan Amortization'!$H$515,$C268&lt;='TIF Loan Amortization'!I$515),'TIF Loan Amortization'!$G$515,IF(AND($C268&gt;='TIF Loan Amortization'!$H$516,$C268&lt;='TIF Loan Amortization'!I$516),'TIF Loan Amortization'!$G$516,IF(AND($C268&gt;='TIF Loan Amortization'!$H$517,$C268&lt;='TIF Loan Amortization'!I$517),'TIF Loan Amortization'!$G$517,IF(AND($C268&gt;='TIF Loan Amortization'!$H$518,$C268&lt;='TIF Loan Amortization'!I$518),'TIF Loan Amortization'!$G$518,IF(AND($C268&gt;='TIF Loan Amortization'!$H$519,$C268&lt;='TIF Loan Amortization'!I$519),'TIF Loan Amortization'!$G$519))))))))))))))))))))))))))))))))))))))))</f>
        <v>#N/A</v>
      </c>
      <c r="C268" s="269" t="e">
        <f t="shared" si="36"/>
        <v>#N/A</v>
      </c>
      <c r="D268" s="281" t="str">
        <f>IF($AG$424=1,$H$10+19,"")</f>
        <v/>
      </c>
      <c r="E268" s="274">
        <v>218</v>
      </c>
      <c r="F268" s="275" t="str">
        <f>VLOOKUP($AG$424,$AE$422:$AF$433,2)</f>
        <v>May</v>
      </c>
      <c r="G268" s="272">
        <f t="shared" si="37"/>
        <v>0</v>
      </c>
      <c r="H268" s="272">
        <f t="shared" si="40"/>
        <v>0</v>
      </c>
      <c r="I268" s="272">
        <f t="shared" si="41"/>
        <v>0</v>
      </c>
      <c r="J268" s="272">
        <f t="shared" si="38"/>
        <v>0</v>
      </c>
      <c r="K268" s="272">
        <f>IF(ISTEXT($M$4),"",SUM(I$50:I268))</f>
        <v>0</v>
      </c>
      <c r="L268" s="272">
        <f>IF(ISTEXT($M$4),"",SUM(J$50:J268))</f>
        <v>0</v>
      </c>
      <c r="M268" s="271">
        <f t="shared" si="39"/>
        <v>0</v>
      </c>
      <c r="N268" s="291" t="e">
        <f>IF(C268='Operating Assumptions'!$C$48,"Construction Finish","")</f>
        <v>#N/A</v>
      </c>
      <c r="O268" s="291"/>
      <c r="P268" s="291"/>
      <c r="Q268" s="291"/>
      <c r="R268" s="291"/>
      <c r="S268" s="291"/>
      <c r="T268" s="280"/>
      <c r="U268" s="280"/>
      <c r="V268" s="286"/>
      <c r="W268" s="286"/>
      <c r="X268" s="286"/>
      <c r="Y268" s="280"/>
      <c r="Z268" s="279"/>
      <c r="AA268" s="279"/>
      <c r="AB268" s="279"/>
    </row>
    <row r="269" spans="2:28" s="278" customFormat="1" ht="13.5" hidden="1" outlineLevel="1" x14ac:dyDescent="0.25">
      <c r="B269" s="270" t="e">
        <f>IF(AND($C269&gt;='TIF Loan Amortization'!$H$480,$C269&lt;='TIF Loan Amortization'!$I$480),'TIF Loan Amortization'!$G$480,IF(AND($C269&gt;='TIF Loan Amortization'!$H$481,$C269&lt;='TIF Loan Amortization'!I$481),'TIF Loan Amortization'!$G$481,IF(AND($C269&gt;='TIF Loan Amortization'!$H$482,$C269&lt;='TIF Loan Amortization'!I$482),'TIF Loan Amortization'!$G$482,IF(AND($C269&gt;='TIF Loan Amortization'!$H$483,$C269&lt;='TIF Loan Amortization'!I$483),'TIF Loan Amortization'!$G$483,IF(AND($C269&gt;='TIF Loan Amortization'!$H$484,$C269&lt;='TIF Loan Amortization'!I$484),'TIF Loan Amortization'!$G$484,IF(AND($C269&gt;='TIF Loan Amortization'!$H$485,$C269&lt;='TIF Loan Amortization'!I$485),'TIF Loan Amortization'!$G$485,IF(AND($C269&gt;='TIF Loan Amortization'!$H$486,$C269&lt;='TIF Loan Amortization'!I$486),'TIF Loan Amortization'!$G$486,IF(AND($C269&gt;='TIF Loan Amortization'!$H$487,$C269&lt;='TIF Loan Amortization'!I$487),'TIF Loan Amortization'!$G$487,IF(AND($C269&gt;='TIF Loan Amortization'!$H$488,$C269&lt;='TIF Loan Amortization'!I$488),'TIF Loan Amortization'!$G$488,IF(AND($C269&gt;='TIF Loan Amortization'!$H$489,$C269&lt;='TIF Loan Amortization'!I$489),'TIF Loan Amortization'!$G$489,IF(AND($C269&gt;='TIF Loan Amortization'!$H$490,$C269&lt;='TIF Loan Amortization'!I$490),'TIF Loan Amortization'!$G$490,IF(AND($C269&gt;='TIF Loan Amortization'!$H$491,$C269&lt;='TIF Loan Amortization'!I$491),'TIF Loan Amortization'!$G$491,IF(AND($C269&gt;='TIF Loan Amortization'!$H$492,$C269&lt;='TIF Loan Amortization'!I$492),'TIF Loan Amortization'!$G$492,IF(AND($C269&gt;='TIF Loan Amortization'!$H$493,$C269&lt;='TIF Loan Amortization'!I$493),'TIF Loan Amortization'!$G$493,IF(AND($C269&gt;='TIF Loan Amortization'!$H$494,$C269&lt;='TIF Loan Amortization'!I$494),'TIF Loan Amortization'!$G$494,IF(AND($C269&gt;='TIF Loan Amortization'!$H$495,$C269&lt;='TIF Loan Amortization'!I$495),'TIF Loan Amortization'!$G$495,IF(AND($C269&gt;='TIF Loan Amortization'!$H$496,$C269&lt;='TIF Loan Amortization'!I$496),'TIF Loan Amortization'!$G$496,IF(AND($C269&gt;='TIF Loan Amortization'!$H$497,$C269&lt;='TIF Loan Amortization'!I$497),'TIF Loan Amortization'!$G$497,IF(AND($C269&gt;='TIF Loan Amortization'!$H$498,$C269&lt;='TIF Loan Amortization'!I$498),'TIF Loan Amortization'!$G$498,IF(AND($C269&gt;='TIF Loan Amortization'!$H$499,$C269&lt;='TIF Loan Amortization'!I$499),'TIF Loan Amortization'!$G$499,IF(AND($C269&gt;='TIF Loan Amortization'!$H$500,$C269&lt;='TIF Loan Amortization'!I$500),'TIF Loan Amortization'!$G$500,IF(AND($C269&gt;='TIF Loan Amortization'!$H$501,$C269&lt;='TIF Loan Amortization'!I$501),'TIF Loan Amortization'!$G$501,IF(AND($C269&gt;='TIF Loan Amortization'!$H$502,$C269&lt;='TIF Loan Amortization'!I$502),'TIF Loan Amortization'!$G$502,IF(AND($C269&gt;='TIF Loan Amortization'!$H$503,$C269&lt;='TIF Loan Amortization'!I$503),'TIF Loan Amortization'!$G$503,IF(AND($C269&gt;='TIF Loan Amortization'!$H$504,$C269&lt;='TIF Loan Amortization'!I$504),'TIF Loan Amortization'!$G$504,IF(AND($C269&gt;='TIF Loan Amortization'!$H$505,$C269&lt;='TIF Loan Amortization'!I$505),'TIF Loan Amortization'!$G$505,IF(AND($C269&gt;='TIF Loan Amortization'!$H$506,$C269&lt;='TIF Loan Amortization'!I$506),'TIF Loan Amortization'!$G$506,IF(AND($C269&gt;='TIF Loan Amortization'!$H$507,$C269&lt;='TIF Loan Amortization'!I$507),'TIF Loan Amortization'!$G$507,IF(AND($C269&gt;='TIF Loan Amortization'!$H$508,$C269&lt;='TIF Loan Amortization'!I$508),'TIF Loan Amortization'!$G$508,IF(AND($C269&gt;='TIF Loan Amortization'!$H$509,$C269&lt;='TIF Loan Amortization'!I$509),'TIF Loan Amortization'!$G$509,IF(AND($C269&gt;='TIF Loan Amortization'!$H$510,$C269&lt;='TIF Loan Amortization'!I$510),'TIF Loan Amortization'!$G$510,IF(AND($C269&gt;='TIF Loan Amortization'!$H$511,$C269&lt;='TIF Loan Amortization'!I$511),'TIF Loan Amortization'!$G$511,IF(AND($C269&gt;='TIF Loan Amortization'!$H$512,$C269&lt;='TIF Loan Amortization'!I$512),'TIF Loan Amortization'!$G$512,IF(AND($C269&gt;='TIF Loan Amortization'!$H$513,$C269&lt;='TIF Loan Amortization'!I$513),'TIF Loan Amortization'!$G$513,IF(AND($C269&gt;='TIF Loan Amortization'!$H$514,$C269&lt;='TIF Loan Amortization'!I$514),'TIF Loan Amortization'!$G$514,IF(AND($C269&gt;='TIF Loan Amortization'!$H$515,$C269&lt;='TIF Loan Amortization'!I$515),'TIF Loan Amortization'!$G$515,IF(AND($C269&gt;='TIF Loan Amortization'!$H$516,$C269&lt;='TIF Loan Amortization'!I$516),'TIF Loan Amortization'!$G$516,IF(AND($C269&gt;='TIF Loan Amortization'!$H$517,$C269&lt;='TIF Loan Amortization'!I$517),'TIF Loan Amortization'!$G$517,IF(AND($C269&gt;='TIF Loan Amortization'!$H$518,$C269&lt;='TIF Loan Amortization'!I$518),'TIF Loan Amortization'!$G$518,IF(AND($C269&gt;='TIF Loan Amortization'!$H$519,$C269&lt;='TIF Loan Amortization'!I$519),'TIF Loan Amortization'!$G$519))))))))))))))))))))))))))))))))))))))))</f>
        <v>#N/A</v>
      </c>
      <c r="C269" s="269" t="e">
        <f t="shared" si="36"/>
        <v>#N/A</v>
      </c>
      <c r="D269" s="281" t="str">
        <f>IF($AG$425=1,$H$10+19,"")</f>
        <v/>
      </c>
      <c r="E269" s="274">
        <v>219</v>
      </c>
      <c r="F269" s="275" t="str">
        <f>VLOOKUP($AG$425,$AE$422:$AF$433,2)</f>
        <v>Jun</v>
      </c>
      <c r="G269" s="272">
        <f t="shared" si="37"/>
        <v>0</v>
      </c>
      <c r="H269" s="272">
        <f t="shared" si="40"/>
        <v>0</v>
      </c>
      <c r="I269" s="272">
        <f t="shared" si="41"/>
        <v>0</v>
      </c>
      <c r="J269" s="272">
        <f t="shared" si="38"/>
        <v>0</v>
      </c>
      <c r="K269" s="272">
        <f>IF(ISTEXT($M$4),"",SUM(I$50:I269))</f>
        <v>0</v>
      </c>
      <c r="L269" s="272">
        <f>IF(ISTEXT($M$4),"",SUM(J$50:J269))</f>
        <v>0</v>
      </c>
      <c r="M269" s="271">
        <f t="shared" si="39"/>
        <v>0</v>
      </c>
      <c r="N269" s="291" t="e">
        <f>IF(C269='Operating Assumptions'!$C$48,"Construction Finish","")</f>
        <v>#N/A</v>
      </c>
      <c r="O269" s="291"/>
      <c r="P269" s="291"/>
      <c r="Q269" s="291"/>
      <c r="R269" s="291"/>
      <c r="S269" s="291"/>
      <c r="T269" s="280"/>
      <c r="U269" s="280"/>
      <c r="V269" s="286"/>
      <c r="W269" s="286"/>
      <c r="X269" s="286"/>
      <c r="Y269" s="280"/>
      <c r="Z269" s="279"/>
      <c r="AA269" s="279"/>
      <c r="AB269" s="279"/>
    </row>
    <row r="270" spans="2:28" s="278" customFormat="1" ht="13.5" hidden="1" outlineLevel="1" x14ac:dyDescent="0.25">
      <c r="B270" s="270" t="e">
        <f>IF(AND($C270&gt;='TIF Loan Amortization'!$H$480,$C270&lt;='TIF Loan Amortization'!$I$480),'TIF Loan Amortization'!$G$480,IF(AND($C270&gt;='TIF Loan Amortization'!$H$481,$C270&lt;='TIF Loan Amortization'!I$481),'TIF Loan Amortization'!$G$481,IF(AND($C270&gt;='TIF Loan Amortization'!$H$482,$C270&lt;='TIF Loan Amortization'!I$482),'TIF Loan Amortization'!$G$482,IF(AND($C270&gt;='TIF Loan Amortization'!$H$483,$C270&lt;='TIF Loan Amortization'!I$483),'TIF Loan Amortization'!$G$483,IF(AND($C270&gt;='TIF Loan Amortization'!$H$484,$C270&lt;='TIF Loan Amortization'!I$484),'TIF Loan Amortization'!$G$484,IF(AND($C270&gt;='TIF Loan Amortization'!$H$485,$C270&lt;='TIF Loan Amortization'!I$485),'TIF Loan Amortization'!$G$485,IF(AND($C270&gt;='TIF Loan Amortization'!$H$486,$C270&lt;='TIF Loan Amortization'!I$486),'TIF Loan Amortization'!$G$486,IF(AND($C270&gt;='TIF Loan Amortization'!$H$487,$C270&lt;='TIF Loan Amortization'!I$487),'TIF Loan Amortization'!$G$487,IF(AND($C270&gt;='TIF Loan Amortization'!$H$488,$C270&lt;='TIF Loan Amortization'!I$488),'TIF Loan Amortization'!$G$488,IF(AND($C270&gt;='TIF Loan Amortization'!$H$489,$C270&lt;='TIF Loan Amortization'!I$489),'TIF Loan Amortization'!$G$489,IF(AND($C270&gt;='TIF Loan Amortization'!$H$490,$C270&lt;='TIF Loan Amortization'!I$490),'TIF Loan Amortization'!$G$490,IF(AND($C270&gt;='TIF Loan Amortization'!$H$491,$C270&lt;='TIF Loan Amortization'!I$491),'TIF Loan Amortization'!$G$491,IF(AND($C270&gt;='TIF Loan Amortization'!$H$492,$C270&lt;='TIF Loan Amortization'!I$492),'TIF Loan Amortization'!$G$492,IF(AND($C270&gt;='TIF Loan Amortization'!$H$493,$C270&lt;='TIF Loan Amortization'!I$493),'TIF Loan Amortization'!$G$493,IF(AND($C270&gt;='TIF Loan Amortization'!$H$494,$C270&lt;='TIF Loan Amortization'!I$494),'TIF Loan Amortization'!$G$494,IF(AND($C270&gt;='TIF Loan Amortization'!$H$495,$C270&lt;='TIF Loan Amortization'!I$495),'TIF Loan Amortization'!$G$495,IF(AND($C270&gt;='TIF Loan Amortization'!$H$496,$C270&lt;='TIF Loan Amortization'!I$496),'TIF Loan Amortization'!$G$496,IF(AND($C270&gt;='TIF Loan Amortization'!$H$497,$C270&lt;='TIF Loan Amortization'!I$497),'TIF Loan Amortization'!$G$497,IF(AND($C270&gt;='TIF Loan Amortization'!$H$498,$C270&lt;='TIF Loan Amortization'!I$498),'TIF Loan Amortization'!$G$498,IF(AND($C270&gt;='TIF Loan Amortization'!$H$499,$C270&lt;='TIF Loan Amortization'!I$499),'TIF Loan Amortization'!$G$499,IF(AND($C270&gt;='TIF Loan Amortization'!$H$500,$C270&lt;='TIF Loan Amortization'!I$500),'TIF Loan Amortization'!$G$500,IF(AND($C270&gt;='TIF Loan Amortization'!$H$501,$C270&lt;='TIF Loan Amortization'!I$501),'TIF Loan Amortization'!$G$501,IF(AND($C270&gt;='TIF Loan Amortization'!$H$502,$C270&lt;='TIF Loan Amortization'!I$502),'TIF Loan Amortization'!$G$502,IF(AND($C270&gt;='TIF Loan Amortization'!$H$503,$C270&lt;='TIF Loan Amortization'!I$503),'TIF Loan Amortization'!$G$503,IF(AND($C270&gt;='TIF Loan Amortization'!$H$504,$C270&lt;='TIF Loan Amortization'!I$504),'TIF Loan Amortization'!$G$504,IF(AND($C270&gt;='TIF Loan Amortization'!$H$505,$C270&lt;='TIF Loan Amortization'!I$505),'TIF Loan Amortization'!$G$505,IF(AND($C270&gt;='TIF Loan Amortization'!$H$506,$C270&lt;='TIF Loan Amortization'!I$506),'TIF Loan Amortization'!$G$506,IF(AND($C270&gt;='TIF Loan Amortization'!$H$507,$C270&lt;='TIF Loan Amortization'!I$507),'TIF Loan Amortization'!$G$507,IF(AND($C270&gt;='TIF Loan Amortization'!$H$508,$C270&lt;='TIF Loan Amortization'!I$508),'TIF Loan Amortization'!$G$508,IF(AND($C270&gt;='TIF Loan Amortization'!$H$509,$C270&lt;='TIF Loan Amortization'!I$509),'TIF Loan Amortization'!$G$509,IF(AND($C270&gt;='TIF Loan Amortization'!$H$510,$C270&lt;='TIF Loan Amortization'!I$510),'TIF Loan Amortization'!$G$510,IF(AND($C270&gt;='TIF Loan Amortization'!$H$511,$C270&lt;='TIF Loan Amortization'!I$511),'TIF Loan Amortization'!$G$511,IF(AND($C270&gt;='TIF Loan Amortization'!$H$512,$C270&lt;='TIF Loan Amortization'!I$512),'TIF Loan Amortization'!$G$512,IF(AND($C270&gt;='TIF Loan Amortization'!$H$513,$C270&lt;='TIF Loan Amortization'!I$513),'TIF Loan Amortization'!$G$513,IF(AND($C270&gt;='TIF Loan Amortization'!$H$514,$C270&lt;='TIF Loan Amortization'!I$514),'TIF Loan Amortization'!$G$514,IF(AND($C270&gt;='TIF Loan Amortization'!$H$515,$C270&lt;='TIF Loan Amortization'!I$515),'TIF Loan Amortization'!$G$515,IF(AND($C270&gt;='TIF Loan Amortization'!$H$516,$C270&lt;='TIF Loan Amortization'!I$516),'TIF Loan Amortization'!$G$516,IF(AND($C270&gt;='TIF Loan Amortization'!$H$517,$C270&lt;='TIF Loan Amortization'!I$517),'TIF Loan Amortization'!$G$517,IF(AND($C270&gt;='TIF Loan Amortization'!$H$518,$C270&lt;='TIF Loan Amortization'!I$518),'TIF Loan Amortization'!$G$518,IF(AND($C270&gt;='TIF Loan Amortization'!$H$519,$C270&lt;='TIF Loan Amortization'!I$519),'TIF Loan Amortization'!$G$519))))))))))))))))))))))))))))))))))))))))</f>
        <v>#N/A</v>
      </c>
      <c r="C270" s="269" t="e">
        <f t="shared" si="36"/>
        <v>#N/A</v>
      </c>
      <c r="D270" s="281" t="str">
        <f>IF($AG$426=1,$H$10+19,"")</f>
        <v/>
      </c>
      <c r="E270" s="274">
        <v>220</v>
      </c>
      <c r="F270" s="275" t="str">
        <f>VLOOKUP($AG$426,$AE$422:$AF$433,2)</f>
        <v>Jul</v>
      </c>
      <c r="G270" s="272">
        <f t="shared" si="37"/>
        <v>0</v>
      </c>
      <c r="H270" s="272">
        <f t="shared" si="40"/>
        <v>0</v>
      </c>
      <c r="I270" s="272">
        <f t="shared" si="41"/>
        <v>0</v>
      </c>
      <c r="J270" s="272">
        <f t="shared" si="38"/>
        <v>0</v>
      </c>
      <c r="K270" s="272">
        <f>IF(ISTEXT($M$4),"",SUM(I$50:I270))</f>
        <v>0</v>
      </c>
      <c r="L270" s="272">
        <f>IF(ISTEXT($M$4),"",SUM(J$50:J270))</f>
        <v>0</v>
      </c>
      <c r="M270" s="271">
        <f t="shared" si="39"/>
        <v>0</v>
      </c>
      <c r="N270" s="291" t="e">
        <f>IF(C270='Operating Assumptions'!$C$48,"Construction Finish","")</f>
        <v>#N/A</v>
      </c>
      <c r="O270" s="291"/>
      <c r="P270" s="291"/>
      <c r="Q270" s="291"/>
      <c r="R270" s="291"/>
      <c r="S270" s="291"/>
      <c r="T270" s="280"/>
      <c r="U270" s="280"/>
      <c r="V270" s="286"/>
      <c r="W270" s="286"/>
      <c r="X270" s="286"/>
      <c r="Y270" s="280"/>
      <c r="Z270" s="279"/>
      <c r="AA270" s="279"/>
      <c r="AB270" s="279"/>
    </row>
    <row r="271" spans="2:28" s="278" customFormat="1" ht="13.5" hidden="1" outlineLevel="1" x14ac:dyDescent="0.25">
      <c r="B271" s="270" t="e">
        <f>IF(AND($C271&gt;='TIF Loan Amortization'!$H$480,$C271&lt;='TIF Loan Amortization'!$I$480),'TIF Loan Amortization'!$G$480,IF(AND($C271&gt;='TIF Loan Amortization'!$H$481,$C271&lt;='TIF Loan Amortization'!I$481),'TIF Loan Amortization'!$G$481,IF(AND($C271&gt;='TIF Loan Amortization'!$H$482,$C271&lt;='TIF Loan Amortization'!I$482),'TIF Loan Amortization'!$G$482,IF(AND($C271&gt;='TIF Loan Amortization'!$H$483,$C271&lt;='TIF Loan Amortization'!I$483),'TIF Loan Amortization'!$G$483,IF(AND($C271&gt;='TIF Loan Amortization'!$H$484,$C271&lt;='TIF Loan Amortization'!I$484),'TIF Loan Amortization'!$G$484,IF(AND($C271&gt;='TIF Loan Amortization'!$H$485,$C271&lt;='TIF Loan Amortization'!I$485),'TIF Loan Amortization'!$G$485,IF(AND($C271&gt;='TIF Loan Amortization'!$H$486,$C271&lt;='TIF Loan Amortization'!I$486),'TIF Loan Amortization'!$G$486,IF(AND($C271&gt;='TIF Loan Amortization'!$H$487,$C271&lt;='TIF Loan Amortization'!I$487),'TIF Loan Amortization'!$G$487,IF(AND($C271&gt;='TIF Loan Amortization'!$H$488,$C271&lt;='TIF Loan Amortization'!I$488),'TIF Loan Amortization'!$G$488,IF(AND($C271&gt;='TIF Loan Amortization'!$H$489,$C271&lt;='TIF Loan Amortization'!I$489),'TIF Loan Amortization'!$G$489,IF(AND($C271&gt;='TIF Loan Amortization'!$H$490,$C271&lt;='TIF Loan Amortization'!I$490),'TIF Loan Amortization'!$G$490,IF(AND($C271&gt;='TIF Loan Amortization'!$H$491,$C271&lt;='TIF Loan Amortization'!I$491),'TIF Loan Amortization'!$G$491,IF(AND($C271&gt;='TIF Loan Amortization'!$H$492,$C271&lt;='TIF Loan Amortization'!I$492),'TIF Loan Amortization'!$G$492,IF(AND($C271&gt;='TIF Loan Amortization'!$H$493,$C271&lt;='TIF Loan Amortization'!I$493),'TIF Loan Amortization'!$G$493,IF(AND($C271&gt;='TIF Loan Amortization'!$H$494,$C271&lt;='TIF Loan Amortization'!I$494),'TIF Loan Amortization'!$G$494,IF(AND($C271&gt;='TIF Loan Amortization'!$H$495,$C271&lt;='TIF Loan Amortization'!I$495),'TIF Loan Amortization'!$G$495,IF(AND($C271&gt;='TIF Loan Amortization'!$H$496,$C271&lt;='TIF Loan Amortization'!I$496),'TIF Loan Amortization'!$G$496,IF(AND($C271&gt;='TIF Loan Amortization'!$H$497,$C271&lt;='TIF Loan Amortization'!I$497),'TIF Loan Amortization'!$G$497,IF(AND($C271&gt;='TIF Loan Amortization'!$H$498,$C271&lt;='TIF Loan Amortization'!I$498),'TIF Loan Amortization'!$G$498,IF(AND($C271&gt;='TIF Loan Amortization'!$H$499,$C271&lt;='TIF Loan Amortization'!I$499),'TIF Loan Amortization'!$G$499,IF(AND($C271&gt;='TIF Loan Amortization'!$H$500,$C271&lt;='TIF Loan Amortization'!I$500),'TIF Loan Amortization'!$G$500,IF(AND($C271&gt;='TIF Loan Amortization'!$H$501,$C271&lt;='TIF Loan Amortization'!I$501),'TIF Loan Amortization'!$G$501,IF(AND($C271&gt;='TIF Loan Amortization'!$H$502,$C271&lt;='TIF Loan Amortization'!I$502),'TIF Loan Amortization'!$G$502,IF(AND($C271&gt;='TIF Loan Amortization'!$H$503,$C271&lt;='TIF Loan Amortization'!I$503),'TIF Loan Amortization'!$G$503,IF(AND($C271&gt;='TIF Loan Amortization'!$H$504,$C271&lt;='TIF Loan Amortization'!I$504),'TIF Loan Amortization'!$G$504,IF(AND($C271&gt;='TIF Loan Amortization'!$H$505,$C271&lt;='TIF Loan Amortization'!I$505),'TIF Loan Amortization'!$G$505,IF(AND($C271&gt;='TIF Loan Amortization'!$H$506,$C271&lt;='TIF Loan Amortization'!I$506),'TIF Loan Amortization'!$G$506,IF(AND($C271&gt;='TIF Loan Amortization'!$H$507,$C271&lt;='TIF Loan Amortization'!I$507),'TIF Loan Amortization'!$G$507,IF(AND($C271&gt;='TIF Loan Amortization'!$H$508,$C271&lt;='TIF Loan Amortization'!I$508),'TIF Loan Amortization'!$G$508,IF(AND($C271&gt;='TIF Loan Amortization'!$H$509,$C271&lt;='TIF Loan Amortization'!I$509),'TIF Loan Amortization'!$G$509,IF(AND($C271&gt;='TIF Loan Amortization'!$H$510,$C271&lt;='TIF Loan Amortization'!I$510),'TIF Loan Amortization'!$G$510,IF(AND($C271&gt;='TIF Loan Amortization'!$H$511,$C271&lt;='TIF Loan Amortization'!I$511),'TIF Loan Amortization'!$G$511,IF(AND($C271&gt;='TIF Loan Amortization'!$H$512,$C271&lt;='TIF Loan Amortization'!I$512),'TIF Loan Amortization'!$G$512,IF(AND($C271&gt;='TIF Loan Amortization'!$H$513,$C271&lt;='TIF Loan Amortization'!I$513),'TIF Loan Amortization'!$G$513,IF(AND($C271&gt;='TIF Loan Amortization'!$H$514,$C271&lt;='TIF Loan Amortization'!I$514),'TIF Loan Amortization'!$G$514,IF(AND($C271&gt;='TIF Loan Amortization'!$H$515,$C271&lt;='TIF Loan Amortization'!I$515),'TIF Loan Amortization'!$G$515,IF(AND($C271&gt;='TIF Loan Amortization'!$H$516,$C271&lt;='TIF Loan Amortization'!I$516),'TIF Loan Amortization'!$G$516,IF(AND($C271&gt;='TIF Loan Amortization'!$H$517,$C271&lt;='TIF Loan Amortization'!I$517),'TIF Loan Amortization'!$G$517,IF(AND($C271&gt;='TIF Loan Amortization'!$H$518,$C271&lt;='TIF Loan Amortization'!I$518),'TIF Loan Amortization'!$G$518,IF(AND($C271&gt;='TIF Loan Amortization'!$H$519,$C271&lt;='TIF Loan Amortization'!I$519),'TIF Loan Amortization'!$G$519))))))))))))))))))))))))))))))))))))))))</f>
        <v>#N/A</v>
      </c>
      <c r="C271" s="269" t="e">
        <f t="shared" si="36"/>
        <v>#N/A</v>
      </c>
      <c r="D271" s="281" t="str">
        <f>IF($AG$427=1,$H$10+19,"")</f>
        <v/>
      </c>
      <c r="E271" s="274">
        <v>221</v>
      </c>
      <c r="F271" s="275" t="str">
        <f>VLOOKUP($AG$427,$AE$422:$AF$433,2)</f>
        <v>Aug</v>
      </c>
      <c r="G271" s="272">
        <f t="shared" si="37"/>
        <v>0</v>
      </c>
      <c r="H271" s="272">
        <f t="shared" si="40"/>
        <v>0</v>
      </c>
      <c r="I271" s="272">
        <f t="shared" si="41"/>
        <v>0</v>
      </c>
      <c r="J271" s="272">
        <f t="shared" si="38"/>
        <v>0</v>
      </c>
      <c r="K271" s="272">
        <f>IF(ISTEXT($M$4),"",SUM(I$50:I271))</f>
        <v>0</v>
      </c>
      <c r="L271" s="272">
        <f>IF(ISTEXT($M$4),"",SUM(J$50:J271))</f>
        <v>0</v>
      </c>
      <c r="M271" s="271">
        <f t="shared" si="39"/>
        <v>0</v>
      </c>
      <c r="N271" s="291" t="e">
        <f>IF(C271='Operating Assumptions'!$C$48,"Construction Finish","")</f>
        <v>#N/A</v>
      </c>
      <c r="O271" s="291"/>
      <c r="P271" s="291"/>
      <c r="Q271" s="291"/>
      <c r="R271" s="291"/>
      <c r="S271" s="291"/>
      <c r="T271" s="280"/>
      <c r="U271" s="280"/>
      <c r="V271" s="286"/>
      <c r="W271" s="286"/>
      <c r="X271" s="286"/>
      <c r="Y271" s="280"/>
      <c r="Z271" s="279"/>
      <c r="AA271" s="279"/>
      <c r="AB271" s="279"/>
    </row>
    <row r="272" spans="2:28" s="278" customFormat="1" ht="13.5" hidden="1" outlineLevel="1" x14ac:dyDescent="0.25">
      <c r="B272" s="270" t="e">
        <f>IF(AND($C272&gt;='TIF Loan Amortization'!$H$480,$C272&lt;='TIF Loan Amortization'!$I$480),'TIF Loan Amortization'!$G$480,IF(AND($C272&gt;='TIF Loan Amortization'!$H$481,$C272&lt;='TIF Loan Amortization'!I$481),'TIF Loan Amortization'!$G$481,IF(AND($C272&gt;='TIF Loan Amortization'!$H$482,$C272&lt;='TIF Loan Amortization'!I$482),'TIF Loan Amortization'!$G$482,IF(AND($C272&gt;='TIF Loan Amortization'!$H$483,$C272&lt;='TIF Loan Amortization'!I$483),'TIF Loan Amortization'!$G$483,IF(AND($C272&gt;='TIF Loan Amortization'!$H$484,$C272&lt;='TIF Loan Amortization'!I$484),'TIF Loan Amortization'!$G$484,IF(AND($C272&gt;='TIF Loan Amortization'!$H$485,$C272&lt;='TIF Loan Amortization'!I$485),'TIF Loan Amortization'!$G$485,IF(AND($C272&gt;='TIF Loan Amortization'!$H$486,$C272&lt;='TIF Loan Amortization'!I$486),'TIF Loan Amortization'!$G$486,IF(AND($C272&gt;='TIF Loan Amortization'!$H$487,$C272&lt;='TIF Loan Amortization'!I$487),'TIF Loan Amortization'!$G$487,IF(AND($C272&gt;='TIF Loan Amortization'!$H$488,$C272&lt;='TIF Loan Amortization'!I$488),'TIF Loan Amortization'!$G$488,IF(AND($C272&gt;='TIF Loan Amortization'!$H$489,$C272&lt;='TIF Loan Amortization'!I$489),'TIF Loan Amortization'!$G$489,IF(AND($C272&gt;='TIF Loan Amortization'!$H$490,$C272&lt;='TIF Loan Amortization'!I$490),'TIF Loan Amortization'!$G$490,IF(AND($C272&gt;='TIF Loan Amortization'!$H$491,$C272&lt;='TIF Loan Amortization'!I$491),'TIF Loan Amortization'!$G$491,IF(AND($C272&gt;='TIF Loan Amortization'!$H$492,$C272&lt;='TIF Loan Amortization'!I$492),'TIF Loan Amortization'!$G$492,IF(AND($C272&gt;='TIF Loan Amortization'!$H$493,$C272&lt;='TIF Loan Amortization'!I$493),'TIF Loan Amortization'!$G$493,IF(AND($C272&gt;='TIF Loan Amortization'!$H$494,$C272&lt;='TIF Loan Amortization'!I$494),'TIF Loan Amortization'!$G$494,IF(AND($C272&gt;='TIF Loan Amortization'!$H$495,$C272&lt;='TIF Loan Amortization'!I$495),'TIF Loan Amortization'!$G$495,IF(AND($C272&gt;='TIF Loan Amortization'!$H$496,$C272&lt;='TIF Loan Amortization'!I$496),'TIF Loan Amortization'!$G$496,IF(AND($C272&gt;='TIF Loan Amortization'!$H$497,$C272&lt;='TIF Loan Amortization'!I$497),'TIF Loan Amortization'!$G$497,IF(AND($C272&gt;='TIF Loan Amortization'!$H$498,$C272&lt;='TIF Loan Amortization'!I$498),'TIF Loan Amortization'!$G$498,IF(AND($C272&gt;='TIF Loan Amortization'!$H$499,$C272&lt;='TIF Loan Amortization'!I$499),'TIF Loan Amortization'!$G$499,IF(AND($C272&gt;='TIF Loan Amortization'!$H$500,$C272&lt;='TIF Loan Amortization'!I$500),'TIF Loan Amortization'!$G$500,IF(AND($C272&gt;='TIF Loan Amortization'!$H$501,$C272&lt;='TIF Loan Amortization'!I$501),'TIF Loan Amortization'!$G$501,IF(AND($C272&gt;='TIF Loan Amortization'!$H$502,$C272&lt;='TIF Loan Amortization'!I$502),'TIF Loan Amortization'!$G$502,IF(AND($C272&gt;='TIF Loan Amortization'!$H$503,$C272&lt;='TIF Loan Amortization'!I$503),'TIF Loan Amortization'!$G$503,IF(AND($C272&gt;='TIF Loan Amortization'!$H$504,$C272&lt;='TIF Loan Amortization'!I$504),'TIF Loan Amortization'!$G$504,IF(AND($C272&gt;='TIF Loan Amortization'!$H$505,$C272&lt;='TIF Loan Amortization'!I$505),'TIF Loan Amortization'!$G$505,IF(AND($C272&gt;='TIF Loan Amortization'!$H$506,$C272&lt;='TIF Loan Amortization'!I$506),'TIF Loan Amortization'!$G$506,IF(AND($C272&gt;='TIF Loan Amortization'!$H$507,$C272&lt;='TIF Loan Amortization'!I$507),'TIF Loan Amortization'!$G$507,IF(AND($C272&gt;='TIF Loan Amortization'!$H$508,$C272&lt;='TIF Loan Amortization'!I$508),'TIF Loan Amortization'!$G$508,IF(AND($C272&gt;='TIF Loan Amortization'!$H$509,$C272&lt;='TIF Loan Amortization'!I$509),'TIF Loan Amortization'!$G$509,IF(AND($C272&gt;='TIF Loan Amortization'!$H$510,$C272&lt;='TIF Loan Amortization'!I$510),'TIF Loan Amortization'!$G$510,IF(AND($C272&gt;='TIF Loan Amortization'!$H$511,$C272&lt;='TIF Loan Amortization'!I$511),'TIF Loan Amortization'!$G$511,IF(AND($C272&gt;='TIF Loan Amortization'!$H$512,$C272&lt;='TIF Loan Amortization'!I$512),'TIF Loan Amortization'!$G$512,IF(AND($C272&gt;='TIF Loan Amortization'!$H$513,$C272&lt;='TIF Loan Amortization'!I$513),'TIF Loan Amortization'!$G$513,IF(AND($C272&gt;='TIF Loan Amortization'!$H$514,$C272&lt;='TIF Loan Amortization'!I$514),'TIF Loan Amortization'!$G$514,IF(AND($C272&gt;='TIF Loan Amortization'!$H$515,$C272&lt;='TIF Loan Amortization'!I$515),'TIF Loan Amortization'!$G$515,IF(AND($C272&gt;='TIF Loan Amortization'!$H$516,$C272&lt;='TIF Loan Amortization'!I$516),'TIF Loan Amortization'!$G$516,IF(AND($C272&gt;='TIF Loan Amortization'!$H$517,$C272&lt;='TIF Loan Amortization'!I$517),'TIF Loan Amortization'!$G$517,IF(AND($C272&gt;='TIF Loan Amortization'!$H$518,$C272&lt;='TIF Loan Amortization'!I$518),'TIF Loan Amortization'!$G$518,IF(AND($C272&gt;='TIF Loan Amortization'!$H$519,$C272&lt;='TIF Loan Amortization'!I$519),'TIF Loan Amortization'!$G$519))))))))))))))))))))))))))))))))))))))))</f>
        <v>#N/A</v>
      </c>
      <c r="C272" s="269" t="e">
        <f t="shared" si="36"/>
        <v>#N/A</v>
      </c>
      <c r="D272" s="281" t="str">
        <f>IF($AG$428=1,$H$10+19,"")</f>
        <v/>
      </c>
      <c r="E272" s="274">
        <v>222</v>
      </c>
      <c r="F272" s="275" t="str">
        <f>VLOOKUP($AG$428,$AE$422:$AF$433,2)</f>
        <v>Sep</v>
      </c>
      <c r="G272" s="272">
        <f t="shared" si="37"/>
        <v>0</v>
      </c>
      <c r="H272" s="272">
        <f t="shared" si="40"/>
        <v>0</v>
      </c>
      <c r="I272" s="272">
        <f t="shared" si="41"/>
        <v>0</v>
      </c>
      <c r="J272" s="272">
        <f t="shared" si="38"/>
        <v>0</v>
      </c>
      <c r="K272" s="272">
        <f>IF(ISTEXT($M$4),"",SUM(I$50:I272))</f>
        <v>0</v>
      </c>
      <c r="L272" s="272">
        <f>IF(ISTEXT($M$4),"",SUM(J$50:J272))</f>
        <v>0</v>
      </c>
      <c r="M272" s="271">
        <f t="shared" si="39"/>
        <v>0</v>
      </c>
      <c r="N272" s="291" t="e">
        <f>IF(C272='Operating Assumptions'!$C$48,"Construction Finish","")</f>
        <v>#N/A</v>
      </c>
      <c r="O272" s="291"/>
      <c r="P272" s="291"/>
      <c r="Q272" s="291"/>
      <c r="R272" s="291"/>
      <c r="S272" s="291"/>
      <c r="T272" s="280"/>
      <c r="U272" s="280"/>
      <c r="V272" s="286"/>
      <c r="W272" s="286"/>
      <c r="X272" s="286"/>
      <c r="Y272" s="280"/>
      <c r="Z272" s="279"/>
      <c r="AA272" s="279"/>
      <c r="AB272" s="279"/>
    </row>
    <row r="273" spans="2:28" s="278" customFormat="1" ht="13.5" hidden="1" outlineLevel="1" x14ac:dyDescent="0.25">
      <c r="B273" s="270" t="e">
        <f>IF(AND($C273&gt;='TIF Loan Amortization'!$H$480,$C273&lt;='TIF Loan Amortization'!$I$480),'TIF Loan Amortization'!$G$480,IF(AND($C273&gt;='TIF Loan Amortization'!$H$481,$C273&lt;='TIF Loan Amortization'!I$481),'TIF Loan Amortization'!$G$481,IF(AND($C273&gt;='TIF Loan Amortization'!$H$482,$C273&lt;='TIF Loan Amortization'!I$482),'TIF Loan Amortization'!$G$482,IF(AND($C273&gt;='TIF Loan Amortization'!$H$483,$C273&lt;='TIF Loan Amortization'!I$483),'TIF Loan Amortization'!$G$483,IF(AND($C273&gt;='TIF Loan Amortization'!$H$484,$C273&lt;='TIF Loan Amortization'!I$484),'TIF Loan Amortization'!$G$484,IF(AND($C273&gt;='TIF Loan Amortization'!$H$485,$C273&lt;='TIF Loan Amortization'!I$485),'TIF Loan Amortization'!$G$485,IF(AND($C273&gt;='TIF Loan Amortization'!$H$486,$C273&lt;='TIF Loan Amortization'!I$486),'TIF Loan Amortization'!$G$486,IF(AND($C273&gt;='TIF Loan Amortization'!$H$487,$C273&lt;='TIF Loan Amortization'!I$487),'TIF Loan Amortization'!$G$487,IF(AND($C273&gt;='TIF Loan Amortization'!$H$488,$C273&lt;='TIF Loan Amortization'!I$488),'TIF Loan Amortization'!$G$488,IF(AND($C273&gt;='TIF Loan Amortization'!$H$489,$C273&lt;='TIF Loan Amortization'!I$489),'TIF Loan Amortization'!$G$489,IF(AND($C273&gt;='TIF Loan Amortization'!$H$490,$C273&lt;='TIF Loan Amortization'!I$490),'TIF Loan Amortization'!$G$490,IF(AND($C273&gt;='TIF Loan Amortization'!$H$491,$C273&lt;='TIF Loan Amortization'!I$491),'TIF Loan Amortization'!$G$491,IF(AND($C273&gt;='TIF Loan Amortization'!$H$492,$C273&lt;='TIF Loan Amortization'!I$492),'TIF Loan Amortization'!$G$492,IF(AND($C273&gt;='TIF Loan Amortization'!$H$493,$C273&lt;='TIF Loan Amortization'!I$493),'TIF Loan Amortization'!$G$493,IF(AND($C273&gt;='TIF Loan Amortization'!$H$494,$C273&lt;='TIF Loan Amortization'!I$494),'TIF Loan Amortization'!$G$494,IF(AND($C273&gt;='TIF Loan Amortization'!$H$495,$C273&lt;='TIF Loan Amortization'!I$495),'TIF Loan Amortization'!$G$495,IF(AND($C273&gt;='TIF Loan Amortization'!$H$496,$C273&lt;='TIF Loan Amortization'!I$496),'TIF Loan Amortization'!$G$496,IF(AND($C273&gt;='TIF Loan Amortization'!$H$497,$C273&lt;='TIF Loan Amortization'!I$497),'TIF Loan Amortization'!$G$497,IF(AND($C273&gt;='TIF Loan Amortization'!$H$498,$C273&lt;='TIF Loan Amortization'!I$498),'TIF Loan Amortization'!$G$498,IF(AND($C273&gt;='TIF Loan Amortization'!$H$499,$C273&lt;='TIF Loan Amortization'!I$499),'TIF Loan Amortization'!$G$499,IF(AND($C273&gt;='TIF Loan Amortization'!$H$500,$C273&lt;='TIF Loan Amortization'!I$500),'TIF Loan Amortization'!$G$500,IF(AND($C273&gt;='TIF Loan Amortization'!$H$501,$C273&lt;='TIF Loan Amortization'!I$501),'TIF Loan Amortization'!$G$501,IF(AND($C273&gt;='TIF Loan Amortization'!$H$502,$C273&lt;='TIF Loan Amortization'!I$502),'TIF Loan Amortization'!$G$502,IF(AND($C273&gt;='TIF Loan Amortization'!$H$503,$C273&lt;='TIF Loan Amortization'!I$503),'TIF Loan Amortization'!$G$503,IF(AND($C273&gt;='TIF Loan Amortization'!$H$504,$C273&lt;='TIF Loan Amortization'!I$504),'TIF Loan Amortization'!$G$504,IF(AND($C273&gt;='TIF Loan Amortization'!$H$505,$C273&lt;='TIF Loan Amortization'!I$505),'TIF Loan Amortization'!$G$505,IF(AND($C273&gt;='TIF Loan Amortization'!$H$506,$C273&lt;='TIF Loan Amortization'!I$506),'TIF Loan Amortization'!$G$506,IF(AND($C273&gt;='TIF Loan Amortization'!$H$507,$C273&lt;='TIF Loan Amortization'!I$507),'TIF Loan Amortization'!$G$507,IF(AND($C273&gt;='TIF Loan Amortization'!$H$508,$C273&lt;='TIF Loan Amortization'!I$508),'TIF Loan Amortization'!$G$508,IF(AND($C273&gt;='TIF Loan Amortization'!$H$509,$C273&lt;='TIF Loan Amortization'!I$509),'TIF Loan Amortization'!$G$509,IF(AND($C273&gt;='TIF Loan Amortization'!$H$510,$C273&lt;='TIF Loan Amortization'!I$510),'TIF Loan Amortization'!$G$510,IF(AND($C273&gt;='TIF Loan Amortization'!$H$511,$C273&lt;='TIF Loan Amortization'!I$511),'TIF Loan Amortization'!$G$511,IF(AND($C273&gt;='TIF Loan Amortization'!$H$512,$C273&lt;='TIF Loan Amortization'!I$512),'TIF Loan Amortization'!$G$512,IF(AND($C273&gt;='TIF Loan Amortization'!$H$513,$C273&lt;='TIF Loan Amortization'!I$513),'TIF Loan Amortization'!$G$513,IF(AND($C273&gt;='TIF Loan Amortization'!$H$514,$C273&lt;='TIF Loan Amortization'!I$514),'TIF Loan Amortization'!$G$514,IF(AND($C273&gt;='TIF Loan Amortization'!$H$515,$C273&lt;='TIF Loan Amortization'!I$515),'TIF Loan Amortization'!$G$515,IF(AND($C273&gt;='TIF Loan Amortization'!$H$516,$C273&lt;='TIF Loan Amortization'!I$516),'TIF Loan Amortization'!$G$516,IF(AND($C273&gt;='TIF Loan Amortization'!$H$517,$C273&lt;='TIF Loan Amortization'!I$517),'TIF Loan Amortization'!$G$517,IF(AND($C273&gt;='TIF Loan Amortization'!$H$518,$C273&lt;='TIF Loan Amortization'!I$518),'TIF Loan Amortization'!$G$518,IF(AND($C273&gt;='TIF Loan Amortization'!$H$519,$C273&lt;='TIF Loan Amortization'!I$519),'TIF Loan Amortization'!$G$519))))))))))))))))))))))))))))))))))))))))</f>
        <v>#N/A</v>
      </c>
      <c r="C273" s="269" t="e">
        <f t="shared" si="36"/>
        <v>#N/A</v>
      </c>
      <c r="D273" s="281" t="str">
        <f>IF($AG$429=1,$H$10+19,"")</f>
        <v/>
      </c>
      <c r="E273" s="274">
        <v>223</v>
      </c>
      <c r="F273" s="275" t="str">
        <f>VLOOKUP($AG$429,$AE$422:$AF$433,2)</f>
        <v>Oct</v>
      </c>
      <c r="G273" s="272">
        <f t="shared" si="37"/>
        <v>0</v>
      </c>
      <c r="H273" s="272">
        <f t="shared" si="40"/>
        <v>0</v>
      </c>
      <c r="I273" s="272">
        <f t="shared" si="41"/>
        <v>0</v>
      </c>
      <c r="J273" s="272">
        <f t="shared" si="38"/>
        <v>0</v>
      </c>
      <c r="K273" s="272">
        <f>IF(ISTEXT($M$4),"",SUM(I$50:I273))</f>
        <v>0</v>
      </c>
      <c r="L273" s="272">
        <f>IF(ISTEXT($M$4),"",SUM(J$50:J273))</f>
        <v>0</v>
      </c>
      <c r="M273" s="271">
        <f t="shared" si="39"/>
        <v>0</v>
      </c>
      <c r="N273" s="291" t="e">
        <f>IF(C273='Operating Assumptions'!$C$48,"Construction Finish","")</f>
        <v>#N/A</v>
      </c>
      <c r="O273" s="291"/>
      <c r="P273" s="291"/>
      <c r="Q273" s="291"/>
      <c r="R273" s="291"/>
      <c r="S273" s="291"/>
      <c r="T273" s="280"/>
      <c r="U273" s="280"/>
      <c r="V273" s="286"/>
      <c r="W273" s="286"/>
      <c r="X273" s="286"/>
      <c r="Y273" s="280"/>
      <c r="Z273" s="279"/>
      <c r="AA273" s="279"/>
      <c r="AB273" s="279"/>
    </row>
    <row r="274" spans="2:28" s="278" customFormat="1" ht="13.5" hidden="1" outlineLevel="1" x14ac:dyDescent="0.25">
      <c r="B274" s="270" t="e">
        <f>IF(AND($C274&gt;='TIF Loan Amortization'!$H$480,$C274&lt;='TIF Loan Amortization'!$I$480),'TIF Loan Amortization'!$G$480,IF(AND($C274&gt;='TIF Loan Amortization'!$H$481,$C274&lt;='TIF Loan Amortization'!I$481),'TIF Loan Amortization'!$G$481,IF(AND($C274&gt;='TIF Loan Amortization'!$H$482,$C274&lt;='TIF Loan Amortization'!I$482),'TIF Loan Amortization'!$G$482,IF(AND($C274&gt;='TIF Loan Amortization'!$H$483,$C274&lt;='TIF Loan Amortization'!I$483),'TIF Loan Amortization'!$G$483,IF(AND($C274&gt;='TIF Loan Amortization'!$H$484,$C274&lt;='TIF Loan Amortization'!I$484),'TIF Loan Amortization'!$G$484,IF(AND($C274&gt;='TIF Loan Amortization'!$H$485,$C274&lt;='TIF Loan Amortization'!I$485),'TIF Loan Amortization'!$G$485,IF(AND($C274&gt;='TIF Loan Amortization'!$H$486,$C274&lt;='TIF Loan Amortization'!I$486),'TIF Loan Amortization'!$G$486,IF(AND($C274&gt;='TIF Loan Amortization'!$H$487,$C274&lt;='TIF Loan Amortization'!I$487),'TIF Loan Amortization'!$G$487,IF(AND($C274&gt;='TIF Loan Amortization'!$H$488,$C274&lt;='TIF Loan Amortization'!I$488),'TIF Loan Amortization'!$G$488,IF(AND($C274&gt;='TIF Loan Amortization'!$H$489,$C274&lt;='TIF Loan Amortization'!I$489),'TIF Loan Amortization'!$G$489,IF(AND($C274&gt;='TIF Loan Amortization'!$H$490,$C274&lt;='TIF Loan Amortization'!I$490),'TIF Loan Amortization'!$G$490,IF(AND($C274&gt;='TIF Loan Amortization'!$H$491,$C274&lt;='TIF Loan Amortization'!I$491),'TIF Loan Amortization'!$G$491,IF(AND($C274&gt;='TIF Loan Amortization'!$H$492,$C274&lt;='TIF Loan Amortization'!I$492),'TIF Loan Amortization'!$G$492,IF(AND($C274&gt;='TIF Loan Amortization'!$H$493,$C274&lt;='TIF Loan Amortization'!I$493),'TIF Loan Amortization'!$G$493,IF(AND($C274&gt;='TIF Loan Amortization'!$H$494,$C274&lt;='TIF Loan Amortization'!I$494),'TIF Loan Amortization'!$G$494,IF(AND($C274&gt;='TIF Loan Amortization'!$H$495,$C274&lt;='TIF Loan Amortization'!I$495),'TIF Loan Amortization'!$G$495,IF(AND($C274&gt;='TIF Loan Amortization'!$H$496,$C274&lt;='TIF Loan Amortization'!I$496),'TIF Loan Amortization'!$G$496,IF(AND($C274&gt;='TIF Loan Amortization'!$H$497,$C274&lt;='TIF Loan Amortization'!I$497),'TIF Loan Amortization'!$G$497,IF(AND($C274&gt;='TIF Loan Amortization'!$H$498,$C274&lt;='TIF Loan Amortization'!I$498),'TIF Loan Amortization'!$G$498,IF(AND($C274&gt;='TIF Loan Amortization'!$H$499,$C274&lt;='TIF Loan Amortization'!I$499),'TIF Loan Amortization'!$G$499,IF(AND($C274&gt;='TIF Loan Amortization'!$H$500,$C274&lt;='TIF Loan Amortization'!I$500),'TIF Loan Amortization'!$G$500,IF(AND($C274&gt;='TIF Loan Amortization'!$H$501,$C274&lt;='TIF Loan Amortization'!I$501),'TIF Loan Amortization'!$G$501,IF(AND($C274&gt;='TIF Loan Amortization'!$H$502,$C274&lt;='TIF Loan Amortization'!I$502),'TIF Loan Amortization'!$G$502,IF(AND($C274&gt;='TIF Loan Amortization'!$H$503,$C274&lt;='TIF Loan Amortization'!I$503),'TIF Loan Amortization'!$G$503,IF(AND($C274&gt;='TIF Loan Amortization'!$H$504,$C274&lt;='TIF Loan Amortization'!I$504),'TIF Loan Amortization'!$G$504,IF(AND($C274&gt;='TIF Loan Amortization'!$H$505,$C274&lt;='TIF Loan Amortization'!I$505),'TIF Loan Amortization'!$G$505,IF(AND($C274&gt;='TIF Loan Amortization'!$H$506,$C274&lt;='TIF Loan Amortization'!I$506),'TIF Loan Amortization'!$G$506,IF(AND($C274&gt;='TIF Loan Amortization'!$H$507,$C274&lt;='TIF Loan Amortization'!I$507),'TIF Loan Amortization'!$G$507,IF(AND($C274&gt;='TIF Loan Amortization'!$H$508,$C274&lt;='TIF Loan Amortization'!I$508),'TIF Loan Amortization'!$G$508,IF(AND($C274&gt;='TIF Loan Amortization'!$H$509,$C274&lt;='TIF Loan Amortization'!I$509),'TIF Loan Amortization'!$G$509,IF(AND($C274&gt;='TIF Loan Amortization'!$H$510,$C274&lt;='TIF Loan Amortization'!I$510),'TIF Loan Amortization'!$G$510,IF(AND($C274&gt;='TIF Loan Amortization'!$H$511,$C274&lt;='TIF Loan Amortization'!I$511),'TIF Loan Amortization'!$G$511,IF(AND($C274&gt;='TIF Loan Amortization'!$H$512,$C274&lt;='TIF Loan Amortization'!I$512),'TIF Loan Amortization'!$G$512,IF(AND($C274&gt;='TIF Loan Amortization'!$H$513,$C274&lt;='TIF Loan Amortization'!I$513),'TIF Loan Amortization'!$G$513,IF(AND($C274&gt;='TIF Loan Amortization'!$H$514,$C274&lt;='TIF Loan Amortization'!I$514),'TIF Loan Amortization'!$G$514,IF(AND($C274&gt;='TIF Loan Amortization'!$H$515,$C274&lt;='TIF Loan Amortization'!I$515),'TIF Loan Amortization'!$G$515,IF(AND($C274&gt;='TIF Loan Amortization'!$H$516,$C274&lt;='TIF Loan Amortization'!I$516),'TIF Loan Amortization'!$G$516,IF(AND($C274&gt;='TIF Loan Amortization'!$H$517,$C274&lt;='TIF Loan Amortization'!I$517),'TIF Loan Amortization'!$G$517,IF(AND($C274&gt;='TIF Loan Amortization'!$H$518,$C274&lt;='TIF Loan Amortization'!I$518),'TIF Loan Amortization'!$G$518,IF(AND($C274&gt;='TIF Loan Amortization'!$H$519,$C274&lt;='TIF Loan Amortization'!I$519),'TIF Loan Amortization'!$G$519))))))))))))))))))))))))))))))))))))))))</f>
        <v>#N/A</v>
      </c>
      <c r="C274" s="269" t="e">
        <f t="shared" si="36"/>
        <v>#N/A</v>
      </c>
      <c r="D274" s="281" t="str">
        <f>IF($AG$430=1,$H$10+19,"")</f>
        <v/>
      </c>
      <c r="E274" s="274">
        <v>224</v>
      </c>
      <c r="F274" s="275" t="str">
        <f>VLOOKUP($AG$430,$AE$422:$AF$433,2)</f>
        <v>Nov</v>
      </c>
      <c r="G274" s="272">
        <f t="shared" si="37"/>
        <v>0</v>
      </c>
      <c r="H274" s="272">
        <f t="shared" si="40"/>
        <v>0</v>
      </c>
      <c r="I274" s="272">
        <f t="shared" si="41"/>
        <v>0</v>
      </c>
      <c r="J274" s="272">
        <f t="shared" si="38"/>
        <v>0</v>
      </c>
      <c r="K274" s="272">
        <f>IF(ISTEXT($M$4),"",SUM(I$50:I274))</f>
        <v>0</v>
      </c>
      <c r="L274" s="272">
        <f>IF(ISTEXT($M$4),"",SUM(J$50:J274))</f>
        <v>0</v>
      </c>
      <c r="M274" s="271">
        <f t="shared" si="39"/>
        <v>0</v>
      </c>
      <c r="N274" s="291" t="e">
        <f>IF(C274='Operating Assumptions'!$C$48,"Construction Finish","")</f>
        <v>#N/A</v>
      </c>
      <c r="O274" s="291"/>
      <c r="P274" s="291"/>
      <c r="Q274" s="291"/>
      <c r="R274" s="291"/>
      <c r="S274" s="291"/>
      <c r="T274" s="280"/>
      <c r="U274" s="280"/>
      <c r="V274" s="286"/>
      <c r="W274" s="286"/>
      <c r="X274" s="286"/>
      <c r="Y274" s="280"/>
      <c r="Z274" s="279"/>
      <c r="AA274" s="279"/>
      <c r="AB274" s="279"/>
    </row>
    <row r="275" spans="2:28" s="278" customFormat="1" ht="13.5" hidden="1" outlineLevel="1" x14ac:dyDescent="0.25">
      <c r="B275" s="270" t="e">
        <f>IF(AND($C275&gt;='TIF Loan Amortization'!$H$480,$C275&lt;='TIF Loan Amortization'!$I$480),'TIF Loan Amortization'!$G$480,IF(AND($C275&gt;='TIF Loan Amortization'!$H$481,$C275&lt;='TIF Loan Amortization'!I$481),'TIF Loan Amortization'!$G$481,IF(AND($C275&gt;='TIF Loan Amortization'!$H$482,$C275&lt;='TIF Loan Amortization'!I$482),'TIF Loan Amortization'!$G$482,IF(AND($C275&gt;='TIF Loan Amortization'!$H$483,$C275&lt;='TIF Loan Amortization'!I$483),'TIF Loan Amortization'!$G$483,IF(AND($C275&gt;='TIF Loan Amortization'!$H$484,$C275&lt;='TIF Loan Amortization'!I$484),'TIF Loan Amortization'!$G$484,IF(AND($C275&gt;='TIF Loan Amortization'!$H$485,$C275&lt;='TIF Loan Amortization'!I$485),'TIF Loan Amortization'!$G$485,IF(AND($C275&gt;='TIF Loan Amortization'!$H$486,$C275&lt;='TIF Loan Amortization'!I$486),'TIF Loan Amortization'!$G$486,IF(AND($C275&gt;='TIF Loan Amortization'!$H$487,$C275&lt;='TIF Loan Amortization'!I$487),'TIF Loan Amortization'!$G$487,IF(AND($C275&gt;='TIF Loan Amortization'!$H$488,$C275&lt;='TIF Loan Amortization'!I$488),'TIF Loan Amortization'!$G$488,IF(AND($C275&gt;='TIF Loan Amortization'!$H$489,$C275&lt;='TIF Loan Amortization'!I$489),'TIF Loan Amortization'!$G$489,IF(AND($C275&gt;='TIF Loan Amortization'!$H$490,$C275&lt;='TIF Loan Amortization'!I$490),'TIF Loan Amortization'!$G$490,IF(AND($C275&gt;='TIF Loan Amortization'!$H$491,$C275&lt;='TIF Loan Amortization'!I$491),'TIF Loan Amortization'!$G$491,IF(AND($C275&gt;='TIF Loan Amortization'!$H$492,$C275&lt;='TIF Loan Amortization'!I$492),'TIF Loan Amortization'!$G$492,IF(AND($C275&gt;='TIF Loan Amortization'!$H$493,$C275&lt;='TIF Loan Amortization'!I$493),'TIF Loan Amortization'!$G$493,IF(AND($C275&gt;='TIF Loan Amortization'!$H$494,$C275&lt;='TIF Loan Amortization'!I$494),'TIF Loan Amortization'!$G$494,IF(AND($C275&gt;='TIF Loan Amortization'!$H$495,$C275&lt;='TIF Loan Amortization'!I$495),'TIF Loan Amortization'!$G$495,IF(AND($C275&gt;='TIF Loan Amortization'!$H$496,$C275&lt;='TIF Loan Amortization'!I$496),'TIF Loan Amortization'!$G$496,IF(AND($C275&gt;='TIF Loan Amortization'!$H$497,$C275&lt;='TIF Loan Amortization'!I$497),'TIF Loan Amortization'!$G$497,IF(AND($C275&gt;='TIF Loan Amortization'!$H$498,$C275&lt;='TIF Loan Amortization'!I$498),'TIF Loan Amortization'!$G$498,IF(AND($C275&gt;='TIF Loan Amortization'!$H$499,$C275&lt;='TIF Loan Amortization'!I$499),'TIF Loan Amortization'!$G$499,IF(AND($C275&gt;='TIF Loan Amortization'!$H$500,$C275&lt;='TIF Loan Amortization'!I$500),'TIF Loan Amortization'!$G$500,IF(AND($C275&gt;='TIF Loan Amortization'!$H$501,$C275&lt;='TIF Loan Amortization'!I$501),'TIF Loan Amortization'!$G$501,IF(AND($C275&gt;='TIF Loan Amortization'!$H$502,$C275&lt;='TIF Loan Amortization'!I$502),'TIF Loan Amortization'!$G$502,IF(AND($C275&gt;='TIF Loan Amortization'!$H$503,$C275&lt;='TIF Loan Amortization'!I$503),'TIF Loan Amortization'!$G$503,IF(AND($C275&gt;='TIF Loan Amortization'!$H$504,$C275&lt;='TIF Loan Amortization'!I$504),'TIF Loan Amortization'!$G$504,IF(AND($C275&gt;='TIF Loan Amortization'!$H$505,$C275&lt;='TIF Loan Amortization'!I$505),'TIF Loan Amortization'!$G$505,IF(AND($C275&gt;='TIF Loan Amortization'!$H$506,$C275&lt;='TIF Loan Amortization'!I$506),'TIF Loan Amortization'!$G$506,IF(AND($C275&gt;='TIF Loan Amortization'!$H$507,$C275&lt;='TIF Loan Amortization'!I$507),'TIF Loan Amortization'!$G$507,IF(AND($C275&gt;='TIF Loan Amortization'!$H$508,$C275&lt;='TIF Loan Amortization'!I$508),'TIF Loan Amortization'!$G$508,IF(AND($C275&gt;='TIF Loan Amortization'!$H$509,$C275&lt;='TIF Loan Amortization'!I$509),'TIF Loan Amortization'!$G$509,IF(AND($C275&gt;='TIF Loan Amortization'!$H$510,$C275&lt;='TIF Loan Amortization'!I$510),'TIF Loan Amortization'!$G$510,IF(AND($C275&gt;='TIF Loan Amortization'!$H$511,$C275&lt;='TIF Loan Amortization'!I$511),'TIF Loan Amortization'!$G$511,IF(AND($C275&gt;='TIF Loan Amortization'!$H$512,$C275&lt;='TIF Loan Amortization'!I$512),'TIF Loan Amortization'!$G$512,IF(AND($C275&gt;='TIF Loan Amortization'!$H$513,$C275&lt;='TIF Loan Amortization'!I$513),'TIF Loan Amortization'!$G$513,IF(AND($C275&gt;='TIF Loan Amortization'!$H$514,$C275&lt;='TIF Loan Amortization'!I$514),'TIF Loan Amortization'!$G$514,IF(AND($C275&gt;='TIF Loan Amortization'!$H$515,$C275&lt;='TIF Loan Amortization'!I$515),'TIF Loan Amortization'!$G$515,IF(AND($C275&gt;='TIF Loan Amortization'!$H$516,$C275&lt;='TIF Loan Amortization'!I$516),'TIF Loan Amortization'!$G$516,IF(AND($C275&gt;='TIF Loan Amortization'!$H$517,$C275&lt;='TIF Loan Amortization'!I$517),'TIF Loan Amortization'!$G$517,IF(AND($C275&gt;='TIF Loan Amortization'!$H$518,$C275&lt;='TIF Loan Amortization'!I$518),'TIF Loan Amortization'!$G$518,IF(AND($C275&gt;='TIF Loan Amortization'!$H$519,$C275&lt;='TIF Loan Amortization'!I$519),'TIF Loan Amortization'!$G$519))))))))))))))))))))))))))))))))))))))))</f>
        <v>#N/A</v>
      </c>
      <c r="C275" s="269" t="e">
        <f t="shared" si="36"/>
        <v>#N/A</v>
      </c>
      <c r="D275" s="281" t="str">
        <f>IF($AG$431=1,$H$10+19,"")</f>
        <v/>
      </c>
      <c r="E275" s="274">
        <v>225</v>
      </c>
      <c r="F275" s="275" t="str">
        <f>VLOOKUP($AG$431,$AE$422:$AF$433,2)</f>
        <v>Dec</v>
      </c>
      <c r="G275" s="272">
        <f t="shared" si="37"/>
        <v>0</v>
      </c>
      <c r="H275" s="272">
        <f t="shared" si="40"/>
        <v>0</v>
      </c>
      <c r="I275" s="272">
        <f t="shared" si="41"/>
        <v>0</v>
      </c>
      <c r="J275" s="272">
        <f t="shared" si="38"/>
        <v>0</v>
      </c>
      <c r="K275" s="272">
        <f>IF(ISTEXT($M$4),"",SUM(I$50:I275))</f>
        <v>0</v>
      </c>
      <c r="L275" s="272">
        <f>IF(ISTEXT($M$4),"",SUM(J$50:J275))</f>
        <v>0</v>
      </c>
      <c r="M275" s="271">
        <f t="shared" si="39"/>
        <v>0</v>
      </c>
      <c r="N275" s="291" t="e">
        <f>IF(C275='Operating Assumptions'!$C$48,"Construction Finish","")</f>
        <v>#N/A</v>
      </c>
      <c r="O275" s="291"/>
      <c r="P275" s="291"/>
      <c r="Q275" s="291"/>
      <c r="R275" s="291"/>
      <c r="S275" s="291"/>
      <c r="T275" s="280"/>
      <c r="U275" s="280"/>
      <c r="V275" s="286"/>
      <c r="W275" s="286"/>
      <c r="X275" s="286"/>
      <c r="Y275" s="280"/>
      <c r="Z275" s="279"/>
      <c r="AA275" s="279"/>
      <c r="AB275" s="279"/>
    </row>
    <row r="276" spans="2:28" s="278" customFormat="1" ht="13.5" hidden="1" outlineLevel="1" x14ac:dyDescent="0.25">
      <c r="B276" s="270" t="e">
        <f>IF(AND($C276&gt;='TIF Loan Amortization'!$H$480,$C276&lt;='TIF Loan Amortization'!$I$480),'TIF Loan Amortization'!$G$480,IF(AND($C276&gt;='TIF Loan Amortization'!$H$481,$C276&lt;='TIF Loan Amortization'!I$481),'TIF Loan Amortization'!$G$481,IF(AND($C276&gt;='TIF Loan Amortization'!$H$482,$C276&lt;='TIF Loan Amortization'!I$482),'TIF Loan Amortization'!$G$482,IF(AND($C276&gt;='TIF Loan Amortization'!$H$483,$C276&lt;='TIF Loan Amortization'!I$483),'TIF Loan Amortization'!$G$483,IF(AND($C276&gt;='TIF Loan Amortization'!$H$484,$C276&lt;='TIF Loan Amortization'!I$484),'TIF Loan Amortization'!$G$484,IF(AND($C276&gt;='TIF Loan Amortization'!$H$485,$C276&lt;='TIF Loan Amortization'!I$485),'TIF Loan Amortization'!$G$485,IF(AND($C276&gt;='TIF Loan Amortization'!$H$486,$C276&lt;='TIF Loan Amortization'!I$486),'TIF Loan Amortization'!$G$486,IF(AND($C276&gt;='TIF Loan Amortization'!$H$487,$C276&lt;='TIF Loan Amortization'!I$487),'TIF Loan Amortization'!$G$487,IF(AND($C276&gt;='TIF Loan Amortization'!$H$488,$C276&lt;='TIF Loan Amortization'!I$488),'TIF Loan Amortization'!$G$488,IF(AND($C276&gt;='TIF Loan Amortization'!$H$489,$C276&lt;='TIF Loan Amortization'!I$489),'TIF Loan Amortization'!$G$489,IF(AND($C276&gt;='TIF Loan Amortization'!$H$490,$C276&lt;='TIF Loan Amortization'!I$490),'TIF Loan Amortization'!$G$490,IF(AND($C276&gt;='TIF Loan Amortization'!$H$491,$C276&lt;='TIF Loan Amortization'!I$491),'TIF Loan Amortization'!$G$491,IF(AND($C276&gt;='TIF Loan Amortization'!$H$492,$C276&lt;='TIF Loan Amortization'!I$492),'TIF Loan Amortization'!$G$492,IF(AND($C276&gt;='TIF Loan Amortization'!$H$493,$C276&lt;='TIF Loan Amortization'!I$493),'TIF Loan Amortization'!$G$493,IF(AND($C276&gt;='TIF Loan Amortization'!$H$494,$C276&lt;='TIF Loan Amortization'!I$494),'TIF Loan Amortization'!$G$494,IF(AND($C276&gt;='TIF Loan Amortization'!$H$495,$C276&lt;='TIF Loan Amortization'!I$495),'TIF Loan Amortization'!$G$495,IF(AND($C276&gt;='TIF Loan Amortization'!$H$496,$C276&lt;='TIF Loan Amortization'!I$496),'TIF Loan Amortization'!$G$496,IF(AND($C276&gt;='TIF Loan Amortization'!$H$497,$C276&lt;='TIF Loan Amortization'!I$497),'TIF Loan Amortization'!$G$497,IF(AND($C276&gt;='TIF Loan Amortization'!$H$498,$C276&lt;='TIF Loan Amortization'!I$498),'TIF Loan Amortization'!$G$498,IF(AND($C276&gt;='TIF Loan Amortization'!$H$499,$C276&lt;='TIF Loan Amortization'!I$499),'TIF Loan Amortization'!$G$499,IF(AND($C276&gt;='TIF Loan Amortization'!$H$500,$C276&lt;='TIF Loan Amortization'!I$500),'TIF Loan Amortization'!$G$500,IF(AND($C276&gt;='TIF Loan Amortization'!$H$501,$C276&lt;='TIF Loan Amortization'!I$501),'TIF Loan Amortization'!$G$501,IF(AND($C276&gt;='TIF Loan Amortization'!$H$502,$C276&lt;='TIF Loan Amortization'!I$502),'TIF Loan Amortization'!$G$502,IF(AND($C276&gt;='TIF Loan Amortization'!$H$503,$C276&lt;='TIF Loan Amortization'!I$503),'TIF Loan Amortization'!$G$503,IF(AND($C276&gt;='TIF Loan Amortization'!$H$504,$C276&lt;='TIF Loan Amortization'!I$504),'TIF Loan Amortization'!$G$504,IF(AND($C276&gt;='TIF Loan Amortization'!$H$505,$C276&lt;='TIF Loan Amortization'!I$505),'TIF Loan Amortization'!$G$505,IF(AND($C276&gt;='TIF Loan Amortization'!$H$506,$C276&lt;='TIF Loan Amortization'!I$506),'TIF Loan Amortization'!$G$506,IF(AND($C276&gt;='TIF Loan Amortization'!$H$507,$C276&lt;='TIF Loan Amortization'!I$507),'TIF Loan Amortization'!$G$507,IF(AND($C276&gt;='TIF Loan Amortization'!$H$508,$C276&lt;='TIF Loan Amortization'!I$508),'TIF Loan Amortization'!$G$508,IF(AND($C276&gt;='TIF Loan Amortization'!$H$509,$C276&lt;='TIF Loan Amortization'!I$509),'TIF Loan Amortization'!$G$509,IF(AND($C276&gt;='TIF Loan Amortization'!$H$510,$C276&lt;='TIF Loan Amortization'!I$510),'TIF Loan Amortization'!$G$510,IF(AND($C276&gt;='TIF Loan Amortization'!$H$511,$C276&lt;='TIF Loan Amortization'!I$511),'TIF Loan Amortization'!$G$511,IF(AND($C276&gt;='TIF Loan Amortization'!$H$512,$C276&lt;='TIF Loan Amortization'!I$512),'TIF Loan Amortization'!$G$512,IF(AND($C276&gt;='TIF Loan Amortization'!$H$513,$C276&lt;='TIF Loan Amortization'!I$513),'TIF Loan Amortization'!$G$513,IF(AND($C276&gt;='TIF Loan Amortization'!$H$514,$C276&lt;='TIF Loan Amortization'!I$514),'TIF Loan Amortization'!$G$514,IF(AND($C276&gt;='TIF Loan Amortization'!$H$515,$C276&lt;='TIF Loan Amortization'!I$515),'TIF Loan Amortization'!$G$515,IF(AND($C276&gt;='TIF Loan Amortization'!$H$516,$C276&lt;='TIF Loan Amortization'!I$516),'TIF Loan Amortization'!$G$516,IF(AND($C276&gt;='TIF Loan Amortization'!$H$517,$C276&lt;='TIF Loan Amortization'!I$517),'TIF Loan Amortization'!$G$517,IF(AND($C276&gt;='TIF Loan Amortization'!$H$518,$C276&lt;='TIF Loan Amortization'!I$518),'TIF Loan Amortization'!$G$518,IF(AND($C276&gt;='TIF Loan Amortization'!$H$519,$C276&lt;='TIF Loan Amortization'!I$519),'TIF Loan Amortization'!$G$519))))))))))))))))))))))))))))))))))))))))</f>
        <v>#N/A</v>
      </c>
      <c r="C276" s="269" t="e">
        <f t="shared" si="36"/>
        <v>#N/A</v>
      </c>
      <c r="D276" s="281">
        <f>IF($AG$432=1,$H$10+19,"")</f>
        <v>2044</v>
      </c>
      <c r="E276" s="274">
        <v>226</v>
      </c>
      <c r="F276" s="273" t="str">
        <f>VLOOKUP($AG$432,$AE$422:$AF$433,2)</f>
        <v>Jan</v>
      </c>
      <c r="G276" s="272">
        <f t="shared" si="37"/>
        <v>0</v>
      </c>
      <c r="H276" s="272">
        <f t="shared" si="40"/>
        <v>0</v>
      </c>
      <c r="I276" s="272">
        <f t="shared" si="41"/>
        <v>0</v>
      </c>
      <c r="J276" s="272">
        <f t="shared" si="38"/>
        <v>0</v>
      </c>
      <c r="K276" s="272">
        <f>IF(ISTEXT($M$4),"",SUM(I$50:I276))</f>
        <v>0</v>
      </c>
      <c r="L276" s="272">
        <f>IF(ISTEXT($M$4),"",SUM(J$50:J276))</f>
        <v>0</v>
      </c>
      <c r="M276" s="271">
        <f t="shared" si="39"/>
        <v>0</v>
      </c>
      <c r="N276" s="291" t="e">
        <f>IF(C276='Operating Assumptions'!$C$48,"Construction Finish","")</f>
        <v>#N/A</v>
      </c>
      <c r="O276" s="291"/>
      <c r="P276" s="291"/>
      <c r="Q276" s="291"/>
      <c r="R276" s="291"/>
      <c r="S276" s="291"/>
      <c r="T276" s="280"/>
      <c r="U276" s="280"/>
      <c r="V276" s="286"/>
      <c r="W276" s="286"/>
      <c r="X276" s="286"/>
      <c r="Y276" s="280"/>
      <c r="Z276" s="279"/>
      <c r="AA276" s="279"/>
      <c r="AB276" s="279"/>
    </row>
    <row r="277" spans="2:28" s="278" customFormat="1" ht="13.5" hidden="1" outlineLevel="1" x14ac:dyDescent="0.25">
      <c r="B277" s="270" t="e">
        <f>IF(AND($C277&gt;='TIF Loan Amortization'!$H$480,$C277&lt;='TIF Loan Amortization'!$I$480),'TIF Loan Amortization'!$G$480,IF(AND($C277&gt;='TIF Loan Amortization'!$H$481,$C277&lt;='TIF Loan Amortization'!I$481),'TIF Loan Amortization'!$G$481,IF(AND($C277&gt;='TIF Loan Amortization'!$H$482,$C277&lt;='TIF Loan Amortization'!I$482),'TIF Loan Amortization'!$G$482,IF(AND($C277&gt;='TIF Loan Amortization'!$H$483,$C277&lt;='TIF Loan Amortization'!I$483),'TIF Loan Amortization'!$G$483,IF(AND($C277&gt;='TIF Loan Amortization'!$H$484,$C277&lt;='TIF Loan Amortization'!I$484),'TIF Loan Amortization'!$G$484,IF(AND($C277&gt;='TIF Loan Amortization'!$H$485,$C277&lt;='TIF Loan Amortization'!I$485),'TIF Loan Amortization'!$G$485,IF(AND($C277&gt;='TIF Loan Amortization'!$H$486,$C277&lt;='TIF Loan Amortization'!I$486),'TIF Loan Amortization'!$G$486,IF(AND($C277&gt;='TIF Loan Amortization'!$H$487,$C277&lt;='TIF Loan Amortization'!I$487),'TIF Loan Amortization'!$G$487,IF(AND($C277&gt;='TIF Loan Amortization'!$H$488,$C277&lt;='TIF Loan Amortization'!I$488),'TIF Loan Amortization'!$G$488,IF(AND($C277&gt;='TIF Loan Amortization'!$H$489,$C277&lt;='TIF Loan Amortization'!I$489),'TIF Loan Amortization'!$G$489,IF(AND($C277&gt;='TIF Loan Amortization'!$H$490,$C277&lt;='TIF Loan Amortization'!I$490),'TIF Loan Amortization'!$G$490,IF(AND($C277&gt;='TIF Loan Amortization'!$H$491,$C277&lt;='TIF Loan Amortization'!I$491),'TIF Loan Amortization'!$G$491,IF(AND($C277&gt;='TIF Loan Amortization'!$H$492,$C277&lt;='TIF Loan Amortization'!I$492),'TIF Loan Amortization'!$G$492,IF(AND($C277&gt;='TIF Loan Amortization'!$H$493,$C277&lt;='TIF Loan Amortization'!I$493),'TIF Loan Amortization'!$G$493,IF(AND($C277&gt;='TIF Loan Amortization'!$H$494,$C277&lt;='TIF Loan Amortization'!I$494),'TIF Loan Amortization'!$G$494,IF(AND($C277&gt;='TIF Loan Amortization'!$H$495,$C277&lt;='TIF Loan Amortization'!I$495),'TIF Loan Amortization'!$G$495,IF(AND($C277&gt;='TIF Loan Amortization'!$H$496,$C277&lt;='TIF Loan Amortization'!I$496),'TIF Loan Amortization'!$G$496,IF(AND($C277&gt;='TIF Loan Amortization'!$H$497,$C277&lt;='TIF Loan Amortization'!I$497),'TIF Loan Amortization'!$G$497,IF(AND($C277&gt;='TIF Loan Amortization'!$H$498,$C277&lt;='TIF Loan Amortization'!I$498),'TIF Loan Amortization'!$G$498,IF(AND($C277&gt;='TIF Loan Amortization'!$H$499,$C277&lt;='TIF Loan Amortization'!I$499),'TIF Loan Amortization'!$G$499,IF(AND($C277&gt;='TIF Loan Amortization'!$H$500,$C277&lt;='TIF Loan Amortization'!I$500),'TIF Loan Amortization'!$G$500,IF(AND($C277&gt;='TIF Loan Amortization'!$H$501,$C277&lt;='TIF Loan Amortization'!I$501),'TIF Loan Amortization'!$G$501,IF(AND($C277&gt;='TIF Loan Amortization'!$H$502,$C277&lt;='TIF Loan Amortization'!I$502),'TIF Loan Amortization'!$G$502,IF(AND($C277&gt;='TIF Loan Amortization'!$H$503,$C277&lt;='TIF Loan Amortization'!I$503),'TIF Loan Amortization'!$G$503,IF(AND($C277&gt;='TIF Loan Amortization'!$H$504,$C277&lt;='TIF Loan Amortization'!I$504),'TIF Loan Amortization'!$G$504,IF(AND($C277&gt;='TIF Loan Amortization'!$H$505,$C277&lt;='TIF Loan Amortization'!I$505),'TIF Loan Amortization'!$G$505,IF(AND($C277&gt;='TIF Loan Amortization'!$H$506,$C277&lt;='TIF Loan Amortization'!I$506),'TIF Loan Amortization'!$G$506,IF(AND($C277&gt;='TIF Loan Amortization'!$H$507,$C277&lt;='TIF Loan Amortization'!I$507),'TIF Loan Amortization'!$G$507,IF(AND($C277&gt;='TIF Loan Amortization'!$H$508,$C277&lt;='TIF Loan Amortization'!I$508),'TIF Loan Amortization'!$G$508,IF(AND($C277&gt;='TIF Loan Amortization'!$H$509,$C277&lt;='TIF Loan Amortization'!I$509),'TIF Loan Amortization'!$G$509,IF(AND($C277&gt;='TIF Loan Amortization'!$H$510,$C277&lt;='TIF Loan Amortization'!I$510),'TIF Loan Amortization'!$G$510,IF(AND($C277&gt;='TIF Loan Amortization'!$H$511,$C277&lt;='TIF Loan Amortization'!I$511),'TIF Loan Amortization'!$G$511,IF(AND($C277&gt;='TIF Loan Amortization'!$H$512,$C277&lt;='TIF Loan Amortization'!I$512),'TIF Loan Amortization'!$G$512,IF(AND($C277&gt;='TIF Loan Amortization'!$H$513,$C277&lt;='TIF Loan Amortization'!I$513),'TIF Loan Amortization'!$G$513,IF(AND($C277&gt;='TIF Loan Amortization'!$H$514,$C277&lt;='TIF Loan Amortization'!I$514),'TIF Loan Amortization'!$G$514,IF(AND($C277&gt;='TIF Loan Amortization'!$H$515,$C277&lt;='TIF Loan Amortization'!I$515),'TIF Loan Amortization'!$G$515,IF(AND($C277&gt;='TIF Loan Amortization'!$H$516,$C277&lt;='TIF Loan Amortization'!I$516),'TIF Loan Amortization'!$G$516,IF(AND($C277&gt;='TIF Loan Amortization'!$H$517,$C277&lt;='TIF Loan Amortization'!I$517),'TIF Loan Amortization'!$G$517,IF(AND($C277&gt;='TIF Loan Amortization'!$H$518,$C277&lt;='TIF Loan Amortization'!I$518),'TIF Loan Amortization'!$G$518,IF(AND($C277&gt;='TIF Loan Amortization'!$H$519,$C277&lt;='TIF Loan Amortization'!I$519),'TIF Loan Amortization'!$G$519))))))))))))))))))))))))))))))))))))))))</f>
        <v>#N/A</v>
      </c>
      <c r="C277" s="269" t="e">
        <f t="shared" si="36"/>
        <v>#N/A</v>
      </c>
      <c r="D277" s="281" t="str">
        <f>IF($AG$433=1,$H$10+19,"")</f>
        <v/>
      </c>
      <c r="E277" s="274">
        <v>227</v>
      </c>
      <c r="F277" s="273" t="str">
        <f>VLOOKUP($AG$433,$AE$422:$AF$433,2)</f>
        <v>Feb</v>
      </c>
      <c r="G277" s="272">
        <f t="shared" si="37"/>
        <v>0</v>
      </c>
      <c r="H277" s="272">
        <f t="shared" si="40"/>
        <v>0</v>
      </c>
      <c r="I277" s="272">
        <f t="shared" si="41"/>
        <v>0</v>
      </c>
      <c r="J277" s="272">
        <f t="shared" si="38"/>
        <v>0</v>
      </c>
      <c r="K277" s="272">
        <f>IF(ISTEXT($M$4),"",SUM(I$50:I277))</f>
        <v>0</v>
      </c>
      <c r="L277" s="272">
        <f>IF(ISTEXT($M$4),"",SUM(J$50:J277))</f>
        <v>0</v>
      </c>
      <c r="M277" s="271">
        <f t="shared" si="39"/>
        <v>0</v>
      </c>
      <c r="N277" s="291" t="e">
        <f>IF(C277='Operating Assumptions'!$C$48,"Construction Finish","")</f>
        <v>#N/A</v>
      </c>
      <c r="O277" s="291"/>
      <c r="P277" s="291"/>
      <c r="Q277" s="291"/>
      <c r="R277" s="291"/>
      <c r="S277" s="291"/>
      <c r="T277" s="280"/>
      <c r="U277" s="280"/>
      <c r="V277" s="286"/>
      <c r="W277" s="286"/>
      <c r="X277" s="286"/>
      <c r="Y277" s="280"/>
      <c r="Z277" s="279"/>
      <c r="AA277" s="279"/>
      <c r="AB277" s="279"/>
    </row>
    <row r="278" spans="2:28" s="278" customFormat="1" ht="13.5" hidden="1" outlineLevel="1" x14ac:dyDescent="0.25">
      <c r="B278" s="270" t="e">
        <f>IF(AND($C278&gt;='TIF Loan Amortization'!$H$480,$C278&lt;='TIF Loan Amortization'!$I$480),'TIF Loan Amortization'!$G$480,IF(AND($C278&gt;='TIF Loan Amortization'!$H$481,$C278&lt;='TIF Loan Amortization'!I$481),'TIF Loan Amortization'!$G$481,IF(AND($C278&gt;='TIF Loan Amortization'!$H$482,$C278&lt;='TIF Loan Amortization'!I$482),'TIF Loan Amortization'!$G$482,IF(AND($C278&gt;='TIF Loan Amortization'!$H$483,$C278&lt;='TIF Loan Amortization'!I$483),'TIF Loan Amortization'!$G$483,IF(AND($C278&gt;='TIF Loan Amortization'!$H$484,$C278&lt;='TIF Loan Amortization'!I$484),'TIF Loan Amortization'!$G$484,IF(AND($C278&gt;='TIF Loan Amortization'!$H$485,$C278&lt;='TIF Loan Amortization'!I$485),'TIF Loan Amortization'!$G$485,IF(AND($C278&gt;='TIF Loan Amortization'!$H$486,$C278&lt;='TIF Loan Amortization'!I$486),'TIF Loan Amortization'!$G$486,IF(AND($C278&gt;='TIF Loan Amortization'!$H$487,$C278&lt;='TIF Loan Amortization'!I$487),'TIF Loan Amortization'!$G$487,IF(AND($C278&gt;='TIF Loan Amortization'!$H$488,$C278&lt;='TIF Loan Amortization'!I$488),'TIF Loan Amortization'!$G$488,IF(AND($C278&gt;='TIF Loan Amortization'!$H$489,$C278&lt;='TIF Loan Amortization'!I$489),'TIF Loan Amortization'!$G$489,IF(AND($C278&gt;='TIF Loan Amortization'!$H$490,$C278&lt;='TIF Loan Amortization'!I$490),'TIF Loan Amortization'!$G$490,IF(AND($C278&gt;='TIF Loan Amortization'!$H$491,$C278&lt;='TIF Loan Amortization'!I$491),'TIF Loan Amortization'!$G$491,IF(AND($C278&gt;='TIF Loan Amortization'!$H$492,$C278&lt;='TIF Loan Amortization'!I$492),'TIF Loan Amortization'!$G$492,IF(AND($C278&gt;='TIF Loan Amortization'!$H$493,$C278&lt;='TIF Loan Amortization'!I$493),'TIF Loan Amortization'!$G$493,IF(AND($C278&gt;='TIF Loan Amortization'!$H$494,$C278&lt;='TIF Loan Amortization'!I$494),'TIF Loan Amortization'!$G$494,IF(AND($C278&gt;='TIF Loan Amortization'!$H$495,$C278&lt;='TIF Loan Amortization'!I$495),'TIF Loan Amortization'!$G$495,IF(AND($C278&gt;='TIF Loan Amortization'!$H$496,$C278&lt;='TIF Loan Amortization'!I$496),'TIF Loan Amortization'!$G$496,IF(AND($C278&gt;='TIF Loan Amortization'!$H$497,$C278&lt;='TIF Loan Amortization'!I$497),'TIF Loan Amortization'!$G$497,IF(AND($C278&gt;='TIF Loan Amortization'!$H$498,$C278&lt;='TIF Loan Amortization'!I$498),'TIF Loan Amortization'!$G$498,IF(AND($C278&gt;='TIF Loan Amortization'!$H$499,$C278&lt;='TIF Loan Amortization'!I$499),'TIF Loan Amortization'!$G$499,IF(AND($C278&gt;='TIF Loan Amortization'!$H$500,$C278&lt;='TIF Loan Amortization'!I$500),'TIF Loan Amortization'!$G$500,IF(AND($C278&gt;='TIF Loan Amortization'!$H$501,$C278&lt;='TIF Loan Amortization'!I$501),'TIF Loan Amortization'!$G$501,IF(AND($C278&gt;='TIF Loan Amortization'!$H$502,$C278&lt;='TIF Loan Amortization'!I$502),'TIF Loan Amortization'!$G$502,IF(AND($C278&gt;='TIF Loan Amortization'!$H$503,$C278&lt;='TIF Loan Amortization'!I$503),'TIF Loan Amortization'!$G$503,IF(AND($C278&gt;='TIF Loan Amortization'!$H$504,$C278&lt;='TIF Loan Amortization'!I$504),'TIF Loan Amortization'!$G$504,IF(AND($C278&gt;='TIF Loan Amortization'!$H$505,$C278&lt;='TIF Loan Amortization'!I$505),'TIF Loan Amortization'!$G$505,IF(AND($C278&gt;='TIF Loan Amortization'!$H$506,$C278&lt;='TIF Loan Amortization'!I$506),'TIF Loan Amortization'!$G$506,IF(AND($C278&gt;='TIF Loan Amortization'!$H$507,$C278&lt;='TIF Loan Amortization'!I$507),'TIF Loan Amortization'!$G$507,IF(AND($C278&gt;='TIF Loan Amortization'!$H$508,$C278&lt;='TIF Loan Amortization'!I$508),'TIF Loan Amortization'!$G$508,IF(AND($C278&gt;='TIF Loan Amortization'!$H$509,$C278&lt;='TIF Loan Amortization'!I$509),'TIF Loan Amortization'!$G$509,IF(AND($C278&gt;='TIF Loan Amortization'!$H$510,$C278&lt;='TIF Loan Amortization'!I$510),'TIF Loan Amortization'!$G$510,IF(AND($C278&gt;='TIF Loan Amortization'!$H$511,$C278&lt;='TIF Loan Amortization'!I$511),'TIF Loan Amortization'!$G$511,IF(AND($C278&gt;='TIF Loan Amortization'!$H$512,$C278&lt;='TIF Loan Amortization'!I$512),'TIF Loan Amortization'!$G$512,IF(AND($C278&gt;='TIF Loan Amortization'!$H$513,$C278&lt;='TIF Loan Amortization'!I$513),'TIF Loan Amortization'!$G$513,IF(AND($C278&gt;='TIF Loan Amortization'!$H$514,$C278&lt;='TIF Loan Amortization'!I$514),'TIF Loan Amortization'!$G$514,IF(AND($C278&gt;='TIF Loan Amortization'!$H$515,$C278&lt;='TIF Loan Amortization'!I$515),'TIF Loan Amortization'!$G$515,IF(AND($C278&gt;='TIF Loan Amortization'!$H$516,$C278&lt;='TIF Loan Amortization'!I$516),'TIF Loan Amortization'!$G$516,IF(AND($C278&gt;='TIF Loan Amortization'!$H$517,$C278&lt;='TIF Loan Amortization'!I$517),'TIF Loan Amortization'!$G$517,IF(AND($C278&gt;='TIF Loan Amortization'!$H$518,$C278&lt;='TIF Loan Amortization'!I$518),'TIF Loan Amortization'!$G$518,IF(AND($C278&gt;='TIF Loan Amortization'!$H$519,$C278&lt;='TIF Loan Amortization'!I$519),'TIF Loan Amortization'!$G$519))))))))))))))))))))))))))))))))))))))))</f>
        <v>#N/A</v>
      </c>
      <c r="C278" s="269" t="e">
        <f t="shared" si="36"/>
        <v>#N/A</v>
      </c>
      <c r="D278" s="281" t="str">
        <f>IF($H$11="January",$H$10+19,IF($AG$422=1,$H$10+20,""))</f>
        <v/>
      </c>
      <c r="E278" s="274">
        <v>228</v>
      </c>
      <c r="F278" s="273" t="str">
        <f>VLOOKUP($AG$422,$AE$422:$AF$433,2)</f>
        <v>Mar</v>
      </c>
      <c r="G278" s="272">
        <f t="shared" si="37"/>
        <v>0</v>
      </c>
      <c r="H278" s="272">
        <f t="shared" si="40"/>
        <v>0</v>
      </c>
      <c r="I278" s="272">
        <f t="shared" si="41"/>
        <v>0</v>
      </c>
      <c r="J278" s="272">
        <f t="shared" si="38"/>
        <v>0</v>
      </c>
      <c r="K278" s="272">
        <f>IF(ISTEXT($M$4),"",SUM(I$50:I278))</f>
        <v>0</v>
      </c>
      <c r="L278" s="272">
        <f>IF(ISTEXT($M$4),"",SUM(J$50:J278))</f>
        <v>0</v>
      </c>
      <c r="M278" s="271">
        <f t="shared" si="39"/>
        <v>0</v>
      </c>
      <c r="N278" s="291" t="e">
        <f>IF(C278='Operating Assumptions'!$C$48,"Construction Finish","")</f>
        <v>#N/A</v>
      </c>
      <c r="O278" s="291"/>
      <c r="P278" s="291"/>
      <c r="Q278" s="291"/>
      <c r="R278" s="291"/>
      <c r="S278" s="291"/>
      <c r="T278" s="280"/>
      <c r="U278" s="280"/>
      <c r="V278" s="286"/>
      <c r="W278" s="286"/>
      <c r="X278" s="286"/>
      <c r="Y278" s="280"/>
      <c r="Z278" s="279"/>
      <c r="AA278" s="279"/>
      <c r="AB278" s="279"/>
    </row>
    <row r="279" spans="2:28" s="278" customFormat="1" ht="13.5" hidden="1" outlineLevel="1" x14ac:dyDescent="0.25">
      <c r="B279" s="270" t="e">
        <f>IF(AND($C279&gt;='TIF Loan Amortization'!$H$480,$C279&lt;='TIF Loan Amortization'!$I$480),'TIF Loan Amortization'!$G$480,IF(AND($C279&gt;='TIF Loan Amortization'!$H$481,$C279&lt;='TIF Loan Amortization'!I$481),'TIF Loan Amortization'!$G$481,IF(AND($C279&gt;='TIF Loan Amortization'!$H$482,$C279&lt;='TIF Loan Amortization'!I$482),'TIF Loan Amortization'!$G$482,IF(AND($C279&gt;='TIF Loan Amortization'!$H$483,$C279&lt;='TIF Loan Amortization'!I$483),'TIF Loan Amortization'!$G$483,IF(AND($C279&gt;='TIF Loan Amortization'!$H$484,$C279&lt;='TIF Loan Amortization'!I$484),'TIF Loan Amortization'!$G$484,IF(AND($C279&gt;='TIF Loan Amortization'!$H$485,$C279&lt;='TIF Loan Amortization'!I$485),'TIF Loan Amortization'!$G$485,IF(AND($C279&gt;='TIF Loan Amortization'!$H$486,$C279&lt;='TIF Loan Amortization'!I$486),'TIF Loan Amortization'!$G$486,IF(AND($C279&gt;='TIF Loan Amortization'!$H$487,$C279&lt;='TIF Loan Amortization'!I$487),'TIF Loan Amortization'!$G$487,IF(AND($C279&gt;='TIF Loan Amortization'!$H$488,$C279&lt;='TIF Loan Amortization'!I$488),'TIF Loan Amortization'!$G$488,IF(AND($C279&gt;='TIF Loan Amortization'!$H$489,$C279&lt;='TIF Loan Amortization'!I$489),'TIF Loan Amortization'!$G$489,IF(AND($C279&gt;='TIF Loan Amortization'!$H$490,$C279&lt;='TIF Loan Amortization'!I$490),'TIF Loan Amortization'!$G$490,IF(AND($C279&gt;='TIF Loan Amortization'!$H$491,$C279&lt;='TIF Loan Amortization'!I$491),'TIF Loan Amortization'!$G$491,IF(AND($C279&gt;='TIF Loan Amortization'!$H$492,$C279&lt;='TIF Loan Amortization'!I$492),'TIF Loan Amortization'!$G$492,IF(AND($C279&gt;='TIF Loan Amortization'!$H$493,$C279&lt;='TIF Loan Amortization'!I$493),'TIF Loan Amortization'!$G$493,IF(AND($C279&gt;='TIF Loan Amortization'!$H$494,$C279&lt;='TIF Loan Amortization'!I$494),'TIF Loan Amortization'!$G$494,IF(AND($C279&gt;='TIF Loan Amortization'!$H$495,$C279&lt;='TIF Loan Amortization'!I$495),'TIF Loan Amortization'!$G$495,IF(AND($C279&gt;='TIF Loan Amortization'!$H$496,$C279&lt;='TIF Loan Amortization'!I$496),'TIF Loan Amortization'!$G$496,IF(AND($C279&gt;='TIF Loan Amortization'!$H$497,$C279&lt;='TIF Loan Amortization'!I$497),'TIF Loan Amortization'!$G$497,IF(AND($C279&gt;='TIF Loan Amortization'!$H$498,$C279&lt;='TIF Loan Amortization'!I$498),'TIF Loan Amortization'!$G$498,IF(AND($C279&gt;='TIF Loan Amortization'!$H$499,$C279&lt;='TIF Loan Amortization'!I$499),'TIF Loan Amortization'!$G$499,IF(AND($C279&gt;='TIF Loan Amortization'!$H$500,$C279&lt;='TIF Loan Amortization'!I$500),'TIF Loan Amortization'!$G$500,IF(AND($C279&gt;='TIF Loan Amortization'!$H$501,$C279&lt;='TIF Loan Amortization'!I$501),'TIF Loan Amortization'!$G$501,IF(AND($C279&gt;='TIF Loan Amortization'!$H$502,$C279&lt;='TIF Loan Amortization'!I$502),'TIF Loan Amortization'!$G$502,IF(AND($C279&gt;='TIF Loan Amortization'!$H$503,$C279&lt;='TIF Loan Amortization'!I$503),'TIF Loan Amortization'!$G$503,IF(AND($C279&gt;='TIF Loan Amortization'!$H$504,$C279&lt;='TIF Loan Amortization'!I$504),'TIF Loan Amortization'!$G$504,IF(AND($C279&gt;='TIF Loan Amortization'!$H$505,$C279&lt;='TIF Loan Amortization'!I$505),'TIF Loan Amortization'!$G$505,IF(AND($C279&gt;='TIF Loan Amortization'!$H$506,$C279&lt;='TIF Loan Amortization'!I$506),'TIF Loan Amortization'!$G$506,IF(AND($C279&gt;='TIF Loan Amortization'!$H$507,$C279&lt;='TIF Loan Amortization'!I$507),'TIF Loan Amortization'!$G$507,IF(AND($C279&gt;='TIF Loan Amortization'!$H$508,$C279&lt;='TIF Loan Amortization'!I$508),'TIF Loan Amortization'!$G$508,IF(AND($C279&gt;='TIF Loan Amortization'!$H$509,$C279&lt;='TIF Loan Amortization'!I$509),'TIF Loan Amortization'!$G$509,IF(AND($C279&gt;='TIF Loan Amortization'!$H$510,$C279&lt;='TIF Loan Amortization'!I$510),'TIF Loan Amortization'!$G$510,IF(AND($C279&gt;='TIF Loan Amortization'!$H$511,$C279&lt;='TIF Loan Amortization'!I$511),'TIF Loan Amortization'!$G$511,IF(AND($C279&gt;='TIF Loan Amortization'!$H$512,$C279&lt;='TIF Loan Amortization'!I$512),'TIF Loan Amortization'!$G$512,IF(AND($C279&gt;='TIF Loan Amortization'!$H$513,$C279&lt;='TIF Loan Amortization'!I$513),'TIF Loan Amortization'!$G$513,IF(AND($C279&gt;='TIF Loan Amortization'!$H$514,$C279&lt;='TIF Loan Amortization'!I$514),'TIF Loan Amortization'!$G$514,IF(AND($C279&gt;='TIF Loan Amortization'!$H$515,$C279&lt;='TIF Loan Amortization'!I$515),'TIF Loan Amortization'!$G$515,IF(AND($C279&gt;='TIF Loan Amortization'!$H$516,$C279&lt;='TIF Loan Amortization'!I$516),'TIF Loan Amortization'!$G$516,IF(AND($C279&gt;='TIF Loan Amortization'!$H$517,$C279&lt;='TIF Loan Amortization'!I$517),'TIF Loan Amortization'!$G$517,IF(AND($C279&gt;='TIF Loan Amortization'!$H$518,$C279&lt;='TIF Loan Amortization'!I$518),'TIF Loan Amortization'!$G$518,IF(AND($C279&gt;='TIF Loan Amortization'!$H$519,$C279&lt;='TIF Loan Amortization'!I$519),'TIF Loan Amortization'!$G$519))))))))))))))))))))))))))))))))))))))))</f>
        <v>#N/A</v>
      </c>
      <c r="C279" s="269" t="e">
        <f t="shared" si="36"/>
        <v>#N/A</v>
      </c>
      <c r="D279" s="281" t="str">
        <f>IF($AG$423=1,$H$10+20,"")</f>
        <v/>
      </c>
      <c r="E279" s="274">
        <v>229</v>
      </c>
      <c r="F279" s="275" t="str">
        <f>VLOOKUP($AG$423,$AE$422:$AF$433,2)</f>
        <v>Apr</v>
      </c>
      <c r="G279" s="272">
        <f t="shared" si="37"/>
        <v>0</v>
      </c>
      <c r="H279" s="272">
        <f t="shared" si="40"/>
        <v>0</v>
      </c>
      <c r="I279" s="272">
        <f t="shared" si="41"/>
        <v>0</v>
      </c>
      <c r="J279" s="272">
        <f t="shared" si="38"/>
        <v>0</v>
      </c>
      <c r="K279" s="272">
        <f>IF(ISTEXT($M$4),"",SUM(I$50:I279))</f>
        <v>0</v>
      </c>
      <c r="L279" s="272">
        <f>IF(ISTEXT($M$4),"",SUM(J$50:J279))</f>
        <v>0</v>
      </c>
      <c r="M279" s="271">
        <f t="shared" si="39"/>
        <v>0</v>
      </c>
      <c r="N279" s="291" t="e">
        <f>IF(C279='Operating Assumptions'!$C$48,"Construction Finish","")</f>
        <v>#N/A</v>
      </c>
      <c r="O279" s="291"/>
      <c r="P279" s="291"/>
      <c r="Q279" s="291"/>
      <c r="R279" s="291"/>
      <c r="S279" s="291"/>
      <c r="T279" s="280"/>
      <c r="U279" s="280"/>
      <c r="V279" s="286"/>
      <c r="W279" s="286"/>
      <c r="X279" s="286"/>
      <c r="Y279" s="280"/>
      <c r="Z279" s="279"/>
      <c r="AA279" s="279"/>
      <c r="AB279" s="279"/>
    </row>
    <row r="280" spans="2:28" s="278" customFormat="1" ht="13.5" hidden="1" outlineLevel="1" x14ac:dyDescent="0.25">
      <c r="B280" s="270" t="e">
        <f>IF(AND($C280&gt;='TIF Loan Amortization'!$H$480,$C280&lt;='TIF Loan Amortization'!$I$480),'TIF Loan Amortization'!$G$480,IF(AND($C280&gt;='TIF Loan Amortization'!$H$481,$C280&lt;='TIF Loan Amortization'!I$481),'TIF Loan Amortization'!$G$481,IF(AND($C280&gt;='TIF Loan Amortization'!$H$482,$C280&lt;='TIF Loan Amortization'!I$482),'TIF Loan Amortization'!$G$482,IF(AND($C280&gt;='TIF Loan Amortization'!$H$483,$C280&lt;='TIF Loan Amortization'!I$483),'TIF Loan Amortization'!$G$483,IF(AND($C280&gt;='TIF Loan Amortization'!$H$484,$C280&lt;='TIF Loan Amortization'!I$484),'TIF Loan Amortization'!$G$484,IF(AND($C280&gt;='TIF Loan Amortization'!$H$485,$C280&lt;='TIF Loan Amortization'!I$485),'TIF Loan Amortization'!$G$485,IF(AND($C280&gt;='TIF Loan Amortization'!$H$486,$C280&lt;='TIF Loan Amortization'!I$486),'TIF Loan Amortization'!$G$486,IF(AND($C280&gt;='TIF Loan Amortization'!$H$487,$C280&lt;='TIF Loan Amortization'!I$487),'TIF Loan Amortization'!$G$487,IF(AND($C280&gt;='TIF Loan Amortization'!$H$488,$C280&lt;='TIF Loan Amortization'!I$488),'TIF Loan Amortization'!$G$488,IF(AND($C280&gt;='TIF Loan Amortization'!$H$489,$C280&lt;='TIF Loan Amortization'!I$489),'TIF Loan Amortization'!$G$489,IF(AND($C280&gt;='TIF Loan Amortization'!$H$490,$C280&lt;='TIF Loan Amortization'!I$490),'TIF Loan Amortization'!$G$490,IF(AND($C280&gt;='TIF Loan Amortization'!$H$491,$C280&lt;='TIF Loan Amortization'!I$491),'TIF Loan Amortization'!$G$491,IF(AND($C280&gt;='TIF Loan Amortization'!$H$492,$C280&lt;='TIF Loan Amortization'!I$492),'TIF Loan Amortization'!$G$492,IF(AND($C280&gt;='TIF Loan Amortization'!$H$493,$C280&lt;='TIF Loan Amortization'!I$493),'TIF Loan Amortization'!$G$493,IF(AND($C280&gt;='TIF Loan Amortization'!$H$494,$C280&lt;='TIF Loan Amortization'!I$494),'TIF Loan Amortization'!$G$494,IF(AND($C280&gt;='TIF Loan Amortization'!$H$495,$C280&lt;='TIF Loan Amortization'!I$495),'TIF Loan Amortization'!$G$495,IF(AND($C280&gt;='TIF Loan Amortization'!$H$496,$C280&lt;='TIF Loan Amortization'!I$496),'TIF Loan Amortization'!$G$496,IF(AND($C280&gt;='TIF Loan Amortization'!$H$497,$C280&lt;='TIF Loan Amortization'!I$497),'TIF Loan Amortization'!$G$497,IF(AND($C280&gt;='TIF Loan Amortization'!$H$498,$C280&lt;='TIF Loan Amortization'!I$498),'TIF Loan Amortization'!$G$498,IF(AND($C280&gt;='TIF Loan Amortization'!$H$499,$C280&lt;='TIF Loan Amortization'!I$499),'TIF Loan Amortization'!$G$499,IF(AND($C280&gt;='TIF Loan Amortization'!$H$500,$C280&lt;='TIF Loan Amortization'!I$500),'TIF Loan Amortization'!$G$500,IF(AND($C280&gt;='TIF Loan Amortization'!$H$501,$C280&lt;='TIF Loan Amortization'!I$501),'TIF Loan Amortization'!$G$501,IF(AND($C280&gt;='TIF Loan Amortization'!$H$502,$C280&lt;='TIF Loan Amortization'!I$502),'TIF Loan Amortization'!$G$502,IF(AND($C280&gt;='TIF Loan Amortization'!$H$503,$C280&lt;='TIF Loan Amortization'!I$503),'TIF Loan Amortization'!$G$503,IF(AND($C280&gt;='TIF Loan Amortization'!$H$504,$C280&lt;='TIF Loan Amortization'!I$504),'TIF Loan Amortization'!$G$504,IF(AND($C280&gt;='TIF Loan Amortization'!$H$505,$C280&lt;='TIF Loan Amortization'!I$505),'TIF Loan Amortization'!$G$505,IF(AND($C280&gt;='TIF Loan Amortization'!$H$506,$C280&lt;='TIF Loan Amortization'!I$506),'TIF Loan Amortization'!$G$506,IF(AND($C280&gt;='TIF Loan Amortization'!$H$507,$C280&lt;='TIF Loan Amortization'!I$507),'TIF Loan Amortization'!$G$507,IF(AND($C280&gt;='TIF Loan Amortization'!$H$508,$C280&lt;='TIF Loan Amortization'!I$508),'TIF Loan Amortization'!$G$508,IF(AND($C280&gt;='TIF Loan Amortization'!$H$509,$C280&lt;='TIF Loan Amortization'!I$509),'TIF Loan Amortization'!$G$509,IF(AND($C280&gt;='TIF Loan Amortization'!$H$510,$C280&lt;='TIF Loan Amortization'!I$510),'TIF Loan Amortization'!$G$510,IF(AND($C280&gt;='TIF Loan Amortization'!$H$511,$C280&lt;='TIF Loan Amortization'!I$511),'TIF Loan Amortization'!$G$511,IF(AND($C280&gt;='TIF Loan Amortization'!$H$512,$C280&lt;='TIF Loan Amortization'!I$512),'TIF Loan Amortization'!$G$512,IF(AND($C280&gt;='TIF Loan Amortization'!$H$513,$C280&lt;='TIF Loan Amortization'!I$513),'TIF Loan Amortization'!$G$513,IF(AND($C280&gt;='TIF Loan Amortization'!$H$514,$C280&lt;='TIF Loan Amortization'!I$514),'TIF Loan Amortization'!$G$514,IF(AND($C280&gt;='TIF Loan Amortization'!$H$515,$C280&lt;='TIF Loan Amortization'!I$515),'TIF Loan Amortization'!$G$515,IF(AND($C280&gt;='TIF Loan Amortization'!$H$516,$C280&lt;='TIF Loan Amortization'!I$516),'TIF Loan Amortization'!$G$516,IF(AND($C280&gt;='TIF Loan Amortization'!$H$517,$C280&lt;='TIF Loan Amortization'!I$517),'TIF Loan Amortization'!$G$517,IF(AND($C280&gt;='TIF Loan Amortization'!$H$518,$C280&lt;='TIF Loan Amortization'!I$518),'TIF Loan Amortization'!$G$518,IF(AND($C280&gt;='TIF Loan Amortization'!$H$519,$C280&lt;='TIF Loan Amortization'!I$519),'TIF Loan Amortization'!$G$519))))))))))))))))))))))))))))))))))))))))</f>
        <v>#N/A</v>
      </c>
      <c r="C280" s="269" t="e">
        <f t="shared" si="36"/>
        <v>#N/A</v>
      </c>
      <c r="D280" s="281" t="str">
        <f>IF($AG$424=1,$H$10+20,"")</f>
        <v/>
      </c>
      <c r="E280" s="274">
        <v>230</v>
      </c>
      <c r="F280" s="275" t="str">
        <f>VLOOKUP($AG$424,$AE$422:$AF$433,2)</f>
        <v>May</v>
      </c>
      <c r="G280" s="272">
        <f t="shared" si="37"/>
        <v>0</v>
      </c>
      <c r="H280" s="272">
        <f t="shared" si="40"/>
        <v>0</v>
      </c>
      <c r="I280" s="272">
        <f t="shared" si="41"/>
        <v>0</v>
      </c>
      <c r="J280" s="272">
        <f t="shared" si="38"/>
        <v>0</v>
      </c>
      <c r="K280" s="272">
        <f>IF(ISTEXT($M$4),"",SUM(I$50:I280))</f>
        <v>0</v>
      </c>
      <c r="L280" s="272">
        <f>IF(ISTEXT($M$4),"",SUM(J$50:J280))</f>
        <v>0</v>
      </c>
      <c r="M280" s="271">
        <f t="shared" si="39"/>
        <v>0</v>
      </c>
      <c r="N280" s="291" t="e">
        <f>IF(C280='Operating Assumptions'!$C$48,"Construction Finish","")</f>
        <v>#N/A</v>
      </c>
      <c r="O280" s="291"/>
      <c r="P280" s="291"/>
      <c r="Q280" s="291"/>
      <c r="R280" s="291"/>
      <c r="S280" s="291"/>
      <c r="T280" s="280"/>
      <c r="U280" s="280"/>
      <c r="V280" s="286"/>
      <c r="W280" s="286"/>
      <c r="X280" s="286"/>
      <c r="Y280" s="280"/>
      <c r="Z280" s="279"/>
      <c r="AA280" s="279"/>
      <c r="AB280" s="279"/>
    </row>
    <row r="281" spans="2:28" s="278" customFormat="1" ht="13.5" hidden="1" outlineLevel="1" x14ac:dyDescent="0.25">
      <c r="B281" s="270" t="e">
        <f>IF(AND($C281&gt;='TIF Loan Amortization'!$H$480,$C281&lt;='TIF Loan Amortization'!$I$480),'TIF Loan Amortization'!$G$480,IF(AND($C281&gt;='TIF Loan Amortization'!$H$481,$C281&lt;='TIF Loan Amortization'!I$481),'TIF Loan Amortization'!$G$481,IF(AND($C281&gt;='TIF Loan Amortization'!$H$482,$C281&lt;='TIF Loan Amortization'!I$482),'TIF Loan Amortization'!$G$482,IF(AND($C281&gt;='TIF Loan Amortization'!$H$483,$C281&lt;='TIF Loan Amortization'!I$483),'TIF Loan Amortization'!$G$483,IF(AND($C281&gt;='TIF Loan Amortization'!$H$484,$C281&lt;='TIF Loan Amortization'!I$484),'TIF Loan Amortization'!$G$484,IF(AND($C281&gt;='TIF Loan Amortization'!$H$485,$C281&lt;='TIF Loan Amortization'!I$485),'TIF Loan Amortization'!$G$485,IF(AND($C281&gt;='TIF Loan Amortization'!$H$486,$C281&lt;='TIF Loan Amortization'!I$486),'TIF Loan Amortization'!$G$486,IF(AND($C281&gt;='TIF Loan Amortization'!$H$487,$C281&lt;='TIF Loan Amortization'!I$487),'TIF Loan Amortization'!$G$487,IF(AND($C281&gt;='TIF Loan Amortization'!$H$488,$C281&lt;='TIF Loan Amortization'!I$488),'TIF Loan Amortization'!$G$488,IF(AND($C281&gt;='TIF Loan Amortization'!$H$489,$C281&lt;='TIF Loan Amortization'!I$489),'TIF Loan Amortization'!$G$489,IF(AND($C281&gt;='TIF Loan Amortization'!$H$490,$C281&lt;='TIF Loan Amortization'!I$490),'TIF Loan Amortization'!$G$490,IF(AND($C281&gt;='TIF Loan Amortization'!$H$491,$C281&lt;='TIF Loan Amortization'!I$491),'TIF Loan Amortization'!$G$491,IF(AND($C281&gt;='TIF Loan Amortization'!$H$492,$C281&lt;='TIF Loan Amortization'!I$492),'TIF Loan Amortization'!$G$492,IF(AND($C281&gt;='TIF Loan Amortization'!$H$493,$C281&lt;='TIF Loan Amortization'!I$493),'TIF Loan Amortization'!$G$493,IF(AND($C281&gt;='TIF Loan Amortization'!$H$494,$C281&lt;='TIF Loan Amortization'!I$494),'TIF Loan Amortization'!$G$494,IF(AND($C281&gt;='TIF Loan Amortization'!$H$495,$C281&lt;='TIF Loan Amortization'!I$495),'TIF Loan Amortization'!$G$495,IF(AND($C281&gt;='TIF Loan Amortization'!$H$496,$C281&lt;='TIF Loan Amortization'!I$496),'TIF Loan Amortization'!$G$496,IF(AND($C281&gt;='TIF Loan Amortization'!$H$497,$C281&lt;='TIF Loan Amortization'!I$497),'TIF Loan Amortization'!$G$497,IF(AND($C281&gt;='TIF Loan Amortization'!$H$498,$C281&lt;='TIF Loan Amortization'!I$498),'TIF Loan Amortization'!$G$498,IF(AND($C281&gt;='TIF Loan Amortization'!$H$499,$C281&lt;='TIF Loan Amortization'!I$499),'TIF Loan Amortization'!$G$499,IF(AND($C281&gt;='TIF Loan Amortization'!$H$500,$C281&lt;='TIF Loan Amortization'!I$500),'TIF Loan Amortization'!$G$500,IF(AND($C281&gt;='TIF Loan Amortization'!$H$501,$C281&lt;='TIF Loan Amortization'!I$501),'TIF Loan Amortization'!$G$501,IF(AND($C281&gt;='TIF Loan Amortization'!$H$502,$C281&lt;='TIF Loan Amortization'!I$502),'TIF Loan Amortization'!$G$502,IF(AND($C281&gt;='TIF Loan Amortization'!$H$503,$C281&lt;='TIF Loan Amortization'!I$503),'TIF Loan Amortization'!$G$503,IF(AND($C281&gt;='TIF Loan Amortization'!$H$504,$C281&lt;='TIF Loan Amortization'!I$504),'TIF Loan Amortization'!$G$504,IF(AND($C281&gt;='TIF Loan Amortization'!$H$505,$C281&lt;='TIF Loan Amortization'!I$505),'TIF Loan Amortization'!$G$505,IF(AND($C281&gt;='TIF Loan Amortization'!$H$506,$C281&lt;='TIF Loan Amortization'!I$506),'TIF Loan Amortization'!$G$506,IF(AND($C281&gt;='TIF Loan Amortization'!$H$507,$C281&lt;='TIF Loan Amortization'!I$507),'TIF Loan Amortization'!$G$507,IF(AND($C281&gt;='TIF Loan Amortization'!$H$508,$C281&lt;='TIF Loan Amortization'!I$508),'TIF Loan Amortization'!$G$508,IF(AND($C281&gt;='TIF Loan Amortization'!$H$509,$C281&lt;='TIF Loan Amortization'!I$509),'TIF Loan Amortization'!$G$509,IF(AND($C281&gt;='TIF Loan Amortization'!$H$510,$C281&lt;='TIF Loan Amortization'!I$510),'TIF Loan Amortization'!$G$510,IF(AND($C281&gt;='TIF Loan Amortization'!$H$511,$C281&lt;='TIF Loan Amortization'!I$511),'TIF Loan Amortization'!$G$511,IF(AND($C281&gt;='TIF Loan Amortization'!$H$512,$C281&lt;='TIF Loan Amortization'!I$512),'TIF Loan Amortization'!$G$512,IF(AND($C281&gt;='TIF Loan Amortization'!$H$513,$C281&lt;='TIF Loan Amortization'!I$513),'TIF Loan Amortization'!$G$513,IF(AND($C281&gt;='TIF Loan Amortization'!$H$514,$C281&lt;='TIF Loan Amortization'!I$514),'TIF Loan Amortization'!$G$514,IF(AND($C281&gt;='TIF Loan Amortization'!$H$515,$C281&lt;='TIF Loan Amortization'!I$515),'TIF Loan Amortization'!$G$515,IF(AND($C281&gt;='TIF Loan Amortization'!$H$516,$C281&lt;='TIF Loan Amortization'!I$516),'TIF Loan Amortization'!$G$516,IF(AND($C281&gt;='TIF Loan Amortization'!$H$517,$C281&lt;='TIF Loan Amortization'!I$517),'TIF Loan Amortization'!$G$517,IF(AND($C281&gt;='TIF Loan Amortization'!$H$518,$C281&lt;='TIF Loan Amortization'!I$518),'TIF Loan Amortization'!$G$518,IF(AND($C281&gt;='TIF Loan Amortization'!$H$519,$C281&lt;='TIF Loan Amortization'!I$519),'TIF Loan Amortization'!$G$519))))))))))))))))))))))))))))))))))))))))</f>
        <v>#N/A</v>
      </c>
      <c r="C281" s="269" t="e">
        <f t="shared" si="36"/>
        <v>#N/A</v>
      </c>
      <c r="D281" s="281" t="str">
        <f>IF($AG$425=1,$H$10+20,"")</f>
        <v/>
      </c>
      <c r="E281" s="274">
        <v>231</v>
      </c>
      <c r="F281" s="275" t="str">
        <f>VLOOKUP($AG$425,$AE$422:$AF$433,2)</f>
        <v>Jun</v>
      </c>
      <c r="G281" s="272">
        <f t="shared" si="37"/>
        <v>0</v>
      </c>
      <c r="H281" s="272">
        <f t="shared" si="40"/>
        <v>0</v>
      </c>
      <c r="I281" s="272">
        <f t="shared" si="41"/>
        <v>0</v>
      </c>
      <c r="J281" s="272">
        <f t="shared" si="38"/>
        <v>0</v>
      </c>
      <c r="K281" s="272">
        <f>IF(ISTEXT($M$4),"",SUM(I$50:I281))</f>
        <v>0</v>
      </c>
      <c r="L281" s="272">
        <f>IF(ISTEXT($M$4),"",SUM(J$50:J281))</f>
        <v>0</v>
      </c>
      <c r="M281" s="271">
        <f t="shared" si="39"/>
        <v>0</v>
      </c>
      <c r="N281" s="291" t="e">
        <f>IF(C281='Operating Assumptions'!$C$48,"Construction Finish","")</f>
        <v>#N/A</v>
      </c>
      <c r="O281" s="291"/>
      <c r="P281" s="291"/>
      <c r="Q281" s="291"/>
      <c r="R281" s="291"/>
      <c r="S281" s="291"/>
      <c r="T281" s="280"/>
      <c r="U281" s="280"/>
      <c r="V281" s="286"/>
      <c r="W281" s="286"/>
      <c r="X281" s="286"/>
      <c r="Y281" s="280"/>
      <c r="Z281" s="279"/>
      <c r="AA281" s="279"/>
      <c r="AB281" s="279"/>
    </row>
    <row r="282" spans="2:28" s="278" customFormat="1" ht="13.5" hidden="1" outlineLevel="1" x14ac:dyDescent="0.25">
      <c r="B282" s="270" t="e">
        <f>IF(AND($C282&gt;='TIF Loan Amortization'!$H$480,$C282&lt;='TIF Loan Amortization'!$I$480),'TIF Loan Amortization'!$G$480,IF(AND($C282&gt;='TIF Loan Amortization'!$H$481,$C282&lt;='TIF Loan Amortization'!I$481),'TIF Loan Amortization'!$G$481,IF(AND($C282&gt;='TIF Loan Amortization'!$H$482,$C282&lt;='TIF Loan Amortization'!I$482),'TIF Loan Amortization'!$G$482,IF(AND($C282&gt;='TIF Loan Amortization'!$H$483,$C282&lt;='TIF Loan Amortization'!I$483),'TIF Loan Amortization'!$G$483,IF(AND($C282&gt;='TIF Loan Amortization'!$H$484,$C282&lt;='TIF Loan Amortization'!I$484),'TIF Loan Amortization'!$G$484,IF(AND($C282&gt;='TIF Loan Amortization'!$H$485,$C282&lt;='TIF Loan Amortization'!I$485),'TIF Loan Amortization'!$G$485,IF(AND($C282&gt;='TIF Loan Amortization'!$H$486,$C282&lt;='TIF Loan Amortization'!I$486),'TIF Loan Amortization'!$G$486,IF(AND($C282&gt;='TIF Loan Amortization'!$H$487,$C282&lt;='TIF Loan Amortization'!I$487),'TIF Loan Amortization'!$G$487,IF(AND($C282&gt;='TIF Loan Amortization'!$H$488,$C282&lt;='TIF Loan Amortization'!I$488),'TIF Loan Amortization'!$G$488,IF(AND($C282&gt;='TIF Loan Amortization'!$H$489,$C282&lt;='TIF Loan Amortization'!I$489),'TIF Loan Amortization'!$G$489,IF(AND($C282&gt;='TIF Loan Amortization'!$H$490,$C282&lt;='TIF Loan Amortization'!I$490),'TIF Loan Amortization'!$G$490,IF(AND($C282&gt;='TIF Loan Amortization'!$H$491,$C282&lt;='TIF Loan Amortization'!I$491),'TIF Loan Amortization'!$G$491,IF(AND($C282&gt;='TIF Loan Amortization'!$H$492,$C282&lt;='TIF Loan Amortization'!I$492),'TIF Loan Amortization'!$G$492,IF(AND($C282&gt;='TIF Loan Amortization'!$H$493,$C282&lt;='TIF Loan Amortization'!I$493),'TIF Loan Amortization'!$G$493,IF(AND($C282&gt;='TIF Loan Amortization'!$H$494,$C282&lt;='TIF Loan Amortization'!I$494),'TIF Loan Amortization'!$G$494,IF(AND($C282&gt;='TIF Loan Amortization'!$H$495,$C282&lt;='TIF Loan Amortization'!I$495),'TIF Loan Amortization'!$G$495,IF(AND($C282&gt;='TIF Loan Amortization'!$H$496,$C282&lt;='TIF Loan Amortization'!I$496),'TIF Loan Amortization'!$G$496,IF(AND($C282&gt;='TIF Loan Amortization'!$H$497,$C282&lt;='TIF Loan Amortization'!I$497),'TIF Loan Amortization'!$G$497,IF(AND($C282&gt;='TIF Loan Amortization'!$H$498,$C282&lt;='TIF Loan Amortization'!I$498),'TIF Loan Amortization'!$G$498,IF(AND($C282&gt;='TIF Loan Amortization'!$H$499,$C282&lt;='TIF Loan Amortization'!I$499),'TIF Loan Amortization'!$G$499,IF(AND($C282&gt;='TIF Loan Amortization'!$H$500,$C282&lt;='TIF Loan Amortization'!I$500),'TIF Loan Amortization'!$G$500,IF(AND($C282&gt;='TIF Loan Amortization'!$H$501,$C282&lt;='TIF Loan Amortization'!I$501),'TIF Loan Amortization'!$G$501,IF(AND($C282&gt;='TIF Loan Amortization'!$H$502,$C282&lt;='TIF Loan Amortization'!I$502),'TIF Loan Amortization'!$G$502,IF(AND($C282&gt;='TIF Loan Amortization'!$H$503,$C282&lt;='TIF Loan Amortization'!I$503),'TIF Loan Amortization'!$G$503,IF(AND($C282&gt;='TIF Loan Amortization'!$H$504,$C282&lt;='TIF Loan Amortization'!I$504),'TIF Loan Amortization'!$G$504,IF(AND($C282&gt;='TIF Loan Amortization'!$H$505,$C282&lt;='TIF Loan Amortization'!I$505),'TIF Loan Amortization'!$G$505,IF(AND($C282&gt;='TIF Loan Amortization'!$H$506,$C282&lt;='TIF Loan Amortization'!I$506),'TIF Loan Amortization'!$G$506,IF(AND($C282&gt;='TIF Loan Amortization'!$H$507,$C282&lt;='TIF Loan Amortization'!I$507),'TIF Loan Amortization'!$G$507,IF(AND($C282&gt;='TIF Loan Amortization'!$H$508,$C282&lt;='TIF Loan Amortization'!I$508),'TIF Loan Amortization'!$G$508,IF(AND($C282&gt;='TIF Loan Amortization'!$H$509,$C282&lt;='TIF Loan Amortization'!I$509),'TIF Loan Amortization'!$G$509,IF(AND($C282&gt;='TIF Loan Amortization'!$H$510,$C282&lt;='TIF Loan Amortization'!I$510),'TIF Loan Amortization'!$G$510,IF(AND($C282&gt;='TIF Loan Amortization'!$H$511,$C282&lt;='TIF Loan Amortization'!I$511),'TIF Loan Amortization'!$G$511,IF(AND($C282&gt;='TIF Loan Amortization'!$H$512,$C282&lt;='TIF Loan Amortization'!I$512),'TIF Loan Amortization'!$G$512,IF(AND($C282&gt;='TIF Loan Amortization'!$H$513,$C282&lt;='TIF Loan Amortization'!I$513),'TIF Loan Amortization'!$G$513,IF(AND($C282&gt;='TIF Loan Amortization'!$H$514,$C282&lt;='TIF Loan Amortization'!I$514),'TIF Loan Amortization'!$G$514,IF(AND($C282&gt;='TIF Loan Amortization'!$H$515,$C282&lt;='TIF Loan Amortization'!I$515),'TIF Loan Amortization'!$G$515,IF(AND($C282&gt;='TIF Loan Amortization'!$H$516,$C282&lt;='TIF Loan Amortization'!I$516),'TIF Loan Amortization'!$G$516,IF(AND($C282&gt;='TIF Loan Amortization'!$H$517,$C282&lt;='TIF Loan Amortization'!I$517),'TIF Loan Amortization'!$G$517,IF(AND($C282&gt;='TIF Loan Amortization'!$H$518,$C282&lt;='TIF Loan Amortization'!I$518),'TIF Loan Amortization'!$G$518,IF(AND($C282&gt;='TIF Loan Amortization'!$H$519,$C282&lt;='TIF Loan Amortization'!I$519),'TIF Loan Amortization'!$G$519))))))))))))))))))))))))))))))))))))))))</f>
        <v>#N/A</v>
      </c>
      <c r="C282" s="269" t="e">
        <f t="shared" si="36"/>
        <v>#N/A</v>
      </c>
      <c r="D282" s="281" t="str">
        <f>IF($AG$426=1,$H$10+20,"")</f>
        <v/>
      </c>
      <c r="E282" s="274">
        <v>232</v>
      </c>
      <c r="F282" s="275" t="str">
        <f>VLOOKUP($AG$426,$AE$422:$AF$433,2)</f>
        <v>Jul</v>
      </c>
      <c r="G282" s="272">
        <f t="shared" si="37"/>
        <v>0</v>
      </c>
      <c r="H282" s="272">
        <f t="shared" si="40"/>
        <v>0</v>
      </c>
      <c r="I282" s="272">
        <f t="shared" si="41"/>
        <v>0</v>
      </c>
      <c r="J282" s="272">
        <f t="shared" si="38"/>
        <v>0</v>
      </c>
      <c r="K282" s="272">
        <f>IF(ISTEXT($M$4),"",SUM(I$50:I282))</f>
        <v>0</v>
      </c>
      <c r="L282" s="272">
        <f>IF(ISTEXT($M$4),"",SUM(J$50:J282))</f>
        <v>0</v>
      </c>
      <c r="M282" s="271">
        <f t="shared" si="39"/>
        <v>0</v>
      </c>
      <c r="N282" s="291" t="e">
        <f>IF(C282='Operating Assumptions'!$C$48,"Construction Finish","")</f>
        <v>#N/A</v>
      </c>
      <c r="O282" s="291"/>
      <c r="P282" s="291"/>
      <c r="Q282" s="291"/>
      <c r="R282" s="291"/>
      <c r="S282" s="291"/>
      <c r="T282" s="280"/>
      <c r="U282" s="280"/>
      <c r="V282" s="286"/>
      <c r="W282" s="286"/>
      <c r="X282" s="286"/>
      <c r="Y282" s="280"/>
      <c r="Z282" s="279"/>
      <c r="AA282" s="279"/>
      <c r="AB282" s="279"/>
    </row>
    <row r="283" spans="2:28" s="278" customFormat="1" ht="13.5" hidden="1" outlineLevel="1" x14ac:dyDescent="0.25">
      <c r="B283" s="270" t="e">
        <f>IF(AND($C283&gt;='TIF Loan Amortization'!$H$480,$C283&lt;='TIF Loan Amortization'!$I$480),'TIF Loan Amortization'!$G$480,IF(AND($C283&gt;='TIF Loan Amortization'!$H$481,$C283&lt;='TIF Loan Amortization'!I$481),'TIF Loan Amortization'!$G$481,IF(AND($C283&gt;='TIF Loan Amortization'!$H$482,$C283&lt;='TIF Loan Amortization'!I$482),'TIF Loan Amortization'!$G$482,IF(AND($C283&gt;='TIF Loan Amortization'!$H$483,$C283&lt;='TIF Loan Amortization'!I$483),'TIF Loan Amortization'!$G$483,IF(AND($C283&gt;='TIF Loan Amortization'!$H$484,$C283&lt;='TIF Loan Amortization'!I$484),'TIF Loan Amortization'!$G$484,IF(AND($C283&gt;='TIF Loan Amortization'!$H$485,$C283&lt;='TIF Loan Amortization'!I$485),'TIF Loan Amortization'!$G$485,IF(AND($C283&gt;='TIF Loan Amortization'!$H$486,$C283&lt;='TIF Loan Amortization'!I$486),'TIF Loan Amortization'!$G$486,IF(AND($C283&gt;='TIF Loan Amortization'!$H$487,$C283&lt;='TIF Loan Amortization'!I$487),'TIF Loan Amortization'!$G$487,IF(AND($C283&gt;='TIF Loan Amortization'!$H$488,$C283&lt;='TIF Loan Amortization'!I$488),'TIF Loan Amortization'!$G$488,IF(AND($C283&gt;='TIF Loan Amortization'!$H$489,$C283&lt;='TIF Loan Amortization'!I$489),'TIF Loan Amortization'!$G$489,IF(AND($C283&gt;='TIF Loan Amortization'!$H$490,$C283&lt;='TIF Loan Amortization'!I$490),'TIF Loan Amortization'!$G$490,IF(AND($C283&gt;='TIF Loan Amortization'!$H$491,$C283&lt;='TIF Loan Amortization'!I$491),'TIF Loan Amortization'!$G$491,IF(AND($C283&gt;='TIF Loan Amortization'!$H$492,$C283&lt;='TIF Loan Amortization'!I$492),'TIF Loan Amortization'!$G$492,IF(AND($C283&gt;='TIF Loan Amortization'!$H$493,$C283&lt;='TIF Loan Amortization'!I$493),'TIF Loan Amortization'!$G$493,IF(AND($C283&gt;='TIF Loan Amortization'!$H$494,$C283&lt;='TIF Loan Amortization'!I$494),'TIF Loan Amortization'!$G$494,IF(AND($C283&gt;='TIF Loan Amortization'!$H$495,$C283&lt;='TIF Loan Amortization'!I$495),'TIF Loan Amortization'!$G$495,IF(AND($C283&gt;='TIF Loan Amortization'!$H$496,$C283&lt;='TIF Loan Amortization'!I$496),'TIF Loan Amortization'!$G$496,IF(AND($C283&gt;='TIF Loan Amortization'!$H$497,$C283&lt;='TIF Loan Amortization'!I$497),'TIF Loan Amortization'!$G$497,IF(AND($C283&gt;='TIF Loan Amortization'!$H$498,$C283&lt;='TIF Loan Amortization'!I$498),'TIF Loan Amortization'!$G$498,IF(AND($C283&gt;='TIF Loan Amortization'!$H$499,$C283&lt;='TIF Loan Amortization'!I$499),'TIF Loan Amortization'!$G$499,IF(AND($C283&gt;='TIF Loan Amortization'!$H$500,$C283&lt;='TIF Loan Amortization'!I$500),'TIF Loan Amortization'!$G$500,IF(AND($C283&gt;='TIF Loan Amortization'!$H$501,$C283&lt;='TIF Loan Amortization'!I$501),'TIF Loan Amortization'!$G$501,IF(AND($C283&gt;='TIF Loan Amortization'!$H$502,$C283&lt;='TIF Loan Amortization'!I$502),'TIF Loan Amortization'!$G$502,IF(AND($C283&gt;='TIF Loan Amortization'!$H$503,$C283&lt;='TIF Loan Amortization'!I$503),'TIF Loan Amortization'!$G$503,IF(AND($C283&gt;='TIF Loan Amortization'!$H$504,$C283&lt;='TIF Loan Amortization'!I$504),'TIF Loan Amortization'!$G$504,IF(AND($C283&gt;='TIF Loan Amortization'!$H$505,$C283&lt;='TIF Loan Amortization'!I$505),'TIF Loan Amortization'!$G$505,IF(AND($C283&gt;='TIF Loan Amortization'!$H$506,$C283&lt;='TIF Loan Amortization'!I$506),'TIF Loan Amortization'!$G$506,IF(AND($C283&gt;='TIF Loan Amortization'!$H$507,$C283&lt;='TIF Loan Amortization'!I$507),'TIF Loan Amortization'!$G$507,IF(AND($C283&gt;='TIF Loan Amortization'!$H$508,$C283&lt;='TIF Loan Amortization'!I$508),'TIF Loan Amortization'!$G$508,IF(AND($C283&gt;='TIF Loan Amortization'!$H$509,$C283&lt;='TIF Loan Amortization'!I$509),'TIF Loan Amortization'!$G$509,IF(AND($C283&gt;='TIF Loan Amortization'!$H$510,$C283&lt;='TIF Loan Amortization'!I$510),'TIF Loan Amortization'!$G$510,IF(AND($C283&gt;='TIF Loan Amortization'!$H$511,$C283&lt;='TIF Loan Amortization'!I$511),'TIF Loan Amortization'!$G$511,IF(AND($C283&gt;='TIF Loan Amortization'!$H$512,$C283&lt;='TIF Loan Amortization'!I$512),'TIF Loan Amortization'!$G$512,IF(AND($C283&gt;='TIF Loan Amortization'!$H$513,$C283&lt;='TIF Loan Amortization'!I$513),'TIF Loan Amortization'!$G$513,IF(AND($C283&gt;='TIF Loan Amortization'!$H$514,$C283&lt;='TIF Loan Amortization'!I$514),'TIF Loan Amortization'!$G$514,IF(AND($C283&gt;='TIF Loan Amortization'!$H$515,$C283&lt;='TIF Loan Amortization'!I$515),'TIF Loan Amortization'!$G$515,IF(AND($C283&gt;='TIF Loan Amortization'!$H$516,$C283&lt;='TIF Loan Amortization'!I$516),'TIF Loan Amortization'!$G$516,IF(AND($C283&gt;='TIF Loan Amortization'!$H$517,$C283&lt;='TIF Loan Amortization'!I$517),'TIF Loan Amortization'!$G$517,IF(AND($C283&gt;='TIF Loan Amortization'!$H$518,$C283&lt;='TIF Loan Amortization'!I$518),'TIF Loan Amortization'!$G$518,IF(AND($C283&gt;='TIF Loan Amortization'!$H$519,$C283&lt;='TIF Loan Amortization'!I$519),'TIF Loan Amortization'!$G$519))))))))))))))))))))))))))))))))))))))))</f>
        <v>#N/A</v>
      </c>
      <c r="C283" s="269" t="e">
        <f t="shared" si="36"/>
        <v>#N/A</v>
      </c>
      <c r="D283" s="281" t="str">
        <f>IF($AG$427=1,$H$10+20,"")</f>
        <v/>
      </c>
      <c r="E283" s="274">
        <v>233</v>
      </c>
      <c r="F283" s="275" t="str">
        <f>VLOOKUP($AG$427,$AE$422:$AF$433,2)</f>
        <v>Aug</v>
      </c>
      <c r="G283" s="272">
        <f t="shared" si="37"/>
        <v>0</v>
      </c>
      <c r="H283" s="272">
        <f t="shared" si="40"/>
        <v>0</v>
      </c>
      <c r="I283" s="272">
        <f t="shared" si="41"/>
        <v>0</v>
      </c>
      <c r="J283" s="272">
        <f t="shared" si="38"/>
        <v>0</v>
      </c>
      <c r="K283" s="272">
        <f>IF(ISTEXT($M$4),"",SUM(I$50:I283))</f>
        <v>0</v>
      </c>
      <c r="L283" s="272">
        <f>IF(ISTEXT($M$4),"",SUM(J$50:J283))</f>
        <v>0</v>
      </c>
      <c r="M283" s="271">
        <f t="shared" si="39"/>
        <v>0</v>
      </c>
      <c r="N283" s="291" t="e">
        <f>IF(C283='Operating Assumptions'!$C$48,"Construction Finish","")</f>
        <v>#N/A</v>
      </c>
      <c r="O283" s="291"/>
      <c r="P283" s="291"/>
      <c r="Q283" s="291"/>
      <c r="R283" s="291"/>
      <c r="S283" s="291"/>
      <c r="T283" s="280"/>
      <c r="U283" s="280"/>
      <c r="V283" s="286"/>
      <c r="W283" s="286"/>
      <c r="X283" s="286"/>
      <c r="Y283" s="280"/>
      <c r="Z283" s="279"/>
      <c r="AA283" s="279"/>
      <c r="AB283" s="279"/>
    </row>
    <row r="284" spans="2:28" s="278" customFormat="1" ht="13.5" hidden="1" outlineLevel="1" x14ac:dyDescent="0.25">
      <c r="B284" s="270" t="e">
        <f>IF(AND($C284&gt;='TIF Loan Amortization'!$H$480,$C284&lt;='TIF Loan Amortization'!$I$480),'TIF Loan Amortization'!$G$480,IF(AND($C284&gt;='TIF Loan Amortization'!$H$481,$C284&lt;='TIF Loan Amortization'!I$481),'TIF Loan Amortization'!$G$481,IF(AND($C284&gt;='TIF Loan Amortization'!$H$482,$C284&lt;='TIF Loan Amortization'!I$482),'TIF Loan Amortization'!$G$482,IF(AND($C284&gt;='TIF Loan Amortization'!$H$483,$C284&lt;='TIF Loan Amortization'!I$483),'TIF Loan Amortization'!$G$483,IF(AND($C284&gt;='TIF Loan Amortization'!$H$484,$C284&lt;='TIF Loan Amortization'!I$484),'TIF Loan Amortization'!$G$484,IF(AND($C284&gt;='TIF Loan Amortization'!$H$485,$C284&lt;='TIF Loan Amortization'!I$485),'TIF Loan Amortization'!$G$485,IF(AND($C284&gt;='TIF Loan Amortization'!$H$486,$C284&lt;='TIF Loan Amortization'!I$486),'TIF Loan Amortization'!$G$486,IF(AND($C284&gt;='TIF Loan Amortization'!$H$487,$C284&lt;='TIF Loan Amortization'!I$487),'TIF Loan Amortization'!$G$487,IF(AND($C284&gt;='TIF Loan Amortization'!$H$488,$C284&lt;='TIF Loan Amortization'!I$488),'TIF Loan Amortization'!$G$488,IF(AND($C284&gt;='TIF Loan Amortization'!$H$489,$C284&lt;='TIF Loan Amortization'!I$489),'TIF Loan Amortization'!$G$489,IF(AND($C284&gt;='TIF Loan Amortization'!$H$490,$C284&lt;='TIF Loan Amortization'!I$490),'TIF Loan Amortization'!$G$490,IF(AND($C284&gt;='TIF Loan Amortization'!$H$491,$C284&lt;='TIF Loan Amortization'!I$491),'TIF Loan Amortization'!$G$491,IF(AND($C284&gt;='TIF Loan Amortization'!$H$492,$C284&lt;='TIF Loan Amortization'!I$492),'TIF Loan Amortization'!$G$492,IF(AND($C284&gt;='TIF Loan Amortization'!$H$493,$C284&lt;='TIF Loan Amortization'!I$493),'TIF Loan Amortization'!$G$493,IF(AND($C284&gt;='TIF Loan Amortization'!$H$494,$C284&lt;='TIF Loan Amortization'!I$494),'TIF Loan Amortization'!$G$494,IF(AND($C284&gt;='TIF Loan Amortization'!$H$495,$C284&lt;='TIF Loan Amortization'!I$495),'TIF Loan Amortization'!$G$495,IF(AND($C284&gt;='TIF Loan Amortization'!$H$496,$C284&lt;='TIF Loan Amortization'!I$496),'TIF Loan Amortization'!$G$496,IF(AND($C284&gt;='TIF Loan Amortization'!$H$497,$C284&lt;='TIF Loan Amortization'!I$497),'TIF Loan Amortization'!$G$497,IF(AND($C284&gt;='TIF Loan Amortization'!$H$498,$C284&lt;='TIF Loan Amortization'!I$498),'TIF Loan Amortization'!$G$498,IF(AND($C284&gt;='TIF Loan Amortization'!$H$499,$C284&lt;='TIF Loan Amortization'!I$499),'TIF Loan Amortization'!$G$499,IF(AND($C284&gt;='TIF Loan Amortization'!$H$500,$C284&lt;='TIF Loan Amortization'!I$500),'TIF Loan Amortization'!$G$500,IF(AND($C284&gt;='TIF Loan Amortization'!$H$501,$C284&lt;='TIF Loan Amortization'!I$501),'TIF Loan Amortization'!$G$501,IF(AND($C284&gt;='TIF Loan Amortization'!$H$502,$C284&lt;='TIF Loan Amortization'!I$502),'TIF Loan Amortization'!$G$502,IF(AND($C284&gt;='TIF Loan Amortization'!$H$503,$C284&lt;='TIF Loan Amortization'!I$503),'TIF Loan Amortization'!$G$503,IF(AND($C284&gt;='TIF Loan Amortization'!$H$504,$C284&lt;='TIF Loan Amortization'!I$504),'TIF Loan Amortization'!$G$504,IF(AND($C284&gt;='TIF Loan Amortization'!$H$505,$C284&lt;='TIF Loan Amortization'!I$505),'TIF Loan Amortization'!$G$505,IF(AND($C284&gt;='TIF Loan Amortization'!$H$506,$C284&lt;='TIF Loan Amortization'!I$506),'TIF Loan Amortization'!$G$506,IF(AND($C284&gt;='TIF Loan Amortization'!$H$507,$C284&lt;='TIF Loan Amortization'!I$507),'TIF Loan Amortization'!$G$507,IF(AND($C284&gt;='TIF Loan Amortization'!$H$508,$C284&lt;='TIF Loan Amortization'!I$508),'TIF Loan Amortization'!$G$508,IF(AND($C284&gt;='TIF Loan Amortization'!$H$509,$C284&lt;='TIF Loan Amortization'!I$509),'TIF Loan Amortization'!$G$509,IF(AND($C284&gt;='TIF Loan Amortization'!$H$510,$C284&lt;='TIF Loan Amortization'!I$510),'TIF Loan Amortization'!$G$510,IF(AND($C284&gt;='TIF Loan Amortization'!$H$511,$C284&lt;='TIF Loan Amortization'!I$511),'TIF Loan Amortization'!$G$511,IF(AND($C284&gt;='TIF Loan Amortization'!$H$512,$C284&lt;='TIF Loan Amortization'!I$512),'TIF Loan Amortization'!$G$512,IF(AND($C284&gt;='TIF Loan Amortization'!$H$513,$C284&lt;='TIF Loan Amortization'!I$513),'TIF Loan Amortization'!$G$513,IF(AND($C284&gt;='TIF Loan Amortization'!$H$514,$C284&lt;='TIF Loan Amortization'!I$514),'TIF Loan Amortization'!$G$514,IF(AND($C284&gt;='TIF Loan Amortization'!$H$515,$C284&lt;='TIF Loan Amortization'!I$515),'TIF Loan Amortization'!$G$515,IF(AND($C284&gt;='TIF Loan Amortization'!$H$516,$C284&lt;='TIF Loan Amortization'!I$516),'TIF Loan Amortization'!$G$516,IF(AND($C284&gt;='TIF Loan Amortization'!$H$517,$C284&lt;='TIF Loan Amortization'!I$517),'TIF Loan Amortization'!$G$517,IF(AND($C284&gt;='TIF Loan Amortization'!$H$518,$C284&lt;='TIF Loan Amortization'!I$518),'TIF Loan Amortization'!$G$518,IF(AND($C284&gt;='TIF Loan Amortization'!$H$519,$C284&lt;='TIF Loan Amortization'!I$519),'TIF Loan Amortization'!$G$519))))))))))))))))))))))))))))))))))))))))</f>
        <v>#N/A</v>
      </c>
      <c r="C284" s="269" t="e">
        <f t="shared" si="36"/>
        <v>#N/A</v>
      </c>
      <c r="D284" s="281" t="str">
        <f>IF($AG$428=1,$H$10+20,"")</f>
        <v/>
      </c>
      <c r="E284" s="274">
        <v>234</v>
      </c>
      <c r="F284" s="275" t="str">
        <f>VLOOKUP($AG$428,$AE$422:$AF$433,2)</f>
        <v>Sep</v>
      </c>
      <c r="G284" s="272">
        <f t="shared" si="37"/>
        <v>0</v>
      </c>
      <c r="H284" s="272">
        <f t="shared" si="40"/>
        <v>0</v>
      </c>
      <c r="I284" s="272">
        <f t="shared" si="41"/>
        <v>0</v>
      </c>
      <c r="J284" s="272">
        <f t="shared" si="38"/>
        <v>0</v>
      </c>
      <c r="K284" s="272">
        <f>IF(ISTEXT($M$4),"",SUM(I$50:I284))</f>
        <v>0</v>
      </c>
      <c r="L284" s="272">
        <f>IF(ISTEXT($M$4),"",SUM(J$50:J284))</f>
        <v>0</v>
      </c>
      <c r="M284" s="271">
        <f t="shared" si="39"/>
        <v>0</v>
      </c>
      <c r="N284" s="291" t="e">
        <f>IF(C284='Operating Assumptions'!$C$48,"Construction Finish","")</f>
        <v>#N/A</v>
      </c>
      <c r="O284" s="291"/>
      <c r="P284" s="291"/>
      <c r="Q284" s="291"/>
      <c r="R284" s="291"/>
      <c r="S284" s="291"/>
      <c r="T284" s="280"/>
      <c r="U284" s="280"/>
      <c r="V284" s="286"/>
      <c r="W284" s="286"/>
      <c r="X284" s="286"/>
      <c r="Y284" s="280"/>
      <c r="Z284" s="279"/>
      <c r="AA284" s="279"/>
      <c r="AB284" s="279"/>
    </row>
    <row r="285" spans="2:28" s="278" customFormat="1" ht="13.5" hidden="1" outlineLevel="1" x14ac:dyDescent="0.25">
      <c r="B285" s="270" t="e">
        <f>IF(AND($C285&gt;='TIF Loan Amortization'!$H$480,$C285&lt;='TIF Loan Amortization'!$I$480),'TIF Loan Amortization'!$G$480,IF(AND($C285&gt;='TIF Loan Amortization'!$H$481,$C285&lt;='TIF Loan Amortization'!I$481),'TIF Loan Amortization'!$G$481,IF(AND($C285&gt;='TIF Loan Amortization'!$H$482,$C285&lt;='TIF Loan Amortization'!I$482),'TIF Loan Amortization'!$G$482,IF(AND($C285&gt;='TIF Loan Amortization'!$H$483,$C285&lt;='TIF Loan Amortization'!I$483),'TIF Loan Amortization'!$G$483,IF(AND($C285&gt;='TIF Loan Amortization'!$H$484,$C285&lt;='TIF Loan Amortization'!I$484),'TIF Loan Amortization'!$G$484,IF(AND($C285&gt;='TIF Loan Amortization'!$H$485,$C285&lt;='TIF Loan Amortization'!I$485),'TIF Loan Amortization'!$G$485,IF(AND($C285&gt;='TIF Loan Amortization'!$H$486,$C285&lt;='TIF Loan Amortization'!I$486),'TIF Loan Amortization'!$G$486,IF(AND($C285&gt;='TIF Loan Amortization'!$H$487,$C285&lt;='TIF Loan Amortization'!I$487),'TIF Loan Amortization'!$G$487,IF(AND($C285&gt;='TIF Loan Amortization'!$H$488,$C285&lt;='TIF Loan Amortization'!I$488),'TIF Loan Amortization'!$G$488,IF(AND($C285&gt;='TIF Loan Amortization'!$H$489,$C285&lt;='TIF Loan Amortization'!I$489),'TIF Loan Amortization'!$G$489,IF(AND($C285&gt;='TIF Loan Amortization'!$H$490,$C285&lt;='TIF Loan Amortization'!I$490),'TIF Loan Amortization'!$G$490,IF(AND($C285&gt;='TIF Loan Amortization'!$H$491,$C285&lt;='TIF Loan Amortization'!I$491),'TIF Loan Amortization'!$G$491,IF(AND($C285&gt;='TIF Loan Amortization'!$H$492,$C285&lt;='TIF Loan Amortization'!I$492),'TIF Loan Amortization'!$G$492,IF(AND($C285&gt;='TIF Loan Amortization'!$H$493,$C285&lt;='TIF Loan Amortization'!I$493),'TIF Loan Amortization'!$G$493,IF(AND($C285&gt;='TIF Loan Amortization'!$H$494,$C285&lt;='TIF Loan Amortization'!I$494),'TIF Loan Amortization'!$G$494,IF(AND($C285&gt;='TIF Loan Amortization'!$H$495,$C285&lt;='TIF Loan Amortization'!I$495),'TIF Loan Amortization'!$G$495,IF(AND($C285&gt;='TIF Loan Amortization'!$H$496,$C285&lt;='TIF Loan Amortization'!I$496),'TIF Loan Amortization'!$G$496,IF(AND($C285&gt;='TIF Loan Amortization'!$H$497,$C285&lt;='TIF Loan Amortization'!I$497),'TIF Loan Amortization'!$G$497,IF(AND($C285&gt;='TIF Loan Amortization'!$H$498,$C285&lt;='TIF Loan Amortization'!I$498),'TIF Loan Amortization'!$G$498,IF(AND($C285&gt;='TIF Loan Amortization'!$H$499,$C285&lt;='TIF Loan Amortization'!I$499),'TIF Loan Amortization'!$G$499,IF(AND($C285&gt;='TIF Loan Amortization'!$H$500,$C285&lt;='TIF Loan Amortization'!I$500),'TIF Loan Amortization'!$G$500,IF(AND($C285&gt;='TIF Loan Amortization'!$H$501,$C285&lt;='TIF Loan Amortization'!I$501),'TIF Loan Amortization'!$G$501,IF(AND($C285&gt;='TIF Loan Amortization'!$H$502,$C285&lt;='TIF Loan Amortization'!I$502),'TIF Loan Amortization'!$G$502,IF(AND($C285&gt;='TIF Loan Amortization'!$H$503,$C285&lt;='TIF Loan Amortization'!I$503),'TIF Loan Amortization'!$G$503,IF(AND($C285&gt;='TIF Loan Amortization'!$H$504,$C285&lt;='TIF Loan Amortization'!I$504),'TIF Loan Amortization'!$G$504,IF(AND($C285&gt;='TIF Loan Amortization'!$H$505,$C285&lt;='TIF Loan Amortization'!I$505),'TIF Loan Amortization'!$G$505,IF(AND($C285&gt;='TIF Loan Amortization'!$H$506,$C285&lt;='TIF Loan Amortization'!I$506),'TIF Loan Amortization'!$G$506,IF(AND($C285&gt;='TIF Loan Amortization'!$H$507,$C285&lt;='TIF Loan Amortization'!I$507),'TIF Loan Amortization'!$G$507,IF(AND($C285&gt;='TIF Loan Amortization'!$H$508,$C285&lt;='TIF Loan Amortization'!I$508),'TIF Loan Amortization'!$G$508,IF(AND($C285&gt;='TIF Loan Amortization'!$H$509,$C285&lt;='TIF Loan Amortization'!I$509),'TIF Loan Amortization'!$G$509,IF(AND($C285&gt;='TIF Loan Amortization'!$H$510,$C285&lt;='TIF Loan Amortization'!I$510),'TIF Loan Amortization'!$G$510,IF(AND($C285&gt;='TIF Loan Amortization'!$H$511,$C285&lt;='TIF Loan Amortization'!I$511),'TIF Loan Amortization'!$G$511,IF(AND($C285&gt;='TIF Loan Amortization'!$H$512,$C285&lt;='TIF Loan Amortization'!I$512),'TIF Loan Amortization'!$G$512,IF(AND($C285&gt;='TIF Loan Amortization'!$H$513,$C285&lt;='TIF Loan Amortization'!I$513),'TIF Loan Amortization'!$G$513,IF(AND($C285&gt;='TIF Loan Amortization'!$H$514,$C285&lt;='TIF Loan Amortization'!I$514),'TIF Loan Amortization'!$G$514,IF(AND($C285&gt;='TIF Loan Amortization'!$H$515,$C285&lt;='TIF Loan Amortization'!I$515),'TIF Loan Amortization'!$G$515,IF(AND($C285&gt;='TIF Loan Amortization'!$H$516,$C285&lt;='TIF Loan Amortization'!I$516),'TIF Loan Amortization'!$G$516,IF(AND($C285&gt;='TIF Loan Amortization'!$H$517,$C285&lt;='TIF Loan Amortization'!I$517),'TIF Loan Amortization'!$G$517,IF(AND($C285&gt;='TIF Loan Amortization'!$H$518,$C285&lt;='TIF Loan Amortization'!I$518),'TIF Loan Amortization'!$G$518,IF(AND($C285&gt;='TIF Loan Amortization'!$H$519,$C285&lt;='TIF Loan Amortization'!I$519),'TIF Loan Amortization'!$G$519))))))))))))))))))))))))))))))))))))))))</f>
        <v>#N/A</v>
      </c>
      <c r="C285" s="269" t="e">
        <f t="shared" si="36"/>
        <v>#N/A</v>
      </c>
      <c r="D285" s="281" t="str">
        <f>IF($AG$429=1,$H$10+20,"")</f>
        <v/>
      </c>
      <c r="E285" s="274">
        <v>235</v>
      </c>
      <c r="F285" s="275" t="str">
        <f>VLOOKUP($AG$429,$AE$422:$AF$433,2)</f>
        <v>Oct</v>
      </c>
      <c r="G285" s="272">
        <f t="shared" si="37"/>
        <v>0</v>
      </c>
      <c r="H285" s="272">
        <f t="shared" si="40"/>
        <v>0</v>
      </c>
      <c r="I285" s="272">
        <f t="shared" si="41"/>
        <v>0</v>
      </c>
      <c r="J285" s="272">
        <f t="shared" si="38"/>
        <v>0</v>
      </c>
      <c r="K285" s="272">
        <f>IF(ISTEXT($M$4),"",SUM(I$50:I285))</f>
        <v>0</v>
      </c>
      <c r="L285" s="272">
        <f>IF(ISTEXT($M$4),"",SUM(J$50:J285))</f>
        <v>0</v>
      </c>
      <c r="M285" s="271">
        <f t="shared" si="39"/>
        <v>0</v>
      </c>
      <c r="N285" s="291" t="e">
        <f>IF(C285='Operating Assumptions'!$C$48,"Construction Finish","")</f>
        <v>#N/A</v>
      </c>
      <c r="O285" s="291"/>
      <c r="P285" s="291"/>
      <c r="Q285" s="291"/>
      <c r="R285" s="291"/>
      <c r="S285" s="291"/>
      <c r="T285" s="280"/>
      <c r="U285" s="280"/>
      <c r="V285" s="286"/>
      <c r="W285" s="286"/>
      <c r="X285" s="286"/>
      <c r="Y285" s="280"/>
      <c r="Z285" s="279"/>
      <c r="AA285" s="279"/>
      <c r="AB285" s="279"/>
    </row>
    <row r="286" spans="2:28" s="278" customFormat="1" ht="13.5" hidden="1" outlineLevel="1" x14ac:dyDescent="0.25">
      <c r="B286" s="270" t="e">
        <f>IF(AND($C286&gt;='TIF Loan Amortization'!$H$480,$C286&lt;='TIF Loan Amortization'!$I$480),'TIF Loan Amortization'!$G$480,IF(AND($C286&gt;='TIF Loan Amortization'!$H$481,$C286&lt;='TIF Loan Amortization'!I$481),'TIF Loan Amortization'!$G$481,IF(AND($C286&gt;='TIF Loan Amortization'!$H$482,$C286&lt;='TIF Loan Amortization'!I$482),'TIF Loan Amortization'!$G$482,IF(AND($C286&gt;='TIF Loan Amortization'!$H$483,$C286&lt;='TIF Loan Amortization'!I$483),'TIF Loan Amortization'!$G$483,IF(AND($C286&gt;='TIF Loan Amortization'!$H$484,$C286&lt;='TIF Loan Amortization'!I$484),'TIF Loan Amortization'!$G$484,IF(AND($C286&gt;='TIF Loan Amortization'!$H$485,$C286&lt;='TIF Loan Amortization'!I$485),'TIF Loan Amortization'!$G$485,IF(AND($C286&gt;='TIF Loan Amortization'!$H$486,$C286&lt;='TIF Loan Amortization'!I$486),'TIF Loan Amortization'!$G$486,IF(AND($C286&gt;='TIF Loan Amortization'!$H$487,$C286&lt;='TIF Loan Amortization'!I$487),'TIF Loan Amortization'!$G$487,IF(AND($C286&gt;='TIF Loan Amortization'!$H$488,$C286&lt;='TIF Loan Amortization'!I$488),'TIF Loan Amortization'!$G$488,IF(AND($C286&gt;='TIF Loan Amortization'!$H$489,$C286&lt;='TIF Loan Amortization'!I$489),'TIF Loan Amortization'!$G$489,IF(AND($C286&gt;='TIF Loan Amortization'!$H$490,$C286&lt;='TIF Loan Amortization'!I$490),'TIF Loan Amortization'!$G$490,IF(AND($C286&gt;='TIF Loan Amortization'!$H$491,$C286&lt;='TIF Loan Amortization'!I$491),'TIF Loan Amortization'!$G$491,IF(AND($C286&gt;='TIF Loan Amortization'!$H$492,$C286&lt;='TIF Loan Amortization'!I$492),'TIF Loan Amortization'!$G$492,IF(AND($C286&gt;='TIF Loan Amortization'!$H$493,$C286&lt;='TIF Loan Amortization'!I$493),'TIF Loan Amortization'!$G$493,IF(AND($C286&gt;='TIF Loan Amortization'!$H$494,$C286&lt;='TIF Loan Amortization'!I$494),'TIF Loan Amortization'!$G$494,IF(AND($C286&gt;='TIF Loan Amortization'!$H$495,$C286&lt;='TIF Loan Amortization'!I$495),'TIF Loan Amortization'!$G$495,IF(AND($C286&gt;='TIF Loan Amortization'!$H$496,$C286&lt;='TIF Loan Amortization'!I$496),'TIF Loan Amortization'!$G$496,IF(AND($C286&gt;='TIF Loan Amortization'!$H$497,$C286&lt;='TIF Loan Amortization'!I$497),'TIF Loan Amortization'!$G$497,IF(AND($C286&gt;='TIF Loan Amortization'!$H$498,$C286&lt;='TIF Loan Amortization'!I$498),'TIF Loan Amortization'!$G$498,IF(AND($C286&gt;='TIF Loan Amortization'!$H$499,$C286&lt;='TIF Loan Amortization'!I$499),'TIF Loan Amortization'!$G$499,IF(AND($C286&gt;='TIF Loan Amortization'!$H$500,$C286&lt;='TIF Loan Amortization'!I$500),'TIF Loan Amortization'!$G$500,IF(AND($C286&gt;='TIF Loan Amortization'!$H$501,$C286&lt;='TIF Loan Amortization'!I$501),'TIF Loan Amortization'!$G$501,IF(AND($C286&gt;='TIF Loan Amortization'!$H$502,$C286&lt;='TIF Loan Amortization'!I$502),'TIF Loan Amortization'!$G$502,IF(AND($C286&gt;='TIF Loan Amortization'!$H$503,$C286&lt;='TIF Loan Amortization'!I$503),'TIF Loan Amortization'!$G$503,IF(AND($C286&gt;='TIF Loan Amortization'!$H$504,$C286&lt;='TIF Loan Amortization'!I$504),'TIF Loan Amortization'!$G$504,IF(AND($C286&gt;='TIF Loan Amortization'!$H$505,$C286&lt;='TIF Loan Amortization'!I$505),'TIF Loan Amortization'!$G$505,IF(AND($C286&gt;='TIF Loan Amortization'!$H$506,$C286&lt;='TIF Loan Amortization'!I$506),'TIF Loan Amortization'!$G$506,IF(AND($C286&gt;='TIF Loan Amortization'!$H$507,$C286&lt;='TIF Loan Amortization'!I$507),'TIF Loan Amortization'!$G$507,IF(AND($C286&gt;='TIF Loan Amortization'!$H$508,$C286&lt;='TIF Loan Amortization'!I$508),'TIF Loan Amortization'!$G$508,IF(AND($C286&gt;='TIF Loan Amortization'!$H$509,$C286&lt;='TIF Loan Amortization'!I$509),'TIF Loan Amortization'!$G$509,IF(AND($C286&gt;='TIF Loan Amortization'!$H$510,$C286&lt;='TIF Loan Amortization'!I$510),'TIF Loan Amortization'!$G$510,IF(AND($C286&gt;='TIF Loan Amortization'!$H$511,$C286&lt;='TIF Loan Amortization'!I$511),'TIF Loan Amortization'!$G$511,IF(AND($C286&gt;='TIF Loan Amortization'!$H$512,$C286&lt;='TIF Loan Amortization'!I$512),'TIF Loan Amortization'!$G$512,IF(AND($C286&gt;='TIF Loan Amortization'!$H$513,$C286&lt;='TIF Loan Amortization'!I$513),'TIF Loan Amortization'!$G$513,IF(AND($C286&gt;='TIF Loan Amortization'!$H$514,$C286&lt;='TIF Loan Amortization'!I$514),'TIF Loan Amortization'!$G$514,IF(AND($C286&gt;='TIF Loan Amortization'!$H$515,$C286&lt;='TIF Loan Amortization'!I$515),'TIF Loan Amortization'!$G$515,IF(AND($C286&gt;='TIF Loan Amortization'!$H$516,$C286&lt;='TIF Loan Amortization'!I$516),'TIF Loan Amortization'!$G$516,IF(AND($C286&gt;='TIF Loan Amortization'!$H$517,$C286&lt;='TIF Loan Amortization'!I$517),'TIF Loan Amortization'!$G$517,IF(AND($C286&gt;='TIF Loan Amortization'!$H$518,$C286&lt;='TIF Loan Amortization'!I$518),'TIF Loan Amortization'!$G$518,IF(AND($C286&gt;='TIF Loan Amortization'!$H$519,$C286&lt;='TIF Loan Amortization'!I$519),'TIF Loan Amortization'!$G$519))))))))))))))))))))))))))))))))))))))))</f>
        <v>#N/A</v>
      </c>
      <c r="C286" s="269" t="e">
        <f t="shared" si="36"/>
        <v>#N/A</v>
      </c>
      <c r="D286" s="281" t="str">
        <f>IF($AG$430=1,$H$10+20,"")</f>
        <v/>
      </c>
      <c r="E286" s="274">
        <v>236</v>
      </c>
      <c r="F286" s="275" t="str">
        <f>VLOOKUP($AG$430,$AE$422:$AF$433,2)</f>
        <v>Nov</v>
      </c>
      <c r="G286" s="272">
        <f t="shared" si="37"/>
        <v>0</v>
      </c>
      <c r="H286" s="272">
        <f t="shared" si="40"/>
        <v>0</v>
      </c>
      <c r="I286" s="272">
        <f t="shared" si="41"/>
        <v>0</v>
      </c>
      <c r="J286" s="272">
        <f t="shared" si="38"/>
        <v>0</v>
      </c>
      <c r="K286" s="272">
        <f>IF(ISTEXT($M$4),"",SUM(I$50:I286))</f>
        <v>0</v>
      </c>
      <c r="L286" s="272">
        <f>IF(ISTEXT($M$4),"",SUM(J$50:J286))</f>
        <v>0</v>
      </c>
      <c r="M286" s="271">
        <f t="shared" si="39"/>
        <v>0</v>
      </c>
      <c r="N286" s="291" t="e">
        <f>IF(C286='Operating Assumptions'!$C$48,"Construction Finish","")</f>
        <v>#N/A</v>
      </c>
      <c r="O286" s="291"/>
      <c r="P286" s="291"/>
      <c r="Q286" s="291"/>
      <c r="R286" s="291"/>
      <c r="S286" s="291"/>
      <c r="T286" s="280"/>
      <c r="U286" s="280"/>
      <c r="V286" s="286"/>
      <c r="W286" s="286"/>
      <c r="X286" s="286"/>
      <c r="Y286" s="280"/>
      <c r="Z286" s="279"/>
      <c r="AA286" s="279"/>
      <c r="AB286" s="279"/>
    </row>
    <row r="287" spans="2:28" s="278" customFormat="1" ht="13.5" hidden="1" outlineLevel="1" x14ac:dyDescent="0.25">
      <c r="B287" s="270" t="e">
        <f>IF(AND($C287&gt;='TIF Loan Amortization'!$H$480,$C287&lt;='TIF Loan Amortization'!$I$480),'TIF Loan Amortization'!$G$480,IF(AND($C287&gt;='TIF Loan Amortization'!$H$481,$C287&lt;='TIF Loan Amortization'!I$481),'TIF Loan Amortization'!$G$481,IF(AND($C287&gt;='TIF Loan Amortization'!$H$482,$C287&lt;='TIF Loan Amortization'!I$482),'TIF Loan Amortization'!$G$482,IF(AND($C287&gt;='TIF Loan Amortization'!$H$483,$C287&lt;='TIF Loan Amortization'!I$483),'TIF Loan Amortization'!$G$483,IF(AND($C287&gt;='TIF Loan Amortization'!$H$484,$C287&lt;='TIF Loan Amortization'!I$484),'TIF Loan Amortization'!$G$484,IF(AND($C287&gt;='TIF Loan Amortization'!$H$485,$C287&lt;='TIF Loan Amortization'!I$485),'TIF Loan Amortization'!$G$485,IF(AND($C287&gt;='TIF Loan Amortization'!$H$486,$C287&lt;='TIF Loan Amortization'!I$486),'TIF Loan Amortization'!$G$486,IF(AND($C287&gt;='TIF Loan Amortization'!$H$487,$C287&lt;='TIF Loan Amortization'!I$487),'TIF Loan Amortization'!$G$487,IF(AND($C287&gt;='TIF Loan Amortization'!$H$488,$C287&lt;='TIF Loan Amortization'!I$488),'TIF Loan Amortization'!$G$488,IF(AND($C287&gt;='TIF Loan Amortization'!$H$489,$C287&lt;='TIF Loan Amortization'!I$489),'TIF Loan Amortization'!$G$489,IF(AND($C287&gt;='TIF Loan Amortization'!$H$490,$C287&lt;='TIF Loan Amortization'!I$490),'TIF Loan Amortization'!$G$490,IF(AND($C287&gt;='TIF Loan Amortization'!$H$491,$C287&lt;='TIF Loan Amortization'!I$491),'TIF Loan Amortization'!$G$491,IF(AND($C287&gt;='TIF Loan Amortization'!$H$492,$C287&lt;='TIF Loan Amortization'!I$492),'TIF Loan Amortization'!$G$492,IF(AND($C287&gt;='TIF Loan Amortization'!$H$493,$C287&lt;='TIF Loan Amortization'!I$493),'TIF Loan Amortization'!$G$493,IF(AND($C287&gt;='TIF Loan Amortization'!$H$494,$C287&lt;='TIF Loan Amortization'!I$494),'TIF Loan Amortization'!$G$494,IF(AND($C287&gt;='TIF Loan Amortization'!$H$495,$C287&lt;='TIF Loan Amortization'!I$495),'TIF Loan Amortization'!$G$495,IF(AND($C287&gt;='TIF Loan Amortization'!$H$496,$C287&lt;='TIF Loan Amortization'!I$496),'TIF Loan Amortization'!$G$496,IF(AND($C287&gt;='TIF Loan Amortization'!$H$497,$C287&lt;='TIF Loan Amortization'!I$497),'TIF Loan Amortization'!$G$497,IF(AND($C287&gt;='TIF Loan Amortization'!$H$498,$C287&lt;='TIF Loan Amortization'!I$498),'TIF Loan Amortization'!$G$498,IF(AND($C287&gt;='TIF Loan Amortization'!$H$499,$C287&lt;='TIF Loan Amortization'!I$499),'TIF Loan Amortization'!$G$499,IF(AND($C287&gt;='TIF Loan Amortization'!$H$500,$C287&lt;='TIF Loan Amortization'!I$500),'TIF Loan Amortization'!$G$500,IF(AND($C287&gt;='TIF Loan Amortization'!$H$501,$C287&lt;='TIF Loan Amortization'!I$501),'TIF Loan Amortization'!$G$501,IF(AND($C287&gt;='TIF Loan Amortization'!$H$502,$C287&lt;='TIF Loan Amortization'!I$502),'TIF Loan Amortization'!$G$502,IF(AND($C287&gt;='TIF Loan Amortization'!$H$503,$C287&lt;='TIF Loan Amortization'!I$503),'TIF Loan Amortization'!$G$503,IF(AND($C287&gt;='TIF Loan Amortization'!$H$504,$C287&lt;='TIF Loan Amortization'!I$504),'TIF Loan Amortization'!$G$504,IF(AND($C287&gt;='TIF Loan Amortization'!$H$505,$C287&lt;='TIF Loan Amortization'!I$505),'TIF Loan Amortization'!$G$505,IF(AND($C287&gt;='TIF Loan Amortization'!$H$506,$C287&lt;='TIF Loan Amortization'!I$506),'TIF Loan Amortization'!$G$506,IF(AND($C287&gt;='TIF Loan Amortization'!$H$507,$C287&lt;='TIF Loan Amortization'!I$507),'TIF Loan Amortization'!$G$507,IF(AND($C287&gt;='TIF Loan Amortization'!$H$508,$C287&lt;='TIF Loan Amortization'!I$508),'TIF Loan Amortization'!$G$508,IF(AND($C287&gt;='TIF Loan Amortization'!$H$509,$C287&lt;='TIF Loan Amortization'!I$509),'TIF Loan Amortization'!$G$509,IF(AND($C287&gt;='TIF Loan Amortization'!$H$510,$C287&lt;='TIF Loan Amortization'!I$510),'TIF Loan Amortization'!$G$510,IF(AND($C287&gt;='TIF Loan Amortization'!$H$511,$C287&lt;='TIF Loan Amortization'!I$511),'TIF Loan Amortization'!$G$511,IF(AND($C287&gt;='TIF Loan Amortization'!$H$512,$C287&lt;='TIF Loan Amortization'!I$512),'TIF Loan Amortization'!$G$512,IF(AND($C287&gt;='TIF Loan Amortization'!$H$513,$C287&lt;='TIF Loan Amortization'!I$513),'TIF Loan Amortization'!$G$513,IF(AND($C287&gt;='TIF Loan Amortization'!$H$514,$C287&lt;='TIF Loan Amortization'!I$514),'TIF Loan Amortization'!$G$514,IF(AND($C287&gt;='TIF Loan Amortization'!$H$515,$C287&lt;='TIF Loan Amortization'!I$515),'TIF Loan Amortization'!$G$515,IF(AND($C287&gt;='TIF Loan Amortization'!$H$516,$C287&lt;='TIF Loan Amortization'!I$516),'TIF Loan Amortization'!$G$516,IF(AND($C287&gt;='TIF Loan Amortization'!$H$517,$C287&lt;='TIF Loan Amortization'!I$517),'TIF Loan Amortization'!$G$517,IF(AND($C287&gt;='TIF Loan Amortization'!$H$518,$C287&lt;='TIF Loan Amortization'!I$518),'TIF Loan Amortization'!$G$518,IF(AND($C287&gt;='TIF Loan Amortization'!$H$519,$C287&lt;='TIF Loan Amortization'!I$519),'TIF Loan Amortization'!$G$519))))))))))))))))))))))))))))))))))))))))</f>
        <v>#N/A</v>
      </c>
      <c r="C287" s="269" t="e">
        <f t="shared" si="36"/>
        <v>#N/A</v>
      </c>
      <c r="D287" s="281" t="str">
        <f>IF($AG$431=1,$H$10+20,"")</f>
        <v/>
      </c>
      <c r="E287" s="274">
        <v>237</v>
      </c>
      <c r="F287" s="275" t="str">
        <f>VLOOKUP($AG$431,$AE$422:$AF$433,2)</f>
        <v>Dec</v>
      </c>
      <c r="G287" s="272">
        <f t="shared" si="37"/>
        <v>0</v>
      </c>
      <c r="H287" s="272">
        <f t="shared" si="40"/>
        <v>0</v>
      </c>
      <c r="I287" s="272">
        <f t="shared" si="41"/>
        <v>0</v>
      </c>
      <c r="J287" s="272">
        <f t="shared" si="38"/>
        <v>0</v>
      </c>
      <c r="K287" s="272">
        <f>IF(ISTEXT($M$4),"",SUM(I$50:I287))</f>
        <v>0</v>
      </c>
      <c r="L287" s="272">
        <f>IF(ISTEXT($M$4),"",SUM(J$50:J287))</f>
        <v>0</v>
      </c>
      <c r="M287" s="271">
        <f t="shared" si="39"/>
        <v>0</v>
      </c>
      <c r="N287" s="291" t="e">
        <f>IF(C287='Operating Assumptions'!$C$48,"Construction Finish","")</f>
        <v>#N/A</v>
      </c>
      <c r="O287" s="291"/>
      <c r="P287" s="291"/>
      <c r="Q287" s="291"/>
      <c r="R287" s="291"/>
      <c r="S287" s="291"/>
      <c r="T287" s="280"/>
      <c r="U287" s="280"/>
      <c r="V287" s="286"/>
      <c r="W287" s="286"/>
      <c r="X287" s="286"/>
      <c r="Y287" s="280"/>
      <c r="Z287" s="279"/>
      <c r="AA287" s="279"/>
      <c r="AB287" s="279"/>
    </row>
    <row r="288" spans="2:28" s="278" customFormat="1" ht="13.5" hidden="1" outlineLevel="1" x14ac:dyDescent="0.25">
      <c r="B288" s="270" t="e">
        <f>IF(AND($C288&gt;='TIF Loan Amortization'!$H$480,$C288&lt;='TIF Loan Amortization'!$I$480),'TIF Loan Amortization'!$G$480,IF(AND($C288&gt;='TIF Loan Amortization'!$H$481,$C288&lt;='TIF Loan Amortization'!I$481),'TIF Loan Amortization'!$G$481,IF(AND($C288&gt;='TIF Loan Amortization'!$H$482,$C288&lt;='TIF Loan Amortization'!I$482),'TIF Loan Amortization'!$G$482,IF(AND($C288&gt;='TIF Loan Amortization'!$H$483,$C288&lt;='TIF Loan Amortization'!I$483),'TIF Loan Amortization'!$G$483,IF(AND($C288&gt;='TIF Loan Amortization'!$H$484,$C288&lt;='TIF Loan Amortization'!I$484),'TIF Loan Amortization'!$G$484,IF(AND($C288&gt;='TIF Loan Amortization'!$H$485,$C288&lt;='TIF Loan Amortization'!I$485),'TIF Loan Amortization'!$G$485,IF(AND($C288&gt;='TIF Loan Amortization'!$H$486,$C288&lt;='TIF Loan Amortization'!I$486),'TIF Loan Amortization'!$G$486,IF(AND($C288&gt;='TIF Loan Amortization'!$H$487,$C288&lt;='TIF Loan Amortization'!I$487),'TIF Loan Amortization'!$G$487,IF(AND($C288&gt;='TIF Loan Amortization'!$H$488,$C288&lt;='TIF Loan Amortization'!I$488),'TIF Loan Amortization'!$G$488,IF(AND($C288&gt;='TIF Loan Amortization'!$H$489,$C288&lt;='TIF Loan Amortization'!I$489),'TIF Loan Amortization'!$G$489,IF(AND($C288&gt;='TIF Loan Amortization'!$H$490,$C288&lt;='TIF Loan Amortization'!I$490),'TIF Loan Amortization'!$G$490,IF(AND($C288&gt;='TIF Loan Amortization'!$H$491,$C288&lt;='TIF Loan Amortization'!I$491),'TIF Loan Amortization'!$G$491,IF(AND($C288&gt;='TIF Loan Amortization'!$H$492,$C288&lt;='TIF Loan Amortization'!I$492),'TIF Loan Amortization'!$G$492,IF(AND($C288&gt;='TIF Loan Amortization'!$H$493,$C288&lt;='TIF Loan Amortization'!I$493),'TIF Loan Amortization'!$G$493,IF(AND($C288&gt;='TIF Loan Amortization'!$H$494,$C288&lt;='TIF Loan Amortization'!I$494),'TIF Loan Amortization'!$G$494,IF(AND($C288&gt;='TIF Loan Amortization'!$H$495,$C288&lt;='TIF Loan Amortization'!I$495),'TIF Loan Amortization'!$G$495,IF(AND($C288&gt;='TIF Loan Amortization'!$H$496,$C288&lt;='TIF Loan Amortization'!I$496),'TIF Loan Amortization'!$G$496,IF(AND($C288&gt;='TIF Loan Amortization'!$H$497,$C288&lt;='TIF Loan Amortization'!I$497),'TIF Loan Amortization'!$G$497,IF(AND($C288&gt;='TIF Loan Amortization'!$H$498,$C288&lt;='TIF Loan Amortization'!I$498),'TIF Loan Amortization'!$G$498,IF(AND($C288&gt;='TIF Loan Amortization'!$H$499,$C288&lt;='TIF Loan Amortization'!I$499),'TIF Loan Amortization'!$G$499,IF(AND($C288&gt;='TIF Loan Amortization'!$H$500,$C288&lt;='TIF Loan Amortization'!I$500),'TIF Loan Amortization'!$G$500,IF(AND($C288&gt;='TIF Loan Amortization'!$H$501,$C288&lt;='TIF Loan Amortization'!I$501),'TIF Loan Amortization'!$G$501,IF(AND($C288&gt;='TIF Loan Amortization'!$H$502,$C288&lt;='TIF Loan Amortization'!I$502),'TIF Loan Amortization'!$G$502,IF(AND($C288&gt;='TIF Loan Amortization'!$H$503,$C288&lt;='TIF Loan Amortization'!I$503),'TIF Loan Amortization'!$G$503,IF(AND($C288&gt;='TIF Loan Amortization'!$H$504,$C288&lt;='TIF Loan Amortization'!I$504),'TIF Loan Amortization'!$G$504,IF(AND($C288&gt;='TIF Loan Amortization'!$H$505,$C288&lt;='TIF Loan Amortization'!I$505),'TIF Loan Amortization'!$G$505,IF(AND($C288&gt;='TIF Loan Amortization'!$H$506,$C288&lt;='TIF Loan Amortization'!I$506),'TIF Loan Amortization'!$G$506,IF(AND($C288&gt;='TIF Loan Amortization'!$H$507,$C288&lt;='TIF Loan Amortization'!I$507),'TIF Loan Amortization'!$G$507,IF(AND($C288&gt;='TIF Loan Amortization'!$H$508,$C288&lt;='TIF Loan Amortization'!I$508),'TIF Loan Amortization'!$G$508,IF(AND($C288&gt;='TIF Loan Amortization'!$H$509,$C288&lt;='TIF Loan Amortization'!I$509),'TIF Loan Amortization'!$G$509,IF(AND($C288&gt;='TIF Loan Amortization'!$H$510,$C288&lt;='TIF Loan Amortization'!I$510),'TIF Loan Amortization'!$G$510,IF(AND($C288&gt;='TIF Loan Amortization'!$H$511,$C288&lt;='TIF Loan Amortization'!I$511),'TIF Loan Amortization'!$G$511,IF(AND($C288&gt;='TIF Loan Amortization'!$H$512,$C288&lt;='TIF Loan Amortization'!I$512),'TIF Loan Amortization'!$G$512,IF(AND($C288&gt;='TIF Loan Amortization'!$H$513,$C288&lt;='TIF Loan Amortization'!I$513),'TIF Loan Amortization'!$G$513,IF(AND($C288&gt;='TIF Loan Amortization'!$H$514,$C288&lt;='TIF Loan Amortization'!I$514),'TIF Loan Amortization'!$G$514,IF(AND($C288&gt;='TIF Loan Amortization'!$H$515,$C288&lt;='TIF Loan Amortization'!I$515),'TIF Loan Amortization'!$G$515,IF(AND($C288&gt;='TIF Loan Amortization'!$H$516,$C288&lt;='TIF Loan Amortization'!I$516),'TIF Loan Amortization'!$G$516,IF(AND($C288&gt;='TIF Loan Amortization'!$H$517,$C288&lt;='TIF Loan Amortization'!I$517),'TIF Loan Amortization'!$G$517,IF(AND($C288&gt;='TIF Loan Amortization'!$H$518,$C288&lt;='TIF Loan Amortization'!I$518),'TIF Loan Amortization'!$G$518,IF(AND($C288&gt;='TIF Loan Amortization'!$H$519,$C288&lt;='TIF Loan Amortization'!I$519),'TIF Loan Amortization'!$G$519))))))))))))))))))))))))))))))))))))))))</f>
        <v>#N/A</v>
      </c>
      <c r="C288" s="269" t="e">
        <f t="shared" si="36"/>
        <v>#N/A</v>
      </c>
      <c r="D288" s="281">
        <f>IF($AG$432=1,$H$10+20,"")</f>
        <v>2045</v>
      </c>
      <c r="E288" s="274">
        <v>238</v>
      </c>
      <c r="F288" s="273" t="str">
        <f>VLOOKUP($AG$432,$AE$422:$AF$433,2)</f>
        <v>Jan</v>
      </c>
      <c r="G288" s="272">
        <f t="shared" si="37"/>
        <v>0</v>
      </c>
      <c r="H288" s="272">
        <f t="shared" si="40"/>
        <v>0</v>
      </c>
      <c r="I288" s="272">
        <f t="shared" si="41"/>
        <v>0</v>
      </c>
      <c r="J288" s="272">
        <f t="shared" si="38"/>
        <v>0</v>
      </c>
      <c r="K288" s="272">
        <f>IF(ISTEXT($M$4),"",SUM(I$50:I288))</f>
        <v>0</v>
      </c>
      <c r="L288" s="272">
        <f>IF(ISTEXT($M$4),"",SUM(J$50:J288))</f>
        <v>0</v>
      </c>
      <c r="M288" s="271">
        <f t="shared" si="39"/>
        <v>0</v>
      </c>
      <c r="N288" s="291" t="e">
        <f>IF(C288='Operating Assumptions'!$C$48,"Construction Finish","")</f>
        <v>#N/A</v>
      </c>
      <c r="O288" s="291"/>
      <c r="P288" s="291"/>
      <c r="Q288" s="291"/>
      <c r="R288" s="291"/>
      <c r="S288" s="291"/>
      <c r="T288" s="280"/>
      <c r="U288" s="280"/>
      <c r="V288" s="286"/>
      <c r="W288" s="286"/>
      <c r="X288" s="286"/>
      <c r="Y288" s="280"/>
      <c r="Z288" s="279"/>
      <c r="AA288" s="279"/>
      <c r="AB288" s="279"/>
    </row>
    <row r="289" spans="2:28" s="278" customFormat="1" ht="13.5" hidden="1" outlineLevel="1" x14ac:dyDescent="0.25">
      <c r="B289" s="270" t="e">
        <f>IF(AND($C289&gt;='TIF Loan Amortization'!$H$480,$C289&lt;='TIF Loan Amortization'!$I$480),'TIF Loan Amortization'!$G$480,IF(AND($C289&gt;='TIF Loan Amortization'!$H$481,$C289&lt;='TIF Loan Amortization'!I$481),'TIF Loan Amortization'!$G$481,IF(AND($C289&gt;='TIF Loan Amortization'!$H$482,$C289&lt;='TIF Loan Amortization'!I$482),'TIF Loan Amortization'!$G$482,IF(AND($C289&gt;='TIF Loan Amortization'!$H$483,$C289&lt;='TIF Loan Amortization'!I$483),'TIF Loan Amortization'!$G$483,IF(AND($C289&gt;='TIF Loan Amortization'!$H$484,$C289&lt;='TIF Loan Amortization'!I$484),'TIF Loan Amortization'!$G$484,IF(AND($C289&gt;='TIF Loan Amortization'!$H$485,$C289&lt;='TIF Loan Amortization'!I$485),'TIF Loan Amortization'!$G$485,IF(AND($C289&gt;='TIF Loan Amortization'!$H$486,$C289&lt;='TIF Loan Amortization'!I$486),'TIF Loan Amortization'!$G$486,IF(AND($C289&gt;='TIF Loan Amortization'!$H$487,$C289&lt;='TIF Loan Amortization'!I$487),'TIF Loan Amortization'!$G$487,IF(AND($C289&gt;='TIF Loan Amortization'!$H$488,$C289&lt;='TIF Loan Amortization'!I$488),'TIF Loan Amortization'!$G$488,IF(AND($C289&gt;='TIF Loan Amortization'!$H$489,$C289&lt;='TIF Loan Amortization'!I$489),'TIF Loan Amortization'!$G$489,IF(AND($C289&gt;='TIF Loan Amortization'!$H$490,$C289&lt;='TIF Loan Amortization'!I$490),'TIF Loan Amortization'!$G$490,IF(AND($C289&gt;='TIF Loan Amortization'!$H$491,$C289&lt;='TIF Loan Amortization'!I$491),'TIF Loan Amortization'!$G$491,IF(AND($C289&gt;='TIF Loan Amortization'!$H$492,$C289&lt;='TIF Loan Amortization'!I$492),'TIF Loan Amortization'!$G$492,IF(AND($C289&gt;='TIF Loan Amortization'!$H$493,$C289&lt;='TIF Loan Amortization'!I$493),'TIF Loan Amortization'!$G$493,IF(AND($C289&gt;='TIF Loan Amortization'!$H$494,$C289&lt;='TIF Loan Amortization'!I$494),'TIF Loan Amortization'!$G$494,IF(AND($C289&gt;='TIF Loan Amortization'!$H$495,$C289&lt;='TIF Loan Amortization'!I$495),'TIF Loan Amortization'!$G$495,IF(AND($C289&gt;='TIF Loan Amortization'!$H$496,$C289&lt;='TIF Loan Amortization'!I$496),'TIF Loan Amortization'!$G$496,IF(AND($C289&gt;='TIF Loan Amortization'!$H$497,$C289&lt;='TIF Loan Amortization'!I$497),'TIF Loan Amortization'!$G$497,IF(AND($C289&gt;='TIF Loan Amortization'!$H$498,$C289&lt;='TIF Loan Amortization'!I$498),'TIF Loan Amortization'!$G$498,IF(AND($C289&gt;='TIF Loan Amortization'!$H$499,$C289&lt;='TIF Loan Amortization'!I$499),'TIF Loan Amortization'!$G$499,IF(AND($C289&gt;='TIF Loan Amortization'!$H$500,$C289&lt;='TIF Loan Amortization'!I$500),'TIF Loan Amortization'!$G$500,IF(AND($C289&gt;='TIF Loan Amortization'!$H$501,$C289&lt;='TIF Loan Amortization'!I$501),'TIF Loan Amortization'!$G$501,IF(AND($C289&gt;='TIF Loan Amortization'!$H$502,$C289&lt;='TIF Loan Amortization'!I$502),'TIF Loan Amortization'!$G$502,IF(AND($C289&gt;='TIF Loan Amortization'!$H$503,$C289&lt;='TIF Loan Amortization'!I$503),'TIF Loan Amortization'!$G$503,IF(AND($C289&gt;='TIF Loan Amortization'!$H$504,$C289&lt;='TIF Loan Amortization'!I$504),'TIF Loan Amortization'!$G$504,IF(AND($C289&gt;='TIF Loan Amortization'!$H$505,$C289&lt;='TIF Loan Amortization'!I$505),'TIF Loan Amortization'!$G$505,IF(AND($C289&gt;='TIF Loan Amortization'!$H$506,$C289&lt;='TIF Loan Amortization'!I$506),'TIF Loan Amortization'!$G$506,IF(AND($C289&gt;='TIF Loan Amortization'!$H$507,$C289&lt;='TIF Loan Amortization'!I$507),'TIF Loan Amortization'!$G$507,IF(AND($C289&gt;='TIF Loan Amortization'!$H$508,$C289&lt;='TIF Loan Amortization'!I$508),'TIF Loan Amortization'!$G$508,IF(AND($C289&gt;='TIF Loan Amortization'!$H$509,$C289&lt;='TIF Loan Amortization'!I$509),'TIF Loan Amortization'!$G$509,IF(AND($C289&gt;='TIF Loan Amortization'!$H$510,$C289&lt;='TIF Loan Amortization'!I$510),'TIF Loan Amortization'!$G$510,IF(AND($C289&gt;='TIF Loan Amortization'!$H$511,$C289&lt;='TIF Loan Amortization'!I$511),'TIF Loan Amortization'!$G$511,IF(AND($C289&gt;='TIF Loan Amortization'!$H$512,$C289&lt;='TIF Loan Amortization'!I$512),'TIF Loan Amortization'!$G$512,IF(AND($C289&gt;='TIF Loan Amortization'!$H$513,$C289&lt;='TIF Loan Amortization'!I$513),'TIF Loan Amortization'!$G$513,IF(AND($C289&gt;='TIF Loan Amortization'!$H$514,$C289&lt;='TIF Loan Amortization'!I$514),'TIF Loan Amortization'!$G$514,IF(AND($C289&gt;='TIF Loan Amortization'!$H$515,$C289&lt;='TIF Loan Amortization'!I$515),'TIF Loan Amortization'!$G$515,IF(AND($C289&gt;='TIF Loan Amortization'!$H$516,$C289&lt;='TIF Loan Amortization'!I$516),'TIF Loan Amortization'!$G$516,IF(AND($C289&gt;='TIF Loan Amortization'!$H$517,$C289&lt;='TIF Loan Amortization'!I$517),'TIF Loan Amortization'!$G$517,IF(AND($C289&gt;='TIF Loan Amortization'!$H$518,$C289&lt;='TIF Loan Amortization'!I$518),'TIF Loan Amortization'!$G$518,IF(AND($C289&gt;='TIF Loan Amortization'!$H$519,$C289&lt;='TIF Loan Amortization'!I$519),'TIF Loan Amortization'!$G$519))))))))))))))))))))))))))))))))))))))))</f>
        <v>#N/A</v>
      </c>
      <c r="C289" s="269" t="e">
        <f t="shared" si="36"/>
        <v>#N/A</v>
      </c>
      <c r="D289" s="281" t="str">
        <f>IF($AG$433=1,$H$10+20,"")</f>
        <v/>
      </c>
      <c r="E289" s="274">
        <v>239</v>
      </c>
      <c r="F289" s="273" t="str">
        <f>VLOOKUP($AG$433,$AE$422:$AF$433,2)</f>
        <v>Feb</v>
      </c>
      <c r="G289" s="272">
        <f t="shared" si="37"/>
        <v>0</v>
      </c>
      <c r="H289" s="272">
        <f t="shared" si="40"/>
        <v>0</v>
      </c>
      <c r="I289" s="272">
        <f t="shared" si="41"/>
        <v>0</v>
      </c>
      <c r="J289" s="272">
        <f t="shared" si="38"/>
        <v>0</v>
      </c>
      <c r="K289" s="272">
        <f>IF(ISTEXT($M$4),"",SUM(I$50:I289))</f>
        <v>0</v>
      </c>
      <c r="L289" s="272">
        <f>IF(ISTEXT($M$4),"",SUM(J$50:J289))</f>
        <v>0</v>
      </c>
      <c r="M289" s="271">
        <f t="shared" si="39"/>
        <v>0</v>
      </c>
      <c r="N289" s="291" t="e">
        <f>IF(C289='Operating Assumptions'!$C$48,"Construction Finish","")</f>
        <v>#N/A</v>
      </c>
      <c r="O289" s="291"/>
      <c r="P289" s="291"/>
      <c r="Q289" s="291"/>
      <c r="R289" s="291"/>
      <c r="S289" s="291"/>
      <c r="T289" s="280"/>
      <c r="U289" s="280"/>
      <c r="V289" s="286"/>
      <c r="W289" s="286"/>
      <c r="X289" s="286"/>
      <c r="Y289" s="280"/>
      <c r="Z289" s="279"/>
      <c r="AA289" s="279"/>
      <c r="AB289" s="279"/>
    </row>
    <row r="290" spans="2:28" s="278" customFormat="1" ht="13.5" hidden="1" outlineLevel="1" x14ac:dyDescent="0.25">
      <c r="B290" s="270" t="e">
        <f>IF(AND($C290&gt;='TIF Loan Amortization'!$H$480,$C290&lt;='TIF Loan Amortization'!$I$480),'TIF Loan Amortization'!$G$480,IF(AND($C290&gt;='TIF Loan Amortization'!$H$481,$C290&lt;='TIF Loan Amortization'!I$481),'TIF Loan Amortization'!$G$481,IF(AND($C290&gt;='TIF Loan Amortization'!$H$482,$C290&lt;='TIF Loan Amortization'!I$482),'TIF Loan Amortization'!$G$482,IF(AND($C290&gt;='TIF Loan Amortization'!$H$483,$C290&lt;='TIF Loan Amortization'!I$483),'TIF Loan Amortization'!$G$483,IF(AND($C290&gt;='TIF Loan Amortization'!$H$484,$C290&lt;='TIF Loan Amortization'!I$484),'TIF Loan Amortization'!$G$484,IF(AND($C290&gt;='TIF Loan Amortization'!$H$485,$C290&lt;='TIF Loan Amortization'!I$485),'TIF Loan Amortization'!$G$485,IF(AND($C290&gt;='TIF Loan Amortization'!$H$486,$C290&lt;='TIF Loan Amortization'!I$486),'TIF Loan Amortization'!$G$486,IF(AND($C290&gt;='TIF Loan Amortization'!$H$487,$C290&lt;='TIF Loan Amortization'!I$487),'TIF Loan Amortization'!$G$487,IF(AND($C290&gt;='TIF Loan Amortization'!$H$488,$C290&lt;='TIF Loan Amortization'!I$488),'TIF Loan Amortization'!$G$488,IF(AND($C290&gt;='TIF Loan Amortization'!$H$489,$C290&lt;='TIF Loan Amortization'!I$489),'TIF Loan Amortization'!$G$489,IF(AND($C290&gt;='TIF Loan Amortization'!$H$490,$C290&lt;='TIF Loan Amortization'!I$490),'TIF Loan Amortization'!$G$490,IF(AND($C290&gt;='TIF Loan Amortization'!$H$491,$C290&lt;='TIF Loan Amortization'!I$491),'TIF Loan Amortization'!$G$491,IF(AND($C290&gt;='TIF Loan Amortization'!$H$492,$C290&lt;='TIF Loan Amortization'!I$492),'TIF Loan Amortization'!$G$492,IF(AND($C290&gt;='TIF Loan Amortization'!$H$493,$C290&lt;='TIF Loan Amortization'!I$493),'TIF Loan Amortization'!$G$493,IF(AND($C290&gt;='TIF Loan Amortization'!$H$494,$C290&lt;='TIF Loan Amortization'!I$494),'TIF Loan Amortization'!$G$494,IF(AND($C290&gt;='TIF Loan Amortization'!$H$495,$C290&lt;='TIF Loan Amortization'!I$495),'TIF Loan Amortization'!$G$495,IF(AND($C290&gt;='TIF Loan Amortization'!$H$496,$C290&lt;='TIF Loan Amortization'!I$496),'TIF Loan Amortization'!$G$496,IF(AND($C290&gt;='TIF Loan Amortization'!$H$497,$C290&lt;='TIF Loan Amortization'!I$497),'TIF Loan Amortization'!$G$497,IF(AND($C290&gt;='TIF Loan Amortization'!$H$498,$C290&lt;='TIF Loan Amortization'!I$498),'TIF Loan Amortization'!$G$498,IF(AND($C290&gt;='TIF Loan Amortization'!$H$499,$C290&lt;='TIF Loan Amortization'!I$499),'TIF Loan Amortization'!$G$499,IF(AND($C290&gt;='TIF Loan Amortization'!$H$500,$C290&lt;='TIF Loan Amortization'!I$500),'TIF Loan Amortization'!$G$500,IF(AND($C290&gt;='TIF Loan Amortization'!$H$501,$C290&lt;='TIF Loan Amortization'!I$501),'TIF Loan Amortization'!$G$501,IF(AND($C290&gt;='TIF Loan Amortization'!$H$502,$C290&lt;='TIF Loan Amortization'!I$502),'TIF Loan Amortization'!$G$502,IF(AND($C290&gt;='TIF Loan Amortization'!$H$503,$C290&lt;='TIF Loan Amortization'!I$503),'TIF Loan Amortization'!$G$503,IF(AND($C290&gt;='TIF Loan Amortization'!$H$504,$C290&lt;='TIF Loan Amortization'!I$504),'TIF Loan Amortization'!$G$504,IF(AND($C290&gt;='TIF Loan Amortization'!$H$505,$C290&lt;='TIF Loan Amortization'!I$505),'TIF Loan Amortization'!$G$505,IF(AND($C290&gt;='TIF Loan Amortization'!$H$506,$C290&lt;='TIF Loan Amortization'!I$506),'TIF Loan Amortization'!$G$506,IF(AND($C290&gt;='TIF Loan Amortization'!$H$507,$C290&lt;='TIF Loan Amortization'!I$507),'TIF Loan Amortization'!$G$507,IF(AND($C290&gt;='TIF Loan Amortization'!$H$508,$C290&lt;='TIF Loan Amortization'!I$508),'TIF Loan Amortization'!$G$508,IF(AND($C290&gt;='TIF Loan Amortization'!$H$509,$C290&lt;='TIF Loan Amortization'!I$509),'TIF Loan Amortization'!$G$509,IF(AND($C290&gt;='TIF Loan Amortization'!$H$510,$C290&lt;='TIF Loan Amortization'!I$510),'TIF Loan Amortization'!$G$510,IF(AND($C290&gt;='TIF Loan Amortization'!$H$511,$C290&lt;='TIF Loan Amortization'!I$511),'TIF Loan Amortization'!$G$511,IF(AND($C290&gt;='TIF Loan Amortization'!$H$512,$C290&lt;='TIF Loan Amortization'!I$512),'TIF Loan Amortization'!$G$512,IF(AND($C290&gt;='TIF Loan Amortization'!$H$513,$C290&lt;='TIF Loan Amortization'!I$513),'TIF Loan Amortization'!$G$513,IF(AND($C290&gt;='TIF Loan Amortization'!$H$514,$C290&lt;='TIF Loan Amortization'!I$514),'TIF Loan Amortization'!$G$514,IF(AND($C290&gt;='TIF Loan Amortization'!$H$515,$C290&lt;='TIF Loan Amortization'!I$515),'TIF Loan Amortization'!$G$515,IF(AND($C290&gt;='TIF Loan Amortization'!$H$516,$C290&lt;='TIF Loan Amortization'!I$516),'TIF Loan Amortization'!$G$516,IF(AND($C290&gt;='TIF Loan Amortization'!$H$517,$C290&lt;='TIF Loan Amortization'!I$517),'TIF Loan Amortization'!$G$517,IF(AND($C290&gt;='TIF Loan Amortization'!$H$518,$C290&lt;='TIF Loan Amortization'!I$518),'TIF Loan Amortization'!$G$518,IF(AND($C290&gt;='TIF Loan Amortization'!$H$519,$C290&lt;='TIF Loan Amortization'!I$519),'TIF Loan Amortization'!$G$519))))))))))))))))))))))))))))))))))))))))</f>
        <v>#N/A</v>
      </c>
      <c r="C290" s="269" t="e">
        <f t="shared" si="36"/>
        <v>#N/A</v>
      </c>
      <c r="D290" s="281" t="str">
        <f>IF($H$11="January",$H$10+20,IF($AG$422=1,$H$10+21,""))</f>
        <v/>
      </c>
      <c r="E290" s="274">
        <v>240</v>
      </c>
      <c r="F290" s="273" t="str">
        <f>VLOOKUP($AG$422,$AE$422:$AF$433,2)</f>
        <v>Mar</v>
      </c>
      <c r="G290" s="272">
        <f t="shared" si="37"/>
        <v>0</v>
      </c>
      <c r="H290" s="272">
        <f t="shared" si="40"/>
        <v>0</v>
      </c>
      <c r="I290" s="272">
        <f t="shared" si="41"/>
        <v>0</v>
      </c>
      <c r="J290" s="272">
        <f t="shared" si="38"/>
        <v>0</v>
      </c>
      <c r="K290" s="272">
        <f>IF(ISTEXT($M$4),"",SUM(I$50:I290))</f>
        <v>0</v>
      </c>
      <c r="L290" s="272">
        <f>IF(ISTEXT($M$4),"",SUM(J$50:J290))</f>
        <v>0</v>
      </c>
      <c r="M290" s="271">
        <f t="shared" si="39"/>
        <v>0</v>
      </c>
      <c r="N290" s="291" t="e">
        <f>IF(C290='Operating Assumptions'!$C$48,"Construction Finish","")</f>
        <v>#N/A</v>
      </c>
      <c r="O290" s="291"/>
      <c r="P290" s="291"/>
      <c r="Q290" s="291"/>
      <c r="R290" s="291"/>
      <c r="S290" s="291"/>
      <c r="T290" s="280"/>
      <c r="U290" s="280"/>
      <c r="V290" s="286"/>
      <c r="W290" s="286"/>
      <c r="X290" s="286"/>
      <c r="Y290" s="280"/>
      <c r="Z290" s="279"/>
      <c r="AA290" s="279"/>
      <c r="AB290" s="279"/>
    </row>
    <row r="291" spans="2:28" s="278" customFormat="1" ht="13.5" hidden="1" outlineLevel="1" x14ac:dyDescent="0.25">
      <c r="B291" s="270" t="e">
        <f>IF(AND($C291&gt;='TIF Loan Amortization'!$H$480,$C291&lt;='TIF Loan Amortization'!$I$480),'TIF Loan Amortization'!$G$480,IF(AND($C291&gt;='TIF Loan Amortization'!$H$481,$C291&lt;='TIF Loan Amortization'!I$481),'TIF Loan Amortization'!$G$481,IF(AND($C291&gt;='TIF Loan Amortization'!$H$482,$C291&lt;='TIF Loan Amortization'!I$482),'TIF Loan Amortization'!$G$482,IF(AND($C291&gt;='TIF Loan Amortization'!$H$483,$C291&lt;='TIF Loan Amortization'!I$483),'TIF Loan Amortization'!$G$483,IF(AND($C291&gt;='TIF Loan Amortization'!$H$484,$C291&lt;='TIF Loan Amortization'!I$484),'TIF Loan Amortization'!$G$484,IF(AND($C291&gt;='TIF Loan Amortization'!$H$485,$C291&lt;='TIF Loan Amortization'!I$485),'TIF Loan Amortization'!$G$485,IF(AND($C291&gt;='TIF Loan Amortization'!$H$486,$C291&lt;='TIF Loan Amortization'!I$486),'TIF Loan Amortization'!$G$486,IF(AND($C291&gt;='TIF Loan Amortization'!$H$487,$C291&lt;='TIF Loan Amortization'!I$487),'TIF Loan Amortization'!$G$487,IF(AND($C291&gt;='TIF Loan Amortization'!$H$488,$C291&lt;='TIF Loan Amortization'!I$488),'TIF Loan Amortization'!$G$488,IF(AND($C291&gt;='TIF Loan Amortization'!$H$489,$C291&lt;='TIF Loan Amortization'!I$489),'TIF Loan Amortization'!$G$489,IF(AND($C291&gt;='TIF Loan Amortization'!$H$490,$C291&lt;='TIF Loan Amortization'!I$490),'TIF Loan Amortization'!$G$490,IF(AND($C291&gt;='TIF Loan Amortization'!$H$491,$C291&lt;='TIF Loan Amortization'!I$491),'TIF Loan Amortization'!$G$491,IF(AND($C291&gt;='TIF Loan Amortization'!$H$492,$C291&lt;='TIF Loan Amortization'!I$492),'TIF Loan Amortization'!$G$492,IF(AND($C291&gt;='TIF Loan Amortization'!$H$493,$C291&lt;='TIF Loan Amortization'!I$493),'TIF Loan Amortization'!$G$493,IF(AND($C291&gt;='TIF Loan Amortization'!$H$494,$C291&lt;='TIF Loan Amortization'!I$494),'TIF Loan Amortization'!$G$494,IF(AND($C291&gt;='TIF Loan Amortization'!$H$495,$C291&lt;='TIF Loan Amortization'!I$495),'TIF Loan Amortization'!$G$495,IF(AND($C291&gt;='TIF Loan Amortization'!$H$496,$C291&lt;='TIF Loan Amortization'!I$496),'TIF Loan Amortization'!$G$496,IF(AND($C291&gt;='TIF Loan Amortization'!$H$497,$C291&lt;='TIF Loan Amortization'!I$497),'TIF Loan Amortization'!$G$497,IF(AND($C291&gt;='TIF Loan Amortization'!$H$498,$C291&lt;='TIF Loan Amortization'!I$498),'TIF Loan Amortization'!$G$498,IF(AND($C291&gt;='TIF Loan Amortization'!$H$499,$C291&lt;='TIF Loan Amortization'!I$499),'TIF Loan Amortization'!$G$499,IF(AND($C291&gt;='TIF Loan Amortization'!$H$500,$C291&lt;='TIF Loan Amortization'!I$500),'TIF Loan Amortization'!$G$500,IF(AND($C291&gt;='TIF Loan Amortization'!$H$501,$C291&lt;='TIF Loan Amortization'!I$501),'TIF Loan Amortization'!$G$501,IF(AND($C291&gt;='TIF Loan Amortization'!$H$502,$C291&lt;='TIF Loan Amortization'!I$502),'TIF Loan Amortization'!$G$502,IF(AND($C291&gt;='TIF Loan Amortization'!$H$503,$C291&lt;='TIF Loan Amortization'!I$503),'TIF Loan Amortization'!$G$503,IF(AND($C291&gt;='TIF Loan Amortization'!$H$504,$C291&lt;='TIF Loan Amortization'!I$504),'TIF Loan Amortization'!$G$504,IF(AND($C291&gt;='TIF Loan Amortization'!$H$505,$C291&lt;='TIF Loan Amortization'!I$505),'TIF Loan Amortization'!$G$505,IF(AND($C291&gt;='TIF Loan Amortization'!$H$506,$C291&lt;='TIF Loan Amortization'!I$506),'TIF Loan Amortization'!$G$506,IF(AND($C291&gt;='TIF Loan Amortization'!$H$507,$C291&lt;='TIF Loan Amortization'!I$507),'TIF Loan Amortization'!$G$507,IF(AND($C291&gt;='TIF Loan Amortization'!$H$508,$C291&lt;='TIF Loan Amortization'!I$508),'TIF Loan Amortization'!$G$508,IF(AND($C291&gt;='TIF Loan Amortization'!$H$509,$C291&lt;='TIF Loan Amortization'!I$509),'TIF Loan Amortization'!$G$509,IF(AND($C291&gt;='TIF Loan Amortization'!$H$510,$C291&lt;='TIF Loan Amortization'!I$510),'TIF Loan Amortization'!$G$510,IF(AND($C291&gt;='TIF Loan Amortization'!$H$511,$C291&lt;='TIF Loan Amortization'!I$511),'TIF Loan Amortization'!$G$511,IF(AND($C291&gt;='TIF Loan Amortization'!$H$512,$C291&lt;='TIF Loan Amortization'!I$512),'TIF Loan Amortization'!$G$512,IF(AND($C291&gt;='TIF Loan Amortization'!$H$513,$C291&lt;='TIF Loan Amortization'!I$513),'TIF Loan Amortization'!$G$513,IF(AND($C291&gt;='TIF Loan Amortization'!$H$514,$C291&lt;='TIF Loan Amortization'!I$514),'TIF Loan Amortization'!$G$514,IF(AND($C291&gt;='TIF Loan Amortization'!$H$515,$C291&lt;='TIF Loan Amortization'!I$515),'TIF Loan Amortization'!$G$515,IF(AND($C291&gt;='TIF Loan Amortization'!$H$516,$C291&lt;='TIF Loan Amortization'!I$516),'TIF Loan Amortization'!$G$516,IF(AND($C291&gt;='TIF Loan Amortization'!$H$517,$C291&lt;='TIF Loan Amortization'!I$517),'TIF Loan Amortization'!$G$517,IF(AND($C291&gt;='TIF Loan Amortization'!$H$518,$C291&lt;='TIF Loan Amortization'!I$518),'TIF Loan Amortization'!$G$518,IF(AND($C291&gt;='TIF Loan Amortization'!$H$519,$C291&lt;='TIF Loan Amortization'!I$519),'TIF Loan Amortization'!$G$519))))))))))))))))))))))))))))))))))))))))</f>
        <v>#N/A</v>
      </c>
      <c r="C291" s="269" t="e">
        <f t="shared" si="36"/>
        <v>#N/A</v>
      </c>
      <c r="D291" s="281" t="str">
        <f>IF($AG$423=1,$H$10+21,"")</f>
        <v/>
      </c>
      <c r="E291" s="274">
        <v>241</v>
      </c>
      <c r="F291" s="275" t="str">
        <f>VLOOKUP($AG$423,$AE$422:$AF$433,2)</f>
        <v>Apr</v>
      </c>
      <c r="G291" s="272">
        <f t="shared" si="37"/>
        <v>0</v>
      </c>
      <c r="H291" s="272">
        <f t="shared" si="40"/>
        <v>0</v>
      </c>
      <c r="I291" s="272">
        <f t="shared" si="41"/>
        <v>0</v>
      </c>
      <c r="J291" s="272">
        <f t="shared" si="38"/>
        <v>0</v>
      </c>
      <c r="K291" s="272">
        <f>IF(ISTEXT($M$4),"",SUM(I$50:I291))</f>
        <v>0</v>
      </c>
      <c r="L291" s="272">
        <f>IF(ISTEXT($M$4),"",SUM(J$50:J291))</f>
        <v>0</v>
      </c>
      <c r="M291" s="271">
        <f t="shared" si="39"/>
        <v>0</v>
      </c>
      <c r="N291" s="291" t="e">
        <f>IF(C291='Operating Assumptions'!$C$48,"Construction Finish","")</f>
        <v>#N/A</v>
      </c>
      <c r="O291" s="291"/>
      <c r="P291" s="291"/>
      <c r="Q291" s="291"/>
      <c r="R291" s="291"/>
      <c r="S291" s="291"/>
      <c r="T291" s="280"/>
      <c r="U291" s="280"/>
      <c r="V291" s="286"/>
      <c r="W291" s="286"/>
      <c r="X291" s="286"/>
      <c r="Y291" s="280"/>
      <c r="Z291" s="279"/>
      <c r="AA291" s="279"/>
      <c r="AB291" s="279"/>
    </row>
    <row r="292" spans="2:28" s="278" customFormat="1" ht="13.5" hidden="1" outlineLevel="1" x14ac:dyDescent="0.25">
      <c r="B292" s="270" t="e">
        <f>IF(AND($C292&gt;='TIF Loan Amortization'!$H$480,$C292&lt;='TIF Loan Amortization'!$I$480),'TIF Loan Amortization'!$G$480,IF(AND($C292&gt;='TIF Loan Amortization'!$H$481,$C292&lt;='TIF Loan Amortization'!I$481),'TIF Loan Amortization'!$G$481,IF(AND($C292&gt;='TIF Loan Amortization'!$H$482,$C292&lt;='TIF Loan Amortization'!I$482),'TIF Loan Amortization'!$G$482,IF(AND($C292&gt;='TIF Loan Amortization'!$H$483,$C292&lt;='TIF Loan Amortization'!I$483),'TIF Loan Amortization'!$G$483,IF(AND($C292&gt;='TIF Loan Amortization'!$H$484,$C292&lt;='TIF Loan Amortization'!I$484),'TIF Loan Amortization'!$G$484,IF(AND($C292&gt;='TIF Loan Amortization'!$H$485,$C292&lt;='TIF Loan Amortization'!I$485),'TIF Loan Amortization'!$G$485,IF(AND($C292&gt;='TIF Loan Amortization'!$H$486,$C292&lt;='TIF Loan Amortization'!I$486),'TIF Loan Amortization'!$G$486,IF(AND($C292&gt;='TIF Loan Amortization'!$H$487,$C292&lt;='TIF Loan Amortization'!I$487),'TIF Loan Amortization'!$G$487,IF(AND($C292&gt;='TIF Loan Amortization'!$H$488,$C292&lt;='TIF Loan Amortization'!I$488),'TIF Loan Amortization'!$G$488,IF(AND($C292&gt;='TIF Loan Amortization'!$H$489,$C292&lt;='TIF Loan Amortization'!I$489),'TIF Loan Amortization'!$G$489,IF(AND($C292&gt;='TIF Loan Amortization'!$H$490,$C292&lt;='TIF Loan Amortization'!I$490),'TIF Loan Amortization'!$G$490,IF(AND($C292&gt;='TIF Loan Amortization'!$H$491,$C292&lt;='TIF Loan Amortization'!I$491),'TIF Loan Amortization'!$G$491,IF(AND($C292&gt;='TIF Loan Amortization'!$H$492,$C292&lt;='TIF Loan Amortization'!I$492),'TIF Loan Amortization'!$G$492,IF(AND($C292&gt;='TIF Loan Amortization'!$H$493,$C292&lt;='TIF Loan Amortization'!I$493),'TIF Loan Amortization'!$G$493,IF(AND($C292&gt;='TIF Loan Amortization'!$H$494,$C292&lt;='TIF Loan Amortization'!I$494),'TIF Loan Amortization'!$G$494,IF(AND($C292&gt;='TIF Loan Amortization'!$H$495,$C292&lt;='TIF Loan Amortization'!I$495),'TIF Loan Amortization'!$G$495,IF(AND($C292&gt;='TIF Loan Amortization'!$H$496,$C292&lt;='TIF Loan Amortization'!I$496),'TIF Loan Amortization'!$G$496,IF(AND($C292&gt;='TIF Loan Amortization'!$H$497,$C292&lt;='TIF Loan Amortization'!I$497),'TIF Loan Amortization'!$G$497,IF(AND($C292&gt;='TIF Loan Amortization'!$H$498,$C292&lt;='TIF Loan Amortization'!I$498),'TIF Loan Amortization'!$G$498,IF(AND($C292&gt;='TIF Loan Amortization'!$H$499,$C292&lt;='TIF Loan Amortization'!I$499),'TIF Loan Amortization'!$G$499,IF(AND($C292&gt;='TIF Loan Amortization'!$H$500,$C292&lt;='TIF Loan Amortization'!I$500),'TIF Loan Amortization'!$G$500,IF(AND($C292&gt;='TIF Loan Amortization'!$H$501,$C292&lt;='TIF Loan Amortization'!I$501),'TIF Loan Amortization'!$G$501,IF(AND($C292&gt;='TIF Loan Amortization'!$H$502,$C292&lt;='TIF Loan Amortization'!I$502),'TIF Loan Amortization'!$G$502,IF(AND($C292&gt;='TIF Loan Amortization'!$H$503,$C292&lt;='TIF Loan Amortization'!I$503),'TIF Loan Amortization'!$G$503,IF(AND($C292&gt;='TIF Loan Amortization'!$H$504,$C292&lt;='TIF Loan Amortization'!I$504),'TIF Loan Amortization'!$G$504,IF(AND($C292&gt;='TIF Loan Amortization'!$H$505,$C292&lt;='TIF Loan Amortization'!I$505),'TIF Loan Amortization'!$G$505,IF(AND($C292&gt;='TIF Loan Amortization'!$H$506,$C292&lt;='TIF Loan Amortization'!I$506),'TIF Loan Amortization'!$G$506,IF(AND($C292&gt;='TIF Loan Amortization'!$H$507,$C292&lt;='TIF Loan Amortization'!I$507),'TIF Loan Amortization'!$G$507,IF(AND($C292&gt;='TIF Loan Amortization'!$H$508,$C292&lt;='TIF Loan Amortization'!I$508),'TIF Loan Amortization'!$G$508,IF(AND($C292&gt;='TIF Loan Amortization'!$H$509,$C292&lt;='TIF Loan Amortization'!I$509),'TIF Loan Amortization'!$G$509,IF(AND($C292&gt;='TIF Loan Amortization'!$H$510,$C292&lt;='TIF Loan Amortization'!I$510),'TIF Loan Amortization'!$G$510,IF(AND($C292&gt;='TIF Loan Amortization'!$H$511,$C292&lt;='TIF Loan Amortization'!I$511),'TIF Loan Amortization'!$G$511,IF(AND($C292&gt;='TIF Loan Amortization'!$H$512,$C292&lt;='TIF Loan Amortization'!I$512),'TIF Loan Amortization'!$G$512,IF(AND($C292&gt;='TIF Loan Amortization'!$H$513,$C292&lt;='TIF Loan Amortization'!I$513),'TIF Loan Amortization'!$G$513,IF(AND($C292&gt;='TIF Loan Amortization'!$H$514,$C292&lt;='TIF Loan Amortization'!I$514),'TIF Loan Amortization'!$G$514,IF(AND($C292&gt;='TIF Loan Amortization'!$H$515,$C292&lt;='TIF Loan Amortization'!I$515),'TIF Loan Amortization'!$G$515,IF(AND($C292&gt;='TIF Loan Amortization'!$H$516,$C292&lt;='TIF Loan Amortization'!I$516),'TIF Loan Amortization'!$G$516,IF(AND($C292&gt;='TIF Loan Amortization'!$H$517,$C292&lt;='TIF Loan Amortization'!I$517),'TIF Loan Amortization'!$G$517,IF(AND($C292&gt;='TIF Loan Amortization'!$H$518,$C292&lt;='TIF Loan Amortization'!I$518),'TIF Loan Amortization'!$G$518,IF(AND($C292&gt;='TIF Loan Amortization'!$H$519,$C292&lt;='TIF Loan Amortization'!I$519),'TIF Loan Amortization'!$G$519))))))))))))))))))))))))))))))))))))))))</f>
        <v>#N/A</v>
      </c>
      <c r="C292" s="269" t="e">
        <f t="shared" si="36"/>
        <v>#N/A</v>
      </c>
      <c r="D292" s="281" t="str">
        <f>IF($AG$424=1,$H$10+21,"")</f>
        <v/>
      </c>
      <c r="E292" s="274">
        <v>242</v>
      </c>
      <c r="F292" s="275" t="str">
        <f>VLOOKUP($AG$424,$AE$422:$AF$433,2)</f>
        <v>May</v>
      </c>
      <c r="G292" s="272">
        <f t="shared" si="37"/>
        <v>0</v>
      </c>
      <c r="H292" s="272">
        <f t="shared" si="40"/>
        <v>0</v>
      </c>
      <c r="I292" s="272">
        <f t="shared" si="41"/>
        <v>0</v>
      </c>
      <c r="J292" s="272">
        <f t="shared" si="38"/>
        <v>0</v>
      </c>
      <c r="K292" s="272">
        <f>IF(ISTEXT($M$4),"",SUM(I$50:I292))</f>
        <v>0</v>
      </c>
      <c r="L292" s="272">
        <f>IF(ISTEXT($M$4),"",SUM(J$50:J292))</f>
        <v>0</v>
      </c>
      <c r="M292" s="271">
        <f t="shared" si="39"/>
        <v>0</v>
      </c>
      <c r="N292" s="291" t="e">
        <f>IF(C292='Operating Assumptions'!$C$48,"Construction Finish","")</f>
        <v>#N/A</v>
      </c>
      <c r="O292" s="291"/>
      <c r="P292" s="291"/>
      <c r="Q292" s="291"/>
      <c r="R292" s="291"/>
      <c r="S292" s="291"/>
      <c r="T292" s="280"/>
      <c r="U292" s="280"/>
      <c r="V292" s="286"/>
      <c r="W292" s="286"/>
      <c r="X292" s="286"/>
      <c r="Y292" s="280"/>
      <c r="Z292" s="279"/>
      <c r="AA292" s="279"/>
      <c r="AB292" s="279"/>
    </row>
    <row r="293" spans="2:28" s="278" customFormat="1" ht="13.5" hidden="1" outlineLevel="1" x14ac:dyDescent="0.25">
      <c r="B293" s="270" t="e">
        <f>IF(AND($C293&gt;='TIF Loan Amortization'!$H$480,$C293&lt;='TIF Loan Amortization'!$I$480),'TIF Loan Amortization'!$G$480,IF(AND($C293&gt;='TIF Loan Amortization'!$H$481,$C293&lt;='TIF Loan Amortization'!I$481),'TIF Loan Amortization'!$G$481,IF(AND($C293&gt;='TIF Loan Amortization'!$H$482,$C293&lt;='TIF Loan Amortization'!I$482),'TIF Loan Amortization'!$G$482,IF(AND($C293&gt;='TIF Loan Amortization'!$H$483,$C293&lt;='TIF Loan Amortization'!I$483),'TIF Loan Amortization'!$G$483,IF(AND($C293&gt;='TIF Loan Amortization'!$H$484,$C293&lt;='TIF Loan Amortization'!I$484),'TIF Loan Amortization'!$G$484,IF(AND($C293&gt;='TIF Loan Amortization'!$H$485,$C293&lt;='TIF Loan Amortization'!I$485),'TIF Loan Amortization'!$G$485,IF(AND($C293&gt;='TIF Loan Amortization'!$H$486,$C293&lt;='TIF Loan Amortization'!I$486),'TIF Loan Amortization'!$G$486,IF(AND($C293&gt;='TIF Loan Amortization'!$H$487,$C293&lt;='TIF Loan Amortization'!I$487),'TIF Loan Amortization'!$G$487,IF(AND($C293&gt;='TIF Loan Amortization'!$H$488,$C293&lt;='TIF Loan Amortization'!I$488),'TIF Loan Amortization'!$G$488,IF(AND($C293&gt;='TIF Loan Amortization'!$H$489,$C293&lt;='TIF Loan Amortization'!I$489),'TIF Loan Amortization'!$G$489,IF(AND($C293&gt;='TIF Loan Amortization'!$H$490,$C293&lt;='TIF Loan Amortization'!I$490),'TIF Loan Amortization'!$G$490,IF(AND($C293&gt;='TIF Loan Amortization'!$H$491,$C293&lt;='TIF Loan Amortization'!I$491),'TIF Loan Amortization'!$G$491,IF(AND($C293&gt;='TIF Loan Amortization'!$H$492,$C293&lt;='TIF Loan Amortization'!I$492),'TIF Loan Amortization'!$G$492,IF(AND($C293&gt;='TIF Loan Amortization'!$H$493,$C293&lt;='TIF Loan Amortization'!I$493),'TIF Loan Amortization'!$G$493,IF(AND($C293&gt;='TIF Loan Amortization'!$H$494,$C293&lt;='TIF Loan Amortization'!I$494),'TIF Loan Amortization'!$G$494,IF(AND($C293&gt;='TIF Loan Amortization'!$H$495,$C293&lt;='TIF Loan Amortization'!I$495),'TIF Loan Amortization'!$G$495,IF(AND($C293&gt;='TIF Loan Amortization'!$H$496,$C293&lt;='TIF Loan Amortization'!I$496),'TIF Loan Amortization'!$G$496,IF(AND($C293&gt;='TIF Loan Amortization'!$H$497,$C293&lt;='TIF Loan Amortization'!I$497),'TIF Loan Amortization'!$G$497,IF(AND($C293&gt;='TIF Loan Amortization'!$H$498,$C293&lt;='TIF Loan Amortization'!I$498),'TIF Loan Amortization'!$G$498,IF(AND($C293&gt;='TIF Loan Amortization'!$H$499,$C293&lt;='TIF Loan Amortization'!I$499),'TIF Loan Amortization'!$G$499,IF(AND($C293&gt;='TIF Loan Amortization'!$H$500,$C293&lt;='TIF Loan Amortization'!I$500),'TIF Loan Amortization'!$G$500,IF(AND($C293&gt;='TIF Loan Amortization'!$H$501,$C293&lt;='TIF Loan Amortization'!I$501),'TIF Loan Amortization'!$G$501,IF(AND($C293&gt;='TIF Loan Amortization'!$H$502,$C293&lt;='TIF Loan Amortization'!I$502),'TIF Loan Amortization'!$G$502,IF(AND($C293&gt;='TIF Loan Amortization'!$H$503,$C293&lt;='TIF Loan Amortization'!I$503),'TIF Loan Amortization'!$G$503,IF(AND($C293&gt;='TIF Loan Amortization'!$H$504,$C293&lt;='TIF Loan Amortization'!I$504),'TIF Loan Amortization'!$G$504,IF(AND($C293&gt;='TIF Loan Amortization'!$H$505,$C293&lt;='TIF Loan Amortization'!I$505),'TIF Loan Amortization'!$G$505,IF(AND($C293&gt;='TIF Loan Amortization'!$H$506,$C293&lt;='TIF Loan Amortization'!I$506),'TIF Loan Amortization'!$G$506,IF(AND($C293&gt;='TIF Loan Amortization'!$H$507,$C293&lt;='TIF Loan Amortization'!I$507),'TIF Loan Amortization'!$G$507,IF(AND($C293&gt;='TIF Loan Amortization'!$H$508,$C293&lt;='TIF Loan Amortization'!I$508),'TIF Loan Amortization'!$G$508,IF(AND($C293&gt;='TIF Loan Amortization'!$H$509,$C293&lt;='TIF Loan Amortization'!I$509),'TIF Loan Amortization'!$G$509,IF(AND($C293&gt;='TIF Loan Amortization'!$H$510,$C293&lt;='TIF Loan Amortization'!I$510),'TIF Loan Amortization'!$G$510,IF(AND($C293&gt;='TIF Loan Amortization'!$H$511,$C293&lt;='TIF Loan Amortization'!I$511),'TIF Loan Amortization'!$G$511,IF(AND($C293&gt;='TIF Loan Amortization'!$H$512,$C293&lt;='TIF Loan Amortization'!I$512),'TIF Loan Amortization'!$G$512,IF(AND($C293&gt;='TIF Loan Amortization'!$H$513,$C293&lt;='TIF Loan Amortization'!I$513),'TIF Loan Amortization'!$G$513,IF(AND($C293&gt;='TIF Loan Amortization'!$H$514,$C293&lt;='TIF Loan Amortization'!I$514),'TIF Loan Amortization'!$G$514,IF(AND($C293&gt;='TIF Loan Amortization'!$H$515,$C293&lt;='TIF Loan Amortization'!I$515),'TIF Loan Amortization'!$G$515,IF(AND($C293&gt;='TIF Loan Amortization'!$H$516,$C293&lt;='TIF Loan Amortization'!I$516),'TIF Loan Amortization'!$G$516,IF(AND($C293&gt;='TIF Loan Amortization'!$H$517,$C293&lt;='TIF Loan Amortization'!I$517),'TIF Loan Amortization'!$G$517,IF(AND($C293&gt;='TIF Loan Amortization'!$H$518,$C293&lt;='TIF Loan Amortization'!I$518),'TIF Loan Amortization'!$G$518,IF(AND($C293&gt;='TIF Loan Amortization'!$H$519,$C293&lt;='TIF Loan Amortization'!I$519),'TIF Loan Amortization'!$G$519))))))))))))))))))))))))))))))))))))))))</f>
        <v>#N/A</v>
      </c>
      <c r="C293" s="269" t="e">
        <f t="shared" si="36"/>
        <v>#N/A</v>
      </c>
      <c r="D293" s="281" t="str">
        <f>IF($AG$425=1,$H$10+21,"")</f>
        <v/>
      </c>
      <c r="E293" s="274">
        <v>243</v>
      </c>
      <c r="F293" s="275" t="str">
        <f>VLOOKUP($AG$425,$AE$422:$AF$433,2)</f>
        <v>Jun</v>
      </c>
      <c r="G293" s="272">
        <f t="shared" si="37"/>
        <v>0</v>
      </c>
      <c r="H293" s="272">
        <f t="shared" si="40"/>
        <v>0</v>
      </c>
      <c r="I293" s="272">
        <f t="shared" si="41"/>
        <v>0</v>
      </c>
      <c r="J293" s="272">
        <f t="shared" si="38"/>
        <v>0</v>
      </c>
      <c r="K293" s="272">
        <f>IF(ISTEXT($M$4),"",SUM(I$50:I293))</f>
        <v>0</v>
      </c>
      <c r="L293" s="272">
        <f>IF(ISTEXT($M$4),"",SUM(J$50:J293))</f>
        <v>0</v>
      </c>
      <c r="M293" s="271">
        <f t="shared" si="39"/>
        <v>0</v>
      </c>
      <c r="N293" s="291" t="e">
        <f>IF(C293='Operating Assumptions'!$C$48,"Construction Finish","")</f>
        <v>#N/A</v>
      </c>
      <c r="O293" s="291"/>
      <c r="P293" s="291"/>
      <c r="Q293" s="291"/>
      <c r="R293" s="291"/>
      <c r="S293" s="291"/>
      <c r="T293" s="280"/>
      <c r="U293" s="280"/>
      <c r="V293" s="286"/>
      <c r="W293" s="286"/>
      <c r="X293" s="286"/>
      <c r="Y293" s="280"/>
      <c r="Z293" s="279"/>
      <c r="AA293" s="279"/>
      <c r="AB293" s="279"/>
    </row>
    <row r="294" spans="2:28" s="278" customFormat="1" ht="13.5" hidden="1" outlineLevel="1" x14ac:dyDescent="0.25">
      <c r="B294" s="270" t="e">
        <f>IF(AND($C294&gt;='TIF Loan Amortization'!$H$480,$C294&lt;='TIF Loan Amortization'!$I$480),'TIF Loan Amortization'!$G$480,IF(AND($C294&gt;='TIF Loan Amortization'!$H$481,$C294&lt;='TIF Loan Amortization'!I$481),'TIF Loan Amortization'!$G$481,IF(AND($C294&gt;='TIF Loan Amortization'!$H$482,$C294&lt;='TIF Loan Amortization'!I$482),'TIF Loan Amortization'!$G$482,IF(AND($C294&gt;='TIF Loan Amortization'!$H$483,$C294&lt;='TIF Loan Amortization'!I$483),'TIF Loan Amortization'!$G$483,IF(AND($C294&gt;='TIF Loan Amortization'!$H$484,$C294&lt;='TIF Loan Amortization'!I$484),'TIF Loan Amortization'!$G$484,IF(AND($C294&gt;='TIF Loan Amortization'!$H$485,$C294&lt;='TIF Loan Amortization'!I$485),'TIF Loan Amortization'!$G$485,IF(AND($C294&gt;='TIF Loan Amortization'!$H$486,$C294&lt;='TIF Loan Amortization'!I$486),'TIF Loan Amortization'!$G$486,IF(AND($C294&gt;='TIF Loan Amortization'!$H$487,$C294&lt;='TIF Loan Amortization'!I$487),'TIF Loan Amortization'!$G$487,IF(AND($C294&gt;='TIF Loan Amortization'!$H$488,$C294&lt;='TIF Loan Amortization'!I$488),'TIF Loan Amortization'!$G$488,IF(AND($C294&gt;='TIF Loan Amortization'!$H$489,$C294&lt;='TIF Loan Amortization'!I$489),'TIF Loan Amortization'!$G$489,IF(AND($C294&gt;='TIF Loan Amortization'!$H$490,$C294&lt;='TIF Loan Amortization'!I$490),'TIF Loan Amortization'!$G$490,IF(AND($C294&gt;='TIF Loan Amortization'!$H$491,$C294&lt;='TIF Loan Amortization'!I$491),'TIF Loan Amortization'!$G$491,IF(AND($C294&gt;='TIF Loan Amortization'!$H$492,$C294&lt;='TIF Loan Amortization'!I$492),'TIF Loan Amortization'!$G$492,IF(AND($C294&gt;='TIF Loan Amortization'!$H$493,$C294&lt;='TIF Loan Amortization'!I$493),'TIF Loan Amortization'!$G$493,IF(AND($C294&gt;='TIF Loan Amortization'!$H$494,$C294&lt;='TIF Loan Amortization'!I$494),'TIF Loan Amortization'!$G$494,IF(AND($C294&gt;='TIF Loan Amortization'!$H$495,$C294&lt;='TIF Loan Amortization'!I$495),'TIF Loan Amortization'!$G$495,IF(AND($C294&gt;='TIF Loan Amortization'!$H$496,$C294&lt;='TIF Loan Amortization'!I$496),'TIF Loan Amortization'!$G$496,IF(AND($C294&gt;='TIF Loan Amortization'!$H$497,$C294&lt;='TIF Loan Amortization'!I$497),'TIF Loan Amortization'!$G$497,IF(AND($C294&gt;='TIF Loan Amortization'!$H$498,$C294&lt;='TIF Loan Amortization'!I$498),'TIF Loan Amortization'!$G$498,IF(AND($C294&gt;='TIF Loan Amortization'!$H$499,$C294&lt;='TIF Loan Amortization'!I$499),'TIF Loan Amortization'!$G$499,IF(AND($C294&gt;='TIF Loan Amortization'!$H$500,$C294&lt;='TIF Loan Amortization'!I$500),'TIF Loan Amortization'!$G$500,IF(AND($C294&gt;='TIF Loan Amortization'!$H$501,$C294&lt;='TIF Loan Amortization'!I$501),'TIF Loan Amortization'!$G$501,IF(AND($C294&gt;='TIF Loan Amortization'!$H$502,$C294&lt;='TIF Loan Amortization'!I$502),'TIF Loan Amortization'!$G$502,IF(AND($C294&gt;='TIF Loan Amortization'!$H$503,$C294&lt;='TIF Loan Amortization'!I$503),'TIF Loan Amortization'!$G$503,IF(AND($C294&gt;='TIF Loan Amortization'!$H$504,$C294&lt;='TIF Loan Amortization'!I$504),'TIF Loan Amortization'!$G$504,IF(AND($C294&gt;='TIF Loan Amortization'!$H$505,$C294&lt;='TIF Loan Amortization'!I$505),'TIF Loan Amortization'!$G$505,IF(AND($C294&gt;='TIF Loan Amortization'!$H$506,$C294&lt;='TIF Loan Amortization'!I$506),'TIF Loan Amortization'!$G$506,IF(AND($C294&gt;='TIF Loan Amortization'!$H$507,$C294&lt;='TIF Loan Amortization'!I$507),'TIF Loan Amortization'!$G$507,IF(AND($C294&gt;='TIF Loan Amortization'!$H$508,$C294&lt;='TIF Loan Amortization'!I$508),'TIF Loan Amortization'!$G$508,IF(AND($C294&gt;='TIF Loan Amortization'!$H$509,$C294&lt;='TIF Loan Amortization'!I$509),'TIF Loan Amortization'!$G$509,IF(AND($C294&gt;='TIF Loan Amortization'!$H$510,$C294&lt;='TIF Loan Amortization'!I$510),'TIF Loan Amortization'!$G$510,IF(AND($C294&gt;='TIF Loan Amortization'!$H$511,$C294&lt;='TIF Loan Amortization'!I$511),'TIF Loan Amortization'!$G$511,IF(AND($C294&gt;='TIF Loan Amortization'!$H$512,$C294&lt;='TIF Loan Amortization'!I$512),'TIF Loan Amortization'!$G$512,IF(AND($C294&gt;='TIF Loan Amortization'!$H$513,$C294&lt;='TIF Loan Amortization'!I$513),'TIF Loan Amortization'!$G$513,IF(AND($C294&gt;='TIF Loan Amortization'!$H$514,$C294&lt;='TIF Loan Amortization'!I$514),'TIF Loan Amortization'!$G$514,IF(AND($C294&gt;='TIF Loan Amortization'!$H$515,$C294&lt;='TIF Loan Amortization'!I$515),'TIF Loan Amortization'!$G$515,IF(AND($C294&gt;='TIF Loan Amortization'!$H$516,$C294&lt;='TIF Loan Amortization'!I$516),'TIF Loan Amortization'!$G$516,IF(AND($C294&gt;='TIF Loan Amortization'!$H$517,$C294&lt;='TIF Loan Amortization'!I$517),'TIF Loan Amortization'!$G$517,IF(AND($C294&gt;='TIF Loan Amortization'!$H$518,$C294&lt;='TIF Loan Amortization'!I$518),'TIF Loan Amortization'!$G$518,IF(AND($C294&gt;='TIF Loan Amortization'!$H$519,$C294&lt;='TIF Loan Amortization'!I$519),'TIF Loan Amortization'!$G$519))))))))))))))))))))))))))))))))))))))))</f>
        <v>#N/A</v>
      </c>
      <c r="C294" s="269" t="e">
        <f t="shared" si="36"/>
        <v>#N/A</v>
      </c>
      <c r="D294" s="281" t="str">
        <f>IF($AG$426=1,$H$10+21,"")</f>
        <v/>
      </c>
      <c r="E294" s="274">
        <v>244</v>
      </c>
      <c r="F294" s="275" t="str">
        <f>VLOOKUP($AG$426,$AE$422:$AF$433,2)</f>
        <v>Jul</v>
      </c>
      <c r="G294" s="272">
        <f t="shared" si="37"/>
        <v>0</v>
      </c>
      <c r="H294" s="272">
        <f t="shared" si="40"/>
        <v>0</v>
      </c>
      <c r="I294" s="272">
        <f t="shared" si="41"/>
        <v>0</v>
      </c>
      <c r="J294" s="272">
        <f t="shared" si="38"/>
        <v>0</v>
      </c>
      <c r="K294" s="272">
        <f>IF(ISTEXT($M$4),"",SUM(I$50:I294))</f>
        <v>0</v>
      </c>
      <c r="L294" s="272">
        <f>IF(ISTEXT($M$4),"",SUM(J$50:J294))</f>
        <v>0</v>
      </c>
      <c r="M294" s="271">
        <f t="shared" si="39"/>
        <v>0</v>
      </c>
      <c r="N294" s="291" t="e">
        <f>IF(C294='Operating Assumptions'!$C$48,"Construction Finish","")</f>
        <v>#N/A</v>
      </c>
      <c r="O294" s="291"/>
      <c r="P294" s="291"/>
      <c r="Q294" s="291"/>
      <c r="R294" s="291"/>
      <c r="S294" s="291"/>
      <c r="T294" s="280"/>
      <c r="U294" s="280"/>
      <c r="V294" s="286"/>
      <c r="W294" s="286"/>
      <c r="X294" s="286"/>
      <c r="Y294" s="280"/>
      <c r="Z294" s="279"/>
      <c r="AA294" s="279"/>
      <c r="AB294" s="279"/>
    </row>
    <row r="295" spans="2:28" s="278" customFormat="1" ht="13.5" hidden="1" outlineLevel="1" x14ac:dyDescent="0.25">
      <c r="B295" s="270" t="e">
        <f>IF(AND($C295&gt;='TIF Loan Amortization'!$H$480,$C295&lt;='TIF Loan Amortization'!$I$480),'TIF Loan Amortization'!$G$480,IF(AND($C295&gt;='TIF Loan Amortization'!$H$481,$C295&lt;='TIF Loan Amortization'!I$481),'TIF Loan Amortization'!$G$481,IF(AND($C295&gt;='TIF Loan Amortization'!$H$482,$C295&lt;='TIF Loan Amortization'!I$482),'TIF Loan Amortization'!$G$482,IF(AND($C295&gt;='TIF Loan Amortization'!$H$483,$C295&lt;='TIF Loan Amortization'!I$483),'TIF Loan Amortization'!$G$483,IF(AND($C295&gt;='TIF Loan Amortization'!$H$484,$C295&lt;='TIF Loan Amortization'!I$484),'TIF Loan Amortization'!$G$484,IF(AND($C295&gt;='TIF Loan Amortization'!$H$485,$C295&lt;='TIF Loan Amortization'!I$485),'TIF Loan Amortization'!$G$485,IF(AND($C295&gt;='TIF Loan Amortization'!$H$486,$C295&lt;='TIF Loan Amortization'!I$486),'TIF Loan Amortization'!$G$486,IF(AND($C295&gt;='TIF Loan Amortization'!$H$487,$C295&lt;='TIF Loan Amortization'!I$487),'TIF Loan Amortization'!$G$487,IF(AND($C295&gt;='TIF Loan Amortization'!$H$488,$C295&lt;='TIF Loan Amortization'!I$488),'TIF Loan Amortization'!$G$488,IF(AND($C295&gt;='TIF Loan Amortization'!$H$489,$C295&lt;='TIF Loan Amortization'!I$489),'TIF Loan Amortization'!$G$489,IF(AND($C295&gt;='TIF Loan Amortization'!$H$490,$C295&lt;='TIF Loan Amortization'!I$490),'TIF Loan Amortization'!$G$490,IF(AND($C295&gt;='TIF Loan Amortization'!$H$491,$C295&lt;='TIF Loan Amortization'!I$491),'TIF Loan Amortization'!$G$491,IF(AND($C295&gt;='TIF Loan Amortization'!$H$492,$C295&lt;='TIF Loan Amortization'!I$492),'TIF Loan Amortization'!$G$492,IF(AND($C295&gt;='TIF Loan Amortization'!$H$493,$C295&lt;='TIF Loan Amortization'!I$493),'TIF Loan Amortization'!$G$493,IF(AND($C295&gt;='TIF Loan Amortization'!$H$494,$C295&lt;='TIF Loan Amortization'!I$494),'TIF Loan Amortization'!$G$494,IF(AND($C295&gt;='TIF Loan Amortization'!$H$495,$C295&lt;='TIF Loan Amortization'!I$495),'TIF Loan Amortization'!$G$495,IF(AND($C295&gt;='TIF Loan Amortization'!$H$496,$C295&lt;='TIF Loan Amortization'!I$496),'TIF Loan Amortization'!$G$496,IF(AND($C295&gt;='TIF Loan Amortization'!$H$497,$C295&lt;='TIF Loan Amortization'!I$497),'TIF Loan Amortization'!$G$497,IF(AND($C295&gt;='TIF Loan Amortization'!$H$498,$C295&lt;='TIF Loan Amortization'!I$498),'TIF Loan Amortization'!$G$498,IF(AND($C295&gt;='TIF Loan Amortization'!$H$499,$C295&lt;='TIF Loan Amortization'!I$499),'TIF Loan Amortization'!$G$499,IF(AND($C295&gt;='TIF Loan Amortization'!$H$500,$C295&lt;='TIF Loan Amortization'!I$500),'TIF Loan Amortization'!$G$500,IF(AND($C295&gt;='TIF Loan Amortization'!$H$501,$C295&lt;='TIF Loan Amortization'!I$501),'TIF Loan Amortization'!$G$501,IF(AND($C295&gt;='TIF Loan Amortization'!$H$502,$C295&lt;='TIF Loan Amortization'!I$502),'TIF Loan Amortization'!$G$502,IF(AND($C295&gt;='TIF Loan Amortization'!$H$503,$C295&lt;='TIF Loan Amortization'!I$503),'TIF Loan Amortization'!$G$503,IF(AND($C295&gt;='TIF Loan Amortization'!$H$504,$C295&lt;='TIF Loan Amortization'!I$504),'TIF Loan Amortization'!$G$504,IF(AND($C295&gt;='TIF Loan Amortization'!$H$505,$C295&lt;='TIF Loan Amortization'!I$505),'TIF Loan Amortization'!$G$505,IF(AND($C295&gt;='TIF Loan Amortization'!$H$506,$C295&lt;='TIF Loan Amortization'!I$506),'TIF Loan Amortization'!$G$506,IF(AND($C295&gt;='TIF Loan Amortization'!$H$507,$C295&lt;='TIF Loan Amortization'!I$507),'TIF Loan Amortization'!$G$507,IF(AND($C295&gt;='TIF Loan Amortization'!$H$508,$C295&lt;='TIF Loan Amortization'!I$508),'TIF Loan Amortization'!$G$508,IF(AND($C295&gt;='TIF Loan Amortization'!$H$509,$C295&lt;='TIF Loan Amortization'!I$509),'TIF Loan Amortization'!$G$509,IF(AND($C295&gt;='TIF Loan Amortization'!$H$510,$C295&lt;='TIF Loan Amortization'!I$510),'TIF Loan Amortization'!$G$510,IF(AND($C295&gt;='TIF Loan Amortization'!$H$511,$C295&lt;='TIF Loan Amortization'!I$511),'TIF Loan Amortization'!$G$511,IF(AND($C295&gt;='TIF Loan Amortization'!$H$512,$C295&lt;='TIF Loan Amortization'!I$512),'TIF Loan Amortization'!$G$512,IF(AND($C295&gt;='TIF Loan Amortization'!$H$513,$C295&lt;='TIF Loan Amortization'!I$513),'TIF Loan Amortization'!$G$513,IF(AND($C295&gt;='TIF Loan Amortization'!$H$514,$C295&lt;='TIF Loan Amortization'!I$514),'TIF Loan Amortization'!$G$514,IF(AND($C295&gt;='TIF Loan Amortization'!$H$515,$C295&lt;='TIF Loan Amortization'!I$515),'TIF Loan Amortization'!$G$515,IF(AND($C295&gt;='TIF Loan Amortization'!$H$516,$C295&lt;='TIF Loan Amortization'!I$516),'TIF Loan Amortization'!$G$516,IF(AND($C295&gt;='TIF Loan Amortization'!$H$517,$C295&lt;='TIF Loan Amortization'!I$517),'TIF Loan Amortization'!$G$517,IF(AND($C295&gt;='TIF Loan Amortization'!$H$518,$C295&lt;='TIF Loan Amortization'!I$518),'TIF Loan Amortization'!$G$518,IF(AND($C295&gt;='TIF Loan Amortization'!$H$519,$C295&lt;='TIF Loan Amortization'!I$519),'TIF Loan Amortization'!$G$519))))))))))))))))))))))))))))))))))))))))</f>
        <v>#N/A</v>
      </c>
      <c r="C295" s="269" t="e">
        <f t="shared" si="36"/>
        <v>#N/A</v>
      </c>
      <c r="D295" s="281" t="str">
        <f>IF($AG$427=1,$H$10+21,"")</f>
        <v/>
      </c>
      <c r="E295" s="274">
        <v>245</v>
      </c>
      <c r="F295" s="275" t="str">
        <f>VLOOKUP($AG$427,$AE$422:$AF$433,2)</f>
        <v>Aug</v>
      </c>
      <c r="G295" s="272">
        <f t="shared" si="37"/>
        <v>0</v>
      </c>
      <c r="H295" s="272">
        <f t="shared" si="40"/>
        <v>0</v>
      </c>
      <c r="I295" s="272">
        <f t="shared" si="41"/>
        <v>0</v>
      </c>
      <c r="J295" s="272">
        <f t="shared" si="38"/>
        <v>0</v>
      </c>
      <c r="K295" s="272">
        <f>IF(ISTEXT($M$4),"",SUM(I$50:I295))</f>
        <v>0</v>
      </c>
      <c r="L295" s="272">
        <f>IF(ISTEXT($M$4),"",SUM(J$50:J295))</f>
        <v>0</v>
      </c>
      <c r="M295" s="271">
        <f t="shared" si="39"/>
        <v>0</v>
      </c>
      <c r="N295" s="291" t="e">
        <f>IF(C295='Operating Assumptions'!$C$48,"Construction Finish","")</f>
        <v>#N/A</v>
      </c>
      <c r="O295" s="291"/>
      <c r="P295" s="291"/>
      <c r="Q295" s="291"/>
      <c r="R295" s="291"/>
      <c r="S295" s="291"/>
      <c r="T295" s="280"/>
      <c r="U295" s="280"/>
      <c r="V295" s="286"/>
      <c r="W295" s="286"/>
      <c r="X295" s="286"/>
      <c r="Y295" s="280"/>
      <c r="Z295" s="279"/>
      <c r="AA295" s="279"/>
      <c r="AB295" s="279"/>
    </row>
    <row r="296" spans="2:28" s="278" customFormat="1" ht="13.5" hidden="1" outlineLevel="1" x14ac:dyDescent="0.25">
      <c r="B296" s="270" t="e">
        <f>IF(AND($C296&gt;='TIF Loan Amortization'!$H$480,$C296&lt;='TIF Loan Amortization'!$I$480),'TIF Loan Amortization'!$G$480,IF(AND($C296&gt;='TIF Loan Amortization'!$H$481,$C296&lt;='TIF Loan Amortization'!I$481),'TIF Loan Amortization'!$G$481,IF(AND($C296&gt;='TIF Loan Amortization'!$H$482,$C296&lt;='TIF Loan Amortization'!I$482),'TIF Loan Amortization'!$G$482,IF(AND($C296&gt;='TIF Loan Amortization'!$H$483,$C296&lt;='TIF Loan Amortization'!I$483),'TIF Loan Amortization'!$G$483,IF(AND($C296&gt;='TIF Loan Amortization'!$H$484,$C296&lt;='TIF Loan Amortization'!I$484),'TIF Loan Amortization'!$G$484,IF(AND($C296&gt;='TIF Loan Amortization'!$H$485,$C296&lt;='TIF Loan Amortization'!I$485),'TIF Loan Amortization'!$G$485,IF(AND($C296&gt;='TIF Loan Amortization'!$H$486,$C296&lt;='TIF Loan Amortization'!I$486),'TIF Loan Amortization'!$G$486,IF(AND($C296&gt;='TIF Loan Amortization'!$H$487,$C296&lt;='TIF Loan Amortization'!I$487),'TIF Loan Amortization'!$G$487,IF(AND($C296&gt;='TIF Loan Amortization'!$H$488,$C296&lt;='TIF Loan Amortization'!I$488),'TIF Loan Amortization'!$G$488,IF(AND($C296&gt;='TIF Loan Amortization'!$H$489,$C296&lt;='TIF Loan Amortization'!I$489),'TIF Loan Amortization'!$G$489,IF(AND($C296&gt;='TIF Loan Amortization'!$H$490,$C296&lt;='TIF Loan Amortization'!I$490),'TIF Loan Amortization'!$G$490,IF(AND($C296&gt;='TIF Loan Amortization'!$H$491,$C296&lt;='TIF Loan Amortization'!I$491),'TIF Loan Amortization'!$G$491,IF(AND($C296&gt;='TIF Loan Amortization'!$H$492,$C296&lt;='TIF Loan Amortization'!I$492),'TIF Loan Amortization'!$G$492,IF(AND($C296&gt;='TIF Loan Amortization'!$H$493,$C296&lt;='TIF Loan Amortization'!I$493),'TIF Loan Amortization'!$G$493,IF(AND($C296&gt;='TIF Loan Amortization'!$H$494,$C296&lt;='TIF Loan Amortization'!I$494),'TIF Loan Amortization'!$G$494,IF(AND($C296&gt;='TIF Loan Amortization'!$H$495,$C296&lt;='TIF Loan Amortization'!I$495),'TIF Loan Amortization'!$G$495,IF(AND($C296&gt;='TIF Loan Amortization'!$H$496,$C296&lt;='TIF Loan Amortization'!I$496),'TIF Loan Amortization'!$G$496,IF(AND($C296&gt;='TIF Loan Amortization'!$H$497,$C296&lt;='TIF Loan Amortization'!I$497),'TIF Loan Amortization'!$G$497,IF(AND($C296&gt;='TIF Loan Amortization'!$H$498,$C296&lt;='TIF Loan Amortization'!I$498),'TIF Loan Amortization'!$G$498,IF(AND($C296&gt;='TIF Loan Amortization'!$H$499,$C296&lt;='TIF Loan Amortization'!I$499),'TIF Loan Amortization'!$G$499,IF(AND($C296&gt;='TIF Loan Amortization'!$H$500,$C296&lt;='TIF Loan Amortization'!I$500),'TIF Loan Amortization'!$G$500,IF(AND($C296&gt;='TIF Loan Amortization'!$H$501,$C296&lt;='TIF Loan Amortization'!I$501),'TIF Loan Amortization'!$G$501,IF(AND($C296&gt;='TIF Loan Amortization'!$H$502,$C296&lt;='TIF Loan Amortization'!I$502),'TIF Loan Amortization'!$G$502,IF(AND($C296&gt;='TIF Loan Amortization'!$H$503,$C296&lt;='TIF Loan Amortization'!I$503),'TIF Loan Amortization'!$G$503,IF(AND($C296&gt;='TIF Loan Amortization'!$H$504,$C296&lt;='TIF Loan Amortization'!I$504),'TIF Loan Amortization'!$G$504,IF(AND($C296&gt;='TIF Loan Amortization'!$H$505,$C296&lt;='TIF Loan Amortization'!I$505),'TIF Loan Amortization'!$G$505,IF(AND($C296&gt;='TIF Loan Amortization'!$H$506,$C296&lt;='TIF Loan Amortization'!I$506),'TIF Loan Amortization'!$G$506,IF(AND($C296&gt;='TIF Loan Amortization'!$H$507,$C296&lt;='TIF Loan Amortization'!I$507),'TIF Loan Amortization'!$G$507,IF(AND($C296&gt;='TIF Loan Amortization'!$H$508,$C296&lt;='TIF Loan Amortization'!I$508),'TIF Loan Amortization'!$G$508,IF(AND($C296&gt;='TIF Loan Amortization'!$H$509,$C296&lt;='TIF Loan Amortization'!I$509),'TIF Loan Amortization'!$G$509,IF(AND($C296&gt;='TIF Loan Amortization'!$H$510,$C296&lt;='TIF Loan Amortization'!I$510),'TIF Loan Amortization'!$G$510,IF(AND($C296&gt;='TIF Loan Amortization'!$H$511,$C296&lt;='TIF Loan Amortization'!I$511),'TIF Loan Amortization'!$G$511,IF(AND($C296&gt;='TIF Loan Amortization'!$H$512,$C296&lt;='TIF Loan Amortization'!I$512),'TIF Loan Amortization'!$G$512,IF(AND($C296&gt;='TIF Loan Amortization'!$H$513,$C296&lt;='TIF Loan Amortization'!I$513),'TIF Loan Amortization'!$G$513,IF(AND($C296&gt;='TIF Loan Amortization'!$H$514,$C296&lt;='TIF Loan Amortization'!I$514),'TIF Loan Amortization'!$G$514,IF(AND($C296&gt;='TIF Loan Amortization'!$H$515,$C296&lt;='TIF Loan Amortization'!I$515),'TIF Loan Amortization'!$G$515,IF(AND($C296&gt;='TIF Loan Amortization'!$H$516,$C296&lt;='TIF Loan Amortization'!I$516),'TIF Loan Amortization'!$G$516,IF(AND($C296&gt;='TIF Loan Amortization'!$H$517,$C296&lt;='TIF Loan Amortization'!I$517),'TIF Loan Amortization'!$G$517,IF(AND($C296&gt;='TIF Loan Amortization'!$H$518,$C296&lt;='TIF Loan Amortization'!I$518),'TIF Loan Amortization'!$G$518,IF(AND($C296&gt;='TIF Loan Amortization'!$H$519,$C296&lt;='TIF Loan Amortization'!I$519),'TIF Loan Amortization'!$G$519))))))))))))))))))))))))))))))))))))))))</f>
        <v>#N/A</v>
      </c>
      <c r="C296" s="269" t="e">
        <f t="shared" si="36"/>
        <v>#N/A</v>
      </c>
      <c r="D296" s="281" t="str">
        <f>IF($AG$428=1,$H$10+21,"")</f>
        <v/>
      </c>
      <c r="E296" s="274">
        <v>246</v>
      </c>
      <c r="F296" s="275" t="str">
        <f>VLOOKUP($AG$428,$AE$422:$AF$433,2)</f>
        <v>Sep</v>
      </c>
      <c r="G296" s="272">
        <f t="shared" si="37"/>
        <v>0</v>
      </c>
      <c r="H296" s="272">
        <f t="shared" si="40"/>
        <v>0</v>
      </c>
      <c r="I296" s="272">
        <f t="shared" si="41"/>
        <v>0</v>
      </c>
      <c r="J296" s="272">
        <f t="shared" si="38"/>
        <v>0</v>
      </c>
      <c r="K296" s="272">
        <f>IF(ISTEXT($M$4),"",SUM(I$50:I296))</f>
        <v>0</v>
      </c>
      <c r="L296" s="272">
        <f>IF(ISTEXT($M$4),"",SUM(J$50:J296))</f>
        <v>0</v>
      </c>
      <c r="M296" s="271">
        <f t="shared" si="39"/>
        <v>0</v>
      </c>
      <c r="N296" s="291" t="e">
        <f>IF(C296='Operating Assumptions'!$C$48,"Construction Finish","")</f>
        <v>#N/A</v>
      </c>
      <c r="O296" s="291"/>
      <c r="P296" s="291"/>
      <c r="Q296" s="291"/>
      <c r="R296" s="291"/>
      <c r="S296" s="291"/>
      <c r="T296" s="280"/>
      <c r="U296" s="280"/>
      <c r="V296" s="286"/>
      <c r="W296" s="286"/>
      <c r="X296" s="286"/>
      <c r="Y296" s="280"/>
      <c r="Z296" s="279"/>
      <c r="AA296" s="279"/>
      <c r="AB296" s="279"/>
    </row>
    <row r="297" spans="2:28" s="278" customFormat="1" ht="13.5" hidden="1" outlineLevel="1" x14ac:dyDescent="0.25">
      <c r="B297" s="270" t="e">
        <f>IF(AND($C297&gt;='TIF Loan Amortization'!$H$480,$C297&lt;='TIF Loan Amortization'!$I$480),'TIF Loan Amortization'!$G$480,IF(AND($C297&gt;='TIF Loan Amortization'!$H$481,$C297&lt;='TIF Loan Amortization'!I$481),'TIF Loan Amortization'!$G$481,IF(AND($C297&gt;='TIF Loan Amortization'!$H$482,$C297&lt;='TIF Loan Amortization'!I$482),'TIF Loan Amortization'!$G$482,IF(AND($C297&gt;='TIF Loan Amortization'!$H$483,$C297&lt;='TIF Loan Amortization'!I$483),'TIF Loan Amortization'!$G$483,IF(AND($C297&gt;='TIF Loan Amortization'!$H$484,$C297&lt;='TIF Loan Amortization'!I$484),'TIF Loan Amortization'!$G$484,IF(AND($C297&gt;='TIF Loan Amortization'!$H$485,$C297&lt;='TIF Loan Amortization'!I$485),'TIF Loan Amortization'!$G$485,IF(AND($C297&gt;='TIF Loan Amortization'!$H$486,$C297&lt;='TIF Loan Amortization'!I$486),'TIF Loan Amortization'!$G$486,IF(AND($C297&gt;='TIF Loan Amortization'!$H$487,$C297&lt;='TIF Loan Amortization'!I$487),'TIF Loan Amortization'!$G$487,IF(AND($C297&gt;='TIF Loan Amortization'!$H$488,$C297&lt;='TIF Loan Amortization'!I$488),'TIF Loan Amortization'!$G$488,IF(AND($C297&gt;='TIF Loan Amortization'!$H$489,$C297&lt;='TIF Loan Amortization'!I$489),'TIF Loan Amortization'!$G$489,IF(AND($C297&gt;='TIF Loan Amortization'!$H$490,$C297&lt;='TIF Loan Amortization'!I$490),'TIF Loan Amortization'!$G$490,IF(AND($C297&gt;='TIF Loan Amortization'!$H$491,$C297&lt;='TIF Loan Amortization'!I$491),'TIF Loan Amortization'!$G$491,IF(AND($C297&gt;='TIF Loan Amortization'!$H$492,$C297&lt;='TIF Loan Amortization'!I$492),'TIF Loan Amortization'!$G$492,IF(AND($C297&gt;='TIF Loan Amortization'!$H$493,$C297&lt;='TIF Loan Amortization'!I$493),'TIF Loan Amortization'!$G$493,IF(AND($C297&gt;='TIF Loan Amortization'!$H$494,$C297&lt;='TIF Loan Amortization'!I$494),'TIF Loan Amortization'!$G$494,IF(AND($C297&gt;='TIF Loan Amortization'!$H$495,$C297&lt;='TIF Loan Amortization'!I$495),'TIF Loan Amortization'!$G$495,IF(AND($C297&gt;='TIF Loan Amortization'!$H$496,$C297&lt;='TIF Loan Amortization'!I$496),'TIF Loan Amortization'!$G$496,IF(AND($C297&gt;='TIF Loan Amortization'!$H$497,$C297&lt;='TIF Loan Amortization'!I$497),'TIF Loan Amortization'!$G$497,IF(AND($C297&gt;='TIF Loan Amortization'!$H$498,$C297&lt;='TIF Loan Amortization'!I$498),'TIF Loan Amortization'!$G$498,IF(AND($C297&gt;='TIF Loan Amortization'!$H$499,$C297&lt;='TIF Loan Amortization'!I$499),'TIF Loan Amortization'!$G$499,IF(AND($C297&gt;='TIF Loan Amortization'!$H$500,$C297&lt;='TIF Loan Amortization'!I$500),'TIF Loan Amortization'!$G$500,IF(AND($C297&gt;='TIF Loan Amortization'!$H$501,$C297&lt;='TIF Loan Amortization'!I$501),'TIF Loan Amortization'!$G$501,IF(AND($C297&gt;='TIF Loan Amortization'!$H$502,$C297&lt;='TIF Loan Amortization'!I$502),'TIF Loan Amortization'!$G$502,IF(AND($C297&gt;='TIF Loan Amortization'!$H$503,$C297&lt;='TIF Loan Amortization'!I$503),'TIF Loan Amortization'!$G$503,IF(AND($C297&gt;='TIF Loan Amortization'!$H$504,$C297&lt;='TIF Loan Amortization'!I$504),'TIF Loan Amortization'!$G$504,IF(AND($C297&gt;='TIF Loan Amortization'!$H$505,$C297&lt;='TIF Loan Amortization'!I$505),'TIF Loan Amortization'!$G$505,IF(AND($C297&gt;='TIF Loan Amortization'!$H$506,$C297&lt;='TIF Loan Amortization'!I$506),'TIF Loan Amortization'!$G$506,IF(AND($C297&gt;='TIF Loan Amortization'!$H$507,$C297&lt;='TIF Loan Amortization'!I$507),'TIF Loan Amortization'!$G$507,IF(AND($C297&gt;='TIF Loan Amortization'!$H$508,$C297&lt;='TIF Loan Amortization'!I$508),'TIF Loan Amortization'!$G$508,IF(AND($C297&gt;='TIF Loan Amortization'!$H$509,$C297&lt;='TIF Loan Amortization'!I$509),'TIF Loan Amortization'!$G$509,IF(AND($C297&gt;='TIF Loan Amortization'!$H$510,$C297&lt;='TIF Loan Amortization'!I$510),'TIF Loan Amortization'!$G$510,IF(AND($C297&gt;='TIF Loan Amortization'!$H$511,$C297&lt;='TIF Loan Amortization'!I$511),'TIF Loan Amortization'!$G$511,IF(AND($C297&gt;='TIF Loan Amortization'!$H$512,$C297&lt;='TIF Loan Amortization'!I$512),'TIF Loan Amortization'!$G$512,IF(AND($C297&gt;='TIF Loan Amortization'!$H$513,$C297&lt;='TIF Loan Amortization'!I$513),'TIF Loan Amortization'!$G$513,IF(AND($C297&gt;='TIF Loan Amortization'!$H$514,$C297&lt;='TIF Loan Amortization'!I$514),'TIF Loan Amortization'!$G$514,IF(AND($C297&gt;='TIF Loan Amortization'!$H$515,$C297&lt;='TIF Loan Amortization'!I$515),'TIF Loan Amortization'!$G$515,IF(AND($C297&gt;='TIF Loan Amortization'!$H$516,$C297&lt;='TIF Loan Amortization'!I$516),'TIF Loan Amortization'!$G$516,IF(AND($C297&gt;='TIF Loan Amortization'!$H$517,$C297&lt;='TIF Loan Amortization'!I$517),'TIF Loan Amortization'!$G$517,IF(AND($C297&gt;='TIF Loan Amortization'!$H$518,$C297&lt;='TIF Loan Amortization'!I$518),'TIF Loan Amortization'!$G$518,IF(AND($C297&gt;='TIF Loan Amortization'!$H$519,$C297&lt;='TIF Loan Amortization'!I$519),'TIF Loan Amortization'!$G$519))))))))))))))))))))))))))))))))))))))))</f>
        <v>#N/A</v>
      </c>
      <c r="C297" s="269" t="e">
        <f t="shared" si="36"/>
        <v>#N/A</v>
      </c>
      <c r="D297" s="281" t="str">
        <f>IF($AG$429=1,$H$10+21,"")</f>
        <v/>
      </c>
      <c r="E297" s="274">
        <v>247</v>
      </c>
      <c r="F297" s="275" t="str">
        <f>VLOOKUP($AG$429,$AE$422:$AF$433,2)</f>
        <v>Oct</v>
      </c>
      <c r="G297" s="272">
        <f t="shared" si="37"/>
        <v>0</v>
      </c>
      <c r="H297" s="272">
        <f t="shared" si="40"/>
        <v>0</v>
      </c>
      <c r="I297" s="272">
        <f t="shared" si="41"/>
        <v>0</v>
      </c>
      <c r="J297" s="272">
        <f t="shared" si="38"/>
        <v>0</v>
      </c>
      <c r="K297" s="272">
        <f>IF(ISTEXT($M$4),"",SUM(I$50:I297))</f>
        <v>0</v>
      </c>
      <c r="L297" s="272">
        <f>IF(ISTEXT($M$4),"",SUM(J$50:J297))</f>
        <v>0</v>
      </c>
      <c r="M297" s="271">
        <f t="shared" si="39"/>
        <v>0</v>
      </c>
      <c r="N297" s="291" t="e">
        <f>IF(C297='Operating Assumptions'!$C$48,"Construction Finish","")</f>
        <v>#N/A</v>
      </c>
      <c r="O297" s="291"/>
      <c r="P297" s="291"/>
      <c r="Q297" s="291"/>
      <c r="R297" s="291"/>
      <c r="S297" s="291"/>
      <c r="T297" s="280"/>
      <c r="U297" s="280"/>
      <c r="V297" s="286"/>
      <c r="W297" s="286"/>
      <c r="X297" s="286"/>
      <c r="Y297" s="280"/>
      <c r="Z297" s="279"/>
      <c r="AA297" s="279"/>
      <c r="AB297" s="279"/>
    </row>
    <row r="298" spans="2:28" s="278" customFormat="1" ht="13.5" hidden="1" outlineLevel="1" x14ac:dyDescent="0.25">
      <c r="B298" s="270" t="e">
        <f>IF(AND($C298&gt;='TIF Loan Amortization'!$H$480,$C298&lt;='TIF Loan Amortization'!$I$480),'TIF Loan Amortization'!$G$480,IF(AND($C298&gt;='TIF Loan Amortization'!$H$481,$C298&lt;='TIF Loan Amortization'!I$481),'TIF Loan Amortization'!$G$481,IF(AND($C298&gt;='TIF Loan Amortization'!$H$482,$C298&lt;='TIF Loan Amortization'!I$482),'TIF Loan Amortization'!$G$482,IF(AND($C298&gt;='TIF Loan Amortization'!$H$483,$C298&lt;='TIF Loan Amortization'!I$483),'TIF Loan Amortization'!$G$483,IF(AND($C298&gt;='TIF Loan Amortization'!$H$484,$C298&lt;='TIF Loan Amortization'!I$484),'TIF Loan Amortization'!$G$484,IF(AND($C298&gt;='TIF Loan Amortization'!$H$485,$C298&lt;='TIF Loan Amortization'!I$485),'TIF Loan Amortization'!$G$485,IF(AND($C298&gt;='TIF Loan Amortization'!$H$486,$C298&lt;='TIF Loan Amortization'!I$486),'TIF Loan Amortization'!$G$486,IF(AND($C298&gt;='TIF Loan Amortization'!$H$487,$C298&lt;='TIF Loan Amortization'!I$487),'TIF Loan Amortization'!$G$487,IF(AND($C298&gt;='TIF Loan Amortization'!$H$488,$C298&lt;='TIF Loan Amortization'!I$488),'TIF Loan Amortization'!$G$488,IF(AND($C298&gt;='TIF Loan Amortization'!$H$489,$C298&lt;='TIF Loan Amortization'!I$489),'TIF Loan Amortization'!$G$489,IF(AND($C298&gt;='TIF Loan Amortization'!$H$490,$C298&lt;='TIF Loan Amortization'!I$490),'TIF Loan Amortization'!$G$490,IF(AND($C298&gt;='TIF Loan Amortization'!$H$491,$C298&lt;='TIF Loan Amortization'!I$491),'TIF Loan Amortization'!$G$491,IF(AND($C298&gt;='TIF Loan Amortization'!$H$492,$C298&lt;='TIF Loan Amortization'!I$492),'TIF Loan Amortization'!$G$492,IF(AND($C298&gt;='TIF Loan Amortization'!$H$493,$C298&lt;='TIF Loan Amortization'!I$493),'TIF Loan Amortization'!$G$493,IF(AND($C298&gt;='TIF Loan Amortization'!$H$494,$C298&lt;='TIF Loan Amortization'!I$494),'TIF Loan Amortization'!$G$494,IF(AND($C298&gt;='TIF Loan Amortization'!$H$495,$C298&lt;='TIF Loan Amortization'!I$495),'TIF Loan Amortization'!$G$495,IF(AND($C298&gt;='TIF Loan Amortization'!$H$496,$C298&lt;='TIF Loan Amortization'!I$496),'TIF Loan Amortization'!$G$496,IF(AND($C298&gt;='TIF Loan Amortization'!$H$497,$C298&lt;='TIF Loan Amortization'!I$497),'TIF Loan Amortization'!$G$497,IF(AND($C298&gt;='TIF Loan Amortization'!$H$498,$C298&lt;='TIF Loan Amortization'!I$498),'TIF Loan Amortization'!$G$498,IF(AND($C298&gt;='TIF Loan Amortization'!$H$499,$C298&lt;='TIF Loan Amortization'!I$499),'TIF Loan Amortization'!$G$499,IF(AND($C298&gt;='TIF Loan Amortization'!$H$500,$C298&lt;='TIF Loan Amortization'!I$500),'TIF Loan Amortization'!$G$500,IF(AND($C298&gt;='TIF Loan Amortization'!$H$501,$C298&lt;='TIF Loan Amortization'!I$501),'TIF Loan Amortization'!$G$501,IF(AND($C298&gt;='TIF Loan Amortization'!$H$502,$C298&lt;='TIF Loan Amortization'!I$502),'TIF Loan Amortization'!$G$502,IF(AND($C298&gt;='TIF Loan Amortization'!$H$503,$C298&lt;='TIF Loan Amortization'!I$503),'TIF Loan Amortization'!$G$503,IF(AND($C298&gt;='TIF Loan Amortization'!$H$504,$C298&lt;='TIF Loan Amortization'!I$504),'TIF Loan Amortization'!$G$504,IF(AND($C298&gt;='TIF Loan Amortization'!$H$505,$C298&lt;='TIF Loan Amortization'!I$505),'TIF Loan Amortization'!$G$505,IF(AND($C298&gt;='TIF Loan Amortization'!$H$506,$C298&lt;='TIF Loan Amortization'!I$506),'TIF Loan Amortization'!$G$506,IF(AND($C298&gt;='TIF Loan Amortization'!$H$507,$C298&lt;='TIF Loan Amortization'!I$507),'TIF Loan Amortization'!$G$507,IF(AND($C298&gt;='TIF Loan Amortization'!$H$508,$C298&lt;='TIF Loan Amortization'!I$508),'TIF Loan Amortization'!$G$508,IF(AND($C298&gt;='TIF Loan Amortization'!$H$509,$C298&lt;='TIF Loan Amortization'!I$509),'TIF Loan Amortization'!$G$509,IF(AND($C298&gt;='TIF Loan Amortization'!$H$510,$C298&lt;='TIF Loan Amortization'!I$510),'TIF Loan Amortization'!$G$510,IF(AND($C298&gt;='TIF Loan Amortization'!$H$511,$C298&lt;='TIF Loan Amortization'!I$511),'TIF Loan Amortization'!$G$511,IF(AND($C298&gt;='TIF Loan Amortization'!$H$512,$C298&lt;='TIF Loan Amortization'!I$512),'TIF Loan Amortization'!$G$512,IF(AND($C298&gt;='TIF Loan Amortization'!$H$513,$C298&lt;='TIF Loan Amortization'!I$513),'TIF Loan Amortization'!$G$513,IF(AND($C298&gt;='TIF Loan Amortization'!$H$514,$C298&lt;='TIF Loan Amortization'!I$514),'TIF Loan Amortization'!$G$514,IF(AND($C298&gt;='TIF Loan Amortization'!$H$515,$C298&lt;='TIF Loan Amortization'!I$515),'TIF Loan Amortization'!$G$515,IF(AND($C298&gt;='TIF Loan Amortization'!$H$516,$C298&lt;='TIF Loan Amortization'!I$516),'TIF Loan Amortization'!$G$516,IF(AND($C298&gt;='TIF Loan Amortization'!$H$517,$C298&lt;='TIF Loan Amortization'!I$517),'TIF Loan Amortization'!$G$517,IF(AND($C298&gt;='TIF Loan Amortization'!$H$518,$C298&lt;='TIF Loan Amortization'!I$518),'TIF Loan Amortization'!$G$518,IF(AND($C298&gt;='TIF Loan Amortization'!$H$519,$C298&lt;='TIF Loan Amortization'!I$519),'TIF Loan Amortization'!$G$519))))))))))))))))))))))))))))))))))))))))</f>
        <v>#N/A</v>
      </c>
      <c r="C298" s="269" t="e">
        <f t="shared" si="36"/>
        <v>#N/A</v>
      </c>
      <c r="D298" s="281" t="str">
        <f>IF($AG$430=1,$H$10+21,"")</f>
        <v/>
      </c>
      <c r="E298" s="274">
        <v>248</v>
      </c>
      <c r="F298" s="275" t="str">
        <f>VLOOKUP($AG$430,$AE$422:$AF$433,2)</f>
        <v>Nov</v>
      </c>
      <c r="G298" s="272">
        <f t="shared" si="37"/>
        <v>0</v>
      </c>
      <c r="H298" s="272">
        <f t="shared" si="40"/>
        <v>0</v>
      </c>
      <c r="I298" s="272">
        <f t="shared" si="41"/>
        <v>0</v>
      </c>
      <c r="J298" s="272">
        <f t="shared" si="38"/>
        <v>0</v>
      </c>
      <c r="K298" s="272">
        <f>IF(ISTEXT($M$4),"",SUM(I$50:I298))</f>
        <v>0</v>
      </c>
      <c r="L298" s="272">
        <f>IF(ISTEXT($M$4),"",SUM(J$50:J298))</f>
        <v>0</v>
      </c>
      <c r="M298" s="271">
        <f t="shared" si="39"/>
        <v>0</v>
      </c>
      <c r="N298" s="291" t="e">
        <f>IF(C298='Operating Assumptions'!$C$48,"Construction Finish","")</f>
        <v>#N/A</v>
      </c>
      <c r="O298" s="291"/>
      <c r="P298" s="291"/>
      <c r="Q298" s="291"/>
      <c r="R298" s="291"/>
      <c r="S298" s="291"/>
      <c r="T298" s="280"/>
      <c r="U298" s="280"/>
      <c r="V298" s="286"/>
      <c r="W298" s="286"/>
      <c r="X298" s="286"/>
      <c r="Y298" s="280"/>
      <c r="Z298" s="279"/>
      <c r="AA298" s="279"/>
      <c r="AB298" s="279"/>
    </row>
    <row r="299" spans="2:28" s="278" customFormat="1" ht="13.5" hidden="1" outlineLevel="1" x14ac:dyDescent="0.25">
      <c r="B299" s="270" t="e">
        <f>IF(AND($C299&gt;='TIF Loan Amortization'!$H$480,$C299&lt;='TIF Loan Amortization'!$I$480),'TIF Loan Amortization'!$G$480,IF(AND($C299&gt;='TIF Loan Amortization'!$H$481,$C299&lt;='TIF Loan Amortization'!I$481),'TIF Loan Amortization'!$G$481,IF(AND($C299&gt;='TIF Loan Amortization'!$H$482,$C299&lt;='TIF Loan Amortization'!I$482),'TIF Loan Amortization'!$G$482,IF(AND($C299&gt;='TIF Loan Amortization'!$H$483,$C299&lt;='TIF Loan Amortization'!I$483),'TIF Loan Amortization'!$G$483,IF(AND($C299&gt;='TIF Loan Amortization'!$H$484,$C299&lt;='TIF Loan Amortization'!I$484),'TIF Loan Amortization'!$G$484,IF(AND($C299&gt;='TIF Loan Amortization'!$H$485,$C299&lt;='TIF Loan Amortization'!I$485),'TIF Loan Amortization'!$G$485,IF(AND($C299&gt;='TIF Loan Amortization'!$H$486,$C299&lt;='TIF Loan Amortization'!I$486),'TIF Loan Amortization'!$G$486,IF(AND($C299&gt;='TIF Loan Amortization'!$H$487,$C299&lt;='TIF Loan Amortization'!I$487),'TIF Loan Amortization'!$G$487,IF(AND($C299&gt;='TIF Loan Amortization'!$H$488,$C299&lt;='TIF Loan Amortization'!I$488),'TIF Loan Amortization'!$G$488,IF(AND($C299&gt;='TIF Loan Amortization'!$H$489,$C299&lt;='TIF Loan Amortization'!I$489),'TIF Loan Amortization'!$G$489,IF(AND($C299&gt;='TIF Loan Amortization'!$H$490,$C299&lt;='TIF Loan Amortization'!I$490),'TIF Loan Amortization'!$G$490,IF(AND($C299&gt;='TIF Loan Amortization'!$H$491,$C299&lt;='TIF Loan Amortization'!I$491),'TIF Loan Amortization'!$G$491,IF(AND($C299&gt;='TIF Loan Amortization'!$H$492,$C299&lt;='TIF Loan Amortization'!I$492),'TIF Loan Amortization'!$G$492,IF(AND($C299&gt;='TIF Loan Amortization'!$H$493,$C299&lt;='TIF Loan Amortization'!I$493),'TIF Loan Amortization'!$G$493,IF(AND($C299&gt;='TIF Loan Amortization'!$H$494,$C299&lt;='TIF Loan Amortization'!I$494),'TIF Loan Amortization'!$G$494,IF(AND($C299&gt;='TIF Loan Amortization'!$H$495,$C299&lt;='TIF Loan Amortization'!I$495),'TIF Loan Amortization'!$G$495,IF(AND($C299&gt;='TIF Loan Amortization'!$H$496,$C299&lt;='TIF Loan Amortization'!I$496),'TIF Loan Amortization'!$G$496,IF(AND($C299&gt;='TIF Loan Amortization'!$H$497,$C299&lt;='TIF Loan Amortization'!I$497),'TIF Loan Amortization'!$G$497,IF(AND($C299&gt;='TIF Loan Amortization'!$H$498,$C299&lt;='TIF Loan Amortization'!I$498),'TIF Loan Amortization'!$G$498,IF(AND($C299&gt;='TIF Loan Amortization'!$H$499,$C299&lt;='TIF Loan Amortization'!I$499),'TIF Loan Amortization'!$G$499,IF(AND($C299&gt;='TIF Loan Amortization'!$H$500,$C299&lt;='TIF Loan Amortization'!I$500),'TIF Loan Amortization'!$G$500,IF(AND($C299&gt;='TIF Loan Amortization'!$H$501,$C299&lt;='TIF Loan Amortization'!I$501),'TIF Loan Amortization'!$G$501,IF(AND($C299&gt;='TIF Loan Amortization'!$H$502,$C299&lt;='TIF Loan Amortization'!I$502),'TIF Loan Amortization'!$G$502,IF(AND($C299&gt;='TIF Loan Amortization'!$H$503,$C299&lt;='TIF Loan Amortization'!I$503),'TIF Loan Amortization'!$G$503,IF(AND($C299&gt;='TIF Loan Amortization'!$H$504,$C299&lt;='TIF Loan Amortization'!I$504),'TIF Loan Amortization'!$G$504,IF(AND($C299&gt;='TIF Loan Amortization'!$H$505,$C299&lt;='TIF Loan Amortization'!I$505),'TIF Loan Amortization'!$G$505,IF(AND($C299&gt;='TIF Loan Amortization'!$H$506,$C299&lt;='TIF Loan Amortization'!I$506),'TIF Loan Amortization'!$G$506,IF(AND($C299&gt;='TIF Loan Amortization'!$H$507,$C299&lt;='TIF Loan Amortization'!I$507),'TIF Loan Amortization'!$G$507,IF(AND($C299&gt;='TIF Loan Amortization'!$H$508,$C299&lt;='TIF Loan Amortization'!I$508),'TIF Loan Amortization'!$G$508,IF(AND($C299&gt;='TIF Loan Amortization'!$H$509,$C299&lt;='TIF Loan Amortization'!I$509),'TIF Loan Amortization'!$G$509,IF(AND($C299&gt;='TIF Loan Amortization'!$H$510,$C299&lt;='TIF Loan Amortization'!I$510),'TIF Loan Amortization'!$G$510,IF(AND($C299&gt;='TIF Loan Amortization'!$H$511,$C299&lt;='TIF Loan Amortization'!I$511),'TIF Loan Amortization'!$G$511,IF(AND($C299&gt;='TIF Loan Amortization'!$H$512,$C299&lt;='TIF Loan Amortization'!I$512),'TIF Loan Amortization'!$G$512,IF(AND($C299&gt;='TIF Loan Amortization'!$H$513,$C299&lt;='TIF Loan Amortization'!I$513),'TIF Loan Amortization'!$G$513,IF(AND($C299&gt;='TIF Loan Amortization'!$H$514,$C299&lt;='TIF Loan Amortization'!I$514),'TIF Loan Amortization'!$G$514,IF(AND($C299&gt;='TIF Loan Amortization'!$H$515,$C299&lt;='TIF Loan Amortization'!I$515),'TIF Loan Amortization'!$G$515,IF(AND($C299&gt;='TIF Loan Amortization'!$H$516,$C299&lt;='TIF Loan Amortization'!I$516),'TIF Loan Amortization'!$G$516,IF(AND($C299&gt;='TIF Loan Amortization'!$H$517,$C299&lt;='TIF Loan Amortization'!I$517),'TIF Loan Amortization'!$G$517,IF(AND($C299&gt;='TIF Loan Amortization'!$H$518,$C299&lt;='TIF Loan Amortization'!I$518),'TIF Loan Amortization'!$G$518,IF(AND($C299&gt;='TIF Loan Amortization'!$H$519,$C299&lt;='TIF Loan Amortization'!I$519),'TIF Loan Amortization'!$G$519))))))))))))))))))))))))))))))))))))))))</f>
        <v>#N/A</v>
      </c>
      <c r="C299" s="269" t="e">
        <f t="shared" si="36"/>
        <v>#N/A</v>
      </c>
      <c r="D299" s="281" t="str">
        <f>IF($AG$431=1,$H$10+21,"")</f>
        <v/>
      </c>
      <c r="E299" s="274">
        <v>249</v>
      </c>
      <c r="F299" s="275" t="str">
        <f>VLOOKUP($AG$431,$AE$422:$AF$433,2)</f>
        <v>Dec</v>
      </c>
      <c r="G299" s="272">
        <f t="shared" si="37"/>
        <v>0</v>
      </c>
      <c r="H299" s="272">
        <f t="shared" si="40"/>
        <v>0</v>
      </c>
      <c r="I299" s="272">
        <f t="shared" si="41"/>
        <v>0</v>
      </c>
      <c r="J299" s="272">
        <f t="shared" si="38"/>
        <v>0</v>
      </c>
      <c r="K299" s="272">
        <f>IF(ISTEXT($M$4),"",SUM(I$50:I299))</f>
        <v>0</v>
      </c>
      <c r="L299" s="272">
        <f>IF(ISTEXT($M$4),"",SUM(J$50:J299))</f>
        <v>0</v>
      </c>
      <c r="M299" s="271">
        <f t="shared" si="39"/>
        <v>0</v>
      </c>
      <c r="N299" s="291" t="e">
        <f>IF(C299='Operating Assumptions'!$C$48,"Construction Finish","")</f>
        <v>#N/A</v>
      </c>
      <c r="O299" s="291"/>
      <c r="P299" s="291"/>
      <c r="Q299" s="291"/>
      <c r="R299" s="291"/>
      <c r="S299" s="291"/>
      <c r="T299" s="280"/>
      <c r="U299" s="280"/>
      <c r="V299" s="286"/>
      <c r="W299" s="286"/>
      <c r="X299" s="286"/>
      <c r="Y299" s="280"/>
      <c r="Z299" s="279"/>
      <c r="AA299" s="279"/>
      <c r="AB299" s="279"/>
    </row>
    <row r="300" spans="2:28" s="278" customFormat="1" ht="13.5" hidden="1" outlineLevel="1" x14ac:dyDescent="0.25">
      <c r="B300" s="270" t="e">
        <f>IF(AND($C300&gt;='TIF Loan Amortization'!$H$480,$C300&lt;='TIF Loan Amortization'!$I$480),'TIF Loan Amortization'!$G$480,IF(AND($C300&gt;='TIF Loan Amortization'!$H$481,$C300&lt;='TIF Loan Amortization'!I$481),'TIF Loan Amortization'!$G$481,IF(AND($C300&gt;='TIF Loan Amortization'!$H$482,$C300&lt;='TIF Loan Amortization'!I$482),'TIF Loan Amortization'!$G$482,IF(AND($C300&gt;='TIF Loan Amortization'!$H$483,$C300&lt;='TIF Loan Amortization'!I$483),'TIF Loan Amortization'!$G$483,IF(AND($C300&gt;='TIF Loan Amortization'!$H$484,$C300&lt;='TIF Loan Amortization'!I$484),'TIF Loan Amortization'!$G$484,IF(AND($C300&gt;='TIF Loan Amortization'!$H$485,$C300&lt;='TIF Loan Amortization'!I$485),'TIF Loan Amortization'!$G$485,IF(AND($C300&gt;='TIF Loan Amortization'!$H$486,$C300&lt;='TIF Loan Amortization'!I$486),'TIF Loan Amortization'!$G$486,IF(AND($C300&gt;='TIF Loan Amortization'!$H$487,$C300&lt;='TIF Loan Amortization'!I$487),'TIF Loan Amortization'!$G$487,IF(AND($C300&gt;='TIF Loan Amortization'!$H$488,$C300&lt;='TIF Loan Amortization'!I$488),'TIF Loan Amortization'!$G$488,IF(AND($C300&gt;='TIF Loan Amortization'!$H$489,$C300&lt;='TIF Loan Amortization'!I$489),'TIF Loan Amortization'!$G$489,IF(AND($C300&gt;='TIF Loan Amortization'!$H$490,$C300&lt;='TIF Loan Amortization'!I$490),'TIF Loan Amortization'!$G$490,IF(AND($C300&gt;='TIF Loan Amortization'!$H$491,$C300&lt;='TIF Loan Amortization'!I$491),'TIF Loan Amortization'!$G$491,IF(AND($C300&gt;='TIF Loan Amortization'!$H$492,$C300&lt;='TIF Loan Amortization'!I$492),'TIF Loan Amortization'!$G$492,IF(AND($C300&gt;='TIF Loan Amortization'!$H$493,$C300&lt;='TIF Loan Amortization'!I$493),'TIF Loan Amortization'!$G$493,IF(AND($C300&gt;='TIF Loan Amortization'!$H$494,$C300&lt;='TIF Loan Amortization'!I$494),'TIF Loan Amortization'!$G$494,IF(AND($C300&gt;='TIF Loan Amortization'!$H$495,$C300&lt;='TIF Loan Amortization'!I$495),'TIF Loan Amortization'!$G$495,IF(AND($C300&gt;='TIF Loan Amortization'!$H$496,$C300&lt;='TIF Loan Amortization'!I$496),'TIF Loan Amortization'!$G$496,IF(AND($C300&gt;='TIF Loan Amortization'!$H$497,$C300&lt;='TIF Loan Amortization'!I$497),'TIF Loan Amortization'!$G$497,IF(AND($C300&gt;='TIF Loan Amortization'!$H$498,$C300&lt;='TIF Loan Amortization'!I$498),'TIF Loan Amortization'!$G$498,IF(AND($C300&gt;='TIF Loan Amortization'!$H$499,$C300&lt;='TIF Loan Amortization'!I$499),'TIF Loan Amortization'!$G$499,IF(AND($C300&gt;='TIF Loan Amortization'!$H$500,$C300&lt;='TIF Loan Amortization'!I$500),'TIF Loan Amortization'!$G$500,IF(AND($C300&gt;='TIF Loan Amortization'!$H$501,$C300&lt;='TIF Loan Amortization'!I$501),'TIF Loan Amortization'!$G$501,IF(AND($C300&gt;='TIF Loan Amortization'!$H$502,$C300&lt;='TIF Loan Amortization'!I$502),'TIF Loan Amortization'!$G$502,IF(AND($C300&gt;='TIF Loan Amortization'!$H$503,$C300&lt;='TIF Loan Amortization'!I$503),'TIF Loan Amortization'!$G$503,IF(AND($C300&gt;='TIF Loan Amortization'!$H$504,$C300&lt;='TIF Loan Amortization'!I$504),'TIF Loan Amortization'!$G$504,IF(AND($C300&gt;='TIF Loan Amortization'!$H$505,$C300&lt;='TIF Loan Amortization'!I$505),'TIF Loan Amortization'!$G$505,IF(AND($C300&gt;='TIF Loan Amortization'!$H$506,$C300&lt;='TIF Loan Amortization'!I$506),'TIF Loan Amortization'!$G$506,IF(AND($C300&gt;='TIF Loan Amortization'!$H$507,$C300&lt;='TIF Loan Amortization'!I$507),'TIF Loan Amortization'!$G$507,IF(AND($C300&gt;='TIF Loan Amortization'!$H$508,$C300&lt;='TIF Loan Amortization'!I$508),'TIF Loan Amortization'!$G$508,IF(AND($C300&gt;='TIF Loan Amortization'!$H$509,$C300&lt;='TIF Loan Amortization'!I$509),'TIF Loan Amortization'!$G$509,IF(AND($C300&gt;='TIF Loan Amortization'!$H$510,$C300&lt;='TIF Loan Amortization'!I$510),'TIF Loan Amortization'!$G$510,IF(AND($C300&gt;='TIF Loan Amortization'!$H$511,$C300&lt;='TIF Loan Amortization'!I$511),'TIF Loan Amortization'!$G$511,IF(AND($C300&gt;='TIF Loan Amortization'!$H$512,$C300&lt;='TIF Loan Amortization'!I$512),'TIF Loan Amortization'!$G$512,IF(AND($C300&gt;='TIF Loan Amortization'!$H$513,$C300&lt;='TIF Loan Amortization'!I$513),'TIF Loan Amortization'!$G$513,IF(AND($C300&gt;='TIF Loan Amortization'!$H$514,$C300&lt;='TIF Loan Amortization'!I$514),'TIF Loan Amortization'!$G$514,IF(AND($C300&gt;='TIF Loan Amortization'!$H$515,$C300&lt;='TIF Loan Amortization'!I$515),'TIF Loan Amortization'!$G$515,IF(AND($C300&gt;='TIF Loan Amortization'!$H$516,$C300&lt;='TIF Loan Amortization'!I$516),'TIF Loan Amortization'!$G$516,IF(AND($C300&gt;='TIF Loan Amortization'!$H$517,$C300&lt;='TIF Loan Amortization'!I$517),'TIF Loan Amortization'!$G$517,IF(AND($C300&gt;='TIF Loan Amortization'!$H$518,$C300&lt;='TIF Loan Amortization'!I$518),'TIF Loan Amortization'!$G$518,IF(AND($C300&gt;='TIF Loan Amortization'!$H$519,$C300&lt;='TIF Loan Amortization'!I$519),'TIF Loan Amortization'!$G$519))))))))))))))))))))))))))))))))))))))))</f>
        <v>#N/A</v>
      </c>
      <c r="C300" s="269" t="e">
        <f t="shared" si="36"/>
        <v>#N/A</v>
      </c>
      <c r="D300" s="281">
        <f>IF($AG$432=1,$H$10+21,"")</f>
        <v>2046</v>
      </c>
      <c r="E300" s="274">
        <v>250</v>
      </c>
      <c r="F300" s="273" t="str">
        <f>VLOOKUP($AG$432,$AE$422:$AF$433,2)</f>
        <v>Jan</v>
      </c>
      <c r="G300" s="272">
        <f t="shared" si="37"/>
        <v>0</v>
      </c>
      <c r="H300" s="272">
        <f t="shared" si="40"/>
        <v>0</v>
      </c>
      <c r="I300" s="272">
        <f t="shared" si="41"/>
        <v>0</v>
      </c>
      <c r="J300" s="272">
        <f t="shared" si="38"/>
        <v>0</v>
      </c>
      <c r="K300" s="272">
        <f>IF(ISTEXT($M$4),"",SUM(I$50:I300))</f>
        <v>0</v>
      </c>
      <c r="L300" s="272">
        <f>IF(ISTEXT($M$4),"",SUM(J$50:J300))</f>
        <v>0</v>
      </c>
      <c r="M300" s="271">
        <f t="shared" si="39"/>
        <v>0</v>
      </c>
      <c r="N300" s="291" t="e">
        <f>IF(C300='Operating Assumptions'!$C$48,"Construction Finish","")</f>
        <v>#N/A</v>
      </c>
      <c r="O300" s="291"/>
      <c r="P300" s="291"/>
      <c r="Q300" s="291"/>
      <c r="R300" s="291"/>
      <c r="S300" s="291"/>
      <c r="T300" s="280"/>
      <c r="U300" s="280"/>
      <c r="V300" s="286"/>
      <c r="W300" s="286"/>
      <c r="X300" s="286"/>
      <c r="Y300" s="280"/>
      <c r="Z300" s="279"/>
      <c r="AA300" s="279"/>
      <c r="AB300" s="279"/>
    </row>
    <row r="301" spans="2:28" s="278" customFormat="1" ht="13.5" hidden="1" outlineLevel="1" x14ac:dyDescent="0.25">
      <c r="B301" s="270" t="e">
        <f>IF(AND($C301&gt;='TIF Loan Amortization'!$H$480,$C301&lt;='TIF Loan Amortization'!$I$480),'TIF Loan Amortization'!$G$480,IF(AND($C301&gt;='TIF Loan Amortization'!$H$481,$C301&lt;='TIF Loan Amortization'!I$481),'TIF Loan Amortization'!$G$481,IF(AND($C301&gt;='TIF Loan Amortization'!$H$482,$C301&lt;='TIF Loan Amortization'!I$482),'TIF Loan Amortization'!$G$482,IF(AND($C301&gt;='TIF Loan Amortization'!$H$483,$C301&lt;='TIF Loan Amortization'!I$483),'TIF Loan Amortization'!$G$483,IF(AND($C301&gt;='TIF Loan Amortization'!$H$484,$C301&lt;='TIF Loan Amortization'!I$484),'TIF Loan Amortization'!$G$484,IF(AND($C301&gt;='TIF Loan Amortization'!$H$485,$C301&lt;='TIF Loan Amortization'!I$485),'TIF Loan Amortization'!$G$485,IF(AND($C301&gt;='TIF Loan Amortization'!$H$486,$C301&lt;='TIF Loan Amortization'!I$486),'TIF Loan Amortization'!$G$486,IF(AND($C301&gt;='TIF Loan Amortization'!$H$487,$C301&lt;='TIF Loan Amortization'!I$487),'TIF Loan Amortization'!$G$487,IF(AND($C301&gt;='TIF Loan Amortization'!$H$488,$C301&lt;='TIF Loan Amortization'!I$488),'TIF Loan Amortization'!$G$488,IF(AND($C301&gt;='TIF Loan Amortization'!$H$489,$C301&lt;='TIF Loan Amortization'!I$489),'TIF Loan Amortization'!$G$489,IF(AND($C301&gt;='TIF Loan Amortization'!$H$490,$C301&lt;='TIF Loan Amortization'!I$490),'TIF Loan Amortization'!$G$490,IF(AND($C301&gt;='TIF Loan Amortization'!$H$491,$C301&lt;='TIF Loan Amortization'!I$491),'TIF Loan Amortization'!$G$491,IF(AND($C301&gt;='TIF Loan Amortization'!$H$492,$C301&lt;='TIF Loan Amortization'!I$492),'TIF Loan Amortization'!$G$492,IF(AND($C301&gt;='TIF Loan Amortization'!$H$493,$C301&lt;='TIF Loan Amortization'!I$493),'TIF Loan Amortization'!$G$493,IF(AND($C301&gt;='TIF Loan Amortization'!$H$494,$C301&lt;='TIF Loan Amortization'!I$494),'TIF Loan Amortization'!$G$494,IF(AND($C301&gt;='TIF Loan Amortization'!$H$495,$C301&lt;='TIF Loan Amortization'!I$495),'TIF Loan Amortization'!$G$495,IF(AND($C301&gt;='TIF Loan Amortization'!$H$496,$C301&lt;='TIF Loan Amortization'!I$496),'TIF Loan Amortization'!$G$496,IF(AND($C301&gt;='TIF Loan Amortization'!$H$497,$C301&lt;='TIF Loan Amortization'!I$497),'TIF Loan Amortization'!$G$497,IF(AND($C301&gt;='TIF Loan Amortization'!$H$498,$C301&lt;='TIF Loan Amortization'!I$498),'TIF Loan Amortization'!$G$498,IF(AND($C301&gt;='TIF Loan Amortization'!$H$499,$C301&lt;='TIF Loan Amortization'!I$499),'TIF Loan Amortization'!$G$499,IF(AND($C301&gt;='TIF Loan Amortization'!$H$500,$C301&lt;='TIF Loan Amortization'!I$500),'TIF Loan Amortization'!$G$500,IF(AND($C301&gt;='TIF Loan Amortization'!$H$501,$C301&lt;='TIF Loan Amortization'!I$501),'TIF Loan Amortization'!$G$501,IF(AND($C301&gt;='TIF Loan Amortization'!$H$502,$C301&lt;='TIF Loan Amortization'!I$502),'TIF Loan Amortization'!$G$502,IF(AND($C301&gt;='TIF Loan Amortization'!$H$503,$C301&lt;='TIF Loan Amortization'!I$503),'TIF Loan Amortization'!$G$503,IF(AND($C301&gt;='TIF Loan Amortization'!$H$504,$C301&lt;='TIF Loan Amortization'!I$504),'TIF Loan Amortization'!$G$504,IF(AND($C301&gt;='TIF Loan Amortization'!$H$505,$C301&lt;='TIF Loan Amortization'!I$505),'TIF Loan Amortization'!$G$505,IF(AND($C301&gt;='TIF Loan Amortization'!$H$506,$C301&lt;='TIF Loan Amortization'!I$506),'TIF Loan Amortization'!$G$506,IF(AND($C301&gt;='TIF Loan Amortization'!$H$507,$C301&lt;='TIF Loan Amortization'!I$507),'TIF Loan Amortization'!$G$507,IF(AND($C301&gt;='TIF Loan Amortization'!$H$508,$C301&lt;='TIF Loan Amortization'!I$508),'TIF Loan Amortization'!$G$508,IF(AND($C301&gt;='TIF Loan Amortization'!$H$509,$C301&lt;='TIF Loan Amortization'!I$509),'TIF Loan Amortization'!$G$509,IF(AND($C301&gt;='TIF Loan Amortization'!$H$510,$C301&lt;='TIF Loan Amortization'!I$510),'TIF Loan Amortization'!$G$510,IF(AND($C301&gt;='TIF Loan Amortization'!$H$511,$C301&lt;='TIF Loan Amortization'!I$511),'TIF Loan Amortization'!$G$511,IF(AND($C301&gt;='TIF Loan Amortization'!$H$512,$C301&lt;='TIF Loan Amortization'!I$512),'TIF Loan Amortization'!$G$512,IF(AND($C301&gt;='TIF Loan Amortization'!$H$513,$C301&lt;='TIF Loan Amortization'!I$513),'TIF Loan Amortization'!$G$513,IF(AND($C301&gt;='TIF Loan Amortization'!$H$514,$C301&lt;='TIF Loan Amortization'!I$514),'TIF Loan Amortization'!$G$514,IF(AND($C301&gt;='TIF Loan Amortization'!$H$515,$C301&lt;='TIF Loan Amortization'!I$515),'TIF Loan Amortization'!$G$515,IF(AND($C301&gt;='TIF Loan Amortization'!$H$516,$C301&lt;='TIF Loan Amortization'!I$516),'TIF Loan Amortization'!$G$516,IF(AND($C301&gt;='TIF Loan Amortization'!$H$517,$C301&lt;='TIF Loan Amortization'!I$517),'TIF Loan Amortization'!$G$517,IF(AND($C301&gt;='TIF Loan Amortization'!$H$518,$C301&lt;='TIF Loan Amortization'!I$518),'TIF Loan Amortization'!$G$518,IF(AND($C301&gt;='TIF Loan Amortization'!$H$519,$C301&lt;='TIF Loan Amortization'!I$519),'TIF Loan Amortization'!$G$519))))))))))))))))))))))))))))))))))))))))</f>
        <v>#N/A</v>
      </c>
      <c r="C301" s="269" t="e">
        <f t="shared" si="36"/>
        <v>#N/A</v>
      </c>
      <c r="D301" s="281" t="str">
        <f>IF($AG$433=1,$H$10+21,"")</f>
        <v/>
      </c>
      <c r="E301" s="274">
        <v>251</v>
      </c>
      <c r="F301" s="273" t="str">
        <f>VLOOKUP($AG$433,$AE$422:$AF$433,2)</f>
        <v>Feb</v>
      </c>
      <c r="G301" s="272">
        <f t="shared" si="37"/>
        <v>0</v>
      </c>
      <c r="H301" s="272">
        <f t="shared" si="40"/>
        <v>0</v>
      </c>
      <c r="I301" s="272">
        <f t="shared" si="41"/>
        <v>0</v>
      </c>
      <c r="J301" s="272">
        <f t="shared" si="38"/>
        <v>0</v>
      </c>
      <c r="K301" s="272">
        <f>IF(ISTEXT($M$4),"",SUM(I$50:I301))</f>
        <v>0</v>
      </c>
      <c r="L301" s="272">
        <f>IF(ISTEXT($M$4),"",SUM(J$50:J301))</f>
        <v>0</v>
      </c>
      <c r="M301" s="271">
        <f t="shared" si="39"/>
        <v>0</v>
      </c>
      <c r="N301" s="291" t="e">
        <f>IF(C301='Operating Assumptions'!$C$48,"Construction Finish","")</f>
        <v>#N/A</v>
      </c>
      <c r="O301" s="291"/>
      <c r="P301" s="291"/>
      <c r="Q301" s="291"/>
      <c r="R301" s="291"/>
      <c r="S301" s="291"/>
      <c r="T301" s="280"/>
      <c r="U301" s="280"/>
      <c r="V301" s="286"/>
      <c r="W301" s="286"/>
      <c r="X301" s="286"/>
      <c r="Y301" s="280"/>
      <c r="Z301" s="279"/>
      <c r="AA301" s="279"/>
      <c r="AB301" s="279"/>
    </row>
    <row r="302" spans="2:28" s="278" customFormat="1" ht="13.5" hidden="1" outlineLevel="1" x14ac:dyDescent="0.25">
      <c r="B302" s="270" t="e">
        <f>IF(AND($C302&gt;='TIF Loan Amortization'!$H$480,$C302&lt;='TIF Loan Amortization'!$I$480),'TIF Loan Amortization'!$G$480,IF(AND($C302&gt;='TIF Loan Amortization'!$H$481,$C302&lt;='TIF Loan Amortization'!I$481),'TIF Loan Amortization'!$G$481,IF(AND($C302&gt;='TIF Loan Amortization'!$H$482,$C302&lt;='TIF Loan Amortization'!I$482),'TIF Loan Amortization'!$G$482,IF(AND($C302&gt;='TIF Loan Amortization'!$H$483,$C302&lt;='TIF Loan Amortization'!I$483),'TIF Loan Amortization'!$G$483,IF(AND($C302&gt;='TIF Loan Amortization'!$H$484,$C302&lt;='TIF Loan Amortization'!I$484),'TIF Loan Amortization'!$G$484,IF(AND($C302&gt;='TIF Loan Amortization'!$H$485,$C302&lt;='TIF Loan Amortization'!I$485),'TIF Loan Amortization'!$G$485,IF(AND($C302&gt;='TIF Loan Amortization'!$H$486,$C302&lt;='TIF Loan Amortization'!I$486),'TIF Loan Amortization'!$G$486,IF(AND($C302&gt;='TIF Loan Amortization'!$H$487,$C302&lt;='TIF Loan Amortization'!I$487),'TIF Loan Amortization'!$G$487,IF(AND($C302&gt;='TIF Loan Amortization'!$H$488,$C302&lt;='TIF Loan Amortization'!I$488),'TIF Loan Amortization'!$G$488,IF(AND($C302&gt;='TIF Loan Amortization'!$H$489,$C302&lt;='TIF Loan Amortization'!I$489),'TIF Loan Amortization'!$G$489,IF(AND($C302&gt;='TIF Loan Amortization'!$H$490,$C302&lt;='TIF Loan Amortization'!I$490),'TIF Loan Amortization'!$G$490,IF(AND($C302&gt;='TIF Loan Amortization'!$H$491,$C302&lt;='TIF Loan Amortization'!I$491),'TIF Loan Amortization'!$G$491,IF(AND($C302&gt;='TIF Loan Amortization'!$H$492,$C302&lt;='TIF Loan Amortization'!I$492),'TIF Loan Amortization'!$G$492,IF(AND($C302&gt;='TIF Loan Amortization'!$H$493,$C302&lt;='TIF Loan Amortization'!I$493),'TIF Loan Amortization'!$G$493,IF(AND($C302&gt;='TIF Loan Amortization'!$H$494,$C302&lt;='TIF Loan Amortization'!I$494),'TIF Loan Amortization'!$G$494,IF(AND($C302&gt;='TIF Loan Amortization'!$H$495,$C302&lt;='TIF Loan Amortization'!I$495),'TIF Loan Amortization'!$G$495,IF(AND($C302&gt;='TIF Loan Amortization'!$H$496,$C302&lt;='TIF Loan Amortization'!I$496),'TIF Loan Amortization'!$G$496,IF(AND($C302&gt;='TIF Loan Amortization'!$H$497,$C302&lt;='TIF Loan Amortization'!I$497),'TIF Loan Amortization'!$G$497,IF(AND($C302&gt;='TIF Loan Amortization'!$H$498,$C302&lt;='TIF Loan Amortization'!I$498),'TIF Loan Amortization'!$G$498,IF(AND($C302&gt;='TIF Loan Amortization'!$H$499,$C302&lt;='TIF Loan Amortization'!I$499),'TIF Loan Amortization'!$G$499,IF(AND($C302&gt;='TIF Loan Amortization'!$H$500,$C302&lt;='TIF Loan Amortization'!I$500),'TIF Loan Amortization'!$G$500,IF(AND($C302&gt;='TIF Loan Amortization'!$H$501,$C302&lt;='TIF Loan Amortization'!I$501),'TIF Loan Amortization'!$G$501,IF(AND($C302&gt;='TIF Loan Amortization'!$H$502,$C302&lt;='TIF Loan Amortization'!I$502),'TIF Loan Amortization'!$G$502,IF(AND($C302&gt;='TIF Loan Amortization'!$H$503,$C302&lt;='TIF Loan Amortization'!I$503),'TIF Loan Amortization'!$G$503,IF(AND($C302&gt;='TIF Loan Amortization'!$H$504,$C302&lt;='TIF Loan Amortization'!I$504),'TIF Loan Amortization'!$G$504,IF(AND($C302&gt;='TIF Loan Amortization'!$H$505,$C302&lt;='TIF Loan Amortization'!I$505),'TIF Loan Amortization'!$G$505,IF(AND($C302&gt;='TIF Loan Amortization'!$H$506,$C302&lt;='TIF Loan Amortization'!I$506),'TIF Loan Amortization'!$G$506,IF(AND($C302&gt;='TIF Loan Amortization'!$H$507,$C302&lt;='TIF Loan Amortization'!I$507),'TIF Loan Amortization'!$G$507,IF(AND($C302&gt;='TIF Loan Amortization'!$H$508,$C302&lt;='TIF Loan Amortization'!I$508),'TIF Loan Amortization'!$G$508,IF(AND($C302&gt;='TIF Loan Amortization'!$H$509,$C302&lt;='TIF Loan Amortization'!I$509),'TIF Loan Amortization'!$G$509,IF(AND($C302&gt;='TIF Loan Amortization'!$H$510,$C302&lt;='TIF Loan Amortization'!I$510),'TIF Loan Amortization'!$G$510,IF(AND($C302&gt;='TIF Loan Amortization'!$H$511,$C302&lt;='TIF Loan Amortization'!I$511),'TIF Loan Amortization'!$G$511,IF(AND($C302&gt;='TIF Loan Amortization'!$H$512,$C302&lt;='TIF Loan Amortization'!I$512),'TIF Loan Amortization'!$G$512,IF(AND($C302&gt;='TIF Loan Amortization'!$H$513,$C302&lt;='TIF Loan Amortization'!I$513),'TIF Loan Amortization'!$G$513,IF(AND($C302&gt;='TIF Loan Amortization'!$H$514,$C302&lt;='TIF Loan Amortization'!I$514),'TIF Loan Amortization'!$G$514,IF(AND($C302&gt;='TIF Loan Amortization'!$H$515,$C302&lt;='TIF Loan Amortization'!I$515),'TIF Loan Amortization'!$G$515,IF(AND($C302&gt;='TIF Loan Amortization'!$H$516,$C302&lt;='TIF Loan Amortization'!I$516),'TIF Loan Amortization'!$G$516,IF(AND($C302&gt;='TIF Loan Amortization'!$H$517,$C302&lt;='TIF Loan Amortization'!I$517),'TIF Loan Amortization'!$G$517,IF(AND($C302&gt;='TIF Loan Amortization'!$H$518,$C302&lt;='TIF Loan Amortization'!I$518),'TIF Loan Amortization'!$G$518,IF(AND($C302&gt;='TIF Loan Amortization'!$H$519,$C302&lt;='TIF Loan Amortization'!I$519),'TIF Loan Amortization'!$G$519))))))))))))))))))))))))))))))))))))))))</f>
        <v>#N/A</v>
      </c>
      <c r="C302" s="269" t="e">
        <f t="shared" si="36"/>
        <v>#N/A</v>
      </c>
      <c r="D302" s="281" t="str">
        <f>IF($H$11="January",$H$10+21,IF($AG$422=1,$H$10+22,""))</f>
        <v/>
      </c>
      <c r="E302" s="274">
        <v>252</v>
      </c>
      <c r="F302" s="273" t="str">
        <f>VLOOKUP($AG$422,$AE$422:$AF$433,2)</f>
        <v>Mar</v>
      </c>
      <c r="G302" s="272">
        <f t="shared" si="37"/>
        <v>0</v>
      </c>
      <c r="H302" s="272">
        <f t="shared" si="40"/>
        <v>0</v>
      </c>
      <c r="I302" s="272">
        <f t="shared" si="41"/>
        <v>0</v>
      </c>
      <c r="J302" s="272">
        <f t="shared" si="38"/>
        <v>0</v>
      </c>
      <c r="K302" s="272">
        <f>IF(ISTEXT($M$4),"",SUM(I$50:I302))</f>
        <v>0</v>
      </c>
      <c r="L302" s="272">
        <f>IF(ISTEXT($M$4),"",SUM(J$50:J302))</f>
        <v>0</v>
      </c>
      <c r="M302" s="271">
        <f t="shared" si="39"/>
        <v>0</v>
      </c>
      <c r="N302" s="291" t="e">
        <f>IF(C302='Operating Assumptions'!$C$48,"Construction Finish","")</f>
        <v>#N/A</v>
      </c>
      <c r="O302" s="291"/>
      <c r="P302" s="291"/>
      <c r="Q302" s="291"/>
      <c r="R302" s="291"/>
      <c r="S302" s="291"/>
      <c r="T302" s="280"/>
      <c r="U302" s="280"/>
      <c r="V302" s="286"/>
      <c r="W302" s="286"/>
      <c r="X302" s="286"/>
      <c r="Y302" s="280"/>
      <c r="Z302" s="279"/>
      <c r="AA302" s="279"/>
      <c r="AB302" s="279"/>
    </row>
    <row r="303" spans="2:28" s="278" customFormat="1" ht="13.5" hidden="1" outlineLevel="1" x14ac:dyDescent="0.25">
      <c r="B303" s="270" t="e">
        <f>IF(AND($C303&gt;='TIF Loan Amortization'!$H$480,$C303&lt;='TIF Loan Amortization'!$I$480),'TIF Loan Amortization'!$G$480,IF(AND($C303&gt;='TIF Loan Amortization'!$H$481,$C303&lt;='TIF Loan Amortization'!I$481),'TIF Loan Amortization'!$G$481,IF(AND($C303&gt;='TIF Loan Amortization'!$H$482,$C303&lt;='TIF Loan Amortization'!I$482),'TIF Loan Amortization'!$G$482,IF(AND($C303&gt;='TIF Loan Amortization'!$H$483,$C303&lt;='TIF Loan Amortization'!I$483),'TIF Loan Amortization'!$G$483,IF(AND($C303&gt;='TIF Loan Amortization'!$H$484,$C303&lt;='TIF Loan Amortization'!I$484),'TIF Loan Amortization'!$G$484,IF(AND($C303&gt;='TIF Loan Amortization'!$H$485,$C303&lt;='TIF Loan Amortization'!I$485),'TIF Loan Amortization'!$G$485,IF(AND($C303&gt;='TIF Loan Amortization'!$H$486,$C303&lt;='TIF Loan Amortization'!I$486),'TIF Loan Amortization'!$G$486,IF(AND($C303&gt;='TIF Loan Amortization'!$H$487,$C303&lt;='TIF Loan Amortization'!I$487),'TIF Loan Amortization'!$G$487,IF(AND($C303&gt;='TIF Loan Amortization'!$H$488,$C303&lt;='TIF Loan Amortization'!I$488),'TIF Loan Amortization'!$G$488,IF(AND($C303&gt;='TIF Loan Amortization'!$H$489,$C303&lt;='TIF Loan Amortization'!I$489),'TIF Loan Amortization'!$G$489,IF(AND($C303&gt;='TIF Loan Amortization'!$H$490,$C303&lt;='TIF Loan Amortization'!I$490),'TIF Loan Amortization'!$G$490,IF(AND($C303&gt;='TIF Loan Amortization'!$H$491,$C303&lt;='TIF Loan Amortization'!I$491),'TIF Loan Amortization'!$G$491,IF(AND($C303&gt;='TIF Loan Amortization'!$H$492,$C303&lt;='TIF Loan Amortization'!I$492),'TIF Loan Amortization'!$G$492,IF(AND($C303&gt;='TIF Loan Amortization'!$H$493,$C303&lt;='TIF Loan Amortization'!I$493),'TIF Loan Amortization'!$G$493,IF(AND($C303&gt;='TIF Loan Amortization'!$H$494,$C303&lt;='TIF Loan Amortization'!I$494),'TIF Loan Amortization'!$G$494,IF(AND($C303&gt;='TIF Loan Amortization'!$H$495,$C303&lt;='TIF Loan Amortization'!I$495),'TIF Loan Amortization'!$G$495,IF(AND($C303&gt;='TIF Loan Amortization'!$H$496,$C303&lt;='TIF Loan Amortization'!I$496),'TIF Loan Amortization'!$G$496,IF(AND($C303&gt;='TIF Loan Amortization'!$H$497,$C303&lt;='TIF Loan Amortization'!I$497),'TIF Loan Amortization'!$G$497,IF(AND($C303&gt;='TIF Loan Amortization'!$H$498,$C303&lt;='TIF Loan Amortization'!I$498),'TIF Loan Amortization'!$G$498,IF(AND($C303&gt;='TIF Loan Amortization'!$H$499,$C303&lt;='TIF Loan Amortization'!I$499),'TIF Loan Amortization'!$G$499,IF(AND($C303&gt;='TIF Loan Amortization'!$H$500,$C303&lt;='TIF Loan Amortization'!I$500),'TIF Loan Amortization'!$G$500,IF(AND($C303&gt;='TIF Loan Amortization'!$H$501,$C303&lt;='TIF Loan Amortization'!I$501),'TIF Loan Amortization'!$G$501,IF(AND($C303&gt;='TIF Loan Amortization'!$H$502,$C303&lt;='TIF Loan Amortization'!I$502),'TIF Loan Amortization'!$G$502,IF(AND($C303&gt;='TIF Loan Amortization'!$H$503,$C303&lt;='TIF Loan Amortization'!I$503),'TIF Loan Amortization'!$G$503,IF(AND($C303&gt;='TIF Loan Amortization'!$H$504,$C303&lt;='TIF Loan Amortization'!I$504),'TIF Loan Amortization'!$G$504,IF(AND($C303&gt;='TIF Loan Amortization'!$H$505,$C303&lt;='TIF Loan Amortization'!I$505),'TIF Loan Amortization'!$G$505,IF(AND($C303&gt;='TIF Loan Amortization'!$H$506,$C303&lt;='TIF Loan Amortization'!I$506),'TIF Loan Amortization'!$G$506,IF(AND($C303&gt;='TIF Loan Amortization'!$H$507,$C303&lt;='TIF Loan Amortization'!I$507),'TIF Loan Amortization'!$G$507,IF(AND($C303&gt;='TIF Loan Amortization'!$H$508,$C303&lt;='TIF Loan Amortization'!I$508),'TIF Loan Amortization'!$G$508,IF(AND($C303&gt;='TIF Loan Amortization'!$H$509,$C303&lt;='TIF Loan Amortization'!I$509),'TIF Loan Amortization'!$G$509,IF(AND($C303&gt;='TIF Loan Amortization'!$H$510,$C303&lt;='TIF Loan Amortization'!I$510),'TIF Loan Amortization'!$G$510,IF(AND($C303&gt;='TIF Loan Amortization'!$H$511,$C303&lt;='TIF Loan Amortization'!I$511),'TIF Loan Amortization'!$G$511,IF(AND($C303&gt;='TIF Loan Amortization'!$H$512,$C303&lt;='TIF Loan Amortization'!I$512),'TIF Loan Amortization'!$G$512,IF(AND($C303&gt;='TIF Loan Amortization'!$H$513,$C303&lt;='TIF Loan Amortization'!I$513),'TIF Loan Amortization'!$G$513,IF(AND($C303&gt;='TIF Loan Amortization'!$H$514,$C303&lt;='TIF Loan Amortization'!I$514),'TIF Loan Amortization'!$G$514,IF(AND($C303&gt;='TIF Loan Amortization'!$H$515,$C303&lt;='TIF Loan Amortization'!I$515),'TIF Loan Amortization'!$G$515,IF(AND($C303&gt;='TIF Loan Amortization'!$H$516,$C303&lt;='TIF Loan Amortization'!I$516),'TIF Loan Amortization'!$G$516,IF(AND($C303&gt;='TIF Loan Amortization'!$H$517,$C303&lt;='TIF Loan Amortization'!I$517),'TIF Loan Amortization'!$G$517,IF(AND($C303&gt;='TIF Loan Amortization'!$H$518,$C303&lt;='TIF Loan Amortization'!I$518),'TIF Loan Amortization'!$G$518,IF(AND($C303&gt;='TIF Loan Amortization'!$H$519,$C303&lt;='TIF Loan Amortization'!I$519),'TIF Loan Amortization'!$G$519))))))))))))))))))))))))))))))))))))))))</f>
        <v>#N/A</v>
      </c>
      <c r="C303" s="269" t="e">
        <f t="shared" si="36"/>
        <v>#N/A</v>
      </c>
      <c r="D303" s="281" t="str">
        <f>IF($AG$423=1,$H$10+22,"")</f>
        <v/>
      </c>
      <c r="E303" s="274">
        <v>253</v>
      </c>
      <c r="F303" s="275" t="str">
        <f>VLOOKUP($AG$423,$AE$422:$AF$433,2)</f>
        <v>Apr</v>
      </c>
      <c r="G303" s="272">
        <f t="shared" si="37"/>
        <v>0</v>
      </c>
      <c r="H303" s="272">
        <f t="shared" si="40"/>
        <v>0</v>
      </c>
      <c r="I303" s="272">
        <f t="shared" si="41"/>
        <v>0</v>
      </c>
      <c r="J303" s="272">
        <f t="shared" si="38"/>
        <v>0</v>
      </c>
      <c r="K303" s="272">
        <f>IF(ISTEXT($M$4),"",SUM(I$50:I303))</f>
        <v>0</v>
      </c>
      <c r="L303" s="272">
        <f>IF(ISTEXT($M$4),"",SUM(J$50:J303))</f>
        <v>0</v>
      </c>
      <c r="M303" s="271">
        <f t="shared" si="39"/>
        <v>0</v>
      </c>
      <c r="N303" s="291" t="e">
        <f>IF(C303='Operating Assumptions'!$C$48,"Construction Finish","")</f>
        <v>#N/A</v>
      </c>
      <c r="O303" s="291"/>
      <c r="P303" s="291"/>
      <c r="Q303" s="291"/>
      <c r="R303" s="291"/>
      <c r="S303" s="291"/>
      <c r="T303" s="280"/>
      <c r="U303" s="280"/>
      <c r="V303" s="286"/>
      <c r="W303" s="286"/>
      <c r="X303" s="286"/>
      <c r="Y303" s="280"/>
      <c r="Z303" s="279"/>
      <c r="AA303" s="279"/>
      <c r="AB303" s="279"/>
    </row>
    <row r="304" spans="2:28" s="278" customFormat="1" ht="13.5" hidden="1" outlineLevel="1" x14ac:dyDescent="0.25">
      <c r="B304" s="270" t="e">
        <f>IF(AND($C304&gt;='TIF Loan Amortization'!$H$480,$C304&lt;='TIF Loan Amortization'!$I$480),'TIF Loan Amortization'!$G$480,IF(AND($C304&gt;='TIF Loan Amortization'!$H$481,$C304&lt;='TIF Loan Amortization'!I$481),'TIF Loan Amortization'!$G$481,IF(AND($C304&gt;='TIF Loan Amortization'!$H$482,$C304&lt;='TIF Loan Amortization'!I$482),'TIF Loan Amortization'!$G$482,IF(AND($C304&gt;='TIF Loan Amortization'!$H$483,$C304&lt;='TIF Loan Amortization'!I$483),'TIF Loan Amortization'!$G$483,IF(AND($C304&gt;='TIF Loan Amortization'!$H$484,$C304&lt;='TIF Loan Amortization'!I$484),'TIF Loan Amortization'!$G$484,IF(AND($C304&gt;='TIF Loan Amortization'!$H$485,$C304&lt;='TIF Loan Amortization'!I$485),'TIF Loan Amortization'!$G$485,IF(AND($C304&gt;='TIF Loan Amortization'!$H$486,$C304&lt;='TIF Loan Amortization'!I$486),'TIF Loan Amortization'!$G$486,IF(AND($C304&gt;='TIF Loan Amortization'!$H$487,$C304&lt;='TIF Loan Amortization'!I$487),'TIF Loan Amortization'!$G$487,IF(AND($C304&gt;='TIF Loan Amortization'!$H$488,$C304&lt;='TIF Loan Amortization'!I$488),'TIF Loan Amortization'!$G$488,IF(AND($C304&gt;='TIF Loan Amortization'!$H$489,$C304&lt;='TIF Loan Amortization'!I$489),'TIF Loan Amortization'!$G$489,IF(AND($C304&gt;='TIF Loan Amortization'!$H$490,$C304&lt;='TIF Loan Amortization'!I$490),'TIF Loan Amortization'!$G$490,IF(AND($C304&gt;='TIF Loan Amortization'!$H$491,$C304&lt;='TIF Loan Amortization'!I$491),'TIF Loan Amortization'!$G$491,IF(AND($C304&gt;='TIF Loan Amortization'!$H$492,$C304&lt;='TIF Loan Amortization'!I$492),'TIF Loan Amortization'!$G$492,IF(AND($C304&gt;='TIF Loan Amortization'!$H$493,$C304&lt;='TIF Loan Amortization'!I$493),'TIF Loan Amortization'!$G$493,IF(AND($C304&gt;='TIF Loan Amortization'!$H$494,$C304&lt;='TIF Loan Amortization'!I$494),'TIF Loan Amortization'!$G$494,IF(AND($C304&gt;='TIF Loan Amortization'!$H$495,$C304&lt;='TIF Loan Amortization'!I$495),'TIF Loan Amortization'!$G$495,IF(AND($C304&gt;='TIF Loan Amortization'!$H$496,$C304&lt;='TIF Loan Amortization'!I$496),'TIF Loan Amortization'!$G$496,IF(AND($C304&gt;='TIF Loan Amortization'!$H$497,$C304&lt;='TIF Loan Amortization'!I$497),'TIF Loan Amortization'!$G$497,IF(AND($C304&gt;='TIF Loan Amortization'!$H$498,$C304&lt;='TIF Loan Amortization'!I$498),'TIF Loan Amortization'!$G$498,IF(AND($C304&gt;='TIF Loan Amortization'!$H$499,$C304&lt;='TIF Loan Amortization'!I$499),'TIF Loan Amortization'!$G$499,IF(AND($C304&gt;='TIF Loan Amortization'!$H$500,$C304&lt;='TIF Loan Amortization'!I$500),'TIF Loan Amortization'!$G$500,IF(AND($C304&gt;='TIF Loan Amortization'!$H$501,$C304&lt;='TIF Loan Amortization'!I$501),'TIF Loan Amortization'!$G$501,IF(AND($C304&gt;='TIF Loan Amortization'!$H$502,$C304&lt;='TIF Loan Amortization'!I$502),'TIF Loan Amortization'!$G$502,IF(AND($C304&gt;='TIF Loan Amortization'!$H$503,$C304&lt;='TIF Loan Amortization'!I$503),'TIF Loan Amortization'!$G$503,IF(AND($C304&gt;='TIF Loan Amortization'!$H$504,$C304&lt;='TIF Loan Amortization'!I$504),'TIF Loan Amortization'!$G$504,IF(AND($C304&gt;='TIF Loan Amortization'!$H$505,$C304&lt;='TIF Loan Amortization'!I$505),'TIF Loan Amortization'!$G$505,IF(AND($C304&gt;='TIF Loan Amortization'!$H$506,$C304&lt;='TIF Loan Amortization'!I$506),'TIF Loan Amortization'!$G$506,IF(AND($C304&gt;='TIF Loan Amortization'!$H$507,$C304&lt;='TIF Loan Amortization'!I$507),'TIF Loan Amortization'!$G$507,IF(AND($C304&gt;='TIF Loan Amortization'!$H$508,$C304&lt;='TIF Loan Amortization'!I$508),'TIF Loan Amortization'!$G$508,IF(AND($C304&gt;='TIF Loan Amortization'!$H$509,$C304&lt;='TIF Loan Amortization'!I$509),'TIF Loan Amortization'!$G$509,IF(AND($C304&gt;='TIF Loan Amortization'!$H$510,$C304&lt;='TIF Loan Amortization'!I$510),'TIF Loan Amortization'!$G$510,IF(AND($C304&gt;='TIF Loan Amortization'!$H$511,$C304&lt;='TIF Loan Amortization'!I$511),'TIF Loan Amortization'!$G$511,IF(AND($C304&gt;='TIF Loan Amortization'!$H$512,$C304&lt;='TIF Loan Amortization'!I$512),'TIF Loan Amortization'!$G$512,IF(AND($C304&gt;='TIF Loan Amortization'!$H$513,$C304&lt;='TIF Loan Amortization'!I$513),'TIF Loan Amortization'!$G$513,IF(AND($C304&gt;='TIF Loan Amortization'!$H$514,$C304&lt;='TIF Loan Amortization'!I$514),'TIF Loan Amortization'!$G$514,IF(AND($C304&gt;='TIF Loan Amortization'!$H$515,$C304&lt;='TIF Loan Amortization'!I$515),'TIF Loan Amortization'!$G$515,IF(AND($C304&gt;='TIF Loan Amortization'!$H$516,$C304&lt;='TIF Loan Amortization'!I$516),'TIF Loan Amortization'!$G$516,IF(AND($C304&gt;='TIF Loan Amortization'!$H$517,$C304&lt;='TIF Loan Amortization'!I$517),'TIF Loan Amortization'!$G$517,IF(AND($C304&gt;='TIF Loan Amortization'!$H$518,$C304&lt;='TIF Loan Amortization'!I$518),'TIF Loan Amortization'!$G$518,IF(AND($C304&gt;='TIF Loan Amortization'!$H$519,$C304&lt;='TIF Loan Amortization'!I$519),'TIF Loan Amortization'!$G$519))))))))))))))))))))))))))))))))))))))))</f>
        <v>#N/A</v>
      </c>
      <c r="C304" s="269" t="e">
        <f t="shared" si="36"/>
        <v>#N/A</v>
      </c>
      <c r="D304" s="281" t="str">
        <f>IF($AG$424=1,$H$10+22,"")</f>
        <v/>
      </c>
      <c r="E304" s="274">
        <v>254</v>
      </c>
      <c r="F304" s="275" t="str">
        <f>VLOOKUP($AG$424,$AE$422:$AF$433,2)</f>
        <v>May</v>
      </c>
      <c r="G304" s="272">
        <f t="shared" si="37"/>
        <v>0</v>
      </c>
      <c r="H304" s="272">
        <f t="shared" si="40"/>
        <v>0</v>
      </c>
      <c r="I304" s="272">
        <f t="shared" si="41"/>
        <v>0</v>
      </c>
      <c r="J304" s="272">
        <f t="shared" si="38"/>
        <v>0</v>
      </c>
      <c r="K304" s="272">
        <f>IF(ISTEXT($M$4),"",SUM(I$50:I304))</f>
        <v>0</v>
      </c>
      <c r="L304" s="272">
        <f>IF(ISTEXT($M$4),"",SUM(J$50:J304))</f>
        <v>0</v>
      </c>
      <c r="M304" s="271">
        <f t="shared" si="39"/>
        <v>0</v>
      </c>
      <c r="N304" s="291" t="e">
        <f>IF(C304='Operating Assumptions'!$C$48,"Construction Finish","")</f>
        <v>#N/A</v>
      </c>
      <c r="O304" s="291"/>
      <c r="P304" s="291"/>
      <c r="Q304" s="291"/>
      <c r="R304" s="291"/>
      <c r="S304" s="291"/>
      <c r="T304" s="280"/>
      <c r="U304" s="280"/>
      <c r="V304" s="286"/>
      <c r="W304" s="286"/>
      <c r="X304" s="286"/>
      <c r="Y304" s="280"/>
      <c r="Z304" s="279"/>
      <c r="AA304" s="279"/>
      <c r="AB304" s="279"/>
    </row>
    <row r="305" spans="2:28" s="278" customFormat="1" ht="13.5" hidden="1" outlineLevel="1" x14ac:dyDescent="0.25">
      <c r="B305" s="270" t="e">
        <f>IF(AND($C305&gt;='TIF Loan Amortization'!$H$480,$C305&lt;='TIF Loan Amortization'!$I$480),'TIF Loan Amortization'!$G$480,IF(AND($C305&gt;='TIF Loan Amortization'!$H$481,$C305&lt;='TIF Loan Amortization'!I$481),'TIF Loan Amortization'!$G$481,IF(AND($C305&gt;='TIF Loan Amortization'!$H$482,$C305&lt;='TIF Loan Amortization'!I$482),'TIF Loan Amortization'!$G$482,IF(AND($C305&gt;='TIF Loan Amortization'!$H$483,$C305&lt;='TIF Loan Amortization'!I$483),'TIF Loan Amortization'!$G$483,IF(AND($C305&gt;='TIF Loan Amortization'!$H$484,$C305&lt;='TIF Loan Amortization'!I$484),'TIF Loan Amortization'!$G$484,IF(AND($C305&gt;='TIF Loan Amortization'!$H$485,$C305&lt;='TIF Loan Amortization'!I$485),'TIF Loan Amortization'!$G$485,IF(AND($C305&gt;='TIF Loan Amortization'!$H$486,$C305&lt;='TIF Loan Amortization'!I$486),'TIF Loan Amortization'!$G$486,IF(AND($C305&gt;='TIF Loan Amortization'!$H$487,$C305&lt;='TIF Loan Amortization'!I$487),'TIF Loan Amortization'!$G$487,IF(AND($C305&gt;='TIF Loan Amortization'!$H$488,$C305&lt;='TIF Loan Amortization'!I$488),'TIF Loan Amortization'!$G$488,IF(AND($C305&gt;='TIF Loan Amortization'!$H$489,$C305&lt;='TIF Loan Amortization'!I$489),'TIF Loan Amortization'!$G$489,IF(AND($C305&gt;='TIF Loan Amortization'!$H$490,$C305&lt;='TIF Loan Amortization'!I$490),'TIF Loan Amortization'!$G$490,IF(AND($C305&gt;='TIF Loan Amortization'!$H$491,$C305&lt;='TIF Loan Amortization'!I$491),'TIF Loan Amortization'!$G$491,IF(AND($C305&gt;='TIF Loan Amortization'!$H$492,$C305&lt;='TIF Loan Amortization'!I$492),'TIF Loan Amortization'!$G$492,IF(AND($C305&gt;='TIF Loan Amortization'!$H$493,$C305&lt;='TIF Loan Amortization'!I$493),'TIF Loan Amortization'!$G$493,IF(AND($C305&gt;='TIF Loan Amortization'!$H$494,$C305&lt;='TIF Loan Amortization'!I$494),'TIF Loan Amortization'!$G$494,IF(AND($C305&gt;='TIF Loan Amortization'!$H$495,$C305&lt;='TIF Loan Amortization'!I$495),'TIF Loan Amortization'!$G$495,IF(AND($C305&gt;='TIF Loan Amortization'!$H$496,$C305&lt;='TIF Loan Amortization'!I$496),'TIF Loan Amortization'!$G$496,IF(AND($C305&gt;='TIF Loan Amortization'!$H$497,$C305&lt;='TIF Loan Amortization'!I$497),'TIF Loan Amortization'!$G$497,IF(AND($C305&gt;='TIF Loan Amortization'!$H$498,$C305&lt;='TIF Loan Amortization'!I$498),'TIF Loan Amortization'!$G$498,IF(AND($C305&gt;='TIF Loan Amortization'!$H$499,$C305&lt;='TIF Loan Amortization'!I$499),'TIF Loan Amortization'!$G$499,IF(AND($C305&gt;='TIF Loan Amortization'!$H$500,$C305&lt;='TIF Loan Amortization'!I$500),'TIF Loan Amortization'!$G$500,IF(AND($C305&gt;='TIF Loan Amortization'!$H$501,$C305&lt;='TIF Loan Amortization'!I$501),'TIF Loan Amortization'!$G$501,IF(AND($C305&gt;='TIF Loan Amortization'!$H$502,$C305&lt;='TIF Loan Amortization'!I$502),'TIF Loan Amortization'!$G$502,IF(AND($C305&gt;='TIF Loan Amortization'!$H$503,$C305&lt;='TIF Loan Amortization'!I$503),'TIF Loan Amortization'!$G$503,IF(AND($C305&gt;='TIF Loan Amortization'!$H$504,$C305&lt;='TIF Loan Amortization'!I$504),'TIF Loan Amortization'!$G$504,IF(AND($C305&gt;='TIF Loan Amortization'!$H$505,$C305&lt;='TIF Loan Amortization'!I$505),'TIF Loan Amortization'!$G$505,IF(AND($C305&gt;='TIF Loan Amortization'!$H$506,$C305&lt;='TIF Loan Amortization'!I$506),'TIF Loan Amortization'!$G$506,IF(AND($C305&gt;='TIF Loan Amortization'!$H$507,$C305&lt;='TIF Loan Amortization'!I$507),'TIF Loan Amortization'!$G$507,IF(AND($C305&gt;='TIF Loan Amortization'!$H$508,$C305&lt;='TIF Loan Amortization'!I$508),'TIF Loan Amortization'!$G$508,IF(AND($C305&gt;='TIF Loan Amortization'!$H$509,$C305&lt;='TIF Loan Amortization'!I$509),'TIF Loan Amortization'!$G$509,IF(AND($C305&gt;='TIF Loan Amortization'!$H$510,$C305&lt;='TIF Loan Amortization'!I$510),'TIF Loan Amortization'!$G$510,IF(AND($C305&gt;='TIF Loan Amortization'!$H$511,$C305&lt;='TIF Loan Amortization'!I$511),'TIF Loan Amortization'!$G$511,IF(AND($C305&gt;='TIF Loan Amortization'!$H$512,$C305&lt;='TIF Loan Amortization'!I$512),'TIF Loan Amortization'!$G$512,IF(AND($C305&gt;='TIF Loan Amortization'!$H$513,$C305&lt;='TIF Loan Amortization'!I$513),'TIF Loan Amortization'!$G$513,IF(AND($C305&gt;='TIF Loan Amortization'!$H$514,$C305&lt;='TIF Loan Amortization'!I$514),'TIF Loan Amortization'!$G$514,IF(AND($C305&gt;='TIF Loan Amortization'!$H$515,$C305&lt;='TIF Loan Amortization'!I$515),'TIF Loan Amortization'!$G$515,IF(AND($C305&gt;='TIF Loan Amortization'!$H$516,$C305&lt;='TIF Loan Amortization'!I$516),'TIF Loan Amortization'!$G$516,IF(AND($C305&gt;='TIF Loan Amortization'!$H$517,$C305&lt;='TIF Loan Amortization'!I$517),'TIF Loan Amortization'!$G$517,IF(AND($C305&gt;='TIF Loan Amortization'!$H$518,$C305&lt;='TIF Loan Amortization'!I$518),'TIF Loan Amortization'!$G$518,IF(AND($C305&gt;='TIF Loan Amortization'!$H$519,$C305&lt;='TIF Loan Amortization'!I$519),'TIF Loan Amortization'!$G$519))))))))))))))))))))))))))))))))))))))))</f>
        <v>#N/A</v>
      </c>
      <c r="C305" s="269" t="e">
        <f t="shared" si="36"/>
        <v>#N/A</v>
      </c>
      <c r="D305" s="281" t="str">
        <f>IF($AG$425=1,$H$10+22,"")</f>
        <v/>
      </c>
      <c r="E305" s="274">
        <v>255</v>
      </c>
      <c r="F305" s="275" t="str">
        <f>VLOOKUP($AG$425,$AE$422:$AF$433,2)</f>
        <v>Jun</v>
      </c>
      <c r="G305" s="272">
        <f t="shared" si="37"/>
        <v>0</v>
      </c>
      <c r="H305" s="272">
        <f t="shared" si="40"/>
        <v>0</v>
      </c>
      <c r="I305" s="272">
        <f t="shared" si="41"/>
        <v>0</v>
      </c>
      <c r="J305" s="272">
        <f t="shared" si="38"/>
        <v>0</v>
      </c>
      <c r="K305" s="272">
        <f>IF(ISTEXT($M$4),"",SUM(I$50:I305))</f>
        <v>0</v>
      </c>
      <c r="L305" s="272">
        <f>IF(ISTEXT($M$4),"",SUM(J$50:J305))</f>
        <v>0</v>
      </c>
      <c r="M305" s="271">
        <f t="shared" si="39"/>
        <v>0</v>
      </c>
      <c r="N305" s="291" t="e">
        <f>IF(C305='Operating Assumptions'!$C$48,"Construction Finish","")</f>
        <v>#N/A</v>
      </c>
      <c r="O305" s="291"/>
      <c r="P305" s="291"/>
      <c r="Q305" s="291"/>
      <c r="R305" s="291"/>
      <c r="S305" s="291"/>
      <c r="T305" s="280"/>
      <c r="U305" s="280"/>
      <c r="V305" s="286"/>
      <c r="W305" s="286"/>
      <c r="X305" s="286"/>
      <c r="Y305" s="280"/>
      <c r="Z305" s="279"/>
      <c r="AA305" s="279"/>
      <c r="AB305" s="279"/>
    </row>
    <row r="306" spans="2:28" s="278" customFormat="1" ht="13.5" hidden="1" outlineLevel="1" x14ac:dyDescent="0.25">
      <c r="B306" s="270" t="e">
        <f>IF(AND($C306&gt;='TIF Loan Amortization'!$H$480,$C306&lt;='TIF Loan Amortization'!$I$480),'TIF Loan Amortization'!$G$480,IF(AND($C306&gt;='TIF Loan Amortization'!$H$481,$C306&lt;='TIF Loan Amortization'!I$481),'TIF Loan Amortization'!$G$481,IF(AND($C306&gt;='TIF Loan Amortization'!$H$482,$C306&lt;='TIF Loan Amortization'!I$482),'TIF Loan Amortization'!$G$482,IF(AND($C306&gt;='TIF Loan Amortization'!$H$483,$C306&lt;='TIF Loan Amortization'!I$483),'TIF Loan Amortization'!$G$483,IF(AND($C306&gt;='TIF Loan Amortization'!$H$484,$C306&lt;='TIF Loan Amortization'!I$484),'TIF Loan Amortization'!$G$484,IF(AND($C306&gt;='TIF Loan Amortization'!$H$485,$C306&lt;='TIF Loan Amortization'!I$485),'TIF Loan Amortization'!$G$485,IF(AND($C306&gt;='TIF Loan Amortization'!$H$486,$C306&lt;='TIF Loan Amortization'!I$486),'TIF Loan Amortization'!$G$486,IF(AND($C306&gt;='TIF Loan Amortization'!$H$487,$C306&lt;='TIF Loan Amortization'!I$487),'TIF Loan Amortization'!$G$487,IF(AND($C306&gt;='TIF Loan Amortization'!$H$488,$C306&lt;='TIF Loan Amortization'!I$488),'TIF Loan Amortization'!$G$488,IF(AND($C306&gt;='TIF Loan Amortization'!$H$489,$C306&lt;='TIF Loan Amortization'!I$489),'TIF Loan Amortization'!$G$489,IF(AND($C306&gt;='TIF Loan Amortization'!$H$490,$C306&lt;='TIF Loan Amortization'!I$490),'TIF Loan Amortization'!$G$490,IF(AND($C306&gt;='TIF Loan Amortization'!$H$491,$C306&lt;='TIF Loan Amortization'!I$491),'TIF Loan Amortization'!$G$491,IF(AND($C306&gt;='TIF Loan Amortization'!$H$492,$C306&lt;='TIF Loan Amortization'!I$492),'TIF Loan Amortization'!$G$492,IF(AND($C306&gt;='TIF Loan Amortization'!$H$493,$C306&lt;='TIF Loan Amortization'!I$493),'TIF Loan Amortization'!$G$493,IF(AND($C306&gt;='TIF Loan Amortization'!$H$494,$C306&lt;='TIF Loan Amortization'!I$494),'TIF Loan Amortization'!$G$494,IF(AND($C306&gt;='TIF Loan Amortization'!$H$495,$C306&lt;='TIF Loan Amortization'!I$495),'TIF Loan Amortization'!$G$495,IF(AND($C306&gt;='TIF Loan Amortization'!$H$496,$C306&lt;='TIF Loan Amortization'!I$496),'TIF Loan Amortization'!$G$496,IF(AND($C306&gt;='TIF Loan Amortization'!$H$497,$C306&lt;='TIF Loan Amortization'!I$497),'TIF Loan Amortization'!$G$497,IF(AND($C306&gt;='TIF Loan Amortization'!$H$498,$C306&lt;='TIF Loan Amortization'!I$498),'TIF Loan Amortization'!$G$498,IF(AND($C306&gt;='TIF Loan Amortization'!$H$499,$C306&lt;='TIF Loan Amortization'!I$499),'TIF Loan Amortization'!$G$499,IF(AND($C306&gt;='TIF Loan Amortization'!$H$500,$C306&lt;='TIF Loan Amortization'!I$500),'TIF Loan Amortization'!$G$500,IF(AND($C306&gt;='TIF Loan Amortization'!$H$501,$C306&lt;='TIF Loan Amortization'!I$501),'TIF Loan Amortization'!$G$501,IF(AND($C306&gt;='TIF Loan Amortization'!$H$502,$C306&lt;='TIF Loan Amortization'!I$502),'TIF Loan Amortization'!$G$502,IF(AND($C306&gt;='TIF Loan Amortization'!$H$503,$C306&lt;='TIF Loan Amortization'!I$503),'TIF Loan Amortization'!$G$503,IF(AND($C306&gt;='TIF Loan Amortization'!$H$504,$C306&lt;='TIF Loan Amortization'!I$504),'TIF Loan Amortization'!$G$504,IF(AND($C306&gt;='TIF Loan Amortization'!$H$505,$C306&lt;='TIF Loan Amortization'!I$505),'TIF Loan Amortization'!$G$505,IF(AND($C306&gt;='TIF Loan Amortization'!$H$506,$C306&lt;='TIF Loan Amortization'!I$506),'TIF Loan Amortization'!$G$506,IF(AND($C306&gt;='TIF Loan Amortization'!$H$507,$C306&lt;='TIF Loan Amortization'!I$507),'TIF Loan Amortization'!$G$507,IF(AND($C306&gt;='TIF Loan Amortization'!$H$508,$C306&lt;='TIF Loan Amortization'!I$508),'TIF Loan Amortization'!$G$508,IF(AND($C306&gt;='TIF Loan Amortization'!$H$509,$C306&lt;='TIF Loan Amortization'!I$509),'TIF Loan Amortization'!$G$509,IF(AND($C306&gt;='TIF Loan Amortization'!$H$510,$C306&lt;='TIF Loan Amortization'!I$510),'TIF Loan Amortization'!$G$510,IF(AND($C306&gt;='TIF Loan Amortization'!$H$511,$C306&lt;='TIF Loan Amortization'!I$511),'TIF Loan Amortization'!$G$511,IF(AND($C306&gt;='TIF Loan Amortization'!$H$512,$C306&lt;='TIF Loan Amortization'!I$512),'TIF Loan Amortization'!$G$512,IF(AND($C306&gt;='TIF Loan Amortization'!$H$513,$C306&lt;='TIF Loan Amortization'!I$513),'TIF Loan Amortization'!$G$513,IF(AND($C306&gt;='TIF Loan Amortization'!$H$514,$C306&lt;='TIF Loan Amortization'!I$514),'TIF Loan Amortization'!$G$514,IF(AND($C306&gt;='TIF Loan Amortization'!$H$515,$C306&lt;='TIF Loan Amortization'!I$515),'TIF Loan Amortization'!$G$515,IF(AND($C306&gt;='TIF Loan Amortization'!$H$516,$C306&lt;='TIF Loan Amortization'!I$516),'TIF Loan Amortization'!$G$516,IF(AND($C306&gt;='TIF Loan Amortization'!$H$517,$C306&lt;='TIF Loan Amortization'!I$517),'TIF Loan Amortization'!$G$517,IF(AND($C306&gt;='TIF Loan Amortization'!$H$518,$C306&lt;='TIF Loan Amortization'!I$518),'TIF Loan Amortization'!$G$518,IF(AND($C306&gt;='TIF Loan Amortization'!$H$519,$C306&lt;='TIF Loan Amortization'!I$519),'TIF Loan Amortization'!$G$519))))))))))))))))))))))))))))))))))))))))</f>
        <v>#N/A</v>
      </c>
      <c r="C306" s="269" t="e">
        <f t="shared" si="36"/>
        <v>#N/A</v>
      </c>
      <c r="D306" s="281" t="str">
        <f>IF($AG$426=1,$H$10+22,"")</f>
        <v/>
      </c>
      <c r="E306" s="274">
        <v>256</v>
      </c>
      <c r="F306" s="275" t="str">
        <f>VLOOKUP($AG$426,$AE$422:$AF$433,2)</f>
        <v>Jul</v>
      </c>
      <c r="G306" s="272">
        <f t="shared" si="37"/>
        <v>0</v>
      </c>
      <c r="H306" s="272">
        <f t="shared" si="40"/>
        <v>0</v>
      </c>
      <c r="I306" s="272">
        <f t="shared" si="41"/>
        <v>0</v>
      </c>
      <c r="J306" s="272">
        <f t="shared" si="38"/>
        <v>0</v>
      </c>
      <c r="K306" s="272">
        <f>IF(ISTEXT($M$4),"",SUM(I$50:I306))</f>
        <v>0</v>
      </c>
      <c r="L306" s="272">
        <f>IF(ISTEXT($M$4),"",SUM(J$50:J306))</f>
        <v>0</v>
      </c>
      <c r="M306" s="271">
        <f t="shared" si="39"/>
        <v>0</v>
      </c>
      <c r="N306" s="291" t="e">
        <f>IF(C306='Operating Assumptions'!$C$48,"Construction Finish","")</f>
        <v>#N/A</v>
      </c>
      <c r="O306" s="291"/>
      <c r="P306" s="291"/>
      <c r="Q306" s="291"/>
      <c r="R306" s="291"/>
      <c r="S306" s="291"/>
      <c r="T306" s="280"/>
      <c r="U306" s="280"/>
      <c r="V306" s="286"/>
      <c r="W306" s="286"/>
      <c r="X306" s="286"/>
      <c r="Y306" s="280"/>
      <c r="Z306" s="279"/>
      <c r="AA306" s="279"/>
      <c r="AB306" s="279"/>
    </row>
    <row r="307" spans="2:28" s="278" customFormat="1" ht="13.5" hidden="1" outlineLevel="1" x14ac:dyDescent="0.25">
      <c r="B307" s="270" t="e">
        <f>IF(AND($C307&gt;='TIF Loan Amortization'!$H$480,$C307&lt;='TIF Loan Amortization'!$I$480),'TIF Loan Amortization'!$G$480,IF(AND($C307&gt;='TIF Loan Amortization'!$H$481,$C307&lt;='TIF Loan Amortization'!I$481),'TIF Loan Amortization'!$G$481,IF(AND($C307&gt;='TIF Loan Amortization'!$H$482,$C307&lt;='TIF Loan Amortization'!I$482),'TIF Loan Amortization'!$G$482,IF(AND($C307&gt;='TIF Loan Amortization'!$H$483,$C307&lt;='TIF Loan Amortization'!I$483),'TIF Loan Amortization'!$G$483,IF(AND($C307&gt;='TIF Loan Amortization'!$H$484,$C307&lt;='TIF Loan Amortization'!I$484),'TIF Loan Amortization'!$G$484,IF(AND($C307&gt;='TIF Loan Amortization'!$H$485,$C307&lt;='TIF Loan Amortization'!I$485),'TIF Loan Amortization'!$G$485,IF(AND($C307&gt;='TIF Loan Amortization'!$H$486,$C307&lt;='TIF Loan Amortization'!I$486),'TIF Loan Amortization'!$G$486,IF(AND($C307&gt;='TIF Loan Amortization'!$H$487,$C307&lt;='TIF Loan Amortization'!I$487),'TIF Loan Amortization'!$G$487,IF(AND($C307&gt;='TIF Loan Amortization'!$H$488,$C307&lt;='TIF Loan Amortization'!I$488),'TIF Loan Amortization'!$G$488,IF(AND($C307&gt;='TIF Loan Amortization'!$H$489,$C307&lt;='TIF Loan Amortization'!I$489),'TIF Loan Amortization'!$G$489,IF(AND($C307&gt;='TIF Loan Amortization'!$H$490,$C307&lt;='TIF Loan Amortization'!I$490),'TIF Loan Amortization'!$G$490,IF(AND($C307&gt;='TIF Loan Amortization'!$H$491,$C307&lt;='TIF Loan Amortization'!I$491),'TIF Loan Amortization'!$G$491,IF(AND($C307&gt;='TIF Loan Amortization'!$H$492,$C307&lt;='TIF Loan Amortization'!I$492),'TIF Loan Amortization'!$G$492,IF(AND($C307&gt;='TIF Loan Amortization'!$H$493,$C307&lt;='TIF Loan Amortization'!I$493),'TIF Loan Amortization'!$G$493,IF(AND($C307&gt;='TIF Loan Amortization'!$H$494,$C307&lt;='TIF Loan Amortization'!I$494),'TIF Loan Amortization'!$G$494,IF(AND($C307&gt;='TIF Loan Amortization'!$H$495,$C307&lt;='TIF Loan Amortization'!I$495),'TIF Loan Amortization'!$G$495,IF(AND($C307&gt;='TIF Loan Amortization'!$H$496,$C307&lt;='TIF Loan Amortization'!I$496),'TIF Loan Amortization'!$G$496,IF(AND($C307&gt;='TIF Loan Amortization'!$H$497,$C307&lt;='TIF Loan Amortization'!I$497),'TIF Loan Amortization'!$G$497,IF(AND($C307&gt;='TIF Loan Amortization'!$H$498,$C307&lt;='TIF Loan Amortization'!I$498),'TIF Loan Amortization'!$G$498,IF(AND($C307&gt;='TIF Loan Amortization'!$H$499,$C307&lt;='TIF Loan Amortization'!I$499),'TIF Loan Amortization'!$G$499,IF(AND($C307&gt;='TIF Loan Amortization'!$H$500,$C307&lt;='TIF Loan Amortization'!I$500),'TIF Loan Amortization'!$G$500,IF(AND($C307&gt;='TIF Loan Amortization'!$H$501,$C307&lt;='TIF Loan Amortization'!I$501),'TIF Loan Amortization'!$G$501,IF(AND($C307&gt;='TIF Loan Amortization'!$H$502,$C307&lt;='TIF Loan Amortization'!I$502),'TIF Loan Amortization'!$G$502,IF(AND($C307&gt;='TIF Loan Amortization'!$H$503,$C307&lt;='TIF Loan Amortization'!I$503),'TIF Loan Amortization'!$G$503,IF(AND($C307&gt;='TIF Loan Amortization'!$H$504,$C307&lt;='TIF Loan Amortization'!I$504),'TIF Loan Amortization'!$G$504,IF(AND($C307&gt;='TIF Loan Amortization'!$H$505,$C307&lt;='TIF Loan Amortization'!I$505),'TIF Loan Amortization'!$G$505,IF(AND($C307&gt;='TIF Loan Amortization'!$H$506,$C307&lt;='TIF Loan Amortization'!I$506),'TIF Loan Amortization'!$G$506,IF(AND($C307&gt;='TIF Loan Amortization'!$H$507,$C307&lt;='TIF Loan Amortization'!I$507),'TIF Loan Amortization'!$G$507,IF(AND($C307&gt;='TIF Loan Amortization'!$H$508,$C307&lt;='TIF Loan Amortization'!I$508),'TIF Loan Amortization'!$G$508,IF(AND($C307&gt;='TIF Loan Amortization'!$H$509,$C307&lt;='TIF Loan Amortization'!I$509),'TIF Loan Amortization'!$G$509,IF(AND($C307&gt;='TIF Loan Amortization'!$H$510,$C307&lt;='TIF Loan Amortization'!I$510),'TIF Loan Amortization'!$G$510,IF(AND($C307&gt;='TIF Loan Amortization'!$H$511,$C307&lt;='TIF Loan Amortization'!I$511),'TIF Loan Amortization'!$G$511,IF(AND($C307&gt;='TIF Loan Amortization'!$H$512,$C307&lt;='TIF Loan Amortization'!I$512),'TIF Loan Amortization'!$G$512,IF(AND($C307&gt;='TIF Loan Amortization'!$H$513,$C307&lt;='TIF Loan Amortization'!I$513),'TIF Loan Amortization'!$G$513,IF(AND($C307&gt;='TIF Loan Amortization'!$H$514,$C307&lt;='TIF Loan Amortization'!I$514),'TIF Loan Amortization'!$G$514,IF(AND($C307&gt;='TIF Loan Amortization'!$H$515,$C307&lt;='TIF Loan Amortization'!I$515),'TIF Loan Amortization'!$G$515,IF(AND($C307&gt;='TIF Loan Amortization'!$H$516,$C307&lt;='TIF Loan Amortization'!I$516),'TIF Loan Amortization'!$G$516,IF(AND($C307&gt;='TIF Loan Amortization'!$H$517,$C307&lt;='TIF Loan Amortization'!I$517),'TIF Loan Amortization'!$G$517,IF(AND($C307&gt;='TIF Loan Amortization'!$H$518,$C307&lt;='TIF Loan Amortization'!I$518),'TIF Loan Amortization'!$G$518,IF(AND($C307&gt;='TIF Loan Amortization'!$H$519,$C307&lt;='TIF Loan Amortization'!I$519),'TIF Loan Amortization'!$G$519))))))))))))))))))))))))))))))))))))))))</f>
        <v>#N/A</v>
      </c>
      <c r="C307" s="269" t="e">
        <f t="shared" ref="C307:C370" si="42">C306+1</f>
        <v>#N/A</v>
      </c>
      <c r="D307" s="281" t="str">
        <f>IF($AG$427=1,$H$10+22,"")</f>
        <v/>
      </c>
      <c r="E307" s="274">
        <v>257</v>
      </c>
      <c r="F307" s="275" t="str">
        <f>VLOOKUP($AG$427,$AE$422:$AF$433,2)</f>
        <v>Aug</v>
      </c>
      <c r="G307" s="272">
        <f t="shared" ref="G307:G370" si="43">IF(ISTEXT(M$4),"",M306)</f>
        <v>0</v>
      </c>
      <c r="H307" s="272">
        <f t="shared" si="40"/>
        <v>0</v>
      </c>
      <c r="I307" s="272">
        <f t="shared" si="41"/>
        <v>0</v>
      </c>
      <c r="J307" s="272">
        <f t="shared" ref="J307:J370" si="44">+$H$6/12*$M306*-1</f>
        <v>0</v>
      </c>
      <c r="K307" s="272">
        <f>IF(ISTEXT($M$4),"",SUM(I$50:I307))</f>
        <v>0</v>
      </c>
      <c r="L307" s="272">
        <f>IF(ISTEXT($M$4),"",SUM(J$50:J307))</f>
        <v>0</v>
      </c>
      <c r="M307" s="271">
        <f t="shared" ref="M307:M370" si="45">+G307+I307</f>
        <v>0</v>
      </c>
      <c r="N307" s="291" t="e">
        <f>IF(C307='Operating Assumptions'!$C$48,"Construction Finish","")</f>
        <v>#N/A</v>
      </c>
      <c r="O307" s="291"/>
      <c r="P307" s="291"/>
      <c r="Q307" s="291"/>
      <c r="R307" s="291"/>
      <c r="S307" s="291"/>
      <c r="T307" s="280"/>
      <c r="U307" s="280"/>
      <c r="V307" s="286"/>
      <c r="W307" s="286"/>
      <c r="X307" s="286"/>
      <c r="Y307" s="280"/>
      <c r="Z307" s="279"/>
      <c r="AA307" s="279"/>
      <c r="AB307" s="279"/>
    </row>
    <row r="308" spans="2:28" s="278" customFormat="1" ht="13.5" hidden="1" outlineLevel="1" x14ac:dyDescent="0.25">
      <c r="B308" s="270" t="e">
        <f>IF(AND($C308&gt;='TIF Loan Amortization'!$H$480,$C308&lt;='TIF Loan Amortization'!$I$480),'TIF Loan Amortization'!$G$480,IF(AND($C308&gt;='TIF Loan Amortization'!$H$481,$C308&lt;='TIF Loan Amortization'!I$481),'TIF Loan Amortization'!$G$481,IF(AND($C308&gt;='TIF Loan Amortization'!$H$482,$C308&lt;='TIF Loan Amortization'!I$482),'TIF Loan Amortization'!$G$482,IF(AND($C308&gt;='TIF Loan Amortization'!$H$483,$C308&lt;='TIF Loan Amortization'!I$483),'TIF Loan Amortization'!$G$483,IF(AND($C308&gt;='TIF Loan Amortization'!$H$484,$C308&lt;='TIF Loan Amortization'!I$484),'TIF Loan Amortization'!$G$484,IF(AND($C308&gt;='TIF Loan Amortization'!$H$485,$C308&lt;='TIF Loan Amortization'!I$485),'TIF Loan Amortization'!$G$485,IF(AND($C308&gt;='TIF Loan Amortization'!$H$486,$C308&lt;='TIF Loan Amortization'!I$486),'TIF Loan Amortization'!$G$486,IF(AND($C308&gt;='TIF Loan Amortization'!$H$487,$C308&lt;='TIF Loan Amortization'!I$487),'TIF Loan Amortization'!$G$487,IF(AND($C308&gt;='TIF Loan Amortization'!$H$488,$C308&lt;='TIF Loan Amortization'!I$488),'TIF Loan Amortization'!$G$488,IF(AND($C308&gt;='TIF Loan Amortization'!$H$489,$C308&lt;='TIF Loan Amortization'!I$489),'TIF Loan Amortization'!$G$489,IF(AND($C308&gt;='TIF Loan Amortization'!$H$490,$C308&lt;='TIF Loan Amortization'!I$490),'TIF Loan Amortization'!$G$490,IF(AND($C308&gt;='TIF Loan Amortization'!$H$491,$C308&lt;='TIF Loan Amortization'!I$491),'TIF Loan Amortization'!$G$491,IF(AND($C308&gt;='TIF Loan Amortization'!$H$492,$C308&lt;='TIF Loan Amortization'!I$492),'TIF Loan Amortization'!$G$492,IF(AND($C308&gt;='TIF Loan Amortization'!$H$493,$C308&lt;='TIF Loan Amortization'!I$493),'TIF Loan Amortization'!$G$493,IF(AND($C308&gt;='TIF Loan Amortization'!$H$494,$C308&lt;='TIF Loan Amortization'!I$494),'TIF Loan Amortization'!$G$494,IF(AND($C308&gt;='TIF Loan Amortization'!$H$495,$C308&lt;='TIF Loan Amortization'!I$495),'TIF Loan Amortization'!$G$495,IF(AND($C308&gt;='TIF Loan Amortization'!$H$496,$C308&lt;='TIF Loan Amortization'!I$496),'TIF Loan Amortization'!$G$496,IF(AND($C308&gt;='TIF Loan Amortization'!$H$497,$C308&lt;='TIF Loan Amortization'!I$497),'TIF Loan Amortization'!$G$497,IF(AND($C308&gt;='TIF Loan Amortization'!$H$498,$C308&lt;='TIF Loan Amortization'!I$498),'TIF Loan Amortization'!$G$498,IF(AND($C308&gt;='TIF Loan Amortization'!$H$499,$C308&lt;='TIF Loan Amortization'!I$499),'TIF Loan Amortization'!$G$499,IF(AND($C308&gt;='TIF Loan Amortization'!$H$500,$C308&lt;='TIF Loan Amortization'!I$500),'TIF Loan Amortization'!$G$500,IF(AND($C308&gt;='TIF Loan Amortization'!$H$501,$C308&lt;='TIF Loan Amortization'!I$501),'TIF Loan Amortization'!$G$501,IF(AND($C308&gt;='TIF Loan Amortization'!$H$502,$C308&lt;='TIF Loan Amortization'!I$502),'TIF Loan Amortization'!$G$502,IF(AND($C308&gt;='TIF Loan Amortization'!$H$503,$C308&lt;='TIF Loan Amortization'!I$503),'TIF Loan Amortization'!$G$503,IF(AND($C308&gt;='TIF Loan Amortization'!$H$504,$C308&lt;='TIF Loan Amortization'!I$504),'TIF Loan Amortization'!$G$504,IF(AND($C308&gt;='TIF Loan Amortization'!$H$505,$C308&lt;='TIF Loan Amortization'!I$505),'TIF Loan Amortization'!$G$505,IF(AND($C308&gt;='TIF Loan Amortization'!$H$506,$C308&lt;='TIF Loan Amortization'!I$506),'TIF Loan Amortization'!$G$506,IF(AND($C308&gt;='TIF Loan Amortization'!$H$507,$C308&lt;='TIF Loan Amortization'!I$507),'TIF Loan Amortization'!$G$507,IF(AND($C308&gt;='TIF Loan Amortization'!$H$508,$C308&lt;='TIF Loan Amortization'!I$508),'TIF Loan Amortization'!$G$508,IF(AND($C308&gt;='TIF Loan Amortization'!$H$509,$C308&lt;='TIF Loan Amortization'!I$509),'TIF Loan Amortization'!$G$509,IF(AND($C308&gt;='TIF Loan Amortization'!$H$510,$C308&lt;='TIF Loan Amortization'!I$510),'TIF Loan Amortization'!$G$510,IF(AND($C308&gt;='TIF Loan Amortization'!$H$511,$C308&lt;='TIF Loan Amortization'!I$511),'TIF Loan Amortization'!$G$511,IF(AND($C308&gt;='TIF Loan Amortization'!$H$512,$C308&lt;='TIF Loan Amortization'!I$512),'TIF Loan Amortization'!$G$512,IF(AND($C308&gt;='TIF Loan Amortization'!$H$513,$C308&lt;='TIF Loan Amortization'!I$513),'TIF Loan Amortization'!$G$513,IF(AND($C308&gt;='TIF Loan Amortization'!$H$514,$C308&lt;='TIF Loan Amortization'!I$514),'TIF Loan Amortization'!$G$514,IF(AND($C308&gt;='TIF Loan Amortization'!$H$515,$C308&lt;='TIF Loan Amortization'!I$515),'TIF Loan Amortization'!$G$515,IF(AND($C308&gt;='TIF Loan Amortization'!$H$516,$C308&lt;='TIF Loan Amortization'!I$516),'TIF Loan Amortization'!$G$516,IF(AND($C308&gt;='TIF Loan Amortization'!$H$517,$C308&lt;='TIF Loan Amortization'!I$517),'TIF Loan Amortization'!$G$517,IF(AND($C308&gt;='TIF Loan Amortization'!$H$518,$C308&lt;='TIF Loan Amortization'!I$518),'TIF Loan Amortization'!$G$518,IF(AND($C308&gt;='TIF Loan Amortization'!$H$519,$C308&lt;='TIF Loan Amortization'!I$519),'TIF Loan Amortization'!$G$519))))))))))))))))))))))))))))))))))))))))</f>
        <v>#N/A</v>
      </c>
      <c r="C308" s="269" t="e">
        <f t="shared" si="42"/>
        <v>#N/A</v>
      </c>
      <c r="D308" s="281" t="str">
        <f>IF($AG$428=1,$H$10+22,"")</f>
        <v/>
      </c>
      <c r="E308" s="274">
        <v>258</v>
      </c>
      <c r="F308" s="275" t="str">
        <f>VLOOKUP($AG$428,$AE$422:$AF$433,2)</f>
        <v>Sep</v>
      </c>
      <c r="G308" s="272">
        <f t="shared" si="43"/>
        <v>0</v>
      </c>
      <c r="H308" s="272">
        <f t="shared" si="40"/>
        <v>0</v>
      </c>
      <c r="I308" s="272">
        <f t="shared" si="41"/>
        <v>0</v>
      </c>
      <c r="J308" s="272">
        <f t="shared" si="44"/>
        <v>0</v>
      </c>
      <c r="K308" s="272">
        <f>IF(ISTEXT($M$4),"",SUM(I$50:I308))</f>
        <v>0</v>
      </c>
      <c r="L308" s="272">
        <f>IF(ISTEXT($M$4),"",SUM(J$50:J308))</f>
        <v>0</v>
      </c>
      <c r="M308" s="271">
        <f t="shared" si="45"/>
        <v>0</v>
      </c>
      <c r="N308" s="291" t="e">
        <f>IF(C308='Operating Assumptions'!$C$48,"Construction Finish","")</f>
        <v>#N/A</v>
      </c>
      <c r="O308" s="291"/>
      <c r="P308" s="291"/>
      <c r="Q308" s="291"/>
      <c r="R308" s="291"/>
      <c r="S308" s="291"/>
      <c r="T308" s="280"/>
      <c r="U308" s="280"/>
      <c r="V308" s="286"/>
      <c r="W308" s="286"/>
      <c r="X308" s="286"/>
      <c r="Y308" s="280"/>
      <c r="Z308" s="279"/>
      <c r="AA308" s="279"/>
      <c r="AB308" s="279"/>
    </row>
    <row r="309" spans="2:28" s="278" customFormat="1" ht="13.5" hidden="1" outlineLevel="1" x14ac:dyDescent="0.25">
      <c r="B309" s="270" t="e">
        <f>IF(AND($C309&gt;='TIF Loan Amortization'!$H$480,$C309&lt;='TIF Loan Amortization'!$I$480),'TIF Loan Amortization'!$G$480,IF(AND($C309&gt;='TIF Loan Amortization'!$H$481,$C309&lt;='TIF Loan Amortization'!I$481),'TIF Loan Amortization'!$G$481,IF(AND($C309&gt;='TIF Loan Amortization'!$H$482,$C309&lt;='TIF Loan Amortization'!I$482),'TIF Loan Amortization'!$G$482,IF(AND($C309&gt;='TIF Loan Amortization'!$H$483,$C309&lt;='TIF Loan Amortization'!I$483),'TIF Loan Amortization'!$G$483,IF(AND($C309&gt;='TIF Loan Amortization'!$H$484,$C309&lt;='TIF Loan Amortization'!I$484),'TIF Loan Amortization'!$G$484,IF(AND($C309&gt;='TIF Loan Amortization'!$H$485,$C309&lt;='TIF Loan Amortization'!I$485),'TIF Loan Amortization'!$G$485,IF(AND($C309&gt;='TIF Loan Amortization'!$H$486,$C309&lt;='TIF Loan Amortization'!I$486),'TIF Loan Amortization'!$G$486,IF(AND($C309&gt;='TIF Loan Amortization'!$H$487,$C309&lt;='TIF Loan Amortization'!I$487),'TIF Loan Amortization'!$G$487,IF(AND($C309&gt;='TIF Loan Amortization'!$H$488,$C309&lt;='TIF Loan Amortization'!I$488),'TIF Loan Amortization'!$G$488,IF(AND($C309&gt;='TIF Loan Amortization'!$H$489,$C309&lt;='TIF Loan Amortization'!I$489),'TIF Loan Amortization'!$G$489,IF(AND($C309&gt;='TIF Loan Amortization'!$H$490,$C309&lt;='TIF Loan Amortization'!I$490),'TIF Loan Amortization'!$G$490,IF(AND($C309&gt;='TIF Loan Amortization'!$H$491,$C309&lt;='TIF Loan Amortization'!I$491),'TIF Loan Amortization'!$G$491,IF(AND($C309&gt;='TIF Loan Amortization'!$H$492,$C309&lt;='TIF Loan Amortization'!I$492),'TIF Loan Amortization'!$G$492,IF(AND($C309&gt;='TIF Loan Amortization'!$H$493,$C309&lt;='TIF Loan Amortization'!I$493),'TIF Loan Amortization'!$G$493,IF(AND($C309&gt;='TIF Loan Amortization'!$H$494,$C309&lt;='TIF Loan Amortization'!I$494),'TIF Loan Amortization'!$G$494,IF(AND($C309&gt;='TIF Loan Amortization'!$H$495,$C309&lt;='TIF Loan Amortization'!I$495),'TIF Loan Amortization'!$G$495,IF(AND($C309&gt;='TIF Loan Amortization'!$H$496,$C309&lt;='TIF Loan Amortization'!I$496),'TIF Loan Amortization'!$G$496,IF(AND($C309&gt;='TIF Loan Amortization'!$H$497,$C309&lt;='TIF Loan Amortization'!I$497),'TIF Loan Amortization'!$G$497,IF(AND($C309&gt;='TIF Loan Amortization'!$H$498,$C309&lt;='TIF Loan Amortization'!I$498),'TIF Loan Amortization'!$G$498,IF(AND($C309&gt;='TIF Loan Amortization'!$H$499,$C309&lt;='TIF Loan Amortization'!I$499),'TIF Loan Amortization'!$G$499,IF(AND($C309&gt;='TIF Loan Amortization'!$H$500,$C309&lt;='TIF Loan Amortization'!I$500),'TIF Loan Amortization'!$G$500,IF(AND($C309&gt;='TIF Loan Amortization'!$H$501,$C309&lt;='TIF Loan Amortization'!I$501),'TIF Loan Amortization'!$G$501,IF(AND($C309&gt;='TIF Loan Amortization'!$H$502,$C309&lt;='TIF Loan Amortization'!I$502),'TIF Loan Amortization'!$G$502,IF(AND($C309&gt;='TIF Loan Amortization'!$H$503,$C309&lt;='TIF Loan Amortization'!I$503),'TIF Loan Amortization'!$G$503,IF(AND($C309&gt;='TIF Loan Amortization'!$H$504,$C309&lt;='TIF Loan Amortization'!I$504),'TIF Loan Amortization'!$G$504,IF(AND($C309&gt;='TIF Loan Amortization'!$H$505,$C309&lt;='TIF Loan Amortization'!I$505),'TIF Loan Amortization'!$G$505,IF(AND($C309&gt;='TIF Loan Amortization'!$H$506,$C309&lt;='TIF Loan Amortization'!I$506),'TIF Loan Amortization'!$G$506,IF(AND($C309&gt;='TIF Loan Amortization'!$H$507,$C309&lt;='TIF Loan Amortization'!I$507),'TIF Loan Amortization'!$G$507,IF(AND($C309&gt;='TIF Loan Amortization'!$H$508,$C309&lt;='TIF Loan Amortization'!I$508),'TIF Loan Amortization'!$G$508,IF(AND($C309&gt;='TIF Loan Amortization'!$H$509,$C309&lt;='TIF Loan Amortization'!I$509),'TIF Loan Amortization'!$G$509,IF(AND($C309&gt;='TIF Loan Amortization'!$H$510,$C309&lt;='TIF Loan Amortization'!I$510),'TIF Loan Amortization'!$G$510,IF(AND($C309&gt;='TIF Loan Amortization'!$H$511,$C309&lt;='TIF Loan Amortization'!I$511),'TIF Loan Amortization'!$G$511,IF(AND($C309&gt;='TIF Loan Amortization'!$H$512,$C309&lt;='TIF Loan Amortization'!I$512),'TIF Loan Amortization'!$G$512,IF(AND($C309&gt;='TIF Loan Amortization'!$H$513,$C309&lt;='TIF Loan Amortization'!I$513),'TIF Loan Amortization'!$G$513,IF(AND($C309&gt;='TIF Loan Amortization'!$H$514,$C309&lt;='TIF Loan Amortization'!I$514),'TIF Loan Amortization'!$G$514,IF(AND($C309&gt;='TIF Loan Amortization'!$H$515,$C309&lt;='TIF Loan Amortization'!I$515),'TIF Loan Amortization'!$G$515,IF(AND($C309&gt;='TIF Loan Amortization'!$H$516,$C309&lt;='TIF Loan Amortization'!I$516),'TIF Loan Amortization'!$G$516,IF(AND($C309&gt;='TIF Loan Amortization'!$H$517,$C309&lt;='TIF Loan Amortization'!I$517),'TIF Loan Amortization'!$G$517,IF(AND($C309&gt;='TIF Loan Amortization'!$H$518,$C309&lt;='TIF Loan Amortization'!I$518),'TIF Loan Amortization'!$G$518,IF(AND($C309&gt;='TIF Loan Amortization'!$H$519,$C309&lt;='TIF Loan Amortization'!I$519),'TIF Loan Amortization'!$G$519))))))))))))))))))))))))))))))))))))))))</f>
        <v>#N/A</v>
      </c>
      <c r="C309" s="269" t="e">
        <f t="shared" si="42"/>
        <v>#N/A</v>
      </c>
      <c r="D309" s="281" t="str">
        <f>IF($AG$429=1,$H$10+22,"")</f>
        <v/>
      </c>
      <c r="E309" s="274">
        <v>259</v>
      </c>
      <c r="F309" s="275" t="str">
        <f>VLOOKUP($AG$429,$AE$422:$AF$433,2)</f>
        <v>Oct</v>
      </c>
      <c r="G309" s="272">
        <f t="shared" si="43"/>
        <v>0</v>
      </c>
      <c r="H309" s="272">
        <f t="shared" ref="H309:H372" si="46">IF(E309&gt;$G$7,0,IF(AND($G$9&gt;=0,E309&lt;=$H$9),0,IF(AND($G$8&gt;=0,E309&lt;=$H$8),J309,IF(AND($G$8&gt;=0,$G$9&gt;=0,E309&gt;$H$8,E309&gt;$H$9),PMT($H$6/12,IF($G$8&gt;=0,$G$7-$H$8),$H$4)))))</f>
        <v>0</v>
      </c>
      <c r="I309" s="272">
        <f t="shared" ref="I309:I372" si="47">IF(E309&gt;$G$7,0,IF(AND($G$9,E309&lt;=$H$9),0,+H309-J309))</f>
        <v>0</v>
      </c>
      <c r="J309" s="272">
        <f t="shared" si="44"/>
        <v>0</v>
      </c>
      <c r="K309" s="272">
        <f>IF(ISTEXT($M$4),"",SUM(I$50:I309))</f>
        <v>0</v>
      </c>
      <c r="L309" s="272">
        <f>IF(ISTEXT($M$4),"",SUM(J$50:J309))</f>
        <v>0</v>
      </c>
      <c r="M309" s="271">
        <f t="shared" si="45"/>
        <v>0</v>
      </c>
      <c r="N309" s="291" t="e">
        <f>IF(C309='Operating Assumptions'!$C$48,"Construction Finish","")</f>
        <v>#N/A</v>
      </c>
      <c r="O309" s="291"/>
      <c r="P309" s="291"/>
      <c r="Q309" s="291"/>
      <c r="R309" s="291"/>
      <c r="S309" s="291"/>
      <c r="T309" s="280"/>
      <c r="U309" s="280"/>
      <c r="V309" s="286"/>
      <c r="W309" s="286"/>
      <c r="X309" s="286"/>
      <c r="Y309" s="280"/>
      <c r="Z309" s="279"/>
      <c r="AA309" s="279"/>
      <c r="AB309" s="279"/>
    </row>
    <row r="310" spans="2:28" s="278" customFormat="1" ht="13.5" hidden="1" outlineLevel="1" x14ac:dyDescent="0.25">
      <c r="B310" s="270" t="e">
        <f>IF(AND($C310&gt;='TIF Loan Amortization'!$H$480,$C310&lt;='TIF Loan Amortization'!$I$480),'TIF Loan Amortization'!$G$480,IF(AND($C310&gt;='TIF Loan Amortization'!$H$481,$C310&lt;='TIF Loan Amortization'!I$481),'TIF Loan Amortization'!$G$481,IF(AND($C310&gt;='TIF Loan Amortization'!$H$482,$C310&lt;='TIF Loan Amortization'!I$482),'TIF Loan Amortization'!$G$482,IF(AND($C310&gt;='TIF Loan Amortization'!$H$483,$C310&lt;='TIF Loan Amortization'!I$483),'TIF Loan Amortization'!$G$483,IF(AND($C310&gt;='TIF Loan Amortization'!$H$484,$C310&lt;='TIF Loan Amortization'!I$484),'TIF Loan Amortization'!$G$484,IF(AND($C310&gt;='TIF Loan Amortization'!$H$485,$C310&lt;='TIF Loan Amortization'!I$485),'TIF Loan Amortization'!$G$485,IF(AND($C310&gt;='TIF Loan Amortization'!$H$486,$C310&lt;='TIF Loan Amortization'!I$486),'TIF Loan Amortization'!$G$486,IF(AND($C310&gt;='TIF Loan Amortization'!$H$487,$C310&lt;='TIF Loan Amortization'!I$487),'TIF Loan Amortization'!$G$487,IF(AND($C310&gt;='TIF Loan Amortization'!$H$488,$C310&lt;='TIF Loan Amortization'!I$488),'TIF Loan Amortization'!$G$488,IF(AND($C310&gt;='TIF Loan Amortization'!$H$489,$C310&lt;='TIF Loan Amortization'!I$489),'TIF Loan Amortization'!$G$489,IF(AND($C310&gt;='TIF Loan Amortization'!$H$490,$C310&lt;='TIF Loan Amortization'!I$490),'TIF Loan Amortization'!$G$490,IF(AND($C310&gt;='TIF Loan Amortization'!$H$491,$C310&lt;='TIF Loan Amortization'!I$491),'TIF Loan Amortization'!$G$491,IF(AND($C310&gt;='TIF Loan Amortization'!$H$492,$C310&lt;='TIF Loan Amortization'!I$492),'TIF Loan Amortization'!$G$492,IF(AND($C310&gt;='TIF Loan Amortization'!$H$493,$C310&lt;='TIF Loan Amortization'!I$493),'TIF Loan Amortization'!$G$493,IF(AND($C310&gt;='TIF Loan Amortization'!$H$494,$C310&lt;='TIF Loan Amortization'!I$494),'TIF Loan Amortization'!$G$494,IF(AND($C310&gt;='TIF Loan Amortization'!$H$495,$C310&lt;='TIF Loan Amortization'!I$495),'TIF Loan Amortization'!$G$495,IF(AND($C310&gt;='TIF Loan Amortization'!$H$496,$C310&lt;='TIF Loan Amortization'!I$496),'TIF Loan Amortization'!$G$496,IF(AND($C310&gt;='TIF Loan Amortization'!$H$497,$C310&lt;='TIF Loan Amortization'!I$497),'TIF Loan Amortization'!$G$497,IF(AND($C310&gt;='TIF Loan Amortization'!$H$498,$C310&lt;='TIF Loan Amortization'!I$498),'TIF Loan Amortization'!$G$498,IF(AND($C310&gt;='TIF Loan Amortization'!$H$499,$C310&lt;='TIF Loan Amortization'!I$499),'TIF Loan Amortization'!$G$499,IF(AND($C310&gt;='TIF Loan Amortization'!$H$500,$C310&lt;='TIF Loan Amortization'!I$500),'TIF Loan Amortization'!$G$500,IF(AND($C310&gt;='TIF Loan Amortization'!$H$501,$C310&lt;='TIF Loan Amortization'!I$501),'TIF Loan Amortization'!$G$501,IF(AND($C310&gt;='TIF Loan Amortization'!$H$502,$C310&lt;='TIF Loan Amortization'!I$502),'TIF Loan Amortization'!$G$502,IF(AND($C310&gt;='TIF Loan Amortization'!$H$503,$C310&lt;='TIF Loan Amortization'!I$503),'TIF Loan Amortization'!$G$503,IF(AND($C310&gt;='TIF Loan Amortization'!$H$504,$C310&lt;='TIF Loan Amortization'!I$504),'TIF Loan Amortization'!$G$504,IF(AND($C310&gt;='TIF Loan Amortization'!$H$505,$C310&lt;='TIF Loan Amortization'!I$505),'TIF Loan Amortization'!$G$505,IF(AND($C310&gt;='TIF Loan Amortization'!$H$506,$C310&lt;='TIF Loan Amortization'!I$506),'TIF Loan Amortization'!$G$506,IF(AND($C310&gt;='TIF Loan Amortization'!$H$507,$C310&lt;='TIF Loan Amortization'!I$507),'TIF Loan Amortization'!$G$507,IF(AND($C310&gt;='TIF Loan Amortization'!$H$508,$C310&lt;='TIF Loan Amortization'!I$508),'TIF Loan Amortization'!$G$508,IF(AND($C310&gt;='TIF Loan Amortization'!$H$509,$C310&lt;='TIF Loan Amortization'!I$509),'TIF Loan Amortization'!$G$509,IF(AND($C310&gt;='TIF Loan Amortization'!$H$510,$C310&lt;='TIF Loan Amortization'!I$510),'TIF Loan Amortization'!$G$510,IF(AND($C310&gt;='TIF Loan Amortization'!$H$511,$C310&lt;='TIF Loan Amortization'!I$511),'TIF Loan Amortization'!$G$511,IF(AND($C310&gt;='TIF Loan Amortization'!$H$512,$C310&lt;='TIF Loan Amortization'!I$512),'TIF Loan Amortization'!$G$512,IF(AND($C310&gt;='TIF Loan Amortization'!$H$513,$C310&lt;='TIF Loan Amortization'!I$513),'TIF Loan Amortization'!$G$513,IF(AND($C310&gt;='TIF Loan Amortization'!$H$514,$C310&lt;='TIF Loan Amortization'!I$514),'TIF Loan Amortization'!$G$514,IF(AND($C310&gt;='TIF Loan Amortization'!$H$515,$C310&lt;='TIF Loan Amortization'!I$515),'TIF Loan Amortization'!$G$515,IF(AND($C310&gt;='TIF Loan Amortization'!$H$516,$C310&lt;='TIF Loan Amortization'!I$516),'TIF Loan Amortization'!$G$516,IF(AND($C310&gt;='TIF Loan Amortization'!$H$517,$C310&lt;='TIF Loan Amortization'!I$517),'TIF Loan Amortization'!$G$517,IF(AND($C310&gt;='TIF Loan Amortization'!$H$518,$C310&lt;='TIF Loan Amortization'!I$518),'TIF Loan Amortization'!$G$518,IF(AND($C310&gt;='TIF Loan Amortization'!$H$519,$C310&lt;='TIF Loan Amortization'!I$519),'TIF Loan Amortization'!$G$519))))))))))))))))))))))))))))))))))))))))</f>
        <v>#N/A</v>
      </c>
      <c r="C310" s="269" t="e">
        <f t="shared" si="42"/>
        <v>#N/A</v>
      </c>
      <c r="D310" s="281" t="str">
        <f>IF($AG$430=1,$H$10+22,"")</f>
        <v/>
      </c>
      <c r="E310" s="274">
        <v>260</v>
      </c>
      <c r="F310" s="275" t="str">
        <f>VLOOKUP($AG$430,$AE$422:$AF$433,2)</f>
        <v>Nov</v>
      </c>
      <c r="G310" s="272">
        <f t="shared" si="43"/>
        <v>0</v>
      </c>
      <c r="H310" s="272">
        <f t="shared" si="46"/>
        <v>0</v>
      </c>
      <c r="I310" s="272">
        <f t="shared" si="47"/>
        <v>0</v>
      </c>
      <c r="J310" s="272">
        <f t="shared" si="44"/>
        <v>0</v>
      </c>
      <c r="K310" s="272">
        <f>IF(ISTEXT($M$4),"",SUM(I$50:I310))</f>
        <v>0</v>
      </c>
      <c r="L310" s="272">
        <f>IF(ISTEXT($M$4),"",SUM(J$50:J310))</f>
        <v>0</v>
      </c>
      <c r="M310" s="271">
        <f t="shared" si="45"/>
        <v>0</v>
      </c>
      <c r="N310" s="291" t="e">
        <f>IF(C310='Operating Assumptions'!$C$48,"Construction Finish","")</f>
        <v>#N/A</v>
      </c>
      <c r="O310" s="291"/>
      <c r="P310" s="291"/>
      <c r="Q310" s="291"/>
      <c r="R310" s="291"/>
      <c r="S310" s="291"/>
      <c r="T310" s="280"/>
      <c r="U310" s="280"/>
      <c r="V310" s="286"/>
      <c r="W310" s="286"/>
      <c r="X310" s="286"/>
      <c r="Y310" s="280"/>
      <c r="Z310" s="279"/>
      <c r="AA310" s="279"/>
      <c r="AB310" s="279"/>
    </row>
    <row r="311" spans="2:28" s="278" customFormat="1" ht="13.5" hidden="1" outlineLevel="1" x14ac:dyDescent="0.25">
      <c r="B311" s="270" t="e">
        <f>IF(AND($C311&gt;='TIF Loan Amortization'!$H$480,$C311&lt;='TIF Loan Amortization'!$I$480),'TIF Loan Amortization'!$G$480,IF(AND($C311&gt;='TIF Loan Amortization'!$H$481,$C311&lt;='TIF Loan Amortization'!I$481),'TIF Loan Amortization'!$G$481,IF(AND($C311&gt;='TIF Loan Amortization'!$H$482,$C311&lt;='TIF Loan Amortization'!I$482),'TIF Loan Amortization'!$G$482,IF(AND($C311&gt;='TIF Loan Amortization'!$H$483,$C311&lt;='TIF Loan Amortization'!I$483),'TIF Loan Amortization'!$G$483,IF(AND($C311&gt;='TIF Loan Amortization'!$H$484,$C311&lt;='TIF Loan Amortization'!I$484),'TIF Loan Amortization'!$G$484,IF(AND($C311&gt;='TIF Loan Amortization'!$H$485,$C311&lt;='TIF Loan Amortization'!I$485),'TIF Loan Amortization'!$G$485,IF(AND($C311&gt;='TIF Loan Amortization'!$H$486,$C311&lt;='TIF Loan Amortization'!I$486),'TIF Loan Amortization'!$G$486,IF(AND($C311&gt;='TIF Loan Amortization'!$H$487,$C311&lt;='TIF Loan Amortization'!I$487),'TIF Loan Amortization'!$G$487,IF(AND($C311&gt;='TIF Loan Amortization'!$H$488,$C311&lt;='TIF Loan Amortization'!I$488),'TIF Loan Amortization'!$G$488,IF(AND($C311&gt;='TIF Loan Amortization'!$H$489,$C311&lt;='TIF Loan Amortization'!I$489),'TIF Loan Amortization'!$G$489,IF(AND($C311&gt;='TIF Loan Amortization'!$H$490,$C311&lt;='TIF Loan Amortization'!I$490),'TIF Loan Amortization'!$G$490,IF(AND($C311&gt;='TIF Loan Amortization'!$H$491,$C311&lt;='TIF Loan Amortization'!I$491),'TIF Loan Amortization'!$G$491,IF(AND($C311&gt;='TIF Loan Amortization'!$H$492,$C311&lt;='TIF Loan Amortization'!I$492),'TIF Loan Amortization'!$G$492,IF(AND($C311&gt;='TIF Loan Amortization'!$H$493,$C311&lt;='TIF Loan Amortization'!I$493),'TIF Loan Amortization'!$G$493,IF(AND($C311&gt;='TIF Loan Amortization'!$H$494,$C311&lt;='TIF Loan Amortization'!I$494),'TIF Loan Amortization'!$G$494,IF(AND($C311&gt;='TIF Loan Amortization'!$H$495,$C311&lt;='TIF Loan Amortization'!I$495),'TIF Loan Amortization'!$G$495,IF(AND($C311&gt;='TIF Loan Amortization'!$H$496,$C311&lt;='TIF Loan Amortization'!I$496),'TIF Loan Amortization'!$G$496,IF(AND($C311&gt;='TIF Loan Amortization'!$H$497,$C311&lt;='TIF Loan Amortization'!I$497),'TIF Loan Amortization'!$G$497,IF(AND($C311&gt;='TIF Loan Amortization'!$H$498,$C311&lt;='TIF Loan Amortization'!I$498),'TIF Loan Amortization'!$G$498,IF(AND($C311&gt;='TIF Loan Amortization'!$H$499,$C311&lt;='TIF Loan Amortization'!I$499),'TIF Loan Amortization'!$G$499,IF(AND($C311&gt;='TIF Loan Amortization'!$H$500,$C311&lt;='TIF Loan Amortization'!I$500),'TIF Loan Amortization'!$G$500,IF(AND($C311&gt;='TIF Loan Amortization'!$H$501,$C311&lt;='TIF Loan Amortization'!I$501),'TIF Loan Amortization'!$G$501,IF(AND($C311&gt;='TIF Loan Amortization'!$H$502,$C311&lt;='TIF Loan Amortization'!I$502),'TIF Loan Amortization'!$G$502,IF(AND($C311&gt;='TIF Loan Amortization'!$H$503,$C311&lt;='TIF Loan Amortization'!I$503),'TIF Loan Amortization'!$G$503,IF(AND($C311&gt;='TIF Loan Amortization'!$H$504,$C311&lt;='TIF Loan Amortization'!I$504),'TIF Loan Amortization'!$G$504,IF(AND($C311&gt;='TIF Loan Amortization'!$H$505,$C311&lt;='TIF Loan Amortization'!I$505),'TIF Loan Amortization'!$G$505,IF(AND($C311&gt;='TIF Loan Amortization'!$H$506,$C311&lt;='TIF Loan Amortization'!I$506),'TIF Loan Amortization'!$G$506,IF(AND($C311&gt;='TIF Loan Amortization'!$H$507,$C311&lt;='TIF Loan Amortization'!I$507),'TIF Loan Amortization'!$G$507,IF(AND($C311&gt;='TIF Loan Amortization'!$H$508,$C311&lt;='TIF Loan Amortization'!I$508),'TIF Loan Amortization'!$G$508,IF(AND($C311&gt;='TIF Loan Amortization'!$H$509,$C311&lt;='TIF Loan Amortization'!I$509),'TIF Loan Amortization'!$G$509,IF(AND($C311&gt;='TIF Loan Amortization'!$H$510,$C311&lt;='TIF Loan Amortization'!I$510),'TIF Loan Amortization'!$G$510,IF(AND($C311&gt;='TIF Loan Amortization'!$H$511,$C311&lt;='TIF Loan Amortization'!I$511),'TIF Loan Amortization'!$G$511,IF(AND($C311&gt;='TIF Loan Amortization'!$H$512,$C311&lt;='TIF Loan Amortization'!I$512),'TIF Loan Amortization'!$G$512,IF(AND($C311&gt;='TIF Loan Amortization'!$H$513,$C311&lt;='TIF Loan Amortization'!I$513),'TIF Loan Amortization'!$G$513,IF(AND($C311&gt;='TIF Loan Amortization'!$H$514,$C311&lt;='TIF Loan Amortization'!I$514),'TIF Loan Amortization'!$G$514,IF(AND($C311&gt;='TIF Loan Amortization'!$H$515,$C311&lt;='TIF Loan Amortization'!I$515),'TIF Loan Amortization'!$G$515,IF(AND($C311&gt;='TIF Loan Amortization'!$H$516,$C311&lt;='TIF Loan Amortization'!I$516),'TIF Loan Amortization'!$G$516,IF(AND($C311&gt;='TIF Loan Amortization'!$H$517,$C311&lt;='TIF Loan Amortization'!I$517),'TIF Loan Amortization'!$G$517,IF(AND($C311&gt;='TIF Loan Amortization'!$H$518,$C311&lt;='TIF Loan Amortization'!I$518),'TIF Loan Amortization'!$G$518,IF(AND($C311&gt;='TIF Loan Amortization'!$H$519,$C311&lt;='TIF Loan Amortization'!I$519),'TIF Loan Amortization'!$G$519))))))))))))))))))))))))))))))))))))))))</f>
        <v>#N/A</v>
      </c>
      <c r="C311" s="269" t="e">
        <f t="shared" si="42"/>
        <v>#N/A</v>
      </c>
      <c r="D311" s="281" t="str">
        <f>IF($AG$431=1,$H$10+22,"")</f>
        <v/>
      </c>
      <c r="E311" s="274">
        <v>261</v>
      </c>
      <c r="F311" s="275" t="str">
        <f>VLOOKUP($AG$431,$AE$422:$AF$433,2)</f>
        <v>Dec</v>
      </c>
      <c r="G311" s="272">
        <f t="shared" si="43"/>
        <v>0</v>
      </c>
      <c r="H311" s="272">
        <f t="shared" si="46"/>
        <v>0</v>
      </c>
      <c r="I311" s="272">
        <f t="shared" si="47"/>
        <v>0</v>
      </c>
      <c r="J311" s="272">
        <f t="shared" si="44"/>
        <v>0</v>
      </c>
      <c r="K311" s="272">
        <f>IF(ISTEXT($M$4),"",SUM(I$50:I311))</f>
        <v>0</v>
      </c>
      <c r="L311" s="272">
        <f>IF(ISTEXT($M$4),"",SUM(J$50:J311))</f>
        <v>0</v>
      </c>
      <c r="M311" s="271">
        <f t="shared" si="45"/>
        <v>0</v>
      </c>
      <c r="N311" s="291" t="e">
        <f>IF(C311='Operating Assumptions'!$C$48,"Construction Finish","")</f>
        <v>#N/A</v>
      </c>
      <c r="O311" s="291"/>
      <c r="P311" s="291"/>
      <c r="Q311" s="291"/>
      <c r="R311" s="291"/>
      <c r="S311" s="291"/>
      <c r="T311" s="280"/>
      <c r="U311" s="280"/>
      <c r="V311" s="286"/>
      <c r="W311" s="286"/>
      <c r="X311" s="286"/>
      <c r="Y311" s="280"/>
      <c r="Z311" s="279"/>
      <c r="AA311" s="279"/>
      <c r="AB311" s="279"/>
    </row>
    <row r="312" spans="2:28" s="278" customFormat="1" ht="13.5" hidden="1" outlineLevel="1" x14ac:dyDescent="0.25">
      <c r="B312" s="270" t="e">
        <f>IF(AND($C312&gt;='TIF Loan Amortization'!$H$480,$C312&lt;='TIF Loan Amortization'!$I$480),'TIF Loan Amortization'!$G$480,IF(AND($C312&gt;='TIF Loan Amortization'!$H$481,$C312&lt;='TIF Loan Amortization'!I$481),'TIF Loan Amortization'!$G$481,IF(AND($C312&gt;='TIF Loan Amortization'!$H$482,$C312&lt;='TIF Loan Amortization'!I$482),'TIF Loan Amortization'!$G$482,IF(AND($C312&gt;='TIF Loan Amortization'!$H$483,$C312&lt;='TIF Loan Amortization'!I$483),'TIF Loan Amortization'!$G$483,IF(AND($C312&gt;='TIF Loan Amortization'!$H$484,$C312&lt;='TIF Loan Amortization'!I$484),'TIF Loan Amortization'!$G$484,IF(AND($C312&gt;='TIF Loan Amortization'!$H$485,$C312&lt;='TIF Loan Amortization'!I$485),'TIF Loan Amortization'!$G$485,IF(AND($C312&gt;='TIF Loan Amortization'!$H$486,$C312&lt;='TIF Loan Amortization'!I$486),'TIF Loan Amortization'!$G$486,IF(AND($C312&gt;='TIF Loan Amortization'!$H$487,$C312&lt;='TIF Loan Amortization'!I$487),'TIF Loan Amortization'!$G$487,IF(AND($C312&gt;='TIF Loan Amortization'!$H$488,$C312&lt;='TIF Loan Amortization'!I$488),'TIF Loan Amortization'!$G$488,IF(AND($C312&gt;='TIF Loan Amortization'!$H$489,$C312&lt;='TIF Loan Amortization'!I$489),'TIF Loan Amortization'!$G$489,IF(AND($C312&gt;='TIF Loan Amortization'!$H$490,$C312&lt;='TIF Loan Amortization'!I$490),'TIF Loan Amortization'!$G$490,IF(AND($C312&gt;='TIF Loan Amortization'!$H$491,$C312&lt;='TIF Loan Amortization'!I$491),'TIF Loan Amortization'!$G$491,IF(AND($C312&gt;='TIF Loan Amortization'!$H$492,$C312&lt;='TIF Loan Amortization'!I$492),'TIF Loan Amortization'!$G$492,IF(AND($C312&gt;='TIF Loan Amortization'!$H$493,$C312&lt;='TIF Loan Amortization'!I$493),'TIF Loan Amortization'!$G$493,IF(AND($C312&gt;='TIF Loan Amortization'!$H$494,$C312&lt;='TIF Loan Amortization'!I$494),'TIF Loan Amortization'!$G$494,IF(AND($C312&gt;='TIF Loan Amortization'!$H$495,$C312&lt;='TIF Loan Amortization'!I$495),'TIF Loan Amortization'!$G$495,IF(AND($C312&gt;='TIF Loan Amortization'!$H$496,$C312&lt;='TIF Loan Amortization'!I$496),'TIF Loan Amortization'!$G$496,IF(AND($C312&gt;='TIF Loan Amortization'!$H$497,$C312&lt;='TIF Loan Amortization'!I$497),'TIF Loan Amortization'!$G$497,IF(AND($C312&gt;='TIF Loan Amortization'!$H$498,$C312&lt;='TIF Loan Amortization'!I$498),'TIF Loan Amortization'!$G$498,IF(AND($C312&gt;='TIF Loan Amortization'!$H$499,$C312&lt;='TIF Loan Amortization'!I$499),'TIF Loan Amortization'!$G$499,IF(AND($C312&gt;='TIF Loan Amortization'!$H$500,$C312&lt;='TIF Loan Amortization'!I$500),'TIF Loan Amortization'!$G$500,IF(AND($C312&gt;='TIF Loan Amortization'!$H$501,$C312&lt;='TIF Loan Amortization'!I$501),'TIF Loan Amortization'!$G$501,IF(AND($C312&gt;='TIF Loan Amortization'!$H$502,$C312&lt;='TIF Loan Amortization'!I$502),'TIF Loan Amortization'!$G$502,IF(AND($C312&gt;='TIF Loan Amortization'!$H$503,$C312&lt;='TIF Loan Amortization'!I$503),'TIF Loan Amortization'!$G$503,IF(AND($C312&gt;='TIF Loan Amortization'!$H$504,$C312&lt;='TIF Loan Amortization'!I$504),'TIF Loan Amortization'!$G$504,IF(AND($C312&gt;='TIF Loan Amortization'!$H$505,$C312&lt;='TIF Loan Amortization'!I$505),'TIF Loan Amortization'!$G$505,IF(AND($C312&gt;='TIF Loan Amortization'!$H$506,$C312&lt;='TIF Loan Amortization'!I$506),'TIF Loan Amortization'!$G$506,IF(AND($C312&gt;='TIF Loan Amortization'!$H$507,$C312&lt;='TIF Loan Amortization'!I$507),'TIF Loan Amortization'!$G$507,IF(AND($C312&gt;='TIF Loan Amortization'!$H$508,$C312&lt;='TIF Loan Amortization'!I$508),'TIF Loan Amortization'!$G$508,IF(AND($C312&gt;='TIF Loan Amortization'!$H$509,$C312&lt;='TIF Loan Amortization'!I$509),'TIF Loan Amortization'!$G$509,IF(AND($C312&gt;='TIF Loan Amortization'!$H$510,$C312&lt;='TIF Loan Amortization'!I$510),'TIF Loan Amortization'!$G$510,IF(AND($C312&gt;='TIF Loan Amortization'!$H$511,$C312&lt;='TIF Loan Amortization'!I$511),'TIF Loan Amortization'!$G$511,IF(AND($C312&gt;='TIF Loan Amortization'!$H$512,$C312&lt;='TIF Loan Amortization'!I$512),'TIF Loan Amortization'!$G$512,IF(AND($C312&gt;='TIF Loan Amortization'!$H$513,$C312&lt;='TIF Loan Amortization'!I$513),'TIF Loan Amortization'!$G$513,IF(AND($C312&gt;='TIF Loan Amortization'!$H$514,$C312&lt;='TIF Loan Amortization'!I$514),'TIF Loan Amortization'!$G$514,IF(AND($C312&gt;='TIF Loan Amortization'!$H$515,$C312&lt;='TIF Loan Amortization'!I$515),'TIF Loan Amortization'!$G$515,IF(AND($C312&gt;='TIF Loan Amortization'!$H$516,$C312&lt;='TIF Loan Amortization'!I$516),'TIF Loan Amortization'!$G$516,IF(AND($C312&gt;='TIF Loan Amortization'!$H$517,$C312&lt;='TIF Loan Amortization'!I$517),'TIF Loan Amortization'!$G$517,IF(AND($C312&gt;='TIF Loan Amortization'!$H$518,$C312&lt;='TIF Loan Amortization'!I$518),'TIF Loan Amortization'!$G$518,IF(AND($C312&gt;='TIF Loan Amortization'!$H$519,$C312&lt;='TIF Loan Amortization'!I$519),'TIF Loan Amortization'!$G$519))))))))))))))))))))))))))))))))))))))))</f>
        <v>#N/A</v>
      </c>
      <c r="C312" s="269" t="e">
        <f t="shared" si="42"/>
        <v>#N/A</v>
      </c>
      <c r="D312" s="281">
        <f>IF($AG$432=1,$H$10+22,"")</f>
        <v>2047</v>
      </c>
      <c r="E312" s="274">
        <v>262</v>
      </c>
      <c r="F312" s="273" t="str">
        <f>VLOOKUP($AG$432,$AE$422:$AF$433,2)</f>
        <v>Jan</v>
      </c>
      <c r="G312" s="272">
        <f t="shared" si="43"/>
        <v>0</v>
      </c>
      <c r="H312" s="272">
        <f t="shared" si="46"/>
        <v>0</v>
      </c>
      <c r="I312" s="272">
        <f t="shared" si="47"/>
        <v>0</v>
      </c>
      <c r="J312" s="272">
        <f t="shared" si="44"/>
        <v>0</v>
      </c>
      <c r="K312" s="272">
        <f>IF(ISTEXT($M$4),"",SUM(I$50:I312))</f>
        <v>0</v>
      </c>
      <c r="L312" s="272">
        <f>IF(ISTEXT($M$4),"",SUM(J$50:J312))</f>
        <v>0</v>
      </c>
      <c r="M312" s="271">
        <f t="shared" si="45"/>
        <v>0</v>
      </c>
      <c r="N312" s="291" t="e">
        <f>IF(C312='Operating Assumptions'!$C$48,"Construction Finish","")</f>
        <v>#N/A</v>
      </c>
      <c r="O312" s="291"/>
      <c r="P312" s="291"/>
      <c r="Q312" s="291"/>
      <c r="R312" s="291"/>
      <c r="S312" s="291"/>
      <c r="T312" s="280"/>
      <c r="U312" s="280"/>
      <c r="V312" s="286"/>
      <c r="W312" s="286"/>
      <c r="X312" s="286"/>
      <c r="Y312" s="280"/>
      <c r="Z312" s="279"/>
      <c r="AA312" s="279"/>
      <c r="AB312" s="279"/>
    </row>
    <row r="313" spans="2:28" s="278" customFormat="1" ht="13.5" hidden="1" outlineLevel="1" x14ac:dyDescent="0.25">
      <c r="B313" s="270" t="e">
        <f>IF(AND($C313&gt;='TIF Loan Amortization'!$H$480,$C313&lt;='TIF Loan Amortization'!$I$480),'TIF Loan Amortization'!$G$480,IF(AND($C313&gt;='TIF Loan Amortization'!$H$481,$C313&lt;='TIF Loan Amortization'!I$481),'TIF Loan Amortization'!$G$481,IF(AND($C313&gt;='TIF Loan Amortization'!$H$482,$C313&lt;='TIF Loan Amortization'!I$482),'TIF Loan Amortization'!$G$482,IF(AND($C313&gt;='TIF Loan Amortization'!$H$483,$C313&lt;='TIF Loan Amortization'!I$483),'TIF Loan Amortization'!$G$483,IF(AND($C313&gt;='TIF Loan Amortization'!$H$484,$C313&lt;='TIF Loan Amortization'!I$484),'TIF Loan Amortization'!$G$484,IF(AND($C313&gt;='TIF Loan Amortization'!$H$485,$C313&lt;='TIF Loan Amortization'!I$485),'TIF Loan Amortization'!$G$485,IF(AND($C313&gt;='TIF Loan Amortization'!$H$486,$C313&lt;='TIF Loan Amortization'!I$486),'TIF Loan Amortization'!$G$486,IF(AND($C313&gt;='TIF Loan Amortization'!$H$487,$C313&lt;='TIF Loan Amortization'!I$487),'TIF Loan Amortization'!$G$487,IF(AND($C313&gt;='TIF Loan Amortization'!$H$488,$C313&lt;='TIF Loan Amortization'!I$488),'TIF Loan Amortization'!$G$488,IF(AND($C313&gt;='TIF Loan Amortization'!$H$489,$C313&lt;='TIF Loan Amortization'!I$489),'TIF Loan Amortization'!$G$489,IF(AND($C313&gt;='TIF Loan Amortization'!$H$490,$C313&lt;='TIF Loan Amortization'!I$490),'TIF Loan Amortization'!$G$490,IF(AND($C313&gt;='TIF Loan Amortization'!$H$491,$C313&lt;='TIF Loan Amortization'!I$491),'TIF Loan Amortization'!$G$491,IF(AND($C313&gt;='TIF Loan Amortization'!$H$492,$C313&lt;='TIF Loan Amortization'!I$492),'TIF Loan Amortization'!$G$492,IF(AND($C313&gt;='TIF Loan Amortization'!$H$493,$C313&lt;='TIF Loan Amortization'!I$493),'TIF Loan Amortization'!$G$493,IF(AND($C313&gt;='TIF Loan Amortization'!$H$494,$C313&lt;='TIF Loan Amortization'!I$494),'TIF Loan Amortization'!$G$494,IF(AND($C313&gt;='TIF Loan Amortization'!$H$495,$C313&lt;='TIF Loan Amortization'!I$495),'TIF Loan Amortization'!$G$495,IF(AND($C313&gt;='TIF Loan Amortization'!$H$496,$C313&lt;='TIF Loan Amortization'!I$496),'TIF Loan Amortization'!$G$496,IF(AND($C313&gt;='TIF Loan Amortization'!$H$497,$C313&lt;='TIF Loan Amortization'!I$497),'TIF Loan Amortization'!$G$497,IF(AND($C313&gt;='TIF Loan Amortization'!$H$498,$C313&lt;='TIF Loan Amortization'!I$498),'TIF Loan Amortization'!$G$498,IF(AND($C313&gt;='TIF Loan Amortization'!$H$499,$C313&lt;='TIF Loan Amortization'!I$499),'TIF Loan Amortization'!$G$499,IF(AND($C313&gt;='TIF Loan Amortization'!$H$500,$C313&lt;='TIF Loan Amortization'!I$500),'TIF Loan Amortization'!$G$500,IF(AND($C313&gt;='TIF Loan Amortization'!$H$501,$C313&lt;='TIF Loan Amortization'!I$501),'TIF Loan Amortization'!$G$501,IF(AND($C313&gt;='TIF Loan Amortization'!$H$502,$C313&lt;='TIF Loan Amortization'!I$502),'TIF Loan Amortization'!$G$502,IF(AND($C313&gt;='TIF Loan Amortization'!$H$503,$C313&lt;='TIF Loan Amortization'!I$503),'TIF Loan Amortization'!$G$503,IF(AND($C313&gt;='TIF Loan Amortization'!$H$504,$C313&lt;='TIF Loan Amortization'!I$504),'TIF Loan Amortization'!$G$504,IF(AND($C313&gt;='TIF Loan Amortization'!$H$505,$C313&lt;='TIF Loan Amortization'!I$505),'TIF Loan Amortization'!$G$505,IF(AND($C313&gt;='TIF Loan Amortization'!$H$506,$C313&lt;='TIF Loan Amortization'!I$506),'TIF Loan Amortization'!$G$506,IF(AND($C313&gt;='TIF Loan Amortization'!$H$507,$C313&lt;='TIF Loan Amortization'!I$507),'TIF Loan Amortization'!$G$507,IF(AND($C313&gt;='TIF Loan Amortization'!$H$508,$C313&lt;='TIF Loan Amortization'!I$508),'TIF Loan Amortization'!$G$508,IF(AND($C313&gt;='TIF Loan Amortization'!$H$509,$C313&lt;='TIF Loan Amortization'!I$509),'TIF Loan Amortization'!$G$509,IF(AND($C313&gt;='TIF Loan Amortization'!$H$510,$C313&lt;='TIF Loan Amortization'!I$510),'TIF Loan Amortization'!$G$510,IF(AND($C313&gt;='TIF Loan Amortization'!$H$511,$C313&lt;='TIF Loan Amortization'!I$511),'TIF Loan Amortization'!$G$511,IF(AND($C313&gt;='TIF Loan Amortization'!$H$512,$C313&lt;='TIF Loan Amortization'!I$512),'TIF Loan Amortization'!$G$512,IF(AND($C313&gt;='TIF Loan Amortization'!$H$513,$C313&lt;='TIF Loan Amortization'!I$513),'TIF Loan Amortization'!$G$513,IF(AND($C313&gt;='TIF Loan Amortization'!$H$514,$C313&lt;='TIF Loan Amortization'!I$514),'TIF Loan Amortization'!$G$514,IF(AND($C313&gt;='TIF Loan Amortization'!$H$515,$C313&lt;='TIF Loan Amortization'!I$515),'TIF Loan Amortization'!$G$515,IF(AND($C313&gt;='TIF Loan Amortization'!$H$516,$C313&lt;='TIF Loan Amortization'!I$516),'TIF Loan Amortization'!$G$516,IF(AND($C313&gt;='TIF Loan Amortization'!$H$517,$C313&lt;='TIF Loan Amortization'!I$517),'TIF Loan Amortization'!$G$517,IF(AND($C313&gt;='TIF Loan Amortization'!$H$518,$C313&lt;='TIF Loan Amortization'!I$518),'TIF Loan Amortization'!$G$518,IF(AND($C313&gt;='TIF Loan Amortization'!$H$519,$C313&lt;='TIF Loan Amortization'!I$519),'TIF Loan Amortization'!$G$519))))))))))))))))))))))))))))))))))))))))</f>
        <v>#N/A</v>
      </c>
      <c r="C313" s="269" t="e">
        <f t="shared" si="42"/>
        <v>#N/A</v>
      </c>
      <c r="D313" s="281" t="str">
        <f>IF($AG$433=1,$H$10+22,"")</f>
        <v/>
      </c>
      <c r="E313" s="274">
        <v>263</v>
      </c>
      <c r="F313" s="273" t="str">
        <f>VLOOKUP($AG$433,$AE$422:$AF$433,2)</f>
        <v>Feb</v>
      </c>
      <c r="G313" s="272">
        <f t="shared" si="43"/>
        <v>0</v>
      </c>
      <c r="H313" s="272">
        <f t="shared" si="46"/>
        <v>0</v>
      </c>
      <c r="I313" s="272">
        <f t="shared" si="47"/>
        <v>0</v>
      </c>
      <c r="J313" s="272">
        <f t="shared" si="44"/>
        <v>0</v>
      </c>
      <c r="K313" s="272">
        <f>IF(ISTEXT($M$4),"",SUM(I$50:I313))</f>
        <v>0</v>
      </c>
      <c r="L313" s="272">
        <f>IF(ISTEXT($M$4),"",SUM(J$50:J313))</f>
        <v>0</v>
      </c>
      <c r="M313" s="271">
        <f t="shared" si="45"/>
        <v>0</v>
      </c>
      <c r="N313" s="291" t="e">
        <f>IF(C313='Operating Assumptions'!$C$48,"Construction Finish","")</f>
        <v>#N/A</v>
      </c>
      <c r="O313" s="291"/>
      <c r="P313" s="291"/>
      <c r="Q313" s="291"/>
      <c r="R313" s="291"/>
      <c r="S313" s="291"/>
      <c r="T313" s="280"/>
      <c r="U313" s="280"/>
      <c r="V313" s="286"/>
      <c r="W313" s="286"/>
      <c r="X313" s="286"/>
      <c r="Y313" s="280"/>
      <c r="Z313" s="279"/>
      <c r="AA313" s="279"/>
      <c r="AB313" s="279"/>
    </row>
    <row r="314" spans="2:28" s="278" customFormat="1" ht="13.5" hidden="1" outlineLevel="1" x14ac:dyDescent="0.25">
      <c r="B314" s="270" t="e">
        <f>IF(AND($C314&gt;='TIF Loan Amortization'!$H$480,$C314&lt;='TIF Loan Amortization'!$I$480),'TIF Loan Amortization'!$G$480,IF(AND($C314&gt;='TIF Loan Amortization'!$H$481,$C314&lt;='TIF Loan Amortization'!I$481),'TIF Loan Amortization'!$G$481,IF(AND($C314&gt;='TIF Loan Amortization'!$H$482,$C314&lt;='TIF Loan Amortization'!I$482),'TIF Loan Amortization'!$G$482,IF(AND($C314&gt;='TIF Loan Amortization'!$H$483,$C314&lt;='TIF Loan Amortization'!I$483),'TIF Loan Amortization'!$G$483,IF(AND($C314&gt;='TIF Loan Amortization'!$H$484,$C314&lt;='TIF Loan Amortization'!I$484),'TIF Loan Amortization'!$G$484,IF(AND($C314&gt;='TIF Loan Amortization'!$H$485,$C314&lt;='TIF Loan Amortization'!I$485),'TIF Loan Amortization'!$G$485,IF(AND($C314&gt;='TIF Loan Amortization'!$H$486,$C314&lt;='TIF Loan Amortization'!I$486),'TIF Loan Amortization'!$G$486,IF(AND($C314&gt;='TIF Loan Amortization'!$H$487,$C314&lt;='TIF Loan Amortization'!I$487),'TIF Loan Amortization'!$G$487,IF(AND($C314&gt;='TIF Loan Amortization'!$H$488,$C314&lt;='TIF Loan Amortization'!I$488),'TIF Loan Amortization'!$G$488,IF(AND($C314&gt;='TIF Loan Amortization'!$H$489,$C314&lt;='TIF Loan Amortization'!I$489),'TIF Loan Amortization'!$G$489,IF(AND($C314&gt;='TIF Loan Amortization'!$H$490,$C314&lt;='TIF Loan Amortization'!I$490),'TIF Loan Amortization'!$G$490,IF(AND($C314&gt;='TIF Loan Amortization'!$H$491,$C314&lt;='TIF Loan Amortization'!I$491),'TIF Loan Amortization'!$G$491,IF(AND($C314&gt;='TIF Loan Amortization'!$H$492,$C314&lt;='TIF Loan Amortization'!I$492),'TIF Loan Amortization'!$G$492,IF(AND($C314&gt;='TIF Loan Amortization'!$H$493,$C314&lt;='TIF Loan Amortization'!I$493),'TIF Loan Amortization'!$G$493,IF(AND($C314&gt;='TIF Loan Amortization'!$H$494,$C314&lt;='TIF Loan Amortization'!I$494),'TIF Loan Amortization'!$G$494,IF(AND($C314&gt;='TIF Loan Amortization'!$H$495,$C314&lt;='TIF Loan Amortization'!I$495),'TIF Loan Amortization'!$G$495,IF(AND($C314&gt;='TIF Loan Amortization'!$H$496,$C314&lt;='TIF Loan Amortization'!I$496),'TIF Loan Amortization'!$G$496,IF(AND($C314&gt;='TIF Loan Amortization'!$H$497,$C314&lt;='TIF Loan Amortization'!I$497),'TIF Loan Amortization'!$G$497,IF(AND($C314&gt;='TIF Loan Amortization'!$H$498,$C314&lt;='TIF Loan Amortization'!I$498),'TIF Loan Amortization'!$G$498,IF(AND($C314&gt;='TIF Loan Amortization'!$H$499,$C314&lt;='TIF Loan Amortization'!I$499),'TIF Loan Amortization'!$G$499,IF(AND($C314&gt;='TIF Loan Amortization'!$H$500,$C314&lt;='TIF Loan Amortization'!I$500),'TIF Loan Amortization'!$G$500,IF(AND($C314&gt;='TIF Loan Amortization'!$H$501,$C314&lt;='TIF Loan Amortization'!I$501),'TIF Loan Amortization'!$G$501,IF(AND($C314&gt;='TIF Loan Amortization'!$H$502,$C314&lt;='TIF Loan Amortization'!I$502),'TIF Loan Amortization'!$G$502,IF(AND($C314&gt;='TIF Loan Amortization'!$H$503,$C314&lt;='TIF Loan Amortization'!I$503),'TIF Loan Amortization'!$G$503,IF(AND($C314&gt;='TIF Loan Amortization'!$H$504,$C314&lt;='TIF Loan Amortization'!I$504),'TIF Loan Amortization'!$G$504,IF(AND($C314&gt;='TIF Loan Amortization'!$H$505,$C314&lt;='TIF Loan Amortization'!I$505),'TIF Loan Amortization'!$G$505,IF(AND($C314&gt;='TIF Loan Amortization'!$H$506,$C314&lt;='TIF Loan Amortization'!I$506),'TIF Loan Amortization'!$G$506,IF(AND($C314&gt;='TIF Loan Amortization'!$H$507,$C314&lt;='TIF Loan Amortization'!I$507),'TIF Loan Amortization'!$G$507,IF(AND($C314&gt;='TIF Loan Amortization'!$H$508,$C314&lt;='TIF Loan Amortization'!I$508),'TIF Loan Amortization'!$G$508,IF(AND($C314&gt;='TIF Loan Amortization'!$H$509,$C314&lt;='TIF Loan Amortization'!I$509),'TIF Loan Amortization'!$G$509,IF(AND($C314&gt;='TIF Loan Amortization'!$H$510,$C314&lt;='TIF Loan Amortization'!I$510),'TIF Loan Amortization'!$G$510,IF(AND($C314&gt;='TIF Loan Amortization'!$H$511,$C314&lt;='TIF Loan Amortization'!I$511),'TIF Loan Amortization'!$G$511,IF(AND($C314&gt;='TIF Loan Amortization'!$H$512,$C314&lt;='TIF Loan Amortization'!I$512),'TIF Loan Amortization'!$G$512,IF(AND($C314&gt;='TIF Loan Amortization'!$H$513,$C314&lt;='TIF Loan Amortization'!I$513),'TIF Loan Amortization'!$G$513,IF(AND($C314&gt;='TIF Loan Amortization'!$H$514,$C314&lt;='TIF Loan Amortization'!I$514),'TIF Loan Amortization'!$G$514,IF(AND($C314&gt;='TIF Loan Amortization'!$H$515,$C314&lt;='TIF Loan Amortization'!I$515),'TIF Loan Amortization'!$G$515,IF(AND($C314&gt;='TIF Loan Amortization'!$H$516,$C314&lt;='TIF Loan Amortization'!I$516),'TIF Loan Amortization'!$G$516,IF(AND($C314&gt;='TIF Loan Amortization'!$H$517,$C314&lt;='TIF Loan Amortization'!I$517),'TIF Loan Amortization'!$G$517,IF(AND($C314&gt;='TIF Loan Amortization'!$H$518,$C314&lt;='TIF Loan Amortization'!I$518),'TIF Loan Amortization'!$G$518,IF(AND($C314&gt;='TIF Loan Amortization'!$H$519,$C314&lt;='TIF Loan Amortization'!I$519),'TIF Loan Amortization'!$G$519))))))))))))))))))))))))))))))))))))))))</f>
        <v>#N/A</v>
      </c>
      <c r="C314" s="269" t="e">
        <f t="shared" si="42"/>
        <v>#N/A</v>
      </c>
      <c r="D314" s="281" t="str">
        <f>IF($H$11="January",$H$10+22,IF($AG$422=1,$H$10+23,""))</f>
        <v/>
      </c>
      <c r="E314" s="274">
        <v>264</v>
      </c>
      <c r="F314" s="273" t="str">
        <f>VLOOKUP($AG$422,$AE$422:$AF$433,2)</f>
        <v>Mar</v>
      </c>
      <c r="G314" s="272">
        <f t="shared" si="43"/>
        <v>0</v>
      </c>
      <c r="H314" s="272">
        <f t="shared" si="46"/>
        <v>0</v>
      </c>
      <c r="I314" s="272">
        <f t="shared" si="47"/>
        <v>0</v>
      </c>
      <c r="J314" s="272">
        <f t="shared" si="44"/>
        <v>0</v>
      </c>
      <c r="K314" s="272">
        <f>IF(ISTEXT($M$4),"",SUM(I$50:I314))</f>
        <v>0</v>
      </c>
      <c r="L314" s="272">
        <f>IF(ISTEXT($M$4),"",SUM(J$50:J314))</f>
        <v>0</v>
      </c>
      <c r="M314" s="271">
        <f t="shared" si="45"/>
        <v>0</v>
      </c>
      <c r="N314" s="291" t="e">
        <f>IF(C314='Operating Assumptions'!$C$48,"Construction Finish","")</f>
        <v>#N/A</v>
      </c>
      <c r="O314" s="291"/>
      <c r="P314" s="291"/>
      <c r="Q314" s="291"/>
      <c r="R314" s="291"/>
      <c r="S314" s="291"/>
      <c r="T314" s="280"/>
      <c r="U314" s="280"/>
      <c r="V314" s="286"/>
      <c r="W314" s="286"/>
      <c r="X314" s="286"/>
      <c r="Y314" s="280"/>
      <c r="Z314" s="279"/>
      <c r="AA314" s="279"/>
      <c r="AB314" s="279"/>
    </row>
    <row r="315" spans="2:28" s="278" customFormat="1" ht="13.5" hidden="1" outlineLevel="1" x14ac:dyDescent="0.25">
      <c r="B315" s="270" t="e">
        <f>IF(AND($C315&gt;='TIF Loan Amortization'!$H$480,$C315&lt;='TIF Loan Amortization'!$I$480),'TIF Loan Amortization'!$G$480,IF(AND($C315&gt;='TIF Loan Amortization'!$H$481,$C315&lt;='TIF Loan Amortization'!I$481),'TIF Loan Amortization'!$G$481,IF(AND($C315&gt;='TIF Loan Amortization'!$H$482,$C315&lt;='TIF Loan Amortization'!I$482),'TIF Loan Amortization'!$G$482,IF(AND($C315&gt;='TIF Loan Amortization'!$H$483,$C315&lt;='TIF Loan Amortization'!I$483),'TIF Loan Amortization'!$G$483,IF(AND($C315&gt;='TIF Loan Amortization'!$H$484,$C315&lt;='TIF Loan Amortization'!I$484),'TIF Loan Amortization'!$G$484,IF(AND($C315&gt;='TIF Loan Amortization'!$H$485,$C315&lt;='TIF Loan Amortization'!I$485),'TIF Loan Amortization'!$G$485,IF(AND($C315&gt;='TIF Loan Amortization'!$H$486,$C315&lt;='TIF Loan Amortization'!I$486),'TIF Loan Amortization'!$G$486,IF(AND($C315&gt;='TIF Loan Amortization'!$H$487,$C315&lt;='TIF Loan Amortization'!I$487),'TIF Loan Amortization'!$G$487,IF(AND($C315&gt;='TIF Loan Amortization'!$H$488,$C315&lt;='TIF Loan Amortization'!I$488),'TIF Loan Amortization'!$G$488,IF(AND($C315&gt;='TIF Loan Amortization'!$H$489,$C315&lt;='TIF Loan Amortization'!I$489),'TIF Loan Amortization'!$G$489,IF(AND($C315&gt;='TIF Loan Amortization'!$H$490,$C315&lt;='TIF Loan Amortization'!I$490),'TIF Loan Amortization'!$G$490,IF(AND($C315&gt;='TIF Loan Amortization'!$H$491,$C315&lt;='TIF Loan Amortization'!I$491),'TIF Loan Amortization'!$G$491,IF(AND($C315&gt;='TIF Loan Amortization'!$H$492,$C315&lt;='TIF Loan Amortization'!I$492),'TIF Loan Amortization'!$G$492,IF(AND($C315&gt;='TIF Loan Amortization'!$H$493,$C315&lt;='TIF Loan Amortization'!I$493),'TIF Loan Amortization'!$G$493,IF(AND($C315&gt;='TIF Loan Amortization'!$H$494,$C315&lt;='TIF Loan Amortization'!I$494),'TIF Loan Amortization'!$G$494,IF(AND($C315&gt;='TIF Loan Amortization'!$H$495,$C315&lt;='TIF Loan Amortization'!I$495),'TIF Loan Amortization'!$G$495,IF(AND($C315&gt;='TIF Loan Amortization'!$H$496,$C315&lt;='TIF Loan Amortization'!I$496),'TIF Loan Amortization'!$G$496,IF(AND($C315&gt;='TIF Loan Amortization'!$H$497,$C315&lt;='TIF Loan Amortization'!I$497),'TIF Loan Amortization'!$G$497,IF(AND($C315&gt;='TIF Loan Amortization'!$H$498,$C315&lt;='TIF Loan Amortization'!I$498),'TIF Loan Amortization'!$G$498,IF(AND($C315&gt;='TIF Loan Amortization'!$H$499,$C315&lt;='TIF Loan Amortization'!I$499),'TIF Loan Amortization'!$G$499,IF(AND($C315&gt;='TIF Loan Amortization'!$H$500,$C315&lt;='TIF Loan Amortization'!I$500),'TIF Loan Amortization'!$G$500,IF(AND($C315&gt;='TIF Loan Amortization'!$H$501,$C315&lt;='TIF Loan Amortization'!I$501),'TIF Loan Amortization'!$G$501,IF(AND($C315&gt;='TIF Loan Amortization'!$H$502,$C315&lt;='TIF Loan Amortization'!I$502),'TIF Loan Amortization'!$G$502,IF(AND($C315&gt;='TIF Loan Amortization'!$H$503,$C315&lt;='TIF Loan Amortization'!I$503),'TIF Loan Amortization'!$G$503,IF(AND($C315&gt;='TIF Loan Amortization'!$H$504,$C315&lt;='TIF Loan Amortization'!I$504),'TIF Loan Amortization'!$G$504,IF(AND($C315&gt;='TIF Loan Amortization'!$H$505,$C315&lt;='TIF Loan Amortization'!I$505),'TIF Loan Amortization'!$G$505,IF(AND($C315&gt;='TIF Loan Amortization'!$H$506,$C315&lt;='TIF Loan Amortization'!I$506),'TIF Loan Amortization'!$G$506,IF(AND($C315&gt;='TIF Loan Amortization'!$H$507,$C315&lt;='TIF Loan Amortization'!I$507),'TIF Loan Amortization'!$G$507,IF(AND($C315&gt;='TIF Loan Amortization'!$H$508,$C315&lt;='TIF Loan Amortization'!I$508),'TIF Loan Amortization'!$G$508,IF(AND($C315&gt;='TIF Loan Amortization'!$H$509,$C315&lt;='TIF Loan Amortization'!I$509),'TIF Loan Amortization'!$G$509,IF(AND($C315&gt;='TIF Loan Amortization'!$H$510,$C315&lt;='TIF Loan Amortization'!I$510),'TIF Loan Amortization'!$G$510,IF(AND($C315&gt;='TIF Loan Amortization'!$H$511,$C315&lt;='TIF Loan Amortization'!I$511),'TIF Loan Amortization'!$G$511,IF(AND($C315&gt;='TIF Loan Amortization'!$H$512,$C315&lt;='TIF Loan Amortization'!I$512),'TIF Loan Amortization'!$G$512,IF(AND($C315&gt;='TIF Loan Amortization'!$H$513,$C315&lt;='TIF Loan Amortization'!I$513),'TIF Loan Amortization'!$G$513,IF(AND($C315&gt;='TIF Loan Amortization'!$H$514,$C315&lt;='TIF Loan Amortization'!I$514),'TIF Loan Amortization'!$G$514,IF(AND($C315&gt;='TIF Loan Amortization'!$H$515,$C315&lt;='TIF Loan Amortization'!I$515),'TIF Loan Amortization'!$G$515,IF(AND($C315&gt;='TIF Loan Amortization'!$H$516,$C315&lt;='TIF Loan Amortization'!I$516),'TIF Loan Amortization'!$G$516,IF(AND($C315&gt;='TIF Loan Amortization'!$H$517,$C315&lt;='TIF Loan Amortization'!I$517),'TIF Loan Amortization'!$G$517,IF(AND($C315&gt;='TIF Loan Amortization'!$H$518,$C315&lt;='TIF Loan Amortization'!I$518),'TIF Loan Amortization'!$G$518,IF(AND($C315&gt;='TIF Loan Amortization'!$H$519,$C315&lt;='TIF Loan Amortization'!I$519),'TIF Loan Amortization'!$G$519))))))))))))))))))))))))))))))))))))))))</f>
        <v>#N/A</v>
      </c>
      <c r="C315" s="269" t="e">
        <f t="shared" si="42"/>
        <v>#N/A</v>
      </c>
      <c r="D315" s="281" t="str">
        <f>IF($AG$423=1,$H$10+23,"")</f>
        <v/>
      </c>
      <c r="E315" s="274">
        <v>265</v>
      </c>
      <c r="F315" s="275" t="str">
        <f>VLOOKUP($AG$423,$AE$422:$AF$433,2)</f>
        <v>Apr</v>
      </c>
      <c r="G315" s="272">
        <f t="shared" si="43"/>
        <v>0</v>
      </c>
      <c r="H315" s="272">
        <f t="shared" si="46"/>
        <v>0</v>
      </c>
      <c r="I315" s="272">
        <f t="shared" si="47"/>
        <v>0</v>
      </c>
      <c r="J315" s="272">
        <f t="shared" si="44"/>
        <v>0</v>
      </c>
      <c r="K315" s="272">
        <f>IF(ISTEXT($M$4),"",SUM(I$50:I315))</f>
        <v>0</v>
      </c>
      <c r="L315" s="272">
        <f>IF(ISTEXT($M$4),"",SUM(J$50:J315))</f>
        <v>0</v>
      </c>
      <c r="M315" s="271">
        <f t="shared" si="45"/>
        <v>0</v>
      </c>
      <c r="N315" s="291" t="e">
        <f>IF(C315='Operating Assumptions'!$C$48,"Construction Finish","")</f>
        <v>#N/A</v>
      </c>
      <c r="O315" s="291"/>
      <c r="P315" s="291"/>
      <c r="Q315" s="291"/>
      <c r="R315" s="291"/>
      <c r="S315" s="291"/>
      <c r="T315" s="280"/>
      <c r="U315" s="280"/>
      <c r="V315" s="286"/>
      <c r="W315" s="286"/>
      <c r="X315" s="286"/>
      <c r="Y315" s="280"/>
      <c r="Z315" s="279"/>
      <c r="AA315" s="279"/>
      <c r="AB315" s="279"/>
    </row>
    <row r="316" spans="2:28" s="278" customFormat="1" ht="13.5" hidden="1" outlineLevel="1" x14ac:dyDescent="0.25">
      <c r="B316" s="270" t="e">
        <f>IF(AND($C316&gt;='TIF Loan Amortization'!$H$480,$C316&lt;='TIF Loan Amortization'!$I$480),'TIF Loan Amortization'!$G$480,IF(AND($C316&gt;='TIF Loan Amortization'!$H$481,$C316&lt;='TIF Loan Amortization'!I$481),'TIF Loan Amortization'!$G$481,IF(AND($C316&gt;='TIF Loan Amortization'!$H$482,$C316&lt;='TIF Loan Amortization'!I$482),'TIF Loan Amortization'!$G$482,IF(AND($C316&gt;='TIF Loan Amortization'!$H$483,$C316&lt;='TIF Loan Amortization'!I$483),'TIF Loan Amortization'!$G$483,IF(AND($C316&gt;='TIF Loan Amortization'!$H$484,$C316&lt;='TIF Loan Amortization'!I$484),'TIF Loan Amortization'!$G$484,IF(AND($C316&gt;='TIF Loan Amortization'!$H$485,$C316&lt;='TIF Loan Amortization'!I$485),'TIF Loan Amortization'!$G$485,IF(AND($C316&gt;='TIF Loan Amortization'!$H$486,$C316&lt;='TIF Loan Amortization'!I$486),'TIF Loan Amortization'!$G$486,IF(AND($C316&gt;='TIF Loan Amortization'!$H$487,$C316&lt;='TIF Loan Amortization'!I$487),'TIF Loan Amortization'!$G$487,IF(AND($C316&gt;='TIF Loan Amortization'!$H$488,$C316&lt;='TIF Loan Amortization'!I$488),'TIF Loan Amortization'!$G$488,IF(AND($C316&gt;='TIF Loan Amortization'!$H$489,$C316&lt;='TIF Loan Amortization'!I$489),'TIF Loan Amortization'!$G$489,IF(AND($C316&gt;='TIF Loan Amortization'!$H$490,$C316&lt;='TIF Loan Amortization'!I$490),'TIF Loan Amortization'!$G$490,IF(AND($C316&gt;='TIF Loan Amortization'!$H$491,$C316&lt;='TIF Loan Amortization'!I$491),'TIF Loan Amortization'!$G$491,IF(AND($C316&gt;='TIF Loan Amortization'!$H$492,$C316&lt;='TIF Loan Amortization'!I$492),'TIF Loan Amortization'!$G$492,IF(AND($C316&gt;='TIF Loan Amortization'!$H$493,$C316&lt;='TIF Loan Amortization'!I$493),'TIF Loan Amortization'!$G$493,IF(AND($C316&gt;='TIF Loan Amortization'!$H$494,$C316&lt;='TIF Loan Amortization'!I$494),'TIF Loan Amortization'!$G$494,IF(AND($C316&gt;='TIF Loan Amortization'!$H$495,$C316&lt;='TIF Loan Amortization'!I$495),'TIF Loan Amortization'!$G$495,IF(AND($C316&gt;='TIF Loan Amortization'!$H$496,$C316&lt;='TIF Loan Amortization'!I$496),'TIF Loan Amortization'!$G$496,IF(AND($C316&gt;='TIF Loan Amortization'!$H$497,$C316&lt;='TIF Loan Amortization'!I$497),'TIF Loan Amortization'!$G$497,IF(AND($C316&gt;='TIF Loan Amortization'!$H$498,$C316&lt;='TIF Loan Amortization'!I$498),'TIF Loan Amortization'!$G$498,IF(AND($C316&gt;='TIF Loan Amortization'!$H$499,$C316&lt;='TIF Loan Amortization'!I$499),'TIF Loan Amortization'!$G$499,IF(AND($C316&gt;='TIF Loan Amortization'!$H$500,$C316&lt;='TIF Loan Amortization'!I$500),'TIF Loan Amortization'!$G$500,IF(AND($C316&gt;='TIF Loan Amortization'!$H$501,$C316&lt;='TIF Loan Amortization'!I$501),'TIF Loan Amortization'!$G$501,IF(AND($C316&gt;='TIF Loan Amortization'!$H$502,$C316&lt;='TIF Loan Amortization'!I$502),'TIF Loan Amortization'!$G$502,IF(AND($C316&gt;='TIF Loan Amortization'!$H$503,$C316&lt;='TIF Loan Amortization'!I$503),'TIF Loan Amortization'!$G$503,IF(AND($C316&gt;='TIF Loan Amortization'!$H$504,$C316&lt;='TIF Loan Amortization'!I$504),'TIF Loan Amortization'!$G$504,IF(AND($C316&gt;='TIF Loan Amortization'!$H$505,$C316&lt;='TIF Loan Amortization'!I$505),'TIF Loan Amortization'!$G$505,IF(AND($C316&gt;='TIF Loan Amortization'!$H$506,$C316&lt;='TIF Loan Amortization'!I$506),'TIF Loan Amortization'!$G$506,IF(AND($C316&gt;='TIF Loan Amortization'!$H$507,$C316&lt;='TIF Loan Amortization'!I$507),'TIF Loan Amortization'!$G$507,IF(AND($C316&gt;='TIF Loan Amortization'!$H$508,$C316&lt;='TIF Loan Amortization'!I$508),'TIF Loan Amortization'!$G$508,IF(AND($C316&gt;='TIF Loan Amortization'!$H$509,$C316&lt;='TIF Loan Amortization'!I$509),'TIF Loan Amortization'!$G$509,IF(AND($C316&gt;='TIF Loan Amortization'!$H$510,$C316&lt;='TIF Loan Amortization'!I$510),'TIF Loan Amortization'!$G$510,IF(AND($C316&gt;='TIF Loan Amortization'!$H$511,$C316&lt;='TIF Loan Amortization'!I$511),'TIF Loan Amortization'!$G$511,IF(AND($C316&gt;='TIF Loan Amortization'!$H$512,$C316&lt;='TIF Loan Amortization'!I$512),'TIF Loan Amortization'!$G$512,IF(AND($C316&gt;='TIF Loan Amortization'!$H$513,$C316&lt;='TIF Loan Amortization'!I$513),'TIF Loan Amortization'!$G$513,IF(AND($C316&gt;='TIF Loan Amortization'!$H$514,$C316&lt;='TIF Loan Amortization'!I$514),'TIF Loan Amortization'!$G$514,IF(AND($C316&gt;='TIF Loan Amortization'!$H$515,$C316&lt;='TIF Loan Amortization'!I$515),'TIF Loan Amortization'!$G$515,IF(AND($C316&gt;='TIF Loan Amortization'!$H$516,$C316&lt;='TIF Loan Amortization'!I$516),'TIF Loan Amortization'!$G$516,IF(AND($C316&gt;='TIF Loan Amortization'!$H$517,$C316&lt;='TIF Loan Amortization'!I$517),'TIF Loan Amortization'!$G$517,IF(AND($C316&gt;='TIF Loan Amortization'!$H$518,$C316&lt;='TIF Loan Amortization'!I$518),'TIF Loan Amortization'!$G$518,IF(AND($C316&gt;='TIF Loan Amortization'!$H$519,$C316&lt;='TIF Loan Amortization'!I$519),'TIF Loan Amortization'!$G$519))))))))))))))))))))))))))))))))))))))))</f>
        <v>#N/A</v>
      </c>
      <c r="C316" s="269" t="e">
        <f t="shared" si="42"/>
        <v>#N/A</v>
      </c>
      <c r="D316" s="281" t="str">
        <f>IF($AG$424=1,$H$10+23,"")</f>
        <v/>
      </c>
      <c r="E316" s="274">
        <v>266</v>
      </c>
      <c r="F316" s="275" t="str">
        <f>VLOOKUP($AG$424,$AE$422:$AF$433,2)</f>
        <v>May</v>
      </c>
      <c r="G316" s="272">
        <f t="shared" si="43"/>
        <v>0</v>
      </c>
      <c r="H316" s="272">
        <f t="shared" si="46"/>
        <v>0</v>
      </c>
      <c r="I316" s="272">
        <f t="shared" si="47"/>
        <v>0</v>
      </c>
      <c r="J316" s="272">
        <f t="shared" si="44"/>
        <v>0</v>
      </c>
      <c r="K316" s="272">
        <f>IF(ISTEXT($M$4),"",SUM(I$50:I316))</f>
        <v>0</v>
      </c>
      <c r="L316" s="272">
        <f>IF(ISTEXT($M$4),"",SUM(J$50:J316))</f>
        <v>0</v>
      </c>
      <c r="M316" s="271">
        <f t="shared" si="45"/>
        <v>0</v>
      </c>
      <c r="N316" s="291" t="e">
        <f>IF(C316='Operating Assumptions'!$C$48,"Construction Finish","")</f>
        <v>#N/A</v>
      </c>
      <c r="O316" s="291"/>
      <c r="P316" s="291"/>
      <c r="Q316" s="291"/>
      <c r="R316" s="291"/>
      <c r="S316" s="291"/>
      <c r="T316" s="280"/>
      <c r="U316" s="280"/>
      <c r="V316" s="286"/>
      <c r="W316" s="286"/>
      <c r="X316" s="286"/>
      <c r="Y316" s="280"/>
      <c r="Z316" s="279"/>
      <c r="AA316" s="279"/>
      <c r="AB316" s="279"/>
    </row>
    <row r="317" spans="2:28" s="278" customFormat="1" ht="13.5" hidden="1" outlineLevel="1" x14ac:dyDescent="0.25">
      <c r="B317" s="270" t="e">
        <f>IF(AND($C317&gt;='TIF Loan Amortization'!$H$480,$C317&lt;='TIF Loan Amortization'!$I$480),'TIF Loan Amortization'!$G$480,IF(AND($C317&gt;='TIF Loan Amortization'!$H$481,$C317&lt;='TIF Loan Amortization'!I$481),'TIF Loan Amortization'!$G$481,IF(AND($C317&gt;='TIF Loan Amortization'!$H$482,$C317&lt;='TIF Loan Amortization'!I$482),'TIF Loan Amortization'!$G$482,IF(AND($C317&gt;='TIF Loan Amortization'!$H$483,$C317&lt;='TIF Loan Amortization'!I$483),'TIF Loan Amortization'!$G$483,IF(AND($C317&gt;='TIF Loan Amortization'!$H$484,$C317&lt;='TIF Loan Amortization'!I$484),'TIF Loan Amortization'!$G$484,IF(AND($C317&gt;='TIF Loan Amortization'!$H$485,$C317&lt;='TIF Loan Amortization'!I$485),'TIF Loan Amortization'!$G$485,IF(AND($C317&gt;='TIF Loan Amortization'!$H$486,$C317&lt;='TIF Loan Amortization'!I$486),'TIF Loan Amortization'!$G$486,IF(AND($C317&gt;='TIF Loan Amortization'!$H$487,$C317&lt;='TIF Loan Amortization'!I$487),'TIF Loan Amortization'!$G$487,IF(AND($C317&gt;='TIF Loan Amortization'!$H$488,$C317&lt;='TIF Loan Amortization'!I$488),'TIF Loan Amortization'!$G$488,IF(AND($C317&gt;='TIF Loan Amortization'!$H$489,$C317&lt;='TIF Loan Amortization'!I$489),'TIF Loan Amortization'!$G$489,IF(AND($C317&gt;='TIF Loan Amortization'!$H$490,$C317&lt;='TIF Loan Amortization'!I$490),'TIF Loan Amortization'!$G$490,IF(AND($C317&gt;='TIF Loan Amortization'!$H$491,$C317&lt;='TIF Loan Amortization'!I$491),'TIF Loan Amortization'!$G$491,IF(AND($C317&gt;='TIF Loan Amortization'!$H$492,$C317&lt;='TIF Loan Amortization'!I$492),'TIF Loan Amortization'!$G$492,IF(AND($C317&gt;='TIF Loan Amortization'!$H$493,$C317&lt;='TIF Loan Amortization'!I$493),'TIF Loan Amortization'!$G$493,IF(AND($C317&gt;='TIF Loan Amortization'!$H$494,$C317&lt;='TIF Loan Amortization'!I$494),'TIF Loan Amortization'!$G$494,IF(AND($C317&gt;='TIF Loan Amortization'!$H$495,$C317&lt;='TIF Loan Amortization'!I$495),'TIF Loan Amortization'!$G$495,IF(AND($C317&gt;='TIF Loan Amortization'!$H$496,$C317&lt;='TIF Loan Amortization'!I$496),'TIF Loan Amortization'!$G$496,IF(AND($C317&gt;='TIF Loan Amortization'!$H$497,$C317&lt;='TIF Loan Amortization'!I$497),'TIF Loan Amortization'!$G$497,IF(AND($C317&gt;='TIF Loan Amortization'!$H$498,$C317&lt;='TIF Loan Amortization'!I$498),'TIF Loan Amortization'!$G$498,IF(AND($C317&gt;='TIF Loan Amortization'!$H$499,$C317&lt;='TIF Loan Amortization'!I$499),'TIF Loan Amortization'!$G$499,IF(AND($C317&gt;='TIF Loan Amortization'!$H$500,$C317&lt;='TIF Loan Amortization'!I$500),'TIF Loan Amortization'!$G$500,IF(AND($C317&gt;='TIF Loan Amortization'!$H$501,$C317&lt;='TIF Loan Amortization'!I$501),'TIF Loan Amortization'!$G$501,IF(AND($C317&gt;='TIF Loan Amortization'!$H$502,$C317&lt;='TIF Loan Amortization'!I$502),'TIF Loan Amortization'!$G$502,IF(AND($C317&gt;='TIF Loan Amortization'!$H$503,$C317&lt;='TIF Loan Amortization'!I$503),'TIF Loan Amortization'!$G$503,IF(AND($C317&gt;='TIF Loan Amortization'!$H$504,$C317&lt;='TIF Loan Amortization'!I$504),'TIF Loan Amortization'!$G$504,IF(AND($C317&gt;='TIF Loan Amortization'!$H$505,$C317&lt;='TIF Loan Amortization'!I$505),'TIF Loan Amortization'!$G$505,IF(AND($C317&gt;='TIF Loan Amortization'!$H$506,$C317&lt;='TIF Loan Amortization'!I$506),'TIF Loan Amortization'!$G$506,IF(AND($C317&gt;='TIF Loan Amortization'!$H$507,$C317&lt;='TIF Loan Amortization'!I$507),'TIF Loan Amortization'!$G$507,IF(AND($C317&gt;='TIF Loan Amortization'!$H$508,$C317&lt;='TIF Loan Amortization'!I$508),'TIF Loan Amortization'!$G$508,IF(AND($C317&gt;='TIF Loan Amortization'!$H$509,$C317&lt;='TIF Loan Amortization'!I$509),'TIF Loan Amortization'!$G$509,IF(AND($C317&gt;='TIF Loan Amortization'!$H$510,$C317&lt;='TIF Loan Amortization'!I$510),'TIF Loan Amortization'!$G$510,IF(AND($C317&gt;='TIF Loan Amortization'!$H$511,$C317&lt;='TIF Loan Amortization'!I$511),'TIF Loan Amortization'!$G$511,IF(AND($C317&gt;='TIF Loan Amortization'!$H$512,$C317&lt;='TIF Loan Amortization'!I$512),'TIF Loan Amortization'!$G$512,IF(AND($C317&gt;='TIF Loan Amortization'!$H$513,$C317&lt;='TIF Loan Amortization'!I$513),'TIF Loan Amortization'!$G$513,IF(AND($C317&gt;='TIF Loan Amortization'!$H$514,$C317&lt;='TIF Loan Amortization'!I$514),'TIF Loan Amortization'!$G$514,IF(AND($C317&gt;='TIF Loan Amortization'!$H$515,$C317&lt;='TIF Loan Amortization'!I$515),'TIF Loan Amortization'!$G$515,IF(AND($C317&gt;='TIF Loan Amortization'!$H$516,$C317&lt;='TIF Loan Amortization'!I$516),'TIF Loan Amortization'!$G$516,IF(AND($C317&gt;='TIF Loan Amortization'!$H$517,$C317&lt;='TIF Loan Amortization'!I$517),'TIF Loan Amortization'!$G$517,IF(AND($C317&gt;='TIF Loan Amortization'!$H$518,$C317&lt;='TIF Loan Amortization'!I$518),'TIF Loan Amortization'!$G$518,IF(AND($C317&gt;='TIF Loan Amortization'!$H$519,$C317&lt;='TIF Loan Amortization'!I$519),'TIF Loan Amortization'!$G$519))))))))))))))))))))))))))))))))))))))))</f>
        <v>#N/A</v>
      </c>
      <c r="C317" s="269" t="e">
        <f t="shared" si="42"/>
        <v>#N/A</v>
      </c>
      <c r="D317" s="281" t="str">
        <f>IF($AG$425=1,$H$10+23,"")</f>
        <v/>
      </c>
      <c r="E317" s="274">
        <v>267</v>
      </c>
      <c r="F317" s="275" t="str">
        <f>VLOOKUP($AG$425,$AE$422:$AF$433,2)</f>
        <v>Jun</v>
      </c>
      <c r="G317" s="272">
        <f t="shared" si="43"/>
        <v>0</v>
      </c>
      <c r="H317" s="272">
        <f t="shared" si="46"/>
        <v>0</v>
      </c>
      <c r="I317" s="272">
        <f t="shared" si="47"/>
        <v>0</v>
      </c>
      <c r="J317" s="272">
        <f t="shared" si="44"/>
        <v>0</v>
      </c>
      <c r="K317" s="272">
        <f>IF(ISTEXT($M$4),"",SUM(I$50:I317))</f>
        <v>0</v>
      </c>
      <c r="L317" s="272">
        <f>IF(ISTEXT($M$4),"",SUM(J$50:J317))</f>
        <v>0</v>
      </c>
      <c r="M317" s="271">
        <f t="shared" si="45"/>
        <v>0</v>
      </c>
      <c r="N317" s="291" t="e">
        <f>IF(C317='Operating Assumptions'!$C$48,"Construction Finish","")</f>
        <v>#N/A</v>
      </c>
      <c r="O317" s="291"/>
      <c r="P317" s="291"/>
      <c r="Q317" s="291"/>
      <c r="R317" s="291"/>
      <c r="S317" s="291"/>
      <c r="T317" s="280"/>
      <c r="U317" s="280"/>
      <c r="V317" s="286"/>
      <c r="W317" s="286"/>
      <c r="X317" s="286"/>
      <c r="Y317" s="280"/>
      <c r="Z317" s="279"/>
      <c r="AA317" s="279"/>
      <c r="AB317" s="279"/>
    </row>
    <row r="318" spans="2:28" s="278" customFormat="1" ht="13.5" hidden="1" outlineLevel="1" x14ac:dyDescent="0.25">
      <c r="B318" s="270" t="e">
        <f>IF(AND($C318&gt;='TIF Loan Amortization'!$H$480,$C318&lt;='TIF Loan Amortization'!$I$480),'TIF Loan Amortization'!$G$480,IF(AND($C318&gt;='TIF Loan Amortization'!$H$481,$C318&lt;='TIF Loan Amortization'!I$481),'TIF Loan Amortization'!$G$481,IF(AND($C318&gt;='TIF Loan Amortization'!$H$482,$C318&lt;='TIF Loan Amortization'!I$482),'TIF Loan Amortization'!$G$482,IF(AND($C318&gt;='TIF Loan Amortization'!$H$483,$C318&lt;='TIF Loan Amortization'!I$483),'TIF Loan Amortization'!$G$483,IF(AND($C318&gt;='TIF Loan Amortization'!$H$484,$C318&lt;='TIF Loan Amortization'!I$484),'TIF Loan Amortization'!$G$484,IF(AND($C318&gt;='TIF Loan Amortization'!$H$485,$C318&lt;='TIF Loan Amortization'!I$485),'TIF Loan Amortization'!$G$485,IF(AND($C318&gt;='TIF Loan Amortization'!$H$486,$C318&lt;='TIF Loan Amortization'!I$486),'TIF Loan Amortization'!$G$486,IF(AND($C318&gt;='TIF Loan Amortization'!$H$487,$C318&lt;='TIF Loan Amortization'!I$487),'TIF Loan Amortization'!$G$487,IF(AND($C318&gt;='TIF Loan Amortization'!$H$488,$C318&lt;='TIF Loan Amortization'!I$488),'TIF Loan Amortization'!$G$488,IF(AND($C318&gt;='TIF Loan Amortization'!$H$489,$C318&lt;='TIF Loan Amortization'!I$489),'TIF Loan Amortization'!$G$489,IF(AND($C318&gt;='TIF Loan Amortization'!$H$490,$C318&lt;='TIF Loan Amortization'!I$490),'TIF Loan Amortization'!$G$490,IF(AND($C318&gt;='TIF Loan Amortization'!$H$491,$C318&lt;='TIF Loan Amortization'!I$491),'TIF Loan Amortization'!$G$491,IF(AND($C318&gt;='TIF Loan Amortization'!$H$492,$C318&lt;='TIF Loan Amortization'!I$492),'TIF Loan Amortization'!$G$492,IF(AND($C318&gt;='TIF Loan Amortization'!$H$493,$C318&lt;='TIF Loan Amortization'!I$493),'TIF Loan Amortization'!$G$493,IF(AND($C318&gt;='TIF Loan Amortization'!$H$494,$C318&lt;='TIF Loan Amortization'!I$494),'TIF Loan Amortization'!$G$494,IF(AND($C318&gt;='TIF Loan Amortization'!$H$495,$C318&lt;='TIF Loan Amortization'!I$495),'TIF Loan Amortization'!$G$495,IF(AND($C318&gt;='TIF Loan Amortization'!$H$496,$C318&lt;='TIF Loan Amortization'!I$496),'TIF Loan Amortization'!$G$496,IF(AND($C318&gt;='TIF Loan Amortization'!$H$497,$C318&lt;='TIF Loan Amortization'!I$497),'TIF Loan Amortization'!$G$497,IF(AND($C318&gt;='TIF Loan Amortization'!$H$498,$C318&lt;='TIF Loan Amortization'!I$498),'TIF Loan Amortization'!$G$498,IF(AND($C318&gt;='TIF Loan Amortization'!$H$499,$C318&lt;='TIF Loan Amortization'!I$499),'TIF Loan Amortization'!$G$499,IF(AND($C318&gt;='TIF Loan Amortization'!$H$500,$C318&lt;='TIF Loan Amortization'!I$500),'TIF Loan Amortization'!$G$500,IF(AND($C318&gt;='TIF Loan Amortization'!$H$501,$C318&lt;='TIF Loan Amortization'!I$501),'TIF Loan Amortization'!$G$501,IF(AND($C318&gt;='TIF Loan Amortization'!$H$502,$C318&lt;='TIF Loan Amortization'!I$502),'TIF Loan Amortization'!$G$502,IF(AND($C318&gt;='TIF Loan Amortization'!$H$503,$C318&lt;='TIF Loan Amortization'!I$503),'TIF Loan Amortization'!$G$503,IF(AND($C318&gt;='TIF Loan Amortization'!$H$504,$C318&lt;='TIF Loan Amortization'!I$504),'TIF Loan Amortization'!$G$504,IF(AND($C318&gt;='TIF Loan Amortization'!$H$505,$C318&lt;='TIF Loan Amortization'!I$505),'TIF Loan Amortization'!$G$505,IF(AND($C318&gt;='TIF Loan Amortization'!$H$506,$C318&lt;='TIF Loan Amortization'!I$506),'TIF Loan Amortization'!$G$506,IF(AND($C318&gt;='TIF Loan Amortization'!$H$507,$C318&lt;='TIF Loan Amortization'!I$507),'TIF Loan Amortization'!$G$507,IF(AND($C318&gt;='TIF Loan Amortization'!$H$508,$C318&lt;='TIF Loan Amortization'!I$508),'TIF Loan Amortization'!$G$508,IF(AND($C318&gt;='TIF Loan Amortization'!$H$509,$C318&lt;='TIF Loan Amortization'!I$509),'TIF Loan Amortization'!$G$509,IF(AND($C318&gt;='TIF Loan Amortization'!$H$510,$C318&lt;='TIF Loan Amortization'!I$510),'TIF Loan Amortization'!$G$510,IF(AND($C318&gt;='TIF Loan Amortization'!$H$511,$C318&lt;='TIF Loan Amortization'!I$511),'TIF Loan Amortization'!$G$511,IF(AND($C318&gt;='TIF Loan Amortization'!$H$512,$C318&lt;='TIF Loan Amortization'!I$512),'TIF Loan Amortization'!$G$512,IF(AND($C318&gt;='TIF Loan Amortization'!$H$513,$C318&lt;='TIF Loan Amortization'!I$513),'TIF Loan Amortization'!$G$513,IF(AND($C318&gt;='TIF Loan Amortization'!$H$514,$C318&lt;='TIF Loan Amortization'!I$514),'TIF Loan Amortization'!$G$514,IF(AND($C318&gt;='TIF Loan Amortization'!$H$515,$C318&lt;='TIF Loan Amortization'!I$515),'TIF Loan Amortization'!$G$515,IF(AND($C318&gt;='TIF Loan Amortization'!$H$516,$C318&lt;='TIF Loan Amortization'!I$516),'TIF Loan Amortization'!$G$516,IF(AND($C318&gt;='TIF Loan Amortization'!$H$517,$C318&lt;='TIF Loan Amortization'!I$517),'TIF Loan Amortization'!$G$517,IF(AND($C318&gt;='TIF Loan Amortization'!$H$518,$C318&lt;='TIF Loan Amortization'!I$518),'TIF Loan Amortization'!$G$518,IF(AND($C318&gt;='TIF Loan Amortization'!$H$519,$C318&lt;='TIF Loan Amortization'!I$519),'TIF Loan Amortization'!$G$519))))))))))))))))))))))))))))))))))))))))</f>
        <v>#N/A</v>
      </c>
      <c r="C318" s="269" t="e">
        <f t="shared" si="42"/>
        <v>#N/A</v>
      </c>
      <c r="D318" s="281" t="str">
        <f>IF($AG$426=1,$H$10+23,"")</f>
        <v/>
      </c>
      <c r="E318" s="274">
        <v>268</v>
      </c>
      <c r="F318" s="275" t="str">
        <f>VLOOKUP($AG$426,$AE$422:$AF$433,2)</f>
        <v>Jul</v>
      </c>
      <c r="G318" s="272">
        <f t="shared" si="43"/>
        <v>0</v>
      </c>
      <c r="H318" s="272">
        <f t="shared" si="46"/>
        <v>0</v>
      </c>
      <c r="I318" s="272">
        <f t="shared" si="47"/>
        <v>0</v>
      </c>
      <c r="J318" s="272">
        <f t="shared" si="44"/>
        <v>0</v>
      </c>
      <c r="K318" s="272">
        <f>IF(ISTEXT($M$4),"",SUM(I$50:I318))</f>
        <v>0</v>
      </c>
      <c r="L318" s="272">
        <f>IF(ISTEXT($M$4),"",SUM(J$50:J318))</f>
        <v>0</v>
      </c>
      <c r="M318" s="271">
        <f t="shared" si="45"/>
        <v>0</v>
      </c>
      <c r="N318" s="291" t="e">
        <f>IF(C318='Operating Assumptions'!$C$48,"Construction Finish","")</f>
        <v>#N/A</v>
      </c>
      <c r="O318" s="291"/>
      <c r="P318" s="291"/>
      <c r="Q318" s="291"/>
      <c r="R318" s="291"/>
      <c r="S318" s="291"/>
      <c r="T318" s="280"/>
      <c r="U318" s="280"/>
      <c r="V318" s="286"/>
      <c r="W318" s="286"/>
      <c r="X318" s="286"/>
      <c r="Y318" s="280"/>
      <c r="Z318" s="279"/>
      <c r="AA318" s="279"/>
      <c r="AB318" s="279"/>
    </row>
    <row r="319" spans="2:28" s="278" customFormat="1" ht="13.5" hidden="1" outlineLevel="1" x14ac:dyDescent="0.25">
      <c r="B319" s="270" t="e">
        <f>IF(AND($C319&gt;='TIF Loan Amortization'!$H$480,$C319&lt;='TIF Loan Amortization'!$I$480),'TIF Loan Amortization'!$G$480,IF(AND($C319&gt;='TIF Loan Amortization'!$H$481,$C319&lt;='TIF Loan Amortization'!I$481),'TIF Loan Amortization'!$G$481,IF(AND($C319&gt;='TIF Loan Amortization'!$H$482,$C319&lt;='TIF Loan Amortization'!I$482),'TIF Loan Amortization'!$G$482,IF(AND($C319&gt;='TIF Loan Amortization'!$H$483,$C319&lt;='TIF Loan Amortization'!I$483),'TIF Loan Amortization'!$G$483,IF(AND($C319&gt;='TIF Loan Amortization'!$H$484,$C319&lt;='TIF Loan Amortization'!I$484),'TIF Loan Amortization'!$G$484,IF(AND($C319&gt;='TIF Loan Amortization'!$H$485,$C319&lt;='TIF Loan Amortization'!I$485),'TIF Loan Amortization'!$G$485,IF(AND($C319&gt;='TIF Loan Amortization'!$H$486,$C319&lt;='TIF Loan Amortization'!I$486),'TIF Loan Amortization'!$G$486,IF(AND($C319&gt;='TIF Loan Amortization'!$H$487,$C319&lt;='TIF Loan Amortization'!I$487),'TIF Loan Amortization'!$G$487,IF(AND($C319&gt;='TIF Loan Amortization'!$H$488,$C319&lt;='TIF Loan Amortization'!I$488),'TIF Loan Amortization'!$G$488,IF(AND($C319&gt;='TIF Loan Amortization'!$H$489,$C319&lt;='TIF Loan Amortization'!I$489),'TIF Loan Amortization'!$G$489,IF(AND($C319&gt;='TIF Loan Amortization'!$H$490,$C319&lt;='TIF Loan Amortization'!I$490),'TIF Loan Amortization'!$G$490,IF(AND($C319&gt;='TIF Loan Amortization'!$H$491,$C319&lt;='TIF Loan Amortization'!I$491),'TIF Loan Amortization'!$G$491,IF(AND($C319&gt;='TIF Loan Amortization'!$H$492,$C319&lt;='TIF Loan Amortization'!I$492),'TIF Loan Amortization'!$G$492,IF(AND($C319&gt;='TIF Loan Amortization'!$H$493,$C319&lt;='TIF Loan Amortization'!I$493),'TIF Loan Amortization'!$G$493,IF(AND($C319&gt;='TIF Loan Amortization'!$H$494,$C319&lt;='TIF Loan Amortization'!I$494),'TIF Loan Amortization'!$G$494,IF(AND($C319&gt;='TIF Loan Amortization'!$H$495,$C319&lt;='TIF Loan Amortization'!I$495),'TIF Loan Amortization'!$G$495,IF(AND($C319&gt;='TIF Loan Amortization'!$H$496,$C319&lt;='TIF Loan Amortization'!I$496),'TIF Loan Amortization'!$G$496,IF(AND($C319&gt;='TIF Loan Amortization'!$H$497,$C319&lt;='TIF Loan Amortization'!I$497),'TIF Loan Amortization'!$G$497,IF(AND($C319&gt;='TIF Loan Amortization'!$H$498,$C319&lt;='TIF Loan Amortization'!I$498),'TIF Loan Amortization'!$G$498,IF(AND($C319&gt;='TIF Loan Amortization'!$H$499,$C319&lt;='TIF Loan Amortization'!I$499),'TIF Loan Amortization'!$G$499,IF(AND($C319&gt;='TIF Loan Amortization'!$H$500,$C319&lt;='TIF Loan Amortization'!I$500),'TIF Loan Amortization'!$G$500,IF(AND($C319&gt;='TIF Loan Amortization'!$H$501,$C319&lt;='TIF Loan Amortization'!I$501),'TIF Loan Amortization'!$G$501,IF(AND($C319&gt;='TIF Loan Amortization'!$H$502,$C319&lt;='TIF Loan Amortization'!I$502),'TIF Loan Amortization'!$G$502,IF(AND($C319&gt;='TIF Loan Amortization'!$H$503,$C319&lt;='TIF Loan Amortization'!I$503),'TIF Loan Amortization'!$G$503,IF(AND($C319&gt;='TIF Loan Amortization'!$H$504,$C319&lt;='TIF Loan Amortization'!I$504),'TIF Loan Amortization'!$G$504,IF(AND($C319&gt;='TIF Loan Amortization'!$H$505,$C319&lt;='TIF Loan Amortization'!I$505),'TIF Loan Amortization'!$G$505,IF(AND($C319&gt;='TIF Loan Amortization'!$H$506,$C319&lt;='TIF Loan Amortization'!I$506),'TIF Loan Amortization'!$G$506,IF(AND($C319&gt;='TIF Loan Amortization'!$H$507,$C319&lt;='TIF Loan Amortization'!I$507),'TIF Loan Amortization'!$G$507,IF(AND($C319&gt;='TIF Loan Amortization'!$H$508,$C319&lt;='TIF Loan Amortization'!I$508),'TIF Loan Amortization'!$G$508,IF(AND($C319&gt;='TIF Loan Amortization'!$H$509,$C319&lt;='TIF Loan Amortization'!I$509),'TIF Loan Amortization'!$G$509,IF(AND($C319&gt;='TIF Loan Amortization'!$H$510,$C319&lt;='TIF Loan Amortization'!I$510),'TIF Loan Amortization'!$G$510,IF(AND($C319&gt;='TIF Loan Amortization'!$H$511,$C319&lt;='TIF Loan Amortization'!I$511),'TIF Loan Amortization'!$G$511,IF(AND($C319&gt;='TIF Loan Amortization'!$H$512,$C319&lt;='TIF Loan Amortization'!I$512),'TIF Loan Amortization'!$G$512,IF(AND($C319&gt;='TIF Loan Amortization'!$H$513,$C319&lt;='TIF Loan Amortization'!I$513),'TIF Loan Amortization'!$G$513,IF(AND($C319&gt;='TIF Loan Amortization'!$H$514,$C319&lt;='TIF Loan Amortization'!I$514),'TIF Loan Amortization'!$G$514,IF(AND($C319&gt;='TIF Loan Amortization'!$H$515,$C319&lt;='TIF Loan Amortization'!I$515),'TIF Loan Amortization'!$G$515,IF(AND($C319&gt;='TIF Loan Amortization'!$H$516,$C319&lt;='TIF Loan Amortization'!I$516),'TIF Loan Amortization'!$G$516,IF(AND($C319&gt;='TIF Loan Amortization'!$H$517,$C319&lt;='TIF Loan Amortization'!I$517),'TIF Loan Amortization'!$G$517,IF(AND($C319&gt;='TIF Loan Amortization'!$H$518,$C319&lt;='TIF Loan Amortization'!I$518),'TIF Loan Amortization'!$G$518,IF(AND($C319&gt;='TIF Loan Amortization'!$H$519,$C319&lt;='TIF Loan Amortization'!I$519),'TIF Loan Amortization'!$G$519))))))))))))))))))))))))))))))))))))))))</f>
        <v>#N/A</v>
      </c>
      <c r="C319" s="269" t="e">
        <f t="shared" si="42"/>
        <v>#N/A</v>
      </c>
      <c r="D319" s="281" t="str">
        <f>IF($AG$427=1,$H$10+23,"")</f>
        <v/>
      </c>
      <c r="E319" s="274">
        <v>269</v>
      </c>
      <c r="F319" s="275" t="str">
        <f>VLOOKUP($AG$427,$AE$422:$AF$433,2)</f>
        <v>Aug</v>
      </c>
      <c r="G319" s="272">
        <f t="shared" si="43"/>
        <v>0</v>
      </c>
      <c r="H319" s="272">
        <f t="shared" si="46"/>
        <v>0</v>
      </c>
      <c r="I319" s="272">
        <f t="shared" si="47"/>
        <v>0</v>
      </c>
      <c r="J319" s="272">
        <f t="shared" si="44"/>
        <v>0</v>
      </c>
      <c r="K319" s="272">
        <f>IF(ISTEXT($M$4),"",SUM(I$50:I319))</f>
        <v>0</v>
      </c>
      <c r="L319" s="272">
        <f>IF(ISTEXT($M$4),"",SUM(J$50:J319))</f>
        <v>0</v>
      </c>
      <c r="M319" s="271">
        <f t="shared" si="45"/>
        <v>0</v>
      </c>
      <c r="N319" s="291" t="e">
        <f>IF(C319='Operating Assumptions'!$C$48,"Construction Finish","")</f>
        <v>#N/A</v>
      </c>
      <c r="O319" s="291"/>
      <c r="P319" s="291"/>
      <c r="Q319" s="291"/>
      <c r="R319" s="291"/>
      <c r="S319" s="291"/>
      <c r="T319" s="280"/>
      <c r="U319" s="280"/>
      <c r="V319" s="286"/>
      <c r="W319" s="286"/>
      <c r="X319" s="286"/>
      <c r="Y319" s="280"/>
      <c r="Z319" s="279"/>
      <c r="AA319" s="279"/>
      <c r="AB319" s="279"/>
    </row>
    <row r="320" spans="2:28" s="278" customFormat="1" ht="13.5" hidden="1" outlineLevel="1" x14ac:dyDescent="0.25">
      <c r="B320" s="270" t="e">
        <f>IF(AND($C320&gt;='TIF Loan Amortization'!$H$480,$C320&lt;='TIF Loan Amortization'!$I$480),'TIF Loan Amortization'!$G$480,IF(AND($C320&gt;='TIF Loan Amortization'!$H$481,$C320&lt;='TIF Loan Amortization'!I$481),'TIF Loan Amortization'!$G$481,IF(AND($C320&gt;='TIF Loan Amortization'!$H$482,$C320&lt;='TIF Loan Amortization'!I$482),'TIF Loan Amortization'!$G$482,IF(AND($C320&gt;='TIF Loan Amortization'!$H$483,$C320&lt;='TIF Loan Amortization'!I$483),'TIF Loan Amortization'!$G$483,IF(AND($C320&gt;='TIF Loan Amortization'!$H$484,$C320&lt;='TIF Loan Amortization'!I$484),'TIF Loan Amortization'!$G$484,IF(AND($C320&gt;='TIF Loan Amortization'!$H$485,$C320&lt;='TIF Loan Amortization'!I$485),'TIF Loan Amortization'!$G$485,IF(AND($C320&gt;='TIF Loan Amortization'!$H$486,$C320&lt;='TIF Loan Amortization'!I$486),'TIF Loan Amortization'!$G$486,IF(AND($C320&gt;='TIF Loan Amortization'!$H$487,$C320&lt;='TIF Loan Amortization'!I$487),'TIF Loan Amortization'!$G$487,IF(AND($C320&gt;='TIF Loan Amortization'!$H$488,$C320&lt;='TIF Loan Amortization'!I$488),'TIF Loan Amortization'!$G$488,IF(AND($C320&gt;='TIF Loan Amortization'!$H$489,$C320&lt;='TIF Loan Amortization'!I$489),'TIF Loan Amortization'!$G$489,IF(AND($C320&gt;='TIF Loan Amortization'!$H$490,$C320&lt;='TIF Loan Amortization'!I$490),'TIF Loan Amortization'!$G$490,IF(AND($C320&gt;='TIF Loan Amortization'!$H$491,$C320&lt;='TIF Loan Amortization'!I$491),'TIF Loan Amortization'!$G$491,IF(AND($C320&gt;='TIF Loan Amortization'!$H$492,$C320&lt;='TIF Loan Amortization'!I$492),'TIF Loan Amortization'!$G$492,IF(AND($C320&gt;='TIF Loan Amortization'!$H$493,$C320&lt;='TIF Loan Amortization'!I$493),'TIF Loan Amortization'!$G$493,IF(AND($C320&gt;='TIF Loan Amortization'!$H$494,$C320&lt;='TIF Loan Amortization'!I$494),'TIF Loan Amortization'!$G$494,IF(AND($C320&gt;='TIF Loan Amortization'!$H$495,$C320&lt;='TIF Loan Amortization'!I$495),'TIF Loan Amortization'!$G$495,IF(AND($C320&gt;='TIF Loan Amortization'!$H$496,$C320&lt;='TIF Loan Amortization'!I$496),'TIF Loan Amortization'!$G$496,IF(AND($C320&gt;='TIF Loan Amortization'!$H$497,$C320&lt;='TIF Loan Amortization'!I$497),'TIF Loan Amortization'!$G$497,IF(AND($C320&gt;='TIF Loan Amortization'!$H$498,$C320&lt;='TIF Loan Amortization'!I$498),'TIF Loan Amortization'!$G$498,IF(AND($C320&gt;='TIF Loan Amortization'!$H$499,$C320&lt;='TIF Loan Amortization'!I$499),'TIF Loan Amortization'!$G$499,IF(AND($C320&gt;='TIF Loan Amortization'!$H$500,$C320&lt;='TIF Loan Amortization'!I$500),'TIF Loan Amortization'!$G$500,IF(AND($C320&gt;='TIF Loan Amortization'!$H$501,$C320&lt;='TIF Loan Amortization'!I$501),'TIF Loan Amortization'!$G$501,IF(AND($C320&gt;='TIF Loan Amortization'!$H$502,$C320&lt;='TIF Loan Amortization'!I$502),'TIF Loan Amortization'!$G$502,IF(AND($C320&gt;='TIF Loan Amortization'!$H$503,$C320&lt;='TIF Loan Amortization'!I$503),'TIF Loan Amortization'!$G$503,IF(AND($C320&gt;='TIF Loan Amortization'!$H$504,$C320&lt;='TIF Loan Amortization'!I$504),'TIF Loan Amortization'!$G$504,IF(AND($C320&gt;='TIF Loan Amortization'!$H$505,$C320&lt;='TIF Loan Amortization'!I$505),'TIF Loan Amortization'!$G$505,IF(AND($C320&gt;='TIF Loan Amortization'!$H$506,$C320&lt;='TIF Loan Amortization'!I$506),'TIF Loan Amortization'!$G$506,IF(AND($C320&gt;='TIF Loan Amortization'!$H$507,$C320&lt;='TIF Loan Amortization'!I$507),'TIF Loan Amortization'!$G$507,IF(AND($C320&gt;='TIF Loan Amortization'!$H$508,$C320&lt;='TIF Loan Amortization'!I$508),'TIF Loan Amortization'!$G$508,IF(AND($C320&gt;='TIF Loan Amortization'!$H$509,$C320&lt;='TIF Loan Amortization'!I$509),'TIF Loan Amortization'!$G$509,IF(AND($C320&gt;='TIF Loan Amortization'!$H$510,$C320&lt;='TIF Loan Amortization'!I$510),'TIF Loan Amortization'!$G$510,IF(AND($C320&gt;='TIF Loan Amortization'!$H$511,$C320&lt;='TIF Loan Amortization'!I$511),'TIF Loan Amortization'!$G$511,IF(AND($C320&gt;='TIF Loan Amortization'!$H$512,$C320&lt;='TIF Loan Amortization'!I$512),'TIF Loan Amortization'!$G$512,IF(AND($C320&gt;='TIF Loan Amortization'!$H$513,$C320&lt;='TIF Loan Amortization'!I$513),'TIF Loan Amortization'!$G$513,IF(AND($C320&gt;='TIF Loan Amortization'!$H$514,$C320&lt;='TIF Loan Amortization'!I$514),'TIF Loan Amortization'!$G$514,IF(AND($C320&gt;='TIF Loan Amortization'!$H$515,$C320&lt;='TIF Loan Amortization'!I$515),'TIF Loan Amortization'!$G$515,IF(AND($C320&gt;='TIF Loan Amortization'!$H$516,$C320&lt;='TIF Loan Amortization'!I$516),'TIF Loan Amortization'!$G$516,IF(AND($C320&gt;='TIF Loan Amortization'!$H$517,$C320&lt;='TIF Loan Amortization'!I$517),'TIF Loan Amortization'!$G$517,IF(AND($C320&gt;='TIF Loan Amortization'!$H$518,$C320&lt;='TIF Loan Amortization'!I$518),'TIF Loan Amortization'!$G$518,IF(AND($C320&gt;='TIF Loan Amortization'!$H$519,$C320&lt;='TIF Loan Amortization'!I$519),'TIF Loan Amortization'!$G$519))))))))))))))))))))))))))))))))))))))))</f>
        <v>#N/A</v>
      </c>
      <c r="C320" s="269" t="e">
        <f t="shared" si="42"/>
        <v>#N/A</v>
      </c>
      <c r="D320" s="281" t="str">
        <f>IF($AG$428=1,$H$10+23,"")</f>
        <v/>
      </c>
      <c r="E320" s="274">
        <v>270</v>
      </c>
      <c r="F320" s="275" t="str">
        <f>VLOOKUP($AG$428,$AE$422:$AF$433,2)</f>
        <v>Sep</v>
      </c>
      <c r="G320" s="272">
        <f t="shared" si="43"/>
        <v>0</v>
      </c>
      <c r="H320" s="272">
        <f t="shared" si="46"/>
        <v>0</v>
      </c>
      <c r="I320" s="272">
        <f t="shared" si="47"/>
        <v>0</v>
      </c>
      <c r="J320" s="272">
        <f t="shared" si="44"/>
        <v>0</v>
      </c>
      <c r="K320" s="272">
        <f>IF(ISTEXT($M$4),"",SUM(I$50:I320))</f>
        <v>0</v>
      </c>
      <c r="L320" s="272">
        <f>IF(ISTEXT($M$4),"",SUM(J$50:J320))</f>
        <v>0</v>
      </c>
      <c r="M320" s="271">
        <f t="shared" si="45"/>
        <v>0</v>
      </c>
      <c r="N320" s="291" t="e">
        <f>IF(C320='Operating Assumptions'!$C$48,"Construction Finish","")</f>
        <v>#N/A</v>
      </c>
      <c r="O320" s="291"/>
      <c r="P320" s="291"/>
      <c r="Q320" s="291"/>
      <c r="R320" s="291"/>
      <c r="S320" s="291"/>
      <c r="T320" s="280"/>
      <c r="U320" s="280"/>
      <c r="V320" s="286"/>
      <c r="W320" s="286"/>
      <c r="X320" s="286"/>
      <c r="Y320" s="280"/>
      <c r="Z320" s="279"/>
      <c r="AA320" s="279"/>
      <c r="AB320" s="279"/>
    </row>
    <row r="321" spans="2:28" s="278" customFormat="1" ht="13.5" hidden="1" outlineLevel="1" x14ac:dyDescent="0.25">
      <c r="B321" s="270" t="e">
        <f>IF(AND($C321&gt;='TIF Loan Amortization'!$H$480,$C321&lt;='TIF Loan Amortization'!$I$480),'TIF Loan Amortization'!$G$480,IF(AND($C321&gt;='TIF Loan Amortization'!$H$481,$C321&lt;='TIF Loan Amortization'!I$481),'TIF Loan Amortization'!$G$481,IF(AND($C321&gt;='TIF Loan Amortization'!$H$482,$C321&lt;='TIF Loan Amortization'!I$482),'TIF Loan Amortization'!$G$482,IF(AND($C321&gt;='TIF Loan Amortization'!$H$483,$C321&lt;='TIF Loan Amortization'!I$483),'TIF Loan Amortization'!$G$483,IF(AND($C321&gt;='TIF Loan Amortization'!$H$484,$C321&lt;='TIF Loan Amortization'!I$484),'TIF Loan Amortization'!$G$484,IF(AND($C321&gt;='TIF Loan Amortization'!$H$485,$C321&lt;='TIF Loan Amortization'!I$485),'TIF Loan Amortization'!$G$485,IF(AND($C321&gt;='TIF Loan Amortization'!$H$486,$C321&lt;='TIF Loan Amortization'!I$486),'TIF Loan Amortization'!$G$486,IF(AND($C321&gt;='TIF Loan Amortization'!$H$487,$C321&lt;='TIF Loan Amortization'!I$487),'TIF Loan Amortization'!$G$487,IF(AND($C321&gt;='TIF Loan Amortization'!$H$488,$C321&lt;='TIF Loan Amortization'!I$488),'TIF Loan Amortization'!$G$488,IF(AND($C321&gt;='TIF Loan Amortization'!$H$489,$C321&lt;='TIF Loan Amortization'!I$489),'TIF Loan Amortization'!$G$489,IF(AND($C321&gt;='TIF Loan Amortization'!$H$490,$C321&lt;='TIF Loan Amortization'!I$490),'TIF Loan Amortization'!$G$490,IF(AND($C321&gt;='TIF Loan Amortization'!$H$491,$C321&lt;='TIF Loan Amortization'!I$491),'TIF Loan Amortization'!$G$491,IF(AND($C321&gt;='TIF Loan Amortization'!$H$492,$C321&lt;='TIF Loan Amortization'!I$492),'TIF Loan Amortization'!$G$492,IF(AND($C321&gt;='TIF Loan Amortization'!$H$493,$C321&lt;='TIF Loan Amortization'!I$493),'TIF Loan Amortization'!$G$493,IF(AND($C321&gt;='TIF Loan Amortization'!$H$494,$C321&lt;='TIF Loan Amortization'!I$494),'TIF Loan Amortization'!$G$494,IF(AND($C321&gt;='TIF Loan Amortization'!$H$495,$C321&lt;='TIF Loan Amortization'!I$495),'TIF Loan Amortization'!$G$495,IF(AND($C321&gt;='TIF Loan Amortization'!$H$496,$C321&lt;='TIF Loan Amortization'!I$496),'TIF Loan Amortization'!$G$496,IF(AND($C321&gt;='TIF Loan Amortization'!$H$497,$C321&lt;='TIF Loan Amortization'!I$497),'TIF Loan Amortization'!$G$497,IF(AND($C321&gt;='TIF Loan Amortization'!$H$498,$C321&lt;='TIF Loan Amortization'!I$498),'TIF Loan Amortization'!$G$498,IF(AND($C321&gt;='TIF Loan Amortization'!$H$499,$C321&lt;='TIF Loan Amortization'!I$499),'TIF Loan Amortization'!$G$499,IF(AND($C321&gt;='TIF Loan Amortization'!$H$500,$C321&lt;='TIF Loan Amortization'!I$500),'TIF Loan Amortization'!$G$500,IF(AND($C321&gt;='TIF Loan Amortization'!$H$501,$C321&lt;='TIF Loan Amortization'!I$501),'TIF Loan Amortization'!$G$501,IF(AND($C321&gt;='TIF Loan Amortization'!$H$502,$C321&lt;='TIF Loan Amortization'!I$502),'TIF Loan Amortization'!$G$502,IF(AND($C321&gt;='TIF Loan Amortization'!$H$503,$C321&lt;='TIF Loan Amortization'!I$503),'TIF Loan Amortization'!$G$503,IF(AND($C321&gt;='TIF Loan Amortization'!$H$504,$C321&lt;='TIF Loan Amortization'!I$504),'TIF Loan Amortization'!$G$504,IF(AND($C321&gt;='TIF Loan Amortization'!$H$505,$C321&lt;='TIF Loan Amortization'!I$505),'TIF Loan Amortization'!$G$505,IF(AND($C321&gt;='TIF Loan Amortization'!$H$506,$C321&lt;='TIF Loan Amortization'!I$506),'TIF Loan Amortization'!$G$506,IF(AND($C321&gt;='TIF Loan Amortization'!$H$507,$C321&lt;='TIF Loan Amortization'!I$507),'TIF Loan Amortization'!$G$507,IF(AND($C321&gt;='TIF Loan Amortization'!$H$508,$C321&lt;='TIF Loan Amortization'!I$508),'TIF Loan Amortization'!$G$508,IF(AND($C321&gt;='TIF Loan Amortization'!$H$509,$C321&lt;='TIF Loan Amortization'!I$509),'TIF Loan Amortization'!$G$509,IF(AND($C321&gt;='TIF Loan Amortization'!$H$510,$C321&lt;='TIF Loan Amortization'!I$510),'TIF Loan Amortization'!$G$510,IF(AND($C321&gt;='TIF Loan Amortization'!$H$511,$C321&lt;='TIF Loan Amortization'!I$511),'TIF Loan Amortization'!$G$511,IF(AND($C321&gt;='TIF Loan Amortization'!$H$512,$C321&lt;='TIF Loan Amortization'!I$512),'TIF Loan Amortization'!$G$512,IF(AND($C321&gt;='TIF Loan Amortization'!$H$513,$C321&lt;='TIF Loan Amortization'!I$513),'TIF Loan Amortization'!$G$513,IF(AND($C321&gt;='TIF Loan Amortization'!$H$514,$C321&lt;='TIF Loan Amortization'!I$514),'TIF Loan Amortization'!$G$514,IF(AND($C321&gt;='TIF Loan Amortization'!$H$515,$C321&lt;='TIF Loan Amortization'!I$515),'TIF Loan Amortization'!$G$515,IF(AND($C321&gt;='TIF Loan Amortization'!$H$516,$C321&lt;='TIF Loan Amortization'!I$516),'TIF Loan Amortization'!$G$516,IF(AND($C321&gt;='TIF Loan Amortization'!$H$517,$C321&lt;='TIF Loan Amortization'!I$517),'TIF Loan Amortization'!$G$517,IF(AND($C321&gt;='TIF Loan Amortization'!$H$518,$C321&lt;='TIF Loan Amortization'!I$518),'TIF Loan Amortization'!$G$518,IF(AND($C321&gt;='TIF Loan Amortization'!$H$519,$C321&lt;='TIF Loan Amortization'!I$519),'TIF Loan Amortization'!$G$519))))))))))))))))))))))))))))))))))))))))</f>
        <v>#N/A</v>
      </c>
      <c r="C321" s="269" t="e">
        <f t="shared" si="42"/>
        <v>#N/A</v>
      </c>
      <c r="D321" s="281" t="str">
        <f>IF($AG$429=1,$H$10+23,"")</f>
        <v/>
      </c>
      <c r="E321" s="274">
        <v>271</v>
      </c>
      <c r="F321" s="275" t="str">
        <f>VLOOKUP($AG$429,$AE$422:$AF$433,2)</f>
        <v>Oct</v>
      </c>
      <c r="G321" s="272">
        <f t="shared" si="43"/>
        <v>0</v>
      </c>
      <c r="H321" s="272">
        <f t="shared" si="46"/>
        <v>0</v>
      </c>
      <c r="I321" s="272">
        <f t="shared" si="47"/>
        <v>0</v>
      </c>
      <c r="J321" s="272">
        <f t="shared" si="44"/>
        <v>0</v>
      </c>
      <c r="K321" s="272">
        <f>IF(ISTEXT($M$4),"",SUM(I$50:I321))</f>
        <v>0</v>
      </c>
      <c r="L321" s="272">
        <f>IF(ISTEXT($M$4),"",SUM(J$50:J321))</f>
        <v>0</v>
      </c>
      <c r="M321" s="271">
        <f t="shared" si="45"/>
        <v>0</v>
      </c>
      <c r="N321" s="291" t="e">
        <f>IF(C321='Operating Assumptions'!$C$48,"Construction Finish","")</f>
        <v>#N/A</v>
      </c>
      <c r="O321" s="291"/>
      <c r="P321" s="291"/>
      <c r="Q321" s="291"/>
      <c r="R321" s="291"/>
      <c r="S321" s="291"/>
      <c r="T321" s="280"/>
      <c r="U321" s="280"/>
      <c r="V321" s="286"/>
      <c r="W321" s="286"/>
      <c r="X321" s="286"/>
      <c r="Y321" s="280"/>
      <c r="Z321" s="279"/>
      <c r="AA321" s="279"/>
      <c r="AB321" s="279"/>
    </row>
    <row r="322" spans="2:28" s="278" customFormat="1" ht="13.5" hidden="1" outlineLevel="1" x14ac:dyDescent="0.25">
      <c r="B322" s="270" t="e">
        <f>IF(AND($C322&gt;='TIF Loan Amortization'!$H$480,$C322&lt;='TIF Loan Amortization'!$I$480),'TIF Loan Amortization'!$G$480,IF(AND($C322&gt;='TIF Loan Amortization'!$H$481,$C322&lt;='TIF Loan Amortization'!I$481),'TIF Loan Amortization'!$G$481,IF(AND($C322&gt;='TIF Loan Amortization'!$H$482,$C322&lt;='TIF Loan Amortization'!I$482),'TIF Loan Amortization'!$G$482,IF(AND($C322&gt;='TIF Loan Amortization'!$H$483,$C322&lt;='TIF Loan Amortization'!I$483),'TIF Loan Amortization'!$G$483,IF(AND($C322&gt;='TIF Loan Amortization'!$H$484,$C322&lt;='TIF Loan Amortization'!I$484),'TIF Loan Amortization'!$G$484,IF(AND($C322&gt;='TIF Loan Amortization'!$H$485,$C322&lt;='TIF Loan Amortization'!I$485),'TIF Loan Amortization'!$G$485,IF(AND($C322&gt;='TIF Loan Amortization'!$H$486,$C322&lt;='TIF Loan Amortization'!I$486),'TIF Loan Amortization'!$G$486,IF(AND($C322&gt;='TIF Loan Amortization'!$H$487,$C322&lt;='TIF Loan Amortization'!I$487),'TIF Loan Amortization'!$G$487,IF(AND($C322&gt;='TIF Loan Amortization'!$H$488,$C322&lt;='TIF Loan Amortization'!I$488),'TIF Loan Amortization'!$G$488,IF(AND($C322&gt;='TIF Loan Amortization'!$H$489,$C322&lt;='TIF Loan Amortization'!I$489),'TIF Loan Amortization'!$G$489,IF(AND($C322&gt;='TIF Loan Amortization'!$H$490,$C322&lt;='TIF Loan Amortization'!I$490),'TIF Loan Amortization'!$G$490,IF(AND($C322&gt;='TIF Loan Amortization'!$H$491,$C322&lt;='TIF Loan Amortization'!I$491),'TIF Loan Amortization'!$G$491,IF(AND($C322&gt;='TIF Loan Amortization'!$H$492,$C322&lt;='TIF Loan Amortization'!I$492),'TIF Loan Amortization'!$G$492,IF(AND($C322&gt;='TIF Loan Amortization'!$H$493,$C322&lt;='TIF Loan Amortization'!I$493),'TIF Loan Amortization'!$G$493,IF(AND($C322&gt;='TIF Loan Amortization'!$H$494,$C322&lt;='TIF Loan Amortization'!I$494),'TIF Loan Amortization'!$G$494,IF(AND($C322&gt;='TIF Loan Amortization'!$H$495,$C322&lt;='TIF Loan Amortization'!I$495),'TIF Loan Amortization'!$G$495,IF(AND($C322&gt;='TIF Loan Amortization'!$H$496,$C322&lt;='TIF Loan Amortization'!I$496),'TIF Loan Amortization'!$G$496,IF(AND($C322&gt;='TIF Loan Amortization'!$H$497,$C322&lt;='TIF Loan Amortization'!I$497),'TIF Loan Amortization'!$G$497,IF(AND($C322&gt;='TIF Loan Amortization'!$H$498,$C322&lt;='TIF Loan Amortization'!I$498),'TIF Loan Amortization'!$G$498,IF(AND($C322&gt;='TIF Loan Amortization'!$H$499,$C322&lt;='TIF Loan Amortization'!I$499),'TIF Loan Amortization'!$G$499,IF(AND($C322&gt;='TIF Loan Amortization'!$H$500,$C322&lt;='TIF Loan Amortization'!I$500),'TIF Loan Amortization'!$G$500,IF(AND($C322&gt;='TIF Loan Amortization'!$H$501,$C322&lt;='TIF Loan Amortization'!I$501),'TIF Loan Amortization'!$G$501,IF(AND($C322&gt;='TIF Loan Amortization'!$H$502,$C322&lt;='TIF Loan Amortization'!I$502),'TIF Loan Amortization'!$G$502,IF(AND($C322&gt;='TIF Loan Amortization'!$H$503,$C322&lt;='TIF Loan Amortization'!I$503),'TIF Loan Amortization'!$G$503,IF(AND($C322&gt;='TIF Loan Amortization'!$H$504,$C322&lt;='TIF Loan Amortization'!I$504),'TIF Loan Amortization'!$G$504,IF(AND($C322&gt;='TIF Loan Amortization'!$H$505,$C322&lt;='TIF Loan Amortization'!I$505),'TIF Loan Amortization'!$G$505,IF(AND($C322&gt;='TIF Loan Amortization'!$H$506,$C322&lt;='TIF Loan Amortization'!I$506),'TIF Loan Amortization'!$G$506,IF(AND($C322&gt;='TIF Loan Amortization'!$H$507,$C322&lt;='TIF Loan Amortization'!I$507),'TIF Loan Amortization'!$G$507,IF(AND($C322&gt;='TIF Loan Amortization'!$H$508,$C322&lt;='TIF Loan Amortization'!I$508),'TIF Loan Amortization'!$G$508,IF(AND($C322&gt;='TIF Loan Amortization'!$H$509,$C322&lt;='TIF Loan Amortization'!I$509),'TIF Loan Amortization'!$G$509,IF(AND($C322&gt;='TIF Loan Amortization'!$H$510,$C322&lt;='TIF Loan Amortization'!I$510),'TIF Loan Amortization'!$G$510,IF(AND($C322&gt;='TIF Loan Amortization'!$H$511,$C322&lt;='TIF Loan Amortization'!I$511),'TIF Loan Amortization'!$G$511,IF(AND($C322&gt;='TIF Loan Amortization'!$H$512,$C322&lt;='TIF Loan Amortization'!I$512),'TIF Loan Amortization'!$G$512,IF(AND($C322&gt;='TIF Loan Amortization'!$H$513,$C322&lt;='TIF Loan Amortization'!I$513),'TIF Loan Amortization'!$G$513,IF(AND($C322&gt;='TIF Loan Amortization'!$H$514,$C322&lt;='TIF Loan Amortization'!I$514),'TIF Loan Amortization'!$G$514,IF(AND($C322&gt;='TIF Loan Amortization'!$H$515,$C322&lt;='TIF Loan Amortization'!I$515),'TIF Loan Amortization'!$G$515,IF(AND($C322&gt;='TIF Loan Amortization'!$H$516,$C322&lt;='TIF Loan Amortization'!I$516),'TIF Loan Amortization'!$G$516,IF(AND($C322&gt;='TIF Loan Amortization'!$H$517,$C322&lt;='TIF Loan Amortization'!I$517),'TIF Loan Amortization'!$G$517,IF(AND($C322&gt;='TIF Loan Amortization'!$H$518,$C322&lt;='TIF Loan Amortization'!I$518),'TIF Loan Amortization'!$G$518,IF(AND($C322&gt;='TIF Loan Amortization'!$H$519,$C322&lt;='TIF Loan Amortization'!I$519),'TIF Loan Amortization'!$G$519))))))))))))))))))))))))))))))))))))))))</f>
        <v>#N/A</v>
      </c>
      <c r="C322" s="269" t="e">
        <f t="shared" si="42"/>
        <v>#N/A</v>
      </c>
      <c r="D322" s="281" t="str">
        <f>IF($AG$430=1,$H$10+23,"")</f>
        <v/>
      </c>
      <c r="E322" s="274">
        <v>272</v>
      </c>
      <c r="F322" s="275" t="str">
        <f>VLOOKUP($AG$430,$AE$422:$AF$433,2)</f>
        <v>Nov</v>
      </c>
      <c r="G322" s="272">
        <f t="shared" si="43"/>
        <v>0</v>
      </c>
      <c r="H322" s="272">
        <f t="shared" si="46"/>
        <v>0</v>
      </c>
      <c r="I322" s="272">
        <f t="shared" si="47"/>
        <v>0</v>
      </c>
      <c r="J322" s="272">
        <f t="shared" si="44"/>
        <v>0</v>
      </c>
      <c r="K322" s="272">
        <f>IF(ISTEXT($M$4),"",SUM(I$50:I322))</f>
        <v>0</v>
      </c>
      <c r="L322" s="272">
        <f>IF(ISTEXT($M$4),"",SUM(J$50:J322))</f>
        <v>0</v>
      </c>
      <c r="M322" s="271">
        <f t="shared" si="45"/>
        <v>0</v>
      </c>
      <c r="N322" s="291" t="e">
        <f>IF(C322='Operating Assumptions'!$C$48,"Construction Finish","")</f>
        <v>#N/A</v>
      </c>
      <c r="O322" s="291"/>
      <c r="P322" s="291"/>
      <c r="Q322" s="291"/>
      <c r="R322" s="291"/>
      <c r="S322" s="291"/>
      <c r="T322" s="280"/>
      <c r="U322" s="280"/>
      <c r="V322" s="286"/>
      <c r="W322" s="286"/>
      <c r="X322" s="286"/>
      <c r="Y322" s="280"/>
      <c r="Z322" s="279"/>
      <c r="AA322" s="279"/>
      <c r="AB322" s="279"/>
    </row>
    <row r="323" spans="2:28" s="278" customFormat="1" ht="13.5" hidden="1" outlineLevel="1" x14ac:dyDescent="0.25">
      <c r="B323" s="270" t="e">
        <f>IF(AND($C323&gt;='TIF Loan Amortization'!$H$480,$C323&lt;='TIF Loan Amortization'!$I$480),'TIF Loan Amortization'!$G$480,IF(AND($C323&gt;='TIF Loan Amortization'!$H$481,$C323&lt;='TIF Loan Amortization'!I$481),'TIF Loan Amortization'!$G$481,IF(AND($C323&gt;='TIF Loan Amortization'!$H$482,$C323&lt;='TIF Loan Amortization'!I$482),'TIF Loan Amortization'!$G$482,IF(AND($C323&gt;='TIF Loan Amortization'!$H$483,$C323&lt;='TIF Loan Amortization'!I$483),'TIF Loan Amortization'!$G$483,IF(AND($C323&gt;='TIF Loan Amortization'!$H$484,$C323&lt;='TIF Loan Amortization'!I$484),'TIF Loan Amortization'!$G$484,IF(AND($C323&gt;='TIF Loan Amortization'!$H$485,$C323&lt;='TIF Loan Amortization'!I$485),'TIF Loan Amortization'!$G$485,IF(AND($C323&gt;='TIF Loan Amortization'!$H$486,$C323&lt;='TIF Loan Amortization'!I$486),'TIF Loan Amortization'!$G$486,IF(AND($C323&gt;='TIF Loan Amortization'!$H$487,$C323&lt;='TIF Loan Amortization'!I$487),'TIF Loan Amortization'!$G$487,IF(AND($C323&gt;='TIF Loan Amortization'!$H$488,$C323&lt;='TIF Loan Amortization'!I$488),'TIF Loan Amortization'!$G$488,IF(AND($C323&gt;='TIF Loan Amortization'!$H$489,$C323&lt;='TIF Loan Amortization'!I$489),'TIF Loan Amortization'!$G$489,IF(AND($C323&gt;='TIF Loan Amortization'!$H$490,$C323&lt;='TIF Loan Amortization'!I$490),'TIF Loan Amortization'!$G$490,IF(AND($C323&gt;='TIF Loan Amortization'!$H$491,$C323&lt;='TIF Loan Amortization'!I$491),'TIF Loan Amortization'!$G$491,IF(AND($C323&gt;='TIF Loan Amortization'!$H$492,$C323&lt;='TIF Loan Amortization'!I$492),'TIF Loan Amortization'!$G$492,IF(AND($C323&gt;='TIF Loan Amortization'!$H$493,$C323&lt;='TIF Loan Amortization'!I$493),'TIF Loan Amortization'!$G$493,IF(AND($C323&gt;='TIF Loan Amortization'!$H$494,$C323&lt;='TIF Loan Amortization'!I$494),'TIF Loan Amortization'!$G$494,IF(AND($C323&gt;='TIF Loan Amortization'!$H$495,$C323&lt;='TIF Loan Amortization'!I$495),'TIF Loan Amortization'!$G$495,IF(AND($C323&gt;='TIF Loan Amortization'!$H$496,$C323&lt;='TIF Loan Amortization'!I$496),'TIF Loan Amortization'!$G$496,IF(AND($C323&gt;='TIF Loan Amortization'!$H$497,$C323&lt;='TIF Loan Amortization'!I$497),'TIF Loan Amortization'!$G$497,IF(AND($C323&gt;='TIF Loan Amortization'!$H$498,$C323&lt;='TIF Loan Amortization'!I$498),'TIF Loan Amortization'!$G$498,IF(AND($C323&gt;='TIF Loan Amortization'!$H$499,$C323&lt;='TIF Loan Amortization'!I$499),'TIF Loan Amortization'!$G$499,IF(AND($C323&gt;='TIF Loan Amortization'!$H$500,$C323&lt;='TIF Loan Amortization'!I$500),'TIF Loan Amortization'!$G$500,IF(AND($C323&gt;='TIF Loan Amortization'!$H$501,$C323&lt;='TIF Loan Amortization'!I$501),'TIF Loan Amortization'!$G$501,IF(AND($C323&gt;='TIF Loan Amortization'!$H$502,$C323&lt;='TIF Loan Amortization'!I$502),'TIF Loan Amortization'!$G$502,IF(AND($C323&gt;='TIF Loan Amortization'!$H$503,$C323&lt;='TIF Loan Amortization'!I$503),'TIF Loan Amortization'!$G$503,IF(AND($C323&gt;='TIF Loan Amortization'!$H$504,$C323&lt;='TIF Loan Amortization'!I$504),'TIF Loan Amortization'!$G$504,IF(AND($C323&gt;='TIF Loan Amortization'!$H$505,$C323&lt;='TIF Loan Amortization'!I$505),'TIF Loan Amortization'!$G$505,IF(AND($C323&gt;='TIF Loan Amortization'!$H$506,$C323&lt;='TIF Loan Amortization'!I$506),'TIF Loan Amortization'!$G$506,IF(AND($C323&gt;='TIF Loan Amortization'!$H$507,$C323&lt;='TIF Loan Amortization'!I$507),'TIF Loan Amortization'!$G$507,IF(AND($C323&gt;='TIF Loan Amortization'!$H$508,$C323&lt;='TIF Loan Amortization'!I$508),'TIF Loan Amortization'!$G$508,IF(AND($C323&gt;='TIF Loan Amortization'!$H$509,$C323&lt;='TIF Loan Amortization'!I$509),'TIF Loan Amortization'!$G$509,IF(AND($C323&gt;='TIF Loan Amortization'!$H$510,$C323&lt;='TIF Loan Amortization'!I$510),'TIF Loan Amortization'!$G$510,IF(AND($C323&gt;='TIF Loan Amortization'!$H$511,$C323&lt;='TIF Loan Amortization'!I$511),'TIF Loan Amortization'!$G$511,IF(AND($C323&gt;='TIF Loan Amortization'!$H$512,$C323&lt;='TIF Loan Amortization'!I$512),'TIF Loan Amortization'!$G$512,IF(AND($C323&gt;='TIF Loan Amortization'!$H$513,$C323&lt;='TIF Loan Amortization'!I$513),'TIF Loan Amortization'!$G$513,IF(AND($C323&gt;='TIF Loan Amortization'!$H$514,$C323&lt;='TIF Loan Amortization'!I$514),'TIF Loan Amortization'!$G$514,IF(AND($C323&gt;='TIF Loan Amortization'!$H$515,$C323&lt;='TIF Loan Amortization'!I$515),'TIF Loan Amortization'!$G$515,IF(AND($C323&gt;='TIF Loan Amortization'!$H$516,$C323&lt;='TIF Loan Amortization'!I$516),'TIF Loan Amortization'!$G$516,IF(AND($C323&gt;='TIF Loan Amortization'!$H$517,$C323&lt;='TIF Loan Amortization'!I$517),'TIF Loan Amortization'!$G$517,IF(AND($C323&gt;='TIF Loan Amortization'!$H$518,$C323&lt;='TIF Loan Amortization'!I$518),'TIF Loan Amortization'!$G$518,IF(AND($C323&gt;='TIF Loan Amortization'!$H$519,$C323&lt;='TIF Loan Amortization'!I$519),'TIF Loan Amortization'!$G$519))))))))))))))))))))))))))))))))))))))))</f>
        <v>#N/A</v>
      </c>
      <c r="C323" s="269" t="e">
        <f t="shared" si="42"/>
        <v>#N/A</v>
      </c>
      <c r="D323" s="281" t="str">
        <f>IF($AG$431=1,$H$10+23,"")</f>
        <v/>
      </c>
      <c r="E323" s="274">
        <v>273</v>
      </c>
      <c r="F323" s="275" t="str">
        <f>VLOOKUP($AG$431,$AE$422:$AF$433,2)</f>
        <v>Dec</v>
      </c>
      <c r="G323" s="272">
        <f t="shared" si="43"/>
        <v>0</v>
      </c>
      <c r="H323" s="272">
        <f t="shared" si="46"/>
        <v>0</v>
      </c>
      <c r="I323" s="272">
        <f t="shared" si="47"/>
        <v>0</v>
      </c>
      <c r="J323" s="272">
        <f t="shared" si="44"/>
        <v>0</v>
      </c>
      <c r="K323" s="272">
        <f>IF(ISTEXT($M$4),"",SUM(I$50:I323))</f>
        <v>0</v>
      </c>
      <c r="L323" s="272">
        <f>IF(ISTEXT($M$4),"",SUM(J$50:J323))</f>
        <v>0</v>
      </c>
      <c r="M323" s="271">
        <f t="shared" si="45"/>
        <v>0</v>
      </c>
      <c r="N323" s="291" t="e">
        <f>IF(C323='Operating Assumptions'!$C$48,"Construction Finish","")</f>
        <v>#N/A</v>
      </c>
      <c r="O323" s="291"/>
      <c r="P323" s="291"/>
      <c r="Q323" s="291"/>
      <c r="R323" s="291"/>
      <c r="S323" s="291"/>
      <c r="T323" s="280"/>
      <c r="U323" s="280"/>
      <c r="V323" s="286"/>
      <c r="W323" s="286"/>
      <c r="X323" s="286"/>
      <c r="Y323" s="280"/>
      <c r="Z323" s="279"/>
      <c r="AA323" s="279"/>
      <c r="AB323" s="279"/>
    </row>
    <row r="324" spans="2:28" s="278" customFormat="1" ht="13.5" hidden="1" outlineLevel="1" x14ac:dyDescent="0.25">
      <c r="B324" s="270" t="e">
        <f>IF(AND($C324&gt;='TIF Loan Amortization'!$H$480,$C324&lt;='TIF Loan Amortization'!$I$480),'TIF Loan Amortization'!$G$480,IF(AND($C324&gt;='TIF Loan Amortization'!$H$481,$C324&lt;='TIF Loan Amortization'!I$481),'TIF Loan Amortization'!$G$481,IF(AND($C324&gt;='TIF Loan Amortization'!$H$482,$C324&lt;='TIF Loan Amortization'!I$482),'TIF Loan Amortization'!$G$482,IF(AND($C324&gt;='TIF Loan Amortization'!$H$483,$C324&lt;='TIF Loan Amortization'!I$483),'TIF Loan Amortization'!$G$483,IF(AND($C324&gt;='TIF Loan Amortization'!$H$484,$C324&lt;='TIF Loan Amortization'!I$484),'TIF Loan Amortization'!$G$484,IF(AND($C324&gt;='TIF Loan Amortization'!$H$485,$C324&lt;='TIF Loan Amortization'!I$485),'TIF Loan Amortization'!$G$485,IF(AND($C324&gt;='TIF Loan Amortization'!$H$486,$C324&lt;='TIF Loan Amortization'!I$486),'TIF Loan Amortization'!$G$486,IF(AND($C324&gt;='TIF Loan Amortization'!$H$487,$C324&lt;='TIF Loan Amortization'!I$487),'TIF Loan Amortization'!$G$487,IF(AND($C324&gt;='TIF Loan Amortization'!$H$488,$C324&lt;='TIF Loan Amortization'!I$488),'TIF Loan Amortization'!$G$488,IF(AND($C324&gt;='TIF Loan Amortization'!$H$489,$C324&lt;='TIF Loan Amortization'!I$489),'TIF Loan Amortization'!$G$489,IF(AND($C324&gt;='TIF Loan Amortization'!$H$490,$C324&lt;='TIF Loan Amortization'!I$490),'TIF Loan Amortization'!$G$490,IF(AND($C324&gt;='TIF Loan Amortization'!$H$491,$C324&lt;='TIF Loan Amortization'!I$491),'TIF Loan Amortization'!$G$491,IF(AND($C324&gt;='TIF Loan Amortization'!$H$492,$C324&lt;='TIF Loan Amortization'!I$492),'TIF Loan Amortization'!$G$492,IF(AND($C324&gt;='TIF Loan Amortization'!$H$493,$C324&lt;='TIF Loan Amortization'!I$493),'TIF Loan Amortization'!$G$493,IF(AND($C324&gt;='TIF Loan Amortization'!$H$494,$C324&lt;='TIF Loan Amortization'!I$494),'TIF Loan Amortization'!$G$494,IF(AND($C324&gt;='TIF Loan Amortization'!$H$495,$C324&lt;='TIF Loan Amortization'!I$495),'TIF Loan Amortization'!$G$495,IF(AND($C324&gt;='TIF Loan Amortization'!$H$496,$C324&lt;='TIF Loan Amortization'!I$496),'TIF Loan Amortization'!$G$496,IF(AND($C324&gt;='TIF Loan Amortization'!$H$497,$C324&lt;='TIF Loan Amortization'!I$497),'TIF Loan Amortization'!$G$497,IF(AND($C324&gt;='TIF Loan Amortization'!$H$498,$C324&lt;='TIF Loan Amortization'!I$498),'TIF Loan Amortization'!$G$498,IF(AND($C324&gt;='TIF Loan Amortization'!$H$499,$C324&lt;='TIF Loan Amortization'!I$499),'TIF Loan Amortization'!$G$499,IF(AND($C324&gt;='TIF Loan Amortization'!$H$500,$C324&lt;='TIF Loan Amortization'!I$500),'TIF Loan Amortization'!$G$500,IF(AND($C324&gt;='TIF Loan Amortization'!$H$501,$C324&lt;='TIF Loan Amortization'!I$501),'TIF Loan Amortization'!$G$501,IF(AND($C324&gt;='TIF Loan Amortization'!$H$502,$C324&lt;='TIF Loan Amortization'!I$502),'TIF Loan Amortization'!$G$502,IF(AND($C324&gt;='TIF Loan Amortization'!$H$503,$C324&lt;='TIF Loan Amortization'!I$503),'TIF Loan Amortization'!$G$503,IF(AND($C324&gt;='TIF Loan Amortization'!$H$504,$C324&lt;='TIF Loan Amortization'!I$504),'TIF Loan Amortization'!$G$504,IF(AND($C324&gt;='TIF Loan Amortization'!$H$505,$C324&lt;='TIF Loan Amortization'!I$505),'TIF Loan Amortization'!$G$505,IF(AND($C324&gt;='TIF Loan Amortization'!$H$506,$C324&lt;='TIF Loan Amortization'!I$506),'TIF Loan Amortization'!$G$506,IF(AND($C324&gt;='TIF Loan Amortization'!$H$507,$C324&lt;='TIF Loan Amortization'!I$507),'TIF Loan Amortization'!$G$507,IF(AND($C324&gt;='TIF Loan Amortization'!$H$508,$C324&lt;='TIF Loan Amortization'!I$508),'TIF Loan Amortization'!$G$508,IF(AND($C324&gt;='TIF Loan Amortization'!$H$509,$C324&lt;='TIF Loan Amortization'!I$509),'TIF Loan Amortization'!$G$509,IF(AND($C324&gt;='TIF Loan Amortization'!$H$510,$C324&lt;='TIF Loan Amortization'!I$510),'TIF Loan Amortization'!$G$510,IF(AND($C324&gt;='TIF Loan Amortization'!$H$511,$C324&lt;='TIF Loan Amortization'!I$511),'TIF Loan Amortization'!$G$511,IF(AND($C324&gt;='TIF Loan Amortization'!$H$512,$C324&lt;='TIF Loan Amortization'!I$512),'TIF Loan Amortization'!$G$512,IF(AND($C324&gt;='TIF Loan Amortization'!$H$513,$C324&lt;='TIF Loan Amortization'!I$513),'TIF Loan Amortization'!$G$513,IF(AND($C324&gt;='TIF Loan Amortization'!$H$514,$C324&lt;='TIF Loan Amortization'!I$514),'TIF Loan Amortization'!$G$514,IF(AND($C324&gt;='TIF Loan Amortization'!$H$515,$C324&lt;='TIF Loan Amortization'!I$515),'TIF Loan Amortization'!$G$515,IF(AND($C324&gt;='TIF Loan Amortization'!$H$516,$C324&lt;='TIF Loan Amortization'!I$516),'TIF Loan Amortization'!$G$516,IF(AND($C324&gt;='TIF Loan Amortization'!$H$517,$C324&lt;='TIF Loan Amortization'!I$517),'TIF Loan Amortization'!$G$517,IF(AND($C324&gt;='TIF Loan Amortization'!$H$518,$C324&lt;='TIF Loan Amortization'!I$518),'TIF Loan Amortization'!$G$518,IF(AND($C324&gt;='TIF Loan Amortization'!$H$519,$C324&lt;='TIF Loan Amortization'!I$519),'TIF Loan Amortization'!$G$519))))))))))))))))))))))))))))))))))))))))</f>
        <v>#N/A</v>
      </c>
      <c r="C324" s="269" t="e">
        <f t="shared" si="42"/>
        <v>#N/A</v>
      </c>
      <c r="D324" s="281">
        <f>IF($AG$432=1,$H$10+23,"")</f>
        <v>2048</v>
      </c>
      <c r="E324" s="274">
        <v>274</v>
      </c>
      <c r="F324" s="273" t="str">
        <f>VLOOKUP($AG$432,$AE$422:$AF$433,2)</f>
        <v>Jan</v>
      </c>
      <c r="G324" s="272">
        <f t="shared" si="43"/>
        <v>0</v>
      </c>
      <c r="H324" s="272">
        <f t="shared" si="46"/>
        <v>0</v>
      </c>
      <c r="I324" s="272">
        <f t="shared" si="47"/>
        <v>0</v>
      </c>
      <c r="J324" s="272">
        <f t="shared" si="44"/>
        <v>0</v>
      </c>
      <c r="K324" s="272">
        <f>IF(ISTEXT($M$4),"",SUM(I$50:I324))</f>
        <v>0</v>
      </c>
      <c r="L324" s="272">
        <f>IF(ISTEXT($M$4),"",SUM(J$50:J324))</f>
        <v>0</v>
      </c>
      <c r="M324" s="271">
        <f t="shared" si="45"/>
        <v>0</v>
      </c>
      <c r="N324" s="291" t="e">
        <f>IF(C324='Operating Assumptions'!$C$48,"Construction Finish","")</f>
        <v>#N/A</v>
      </c>
      <c r="O324" s="291"/>
      <c r="P324" s="291"/>
      <c r="Q324" s="291"/>
      <c r="R324" s="291"/>
      <c r="S324" s="291"/>
      <c r="T324" s="280"/>
      <c r="U324" s="280"/>
      <c r="V324" s="286"/>
      <c r="W324" s="286"/>
      <c r="X324" s="286"/>
      <c r="Y324" s="280"/>
      <c r="Z324" s="279"/>
      <c r="AA324" s="279"/>
      <c r="AB324" s="279"/>
    </row>
    <row r="325" spans="2:28" s="278" customFormat="1" ht="13.5" hidden="1" outlineLevel="1" x14ac:dyDescent="0.25">
      <c r="B325" s="270" t="e">
        <f>IF(AND($C325&gt;='TIF Loan Amortization'!$H$480,$C325&lt;='TIF Loan Amortization'!$I$480),'TIF Loan Amortization'!$G$480,IF(AND($C325&gt;='TIF Loan Amortization'!$H$481,$C325&lt;='TIF Loan Amortization'!I$481),'TIF Loan Amortization'!$G$481,IF(AND($C325&gt;='TIF Loan Amortization'!$H$482,$C325&lt;='TIF Loan Amortization'!I$482),'TIF Loan Amortization'!$G$482,IF(AND($C325&gt;='TIF Loan Amortization'!$H$483,$C325&lt;='TIF Loan Amortization'!I$483),'TIF Loan Amortization'!$G$483,IF(AND($C325&gt;='TIF Loan Amortization'!$H$484,$C325&lt;='TIF Loan Amortization'!I$484),'TIF Loan Amortization'!$G$484,IF(AND($C325&gt;='TIF Loan Amortization'!$H$485,$C325&lt;='TIF Loan Amortization'!I$485),'TIF Loan Amortization'!$G$485,IF(AND($C325&gt;='TIF Loan Amortization'!$H$486,$C325&lt;='TIF Loan Amortization'!I$486),'TIF Loan Amortization'!$G$486,IF(AND($C325&gt;='TIF Loan Amortization'!$H$487,$C325&lt;='TIF Loan Amortization'!I$487),'TIF Loan Amortization'!$G$487,IF(AND($C325&gt;='TIF Loan Amortization'!$H$488,$C325&lt;='TIF Loan Amortization'!I$488),'TIF Loan Amortization'!$G$488,IF(AND($C325&gt;='TIF Loan Amortization'!$H$489,$C325&lt;='TIF Loan Amortization'!I$489),'TIF Loan Amortization'!$G$489,IF(AND($C325&gt;='TIF Loan Amortization'!$H$490,$C325&lt;='TIF Loan Amortization'!I$490),'TIF Loan Amortization'!$G$490,IF(AND($C325&gt;='TIF Loan Amortization'!$H$491,$C325&lt;='TIF Loan Amortization'!I$491),'TIF Loan Amortization'!$G$491,IF(AND($C325&gt;='TIF Loan Amortization'!$H$492,$C325&lt;='TIF Loan Amortization'!I$492),'TIF Loan Amortization'!$G$492,IF(AND($C325&gt;='TIF Loan Amortization'!$H$493,$C325&lt;='TIF Loan Amortization'!I$493),'TIF Loan Amortization'!$G$493,IF(AND($C325&gt;='TIF Loan Amortization'!$H$494,$C325&lt;='TIF Loan Amortization'!I$494),'TIF Loan Amortization'!$G$494,IF(AND($C325&gt;='TIF Loan Amortization'!$H$495,$C325&lt;='TIF Loan Amortization'!I$495),'TIF Loan Amortization'!$G$495,IF(AND($C325&gt;='TIF Loan Amortization'!$H$496,$C325&lt;='TIF Loan Amortization'!I$496),'TIF Loan Amortization'!$G$496,IF(AND($C325&gt;='TIF Loan Amortization'!$H$497,$C325&lt;='TIF Loan Amortization'!I$497),'TIF Loan Amortization'!$G$497,IF(AND($C325&gt;='TIF Loan Amortization'!$H$498,$C325&lt;='TIF Loan Amortization'!I$498),'TIF Loan Amortization'!$G$498,IF(AND($C325&gt;='TIF Loan Amortization'!$H$499,$C325&lt;='TIF Loan Amortization'!I$499),'TIF Loan Amortization'!$G$499,IF(AND($C325&gt;='TIF Loan Amortization'!$H$500,$C325&lt;='TIF Loan Amortization'!I$500),'TIF Loan Amortization'!$G$500,IF(AND($C325&gt;='TIF Loan Amortization'!$H$501,$C325&lt;='TIF Loan Amortization'!I$501),'TIF Loan Amortization'!$G$501,IF(AND($C325&gt;='TIF Loan Amortization'!$H$502,$C325&lt;='TIF Loan Amortization'!I$502),'TIF Loan Amortization'!$G$502,IF(AND($C325&gt;='TIF Loan Amortization'!$H$503,$C325&lt;='TIF Loan Amortization'!I$503),'TIF Loan Amortization'!$G$503,IF(AND($C325&gt;='TIF Loan Amortization'!$H$504,$C325&lt;='TIF Loan Amortization'!I$504),'TIF Loan Amortization'!$G$504,IF(AND($C325&gt;='TIF Loan Amortization'!$H$505,$C325&lt;='TIF Loan Amortization'!I$505),'TIF Loan Amortization'!$G$505,IF(AND($C325&gt;='TIF Loan Amortization'!$H$506,$C325&lt;='TIF Loan Amortization'!I$506),'TIF Loan Amortization'!$G$506,IF(AND($C325&gt;='TIF Loan Amortization'!$H$507,$C325&lt;='TIF Loan Amortization'!I$507),'TIF Loan Amortization'!$G$507,IF(AND($C325&gt;='TIF Loan Amortization'!$H$508,$C325&lt;='TIF Loan Amortization'!I$508),'TIF Loan Amortization'!$G$508,IF(AND($C325&gt;='TIF Loan Amortization'!$H$509,$C325&lt;='TIF Loan Amortization'!I$509),'TIF Loan Amortization'!$G$509,IF(AND($C325&gt;='TIF Loan Amortization'!$H$510,$C325&lt;='TIF Loan Amortization'!I$510),'TIF Loan Amortization'!$G$510,IF(AND($C325&gt;='TIF Loan Amortization'!$H$511,$C325&lt;='TIF Loan Amortization'!I$511),'TIF Loan Amortization'!$G$511,IF(AND($C325&gt;='TIF Loan Amortization'!$H$512,$C325&lt;='TIF Loan Amortization'!I$512),'TIF Loan Amortization'!$G$512,IF(AND($C325&gt;='TIF Loan Amortization'!$H$513,$C325&lt;='TIF Loan Amortization'!I$513),'TIF Loan Amortization'!$G$513,IF(AND($C325&gt;='TIF Loan Amortization'!$H$514,$C325&lt;='TIF Loan Amortization'!I$514),'TIF Loan Amortization'!$G$514,IF(AND($C325&gt;='TIF Loan Amortization'!$H$515,$C325&lt;='TIF Loan Amortization'!I$515),'TIF Loan Amortization'!$G$515,IF(AND($C325&gt;='TIF Loan Amortization'!$H$516,$C325&lt;='TIF Loan Amortization'!I$516),'TIF Loan Amortization'!$G$516,IF(AND($C325&gt;='TIF Loan Amortization'!$H$517,$C325&lt;='TIF Loan Amortization'!I$517),'TIF Loan Amortization'!$G$517,IF(AND($C325&gt;='TIF Loan Amortization'!$H$518,$C325&lt;='TIF Loan Amortization'!I$518),'TIF Loan Amortization'!$G$518,IF(AND($C325&gt;='TIF Loan Amortization'!$H$519,$C325&lt;='TIF Loan Amortization'!I$519),'TIF Loan Amortization'!$G$519))))))))))))))))))))))))))))))))))))))))</f>
        <v>#N/A</v>
      </c>
      <c r="C325" s="269" t="e">
        <f t="shared" si="42"/>
        <v>#N/A</v>
      </c>
      <c r="D325" s="281" t="str">
        <f>IF($AG$433=1,$H$10+23,"")</f>
        <v/>
      </c>
      <c r="E325" s="274">
        <v>275</v>
      </c>
      <c r="F325" s="273" t="str">
        <f>VLOOKUP($AG$433,$AE$422:$AF$433,2)</f>
        <v>Feb</v>
      </c>
      <c r="G325" s="272">
        <f t="shared" si="43"/>
        <v>0</v>
      </c>
      <c r="H325" s="272">
        <f t="shared" si="46"/>
        <v>0</v>
      </c>
      <c r="I325" s="272">
        <f t="shared" si="47"/>
        <v>0</v>
      </c>
      <c r="J325" s="272">
        <f t="shared" si="44"/>
        <v>0</v>
      </c>
      <c r="K325" s="272">
        <f>IF(ISTEXT($M$4),"",SUM(I$50:I325))</f>
        <v>0</v>
      </c>
      <c r="L325" s="272">
        <f>IF(ISTEXT($M$4),"",SUM(J$50:J325))</f>
        <v>0</v>
      </c>
      <c r="M325" s="271">
        <f t="shared" si="45"/>
        <v>0</v>
      </c>
      <c r="N325" s="291" t="e">
        <f>IF(C325='Operating Assumptions'!$C$48,"Construction Finish","")</f>
        <v>#N/A</v>
      </c>
      <c r="O325" s="291"/>
      <c r="P325" s="291"/>
      <c r="Q325" s="291"/>
      <c r="R325" s="291"/>
      <c r="S325" s="291"/>
      <c r="T325" s="280"/>
      <c r="U325" s="280"/>
      <c r="V325" s="286"/>
      <c r="W325" s="286"/>
      <c r="X325" s="286"/>
      <c r="Y325" s="280"/>
      <c r="Z325" s="279"/>
      <c r="AA325" s="279"/>
      <c r="AB325" s="279"/>
    </row>
    <row r="326" spans="2:28" s="278" customFormat="1" ht="13.5" hidden="1" outlineLevel="1" x14ac:dyDescent="0.25">
      <c r="B326" s="270" t="e">
        <f>IF(AND($C326&gt;='TIF Loan Amortization'!$H$480,$C326&lt;='TIF Loan Amortization'!$I$480),'TIF Loan Amortization'!$G$480,IF(AND($C326&gt;='TIF Loan Amortization'!$H$481,$C326&lt;='TIF Loan Amortization'!I$481),'TIF Loan Amortization'!$G$481,IF(AND($C326&gt;='TIF Loan Amortization'!$H$482,$C326&lt;='TIF Loan Amortization'!I$482),'TIF Loan Amortization'!$G$482,IF(AND($C326&gt;='TIF Loan Amortization'!$H$483,$C326&lt;='TIF Loan Amortization'!I$483),'TIF Loan Amortization'!$G$483,IF(AND($C326&gt;='TIF Loan Amortization'!$H$484,$C326&lt;='TIF Loan Amortization'!I$484),'TIF Loan Amortization'!$G$484,IF(AND($C326&gt;='TIF Loan Amortization'!$H$485,$C326&lt;='TIF Loan Amortization'!I$485),'TIF Loan Amortization'!$G$485,IF(AND($C326&gt;='TIF Loan Amortization'!$H$486,$C326&lt;='TIF Loan Amortization'!I$486),'TIF Loan Amortization'!$G$486,IF(AND($C326&gt;='TIF Loan Amortization'!$H$487,$C326&lt;='TIF Loan Amortization'!I$487),'TIF Loan Amortization'!$G$487,IF(AND($C326&gt;='TIF Loan Amortization'!$H$488,$C326&lt;='TIF Loan Amortization'!I$488),'TIF Loan Amortization'!$G$488,IF(AND($C326&gt;='TIF Loan Amortization'!$H$489,$C326&lt;='TIF Loan Amortization'!I$489),'TIF Loan Amortization'!$G$489,IF(AND($C326&gt;='TIF Loan Amortization'!$H$490,$C326&lt;='TIF Loan Amortization'!I$490),'TIF Loan Amortization'!$G$490,IF(AND($C326&gt;='TIF Loan Amortization'!$H$491,$C326&lt;='TIF Loan Amortization'!I$491),'TIF Loan Amortization'!$G$491,IF(AND($C326&gt;='TIF Loan Amortization'!$H$492,$C326&lt;='TIF Loan Amortization'!I$492),'TIF Loan Amortization'!$G$492,IF(AND($C326&gt;='TIF Loan Amortization'!$H$493,$C326&lt;='TIF Loan Amortization'!I$493),'TIF Loan Amortization'!$G$493,IF(AND($C326&gt;='TIF Loan Amortization'!$H$494,$C326&lt;='TIF Loan Amortization'!I$494),'TIF Loan Amortization'!$G$494,IF(AND($C326&gt;='TIF Loan Amortization'!$H$495,$C326&lt;='TIF Loan Amortization'!I$495),'TIF Loan Amortization'!$G$495,IF(AND($C326&gt;='TIF Loan Amortization'!$H$496,$C326&lt;='TIF Loan Amortization'!I$496),'TIF Loan Amortization'!$G$496,IF(AND($C326&gt;='TIF Loan Amortization'!$H$497,$C326&lt;='TIF Loan Amortization'!I$497),'TIF Loan Amortization'!$G$497,IF(AND($C326&gt;='TIF Loan Amortization'!$H$498,$C326&lt;='TIF Loan Amortization'!I$498),'TIF Loan Amortization'!$G$498,IF(AND($C326&gt;='TIF Loan Amortization'!$H$499,$C326&lt;='TIF Loan Amortization'!I$499),'TIF Loan Amortization'!$G$499,IF(AND($C326&gt;='TIF Loan Amortization'!$H$500,$C326&lt;='TIF Loan Amortization'!I$500),'TIF Loan Amortization'!$G$500,IF(AND($C326&gt;='TIF Loan Amortization'!$H$501,$C326&lt;='TIF Loan Amortization'!I$501),'TIF Loan Amortization'!$G$501,IF(AND($C326&gt;='TIF Loan Amortization'!$H$502,$C326&lt;='TIF Loan Amortization'!I$502),'TIF Loan Amortization'!$G$502,IF(AND($C326&gt;='TIF Loan Amortization'!$H$503,$C326&lt;='TIF Loan Amortization'!I$503),'TIF Loan Amortization'!$G$503,IF(AND($C326&gt;='TIF Loan Amortization'!$H$504,$C326&lt;='TIF Loan Amortization'!I$504),'TIF Loan Amortization'!$G$504,IF(AND($C326&gt;='TIF Loan Amortization'!$H$505,$C326&lt;='TIF Loan Amortization'!I$505),'TIF Loan Amortization'!$G$505,IF(AND($C326&gt;='TIF Loan Amortization'!$H$506,$C326&lt;='TIF Loan Amortization'!I$506),'TIF Loan Amortization'!$G$506,IF(AND($C326&gt;='TIF Loan Amortization'!$H$507,$C326&lt;='TIF Loan Amortization'!I$507),'TIF Loan Amortization'!$G$507,IF(AND($C326&gt;='TIF Loan Amortization'!$H$508,$C326&lt;='TIF Loan Amortization'!I$508),'TIF Loan Amortization'!$G$508,IF(AND($C326&gt;='TIF Loan Amortization'!$H$509,$C326&lt;='TIF Loan Amortization'!I$509),'TIF Loan Amortization'!$G$509,IF(AND($C326&gt;='TIF Loan Amortization'!$H$510,$C326&lt;='TIF Loan Amortization'!I$510),'TIF Loan Amortization'!$G$510,IF(AND($C326&gt;='TIF Loan Amortization'!$H$511,$C326&lt;='TIF Loan Amortization'!I$511),'TIF Loan Amortization'!$G$511,IF(AND($C326&gt;='TIF Loan Amortization'!$H$512,$C326&lt;='TIF Loan Amortization'!I$512),'TIF Loan Amortization'!$G$512,IF(AND($C326&gt;='TIF Loan Amortization'!$H$513,$C326&lt;='TIF Loan Amortization'!I$513),'TIF Loan Amortization'!$G$513,IF(AND($C326&gt;='TIF Loan Amortization'!$H$514,$C326&lt;='TIF Loan Amortization'!I$514),'TIF Loan Amortization'!$G$514,IF(AND($C326&gt;='TIF Loan Amortization'!$H$515,$C326&lt;='TIF Loan Amortization'!I$515),'TIF Loan Amortization'!$G$515,IF(AND($C326&gt;='TIF Loan Amortization'!$H$516,$C326&lt;='TIF Loan Amortization'!I$516),'TIF Loan Amortization'!$G$516,IF(AND($C326&gt;='TIF Loan Amortization'!$H$517,$C326&lt;='TIF Loan Amortization'!I$517),'TIF Loan Amortization'!$G$517,IF(AND($C326&gt;='TIF Loan Amortization'!$H$518,$C326&lt;='TIF Loan Amortization'!I$518),'TIF Loan Amortization'!$G$518,IF(AND($C326&gt;='TIF Loan Amortization'!$H$519,$C326&lt;='TIF Loan Amortization'!I$519),'TIF Loan Amortization'!$G$519))))))))))))))))))))))))))))))))))))))))</f>
        <v>#N/A</v>
      </c>
      <c r="C326" s="269" t="e">
        <f t="shared" si="42"/>
        <v>#N/A</v>
      </c>
      <c r="D326" s="281" t="str">
        <f>IF($H$11="January",$H$10+23,IF($AG$422=1,$H$10+24,""))</f>
        <v/>
      </c>
      <c r="E326" s="274">
        <v>276</v>
      </c>
      <c r="F326" s="273" t="str">
        <f>VLOOKUP($AG$422,$AE$422:$AF$433,2)</f>
        <v>Mar</v>
      </c>
      <c r="G326" s="272">
        <f t="shared" si="43"/>
        <v>0</v>
      </c>
      <c r="H326" s="272">
        <f t="shared" si="46"/>
        <v>0</v>
      </c>
      <c r="I326" s="272">
        <f t="shared" si="47"/>
        <v>0</v>
      </c>
      <c r="J326" s="272">
        <f t="shared" si="44"/>
        <v>0</v>
      </c>
      <c r="K326" s="272">
        <f>IF(ISTEXT($M$4),"",SUM(I$50:I326))</f>
        <v>0</v>
      </c>
      <c r="L326" s="272">
        <f>IF(ISTEXT($M$4),"",SUM(J$50:J326))</f>
        <v>0</v>
      </c>
      <c r="M326" s="271">
        <f t="shared" si="45"/>
        <v>0</v>
      </c>
      <c r="N326" s="291" t="e">
        <f>IF(C326='Operating Assumptions'!$C$48,"Construction Finish","")</f>
        <v>#N/A</v>
      </c>
      <c r="O326" s="291"/>
      <c r="P326" s="291"/>
      <c r="Q326" s="291"/>
      <c r="R326" s="291"/>
      <c r="S326" s="291"/>
      <c r="T326" s="280"/>
      <c r="U326" s="280"/>
      <c r="V326" s="286"/>
      <c r="W326" s="286"/>
      <c r="X326" s="286"/>
      <c r="Y326" s="280"/>
      <c r="Z326" s="279"/>
      <c r="AA326" s="279"/>
      <c r="AB326" s="279"/>
    </row>
    <row r="327" spans="2:28" s="278" customFormat="1" ht="13.5" hidden="1" outlineLevel="1" x14ac:dyDescent="0.25">
      <c r="B327" s="270" t="e">
        <f>IF(AND($C327&gt;='TIF Loan Amortization'!$H$480,$C327&lt;='TIF Loan Amortization'!$I$480),'TIF Loan Amortization'!$G$480,IF(AND($C327&gt;='TIF Loan Amortization'!$H$481,$C327&lt;='TIF Loan Amortization'!I$481),'TIF Loan Amortization'!$G$481,IF(AND($C327&gt;='TIF Loan Amortization'!$H$482,$C327&lt;='TIF Loan Amortization'!I$482),'TIF Loan Amortization'!$G$482,IF(AND($C327&gt;='TIF Loan Amortization'!$H$483,$C327&lt;='TIF Loan Amortization'!I$483),'TIF Loan Amortization'!$G$483,IF(AND($C327&gt;='TIF Loan Amortization'!$H$484,$C327&lt;='TIF Loan Amortization'!I$484),'TIF Loan Amortization'!$G$484,IF(AND($C327&gt;='TIF Loan Amortization'!$H$485,$C327&lt;='TIF Loan Amortization'!I$485),'TIF Loan Amortization'!$G$485,IF(AND($C327&gt;='TIF Loan Amortization'!$H$486,$C327&lt;='TIF Loan Amortization'!I$486),'TIF Loan Amortization'!$G$486,IF(AND($C327&gt;='TIF Loan Amortization'!$H$487,$C327&lt;='TIF Loan Amortization'!I$487),'TIF Loan Amortization'!$G$487,IF(AND($C327&gt;='TIF Loan Amortization'!$H$488,$C327&lt;='TIF Loan Amortization'!I$488),'TIF Loan Amortization'!$G$488,IF(AND($C327&gt;='TIF Loan Amortization'!$H$489,$C327&lt;='TIF Loan Amortization'!I$489),'TIF Loan Amortization'!$G$489,IF(AND($C327&gt;='TIF Loan Amortization'!$H$490,$C327&lt;='TIF Loan Amortization'!I$490),'TIF Loan Amortization'!$G$490,IF(AND($C327&gt;='TIF Loan Amortization'!$H$491,$C327&lt;='TIF Loan Amortization'!I$491),'TIF Loan Amortization'!$G$491,IF(AND($C327&gt;='TIF Loan Amortization'!$H$492,$C327&lt;='TIF Loan Amortization'!I$492),'TIF Loan Amortization'!$G$492,IF(AND($C327&gt;='TIF Loan Amortization'!$H$493,$C327&lt;='TIF Loan Amortization'!I$493),'TIF Loan Amortization'!$G$493,IF(AND($C327&gt;='TIF Loan Amortization'!$H$494,$C327&lt;='TIF Loan Amortization'!I$494),'TIF Loan Amortization'!$G$494,IF(AND($C327&gt;='TIF Loan Amortization'!$H$495,$C327&lt;='TIF Loan Amortization'!I$495),'TIF Loan Amortization'!$G$495,IF(AND($C327&gt;='TIF Loan Amortization'!$H$496,$C327&lt;='TIF Loan Amortization'!I$496),'TIF Loan Amortization'!$G$496,IF(AND($C327&gt;='TIF Loan Amortization'!$H$497,$C327&lt;='TIF Loan Amortization'!I$497),'TIF Loan Amortization'!$G$497,IF(AND($C327&gt;='TIF Loan Amortization'!$H$498,$C327&lt;='TIF Loan Amortization'!I$498),'TIF Loan Amortization'!$G$498,IF(AND($C327&gt;='TIF Loan Amortization'!$H$499,$C327&lt;='TIF Loan Amortization'!I$499),'TIF Loan Amortization'!$G$499,IF(AND($C327&gt;='TIF Loan Amortization'!$H$500,$C327&lt;='TIF Loan Amortization'!I$500),'TIF Loan Amortization'!$G$500,IF(AND($C327&gt;='TIF Loan Amortization'!$H$501,$C327&lt;='TIF Loan Amortization'!I$501),'TIF Loan Amortization'!$G$501,IF(AND($C327&gt;='TIF Loan Amortization'!$H$502,$C327&lt;='TIF Loan Amortization'!I$502),'TIF Loan Amortization'!$G$502,IF(AND($C327&gt;='TIF Loan Amortization'!$H$503,$C327&lt;='TIF Loan Amortization'!I$503),'TIF Loan Amortization'!$G$503,IF(AND($C327&gt;='TIF Loan Amortization'!$H$504,$C327&lt;='TIF Loan Amortization'!I$504),'TIF Loan Amortization'!$G$504,IF(AND($C327&gt;='TIF Loan Amortization'!$H$505,$C327&lt;='TIF Loan Amortization'!I$505),'TIF Loan Amortization'!$G$505,IF(AND($C327&gt;='TIF Loan Amortization'!$H$506,$C327&lt;='TIF Loan Amortization'!I$506),'TIF Loan Amortization'!$G$506,IF(AND($C327&gt;='TIF Loan Amortization'!$H$507,$C327&lt;='TIF Loan Amortization'!I$507),'TIF Loan Amortization'!$G$507,IF(AND($C327&gt;='TIF Loan Amortization'!$H$508,$C327&lt;='TIF Loan Amortization'!I$508),'TIF Loan Amortization'!$G$508,IF(AND($C327&gt;='TIF Loan Amortization'!$H$509,$C327&lt;='TIF Loan Amortization'!I$509),'TIF Loan Amortization'!$G$509,IF(AND($C327&gt;='TIF Loan Amortization'!$H$510,$C327&lt;='TIF Loan Amortization'!I$510),'TIF Loan Amortization'!$G$510,IF(AND($C327&gt;='TIF Loan Amortization'!$H$511,$C327&lt;='TIF Loan Amortization'!I$511),'TIF Loan Amortization'!$G$511,IF(AND($C327&gt;='TIF Loan Amortization'!$H$512,$C327&lt;='TIF Loan Amortization'!I$512),'TIF Loan Amortization'!$G$512,IF(AND($C327&gt;='TIF Loan Amortization'!$H$513,$C327&lt;='TIF Loan Amortization'!I$513),'TIF Loan Amortization'!$G$513,IF(AND($C327&gt;='TIF Loan Amortization'!$H$514,$C327&lt;='TIF Loan Amortization'!I$514),'TIF Loan Amortization'!$G$514,IF(AND($C327&gt;='TIF Loan Amortization'!$H$515,$C327&lt;='TIF Loan Amortization'!I$515),'TIF Loan Amortization'!$G$515,IF(AND($C327&gt;='TIF Loan Amortization'!$H$516,$C327&lt;='TIF Loan Amortization'!I$516),'TIF Loan Amortization'!$G$516,IF(AND($C327&gt;='TIF Loan Amortization'!$H$517,$C327&lt;='TIF Loan Amortization'!I$517),'TIF Loan Amortization'!$G$517,IF(AND($C327&gt;='TIF Loan Amortization'!$H$518,$C327&lt;='TIF Loan Amortization'!I$518),'TIF Loan Amortization'!$G$518,IF(AND($C327&gt;='TIF Loan Amortization'!$H$519,$C327&lt;='TIF Loan Amortization'!I$519),'TIF Loan Amortization'!$G$519))))))))))))))))))))))))))))))))))))))))</f>
        <v>#N/A</v>
      </c>
      <c r="C327" s="269" t="e">
        <f t="shared" si="42"/>
        <v>#N/A</v>
      </c>
      <c r="D327" s="281" t="str">
        <f>IF($AG$423=1,$H$10+24,"")</f>
        <v/>
      </c>
      <c r="E327" s="274">
        <v>277</v>
      </c>
      <c r="F327" s="275" t="str">
        <f>VLOOKUP($AG$423,$AE$422:$AF$433,2)</f>
        <v>Apr</v>
      </c>
      <c r="G327" s="272">
        <f t="shared" si="43"/>
        <v>0</v>
      </c>
      <c r="H327" s="272">
        <f t="shared" si="46"/>
        <v>0</v>
      </c>
      <c r="I327" s="272">
        <f t="shared" si="47"/>
        <v>0</v>
      </c>
      <c r="J327" s="272">
        <f t="shared" si="44"/>
        <v>0</v>
      </c>
      <c r="K327" s="272">
        <f>IF(ISTEXT($M$4),"",SUM(I$50:I327))</f>
        <v>0</v>
      </c>
      <c r="L327" s="272">
        <f>IF(ISTEXT($M$4),"",SUM(J$50:J327))</f>
        <v>0</v>
      </c>
      <c r="M327" s="271">
        <f t="shared" si="45"/>
        <v>0</v>
      </c>
      <c r="N327" s="291" t="e">
        <f>IF(C327='Operating Assumptions'!$C$48,"Construction Finish","")</f>
        <v>#N/A</v>
      </c>
      <c r="O327" s="291"/>
      <c r="P327" s="291"/>
      <c r="Q327" s="291"/>
      <c r="R327" s="291"/>
      <c r="S327" s="291"/>
      <c r="T327" s="280"/>
      <c r="U327" s="280"/>
      <c r="V327" s="286"/>
      <c r="W327" s="286"/>
      <c r="X327" s="286"/>
      <c r="Y327" s="280"/>
      <c r="Z327" s="279"/>
      <c r="AA327" s="279"/>
      <c r="AB327" s="279"/>
    </row>
    <row r="328" spans="2:28" s="278" customFormat="1" ht="13.5" hidden="1" outlineLevel="1" x14ac:dyDescent="0.25">
      <c r="B328" s="270" t="e">
        <f>IF(AND($C328&gt;='TIF Loan Amortization'!$H$480,$C328&lt;='TIF Loan Amortization'!$I$480),'TIF Loan Amortization'!$G$480,IF(AND($C328&gt;='TIF Loan Amortization'!$H$481,$C328&lt;='TIF Loan Amortization'!I$481),'TIF Loan Amortization'!$G$481,IF(AND($C328&gt;='TIF Loan Amortization'!$H$482,$C328&lt;='TIF Loan Amortization'!I$482),'TIF Loan Amortization'!$G$482,IF(AND($C328&gt;='TIF Loan Amortization'!$H$483,$C328&lt;='TIF Loan Amortization'!I$483),'TIF Loan Amortization'!$G$483,IF(AND($C328&gt;='TIF Loan Amortization'!$H$484,$C328&lt;='TIF Loan Amortization'!I$484),'TIF Loan Amortization'!$G$484,IF(AND($C328&gt;='TIF Loan Amortization'!$H$485,$C328&lt;='TIF Loan Amortization'!I$485),'TIF Loan Amortization'!$G$485,IF(AND($C328&gt;='TIF Loan Amortization'!$H$486,$C328&lt;='TIF Loan Amortization'!I$486),'TIF Loan Amortization'!$G$486,IF(AND($C328&gt;='TIF Loan Amortization'!$H$487,$C328&lt;='TIF Loan Amortization'!I$487),'TIF Loan Amortization'!$G$487,IF(AND($C328&gt;='TIF Loan Amortization'!$H$488,$C328&lt;='TIF Loan Amortization'!I$488),'TIF Loan Amortization'!$G$488,IF(AND($C328&gt;='TIF Loan Amortization'!$H$489,$C328&lt;='TIF Loan Amortization'!I$489),'TIF Loan Amortization'!$G$489,IF(AND($C328&gt;='TIF Loan Amortization'!$H$490,$C328&lt;='TIF Loan Amortization'!I$490),'TIF Loan Amortization'!$G$490,IF(AND($C328&gt;='TIF Loan Amortization'!$H$491,$C328&lt;='TIF Loan Amortization'!I$491),'TIF Loan Amortization'!$G$491,IF(AND($C328&gt;='TIF Loan Amortization'!$H$492,$C328&lt;='TIF Loan Amortization'!I$492),'TIF Loan Amortization'!$G$492,IF(AND($C328&gt;='TIF Loan Amortization'!$H$493,$C328&lt;='TIF Loan Amortization'!I$493),'TIF Loan Amortization'!$G$493,IF(AND($C328&gt;='TIF Loan Amortization'!$H$494,$C328&lt;='TIF Loan Amortization'!I$494),'TIF Loan Amortization'!$G$494,IF(AND($C328&gt;='TIF Loan Amortization'!$H$495,$C328&lt;='TIF Loan Amortization'!I$495),'TIF Loan Amortization'!$G$495,IF(AND($C328&gt;='TIF Loan Amortization'!$H$496,$C328&lt;='TIF Loan Amortization'!I$496),'TIF Loan Amortization'!$G$496,IF(AND($C328&gt;='TIF Loan Amortization'!$H$497,$C328&lt;='TIF Loan Amortization'!I$497),'TIF Loan Amortization'!$G$497,IF(AND($C328&gt;='TIF Loan Amortization'!$H$498,$C328&lt;='TIF Loan Amortization'!I$498),'TIF Loan Amortization'!$G$498,IF(AND($C328&gt;='TIF Loan Amortization'!$H$499,$C328&lt;='TIF Loan Amortization'!I$499),'TIF Loan Amortization'!$G$499,IF(AND($C328&gt;='TIF Loan Amortization'!$H$500,$C328&lt;='TIF Loan Amortization'!I$500),'TIF Loan Amortization'!$G$500,IF(AND($C328&gt;='TIF Loan Amortization'!$H$501,$C328&lt;='TIF Loan Amortization'!I$501),'TIF Loan Amortization'!$G$501,IF(AND($C328&gt;='TIF Loan Amortization'!$H$502,$C328&lt;='TIF Loan Amortization'!I$502),'TIF Loan Amortization'!$G$502,IF(AND($C328&gt;='TIF Loan Amortization'!$H$503,$C328&lt;='TIF Loan Amortization'!I$503),'TIF Loan Amortization'!$G$503,IF(AND($C328&gt;='TIF Loan Amortization'!$H$504,$C328&lt;='TIF Loan Amortization'!I$504),'TIF Loan Amortization'!$G$504,IF(AND($C328&gt;='TIF Loan Amortization'!$H$505,$C328&lt;='TIF Loan Amortization'!I$505),'TIF Loan Amortization'!$G$505,IF(AND($C328&gt;='TIF Loan Amortization'!$H$506,$C328&lt;='TIF Loan Amortization'!I$506),'TIF Loan Amortization'!$G$506,IF(AND($C328&gt;='TIF Loan Amortization'!$H$507,$C328&lt;='TIF Loan Amortization'!I$507),'TIF Loan Amortization'!$G$507,IF(AND($C328&gt;='TIF Loan Amortization'!$H$508,$C328&lt;='TIF Loan Amortization'!I$508),'TIF Loan Amortization'!$G$508,IF(AND($C328&gt;='TIF Loan Amortization'!$H$509,$C328&lt;='TIF Loan Amortization'!I$509),'TIF Loan Amortization'!$G$509,IF(AND($C328&gt;='TIF Loan Amortization'!$H$510,$C328&lt;='TIF Loan Amortization'!I$510),'TIF Loan Amortization'!$G$510,IF(AND($C328&gt;='TIF Loan Amortization'!$H$511,$C328&lt;='TIF Loan Amortization'!I$511),'TIF Loan Amortization'!$G$511,IF(AND($C328&gt;='TIF Loan Amortization'!$H$512,$C328&lt;='TIF Loan Amortization'!I$512),'TIF Loan Amortization'!$G$512,IF(AND($C328&gt;='TIF Loan Amortization'!$H$513,$C328&lt;='TIF Loan Amortization'!I$513),'TIF Loan Amortization'!$G$513,IF(AND($C328&gt;='TIF Loan Amortization'!$H$514,$C328&lt;='TIF Loan Amortization'!I$514),'TIF Loan Amortization'!$G$514,IF(AND($C328&gt;='TIF Loan Amortization'!$H$515,$C328&lt;='TIF Loan Amortization'!I$515),'TIF Loan Amortization'!$G$515,IF(AND($C328&gt;='TIF Loan Amortization'!$H$516,$C328&lt;='TIF Loan Amortization'!I$516),'TIF Loan Amortization'!$G$516,IF(AND($C328&gt;='TIF Loan Amortization'!$H$517,$C328&lt;='TIF Loan Amortization'!I$517),'TIF Loan Amortization'!$G$517,IF(AND($C328&gt;='TIF Loan Amortization'!$H$518,$C328&lt;='TIF Loan Amortization'!I$518),'TIF Loan Amortization'!$G$518,IF(AND($C328&gt;='TIF Loan Amortization'!$H$519,$C328&lt;='TIF Loan Amortization'!I$519),'TIF Loan Amortization'!$G$519))))))))))))))))))))))))))))))))))))))))</f>
        <v>#N/A</v>
      </c>
      <c r="C328" s="269" t="e">
        <f t="shared" si="42"/>
        <v>#N/A</v>
      </c>
      <c r="D328" s="281" t="str">
        <f>IF($AG$424=1,$H$10+24,"")</f>
        <v/>
      </c>
      <c r="E328" s="274">
        <v>278</v>
      </c>
      <c r="F328" s="275" t="str">
        <f>VLOOKUP($AG$424,$AE$422:$AF$433,2)</f>
        <v>May</v>
      </c>
      <c r="G328" s="272">
        <f t="shared" si="43"/>
        <v>0</v>
      </c>
      <c r="H328" s="272">
        <f t="shared" si="46"/>
        <v>0</v>
      </c>
      <c r="I328" s="272">
        <f t="shared" si="47"/>
        <v>0</v>
      </c>
      <c r="J328" s="272">
        <f t="shared" si="44"/>
        <v>0</v>
      </c>
      <c r="K328" s="272">
        <f>IF(ISTEXT($M$4),"",SUM(I$50:I328))</f>
        <v>0</v>
      </c>
      <c r="L328" s="272">
        <f>IF(ISTEXT($M$4),"",SUM(J$50:J328))</f>
        <v>0</v>
      </c>
      <c r="M328" s="271">
        <f t="shared" si="45"/>
        <v>0</v>
      </c>
      <c r="N328" s="291" t="e">
        <f>IF(C328='Operating Assumptions'!$C$48,"Construction Finish","")</f>
        <v>#N/A</v>
      </c>
      <c r="O328" s="291"/>
      <c r="P328" s="291"/>
      <c r="Q328" s="291"/>
      <c r="R328" s="291"/>
      <c r="S328" s="291"/>
      <c r="T328" s="280"/>
      <c r="U328" s="280"/>
      <c r="V328" s="286"/>
      <c r="W328" s="286"/>
      <c r="X328" s="286"/>
      <c r="Y328" s="280"/>
      <c r="Z328" s="279"/>
      <c r="AA328" s="279"/>
      <c r="AB328" s="279"/>
    </row>
    <row r="329" spans="2:28" s="278" customFormat="1" ht="13.5" hidden="1" outlineLevel="1" x14ac:dyDescent="0.25">
      <c r="B329" s="270" t="e">
        <f>IF(AND($C329&gt;='TIF Loan Amortization'!$H$480,$C329&lt;='TIF Loan Amortization'!$I$480),'TIF Loan Amortization'!$G$480,IF(AND($C329&gt;='TIF Loan Amortization'!$H$481,$C329&lt;='TIF Loan Amortization'!I$481),'TIF Loan Amortization'!$G$481,IF(AND($C329&gt;='TIF Loan Amortization'!$H$482,$C329&lt;='TIF Loan Amortization'!I$482),'TIF Loan Amortization'!$G$482,IF(AND($C329&gt;='TIF Loan Amortization'!$H$483,$C329&lt;='TIF Loan Amortization'!I$483),'TIF Loan Amortization'!$G$483,IF(AND($C329&gt;='TIF Loan Amortization'!$H$484,$C329&lt;='TIF Loan Amortization'!I$484),'TIF Loan Amortization'!$G$484,IF(AND($C329&gt;='TIF Loan Amortization'!$H$485,$C329&lt;='TIF Loan Amortization'!I$485),'TIF Loan Amortization'!$G$485,IF(AND($C329&gt;='TIF Loan Amortization'!$H$486,$C329&lt;='TIF Loan Amortization'!I$486),'TIF Loan Amortization'!$G$486,IF(AND($C329&gt;='TIF Loan Amortization'!$H$487,$C329&lt;='TIF Loan Amortization'!I$487),'TIF Loan Amortization'!$G$487,IF(AND($C329&gt;='TIF Loan Amortization'!$H$488,$C329&lt;='TIF Loan Amortization'!I$488),'TIF Loan Amortization'!$G$488,IF(AND($C329&gt;='TIF Loan Amortization'!$H$489,$C329&lt;='TIF Loan Amortization'!I$489),'TIF Loan Amortization'!$G$489,IF(AND($C329&gt;='TIF Loan Amortization'!$H$490,$C329&lt;='TIF Loan Amortization'!I$490),'TIF Loan Amortization'!$G$490,IF(AND($C329&gt;='TIF Loan Amortization'!$H$491,$C329&lt;='TIF Loan Amortization'!I$491),'TIF Loan Amortization'!$G$491,IF(AND($C329&gt;='TIF Loan Amortization'!$H$492,$C329&lt;='TIF Loan Amortization'!I$492),'TIF Loan Amortization'!$G$492,IF(AND($C329&gt;='TIF Loan Amortization'!$H$493,$C329&lt;='TIF Loan Amortization'!I$493),'TIF Loan Amortization'!$G$493,IF(AND($C329&gt;='TIF Loan Amortization'!$H$494,$C329&lt;='TIF Loan Amortization'!I$494),'TIF Loan Amortization'!$G$494,IF(AND($C329&gt;='TIF Loan Amortization'!$H$495,$C329&lt;='TIF Loan Amortization'!I$495),'TIF Loan Amortization'!$G$495,IF(AND($C329&gt;='TIF Loan Amortization'!$H$496,$C329&lt;='TIF Loan Amortization'!I$496),'TIF Loan Amortization'!$G$496,IF(AND($C329&gt;='TIF Loan Amortization'!$H$497,$C329&lt;='TIF Loan Amortization'!I$497),'TIF Loan Amortization'!$G$497,IF(AND($C329&gt;='TIF Loan Amortization'!$H$498,$C329&lt;='TIF Loan Amortization'!I$498),'TIF Loan Amortization'!$G$498,IF(AND($C329&gt;='TIF Loan Amortization'!$H$499,$C329&lt;='TIF Loan Amortization'!I$499),'TIF Loan Amortization'!$G$499,IF(AND($C329&gt;='TIF Loan Amortization'!$H$500,$C329&lt;='TIF Loan Amortization'!I$500),'TIF Loan Amortization'!$G$500,IF(AND($C329&gt;='TIF Loan Amortization'!$H$501,$C329&lt;='TIF Loan Amortization'!I$501),'TIF Loan Amortization'!$G$501,IF(AND($C329&gt;='TIF Loan Amortization'!$H$502,$C329&lt;='TIF Loan Amortization'!I$502),'TIF Loan Amortization'!$G$502,IF(AND($C329&gt;='TIF Loan Amortization'!$H$503,$C329&lt;='TIF Loan Amortization'!I$503),'TIF Loan Amortization'!$G$503,IF(AND($C329&gt;='TIF Loan Amortization'!$H$504,$C329&lt;='TIF Loan Amortization'!I$504),'TIF Loan Amortization'!$G$504,IF(AND($C329&gt;='TIF Loan Amortization'!$H$505,$C329&lt;='TIF Loan Amortization'!I$505),'TIF Loan Amortization'!$G$505,IF(AND($C329&gt;='TIF Loan Amortization'!$H$506,$C329&lt;='TIF Loan Amortization'!I$506),'TIF Loan Amortization'!$G$506,IF(AND($C329&gt;='TIF Loan Amortization'!$H$507,$C329&lt;='TIF Loan Amortization'!I$507),'TIF Loan Amortization'!$G$507,IF(AND($C329&gt;='TIF Loan Amortization'!$H$508,$C329&lt;='TIF Loan Amortization'!I$508),'TIF Loan Amortization'!$G$508,IF(AND($C329&gt;='TIF Loan Amortization'!$H$509,$C329&lt;='TIF Loan Amortization'!I$509),'TIF Loan Amortization'!$G$509,IF(AND($C329&gt;='TIF Loan Amortization'!$H$510,$C329&lt;='TIF Loan Amortization'!I$510),'TIF Loan Amortization'!$G$510,IF(AND($C329&gt;='TIF Loan Amortization'!$H$511,$C329&lt;='TIF Loan Amortization'!I$511),'TIF Loan Amortization'!$G$511,IF(AND($C329&gt;='TIF Loan Amortization'!$H$512,$C329&lt;='TIF Loan Amortization'!I$512),'TIF Loan Amortization'!$G$512,IF(AND($C329&gt;='TIF Loan Amortization'!$H$513,$C329&lt;='TIF Loan Amortization'!I$513),'TIF Loan Amortization'!$G$513,IF(AND($C329&gt;='TIF Loan Amortization'!$H$514,$C329&lt;='TIF Loan Amortization'!I$514),'TIF Loan Amortization'!$G$514,IF(AND($C329&gt;='TIF Loan Amortization'!$H$515,$C329&lt;='TIF Loan Amortization'!I$515),'TIF Loan Amortization'!$G$515,IF(AND($C329&gt;='TIF Loan Amortization'!$H$516,$C329&lt;='TIF Loan Amortization'!I$516),'TIF Loan Amortization'!$G$516,IF(AND($C329&gt;='TIF Loan Amortization'!$H$517,$C329&lt;='TIF Loan Amortization'!I$517),'TIF Loan Amortization'!$G$517,IF(AND($C329&gt;='TIF Loan Amortization'!$H$518,$C329&lt;='TIF Loan Amortization'!I$518),'TIF Loan Amortization'!$G$518,IF(AND($C329&gt;='TIF Loan Amortization'!$H$519,$C329&lt;='TIF Loan Amortization'!I$519),'TIF Loan Amortization'!$G$519))))))))))))))))))))))))))))))))))))))))</f>
        <v>#N/A</v>
      </c>
      <c r="C329" s="269" t="e">
        <f t="shared" si="42"/>
        <v>#N/A</v>
      </c>
      <c r="D329" s="281" t="str">
        <f>IF($AG$425=1,$H$10+24,"")</f>
        <v/>
      </c>
      <c r="E329" s="274">
        <v>279</v>
      </c>
      <c r="F329" s="275" t="str">
        <f>VLOOKUP($AG$425,$AE$422:$AF$433,2)</f>
        <v>Jun</v>
      </c>
      <c r="G329" s="272">
        <f t="shared" si="43"/>
        <v>0</v>
      </c>
      <c r="H329" s="272">
        <f t="shared" si="46"/>
        <v>0</v>
      </c>
      <c r="I329" s="272">
        <f t="shared" si="47"/>
        <v>0</v>
      </c>
      <c r="J329" s="272">
        <f t="shared" si="44"/>
        <v>0</v>
      </c>
      <c r="K329" s="272">
        <f>IF(ISTEXT($M$4),"",SUM(I$50:I329))</f>
        <v>0</v>
      </c>
      <c r="L329" s="272">
        <f>IF(ISTEXT($M$4),"",SUM(J$50:J329))</f>
        <v>0</v>
      </c>
      <c r="M329" s="271">
        <f t="shared" si="45"/>
        <v>0</v>
      </c>
      <c r="N329" s="291" t="e">
        <f>IF(C329='Operating Assumptions'!$C$48,"Construction Finish","")</f>
        <v>#N/A</v>
      </c>
      <c r="O329" s="291"/>
      <c r="P329" s="291"/>
      <c r="Q329" s="291"/>
      <c r="R329" s="291"/>
      <c r="S329" s="291"/>
      <c r="T329" s="280"/>
      <c r="U329" s="280"/>
      <c r="V329" s="286"/>
      <c r="W329" s="286"/>
      <c r="X329" s="286"/>
      <c r="Y329" s="280"/>
      <c r="Z329" s="279"/>
      <c r="AA329" s="279"/>
      <c r="AB329" s="279"/>
    </row>
    <row r="330" spans="2:28" s="278" customFormat="1" ht="13.5" hidden="1" outlineLevel="1" x14ac:dyDescent="0.25">
      <c r="B330" s="270" t="e">
        <f>IF(AND($C330&gt;='TIF Loan Amortization'!$H$480,$C330&lt;='TIF Loan Amortization'!$I$480),'TIF Loan Amortization'!$G$480,IF(AND($C330&gt;='TIF Loan Amortization'!$H$481,$C330&lt;='TIF Loan Amortization'!I$481),'TIF Loan Amortization'!$G$481,IF(AND($C330&gt;='TIF Loan Amortization'!$H$482,$C330&lt;='TIF Loan Amortization'!I$482),'TIF Loan Amortization'!$G$482,IF(AND($C330&gt;='TIF Loan Amortization'!$H$483,$C330&lt;='TIF Loan Amortization'!I$483),'TIF Loan Amortization'!$G$483,IF(AND($C330&gt;='TIF Loan Amortization'!$H$484,$C330&lt;='TIF Loan Amortization'!I$484),'TIF Loan Amortization'!$G$484,IF(AND($C330&gt;='TIF Loan Amortization'!$H$485,$C330&lt;='TIF Loan Amortization'!I$485),'TIF Loan Amortization'!$G$485,IF(AND($C330&gt;='TIF Loan Amortization'!$H$486,$C330&lt;='TIF Loan Amortization'!I$486),'TIF Loan Amortization'!$G$486,IF(AND($C330&gt;='TIF Loan Amortization'!$H$487,$C330&lt;='TIF Loan Amortization'!I$487),'TIF Loan Amortization'!$G$487,IF(AND($C330&gt;='TIF Loan Amortization'!$H$488,$C330&lt;='TIF Loan Amortization'!I$488),'TIF Loan Amortization'!$G$488,IF(AND($C330&gt;='TIF Loan Amortization'!$H$489,$C330&lt;='TIF Loan Amortization'!I$489),'TIF Loan Amortization'!$G$489,IF(AND($C330&gt;='TIF Loan Amortization'!$H$490,$C330&lt;='TIF Loan Amortization'!I$490),'TIF Loan Amortization'!$G$490,IF(AND($C330&gt;='TIF Loan Amortization'!$H$491,$C330&lt;='TIF Loan Amortization'!I$491),'TIF Loan Amortization'!$G$491,IF(AND($C330&gt;='TIF Loan Amortization'!$H$492,$C330&lt;='TIF Loan Amortization'!I$492),'TIF Loan Amortization'!$G$492,IF(AND($C330&gt;='TIF Loan Amortization'!$H$493,$C330&lt;='TIF Loan Amortization'!I$493),'TIF Loan Amortization'!$G$493,IF(AND($C330&gt;='TIF Loan Amortization'!$H$494,$C330&lt;='TIF Loan Amortization'!I$494),'TIF Loan Amortization'!$G$494,IF(AND($C330&gt;='TIF Loan Amortization'!$H$495,$C330&lt;='TIF Loan Amortization'!I$495),'TIF Loan Amortization'!$G$495,IF(AND($C330&gt;='TIF Loan Amortization'!$H$496,$C330&lt;='TIF Loan Amortization'!I$496),'TIF Loan Amortization'!$G$496,IF(AND($C330&gt;='TIF Loan Amortization'!$H$497,$C330&lt;='TIF Loan Amortization'!I$497),'TIF Loan Amortization'!$G$497,IF(AND($C330&gt;='TIF Loan Amortization'!$H$498,$C330&lt;='TIF Loan Amortization'!I$498),'TIF Loan Amortization'!$G$498,IF(AND($C330&gt;='TIF Loan Amortization'!$H$499,$C330&lt;='TIF Loan Amortization'!I$499),'TIF Loan Amortization'!$G$499,IF(AND($C330&gt;='TIF Loan Amortization'!$H$500,$C330&lt;='TIF Loan Amortization'!I$500),'TIF Loan Amortization'!$G$500,IF(AND($C330&gt;='TIF Loan Amortization'!$H$501,$C330&lt;='TIF Loan Amortization'!I$501),'TIF Loan Amortization'!$G$501,IF(AND($C330&gt;='TIF Loan Amortization'!$H$502,$C330&lt;='TIF Loan Amortization'!I$502),'TIF Loan Amortization'!$G$502,IF(AND($C330&gt;='TIF Loan Amortization'!$H$503,$C330&lt;='TIF Loan Amortization'!I$503),'TIF Loan Amortization'!$G$503,IF(AND($C330&gt;='TIF Loan Amortization'!$H$504,$C330&lt;='TIF Loan Amortization'!I$504),'TIF Loan Amortization'!$G$504,IF(AND($C330&gt;='TIF Loan Amortization'!$H$505,$C330&lt;='TIF Loan Amortization'!I$505),'TIF Loan Amortization'!$G$505,IF(AND($C330&gt;='TIF Loan Amortization'!$H$506,$C330&lt;='TIF Loan Amortization'!I$506),'TIF Loan Amortization'!$G$506,IF(AND($C330&gt;='TIF Loan Amortization'!$H$507,$C330&lt;='TIF Loan Amortization'!I$507),'TIF Loan Amortization'!$G$507,IF(AND($C330&gt;='TIF Loan Amortization'!$H$508,$C330&lt;='TIF Loan Amortization'!I$508),'TIF Loan Amortization'!$G$508,IF(AND($C330&gt;='TIF Loan Amortization'!$H$509,$C330&lt;='TIF Loan Amortization'!I$509),'TIF Loan Amortization'!$G$509,IF(AND($C330&gt;='TIF Loan Amortization'!$H$510,$C330&lt;='TIF Loan Amortization'!I$510),'TIF Loan Amortization'!$G$510,IF(AND($C330&gt;='TIF Loan Amortization'!$H$511,$C330&lt;='TIF Loan Amortization'!I$511),'TIF Loan Amortization'!$G$511,IF(AND($C330&gt;='TIF Loan Amortization'!$H$512,$C330&lt;='TIF Loan Amortization'!I$512),'TIF Loan Amortization'!$G$512,IF(AND($C330&gt;='TIF Loan Amortization'!$H$513,$C330&lt;='TIF Loan Amortization'!I$513),'TIF Loan Amortization'!$G$513,IF(AND($C330&gt;='TIF Loan Amortization'!$H$514,$C330&lt;='TIF Loan Amortization'!I$514),'TIF Loan Amortization'!$G$514,IF(AND($C330&gt;='TIF Loan Amortization'!$H$515,$C330&lt;='TIF Loan Amortization'!I$515),'TIF Loan Amortization'!$G$515,IF(AND($C330&gt;='TIF Loan Amortization'!$H$516,$C330&lt;='TIF Loan Amortization'!I$516),'TIF Loan Amortization'!$G$516,IF(AND($C330&gt;='TIF Loan Amortization'!$H$517,$C330&lt;='TIF Loan Amortization'!I$517),'TIF Loan Amortization'!$G$517,IF(AND($C330&gt;='TIF Loan Amortization'!$H$518,$C330&lt;='TIF Loan Amortization'!I$518),'TIF Loan Amortization'!$G$518,IF(AND($C330&gt;='TIF Loan Amortization'!$H$519,$C330&lt;='TIF Loan Amortization'!I$519),'TIF Loan Amortization'!$G$519))))))))))))))))))))))))))))))))))))))))</f>
        <v>#N/A</v>
      </c>
      <c r="C330" s="269" t="e">
        <f t="shared" si="42"/>
        <v>#N/A</v>
      </c>
      <c r="D330" s="281" t="str">
        <f>IF($AG$426=1,$H$10+24,"")</f>
        <v/>
      </c>
      <c r="E330" s="274">
        <v>280</v>
      </c>
      <c r="F330" s="275" t="str">
        <f>VLOOKUP($AG$426,$AE$422:$AF$433,2)</f>
        <v>Jul</v>
      </c>
      <c r="G330" s="272">
        <f t="shared" si="43"/>
        <v>0</v>
      </c>
      <c r="H330" s="272">
        <f t="shared" si="46"/>
        <v>0</v>
      </c>
      <c r="I330" s="272">
        <f t="shared" si="47"/>
        <v>0</v>
      </c>
      <c r="J330" s="272">
        <f t="shared" si="44"/>
        <v>0</v>
      </c>
      <c r="K330" s="272">
        <f>IF(ISTEXT($M$4),"",SUM(I$50:I330))</f>
        <v>0</v>
      </c>
      <c r="L330" s="272">
        <f>IF(ISTEXT($M$4),"",SUM(J$50:J330))</f>
        <v>0</v>
      </c>
      <c r="M330" s="271">
        <f t="shared" si="45"/>
        <v>0</v>
      </c>
      <c r="N330" s="291" t="e">
        <f>IF(C330='Operating Assumptions'!$C$48,"Construction Finish","")</f>
        <v>#N/A</v>
      </c>
      <c r="O330" s="291"/>
      <c r="P330" s="291"/>
      <c r="Q330" s="291"/>
      <c r="R330" s="291"/>
      <c r="S330" s="291"/>
      <c r="T330" s="280"/>
      <c r="U330" s="280"/>
      <c r="V330" s="286"/>
      <c r="W330" s="286"/>
      <c r="X330" s="286"/>
      <c r="Y330" s="280"/>
      <c r="Z330" s="279"/>
      <c r="AA330" s="279"/>
      <c r="AB330" s="279"/>
    </row>
    <row r="331" spans="2:28" s="278" customFormat="1" ht="13.5" hidden="1" outlineLevel="1" x14ac:dyDescent="0.25">
      <c r="B331" s="270" t="e">
        <f>IF(AND($C331&gt;='TIF Loan Amortization'!$H$480,$C331&lt;='TIF Loan Amortization'!$I$480),'TIF Loan Amortization'!$G$480,IF(AND($C331&gt;='TIF Loan Amortization'!$H$481,$C331&lt;='TIF Loan Amortization'!I$481),'TIF Loan Amortization'!$G$481,IF(AND($C331&gt;='TIF Loan Amortization'!$H$482,$C331&lt;='TIF Loan Amortization'!I$482),'TIF Loan Amortization'!$G$482,IF(AND($C331&gt;='TIF Loan Amortization'!$H$483,$C331&lt;='TIF Loan Amortization'!I$483),'TIF Loan Amortization'!$G$483,IF(AND($C331&gt;='TIF Loan Amortization'!$H$484,$C331&lt;='TIF Loan Amortization'!I$484),'TIF Loan Amortization'!$G$484,IF(AND($C331&gt;='TIF Loan Amortization'!$H$485,$C331&lt;='TIF Loan Amortization'!I$485),'TIF Loan Amortization'!$G$485,IF(AND($C331&gt;='TIF Loan Amortization'!$H$486,$C331&lt;='TIF Loan Amortization'!I$486),'TIF Loan Amortization'!$G$486,IF(AND($C331&gt;='TIF Loan Amortization'!$H$487,$C331&lt;='TIF Loan Amortization'!I$487),'TIF Loan Amortization'!$G$487,IF(AND($C331&gt;='TIF Loan Amortization'!$H$488,$C331&lt;='TIF Loan Amortization'!I$488),'TIF Loan Amortization'!$G$488,IF(AND($C331&gt;='TIF Loan Amortization'!$H$489,$C331&lt;='TIF Loan Amortization'!I$489),'TIF Loan Amortization'!$G$489,IF(AND($C331&gt;='TIF Loan Amortization'!$H$490,$C331&lt;='TIF Loan Amortization'!I$490),'TIF Loan Amortization'!$G$490,IF(AND($C331&gt;='TIF Loan Amortization'!$H$491,$C331&lt;='TIF Loan Amortization'!I$491),'TIF Loan Amortization'!$G$491,IF(AND($C331&gt;='TIF Loan Amortization'!$H$492,$C331&lt;='TIF Loan Amortization'!I$492),'TIF Loan Amortization'!$G$492,IF(AND($C331&gt;='TIF Loan Amortization'!$H$493,$C331&lt;='TIF Loan Amortization'!I$493),'TIF Loan Amortization'!$G$493,IF(AND($C331&gt;='TIF Loan Amortization'!$H$494,$C331&lt;='TIF Loan Amortization'!I$494),'TIF Loan Amortization'!$G$494,IF(AND($C331&gt;='TIF Loan Amortization'!$H$495,$C331&lt;='TIF Loan Amortization'!I$495),'TIF Loan Amortization'!$G$495,IF(AND($C331&gt;='TIF Loan Amortization'!$H$496,$C331&lt;='TIF Loan Amortization'!I$496),'TIF Loan Amortization'!$G$496,IF(AND($C331&gt;='TIF Loan Amortization'!$H$497,$C331&lt;='TIF Loan Amortization'!I$497),'TIF Loan Amortization'!$G$497,IF(AND($C331&gt;='TIF Loan Amortization'!$H$498,$C331&lt;='TIF Loan Amortization'!I$498),'TIF Loan Amortization'!$G$498,IF(AND($C331&gt;='TIF Loan Amortization'!$H$499,$C331&lt;='TIF Loan Amortization'!I$499),'TIF Loan Amortization'!$G$499,IF(AND($C331&gt;='TIF Loan Amortization'!$H$500,$C331&lt;='TIF Loan Amortization'!I$500),'TIF Loan Amortization'!$G$500,IF(AND($C331&gt;='TIF Loan Amortization'!$H$501,$C331&lt;='TIF Loan Amortization'!I$501),'TIF Loan Amortization'!$G$501,IF(AND($C331&gt;='TIF Loan Amortization'!$H$502,$C331&lt;='TIF Loan Amortization'!I$502),'TIF Loan Amortization'!$G$502,IF(AND($C331&gt;='TIF Loan Amortization'!$H$503,$C331&lt;='TIF Loan Amortization'!I$503),'TIF Loan Amortization'!$G$503,IF(AND($C331&gt;='TIF Loan Amortization'!$H$504,$C331&lt;='TIF Loan Amortization'!I$504),'TIF Loan Amortization'!$G$504,IF(AND($C331&gt;='TIF Loan Amortization'!$H$505,$C331&lt;='TIF Loan Amortization'!I$505),'TIF Loan Amortization'!$G$505,IF(AND($C331&gt;='TIF Loan Amortization'!$H$506,$C331&lt;='TIF Loan Amortization'!I$506),'TIF Loan Amortization'!$G$506,IF(AND($C331&gt;='TIF Loan Amortization'!$H$507,$C331&lt;='TIF Loan Amortization'!I$507),'TIF Loan Amortization'!$G$507,IF(AND($C331&gt;='TIF Loan Amortization'!$H$508,$C331&lt;='TIF Loan Amortization'!I$508),'TIF Loan Amortization'!$G$508,IF(AND($C331&gt;='TIF Loan Amortization'!$H$509,$C331&lt;='TIF Loan Amortization'!I$509),'TIF Loan Amortization'!$G$509,IF(AND($C331&gt;='TIF Loan Amortization'!$H$510,$C331&lt;='TIF Loan Amortization'!I$510),'TIF Loan Amortization'!$G$510,IF(AND($C331&gt;='TIF Loan Amortization'!$H$511,$C331&lt;='TIF Loan Amortization'!I$511),'TIF Loan Amortization'!$G$511,IF(AND($C331&gt;='TIF Loan Amortization'!$H$512,$C331&lt;='TIF Loan Amortization'!I$512),'TIF Loan Amortization'!$G$512,IF(AND($C331&gt;='TIF Loan Amortization'!$H$513,$C331&lt;='TIF Loan Amortization'!I$513),'TIF Loan Amortization'!$G$513,IF(AND($C331&gt;='TIF Loan Amortization'!$H$514,$C331&lt;='TIF Loan Amortization'!I$514),'TIF Loan Amortization'!$G$514,IF(AND($C331&gt;='TIF Loan Amortization'!$H$515,$C331&lt;='TIF Loan Amortization'!I$515),'TIF Loan Amortization'!$G$515,IF(AND($C331&gt;='TIF Loan Amortization'!$H$516,$C331&lt;='TIF Loan Amortization'!I$516),'TIF Loan Amortization'!$G$516,IF(AND($C331&gt;='TIF Loan Amortization'!$H$517,$C331&lt;='TIF Loan Amortization'!I$517),'TIF Loan Amortization'!$G$517,IF(AND($C331&gt;='TIF Loan Amortization'!$H$518,$C331&lt;='TIF Loan Amortization'!I$518),'TIF Loan Amortization'!$G$518,IF(AND($C331&gt;='TIF Loan Amortization'!$H$519,$C331&lt;='TIF Loan Amortization'!I$519),'TIF Loan Amortization'!$G$519))))))))))))))))))))))))))))))))))))))))</f>
        <v>#N/A</v>
      </c>
      <c r="C331" s="269" t="e">
        <f t="shared" si="42"/>
        <v>#N/A</v>
      </c>
      <c r="D331" s="281" t="str">
        <f>IF($AG$427=1,$H$10+24,"")</f>
        <v/>
      </c>
      <c r="E331" s="274">
        <v>281</v>
      </c>
      <c r="F331" s="275" t="str">
        <f>VLOOKUP($AG$427,$AE$422:$AF$433,2)</f>
        <v>Aug</v>
      </c>
      <c r="G331" s="272">
        <f t="shared" si="43"/>
        <v>0</v>
      </c>
      <c r="H331" s="272">
        <f t="shared" si="46"/>
        <v>0</v>
      </c>
      <c r="I331" s="272">
        <f t="shared" si="47"/>
        <v>0</v>
      </c>
      <c r="J331" s="272">
        <f t="shared" si="44"/>
        <v>0</v>
      </c>
      <c r="K331" s="272">
        <f>IF(ISTEXT($M$4),"",SUM(I$50:I331))</f>
        <v>0</v>
      </c>
      <c r="L331" s="272">
        <f>IF(ISTEXT($M$4),"",SUM(J$50:J331))</f>
        <v>0</v>
      </c>
      <c r="M331" s="271">
        <f t="shared" si="45"/>
        <v>0</v>
      </c>
      <c r="N331" s="291" t="e">
        <f>IF(C331='Operating Assumptions'!$C$48,"Construction Finish","")</f>
        <v>#N/A</v>
      </c>
      <c r="O331" s="291"/>
      <c r="P331" s="291"/>
      <c r="Q331" s="291"/>
      <c r="R331" s="291"/>
      <c r="S331" s="291"/>
      <c r="T331" s="280"/>
      <c r="U331" s="280"/>
      <c r="V331" s="286"/>
      <c r="W331" s="286"/>
      <c r="X331" s="286"/>
      <c r="Y331" s="280"/>
      <c r="Z331" s="279"/>
      <c r="AA331" s="279"/>
      <c r="AB331" s="279"/>
    </row>
    <row r="332" spans="2:28" s="278" customFormat="1" ht="13.5" hidden="1" outlineLevel="1" x14ac:dyDescent="0.25">
      <c r="B332" s="270" t="e">
        <f>IF(AND($C332&gt;='TIF Loan Amortization'!$H$480,$C332&lt;='TIF Loan Amortization'!$I$480),'TIF Loan Amortization'!$G$480,IF(AND($C332&gt;='TIF Loan Amortization'!$H$481,$C332&lt;='TIF Loan Amortization'!I$481),'TIF Loan Amortization'!$G$481,IF(AND($C332&gt;='TIF Loan Amortization'!$H$482,$C332&lt;='TIF Loan Amortization'!I$482),'TIF Loan Amortization'!$G$482,IF(AND($C332&gt;='TIF Loan Amortization'!$H$483,$C332&lt;='TIF Loan Amortization'!I$483),'TIF Loan Amortization'!$G$483,IF(AND($C332&gt;='TIF Loan Amortization'!$H$484,$C332&lt;='TIF Loan Amortization'!I$484),'TIF Loan Amortization'!$G$484,IF(AND($C332&gt;='TIF Loan Amortization'!$H$485,$C332&lt;='TIF Loan Amortization'!I$485),'TIF Loan Amortization'!$G$485,IF(AND($C332&gt;='TIF Loan Amortization'!$H$486,$C332&lt;='TIF Loan Amortization'!I$486),'TIF Loan Amortization'!$G$486,IF(AND($C332&gt;='TIF Loan Amortization'!$H$487,$C332&lt;='TIF Loan Amortization'!I$487),'TIF Loan Amortization'!$G$487,IF(AND($C332&gt;='TIF Loan Amortization'!$H$488,$C332&lt;='TIF Loan Amortization'!I$488),'TIF Loan Amortization'!$G$488,IF(AND($C332&gt;='TIF Loan Amortization'!$H$489,$C332&lt;='TIF Loan Amortization'!I$489),'TIF Loan Amortization'!$G$489,IF(AND($C332&gt;='TIF Loan Amortization'!$H$490,$C332&lt;='TIF Loan Amortization'!I$490),'TIF Loan Amortization'!$G$490,IF(AND($C332&gt;='TIF Loan Amortization'!$H$491,$C332&lt;='TIF Loan Amortization'!I$491),'TIF Loan Amortization'!$G$491,IF(AND($C332&gt;='TIF Loan Amortization'!$H$492,$C332&lt;='TIF Loan Amortization'!I$492),'TIF Loan Amortization'!$G$492,IF(AND($C332&gt;='TIF Loan Amortization'!$H$493,$C332&lt;='TIF Loan Amortization'!I$493),'TIF Loan Amortization'!$G$493,IF(AND($C332&gt;='TIF Loan Amortization'!$H$494,$C332&lt;='TIF Loan Amortization'!I$494),'TIF Loan Amortization'!$G$494,IF(AND($C332&gt;='TIF Loan Amortization'!$H$495,$C332&lt;='TIF Loan Amortization'!I$495),'TIF Loan Amortization'!$G$495,IF(AND($C332&gt;='TIF Loan Amortization'!$H$496,$C332&lt;='TIF Loan Amortization'!I$496),'TIF Loan Amortization'!$G$496,IF(AND($C332&gt;='TIF Loan Amortization'!$H$497,$C332&lt;='TIF Loan Amortization'!I$497),'TIF Loan Amortization'!$G$497,IF(AND($C332&gt;='TIF Loan Amortization'!$H$498,$C332&lt;='TIF Loan Amortization'!I$498),'TIF Loan Amortization'!$G$498,IF(AND($C332&gt;='TIF Loan Amortization'!$H$499,$C332&lt;='TIF Loan Amortization'!I$499),'TIF Loan Amortization'!$G$499,IF(AND($C332&gt;='TIF Loan Amortization'!$H$500,$C332&lt;='TIF Loan Amortization'!I$500),'TIF Loan Amortization'!$G$500,IF(AND($C332&gt;='TIF Loan Amortization'!$H$501,$C332&lt;='TIF Loan Amortization'!I$501),'TIF Loan Amortization'!$G$501,IF(AND($C332&gt;='TIF Loan Amortization'!$H$502,$C332&lt;='TIF Loan Amortization'!I$502),'TIF Loan Amortization'!$G$502,IF(AND($C332&gt;='TIF Loan Amortization'!$H$503,$C332&lt;='TIF Loan Amortization'!I$503),'TIF Loan Amortization'!$G$503,IF(AND($C332&gt;='TIF Loan Amortization'!$H$504,$C332&lt;='TIF Loan Amortization'!I$504),'TIF Loan Amortization'!$G$504,IF(AND($C332&gt;='TIF Loan Amortization'!$H$505,$C332&lt;='TIF Loan Amortization'!I$505),'TIF Loan Amortization'!$G$505,IF(AND($C332&gt;='TIF Loan Amortization'!$H$506,$C332&lt;='TIF Loan Amortization'!I$506),'TIF Loan Amortization'!$G$506,IF(AND($C332&gt;='TIF Loan Amortization'!$H$507,$C332&lt;='TIF Loan Amortization'!I$507),'TIF Loan Amortization'!$G$507,IF(AND($C332&gt;='TIF Loan Amortization'!$H$508,$C332&lt;='TIF Loan Amortization'!I$508),'TIF Loan Amortization'!$G$508,IF(AND($C332&gt;='TIF Loan Amortization'!$H$509,$C332&lt;='TIF Loan Amortization'!I$509),'TIF Loan Amortization'!$G$509,IF(AND($C332&gt;='TIF Loan Amortization'!$H$510,$C332&lt;='TIF Loan Amortization'!I$510),'TIF Loan Amortization'!$G$510,IF(AND($C332&gt;='TIF Loan Amortization'!$H$511,$C332&lt;='TIF Loan Amortization'!I$511),'TIF Loan Amortization'!$G$511,IF(AND($C332&gt;='TIF Loan Amortization'!$H$512,$C332&lt;='TIF Loan Amortization'!I$512),'TIF Loan Amortization'!$G$512,IF(AND($C332&gt;='TIF Loan Amortization'!$H$513,$C332&lt;='TIF Loan Amortization'!I$513),'TIF Loan Amortization'!$G$513,IF(AND($C332&gt;='TIF Loan Amortization'!$H$514,$C332&lt;='TIF Loan Amortization'!I$514),'TIF Loan Amortization'!$G$514,IF(AND($C332&gt;='TIF Loan Amortization'!$H$515,$C332&lt;='TIF Loan Amortization'!I$515),'TIF Loan Amortization'!$G$515,IF(AND($C332&gt;='TIF Loan Amortization'!$H$516,$C332&lt;='TIF Loan Amortization'!I$516),'TIF Loan Amortization'!$G$516,IF(AND($C332&gt;='TIF Loan Amortization'!$H$517,$C332&lt;='TIF Loan Amortization'!I$517),'TIF Loan Amortization'!$G$517,IF(AND($C332&gt;='TIF Loan Amortization'!$H$518,$C332&lt;='TIF Loan Amortization'!I$518),'TIF Loan Amortization'!$G$518,IF(AND($C332&gt;='TIF Loan Amortization'!$H$519,$C332&lt;='TIF Loan Amortization'!I$519),'TIF Loan Amortization'!$G$519))))))))))))))))))))))))))))))))))))))))</f>
        <v>#N/A</v>
      </c>
      <c r="C332" s="269" t="e">
        <f t="shared" si="42"/>
        <v>#N/A</v>
      </c>
      <c r="D332" s="281" t="str">
        <f>IF($AG$428=1,$H$10+24,"")</f>
        <v/>
      </c>
      <c r="E332" s="274">
        <v>282</v>
      </c>
      <c r="F332" s="275" t="str">
        <f>VLOOKUP($AG$428,$AE$422:$AF$433,2)</f>
        <v>Sep</v>
      </c>
      <c r="G332" s="272">
        <f t="shared" si="43"/>
        <v>0</v>
      </c>
      <c r="H332" s="272">
        <f t="shared" si="46"/>
        <v>0</v>
      </c>
      <c r="I332" s="272">
        <f t="shared" si="47"/>
        <v>0</v>
      </c>
      <c r="J332" s="272">
        <f t="shared" si="44"/>
        <v>0</v>
      </c>
      <c r="K332" s="272">
        <f>IF(ISTEXT($M$4),"",SUM(I$50:I332))</f>
        <v>0</v>
      </c>
      <c r="L332" s="272">
        <f>IF(ISTEXT($M$4),"",SUM(J$50:J332))</f>
        <v>0</v>
      </c>
      <c r="M332" s="271">
        <f t="shared" si="45"/>
        <v>0</v>
      </c>
      <c r="N332" s="291" t="e">
        <f>IF(C332='Operating Assumptions'!$C$48,"Construction Finish","")</f>
        <v>#N/A</v>
      </c>
      <c r="O332" s="291"/>
      <c r="P332" s="291"/>
      <c r="Q332" s="291"/>
      <c r="R332" s="291"/>
      <c r="S332" s="291"/>
      <c r="T332" s="280"/>
      <c r="U332" s="280"/>
      <c r="V332" s="286"/>
      <c r="W332" s="286"/>
      <c r="X332" s="286"/>
      <c r="Y332" s="280"/>
      <c r="Z332" s="279"/>
      <c r="AA332" s="279"/>
      <c r="AB332" s="279"/>
    </row>
    <row r="333" spans="2:28" s="278" customFormat="1" ht="13.5" hidden="1" outlineLevel="1" x14ac:dyDescent="0.25">
      <c r="B333" s="270" t="e">
        <f>IF(AND($C333&gt;='TIF Loan Amortization'!$H$480,$C333&lt;='TIF Loan Amortization'!$I$480),'TIF Loan Amortization'!$G$480,IF(AND($C333&gt;='TIF Loan Amortization'!$H$481,$C333&lt;='TIF Loan Amortization'!I$481),'TIF Loan Amortization'!$G$481,IF(AND($C333&gt;='TIF Loan Amortization'!$H$482,$C333&lt;='TIF Loan Amortization'!I$482),'TIF Loan Amortization'!$G$482,IF(AND($C333&gt;='TIF Loan Amortization'!$H$483,$C333&lt;='TIF Loan Amortization'!I$483),'TIF Loan Amortization'!$G$483,IF(AND($C333&gt;='TIF Loan Amortization'!$H$484,$C333&lt;='TIF Loan Amortization'!I$484),'TIF Loan Amortization'!$G$484,IF(AND($C333&gt;='TIF Loan Amortization'!$H$485,$C333&lt;='TIF Loan Amortization'!I$485),'TIF Loan Amortization'!$G$485,IF(AND($C333&gt;='TIF Loan Amortization'!$H$486,$C333&lt;='TIF Loan Amortization'!I$486),'TIF Loan Amortization'!$G$486,IF(AND($C333&gt;='TIF Loan Amortization'!$H$487,$C333&lt;='TIF Loan Amortization'!I$487),'TIF Loan Amortization'!$G$487,IF(AND($C333&gt;='TIF Loan Amortization'!$H$488,$C333&lt;='TIF Loan Amortization'!I$488),'TIF Loan Amortization'!$G$488,IF(AND($C333&gt;='TIF Loan Amortization'!$H$489,$C333&lt;='TIF Loan Amortization'!I$489),'TIF Loan Amortization'!$G$489,IF(AND($C333&gt;='TIF Loan Amortization'!$H$490,$C333&lt;='TIF Loan Amortization'!I$490),'TIF Loan Amortization'!$G$490,IF(AND($C333&gt;='TIF Loan Amortization'!$H$491,$C333&lt;='TIF Loan Amortization'!I$491),'TIF Loan Amortization'!$G$491,IF(AND($C333&gt;='TIF Loan Amortization'!$H$492,$C333&lt;='TIF Loan Amortization'!I$492),'TIF Loan Amortization'!$G$492,IF(AND($C333&gt;='TIF Loan Amortization'!$H$493,$C333&lt;='TIF Loan Amortization'!I$493),'TIF Loan Amortization'!$G$493,IF(AND($C333&gt;='TIF Loan Amortization'!$H$494,$C333&lt;='TIF Loan Amortization'!I$494),'TIF Loan Amortization'!$G$494,IF(AND($C333&gt;='TIF Loan Amortization'!$H$495,$C333&lt;='TIF Loan Amortization'!I$495),'TIF Loan Amortization'!$G$495,IF(AND($C333&gt;='TIF Loan Amortization'!$H$496,$C333&lt;='TIF Loan Amortization'!I$496),'TIF Loan Amortization'!$G$496,IF(AND($C333&gt;='TIF Loan Amortization'!$H$497,$C333&lt;='TIF Loan Amortization'!I$497),'TIF Loan Amortization'!$G$497,IF(AND($C333&gt;='TIF Loan Amortization'!$H$498,$C333&lt;='TIF Loan Amortization'!I$498),'TIF Loan Amortization'!$G$498,IF(AND($C333&gt;='TIF Loan Amortization'!$H$499,$C333&lt;='TIF Loan Amortization'!I$499),'TIF Loan Amortization'!$G$499,IF(AND($C333&gt;='TIF Loan Amortization'!$H$500,$C333&lt;='TIF Loan Amortization'!I$500),'TIF Loan Amortization'!$G$500,IF(AND($C333&gt;='TIF Loan Amortization'!$H$501,$C333&lt;='TIF Loan Amortization'!I$501),'TIF Loan Amortization'!$G$501,IF(AND($C333&gt;='TIF Loan Amortization'!$H$502,$C333&lt;='TIF Loan Amortization'!I$502),'TIF Loan Amortization'!$G$502,IF(AND($C333&gt;='TIF Loan Amortization'!$H$503,$C333&lt;='TIF Loan Amortization'!I$503),'TIF Loan Amortization'!$G$503,IF(AND($C333&gt;='TIF Loan Amortization'!$H$504,$C333&lt;='TIF Loan Amortization'!I$504),'TIF Loan Amortization'!$G$504,IF(AND($C333&gt;='TIF Loan Amortization'!$H$505,$C333&lt;='TIF Loan Amortization'!I$505),'TIF Loan Amortization'!$G$505,IF(AND($C333&gt;='TIF Loan Amortization'!$H$506,$C333&lt;='TIF Loan Amortization'!I$506),'TIF Loan Amortization'!$G$506,IF(AND($C333&gt;='TIF Loan Amortization'!$H$507,$C333&lt;='TIF Loan Amortization'!I$507),'TIF Loan Amortization'!$G$507,IF(AND($C333&gt;='TIF Loan Amortization'!$H$508,$C333&lt;='TIF Loan Amortization'!I$508),'TIF Loan Amortization'!$G$508,IF(AND($C333&gt;='TIF Loan Amortization'!$H$509,$C333&lt;='TIF Loan Amortization'!I$509),'TIF Loan Amortization'!$G$509,IF(AND($C333&gt;='TIF Loan Amortization'!$H$510,$C333&lt;='TIF Loan Amortization'!I$510),'TIF Loan Amortization'!$G$510,IF(AND($C333&gt;='TIF Loan Amortization'!$H$511,$C333&lt;='TIF Loan Amortization'!I$511),'TIF Loan Amortization'!$G$511,IF(AND($C333&gt;='TIF Loan Amortization'!$H$512,$C333&lt;='TIF Loan Amortization'!I$512),'TIF Loan Amortization'!$G$512,IF(AND($C333&gt;='TIF Loan Amortization'!$H$513,$C333&lt;='TIF Loan Amortization'!I$513),'TIF Loan Amortization'!$G$513,IF(AND($C333&gt;='TIF Loan Amortization'!$H$514,$C333&lt;='TIF Loan Amortization'!I$514),'TIF Loan Amortization'!$G$514,IF(AND($C333&gt;='TIF Loan Amortization'!$H$515,$C333&lt;='TIF Loan Amortization'!I$515),'TIF Loan Amortization'!$G$515,IF(AND($C333&gt;='TIF Loan Amortization'!$H$516,$C333&lt;='TIF Loan Amortization'!I$516),'TIF Loan Amortization'!$G$516,IF(AND($C333&gt;='TIF Loan Amortization'!$H$517,$C333&lt;='TIF Loan Amortization'!I$517),'TIF Loan Amortization'!$G$517,IF(AND($C333&gt;='TIF Loan Amortization'!$H$518,$C333&lt;='TIF Loan Amortization'!I$518),'TIF Loan Amortization'!$G$518,IF(AND($C333&gt;='TIF Loan Amortization'!$H$519,$C333&lt;='TIF Loan Amortization'!I$519),'TIF Loan Amortization'!$G$519))))))))))))))))))))))))))))))))))))))))</f>
        <v>#N/A</v>
      </c>
      <c r="C333" s="269" t="e">
        <f t="shared" si="42"/>
        <v>#N/A</v>
      </c>
      <c r="D333" s="281" t="str">
        <f>IF($AG$429=1,$H$10+24,"")</f>
        <v/>
      </c>
      <c r="E333" s="274">
        <v>283</v>
      </c>
      <c r="F333" s="275" t="str">
        <f>VLOOKUP($AG$429,$AE$422:$AF$433,2)</f>
        <v>Oct</v>
      </c>
      <c r="G333" s="272">
        <f t="shared" si="43"/>
        <v>0</v>
      </c>
      <c r="H333" s="272">
        <f t="shared" si="46"/>
        <v>0</v>
      </c>
      <c r="I333" s="272">
        <f t="shared" si="47"/>
        <v>0</v>
      </c>
      <c r="J333" s="272">
        <f t="shared" si="44"/>
        <v>0</v>
      </c>
      <c r="K333" s="272">
        <f>IF(ISTEXT($M$4),"",SUM(I$50:I333))</f>
        <v>0</v>
      </c>
      <c r="L333" s="272">
        <f>IF(ISTEXT($M$4),"",SUM(J$50:J333))</f>
        <v>0</v>
      </c>
      <c r="M333" s="271">
        <f t="shared" si="45"/>
        <v>0</v>
      </c>
      <c r="N333" s="291" t="e">
        <f>IF(C333='Operating Assumptions'!$C$48,"Construction Finish","")</f>
        <v>#N/A</v>
      </c>
      <c r="O333" s="291"/>
      <c r="P333" s="291"/>
      <c r="Q333" s="291"/>
      <c r="R333" s="291"/>
      <c r="S333" s="291"/>
      <c r="T333" s="280"/>
      <c r="U333" s="280"/>
      <c r="V333" s="286"/>
      <c r="W333" s="286"/>
      <c r="X333" s="286"/>
      <c r="Y333" s="280"/>
      <c r="Z333" s="279"/>
      <c r="AA333" s="279"/>
      <c r="AB333" s="279"/>
    </row>
    <row r="334" spans="2:28" s="278" customFormat="1" ht="13.5" hidden="1" outlineLevel="1" x14ac:dyDescent="0.25">
      <c r="B334" s="270" t="e">
        <f>IF(AND($C334&gt;='TIF Loan Amortization'!$H$480,$C334&lt;='TIF Loan Amortization'!$I$480),'TIF Loan Amortization'!$G$480,IF(AND($C334&gt;='TIF Loan Amortization'!$H$481,$C334&lt;='TIF Loan Amortization'!I$481),'TIF Loan Amortization'!$G$481,IF(AND($C334&gt;='TIF Loan Amortization'!$H$482,$C334&lt;='TIF Loan Amortization'!I$482),'TIF Loan Amortization'!$G$482,IF(AND($C334&gt;='TIF Loan Amortization'!$H$483,$C334&lt;='TIF Loan Amortization'!I$483),'TIF Loan Amortization'!$G$483,IF(AND($C334&gt;='TIF Loan Amortization'!$H$484,$C334&lt;='TIF Loan Amortization'!I$484),'TIF Loan Amortization'!$G$484,IF(AND($C334&gt;='TIF Loan Amortization'!$H$485,$C334&lt;='TIF Loan Amortization'!I$485),'TIF Loan Amortization'!$G$485,IF(AND($C334&gt;='TIF Loan Amortization'!$H$486,$C334&lt;='TIF Loan Amortization'!I$486),'TIF Loan Amortization'!$G$486,IF(AND($C334&gt;='TIF Loan Amortization'!$H$487,$C334&lt;='TIF Loan Amortization'!I$487),'TIF Loan Amortization'!$G$487,IF(AND($C334&gt;='TIF Loan Amortization'!$H$488,$C334&lt;='TIF Loan Amortization'!I$488),'TIF Loan Amortization'!$G$488,IF(AND($C334&gt;='TIF Loan Amortization'!$H$489,$C334&lt;='TIF Loan Amortization'!I$489),'TIF Loan Amortization'!$G$489,IF(AND($C334&gt;='TIF Loan Amortization'!$H$490,$C334&lt;='TIF Loan Amortization'!I$490),'TIF Loan Amortization'!$G$490,IF(AND($C334&gt;='TIF Loan Amortization'!$H$491,$C334&lt;='TIF Loan Amortization'!I$491),'TIF Loan Amortization'!$G$491,IF(AND($C334&gt;='TIF Loan Amortization'!$H$492,$C334&lt;='TIF Loan Amortization'!I$492),'TIF Loan Amortization'!$G$492,IF(AND($C334&gt;='TIF Loan Amortization'!$H$493,$C334&lt;='TIF Loan Amortization'!I$493),'TIF Loan Amortization'!$G$493,IF(AND($C334&gt;='TIF Loan Amortization'!$H$494,$C334&lt;='TIF Loan Amortization'!I$494),'TIF Loan Amortization'!$G$494,IF(AND($C334&gt;='TIF Loan Amortization'!$H$495,$C334&lt;='TIF Loan Amortization'!I$495),'TIF Loan Amortization'!$G$495,IF(AND($C334&gt;='TIF Loan Amortization'!$H$496,$C334&lt;='TIF Loan Amortization'!I$496),'TIF Loan Amortization'!$G$496,IF(AND($C334&gt;='TIF Loan Amortization'!$H$497,$C334&lt;='TIF Loan Amortization'!I$497),'TIF Loan Amortization'!$G$497,IF(AND($C334&gt;='TIF Loan Amortization'!$H$498,$C334&lt;='TIF Loan Amortization'!I$498),'TIF Loan Amortization'!$G$498,IF(AND($C334&gt;='TIF Loan Amortization'!$H$499,$C334&lt;='TIF Loan Amortization'!I$499),'TIF Loan Amortization'!$G$499,IF(AND($C334&gt;='TIF Loan Amortization'!$H$500,$C334&lt;='TIF Loan Amortization'!I$500),'TIF Loan Amortization'!$G$500,IF(AND($C334&gt;='TIF Loan Amortization'!$H$501,$C334&lt;='TIF Loan Amortization'!I$501),'TIF Loan Amortization'!$G$501,IF(AND($C334&gt;='TIF Loan Amortization'!$H$502,$C334&lt;='TIF Loan Amortization'!I$502),'TIF Loan Amortization'!$G$502,IF(AND($C334&gt;='TIF Loan Amortization'!$H$503,$C334&lt;='TIF Loan Amortization'!I$503),'TIF Loan Amortization'!$G$503,IF(AND($C334&gt;='TIF Loan Amortization'!$H$504,$C334&lt;='TIF Loan Amortization'!I$504),'TIF Loan Amortization'!$G$504,IF(AND($C334&gt;='TIF Loan Amortization'!$H$505,$C334&lt;='TIF Loan Amortization'!I$505),'TIF Loan Amortization'!$G$505,IF(AND($C334&gt;='TIF Loan Amortization'!$H$506,$C334&lt;='TIF Loan Amortization'!I$506),'TIF Loan Amortization'!$G$506,IF(AND($C334&gt;='TIF Loan Amortization'!$H$507,$C334&lt;='TIF Loan Amortization'!I$507),'TIF Loan Amortization'!$G$507,IF(AND($C334&gt;='TIF Loan Amortization'!$H$508,$C334&lt;='TIF Loan Amortization'!I$508),'TIF Loan Amortization'!$G$508,IF(AND($C334&gt;='TIF Loan Amortization'!$H$509,$C334&lt;='TIF Loan Amortization'!I$509),'TIF Loan Amortization'!$G$509,IF(AND($C334&gt;='TIF Loan Amortization'!$H$510,$C334&lt;='TIF Loan Amortization'!I$510),'TIF Loan Amortization'!$G$510,IF(AND($C334&gt;='TIF Loan Amortization'!$H$511,$C334&lt;='TIF Loan Amortization'!I$511),'TIF Loan Amortization'!$G$511,IF(AND($C334&gt;='TIF Loan Amortization'!$H$512,$C334&lt;='TIF Loan Amortization'!I$512),'TIF Loan Amortization'!$G$512,IF(AND($C334&gt;='TIF Loan Amortization'!$H$513,$C334&lt;='TIF Loan Amortization'!I$513),'TIF Loan Amortization'!$G$513,IF(AND($C334&gt;='TIF Loan Amortization'!$H$514,$C334&lt;='TIF Loan Amortization'!I$514),'TIF Loan Amortization'!$G$514,IF(AND($C334&gt;='TIF Loan Amortization'!$H$515,$C334&lt;='TIF Loan Amortization'!I$515),'TIF Loan Amortization'!$G$515,IF(AND($C334&gt;='TIF Loan Amortization'!$H$516,$C334&lt;='TIF Loan Amortization'!I$516),'TIF Loan Amortization'!$G$516,IF(AND($C334&gt;='TIF Loan Amortization'!$H$517,$C334&lt;='TIF Loan Amortization'!I$517),'TIF Loan Amortization'!$G$517,IF(AND($C334&gt;='TIF Loan Amortization'!$H$518,$C334&lt;='TIF Loan Amortization'!I$518),'TIF Loan Amortization'!$G$518,IF(AND($C334&gt;='TIF Loan Amortization'!$H$519,$C334&lt;='TIF Loan Amortization'!I$519),'TIF Loan Amortization'!$G$519))))))))))))))))))))))))))))))))))))))))</f>
        <v>#N/A</v>
      </c>
      <c r="C334" s="269" t="e">
        <f t="shared" si="42"/>
        <v>#N/A</v>
      </c>
      <c r="D334" s="281" t="str">
        <f>IF($AG$430=1,$H$10+24,"")</f>
        <v/>
      </c>
      <c r="E334" s="274">
        <v>284</v>
      </c>
      <c r="F334" s="275" t="str">
        <f>VLOOKUP($AG$430,$AE$422:$AF$433,2)</f>
        <v>Nov</v>
      </c>
      <c r="G334" s="272">
        <f t="shared" si="43"/>
        <v>0</v>
      </c>
      <c r="H334" s="272">
        <f t="shared" si="46"/>
        <v>0</v>
      </c>
      <c r="I334" s="272">
        <f t="shared" si="47"/>
        <v>0</v>
      </c>
      <c r="J334" s="272">
        <f t="shared" si="44"/>
        <v>0</v>
      </c>
      <c r="K334" s="272">
        <f>IF(ISTEXT($M$4),"",SUM(I$50:I334))</f>
        <v>0</v>
      </c>
      <c r="L334" s="272">
        <f>IF(ISTEXT($M$4),"",SUM(J$50:J334))</f>
        <v>0</v>
      </c>
      <c r="M334" s="271">
        <f t="shared" si="45"/>
        <v>0</v>
      </c>
      <c r="N334" s="291" t="e">
        <f>IF(C334='Operating Assumptions'!$C$48,"Construction Finish","")</f>
        <v>#N/A</v>
      </c>
      <c r="O334" s="291"/>
      <c r="P334" s="291"/>
      <c r="Q334" s="291"/>
      <c r="R334" s="291"/>
      <c r="S334" s="291"/>
      <c r="T334" s="280"/>
      <c r="U334" s="280"/>
      <c r="V334" s="286"/>
      <c r="W334" s="286"/>
      <c r="X334" s="286"/>
      <c r="Y334" s="280"/>
      <c r="Z334" s="279"/>
      <c r="AA334" s="279"/>
      <c r="AB334" s="279"/>
    </row>
    <row r="335" spans="2:28" s="278" customFormat="1" ht="13.5" hidden="1" outlineLevel="1" x14ac:dyDescent="0.25">
      <c r="B335" s="270" t="e">
        <f>IF(AND($C335&gt;='TIF Loan Amortization'!$H$480,$C335&lt;='TIF Loan Amortization'!$I$480),'TIF Loan Amortization'!$G$480,IF(AND($C335&gt;='TIF Loan Amortization'!$H$481,$C335&lt;='TIF Loan Amortization'!I$481),'TIF Loan Amortization'!$G$481,IF(AND($C335&gt;='TIF Loan Amortization'!$H$482,$C335&lt;='TIF Loan Amortization'!I$482),'TIF Loan Amortization'!$G$482,IF(AND($C335&gt;='TIF Loan Amortization'!$H$483,$C335&lt;='TIF Loan Amortization'!I$483),'TIF Loan Amortization'!$G$483,IF(AND($C335&gt;='TIF Loan Amortization'!$H$484,$C335&lt;='TIF Loan Amortization'!I$484),'TIF Loan Amortization'!$G$484,IF(AND($C335&gt;='TIF Loan Amortization'!$H$485,$C335&lt;='TIF Loan Amortization'!I$485),'TIF Loan Amortization'!$G$485,IF(AND($C335&gt;='TIF Loan Amortization'!$H$486,$C335&lt;='TIF Loan Amortization'!I$486),'TIF Loan Amortization'!$G$486,IF(AND($C335&gt;='TIF Loan Amortization'!$H$487,$C335&lt;='TIF Loan Amortization'!I$487),'TIF Loan Amortization'!$G$487,IF(AND($C335&gt;='TIF Loan Amortization'!$H$488,$C335&lt;='TIF Loan Amortization'!I$488),'TIF Loan Amortization'!$G$488,IF(AND($C335&gt;='TIF Loan Amortization'!$H$489,$C335&lt;='TIF Loan Amortization'!I$489),'TIF Loan Amortization'!$G$489,IF(AND($C335&gt;='TIF Loan Amortization'!$H$490,$C335&lt;='TIF Loan Amortization'!I$490),'TIF Loan Amortization'!$G$490,IF(AND($C335&gt;='TIF Loan Amortization'!$H$491,$C335&lt;='TIF Loan Amortization'!I$491),'TIF Loan Amortization'!$G$491,IF(AND($C335&gt;='TIF Loan Amortization'!$H$492,$C335&lt;='TIF Loan Amortization'!I$492),'TIF Loan Amortization'!$G$492,IF(AND($C335&gt;='TIF Loan Amortization'!$H$493,$C335&lt;='TIF Loan Amortization'!I$493),'TIF Loan Amortization'!$G$493,IF(AND($C335&gt;='TIF Loan Amortization'!$H$494,$C335&lt;='TIF Loan Amortization'!I$494),'TIF Loan Amortization'!$G$494,IF(AND($C335&gt;='TIF Loan Amortization'!$H$495,$C335&lt;='TIF Loan Amortization'!I$495),'TIF Loan Amortization'!$G$495,IF(AND($C335&gt;='TIF Loan Amortization'!$H$496,$C335&lt;='TIF Loan Amortization'!I$496),'TIF Loan Amortization'!$G$496,IF(AND($C335&gt;='TIF Loan Amortization'!$H$497,$C335&lt;='TIF Loan Amortization'!I$497),'TIF Loan Amortization'!$G$497,IF(AND($C335&gt;='TIF Loan Amortization'!$H$498,$C335&lt;='TIF Loan Amortization'!I$498),'TIF Loan Amortization'!$G$498,IF(AND($C335&gt;='TIF Loan Amortization'!$H$499,$C335&lt;='TIF Loan Amortization'!I$499),'TIF Loan Amortization'!$G$499,IF(AND($C335&gt;='TIF Loan Amortization'!$H$500,$C335&lt;='TIF Loan Amortization'!I$500),'TIF Loan Amortization'!$G$500,IF(AND($C335&gt;='TIF Loan Amortization'!$H$501,$C335&lt;='TIF Loan Amortization'!I$501),'TIF Loan Amortization'!$G$501,IF(AND($C335&gt;='TIF Loan Amortization'!$H$502,$C335&lt;='TIF Loan Amortization'!I$502),'TIF Loan Amortization'!$G$502,IF(AND($C335&gt;='TIF Loan Amortization'!$H$503,$C335&lt;='TIF Loan Amortization'!I$503),'TIF Loan Amortization'!$G$503,IF(AND($C335&gt;='TIF Loan Amortization'!$H$504,$C335&lt;='TIF Loan Amortization'!I$504),'TIF Loan Amortization'!$G$504,IF(AND($C335&gt;='TIF Loan Amortization'!$H$505,$C335&lt;='TIF Loan Amortization'!I$505),'TIF Loan Amortization'!$G$505,IF(AND($C335&gt;='TIF Loan Amortization'!$H$506,$C335&lt;='TIF Loan Amortization'!I$506),'TIF Loan Amortization'!$G$506,IF(AND($C335&gt;='TIF Loan Amortization'!$H$507,$C335&lt;='TIF Loan Amortization'!I$507),'TIF Loan Amortization'!$G$507,IF(AND($C335&gt;='TIF Loan Amortization'!$H$508,$C335&lt;='TIF Loan Amortization'!I$508),'TIF Loan Amortization'!$G$508,IF(AND($C335&gt;='TIF Loan Amortization'!$H$509,$C335&lt;='TIF Loan Amortization'!I$509),'TIF Loan Amortization'!$G$509,IF(AND($C335&gt;='TIF Loan Amortization'!$H$510,$C335&lt;='TIF Loan Amortization'!I$510),'TIF Loan Amortization'!$G$510,IF(AND($C335&gt;='TIF Loan Amortization'!$H$511,$C335&lt;='TIF Loan Amortization'!I$511),'TIF Loan Amortization'!$G$511,IF(AND($C335&gt;='TIF Loan Amortization'!$H$512,$C335&lt;='TIF Loan Amortization'!I$512),'TIF Loan Amortization'!$G$512,IF(AND($C335&gt;='TIF Loan Amortization'!$H$513,$C335&lt;='TIF Loan Amortization'!I$513),'TIF Loan Amortization'!$G$513,IF(AND($C335&gt;='TIF Loan Amortization'!$H$514,$C335&lt;='TIF Loan Amortization'!I$514),'TIF Loan Amortization'!$G$514,IF(AND($C335&gt;='TIF Loan Amortization'!$H$515,$C335&lt;='TIF Loan Amortization'!I$515),'TIF Loan Amortization'!$G$515,IF(AND($C335&gt;='TIF Loan Amortization'!$H$516,$C335&lt;='TIF Loan Amortization'!I$516),'TIF Loan Amortization'!$G$516,IF(AND($C335&gt;='TIF Loan Amortization'!$H$517,$C335&lt;='TIF Loan Amortization'!I$517),'TIF Loan Amortization'!$G$517,IF(AND($C335&gt;='TIF Loan Amortization'!$H$518,$C335&lt;='TIF Loan Amortization'!I$518),'TIF Loan Amortization'!$G$518,IF(AND($C335&gt;='TIF Loan Amortization'!$H$519,$C335&lt;='TIF Loan Amortization'!I$519),'TIF Loan Amortization'!$G$519))))))))))))))))))))))))))))))))))))))))</f>
        <v>#N/A</v>
      </c>
      <c r="C335" s="269" t="e">
        <f t="shared" si="42"/>
        <v>#N/A</v>
      </c>
      <c r="D335" s="281" t="str">
        <f>IF($AG$431=1,$H$10+24,"")</f>
        <v/>
      </c>
      <c r="E335" s="274">
        <v>285</v>
      </c>
      <c r="F335" s="275" t="str">
        <f>VLOOKUP($AG$431,$AE$422:$AF$433,2)</f>
        <v>Dec</v>
      </c>
      <c r="G335" s="272">
        <f t="shared" si="43"/>
        <v>0</v>
      </c>
      <c r="H335" s="272">
        <f t="shared" si="46"/>
        <v>0</v>
      </c>
      <c r="I335" s="272">
        <f t="shared" si="47"/>
        <v>0</v>
      </c>
      <c r="J335" s="272">
        <f t="shared" si="44"/>
        <v>0</v>
      </c>
      <c r="K335" s="272">
        <f>IF(ISTEXT($M$4),"",SUM(I$50:I335))</f>
        <v>0</v>
      </c>
      <c r="L335" s="272">
        <f>IF(ISTEXT($M$4),"",SUM(J$50:J335))</f>
        <v>0</v>
      </c>
      <c r="M335" s="271">
        <f t="shared" si="45"/>
        <v>0</v>
      </c>
      <c r="N335" s="291" t="e">
        <f>IF(C335='Operating Assumptions'!$C$48,"Construction Finish","")</f>
        <v>#N/A</v>
      </c>
      <c r="O335" s="291"/>
      <c r="P335" s="291"/>
      <c r="Q335" s="291"/>
      <c r="R335" s="291"/>
      <c r="S335" s="291"/>
      <c r="T335" s="280"/>
      <c r="U335" s="280"/>
      <c r="V335" s="286"/>
      <c r="W335" s="286"/>
      <c r="X335" s="286"/>
      <c r="Y335" s="280"/>
      <c r="Z335" s="279"/>
      <c r="AA335" s="279"/>
      <c r="AB335" s="279"/>
    </row>
    <row r="336" spans="2:28" s="278" customFormat="1" ht="13.5" hidden="1" outlineLevel="1" x14ac:dyDescent="0.25">
      <c r="B336" s="270" t="e">
        <f>IF(AND($C336&gt;='TIF Loan Amortization'!$H$480,$C336&lt;='TIF Loan Amortization'!$I$480),'TIF Loan Amortization'!$G$480,IF(AND($C336&gt;='TIF Loan Amortization'!$H$481,$C336&lt;='TIF Loan Amortization'!I$481),'TIF Loan Amortization'!$G$481,IF(AND($C336&gt;='TIF Loan Amortization'!$H$482,$C336&lt;='TIF Loan Amortization'!I$482),'TIF Loan Amortization'!$G$482,IF(AND($C336&gt;='TIF Loan Amortization'!$H$483,$C336&lt;='TIF Loan Amortization'!I$483),'TIF Loan Amortization'!$G$483,IF(AND($C336&gt;='TIF Loan Amortization'!$H$484,$C336&lt;='TIF Loan Amortization'!I$484),'TIF Loan Amortization'!$G$484,IF(AND($C336&gt;='TIF Loan Amortization'!$H$485,$C336&lt;='TIF Loan Amortization'!I$485),'TIF Loan Amortization'!$G$485,IF(AND($C336&gt;='TIF Loan Amortization'!$H$486,$C336&lt;='TIF Loan Amortization'!I$486),'TIF Loan Amortization'!$G$486,IF(AND($C336&gt;='TIF Loan Amortization'!$H$487,$C336&lt;='TIF Loan Amortization'!I$487),'TIF Loan Amortization'!$G$487,IF(AND($C336&gt;='TIF Loan Amortization'!$H$488,$C336&lt;='TIF Loan Amortization'!I$488),'TIF Loan Amortization'!$G$488,IF(AND($C336&gt;='TIF Loan Amortization'!$H$489,$C336&lt;='TIF Loan Amortization'!I$489),'TIF Loan Amortization'!$G$489,IF(AND($C336&gt;='TIF Loan Amortization'!$H$490,$C336&lt;='TIF Loan Amortization'!I$490),'TIF Loan Amortization'!$G$490,IF(AND($C336&gt;='TIF Loan Amortization'!$H$491,$C336&lt;='TIF Loan Amortization'!I$491),'TIF Loan Amortization'!$G$491,IF(AND($C336&gt;='TIF Loan Amortization'!$H$492,$C336&lt;='TIF Loan Amortization'!I$492),'TIF Loan Amortization'!$G$492,IF(AND($C336&gt;='TIF Loan Amortization'!$H$493,$C336&lt;='TIF Loan Amortization'!I$493),'TIF Loan Amortization'!$G$493,IF(AND($C336&gt;='TIF Loan Amortization'!$H$494,$C336&lt;='TIF Loan Amortization'!I$494),'TIF Loan Amortization'!$G$494,IF(AND($C336&gt;='TIF Loan Amortization'!$H$495,$C336&lt;='TIF Loan Amortization'!I$495),'TIF Loan Amortization'!$G$495,IF(AND($C336&gt;='TIF Loan Amortization'!$H$496,$C336&lt;='TIF Loan Amortization'!I$496),'TIF Loan Amortization'!$G$496,IF(AND($C336&gt;='TIF Loan Amortization'!$H$497,$C336&lt;='TIF Loan Amortization'!I$497),'TIF Loan Amortization'!$G$497,IF(AND($C336&gt;='TIF Loan Amortization'!$H$498,$C336&lt;='TIF Loan Amortization'!I$498),'TIF Loan Amortization'!$G$498,IF(AND($C336&gt;='TIF Loan Amortization'!$H$499,$C336&lt;='TIF Loan Amortization'!I$499),'TIF Loan Amortization'!$G$499,IF(AND($C336&gt;='TIF Loan Amortization'!$H$500,$C336&lt;='TIF Loan Amortization'!I$500),'TIF Loan Amortization'!$G$500,IF(AND($C336&gt;='TIF Loan Amortization'!$H$501,$C336&lt;='TIF Loan Amortization'!I$501),'TIF Loan Amortization'!$G$501,IF(AND($C336&gt;='TIF Loan Amortization'!$H$502,$C336&lt;='TIF Loan Amortization'!I$502),'TIF Loan Amortization'!$G$502,IF(AND($C336&gt;='TIF Loan Amortization'!$H$503,$C336&lt;='TIF Loan Amortization'!I$503),'TIF Loan Amortization'!$G$503,IF(AND($C336&gt;='TIF Loan Amortization'!$H$504,$C336&lt;='TIF Loan Amortization'!I$504),'TIF Loan Amortization'!$G$504,IF(AND($C336&gt;='TIF Loan Amortization'!$H$505,$C336&lt;='TIF Loan Amortization'!I$505),'TIF Loan Amortization'!$G$505,IF(AND($C336&gt;='TIF Loan Amortization'!$H$506,$C336&lt;='TIF Loan Amortization'!I$506),'TIF Loan Amortization'!$G$506,IF(AND($C336&gt;='TIF Loan Amortization'!$H$507,$C336&lt;='TIF Loan Amortization'!I$507),'TIF Loan Amortization'!$G$507,IF(AND($C336&gt;='TIF Loan Amortization'!$H$508,$C336&lt;='TIF Loan Amortization'!I$508),'TIF Loan Amortization'!$G$508,IF(AND($C336&gt;='TIF Loan Amortization'!$H$509,$C336&lt;='TIF Loan Amortization'!I$509),'TIF Loan Amortization'!$G$509,IF(AND($C336&gt;='TIF Loan Amortization'!$H$510,$C336&lt;='TIF Loan Amortization'!I$510),'TIF Loan Amortization'!$G$510,IF(AND($C336&gt;='TIF Loan Amortization'!$H$511,$C336&lt;='TIF Loan Amortization'!I$511),'TIF Loan Amortization'!$G$511,IF(AND($C336&gt;='TIF Loan Amortization'!$H$512,$C336&lt;='TIF Loan Amortization'!I$512),'TIF Loan Amortization'!$G$512,IF(AND($C336&gt;='TIF Loan Amortization'!$H$513,$C336&lt;='TIF Loan Amortization'!I$513),'TIF Loan Amortization'!$G$513,IF(AND($C336&gt;='TIF Loan Amortization'!$H$514,$C336&lt;='TIF Loan Amortization'!I$514),'TIF Loan Amortization'!$G$514,IF(AND($C336&gt;='TIF Loan Amortization'!$H$515,$C336&lt;='TIF Loan Amortization'!I$515),'TIF Loan Amortization'!$G$515,IF(AND($C336&gt;='TIF Loan Amortization'!$H$516,$C336&lt;='TIF Loan Amortization'!I$516),'TIF Loan Amortization'!$G$516,IF(AND($C336&gt;='TIF Loan Amortization'!$H$517,$C336&lt;='TIF Loan Amortization'!I$517),'TIF Loan Amortization'!$G$517,IF(AND($C336&gt;='TIF Loan Amortization'!$H$518,$C336&lt;='TIF Loan Amortization'!I$518),'TIF Loan Amortization'!$G$518,IF(AND($C336&gt;='TIF Loan Amortization'!$H$519,$C336&lt;='TIF Loan Amortization'!I$519),'TIF Loan Amortization'!$G$519))))))))))))))))))))))))))))))))))))))))</f>
        <v>#N/A</v>
      </c>
      <c r="C336" s="269" t="e">
        <f t="shared" si="42"/>
        <v>#N/A</v>
      </c>
      <c r="D336" s="281">
        <f>IF($AG$432=1,$H$10+24,"")</f>
        <v>2049</v>
      </c>
      <c r="E336" s="274">
        <v>286</v>
      </c>
      <c r="F336" s="273" t="str">
        <f>VLOOKUP($AG$432,$AE$422:$AF$433,2)</f>
        <v>Jan</v>
      </c>
      <c r="G336" s="272">
        <f t="shared" si="43"/>
        <v>0</v>
      </c>
      <c r="H336" s="272">
        <f t="shared" si="46"/>
        <v>0</v>
      </c>
      <c r="I336" s="272">
        <f t="shared" si="47"/>
        <v>0</v>
      </c>
      <c r="J336" s="272">
        <f t="shared" si="44"/>
        <v>0</v>
      </c>
      <c r="K336" s="272">
        <f>IF(ISTEXT($M$4),"",SUM(I$50:I336))</f>
        <v>0</v>
      </c>
      <c r="L336" s="272">
        <f>IF(ISTEXT($M$4),"",SUM(J$50:J336))</f>
        <v>0</v>
      </c>
      <c r="M336" s="271">
        <f t="shared" si="45"/>
        <v>0</v>
      </c>
      <c r="N336" s="291" t="e">
        <f>IF(C336='Operating Assumptions'!$C$48,"Construction Finish","")</f>
        <v>#N/A</v>
      </c>
      <c r="O336" s="291"/>
      <c r="P336" s="291"/>
      <c r="Q336" s="291"/>
      <c r="R336" s="291"/>
      <c r="S336" s="291"/>
      <c r="T336" s="280"/>
      <c r="U336" s="280"/>
      <c r="V336" s="286"/>
      <c r="W336" s="286"/>
      <c r="X336" s="286"/>
      <c r="Y336" s="280"/>
      <c r="Z336" s="279"/>
      <c r="AA336" s="279"/>
      <c r="AB336" s="279"/>
    </row>
    <row r="337" spans="2:28" s="278" customFormat="1" ht="13.5" hidden="1" outlineLevel="1" x14ac:dyDescent="0.25">
      <c r="B337" s="270" t="e">
        <f>IF(AND($C337&gt;='TIF Loan Amortization'!$H$480,$C337&lt;='TIF Loan Amortization'!$I$480),'TIF Loan Amortization'!$G$480,IF(AND($C337&gt;='TIF Loan Amortization'!$H$481,$C337&lt;='TIF Loan Amortization'!I$481),'TIF Loan Amortization'!$G$481,IF(AND($C337&gt;='TIF Loan Amortization'!$H$482,$C337&lt;='TIF Loan Amortization'!I$482),'TIF Loan Amortization'!$G$482,IF(AND($C337&gt;='TIF Loan Amortization'!$H$483,$C337&lt;='TIF Loan Amortization'!I$483),'TIF Loan Amortization'!$G$483,IF(AND($C337&gt;='TIF Loan Amortization'!$H$484,$C337&lt;='TIF Loan Amortization'!I$484),'TIF Loan Amortization'!$G$484,IF(AND($C337&gt;='TIF Loan Amortization'!$H$485,$C337&lt;='TIF Loan Amortization'!I$485),'TIF Loan Amortization'!$G$485,IF(AND($C337&gt;='TIF Loan Amortization'!$H$486,$C337&lt;='TIF Loan Amortization'!I$486),'TIF Loan Amortization'!$G$486,IF(AND($C337&gt;='TIF Loan Amortization'!$H$487,$C337&lt;='TIF Loan Amortization'!I$487),'TIF Loan Amortization'!$G$487,IF(AND($C337&gt;='TIF Loan Amortization'!$H$488,$C337&lt;='TIF Loan Amortization'!I$488),'TIF Loan Amortization'!$G$488,IF(AND($C337&gt;='TIF Loan Amortization'!$H$489,$C337&lt;='TIF Loan Amortization'!I$489),'TIF Loan Amortization'!$G$489,IF(AND($C337&gt;='TIF Loan Amortization'!$H$490,$C337&lt;='TIF Loan Amortization'!I$490),'TIF Loan Amortization'!$G$490,IF(AND($C337&gt;='TIF Loan Amortization'!$H$491,$C337&lt;='TIF Loan Amortization'!I$491),'TIF Loan Amortization'!$G$491,IF(AND($C337&gt;='TIF Loan Amortization'!$H$492,$C337&lt;='TIF Loan Amortization'!I$492),'TIF Loan Amortization'!$G$492,IF(AND($C337&gt;='TIF Loan Amortization'!$H$493,$C337&lt;='TIF Loan Amortization'!I$493),'TIF Loan Amortization'!$G$493,IF(AND($C337&gt;='TIF Loan Amortization'!$H$494,$C337&lt;='TIF Loan Amortization'!I$494),'TIF Loan Amortization'!$G$494,IF(AND($C337&gt;='TIF Loan Amortization'!$H$495,$C337&lt;='TIF Loan Amortization'!I$495),'TIF Loan Amortization'!$G$495,IF(AND($C337&gt;='TIF Loan Amortization'!$H$496,$C337&lt;='TIF Loan Amortization'!I$496),'TIF Loan Amortization'!$G$496,IF(AND($C337&gt;='TIF Loan Amortization'!$H$497,$C337&lt;='TIF Loan Amortization'!I$497),'TIF Loan Amortization'!$G$497,IF(AND($C337&gt;='TIF Loan Amortization'!$H$498,$C337&lt;='TIF Loan Amortization'!I$498),'TIF Loan Amortization'!$G$498,IF(AND($C337&gt;='TIF Loan Amortization'!$H$499,$C337&lt;='TIF Loan Amortization'!I$499),'TIF Loan Amortization'!$G$499,IF(AND($C337&gt;='TIF Loan Amortization'!$H$500,$C337&lt;='TIF Loan Amortization'!I$500),'TIF Loan Amortization'!$G$500,IF(AND($C337&gt;='TIF Loan Amortization'!$H$501,$C337&lt;='TIF Loan Amortization'!I$501),'TIF Loan Amortization'!$G$501,IF(AND($C337&gt;='TIF Loan Amortization'!$H$502,$C337&lt;='TIF Loan Amortization'!I$502),'TIF Loan Amortization'!$G$502,IF(AND($C337&gt;='TIF Loan Amortization'!$H$503,$C337&lt;='TIF Loan Amortization'!I$503),'TIF Loan Amortization'!$G$503,IF(AND($C337&gt;='TIF Loan Amortization'!$H$504,$C337&lt;='TIF Loan Amortization'!I$504),'TIF Loan Amortization'!$G$504,IF(AND($C337&gt;='TIF Loan Amortization'!$H$505,$C337&lt;='TIF Loan Amortization'!I$505),'TIF Loan Amortization'!$G$505,IF(AND($C337&gt;='TIF Loan Amortization'!$H$506,$C337&lt;='TIF Loan Amortization'!I$506),'TIF Loan Amortization'!$G$506,IF(AND($C337&gt;='TIF Loan Amortization'!$H$507,$C337&lt;='TIF Loan Amortization'!I$507),'TIF Loan Amortization'!$G$507,IF(AND($C337&gt;='TIF Loan Amortization'!$H$508,$C337&lt;='TIF Loan Amortization'!I$508),'TIF Loan Amortization'!$G$508,IF(AND($C337&gt;='TIF Loan Amortization'!$H$509,$C337&lt;='TIF Loan Amortization'!I$509),'TIF Loan Amortization'!$G$509,IF(AND($C337&gt;='TIF Loan Amortization'!$H$510,$C337&lt;='TIF Loan Amortization'!I$510),'TIF Loan Amortization'!$G$510,IF(AND($C337&gt;='TIF Loan Amortization'!$H$511,$C337&lt;='TIF Loan Amortization'!I$511),'TIF Loan Amortization'!$G$511,IF(AND($C337&gt;='TIF Loan Amortization'!$H$512,$C337&lt;='TIF Loan Amortization'!I$512),'TIF Loan Amortization'!$G$512,IF(AND($C337&gt;='TIF Loan Amortization'!$H$513,$C337&lt;='TIF Loan Amortization'!I$513),'TIF Loan Amortization'!$G$513,IF(AND($C337&gt;='TIF Loan Amortization'!$H$514,$C337&lt;='TIF Loan Amortization'!I$514),'TIF Loan Amortization'!$G$514,IF(AND($C337&gt;='TIF Loan Amortization'!$H$515,$C337&lt;='TIF Loan Amortization'!I$515),'TIF Loan Amortization'!$G$515,IF(AND($C337&gt;='TIF Loan Amortization'!$H$516,$C337&lt;='TIF Loan Amortization'!I$516),'TIF Loan Amortization'!$G$516,IF(AND($C337&gt;='TIF Loan Amortization'!$H$517,$C337&lt;='TIF Loan Amortization'!I$517),'TIF Loan Amortization'!$G$517,IF(AND($C337&gt;='TIF Loan Amortization'!$H$518,$C337&lt;='TIF Loan Amortization'!I$518),'TIF Loan Amortization'!$G$518,IF(AND($C337&gt;='TIF Loan Amortization'!$H$519,$C337&lt;='TIF Loan Amortization'!I$519),'TIF Loan Amortization'!$G$519))))))))))))))))))))))))))))))))))))))))</f>
        <v>#N/A</v>
      </c>
      <c r="C337" s="269" t="e">
        <f t="shared" si="42"/>
        <v>#N/A</v>
      </c>
      <c r="D337" s="281" t="str">
        <f>IF($AG$433=1,$H$10+24,"")</f>
        <v/>
      </c>
      <c r="E337" s="274">
        <v>287</v>
      </c>
      <c r="F337" s="273" t="str">
        <f>VLOOKUP($AG$433,$AE$422:$AF$433,2)</f>
        <v>Feb</v>
      </c>
      <c r="G337" s="272">
        <f t="shared" si="43"/>
        <v>0</v>
      </c>
      <c r="H337" s="272">
        <f t="shared" si="46"/>
        <v>0</v>
      </c>
      <c r="I337" s="272">
        <f t="shared" si="47"/>
        <v>0</v>
      </c>
      <c r="J337" s="272">
        <f t="shared" si="44"/>
        <v>0</v>
      </c>
      <c r="K337" s="272">
        <f>IF(ISTEXT($M$4),"",SUM(I$50:I337))</f>
        <v>0</v>
      </c>
      <c r="L337" s="272">
        <f>IF(ISTEXT($M$4),"",SUM(J$50:J337))</f>
        <v>0</v>
      </c>
      <c r="M337" s="271">
        <f t="shared" si="45"/>
        <v>0</v>
      </c>
      <c r="N337" s="291" t="e">
        <f>IF(C337='Operating Assumptions'!$C$48,"Construction Finish","")</f>
        <v>#N/A</v>
      </c>
      <c r="O337" s="291"/>
      <c r="P337" s="291"/>
      <c r="Q337" s="291"/>
      <c r="R337" s="291"/>
      <c r="S337" s="291"/>
      <c r="T337" s="280"/>
      <c r="U337" s="280"/>
      <c r="V337" s="286"/>
      <c r="W337" s="286"/>
      <c r="X337" s="286"/>
      <c r="Y337" s="280"/>
      <c r="Z337" s="279"/>
      <c r="AA337" s="279"/>
      <c r="AB337" s="279"/>
    </row>
    <row r="338" spans="2:28" s="278" customFormat="1" ht="13.5" hidden="1" outlineLevel="1" x14ac:dyDescent="0.25">
      <c r="B338" s="270" t="e">
        <f>IF(AND($C338&gt;='TIF Loan Amortization'!$H$480,$C338&lt;='TIF Loan Amortization'!$I$480),'TIF Loan Amortization'!$G$480,IF(AND($C338&gt;='TIF Loan Amortization'!$H$481,$C338&lt;='TIF Loan Amortization'!I$481),'TIF Loan Amortization'!$G$481,IF(AND($C338&gt;='TIF Loan Amortization'!$H$482,$C338&lt;='TIF Loan Amortization'!I$482),'TIF Loan Amortization'!$G$482,IF(AND($C338&gt;='TIF Loan Amortization'!$H$483,$C338&lt;='TIF Loan Amortization'!I$483),'TIF Loan Amortization'!$G$483,IF(AND($C338&gt;='TIF Loan Amortization'!$H$484,$C338&lt;='TIF Loan Amortization'!I$484),'TIF Loan Amortization'!$G$484,IF(AND($C338&gt;='TIF Loan Amortization'!$H$485,$C338&lt;='TIF Loan Amortization'!I$485),'TIF Loan Amortization'!$G$485,IF(AND($C338&gt;='TIF Loan Amortization'!$H$486,$C338&lt;='TIF Loan Amortization'!I$486),'TIF Loan Amortization'!$G$486,IF(AND($C338&gt;='TIF Loan Amortization'!$H$487,$C338&lt;='TIF Loan Amortization'!I$487),'TIF Loan Amortization'!$G$487,IF(AND($C338&gt;='TIF Loan Amortization'!$H$488,$C338&lt;='TIF Loan Amortization'!I$488),'TIF Loan Amortization'!$G$488,IF(AND($C338&gt;='TIF Loan Amortization'!$H$489,$C338&lt;='TIF Loan Amortization'!I$489),'TIF Loan Amortization'!$G$489,IF(AND($C338&gt;='TIF Loan Amortization'!$H$490,$C338&lt;='TIF Loan Amortization'!I$490),'TIF Loan Amortization'!$G$490,IF(AND($C338&gt;='TIF Loan Amortization'!$H$491,$C338&lt;='TIF Loan Amortization'!I$491),'TIF Loan Amortization'!$G$491,IF(AND($C338&gt;='TIF Loan Amortization'!$H$492,$C338&lt;='TIF Loan Amortization'!I$492),'TIF Loan Amortization'!$G$492,IF(AND($C338&gt;='TIF Loan Amortization'!$H$493,$C338&lt;='TIF Loan Amortization'!I$493),'TIF Loan Amortization'!$G$493,IF(AND($C338&gt;='TIF Loan Amortization'!$H$494,$C338&lt;='TIF Loan Amortization'!I$494),'TIF Loan Amortization'!$G$494,IF(AND($C338&gt;='TIF Loan Amortization'!$H$495,$C338&lt;='TIF Loan Amortization'!I$495),'TIF Loan Amortization'!$G$495,IF(AND($C338&gt;='TIF Loan Amortization'!$H$496,$C338&lt;='TIF Loan Amortization'!I$496),'TIF Loan Amortization'!$G$496,IF(AND($C338&gt;='TIF Loan Amortization'!$H$497,$C338&lt;='TIF Loan Amortization'!I$497),'TIF Loan Amortization'!$G$497,IF(AND($C338&gt;='TIF Loan Amortization'!$H$498,$C338&lt;='TIF Loan Amortization'!I$498),'TIF Loan Amortization'!$G$498,IF(AND($C338&gt;='TIF Loan Amortization'!$H$499,$C338&lt;='TIF Loan Amortization'!I$499),'TIF Loan Amortization'!$G$499,IF(AND($C338&gt;='TIF Loan Amortization'!$H$500,$C338&lt;='TIF Loan Amortization'!I$500),'TIF Loan Amortization'!$G$500,IF(AND($C338&gt;='TIF Loan Amortization'!$H$501,$C338&lt;='TIF Loan Amortization'!I$501),'TIF Loan Amortization'!$G$501,IF(AND($C338&gt;='TIF Loan Amortization'!$H$502,$C338&lt;='TIF Loan Amortization'!I$502),'TIF Loan Amortization'!$G$502,IF(AND($C338&gt;='TIF Loan Amortization'!$H$503,$C338&lt;='TIF Loan Amortization'!I$503),'TIF Loan Amortization'!$G$503,IF(AND($C338&gt;='TIF Loan Amortization'!$H$504,$C338&lt;='TIF Loan Amortization'!I$504),'TIF Loan Amortization'!$G$504,IF(AND($C338&gt;='TIF Loan Amortization'!$H$505,$C338&lt;='TIF Loan Amortization'!I$505),'TIF Loan Amortization'!$G$505,IF(AND($C338&gt;='TIF Loan Amortization'!$H$506,$C338&lt;='TIF Loan Amortization'!I$506),'TIF Loan Amortization'!$G$506,IF(AND($C338&gt;='TIF Loan Amortization'!$H$507,$C338&lt;='TIF Loan Amortization'!I$507),'TIF Loan Amortization'!$G$507,IF(AND($C338&gt;='TIF Loan Amortization'!$H$508,$C338&lt;='TIF Loan Amortization'!I$508),'TIF Loan Amortization'!$G$508,IF(AND($C338&gt;='TIF Loan Amortization'!$H$509,$C338&lt;='TIF Loan Amortization'!I$509),'TIF Loan Amortization'!$G$509,IF(AND($C338&gt;='TIF Loan Amortization'!$H$510,$C338&lt;='TIF Loan Amortization'!I$510),'TIF Loan Amortization'!$G$510,IF(AND($C338&gt;='TIF Loan Amortization'!$H$511,$C338&lt;='TIF Loan Amortization'!I$511),'TIF Loan Amortization'!$G$511,IF(AND($C338&gt;='TIF Loan Amortization'!$H$512,$C338&lt;='TIF Loan Amortization'!I$512),'TIF Loan Amortization'!$G$512,IF(AND($C338&gt;='TIF Loan Amortization'!$H$513,$C338&lt;='TIF Loan Amortization'!I$513),'TIF Loan Amortization'!$G$513,IF(AND($C338&gt;='TIF Loan Amortization'!$H$514,$C338&lt;='TIF Loan Amortization'!I$514),'TIF Loan Amortization'!$G$514,IF(AND($C338&gt;='TIF Loan Amortization'!$H$515,$C338&lt;='TIF Loan Amortization'!I$515),'TIF Loan Amortization'!$G$515,IF(AND($C338&gt;='TIF Loan Amortization'!$H$516,$C338&lt;='TIF Loan Amortization'!I$516),'TIF Loan Amortization'!$G$516,IF(AND($C338&gt;='TIF Loan Amortization'!$H$517,$C338&lt;='TIF Loan Amortization'!I$517),'TIF Loan Amortization'!$G$517,IF(AND($C338&gt;='TIF Loan Amortization'!$H$518,$C338&lt;='TIF Loan Amortization'!I$518),'TIF Loan Amortization'!$G$518,IF(AND($C338&gt;='TIF Loan Amortization'!$H$519,$C338&lt;='TIF Loan Amortization'!I$519),'TIF Loan Amortization'!$G$519))))))))))))))))))))))))))))))))))))))))</f>
        <v>#N/A</v>
      </c>
      <c r="C338" s="269" t="e">
        <f t="shared" si="42"/>
        <v>#N/A</v>
      </c>
      <c r="D338" s="281" t="str">
        <f>IF($H$11="January",$H$10+24,IF($AG$422=1,$H$10+25,""))</f>
        <v/>
      </c>
      <c r="E338" s="274">
        <v>288</v>
      </c>
      <c r="F338" s="273" t="str">
        <f>VLOOKUP($AG$422,$AE$422:$AF$433,2)</f>
        <v>Mar</v>
      </c>
      <c r="G338" s="272">
        <f t="shared" si="43"/>
        <v>0</v>
      </c>
      <c r="H338" s="272">
        <f t="shared" si="46"/>
        <v>0</v>
      </c>
      <c r="I338" s="272">
        <f t="shared" si="47"/>
        <v>0</v>
      </c>
      <c r="J338" s="272">
        <f t="shared" si="44"/>
        <v>0</v>
      </c>
      <c r="K338" s="272">
        <f>IF(ISTEXT($M$4),"",SUM(I$50:I338))</f>
        <v>0</v>
      </c>
      <c r="L338" s="272">
        <f>IF(ISTEXT($M$4),"",SUM(J$50:J338))</f>
        <v>0</v>
      </c>
      <c r="M338" s="271">
        <f t="shared" si="45"/>
        <v>0</v>
      </c>
      <c r="N338" s="291" t="e">
        <f>IF(C338='Operating Assumptions'!$C$48,"Construction Finish","")</f>
        <v>#N/A</v>
      </c>
      <c r="O338" s="291"/>
      <c r="P338" s="291"/>
      <c r="Q338" s="291"/>
      <c r="R338" s="291"/>
      <c r="S338" s="291"/>
      <c r="T338" s="280"/>
      <c r="U338" s="280"/>
      <c r="V338" s="286"/>
      <c r="W338" s="286"/>
      <c r="X338" s="286"/>
      <c r="Y338" s="280"/>
      <c r="Z338" s="279"/>
      <c r="AA338" s="279"/>
      <c r="AB338" s="279"/>
    </row>
    <row r="339" spans="2:28" s="278" customFormat="1" ht="13.5" hidden="1" outlineLevel="1" x14ac:dyDescent="0.25">
      <c r="B339" s="270" t="e">
        <f>IF(AND($C339&gt;='TIF Loan Amortization'!$H$480,$C339&lt;='TIF Loan Amortization'!$I$480),'TIF Loan Amortization'!$G$480,IF(AND($C339&gt;='TIF Loan Amortization'!$H$481,$C339&lt;='TIF Loan Amortization'!I$481),'TIF Loan Amortization'!$G$481,IF(AND($C339&gt;='TIF Loan Amortization'!$H$482,$C339&lt;='TIF Loan Amortization'!I$482),'TIF Loan Amortization'!$G$482,IF(AND($C339&gt;='TIF Loan Amortization'!$H$483,$C339&lt;='TIF Loan Amortization'!I$483),'TIF Loan Amortization'!$G$483,IF(AND($C339&gt;='TIF Loan Amortization'!$H$484,$C339&lt;='TIF Loan Amortization'!I$484),'TIF Loan Amortization'!$G$484,IF(AND($C339&gt;='TIF Loan Amortization'!$H$485,$C339&lt;='TIF Loan Amortization'!I$485),'TIF Loan Amortization'!$G$485,IF(AND($C339&gt;='TIF Loan Amortization'!$H$486,$C339&lt;='TIF Loan Amortization'!I$486),'TIF Loan Amortization'!$G$486,IF(AND($C339&gt;='TIF Loan Amortization'!$H$487,$C339&lt;='TIF Loan Amortization'!I$487),'TIF Loan Amortization'!$G$487,IF(AND($C339&gt;='TIF Loan Amortization'!$H$488,$C339&lt;='TIF Loan Amortization'!I$488),'TIF Loan Amortization'!$G$488,IF(AND($C339&gt;='TIF Loan Amortization'!$H$489,$C339&lt;='TIF Loan Amortization'!I$489),'TIF Loan Amortization'!$G$489,IF(AND($C339&gt;='TIF Loan Amortization'!$H$490,$C339&lt;='TIF Loan Amortization'!I$490),'TIF Loan Amortization'!$G$490,IF(AND($C339&gt;='TIF Loan Amortization'!$H$491,$C339&lt;='TIF Loan Amortization'!I$491),'TIF Loan Amortization'!$G$491,IF(AND($C339&gt;='TIF Loan Amortization'!$H$492,$C339&lt;='TIF Loan Amortization'!I$492),'TIF Loan Amortization'!$G$492,IF(AND($C339&gt;='TIF Loan Amortization'!$H$493,$C339&lt;='TIF Loan Amortization'!I$493),'TIF Loan Amortization'!$G$493,IF(AND($C339&gt;='TIF Loan Amortization'!$H$494,$C339&lt;='TIF Loan Amortization'!I$494),'TIF Loan Amortization'!$G$494,IF(AND($C339&gt;='TIF Loan Amortization'!$H$495,$C339&lt;='TIF Loan Amortization'!I$495),'TIF Loan Amortization'!$G$495,IF(AND($C339&gt;='TIF Loan Amortization'!$H$496,$C339&lt;='TIF Loan Amortization'!I$496),'TIF Loan Amortization'!$G$496,IF(AND($C339&gt;='TIF Loan Amortization'!$H$497,$C339&lt;='TIF Loan Amortization'!I$497),'TIF Loan Amortization'!$G$497,IF(AND($C339&gt;='TIF Loan Amortization'!$H$498,$C339&lt;='TIF Loan Amortization'!I$498),'TIF Loan Amortization'!$G$498,IF(AND($C339&gt;='TIF Loan Amortization'!$H$499,$C339&lt;='TIF Loan Amortization'!I$499),'TIF Loan Amortization'!$G$499,IF(AND($C339&gt;='TIF Loan Amortization'!$H$500,$C339&lt;='TIF Loan Amortization'!I$500),'TIF Loan Amortization'!$G$500,IF(AND($C339&gt;='TIF Loan Amortization'!$H$501,$C339&lt;='TIF Loan Amortization'!I$501),'TIF Loan Amortization'!$G$501,IF(AND($C339&gt;='TIF Loan Amortization'!$H$502,$C339&lt;='TIF Loan Amortization'!I$502),'TIF Loan Amortization'!$G$502,IF(AND($C339&gt;='TIF Loan Amortization'!$H$503,$C339&lt;='TIF Loan Amortization'!I$503),'TIF Loan Amortization'!$G$503,IF(AND($C339&gt;='TIF Loan Amortization'!$H$504,$C339&lt;='TIF Loan Amortization'!I$504),'TIF Loan Amortization'!$G$504,IF(AND($C339&gt;='TIF Loan Amortization'!$H$505,$C339&lt;='TIF Loan Amortization'!I$505),'TIF Loan Amortization'!$G$505,IF(AND($C339&gt;='TIF Loan Amortization'!$H$506,$C339&lt;='TIF Loan Amortization'!I$506),'TIF Loan Amortization'!$G$506,IF(AND($C339&gt;='TIF Loan Amortization'!$H$507,$C339&lt;='TIF Loan Amortization'!I$507),'TIF Loan Amortization'!$G$507,IF(AND($C339&gt;='TIF Loan Amortization'!$H$508,$C339&lt;='TIF Loan Amortization'!I$508),'TIF Loan Amortization'!$G$508,IF(AND($C339&gt;='TIF Loan Amortization'!$H$509,$C339&lt;='TIF Loan Amortization'!I$509),'TIF Loan Amortization'!$G$509,IF(AND($C339&gt;='TIF Loan Amortization'!$H$510,$C339&lt;='TIF Loan Amortization'!I$510),'TIF Loan Amortization'!$G$510,IF(AND($C339&gt;='TIF Loan Amortization'!$H$511,$C339&lt;='TIF Loan Amortization'!I$511),'TIF Loan Amortization'!$G$511,IF(AND($C339&gt;='TIF Loan Amortization'!$H$512,$C339&lt;='TIF Loan Amortization'!I$512),'TIF Loan Amortization'!$G$512,IF(AND($C339&gt;='TIF Loan Amortization'!$H$513,$C339&lt;='TIF Loan Amortization'!I$513),'TIF Loan Amortization'!$G$513,IF(AND($C339&gt;='TIF Loan Amortization'!$H$514,$C339&lt;='TIF Loan Amortization'!I$514),'TIF Loan Amortization'!$G$514,IF(AND($C339&gt;='TIF Loan Amortization'!$H$515,$C339&lt;='TIF Loan Amortization'!I$515),'TIF Loan Amortization'!$G$515,IF(AND($C339&gt;='TIF Loan Amortization'!$H$516,$C339&lt;='TIF Loan Amortization'!I$516),'TIF Loan Amortization'!$G$516,IF(AND($C339&gt;='TIF Loan Amortization'!$H$517,$C339&lt;='TIF Loan Amortization'!I$517),'TIF Loan Amortization'!$G$517,IF(AND($C339&gt;='TIF Loan Amortization'!$H$518,$C339&lt;='TIF Loan Amortization'!I$518),'TIF Loan Amortization'!$G$518,IF(AND($C339&gt;='TIF Loan Amortization'!$H$519,$C339&lt;='TIF Loan Amortization'!I$519),'TIF Loan Amortization'!$G$519))))))))))))))))))))))))))))))))))))))))</f>
        <v>#N/A</v>
      </c>
      <c r="C339" s="269" t="e">
        <f t="shared" si="42"/>
        <v>#N/A</v>
      </c>
      <c r="D339" s="281" t="str">
        <f>IF($AG$423=1,$H$10+25,"")</f>
        <v/>
      </c>
      <c r="E339" s="274">
        <v>289</v>
      </c>
      <c r="F339" s="275" t="str">
        <f>VLOOKUP($AG$423,$AE$422:$AF$433,2)</f>
        <v>Apr</v>
      </c>
      <c r="G339" s="272">
        <f t="shared" si="43"/>
        <v>0</v>
      </c>
      <c r="H339" s="272">
        <f t="shared" si="46"/>
        <v>0</v>
      </c>
      <c r="I339" s="272">
        <f t="shared" si="47"/>
        <v>0</v>
      </c>
      <c r="J339" s="272">
        <f t="shared" si="44"/>
        <v>0</v>
      </c>
      <c r="K339" s="272">
        <f>IF(ISTEXT($M$4),"",SUM(I$50:I339))</f>
        <v>0</v>
      </c>
      <c r="L339" s="272">
        <f>IF(ISTEXT($M$4),"",SUM(J$50:J339))</f>
        <v>0</v>
      </c>
      <c r="M339" s="271">
        <f t="shared" si="45"/>
        <v>0</v>
      </c>
      <c r="N339" s="291" t="e">
        <f>IF(C339='Operating Assumptions'!$C$48,"Construction Finish","")</f>
        <v>#N/A</v>
      </c>
      <c r="O339" s="291"/>
      <c r="P339" s="291"/>
      <c r="Q339" s="291"/>
      <c r="R339" s="291"/>
      <c r="S339" s="291"/>
      <c r="T339" s="280"/>
      <c r="U339" s="280"/>
      <c r="V339" s="286"/>
      <c r="W339" s="286"/>
      <c r="X339" s="286"/>
      <c r="Y339" s="280"/>
      <c r="Z339" s="279"/>
      <c r="AA339" s="279"/>
      <c r="AB339" s="279"/>
    </row>
    <row r="340" spans="2:28" s="278" customFormat="1" ht="13.5" hidden="1" outlineLevel="1" x14ac:dyDescent="0.25">
      <c r="B340" s="270" t="e">
        <f>IF(AND($C340&gt;='TIF Loan Amortization'!$H$480,$C340&lt;='TIF Loan Amortization'!$I$480),'TIF Loan Amortization'!$G$480,IF(AND($C340&gt;='TIF Loan Amortization'!$H$481,$C340&lt;='TIF Loan Amortization'!I$481),'TIF Loan Amortization'!$G$481,IF(AND($C340&gt;='TIF Loan Amortization'!$H$482,$C340&lt;='TIF Loan Amortization'!I$482),'TIF Loan Amortization'!$G$482,IF(AND($C340&gt;='TIF Loan Amortization'!$H$483,$C340&lt;='TIF Loan Amortization'!I$483),'TIF Loan Amortization'!$G$483,IF(AND($C340&gt;='TIF Loan Amortization'!$H$484,$C340&lt;='TIF Loan Amortization'!I$484),'TIF Loan Amortization'!$G$484,IF(AND($C340&gt;='TIF Loan Amortization'!$H$485,$C340&lt;='TIF Loan Amortization'!I$485),'TIF Loan Amortization'!$G$485,IF(AND($C340&gt;='TIF Loan Amortization'!$H$486,$C340&lt;='TIF Loan Amortization'!I$486),'TIF Loan Amortization'!$G$486,IF(AND($C340&gt;='TIF Loan Amortization'!$H$487,$C340&lt;='TIF Loan Amortization'!I$487),'TIF Loan Amortization'!$G$487,IF(AND($C340&gt;='TIF Loan Amortization'!$H$488,$C340&lt;='TIF Loan Amortization'!I$488),'TIF Loan Amortization'!$G$488,IF(AND($C340&gt;='TIF Loan Amortization'!$H$489,$C340&lt;='TIF Loan Amortization'!I$489),'TIF Loan Amortization'!$G$489,IF(AND($C340&gt;='TIF Loan Amortization'!$H$490,$C340&lt;='TIF Loan Amortization'!I$490),'TIF Loan Amortization'!$G$490,IF(AND($C340&gt;='TIF Loan Amortization'!$H$491,$C340&lt;='TIF Loan Amortization'!I$491),'TIF Loan Amortization'!$G$491,IF(AND($C340&gt;='TIF Loan Amortization'!$H$492,$C340&lt;='TIF Loan Amortization'!I$492),'TIF Loan Amortization'!$G$492,IF(AND($C340&gt;='TIF Loan Amortization'!$H$493,$C340&lt;='TIF Loan Amortization'!I$493),'TIF Loan Amortization'!$G$493,IF(AND($C340&gt;='TIF Loan Amortization'!$H$494,$C340&lt;='TIF Loan Amortization'!I$494),'TIF Loan Amortization'!$G$494,IF(AND($C340&gt;='TIF Loan Amortization'!$H$495,$C340&lt;='TIF Loan Amortization'!I$495),'TIF Loan Amortization'!$G$495,IF(AND($C340&gt;='TIF Loan Amortization'!$H$496,$C340&lt;='TIF Loan Amortization'!I$496),'TIF Loan Amortization'!$G$496,IF(AND($C340&gt;='TIF Loan Amortization'!$H$497,$C340&lt;='TIF Loan Amortization'!I$497),'TIF Loan Amortization'!$G$497,IF(AND($C340&gt;='TIF Loan Amortization'!$H$498,$C340&lt;='TIF Loan Amortization'!I$498),'TIF Loan Amortization'!$G$498,IF(AND($C340&gt;='TIF Loan Amortization'!$H$499,$C340&lt;='TIF Loan Amortization'!I$499),'TIF Loan Amortization'!$G$499,IF(AND($C340&gt;='TIF Loan Amortization'!$H$500,$C340&lt;='TIF Loan Amortization'!I$500),'TIF Loan Amortization'!$G$500,IF(AND($C340&gt;='TIF Loan Amortization'!$H$501,$C340&lt;='TIF Loan Amortization'!I$501),'TIF Loan Amortization'!$G$501,IF(AND($C340&gt;='TIF Loan Amortization'!$H$502,$C340&lt;='TIF Loan Amortization'!I$502),'TIF Loan Amortization'!$G$502,IF(AND($C340&gt;='TIF Loan Amortization'!$H$503,$C340&lt;='TIF Loan Amortization'!I$503),'TIF Loan Amortization'!$G$503,IF(AND($C340&gt;='TIF Loan Amortization'!$H$504,$C340&lt;='TIF Loan Amortization'!I$504),'TIF Loan Amortization'!$G$504,IF(AND($C340&gt;='TIF Loan Amortization'!$H$505,$C340&lt;='TIF Loan Amortization'!I$505),'TIF Loan Amortization'!$G$505,IF(AND($C340&gt;='TIF Loan Amortization'!$H$506,$C340&lt;='TIF Loan Amortization'!I$506),'TIF Loan Amortization'!$G$506,IF(AND($C340&gt;='TIF Loan Amortization'!$H$507,$C340&lt;='TIF Loan Amortization'!I$507),'TIF Loan Amortization'!$G$507,IF(AND($C340&gt;='TIF Loan Amortization'!$H$508,$C340&lt;='TIF Loan Amortization'!I$508),'TIF Loan Amortization'!$G$508,IF(AND($C340&gt;='TIF Loan Amortization'!$H$509,$C340&lt;='TIF Loan Amortization'!I$509),'TIF Loan Amortization'!$G$509,IF(AND($C340&gt;='TIF Loan Amortization'!$H$510,$C340&lt;='TIF Loan Amortization'!I$510),'TIF Loan Amortization'!$G$510,IF(AND($C340&gt;='TIF Loan Amortization'!$H$511,$C340&lt;='TIF Loan Amortization'!I$511),'TIF Loan Amortization'!$G$511,IF(AND($C340&gt;='TIF Loan Amortization'!$H$512,$C340&lt;='TIF Loan Amortization'!I$512),'TIF Loan Amortization'!$G$512,IF(AND($C340&gt;='TIF Loan Amortization'!$H$513,$C340&lt;='TIF Loan Amortization'!I$513),'TIF Loan Amortization'!$G$513,IF(AND($C340&gt;='TIF Loan Amortization'!$H$514,$C340&lt;='TIF Loan Amortization'!I$514),'TIF Loan Amortization'!$G$514,IF(AND($C340&gt;='TIF Loan Amortization'!$H$515,$C340&lt;='TIF Loan Amortization'!I$515),'TIF Loan Amortization'!$G$515,IF(AND($C340&gt;='TIF Loan Amortization'!$H$516,$C340&lt;='TIF Loan Amortization'!I$516),'TIF Loan Amortization'!$G$516,IF(AND($C340&gt;='TIF Loan Amortization'!$H$517,$C340&lt;='TIF Loan Amortization'!I$517),'TIF Loan Amortization'!$G$517,IF(AND($C340&gt;='TIF Loan Amortization'!$H$518,$C340&lt;='TIF Loan Amortization'!I$518),'TIF Loan Amortization'!$G$518,IF(AND($C340&gt;='TIF Loan Amortization'!$H$519,$C340&lt;='TIF Loan Amortization'!I$519),'TIF Loan Amortization'!$G$519))))))))))))))))))))))))))))))))))))))))</f>
        <v>#N/A</v>
      </c>
      <c r="C340" s="269" t="e">
        <f t="shared" si="42"/>
        <v>#N/A</v>
      </c>
      <c r="D340" s="281" t="str">
        <f>IF($AG$424=1,$H$10+25,"")</f>
        <v/>
      </c>
      <c r="E340" s="274">
        <v>290</v>
      </c>
      <c r="F340" s="275" t="str">
        <f>VLOOKUP($AG$424,$AE$422:$AF$433,2)</f>
        <v>May</v>
      </c>
      <c r="G340" s="272">
        <f t="shared" si="43"/>
        <v>0</v>
      </c>
      <c r="H340" s="272">
        <f t="shared" si="46"/>
        <v>0</v>
      </c>
      <c r="I340" s="272">
        <f t="shared" si="47"/>
        <v>0</v>
      </c>
      <c r="J340" s="272">
        <f t="shared" si="44"/>
        <v>0</v>
      </c>
      <c r="K340" s="272">
        <f>IF(ISTEXT($M$4),"",SUM(I$50:I340))</f>
        <v>0</v>
      </c>
      <c r="L340" s="272">
        <f>IF(ISTEXT($M$4),"",SUM(J$50:J340))</f>
        <v>0</v>
      </c>
      <c r="M340" s="271">
        <f t="shared" si="45"/>
        <v>0</v>
      </c>
      <c r="N340" s="291" t="e">
        <f>IF(C340='Operating Assumptions'!$C$48,"Construction Finish","")</f>
        <v>#N/A</v>
      </c>
      <c r="O340" s="291"/>
      <c r="P340" s="291"/>
      <c r="Q340" s="291"/>
      <c r="R340" s="291"/>
      <c r="S340" s="291"/>
      <c r="T340" s="280"/>
      <c r="U340" s="280"/>
      <c r="V340" s="286"/>
      <c r="W340" s="286"/>
      <c r="X340" s="286"/>
      <c r="Y340" s="280"/>
      <c r="Z340" s="279"/>
      <c r="AA340" s="279"/>
      <c r="AB340" s="279"/>
    </row>
    <row r="341" spans="2:28" s="278" customFormat="1" ht="13.5" hidden="1" outlineLevel="1" x14ac:dyDescent="0.25">
      <c r="B341" s="270" t="e">
        <f>IF(AND($C341&gt;='TIF Loan Amortization'!$H$480,$C341&lt;='TIF Loan Amortization'!$I$480),'TIF Loan Amortization'!$G$480,IF(AND($C341&gt;='TIF Loan Amortization'!$H$481,$C341&lt;='TIF Loan Amortization'!I$481),'TIF Loan Amortization'!$G$481,IF(AND($C341&gt;='TIF Loan Amortization'!$H$482,$C341&lt;='TIF Loan Amortization'!I$482),'TIF Loan Amortization'!$G$482,IF(AND($C341&gt;='TIF Loan Amortization'!$H$483,$C341&lt;='TIF Loan Amortization'!I$483),'TIF Loan Amortization'!$G$483,IF(AND($C341&gt;='TIF Loan Amortization'!$H$484,$C341&lt;='TIF Loan Amortization'!I$484),'TIF Loan Amortization'!$G$484,IF(AND($C341&gt;='TIF Loan Amortization'!$H$485,$C341&lt;='TIF Loan Amortization'!I$485),'TIF Loan Amortization'!$G$485,IF(AND($C341&gt;='TIF Loan Amortization'!$H$486,$C341&lt;='TIF Loan Amortization'!I$486),'TIF Loan Amortization'!$G$486,IF(AND($C341&gt;='TIF Loan Amortization'!$H$487,$C341&lt;='TIF Loan Amortization'!I$487),'TIF Loan Amortization'!$G$487,IF(AND($C341&gt;='TIF Loan Amortization'!$H$488,$C341&lt;='TIF Loan Amortization'!I$488),'TIF Loan Amortization'!$G$488,IF(AND($C341&gt;='TIF Loan Amortization'!$H$489,$C341&lt;='TIF Loan Amortization'!I$489),'TIF Loan Amortization'!$G$489,IF(AND($C341&gt;='TIF Loan Amortization'!$H$490,$C341&lt;='TIF Loan Amortization'!I$490),'TIF Loan Amortization'!$G$490,IF(AND($C341&gt;='TIF Loan Amortization'!$H$491,$C341&lt;='TIF Loan Amortization'!I$491),'TIF Loan Amortization'!$G$491,IF(AND($C341&gt;='TIF Loan Amortization'!$H$492,$C341&lt;='TIF Loan Amortization'!I$492),'TIF Loan Amortization'!$G$492,IF(AND($C341&gt;='TIF Loan Amortization'!$H$493,$C341&lt;='TIF Loan Amortization'!I$493),'TIF Loan Amortization'!$G$493,IF(AND($C341&gt;='TIF Loan Amortization'!$H$494,$C341&lt;='TIF Loan Amortization'!I$494),'TIF Loan Amortization'!$G$494,IF(AND($C341&gt;='TIF Loan Amortization'!$H$495,$C341&lt;='TIF Loan Amortization'!I$495),'TIF Loan Amortization'!$G$495,IF(AND($C341&gt;='TIF Loan Amortization'!$H$496,$C341&lt;='TIF Loan Amortization'!I$496),'TIF Loan Amortization'!$G$496,IF(AND($C341&gt;='TIF Loan Amortization'!$H$497,$C341&lt;='TIF Loan Amortization'!I$497),'TIF Loan Amortization'!$G$497,IF(AND($C341&gt;='TIF Loan Amortization'!$H$498,$C341&lt;='TIF Loan Amortization'!I$498),'TIF Loan Amortization'!$G$498,IF(AND($C341&gt;='TIF Loan Amortization'!$H$499,$C341&lt;='TIF Loan Amortization'!I$499),'TIF Loan Amortization'!$G$499,IF(AND($C341&gt;='TIF Loan Amortization'!$H$500,$C341&lt;='TIF Loan Amortization'!I$500),'TIF Loan Amortization'!$G$500,IF(AND($C341&gt;='TIF Loan Amortization'!$H$501,$C341&lt;='TIF Loan Amortization'!I$501),'TIF Loan Amortization'!$G$501,IF(AND($C341&gt;='TIF Loan Amortization'!$H$502,$C341&lt;='TIF Loan Amortization'!I$502),'TIF Loan Amortization'!$G$502,IF(AND($C341&gt;='TIF Loan Amortization'!$H$503,$C341&lt;='TIF Loan Amortization'!I$503),'TIF Loan Amortization'!$G$503,IF(AND($C341&gt;='TIF Loan Amortization'!$H$504,$C341&lt;='TIF Loan Amortization'!I$504),'TIF Loan Amortization'!$G$504,IF(AND($C341&gt;='TIF Loan Amortization'!$H$505,$C341&lt;='TIF Loan Amortization'!I$505),'TIF Loan Amortization'!$G$505,IF(AND($C341&gt;='TIF Loan Amortization'!$H$506,$C341&lt;='TIF Loan Amortization'!I$506),'TIF Loan Amortization'!$G$506,IF(AND($C341&gt;='TIF Loan Amortization'!$H$507,$C341&lt;='TIF Loan Amortization'!I$507),'TIF Loan Amortization'!$G$507,IF(AND($C341&gt;='TIF Loan Amortization'!$H$508,$C341&lt;='TIF Loan Amortization'!I$508),'TIF Loan Amortization'!$G$508,IF(AND($C341&gt;='TIF Loan Amortization'!$H$509,$C341&lt;='TIF Loan Amortization'!I$509),'TIF Loan Amortization'!$G$509,IF(AND($C341&gt;='TIF Loan Amortization'!$H$510,$C341&lt;='TIF Loan Amortization'!I$510),'TIF Loan Amortization'!$G$510,IF(AND($C341&gt;='TIF Loan Amortization'!$H$511,$C341&lt;='TIF Loan Amortization'!I$511),'TIF Loan Amortization'!$G$511,IF(AND($C341&gt;='TIF Loan Amortization'!$H$512,$C341&lt;='TIF Loan Amortization'!I$512),'TIF Loan Amortization'!$G$512,IF(AND($C341&gt;='TIF Loan Amortization'!$H$513,$C341&lt;='TIF Loan Amortization'!I$513),'TIF Loan Amortization'!$G$513,IF(AND($C341&gt;='TIF Loan Amortization'!$H$514,$C341&lt;='TIF Loan Amortization'!I$514),'TIF Loan Amortization'!$G$514,IF(AND($C341&gt;='TIF Loan Amortization'!$H$515,$C341&lt;='TIF Loan Amortization'!I$515),'TIF Loan Amortization'!$G$515,IF(AND($C341&gt;='TIF Loan Amortization'!$H$516,$C341&lt;='TIF Loan Amortization'!I$516),'TIF Loan Amortization'!$G$516,IF(AND($C341&gt;='TIF Loan Amortization'!$H$517,$C341&lt;='TIF Loan Amortization'!I$517),'TIF Loan Amortization'!$G$517,IF(AND($C341&gt;='TIF Loan Amortization'!$H$518,$C341&lt;='TIF Loan Amortization'!I$518),'TIF Loan Amortization'!$G$518,IF(AND($C341&gt;='TIF Loan Amortization'!$H$519,$C341&lt;='TIF Loan Amortization'!I$519),'TIF Loan Amortization'!$G$519))))))))))))))))))))))))))))))))))))))))</f>
        <v>#N/A</v>
      </c>
      <c r="C341" s="269" t="e">
        <f t="shared" si="42"/>
        <v>#N/A</v>
      </c>
      <c r="D341" s="281" t="str">
        <f>IF($AG$425=1,$H$10+25,"")</f>
        <v/>
      </c>
      <c r="E341" s="274">
        <v>291</v>
      </c>
      <c r="F341" s="275" t="str">
        <f>VLOOKUP($AG$425,$AE$422:$AF$433,2)</f>
        <v>Jun</v>
      </c>
      <c r="G341" s="272">
        <f t="shared" si="43"/>
        <v>0</v>
      </c>
      <c r="H341" s="272">
        <f t="shared" si="46"/>
        <v>0</v>
      </c>
      <c r="I341" s="272">
        <f t="shared" si="47"/>
        <v>0</v>
      </c>
      <c r="J341" s="272">
        <f t="shared" si="44"/>
        <v>0</v>
      </c>
      <c r="K341" s="272">
        <f>IF(ISTEXT($M$4),"",SUM(I$50:I341))</f>
        <v>0</v>
      </c>
      <c r="L341" s="272">
        <f>IF(ISTEXT($M$4),"",SUM(J$50:J341))</f>
        <v>0</v>
      </c>
      <c r="M341" s="271">
        <f t="shared" si="45"/>
        <v>0</v>
      </c>
      <c r="N341" s="291" t="e">
        <f>IF(C341='Operating Assumptions'!$C$48,"Construction Finish","")</f>
        <v>#N/A</v>
      </c>
      <c r="O341" s="291"/>
      <c r="P341" s="291"/>
      <c r="Q341" s="291"/>
      <c r="R341" s="291"/>
      <c r="S341" s="291"/>
      <c r="T341" s="280"/>
      <c r="U341" s="280"/>
      <c r="V341" s="286"/>
      <c r="W341" s="286"/>
      <c r="X341" s="286"/>
      <c r="Y341" s="280"/>
      <c r="Z341" s="279"/>
      <c r="AA341" s="279"/>
      <c r="AB341" s="279"/>
    </row>
    <row r="342" spans="2:28" s="278" customFormat="1" ht="13.5" hidden="1" outlineLevel="1" x14ac:dyDescent="0.25">
      <c r="B342" s="270" t="e">
        <f>IF(AND($C342&gt;='TIF Loan Amortization'!$H$480,$C342&lt;='TIF Loan Amortization'!$I$480),'TIF Loan Amortization'!$G$480,IF(AND($C342&gt;='TIF Loan Amortization'!$H$481,$C342&lt;='TIF Loan Amortization'!I$481),'TIF Loan Amortization'!$G$481,IF(AND($C342&gt;='TIF Loan Amortization'!$H$482,$C342&lt;='TIF Loan Amortization'!I$482),'TIF Loan Amortization'!$G$482,IF(AND($C342&gt;='TIF Loan Amortization'!$H$483,$C342&lt;='TIF Loan Amortization'!I$483),'TIF Loan Amortization'!$G$483,IF(AND($C342&gt;='TIF Loan Amortization'!$H$484,$C342&lt;='TIF Loan Amortization'!I$484),'TIF Loan Amortization'!$G$484,IF(AND($C342&gt;='TIF Loan Amortization'!$H$485,$C342&lt;='TIF Loan Amortization'!I$485),'TIF Loan Amortization'!$G$485,IF(AND($C342&gt;='TIF Loan Amortization'!$H$486,$C342&lt;='TIF Loan Amortization'!I$486),'TIF Loan Amortization'!$G$486,IF(AND($C342&gt;='TIF Loan Amortization'!$H$487,$C342&lt;='TIF Loan Amortization'!I$487),'TIF Loan Amortization'!$G$487,IF(AND($C342&gt;='TIF Loan Amortization'!$H$488,$C342&lt;='TIF Loan Amortization'!I$488),'TIF Loan Amortization'!$G$488,IF(AND($C342&gt;='TIF Loan Amortization'!$H$489,$C342&lt;='TIF Loan Amortization'!I$489),'TIF Loan Amortization'!$G$489,IF(AND($C342&gt;='TIF Loan Amortization'!$H$490,$C342&lt;='TIF Loan Amortization'!I$490),'TIF Loan Amortization'!$G$490,IF(AND($C342&gt;='TIF Loan Amortization'!$H$491,$C342&lt;='TIF Loan Amortization'!I$491),'TIF Loan Amortization'!$G$491,IF(AND($C342&gt;='TIF Loan Amortization'!$H$492,$C342&lt;='TIF Loan Amortization'!I$492),'TIF Loan Amortization'!$G$492,IF(AND($C342&gt;='TIF Loan Amortization'!$H$493,$C342&lt;='TIF Loan Amortization'!I$493),'TIF Loan Amortization'!$G$493,IF(AND($C342&gt;='TIF Loan Amortization'!$H$494,$C342&lt;='TIF Loan Amortization'!I$494),'TIF Loan Amortization'!$G$494,IF(AND($C342&gt;='TIF Loan Amortization'!$H$495,$C342&lt;='TIF Loan Amortization'!I$495),'TIF Loan Amortization'!$G$495,IF(AND($C342&gt;='TIF Loan Amortization'!$H$496,$C342&lt;='TIF Loan Amortization'!I$496),'TIF Loan Amortization'!$G$496,IF(AND($C342&gt;='TIF Loan Amortization'!$H$497,$C342&lt;='TIF Loan Amortization'!I$497),'TIF Loan Amortization'!$G$497,IF(AND($C342&gt;='TIF Loan Amortization'!$H$498,$C342&lt;='TIF Loan Amortization'!I$498),'TIF Loan Amortization'!$G$498,IF(AND($C342&gt;='TIF Loan Amortization'!$H$499,$C342&lt;='TIF Loan Amortization'!I$499),'TIF Loan Amortization'!$G$499,IF(AND($C342&gt;='TIF Loan Amortization'!$H$500,$C342&lt;='TIF Loan Amortization'!I$500),'TIF Loan Amortization'!$G$500,IF(AND($C342&gt;='TIF Loan Amortization'!$H$501,$C342&lt;='TIF Loan Amortization'!I$501),'TIF Loan Amortization'!$G$501,IF(AND($C342&gt;='TIF Loan Amortization'!$H$502,$C342&lt;='TIF Loan Amortization'!I$502),'TIF Loan Amortization'!$G$502,IF(AND($C342&gt;='TIF Loan Amortization'!$H$503,$C342&lt;='TIF Loan Amortization'!I$503),'TIF Loan Amortization'!$G$503,IF(AND($C342&gt;='TIF Loan Amortization'!$H$504,$C342&lt;='TIF Loan Amortization'!I$504),'TIF Loan Amortization'!$G$504,IF(AND($C342&gt;='TIF Loan Amortization'!$H$505,$C342&lt;='TIF Loan Amortization'!I$505),'TIF Loan Amortization'!$G$505,IF(AND($C342&gt;='TIF Loan Amortization'!$H$506,$C342&lt;='TIF Loan Amortization'!I$506),'TIF Loan Amortization'!$G$506,IF(AND($C342&gt;='TIF Loan Amortization'!$H$507,$C342&lt;='TIF Loan Amortization'!I$507),'TIF Loan Amortization'!$G$507,IF(AND($C342&gt;='TIF Loan Amortization'!$H$508,$C342&lt;='TIF Loan Amortization'!I$508),'TIF Loan Amortization'!$G$508,IF(AND($C342&gt;='TIF Loan Amortization'!$H$509,$C342&lt;='TIF Loan Amortization'!I$509),'TIF Loan Amortization'!$G$509,IF(AND($C342&gt;='TIF Loan Amortization'!$H$510,$C342&lt;='TIF Loan Amortization'!I$510),'TIF Loan Amortization'!$G$510,IF(AND($C342&gt;='TIF Loan Amortization'!$H$511,$C342&lt;='TIF Loan Amortization'!I$511),'TIF Loan Amortization'!$G$511,IF(AND($C342&gt;='TIF Loan Amortization'!$H$512,$C342&lt;='TIF Loan Amortization'!I$512),'TIF Loan Amortization'!$G$512,IF(AND($C342&gt;='TIF Loan Amortization'!$H$513,$C342&lt;='TIF Loan Amortization'!I$513),'TIF Loan Amortization'!$G$513,IF(AND($C342&gt;='TIF Loan Amortization'!$H$514,$C342&lt;='TIF Loan Amortization'!I$514),'TIF Loan Amortization'!$G$514,IF(AND($C342&gt;='TIF Loan Amortization'!$H$515,$C342&lt;='TIF Loan Amortization'!I$515),'TIF Loan Amortization'!$G$515,IF(AND($C342&gt;='TIF Loan Amortization'!$H$516,$C342&lt;='TIF Loan Amortization'!I$516),'TIF Loan Amortization'!$G$516,IF(AND($C342&gt;='TIF Loan Amortization'!$H$517,$C342&lt;='TIF Loan Amortization'!I$517),'TIF Loan Amortization'!$G$517,IF(AND($C342&gt;='TIF Loan Amortization'!$H$518,$C342&lt;='TIF Loan Amortization'!I$518),'TIF Loan Amortization'!$G$518,IF(AND($C342&gt;='TIF Loan Amortization'!$H$519,$C342&lt;='TIF Loan Amortization'!I$519),'TIF Loan Amortization'!$G$519))))))))))))))))))))))))))))))))))))))))</f>
        <v>#N/A</v>
      </c>
      <c r="C342" s="269" t="e">
        <f t="shared" si="42"/>
        <v>#N/A</v>
      </c>
      <c r="D342" s="281" t="str">
        <f>IF($AG$426=1,$H$10+25,"")</f>
        <v/>
      </c>
      <c r="E342" s="274">
        <v>292</v>
      </c>
      <c r="F342" s="275" t="str">
        <f>VLOOKUP($AG$426,$AE$422:$AF$433,2)</f>
        <v>Jul</v>
      </c>
      <c r="G342" s="272">
        <f t="shared" si="43"/>
        <v>0</v>
      </c>
      <c r="H342" s="272">
        <f t="shared" si="46"/>
        <v>0</v>
      </c>
      <c r="I342" s="272">
        <f t="shared" si="47"/>
        <v>0</v>
      </c>
      <c r="J342" s="272">
        <f t="shared" si="44"/>
        <v>0</v>
      </c>
      <c r="K342" s="272">
        <f>IF(ISTEXT($M$4),"",SUM(I$50:I342))</f>
        <v>0</v>
      </c>
      <c r="L342" s="272">
        <f>IF(ISTEXT($M$4),"",SUM(J$50:J342))</f>
        <v>0</v>
      </c>
      <c r="M342" s="271">
        <f t="shared" si="45"/>
        <v>0</v>
      </c>
      <c r="N342" s="291" t="e">
        <f>IF(C342='Operating Assumptions'!$C$48,"Construction Finish","")</f>
        <v>#N/A</v>
      </c>
      <c r="O342" s="291"/>
      <c r="P342" s="291"/>
      <c r="Q342" s="291"/>
      <c r="R342" s="291"/>
      <c r="S342" s="291"/>
      <c r="T342" s="280"/>
      <c r="U342" s="280"/>
      <c r="V342" s="286"/>
      <c r="W342" s="286"/>
      <c r="X342" s="286"/>
      <c r="Y342" s="280"/>
      <c r="Z342" s="279"/>
      <c r="AA342" s="279"/>
      <c r="AB342" s="279"/>
    </row>
    <row r="343" spans="2:28" s="278" customFormat="1" ht="13.5" hidden="1" outlineLevel="1" x14ac:dyDescent="0.25">
      <c r="B343" s="270" t="e">
        <f>IF(AND($C343&gt;='TIF Loan Amortization'!$H$480,$C343&lt;='TIF Loan Amortization'!$I$480),'TIF Loan Amortization'!$G$480,IF(AND($C343&gt;='TIF Loan Amortization'!$H$481,$C343&lt;='TIF Loan Amortization'!I$481),'TIF Loan Amortization'!$G$481,IF(AND($C343&gt;='TIF Loan Amortization'!$H$482,$C343&lt;='TIF Loan Amortization'!I$482),'TIF Loan Amortization'!$G$482,IF(AND($C343&gt;='TIF Loan Amortization'!$H$483,$C343&lt;='TIF Loan Amortization'!I$483),'TIF Loan Amortization'!$G$483,IF(AND($C343&gt;='TIF Loan Amortization'!$H$484,$C343&lt;='TIF Loan Amortization'!I$484),'TIF Loan Amortization'!$G$484,IF(AND($C343&gt;='TIF Loan Amortization'!$H$485,$C343&lt;='TIF Loan Amortization'!I$485),'TIF Loan Amortization'!$G$485,IF(AND($C343&gt;='TIF Loan Amortization'!$H$486,$C343&lt;='TIF Loan Amortization'!I$486),'TIF Loan Amortization'!$G$486,IF(AND($C343&gt;='TIF Loan Amortization'!$H$487,$C343&lt;='TIF Loan Amortization'!I$487),'TIF Loan Amortization'!$G$487,IF(AND($C343&gt;='TIF Loan Amortization'!$H$488,$C343&lt;='TIF Loan Amortization'!I$488),'TIF Loan Amortization'!$G$488,IF(AND($C343&gt;='TIF Loan Amortization'!$H$489,$C343&lt;='TIF Loan Amortization'!I$489),'TIF Loan Amortization'!$G$489,IF(AND($C343&gt;='TIF Loan Amortization'!$H$490,$C343&lt;='TIF Loan Amortization'!I$490),'TIF Loan Amortization'!$G$490,IF(AND($C343&gt;='TIF Loan Amortization'!$H$491,$C343&lt;='TIF Loan Amortization'!I$491),'TIF Loan Amortization'!$G$491,IF(AND($C343&gt;='TIF Loan Amortization'!$H$492,$C343&lt;='TIF Loan Amortization'!I$492),'TIF Loan Amortization'!$G$492,IF(AND($C343&gt;='TIF Loan Amortization'!$H$493,$C343&lt;='TIF Loan Amortization'!I$493),'TIF Loan Amortization'!$G$493,IF(AND($C343&gt;='TIF Loan Amortization'!$H$494,$C343&lt;='TIF Loan Amortization'!I$494),'TIF Loan Amortization'!$G$494,IF(AND($C343&gt;='TIF Loan Amortization'!$H$495,$C343&lt;='TIF Loan Amortization'!I$495),'TIF Loan Amortization'!$G$495,IF(AND($C343&gt;='TIF Loan Amortization'!$H$496,$C343&lt;='TIF Loan Amortization'!I$496),'TIF Loan Amortization'!$G$496,IF(AND($C343&gt;='TIF Loan Amortization'!$H$497,$C343&lt;='TIF Loan Amortization'!I$497),'TIF Loan Amortization'!$G$497,IF(AND($C343&gt;='TIF Loan Amortization'!$H$498,$C343&lt;='TIF Loan Amortization'!I$498),'TIF Loan Amortization'!$G$498,IF(AND($C343&gt;='TIF Loan Amortization'!$H$499,$C343&lt;='TIF Loan Amortization'!I$499),'TIF Loan Amortization'!$G$499,IF(AND($C343&gt;='TIF Loan Amortization'!$H$500,$C343&lt;='TIF Loan Amortization'!I$500),'TIF Loan Amortization'!$G$500,IF(AND($C343&gt;='TIF Loan Amortization'!$H$501,$C343&lt;='TIF Loan Amortization'!I$501),'TIF Loan Amortization'!$G$501,IF(AND($C343&gt;='TIF Loan Amortization'!$H$502,$C343&lt;='TIF Loan Amortization'!I$502),'TIF Loan Amortization'!$G$502,IF(AND($C343&gt;='TIF Loan Amortization'!$H$503,$C343&lt;='TIF Loan Amortization'!I$503),'TIF Loan Amortization'!$G$503,IF(AND($C343&gt;='TIF Loan Amortization'!$H$504,$C343&lt;='TIF Loan Amortization'!I$504),'TIF Loan Amortization'!$G$504,IF(AND($C343&gt;='TIF Loan Amortization'!$H$505,$C343&lt;='TIF Loan Amortization'!I$505),'TIF Loan Amortization'!$G$505,IF(AND($C343&gt;='TIF Loan Amortization'!$H$506,$C343&lt;='TIF Loan Amortization'!I$506),'TIF Loan Amortization'!$G$506,IF(AND($C343&gt;='TIF Loan Amortization'!$H$507,$C343&lt;='TIF Loan Amortization'!I$507),'TIF Loan Amortization'!$G$507,IF(AND($C343&gt;='TIF Loan Amortization'!$H$508,$C343&lt;='TIF Loan Amortization'!I$508),'TIF Loan Amortization'!$G$508,IF(AND($C343&gt;='TIF Loan Amortization'!$H$509,$C343&lt;='TIF Loan Amortization'!I$509),'TIF Loan Amortization'!$G$509,IF(AND($C343&gt;='TIF Loan Amortization'!$H$510,$C343&lt;='TIF Loan Amortization'!I$510),'TIF Loan Amortization'!$G$510,IF(AND($C343&gt;='TIF Loan Amortization'!$H$511,$C343&lt;='TIF Loan Amortization'!I$511),'TIF Loan Amortization'!$G$511,IF(AND($C343&gt;='TIF Loan Amortization'!$H$512,$C343&lt;='TIF Loan Amortization'!I$512),'TIF Loan Amortization'!$G$512,IF(AND($C343&gt;='TIF Loan Amortization'!$H$513,$C343&lt;='TIF Loan Amortization'!I$513),'TIF Loan Amortization'!$G$513,IF(AND($C343&gt;='TIF Loan Amortization'!$H$514,$C343&lt;='TIF Loan Amortization'!I$514),'TIF Loan Amortization'!$G$514,IF(AND($C343&gt;='TIF Loan Amortization'!$H$515,$C343&lt;='TIF Loan Amortization'!I$515),'TIF Loan Amortization'!$G$515,IF(AND($C343&gt;='TIF Loan Amortization'!$H$516,$C343&lt;='TIF Loan Amortization'!I$516),'TIF Loan Amortization'!$G$516,IF(AND($C343&gt;='TIF Loan Amortization'!$H$517,$C343&lt;='TIF Loan Amortization'!I$517),'TIF Loan Amortization'!$G$517,IF(AND($C343&gt;='TIF Loan Amortization'!$H$518,$C343&lt;='TIF Loan Amortization'!I$518),'TIF Loan Amortization'!$G$518,IF(AND($C343&gt;='TIF Loan Amortization'!$H$519,$C343&lt;='TIF Loan Amortization'!I$519),'TIF Loan Amortization'!$G$519))))))))))))))))))))))))))))))))))))))))</f>
        <v>#N/A</v>
      </c>
      <c r="C343" s="269" t="e">
        <f t="shared" si="42"/>
        <v>#N/A</v>
      </c>
      <c r="D343" s="281" t="str">
        <f>IF($AG$427=1,$H$10+25,"")</f>
        <v/>
      </c>
      <c r="E343" s="274">
        <v>293</v>
      </c>
      <c r="F343" s="275" t="str">
        <f>VLOOKUP($AG$427,$AE$422:$AF$433,2)</f>
        <v>Aug</v>
      </c>
      <c r="G343" s="272">
        <f t="shared" si="43"/>
        <v>0</v>
      </c>
      <c r="H343" s="272">
        <f t="shared" si="46"/>
        <v>0</v>
      </c>
      <c r="I343" s="272">
        <f t="shared" si="47"/>
        <v>0</v>
      </c>
      <c r="J343" s="272">
        <f t="shared" si="44"/>
        <v>0</v>
      </c>
      <c r="K343" s="272">
        <f>IF(ISTEXT($M$4),"",SUM(I$50:I343))</f>
        <v>0</v>
      </c>
      <c r="L343" s="272">
        <f>IF(ISTEXT($M$4),"",SUM(J$50:J343))</f>
        <v>0</v>
      </c>
      <c r="M343" s="271">
        <f t="shared" si="45"/>
        <v>0</v>
      </c>
      <c r="N343" s="291" t="e">
        <f>IF(C343='Operating Assumptions'!$C$48,"Construction Finish","")</f>
        <v>#N/A</v>
      </c>
      <c r="O343" s="291"/>
      <c r="P343" s="291"/>
      <c r="Q343" s="291"/>
      <c r="R343" s="291"/>
      <c r="S343" s="291"/>
      <c r="T343" s="280"/>
      <c r="U343" s="280"/>
      <c r="V343" s="286"/>
      <c r="W343" s="286"/>
      <c r="X343" s="286"/>
      <c r="Y343" s="280"/>
      <c r="Z343" s="279"/>
      <c r="AA343" s="279"/>
      <c r="AB343" s="279"/>
    </row>
    <row r="344" spans="2:28" s="278" customFormat="1" ht="13.5" hidden="1" outlineLevel="1" x14ac:dyDescent="0.25">
      <c r="B344" s="270" t="e">
        <f>IF(AND($C344&gt;='TIF Loan Amortization'!$H$480,$C344&lt;='TIF Loan Amortization'!$I$480),'TIF Loan Amortization'!$G$480,IF(AND($C344&gt;='TIF Loan Amortization'!$H$481,$C344&lt;='TIF Loan Amortization'!I$481),'TIF Loan Amortization'!$G$481,IF(AND($C344&gt;='TIF Loan Amortization'!$H$482,$C344&lt;='TIF Loan Amortization'!I$482),'TIF Loan Amortization'!$G$482,IF(AND($C344&gt;='TIF Loan Amortization'!$H$483,$C344&lt;='TIF Loan Amortization'!I$483),'TIF Loan Amortization'!$G$483,IF(AND($C344&gt;='TIF Loan Amortization'!$H$484,$C344&lt;='TIF Loan Amortization'!I$484),'TIF Loan Amortization'!$G$484,IF(AND($C344&gt;='TIF Loan Amortization'!$H$485,$C344&lt;='TIF Loan Amortization'!I$485),'TIF Loan Amortization'!$G$485,IF(AND($C344&gt;='TIF Loan Amortization'!$H$486,$C344&lt;='TIF Loan Amortization'!I$486),'TIF Loan Amortization'!$G$486,IF(AND($C344&gt;='TIF Loan Amortization'!$H$487,$C344&lt;='TIF Loan Amortization'!I$487),'TIF Loan Amortization'!$G$487,IF(AND($C344&gt;='TIF Loan Amortization'!$H$488,$C344&lt;='TIF Loan Amortization'!I$488),'TIF Loan Amortization'!$G$488,IF(AND($C344&gt;='TIF Loan Amortization'!$H$489,$C344&lt;='TIF Loan Amortization'!I$489),'TIF Loan Amortization'!$G$489,IF(AND($C344&gt;='TIF Loan Amortization'!$H$490,$C344&lt;='TIF Loan Amortization'!I$490),'TIF Loan Amortization'!$G$490,IF(AND($C344&gt;='TIF Loan Amortization'!$H$491,$C344&lt;='TIF Loan Amortization'!I$491),'TIF Loan Amortization'!$G$491,IF(AND($C344&gt;='TIF Loan Amortization'!$H$492,$C344&lt;='TIF Loan Amortization'!I$492),'TIF Loan Amortization'!$G$492,IF(AND($C344&gt;='TIF Loan Amortization'!$H$493,$C344&lt;='TIF Loan Amortization'!I$493),'TIF Loan Amortization'!$G$493,IF(AND($C344&gt;='TIF Loan Amortization'!$H$494,$C344&lt;='TIF Loan Amortization'!I$494),'TIF Loan Amortization'!$G$494,IF(AND($C344&gt;='TIF Loan Amortization'!$H$495,$C344&lt;='TIF Loan Amortization'!I$495),'TIF Loan Amortization'!$G$495,IF(AND($C344&gt;='TIF Loan Amortization'!$H$496,$C344&lt;='TIF Loan Amortization'!I$496),'TIF Loan Amortization'!$G$496,IF(AND($C344&gt;='TIF Loan Amortization'!$H$497,$C344&lt;='TIF Loan Amortization'!I$497),'TIF Loan Amortization'!$G$497,IF(AND($C344&gt;='TIF Loan Amortization'!$H$498,$C344&lt;='TIF Loan Amortization'!I$498),'TIF Loan Amortization'!$G$498,IF(AND($C344&gt;='TIF Loan Amortization'!$H$499,$C344&lt;='TIF Loan Amortization'!I$499),'TIF Loan Amortization'!$G$499,IF(AND($C344&gt;='TIF Loan Amortization'!$H$500,$C344&lt;='TIF Loan Amortization'!I$500),'TIF Loan Amortization'!$G$500,IF(AND($C344&gt;='TIF Loan Amortization'!$H$501,$C344&lt;='TIF Loan Amortization'!I$501),'TIF Loan Amortization'!$G$501,IF(AND($C344&gt;='TIF Loan Amortization'!$H$502,$C344&lt;='TIF Loan Amortization'!I$502),'TIF Loan Amortization'!$G$502,IF(AND($C344&gt;='TIF Loan Amortization'!$H$503,$C344&lt;='TIF Loan Amortization'!I$503),'TIF Loan Amortization'!$G$503,IF(AND($C344&gt;='TIF Loan Amortization'!$H$504,$C344&lt;='TIF Loan Amortization'!I$504),'TIF Loan Amortization'!$G$504,IF(AND($C344&gt;='TIF Loan Amortization'!$H$505,$C344&lt;='TIF Loan Amortization'!I$505),'TIF Loan Amortization'!$G$505,IF(AND($C344&gt;='TIF Loan Amortization'!$H$506,$C344&lt;='TIF Loan Amortization'!I$506),'TIF Loan Amortization'!$G$506,IF(AND($C344&gt;='TIF Loan Amortization'!$H$507,$C344&lt;='TIF Loan Amortization'!I$507),'TIF Loan Amortization'!$G$507,IF(AND($C344&gt;='TIF Loan Amortization'!$H$508,$C344&lt;='TIF Loan Amortization'!I$508),'TIF Loan Amortization'!$G$508,IF(AND($C344&gt;='TIF Loan Amortization'!$H$509,$C344&lt;='TIF Loan Amortization'!I$509),'TIF Loan Amortization'!$G$509,IF(AND($C344&gt;='TIF Loan Amortization'!$H$510,$C344&lt;='TIF Loan Amortization'!I$510),'TIF Loan Amortization'!$G$510,IF(AND($C344&gt;='TIF Loan Amortization'!$H$511,$C344&lt;='TIF Loan Amortization'!I$511),'TIF Loan Amortization'!$G$511,IF(AND($C344&gt;='TIF Loan Amortization'!$H$512,$C344&lt;='TIF Loan Amortization'!I$512),'TIF Loan Amortization'!$G$512,IF(AND($C344&gt;='TIF Loan Amortization'!$H$513,$C344&lt;='TIF Loan Amortization'!I$513),'TIF Loan Amortization'!$G$513,IF(AND($C344&gt;='TIF Loan Amortization'!$H$514,$C344&lt;='TIF Loan Amortization'!I$514),'TIF Loan Amortization'!$G$514,IF(AND($C344&gt;='TIF Loan Amortization'!$H$515,$C344&lt;='TIF Loan Amortization'!I$515),'TIF Loan Amortization'!$G$515,IF(AND($C344&gt;='TIF Loan Amortization'!$H$516,$C344&lt;='TIF Loan Amortization'!I$516),'TIF Loan Amortization'!$G$516,IF(AND($C344&gt;='TIF Loan Amortization'!$H$517,$C344&lt;='TIF Loan Amortization'!I$517),'TIF Loan Amortization'!$G$517,IF(AND($C344&gt;='TIF Loan Amortization'!$H$518,$C344&lt;='TIF Loan Amortization'!I$518),'TIF Loan Amortization'!$G$518,IF(AND($C344&gt;='TIF Loan Amortization'!$H$519,$C344&lt;='TIF Loan Amortization'!I$519),'TIF Loan Amortization'!$G$519))))))))))))))))))))))))))))))))))))))))</f>
        <v>#N/A</v>
      </c>
      <c r="C344" s="269" t="e">
        <f t="shared" si="42"/>
        <v>#N/A</v>
      </c>
      <c r="D344" s="281" t="str">
        <f>IF($AG$428=1,$H$10+25,"")</f>
        <v/>
      </c>
      <c r="E344" s="274">
        <v>294</v>
      </c>
      <c r="F344" s="275" t="str">
        <f>VLOOKUP($AG$428,$AE$422:$AF$433,2)</f>
        <v>Sep</v>
      </c>
      <c r="G344" s="272">
        <f t="shared" si="43"/>
        <v>0</v>
      </c>
      <c r="H344" s="272">
        <f t="shared" si="46"/>
        <v>0</v>
      </c>
      <c r="I344" s="272">
        <f t="shared" si="47"/>
        <v>0</v>
      </c>
      <c r="J344" s="272">
        <f t="shared" si="44"/>
        <v>0</v>
      </c>
      <c r="K344" s="272">
        <f>IF(ISTEXT($M$4),"",SUM(I$50:I344))</f>
        <v>0</v>
      </c>
      <c r="L344" s="272">
        <f>IF(ISTEXT($M$4),"",SUM(J$50:J344))</f>
        <v>0</v>
      </c>
      <c r="M344" s="271">
        <f t="shared" si="45"/>
        <v>0</v>
      </c>
      <c r="N344" s="291" t="e">
        <f>IF(C344='Operating Assumptions'!$C$48,"Construction Finish","")</f>
        <v>#N/A</v>
      </c>
      <c r="O344" s="291"/>
      <c r="P344" s="291"/>
      <c r="Q344" s="291"/>
      <c r="R344" s="291"/>
      <c r="S344" s="291"/>
      <c r="T344" s="280"/>
      <c r="U344" s="280"/>
      <c r="V344" s="286"/>
      <c r="W344" s="286"/>
      <c r="X344" s="286"/>
      <c r="Y344" s="280"/>
      <c r="Z344" s="279"/>
      <c r="AA344" s="279"/>
      <c r="AB344" s="279"/>
    </row>
    <row r="345" spans="2:28" s="278" customFormat="1" ht="13.5" hidden="1" outlineLevel="1" x14ac:dyDescent="0.25">
      <c r="B345" s="270" t="e">
        <f>IF(AND($C345&gt;='TIF Loan Amortization'!$H$480,$C345&lt;='TIF Loan Amortization'!$I$480),'TIF Loan Amortization'!$G$480,IF(AND($C345&gt;='TIF Loan Amortization'!$H$481,$C345&lt;='TIF Loan Amortization'!I$481),'TIF Loan Amortization'!$G$481,IF(AND($C345&gt;='TIF Loan Amortization'!$H$482,$C345&lt;='TIF Loan Amortization'!I$482),'TIF Loan Amortization'!$G$482,IF(AND($C345&gt;='TIF Loan Amortization'!$H$483,$C345&lt;='TIF Loan Amortization'!I$483),'TIF Loan Amortization'!$G$483,IF(AND($C345&gt;='TIF Loan Amortization'!$H$484,$C345&lt;='TIF Loan Amortization'!I$484),'TIF Loan Amortization'!$G$484,IF(AND($C345&gt;='TIF Loan Amortization'!$H$485,$C345&lt;='TIF Loan Amortization'!I$485),'TIF Loan Amortization'!$G$485,IF(AND($C345&gt;='TIF Loan Amortization'!$H$486,$C345&lt;='TIF Loan Amortization'!I$486),'TIF Loan Amortization'!$G$486,IF(AND($C345&gt;='TIF Loan Amortization'!$H$487,$C345&lt;='TIF Loan Amortization'!I$487),'TIF Loan Amortization'!$G$487,IF(AND($C345&gt;='TIF Loan Amortization'!$H$488,$C345&lt;='TIF Loan Amortization'!I$488),'TIF Loan Amortization'!$G$488,IF(AND($C345&gt;='TIF Loan Amortization'!$H$489,$C345&lt;='TIF Loan Amortization'!I$489),'TIF Loan Amortization'!$G$489,IF(AND($C345&gt;='TIF Loan Amortization'!$H$490,$C345&lt;='TIF Loan Amortization'!I$490),'TIF Loan Amortization'!$G$490,IF(AND($C345&gt;='TIF Loan Amortization'!$H$491,$C345&lt;='TIF Loan Amortization'!I$491),'TIF Loan Amortization'!$G$491,IF(AND($C345&gt;='TIF Loan Amortization'!$H$492,$C345&lt;='TIF Loan Amortization'!I$492),'TIF Loan Amortization'!$G$492,IF(AND($C345&gt;='TIF Loan Amortization'!$H$493,$C345&lt;='TIF Loan Amortization'!I$493),'TIF Loan Amortization'!$G$493,IF(AND($C345&gt;='TIF Loan Amortization'!$H$494,$C345&lt;='TIF Loan Amortization'!I$494),'TIF Loan Amortization'!$G$494,IF(AND($C345&gt;='TIF Loan Amortization'!$H$495,$C345&lt;='TIF Loan Amortization'!I$495),'TIF Loan Amortization'!$G$495,IF(AND($C345&gt;='TIF Loan Amortization'!$H$496,$C345&lt;='TIF Loan Amortization'!I$496),'TIF Loan Amortization'!$G$496,IF(AND($C345&gt;='TIF Loan Amortization'!$H$497,$C345&lt;='TIF Loan Amortization'!I$497),'TIF Loan Amortization'!$G$497,IF(AND($C345&gt;='TIF Loan Amortization'!$H$498,$C345&lt;='TIF Loan Amortization'!I$498),'TIF Loan Amortization'!$G$498,IF(AND($C345&gt;='TIF Loan Amortization'!$H$499,$C345&lt;='TIF Loan Amortization'!I$499),'TIF Loan Amortization'!$G$499,IF(AND($C345&gt;='TIF Loan Amortization'!$H$500,$C345&lt;='TIF Loan Amortization'!I$500),'TIF Loan Amortization'!$G$500,IF(AND($C345&gt;='TIF Loan Amortization'!$H$501,$C345&lt;='TIF Loan Amortization'!I$501),'TIF Loan Amortization'!$G$501,IF(AND($C345&gt;='TIF Loan Amortization'!$H$502,$C345&lt;='TIF Loan Amortization'!I$502),'TIF Loan Amortization'!$G$502,IF(AND($C345&gt;='TIF Loan Amortization'!$H$503,$C345&lt;='TIF Loan Amortization'!I$503),'TIF Loan Amortization'!$G$503,IF(AND($C345&gt;='TIF Loan Amortization'!$H$504,$C345&lt;='TIF Loan Amortization'!I$504),'TIF Loan Amortization'!$G$504,IF(AND($C345&gt;='TIF Loan Amortization'!$H$505,$C345&lt;='TIF Loan Amortization'!I$505),'TIF Loan Amortization'!$G$505,IF(AND($C345&gt;='TIF Loan Amortization'!$H$506,$C345&lt;='TIF Loan Amortization'!I$506),'TIF Loan Amortization'!$G$506,IF(AND($C345&gt;='TIF Loan Amortization'!$H$507,$C345&lt;='TIF Loan Amortization'!I$507),'TIF Loan Amortization'!$G$507,IF(AND($C345&gt;='TIF Loan Amortization'!$H$508,$C345&lt;='TIF Loan Amortization'!I$508),'TIF Loan Amortization'!$G$508,IF(AND($C345&gt;='TIF Loan Amortization'!$H$509,$C345&lt;='TIF Loan Amortization'!I$509),'TIF Loan Amortization'!$G$509,IF(AND($C345&gt;='TIF Loan Amortization'!$H$510,$C345&lt;='TIF Loan Amortization'!I$510),'TIF Loan Amortization'!$G$510,IF(AND($C345&gt;='TIF Loan Amortization'!$H$511,$C345&lt;='TIF Loan Amortization'!I$511),'TIF Loan Amortization'!$G$511,IF(AND($C345&gt;='TIF Loan Amortization'!$H$512,$C345&lt;='TIF Loan Amortization'!I$512),'TIF Loan Amortization'!$G$512,IF(AND($C345&gt;='TIF Loan Amortization'!$H$513,$C345&lt;='TIF Loan Amortization'!I$513),'TIF Loan Amortization'!$G$513,IF(AND($C345&gt;='TIF Loan Amortization'!$H$514,$C345&lt;='TIF Loan Amortization'!I$514),'TIF Loan Amortization'!$G$514,IF(AND($C345&gt;='TIF Loan Amortization'!$H$515,$C345&lt;='TIF Loan Amortization'!I$515),'TIF Loan Amortization'!$G$515,IF(AND($C345&gt;='TIF Loan Amortization'!$H$516,$C345&lt;='TIF Loan Amortization'!I$516),'TIF Loan Amortization'!$G$516,IF(AND($C345&gt;='TIF Loan Amortization'!$H$517,$C345&lt;='TIF Loan Amortization'!I$517),'TIF Loan Amortization'!$G$517,IF(AND($C345&gt;='TIF Loan Amortization'!$H$518,$C345&lt;='TIF Loan Amortization'!I$518),'TIF Loan Amortization'!$G$518,IF(AND($C345&gt;='TIF Loan Amortization'!$H$519,$C345&lt;='TIF Loan Amortization'!I$519),'TIF Loan Amortization'!$G$519))))))))))))))))))))))))))))))))))))))))</f>
        <v>#N/A</v>
      </c>
      <c r="C345" s="269" t="e">
        <f t="shared" si="42"/>
        <v>#N/A</v>
      </c>
      <c r="D345" s="281" t="str">
        <f>IF($AG$429=1,$H$10+25,"")</f>
        <v/>
      </c>
      <c r="E345" s="289">
        <v>295</v>
      </c>
      <c r="F345" s="288" t="str">
        <f>VLOOKUP($AG$429,$AE$422:$AF$433,2)</f>
        <v>Oct</v>
      </c>
      <c r="G345" s="272">
        <f t="shared" si="43"/>
        <v>0</v>
      </c>
      <c r="H345" s="272">
        <f t="shared" si="46"/>
        <v>0</v>
      </c>
      <c r="I345" s="272">
        <f t="shared" si="47"/>
        <v>0</v>
      </c>
      <c r="J345" s="272">
        <f t="shared" si="44"/>
        <v>0</v>
      </c>
      <c r="K345" s="272">
        <f>IF(ISTEXT($M$4),"",SUM(I$50:I345))</f>
        <v>0</v>
      </c>
      <c r="L345" s="272">
        <f>IF(ISTEXT($M$4),"",SUM(J$50:J345))</f>
        <v>0</v>
      </c>
      <c r="M345" s="271">
        <f t="shared" si="45"/>
        <v>0</v>
      </c>
      <c r="N345" s="291" t="e">
        <f>IF(C345='Operating Assumptions'!$C$48,"Construction Finish","")</f>
        <v>#N/A</v>
      </c>
      <c r="O345" s="291"/>
      <c r="P345" s="291"/>
      <c r="Q345" s="291"/>
      <c r="R345" s="291"/>
      <c r="S345" s="291"/>
      <c r="T345" s="280"/>
      <c r="U345" s="280"/>
      <c r="V345" s="286"/>
      <c r="W345" s="286"/>
      <c r="X345" s="286"/>
      <c r="Y345" s="280"/>
      <c r="Z345" s="279"/>
      <c r="AA345" s="279"/>
      <c r="AB345" s="279"/>
    </row>
    <row r="346" spans="2:28" s="278" customFormat="1" ht="13.5" hidden="1" outlineLevel="1" x14ac:dyDescent="0.25">
      <c r="B346" s="270" t="e">
        <f>IF(AND($C346&gt;='TIF Loan Amortization'!$H$480,$C346&lt;='TIF Loan Amortization'!$I$480),'TIF Loan Amortization'!$G$480,IF(AND($C346&gt;='TIF Loan Amortization'!$H$481,$C346&lt;='TIF Loan Amortization'!I$481),'TIF Loan Amortization'!$G$481,IF(AND($C346&gt;='TIF Loan Amortization'!$H$482,$C346&lt;='TIF Loan Amortization'!I$482),'TIF Loan Amortization'!$G$482,IF(AND($C346&gt;='TIF Loan Amortization'!$H$483,$C346&lt;='TIF Loan Amortization'!I$483),'TIF Loan Amortization'!$G$483,IF(AND($C346&gt;='TIF Loan Amortization'!$H$484,$C346&lt;='TIF Loan Amortization'!I$484),'TIF Loan Amortization'!$G$484,IF(AND($C346&gt;='TIF Loan Amortization'!$H$485,$C346&lt;='TIF Loan Amortization'!I$485),'TIF Loan Amortization'!$G$485,IF(AND($C346&gt;='TIF Loan Amortization'!$H$486,$C346&lt;='TIF Loan Amortization'!I$486),'TIF Loan Amortization'!$G$486,IF(AND($C346&gt;='TIF Loan Amortization'!$H$487,$C346&lt;='TIF Loan Amortization'!I$487),'TIF Loan Amortization'!$G$487,IF(AND($C346&gt;='TIF Loan Amortization'!$H$488,$C346&lt;='TIF Loan Amortization'!I$488),'TIF Loan Amortization'!$G$488,IF(AND($C346&gt;='TIF Loan Amortization'!$H$489,$C346&lt;='TIF Loan Amortization'!I$489),'TIF Loan Amortization'!$G$489,IF(AND($C346&gt;='TIF Loan Amortization'!$H$490,$C346&lt;='TIF Loan Amortization'!I$490),'TIF Loan Amortization'!$G$490,IF(AND($C346&gt;='TIF Loan Amortization'!$H$491,$C346&lt;='TIF Loan Amortization'!I$491),'TIF Loan Amortization'!$G$491,IF(AND($C346&gt;='TIF Loan Amortization'!$H$492,$C346&lt;='TIF Loan Amortization'!I$492),'TIF Loan Amortization'!$G$492,IF(AND($C346&gt;='TIF Loan Amortization'!$H$493,$C346&lt;='TIF Loan Amortization'!I$493),'TIF Loan Amortization'!$G$493,IF(AND($C346&gt;='TIF Loan Amortization'!$H$494,$C346&lt;='TIF Loan Amortization'!I$494),'TIF Loan Amortization'!$G$494,IF(AND($C346&gt;='TIF Loan Amortization'!$H$495,$C346&lt;='TIF Loan Amortization'!I$495),'TIF Loan Amortization'!$G$495,IF(AND($C346&gt;='TIF Loan Amortization'!$H$496,$C346&lt;='TIF Loan Amortization'!I$496),'TIF Loan Amortization'!$G$496,IF(AND($C346&gt;='TIF Loan Amortization'!$H$497,$C346&lt;='TIF Loan Amortization'!I$497),'TIF Loan Amortization'!$G$497,IF(AND($C346&gt;='TIF Loan Amortization'!$H$498,$C346&lt;='TIF Loan Amortization'!I$498),'TIF Loan Amortization'!$G$498,IF(AND($C346&gt;='TIF Loan Amortization'!$H$499,$C346&lt;='TIF Loan Amortization'!I$499),'TIF Loan Amortization'!$G$499,IF(AND($C346&gt;='TIF Loan Amortization'!$H$500,$C346&lt;='TIF Loan Amortization'!I$500),'TIF Loan Amortization'!$G$500,IF(AND($C346&gt;='TIF Loan Amortization'!$H$501,$C346&lt;='TIF Loan Amortization'!I$501),'TIF Loan Amortization'!$G$501,IF(AND($C346&gt;='TIF Loan Amortization'!$H$502,$C346&lt;='TIF Loan Amortization'!I$502),'TIF Loan Amortization'!$G$502,IF(AND($C346&gt;='TIF Loan Amortization'!$H$503,$C346&lt;='TIF Loan Amortization'!I$503),'TIF Loan Amortization'!$G$503,IF(AND($C346&gt;='TIF Loan Amortization'!$H$504,$C346&lt;='TIF Loan Amortization'!I$504),'TIF Loan Amortization'!$G$504,IF(AND($C346&gt;='TIF Loan Amortization'!$H$505,$C346&lt;='TIF Loan Amortization'!I$505),'TIF Loan Amortization'!$G$505,IF(AND($C346&gt;='TIF Loan Amortization'!$H$506,$C346&lt;='TIF Loan Amortization'!I$506),'TIF Loan Amortization'!$G$506,IF(AND($C346&gt;='TIF Loan Amortization'!$H$507,$C346&lt;='TIF Loan Amortization'!I$507),'TIF Loan Amortization'!$G$507,IF(AND($C346&gt;='TIF Loan Amortization'!$H$508,$C346&lt;='TIF Loan Amortization'!I$508),'TIF Loan Amortization'!$G$508,IF(AND($C346&gt;='TIF Loan Amortization'!$H$509,$C346&lt;='TIF Loan Amortization'!I$509),'TIF Loan Amortization'!$G$509,IF(AND($C346&gt;='TIF Loan Amortization'!$H$510,$C346&lt;='TIF Loan Amortization'!I$510),'TIF Loan Amortization'!$G$510,IF(AND($C346&gt;='TIF Loan Amortization'!$H$511,$C346&lt;='TIF Loan Amortization'!I$511),'TIF Loan Amortization'!$G$511,IF(AND($C346&gt;='TIF Loan Amortization'!$H$512,$C346&lt;='TIF Loan Amortization'!I$512),'TIF Loan Amortization'!$G$512,IF(AND($C346&gt;='TIF Loan Amortization'!$H$513,$C346&lt;='TIF Loan Amortization'!I$513),'TIF Loan Amortization'!$G$513,IF(AND($C346&gt;='TIF Loan Amortization'!$H$514,$C346&lt;='TIF Loan Amortization'!I$514),'TIF Loan Amortization'!$G$514,IF(AND($C346&gt;='TIF Loan Amortization'!$H$515,$C346&lt;='TIF Loan Amortization'!I$515),'TIF Loan Amortization'!$G$515,IF(AND($C346&gt;='TIF Loan Amortization'!$H$516,$C346&lt;='TIF Loan Amortization'!I$516),'TIF Loan Amortization'!$G$516,IF(AND($C346&gt;='TIF Loan Amortization'!$H$517,$C346&lt;='TIF Loan Amortization'!I$517),'TIF Loan Amortization'!$G$517,IF(AND($C346&gt;='TIF Loan Amortization'!$H$518,$C346&lt;='TIF Loan Amortization'!I$518),'TIF Loan Amortization'!$G$518,IF(AND($C346&gt;='TIF Loan Amortization'!$H$519,$C346&lt;='TIF Loan Amortization'!I$519),'TIF Loan Amortization'!$G$519))))))))))))))))))))))))))))))))))))))))</f>
        <v>#N/A</v>
      </c>
      <c r="C346" s="269" t="e">
        <f t="shared" si="42"/>
        <v>#N/A</v>
      </c>
      <c r="D346" s="287" t="str">
        <f>IF($AG$430=1,$H$10+25,"")</f>
        <v/>
      </c>
      <c r="E346" s="274">
        <v>296</v>
      </c>
      <c r="F346" s="275" t="str">
        <f>VLOOKUP($AG$430,$AE$422:$AF$433,2)</f>
        <v>Nov</v>
      </c>
      <c r="G346" s="272">
        <f t="shared" si="43"/>
        <v>0</v>
      </c>
      <c r="H346" s="272">
        <f t="shared" si="46"/>
        <v>0</v>
      </c>
      <c r="I346" s="272">
        <f t="shared" si="47"/>
        <v>0</v>
      </c>
      <c r="J346" s="272">
        <f t="shared" si="44"/>
        <v>0</v>
      </c>
      <c r="K346" s="272">
        <f>IF(ISTEXT($M$4),"",SUM(I$50:I346))</f>
        <v>0</v>
      </c>
      <c r="L346" s="272">
        <f>IF(ISTEXT($M$4),"",SUM(J$50:J346))</f>
        <v>0</v>
      </c>
      <c r="M346" s="271">
        <f t="shared" si="45"/>
        <v>0</v>
      </c>
      <c r="N346" s="291" t="e">
        <f>IF(C346='Operating Assumptions'!$C$48,"Construction Finish","")</f>
        <v>#N/A</v>
      </c>
      <c r="O346" s="291"/>
      <c r="P346" s="291"/>
      <c r="Q346" s="291"/>
      <c r="R346" s="291"/>
      <c r="S346" s="291"/>
      <c r="T346" s="280"/>
      <c r="U346" s="280"/>
      <c r="V346" s="286"/>
      <c r="W346" s="286"/>
      <c r="X346" s="286"/>
      <c r="Y346" s="280"/>
      <c r="Z346" s="279"/>
      <c r="AA346" s="279"/>
      <c r="AB346" s="279"/>
    </row>
    <row r="347" spans="2:28" s="278" customFormat="1" ht="13.5" hidden="1" outlineLevel="1" x14ac:dyDescent="0.25">
      <c r="B347" s="270" t="e">
        <f>IF(AND($C347&gt;='TIF Loan Amortization'!$H$480,$C347&lt;='TIF Loan Amortization'!$I$480),'TIF Loan Amortization'!$G$480,IF(AND($C347&gt;='TIF Loan Amortization'!$H$481,$C347&lt;='TIF Loan Amortization'!I$481),'TIF Loan Amortization'!$G$481,IF(AND($C347&gt;='TIF Loan Amortization'!$H$482,$C347&lt;='TIF Loan Amortization'!I$482),'TIF Loan Amortization'!$G$482,IF(AND($C347&gt;='TIF Loan Amortization'!$H$483,$C347&lt;='TIF Loan Amortization'!I$483),'TIF Loan Amortization'!$G$483,IF(AND($C347&gt;='TIF Loan Amortization'!$H$484,$C347&lt;='TIF Loan Amortization'!I$484),'TIF Loan Amortization'!$G$484,IF(AND($C347&gt;='TIF Loan Amortization'!$H$485,$C347&lt;='TIF Loan Amortization'!I$485),'TIF Loan Amortization'!$G$485,IF(AND($C347&gt;='TIF Loan Amortization'!$H$486,$C347&lt;='TIF Loan Amortization'!I$486),'TIF Loan Amortization'!$G$486,IF(AND($C347&gt;='TIF Loan Amortization'!$H$487,$C347&lt;='TIF Loan Amortization'!I$487),'TIF Loan Amortization'!$G$487,IF(AND($C347&gt;='TIF Loan Amortization'!$H$488,$C347&lt;='TIF Loan Amortization'!I$488),'TIF Loan Amortization'!$G$488,IF(AND($C347&gt;='TIF Loan Amortization'!$H$489,$C347&lt;='TIF Loan Amortization'!I$489),'TIF Loan Amortization'!$G$489,IF(AND($C347&gt;='TIF Loan Amortization'!$H$490,$C347&lt;='TIF Loan Amortization'!I$490),'TIF Loan Amortization'!$G$490,IF(AND($C347&gt;='TIF Loan Amortization'!$H$491,$C347&lt;='TIF Loan Amortization'!I$491),'TIF Loan Amortization'!$G$491,IF(AND($C347&gt;='TIF Loan Amortization'!$H$492,$C347&lt;='TIF Loan Amortization'!I$492),'TIF Loan Amortization'!$G$492,IF(AND($C347&gt;='TIF Loan Amortization'!$H$493,$C347&lt;='TIF Loan Amortization'!I$493),'TIF Loan Amortization'!$G$493,IF(AND($C347&gt;='TIF Loan Amortization'!$H$494,$C347&lt;='TIF Loan Amortization'!I$494),'TIF Loan Amortization'!$G$494,IF(AND($C347&gt;='TIF Loan Amortization'!$H$495,$C347&lt;='TIF Loan Amortization'!I$495),'TIF Loan Amortization'!$G$495,IF(AND($C347&gt;='TIF Loan Amortization'!$H$496,$C347&lt;='TIF Loan Amortization'!I$496),'TIF Loan Amortization'!$G$496,IF(AND($C347&gt;='TIF Loan Amortization'!$H$497,$C347&lt;='TIF Loan Amortization'!I$497),'TIF Loan Amortization'!$G$497,IF(AND($C347&gt;='TIF Loan Amortization'!$H$498,$C347&lt;='TIF Loan Amortization'!I$498),'TIF Loan Amortization'!$G$498,IF(AND($C347&gt;='TIF Loan Amortization'!$H$499,$C347&lt;='TIF Loan Amortization'!I$499),'TIF Loan Amortization'!$G$499,IF(AND($C347&gt;='TIF Loan Amortization'!$H$500,$C347&lt;='TIF Loan Amortization'!I$500),'TIF Loan Amortization'!$G$500,IF(AND($C347&gt;='TIF Loan Amortization'!$H$501,$C347&lt;='TIF Loan Amortization'!I$501),'TIF Loan Amortization'!$G$501,IF(AND($C347&gt;='TIF Loan Amortization'!$H$502,$C347&lt;='TIF Loan Amortization'!I$502),'TIF Loan Amortization'!$G$502,IF(AND($C347&gt;='TIF Loan Amortization'!$H$503,$C347&lt;='TIF Loan Amortization'!I$503),'TIF Loan Amortization'!$G$503,IF(AND($C347&gt;='TIF Loan Amortization'!$H$504,$C347&lt;='TIF Loan Amortization'!I$504),'TIF Loan Amortization'!$G$504,IF(AND($C347&gt;='TIF Loan Amortization'!$H$505,$C347&lt;='TIF Loan Amortization'!I$505),'TIF Loan Amortization'!$G$505,IF(AND($C347&gt;='TIF Loan Amortization'!$H$506,$C347&lt;='TIF Loan Amortization'!I$506),'TIF Loan Amortization'!$G$506,IF(AND($C347&gt;='TIF Loan Amortization'!$H$507,$C347&lt;='TIF Loan Amortization'!I$507),'TIF Loan Amortization'!$G$507,IF(AND($C347&gt;='TIF Loan Amortization'!$H$508,$C347&lt;='TIF Loan Amortization'!I$508),'TIF Loan Amortization'!$G$508,IF(AND($C347&gt;='TIF Loan Amortization'!$H$509,$C347&lt;='TIF Loan Amortization'!I$509),'TIF Loan Amortization'!$G$509,IF(AND($C347&gt;='TIF Loan Amortization'!$H$510,$C347&lt;='TIF Loan Amortization'!I$510),'TIF Loan Amortization'!$G$510,IF(AND($C347&gt;='TIF Loan Amortization'!$H$511,$C347&lt;='TIF Loan Amortization'!I$511),'TIF Loan Amortization'!$G$511,IF(AND($C347&gt;='TIF Loan Amortization'!$H$512,$C347&lt;='TIF Loan Amortization'!I$512),'TIF Loan Amortization'!$G$512,IF(AND($C347&gt;='TIF Loan Amortization'!$H$513,$C347&lt;='TIF Loan Amortization'!I$513),'TIF Loan Amortization'!$G$513,IF(AND($C347&gt;='TIF Loan Amortization'!$H$514,$C347&lt;='TIF Loan Amortization'!I$514),'TIF Loan Amortization'!$G$514,IF(AND($C347&gt;='TIF Loan Amortization'!$H$515,$C347&lt;='TIF Loan Amortization'!I$515),'TIF Loan Amortization'!$G$515,IF(AND($C347&gt;='TIF Loan Amortization'!$H$516,$C347&lt;='TIF Loan Amortization'!I$516),'TIF Loan Amortization'!$G$516,IF(AND($C347&gt;='TIF Loan Amortization'!$H$517,$C347&lt;='TIF Loan Amortization'!I$517),'TIF Loan Amortization'!$G$517,IF(AND($C347&gt;='TIF Loan Amortization'!$H$518,$C347&lt;='TIF Loan Amortization'!I$518),'TIF Loan Amortization'!$G$518,IF(AND($C347&gt;='TIF Loan Amortization'!$H$519,$C347&lt;='TIF Loan Amortization'!I$519),'TIF Loan Amortization'!$G$519))))))))))))))))))))))))))))))))))))))))</f>
        <v>#N/A</v>
      </c>
      <c r="C347" s="269" t="e">
        <f t="shared" si="42"/>
        <v>#N/A</v>
      </c>
      <c r="D347" s="281" t="str">
        <f>IF($AG$431=1,$H$10+25,"")</f>
        <v/>
      </c>
      <c r="E347" s="274">
        <v>297</v>
      </c>
      <c r="F347" s="275" t="str">
        <f>VLOOKUP($AG$431,$AE$422:$AF$433,2)</f>
        <v>Dec</v>
      </c>
      <c r="G347" s="272">
        <f t="shared" si="43"/>
        <v>0</v>
      </c>
      <c r="H347" s="272">
        <f t="shared" si="46"/>
        <v>0</v>
      </c>
      <c r="I347" s="272">
        <f t="shared" si="47"/>
        <v>0</v>
      </c>
      <c r="J347" s="272">
        <f t="shared" si="44"/>
        <v>0</v>
      </c>
      <c r="K347" s="272">
        <f>IF(ISTEXT($M$4),"",SUM(I$50:I347))</f>
        <v>0</v>
      </c>
      <c r="L347" s="272">
        <f>IF(ISTEXT($M$4),"",SUM(J$50:J347))</f>
        <v>0</v>
      </c>
      <c r="M347" s="271">
        <f t="shared" si="45"/>
        <v>0</v>
      </c>
      <c r="N347" s="291" t="e">
        <f>IF(C347='Operating Assumptions'!$C$48,"Construction Finish","")</f>
        <v>#N/A</v>
      </c>
      <c r="O347" s="291"/>
      <c r="P347" s="291"/>
      <c r="Q347" s="291"/>
      <c r="R347" s="291"/>
      <c r="S347" s="291"/>
      <c r="T347" s="280"/>
      <c r="U347" s="280"/>
      <c r="V347" s="286"/>
      <c r="W347" s="286"/>
      <c r="X347" s="286"/>
      <c r="Y347" s="280"/>
      <c r="Z347" s="279"/>
      <c r="AA347" s="279"/>
      <c r="AB347" s="279"/>
    </row>
    <row r="348" spans="2:28" s="278" customFormat="1" ht="13.5" hidden="1" outlineLevel="1" x14ac:dyDescent="0.25">
      <c r="B348" s="270" t="e">
        <f>IF(AND($C348&gt;='TIF Loan Amortization'!$H$480,$C348&lt;='TIF Loan Amortization'!$I$480),'TIF Loan Amortization'!$G$480,IF(AND($C348&gt;='TIF Loan Amortization'!$H$481,$C348&lt;='TIF Loan Amortization'!I$481),'TIF Loan Amortization'!$G$481,IF(AND($C348&gt;='TIF Loan Amortization'!$H$482,$C348&lt;='TIF Loan Amortization'!I$482),'TIF Loan Amortization'!$G$482,IF(AND($C348&gt;='TIF Loan Amortization'!$H$483,$C348&lt;='TIF Loan Amortization'!I$483),'TIF Loan Amortization'!$G$483,IF(AND($C348&gt;='TIF Loan Amortization'!$H$484,$C348&lt;='TIF Loan Amortization'!I$484),'TIF Loan Amortization'!$G$484,IF(AND($C348&gt;='TIF Loan Amortization'!$H$485,$C348&lt;='TIF Loan Amortization'!I$485),'TIF Loan Amortization'!$G$485,IF(AND($C348&gt;='TIF Loan Amortization'!$H$486,$C348&lt;='TIF Loan Amortization'!I$486),'TIF Loan Amortization'!$G$486,IF(AND($C348&gt;='TIF Loan Amortization'!$H$487,$C348&lt;='TIF Loan Amortization'!I$487),'TIF Loan Amortization'!$G$487,IF(AND($C348&gt;='TIF Loan Amortization'!$H$488,$C348&lt;='TIF Loan Amortization'!I$488),'TIF Loan Amortization'!$G$488,IF(AND($C348&gt;='TIF Loan Amortization'!$H$489,$C348&lt;='TIF Loan Amortization'!I$489),'TIF Loan Amortization'!$G$489,IF(AND($C348&gt;='TIF Loan Amortization'!$H$490,$C348&lt;='TIF Loan Amortization'!I$490),'TIF Loan Amortization'!$G$490,IF(AND($C348&gt;='TIF Loan Amortization'!$H$491,$C348&lt;='TIF Loan Amortization'!I$491),'TIF Loan Amortization'!$G$491,IF(AND($C348&gt;='TIF Loan Amortization'!$H$492,$C348&lt;='TIF Loan Amortization'!I$492),'TIF Loan Amortization'!$G$492,IF(AND($C348&gt;='TIF Loan Amortization'!$H$493,$C348&lt;='TIF Loan Amortization'!I$493),'TIF Loan Amortization'!$G$493,IF(AND($C348&gt;='TIF Loan Amortization'!$H$494,$C348&lt;='TIF Loan Amortization'!I$494),'TIF Loan Amortization'!$G$494,IF(AND($C348&gt;='TIF Loan Amortization'!$H$495,$C348&lt;='TIF Loan Amortization'!I$495),'TIF Loan Amortization'!$G$495,IF(AND($C348&gt;='TIF Loan Amortization'!$H$496,$C348&lt;='TIF Loan Amortization'!I$496),'TIF Loan Amortization'!$G$496,IF(AND($C348&gt;='TIF Loan Amortization'!$H$497,$C348&lt;='TIF Loan Amortization'!I$497),'TIF Loan Amortization'!$G$497,IF(AND($C348&gt;='TIF Loan Amortization'!$H$498,$C348&lt;='TIF Loan Amortization'!I$498),'TIF Loan Amortization'!$G$498,IF(AND($C348&gt;='TIF Loan Amortization'!$H$499,$C348&lt;='TIF Loan Amortization'!I$499),'TIF Loan Amortization'!$G$499,IF(AND($C348&gt;='TIF Loan Amortization'!$H$500,$C348&lt;='TIF Loan Amortization'!I$500),'TIF Loan Amortization'!$G$500,IF(AND($C348&gt;='TIF Loan Amortization'!$H$501,$C348&lt;='TIF Loan Amortization'!I$501),'TIF Loan Amortization'!$G$501,IF(AND($C348&gt;='TIF Loan Amortization'!$H$502,$C348&lt;='TIF Loan Amortization'!I$502),'TIF Loan Amortization'!$G$502,IF(AND($C348&gt;='TIF Loan Amortization'!$H$503,$C348&lt;='TIF Loan Amortization'!I$503),'TIF Loan Amortization'!$G$503,IF(AND($C348&gt;='TIF Loan Amortization'!$H$504,$C348&lt;='TIF Loan Amortization'!I$504),'TIF Loan Amortization'!$G$504,IF(AND($C348&gt;='TIF Loan Amortization'!$H$505,$C348&lt;='TIF Loan Amortization'!I$505),'TIF Loan Amortization'!$G$505,IF(AND($C348&gt;='TIF Loan Amortization'!$H$506,$C348&lt;='TIF Loan Amortization'!I$506),'TIF Loan Amortization'!$G$506,IF(AND($C348&gt;='TIF Loan Amortization'!$H$507,$C348&lt;='TIF Loan Amortization'!I$507),'TIF Loan Amortization'!$G$507,IF(AND($C348&gt;='TIF Loan Amortization'!$H$508,$C348&lt;='TIF Loan Amortization'!I$508),'TIF Loan Amortization'!$G$508,IF(AND($C348&gt;='TIF Loan Amortization'!$H$509,$C348&lt;='TIF Loan Amortization'!I$509),'TIF Loan Amortization'!$G$509,IF(AND($C348&gt;='TIF Loan Amortization'!$H$510,$C348&lt;='TIF Loan Amortization'!I$510),'TIF Loan Amortization'!$G$510,IF(AND($C348&gt;='TIF Loan Amortization'!$H$511,$C348&lt;='TIF Loan Amortization'!I$511),'TIF Loan Amortization'!$G$511,IF(AND($C348&gt;='TIF Loan Amortization'!$H$512,$C348&lt;='TIF Loan Amortization'!I$512),'TIF Loan Amortization'!$G$512,IF(AND($C348&gt;='TIF Loan Amortization'!$H$513,$C348&lt;='TIF Loan Amortization'!I$513),'TIF Loan Amortization'!$G$513,IF(AND($C348&gt;='TIF Loan Amortization'!$H$514,$C348&lt;='TIF Loan Amortization'!I$514),'TIF Loan Amortization'!$G$514,IF(AND($C348&gt;='TIF Loan Amortization'!$H$515,$C348&lt;='TIF Loan Amortization'!I$515),'TIF Loan Amortization'!$G$515,IF(AND($C348&gt;='TIF Loan Amortization'!$H$516,$C348&lt;='TIF Loan Amortization'!I$516),'TIF Loan Amortization'!$G$516,IF(AND($C348&gt;='TIF Loan Amortization'!$H$517,$C348&lt;='TIF Loan Amortization'!I$517),'TIF Loan Amortization'!$G$517,IF(AND($C348&gt;='TIF Loan Amortization'!$H$518,$C348&lt;='TIF Loan Amortization'!I$518),'TIF Loan Amortization'!$G$518,IF(AND($C348&gt;='TIF Loan Amortization'!$H$519,$C348&lt;='TIF Loan Amortization'!I$519),'TIF Loan Amortization'!$G$519))))))))))))))))))))))))))))))))))))))))</f>
        <v>#N/A</v>
      </c>
      <c r="C348" s="269" t="e">
        <f t="shared" si="42"/>
        <v>#N/A</v>
      </c>
      <c r="D348" s="281">
        <f>IF($AG$432=1,$H$10+25,"")</f>
        <v>2050</v>
      </c>
      <c r="E348" s="274">
        <v>298</v>
      </c>
      <c r="F348" s="273" t="str">
        <f>VLOOKUP($AG$432,$AE$422:$AF$433,2)</f>
        <v>Jan</v>
      </c>
      <c r="G348" s="272">
        <f t="shared" si="43"/>
        <v>0</v>
      </c>
      <c r="H348" s="272">
        <f t="shared" si="46"/>
        <v>0</v>
      </c>
      <c r="I348" s="272">
        <f t="shared" si="47"/>
        <v>0</v>
      </c>
      <c r="J348" s="272">
        <f t="shared" si="44"/>
        <v>0</v>
      </c>
      <c r="K348" s="272">
        <f>IF(ISTEXT($M$4),"",SUM(I$50:I348))</f>
        <v>0</v>
      </c>
      <c r="L348" s="272">
        <f>IF(ISTEXT($M$4),"",SUM(J$50:J348))</f>
        <v>0</v>
      </c>
      <c r="M348" s="271">
        <f t="shared" si="45"/>
        <v>0</v>
      </c>
      <c r="N348" s="291" t="e">
        <f>IF(C348='Operating Assumptions'!$C$48,"Construction Finish","")</f>
        <v>#N/A</v>
      </c>
      <c r="O348" s="291"/>
      <c r="P348" s="291"/>
      <c r="Q348" s="291"/>
      <c r="R348" s="291"/>
      <c r="S348" s="291"/>
      <c r="T348" s="280"/>
      <c r="Z348" s="279"/>
      <c r="AA348" s="279"/>
      <c r="AB348" s="279"/>
    </row>
    <row r="349" spans="2:28" s="278" customFormat="1" ht="13.5" hidden="1" outlineLevel="1" x14ac:dyDescent="0.25">
      <c r="B349" s="270" t="e">
        <f>IF(AND($C349&gt;='TIF Loan Amortization'!$H$480,$C349&lt;='TIF Loan Amortization'!$I$480),'TIF Loan Amortization'!$G$480,IF(AND($C349&gt;='TIF Loan Amortization'!$H$481,$C349&lt;='TIF Loan Amortization'!I$481),'TIF Loan Amortization'!$G$481,IF(AND($C349&gt;='TIF Loan Amortization'!$H$482,$C349&lt;='TIF Loan Amortization'!I$482),'TIF Loan Amortization'!$G$482,IF(AND($C349&gt;='TIF Loan Amortization'!$H$483,$C349&lt;='TIF Loan Amortization'!I$483),'TIF Loan Amortization'!$G$483,IF(AND($C349&gt;='TIF Loan Amortization'!$H$484,$C349&lt;='TIF Loan Amortization'!I$484),'TIF Loan Amortization'!$G$484,IF(AND($C349&gt;='TIF Loan Amortization'!$H$485,$C349&lt;='TIF Loan Amortization'!I$485),'TIF Loan Amortization'!$G$485,IF(AND($C349&gt;='TIF Loan Amortization'!$H$486,$C349&lt;='TIF Loan Amortization'!I$486),'TIF Loan Amortization'!$G$486,IF(AND($C349&gt;='TIF Loan Amortization'!$H$487,$C349&lt;='TIF Loan Amortization'!I$487),'TIF Loan Amortization'!$G$487,IF(AND($C349&gt;='TIF Loan Amortization'!$H$488,$C349&lt;='TIF Loan Amortization'!I$488),'TIF Loan Amortization'!$G$488,IF(AND($C349&gt;='TIF Loan Amortization'!$H$489,$C349&lt;='TIF Loan Amortization'!I$489),'TIF Loan Amortization'!$G$489,IF(AND($C349&gt;='TIF Loan Amortization'!$H$490,$C349&lt;='TIF Loan Amortization'!I$490),'TIF Loan Amortization'!$G$490,IF(AND($C349&gt;='TIF Loan Amortization'!$H$491,$C349&lt;='TIF Loan Amortization'!I$491),'TIF Loan Amortization'!$G$491,IF(AND($C349&gt;='TIF Loan Amortization'!$H$492,$C349&lt;='TIF Loan Amortization'!I$492),'TIF Loan Amortization'!$G$492,IF(AND($C349&gt;='TIF Loan Amortization'!$H$493,$C349&lt;='TIF Loan Amortization'!I$493),'TIF Loan Amortization'!$G$493,IF(AND($C349&gt;='TIF Loan Amortization'!$H$494,$C349&lt;='TIF Loan Amortization'!I$494),'TIF Loan Amortization'!$G$494,IF(AND($C349&gt;='TIF Loan Amortization'!$H$495,$C349&lt;='TIF Loan Amortization'!I$495),'TIF Loan Amortization'!$G$495,IF(AND($C349&gt;='TIF Loan Amortization'!$H$496,$C349&lt;='TIF Loan Amortization'!I$496),'TIF Loan Amortization'!$G$496,IF(AND($C349&gt;='TIF Loan Amortization'!$H$497,$C349&lt;='TIF Loan Amortization'!I$497),'TIF Loan Amortization'!$G$497,IF(AND($C349&gt;='TIF Loan Amortization'!$H$498,$C349&lt;='TIF Loan Amortization'!I$498),'TIF Loan Amortization'!$G$498,IF(AND($C349&gt;='TIF Loan Amortization'!$H$499,$C349&lt;='TIF Loan Amortization'!I$499),'TIF Loan Amortization'!$G$499,IF(AND($C349&gt;='TIF Loan Amortization'!$H$500,$C349&lt;='TIF Loan Amortization'!I$500),'TIF Loan Amortization'!$G$500,IF(AND($C349&gt;='TIF Loan Amortization'!$H$501,$C349&lt;='TIF Loan Amortization'!I$501),'TIF Loan Amortization'!$G$501,IF(AND($C349&gt;='TIF Loan Amortization'!$H$502,$C349&lt;='TIF Loan Amortization'!I$502),'TIF Loan Amortization'!$G$502,IF(AND($C349&gt;='TIF Loan Amortization'!$H$503,$C349&lt;='TIF Loan Amortization'!I$503),'TIF Loan Amortization'!$G$503,IF(AND($C349&gt;='TIF Loan Amortization'!$H$504,$C349&lt;='TIF Loan Amortization'!I$504),'TIF Loan Amortization'!$G$504,IF(AND($C349&gt;='TIF Loan Amortization'!$H$505,$C349&lt;='TIF Loan Amortization'!I$505),'TIF Loan Amortization'!$G$505,IF(AND($C349&gt;='TIF Loan Amortization'!$H$506,$C349&lt;='TIF Loan Amortization'!I$506),'TIF Loan Amortization'!$G$506,IF(AND($C349&gt;='TIF Loan Amortization'!$H$507,$C349&lt;='TIF Loan Amortization'!I$507),'TIF Loan Amortization'!$G$507,IF(AND($C349&gt;='TIF Loan Amortization'!$H$508,$C349&lt;='TIF Loan Amortization'!I$508),'TIF Loan Amortization'!$G$508,IF(AND($C349&gt;='TIF Loan Amortization'!$H$509,$C349&lt;='TIF Loan Amortization'!I$509),'TIF Loan Amortization'!$G$509,IF(AND($C349&gt;='TIF Loan Amortization'!$H$510,$C349&lt;='TIF Loan Amortization'!I$510),'TIF Loan Amortization'!$G$510,IF(AND($C349&gt;='TIF Loan Amortization'!$H$511,$C349&lt;='TIF Loan Amortization'!I$511),'TIF Loan Amortization'!$G$511,IF(AND($C349&gt;='TIF Loan Amortization'!$H$512,$C349&lt;='TIF Loan Amortization'!I$512),'TIF Loan Amortization'!$G$512,IF(AND($C349&gt;='TIF Loan Amortization'!$H$513,$C349&lt;='TIF Loan Amortization'!I$513),'TIF Loan Amortization'!$G$513,IF(AND($C349&gt;='TIF Loan Amortization'!$H$514,$C349&lt;='TIF Loan Amortization'!I$514),'TIF Loan Amortization'!$G$514,IF(AND($C349&gt;='TIF Loan Amortization'!$H$515,$C349&lt;='TIF Loan Amortization'!I$515),'TIF Loan Amortization'!$G$515,IF(AND($C349&gt;='TIF Loan Amortization'!$H$516,$C349&lt;='TIF Loan Amortization'!I$516),'TIF Loan Amortization'!$G$516,IF(AND($C349&gt;='TIF Loan Amortization'!$H$517,$C349&lt;='TIF Loan Amortization'!I$517),'TIF Loan Amortization'!$G$517,IF(AND($C349&gt;='TIF Loan Amortization'!$H$518,$C349&lt;='TIF Loan Amortization'!I$518),'TIF Loan Amortization'!$G$518,IF(AND($C349&gt;='TIF Loan Amortization'!$H$519,$C349&lt;='TIF Loan Amortization'!I$519),'TIF Loan Amortization'!$G$519))))))))))))))))))))))))))))))))))))))))</f>
        <v>#N/A</v>
      </c>
      <c r="C349" s="269" t="e">
        <f t="shared" si="42"/>
        <v>#N/A</v>
      </c>
      <c r="D349" s="281" t="str">
        <f>IF($AG$433=1,$H$10+25,"")</f>
        <v/>
      </c>
      <c r="E349" s="274">
        <v>299</v>
      </c>
      <c r="F349" s="273" t="str">
        <f>VLOOKUP($AG$433,$AE$422:$AF$433,2)</f>
        <v>Feb</v>
      </c>
      <c r="G349" s="272">
        <f t="shared" si="43"/>
        <v>0</v>
      </c>
      <c r="H349" s="272">
        <f t="shared" si="46"/>
        <v>0</v>
      </c>
      <c r="I349" s="272">
        <f t="shared" si="47"/>
        <v>0</v>
      </c>
      <c r="J349" s="272">
        <f t="shared" si="44"/>
        <v>0</v>
      </c>
      <c r="K349" s="272">
        <f>IF(ISTEXT($M$4),"",SUM(I$50:I349))</f>
        <v>0</v>
      </c>
      <c r="L349" s="272">
        <f>IF(ISTEXT($M$4),"",SUM(J$50:J349))</f>
        <v>0</v>
      </c>
      <c r="M349" s="271">
        <f t="shared" si="45"/>
        <v>0</v>
      </c>
      <c r="N349" s="291" t="e">
        <f>IF(C349='Operating Assumptions'!$C$48,"Construction Finish","")</f>
        <v>#N/A</v>
      </c>
      <c r="O349" s="291"/>
      <c r="P349" s="291"/>
      <c r="Q349" s="291"/>
      <c r="R349" s="291"/>
      <c r="S349" s="291"/>
      <c r="T349" s="280"/>
      <c r="Z349" s="279"/>
      <c r="AA349" s="279"/>
      <c r="AB349" s="279"/>
    </row>
    <row r="350" spans="2:28" s="278" customFormat="1" ht="13.5" hidden="1" outlineLevel="1" x14ac:dyDescent="0.25">
      <c r="B350" s="270" t="e">
        <f>IF(AND($C350&gt;='TIF Loan Amortization'!$H$480,$C350&lt;='TIF Loan Amortization'!$I$480),'TIF Loan Amortization'!$G$480,IF(AND($C350&gt;='TIF Loan Amortization'!$H$481,$C350&lt;='TIF Loan Amortization'!I$481),'TIF Loan Amortization'!$G$481,IF(AND($C350&gt;='TIF Loan Amortization'!$H$482,$C350&lt;='TIF Loan Amortization'!I$482),'TIF Loan Amortization'!$G$482,IF(AND($C350&gt;='TIF Loan Amortization'!$H$483,$C350&lt;='TIF Loan Amortization'!I$483),'TIF Loan Amortization'!$G$483,IF(AND($C350&gt;='TIF Loan Amortization'!$H$484,$C350&lt;='TIF Loan Amortization'!I$484),'TIF Loan Amortization'!$G$484,IF(AND($C350&gt;='TIF Loan Amortization'!$H$485,$C350&lt;='TIF Loan Amortization'!I$485),'TIF Loan Amortization'!$G$485,IF(AND($C350&gt;='TIF Loan Amortization'!$H$486,$C350&lt;='TIF Loan Amortization'!I$486),'TIF Loan Amortization'!$G$486,IF(AND($C350&gt;='TIF Loan Amortization'!$H$487,$C350&lt;='TIF Loan Amortization'!I$487),'TIF Loan Amortization'!$G$487,IF(AND($C350&gt;='TIF Loan Amortization'!$H$488,$C350&lt;='TIF Loan Amortization'!I$488),'TIF Loan Amortization'!$G$488,IF(AND($C350&gt;='TIF Loan Amortization'!$H$489,$C350&lt;='TIF Loan Amortization'!I$489),'TIF Loan Amortization'!$G$489,IF(AND($C350&gt;='TIF Loan Amortization'!$H$490,$C350&lt;='TIF Loan Amortization'!I$490),'TIF Loan Amortization'!$G$490,IF(AND($C350&gt;='TIF Loan Amortization'!$H$491,$C350&lt;='TIF Loan Amortization'!I$491),'TIF Loan Amortization'!$G$491,IF(AND($C350&gt;='TIF Loan Amortization'!$H$492,$C350&lt;='TIF Loan Amortization'!I$492),'TIF Loan Amortization'!$G$492,IF(AND($C350&gt;='TIF Loan Amortization'!$H$493,$C350&lt;='TIF Loan Amortization'!I$493),'TIF Loan Amortization'!$G$493,IF(AND($C350&gt;='TIF Loan Amortization'!$H$494,$C350&lt;='TIF Loan Amortization'!I$494),'TIF Loan Amortization'!$G$494,IF(AND($C350&gt;='TIF Loan Amortization'!$H$495,$C350&lt;='TIF Loan Amortization'!I$495),'TIF Loan Amortization'!$G$495,IF(AND($C350&gt;='TIF Loan Amortization'!$H$496,$C350&lt;='TIF Loan Amortization'!I$496),'TIF Loan Amortization'!$G$496,IF(AND($C350&gt;='TIF Loan Amortization'!$H$497,$C350&lt;='TIF Loan Amortization'!I$497),'TIF Loan Amortization'!$G$497,IF(AND($C350&gt;='TIF Loan Amortization'!$H$498,$C350&lt;='TIF Loan Amortization'!I$498),'TIF Loan Amortization'!$G$498,IF(AND($C350&gt;='TIF Loan Amortization'!$H$499,$C350&lt;='TIF Loan Amortization'!I$499),'TIF Loan Amortization'!$G$499,IF(AND($C350&gt;='TIF Loan Amortization'!$H$500,$C350&lt;='TIF Loan Amortization'!I$500),'TIF Loan Amortization'!$G$500,IF(AND($C350&gt;='TIF Loan Amortization'!$H$501,$C350&lt;='TIF Loan Amortization'!I$501),'TIF Loan Amortization'!$G$501,IF(AND($C350&gt;='TIF Loan Amortization'!$H$502,$C350&lt;='TIF Loan Amortization'!I$502),'TIF Loan Amortization'!$G$502,IF(AND($C350&gt;='TIF Loan Amortization'!$H$503,$C350&lt;='TIF Loan Amortization'!I$503),'TIF Loan Amortization'!$G$503,IF(AND($C350&gt;='TIF Loan Amortization'!$H$504,$C350&lt;='TIF Loan Amortization'!I$504),'TIF Loan Amortization'!$G$504,IF(AND($C350&gt;='TIF Loan Amortization'!$H$505,$C350&lt;='TIF Loan Amortization'!I$505),'TIF Loan Amortization'!$G$505,IF(AND($C350&gt;='TIF Loan Amortization'!$H$506,$C350&lt;='TIF Loan Amortization'!I$506),'TIF Loan Amortization'!$G$506,IF(AND($C350&gt;='TIF Loan Amortization'!$H$507,$C350&lt;='TIF Loan Amortization'!I$507),'TIF Loan Amortization'!$G$507,IF(AND($C350&gt;='TIF Loan Amortization'!$H$508,$C350&lt;='TIF Loan Amortization'!I$508),'TIF Loan Amortization'!$G$508,IF(AND($C350&gt;='TIF Loan Amortization'!$H$509,$C350&lt;='TIF Loan Amortization'!I$509),'TIF Loan Amortization'!$G$509,IF(AND($C350&gt;='TIF Loan Amortization'!$H$510,$C350&lt;='TIF Loan Amortization'!I$510),'TIF Loan Amortization'!$G$510,IF(AND($C350&gt;='TIF Loan Amortization'!$H$511,$C350&lt;='TIF Loan Amortization'!I$511),'TIF Loan Amortization'!$G$511,IF(AND($C350&gt;='TIF Loan Amortization'!$H$512,$C350&lt;='TIF Loan Amortization'!I$512),'TIF Loan Amortization'!$G$512,IF(AND($C350&gt;='TIF Loan Amortization'!$H$513,$C350&lt;='TIF Loan Amortization'!I$513),'TIF Loan Amortization'!$G$513,IF(AND($C350&gt;='TIF Loan Amortization'!$H$514,$C350&lt;='TIF Loan Amortization'!I$514),'TIF Loan Amortization'!$G$514,IF(AND($C350&gt;='TIF Loan Amortization'!$H$515,$C350&lt;='TIF Loan Amortization'!I$515),'TIF Loan Amortization'!$G$515,IF(AND($C350&gt;='TIF Loan Amortization'!$H$516,$C350&lt;='TIF Loan Amortization'!I$516),'TIF Loan Amortization'!$G$516,IF(AND($C350&gt;='TIF Loan Amortization'!$H$517,$C350&lt;='TIF Loan Amortization'!I$517),'TIF Loan Amortization'!$G$517,IF(AND($C350&gt;='TIF Loan Amortization'!$H$518,$C350&lt;='TIF Loan Amortization'!I$518),'TIF Loan Amortization'!$G$518,IF(AND($C350&gt;='TIF Loan Amortization'!$H$519,$C350&lt;='TIF Loan Amortization'!I$519),'TIF Loan Amortization'!$G$519))))))))))))))))))))))))))))))))))))))))</f>
        <v>#N/A</v>
      </c>
      <c r="C350" s="269" t="e">
        <f t="shared" si="42"/>
        <v>#N/A</v>
      </c>
      <c r="D350" s="281" t="str">
        <f>IF($H$11="January",$H$10+25,IF($AG$422=1,$H$10+26,""))</f>
        <v/>
      </c>
      <c r="E350" s="274">
        <v>300</v>
      </c>
      <c r="F350" s="273" t="str">
        <f>VLOOKUP($AG$422,$AE$422:$AF$433,2)</f>
        <v>Mar</v>
      </c>
      <c r="G350" s="272">
        <f t="shared" si="43"/>
        <v>0</v>
      </c>
      <c r="H350" s="266">
        <f t="shared" si="46"/>
        <v>0</v>
      </c>
      <c r="I350" s="266">
        <f t="shared" si="47"/>
        <v>0</v>
      </c>
      <c r="J350" s="272">
        <f t="shared" si="44"/>
        <v>0</v>
      </c>
      <c r="K350" s="272">
        <f>IF(ISTEXT($M$4),"",SUM(I$50:I350))</f>
        <v>0</v>
      </c>
      <c r="L350" s="272">
        <f>IF(ISTEXT($M$4),"",SUM(J$50:J350))</f>
        <v>0</v>
      </c>
      <c r="M350" s="271">
        <f t="shared" si="45"/>
        <v>0</v>
      </c>
      <c r="N350" s="291" t="e">
        <f>IF(C350='Operating Assumptions'!$C$48,"Construction Finish","")</f>
        <v>#N/A</v>
      </c>
      <c r="O350" s="291"/>
      <c r="P350" s="291"/>
      <c r="Q350" s="291"/>
      <c r="R350" s="291"/>
      <c r="S350" s="291"/>
      <c r="T350" s="280"/>
      <c r="Z350" s="279"/>
      <c r="AA350" s="279"/>
      <c r="AB350" s="279"/>
    </row>
    <row r="351" spans="2:28" s="278" customFormat="1" ht="13.5" hidden="1" outlineLevel="1" x14ac:dyDescent="0.25">
      <c r="B351" s="270" t="e">
        <f>IF(AND($C351&gt;='TIF Loan Amortization'!$H$480,$C351&lt;='TIF Loan Amortization'!$I$480),'TIF Loan Amortization'!$G$480,IF(AND($C351&gt;='TIF Loan Amortization'!$H$481,$C351&lt;='TIF Loan Amortization'!I$481),'TIF Loan Amortization'!$G$481,IF(AND($C351&gt;='TIF Loan Amortization'!$H$482,$C351&lt;='TIF Loan Amortization'!I$482),'TIF Loan Amortization'!$G$482,IF(AND($C351&gt;='TIF Loan Amortization'!$H$483,$C351&lt;='TIF Loan Amortization'!I$483),'TIF Loan Amortization'!$G$483,IF(AND($C351&gt;='TIF Loan Amortization'!$H$484,$C351&lt;='TIF Loan Amortization'!I$484),'TIF Loan Amortization'!$G$484,IF(AND($C351&gt;='TIF Loan Amortization'!$H$485,$C351&lt;='TIF Loan Amortization'!I$485),'TIF Loan Amortization'!$G$485,IF(AND($C351&gt;='TIF Loan Amortization'!$H$486,$C351&lt;='TIF Loan Amortization'!I$486),'TIF Loan Amortization'!$G$486,IF(AND($C351&gt;='TIF Loan Amortization'!$H$487,$C351&lt;='TIF Loan Amortization'!I$487),'TIF Loan Amortization'!$G$487,IF(AND($C351&gt;='TIF Loan Amortization'!$H$488,$C351&lt;='TIF Loan Amortization'!I$488),'TIF Loan Amortization'!$G$488,IF(AND($C351&gt;='TIF Loan Amortization'!$H$489,$C351&lt;='TIF Loan Amortization'!I$489),'TIF Loan Amortization'!$G$489,IF(AND($C351&gt;='TIF Loan Amortization'!$H$490,$C351&lt;='TIF Loan Amortization'!I$490),'TIF Loan Amortization'!$G$490,IF(AND($C351&gt;='TIF Loan Amortization'!$H$491,$C351&lt;='TIF Loan Amortization'!I$491),'TIF Loan Amortization'!$G$491,IF(AND($C351&gt;='TIF Loan Amortization'!$H$492,$C351&lt;='TIF Loan Amortization'!I$492),'TIF Loan Amortization'!$G$492,IF(AND($C351&gt;='TIF Loan Amortization'!$H$493,$C351&lt;='TIF Loan Amortization'!I$493),'TIF Loan Amortization'!$G$493,IF(AND($C351&gt;='TIF Loan Amortization'!$H$494,$C351&lt;='TIF Loan Amortization'!I$494),'TIF Loan Amortization'!$G$494,IF(AND($C351&gt;='TIF Loan Amortization'!$H$495,$C351&lt;='TIF Loan Amortization'!I$495),'TIF Loan Amortization'!$G$495,IF(AND($C351&gt;='TIF Loan Amortization'!$H$496,$C351&lt;='TIF Loan Amortization'!I$496),'TIF Loan Amortization'!$G$496,IF(AND($C351&gt;='TIF Loan Amortization'!$H$497,$C351&lt;='TIF Loan Amortization'!I$497),'TIF Loan Amortization'!$G$497,IF(AND($C351&gt;='TIF Loan Amortization'!$H$498,$C351&lt;='TIF Loan Amortization'!I$498),'TIF Loan Amortization'!$G$498,IF(AND($C351&gt;='TIF Loan Amortization'!$H$499,$C351&lt;='TIF Loan Amortization'!I$499),'TIF Loan Amortization'!$G$499,IF(AND($C351&gt;='TIF Loan Amortization'!$H$500,$C351&lt;='TIF Loan Amortization'!I$500),'TIF Loan Amortization'!$G$500,IF(AND($C351&gt;='TIF Loan Amortization'!$H$501,$C351&lt;='TIF Loan Amortization'!I$501),'TIF Loan Amortization'!$G$501,IF(AND($C351&gt;='TIF Loan Amortization'!$H$502,$C351&lt;='TIF Loan Amortization'!I$502),'TIF Loan Amortization'!$G$502,IF(AND($C351&gt;='TIF Loan Amortization'!$H$503,$C351&lt;='TIF Loan Amortization'!I$503),'TIF Loan Amortization'!$G$503,IF(AND($C351&gt;='TIF Loan Amortization'!$H$504,$C351&lt;='TIF Loan Amortization'!I$504),'TIF Loan Amortization'!$G$504,IF(AND($C351&gt;='TIF Loan Amortization'!$H$505,$C351&lt;='TIF Loan Amortization'!I$505),'TIF Loan Amortization'!$G$505,IF(AND($C351&gt;='TIF Loan Amortization'!$H$506,$C351&lt;='TIF Loan Amortization'!I$506),'TIF Loan Amortization'!$G$506,IF(AND($C351&gt;='TIF Loan Amortization'!$H$507,$C351&lt;='TIF Loan Amortization'!I$507),'TIF Loan Amortization'!$G$507,IF(AND($C351&gt;='TIF Loan Amortization'!$H$508,$C351&lt;='TIF Loan Amortization'!I$508),'TIF Loan Amortization'!$G$508,IF(AND($C351&gt;='TIF Loan Amortization'!$H$509,$C351&lt;='TIF Loan Amortization'!I$509),'TIF Loan Amortization'!$G$509,IF(AND($C351&gt;='TIF Loan Amortization'!$H$510,$C351&lt;='TIF Loan Amortization'!I$510),'TIF Loan Amortization'!$G$510,IF(AND($C351&gt;='TIF Loan Amortization'!$H$511,$C351&lt;='TIF Loan Amortization'!I$511),'TIF Loan Amortization'!$G$511,IF(AND($C351&gt;='TIF Loan Amortization'!$H$512,$C351&lt;='TIF Loan Amortization'!I$512),'TIF Loan Amortization'!$G$512,IF(AND($C351&gt;='TIF Loan Amortization'!$H$513,$C351&lt;='TIF Loan Amortization'!I$513),'TIF Loan Amortization'!$G$513,IF(AND($C351&gt;='TIF Loan Amortization'!$H$514,$C351&lt;='TIF Loan Amortization'!I$514),'TIF Loan Amortization'!$G$514,IF(AND($C351&gt;='TIF Loan Amortization'!$H$515,$C351&lt;='TIF Loan Amortization'!I$515),'TIF Loan Amortization'!$G$515,IF(AND($C351&gt;='TIF Loan Amortization'!$H$516,$C351&lt;='TIF Loan Amortization'!I$516),'TIF Loan Amortization'!$G$516,IF(AND($C351&gt;='TIF Loan Amortization'!$H$517,$C351&lt;='TIF Loan Amortization'!I$517),'TIF Loan Amortization'!$G$517,IF(AND($C351&gt;='TIF Loan Amortization'!$H$518,$C351&lt;='TIF Loan Amortization'!I$518),'TIF Loan Amortization'!$G$518,IF(AND($C351&gt;='TIF Loan Amortization'!$H$519,$C351&lt;='TIF Loan Amortization'!I$519),'TIF Loan Amortization'!$G$519))))))))))))))))))))))))))))))))))))))))</f>
        <v>#N/A</v>
      </c>
      <c r="C351" s="269" t="e">
        <f t="shared" si="42"/>
        <v>#N/A</v>
      </c>
      <c r="D351" s="281" t="str">
        <f>IF($AG$423=1,$H$10+26,"")</f>
        <v/>
      </c>
      <c r="E351" s="285">
        <v>301</v>
      </c>
      <c r="F351" s="284" t="str">
        <f>VLOOKUP($AG$423,$AE$422:$AF$433,2)</f>
        <v>Apr</v>
      </c>
      <c r="G351" s="283">
        <f t="shared" si="43"/>
        <v>0</v>
      </c>
      <c r="H351" s="272">
        <f t="shared" si="46"/>
        <v>0</v>
      </c>
      <c r="I351" s="272">
        <f t="shared" si="47"/>
        <v>0</v>
      </c>
      <c r="J351" s="283">
        <f t="shared" si="44"/>
        <v>0</v>
      </c>
      <c r="K351" s="283">
        <f>IF(ISTEXT($M$4),"",SUM(I$50:I351))</f>
        <v>0</v>
      </c>
      <c r="L351" s="283">
        <f>IF(ISTEXT($M$4),"",SUM(J$50:J351))</f>
        <v>0</v>
      </c>
      <c r="M351" s="282">
        <f t="shared" si="45"/>
        <v>0</v>
      </c>
      <c r="N351" s="291" t="e">
        <f>IF(C351='Operating Assumptions'!$C$48,"Construction Finish","")</f>
        <v>#N/A</v>
      </c>
      <c r="O351" s="291"/>
      <c r="P351" s="291"/>
      <c r="Q351" s="291"/>
      <c r="R351" s="291"/>
      <c r="S351" s="291"/>
      <c r="T351" s="280"/>
      <c r="Z351" s="279"/>
      <c r="AA351" s="279"/>
      <c r="AB351" s="279"/>
    </row>
    <row r="352" spans="2:28" s="278" customFormat="1" ht="13.5" hidden="1" outlineLevel="1" x14ac:dyDescent="0.25">
      <c r="B352" s="270" t="e">
        <f>IF(AND($C352&gt;='TIF Loan Amortization'!$H$480,$C352&lt;='TIF Loan Amortization'!$I$480),'TIF Loan Amortization'!$G$480,IF(AND($C352&gt;='TIF Loan Amortization'!$H$481,$C352&lt;='TIF Loan Amortization'!I$481),'TIF Loan Amortization'!$G$481,IF(AND($C352&gt;='TIF Loan Amortization'!$H$482,$C352&lt;='TIF Loan Amortization'!I$482),'TIF Loan Amortization'!$G$482,IF(AND($C352&gt;='TIF Loan Amortization'!$H$483,$C352&lt;='TIF Loan Amortization'!I$483),'TIF Loan Amortization'!$G$483,IF(AND($C352&gt;='TIF Loan Amortization'!$H$484,$C352&lt;='TIF Loan Amortization'!I$484),'TIF Loan Amortization'!$G$484,IF(AND($C352&gt;='TIF Loan Amortization'!$H$485,$C352&lt;='TIF Loan Amortization'!I$485),'TIF Loan Amortization'!$G$485,IF(AND($C352&gt;='TIF Loan Amortization'!$H$486,$C352&lt;='TIF Loan Amortization'!I$486),'TIF Loan Amortization'!$G$486,IF(AND($C352&gt;='TIF Loan Amortization'!$H$487,$C352&lt;='TIF Loan Amortization'!I$487),'TIF Loan Amortization'!$G$487,IF(AND($C352&gt;='TIF Loan Amortization'!$H$488,$C352&lt;='TIF Loan Amortization'!I$488),'TIF Loan Amortization'!$G$488,IF(AND($C352&gt;='TIF Loan Amortization'!$H$489,$C352&lt;='TIF Loan Amortization'!I$489),'TIF Loan Amortization'!$G$489,IF(AND($C352&gt;='TIF Loan Amortization'!$H$490,$C352&lt;='TIF Loan Amortization'!I$490),'TIF Loan Amortization'!$G$490,IF(AND($C352&gt;='TIF Loan Amortization'!$H$491,$C352&lt;='TIF Loan Amortization'!I$491),'TIF Loan Amortization'!$G$491,IF(AND($C352&gt;='TIF Loan Amortization'!$H$492,$C352&lt;='TIF Loan Amortization'!I$492),'TIF Loan Amortization'!$G$492,IF(AND($C352&gt;='TIF Loan Amortization'!$H$493,$C352&lt;='TIF Loan Amortization'!I$493),'TIF Loan Amortization'!$G$493,IF(AND($C352&gt;='TIF Loan Amortization'!$H$494,$C352&lt;='TIF Loan Amortization'!I$494),'TIF Loan Amortization'!$G$494,IF(AND($C352&gt;='TIF Loan Amortization'!$H$495,$C352&lt;='TIF Loan Amortization'!I$495),'TIF Loan Amortization'!$G$495,IF(AND($C352&gt;='TIF Loan Amortization'!$H$496,$C352&lt;='TIF Loan Amortization'!I$496),'TIF Loan Amortization'!$G$496,IF(AND($C352&gt;='TIF Loan Amortization'!$H$497,$C352&lt;='TIF Loan Amortization'!I$497),'TIF Loan Amortization'!$G$497,IF(AND($C352&gt;='TIF Loan Amortization'!$H$498,$C352&lt;='TIF Loan Amortization'!I$498),'TIF Loan Amortization'!$G$498,IF(AND($C352&gt;='TIF Loan Amortization'!$H$499,$C352&lt;='TIF Loan Amortization'!I$499),'TIF Loan Amortization'!$G$499,IF(AND($C352&gt;='TIF Loan Amortization'!$H$500,$C352&lt;='TIF Loan Amortization'!I$500),'TIF Loan Amortization'!$G$500,IF(AND($C352&gt;='TIF Loan Amortization'!$H$501,$C352&lt;='TIF Loan Amortization'!I$501),'TIF Loan Amortization'!$G$501,IF(AND($C352&gt;='TIF Loan Amortization'!$H$502,$C352&lt;='TIF Loan Amortization'!I$502),'TIF Loan Amortization'!$G$502,IF(AND($C352&gt;='TIF Loan Amortization'!$H$503,$C352&lt;='TIF Loan Amortization'!I$503),'TIF Loan Amortization'!$G$503,IF(AND($C352&gt;='TIF Loan Amortization'!$H$504,$C352&lt;='TIF Loan Amortization'!I$504),'TIF Loan Amortization'!$G$504,IF(AND($C352&gt;='TIF Loan Amortization'!$H$505,$C352&lt;='TIF Loan Amortization'!I$505),'TIF Loan Amortization'!$G$505,IF(AND($C352&gt;='TIF Loan Amortization'!$H$506,$C352&lt;='TIF Loan Amortization'!I$506),'TIF Loan Amortization'!$G$506,IF(AND($C352&gt;='TIF Loan Amortization'!$H$507,$C352&lt;='TIF Loan Amortization'!I$507),'TIF Loan Amortization'!$G$507,IF(AND($C352&gt;='TIF Loan Amortization'!$H$508,$C352&lt;='TIF Loan Amortization'!I$508),'TIF Loan Amortization'!$G$508,IF(AND($C352&gt;='TIF Loan Amortization'!$H$509,$C352&lt;='TIF Loan Amortization'!I$509),'TIF Loan Amortization'!$G$509,IF(AND($C352&gt;='TIF Loan Amortization'!$H$510,$C352&lt;='TIF Loan Amortization'!I$510),'TIF Loan Amortization'!$G$510,IF(AND($C352&gt;='TIF Loan Amortization'!$H$511,$C352&lt;='TIF Loan Amortization'!I$511),'TIF Loan Amortization'!$G$511,IF(AND($C352&gt;='TIF Loan Amortization'!$H$512,$C352&lt;='TIF Loan Amortization'!I$512),'TIF Loan Amortization'!$G$512,IF(AND($C352&gt;='TIF Loan Amortization'!$H$513,$C352&lt;='TIF Loan Amortization'!I$513),'TIF Loan Amortization'!$G$513,IF(AND($C352&gt;='TIF Loan Amortization'!$H$514,$C352&lt;='TIF Loan Amortization'!I$514),'TIF Loan Amortization'!$G$514,IF(AND($C352&gt;='TIF Loan Amortization'!$H$515,$C352&lt;='TIF Loan Amortization'!I$515),'TIF Loan Amortization'!$G$515,IF(AND($C352&gt;='TIF Loan Amortization'!$H$516,$C352&lt;='TIF Loan Amortization'!I$516),'TIF Loan Amortization'!$G$516,IF(AND($C352&gt;='TIF Loan Amortization'!$H$517,$C352&lt;='TIF Loan Amortization'!I$517),'TIF Loan Amortization'!$G$517,IF(AND($C352&gt;='TIF Loan Amortization'!$H$518,$C352&lt;='TIF Loan Amortization'!I$518),'TIF Loan Amortization'!$G$518,IF(AND($C352&gt;='TIF Loan Amortization'!$H$519,$C352&lt;='TIF Loan Amortization'!I$519),'TIF Loan Amortization'!$G$519))))))))))))))))))))))))))))))))))))))))</f>
        <v>#N/A</v>
      </c>
      <c r="C352" s="269" t="e">
        <f t="shared" si="42"/>
        <v>#N/A</v>
      </c>
      <c r="D352" s="281" t="str">
        <f>IF($AG$424=1,$H$10+26,"")</f>
        <v/>
      </c>
      <c r="E352" s="274">
        <v>302</v>
      </c>
      <c r="F352" s="275" t="str">
        <f>VLOOKUP($AG$424,$AE$422:$AF$433,2)</f>
        <v>May</v>
      </c>
      <c r="G352" s="272">
        <f t="shared" si="43"/>
        <v>0</v>
      </c>
      <c r="H352" s="272">
        <f t="shared" si="46"/>
        <v>0</v>
      </c>
      <c r="I352" s="272">
        <f t="shared" si="47"/>
        <v>0</v>
      </c>
      <c r="J352" s="272">
        <f t="shared" si="44"/>
        <v>0</v>
      </c>
      <c r="K352" s="272">
        <f>IF(ISTEXT($M$4),"",SUM(I$50:I352))</f>
        <v>0</v>
      </c>
      <c r="L352" s="272">
        <f>IF(ISTEXT($M$4),"",SUM(J$50:J352))</f>
        <v>0</v>
      </c>
      <c r="M352" s="271">
        <f t="shared" si="45"/>
        <v>0</v>
      </c>
      <c r="N352" s="291" t="e">
        <f>IF(C352='Operating Assumptions'!$C$48,"Construction Finish","")</f>
        <v>#N/A</v>
      </c>
      <c r="O352" s="291"/>
      <c r="P352" s="291"/>
      <c r="Q352" s="291"/>
      <c r="R352" s="291"/>
      <c r="S352" s="291"/>
      <c r="T352" s="280"/>
      <c r="Z352" s="279"/>
      <c r="AA352" s="279"/>
      <c r="AB352" s="279"/>
    </row>
    <row r="353" spans="2:28" s="278" customFormat="1" ht="13.5" hidden="1" outlineLevel="1" x14ac:dyDescent="0.25">
      <c r="B353" s="270" t="e">
        <f>IF(AND($C353&gt;='TIF Loan Amortization'!$H$480,$C353&lt;='TIF Loan Amortization'!$I$480),'TIF Loan Amortization'!$G$480,IF(AND($C353&gt;='TIF Loan Amortization'!$H$481,$C353&lt;='TIF Loan Amortization'!I$481),'TIF Loan Amortization'!$G$481,IF(AND($C353&gt;='TIF Loan Amortization'!$H$482,$C353&lt;='TIF Loan Amortization'!I$482),'TIF Loan Amortization'!$G$482,IF(AND($C353&gt;='TIF Loan Amortization'!$H$483,$C353&lt;='TIF Loan Amortization'!I$483),'TIF Loan Amortization'!$G$483,IF(AND($C353&gt;='TIF Loan Amortization'!$H$484,$C353&lt;='TIF Loan Amortization'!I$484),'TIF Loan Amortization'!$G$484,IF(AND($C353&gt;='TIF Loan Amortization'!$H$485,$C353&lt;='TIF Loan Amortization'!I$485),'TIF Loan Amortization'!$G$485,IF(AND($C353&gt;='TIF Loan Amortization'!$H$486,$C353&lt;='TIF Loan Amortization'!I$486),'TIF Loan Amortization'!$G$486,IF(AND($C353&gt;='TIF Loan Amortization'!$H$487,$C353&lt;='TIF Loan Amortization'!I$487),'TIF Loan Amortization'!$G$487,IF(AND($C353&gt;='TIF Loan Amortization'!$H$488,$C353&lt;='TIF Loan Amortization'!I$488),'TIF Loan Amortization'!$G$488,IF(AND($C353&gt;='TIF Loan Amortization'!$H$489,$C353&lt;='TIF Loan Amortization'!I$489),'TIF Loan Amortization'!$G$489,IF(AND($C353&gt;='TIF Loan Amortization'!$H$490,$C353&lt;='TIF Loan Amortization'!I$490),'TIF Loan Amortization'!$G$490,IF(AND($C353&gt;='TIF Loan Amortization'!$H$491,$C353&lt;='TIF Loan Amortization'!I$491),'TIF Loan Amortization'!$G$491,IF(AND($C353&gt;='TIF Loan Amortization'!$H$492,$C353&lt;='TIF Loan Amortization'!I$492),'TIF Loan Amortization'!$G$492,IF(AND($C353&gt;='TIF Loan Amortization'!$H$493,$C353&lt;='TIF Loan Amortization'!I$493),'TIF Loan Amortization'!$G$493,IF(AND($C353&gt;='TIF Loan Amortization'!$H$494,$C353&lt;='TIF Loan Amortization'!I$494),'TIF Loan Amortization'!$G$494,IF(AND($C353&gt;='TIF Loan Amortization'!$H$495,$C353&lt;='TIF Loan Amortization'!I$495),'TIF Loan Amortization'!$G$495,IF(AND($C353&gt;='TIF Loan Amortization'!$H$496,$C353&lt;='TIF Loan Amortization'!I$496),'TIF Loan Amortization'!$G$496,IF(AND($C353&gt;='TIF Loan Amortization'!$H$497,$C353&lt;='TIF Loan Amortization'!I$497),'TIF Loan Amortization'!$G$497,IF(AND($C353&gt;='TIF Loan Amortization'!$H$498,$C353&lt;='TIF Loan Amortization'!I$498),'TIF Loan Amortization'!$G$498,IF(AND($C353&gt;='TIF Loan Amortization'!$H$499,$C353&lt;='TIF Loan Amortization'!I$499),'TIF Loan Amortization'!$G$499,IF(AND($C353&gt;='TIF Loan Amortization'!$H$500,$C353&lt;='TIF Loan Amortization'!I$500),'TIF Loan Amortization'!$G$500,IF(AND($C353&gt;='TIF Loan Amortization'!$H$501,$C353&lt;='TIF Loan Amortization'!I$501),'TIF Loan Amortization'!$G$501,IF(AND($C353&gt;='TIF Loan Amortization'!$H$502,$C353&lt;='TIF Loan Amortization'!I$502),'TIF Loan Amortization'!$G$502,IF(AND($C353&gt;='TIF Loan Amortization'!$H$503,$C353&lt;='TIF Loan Amortization'!I$503),'TIF Loan Amortization'!$G$503,IF(AND($C353&gt;='TIF Loan Amortization'!$H$504,$C353&lt;='TIF Loan Amortization'!I$504),'TIF Loan Amortization'!$G$504,IF(AND($C353&gt;='TIF Loan Amortization'!$H$505,$C353&lt;='TIF Loan Amortization'!I$505),'TIF Loan Amortization'!$G$505,IF(AND($C353&gt;='TIF Loan Amortization'!$H$506,$C353&lt;='TIF Loan Amortization'!I$506),'TIF Loan Amortization'!$G$506,IF(AND($C353&gt;='TIF Loan Amortization'!$H$507,$C353&lt;='TIF Loan Amortization'!I$507),'TIF Loan Amortization'!$G$507,IF(AND($C353&gt;='TIF Loan Amortization'!$H$508,$C353&lt;='TIF Loan Amortization'!I$508),'TIF Loan Amortization'!$G$508,IF(AND($C353&gt;='TIF Loan Amortization'!$H$509,$C353&lt;='TIF Loan Amortization'!I$509),'TIF Loan Amortization'!$G$509,IF(AND($C353&gt;='TIF Loan Amortization'!$H$510,$C353&lt;='TIF Loan Amortization'!I$510),'TIF Loan Amortization'!$G$510,IF(AND($C353&gt;='TIF Loan Amortization'!$H$511,$C353&lt;='TIF Loan Amortization'!I$511),'TIF Loan Amortization'!$G$511,IF(AND($C353&gt;='TIF Loan Amortization'!$H$512,$C353&lt;='TIF Loan Amortization'!I$512),'TIF Loan Amortization'!$G$512,IF(AND($C353&gt;='TIF Loan Amortization'!$H$513,$C353&lt;='TIF Loan Amortization'!I$513),'TIF Loan Amortization'!$G$513,IF(AND($C353&gt;='TIF Loan Amortization'!$H$514,$C353&lt;='TIF Loan Amortization'!I$514),'TIF Loan Amortization'!$G$514,IF(AND($C353&gt;='TIF Loan Amortization'!$H$515,$C353&lt;='TIF Loan Amortization'!I$515),'TIF Loan Amortization'!$G$515,IF(AND($C353&gt;='TIF Loan Amortization'!$H$516,$C353&lt;='TIF Loan Amortization'!I$516),'TIF Loan Amortization'!$G$516,IF(AND($C353&gt;='TIF Loan Amortization'!$H$517,$C353&lt;='TIF Loan Amortization'!I$517),'TIF Loan Amortization'!$G$517,IF(AND($C353&gt;='TIF Loan Amortization'!$H$518,$C353&lt;='TIF Loan Amortization'!I$518),'TIF Loan Amortization'!$G$518,IF(AND($C353&gt;='TIF Loan Amortization'!$H$519,$C353&lt;='TIF Loan Amortization'!I$519),'TIF Loan Amortization'!$G$519))))))))))))))))))))))))))))))))))))))))</f>
        <v>#N/A</v>
      </c>
      <c r="C353" s="269" t="e">
        <f t="shared" si="42"/>
        <v>#N/A</v>
      </c>
      <c r="D353" s="281" t="str">
        <f>IF($AG$425=1,$H$10+26,"")</f>
        <v/>
      </c>
      <c r="E353" s="274">
        <v>303</v>
      </c>
      <c r="F353" s="275" t="str">
        <f>VLOOKUP($AG$425,$AE$422:$AF$433,2)</f>
        <v>Jun</v>
      </c>
      <c r="G353" s="272">
        <f t="shared" si="43"/>
        <v>0</v>
      </c>
      <c r="H353" s="272">
        <f t="shared" si="46"/>
        <v>0</v>
      </c>
      <c r="I353" s="272">
        <f t="shared" si="47"/>
        <v>0</v>
      </c>
      <c r="J353" s="272">
        <f t="shared" si="44"/>
        <v>0</v>
      </c>
      <c r="K353" s="272">
        <f>IF(ISTEXT($M$4),"",SUM(I$50:I353))</f>
        <v>0</v>
      </c>
      <c r="L353" s="272">
        <f>IF(ISTEXT($M$4),"",SUM(J$50:J353))</f>
        <v>0</v>
      </c>
      <c r="M353" s="271">
        <f t="shared" si="45"/>
        <v>0</v>
      </c>
      <c r="N353" s="291" t="e">
        <f>IF(C353='Operating Assumptions'!$C$48,"Construction Finish","")</f>
        <v>#N/A</v>
      </c>
      <c r="O353" s="291"/>
      <c r="P353" s="291"/>
      <c r="Q353" s="291"/>
      <c r="R353" s="291"/>
      <c r="S353" s="291"/>
      <c r="T353" s="280"/>
      <c r="Z353" s="279"/>
      <c r="AA353" s="279"/>
      <c r="AB353" s="279"/>
    </row>
    <row r="354" spans="2:28" s="278" customFormat="1" ht="13.5" hidden="1" outlineLevel="1" x14ac:dyDescent="0.25">
      <c r="B354" s="270" t="e">
        <f>IF(AND($C354&gt;='TIF Loan Amortization'!$H$480,$C354&lt;='TIF Loan Amortization'!$I$480),'TIF Loan Amortization'!$G$480,IF(AND($C354&gt;='TIF Loan Amortization'!$H$481,$C354&lt;='TIF Loan Amortization'!I$481),'TIF Loan Amortization'!$G$481,IF(AND($C354&gt;='TIF Loan Amortization'!$H$482,$C354&lt;='TIF Loan Amortization'!I$482),'TIF Loan Amortization'!$G$482,IF(AND($C354&gt;='TIF Loan Amortization'!$H$483,$C354&lt;='TIF Loan Amortization'!I$483),'TIF Loan Amortization'!$G$483,IF(AND($C354&gt;='TIF Loan Amortization'!$H$484,$C354&lt;='TIF Loan Amortization'!I$484),'TIF Loan Amortization'!$G$484,IF(AND($C354&gt;='TIF Loan Amortization'!$H$485,$C354&lt;='TIF Loan Amortization'!I$485),'TIF Loan Amortization'!$G$485,IF(AND($C354&gt;='TIF Loan Amortization'!$H$486,$C354&lt;='TIF Loan Amortization'!I$486),'TIF Loan Amortization'!$G$486,IF(AND($C354&gt;='TIF Loan Amortization'!$H$487,$C354&lt;='TIF Loan Amortization'!I$487),'TIF Loan Amortization'!$G$487,IF(AND($C354&gt;='TIF Loan Amortization'!$H$488,$C354&lt;='TIF Loan Amortization'!I$488),'TIF Loan Amortization'!$G$488,IF(AND($C354&gt;='TIF Loan Amortization'!$H$489,$C354&lt;='TIF Loan Amortization'!I$489),'TIF Loan Amortization'!$G$489,IF(AND($C354&gt;='TIF Loan Amortization'!$H$490,$C354&lt;='TIF Loan Amortization'!I$490),'TIF Loan Amortization'!$G$490,IF(AND($C354&gt;='TIF Loan Amortization'!$H$491,$C354&lt;='TIF Loan Amortization'!I$491),'TIF Loan Amortization'!$G$491,IF(AND($C354&gt;='TIF Loan Amortization'!$H$492,$C354&lt;='TIF Loan Amortization'!I$492),'TIF Loan Amortization'!$G$492,IF(AND($C354&gt;='TIF Loan Amortization'!$H$493,$C354&lt;='TIF Loan Amortization'!I$493),'TIF Loan Amortization'!$G$493,IF(AND($C354&gt;='TIF Loan Amortization'!$H$494,$C354&lt;='TIF Loan Amortization'!I$494),'TIF Loan Amortization'!$G$494,IF(AND($C354&gt;='TIF Loan Amortization'!$H$495,$C354&lt;='TIF Loan Amortization'!I$495),'TIF Loan Amortization'!$G$495,IF(AND($C354&gt;='TIF Loan Amortization'!$H$496,$C354&lt;='TIF Loan Amortization'!I$496),'TIF Loan Amortization'!$G$496,IF(AND($C354&gt;='TIF Loan Amortization'!$H$497,$C354&lt;='TIF Loan Amortization'!I$497),'TIF Loan Amortization'!$G$497,IF(AND($C354&gt;='TIF Loan Amortization'!$H$498,$C354&lt;='TIF Loan Amortization'!I$498),'TIF Loan Amortization'!$G$498,IF(AND($C354&gt;='TIF Loan Amortization'!$H$499,$C354&lt;='TIF Loan Amortization'!I$499),'TIF Loan Amortization'!$G$499,IF(AND($C354&gt;='TIF Loan Amortization'!$H$500,$C354&lt;='TIF Loan Amortization'!I$500),'TIF Loan Amortization'!$G$500,IF(AND($C354&gt;='TIF Loan Amortization'!$H$501,$C354&lt;='TIF Loan Amortization'!I$501),'TIF Loan Amortization'!$G$501,IF(AND($C354&gt;='TIF Loan Amortization'!$H$502,$C354&lt;='TIF Loan Amortization'!I$502),'TIF Loan Amortization'!$G$502,IF(AND($C354&gt;='TIF Loan Amortization'!$H$503,$C354&lt;='TIF Loan Amortization'!I$503),'TIF Loan Amortization'!$G$503,IF(AND($C354&gt;='TIF Loan Amortization'!$H$504,$C354&lt;='TIF Loan Amortization'!I$504),'TIF Loan Amortization'!$G$504,IF(AND($C354&gt;='TIF Loan Amortization'!$H$505,$C354&lt;='TIF Loan Amortization'!I$505),'TIF Loan Amortization'!$G$505,IF(AND($C354&gt;='TIF Loan Amortization'!$H$506,$C354&lt;='TIF Loan Amortization'!I$506),'TIF Loan Amortization'!$G$506,IF(AND($C354&gt;='TIF Loan Amortization'!$H$507,$C354&lt;='TIF Loan Amortization'!I$507),'TIF Loan Amortization'!$G$507,IF(AND($C354&gt;='TIF Loan Amortization'!$H$508,$C354&lt;='TIF Loan Amortization'!I$508),'TIF Loan Amortization'!$G$508,IF(AND($C354&gt;='TIF Loan Amortization'!$H$509,$C354&lt;='TIF Loan Amortization'!I$509),'TIF Loan Amortization'!$G$509,IF(AND($C354&gt;='TIF Loan Amortization'!$H$510,$C354&lt;='TIF Loan Amortization'!I$510),'TIF Loan Amortization'!$G$510,IF(AND($C354&gt;='TIF Loan Amortization'!$H$511,$C354&lt;='TIF Loan Amortization'!I$511),'TIF Loan Amortization'!$G$511,IF(AND($C354&gt;='TIF Loan Amortization'!$H$512,$C354&lt;='TIF Loan Amortization'!I$512),'TIF Loan Amortization'!$G$512,IF(AND($C354&gt;='TIF Loan Amortization'!$H$513,$C354&lt;='TIF Loan Amortization'!I$513),'TIF Loan Amortization'!$G$513,IF(AND($C354&gt;='TIF Loan Amortization'!$H$514,$C354&lt;='TIF Loan Amortization'!I$514),'TIF Loan Amortization'!$G$514,IF(AND($C354&gt;='TIF Loan Amortization'!$H$515,$C354&lt;='TIF Loan Amortization'!I$515),'TIF Loan Amortization'!$G$515,IF(AND($C354&gt;='TIF Loan Amortization'!$H$516,$C354&lt;='TIF Loan Amortization'!I$516),'TIF Loan Amortization'!$G$516,IF(AND($C354&gt;='TIF Loan Amortization'!$H$517,$C354&lt;='TIF Loan Amortization'!I$517),'TIF Loan Amortization'!$G$517,IF(AND($C354&gt;='TIF Loan Amortization'!$H$518,$C354&lt;='TIF Loan Amortization'!I$518),'TIF Loan Amortization'!$G$518,IF(AND($C354&gt;='TIF Loan Amortization'!$H$519,$C354&lt;='TIF Loan Amortization'!I$519),'TIF Loan Amortization'!$G$519))))))))))))))))))))))))))))))))))))))))</f>
        <v>#N/A</v>
      </c>
      <c r="C354" s="269" t="e">
        <f t="shared" si="42"/>
        <v>#N/A</v>
      </c>
      <c r="D354" s="281" t="str">
        <f>IF($AG$426=1,$H$10+26,"")</f>
        <v/>
      </c>
      <c r="E354" s="274">
        <v>304</v>
      </c>
      <c r="F354" s="275" t="str">
        <f>VLOOKUP($AG$426,$AE$422:$AF$433,2)</f>
        <v>Jul</v>
      </c>
      <c r="G354" s="272">
        <f t="shared" si="43"/>
        <v>0</v>
      </c>
      <c r="H354" s="272">
        <f t="shared" si="46"/>
        <v>0</v>
      </c>
      <c r="I354" s="272">
        <f t="shared" si="47"/>
        <v>0</v>
      </c>
      <c r="J354" s="272">
        <f t="shared" si="44"/>
        <v>0</v>
      </c>
      <c r="K354" s="272">
        <f>IF(ISTEXT($M$4),"",SUM(I$50:I354))</f>
        <v>0</v>
      </c>
      <c r="L354" s="272">
        <f>IF(ISTEXT($M$4),"",SUM(J$50:J354))</f>
        <v>0</v>
      </c>
      <c r="M354" s="271">
        <f t="shared" si="45"/>
        <v>0</v>
      </c>
      <c r="N354" s="291" t="e">
        <f>IF(C354='Operating Assumptions'!$C$48,"Construction Finish","")</f>
        <v>#N/A</v>
      </c>
      <c r="O354" s="291"/>
      <c r="P354" s="291"/>
      <c r="Q354" s="291"/>
      <c r="R354" s="291"/>
      <c r="S354" s="291"/>
      <c r="T354" s="280"/>
      <c r="Z354" s="279"/>
      <c r="AA354" s="279"/>
      <c r="AB354" s="279"/>
    </row>
    <row r="355" spans="2:28" s="278" customFormat="1" ht="13.5" hidden="1" outlineLevel="1" x14ac:dyDescent="0.25">
      <c r="B355" s="270" t="e">
        <f>IF(AND($C355&gt;='TIF Loan Amortization'!$H$480,$C355&lt;='TIF Loan Amortization'!$I$480),'TIF Loan Amortization'!$G$480,IF(AND($C355&gt;='TIF Loan Amortization'!$H$481,$C355&lt;='TIF Loan Amortization'!I$481),'TIF Loan Amortization'!$G$481,IF(AND($C355&gt;='TIF Loan Amortization'!$H$482,$C355&lt;='TIF Loan Amortization'!I$482),'TIF Loan Amortization'!$G$482,IF(AND($C355&gt;='TIF Loan Amortization'!$H$483,$C355&lt;='TIF Loan Amortization'!I$483),'TIF Loan Amortization'!$G$483,IF(AND($C355&gt;='TIF Loan Amortization'!$H$484,$C355&lt;='TIF Loan Amortization'!I$484),'TIF Loan Amortization'!$G$484,IF(AND($C355&gt;='TIF Loan Amortization'!$H$485,$C355&lt;='TIF Loan Amortization'!I$485),'TIF Loan Amortization'!$G$485,IF(AND($C355&gt;='TIF Loan Amortization'!$H$486,$C355&lt;='TIF Loan Amortization'!I$486),'TIF Loan Amortization'!$G$486,IF(AND($C355&gt;='TIF Loan Amortization'!$H$487,$C355&lt;='TIF Loan Amortization'!I$487),'TIF Loan Amortization'!$G$487,IF(AND($C355&gt;='TIF Loan Amortization'!$H$488,$C355&lt;='TIF Loan Amortization'!I$488),'TIF Loan Amortization'!$G$488,IF(AND($C355&gt;='TIF Loan Amortization'!$H$489,$C355&lt;='TIF Loan Amortization'!I$489),'TIF Loan Amortization'!$G$489,IF(AND($C355&gt;='TIF Loan Amortization'!$H$490,$C355&lt;='TIF Loan Amortization'!I$490),'TIF Loan Amortization'!$G$490,IF(AND($C355&gt;='TIF Loan Amortization'!$H$491,$C355&lt;='TIF Loan Amortization'!I$491),'TIF Loan Amortization'!$G$491,IF(AND($C355&gt;='TIF Loan Amortization'!$H$492,$C355&lt;='TIF Loan Amortization'!I$492),'TIF Loan Amortization'!$G$492,IF(AND($C355&gt;='TIF Loan Amortization'!$H$493,$C355&lt;='TIF Loan Amortization'!I$493),'TIF Loan Amortization'!$G$493,IF(AND($C355&gt;='TIF Loan Amortization'!$H$494,$C355&lt;='TIF Loan Amortization'!I$494),'TIF Loan Amortization'!$G$494,IF(AND($C355&gt;='TIF Loan Amortization'!$H$495,$C355&lt;='TIF Loan Amortization'!I$495),'TIF Loan Amortization'!$G$495,IF(AND($C355&gt;='TIF Loan Amortization'!$H$496,$C355&lt;='TIF Loan Amortization'!I$496),'TIF Loan Amortization'!$G$496,IF(AND($C355&gt;='TIF Loan Amortization'!$H$497,$C355&lt;='TIF Loan Amortization'!I$497),'TIF Loan Amortization'!$G$497,IF(AND($C355&gt;='TIF Loan Amortization'!$H$498,$C355&lt;='TIF Loan Amortization'!I$498),'TIF Loan Amortization'!$G$498,IF(AND($C355&gt;='TIF Loan Amortization'!$H$499,$C355&lt;='TIF Loan Amortization'!I$499),'TIF Loan Amortization'!$G$499,IF(AND($C355&gt;='TIF Loan Amortization'!$H$500,$C355&lt;='TIF Loan Amortization'!I$500),'TIF Loan Amortization'!$G$500,IF(AND($C355&gt;='TIF Loan Amortization'!$H$501,$C355&lt;='TIF Loan Amortization'!I$501),'TIF Loan Amortization'!$G$501,IF(AND($C355&gt;='TIF Loan Amortization'!$H$502,$C355&lt;='TIF Loan Amortization'!I$502),'TIF Loan Amortization'!$G$502,IF(AND($C355&gt;='TIF Loan Amortization'!$H$503,$C355&lt;='TIF Loan Amortization'!I$503),'TIF Loan Amortization'!$G$503,IF(AND($C355&gt;='TIF Loan Amortization'!$H$504,$C355&lt;='TIF Loan Amortization'!I$504),'TIF Loan Amortization'!$G$504,IF(AND($C355&gt;='TIF Loan Amortization'!$H$505,$C355&lt;='TIF Loan Amortization'!I$505),'TIF Loan Amortization'!$G$505,IF(AND($C355&gt;='TIF Loan Amortization'!$H$506,$C355&lt;='TIF Loan Amortization'!I$506),'TIF Loan Amortization'!$G$506,IF(AND($C355&gt;='TIF Loan Amortization'!$H$507,$C355&lt;='TIF Loan Amortization'!I$507),'TIF Loan Amortization'!$G$507,IF(AND($C355&gt;='TIF Loan Amortization'!$H$508,$C355&lt;='TIF Loan Amortization'!I$508),'TIF Loan Amortization'!$G$508,IF(AND($C355&gt;='TIF Loan Amortization'!$H$509,$C355&lt;='TIF Loan Amortization'!I$509),'TIF Loan Amortization'!$G$509,IF(AND($C355&gt;='TIF Loan Amortization'!$H$510,$C355&lt;='TIF Loan Amortization'!I$510),'TIF Loan Amortization'!$G$510,IF(AND($C355&gt;='TIF Loan Amortization'!$H$511,$C355&lt;='TIF Loan Amortization'!I$511),'TIF Loan Amortization'!$G$511,IF(AND($C355&gt;='TIF Loan Amortization'!$H$512,$C355&lt;='TIF Loan Amortization'!I$512),'TIF Loan Amortization'!$G$512,IF(AND($C355&gt;='TIF Loan Amortization'!$H$513,$C355&lt;='TIF Loan Amortization'!I$513),'TIF Loan Amortization'!$G$513,IF(AND($C355&gt;='TIF Loan Amortization'!$H$514,$C355&lt;='TIF Loan Amortization'!I$514),'TIF Loan Amortization'!$G$514,IF(AND($C355&gt;='TIF Loan Amortization'!$H$515,$C355&lt;='TIF Loan Amortization'!I$515),'TIF Loan Amortization'!$G$515,IF(AND($C355&gt;='TIF Loan Amortization'!$H$516,$C355&lt;='TIF Loan Amortization'!I$516),'TIF Loan Amortization'!$G$516,IF(AND($C355&gt;='TIF Loan Amortization'!$H$517,$C355&lt;='TIF Loan Amortization'!I$517),'TIF Loan Amortization'!$G$517,IF(AND($C355&gt;='TIF Loan Amortization'!$H$518,$C355&lt;='TIF Loan Amortization'!I$518),'TIF Loan Amortization'!$G$518,IF(AND($C355&gt;='TIF Loan Amortization'!$H$519,$C355&lt;='TIF Loan Amortization'!I$519),'TIF Loan Amortization'!$G$519))))))))))))))))))))))))))))))))))))))))</f>
        <v>#N/A</v>
      </c>
      <c r="C355" s="269" t="e">
        <f t="shared" si="42"/>
        <v>#N/A</v>
      </c>
      <c r="D355" s="281" t="str">
        <f>IF($AG$427=1,$H$10+26,"")</f>
        <v/>
      </c>
      <c r="E355" s="274">
        <v>305</v>
      </c>
      <c r="F355" s="275" t="str">
        <f>VLOOKUP($AG$427,$AE$422:$AF$433,2)</f>
        <v>Aug</v>
      </c>
      <c r="G355" s="272">
        <f t="shared" si="43"/>
        <v>0</v>
      </c>
      <c r="H355" s="272">
        <f t="shared" si="46"/>
        <v>0</v>
      </c>
      <c r="I355" s="272">
        <f t="shared" si="47"/>
        <v>0</v>
      </c>
      <c r="J355" s="272">
        <f t="shared" si="44"/>
        <v>0</v>
      </c>
      <c r="K355" s="272">
        <f>IF(ISTEXT($M$4),"",SUM(I$50:I355))</f>
        <v>0</v>
      </c>
      <c r="L355" s="272">
        <f>IF(ISTEXT($M$4),"",SUM(J$50:J355))</f>
        <v>0</v>
      </c>
      <c r="M355" s="271">
        <f t="shared" si="45"/>
        <v>0</v>
      </c>
      <c r="N355" s="291" t="e">
        <f>IF(C355='Operating Assumptions'!$C$48,"Construction Finish","")</f>
        <v>#N/A</v>
      </c>
      <c r="O355" s="291"/>
      <c r="P355" s="291"/>
      <c r="Q355" s="291"/>
      <c r="R355" s="291"/>
      <c r="S355" s="291"/>
      <c r="T355" s="280"/>
      <c r="Z355" s="279"/>
      <c r="AA355" s="279"/>
      <c r="AB355" s="279"/>
    </row>
    <row r="356" spans="2:28" s="278" customFormat="1" ht="13.5" hidden="1" outlineLevel="1" x14ac:dyDescent="0.25">
      <c r="B356" s="270" t="e">
        <f>IF(AND($C356&gt;='TIF Loan Amortization'!$H$480,$C356&lt;='TIF Loan Amortization'!$I$480),'TIF Loan Amortization'!$G$480,IF(AND($C356&gt;='TIF Loan Amortization'!$H$481,$C356&lt;='TIF Loan Amortization'!I$481),'TIF Loan Amortization'!$G$481,IF(AND($C356&gt;='TIF Loan Amortization'!$H$482,$C356&lt;='TIF Loan Amortization'!I$482),'TIF Loan Amortization'!$G$482,IF(AND($C356&gt;='TIF Loan Amortization'!$H$483,$C356&lt;='TIF Loan Amortization'!I$483),'TIF Loan Amortization'!$G$483,IF(AND($C356&gt;='TIF Loan Amortization'!$H$484,$C356&lt;='TIF Loan Amortization'!I$484),'TIF Loan Amortization'!$G$484,IF(AND($C356&gt;='TIF Loan Amortization'!$H$485,$C356&lt;='TIF Loan Amortization'!I$485),'TIF Loan Amortization'!$G$485,IF(AND($C356&gt;='TIF Loan Amortization'!$H$486,$C356&lt;='TIF Loan Amortization'!I$486),'TIF Loan Amortization'!$G$486,IF(AND($C356&gt;='TIF Loan Amortization'!$H$487,$C356&lt;='TIF Loan Amortization'!I$487),'TIF Loan Amortization'!$G$487,IF(AND($C356&gt;='TIF Loan Amortization'!$H$488,$C356&lt;='TIF Loan Amortization'!I$488),'TIF Loan Amortization'!$G$488,IF(AND($C356&gt;='TIF Loan Amortization'!$H$489,$C356&lt;='TIF Loan Amortization'!I$489),'TIF Loan Amortization'!$G$489,IF(AND($C356&gt;='TIF Loan Amortization'!$H$490,$C356&lt;='TIF Loan Amortization'!I$490),'TIF Loan Amortization'!$G$490,IF(AND($C356&gt;='TIF Loan Amortization'!$H$491,$C356&lt;='TIF Loan Amortization'!I$491),'TIF Loan Amortization'!$G$491,IF(AND($C356&gt;='TIF Loan Amortization'!$H$492,$C356&lt;='TIF Loan Amortization'!I$492),'TIF Loan Amortization'!$G$492,IF(AND($C356&gt;='TIF Loan Amortization'!$H$493,$C356&lt;='TIF Loan Amortization'!I$493),'TIF Loan Amortization'!$G$493,IF(AND($C356&gt;='TIF Loan Amortization'!$H$494,$C356&lt;='TIF Loan Amortization'!I$494),'TIF Loan Amortization'!$G$494,IF(AND($C356&gt;='TIF Loan Amortization'!$H$495,$C356&lt;='TIF Loan Amortization'!I$495),'TIF Loan Amortization'!$G$495,IF(AND($C356&gt;='TIF Loan Amortization'!$H$496,$C356&lt;='TIF Loan Amortization'!I$496),'TIF Loan Amortization'!$G$496,IF(AND($C356&gt;='TIF Loan Amortization'!$H$497,$C356&lt;='TIF Loan Amortization'!I$497),'TIF Loan Amortization'!$G$497,IF(AND($C356&gt;='TIF Loan Amortization'!$H$498,$C356&lt;='TIF Loan Amortization'!I$498),'TIF Loan Amortization'!$G$498,IF(AND($C356&gt;='TIF Loan Amortization'!$H$499,$C356&lt;='TIF Loan Amortization'!I$499),'TIF Loan Amortization'!$G$499,IF(AND($C356&gt;='TIF Loan Amortization'!$H$500,$C356&lt;='TIF Loan Amortization'!I$500),'TIF Loan Amortization'!$G$500,IF(AND($C356&gt;='TIF Loan Amortization'!$H$501,$C356&lt;='TIF Loan Amortization'!I$501),'TIF Loan Amortization'!$G$501,IF(AND($C356&gt;='TIF Loan Amortization'!$H$502,$C356&lt;='TIF Loan Amortization'!I$502),'TIF Loan Amortization'!$G$502,IF(AND($C356&gt;='TIF Loan Amortization'!$H$503,$C356&lt;='TIF Loan Amortization'!I$503),'TIF Loan Amortization'!$G$503,IF(AND($C356&gt;='TIF Loan Amortization'!$H$504,$C356&lt;='TIF Loan Amortization'!I$504),'TIF Loan Amortization'!$G$504,IF(AND($C356&gt;='TIF Loan Amortization'!$H$505,$C356&lt;='TIF Loan Amortization'!I$505),'TIF Loan Amortization'!$G$505,IF(AND($C356&gt;='TIF Loan Amortization'!$H$506,$C356&lt;='TIF Loan Amortization'!I$506),'TIF Loan Amortization'!$G$506,IF(AND($C356&gt;='TIF Loan Amortization'!$H$507,$C356&lt;='TIF Loan Amortization'!I$507),'TIF Loan Amortization'!$G$507,IF(AND($C356&gt;='TIF Loan Amortization'!$H$508,$C356&lt;='TIF Loan Amortization'!I$508),'TIF Loan Amortization'!$G$508,IF(AND($C356&gt;='TIF Loan Amortization'!$H$509,$C356&lt;='TIF Loan Amortization'!I$509),'TIF Loan Amortization'!$G$509,IF(AND($C356&gt;='TIF Loan Amortization'!$H$510,$C356&lt;='TIF Loan Amortization'!I$510),'TIF Loan Amortization'!$G$510,IF(AND($C356&gt;='TIF Loan Amortization'!$H$511,$C356&lt;='TIF Loan Amortization'!I$511),'TIF Loan Amortization'!$G$511,IF(AND($C356&gt;='TIF Loan Amortization'!$H$512,$C356&lt;='TIF Loan Amortization'!I$512),'TIF Loan Amortization'!$G$512,IF(AND($C356&gt;='TIF Loan Amortization'!$H$513,$C356&lt;='TIF Loan Amortization'!I$513),'TIF Loan Amortization'!$G$513,IF(AND($C356&gt;='TIF Loan Amortization'!$H$514,$C356&lt;='TIF Loan Amortization'!I$514),'TIF Loan Amortization'!$G$514,IF(AND($C356&gt;='TIF Loan Amortization'!$H$515,$C356&lt;='TIF Loan Amortization'!I$515),'TIF Loan Amortization'!$G$515,IF(AND($C356&gt;='TIF Loan Amortization'!$H$516,$C356&lt;='TIF Loan Amortization'!I$516),'TIF Loan Amortization'!$G$516,IF(AND($C356&gt;='TIF Loan Amortization'!$H$517,$C356&lt;='TIF Loan Amortization'!I$517),'TIF Loan Amortization'!$G$517,IF(AND($C356&gt;='TIF Loan Amortization'!$H$518,$C356&lt;='TIF Loan Amortization'!I$518),'TIF Loan Amortization'!$G$518,IF(AND($C356&gt;='TIF Loan Amortization'!$H$519,$C356&lt;='TIF Loan Amortization'!I$519),'TIF Loan Amortization'!$G$519))))))))))))))))))))))))))))))))))))))))</f>
        <v>#N/A</v>
      </c>
      <c r="C356" s="269" t="e">
        <f t="shared" si="42"/>
        <v>#N/A</v>
      </c>
      <c r="D356" s="281" t="str">
        <f>IF($AG$428=1,$H$10+26,"")</f>
        <v/>
      </c>
      <c r="E356" s="274">
        <v>306</v>
      </c>
      <c r="F356" s="275" t="str">
        <f>VLOOKUP($AG$428,$AE$422:$AF$433,2)</f>
        <v>Sep</v>
      </c>
      <c r="G356" s="272">
        <f t="shared" si="43"/>
        <v>0</v>
      </c>
      <c r="H356" s="272">
        <f t="shared" si="46"/>
        <v>0</v>
      </c>
      <c r="I356" s="272">
        <f t="shared" si="47"/>
        <v>0</v>
      </c>
      <c r="J356" s="272">
        <f t="shared" si="44"/>
        <v>0</v>
      </c>
      <c r="K356" s="272">
        <f>IF(ISTEXT($M$4),"",SUM(I$50:I356))</f>
        <v>0</v>
      </c>
      <c r="L356" s="272">
        <f>IF(ISTEXT($M$4),"",SUM(J$50:J356))</f>
        <v>0</v>
      </c>
      <c r="M356" s="271">
        <f t="shared" si="45"/>
        <v>0</v>
      </c>
      <c r="N356" s="291" t="e">
        <f>IF(C356='Operating Assumptions'!$C$48,"Construction Finish","")</f>
        <v>#N/A</v>
      </c>
      <c r="O356" s="291"/>
      <c r="P356" s="291"/>
      <c r="Q356" s="291"/>
      <c r="R356" s="291"/>
      <c r="S356" s="291"/>
      <c r="T356" s="280"/>
      <c r="Z356" s="279"/>
      <c r="AA356" s="279"/>
      <c r="AB356" s="279"/>
    </row>
    <row r="357" spans="2:28" s="278" customFormat="1" ht="13.5" hidden="1" outlineLevel="1" x14ac:dyDescent="0.25">
      <c r="B357" s="270" t="e">
        <f>IF(AND($C357&gt;='TIF Loan Amortization'!$H$480,$C357&lt;='TIF Loan Amortization'!$I$480),'TIF Loan Amortization'!$G$480,IF(AND($C357&gt;='TIF Loan Amortization'!$H$481,$C357&lt;='TIF Loan Amortization'!I$481),'TIF Loan Amortization'!$G$481,IF(AND($C357&gt;='TIF Loan Amortization'!$H$482,$C357&lt;='TIF Loan Amortization'!I$482),'TIF Loan Amortization'!$G$482,IF(AND($C357&gt;='TIF Loan Amortization'!$H$483,$C357&lt;='TIF Loan Amortization'!I$483),'TIF Loan Amortization'!$G$483,IF(AND($C357&gt;='TIF Loan Amortization'!$H$484,$C357&lt;='TIF Loan Amortization'!I$484),'TIF Loan Amortization'!$G$484,IF(AND($C357&gt;='TIF Loan Amortization'!$H$485,$C357&lt;='TIF Loan Amortization'!I$485),'TIF Loan Amortization'!$G$485,IF(AND($C357&gt;='TIF Loan Amortization'!$H$486,$C357&lt;='TIF Loan Amortization'!I$486),'TIF Loan Amortization'!$G$486,IF(AND($C357&gt;='TIF Loan Amortization'!$H$487,$C357&lt;='TIF Loan Amortization'!I$487),'TIF Loan Amortization'!$G$487,IF(AND($C357&gt;='TIF Loan Amortization'!$H$488,$C357&lt;='TIF Loan Amortization'!I$488),'TIF Loan Amortization'!$G$488,IF(AND($C357&gt;='TIF Loan Amortization'!$H$489,$C357&lt;='TIF Loan Amortization'!I$489),'TIF Loan Amortization'!$G$489,IF(AND($C357&gt;='TIF Loan Amortization'!$H$490,$C357&lt;='TIF Loan Amortization'!I$490),'TIF Loan Amortization'!$G$490,IF(AND($C357&gt;='TIF Loan Amortization'!$H$491,$C357&lt;='TIF Loan Amortization'!I$491),'TIF Loan Amortization'!$G$491,IF(AND($C357&gt;='TIF Loan Amortization'!$H$492,$C357&lt;='TIF Loan Amortization'!I$492),'TIF Loan Amortization'!$G$492,IF(AND($C357&gt;='TIF Loan Amortization'!$H$493,$C357&lt;='TIF Loan Amortization'!I$493),'TIF Loan Amortization'!$G$493,IF(AND($C357&gt;='TIF Loan Amortization'!$H$494,$C357&lt;='TIF Loan Amortization'!I$494),'TIF Loan Amortization'!$G$494,IF(AND($C357&gt;='TIF Loan Amortization'!$H$495,$C357&lt;='TIF Loan Amortization'!I$495),'TIF Loan Amortization'!$G$495,IF(AND($C357&gt;='TIF Loan Amortization'!$H$496,$C357&lt;='TIF Loan Amortization'!I$496),'TIF Loan Amortization'!$G$496,IF(AND($C357&gt;='TIF Loan Amortization'!$H$497,$C357&lt;='TIF Loan Amortization'!I$497),'TIF Loan Amortization'!$G$497,IF(AND($C357&gt;='TIF Loan Amortization'!$H$498,$C357&lt;='TIF Loan Amortization'!I$498),'TIF Loan Amortization'!$G$498,IF(AND($C357&gt;='TIF Loan Amortization'!$H$499,$C357&lt;='TIF Loan Amortization'!I$499),'TIF Loan Amortization'!$G$499,IF(AND($C357&gt;='TIF Loan Amortization'!$H$500,$C357&lt;='TIF Loan Amortization'!I$500),'TIF Loan Amortization'!$G$500,IF(AND($C357&gt;='TIF Loan Amortization'!$H$501,$C357&lt;='TIF Loan Amortization'!I$501),'TIF Loan Amortization'!$G$501,IF(AND($C357&gt;='TIF Loan Amortization'!$H$502,$C357&lt;='TIF Loan Amortization'!I$502),'TIF Loan Amortization'!$G$502,IF(AND($C357&gt;='TIF Loan Amortization'!$H$503,$C357&lt;='TIF Loan Amortization'!I$503),'TIF Loan Amortization'!$G$503,IF(AND($C357&gt;='TIF Loan Amortization'!$H$504,$C357&lt;='TIF Loan Amortization'!I$504),'TIF Loan Amortization'!$G$504,IF(AND($C357&gt;='TIF Loan Amortization'!$H$505,$C357&lt;='TIF Loan Amortization'!I$505),'TIF Loan Amortization'!$G$505,IF(AND($C357&gt;='TIF Loan Amortization'!$H$506,$C357&lt;='TIF Loan Amortization'!I$506),'TIF Loan Amortization'!$G$506,IF(AND($C357&gt;='TIF Loan Amortization'!$H$507,$C357&lt;='TIF Loan Amortization'!I$507),'TIF Loan Amortization'!$G$507,IF(AND($C357&gt;='TIF Loan Amortization'!$H$508,$C357&lt;='TIF Loan Amortization'!I$508),'TIF Loan Amortization'!$G$508,IF(AND($C357&gt;='TIF Loan Amortization'!$H$509,$C357&lt;='TIF Loan Amortization'!I$509),'TIF Loan Amortization'!$G$509,IF(AND($C357&gt;='TIF Loan Amortization'!$H$510,$C357&lt;='TIF Loan Amortization'!I$510),'TIF Loan Amortization'!$G$510,IF(AND($C357&gt;='TIF Loan Amortization'!$H$511,$C357&lt;='TIF Loan Amortization'!I$511),'TIF Loan Amortization'!$G$511,IF(AND($C357&gt;='TIF Loan Amortization'!$H$512,$C357&lt;='TIF Loan Amortization'!I$512),'TIF Loan Amortization'!$G$512,IF(AND($C357&gt;='TIF Loan Amortization'!$H$513,$C357&lt;='TIF Loan Amortization'!I$513),'TIF Loan Amortization'!$G$513,IF(AND($C357&gt;='TIF Loan Amortization'!$H$514,$C357&lt;='TIF Loan Amortization'!I$514),'TIF Loan Amortization'!$G$514,IF(AND($C357&gt;='TIF Loan Amortization'!$H$515,$C357&lt;='TIF Loan Amortization'!I$515),'TIF Loan Amortization'!$G$515,IF(AND($C357&gt;='TIF Loan Amortization'!$H$516,$C357&lt;='TIF Loan Amortization'!I$516),'TIF Loan Amortization'!$G$516,IF(AND($C357&gt;='TIF Loan Amortization'!$H$517,$C357&lt;='TIF Loan Amortization'!I$517),'TIF Loan Amortization'!$G$517,IF(AND($C357&gt;='TIF Loan Amortization'!$H$518,$C357&lt;='TIF Loan Amortization'!I$518),'TIF Loan Amortization'!$G$518,IF(AND($C357&gt;='TIF Loan Amortization'!$H$519,$C357&lt;='TIF Loan Amortization'!I$519),'TIF Loan Amortization'!$G$519))))))))))))))))))))))))))))))))))))))))</f>
        <v>#N/A</v>
      </c>
      <c r="C357" s="269" t="e">
        <f t="shared" si="42"/>
        <v>#N/A</v>
      </c>
      <c r="D357" s="281" t="str">
        <f>IF($AG$429=1,$H$10+26,"")</f>
        <v/>
      </c>
      <c r="E357" s="274">
        <v>307</v>
      </c>
      <c r="F357" s="275" t="str">
        <f>VLOOKUP($AG$429,$AE$422:$AF$433,2)</f>
        <v>Oct</v>
      </c>
      <c r="G357" s="272">
        <f t="shared" si="43"/>
        <v>0</v>
      </c>
      <c r="H357" s="272">
        <f t="shared" si="46"/>
        <v>0</v>
      </c>
      <c r="I357" s="272">
        <f t="shared" si="47"/>
        <v>0</v>
      </c>
      <c r="J357" s="272">
        <f t="shared" si="44"/>
        <v>0</v>
      </c>
      <c r="K357" s="272">
        <f>IF(ISTEXT($M$4),"",SUM(I$50:I357))</f>
        <v>0</v>
      </c>
      <c r="L357" s="272">
        <f>IF(ISTEXT($M$4),"",SUM(J$50:J357))</f>
        <v>0</v>
      </c>
      <c r="M357" s="271">
        <f t="shared" si="45"/>
        <v>0</v>
      </c>
      <c r="N357" s="291" t="e">
        <f>IF(C357='Operating Assumptions'!$C$48,"Construction Finish","")</f>
        <v>#N/A</v>
      </c>
      <c r="O357" s="291"/>
      <c r="P357" s="291"/>
      <c r="Q357" s="291"/>
      <c r="R357" s="291"/>
      <c r="S357" s="291"/>
      <c r="T357" s="280"/>
      <c r="Z357" s="279"/>
      <c r="AA357" s="279"/>
      <c r="AB357" s="279"/>
    </row>
    <row r="358" spans="2:28" s="278" customFormat="1" ht="13.5" hidden="1" outlineLevel="1" x14ac:dyDescent="0.25">
      <c r="B358" s="270" t="e">
        <f>IF(AND($C358&gt;='TIF Loan Amortization'!$H$480,$C358&lt;='TIF Loan Amortization'!$I$480),'TIF Loan Amortization'!$G$480,IF(AND($C358&gt;='TIF Loan Amortization'!$H$481,$C358&lt;='TIF Loan Amortization'!I$481),'TIF Loan Amortization'!$G$481,IF(AND($C358&gt;='TIF Loan Amortization'!$H$482,$C358&lt;='TIF Loan Amortization'!I$482),'TIF Loan Amortization'!$G$482,IF(AND($C358&gt;='TIF Loan Amortization'!$H$483,$C358&lt;='TIF Loan Amortization'!I$483),'TIF Loan Amortization'!$G$483,IF(AND($C358&gt;='TIF Loan Amortization'!$H$484,$C358&lt;='TIF Loan Amortization'!I$484),'TIF Loan Amortization'!$G$484,IF(AND($C358&gt;='TIF Loan Amortization'!$H$485,$C358&lt;='TIF Loan Amortization'!I$485),'TIF Loan Amortization'!$G$485,IF(AND($C358&gt;='TIF Loan Amortization'!$H$486,$C358&lt;='TIF Loan Amortization'!I$486),'TIF Loan Amortization'!$G$486,IF(AND($C358&gt;='TIF Loan Amortization'!$H$487,$C358&lt;='TIF Loan Amortization'!I$487),'TIF Loan Amortization'!$G$487,IF(AND($C358&gt;='TIF Loan Amortization'!$H$488,$C358&lt;='TIF Loan Amortization'!I$488),'TIF Loan Amortization'!$G$488,IF(AND($C358&gt;='TIF Loan Amortization'!$H$489,$C358&lt;='TIF Loan Amortization'!I$489),'TIF Loan Amortization'!$G$489,IF(AND($C358&gt;='TIF Loan Amortization'!$H$490,$C358&lt;='TIF Loan Amortization'!I$490),'TIF Loan Amortization'!$G$490,IF(AND($C358&gt;='TIF Loan Amortization'!$H$491,$C358&lt;='TIF Loan Amortization'!I$491),'TIF Loan Amortization'!$G$491,IF(AND($C358&gt;='TIF Loan Amortization'!$H$492,$C358&lt;='TIF Loan Amortization'!I$492),'TIF Loan Amortization'!$G$492,IF(AND($C358&gt;='TIF Loan Amortization'!$H$493,$C358&lt;='TIF Loan Amortization'!I$493),'TIF Loan Amortization'!$G$493,IF(AND($C358&gt;='TIF Loan Amortization'!$H$494,$C358&lt;='TIF Loan Amortization'!I$494),'TIF Loan Amortization'!$G$494,IF(AND($C358&gt;='TIF Loan Amortization'!$H$495,$C358&lt;='TIF Loan Amortization'!I$495),'TIF Loan Amortization'!$G$495,IF(AND($C358&gt;='TIF Loan Amortization'!$H$496,$C358&lt;='TIF Loan Amortization'!I$496),'TIF Loan Amortization'!$G$496,IF(AND($C358&gt;='TIF Loan Amortization'!$H$497,$C358&lt;='TIF Loan Amortization'!I$497),'TIF Loan Amortization'!$G$497,IF(AND($C358&gt;='TIF Loan Amortization'!$H$498,$C358&lt;='TIF Loan Amortization'!I$498),'TIF Loan Amortization'!$G$498,IF(AND($C358&gt;='TIF Loan Amortization'!$H$499,$C358&lt;='TIF Loan Amortization'!I$499),'TIF Loan Amortization'!$G$499,IF(AND($C358&gt;='TIF Loan Amortization'!$H$500,$C358&lt;='TIF Loan Amortization'!I$500),'TIF Loan Amortization'!$G$500,IF(AND($C358&gt;='TIF Loan Amortization'!$H$501,$C358&lt;='TIF Loan Amortization'!I$501),'TIF Loan Amortization'!$G$501,IF(AND($C358&gt;='TIF Loan Amortization'!$H$502,$C358&lt;='TIF Loan Amortization'!I$502),'TIF Loan Amortization'!$G$502,IF(AND($C358&gt;='TIF Loan Amortization'!$H$503,$C358&lt;='TIF Loan Amortization'!I$503),'TIF Loan Amortization'!$G$503,IF(AND($C358&gt;='TIF Loan Amortization'!$H$504,$C358&lt;='TIF Loan Amortization'!I$504),'TIF Loan Amortization'!$G$504,IF(AND($C358&gt;='TIF Loan Amortization'!$H$505,$C358&lt;='TIF Loan Amortization'!I$505),'TIF Loan Amortization'!$G$505,IF(AND($C358&gt;='TIF Loan Amortization'!$H$506,$C358&lt;='TIF Loan Amortization'!I$506),'TIF Loan Amortization'!$G$506,IF(AND($C358&gt;='TIF Loan Amortization'!$H$507,$C358&lt;='TIF Loan Amortization'!I$507),'TIF Loan Amortization'!$G$507,IF(AND($C358&gt;='TIF Loan Amortization'!$H$508,$C358&lt;='TIF Loan Amortization'!I$508),'TIF Loan Amortization'!$G$508,IF(AND($C358&gt;='TIF Loan Amortization'!$H$509,$C358&lt;='TIF Loan Amortization'!I$509),'TIF Loan Amortization'!$G$509,IF(AND($C358&gt;='TIF Loan Amortization'!$H$510,$C358&lt;='TIF Loan Amortization'!I$510),'TIF Loan Amortization'!$G$510,IF(AND($C358&gt;='TIF Loan Amortization'!$H$511,$C358&lt;='TIF Loan Amortization'!I$511),'TIF Loan Amortization'!$G$511,IF(AND($C358&gt;='TIF Loan Amortization'!$H$512,$C358&lt;='TIF Loan Amortization'!I$512),'TIF Loan Amortization'!$G$512,IF(AND($C358&gt;='TIF Loan Amortization'!$H$513,$C358&lt;='TIF Loan Amortization'!I$513),'TIF Loan Amortization'!$G$513,IF(AND($C358&gt;='TIF Loan Amortization'!$H$514,$C358&lt;='TIF Loan Amortization'!I$514),'TIF Loan Amortization'!$G$514,IF(AND($C358&gt;='TIF Loan Amortization'!$H$515,$C358&lt;='TIF Loan Amortization'!I$515),'TIF Loan Amortization'!$G$515,IF(AND($C358&gt;='TIF Loan Amortization'!$H$516,$C358&lt;='TIF Loan Amortization'!I$516),'TIF Loan Amortization'!$G$516,IF(AND($C358&gt;='TIF Loan Amortization'!$H$517,$C358&lt;='TIF Loan Amortization'!I$517),'TIF Loan Amortization'!$G$517,IF(AND($C358&gt;='TIF Loan Amortization'!$H$518,$C358&lt;='TIF Loan Amortization'!I$518),'TIF Loan Amortization'!$G$518,IF(AND($C358&gt;='TIF Loan Amortization'!$H$519,$C358&lt;='TIF Loan Amortization'!I$519),'TIF Loan Amortization'!$G$519))))))))))))))))))))))))))))))))))))))))</f>
        <v>#N/A</v>
      </c>
      <c r="C358" s="269" t="e">
        <f t="shared" si="42"/>
        <v>#N/A</v>
      </c>
      <c r="D358" s="281" t="str">
        <f>IF($AG$430=1,$H$10+26,"")</f>
        <v/>
      </c>
      <c r="E358" s="274">
        <v>308</v>
      </c>
      <c r="F358" s="275" t="str">
        <f>VLOOKUP($AG$430,$AE$422:$AF$433,2)</f>
        <v>Nov</v>
      </c>
      <c r="G358" s="272">
        <f t="shared" si="43"/>
        <v>0</v>
      </c>
      <c r="H358" s="272">
        <f t="shared" si="46"/>
        <v>0</v>
      </c>
      <c r="I358" s="272">
        <f t="shared" si="47"/>
        <v>0</v>
      </c>
      <c r="J358" s="272">
        <f t="shared" si="44"/>
        <v>0</v>
      </c>
      <c r="K358" s="272">
        <f>IF(ISTEXT($M$4),"",SUM(I$50:I358))</f>
        <v>0</v>
      </c>
      <c r="L358" s="272">
        <f>IF(ISTEXT($M$4),"",SUM(J$50:J358))</f>
        <v>0</v>
      </c>
      <c r="M358" s="271">
        <f t="shared" si="45"/>
        <v>0</v>
      </c>
      <c r="N358" s="291" t="e">
        <f>IF(C358='Operating Assumptions'!$C$48,"Construction Finish","")</f>
        <v>#N/A</v>
      </c>
      <c r="O358" s="291"/>
      <c r="P358" s="291"/>
      <c r="Q358" s="291"/>
      <c r="R358" s="291"/>
      <c r="S358" s="291"/>
      <c r="T358" s="280"/>
      <c r="Z358" s="279"/>
      <c r="AA358" s="279"/>
      <c r="AB358" s="279"/>
    </row>
    <row r="359" spans="2:28" s="278" customFormat="1" ht="13.5" hidden="1" outlineLevel="1" x14ac:dyDescent="0.25">
      <c r="B359" s="270" t="e">
        <f>IF(AND($C359&gt;='TIF Loan Amortization'!$H$480,$C359&lt;='TIF Loan Amortization'!$I$480),'TIF Loan Amortization'!$G$480,IF(AND($C359&gt;='TIF Loan Amortization'!$H$481,$C359&lt;='TIF Loan Amortization'!I$481),'TIF Loan Amortization'!$G$481,IF(AND($C359&gt;='TIF Loan Amortization'!$H$482,$C359&lt;='TIF Loan Amortization'!I$482),'TIF Loan Amortization'!$G$482,IF(AND($C359&gt;='TIF Loan Amortization'!$H$483,$C359&lt;='TIF Loan Amortization'!I$483),'TIF Loan Amortization'!$G$483,IF(AND($C359&gt;='TIF Loan Amortization'!$H$484,$C359&lt;='TIF Loan Amortization'!I$484),'TIF Loan Amortization'!$G$484,IF(AND($C359&gt;='TIF Loan Amortization'!$H$485,$C359&lt;='TIF Loan Amortization'!I$485),'TIF Loan Amortization'!$G$485,IF(AND($C359&gt;='TIF Loan Amortization'!$H$486,$C359&lt;='TIF Loan Amortization'!I$486),'TIF Loan Amortization'!$G$486,IF(AND($C359&gt;='TIF Loan Amortization'!$H$487,$C359&lt;='TIF Loan Amortization'!I$487),'TIF Loan Amortization'!$G$487,IF(AND($C359&gt;='TIF Loan Amortization'!$H$488,$C359&lt;='TIF Loan Amortization'!I$488),'TIF Loan Amortization'!$G$488,IF(AND($C359&gt;='TIF Loan Amortization'!$H$489,$C359&lt;='TIF Loan Amortization'!I$489),'TIF Loan Amortization'!$G$489,IF(AND($C359&gt;='TIF Loan Amortization'!$H$490,$C359&lt;='TIF Loan Amortization'!I$490),'TIF Loan Amortization'!$G$490,IF(AND($C359&gt;='TIF Loan Amortization'!$H$491,$C359&lt;='TIF Loan Amortization'!I$491),'TIF Loan Amortization'!$G$491,IF(AND($C359&gt;='TIF Loan Amortization'!$H$492,$C359&lt;='TIF Loan Amortization'!I$492),'TIF Loan Amortization'!$G$492,IF(AND($C359&gt;='TIF Loan Amortization'!$H$493,$C359&lt;='TIF Loan Amortization'!I$493),'TIF Loan Amortization'!$G$493,IF(AND($C359&gt;='TIF Loan Amortization'!$H$494,$C359&lt;='TIF Loan Amortization'!I$494),'TIF Loan Amortization'!$G$494,IF(AND($C359&gt;='TIF Loan Amortization'!$H$495,$C359&lt;='TIF Loan Amortization'!I$495),'TIF Loan Amortization'!$G$495,IF(AND($C359&gt;='TIF Loan Amortization'!$H$496,$C359&lt;='TIF Loan Amortization'!I$496),'TIF Loan Amortization'!$G$496,IF(AND($C359&gt;='TIF Loan Amortization'!$H$497,$C359&lt;='TIF Loan Amortization'!I$497),'TIF Loan Amortization'!$G$497,IF(AND($C359&gt;='TIF Loan Amortization'!$H$498,$C359&lt;='TIF Loan Amortization'!I$498),'TIF Loan Amortization'!$G$498,IF(AND($C359&gt;='TIF Loan Amortization'!$H$499,$C359&lt;='TIF Loan Amortization'!I$499),'TIF Loan Amortization'!$G$499,IF(AND($C359&gt;='TIF Loan Amortization'!$H$500,$C359&lt;='TIF Loan Amortization'!I$500),'TIF Loan Amortization'!$G$500,IF(AND($C359&gt;='TIF Loan Amortization'!$H$501,$C359&lt;='TIF Loan Amortization'!I$501),'TIF Loan Amortization'!$G$501,IF(AND($C359&gt;='TIF Loan Amortization'!$H$502,$C359&lt;='TIF Loan Amortization'!I$502),'TIF Loan Amortization'!$G$502,IF(AND($C359&gt;='TIF Loan Amortization'!$H$503,$C359&lt;='TIF Loan Amortization'!I$503),'TIF Loan Amortization'!$G$503,IF(AND($C359&gt;='TIF Loan Amortization'!$H$504,$C359&lt;='TIF Loan Amortization'!I$504),'TIF Loan Amortization'!$G$504,IF(AND($C359&gt;='TIF Loan Amortization'!$H$505,$C359&lt;='TIF Loan Amortization'!I$505),'TIF Loan Amortization'!$G$505,IF(AND($C359&gt;='TIF Loan Amortization'!$H$506,$C359&lt;='TIF Loan Amortization'!I$506),'TIF Loan Amortization'!$G$506,IF(AND($C359&gt;='TIF Loan Amortization'!$H$507,$C359&lt;='TIF Loan Amortization'!I$507),'TIF Loan Amortization'!$G$507,IF(AND($C359&gt;='TIF Loan Amortization'!$H$508,$C359&lt;='TIF Loan Amortization'!I$508),'TIF Loan Amortization'!$G$508,IF(AND($C359&gt;='TIF Loan Amortization'!$H$509,$C359&lt;='TIF Loan Amortization'!I$509),'TIF Loan Amortization'!$G$509,IF(AND($C359&gt;='TIF Loan Amortization'!$H$510,$C359&lt;='TIF Loan Amortization'!I$510),'TIF Loan Amortization'!$G$510,IF(AND($C359&gt;='TIF Loan Amortization'!$H$511,$C359&lt;='TIF Loan Amortization'!I$511),'TIF Loan Amortization'!$G$511,IF(AND($C359&gt;='TIF Loan Amortization'!$H$512,$C359&lt;='TIF Loan Amortization'!I$512),'TIF Loan Amortization'!$G$512,IF(AND($C359&gt;='TIF Loan Amortization'!$H$513,$C359&lt;='TIF Loan Amortization'!I$513),'TIF Loan Amortization'!$G$513,IF(AND($C359&gt;='TIF Loan Amortization'!$H$514,$C359&lt;='TIF Loan Amortization'!I$514),'TIF Loan Amortization'!$G$514,IF(AND($C359&gt;='TIF Loan Amortization'!$H$515,$C359&lt;='TIF Loan Amortization'!I$515),'TIF Loan Amortization'!$G$515,IF(AND($C359&gt;='TIF Loan Amortization'!$H$516,$C359&lt;='TIF Loan Amortization'!I$516),'TIF Loan Amortization'!$G$516,IF(AND($C359&gt;='TIF Loan Amortization'!$H$517,$C359&lt;='TIF Loan Amortization'!I$517),'TIF Loan Amortization'!$G$517,IF(AND($C359&gt;='TIF Loan Amortization'!$H$518,$C359&lt;='TIF Loan Amortization'!I$518),'TIF Loan Amortization'!$G$518,IF(AND($C359&gt;='TIF Loan Amortization'!$H$519,$C359&lt;='TIF Loan Amortization'!I$519),'TIF Loan Amortization'!$G$519))))))))))))))))))))))))))))))))))))))))</f>
        <v>#N/A</v>
      </c>
      <c r="C359" s="269" t="e">
        <f t="shared" si="42"/>
        <v>#N/A</v>
      </c>
      <c r="D359" s="281" t="str">
        <f>IF($AG$431=1,$H$10+26,"")</f>
        <v/>
      </c>
      <c r="E359" s="274">
        <v>309</v>
      </c>
      <c r="F359" s="275" t="str">
        <f>VLOOKUP($AG$431,$AE$422:$AF$433,2)</f>
        <v>Dec</v>
      </c>
      <c r="G359" s="272">
        <f t="shared" si="43"/>
        <v>0</v>
      </c>
      <c r="H359" s="272">
        <f t="shared" si="46"/>
        <v>0</v>
      </c>
      <c r="I359" s="272">
        <f t="shared" si="47"/>
        <v>0</v>
      </c>
      <c r="J359" s="272">
        <f t="shared" si="44"/>
        <v>0</v>
      </c>
      <c r="K359" s="272">
        <f>IF(ISTEXT($M$4),"",SUM(I$50:I359))</f>
        <v>0</v>
      </c>
      <c r="L359" s="272">
        <f>IF(ISTEXT($M$4),"",SUM(J$50:J359))</f>
        <v>0</v>
      </c>
      <c r="M359" s="271">
        <f t="shared" si="45"/>
        <v>0</v>
      </c>
      <c r="N359" s="291" t="e">
        <f>IF(C359='Operating Assumptions'!$C$48,"Construction Finish","")</f>
        <v>#N/A</v>
      </c>
      <c r="O359" s="291"/>
      <c r="P359" s="291"/>
      <c r="Q359" s="291"/>
      <c r="R359" s="291"/>
      <c r="S359" s="291"/>
      <c r="T359" s="280"/>
      <c r="Z359" s="279"/>
      <c r="AA359" s="279"/>
      <c r="AB359" s="279"/>
    </row>
    <row r="360" spans="2:28" s="278" customFormat="1" ht="13.5" hidden="1" outlineLevel="1" x14ac:dyDescent="0.25">
      <c r="B360" s="270" t="e">
        <f>IF(AND($C360&gt;='TIF Loan Amortization'!$H$480,$C360&lt;='TIF Loan Amortization'!$I$480),'TIF Loan Amortization'!$G$480,IF(AND($C360&gt;='TIF Loan Amortization'!$H$481,$C360&lt;='TIF Loan Amortization'!I$481),'TIF Loan Amortization'!$G$481,IF(AND($C360&gt;='TIF Loan Amortization'!$H$482,$C360&lt;='TIF Loan Amortization'!I$482),'TIF Loan Amortization'!$G$482,IF(AND($C360&gt;='TIF Loan Amortization'!$H$483,$C360&lt;='TIF Loan Amortization'!I$483),'TIF Loan Amortization'!$G$483,IF(AND($C360&gt;='TIF Loan Amortization'!$H$484,$C360&lt;='TIF Loan Amortization'!I$484),'TIF Loan Amortization'!$G$484,IF(AND($C360&gt;='TIF Loan Amortization'!$H$485,$C360&lt;='TIF Loan Amortization'!I$485),'TIF Loan Amortization'!$G$485,IF(AND($C360&gt;='TIF Loan Amortization'!$H$486,$C360&lt;='TIF Loan Amortization'!I$486),'TIF Loan Amortization'!$G$486,IF(AND($C360&gt;='TIF Loan Amortization'!$H$487,$C360&lt;='TIF Loan Amortization'!I$487),'TIF Loan Amortization'!$G$487,IF(AND($C360&gt;='TIF Loan Amortization'!$H$488,$C360&lt;='TIF Loan Amortization'!I$488),'TIF Loan Amortization'!$G$488,IF(AND($C360&gt;='TIF Loan Amortization'!$H$489,$C360&lt;='TIF Loan Amortization'!I$489),'TIF Loan Amortization'!$G$489,IF(AND($C360&gt;='TIF Loan Amortization'!$H$490,$C360&lt;='TIF Loan Amortization'!I$490),'TIF Loan Amortization'!$G$490,IF(AND($C360&gt;='TIF Loan Amortization'!$H$491,$C360&lt;='TIF Loan Amortization'!I$491),'TIF Loan Amortization'!$G$491,IF(AND($C360&gt;='TIF Loan Amortization'!$H$492,$C360&lt;='TIF Loan Amortization'!I$492),'TIF Loan Amortization'!$G$492,IF(AND($C360&gt;='TIF Loan Amortization'!$H$493,$C360&lt;='TIF Loan Amortization'!I$493),'TIF Loan Amortization'!$G$493,IF(AND($C360&gt;='TIF Loan Amortization'!$H$494,$C360&lt;='TIF Loan Amortization'!I$494),'TIF Loan Amortization'!$G$494,IF(AND($C360&gt;='TIF Loan Amortization'!$H$495,$C360&lt;='TIF Loan Amortization'!I$495),'TIF Loan Amortization'!$G$495,IF(AND($C360&gt;='TIF Loan Amortization'!$H$496,$C360&lt;='TIF Loan Amortization'!I$496),'TIF Loan Amortization'!$G$496,IF(AND($C360&gt;='TIF Loan Amortization'!$H$497,$C360&lt;='TIF Loan Amortization'!I$497),'TIF Loan Amortization'!$G$497,IF(AND($C360&gt;='TIF Loan Amortization'!$H$498,$C360&lt;='TIF Loan Amortization'!I$498),'TIF Loan Amortization'!$G$498,IF(AND($C360&gt;='TIF Loan Amortization'!$H$499,$C360&lt;='TIF Loan Amortization'!I$499),'TIF Loan Amortization'!$G$499,IF(AND($C360&gt;='TIF Loan Amortization'!$H$500,$C360&lt;='TIF Loan Amortization'!I$500),'TIF Loan Amortization'!$G$500,IF(AND($C360&gt;='TIF Loan Amortization'!$H$501,$C360&lt;='TIF Loan Amortization'!I$501),'TIF Loan Amortization'!$G$501,IF(AND($C360&gt;='TIF Loan Amortization'!$H$502,$C360&lt;='TIF Loan Amortization'!I$502),'TIF Loan Amortization'!$G$502,IF(AND($C360&gt;='TIF Loan Amortization'!$H$503,$C360&lt;='TIF Loan Amortization'!I$503),'TIF Loan Amortization'!$G$503,IF(AND($C360&gt;='TIF Loan Amortization'!$H$504,$C360&lt;='TIF Loan Amortization'!I$504),'TIF Loan Amortization'!$G$504,IF(AND($C360&gt;='TIF Loan Amortization'!$H$505,$C360&lt;='TIF Loan Amortization'!I$505),'TIF Loan Amortization'!$G$505,IF(AND($C360&gt;='TIF Loan Amortization'!$H$506,$C360&lt;='TIF Loan Amortization'!I$506),'TIF Loan Amortization'!$G$506,IF(AND($C360&gt;='TIF Loan Amortization'!$H$507,$C360&lt;='TIF Loan Amortization'!I$507),'TIF Loan Amortization'!$G$507,IF(AND($C360&gt;='TIF Loan Amortization'!$H$508,$C360&lt;='TIF Loan Amortization'!I$508),'TIF Loan Amortization'!$G$508,IF(AND($C360&gt;='TIF Loan Amortization'!$H$509,$C360&lt;='TIF Loan Amortization'!I$509),'TIF Loan Amortization'!$G$509,IF(AND($C360&gt;='TIF Loan Amortization'!$H$510,$C360&lt;='TIF Loan Amortization'!I$510),'TIF Loan Amortization'!$G$510,IF(AND($C360&gt;='TIF Loan Amortization'!$H$511,$C360&lt;='TIF Loan Amortization'!I$511),'TIF Loan Amortization'!$G$511,IF(AND($C360&gt;='TIF Loan Amortization'!$H$512,$C360&lt;='TIF Loan Amortization'!I$512),'TIF Loan Amortization'!$G$512,IF(AND($C360&gt;='TIF Loan Amortization'!$H$513,$C360&lt;='TIF Loan Amortization'!I$513),'TIF Loan Amortization'!$G$513,IF(AND($C360&gt;='TIF Loan Amortization'!$H$514,$C360&lt;='TIF Loan Amortization'!I$514),'TIF Loan Amortization'!$G$514,IF(AND($C360&gt;='TIF Loan Amortization'!$H$515,$C360&lt;='TIF Loan Amortization'!I$515),'TIF Loan Amortization'!$G$515,IF(AND($C360&gt;='TIF Loan Amortization'!$H$516,$C360&lt;='TIF Loan Amortization'!I$516),'TIF Loan Amortization'!$G$516,IF(AND($C360&gt;='TIF Loan Amortization'!$H$517,$C360&lt;='TIF Loan Amortization'!I$517),'TIF Loan Amortization'!$G$517,IF(AND($C360&gt;='TIF Loan Amortization'!$H$518,$C360&lt;='TIF Loan Amortization'!I$518),'TIF Loan Amortization'!$G$518,IF(AND($C360&gt;='TIF Loan Amortization'!$H$519,$C360&lt;='TIF Loan Amortization'!I$519),'TIF Loan Amortization'!$G$519))))))))))))))))))))))))))))))))))))))))</f>
        <v>#N/A</v>
      </c>
      <c r="C360" s="269" t="e">
        <f t="shared" si="42"/>
        <v>#N/A</v>
      </c>
      <c r="D360" s="281">
        <f>IF($AG$432=1,$H$10+26,"")</f>
        <v>2051</v>
      </c>
      <c r="E360" s="274">
        <v>310</v>
      </c>
      <c r="F360" s="273" t="str">
        <f>VLOOKUP($AG$432,$AE$422:$AF$433,2)</f>
        <v>Jan</v>
      </c>
      <c r="G360" s="272">
        <f t="shared" si="43"/>
        <v>0</v>
      </c>
      <c r="H360" s="272">
        <f t="shared" si="46"/>
        <v>0</v>
      </c>
      <c r="I360" s="272">
        <f t="shared" si="47"/>
        <v>0</v>
      </c>
      <c r="J360" s="272">
        <f t="shared" si="44"/>
        <v>0</v>
      </c>
      <c r="K360" s="272">
        <f>IF(ISTEXT($M$4),"",SUM(I$50:I360))</f>
        <v>0</v>
      </c>
      <c r="L360" s="272">
        <f>IF(ISTEXT($M$4),"",SUM(J$50:J360))</f>
        <v>0</v>
      </c>
      <c r="M360" s="271">
        <f t="shared" si="45"/>
        <v>0</v>
      </c>
      <c r="N360" s="291" t="e">
        <f>IF(C360='Operating Assumptions'!$C$48,"Construction Finish","")</f>
        <v>#N/A</v>
      </c>
      <c r="O360" s="291"/>
      <c r="P360" s="291"/>
      <c r="Q360" s="291"/>
      <c r="R360" s="291"/>
      <c r="S360" s="291"/>
      <c r="T360" s="280"/>
      <c r="Z360" s="279"/>
      <c r="AA360" s="279"/>
      <c r="AB360" s="279"/>
    </row>
    <row r="361" spans="2:28" s="278" customFormat="1" ht="13.5" hidden="1" outlineLevel="1" x14ac:dyDescent="0.25">
      <c r="B361" s="270" t="e">
        <f>IF(AND($C361&gt;='TIF Loan Amortization'!$H$480,$C361&lt;='TIF Loan Amortization'!$I$480),'TIF Loan Amortization'!$G$480,IF(AND($C361&gt;='TIF Loan Amortization'!$H$481,$C361&lt;='TIF Loan Amortization'!I$481),'TIF Loan Amortization'!$G$481,IF(AND($C361&gt;='TIF Loan Amortization'!$H$482,$C361&lt;='TIF Loan Amortization'!I$482),'TIF Loan Amortization'!$G$482,IF(AND($C361&gt;='TIF Loan Amortization'!$H$483,$C361&lt;='TIF Loan Amortization'!I$483),'TIF Loan Amortization'!$G$483,IF(AND($C361&gt;='TIF Loan Amortization'!$H$484,$C361&lt;='TIF Loan Amortization'!I$484),'TIF Loan Amortization'!$G$484,IF(AND($C361&gt;='TIF Loan Amortization'!$H$485,$C361&lt;='TIF Loan Amortization'!I$485),'TIF Loan Amortization'!$G$485,IF(AND($C361&gt;='TIF Loan Amortization'!$H$486,$C361&lt;='TIF Loan Amortization'!I$486),'TIF Loan Amortization'!$G$486,IF(AND($C361&gt;='TIF Loan Amortization'!$H$487,$C361&lt;='TIF Loan Amortization'!I$487),'TIF Loan Amortization'!$G$487,IF(AND($C361&gt;='TIF Loan Amortization'!$H$488,$C361&lt;='TIF Loan Amortization'!I$488),'TIF Loan Amortization'!$G$488,IF(AND($C361&gt;='TIF Loan Amortization'!$H$489,$C361&lt;='TIF Loan Amortization'!I$489),'TIF Loan Amortization'!$G$489,IF(AND($C361&gt;='TIF Loan Amortization'!$H$490,$C361&lt;='TIF Loan Amortization'!I$490),'TIF Loan Amortization'!$G$490,IF(AND($C361&gt;='TIF Loan Amortization'!$H$491,$C361&lt;='TIF Loan Amortization'!I$491),'TIF Loan Amortization'!$G$491,IF(AND($C361&gt;='TIF Loan Amortization'!$H$492,$C361&lt;='TIF Loan Amortization'!I$492),'TIF Loan Amortization'!$G$492,IF(AND($C361&gt;='TIF Loan Amortization'!$H$493,$C361&lt;='TIF Loan Amortization'!I$493),'TIF Loan Amortization'!$G$493,IF(AND($C361&gt;='TIF Loan Amortization'!$H$494,$C361&lt;='TIF Loan Amortization'!I$494),'TIF Loan Amortization'!$G$494,IF(AND($C361&gt;='TIF Loan Amortization'!$H$495,$C361&lt;='TIF Loan Amortization'!I$495),'TIF Loan Amortization'!$G$495,IF(AND($C361&gt;='TIF Loan Amortization'!$H$496,$C361&lt;='TIF Loan Amortization'!I$496),'TIF Loan Amortization'!$G$496,IF(AND($C361&gt;='TIF Loan Amortization'!$H$497,$C361&lt;='TIF Loan Amortization'!I$497),'TIF Loan Amortization'!$G$497,IF(AND($C361&gt;='TIF Loan Amortization'!$H$498,$C361&lt;='TIF Loan Amortization'!I$498),'TIF Loan Amortization'!$G$498,IF(AND($C361&gt;='TIF Loan Amortization'!$H$499,$C361&lt;='TIF Loan Amortization'!I$499),'TIF Loan Amortization'!$G$499,IF(AND($C361&gt;='TIF Loan Amortization'!$H$500,$C361&lt;='TIF Loan Amortization'!I$500),'TIF Loan Amortization'!$G$500,IF(AND($C361&gt;='TIF Loan Amortization'!$H$501,$C361&lt;='TIF Loan Amortization'!I$501),'TIF Loan Amortization'!$G$501,IF(AND($C361&gt;='TIF Loan Amortization'!$H$502,$C361&lt;='TIF Loan Amortization'!I$502),'TIF Loan Amortization'!$G$502,IF(AND($C361&gt;='TIF Loan Amortization'!$H$503,$C361&lt;='TIF Loan Amortization'!I$503),'TIF Loan Amortization'!$G$503,IF(AND($C361&gt;='TIF Loan Amortization'!$H$504,$C361&lt;='TIF Loan Amortization'!I$504),'TIF Loan Amortization'!$G$504,IF(AND($C361&gt;='TIF Loan Amortization'!$H$505,$C361&lt;='TIF Loan Amortization'!I$505),'TIF Loan Amortization'!$G$505,IF(AND($C361&gt;='TIF Loan Amortization'!$H$506,$C361&lt;='TIF Loan Amortization'!I$506),'TIF Loan Amortization'!$G$506,IF(AND($C361&gt;='TIF Loan Amortization'!$H$507,$C361&lt;='TIF Loan Amortization'!I$507),'TIF Loan Amortization'!$G$507,IF(AND($C361&gt;='TIF Loan Amortization'!$H$508,$C361&lt;='TIF Loan Amortization'!I$508),'TIF Loan Amortization'!$G$508,IF(AND($C361&gt;='TIF Loan Amortization'!$H$509,$C361&lt;='TIF Loan Amortization'!I$509),'TIF Loan Amortization'!$G$509,IF(AND($C361&gt;='TIF Loan Amortization'!$H$510,$C361&lt;='TIF Loan Amortization'!I$510),'TIF Loan Amortization'!$G$510,IF(AND($C361&gt;='TIF Loan Amortization'!$H$511,$C361&lt;='TIF Loan Amortization'!I$511),'TIF Loan Amortization'!$G$511,IF(AND($C361&gt;='TIF Loan Amortization'!$H$512,$C361&lt;='TIF Loan Amortization'!I$512),'TIF Loan Amortization'!$G$512,IF(AND($C361&gt;='TIF Loan Amortization'!$H$513,$C361&lt;='TIF Loan Amortization'!I$513),'TIF Loan Amortization'!$G$513,IF(AND($C361&gt;='TIF Loan Amortization'!$H$514,$C361&lt;='TIF Loan Amortization'!I$514),'TIF Loan Amortization'!$G$514,IF(AND($C361&gt;='TIF Loan Amortization'!$H$515,$C361&lt;='TIF Loan Amortization'!I$515),'TIF Loan Amortization'!$G$515,IF(AND($C361&gt;='TIF Loan Amortization'!$H$516,$C361&lt;='TIF Loan Amortization'!I$516),'TIF Loan Amortization'!$G$516,IF(AND($C361&gt;='TIF Loan Amortization'!$H$517,$C361&lt;='TIF Loan Amortization'!I$517),'TIF Loan Amortization'!$G$517,IF(AND($C361&gt;='TIF Loan Amortization'!$H$518,$C361&lt;='TIF Loan Amortization'!I$518),'TIF Loan Amortization'!$G$518,IF(AND($C361&gt;='TIF Loan Amortization'!$H$519,$C361&lt;='TIF Loan Amortization'!I$519),'TIF Loan Amortization'!$G$519))))))))))))))))))))))))))))))))))))))))</f>
        <v>#N/A</v>
      </c>
      <c r="C361" s="269" t="e">
        <f t="shared" si="42"/>
        <v>#N/A</v>
      </c>
      <c r="D361" s="281" t="str">
        <f>IF($AG$433=1,$H$10+26,"")</f>
        <v/>
      </c>
      <c r="E361" s="274">
        <v>311</v>
      </c>
      <c r="F361" s="273" t="str">
        <f>VLOOKUP($AG$433,$AE$422:$AF$433,2)</f>
        <v>Feb</v>
      </c>
      <c r="G361" s="272">
        <f t="shared" si="43"/>
        <v>0</v>
      </c>
      <c r="H361" s="272">
        <f t="shared" si="46"/>
        <v>0</v>
      </c>
      <c r="I361" s="272">
        <f t="shared" si="47"/>
        <v>0</v>
      </c>
      <c r="J361" s="272">
        <f t="shared" si="44"/>
        <v>0</v>
      </c>
      <c r="K361" s="272">
        <f>IF(ISTEXT($M$4),"",SUM(I$50:I361))</f>
        <v>0</v>
      </c>
      <c r="L361" s="272">
        <f>IF(ISTEXT($M$4),"",SUM(J$50:J361))</f>
        <v>0</v>
      </c>
      <c r="M361" s="271">
        <f t="shared" si="45"/>
        <v>0</v>
      </c>
      <c r="N361" s="291" t="e">
        <f>IF(C361='Operating Assumptions'!$C$48,"Construction Finish","")</f>
        <v>#N/A</v>
      </c>
      <c r="O361" s="291"/>
      <c r="P361" s="291"/>
      <c r="Q361" s="291"/>
      <c r="R361" s="291"/>
      <c r="S361" s="291"/>
      <c r="T361" s="280"/>
      <c r="Z361" s="279"/>
      <c r="AA361" s="279"/>
      <c r="AB361" s="279"/>
    </row>
    <row r="362" spans="2:28" s="278" customFormat="1" ht="13.5" hidden="1" outlineLevel="1" x14ac:dyDescent="0.25">
      <c r="B362" s="270" t="e">
        <f>IF(AND($C362&gt;='TIF Loan Amortization'!$H$480,$C362&lt;='TIF Loan Amortization'!$I$480),'TIF Loan Amortization'!$G$480,IF(AND($C362&gt;='TIF Loan Amortization'!$H$481,$C362&lt;='TIF Loan Amortization'!I$481),'TIF Loan Amortization'!$G$481,IF(AND($C362&gt;='TIF Loan Amortization'!$H$482,$C362&lt;='TIF Loan Amortization'!I$482),'TIF Loan Amortization'!$G$482,IF(AND($C362&gt;='TIF Loan Amortization'!$H$483,$C362&lt;='TIF Loan Amortization'!I$483),'TIF Loan Amortization'!$G$483,IF(AND($C362&gt;='TIF Loan Amortization'!$H$484,$C362&lt;='TIF Loan Amortization'!I$484),'TIF Loan Amortization'!$G$484,IF(AND($C362&gt;='TIF Loan Amortization'!$H$485,$C362&lt;='TIF Loan Amortization'!I$485),'TIF Loan Amortization'!$G$485,IF(AND($C362&gt;='TIF Loan Amortization'!$H$486,$C362&lt;='TIF Loan Amortization'!I$486),'TIF Loan Amortization'!$G$486,IF(AND($C362&gt;='TIF Loan Amortization'!$H$487,$C362&lt;='TIF Loan Amortization'!I$487),'TIF Loan Amortization'!$G$487,IF(AND($C362&gt;='TIF Loan Amortization'!$H$488,$C362&lt;='TIF Loan Amortization'!I$488),'TIF Loan Amortization'!$G$488,IF(AND($C362&gt;='TIF Loan Amortization'!$H$489,$C362&lt;='TIF Loan Amortization'!I$489),'TIF Loan Amortization'!$G$489,IF(AND($C362&gt;='TIF Loan Amortization'!$H$490,$C362&lt;='TIF Loan Amortization'!I$490),'TIF Loan Amortization'!$G$490,IF(AND($C362&gt;='TIF Loan Amortization'!$H$491,$C362&lt;='TIF Loan Amortization'!I$491),'TIF Loan Amortization'!$G$491,IF(AND($C362&gt;='TIF Loan Amortization'!$H$492,$C362&lt;='TIF Loan Amortization'!I$492),'TIF Loan Amortization'!$G$492,IF(AND($C362&gt;='TIF Loan Amortization'!$H$493,$C362&lt;='TIF Loan Amortization'!I$493),'TIF Loan Amortization'!$G$493,IF(AND($C362&gt;='TIF Loan Amortization'!$H$494,$C362&lt;='TIF Loan Amortization'!I$494),'TIF Loan Amortization'!$G$494,IF(AND($C362&gt;='TIF Loan Amortization'!$H$495,$C362&lt;='TIF Loan Amortization'!I$495),'TIF Loan Amortization'!$G$495,IF(AND($C362&gt;='TIF Loan Amortization'!$H$496,$C362&lt;='TIF Loan Amortization'!I$496),'TIF Loan Amortization'!$G$496,IF(AND($C362&gt;='TIF Loan Amortization'!$H$497,$C362&lt;='TIF Loan Amortization'!I$497),'TIF Loan Amortization'!$G$497,IF(AND($C362&gt;='TIF Loan Amortization'!$H$498,$C362&lt;='TIF Loan Amortization'!I$498),'TIF Loan Amortization'!$G$498,IF(AND($C362&gt;='TIF Loan Amortization'!$H$499,$C362&lt;='TIF Loan Amortization'!I$499),'TIF Loan Amortization'!$G$499,IF(AND($C362&gt;='TIF Loan Amortization'!$H$500,$C362&lt;='TIF Loan Amortization'!I$500),'TIF Loan Amortization'!$G$500,IF(AND($C362&gt;='TIF Loan Amortization'!$H$501,$C362&lt;='TIF Loan Amortization'!I$501),'TIF Loan Amortization'!$G$501,IF(AND($C362&gt;='TIF Loan Amortization'!$H$502,$C362&lt;='TIF Loan Amortization'!I$502),'TIF Loan Amortization'!$G$502,IF(AND($C362&gt;='TIF Loan Amortization'!$H$503,$C362&lt;='TIF Loan Amortization'!I$503),'TIF Loan Amortization'!$G$503,IF(AND($C362&gt;='TIF Loan Amortization'!$H$504,$C362&lt;='TIF Loan Amortization'!I$504),'TIF Loan Amortization'!$G$504,IF(AND($C362&gt;='TIF Loan Amortization'!$H$505,$C362&lt;='TIF Loan Amortization'!I$505),'TIF Loan Amortization'!$G$505,IF(AND($C362&gt;='TIF Loan Amortization'!$H$506,$C362&lt;='TIF Loan Amortization'!I$506),'TIF Loan Amortization'!$G$506,IF(AND($C362&gt;='TIF Loan Amortization'!$H$507,$C362&lt;='TIF Loan Amortization'!I$507),'TIF Loan Amortization'!$G$507,IF(AND($C362&gt;='TIF Loan Amortization'!$H$508,$C362&lt;='TIF Loan Amortization'!I$508),'TIF Loan Amortization'!$G$508,IF(AND($C362&gt;='TIF Loan Amortization'!$H$509,$C362&lt;='TIF Loan Amortization'!I$509),'TIF Loan Amortization'!$G$509,IF(AND($C362&gt;='TIF Loan Amortization'!$H$510,$C362&lt;='TIF Loan Amortization'!I$510),'TIF Loan Amortization'!$G$510,IF(AND($C362&gt;='TIF Loan Amortization'!$H$511,$C362&lt;='TIF Loan Amortization'!I$511),'TIF Loan Amortization'!$G$511,IF(AND($C362&gt;='TIF Loan Amortization'!$H$512,$C362&lt;='TIF Loan Amortization'!I$512),'TIF Loan Amortization'!$G$512,IF(AND($C362&gt;='TIF Loan Amortization'!$H$513,$C362&lt;='TIF Loan Amortization'!I$513),'TIF Loan Amortization'!$G$513,IF(AND($C362&gt;='TIF Loan Amortization'!$H$514,$C362&lt;='TIF Loan Amortization'!I$514),'TIF Loan Amortization'!$G$514,IF(AND($C362&gt;='TIF Loan Amortization'!$H$515,$C362&lt;='TIF Loan Amortization'!I$515),'TIF Loan Amortization'!$G$515,IF(AND($C362&gt;='TIF Loan Amortization'!$H$516,$C362&lt;='TIF Loan Amortization'!I$516),'TIF Loan Amortization'!$G$516,IF(AND($C362&gt;='TIF Loan Amortization'!$H$517,$C362&lt;='TIF Loan Amortization'!I$517),'TIF Loan Amortization'!$G$517,IF(AND($C362&gt;='TIF Loan Amortization'!$H$518,$C362&lt;='TIF Loan Amortization'!I$518),'TIF Loan Amortization'!$G$518,IF(AND($C362&gt;='TIF Loan Amortization'!$H$519,$C362&lt;='TIF Loan Amortization'!I$519),'TIF Loan Amortization'!$G$519))))))))))))))))))))))))))))))))))))))))</f>
        <v>#N/A</v>
      </c>
      <c r="C362" s="269" t="e">
        <f t="shared" si="42"/>
        <v>#N/A</v>
      </c>
      <c r="D362" s="281" t="str">
        <f>IF($H$11="January",$H$10+26,IF($AG$422=1,$H$10+27,""))</f>
        <v/>
      </c>
      <c r="E362" s="274">
        <v>312</v>
      </c>
      <c r="F362" s="273" t="str">
        <f>VLOOKUP($AG$422,$AE$422:$AF$433,2)</f>
        <v>Mar</v>
      </c>
      <c r="G362" s="272">
        <f t="shared" si="43"/>
        <v>0</v>
      </c>
      <c r="H362" s="272">
        <f t="shared" si="46"/>
        <v>0</v>
      </c>
      <c r="I362" s="272">
        <f t="shared" si="47"/>
        <v>0</v>
      </c>
      <c r="J362" s="272">
        <f t="shared" si="44"/>
        <v>0</v>
      </c>
      <c r="K362" s="272">
        <f>IF(ISTEXT($M$4),"",SUM(I$50:I362))</f>
        <v>0</v>
      </c>
      <c r="L362" s="272">
        <f>IF(ISTEXT($M$4),"",SUM(J$50:J362))</f>
        <v>0</v>
      </c>
      <c r="M362" s="271">
        <f t="shared" si="45"/>
        <v>0</v>
      </c>
      <c r="N362" s="291" t="e">
        <f>IF(C362='Operating Assumptions'!$C$48,"Construction Finish","")</f>
        <v>#N/A</v>
      </c>
      <c r="O362" s="291"/>
      <c r="P362" s="291"/>
      <c r="Q362" s="291"/>
      <c r="R362" s="291"/>
      <c r="S362" s="291"/>
      <c r="T362" s="280"/>
      <c r="Z362" s="279"/>
      <c r="AA362" s="279"/>
      <c r="AB362" s="279"/>
    </row>
    <row r="363" spans="2:28" s="278" customFormat="1" ht="13.5" hidden="1" outlineLevel="1" x14ac:dyDescent="0.25">
      <c r="B363" s="270" t="e">
        <f>IF(AND($C363&gt;='TIF Loan Amortization'!$H$480,$C363&lt;='TIF Loan Amortization'!$I$480),'TIF Loan Amortization'!$G$480,IF(AND($C363&gt;='TIF Loan Amortization'!$H$481,$C363&lt;='TIF Loan Amortization'!I$481),'TIF Loan Amortization'!$G$481,IF(AND($C363&gt;='TIF Loan Amortization'!$H$482,$C363&lt;='TIF Loan Amortization'!I$482),'TIF Loan Amortization'!$G$482,IF(AND($C363&gt;='TIF Loan Amortization'!$H$483,$C363&lt;='TIF Loan Amortization'!I$483),'TIF Loan Amortization'!$G$483,IF(AND($C363&gt;='TIF Loan Amortization'!$H$484,$C363&lt;='TIF Loan Amortization'!I$484),'TIF Loan Amortization'!$G$484,IF(AND($C363&gt;='TIF Loan Amortization'!$H$485,$C363&lt;='TIF Loan Amortization'!I$485),'TIF Loan Amortization'!$G$485,IF(AND($C363&gt;='TIF Loan Amortization'!$H$486,$C363&lt;='TIF Loan Amortization'!I$486),'TIF Loan Amortization'!$G$486,IF(AND($C363&gt;='TIF Loan Amortization'!$H$487,$C363&lt;='TIF Loan Amortization'!I$487),'TIF Loan Amortization'!$G$487,IF(AND($C363&gt;='TIF Loan Amortization'!$H$488,$C363&lt;='TIF Loan Amortization'!I$488),'TIF Loan Amortization'!$G$488,IF(AND($C363&gt;='TIF Loan Amortization'!$H$489,$C363&lt;='TIF Loan Amortization'!I$489),'TIF Loan Amortization'!$G$489,IF(AND($C363&gt;='TIF Loan Amortization'!$H$490,$C363&lt;='TIF Loan Amortization'!I$490),'TIF Loan Amortization'!$G$490,IF(AND($C363&gt;='TIF Loan Amortization'!$H$491,$C363&lt;='TIF Loan Amortization'!I$491),'TIF Loan Amortization'!$G$491,IF(AND($C363&gt;='TIF Loan Amortization'!$H$492,$C363&lt;='TIF Loan Amortization'!I$492),'TIF Loan Amortization'!$G$492,IF(AND($C363&gt;='TIF Loan Amortization'!$H$493,$C363&lt;='TIF Loan Amortization'!I$493),'TIF Loan Amortization'!$G$493,IF(AND($C363&gt;='TIF Loan Amortization'!$H$494,$C363&lt;='TIF Loan Amortization'!I$494),'TIF Loan Amortization'!$G$494,IF(AND($C363&gt;='TIF Loan Amortization'!$H$495,$C363&lt;='TIF Loan Amortization'!I$495),'TIF Loan Amortization'!$G$495,IF(AND($C363&gt;='TIF Loan Amortization'!$H$496,$C363&lt;='TIF Loan Amortization'!I$496),'TIF Loan Amortization'!$G$496,IF(AND($C363&gt;='TIF Loan Amortization'!$H$497,$C363&lt;='TIF Loan Amortization'!I$497),'TIF Loan Amortization'!$G$497,IF(AND($C363&gt;='TIF Loan Amortization'!$H$498,$C363&lt;='TIF Loan Amortization'!I$498),'TIF Loan Amortization'!$G$498,IF(AND($C363&gt;='TIF Loan Amortization'!$H$499,$C363&lt;='TIF Loan Amortization'!I$499),'TIF Loan Amortization'!$G$499,IF(AND($C363&gt;='TIF Loan Amortization'!$H$500,$C363&lt;='TIF Loan Amortization'!I$500),'TIF Loan Amortization'!$G$500,IF(AND($C363&gt;='TIF Loan Amortization'!$H$501,$C363&lt;='TIF Loan Amortization'!I$501),'TIF Loan Amortization'!$G$501,IF(AND($C363&gt;='TIF Loan Amortization'!$H$502,$C363&lt;='TIF Loan Amortization'!I$502),'TIF Loan Amortization'!$G$502,IF(AND($C363&gt;='TIF Loan Amortization'!$H$503,$C363&lt;='TIF Loan Amortization'!I$503),'TIF Loan Amortization'!$G$503,IF(AND($C363&gt;='TIF Loan Amortization'!$H$504,$C363&lt;='TIF Loan Amortization'!I$504),'TIF Loan Amortization'!$G$504,IF(AND($C363&gt;='TIF Loan Amortization'!$H$505,$C363&lt;='TIF Loan Amortization'!I$505),'TIF Loan Amortization'!$G$505,IF(AND($C363&gt;='TIF Loan Amortization'!$H$506,$C363&lt;='TIF Loan Amortization'!I$506),'TIF Loan Amortization'!$G$506,IF(AND($C363&gt;='TIF Loan Amortization'!$H$507,$C363&lt;='TIF Loan Amortization'!I$507),'TIF Loan Amortization'!$G$507,IF(AND($C363&gt;='TIF Loan Amortization'!$H$508,$C363&lt;='TIF Loan Amortization'!I$508),'TIF Loan Amortization'!$G$508,IF(AND($C363&gt;='TIF Loan Amortization'!$H$509,$C363&lt;='TIF Loan Amortization'!I$509),'TIF Loan Amortization'!$G$509,IF(AND($C363&gt;='TIF Loan Amortization'!$H$510,$C363&lt;='TIF Loan Amortization'!I$510),'TIF Loan Amortization'!$G$510,IF(AND($C363&gt;='TIF Loan Amortization'!$H$511,$C363&lt;='TIF Loan Amortization'!I$511),'TIF Loan Amortization'!$G$511,IF(AND($C363&gt;='TIF Loan Amortization'!$H$512,$C363&lt;='TIF Loan Amortization'!I$512),'TIF Loan Amortization'!$G$512,IF(AND($C363&gt;='TIF Loan Amortization'!$H$513,$C363&lt;='TIF Loan Amortization'!I$513),'TIF Loan Amortization'!$G$513,IF(AND($C363&gt;='TIF Loan Amortization'!$H$514,$C363&lt;='TIF Loan Amortization'!I$514),'TIF Loan Amortization'!$G$514,IF(AND($C363&gt;='TIF Loan Amortization'!$H$515,$C363&lt;='TIF Loan Amortization'!I$515),'TIF Loan Amortization'!$G$515,IF(AND($C363&gt;='TIF Loan Amortization'!$H$516,$C363&lt;='TIF Loan Amortization'!I$516),'TIF Loan Amortization'!$G$516,IF(AND($C363&gt;='TIF Loan Amortization'!$H$517,$C363&lt;='TIF Loan Amortization'!I$517),'TIF Loan Amortization'!$G$517,IF(AND($C363&gt;='TIF Loan Amortization'!$H$518,$C363&lt;='TIF Loan Amortization'!I$518),'TIF Loan Amortization'!$G$518,IF(AND($C363&gt;='TIF Loan Amortization'!$H$519,$C363&lt;='TIF Loan Amortization'!I$519),'TIF Loan Amortization'!$G$519))))))))))))))))))))))))))))))))))))))))</f>
        <v>#N/A</v>
      </c>
      <c r="C363" s="269" t="e">
        <f t="shared" si="42"/>
        <v>#N/A</v>
      </c>
      <c r="D363" s="277" t="str">
        <f>IF($AG$423=1,$H$10+27,"")</f>
        <v/>
      </c>
      <c r="E363" s="274">
        <v>313</v>
      </c>
      <c r="F363" s="275" t="str">
        <f>VLOOKUP($AG$423,$AE$422:$AF$433,2)</f>
        <v>Apr</v>
      </c>
      <c r="G363" s="272">
        <f t="shared" si="43"/>
        <v>0</v>
      </c>
      <c r="H363" s="272">
        <f t="shared" si="46"/>
        <v>0</v>
      </c>
      <c r="I363" s="272">
        <f t="shared" si="47"/>
        <v>0</v>
      </c>
      <c r="J363" s="272">
        <f t="shared" si="44"/>
        <v>0</v>
      </c>
      <c r="K363" s="272">
        <f>IF(ISTEXT($M$4),"",SUM(I$50:I363))</f>
        <v>0</v>
      </c>
      <c r="L363" s="272">
        <f>IF(ISTEXT($M$4),"",SUM(J$50:J363))</f>
        <v>0</v>
      </c>
      <c r="M363" s="271">
        <f t="shared" si="45"/>
        <v>0</v>
      </c>
      <c r="N363" s="291" t="e">
        <f>IF(C363='Operating Assumptions'!$C$48,"Construction Finish","")</f>
        <v>#N/A</v>
      </c>
      <c r="O363" s="291"/>
      <c r="P363" s="291"/>
      <c r="Q363" s="291"/>
      <c r="R363" s="291"/>
      <c r="S363" s="291"/>
      <c r="T363" s="280"/>
      <c r="Z363" s="279"/>
      <c r="AA363" s="279"/>
      <c r="AB363" s="279"/>
    </row>
    <row r="364" spans="2:28" s="278" customFormat="1" ht="13.5" hidden="1" outlineLevel="1" x14ac:dyDescent="0.25">
      <c r="B364" s="270" t="e">
        <f>IF(AND($C364&gt;='TIF Loan Amortization'!$H$480,$C364&lt;='TIF Loan Amortization'!$I$480),'TIF Loan Amortization'!$G$480,IF(AND($C364&gt;='TIF Loan Amortization'!$H$481,$C364&lt;='TIF Loan Amortization'!I$481),'TIF Loan Amortization'!$G$481,IF(AND($C364&gt;='TIF Loan Amortization'!$H$482,$C364&lt;='TIF Loan Amortization'!I$482),'TIF Loan Amortization'!$G$482,IF(AND($C364&gt;='TIF Loan Amortization'!$H$483,$C364&lt;='TIF Loan Amortization'!I$483),'TIF Loan Amortization'!$G$483,IF(AND($C364&gt;='TIF Loan Amortization'!$H$484,$C364&lt;='TIF Loan Amortization'!I$484),'TIF Loan Amortization'!$G$484,IF(AND($C364&gt;='TIF Loan Amortization'!$H$485,$C364&lt;='TIF Loan Amortization'!I$485),'TIF Loan Amortization'!$G$485,IF(AND($C364&gt;='TIF Loan Amortization'!$H$486,$C364&lt;='TIF Loan Amortization'!I$486),'TIF Loan Amortization'!$G$486,IF(AND($C364&gt;='TIF Loan Amortization'!$H$487,$C364&lt;='TIF Loan Amortization'!I$487),'TIF Loan Amortization'!$G$487,IF(AND($C364&gt;='TIF Loan Amortization'!$H$488,$C364&lt;='TIF Loan Amortization'!I$488),'TIF Loan Amortization'!$G$488,IF(AND($C364&gt;='TIF Loan Amortization'!$H$489,$C364&lt;='TIF Loan Amortization'!I$489),'TIF Loan Amortization'!$G$489,IF(AND($C364&gt;='TIF Loan Amortization'!$H$490,$C364&lt;='TIF Loan Amortization'!I$490),'TIF Loan Amortization'!$G$490,IF(AND($C364&gt;='TIF Loan Amortization'!$H$491,$C364&lt;='TIF Loan Amortization'!I$491),'TIF Loan Amortization'!$G$491,IF(AND($C364&gt;='TIF Loan Amortization'!$H$492,$C364&lt;='TIF Loan Amortization'!I$492),'TIF Loan Amortization'!$G$492,IF(AND($C364&gt;='TIF Loan Amortization'!$H$493,$C364&lt;='TIF Loan Amortization'!I$493),'TIF Loan Amortization'!$G$493,IF(AND($C364&gt;='TIF Loan Amortization'!$H$494,$C364&lt;='TIF Loan Amortization'!I$494),'TIF Loan Amortization'!$G$494,IF(AND($C364&gt;='TIF Loan Amortization'!$H$495,$C364&lt;='TIF Loan Amortization'!I$495),'TIF Loan Amortization'!$G$495,IF(AND($C364&gt;='TIF Loan Amortization'!$H$496,$C364&lt;='TIF Loan Amortization'!I$496),'TIF Loan Amortization'!$G$496,IF(AND($C364&gt;='TIF Loan Amortization'!$H$497,$C364&lt;='TIF Loan Amortization'!I$497),'TIF Loan Amortization'!$G$497,IF(AND($C364&gt;='TIF Loan Amortization'!$H$498,$C364&lt;='TIF Loan Amortization'!I$498),'TIF Loan Amortization'!$G$498,IF(AND($C364&gt;='TIF Loan Amortization'!$H$499,$C364&lt;='TIF Loan Amortization'!I$499),'TIF Loan Amortization'!$G$499,IF(AND($C364&gt;='TIF Loan Amortization'!$H$500,$C364&lt;='TIF Loan Amortization'!I$500),'TIF Loan Amortization'!$G$500,IF(AND($C364&gt;='TIF Loan Amortization'!$H$501,$C364&lt;='TIF Loan Amortization'!I$501),'TIF Loan Amortization'!$G$501,IF(AND($C364&gt;='TIF Loan Amortization'!$H$502,$C364&lt;='TIF Loan Amortization'!I$502),'TIF Loan Amortization'!$G$502,IF(AND($C364&gt;='TIF Loan Amortization'!$H$503,$C364&lt;='TIF Loan Amortization'!I$503),'TIF Loan Amortization'!$G$503,IF(AND($C364&gt;='TIF Loan Amortization'!$H$504,$C364&lt;='TIF Loan Amortization'!I$504),'TIF Loan Amortization'!$G$504,IF(AND($C364&gt;='TIF Loan Amortization'!$H$505,$C364&lt;='TIF Loan Amortization'!I$505),'TIF Loan Amortization'!$G$505,IF(AND($C364&gt;='TIF Loan Amortization'!$H$506,$C364&lt;='TIF Loan Amortization'!I$506),'TIF Loan Amortization'!$G$506,IF(AND($C364&gt;='TIF Loan Amortization'!$H$507,$C364&lt;='TIF Loan Amortization'!I$507),'TIF Loan Amortization'!$G$507,IF(AND($C364&gt;='TIF Loan Amortization'!$H$508,$C364&lt;='TIF Loan Amortization'!I$508),'TIF Loan Amortization'!$G$508,IF(AND($C364&gt;='TIF Loan Amortization'!$H$509,$C364&lt;='TIF Loan Amortization'!I$509),'TIF Loan Amortization'!$G$509,IF(AND($C364&gt;='TIF Loan Amortization'!$H$510,$C364&lt;='TIF Loan Amortization'!I$510),'TIF Loan Amortization'!$G$510,IF(AND($C364&gt;='TIF Loan Amortization'!$H$511,$C364&lt;='TIF Loan Amortization'!I$511),'TIF Loan Amortization'!$G$511,IF(AND($C364&gt;='TIF Loan Amortization'!$H$512,$C364&lt;='TIF Loan Amortization'!I$512),'TIF Loan Amortization'!$G$512,IF(AND($C364&gt;='TIF Loan Amortization'!$H$513,$C364&lt;='TIF Loan Amortization'!I$513),'TIF Loan Amortization'!$G$513,IF(AND($C364&gt;='TIF Loan Amortization'!$H$514,$C364&lt;='TIF Loan Amortization'!I$514),'TIF Loan Amortization'!$G$514,IF(AND($C364&gt;='TIF Loan Amortization'!$H$515,$C364&lt;='TIF Loan Amortization'!I$515),'TIF Loan Amortization'!$G$515,IF(AND($C364&gt;='TIF Loan Amortization'!$H$516,$C364&lt;='TIF Loan Amortization'!I$516),'TIF Loan Amortization'!$G$516,IF(AND($C364&gt;='TIF Loan Amortization'!$H$517,$C364&lt;='TIF Loan Amortization'!I$517),'TIF Loan Amortization'!$G$517,IF(AND($C364&gt;='TIF Loan Amortization'!$H$518,$C364&lt;='TIF Loan Amortization'!I$518),'TIF Loan Amortization'!$G$518,IF(AND($C364&gt;='TIF Loan Amortization'!$H$519,$C364&lt;='TIF Loan Amortization'!I$519),'TIF Loan Amortization'!$G$519))))))))))))))))))))))))))))))))))))))))</f>
        <v>#N/A</v>
      </c>
      <c r="C364" s="269" t="e">
        <f t="shared" si="42"/>
        <v>#N/A</v>
      </c>
      <c r="D364" s="277" t="str">
        <f>IF($AG$424=1,$H$10+27,"")</f>
        <v/>
      </c>
      <c r="E364" s="274">
        <v>314</v>
      </c>
      <c r="F364" s="275" t="str">
        <f>VLOOKUP($AG$424,$AE$422:$AF$433,2)</f>
        <v>May</v>
      </c>
      <c r="G364" s="272">
        <f t="shared" si="43"/>
        <v>0</v>
      </c>
      <c r="H364" s="272">
        <f t="shared" si="46"/>
        <v>0</v>
      </c>
      <c r="I364" s="272">
        <f t="shared" si="47"/>
        <v>0</v>
      </c>
      <c r="J364" s="272">
        <f t="shared" si="44"/>
        <v>0</v>
      </c>
      <c r="K364" s="272">
        <f>IF(ISTEXT($M$4),"",SUM(I$50:I364))</f>
        <v>0</v>
      </c>
      <c r="L364" s="272">
        <f>IF(ISTEXT($M$4),"",SUM(J$50:J364))</f>
        <v>0</v>
      </c>
      <c r="M364" s="271">
        <f t="shared" si="45"/>
        <v>0</v>
      </c>
      <c r="N364" s="291" t="e">
        <f>IF(C364='Operating Assumptions'!$C$48,"Construction Finish","")</f>
        <v>#N/A</v>
      </c>
      <c r="O364" s="291"/>
      <c r="P364" s="291"/>
      <c r="Q364" s="291"/>
      <c r="R364" s="291"/>
      <c r="S364" s="291"/>
      <c r="T364" s="280"/>
      <c r="Z364" s="279"/>
      <c r="AA364" s="279"/>
      <c r="AB364" s="279"/>
    </row>
    <row r="365" spans="2:28" s="278" customFormat="1" ht="13.5" hidden="1" outlineLevel="1" x14ac:dyDescent="0.25">
      <c r="B365" s="270" t="e">
        <f>IF(AND($C365&gt;='TIF Loan Amortization'!$H$480,$C365&lt;='TIF Loan Amortization'!$I$480),'TIF Loan Amortization'!$G$480,IF(AND($C365&gt;='TIF Loan Amortization'!$H$481,$C365&lt;='TIF Loan Amortization'!I$481),'TIF Loan Amortization'!$G$481,IF(AND($C365&gt;='TIF Loan Amortization'!$H$482,$C365&lt;='TIF Loan Amortization'!I$482),'TIF Loan Amortization'!$G$482,IF(AND($C365&gt;='TIF Loan Amortization'!$H$483,$C365&lt;='TIF Loan Amortization'!I$483),'TIF Loan Amortization'!$G$483,IF(AND($C365&gt;='TIF Loan Amortization'!$H$484,$C365&lt;='TIF Loan Amortization'!I$484),'TIF Loan Amortization'!$G$484,IF(AND($C365&gt;='TIF Loan Amortization'!$H$485,$C365&lt;='TIF Loan Amortization'!I$485),'TIF Loan Amortization'!$G$485,IF(AND($C365&gt;='TIF Loan Amortization'!$H$486,$C365&lt;='TIF Loan Amortization'!I$486),'TIF Loan Amortization'!$G$486,IF(AND($C365&gt;='TIF Loan Amortization'!$H$487,$C365&lt;='TIF Loan Amortization'!I$487),'TIF Loan Amortization'!$G$487,IF(AND($C365&gt;='TIF Loan Amortization'!$H$488,$C365&lt;='TIF Loan Amortization'!I$488),'TIF Loan Amortization'!$G$488,IF(AND($C365&gt;='TIF Loan Amortization'!$H$489,$C365&lt;='TIF Loan Amortization'!I$489),'TIF Loan Amortization'!$G$489,IF(AND($C365&gt;='TIF Loan Amortization'!$H$490,$C365&lt;='TIF Loan Amortization'!I$490),'TIF Loan Amortization'!$G$490,IF(AND($C365&gt;='TIF Loan Amortization'!$H$491,$C365&lt;='TIF Loan Amortization'!I$491),'TIF Loan Amortization'!$G$491,IF(AND($C365&gt;='TIF Loan Amortization'!$H$492,$C365&lt;='TIF Loan Amortization'!I$492),'TIF Loan Amortization'!$G$492,IF(AND($C365&gt;='TIF Loan Amortization'!$H$493,$C365&lt;='TIF Loan Amortization'!I$493),'TIF Loan Amortization'!$G$493,IF(AND($C365&gt;='TIF Loan Amortization'!$H$494,$C365&lt;='TIF Loan Amortization'!I$494),'TIF Loan Amortization'!$G$494,IF(AND($C365&gt;='TIF Loan Amortization'!$H$495,$C365&lt;='TIF Loan Amortization'!I$495),'TIF Loan Amortization'!$G$495,IF(AND($C365&gt;='TIF Loan Amortization'!$H$496,$C365&lt;='TIF Loan Amortization'!I$496),'TIF Loan Amortization'!$G$496,IF(AND($C365&gt;='TIF Loan Amortization'!$H$497,$C365&lt;='TIF Loan Amortization'!I$497),'TIF Loan Amortization'!$G$497,IF(AND($C365&gt;='TIF Loan Amortization'!$H$498,$C365&lt;='TIF Loan Amortization'!I$498),'TIF Loan Amortization'!$G$498,IF(AND($C365&gt;='TIF Loan Amortization'!$H$499,$C365&lt;='TIF Loan Amortization'!I$499),'TIF Loan Amortization'!$G$499,IF(AND($C365&gt;='TIF Loan Amortization'!$H$500,$C365&lt;='TIF Loan Amortization'!I$500),'TIF Loan Amortization'!$G$500,IF(AND($C365&gt;='TIF Loan Amortization'!$H$501,$C365&lt;='TIF Loan Amortization'!I$501),'TIF Loan Amortization'!$G$501,IF(AND($C365&gt;='TIF Loan Amortization'!$H$502,$C365&lt;='TIF Loan Amortization'!I$502),'TIF Loan Amortization'!$G$502,IF(AND($C365&gt;='TIF Loan Amortization'!$H$503,$C365&lt;='TIF Loan Amortization'!I$503),'TIF Loan Amortization'!$G$503,IF(AND($C365&gt;='TIF Loan Amortization'!$H$504,$C365&lt;='TIF Loan Amortization'!I$504),'TIF Loan Amortization'!$G$504,IF(AND($C365&gt;='TIF Loan Amortization'!$H$505,$C365&lt;='TIF Loan Amortization'!I$505),'TIF Loan Amortization'!$G$505,IF(AND($C365&gt;='TIF Loan Amortization'!$H$506,$C365&lt;='TIF Loan Amortization'!I$506),'TIF Loan Amortization'!$G$506,IF(AND($C365&gt;='TIF Loan Amortization'!$H$507,$C365&lt;='TIF Loan Amortization'!I$507),'TIF Loan Amortization'!$G$507,IF(AND($C365&gt;='TIF Loan Amortization'!$H$508,$C365&lt;='TIF Loan Amortization'!I$508),'TIF Loan Amortization'!$G$508,IF(AND($C365&gt;='TIF Loan Amortization'!$H$509,$C365&lt;='TIF Loan Amortization'!I$509),'TIF Loan Amortization'!$G$509,IF(AND($C365&gt;='TIF Loan Amortization'!$H$510,$C365&lt;='TIF Loan Amortization'!I$510),'TIF Loan Amortization'!$G$510,IF(AND($C365&gt;='TIF Loan Amortization'!$H$511,$C365&lt;='TIF Loan Amortization'!I$511),'TIF Loan Amortization'!$G$511,IF(AND($C365&gt;='TIF Loan Amortization'!$H$512,$C365&lt;='TIF Loan Amortization'!I$512),'TIF Loan Amortization'!$G$512,IF(AND($C365&gt;='TIF Loan Amortization'!$H$513,$C365&lt;='TIF Loan Amortization'!I$513),'TIF Loan Amortization'!$G$513,IF(AND($C365&gt;='TIF Loan Amortization'!$H$514,$C365&lt;='TIF Loan Amortization'!I$514),'TIF Loan Amortization'!$G$514,IF(AND($C365&gt;='TIF Loan Amortization'!$H$515,$C365&lt;='TIF Loan Amortization'!I$515),'TIF Loan Amortization'!$G$515,IF(AND($C365&gt;='TIF Loan Amortization'!$H$516,$C365&lt;='TIF Loan Amortization'!I$516),'TIF Loan Amortization'!$G$516,IF(AND($C365&gt;='TIF Loan Amortization'!$H$517,$C365&lt;='TIF Loan Amortization'!I$517),'TIF Loan Amortization'!$G$517,IF(AND($C365&gt;='TIF Loan Amortization'!$H$518,$C365&lt;='TIF Loan Amortization'!I$518),'TIF Loan Amortization'!$G$518,IF(AND($C365&gt;='TIF Loan Amortization'!$H$519,$C365&lt;='TIF Loan Amortization'!I$519),'TIF Loan Amortization'!$G$519))))))))))))))))))))))))))))))))))))))))</f>
        <v>#N/A</v>
      </c>
      <c r="C365" s="269" t="e">
        <f t="shared" si="42"/>
        <v>#N/A</v>
      </c>
      <c r="D365" s="277" t="str">
        <f>IF($AG$425=1,$H$10+27,"")</f>
        <v/>
      </c>
      <c r="E365" s="274">
        <v>315</v>
      </c>
      <c r="F365" s="275" t="str">
        <f>VLOOKUP($AG$425,$AE$422:$AF$433,2)</f>
        <v>Jun</v>
      </c>
      <c r="G365" s="272">
        <f t="shared" si="43"/>
        <v>0</v>
      </c>
      <c r="H365" s="272">
        <f t="shared" si="46"/>
        <v>0</v>
      </c>
      <c r="I365" s="272">
        <f t="shared" si="47"/>
        <v>0</v>
      </c>
      <c r="J365" s="272">
        <f t="shared" si="44"/>
        <v>0</v>
      </c>
      <c r="K365" s="272">
        <f>IF(ISTEXT($M$4),"",SUM(I$50:I365))</f>
        <v>0</v>
      </c>
      <c r="L365" s="272">
        <f>IF(ISTEXT($M$4),"",SUM(J$50:J365))</f>
        <v>0</v>
      </c>
      <c r="M365" s="271">
        <f t="shared" si="45"/>
        <v>0</v>
      </c>
      <c r="N365" s="291" t="e">
        <f>IF(C365='Operating Assumptions'!$C$48,"Construction Finish","")</f>
        <v>#N/A</v>
      </c>
      <c r="O365" s="291"/>
      <c r="P365" s="291"/>
      <c r="Q365" s="291"/>
      <c r="R365" s="291"/>
      <c r="S365" s="291"/>
      <c r="T365" s="280"/>
      <c r="Z365" s="279"/>
      <c r="AA365" s="279"/>
      <c r="AB365" s="279"/>
    </row>
    <row r="366" spans="2:28" s="278" customFormat="1" ht="13.5" hidden="1" outlineLevel="1" x14ac:dyDescent="0.25">
      <c r="B366" s="270" t="e">
        <f>IF(AND($C366&gt;='TIF Loan Amortization'!$H$480,$C366&lt;='TIF Loan Amortization'!$I$480),'TIF Loan Amortization'!$G$480,IF(AND($C366&gt;='TIF Loan Amortization'!$H$481,$C366&lt;='TIF Loan Amortization'!I$481),'TIF Loan Amortization'!$G$481,IF(AND($C366&gt;='TIF Loan Amortization'!$H$482,$C366&lt;='TIF Loan Amortization'!I$482),'TIF Loan Amortization'!$G$482,IF(AND($C366&gt;='TIF Loan Amortization'!$H$483,$C366&lt;='TIF Loan Amortization'!I$483),'TIF Loan Amortization'!$G$483,IF(AND($C366&gt;='TIF Loan Amortization'!$H$484,$C366&lt;='TIF Loan Amortization'!I$484),'TIF Loan Amortization'!$G$484,IF(AND($C366&gt;='TIF Loan Amortization'!$H$485,$C366&lt;='TIF Loan Amortization'!I$485),'TIF Loan Amortization'!$G$485,IF(AND($C366&gt;='TIF Loan Amortization'!$H$486,$C366&lt;='TIF Loan Amortization'!I$486),'TIF Loan Amortization'!$G$486,IF(AND($C366&gt;='TIF Loan Amortization'!$H$487,$C366&lt;='TIF Loan Amortization'!I$487),'TIF Loan Amortization'!$G$487,IF(AND($C366&gt;='TIF Loan Amortization'!$H$488,$C366&lt;='TIF Loan Amortization'!I$488),'TIF Loan Amortization'!$G$488,IF(AND($C366&gt;='TIF Loan Amortization'!$H$489,$C366&lt;='TIF Loan Amortization'!I$489),'TIF Loan Amortization'!$G$489,IF(AND($C366&gt;='TIF Loan Amortization'!$H$490,$C366&lt;='TIF Loan Amortization'!I$490),'TIF Loan Amortization'!$G$490,IF(AND($C366&gt;='TIF Loan Amortization'!$H$491,$C366&lt;='TIF Loan Amortization'!I$491),'TIF Loan Amortization'!$G$491,IF(AND($C366&gt;='TIF Loan Amortization'!$H$492,$C366&lt;='TIF Loan Amortization'!I$492),'TIF Loan Amortization'!$G$492,IF(AND($C366&gt;='TIF Loan Amortization'!$H$493,$C366&lt;='TIF Loan Amortization'!I$493),'TIF Loan Amortization'!$G$493,IF(AND($C366&gt;='TIF Loan Amortization'!$H$494,$C366&lt;='TIF Loan Amortization'!I$494),'TIF Loan Amortization'!$G$494,IF(AND($C366&gt;='TIF Loan Amortization'!$H$495,$C366&lt;='TIF Loan Amortization'!I$495),'TIF Loan Amortization'!$G$495,IF(AND($C366&gt;='TIF Loan Amortization'!$H$496,$C366&lt;='TIF Loan Amortization'!I$496),'TIF Loan Amortization'!$G$496,IF(AND($C366&gt;='TIF Loan Amortization'!$H$497,$C366&lt;='TIF Loan Amortization'!I$497),'TIF Loan Amortization'!$G$497,IF(AND($C366&gt;='TIF Loan Amortization'!$H$498,$C366&lt;='TIF Loan Amortization'!I$498),'TIF Loan Amortization'!$G$498,IF(AND($C366&gt;='TIF Loan Amortization'!$H$499,$C366&lt;='TIF Loan Amortization'!I$499),'TIF Loan Amortization'!$G$499,IF(AND($C366&gt;='TIF Loan Amortization'!$H$500,$C366&lt;='TIF Loan Amortization'!I$500),'TIF Loan Amortization'!$G$500,IF(AND($C366&gt;='TIF Loan Amortization'!$H$501,$C366&lt;='TIF Loan Amortization'!I$501),'TIF Loan Amortization'!$G$501,IF(AND($C366&gt;='TIF Loan Amortization'!$H$502,$C366&lt;='TIF Loan Amortization'!I$502),'TIF Loan Amortization'!$G$502,IF(AND($C366&gt;='TIF Loan Amortization'!$H$503,$C366&lt;='TIF Loan Amortization'!I$503),'TIF Loan Amortization'!$G$503,IF(AND($C366&gt;='TIF Loan Amortization'!$H$504,$C366&lt;='TIF Loan Amortization'!I$504),'TIF Loan Amortization'!$G$504,IF(AND($C366&gt;='TIF Loan Amortization'!$H$505,$C366&lt;='TIF Loan Amortization'!I$505),'TIF Loan Amortization'!$G$505,IF(AND($C366&gt;='TIF Loan Amortization'!$H$506,$C366&lt;='TIF Loan Amortization'!I$506),'TIF Loan Amortization'!$G$506,IF(AND($C366&gt;='TIF Loan Amortization'!$H$507,$C366&lt;='TIF Loan Amortization'!I$507),'TIF Loan Amortization'!$G$507,IF(AND($C366&gt;='TIF Loan Amortization'!$H$508,$C366&lt;='TIF Loan Amortization'!I$508),'TIF Loan Amortization'!$G$508,IF(AND($C366&gt;='TIF Loan Amortization'!$H$509,$C366&lt;='TIF Loan Amortization'!I$509),'TIF Loan Amortization'!$G$509,IF(AND($C366&gt;='TIF Loan Amortization'!$H$510,$C366&lt;='TIF Loan Amortization'!I$510),'TIF Loan Amortization'!$G$510,IF(AND($C366&gt;='TIF Loan Amortization'!$H$511,$C366&lt;='TIF Loan Amortization'!I$511),'TIF Loan Amortization'!$G$511,IF(AND($C366&gt;='TIF Loan Amortization'!$H$512,$C366&lt;='TIF Loan Amortization'!I$512),'TIF Loan Amortization'!$G$512,IF(AND($C366&gt;='TIF Loan Amortization'!$H$513,$C366&lt;='TIF Loan Amortization'!I$513),'TIF Loan Amortization'!$G$513,IF(AND($C366&gt;='TIF Loan Amortization'!$H$514,$C366&lt;='TIF Loan Amortization'!I$514),'TIF Loan Amortization'!$G$514,IF(AND($C366&gt;='TIF Loan Amortization'!$H$515,$C366&lt;='TIF Loan Amortization'!I$515),'TIF Loan Amortization'!$G$515,IF(AND($C366&gt;='TIF Loan Amortization'!$H$516,$C366&lt;='TIF Loan Amortization'!I$516),'TIF Loan Amortization'!$G$516,IF(AND($C366&gt;='TIF Loan Amortization'!$H$517,$C366&lt;='TIF Loan Amortization'!I$517),'TIF Loan Amortization'!$G$517,IF(AND($C366&gt;='TIF Loan Amortization'!$H$518,$C366&lt;='TIF Loan Amortization'!I$518),'TIF Loan Amortization'!$G$518,IF(AND($C366&gt;='TIF Loan Amortization'!$H$519,$C366&lt;='TIF Loan Amortization'!I$519),'TIF Loan Amortization'!$G$519))))))))))))))))))))))))))))))))))))))))</f>
        <v>#N/A</v>
      </c>
      <c r="C366" s="269" t="e">
        <f t="shared" si="42"/>
        <v>#N/A</v>
      </c>
      <c r="D366" s="277" t="str">
        <f>IF($AG$426=1,$H$10+27,"")</f>
        <v/>
      </c>
      <c r="E366" s="274">
        <v>316</v>
      </c>
      <c r="F366" s="275" t="str">
        <f>VLOOKUP($AG$426,$AE$422:$AF$433,2)</f>
        <v>Jul</v>
      </c>
      <c r="G366" s="272">
        <f t="shared" si="43"/>
        <v>0</v>
      </c>
      <c r="H366" s="272">
        <f t="shared" si="46"/>
        <v>0</v>
      </c>
      <c r="I366" s="272">
        <f t="shared" si="47"/>
        <v>0</v>
      </c>
      <c r="J366" s="272">
        <f t="shared" si="44"/>
        <v>0</v>
      </c>
      <c r="K366" s="272">
        <f>IF(ISTEXT($M$4),"",SUM(I$50:I366))</f>
        <v>0</v>
      </c>
      <c r="L366" s="272">
        <f>IF(ISTEXT($M$4),"",SUM(J$50:J366))</f>
        <v>0</v>
      </c>
      <c r="M366" s="271">
        <f t="shared" si="45"/>
        <v>0</v>
      </c>
      <c r="N366" s="291" t="e">
        <f>IF(C366='Operating Assumptions'!$C$48,"Construction Finish","")</f>
        <v>#N/A</v>
      </c>
      <c r="O366" s="291"/>
      <c r="P366" s="291"/>
      <c r="Q366" s="291"/>
      <c r="R366" s="291"/>
      <c r="S366" s="291"/>
      <c r="T366" s="280"/>
      <c r="Z366" s="279"/>
      <c r="AA366" s="279"/>
      <c r="AB366" s="279"/>
    </row>
    <row r="367" spans="2:28" s="278" customFormat="1" ht="13.5" hidden="1" outlineLevel="1" x14ac:dyDescent="0.25">
      <c r="B367" s="270" t="e">
        <f>IF(AND($C367&gt;='TIF Loan Amortization'!$H$480,$C367&lt;='TIF Loan Amortization'!$I$480),'TIF Loan Amortization'!$G$480,IF(AND($C367&gt;='TIF Loan Amortization'!$H$481,$C367&lt;='TIF Loan Amortization'!I$481),'TIF Loan Amortization'!$G$481,IF(AND($C367&gt;='TIF Loan Amortization'!$H$482,$C367&lt;='TIF Loan Amortization'!I$482),'TIF Loan Amortization'!$G$482,IF(AND($C367&gt;='TIF Loan Amortization'!$H$483,$C367&lt;='TIF Loan Amortization'!I$483),'TIF Loan Amortization'!$G$483,IF(AND($C367&gt;='TIF Loan Amortization'!$H$484,$C367&lt;='TIF Loan Amortization'!I$484),'TIF Loan Amortization'!$G$484,IF(AND($C367&gt;='TIF Loan Amortization'!$H$485,$C367&lt;='TIF Loan Amortization'!I$485),'TIF Loan Amortization'!$G$485,IF(AND($C367&gt;='TIF Loan Amortization'!$H$486,$C367&lt;='TIF Loan Amortization'!I$486),'TIF Loan Amortization'!$G$486,IF(AND($C367&gt;='TIF Loan Amortization'!$H$487,$C367&lt;='TIF Loan Amortization'!I$487),'TIF Loan Amortization'!$G$487,IF(AND($C367&gt;='TIF Loan Amortization'!$H$488,$C367&lt;='TIF Loan Amortization'!I$488),'TIF Loan Amortization'!$G$488,IF(AND($C367&gt;='TIF Loan Amortization'!$H$489,$C367&lt;='TIF Loan Amortization'!I$489),'TIF Loan Amortization'!$G$489,IF(AND($C367&gt;='TIF Loan Amortization'!$H$490,$C367&lt;='TIF Loan Amortization'!I$490),'TIF Loan Amortization'!$G$490,IF(AND($C367&gt;='TIF Loan Amortization'!$H$491,$C367&lt;='TIF Loan Amortization'!I$491),'TIF Loan Amortization'!$G$491,IF(AND($C367&gt;='TIF Loan Amortization'!$H$492,$C367&lt;='TIF Loan Amortization'!I$492),'TIF Loan Amortization'!$G$492,IF(AND($C367&gt;='TIF Loan Amortization'!$H$493,$C367&lt;='TIF Loan Amortization'!I$493),'TIF Loan Amortization'!$G$493,IF(AND($C367&gt;='TIF Loan Amortization'!$H$494,$C367&lt;='TIF Loan Amortization'!I$494),'TIF Loan Amortization'!$G$494,IF(AND($C367&gt;='TIF Loan Amortization'!$H$495,$C367&lt;='TIF Loan Amortization'!I$495),'TIF Loan Amortization'!$G$495,IF(AND($C367&gt;='TIF Loan Amortization'!$H$496,$C367&lt;='TIF Loan Amortization'!I$496),'TIF Loan Amortization'!$G$496,IF(AND($C367&gt;='TIF Loan Amortization'!$H$497,$C367&lt;='TIF Loan Amortization'!I$497),'TIF Loan Amortization'!$G$497,IF(AND($C367&gt;='TIF Loan Amortization'!$H$498,$C367&lt;='TIF Loan Amortization'!I$498),'TIF Loan Amortization'!$G$498,IF(AND($C367&gt;='TIF Loan Amortization'!$H$499,$C367&lt;='TIF Loan Amortization'!I$499),'TIF Loan Amortization'!$G$499,IF(AND($C367&gt;='TIF Loan Amortization'!$H$500,$C367&lt;='TIF Loan Amortization'!I$500),'TIF Loan Amortization'!$G$500,IF(AND($C367&gt;='TIF Loan Amortization'!$H$501,$C367&lt;='TIF Loan Amortization'!I$501),'TIF Loan Amortization'!$G$501,IF(AND($C367&gt;='TIF Loan Amortization'!$H$502,$C367&lt;='TIF Loan Amortization'!I$502),'TIF Loan Amortization'!$G$502,IF(AND($C367&gt;='TIF Loan Amortization'!$H$503,$C367&lt;='TIF Loan Amortization'!I$503),'TIF Loan Amortization'!$G$503,IF(AND($C367&gt;='TIF Loan Amortization'!$H$504,$C367&lt;='TIF Loan Amortization'!I$504),'TIF Loan Amortization'!$G$504,IF(AND($C367&gt;='TIF Loan Amortization'!$H$505,$C367&lt;='TIF Loan Amortization'!I$505),'TIF Loan Amortization'!$G$505,IF(AND($C367&gt;='TIF Loan Amortization'!$H$506,$C367&lt;='TIF Loan Amortization'!I$506),'TIF Loan Amortization'!$G$506,IF(AND($C367&gt;='TIF Loan Amortization'!$H$507,$C367&lt;='TIF Loan Amortization'!I$507),'TIF Loan Amortization'!$G$507,IF(AND($C367&gt;='TIF Loan Amortization'!$H$508,$C367&lt;='TIF Loan Amortization'!I$508),'TIF Loan Amortization'!$G$508,IF(AND($C367&gt;='TIF Loan Amortization'!$H$509,$C367&lt;='TIF Loan Amortization'!I$509),'TIF Loan Amortization'!$G$509,IF(AND($C367&gt;='TIF Loan Amortization'!$H$510,$C367&lt;='TIF Loan Amortization'!I$510),'TIF Loan Amortization'!$G$510,IF(AND($C367&gt;='TIF Loan Amortization'!$H$511,$C367&lt;='TIF Loan Amortization'!I$511),'TIF Loan Amortization'!$G$511,IF(AND($C367&gt;='TIF Loan Amortization'!$H$512,$C367&lt;='TIF Loan Amortization'!I$512),'TIF Loan Amortization'!$G$512,IF(AND($C367&gt;='TIF Loan Amortization'!$H$513,$C367&lt;='TIF Loan Amortization'!I$513),'TIF Loan Amortization'!$G$513,IF(AND($C367&gt;='TIF Loan Amortization'!$H$514,$C367&lt;='TIF Loan Amortization'!I$514),'TIF Loan Amortization'!$G$514,IF(AND($C367&gt;='TIF Loan Amortization'!$H$515,$C367&lt;='TIF Loan Amortization'!I$515),'TIF Loan Amortization'!$G$515,IF(AND($C367&gt;='TIF Loan Amortization'!$H$516,$C367&lt;='TIF Loan Amortization'!I$516),'TIF Loan Amortization'!$G$516,IF(AND($C367&gt;='TIF Loan Amortization'!$H$517,$C367&lt;='TIF Loan Amortization'!I$517),'TIF Loan Amortization'!$G$517,IF(AND($C367&gt;='TIF Loan Amortization'!$H$518,$C367&lt;='TIF Loan Amortization'!I$518),'TIF Loan Amortization'!$G$518,IF(AND($C367&gt;='TIF Loan Amortization'!$H$519,$C367&lt;='TIF Loan Amortization'!I$519),'TIF Loan Amortization'!$G$519))))))))))))))))))))))))))))))))))))))))</f>
        <v>#N/A</v>
      </c>
      <c r="C367" s="269" t="e">
        <f t="shared" si="42"/>
        <v>#N/A</v>
      </c>
      <c r="D367" s="277" t="str">
        <f>IF($AG$427=1,$H$10+27,"")</f>
        <v/>
      </c>
      <c r="E367" s="274">
        <v>317</v>
      </c>
      <c r="F367" s="275" t="str">
        <f>VLOOKUP($AG$427,$AE$422:$AF$433,2)</f>
        <v>Aug</v>
      </c>
      <c r="G367" s="272">
        <f t="shared" si="43"/>
        <v>0</v>
      </c>
      <c r="H367" s="272">
        <f t="shared" si="46"/>
        <v>0</v>
      </c>
      <c r="I367" s="272">
        <f t="shared" si="47"/>
        <v>0</v>
      </c>
      <c r="J367" s="272">
        <f t="shared" si="44"/>
        <v>0</v>
      </c>
      <c r="K367" s="272">
        <f>IF(ISTEXT($M$4),"",SUM(I$50:I367))</f>
        <v>0</v>
      </c>
      <c r="L367" s="272">
        <f>IF(ISTEXT($M$4),"",SUM(J$50:J367))</f>
        <v>0</v>
      </c>
      <c r="M367" s="271">
        <f t="shared" si="45"/>
        <v>0</v>
      </c>
      <c r="N367" s="291" t="e">
        <f>IF(C367='Operating Assumptions'!$C$48,"Construction Finish","")</f>
        <v>#N/A</v>
      </c>
      <c r="O367" s="291"/>
      <c r="P367" s="291"/>
      <c r="Q367" s="291"/>
      <c r="R367" s="291"/>
      <c r="S367" s="291"/>
      <c r="T367" s="280"/>
      <c r="Z367" s="279"/>
      <c r="AA367" s="279"/>
      <c r="AB367" s="279"/>
    </row>
    <row r="368" spans="2:28" s="278" customFormat="1" ht="13.5" hidden="1" outlineLevel="1" x14ac:dyDescent="0.25">
      <c r="B368" s="270" t="e">
        <f>IF(AND($C368&gt;='TIF Loan Amortization'!$H$480,$C368&lt;='TIF Loan Amortization'!$I$480),'TIF Loan Amortization'!$G$480,IF(AND($C368&gt;='TIF Loan Amortization'!$H$481,$C368&lt;='TIF Loan Amortization'!I$481),'TIF Loan Amortization'!$G$481,IF(AND($C368&gt;='TIF Loan Amortization'!$H$482,$C368&lt;='TIF Loan Amortization'!I$482),'TIF Loan Amortization'!$G$482,IF(AND($C368&gt;='TIF Loan Amortization'!$H$483,$C368&lt;='TIF Loan Amortization'!I$483),'TIF Loan Amortization'!$G$483,IF(AND($C368&gt;='TIF Loan Amortization'!$H$484,$C368&lt;='TIF Loan Amortization'!I$484),'TIF Loan Amortization'!$G$484,IF(AND($C368&gt;='TIF Loan Amortization'!$H$485,$C368&lt;='TIF Loan Amortization'!I$485),'TIF Loan Amortization'!$G$485,IF(AND($C368&gt;='TIF Loan Amortization'!$H$486,$C368&lt;='TIF Loan Amortization'!I$486),'TIF Loan Amortization'!$G$486,IF(AND($C368&gt;='TIF Loan Amortization'!$H$487,$C368&lt;='TIF Loan Amortization'!I$487),'TIF Loan Amortization'!$G$487,IF(AND($C368&gt;='TIF Loan Amortization'!$H$488,$C368&lt;='TIF Loan Amortization'!I$488),'TIF Loan Amortization'!$G$488,IF(AND($C368&gt;='TIF Loan Amortization'!$H$489,$C368&lt;='TIF Loan Amortization'!I$489),'TIF Loan Amortization'!$G$489,IF(AND($C368&gt;='TIF Loan Amortization'!$H$490,$C368&lt;='TIF Loan Amortization'!I$490),'TIF Loan Amortization'!$G$490,IF(AND($C368&gt;='TIF Loan Amortization'!$H$491,$C368&lt;='TIF Loan Amortization'!I$491),'TIF Loan Amortization'!$G$491,IF(AND($C368&gt;='TIF Loan Amortization'!$H$492,$C368&lt;='TIF Loan Amortization'!I$492),'TIF Loan Amortization'!$G$492,IF(AND($C368&gt;='TIF Loan Amortization'!$H$493,$C368&lt;='TIF Loan Amortization'!I$493),'TIF Loan Amortization'!$G$493,IF(AND($C368&gt;='TIF Loan Amortization'!$H$494,$C368&lt;='TIF Loan Amortization'!I$494),'TIF Loan Amortization'!$G$494,IF(AND($C368&gt;='TIF Loan Amortization'!$H$495,$C368&lt;='TIF Loan Amortization'!I$495),'TIF Loan Amortization'!$G$495,IF(AND($C368&gt;='TIF Loan Amortization'!$H$496,$C368&lt;='TIF Loan Amortization'!I$496),'TIF Loan Amortization'!$G$496,IF(AND($C368&gt;='TIF Loan Amortization'!$H$497,$C368&lt;='TIF Loan Amortization'!I$497),'TIF Loan Amortization'!$G$497,IF(AND($C368&gt;='TIF Loan Amortization'!$H$498,$C368&lt;='TIF Loan Amortization'!I$498),'TIF Loan Amortization'!$G$498,IF(AND($C368&gt;='TIF Loan Amortization'!$H$499,$C368&lt;='TIF Loan Amortization'!I$499),'TIF Loan Amortization'!$G$499,IF(AND($C368&gt;='TIF Loan Amortization'!$H$500,$C368&lt;='TIF Loan Amortization'!I$500),'TIF Loan Amortization'!$G$500,IF(AND($C368&gt;='TIF Loan Amortization'!$H$501,$C368&lt;='TIF Loan Amortization'!I$501),'TIF Loan Amortization'!$G$501,IF(AND($C368&gt;='TIF Loan Amortization'!$H$502,$C368&lt;='TIF Loan Amortization'!I$502),'TIF Loan Amortization'!$G$502,IF(AND($C368&gt;='TIF Loan Amortization'!$H$503,$C368&lt;='TIF Loan Amortization'!I$503),'TIF Loan Amortization'!$G$503,IF(AND($C368&gt;='TIF Loan Amortization'!$H$504,$C368&lt;='TIF Loan Amortization'!I$504),'TIF Loan Amortization'!$G$504,IF(AND($C368&gt;='TIF Loan Amortization'!$H$505,$C368&lt;='TIF Loan Amortization'!I$505),'TIF Loan Amortization'!$G$505,IF(AND($C368&gt;='TIF Loan Amortization'!$H$506,$C368&lt;='TIF Loan Amortization'!I$506),'TIF Loan Amortization'!$G$506,IF(AND($C368&gt;='TIF Loan Amortization'!$H$507,$C368&lt;='TIF Loan Amortization'!I$507),'TIF Loan Amortization'!$G$507,IF(AND($C368&gt;='TIF Loan Amortization'!$H$508,$C368&lt;='TIF Loan Amortization'!I$508),'TIF Loan Amortization'!$G$508,IF(AND($C368&gt;='TIF Loan Amortization'!$H$509,$C368&lt;='TIF Loan Amortization'!I$509),'TIF Loan Amortization'!$G$509,IF(AND($C368&gt;='TIF Loan Amortization'!$H$510,$C368&lt;='TIF Loan Amortization'!I$510),'TIF Loan Amortization'!$G$510,IF(AND($C368&gt;='TIF Loan Amortization'!$H$511,$C368&lt;='TIF Loan Amortization'!I$511),'TIF Loan Amortization'!$G$511,IF(AND($C368&gt;='TIF Loan Amortization'!$H$512,$C368&lt;='TIF Loan Amortization'!I$512),'TIF Loan Amortization'!$G$512,IF(AND($C368&gt;='TIF Loan Amortization'!$H$513,$C368&lt;='TIF Loan Amortization'!I$513),'TIF Loan Amortization'!$G$513,IF(AND($C368&gt;='TIF Loan Amortization'!$H$514,$C368&lt;='TIF Loan Amortization'!I$514),'TIF Loan Amortization'!$G$514,IF(AND($C368&gt;='TIF Loan Amortization'!$H$515,$C368&lt;='TIF Loan Amortization'!I$515),'TIF Loan Amortization'!$G$515,IF(AND($C368&gt;='TIF Loan Amortization'!$H$516,$C368&lt;='TIF Loan Amortization'!I$516),'TIF Loan Amortization'!$G$516,IF(AND($C368&gt;='TIF Loan Amortization'!$H$517,$C368&lt;='TIF Loan Amortization'!I$517),'TIF Loan Amortization'!$G$517,IF(AND($C368&gt;='TIF Loan Amortization'!$H$518,$C368&lt;='TIF Loan Amortization'!I$518),'TIF Loan Amortization'!$G$518,IF(AND($C368&gt;='TIF Loan Amortization'!$H$519,$C368&lt;='TIF Loan Amortization'!I$519),'TIF Loan Amortization'!$G$519))))))))))))))))))))))))))))))))))))))))</f>
        <v>#N/A</v>
      </c>
      <c r="C368" s="269" t="e">
        <f t="shared" si="42"/>
        <v>#N/A</v>
      </c>
      <c r="D368" s="277" t="str">
        <f>IF($AG$428=1,$H$10+27,"")</f>
        <v/>
      </c>
      <c r="E368" s="274">
        <v>318</v>
      </c>
      <c r="F368" s="275" t="str">
        <f>VLOOKUP($AG$428,$AE$422:$AF$433,2)</f>
        <v>Sep</v>
      </c>
      <c r="G368" s="272">
        <f t="shared" si="43"/>
        <v>0</v>
      </c>
      <c r="H368" s="272">
        <f t="shared" si="46"/>
        <v>0</v>
      </c>
      <c r="I368" s="272">
        <f t="shared" si="47"/>
        <v>0</v>
      </c>
      <c r="J368" s="272">
        <f t="shared" si="44"/>
        <v>0</v>
      </c>
      <c r="K368" s="272">
        <f>IF(ISTEXT($M$4),"",SUM(I$50:I368))</f>
        <v>0</v>
      </c>
      <c r="L368" s="272">
        <f>IF(ISTEXT($M$4),"",SUM(J$50:J368))</f>
        <v>0</v>
      </c>
      <c r="M368" s="271">
        <f t="shared" si="45"/>
        <v>0</v>
      </c>
      <c r="N368" s="291" t="e">
        <f>IF(C368='Operating Assumptions'!$C$48,"Construction Finish","")</f>
        <v>#N/A</v>
      </c>
      <c r="O368" s="291"/>
      <c r="P368" s="291"/>
      <c r="Q368" s="291"/>
      <c r="R368" s="291"/>
      <c r="S368" s="291"/>
      <c r="T368" s="280"/>
      <c r="Z368" s="279"/>
      <c r="AA368" s="279"/>
      <c r="AB368" s="279"/>
    </row>
    <row r="369" spans="2:28" s="278" customFormat="1" ht="13.5" hidden="1" outlineLevel="1" x14ac:dyDescent="0.25">
      <c r="B369" s="270" t="e">
        <f>IF(AND($C369&gt;='TIF Loan Amortization'!$H$480,$C369&lt;='TIF Loan Amortization'!$I$480),'TIF Loan Amortization'!$G$480,IF(AND($C369&gt;='TIF Loan Amortization'!$H$481,$C369&lt;='TIF Loan Amortization'!I$481),'TIF Loan Amortization'!$G$481,IF(AND($C369&gt;='TIF Loan Amortization'!$H$482,$C369&lt;='TIF Loan Amortization'!I$482),'TIF Loan Amortization'!$G$482,IF(AND($C369&gt;='TIF Loan Amortization'!$H$483,$C369&lt;='TIF Loan Amortization'!I$483),'TIF Loan Amortization'!$G$483,IF(AND($C369&gt;='TIF Loan Amortization'!$H$484,$C369&lt;='TIF Loan Amortization'!I$484),'TIF Loan Amortization'!$G$484,IF(AND($C369&gt;='TIF Loan Amortization'!$H$485,$C369&lt;='TIF Loan Amortization'!I$485),'TIF Loan Amortization'!$G$485,IF(AND($C369&gt;='TIF Loan Amortization'!$H$486,$C369&lt;='TIF Loan Amortization'!I$486),'TIF Loan Amortization'!$G$486,IF(AND($C369&gt;='TIF Loan Amortization'!$H$487,$C369&lt;='TIF Loan Amortization'!I$487),'TIF Loan Amortization'!$G$487,IF(AND($C369&gt;='TIF Loan Amortization'!$H$488,$C369&lt;='TIF Loan Amortization'!I$488),'TIF Loan Amortization'!$G$488,IF(AND($C369&gt;='TIF Loan Amortization'!$H$489,$C369&lt;='TIF Loan Amortization'!I$489),'TIF Loan Amortization'!$G$489,IF(AND($C369&gt;='TIF Loan Amortization'!$H$490,$C369&lt;='TIF Loan Amortization'!I$490),'TIF Loan Amortization'!$G$490,IF(AND($C369&gt;='TIF Loan Amortization'!$H$491,$C369&lt;='TIF Loan Amortization'!I$491),'TIF Loan Amortization'!$G$491,IF(AND($C369&gt;='TIF Loan Amortization'!$H$492,$C369&lt;='TIF Loan Amortization'!I$492),'TIF Loan Amortization'!$G$492,IF(AND($C369&gt;='TIF Loan Amortization'!$H$493,$C369&lt;='TIF Loan Amortization'!I$493),'TIF Loan Amortization'!$G$493,IF(AND($C369&gt;='TIF Loan Amortization'!$H$494,$C369&lt;='TIF Loan Amortization'!I$494),'TIF Loan Amortization'!$G$494,IF(AND($C369&gt;='TIF Loan Amortization'!$H$495,$C369&lt;='TIF Loan Amortization'!I$495),'TIF Loan Amortization'!$G$495,IF(AND($C369&gt;='TIF Loan Amortization'!$H$496,$C369&lt;='TIF Loan Amortization'!I$496),'TIF Loan Amortization'!$G$496,IF(AND($C369&gt;='TIF Loan Amortization'!$H$497,$C369&lt;='TIF Loan Amortization'!I$497),'TIF Loan Amortization'!$G$497,IF(AND($C369&gt;='TIF Loan Amortization'!$H$498,$C369&lt;='TIF Loan Amortization'!I$498),'TIF Loan Amortization'!$G$498,IF(AND($C369&gt;='TIF Loan Amortization'!$H$499,$C369&lt;='TIF Loan Amortization'!I$499),'TIF Loan Amortization'!$G$499,IF(AND($C369&gt;='TIF Loan Amortization'!$H$500,$C369&lt;='TIF Loan Amortization'!I$500),'TIF Loan Amortization'!$G$500,IF(AND($C369&gt;='TIF Loan Amortization'!$H$501,$C369&lt;='TIF Loan Amortization'!I$501),'TIF Loan Amortization'!$G$501,IF(AND($C369&gt;='TIF Loan Amortization'!$H$502,$C369&lt;='TIF Loan Amortization'!I$502),'TIF Loan Amortization'!$G$502,IF(AND($C369&gt;='TIF Loan Amortization'!$H$503,$C369&lt;='TIF Loan Amortization'!I$503),'TIF Loan Amortization'!$G$503,IF(AND($C369&gt;='TIF Loan Amortization'!$H$504,$C369&lt;='TIF Loan Amortization'!I$504),'TIF Loan Amortization'!$G$504,IF(AND($C369&gt;='TIF Loan Amortization'!$H$505,$C369&lt;='TIF Loan Amortization'!I$505),'TIF Loan Amortization'!$G$505,IF(AND($C369&gt;='TIF Loan Amortization'!$H$506,$C369&lt;='TIF Loan Amortization'!I$506),'TIF Loan Amortization'!$G$506,IF(AND($C369&gt;='TIF Loan Amortization'!$H$507,$C369&lt;='TIF Loan Amortization'!I$507),'TIF Loan Amortization'!$G$507,IF(AND($C369&gt;='TIF Loan Amortization'!$H$508,$C369&lt;='TIF Loan Amortization'!I$508),'TIF Loan Amortization'!$G$508,IF(AND($C369&gt;='TIF Loan Amortization'!$H$509,$C369&lt;='TIF Loan Amortization'!I$509),'TIF Loan Amortization'!$G$509,IF(AND($C369&gt;='TIF Loan Amortization'!$H$510,$C369&lt;='TIF Loan Amortization'!I$510),'TIF Loan Amortization'!$G$510,IF(AND($C369&gt;='TIF Loan Amortization'!$H$511,$C369&lt;='TIF Loan Amortization'!I$511),'TIF Loan Amortization'!$G$511,IF(AND($C369&gt;='TIF Loan Amortization'!$H$512,$C369&lt;='TIF Loan Amortization'!I$512),'TIF Loan Amortization'!$G$512,IF(AND($C369&gt;='TIF Loan Amortization'!$H$513,$C369&lt;='TIF Loan Amortization'!I$513),'TIF Loan Amortization'!$G$513,IF(AND($C369&gt;='TIF Loan Amortization'!$H$514,$C369&lt;='TIF Loan Amortization'!I$514),'TIF Loan Amortization'!$G$514,IF(AND($C369&gt;='TIF Loan Amortization'!$H$515,$C369&lt;='TIF Loan Amortization'!I$515),'TIF Loan Amortization'!$G$515,IF(AND($C369&gt;='TIF Loan Amortization'!$H$516,$C369&lt;='TIF Loan Amortization'!I$516),'TIF Loan Amortization'!$G$516,IF(AND($C369&gt;='TIF Loan Amortization'!$H$517,$C369&lt;='TIF Loan Amortization'!I$517),'TIF Loan Amortization'!$G$517,IF(AND($C369&gt;='TIF Loan Amortization'!$H$518,$C369&lt;='TIF Loan Amortization'!I$518),'TIF Loan Amortization'!$G$518,IF(AND($C369&gt;='TIF Loan Amortization'!$H$519,$C369&lt;='TIF Loan Amortization'!I$519),'TIF Loan Amortization'!$G$519))))))))))))))))))))))))))))))))))))))))</f>
        <v>#N/A</v>
      </c>
      <c r="C369" s="269" t="e">
        <f t="shared" si="42"/>
        <v>#N/A</v>
      </c>
      <c r="D369" s="277" t="str">
        <f>IF($AG$429=1,$H$10+27,"")</f>
        <v/>
      </c>
      <c r="E369" s="274">
        <v>319</v>
      </c>
      <c r="F369" s="275" t="str">
        <f>VLOOKUP($AG$429,$AE$422:$AF$433,2)</f>
        <v>Oct</v>
      </c>
      <c r="G369" s="272">
        <f t="shared" si="43"/>
        <v>0</v>
      </c>
      <c r="H369" s="272">
        <f t="shared" si="46"/>
        <v>0</v>
      </c>
      <c r="I369" s="272">
        <f t="shared" si="47"/>
        <v>0</v>
      </c>
      <c r="J369" s="272">
        <f t="shared" si="44"/>
        <v>0</v>
      </c>
      <c r="K369" s="272">
        <f>IF(ISTEXT($M$4),"",SUM(I$50:I369))</f>
        <v>0</v>
      </c>
      <c r="L369" s="272">
        <f>IF(ISTEXT($M$4),"",SUM(J$50:J369))</f>
        <v>0</v>
      </c>
      <c r="M369" s="271">
        <f t="shared" si="45"/>
        <v>0</v>
      </c>
      <c r="N369" s="291" t="e">
        <f>IF(C369='Operating Assumptions'!$C$48,"Construction Finish","")</f>
        <v>#N/A</v>
      </c>
      <c r="O369" s="291"/>
      <c r="P369" s="291"/>
      <c r="Q369" s="291"/>
      <c r="R369" s="291"/>
      <c r="S369" s="291"/>
      <c r="T369" s="280"/>
      <c r="Z369" s="279"/>
      <c r="AA369" s="279"/>
      <c r="AB369" s="279"/>
    </row>
    <row r="370" spans="2:28" s="278" customFormat="1" ht="13.5" hidden="1" outlineLevel="1" x14ac:dyDescent="0.25">
      <c r="B370" s="270" t="e">
        <f>IF(AND($C370&gt;='TIF Loan Amortization'!$H$480,$C370&lt;='TIF Loan Amortization'!$I$480),'TIF Loan Amortization'!$G$480,IF(AND($C370&gt;='TIF Loan Amortization'!$H$481,$C370&lt;='TIF Loan Amortization'!I$481),'TIF Loan Amortization'!$G$481,IF(AND($C370&gt;='TIF Loan Amortization'!$H$482,$C370&lt;='TIF Loan Amortization'!I$482),'TIF Loan Amortization'!$G$482,IF(AND($C370&gt;='TIF Loan Amortization'!$H$483,$C370&lt;='TIF Loan Amortization'!I$483),'TIF Loan Amortization'!$G$483,IF(AND($C370&gt;='TIF Loan Amortization'!$H$484,$C370&lt;='TIF Loan Amortization'!I$484),'TIF Loan Amortization'!$G$484,IF(AND($C370&gt;='TIF Loan Amortization'!$H$485,$C370&lt;='TIF Loan Amortization'!I$485),'TIF Loan Amortization'!$G$485,IF(AND($C370&gt;='TIF Loan Amortization'!$H$486,$C370&lt;='TIF Loan Amortization'!I$486),'TIF Loan Amortization'!$G$486,IF(AND($C370&gt;='TIF Loan Amortization'!$H$487,$C370&lt;='TIF Loan Amortization'!I$487),'TIF Loan Amortization'!$G$487,IF(AND($C370&gt;='TIF Loan Amortization'!$H$488,$C370&lt;='TIF Loan Amortization'!I$488),'TIF Loan Amortization'!$G$488,IF(AND($C370&gt;='TIF Loan Amortization'!$H$489,$C370&lt;='TIF Loan Amortization'!I$489),'TIF Loan Amortization'!$G$489,IF(AND($C370&gt;='TIF Loan Amortization'!$H$490,$C370&lt;='TIF Loan Amortization'!I$490),'TIF Loan Amortization'!$G$490,IF(AND($C370&gt;='TIF Loan Amortization'!$H$491,$C370&lt;='TIF Loan Amortization'!I$491),'TIF Loan Amortization'!$G$491,IF(AND($C370&gt;='TIF Loan Amortization'!$H$492,$C370&lt;='TIF Loan Amortization'!I$492),'TIF Loan Amortization'!$G$492,IF(AND($C370&gt;='TIF Loan Amortization'!$H$493,$C370&lt;='TIF Loan Amortization'!I$493),'TIF Loan Amortization'!$G$493,IF(AND($C370&gt;='TIF Loan Amortization'!$H$494,$C370&lt;='TIF Loan Amortization'!I$494),'TIF Loan Amortization'!$G$494,IF(AND($C370&gt;='TIF Loan Amortization'!$H$495,$C370&lt;='TIF Loan Amortization'!I$495),'TIF Loan Amortization'!$G$495,IF(AND($C370&gt;='TIF Loan Amortization'!$H$496,$C370&lt;='TIF Loan Amortization'!I$496),'TIF Loan Amortization'!$G$496,IF(AND($C370&gt;='TIF Loan Amortization'!$H$497,$C370&lt;='TIF Loan Amortization'!I$497),'TIF Loan Amortization'!$G$497,IF(AND($C370&gt;='TIF Loan Amortization'!$H$498,$C370&lt;='TIF Loan Amortization'!I$498),'TIF Loan Amortization'!$G$498,IF(AND($C370&gt;='TIF Loan Amortization'!$H$499,$C370&lt;='TIF Loan Amortization'!I$499),'TIF Loan Amortization'!$G$499,IF(AND($C370&gt;='TIF Loan Amortization'!$H$500,$C370&lt;='TIF Loan Amortization'!I$500),'TIF Loan Amortization'!$G$500,IF(AND($C370&gt;='TIF Loan Amortization'!$H$501,$C370&lt;='TIF Loan Amortization'!I$501),'TIF Loan Amortization'!$G$501,IF(AND($C370&gt;='TIF Loan Amortization'!$H$502,$C370&lt;='TIF Loan Amortization'!I$502),'TIF Loan Amortization'!$G$502,IF(AND($C370&gt;='TIF Loan Amortization'!$H$503,$C370&lt;='TIF Loan Amortization'!I$503),'TIF Loan Amortization'!$G$503,IF(AND($C370&gt;='TIF Loan Amortization'!$H$504,$C370&lt;='TIF Loan Amortization'!I$504),'TIF Loan Amortization'!$G$504,IF(AND($C370&gt;='TIF Loan Amortization'!$H$505,$C370&lt;='TIF Loan Amortization'!I$505),'TIF Loan Amortization'!$G$505,IF(AND($C370&gt;='TIF Loan Amortization'!$H$506,$C370&lt;='TIF Loan Amortization'!I$506),'TIF Loan Amortization'!$G$506,IF(AND($C370&gt;='TIF Loan Amortization'!$H$507,$C370&lt;='TIF Loan Amortization'!I$507),'TIF Loan Amortization'!$G$507,IF(AND($C370&gt;='TIF Loan Amortization'!$H$508,$C370&lt;='TIF Loan Amortization'!I$508),'TIF Loan Amortization'!$G$508,IF(AND($C370&gt;='TIF Loan Amortization'!$H$509,$C370&lt;='TIF Loan Amortization'!I$509),'TIF Loan Amortization'!$G$509,IF(AND($C370&gt;='TIF Loan Amortization'!$H$510,$C370&lt;='TIF Loan Amortization'!I$510),'TIF Loan Amortization'!$G$510,IF(AND($C370&gt;='TIF Loan Amortization'!$H$511,$C370&lt;='TIF Loan Amortization'!I$511),'TIF Loan Amortization'!$G$511,IF(AND($C370&gt;='TIF Loan Amortization'!$H$512,$C370&lt;='TIF Loan Amortization'!I$512),'TIF Loan Amortization'!$G$512,IF(AND($C370&gt;='TIF Loan Amortization'!$H$513,$C370&lt;='TIF Loan Amortization'!I$513),'TIF Loan Amortization'!$G$513,IF(AND($C370&gt;='TIF Loan Amortization'!$H$514,$C370&lt;='TIF Loan Amortization'!I$514),'TIF Loan Amortization'!$G$514,IF(AND($C370&gt;='TIF Loan Amortization'!$H$515,$C370&lt;='TIF Loan Amortization'!I$515),'TIF Loan Amortization'!$G$515,IF(AND($C370&gt;='TIF Loan Amortization'!$H$516,$C370&lt;='TIF Loan Amortization'!I$516),'TIF Loan Amortization'!$G$516,IF(AND($C370&gt;='TIF Loan Amortization'!$H$517,$C370&lt;='TIF Loan Amortization'!I$517),'TIF Loan Amortization'!$G$517,IF(AND($C370&gt;='TIF Loan Amortization'!$H$518,$C370&lt;='TIF Loan Amortization'!I$518),'TIF Loan Amortization'!$G$518,IF(AND($C370&gt;='TIF Loan Amortization'!$H$519,$C370&lt;='TIF Loan Amortization'!I$519),'TIF Loan Amortization'!$G$519))))))))))))))))))))))))))))))))))))))))</f>
        <v>#N/A</v>
      </c>
      <c r="C370" s="269" t="e">
        <f t="shared" si="42"/>
        <v>#N/A</v>
      </c>
      <c r="D370" s="277" t="str">
        <f>IF($AG$430=1,$H$10+27,"")</f>
        <v/>
      </c>
      <c r="E370" s="274">
        <v>320</v>
      </c>
      <c r="F370" s="275" t="str">
        <f>VLOOKUP($AG$430,$AE$422:$AF$433,2)</f>
        <v>Nov</v>
      </c>
      <c r="G370" s="272">
        <f t="shared" si="43"/>
        <v>0</v>
      </c>
      <c r="H370" s="272">
        <f t="shared" si="46"/>
        <v>0</v>
      </c>
      <c r="I370" s="272">
        <f t="shared" si="47"/>
        <v>0</v>
      </c>
      <c r="J370" s="272">
        <f t="shared" si="44"/>
        <v>0</v>
      </c>
      <c r="K370" s="272">
        <f>IF(ISTEXT($M$4),"",SUM(I$50:I370))</f>
        <v>0</v>
      </c>
      <c r="L370" s="272">
        <f>IF(ISTEXT($M$4),"",SUM(J$50:J370))</f>
        <v>0</v>
      </c>
      <c r="M370" s="271">
        <f t="shared" si="45"/>
        <v>0</v>
      </c>
      <c r="N370" s="291" t="e">
        <f>IF(C370='Operating Assumptions'!$C$48,"Construction Finish","")</f>
        <v>#N/A</v>
      </c>
      <c r="O370" s="291"/>
      <c r="P370" s="291"/>
      <c r="Q370" s="291"/>
      <c r="R370" s="291"/>
      <c r="S370" s="291"/>
      <c r="T370" s="280"/>
      <c r="Z370" s="279"/>
      <c r="AA370" s="279"/>
      <c r="AB370" s="279"/>
    </row>
    <row r="371" spans="2:28" s="278" customFormat="1" ht="13.5" hidden="1" outlineLevel="1" x14ac:dyDescent="0.25">
      <c r="B371" s="270" t="e">
        <f>IF(AND($C371&gt;='TIF Loan Amortization'!$H$480,$C371&lt;='TIF Loan Amortization'!$I$480),'TIF Loan Amortization'!$G$480,IF(AND($C371&gt;='TIF Loan Amortization'!$H$481,$C371&lt;='TIF Loan Amortization'!I$481),'TIF Loan Amortization'!$G$481,IF(AND($C371&gt;='TIF Loan Amortization'!$H$482,$C371&lt;='TIF Loan Amortization'!I$482),'TIF Loan Amortization'!$G$482,IF(AND($C371&gt;='TIF Loan Amortization'!$H$483,$C371&lt;='TIF Loan Amortization'!I$483),'TIF Loan Amortization'!$G$483,IF(AND($C371&gt;='TIF Loan Amortization'!$H$484,$C371&lt;='TIF Loan Amortization'!I$484),'TIF Loan Amortization'!$G$484,IF(AND($C371&gt;='TIF Loan Amortization'!$H$485,$C371&lt;='TIF Loan Amortization'!I$485),'TIF Loan Amortization'!$G$485,IF(AND($C371&gt;='TIF Loan Amortization'!$H$486,$C371&lt;='TIF Loan Amortization'!I$486),'TIF Loan Amortization'!$G$486,IF(AND($C371&gt;='TIF Loan Amortization'!$H$487,$C371&lt;='TIF Loan Amortization'!I$487),'TIF Loan Amortization'!$G$487,IF(AND($C371&gt;='TIF Loan Amortization'!$H$488,$C371&lt;='TIF Loan Amortization'!I$488),'TIF Loan Amortization'!$G$488,IF(AND($C371&gt;='TIF Loan Amortization'!$H$489,$C371&lt;='TIF Loan Amortization'!I$489),'TIF Loan Amortization'!$G$489,IF(AND($C371&gt;='TIF Loan Amortization'!$H$490,$C371&lt;='TIF Loan Amortization'!I$490),'TIF Loan Amortization'!$G$490,IF(AND($C371&gt;='TIF Loan Amortization'!$H$491,$C371&lt;='TIF Loan Amortization'!I$491),'TIF Loan Amortization'!$G$491,IF(AND($C371&gt;='TIF Loan Amortization'!$H$492,$C371&lt;='TIF Loan Amortization'!I$492),'TIF Loan Amortization'!$G$492,IF(AND($C371&gt;='TIF Loan Amortization'!$H$493,$C371&lt;='TIF Loan Amortization'!I$493),'TIF Loan Amortization'!$G$493,IF(AND($C371&gt;='TIF Loan Amortization'!$H$494,$C371&lt;='TIF Loan Amortization'!I$494),'TIF Loan Amortization'!$G$494,IF(AND($C371&gt;='TIF Loan Amortization'!$H$495,$C371&lt;='TIF Loan Amortization'!I$495),'TIF Loan Amortization'!$G$495,IF(AND($C371&gt;='TIF Loan Amortization'!$H$496,$C371&lt;='TIF Loan Amortization'!I$496),'TIF Loan Amortization'!$G$496,IF(AND($C371&gt;='TIF Loan Amortization'!$H$497,$C371&lt;='TIF Loan Amortization'!I$497),'TIF Loan Amortization'!$G$497,IF(AND($C371&gt;='TIF Loan Amortization'!$H$498,$C371&lt;='TIF Loan Amortization'!I$498),'TIF Loan Amortization'!$G$498,IF(AND($C371&gt;='TIF Loan Amortization'!$H$499,$C371&lt;='TIF Loan Amortization'!I$499),'TIF Loan Amortization'!$G$499,IF(AND($C371&gt;='TIF Loan Amortization'!$H$500,$C371&lt;='TIF Loan Amortization'!I$500),'TIF Loan Amortization'!$G$500,IF(AND($C371&gt;='TIF Loan Amortization'!$H$501,$C371&lt;='TIF Loan Amortization'!I$501),'TIF Loan Amortization'!$G$501,IF(AND($C371&gt;='TIF Loan Amortization'!$H$502,$C371&lt;='TIF Loan Amortization'!I$502),'TIF Loan Amortization'!$G$502,IF(AND($C371&gt;='TIF Loan Amortization'!$H$503,$C371&lt;='TIF Loan Amortization'!I$503),'TIF Loan Amortization'!$G$503,IF(AND($C371&gt;='TIF Loan Amortization'!$H$504,$C371&lt;='TIF Loan Amortization'!I$504),'TIF Loan Amortization'!$G$504,IF(AND($C371&gt;='TIF Loan Amortization'!$H$505,$C371&lt;='TIF Loan Amortization'!I$505),'TIF Loan Amortization'!$G$505,IF(AND($C371&gt;='TIF Loan Amortization'!$H$506,$C371&lt;='TIF Loan Amortization'!I$506),'TIF Loan Amortization'!$G$506,IF(AND($C371&gt;='TIF Loan Amortization'!$H$507,$C371&lt;='TIF Loan Amortization'!I$507),'TIF Loan Amortization'!$G$507,IF(AND($C371&gt;='TIF Loan Amortization'!$H$508,$C371&lt;='TIF Loan Amortization'!I$508),'TIF Loan Amortization'!$G$508,IF(AND($C371&gt;='TIF Loan Amortization'!$H$509,$C371&lt;='TIF Loan Amortization'!I$509),'TIF Loan Amortization'!$G$509,IF(AND($C371&gt;='TIF Loan Amortization'!$H$510,$C371&lt;='TIF Loan Amortization'!I$510),'TIF Loan Amortization'!$G$510,IF(AND($C371&gt;='TIF Loan Amortization'!$H$511,$C371&lt;='TIF Loan Amortization'!I$511),'TIF Loan Amortization'!$G$511,IF(AND($C371&gt;='TIF Loan Amortization'!$H$512,$C371&lt;='TIF Loan Amortization'!I$512),'TIF Loan Amortization'!$G$512,IF(AND($C371&gt;='TIF Loan Amortization'!$H$513,$C371&lt;='TIF Loan Amortization'!I$513),'TIF Loan Amortization'!$G$513,IF(AND($C371&gt;='TIF Loan Amortization'!$H$514,$C371&lt;='TIF Loan Amortization'!I$514),'TIF Loan Amortization'!$G$514,IF(AND($C371&gt;='TIF Loan Amortization'!$H$515,$C371&lt;='TIF Loan Amortization'!I$515),'TIF Loan Amortization'!$G$515,IF(AND($C371&gt;='TIF Loan Amortization'!$H$516,$C371&lt;='TIF Loan Amortization'!I$516),'TIF Loan Amortization'!$G$516,IF(AND($C371&gt;='TIF Loan Amortization'!$H$517,$C371&lt;='TIF Loan Amortization'!I$517),'TIF Loan Amortization'!$G$517,IF(AND($C371&gt;='TIF Loan Amortization'!$H$518,$C371&lt;='TIF Loan Amortization'!I$518),'TIF Loan Amortization'!$G$518,IF(AND($C371&gt;='TIF Loan Amortization'!$H$519,$C371&lt;='TIF Loan Amortization'!I$519),'TIF Loan Amortization'!$G$519))))))))))))))))))))))))))))))))))))))))</f>
        <v>#N/A</v>
      </c>
      <c r="C371" s="269" t="e">
        <f t="shared" ref="C371:C411" si="48">C370+1</f>
        <v>#N/A</v>
      </c>
      <c r="D371" s="277" t="str">
        <f>IF($AG$431=1,$H$10+27,"")</f>
        <v/>
      </c>
      <c r="E371" s="274">
        <v>321</v>
      </c>
      <c r="F371" s="275" t="str">
        <f>VLOOKUP($AG$431,$AE$422:$AF$433,2)</f>
        <v>Dec</v>
      </c>
      <c r="G371" s="272">
        <f t="shared" ref="G371:G411" si="49">IF(ISTEXT(M$4),"",M370)</f>
        <v>0</v>
      </c>
      <c r="H371" s="272">
        <f t="shared" si="46"/>
        <v>0</v>
      </c>
      <c r="I371" s="272">
        <f t="shared" si="47"/>
        <v>0</v>
      </c>
      <c r="J371" s="272">
        <f t="shared" ref="J371:J411" si="50">+$H$6/12*$M370*-1</f>
        <v>0</v>
      </c>
      <c r="K371" s="272">
        <f>IF(ISTEXT($M$4),"",SUM(I$50:I371))</f>
        <v>0</v>
      </c>
      <c r="L371" s="272">
        <f>IF(ISTEXT($M$4),"",SUM(J$50:J371))</f>
        <v>0</v>
      </c>
      <c r="M371" s="271">
        <f t="shared" ref="M371:M411" si="51">+G371+I371</f>
        <v>0</v>
      </c>
      <c r="N371" s="291" t="e">
        <f>IF(C371='Operating Assumptions'!$C$48,"Construction Finish","")</f>
        <v>#N/A</v>
      </c>
      <c r="O371" s="291"/>
      <c r="P371" s="291"/>
      <c r="Q371" s="291"/>
      <c r="R371" s="291"/>
      <c r="S371" s="291"/>
      <c r="T371" s="280"/>
      <c r="Z371" s="279"/>
      <c r="AA371" s="279"/>
      <c r="AB371" s="279"/>
    </row>
    <row r="372" spans="2:28" s="278" customFormat="1" ht="13.5" hidden="1" outlineLevel="1" x14ac:dyDescent="0.25">
      <c r="B372" s="270" t="e">
        <f>IF(AND($C372&gt;='TIF Loan Amortization'!$H$480,$C372&lt;='TIF Loan Amortization'!$I$480),'TIF Loan Amortization'!$G$480,IF(AND($C372&gt;='TIF Loan Amortization'!$H$481,$C372&lt;='TIF Loan Amortization'!I$481),'TIF Loan Amortization'!$G$481,IF(AND($C372&gt;='TIF Loan Amortization'!$H$482,$C372&lt;='TIF Loan Amortization'!I$482),'TIF Loan Amortization'!$G$482,IF(AND($C372&gt;='TIF Loan Amortization'!$H$483,$C372&lt;='TIF Loan Amortization'!I$483),'TIF Loan Amortization'!$G$483,IF(AND($C372&gt;='TIF Loan Amortization'!$H$484,$C372&lt;='TIF Loan Amortization'!I$484),'TIF Loan Amortization'!$G$484,IF(AND($C372&gt;='TIF Loan Amortization'!$H$485,$C372&lt;='TIF Loan Amortization'!I$485),'TIF Loan Amortization'!$G$485,IF(AND($C372&gt;='TIF Loan Amortization'!$H$486,$C372&lt;='TIF Loan Amortization'!I$486),'TIF Loan Amortization'!$G$486,IF(AND($C372&gt;='TIF Loan Amortization'!$H$487,$C372&lt;='TIF Loan Amortization'!I$487),'TIF Loan Amortization'!$G$487,IF(AND($C372&gt;='TIF Loan Amortization'!$H$488,$C372&lt;='TIF Loan Amortization'!I$488),'TIF Loan Amortization'!$G$488,IF(AND($C372&gt;='TIF Loan Amortization'!$H$489,$C372&lt;='TIF Loan Amortization'!I$489),'TIF Loan Amortization'!$G$489,IF(AND($C372&gt;='TIF Loan Amortization'!$H$490,$C372&lt;='TIF Loan Amortization'!I$490),'TIF Loan Amortization'!$G$490,IF(AND($C372&gt;='TIF Loan Amortization'!$H$491,$C372&lt;='TIF Loan Amortization'!I$491),'TIF Loan Amortization'!$G$491,IF(AND($C372&gt;='TIF Loan Amortization'!$H$492,$C372&lt;='TIF Loan Amortization'!I$492),'TIF Loan Amortization'!$G$492,IF(AND($C372&gt;='TIF Loan Amortization'!$H$493,$C372&lt;='TIF Loan Amortization'!I$493),'TIF Loan Amortization'!$G$493,IF(AND($C372&gt;='TIF Loan Amortization'!$H$494,$C372&lt;='TIF Loan Amortization'!I$494),'TIF Loan Amortization'!$G$494,IF(AND($C372&gt;='TIF Loan Amortization'!$H$495,$C372&lt;='TIF Loan Amortization'!I$495),'TIF Loan Amortization'!$G$495,IF(AND($C372&gt;='TIF Loan Amortization'!$H$496,$C372&lt;='TIF Loan Amortization'!I$496),'TIF Loan Amortization'!$G$496,IF(AND($C372&gt;='TIF Loan Amortization'!$H$497,$C372&lt;='TIF Loan Amortization'!I$497),'TIF Loan Amortization'!$G$497,IF(AND($C372&gt;='TIF Loan Amortization'!$H$498,$C372&lt;='TIF Loan Amortization'!I$498),'TIF Loan Amortization'!$G$498,IF(AND($C372&gt;='TIF Loan Amortization'!$H$499,$C372&lt;='TIF Loan Amortization'!I$499),'TIF Loan Amortization'!$G$499,IF(AND($C372&gt;='TIF Loan Amortization'!$H$500,$C372&lt;='TIF Loan Amortization'!I$500),'TIF Loan Amortization'!$G$500,IF(AND($C372&gt;='TIF Loan Amortization'!$H$501,$C372&lt;='TIF Loan Amortization'!I$501),'TIF Loan Amortization'!$G$501,IF(AND($C372&gt;='TIF Loan Amortization'!$H$502,$C372&lt;='TIF Loan Amortization'!I$502),'TIF Loan Amortization'!$G$502,IF(AND($C372&gt;='TIF Loan Amortization'!$H$503,$C372&lt;='TIF Loan Amortization'!I$503),'TIF Loan Amortization'!$G$503,IF(AND($C372&gt;='TIF Loan Amortization'!$H$504,$C372&lt;='TIF Loan Amortization'!I$504),'TIF Loan Amortization'!$G$504,IF(AND($C372&gt;='TIF Loan Amortization'!$H$505,$C372&lt;='TIF Loan Amortization'!I$505),'TIF Loan Amortization'!$G$505,IF(AND($C372&gt;='TIF Loan Amortization'!$H$506,$C372&lt;='TIF Loan Amortization'!I$506),'TIF Loan Amortization'!$G$506,IF(AND($C372&gt;='TIF Loan Amortization'!$H$507,$C372&lt;='TIF Loan Amortization'!I$507),'TIF Loan Amortization'!$G$507,IF(AND($C372&gt;='TIF Loan Amortization'!$H$508,$C372&lt;='TIF Loan Amortization'!I$508),'TIF Loan Amortization'!$G$508,IF(AND($C372&gt;='TIF Loan Amortization'!$H$509,$C372&lt;='TIF Loan Amortization'!I$509),'TIF Loan Amortization'!$G$509,IF(AND($C372&gt;='TIF Loan Amortization'!$H$510,$C372&lt;='TIF Loan Amortization'!I$510),'TIF Loan Amortization'!$G$510,IF(AND($C372&gt;='TIF Loan Amortization'!$H$511,$C372&lt;='TIF Loan Amortization'!I$511),'TIF Loan Amortization'!$G$511,IF(AND($C372&gt;='TIF Loan Amortization'!$H$512,$C372&lt;='TIF Loan Amortization'!I$512),'TIF Loan Amortization'!$G$512,IF(AND($C372&gt;='TIF Loan Amortization'!$H$513,$C372&lt;='TIF Loan Amortization'!I$513),'TIF Loan Amortization'!$G$513,IF(AND($C372&gt;='TIF Loan Amortization'!$H$514,$C372&lt;='TIF Loan Amortization'!I$514),'TIF Loan Amortization'!$G$514,IF(AND($C372&gt;='TIF Loan Amortization'!$H$515,$C372&lt;='TIF Loan Amortization'!I$515),'TIF Loan Amortization'!$G$515,IF(AND($C372&gt;='TIF Loan Amortization'!$H$516,$C372&lt;='TIF Loan Amortization'!I$516),'TIF Loan Amortization'!$G$516,IF(AND($C372&gt;='TIF Loan Amortization'!$H$517,$C372&lt;='TIF Loan Amortization'!I$517),'TIF Loan Amortization'!$G$517,IF(AND($C372&gt;='TIF Loan Amortization'!$H$518,$C372&lt;='TIF Loan Amortization'!I$518),'TIF Loan Amortization'!$G$518,IF(AND($C372&gt;='TIF Loan Amortization'!$H$519,$C372&lt;='TIF Loan Amortization'!I$519),'TIF Loan Amortization'!$G$519))))))))))))))))))))))))))))))))))))))))</f>
        <v>#N/A</v>
      </c>
      <c r="C372" s="269" t="e">
        <f t="shared" si="48"/>
        <v>#N/A</v>
      </c>
      <c r="D372" s="277">
        <f>IF($AG$432=1,$H$10+27,"")</f>
        <v>2052</v>
      </c>
      <c r="E372" s="274">
        <v>322</v>
      </c>
      <c r="F372" s="273" t="str">
        <f>VLOOKUP($AG$432,$AE$422:$AF$433,2)</f>
        <v>Jan</v>
      </c>
      <c r="G372" s="272">
        <f t="shared" si="49"/>
        <v>0</v>
      </c>
      <c r="H372" s="272">
        <f t="shared" si="46"/>
        <v>0</v>
      </c>
      <c r="I372" s="272">
        <f t="shared" si="47"/>
        <v>0</v>
      </c>
      <c r="J372" s="272">
        <f t="shared" si="50"/>
        <v>0</v>
      </c>
      <c r="K372" s="272">
        <f>IF(ISTEXT($M$4),"",SUM(I$50:I372))</f>
        <v>0</v>
      </c>
      <c r="L372" s="272">
        <f>IF(ISTEXT($M$4),"",SUM(J$50:J372))</f>
        <v>0</v>
      </c>
      <c r="M372" s="271">
        <f t="shared" si="51"/>
        <v>0</v>
      </c>
      <c r="N372" s="291" t="e">
        <f>IF(C372='Operating Assumptions'!$C$48,"Construction Finish","")</f>
        <v>#N/A</v>
      </c>
      <c r="O372" s="291"/>
      <c r="P372" s="291"/>
      <c r="Q372" s="291"/>
      <c r="R372" s="291"/>
      <c r="S372" s="291"/>
      <c r="T372" s="280"/>
      <c r="Z372" s="279"/>
      <c r="AA372" s="279"/>
      <c r="AB372" s="279"/>
    </row>
    <row r="373" spans="2:28" s="278" customFormat="1" ht="13.5" hidden="1" outlineLevel="1" x14ac:dyDescent="0.25">
      <c r="B373" s="270" t="e">
        <f>IF(AND($C373&gt;='TIF Loan Amortization'!$H$480,$C373&lt;='TIF Loan Amortization'!$I$480),'TIF Loan Amortization'!$G$480,IF(AND($C373&gt;='TIF Loan Amortization'!$H$481,$C373&lt;='TIF Loan Amortization'!I$481),'TIF Loan Amortization'!$G$481,IF(AND($C373&gt;='TIF Loan Amortization'!$H$482,$C373&lt;='TIF Loan Amortization'!I$482),'TIF Loan Amortization'!$G$482,IF(AND($C373&gt;='TIF Loan Amortization'!$H$483,$C373&lt;='TIF Loan Amortization'!I$483),'TIF Loan Amortization'!$G$483,IF(AND($C373&gt;='TIF Loan Amortization'!$H$484,$C373&lt;='TIF Loan Amortization'!I$484),'TIF Loan Amortization'!$G$484,IF(AND($C373&gt;='TIF Loan Amortization'!$H$485,$C373&lt;='TIF Loan Amortization'!I$485),'TIF Loan Amortization'!$G$485,IF(AND($C373&gt;='TIF Loan Amortization'!$H$486,$C373&lt;='TIF Loan Amortization'!I$486),'TIF Loan Amortization'!$G$486,IF(AND($C373&gt;='TIF Loan Amortization'!$H$487,$C373&lt;='TIF Loan Amortization'!I$487),'TIF Loan Amortization'!$G$487,IF(AND($C373&gt;='TIF Loan Amortization'!$H$488,$C373&lt;='TIF Loan Amortization'!I$488),'TIF Loan Amortization'!$G$488,IF(AND($C373&gt;='TIF Loan Amortization'!$H$489,$C373&lt;='TIF Loan Amortization'!I$489),'TIF Loan Amortization'!$G$489,IF(AND($C373&gt;='TIF Loan Amortization'!$H$490,$C373&lt;='TIF Loan Amortization'!I$490),'TIF Loan Amortization'!$G$490,IF(AND($C373&gt;='TIF Loan Amortization'!$H$491,$C373&lt;='TIF Loan Amortization'!I$491),'TIF Loan Amortization'!$G$491,IF(AND($C373&gt;='TIF Loan Amortization'!$H$492,$C373&lt;='TIF Loan Amortization'!I$492),'TIF Loan Amortization'!$G$492,IF(AND($C373&gt;='TIF Loan Amortization'!$H$493,$C373&lt;='TIF Loan Amortization'!I$493),'TIF Loan Amortization'!$G$493,IF(AND($C373&gt;='TIF Loan Amortization'!$H$494,$C373&lt;='TIF Loan Amortization'!I$494),'TIF Loan Amortization'!$G$494,IF(AND($C373&gt;='TIF Loan Amortization'!$H$495,$C373&lt;='TIF Loan Amortization'!I$495),'TIF Loan Amortization'!$G$495,IF(AND($C373&gt;='TIF Loan Amortization'!$H$496,$C373&lt;='TIF Loan Amortization'!I$496),'TIF Loan Amortization'!$G$496,IF(AND($C373&gt;='TIF Loan Amortization'!$H$497,$C373&lt;='TIF Loan Amortization'!I$497),'TIF Loan Amortization'!$G$497,IF(AND($C373&gt;='TIF Loan Amortization'!$H$498,$C373&lt;='TIF Loan Amortization'!I$498),'TIF Loan Amortization'!$G$498,IF(AND($C373&gt;='TIF Loan Amortization'!$H$499,$C373&lt;='TIF Loan Amortization'!I$499),'TIF Loan Amortization'!$G$499,IF(AND($C373&gt;='TIF Loan Amortization'!$H$500,$C373&lt;='TIF Loan Amortization'!I$500),'TIF Loan Amortization'!$G$500,IF(AND($C373&gt;='TIF Loan Amortization'!$H$501,$C373&lt;='TIF Loan Amortization'!I$501),'TIF Loan Amortization'!$G$501,IF(AND($C373&gt;='TIF Loan Amortization'!$H$502,$C373&lt;='TIF Loan Amortization'!I$502),'TIF Loan Amortization'!$G$502,IF(AND($C373&gt;='TIF Loan Amortization'!$H$503,$C373&lt;='TIF Loan Amortization'!I$503),'TIF Loan Amortization'!$G$503,IF(AND($C373&gt;='TIF Loan Amortization'!$H$504,$C373&lt;='TIF Loan Amortization'!I$504),'TIF Loan Amortization'!$G$504,IF(AND($C373&gt;='TIF Loan Amortization'!$H$505,$C373&lt;='TIF Loan Amortization'!I$505),'TIF Loan Amortization'!$G$505,IF(AND($C373&gt;='TIF Loan Amortization'!$H$506,$C373&lt;='TIF Loan Amortization'!I$506),'TIF Loan Amortization'!$G$506,IF(AND($C373&gt;='TIF Loan Amortization'!$H$507,$C373&lt;='TIF Loan Amortization'!I$507),'TIF Loan Amortization'!$G$507,IF(AND($C373&gt;='TIF Loan Amortization'!$H$508,$C373&lt;='TIF Loan Amortization'!I$508),'TIF Loan Amortization'!$G$508,IF(AND($C373&gt;='TIF Loan Amortization'!$H$509,$C373&lt;='TIF Loan Amortization'!I$509),'TIF Loan Amortization'!$G$509,IF(AND($C373&gt;='TIF Loan Amortization'!$H$510,$C373&lt;='TIF Loan Amortization'!I$510),'TIF Loan Amortization'!$G$510,IF(AND($C373&gt;='TIF Loan Amortization'!$H$511,$C373&lt;='TIF Loan Amortization'!I$511),'TIF Loan Amortization'!$G$511,IF(AND($C373&gt;='TIF Loan Amortization'!$H$512,$C373&lt;='TIF Loan Amortization'!I$512),'TIF Loan Amortization'!$G$512,IF(AND($C373&gt;='TIF Loan Amortization'!$H$513,$C373&lt;='TIF Loan Amortization'!I$513),'TIF Loan Amortization'!$G$513,IF(AND($C373&gt;='TIF Loan Amortization'!$H$514,$C373&lt;='TIF Loan Amortization'!I$514),'TIF Loan Amortization'!$G$514,IF(AND($C373&gt;='TIF Loan Amortization'!$H$515,$C373&lt;='TIF Loan Amortization'!I$515),'TIF Loan Amortization'!$G$515,IF(AND($C373&gt;='TIF Loan Amortization'!$H$516,$C373&lt;='TIF Loan Amortization'!I$516),'TIF Loan Amortization'!$G$516,IF(AND($C373&gt;='TIF Loan Amortization'!$H$517,$C373&lt;='TIF Loan Amortization'!I$517),'TIF Loan Amortization'!$G$517,IF(AND($C373&gt;='TIF Loan Amortization'!$H$518,$C373&lt;='TIF Loan Amortization'!I$518),'TIF Loan Amortization'!$G$518,IF(AND($C373&gt;='TIF Loan Amortization'!$H$519,$C373&lt;='TIF Loan Amortization'!I$519),'TIF Loan Amortization'!$G$519))))))))))))))))))))))))))))))))))))))))</f>
        <v>#N/A</v>
      </c>
      <c r="C373" s="269" t="e">
        <f t="shared" si="48"/>
        <v>#N/A</v>
      </c>
      <c r="D373" s="277" t="str">
        <f>IF($AG$433=1,$H$10+27,"")</f>
        <v/>
      </c>
      <c r="E373" s="274">
        <v>323</v>
      </c>
      <c r="F373" s="273" t="str">
        <f>VLOOKUP($AG$433,$AE$422:$AF$433,2)</f>
        <v>Feb</v>
      </c>
      <c r="G373" s="272">
        <f t="shared" si="49"/>
        <v>0</v>
      </c>
      <c r="H373" s="272">
        <f t="shared" ref="H373:H411" si="52">IF(E373&gt;$G$7,0,IF(AND($G$9&gt;=0,E373&lt;=$H$9),0,IF(AND($G$8&gt;=0,E373&lt;=$H$8),J373,IF(AND($G$8&gt;=0,$G$9&gt;=0,E373&gt;$H$8,E373&gt;$H$9),PMT($H$6/12,IF($G$8&gt;=0,$G$7-$H$8),$H$4)))))</f>
        <v>0</v>
      </c>
      <c r="I373" s="272">
        <f t="shared" ref="I373:I411" si="53">IF(E373&gt;$G$7,0,IF(AND($G$9,E373&lt;=$H$9),0,+H373-J373))</f>
        <v>0</v>
      </c>
      <c r="J373" s="272">
        <f t="shared" si="50"/>
        <v>0</v>
      </c>
      <c r="K373" s="272">
        <f>IF(ISTEXT($M$4),"",SUM(I$50:I373))</f>
        <v>0</v>
      </c>
      <c r="L373" s="272">
        <f>IF(ISTEXT($M$4),"",SUM(J$50:J373))</f>
        <v>0</v>
      </c>
      <c r="M373" s="271">
        <f t="shared" si="51"/>
        <v>0</v>
      </c>
      <c r="N373" s="291" t="e">
        <f>IF(C373='Operating Assumptions'!$C$48,"Construction Finish","")</f>
        <v>#N/A</v>
      </c>
      <c r="O373" s="291"/>
      <c r="P373" s="291"/>
      <c r="Q373" s="291"/>
      <c r="R373" s="291"/>
      <c r="S373" s="291"/>
      <c r="T373" s="280"/>
      <c r="Z373" s="279"/>
      <c r="AA373" s="279"/>
      <c r="AB373" s="279"/>
    </row>
    <row r="374" spans="2:28" s="278" customFormat="1" ht="13.5" hidden="1" outlineLevel="1" x14ac:dyDescent="0.25">
      <c r="B374" s="270" t="e">
        <f>IF(AND($C374&gt;='TIF Loan Amortization'!$H$480,$C374&lt;='TIF Loan Amortization'!$I$480),'TIF Loan Amortization'!$G$480,IF(AND($C374&gt;='TIF Loan Amortization'!$H$481,$C374&lt;='TIF Loan Amortization'!I$481),'TIF Loan Amortization'!$G$481,IF(AND($C374&gt;='TIF Loan Amortization'!$H$482,$C374&lt;='TIF Loan Amortization'!I$482),'TIF Loan Amortization'!$G$482,IF(AND($C374&gt;='TIF Loan Amortization'!$H$483,$C374&lt;='TIF Loan Amortization'!I$483),'TIF Loan Amortization'!$G$483,IF(AND($C374&gt;='TIF Loan Amortization'!$H$484,$C374&lt;='TIF Loan Amortization'!I$484),'TIF Loan Amortization'!$G$484,IF(AND($C374&gt;='TIF Loan Amortization'!$H$485,$C374&lt;='TIF Loan Amortization'!I$485),'TIF Loan Amortization'!$G$485,IF(AND($C374&gt;='TIF Loan Amortization'!$H$486,$C374&lt;='TIF Loan Amortization'!I$486),'TIF Loan Amortization'!$G$486,IF(AND($C374&gt;='TIF Loan Amortization'!$H$487,$C374&lt;='TIF Loan Amortization'!I$487),'TIF Loan Amortization'!$G$487,IF(AND($C374&gt;='TIF Loan Amortization'!$H$488,$C374&lt;='TIF Loan Amortization'!I$488),'TIF Loan Amortization'!$G$488,IF(AND($C374&gt;='TIF Loan Amortization'!$H$489,$C374&lt;='TIF Loan Amortization'!I$489),'TIF Loan Amortization'!$G$489,IF(AND($C374&gt;='TIF Loan Amortization'!$H$490,$C374&lt;='TIF Loan Amortization'!I$490),'TIF Loan Amortization'!$G$490,IF(AND($C374&gt;='TIF Loan Amortization'!$H$491,$C374&lt;='TIF Loan Amortization'!I$491),'TIF Loan Amortization'!$G$491,IF(AND($C374&gt;='TIF Loan Amortization'!$H$492,$C374&lt;='TIF Loan Amortization'!I$492),'TIF Loan Amortization'!$G$492,IF(AND($C374&gt;='TIF Loan Amortization'!$H$493,$C374&lt;='TIF Loan Amortization'!I$493),'TIF Loan Amortization'!$G$493,IF(AND($C374&gt;='TIF Loan Amortization'!$H$494,$C374&lt;='TIF Loan Amortization'!I$494),'TIF Loan Amortization'!$G$494,IF(AND($C374&gt;='TIF Loan Amortization'!$H$495,$C374&lt;='TIF Loan Amortization'!I$495),'TIF Loan Amortization'!$G$495,IF(AND($C374&gt;='TIF Loan Amortization'!$H$496,$C374&lt;='TIF Loan Amortization'!I$496),'TIF Loan Amortization'!$G$496,IF(AND($C374&gt;='TIF Loan Amortization'!$H$497,$C374&lt;='TIF Loan Amortization'!I$497),'TIF Loan Amortization'!$G$497,IF(AND($C374&gt;='TIF Loan Amortization'!$H$498,$C374&lt;='TIF Loan Amortization'!I$498),'TIF Loan Amortization'!$G$498,IF(AND($C374&gt;='TIF Loan Amortization'!$H$499,$C374&lt;='TIF Loan Amortization'!I$499),'TIF Loan Amortization'!$G$499,IF(AND($C374&gt;='TIF Loan Amortization'!$H$500,$C374&lt;='TIF Loan Amortization'!I$500),'TIF Loan Amortization'!$G$500,IF(AND($C374&gt;='TIF Loan Amortization'!$H$501,$C374&lt;='TIF Loan Amortization'!I$501),'TIF Loan Amortization'!$G$501,IF(AND($C374&gt;='TIF Loan Amortization'!$H$502,$C374&lt;='TIF Loan Amortization'!I$502),'TIF Loan Amortization'!$G$502,IF(AND($C374&gt;='TIF Loan Amortization'!$H$503,$C374&lt;='TIF Loan Amortization'!I$503),'TIF Loan Amortization'!$G$503,IF(AND($C374&gt;='TIF Loan Amortization'!$H$504,$C374&lt;='TIF Loan Amortization'!I$504),'TIF Loan Amortization'!$G$504,IF(AND($C374&gt;='TIF Loan Amortization'!$H$505,$C374&lt;='TIF Loan Amortization'!I$505),'TIF Loan Amortization'!$G$505,IF(AND($C374&gt;='TIF Loan Amortization'!$H$506,$C374&lt;='TIF Loan Amortization'!I$506),'TIF Loan Amortization'!$G$506,IF(AND($C374&gt;='TIF Loan Amortization'!$H$507,$C374&lt;='TIF Loan Amortization'!I$507),'TIF Loan Amortization'!$G$507,IF(AND($C374&gt;='TIF Loan Amortization'!$H$508,$C374&lt;='TIF Loan Amortization'!I$508),'TIF Loan Amortization'!$G$508,IF(AND($C374&gt;='TIF Loan Amortization'!$H$509,$C374&lt;='TIF Loan Amortization'!I$509),'TIF Loan Amortization'!$G$509,IF(AND($C374&gt;='TIF Loan Amortization'!$H$510,$C374&lt;='TIF Loan Amortization'!I$510),'TIF Loan Amortization'!$G$510,IF(AND($C374&gt;='TIF Loan Amortization'!$H$511,$C374&lt;='TIF Loan Amortization'!I$511),'TIF Loan Amortization'!$G$511,IF(AND($C374&gt;='TIF Loan Amortization'!$H$512,$C374&lt;='TIF Loan Amortization'!I$512),'TIF Loan Amortization'!$G$512,IF(AND($C374&gt;='TIF Loan Amortization'!$H$513,$C374&lt;='TIF Loan Amortization'!I$513),'TIF Loan Amortization'!$G$513,IF(AND($C374&gt;='TIF Loan Amortization'!$H$514,$C374&lt;='TIF Loan Amortization'!I$514),'TIF Loan Amortization'!$G$514,IF(AND($C374&gt;='TIF Loan Amortization'!$H$515,$C374&lt;='TIF Loan Amortization'!I$515),'TIF Loan Amortization'!$G$515,IF(AND($C374&gt;='TIF Loan Amortization'!$H$516,$C374&lt;='TIF Loan Amortization'!I$516),'TIF Loan Amortization'!$G$516,IF(AND($C374&gt;='TIF Loan Amortization'!$H$517,$C374&lt;='TIF Loan Amortization'!I$517),'TIF Loan Amortization'!$G$517,IF(AND($C374&gt;='TIF Loan Amortization'!$H$518,$C374&lt;='TIF Loan Amortization'!I$518),'TIF Loan Amortization'!$G$518,IF(AND($C374&gt;='TIF Loan Amortization'!$H$519,$C374&lt;='TIF Loan Amortization'!I$519),'TIF Loan Amortization'!$G$519))))))))))))))))))))))))))))))))))))))))</f>
        <v>#N/A</v>
      </c>
      <c r="C374" s="269" t="e">
        <f t="shared" si="48"/>
        <v>#N/A</v>
      </c>
      <c r="D374" s="277" t="str">
        <f>IF($H$11="January",$H$10+27,IF($AG$422=1,$H$10+28,""))</f>
        <v/>
      </c>
      <c r="E374" s="274">
        <v>324</v>
      </c>
      <c r="F374" s="273" t="str">
        <f>VLOOKUP($AG$422,$AE$422:$AF$433,2)</f>
        <v>Mar</v>
      </c>
      <c r="G374" s="272">
        <f t="shared" si="49"/>
        <v>0</v>
      </c>
      <c r="H374" s="272">
        <f t="shared" si="52"/>
        <v>0</v>
      </c>
      <c r="I374" s="272">
        <f t="shared" si="53"/>
        <v>0</v>
      </c>
      <c r="J374" s="272">
        <f t="shared" si="50"/>
        <v>0</v>
      </c>
      <c r="K374" s="272">
        <f>IF(ISTEXT($M$4),"",SUM(I$50:I374))</f>
        <v>0</v>
      </c>
      <c r="L374" s="272">
        <f>IF(ISTEXT($M$4),"",SUM(J$50:J374))</f>
        <v>0</v>
      </c>
      <c r="M374" s="271">
        <f t="shared" si="51"/>
        <v>0</v>
      </c>
      <c r="N374" s="291" t="e">
        <f>IF(C374='Operating Assumptions'!$C$48,"Construction Finish","")</f>
        <v>#N/A</v>
      </c>
      <c r="O374" s="291"/>
      <c r="P374" s="291"/>
      <c r="Q374" s="291"/>
      <c r="R374" s="291"/>
      <c r="S374" s="291"/>
      <c r="T374" s="280"/>
      <c r="Z374" s="279"/>
      <c r="AA374" s="279"/>
      <c r="AB374" s="279"/>
    </row>
    <row r="375" spans="2:28" s="278" customFormat="1" ht="13.5" hidden="1" outlineLevel="1" x14ac:dyDescent="0.25">
      <c r="B375" s="270" t="e">
        <f>IF(AND($C375&gt;='TIF Loan Amortization'!$H$480,$C375&lt;='TIF Loan Amortization'!$I$480),'TIF Loan Amortization'!$G$480,IF(AND($C375&gt;='TIF Loan Amortization'!$H$481,$C375&lt;='TIF Loan Amortization'!I$481),'TIF Loan Amortization'!$G$481,IF(AND($C375&gt;='TIF Loan Amortization'!$H$482,$C375&lt;='TIF Loan Amortization'!I$482),'TIF Loan Amortization'!$G$482,IF(AND($C375&gt;='TIF Loan Amortization'!$H$483,$C375&lt;='TIF Loan Amortization'!I$483),'TIF Loan Amortization'!$G$483,IF(AND($C375&gt;='TIF Loan Amortization'!$H$484,$C375&lt;='TIF Loan Amortization'!I$484),'TIF Loan Amortization'!$G$484,IF(AND($C375&gt;='TIF Loan Amortization'!$H$485,$C375&lt;='TIF Loan Amortization'!I$485),'TIF Loan Amortization'!$G$485,IF(AND($C375&gt;='TIF Loan Amortization'!$H$486,$C375&lt;='TIF Loan Amortization'!I$486),'TIF Loan Amortization'!$G$486,IF(AND($C375&gt;='TIF Loan Amortization'!$H$487,$C375&lt;='TIF Loan Amortization'!I$487),'TIF Loan Amortization'!$G$487,IF(AND($C375&gt;='TIF Loan Amortization'!$H$488,$C375&lt;='TIF Loan Amortization'!I$488),'TIF Loan Amortization'!$G$488,IF(AND($C375&gt;='TIF Loan Amortization'!$H$489,$C375&lt;='TIF Loan Amortization'!I$489),'TIF Loan Amortization'!$G$489,IF(AND($C375&gt;='TIF Loan Amortization'!$H$490,$C375&lt;='TIF Loan Amortization'!I$490),'TIF Loan Amortization'!$G$490,IF(AND($C375&gt;='TIF Loan Amortization'!$H$491,$C375&lt;='TIF Loan Amortization'!I$491),'TIF Loan Amortization'!$G$491,IF(AND($C375&gt;='TIF Loan Amortization'!$H$492,$C375&lt;='TIF Loan Amortization'!I$492),'TIF Loan Amortization'!$G$492,IF(AND($C375&gt;='TIF Loan Amortization'!$H$493,$C375&lt;='TIF Loan Amortization'!I$493),'TIF Loan Amortization'!$G$493,IF(AND($C375&gt;='TIF Loan Amortization'!$H$494,$C375&lt;='TIF Loan Amortization'!I$494),'TIF Loan Amortization'!$G$494,IF(AND($C375&gt;='TIF Loan Amortization'!$H$495,$C375&lt;='TIF Loan Amortization'!I$495),'TIF Loan Amortization'!$G$495,IF(AND($C375&gt;='TIF Loan Amortization'!$H$496,$C375&lt;='TIF Loan Amortization'!I$496),'TIF Loan Amortization'!$G$496,IF(AND($C375&gt;='TIF Loan Amortization'!$H$497,$C375&lt;='TIF Loan Amortization'!I$497),'TIF Loan Amortization'!$G$497,IF(AND($C375&gt;='TIF Loan Amortization'!$H$498,$C375&lt;='TIF Loan Amortization'!I$498),'TIF Loan Amortization'!$G$498,IF(AND($C375&gt;='TIF Loan Amortization'!$H$499,$C375&lt;='TIF Loan Amortization'!I$499),'TIF Loan Amortization'!$G$499,IF(AND($C375&gt;='TIF Loan Amortization'!$H$500,$C375&lt;='TIF Loan Amortization'!I$500),'TIF Loan Amortization'!$G$500,IF(AND($C375&gt;='TIF Loan Amortization'!$H$501,$C375&lt;='TIF Loan Amortization'!I$501),'TIF Loan Amortization'!$G$501,IF(AND($C375&gt;='TIF Loan Amortization'!$H$502,$C375&lt;='TIF Loan Amortization'!I$502),'TIF Loan Amortization'!$G$502,IF(AND($C375&gt;='TIF Loan Amortization'!$H$503,$C375&lt;='TIF Loan Amortization'!I$503),'TIF Loan Amortization'!$G$503,IF(AND($C375&gt;='TIF Loan Amortization'!$H$504,$C375&lt;='TIF Loan Amortization'!I$504),'TIF Loan Amortization'!$G$504,IF(AND($C375&gt;='TIF Loan Amortization'!$H$505,$C375&lt;='TIF Loan Amortization'!I$505),'TIF Loan Amortization'!$G$505,IF(AND($C375&gt;='TIF Loan Amortization'!$H$506,$C375&lt;='TIF Loan Amortization'!I$506),'TIF Loan Amortization'!$G$506,IF(AND($C375&gt;='TIF Loan Amortization'!$H$507,$C375&lt;='TIF Loan Amortization'!I$507),'TIF Loan Amortization'!$G$507,IF(AND($C375&gt;='TIF Loan Amortization'!$H$508,$C375&lt;='TIF Loan Amortization'!I$508),'TIF Loan Amortization'!$G$508,IF(AND($C375&gt;='TIF Loan Amortization'!$H$509,$C375&lt;='TIF Loan Amortization'!I$509),'TIF Loan Amortization'!$G$509,IF(AND($C375&gt;='TIF Loan Amortization'!$H$510,$C375&lt;='TIF Loan Amortization'!I$510),'TIF Loan Amortization'!$G$510,IF(AND($C375&gt;='TIF Loan Amortization'!$H$511,$C375&lt;='TIF Loan Amortization'!I$511),'TIF Loan Amortization'!$G$511,IF(AND($C375&gt;='TIF Loan Amortization'!$H$512,$C375&lt;='TIF Loan Amortization'!I$512),'TIF Loan Amortization'!$G$512,IF(AND($C375&gt;='TIF Loan Amortization'!$H$513,$C375&lt;='TIF Loan Amortization'!I$513),'TIF Loan Amortization'!$G$513,IF(AND($C375&gt;='TIF Loan Amortization'!$H$514,$C375&lt;='TIF Loan Amortization'!I$514),'TIF Loan Amortization'!$G$514,IF(AND($C375&gt;='TIF Loan Amortization'!$H$515,$C375&lt;='TIF Loan Amortization'!I$515),'TIF Loan Amortization'!$G$515,IF(AND($C375&gt;='TIF Loan Amortization'!$H$516,$C375&lt;='TIF Loan Amortization'!I$516),'TIF Loan Amortization'!$G$516,IF(AND($C375&gt;='TIF Loan Amortization'!$H$517,$C375&lt;='TIF Loan Amortization'!I$517),'TIF Loan Amortization'!$G$517,IF(AND($C375&gt;='TIF Loan Amortization'!$H$518,$C375&lt;='TIF Loan Amortization'!I$518),'TIF Loan Amortization'!$G$518,IF(AND($C375&gt;='TIF Loan Amortization'!$H$519,$C375&lt;='TIF Loan Amortization'!I$519),'TIF Loan Amortization'!$G$519))))))))))))))))))))))))))))))))))))))))</f>
        <v>#N/A</v>
      </c>
      <c r="C375" s="269" t="e">
        <f t="shared" si="48"/>
        <v>#N/A</v>
      </c>
      <c r="D375" s="277" t="str">
        <f>IF($AG$423=1,$H$10+28,"")</f>
        <v/>
      </c>
      <c r="E375" s="274">
        <v>325</v>
      </c>
      <c r="F375" s="275" t="str">
        <f>VLOOKUP($AG$423,$AE$422:$AF$433,2)</f>
        <v>Apr</v>
      </c>
      <c r="G375" s="272">
        <f t="shared" si="49"/>
        <v>0</v>
      </c>
      <c r="H375" s="272">
        <f t="shared" si="52"/>
        <v>0</v>
      </c>
      <c r="I375" s="272">
        <f t="shared" si="53"/>
        <v>0</v>
      </c>
      <c r="J375" s="272">
        <f t="shared" si="50"/>
        <v>0</v>
      </c>
      <c r="K375" s="272">
        <f>IF(ISTEXT($M$4),"",SUM(I$50:I375))</f>
        <v>0</v>
      </c>
      <c r="L375" s="272">
        <f>IF(ISTEXT($M$4),"",SUM(J$50:J375))</f>
        <v>0</v>
      </c>
      <c r="M375" s="271">
        <f t="shared" si="51"/>
        <v>0</v>
      </c>
      <c r="N375" s="291" t="e">
        <f>IF(C375='Operating Assumptions'!$C$48,"Construction Finish","")</f>
        <v>#N/A</v>
      </c>
      <c r="O375" s="291"/>
      <c r="P375" s="291"/>
      <c r="Q375" s="291"/>
      <c r="R375" s="291"/>
      <c r="S375" s="291"/>
      <c r="T375" s="280"/>
      <c r="Z375" s="279"/>
      <c r="AA375" s="279"/>
      <c r="AB375" s="279"/>
    </row>
    <row r="376" spans="2:28" s="278" customFormat="1" ht="13.5" hidden="1" outlineLevel="1" x14ac:dyDescent="0.25">
      <c r="B376" s="270" t="e">
        <f>IF(AND($C376&gt;='TIF Loan Amortization'!$H$480,$C376&lt;='TIF Loan Amortization'!$I$480),'TIF Loan Amortization'!$G$480,IF(AND($C376&gt;='TIF Loan Amortization'!$H$481,$C376&lt;='TIF Loan Amortization'!I$481),'TIF Loan Amortization'!$G$481,IF(AND($C376&gt;='TIF Loan Amortization'!$H$482,$C376&lt;='TIF Loan Amortization'!I$482),'TIF Loan Amortization'!$G$482,IF(AND($C376&gt;='TIF Loan Amortization'!$H$483,$C376&lt;='TIF Loan Amortization'!I$483),'TIF Loan Amortization'!$G$483,IF(AND($C376&gt;='TIF Loan Amortization'!$H$484,$C376&lt;='TIF Loan Amortization'!I$484),'TIF Loan Amortization'!$G$484,IF(AND($C376&gt;='TIF Loan Amortization'!$H$485,$C376&lt;='TIF Loan Amortization'!I$485),'TIF Loan Amortization'!$G$485,IF(AND($C376&gt;='TIF Loan Amortization'!$H$486,$C376&lt;='TIF Loan Amortization'!I$486),'TIF Loan Amortization'!$G$486,IF(AND($C376&gt;='TIF Loan Amortization'!$H$487,$C376&lt;='TIF Loan Amortization'!I$487),'TIF Loan Amortization'!$G$487,IF(AND($C376&gt;='TIF Loan Amortization'!$H$488,$C376&lt;='TIF Loan Amortization'!I$488),'TIF Loan Amortization'!$G$488,IF(AND($C376&gt;='TIF Loan Amortization'!$H$489,$C376&lt;='TIF Loan Amortization'!I$489),'TIF Loan Amortization'!$G$489,IF(AND($C376&gt;='TIF Loan Amortization'!$H$490,$C376&lt;='TIF Loan Amortization'!I$490),'TIF Loan Amortization'!$G$490,IF(AND($C376&gt;='TIF Loan Amortization'!$H$491,$C376&lt;='TIF Loan Amortization'!I$491),'TIF Loan Amortization'!$G$491,IF(AND($C376&gt;='TIF Loan Amortization'!$H$492,$C376&lt;='TIF Loan Amortization'!I$492),'TIF Loan Amortization'!$G$492,IF(AND($C376&gt;='TIF Loan Amortization'!$H$493,$C376&lt;='TIF Loan Amortization'!I$493),'TIF Loan Amortization'!$G$493,IF(AND($C376&gt;='TIF Loan Amortization'!$H$494,$C376&lt;='TIF Loan Amortization'!I$494),'TIF Loan Amortization'!$G$494,IF(AND($C376&gt;='TIF Loan Amortization'!$H$495,$C376&lt;='TIF Loan Amortization'!I$495),'TIF Loan Amortization'!$G$495,IF(AND($C376&gt;='TIF Loan Amortization'!$H$496,$C376&lt;='TIF Loan Amortization'!I$496),'TIF Loan Amortization'!$G$496,IF(AND($C376&gt;='TIF Loan Amortization'!$H$497,$C376&lt;='TIF Loan Amortization'!I$497),'TIF Loan Amortization'!$G$497,IF(AND($C376&gt;='TIF Loan Amortization'!$H$498,$C376&lt;='TIF Loan Amortization'!I$498),'TIF Loan Amortization'!$G$498,IF(AND($C376&gt;='TIF Loan Amortization'!$H$499,$C376&lt;='TIF Loan Amortization'!I$499),'TIF Loan Amortization'!$G$499,IF(AND($C376&gt;='TIF Loan Amortization'!$H$500,$C376&lt;='TIF Loan Amortization'!I$500),'TIF Loan Amortization'!$G$500,IF(AND($C376&gt;='TIF Loan Amortization'!$H$501,$C376&lt;='TIF Loan Amortization'!I$501),'TIF Loan Amortization'!$G$501,IF(AND($C376&gt;='TIF Loan Amortization'!$H$502,$C376&lt;='TIF Loan Amortization'!I$502),'TIF Loan Amortization'!$G$502,IF(AND($C376&gt;='TIF Loan Amortization'!$H$503,$C376&lt;='TIF Loan Amortization'!I$503),'TIF Loan Amortization'!$G$503,IF(AND($C376&gt;='TIF Loan Amortization'!$H$504,$C376&lt;='TIF Loan Amortization'!I$504),'TIF Loan Amortization'!$G$504,IF(AND($C376&gt;='TIF Loan Amortization'!$H$505,$C376&lt;='TIF Loan Amortization'!I$505),'TIF Loan Amortization'!$G$505,IF(AND($C376&gt;='TIF Loan Amortization'!$H$506,$C376&lt;='TIF Loan Amortization'!I$506),'TIF Loan Amortization'!$G$506,IF(AND($C376&gt;='TIF Loan Amortization'!$H$507,$C376&lt;='TIF Loan Amortization'!I$507),'TIF Loan Amortization'!$G$507,IF(AND($C376&gt;='TIF Loan Amortization'!$H$508,$C376&lt;='TIF Loan Amortization'!I$508),'TIF Loan Amortization'!$G$508,IF(AND($C376&gt;='TIF Loan Amortization'!$H$509,$C376&lt;='TIF Loan Amortization'!I$509),'TIF Loan Amortization'!$G$509,IF(AND($C376&gt;='TIF Loan Amortization'!$H$510,$C376&lt;='TIF Loan Amortization'!I$510),'TIF Loan Amortization'!$G$510,IF(AND($C376&gt;='TIF Loan Amortization'!$H$511,$C376&lt;='TIF Loan Amortization'!I$511),'TIF Loan Amortization'!$G$511,IF(AND($C376&gt;='TIF Loan Amortization'!$H$512,$C376&lt;='TIF Loan Amortization'!I$512),'TIF Loan Amortization'!$G$512,IF(AND($C376&gt;='TIF Loan Amortization'!$H$513,$C376&lt;='TIF Loan Amortization'!I$513),'TIF Loan Amortization'!$G$513,IF(AND($C376&gt;='TIF Loan Amortization'!$H$514,$C376&lt;='TIF Loan Amortization'!I$514),'TIF Loan Amortization'!$G$514,IF(AND($C376&gt;='TIF Loan Amortization'!$H$515,$C376&lt;='TIF Loan Amortization'!I$515),'TIF Loan Amortization'!$G$515,IF(AND($C376&gt;='TIF Loan Amortization'!$H$516,$C376&lt;='TIF Loan Amortization'!I$516),'TIF Loan Amortization'!$G$516,IF(AND($C376&gt;='TIF Loan Amortization'!$H$517,$C376&lt;='TIF Loan Amortization'!I$517),'TIF Loan Amortization'!$G$517,IF(AND($C376&gt;='TIF Loan Amortization'!$H$518,$C376&lt;='TIF Loan Amortization'!I$518),'TIF Loan Amortization'!$G$518,IF(AND($C376&gt;='TIF Loan Amortization'!$H$519,$C376&lt;='TIF Loan Amortization'!I$519),'TIF Loan Amortization'!$G$519))))))))))))))))))))))))))))))))))))))))</f>
        <v>#N/A</v>
      </c>
      <c r="C376" s="269" t="e">
        <f t="shared" si="48"/>
        <v>#N/A</v>
      </c>
      <c r="D376" s="277" t="str">
        <f>IF($AG$424=1,$H$10+28,"")</f>
        <v/>
      </c>
      <c r="E376" s="274">
        <v>326</v>
      </c>
      <c r="F376" s="275" t="str">
        <f>VLOOKUP($AG$424,$AE$422:$AF$433,2)</f>
        <v>May</v>
      </c>
      <c r="G376" s="272">
        <f t="shared" si="49"/>
        <v>0</v>
      </c>
      <c r="H376" s="272">
        <f t="shared" si="52"/>
        <v>0</v>
      </c>
      <c r="I376" s="272">
        <f t="shared" si="53"/>
        <v>0</v>
      </c>
      <c r="J376" s="272">
        <f t="shared" si="50"/>
        <v>0</v>
      </c>
      <c r="K376" s="272">
        <f>IF(ISTEXT($M$4),"",SUM(I$50:I376))</f>
        <v>0</v>
      </c>
      <c r="L376" s="272">
        <f>IF(ISTEXT($M$4),"",SUM(J$50:J376))</f>
        <v>0</v>
      </c>
      <c r="M376" s="271">
        <f t="shared" si="51"/>
        <v>0</v>
      </c>
      <c r="N376" s="291" t="e">
        <f>IF(C376='Operating Assumptions'!$C$48,"Construction Finish","")</f>
        <v>#N/A</v>
      </c>
      <c r="O376" s="291"/>
      <c r="P376" s="291"/>
      <c r="Q376" s="291"/>
      <c r="R376" s="291"/>
      <c r="S376" s="291"/>
      <c r="T376" s="280"/>
      <c r="Z376" s="279"/>
      <c r="AA376" s="279"/>
      <c r="AB376" s="279"/>
    </row>
    <row r="377" spans="2:28" s="278" customFormat="1" ht="13.5" hidden="1" outlineLevel="1" x14ac:dyDescent="0.25">
      <c r="B377" s="270" t="e">
        <f>IF(AND($C377&gt;='TIF Loan Amortization'!$H$480,$C377&lt;='TIF Loan Amortization'!$I$480),'TIF Loan Amortization'!$G$480,IF(AND($C377&gt;='TIF Loan Amortization'!$H$481,$C377&lt;='TIF Loan Amortization'!I$481),'TIF Loan Amortization'!$G$481,IF(AND($C377&gt;='TIF Loan Amortization'!$H$482,$C377&lt;='TIF Loan Amortization'!I$482),'TIF Loan Amortization'!$G$482,IF(AND($C377&gt;='TIF Loan Amortization'!$H$483,$C377&lt;='TIF Loan Amortization'!I$483),'TIF Loan Amortization'!$G$483,IF(AND($C377&gt;='TIF Loan Amortization'!$H$484,$C377&lt;='TIF Loan Amortization'!I$484),'TIF Loan Amortization'!$G$484,IF(AND($C377&gt;='TIF Loan Amortization'!$H$485,$C377&lt;='TIF Loan Amortization'!I$485),'TIF Loan Amortization'!$G$485,IF(AND($C377&gt;='TIF Loan Amortization'!$H$486,$C377&lt;='TIF Loan Amortization'!I$486),'TIF Loan Amortization'!$G$486,IF(AND($C377&gt;='TIF Loan Amortization'!$H$487,$C377&lt;='TIF Loan Amortization'!I$487),'TIF Loan Amortization'!$G$487,IF(AND($C377&gt;='TIF Loan Amortization'!$H$488,$C377&lt;='TIF Loan Amortization'!I$488),'TIF Loan Amortization'!$G$488,IF(AND($C377&gt;='TIF Loan Amortization'!$H$489,$C377&lt;='TIF Loan Amortization'!I$489),'TIF Loan Amortization'!$G$489,IF(AND($C377&gt;='TIF Loan Amortization'!$H$490,$C377&lt;='TIF Loan Amortization'!I$490),'TIF Loan Amortization'!$G$490,IF(AND($C377&gt;='TIF Loan Amortization'!$H$491,$C377&lt;='TIF Loan Amortization'!I$491),'TIF Loan Amortization'!$G$491,IF(AND($C377&gt;='TIF Loan Amortization'!$H$492,$C377&lt;='TIF Loan Amortization'!I$492),'TIF Loan Amortization'!$G$492,IF(AND($C377&gt;='TIF Loan Amortization'!$H$493,$C377&lt;='TIF Loan Amortization'!I$493),'TIF Loan Amortization'!$G$493,IF(AND($C377&gt;='TIF Loan Amortization'!$H$494,$C377&lt;='TIF Loan Amortization'!I$494),'TIF Loan Amortization'!$G$494,IF(AND($C377&gt;='TIF Loan Amortization'!$H$495,$C377&lt;='TIF Loan Amortization'!I$495),'TIF Loan Amortization'!$G$495,IF(AND($C377&gt;='TIF Loan Amortization'!$H$496,$C377&lt;='TIF Loan Amortization'!I$496),'TIF Loan Amortization'!$G$496,IF(AND($C377&gt;='TIF Loan Amortization'!$H$497,$C377&lt;='TIF Loan Amortization'!I$497),'TIF Loan Amortization'!$G$497,IF(AND($C377&gt;='TIF Loan Amortization'!$H$498,$C377&lt;='TIF Loan Amortization'!I$498),'TIF Loan Amortization'!$G$498,IF(AND($C377&gt;='TIF Loan Amortization'!$H$499,$C377&lt;='TIF Loan Amortization'!I$499),'TIF Loan Amortization'!$G$499,IF(AND($C377&gt;='TIF Loan Amortization'!$H$500,$C377&lt;='TIF Loan Amortization'!I$500),'TIF Loan Amortization'!$G$500,IF(AND($C377&gt;='TIF Loan Amortization'!$H$501,$C377&lt;='TIF Loan Amortization'!I$501),'TIF Loan Amortization'!$G$501,IF(AND($C377&gt;='TIF Loan Amortization'!$H$502,$C377&lt;='TIF Loan Amortization'!I$502),'TIF Loan Amortization'!$G$502,IF(AND($C377&gt;='TIF Loan Amortization'!$H$503,$C377&lt;='TIF Loan Amortization'!I$503),'TIF Loan Amortization'!$G$503,IF(AND($C377&gt;='TIF Loan Amortization'!$H$504,$C377&lt;='TIF Loan Amortization'!I$504),'TIF Loan Amortization'!$G$504,IF(AND($C377&gt;='TIF Loan Amortization'!$H$505,$C377&lt;='TIF Loan Amortization'!I$505),'TIF Loan Amortization'!$G$505,IF(AND($C377&gt;='TIF Loan Amortization'!$H$506,$C377&lt;='TIF Loan Amortization'!I$506),'TIF Loan Amortization'!$G$506,IF(AND($C377&gt;='TIF Loan Amortization'!$H$507,$C377&lt;='TIF Loan Amortization'!I$507),'TIF Loan Amortization'!$G$507,IF(AND($C377&gt;='TIF Loan Amortization'!$H$508,$C377&lt;='TIF Loan Amortization'!I$508),'TIF Loan Amortization'!$G$508,IF(AND($C377&gt;='TIF Loan Amortization'!$H$509,$C377&lt;='TIF Loan Amortization'!I$509),'TIF Loan Amortization'!$G$509,IF(AND($C377&gt;='TIF Loan Amortization'!$H$510,$C377&lt;='TIF Loan Amortization'!I$510),'TIF Loan Amortization'!$G$510,IF(AND($C377&gt;='TIF Loan Amortization'!$H$511,$C377&lt;='TIF Loan Amortization'!I$511),'TIF Loan Amortization'!$G$511,IF(AND($C377&gt;='TIF Loan Amortization'!$H$512,$C377&lt;='TIF Loan Amortization'!I$512),'TIF Loan Amortization'!$G$512,IF(AND($C377&gt;='TIF Loan Amortization'!$H$513,$C377&lt;='TIF Loan Amortization'!I$513),'TIF Loan Amortization'!$G$513,IF(AND($C377&gt;='TIF Loan Amortization'!$H$514,$C377&lt;='TIF Loan Amortization'!I$514),'TIF Loan Amortization'!$G$514,IF(AND($C377&gt;='TIF Loan Amortization'!$H$515,$C377&lt;='TIF Loan Amortization'!I$515),'TIF Loan Amortization'!$G$515,IF(AND($C377&gt;='TIF Loan Amortization'!$H$516,$C377&lt;='TIF Loan Amortization'!I$516),'TIF Loan Amortization'!$G$516,IF(AND($C377&gt;='TIF Loan Amortization'!$H$517,$C377&lt;='TIF Loan Amortization'!I$517),'TIF Loan Amortization'!$G$517,IF(AND($C377&gt;='TIF Loan Amortization'!$H$518,$C377&lt;='TIF Loan Amortization'!I$518),'TIF Loan Amortization'!$G$518,IF(AND($C377&gt;='TIF Loan Amortization'!$H$519,$C377&lt;='TIF Loan Amortization'!I$519),'TIF Loan Amortization'!$G$519))))))))))))))))))))))))))))))))))))))))</f>
        <v>#N/A</v>
      </c>
      <c r="C377" s="269" t="e">
        <f t="shared" si="48"/>
        <v>#N/A</v>
      </c>
      <c r="D377" s="277" t="str">
        <f>IF($AG$425=1,$H$10+28,"")</f>
        <v/>
      </c>
      <c r="E377" s="274">
        <v>327</v>
      </c>
      <c r="F377" s="275" t="str">
        <f>VLOOKUP($AG$425,$AE$422:$AF$433,2)</f>
        <v>Jun</v>
      </c>
      <c r="G377" s="272">
        <f t="shared" si="49"/>
        <v>0</v>
      </c>
      <c r="H377" s="272">
        <f t="shared" si="52"/>
        <v>0</v>
      </c>
      <c r="I377" s="272">
        <f t="shared" si="53"/>
        <v>0</v>
      </c>
      <c r="J377" s="272">
        <f t="shared" si="50"/>
        <v>0</v>
      </c>
      <c r="K377" s="272">
        <f>IF(ISTEXT($M$4),"",SUM(I$50:I377))</f>
        <v>0</v>
      </c>
      <c r="L377" s="272">
        <f>IF(ISTEXT($M$4),"",SUM(J$50:J377))</f>
        <v>0</v>
      </c>
      <c r="M377" s="271">
        <f t="shared" si="51"/>
        <v>0</v>
      </c>
      <c r="N377" s="291" t="e">
        <f>IF(C377='Operating Assumptions'!$C$48,"Construction Finish","")</f>
        <v>#N/A</v>
      </c>
      <c r="O377" s="291"/>
      <c r="P377" s="291"/>
      <c r="Q377" s="291"/>
      <c r="R377" s="291"/>
      <c r="S377" s="291"/>
      <c r="T377" s="280"/>
      <c r="Z377" s="279"/>
      <c r="AA377" s="279"/>
      <c r="AB377" s="279"/>
    </row>
    <row r="378" spans="2:28" s="278" customFormat="1" ht="13.5" hidden="1" outlineLevel="1" x14ac:dyDescent="0.25">
      <c r="B378" s="270" t="e">
        <f>IF(AND($C378&gt;='TIF Loan Amortization'!$H$480,$C378&lt;='TIF Loan Amortization'!$I$480),'TIF Loan Amortization'!$G$480,IF(AND($C378&gt;='TIF Loan Amortization'!$H$481,$C378&lt;='TIF Loan Amortization'!I$481),'TIF Loan Amortization'!$G$481,IF(AND($C378&gt;='TIF Loan Amortization'!$H$482,$C378&lt;='TIF Loan Amortization'!I$482),'TIF Loan Amortization'!$G$482,IF(AND($C378&gt;='TIF Loan Amortization'!$H$483,$C378&lt;='TIF Loan Amortization'!I$483),'TIF Loan Amortization'!$G$483,IF(AND($C378&gt;='TIF Loan Amortization'!$H$484,$C378&lt;='TIF Loan Amortization'!I$484),'TIF Loan Amortization'!$G$484,IF(AND($C378&gt;='TIF Loan Amortization'!$H$485,$C378&lt;='TIF Loan Amortization'!I$485),'TIF Loan Amortization'!$G$485,IF(AND($C378&gt;='TIF Loan Amortization'!$H$486,$C378&lt;='TIF Loan Amortization'!I$486),'TIF Loan Amortization'!$G$486,IF(AND($C378&gt;='TIF Loan Amortization'!$H$487,$C378&lt;='TIF Loan Amortization'!I$487),'TIF Loan Amortization'!$G$487,IF(AND($C378&gt;='TIF Loan Amortization'!$H$488,$C378&lt;='TIF Loan Amortization'!I$488),'TIF Loan Amortization'!$G$488,IF(AND($C378&gt;='TIF Loan Amortization'!$H$489,$C378&lt;='TIF Loan Amortization'!I$489),'TIF Loan Amortization'!$G$489,IF(AND($C378&gt;='TIF Loan Amortization'!$H$490,$C378&lt;='TIF Loan Amortization'!I$490),'TIF Loan Amortization'!$G$490,IF(AND($C378&gt;='TIF Loan Amortization'!$H$491,$C378&lt;='TIF Loan Amortization'!I$491),'TIF Loan Amortization'!$G$491,IF(AND($C378&gt;='TIF Loan Amortization'!$H$492,$C378&lt;='TIF Loan Amortization'!I$492),'TIF Loan Amortization'!$G$492,IF(AND($C378&gt;='TIF Loan Amortization'!$H$493,$C378&lt;='TIF Loan Amortization'!I$493),'TIF Loan Amortization'!$G$493,IF(AND($C378&gt;='TIF Loan Amortization'!$H$494,$C378&lt;='TIF Loan Amortization'!I$494),'TIF Loan Amortization'!$G$494,IF(AND($C378&gt;='TIF Loan Amortization'!$H$495,$C378&lt;='TIF Loan Amortization'!I$495),'TIF Loan Amortization'!$G$495,IF(AND($C378&gt;='TIF Loan Amortization'!$H$496,$C378&lt;='TIF Loan Amortization'!I$496),'TIF Loan Amortization'!$G$496,IF(AND($C378&gt;='TIF Loan Amortization'!$H$497,$C378&lt;='TIF Loan Amortization'!I$497),'TIF Loan Amortization'!$G$497,IF(AND($C378&gt;='TIF Loan Amortization'!$H$498,$C378&lt;='TIF Loan Amortization'!I$498),'TIF Loan Amortization'!$G$498,IF(AND($C378&gt;='TIF Loan Amortization'!$H$499,$C378&lt;='TIF Loan Amortization'!I$499),'TIF Loan Amortization'!$G$499,IF(AND($C378&gt;='TIF Loan Amortization'!$H$500,$C378&lt;='TIF Loan Amortization'!I$500),'TIF Loan Amortization'!$G$500,IF(AND($C378&gt;='TIF Loan Amortization'!$H$501,$C378&lt;='TIF Loan Amortization'!I$501),'TIF Loan Amortization'!$G$501,IF(AND($C378&gt;='TIF Loan Amortization'!$H$502,$C378&lt;='TIF Loan Amortization'!I$502),'TIF Loan Amortization'!$G$502,IF(AND($C378&gt;='TIF Loan Amortization'!$H$503,$C378&lt;='TIF Loan Amortization'!I$503),'TIF Loan Amortization'!$G$503,IF(AND($C378&gt;='TIF Loan Amortization'!$H$504,$C378&lt;='TIF Loan Amortization'!I$504),'TIF Loan Amortization'!$G$504,IF(AND($C378&gt;='TIF Loan Amortization'!$H$505,$C378&lt;='TIF Loan Amortization'!I$505),'TIF Loan Amortization'!$G$505,IF(AND($C378&gt;='TIF Loan Amortization'!$H$506,$C378&lt;='TIF Loan Amortization'!I$506),'TIF Loan Amortization'!$G$506,IF(AND($C378&gt;='TIF Loan Amortization'!$H$507,$C378&lt;='TIF Loan Amortization'!I$507),'TIF Loan Amortization'!$G$507,IF(AND($C378&gt;='TIF Loan Amortization'!$H$508,$C378&lt;='TIF Loan Amortization'!I$508),'TIF Loan Amortization'!$G$508,IF(AND($C378&gt;='TIF Loan Amortization'!$H$509,$C378&lt;='TIF Loan Amortization'!I$509),'TIF Loan Amortization'!$G$509,IF(AND($C378&gt;='TIF Loan Amortization'!$H$510,$C378&lt;='TIF Loan Amortization'!I$510),'TIF Loan Amortization'!$G$510,IF(AND($C378&gt;='TIF Loan Amortization'!$H$511,$C378&lt;='TIF Loan Amortization'!I$511),'TIF Loan Amortization'!$G$511,IF(AND($C378&gt;='TIF Loan Amortization'!$H$512,$C378&lt;='TIF Loan Amortization'!I$512),'TIF Loan Amortization'!$G$512,IF(AND($C378&gt;='TIF Loan Amortization'!$H$513,$C378&lt;='TIF Loan Amortization'!I$513),'TIF Loan Amortization'!$G$513,IF(AND($C378&gt;='TIF Loan Amortization'!$H$514,$C378&lt;='TIF Loan Amortization'!I$514),'TIF Loan Amortization'!$G$514,IF(AND($C378&gt;='TIF Loan Amortization'!$H$515,$C378&lt;='TIF Loan Amortization'!I$515),'TIF Loan Amortization'!$G$515,IF(AND($C378&gt;='TIF Loan Amortization'!$H$516,$C378&lt;='TIF Loan Amortization'!I$516),'TIF Loan Amortization'!$G$516,IF(AND($C378&gt;='TIF Loan Amortization'!$H$517,$C378&lt;='TIF Loan Amortization'!I$517),'TIF Loan Amortization'!$G$517,IF(AND($C378&gt;='TIF Loan Amortization'!$H$518,$C378&lt;='TIF Loan Amortization'!I$518),'TIF Loan Amortization'!$G$518,IF(AND($C378&gt;='TIF Loan Amortization'!$H$519,$C378&lt;='TIF Loan Amortization'!I$519),'TIF Loan Amortization'!$G$519))))))))))))))))))))))))))))))))))))))))</f>
        <v>#N/A</v>
      </c>
      <c r="C378" s="269" t="e">
        <f t="shared" si="48"/>
        <v>#N/A</v>
      </c>
      <c r="D378" s="277" t="str">
        <f>IF($AG$426=1,$H$10+28,"")</f>
        <v/>
      </c>
      <c r="E378" s="274">
        <v>328</v>
      </c>
      <c r="F378" s="275" t="str">
        <f>VLOOKUP($AG$426,$AE$422:$AF$433,2)</f>
        <v>Jul</v>
      </c>
      <c r="G378" s="272">
        <f t="shared" si="49"/>
        <v>0</v>
      </c>
      <c r="H378" s="272">
        <f t="shared" si="52"/>
        <v>0</v>
      </c>
      <c r="I378" s="272">
        <f t="shared" si="53"/>
        <v>0</v>
      </c>
      <c r="J378" s="272">
        <f t="shared" si="50"/>
        <v>0</v>
      </c>
      <c r="K378" s="272">
        <f>IF(ISTEXT($M$4),"",SUM(I$50:I378))</f>
        <v>0</v>
      </c>
      <c r="L378" s="272">
        <f>IF(ISTEXT($M$4),"",SUM(J$50:J378))</f>
        <v>0</v>
      </c>
      <c r="M378" s="271">
        <f t="shared" si="51"/>
        <v>0</v>
      </c>
      <c r="N378" s="291" t="e">
        <f>IF(C378='Operating Assumptions'!$C$48,"Construction Finish","")</f>
        <v>#N/A</v>
      </c>
      <c r="O378" s="291"/>
      <c r="P378" s="291"/>
      <c r="Q378" s="291"/>
      <c r="R378" s="291"/>
      <c r="S378" s="291"/>
      <c r="T378" s="280"/>
      <c r="Z378" s="279"/>
      <c r="AA378" s="279"/>
      <c r="AB378" s="279"/>
    </row>
    <row r="379" spans="2:28" s="278" customFormat="1" ht="13.5" hidden="1" outlineLevel="1" x14ac:dyDescent="0.25">
      <c r="B379" s="270" t="e">
        <f>IF(AND($C379&gt;='TIF Loan Amortization'!$H$480,$C379&lt;='TIF Loan Amortization'!$I$480),'TIF Loan Amortization'!$G$480,IF(AND($C379&gt;='TIF Loan Amortization'!$H$481,$C379&lt;='TIF Loan Amortization'!I$481),'TIF Loan Amortization'!$G$481,IF(AND($C379&gt;='TIF Loan Amortization'!$H$482,$C379&lt;='TIF Loan Amortization'!I$482),'TIF Loan Amortization'!$G$482,IF(AND($C379&gt;='TIF Loan Amortization'!$H$483,$C379&lt;='TIF Loan Amortization'!I$483),'TIF Loan Amortization'!$G$483,IF(AND($C379&gt;='TIF Loan Amortization'!$H$484,$C379&lt;='TIF Loan Amortization'!I$484),'TIF Loan Amortization'!$G$484,IF(AND($C379&gt;='TIF Loan Amortization'!$H$485,$C379&lt;='TIF Loan Amortization'!I$485),'TIF Loan Amortization'!$G$485,IF(AND($C379&gt;='TIF Loan Amortization'!$H$486,$C379&lt;='TIF Loan Amortization'!I$486),'TIF Loan Amortization'!$G$486,IF(AND($C379&gt;='TIF Loan Amortization'!$H$487,$C379&lt;='TIF Loan Amortization'!I$487),'TIF Loan Amortization'!$G$487,IF(AND($C379&gt;='TIF Loan Amortization'!$H$488,$C379&lt;='TIF Loan Amortization'!I$488),'TIF Loan Amortization'!$G$488,IF(AND($C379&gt;='TIF Loan Amortization'!$H$489,$C379&lt;='TIF Loan Amortization'!I$489),'TIF Loan Amortization'!$G$489,IF(AND($C379&gt;='TIF Loan Amortization'!$H$490,$C379&lt;='TIF Loan Amortization'!I$490),'TIF Loan Amortization'!$G$490,IF(AND($C379&gt;='TIF Loan Amortization'!$H$491,$C379&lt;='TIF Loan Amortization'!I$491),'TIF Loan Amortization'!$G$491,IF(AND($C379&gt;='TIF Loan Amortization'!$H$492,$C379&lt;='TIF Loan Amortization'!I$492),'TIF Loan Amortization'!$G$492,IF(AND($C379&gt;='TIF Loan Amortization'!$H$493,$C379&lt;='TIF Loan Amortization'!I$493),'TIF Loan Amortization'!$G$493,IF(AND($C379&gt;='TIF Loan Amortization'!$H$494,$C379&lt;='TIF Loan Amortization'!I$494),'TIF Loan Amortization'!$G$494,IF(AND($C379&gt;='TIF Loan Amortization'!$H$495,$C379&lt;='TIF Loan Amortization'!I$495),'TIF Loan Amortization'!$G$495,IF(AND($C379&gt;='TIF Loan Amortization'!$H$496,$C379&lt;='TIF Loan Amortization'!I$496),'TIF Loan Amortization'!$G$496,IF(AND($C379&gt;='TIF Loan Amortization'!$H$497,$C379&lt;='TIF Loan Amortization'!I$497),'TIF Loan Amortization'!$G$497,IF(AND($C379&gt;='TIF Loan Amortization'!$H$498,$C379&lt;='TIF Loan Amortization'!I$498),'TIF Loan Amortization'!$G$498,IF(AND($C379&gt;='TIF Loan Amortization'!$H$499,$C379&lt;='TIF Loan Amortization'!I$499),'TIF Loan Amortization'!$G$499,IF(AND($C379&gt;='TIF Loan Amortization'!$H$500,$C379&lt;='TIF Loan Amortization'!I$500),'TIF Loan Amortization'!$G$500,IF(AND($C379&gt;='TIF Loan Amortization'!$H$501,$C379&lt;='TIF Loan Amortization'!I$501),'TIF Loan Amortization'!$G$501,IF(AND($C379&gt;='TIF Loan Amortization'!$H$502,$C379&lt;='TIF Loan Amortization'!I$502),'TIF Loan Amortization'!$G$502,IF(AND($C379&gt;='TIF Loan Amortization'!$H$503,$C379&lt;='TIF Loan Amortization'!I$503),'TIF Loan Amortization'!$G$503,IF(AND($C379&gt;='TIF Loan Amortization'!$H$504,$C379&lt;='TIF Loan Amortization'!I$504),'TIF Loan Amortization'!$G$504,IF(AND($C379&gt;='TIF Loan Amortization'!$H$505,$C379&lt;='TIF Loan Amortization'!I$505),'TIF Loan Amortization'!$G$505,IF(AND($C379&gt;='TIF Loan Amortization'!$H$506,$C379&lt;='TIF Loan Amortization'!I$506),'TIF Loan Amortization'!$G$506,IF(AND($C379&gt;='TIF Loan Amortization'!$H$507,$C379&lt;='TIF Loan Amortization'!I$507),'TIF Loan Amortization'!$G$507,IF(AND($C379&gt;='TIF Loan Amortization'!$H$508,$C379&lt;='TIF Loan Amortization'!I$508),'TIF Loan Amortization'!$G$508,IF(AND($C379&gt;='TIF Loan Amortization'!$H$509,$C379&lt;='TIF Loan Amortization'!I$509),'TIF Loan Amortization'!$G$509,IF(AND($C379&gt;='TIF Loan Amortization'!$H$510,$C379&lt;='TIF Loan Amortization'!I$510),'TIF Loan Amortization'!$G$510,IF(AND($C379&gt;='TIF Loan Amortization'!$H$511,$C379&lt;='TIF Loan Amortization'!I$511),'TIF Loan Amortization'!$G$511,IF(AND($C379&gt;='TIF Loan Amortization'!$H$512,$C379&lt;='TIF Loan Amortization'!I$512),'TIF Loan Amortization'!$G$512,IF(AND($C379&gt;='TIF Loan Amortization'!$H$513,$C379&lt;='TIF Loan Amortization'!I$513),'TIF Loan Amortization'!$G$513,IF(AND($C379&gt;='TIF Loan Amortization'!$H$514,$C379&lt;='TIF Loan Amortization'!I$514),'TIF Loan Amortization'!$G$514,IF(AND($C379&gt;='TIF Loan Amortization'!$H$515,$C379&lt;='TIF Loan Amortization'!I$515),'TIF Loan Amortization'!$G$515,IF(AND($C379&gt;='TIF Loan Amortization'!$H$516,$C379&lt;='TIF Loan Amortization'!I$516),'TIF Loan Amortization'!$G$516,IF(AND($C379&gt;='TIF Loan Amortization'!$H$517,$C379&lt;='TIF Loan Amortization'!I$517),'TIF Loan Amortization'!$G$517,IF(AND($C379&gt;='TIF Loan Amortization'!$H$518,$C379&lt;='TIF Loan Amortization'!I$518),'TIF Loan Amortization'!$G$518,IF(AND($C379&gt;='TIF Loan Amortization'!$H$519,$C379&lt;='TIF Loan Amortization'!I$519),'TIF Loan Amortization'!$G$519))))))))))))))))))))))))))))))))))))))))</f>
        <v>#N/A</v>
      </c>
      <c r="C379" s="269" t="e">
        <f t="shared" si="48"/>
        <v>#N/A</v>
      </c>
      <c r="D379" s="277" t="str">
        <f>IF($AG$427=1,$H$10+28,"")</f>
        <v/>
      </c>
      <c r="E379" s="274">
        <v>329</v>
      </c>
      <c r="F379" s="275" t="str">
        <f>VLOOKUP($AG$427,$AE$422:$AF$433,2)</f>
        <v>Aug</v>
      </c>
      <c r="G379" s="272">
        <f t="shared" si="49"/>
        <v>0</v>
      </c>
      <c r="H379" s="272">
        <f t="shared" si="52"/>
        <v>0</v>
      </c>
      <c r="I379" s="272">
        <f t="shared" si="53"/>
        <v>0</v>
      </c>
      <c r="J379" s="272">
        <f t="shared" si="50"/>
        <v>0</v>
      </c>
      <c r="K379" s="272">
        <f>IF(ISTEXT($M$4),"",SUM(I$50:I379))</f>
        <v>0</v>
      </c>
      <c r="L379" s="272">
        <f>IF(ISTEXT($M$4),"",SUM(J$50:J379))</f>
        <v>0</v>
      </c>
      <c r="M379" s="271">
        <f t="shared" si="51"/>
        <v>0</v>
      </c>
      <c r="N379" s="291" t="e">
        <f>IF(C379='Operating Assumptions'!$C$48,"Construction Finish","")</f>
        <v>#N/A</v>
      </c>
      <c r="O379" s="291"/>
      <c r="P379" s="291"/>
      <c r="Q379" s="291"/>
      <c r="R379" s="291"/>
      <c r="S379" s="291"/>
      <c r="T379" s="280"/>
      <c r="Z379" s="279"/>
      <c r="AA379" s="279"/>
      <c r="AB379" s="279"/>
    </row>
    <row r="380" spans="2:28" s="278" customFormat="1" ht="13.5" hidden="1" outlineLevel="1" x14ac:dyDescent="0.25">
      <c r="B380" s="270" t="e">
        <f>IF(AND($C380&gt;='TIF Loan Amortization'!$H$480,$C380&lt;='TIF Loan Amortization'!$I$480),'TIF Loan Amortization'!$G$480,IF(AND($C380&gt;='TIF Loan Amortization'!$H$481,$C380&lt;='TIF Loan Amortization'!I$481),'TIF Loan Amortization'!$G$481,IF(AND($C380&gt;='TIF Loan Amortization'!$H$482,$C380&lt;='TIF Loan Amortization'!I$482),'TIF Loan Amortization'!$G$482,IF(AND($C380&gt;='TIF Loan Amortization'!$H$483,$C380&lt;='TIF Loan Amortization'!I$483),'TIF Loan Amortization'!$G$483,IF(AND($C380&gt;='TIF Loan Amortization'!$H$484,$C380&lt;='TIF Loan Amortization'!I$484),'TIF Loan Amortization'!$G$484,IF(AND($C380&gt;='TIF Loan Amortization'!$H$485,$C380&lt;='TIF Loan Amortization'!I$485),'TIF Loan Amortization'!$G$485,IF(AND($C380&gt;='TIF Loan Amortization'!$H$486,$C380&lt;='TIF Loan Amortization'!I$486),'TIF Loan Amortization'!$G$486,IF(AND($C380&gt;='TIF Loan Amortization'!$H$487,$C380&lt;='TIF Loan Amortization'!I$487),'TIF Loan Amortization'!$G$487,IF(AND($C380&gt;='TIF Loan Amortization'!$H$488,$C380&lt;='TIF Loan Amortization'!I$488),'TIF Loan Amortization'!$G$488,IF(AND($C380&gt;='TIF Loan Amortization'!$H$489,$C380&lt;='TIF Loan Amortization'!I$489),'TIF Loan Amortization'!$G$489,IF(AND($C380&gt;='TIF Loan Amortization'!$H$490,$C380&lt;='TIF Loan Amortization'!I$490),'TIF Loan Amortization'!$G$490,IF(AND($C380&gt;='TIF Loan Amortization'!$H$491,$C380&lt;='TIF Loan Amortization'!I$491),'TIF Loan Amortization'!$G$491,IF(AND($C380&gt;='TIF Loan Amortization'!$H$492,$C380&lt;='TIF Loan Amortization'!I$492),'TIF Loan Amortization'!$G$492,IF(AND($C380&gt;='TIF Loan Amortization'!$H$493,$C380&lt;='TIF Loan Amortization'!I$493),'TIF Loan Amortization'!$G$493,IF(AND($C380&gt;='TIF Loan Amortization'!$H$494,$C380&lt;='TIF Loan Amortization'!I$494),'TIF Loan Amortization'!$G$494,IF(AND($C380&gt;='TIF Loan Amortization'!$H$495,$C380&lt;='TIF Loan Amortization'!I$495),'TIF Loan Amortization'!$G$495,IF(AND($C380&gt;='TIF Loan Amortization'!$H$496,$C380&lt;='TIF Loan Amortization'!I$496),'TIF Loan Amortization'!$G$496,IF(AND($C380&gt;='TIF Loan Amortization'!$H$497,$C380&lt;='TIF Loan Amortization'!I$497),'TIF Loan Amortization'!$G$497,IF(AND($C380&gt;='TIF Loan Amortization'!$H$498,$C380&lt;='TIF Loan Amortization'!I$498),'TIF Loan Amortization'!$G$498,IF(AND($C380&gt;='TIF Loan Amortization'!$H$499,$C380&lt;='TIF Loan Amortization'!I$499),'TIF Loan Amortization'!$G$499,IF(AND($C380&gt;='TIF Loan Amortization'!$H$500,$C380&lt;='TIF Loan Amortization'!I$500),'TIF Loan Amortization'!$G$500,IF(AND($C380&gt;='TIF Loan Amortization'!$H$501,$C380&lt;='TIF Loan Amortization'!I$501),'TIF Loan Amortization'!$G$501,IF(AND($C380&gt;='TIF Loan Amortization'!$H$502,$C380&lt;='TIF Loan Amortization'!I$502),'TIF Loan Amortization'!$G$502,IF(AND($C380&gt;='TIF Loan Amortization'!$H$503,$C380&lt;='TIF Loan Amortization'!I$503),'TIF Loan Amortization'!$G$503,IF(AND($C380&gt;='TIF Loan Amortization'!$H$504,$C380&lt;='TIF Loan Amortization'!I$504),'TIF Loan Amortization'!$G$504,IF(AND($C380&gt;='TIF Loan Amortization'!$H$505,$C380&lt;='TIF Loan Amortization'!I$505),'TIF Loan Amortization'!$G$505,IF(AND($C380&gt;='TIF Loan Amortization'!$H$506,$C380&lt;='TIF Loan Amortization'!I$506),'TIF Loan Amortization'!$G$506,IF(AND($C380&gt;='TIF Loan Amortization'!$H$507,$C380&lt;='TIF Loan Amortization'!I$507),'TIF Loan Amortization'!$G$507,IF(AND($C380&gt;='TIF Loan Amortization'!$H$508,$C380&lt;='TIF Loan Amortization'!I$508),'TIF Loan Amortization'!$G$508,IF(AND($C380&gt;='TIF Loan Amortization'!$H$509,$C380&lt;='TIF Loan Amortization'!I$509),'TIF Loan Amortization'!$G$509,IF(AND($C380&gt;='TIF Loan Amortization'!$H$510,$C380&lt;='TIF Loan Amortization'!I$510),'TIF Loan Amortization'!$G$510,IF(AND($C380&gt;='TIF Loan Amortization'!$H$511,$C380&lt;='TIF Loan Amortization'!I$511),'TIF Loan Amortization'!$G$511,IF(AND($C380&gt;='TIF Loan Amortization'!$H$512,$C380&lt;='TIF Loan Amortization'!I$512),'TIF Loan Amortization'!$G$512,IF(AND($C380&gt;='TIF Loan Amortization'!$H$513,$C380&lt;='TIF Loan Amortization'!I$513),'TIF Loan Amortization'!$G$513,IF(AND($C380&gt;='TIF Loan Amortization'!$H$514,$C380&lt;='TIF Loan Amortization'!I$514),'TIF Loan Amortization'!$G$514,IF(AND($C380&gt;='TIF Loan Amortization'!$H$515,$C380&lt;='TIF Loan Amortization'!I$515),'TIF Loan Amortization'!$G$515,IF(AND($C380&gt;='TIF Loan Amortization'!$H$516,$C380&lt;='TIF Loan Amortization'!I$516),'TIF Loan Amortization'!$G$516,IF(AND($C380&gt;='TIF Loan Amortization'!$H$517,$C380&lt;='TIF Loan Amortization'!I$517),'TIF Loan Amortization'!$G$517,IF(AND($C380&gt;='TIF Loan Amortization'!$H$518,$C380&lt;='TIF Loan Amortization'!I$518),'TIF Loan Amortization'!$G$518,IF(AND($C380&gt;='TIF Loan Amortization'!$H$519,$C380&lt;='TIF Loan Amortization'!I$519),'TIF Loan Amortization'!$G$519))))))))))))))))))))))))))))))))))))))))</f>
        <v>#N/A</v>
      </c>
      <c r="C380" s="269" t="e">
        <f t="shared" si="48"/>
        <v>#N/A</v>
      </c>
      <c r="D380" s="277" t="str">
        <f>IF($AG$428=1,$H$10+28,"")</f>
        <v/>
      </c>
      <c r="E380" s="274">
        <v>330</v>
      </c>
      <c r="F380" s="275" t="str">
        <f>VLOOKUP($AG$428,$AE$422:$AF$433,2)</f>
        <v>Sep</v>
      </c>
      <c r="G380" s="272">
        <f t="shared" si="49"/>
        <v>0</v>
      </c>
      <c r="H380" s="272">
        <f t="shared" si="52"/>
        <v>0</v>
      </c>
      <c r="I380" s="272">
        <f t="shared" si="53"/>
        <v>0</v>
      </c>
      <c r="J380" s="272">
        <f t="shared" si="50"/>
        <v>0</v>
      </c>
      <c r="K380" s="272">
        <f>IF(ISTEXT($M$4),"",SUM(I$50:I380))</f>
        <v>0</v>
      </c>
      <c r="L380" s="272">
        <f>IF(ISTEXT($M$4),"",SUM(J$50:J380))</f>
        <v>0</v>
      </c>
      <c r="M380" s="271">
        <f t="shared" si="51"/>
        <v>0</v>
      </c>
      <c r="N380" s="291" t="e">
        <f>IF(C380='Operating Assumptions'!$C$48,"Construction Finish","")</f>
        <v>#N/A</v>
      </c>
      <c r="O380" s="291"/>
      <c r="P380" s="291"/>
      <c r="Q380" s="291"/>
      <c r="R380" s="291"/>
      <c r="S380" s="291"/>
      <c r="T380" s="280"/>
      <c r="Z380" s="279"/>
      <c r="AA380" s="279"/>
      <c r="AB380" s="279"/>
    </row>
    <row r="381" spans="2:28" s="278" customFormat="1" ht="13.5" hidden="1" outlineLevel="1" x14ac:dyDescent="0.25">
      <c r="B381" s="270" t="e">
        <f>IF(AND($C381&gt;='TIF Loan Amortization'!$H$480,$C381&lt;='TIF Loan Amortization'!$I$480),'TIF Loan Amortization'!$G$480,IF(AND($C381&gt;='TIF Loan Amortization'!$H$481,$C381&lt;='TIF Loan Amortization'!I$481),'TIF Loan Amortization'!$G$481,IF(AND($C381&gt;='TIF Loan Amortization'!$H$482,$C381&lt;='TIF Loan Amortization'!I$482),'TIF Loan Amortization'!$G$482,IF(AND($C381&gt;='TIF Loan Amortization'!$H$483,$C381&lt;='TIF Loan Amortization'!I$483),'TIF Loan Amortization'!$G$483,IF(AND($C381&gt;='TIF Loan Amortization'!$H$484,$C381&lt;='TIF Loan Amortization'!I$484),'TIF Loan Amortization'!$G$484,IF(AND($C381&gt;='TIF Loan Amortization'!$H$485,$C381&lt;='TIF Loan Amortization'!I$485),'TIF Loan Amortization'!$G$485,IF(AND($C381&gt;='TIF Loan Amortization'!$H$486,$C381&lt;='TIF Loan Amortization'!I$486),'TIF Loan Amortization'!$G$486,IF(AND($C381&gt;='TIF Loan Amortization'!$H$487,$C381&lt;='TIF Loan Amortization'!I$487),'TIF Loan Amortization'!$G$487,IF(AND($C381&gt;='TIF Loan Amortization'!$H$488,$C381&lt;='TIF Loan Amortization'!I$488),'TIF Loan Amortization'!$G$488,IF(AND($C381&gt;='TIF Loan Amortization'!$H$489,$C381&lt;='TIF Loan Amortization'!I$489),'TIF Loan Amortization'!$G$489,IF(AND($C381&gt;='TIF Loan Amortization'!$H$490,$C381&lt;='TIF Loan Amortization'!I$490),'TIF Loan Amortization'!$G$490,IF(AND($C381&gt;='TIF Loan Amortization'!$H$491,$C381&lt;='TIF Loan Amortization'!I$491),'TIF Loan Amortization'!$G$491,IF(AND($C381&gt;='TIF Loan Amortization'!$H$492,$C381&lt;='TIF Loan Amortization'!I$492),'TIF Loan Amortization'!$G$492,IF(AND($C381&gt;='TIF Loan Amortization'!$H$493,$C381&lt;='TIF Loan Amortization'!I$493),'TIF Loan Amortization'!$G$493,IF(AND($C381&gt;='TIF Loan Amortization'!$H$494,$C381&lt;='TIF Loan Amortization'!I$494),'TIF Loan Amortization'!$G$494,IF(AND($C381&gt;='TIF Loan Amortization'!$H$495,$C381&lt;='TIF Loan Amortization'!I$495),'TIF Loan Amortization'!$G$495,IF(AND($C381&gt;='TIF Loan Amortization'!$H$496,$C381&lt;='TIF Loan Amortization'!I$496),'TIF Loan Amortization'!$G$496,IF(AND($C381&gt;='TIF Loan Amortization'!$H$497,$C381&lt;='TIF Loan Amortization'!I$497),'TIF Loan Amortization'!$G$497,IF(AND($C381&gt;='TIF Loan Amortization'!$H$498,$C381&lt;='TIF Loan Amortization'!I$498),'TIF Loan Amortization'!$G$498,IF(AND($C381&gt;='TIF Loan Amortization'!$H$499,$C381&lt;='TIF Loan Amortization'!I$499),'TIF Loan Amortization'!$G$499,IF(AND($C381&gt;='TIF Loan Amortization'!$H$500,$C381&lt;='TIF Loan Amortization'!I$500),'TIF Loan Amortization'!$G$500,IF(AND($C381&gt;='TIF Loan Amortization'!$H$501,$C381&lt;='TIF Loan Amortization'!I$501),'TIF Loan Amortization'!$G$501,IF(AND($C381&gt;='TIF Loan Amortization'!$H$502,$C381&lt;='TIF Loan Amortization'!I$502),'TIF Loan Amortization'!$G$502,IF(AND($C381&gt;='TIF Loan Amortization'!$H$503,$C381&lt;='TIF Loan Amortization'!I$503),'TIF Loan Amortization'!$G$503,IF(AND($C381&gt;='TIF Loan Amortization'!$H$504,$C381&lt;='TIF Loan Amortization'!I$504),'TIF Loan Amortization'!$G$504,IF(AND($C381&gt;='TIF Loan Amortization'!$H$505,$C381&lt;='TIF Loan Amortization'!I$505),'TIF Loan Amortization'!$G$505,IF(AND($C381&gt;='TIF Loan Amortization'!$H$506,$C381&lt;='TIF Loan Amortization'!I$506),'TIF Loan Amortization'!$G$506,IF(AND($C381&gt;='TIF Loan Amortization'!$H$507,$C381&lt;='TIF Loan Amortization'!I$507),'TIF Loan Amortization'!$G$507,IF(AND($C381&gt;='TIF Loan Amortization'!$H$508,$C381&lt;='TIF Loan Amortization'!I$508),'TIF Loan Amortization'!$G$508,IF(AND($C381&gt;='TIF Loan Amortization'!$H$509,$C381&lt;='TIF Loan Amortization'!I$509),'TIF Loan Amortization'!$G$509,IF(AND($C381&gt;='TIF Loan Amortization'!$H$510,$C381&lt;='TIF Loan Amortization'!I$510),'TIF Loan Amortization'!$G$510,IF(AND($C381&gt;='TIF Loan Amortization'!$H$511,$C381&lt;='TIF Loan Amortization'!I$511),'TIF Loan Amortization'!$G$511,IF(AND($C381&gt;='TIF Loan Amortization'!$H$512,$C381&lt;='TIF Loan Amortization'!I$512),'TIF Loan Amortization'!$G$512,IF(AND($C381&gt;='TIF Loan Amortization'!$H$513,$C381&lt;='TIF Loan Amortization'!I$513),'TIF Loan Amortization'!$G$513,IF(AND($C381&gt;='TIF Loan Amortization'!$H$514,$C381&lt;='TIF Loan Amortization'!I$514),'TIF Loan Amortization'!$G$514,IF(AND($C381&gt;='TIF Loan Amortization'!$H$515,$C381&lt;='TIF Loan Amortization'!I$515),'TIF Loan Amortization'!$G$515,IF(AND($C381&gt;='TIF Loan Amortization'!$H$516,$C381&lt;='TIF Loan Amortization'!I$516),'TIF Loan Amortization'!$G$516,IF(AND($C381&gt;='TIF Loan Amortization'!$H$517,$C381&lt;='TIF Loan Amortization'!I$517),'TIF Loan Amortization'!$G$517,IF(AND($C381&gt;='TIF Loan Amortization'!$H$518,$C381&lt;='TIF Loan Amortization'!I$518),'TIF Loan Amortization'!$G$518,IF(AND($C381&gt;='TIF Loan Amortization'!$H$519,$C381&lt;='TIF Loan Amortization'!I$519),'TIF Loan Amortization'!$G$519))))))))))))))))))))))))))))))))))))))))</f>
        <v>#N/A</v>
      </c>
      <c r="C381" s="269" t="e">
        <f t="shared" si="48"/>
        <v>#N/A</v>
      </c>
      <c r="D381" s="277" t="str">
        <f>IF($AG$429=1,$H$10+28,"")</f>
        <v/>
      </c>
      <c r="E381" s="274">
        <v>331</v>
      </c>
      <c r="F381" s="275" t="str">
        <f>VLOOKUP($AG$429,$AE$422:$AF$433,2)</f>
        <v>Oct</v>
      </c>
      <c r="G381" s="272">
        <f t="shared" si="49"/>
        <v>0</v>
      </c>
      <c r="H381" s="272">
        <f t="shared" si="52"/>
        <v>0</v>
      </c>
      <c r="I381" s="272">
        <f t="shared" si="53"/>
        <v>0</v>
      </c>
      <c r="J381" s="272">
        <f t="shared" si="50"/>
        <v>0</v>
      </c>
      <c r="K381" s="272">
        <f>IF(ISTEXT($M$4),"",SUM(I$50:I381))</f>
        <v>0</v>
      </c>
      <c r="L381" s="272">
        <f>IF(ISTEXT($M$4),"",SUM(J$50:J381))</f>
        <v>0</v>
      </c>
      <c r="M381" s="271">
        <f t="shared" si="51"/>
        <v>0</v>
      </c>
      <c r="N381" s="291" t="e">
        <f>IF(C381='Operating Assumptions'!$C$48,"Construction Finish","")</f>
        <v>#N/A</v>
      </c>
      <c r="O381" s="291"/>
      <c r="P381" s="291"/>
      <c r="Q381" s="291"/>
      <c r="R381" s="291"/>
      <c r="S381" s="291"/>
      <c r="T381" s="280"/>
      <c r="Z381" s="279"/>
      <c r="AA381" s="279"/>
      <c r="AB381" s="279"/>
    </row>
    <row r="382" spans="2:28" s="278" customFormat="1" ht="13.5" hidden="1" outlineLevel="1" x14ac:dyDescent="0.25">
      <c r="B382" s="270" t="e">
        <f>IF(AND($C382&gt;='TIF Loan Amortization'!$H$480,$C382&lt;='TIF Loan Amortization'!$I$480),'TIF Loan Amortization'!$G$480,IF(AND($C382&gt;='TIF Loan Amortization'!$H$481,$C382&lt;='TIF Loan Amortization'!I$481),'TIF Loan Amortization'!$G$481,IF(AND($C382&gt;='TIF Loan Amortization'!$H$482,$C382&lt;='TIF Loan Amortization'!I$482),'TIF Loan Amortization'!$G$482,IF(AND($C382&gt;='TIF Loan Amortization'!$H$483,$C382&lt;='TIF Loan Amortization'!I$483),'TIF Loan Amortization'!$G$483,IF(AND($C382&gt;='TIF Loan Amortization'!$H$484,$C382&lt;='TIF Loan Amortization'!I$484),'TIF Loan Amortization'!$G$484,IF(AND($C382&gt;='TIF Loan Amortization'!$H$485,$C382&lt;='TIF Loan Amortization'!I$485),'TIF Loan Amortization'!$G$485,IF(AND($C382&gt;='TIF Loan Amortization'!$H$486,$C382&lt;='TIF Loan Amortization'!I$486),'TIF Loan Amortization'!$G$486,IF(AND($C382&gt;='TIF Loan Amortization'!$H$487,$C382&lt;='TIF Loan Amortization'!I$487),'TIF Loan Amortization'!$G$487,IF(AND($C382&gt;='TIF Loan Amortization'!$H$488,$C382&lt;='TIF Loan Amortization'!I$488),'TIF Loan Amortization'!$G$488,IF(AND($C382&gt;='TIF Loan Amortization'!$H$489,$C382&lt;='TIF Loan Amortization'!I$489),'TIF Loan Amortization'!$G$489,IF(AND($C382&gt;='TIF Loan Amortization'!$H$490,$C382&lt;='TIF Loan Amortization'!I$490),'TIF Loan Amortization'!$G$490,IF(AND($C382&gt;='TIF Loan Amortization'!$H$491,$C382&lt;='TIF Loan Amortization'!I$491),'TIF Loan Amortization'!$G$491,IF(AND($C382&gt;='TIF Loan Amortization'!$H$492,$C382&lt;='TIF Loan Amortization'!I$492),'TIF Loan Amortization'!$G$492,IF(AND($C382&gt;='TIF Loan Amortization'!$H$493,$C382&lt;='TIF Loan Amortization'!I$493),'TIF Loan Amortization'!$G$493,IF(AND($C382&gt;='TIF Loan Amortization'!$H$494,$C382&lt;='TIF Loan Amortization'!I$494),'TIF Loan Amortization'!$G$494,IF(AND($C382&gt;='TIF Loan Amortization'!$H$495,$C382&lt;='TIF Loan Amortization'!I$495),'TIF Loan Amortization'!$G$495,IF(AND($C382&gt;='TIF Loan Amortization'!$H$496,$C382&lt;='TIF Loan Amortization'!I$496),'TIF Loan Amortization'!$G$496,IF(AND($C382&gt;='TIF Loan Amortization'!$H$497,$C382&lt;='TIF Loan Amortization'!I$497),'TIF Loan Amortization'!$G$497,IF(AND($C382&gt;='TIF Loan Amortization'!$H$498,$C382&lt;='TIF Loan Amortization'!I$498),'TIF Loan Amortization'!$G$498,IF(AND($C382&gt;='TIF Loan Amortization'!$H$499,$C382&lt;='TIF Loan Amortization'!I$499),'TIF Loan Amortization'!$G$499,IF(AND($C382&gt;='TIF Loan Amortization'!$H$500,$C382&lt;='TIF Loan Amortization'!I$500),'TIF Loan Amortization'!$G$500,IF(AND($C382&gt;='TIF Loan Amortization'!$H$501,$C382&lt;='TIF Loan Amortization'!I$501),'TIF Loan Amortization'!$G$501,IF(AND($C382&gt;='TIF Loan Amortization'!$H$502,$C382&lt;='TIF Loan Amortization'!I$502),'TIF Loan Amortization'!$G$502,IF(AND($C382&gt;='TIF Loan Amortization'!$H$503,$C382&lt;='TIF Loan Amortization'!I$503),'TIF Loan Amortization'!$G$503,IF(AND($C382&gt;='TIF Loan Amortization'!$H$504,$C382&lt;='TIF Loan Amortization'!I$504),'TIF Loan Amortization'!$G$504,IF(AND($C382&gt;='TIF Loan Amortization'!$H$505,$C382&lt;='TIF Loan Amortization'!I$505),'TIF Loan Amortization'!$G$505,IF(AND($C382&gt;='TIF Loan Amortization'!$H$506,$C382&lt;='TIF Loan Amortization'!I$506),'TIF Loan Amortization'!$G$506,IF(AND($C382&gt;='TIF Loan Amortization'!$H$507,$C382&lt;='TIF Loan Amortization'!I$507),'TIF Loan Amortization'!$G$507,IF(AND($C382&gt;='TIF Loan Amortization'!$H$508,$C382&lt;='TIF Loan Amortization'!I$508),'TIF Loan Amortization'!$G$508,IF(AND($C382&gt;='TIF Loan Amortization'!$H$509,$C382&lt;='TIF Loan Amortization'!I$509),'TIF Loan Amortization'!$G$509,IF(AND($C382&gt;='TIF Loan Amortization'!$H$510,$C382&lt;='TIF Loan Amortization'!I$510),'TIF Loan Amortization'!$G$510,IF(AND($C382&gt;='TIF Loan Amortization'!$H$511,$C382&lt;='TIF Loan Amortization'!I$511),'TIF Loan Amortization'!$G$511,IF(AND($C382&gt;='TIF Loan Amortization'!$H$512,$C382&lt;='TIF Loan Amortization'!I$512),'TIF Loan Amortization'!$G$512,IF(AND($C382&gt;='TIF Loan Amortization'!$H$513,$C382&lt;='TIF Loan Amortization'!I$513),'TIF Loan Amortization'!$G$513,IF(AND($C382&gt;='TIF Loan Amortization'!$H$514,$C382&lt;='TIF Loan Amortization'!I$514),'TIF Loan Amortization'!$G$514,IF(AND($C382&gt;='TIF Loan Amortization'!$H$515,$C382&lt;='TIF Loan Amortization'!I$515),'TIF Loan Amortization'!$G$515,IF(AND($C382&gt;='TIF Loan Amortization'!$H$516,$C382&lt;='TIF Loan Amortization'!I$516),'TIF Loan Amortization'!$G$516,IF(AND($C382&gt;='TIF Loan Amortization'!$H$517,$C382&lt;='TIF Loan Amortization'!I$517),'TIF Loan Amortization'!$G$517,IF(AND($C382&gt;='TIF Loan Amortization'!$H$518,$C382&lt;='TIF Loan Amortization'!I$518),'TIF Loan Amortization'!$G$518,IF(AND($C382&gt;='TIF Loan Amortization'!$H$519,$C382&lt;='TIF Loan Amortization'!I$519),'TIF Loan Amortization'!$G$519))))))))))))))))))))))))))))))))))))))))</f>
        <v>#N/A</v>
      </c>
      <c r="C382" s="269" t="e">
        <f t="shared" si="48"/>
        <v>#N/A</v>
      </c>
      <c r="D382" s="277" t="str">
        <f>IF($AG$430=1,$H$10+28,"")</f>
        <v/>
      </c>
      <c r="E382" s="274">
        <v>332</v>
      </c>
      <c r="F382" s="275" t="str">
        <f>VLOOKUP($AG$430,$AE$422:$AF$433,2)</f>
        <v>Nov</v>
      </c>
      <c r="G382" s="272">
        <f t="shared" si="49"/>
        <v>0</v>
      </c>
      <c r="H382" s="272">
        <f t="shared" si="52"/>
        <v>0</v>
      </c>
      <c r="I382" s="272">
        <f t="shared" si="53"/>
        <v>0</v>
      </c>
      <c r="J382" s="272">
        <f t="shared" si="50"/>
        <v>0</v>
      </c>
      <c r="K382" s="272">
        <f>IF(ISTEXT($M$4),"",SUM(I$50:I382))</f>
        <v>0</v>
      </c>
      <c r="L382" s="272">
        <f>IF(ISTEXT($M$4),"",SUM(J$50:J382))</f>
        <v>0</v>
      </c>
      <c r="M382" s="271">
        <f t="shared" si="51"/>
        <v>0</v>
      </c>
      <c r="N382" s="291" t="e">
        <f>IF(C382='Operating Assumptions'!$C$48,"Construction Finish","")</f>
        <v>#N/A</v>
      </c>
      <c r="O382" s="291"/>
      <c r="P382" s="291"/>
      <c r="Q382" s="291"/>
      <c r="R382" s="291"/>
      <c r="S382" s="291"/>
      <c r="T382" s="280"/>
      <c r="Z382" s="279"/>
      <c r="AA382" s="279"/>
      <c r="AB382" s="279"/>
    </row>
    <row r="383" spans="2:28" s="278" customFormat="1" ht="13.5" hidden="1" outlineLevel="1" x14ac:dyDescent="0.25">
      <c r="B383" s="270" t="e">
        <f>IF(AND($C383&gt;='TIF Loan Amortization'!$H$480,$C383&lt;='TIF Loan Amortization'!$I$480),'TIF Loan Amortization'!$G$480,IF(AND($C383&gt;='TIF Loan Amortization'!$H$481,$C383&lt;='TIF Loan Amortization'!I$481),'TIF Loan Amortization'!$G$481,IF(AND($C383&gt;='TIF Loan Amortization'!$H$482,$C383&lt;='TIF Loan Amortization'!I$482),'TIF Loan Amortization'!$G$482,IF(AND($C383&gt;='TIF Loan Amortization'!$H$483,$C383&lt;='TIF Loan Amortization'!I$483),'TIF Loan Amortization'!$G$483,IF(AND($C383&gt;='TIF Loan Amortization'!$H$484,$C383&lt;='TIF Loan Amortization'!I$484),'TIF Loan Amortization'!$G$484,IF(AND($C383&gt;='TIF Loan Amortization'!$H$485,$C383&lt;='TIF Loan Amortization'!I$485),'TIF Loan Amortization'!$G$485,IF(AND($C383&gt;='TIF Loan Amortization'!$H$486,$C383&lt;='TIF Loan Amortization'!I$486),'TIF Loan Amortization'!$G$486,IF(AND($C383&gt;='TIF Loan Amortization'!$H$487,$C383&lt;='TIF Loan Amortization'!I$487),'TIF Loan Amortization'!$G$487,IF(AND($C383&gt;='TIF Loan Amortization'!$H$488,$C383&lt;='TIF Loan Amortization'!I$488),'TIF Loan Amortization'!$G$488,IF(AND($C383&gt;='TIF Loan Amortization'!$H$489,$C383&lt;='TIF Loan Amortization'!I$489),'TIF Loan Amortization'!$G$489,IF(AND($C383&gt;='TIF Loan Amortization'!$H$490,$C383&lt;='TIF Loan Amortization'!I$490),'TIF Loan Amortization'!$G$490,IF(AND($C383&gt;='TIF Loan Amortization'!$H$491,$C383&lt;='TIF Loan Amortization'!I$491),'TIF Loan Amortization'!$G$491,IF(AND($C383&gt;='TIF Loan Amortization'!$H$492,$C383&lt;='TIF Loan Amortization'!I$492),'TIF Loan Amortization'!$G$492,IF(AND($C383&gt;='TIF Loan Amortization'!$H$493,$C383&lt;='TIF Loan Amortization'!I$493),'TIF Loan Amortization'!$G$493,IF(AND($C383&gt;='TIF Loan Amortization'!$H$494,$C383&lt;='TIF Loan Amortization'!I$494),'TIF Loan Amortization'!$G$494,IF(AND($C383&gt;='TIF Loan Amortization'!$H$495,$C383&lt;='TIF Loan Amortization'!I$495),'TIF Loan Amortization'!$G$495,IF(AND($C383&gt;='TIF Loan Amortization'!$H$496,$C383&lt;='TIF Loan Amortization'!I$496),'TIF Loan Amortization'!$G$496,IF(AND($C383&gt;='TIF Loan Amortization'!$H$497,$C383&lt;='TIF Loan Amortization'!I$497),'TIF Loan Amortization'!$G$497,IF(AND($C383&gt;='TIF Loan Amortization'!$H$498,$C383&lt;='TIF Loan Amortization'!I$498),'TIF Loan Amortization'!$G$498,IF(AND($C383&gt;='TIF Loan Amortization'!$H$499,$C383&lt;='TIF Loan Amortization'!I$499),'TIF Loan Amortization'!$G$499,IF(AND($C383&gt;='TIF Loan Amortization'!$H$500,$C383&lt;='TIF Loan Amortization'!I$500),'TIF Loan Amortization'!$G$500,IF(AND($C383&gt;='TIF Loan Amortization'!$H$501,$C383&lt;='TIF Loan Amortization'!I$501),'TIF Loan Amortization'!$G$501,IF(AND($C383&gt;='TIF Loan Amortization'!$H$502,$C383&lt;='TIF Loan Amortization'!I$502),'TIF Loan Amortization'!$G$502,IF(AND($C383&gt;='TIF Loan Amortization'!$H$503,$C383&lt;='TIF Loan Amortization'!I$503),'TIF Loan Amortization'!$G$503,IF(AND($C383&gt;='TIF Loan Amortization'!$H$504,$C383&lt;='TIF Loan Amortization'!I$504),'TIF Loan Amortization'!$G$504,IF(AND($C383&gt;='TIF Loan Amortization'!$H$505,$C383&lt;='TIF Loan Amortization'!I$505),'TIF Loan Amortization'!$G$505,IF(AND($C383&gt;='TIF Loan Amortization'!$H$506,$C383&lt;='TIF Loan Amortization'!I$506),'TIF Loan Amortization'!$G$506,IF(AND($C383&gt;='TIF Loan Amortization'!$H$507,$C383&lt;='TIF Loan Amortization'!I$507),'TIF Loan Amortization'!$G$507,IF(AND($C383&gt;='TIF Loan Amortization'!$H$508,$C383&lt;='TIF Loan Amortization'!I$508),'TIF Loan Amortization'!$G$508,IF(AND($C383&gt;='TIF Loan Amortization'!$H$509,$C383&lt;='TIF Loan Amortization'!I$509),'TIF Loan Amortization'!$G$509,IF(AND($C383&gt;='TIF Loan Amortization'!$H$510,$C383&lt;='TIF Loan Amortization'!I$510),'TIF Loan Amortization'!$G$510,IF(AND($C383&gt;='TIF Loan Amortization'!$H$511,$C383&lt;='TIF Loan Amortization'!I$511),'TIF Loan Amortization'!$G$511,IF(AND($C383&gt;='TIF Loan Amortization'!$H$512,$C383&lt;='TIF Loan Amortization'!I$512),'TIF Loan Amortization'!$G$512,IF(AND($C383&gt;='TIF Loan Amortization'!$H$513,$C383&lt;='TIF Loan Amortization'!I$513),'TIF Loan Amortization'!$G$513,IF(AND($C383&gt;='TIF Loan Amortization'!$H$514,$C383&lt;='TIF Loan Amortization'!I$514),'TIF Loan Amortization'!$G$514,IF(AND($C383&gt;='TIF Loan Amortization'!$H$515,$C383&lt;='TIF Loan Amortization'!I$515),'TIF Loan Amortization'!$G$515,IF(AND($C383&gt;='TIF Loan Amortization'!$H$516,$C383&lt;='TIF Loan Amortization'!I$516),'TIF Loan Amortization'!$G$516,IF(AND($C383&gt;='TIF Loan Amortization'!$H$517,$C383&lt;='TIF Loan Amortization'!I$517),'TIF Loan Amortization'!$G$517,IF(AND($C383&gt;='TIF Loan Amortization'!$H$518,$C383&lt;='TIF Loan Amortization'!I$518),'TIF Loan Amortization'!$G$518,IF(AND($C383&gt;='TIF Loan Amortization'!$H$519,$C383&lt;='TIF Loan Amortization'!I$519),'TIF Loan Amortization'!$G$519))))))))))))))))))))))))))))))))))))))))</f>
        <v>#N/A</v>
      </c>
      <c r="C383" s="269" t="e">
        <f t="shared" si="48"/>
        <v>#N/A</v>
      </c>
      <c r="D383" s="277" t="str">
        <f>IF($AG$431=1,$H$10+28,"")</f>
        <v/>
      </c>
      <c r="E383" s="274">
        <v>333</v>
      </c>
      <c r="F383" s="275" t="str">
        <f>VLOOKUP($AG$431,$AE$422:$AF$433,2)</f>
        <v>Dec</v>
      </c>
      <c r="G383" s="272">
        <f t="shared" si="49"/>
        <v>0</v>
      </c>
      <c r="H383" s="272">
        <f t="shared" si="52"/>
        <v>0</v>
      </c>
      <c r="I383" s="272">
        <f t="shared" si="53"/>
        <v>0</v>
      </c>
      <c r="J383" s="272">
        <f t="shared" si="50"/>
        <v>0</v>
      </c>
      <c r="K383" s="272">
        <f>IF(ISTEXT($M$4),"",SUM(I$50:I383))</f>
        <v>0</v>
      </c>
      <c r="L383" s="272">
        <f>IF(ISTEXT($M$4),"",SUM(J$50:J383))</f>
        <v>0</v>
      </c>
      <c r="M383" s="271">
        <f t="shared" si="51"/>
        <v>0</v>
      </c>
      <c r="N383" s="291" t="e">
        <f>IF(C383='Operating Assumptions'!$C$48,"Construction Finish","")</f>
        <v>#N/A</v>
      </c>
      <c r="O383" s="291"/>
      <c r="P383" s="291"/>
      <c r="Q383" s="291"/>
      <c r="R383" s="291"/>
      <c r="S383" s="291"/>
      <c r="T383" s="280"/>
      <c r="Z383" s="279"/>
      <c r="AA383" s="279"/>
      <c r="AB383" s="279"/>
    </row>
    <row r="384" spans="2:28" s="278" customFormat="1" ht="13.5" hidden="1" outlineLevel="1" x14ac:dyDescent="0.25">
      <c r="B384" s="270" t="e">
        <f>IF(AND($C384&gt;='TIF Loan Amortization'!$H$480,$C384&lt;='TIF Loan Amortization'!$I$480),'TIF Loan Amortization'!$G$480,IF(AND($C384&gt;='TIF Loan Amortization'!$H$481,$C384&lt;='TIF Loan Amortization'!I$481),'TIF Loan Amortization'!$G$481,IF(AND($C384&gt;='TIF Loan Amortization'!$H$482,$C384&lt;='TIF Loan Amortization'!I$482),'TIF Loan Amortization'!$G$482,IF(AND($C384&gt;='TIF Loan Amortization'!$H$483,$C384&lt;='TIF Loan Amortization'!I$483),'TIF Loan Amortization'!$G$483,IF(AND($C384&gt;='TIF Loan Amortization'!$H$484,$C384&lt;='TIF Loan Amortization'!I$484),'TIF Loan Amortization'!$G$484,IF(AND($C384&gt;='TIF Loan Amortization'!$H$485,$C384&lt;='TIF Loan Amortization'!I$485),'TIF Loan Amortization'!$G$485,IF(AND($C384&gt;='TIF Loan Amortization'!$H$486,$C384&lt;='TIF Loan Amortization'!I$486),'TIF Loan Amortization'!$G$486,IF(AND($C384&gt;='TIF Loan Amortization'!$H$487,$C384&lt;='TIF Loan Amortization'!I$487),'TIF Loan Amortization'!$G$487,IF(AND($C384&gt;='TIF Loan Amortization'!$H$488,$C384&lt;='TIF Loan Amortization'!I$488),'TIF Loan Amortization'!$G$488,IF(AND($C384&gt;='TIF Loan Amortization'!$H$489,$C384&lt;='TIF Loan Amortization'!I$489),'TIF Loan Amortization'!$G$489,IF(AND($C384&gt;='TIF Loan Amortization'!$H$490,$C384&lt;='TIF Loan Amortization'!I$490),'TIF Loan Amortization'!$G$490,IF(AND($C384&gt;='TIF Loan Amortization'!$H$491,$C384&lt;='TIF Loan Amortization'!I$491),'TIF Loan Amortization'!$G$491,IF(AND($C384&gt;='TIF Loan Amortization'!$H$492,$C384&lt;='TIF Loan Amortization'!I$492),'TIF Loan Amortization'!$G$492,IF(AND($C384&gt;='TIF Loan Amortization'!$H$493,$C384&lt;='TIF Loan Amortization'!I$493),'TIF Loan Amortization'!$G$493,IF(AND($C384&gt;='TIF Loan Amortization'!$H$494,$C384&lt;='TIF Loan Amortization'!I$494),'TIF Loan Amortization'!$G$494,IF(AND($C384&gt;='TIF Loan Amortization'!$H$495,$C384&lt;='TIF Loan Amortization'!I$495),'TIF Loan Amortization'!$G$495,IF(AND($C384&gt;='TIF Loan Amortization'!$H$496,$C384&lt;='TIF Loan Amortization'!I$496),'TIF Loan Amortization'!$G$496,IF(AND($C384&gt;='TIF Loan Amortization'!$H$497,$C384&lt;='TIF Loan Amortization'!I$497),'TIF Loan Amortization'!$G$497,IF(AND($C384&gt;='TIF Loan Amortization'!$H$498,$C384&lt;='TIF Loan Amortization'!I$498),'TIF Loan Amortization'!$G$498,IF(AND($C384&gt;='TIF Loan Amortization'!$H$499,$C384&lt;='TIF Loan Amortization'!I$499),'TIF Loan Amortization'!$G$499,IF(AND($C384&gt;='TIF Loan Amortization'!$H$500,$C384&lt;='TIF Loan Amortization'!I$500),'TIF Loan Amortization'!$G$500,IF(AND($C384&gt;='TIF Loan Amortization'!$H$501,$C384&lt;='TIF Loan Amortization'!I$501),'TIF Loan Amortization'!$G$501,IF(AND($C384&gt;='TIF Loan Amortization'!$H$502,$C384&lt;='TIF Loan Amortization'!I$502),'TIF Loan Amortization'!$G$502,IF(AND($C384&gt;='TIF Loan Amortization'!$H$503,$C384&lt;='TIF Loan Amortization'!I$503),'TIF Loan Amortization'!$G$503,IF(AND($C384&gt;='TIF Loan Amortization'!$H$504,$C384&lt;='TIF Loan Amortization'!I$504),'TIF Loan Amortization'!$G$504,IF(AND($C384&gt;='TIF Loan Amortization'!$H$505,$C384&lt;='TIF Loan Amortization'!I$505),'TIF Loan Amortization'!$G$505,IF(AND($C384&gt;='TIF Loan Amortization'!$H$506,$C384&lt;='TIF Loan Amortization'!I$506),'TIF Loan Amortization'!$G$506,IF(AND($C384&gt;='TIF Loan Amortization'!$H$507,$C384&lt;='TIF Loan Amortization'!I$507),'TIF Loan Amortization'!$G$507,IF(AND($C384&gt;='TIF Loan Amortization'!$H$508,$C384&lt;='TIF Loan Amortization'!I$508),'TIF Loan Amortization'!$G$508,IF(AND($C384&gt;='TIF Loan Amortization'!$H$509,$C384&lt;='TIF Loan Amortization'!I$509),'TIF Loan Amortization'!$G$509,IF(AND($C384&gt;='TIF Loan Amortization'!$H$510,$C384&lt;='TIF Loan Amortization'!I$510),'TIF Loan Amortization'!$G$510,IF(AND($C384&gt;='TIF Loan Amortization'!$H$511,$C384&lt;='TIF Loan Amortization'!I$511),'TIF Loan Amortization'!$G$511,IF(AND($C384&gt;='TIF Loan Amortization'!$H$512,$C384&lt;='TIF Loan Amortization'!I$512),'TIF Loan Amortization'!$G$512,IF(AND($C384&gt;='TIF Loan Amortization'!$H$513,$C384&lt;='TIF Loan Amortization'!I$513),'TIF Loan Amortization'!$G$513,IF(AND($C384&gt;='TIF Loan Amortization'!$H$514,$C384&lt;='TIF Loan Amortization'!I$514),'TIF Loan Amortization'!$G$514,IF(AND($C384&gt;='TIF Loan Amortization'!$H$515,$C384&lt;='TIF Loan Amortization'!I$515),'TIF Loan Amortization'!$G$515,IF(AND($C384&gt;='TIF Loan Amortization'!$H$516,$C384&lt;='TIF Loan Amortization'!I$516),'TIF Loan Amortization'!$G$516,IF(AND($C384&gt;='TIF Loan Amortization'!$H$517,$C384&lt;='TIF Loan Amortization'!I$517),'TIF Loan Amortization'!$G$517,IF(AND($C384&gt;='TIF Loan Amortization'!$H$518,$C384&lt;='TIF Loan Amortization'!I$518),'TIF Loan Amortization'!$G$518,IF(AND($C384&gt;='TIF Loan Amortization'!$H$519,$C384&lt;='TIF Loan Amortization'!I$519),'TIF Loan Amortization'!$G$519))))))))))))))))))))))))))))))))))))))))</f>
        <v>#N/A</v>
      </c>
      <c r="C384" s="269" t="e">
        <f t="shared" si="48"/>
        <v>#N/A</v>
      </c>
      <c r="D384" s="277">
        <f>IF($AG$432=1,$H$10+28,"")</f>
        <v>2053</v>
      </c>
      <c r="E384" s="274">
        <v>334</v>
      </c>
      <c r="F384" s="273" t="str">
        <f>VLOOKUP($AG$432,$AE$422:$AF$433,2)</f>
        <v>Jan</v>
      </c>
      <c r="G384" s="272">
        <f t="shared" si="49"/>
        <v>0</v>
      </c>
      <c r="H384" s="272">
        <f t="shared" si="52"/>
        <v>0</v>
      </c>
      <c r="I384" s="272">
        <f t="shared" si="53"/>
        <v>0</v>
      </c>
      <c r="J384" s="272">
        <f t="shared" si="50"/>
        <v>0</v>
      </c>
      <c r="K384" s="272">
        <f>IF(ISTEXT($M$4),"",SUM(I$50:I384))</f>
        <v>0</v>
      </c>
      <c r="L384" s="272">
        <f>IF(ISTEXT($M$4),"",SUM(J$50:J384))</f>
        <v>0</v>
      </c>
      <c r="M384" s="271">
        <f t="shared" si="51"/>
        <v>0</v>
      </c>
      <c r="N384" s="291" t="e">
        <f>IF(C384='Operating Assumptions'!$C$48,"Construction Finish","")</f>
        <v>#N/A</v>
      </c>
      <c r="O384" s="291"/>
      <c r="P384" s="291"/>
      <c r="Q384" s="291"/>
      <c r="R384" s="291"/>
      <c r="S384" s="291"/>
      <c r="T384" s="280"/>
      <c r="Z384" s="279"/>
      <c r="AA384" s="279"/>
      <c r="AB384" s="279"/>
    </row>
    <row r="385" spans="2:28" s="278" customFormat="1" ht="13.5" hidden="1" outlineLevel="1" x14ac:dyDescent="0.25">
      <c r="B385" s="270" t="e">
        <f>IF(AND($C385&gt;='TIF Loan Amortization'!$H$480,$C385&lt;='TIF Loan Amortization'!$I$480),'TIF Loan Amortization'!$G$480,IF(AND($C385&gt;='TIF Loan Amortization'!$H$481,$C385&lt;='TIF Loan Amortization'!I$481),'TIF Loan Amortization'!$G$481,IF(AND($C385&gt;='TIF Loan Amortization'!$H$482,$C385&lt;='TIF Loan Amortization'!I$482),'TIF Loan Amortization'!$G$482,IF(AND($C385&gt;='TIF Loan Amortization'!$H$483,$C385&lt;='TIF Loan Amortization'!I$483),'TIF Loan Amortization'!$G$483,IF(AND($C385&gt;='TIF Loan Amortization'!$H$484,$C385&lt;='TIF Loan Amortization'!I$484),'TIF Loan Amortization'!$G$484,IF(AND($C385&gt;='TIF Loan Amortization'!$H$485,$C385&lt;='TIF Loan Amortization'!I$485),'TIF Loan Amortization'!$G$485,IF(AND($C385&gt;='TIF Loan Amortization'!$H$486,$C385&lt;='TIF Loan Amortization'!I$486),'TIF Loan Amortization'!$G$486,IF(AND($C385&gt;='TIF Loan Amortization'!$H$487,$C385&lt;='TIF Loan Amortization'!I$487),'TIF Loan Amortization'!$G$487,IF(AND($C385&gt;='TIF Loan Amortization'!$H$488,$C385&lt;='TIF Loan Amortization'!I$488),'TIF Loan Amortization'!$G$488,IF(AND($C385&gt;='TIF Loan Amortization'!$H$489,$C385&lt;='TIF Loan Amortization'!I$489),'TIF Loan Amortization'!$G$489,IF(AND($C385&gt;='TIF Loan Amortization'!$H$490,$C385&lt;='TIF Loan Amortization'!I$490),'TIF Loan Amortization'!$G$490,IF(AND($C385&gt;='TIF Loan Amortization'!$H$491,$C385&lt;='TIF Loan Amortization'!I$491),'TIF Loan Amortization'!$G$491,IF(AND($C385&gt;='TIF Loan Amortization'!$H$492,$C385&lt;='TIF Loan Amortization'!I$492),'TIF Loan Amortization'!$G$492,IF(AND($C385&gt;='TIF Loan Amortization'!$H$493,$C385&lt;='TIF Loan Amortization'!I$493),'TIF Loan Amortization'!$G$493,IF(AND($C385&gt;='TIF Loan Amortization'!$H$494,$C385&lt;='TIF Loan Amortization'!I$494),'TIF Loan Amortization'!$G$494,IF(AND($C385&gt;='TIF Loan Amortization'!$H$495,$C385&lt;='TIF Loan Amortization'!I$495),'TIF Loan Amortization'!$G$495,IF(AND($C385&gt;='TIF Loan Amortization'!$H$496,$C385&lt;='TIF Loan Amortization'!I$496),'TIF Loan Amortization'!$G$496,IF(AND($C385&gt;='TIF Loan Amortization'!$H$497,$C385&lt;='TIF Loan Amortization'!I$497),'TIF Loan Amortization'!$G$497,IF(AND($C385&gt;='TIF Loan Amortization'!$H$498,$C385&lt;='TIF Loan Amortization'!I$498),'TIF Loan Amortization'!$G$498,IF(AND($C385&gt;='TIF Loan Amortization'!$H$499,$C385&lt;='TIF Loan Amortization'!I$499),'TIF Loan Amortization'!$G$499,IF(AND($C385&gt;='TIF Loan Amortization'!$H$500,$C385&lt;='TIF Loan Amortization'!I$500),'TIF Loan Amortization'!$G$500,IF(AND($C385&gt;='TIF Loan Amortization'!$H$501,$C385&lt;='TIF Loan Amortization'!I$501),'TIF Loan Amortization'!$G$501,IF(AND($C385&gt;='TIF Loan Amortization'!$H$502,$C385&lt;='TIF Loan Amortization'!I$502),'TIF Loan Amortization'!$G$502,IF(AND($C385&gt;='TIF Loan Amortization'!$H$503,$C385&lt;='TIF Loan Amortization'!I$503),'TIF Loan Amortization'!$G$503,IF(AND($C385&gt;='TIF Loan Amortization'!$H$504,$C385&lt;='TIF Loan Amortization'!I$504),'TIF Loan Amortization'!$G$504,IF(AND($C385&gt;='TIF Loan Amortization'!$H$505,$C385&lt;='TIF Loan Amortization'!I$505),'TIF Loan Amortization'!$G$505,IF(AND($C385&gt;='TIF Loan Amortization'!$H$506,$C385&lt;='TIF Loan Amortization'!I$506),'TIF Loan Amortization'!$G$506,IF(AND($C385&gt;='TIF Loan Amortization'!$H$507,$C385&lt;='TIF Loan Amortization'!I$507),'TIF Loan Amortization'!$G$507,IF(AND($C385&gt;='TIF Loan Amortization'!$H$508,$C385&lt;='TIF Loan Amortization'!I$508),'TIF Loan Amortization'!$G$508,IF(AND($C385&gt;='TIF Loan Amortization'!$H$509,$C385&lt;='TIF Loan Amortization'!I$509),'TIF Loan Amortization'!$G$509,IF(AND($C385&gt;='TIF Loan Amortization'!$H$510,$C385&lt;='TIF Loan Amortization'!I$510),'TIF Loan Amortization'!$G$510,IF(AND($C385&gt;='TIF Loan Amortization'!$H$511,$C385&lt;='TIF Loan Amortization'!I$511),'TIF Loan Amortization'!$G$511,IF(AND($C385&gt;='TIF Loan Amortization'!$H$512,$C385&lt;='TIF Loan Amortization'!I$512),'TIF Loan Amortization'!$G$512,IF(AND($C385&gt;='TIF Loan Amortization'!$H$513,$C385&lt;='TIF Loan Amortization'!I$513),'TIF Loan Amortization'!$G$513,IF(AND($C385&gt;='TIF Loan Amortization'!$H$514,$C385&lt;='TIF Loan Amortization'!I$514),'TIF Loan Amortization'!$G$514,IF(AND($C385&gt;='TIF Loan Amortization'!$H$515,$C385&lt;='TIF Loan Amortization'!I$515),'TIF Loan Amortization'!$G$515,IF(AND($C385&gt;='TIF Loan Amortization'!$H$516,$C385&lt;='TIF Loan Amortization'!I$516),'TIF Loan Amortization'!$G$516,IF(AND($C385&gt;='TIF Loan Amortization'!$H$517,$C385&lt;='TIF Loan Amortization'!I$517),'TIF Loan Amortization'!$G$517,IF(AND($C385&gt;='TIF Loan Amortization'!$H$518,$C385&lt;='TIF Loan Amortization'!I$518),'TIF Loan Amortization'!$G$518,IF(AND($C385&gt;='TIF Loan Amortization'!$H$519,$C385&lt;='TIF Loan Amortization'!I$519),'TIF Loan Amortization'!$G$519))))))))))))))))))))))))))))))))))))))))</f>
        <v>#N/A</v>
      </c>
      <c r="C385" s="269" t="e">
        <f t="shared" si="48"/>
        <v>#N/A</v>
      </c>
      <c r="D385" s="277" t="str">
        <f>IF($AG$433=1,$H$10+28,"")</f>
        <v/>
      </c>
      <c r="E385" s="274">
        <v>335</v>
      </c>
      <c r="F385" s="273" t="str">
        <f>VLOOKUP($AG$433,$AE$422:$AF$433,2)</f>
        <v>Feb</v>
      </c>
      <c r="G385" s="272">
        <f t="shared" si="49"/>
        <v>0</v>
      </c>
      <c r="H385" s="272">
        <f t="shared" si="52"/>
        <v>0</v>
      </c>
      <c r="I385" s="272">
        <f t="shared" si="53"/>
        <v>0</v>
      </c>
      <c r="J385" s="272">
        <f t="shared" si="50"/>
        <v>0</v>
      </c>
      <c r="K385" s="272">
        <f>IF(ISTEXT($M$4),"",SUM(I$50:I385))</f>
        <v>0</v>
      </c>
      <c r="L385" s="272">
        <f>IF(ISTEXT($M$4),"",SUM(J$50:J385))</f>
        <v>0</v>
      </c>
      <c r="M385" s="271">
        <f t="shared" si="51"/>
        <v>0</v>
      </c>
      <c r="N385" s="291" t="e">
        <f>IF(C385='Operating Assumptions'!$C$48,"Construction Finish","")</f>
        <v>#N/A</v>
      </c>
      <c r="O385" s="291"/>
      <c r="P385" s="291"/>
      <c r="Q385" s="291"/>
      <c r="R385" s="291"/>
      <c r="S385" s="291"/>
      <c r="T385" s="280"/>
      <c r="Z385" s="279"/>
      <c r="AA385" s="279"/>
      <c r="AB385" s="279"/>
    </row>
    <row r="386" spans="2:28" s="278" customFormat="1" ht="13.5" hidden="1" outlineLevel="1" x14ac:dyDescent="0.25">
      <c r="B386" s="270" t="e">
        <f>IF(AND($C386&gt;='TIF Loan Amortization'!$H$480,$C386&lt;='TIF Loan Amortization'!$I$480),'TIF Loan Amortization'!$G$480,IF(AND($C386&gt;='TIF Loan Amortization'!$H$481,$C386&lt;='TIF Loan Amortization'!I$481),'TIF Loan Amortization'!$G$481,IF(AND($C386&gt;='TIF Loan Amortization'!$H$482,$C386&lt;='TIF Loan Amortization'!I$482),'TIF Loan Amortization'!$G$482,IF(AND($C386&gt;='TIF Loan Amortization'!$H$483,$C386&lt;='TIF Loan Amortization'!I$483),'TIF Loan Amortization'!$G$483,IF(AND($C386&gt;='TIF Loan Amortization'!$H$484,$C386&lt;='TIF Loan Amortization'!I$484),'TIF Loan Amortization'!$G$484,IF(AND($C386&gt;='TIF Loan Amortization'!$H$485,$C386&lt;='TIF Loan Amortization'!I$485),'TIF Loan Amortization'!$G$485,IF(AND($C386&gt;='TIF Loan Amortization'!$H$486,$C386&lt;='TIF Loan Amortization'!I$486),'TIF Loan Amortization'!$G$486,IF(AND($C386&gt;='TIF Loan Amortization'!$H$487,$C386&lt;='TIF Loan Amortization'!I$487),'TIF Loan Amortization'!$G$487,IF(AND($C386&gt;='TIF Loan Amortization'!$H$488,$C386&lt;='TIF Loan Amortization'!I$488),'TIF Loan Amortization'!$G$488,IF(AND($C386&gt;='TIF Loan Amortization'!$H$489,$C386&lt;='TIF Loan Amortization'!I$489),'TIF Loan Amortization'!$G$489,IF(AND($C386&gt;='TIF Loan Amortization'!$H$490,$C386&lt;='TIF Loan Amortization'!I$490),'TIF Loan Amortization'!$G$490,IF(AND($C386&gt;='TIF Loan Amortization'!$H$491,$C386&lt;='TIF Loan Amortization'!I$491),'TIF Loan Amortization'!$G$491,IF(AND($C386&gt;='TIF Loan Amortization'!$H$492,$C386&lt;='TIF Loan Amortization'!I$492),'TIF Loan Amortization'!$G$492,IF(AND($C386&gt;='TIF Loan Amortization'!$H$493,$C386&lt;='TIF Loan Amortization'!I$493),'TIF Loan Amortization'!$G$493,IF(AND($C386&gt;='TIF Loan Amortization'!$H$494,$C386&lt;='TIF Loan Amortization'!I$494),'TIF Loan Amortization'!$G$494,IF(AND($C386&gt;='TIF Loan Amortization'!$H$495,$C386&lt;='TIF Loan Amortization'!I$495),'TIF Loan Amortization'!$G$495,IF(AND($C386&gt;='TIF Loan Amortization'!$H$496,$C386&lt;='TIF Loan Amortization'!I$496),'TIF Loan Amortization'!$G$496,IF(AND($C386&gt;='TIF Loan Amortization'!$H$497,$C386&lt;='TIF Loan Amortization'!I$497),'TIF Loan Amortization'!$G$497,IF(AND($C386&gt;='TIF Loan Amortization'!$H$498,$C386&lt;='TIF Loan Amortization'!I$498),'TIF Loan Amortization'!$G$498,IF(AND($C386&gt;='TIF Loan Amortization'!$H$499,$C386&lt;='TIF Loan Amortization'!I$499),'TIF Loan Amortization'!$G$499,IF(AND($C386&gt;='TIF Loan Amortization'!$H$500,$C386&lt;='TIF Loan Amortization'!I$500),'TIF Loan Amortization'!$G$500,IF(AND($C386&gt;='TIF Loan Amortization'!$H$501,$C386&lt;='TIF Loan Amortization'!I$501),'TIF Loan Amortization'!$G$501,IF(AND($C386&gt;='TIF Loan Amortization'!$H$502,$C386&lt;='TIF Loan Amortization'!I$502),'TIF Loan Amortization'!$G$502,IF(AND($C386&gt;='TIF Loan Amortization'!$H$503,$C386&lt;='TIF Loan Amortization'!I$503),'TIF Loan Amortization'!$G$503,IF(AND($C386&gt;='TIF Loan Amortization'!$H$504,$C386&lt;='TIF Loan Amortization'!I$504),'TIF Loan Amortization'!$G$504,IF(AND($C386&gt;='TIF Loan Amortization'!$H$505,$C386&lt;='TIF Loan Amortization'!I$505),'TIF Loan Amortization'!$G$505,IF(AND($C386&gt;='TIF Loan Amortization'!$H$506,$C386&lt;='TIF Loan Amortization'!I$506),'TIF Loan Amortization'!$G$506,IF(AND($C386&gt;='TIF Loan Amortization'!$H$507,$C386&lt;='TIF Loan Amortization'!I$507),'TIF Loan Amortization'!$G$507,IF(AND($C386&gt;='TIF Loan Amortization'!$H$508,$C386&lt;='TIF Loan Amortization'!I$508),'TIF Loan Amortization'!$G$508,IF(AND($C386&gt;='TIF Loan Amortization'!$H$509,$C386&lt;='TIF Loan Amortization'!I$509),'TIF Loan Amortization'!$G$509,IF(AND($C386&gt;='TIF Loan Amortization'!$H$510,$C386&lt;='TIF Loan Amortization'!I$510),'TIF Loan Amortization'!$G$510,IF(AND($C386&gt;='TIF Loan Amortization'!$H$511,$C386&lt;='TIF Loan Amortization'!I$511),'TIF Loan Amortization'!$G$511,IF(AND($C386&gt;='TIF Loan Amortization'!$H$512,$C386&lt;='TIF Loan Amortization'!I$512),'TIF Loan Amortization'!$G$512,IF(AND($C386&gt;='TIF Loan Amortization'!$H$513,$C386&lt;='TIF Loan Amortization'!I$513),'TIF Loan Amortization'!$G$513,IF(AND($C386&gt;='TIF Loan Amortization'!$H$514,$C386&lt;='TIF Loan Amortization'!I$514),'TIF Loan Amortization'!$G$514,IF(AND($C386&gt;='TIF Loan Amortization'!$H$515,$C386&lt;='TIF Loan Amortization'!I$515),'TIF Loan Amortization'!$G$515,IF(AND($C386&gt;='TIF Loan Amortization'!$H$516,$C386&lt;='TIF Loan Amortization'!I$516),'TIF Loan Amortization'!$G$516,IF(AND($C386&gt;='TIF Loan Amortization'!$H$517,$C386&lt;='TIF Loan Amortization'!I$517),'TIF Loan Amortization'!$G$517,IF(AND($C386&gt;='TIF Loan Amortization'!$H$518,$C386&lt;='TIF Loan Amortization'!I$518),'TIF Loan Amortization'!$G$518,IF(AND($C386&gt;='TIF Loan Amortization'!$H$519,$C386&lt;='TIF Loan Amortization'!I$519),'TIF Loan Amortization'!$G$519))))))))))))))))))))))))))))))))))))))))</f>
        <v>#N/A</v>
      </c>
      <c r="C386" s="269" t="e">
        <f t="shared" si="48"/>
        <v>#N/A</v>
      </c>
      <c r="D386" s="277" t="str">
        <f>IF($H$11="January",$H$10+28,IF($AG$422=1,$H$10+29,""))</f>
        <v/>
      </c>
      <c r="E386" s="274">
        <v>336</v>
      </c>
      <c r="F386" s="273" t="str">
        <f>VLOOKUP($AG$422,$AE$422:$AF$433,2)</f>
        <v>Mar</v>
      </c>
      <c r="G386" s="272">
        <f t="shared" si="49"/>
        <v>0</v>
      </c>
      <c r="H386" s="272">
        <f t="shared" si="52"/>
        <v>0</v>
      </c>
      <c r="I386" s="272">
        <f t="shared" si="53"/>
        <v>0</v>
      </c>
      <c r="J386" s="272">
        <f t="shared" si="50"/>
        <v>0</v>
      </c>
      <c r="K386" s="272">
        <f>IF(ISTEXT($M$4),"",SUM(I$50:I386))</f>
        <v>0</v>
      </c>
      <c r="L386" s="272">
        <f>IF(ISTEXT($M$4),"",SUM(J$50:J386))</f>
        <v>0</v>
      </c>
      <c r="M386" s="271">
        <f t="shared" si="51"/>
        <v>0</v>
      </c>
      <c r="N386" s="291" t="e">
        <f>IF(C386='Operating Assumptions'!$C$48,"Construction Finish","")</f>
        <v>#N/A</v>
      </c>
      <c r="O386" s="291"/>
      <c r="P386" s="291"/>
      <c r="Q386" s="291"/>
      <c r="R386" s="291"/>
      <c r="S386" s="291"/>
      <c r="T386" s="280"/>
      <c r="Z386" s="279"/>
      <c r="AA386" s="279"/>
      <c r="AB386" s="279"/>
    </row>
    <row r="387" spans="2:28" s="278" customFormat="1" ht="13.5" hidden="1" outlineLevel="1" x14ac:dyDescent="0.25">
      <c r="B387" s="270" t="e">
        <f>IF(AND($C387&gt;='TIF Loan Amortization'!$H$480,$C387&lt;='TIF Loan Amortization'!$I$480),'TIF Loan Amortization'!$G$480,IF(AND($C387&gt;='TIF Loan Amortization'!$H$481,$C387&lt;='TIF Loan Amortization'!I$481),'TIF Loan Amortization'!$G$481,IF(AND($C387&gt;='TIF Loan Amortization'!$H$482,$C387&lt;='TIF Loan Amortization'!I$482),'TIF Loan Amortization'!$G$482,IF(AND($C387&gt;='TIF Loan Amortization'!$H$483,$C387&lt;='TIF Loan Amortization'!I$483),'TIF Loan Amortization'!$G$483,IF(AND($C387&gt;='TIF Loan Amortization'!$H$484,$C387&lt;='TIF Loan Amortization'!I$484),'TIF Loan Amortization'!$G$484,IF(AND($C387&gt;='TIF Loan Amortization'!$H$485,$C387&lt;='TIF Loan Amortization'!I$485),'TIF Loan Amortization'!$G$485,IF(AND($C387&gt;='TIF Loan Amortization'!$H$486,$C387&lt;='TIF Loan Amortization'!I$486),'TIF Loan Amortization'!$G$486,IF(AND($C387&gt;='TIF Loan Amortization'!$H$487,$C387&lt;='TIF Loan Amortization'!I$487),'TIF Loan Amortization'!$G$487,IF(AND($C387&gt;='TIF Loan Amortization'!$H$488,$C387&lt;='TIF Loan Amortization'!I$488),'TIF Loan Amortization'!$G$488,IF(AND($C387&gt;='TIF Loan Amortization'!$H$489,$C387&lt;='TIF Loan Amortization'!I$489),'TIF Loan Amortization'!$G$489,IF(AND($C387&gt;='TIF Loan Amortization'!$H$490,$C387&lt;='TIF Loan Amortization'!I$490),'TIF Loan Amortization'!$G$490,IF(AND($C387&gt;='TIF Loan Amortization'!$H$491,$C387&lt;='TIF Loan Amortization'!I$491),'TIF Loan Amortization'!$G$491,IF(AND($C387&gt;='TIF Loan Amortization'!$H$492,$C387&lt;='TIF Loan Amortization'!I$492),'TIF Loan Amortization'!$G$492,IF(AND($C387&gt;='TIF Loan Amortization'!$H$493,$C387&lt;='TIF Loan Amortization'!I$493),'TIF Loan Amortization'!$G$493,IF(AND($C387&gt;='TIF Loan Amortization'!$H$494,$C387&lt;='TIF Loan Amortization'!I$494),'TIF Loan Amortization'!$G$494,IF(AND($C387&gt;='TIF Loan Amortization'!$H$495,$C387&lt;='TIF Loan Amortization'!I$495),'TIF Loan Amortization'!$G$495,IF(AND($C387&gt;='TIF Loan Amortization'!$H$496,$C387&lt;='TIF Loan Amortization'!I$496),'TIF Loan Amortization'!$G$496,IF(AND($C387&gt;='TIF Loan Amortization'!$H$497,$C387&lt;='TIF Loan Amortization'!I$497),'TIF Loan Amortization'!$G$497,IF(AND($C387&gt;='TIF Loan Amortization'!$H$498,$C387&lt;='TIF Loan Amortization'!I$498),'TIF Loan Amortization'!$G$498,IF(AND($C387&gt;='TIF Loan Amortization'!$H$499,$C387&lt;='TIF Loan Amortization'!I$499),'TIF Loan Amortization'!$G$499,IF(AND($C387&gt;='TIF Loan Amortization'!$H$500,$C387&lt;='TIF Loan Amortization'!I$500),'TIF Loan Amortization'!$G$500,IF(AND($C387&gt;='TIF Loan Amortization'!$H$501,$C387&lt;='TIF Loan Amortization'!I$501),'TIF Loan Amortization'!$G$501,IF(AND($C387&gt;='TIF Loan Amortization'!$H$502,$C387&lt;='TIF Loan Amortization'!I$502),'TIF Loan Amortization'!$G$502,IF(AND($C387&gt;='TIF Loan Amortization'!$H$503,$C387&lt;='TIF Loan Amortization'!I$503),'TIF Loan Amortization'!$G$503,IF(AND($C387&gt;='TIF Loan Amortization'!$H$504,$C387&lt;='TIF Loan Amortization'!I$504),'TIF Loan Amortization'!$G$504,IF(AND($C387&gt;='TIF Loan Amortization'!$H$505,$C387&lt;='TIF Loan Amortization'!I$505),'TIF Loan Amortization'!$G$505,IF(AND($C387&gt;='TIF Loan Amortization'!$H$506,$C387&lt;='TIF Loan Amortization'!I$506),'TIF Loan Amortization'!$G$506,IF(AND($C387&gt;='TIF Loan Amortization'!$H$507,$C387&lt;='TIF Loan Amortization'!I$507),'TIF Loan Amortization'!$G$507,IF(AND($C387&gt;='TIF Loan Amortization'!$H$508,$C387&lt;='TIF Loan Amortization'!I$508),'TIF Loan Amortization'!$G$508,IF(AND($C387&gt;='TIF Loan Amortization'!$H$509,$C387&lt;='TIF Loan Amortization'!I$509),'TIF Loan Amortization'!$G$509,IF(AND($C387&gt;='TIF Loan Amortization'!$H$510,$C387&lt;='TIF Loan Amortization'!I$510),'TIF Loan Amortization'!$G$510,IF(AND($C387&gt;='TIF Loan Amortization'!$H$511,$C387&lt;='TIF Loan Amortization'!I$511),'TIF Loan Amortization'!$G$511,IF(AND($C387&gt;='TIF Loan Amortization'!$H$512,$C387&lt;='TIF Loan Amortization'!I$512),'TIF Loan Amortization'!$G$512,IF(AND($C387&gt;='TIF Loan Amortization'!$H$513,$C387&lt;='TIF Loan Amortization'!I$513),'TIF Loan Amortization'!$G$513,IF(AND($C387&gt;='TIF Loan Amortization'!$H$514,$C387&lt;='TIF Loan Amortization'!I$514),'TIF Loan Amortization'!$G$514,IF(AND($C387&gt;='TIF Loan Amortization'!$H$515,$C387&lt;='TIF Loan Amortization'!I$515),'TIF Loan Amortization'!$G$515,IF(AND($C387&gt;='TIF Loan Amortization'!$H$516,$C387&lt;='TIF Loan Amortization'!I$516),'TIF Loan Amortization'!$G$516,IF(AND($C387&gt;='TIF Loan Amortization'!$H$517,$C387&lt;='TIF Loan Amortization'!I$517),'TIF Loan Amortization'!$G$517,IF(AND($C387&gt;='TIF Loan Amortization'!$H$518,$C387&lt;='TIF Loan Amortization'!I$518),'TIF Loan Amortization'!$G$518,IF(AND($C387&gt;='TIF Loan Amortization'!$H$519,$C387&lt;='TIF Loan Amortization'!I$519),'TIF Loan Amortization'!$G$519))))))))))))))))))))))))))))))))))))))))</f>
        <v>#N/A</v>
      </c>
      <c r="C387" s="269" t="e">
        <f t="shared" si="48"/>
        <v>#N/A</v>
      </c>
      <c r="D387" s="277" t="str">
        <f>IF($AG$423=1,$H$10+29,"")</f>
        <v/>
      </c>
      <c r="E387" s="274">
        <v>337</v>
      </c>
      <c r="F387" s="275" t="str">
        <f>VLOOKUP($AG$423,$AE$422:$AF$433,2)</f>
        <v>Apr</v>
      </c>
      <c r="G387" s="272">
        <f t="shared" si="49"/>
        <v>0</v>
      </c>
      <c r="H387" s="272">
        <f t="shared" si="52"/>
        <v>0</v>
      </c>
      <c r="I387" s="272">
        <f t="shared" si="53"/>
        <v>0</v>
      </c>
      <c r="J387" s="272">
        <f t="shared" si="50"/>
        <v>0</v>
      </c>
      <c r="K387" s="272">
        <f>IF(ISTEXT($M$4),"",SUM(I$50:I387))</f>
        <v>0</v>
      </c>
      <c r="L387" s="272">
        <f>IF(ISTEXT($M$4),"",SUM(J$50:J387))</f>
        <v>0</v>
      </c>
      <c r="M387" s="271">
        <f t="shared" si="51"/>
        <v>0</v>
      </c>
      <c r="N387" s="291" t="e">
        <f>IF(C387='Operating Assumptions'!$C$48,"Construction Finish","")</f>
        <v>#N/A</v>
      </c>
      <c r="O387" s="291"/>
      <c r="P387" s="291"/>
      <c r="Q387" s="291"/>
      <c r="R387" s="291"/>
      <c r="S387" s="291"/>
      <c r="T387" s="280"/>
      <c r="Z387" s="279"/>
      <c r="AA387" s="279"/>
      <c r="AB387" s="279"/>
    </row>
    <row r="388" spans="2:28" s="278" customFormat="1" ht="13.5" hidden="1" outlineLevel="1" x14ac:dyDescent="0.25">
      <c r="B388" s="270" t="e">
        <f>IF(AND($C388&gt;='TIF Loan Amortization'!$H$480,$C388&lt;='TIF Loan Amortization'!$I$480),'TIF Loan Amortization'!$G$480,IF(AND($C388&gt;='TIF Loan Amortization'!$H$481,$C388&lt;='TIF Loan Amortization'!I$481),'TIF Loan Amortization'!$G$481,IF(AND($C388&gt;='TIF Loan Amortization'!$H$482,$C388&lt;='TIF Loan Amortization'!I$482),'TIF Loan Amortization'!$G$482,IF(AND($C388&gt;='TIF Loan Amortization'!$H$483,$C388&lt;='TIF Loan Amortization'!I$483),'TIF Loan Amortization'!$G$483,IF(AND($C388&gt;='TIF Loan Amortization'!$H$484,$C388&lt;='TIF Loan Amortization'!I$484),'TIF Loan Amortization'!$G$484,IF(AND($C388&gt;='TIF Loan Amortization'!$H$485,$C388&lt;='TIF Loan Amortization'!I$485),'TIF Loan Amortization'!$G$485,IF(AND($C388&gt;='TIF Loan Amortization'!$H$486,$C388&lt;='TIF Loan Amortization'!I$486),'TIF Loan Amortization'!$G$486,IF(AND($C388&gt;='TIF Loan Amortization'!$H$487,$C388&lt;='TIF Loan Amortization'!I$487),'TIF Loan Amortization'!$G$487,IF(AND($C388&gt;='TIF Loan Amortization'!$H$488,$C388&lt;='TIF Loan Amortization'!I$488),'TIF Loan Amortization'!$G$488,IF(AND($C388&gt;='TIF Loan Amortization'!$H$489,$C388&lt;='TIF Loan Amortization'!I$489),'TIF Loan Amortization'!$G$489,IF(AND($C388&gt;='TIF Loan Amortization'!$H$490,$C388&lt;='TIF Loan Amortization'!I$490),'TIF Loan Amortization'!$G$490,IF(AND($C388&gt;='TIF Loan Amortization'!$H$491,$C388&lt;='TIF Loan Amortization'!I$491),'TIF Loan Amortization'!$G$491,IF(AND($C388&gt;='TIF Loan Amortization'!$H$492,$C388&lt;='TIF Loan Amortization'!I$492),'TIF Loan Amortization'!$G$492,IF(AND($C388&gt;='TIF Loan Amortization'!$H$493,$C388&lt;='TIF Loan Amortization'!I$493),'TIF Loan Amortization'!$G$493,IF(AND($C388&gt;='TIF Loan Amortization'!$H$494,$C388&lt;='TIF Loan Amortization'!I$494),'TIF Loan Amortization'!$G$494,IF(AND($C388&gt;='TIF Loan Amortization'!$H$495,$C388&lt;='TIF Loan Amortization'!I$495),'TIF Loan Amortization'!$G$495,IF(AND($C388&gt;='TIF Loan Amortization'!$H$496,$C388&lt;='TIF Loan Amortization'!I$496),'TIF Loan Amortization'!$G$496,IF(AND($C388&gt;='TIF Loan Amortization'!$H$497,$C388&lt;='TIF Loan Amortization'!I$497),'TIF Loan Amortization'!$G$497,IF(AND($C388&gt;='TIF Loan Amortization'!$H$498,$C388&lt;='TIF Loan Amortization'!I$498),'TIF Loan Amortization'!$G$498,IF(AND($C388&gt;='TIF Loan Amortization'!$H$499,$C388&lt;='TIF Loan Amortization'!I$499),'TIF Loan Amortization'!$G$499,IF(AND($C388&gt;='TIF Loan Amortization'!$H$500,$C388&lt;='TIF Loan Amortization'!I$500),'TIF Loan Amortization'!$G$500,IF(AND($C388&gt;='TIF Loan Amortization'!$H$501,$C388&lt;='TIF Loan Amortization'!I$501),'TIF Loan Amortization'!$G$501,IF(AND($C388&gt;='TIF Loan Amortization'!$H$502,$C388&lt;='TIF Loan Amortization'!I$502),'TIF Loan Amortization'!$G$502,IF(AND($C388&gt;='TIF Loan Amortization'!$H$503,$C388&lt;='TIF Loan Amortization'!I$503),'TIF Loan Amortization'!$G$503,IF(AND($C388&gt;='TIF Loan Amortization'!$H$504,$C388&lt;='TIF Loan Amortization'!I$504),'TIF Loan Amortization'!$G$504,IF(AND($C388&gt;='TIF Loan Amortization'!$H$505,$C388&lt;='TIF Loan Amortization'!I$505),'TIF Loan Amortization'!$G$505,IF(AND($C388&gt;='TIF Loan Amortization'!$H$506,$C388&lt;='TIF Loan Amortization'!I$506),'TIF Loan Amortization'!$G$506,IF(AND($C388&gt;='TIF Loan Amortization'!$H$507,$C388&lt;='TIF Loan Amortization'!I$507),'TIF Loan Amortization'!$G$507,IF(AND($C388&gt;='TIF Loan Amortization'!$H$508,$C388&lt;='TIF Loan Amortization'!I$508),'TIF Loan Amortization'!$G$508,IF(AND($C388&gt;='TIF Loan Amortization'!$H$509,$C388&lt;='TIF Loan Amortization'!I$509),'TIF Loan Amortization'!$G$509,IF(AND($C388&gt;='TIF Loan Amortization'!$H$510,$C388&lt;='TIF Loan Amortization'!I$510),'TIF Loan Amortization'!$G$510,IF(AND($C388&gt;='TIF Loan Amortization'!$H$511,$C388&lt;='TIF Loan Amortization'!I$511),'TIF Loan Amortization'!$G$511,IF(AND($C388&gt;='TIF Loan Amortization'!$H$512,$C388&lt;='TIF Loan Amortization'!I$512),'TIF Loan Amortization'!$G$512,IF(AND($C388&gt;='TIF Loan Amortization'!$H$513,$C388&lt;='TIF Loan Amortization'!I$513),'TIF Loan Amortization'!$G$513,IF(AND($C388&gt;='TIF Loan Amortization'!$H$514,$C388&lt;='TIF Loan Amortization'!I$514),'TIF Loan Amortization'!$G$514,IF(AND($C388&gt;='TIF Loan Amortization'!$H$515,$C388&lt;='TIF Loan Amortization'!I$515),'TIF Loan Amortization'!$G$515,IF(AND($C388&gt;='TIF Loan Amortization'!$H$516,$C388&lt;='TIF Loan Amortization'!I$516),'TIF Loan Amortization'!$G$516,IF(AND($C388&gt;='TIF Loan Amortization'!$H$517,$C388&lt;='TIF Loan Amortization'!I$517),'TIF Loan Amortization'!$G$517,IF(AND($C388&gt;='TIF Loan Amortization'!$H$518,$C388&lt;='TIF Loan Amortization'!I$518),'TIF Loan Amortization'!$G$518,IF(AND($C388&gt;='TIF Loan Amortization'!$H$519,$C388&lt;='TIF Loan Amortization'!I$519),'TIF Loan Amortization'!$G$519))))))))))))))))))))))))))))))))))))))))</f>
        <v>#N/A</v>
      </c>
      <c r="C388" s="269" t="e">
        <f t="shared" si="48"/>
        <v>#N/A</v>
      </c>
      <c r="D388" s="277" t="str">
        <f>IF($AG$424=1,$H$10+29,"")</f>
        <v/>
      </c>
      <c r="E388" s="274">
        <v>338</v>
      </c>
      <c r="F388" s="275" t="str">
        <f>VLOOKUP($AG$424,$AE$422:$AF$433,2)</f>
        <v>May</v>
      </c>
      <c r="G388" s="272">
        <f t="shared" si="49"/>
        <v>0</v>
      </c>
      <c r="H388" s="272">
        <f t="shared" si="52"/>
        <v>0</v>
      </c>
      <c r="I388" s="272">
        <f t="shared" si="53"/>
        <v>0</v>
      </c>
      <c r="J388" s="272">
        <f t="shared" si="50"/>
        <v>0</v>
      </c>
      <c r="K388" s="272">
        <f>IF(ISTEXT($M$4),"",SUM(I$50:I388))</f>
        <v>0</v>
      </c>
      <c r="L388" s="272">
        <f>IF(ISTEXT($M$4),"",SUM(J$50:J388))</f>
        <v>0</v>
      </c>
      <c r="M388" s="271">
        <f t="shared" si="51"/>
        <v>0</v>
      </c>
      <c r="N388" s="291" t="e">
        <f>IF(C388='Operating Assumptions'!$C$48,"Construction Finish","")</f>
        <v>#N/A</v>
      </c>
      <c r="O388" s="291"/>
      <c r="P388" s="291"/>
      <c r="Q388" s="291"/>
      <c r="R388" s="291"/>
      <c r="S388" s="291"/>
      <c r="T388" s="280"/>
      <c r="Z388" s="279"/>
      <c r="AA388" s="279"/>
      <c r="AB388" s="279"/>
    </row>
    <row r="389" spans="2:28" s="278" customFormat="1" ht="13.5" hidden="1" outlineLevel="1" x14ac:dyDescent="0.25">
      <c r="B389" s="270" t="e">
        <f>IF(AND($C389&gt;='TIF Loan Amortization'!$H$480,$C389&lt;='TIF Loan Amortization'!$I$480),'TIF Loan Amortization'!$G$480,IF(AND($C389&gt;='TIF Loan Amortization'!$H$481,$C389&lt;='TIF Loan Amortization'!I$481),'TIF Loan Amortization'!$G$481,IF(AND($C389&gt;='TIF Loan Amortization'!$H$482,$C389&lt;='TIF Loan Amortization'!I$482),'TIF Loan Amortization'!$G$482,IF(AND($C389&gt;='TIF Loan Amortization'!$H$483,$C389&lt;='TIF Loan Amortization'!I$483),'TIF Loan Amortization'!$G$483,IF(AND($C389&gt;='TIF Loan Amortization'!$H$484,$C389&lt;='TIF Loan Amortization'!I$484),'TIF Loan Amortization'!$G$484,IF(AND($C389&gt;='TIF Loan Amortization'!$H$485,$C389&lt;='TIF Loan Amortization'!I$485),'TIF Loan Amortization'!$G$485,IF(AND($C389&gt;='TIF Loan Amortization'!$H$486,$C389&lt;='TIF Loan Amortization'!I$486),'TIF Loan Amortization'!$G$486,IF(AND($C389&gt;='TIF Loan Amortization'!$H$487,$C389&lt;='TIF Loan Amortization'!I$487),'TIF Loan Amortization'!$G$487,IF(AND($C389&gt;='TIF Loan Amortization'!$H$488,$C389&lt;='TIF Loan Amortization'!I$488),'TIF Loan Amortization'!$G$488,IF(AND($C389&gt;='TIF Loan Amortization'!$H$489,$C389&lt;='TIF Loan Amortization'!I$489),'TIF Loan Amortization'!$G$489,IF(AND($C389&gt;='TIF Loan Amortization'!$H$490,$C389&lt;='TIF Loan Amortization'!I$490),'TIF Loan Amortization'!$G$490,IF(AND($C389&gt;='TIF Loan Amortization'!$H$491,$C389&lt;='TIF Loan Amortization'!I$491),'TIF Loan Amortization'!$G$491,IF(AND($C389&gt;='TIF Loan Amortization'!$H$492,$C389&lt;='TIF Loan Amortization'!I$492),'TIF Loan Amortization'!$G$492,IF(AND($C389&gt;='TIF Loan Amortization'!$H$493,$C389&lt;='TIF Loan Amortization'!I$493),'TIF Loan Amortization'!$G$493,IF(AND($C389&gt;='TIF Loan Amortization'!$H$494,$C389&lt;='TIF Loan Amortization'!I$494),'TIF Loan Amortization'!$G$494,IF(AND($C389&gt;='TIF Loan Amortization'!$H$495,$C389&lt;='TIF Loan Amortization'!I$495),'TIF Loan Amortization'!$G$495,IF(AND($C389&gt;='TIF Loan Amortization'!$H$496,$C389&lt;='TIF Loan Amortization'!I$496),'TIF Loan Amortization'!$G$496,IF(AND($C389&gt;='TIF Loan Amortization'!$H$497,$C389&lt;='TIF Loan Amortization'!I$497),'TIF Loan Amortization'!$G$497,IF(AND($C389&gt;='TIF Loan Amortization'!$H$498,$C389&lt;='TIF Loan Amortization'!I$498),'TIF Loan Amortization'!$G$498,IF(AND($C389&gt;='TIF Loan Amortization'!$H$499,$C389&lt;='TIF Loan Amortization'!I$499),'TIF Loan Amortization'!$G$499,IF(AND($C389&gt;='TIF Loan Amortization'!$H$500,$C389&lt;='TIF Loan Amortization'!I$500),'TIF Loan Amortization'!$G$500,IF(AND($C389&gt;='TIF Loan Amortization'!$H$501,$C389&lt;='TIF Loan Amortization'!I$501),'TIF Loan Amortization'!$G$501,IF(AND($C389&gt;='TIF Loan Amortization'!$H$502,$C389&lt;='TIF Loan Amortization'!I$502),'TIF Loan Amortization'!$G$502,IF(AND($C389&gt;='TIF Loan Amortization'!$H$503,$C389&lt;='TIF Loan Amortization'!I$503),'TIF Loan Amortization'!$G$503,IF(AND($C389&gt;='TIF Loan Amortization'!$H$504,$C389&lt;='TIF Loan Amortization'!I$504),'TIF Loan Amortization'!$G$504,IF(AND($C389&gt;='TIF Loan Amortization'!$H$505,$C389&lt;='TIF Loan Amortization'!I$505),'TIF Loan Amortization'!$G$505,IF(AND($C389&gt;='TIF Loan Amortization'!$H$506,$C389&lt;='TIF Loan Amortization'!I$506),'TIF Loan Amortization'!$G$506,IF(AND($C389&gt;='TIF Loan Amortization'!$H$507,$C389&lt;='TIF Loan Amortization'!I$507),'TIF Loan Amortization'!$G$507,IF(AND($C389&gt;='TIF Loan Amortization'!$H$508,$C389&lt;='TIF Loan Amortization'!I$508),'TIF Loan Amortization'!$G$508,IF(AND($C389&gt;='TIF Loan Amortization'!$H$509,$C389&lt;='TIF Loan Amortization'!I$509),'TIF Loan Amortization'!$G$509,IF(AND($C389&gt;='TIF Loan Amortization'!$H$510,$C389&lt;='TIF Loan Amortization'!I$510),'TIF Loan Amortization'!$G$510,IF(AND($C389&gt;='TIF Loan Amortization'!$H$511,$C389&lt;='TIF Loan Amortization'!I$511),'TIF Loan Amortization'!$G$511,IF(AND($C389&gt;='TIF Loan Amortization'!$H$512,$C389&lt;='TIF Loan Amortization'!I$512),'TIF Loan Amortization'!$G$512,IF(AND($C389&gt;='TIF Loan Amortization'!$H$513,$C389&lt;='TIF Loan Amortization'!I$513),'TIF Loan Amortization'!$G$513,IF(AND($C389&gt;='TIF Loan Amortization'!$H$514,$C389&lt;='TIF Loan Amortization'!I$514),'TIF Loan Amortization'!$G$514,IF(AND($C389&gt;='TIF Loan Amortization'!$H$515,$C389&lt;='TIF Loan Amortization'!I$515),'TIF Loan Amortization'!$G$515,IF(AND($C389&gt;='TIF Loan Amortization'!$H$516,$C389&lt;='TIF Loan Amortization'!I$516),'TIF Loan Amortization'!$G$516,IF(AND($C389&gt;='TIF Loan Amortization'!$H$517,$C389&lt;='TIF Loan Amortization'!I$517),'TIF Loan Amortization'!$G$517,IF(AND($C389&gt;='TIF Loan Amortization'!$H$518,$C389&lt;='TIF Loan Amortization'!I$518),'TIF Loan Amortization'!$G$518,IF(AND($C389&gt;='TIF Loan Amortization'!$H$519,$C389&lt;='TIF Loan Amortization'!I$519),'TIF Loan Amortization'!$G$519))))))))))))))))))))))))))))))))))))))))</f>
        <v>#N/A</v>
      </c>
      <c r="C389" s="269" t="e">
        <f t="shared" si="48"/>
        <v>#N/A</v>
      </c>
      <c r="D389" s="277" t="str">
        <f>IF($AG$425=1,$H$10+29,"")</f>
        <v/>
      </c>
      <c r="E389" s="274">
        <v>339</v>
      </c>
      <c r="F389" s="275" t="str">
        <f>VLOOKUP($AG$425,$AE$422:$AF$433,2)</f>
        <v>Jun</v>
      </c>
      <c r="G389" s="272">
        <f t="shared" si="49"/>
        <v>0</v>
      </c>
      <c r="H389" s="272">
        <f t="shared" si="52"/>
        <v>0</v>
      </c>
      <c r="I389" s="272">
        <f t="shared" si="53"/>
        <v>0</v>
      </c>
      <c r="J389" s="272">
        <f t="shared" si="50"/>
        <v>0</v>
      </c>
      <c r="K389" s="272">
        <f>IF(ISTEXT($M$4),"",SUM(I$50:I389))</f>
        <v>0</v>
      </c>
      <c r="L389" s="272">
        <f>IF(ISTEXT($M$4),"",SUM(J$50:J389))</f>
        <v>0</v>
      </c>
      <c r="M389" s="271">
        <f t="shared" si="51"/>
        <v>0</v>
      </c>
      <c r="N389" s="291" t="e">
        <f>IF(C389='Operating Assumptions'!$C$48,"Construction Finish","")</f>
        <v>#N/A</v>
      </c>
      <c r="O389" s="291"/>
      <c r="P389" s="291"/>
      <c r="Q389" s="291"/>
      <c r="R389" s="291"/>
      <c r="S389" s="291"/>
      <c r="T389" s="280"/>
      <c r="Z389" s="279"/>
      <c r="AA389" s="279"/>
      <c r="AB389" s="279"/>
    </row>
    <row r="390" spans="2:28" s="278" customFormat="1" ht="13.5" hidden="1" outlineLevel="1" x14ac:dyDescent="0.25">
      <c r="B390" s="270" t="e">
        <f>IF(AND($C390&gt;='TIF Loan Amortization'!$H$480,$C390&lt;='TIF Loan Amortization'!$I$480),'TIF Loan Amortization'!$G$480,IF(AND($C390&gt;='TIF Loan Amortization'!$H$481,$C390&lt;='TIF Loan Amortization'!I$481),'TIF Loan Amortization'!$G$481,IF(AND($C390&gt;='TIF Loan Amortization'!$H$482,$C390&lt;='TIF Loan Amortization'!I$482),'TIF Loan Amortization'!$G$482,IF(AND($C390&gt;='TIF Loan Amortization'!$H$483,$C390&lt;='TIF Loan Amortization'!I$483),'TIF Loan Amortization'!$G$483,IF(AND($C390&gt;='TIF Loan Amortization'!$H$484,$C390&lt;='TIF Loan Amortization'!I$484),'TIF Loan Amortization'!$G$484,IF(AND($C390&gt;='TIF Loan Amortization'!$H$485,$C390&lt;='TIF Loan Amortization'!I$485),'TIF Loan Amortization'!$G$485,IF(AND($C390&gt;='TIF Loan Amortization'!$H$486,$C390&lt;='TIF Loan Amortization'!I$486),'TIF Loan Amortization'!$G$486,IF(AND($C390&gt;='TIF Loan Amortization'!$H$487,$C390&lt;='TIF Loan Amortization'!I$487),'TIF Loan Amortization'!$G$487,IF(AND($C390&gt;='TIF Loan Amortization'!$H$488,$C390&lt;='TIF Loan Amortization'!I$488),'TIF Loan Amortization'!$G$488,IF(AND($C390&gt;='TIF Loan Amortization'!$H$489,$C390&lt;='TIF Loan Amortization'!I$489),'TIF Loan Amortization'!$G$489,IF(AND($C390&gt;='TIF Loan Amortization'!$H$490,$C390&lt;='TIF Loan Amortization'!I$490),'TIF Loan Amortization'!$G$490,IF(AND($C390&gt;='TIF Loan Amortization'!$H$491,$C390&lt;='TIF Loan Amortization'!I$491),'TIF Loan Amortization'!$G$491,IF(AND($C390&gt;='TIF Loan Amortization'!$H$492,$C390&lt;='TIF Loan Amortization'!I$492),'TIF Loan Amortization'!$G$492,IF(AND($C390&gt;='TIF Loan Amortization'!$H$493,$C390&lt;='TIF Loan Amortization'!I$493),'TIF Loan Amortization'!$G$493,IF(AND($C390&gt;='TIF Loan Amortization'!$H$494,$C390&lt;='TIF Loan Amortization'!I$494),'TIF Loan Amortization'!$G$494,IF(AND($C390&gt;='TIF Loan Amortization'!$H$495,$C390&lt;='TIF Loan Amortization'!I$495),'TIF Loan Amortization'!$G$495,IF(AND($C390&gt;='TIF Loan Amortization'!$H$496,$C390&lt;='TIF Loan Amortization'!I$496),'TIF Loan Amortization'!$G$496,IF(AND($C390&gt;='TIF Loan Amortization'!$H$497,$C390&lt;='TIF Loan Amortization'!I$497),'TIF Loan Amortization'!$G$497,IF(AND($C390&gt;='TIF Loan Amortization'!$H$498,$C390&lt;='TIF Loan Amortization'!I$498),'TIF Loan Amortization'!$G$498,IF(AND($C390&gt;='TIF Loan Amortization'!$H$499,$C390&lt;='TIF Loan Amortization'!I$499),'TIF Loan Amortization'!$G$499,IF(AND($C390&gt;='TIF Loan Amortization'!$H$500,$C390&lt;='TIF Loan Amortization'!I$500),'TIF Loan Amortization'!$G$500,IF(AND($C390&gt;='TIF Loan Amortization'!$H$501,$C390&lt;='TIF Loan Amortization'!I$501),'TIF Loan Amortization'!$G$501,IF(AND($C390&gt;='TIF Loan Amortization'!$H$502,$C390&lt;='TIF Loan Amortization'!I$502),'TIF Loan Amortization'!$G$502,IF(AND($C390&gt;='TIF Loan Amortization'!$H$503,$C390&lt;='TIF Loan Amortization'!I$503),'TIF Loan Amortization'!$G$503,IF(AND($C390&gt;='TIF Loan Amortization'!$H$504,$C390&lt;='TIF Loan Amortization'!I$504),'TIF Loan Amortization'!$G$504,IF(AND($C390&gt;='TIF Loan Amortization'!$H$505,$C390&lt;='TIF Loan Amortization'!I$505),'TIF Loan Amortization'!$G$505,IF(AND($C390&gt;='TIF Loan Amortization'!$H$506,$C390&lt;='TIF Loan Amortization'!I$506),'TIF Loan Amortization'!$G$506,IF(AND($C390&gt;='TIF Loan Amortization'!$H$507,$C390&lt;='TIF Loan Amortization'!I$507),'TIF Loan Amortization'!$G$507,IF(AND($C390&gt;='TIF Loan Amortization'!$H$508,$C390&lt;='TIF Loan Amortization'!I$508),'TIF Loan Amortization'!$G$508,IF(AND($C390&gt;='TIF Loan Amortization'!$H$509,$C390&lt;='TIF Loan Amortization'!I$509),'TIF Loan Amortization'!$G$509,IF(AND($C390&gt;='TIF Loan Amortization'!$H$510,$C390&lt;='TIF Loan Amortization'!I$510),'TIF Loan Amortization'!$G$510,IF(AND($C390&gt;='TIF Loan Amortization'!$H$511,$C390&lt;='TIF Loan Amortization'!I$511),'TIF Loan Amortization'!$G$511,IF(AND($C390&gt;='TIF Loan Amortization'!$H$512,$C390&lt;='TIF Loan Amortization'!I$512),'TIF Loan Amortization'!$G$512,IF(AND($C390&gt;='TIF Loan Amortization'!$H$513,$C390&lt;='TIF Loan Amortization'!I$513),'TIF Loan Amortization'!$G$513,IF(AND($C390&gt;='TIF Loan Amortization'!$H$514,$C390&lt;='TIF Loan Amortization'!I$514),'TIF Loan Amortization'!$G$514,IF(AND($C390&gt;='TIF Loan Amortization'!$H$515,$C390&lt;='TIF Loan Amortization'!I$515),'TIF Loan Amortization'!$G$515,IF(AND($C390&gt;='TIF Loan Amortization'!$H$516,$C390&lt;='TIF Loan Amortization'!I$516),'TIF Loan Amortization'!$G$516,IF(AND($C390&gt;='TIF Loan Amortization'!$H$517,$C390&lt;='TIF Loan Amortization'!I$517),'TIF Loan Amortization'!$G$517,IF(AND($C390&gt;='TIF Loan Amortization'!$H$518,$C390&lt;='TIF Loan Amortization'!I$518),'TIF Loan Amortization'!$G$518,IF(AND($C390&gt;='TIF Loan Amortization'!$H$519,$C390&lt;='TIF Loan Amortization'!I$519),'TIF Loan Amortization'!$G$519))))))))))))))))))))))))))))))))))))))))</f>
        <v>#N/A</v>
      </c>
      <c r="C390" s="269" t="e">
        <f t="shared" si="48"/>
        <v>#N/A</v>
      </c>
      <c r="D390" s="277" t="str">
        <f>IF($AG$426=1,$H$10+29,"")</f>
        <v/>
      </c>
      <c r="E390" s="274">
        <v>340</v>
      </c>
      <c r="F390" s="275" t="str">
        <f>VLOOKUP($AG$426,$AE$422:$AF$433,2)</f>
        <v>Jul</v>
      </c>
      <c r="G390" s="272">
        <f t="shared" si="49"/>
        <v>0</v>
      </c>
      <c r="H390" s="272">
        <f t="shared" si="52"/>
        <v>0</v>
      </c>
      <c r="I390" s="272">
        <f t="shared" si="53"/>
        <v>0</v>
      </c>
      <c r="J390" s="272">
        <f t="shared" si="50"/>
        <v>0</v>
      </c>
      <c r="K390" s="272">
        <f>IF(ISTEXT($M$4),"",SUM(I$50:I390))</f>
        <v>0</v>
      </c>
      <c r="L390" s="272">
        <f>IF(ISTEXT($M$4),"",SUM(J$50:J390))</f>
        <v>0</v>
      </c>
      <c r="M390" s="271">
        <f t="shared" si="51"/>
        <v>0</v>
      </c>
      <c r="N390" s="291" t="e">
        <f>IF(C390='Operating Assumptions'!$C$48,"Construction Finish","")</f>
        <v>#N/A</v>
      </c>
      <c r="O390" s="291"/>
      <c r="P390" s="291"/>
      <c r="Q390" s="291"/>
      <c r="R390" s="291"/>
      <c r="S390" s="291"/>
      <c r="T390" s="280"/>
      <c r="Z390" s="279"/>
      <c r="AA390" s="279"/>
      <c r="AB390" s="279"/>
    </row>
    <row r="391" spans="2:28" s="278" customFormat="1" ht="13.5" hidden="1" outlineLevel="1" x14ac:dyDescent="0.25">
      <c r="B391" s="270" t="e">
        <f>IF(AND($C391&gt;='TIF Loan Amortization'!$H$480,$C391&lt;='TIF Loan Amortization'!$I$480),'TIF Loan Amortization'!$G$480,IF(AND($C391&gt;='TIF Loan Amortization'!$H$481,$C391&lt;='TIF Loan Amortization'!I$481),'TIF Loan Amortization'!$G$481,IF(AND($C391&gt;='TIF Loan Amortization'!$H$482,$C391&lt;='TIF Loan Amortization'!I$482),'TIF Loan Amortization'!$G$482,IF(AND($C391&gt;='TIF Loan Amortization'!$H$483,$C391&lt;='TIF Loan Amortization'!I$483),'TIF Loan Amortization'!$G$483,IF(AND($C391&gt;='TIF Loan Amortization'!$H$484,$C391&lt;='TIF Loan Amortization'!I$484),'TIF Loan Amortization'!$G$484,IF(AND($C391&gt;='TIF Loan Amortization'!$H$485,$C391&lt;='TIF Loan Amortization'!I$485),'TIF Loan Amortization'!$G$485,IF(AND($C391&gt;='TIF Loan Amortization'!$H$486,$C391&lt;='TIF Loan Amortization'!I$486),'TIF Loan Amortization'!$G$486,IF(AND($C391&gt;='TIF Loan Amortization'!$H$487,$C391&lt;='TIF Loan Amortization'!I$487),'TIF Loan Amortization'!$G$487,IF(AND($C391&gt;='TIF Loan Amortization'!$H$488,$C391&lt;='TIF Loan Amortization'!I$488),'TIF Loan Amortization'!$G$488,IF(AND($C391&gt;='TIF Loan Amortization'!$H$489,$C391&lt;='TIF Loan Amortization'!I$489),'TIF Loan Amortization'!$G$489,IF(AND($C391&gt;='TIF Loan Amortization'!$H$490,$C391&lt;='TIF Loan Amortization'!I$490),'TIF Loan Amortization'!$G$490,IF(AND($C391&gt;='TIF Loan Amortization'!$H$491,$C391&lt;='TIF Loan Amortization'!I$491),'TIF Loan Amortization'!$G$491,IF(AND($C391&gt;='TIF Loan Amortization'!$H$492,$C391&lt;='TIF Loan Amortization'!I$492),'TIF Loan Amortization'!$G$492,IF(AND($C391&gt;='TIF Loan Amortization'!$H$493,$C391&lt;='TIF Loan Amortization'!I$493),'TIF Loan Amortization'!$G$493,IF(AND($C391&gt;='TIF Loan Amortization'!$H$494,$C391&lt;='TIF Loan Amortization'!I$494),'TIF Loan Amortization'!$G$494,IF(AND($C391&gt;='TIF Loan Amortization'!$H$495,$C391&lt;='TIF Loan Amortization'!I$495),'TIF Loan Amortization'!$G$495,IF(AND($C391&gt;='TIF Loan Amortization'!$H$496,$C391&lt;='TIF Loan Amortization'!I$496),'TIF Loan Amortization'!$G$496,IF(AND($C391&gt;='TIF Loan Amortization'!$H$497,$C391&lt;='TIF Loan Amortization'!I$497),'TIF Loan Amortization'!$G$497,IF(AND($C391&gt;='TIF Loan Amortization'!$H$498,$C391&lt;='TIF Loan Amortization'!I$498),'TIF Loan Amortization'!$G$498,IF(AND($C391&gt;='TIF Loan Amortization'!$H$499,$C391&lt;='TIF Loan Amortization'!I$499),'TIF Loan Amortization'!$G$499,IF(AND($C391&gt;='TIF Loan Amortization'!$H$500,$C391&lt;='TIF Loan Amortization'!I$500),'TIF Loan Amortization'!$G$500,IF(AND($C391&gt;='TIF Loan Amortization'!$H$501,$C391&lt;='TIF Loan Amortization'!I$501),'TIF Loan Amortization'!$G$501,IF(AND($C391&gt;='TIF Loan Amortization'!$H$502,$C391&lt;='TIF Loan Amortization'!I$502),'TIF Loan Amortization'!$G$502,IF(AND($C391&gt;='TIF Loan Amortization'!$H$503,$C391&lt;='TIF Loan Amortization'!I$503),'TIF Loan Amortization'!$G$503,IF(AND($C391&gt;='TIF Loan Amortization'!$H$504,$C391&lt;='TIF Loan Amortization'!I$504),'TIF Loan Amortization'!$G$504,IF(AND($C391&gt;='TIF Loan Amortization'!$H$505,$C391&lt;='TIF Loan Amortization'!I$505),'TIF Loan Amortization'!$G$505,IF(AND($C391&gt;='TIF Loan Amortization'!$H$506,$C391&lt;='TIF Loan Amortization'!I$506),'TIF Loan Amortization'!$G$506,IF(AND($C391&gt;='TIF Loan Amortization'!$H$507,$C391&lt;='TIF Loan Amortization'!I$507),'TIF Loan Amortization'!$G$507,IF(AND($C391&gt;='TIF Loan Amortization'!$H$508,$C391&lt;='TIF Loan Amortization'!I$508),'TIF Loan Amortization'!$G$508,IF(AND($C391&gt;='TIF Loan Amortization'!$H$509,$C391&lt;='TIF Loan Amortization'!I$509),'TIF Loan Amortization'!$G$509,IF(AND($C391&gt;='TIF Loan Amortization'!$H$510,$C391&lt;='TIF Loan Amortization'!I$510),'TIF Loan Amortization'!$G$510,IF(AND($C391&gt;='TIF Loan Amortization'!$H$511,$C391&lt;='TIF Loan Amortization'!I$511),'TIF Loan Amortization'!$G$511,IF(AND($C391&gt;='TIF Loan Amortization'!$H$512,$C391&lt;='TIF Loan Amortization'!I$512),'TIF Loan Amortization'!$G$512,IF(AND($C391&gt;='TIF Loan Amortization'!$H$513,$C391&lt;='TIF Loan Amortization'!I$513),'TIF Loan Amortization'!$G$513,IF(AND($C391&gt;='TIF Loan Amortization'!$H$514,$C391&lt;='TIF Loan Amortization'!I$514),'TIF Loan Amortization'!$G$514,IF(AND($C391&gt;='TIF Loan Amortization'!$H$515,$C391&lt;='TIF Loan Amortization'!I$515),'TIF Loan Amortization'!$G$515,IF(AND($C391&gt;='TIF Loan Amortization'!$H$516,$C391&lt;='TIF Loan Amortization'!I$516),'TIF Loan Amortization'!$G$516,IF(AND($C391&gt;='TIF Loan Amortization'!$H$517,$C391&lt;='TIF Loan Amortization'!I$517),'TIF Loan Amortization'!$G$517,IF(AND($C391&gt;='TIF Loan Amortization'!$H$518,$C391&lt;='TIF Loan Amortization'!I$518),'TIF Loan Amortization'!$G$518,IF(AND($C391&gt;='TIF Loan Amortization'!$H$519,$C391&lt;='TIF Loan Amortization'!I$519),'TIF Loan Amortization'!$G$519))))))))))))))))))))))))))))))))))))))))</f>
        <v>#N/A</v>
      </c>
      <c r="C391" s="269" t="e">
        <f t="shared" si="48"/>
        <v>#N/A</v>
      </c>
      <c r="D391" s="277" t="str">
        <f>IF($AG$427=1,$H$10+29,"")</f>
        <v/>
      </c>
      <c r="E391" s="274">
        <v>341</v>
      </c>
      <c r="F391" s="275" t="str">
        <f>VLOOKUP($AG$427,$AE$422:$AF$433,2)</f>
        <v>Aug</v>
      </c>
      <c r="G391" s="272">
        <f t="shared" si="49"/>
        <v>0</v>
      </c>
      <c r="H391" s="272">
        <f t="shared" si="52"/>
        <v>0</v>
      </c>
      <c r="I391" s="272">
        <f t="shared" si="53"/>
        <v>0</v>
      </c>
      <c r="J391" s="272">
        <f t="shared" si="50"/>
        <v>0</v>
      </c>
      <c r="K391" s="272">
        <f>IF(ISTEXT($M$4),"",SUM(I$50:I391))</f>
        <v>0</v>
      </c>
      <c r="L391" s="272">
        <f>IF(ISTEXT($M$4),"",SUM(J$50:J391))</f>
        <v>0</v>
      </c>
      <c r="M391" s="271">
        <f t="shared" si="51"/>
        <v>0</v>
      </c>
      <c r="N391" s="291" t="e">
        <f>IF(C391='Operating Assumptions'!$C$48,"Construction Finish","")</f>
        <v>#N/A</v>
      </c>
      <c r="O391" s="291"/>
      <c r="P391" s="291"/>
      <c r="Q391" s="291"/>
      <c r="R391" s="291"/>
      <c r="S391" s="291"/>
      <c r="T391" s="280"/>
      <c r="Z391" s="279"/>
      <c r="AA391" s="279"/>
      <c r="AB391" s="279"/>
    </row>
    <row r="392" spans="2:28" s="278" customFormat="1" ht="13.5" hidden="1" outlineLevel="1" x14ac:dyDescent="0.25">
      <c r="B392" s="270" t="e">
        <f>IF(AND($C392&gt;='TIF Loan Amortization'!$H$480,$C392&lt;='TIF Loan Amortization'!$I$480),'TIF Loan Amortization'!$G$480,IF(AND($C392&gt;='TIF Loan Amortization'!$H$481,$C392&lt;='TIF Loan Amortization'!I$481),'TIF Loan Amortization'!$G$481,IF(AND($C392&gt;='TIF Loan Amortization'!$H$482,$C392&lt;='TIF Loan Amortization'!I$482),'TIF Loan Amortization'!$G$482,IF(AND($C392&gt;='TIF Loan Amortization'!$H$483,$C392&lt;='TIF Loan Amortization'!I$483),'TIF Loan Amortization'!$G$483,IF(AND($C392&gt;='TIF Loan Amortization'!$H$484,$C392&lt;='TIF Loan Amortization'!I$484),'TIF Loan Amortization'!$G$484,IF(AND($C392&gt;='TIF Loan Amortization'!$H$485,$C392&lt;='TIF Loan Amortization'!I$485),'TIF Loan Amortization'!$G$485,IF(AND($C392&gt;='TIF Loan Amortization'!$H$486,$C392&lt;='TIF Loan Amortization'!I$486),'TIF Loan Amortization'!$G$486,IF(AND($C392&gt;='TIF Loan Amortization'!$H$487,$C392&lt;='TIF Loan Amortization'!I$487),'TIF Loan Amortization'!$G$487,IF(AND($C392&gt;='TIF Loan Amortization'!$H$488,$C392&lt;='TIF Loan Amortization'!I$488),'TIF Loan Amortization'!$G$488,IF(AND($C392&gt;='TIF Loan Amortization'!$H$489,$C392&lt;='TIF Loan Amortization'!I$489),'TIF Loan Amortization'!$G$489,IF(AND($C392&gt;='TIF Loan Amortization'!$H$490,$C392&lt;='TIF Loan Amortization'!I$490),'TIF Loan Amortization'!$G$490,IF(AND($C392&gt;='TIF Loan Amortization'!$H$491,$C392&lt;='TIF Loan Amortization'!I$491),'TIF Loan Amortization'!$G$491,IF(AND($C392&gt;='TIF Loan Amortization'!$H$492,$C392&lt;='TIF Loan Amortization'!I$492),'TIF Loan Amortization'!$G$492,IF(AND($C392&gt;='TIF Loan Amortization'!$H$493,$C392&lt;='TIF Loan Amortization'!I$493),'TIF Loan Amortization'!$G$493,IF(AND($C392&gt;='TIF Loan Amortization'!$H$494,$C392&lt;='TIF Loan Amortization'!I$494),'TIF Loan Amortization'!$G$494,IF(AND($C392&gt;='TIF Loan Amortization'!$H$495,$C392&lt;='TIF Loan Amortization'!I$495),'TIF Loan Amortization'!$G$495,IF(AND($C392&gt;='TIF Loan Amortization'!$H$496,$C392&lt;='TIF Loan Amortization'!I$496),'TIF Loan Amortization'!$G$496,IF(AND($C392&gt;='TIF Loan Amortization'!$H$497,$C392&lt;='TIF Loan Amortization'!I$497),'TIF Loan Amortization'!$G$497,IF(AND($C392&gt;='TIF Loan Amortization'!$H$498,$C392&lt;='TIF Loan Amortization'!I$498),'TIF Loan Amortization'!$G$498,IF(AND($C392&gt;='TIF Loan Amortization'!$H$499,$C392&lt;='TIF Loan Amortization'!I$499),'TIF Loan Amortization'!$G$499,IF(AND($C392&gt;='TIF Loan Amortization'!$H$500,$C392&lt;='TIF Loan Amortization'!I$500),'TIF Loan Amortization'!$G$500,IF(AND($C392&gt;='TIF Loan Amortization'!$H$501,$C392&lt;='TIF Loan Amortization'!I$501),'TIF Loan Amortization'!$G$501,IF(AND($C392&gt;='TIF Loan Amortization'!$H$502,$C392&lt;='TIF Loan Amortization'!I$502),'TIF Loan Amortization'!$G$502,IF(AND($C392&gt;='TIF Loan Amortization'!$H$503,$C392&lt;='TIF Loan Amortization'!I$503),'TIF Loan Amortization'!$G$503,IF(AND($C392&gt;='TIF Loan Amortization'!$H$504,$C392&lt;='TIF Loan Amortization'!I$504),'TIF Loan Amortization'!$G$504,IF(AND($C392&gt;='TIF Loan Amortization'!$H$505,$C392&lt;='TIF Loan Amortization'!I$505),'TIF Loan Amortization'!$G$505,IF(AND($C392&gt;='TIF Loan Amortization'!$H$506,$C392&lt;='TIF Loan Amortization'!I$506),'TIF Loan Amortization'!$G$506,IF(AND($C392&gt;='TIF Loan Amortization'!$H$507,$C392&lt;='TIF Loan Amortization'!I$507),'TIF Loan Amortization'!$G$507,IF(AND($C392&gt;='TIF Loan Amortization'!$H$508,$C392&lt;='TIF Loan Amortization'!I$508),'TIF Loan Amortization'!$G$508,IF(AND($C392&gt;='TIF Loan Amortization'!$H$509,$C392&lt;='TIF Loan Amortization'!I$509),'TIF Loan Amortization'!$G$509,IF(AND($C392&gt;='TIF Loan Amortization'!$H$510,$C392&lt;='TIF Loan Amortization'!I$510),'TIF Loan Amortization'!$G$510,IF(AND($C392&gt;='TIF Loan Amortization'!$H$511,$C392&lt;='TIF Loan Amortization'!I$511),'TIF Loan Amortization'!$G$511,IF(AND($C392&gt;='TIF Loan Amortization'!$H$512,$C392&lt;='TIF Loan Amortization'!I$512),'TIF Loan Amortization'!$G$512,IF(AND($C392&gt;='TIF Loan Amortization'!$H$513,$C392&lt;='TIF Loan Amortization'!I$513),'TIF Loan Amortization'!$G$513,IF(AND($C392&gt;='TIF Loan Amortization'!$H$514,$C392&lt;='TIF Loan Amortization'!I$514),'TIF Loan Amortization'!$G$514,IF(AND($C392&gt;='TIF Loan Amortization'!$H$515,$C392&lt;='TIF Loan Amortization'!I$515),'TIF Loan Amortization'!$G$515,IF(AND($C392&gt;='TIF Loan Amortization'!$H$516,$C392&lt;='TIF Loan Amortization'!I$516),'TIF Loan Amortization'!$G$516,IF(AND($C392&gt;='TIF Loan Amortization'!$H$517,$C392&lt;='TIF Loan Amortization'!I$517),'TIF Loan Amortization'!$G$517,IF(AND($C392&gt;='TIF Loan Amortization'!$H$518,$C392&lt;='TIF Loan Amortization'!I$518),'TIF Loan Amortization'!$G$518,IF(AND($C392&gt;='TIF Loan Amortization'!$H$519,$C392&lt;='TIF Loan Amortization'!I$519),'TIF Loan Amortization'!$G$519))))))))))))))))))))))))))))))))))))))))</f>
        <v>#N/A</v>
      </c>
      <c r="C392" s="269" t="e">
        <f t="shared" si="48"/>
        <v>#N/A</v>
      </c>
      <c r="D392" s="277" t="str">
        <f>IF($AG$428=1,$H$10+29,"")</f>
        <v/>
      </c>
      <c r="E392" s="274">
        <v>342</v>
      </c>
      <c r="F392" s="275" t="str">
        <f>VLOOKUP($AG$428,$AE$422:$AF$433,2)</f>
        <v>Sep</v>
      </c>
      <c r="G392" s="272">
        <f t="shared" si="49"/>
        <v>0</v>
      </c>
      <c r="H392" s="272">
        <f t="shared" si="52"/>
        <v>0</v>
      </c>
      <c r="I392" s="272">
        <f t="shared" si="53"/>
        <v>0</v>
      </c>
      <c r="J392" s="272">
        <f t="shared" si="50"/>
        <v>0</v>
      </c>
      <c r="K392" s="272">
        <f>IF(ISTEXT($M$4),"",SUM(I$50:I392))</f>
        <v>0</v>
      </c>
      <c r="L392" s="272">
        <f>IF(ISTEXT($M$4),"",SUM(J$50:J392))</f>
        <v>0</v>
      </c>
      <c r="M392" s="271">
        <f t="shared" si="51"/>
        <v>0</v>
      </c>
      <c r="N392" s="291" t="e">
        <f>IF(C392='Operating Assumptions'!$C$48,"Construction Finish","")</f>
        <v>#N/A</v>
      </c>
      <c r="O392" s="291"/>
      <c r="P392" s="291"/>
      <c r="Q392" s="291"/>
      <c r="R392" s="291"/>
      <c r="S392" s="291"/>
      <c r="T392" s="280"/>
      <c r="Z392" s="279"/>
      <c r="AA392" s="279"/>
      <c r="AB392" s="279"/>
    </row>
    <row r="393" spans="2:28" s="278" customFormat="1" ht="13.5" hidden="1" outlineLevel="1" x14ac:dyDescent="0.25">
      <c r="B393" s="270" t="e">
        <f>IF(AND($C393&gt;='TIF Loan Amortization'!$H$480,$C393&lt;='TIF Loan Amortization'!$I$480),'TIF Loan Amortization'!$G$480,IF(AND($C393&gt;='TIF Loan Amortization'!$H$481,$C393&lt;='TIF Loan Amortization'!I$481),'TIF Loan Amortization'!$G$481,IF(AND($C393&gt;='TIF Loan Amortization'!$H$482,$C393&lt;='TIF Loan Amortization'!I$482),'TIF Loan Amortization'!$G$482,IF(AND($C393&gt;='TIF Loan Amortization'!$H$483,$C393&lt;='TIF Loan Amortization'!I$483),'TIF Loan Amortization'!$G$483,IF(AND($C393&gt;='TIF Loan Amortization'!$H$484,$C393&lt;='TIF Loan Amortization'!I$484),'TIF Loan Amortization'!$G$484,IF(AND($C393&gt;='TIF Loan Amortization'!$H$485,$C393&lt;='TIF Loan Amortization'!I$485),'TIF Loan Amortization'!$G$485,IF(AND($C393&gt;='TIF Loan Amortization'!$H$486,$C393&lt;='TIF Loan Amortization'!I$486),'TIF Loan Amortization'!$G$486,IF(AND($C393&gt;='TIF Loan Amortization'!$H$487,$C393&lt;='TIF Loan Amortization'!I$487),'TIF Loan Amortization'!$G$487,IF(AND($C393&gt;='TIF Loan Amortization'!$H$488,$C393&lt;='TIF Loan Amortization'!I$488),'TIF Loan Amortization'!$G$488,IF(AND($C393&gt;='TIF Loan Amortization'!$H$489,$C393&lt;='TIF Loan Amortization'!I$489),'TIF Loan Amortization'!$G$489,IF(AND($C393&gt;='TIF Loan Amortization'!$H$490,$C393&lt;='TIF Loan Amortization'!I$490),'TIF Loan Amortization'!$G$490,IF(AND($C393&gt;='TIF Loan Amortization'!$H$491,$C393&lt;='TIF Loan Amortization'!I$491),'TIF Loan Amortization'!$G$491,IF(AND($C393&gt;='TIF Loan Amortization'!$H$492,$C393&lt;='TIF Loan Amortization'!I$492),'TIF Loan Amortization'!$G$492,IF(AND($C393&gt;='TIF Loan Amortization'!$H$493,$C393&lt;='TIF Loan Amortization'!I$493),'TIF Loan Amortization'!$G$493,IF(AND($C393&gt;='TIF Loan Amortization'!$H$494,$C393&lt;='TIF Loan Amortization'!I$494),'TIF Loan Amortization'!$G$494,IF(AND($C393&gt;='TIF Loan Amortization'!$H$495,$C393&lt;='TIF Loan Amortization'!I$495),'TIF Loan Amortization'!$G$495,IF(AND($C393&gt;='TIF Loan Amortization'!$H$496,$C393&lt;='TIF Loan Amortization'!I$496),'TIF Loan Amortization'!$G$496,IF(AND($C393&gt;='TIF Loan Amortization'!$H$497,$C393&lt;='TIF Loan Amortization'!I$497),'TIF Loan Amortization'!$G$497,IF(AND($C393&gt;='TIF Loan Amortization'!$H$498,$C393&lt;='TIF Loan Amortization'!I$498),'TIF Loan Amortization'!$G$498,IF(AND($C393&gt;='TIF Loan Amortization'!$H$499,$C393&lt;='TIF Loan Amortization'!I$499),'TIF Loan Amortization'!$G$499,IF(AND($C393&gt;='TIF Loan Amortization'!$H$500,$C393&lt;='TIF Loan Amortization'!I$500),'TIF Loan Amortization'!$G$500,IF(AND($C393&gt;='TIF Loan Amortization'!$H$501,$C393&lt;='TIF Loan Amortization'!I$501),'TIF Loan Amortization'!$G$501,IF(AND($C393&gt;='TIF Loan Amortization'!$H$502,$C393&lt;='TIF Loan Amortization'!I$502),'TIF Loan Amortization'!$G$502,IF(AND($C393&gt;='TIF Loan Amortization'!$H$503,$C393&lt;='TIF Loan Amortization'!I$503),'TIF Loan Amortization'!$G$503,IF(AND($C393&gt;='TIF Loan Amortization'!$H$504,$C393&lt;='TIF Loan Amortization'!I$504),'TIF Loan Amortization'!$G$504,IF(AND($C393&gt;='TIF Loan Amortization'!$H$505,$C393&lt;='TIF Loan Amortization'!I$505),'TIF Loan Amortization'!$G$505,IF(AND($C393&gt;='TIF Loan Amortization'!$H$506,$C393&lt;='TIF Loan Amortization'!I$506),'TIF Loan Amortization'!$G$506,IF(AND($C393&gt;='TIF Loan Amortization'!$H$507,$C393&lt;='TIF Loan Amortization'!I$507),'TIF Loan Amortization'!$G$507,IF(AND($C393&gt;='TIF Loan Amortization'!$H$508,$C393&lt;='TIF Loan Amortization'!I$508),'TIF Loan Amortization'!$G$508,IF(AND($C393&gt;='TIF Loan Amortization'!$H$509,$C393&lt;='TIF Loan Amortization'!I$509),'TIF Loan Amortization'!$G$509,IF(AND($C393&gt;='TIF Loan Amortization'!$H$510,$C393&lt;='TIF Loan Amortization'!I$510),'TIF Loan Amortization'!$G$510,IF(AND($C393&gt;='TIF Loan Amortization'!$H$511,$C393&lt;='TIF Loan Amortization'!I$511),'TIF Loan Amortization'!$G$511,IF(AND($C393&gt;='TIF Loan Amortization'!$H$512,$C393&lt;='TIF Loan Amortization'!I$512),'TIF Loan Amortization'!$G$512,IF(AND($C393&gt;='TIF Loan Amortization'!$H$513,$C393&lt;='TIF Loan Amortization'!I$513),'TIF Loan Amortization'!$G$513,IF(AND($C393&gt;='TIF Loan Amortization'!$H$514,$C393&lt;='TIF Loan Amortization'!I$514),'TIF Loan Amortization'!$G$514,IF(AND($C393&gt;='TIF Loan Amortization'!$H$515,$C393&lt;='TIF Loan Amortization'!I$515),'TIF Loan Amortization'!$G$515,IF(AND($C393&gt;='TIF Loan Amortization'!$H$516,$C393&lt;='TIF Loan Amortization'!I$516),'TIF Loan Amortization'!$G$516,IF(AND($C393&gt;='TIF Loan Amortization'!$H$517,$C393&lt;='TIF Loan Amortization'!I$517),'TIF Loan Amortization'!$G$517,IF(AND($C393&gt;='TIF Loan Amortization'!$H$518,$C393&lt;='TIF Loan Amortization'!I$518),'TIF Loan Amortization'!$G$518,IF(AND($C393&gt;='TIF Loan Amortization'!$H$519,$C393&lt;='TIF Loan Amortization'!I$519),'TIF Loan Amortization'!$G$519))))))))))))))))))))))))))))))))))))))))</f>
        <v>#N/A</v>
      </c>
      <c r="C393" s="269" t="e">
        <f t="shared" si="48"/>
        <v>#N/A</v>
      </c>
      <c r="D393" s="277" t="str">
        <f>IF($AG$429=1,$H$10+29,"")</f>
        <v/>
      </c>
      <c r="E393" s="274">
        <v>343</v>
      </c>
      <c r="F393" s="275" t="str">
        <f>VLOOKUP($AG$429,$AE$422:$AF$433,2)</f>
        <v>Oct</v>
      </c>
      <c r="G393" s="272">
        <f t="shared" si="49"/>
        <v>0</v>
      </c>
      <c r="H393" s="272">
        <f t="shared" si="52"/>
        <v>0</v>
      </c>
      <c r="I393" s="272">
        <f t="shared" si="53"/>
        <v>0</v>
      </c>
      <c r="J393" s="272">
        <f t="shared" si="50"/>
        <v>0</v>
      </c>
      <c r="K393" s="272">
        <f>IF(ISTEXT($M$4),"",SUM(I$50:I393))</f>
        <v>0</v>
      </c>
      <c r="L393" s="272">
        <f>IF(ISTEXT($M$4),"",SUM(J$50:J393))</f>
        <v>0</v>
      </c>
      <c r="M393" s="271">
        <f t="shared" si="51"/>
        <v>0</v>
      </c>
      <c r="N393" s="291" t="e">
        <f>IF(C393='Operating Assumptions'!$C$48,"Construction Finish","")</f>
        <v>#N/A</v>
      </c>
      <c r="O393" s="291"/>
      <c r="P393" s="291"/>
      <c r="Q393" s="291"/>
      <c r="R393" s="291"/>
      <c r="S393" s="291"/>
      <c r="T393" s="279"/>
      <c r="U393" s="279"/>
      <c r="V393" s="279"/>
      <c r="W393" s="279"/>
      <c r="X393" s="279"/>
      <c r="Y393" s="279"/>
      <c r="Z393" s="279"/>
      <c r="AA393" s="279"/>
      <c r="AB393" s="279"/>
    </row>
    <row r="394" spans="2:28" ht="13.5" hidden="1" outlineLevel="1" x14ac:dyDescent="0.2">
      <c r="B394" s="270" t="e">
        <f>IF(AND($C394&gt;='TIF Loan Amortization'!$H$480,$C394&lt;='TIF Loan Amortization'!$I$480),'TIF Loan Amortization'!$G$480,IF(AND($C394&gt;='TIF Loan Amortization'!$H$481,$C394&lt;='TIF Loan Amortization'!I$481),'TIF Loan Amortization'!$G$481,IF(AND($C394&gt;='TIF Loan Amortization'!$H$482,$C394&lt;='TIF Loan Amortization'!I$482),'TIF Loan Amortization'!$G$482,IF(AND($C394&gt;='TIF Loan Amortization'!$H$483,$C394&lt;='TIF Loan Amortization'!I$483),'TIF Loan Amortization'!$G$483,IF(AND($C394&gt;='TIF Loan Amortization'!$H$484,$C394&lt;='TIF Loan Amortization'!I$484),'TIF Loan Amortization'!$G$484,IF(AND($C394&gt;='TIF Loan Amortization'!$H$485,$C394&lt;='TIF Loan Amortization'!I$485),'TIF Loan Amortization'!$G$485,IF(AND($C394&gt;='TIF Loan Amortization'!$H$486,$C394&lt;='TIF Loan Amortization'!I$486),'TIF Loan Amortization'!$G$486,IF(AND($C394&gt;='TIF Loan Amortization'!$H$487,$C394&lt;='TIF Loan Amortization'!I$487),'TIF Loan Amortization'!$G$487,IF(AND($C394&gt;='TIF Loan Amortization'!$H$488,$C394&lt;='TIF Loan Amortization'!I$488),'TIF Loan Amortization'!$G$488,IF(AND($C394&gt;='TIF Loan Amortization'!$H$489,$C394&lt;='TIF Loan Amortization'!I$489),'TIF Loan Amortization'!$G$489,IF(AND($C394&gt;='TIF Loan Amortization'!$H$490,$C394&lt;='TIF Loan Amortization'!I$490),'TIF Loan Amortization'!$G$490,IF(AND($C394&gt;='TIF Loan Amortization'!$H$491,$C394&lt;='TIF Loan Amortization'!I$491),'TIF Loan Amortization'!$G$491,IF(AND($C394&gt;='TIF Loan Amortization'!$H$492,$C394&lt;='TIF Loan Amortization'!I$492),'TIF Loan Amortization'!$G$492,IF(AND($C394&gt;='TIF Loan Amortization'!$H$493,$C394&lt;='TIF Loan Amortization'!I$493),'TIF Loan Amortization'!$G$493,IF(AND($C394&gt;='TIF Loan Amortization'!$H$494,$C394&lt;='TIF Loan Amortization'!I$494),'TIF Loan Amortization'!$G$494,IF(AND($C394&gt;='TIF Loan Amortization'!$H$495,$C394&lt;='TIF Loan Amortization'!I$495),'TIF Loan Amortization'!$G$495,IF(AND($C394&gt;='TIF Loan Amortization'!$H$496,$C394&lt;='TIF Loan Amortization'!I$496),'TIF Loan Amortization'!$G$496,IF(AND($C394&gt;='TIF Loan Amortization'!$H$497,$C394&lt;='TIF Loan Amortization'!I$497),'TIF Loan Amortization'!$G$497,IF(AND($C394&gt;='TIF Loan Amortization'!$H$498,$C394&lt;='TIF Loan Amortization'!I$498),'TIF Loan Amortization'!$G$498,IF(AND($C394&gt;='TIF Loan Amortization'!$H$499,$C394&lt;='TIF Loan Amortization'!I$499),'TIF Loan Amortization'!$G$499,IF(AND($C394&gt;='TIF Loan Amortization'!$H$500,$C394&lt;='TIF Loan Amortization'!I$500),'TIF Loan Amortization'!$G$500,IF(AND($C394&gt;='TIF Loan Amortization'!$H$501,$C394&lt;='TIF Loan Amortization'!I$501),'TIF Loan Amortization'!$G$501,IF(AND($C394&gt;='TIF Loan Amortization'!$H$502,$C394&lt;='TIF Loan Amortization'!I$502),'TIF Loan Amortization'!$G$502,IF(AND($C394&gt;='TIF Loan Amortization'!$H$503,$C394&lt;='TIF Loan Amortization'!I$503),'TIF Loan Amortization'!$G$503,IF(AND($C394&gt;='TIF Loan Amortization'!$H$504,$C394&lt;='TIF Loan Amortization'!I$504),'TIF Loan Amortization'!$G$504,IF(AND($C394&gt;='TIF Loan Amortization'!$H$505,$C394&lt;='TIF Loan Amortization'!I$505),'TIF Loan Amortization'!$G$505,IF(AND($C394&gt;='TIF Loan Amortization'!$H$506,$C394&lt;='TIF Loan Amortization'!I$506),'TIF Loan Amortization'!$G$506,IF(AND($C394&gt;='TIF Loan Amortization'!$H$507,$C394&lt;='TIF Loan Amortization'!I$507),'TIF Loan Amortization'!$G$507,IF(AND($C394&gt;='TIF Loan Amortization'!$H$508,$C394&lt;='TIF Loan Amortization'!I$508),'TIF Loan Amortization'!$G$508,IF(AND($C394&gt;='TIF Loan Amortization'!$H$509,$C394&lt;='TIF Loan Amortization'!I$509),'TIF Loan Amortization'!$G$509,IF(AND($C394&gt;='TIF Loan Amortization'!$H$510,$C394&lt;='TIF Loan Amortization'!I$510),'TIF Loan Amortization'!$G$510,IF(AND($C394&gt;='TIF Loan Amortization'!$H$511,$C394&lt;='TIF Loan Amortization'!I$511),'TIF Loan Amortization'!$G$511,IF(AND($C394&gt;='TIF Loan Amortization'!$H$512,$C394&lt;='TIF Loan Amortization'!I$512),'TIF Loan Amortization'!$G$512,IF(AND($C394&gt;='TIF Loan Amortization'!$H$513,$C394&lt;='TIF Loan Amortization'!I$513),'TIF Loan Amortization'!$G$513,IF(AND($C394&gt;='TIF Loan Amortization'!$H$514,$C394&lt;='TIF Loan Amortization'!I$514),'TIF Loan Amortization'!$G$514,IF(AND($C394&gt;='TIF Loan Amortization'!$H$515,$C394&lt;='TIF Loan Amortization'!I$515),'TIF Loan Amortization'!$G$515,IF(AND($C394&gt;='TIF Loan Amortization'!$H$516,$C394&lt;='TIF Loan Amortization'!I$516),'TIF Loan Amortization'!$G$516,IF(AND($C394&gt;='TIF Loan Amortization'!$H$517,$C394&lt;='TIF Loan Amortization'!I$517),'TIF Loan Amortization'!$G$517,IF(AND($C394&gt;='TIF Loan Amortization'!$H$518,$C394&lt;='TIF Loan Amortization'!I$518),'TIF Loan Amortization'!$G$518,IF(AND($C394&gt;='TIF Loan Amortization'!$H$519,$C394&lt;='TIF Loan Amortization'!I$519),'TIF Loan Amortization'!$G$519))))))))))))))))))))))))))))))))))))))))</f>
        <v>#N/A</v>
      </c>
      <c r="C394" s="269" t="e">
        <f t="shared" si="48"/>
        <v>#N/A</v>
      </c>
      <c r="D394" s="277" t="str">
        <f>IF($AG$430=1,$H$10+29,"")</f>
        <v/>
      </c>
      <c r="E394" s="274">
        <v>344</v>
      </c>
      <c r="F394" s="275" t="str">
        <f>VLOOKUP($AG$430,$AE$422:$AF$433,2)</f>
        <v>Nov</v>
      </c>
      <c r="G394" s="272">
        <f t="shared" si="49"/>
        <v>0</v>
      </c>
      <c r="H394" s="272">
        <f t="shared" si="52"/>
        <v>0</v>
      </c>
      <c r="I394" s="272">
        <f t="shared" si="53"/>
        <v>0</v>
      </c>
      <c r="J394" s="272">
        <f t="shared" si="50"/>
        <v>0</v>
      </c>
      <c r="K394" s="272">
        <f>IF(ISTEXT($M$4),"",SUM(I$50:I394))</f>
        <v>0</v>
      </c>
      <c r="L394" s="272">
        <f>IF(ISTEXT($M$4),"",SUM(J$50:J394))</f>
        <v>0</v>
      </c>
      <c r="M394" s="271">
        <f t="shared" si="51"/>
        <v>0</v>
      </c>
      <c r="N394" s="291" t="e">
        <f>IF(C394='Operating Assumptions'!$C$48,"Construction Finish","")</f>
        <v>#N/A</v>
      </c>
      <c r="O394" s="291"/>
      <c r="P394" s="291"/>
      <c r="Q394" s="291"/>
      <c r="R394" s="291"/>
      <c r="S394" s="291"/>
    </row>
    <row r="395" spans="2:28" ht="13.5" hidden="1" outlineLevel="1" x14ac:dyDescent="0.2">
      <c r="B395" s="270" t="e">
        <f>IF(AND($C395&gt;='TIF Loan Amortization'!$H$480,$C395&lt;='TIF Loan Amortization'!$I$480),'TIF Loan Amortization'!$G$480,IF(AND($C395&gt;='TIF Loan Amortization'!$H$481,$C395&lt;='TIF Loan Amortization'!I$481),'TIF Loan Amortization'!$G$481,IF(AND($C395&gt;='TIF Loan Amortization'!$H$482,$C395&lt;='TIF Loan Amortization'!I$482),'TIF Loan Amortization'!$G$482,IF(AND($C395&gt;='TIF Loan Amortization'!$H$483,$C395&lt;='TIF Loan Amortization'!I$483),'TIF Loan Amortization'!$G$483,IF(AND($C395&gt;='TIF Loan Amortization'!$H$484,$C395&lt;='TIF Loan Amortization'!I$484),'TIF Loan Amortization'!$G$484,IF(AND($C395&gt;='TIF Loan Amortization'!$H$485,$C395&lt;='TIF Loan Amortization'!I$485),'TIF Loan Amortization'!$G$485,IF(AND($C395&gt;='TIF Loan Amortization'!$H$486,$C395&lt;='TIF Loan Amortization'!I$486),'TIF Loan Amortization'!$G$486,IF(AND($C395&gt;='TIF Loan Amortization'!$H$487,$C395&lt;='TIF Loan Amortization'!I$487),'TIF Loan Amortization'!$G$487,IF(AND($C395&gt;='TIF Loan Amortization'!$H$488,$C395&lt;='TIF Loan Amortization'!I$488),'TIF Loan Amortization'!$G$488,IF(AND($C395&gt;='TIF Loan Amortization'!$H$489,$C395&lt;='TIF Loan Amortization'!I$489),'TIF Loan Amortization'!$G$489,IF(AND($C395&gt;='TIF Loan Amortization'!$H$490,$C395&lt;='TIF Loan Amortization'!I$490),'TIF Loan Amortization'!$G$490,IF(AND($C395&gt;='TIF Loan Amortization'!$H$491,$C395&lt;='TIF Loan Amortization'!I$491),'TIF Loan Amortization'!$G$491,IF(AND($C395&gt;='TIF Loan Amortization'!$H$492,$C395&lt;='TIF Loan Amortization'!I$492),'TIF Loan Amortization'!$G$492,IF(AND($C395&gt;='TIF Loan Amortization'!$H$493,$C395&lt;='TIF Loan Amortization'!I$493),'TIF Loan Amortization'!$G$493,IF(AND($C395&gt;='TIF Loan Amortization'!$H$494,$C395&lt;='TIF Loan Amortization'!I$494),'TIF Loan Amortization'!$G$494,IF(AND($C395&gt;='TIF Loan Amortization'!$H$495,$C395&lt;='TIF Loan Amortization'!I$495),'TIF Loan Amortization'!$G$495,IF(AND($C395&gt;='TIF Loan Amortization'!$H$496,$C395&lt;='TIF Loan Amortization'!I$496),'TIF Loan Amortization'!$G$496,IF(AND($C395&gt;='TIF Loan Amortization'!$H$497,$C395&lt;='TIF Loan Amortization'!I$497),'TIF Loan Amortization'!$G$497,IF(AND($C395&gt;='TIF Loan Amortization'!$H$498,$C395&lt;='TIF Loan Amortization'!I$498),'TIF Loan Amortization'!$G$498,IF(AND($C395&gt;='TIF Loan Amortization'!$H$499,$C395&lt;='TIF Loan Amortization'!I$499),'TIF Loan Amortization'!$G$499,IF(AND($C395&gt;='TIF Loan Amortization'!$H$500,$C395&lt;='TIF Loan Amortization'!I$500),'TIF Loan Amortization'!$G$500,IF(AND($C395&gt;='TIF Loan Amortization'!$H$501,$C395&lt;='TIF Loan Amortization'!I$501),'TIF Loan Amortization'!$G$501,IF(AND($C395&gt;='TIF Loan Amortization'!$H$502,$C395&lt;='TIF Loan Amortization'!I$502),'TIF Loan Amortization'!$G$502,IF(AND($C395&gt;='TIF Loan Amortization'!$H$503,$C395&lt;='TIF Loan Amortization'!I$503),'TIF Loan Amortization'!$G$503,IF(AND($C395&gt;='TIF Loan Amortization'!$H$504,$C395&lt;='TIF Loan Amortization'!I$504),'TIF Loan Amortization'!$G$504,IF(AND($C395&gt;='TIF Loan Amortization'!$H$505,$C395&lt;='TIF Loan Amortization'!I$505),'TIF Loan Amortization'!$G$505,IF(AND($C395&gt;='TIF Loan Amortization'!$H$506,$C395&lt;='TIF Loan Amortization'!I$506),'TIF Loan Amortization'!$G$506,IF(AND($C395&gt;='TIF Loan Amortization'!$H$507,$C395&lt;='TIF Loan Amortization'!I$507),'TIF Loan Amortization'!$G$507,IF(AND($C395&gt;='TIF Loan Amortization'!$H$508,$C395&lt;='TIF Loan Amortization'!I$508),'TIF Loan Amortization'!$G$508,IF(AND($C395&gt;='TIF Loan Amortization'!$H$509,$C395&lt;='TIF Loan Amortization'!I$509),'TIF Loan Amortization'!$G$509,IF(AND($C395&gt;='TIF Loan Amortization'!$H$510,$C395&lt;='TIF Loan Amortization'!I$510),'TIF Loan Amortization'!$G$510,IF(AND($C395&gt;='TIF Loan Amortization'!$H$511,$C395&lt;='TIF Loan Amortization'!I$511),'TIF Loan Amortization'!$G$511,IF(AND($C395&gt;='TIF Loan Amortization'!$H$512,$C395&lt;='TIF Loan Amortization'!I$512),'TIF Loan Amortization'!$G$512,IF(AND($C395&gt;='TIF Loan Amortization'!$H$513,$C395&lt;='TIF Loan Amortization'!I$513),'TIF Loan Amortization'!$G$513,IF(AND($C395&gt;='TIF Loan Amortization'!$H$514,$C395&lt;='TIF Loan Amortization'!I$514),'TIF Loan Amortization'!$G$514,IF(AND($C395&gt;='TIF Loan Amortization'!$H$515,$C395&lt;='TIF Loan Amortization'!I$515),'TIF Loan Amortization'!$G$515,IF(AND($C395&gt;='TIF Loan Amortization'!$H$516,$C395&lt;='TIF Loan Amortization'!I$516),'TIF Loan Amortization'!$G$516,IF(AND($C395&gt;='TIF Loan Amortization'!$H$517,$C395&lt;='TIF Loan Amortization'!I$517),'TIF Loan Amortization'!$G$517,IF(AND($C395&gt;='TIF Loan Amortization'!$H$518,$C395&lt;='TIF Loan Amortization'!I$518),'TIF Loan Amortization'!$G$518,IF(AND($C395&gt;='TIF Loan Amortization'!$H$519,$C395&lt;='TIF Loan Amortization'!I$519),'TIF Loan Amortization'!$G$519))))))))))))))))))))))))))))))))))))))))</f>
        <v>#N/A</v>
      </c>
      <c r="C395" s="269" t="e">
        <f t="shared" si="48"/>
        <v>#N/A</v>
      </c>
      <c r="D395" s="277" t="str">
        <f>IF($AG$431=1,$H$10+29,"")</f>
        <v/>
      </c>
      <c r="E395" s="274">
        <v>345</v>
      </c>
      <c r="F395" s="275" t="str">
        <f>VLOOKUP($AG$431,$AE$422:$AF$433,2)</f>
        <v>Dec</v>
      </c>
      <c r="G395" s="272">
        <f t="shared" si="49"/>
        <v>0</v>
      </c>
      <c r="H395" s="272">
        <f t="shared" si="52"/>
        <v>0</v>
      </c>
      <c r="I395" s="272">
        <f t="shared" si="53"/>
        <v>0</v>
      </c>
      <c r="J395" s="272">
        <f t="shared" si="50"/>
        <v>0</v>
      </c>
      <c r="K395" s="272">
        <f>IF(ISTEXT($M$4),"",SUM(I$50:I395))</f>
        <v>0</v>
      </c>
      <c r="L395" s="272">
        <f>IF(ISTEXT($M$4),"",SUM(J$50:J395))</f>
        <v>0</v>
      </c>
      <c r="M395" s="271">
        <f t="shared" si="51"/>
        <v>0</v>
      </c>
      <c r="N395" s="291" t="e">
        <f>IF(C395='Operating Assumptions'!$C$48,"Construction Finish","")</f>
        <v>#N/A</v>
      </c>
      <c r="O395" s="291"/>
      <c r="P395" s="291"/>
      <c r="Q395" s="291"/>
      <c r="R395" s="291"/>
      <c r="S395" s="291"/>
    </row>
    <row r="396" spans="2:28" ht="13.5" hidden="1" outlineLevel="1" x14ac:dyDescent="0.2">
      <c r="B396" s="270" t="e">
        <f>IF(AND($C396&gt;='TIF Loan Amortization'!$H$480,$C396&lt;='TIF Loan Amortization'!$I$480),'TIF Loan Amortization'!$G$480,IF(AND($C396&gt;='TIF Loan Amortization'!$H$481,$C396&lt;='TIF Loan Amortization'!I$481),'TIF Loan Amortization'!$G$481,IF(AND($C396&gt;='TIF Loan Amortization'!$H$482,$C396&lt;='TIF Loan Amortization'!I$482),'TIF Loan Amortization'!$G$482,IF(AND($C396&gt;='TIF Loan Amortization'!$H$483,$C396&lt;='TIF Loan Amortization'!I$483),'TIF Loan Amortization'!$G$483,IF(AND($C396&gt;='TIF Loan Amortization'!$H$484,$C396&lt;='TIF Loan Amortization'!I$484),'TIF Loan Amortization'!$G$484,IF(AND($C396&gt;='TIF Loan Amortization'!$H$485,$C396&lt;='TIF Loan Amortization'!I$485),'TIF Loan Amortization'!$G$485,IF(AND($C396&gt;='TIF Loan Amortization'!$H$486,$C396&lt;='TIF Loan Amortization'!I$486),'TIF Loan Amortization'!$G$486,IF(AND($C396&gt;='TIF Loan Amortization'!$H$487,$C396&lt;='TIF Loan Amortization'!I$487),'TIF Loan Amortization'!$G$487,IF(AND($C396&gt;='TIF Loan Amortization'!$H$488,$C396&lt;='TIF Loan Amortization'!I$488),'TIF Loan Amortization'!$G$488,IF(AND($C396&gt;='TIF Loan Amortization'!$H$489,$C396&lt;='TIF Loan Amortization'!I$489),'TIF Loan Amortization'!$G$489,IF(AND($C396&gt;='TIF Loan Amortization'!$H$490,$C396&lt;='TIF Loan Amortization'!I$490),'TIF Loan Amortization'!$G$490,IF(AND($C396&gt;='TIF Loan Amortization'!$H$491,$C396&lt;='TIF Loan Amortization'!I$491),'TIF Loan Amortization'!$G$491,IF(AND($C396&gt;='TIF Loan Amortization'!$H$492,$C396&lt;='TIF Loan Amortization'!I$492),'TIF Loan Amortization'!$G$492,IF(AND($C396&gt;='TIF Loan Amortization'!$H$493,$C396&lt;='TIF Loan Amortization'!I$493),'TIF Loan Amortization'!$G$493,IF(AND($C396&gt;='TIF Loan Amortization'!$H$494,$C396&lt;='TIF Loan Amortization'!I$494),'TIF Loan Amortization'!$G$494,IF(AND($C396&gt;='TIF Loan Amortization'!$H$495,$C396&lt;='TIF Loan Amortization'!I$495),'TIF Loan Amortization'!$G$495,IF(AND($C396&gt;='TIF Loan Amortization'!$H$496,$C396&lt;='TIF Loan Amortization'!I$496),'TIF Loan Amortization'!$G$496,IF(AND($C396&gt;='TIF Loan Amortization'!$H$497,$C396&lt;='TIF Loan Amortization'!I$497),'TIF Loan Amortization'!$G$497,IF(AND($C396&gt;='TIF Loan Amortization'!$H$498,$C396&lt;='TIF Loan Amortization'!I$498),'TIF Loan Amortization'!$G$498,IF(AND($C396&gt;='TIF Loan Amortization'!$H$499,$C396&lt;='TIF Loan Amortization'!I$499),'TIF Loan Amortization'!$G$499,IF(AND($C396&gt;='TIF Loan Amortization'!$H$500,$C396&lt;='TIF Loan Amortization'!I$500),'TIF Loan Amortization'!$G$500,IF(AND($C396&gt;='TIF Loan Amortization'!$H$501,$C396&lt;='TIF Loan Amortization'!I$501),'TIF Loan Amortization'!$G$501,IF(AND($C396&gt;='TIF Loan Amortization'!$H$502,$C396&lt;='TIF Loan Amortization'!I$502),'TIF Loan Amortization'!$G$502,IF(AND($C396&gt;='TIF Loan Amortization'!$H$503,$C396&lt;='TIF Loan Amortization'!I$503),'TIF Loan Amortization'!$G$503,IF(AND($C396&gt;='TIF Loan Amortization'!$H$504,$C396&lt;='TIF Loan Amortization'!I$504),'TIF Loan Amortization'!$G$504,IF(AND($C396&gt;='TIF Loan Amortization'!$H$505,$C396&lt;='TIF Loan Amortization'!I$505),'TIF Loan Amortization'!$G$505,IF(AND($C396&gt;='TIF Loan Amortization'!$H$506,$C396&lt;='TIF Loan Amortization'!I$506),'TIF Loan Amortization'!$G$506,IF(AND($C396&gt;='TIF Loan Amortization'!$H$507,$C396&lt;='TIF Loan Amortization'!I$507),'TIF Loan Amortization'!$G$507,IF(AND($C396&gt;='TIF Loan Amortization'!$H$508,$C396&lt;='TIF Loan Amortization'!I$508),'TIF Loan Amortization'!$G$508,IF(AND($C396&gt;='TIF Loan Amortization'!$H$509,$C396&lt;='TIF Loan Amortization'!I$509),'TIF Loan Amortization'!$G$509,IF(AND($C396&gt;='TIF Loan Amortization'!$H$510,$C396&lt;='TIF Loan Amortization'!I$510),'TIF Loan Amortization'!$G$510,IF(AND($C396&gt;='TIF Loan Amortization'!$H$511,$C396&lt;='TIF Loan Amortization'!I$511),'TIF Loan Amortization'!$G$511,IF(AND($C396&gt;='TIF Loan Amortization'!$H$512,$C396&lt;='TIF Loan Amortization'!I$512),'TIF Loan Amortization'!$G$512,IF(AND($C396&gt;='TIF Loan Amortization'!$H$513,$C396&lt;='TIF Loan Amortization'!I$513),'TIF Loan Amortization'!$G$513,IF(AND($C396&gt;='TIF Loan Amortization'!$H$514,$C396&lt;='TIF Loan Amortization'!I$514),'TIF Loan Amortization'!$G$514,IF(AND($C396&gt;='TIF Loan Amortization'!$H$515,$C396&lt;='TIF Loan Amortization'!I$515),'TIF Loan Amortization'!$G$515,IF(AND($C396&gt;='TIF Loan Amortization'!$H$516,$C396&lt;='TIF Loan Amortization'!I$516),'TIF Loan Amortization'!$G$516,IF(AND($C396&gt;='TIF Loan Amortization'!$H$517,$C396&lt;='TIF Loan Amortization'!I$517),'TIF Loan Amortization'!$G$517,IF(AND($C396&gt;='TIF Loan Amortization'!$H$518,$C396&lt;='TIF Loan Amortization'!I$518),'TIF Loan Amortization'!$G$518,IF(AND($C396&gt;='TIF Loan Amortization'!$H$519,$C396&lt;='TIF Loan Amortization'!I$519),'TIF Loan Amortization'!$G$519))))))))))))))))))))))))))))))))))))))))</f>
        <v>#N/A</v>
      </c>
      <c r="C396" s="269" t="e">
        <f t="shared" si="48"/>
        <v>#N/A</v>
      </c>
      <c r="D396" s="277">
        <f>IF($AG$432=1,$H$10+29,"")</f>
        <v>2054</v>
      </c>
      <c r="E396" s="274">
        <v>346</v>
      </c>
      <c r="F396" s="273" t="str">
        <f>VLOOKUP($AG$432,$AE$422:$AF$433,2)</f>
        <v>Jan</v>
      </c>
      <c r="G396" s="272">
        <f t="shared" si="49"/>
        <v>0</v>
      </c>
      <c r="H396" s="272">
        <f t="shared" si="52"/>
        <v>0</v>
      </c>
      <c r="I396" s="272">
        <f t="shared" si="53"/>
        <v>0</v>
      </c>
      <c r="J396" s="272">
        <f t="shared" si="50"/>
        <v>0</v>
      </c>
      <c r="K396" s="272">
        <f>IF(ISTEXT($M$4),"",SUM(I$50:I396))</f>
        <v>0</v>
      </c>
      <c r="L396" s="272">
        <f>IF(ISTEXT($M$4),"",SUM(J$50:J396))</f>
        <v>0</v>
      </c>
      <c r="M396" s="271">
        <f t="shared" si="51"/>
        <v>0</v>
      </c>
      <c r="N396" s="291" t="e">
        <f>IF(C396='Operating Assumptions'!$C$48,"Construction Finish","")</f>
        <v>#N/A</v>
      </c>
      <c r="O396" s="291"/>
      <c r="P396" s="291"/>
      <c r="Q396" s="291"/>
      <c r="R396" s="291"/>
      <c r="S396" s="291"/>
    </row>
    <row r="397" spans="2:28" ht="13.5" hidden="1" outlineLevel="1" x14ac:dyDescent="0.2">
      <c r="B397" s="270" t="e">
        <f>IF(AND($C397&gt;='TIF Loan Amortization'!$H$480,$C397&lt;='TIF Loan Amortization'!$I$480),'TIF Loan Amortization'!$G$480,IF(AND($C397&gt;='TIF Loan Amortization'!$H$481,$C397&lt;='TIF Loan Amortization'!I$481),'TIF Loan Amortization'!$G$481,IF(AND($C397&gt;='TIF Loan Amortization'!$H$482,$C397&lt;='TIF Loan Amortization'!I$482),'TIF Loan Amortization'!$G$482,IF(AND($C397&gt;='TIF Loan Amortization'!$H$483,$C397&lt;='TIF Loan Amortization'!I$483),'TIF Loan Amortization'!$G$483,IF(AND($C397&gt;='TIF Loan Amortization'!$H$484,$C397&lt;='TIF Loan Amortization'!I$484),'TIF Loan Amortization'!$G$484,IF(AND($C397&gt;='TIF Loan Amortization'!$H$485,$C397&lt;='TIF Loan Amortization'!I$485),'TIF Loan Amortization'!$G$485,IF(AND($C397&gt;='TIF Loan Amortization'!$H$486,$C397&lt;='TIF Loan Amortization'!I$486),'TIF Loan Amortization'!$G$486,IF(AND($C397&gt;='TIF Loan Amortization'!$H$487,$C397&lt;='TIF Loan Amortization'!I$487),'TIF Loan Amortization'!$G$487,IF(AND($C397&gt;='TIF Loan Amortization'!$H$488,$C397&lt;='TIF Loan Amortization'!I$488),'TIF Loan Amortization'!$G$488,IF(AND($C397&gt;='TIF Loan Amortization'!$H$489,$C397&lt;='TIF Loan Amortization'!I$489),'TIF Loan Amortization'!$G$489,IF(AND($C397&gt;='TIF Loan Amortization'!$H$490,$C397&lt;='TIF Loan Amortization'!I$490),'TIF Loan Amortization'!$G$490,IF(AND($C397&gt;='TIF Loan Amortization'!$H$491,$C397&lt;='TIF Loan Amortization'!I$491),'TIF Loan Amortization'!$G$491,IF(AND($C397&gt;='TIF Loan Amortization'!$H$492,$C397&lt;='TIF Loan Amortization'!I$492),'TIF Loan Amortization'!$G$492,IF(AND($C397&gt;='TIF Loan Amortization'!$H$493,$C397&lt;='TIF Loan Amortization'!I$493),'TIF Loan Amortization'!$G$493,IF(AND($C397&gt;='TIF Loan Amortization'!$H$494,$C397&lt;='TIF Loan Amortization'!I$494),'TIF Loan Amortization'!$G$494,IF(AND($C397&gt;='TIF Loan Amortization'!$H$495,$C397&lt;='TIF Loan Amortization'!I$495),'TIF Loan Amortization'!$G$495,IF(AND($C397&gt;='TIF Loan Amortization'!$H$496,$C397&lt;='TIF Loan Amortization'!I$496),'TIF Loan Amortization'!$G$496,IF(AND($C397&gt;='TIF Loan Amortization'!$H$497,$C397&lt;='TIF Loan Amortization'!I$497),'TIF Loan Amortization'!$G$497,IF(AND($C397&gt;='TIF Loan Amortization'!$H$498,$C397&lt;='TIF Loan Amortization'!I$498),'TIF Loan Amortization'!$G$498,IF(AND($C397&gt;='TIF Loan Amortization'!$H$499,$C397&lt;='TIF Loan Amortization'!I$499),'TIF Loan Amortization'!$G$499,IF(AND($C397&gt;='TIF Loan Amortization'!$H$500,$C397&lt;='TIF Loan Amortization'!I$500),'TIF Loan Amortization'!$G$500,IF(AND($C397&gt;='TIF Loan Amortization'!$H$501,$C397&lt;='TIF Loan Amortization'!I$501),'TIF Loan Amortization'!$G$501,IF(AND($C397&gt;='TIF Loan Amortization'!$H$502,$C397&lt;='TIF Loan Amortization'!I$502),'TIF Loan Amortization'!$G$502,IF(AND($C397&gt;='TIF Loan Amortization'!$H$503,$C397&lt;='TIF Loan Amortization'!I$503),'TIF Loan Amortization'!$G$503,IF(AND($C397&gt;='TIF Loan Amortization'!$H$504,$C397&lt;='TIF Loan Amortization'!I$504),'TIF Loan Amortization'!$G$504,IF(AND($C397&gt;='TIF Loan Amortization'!$H$505,$C397&lt;='TIF Loan Amortization'!I$505),'TIF Loan Amortization'!$G$505,IF(AND($C397&gt;='TIF Loan Amortization'!$H$506,$C397&lt;='TIF Loan Amortization'!I$506),'TIF Loan Amortization'!$G$506,IF(AND($C397&gt;='TIF Loan Amortization'!$H$507,$C397&lt;='TIF Loan Amortization'!I$507),'TIF Loan Amortization'!$G$507,IF(AND($C397&gt;='TIF Loan Amortization'!$H$508,$C397&lt;='TIF Loan Amortization'!I$508),'TIF Loan Amortization'!$G$508,IF(AND($C397&gt;='TIF Loan Amortization'!$H$509,$C397&lt;='TIF Loan Amortization'!I$509),'TIF Loan Amortization'!$G$509,IF(AND($C397&gt;='TIF Loan Amortization'!$H$510,$C397&lt;='TIF Loan Amortization'!I$510),'TIF Loan Amortization'!$G$510,IF(AND($C397&gt;='TIF Loan Amortization'!$H$511,$C397&lt;='TIF Loan Amortization'!I$511),'TIF Loan Amortization'!$G$511,IF(AND($C397&gt;='TIF Loan Amortization'!$H$512,$C397&lt;='TIF Loan Amortization'!I$512),'TIF Loan Amortization'!$G$512,IF(AND($C397&gt;='TIF Loan Amortization'!$H$513,$C397&lt;='TIF Loan Amortization'!I$513),'TIF Loan Amortization'!$G$513,IF(AND($C397&gt;='TIF Loan Amortization'!$H$514,$C397&lt;='TIF Loan Amortization'!I$514),'TIF Loan Amortization'!$G$514,IF(AND($C397&gt;='TIF Loan Amortization'!$H$515,$C397&lt;='TIF Loan Amortization'!I$515),'TIF Loan Amortization'!$G$515,IF(AND($C397&gt;='TIF Loan Amortization'!$H$516,$C397&lt;='TIF Loan Amortization'!I$516),'TIF Loan Amortization'!$G$516,IF(AND($C397&gt;='TIF Loan Amortization'!$H$517,$C397&lt;='TIF Loan Amortization'!I$517),'TIF Loan Amortization'!$G$517,IF(AND($C397&gt;='TIF Loan Amortization'!$H$518,$C397&lt;='TIF Loan Amortization'!I$518),'TIF Loan Amortization'!$G$518,IF(AND($C397&gt;='TIF Loan Amortization'!$H$519,$C397&lt;='TIF Loan Amortization'!I$519),'TIF Loan Amortization'!$G$519))))))))))))))))))))))))))))))))))))))))</f>
        <v>#N/A</v>
      </c>
      <c r="C397" s="269" t="e">
        <f t="shared" si="48"/>
        <v>#N/A</v>
      </c>
      <c r="D397" s="277" t="str">
        <f>IF($AG$433=1,$H$10+29,"")</f>
        <v/>
      </c>
      <c r="E397" s="274">
        <v>347</v>
      </c>
      <c r="F397" s="273" t="str">
        <f>VLOOKUP($AG$433,$AE$422:$AF$433,2)</f>
        <v>Feb</v>
      </c>
      <c r="G397" s="272">
        <f t="shared" si="49"/>
        <v>0</v>
      </c>
      <c r="H397" s="272">
        <f t="shared" si="52"/>
        <v>0</v>
      </c>
      <c r="I397" s="272">
        <f t="shared" si="53"/>
        <v>0</v>
      </c>
      <c r="J397" s="272">
        <f t="shared" si="50"/>
        <v>0</v>
      </c>
      <c r="K397" s="272">
        <f>IF(ISTEXT($M$4),"",SUM(I$50:I397))</f>
        <v>0</v>
      </c>
      <c r="L397" s="272">
        <f>IF(ISTEXT($M$4),"",SUM(J$50:J397))</f>
        <v>0</v>
      </c>
      <c r="M397" s="271">
        <f t="shared" si="51"/>
        <v>0</v>
      </c>
      <c r="N397" s="291" t="e">
        <f>IF(C397='Operating Assumptions'!$C$48,"Construction Finish","")</f>
        <v>#N/A</v>
      </c>
      <c r="O397" s="291"/>
      <c r="P397" s="291"/>
      <c r="Q397" s="291"/>
      <c r="R397" s="291"/>
      <c r="S397" s="291"/>
    </row>
    <row r="398" spans="2:28" ht="13.5" hidden="1" outlineLevel="1" x14ac:dyDescent="0.2">
      <c r="B398" s="270" t="e">
        <f>IF(AND($C398&gt;='TIF Loan Amortization'!$H$480,$C398&lt;='TIF Loan Amortization'!$I$480),'TIF Loan Amortization'!$G$480,IF(AND($C398&gt;='TIF Loan Amortization'!$H$481,$C398&lt;='TIF Loan Amortization'!I$481),'TIF Loan Amortization'!$G$481,IF(AND($C398&gt;='TIF Loan Amortization'!$H$482,$C398&lt;='TIF Loan Amortization'!I$482),'TIF Loan Amortization'!$G$482,IF(AND($C398&gt;='TIF Loan Amortization'!$H$483,$C398&lt;='TIF Loan Amortization'!I$483),'TIF Loan Amortization'!$G$483,IF(AND($C398&gt;='TIF Loan Amortization'!$H$484,$C398&lt;='TIF Loan Amortization'!I$484),'TIF Loan Amortization'!$G$484,IF(AND($C398&gt;='TIF Loan Amortization'!$H$485,$C398&lt;='TIF Loan Amortization'!I$485),'TIF Loan Amortization'!$G$485,IF(AND($C398&gt;='TIF Loan Amortization'!$H$486,$C398&lt;='TIF Loan Amortization'!I$486),'TIF Loan Amortization'!$G$486,IF(AND($C398&gt;='TIF Loan Amortization'!$H$487,$C398&lt;='TIF Loan Amortization'!I$487),'TIF Loan Amortization'!$G$487,IF(AND($C398&gt;='TIF Loan Amortization'!$H$488,$C398&lt;='TIF Loan Amortization'!I$488),'TIF Loan Amortization'!$G$488,IF(AND($C398&gt;='TIF Loan Amortization'!$H$489,$C398&lt;='TIF Loan Amortization'!I$489),'TIF Loan Amortization'!$G$489,IF(AND($C398&gt;='TIF Loan Amortization'!$H$490,$C398&lt;='TIF Loan Amortization'!I$490),'TIF Loan Amortization'!$G$490,IF(AND($C398&gt;='TIF Loan Amortization'!$H$491,$C398&lt;='TIF Loan Amortization'!I$491),'TIF Loan Amortization'!$G$491,IF(AND($C398&gt;='TIF Loan Amortization'!$H$492,$C398&lt;='TIF Loan Amortization'!I$492),'TIF Loan Amortization'!$G$492,IF(AND($C398&gt;='TIF Loan Amortization'!$H$493,$C398&lt;='TIF Loan Amortization'!I$493),'TIF Loan Amortization'!$G$493,IF(AND($C398&gt;='TIF Loan Amortization'!$H$494,$C398&lt;='TIF Loan Amortization'!I$494),'TIF Loan Amortization'!$G$494,IF(AND($C398&gt;='TIF Loan Amortization'!$H$495,$C398&lt;='TIF Loan Amortization'!I$495),'TIF Loan Amortization'!$G$495,IF(AND($C398&gt;='TIF Loan Amortization'!$H$496,$C398&lt;='TIF Loan Amortization'!I$496),'TIF Loan Amortization'!$G$496,IF(AND($C398&gt;='TIF Loan Amortization'!$H$497,$C398&lt;='TIF Loan Amortization'!I$497),'TIF Loan Amortization'!$G$497,IF(AND($C398&gt;='TIF Loan Amortization'!$H$498,$C398&lt;='TIF Loan Amortization'!I$498),'TIF Loan Amortization'!$G$498,IF(AND($C398&gt;='TIF Loan Amortization'!$H$499,$C398&lt;='TIF Loan Amortization'!I$499),'TIF Loan Amortization'!$G$499,IF(AND($C398&gt;='TIF Loan Amortization'!$H$500,$C398&lt;='TIF Loan Amortization'!I$500),'TIF Loan Amortization'!$G$500,IF(AND($C398&gt;='TIF Loan Amortization'!$H$501,$C398&lt;='TIF Loan Amortization'!I$501),'TIF Loan Amortization'!$G$501,IF(AND($C398&gt;='TIF Loan Amortization'!$H$502,$C398&lt;='TIF Loan Amortization'!I$502),'TIF Loan Amortization'!$G$502,IF(AND($C398&gt;='TIF Loan Amortization'!$H$503,$C398&lt;='TIF Loan Amortization'!I$503),'TIF Loan Amortization'!$G$503,IF(AND($C398&gt;='TIF Loan Amortization'!$H$504,$C398&lt;='TIF Loan Amortization'!I$504),'TIF Loan Amortization'!$G$504,IF(AND($C398&gt;='TIF Loan Amortization'!$H$505,$C398&lt;='TIF Loan Amortization'!I$505),'TIF Loan Amortization'!$G$505,IF(AND($C398&gt;='TIF Loan Amortization'!$H$506,$C398&lt;='TIF Loan Amortization'!I$506),'TIF Loan Amortization'!$G$506,IF(AND($C398&gt;='TIF Loan Amortization'!$H$507,$C398&lt;='TIF Loan Amortization'!I$507),'TIF Loan Amortization'!$G$507,IF(AND($C398&gt;='TIF Loan Amortization'!$H$508,$C398&lt;='TIF Loan Amortization'!I$508),'TIF Loan Amortization'!$G$508,IF(AND($C398&gt;='TIF Loan Amortization'!$H$509,$C398&lt;='TIF Loan Amortization'!I$509),'TIF Loan Amortization'!$G$509,IF(AND($C398&gt;='TIF Loan Amortization'!$H$510,$C398&lt;='TIF Loan Amortization'!I$510),'TIF Loan Amortization'!$G$510,IF(AND($C398&gt;='TIF Loan Amortization'!$H$511,$C398&lt;='TIF Loan Amortization'!I$511),'TIF Loan Amortization'!$G$511,IF(AND($C398&gt;='TIF Loan Amortization'!$H$512,$C398&lt;='TIF Loan Amortization'!I$512),'TIF Loan Amortization'!$G$512,IF(AND($C398&gt;='TIF Loan Amortization'!$H$513,$C398&lt;='TIF Loan Amortization'!I$513),'TIF Loan Amortization'!$G$513,IF(AND($C398&gt;='TIF Loan Amortization'!$H$514,$C398&lt;='TIF Loan Amortization'!I$514),'TIF Loan Amortization'!$G$514,IF(AND($C398&gt;='TIF Loan Amortization'!$H$515,$C398&lt;='TIF Loan Amortization'!I$515),'TIF Loan Amortization'!$G$515,IF(AND($C398&gt;='TIF Loan Amortization'!$H$516,$C398&lt;='TIF Loan Amortization'!I$516),'TIF Loan Amortization'!$G$516,IF(AND($C398&gt;='TIF Loan Amortization'!$H$517,$C398&lt;='TIF Loan Amortization'!I$517),'TIF Loan Amortization'!$G$517,IF(AND($C398&gt;='TIF Loan Amortization'!$H$518,$C398&lt;='TIF Loan Amortization'!I$518),'TIF Loan Amortization'!$G$518,IF(AND($C398&gt;='TIF Loan Amortization'!$H$519,$C398&lt;='TIF Loan Amortization'!I$519),'TIF Loan Amortization'!$G$519))))))))))))))))))))))))))))))))))))))))</f>
        <v>#N/A</v>
      </c>
      <c r="C398" s="269" t="e">
        <f t="shared" si="48"/>
        <v>#N/A</v>
      </c>
      <c r="D398" s="277" t="str">
        <f>IF($H$11="January",$H$10+29,IF($AG$422=1,$H$10+30,""))</f>
        <v/>
      </c>
      <c r="E398" s="274">
        <v>348</v>
      </c>
      <c r="F398" s="273" t="str">
        <f>VLOOKUP($AG$422,$AE$422:$AF$433,2)</f>
        <v>Mar</v>
      </c>
      <c r="G398" s="272">
        <f t="shared" si="49"/>
        <v>0</v>
      </c>
      <c r="H398" s="272">
        <f t="shared" si="52"/>
        <v>0</v>
      </c>
      <c r="I398" s="272">
        <f t="shared" si="53"/>
        <v>0</v>
      </c>
      <c r="J398" s="272">
        <f t="shared" si="50"/>
        <v>0</v>
      </c>
      <c r="K398" s="272">
        <f>IF(ISTEXT($M$4),"",SUM(I$50:I398))</f>
        <v>0</v>
      </c>
      <c r="L398" s="272">
        <f>IF(ISTEXT($M$4),"",SUM(J$50:J398))</f>
        <v>0</v>
      </c>
      <c r="M398" s="271">
        <f t="shared" si="51"/>
        <v>0</v>
      </c>
      <c r="N398" s="291" t="e">
        <f>IF(C398='Operating Assumptions'!$C$48,"Construction Finish","")</f>
        <v>#N/A</v>
      </c>
      <c r="O398" s="291"/>
      <c r="P398" s="291"/>
      <c r="Q398" s="291"/>
      <c r="R398" s="291"/>
      <c r="S398" s="291"/>
    </row>
    <row r="399" spans="2:28" ht="13.5" hidden="1" outlineLevel="1" x14ac:dyDescent="0.2">
      <c r="B399" s="270" t="e">
        <f>IF(AND($C399&gt;='TIF Loan Amortization'!$H$480,$C399&lt;='TIF Loan Amortization'!$I$480),'TIF Loan Amortization'!$G$480,IF(AND($C399&gt;='TIF Loan Amortization'!$H$481,$C399&lt;='TIF Loan Amortization'!I$481),'TIF Loan Amortization'!$G$481,IF(AND($C399&gt;='TIF Loan Amortization'!$H$482,$C399&lt;='TIF Loan Amortization'!I$482),'TIF Loan Amortization'!$G$482,IF(AND($C399&gt;='TIF Loan Amortization'!$H$483,$C399&lt;='TIF Loan Amortization'!I$483),'TIF Loan Amortization'!$G$483,IF(AND($C399&gt;='TIF Loan Amortization'!$H$484,$C399&lt;='TIF Loan Amortization'!I$484),'TIF Loan Amortization'!$G$484,IF(AND($C399&gt;='TIF Loan Amortization'!$H$485,$C399&lt;='TIF Loan Amortization'!I$485),'TIF Loan Amortization'!$G$485,IF(AND($C399&gt;='TIF Loan Amortization'!$H$486,$C399&lt;='TIF Loan Amortization'!I$486),'TIF Loan Amortization'!$G$486,IF(AND($C399&gt;='TIF Loan Amortization'!$H$487,$C399&lt;='TIF Loan Amortization'!I$487),'TIF Loan Amortization'!$G$487,IF(AND($C399&gt;='TIF Loan Amortization'!$H$488,$C399&lt;='TIF Loan Amortization'!I$488),'TIF Loan Amortization'!$G$488,IF(AND($C399&gt;='TIF Loan Amortization'!$H$489,$C399&lt;='TIF Loan Amortization'!I$489),'TIF Loan Amortization'!$G$489,IF(AND($C399&gt;='TIF Loan Amortization'!$H$490,$C399&lt;='TIF Loan Amortization'!I$490),'TIF Loan Amortization'!$G$490,IF(AND($C399&gt;='TIF Loan Amortization'!$H$491,$C399&lt;='TIF Loan Amortization'!I$491),'TIF Loan Amortization'!$G$491,IF(AND($C399&gt;='TIF Loan Amortization'!$H$492,$C399&lt;='TIF Loan Amortization'!I$492),'TIF Loan Amortization'!$G$492,IF(AND($C399&gt;='TIF Loan Amortization'!$H$493,$C399&lt;='TIF Loan Amortization'!I$493),'TIF Loan Amortization'!$G$493,IF(AND($C399&gt;='TIF Loan Amortization'!$H$494,$C399&lt;='TIF Loan Amortization'!I$494),'TIF Loan Amortization'!$G$494,IF(AND($C399&gt;='TIF Loan Amortization'!$H$495,$C399&lt;='TIF Loan Amortization'!I$495),'TIF Loan Amortization'!$G$495,IF(AND($C399&gt;='TIF Loan Amortization'!$H$496,$C399&lt;='TIF Loan Amortization'!I$496),'TIF Loan Amortization'!$G$496,IF(AND($C399&gt;='TIF Loan Amortization'!$H$497,$C399&lt;='TIF Loan Amortization'!I$497),'TIF Loan Amortization'!$G$497,IF(AND($C399&gt;='TIF Loan Amortization'!$H$498,$C399&lt;='TIF Loan Amortization'!I$498),'TIF Loan Amortization'!$G$498,IF(AND($C399&gt;='TIF Loan Amortization'!$H$499,$C399&lt;='TIF Loan Amortization'!I$499),'TIF Loan Amortization'!$G$499,IF(AND($C399&gt;='TIF Loan Amortization'!$H$500,$C399&lt;='TIF Loan Amortization'!I$500),'TIF Loan Amortization'!$G$500,IF(AND($C399&gt;='TIF Loan Amortization'!$H$501,$C399&lt;='TIF Loan Amortization'!I$501),'TIF Loan Amortization'!$G$501,IF(AND($C399&gt;='TIF Loan Amortization'!$H$502,$C399&lt;='TIF Loan Amortization'!I$502),'TIF Loan Amortization'!$G$502,IF(AND($C399&gt;='TIF Loan Amortization'!$H$503,$C399&lt;='TIF Loan Amortization'!I$503),'TIF Loan Amortization'!$G$503,IF(AND($C399&gt;='TIF Loan Amortization'!$H$504,$C399&lt;='TIF Loan Amortization'!I$504),'TIF Loan Amortization'!$G$504,IF(AND($C399&gt;='TIF Loan Amortization'!$H$505,$C399&lt;='TIF Loan Amortization'!I$505),'TIF Loan Amortization'!$G$505,IF(AND($C399&gt;='TIF Loan Amortization'!$H$506,$C399&lt;='TIF Loan Amortization'!I$506),'TIF Loan Amortization'!$G$506,IF(AND($C399&gt;='TIF Loan Amortization'!$H$507,$C399&lt;='TIF Loan Amortization'!I$507),'TIF Loan Amortization'!$G$507,IF(AND($C399&gt;='TIF Loan Amortization'!$H$508,$C399&lt;='TIF Loan Amortization'!I$508),'TIF Loan Amortization'!$G$508,IF(AND($C399&gt;='TIF Loan Amortization'!$H$509,$C399&lt;='TIF Loan Amortization'!I$509),'TIF Loan Amortization'!$G$509,IF(AND($C399&gt;='TIF Loan Amortization'!$H$510,$C399&lt;='TIF Loan Amortization'!I$510),'TIF Loan Amortization'!$G$510,IF(AND($C399&gt;='TIF Loan Amortization'!$H$511,$C399&lt;='TIF Loan Amortization'!I$511),'TIF Loan Amortization'!$G$511,IF(AND($C399&gt;='TIF Loan Amortization'!$H$512,$C399&lt;='TIF Loan Amortization'!I$512),'TIF Loan Amortization'!$G$512,IF(AND($C399&gt;='TIF Loan Amortization'!$H$513,$C399&lt;='TIF Loan Amortization'!I$513),'TIF Loan Amortization'!$G$513,IF(AND($C399&gt;='TIF Loan Amortization'!$H$514,$C399&lt;='TIF Loan Amortization'!I$514),'TIF Loan Amortization'!$G$514,IF(AND($C399&gt;='TIF Loan Amortization'!$H$515,$C399&lt;='TIF Loan Amortization'!I$515),'TIF Loan Amortization'!$G$515,IF(AND($C399&gt;='TIF Loan Amortization'!$H$516,$C399&lt;='TIF Loan Amortization'!I$516),'TIF Loan Amortization'!$G$516,IF(AND($C399&gt;='TIF Loan Amortization'!$H$517,$C399&lt;='TIF Loan Amortization'!I$517),'TIF Loan Amortization'!$G$517,IF(AND($C399&gt;='TIF Loan Amortization'!$H$518,$C399&lt;='TIF Loan Amortization'!I$518),'TIF Loan Amortization'!$G$518,IF(AND($C399&gt;='TIF Loan Amortization'!$H$519,$C399&lt;='TIF Loan Amortization'!I$519),'TIF Loan Amortization'!$G$519))))))))))))))))))))))))))))))))))))))))</f>
        <v>#N/A</v>
      </c>
      <c r="C399" s="269" t="e">
        <f t="shared" si="48"/>
        <v>#N/A</v>
      </c>
      <c r="D399" s="277" t="str">
        <f>IF($AG$423=1,$H$10+30,"")</f>
        <v/>
      </c>
      <c r="E399" s="274">
        <v>349</v>
      </c>
      <c r="F399" s="275" t="str">
        <f>VLOOKUP($AG$423,$AE$422:$AF$433,2)</f>
        <v>Apr</v>
      </c>
      <c r="G399" s="272">
        <f t="shared" si="49"/>
        <v>0</v>
      </c>
      <c r="H399" s="272">
        <f t="shared" si="52"/>
        <v>0</v>
      </c>
      <c r="I399" s="272">
        <f t="shared" si="53"/>
        <v>0</v>
      </c>
      <c r="J399" s="272">
        <f t="shared" si="50"/>
        <v>0</v>
      </c>
      <c r="K399" s="272">
        <f>IF(ISTEXT($M$4),"",SUM(I$50:I399))</f>
        <v>0</v>
      </c>
      <c r="L399" s="272">
        <f>IF(ISTEXT($M$4),"",SUM(J$50:J399))</f>
        <v>0</v>
      </c>
      <c r="M399" s="271">
        <f t="shared" si="51"/>
        <v>0</v>
      </c>
      <c r="N399" s="291" t="e">
        <f>IF(C399='Operating Assumptions'!$C$48,"Construction Finish","")</f>
        <v>#N/A</v>
      </c>
      <c r="O399" s="291"/>
      <c r="P399" s="291"/>
      <c r="Q399" s="291"/>
      <c r="R399" s="291"/>
      <c r="S399" s="291"/>
    </row>
    <row r="400" spans="2:28" ht="13.5" hidden="1" outlineLevel="1" x14ac:dyDescent="0.2">
      <c r="B400" s="270" t="e">
        <f>IF(AND($C400&gt;='TIF Loan Amortization'!$H$480,$C400&lt;='TIF Loan Amortization'!$I$480),'TIF Loan Amortization'!$G$480,IF(AND($C400&gt;='TIF Loan Amortization'!$H$481,$C400&lt;='TIF Loan Amortization'!I$481),'TIF Loan Amortization'!$G$481,IF(AND($C400&gt;='TIF Loan Amortization'!$H$482,$C400&lt;='TIF Loan Amortization'!I$482),'TIF Loan Amortization'!$G$482,IF(AND($C400&gt;='TIF Loan Amortization'!$H$483,$C400&lt;='TIF Loan Amortization'!I$483),'TIF Loan Amortization'!$G$483,IF(AND($C400&gt;='TIF Loan Amortization'!$H$484,$C400&lt;='TIF Loan Amortization'!I$484),'TIF Loan Amortization'!$G$484,IF(AND($C400&gt;='TIF Loan Amortization'!$H$485,$C400&lt;='TIF Loan Amortization'!I$485),'TIF Loan Amortization'!$G$485,IF(AND($C400&gt;='TIF Loan Amortization'!$H$486,$C400&lt;='TIF Loan Amortization'!I$486),'TIF Loan Amortization'!$G$486,IF(AND($C400&gt;='TIF Loan Amortization'!$H$487,$C400&lt;='TIF Loan Amortization'!I$487),'TIF Loan Amortization'!$G$487,IF(AND($C400&gt;='TIF Loan Amortization'!$H$488,$C400&lt;='TIF Loan Amortization'!I$488),'TIF Loan Amortization'!$G$488,IF(AND($C400&gt;='TIF Loan Amortization'!$H$489,$C400&lt;='TIF Loan Amortization'!I$489),'TIF Loan Amortization'!$G$489,IF(AND($C400&gt;='TIF Loan Amortization'!$H$490,$C400&lt;='TIF Loan Amortization'!I$490),'TIF Loan Amortization'!$G$490,IF(AND($C400&gt;='TIF Loan Amortization'!$H$491,$C400&lt;='TIF Loan Amortization'!I$491),'TIF Loan Amortization'!$G$491,IF(AND($C400&gt;='TIF Loan Amortization'!$H$492,$C400&lt;='TIF Loan Amortization'!I$492),'TIF Loan Amortization'!$G$492,IF(AND($C400&gt;='TIF Loan Amortization'!$H$493,$C400&lt;='TIF Loan Amortization'!I$493),'TIF Loan Amortization'!$G$493,IF(AND($C400&gt;='TIF Loan Amortization'!$H$494,$C400&lt;='TIF Loan Amortization'!I$494),'TIF Loan Amortization'!$G$494,IF(AND($C400&gt;='TIF Loan Amortization'!$H$495,$C400&lt;='TIF Loan Amortization'!I$495),'TIF Loan Amortization'!$G$495,IF(AND($C400&gt;='TIF Loan Amortization'!$H$496,$C400&lt;='TIF Loan Amortization'!I$496),'TIF Loan Amortization'!$G$496,IF(AND($C400&gt;='TIF Loan Amortization'!$H$497,$C400&lt;='TIF Loan Amortization'!I$497),'TIF Loan Amortization'!$G$497,IF(AND($C400&gt;='TIF Loan Amortization'!$H$498,$C400&lt;='TIF Loan Amortization'!I$498),'TIF Loan Amortization'!$G$498,IF(AND($C400&gt;='TIF Loan Amortization'!$H$499,$C400&lt;='TIF Loan Amortization'!I$499),'TIF Loan Amortization'!$G$499,IF(AND($C400&gt;='TIF Loan Amortization'!$H$500,$C400&lt;='TIF Loan Amortization'!I$500),'TIF Loan Amortization'!$G$500,IF(AND($C400&gt;='TIF Loan Amortization'!$H$501,$C400&lt;='TIF Loan Amortization'!I$501),'TIF Loan Amortization'!$G$501,IF(AND($C400&gt;='TIF Loan Amortization'!$H$502,$C400&lt;='TIF Loan Amortization'!I$502),'TIF Loan Amortization'!$G$502,IF(AND($C400&gt;='TIF Loan Amortization'!$H$503,$C400&lt;='TIF Loan Amortization'!I$503),'TIF Loan Amortization'!$G$503,IF(AND($C400&gt;='TIF Loan Amortization'!$H$504,$C400&lt;='TIF Loan Amortization'!I$504),'TIF Loan Amortization'!$G$504,IF(AND($C400&gt;='TIF Loan Amortization'!$H$505,$C400&lt;='TIF Loan Amortization'!I$505),'TIF Loan Amortization'!$G$505,IF(AND($C400&gt;='TIF Loan Amortization'!$H$506,$C400&lt;='TIF Loan Amortization'!I$506),'TIF Loan Amortization'!$G$506,IF(AND($C400&gt;='TIF Loan Amortization'!$H$507,$C400&lt;='TIF Loan Amortization'!I$507),'TIF Loan Amortization'!$G$507,IF(AND($C400&gt;='TIF Loan Amortization'!$H$508,$C400&lt;='TIF Loan Amortization'!I$508),'TIF Loan Amortization'!$G$508,IF(AND($C400&gt;='TIF Loan Amortization'!$H$509,$C400&lt;='TIF Loan Amortization'!I$509),'TIF Loan Amortization'!$G$509,IF(AND($C400&gt;='TIF Loan Amortization'!$H$510,$C400&lt;='TIF Loan Amortization'!I$510),'TIF Loan Amortization'!$G$510,IF(AND($C400&gt;='TIF Loan Amortization'!$H$511,$C400&lt;='TIF Loan Amortization'!I$511),'TIF Loan Amortization'!$G$511,IF(AND($C400&gt;='TIF Loan Amortization'!$H$512,$C400&lt;='TIF Loan Amortization'!I$512),'TIF Loan Amortization'!$G$512,IF(AND($C400&gt;='TIF Loan Amortization'!$H$513,$C400&lt;='TIF Loan Amortization'!I$513),'TIF Loan Amortization'!$G$513,IF(AND($C400&gt;='TIF Loan Amortization'!$H$514,$C400&lt;='TIF Loan Amortization'!I$514),'TIF Loan Amortization'!$G$514,IF(AND($C400&gt;='TIF Loan Amortization'!$H$515,$C400&lt;='TIF Loan Amortization'!I$515),'TIF Loan Amortization'!$G$515,IF(AND($C400&gt;='TIF Loan Amortization'!$H$516,$C400&lt;='TIF Loan Amortization'!I$516),'TIF Loan Amortization'!$G$516,IF(AND($C400&gt;='TIF Loan Amortization'!$H$517,$C400&lt;='TIF Loan Amortization'!I$517),'TIF Loan Amortization'!$G$517,IF(AND($C400&gt;='TIF Loan Amortization'!$H$518,$C400&lt;='TIF Loan Amortization'!I$518),'TIF Loan Amortization'!$G$518,IF(AND($C400&gt;='TIF Loan Amortization'!$H$519,$C400&lt;='TIF Loan Amortization'!I$519),'TIF Loan Amortization'!$G$519))))))))))))))))))))))))))))))))))))))))</f>
        <v>#N/A</v>
      </c>
      <c r="C400" s="269" t="e">
        <f t="shared" si="48"/>
        <v>#N/A</v>
      </c>
      <c r="D400" s="277" t="str">
        <f>IF($AG$424=1,$H$10+30,"")</f>
        <v/>
      </c>
      <c r="E400" s="274">
        <v>350</v>
      </c>
      <c r="F400" s="275" t="str">
        <f>VLOOKUP($AG$424,$AE$422:$AF$433,2)</f>
        <v>May</v>
      </c>
      <c r="G400" s="272">
        <f t="shared" si="49"/>
        <v>0</v>
      </c>
      <c r="H400" s="272">
        <f t="shared" si="52"/>
        <v>0</v>
      </c>
      <c r="I400" s="272">
        <f t="shared" si="53"/>
        <v>0</v>
      </c>
      <c r="J400" s="272">
        <f t="shared" si="50"/>
        <v>0</v>
      </c>
      <c r="K400" s="272">
        <f>IF(ISTEXT($M$4),"",SUM(I$50:I400))</f>
        <v>0</v>
      </c>
      <c r="L400" s="272">
        <f>IF(ISTEXT($M$4),"",SUM(J$50:J400))</f>
        <v>0</v>
      </c>
      <c r="M400" s="271">
        <f t="shared" si="51"/>
        <v>0</v>
      </c>
      <c r="N400" s="291" t="e">
        <f>IF(C400='Operating Assumptions'!$C$48,"Construction Finish","")</f>
        <v>#N/A</v>
      </c>
      <c r="O400" s="291"/>
      <c r="P400" s="291"/>
      <c r="Q400" s="291"/>
      <c r="R400" s="291"/>
      <c r="S400" s="291"/>
    </row>
    <row r="401" spans="2:19" ht="13.5" hidden="1" outlineLevel="1" x14ac:dyDescent="0.2">
      <c r="B401" s="270" t="e">
        <f>IF(AND($C401&gt;='TIF Loan Amortization'!$H$480,$C401&lt;='TIF Loan Amortization'!$I$480),'TIF Loan Amortization'!$G$480,IF(AND($C401&gt;='TIF Loan Amortization'!$H$481,$C401&lt;='TIF Loan Amortization'!I$481),'TIF Loan Amortization'!$G$481,IF(AND($C401&gt;='TIF Loan Amortization'!$H$482,$C401&lt;='TIF Loan Amortization'!I$482),'TIF Loan Amortization'!$G$482,IF(AND($C401&gt;='TIF Loan Amortization'!$H$483,$C401&lt;='TIF Loan Amortization'!I$483),'TIF Loan Amortization'!$G$483,IF(AND($C401&gt;='TIF Loan Amortization'!$H$484,$C401&lt;='TIF Loan Amortization'!I$484),'TIF Loan Amortization'!$G$484,IF(AND($C401&gt;='TIF Loan Amortization'!$H$485,$C401&lt;='TIF Loan Amortization'!I$485),'TIF Loan Amortization'!$G$485,IF(AND($C401&gt;='TIF Loan Amortization'!$H$486,$C401&lt;='TIF Loan Amortization'!I$486),'TIF Loan Amortization'!$G$486,IF(AND($C401&gt;='TIF Loan Amortization'!$H$487,$C401&lt;='TIF Loan Amortization'!I$487),'TIF Loan Amortization'!$G$487,IF(AND($C401&gt;='TIF Loan Amortization'!$H$488,$C401&lt;='TIF Loan Amortization'!I$488),'TIF Loan Amortization'!$G$488,IF(AND($C401&gt;='TIF Loan Amortization'!$H$489,$C401&lt;='TIF Loan Amortization'!I$489),'TIF Loan Amortization'!$G$489,IF(AND($C401&gt;='TIF Loan Amortization'!$H$490,$C401&lt;='TIF Loan Amortization'!I$490),'TIF Loan Amortization'!$G$490,IF(AND($C401&gt;='TIF Loan Amortization'!$H$491,$C401&lt;='TIF Loan Amortization'!I$491),'TIF Loan Amortization'!$G$491,IF(AND($C401&gt;='TIF Loan Amortization'!$H$492,$C401&lt;='TIF Loan Amortization'!I$492),'TIF Loan Amortization'!$G$492,IF(AND($C401&gt;='TIF Loan Amortization'!$H$493,$C401&lt;='TIF Loan Amortization'!I$493),'TIF Loan Amortization'!$G$493,IF(AND($C401&gt;='TIF Loan Amortization'!$H$494,$C401&lt;='TIF Loan Amortization'!I$494),'TIF Loan Amortization'!$G$494,IF(AND($C401&gt;='TIF Loan Amortization'!$H$495,$C401&lt;='TIF Loan Amortization'!I$495),'TIF Loan Amortization'!$G$495,IF(AND($C401&gt;='TIF Loan Amortization'!$H$496,$C401&lt;='TIF Loan Amortization'!I$496),'TIF Loan Amortization'!$G$496,IF(AND($C401&gt;='TIF Loan Amortization'!$H$497,$C401&lt;='TIF Loan Amortization'!I$497),'TIF Loan Amortization'!$G$497,IF(AND($C401&gt;='TIF Loan Amortization'!$H$498,$C401&lt;='TIF Loan Amortization'!I$498),'TIF Loan Amortization'!$G$498,IF(AND($C401&gt;='TIF Loan Amortization'!$H$499,$C401&lt;='TIF Loan Amortization'!I$499),'TIF Loan Amortization'!$G$499,IF(AND($C401&gt;='TIF Loan Amortization'!$H$500,$C401&lt;='TIF Loan Amortization'!I$500),'TIF Loan Amortization'!$G$500,IF(AND($C401&gt;='TIF Loan Amortization'!$H$501,$C401&lt;='TIF Loan Amortization'!I$501),'TIF Loan Amortization'!$G$501,IF(AND($C401&gt;='TIF Loan Amortization'!$H$502,$C401&lt;='TIF Loan Amortization'!I$502),'TIF Loan Amortization'!$G$502,IF(AND($C401&gt;='TIF Loan Amortization'!$H$503,$C401&lt;='TIF Loan Amortization'!I$503),'TIF Loan Amortization'!$G$503,IF(AND($C401&gt;='TIF Loan Amortization'!$H$504,$C401&lt;='TIF Loan Amortization'!I$504),'TIF Loan Amortization'!$G$504,IF(AND($C401&gt;='TIF Loan Amortization'!$H$505,$C401&lt;='TIF Loan Amortization'!I$505),'TIF Loan Amortization'!$G$505,IF(AND($C401&gt;='TIF Loan Amortization'!$H$506,$C401&lt;='TIF Loan Amortization'!I$506),'TIF Loan Amortization'!$G$506,IF(AND($C401&gt;='TIF Loan Amortization'!$H$507,$C401&lt;='TIF Loan Amortization'!I$507),'TIF Loan Amortization'!$G$507,IF(AND($C401&gt;='TIF Loan Amortization'!$H$508,$C401&lt;='TIF Loan Amortization'!I$508),'TIF Loan Amortization'!$G$508,IF(AND($C401&gt;='TIF Loan Amortization'!$H$509,$C401&lt;='TIF Loan Amortization'!I$509),'TIF Loan Amortization'!$G$509,IF(AND($C401&gt;='TIF Loan Amortization'!$H$510,$C401&lt;='TIF Loan Amortization'!I$510),'TIF Loan Amortization'!$G$510,IF(AND($C401&gt;='TIF Loan Amortization'!$H$511,$C401&lt;='TIF Loan Amortization'!I$511),'TIF Loan Amortization'!$G$511,IF(AND($C401&gt;='TIF Loan Amortization'!$H$512,$C401&lt;='TIF Loan Amortization'!I$512),'TIF Loan Amortization'!$G$512,IF(AND($C401&gt;='TIF Loan Amortization'!$H$513,$C401&lt;='TIF Loan Amortization'!I$513),'TIF Loan Amortization'!$G$513,IF(AND($C401&gt;='TIF Loan Amortization'!$H$514,$C401&lt;='TIF Loan Amortization'!I$514),'TIF Loan Amortization'!$G$514,IF(AND($C401&gt;='TIF Loan Amortization'!$H$515,$C401&lt;='TIF Loan Amortization'!I$515),'TIF Loan Amortization'!$G$515,IF(AND($C401&gt;='TIF Loan Amortization'!$H$516,$C401&lt;='TIF Loan Amortization'!I$516),'TIF Loan Amortization'!$G$516,IF(AND($C401&gt;='TIF Loan Amortization'!$H$517,$C401&lt;='TIF Loan Amortization'!I$517),'TIF Loan Amortization'!$G$517,IF(AND($C401&gt;='TIF Loan Amortization'!$H$518,$C401&lt;='TIF Loan Amortization'!I$518),'TIF Loan Amortization'!$G$518,IF(AND($C401&gt;='TIF Loan Amortization'!$H$519,$C401&lt;='TIF Loan Amortization'!I$519),'TIF Loan Amortization'!$G$519))))))))))))))))))))))))))))))))))))))))</f>
        <v>#N/A</v>
      </c>
      <c r="C401" s="269" t="e">
        <f t="shared" si="48"/>
        <v>#N/A</v>
      </c>
      <c r="D401" s="277" t="str">
        <f>IF($AG$425=1,$H$10+30,"")</f>
        <v/>
      </c>
      <c r="E401" s="274">
        <v>351</v>
      </c>
      <c r="F401" s="275" t="str">
        <f>VLOOKUP($AG$425,$AE$422:$AF$433,2)</f>
        <v>Jun</v>
      </c>
      <c r="G401" s="272">
        <f t="shared" si="49"/>
        <v>0</v>
      </c>
      <c r="H401" s="272">
        <f t="shared" si="52"/>
        <v>0</v>
      </c>
      <c r="I401" s="272">
        <f t="shared" si="53"/>
        <v>0</v>
      </c>
      <c r="J401" s="272">
        <f t="shared" si="50"/>
        <v>0</v>
      </c>
      <c r="K401" s="272">
        <f>IF(ISTEXT($M$4),"",SUM(I$50:I401))</f>
        <v>0</v>
      </c>
      <c r="L401" s="272">
        <f>IF(ISTEXT($M$4),"",SUM(J$50:J401))</f>
        <v>0</v>
      </c>
      <c r="M401" s="271">
        <f t="shared" si="51"/>
        <v>0</v>
      </c>
      <c r="N401" s="291" t="e">
        <f>IF(C401='Operating Assumptions'!$C$48,"Construction Finish","")</f>
        <v>#N/A</v>
      </c>
      <c r="O401" s="291"/>
      <c r="P401" s="291"/>
      <c r="Q401" s="291"/>
      <c r="R401" s="291"/>
      <c r="S401" s="291"/>
    </row>
    <row r="402" spans="2:19" ht="13.5" hidden="1" outlineLevel="1" x14ac:dyDescent="0.2">
      <c r="B402" s="270" t="e">
        <f>IF(AND($C402&gt;='TIF Loan Amortization'!$H$480,$C402&lt;='TIF Loan Amortization'!$I$480),'TIF Loan Amortization'!$G$480,IF(AND($C402&gt;='TIF Loan Amortization'!$H$481,$C402&lt;='TIF Loan Amortization'!I$481),'TIF Loan Amortization'!$G$481,IF(AND($C402&gt;='TIF Loan Amortization'!$H$482,$C402&lt;='TIF Loan Amortization'!I$482),'TIF Loan Amortization'!$G$482,IF(AND($C402&gt;='TIF Loan Amortization'!$H$483,$C402&lt;='TIF Loan Amortization'!I$483),'TIF Loan Amortization'!$G$483,IF(AND($C402&gt;='TIF Loan Amortization'!$H$484,$C402&lt;='TIF Loan Amortization'!I$484),'TIF Loan Amortization'!$G$484,IF(AND($C402&gt;='TIF Loan Amortization'!$H$485,$C402&lt;='TIF Loan Amortization'!I$485),'TIF Loan Amortization'!$G$485,IF(AND($C402&gt;='TIF Loan Amortization'!$H$486,$C402&lt;='TIF Loan Amortization'!I$486),'TIF Loan Amortization'!$G$486,IF(AND($C402&gt;='TIF Loan Amortization'!$H$487,$C402&lt;='TIF Loan Amortization'!I$487),'TIF Loan Amortization'!$G$487,IF(AND($C402&gt;='TIF Loan Amortization'!$H$488,$C402&lt;='TIF Loan Amortization'!I$488),'TIF Loan Amortization'!$G$488,IF(AND($C402&gt;='TIF Loan Amortization'!$H$489,$C402&lt;='TIF Loan Amortization'!I$489),'TIF Loan Amortization'!$G$489,IF(AND($C402&gt;='TIF Loan Amortization'!$H$490,$C402&lt;='TIF Loan Amortization'!I$490),'TIF Loan Amortization'!$G$490,IF(AND($C402&gt;='TIF Loan Amortization'!$H$491,$C402&lt;='TIF Loan Amortization'!I$491),'TIF Loan Amortization'!$G$491,IF(AND($C402&gt;='TIF Loan Amortization'!$H$492,$C402&lt;='TIF Loan Amortization'!I$492),'TIF Loan Amortization'!$G$492,IF(AND($C402&gt;='TIF Loan Amortization'!$H$493,$C402&lt;='TIF Loan Amortization'!I$493),'TIF Loan Amortization'!$G$493,IF(AND($C402&gt;='TIF Loan Amortization'!$H$494,$C402&lt;='TIF Loan Amortization'!I$494),'TIF Loan Amortization'!$G$494,IF(AND($C402&gt;='TIF Loan Amortization'!$H$495,$C402&lt;='TIF Loan Amortization'!I$495),'TIF Loan Amortization'!$G$495,IF(AND($C402&gt;='TIF Loan Amortization'!$H$496,$C402&lt;='TIF Loan Amortization'!I$496),'TIF Loan Amortization'!$G$496,IF(AND($C402&gt;='TIF Loan Amortization'!$H$497,$C402&lt;='TIF Loan Amortization'!I$497),'TIF Loan Amortization'!$G$497,IF(AND($C402&gt;='TIF Loan Amortization'!$H$498,$C402&lt;='TIF Loan Amortization'!I$498),'TIF Loan Amortization'!$G$498,IF(AND($C402&gt;='TIF Loan Amortization'!$H$499,$C402&lt;='TIF Loan Amortization'!I$499),'TIF Loan Amortization'!$G$499,IF(AND($C402&gt;='TIF Loan Amortization'!$H$500,$C402&lt;='TIF Loan Amortization'!I$500),'TIF Loan Amortization'!$G$500,IF(AND($C402&gt;='TIF Loan Amortization'!$H$501,$C402&lt;='TIF Loan Amortization'!I$501),'TIF Loan Amortization'!$G$501,IF(AND($C402&gt;='TIF Loan Amortization'!$H$502,$C402&lt;='TIF Loan Amortization'!I$502),'TIF Loan Amortization'!$G$502,IF(AND($C402&gt;='TIF Loan Amortization'!$H$503,$C402&lt;='TIF Loan Amortization'!I$503),'TIF Loan Amortization'!$G$503,IF(AND($C402&gt;='TIF Loan Amortization'!$H$504,$C402&lt;='TIF Loan Amortization'!I$504),'TIF Loan Amortization'!$G$504,IF(AND($C402&gt;='TIF Loan Amortization'!$H$505,$C402&lt;='TIF Loan Amortization'!I$505),'TIF Loan Amortization'!$G$505,IF(AND($C402&gt;='TIF Loan Amortization'!$H$506,$C402&lt;='TIF Loan Amortization'!I$506),'TIF Loan Amortization'!$G$506,IF(AND($C402&gt;='TIF Loan Amortization'!$H$507,$C402&lt;='TIF Loan Amortization'!I$507),'TIF Loan Amortization'!$G$507,IF(AND($C402&gt;='TIF Loan Amortization'!$H$508,$C402&lt;='TIF Loan Amortization'!I$508),'TIF Loan Amortization'!$G$508,IF(AND($C402&gt;='TIF Loan Amortization'!$H$509,$C402&lt;='TIF Loan Amortization'!I$509),'TIF Loan Amortization'!$G$509,IF(AND($C402&gt;='TIF Loan Amortization'!$H$510,$C402&lt;='TIF Loan Amortization'!I$510),'TIF Loan Amortization'!$G$510,IF(AND($C402&gt;='TIF Loan Amortization'!$H$511,$C402&lt;='TIF Loan Amortization'!I$511),'TIF Loan Amortization'!$G$511,IF(AND($C402&gt;='TIF Loan Amortization'!$H$512,$C402&lt;='TIF Loan Amortization'!I$512),'TIF Loan Amortization'!$G$512,IF(AND($C402&gt;='TIF Loan Amortization'!$H$513,$C402&lt;='TIF Loan Amortization'!I$513),'TIF Loan Amortization'!$G$513,IF(AND($C402&gt;='TIF Loan Amortization'!$H$514,$C402&lt;='TIF Loan Amortization'!I$514),'TIF Loan Amortization'!$G$514,IF(AND($C402&gt;='TIF Loan Amortization'!$H$515,$C402&lt;='TIF Loan Amortization'!I$515),'TIF Loan Amortization'!$G$515,IF(AND($C402&gt;='TIF Loan Amortization'!$H$516,$C402&lt;='TIF Loan Amortization'!I$516),'TIF Loan Amortization'!$G$516,IF(AND($C402&gt;='TIF Loan Amortization'!$H$517,$C402&lt;='TIF Loan Amortization'!I$517),'TIF Loan Amortization'!$G$517,IF(AND($C402&gt;='TIF Loan Amortization'!$H$518,$C402&lt;='TIF Loan Amortization'!I$518),'TIF Loan Amortization'!$G$518,IF(AND($C402&gt;='TIF Loan Amortization'!$H$519,$C402&lt;='TIF Loan Amortization'!I$519),'TIF Loan Amortization'!$G$519))))))))))))))))))))))))))))))))))))))))</f>
        <v>#N/A</v>
      </c>
      <c r="C402" s="269" t="e">
        <f t="shared" si="48"/>
        <v>#N/A</v>
      </c>
      <c r="D402" s="277" t="str">
        <f>IF($AG$426=1,$H$10+30,"")</f>
        <v/>
      </c>
      <c r="E402" s="274">
        <v>352</v>
      </c>
      <c r="F402" s="275" t="str">
        <f>VLOOKUP($AG$426,$AE$422:$AF$433,2)</f>
        <v>Jul</v>
      </c>
      <c r="G402" s="272">
        <f t="shared" si="49"/>
        <v>0</v>
      </c>
      <c r="H402" s="272">
        <f t="shared" si="52"/>
        <v>0</v>
      </c>
      <c r="I402" s="272">
        <f t="shared" si="53"/>
        <v>0</v>
      </c>
      <c r="J402" s="272">
        <f t="shared" si="50"/>
        <v>0</v>
      </c>
      <c r="K402" s="272">
        <f>IF(ISTEXT($M$4),"",SUM(I$50:I402))</f>
        <v>0</v>
      </c>
      <c r="L402" s="272">
        <f>IF(ISTEXT($M$4),"",SUM(J$50:J402))</f>
        <v>0</v>
      </c>
      <c r="M402" s="271">
        <f t="shared" si="51"/>
        <v>0</v>
      </c>
      <c r="N402" s="291" t="e">
        <f>IF(C402='Operating Assumptions'!$C$48,"Construction Finish","")</f>
        <v>#N/A</v>
      </c>
      <c r="O402" s="291"/>
      <c r="P402" s="291"/>
      <c r="Q402" s="291"/>
      <c r="R402" s="291"/>
      <c r="S402" s="291"/>
    </row>
    <row r="403" spans="2:19" ht="13.5" hidden="1" outlineLevel="1" x14ac:dyDescent="0.2">
      <c r="B403" s="270" t="e">
        <f>IF(AND($C403&gt;='TIF Loan Amortization'!$H$480,$C403&lt;='TIF Loan Amortization'!$I$480),'TIF Loan Amortization'!$G$480,IF(AND($C403&gt;='TIF Loan Amortization'!$H$481,$C403&lt;='TIF Loan Amortization'!I$481),'TIF Loan Amortization'!$G$481,IF(AND($C403&gt;='TIF Loan Amortization'!$H$482,$C403&lt;='TIF Loan Amortization'!I$482),'TIF Loan Amortization'!$G$482,IF(AND($C403&gt;='TIF Loan Amortization'!$H$483,$C403&lt;='TIF Loan Amortization'!I$483),'TIF Loan Amortization'!$G$483,IF(AND($C403&gt;='TIF Loan Amortization'!$H$484,$C403&lt;='TIF Loan Amortization'!I$484),'TIF Loan Amortization'!$G$484,IF(AND($C403&gt;='TIF Loan Amortization'!$H$485,$C403&lt;='TIF Loan Amortization'!I$485),'TIF Loan Amortization'!$G$485,IF(AND($C403&gt;='TIF Loan Amortization'!$H$486,$C403&lt;='TIF Loan Amortization'!I$486),'TIF Loan Amortization'!$G$486,IF(AND($C403&gt;='TIF Loan Amortization'!$H$487,$C403&lt;='TIF Loan Amortization'!I$487),'TIF Loan Amortization'!$G$487,IF(AND($C403&gt;='TIF Loan Amortization'!$H$488,$C403&lt;='TIF Loan Amortization'!I$488),'TIF Loan Amortization'!$G$488,IF(AND($C403&gt;='TIF Loan Amortization'!$H$489,$C403&lt;='TIF Loan Amortization'!I$489),'TIF Loan Amortization'!$G$489,IF(AND($C403&gt;='TIF Loan Amortization'!$H$490,$C403&lt;='TIF Loan Amortization'!I$490),'TIF Loan Amortization'!$G$490,IF(AND($C403&gt;='TIF Loan Amortization'!$H$491,$C403&lt;='TIF Loan Amortization'!I$491),'TIF Loan Amortization'!$G$491,IF(AND($C403&gt;='TIF Loan Amortization'!$H$492,$C403&lt;='TIF Loan Amortization'!I$492),'TIF Loan Amortization'!$G$492,IF(AND($C403&gt;='TIF Loan Amortization'!$H$493,$C403&lt;='TIF Loan Amortization'!I$493),'TIF Loan Amortization'!$G$493,IF(AND($C403&gt;='TIF Loan Amortization'!$H$494,$C403&lt;='TIF Loan Amortization'!I$494),'TIF Loan Amortization'!$G$494,IF(AND($C403&gt;='TIF Loan Amortization'!$H$495,$C403&lt;='TIF Loan Amortization'!I$495),'TIF Loan Amortization'!$G$495,IF(AND($C403&gt;='TIF Loan Amortization'!$H$496,$C403&lt;='TIF Loan Amortization'!I$496),'TIF Loan Amortization'!$G$496,IF(AND($C403&gt;='TIF Loan Amortization'!$H$497,$C403&lt;='TIF Loan Amortization'!I$497),'TIF Loan Amortization'!$G$497,IF(AND($C403&gt;='TIF Loan Amortization'!$H$498,$C403&lt;='TIF Loan Amortization'!I$498),'TIF Loan Amortization'!$G$498,IF(AND($C403&gt;='TIF Loan Amortization'!$H$499,$C403&lt;='TIF Loan Amortization'!I$499),'TIF Loan Amortization'!$G$499,IF(AND($C403&gt;='TIF Loan Amortization'!$H$500,$C403&lt;='TIF Loan Amortization'!I$500),'TIF Loan Amortization'!$G$500,IF(AND($C403&gt;='TIF Loan Amortization'!$H$501,$C403&lt;='TIF Loan Amortization'!I$501),'TIF Loan Amortization'!$G$501,IF(AND($C403&gt;='TIF Loan Amortization'!$H$502,$C403&lt;='TIF Loan Amortization'!I$502),'TIF Loan Amortization'!$G$502,IF(AND($C403&gt;='TIF Loan Amortization'!$H$503,$C403&lt;='TIF Loan Amortization'!I$503),'TIF Loan Amortization'!$G$503,IF(AND($C403&gt;='TIF Loan Amortization'!$H$504,$C403&lt;='TIF Loan Amortization'!I$504),'TIF Loan Amortization'!$G$504,IF(AND($C403&gt;='TIF Loan Amortization'!$H$505,$C403&lt;='TIF Loan Amortization'!I$505),'TIF Loan Amortization'!$G$505,IF(AND($C403&gt;='TIF Loan Amortization'!$H$506,$C403&lt;='TIF Loan Amortization'!I$506),'TIF Loan Amortization'!$G$506,IF(AND($C403&gt;='TIF Loan Amortization'!$H$507,$C403&lt;='TIF Loan Amortization'!I$507),'TIF Loan Amortization'!$G$507,IF(AND($C403&gt;='TIF Loan Amortization'!$H$508,$C403&lt;='TIF Loan Amortization'!I$508),'TIF Loan Amortization'!$G$508,IF(AND($C403&gt;='TIF Loan Amortization'!$H$509,$C403&lt;='TIF Loan Amortization'!I$509),'TIF Loan Amortization'!$G$509,IF(AND($C403&gt;='TIF Loan Amortization'!$H$510,$C403&lt;='TIF Loan Amortization'!I$510),'TIF Loan Amortization'!$G$510,IF(AND($C403&gt;='TIF Loan Amortization'!$H$511,$C403&lt;='TIF Loan Amortization'!I$511),'TIF Loan Amortization'!$G$511,IF(AND($C403&gt;='TIF Loan Amortization'!$H$512,$C403&lt;='TIF Loan Amortization'!I$512),'TIF Loan Amortization'!$G$512,IF(AND($C403&gt;='TIF Loan Amortization'!$H$513,$C403&lt;='TIF Loan Amortization'!I$513),'TIF Loan Amortization'!$G$513,IF(AND($C403&gt;='TIF Loan Amortization'!$H$514,$C403&lt;='TIF Loan Amortization'!I$514),'TIF Loan Amortization'!$G$514,IF(AND($C403&gt;='TIF Loan Amortization'!$H$515,$C403&lt;='TIF Loan Amortization'!I$515),'TIF Loan Amortization'!$G$515,IF(AND($C403&gt;='TIF Loan Amortization'!$H$516,$C403&lt;='TIF Loan Amortization'!I$516),'TIF Loan Amortization'!$G$516,IF(AND($C403&gt;='TIF Loan Amortization'!$H$517,$C403&lt;='TIF Loan Amortization'!I$517),'TIF Loan Amortization'!$G$517,IF(AND($C403&gt;='TIF Loan Amortization'!$H$518,$C403&lt;='TIF Loan Amortization'!I$518),'TIF Loan Amortization'!$G$518,IF(AND($C403&gt;='TIF Loan Amortization'!$H$519,$C403&lt;='TIF Loan Amortization'!I$519),'TIF Loan Amortization'!$G$519))))))))))))))))))))))))))))))))))))))))</f>
        <v>#N/A</v>
      </c>
      <c r="C403" s="269" t="e">
        <f t="shared" si="48"/>
        <v>#N/A</v>
      </c>
      <c r="D403" s="277" t="str">
        <f>IF($AG$427=1,$H$10+30,"")</f>
        <v/>
      </c>
      <c r="E403" s="274">
        <v>353</v>
      </c>
      <c r="F403" s="275" t="str">
        <f>VLOOKUP($AG$427,$AE$422:$AF$433,2)</f>
        <v>Aug</v>
      </c>
      <c r="G403" s="272">
        <f t="shared" si="49"/>
        <v>0</v>
      </c>
      <c r="H403" s="272">
        <f t="shared" si="52"/>
        <v>0</v>
      </c>
      <c r="I403" s="272">
        <f t="shared" si="53"/>
        <v>0</v>
      </c>
      <c r="J403" s="272">
        <f t="shared" si="50"/>
        <v>0</v>
      </c>
      <c r="K403" s="272">
        <f>IF(ISTEXT($M$4),"",SUM(I$50:I403))</f>
        <v>0</v>
      </c>
      <c r="L403" s="272">
        <f>IF(ISTEXT($M$4),"",SUM(J$50:J403))</f>
        <v>0</v>
      </c>
      <c r="M403" s="271">
        <f t="shared" si="51"/>
        <v>0</v>
      </c>
      <c r="N403" s="291" t="e">
        <f>IF(C403='Operating Assumptions'!$C$48,"Construction Finish","")</f>
        <v>#N/A</v>
      </c>
      <c r="O403" s="291"/>
      <c r="P403" s="291"/>
      <c r="Q403" s="291"/>
      <c r="R403" s="291"/>
      <c r="S403" s="291"/>
    </row>
    <row r="404" spans="2:19" ht="13.5" hidden="1" outlineLevel="1" x14ac:dyDescent="0.2">
      <c r="B404" s="270" t="e">
        <f>IF(AND($C404&gt;='TIF Loan Amortization'!$H$480,$C404&lt;='TIF Loan Amortization'!$I$480),'TIF Loan Amortization'!$G$480,IF(AND($C404&gt;='TIF Loan Amortization'!$H$481,$C404&lt;='TIF Loan Amortization'!I$481),'TIF Loan Amortization'!$G$481,IF(AND($C404&gt;='TIF Loan Amortization'!$H$482,$C404&lt;='TIF Loan Amortization'!I$482),'TIF Loan Amortization'!$G$482,IF(AND($C404&gt;='TIF Loan Amortization'!$H$483,$C404&lt;='TIF Loan Amortization'!I$483),'TIF Loan Amortization'!$G$483,IF(AND($C404&gt;='TIF Loan Amortization'!$H$484,$C404&lt;='TIF Loan Amortization'!I$484),'TIF Loan Amortization'!$G$484,IF(AND($C404&gt;='TIF Loan Amortization'!$H$485,$C404&lt;='TIF Loan Amortization'!I$485),'TIF Loan Amortization'!$G$485,IF(AND($C404&gt;='TIF Loan Amortization'!$H$486,$C404&lt;='TIF Loan Amortization'!I$486),'TIF Loan Amortization'!$G$486,IF(AND($C404&gt;='TIF Loan Amortization'!$H$487,$C404&lt;='TIF Loan Amortization'!I$487),'TIF Loan Amortization'!$G$487,IF(AND($C404&gt;='TIF Loan Amortization'!$H$488,$C404&lt;='TIF Loan Amortization'!I$488),'TIF Loan Amortization'!$G$488,IF(AND($C404&gt;='TIF Loan Amortization'!$H$489,$C404&lt;='TIF Loan Amortization'!I$489),'TIF Loan Amortization'!$G$489,IF(AND($C404&gt;='TIF Loan Amortization'!$H$490,$C404&lt;='TIF Loan Amortization'!I$490),'TIF Loan Amortization'!$G$490,IF(AND($C404&gt;='TIF Loan Amortization'!$H$491,$C404&lt;='TIF Loan Amortization'!I$491),'TIF Loan Amortization'!$G$491,IF(AND($C404&gt;='TIF Loan Amortization'!$H$492,$C404&lt;='TIF Loan Amortization'!I$492),'TIF Loan Amortization'!$G$492,IF(AND($C404&gt;='TIF Loan Amortization'!$H$493,$C404&lt;='TIF Loan Amortization'!I$493),'TIF Loan Amortization'!$G$493,IF(AND($C404&gt;='TIF Loan Amortization'!$H$494,$C404&lt;='TIF Loan Amortization'!I$494),'TIF Loan Amortization'!$G$494,IF(AND($C404&gt;='TIF Loan Amortization'!$H$495,$C404&lt;='TIF Loan Amortization'!I$495),'TIF Loan Amortization'!$G$495,IF(AND($C404&gt;='TIF Loan Amortization'!$H$496,$C404&lt;='TIF Loan Amortization'!I$496),'TIF Loan Amortization'!$G$496,IF(AND($C404&gt;='TIF Loan Amortization'!$H$497,$C404&lt;='TIF Loan Amortization'!I$497),'TIF Loan Amortization'!$G$497,IF(AND($C404&gt;='TIF Loan Amortization'!$H$498,$C404&lt;='TIF Loan Amortization'!I$498),'TIF Loan Amortization'!$G$498,IF(AND($C404&gt;='TIF Loan Amortization'!$H$499,$C404&lt;='TIF Loan Amortization'!I$499),'TIF Loan Amortization'!$G$499,IF(AND($C404&gt;='TIF Loan Amortization'!$H$500,$C404&lt;='TIF Loan Amortization'!I$500),'TIF Loan Amortization'!$G$500,IF(AND($C404&gt;='TIF Loan Amortization'!$H$501,$C404&lt;='TIF Loan Amortization'!I$501),'TIF Loan Amortization'!$G$501,IF(AND($C404&gt;='TIF Loan Amortization'!$H$502,$C404&lt;='TIF Loan Amortization'!I$502),'TIF Loan Amortization'!$G$502,IF(AND($C404&gt;='TIF Loan Amortization'!$H$503,$C404&lt;='TIF Loan Amortization'!I$503),'TIF Loan Amortization'!$G$503,IF(AND($C404&gt;='TIF Loan Amortization'!$H$504,$C404&lt;='TIF Loan Amortization'!I$504),'TIF Loan Amortization'!$G$504,IF(AND($C404&gt;='TIF Loan Amortization'!$H$505,$C404&lt;='TIF Loan Amortization'!I$505),'TIF Loan Amortization'!$G$505,IF(AND($C404&gt;='TIF Loan Amortization'!$H$506,$C404&lt;='TIF Loan Amortization'!I$506),'TIF Loan Amortization'!$G$506,IF(AND($C404&gt;='TIF Loan Amortization'!$H$507,$C404&lt;='TIF Loan Amortization'!I$507),'TIF Loan Amortization'!$G$507,IF(AND($C404&gt;='TIF Loan Amortization'!$H$508,$C404&lt;='TIF Loan Amortization'!I$508),'TIF Loan Amortization'!$G$508,IF(AND($C404&gt;='TIF Loan Amortization'!$H$509,$C404&lt;='TIF Loan Amortization'!I$509),'TIF Loan Amortization'!$G$509,IF(AND($C404&gt;='TIF Loan Amortization'!$H$510,$C404&lt;='TIF Loan Amortization'!I$510),'TIF Loan Amortization'!$G$510,IF(AND($C404&gt;='TIF Loan Amortization'!$H$511,$C404&lt;='TIF Loan Amortization'!I$511),'TIF Loan Amortization'!$G$511,IF(AND($C404&gt;='TIF Loan Amortization'!$H$512,$C404&lt;='TIF Loan Amortization'!I$512),'TIF Loan Amortization'!$G$512,IF(AND($C404&gt;='TIF Loan Amortization'!$H$513,$C404&lt;='TIF Loan Amortization'!I$513),'TIF Loan Amortization'!$G$513,IF(AND($C404&gt;='TIF Loan Amortization'!$H$514,$C404&lt;='TIF Loan Amortization'!I$514),'TIF Loan Amortization'!$G$514,IF(AND($C404&gt;='TIF Loan Amortization'!$H$515,$C404&lt;='TIF Loan Amortization'!I$515),'TIF Loan Amortization'!$G$515,IF(AND($C404&gt;='TIF Loan Amortization'!$H$516,$C404&lt;='TIF Loan Amortization'!I$516),'TIF Loan Amortization'!$G$516,IF(AND($C404&gt;='TIF Loan Amortization'!$H$517,$C404&lt;='TIF Loan Amortization'!I$517),'TIF Loan Amortization'!$G$517,IF(AND($C404&gt;='TIF Loan Amortization'!$H$518,$C404&lt;='TIF Loan Amortization'!I$518),'TIF Loan Amortization'!$G$518,IF(AND($C404&gt;='TIF Loan Amortization'!$H$519,$C404&lt;='TIF Loan Amortization'!I$519),'TIF Loan Amortization'!$G$519))))))))))))))))))))))))))))))))))))))))</f>
        <v>#N/A</v>
      </c>
      <c r="C404" s="269" t="e">
        <f t="shared" si="48"/>
        <v>#N/A</v>
      </c>
      <c r="D404" s="277" t="str">
        <f>IF($AG$428=1,$H$10+30,"")</f>
        <v/>
      </c>
      <c r="E404" s="274">
        <v>354</v>
      </c>
      <c r="F404" s="275" t="str">
        <f>VLOOKUP($AG$428,$AE$422:$AF$433,2)</f>
        <v>Sep</v>
      </c>
      <c r="G404" s="272">
        <f t="shared" si="49"/>
        <v>0</v>
      </c>
      <c r="H404" s="272">
        <f t="shared" si="52"/>
        <v>0</v>
      </c>
      <c r="I404" s="272">
        <f t="shared" si="53"/>
        <v>0</v>
      </c>
      <c r="J404" s="272">
        <f t="shared" si="50"/>
        <v>0</v>
      </c>
      <c r="K404" s="272">
        <f>IF(ISTEXT($M$4),"",SUM(I$50:I404))</f>
        <v>0</v>
      </c>
      <c r="L404" s="272">
        <f>IF(ISTEXT($M$4),"",SUM(J$50:J404))</f>
        <v>0</v>
      </c>
      <c r="M404" s="271">
        <f t="shared" si="51"/>
        <v>0</v>
      </c>
      <c r="N404" s="291" t="e">
        <f>IF(C404='Operating Assumptions'!$C$48,"Construction Finish","")</f>
        <v>#N/A</v>
      </c>
      <c r="O404" s="291"/>
      <c r="P404" s="291"/>
      <c r="Q404" s="291"/>
      <c r="R404" s="291"/>
      <c r="S404" s="291"/>
    </row>
    <row r="405" spans="2:19" ht="13.5" hidden="1" outlineLevel="1" x14ac:dyDescent="0.2">
      <c r="B405" s="270" t="e">
        <f>IF(AND($C405&gt;='TIF Loan Amortization'!$H$480,$C405&lt;='TIF Loan Amortization'!$I$480),'TIF Loan Amortization'!$G$480,IF(AND($C405&gt;='TIF Loan Amortization'!$H$481,$C405&lt;='TIF Loan Amortization'!I$481),'TIF Loan Amortization'!$G$481,IF(AND($C405&gt;='TIF Loan Amortization'!$H$482,$C405&lt;='TIF Loan Amortization'!I$482),'TIF Loan Amortization'!$G$482,IF(AND($C405&gt;='TIF Loan Amortization'!$H$483,$C405&lt;='TIF Loan Amortization'!I$483),'TIF Loan Amortization'!$G$483,IF(AND($C405&gt;='TIF Loan Amortization'!$H$484,$C405&lt;='TIF Loan Amortization'!I$484),'TIF Loan Amortization'!$G$484,IF(AND($C405&gt;='TIF Loan Amortization'!$H$485,$C405&lt;='TIF Loan Amortization'!I$485),'TIF Loan Amortization'!$G$485,IF(AND($C405&gt;='TIF Loan Amortization'!$H$486,$C405&lt;='TIF Loan Amortization'!I$486),'TIF Loan Amortization'!$G$486,IF(AND($C405&gt;='TIF Loan Amortization'!$H$487,$C405&lt;='TIF Loan Amortization'!I$487),'TIF Loan Amortization'!$G$487,IF(AND($C405&gt;='TIF Loan Amortization'!$H$488,$C405&lt;='TIF Loan Amortization'!I$488),'TIF Loan Amortization'!$G$488,IF(AND($C405&gt;='TIF Loan Amortization'!$H$489,$C405&lt;='TIF Loan Amortization'!I$489),'TIF Loan Amortization'!$G$489,IF(AND($C405&gt;='TIF Loan Amortization'!$H$490,$C405&lt;='TIF Loan Amortization'!I$490),'TIF Loan Amortization'!$G$490,IF(AND($C405&gt;='TIF Loan Amortization'!$H$491,$C405&lt;='TIF Loan Amortization'!I$491),'TIF Loan Amortization'!$G$491,IF(AND($C405&gt;='TIF Loan Amortization'!$H$492,$C405&lt;='TIF Loan Amortization'!I$492),'TIF Loan Amortization'!$G$492,IF(AND($C405&gt;='TIF Loan Amortization'!$H$493,$C405&lt;='TIF Loan Amortization'!I$493),'TIF Loan Amortization'!$G$493,IF(AND($C405&gt;='TIF Loan Amortization'!$H$494,$C405&lt;='TIF Loan Amortization'!I$494),'TIF Loan Amortization'!$G$494,IF(AND($C405&gt;='TIF Loan Amortization'!$H$495,$C405&lt;='TIF Loan Amortization'!I$495),'TIF Loan Amortization'!$G$495,IF(AND($C405&gt;='TIF Loan Amortization'!$H$496,$C405&lt;='TIF Loan Amortization'!I$496),'TIF Loan Amortization'!$G$496,IF(AND($C405&gt;='TIF Loan Amortization'!$H$497,$C405&lt;='TIF Loan Amortization'!I$497),'TIF Loan Amortization'!$G$497,IF(AND($C405&gt;='TIF Loan Amortization'!$H$498,$C405&lt;='TIF Loan Amortization'!I$498),'TIF Loan Amortization'!$G$498,IF(AND($C405&gt;='TIF Loan Amortization'!$H$499,$C405&lt;='TIF Loan Amortization'!I$499),'TIF Loan Amortization'!$G$499,IF(AND($C405&gt;='TIF Loan Amortization'!$H$500,$C405&lt;='TIF Loan Amortization'!I$500),'TIF Loan Amortization'!$G$500,IF(AND($C405&gt;='TIF Loan Amortization'!$H$501,$C405&lt;='TIF Loan Amortization'!I$501),'TIF Loan Amortization'!$G$501,IF(AND($C405&gt;='TIF Loan Amortization'!$H$502,$C405&lt;='TIF Loan Amortization'!I$502),'TIF Loan Amortization'!$G$502,IF(AND($C405&gt;='TIF Loan Amortization'!$H$503,$C405&lt;='TIF Loan Amortization'!I$503),'TIF Loan Amortization'!$G$503,IF(AND($C405&gt;='TIF Loan Amortization'!$H$504,$C405&lt;='TIF Loan Amortization'!I$504),'TIF Loan Amortization'!$G$504,IF(AND($C405&gt;='TIF Loan Amortization'!$H$505,$C405&lt;='TIF Loan Amortization'!I$505),'TIF Loan Amortization'!$G$505,IF(AND($C405&gt;='TIF Loan Amortization'!$H$506,$C405&lt;='TIF Loan Amortization'!I$506),'TIF Loan Amortization'!$G$506,IF(AND($C405&gt;='TIF Loan Amortization'!$H$507,$C405&lt;='TIF Loan Amortization'!I$507),'TIF Loan Amortization'!$G$507,IF(AND($C405&gt;='TIF Loan Amortization'!$H$508,$C405&lt;='TIF Loan Amortization'!I$508),'TIF Loan Amortization'!$G$508,IF(AND($C405&gt;='TIF Loan Amortization'!$H$509,$C405&lt;='TIF Loan Amortization'!I$509),'TIF Loan Amortization'!$G$509,IF(AND($C405&gt;='TIF Loan Amortization'!$H$510,$C405&lt;='TIF Loan Amortization'!I$510),'TIF Loan Amortization'!$G$510,IF(AND($C405&gt;='TIF Loan Amortization'!$H$511,$C405&lt;='TIF Loan Amortization'!I$511),'TIF Loan Amortization'!$G$511,IF(AND($C405&gt;='TIF Loan Amortization'!$H$512,$C405&lt;='TIF Loan Amortization'!I$512),'TIF Loan Amortization'!$G$512,IF(AND($C405&gt;='TIF Loan Amortization'!$H$513,$C405&lt;='TIF Loan Amortization'!I$513),'TIF Loan Amortization'!$G$513,IF(AND($C405&gt;='TIF Loan Amortization'!$H$514,$C405&lt;='TIF Loan Amortization'!I$514),'TIF Loan Amortization'!$G$514,IF(AND($C405&gt;='TIF Loan Amortization'!$H$515,$C405&lt;='TIF Loan Amortization'!I$515),'TIF Loan Amortization'!$G$515,IF(AND($C405&gt;='TIF Loan Amortization'!$H$516,$C405&lt;='TIF Loan Amortization'!I$516),'TIF Loan Amortization'!$G$516,IF(AND($C405&gt;='TIF Loan Amortization'!$H$517,$C405&lt;='TIF Loan Amortization'!I$517),'TIF Loan Amortization'!$G$517,IF(AND($C405&gt;='TIF Loan Amortization'!$H$518,$C405&lt;='TIF Loan Amortization'!I$518),'TIF Loan Amortization'!$G$518,IF(AND($C405&gt;='TIF Loan Amortization'!$H$519,$C405&lt;='TIF Loan Amortization'!I$519),'TIF Loan Amortization'!$G$519))))))))))))))))))))))))))))))))))))))))</f>
        <v>#N/A</v>
      </c>
      <c r="C405" s="269" t="e">
        <f t="shared" si="48"/>
        <v>#N/A</v>
      </c>
      <c r="D405" s="277" t="str">
        <f>IF($AG$429=1,$H$10+30,"")</f>
        <v/>
      </c>
      <c r="E405" s="274">
        <v>355</v>
      </c>
      <c r="F405" s="275" t="str">
        <f>VLOOKUP($AG$429,$AE$422:$AF$433,2)</f>
        <v>Oct</v>
      </c>
      <c r="G405" s="272">
        <f t="shared" si="49"/>
        <v>0</v>
      </c>
      <c r="H405" s="272">
        <f t="shared" si="52"/>
        <v>0</v>
      </c>
      <c r="I405" s="272">
        <f t="shared" si="53"/>
        <v>0</v>
      </c>
      <c r="J405" s="272">
        <f t="shared" si="50"/>
        <v>0</v>
      </c>
      <c r="K405" s="272">
        <f>IF(ISTEXT($M$4),"",SUM(I$50:I405))</f>
        <v>0</v>
      </c>
      <c r="L405" s="272">
        <f>IF(ISTEXT($M$4),"",SUM(J$50:J405))</f>
        <v>0</v>
      </c>
      <c r="M405" s="271">
        <f t="shared" si="51"/>
        <v>0</v>
      </c>
      <c r="N405" s="291" t="e">
        <f>IF(C405='Operating Assumptions'!$C$48,"Construction Finish","")</f>
        <v>#N/A</v>
      </c>
      <c r="O405" s="291"/>
      <c r="P405" s="291"/>
      <c r="Q405" s="291"/>
      <c r="R405" s="291"/>
      <c r="S405" s="291"/>
    </row>
    <row r="406" spans="2:19" ht="13.5" hidden="1" outlineLevel="1" x14ac:dyDescent="0.2">
      <c r="B406" s="270" t="e">
        <f>IF(AND($C406&gt;='TIF Loan Amortization'!$H$480,$C406&lt;='TIF Loan Amortization'!$I$480),'TIF Loan Amortization'!$G$480,IF(AND($C406&gt;='TIF Loan Amortization'!$H$481,$C406&lt;='TIF Loan Amortization'!I$481),'TIF Loan Amortization'!$G$481,IF(AND($C406&gt;='TIF Loan Amortization'!$H$482,$C406&lt;='TIF Loan Amortization'!I$482),'TIF Loan Amortization'!$G$482,IF(AND($C406&gt;='TIF Loan Amortization'!$H$483,$C406&lt;='TIF Loan Amortization'!I$483),'TIF Loan Amortization'!$G$483,IF(AND($C406&gt;='TIF Loan Amortization'!$H$484,$C406&lt;='TIF Loan Amortization'!I$484),'TIF Loan Amortization'!$G$484,IF(AND($C406&gt;='TIF Loan Amortization'!$H$485,$C406&lt;='TIF Loan Amortization'!I$485),'TIF Loan Amortization'!$G$485,IF(AND($C406&gt;='TIF Loan Amortization'!$H$486,$C406&lt;='TIF Loan Amortization'!I$486),'TIF Loan Amortization'!$G$486,IF(AND($C406&gt;='TIF Loan Amortization'!$H$487,$C406&lt;='TIF Loan Amortization'!I$487),'TIF Loan Amortization'!$G$487,IF(AND($C406&gt;='TIF Loan Amortization'!$H$488,$C406&lt;='TIF Loan Amortization'!I$488),'TIF Loan Amortization'!$G$488,IF(AND($C406&gt;='TIF Loan Amortization'!$H$489,$C406&lt;='TIF Loan Amortization'!I$489),'TIF Loan Amortization'!$G$489,IF(AND($C406&gt;='TIF Loan Amortization'!$H$490,$C406&lt;='TIF Loan Amortization'!I$490),'TIF Loan Amortization'!$G$490,IF(AND($C406&gt;='TIF Loan Amortization'!$H$491,$C406&lt;='TIF Loan Amortization'!I$491),'TIF Loan Amortization'!$G$491,IF(AND($C406&gt;='TIF Loan Amortization'!$H$492,$C406&lt;='TIF Loan Amortization'!I$492),'TIF Loan Amortization'!$G$492,IF(AND($C406&gt;='TIF Loan Amortization'!$H$493,$C406&lt;='TIF Loan Amortization'!I$493),'TIF Loan Amortization'!$G$493,IF(AND($C406&gt;='TIF Loan Amortization'!$H$494,$C406&lt;='TIF Loan Amortization'!I$494),'TIF Loan Amortization'!$G$494,IF(AND($C406&gt;='TIF Loan Amortization'!$H$495,$C406&lt;='TIF Loan Amortization'!I$495),'TIF Loan Amortization'!$G$495,IF(AND($C406&gt;='TIF Loan Amortization'!$H$496,$C406&lt;='TIF Loan Amortization'!I$496),'TIF Loan Amortization'!$G$496,IF(AND($C406&gt;='TIF Loan Amortization'!$H$497,$C406&lt;='TIF Loan Amortization'!I$497),'TIF Loan Amortization'!$G$497,IF(AND($C406&gt;='TIF Loan Amortization'!$H$498,$C406&lt;='TIF Loan Amortization'!I$498),'TIF Loan Amortization'!$G$498,IF(AND($C406&gt;='TIF Loan Amortization'!$H$499,$C406&lt;='TIF Loan Amortization'!I$499),'TIF Loan Amortization'!$G$499,IF(AND($C406&gt;='TIF Loan Amortization'!$H$500,$C406&lt;='TIF Loan Amortization'!I$500),'TIF Loan Amortization'!$G$500,IF(AND($C406&gt;='TIF Loan Amortization'!$H$501,$C406&lt;='TIF Loan Amortization'!I$501),'TIF Loan Amortization'!$G$501,IF(AND($C406&gt;='TIF Loan Amortization'!$H$502,$C406&lt;='TIF Loan Amortization'!I$502),'TIF Loan Amortization'!$G$502,IF(AND($C406&gt;='TIF Loan Amortization'!$H$503,$C406&lt;='TIF Loan Amortization'!I$503),'TIF Loan Amortization'!$G$503,IF(AND($C406&gt;='TIF Loan Amortization'!$H$504,$C406&lt;='TIF Loan Amortization'!I$504),'TIF Loan Amortization'!$G$504,IF(AND($C406&gt;='TIF Loan Amortization'!$H$505,$C406&lt;='TIF Loan Amortization'!I$505),'TIF Loan Amortization'!$G$505,IF(AND($C406&gt;='TIF Loan Amortization'!$H$506,$C406&lt;='TIF Loan Amortization'!I$506),'TIF Loan Amortization'!$G$506,IF(AND($C406&gt;='TIF Loan Amortization'!$H$507,$C406&lt;='TIF Loan Amortization'!I$507),'TIF Loan Amortization'!$G$507,IF(AND($C406&gt;='TIF Loan Amortization'!$H$508,$C406&lt;='TIF Loan Amortization'!I$508),'TIF Loan Amortization'!$G$508,IF(AND($C406&gt;='TIF Loan Amortization'!$H$509,$C406&lt;='TIF Loan Amortization'!I$509),'TIF Loan Amortization'!$G$509,IF(AND($C406&gt;='TIF Loan Amortization'!$H$510,$C406&lt;='TIF Loan Amortization'!I$510),'TIF Loan Amortization'!$G$510,IF(AND($C406&gt;='TIF Loan Amortization'!$H$511,$C406&lt;='TIF Loan Amortization'!I$511),'TIF Loan Amortization'!$G$511,IF(AND($C406&gt;='TIF Loan Amortization'!$H$512,$C406&lt;='TIF Loan Amortization'!I$512),'TIF Loan Amortization'!$G$512,IF(AND($C406&gt;='TIF Loan Amortization'!$H$513,$C406&lt;='TIF Loan Amortization'!I$513),'TIF Loan Amortization'!$G$513,IF(AND($C406&gt;='TIF Loan Amortization'!$H$514,$C406&lt;='TIF Loan Amortization'!I$514),'TIF Loan Amortization'!$G$514,IF(AND($C406&gt;='TIF Loan Amortization'!$H$515,$C406&lt;='TIF Loan Amortization'!I$515),'TIF Loan Amortization'!$G$515,IF(AND($C406&gt;='TIF Loan Amortization'!$H$516,$C406&lt;='TIF Loan Amortization'!I$516),'TIF Loan Amortization'!$G$516,IF(AND($C406&gt;='TIF Loan Amortization'!$H$517,$C406&lt;='TIF Loan Amortization'!I$517),'TIF Loan Amortization'!$G$517,IF(AND($C406&gt;='TIF Loan Amortization'!$H$518,$C406&lt;='TIF Loan Amortization'!I$518),'TIF Loan Amortization'!$G$518,IF(AND($C406&gt;='TIF Loan Amortization'!$H$519,$C406&lt;='TIF Loan Amortization'!I$519),'TIF Loan Amortization'!$G$519))))))))))))))))))))))))))))))))))))))))</f>
        <v>#N/A</v>
      </c>
      <c r="C406" s="269" t="e">
        <f t="shared" si="48"/>
        <v>#N/A</v>
      </c>
      <c r="D406" s="276" t="str">
        <f>IF($AG$430=1,$H$10+30,"")</f>
        <v/>
      </c>
      <c r="E406" s="274">
        <v>356</v>
      </c>
      <c r="F406" s="275" t="str">
        <f>VLOOKUP($AG$430,$AE$422:$AF$433,2)</f>
        <v>Nov</v>
      </c>
      <c r="G406" s="272">
        <f t="shared" si="49"/>
        <v>0</v>
      </c>
      <c r="H406" s="272">
        <f t="shared" si="52"/>
        <v>0</v>
      </c>
      <c r="I406" s="272">
        <f t="shared" si="53"/>
        <v>0</v>
      </c>
      <c r="J406" s="272">
        <f t="shared" si="50"/>
        <v>0</v>
      </c>
      <c r="K406" s="272">
        <f>IF(ISTEXT($M$4),"",SUM(I$50:I406))</f>
        <v>0</v>
      </c>
      <c r="L406" s="272">
        <f>IF(ISTEXT($M$4),"",SUM(J$50:J406))</f>
        <v>0</v>
      </c>
      <c r="M406" s="271">
        <f t="shared" si="51"/>
        <v>0</v>
      </c>
      <c r="N406" s="291" t="e">
        <f>IF(C406='Operating Assumptions'!$C$48,"Construction Finish","")</f>
        <v>#N/A</v>
      </c>
      <c r="O406" s="291"/>
      <c r="P406" s="291"/>
      <c r="Q406" s="291"/>
      <c r="R406" s="291"/>
      <c r="S406" s="291"/>
    </row>
    <row r="407" spans="2:19" ht="13.5" hidden="1" outlineLevel="1" x14ac:dyDescent="0.2">
      <c r="B407" s="270" t="e">
        <f>IF(AND($C407&gt;='TIF Loan Amortization'!$H$480,$C407&lt;='TIF Loan Amortization'!$I$480),'TIF Loan Amortization'!$G$480,IF(AND($C407&gt;='TIF Loan Amortization'!$H$481,$C407&lt;='TIF Loan Amortization'!I$481),'TIF Loan Amortization'!$G$481,IF(AND($C407&gt;='TIF Loan Amortization'!$H$482,$C407&lt;='TIF Loan Amortization'!I$482),'TIF Loan Amortization'!$G$482,IF(AND($C407&gt;='TIF Loan Amortization'!$H$483,$C407&lt;='TIF Loan Amortization'!I$483),'TIF Loan Amortization'!$G$483,IF(AND($C407&gt;='TIF Loan Amortization'!$H$484,$C407&lt;='TIF Loan Amortization'!I$484),'TIF Loan Amortization'!$G$484,IF(AND($C407&gt;='TIF Loan Amortization'!$H$485,$C407&lt;='TIF Loan Amortization'!I$485),'TIF Loan Amortization'!$G$485,IF(AND($C407&gt;='TIF Loan Amortization'!$H$486,$C407&lt;='TIF Loan Amortization'!I$486),'TIF Loan Amortization'!$G$486,IF(AND($C407&gt;='TIF Loan Amortization'!$H$487,$C407&lt;='TIF Loan Amortization'!I$487),'TIF Loan Amortization'!$G$487,IF(AND($C407&gt;='TIF Loan Amortization'!$H$488,$C407&lt;='TIF Loan Amortization'!I$488),'TIF Loan Amortization'!$G$488,IF(AND($C407&gt;='TIF Loan Amortization'!$H$489,$C407&lt;='TIF Loan Amortization'!I$489),'TIF Loan Amortization'!$G$489,IF(AND($C407&gt;='TIF Loan Amortization'!$H$490,$C407&lt;='TIF Loan Amortization'!I$490),'TIF Loan Amortization'!$G$490,IF(AND($C407&gt;='TIF Loan Amortization'!$H$491,$C407&lt;='TIF Loan Amortization'!I$491),'TIF Loan Amortization'!$G$491,IF(AND($C407&gt;='TIF Loan Amortization'!$H$492,$C407&lt;='TIF Loan Amortization'!I$492),'TIF Loan Amortization'!$G$492,IF(AND($C407&gt;='TIF Loan Amortization'!$H$493,$C407&lt;='TIF Loan Amortization'!I$493),'TIF Loan Amortization'!$G$493,IF(AND($C407&gt;='TIF Loan Amortization'!$H$494,$C407&lt;='TIF Loan Amortization'!I$494),'TIF Loan Amortization'!$G$494,IF(AND($C407&gt;='TIF Loan Amortization'!$H$495,$C407&lt;='TIF Loan Amortization'!I$495),'TIF Loan Amortization'!$G$495,IF(AND($C407&gt;='TIF Loan Amortization'!$H$496,$C407&lt;='TIF Loan Amortization'!I$496),'TIF Loan Amortization'!$G$496,IF(AND($C407&gt;='TIF Loan Amortization'!$H$497,$C407&lt;='TIF Loan Amortization'!I$497),'TIF Loan Amortization'!$G$497,IF(AND($C407&gt;='TIF Loan Amortization'!$H$498,$C407&lt;='TIF Loan Amortization'!I$498),'TIF Loan Amortization'!$G$498,IF(AND($C407&gt;='TIF Loan Amortization'!$H$499,$C407&lt;='TIF Loan Amortization'!I$499),'TIF Loan Amortization'!$G$499,IF(AND($C407&gt;='TIF Loan Amortization'!$H$500,$C407&lt;='TIF Loan Amortization'!I$500),'TIF Loan Amortization'!$G$500,IF(AND($C407&gt;='TIF Loan Amortization'!$H$501,$C407&lt;='TIF Loan Amortization'!I$501),'TIF Loan Amortization'!$G$501,IF(AND($C407&gt;='TIF Loan Amortization'!$H$502,$C407&lt;='TIF Loan Amortization'!I$502),'TIF Loan Amortization'!$G$502,IF(AND($C407&gt;='TIF Loan Amortization'!$H$503,$C407&lt;='TIF Loan Amortization'!I$503),'TIF Loan Amortization'!$G$503,IF(AND($C407&gt;='TIF Loan Amortization'!$H$504,$C407&lt;='TIF Loan Amortization'!I$504),'TIF Loan Amortization'!$G$504,IF(AND($C407&gt;='TIF Loan Amortization'!$H$505,$C407&lt;='TIF Loan Amortization'!I$505),'TIF Loan Amortization'!$G$505,IF(AND($C407&gt;='TIF Loan Amortization'!$H$506,$C407&lt;='TIF Loan Amortization'!I$506),'TIF Loan Amortization'!$G$506,IF(AND($C407&gt;='TIF Loan Amortization'!$H$507,$C407&lt;='TIF Loan Amortization'!I$507),'TIF Loan Amortization'!$G$507,IF(AND($C407&gt;='TIF Loan Amortization'!$H$508,$C407&lt;='TIF Loan Amortization'!I$508),'TIF Loan Amortization'!$G$508,IF(AND($C407&gt;='TIF Loan Amortization'!$H$509,$C407&lt;='TIF Loan Amortization'!I$509),'TIF Loan Amortization'!$G$509,IF(AND($C407&gt;='TIF Loan Amortization'!$H$510,$C407&lt;='TIF Loan Amortization'!I$510),'TIF Loan Amortization'!$G$510,IF(AND($C407&gt;='TIF Loan Amortization'!$H$511,$C407&lt;='TIF Loan Amortization'!I$511),'TIF Loan Amortization'!$G$511,IF(AND($C407&gt;='TIF Loan Amortization'!$H$512,$C407&lt;='TIF Loan Amortization'!I$512),'TIF Loan Amortization'!$G$512,IF(AND($C407&gt;='TIF Loan Amortization'!$H$513,$C407&lt;='TIF Loan Amortization'!I$513),'TIF Loan Amortization'!$G$513,IF(AND($C407&gt;='TIF Loan Amortization'!$H$514,$C407&lt;='TIF Loan Amortization'!I$514),'TIF Loan Amortization'!$G$514,IF(AND($C407&gt;='TIF Loan Amortization'!$H$515,$C407&lt;='TIF Loan Amortization'!I$515),'TIF Loan Amortization'!$G$515,IF(AND($C407&gt;='TIF Loan Amortization'!$H$516,$C407&lt;='TIF Loan Amortization'!I$516),'TIF Loan Amortization'!$G$516,IF(AND($C407&gt;='TIF Loan Amortization'!$H$517,$C407&lt;='TIF Loan Amortization'!I$517),'TIF Loan Amortization'!$G$517,IF(AND($C407&gt;='TIF Loan Amortization'!$H$518,$C407&lt;='TIF Loan Amortization'!I$518),'TIF Loan Amortization'!$G$518,IF(AND($C407&gt;='TIF Loan Amortization'!$H$519,$C407&lt;='TIF Loan Amortization'!I$519),'TIF Loan Amortization'!$G$519))))))))))))))))))))))))))))))))))))))))</f>
        <v>#N/A</v>
      </c>
      <c r="C407" s="269" t="e">
        <f t="shared" si="48"/>
        <v>#N/A</v>
      </c>
      <c r="E407" s="274">
        <v>357</v>
      </c>
      <c r="F407" s="275" t="str">
        <f>VLOOKUP($AG$431,$AE$422:$AF$433,2)</f>
        <v>Dec</v>
      </c>
      <c r="G407" s="272">
        <f t="shared" si="49"/>
        <v>0</v>
      </c>
      <c r="H407" s="272">
        <f t="shared" si="52"/>
        <v>0</v>
      </c>
      <c r="I407" s="272">
        <f t="shared" si="53"/>
        <v>0</v>
      </c>
      <c r="J407" s="272">
        <f t="shared" si="50"/>
        <v>0</v>
      </c>
      <c r="K407" s="272">
        <f>IF(ISTEXT($M$4),"",SUM(I$50:I407))</f>
        <v>0</v>
      </c>
      <c r="L407" s="272">
        <f>IF(ISTEXT($M$4),"",SUM(J$50:J407))</f>
        <v>0</v>
      </c>
      <c r="M407" s="271">
        <f t="shared" si="51"/>
        <v>0</v>
      </c>
      <c r="N407" s="291" t="e">
        <f>IF(C407='Operating Assumptions'!$C$48,"Construction Finish","")</f>
        <v>#N/A</v>
      </c>
      <c r="O407" s="291"/>
      <c r="P407" s="291"/>
      <c r="Q407" s="291"/>
      <c r="R407" s="291"/>
      <c r="S407" s="291"/>
    </row>
    <row r="408" spans="2:19" ht="13.5" hidden="1" outlineLevel="1" x14ac:dyDescent="0.2">
      <c r="B408" s="270" t="e">
        <f>IF(AND($C408&gt;='TIF Loan Amortization'!$H$480,$C408&lt;='TIF Loan Amortization'!$I$480),'TIF Loan Amortization'!$G$480,IF(AND($C408&gt;='TIF Loan Amortization'!$H$481,$C408&lt;='TIF Loan Amortization'!I$481),'TIF Loan Amortization'!$G$481,IF(AND($C408&gt;='TIF Loan Amortization'!$H$482,$C408&lt;='TIF Loan Amortization'!I$482),'TIF Loan Amortization'!$G$482,IF(AND($C408&gt;='TIF Loan Amortization'!$H$483,$C408&lt;='TIF Loan Amortization'!I$483),'TIF Loan Amortization'!$G$483,IF(AND($C408&gt;='TIF Loan Amortization'!$H$484,$C408&lt;='TIF Loan Amortization'!I$484),'TIF Loan Amortization'!$G$484,IF(AND($C408&gt;='TIF Loan Amortization'!$H$485,$C408&lt;='TIF Loan Amortization'!I$485),'TIF Loan Amortization'!$G$485,IF(AND($C408&gt;='TIF Loan Amortization'!$H$486,$C408&lt;='TIF Loan Amortization'!I$486),'TIF Loan Amortization'!$G$486,IF(AND($C408&gt;='TIF Loan Amortization'!$H$487,$C408&lt;='TIF Loan Amortization'!I$487),'TIF Loan Amortization'!$G$487,IF(AND($C408&gt;='TIF Loan Amortization'!$H$488,$C408&lt;='TIF Loan Amortization'!I$488),'TIF Loan Amortization'!$G$488,IF(AND($C408&gt;='TIF Loan Amortization'!$H$489,$C408&lt;='TIF Loan Amortization'!I$489),'TIF Loan Amortization'!$G$489,IF(AND($C408&gt;='TIF Loan Amortization'!$H$490,$C408&lt;='TIF Loan Amortization'!I$490),'TIF Loan Amortization'!$G$490,IF(AND($C408&gt;='TIF Loan Amortization'!$H$491,$C408&lt;='TIF Loan Amortization'!I$491),'TIF Loan Amortization'!$G$491,IF(AND($C408&gt;='TIF Loan Amortization'!$H$492,$C408&lt;='TIF Loan Amortization'!I$492),'TIF Loan Amortization'!$G$492,IF(AND($C408&gt;='TIF Loan Amortization'!$H$493,$C408&lt;='TIF Loan Amortization'!I$493),'TIF Loan Amortization'!$G$493,IF(AND($C408&gt;='TIF Loan Amortization'!$H$494,$C408&lt;='TIF Loan Amortization'!I$494),'TIF Loan Amortization'!$G$494,IF(AND($C408&gt;='TIF Loan Amortization'!$H$495,$C408&lt;='TIF Loan Amortization'!I$495),'TIF Loan Amortization'!$G$495,IF(AND($C408&gt;='TIF Loan Amortization'!$H$496,$C408&lt;='TIF Loan Amortization'!I$496),'TIF Loan Amortization'!$G$496,IF(AND($C408&gt;='TIF Loan Amortization'!$H$497,$C408&lt;='TIF Loan Amortization'!I$497),'TIF Loan Amortization'!$G$497,IF(AND($C408&gt;='TIF Loan Amortization'!$H$498,$C408&lt;='TIF Loan Amortization'!I$498),'TIF Loan Amortization'!$G$498,IF(AND($C408&gt;='TIF Loan Amortization'!$H$499,$C408&lt;='TIF Loan Amortization'!I$499),'TIF Loan Amortization'!$G$499,IF(AND($C408&gt;='TIF Loan Amortization'!$H$500,$C408&lt;='TIF Loan Amortization'!I$500),'TIF Loan Amortization'!$G$500,IF(AND($C408&gt;='TIF Loan Amortization'!$H$501,$C408&lt;='TIF Loan Amortization'!I$501),'TIF Loan Amortization'!$G$501,IF(AND($C408&gt;='TIF Loan Amortization'!$H$502,$C408&lt;='TIF Loan Amortization'!I$502),'TIF Loan Amortization'!$G$502,IF(AND($C408&gt;='TIF Loan Amortization'!$H$503,$C408&lt;='TIF Loan Amortization'!I$503),'TIF Loan Amortization'!$G$503,IF(AND($C408&gt;='TIF Loan Amortization'!$H$504,$C408&lt;='TIF Loan Amortization'!I$504),'TIF Loan Amortization'!$G$504,IF(AND($C408&gt;='TIF Loan Amortization'!$H$505,$C408&lt;='TIF Loan Amortization'!I$505),'TIF Loan Amortization'!$G$505,IF(AND($C408&gt;='TIF Loan Amortization'!$H$506,$C408&lt;='TIF Loan Amortization'!I$506),'TIF Loan Amortization'!$G$506,IF(AND($C408&gt;='TIF Loan Amortization'!$H$507,$C408&lt;='TIF Loan Amortization'!I$507),'TIF Loan Amortization'!$G$507,IF(AND($C408&gt;='TIF Loan Amortization'!$H$508,$C408&lt;='TIF Loan Amortization'!I$508),'TIF Loan Amortization'!$G$508,IF(AND($C408&gt;='TIF Loan Amortization'!$H$509,$C408&lt;='TIF Loan Amortization'!I$509),'TIF Loan Amortization'!$G$509,IF(AND($C408&gt;='TIF Loan Amortization'!$H$510,$C408&lt;='TIF Loan Amortization'!I$510),'TIF Loan Amortization'!$G$510,IF(AND($C408&gt;='TIF Loan Amortization'!$H$511,$C408&lt;='TIF Loan Amortization'!I$511),'TIF Loan Amortization'!$G$511,IF(AND($C408&gt;='TIF Loan Amortization'!$H$512,$C408&lt;='TIF Loan Amortization'!I$512),'TIF Loan Amortization'!$G$512,IF(AND($C408&gt;='TIF Loan Amortization'!$H$513,$C408&lt;='TIF Loan Amortization'!I$513),'TIF Loan Amortization'!$G$513,IF(AND($C408&gt;='TIF Loan Amortization'!$H$514,$C408&lt;='TIF Loan Amortization'!I$514),'TIF Loan Amortization'!$G$514,IF(AND($C408&gt;='TIF Loan Amortization'!$H$515,$C408&lt;='TIF Loan Amortization'!I$515),'TIF Loan Amortization'!$G$515,IF(AND($C408&gt;='TIF Loan Amortization'!$H$516,$C408&lt;='TIF Loan Amortization'!I$516),'TIF Loan Amortization'!$G$516,IF(AND($C408&gt;='TIF Loan Amortization'!$H$517,$C408&lt;='TIF Loan Amortization'!I$517),'TIF Loan Amortization'!$G$517,IF(AND($C408&gt;='TIF Loan Amortization'!$H$518,$C408&lt;='TIF Loan Amortization'!I$518),'TIF Loan Amortization'!$G$518,IF(AND($C408&gt;='TIF Loan Amortization'!$H$519,$C408&lt;='TIF Loan Amortization'!I$519),'TIF Loan Amortization'!$G$519))))))))))))))))))))))))))))))))))))))))</f>
        <v>#N/A</v>
      </c>
      <c r="C408" s="269" t="e">
        <f t="shared" si="48"/>
        <v>#N/A</v>
      </c>
      <c r="E408" s="274">
        <v>358</v>
      </c>
      <c r="F408" s="273" t="str">
        <f>VLOOKUP($AG$432,$AE$422:$AF$433,2)</f>
        <v>Jan</v>
      </c>
      <c r="G408" s="272">
        <f t="shared" si="49"/>
        <v>0</v>
      </c>
      <c r="H408" s="272">
        <f t="shared" si="52"/>
        <v>0</v>
      </c>
      <c r="I408" s="272">
        <f t="shared" si="53"/>
        <v>0</v>
      </c>
      <c r="J408" s="272">
        <f t="shared" si="50"/>
        <v>0</v>
      </c>
      <c r="K408" s="272">
        <f>IF(ISTEXT($M$4),"",SUM(I$50:I408))</f>
        <v>0</v>
      </c>
      <c r="L408" s="272">
        <f>IF(ISTEXT($M$4),"",SUM(J$50:J408))</f>
        <v>0</v>
      </c>
      <c r="M408" s="271">
        <f t="shared" si="51"/>
        <v>0</v>
      </c>
      <c r="N408" s="291" t="e">
        <f>IF(C408='Operating Assumptions'!$C$48,"Construction Finish","")</f>
        <v>#N/A</v>
      </c>
      <c r="O408" s="291"/>
      <c r="P408" s="291"/>
      <c r="Q408" s="291"/>
      <c r="R408" s="291"/>
      <c r="S408" s="291"/>
    </row>
    <row r="409" spans="2:19" ht="13.5" hidden="1" outlineLevel="1" x14ac:dyDescent="0.2">
      <c r="B409" s="270" t="e">
        <f>IF(AND($C409&gt;='TIF Loan Amortization'!$H$480,$C409&lt;='TIF Loan Amortization'!$I$480),'TIF Loan Amortization'!$G$480,IF(AND($C409&gt;='TIF Loan Amortization'!$H$481,$C409&lt;='TIF Loan Amortization'!I$481),'TIF Loan Amortization'!$G$481,IF(AND($C409&gt;='TIF Loan Amortization'!$H$482,$C409&lt;='TIF Loan Amortization'!I$482),'TIF Loan Amortization'!$G$482,IF(AND($C409&gt;='TIF Loan Amortization'!$H$483,$C409&lt;='TIF Loan Amortization'!I$483),'TIF Loan Amortization'!$G$483,IF(AND($C409&gt;='TIF Loan Amortization'!$H$484,$C409&lt;='TIF Loan Amortization'!I$484),'TIF Loan Amortization'!$G$484,IF(AND($C409&gt;='TIF Loan Amortization'!$H$485,$C409&lt;='TIF Loan Amortization'!I$485),'TIF Loan Amortization'!$G$485,IF(AND($C409&gt;='TIF Loan Amortization'!$H$486,$C409&lt;='TIF Loan Amortization'!I$486),'TIF Loan Amortization'!$G$486,IF(AND($C409&gt;='TIF Loan Amortization'!$H$487,$C409&lt;='TIF Loan Amortization'!I$487),'TIF Loan Amortization'!$G$487,IF(AND($C409&gt;='TIF Loan Amortization'!$H$488,$C409&lt;='TIF Loan Amortization'!I$488),'TIF Loan Amortization'!$G$488,IF(AND($C409&gt;='TIF Loan Amortization'!$H$489,$C409&lt;='TIF Loan Amortization'!I$489),'TIF Loan Amortization'!$G$489,IF(AND($C409&gt;='TIF Loan Amortization'!$H$490,$C409&lt;='TIF Loan Amortization'!I$490),'TIF Loan Amortization'!$G$490,IF(AND($C409&gt;='TIF Loan Amortization'!$H$491,$C409&lt;='TIF Loan Amortization'!I$491),'TIF Loan Amortization'!$G$491,IF(AND($C409&gt;='TIF Loan Amortization'!$H$492,$C409&lt;='TIF Loan Amortization'!I$492),'TIF Loan Amortization'!$G$492,IF(AND($C409&gt;='TIF Loan Amortization'!$H$493,$C409&lt;='TIF Loan Amortization'!I$493),'TIF Loan Amortization'!$G$493,IF(AND($C409&gt;='TIF Loan Amortization'!$H$494,$C409&lt;='TIF Loan Amortization'!I$494),'TIF Loan Amortization'!$G$494,IF(AND($C409&gt;='TIF Loan Amortization'!$H$495,$C409&lt;='TIF Loan Amortization'!I$495),'TIF Loan Amortization'!$G$495,IF(AND($C409&gt;='TIF Loan Amortization'!$H$496,$C409&lt;='TIF Loan Amortization'!I$496),'TIF Loan Amortization'!$G$496,IF(AND($C409&gt;='TIF Loan Amortization'!$H$497,$C409&lt;='TIF Loan Amortization'!I$497),'TIF Loan Amortization'!$G$497,IF(AND($C409&gt;='TIF Loan Amortization'!$H$498,$C409&lt;='TIF Loan Amortization'!I$498),'TIF Loan Amortization'!$G$498,IF(AND($C409&gt;='TIF Loan Amortization'!$H$499,$C409&lt;='TIF Loan Amortization'!I$499),'TIF Loan Amortization'!$G$499,IF(AND($C409&gt;='TIF Loan Amortization'!$H$500,$C409&lt;='TIF Loan Amortization'!I$500),'TIF Loan Amortization'!$G$500,IF(AND($C409&gt;='TIF Loan Amortization'!$H$501,$C409&lt;='TIF Loan Amortization'!I$501),'TIF Loan Amortization'!$G$501,IF(AND($C409&gt;='TIF Loan Amortization'!$H$502,$C409&lt;='TIF Loan Amortization'!I$502),'TIF Loan Amortization'!$G$502,IF(AND($C409&gt;='TIF Loan Amortization'!$H$503,$C409&lt;='TIF Loan Amortization'!I$503),'TIF Loan Amortization'!$G$503,IF(AND($C409&gt;='TIF Loan Amortization'!$H$504,$C409&lt;='TIF Loan Amortization'!I$504),'TIF Loan Amortization'!$G$504,IF(AND($C409&gt;='TIF Loan Amortization'!$H$505,$C409&lt;='TIF Loan Amortization'!I$505),'TIF Loan Amortization'!$G$505,IF(AND($C409&gt;='TIF Loan Amortization'!$H$506,$C409&lt;='TIF Loan Amortization'!I$506),'TIF Loan Amortization'!$G$506,IF(AND($C409&gt;='TIF Loan Amortization'!$H$507,$C409&lt;='TIF Loan Amortization'!I$507),'TIF Loan Amortization'!$G$507,IF(AND($C409&gt;='TIF Loan Amortization'!$H$508,$C409&lt;='TIF Loan Amortization'!I$508),'TIF Loan Amortization'!$G$508,IF(AND($C409&gt;='TIF Loan Amortization'!$H$509,$C409&lt;='TIF Loan Amortization'!I$509),'TIF Loan Amortization'!$G$509,IF(AND($C409&gt;='TIF Loan Amortization'!$H$510,$C409&lt;='TIF Loan Amortization'!I$510),'TIF Loan Amortization'!$G$510,IF(AND($C409&gt;='TIF Loan Amortization'!$H$511,$C409&lt;='TIF Loan Amortization'!I$511),'TIF Loan Amortization'!$G$511,IF(AND($C409&gt;='TIF Loan Amortization'!$H$512,$C409&lt;='TIF Loan Amortization'!I$512),'TIF Loan Amortization'!$G$512,IF(AND($C409&gt;='TIF Loan Amortization'!$H$513,$C409&lt;='TIF Loan Amortization'!I$513),'TIF Loan Amortization'!$G$513,IF(AND($C409&gt;='TIF Loan Amortization'!$H$514,$C409&lt;='TIF Loan Amortization'!I$514),'TIF Loan Amortization'!$G$514,IF(AND($C409&gt;='TIF Loan Amortization'!$H$515,$C409&lt;='TIF Loan Amortization'!I$515),'TIF Loan Amortization'!$G$515,IF(AND($C409&gt;='TIF Loan Amortization'!$H$516,$C409&lt;='TIF Loan Amortization'!I$516),'TIF Loan Amortization'!$G$516,IF(AND($C409&gt;='TIF Loan Amortization'!$H$517,$C409&lt;='TIF Loan Amortization'!I$517),'TIF Loan Amortization'!$G$517,IF(AND($C409&gt;='TIF Loan Amortization'!$H$518,$C409&lt;='TIF Loan Amortization'!I$518),'TIF Loan Amortization'!$G$518,IF(AND($C409&gt;='TIF Loan Amortization'!$H$519,$C409&lt;='TIF Loan Amortization'!I$519),'TIF Loan Amortization'!$G$519))))))))))))))))))))))))))))))))))))))))</f>
        <v>#N/A</v>
      </c>
      <c r="C409" s="269" t="e">
        <f t="shared" si="48"/>
        <v>#N/A</v>
      </c>
      <c r="E409" s="274">
        <v>359</v>
      </c>
      <c r="F409" s="273" t="str">
        <f>VLOOKUP($AG$433,$AE$422:$AF$433,2)</f>
        <v>Feb</v>
      </c>
      <c r="G409" s="272">
        <f t="shared" si="49"/>
        <v>0</v>
      </c>
      <c r="H409" s="272">
        <f t="shared" si="52"/>
        <v>0</v>
      </c>
      <c r="I409" s="272">
        <f t="shared" si="53"/>
        <v>0</v>
      </c>
      <c r="J409" s="272">
        <f t="shared" si="50"/>
        <v>0</v>
      </c>
      <c r="K409" s="272">
        <f>IF(ISTEXT($M$4),"",SUM(I$50:I409))</f>
        <v>0</v>
      </c>
      <c r="L409" s="272">
        <f>IF(ISTEXT($M$4),"",SUM(J$50:J409))</f>
        <v>0</v>
      </c>
      <c r="M409" s="271">
        <f t="shared" si="51"/>
        <v>0</v>
      </c>
      <c r="N409" s="291" t="e">
        <f>IF(C409='Operating Assumptions'!$C$48,"Construction Finish","")</f>
        <v>#N/A</v>
      </c>
      <c r="O409" s="291"/>
      <c r="P409" s="291"/>
      <c r="Q409" s="291"/>
      <c r="R409" s="291"/>
      <c r="S409" s="291"/>
    </row>
    <row r="410" spans="2:19" ht="13.5" hidden="1" outlineLevel="1" x14ac:dyDescent="0.2">
      <c r="B410" s="270" t="e">
        <f>IF(AND($C410&gt;='TIF Loan Amortization'!$H$480,$C410&lt;='TIF Loan Amortization'!$I$480),'TIF Loan Amortization'!$G$480,IF(AND($C410&gt;='TIF Loan Amortization'!$H$481,$C410&lt;='TIF Loan Amortization'!I$481),'TIF Loan Amortization'!$G$481,IF(AND($C410&gt;='TIF Loan Amortization'!$H$482,$C410&lt;='TIF Loan Amortization'!I$482),'TIF Loan Amortization'!$G$482,IF(AND($C410&gt;='TIF Loan Amortization'!$H$483,$C410&lt;='TIF Loan Amortization'!I$483),'TIF Loan Amortization'!$G$483,IF(AND($C410&gt;='TIF Loan Amortization'!$H$484,$C410&lt;='TIF Loan Amortization'!I$484),'TIF Loan Amortization'!$G$484,IF(AND($C410&gt;='TIF Loan Amortization'!$H$485,$C410&lt;='TIF Loan Amortization'!I$485),'TIF Loan Amortization'!$G$485,IF(AND($C410&gt;='TIF Loan Amortization'!$H$486,$C410&lt;='TIF Loan Amortization'!I$486),'TIF Loan Amortization'!$G$486,IF(AND($C410&gt;='TIF Loan Amortization'!$H$487,$C410&lt;='TIF Loan Amortization'!I$487),'TIF Loan Amortization'!$G$487,IF(AND($C410&gt;='TIF Loan Amortization'!$H$488,$C410&lt;='TIF Loan Amortization'!I$488),'TIF Loan Amortization'!$G$488,IF(AND($C410&gt;='TIF Loan Amortization'!$H$489,$C410&lt;='TIF Loan Amortization'!I$489),'TIF Loan Amortization'!$G$489,IF(AND($C410&gt;='TIF Loan Amortization'!$H$490,$C410&lt;='TIF Loan Amortization'!I$490),'TIF Loan Amortization'!$G$490,IF(AND($C410&gt;='TIF Loan Amortization'!$H$491,$C410&lt;='TIF Loan Amortization'!I$491),'TIF Loan Amortization'!$G$491,IF(AND($C410&gt;='TIF Loan Amortization'!$H$492,$C410&lt;='TIF Loan Amortization'!I$492),'TIF Loan Amortization'!$G$492,IF(AND($C410&gt;='TIF Loan Amortization'!$H$493,$C410&lt;='TIF Loan Amortization'!I$493),'TIF Loan Amortization'!$G$493,IF(AND($C410&gt;='TIF Loan Amortization'!$H$494,$C410&lt;='TIF Loan Amortization'!I$494),'TIF Loan Amortization'!$G$494,IF(AND($C410&gt;='TIF Loan Amortization'!$H$495,$C410&lt;='TIF Loan Amortization'!I$495),'TIF Loan Amortization'!$G$495,IF(AND($C410&gt;='TIF Loan Amortization'!$H$496,$C410&lt;='TIF Loan Amortization'!I$496),'TIF Loan Amortization'!$G$496,IF(AND($C410&gt;='TIF Loan Amortization'!$H$497,$C410&lt;='TIF Loan Amortization'!I$497),'TIF Loan Amortization'!$G$497,IF(AND($C410&gt;='TIF Loan Amortization'!$H$498,$C410&lt;='TIF Loan Amortization'!I$498),'TIF Loan Amortization'!$G$498,IF(AND($C410&gt;='TIF Loan Amortization'!$H$499,$C410&lt;='TIF Loan Amortization'!I$499),'TIF Loan Amortization'!$G$499,IF(AND($C410&gt;='TIF Loan Amortization'!$H$500,$C410&lt;='TIF Loan Amortization'!I$500),'TIF Loan Amortization'!$G$500,IF(AND($C410&gt;='TIF Loan Amortization'!$H$501,$C410&lt;='TIF Loan Amortization'!I$501),'TIF Loan Amortization'!$G$501,IF(AND($C410&gt;='TIF Loan Amortization'!$H$502,$C410&lt;='TIF Loan Amortization'!I$502),'TIF Loan Amortization'!$G$502,IF(AND($C410&gt;='TIF Loan Amortization'!$H$503,$C410&lt;='TIF Loan Amortization'!I$503),'TIF Loan Amortization'!$G$503,IF(AND($C410&gt;='TIF Loan Amortization'!$H$504,$C410&lt;='TIF Loan Amortization'!I$504),'TIF Loan Amortization'!$G$504,IF(AND($C410&gt;='TIF Loan Amortization'!$H$505,$C410&lt;='TIF Loan Amortization'!I$505),'TIF Loan Amortization'!$G$505,IF(AND($C410&gt;='TIF Loan Amortization'!$H$506,$C410&lt;='TIF Loan Amortization'!I$506),'TIF Loan Amortization'!$G$506,IF(AND($C410&gt;='TIF Loan Amortization'!$H$507,$C410&lt;='TIF Loan Amortization'!I$507),'TIF Loan Amortization'!$G$507,IF(AND($C410&gt;='TIF Loan Amortization'!$H$508,$C410&lt;='TIF Loan Amortization'!I$508),'TIF Loan Amortization'!$G$508,IF(AND($C410&gt;='TIF Loan Amortization'!$H$509,$C410&lt;='TIF Loan Amortization'!I$509),'TIF Loan Amortization'!$G$509,IF(AND($C410&gt;='TIF Loan Amortization'!$H$510,$C410&lt;='TIF Loan Amortization'!I$510),'TIF Loan Amortization'!$G$510,IF(AND($C410&gt;='TIF Loan Amortization'!$H$511,$C410&lt;='TIF Loan Amortization'!I$511),'TIF Loan Amortization'!$G$511,IF(AND($C410&gt;='TIF Loan Amortization'!$H$512,$C410&lt;='TIF Loan Amortization'!I$512),'TIF Loan Amortization'!$G$512,IF(AND($C410&gt;='TIF Loan Amortization'!$H$513,$C410&lt;='TIF Loan Amortization'!I$513),'TIF Loan Amortization'!$G$513,IF(AND($C410&gt;='TIF Loan Amortization'!$H$514,$C410&lt;='TIF Loan Amortization'!I$514),'TIF Loan Amortization'!$G$514,IF(AND($C410&gt;='TIF Loan Amortization'!$H$515,$C410&lt;='TIF Loan Amortization'!I$515),'TIF Loan Amortization'!$G$515,IF(AND($C410&gt;='TIF Loan Amortization'!$H$516,$C410&lt;='TIF Loan Amortization'!I$516),'TIF Loan Amortization'!$G$516,IF(AND($C410&gt;='TIF Loan Amortization'!$H$517,$C410&lt;='TIF Loan Amortization'!I$517),'TIF Loan Amortization'!$G$517,IF(AND($C410&gt;='TIF Loan Amortization'!$H$518,$C410&lt;='TIF Loan Amortization'!I$518),'TIF Loan Amortization'!$G$518,IF(AND($C410&gt;='TIF Loan Amortization'!$H$519,$C410&lt;='TIF Loan Amortization'!I$519),'TIF Loan Amortization'!$G$519))))))))))))))))))))))))))))))))))))))))</f>
        <v>#N/A</v>
      </c>
      <c r="C410" s="269" t="e">
        <f t="shared" si="48"/>
        <v>#N/A</v>
      </c>
      <c r="E410" s="274">
        <v>360</v>
      </c>
      <c r="F410" s="273" t="str">
        <f>VLOOKUP($AG$422,$AE$422:$AF$433,2)</f>
        <v>Mar</v>
      </c>
      <c r="G410" s="272">
        <f t="shared" si="49"/>
        <v>0</v>
      </c>
      <c r="H410" s="272">
        <f t="shared" si="52"/>
        <v>0</v>
      </c>
      <c r="I410" s="272">
        <f t="shared" si="53"/>
        <v>0</v>
      </c>
      <c r="J410" s="272">
        <f t="shared" si="50"/>
        <v>0</v>
      </c>
      <c r="K410" s="272">
        <f>IF(ISTEXT($M$4),"",SUM(I$50:I410))</f>
        <v>0</v>
      </c>
      <c r="L410" s="272">
        <f>IF(ISTEXT($M$4),"",SUM(J$50:J410))</f>
        <v>0</v>
      </c>
      <c r="M410" s="271">
        <f t="shared" si="51"/>
        <v>0</v>
      </c>
      <c r="N410" s="291" t="e">
        <f>IF(C410='Operating Assumptions'!$C$48,"Construction Finish","")</f>
        <v>#N/A</v>
      </c>
      <c r="O410" s="291"/>
      <c r="P410" s="291"/>
      <c r="Q410" s="291"/>
      <c r="R410" s="291"/>
      <c r="S410" s="291"/>
    </row>
    <row r="411" spans="2:19" ht="13.5" hidden="1" outlineLevel="1" x14ac:dyDescent="0.2">
      <c r="B411" s="270" t="e">
        <f>IF(AND($C411&gt;='TIF Loan Amortization'!$H$480,$C411&lt;='TIF Loan Amortization'!$I$480),'TIF Loan Amortization'!$G$480,IF(AND($C411&gt;='TIF Loan Amortization'!$H$481,$C411&lt;='TIF Loan Amortization'!I$481),'TIF Loan Amortization'!$G$481,IF(AND($C411&gt;='TIF Loan Amortization'!$H$482,$C411&lt;='TIF Loan Amortization'!I$482),'TIF Loan Amortization'!$G$482,IF(AND($C411&gt;='TIF Loan Amortization'!$H$483,$C411&lt;='TIF Loan Amortization'!I$483),'TIF Loan Amortization'!$G$483,IF(AND($C411&gt;='TIF Loan Amortization'!$H$484,$C411&lt;='TIF Loan Amortization'!I$484),'TIF Loan Amortization'!$G$484,IF(AND($C411&gt;='TIF Loan Amortization'!$H$485,$C411&lt;='TIF Loan Amortization'!I$485),'TIF Loan Amortization'!$G$485,IF(AND($C411&gt;='TIF Loan Amortization'!$H$486,$C411&lt;='TIF Loan Amortization'!I$486),'TIF Loan Amortization'!$G$486,IF(AND($C411&gt;='TIF Loan Amortization'!$H$487,$C411&lt;='TIF Loan Amortization'!I$487),'TIF Loan Amortization'!$G$487,IF(AND($C411&gt;='TIF Loan Amortization'!$H$488,$C411&lt;='TIF Loan Amortization'!I$488),'TIF Loan Amortization'!$G$488,IF(AND($C411&gt;='TIF Loan Amortization'!$H$489,$C411&lt;='TIF Loan Amortization'!I$489),'TIF Loan Amortization'!$G$489,IF(AND($C411&gt;='TIF Loan Amortization'!$H$490,$C411&lt;='TIF Loan Amortization'!I$490),'TIF Loan Amortization'!$G$490,IF(AND($C411&gt;='TIF Loan Amortization'!$H$491,$C411&lt;='TIF Loan Amortization'!I$491),'TIF Loan Amortization'!$G$491,IF(AND($C411&gt;='TIF Loan Amortization'!$H$492,$C411&lt;='TIF Loan Amortization'!I$492),'TIF Loan Amortization'!$G$492,IF(AND($C411&gt;='TIF Loan Amortization'!$H$493,$C411&lt;='TIF Loan Amortization'!I$493),'TIF Loan Amortization'!$G$493,IF(AND($C411&gt;='TIF Loan Amortization'!$H$494,$C411&lt;='TIF Loan Amortization'!I$494),'TIF Loan Amortization'!$G$494,IF(AND($C411&gt;='TIF Loan Amortization'!$H$495,$C411&lt;='TIF Loan Amortization'!I$495),'TIF Loan Amortization'!$G$495,IF(AND($C411&gt;='TIF Loan Amortization'!$H$496,$C411&lt;='TIF Loan Amortization'!I$496),'TIF Loan Amortization'!$G$496,IF(AND($C411&gt;='TIF Loan Amortization'!$H$497,$C411&lt;='TIF Loan Amortization'!I$497),'TIF Loan Amortization'!$G$497,IF(AND($C411&gt;='TIF Loan Amortization'!$H$498,$C411&lt;='TIF Loan Amortization'!I$498),'TIF Loan Amortization'!$G$498,IF(AND($C411&gt;='TIF Loan Amortization'!$H$499,$C411&lt;='TIF Loan Amortization'!I$499),'TIF Loan Amortization'!$G$499,IF(AND($C411&gt;='TIF Loan Amortization'!$H$500,$C411&lt;='TIF Loan Amortization'!I$500),'TIF Loan Amortization'!$G$500,IF(AND($C411&gt;='TIF Loan Amortization'!$H$501,$C411&lt;='TIF Loan Amortization'!I$501),'TIF Loan Amortization'!$G$501,IF(AND($C411&gt;='TIF Loan Amortization'!$H$502,$C411&lt;='TIF Loan Amortization'!I$502),'TIF Loan Amortization'!$G$502,IF(AND($C411&gt;='TIF Loan Amortization'!$H$503,$C411&lt;='TIF Loan Amortization'!I$503),'TIF Loan Amortization'!$G$503,IF(AND($C411&gt;='TIF Loan Amortization'!$H$504,$C411&lt;='TIF Loan Amortization'!I$504),'TIF Loan Amortization'!$G$504,IF(AND($C411&gt;='TIF Loan Amortization'!$H$505,$C411&lt;='TIF Loan Amortization'!I$505),'TIF Loan Amortization'!$G$505,IF(AND($C411&gt;='TIF Loan Amortization'!$H$506,$C411&lt;='TIF Loan Amortization'!I$506),'TIF Loan Amortization'!$G$506,IF(AND($C411&gt;='TIF Loan Amortization'!$H$507,$C411&lt;='TIF Loan Amortization'!I$507),'TIF Loan Amortization'!$G$507,IF(AND($C411&gt;='TIF Loan Amortization'!$H$508,$C411&lt;='TIF Loan Amortization'!I$508),'TIF Loan Amortization'!$G$508,IF(AND($C411&gt;='TIF Loan Amortization'!$H$509,$C411&lt;='TIF Loan Amortization'!I$509),'TIF Loan Amortization'!$G$509,IF(AND($C411&gt;='TIF Loan Amortization'!$H$510,$C411&lt;='TIF Loan Amortization'!I$510),'TIF Loan Amortization'!$G$510,IF(AND($C411&gt;='TIF Loan Amortization'!$H$511,$C411&lt;='TIF Loan Amortization'!I$511),'TIF Loan Amortization'!$G$511,IF(AND($C411&gt;='TIF Loan Amortization'!$H$512,$C411&lt;='TIF Loan Amortization'!I$512),'TIF Loan Amortization'!$G$512,IF(AND($C411&gt;='TIF Loan Amortization'!$H$513,$C411&lt;='TIF Loan Amortization'!I$513),'TIF Loan Amortization'!$G$513,IF(AND($C411&gt;='TIF Loan Amortization'!$H$514,$C411&lt;='TIF Loan Amortization'!I$514),'TIF Loan Amortization'!$G$514,IF(AND($C411&gt;='TIF Loan Amortization'!$H$515,$C411&lt;='TIF Loan Amortization'!I$515),'TIF Loan Amortization'!$G$515,IF(AND($C411&gt;='TIF Loan Amortization'!$H$516,$C411&lt;='TIF Loan Amortization'!I$516),'TIF Loan Amortization'!$G$516,IF(AND($C411&gt;='TIF Loan Amortization'!$H$517,$C411&lt;='TIF Loan Amortization'!I$517),'TIF Loan Amortization'!$G$517,IF(AND($C411&gt;='TIF Loan Amortization'!$H$518,$C411&lt;='TIF Loan Amortization'!I$518),'TIF Loan Amortization'!$G$518,IF(AND($C411&gt;='TIF Loan Amortization'!$H$519,$C411&lt;='TIF Loan Amortization'!I$519),'TIF Loan Amortization'!$G$519))))))))))))))))))))))))))))))))))))))))</f>
        <v>#N/A</v>
      </c>
      <c r="C411" s="269" t="e">
        <f t="shared" si="48"/>
        <v>#N/A</v>
      </c>
      <c r="E411" s="268"/>
      <c r="F411" s="267"/>
      <c r="G411" s="266">
        <f t="shared" si="49"/>
        <v>0</v>
      </c>
      <c r="H411" s="272">
        <f t="shared" si="52"/>
        <v>0</v>
      </c>
      <c r="I411" s="272">
        <f t="shared" si="53"/>
        <v>0</v>
      </c>
      <c r="J411" s="266">
        <f t="shared" si="50"/>
        <v>0</v>
      </c>
      <c r="K411" s="266">
        <f>IF(ISTEXT($M$4),"",SUM(I$50:I411))</f>
        <v>0</v>
      </c>
      <c r="L411" s="266">
        <f>IF(ISTEXT($M$4),"",SUM(J$50:J411))</f>
        <v>0</v>
      </c>
      <c r="M411" s="265">
        <f t="shared" si="51"/>
        <v>0</v>
      </c>
      <c r="N411" s="291" t="e">
        <f>IF(C411='Operating Assumptions'!$C$48,"Construction Finish","")</f>
        <v>#N/A</v>
      </c>
      <c r="O411" s="291"/>
      <c r="P411" s="291"/>
      <c r="Q411" s="291"/>
      <c r="R411" s="291"/>
      <c r="S411" s="291"/>
    </row>
    <row r="412" spans="2:19" ht="13.5" collapsed="1" x14ac:dyDescent="0.2">
      <c r="B412" s="407" t="str">
        <f>IF($AG$431=1,$H$10+30,"")</f>
        <v/>
      </c>
      <c r="C412" s="263"/>
      <c r="D412" s="262"/>
      <c r="F412" s="264"/>
    </row>
    <row r="413" spans="2:19" ht="13.5" x14ac:dyDescent="0.2">
      <c r="B413" s="263">
        <f>IF($AG$432=1,$H$10+30,"")</f>
        <v>2055</v>
      </c>
      <c r="C413" s="263"/>
      <c r="D413" s="262"/>
      <c r="F413" s="261"/>
    </row>
    <row r="414" spans="2:19" ht="13.5" x14ac:dyDescent="0.2">
      <c r="B414" s="407" t="str">
        <f>IF($AG$433=1,$H$10+30,"")</f>
        <v/>
      </c>
      <c r="C414" s="263"/>
      <c r="D414" s="262"/>
      <c r="F414" s="261"/>
    </row>
    <row r="419" spans="31:35" ht="13.5" thickBot="1" x14ac:dyDescent="0.25"/>
    <row r="420" spans="31:35" ht="14.25" thickTop="1" x14ac:dyDescent="0.2">
      <c r="AE420" s="260" t="s">
        <v>44</v>
      </c>
      <c r="AF420" s="259"/>
      <c r="AG420" s="259"/>
      <c r="AH420" s="259"/>
      <c r="AI420" s="258"/>
    </row>
    <row r="421" spans="31:35" ht="13.5" x14ac:dyDescent="0.2">
      <c r="AE421" s="255"/>
      <c r="AF421" s="254"/>
      <c r="AG421" s="254"/>
      <c r="AH421" s="254"/>
      <c r="AI421" s="253"/>
    </row>
    <row r="422" spans="31:35" ht="13.5" x14ac:dyDescent="0.2">
      <c r="AE422" s="255">
        <v>1</v>
      </c>
      <c r="AF422" s="254" t="s">
        <v>45</v>
      </c>
      <c r="AG422" s="254">
        <f>IF(ISNA(MATCH(PROPER(LEFT(H11,3)),AI422:AI433,0)),1,MATCH(PROPER(LEFT(H11,3)),AI422:AI433,0))</f>
        <v>3</v>
      </c>
      <c r="AH422" s="254"/>
      <c r="AI422" s="253" t="s">
        <v>45</v>
      </c>
    </row>
    <row r="423" spans="31:35" ht="13.5" x14ac:dyDescent="0.2">
      <c r="AE423" s="255">
        <v>2</v>
      </c>
      <c r="AF423" s="254" t="s">
        <v>46</v>
      </c>
      <c r="AG423" s="254">
        <f t="shared" ref="AG423:AG433" si="54">IF(AG422=12,1,AG422+1)</f>
        <v>4</v>
      </c>
      <c r="AH423" s="254"/>
      <c r="AI423" s="253" t="s">
        <v>46</v>
      </c>
    </row>
    <row r="424" spans="31:35" ht="13.5" x14ac:dyDescent="0.2">
      <c r="AE424" s="255">
        <v>3</v>
      </c>
      <c r="AF424" s="254" t="s">
        <v>47</v>
      </c>
      <c r="AG424" s="254">
        <f t="shared" si="54"/>
        <v>5</v>
      </c>
      <c r="AH424" s="254"/>
      <c r="AI424" s="253" t="s">
        <v>47</v>
      </c>
    </row>
    <row r="425" spans="31:35" ht="13.5" x14ac:dyDescent="0.2">
      <c r="AE425" s="255">
        <v>4</v>
      </c>
      <c r="AF425" s="254" t="s">
        <v>48</v>
      </c>
      <c r="AG425" s="254">
        <f t="shared" si="54"/>
        <v>6</v>
      </c>
      <c r="AH425" s="254"/>
      <c r="AI425" s="253" t="s">
        <v>48</v>
      </c>
    </row>
    <row r="426" spans="31:35" ht="13.5" x14ac:dyDescent="0.2">
      <c r="AE426" s="255">
        <v>5</v>
      </c>
      <c r="AF426" s="254" t="s">
        <v>49</v>
      </c>
      <c r="AG426" s="254">
        <f t="shared" si="54"/>
        <v>7</v>
      </c>
      <c r="AH426" s="254"/>
      <c r="AI426" s="253" t="s">
        <v>49</v>
      </c>
    </row>
    <row r="427" spans="31:35" ht="13.5" x14ac:dyDescent="0.2">
      <c r="AE427" s="255">
        <v>6</v>
      </c>
      <c r="AF427" s="254" t="s">
        <v>50</v>
      </c>
      <c r="AG427" s="254">
        <f t="shared" si="54"/>
        <v>8</v>
      </c>
      <c r="AH427" s="254"/>
      <c r="AI427" s="253" t="s">
        <v>50</v>
      </c>
    </row>
    <row r="428" spans="31:35" ht="13.5" x14ac:dyDescent="0.2">
      <c r="AE428" s="255">
        <v>7</v>
      </c>
      <c r="AF428" s="254" t="s">
        <v>51</v>
      </c>
      <c r="AG428" s="254">
        <f t="shared" si="54"/>
        <v>9</v>
      </c>
      <c r="AH428" s="254"/>
      <c r="AI428" s="253" t="s">
        <v>51</v>
      </c>
    </row>
    <row r="429" spans="31:35" ht="13.5" x14ac:dyDescent="0.2">
      <c r="AE429" s="255">
        <v>8</v>
      </c>
      <c r="AF429" s="254" t="s">
        <v>52</v>
      </c>
      <c r="AG429" s="254">
        <f t="shared" si="54"/>
        <v>10</v>
      </c>
      <c r="AH429" s="254"/>
      <c r="AI429" s="253" t="s">
        <v>52</v>
      </c>
    </row>
    <row r="430" spans="31:35" ht="13.5" x14ac:dyDescent="0.2">
      <c r="AE430" s="255">
        <v>9</v>
      </c>
      <c r="AF430" s="254" t="s">
        <v>53</v>
      </c>
      <c r="AG430" s="254">
        <f t="shared" si="54"/>
        <v>11</v>
      </c>
      <c r="AH430" s="254"/>
      <c r="AI430" s="253" t="s">
        <v>53</v>
      </c>
    </row>
    <row r="431" spans="31:35" ht="13.5" x14ac:dyDescent="0.2">
      <c r="AE431" s="255">
        <v>10</v>
      </c>
      <c r="AF431" s="254" t="s">
        <v>54</v>
      </c>
      <c r="AG431" s="254">
        <f t="shared" si="54"/>
        <v>12</v>
      </c>
      <c r="AH431" s="254"/>
      <c r="AI431" s="253" t="s">
        <v>54</v>
      </c>
    </row>
    <row r="432" spans="31:35" ht="13.5" x14ac:dyDescent="0.2">
      <c r="AE432" s="255">
        <v>11</v>
      </c>
      <c r="AF432" s="254" t="s">
        <v>55</v>
      </c>
      <c r="AG432" s="254">
        <f t="shared" si="54"/>
        <v>1</v>
      </c>
      <c r="AH432" s="254"/>
      <c r="AI432" s="253" t="s">
        <v>55</v>
      </c>
    </row>
    <row r="433" spans="31:35" ht="13.5" x14ac:dyDescent="0.2">
      <c r="AE433" s="255">
        <v>12</v>
      </c>
      <c r="AF433" s="254" t="s">
        <v>56</v>
      </c>
      <c r="AG433" s="254">
        <f t="shared" si="54"/>
        <v>2</v>
      </c>
      <c r="AH433" s="254"/>
      <c r="AI433" s="253" t="s">
        <v>56</v>
      </c>
    </row>
    <row r="434" spans="31:35" ht="13.5" x14ac:dyDescent="0.2">
      <c r="AE434" s="255"/>
      <c r="AF434" s="254"/>
      <c r="AG434" s="254"/>
      <c r="AH434" s="254"/>
      <c r="AI434" s="253"/>
    </row>
    <row r="435" spans="31:35" ht="13.5" x14ac:dyDescent="0.2">
      <c r="AE435" s="257">
        <f>IF(F50="Jan",24,MATCH("Jan",F50:F61,0)+11)</f>
        <v>22</v>
      </c>
      <c r="AF435" s="254">
        <f>AI438-AE435</f>
        <v>218</v>
      </c>
      <c r="AG435" s="254"/>
      <c r="AH435" s="254"/>
      <c r="AI435" s="253"/>
    </row>
    <row r="436" spans="31:35" ht="13.5" x14ac:dyDescent="0.2">
      <c r="AE436" s="255">
        <f t="shared" ref="AE436:AE464" si="55">MIN(AI$438,AE435+12)</f>
        <v>34</v>
      </c>
      <c r="AF436" s="254">
        <f>AI438-AE436</f>
        <v>206</v>
      </c>
      <c r="AG436" s="254"/>
      <c r="AH436" s="254"/>
      <c r="AI436" s="253"/>
    </row>
    <row r="437" spans="31:35" ht="13.5" x14ac:dyDescent="0.2">
      <c r="AE437" s="255">
        <f t="shared" si="55"/>
        <v>46</v>
      </c>
      <c r="AF437" s="254">
        <f>AI438-AE437</f>
        <v>194</v>
      </c>
      <c r="AG437" s="254"/>
      <c r="AH437" s="254"/>
      <c r="AI437" s="253"/>
    </row>
    <row r="438" spans="31:35" ht="13.5" x14ac:dyDescent="0.2">
      <c r="AE438" s="255">
        <f t="shared" si="55"/>
        <v>58</v>
      </c>
      <c r="AF438" s="254">
        <f>AI438-AE438</f>
        <v>182</v>
      </c>
      <c r="AG438" s="254"/>
      <c r="AH438" s="254" t="s">
        <v>57</v>
      </c>
      <c r="AI438" s="253">
        <f>H7*12</f>
        <v>240</v>
      </c>
    </row>
    <row r="439" spans="31:35" ht="13.5" x14ac:dyDescent="0.2">
      <c r="AE439" s="255">
        <f t="shared" si="55"/>
        <v>70</v>
      </c>
      <c r="AF439" s="254">
        <f>AI438-AE439</f>
        <v>170</v>
      </c>
      <c r="AG439" s="254"/>
      <c r="AH439" s="254" t="s">
        <v>58</v>
      </c>
      <c r="AI439" s="256">
        <f>H10</f>
        <v>2025</v>
      </c>
    </row>
    <row r="440" spans="31:35" ht="13.5" x14ac:dyDescent="0.2">
      <c r="AE440" s="255">
        <f t="shared" si="55"/>
        <v>82</v>
      </c>
      <c r="AF440" s="254">
        <f>AI438-AE440</f>
        <v>158</v>
      </c>
      <c r="AG440" s="254"/>
      <c r="AH440" s="254" t="s">
        <v>59</v>
      </c>
      <c r="AI440" s="253">
        <f>AI438/12</f>
        <v>20</v>
      </c>
    </row>
    <row r="441" spans="31:35" ht="13.5" x14ac:dyDescent="0.2">
      <c r="AE441" s="255">
        <f t="shared" si="55"/>
        <v>94</v>
      </c>
      <c r="AF441" s="254">
        <f>AI438-AE441</f>
        <v>146</v>
      </c>
      <c r="AG441" s="254"/>
      <c r="AH441" s="254" t="s">
        <v>60</v>
      </c>
      <c r="AI441" s="256">
        <f>IF(H10,AI440+AI439-IF(PROPER(LEFT(F50,3))="Jan",1,0),"")</f>
        <v>2045</v>
      </c>
    </row>
    <row r="442" spans="31:35" ht="13.5" x14ac:dyDescent="0.2">
      <c r="AE442" s="255">
        <f t="shared" si="55"/>
        <v>106</v>
      </c>
      <c r="AF442" s="254">
        <f>AI438-AE442</f>
        <v>134</v>
      </c>
      <c r="AG442" s="254"/>
      <c r="AH442" s="254" t="s">
        <v>61</v>
      </c>
      <c r="AI442" s="253">
        <f>AG433</f>
        <v>2</v>
      </c>
    </row>
    <row r="443" spans="31:35" ht="13.5" x14ac:dyDescent="0.2">
      <c r="AE443" s="255">
        <f t="shared" si="55"/>
        <v>118</v>
      </c>
      <c r="AF443" s="254">
        <f>AI438-AE443</f>
        <v>122</v>
      </c>
      <c r="AG443" s="254"/>
      <c r="AH443" s="254"/>
      <c r="AI443" s="253"/>
    </row>
    <row r="444" spans="31:35" ht="13.5" x14ac:dyDescent="0.2">
      <c r="AE444" s="255">
        <f t="shared" si="55"/>
        <v>130</v>
      </c>
      <c r="AF444" s="254">
        <f>AI438-AE444</f>
        <v>110</v>
      </c>
      <c r="AG444" s="254"/>
      <c r="AH444" s="254"/>
      <c r="AI444" s="253"/>
    </row>
    <row r="445" spans="31:35" ht="13.5" x14ac:dyDescent="0.2">
      <c r="AE445" s="255">
        <f t="shared" si="55"/>
        <v>142</v>
      </c>
      <c r="AF445" s="254">
        <f>AI438-AE445</f>
        <v>98</v>
      </c>
      <c r="AG445" s="254"/>
      <c r="AH445" s="254"/>
      <c r="AI445" s="253"/>
    </row>
    <row r="446" spans="31:35" ht="13.5" x14ac:dyDescent="0.2">
      <c r="AE446" s="255">
        <f t="shared" si="55"/>
        <v>154</v>
      </c>
      <c r="AF446" s="254">
        <f>AI438-AE446</f>
        <v>86</v>
      </c>
      <c r="AG446" s="254"/>
      <c r="AH446" s="254"/>
      <c r="AI446" s="253"/>
    </row>
    <row r="447" spans="31:35" ht="13.5" x14ac:dyDescent="0.2">
      <c r="AE447" s="255">
        <f t="shared" si="55"/>
        <v>166</v>
      </c>
      <c r="AF447" s="254">
        <f>AI438-AE447</f>
        <v>74</v>
      </c>
      <c r="AG447" s="254"/>
      <c r="AH447" s="254"/>
      <c r="AI447" s="253"/>
    </row>
    <row r="448" spans="31:35" ht="13.5" x14ac:dyDescent="0.2">
      <c r="AE448" s="255">
        <f t="shared" si="55"/>
        <v>178</v>
      </c>
      <c r="AF448" s="254">
        <f>AI438-AE448</f>
        <v>62</v>
      </c>
      <c r="AG448" s="254"/>
      <c r="AH448" s="254"/>
      <c r="AI448" s="253"/>
    </row>
    <row r="449" spans="31:35" ht="13.5" x14ac:dyDescent="0.2">
      <c r="AE449" s="255">
        <f t="shared" si="55"/>
        <v>190</v>
      </c>
      <c r="AF449" s="254">
        <f>AI438-AE449</f>
        <v>50</v>
      </c>
      <c r="AG449" s="254"/>
      <c r="AH449" s="254"/>
      <c r="AI449" s="253"/>
    </row>
    <row r="450" spans="31:35" ht="13.5" x14ac:dyDescent="0.2">
      <c r="AE450" s="255">
        <f t="shared" si="55"/>
        <v>202</v>
      </c>
      <c r="AF450" s="254">
        <f>AI438-AE450</f>
        <v>38</v>
      </c>
      <c r="AG450" s="254"/>
      <c r="AH450" s="254"/>
      <c r="AI450" s="253"/>
    </row>
    <row r="451" spans="31:35" ht="13.5" x14ac:dyDescent="0.2">
      <c r="AE451" s="255">
        <f t="shared" si="55"/>
        <v>214</v>
      </c>
      <c r="AF451" s="254">
        <f>AI438-AE451</f>
        <v>26</v>
      </c>
      <c r="AG451" s="254"/>
      <c r="AH451" s="254"/>
      <c r="AI451" s="253"/>
    </row>
    <row r="452" spans="31:35" ht="13.5" x14ac:dyDescent="0.2">
      <c r="AE452" s="255">
        <f t="shared" si="55"/>
        <v>226</v>
      </c>
      <c r="AF452" s="254">
        <f>AI438-AE452</f>
        <v>14</v>
      </c>
      <c r="AG452" s="254"/>
      <c r="AH452" s="254"/>
      <c r="AI452" s="253"/>
    </row>
    <row r="453" spans="31:35" ht="13.5" x14ac:dyDescent="0.2">
      <c r="AE453" s="255">
        <f t="shared" si="55"/>
        <v>238</v>
      </c>
      <c r="AF453" s="254">
        <f>AI438-AE453</f>
        <v>2</v>
      </c>
      <c r="AG453" s="254"/>
      <c r="AH453" s="254"/>
      <c r="AI453" s="253"/>
    </row>
    <row r="454" spans="31:35" ht="13.5" x14ac:dyDescent="0.2">
      <c r="AE454" s="255">
        <f t="shared" si="55"/>
        <v>240</v>
      </c>
      <c r="AF454" s="254">
        <f>AI438-AE454</f>
        <v>0</v>
      </c>
      <c r="AG454" s="254"/>
      <c r="AH454" s="254"/>
      <c r="AI454" s="253"/>
    </row>
    <row r="455" spans="31:35" ht="13.5" x14ac:dyDescent="0.2">
      <c r="AE455" s="255">
        <f t="shared" si="55"/>
        <v>240</v>
      </c>
      <c r="AF455" s="254">
        <f>AI438-AE455</f>
        <v>0</v>
      </c>
      <c r="AG455" s="254"/>
      <c r="AH455" s="254"/>
      <c r="AI455" s="253"/>
    </row>
    <row r="456" spans="31:35" ht="13.5" x14ac:dyDescent="0.2">
      <c r="AE456" s="255">
        <f t="shared" si="55"/>
        <v>240</v>
      </c>
      <c r="AF456" s="254">
        <f>AI438-AE456</f>
        <v>0</v>
      </c>
      <c r="AG456" s="254"/>
      <c r="AH456" s="254"/>
      <c r="AI456" s="253"/>
    </row>
    <row r="457" spans="31:35" ht="13.5" x14ac:dyDescent="0.2">
      <c r="AE457" s="255">
        <f t="shared" si="55"/>
        <v>240</v>
      </c>
      <c r="AF457" s="254">
        <f>AI438-AE457</f>
        <v>0</v>
      </c>
      <c r="AG457" s="254"/>
      <c r="AH457" s="254"/>
      <c r="AI457" s="253"/>
    </row>
    <row r="458" spans="31:35" ht="13.5" x14ac:dyDescent="0.2">
      <c r="AE458" s="255">
        <f t="shared" si="55"/>
        <v>240</v>
      </c>
      <c r="AF458" s="254">
        <f>AI438-AE458</f>
        <v>0</v>
      </c>
      <c r="AG458" s="254"/>
      <c r="AH458" s="254"/>
      <c r="AI458" s="253"/>
    </row>
    <row r="459" spans="31:35" ht="13.5" x14ac:dyDescent="0.2">
      <c r="AE459" s="255">
        <f t="shared" si="55"/>
        <v>240</v>
      </c>
      <c r="AF459" s="254">
        <f>AI438-AE459</f>
        <v>0</v>
      </c>
      <c r="AG459" s="254"/>
      <c r="AH459" s="254"/>
      <c r="AI459" s="253"/>
    </row>
    <row r="460" spans="31:35" ht="13.5" x14ac:dyDescent="0.2">
      <c r="AE460" s="255">
        <f t="shared" si="55"/>
        <v>240</v>
      </c>
      <c r="AF460" s="254">
        <f>AI438-AE460</f>
        <v>0</v>
      </c>
      <c r="AG460" s="254"/>
      <c r="AH460" s="254"/>
      <c r="AI460" s="253"/>
    </row>
    <row r="461" spans="31:35" ht="13.5" x14ac:dyDescent="0.2">
      <c r="AE461" s="255">
        <f t="shared" si="55"/>
        <v>240</v>
      </c>
      <c r="AF461" s="254">
        <f>AI438-AE461</f>
        <v>0</v>
      </c>
      <c r="AG461" s="254"/>
      <c r="AH461" s="254"/>
      <c r="AI461" s="253"/>
    </row>
    <row r="462" spans="31:35" ht="13.5" x14ac:dyDescent="0.2">
      <c r="AE462" s="255">
        <f t="shared" si="55"/>
        <v>240</v>
      </c>
      <c r="AF462" s="254">
        <f>AI438-AE462</f>
        <v>0</v>
      </c>
      <c r="AG462" s="254"/>
      <c r="AH462" s="254"/>
      <c r="AI462" s="253"/>
    </row>
    <row r="463" spans="31:35" ht="13.5" x14ac:dyDescent="0.2">
      <c r="AE463" s="255">
        <f t="shared" si="55"/>
        <v>240</v>
      </c>
      <c r="AF463" s="254">
        <f>AI438-AE463</f>
        <v>0</v>
      </c>
      <c r="AG463" s="254"/>
      <c r="AH463" s="254"/>
      <c r="AI463" s="253"/>
    </row>
    <row r="464" spans="31:35" ht="14.25" thickBot="1" x14ac:dyDescent="0.25">
      <c r="AE464" s="252">
        <f t="shared" si="55"/>
        <v>240</v>
      </c>
      <c r="AF464" s="251">
        <f>AI438-AE464</f>
        <v>0</v>
      </c>
      <c r="AG464" s="251"/>
      <c r="AH464" s="251"/>
      <c r="AI464" s="250"/>
    </row>
    <row r="465" spans="7:9" ht="13.5" thickTop="1" x14ac:dyDescent="0.2"/>
    <row r="480" spans="7:9" ht="13.5" x14ac:dyDescent="0.25">
      <c r="G480" s="377">
        <f>'Operating Assumptions'!$D$37</f>
        <v>2026</v>
      </c>
      <c r="H480" s="376">
        <v>0</v>
      </c>
      <c r="I480" s="375">
        <f>'Operating Assumptions'!$C$40</f>
        <v>11</v>
      </c>
    </row>
    <row r="481" spans="7:9" ht="13.5" x14ac:dyDescent="0.25">
      <c r="G481" s="126">
        <f t="shared" ref="G481:G529" si="56">G480+1</f>
        <v>2027</v>
      </c>
      <c r="H481" s="117">
        <f t="shared" ref="H481:H529" si="57">I480+1</f>
        <v>12</v>
      </c>
      <c r="I481" s="374">
        <f t="shared" ref="I481:I529" si="58">H481+11</f>
        <v>23</v>
      </c>
    </row>
    <row r="482" spans="7:9" ht="13.5" x14ac:dyDescent="0.25">
      <c r="G482" s="126">
        <f t="shared" si="56"/>
        <v>2028</v>
      </c>
      <c r="H482" s="117">
        <f t="shared" si="57"/>
        <v>24</v>
      </c>
      <c r="I482" s="374">
        <f t="shared" si="58"/>
        <v>35</v>
      </c>
    </row>
    <row r="483" spans="7:9" ht="13.5" x14ac:dyDescent="0.25">
      <c r="G483" s="126">
        <f t="shared" si="56"/>
        <v>2029</v>
      </c>
      <c r="H483" s="117">
        <f t="shared" si="57"/>
        <v>36</v>
      </c>
      <c r="I483" s="371">
        <f t="shared" si="58"/>
        <v>47</v>
      </c>
    </row>
    <row r="484" spans="7:9" ht="13.5" x14ac:dyDescent="0.25">
      <c r="G484" s="126">
        <f t="shared" si="56"/>
        <v>2030</v>
      </c>
      <c r="H484" s="372">
        <f t="shared" si="57"/>
        <v>48</v>
      </c>
      <c r="I484" s="371">
        <f t="shared" si="58"/>
        <v>59</v>
      </c>
    </row>
    <row r="485" spans="7:9" ht="13.5" x14ac:dyDescent="0.25">
      <c r="G485" s="126">
        <f t="shared" si="56"/>
        <v>2031</v>
      </c>
      <c r="H485" s="372">
        <f t="shared" si="57"/>
        <v>60</v>
      </c>
      <c r="I485" s="371">
        <f t="shared" si="58"/>
        <v>71</v>
      </c>
    </row>
    <row r="486" spans="7:9" ht="13.5" x14ac:dyDescent="0.25">
      <c r="G486" s="126">
        <f t="shared" si="56"/>
        <v>2032</v>
      </c>
      <c r="H486" s="372">
        <f t="shared" si="57"/>
        <v>72</v>
      </c>
      <c r="I486" s="371">
        <f t="shared" si="58"/>
        <v>83</v>
      </c>
    </row>
    <row r="487" spans="7:9" ht="13.5" x14ac:dyDescent="0.25">
      <c r="G487" s="126">
        <f t="shared" si="56"/>
        <v>2033</v>
      </c>
      <c r="H487" s="372">
        <f t="shared" si="57"/>
        <v>84</v>
      </c>
      <c r="I487" s="371">
        <f t="shared" si="58"/>
        <v>95</v>
      </c>
    </row>
    <row r="488" spans="7:9" ht="13.5" x14ac:dyDescent="0.25">
      <c r="G488" s="126">
        <f t="shared" si="56"/>
        <v>2034</v>
      </c>
      <c r="H488" s="372">
        <f t="shared" si="57"/>
        <v>96</v>
      </c>
      <c r="I488" s="371">
        <f t="shared" si="58"/>
        <v>107</v>
      </c>
    </row>
    <row r="489" spans="7:9" ht="13.5" x14ac:dyDescent="0.25">
      <c r="G489" s="126">
        <f t="shared" si="56"/>
        <v>2035</v>
      </c>
      <c r="H489" s="372">
        <f t="shared" si="57"/>
        <v>108</v>
      </c>
      <c r="I489" s="371">
        <f t="shared" si="58"/>
        <v>119</v>
      </c>
    </row>
    <row r="490" spans="7:9" ht="13.5" x14ac:dyDescent="0.25">
      <c r="G490" s="126">
        <f t="shared" si="56"/>
        <v>2036</v>
      </c>
      <c r="H490" s="372">
        <f t="shared" si="57"/>
        <v>120</v>
      </c>
      <c r="I490" s="371">
        <f t="shared" si="58"/>
        <v>131</v>
      </c>
    </row>
    <row r="491" spans="7:9" ht="13.5" x14ac:dyDescent="0.25">
      <c r="G491" s="126">
        <f t="shared" si="56"/>
        <v>2037</v>
      </c>
      <c r="H491" s="372">
        <f t="shared" si="57"/>
        <v>132</v>
      </c>
      <c r="I491" s="371">
        <f t="shared" si="58"/>
        <v>143</v>
      </c>
    </row>
    <row r="492" spans="7:9" ht="13.5" x14ac:dyDescent="0.25">
      <c r="G492" s="126">
        <f t="shared" si="56"/>
        <v>2038</v>
      </c>
      <c r="H492" s="372">
        <f t="shared" si="57"/>
        <v>144</v>
      </c>
      <c r="I492" s="371">
        <f t="shared" si="58"/>
        <v>155</v>
      </c>
    </row>
    <row r="493" spans="7:9" ht="13.5" x14ac:dyDescent="0.25">
      <c r="G493" s="126">
        <f t="shared" si="56"/>
        <v>2039</v>
      </c>
      <c r="H493" s="372">
        <f t="shared" si="57"/>
        <v>156</v>
      </c>
      <c r="I493" s="371">
        <f t="shared" si="58"/>
        <v>167</v>
      </c>
    </row>
    <row r="494" spans="7:9" ht="13.5" x14ac:dyDescent="0.25">
      <c r="G494" s="373">
        <f t="shared" si="56"/>
        <v>2040</v>
      </c>
      <c r="H494" s="372">
        <f t="shared" si="57"/>
        <v>168</v>
      </c>
      <c r="I494" s="371">
        <f t="shared" si="58"/>
        <v>179</v>
      </c>
    </row>
    <row r="495" spans="7:9" ht="13.5" x14ac:dyDescent="0.25">
      <c r="G495" s="373">
        <f t="shared" si="56"/>
        <v>2041</v>
      </c>
      <c r="H495" s="372">
        <f t="shared" si="57"/>
        <v>180</v>
      </c>
      <c r="I495" s="371">
        <f t="shared" si="58"/>
        <v>191</v>
      </c>
    </row>
    <row r="496" spans="7:9" ht="13.5" x14ac:dyDescent="0.25">
      <c r="G496" s="373">
        <f t="shared" si="56"/>
        <v>2042</v>
      </c>
      <c r="H496" s="372">
        <f t="shared" si="57"/>
        <v>192</v>
      </c>
      <c r="I496" s="371">
        <f t="shared" si="58"/>
        <v>203</v>
      </c>
    </row>
    <row r="497" spans="7:9" ht="13.5" x14ac:dyDescent="0.25">
      <c r="G497" s="373">
        <f t="shared" si="56"/>
        <v>2043</v>
      </c>
      <c r="H497" s="372">
        <f t="shared" si="57"/>
        <v>204</v>
      </c>
      <c r="I497" s="371">
        <f t="shared" si="58"/>
        <v>215</v>
      </c>
    </row>
    <row r="498" spans="7:9" ht="13.5" x14ac:dyDescent="0.25">
      <c r="G498" s="373">
        <f t="shared" si="56"/>
        <v>2044</v>
      </c>
      <c r="H498" s="372">
        <f t="shared" si="57"/>
        <v>216</v>
      </c>
      <c r="I498" s="371">
        <f t="shared" si="58"/>
        <v>227</v>
      </c>
    </row>
    <row r="499" spans="7:9" ht="13.5" x14ac:dyDescent="0.25">
      <c r="G499" s="373">
        <f t="shared" si="56"/>
        <v>2045</v>
      </c>
      <c r="H499" s="372">
        <f t="shared" si="57"/>
        <v>228</v>
      </c>
      <c r="I499" s="371">
        <f t="shared" si="58"/>
        <v>239</v>
      </c>
    </row>
    <row r="500" spans="7:9" ht="13.5" x14ac:dyDescent="0.25">
      <c r="G500" s="373">
        <f t="shared" si="56"/>
        <v>2046</v>
      </c>
      <c r="H500" s="372">
        <f t="shared" si="57"/>
        <v>240</v>
      </c>
      <c r="I500" s="371">
        <f t="shared" si="58"/>
        <v>251</v>
      </c>
    </row>
    <row r="501" spans="7:9" ht="13.5" x14ac:dyDescent="0.25">
      <c r="G501" s="373">
        <f t="shared" si="56"/>
        <v>2047</v>
      </c>
      <c r="H501" s="372">
        <f t="shared" si="57"/>
        <v>252</v>
      </c>
      <c r="I501" s="371">
        <f t="shared" si="58"/>
        <v>263</v>
      </c>
    </row>
    <row r="502" spans="7:9" ht="13.5" x14ac:dyDescent="0.25">
      <c r="G502" s="373">
        <f t="shared" si="56"/>
        <v>2048</v>
      </c>
      <c r="H502" s="372">
        <f t="shared" si="57"/>
        <v>264</v>
      </c>
      <c r="I502" s="371">
        <f t="shared" si="58"/>
        <v>275</v>
      </c>
    </row>
    <row r="503" spans="7:9" ht="13.5" x14ac:dyDescent="0.25">
      <c r="G503" s="373">
        <f t="shared" si="56"/>
        <v>2049</v>
      </c>
      <c r="H503" s="372">
        <f t="shared" si="57"/>
        <v>276</v>
      </c>
      <c r="I503" s="371">
        <f t="shared" si="58"/>
        <v>287</v>
      </c>
    </row>
    <row r="504" spans="7:9" ht="13.5" x14ac:dyDescent="0.25">
      <c r="G504" s="373">
        <f t="shared" si="56"/>
        <v>2050</v>
      </c>
      <c r="H504" s="372">
        <f t="shared" si="57"/>
        <v>288</v>
      </c>
      <c r="I504" s="371">
        <f t="shared" si="58"/>
        <v>299</v>
      </c>
    </row>
    <row r="505" spans="7:9" ht="13.5" x14ac:dyDescent="0.25">
      <c r="G505" s="373">
        <f t="shared" si="56"/>
        <v>2051</v>
      </c>
      <c r="H505" s="372">
        <f t="shared" si="57"/>
        <v>300</v>
      </c>
      <c r="I505" s="371">
        <f t="shared" si="58"/>
        <v>311</v>
      </c>
    </row>
    <row r="506" spans="7:9" ht="13.5" x14ac:dyDescent="0.25">
      <c r="G506" s="373">
        <f t="shared" si="56"/>
        <v>2052</v>
      </c>
      <c r="H506" s="372">
        <f t="shared" si="57"/>
        <v>312</v>
      </c>
      <c r="I506" s="371">
        <f t="shared" si="58"/>
        <v>323</v>
      </c>
    </row>
    <row r="507" spans="7:9" ht="13.5" x14ac:dyDescent="0.25">
      <c r="G507" s="373">
        <f t="shared" si="56"/>
        <v>2053</v>
      </c>
      <c r="H507" s="372">
        <f t="shared" si="57"/>
        <v>324</v>
      </c>
      <c r="I507" s="371">
        <f t="shared" si="58"/>
        <v>335</v>
      </c>
    </row>
    <row r="508" spans="7:9" ht="13.5" x14ac:dyDescent="0.25">
      <c r="G508" s="373">
        <f t="shared" si="56"/>
        <v>2054</v>
      </c>
      <c r="H508" s="372">
        <f t="shared" si="57"/>
        <v>336</v>
      </c>
      <c r="I508" s="371">
        <f t="shared" si="58"/>
        <v>347</v>
      </c>
    </row>
    <row r="509" spans="7:9" ht="13.5" x14ac:dyDescent="0.25">
      <c r="G509" s="373">
        <f t="shared" si="56"/>
        <v>2055</v>
      </c>
      <c r="H509" s="372">
        <f t="shared" si="57"/>
        <v>348</v>
      </c>
      <c r="I509" s="371">
        <f t="shared" si="58"/>
        <v>359</v>
      </c>
    </row>
    <row r="510" spans="7:9" ht="13.5" x14ac:dyDescent="0.25">
      <c r="G510" s="373">
        <f t="shared" si="56"/>
        <v>2056</v>
      </c>
      <c r="H510" s="372">
        <f t="shared" si="57"/>
        <v>360</v>
      </c>
      <c r="I510" s="371">
        <f t="shared" si="58"/>
        <v>371</v>
      </c>
    </row>
    <row r="511" spans="7:9" ht="13.5" x14ac:dyDescent="0.25">
      <c r="G511" s="373">
        <f t="shared" si="56"/>
        <v>2057</v>
      </c>
      <c r="H511" s="372">
        <f t="shared" si="57"/>
        <v>372</v>
      </c>
      <c r="I511" s="371">
        <f t="shared" si="58"/>
        <v>383</v>
      </c>
    </row>
    <row r="512" spans="7:9" ht="13.5" x14ac:dyDescent="0.25">
      <c r="G512" s="373">
        <f t="shared" si="56"/>
        <v>2058</v>
      </c>
      <c r="H512" s="372">
        <f t="shared" si="57"/>
        <v>384</v>
      </c>
      <c r="I512" s="371">
        <f t="shared" si="58"/>
        <v>395</v>
      </c>
    </row>
    <row r="513" spans="7:9" ht="13.5" x14ac:dyDescent="0.25">
      <c r="G513" s="373">
        <f t="shared" si="56"/>
        <v>2059</v>
      </c>
      <c r="H513" s="372">
        <f t="shared" si="57"/>
        <v>396</v>
      </c>
      <c r="I513" s="371">
        <f t="shared" si="58"/>
        <v>407</v>
      </c>
    </row>
    <row r="514" spans="7:9" ht="13.5" x14ac:dyDescent="0.25">
      <c r="G514" s="373">
        <f t="shared" si="56"/>
        <v>2060</v>
      </c>
      <c r="H514" s="372">
        <f t="shared" si="57"/>
        <v>408</v>
      </c>
      <c r="I514" s="371">
        <f t="shared" si="58"/>
        <v>419</v>
      </c>
    </row>
    <row r="515" spans="7:9" ht="13.5" x14ac:dyDescent="0.25">
      <c r="G515" s="373">
        <f t="shared" si="56"/>
        <v>2061</v>
      </c>
      <c r="H515" s="372">
        <f t="shared" si="57"/>
        <v>420</v>
      </c>
      <c r="I515" s="371">
        <f t="shared" si="58"/>
        <v>431</v>
      </c>
    </row>
    <row r="516" spans="7:9" ht="13.5" x14ac:dyDescent="0.25">
      <c r="G516" s="373">
        <f t="shared" si="56"/>
        <v>2062</v>
      </c>
      <c r="H516" s="372">
        <f t="shared" si="57"/>
        <v>432</v>
      </c>
      <c r="I516" s="371">
        <f t="shared" si="58"/>
        <v>443</v>
      </c>
    </row>
    <row r="517" spans="7:9" ht="13.5" x14ac:dyDescent="0.25">
      <c r="G517" s="373">
        <f t="shared" si="56"/>
        <v>2063</v>
      </c>
      <c r="H517" s="372">
        <f t="shared" si="57"/>
        <v>444</v>
      </c>
      <c r="I517" s="371">
        <f t="shared" si="58"/>
        <v>455</v>
      </c>
    </row>
    <row r="518" spans="7:9" ht="13.5" x14ac:dyDescent="0.25">
      <c r="G518" s="373">
        <f t="shared" si="56"/>
        <v>2064</v>
      </c>
      <c r="H518" s="372">
        <f t="shared" si="57"/>
        <v>456</v>
      </c>
      <c r="I518" s="371">
        <f t="shared" si="58"/>
        <v>467</v>
      </c>
    </row>
    <row r="519" spans="7:9" ht="13.5" x14ac:dyDescent="0.25">
      <c r="G519" s="370">
        <f t="shared" si="56"/>
        <v>2065</v>
      </c>
      <c r="H519" s="369">
        <f t="shared" si="57"/>
        <v>468</v>
      </c>
      <c r="I519" s="368">
        <f t="shared" si="58"/>
        <v>479</v>
      </c>
    </row>
    <row r="520" spans="7:9" ht="13.5" x14ac:dyDescent="0.25">
      <c r="G520" s="373">
        <f t="shared" si="56"/>
        <v>2066</v>
      </c>
      <c r="H520" s="372">
        <f t="shared" si="57"/>
        <v>480</v>
      </c>
      <c r="I520" s="371">
        <f t="shared" si="58"/>
        <v>491</v>
      </c>
    </row>
    <row r="521" spans="7:9" ht="13.5" x14ac:dyDescent="0.25">
      <c r="G521" s="373">
        <f t="shared" si="56"/>
        <v>2067</v>
      </c>
      <c r="H521" s="372">
        <f t="shared" si="57"/>
        <v>492</v>
      </c>
      <c r="I521" s="371">
        <f t="shared" si="58"/>
        <v>503</v>
      </c>
    </row>
    <row r="522" spans="7:9" ht="13.5" x14ac:dyDescent="0.25">
      <c r="G522" s="373">
        <f t="shared" si="56"/>
        <v>2068</v>
      </c>
      <c r="H522" s="372">
        <f t="shared" si="57"/>
        <v>504</v>
      </c>
      <c r="I522" s="371">
        <f t="shared" si="58"/>
        <v>515</v>
      </c>
    </row>
    <row r="523" spans="7:9" ht="13.5" x14ac:dyDescent="0.25">
      <c r="G523" s="373">
        <f t="shared" si="56"/>
        <v>2069</v>
      </c>
      <c r="H523" s="372">
        <f t="shared" si="57"/>
        <v>516</v>
      </c>
      <c r="I523" s="371">
        <f t="shared" si="58"/>
        <v>527</v>
      </c>
    </row>
    <row r="524" spans="7:9" ht="13.5" x14ac:dyDescent="0.25">
      <c r="G524" s="373">
        <f t="shared" si="56"/>
        <v>2070</v>
      </c>
      <c r="H524" s="372">
        <f t="shared" si="57"/>
        <v>528</v>
      </c>
      <c r="I524" s="371">
        <f t="shared" si="58"/>
        <v>539</v>
      </c>
    </row>
    <row r="525" spans="7:9" ht="13.5" x14ac:dyDescent="0.25">
      <c r="G525" s="373">
        <f t="shared" si="56"/>
        <v>2071</v>
      </c>
      <c r="H525" s="372">
        <f t="shared" si="57"/>
        <v>540</v>
      </c>
      <c r="I525" s="371">
        <f t="shared" si="58"/>
        <v>551</v>
      </c>
    </row>
    <row r="526" spans="7:9" ht="13.5" x14ac:dyDescent="0.25">
      <c r="G526" s="373">
        <f t="shared" si="56"/>
        <v>2072</v>
      </c>
      <c r="H526" s="372">
        <f t="shared" si="57"/>
        <v>552</v>
      </c>
      <c r="I526" s="371">
        <f t="shared" si="58"/>
        <v>563</v>
      </c>
    </row>
    <row r="527" spans="7:9" ht="13.5" x14ac:dyDescent="0.25">
      <c r="G527" s="373">
        <f t="shared" si="56"/>
        <v>2073</v>
      </c>
      <c r="H527" s="372">
        <f t="shared" si="57"/>
        <v>564</v>
      </c>
      <c r="I527" s="371">
        <f t="shared" si="58"/>
        <v>575</v>
      </c>
    </row>
    <row r="528" spans="7:9" ht="13.5" x14ac:dyDescent="0.25">
      <c r="G528" s="373">
        <f t="shared" si="56"/>
        <v>2074</v>
      </c>
      <c r="H528" s="372">
        <f t="shared" si="57"/>
        <v>576</v>
      </c>
      <c r="I528" s="371">
        <f t="shared" si="58"/>
        <v>587</v>
      </c>
    </row>
    <row r="529" spans="7:9" ht="13.5" x14ac:dyDescent="0.25">
      <c r="G529" s="370">
        <f t="shared" si="56"/>
        <v>2075</v>
      </c>
      <c r="H529" s="369">
        <f t="shared" si="57"/>
        <v>588</v>
      </c>
      <c r="I529" s="368">
        <f t="shared" si="58"/>
        <v>599</v>
      </c>
    </row>
  </sheetData>
  <mergeCells count="1">
    <mergeCell ref="E49:F49"/>
  </mergeCells>
  <conditionalFormatting sqref="E41">
    <cfRule type="expression" dxfId="17" priority="9">
      <formula>IF($E$40=$H$7,"TRUE","FALSE")</formula>
    </cfRule>
  </conditionalFormatting>
  <conditionalFormatting sqref="F36">
    <cfRule type="expression" dxfId="16" priority="1">
      <formula>IF($E$35=$H$7,"TRUE","FALSE")</formula>
    </cfRule>
  </conditionalFormatting>
  <conditionalFormatting sqref="F41">
    <cfRule type="expression" dxfId="15" priority="18">
      <formula>IF($E$40=$H$7,"TRUE","FALSE")</formula>
    </cfRule>
  </conditionalFormatting>
  <conditionalFormatting sqref="F42:F44">
    <cfRule type="expression" dxfId="14" priority="17">
      <formula>IF($E$40=$H$7,"TRUE","FALSE")</formula>
    </cfRule>
  </conditionalFormatting>
  <conditionalFormatting sqref="F45">
    <cfRule type="expression" dxfId="13" priority="16">
      <formula>IF($E$40=$H$7,"TRUE","FALSE")</formula>
    </cfRule>
  </conditionalFormatting>
  <conditionalFormatting sqref="G36:L36">
    <cfRule type="expression" dxfId="12" priority="6">
      <formula>IF($E$35=$H$7,"TRUE","FALSE")</formula>
    </cfRule>
  </conditionalFormatting>
  <conditionalFormatting sqref="G37:L44">
    <cfRule type="expression" dxfId="11" priority="7">
      <formula>IF($E$35=$H$7,"TRUE","FALSE")</formula>
    </cfRule>
  </conditionalFormatting>
  <conditionalFormatting sqref="G41:L41">
    <cfRule type="expression" dxfId="10" priority="15">
      <formula>IF($E$40=$H$7,"TRUE","FALSE")</formula>
    </cfRule>
  </conditionalFormatting>
  <conditionalFormatting sqref="G42:L44">
    <cfRule type="expression" dxfId="9" priority="13">
      <formula>IF($E$40=$H$7,"TRUE","FALSE")</formula>
    </cfRule>
  </conditionalFormatting>
  <conditionalFormatting sqref="G45:L45">
    <cfRule type="expression" dxfId="8" priority="2">
      <formula>IF($E$35=$H$7,"TRUE","FALSE")</formula>
    </cfRule>
    <cfRule type="expression" dxfId="7" priority="11">
      <formula>IF($E$40=$H$7,"TRUE","FALSE")</formula>
    </cfRule>
  </conditionalFormatting>
  <conditionalFormatting sqref="M36">
    <cfRule type="expression" dxfId="5" priority="5">
      <formula>IF($E$35=$H$7,"TRUE","FALSE")</formula>
    </cfRule>
  </conditionalFormatting>
  <conditionalFormatting sqref="M37:M44">
    <cfRule type="expression" dxfId="4" priority="4">
      <formula>IF($E$35=$H$7,"TRUE","FALSE")</formula>
    </cfRule>
  </conditionalFormatting>
  <conditionalFormatting sqref="M41">
    <cfRule type="expression" dxfId="3" priority="14">
      <formula>IF($E$40=$H$7,"TRUE","FALSE")</formula>
    </cfRule>
  </conditionalFormatting>
  <conditionalFormatting sqref="M42:M44">
    <cfRule type="expression" dxfId="2" priority="12">
      <formula>IF($E$40=$H$7,"TRUE","FALSE")</formula>
    </cfRule>
  </conditionalFormatting>
  <conditionalFormatting sqref="M45">
    <cfRule type="expression" dxfId="1" priority="3">
      <formula>IF($E$35=$H$7,"TRUE","FALSE")</formula>
    </cfRule>
    <cfRule type="expression" dxfId="0" priority="10">
      <formula>IF($E$40=$H$7,"TRUE","FALSE")</formula>
    </cfRule>
  </conditionalFormatting>
  <dataValidations count="1">
    <dataValidation type="list" allowBlank="1" showInputMessage="1" showErrorMessage="1" sqref="F6" xr:uid="{703E46C0-5BE2-44C0-83BA-898C51EE92A3}">
      <formula1>"Base Rate,Actual/360 Rate,Actual/365 Rate"</formula1>
    </dataValidation>
  </dataValidations>
  <printOptions horizontalCentered="1"/>
  <pageMargins left="0.65" right="0.65" top="0.65" bottom="0.65" header="0.5" footer="0.5"/>
  <pageSetup scale="63" orientation="portrait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50" id="{BB906093-AB80-4D91-8263-252461E609E3}">
            <xm:f>IF($C52='Operating Assumptions'!$C$48,"TRUE","FALSE")</xm:f>
            <x14:dxf>
              <border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G52:M52 G53:G86 J53:M86 H53:I411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C8D10-0111-4183-941A-798DFAAB937E}">
  <sheetPr>
    <pageSetUpPr fitToPage="1"/>
  </sheetPr>
  <dimension ref="A2:CJ54"/>
  <sheetViews>
    <sheetView topLeftCell="A4" workbookViewId="0">
      <selection activeCell="W12" sqref="W12"/>
    </sheetView>
  </sheetViews>
  <sheetFormatPr defaultRowHeight="15" outlineLevelRow="1" outlineLevelCol="2" x14ac:dyDescent="0.25"/>
  <cols>
    <col min="1" max="1" width="5.140625" style="32" customWidth="1"/>
    <col min="2" max="2" width="17.42578125" style="32" customWidth="1"/>
    <col min="3" max="4" width="11.7109375" style="32" customWidth="1"/>
    <col min="5" max="5" width="12.140625" style="32" customWidth="1"/>
    <col min="6" max="6" width="13.28515625" style="32" customWidth="1"/>
    <col min="7" max="7" width="11.28515625" style="847" customWidth="1"/>
    <col min="8" max="8" width="11.7109375" style="847" customWidth="1"/>
    <col min="9" max="11" width="11.7109375" style="847" hidden="1" customWidth="1" outlineLevel="1"/>
    <col min="12" max="16" width="11.7109375" style="847" hidden="1" customWidth="1" outlineLevel="2"/>
    <col min="17" max="17" width="12.28515625" style="847" customWidth="1" collapsed="1"/>
    <col min="18" max="18" width="12.85546875" style="847" customWidth="1"/>
    <col min="19" max="19" width="0.28515625" style="32" customWidth="1"/>
    <col min="20" max="20" width="11.42578125" style="848" customWidth="1"/>
    <col min="21" max="23" width="11.42578125" style="32" customWidth="1" outlineLevel="1"/>
    <col min="24" max="24" width="15.7109375" style="32" customWidth="1"/>
    <col min="25" max="26" width="9.140625" style="32"/>
    <col min="27" max="27" width="9.140625" style="2"/>
    <col min="28" max="28" width="15.5703125" style="2" bestFit="1" customWidth="1"/>
    <col min="29" max="29" width="16.28515625" style="2" bestFit="1" customWidth="1"/>
    <col min="30" max="30" width="12" style="2" bestFit="1" customWidth="1"/>
    <col min="31" max="31" width="16.42578125" style="2" bestFit="1" customWidth="1"/>
    <col min="32" max="32" width="21.85546875" style="2" bestFit="1" customWidth="1"/>
    <col min="33" max="33" width="17.85546875" style="2" bestFit="1" customWidth="1"/>
    <col min="34" max="34" width="18.85546875" style="2" bestFit="1" customWidth="1"/>
    <col min="35" max="35" width="21.42578125" style="2" bestFit="1" customWidth="1"/>
    <col min="36" max="36" width="20" style="2" bestFit="1" customWidth="1"/>
    <col min="37" max="37" width="21.140625" style="2" bestFit="1" customWidth="1"/>
    <col min="38" max="38" width="16.42578125" style="2" bestFit="1" customWidth="1"/>
    <col min="39" max="39" width="21.5703125" style="2" bestFit="1" customWidth="1"/>
    <col min="40" max="40" width="26.85546875" style="2" bestFit="1" customWidth="1"/>
    <col min="41" max="41" width="22.85546875" style="2" bestFit="1" customWidth="1"/>
    <col min="42" max="42" width="23.85546875" style="2" bestFit="1" customWidth="1"/>
    <col min="43" max="43" width="26.42578125" style="2" bestFit="1" customWidth="1"/>
    <col min="44" max="44" width="25" style="2" bestFit="1" customWidth="1"/>
    <col min="45" max="45" width="21.140625" style="2" bestFit="1" customWidth="1"/>
    <col min="46" max="46" width="16.42578125" style="2" bestFit="1" customWidth="1"/>
    <col min="47" max="47" width="21.5703125" style="2" bestFit="1" customWidth="1"/>
    <col min="48" max="48" width="26.85546875" style="2" bestFit="1" customWidth="1"/>
    <col min="49" max="49" width="22.85546875" style="2" bestFit="1" customWidth="1"/>
    <col min="50" max="50" width="23.85546875" style="2" bestFit="1" customWidth="1"/>
    <col min="51" max="51" width="26.42578125" style="2" bestFit="1" customWidth="1"/>
    <col min="52" max="52" width="25" style="2" bestFit="1" customWidth="1"/>
    <col min="53" max="53" width="20.140625" style="2" bestFit="1" customWidth="1"/>
    <col min="54" max="54" width="22.42578125" style="2" bestFit="1" customWidth="1"/>
    <col min="55" max="55" width="20.28515625" style="2" bestFit="1" customWidth="1"/>
    <col min="56" max="56" width="21.42578125" style="2" bestFit="1" customWidth="1"/>
    <col min="57" max="57" width="20.28515625" style="2" bestFit="1" customWidth="1"/>
    <col min="58" max="59" width="21.42578125" style="2" bestFit="1" customWidth="1"/>
    <col min="60" max="60" width="20" style="2" bestFit="1" customWidth="1"/>
    <col min="61" max="61" width="21.140625" style="2" bestFit="1" customWidth="1"/>
    <col min="62" max="62" width="16.42578125" style="2" bestFit="1" customWidth="1"/>
    <col min="63" max="63" width="21.5703125" style="2" bestFit="1" customWidth="1"/>
    <col min="64" max="64" width="26.85546875" style="2" bestFit="1" customWidth="1"/>
    <col min="65" max="65" width="22.85546875" style="2" bestFit="1" customWidth="1"/>
    <col min="66" max="66" width="23.85546875" style="2" bestFit="1" customWidth="1"/>
    <col min="67" max="67" width="18.85546875" style="2" bestFit="1" customWidth="1"/>
    <col min="68" max="68" width="24.5703125" style="2" bestFit="1" customWidth="1"/>
    <col min="69" max="69" width="25.140625" style="2" bestFit="1" customWidth="1"/>
    <col min="70" max="70" width="27.42578125" style="2" bestFit="1" customWidth="1"/>
    <col min="71" max="71" width="25.28515625" style="2" bestFit="1" customWidth="1"/>
    <col min="72" max="72" width="26.42578125" style="2" bestFit="1" customWidth="1"/>
    <col min="73" max="73" width="25.28515625" style="2" bestFit="1" customWidth="1"/>
    <col min="74" max="75" width="26.42578125" style="2" bestFit="1" customWidth="1"/>
    <col min="76" max="76" width="25" style="2" bestFit="1" customWidth="1"/>
    <col min="77" max="77" width="21.140625" style="2" bestFit="1" customWidth="1"/>
    <col min="78" max="78" width="14.5703125" style="2" bestFit="1" customWidth="1"/>
    <col min="79" max="79" width="23.28515625" style="2" bestFit="1" customWidth="1"/>
    <col min="80" max="80" width="26.85546875" style="2" bestFit="1" customWidth="1"/>
    <col min="81" max="81" width="22.85546875" style="2" bestFit="1" customWidth="1"/>
    <col min="82" max="82" width="23.85546875" style="2" bestFit="1" customWidth="1"/>
    <col min="83" max="83" width="18.85546875" style="2" bestFit="1" customWidth="1"/>
    <col min="84" max="84" width="24.5703125" style="2" bestFit="1" customWidth="1"/>
    <col min="85" max="85" width="25.140625" bestFit="1" customWidth="1"/>
    <col min="86" max="86" width="27.42578125" bestFit="1" customWidth="1"/>
    <col min="87" max="87" width="26.42578125" bestFit="1" customWidth="1"/>
    <col min="88" max="88" width="25" bestFit="1" customWidth="1"/>
  </cols>
  <sheetData>
    <row r="2" spans="1:88" x14ac:dyDescent="0.25">
      <c r="B2" s="1043"/>
    </row>
    <row r="3" spans="1:88" ht="12" customHeight="1" x14ac:dyDescent="0.25">
      <c r="B3" s="499"/>
    </row>
    <row r="4" spans="1:88" ht="12" customHeight="1" x14ac:dyDescent="0.25">
      <c r="B4" s="87"/>
    </row>
    <row r="5" spans="1:88" ht="12" customHeight="1" x14ac:dyDescent="0.25"/>
    <row r="6" spans="1:88" ht="12" customHeight="1" x14ac:dyDescent="0.25"/>
    <row r="7" spans="1:88" s="613" customFormat="1" ht="12" x14ac:dyDescent="0.2">
      <c r="A7" s="115"/>
      <c r="B7" s="115"/>
      <c r="C7" s="115"/>
      <c r="D7" s="115"/>
      <c r="F7" s="115"/>
      <c r="G7" s="115"/>
      <c r="H7" s="577"/>
      <c r="I7" s="577"/>
      <c r="J7" s="577"/>
      <c r="K7" s="577"/>
      <c r="L7" s="577"/>
      <c r="M7" s="577"/>
      <c r="N7" s="577"/>
      <c r="O7" s="577"/>
      <c r="P7" s="577"/>
      <c r="Q7" s="577"/>
      <c r="R7" s="577"/>
      <c r="S7" s="115"/>
      <c r="T7" s="612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</row>
    <row r="8" spans="1:88" s="613" customFormat="1" ht="12" x14ac:dyDescent="0.2">
      <c r="A8" s="115"/>
      <c r="B8" s="853" t="s">
        <v>90</v>
      </c>
      <c r="C8" s="1202" t="s">
        <v>91</v>
      </c>
      <c r="D8" s="115"/>
      <c r="E8" s="684" t="s">
        <v>115</v>
      </c>
      <c r="F8" s="850" t="s">
        <v>101</v>
      </c>
      <c r="G8" s="115"/>
      <c r="H8" s="577"/>
      <c r="I8" s="577"/>
      <c r="J8" s="577"/>
      <c r="K8" s="577"/>
      <c r="L8" s="577"/>
      <c r="M8" s="577"/>
      <c r="N8" s="577"/>
      <c r="O8" s="577"/>
      <c r="P8" s="577"/>
      <c r="Q8" s="577"/>
      <c r="R8" s="577"/>
      <c r="S8" s="115"/>
      <c r="T8" s="612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</row>
    <row r="9" spans="1:88" s="613" customFormat="1" ht="12" x14ac:dyDescent="0.2">
      <c r="A9" s="115"/>
      <c r="B9" s="853" t="s">
        <v>92</v>
      </c>
      <c r="C9" s="1202" t="s">
        <v>122</v>
      </c>
      <c r="D9" s="115"/>
      <c r="E9" s="684" t="s">
        <v>114</v>
      </c>
      <c r="F9" s="851">
        <v>0.2</v>
      </c>
      <c r="G9" s="115"/>
      <c r="H9" s="577"/>
      <c r="I9" s="577"/>
      <c r="J9" s="577"/>
      <c r="K9" s="577"/>
      <c r="L9" s="577"/>
      <c r="M9" s="577"/>
      <c r="N9" s="577"/>
      <c r="O9" s="577"/>
      <c r="P9" s="577"/>
      <c r="Q9" s="577"/>
      <c r="R9" s="577"/>
      <c r="S9" s="115"/>
      <c r="T9" s="612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</row>
    <row r="10" spans="1:88" s="613" customFormat="1" ht="13.5" x14ac:dyDescent="0.25">
      <c r="A10" s="115"/>
      <c r="B10" s="115"/>
      <c r="C10" s="115"/>
      <c r="D10" s="115"/>
      <c r="E10" s="684" t="s">
        <v>406</v>
      </c>
      <c r="F10" s="849">
        <f>IF($F$9=0%,0,IF($F$9=20%,AMI!$C$14,IF($F$9=40%,AMI!$C$15)))</f>
        <v>48</v>
      </c>
      <c r="G10" s="671" t="str">
        <f>IF(AND($C$8="Affordable",$J$42&gt;$F$10),"Over",IF(AND($C$8="Affordable",$J$42&lt;$F$10),"Under",""))</f>
        <v/>
      </c>
      <c r="H10" s="577"/>
      <c r="I10" s="577"/>
      <c r="J10" s="577"/>
      <c r="K10" s="577"/>
      <c r="L10" s="577"/>
      <c r="M10" s="577"/>
      <c r="N10" s="577"/>
      <c r="O10" s="577"/>
      <c r="P10" s="577"/>
      <c r="Q10" s="577"/>
      <c r="R10" s="577"/>
      <c r="S10" s="115"/>
      <c r="T10" s="612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</row>
    <row r="11" spans="1:88" s="613" customFormat="1" x14ac:dyDescent="0.25">
      <c r="A11" s="115"/>
      <c r="B11" s="853" t="s">
        <v>404</v>
      </c>
      <c r="C11" s="1203">
        <f>IF($C$8="Affordable",$O$43,$G$43)</f>
        <v>2.1635408792122215</v>
      </c>
      <c r="D11" s="683"/>
      <c r="E11" s="115"/>
      <c r="F11" s="115"/>
      <c r="G11" s="577"/>
      <c r="H11" s="577"/>
      <c r="I11" s="577"/>
      <c r="J11" s="577"/>
      <c r="K11" s="577"/>
      <c r="L11" s="577"/>
      <c r="M11" s="577"/>
      <c r="N11" s="577"/>
      <c r="O11" s="577"/>
      <c r="P11" s="577"/>
      <c r="Q11" s="577"/>
      <c r="R11" s="577"/>
      <c r="S11" s="115"/>
      <c r="T11" s="612"/>
      <c r="U11" s="115"/>
      <c r="V11" s="115"/>
      <c r="W11" s="115"/>
      <c r="X11" s="115"/>
      <c r="Y11" s="115"/>
      <c r="Z11" s="115"/>
      <c r="AA11" s="115"/>
      <c r="AB11" s="2"/>
      <c r="AC11" s="2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</row>
    <row r="12" spans="1:88" s="613" customFormat="1" x14ac:dyDescent="0.25">
      <c r="A12" s="115"/>
      <c r="B12" s="853" t="s">
        <v>405</v>
      </c>
      <c r="C12" s="1204">
        <f>IF($C$8="Affordable",$P$43,$H$43)</f>
        <v>1920</v>
      </c>
      <c r="D12" s="115"/>
      <c r="E12" s="115"/>
      <c r="F12" s="115"/>
      <c r="G12" s="577"/>
      <c r="H12" s="577"/>
      <c r="I12" s="577"/>
      <c r="J12" s="577"/>
      <c r="K12" s="577"/>
      <c r="L12" s="577"/>
      <c r="M12" s="577"/>
      <c r="N12" s="577"/>
      <c r="O12" s="577"/>
      <c r="P12" s="577"/>
      <c r="Q12" s="577"/>
      <c r="R12" s="577"/>
      <c r="S12" s="115"/>
      <c r="T12" s="612"/>
      <c r="U12" s="115"/>
      <c r="V12" s="115"/>
      <c r="W12" s="115"/>
      <c r="X12" s="115"/>
      <c r="Y12" s="115"/>
      <c r="Z12" s="115"/>
      <c r="AA12" s="115"/>
      <c r="AB12" s="2"/>
      <c r="AC12" s="2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</row>
    <row r="13" spans="1:88" s="613" customFormat="1" x14ac:dyDescent="0.25">
      <c r="A13" s="115"/>
      <c r="B13" s="115"/>
      <c r="C13" s="115"/>
      <c r="D13" s="115"/>
      <c r="E13" s="115"/>
      <c r="F13" s="115"/>
      <c r="G13" s="577"/>
      <c r="H13" s="577"/>
      <c r="I13" s="577"/>
      <c r="J13" s="577"/>
      <c r="K13" s="577"/>
      <c r="L13" s="577"/>
      <c r="M13" s="577"/>
      <c r="N13" s="577"/>
      <c r="O13" s="577"/>
      <c r="P13" s="577"/>
      <c r="Q13" s="577"/>
      <c r="R13" s="577"/>
      <c r="S13" s="115"/>
      <c r="T13" s="612"/>
      <c r="U13" s="115"/>
      <c r="V13" s="115"/>
      <c r="W13" s="115"/>
      <c r="X13" s="115"/>
      <c r="Y13" s="115"/>
      <c r="Z13" s="115"/>
      <c r="AA13" s="115"/>
      <c r="AB13" s="2"/>
      <c r="AC13" s="2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</row>
    <row r="14" spans="1:88" s="613" customFormat="1" x14ac:dyDescent="0.25">
      <c r="A14" s="115"/>
      <c r="B14" s="115"/>
      <c r="C14" s="115"/>
      <c r="D14" s="115"/>
      <c r="E14" s="115"/>
      <c r="F14" s="614"/>
      <c r="G14" s="615"/>
      <c r="H14" s="577"/>
      <c r="I14" s="1000"/>
      <c r="J14" s="1000"/>
      <c r="K14" s="1000"/>
      <c r="L14" s="1000"/>
      <c r="M14" s="1000"/>
      <c r="N14" s="1000"/>
      <c r="O14" s="577"/>
      <c r="P14" s="577"/>
      <c r="Q14" s="577"/>
      <c r="R14" s="577"/>
      <c r="S14" s="115"/>
      <c r="T14" s="612"/>
      <c r="U14" s="115"/>
      <c r="V14" s="616">
        <v>0.1</v>
      </c>
      <c r="W14" s="617">
        <v>0.1</v>
      </c>
      <c r="X14" s="115"/>
      <c r="Y14" s="115"/>
      <c r="Z14" s="115"/>
      <c r="AA14" s="115"/>
      <c r="AB14" s="2"/>
      <c r="AC14" s="2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5"/>
      <c r="BE14" s="115"/>
      <c r="BF14" s="115"/>
      <c r="BG14" s="115"/>
      <c r="BH14" s="115"/>
      <c r="BI14" s="115"/>
      <c r="BJ14" s="115"/>
      <c r="BK14" s="115"/>
      <c r="BL14" s="115"/>
      <c r="BM14" s="115"/>
      <c r="BN14" s="115"/>
      <c r="BO14" s="115"/>
      <c r="BP14" s="115"/>
      <c r="BQ14" s="115"/>
      <c r="BR14" s="115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</row>
    <row r="15" spans="1:88" s="613" customFormat="1" ht="12" x14ac:dyDescent="0.2">
      <c r="A15" s="115"/>
      <c r="B15" s="618"/>
      <c r="C15" s="611"/>
      <c r="D15" s="611"/>
      <c r="E15" s="611"/>
      <c r="F15" s="611"/>
      <c r="G15" s="620" t="str">
        <f>IF($C$8&lt;&gt;"Affordable","","Non- AMI")</f>
        <v/>
      </c>
      <c r="H15" s="620" t="str">
        <f>IF($C$8&lt;&gt;"Affordable","","Non- AMI")</f>
        <v/>
      </c>
      <c r="I15" s="843"/>
      <c r="J15" s="620"/>
      <c r="K15" s="620"/>
      <c r="L15" s="619"/>
      <c r="M15" s="620" t="s">
        <v>390</v>
      </c>
      <c r="N15" s="620" t="s">
        <v>390</v>
      </c>
      <c r="O15" s="620" t="s">
        <v>403</v>
      </c>
      <c r="P15" s="620" t="s">
        <v>403</v>
      </c>
      <c r="Q15" s="619"/>
      <c r="R15" s="686"/>
      <c r="S15" s="676"/>
      <c r="T15" s="620" t="s">
        <v>91</v>
      </c>
      <c r="U15" s="620" t="s">
        <v>205</v>
      </c>
      <c r="V15" s="620" t="s">
        <v>89</v>
      </c>
      <c r="W15" s="621" t="s">
        <v>88</v>
      </c>
      <c r="X15" s="20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</row>
    <row r="16" spans="1:88" s="613" customFormat="1" x14ac:dyDescent="0.25">
      <c r="A16" s="115"/>
      <c r="B16" s="685" t="s">
        <v>82</v>
      </c>
      <c r="C16" s="669" t="s">
        <v>84</v>
      </c>
      <c r="D16" s="669" t="s">
        <v>83</v>
      </c>
      <c r="E16" s="669" t="s">
        <v>93</v>
      </c>
      <c r="F16" s="669" t="s">
        <v>85</v>
      </c>
      <c r="G16" s="669" t="s">
        <v>87</v>
      </c>
      <c r="H16" s="669" t="s">
        <v>86</v>
      </c>
      <c r="I16" s="669" t="s">
        <v>392</v>
      </c>
      <c r="J16" s="669" t="s">
        <v>426</v>
      </c>
      <c r="K16" s="669" t="s">
        <v>391</v>
      </c>
      <c r="L16" s="669" t="s">
        <v>402</v>
      </c>
      <c r="M16" s="669" t="s">
        <v>87</v>
      </c>
      <c r="N16" s="669" t="s">
        <v>86</v>
      </c>
      <c r="O16" s="669" t="s">
        <v>87</v>
      </c>
      <c r="P16" s="669" t="s">
        <v>86</v>
      </c>
      <c r="Q16" s="669" t="s">
        <v>95</v>
      </c>
      <c r="R16" s="670" t="s">
        <v>94</v>
      </c>
      <c r="S16" s="677"/>
      <c r="T16" s="669" t="str">
        <f>IF($C$9="PSF","PSF/Month","Rent/Month")</f>
        <v>Rent/Month</v>
      </c>
      <c r="U16" s="669" t="str">
        <f>IF($C$9="PSF","PSF/Month","Rent/Month")</f>
        <v>Rent/Month</v>
      </c>
      <c r="V16" s="669" t="str">
        <f>IF($C$9="PSF","PSF/Month","Rent/Month")</f>
        <v>Rent/Month</v>
      </c>
      <c r="W16" s="670" t="str">
        <f>IF($C$9="PSF","PSF/Month","Rent/Month")</f>
        <v>Rent/Month</v>
      </c>
      <c r="X16" s="655"/>
      <c r="Y16" s="115"/>
      <c r="Z16" s="115"/>
      <c r="AA16" s="115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/>
      <c r="CH16"/>
      <c r="CI16"/>
      <c r="CJ16"/>
    </row>
    <row r="17" spans="1:88" s="613" customFormat="1" x14ac:dyDescent="0.25">
      <c r="A17" s="115"/>
      <c r="B17" s="807" t="s">
        <v>396</v>
      </c>
      <c r="C17" s="622">
        <v>24</v>
      </c>
      <c r="D17" s="622">
        <v>620</v>
      </c>
      <c r="E17" s="623">
        <f t="shared" ref="E17:E41" si="0">IF($B17="-",0,$C17*$D17)</f>
        <v>14880</v>
      </c>
      <c r="F17" s="624">
        <f t="shared" ref="F17:F41" si="1">IF($B17="-",0,$C17/$C$42)</f>
        <v>0.1</v>
      </c>
      <c r="G17" s="625">
        <f t="shared" ref="G17:G41" si="2">IF($B17="-",0,IF(AND($C$8="Market",$C$9="PSF"),T17,IF(AND($C$8="Market",$C$9="Fixed Amount"),H17/D17,IF(AND($C$8="Affordable",$C$9="PSF",C17&gt;J17),T17,IF(AND($C$8="Affordable",$C$9="Fixed Amount",C17&gt;J17),H17/D17,IF(AND($C$8="Affordable",$C$9="PSF",C17&lt;=J17),0,IF(AND($C$8="Affordable",$C$9="Fixed Amount",C17&lt;=J17),0,IF(AND($C$8="Stressed",$C$9="PSF"),V17,IF(AND($C$8="Stressed",$C$9="Fixed Amount"),H17/D17,IF(AND($C$8="Favorable",$C$9="PSF"),W17,IF(AND($C$8="Favorable",$C$9="Fixed Amount"),H17/D17)))))))))))</f>
        <v>2.7016129032258065</v>
      </c>
      <c r="H17" s="682">
        <f t="shared" ref="H17:H41" si="3">IF($B17="-",0,IF(AND($C$8="Market",$C$9="PSF"),G17*D17,IF(AND($C$8="Market",$C$9="Fixed Amount"),T17,IF(AND($C$8="Affordable",$C$9="PSF",C17&gt;J17),G17*D17,IF(AND($C$8="Affordable",$C$9="Fixed Amount",C17&gt;J17),T17,IF(AND($C$8="Affordable",$C$9="PSF",C17&lt;=J17),0,IF(AND($C$8="Affordable",$C$9="Fixed Amount",C17&lt;=J17),0,IF(AND($C$8="Stressed",$C$9="PSF"),G17*D17,IF(AND($C$8="Stressed",$C$9="Fixed Amount"),V17,IF(AND($C$8="Favorable",$C$9="PSF"),G17*D17,IF(AND($C$8="Favorable",$C$9="Fixed Amount"),W17)))))))))))</f>
        <v>1675</v>
      </c>
      <c r="I17" s="646" t="s">
        <v>68</v>
      </c>
      <c r="J17" s="622">
        <v>3</v>
      </c>
      <c r="K17" s="624">
        <f>J17/$C$42</f>
        <v>1.2500000000000001E-2</v>
      </c>
      <c r="L17" s="680">
        <f t="shared" ref="L17:L41" si="4">IF($C$8="Affordable",C17-J17,IF($C$8&lt;&gt;"Affordable",C17))</f>
        <v>24</v>
      </c>
      <c r="M17" s="625">
        <f t="shared" ref="M17:M41" si="5">IF(I17="No",0,IF($C$8&lt;&gt;"Affordable",0,IF(AND($C$8="Affordable",I17="Yes",J17=0),0,IF(AND($C$9="PSF",I17="Yes",J17&gt;0,T17&gt;U17),U17,IF(AND($C$9="PSF",I17="Yes",J17&gt;0,T17&lt;=U17),T17,IF(AND($C$9="Fixed Amount",$C$8="Affordable",J17&gt;0),N17/D17))))))</f>
        <v>0</v>
      </c>
      <c r="N17" s="220">
        <f t="shared" ref="N17:N41" si="6">IF(I17="No",0,IF($C$8&lt;&gt;"Affordable",0,IF(AND($C$8="Affordable",I17="Yes",J17=0),0,IF(AND($C$9="PSF",I17="Yes",J17&gt;0),M17*D17,IF(AND($C$9="Fixed Amount",$C$8="Affordable",J17&gt;0,T17&gt;U17),U17,IF(AND($C$9="Fixed Amount",$C$8="Affordable",J17&gt;0,T17&lt;=U17),T17))))))</f>
        <v>0</v>
      </c>
      <c r="O17" s="645">
        <f>IF($C$8&lt;&gt;"Affordable",0,IF(AND($C$8="Affordable",$L17&gt;0,$J17&gt;0),AVERAGE($G17,$M17),IF(AND($C$8="Affordable",$L17=0,$J17&gt;0),$M17,IF(AND($C$8="Affordable",$L17&gt;0,$J17=0),$G17))))</f>
        <v>0</v>
      </c>
      <c r="P17" s="220">
        <f t="shared" ref="P17:P41" si="7">IF($C$8&lt;&gt;"Affordable",0,IF(AND($C$8="Affordable",$L17&gt;0,$J17&gt;0),AVERAGE($H17,$N17),IF(AND($C$8="Affordable",$L17=0,$J17&gt;0),$N17,IF(AND($C$8="Affordable",$L17&gt;0,$J17=0),$H17))))</f>
        <v>0</v>
      </c>
      <c r="Q17" s="681">
        <f t="shared" ref="Q17:Q41" si="8">IF($B17="-",0,IF($C$8&lt;&gt;"Affordable",H17*C17,IF(AND($C$8="Affordable",I17="No"),H17*C17,IF(AND($C$8="Affordable",I17="Yes",C17&gt;J17),(H17*(C17-J17))+(N17*J17),IF(AND($C$8="Affordable",I17="Yes",C17=J17),N17*J17)))))</f>
        <v>40200</v>
      </c>
      <c r="R17" s="687">
        <f>Q17*12</f>
        <v>482400</v>
      </c>
      <c r="S17" s="672"/>
      <c r="T17" s="626">
        <v>1675</v>
      </c>
      <c r="U17" s="577">
        <f>IF($B17="-",0,IF(AND($C$8="Affordable",$C$9="PSF"),AMI!J6,IF(AND($C$8="Affordable",$C$9="Fixed Amount"),AMI!I6,IF(AND($C$8&lt;&gt;"Affordable",$C$9="PSF"),AMI!J6,IF(AND($C$8&lt;&gt;"Affordable",$C$9="Fixed Amount"),AMI!I6)))))</f>
        <v>936</v>
      </c>
      <c r="V17" s="627">
        <f>T17-(T17*$V$14)</f>
        <v>1507.5</v>
      </c>
      <c r="W17" s="627">
        <f>(T17*$W$14)+T17</f>
        <v>1842.5</v>
      </c>
      <c r="X17" s="205"/>
      <c r="Y17" s="115"/>
      <c r="Z17" s="115"/>
      <c r="AA17" s="115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/>
      <c r="CH17"/>
      <c r="CI17"/>
      <c r="CJ17"/>
    </row>
    <row r="18" spans="1:88" s="613" customFormat="1" x14ac:dyDescent="0.25">
      <c r="A18" s="115"/>
      <c r="B18" s="807" t="s">
        <v>396</v>
      </c>
      <c r="C18" s="622">
        <v>84</v>
      </c>
      <c r="D18" s="622">
        <v>750</v>
      </c>
      <c r="E18" s="623">
        <f t="shared" si="0"/>
        <v>63000</v>
      </c>
      <c r="F18" s="624">
        <f t="shared" si="1"/>
        <v>0.35</v>
      </c>
      <c r="G18" s="625">
        <f t="shared" si="2"/>
        <v>2.2666666666666666</v>
      </c>
      <c r="H18" s="682">
        <f t="shared" si="3"/>
        <v>1700</v>
      </c>
      <c r="I18" s="646" t="s">
        <v>72</v>
      </c>
      <c r="J18" s="622">
        <v>0</v>
      </c>
      <c r="K18" s="624">
        <f t="shared" ref="K18:K41" si="9">J18/$C$42</f>
        <v>0</v>
      </c>
      <c r="L18" s="680">
        <f t="shared" si="4"/>
        <v>84</v>
      </c>
      <c r="M18" s="625">
        <f t="shared" si="5"/>
        <v>0</v>
      </c>
      <c r="N18" s="220">
        <f t="shared" si="6"/>
        <v>0</v>
      </c>
      <c r="O18" s="645">
        <f t="shared" ref="O18:O41" si="10">IF($C$8&lt;&gt;"Affordable",0,IF(AND($C$8="Affordable",L18&gt;0,J18&gt;0),AVERAGE(G18,M18),IF(AND($C$8="Affordable",L18=0,J18&gt;0),M18,IF(AND($C$8="Affordable",L18&gt;0,J18=0),G18))))</f>
        <v>0</v>
      </c>
      <c r="P18" s="220">
        <f t="shared" si="7"/>
        <v>0</v>
      </c>
      <c r="Q18" s="681">
        <f t="shared" si="8"/>
        <v>142800</v>
      </c>
      <c r="R18" s="687">
        <f t="shared" ref="R18:R41" si="11">Q18*12</f>
        <v>1713600</v>
      </c>
      <c r="S18" s="672"/>
      <c r="T18" s="626">
        <v>1700</v>
      </c>
      <c r="U18" s="577">
        <f>IF($B18="-",0,IF(AND($C$8="Affordable",$C$9="PSF"),AMI!J7,IF(AND($C$8="Affordable",$C$9="Fixed Amount"),AMI!I7,IF(AND($C$8&lt;&gt;"Affordable",$C$9="PSF"),AMI!J7,IF(AND($C$8&lt;&gt;"Affordable",$C$9="Fixed Amount"),AMI!I7)))))</f>
        <v>936</v>
      </c>
      <c r="V18" s="627">
        <f t="shared" ref="V18:V41" si="12">T18-(T18*$V$14)</f>
        <v>1530</v>
      </c>
      <c r="W18" s="627">
        <f t="shared" ref="W18:W41" si="13">(T18*$W$14)+T18</f>
        <v>1870</v>
      </c>
      <c r="X18" s="205"/>
      <c r="Y18" s="115"/>
      <c r="Z18" s="115"/>
      <c r="AA18" s="115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/>
      <c r="CH18"/>
      <c r="CI18"/>
      <c r="CJ18"/>
    </row>
    <row r="19" spans="1:88" s="613" customFormat="1" x14ac:dyDescent="0.25">
      <c r="A19" s="115"/>
      <c r="B19" s="807" t="s">
        <v>396</v>
      </c>
      <c r="C19" s="622">
        <v>24</v>
      </c>
      <c r="D19" s="622">
        <v>825</v>
      </c>
      <c r="E19" s="623">
        <f t="shared" si="0"/>
        <v>19800</v>
      </c>
      <c r="F19" s="624">
        <f t="shared" si="1"/>
        <v>0.1</v>
      </c>
      <c r="G19" s="625">
        <f t="shared" si="2"/>
        <v>2.1212121212121211</v>
      </c>
      <c r="H19" s="682">
        <f t="shared" si="3"/>
        <v>1750</v>
      </c>
      <c r="I19" s="646" t="s">
        <v>68</v>
      </c>
      <c r="J19" s="622">
        <v>3</v>
      </c>
      <c r="K19" s="624">
        <f>J19/$C$42</f>
        <v>1.2500000000000001E-2</v>
      </c>
      <c r="L19" s="680">
        <f t="shared" si="4"/>
        <v>24</v>
      </c>
      <c r="M19" s="625">
        <f t="shared" si="5"/>
        <v>0</v>
      </c>
      <c r="N19" s="220">
        <f t="shared" si="6"/>
        <v>0</v>
      </c>
      <c r="O19" s="645">
        <f t="shared" si="10"/>
        <v>0</v>
      </c>
      <c r="P19" s="220">
        <f t="shared" si="7"/>
        <v>0</v>
      </c>
      <c r="Q19" s="681">
        <f t="shared" si="8"/>
        <v>42000</v>
      </c>
      <c r="R19" s="687">
        <f t="shared" si="11"/>
        <v>504000</v>
      </c>
      <c r="S19" s="672"/>
      <c r="T19" s="626">
        <v>1750</v>
      </c>
      <c r="U19" s="577">
        <f>IF($B19="-",0,IF(AND($C$8="Affordable",$C$9="PSF"),AMI!J8,IF(AND($C$8="Affordable",$C$9="Fixed Amount"),AMI!I8,IF(AND($C$8&lt;&gt;"Affordable",$C$9="PSF"),AMI!J8,IF(AND($C$8&lt;&gt;"Affordable",$C$9="Fixed Amount"),AMI!I8)))))</f>
        <v>936</v>
      </c>
      <c r="V19" s="627">
        <f t="shared" si="12"/>
        <v>1575</v>
      </c>
      <c r="W19" s="627">
        <f t="shared" si="13"/>
        <v>1925</v>
      </c>
      <c r="X19" s="205"/>
      <c r="Y19" s="115"/>
      <c r="Z19" s="115"/>
      <c r="AA19" s="115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/>
      <c r="CH19"/>
      <c r="CI19"/>
      <c r="CJ19"/>
    </row>
    <row r="20" spans="1:88" s="613" customFormat="1" x14ac:dyDescent="0.25">
      <c r="A20" s="115"/>
      <c r="B20" s="807" t="s">
        <v>397</v>
      </c>
      <c r="C20" s="622">
        <v>84</v>
      </c>
      <c r="D20" s="622">
        <v>1050</v>
      </c>
      <c r="E20" s="623">
        <f t="shared" si="0"/>
        <v>88200</v>
      </c>
      <c r="F20" s="624">
        <f t="shared" si="1"/>
        <v>0.35</v>
      </c>
      <c r="G20" s="625">
        <f t="shared" si="2"/>
        <v>2.0476190476190474</v>
      </c>
      <c r="H20" s="682">
        <f t="shared" si="3"/>
        <v>2150</v>
      </c>
      <c r="I20" s="646" t="s">
        <v>72</v>
      </c>
      <c r="J20" s="622">
        <v>0</v>
      </c>
      <c r="K20" s="624">
        <f t="shared" si="9"/>
        <v>0</v>
      </c>
      <c r="L20" s="680">
        <f t="shared" si="4"/>
        <v>84</v>
      </c>
      <c r="M20" s="625">
        <f t="shared" si="5"/>
        <v>0</v>
      </c>
      <c r="N20" s="220">
        <f t="shared" si="6"/>
        <v>0</v>
      </c>
      <c r="O20" s="645">
        <f t="shared" si="10"/>
        <v>0</v>
      </c>
      <c r="P20" s="220">
        <f t="shared" si="7"/>
        <v>0</v>
      </c>
      <c r="Q20" s="681">
        <f t="shared" si="8"/>
        <v>180600</v>
      </c>
      <c r="R20" s="687">
        <f t="shared" si="11"/>
        <v>2167200</v>
      </c>
      <c r="S20" s="672"/>
      <c r="T20" s="626">
        <v>2150</v>
      </c>
      <c r="U20" s="577">
        <f>IF($B20="-",0,IF(AND($C$8="Affordable",$C$9="PSF"),AMI!J9,IF(AND($C$8="Affordable",$C$9="Fixed Amount"),AMI!I9,IF(AND($C$8&lt;&gt;"Affordable",$C$9="PSF"),AMI!J9,IF(AND($C$8&lt;&gt;"Affordable",$C$9="Fixed Amount"),AMI!I9)))))</f>
        <v>1123</v>
      </c>
      <c r="V20" s="627">
        <f t="shared" si="12"/>
        <v>1935</v>
      </c>
      <c r="W20" s="627">
        <f t="shared" si="13"/>
        <v>2365</v>
      </c>
      <c r="X20" s="205"/>
      <c r="Y20" s="115"/>
      <c r="Z20" s="115"/>
      <c r="AA20" s="115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/>
      <c r="CH20"/>
      <c r="CI20"/>
      <c r="CJ20"/>
    </row>
    <row r="21" spans="1:88" s="613" customFormat="1" x14ac:dyDescent="0.25">
      <c r="A21" s="115"/>
      <c r="B21" s="807" t="s">
        <v>427</v>
      </c>
      <c r="C21" s="622">
        <v>24</v>
      </c>
      <c r="D21" s="622">
        <v>1343</v>
      </c>
      <c r="E21" s="623">
        <f t="shared" si="0"/>
        <v>32232</v>
      </c>
      <c r="F21" s="624">
        <f t="shared" si="1"/>
        <v>0.1</v>
      </c>
      <c r="G21" s="625">
        <f>IF($B21="-",0,IF(AND($C$8="Market",$C$9="PSF"),T21,IF(AND($C$8="Market",$C$9="Fixed Amount"),H21/D21,IF(AND($C$8="Affordable",$C$9="PSF",C21&gt;J21),T21,IF(AND($C$8="Affordable",$C$9="Fixed Amount",C21&gt;J21),H21/D21,IF(AND($C$8="Affordable",$C$9="PSF",C21&lt;=J21),0,IF(AND($C$8="Affordable",$C$9="Fixed Amount",C21&lt;=J21),0,IF(AND($C$8="Stressed",$C$9="PSF"),V21,IF(AND($C$8="Stressed",$C$9="Fixed Amount"),H21/D21,IF(AND($C$8="Favorable",$C$9="PSF"),W21,IF(AND($C$8="Favorable",$C$9="Fixed Amount"),H21/D21)))))))))))</f>
        <v>1.712583767684289</v>
      </c>
      <c r="H21" s="682">
        <f t="shared" si="3"/>
        <v>2300</v>
      </c>
      <c r="I21" s="646" t="s">
        <v>72</v>
      </c>
      <c r="J21" s="622">
        <v>0</v>
      </c>
      <c r="K21" s="624">
        <f t="shared" si="9"/>
        <v>0</v>
      </c>
      <c r="L21" s="680">
        <f t="shared" si="4"/>
        <v>24</v>
      </c>
      <c r="M21" s="625">
        <f t="shared" si="5"/>
        <v>0</v>
      </c>
      <c r="N21" s="220">
        <f t="shared" si="6"/>
        <v>0</v>
      </c>
      <c r="O21" s="645">
        <f t="shared" si="10"/>
        <v>0</v>
      </c>
      <c r="P21" s="220">
        <f t="shared" si="7"/>
        <v>0</v>
      </c>
      <c r="Q21" s="681">
        <f t="shared" si="8"/>
        <v>55200</v>
      </c>
      <c r="R21" s="687">
        <f t="shared" si="11"/>
        <v>662400</v>
      </c>
      <c r="S21" s="672"/>
      <c r="T21" s="626">
        <v>2300</v>
      </c>
      <c r="U21" s="577">
        <f>IF($B21="-",0,IF(AND($C$8="Affordable",$C$9="PSF"),AMI!J10,IF(AND($C$8="Affordable",$C$9="Fixed Amount"),AMI!I10,IF(AND($C$8&lt;&gt;"Affordable",$C$9="PSF"),AMI!J10,IF(AND($C$8&lt;&gt;"Affordable",$C$9="Fixed Amount"),AMI!I10)))))</f>
        <v>1185</v>
      </c>
      <c r="V21" s="627">
        <f t="shared" si="12"/>
        <v>2070</v>
      </c>
      <c r="W21" s="627">
        <f t="shared" si="13"/>
        <v>2530</v>
      </c>
      <c r="X21" s="205"/>
      <c r="Y21" s="115"/>
      <c r="Z21" s="115"/>
      <c r="AA21" s="115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/>
      <c r="CH21"/>
      <c r="CI21"/>
      <c r="CJ21"/>
    </row>
    <row r="22" spans="1:88" s="613" customFormat="1" x14ac:dyDescent="0.25">
      <c r="A22" s="115"/>
      <c r="B22" s="807" t="s">
        <v>395</v>
      </c>
      <c r="C22" s="622">
        <v>0</v>
      </c>
      <c r="D22" s="622">
        <v>0</v>
      </c>
      <c r="E22" s="623">
        <f t="shared" si="0"/>
        <v>0</v>
      </c>
      <c r="F22" s="624">
        <f t="shared" si="1"/>
        <v>0</v>
      </c>
      <c r="G22" s="625">
        <f t="shared" si="2"/>
        <v>0</v>
      </c>
      <c r="H22" s="682">
        <f t="shared" si="3"/>
        <v>0</v>
      </c>
      <c r="I22" s="646" t="s">
        <v>68</v>
      </c>
      <c r="J22" s="622">
        <v>37</v>
      </c>
      <c r="K22" s="624">
        <f t="shared" si="9"/>
        <v>0.15416666666666667</v>
      </c>
      <c r="L22" s="680">
        <f t="shared" si="4"/>
        <v>0</v>
      </c>
      <c r="M22" s="625">
        <f t="shared" si="5"/>
        <v>0</v>
      </c>
      <c r="N22" s="220">
        <f t="shared" si="6"/>
        <v>0</v>
      </c>
      <c r="O22" s="645">
        <f t="shared" si="10"/>
        <v>0</v>
      </c>
      <c r="P22" s="220">
        <f t="shared" si="7"/>
        <v>0</v>
      </c>
      <c r="Q22" s="681">
        <f t="shared" si="8"/>
        <v>0</v>
      </c>
      <c r="R22" s="687">
        <f t="shared" si="11"/>
        <v>0</v>
      </c>
      <c r="S22" s="672"/>
      <c r="T22" s="626">
        <v>1.68</v>
      </c>
      <c r="U22" s="577">
        <f>IF($B22="-",0,IF(AND($C$8="Affordable",$C$9="PSF"),AMI!J11,IF(AND($C$8="Affordable",$C$9="Fixed Amount"),AMI!I11,IF(AND($C$8&lt;&gt;"Affordable",$C$9="PSF"),AMI!J11,IF(AND($C$8&lt;&gt;"Affordable",$C$9="Fixed Amount"),AMI!I11)))))</f>
        <v>0</v>
      </c>
      <c r="V22" s="627">
        <f t="shared" si="12"/>
        <v>1.512</v>
      </c>
      <c r="W22" s="627">
        <f t="shared" si="13"/>
        <v>1.8479999999999999</v>
      </c>
      <c r="X22" s="205"/>
      <c r="Y22" s="115"/>
      <c r="Z22" s="115"/>
      <c r="AA22" s="115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/>
      <c r="CH22"/>
      <c r="CI22"/>
      <c r="CJ22"/>
    </row>
    <row r="23" spans="1:88" s="613" customFormat="1" x14ac:dyDescent="0.25">
      <c r="A23" s="115"/>
      <c r="B23" s="807" t="s">
        <v>395</v>
      </c>
      <c r="C23" s="622">
        <v>0</v>
      </c>
      <c r="D23" s="622">
        <v>0</v>
      </c>
      <c r="E23" s="623">
        <f t="shared" si="0"/>
        <v>0</v>
      </c>
      <c r="F23" s="624">
        <f t="shared" si="1"/>
        <v>0</v>
      </c>
      <c r="G23" s="625">
        <f t="shared" si="2"/>
        <v>0</v>
      </c>
      <c r="H23" s="682">
        <f t="shared" si="3"/>
        <v>0</v>
      </c>
      <c r="I23" s="646" t="s">
        <v>68</v>
      </c>
      <c r="J23" s="622">
        <v>15</v>
      </c>
      <c r="K23" s="624">
        <f t="shared" si="9"/>
        <v>6.25E-2</v>
      </c>
      <c r="L23" s="680">
        <f t="shared" si="4"/>
        <v>0</v>
      </c>
      <c r="M23" s="625">
        <f t="shared" si="5"/>
        <v>0</v>
      </c>
      <c r="N23" s="220">
        <f t="shared" si="6"/>
        <v>0</v>
      </c>
      <c r="O23" s="645">
        <f t="shared" si="10"/>
        <v>0</v>
      </c>
      <c r="P23" s="220">
        <f t="shared" si="7"/>
        <v>0</v>
      </c>
      <c r="Q23" s="681">
        <f t="shared" si="8"/>
        <v>0</v>
      </c>
      <c r="R23" s="687">
        <f t="shared" si="11"/>
        <v>0</v>
      </c>
      <c r="S23" s="672"/>
      <c r="T23" s="626">
        <v>1.69</v>
      </c>
      <c r="U23" s="577">
        <f>IF($B23="-",0,IF(AND($C$8="Affordable",$C$9="PSF"),AMI!J12,IF(AND($C$8="Affordable",$C$9="Fixed Amount"),AMI!I12,IF(AND($C$8&lt;&gt;"Affordable",$C$9="PSF"),AMI!J12,IF(AND($C$8&lt;&gt;"Affordable",$C$9="Fixed Amount"),AMI!I12)))))</f>
        <v>0</v>
      </c>
      <c r="V23" s="627">
        <f t="shared" si="12"/>
        <v>1.5209999999999999</v>
      </c>
      <c r="W23" s="627">
        <f t="shared" si="13"/>
        <v>1.859</v>
      </c>
      <c r="X23" s="205"/>
      <c r="Y23" s="115"/>
      <c r="Z23" s="115"/>
      <c r="AA23" s="115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/>
      <c r="CH23"/>
      <c r="CI23"/>
      <c r="CJ23"/>
    </row>
    <row r="24" spans="1:88" s="613" customFormat="1" x14ac:dyDescent="0.25">
      <c r="A24" s="115"/>
      <c r="B24" s="807" t="s">
        <v>395</v>
      </c>
      <c r="C24" s="622">
        <v>0</v>
      </c>
      <c r="D24" s="622">
        <v>0</v>
      </c>
      <c r="E24" s="623">
        <f t="shared" si="0"/>
        <v>0</v>
      </c>
      <c r="F24" s="624">
        <f t="shared" si="1"/>
        <v>0</v>
      </c>
      <c r="G24" s="625">
        <f t="shared" si="2"/>
        <v>0</v>
      </c>
      <c r="H24" s="682">
        <f t="shared" si="3"/>
        <v>0</v>
      </c>
      <c r="I24" s="646" t="s">
        <v>72</v>
      </c>
      <c r="J24" s="622">
        <v>0</v>
      </c>
      <c r="K24" s="624">
        <f t="shared" si="9"/>
        <v>0</v>
      </c>
      <c r="L24" s="680">
        <f t="shared" si="4"/>
        <v>0</v>
      </c>
      <c r="M24" s="625">
        <f t="shared" si="5"/>
        <v>0</v>
      </c>
      <c r="N24" s="220">
        <f t="shared" si="6"/>
        <v>0</v>
      </c>
      <c r="O24" s="645">
        <f t="shared" si="10"/>
        <v>0</v>
      </c>
      <c r="P24" s="220">
        <f t="shared" si="7"/>
        <v>0</v>
      </c>
      <c r="Q24" s="681">
        <f t="shared" si="8"/>
        <v>0</v>
      </c>
      <c r="R24" s="687">
        <f t="shared" si="11"/>
        <v>0</v>
      </c>
      <c r="S24" s="672"/>
      <c r="T24" s="626">
        <v>1.75</v>
      </c>
      <c r="U24" s="577">
        <f>IF($B24="-",0,IF(AND($C$8="Affordable",$C$9="PSF"),AMI!J13,IF(AND($C$8="Affordable",$C$9="Fixed Amount"),AMI!I13,IF(AND($C$8&lt;&gt;"Affordable",$C$9="PSF"),AMI!J13,IF(AND($C$8&lt;&gt;"Affordable",$C$9="Fixed Amount"),AMI!I13)))))</f>
        <v>0</v>
      </c>
      <c r="V24" s="627">
        <f t="shared" si="12"/>
        <v>1.575</v>
      </c>
      <c r="W24" s="627">
        <f t="shared" si="13"/>
        <v>1.925</v>
      </c>
      <c r="X24" s="205"/>
      <c r="Y24" s="115"/>
      <c r="Z24" s="115"/>
      <c r="AA24" s="115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/>
      <c r="CH24"/>
      <c r="CI24"/>
      <c r="CJ24"/>
    </row>
    <row r="25" spans="1:88" s="613" customFormat="1" x14ac:dyDescent="0.25">
      <c r="A25" s="115"/>
      <c r="B25" s="807" t="s">
        <v>395</v>
      </c>
      <c r="C25" s="622">
        <v>0</v>
      </c>
      <c r="D25" s="622">
        <v>0</v>
      </c>
      <c r="E25" s="623">
        <f t="shared" si="0"/>
        <v>0</v>
      </c>
      <c r="F25" s="624">
        <f t="shared" si="1"/>
        <v>0</v>
      </c>
      <c r="G25" s="625">
        <f t="shared" si="2"/>
        <v>0</v>
      </c>
      <c r="H25" s="682">
        <f t="shared" si="3"/>
        <v>0</v>
      </c>
      <c r="I25" s="646" t="s">
        <v>72</v>
      </c>
      <c r="J25" s="622">
        <v>0</v>
      </c>
      <c r="K25" s="624">
        <f t="shared" si="9"/>
        <v>0</v>
      </c>
      <c r="L25" s="680">
        <f t="shared" si="4"/>
        <v>0</v>
      </c>
      <c r="M25" s="625">
        <f t="shared" si="5"/>
        <v>0</v>
      </c>
      <c r="N25" s="220">
        <f t="shared" si="6"/>
        <v>0</v>
      </c>
      <c r="O25" s="645">
        <f t="shared" si="10"/>
        <v>0</v>
      </c>
      <c r="P25" s="220">
        <f t="shared" si="7"/>
        <v>0</v>
      </c>
      <c r="Q25" s="681">
        <f t="shared" si="8"/>
        <v>0</v>
      </c>
      <c r="R25" s="687">
        <f t="shared" si="11"/>
        <v>0</v>
      </c>
      <c r="S25" s="672"/>
      <c r="T25" s="626">
        <v>1.75</v>
      </c>
      <c r="U25" s="577">
        <f>IF($B25="-",0,IF(AND($C$8="Affordable",$C$9="PSF"),AMI!J14,IF(AND($C$8="Affordable",$C$9="Fixed Amount"),AMI!I14,IF(AND($C$8&lt;&gt;"Affordable",$C$9="PSF"),AMI!J14,IF(AND($C$8&lt;&gt;"Affordable",$C$9="Fixed Amount"),AMI!I14)))))</f>
        <v>0</v>
      </c>
      <c r="V25" s="627">
        <f t="shared" si="12"/>
        <v>1.575</v>
      </c>
      <c r="W25" s="627">
        <f t="shared" si="13"/>
        <v>1.925</v>
      </c>
      <c r="X25" s="205"/>
      <c r="Y25" s="115"/>
      <c r="Z25" s="115"/>
      <c r="AA25" s="115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</row>
    <row r="26" spans="1:88" s="613" customFormat="1" x14ac:dyDescent="0.25">
      <c r="A26" s="115"/>
      <c r="B26" s="807" t="s">
        <v>395</v>
      </c>
      <c r="C26" s="622">
        <v>0</v>
      </c>
      <c r="D26" s="622">
        <v>0</v>
      </c>
      <c r="E26" s="623">
        <f t="shared" si="0"/>
        <v>0</v>
      </c>
      <c r="F26" s="624">
        <f t="shared" si="1"/>
        <v>0</v>
      </c>
      <c r="G26" s="625">
        <f t="shared" si="2"/>
        <v>0</v>
      </c>
      <c r="H26" s="682">
        <f t="shared" si="3"/>
        <v>0</v>
      </c>
      <c r="I26" s="646" t="s">
        <v>72</v>
      </c>
      <c r="J26" s="622">
        <v>0</v>
      </c>
      <c r="K26" s="624">
        <f t="shared" si="9"/>
        <v>0</v>
      </c>
      <c r="L26" s="680">
        <f t="shared" si="4"/>
        <v>0</v>
      </c>
      <c r="M26" s="625">
        <f t="shared" si="5"/>
        <v>0</v>
      </c>
      <c r="N26" s="220">
        <f t="shared" si="6"/>
        <v>0</v>
      </c>
      <c r="O26" s="645">
        <f t="shared" si="10"/>
        <v>0</v>
      </c>
      <c r="P26" s="220">
        <f t="shared" si="7"/>
        <v>0</v>
      </c>
      <c r="Q26" s="681">
        <f t="shared" si="8"/>
        <v>0</v>
      </c>
      <c r="R26" s="687">
        <f t="shared" si="11"/>
        <v>0</v>
      </c>
      <c r="S26" s="672"/>
      <c r="T26" s="626">
        <v>1.65</v>
      </c>
      <c r="U26" s="577">
        <f>IF($B26="-",0,IF(AND($C$8="Affordable",$C$9="PSF"),AMI!J15,IF(AND($C$8="Affordable",$C$9="Fixed Amount"),AMI!I15,IF(AND($C$8&lt;&gt;"Affordable",$C$9="PSF"),AMI!J15,IF(AND($C$8&lt;&gt;"Affordable",$C$9="Fixed Amount"),AMI!I15)))))</f>
        <v>0</v>
      </c>
      <c r="V26" s="627">
        <f t="shared" si="12"/>
        <v>1.4849999999999999</v>
      </c>
      <c r="W26" s="627">
        <f t="shared" si="13"/>
        <v>1.8149999999999999</v>
      </c>
      <c r="X26" s="205"/>
      <c r="Y26" s="115"/>
      <c r="Z26" s="115"/>
      <c r="AA26" s="115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</row>
    <row r="27" spans="1:88" s="613" customFormat="1" x14ac:dyDescent="0.25">
      <c r="A27" s="115"/>
      <c r="B27" s="807" t="s">
        <v>395</v>
      </c>
      <c r="C27" s="622">
        <v>0</v>
      </c>
      <c r="D27" s="622">
        <v>0</v>
      </c>
      <c r="E27" s="623">
        <f t="shared" si="0"/>
        <v>0</v>
      </c>
      <c r="F27" s="624">
        <f t="shared" si="1"/>
        <v>0</v>
      </c>
      <c r="G27" s="625">
        <f t="shared" si="2"/>
        <v>0</v>
      </c>
      <c r="H27" s="682">
        <f t="shared" si="3"/>
        <v>0</v>
      </c>
      <c r="I27" s="646" t="s">
        <v>72</v>
      </c>
      <c r="J27" s="622">
        <v>0</v>
      </c>
      <c r="K27" s="624">
        <f t="shared" si="9"/>
        <v>0</v>
      </c>
      <c r="L27" s="680">
        <f t="shared" si="4"/>
        <v>0</v>
      </c>
      <c r="M27" s="625">
        <f t="shared" si="5"/>
        <v>0</v>
      </c>
      <c r="N27" s="220">
        <f t="shared" si="6"/>
        <v>0</v>
      </c>
      <c r="O27" s="645">
        <f t="shared" si="10"/>
        <v>0</v>
      </c>
      <c r="P27" s="220">
        <f t="shared" si="7"/>
        <v>0</v>
      </c>
      <c r="Q27" s="681">
        <f t="shared" si="8"/>
        <v>0</v>
      </c>
      <c r="R27" s="687">
        <f t="shared" si="11"/>
        <v>0</v>
      </c>
      <c r="S27" s="672"/>
      <c r="T27" s="626">
        <v>1.64</v>
      </c>
      <c r="U27" s="577">
        <f>IF($B27="-",0,IF(AND($C$8="Affordable",$C$9="PSF"),AMI!J16,IF(AND($C$8="Affordable",$C$9="Fixed Amount"),AMI!I16,IF(AND($C$8&lt;&gt;"Affordable",$C$9="PSF"),AMI!J16,IF(AND($C$8&lt;&gt;"Affordable",$C$9="Fixed Amount"),AMI!I16)))))</f>
        <v>0</v>
      </c>
      <c r="V27" s="627">
        <f t="shared" si="12"/>
        <v>1.476</v>
      </c>
      <c r="W27" s="627">
        <f t="shared" si="13"/>
        <v>1.8039999999999998</v>
      </c>
      <c r="X27" s="205"/>
      <c r="Y27" s="115"/>
      <c r="Z27" s="115"/>
      <c r="AA27" s="115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</row>
    <row r="28" spans="1:88" s="613" customFormat="1" outlineLevel="1" x14ac:dyDescent="0.25">
      <c r="A28" s="115"/>
      <c r="B28" s="807" t="s">
        <v>395</v>
      </c>
      <c r="C28" s="622">
        <v>0</v>
      </c>
      <c r="D28" s="622">
        <v>0</v>
      </c>
      <c r="E28" s="623">
        <f t="shared" si="0"/>
        <v>0</v>
      </c>
      <c r="F28" s="624">
        <f t="shared" si="1"/>
        <v>0</v>
      </c>
      <c r="G28" s="625">
        <f t="shared" si="2"/>
        <v>0</v>
      </c>
      <c r="H28" s="682">
        <f t="shared" si="3"/>
        <v>0</v>
      </c>
      <c r="I28" s="646" t="s">
        <v>72</v>
      </c>
      <c r="J28" s="622">
        <v>0</v>
      </c>
      <c r="K28" s="624">
        <f t="shared" si="9"/>
        <v>0</v>
      </c>
      <c r="L28" s="680">
        <f t="shared" si="4"/>
        <v>0</v>
      </c>
      <c r="M28" s="625">
        <f t="shared" si="5"/>
        <v>0</v>
      </c>
      <c r="N28" s="220">
        <f t="shared" si="6"/>
        <v>0</v>
      </c>
      <c r="O28" s="645">
        <f t="shared" si="10"/>
        <v>0</v>
      </c>
      <c r="P28" s="220">
        <f t="shared" si="7"/>
        <v>0</v>
      </c>
      <c r="Q28" s="681">
        <f t="shared" si="8"/>
        <v>0</v>
      </c>
      <c r="R28" s="687">
        <f t="shared" si="11"/>
        <v>0</v>
      </c>
      <c r="S28" s="672"/>
      <c r="T28" s="626">
        <v>1.45</v>
      </c>
      <c r="U28" s="577">
        <f>IF($B28="-",0,IF(AND($C$8="Affordable",$C$9="PSF"),AMI!J17,IF(AND($C$8="Affordable",$C$9="Fixed Amount"),AMI!I17,IF(AND($C$8&lt;&gt;"Affordable",$C$9="PSF"),AMI!J17,IF(AND($C$8&lt;&gt;"Affordable",$C$9="Fixed Amount"),AMI!I17)))))</f>
        <v>0</v>
      </c>
      <c r="V28" s="627">
        <f t="shared" si="12"/>
        <v>1.3049999999999999</v>
      </c>
      <c r="W28" s="627">
        <f t="shared" si="13"/>
        <v>1.595</v>
      </c>
      <c r="X28" s="205"/>
      <c r="Y28" s="115"/>
      <c r="Z28" s="115"/>
      <c r="AA28" s="115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</row>
    <row r="29" spans="1:88" s="613" customFormat="1" outlineLevel="1" x14ac:dyDescent="0.25">
      <c r="A29" s="115"/>
      <c r="B29" s="807" t="s">
        <v>395</v>
      </c>
      <c r="C29" s="622">
        <v>0</v>
      </c>
      <c r="D29" s="622">
        <v>0</v>
      </c>
      <c r="E29" s="623">
        <f t="shared" si="0"/>
        <v>0</v>
      </c>
      <c r="F29" s="624">
        <f t="shared" si="1"/>
        <v>0</v>
      </c>
      <c r="G29" s="625">
        <f t="shared" si="2"/>
        <v>0</v>
      </c>
      <c r="H29" s="682">
        <f t="shared" si="3"/>
        <v>0</v>
      </c>
      <c r="I29" s="646" t="s">
        <v>72</v>
      </c>
      <c r="J29" s="622">
        <v>0</v>
      </c>
      <c r="K29" s="624">
        <f t="shared" si="9"/>
        <v>0</v>
      </c>
      <c r="L29" s="680">
        <f t="shared" si="4"/>
        <v>0</v>
      </c>
      <c r="M29" s="625">
        <f t="shared" si="5"/>
        <v>0</v>
      </c>
      <c r="N29" s="220">
        <f t="shared" si="6"/>
        <v>0</v>
      </c>
      <c r="O29" s="645">
        <f t="shared" si="10"/>
        <v>0</v>
      </c>
      <c r="P29" s="220">
        <f t="shared" si="7"/>
        <v>0</v>
      </c>
      <c r="Q29" s="681">
        <f t="shared" si="8"/>
        <v>0</v>
      </c>
      <c r="R29" s="687">
        <f t="shared" si="11"/>
        <v>0</v>
      </c>
      <c r="S29" s="672"/>
      <c r="T29" s="626">
        <v>1.45</v>
      </c>
      <c r="U29" s="577">
        <f>IF($B29="-",0,IF(AND($C$8="Affordable",$C$9="PSF"),AMI!J18,IF(AND($C$8="Affordable",$C$9="Fixed Amount"),AMI!I18,IF(AND($C$8&lt;&gt;"Affordable",$C$9="PSF"),AMI!J18,IF(AND($C$8&lt;&gt;"Affordable",$C$9="Fixed Amount"),AMI!I18)))))</f>
        <v>0</v>
      </c>
      <c r="V29" s="627">
        <f t="shared" si="12"/>
        <v>1.3049999999999999</v>
      </c>
      <c r="W29" s="627">
        <f t="shared" si="13"/>
        <v>1.595</v>
      </c>
      <c r="X29" s="205"/>
      <c r="Y29" s="115"/>
      <c r="Z29" s="115"/>
      <c r="AA29" s="115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</row>
    <row r="30" spans="1:88" s="613" customFormat="1" outlineLevel="1" x14ac:dyDescent="0.25">
      <c r="A30" s="115"/>
      <c r="B30" s="807" t="s">
        <v>395</v>
      </c>
      <c r="C30" s="622">
        <v>0</v>
      </c>
      <c r="D30" s="622">
        <v>0</v>
      </c>
      <c r="E30" s="623">
        <f t="shared" si="0"/>
        <v>0</v>
      </c>
      <c r="F30" s="624">
        <f t="shared" si="1"/>
        <v>0</v>
      </c>
      <c r="G30" s="625">
        <f t="shared" si="2"/>
        <v>0</v>
      </c>
      <c r="H30" s="682">
        <f t="shared" si="3"/>
        <v>0</v>
      </c>
      <c r="I30" s="646" t="s">
        <v>72</v>
      </c>
      <c r="J30" s="622">
        <v>0</v>
      </c>
      <c r="K30" s="624">
        <f t="shared" si="9"/>
        <v>0</v>
      </c>
      <c r="L30" s="680">
        <f t="shared" si="4"/>
        <v>0</v>
      </c>
      <c r="M30" s="625">
        <f t="shared" si="5"/>
        <v>0</v>
      </c>
      <c r="N30" s="220">
        <f t="shared" si="6"/>
        <v>0</v>
      </c>
      <c r="O30" s="645">
        <f t="shared" si="10"/>
        <v>0</v>
      </c>
      <c r="P30" s="220">
        <f t="shared" si="7"/>
        <v>0</v>
      </c>
      <c r="Q30" s="681">
        <f t="shared" si="8"/>
        <v>0</v>
      </c>
      <c r="R30" s="687">
        <f t="shared" si="11"/>
        <v>0</v>
      </c>
      <c r="S30" s="672"/>
      <c r="T30" s="626">
        <v>1.45</v>
      </c>
      <c r="U30" s="577">
        <f>IF($B30="-",0,IF(AND($C$8="Affordable",$C$9="PSF"),AMI!J19,IF(AND($C$8="Affordable",$C$9="Fixed Amount"),AMI!I19,IF(AND($C$8&lt;&gt;"Affordable",$C$9="PSF"),AMI!J19,IF(AND($C$8&lt;&gt;"Affordable",$C$9="Fixed Amount"),AMI!I19)))))</f>
        <v>0</v>
      </c>
      <c r="V30" s="627">
        <f t="shared" si="12"/>
        <v>1.3049999999999999</v>
      </c>
      <c r="W30" s="627">
        <f t="shared" si="13"/>
        <v>1.595</v>
      </c>
      <c r="X30" s="205"/>
      <c r="Y30" s="115"/>
      <c r="Z30" s="115"/>
      <c r="AA30" s="115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115"/>
      <c r="BN30" s="115"/>
      <c r="BO30" s="115"/>
      <c r="BP30" s="115"/>
      <c r="BQ30" s="115"/>
      <c r="BR30" s="115"/>
      <c r="BS30" s="115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</row>
    <row r="31" spans="1:88" s="631" customFormat="1" outlineLevel="1" x14ac:dyDescent="0.25">
      <c r="A31" s="628"/>
      <c r="B31" s="807" t="s">
        <v>395</v>
      </c>
      <c r="C31" s="629">
        <v>0</v>
      </c>
      <c r="D31" s="629">
        <v>0</v>
      </c>
      <c r="E31" s="623">
        <f t="shared" si="0"/>
        <v>0</v>
      </c>
      <c r="F31" s="624">
        <f t="shared" si="1"/>
        <v>0</v>
      </c>
      <c r="G31" s="625">
        <f t="shared" si="2"/>
        <v>0</v>
      </c>
      <c r="H31" s="682">
        <f t="shared" si="3"/>
        <v>0</v>
      </c>
      <c r="I31" s="844" t="s">
        <v>72</v>
      </c>
      <c r="J31" s="622">
        <v>0</v>
      </c>
      <c r="K31" s="624">
        <f t="shared" si="9"/>
        <v>0</v>
      </c>
      <c r="L31" s="680">
        <f t="shared" si="4"/>
        <v>0</v>
      </c>
      <c r="M31" s="625">
        <f t="shared" si="5"/>
        <v>0</v>
      </c>
      <c r="N31" s="220">
        <f t="shared" si="6"/>
        <v>0</v>
      </c>
      <c r="O31" s="645">
        <f t="shared" si="10"/>
        <v>0</v>
      </c>
      <c r="P31" s="220">
        <f t="shared" si="7"/>
        <v>0</v>
      </c>
      <c r="Q31" s="681">
        <f t="shared" si="8"/>
        <v>0</v>
      </c>
      <c r="R31" s="687">
        <f t="shared" si="11"/>
        <v>0</v>
      </c>
      <c r="S31" s="673"/>
      <c r="T31" s="630">
        <v>1.45</v>
      </c>
      <c r="U31" s="577">
        <f>IF($B31="-",0,IF(AND($C$8="Affordable",$C$9="PSF"),AMI!J20,IF(AND($C$8="Affordable",$C$9="Fixed Amount"),AMI!I20,IF(AND($C$8&lt;&gt;"Affordable",$C$9="PSF"),AMI!J20,IF(AND($C$8&lt;&gt;"Affordable",$C$9="Fixed Amount"),AMI!I20)))))</f>
        <v>0</v>
      </c>
      <c r="V31" s="627">
        <f t="shared" si="12"/>
        <v>1.3049999999999999</v>
      </c>
      <c r="W31" s="627">
        <f t="shared" si="13"/>
        <v>1.595</v>
      </c>
      <c r="X31" s="668"/>
      <c r="Y31" s="628"/>
      <c r="Z31" s="628"/>
      <c r="AA31" s="628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628"/>
      <c r="BN31" s="628"/>
      <c r="BO31" s="628"/>
      <c r="BP31" s="628"/>
      <c r="BQ31" s="628"/>
      <c r="BR31" s="628"/>
      <c r="BS31" s="628"/>
      <c r="BT31" s="628"/>
      <c r="BU31" s="628"/>
      <c r="BV31" s="628"/>
      <c r="BW31" s="628"/>
      <c r="BX31" s="628"/>
      <c r="BY31" s="628"/>
      <c r="BZ31" s="628"/>
      <c r="CA31" s="628"/>
      <c r="CB31" s="628"/>
      <c r="CC31" s="628"/>
      <c r="CD31" s="628"/>
      <c r="CE31" s="628"/>
      <c r="CF31" s="628"/>
    </row>
    <row r="32" spans="1:88" s="631" customFormat="1" outlineLevel="1" x14ac:dyDescent="0.25">
      <c r="A32" s="628"/>
      <c r="B32" s="807" t="s">
        <v>395</v>
      </c>
      <c r="C32" s="629">
        <v>0</v>
      </c>
      <c r="D32" s="629">
        <v>0</v>
      </c>
      <c r="E32" s="623">
        <f t="shared" si="0"/>
        <v>0</v>
      </c>
      <c r="F32" s="624">
        <f t="shared" si="1"/>
        <v>0</v>
      </c>
      <c r="G32" s="625">
        <f t="shared" si="2"/>
        <v>0</v>
      </c>
      <c r="H32" s="682">
        <f t="shared" si="3"/>
        <v>0</v>
      </c>
      <c r="I32" s="844" t="s">
        <v>72</v>
      </c>
      <c r="J32" s="622">
        <v>0</v>
      </c>
      <c r="K32" s="624">
        <f t="shared" si="9"/>
        <v>0</v>
      </c>
      <c r="L32" s="680">
        <f t="shared" si="4"/>
        <v>0</v>
      </c>
      <c r="M32" s="625">
        <f t="shared" si="5"/>
        <v>0</v>
      </c>
      <c r="N32" s="220">
        <f t="shared" si="6"/>
        <v>0</v>
      </c>
      <c r="O32" s="645">
        <f t="shared" si="10"/>
        <v>0</v>
      </c>
      <c r="P32" s="220">
        <f t="shared" si="7"/>
        <v>0</v>
      </c>
      <c r="Q32" s="681">
        <f t="shared" si="8"/>
        <v>0</v>
      </c>
      <c r="R32" s="687">
        <f t="shared" si="11"/>
        <v>0</v>
      </c>
      <c r="S32" s="673"/>
      <c r="T32" s="630">
        <v>1.56</v>
      </c>
      <c r="U32" s="577">
        <f>IF($B32="-",0,IF(AND($C$8="Affordable",$C$9="PSF"),AMI!J21,IF(AND($C$8="Affordable",$C$9="Fixed Amount"),AMI!I21,IF(AND($C$8&lt;&gt;"Affordable",$C$9="PSF"),AMI!J21,IF(AND($C$8&lt;&gt;"Affordable",$C$9="Fixed Amount"),AMI!I21)))))</f>
        <v>0</v>
      </c>
      <c r="V32" s="627">
        <f t="shared" si="12"/>
        <v>1.4039999999999999</v>
      </c>
      <c r="W32" s="627">
        <f t="shared" si="13"/>
        <v>1.7160000000000002</v>
      </c>
      <c r="X32" s="668"/>
      <c r="Y32" s="628"/>
      <c r="Z32" s="628"/>
      <c r="AA32" s="628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628"/>
      <c r="BN32" s="628"/>
      <c r="BO32" s="628"/>
      <c r="BP32" s="628"/>
      <c r="BQ32" s="628"/>
      <c r="BR32" s="628"/>
      <c r="BS32" s="628"/>
      <c r="BT32" s="628"/>
      <c r="BU32" s="628"/>
      <c r="BV32" s="628"/>
      <c r="BW32" s="628"/>
      <c r="BX32" s="628"/>
      <c r="BY32" s="628"/>
      <c r="BZ32" s="628"/>
      <c r="CA32" s="628"/>
      <c r="CB32" s="628"/>
      <c r="CC32" s="628"/>
      <c r="CD32" s="628"/>
      <c r="CE32" s="628"/>
      <c r="CF32" s="628"/>
    </row>
    <row r="33" spans="1:84" s="631" customFormat="1" outlineLevel="1" x14ac:dyDescent="0.25">
      <c r="A33" s="628"/>
      <c r="B33" s="807" t="s">
        <v>395</v>
      </c>
      <c r="C33" s="629">
        <v>0</v>
      </c>
      <c r="D33" s="629">
        <v>0</v>
      </c>
      <c r="E33" s="623">
        <f t="shared" si="0"/>
        <v>0</v>
      </c>
      <c r="F33" s="624">
        <f t="shared" si="1"/>
        <v>0</v>
      </c>
      <c r="G33" s="625">
        <f t="shared" si="2"/>
        <v>0</v>
      </c>
      <c r="H33" s="682">
        <f t="shared" si="3"/>
        <v>0</v>
      </c>
      <c r="I33" s="844" t="s">
        <v>72</v>
      </c>
      <c r="J33" s="622">
        <v>0</v>
      </c>
      <c r="K33" s="624">
        <f t="shared" si="9"/>
        <v>0</v>
      </c>
      <c r="L33" s="680">
        <f t="shared" si="4"/>
        <v>0</v>
      </c>
      <c r="M33" s="625">
        <f t="shared" si="5"/>
        <v>0</v>
      </c>
      <c r="N33" s="220">
        <f t="shared" si="6"/>
        <v>0</v>
      </c>
      <c r="O33" s="645">
        <f t="shared" si="10"/>
        <v>0</v>
      </c>
      <c r="P33" s="220">
        <f t="shared" si="7"/>
        <v>0</v>
      </c>
      <c r="Q33" s="681">
        <f t="shared" si="8"/>
        <v>0</v>
      </c>
      <c r="R33" s="687">
        <f t="shared" si="11"/>
        <v>0</v>
      </c>
      <c r="S33" s="673"/>
      <c r="T33" s="630"/>
      <c r="U33" s="577">
        <f>IF($B33="-",0,IF(AND($C$8="Affordable",$C$9="PSF"),AMI!J22,IF(AND($C$8="Affordable",$C$9="Fixed Amount"),AMI!I22,IF(AND($C$8&lt;&gt;"Affordable",$C$9="PSF"),AMI!J22,IF(AND($C$8&lt;&gt;"Affordable",$C$9="Fixed Amount"),AMI!I22)))))</f>
        <v>0</v>
      </c>
      <c r="V33" s="627">
        <f t="shared" si="12"/>
        <v>0</v>
      </c>
      <c r="W33" s="627">
        <f t="shared" si="13"/>
        <v>0</v>
      </c>
      <c r="X33" s="668"/>
      <c r="Y33" s="628"/>
      <c r="Z33" s="628"/>
      <c r="AA33" s="628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628"/>
      <c r="BN33" s="628"/>
      <c r="BO33" s="628"/>
      <c r="BP33" s="628"/>
      <c r="BQ33" s="628"/>
      <c r="BR33" s="628"/>
      <c r="BS33" s="628"/>
      <c r="BT33" s="628"/>
      <c r="BU33" s="628"/>
      <c r="BV33" s="628"/>
      <c r="BW33" s="628"/>
      <c r="BX33" s="628"/>
      <c r="BY33" s="628"/>
      <c r="BZ33" s="628"/>
      <c r="CA33" s="628"/>
      <c r="CB33" s="628"/>
      <c r="CC33" s="628"/>
      <c r="CD33" s="628"/>
      <c r="CE33" s="628"/>
      <c r="CF33" s="628"/>
    </row>
    <row r="34" spans="1:84" s="631" customFormat="1" outlineLevel="1" x14ac:dyDescent="0.25">
      <c r="A34" s="628"/>
      <c r="B34" s="807" t="s">
        <v>395</v>
      </c>
      <c r="C34" s="629">
        <v>0</v>
      </c>
      <c r="D34" s="629">
        <v>0</v>
      </c>
      <c r="E34" s="623">
        <f t="shared" si="0"/>
        <v>0</v>
      </c>
      <c r="F34" s="624">
        <f t="shared" si="1"/>
        <v>0</v>
      </c>
      <c r="G34" s="625">
        <f t="shared" si="2"/>
        <v>0</v>
      </c>
      <c r="H34" s="682">
        <f t="shared" si="3"/>
        <v>0</v>
      </c>
      <c r="I34" s="844" t="s">
        <v>72</v>
      </c>
      <c r="J34" s="622">
        <v>0</v>
      </c>
      <c r="K34" s="624">
        <f t="shared" si="9"/>
        <v>0</v>
      </c>
      <c r="L34" s="680">
        <f t="shared" si="4"/>
        <v>0</v>
      </c>
      <c r="M34" s="625">
        <f t="shared" si="5"/>
        <v>0</v>
      </c>
      <c r="N34" s="220">
        <f t="shared" si="6"/>
        <v>0</v>
      </c>
      <c r="O34" s="645">
        <f t="shared" si="10"/>
        <v>0</v>
      </c>
      <c r="P34" s="220">
        <f t="shared" si="7"/>
        <v>0</v>
      </c>
      <c r="Q34" s="681">
        <f t="shared" si="8"/>
        <v>0</v>
      </c>
      <c r="R34" s="687">
        <f t="shared" si="11"/>
        <v>0</v>
      </c>
      <c r="S34" s="673"/>
      <c r="T34" s="630"/>
      <c r="U34" s="577">
        <f>IF($B34="-",0,IF(AND($C$8="Affordable",$C$9="PSF"),AMI!J23,IF(AND($C$8="Affordable",$C$9="Fixed Amount"),AMI!I23,IF(AND($C$8&lt;&gt;"Affordable",$C$9="PSF"),AMI!J23,IF(AND($C$8&lt;&gt;"Affordable",$C$9="Fixed Amount"),AMI!I23)))))</f>
        <v>0</v>
      </c>
      <c r="V34" s="627">
        <f t="shared" si="12"/>
        <v>0</v>
      </c>
      <c r="W34" s="627">
        <f t="shared" si="13"/>
        <v>0</v>
      </c>
      <c r="X34" s="668"/>
      <c r="Y34" s="628"/>
      <c r="Z34" s="628"/>
      <c r="AA34" s="628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628"/>
      <c r="BN34" s="628"/>
      <c r="BO34" s="628"/>
      <c r="BP34" s="628"/>
      <c r="BQ34" s="628"/>
      <c r="BR34" s="628"/>
      <c r="BS34" s="628"/>
      <c r="BT34" s="628"/>
      <c r="BU34" s="628"/>
      <c r="BV34" s="628"/>
      <c r="BW34" s="628"/>
      <c r="BX34" s="628"/>
      <c r="BY34" s="628"/>
      <c r="BZ34" s="628"/>
      <c r="CA34" s="628"/>
      <c r="CB34" s="628"/>
      <c r="CC34" s="628"/>
      <c r="CD34" s="628"/>
      <c r="CE34" s="628"/>
      <c r="CF34" s="628"/>
    </row>
    <row r="35" spans="1:84" s="631" customFormat="1" outlineLevel="1" x14ac:dyDescent="0.25">
      <c r="A35" s="628"/>
      <c r="B35" s="807" t="s">
        <v>395</v>
      </c>
      <c r="C35" s="629">
        <v>0</v>
      </c>
      <c r="D35" s="629">
        <v>0</v>
      </c>
      <c r="E35" s="623">
        <f t="shared" si="0"/>
        <v>0</v>
      </c>
      <c r="F35" s="624">
        <f t="shared" si="1"/>
        <v>0</v>
      </c>
      <c r="G35" s="625">
        <f t="shared" si="2"/>
        <v>0</v>
      </c>
      <c r="H35" s="682">
        <f t="shared" si="3"/>
        <v>0</v>
      </c>
      <c r="I35" s="844" t="s">
        <v>72</v>
      </c>
      <c r="J35" s="622">
        <v>0</v>
      </c>
      <c r="K35" s="624">
        <f t="shared" si="9"/>
        <v>0</v>
      </c>
      <c r="L35" s="680">
        <f t="shared" si="4"/>
        <v>0</v>
      </c>
      <c r="M35" s="625">
        <f t="shared" si="5"/>
        <v>0</v>
      </c>
      <c r="N35" s="220">
        <f t="shared" si="6"/>
        <v>0</v>
      </c>
      <c r="O35" s="645">
        <f t="shared" si="10"/>
        <v>0</v>
      </c>
      <c r="P35" s="220">
        <f t="shared" si="7"/>
        <v>0</v>
      </c>
      <c r="Q35" s="681">
        <f t="shared" si="8"/>
        <v>0</v>
      </c>
      <c r="R35" s="687">
        <f t="shared" si="11"/>
        <v>0</v>
      </c>
      <c r="S35" s="673"/>
      <c r="T35" s="630"/>
      <c r="U35" s="577">
        <f>IF($B35="-",0,IF(AND($C$8="Affordable",$C$9="PSF"),AMI!J24,IF(AND($C$8="Affordable",$C$9="Fixed Amount"),AMI!I24,IF(AND($C$8&lt;&gt;"Affordable",$C$9="PSF"),AMI!J24,IF(AND($C$8&lt;&gt;"Affordable",$C$9="Fixed Amount"),AMI!I24)))))</f>
        <v>0</v>
      </c>
      <c r="V35" s="627">
        <f t="shared" si="12"/>
        <v>0</v>
      </c>
      <c r="W35" s="627">
        <f t="shared" si="13"/>
        <v>0</v>
      </c>
      <c r="X35" s="668"/>
      <c r="Y35" s="628"/>
      <c r="Z35" s="628"/>
      <c r="AA35" s="628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628"/>
      <c r="BB35" s="628"/>
      <c r="BC35" s="628"/>
      <c r="BD35" s="628"/>
      <c r="BE35" s="628"/>
      <c r="BF35" s="628"/>
      <c r="BG35" s="628"/>
      <c r="BH35" s="628"/>
      <c r="BI35" s="628"/>
      <c r="BJ35" s="628"/>
      <c r="BK35" s="628"/>
      <c r="BL35" s="628"/>
      <c r="BM35" s="628"/>
      <c r="BN35" s="628"/>
      <c r="BO35" s="628"/>
      <c r="BP35" s="628"/>
      <c r="BQ35" s="628"/>
      <c r="BR35" s="628"/>
      <c r="BS35" s="628"/>
      <c r="BT35" s="628"/>
      <c r="BU35" s="628"/>
      <c r="BV35" s="628"/>
      <c r="BW35" s="628"/>
      <c r="BX35" s="628"/>
      <c r="BY35" s="628"/>
      <c r="BZ35" s="628"/>
      <c r="CA35" s="628"/>
      <c r="CB35" s="628"/>
      <c r="CC35" s="628"/>
      <c r="CD35" s="628"/>
      <c r="CE35" s="628"/>
      <c r="CF35" s="628"/>
    </row>
    <row r="36" spans="1:84" s="631" customFormat="1" outlineLevel="1" x14ac:dyDescent="0.25">
      <c r="A36" s="628"/>
      <c r="B36" s="807" t="s">
        <v>395</v>
      </c>
      <c r="C36" s="629">
        <v>0</v>
      </c>
      <c r="D36" s="629">
        <v>0</v>
      </c>
      <c r="E36" s="623">
        <f t="shared" si="0"/>
        <v>0</v>
      </c>
      <c r="F36" s="624">
        <f t="shared" si="1"/>
        <v>0</v>
      </c>
      <c r="G36" s="625">
        <f t="shared" si="2"/>
        <v>0</v>
      </c>
      <c r="H36" s="682">
        <f t="shared" si="3"/>
        <v>0</v>
      </c>
      <c r="I36" s="844" t="s">
        <v>72</v>
      </c>
      <c r="J36" s="622">
        <v>0</v>
      </c>
      <c r="K36" s="624">
        <f t="shared" si="9"/>
        <v>0</v>
      </c>
      <c r="L36" s="680">
        <f t="shared" si="4"/>
        <v>0</v>
      </c>
      <c r="M36" s="625">
        <f t="shared" si="5"/>
        <v>0</v>
      </c>
      <c r="N36" s="220">
        <f t="shared" si="6"/>
        <v>0</v>
      </c>
      <c r="O36" s="645">
        <f t="shared" si="10"/>
        <v>0</v>
      </c>
      <c r="P36" s="220">
        <f t="shared" si="7"/>
        <v>0</v>
      </c>
      <c r="Q36" s="681">
        <f t="shared" si="8"/>
        <v>0</v>
      </c>
      <c r="R36" s="687">
        <f t="shared" si="11"/>
        <v>0</v>
      </c>
      <c r="S36" s="673"/>
      <c r="T36" s="630"/>
      <c r="U36" s="577">
        <f>IF($B36="-",0,IF(AND($C$8="Affordable",$C$9="PSF"),AMI!J25,IF(AND($C$8="Affordable",$C$9="Fixed Amount"),AMI!I25,IF(AND($C$8&lt;&gt;"Affordable",$C$9="PSF"),AMI!J25,IF(AND($C$8&lt;&gt;"Affordable",$C$9="Fixed Amount"),AMI!I25)))))</f>
        <v>0</v>
      </c>
      <c r="V36" s="627">
        <f t="shared" si="12"/>
        <v>0</v>
      </c>
      <c r="W36" s="627">
        <f t="shared" si="13"/>
        <v>0</v>
      </c>
      <c r="X36" s="668"/>
      <c r="Y36" s="628"/>
      <c r="Z36" s="628"/>
      <c r="AA36" s="62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628"/>
      <c r="AS36" s="628"/>
      <c r="AT36" s="628"/>
      <c r="AU36" s="628"/>
      <c r="AV36" s="628"/>
      <c r="AW36" s="628"/>
      <c r="AX36" s="628"/>
      <c r="AY36" s="628"/>
      <c r="AZ36" s="628"/>
      <c r="BA36" s="628"/>
      <c r="BB36" s="628"/>
      <c r="BC36" s="628"/>
      <c r="BD36" s="628"/>
      <c r="BE36" s="628"/>
      <c r="BF36" s="628"/>
      <c r="BG36" s="628"/>
      <c r="BH36" s="628"/>
      <c r="BI36" s="628"/>
      <c r="BJ36" s="628"/>
      <c r="BK36" s="628"/>
      <c r="BL36" s="628"/>
      <c r="BM36" s="628"/>
      <c r="BN36" s="628"/>
      <c r="BO36" s="628"/>
      <c r="BP36" s="628"/>
      <c r="BQ36" s="628"/>
      <c r="BR36" s="628"/>
      <c r="BS36" s="628"/>
      <c r="BT36" s="628"/>
      <c r="BU36" s="628"/>
      <c r="BV36" s="628"/>
      <c r="BW36" s="628"/>
      <c r="BX36" s="628"/>
      <c r="BY36" s="628"/>
      <c r="BZ36" s="628"/>
      <c r="CA36" s="628"/>
      <c r="CB36" s="628"/>
      <c r="CC36" s="628"/>
      <c r="CD36" s="628"/>
      <c r="CE36" s="628"/>
      <c r="CF36" s="628"/>
    </row>
    <row r="37" spans="1:84" s="613" customFormat="1" outlineLevel="1" x14ac:dyDescent="0.25">
      <c r="A37" s="115"/>
      <c r="B37" s="807" t="s">
        <v>395</v>
      </c>
      <c r="C37" s="780">
        <v>0</v>
      </c>
      <c r="D37" s="780">
        <v>0</v>
      </c>
      <c r="E37" s="623">
        <f t="shared" si="0"/>
        <v>0</v>
      </c>
      <c r="F37" s="624">
        <f t="shared" si="1"/>
        <v>0</v>
      </c>
      <c r="G37" s="625">
        <f t="shared" si="2"/>
        <v>0</v>
      </c>
      <c r="H37" s="682">
        <f t="shared" si="3"/>
        <v>0</v>
      </c>
      <c r="I37" s="844" t="s">
        <v>72</v>
      </c>
      <c r="J37" s="622">
        <v>0</v>
      </c>
      <c r="K37" s="624">
        <f t="shared" si="9"/>
        <v>0</v>
      </c>
      <c r="L37" s="680">
        <f t="shared" si="4"/>
        <v>0</v>
      </c>
      <c r="M37" s="625">
        <f t="shared" si="5"/>
        <v>0</v>
      </c>
      <c r="N37" s="220">
        <f t="shared" si="6"/>
        <v>0</v>
      </c>
      <c r="O37" s="645">
        <f t="shared" si="10"/>
        <v>0</v>
      </c>
      <c r="P37" s="220">
        <f t="shared" si="7"/>
        <v>0</v>
      </c>
      <c r="Q37" s="681">
        <f t="shared" si="8"/>
        <v>0</v>
      </c>
      <c r="R37" s="687">
        <f t="shared" si="11"/>
        <v>0</v>
      </c>
      <c r="S37" s="672"/>
      <c r="T37" s="577"/>
      <c r="U37" s="577">
        <f>IF($B37="-",0,IF(AND($C$8="Affordable",$C$9="PSF"),AMI!J26,IF(AND($C$8="Affordable",$C$9="Fixed Amount"),AMI!I26,IF(AND($C$8&lt;&gt;"Affordable",$C$9="PSF"),AMI!J26,IF(AND($C$8&lt;&gt;"Affordable",$C$9="Fixed Amount"),AMI!I26)))))</f>
        <v>0</v>
      </c>
      <c r="V37" s="627">
        <f t="shared" si="12"/>
        <v>0</v>
      </c>
      <c r="W37" s="627">
        <f t="shared" si="13"/>
        <v>0</v>
      </c>
      <c r="X37" s="205"/>
      <c r="Y37" s="115"/>
      <c r="Z37" s="115"/>
      <c r="AA37" s="115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115"/>
      <c r="AS37" s="115"/>
      <c r="AT37" s="115"/>
      <c r="AU37" s="115"/>
      <c r="AV37" s="115"/>
      <c r="AW37" s="115"/>
      <c r="AX37" s="115"/>
      <c r="AY37" s="115"/>
      <c r="AZ37" s="115"/>
      <c r="BA37" s="115"/>
      <c r="BB37" s="115"/>
      <c r="BC37" s="115"/>
      <c r="BD37" s="115"/>
      <c r="BE37" s="115"/>
      <c r="BF37" s="115"/>
      <c r="BG37" s="115"/>
      <c r="BH37" s="115"/>
      <c r="BI37" s="115"/>
      <c r="BJ37" s="115"/>
      <c r="BK37" s="115"/>
      <c r="BL37" s="115"/>
      <c r="BM37" s="115"/>
      <c r="BN37" s="115"/>
      <c r="BO37" s="115"/>
      <c r="BP37" s="115"/>
      <c r="BQ37" s="115"/>
      <c r="BR37" s="115"/>
      <c r="BS37" s="115"/>
      <c r="BT37" s="115"/>
      <c r="BU37" s="115"/>
      <c r="BV37" s="115"/>
      <c r="BW37" s="115"/>
      <c r="BX37" s="115"/>
      <c r="BY37" s="115"/>
      <c r="BZ37" s="115"/>
      <c r="CA37" s="115"/>
      <c r="CB37" s="115"/>
      <c r="CC37" s="115"/>
      <c r="CD37" s="115"/>
      <c r="CE37" s="115"/>
      <c r="CF37" s="115"/>
    </row>
    <row r="38" spans="1:84" s="613" customFormat="1" outlineLevel="1" x14ac:dyDescent="0.25">
      <c r="A38" s="115"/>
      <c r="B38" s="807" t="s">
        <v>395</v>
      </c>
      <c r="C38" s="622">
        <v>0</v>
      </c>
      <c r="D38" s="622">
        <v>0</v>
      </c>
      <c r="E38" s="623">
        <f t="shared" si="0"/>
        <v>0</v>
      </c>
      <c r="F38" s="624">
        <f t="shared" si="1"/>
        <v>0</v>
      </c>
      <c r="G38" s="625">
        <f t="shared" si="2"/>
        <v>0</v>
      </c>
      <c r="H38" s="682">
        <f t="shared" si="3"/>
        <v>0</v>
      </c>
      <c r="I38" s="844" t="s">
        <v>72</v>
      </c>
      <c r="J38" s="622">
        <v>0</v>
      </c>
      <c r="K38" s="624">
        <f t="shared" si="9"/>
        <v>0</v>
      </c>
      <c r="L38" s="680">
        <f t="shared" si="4"/>
        <v>0</v>
      </c>
      <c r="M38" s="625">
        <f t="shared" si="5"/>
        <v>0</v>
      </c>
      <c r="N38" s="220">
        <f t="shared" si="6"/>
        <v>0</v>
      </c>
      <c r="O38" s="645">
        <f t="shared" si="10"/>
        <v>0</v>
      </c>
      <c r="P38" s="220">
        <f t="shared" si="7"/>
        <v>0</v>
      </c>
      <c r="Q38" s="681">
        <f t="shared" si="8"/>
        <v>0</v>
      </c>
      <c r="R38" s="687">
        <f t="shared" si="11"/>
        <v>0</v>
      </c>
      <c r="S38" s="672"/>
      <c r="T38" s="577"/>
      <c r="U38" s="577">
        <f>IF($B38="-",0,IF(AND($C$8="Affordable",$C$9="PSF"),AMI!J27,IF(AND($C$8="Affordable",$C$9="Fixed Amount"),AMI!I27,IF(AND($C$8&lt;&gt;"Affordable",$C$9="PSF"),AMI!J27,IF(AND($C$8&lt;&gt;"Affordable",$C$9="Fixed Amount"),AMI!I27)))))</f>
        <v>0</v>
      </c>
      <c r="V38" s="627">
        <f t="shared" si="12"/>
        <v>0</v>
      </c>
      <c r="W38" s="627">
        <f t="shared" si="13"/>
        <v>0</v>
      </c>
      <c r="X38" s="205"/>
      <c r="Y38" s="115"/>
      <c r="Z38" s="115"/>
      <c r="AA38" s="115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</row>
    <row r="39" spans="1:84" s="613" customFormat="1" outlineLevel="1" x14ac:dyDescent="0.25">
      <c r="A39" s="115"/>
      <c r="B39" s="807" t="s">
        <v>395</v>
      </c>
      <c r="C39" s="622">
        <v>0</v>
      </c>
      <c r="D39" s="622">
        <v>0</v>
      </c>
      <c r="E39" s="623">
        <f t="shared" si="0"/>
        <v>0</v>
      </c>
      <c r="F39" s="624">
        <f t="shared" si="1"/>
        <v>0</v>
      </c>
      <c r="G39" s="625">
        <f t="shared" si="2"/>
        <v>0</v>
      </c>
      <c r="H39" s="682">
        <f t="shared" si="3"/>
        <v>0</v>
      </c>
      <c r="I39" s="844" t="s">
        <v>72</v>
      </c>
      <c r="J39" s="622">
        <v>0</v>
      </c>
      <c r="K39" s="624">
        <f t="shared" si="9"/>
        <v>0</v>
      </c>
      <c r="L39" s="680">
        <f t="shared" si="4"/>
        <v>0</v>
      </c>
      <c r="M39" s="625">
        <f t="shared" si="5"/>
        <v>0</v>
      </c>
      <c r="N39" s="220">
        <f t="shared" si="6"/>
        <v>0</v>
      </c>
      <c r="O39" s="645">
        <f t="shared" si="10"/>
        <v>0</v>
      </c>
      <c r="P39" s="220">
        <f t="shared" si="7"/>
        <v>0</v>
      </c>
      <c r="Q39" s="681">
        <f t="shared" si="8"/>
        <v>0</v>
      </c>
      <c r="R39" s="687">
        <f t="shared" si="11"/>
        <v>0</v>
      </c>
      <c r="S39" s="672"/>
      <c r="T39" s="577"/>
      <c r="U39" s="577">
        <f>IF($B39="-",0,IF(AND($C$8="Affordable",$C$9="PSF"),AMI!J28,IF(AND($C$8="Affordable",$C$9="Fixed Amount"),AMI!I28,IF(AND($C$8&lt;&gt;"Affordable",$C$9="PSF"),AMI!J28,IF(AND($C$8&lt;&gt;"Affordable",$C$9="Fixed Amount"),AMI!I28)))))</f>
        <v>0</v>
      </c>
      <c r="V39" s="627">
        <f t="shared" si="12"/>
        <v>0</v>
      </c>
      <c r="W39" s="627">
        <f t="shared" si="13"/>
        <v>0</v>
      </c>
      <c r="X39" s="205"/>
      <c r="Y39" s="115"/>
      <c r="Z39" s="115"/>
      <c r="AA39" s="115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</row>
    <row r="40" spans="1:84" s="613" customFormat="1" outlineLevel="1" x14ac:dyDescent="0.25">
      <c r="A40" s="115"/>
      <c r="B40" s="807" t="s">
        <v>395</v>
      </c>
      <c r="C40" s="622">
        <v>0</v>
      </c>
      <c r="D40" s="622">
        <v>0</v>
      </c>
      <c r="E40" s="623">
        <f t="shared" si="0"/>
        <v>0</v>
      </c>
      <c r="F40" s="624">
        <f t="shared" si="1"/>
        <v>0</v>
      </c>
      <c r="G40" s="625">
        <f t="shared" si="2"/>
        <v>0</v>
      </c>
      <c r="H40" s="682">
        <f t="shared" si="3"/>
        <v>0</v>
      </c>
      <c r="I40" s="844" t="s">
        <v>72</v>
      </c>
      <c r="J40" s="622">
        <v>0</v>
      </c>
      <c r="K40" s="624">
        <f t="shared" si="9"/>
        <v>0</v>
      </c>
      <c r="L40" s="680">
        <f t="shared" si="4"/>
        <v>0</v>
      </c>
      <c r="M40" s="625">
        <f t="shared" si="5"/>
        <v>0</v>
      </c>
      <c r="N40" s="220">
        <f t="shared" si="6"/>
        <v>0</v>
      </c>
      <c r="O40" s="645">
        <f t="shared" si="10"/>
        <v>0</v>
      </c>
      <c r="P40" s="220">
        <f t="shared" si="7"/>
        <v>0</v>
      </c>
      <c r="Q40" s="681">
        <f t="shared" si="8"/>
        <v>0</v>
      </c>
      <c r="R40" s="687">
        <f t="shared" si="11"/>
        <v>0</v>
      </c>
      <c r="S40" s="672"/>
      <c r="T40" s="577"/>
      <c r="U40" s="577">
        <f>IF($B40="-",0,IF(AND($C$8="Affordable",$C$9="PSF"),AMI!J29,IF(AND($C$8="Affordable",$C$9="Fixed Amount"),AMI!I29,IF(AND($C$8&lt;&gt;"Affordable",$C$9="PSF"),AMI!J29,IF(AND($C$8&lt;&gt;"Affordable",$C$9="Fixed Amount"),AMI!I29)))))</f>
        <v>0</v>
      </c>
      <c r="V40" s="627">
        <f t="shared" si="12"/>
        <v>0</v>
      </c>
      <c r="W40" s="627">
        <f t="shared" si="13"/>
        <v>0</v>
      </c>
      <c r="X40" s="205"/>
      <c r="Y40" s="115"/>
      <c r="Z40" s="115"/>
      <c r="AA40" s="115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</row>
    <row r="41" spans="1:84" s="613" customFormat="1" outlineLevel="1" x14ac:dyDescent="0.25">
      <c r="A41" s="115"/>
      <c r="B41" s="807" t="s">
        <v>395</v>
      </c>
      <c r="C41" s="622">
        <v>0</v>
      </c>
      <c r="D41" s="622">
        <v>0</v>
      </c>
      <c r="E41" s="623">
        <f t="shared" si="0"/>
        <v>0</v>
      </c>
      <c r="F41" s="624">
        <f t="shared" si="1"/>
        <v>0</v>
      </c>
      <c r="G41" s="625">
        <f t="shared" si="2"/>
        <v>0</v>
      </c>
      <c r="H41" s="682">
        <f t="shared" si="3"/>
        <v>0</v>
      </c>
      <c r="I41" s="844" t="s">
        <v>72</v>
      </c>
      <c r="J41" s="622">
        <v>0</v>
      </c>
      <c r="K41" s="624">
        <f t="shared" si="9"/>
        <v>0</v>
      </c>
      <c r="L41" s="680">
        <f t="shared" si="4"/>
        <v>0</v>
      </c>
      <c r="M41" s="625">
        <f t="shared" si="5"/>
        <v>0</v>
      </c>
      <c r="N41" s="220">
        <f t="shared" si="6"/>
        <v>0</v>
      </c>
      <c r="O41" s="645">
        <f t="shared" si="10"/>
        <v>0</v>
      </c>
      <c r="P41" s="220">
        <f t="shared" si="7"/>
        <v>0</v>
      </c>
      <c r="Q41" s="681">
        <f t="shared" si="8"/>
        <v>0</v>
      </c>
      <c r="R41" s="687">
        <f t="shared" si="11"/>
        <v>0</v>
      </c>
      <c r="S41" s="672"/>
      <c r="T41" s="577"/>
      <c r="U41" s="577">
        <f>IF($B41="-",0,IF(AND($C$8="Affordable",$C$9="PSF"),AMI!J30,IF(AND($C$8="Affordable",$C$9="Fixed Amount"),AMI!I30,IF(AND($C$8&lt;&gt;"Affordable",$C$9="PSF"),AMI!J30,IF(AND($C$8&lt;&gt;"Affordable",$C$9="Fixed Amount"),AMI!I30)))))</f>
        <v>0</v>
      </c>
      <c r="V41" s="627">
        <f t="shared" si="12"/>
        <v>0</v>
      </c>
      <c r="W41" s="627">
        <f t="shared" si="13"/>
        <v>0</v>
      </c>
      <c r="X41" s="205"/>
      <c r="Y41" s="115"/>
      <c r="Z41" s="115"/>
      <c r="AA41" s="11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</row>
    <row r="42" spans="1:84" s="613" customFormat="1" x14ac:dyDescent="0.25">
      <c r="A42" s="115"/>
      <c r="B42" s="690" t="str">
        <f>IF($C$8="Market","Total - Market",IF($C$8="Affordable","Total - Affordable",IF($C$8="Stressed","Total - Stressed",IF($C$8="Favorable","Total - Favorable"))))</f>
        <v>Total - Market</v>
      </c>
      <c r="C42" s="632">
        <f>SUMIFS($C$17:$C$41,$B$17:$B$41,"&lt;&gt;"&amp;"-")</f>
        <v>240</v>
      </c>
      <c r="D42" s="633"/>
      <c r="E42" s="632">
        <f>SUMIFS($E$17:$E$41,$B$17:$B$41,"&lt;&gt;"&amp;"-")</f>
        <v>218112</v>
      </c>
      <c r="F42" s="634">
        <f>SUMIFS($F$17:$F$41,$B$17:$B$41,"&lt;&gt;"&amp;"-")</f>
        <v>0.99999999999999989</v>
      </c>
      <c r="G42" s="635"/>
      <c r="H42" s="635"/>
      <c r="I42" s="635"/>
      <c r="J42" s="667" t="str">
        <f>IF($C$8&lt;&gt;"Affordable","",SUMIFS($J$17:$J$41,$B$17:$B$41,"&lt;&gt;"&amp;"-"))</f>
        <v/>
      </c>
      <c r="K42" s="634" t="str">
        <f>IF($C$8&lt;&gt;"Affordable","",SUMIFS($K$17:$K$41,$B$17:$B$41,"&lt;&gt;"&amp;"-"))</f>
        <v/>
      </c>
      <c r="L42" s="667" t="str">
        <f>IF($C$8&lt;&gt;"Affordable","",SUMIFS($L$17:$L$41,$B$17:$B$41,"&lt;&gt;"&amp;"-"))</f>
        <v/>
      </c>
      <c r="M42" s="635"/>
      <c r="N42" s="635"/>
      <c r="O42" s="635"/>
      <c r="P42" s="635"/>
      <c r="Q42" s="636">
        <f>SUMIFS($Q$17:$Q$41,$B$17:$B$41,"&lt;&gt;"&amp;"-")</f>
        <v>460800</v>
      </c>
      <c r="R42" s="688">
        <f>SUMIFS($R$17:$R$41,$B$17:$B$41,"&lt;&gt;"&amp;"-")</f>
        <v>5529600</v>
      </c>
      <c r="S42" s="674"/>
      <c r="T42" s="637"/>
      <c r="U42" s="633"/>
      <c r="V42" s="633"/>
      <c r="W42" s="633"/>
      <c r="X42" s="205"/>
      <c r="Y42" s="115"/>
      <c r="Z42" s="115"/>
      <c r="AA42" s="11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</row>
    <row r="43" spans="1:84" s="613" customFormat="1" x14ac:dyDescent="0.25">
      <c r="A43" s="115"/>
      <c r="B43" s="691" t="str">
        <f>IF($C$8="Market","Average - Market",IF($C$8="Affordable","Average - Affordable",IF($C$8="Stressed","Average - Stressed",IF($C$8="Favorable","Average - Favorable"))))</f>
        <v>Average - Market</v>
      </c>
      <c r="C43" s="638"/>
      <c r="D43" s="639" cm="1">
        <f t="array" ref="D43">SUMPRODUCT(--($B$17:$B$41&lt;&gt;"-"),$D$17:$D$41,$C$17:$C$41)/$C$42</f>
        <v>908.8</v>
      </c>
      <c r="E43" s="638"/>
      <c r="F43" s="638"/>
      <c r="G43" s="640" cm="1">
        <f t="array" ref="G43">SUMPRODUCT(--($B$17:$B$41&lt;&gt;"-"),$G$17:$G$41,$C$17:$C$41)/$C$42</f>
        <v>2.1635408792122215</v>
      </c>
      <c r="H43" s="641" cm="1">
        <f t="array" ref="H43">SUMPRODUCT(--($B$17:$B$41&lt;&gt;"-"),$H$17:$H$41,$C$17:$C$41)/$C$42</f>
        <v>1920</v>
      </c>
      <c r="I43" s="678"/>
      <c r="J43" s="639"/>
      <c r="K43" s="641"/>
      <c r="L43" s="641"/>
      <c r="M43" s="640" t="str" cm="1">
        <f t="array" ref="M43">IF($C$8&lt;&gt;"Affordable","",SUMPRODUCT(--($B$17:$B$41&lt;&gt;"-"),$M$17:$M$41,$C$17:$C$41)/$C$42)</f>
        <v/>
      </c>
      <c r="N43" s="641" t="str" cm="1">
        <f t="array" ref="N43">IF($C$8&lt;&gt;"Affordable","",SUMPRODUCT(--($B$17:$B$41&lt;&gt;"-"),$N$17:$N$41,$C$17:$C$41)/$C$42)</f>
        <v/>
      </c>
      <c r="O43" s="640" t="str" cm="1">
        <f t="array" ref="O43">IF($C$8&lt;&gt;"Affordable","",SUMPRODUCT(--($B$17:$B$41&lt;&gt;"-"),$O$17:$O$41,$C$17:$C$41)/$C$42)</f>
        <v/>
      </c>
      <c r="P43" s="641" t="str" cm="1">
        <f t="array" ref="P43">IF($C$8&lt;&gt;"Affordable","",SUMPRODUCT(--($B$17:$B$41&lt;&gt;"-"),$P$17:$P$41,$C$17:$C$41)/$C$42)</f>
        <v/>
      </c>
      <c r="Q43" s="642"/>
      <c r="R43" s="689"/>
      <c r="S43" s="675"/>
      <c r="T43" s="643" cm="1">
        <f t="array" ref="T43">SUMPRODUCT(--($B$17:$B$41&lt;&gt;"-"),$T$17:$T$41,$C$17:$C$41)/$C$42</f>
        <v>1920</v>
      </c>
      <c r="U43" s="643" cm="1">
        <f t="array" ref="U43">SUMPRODUCT(--($B$17:$B$41&lt;&gt;"-"),$U$17:$U$41,$C$17:$C$41)/$C$42</f>
        <v>1026.3499999999999</v>
      </c>
      <c r="V43" s="643" cm="1">
        <f t="array" ref="V43">SUMPRODUCT(--($B$17:$B$41&lt;&gt;"-"),$V$17:$V$41,$C$17:$C$41)/$C$42</f>
        <v>1728</v>
      </c>
      <c r="W43" s="643" cm="1">
        <f t="array" ref="W43">SUMPRODUCT(--($B$17:$B$41&lt;&gt;"-"),$W$17:$W$41,$C$17:$C$41)/$C$42</f>
        <v>2112</v>
      </c>
      <c r="X43" s="205"/>
      <c r="Y43" s="115"/>
      <c r="Z43" s="115"/>
      <c r="AA43" s="11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</row>
    <row r="44" spans="1:84" s="613" customFormat="1" x14ac:dyDescent="0.25">
      <c r="A44" s="115"/>
      <c r="B44" s="115"/>
      <c r="C44" s="115"/>
      <c r="D44" s="115"/>
      <c r="E44" s="115"/>
      <c r="F44" s="115"/>
      <c r="G44" s="577"/>
      <c r="H44" s="577"/>
      <c r="I44" s="577"/>
      <c r="J44" s="577"/>
      <c r="K44" s="577"/>
      <c r="L44" s="577"/>
      <c r="M44" s="577"/>
      <c r="N44" s="577"/>
      <c r="O44" s="577"/>
      <c r="P44" s="577"/>
      <c r="Q44" s="577"/>
      <c r="R44" s="577"/>
      <c r="S44" s="115"/>
      <c r="T44" s="612"/>
      <c r="U44" s="115"/>
      <c r="V44" s="115"/>
      <c r="W44" s="115"/>
      <c r="X44" s="115"/>
      <c r="Y44" s="115"/>
      <c r="Z44" s="115"/>
      <c r="AA44" s="11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</row>
    <row r="45" spans="1:84" s="613" customFormat="1" x14ac:dyDescent="0.25">
      <c r="A45" s="115"/>
      <c r="B45" s="115"/>
      <c r="C45" s="115"/>
      <c r="D45" s="115"/>
      <c r="E45" s="115"/>
      <c r="F45" s="115"/>
      <c r="G45" s="644"/>
      <c r="H45" s="220"/>
      <c r="I45" s="220"/>
      <c r="J45" s="220"/>
      <c r="K45" s="220"/>
      <c r="L45" s="220"/>
      <c r="M45" s="220"/>
      <c r="N45" s="220"/>
      <c r="O45" s="220"/>
      <c r="P45" s="220"/>
      <c r="Q45" s="577"/>
      <c r="R45" s="577"/>
      <c r="S45" s="115"/>
      <c r="T45" s="612"/>
      <c r="U45" s="115"/>
      <c r="V45" s="115"/>
      <c r="W45" s="115"/>
      <c r="X45" s="115"/>
      <c r="Y45" s="115"/>
      <c r="Z45" s="115"/>
      <c r="AA45" s="11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</row>
    <row r="46" spans="1:84" s="613" customFormat="1" x14ac:dyDescent="0.25">
      <c r="A46" s="115"/>
      <c r="B46" s="115"/>
      <c r="C46" s="115"/>
      <c r="D46" s="115"/>
      <c r="E46" s="577"/>
      <c r="F46" s="577"/>
      <c r="G46" s="577"/>
      <c r="H46" s="577"/>
      <c r="I46" s="577"/>
      <c r="J46" s="577"/>
      <c r="K46" s="577"/>
      <c r="L46" s="577"/>
      <c r="M46" s="577"/>
      <c r="N46" s="577"/>
      <c r="O46" s="577"/>
      <c r="P46" s="577"/>
      <c r="Q46" s="577"/>
      <c r="R46" s="577"/>
      <c r="S46" s="115"/>
      <c r="T46" s="612"/>
      <c r="U46" s="115"/>
      <c r="V46" s="115"/>
      <c r="W46" s="115"/>
      <c r="X46" s="115"/>
      <c r="Y46" s="115"/>
      <c r="Z46" s="115"/>
      <c r="AA46" s="115"/>
      <c r="AB46" s="2"/>
      <c r="AC46" s="2"/>
      <c r="AD46" s="2"/>
      <c r="AE46" s="2"/>
      <c r="AF46" s="2"/>
      <c r="AG46" s="2"/>
      <c r="AH46" s="2"/>
      <c r="AI46" s="2"/>
      <c r="AJ46" s="2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</row>
    <row r="47" spans="1:84" s="613" customFormat="1" x14ac:dyDescent="0.25">
      <c r="A47" s="115"/>
      <c r="B47" s="115"/>
      <c r="C47" s="115"/>
      <c r="D47" s="115"/>
      <c r="E47" s="577"/>
      <c r="F47" s="577"/>
      <c r="G47" s="577"/>
      <c r="H47" s="577"/>
      <c r="I47" s="577"/>
      <c r="J47" s="577"/>
      <c r="K47" s="577"/>
      <c r="L47" s="577"/>
      <c r="M47" s="577"/>
      <c r="N47" s="577"/>
      <c r="O47" s="577"/>
      <c r="P47" s="577"/>
      <c r="Q47" s="577"/>
      <c r="R47" s="577"/>
      <c r="S47" s="115"/>
      <c r="T47" s="612"/>
      <c r="U47" s="115"/>
      <c r="V47" s="115"/>
      <c r="W47" s="115"/>
      <c r="X47" s="115"/>
      <c r="Y47" s="115"/>
      <c r="Z47" s="115"/>
      <c r="AA47" s="115"/>
      <c r="AB47" s="2"/>
      <c r="AC47" s="2"/>
      <c r="AD47" s="2"/>
      <c r="AE47" s="2"/>
      <c r="AF47" s="2"/>
      <c r="AG47" s="2"/>
      <c r="AH47" s="2"/>
      <c r="AI47" s="2"/>
      <c r="AJ47" s="2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</row>
    <row r="48" spans="1:84" s="613" customFormat="1" x14ac:dyDescent="0.25">
      <c r="A48" s="115"/>
      <c r="B48" s="115"/>
      <c r="C48" s="115"/>
      <c r="D48" s="115"/>
      <c r="E48" s="577"/>
      <c r="F48" s="577"/>
      <c r="G48" s="577"/>
      <c r="H48" s="577"/>
      <c r="I48" s="577"/>
      <c r="J48" s="577"/>
      <c r="K48" s="577"/>
      <c r="L48" s="577"/>
      <c r="M48" s="577"/>
      <c r="N48" s="577"/>
      <c r="O48" s="577"/>
      <c r="P48" s="577"/>
      <c r="Q48" s="577"/>
      <c r="R48" s="577"/>
      <c r="S48" s="115"/>
      <c r="T48" s="612"/>
      <c r="U48" s="115"/>
      <c r="V48" s="115"/>
      <c r="W48" s="115"/>
      <c r="X48" s="115"/>
      <c r="Y48" s="115"/>
      <c r="Z48" s="115"/>
      <c r="AA48" s="115"/>
      <c r="AB48" s="2"/>
      <c r="AC48" s="2"/>
      <c r="AD48" s="2"/>
      <c r="AE48" s="2"/>
      <c r="AF48" s="2"/>
      <c r="AG48" s="2"/>
      <c r="AH48" s="2"/>
      <c r="AI48" s="2"/>
      <c r="AJ48" s="2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</row>
    <row r="49" spans="1:84" s="613" customFormat="1" x14ac:dyDescent="0.25">
      <c r="A49" s="115"/>
      <c r="B49" s="115"/>
      <c r="C49" s="115"/>
      <c r="D49" s="115"/>
      <c r="E49" s="115"/>
      <c r="F49" s="115"/>
      <c r="G49" s="577"/>
      <c r="H49" s="577"/>
      <c r="I49" s="577"/>
      <c r="J49" s="577"/>
      <c r="K49" s="577"/>
      <c r="L49" s="577"/>
      <c r="M49" s="577"/>
      <c r="N49" s="577"/>
      <c r="O49" s="577"/>
      <c r="P49" s="577"/>
      <c r="Q49" s="577"/>
      <c r="R49" s="577"/>
      <c r="S49" s="115"/>
      <c r="T49" s="612"/>
      <c r="U49" s="115"/>
      <c r="V49" s="115"/>
      <c r="W49" s="115"/>
      <c r="X49" s="115"/>
      <c r="Y49" s="115"/>
      <c r="Z49" s="115"/>
      <c r="AA49" s="115"/>
      <c r="AB49" s="2"/>
      <c r="AC49" s="2"/>
      <c r="AD49" s="2"/>
      <c r="AE49" s="2"/>
      <c r="AF49" s="2"/>
      <c r="AG49" s="2"/>
      <c r="AH49" s="2"/>
      <c r="AI49" s="2"/>
      <c r="AJ49" s="2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</row>
    <row r="50" spans="1:84" s="613" customFormat="1" x14ac:dyDescent="0.25">
      <c r="A50" s="115"/>
      <c r="B50" s="115"/>
      <c r="C50" s="115"/>
      <c r="D50" s="115"/>
      <c r="E50" s="115"/>
      <c r="F50" s="115"/>
      <c r="G50" s="577"/>
      <c r="H50" s="577"/>
      <c r="I50" s="577"/>
      <c r="J50" s="577"/>
      <c r="K50" s="577"/>
      <c r="L50" s="577"/>
      <c r="M50" s="577"/>
      <c r="N50" s="577"/>
      <c r="O50" s="577"/>
      <c r="P50" s="577"/>
      <c r="Q50" s="577"/>
      <c r="R50" s="577"/>
      <c r="S50" s="115"/>
      <c r="T50" s="612"/>
      <c r="U50" s="115"/>
      <c r="V50" s="115"/>
      <c r="W50" s="115"/>
      <c r="X50" s="115"/>
      <c r="Y50" s="115"/>
      <c r="Z50" s="115"/>
      <c r="AA50" s="115"/>
      <c r="AB50" s="2"/>
      <c r="AC50" s="2"/>
      <c r="AD50" s="2"/>
      <c r="AE50" s="2"/>
      <c r="AF50" s="2"/>
      <c r="AG50" s="2"/>
      <c r="AH50" s="2"/>
      <c r="AI50" s="2"/>
      <c r="AJ50" s="2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</row>
    <row r="51" spans="1:84" s="613" customFormat="1" x14ac:dyDescent="0.25">
      <c r="A51" s="115"/>
      <c r="B51" s="115"/>
      <c r="C51" s="115"/>
      <c r="D51" s="115"/>
      <c r="E51" s="115"/>
      <c r="F51" s="115"/>
      <c r="G51" s="577"/>
      <c r="H51" s="577"/>
      <c r="I51" s="577"/>
      <c r="J51" s="577"/>
      <c r="K51" s="577"/>
      <c r="L51" s="577"/>
      <c r="M51" s="577"/>
      <c r="N51" s="577"/>
      <c r="O51" s="577"/>
      <c r="P51" s="577"/>
      <c r="Q51" s="577"/>
      <c r="R51" s="577"/>
      <c r="S51" s="115"/>
      <c r="T51" s="612"/>
      <c r="U51" s="115"/>
      <c r="V51" s="115"/>
      <c r="W51" s="115"/>
      <c r="X51" s="115"/>
      <c r="Y51" s="115"/>
      <c r="Z51" s="115"/>
      <c r="AA51" s="115"/>
      <c r="AB51" s="2"/>
      <c r="AC51" s="2"/>
      <c r="AD51" s="2"/>
      <c r="AE51" s="2"/>
      <c r="AF51" s="2"/>
      <c r="AG51" s="2"/>
      <c r="AH51" s="2"/>
      <c r="AI51" s="2"/>
      <c r="AJ51" s="2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</row>
    <row r="52" spans="1:84" s="613" customFormat="1" x14ac:dyDescent="0.25">
      <c r="A52" s="115"/>
      <c r="B52" s="115"/>
      <c r="C52" s="115"/>
      <c r="D52" s="115"/>
      <c r="E52" s="115"/>
      <c r="F52" s="115"/>
      <c r="G52" s="577"/>
      <c r="H52" s="577"/>
      <c r="I52" s="577"/>
      <c r="J52" s="577"/>
      <c r="K52" s="577"/>
      <c r="L52" s="577"/>
      <c r="M52" s="577"/>
      <c r="N52" s="577"/>
      <c r="O52" s="577"/>
      <c r="P52" s="577"/>
      <c r="Q52" s="577"/>
      <c r="R52" s="577"/>
      <c r="S52" s="115"/>
      <c r="T52" s="612"/>
      <c r="U52" s="115"/>
      <c r="V52" s="115"/>
      <c r="W52" s="115"/>
      <c r="X52" s="115"/>
      <c r="Y52" s="115"/>
      <c r="Z52" s="115"/>
      <c r="AA52" s="115"/>
      <c r="AB52" s="2"/>
      <c r="AC52" s="2"/>
      <c r="AD52" s="2"/>
      <c r="AE52" s="2"/>
      <c r="AF52" s="2"/>
      <c r="AG52" s="2"/>
      <c r="AH52" s="2"/>
      <c r="AI52" s="2"/>
      <c r="AJ52" s="2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</row>
    <row r="53" spans="1:84" s="613" customFormat="1" x14ac:dyDescent="0.25">
      <c r="A53" s="115"/>
      <c r="B53" s="115"/>
      <c r="C53" s="115"/>
      <c r="D53" s="115"/>
      <c r="E53" s="115"/>
      <c r="F53" s="115"/>
      <c r="G53" s="577"/>
      <c r="H53" s="577"/>
      <c r="I53" s="577"/>
      <c r="J53" s="577"/>
      <c r="K53" s="577"/>
      <c r="L53" s="577"/>
      <c r="M53" s="577"/>
      <c r="N53" s="577"/>
      <c r="O53" s="577"/>
      <c r="P53" s="577"/>
      <c r="Q53" s="577"/>
      <c r="R53" s="577"/>
      <c r="S53" s="115"/>
      <c r="T53" s="612"/>
      <c r="U53" s="115"/>
      <c r="V53" s="115"/>
      <c r="W53" s="115"/>
      <c r="X53" s="115"/>
      <c r="Y53" s="115"/>
      <c r="Z53" s="115"/>
      <c r="AA53" s="115"/>
      <c r="AB53" s="2"/>
      <c r="AC53" s="2"/>
      <c r="AD53" s="2"/>
      <c r="AE53" s="2"/>
      <c r="AF53" s="2"/>
      <c r="AG53" s="2"/>
      <c r="AH53" s="2"/>
      <c r="AI53" s="2"/>
      <c r="AJ53" s="2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15"/>
      <c r="BH53" s="115"/>
      <c r="BI53" s="115"/>
      <c r="BJ53" s="115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</row>
    <row r="54" spans="1:84" s="613" customFormat="1" x14ac:dyDescent="0.25">
      <c r="A54" s="115"/>
      <c r="B54" s="115"/>
      <c r="C54" s="115"/>
      <c r="D54" s="115"/>
      <c r="E54" s="115"/>
      <c r="F54" s="115"/>
      <c r="G54" s="577"/>
      <c r="H54" s="577"/>
      <c r="I54" s="577"/>
      <c r="J54" s="577"/>
      <c r="K54" s="577"/>
      <c r="L54" s="577"/>
      <c r="M54" s="577"/>
      <c r="N54" s="577"/>
      <c r="O54" s="577"/>
      <c r="P54" s="577"/>
      <c r="Q54" s="577"/>
      <c r="R54" s="577"/>
      <c r="S54" s="115"/>
      <c r="T54" s="612"/>
      <c r="U54" s="115"/>
      <c r="V54" s="115"/>
      <c r="W54" s="115"/>
      <c r="X54" s="115"/>
      <c r="Y54" s="115"/>
      <c r="Z54" s="115"/>
      <c r="AA54" s="115"/>
      <c r="AB54" s="2"/>
      <c r="AC54" s="2"/>
      <c r="AD54" s="2"/>
      <c r="AE54" s="2"/>
      <c r="AF54" s="2"/>
      <c r="AG54" s="2"/>
      <c r="AH54" s="2"/>
      <c r="AI54" s="2"/>
      <c r="AJ54" s="2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</row>
  </sheetData>
  <phoneticPr fontId="9" type="noConversion"/>
  <conditionalFormatting sqref="C8">
    <cfRule type="expression" dxfId="301" priority="15">
      <formula>IF($C$8&lt;&gt;"Affordable","TRUE","FALSE")</formula>
    </cfRule>
  </conditionalFormatting>
  <conditionalFormatting sqref="C17:R41">
    <cfRule type="expression" dxfId="300" priority="28">
      <formula>IF($B17="-","TRUE","FALSE")</formula>
    </cfRule>
  </conditionalFormatting>
  <conditionalFormatting sqref="C18:W41">
    <cfRule type="expression" dxfId="299" priority="14">
      <formula>IF(AND($B17&lt;&gt;"-",$B18="-",$B19="-"),"TRUE","FALSE")</formula>
    </cfRule>
  </conditionalFormatting>
  <conditionalFormatting sqref="E8:F10">
    <cfRule type="expression" dxfId="298" priority="461">
      <formula>IF($C$8&lt;&gt;"Affordable","TRUE","FALSE")</formula>
    </cfRule>
  </conditionalFormatting>
  <conditionalFormatting sqref="F10">
    <cfRule type="expression" dxfId="296" priority="462">
      <formula>IF($C$8&lt;&gt;"Affordable","TRUE","FALSE")</formula>
    </cfRule>
    <cfRule type="expression" dxfId="295" priority="463">
      <formula>IF(AND($C$8="Affordable",$J$42&lt;$F$10),"TRUE","FALSE")</formula>
    </cfRule>
    <cfRule type="expression" dxfId="294" priority="464">
      <formula>IF(AND($C$8="Affordable",$J$42=$F$10),"TRUE","FALSE")</formula>
    </cfRule>
    <cfRule type="expression" dxfId="293" priority="465">
      <formula>IF(AND($C$8="Affordable",$J$42&gt;$F$10),"TRUE","FALSE")</formula>
    </cfRule>
  </conditionalFormatting>
  <conditionalFormatting sqref="I41">
    <cfRule type="expression" dxfId="292" priority="466">
      <formula>IF($C$8&lt;&gt;"Affordable","TRUE","FALSE")</formula>
    </cfRule>
  </conditionalFormatting>
  <conditionalFormatting sqref="I17:K17">
    <cfRule type="expression" dxfId="291" priority="467">
      <formula>IF($C$8&lt;&gt;"Affordable","TRUE","FALSE")</formula>
    </cfRule>
  </conditionalFormatting>
  <conditionalFormatting sqref="I18:K40">
    <cfRule type="expression" dxfId="290" priority="468">
      <formula>IF($B18="-","TRUE","FALSE")</formula>
    </cfRule>
    <cfRule type="expression" dxfId="289" priority="469">
      <formula>IF($C$8&lt;&gt;"Affordable","TRUE","FALSE")</formula>
    </cfRule>
  </conditionalFormatting>
  <conditionalFormatting sqref="I41:K41">
    <cfRule type="expression" dxfId="288" priority="13">
      <formula>IF($B$41="-","TRUE","FALSE")</formula>
    </cfRule>
  </conditionalFormatting>
  <conditionalFormatting sqref="J17:K41">
    <cfRule type="expression" dxfId="287" priority="308">
      <formula>IF($I17="No","TRUE","FALSE")</formula>
    </cfRule>
  </conditionalFormatting>
  <conditionalFormatting sqref="J41:K41">
    <cfRule type="expression" dxfId="286" priority="470">
      <formula>IF($C$8&lt;&gt;"Affordable","TRUE","FALSE")</formula>
    </cfRule>
  </conditionalFormatting>
  <conditionalFormatting sqref="J42:K42">
    <cfRule type="expression" dxfId="285" priority="471">
      <formula>IF($C$8&lt;&gt;"Affordable","TRUE","FALSE")</formula>
    </cfRule>
  </conditionalFormatting>
  <conditionalFormatting sqref="J17:P41">
    <cfRule type="expression" dxfId="284" priority="472">
      <formula>IF($C$8&lt;&gt;"Affordable","TRUE","FALSE")</formula>
    </cfRule>
  </conditionalFormatting>
  <conditionalFormatting sqref="J17:R41">
    <cfRule type="expression" dxfId="283" priority="499">
      <formula>IF(AND($C$8="Affordable",$I17="Yes",$B17&lt;&gt;"-",#REF!&gt;0),"TRUE","FALSE")</formula>
    </cfRule>
  </conditionalFormatting>
  <conditionalFormatting sqref="T17:T36 U17:W41">
    <cfRule type="expression" dxfId="282" priority="474">
      <formula>IF($C$9="Fixed Amount","TRUE","FALSE")</formula>
    </cfRule>
  </conditionalFormatting>
  <conditionalFormatting sqref="T17:T36 V17:W41">
    <cfRule type="expression" dxfId="281" priority="476">
      <formula>IF($C$9="PSF","TRUE",FALSE)</formula>
    </cfRule>
  </conditionalFormatting>
  <conditionalFormatting sqref="T17:T41">
    <cfRule type="expression" dxfId="280" priority="502">
      <formula>IF(AND($C$8="Market",$B17="-"),"TRUE","FALSE")</formula>
    </cfRule>
    <cfRule type="expression" dxfId="279" priority="503">
      <formula>IF(AND($C$8="Affordable",$B17&lt;&gt;"-",$I17="Yes",#REF!=$C17),"TRUE","FALSE")</formula>
    </cfRule>
    <cfRule type="expression" dxfId="278" priority="504">
      <formula>IF(AND($C$8="Affordable",$B17&lt;&gt;"-",$I17="Yes",#REF!&lt;$C17),"TRUE","FALSE")</formula>
    </cfRule>
    <cfRule type="expression" dxfId="277" priority="505">
      <formula>IF(AND($C$8="Affordable",$B17&lt;&gt;"-",$I17="No"),"TRUE","FALSE")</formula>
    </cfRule>
    <cfRule type="expression" dxfId="276" priority="506">
      <formula>IF(AND($C$8="Favorable",$B17="-"),"TRUE","FALSE")</formula>
    </cfRule>
    <cfRule type="expression" dxfId="275" priority="507">
      <formula>IF(AND($C$8="Stressed",$B17="-"),"TRUE","FALSE")</formula>
    </cfRule>
  </conditionalFormatting>
  <conditionalFormatting sqref="T17:U41">
    <cfRule type="expression" dxfId="274" priority="484">
      <formula>IF(AND($C$8="Affordable",$B17="-"),"TRUE","FALSE")</formula>
    </cfRule>
  </conditionalFormatting>
  <conditionalFormatting sqref="T43:W43">
    <cfRule type="expression" dxfId="273" priority="485">
      <formula>IF($C$9="PSF","TRUE","FALSE")</formula>
    </cfRule>
  </conditionalFormatting>
  <conditionalFormatting sqref="U17:U41">
    <cfRule type="expression" dxfId="272" priority="508">
      <formula>IF(AND($C$8="Affordable",$I17="Yes",$B17&lt;&gt;"-"),"TRUE","FALSE")</formula>
    </cfRule>
    <cfRule type="expression" dxfId="271" priority="509">
      <formula>IF(AND($C$8&lt;&gt;"Affordable",$B17="-"),"TRUE","FALSE")</formula>
    </cfRule>
    <cfRule type="expression" dxfId="270" priority="510">
      <formula>IF(OR($C$8="Market",$C$8="Stressed",$C$8="Favorable"),"TRUE","FALSE")</formula>
    </cfRule>
    <cfRule type="expression" dxfId="269" priority="511">
      <formula>IF($C$9="PSF","TRUE","FALSE")</formula>
    </cfRule>
  </conditionalFormatting>
  <conditionalFormatting sqref="V14">
    <cfRule type="expression" dxfId="268" priority="490">
      <formula>IF($C$8&lt;&gt;"Stressed","TRUE","FALSE")</formula>
    </cfRule>
  </conditionalFormatting>
  <conditionalFormatting sqref="V17:V41">
    <cfRule type="expression" dxfId="267" priority="491">
      <formula>IF(AND($C$8="Stressed",$B17="-"),"TRUE","FALSE")</formula>
    </cfRule>
    <cfRule type="expression" dxfId="266" priority="492">
      <formula>IF(AND($C$8&lt;&gt;"Stressed",$B17="-"),"TRUE","FALSE")</formula>
    </cfRule>
    <cfRule type="expression" dxfId="265" priority="493">
      <formula>IF(OR($C$8="Market",$C$8="Affordable",$C$8="Favorable"),"TRUE","FALSE")</formula>
    </cfRule>
  </conditionalFormatting>
  <conditionalFormatting sqref="W14">
    <cfRule type="expression" dxfId="264" priority="494">
      <formula>IF($C$8&lt;&gt;"Favorable","TRUE","FALSE")</formula>
    </cfRule>
  </conditionalFormatting>
  <conditionalFormatting sqref="W17:W41">
    <cfRule type="expression" dxfId="263" priority="495">
      <formula>IF(AND($C$8="Favorable",$B17="-"),"TRUE","FALSE")</formula>
    </cfRule>
    <cfRule type="expression" dxfId="262" priority="496">
      <formula>IF(AND($C$8&lt;&gt;"Favorable",$B17="-"),"TRUE","FALSE")</formula>
    </cfRule>
    <cfRule type="expression" dxfId="261" priority="497">
      <formula>IF(OR($C$8="Market",$C$8="Affordable",$C$8="Stressed"),"TRUE","FALSE")</formula>
    </cfRule>
  </conditionalFormatting>
  <dataValidations count="6">
    <dataValidation type="list" allowBlank="1" showInputMessage="1" showErrorMessage="1" sqref="C8" xr:uid="{684214BA-3D44-4949-B2F7-B0008BC372FA}">
      <formula1>"Market, Affordable, Stressed, Favorable"</formula1>
    </dataValidation>
    <dataValidation type="list" allowBlank="1" showInputMessage="1" showErrorMessage="1" sqref="C9" xr:uid="{E5A39563-96AE-4153-AADE-5EC12428A4ED}">
      <formula1>"PSF, Fixed Amount"</formula1>
    </dataValidation>
    <dataValidation type="list" allowBlank="1" showInputMessage="1" showErrorMessage="1" sqref="F8" xr:uid="{370DB335-3EFE-4ACE-B830-3EB029348522}">
      <formula1>"30% AMI, 40% AMI, 50% AMI, 60% AMI, 70% AMI, 80% AMI, 90% AMI, 100% AMI"</formula1>
    </dataValidation>
    <dataValidation type="list" allowBlank="1" showInputMessage="1" showErrorMessage="1" sqref="F9" xr:uid="{6063AF3B-D618-4BC2-8734-8A87EE9CC47E}">
      <formula1>"0%, 20%, 40%"</formula1>
    </dataValidation>
    <dataValidation type="list" allowBlank="1" showInputMessage="1" showErrorMessage="1" sqref="I17:I41" xr:uid="{F9D72EF5-107F-400C-81BA-2B2A47EE70BB}">
      <formula1>"Yes,No"</formula1>
    </dataValidation>
    <dataValidation type="list" allowBlank="1" showInputMessage="1" showErrorMessage="1" sqref="B17:B41" xr:uid="{6C9829E4-B089-4F8A-AF87-84439D2D2456}">
      <formula1>"Studio,1 - Bedroom, 2 - Bedroom, 3 - Bedroom, -"</formula1>
    </dataValidation>
  </dataValidations>
  <pageMargins left="0.25" right="0.25" top="0.75" bottom="0.75" header="0.3" footer="0.3"/>
  <pageSetup scale="24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35" id="{29BC468C-77B5-4AB4-AEE4-DFEEC06C5808}">
            <xm:f>IF(AMI!$C$17="AMI Tab","TRUE","FALSE")</xm:f>
            <x14:dxf>
              <font>
                <color auto="1"/>
              </font>
            </x14:dxf>
          </x14:cfRule>
          <xm:sqref>F8:F9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40E0F-0EFF-47DE-86DC-70253B4BC29D}">
  <sheetPr>
    <pageSetUpPr fitToPage="1"/>
  </sheetPr>
  <dimension ref="A1:CY239"/>
  <sheetViews>
    <sheetView topLeftCell="A10" zoomScale="90" zoomScaleNormal="90" workbookViewId="0">
      <selection activeCell="I55" sqref="I55"/>
    </sheetView>
  </sheetViews>
  <sheetFormatPr defaultRowHeight="15" x14ac:dyDescent="0.25"/>
  <cols>
    <col min="1" max="1" width="16.7109375" style="9" customWidth="1"/>
    <col min="2" max="2" width="27.85546875" style="9" customWidth="1"/>
    <col min="3" max="3" width="11.85546875" style="9" customWidth="1"/>
    <col min="4" max="4" width="19.85546875" style="9" customWidth="1"/>
    <col min="5" max="5" width="3.7109375" style="9" customWidth="1"/>
    <col min="6" max="6" width="25.7109375" style="9" customWidth="1"/>
    <col min="7" max="7" width="18.7109375" style="9" customWidth="1"/>
    <col min="8" max="8" width="15.7109375" style="9" customWidth="1"/>
    <col min="9" max="9" width="16" style="9" customWidth="1"/>
    <col min="10" max="10" width="3.7109375" style="9" customWidth="1"/>
    <col min="11" max="11" width="30.140625" style="9" customWidth="1"/>
    <col min="12" max="12" width="18.7109375" style="9" customWidth="1"/>
    <col min="13" max="14" width="15.7109375" style="9" customWidth="1"/>
    <col min="15" max="15" width="3.7109375" style="9" customWidth="1"/>
    <col min="16" max="16" width="24.85546875" style="9" customWidth="1"/>
    <col min="17" max="27" width="12.7109375" style="9" customWidth="1"/>
    <col min="28" max="37" width="9.140625" style="9"/>
    <col min="38" max="103" width="9.140625" style="2"/>
  </cols>
  <sheetData>
    <row r="1" spans="1:103" s="31" customFormat="1" ht="12.75" customHeight="1" x14ac:dyDescent="0.2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</row>
    <row r="2" spans="1:103" s="31" customFormat="1" ht="22.5" customHeight="1" x14ac:dyDescent="0.25">
      <c r="A2" s="34"/>
      <c r="B2" s="48" t="str">
        <f>D6</f>
        <v>Channahon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</row>
    <row r="3" spans="1:103" s="31" customFormat="1" ht="18" customHeight="1" x14ac:dyDescent="0.25">
      <c r="A3" s="34"/>
      <c r="B3" s="48" t="str">
        <f>D7</f>
        <v>Channahon, IL</v>
      </c>
      <c r="C3" s="34"/>
      <c r="D3" s="34"/>
      <c r="E3" s="34"/>
      <c r="F3" s="34"/>
      <c r="G3" s="32"/>
      <c r="H3" s="32"/>
      <c r="I3" s="32"/>
      <c r="J3" s="32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</row>
    <row r="4" spans="1:103" s="31" customFormat="1" ht="12.75" customHeight="1" x14ac:dyDescent="0.25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</row>
    <row r="5" spans="1:103" s="31" customFormat="1" ht="13.5" customHeight="1" x14ac:dyDescent="0.25">
      <c r="A5" s="34"/>
      <c r="B5" s="1515" t="s">
        <v>211</v>
      </c>
      <c r="C5" s="1516"/>
      <c r="D5" s="1517"/>
      <c r="E5" s="74"/>
      <c r="F5" s="1518" t="s">
        <v>414</v>
      </c>
      <c r="G5" s="1518"/>
      <c r="H5" s="1518"/>
      <c r="I5" s="1518"/>
      <c r="J5" s="43"/>
      <c r="K5" s="1519" t="s">
        <v>415</v>
      </c>
      <c r="L5" s="1520"/>
      <c r="M5" s="1520"/>
      <c r="N5" s="1521"/>
      <c r="O5" s="32"/>
      <c r="P5" s="1506" t="s">
        <v>374</v>
      </c>
      <c r="Q5" s="1507"/>
      <c r="R5" s="1507"/>
      <c r="S5" s="1507"/>
      <c r="T5" s="1507"/>
      <c r="U5" s="1507"/>
      <c r="V5" s="1507"/>
      <c r="W5" s="1507"/>
      <c r="X5" s="1507"/>
      <c r="Y5" s="1507"/>
      <c r="Z5" s="1507"/>
      <c r="AA5" s="1508"/>
      <c r="AB5" s="43"/>
      <c r="AC5" s="34"/>
      <c r="AD5" s="34"/>
      <c r="AE5" s="34"/>
      <c r="AF5" s="34"/>
      <c r="AG5" s="34"/>
      <c r="AH5" s="34"/>
      <c r="AI5" s="34"/>
      <c r="AJ5" s="34"/>
      <c r="AK5" s="34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</row>
    <row r="6" spans="1:103" s="31" customFormat="1" ht="12.75" customHeight="1" x14ac:dyDescent="0.25">
      <c r="A6" s="34"/>
      <c r="B6" s="114" t="s">
        <v>78</v>
      </c>
      <c r="C6" s="426"/>
      <c r="D6" s="425" t="s">
        <v>745</v>
      </c>
      <c r="E6" s="74"/>
      <c r="F6" s="713"/>
      <c r="G6" s="480" t="s">
        <v>769</v>
      </c>
      <c r="H6" s="715">
        <f>IF(G6="Year 0",0.1,IF(G6="Year 1",1,IF(G6="Year 2",2,IF(G6="Year 3",3,IF(G6="Year 4",4,IF(G6="Year 5",5,IF(G6="Year 6",6,IF(G6="Year 7",7,IF(G6="Year 8",8,IF(G6="Year 9",9,IF(G6="Year 10",10,IF(G6="Year 11",11))))))))))))</f>
        <v>3</v>
      </c>
      <c r="I6" s="401"/>
      <c r="J6" s="54"/>
      <c r="K6" s="713"/>
      <c r="L6" s="401"/>
      <c r="M6" s="713"/>
      <c r="N6" s="401"/>
      <c r="O6" s="52"/>
      <c r="P6" s="142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43"/>
      <c r="AC6" s="34"/>
      <c r="AD6" s="34"/>
      <c r="AE6" s="34"/>
      <c r="AF6" s="34"/>
      <c r="AG6" s="34"/>
      <c r="AH6" s="34"/>
      <c r="AI6" s="34"/>
      <c r="AJ6" s="34"/>
      <c r="AK6" s="34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</row>
    <row r="7" spans="1:103" s="31" customFormat="1" ht="12.75" customHeight="1" x14ac:dyDescent="0.25">
      <c r="A7" s="34"/>
      <c r="B7" s="43" t="s">
        <v>79</v>
      </c>
      <c r="C7" s="416"/>
      <c r="D7" s="424" t="s">
        <v>746</v>
      </c>
      <c r="E7" s="74"/>
      <c r="F7" s="135" t="s">
        <v>416</v>
      </c>
      <c r="G7" s="34"/>
      <c r="H7" s="34"/>
      <c r="I7" s="36" t="str">
        <f>$G$6&amp;" Revenue"</f>
        <v>Year 3 Revenue</v>
      </c>
      <c r="J7" s="54"/>
      <c r="K7" s="135" t="s">
        <v>143</v>
      </c>
      <c r="L7" s="34"/>
      <c r="M7" s="34"/>
      <c r="N7" s="36" t="str">
        <f>$G$6&amp;" Expenses"</f>
        <v>Year 3 Expenses</v>
      </c>
      <c r="O7" s="52"/>
      <c r="P7" s="43"/>
      <c r="Q7" s="68">
        <f>C52</f>
        <v>2027</v>
      </c>
      <c r="R7" s="68">
        <f>Q7+1</f>
        <v>2028</v>
      </c>
      <c r="S7" s="68">
        <f>R7+1</f>
        <v>2029</v>
      </c>
      <c r="T7" s="68">
        <f t="shared" ref="T7:X7" si="0">S7+1</f>
        <v>2030</v>
      </c>
      <c r="U7" s="68">
        <f t="shared" si="0"/>
        <v>2031</v>
      </c>
      <c r="V7" s="68">
        <f>U7+1</f>
        <v>2032</v>
      </c>
      <c r="W7" s="68">
        <f t="shared" si="0"/>
        <v>2033</v>
      </c>
      <c r="X7" s="68">
        <f t="shared" si="0"/>
        <v>2034</v>
      </c>
      <c r="Y7" s="68">
        <f t="shared" ref="Y7" si="1">X7+1</f>
        <v>2035</v>
      </c>
      <c r="Z7" s="68">
        <f t="shared" ref="Z7" si="2">Y7+1</f>
        <v>2036</v>
      </c>
      <c r="AA7" s="68">
        <f t="shared" ref="AA7" si="3">Z7+1</f>
        <v>2037</v>
      </c>
      <c r="AB7" s="43"/>
      <c r="AC7" s="34"/>
      <c r="AD7" s="34"/>
      <c r="AE7" s="34"/>
      <c r="AF7" s="34"/>
      <c r="AG7" s="34"/>
      <c r="AH7" s="34"/>
      <c r="AI7" s="34"/>
      <c r="AJ7" s="34"/>
      <c r="AK7" s="34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</row>
    <row r="8" spans="1:103" s="31" customFormat="1" ht="12.75" customHeight="1" x14ac:dyDescent="0.25">
      <c r="A8" s="34"/>
      <c r="B8" s="57" t="s">
        <v>219</v>
      </c>
      <c r="C8" s="413"/>
      <c r="D8" s="730" t="s">
        <v>329</v>
      </c>
      <c r="E8" s="74"/>
      <c r="F8" s="134" t="s">
        <v>608</v>
      </c>
      <c r="G8" s="86" t="s">
        <v>330</v>
      </c>
      <c r="H8" s="724">
        <v>0</v>
      </c>
      <c r="I8" s="1033">
        <f>SUMIFS('Monthly CF'!$H41:$FT41,'Monthly CF'!$H$6:$FT$6,'Operating Assumptions'!$H$6)</f>
        <v>5984244.7861436857</v>
      </c>
      <c r="J8" s="54"/>
      <c r="K8" s="1029" t="s">
        <v>747</v>
      </c>
      <c r="L8" s="86" t="s">
        <v>331</v>
      </c>
      <c r="M8" s="1326">
        <v>1300</v>
      </c>
      <c r="N8" s="1031">
        <f>SUMIFS('Monthly CF'!$H80:$FT80,'Monthly CF'!$H$6:$FT$6,'Operating Assumptions'!$H$6)</f>
        <v>-321360</v>
      </c>
      <c r="O8" s="52"/>
      <c r="P8" s="481" t="s">
        <v>258</v>
      </c>
      <c r="Q8" s="482">
        <f>INDEX($A$184:$D$201,MATCH(Q$7,$A$184:$A$201,0),MATCH("Operational Year",$A$184:$D$184))</f>
        <v>0.1</v>
      </c>
      <c r="R8" s="482">
        <f t="shared" ref="R8:AA8" si="4">INDEX($A$184:$D$201,MATCH(R$7,$A$184:$A$201,0),MATCH("Operational Year",$A$184:$D$184))</f>
        <v>1</v>
      </c>
      <c r="S8" s="482">
        <f t="shared" si="4"/>
        <v>2</v>
      </c>
      <c r="T8" s="482">
        <f t="shared" si="4"/>
        <v>3</v>
      </c>
      <c r="U8" s="482">
        <f t="shared" si="4"/>
        <v>4</v>
      </c>
      <c r="V8" s="482">
        <f t="shared" si="4"/>
        <v>5</v>
      </c>
      <c r="W8" s="482">
        <f t="shared" si="4"/>
        <v>6</v>
      </c>
      <c r="X8" s="482">
        <f t="shared" si="4"/>
        <v>7</v>
      </c>
      <c r="Y8" s="482">
        <f t="shared" si="4"/>
        <v>8</v>
      </c>
      <c r="Z8" s="482">
        <f t="shared" si="4"/>
        <v>9</v>
      </c>
      <c r="AA8" s="482">
        <f t="shared" si="4"/>
        <v>10</v>
      </c>
      <c r="AB8" s="43"/>
      <c r="AC8" s="34"/>
      <c r="AD8" s="34"/>
      <c r="AE8" s="34"/>
      <c r="AF8" s="34"/>
      <c r="AG8" s="34"/>
      <c r="AH8" s="34"/>
      <c r="AI8" s="34"/>
      <c r="AJ8" s="34"/>
      <c r="AK8" s="34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</row>
    <row r="9" spans="1:103" s="31" customFormat="1" ht="12.75" customHeight="1" x14ac:dyDescent="0.25">
      <c r="A9" s="34"/>
      <c r="B9" s="57" t="s">
        <v>195</v>
      </c>
      <c r="C9" s="413"/>
      <c r="D9" s="1325">
        <f>'Construction Budget'!$G$105</f>
        <v>2500000</v>
      </c>
      <c r="E9" s="515"/>
      <c r="F9" s="32"/>
      <c r="G9" s="32"/>
      <c r="H9" s="32"/>
      <c r="I9" s="32"/>
      <c r="J9" s="54"/>
      <c r="K9" s="1029" t="s">
        <v>730</v>
      </c>
      <c r="L9" s="86" t="s">
        <v>331</v>
      </c>
      <c r="M9" s="1326">
        <v>600</v>
      </c>
      <c r="N9" s="1031">
        <f>SUMIFS('Monthly CF'!$H81:$FT81,'Monthly CF'!$H$6:$FT$6,'Operating Assumptions'!$H$6)</f>
        <v>-148320</v>
      </c>
      <c r="O9" s="52"/>
      <c r="P9" s="484" t="s">
        <v>197</v>
      </c>
      <c r="Q9" s="140">
        <v>0</v>
      </c>
      <c r="R9" s="140">
        <v>0.02</v>
      </c>
      <c r="S9" s="140">
        <v>0.02</v>
      </c>
      <c r="T9" s="140">
        <v>0.02</v>
      </c>
      <c r="U9" s="140">
        <v>0.02</v>
      </c>
      <c r="V9" s="140">
        <v>0.02</v>
      </c>
      <c r="W9" s="140">
        <v>0.02</v>
      </c>
      <c r="X9" s="140">
        <v>0.02</v>
      </c>
      <c r="Y9" s="140">
        <v>0.02</v>
      </c>
      <c r="Z9" s="140">
        <v>0.02</v>
      </c>
      <c r="AA9" s="140">
        <v>0.02</v>
      </c>
      <c r="AB9" s="43"/>
      <c r="AC9" s="34"/>
      <c r="AD9" s="34"/>
      <c r="AE9" s="34"/>
      <c r="AF9" s="34"/>
      <c r="AG9" s="34"/>
      <c r="AH9" s="34"/>
      <c r="AI9" s="34"/>
      <c r="AJ9" s="34"/>
      <c r="AK9" s="34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</row>
    <row r="10" spans="1:103" s="31" customFormat="1" ht="12.75" customHeight="1" x14ac:dyDescent="0.25">
      <c r="A10" s="34"/>
      <c r="B10" s="856" t="s">
        <v>154</v>
      </c>
      <c r="C10" s="871"/>
      <c r="D10" s="872">
        <v>0</v>
      </c>
      <c r="E10" s="74"/>
      <c r="F10" s="135" t="s">
        <v>496</v>
      </c>
      <c r="G10" s="32"/>
      <c r="H10" s="32"/>
      <c r="I10" s="32"/>
      <c r="J10" s="1039"/>
      <c r="K10" s="1029" t="s">
        <v>748</v>
      </c>
      <c r="L10" s="86" t="s">
        <v>331</v>
      </c>
      <c r="M10" s="1326">
        <v>185</v>
      </c>
      <c r="N10" s="1031">
        <f>SUMIFS('Monthly CF'!$H82:$FT82,'Monthly CF'!$H$6:$FT$6,'Operating Assumptions'!$H$6)</f>
        <v>-45732</v>
      </c>
      <c r="O10" s="52"/>
      <c r="P10" s="484" t="s">
        <v>334</v>
      </c>
      <c r="Q10" s="140">
        <v>0</v>
      </c>
      <c r="R10" s="140">
        <v>0.02</v>
      </c>
      <c r="S10" s="140">
        <v>0.02</v>
      </c>
      <c r="T10" s="140">
        <v>0.02</v>
      </c>
      <c r="U10" s="140">
        <v>0.02</v>
      </c>
      <c r="V10" s="140">
        <v>0.02</v>
      </c>
      <c r="W10" s="140">
        <v>0.02</v>
      </c>
      <c r="X10" s="140">
        <v>0.02</v>
      </c>
      <c r="Y10" s="140">
        <v>0.02</v>
      </c>
      <c r="Z10" s="140">
        <v>0.02</v>
      </c>
      <c r="AA10" s="140">
        <v>0.02</v>
      </c>
      <c r="AB10" s="43"/>
      <c r="AC10" s="34"/>
      <c r="AD10" s="34"/>
      <c r="AE10" s="34"/>
      <c r="AF10" s="34"/>
      <c r="AG10" s="34"/>
      <c r="AH10" s="34"/>
      <c r="AI10" s="34"/>
      <c r="AJ10" s="34"/>
      <c r="AK10" s="34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</row>
    <row r="11" spans="1:103" s="31" customFormat="1" ht="12.75" customHeight="1" x14ac:dyDescent="0.25">
      <c r="A11" s="32"/>
      <c r="B11" s="43" t="s">
        <v>80</v>
      </c>
      <c r="C11" s="416"/>
      <c r="D11" s="422">
        <v>256602</v>
      </c>
      <c r="E11" s="74"/>
      <c r="F11" s="1029" t="s">
        <v>752</v>
      </c>
      <c r="G11" s="86" t="s">
        <v>331</v>
      </c>
      <c r="H11" s="724">
        <v>550</v>
      </c>
      <c r="I11" s="1031">
        <f>SUMIFS('Monthly CF'!$H44:$FT44,'Monthly CF'!$H$6:$FT$6,'Operating Assumptions'!$H$6)</f>
        <v>139920</v>
      </c>
      <c r="J11" s="1040"/>
      <c r="K11" s="1029" t="s">
        <v>375</v>
      </c>
      <c r="L11" s="86" t="s">
        <v>331</v>
      </c>
      <c r="M11" s="1326">
        <v>150</v>
      </c>
      <c r="N11" s="1031">
        <f>SUMIFS('Monthly CF'!$H83:$FT83,'Monthly CF'!$H$6:$FT$6,'Operating Assumptions'!$H$6)</f>
        <v>-37080</v>
      </c>
      <c r="O11" s="52"/>
      <c r="P11" s="484" t="s">
        <v>333</v>
      </c>
      <c r="Q11" s="140">
        <v>0</v>
      </c>
      <c r="R11" s="140">
        <v>0</v>
      </c>
      <c r="S11" s="140">
        <v>0</v>
      </c>
      <c r="T11" s="140">
        <v>0</v>
      </c>
      <c r="U11" s="140">
        <v>0</v>
      </c>
      <c r="V11" s="140">
        <v>0</v>
      </c>
      <c r="W11" s="140">
        <v>0</v>
      </c>
      <c r="X11" s="140">
        <v>0</v>
      </c>
      <c r="Y11" s="140">
        <v>0</v>
      </c>
      <c r="Z11" s="140">
        <v>0</v>
      </c>
      <c r="AA11" s="140">
        <v>0</v>
      </c>
      <c r="AB11" s="43"/>
      <c r="AC11" s="34"/>
      <c r="AD11" s="34"/>
      <c r="AE11" s="34"/>
      <c r="AF11" s="34"/>
      <c r="AG11" s="34"/>
      <c r="AH11" s="34"/>
      <c r="AI11" s="34"/>
      <c r="AJ11" s="34"/>
      <c r="AK11" s="34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</row>
    <row r="12" spans="1:103" s="31" customFormat="1" ht="12.75" customHeight="1" x14ac:dyDescent="0.25">
      <c r="A12" s="32"/>
      <c r="B12" s="43" t="s">
        <v>81</v>
      </c>
      <c r="C12" s="416"/>
      <c r="D12" s="423">
        <f>'Unit Mix'!E42</f>
        <v>218112</v>
      </c>
      <c r="E12" s="74"/>
      <c r="F12" s="1029" t="s">
        <v>501</v>
      </c>
      <c r="G12" s="86" t="s">
        <v>332</v>
      </c>
      <c r="H12" s="724">
        <v>0</v>
      </c>
      <c r="I12" s="1031">
        <f>SUMIFS('Monthly CF'!$H45:$FT45,'Monthly CF'!$H$6:$FT$6,'Operating Assumptions'!$H$6)</f>
        <v>0</v>
      </c>
      <c r="J12" s="54"/>
      <c r="K12" s="1029" t="s">
        <v>749</v>
      </c>
      <c r="L12" s="86" t="s">
        <v>331</v>
      </c>
      <c r="M12" s="1326">
        <v>200</v>
      </c>
      <c r="N12" s="1031">
        <f>SUMIFS('Monthly CF'!$H84:$FT84,'Monthly CF'!$H$6:$FT$6,'Operating Assumptions'!$H$6)</f>
        <v>-49440</v>
      </c>
      <c r="O12" s="52"/>
      <c r="P12" s="484" t="s">
        <v>196</v>
      </c>
      <c r="Q12" s="140">
        <v>0</v>
      </c>
      <c r="R12" s="140">
        <v>0.01</v>
      </c>
      <c r="S12" s="140">
        <v>0.01</v>
      </c>
      <c r="T12" s="140">
        <v>0.01</v>
      </c>
      <c r="U12" s="140">
        <v>0.01</v>
      </c>
      <c r="V12" s="140">
        <v>0.01</v>
      </c>
      <c r="W12" s="140">
        <v>0.01</v>
      </c>
      <c r="X12" s="140">
        <v>0.01</v>
      </c>
      <c r="Y12" s="140">
        <v>0.01</v>
      </c>
      <c r="Z12" s="140">
        <v>0.01</v>
      </c>
      <c r="AA12" s="140">
        <v>0.01</v>
      </c>
      <c r="AB12" s="43"/>
      <c r="AC12" s="34"/>
      <c r="AD12" s="34"/>
      <c r="AE12" s="34"/>
      <c r="AF12" s="34"/>
      <c r="AG12" s="34"/>
      <c r="AH12" s="34"/>
      <c r="AI12" s="34"/>
      <c r="AJ12" s="34"/>
      <c r="AK12" s="34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</row>
    <row r="13" spans="1:103" s="31" customFormat="1" ht="12.75" customHeight="1" x14ac:dyDescent="0.25">
      <c r="A13" s="32"/>
      <c r="B13" s="43" t="s">
        <v>412</v>
      </c>
      <c r="C13" s="416"/>
      <c r="D13" s="422">
        <v>0</v>
      </c>
      <c r="E13" s="74"/>
      <c r="F13" s="1029" t="s">
        <v>501</v>
      </c>
      <c r="G13" s="86" t="s">
        <v>332</v>
      </c>
      <c r="H13" s="724">
        <v>0</v>
      </c>
      <c r="I13" s="1031">
        <f>SUMIFS('Monthly CF'!$H46:$FT46,'Monthly CF'!$H$6:$FT$6,'Operating Assumptions'!$H$6)</f>
        <v>0</v>
      </c>
      <c r="J13" s="54"/>
      <c r="K13" s="1029" t="s">
        <v>731</v>
      </c>
      <c r="L13" s="86" t="s">
        <v>331</v>
      </c>
      <c r="M13" s="1326">
        <v>200</v>
      </c>
      <c r="N13" s="1031">
        <f>SUMIFS('Monthly CF'!$H85:$FT85,'Monthly CF'!$H$6:$FT$6,'Operating Assumptions'!$H$6)</f>
        <v>-49440</v>
      </c>
      <c r="O13" s="52"/>
      <c r="P13" s="484" t="s">
        <v>198</v>
      </c>
      <c r="Q13" s="521">
        <f>'Taxes - TIF'!$E$29</f>
        <v>0.01</v>
      </c>
      <c r="R13" s="521">
        <f>'Taxes - TIF'!$E$29</f>
        <v>0.01</v>
      </c>
      <c r="S13" s="521">
        <f>'Taxes - TIF'!$E$29</f>
        <v>0.01</v>
      </c>
      <c r="T13" s="521">
        <f>'Taxes - TIF'!$E$29</f>
        <v>0.01</v>
      </c>
      <c r="U13" s="521">
        <f>'Taxes - TIF'!$E$29</f>
        <v>0.01</v>
      </c>
      <c r="V13" s="521">
        <f>'Taxes - TIF'!$E$29</f>
        <v>0.01</v>
      </c>
      <c r="W13" s="521">
        <f>'Taxes - TIF'!$E$29</f>
        <v>0.01</v>
      </c>
      <c r="X13" s="521">
        <f>'Taxes - TIF'!$E$29</f>
        <v>0.01</v>
      </c>
      <c r="Y13" s="521">
        <f>'Taxes - TIF'!$E$29</f>
        <v>0.01</v>
      </c>
      <c r="Z13" s="521">
        <f>'Taxes - TIF'!$E$29</f>
        <v>0.01</v>
      </c>
      <c r="AA13" s="521">
        <f>'Taxes - TIF'!$E$29</f>
        <v>0.01</v>
      </c>
      <c r="AB13" s="43"/>
      <c r="AC13" s="34"/>
      <c r="AD13" s="34"/>
      <c r="AE13" s="34"/>
      <c r="AF13" s="34"/>
      <c r="AG13" s="34"/>
      <c r="AH13" s="34"/>
      <c r="AI13" s="34"/>
      <c r="AJ13" s="34"/>
      <c r="AK13" s="34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</row>
    <row r="14" spans="1:103" s="31" customFormat="1" ht="12.75" customHeight="1" x14ac:dyDescent="0.25">
      <c r="A14" s="32"/>
      <c r="B14" s="114" t="s">
        <v>428</v>
      </c>
      <c r="C14" s="426"/>
      <c r="D14" s="845">
        <f>'Unit Mix'!C42</f>
        <v>240</v>
      </c>
      <c r="E14" s="74"/>
      <c r="F14" s="1029" t="s">
        <v>501</v>
      </c>
      <c r="G14" s="86" t="s">
        <v>332</v>
      </c>
      <c r="H14" s="724">
        <v>0</v>
      </c>
      <c r="I14" s="1031">
        <f>SUMIFS('Monthly CF'!$H47:$FT47,'Monthly CF'!$H$6:$FT$6,'Operating Assumptions'!$H$6)</f>
        <v>0</v>
      </c>
      <c r="J14" s="54"/>
      <c r="K14" s="1029" t="s">
        <v>501</v>
      </c>
      <c r="L14" s="86" t="s">
        <v>332</v>
      </c>
      <c r="M14" s="1326">
        <v>0</v>
      </c>
      <c r="N14" s="1031">
        <f>SUMIFS('Monthly CF'!$H86:$FT86,'Monthly CF'!$H$6:$FT$6,'Operating Assumptions'!$H$6)</f>
        <v>0</v>
      </c>
      <c r="O14" s="52"/>
      <c r="P14" s="52"/>
      <c r="Q14" s="725">
        <v>1</v>
      </c>
      <c r="R14" s="725">
        <f>Q14+1</f>
        <v>2</v>
      </c>
      <c r="S14" s="725">
        <f t="shared" ref="S14" si="5">R14+1</f>
        <v>3</v>
      </c>
      <c r="T14" s="725">
        <f t="shared" ref="T14" si="6">S14+1</f>
        <v>4</v>
      </c>
      <c r="U14" s="725">
        <f t="shared" ref="U14" si="7">T14+1</f>
        <v>5</v>
      </c>
      <c r="V14" s="725">
        <f>U14+1</f>
        <v>6</v>
      </c>
      <c r="W14" s="725">
        <f t="shared" ref="W14" si="8">V14+1</f>
        <v>7</v>
      </c>
      <c r="X14" s="725">
        <f t="shared" ref="X14" si="9">W14+1</f>
        <v>8</v>
      </c>
      <c r="Y14" s="725">
        <f t="shared" ref="Y14" si="10">X14+1</f>
        <v>9</v>
      </c>
      <c r="Z14" s="725">
        <f t="shared" ref="Z14" si="11">Y14+1</f>
        <v>10</v>
      </c>
      <c r="AA14" s="725">
        <f>Z14+1</f>
        <v>11</v>
      </c>
      <c r="AB14" s="43"/>
      <c r="AC14" s="34"/>
      <c r="AD14" s="34"/>
      <c r="AE14" s="34"/>
      <c r="AF14" s="34"/>
      <c r="AG14" s="34"/>
      <c r="AH14" s="34"/>
      <c r="AI14" s="34"/>
      <c r="AJ14" s="34"/>
      <c r="AK14" s="34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</row>
    <row r="15" spans="1:103" s="31" customFormat="1" ht="12.75" customHeight="1" x14ac:dyDescent="0.25">
      <c r="A15" s="32"/>
      <c r="B15" s="43" t="s">
        <v>373</v>
      </c>
      <c r="C15" s="728">
        <f>IF(OR('Unit Mix'!$C$8="Market",'Unit Mix'!$C$8="Stressed",'Unit Mix'!$C$8="Favorable"),0%,IF('Unit Mix'!$F$9=10%,10%,IF('Unit Mix'!$F$9=20%,20%)))</f>
        <v>0</v>
      </c>
      <c r="D15" s="74">
        <f>IF(OR('Unit Mix'!$C$8="Market",'Unit Mix'!$C$8="Stressed",'Unit Mix'!$C$8="Favorable"),0,'Unit Mix'!F10)</f>
        <v>0</v>
      </c>
      <c r="E15" s="74"/>
      <c r="F15" s="1029" t="s">
        <v>501</v>
      </c>
      <c r="G15" s="86" t="s">
        <v>332</v>
      </c>
      <c r="H15" s="724">
        <v>0</v>
      </c>
      <c r="I15" s="1031">
        <f>SUMIFS('Monthly CF'!$H48:$FT48,'Monthly CF'!$H$6:$FT$6,'Operating Assumptions'!$H$6)</f>
        <v>0</v>
      </c>
      <c r="J15" s="54"/>
      <c r="K15" s="1029" t="s">
        <v>501</v>
      </c>
      <c r="L15" s="86" t="s">
        <v>332</v>
      </c>
      <c r="M15" s="724">
        <v>0</v>
      </c>
      <c r="N15" s="1031">
        <f>SUMIFS('Monthly CF'!$H87:$FT87,'Monthly CF'!$H$6:$FT$6,'Operating Assumptions'!$H$6)</f>
        <v>0</v>
      </c>
      <c r="O15" s="52"/>
      <c r="P15" s="484" t="s">
        <v>178</v>
      </c>
      <c r="Q15" s="140">
        <v>0.05</v>
      </c>
      <c r="R15" s="140">
        <v>0.05</v>
      </c>
      <c r="S15" s="140">
        <v>0.05</v>
      </c>
      <c r="T15" s="140">
        <v>0.05</v>
      </c>
      <c r="U15" s="140">
        <v>0.05</v>
      </c>
      <c r="V15" s="140">
        <v>0.05</v>
      </c>
      <c r="W15" s="140">
        <v>0.05</v>
      </c>
      <c r="X15" s="140">
        <v>0.05</v>
      </c>
      <c r="Y15" s="140">
        <v>0.05</v>
      </c>
      <c r="Z15" s="140">
        <v>0.05</v>
      </c>
      <c r="AA15" s="140">
        <v>0.05</v>
      </c>
      <c r="AB15" s="43"/>
      <c r="AC15" s="34"/>
      <c r="AD15" s="34"/>
      <c r="AE15" s="34"/>
      <c r="AF15" s="34"/>
      <c r="AG15" s="34"/>
      <c r="AH15" s="34"/>
      <c r="AI15" s="34"/>
      <c r="AJ15" s="34"/>
      <c r="AK15" s="34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</row>
    <row r="16" spans="1:103" s="31" customFormat="1" ht="12.75" customHeight="1" x14ac:dyDescent="0.25">
      <c r="A16" s="32"/>
      <c r="B16" s="114" t="s">
        <v>259</v>
      </c>
      <c r="C16" s="426"/>
      <c r="D16" s="421">
        <v>0</v>
      </c>
      <c r="E16" s="74"/>
      <c r="F16" s="1029" t="s">
        <v>501</v>
      </c>
      <c r="G16" s="86" t="s">
        <v>332</v>
      </c>
      <c r="H16" s="724">
        <v>0</v>
      </c>
      <c r="I16" s="1031">
        <f>SUMIFS('Monthly CF'!$H49:$FT49,'Monthly CF'!$H$6:$FT$6,'Operating Assumptions'!$H$6)</f>
        <v>0</v>
      </c>
      <c r="J16" s="54"/>
      <c r="K16" s="1029" t="s">
        <v>501</v>
      </c>
      <c r="L16" s="86" t="s">
        <v>332</v>
      </c>
      <c r="M16" s="724">
        <v>0</v>
      </c>
      <c r="N16" s="1031">
        <f>SUMIFS('Monthly CF'!$H88:$FT88,'Monthly CF'!$H$6:$FT$6,'Operating Assumptions'!$H$6)</f>
        <v>0</v>
      </c>
      <c r="O16" s="52"/>
      <c r="P16" s="484" t="s">
        <v>611</v>
      </c>
      <c r="Q16" s="140">
        <v>0</v>
      </c>
      <c r="R16" s="140">
        <v>0</v>
      </c>
      <c r="S16" s="140">
        <v>0</v>
      </c>
      <c r="T16" s="140">
        <v>0</v>
      </c>
      <c r="U16" s="140">
        <v>0</v>
      </c>
      <c r="V16" s="140">
        <v>0</v>
      </c>
      <c r="W16" s="140">
        <v>0</v>
      </c>
      <c r="X16" s="140">
        <v>0</v>
      </c>
      <c r="Y16" s="140">
        <v>0</v>
      </c>
      <c r="Z16" s="140">
        <v>0</v>
      </c>
      <c r="AA16" s="140">
        <v>0</v>
      </c>
      <c r="AB16" s="43"/>
      <c r="AC16" s="34"/>
      <c r="AD16" s="34"/>
      <c r="AE16" s="34"/>
      <c r="AF16" s="34"/>
      <c r="AG16" s="34"/>
      <c r="AH16" s="34"/>
      <c r="AI16" s="34"/>
      <c r="AJ16" s="34"/>
      <c r="AK16" s="34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</row>
    <row r="17" spans="1:103" s="31" customFormat="1" ht="12.75" customHeight="1" x14ac:dyDescent="0.25">
      <c r="A17" s="381"/>
      <c r="B17" s="32" t="s">
        <v>503</v>
      </c>
      <c r="C17" s="32"/>
      <c r="D17" s="77">
        <v>0</v>
      </c>
      <c r="E17" s="54"/>
      <c r="F17" s="32"/>
      <c r="G17" s="32"/>
      <c r="H17" s="32"/>
      <c r="I17" s="1038">
        <f>SUM(I11:I16)</f>
        <v>139920</v>
      </c>
      <c r="J17" s="54"/>
      <c r="K17" s="1029" t="s">
        <v>501</v>
      </c>
      <c r="L17" s="86" t="s">
        <v>332</v>
      </c>
      <c r="M17" s="724">
        <v>0</v>
      </c>
      <c r="N17" s="1031">
        <f>SUMIFS('Monthly CF'!$H89:$FT89,'Monthly CF'!$H$6:$FT$6,'Operating Assumptions'!$H$6)</f>
        <v>0</v>
      </c>
      <c r="O17" s="52"/>
      <c r="P17" s="484" t="s">
        <v>609</v>
      </c>
      <c r="Q17" s="140">
        <v>0</v>
      </c>
      <c r="R17" s="140">
        <v>0</v>
      </c>
      <c r="S17" s="140">
        <v>0</v>
      </c>
      <c r="T17" s="140">
        <v>0</v>
      </c>
      <c r="U17" s="140">
        <v>0</v>
      </c>
      <c r="V17" s="140">
        <v>0</v>
      </c>
      <c r="W17" s="140">
        <v>0</v>
      </c>
      <c r="X17" s="140">
        <v>0</v>
      </c>
      <c r="Y17" s="140">
        <v>0</v>
      </c>
      <c r="Z17" s="140">
        <v>0</v>
      </c>
      <c r="AA17" s="140">
        <v>0</v>
      </c>
      <c r="AB17" s="43"/>
      <c r="AC17" s="34"/>
      <c r="AD17" s="34"/>
      <c r="AE17" s="34"/>
      <c r="AF17" s="34"/>
      <c r="AG17" s="34"/>
      <c r="AH17" s="34"/>
      <c r="AI17" s="34"/>
      <c r="AJ17" s="34"/>
      <c r="AK17" s="34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</row>
    <row r="18" spans="1:103" s="31" customFormat="1" ht="12.75" customHeight="1" x14ac:dyDescent="0.25">
      <c r="A18" s="32"/>
      <c r="B18" s="846" t="s">
        <v>445</v>
      </c>
      <c r="C18" s="729"/>
      <c r="D18" s="852">
        <v>0.38</v>
      </c>
      <c r="E18" s="74"/>
      <c r="F18" s="135" t="s">
        <v>201</v>
      </c>
      <c r="G18" s="32"/>
      <c r="H18" s="32"/>
      <c r="I18" s="32"/>
      <c r="J18" s="54"/>
      <c r="K18" s="1029" t="s">
        <v>501</v>
      </c>
      <c r="L18" s="86" t="s">
        <v>332</v>
      </c>
      <c r="M18" s="724">
        <v>0</v>
      </c>
      <c r="N18" s="1031">
        <f>SUMIFS('Monthly CF'!$H90:$FT90,'Monthly CF'!$H$6:$FT$6,'Operating Assumptions'!$H$6)</f>
        <v>0</v>
      </c>
      <c r="O18" s="52"/>
      <c r="P18" s="484" t="s">
        <v>610</v>
      </c>
      <c r="Q18" s="140">
        <v>0</v>
      </c>
      <c r="R18" s="140">
        <v>0</v>
      </c>
      <c r="S18" s="140">
        <v>0</v>
      </c>
      <c r="T18" s="140">
        <v>0</v>
      </c>
      <c r="U18" s="140">
        <v>0</v>
      </c>
      <c r="V18" s="140">
        <v>0</v>
      </c>
      <c r="W18" s="140">
        <v>0</v>
      </c>
      <c r="X18" s="140">
        <v>0</v>
      </c>
      <c r="Y18" s="140">
        <v>0</v>
      </c>
      <c r="Z18" s="140">
        <v>0</v>
      </c>
      <c r="AA18" s="140">
        <v>0</v>
      </c>
      <c r="AB18" s="43"/>
      <c r="AC18" s="34"/>
      <c r="AD18" s="34"/>
      <c r="AE18" s="34"/>
      <c r="AF18" s="34"/>
      <c r="AG18" s="34"/>
      <c r="AH18" s="34"/>
      <c r="AI18" s="34"/>
      <c r="AJ18" s="34"/>
      <c r="AK18" s="34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</row>
    <row r="19" spans="1:103" s="31" customFormat="1" ht="12.75" customHeight="1" x14ac:dyDescent="0.25">
      <c r="A19" s="32"/>
      <c r="B19" s="32"/>
      <c r="C19" s="32"/>
      <c r="D19" s="32"/>
      <c r="E19" s="74"/>
      <c r="F19" s="1029" t="s">
        <v>737</v>
      </c>
      <c r="G19" s="86" t="s">
        <v>751</v>
      </c>
      <c r="H19" s="724">
        <v>155</v>
      </c>
      <c r="I19" s="1031">
        <f>SUMIFS('Monthly CF'!$H53:$FT53,'Monthly CF'!$H$6:$FT$6,'Operating Assumptions'!$H$6)</f>
        <v>473184</v>
      </c>
      <c r="J19" s="54"/>
      <c r="K19" s="1029" t="s">
        <v>501</v>
      </c>
      <c r="L19" s="86" t="s">
        <v>332</v>
      </c>
      <c r="M19" s="724">
        <v>0</v>
      </c>
      <c r="N19" s="1032">
        <f>SUMIFS('Monthly CF'!$H91:$FT91,'Monthly CF'!$H$6:$FT$6,'Operating Assumptions'!$H$6)</f>
        <v>0</v>
      </c>
      <c r="O19" s="52"/>
      <c r="P19" s="1051" t="s">
        <v>612</v>
      </c>
      <c r="Q19" s="522">
        <v>0</v>
      </c>
      <c r="R19" s="522">
        <v>0</v>
      </c>
      <c r="S19" s="522">
        <v>0</v>
      </c>
      <c r="T19" s="522">
        <v>0</v>
      </c>
      <c r="U19" s="522"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43"/>
      <c r="AC19" s="34"/>
      <c r="AD19" s="34"/>
      <c r="AE19" s="34"/>
      <c r="AF19" s="34"/>
      <c r="AG19" s="34"/>
      <c r="AH19" s="34"/>
      <c r="AI19" s="34"/>
      <c r="AJ19" s="34"/>
      <c r="AK19" s="34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</row>
    <row r="20" spans="1:103" s="31" customFormat="1" ht="12.75" customHeight="1" x14ac:dyDescent="0.25">
      <c r="A20" s="32"/>
      <c r="B20" s="32"/>
      <c r="C20" s="32"/>
      <c r="D20" s="32"/>
      <c r="E20" s="74"/>
      <c r="F20" s="1029" t="s">
        <v>501</v>
      </c>
      <c r="G20" s="86" t="s">
        <v>332</v>
      </c>
      <c r="H20" s="724">
        <v>260</v>
      </c>
      <c r="I20" s="1031">
        <f>SUMIFS('Monthly CF'!$H54:$FT54,'Monthly CF'!$H$6:$FT$6,'Operating Assumptions'!$H$6)</f>
        <v>0</v>
      </c>
      <c r="J20" s="54"/>
      <c r="K20" s="34"/>
      <c r="L20" s="34"/>
      <c r="M20" s="34"/>
      <c r="N20" s="1036">
        <f>SUM(N8:N19)</f>
        <v>-651372</v>
      </c>
      <c r="O20" s="5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</row>
    <row r="21" spans="1:103" s="31" customFormat="1" ht="12.75" customHeight="1" x14ac:dyDescent="0.25">
      <c r="A21" s="34"/>
      <c r="B21" s="1509" t="s">
        <v>199</v>
      </c>
      <c r="C21" s="1510"/>
      <c r="D21" s="1511"/>
      <c r="E21" s="74"/>
      <c r="F21" s="1029" t="s">
        <v>501</v>
      </c>
      <c r="G21" s="86" t="s">
        <v>332</v>
      </c>
      <c r="H21" s="724">
        <v>0</v>
      </c>
      <c r="I21" s="1031">
        <f>SUMIFS('Monthly CF'!$H55:$FT55,'Monthly CF'!$H$6:$FT$6,'Operating Assumptions'!$H$6)</f>
        <v>0</v>
      </c>
      <c r="J21" s="54"/>
      <c r="K21" s="34"/>
      <c r="L21" s="34"/>
      <c r="M21" s="34"/>
      <c r="N21" s="782"/>
      <c r="O21" s="43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</row>
    <row r="22" spans="1:103" s="31" customFormat="1" ht="12.75" customHeight="1" x14ac:dyDescent="0.25">
      <c r="A22" s="34"/>
      <c r="B22" s="43" t="s">
        <v>241</v>
      </c>
      <c r="C22" s="485">
        <f>D22</f>
        <v>46843</v>
      </c>
      <c r="D22" s="486">
        <f>EOMONTH(D48,1)</f>
        <v>46843</v>
      </c>
      <c r="E22" s="74"/>
      <c r="F22" s="1029" t="s">
        <v>501</v>
      </c>
      <c r="G22" s="86" t="s">
        <v>332</v>
      </c>
      <c r="H22" s="724">
        <v>0</v>
      </c>
      <c r="I22" s="1032">
        <f>SUMIFS('Monthly CF'!$H56:$FT56,'Monthly CF'!$H$6:$FT$6,'Operating Assumptions'!$H$6)</f>
        <v>0</v>
      </c>
      <c r="J22" s="54"/>
      <c r="K22" s="135" t="s">
        <v>497</v>
      </c>
      <c r="L22" s="32"/>
      <c r="M22" s="32"/>
      <c r="N22" s="32"/>
      <c r="O22" s="43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</row>
    <row r="23" spans="1:103" s="31" customFormat="1" ht="12.75" customHeight="1" x14ac:dyDescent="0.25">
      <c r="A23" s="34"/>
      <c r="B23" s="43" t="s">
        <v>260</v>
      </c>
      <c r="C23" s="91">
        <v>0.01</v>
      </c>
      <c r="D23" s="141">
        <f>'Unit Mix'!$C$12*(1+'Operating Assumptions'!C23)^((D22-D47)/365)</f>
        <v>1960.2478990250545</v>
      </c>
      <c r="E23" s="74"/>
      <c r="F23" s="34"/>
      <c r="G23" s="34"/>
      <c r="H23" s="720"/>
      <c r="I23" s="1033">
        <f>SUM(I19:I22)</f>
        <v>473184</v>
      </c>
      <c r="J23" s="54"/>
      <c r="K23" s="134" t="s">
        <v>11</v>
      </c>
      <c r="L23" s="86" t="s">
        <v>755</v>
      </c>
      <c r="M23" s="723">
        <v>2.5000000000000001E-2</v>
      </c>
      <c r="N23" s="1031">
        <f>SUMIFS('Monthly CF'!$H95:$FT95,'Monthly CF'!$H$6:$FT$6,'Operating Assumptions'!$H$6)</f>
        <v>-164933.71965359218</v>
      </c>
      <c r="O23" s="43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</row>
    <row r="24" spans="1:103" s="31" customFormat="1" ht="12.75" customHeight="1" x14ac:dyDescent="0.25">
      <c r="A24" s="34"/>
      <c r="B24" s="43" t="s">
        <v>262</v>
      </c>
      <c r="C24" s="416"/>
      <c r="D24" s="136">
        <f>IF(D29="Yes",EOMONTH(D31,-1),IF(D29="No",EOMONTH(D22,-1)))</f>
        <v>46538</v>
      </c>
      <c r="E24" s="74"/>
      <c r="F24" s="135" t="s">
        <v>245</v>
      </c>
      <c r="G24" s="34"/>
      <c r="H24" s="720"/>
      <c r="I24" s="1034"/>
      <c r="J24" s="54"/>
      <c r="K24" s="134" t="s">
        <v>144</v>
      </c>
      <c r="L24" s="86" t="s">
        <v>331</v>
      </c>
      <c r="M24" s="724">
        <v>2750</v>
      </c>
      <c r="N24" s="1031">
        <f>SUMIFS('Monthly CF'!$H96:$FT96,'Monthly CF'!$H$6:$FT$6,'Operating Assumptions'!$H$6)</f>
        <v>-686400</v>
      </c>
      <c r="O24" s="43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</row>
    <row r="25" spans="1:103" s="31" customFormat="1" ht="12.75" customHeight="1" x14ac:dyDescent="0.25">
      <c r="A25" s="34"/>
      <c r="B25" s="43" t="s">
        <v>255</v>
      </c>
      <c r="C25" s="419"/>
      <c r="D25" s="487">
        <v>1</v>
      </c>
      <c r="E25" s="74"/>
      <c r="F25" s="34" t="s">
        <v>245</v>
      </c>
      <c r="G25" s="86" t="s">
        <v>332</v>
      </c>
      <c r="H25" s="75">
        <v>0</v>
      </c>
      <c r="I25" s="1031">
        <f>SUMIFS('Monthly CF'!$H60:$FT60,'Monthly CF'!$H$7:$FT$7,'Operating Assumptions'!$Q$7+2)</f>
        <v>0</v>
      </c>
      <c r="J25" s="54"/>
      <c r="K25" s="1029" t="s">
        <v>377</v>
      </c>
      <c r="L25" s="86" t="s">
        <v>331</v>
      </c>
      <c r="M25" s="724">
        <v>1000</v>
      </c>
      <c r="N25" s="1031">
        <f>SUMIFS('Monthly CF'!$H97:$FT97,'Monthly CF'!$H$6:$FT$6,'Operating Assumptions'!$H$6)</f>
        <v>-247200</v>
      </c>
      <c r="O25" s="205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</row>
    <row r="26" spans="1:103" s="31" customFormat="1" ht="12.75" customHeight="1" x14ac:dyDescent="0.25">
      <c r="A26" s="34"/>
      <c r="B26" s="43" t="s">
        <v>200</v>
      </c>
      <c r="C26" s="419"/>
      <c r="D26" s="487">
        <v>20</v>
      </c>
      <c r="E26" s="74"/>
      <c r="F26" s="34" t="s">
        <v>245</v>
      </c>
      <c r="G26" s="86" t="s">
        <v>332</v>
      </c>
      <c r="H26" s="75">
        <v>0</v>
      </c>
      <c r="I26" s="1032">
        <f>SUMIFS('Monthly CF'!$H61:$FT61,'Monthly CF'!$H$7:$FT$7,'Operating Assumptions'!$Q$7+2)</f>
        <v>0</v>
      </c>
      <c r="J26" s="54"/>
      <c r="K26" s="1029" t="s">
        <v>750</v>
      </c>
      <c r="L26" s="86" t="s">
        <v>331</v>
      </c>
      <c r="M26" s="724">
        <v>100</v>
      </c>
      <c r="N26" s="1031">
        <f>SUMIFS('Monthly CF'!$H98:$FT98,'Monthly CF'!$H$6:$FT$6,'Operating Assumptions'!$H$6)</f>
        <v>-24720</v>
      </c>
      <c r="O26" s="205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</row>
    <row r="27" spans="1:103" s="31" customFormat="1" ht="12.75" customHeight="1" x14ac:dyDescent="0.25">
      <c r="A27" s="34"/>
      <c r="B27" s="43" t="s">
        <v>261</v>
      </c>
      <c r="C27" s="416"/>
      <c r="D27" s="721">
        <f>IF(D25=D14,0,((D14-D25)/D26))</f>
        <v>11.95</v>
      </c>
      <c r="E27" s="74"/>
      <c r="F27" s="77"/>
      <c r="G27" s="34"/>
      <c r="H27" s="75"/>
      <c r="I27" s="1033">
        <f>SUM(I25:I26)</f>
        <v>0</v>
      </c>
      <c r="J27" s="54"/>
      <c r="K27" s="1029" t="s">
        <v>501</v>
      </c>
      <c r="L27" s="86" t="s">
        <v>332</v>
      </c>
      <c r="M27" s="724">
        <v>0</v>
      </c>
      <c r="N27" s="1031">
        <f>SUMIFS('Monthly CF'!$H99:$FT99,'Monthly CF'!$H$6:$FT$6,'Operating Assumptions'!$H$6)</f>
        <v>0</v>
      </c>
      <c r="O27" s="205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</row>
    <row r="28" spans="1:103" s="31" customFormat="1" ht="12.75" customHeight="1" thickBot="1" x14ac:dyDescent="0.3">
      <c r="A28" s="34"/>
      <c r="B28" s="118" t="s">
        <v>263</v>
      </c>
      <c r="C28" s="97">
        <f>SUM('Monthly CF'!H4:FT4)</f>
        <v>31</v>
      </c>
      <c r="D28" s="486">
        <f>HLOOKUP(C28,'Monthly CF'!$H$9:$FT$13,2)</f>
        <v>46996</v>
      </c>
      <c r="E28" s="74"/>
      <c r="F28" s="34"/>
      <c r="G28" s="34"/>
      <c r="H28" s="34"/>
      <c r="I28" s="1035"/>
      <c r="J28" s="54"/>
      <c r="K28" s="34"/>
      <c r="L28" s="34"/>
      <c r="M28" s="34"/>
      <c r="N28" s="1038">
        <f>SUM(N23:N27)</f>
        <v>-1123253.7196535922</v>
      </c>
      <c r="O28" s="205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</row>
    <row r="29" spans="1:103" s="31" customFormat="1" ht="12.75" customHeight="1" thickTop="1" x14ac:dyDescent="0.25">
      <c r="A29" s="34"/>
      <c r="B29" s="43" t="s">
        <v>236</v>
      </c>
      <c r="C29" s="419"/>
      <c r="D29" s="86" t="s">
        <v>68</v>
      </c>
      <c r="E29" s="74"/>
      <c r="F29" s="1030" t="str">
        <f>$G$6&amp;" Total Revenue"</f>
        <v>Year 3 Total Revenue</v>
      </c>
      <c r="G29" s="34"/>
      <c r="H29" s="34"/>
      <c r="I29" s="1036">
        <f>SUM(I8,I17,I23,I27)</f>
        <v>6597348.7861436857</v>
      </c>
      <c r="J29" s="54"/>
      <c r="K29" s="34"/>
      <c r="L29" s="34"/>
      <c r="M29" s="34"/>
      <c r="N29" s="34"/>
      <c r="O29" s="205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</row>
    <row r="30" spans="1:103" s="31" customFormat="1" ht="12.75" customHeight="1" thickBot="1" x14ac:dyDescent="0.3">
      <c r="A30" s="34"/>
      <c r="B30" s="57"/>
      <c r="C30" s="488"/>
      <c r="D30" s="99"/>
      <c r="E30" s="74"/>
      <c r="F30" s="34"/>
      <c r="G30" s="34"/>
      <c r="H30" s="34"/>
      <c r="I30" s="782"/>
      <c r="J30" s="54"/>
      <c r="K30" s="32"/>
      <c r="L30" s="32"/>
      <c r="M30" s="32"/>
      <c r="N30" s="1041"/>
      <c r="O30" s="43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</row>
    <row r="31" spans="1:103" s="31" customFormat="1" ht="12.75" customHeight="1" x14ac:dyDescent="0.25">
      <c r="A31" s="34"/>
      <c r="B31" s="43" t="s">
        <v>238</v>
      </c>
      <c r="C31" s="70"/>
      <c r="D31" s="531">
        <v>46539</v>
      </c>
      <c r="E31" s="74"/>
      <c r="F31" s="135" t="s">
        <v>244</v>
      </c>
      <c r="G31" s="34"/>
      <c r="H31" s="75"/>
      <c r="I31" s="1034"/>
      <c r="J31" s="54"/>
      <c r="K31" s="1030" t="str">
        <f>$G$6&amp;" Total Operating Expenses"</f>
        <v>Year 3 Total Operating Expenses</v>
      </c>
      <c r="L31" s="34"/>
      <c r="M31" s="34"/>
      <c r="N31" s="1036">
        <f>SUM(N20,N28)</f>
        <v>-1774625.7196535922</v>
      </c>
      <c r="O31" s="43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</row>
    <row r="32" spans="1:103" s="31" customFormat="1" ht="12.75" customHeight="1" x14ac:dyDescent="0.25">
      <c r="A32" s="34"/>
      <c r="B32" s="43" t="s">
        <v>237</v>
      </c>
      <c r="C32" s="97"/>
      <c r="D32" s="487">
        <v>125</v>
      </c>
      <c r="E32" s="74"/>
      <c r="F32" s="134" t="str">
        <f>P15</f>
        <v xml:space="preserve">Residential Vacancy </v>
      </c>
      <c r="G32" s="34"/>
      <c r="H32" s="521">
        <f>INDEX($P$8:$AA$19,MATCH($F32,$P$8:$P$19,0),MATCH($H$6,$P$8:$AA$8,0))</f>
        <v>0.05</v>
      </c>
      <c r="I32" s="1031">
        <f>SUMIFS('Monthly CF'!$H68:$FT68,'Monthly CF'!$H$6:$FT$6,'Operating Assumptions'!$H$6)</f>
        <v>-299212.23930718435</v>
      </c>
      <c r="J32" s="54"/>
      <c r="K32" s="39"/>
      <c r="L32" s="39"/>
      <c r="M32" s="39"/>
      <c r="N32" s="39"/>
      <c r="O32" s="43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  <c r="CY32" s="32"/>
    </row>
    <row r="33" spans="1:103" s="31" customFormat="1" ht="12.75" customHeight="1" x14ac:dyDescent="0.25">
      <c r="A33" s="34"/>
      <c r="B33" s="43" t="s">
        <v>239</v>
      </c>
      <c r="C33" s="489">
        <f>D33</f>
        <v>46843</v>
      </c>
      <c r="D33" s="69">
        <f>D22</f>
        <v>46843</v>
      </c>
      <c r="E33" s="74"/>
      <c r="F33" s="134" t="str">
        <f>P16</f>
        <v>One Time Rent Concessions</v>
      </c>
      <c r="G33" s="34"/>
      <c r="H33" s="521">
        <f>INDEX($P$8:$AA$19,MATCH($F33,$P$8:$P$19,0),MATCH($H$6,$P$8:$AA$8,0))</f>
        <v>0</v>
      </c>
      <c r="I33" s="1031">
        <f>SUMIFS('Monthly CF'!$H69:$FT69,'Monthly CF'!$H$6:$FT$6,'Operating Assumptions'!$H$6)</f>
        <v>0</v>
      </c>
      <c r="J33" s="43"/>
      <c r="K33" s="1512" t="s">
        <v>563</v>
      </c>
      <c r="L33" s="1513"/>
      <c r="M33" s="1513"/>
      <c r="N33" s="151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</row>
    <row r="34" spans="1:103" s="31" customFormat="1" ht="12.75" customHeight="1" x14ac:dyDescent="0.25">
      <c r="A34" s="34"/>
      <c r="B34" s="57" t="s">
        <v>240</v>
      </c>
      <c r="C34" s="39"/>
      <c r="D34" s="490">
        <f>D14-D32</f>
        <v>115</v>
      </c>
      <c r="E34" s="74"/>
      <c r="F34" s="134" t="str">
        <f>P17</f>
        <v>Bad Debt Rent Write Off</v>
      </c>
      <c r="G34" s="34"/>
      <c r="H34" s="521">
        <f>INDEX($P$8:$AA$19,MATCH($F34,$P$8:$P$19,0),MATCH($H$6,$P$8:$AA$8,0))</f>
        <v>0</v>
      </c>
      <c r="I34" s="1031">
        <f>SUMIFS('Monthly CF'!$H70:$FT70,'Monthly CF'!$H$6:$FT$6,'Operating Assumptions'!$H$6)</f>
        <v>0</v>
      </c>
      <c r="J34" s="43"/>
      <c r="K34" s="1005"/>
      <c r="L34" s="1211"/>
      <c r="M34" s="1211"/>
      <c r="N34" s="1212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</row>
    <row r="35" spans="1:103" s="31" customFormat="1" ht="12.75" customHeight="1" x14ac:dyDescent="0.25">
      <c r="A35" s="34"/>
      <c r="B35" s="34"/>
      <c r="C35" s="34"/>
      <c r="D35" s="34"/>
      <c r="E35" s="74"/>
      <c r="F35" s="134" t="str">
        <f>P18</f>
        <v>Change in Delinquency</v>
      </c>
      <c r="G35" s="34"/>
      <c r="H35" s="521">
        <f>INDEX($P$8:$AA$19,MATCH($F35,$P$8:$P$19,0),MATCH($H$6,$P$8:$AA$8,0))</f>
        <v>0</v>
      </c>
      <c r="I35" s="1031">
        <f>SUMIFS('Monthly CF'!$H71:$FT71,'Monthly CF'!$H$6:$FT$6,'Operating Assumptions'!$H$6)</f>
        <v>0</v>
      </c>
      <c r="J35" s="43"/>
      <c r="K35" s="73" t="s">
        <v>560</v>
      </c>
      <c r="L35" s="32"/>
      <c r="M35" s="32"/>
      <c r="N35" s="58" t="str">
        <f>$G$6&amp;" Expenses"</f>
        <v>Year 3 Expenses</v>
      </c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</row>
    <row r="36" spans="1:103" s="31" customFormat="1" ht="12.75" customHeight="1" x14ac:dyDescent="0.25">
      <c r="A36" s="34"/>
      <c r="B36" s="1512" t="s">
        <v>210</v>
      </c>
      <c r="C36" s="1513"/>
      <c r="D36" s="1514"/>
      <c r="E36" s="74"/>
      <c r="F36" s="134" t="str">
        <f>P19</f>
        <v>Change in Prepaids</v>
      </c>
      <c r="G36" s="34"/>
      <c r="H36" s="521">
        <f>INDEX($P$8:$AA$19,MATCH($F36,$P$8:$P$19,0),MATCH($H$6,$P$8:$AA$8,0))</f>
        <v>0</v>
      </c>
      <c r="I36" s="1032">
        <f>SUMIFS('Monthly CF'!$H72:$FT72,'Monthly CF'!$H$6:$FT$6,'Operating Assumptions'!$H$6)</f>
        <v>0</v>
      </c>
      <c r="J36" s="52"/>
      <c r="K36" s="1213" t="s">
        <v>564</v>
      </c>
      <c r="L36" s="86" t="s">
        <v>332</v>
      </c>
      <c r="M36" s="724">
        <v>0</v>
      </c>
      <c r="N36" s="1214">
        <f>SUMIFS('Monthly CF'!$H111:$FT111,'Monthly CF'!$H$6:$FT$6,$H$6)</f>
        <v>0</v>
      </c>
      <c r="O36" s="32"/>
      <c r="P36" s="32"/>
      <c r="Q36" s="32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</row>
    <row r="37" spans="1:103" s="31" customFormat="1" ht="12.75" customHeight="1" x14ac:dyDescent="0.25">
      <c r="A37" s="34"/>
      <c r="B37" s="114" t="s">
        <v>235</v>
      </c>
      <c r="C37" s="715">
        <f>IF(D38="January",1,IF(D38="February",2,IF(D38="March",3,IF(D38="April",4,IF(D38="May",5,IF(D38="June",6,IF(D38="July",7,IF(D38="August",8,IF(D38="September",9,IF(D38="October",10,IF(D38="November",11,IF(D38="December",12,0))))))))))))</f>
        <v>1</v>
      </c>
      <c r="D37" s="421">
        <v>2026</v>
      </c>
      <c r="E37" s="74"/>
      <c r="F37" s="34"/>
      <c r="G37" s="34"/>
      <c r="H37" s="75"/>
      <c r="I37" s="1033">
        <f>SUM(I32:I36)</f>
        <v>-299212.23930718435</v>
      </c>
      <c r="J37" s="52"/>
      <c r="K37" s="1213" t="s">
        <v>565</v>
      </c>
      <c r="L37" s="86" t="s">
        <v>332</v>
      </c>
      <c r="M37" s="724">
        <v>0</v>
      </c>
      <c r="N37" s="1214">
        <f>SUMIFS('Monthly CF'!$H112:$FT112,'Monthly CF'!$H$6:$FT$6,$H$6)</f>
        <v>0</v>
      </c>
      <c r="O37" s="32"/>
      <c r="P37" s="32"/>
      <c r="Q37" s="32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</row>
    <row r="38" spans="1:103" s="31" customFormat="1" ht="12.75" customHeight="1" thickBot="1" x14ac:dyDescent="0.3">
      <c r="A38" s="34"/>
      <c r="B38" s="43" t="s">
        <v>256</v>
      </c>
      <c r="C38" s="97">
        <f>IF(D38="January",31,IF(D38="February",28,IF(D38="March",31,IF(D38="April",30,IF(D38="May",31,IF(D38="June",30,IF(D38="July",31,IF(D38="August",31,IF(D38="September",30,IF(D38="October",31,IF(D38="November",30,IF(D38="December",31,0))))))))))))</f>
        <v>31</v>
      </c>
      <c r="D38" s="420" t="s">
        <v>425</v>
      </c>
      <c r="E38" s="74"/>
      <c r="F38" s="34"/>
      <c r="G38" s="34"/>
      <c r="H38" s="34"/>
      <c r="I38" s="1042"/>
      <c r="J38" s="52"/>
      <c r="K38" s="1213" t="s">
        <v>566</v>
      </c>
      <c r="L38" s="86" t="s">
        <v>332</v>
      </c>
      <c r="M38" s="724">
        <v>0</v>
      </c>
      <c r="N38" s="1214">
        <f>SUMIFS('Monthly CF'!$H113:$FT113,'Monthly CF'!$H$6:$FT$6,$H$6)</f>
        <v>0</v>
      </c>
      <c r="O38" s="32"/>
      <c r="P38" s="32"/>
      <c r="Q38" s="32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</row>
    <row r="39" spans="1:103" s="31" customFormat="1" ht="12.75" customHeight="1" x14ac:dyDescent="0.25">
      <c r="A39" s="34"/>
      <c r="B39" s="43" t="s">
        <v>234</v>
      </c>
      <c r="C39" s="716">
        <f>DATE(D37,12,31)</f>
        <v>46387</v>
      </c>
      <c r="D39" s="415">
        <f>DATE(D37,C37,C38)</f>
        <v>46053</v>
      </c>
      <c r="E39" s="74"/>
      <c r="F39" s="1030" t="str">
        <f>$G$6&amp;" Effective Gross Income"</f>
        <v>Year 3 Effective Gross Income</v>
      </c>
      <c r="G39" s="34"/>
      <c r="H39" s="34"/>
      <c r="I39" s="1036">
        <f>SUM(I29,I37)</f>
        <v>6298136.546836501</v>
      </c>
      <c r="J39" s="52"/>
      <c r="K39" s="1213" t="s">
        <v>376</v>
      </c>
      <c r="L39" s="86" t="s">
        <v>332</v>
      </c>
      <c r="M39" s="724">
        <v>0</v>
      </c>
      <c r="N39" s="1214">
        <f>SUMIFS('Monthly CF'!$H114:$FT114,'Monthly CF'!$H$6:$FT$6,$H$6)</f>
        <v>0</v>
      </c>
      <c r="O39" s="32"/>
      <c r="P39" s="32"/>
      <c r="Q39" s="32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</row>
    <row r="40" spans="1:103" s="31" customFormat="1" ht="12.75" customHeight="1" x14ac:dyDescent="0.25">
      <c r="A40" s="34"/>
      <c r="B40" s="114" t="s">
        <v>488</v>
      </c>
      <c r="C40" s="696">
        <f>HLOOKUP(C39,'Monthly CF'!$H$11:$FT$13,2)</f>
        <v>11</v>
      </c>
      <c r="D40" s="1427">
        <f>HLOOKUP(D41,'Monthly CF'!$H$11:$FT$13,2)</f>
        <v>1</v>
      </c>
      <c r="E40" s="74"/>
      <c r="F40" s="39"/>
      <c r="G40" s="39"/>
      <c r="H40" s="39"/>
      <c r="I40" s="1037"/>
      <c r="J40" s="52"/>
      <c r="K40" s="1215"/>
      <c r="L40" s="34"/>
      <c r="M40" s="34"/>
      <c r="N40" s="1038">
        <f>SUM(N36:N39)</f>
        <v>0</v>
      </c>
      <c r="O40" s="32"/>
      <c r="P40" s="32"/>
      <c r="Q40" s="32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</row>
    <row r="41" spans="1:103" s="31" customFormat="1" ht="12.75" customHeight="1" x14ac:dyDescent="0.25">
      <c r="A41" s="34"/>
      <c r="B41" s="43" t="s">
        <v>489</v>
      </c>
      <c r="C41" s="35"/>
      <c r="D41" s="418">
        <f>'Construction Budget'!K11</f>
        <v>46082</v>
      </c>
      <c r="E41" s="34"/>
      <c r="F41" s="34"/>
      <c r="G41" s="34"/>
      <c r="H41" s="34"/>
      <c r="I41" s="34"/>
      <c r="J41" s="32"/>
      <c r="K41" s="52"/>
      <c r="L41" s="32"/>
      <c r="M41" s="32"/>
      <c r="N41" s="381"/>
      <c r="O41" s="32"/>
      <c r="P41" s="32"/>
      <c r="Q41" s="32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</row>
    <row r="42" spans="1:103" s="31" customFormat="1" ht="12.75" customHeight="1" x14ac:dyDescent="0.25">
      <c r="A42" s="34"/>
      <c r="B42" s="114" t="s">
        <v>118</v>
      </c>
      <c r="C42" s="113"/>
      <c r="D42" s="695">
        <f>MIN('Construction Budget'!K29:K52)</f>
        <v>46082</v>
      </c>
      <c r="E42" s="34"/>
      <c r="F42" s="34"/>
      <c r="G42" s="34"/>
      <c r="H42" s="34"/>
      <c r="I42" s="34"/>
      <c r="J42" s="32"/>
      <c r="K42" s="128" t="s">
        <v>561</v>
      </c>
      <c r="L42" s="78" t="s">
        <v>204</v>
      </c>
      <c r="M42" s="32"/>
      <c r="N42" s="1218">
        <f>SUMIFS('Monthly CF'!$H110:$FT110,'Monthly CF'!$H$6:$FT$6,$H$6)</f>
        <v>0</v>
      </c>
      <c r="O42" s="32"/>
      <c r="P42" s="32"/>
      <c r="Q42" s="32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</row>
    <row r="43" spans="1:103" s="31" customFormat="1" ht="12.75" customHeight="1" x14ac:dyDescent="0.25">
      <c r="A43" s="34"/>
      <c r="B43" s="43" t="s">
        <v>117</v>
      </c>
      <c r="C43" s="34"/>
      <c r="D43" s="418">
        <f>MAX('Construction Budget'!M29:M52)</f>
        <v>46812</v>
      </c>
      <c r="E43" s="34"/>
      <c r="F43" s="34"/>
      <c r="G43" s="34"/>
      <c r="H43" s="34"/>
      <c r="I43" s="34"/>
      <c r="J43" s="32"/>
      <c r="K43" s="52"/>
      <c r="L43" s="32"/>
      <c r="M43" s="32"/>
      <c r="N43" s="381"/>
      <c r="O43" s="32"/>
      <c r="P43" s="32"/>
      <c r="Q43" s="32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</row>
    <row r="44" spans="1:103" s="31" customFormat="1" ht="12.75" customHeight="1" thickBot="1" x14ac:dyDescent="0.3">
      <c r="A44" s="34"/>
      <c r="B44" s="43" t="s">
        <v>242</v>
      </c>
      <c r="C44" s="717"/>
      <c r="D44" s="417">
        <f>ROUND((EOMONTH(D43,0)-EOMONTH(D42,0))/30,0)+1</f>
        <v>24</v>
      </c>
      <c r="E44" s="34"/>
      <c r="F44" s="34"/>
      <c r="G44" s="34"/>
      <c r="H44" s="34"/>
      <c r="I44" s="34"/>
      <c r="J44" s="32"/>
      <c r="K44" s="52"/>
      <c r="L44" s="32"/>
      <c r="M44" s="32"/>
      <c r="N44" s="381"/>
      <c r="O44" s="32"/>
      <c r="P44" s="32"/>
      <c r="Q44" s="32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</row>
    <row r="45" spans="1:103" s="31" customFormat="1" ht="12.75" customHeight="1" x14ac:dyDescent="0.25">
      <c r="A45" s="34"/>
      <c r="B45" s="480" t="s">
        <v>619</v>
      </c>
      <c r="C45" s="1322" t="s">
        <v>617</v>
      </c>
      <c r="D45" s="1321">
        <v>46082</v>
      </c>
      <c r="E45" s="34"/>
      <c r="F45" s="34"/>
      <c r="G45" s="34"/>
      <c r="H45" s="34"/>
      <c r="I45" s="34"/>
      <c r="J45" s="32"/>
      <c r="K45" s="1216" t="str">
        <f>$G$6&amp;" Total Non-OpEx/Capital Expenses"</f>
        <v>Year 3 Total Non-OpEx/Capital Expenses</v>
      </c>
      <c r="L45" s="34"/>
      <c r="M45" s="34"/>
      <c r="N45" s="1217">
        <f>SUM(N40,N42)</f>
        <v>0</v>
      </c>
      <c r="O45" s="32"/>
      <c r="P45" s="32"/>
      <c r="Q45" s="32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</row>
    <row r="46" spans="1:103" s="31" customFormat="1" ht="12.75" customHeight="1" x14ac:dyDescent="0.25">
      <c r="A46" s="34"/>
      <c r="B46" s="52"/>
      <c r="C46" s="1323" t="s">
        <v>125</v>
      </c>
      <c r="D46" s="1320">
        <v>24</v>
      </c>
      <c r="E46" s="34"/>
      <c r="F46" s="34"/>
      <c r="G46" s="34"/>
      <c r="H46" s="34"/>
      <c r="I46" s="34"/>
      <c r="J46" s="32"/>
      <c r="K46" s="57"/>
      <c r="L46" s="39"/>
      <c r="M46" s="39"/>
      <c r="N46" s="99"/>
      <c r="O46" s="32"/>
      <c r="P46" s="32"/>
      <c r="Q46" s="32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</row>
    <row r="47" spans="1:103" s="31" customFormat="1" ht="12.75" customHeight="1" x14ac:dyDescent="0.25">
      <c r="A47" s="34"/>
      <c r="B47" s="43" t="s">
        <v>119</v>
      </c>
      <c r="C47" s="718">
        <f>HLOOKUP(EOMONTH(D47,0),'Monthly CF'!$H$11:$FT$13,2)</f>
        <v>2</v>
      </c>
      <c r="D47" s="418">
        <f>IF($B$45="Fixed Timing",$D$45,MIN('Construction Budget'!K14:K24))</f>
        <v>46082</v>
      </c>
      <c r="E47" s="34"/>
      <c r="F47" s="34"/>
      <c r="G47" s="34"/>
      <c r="H47" s="34"/>
      <c r="I47" s="34"/>
      <c r="J47" s="32"/>
      <c r="K47" s="34"/>
      <c r="L47" s="34"/>
      <c r="M47" s="34"/>
      <c r="N47" s="34"/>
      <c r="O47" s="32"/>
      <c r="P47" s="32"/>
      <c r="Q47" s="32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</row>
    <row r="48" spans="1:103" s="31" customFormat="1" ht="12.75" customHeight="1" x14ac:dyDescent="0.25">
      <c r="A48" s="34"/>
      <c r="B48" s="43" t="s">
        <v>120</v>
      </c>
      <c r="C48" s="718">
        <f>HLOOKUP(D48,'Monthly CF'!$H$11:$FT$13,2)</f>
        <v>25</v>
      </c>
      <c r="D48" s="418">
        <f>IF($B$45="Fixed Timing",EOMONTH($D$47,$D$46-1),MAX('Construction Budget'!M14:M24))</f>
        <v>46812</v>
      </c>
      <c r="E48" s="34"/>
      <c r="F48" s="34"/>
      <c r="G48" s="34"/>
      <c r="H48" s="34"/>
      <c r="I48" s="34"/>
      <c r="J48" s="32"/>
      <c r="K48" s="34"/>
      <c r="L48" s="34"/>
      <c r="M48" s="34"/>
      <c r="N48" s="34"/>
      <c r="O48" s="32"/>
      <c r="P48" s="32"/>
      <c r="Q48" s="32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</row>
    <row r="49" spans="1:103" s="31" customFormat="1" ht="12.75" customHeight="1" x14ac:dyDescent="0.25">
      <c r="A49" s="34"/>
      <c r="B49" s="43" t="s">
        <v>220</v>
      </c>
      <c r="C49" s="719">
        <f>D49</f>
        <v>24</v>
      </c>
      <c r="D49" s="417">
        <f>IF($B$45="Fixed Timing",$D$46,ROUND((EOMONTH(D48,0)-EOMONTH(D47,0))/30,0)+1)</f>
        <v>24</v>
      </c>
      <c r="E49" s="34"/>
      <c r="F49" s="34"/>
      <c r="G49" s="34"/>
      <c r="H49" s="34"/>
      <c r="I49" s="34"/>
      <c r="J49" s="32"/>
      <c r="K49" s="34"/>
      <c r="L49" s="34"/>
      <c r="M49" s="34"/>
      <c r="N49" s="34"/>
      <c r="O49" s="32"/>
      <c r="P49" s="32"/>
      <c r="Q49" s="32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</row>
    <row r="50" spans="1:103" s="31" customFormat="1" ht="12.75" customHeight="1" x14ac:dyDescent="0.25">
      <c r="A50" s="34"/>
      <c r="B50" s="114" t="s">
        <v>243</v>
      </c>
      <c r="C50" s="1206"/>
      <c r="D50" s="1207">
        <f>ROUND((EOMONTH(D22,0)-EOMONTH(D39,0))/30,0)</f>
        <v>26</v>
      </c>
      <c r="E50" s="34"/>
      <c r="F50" s="34"/>
      <c r="G50" s="34"/>
      <c r="H50" s="34"/>
      <c r="I50" s="34"/>
      <c r="J50" s="32"/>
      <c r="K50" s="34"/>
      <c r="L50" s="34"/>
      <c r="M50" s="34"/>
      <c r="N50" s="34"/>
      <c r="O50" s="32"/>
      <c r="P50" s="32"/>
      <c r="Q50" s="32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</row>
    <row r="51" spans="1:103" s="31" customFormat="1" ht="12.75" customHeight="1" x14ac:dyDescent="0.25">
      <c r="A51" s="34"/>
      <c r="B51" s="57" t="s">
        <v>241</v>
      </c>
      <c r="C51" s="729"/>
      <c r="D51" s="1208">
        <f>EOMONTH(D48,1)</f>
        <v>46843</v>
      </c>
      <c r="E51" s="34"/>
      <c r="F51" s="34"/>
      <c r="G51" s="34"/>
      <c r="H51" s="34"/>
      <c r="I51" s="34"/>
      <c r="J51" s="32"/>
      <c r="K51" s="34"/>
      <c r="L51" s="34"/>
      <c r="M51" s="34"/>
      <c r="N51" s="34"/>
      <c r="O51" s="32"/>
      <c r="P51" s="32"/>
      <c r="Q51" s="32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</row>
    <row r="52" spans="1:103" s="31" customFormat="1" ht="12.75" customHeight="1" x14ac:dyDescent="0.25">
      <c r="A52" s="34"/>
      <c r="B52" s="43" t="s">
        <v>328</v>
      </c>
      <c r="C52" s="781">
        <f>YEAR(D52)</f>
        <v>2027</v>
      </c>
      <c r="D52" s="1205">
        <f>IF(D29="No",EOMONTH(D39,D50),IF(D29="Yes",D31))</f>
        <v>46539</v>
      </c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</row>
    <row r="53" spans="1:103" s="31" customFormat="1" ht="12.75" customHeight="1" x14ac:dyDescent="0.25">
      <c r="A53" s="34"/>
      <c r="B53" s="43" t="s">
        <v>327</v>
      </c>
      <c r="C53" s="714">
        <f>IF(D29="No",D22-DAY(D22)+1,IF(D29="Yes",D31-DAY(D31)+1))</f>
        <v>46539</v>
      </c>
      <c r="D53" s="414">
        <f>HLOOKUP(C53,'Monthly CF'!$H$11:$FT$13,2)+1</f>
        <v>17</v>
      </c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</row>
    <row r="54" spans="1:103" s="31" customFormat="1" ht="12.75" customHeight="1" x14ac:dyDescent="0.25">
      <c r="A54" s="34"/>
      <c r="B54" s="57" t="s">
        <v>326</v>
      </c>
      <c r="C54" s="693">
        <f>DATE(C52,12,31)</f>
        <v>46752</v>
      </c>
      <c r="D54" s="694">
        <f>HLOOKUP(C54,'Monthly CF'!$H$11:$FT$13,2)</f>
        <v>23</v>
      </c>
      <c r="E54" s="34"/>
      <c r="F54" s="34"/>
      <c r="G54" s="34"/>
      <c r="H54" s="34"/>
      <c r="I54" s="34"/>
      <c r="J54" s="32"/>
      <c r="K54" s="34"/>
      <c r="L54" s="34"/>
      <c r="M54" s="34"/>
      <c r="N54" s="34"/>
      <c r="O54" s="32"/>
      <c r="P54" s="32"/>
      <c r="Q54" s="32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</row>
    <row r="55" spans="1:103" s="31" customFormat="1" ht="12.75" customHeight="1" x14ac:dyDescent="0.25">
      <c r="A55" s="34"/>
      <c r="B55" s="34"/>
      <c r="C55" s="32"/>
      <c r="D55" s="32"/>
      <c r="E55" s="34"/>
      <c r="F55" s="34"/>
      <c r="G55" s="34"/>
      <c r="H55" s="34"/>
      <c r="I55" s="34"/>
      <c r="J55" s="32"/>
      <c r="K55" s="34"/>
      <c r="L55" s="34"/>
      <c r="M55" s="34"/>
      <c r="N55" s="34"/>
      <c r="O55" s="32"/>
      <c r="P55" s="32"/>
      <c r="Q55" s="32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</row>
    <row r="56" spans="1:103" s="31" customFormat="1" ht="12.75" customHeight="1" x14ac:dyDescent="0.25">
      <c r="A56" s="34"/>
      <c r="B56" s="34"/>
      <c r="C56" s="32"/>
      <c r="D56" s="32"/>
      <c r="E56" s="34"/>
      <c r="F56" s="34"/>
      <c r="G56" s="34"/>
      <c r="H56" s="34"/>
      <c r="I56" s="34"/>
      <c r="J56" s="32"/>
      <c r="K56" s="34"/>
      <c r="L56" s="34"/>
      <c r="M56" s="34"/>
      <c r="N56" s="34"/>
      <c r="O56" s="32"/>
      <c r="P56" s="32"/>
      <c r="Q56" s="32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</row>
    <row r="57" spans="1:103" s="31" customFormat="1" ht="12.75" customHeight="1" x14ac:dyDescent="0.25">
      <c r="A57" s="34"/>
      <c r="B57" s="34"/>
      <c r="C57" s="32"/>
      <c r="D57" s="32"/>
      <c r="E57" s="34"/>
      <c r="F57" s="34"/>
      <c r="G57" s="34"/>
      <c r="H57" s="34"/>
      <c r="I57" s="34"/>
      <c r="J57" s="32"/>
      <c r="K57" s="34"/>
      <c r="L57" s="34"/>
      <c r="M57" s="34"/>
      <c r="N57" s="34"/>
      <c r="O57" s="32"/>
      <c r="P57" s="32"/>
      <c r="Q57" s="32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32"/>
      <c r="CA57" s="32"/>
      <c r="CB57" s="32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  <c r="CQ57" s="32"/>
      <c r="CR57" s="32"/>
      <c r="CS57" s="32"/>
      <c r="CT57" s="32"/>
      <c r="CU57" s="32"/>
      <c r="CV57" s="32"/>
      <c r="CW57" s="32"/>
      <c r="CX57" s="32"/>
      <c r="CY57" s="32"/>
    </row>
    <row r="58" spans="1:103" s="31" customFormat="1" ht="12.75" customHeight="1" x14ac:dyDescent="0.25">
      <c r="A58" s="34"/>
      <c r="B58" s="34"/>
      <c r="C58" s="32"/>
      <c r="D58" s="32"/>
      <c r="E58" s="34"/>
      <c r="F58" s="34"/>
      <c r="G58" s="34"/>
      <c r="H58" s="34"/>
      <c r="I58" s="34"/>
      <c r="J58" s="32"/>
      <c r="K58" s="34"/>
      <c r="L58" s="34"/>
      <c r="M58" s="34"/>
      <c r="N58" s="34"/>
      <c r="O58" s="32"/>
      <c r="P58" s="32"/>
      <c r="Q58" s="32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32"/>
      <c r="CH58" s="32"/>
      <c r="CI58" s="32"/>
      <c r="CJ58" s="32"/>
      <c r="CK58" s="32"/>
      <c r="CL58" s="32"/>
      <c r="CM58" s="32"/>
      <c r="CN58" s="32"/>
      <c r="CO58" s="32"/>
      <c r="CP58" s="32"/>
      <c r="CQ58" s="32"/>
      <c r="CR58" s="32"/>
      <c r="CS58" s="32"/>
      <c r="CT58" s="32"/>
      <c r="CU58" s="32"/>
      <c r="CV58" s="32"/>
      <c r="CW58" s="32"/>
      <c r="CX58" s="32"/>
      <c r="CY58" s="32"/>
    </row>
    <row r="59" spans="1:103" s="31" customFormat="1" ht="12.75" customHeight="1" x14ac:dyDescent="0.25">
      <c r="A59" s="34"/>
      <c r="B59" s="34"/>
      <c r="C59" s="32"/>
      <c r="D59" s="32"/>
      <c r="E59" s="34"/>
      <c r="F59" s="34"/>
      <c r="G59" s="34"/>
      <c r="H59" s="34"/>
      <c r="I59" s="34"/>
      <c r="J59" s="32"/>
      <c r="K59" s="34"/>
      <c r="L59" s="34"/>
      <c r="M59" s="34"/>
      <c r="N59" s="34"/>
      <c r="O59" s="32"/>
      <c r="P59" s="32"/>
      <c r="Q59" s="32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</row>
    <row r="60" spans="1:103" s="31" customFormat="1" ht="12.75" customHeight="1" x14ac:dyDescent="0.25">
      <c r="A60" s="34"/>
      <c r="B60" s="34"/>
      <c r="C60" s="32"/>
      <c r="D60" s="32"/>
      <c r="E60" s="34"/>
      <c r="F60" s="34"/>
      <c r="G60" s="34"/>
      <c r="H60" s="34"/>
      <c r="I60" s="34"/>
      <c r="J60" s="32"/>
      <c r="K60" s="34"/>
      <c r="L60" s="34"/>
      <c r="M60" s="34"/>
      <c r="N60" s="34"/>
      <c r="O60" s="32"/>
      <c r="P60" s="32"/>
      <c r="Q60" s="32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</row>
    <row r="61" spans="1:103" s="31" customFormat="1" ht="12.75" customHeight="1" x14ac:dyDescent="0.25">
      <c r="A61" s="34"/>
      <c r="B61" s="34"/>
      <c r="C61" s="32"/>
      <c r="D61" s="32"/>
      <c r="E61" s="34"/>
      <c r="F61" s="34"/>
      <c r="G61" s="34"/>
      <c r="H61" s="34"/>
      <c r="I61" s="34"/>
      <c r="J61" s="32"/>
      <c r="K61" s="34"/>
      <c r="L61" s="34"/>
      <c r="M61" s="34"/>
      <c r="N61" s="34"/>
      <c r="O61" s="32"/>
      <c r="P61" s="32"/>
      <c r="Q61" s="32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  <c r="CY61" s="32"/>
    </row>
    <row r="62" spans="1:103" s="31" customFormat="1" ht="12.75" customHeight="1" x14ac:dyDescent="0.25">
      <c r="A62" s="34"/>
      <c r="B62" s="34"/>
      <c r="C62" s="32"/>
      <c r="D62" s="32"/>
      <c r="E62" s="34"/>
      <c r="F62" s="34"/>
      <c r="G62" s="34"/>
      <c r="H62" s="34"/>
      <c r="I62" s="34"/>
      <c r="J62" s="32"/>
      <c r="K62" s="34"/>
      <c r="L62" s="34"/>
      <c r="M62" s="34"/>
      <c r="N62" s="34"/>
      <c r="O62" s="32"/>
      <c r="P62" s="32"/>
      <c r="Q62" s="32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32"/>
      <c r="CW62" s="32"/>
      <c r="CX62" s="32"/>
      <c r="CY62" s="32"/>
    </row>
    <row r="63" spans="1:103" s="31" customFormat="1" ht="12.75" customHeight="1" x14ac:dyDescent="0.25">
      <c r="A63" s="34"/>
      <c r="B63" s="34"/>
      <c r="C63" s="32"/>
      <c r="D63" s="32"/>
      <c r="E63" s="34"/>
      <c r="F63" s="34"/>
      <c r="G63" s="34"/>
      <c r="H63" s="34"/>
      <c r="I63" s="34"/>
      <c r="J63" s="32"/>
      <c r="K63" s="34"/>
      <c r="L63" s="34"/>
      <c r="M63" s="34"/>
      <c r="N63" s="34"/>
      <c r="O63" s="32"/>
      <c r="P63" s="32"/>
      <c r="Q63" s="32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2"/>
      <c r="CK63" s="32"/>
      <c r="CL63" s="32"/>
      <c r="CM63" s="32"/>
      <c r="CN63" s="32"/>
      <c r="CO63" s="32"/>
      <c r="CP63" s="32"/>
      <c r="CQ63" s="32"/>
      <c r="CR63" s="32"/>
      <c r="CS63" s="32"/>
      <c r="CT63" s="32"/>
      <c r="CU63" s="32"/>
      <c r="CV63" s="32"/>
      <c r="CW63" s="32"/>
      <c r="CX63" s="32"/>
      <c r="CY63" s="32"/>
    </row>
    <row r="64" spans="1:103" s="31" customFormat="1" ht="12.75" customHeight="1" x14ac:dyDescent="0.25">
      <c r="A64" s="34"/>
      <c r="B64" s="34"/>
      <c r="C64" s="32"/>
      <c r="D64" s="32"/>
      <c r="E64" s="34"/>
      <c r="F64" s="34"/>
      <c r="G64" s="34"/>
      <c r="H64" s="34"/>
      <c r="I64" s="34"/>
      <c r="J64" s="32"/>
      <c r="K64" s="34"/>
      <c r="L64" s="34"/>
      <c r="M64" s="34"/>
      <c r="N64" s="34"/>
      <c r="O64" s="32"/>
      <c r="P64" s="32"/>
      <c r="Q64" s="32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2"/>
      <c r="BO64" s="32"/>
      <c r="BP64" s="32"/>
      <c r="BQ64" s="32"/>
      <c r="BR64" s="32"/>
      <c r="BS64" s="32"/>
      <c r="BT64" s="32"/>
      <c r="BU64" s="32"/>
      <c r="BV64" s="32"/>
      <c r="BW64" s="32"/>
      <c r="BX64" s="32"/>
      <c r="BY64" s="32"/>
      <c r="BZ64" s="32"/>
      <c r="CA64" s="32"/>
      <c r="CB64" s="32"/>
      <c r="CC64" s="32"/>
      <c r="CD64" s="32"/>
      <c r="CE64" s="32"/>
      <c r="CF64" s="32"/>
      <c r="CG64" s="32"/>
      <c r="CH64" s="32"/>
      <c r="CI64" s="32"/>
      <c r="CJ64" s="32"/>
      <c r="CK64" s="32"/>
      <c r="CL64" s="32"/>
      <c r="CM64" s="32"/>
      <c r="CN64" s="32"/>
      <c r="CO64" s="32"/>
      <c r="CP64" s="32"/>
      <c r="CQ64" s="32"/>
      <c r="CR64" s="32"/>
      <c r="CS64" s="32"/>
      <c r="CT64" s="32"/>
      <c r="CU64" s="32"/>
      <c r="CV64" s="32"/>
      <c r="CW64" s="32"/>
      <c r="CX64" s="32"/>
      <c r="CY64" s="32"/>
    </row>
    <row r="65" spans="1:103" s="31" customFormat="1" ht="12.75" customHeight="1" x14ac:dyDescent="0.25">
      <c r="A65" s="34"/>
      <c r="B65" s="34"/>
      <c r="C65" s="32"/>
      <c r="D65" s="32"/>
      <c r="E65" s="34"/>
      <c r="F65" s="34"/>
      <c r="G65" s="34"/>
      <c r="H65" s="34"/>
      <c r="I65" s="34"/>
      <c r="J65" s="32"/>
      <c r="K65" s="34"/>
      <c r="L65" s="34"/>
      <c r="M65" s="34"/>
      <c r="N65" s="34"/>
      <c r="O65" s="32"/>
      <c r="P65" s="32"/>
      <c r="Q65" s="32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</row>
    <row r="66" spans="1:103" s="31" customFormat="1" ht="12.75" customHeight="1" x14ac:dyDescent="0.25">
      <c r="A66" s="34"/>
      <c r="B66" s="34"/>
      <c r="C66" s="32"/>
      <c r="D66" s="32"/>
      <c r="E66" s="34"/>
      <c r="F66" s="34"/>
      <c r="G66" s="34"/>
      <c r="H66" s="34"/>
      <c r="I66" s="34"/>
      <c r="J66" s="32"/>
      <c r="K66" s="34"/>
      <c r="L66" s="34"/>
      <c r="M66" s="34"/>
      <c r="N66" s="34"/>
      <c r="O66" s="32"/>
      <c r="P66" s="32"/>
      <c r="Q66" s="32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  <c r="BJ66" s="32"/>
      <c r="BK66" s="32"/>
      <c r="BL66" s="32"/>
      <c r="BM66" s="32"/>
      <c r="BN66" s="32"/>
      <c r="BO66" s="32"/>
      <c r="BP66" s="32"/>
      <c r="BQ66" s="32"/>
      <c r="BR66" s="32"/>
      <c r="BS66" s="32"/>
      <c r="BT66" s="32"/>
      <c r="BU66" s="32"/>
      <c r="BV66" s="32"/>
      <c r="BW66" s="32"/>
      <c r="BX66" s="32"/>
      <c r="BY66" s="32"/>
      <c r="BZ66" s="32"/>
      <c r="CA66" s="32"/>
      <c r="CB66" s="32"/>
      <c r="CC66" s="32"/>
      <c r="CD66" s="32"/>
      <c r="CE66" s="32"/>
      <c r="CF66" s="32"/>
      <c r="CG66" s="32"/>
      <c r="CH66" s="32"/>
      <c r="CI66" s="32"/>
      <c r="CJ66" s="32"/>
      <c r="CK66" s="32"/>
      <c r="CL66" s="32"/>
      <c r="CM66" s="32"/>
      <c r="CN66" s="32"/>
      <c r="CO66" s="32"/>
      <c r="CP66" s="32"/>
      <c r="CQ66" s="32"/>
      <c r="CR66" s="32"/>
      <c r="CS66" s="32"/>
      <c r="CT66" s="32"/>
      <c r="CU66" s="32"/>
      <c r="CV66" s="32"/>
      <c r="CW66" s="32"/>
      <c r="CX66" s="32"/>
      <c r="CY66" s="32"/>
    </row>
    <row r="67" spans="1:103" s="31" customFormat="1" ht="12.75" customHeight="1" x14ac:dyDescent="0.25">
      <c r="A67" s="34"/>
      <c r="B67" s="34"/>
      <c r="C67" s="32"/>
      <c r="D67" s="32"/>
      <c r="E67" s="34"/>
      <c r="F67" s="34"/>
      <c r="G67" s="34"/>
      <c r="H67" s="34"/>
      <c r="I67" s="34"/>
      <c r="J67" s="32"/>
      <c r="K67" s="34"/>
      <c r="L67" s="34"/>
      <c r="M67" s="34"/>
      <c r="N67" s="34"/>
      <c r="O67" s="32"/>
      <c r="P67" s="32"/>
      <c r="Q67" s="32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</row>
    <row r="68" spans="1:103" s="31" customFormat="1" ht="12.75" customHeight="1" x14ac:dyDescent="0.25">
      <c r="A68" s="34"/>
      <c r="B68" s="34"/>
      <c r="C68" s="32"/>
      <c r="D68" s="32"/>
      <c r="E68" s="34"/>
      <c r="F68" s="34"/>
      <c r="G68" s="34"/>
      <c r="H68" s="34"/>
      <c r="I68" s="34"/>
      <c r="J68" s="32"/>
      <c r="K68" s="34"/>
      <c r="L68" s="34"/>
      <c r="M68" s="34"/>
      <c r="N68" s="34"/>
      <c r="O68" s="32"/>
      <c r="P68" s="32"/>
      <c r="Q68" s="32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  <c r="CY68" s="32"/>
    </row>
    <row r="69" spans="1:103" s="31" customFormat="1" ht="12.75" customHeight="1" x14ac:dyDescent="0.25">
      <c r="A69" s="34"/>
      <c r="B69" s="34"/>
      <c r="C69" s="32"/>
      <c r="D69" s="32"/>
      <c r="E69" s="34"/>
      <c r="F69" s="34"/>
      <c r="G69" s="34"/>
      <c r="H69" s="34"/>
      <c r="I69" s="34"/>
      <c r="J69" s="32"/>
      <c r="K69" s="34"/>
      <c r="L69" s="34"/>
      <c r="M69" s="34"/>
      <c r="N69" s="34"/>
      <c r="O69" s="32"/>
      <c r="P69" s="32"/>
      <c r="Q69" s="32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  <c r="CY69" s="32"/>
    </row>
    <row r="70" spans="1:103" s="31" customFormat="1" ht="12.75" customHeight="1" x14ac:dyDescent="0.25">
      <c r="A70" s="34"/>
      <c r="B70" s="34"/>
      <c r="C70" s="32"/>
      <c r="D70" s="32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32"/>
      <c r="CW70" s="32"/>
      <c r="CX70" s="32"/>
      <c r="CY70" s="32"/>
    </row>
    <row r="71" spans="1:103" s="31" customFormat="1" ht="12.75" customHeight="1" x14ac:dyDescent="0.25">
      <c r="A71" s="34"/>
      <c r="B71" s="34"/>
      <c r="C71" s="32"/>
      <c r="D71" s="32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32"/>
      <c r="CA71" s="32"/>
      <c r="CB71" s="32"/>
      <c r="CC71" s="32"/>
      <c r="CD71" s="32"/>
      <c r="CE71" s="32"/>
      <c r="CF71" s="32"/>
      <c r="CG71" s="32"/>
      <c r="CH71" s="32"/>
      <c r="CI71" s="32"/>
      <c r="CJ71" s="32"/>
      <c r="CK71" s="32"/>
      <c r="CL71" s="32"/>
      <c r="CM71" s="32"/>
      <c r="CN71" s="32"/>
      <c r="CO71" s="32"/>
      <c r="CP71" s="32"/>
      <c r="CQ71" s="32"/>
      <c r="CR71" s="32"/>
      <c r="CS71" s="32"/>
      <c r="CT71" s="32"/>
      <c r="CU71" s="32"/>
      <c r="CV71" s="32"/>
      <c r="CW71" s="32"/>
      <c r="CX71" s="32"/>
      <c r="CY71" s="32"/>
    </row>
    <row r="72" spans="1:103" s="31" customFormat="1" ht="12.75" customHeight="1" x14ac:dyDescent="0.25">
      <c r="A72" s="34"/>
      <c r="B72" s="34"/>
      <c r="C72" s="32"/>
      <c r="D72" s="32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</row>
    <row r="73" spans="1:103" s="31" customFormat="1" ht="12.75" customHeight="1" x14ac:dyDescent="0.25">
      <c r="A73" s="34"/>
      <c r="B73" s="34"/>
      <c r="C73" s="32"/>
      <c r="D73" s="32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32"/>
      <c r="BX73" s="32"/>
      <c r="BY73" s="32"/>
      <c r="BZ73" s="32"/>
      <c r="CA73" s="32"/>
      <c r="CB73" s="32"/>
      <c r="CC73" s="32"/>
      <c r="CD73" s="32"/>
      <c r="CE73" s="32"/>
      <c r="CF73" s="32"/>
      <c r="CG73" s="32"/>
      <c r="CH73" s="32"/>
      <c r="CI73" s="32"/>
      <c r="CJ73" s="32"/>
      <c r="CK73" s="32"/>
      <c r="CL73" s="32"/>
      <c r="CM73" s="32"/>
      <c r="CN73" s="32"/>
      <c r="CO73" s="32"/>
      <c r="CP73" s="32"/>
      <c r="CQ73" s="32"/>
      <c r="CR73" s="32"/>
      <c r="CS73" s="32"/>
      <c r="CT73" s="32"/>
      <c r="CU73" s="32"/>
      <c r="CV73" s="32"/>
      <c r="CW73" s="32"/>
      <c r="CX73" s="32"/>
      <c r="CY73" s="32"/>
    </row>
    <row r="74" spans="1:103" s="31" customFormat="1" ht="12.75" customHeight="1" x14ac:dyDescent="0.25">
      <c r="A74" s="34"/>
      <c r="B74" s="34"/>
      <c r="C74" s="32"/>
      <c r="D74" s="32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  <c r="CW74" s="32"/>
      <c r="CX74" s="32"/>
      <c r="CY74" s="32"/>
    </row>
    <row r="75" spans="1:103" s="31" customFormat="1" ht="12.75" customHeight="1" x14ac:dyDescent="0.25">
      <c r="A75" s="34"/>
      <c r="B75" s="34"/>
      <c r="C75" s="32"/>
      <c r="D75" s="32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32"/>
      <c r="CO75" s="32"/>
      <c r="CP75" s="32"/>
      <c r="CQ75" s="32"/>
      <c r="CR75" s="32"/>
      <c r="CS75" s="32"/>
      <c r="CT75" s="32"/>
      <c r="CU75" s="32"/>
      <c r="CV75" s="32"/>
      <c r="CW75" s="32"/>
      <c r="CX75" s="32"/>
      <c r="CY75" s="32"/>
    </row>
    <row r="76" spans="1:103" s="31" customFormat="1" ht="12.75" customHeight="1" x14ac:dyDescent="0.25">
      <c r="A76" s="34"/>
      <c r="B76" s="34"/>
      <c r="C76" s="32"/>
      <c r="D76" s="32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  <c r="CC76" s="32"/>
      <c r="CD76" s="32"/>
      <c r="CE76" s="32"/>
      <c r="CF76" s="32"/>
      <c r="CG76" s="32"/>
      <c r="CH76" s="32"/>
      <c r="CI76" s="32"/>
      <c r="CJ76" s="32"/>
      <c r="CK76" s="32"/>
      <c r="CL76" s="32"/>
      <c r="CM76" s="32"/>
      <c r="CN76" s="32"/>
      <c r="CO76" s="32"/>
      <c r="CP76" s="32"/>
      <c r="CQ76" s="32"/>
      <c r="CR76" s="32"/>
      <c r="CS76" s="32"/>
      <c r="CT76" s="32"/>
      <c r="CU76" s="32"/>
      <c r="CV76" s="32"/>
      <c r="CW76" s="32"/>
      <c r="CX76" s="32"/>
      <c r="CY76" s="32"/>
    </row>
    <row r="77" spans="1:103" s="31" customFormat="1" ht="12.75" customHeight="1" x14ac:dyDescent="0.25">
      <c r="A77" s="34"/>
      <c r="B77" s="34"/>
      <c r="C77" s="32"/>
      <c r="D77" s="32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</row>
    <row r="78" spans="1:103" s="31" customFormat="1" ht="12.75" customHeight="1" x14ac:dyDescent="0.25">
      <c r="A78" s="34"/>
      <c r="B78" s="34"/>
      <c r="C78" s="32"/>
      <c r="D78" s="32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  <c r="BT78" s="32"/>
      <c r="BU78" s="32"/>
      <c r="BV78" s="32"/>
      <c r="BW78" s="32"/>
      <c r="BX78" s="32"/>
      <c r="BY78" s="32"/>
      <c r="BZ78" s="32"/>
      <c r="CA78" s="32"/>
      <c r="CB78" s="32"/>
      <c r="CC78" s="32"/>
      <c r="CD78" s="32"/>
      <c r="CE78" s="32"/>
      <c r="CF78" s="32"/>
      <c r="CG78" s="32"/>
      <c r="CH78" s="32"/>
      <c r="CI78" s="32"/>
      <c r="CJ78" s="32"/>
      <c r="CK78" s="32"/>
      <c r="CL78" s="32"/>
      <c r="CM78" s="32"/>
      <c r="CN78" s="32"/>
      <c r="CO78" s="32"/>
      <c r="CP78" s="32"/>
      <c r="CQ78" s="32"/>
      <c r="CR78" s="32"/>
      <c r="CS78" s="32"/>
      <c r="CT78" s="32"/>
      <c r="CU78" s="32"/>
      <c r="CV78" s="32"/>
      <c r="CW78" s="32"/>
      <c r="CX78" s="32"/>
      <c r="CY78" s="32"/>
    </row>
    <row r="79" spans="1:103" s="31" customFormat="1" ht="12.75" customHeight="1" x14ac:dyDescent="0.25">
      <c r="A79" s="34"/>
      <c r="B79" s="34"/>
      <c r="C79" s="32"/>
      <c r="D79" s="32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  <c r="BQ79" s="32"/>
      <c r="BR79" s="32"/>
      <c r="BS79" s="32"/>
      <c r="BT79" s="32"/>
      <c r="BU79" s="32"/>
      <c r="BV79" s="32"/>
      <c r="BW79" s="32"/>
      <c r="BX79" s="32"/>
      <c r="BY79" s="32"/>
      <c r="BZ79" s="32"/>
      <c r="CA79" s="32"/>
      <c r="CB79" s="32"/>
      <c r="CC79" s="32"/>
      <c r="CD79" s="32"/>
      <c r="CE79" s="32"/>
      <c r="CF79" s="32"/>
      <c r="CG79" s="32"/>
      <c r="CH79" s="32"/>
      <c r="CI79" s="32"/>
      <c r="CJ79" s="32"/>
      <c r="CK79" s="32"/>
      <c r="CL79" s="32"/>
      <c r="CM79" s="32"/>
      <c r="CN79" s="32"/>
      <c r="CO79" s="32"/>
      <c r="CP79" s="32"/>
      <c r="CQ79" s="32"/>
      <c r="CR79" s="32"/>
      <c r="CS79" s="32"/>
      <c r="CT79" s="32"/>
      <c r="CU79" s="32"/>
      <c r="CV79" s="32"/>
      <c r="CW79" s="32"/>
      <c r="CX79" s="32"/>
      <c r="CY79" s="32"/>
    </row>
    <row r="80" spans="1:103" s="31" customFormat="1" ht="12.75" customHeight="1" x14ac:dyDescent="0.25">
      <c r="A80" s="34"/>
      <c r="B80" s="34"/>
      <c r="C80" s="32"/>
      <c r="D80" s="32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</row>
    <row r="81" spans="1:103" s="31" customFormat="1" ht="12.75" customHeight="1" x14ac:dyDescent="0.25">
      <c r="A81" s="34"/>
      <c r="B81" s="34"/>
      <c r="C81" s="32"/>
      <c r="D81" s="32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</row>
    <row r="82" spans="1:103" s="31" customFormat="1" ht="12.75" customHeight="1" x14ac:dyDescent="0.25">
      <c r="A82" s="34"/>
      <c r="B82" s="34"/>
      <c r="C82" s="32"/>
      <c r="D82" s="32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</row>
    <row r="83" spans="1:103" s="31" customFormat="1" ht="12.75" customHeight="1" x14ac:dyDescent="0.25">
      <c r="A83" s="34"/>
      <c r="B83" s="34"/>
      <c r="C83" s="32"/>
      <c r="D83" s="32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</row>
    <row r="84" spans="1:103" s="31" customFormat="1" ht="12.75" customHeight="1" x14ac:dyDescent="0.25">
      <c r="A84" s="34"/>
      <c r="B84" s="34"/>
      <c r="C84" s="32"/>
      <c r="D84" s="32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</row>
    <row r="85" spans="1:103" s="31" customFormat="1" ht="12.75" customHeight="1" x14ac:dyDescent="0.25">
      <c r="A85" s="34"/>
      <c r="B85" s="34"/>
      <c r="C85" s="32"/>
      <c r="D85" s="32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</row>
    <row r="86" spans="1:103" s="31" customFormat="1" ht="12.75" customHeight="1" x14ac:dyDescent="0.25">
      <c r="A86" s="34"/>
      <c r="B86" s="34"/>
      <c r="C86" s="32"/>
      <c r="D86" s="32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</row>
    <row r="87" spans="1:103" s="31" customFormat="1" ht="12.75" customHeight="1" x14ac:dyDescent="0.25">
      <c r="A87" s="34"/>
      <c r="B87" s="34"/>
      <c r="C87" s="32"/>
      <c r="D87" s="32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</row>
    <row r="88" spans="1:103" s="31" customFormat="1" ht="12.75" customHeight="1" x14ac:dyDescent="0.25">
      <c r="A88" s="34"/>
      <c r="B88" s="34"/>
      <c r="C88" s="32"/>
      <c r="D88" s="32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</row>
    <row r="89" spans="1:103" s="31" customFormat="1" ht="12.75" customHeight="1" x14ac:dyDescent="0.25">
      <c r="A89" s="34"/>
      <c r="B89" s="34"/>
      <c r="C89" s="32"/>
      <c r="D89" s="32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</row>
    <row r="90" spans="1:103" s="31" customFormat="1" ht="12.75" customHeight="1" x14ac:dyDescent="0.25">
      <c r="A90" s="34"/>
      <c r="B90" s="34"/>
      <c r="C90" s="32"/>
      <c r="D90" s="32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</row>
    <row r="91" spans="1:103" s="31" customFormat="1" ht="12.75" customHeight="1" x14ac:dyDescent="0.25">
      <c r="A91" s="34"/>
      <c r="B91" s="34"/>
      <c r="C91" s="32"/>
      <c r="D91" s="32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</row>
    <row r="92" spans="1:103" s="31" customFormat="1" ht="12.75" customHeight="1" x14ac:dyDescent="0.25">
      <c r="A92" s="34"/>
      <c r="B92" s="34"/>
      <c r="C92" s="32"/>
      <c r="D92" s="32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</row>
    <row r="93" spans="1:103" s="31" customFormat="1" ht="12.75" customHeight="1" x14ac:dyDescent="0.25">
      <c r="A93" s="34"/>
      <c r="B93" s="34"/>
      <c r="C93" s="32"/>
      <c r="D93" s="32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</row>
    <row r="94" spans="1:103" s="31" customFormat="1" ht="12.75" customHeight="1" x14ac:dyDescent="0.25">
      <c r="A94" s="34"/>
      <c r="B94" s="34"/>
      <c r="C94" s="32"/>
      <c r="D94" s="32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</row>
    <row r="95" spans="1:103" s="31" customFormat="1" ht="12.75" customHeight="1" x14ac:dyDescent="0.25">
      <c r="A95" s="34"/>
      <c r="B95" s="34"/>
      <c r="C95" s="32"/>
      <c r="D95" s="32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</row>
    <row r="96" spans="1:103" s="31" customFormat="1" ht="12.75" customHeight="1" x14ac:dyDescent="0.25">
      <c r="A96" s="34"/>
      <c r="B96" s="34"/>
      <c r="C96" s="32"/>
      <c r="D96" s="32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</row>
    <row r="97" spans="1:103" s="31" customFormat="1" ht="12.75" customHeight="1" x14ac:dyDescent="0.25">
      <c r="A97" s="34"/>
      <c r="B97" s="34"/>
      <c r="C97" s="32"/>
      <c r="D97" s="32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</row>
    <row r="98" spans="1:103" s="31" customFormat="1" ht="12.75" customHeight="1" x14ac:dyDescent="0.25">
      <c r="A98" s="34"/>
      <c r="B98" s="34"/>
      <c r="C98" s="32"/>
      <c r="D98" s="32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</row>
    <row r="99" spans="1:103" s="31" customFormat="1" ht="12.75" customHeight="1" x14ac:dyDescent="0.25">
      <c r="A99" s="34"/>
      <c r="B99" s="34"/>
      <c r="C99" s="32"/>
      <c r="D99" s="32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</row>
    <row r="100" spans="1:103" s="31" customFormat="1" ht="12.75" customHeight="1" x14ac:dyDescent="0.25">
      <c r="A100" s="34"/>
      <c r="B100" s="34"/>
      <c r="C100" s="32"/>
      <c r="D100" s="32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</row>
    <row r="101" spans="1:103" s="31" customFormat="1" ht="12.75" customHeight="1" x14ac:dyDescent="0.25">
      <c r="A101" s="34"/>
      <c r="B101" s="34"/>
      <c r="C101" s="32"/>
      <c r="D101" s="32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</row>
    <row r="102" spans="1:103" s="31" customFormat="1" ht="12.75" customHeight="1" x14ac:dyDescent="0.25">
      <c r="A102" s="34"/>
      <c r="B102" s="34"/>
      <c r="C102" s="32"/>
      <c r="D102" s="32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</row>
    <row r="103" spans="1:103" s="31" customFormat="1" ht="12.75" customHeight="1" x14ac:dyDescent="0.25">
      <c r="A103" s="34"/>
      <c r="B103" s="34"/>
      <c r="C103" s="32"/>
      <c r="D103" s="32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</row>
    <row r="104" spans="1:103" s="31" customFormat="1" ht="12.75" customHeight="1" x14ac:dyDescent="0.25">
      <c r="A104" s="34"/>
      <c r="B104" s="34"/>
      <c r="C104" s="32"/>
      <c r="D104" s="32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</row>
    <row r="105" spans="1:103" s="31" customFormat="1" ht="12.75" customHeight="1" x14ac:dyDescent="0.25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</row>
    <row r="106" spans="1:103" s="31" customFormat="1" ht="12.75" customHeight="1" x14ac:dyDescent="0.25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</row>
    <row r="107" spans="1:103" s="31" customFormat="1" ht="12.75" customHeight="1" x14ac:dyDescent="0.25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</row>
    <row r="108" spans="1:103" s="31" customFormat="1" ht="12.75" customHeight="1" x14ac:dyDescent="0.25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</row>
    <row r="109" spans="1:103" s="31" customFormat="1" ht="12.75" customHeight="1" x14ac:dyDescent="0.25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</row>
    <row r="110" spans="1:103" s="31" customFormat="1" ht="12.75" customHeight="1" x14ac:dyDescent="0.25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</row>
    <row r="111" spans="1:103" s="31" customFormat="1" ht="12.75" customHeight="1" x14ac:dyDescent="0.25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</row>
    <row r="112" spans="1:103" s="31" customFormat="1" ht="12.75" customHeight="1" x14ac:dyDescent="0.25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</row>
    <row r="113" spans="1:103" s="31" customFormat="1" ht="12.75" customHeight="1" x14ac:dyDescent="0.25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</row>
    <row r="114" spans="1:103" s="31" customFormat="1" ht="12.75" customHeight="1" x14ac:dyDescent="0.25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</row>
    <row r="115" spans="1:103" s="31" customFormat="1" ht="12.75" customHeight="1" x14ac:dyDescent="0.25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</row>
    <row r="116" spans="1:103" s="31" customFormat="1" ht="12.75" customHeight="1" x14ac:dyDescent="0.25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</row>
    <row r="117" spans="1:103" s="31" customFormat="1" ht="12.75" customHeight="1" x14ac:dyDescent="0.25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</row>
    <row r="118" spans="1:103" s="31" customFormat="1" ht="12.75" customHeight="1" x14ac:dyDescent="0.25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</row>
    <row r="119" spans="1:103" s="31" customFormat="1" ht="12.75" customHeight="1" x14ac:dyDescent="0.25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</row>
    <row r="120" spans="1:103" s="31" customFormat="1" ht="12.75" customHeight="1" x14ac:dyDescent="0.25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</row>
    <row r="121" spans="1:103" s="31" customFormat="1" ht="12.75" customHeight="1" x14ac:dyDescent="0.25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</row>
    <row r="122" spans="1:103" s="31" customFormat="1" ht="12.75" customHeight="1" x14ac:dyDescent="0.25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</row>
    <row r="123" spans="1:103" s="31" customFormat="1" ht="12.75" customHeight="1" x14ac:dyDescent="0.25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</row>
    <row r="124" spans="1:103" s="31" customFormat="1" ht="12.75" customHeight="1" x14ac:dyDescent="0.25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</row>
    <row r="125" spans="1:103" s="31" customFormat="1" ht="12.75" customHeight="1" x14ac:dyDescent="0.25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</row>
    <row r="126" spans="1:103" s="31" customFormat="1" ht="12.75" customHeight="1" x14ac:dyDescent="0.25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</row>
    <row r="127" spans="1:103" s="31" customFormat="1" ht="12.75" customHeight="1" x14ac:dyDescent="0.25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</row>
    <row r="128" spans="1:103" s="31" customFormat="1" ht="12.75" customHeight="1" x14ac:dyDescent="0.25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</row>
    <row r="129" spans="1:103" s="31" customFormat="1" ht="12.75" customHeight="1" x14ac:dyDescent="0.25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</row>
    <row r="130" spans="1:103" s="31" customFormat="1" ht="12.75" customHeight="1" x14ac:dyDescent="0.25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</row>
    <row r="131" spans="1:103" s="31" customFormat="1" ht="12.75" customHeight="1" x14ac:dyDescent="0.25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</row>
    <row r="132" spans="1:103" s="31" customFormat="1" ht="12.75" customHeight="1" x14ac:dyDescent="0.25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</row>
    <row r="133" spans="1:103" s="31" customFormat="1" ht="12.75" customHeight="1" x14ac:dyDescent="0.25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</row>
    <row r="134" spans="1:103" s="31" customFormat="1" ht="12.75" customHeight="1" x14ac:dyDescent="0.25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</row>
    <row r="135" spans="1:103" s="31" customFormat="1" ht="12.75" customHeight="1" x14ac:dyDescent="0.25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</row>
    <row r="136" spans="1:103" s="31" customFormat="1" ht="12.75" customHeight="1" x14ac:dyDescent="0.25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</row>
    <row r="137" spans="1:103" s="31" customFormat="1" ht="12.75" customHeight="1" x14ac:dyDescent="0.25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</row>
    <row r="138" spans="1:103" s="31" customFormat="1" ht="12.75" customHeight="1" x14ac:dyDescent="0.25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</row>
    <row r="139" spans="1:103" s="31" customFormat="1" ht="12.75" customHeight="1" x14ac:dyDescent="0.25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</row>
    <row r="140" spans="1:103" s="31" customFormat="1" ht="12.75" customHeight="1" x14ac:dyDescent="0.25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</row>
    <row r="141" spans="1:103" s="31" customFormat="1" ht="12.75" customHeight="1" x14ac:dyDescent="0.25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</row>
    <row r="142" spans="1:103" s="31" customFormat="1" ht="12.75" customHeight="1" x14ac:dyDescent="0.25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</row>
    <row r="143" spans="1:103" s="31" customFormat="1" ht="12.75" customHeight="1" x14ac:dyDescent="0.25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</row>
    <row r="144" spans="1:103" s="31" customFormat="1" ht="12.75" customHeight="1" x14ac:dyDescent="0.25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</row>
    <row r="145" spans="1:103" s="31" customFormat="1" ht="12.75" customHeight="1" x14ac:dyDescent="0.25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</row>
    <row r="146" spans="1:103" s="31" customFormat="1" ht="12.75" customHeight="1" x14ac:dyDescent="0.25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</row>
    <row r="147" spans="1:103" s="31" customFormat="1" ht="12.75" customHeight="1" x14ac:dyDescent="0.25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</row>
    <row r="148" spans="1:103" s="31" customFormat="1" ht="12.75" customHeight="1" x14ac:dyDescent="0.25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</row>
    <row r="149" spans="1:103" s="31" customFormat="1" ht="12.75" customHeight="1" x14ac:dyDescent="0.25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</row>
    <row r="150" spans="1:103" s="31" customFormat="1" ht="12.75" customHeight="1" x14ac:dyDescent="0.25">
      <c r="A150" s="34"/>
      <c r="B150" s="1006" t="s">
        <v>325</v>
      </c>
      <c r="C150" s="1007" t="s">
        <v>323</v>
      </c>
      <c r="D150" s="1008" t="s">
        <v>322</v>
      </c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</row>
    <row r="151" spans="1:103" s="31" customFormat="1" ht="12.75" customHeight="1" x14ac:dyDescent="0.25">
      <c r="A151" s="34"/>
      <c r="B151" s="1009">
        <f>D37</f>
        <v>2026</v>
      </c>
      <c r="C151" s="1010">
        <v>0</v>
      </c>
      <c r="D151" s="1011">
        <f>C40</f>
        <v>11</v>
      </c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</row>
    <row r="152" spans="1:103" s="31" customFormat="1" ht="12.75" customHeight="1" x14ac:dyDescent="0.25">
      <c r="A152" s="34"/>
      <c r="B152" s="1012">
        <f t="shared" ref="B152:B182" si="12">B151+1</f>
        <v>2027</v>
      </c>
      <c r="C152" s="1013">
        <f t="shared" ref="C152:C182" si="13">D151+1</f>
        <v>12</v>
      </c>
      <c r="D152" s="1014">
        <f t="shared" ref="D152:D182" si="14">C152+11</f>
        <v>23</v>
      </c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</row>
    <row r="153" spans="1:103" s="31" customFormat="1" ht="12.75" customHeight="1" x14ac:dyDescent="0.25">
      <c r="A153" s="34"/>
      <c r="B153" s="1012">
        <f t="shared" si="12"/>
        <v>2028</v>
      </c>
      <c r="C153" s="1013">
        <f t="shared" si="13"/>
        <v>24</v>
      </c>
      <c r="D153" s="1014">
        <f t="shared" si="14"/>
        <v>35</v>
      </c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</row>
    <row r="154" spans="1:103" s="31" customFormat="1" ht="12.75" customHeight="1" x14ac:dyDescent="0.25">
      <c r="A154" s="34"/>
      <c r="B154" s="1012">
        <f t="shared" si="12"/>
        <v>2029</v>
      </c>
      <c r="C154" s="1013">
        <f t="shared" si="13"/>
        <v>36</v>
      </c>
      <c r="D154" s="1014">
        <f t="shared" si="14"/>
        <v>47</v>
      </c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</row>
    <row r="155" spans="1:103" s="31" customFormat="1" ht="12.75" customHeight="1" x14ac:dyDescent="0.25">
      <c r="A155" s="34"/>
      <c r="B155" s="1012">
        <f t="shared" si="12"/>
        <v>2030</v>
      </c>
      <c r="C155" s="1013">
        <f t="shared" si="13"/>
        <v>48</v>
      </c>
      <c r="D155" s="1014">
        <f t="shared" si="14"/>
        <v>59</v>
      </c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</row>
    <row r="156" spans="1:103" s="31" customFormat="1" ht="12.75" customHeight="1" x14ac:dyDescent="0.25">
      <c r="A156" s="34"/>
      <c r="B156" s="1012">
        <f t="shared" si="12"/>
        <v>2031</v>
      </c>
      <c r="C156" s="1013">
        <f t="shared" si="13"/>
        <v>60</v>
      </c>
      <c r="D156" s="1014">
        <f t="shared" si="14"/>
        <v>71</v>
      </c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</row>
    <row r="157" spans="1:103" s="31" customFormat="1" ht="12.75" customHeight="1" x14ac:dyDescent="0.25">
      <c r="A157" s="34"/>
      <c r="B157" s="1012">
        <f t="shared" si="12"/>
        <v>2032</v>
      </c>
      <c r="C157" s="1013">
        <f t="shared" si="13"/>
        <v>72</v>
      </c>
      <c r="D157" s="1014">
        <f t="shared" si="14"/>
        <v>83</v>
      </c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</row>
    <row r="158" spans="1:103" s="31" customFormat="1" ht="12.75" customHeight="1" x14ac:dyDescent="0.25">
      <c r="A158" s="34"/>
      <c r="B158" s="1012">
        <f t="shared" si="12"/>
        <v>2033</v>
      </c>
      <c r="C158" s="1013">
        <f t="shared" si="13"/>
        <v>84</v>
      </c>
      <c r="D158" s="1014">
        <f t="shared" si="14"/>
        <v>95</v>
      </c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</row>
    <row r="159" spans="1:103" s="31" customFormat="1" ht="12.75" customHeight="1" x14ac:dyDescent="0.25">
      <c r="A159" s="34"/>
      <c r="B159" s="1012">
        <f t="shared" si="12"/>
        <v>2034</v>
      </c>
      <c r="C159" s="1013">
        <f t="shared" si="13"/>
        <v>96</v>
      </c>
      <c r="D159" s="1014">
        <f t="shared" si="14"/>
        <v>107</v>
      </c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</row>
    <row r="160" spans="1:103" s="31" customFormat="1" ht="12.75" customHeight="1" x14ac:dyDescent="0.25">
      <c r="A160" s="34"/>
      <c r="B160" s="1012">
        <f t="shared" si="12"/>
        <v>2035</v>
      </c>
      <c r="C160" s="1013">
        <f t="shared" si="13"/>
        <v>108</v>
      </c>
      <c r="D160" s="1014">
        <f t="shared" si="14"/>
        <v>119</v>
      </c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  <c r="BZ160" s="32"/>
      <c r="CA160" s="32"/>
      <c r="CB160" s="32"/>
      <c r="CC160" s="32"/>
      <c r="CD160" s="32"/>
      <c r="CE160" s="32"/>
      <c r="CF160" s="32"/>
      <c r="CG160" s="32"/>
      <c r="CH160" s="32"/>
      <c r="CI160" s="32"/>
      <c r="CJ160" s="32"/>
      <c r="CK160" s="32"/>
      <c r="CL160" s="32"/>
      <c r="CM160" s="32"/>
      <c r="CN160" s="32"/>
      <c r="CO160" s="32"/>
      <c r="CP160" s="32"/>
      <c r="CQ160" s="32"/>
      <c r="CR160" s="32"/>
      <c r="CS160" s="32"/>
      <c r="CT160" s="32"/>
      <c r="CU160" s="32"/>
      <c r="CV160" s="32"/>
      <c r="CW160" s="32"/>
      <c r="CX160" s="32"/>
      <c r="CY160" s="32"/>
    </row>
    <row r="161" spans="1:103" s="31" customFormat="1" ht="12.75" customHeight="1" x14ac:dyDescent="0.25">
      <c r="A161" s="34"/>
      <c r="B161" s="1012">
        <f t="shared" si="12"/>
        <v>2036</v>
      </c>
      <c r="C161" s="1013">
        <f t="shared" si="13"/>
        <v>120</v>
      </c>
      <c r="D161" s="1014">
        <f t="shared" si="14"/>
        <v>131</v>
      </c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2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  <c r="AW161" s="32"/>
      <c r="AX161" s="32"/>
      <c r="AY161" s="32"/>
      <c r="AZ161" s="32"/>
      <c r="BA161" s="32"/>
      <c r="BB161" s="32"/>
      <c r="BC161" s="32"/>
      <c r="BD161" s="32"/>
      <c r="BE161" s="32"/>
      <c r="BF161" s="32"/>
      <c r="BG161" s="32"/>
      <c r="BH161" s="32"/>
      <c r="BI161" s="32"/>
      <c r="BJ161" s="32"/>
      <c r="BK161" s="32"/>
      <c r="BL161" s="32"/>
      <c r="BM161" s="32"/>
      <c r="BN161" s="32"/>
      <c r="BO161" s="32"/>
      <c r="BP161" s="32"/>
      <c r="BQ161" s="32"/>
      <c r="BR161" s="32"/>
      <c r="BS161" s="32"/>
      <c r="BT161" s="32"/>
      <c r="BU161" s="32"/>
      <c r="BV161" s="32"/>
      <c r="BW161" s="32"/>
      <c r="BX161" s="32"/>
      <c r="BY161" s="32"/>
      <c r="BZ161" s="32"/>
      <c r="CA161" s="32"/>
      <c r="CB161" s="32"/>
      <c r="CC161" s="32"/>
      <c r="CD161" s="32"/>
      <c r="CE161" s="32"/>
      <c r="CF161" s="32"/>
      <c r="CG161" s="32"/>
      <c r="CH161" s="32"/>
      <c r="CI161" s="32"/>
      <c r="CJ161" s="32"/>
      <c r="CK161" s="32"/>
      <c r="CL161" s="32"/>
      <c r="CM161" s="32"/>
      <c r="CN161" s="32"/>
      <c r="CO161" s="32"/>
      <c r="CP161" s="32"/>
      <c r="CQ161" s="32"/>
      <c r="CR161" s="32"/>
      <c r="CS161" s="32"/>
      <c r="CT161" s="32"/>
      <c r="CU161" s="32"/>
      <c r="CV161" s="32"/>
      <c r="CW161" s="32"/>
      <c r="CX161" s="32"/>
      <c r="CY161" s="32"/>
    </row>
    <row r="162" spans="1:103" s="31" customFormat="1" ht="12.75" customHeight="1" x14ac:dyDescent="0.25">
      <c r="A162" s="34"/>
      <c r="B162" s="1012">
        <f t="shared" si="12"/>
        <v>2037</v>
      </c>
      <c r="C162" s="1013">
        <f t="shared" si="13"/>
        <v>132</v>
      </c>
      <c r="D162" s="1014">
        <f t="shared" si="14"/>
        <v>143</v>
      </c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  <c r="BF162" s="32"/>
      <c r="BG162" s="32"/>
      <c r="BH162" s="32"/>
      <c r="BI162" s="32"/>
      <c r="BJ162" s="32"/>
      <c r="BK162" s="32"/>
      <c r="BL162" s="32"/>
      <c r="BM162" s="32"/>
      <c r="BN162" s="32"/>
      <c r="BO162" s="32"/>
      <c r="BP162" s="32"/>
      <c r="BQ162" s="32"/>
      <c r="BR162" s="32"/>
      <c r="BS162" s="32"/>
      <c r="BT162" s="32"/>
      <c r="BU162" s="32"/>
      <c r="BV162" s="32"/>
      <c r="BW162" s="32"/>
      <c r="BX162" s="32"/>
      <c r="BY162" s="32"/>
      <c r="BZ162" s="32"/>
      <c r="CA162" s="32"/>
      <c r="CB162" s="32"/>
      <c r="CC162" s="32"/>
      <c r="CD162" s="32"/>
      <c r="CE162" s="32"/>
      <c r="CF162" s="32"/>
      <c r="CG162" s="32"/>
      <c r="CH162" s="32"/>
      <c r="CI162" s="32"/>
      <c r="CJ162" s="32"/>
      <c r="CK162" s="32"/>
      <c r="CL162" s="32"/>
      <c r="CM162" s="32"/>
      <c r="CN162" s="32"/>
      <c r="CO162" s="32"/>
      <c r="CP162" s="32"/>
      <c r="CQ162" s="32"/>
      <c r="CR162" s="32"/>
      <c r="CS162" s="32"/>
      <c r="CT162" s="32"/>
      <c r="CU162" s="32"/>
      <c r="CV162" s="32"/>
      <c r="CW162" s="32"/>
      <c r="CX162" s="32"/>
      <c r="CY162" s="32"/>
    </row>
    <row r="163" spans="1:103" s="31" customFormat="1" ht="12.75" customHeight="1" x14ac:dyDescent="0.25">
      <c r="A163" s="34"/>
      <c r="B163" s="1012">
        <f t="shared" si="12"/>
        <v>2038</v>
      </c>
      <c r="C163" s="1013">
        <f t="shared" si="13"/>
        <v>144</v>
      </c>
      <c r="D163" s="1014">
        <f t="shared" si="14"/>
        <v>155</v>
      </c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  <c r="BI163" s="32"/>
      <c r="BJ163" s="32"/>
      <c r="BK163" s="32"/>
      <c r="BL163" s="32"/>
      <c r="BM163" s="32"/>
      <c r="BN163" s="32"/>
      <c r="BO163" s="32"/>
      <c r="BP163" s="32"/>
      <c r="BQ163" s="32"/>
      <c r="BR163" s="32"/>
      <c r="BS163" s="32"/>
      <c r="BT163" s="32"/>
      <c r="BU163" s="32"/>
      <c r="BV163" s="32"/>
      <c r="BW163" s="32"/>
      <c r="BX163" s="32"/>
      <c r="BY163" s="32"/>
      <c r="BZ163" s="32"/>
      <c r="CA163" s="32"/>
      <c r="CB163" s="32"/>
      <c r="CC163" s="32"/>
      <c r="CD163" s="32"/>
      <c r="CE163" s="32"/>
      <c r="CF163" s="32"/>
      <c r="CG163" s="32"/>
      <c r="CH163" s="32"/>
      <c r="CI163" s="32"/>
      <c r="CJ163" s="32"/>
      <c r="CK163" s="32"/>
      <c r="CL163" s="32"/>
      <c r="CM163" s="32"/>
      <c r="CN163" s="32"/>
      <c r="CO163" s="32"/>
      <c r="CP163" s="32"/>
      <c r="CQ163" s="32"/>
      <c r="CR163" s="32"/>
      <c r="CS163" s="32"/>
      <c r="CT163" s="32"/>
      <c r="CU163" s="32"/>
      <c r="CV163" s="32"/>
      <c r="CW163" s="32"/>
      <c r="CX163" s="32"/>
      <c r="CY163" s="32"/>
    </row>
    <row r="164" spans="1:103" s="31" customFormat="1" ht="12.75" customHeight="1" x14ac:dyDescent="0.25">
      <c r="A164" s="34"/>
      <c r="B164" s="1015">
        <f t="shared" si="12"/>
        <v>2039</v>
      </c>
      <c r="C164" s="1016">
        <f t="shared" si="13"/>
        <v>156</v>
      </c>
      <c r="D164" s="1017">
        <f t="shared" si="14"/>
        <v>167</v>
      </c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2"/>
      <c r="BO164" s="32"/>
      <c r="BP164" s="32"/>
      <c r="BQ164" s="32"/>
      <c r="BR164" s="32"/>
      <c r="BS164" s="32"/>
      <c r="BT164" s="32"/>
      <c r="BU164" s="32"/>
      <c r="BV164" s="32"/>
      <c r="BW164" s="32"/>
      <c r="BX164" s="32"/>
      <c r="BY164" s="32"/>
      <c r="BZ164" s="32"/>
      <c r="CA164" s="32"/>
      <c r="CB164" s="32"/>
      <c r="CC164" s="32"/>
      <c r="CD164" s="32"/>
      <c r="CE164" s="32"/>
      <c r="CF164" s="32"/>
      <c r="CG164" s="32"/>
      <c r="CH164" s="32"/>
      <c r="CI164" s="32"/>
      <c r="CJ164" s="32"/>
      <c r="CK164" s="32"/>
      <c r="CL164" s="32"/>
      <c r="CM164" s="32"/>
      <c r="CN164" s="32"/>
      <c r="CO164" s="32"/>
      <c r="CP164" s="32"/>
      <c r="CQ164" s="32"/>
      <c r="CR164" s="32"/>
      <c r="CS164" s="32"/>
      <c r="CT164" s="32"/>
      <c r="CU164" s="32"/>
      <c r="CV164" s="32"/>
      <c r="CW164" s="32"/>
      <c r="CX164" s="32"/>
      <c r="CY164" s="32"/>
    </row>
    <row r="165" spans="1:103" s="31" customFormat="1" ht="12.75" customHeight="1" x14ac:dyDescent="0.25">
      <c r="A165" s="34"/>
      <c r="B165" s="1009">
        <f t="shared" si="12"/>
        <v>2040</v>
      </c>
      <c r="C165" s="1010">
        <f t="shared" si="13"/>
        <v>168</v>
      </c>
      <c r="D165" s="1011">
        <f t="shared" si="14"/>
        <v>179</v>
      </c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2"/>
      <c r="BO165" s="32"/>
      <c r="BP165" s="32"/>
      <c r="BQ165" s="32"/>
      <c r="BR165" s="32"/>
      <c r="BS165" s="32"/>
      <c r="BT165" s="32"/>
      <c r="BU165" s="32"/>
      <c r="BV165" s="32"/>
      <c r="BW165" s="32"/>
      <c r="BX165" s="32"/>
      <c r="BY165" s="32"/>
      <c r="BZ165" s="32"/>
      <c r="CA165" s="32"/>
      <c r="CB165" s="32"/>
      <c r="CC165" s="32"/>
      <c r="CD165" s="32"/>
      <c r="CE165" s="32"/>
      <c r="CF165" s="32"/>
      <c r="CG165" s="32"/>
      <c r="CH165" s="32"/>
      <c r="CI165" s="32"/>
      <c r="CJ165" s="32"/>
      <c r="CK165" s="32"/>
      <c r="CL165" s="32"/>
      <c r="CM165" s="32"/>
      <c r="CN165" s="32"/>
      <c r="CO165" s="32"/>
      <c r="CP165" s="32"/>
      <c r="CQ165" s="32"/>
      <c r="CR165" s="32"/>
      <c r="CS165" s="32"/>
      <c r="CT165" s="32"/>
      <c r="CU165" s="32"/>
      <c r="CV165" s="32"/>
      <c r="CW165" s="32"/>
      <c r="CX165" s="32"/>
      <c r="CY165" s="32"/>
    </row>
    <row r="166" spans="1:103" s="31" customFormat="1" ht="12.75" customHeight="1" x14ac:dyDescent="0.25">
      <c r="A166" s="34"/>
      <c r="B166" s="1012">
        <f t="shared" si="12"/>
        <v>2041</v>
      </c>
      <c r="C166" s="1013">
        <f t="shared" si="13"/>
        <v>180</v>
      </c>
      <c r="D166" s="1014">
        <f t="shared" si="14"/>
        <v>191</v>
      </c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  <c r="CE166" s="32"/>
      <c r="CF166" s="32"/>
      <c r="CG166" s="32"/>
      <c r="CH166" s="32"/>
      <c r="CI166" s="32"/>
      <c r="CJ166" s="32"/>
      <c r="CK166" s="32"/>
      <c r="CL166" s="32"/>
      <c r="CM166" s="32"/>
      <c r="CN166" s="32"/>
      <c r="CO166" s="32"/>
      <c r="CP166" s="32"/>
      <c r="CQ166" s="32"/>
      <c r="CR166" s="32"/>
      <c r="CS166" s="32"/>
      <c r="CT166" s="32"/>
      <c r="CU166" s="32"/>
      <c r="CV166" s="32"/>
      <c r="CW166" s="32"/>
      <c r="CX166" s="32"/>
      <c r="CY166" s="32"/>
    </row>
    <row r="167" spans="1:103" s="31" customFormat="1" ht="12.75" customHeight="1" x14ac:dyDescent="0.25">
      <c r="A167" s="34"/>
      <c r="B167" s="1012">
        <f t="shared" si="12"/>
        <v>2042</v>
      </c>
      <c r="C167" s="1013">
        <f t="shared" si="13"/>
        <v>192</v>
      </c>
      <c r="D167" s="1014">
        <f t="shared" si="14"/>
        <v>203</v>
      </c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2"/>
      <c r="AM167" s="32"/>
      <c r="AN167" s="32"/>
      <c r="AO167" s="32"/>
      <c r="AP167" s="32"/>
      <c r="AQ167" s="32"/>
      <c r="AR167" s="32"/>
      <c r="AS167" s="32"/>
      <c r="AT167" s="32"/>
      <c r="AU167" s="32"/>
      <c r="AV167" s="32"/>
      <c r="AW167" s="32"/>
      <c r="AX167" s="32"/>
      <c r="AY167" s="32"/>
      <c r="AZ167" s="32"/>
      <c r="BA167" s="32"/>
      <c r="BB167" s="32"/>
      <c r="BC167" s="32"/>
      <c r="BD167" s="32"/>
      <c r="BE167" s="32"/>
      <c r="BF167" s="32"/>
      <c r="BG167" s="32"/>
      <c r="BH167" s="32"/>
      <c r="BI167" s="32"/>
      <c r="BJ167" s="32"/>
      <c r="BK167" s="32"/>
      <c r="BL167" s="32"/>
      <c r="BM167" s="32"/>
      <c r="BN167" s="32"/>
      <c r="BO167" s="32"/>
      <c r="BP167" s="32"/>
      <c r="BQ167" s="32"/>
      <c r="BR167" s="32"/>
      <c r="BS167" s="32"/>
      <c r="BT167" s="32"/>
      <c r="BU167" s="32"/>
      <c r="BV167" s="32"/>
      <c r="BW167" s="32"/>
      <c r="BX167" s="32"/>
      <c r="BY167" s="32"/>
      <c r="BZ167" s="32"/>
      <c r="CA167" s="32"/>
      <c r="CB167" s="32"/>
      <c r="CC167" s="32"/>
      <c r="CD167" s="32"/>
      <c r="CE167" s="32"/>
      <c r="CF167" s="32"/>
      <c r="CG167" s="32"/>
      <c r="CH167" s="32"/>
      <c r="CI167" s="32"/>
      <c r="CJ167" s="32"/>
      <c r="CK167" s="32"/>
      <c r="CL167" s="32"/>
      <c r="CM167" s="32"/>
      <c r="CN167" s="32"/>
      <c r="CO167" s="32"/>
      <c r="CP167" s="32"/>
      <c r="CQ167" s="32"/>
      <c r="CR167" s="32"/>
      <c r="CS167" s="32"/>
      <c r="CT167" s="32"/>
      <c r="CU167" s="32"/>
      <c r="CV167" s="32"/>
      <c r="CW167" s="32"/>
      <c r="CX167" s="32"/>
      <c r="CY167" s="32"/>
    </row>
    <row r="168" spans="1:103" s="31" customFormat="1" ht="12.75" customHeight="1" x14ac:dyDescent="0.25">
      <c r="A168" s="34"/>
      <c r="B168" s="1012">
        <f t="shared" si="12"/>
        <v>2043</v>
      </c>
      <c r="C168" s="1013">
        <f t="shared" si="13"/>
        <v>204</v>
      </c>
      <c r="D168" s="1014">
        <f t="shared" si="14"/>
        <v>215</v>
      </c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2"/>
      <c r="AM168" s="32"/>
      <c r="AN168" s="32"/>
      <c r="AO168" s="32"/>
      <c r="AP168" s="32"/>
      <c r="AQ168" s="32"/>
      <c r="AR168" s="32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2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  <c r="BY168" s="32"/>
      <c r="BZ168" s="32"/>
      <c r="CA168" s="32"/>
      <c r="CB168" s="32"/>
      <c r="CC168" s="32"/>
      <c r="CD168" s="32"/>
      <c r="CE168" s="32"/>
      <c r="CF168" s="32"/>
      <c r="CG168" s="32"/>
      <c r="CH168" s="32"/>
      <c r="CI168" s="32"/>
      <c r="CJ168" s="32"/>
      <c r="CK168" s="32"/>
      <c r="CL168" s="32"/>
      <c r="CM168" s="32"/>
      <c r="CN168" s="32"/>
      <c r="CO168" s="32"/>
      <c r="CP168" s="32"/>
      <c r="CQ168" s="32"/>
      <c r="CR168" s="32"/>
      <c r="CS168" s="32"/>
      <c r="CT168" s="32"/>
      <c r="CU168" s="32"/>
      <c r="CV168" s="32"/>
      <c r="CW168" s="32"/>
      <c r="CX168" s="32"/>
      <c r="CY168" s="32"/>
    </row>
    <row r="169" spans="1:103" s="31" customFormat="1" ht="12.75" customHeight="1" x14ac:dyDescent="0.25">
      <c r="A169" s="34"/>
      <c r="B169" s="1012">
        <f t="shared" si="12"/>
        <v>2044</v>
      </c>
      <c r="C169" s="1013">
        <f t="shared" si="13"/>
        <v>216</v>
      </c>
      <c r="D169" s="1014">
        <f t="shared" si="14"/>
        <v>227</v>
      </c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2"/>
      <c r="BO169" s="32"/>
      <c r="BP169" s="32"/>
      <c r="BQ169" s="32"/>
      <c r="BR169" s="32"/>
      <c r="BS169" s="32"/>
      <c r="BT169" s="32"/>
      <c r="BU169" s="32"/>
      <c r="BV169" s="32"/>
      <c r="BW169" s="32"/>
      <c r="BX169" s="32"/>
      <c r="BY169" s="32"/>
      <c r="BZ169" s="32"/>
      <c r="CA169" s="32"/>
      <c r="CB169" s="32"/>
      <c r="CC169" s="32"/>
      <c r="CD169" s="32"/>
      <c r="CE169" s="32"/>
      <c r="CF169" s="32"/>
      <c r="CG169" s="32"/>
      <c r="CH169" s="32"/>
      <c r="CI169" s="32"/>
      <c r="CJ169" s="32"/>
      <c r="CK169" s="32"/>
      <c r="CL169" s="32"/>
      <c r="CM169" s="32"/>
      <c r="CN169" s="32"/>
      <c r="CO169" s="32"/>
      <c r="CP169" s="32"/>
      <c r="CQ169" s="32"/>
      <c r="CR169" s="32"/>
      <c r="CS169" s="32"/>
      <c r="CT169" s="32"/>
      <c r="CU169" s="32"/>
      <c r="CV169" s="32"/>
      <c r="CW169" s="32"/>
      <c r="CX169" s="32"/>
      <c r="CY169" s="32"/>
    </row>
    <row r="170" spans="1:103" s="31" customFormat="1" ht="12.75" customHeight="1" x14ac:dyDescent="0.25">
      <c r="A170" s="34"/>
      <c r="B170" s="1012">
        <f t="shared" si="12"/>
        <v>2045</v>
      </c>
      <c r="C170" s="1013">
        <f t="shared" si="13"/>
        <v>228</v>
      </c>
      <c r="D170" s="1014">
        <f t="shared" si="14"/>
        <v>239</v>
      </c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  <c r="BT170" s="32"/>
      <c r="BU170" s="32"/>
      <c r="BV170" s="32"/>
      <c r="BW170" s="32"/>
      <c r="BX170" s="32"/>
      <c r="BY170" s="32"/>
      <c r="BZ170" s="32"/>
      <c r="CA170" s="32"/>
      <c r="CB170" s="32"/>
      <c r="CC170" s="32"/>
      <c r="CD170" s="32"/>
      <c r="CE170" s="32"/>
      <c r="CF170" s="32"/>
      <c r="CG170" s="32"/>
      <c r="CH170" s="32"/>
      <c r="CI170" s="32"/>
      <c r="CJ170" s="32"/>
      <c r="CK170" s="32"/>
      <c r="CL170" s="32"/>
      <c r="CM170" s="32"/>
      <c r="CN170" s="32"/>
      <c r="CO170" s="32"/>
      <c r="CP170" s="32"/>
      <c r="CQ170" s="32"/>
      <c r="CR170" s="32"/>
      <c r="CS170" s="32"/>
      <c r="CT170" s="32"/>
      <c r="CU170" s="32"/>
      <c r="CV170" s="32"/>
      <c r="CW170" s="32"/>
      <c r="CX170" s="32"/>
      <c r="CY170" s="32"/>
    </row>
    <row r="171" spans="1:103" s="31" customFormat="1" ht="12.75" customHeight="1" x14ac:dyDescent="0.25">
      <c r="A171" s="34"/>
      <c r="B171" s="1012">
        <f t="shared" si="12"/>
        <v>2046</v>
      </c>
      <c r="C171" s="1013">
        <f t="shared" si="13"/>
        <v>240</v>
      </c>
      <c r="D171" s="1014">
        <f t="shared" si="14"/>
        <v>251</v>
      </c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  <c r="BQ171" s="32"/>
      <c r="BR171" s="32"/>
      <c r="BS171" s="32"/>
      <c r="BT171" s="32"/>
      <c r="BU171" s="32"/>
      <c r="BV171" s="32"/>
      <c r="BW171" s="32"/>
      <c r="BX171" s="32"/>
      <c r="BY171" s="32"/>
      <c r="BZ171" s="32"/>
      <c r="CA171" s="32"/>
      <c r="CB171" s="32"/>
      <c r="CC171" s="32"/>
      <c r="CD171" s="32"/>
      <c r="CE171" s="32"/>
      <c r="CF171" s="32"/>
      <c r="CG171" s="32"/>
      <c r="CH171" s="32"/>
      <c r="CI171" s="32"/>
      <c r="CJ171" s="32"/>
      <c r="CK171" s="32"/>
      <c r="CL171" s="32"/>
      <c r="CM171" s="32"/>
      <c r="CN171" s="32"/>
      <c r="CO171" s="32"/>
      <c r="CP171" s="32"/>
      <c r="CQ171" s="32"/>
      <c r="CR171" s="32"/>
      <c r="CS171" s="32"/>
      <c r="CT171" s="32"/>
      <c r="CU171" s="32"/>
      <c r="CV171" s="32"/>
      <c r="CW171" s="32"/>
      <c r="CX171" s="32"/>
      <c r="CY171" s="32"/>
    </row>
    <row r="172" spans="1:103" s="31" customFormat="1" ht="12.75" customHeight="1" x14ac:dyDescent="0.25">
      <c r="A172" s="34"/>
      <c r="B172" s="1012">
        <f t="shared" si="12"/>
        <v>2047</v>
      </c>
      <c r="C172" s="1013">
        <f t="shared" si="13"/>
        <v>252</v>
      </c>
      <c r="D172" s="1014">
        <f t="shared" si="14"/>
        <v>263</v>
      </c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  <c r="CD172" s="32"/>
      <c r="CE172" s="32"/>
      <c r="CF172" s="32"/>
      <c r="CG172" s="32"/>
      <c r="CH172" s="32"/>
      <c r="CI172" s="32"/>
      <c r="CJ172" s="32"/>
      <c r="CK172" s="32"/>
      <c r="CL172" s="32"/>
      <c r="CM172" s="32"/>
      <c r="CN172" s="32"/>
      <c r="CO172" s="32"/>
      <c r="CP172" s="32"/>
      <c r="CQ172" s="32"/>
      <c r="CR172" s="32"/>
      <c r="CS172" s="32"/>
      <c r="CT172" s="32"/>
      <c r="CU172" s="32"/>
      <c r="CV172" s="32"/>
      <c r="CW172" s="32"/>
      <c r="CX172" s="32"/>
      <c r="CY172" s="32"/>
    </row>
    <row r="173" spans="1:103" s="31" customFormat="1" ht="12.75" customHeight="1" x14ac:dyDescent="0.25">
      <c r="A173" s="34"/>
      <c r="B173" s="1012">
        <f t="shared" si="12"/>
        <v>2048</v>
      </c>
      <c r="C173" s="1013">
        <f t="shared" si="13"/>
        <v>264</v>
      </c>
      <c r="D173" s="1014">
        <f t="shared" si="14"/>
        <v>275</v>
      </c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32"/>
      <c r="CA173" s="32"/>
      <c r="CB173" s="32"/>
      <c r="CC173" s="32"/>
      <c r="CD173" s="32"/>
      <c r="CE173" s="32"/>
      <c r="CF173" s="32"/>
      <c r="CG173" s="32"/>
      <c r="CH173" s="32"/>
      <c r="CI173" s="32"/>
      <c r="CJ173" s="32"/>
      <c r="CK173" s="32"/>
      <c r="CL173" s="32"/>
      <c r="CM173" s="32"/>
      <c r="CN173" s="32"/>
      <c r="CO173" s="32"/>
      <c r="CP173" s="32"/>
      <c r="CQ173" s="32"/>
      <c r="CR173" s="32"/>
      <c r="CS173" s="32"/>
      <c r="CT173" s="32"/>
      <c r="CU173" s="32"/>
      <c r="CV173" s="32"/>
      <c r="CW173" s="32"/>
      <c r="CX173" s="32"/>
      <c r="CY173" s="32"/>
    </row>
    <row r="174" spans="1:103" s="31" customFormat="1" ht="12.75" customHeight="1" x14ac:dyDescent="0.25">
      <c r="A174" s="34"/>
      <c r="B174" s="1012">
        <f t="shared" si="12"/>
        <v>2049</v>
      </c>
      <c r="C174" s="1013">
        <f t="shared" si="13"/>
        <v>276</v>
      </c>
      <c r="D174" s="1014">
        <f t="shared" si="14"/>
        <v>287</v>
      </c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  <c r="BT174" s="32"/>
      <c r="BU174" s="32"/>
      <c r="BV174" s="32"/>
      <c r="BW174" s="32"/>
      <c r="BX174" s="32"/>
      <c r="BY174" s="32"/>
      <c r="BZ174" s="32"/>
      <c r="CA174" s="32"/>
      <c r="CB174" s="32"/>
      <c r="CC174" s="32"/>
      <c r="CD174" s="32"/>
      <c r="CE174" s="32"/>
      <c r="CF174" s="32"/>
      <c r="CG174" s="32"/>
      <c r="CH174" s="32"/>
      <c r="CI174" s="32"/>
      <c r="CJ174" s="32"/>
      <c r="CK174" s="32"/>
      <c r="CL174" s="32"/>
      <c r="CM174" s="32"/>
      <c r="CN174" s="32"/>
      <c r="CO174" s="32"/>
      <c r="CP174" s="32"/>
      <c r="CQ174" s="32"/>
      <c r="CR174" s="32"/>
      <c r="CS174" s="32"/>
      <c r="CT174" s="32"/>
      <c r="CU174" s="32"/>
      <c r="CV174" s="32"/>
      <c r="CW174" s="32"/>
      <c r="CX174" s="32"/>
      <c r="CY174" s="32"/>
    </row>
    <row r="175" spans="1:103" s="31" customFormat="1" ht="12.75" customHeight="1" x14ac:dyDescent="0.25">
      <c r="A175" s="34"/>
      <c r="B175" s="1012">
        <f t="shared" si="12"/>
        <v>2050</v>
      </c>
      <c r="C175" s="1013">
        <f t="shared" si="13"/>
        <v>288</v>
      </c>
      <c r="D175" s="1014">
        <f t="shared" si="14"/>
        <v>299</v>
      </c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  <c r="BT175" s="32"/>
      <c r="BU175" s="32"/>
      <c r="BV175" s="32"/>
      <c r="BW175" s="32"/>
      <c r="BX175" s="32"/>
      <c r="BY175" s="32"/>
      <c r="BZ175" s="32"/>
      <c r="CA175" s="32"/>
      <c r="CB175" s="32"/>
      <c r="CC175" s="32"/>
      <c r="CD175" s="32"/>
      <c r="CE175" s="32"/>
      <c r="CF175" s="32"/>
      <c r="CG175" s="32"/>
      <c r="CH175" s="32"/>
      <c r="CI175" s="32"/>
      <c r="CJ175" s="32"/>
      <c r="CK175" s="32"/>
      <c r="CL175" s="32"/>
      <c r="CM175" s="32"/>
      <c r="CN175" s="32"/>
      <c r="CO175" s="32"/>
      <c r="CP175" s="32"/>
      <c r="CQ175" s="32"/>
      <c r="CR175" s="32"/>
      <c r="CS175" s="32"/>
      <c r="CT175" s="32"/>
      <c r="CU175" s="32"/>
      <c r="CV175" s="32"/>
      <c r="CW175" s="32"/>
      <c r="CX175" s="32"/>
      <c r="CY175" s="32"/>
    </row>
    <row r="176" spans="1:103" s="31" customFormat="1" ht="12.75" customHeight="1" x14ac:dyDescent="0.25">
      <c r="A176" s="34"/>
      <c r="B176" s="1012">
        <f t="shared" si="12"/>
        <v>2051</v>
      </c>
      <c r="C176" s="1013">
        <f t="shared" si="13"/>
        <v>300</v>
      </c>
      <c r="D176" s="1014">
        <f t="shared" si="14"/>
        <v>311</v>
      </c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P176" s="32"/>
      <c r="BQ176" s="32"/>
      <c r="BR176" s="32"/>
      <c r="BS176" s="32"/>
      <c r="BT176" s="32"/>
      <c r="BU176" s="32"/>
      <c r="BV176" s="32"/>
      <c r="BW176" s="32"/>
      <c r="BX176" s="32"/>
      <c r="BY176" s="32"/>
      <c r="BZ176" s="32"/>
      <c r="CA176" s="32"/>
      <c r="CB176" s="32"/>
      <c r="CC176" s="32"/>
      <c r="CD176" s="32"/>
      <c r="CE176" s="32"/>
      <c r="CF176" s="32"/>
      <c r="CG176" s="32"/>
      <c r="CH176" s="32"/>
      <c r="CI176" s="32"/>
      <c r="CJ176" s="32"/>
      <c r="CK176" s="32"/>
      <c r="CL176" s="32"/>
      <c r="CM176" s="32"/>
      <c r="CN176" s="32"/>
      <c r="CO176" s="32"/>
      <c r="CP176" s="32"/>
      <c r="CQ176" s="32"/>
      <c r="CR176" s="32"/>
      <c r="CS176" s="32"/>
      <c r="CT176" s="32"/>
      <c r="CU176" s="32"/>
      <c r="CV176" s="32"/>
      <c r="CW176" s="32"/>
      <c r="CX176" s="32"/>
      <c r="CY176" s="32"/>
    </row>
    <row r="177" spans="1:103" s="31" customFormat="1" ht="12.75" customHeight="1" x14ac:dyDescent="0.25">
      <c r="A177" s="34"/>
      <c r="B177" s="1012">
        <f t="shared" si="12"/>
        <v>2052</v>
      </c>
      <c r="C177" s="1013">
        <f t="shared" si="13"/>
        <v>312</v>
      </c>
      <c r="D177" s="1014">
        <f t="shared" si="14"/>
        <v>323</v>
      </c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  <c r="BT177" s="32"/>
      <c r="BU177" s="32"/>
      <c r="BV177" s="32"/>
      <c r="BW177" s="32"/>
      <c r="BX177" s="32"/>
      <c r="BY177" s="32"/>
      <c r="BZ177" s="32"/>
      <c r="CA177" s="32"/>
      <c r="CB177" s="32"/>
      <c r="CC177" s="32"/>
      <c r="CD177" s="32"/>
      <c r="CE177" s="32"/>
      <c r="CF177" s="32"/>
      <c r="CG177" s="32"/>
      <c r="CH177" s="32"/>
      <c r="CI177" s="32"/>
      <c r="CJ177" s="32"/>
      <c r="CK177" s="32"/>
      <c r="CL177" s="32"/>
      <c r="CM177" s="32"/>
      <c r="CN177" s="32"/>
      <c r="CO177" s="32"/>
      <c r="CP177" s="32"/>
      <c r="CQ177" s="32"/>
      <c r="CR177" s="32"/>
      <c r="CS177" s="32"/>
      <c r="CT177" s="32"/>
      <c r="CU177" s="32"/>
      <c r="CV177" s="32"/>
      <c r="CW177" s="32"/>
      <c r="CX177" s="32"/>
      <c r="CY177" s="32"/>
    </row>
    <row r="178" spans="1:103" s="31" customFormat="1" ht="12.75" customHeight="1" x14ac:dyDescent="0.25">
      <c r="A178" s="34"/>
      <c r="B178" s="1012">
        <f t="shared" si="12"/>
        <v>2053</v>
      </c>
      <c r="C178" s="1013">
        <f t="shared" si="13"/>
        <v>324</v>
      </c>
      <c r="D178" s="1014">
        <f t="shared" si="14"/>
        <v>335</v>
      </c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  <c r="BT178" s="32"/>
      <c r="BU178" s="32"/>
      <c r="BV178" s="32"/>
      <c r="BW178" s="32"/>
      <c r="BX178" s="32"/>
      <c r="BY178" s="32"/>
      <c r="BZ178" s="32"/>
      <c r="CA178" s="32"/>
      <c r="CB178" s="32"/>
      <c r="CC178" s="32"/>
      <c r="CD178" s="32"/>
      <c r="CE178" s="32"/>
      <c r="CF178" s="32"/>
      <c r="CG178" s="32"/>
      <c r="CH178" s="32"/>
      <c r="CI178" s="32"/>
      <c r="CJ178" s="32"/>
      <c r="CK178" s="32"/>
      <c r="CL178" s="32"/>
      <c r="CM178" s="32"/>
      <c r="CN178" s="32"/>
      <c r="CO178" s="32"/>
      <c r="CP178" s="32"/>
      <c r="CQ178" s="32"/>
      <c r="CR178" s="32"/>
      <c r="CS178" s="32"/>
      <c r="CT178" s="32"/>
      <c r="CU178" s="32"/>
      <c r="CV178" s="32"/>
      <c r="CW178" s="32"/>
      <c r="CX178" s="32"/>
      <c r="CY178" s="32"/>
    </row>
    <row r="179" spans="1:103" s="31" customFormat="1" ht="12.75" customHeight="1" x14ac:dyDescent="0.25">
      <c r="A179" s="34"/>
      <c r="B179" s="1012">
        <f t="shared" si="12"/>
        <v>2054</v>
      </c>
      <c r="C179" s="1013">
        <f t="shared" si="13"/>
        <v>336</v>
      </c>
      <c r="D179" s="1014">
        <f t="shared" si="14"/>
        <v>347</v>
      </c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  <c r="BY179" s="32"/>
      <c r="BZ179" s="32"/>
      <c r="CA179" s="32"/>
      <c r="CB179" s="32"/>
      <c r="CC179" s="32"/>
      <c r="CD179" s="32"/>
      <c r="CE179" s="32"/>
      <c r="CF179" s="32"/>
      <c r="CG179" s="32"/>
      <c r="CH179" s="32"/>
      <c r="CI179" s="32"/>
      <c r="CJ179" s="32"/>
      <c r="CK179" s="32"/>
      <c r="CL179" s="32"/>
      <c r="CM179" s="32"/>
      <c r="CN179" s="32"/>
      <c r="CO179" s="32"/>
      <c r="CP179" s="32"/>
      <c r="CQ179" s="32"/>
      <c r="CR179" s="32"/>
      <c r="CS179" s="32"/>
      <c r="CT179" s="32"/>
      <c r="CU179" s="32"/>
      <c r="CV179" s="32"/>
      <c r="CW179" s="32"/>
      <c r="CX179" s="32"/>
      <c r="CY179" s="32"/>
    </row>
    <row r="180" spans="1:103" s="31" customFormat="1" ht="12.75" customHeight="1" x14ac:dyDescent="0.25">
      <c r="A180" s="34"/>
      <c r="B180" s="1012">
        <f t="shared" si="12"/>
        <v>2055</v>
      </c>
      <c r="C180" s="1013">
        <f t="shared" si="13"/>
        <v>348</v>
      </c>
      <c r="D180" s="1014">
        <f t="shared" si="14"/>
        <v>359</v>
      </c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  <c r="CA180" s="32"/>
      <c r="CB180" s="32"/>
      <c r="CC180" s="32"/>
      <c r="CD180" s="32"/>
      <c r="CE180" s="32"/>
      <c r="CF180" s="32"/>
      <c r="CG180" s="32"/>
      <c r="CH180" s="32"/>
      <c r="CI180" s="32"/>
      <c r="CJ180" s="32"/>
      <c r="CK180" s="32"/>
      <c r="CL180" s="32"/>
      <c r="CM180" s="32"/>
      <c r="CN180" s="32"/>
      <c r="CO180" s="32"/>
      <c r="CP180" s="32"/>
      <c r="CQ180" s="32"/>
      <c r="CR180" s="32"/>
      <c r="CS180" s="32"/>
      <c r="CT180" s="32"/>
      <c r="CU180" s="32"/>
      <c r="CV180" s="32"/>
      <c r="CW180" s="32"/>
      <c r="CX180" s="32"/>
      <c r="CY180" s="32"/>
    </row>
    <row r="181" spans="1:103" s="31" customFormat="1" ht="12.75" customHeight="1" x14ac:dyDescent="0.25">
      <c r="A181" s="34"/>
      <c r="B181" s="1012">
        <f t="shared" si="12"/>
        <v>2056</v>
      </c>
      <c r="C181" s="1013">
        <f t="shared" si="13"/>
        <v>360</v>
      </c>
      <c r="D181" s="1014">
        <f t="shared" si="14"/>
        <v>371</v>
      </c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  <c r="BY181" s="32"/>
      <c r="BZ181" s="32"/>
      <c r="CA181" s="32"/>
      <c r="CB181" s="32"/>
      <c r="CC181" s="32"/>
      <c r="CD181" s="32"/>
      <c r="CE181" s="32"/>
      <c r="CF181" s="32"/>
      <c r="CG181" s="32"/>
      <c r="CH181" s="32"/>
      <c r="CI181" s="32"/>
      <c r="CJ181" s="32"/>
      <c r="CK181" s="32"/>
      <c r="CL181" s="32"/>
      <c r="CM181" s="32"/>
      <c r="CN181" s="32"/>
      <c r="CO181" s="32"/>
      <c r="CP181" s="32"/>
      <c r="CQ181" s="32"/>
      <c r="CR181" s="32"/>
      <c r="CS181" s="32"/>
      <c r="CT181" s="32"/>
      <c r="CU181" s="32"/>
      <c r="CV181" s="32"/>
      <c r="CW181" s="32"/>
      <c r="CX181" s="32"/>
      <c r="CY181" s="32"/>
    </row>
    <row r="182" spans="1:103" s="31" customFormat="1" ht="12.75" customHeight="1" x14ac:dyDescent="0.25">
      <c r="A182" s="34"/>
      <c r="B182" s="1015">
        <f t="shared" si="12"/>
        <v>2057</v>
      </c>
      <c r="C182" s="1016">
        <f t="shared" si="13"/>
        <v>372</v>
      </c>
      <c r="D182" s="1017">
        <f t="shared" si="14"/>
        <v>383</v>
      </c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P182" s="32"/>
      <c r="BQ182" s="32"/>
      <c r="BR182" s="32"/>
      <c r="BS182" s="32"/>
      <c r="BT182" s="32"/>
      <c r="BU182" s="32"/>
      <c r="BV182" s="32"/>
      <c r="BW182" s="32"/>
      <c r="BX182" s="32"/>
      <c r="BY182" s="32"/>
      <c r="BZ182" s="32"/>
      <c r="CA182" s="32"/>
      <c r="CB182" s="32"/>
      <c r="CC182" s="32"/>
      <c r="CD182" s="32"/>
      <c r="CE182" s="32"/>
      <c r="CF182" s="32"/>
      <c r="CG182" s="32"/>
      <c r="CH182" s="32"/>
      <c r="CI182" s="32"/>
      <c r="CJ182" s="32"/>
      <c r="CK182" s="32"/>
      <c r="CL182" s="32"/>
      <c r="CM182" s="32"/>
      <c r="CN182" s="32"/>
      <c r="CO182" s="32"/>
      <c r="CP182" s="32"/>
      <c r="CQ182" s="32"/>
      <c r="CR182" s="32"/>
      <c r="CS182" s="32"/>
      <c r="CT182" s="32"/>
      <c r="CU182" s="32"/>
      <c r="CV182" s="32"/>
      <c r="CW182" s="32"/>
      <c r="CX182" s="32"/>
      <c r="CY182" s="32"/>
    </row>
    <row r="183" spans="1:103" s="31" customFormat="1" ht="12.75" customHeight="1" x14ac:dyDescent="0.25">
      <c r="A183" s="34"/>
      <c r="B183" s="79"/>
      <c r="C183" s="372"/>
      <c r="D183" s="372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  <c r="BQ183" s="32"/>
      <c r="BR183" s="32"/>
      <c r="BS183" s="32"/>
      <c r="BT183" s="32"/>
      <c r="BU183" s="32"/>
      <c r="BV183" s="32"/>
      <c r="BW183" s="32"/>
      <c r="BX183" s="32"/>
      <c r="BY183" s="32"/>
      <c r="BZ183" s="32"/>
      <c r="CA183" s="32"/>
      <c r="CB183" s="32"/>
      <c r="CC183" s="32"/>
      <c r="CD183" s="32"/>
      <c r="CE183" s="32"/>
      <c r="CF183" s="32"/>
      <c r="CG183" s="32"/>
      <c r="CH183" s="32"/>
      <c r="CI183" s="32"/>
      <c r="CJ183" s="32"/>
      <c r="CK183" s="32"/>
      <c r="CL183" s="32"/>
      <c r="CM183" s="32"/>
      <c r="CN183" s="32"/>
      <c r="CO183" s="32"/>
      <c r="CP183" s="32"/>
      <c r="CQ183" s="32"/>
      <c r="CR183" s="32"/>
      <c r="CS183" s="32"/>
      <c r="CT183" s="32"/>
      <c r="CU183" s="32"/>
      <c r="CV183" s="32"/>
      <c r="CW183" s="32"/>
      <c r="CX183" s="32"/>
      <c r="CY183" s="32"/>
    </row>
    <row r="184" spans="1:103" s="31" customFormat="1" ht="12.75" customHeight="1" x14ac:dyDescent="0.25">
      <c r="A184" s="132" t="s">
        <v>325</v>
      </c>
      <c r="B184" s="131" t="s">
        <v>324</v>
      </c>
      <c r="C184" s="131" t="s">
        <v>323</v>
      </c>
      <c r="D184" s="130" t="s">
        <v>322</v>
      </c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2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  <c r="BF184" s="32"/>
      <c r="BG184" s="32"/>
      <c r="BH184" s="32"/>
      <c r="BI184" s="32"/>
      <c r="BJ184" s="32"/>
      <c r="BK184" s="32"/>
      <c r="BL184" s="32"/>
      <c r="BM184" s="32"/>
      <c r="BN184" s="32"/>
      <c r="BO184" s="32"/>
      <c r="BP184" s="32"/>
      <c r="BQ184" s="32"/>
      <c r="BR184" s="32"/>
      <c r="BS184" s="32"/>
      <c r="BT184" s="32"/>
      <c r="BU184" s="32"/>
      <c r="BV184" s="32"/>
      <c r="BW184" s="32"/>
      <c r="BX184" s="32"/>
      <c r="BY184" s="32"/>
      <c r="BZ184" s="32"/>
      <c r="CA184" s="32"/>
      <c r="CB184" s="32"/>
      <c r="CC184" s="32"/>
      <c r="CD184" s="32"/>
      <c r="CE184" s="32"/>
      <c r="CF184" s="32"/>
      <c r="CG184" s="32"/>
      <c r="CH184" s="32"/>
      <c r="CI184" s="32"/>
      <c r="CJ184" s="32"/>
      <c r="CK184" s="32"/>
      <c r="CL184" s="32"/>
      <c r="CM184" s="32"/>
      <c r="CN184" s="32"/>
      <c r="CO184" s="32"/>
      <c r="CP184" s="32"/>
      <c r="CQ184" s="32"/>
      <c r="CR184" s="32"/>
      <c r="CS184" s="32"/>
      <c r="CT184" s="32"/>
      <c r="CU184" s="32"/>
      <c r="CV184" s="32"/>
      <c r="CW184" s="32"/>
      <c r="CX184" s="32"/>
      <c r="CY184" s="32"/>
    </row>
    <row r="185" spans="1:103" s="31" customFormat="1" ht="12.75" customHeight="1" x14ac:dyDescent="0.25">
      <c r="A185" s="1005"/>
      <c r="B185" s="1004">
        <v>0</v>
      </c>
      <c r="C185" s="376">
        <v>0</v>
      </c>
      <c r="D185" s="375">
        <f>C186-1</f>
        <v>16</v>
      </c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2"/>
      <c r="AM185" s="32"/>
      <c r="AN185" s="32"/>
      <c r="AO185" s="32"/>
      <c r="AP185" s="32"/>
      <c r="AQ185" s="32"/>
      <c r="AR185" s="32"/>
      <c r="AS185" s="32"/>
      <c r="AT185" s="32"/>
      <c r="AU185" s="32"/>
      <c r="AV185" s="32"/>
      <c r="AW185" s="32"/>
      <c r="AX185" s="32"/>
      <c r="AY185" s="32"/>
      <c r="AZ185" s="32"/>
      <c r="BA185" s="32"/>
      <c r="BB185" s="32"/>
      <c r="BC185" s="32"/>
      <c r="BD185" s="32"/>
      <c r="BE185" s="32"/>
      <c r="BF185" s="32"/>
      <c r="BG185" s="32"/>
      <c r="BH185" s="32"/>
      <c r="BI185" s="32"/>
      <c r="BJ185" s="32"/>
      <c r="BK185" s="32"/>
      <c r="BL185" s="32"/>
      <c r="BM185" s="32"/>
      <c r="BN185" s="32"/>
      <c r="BO185" s="32"/>
      <c r="BP185" s="32"/>
      <c r="BQ185" s="32"/>
      <c r="BR185" s="32"/>
      <c r="BS185" s="32"/>
      <c r="BT185" s="32"/>
      <c r="BU185" s="32"/>
      <c r="BV185" s="32"/>
      <c r="BW185" s="32"/>
      <c r="BX185" s="32"/>
      <c r="BY185" s="32"/>
      <c r="BZ185" s="32"/>
      <c r="CA185" s="32"/>
      <c r="CB185" s="32"/>
      <c r="CC185" s="32"/>
      <c r="CD185" s="32"/>
      <c r="CE185" s="32"/>
      <c r="CF185" s="32"/>
      <c r="CG185" s="32"/>
      <c r="CH185" s="32"/>
      <c r="CI185" s="32"/>
      <c r="CJ185" s="32"/>
      <c r="CK185" s="32"/>
      <c r="CL185" s="32"/>
      <c r="CM185" s="32"/>
      <c r="CN185" s="32"/>
      <c r="CO185" s="32"/>
      <c r="CP185" s="32"/>
      <c r="CQ185" s="32"/>
      <c r="CR185" s="32"/>
      <c r="CS185" s="32"/>
      <c r="CT185" s="32"/>
      <c r="CU185" s="32"/>
      <c r="CV185" s="32"/>
      <c r="CW185" s="32"/>
      <c r="CX185" s="32"/>
      <c r="CY185" s="32"/>
    </row>
    <row r="186" spans="1:103" s="31" customFormat="1" ht="12.75" customHeight="1" x14ac:dyDescent="0.25">
      <c r="A186" s="126">
        <f>C52</f>
        <v>2027</v>
      </c>
      <c r="B186" s="35">
        <f>IF(D186-C186&lt;11,0.1,IF(D186-C186=11,1))</f>
        <v>0.1</v>
      </c>
      <c r="C186" s="372">
        <f>D53</f>
        <v>17</v>
      </c>
      <c r="D186" s="374">
        <f>D54</f>
        <v>23</v>
      </c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2"/>
      <c r="AM186" s="32"/>
      <c r="AN186" s="32"/>
      <c r="AO186" s="32"/>
      <c r="AP186" s="32"/>
      <c r="AQ186" s="32"/>
      <c r="AR186" s="32"/>
      <c r="AS186" s="32"/>
      <c r="AT186" s="32"/>
      <c r="AU186" s="32"/>
      <c r="AV186" s="32"/>
      <c r="AW186" s="32"/>
      <c r="AX186" s="32"/>
      <c r="AY186" s="32"/>
      <c r="AZ186" s="32"/>
      <c r="BA186" s="32"/>
      <c r="BB186" s="32"/>
      <c r="BC186" s="32"/>
      <c r="BD186" s="32"/>
      <c r="BE186" s="32"/>
      <c r="BF186" s="32"/>
      <c r="BG186" s="32"/>
      <c r="BH186" s="32"/>
      <c r="BI186" s="32"/>
      <c r="BJ186" s="32"/>
      <c r="BK186" s="32"/>
      <c r="BL186" s="32"/>
      <c r="BM186" s="32"/>
      <c r="BN186" s="32"/>
      <c r="BO186" s="32"/>
      <c r="BP186" s="32"/>
      <c r="BQ186" s="32"/>
      <c r="BR186" s="32"/>
      <c r="BS186" s="32"/>
      <c r="BT186" s="32"/>
      <c r="BU186" s="32"/>
      <c r="BV186" s="32"/>
      <c r="BW186" s="32"/>
      <c r="BX186" s="32"/>
      <c r="BY186" s="32"/>
      <c r="BZ186" s="32"/>
      <c r="CA186" s="32"/>
      <c r="CB186" s="32"/>
      <c r="CC186" s="32"/>
      <c r="CD186" s="32"/>
      <c r="CE186" s="32"/>
      <c r="CF186" s="32"/>
      <c r="CG186" s="32"/>
      <c r="CH186" s="32"/>
      <c r="CI186" s="32"/>
      <c r="CJ186" s="32"/>
      <c r="CK186" s="32"/>
      <c r="CL186" s="32"/>
      <c r="CM186" s="32"/>
      <c r="CN186" s="32"/>
      <c r="CO186" s="32"/>
      <c r="CP186" s="32"/>
      <c r="CQ186" s="32"/>
      <c r="CR186" s="32"/>
      <c r="CS186" s="32"/>
      <c r="CT186" s="32"/>
      <c r="CU186" s="32"/>
      <c r="CV186" s="32"/>
      <c r="CW186" s="32"/>
      <c r="CX186" s="32"/>
      <c r="CY186" s="32"/>
    </row>
    <row r="187" spans="1:103" s="31" customFormat="1" ht="12.75" customHeight="1" x14ac:dyDescent="0.25">
      <c r="A187" s="126">
        <f>A186+1</f>
        <v>2028</v>
      </c>
      <c r="B187" s="35">
        <f>IF(B186=0.1,1,B186+1)</f>
        <v>1</v>
      </c>
      <c r="C187" s="117">
        <f t="shared" ref="C187:C197" si="15">D186+1</f>
        <v>24</v>
      </c>
      <c r="D187" s="374">
        <f t="shared" ref="D187:D197" si="16">C187+11</f>
        <v>35</v>
      </c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  <c r="BZ187" s="32"/>
      <c r="CA187" s="32"/>
      <c r="CB187" s="32"/>
      <c r="CC187" s="32"/>
      <c r="CD187" s="32"/>
      <c r="CE187" s="32"/>
      <c r="CF187" s="32"/>
      <c r="CG187" s="32"/>
      <c r="CH187" s="32"/>
      <c r="CI187" s="32"/>
      <c r="CJ187" s="32"/>
      <c r="CK187" s="32"/>
      <c r="CL187" s="32"/>
      <c r="CM187" s="32"/>
      <c r="CN187" s="32"/>
      <c r="CO187" s="32"/>
      <c r="CP187" s="32"/>
      <c r="CQ187" s="32"/>
      <c r="CR187" s="32"/>
      <c r="CS187" s="32"/>
      <c r="CT187" s="32"/>
      <c r="CU187" s="32"/>
      <c r="CV187" s="32"/>
      <c r="CW187" s="32"/>
      <c r="CX187" s="32"/>
      <c r="CY187" s="32"/>
    </row>
    <row r="188" spans="1:103" s="31" customFormat="1" ht="12.75" customHeight="1" x14ac:dyDescent="0.25">
      <c r="A188" s="126">
        <f t="shared" ref="A188:A197" si="17">A187+1</f>
        <v>2029</v>
      </c>
      <c r="B188" s="35">
        <f>B187+1</f>
        <v>2</v>
      </c>
      <c r="C188" s="117">
        <f t="shared" si="15"/>
        <v>36</v>
      </c>
      <c r="D188" s="371">
        <f t="shared" si="16"/>
        <v>47</v>
      </c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2"/>
      <c r="AM188" s="32"/>
      <c r="AN188" s="32"/>
      <c r="AO188" s="32"/>
      <c r="AP188" s="32"/>
      <c r="AQ188" s="32"/>
      <c r="AR188" s="32"/>
      <c r="AS188" s="32"/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32"/>
      <c r="BF188" s="32"/>
      <c r="BG188" s="32"/>
      <c r="BH188" s="32"/>
      <c r="BI188" s="32"/>
      <c r="BJ188" s="32"/>
      <c r="BK188" s="32"/>
      <c r="BL188" s="32"/>
      <c r="BM188" s="32"/>
      <c r="BN188" s="32"/>
      <c r="BO188" s="32"/>
      <c r="BP188" s="32"/>
      <c r="BQ188" s="32"/>
      <c r="BR188" s="32"/>
      <c r="BS188" s="32"/>
      <c r="BT188" s="32"/>
      <c r="BU188" s="32"/>
      <c r="BV188" s="32"/>
      <c r="BW188" s="32"/>
      <c r="BX188" s="32"/>
      <c r="BY188" s="32"/>
      <c r="BZ188" s="32"/>
      <c r="CA188" s="32"/>
      <c r="CB188" s="32"/>
      <c r="CC188" s="32"/>
      <c r="CD188" s="32"/>
      <c r="CE188" s="32"/>
      <c r="CF188" s="32"/>
      <c r="CG188" s="32"/>
      <c r="CH188" s="32"/>
      <c r="CI188" s="32"/>
      <c r="CJ188" s="32"/>
      <c r="CK188" s="32"/>
      <c r="CL188" s="32"/>
      <c r="CM188" s="32"/>
      <c r="CN188" s="32"/>
      <c r="CO188" s="32"/>
      <c r="CP188" s="32"/>
      <c r="CQ188" s="32"/>
      <c r="CR188" s="32"/>
      <c r="CS188" s="32"/>
      <c r="CT188" s="32"/>
      <c r="CU188" s="32"/>
      <c r="CV188" s="32"/>
      <c r="CW188" s="32"/>
      <c r="CX188" s="32"/>
      <c r="CY188" s="32"/>
    </row>
    <row r="189" spans="1:103" s="31" customFormat="1" ht="12.75" customHeight="1" x14ac:dyDescent="0.25">
      <c r="A189" s="126">
        <f t="shared" si="17"/>
        <v>2030</v>
      </c>
      <c r="B189" s="35">
        <f t="shared" ref="B189:B200" si="18">B188+1</f>
        <v>3</v>
      </c>
      <c r="C189" s="372">
        <f t="shared" si="15"/>
        <v>48</v>
      </c>
      <c r="D189" s="371">
        <f t="shared" si="16"/>
        <v>59</v>
      </c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2"/>
      <c r="AM189" s="32"/>
      <c r="AN189" s="32"/>
      <c r="AO189" s="32"/>
      <c r="AP189" s="32"/>
      <c r="AQ189" s="32"/>
      <c r="AR189" s="32"/>
      <c r="AS189" s="32"/>
      <c r="AT189" s="32"/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32"/>
      <c r="BF189" s="32"/>
      <c r="BG189" s="32"/>
      <c r="BH189" s="32"/>
      <c r="BI189" s="32"/>
      <c r="BJ189" s="32"/>
      <c r="BK189" s="32"/>
      <c r="BL189" s="32"/>
      <c r="BM189" s="32"/>
      <c r="BN189" s="32"/>
      <c r="BO189" s="32"/>
      <c r="BP189" s="32"/>
      <c r="BQ189" s="32"/>
      <c r="BR189" s="32"/>
      <c r="BS189" s="32"/>
      <c r="BT189" s="32"/>
      <c r="BU189" s="32"/>
      <c r="BV189" s="32"/>
      <c r="BW189" s="32"/>
      <c r="BX189" s="32"/>
      <c r="BY189" s="32"/>
      <c r="BZ189" s="32"/>
      <c r="CA189" s="32"/>
      <c r="CB189" s="32"/>
      <c r="CC189" s="32"/>
      <c r="CD189" s="32"/>
      <c r="CE189" s="32"/>
      <c r="CF189" s="32"/>
      <c r="CG189" s="32"/>
      <c r="CH189" s="32"/>
      <c r="CI189" s="32"/>
      <c r="CJ189" s="32"/>
      <c r="CK189" s="32"/>
      <c r="CL189" s="32"/>
      <c r="CM189" s="32"/>
      <c r="CN189" s="32"/>
      <c r="CO189" s="32"/>
      <c r="CP189" s="32"/>
      <c r="CQ189" s="32"/>
      <c r="CR189" s="32"/>
      <c r="CS189" s="32"/>
      <c r="CT189" s="32"/>
      <c r="CU189" s="32"/>
      <c r="CV189" s="32"/>
      <c r="CW189" s="32"/>
      <c r="CX189" s="32"/>
      <c r="CY189" s="32"/>
    </row>
    <row r="190" spans="1:103" s="31" customFormat="1" ht="12.75" customHeight="1" x14ac:dyDescent="0.25">
      <c r="A190" s="126">
        <f t="shared" si="17"/>
        <v>2031</v>
      </c>
      <c r="B190" s="35">
        <f t="shared" si="18"/>
        <v>4</v>
      </c>
      <c r="C190" s="372">
        <f t="shared" si="15"/>
        <v>60</v>
      </c>
      <c r="D190" s="371">
        <f t="shared" si="16"/>
        <v>71</v>
      </c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2"/>
      <c r="AM190" s="32"/>
      <c r="AN190" s="32"/>
      <c r="AO190" s="32"/>
      <c r="AP190" s="32"/>
      <c r="AQ190" s="32"/>
      <c r="AR190" s="32"/>
      <c r="AS190" s="32"/>
      <c r="AT190" s="32"/>
      <c r="AU190" s="32"/>
      <c r="AV190" s="32"/>
      <c r="AW190" s="32"/>
      <c r="AX190" s="32"/>
      <c r="AY190" s="32"/>
      <c r="AZ190" s="32"/>
      <c r="BA190" s="32"/>
      <c r="BB190" s="32"/>
      <c r="BC190" s="32"/>
      <c r="BD190" s="32"/>
      <c r="BE190" s="32"/>
      <c r="BF190" s="32"/>
      <c r="BG190" s="32"/>
      <c r="BH190" s="32"/>
      <c r="BI190" s="32"/>
      <c r="BJ190" s="32"/>
      <c r="BK190" s="32"/>
      <c r="BL190" s="32"/>
      <c r="BM190" s="32"/>
      <c r="BN190" s="32"/>
      <c r="BO190" s="32"/>
      <c r="BP190" s="32"/>
      <c r="BQ190" s="32"/>
      <c r="BR190" s="32"/>
      <c r="BS190" s="32"/>
      <c r="BT190" s="32"/>
      <c r="BU190" s="32"/>
      <c r="BV190" s="32"/>
      <c r="BW190" s="32"/>
      <c r="BX190" s="32"/>
      <c r="BY190" s="32"/>
      <c r="BZ190" s="32"/>
      <c r="CA190" s="32"/>
      <c r="CB190" s="32"/>
      <c r="CC190" s="32"/>
      <c r="CD190" s="32"/>
      <c r="CE190" s="32"/>
      <c r="CF190" s="32"/>
      <c r="CG190" s="32"/>
      <c r="CH190" s="32"/>
      <c r="CI190" s="32"/>
      <c r="CJ190" s="32"/>
      <c r="CK190" s="32"/>
      <c r="CL190" s="32"/>
      <c r="CM190" s="32"/>
      <c r="CN190" s="32"/>
      <c r="CO190" s="32"/>
      <c r="CP190" s="32"/>
      <c r="CQ190" s="32"/>
      <c r="CR190" s="32"/>
      <c r="CS190" s="32"/>
      <c r="CT190" s="32"/>
      <c r="CU190" s="32"/>
      <c r="CV190" s="32"/>
      <c r="CW190" s="32"/>
      <c r="CX190" s="32"/>
      <c r="CY190" s="32"/>
    </row>
    <row r="191" spans="1:103" s="31" customFormat="1" ht="12.75" customHeight="1" x14ac:dyDescent="0.25">
      <c r="A191" s="126">
        <f t="shared" si="17"/>
        <v>2032</v>
      </c>
      <c r="B191" s="35">
        <f t="shared" si="18"/>
        <v>5</v>
      </c>
      <c r="C191" s="372">
        <f t="shared" si="15"/>
        <v>72</v>
      </c>
      <c r="D191" s="371">
        <f t="shared" si="16"/>
        <v>83</v>
      </c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2"/>
      <c r="AM191" s="32"/>
      <c r="AN191" s="32"/>
      <c r="AO191" s="32"/>
      <c r="AP191" s="32"/>
      <c r="AQ191" s="32"/>
      <c r="AR191" s="32"/>
      <c r="AS191" s="32"/>
      <c r="AT191" s="32"/>
      <c r="AU191" s="32"/>
      <c r="AV191" s="32"/>
      <c r="AW191" s="32"/>
      <c r="AX191" s="32"/>
      <c r="AY191" s="32"/>
      <c r="AZ191" s="32"/>
      <c r="BA191" s="32"/>
      <c r="BB191" s="32"/>
      <c r="BC191" s="32"/>
      <c r="BD191" s="32"/>
      <c r="BE191" s="32"/>
      <c r="BF191" s="32"/>
      <c r="BG191" s="32"/>
      <c r="BH191" s="32"/>
      <c r="BI191" s="32"/>
      <c r="BJ191" s="32"/>
      <c r="BK191" s="32"/>
      <c r="BL191" s="32"/>
      <c r="BM191" s="32"/>
      <c r="BN191" s="32"/>
      <c r="BO191" s="32"/>
      <c r="BP191" s="32"/>
      <c r="BQ191" s="32"/>
      <c r="BR191" s="32"/>
      <c r="BS191" s="32"/>
      <c r="BT191" s="32"/>
      <c r="BU191" s="32"/>
      <c r="BV191" s="32"/>
      <c r="BW191" s="32"/>
      <c r="BX191" s="32"/>
      <c r="BY191" s="32"/>
      <c r="BZ191" s="32"/>
      <c r="CA191" s="32"/>
      <c r="CB191" s="32"/>
      <c r="CC191" s="32"/>
      <c r="CD191" s="32"/>
      <c r="CE191" s="32"/>
      <c r="CF191" s="32"/>
      <c r="CG191" s="32"/>
      <c r="CH191" s="32"/>
      <c r="CI191" s="32"/>
      <c r="CJ191" s="32"/>
      <c r="CK191" s="32"/>
      <c r="CL191" s="32"/>
      <c r="CM191" s="32"/>
      <c r="CN191" s="32"/>
      <c r="CO191" s="32"/>
      <c r="CP191" s="32"/>
      <c r="CQ191" s="32"/>
      <c r="CR191" s="32"/>
      <c r="CS191" s="32"/>
      <c r="CT191" s="32"/>
      <c r="CU191" s="32"/>
      <c r="CV191" s="32"/>
      <c r="CW191" s="32"/>
      <c r="CX191" s="32"/>
      <c r="CY191" s="32"/>
    </row>
    <row r="192" spans="1:103" s="31" customFormat="1" ht="12.75" customHeight="1" x14ac:dyDescent="0.25">
      <c r="A192" s="126">
        <f t="shared" si="17"/>
        <v>2033</v>
      </c>
      <c r="B192" s="35">
        <f t="shared" si="18"/>
        <v>6</v>
      </c>
      <c r="C192" s="372">
        <f t="shared" si="15"/>
        <v>84</v>
      </c>
      <c r="D192" s="371">
        <f t="shared" si="16"/>
        <v>95</v>
      </c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2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  <c r="BE192" s="32"/>
      <c r="BF192" s="32"/>
      <c r="BG192" s="32"/>
      <c r="BH192" s="32"/>
      <c r="BI192" s="32"/>
      <c r="BJ192" s="32"/>
      <c r="BK192" s="32"/>
      <c r="BL192" s="32"/>
      <c r="BM192" s="32"/>
      <c r="BN192" s="32"/>
      <c r="BO192" s="32"/>
      <c r="BP192" s="32"/>
      <c r="BQ192" s="32"/>
      <c r="BR192" s="32"/>
      <c r="BS192" s="32"/>
      <c r="BT192" s="32"/>
      <c r="BU192" s="32"/>
      <c r="BV192" s="32"/>
      <c r="BW192" s="32"/>
      <c r="BX192" s="32"/>
      <c r="BY192" s="32"/>
      <c r="BZ192" s="32"/>
      <c r="CA192" s="32"/>
      <c r="CB192" s="32"/>
      <c r="CC192" s="32"/>
      <c r="CD192" s="32"/>
      <c r="CE192" s="32"/>
      <c r="CF192" s="32"/>
      <c r="CG192" s="32"/>
      <c r="CH192" s="32"/>
      <c r="CI192" s="32"/>
      <c r="CJ192" s="32"/>
      <c r="CK192" s="32"/>
      <c r="CL192" s="32"/>
      <c r="CM192" s="32"/>
      <c r="CN192" s="32"/>
      <c r="CO192" s="32"/>
      <c r="CP192" s="32"/>
      <c r="CQ192" s="32"/>
      <c r="CR192" s="32"/>
      <c r="CS192" s="32"/>
      <c r="CT192" s="32"/>
      <c r="CU192" s="32"/>
      <c r="CV192" s="32"/>
      <c r="CW192" s="32"/>
      <c r="CX192" s="32"/>
      <c r="CY192" s="32"/>
    </row>
    <row r="193" spans="1:103" s="31" customFormat="1" ht="12.75" customHeight="1" x14ac:dyDescent="0.25">
      <c r="A193" s="126">
        <f t="shared" si="17"/>
        <v>2034</v>
      </c>
      <c r="B193" s="35">
        <f t="shared" si="18"/>
        <v>7</v>
      </c>
      <c r="C193" s="372">
        <f t="shared" si="15"/>
        <v>96</v>
      </c>
      <c r="D193" s="371">
        <f t="shared" si="16"/>
        <v>107</v>
      </c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  <c r="BY193" s="32"/>
      <c r="BZ193" s="32"/>
      <c r="CA193" s="32"/>
      <c r="CB193" s="32"/>
      <c r="CC193" s="32"/>
      <c r="CD193" s="32"/>
      <c r="CE193" s="32"/>
      <c r="CF193" s="32"/>
      <c r="CG193" s="32"/>
      <c r="CH193" s="32"/>
      <c r="CI193" s="32"/>
      <c r="CJ193" s="32"/>
      <c r="CK193" s="32"/>
      <c r="CL193" s="32"/>
      <c r="CM193" s="32"/>
      <c r="CN193" s="32"/>
      <c r="CO193" s="32"/>
      <c r="CP193" s="32"/>
      <c r="CQ193" s="32"/>
      <c r="CR193" s="32"/>
      <c r="CS193" s="32"/>
      <c r="CT193" s="32"/>
      <c r="CU193" s="32"/>
      <c r="CV193" s="32"/>
      <c r="CW193" s="32"/>
      <c r="CX193" s="32"/>
      <c r="CY193" s="32"/>
    </row>
    <row r="194" spans="1:103" s="31" customFormat="1" ht="12.75" customHeight="1" x14ac:dyDescent="0.25">
      <c r="A194" s="126">
        <f t="shared" si="17"/>
        <v>2035</v>
      </c>
      <c r="B194" s="35">
        <f t="shared" si="18"/>
        <v>8</v>
      </c>
      <c r="C194" s="372">
        <f t="shared" si="15"/>
        <v>108</v>
      </c>
      <c r="D194" s="371">
        <f t="shared" si="16"/>
        <v>119</v>
      </c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  <c r="BY194" s="32"/>
      <c r="BZ194" s="32"/>
      <c r="CA194" s="32"/>
      <c r="CB194" s="32"/>
      <c r="CC194" s="32"/>
      <c r="CD194" s="32"/>
      <c r="CE194" s="32"/>
      <c r="CF194" s="32"/>
      <c r="CG194" s="32"/>
      <c r="CH194" s="32"/>
      <c r="CI194" s="32"/>
      <c r="CJ194" s="32"/>
      <c r="CK194" s="32"/>
      <c r="CL194" s="32"/>
      <c r="CM194" s="32"/>
      <c r="CN194" s="32"/>
      <c r="CO194" s="32"/>
      <c r="CP194" s="32"/>
      <c r="CQ194" s="32"/>
      <c r="CR194" s="32"/>
      <c r="CS194" s="32"/>
      <c r="CT194" s="32"/>
      <c r="CU194" s="32"/>
      <c r="CV194" s="32"/>
      <c r="CW194" s="32"/>
      <c r="CX194" s="32"/>
      <c r="CY194" s="32"/>
    </row>
    <row r="195" spans="1:103" s="31" customFormat="1" ht="12.75" customHeight="1" x14ac:dyDescent="0.25">
      <c r="A195" s="126">
        <f t="shared" si="17"/>
        <v>2036</v>
      </c>
      <c r="B195" s="35">
        <f t="shared" si="18"/>
        <v>9</v>
      </c>
      <c r="C195" s="372">
        <f t="shared" si="15"/>
        <v>120</v>
      </c>
      <c r="D195" s="371">
        <f t="shared" si="16"/>
        <v>131</v>
      </c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2"/>
      <c r="AM195" s="32"/>
      <c r="AN195" s="32"/>
      <c r="AO195" s="32"/>
      <c r="AP195" s="32"/>
      <c r="AQ195" s="32"/>
      <c r="AR195" s="32"/>
      <c r="AS195" s="32"/>
      <c r="AT195" s="32"/>
      <c r="AU195" s="32"/>
      <c r="AV195" s="32"/>
      <c r="AW195" s="32"/>
      <c r="AX195" s="32"/>
      <c r="AY195" s="32"/>
      <c r="AZ195" s="32"/>
      <c r="BA195" s="32"/>
      <c r="BB195" s="32"/>
      <c r="BC195" s="32"/>
      <c r="BD195" s="32"/>
      <c r="BE195" s="32"/>
      <c r="BF195" s="32"/>
      <c r="BG195" s="32"/>
      <c r="BH195" s="32"/>
      <c r="BI195" s="32"/>
      <c r="BJ195" s="32"/>
      <c r="BK195" s="32"/>
      <c r="BL195" s="32"/>
      <c r="BM195" s="32"/>
      <c r="BN195" s="32"/>
      <c r="BO195" s="32"/>
      <c r="BP195" s="32"/>
      <c r="BQ195" s="32"/>
      <c r="BR195" s="32"/>
      <c r="BS195" s="32"/>
      <c r="BT195" s="32"/>
      <c r="BU195" s="32"/>
      <c r="BV195" s="32"/>
      <c r="BW195" s="32"/>
      <c r="BX195" s="32"/>
      <c r="BY195" s="32"/>
      <c r="BZ195" s="32"/>
      <c r="CA195" s="32"/>
      <c r="CB195" s="32"/>
      <c r="CC195" s="32"/>
      <c r="CD195" s="32"/>
      <c r="CE195" s="32"/>
      <c r="CF195" s="32"/>
      <c r="CG195" s="32"/>
      <c r="CH195" s="32"/>
      <c r="CI195" s="32"/>
      <c r="CJ195" s="32"/>
      <c r="CK195" s="32"/>
      <c r="CL195" s="32"/>
      <c r="CM195" s="32"/>
      <c r="CN195" s="32"/>
      <c r="CO195" s="32"/>
      <c r="CP195" s="32"/>
      <c r="CQ195" s="32"/>
      <c r="CR195" s="32"/>
      <c r="CS195" s="32"/>
      <c r="CT195" s="32"/>
      <c r="CU195" s="32"/>
      <c r="CV195" s="32"/>
      <c r="CW195" s="32"/>
      <c r="CX195" s="32"/>
      <c r="CY195" s="32"/>
    </row>
    <row r="196" spans="1:103" s="31" customFormat="1" ht="12.75" customHeight="1" x14ac:dyDescent="0.25">
      <c r="A196" s="126">
        <f t="shared" si="17"/>
        <v>2037</v>
      </c>
      <c r="B196" s="35">
        <f t="shared" si="18"/>
        <v>10</v>
      </c>
      <c r="C196" s="372">
        <f t="shared" si="15"/>
        <v>132</v>
      </c>
      <c r="D196" s="371">
        <f t="shared" si="16"/>
        <v>143</v>
      </c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2"/>
      <c r="AM196" s="32"/>
      <c r="AN196" s="32"/>
      <c r="AO196" s="32"/>
      <c r="AP196" s="32"/>
      <c r="AQ196" s="32"/>
      <c r="AR196" s="32"/>
      <c r="AS196" s="32"/>
      <c r="AT196" s="32"/>
      <c r="AU196" s="32"/>
      <c r="AV196" s="32"/>
      <c r="AW196" s="32"/>
      <c r="AX196" s="32"/>
      <c r="AY196" s="32"/>
      <c r="AZ196" s="32"/>
      <c r="BA196" s="32"/>
      <c r="BB196" s="32"/>
      <c r="BC196" s="32"/>
      <c r="BD196" s="32"/>
      <c r="BE196" s="32"/>
      <c r="BF196" s="32"/>
      <c r="BG196" s="32"/>
      <c r="BH196" s="32"/>
      <c r="BI196" s="32"/>
      <c r="BJ196" s="32"/>
      <c r="BK196" s="32"/>
      <c r="BL196" s="32"/>
      <c r="BM196" s="32"/>
      <c r="BN196" s="32"/>
      <c r="BO196" s="32"/>
      <c r="BP196" s="32"/>
      <c r="BQ196" s="32"/>
      <c r="BR196" s="32"/>
      <c r="BS196" s="32"/>
      <c r="BT196" s="32"/>
      <c r="BU196" s="32"/>
      <c r="BV196" s="32"/>
      <c r="BW196" s="32"/>
      <c r="BX196" s="32"/>
      <c r="BY196" s="32"/>
      <c r="BZ196" s="32"/>
      <c r="CA196" s="32"/>
      <c r="CB196" s="32"/>
      <c r="CC196" s="32"/>
      <c r="CD196" s="32"/>
      <c r="CE196" s="32"/>
      <c r="CF196" s="32"/>
      <c r="CG196" s="32"/>
      <c r="CH196" s="32"/>
      <c r="CI196" s="32"/>
      <c r="CJ196" s="32"/>
      <c r="CK196" s="32"/>
      <c r="CL196" s="32"/>
      <c r="CM196" s="32"/>
      <c r="CN196" s="32"/>
      <c r="CO196" s="32"/>
      <c r="CP196" s="32"/>
      <c r="CQ196" s="32"/>
      <c r="CR196" s="32"/>
      <c r="CS196" s="32"/>
      <c r="CT196" s="32"/>
      <c r="CU196" s="32"/>
      <c r="CV196" s="32"/>
      <c r="CW196" s="32"/>
      <c r="CX196" s="32"/>
      <c r="CY196" s="32"/>
    </row>
    <row r="197" spans="1:103" s="31" customFormat="1" ht="12.75" customHeight="1" x14ac:dyDescent="0.25">
      <c r="A197" s="126">
        <f t="shared" si="17"/>
        <v>2038</v>
      </c>
      <c r="B197" s="35">
        <f t="shared" si="18"/>
        <v>11</v>
      </c>
      <c r="C197" s="372">
        <f t="shared" si="15"/>
        <v>144</v>
      </c>
      <c r="D197" s="371">
        <f t="shared" si="16"/>
        <v>155</v>
      </c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2"/>
      <c r="AM197" s="32"/>
      <c r="AN197" s="32"/>
      <c r="AO197" s="32"/>
      <c r="AP197" s="32"/>
      <c r="AQ197" s="32"/>
      <c r="AR197" s="32"/>
      <c r="AS197" s="32"/>
      <c r="AT197" s="32"/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32"/>
      <c r="BF197" s="32"/>
      <c r="BG197" s="32"/>
      <c r="BH197" s="32"/>
      <c r="BI197" s="32"/>
      <c r="BJ197" s="32"/>
      <c r="BK197" s="32"/>
      <c r="BL197" s="32"/>
      <c r="BM197" s="32"/>
      <c r="BN197" s="32"/>
      <c r="BO197" s="32"/>
      <c r="BP197" s="32"/>
      <c r="BQ197" s="32"/>
      <c r="BR197" s="32"/>
      <c r="BS197" s="32"/>
      <c r="BT197" s="32"/>
      <c r="BU197" s="32"/>
      <c r="BV197" s="32"/>
      <c r="BW197" s="32"/>
      <c r="BX197" s="32"/>
      <c r="BY197" s="32"/>
      <c r="BZ197" s="32"/>
      <c r="CA197" s="32"/>
      <c r="CB197" s="32"/>
      <c r="CC197" s="32"/>
      <c r="CD197" s="32"/>
      <c r="CE197" s="32"/>
      <c r="CF197" s="32"/>
      <c r="CG197" s="32"/>
      <c r="CH197" s="32"/>
      <c r="CI197" s="32"/>
      <c r="CJ197" s="32"/>
      <c r="CK197" s="32"/>
      <c r="CL197" s="32"/>
      <c r="CM197" s="32"/>
      <c r="CN197" s="32"/>
      <c r="CO197" s="32"/>
      <c r="CP197" s="32"/>
      <c r="CQ197" s="32"/>
      <c r="CR197" s="32"/>
      <c r="CS197" s="32"/>
      <c r="CT197" s="32"/>
      <c r="CU197" s="32"/>
      <c r="CV197" s="32"/>
      <c r="CW197" s="32"/>
      <c r="CX197" s="32"/>
      <c r="CY197" s="32"/>
    </row>
    <row r="198" spans="1:103" s="31" customFormat="1" ht="12.75" customHeight="1" x14ac:dyDescent="0.25">
      <c r="A198" s="126">
        <f t="shared" ref="A198:A199" si="19">A197+1</f>
        <v>2039</v>
      </c>
      <c r="B198" s="35">
        <f t="shared" si="18"/>
        <v>12</v>
      </c>
      <c r="C198" s="372">
        <f t="shared" ref="C198:C199" si="20">D197+1</f>
        <v>156</v>
      </c>
      <c r="D198" s="371">
        <f t="shared" ref="D198:D199" si="21">C198+11</f>
        <v>167</v>
      </c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2"/>
      <c r="AM198" s="32"/>
      <c r="AN198" s="32"/>
      <c r="AO198" s="32"/>
      <c r="AP198" s="32"/>
      <c r="AQ198" s="32"/>
      <c r="AR198" s="32"/>
      <c r="AS198" s="32"/>
      <c r="AT198" s="32"/>
      <c r="AU198" s="32"/>
      <c r="AV198" s="32"/>
      <c r="AW198" s="32"/>
      <c r="AX198" s="32"/>
      <c r="AY198" s="32"/>
      <c r="AZ198" s="32"/>
      <c r="BA198" s="32"/>
      <c r="BB198" s="32"/>
      <c r="BC198" s="32"/>
      <c r="BD198" s="32"/>
      <c r="BE198" s="32"/>
      <c r="BF198" s="32"/>
      <c r="BG198" s="32"/>
      <c r="BH198" s="32"/>
      <c r="BI198" s="32"/>
      <c r="BJ198" s="32"/>
      <c r="BK198" s="32"/>
      <c r="BL198" s="32"/>
      <c r="BM198" s="32"/>
      <c r="BN198" s="32"/>
      <c r="BO198" s="32"/>
      <c r="BP198" s="32"/>
      <c r="BQ198" s="32"/>
      <c r="BR198" s="32"/>
      <c r="BS198" s="32"/>
      <c r="BT198" s="32"/>
      <c r="BU198" s="32"/>
      <c r="BV198" s="32"/>
      <c r="BW198" s="32"/>
      <c r="BX198" s="32"/>
      <c r="BY198" s="32"/>
      <c r="BZ198" s="32"/>
      <c r="CA198" s="32"/>
      <c r="CB198" s="32"/>
      <c r="CC198" s="32"/>
      <c r="CD198" s="32"/>
      <c r="CE198" s="32"/>
      <c r="CF198" s="32"/>
      <c r="CG198" s="32"/>
      <c r="CH198" s="32"/>
      <c r="CI198" s="32"/>
      <c r="CJ198" s="32"/>
      <c r="CK198" s="32"/>
      <c r="CL198" s="32"/>
      <c r="CM198" s="32"/>
      <c r="CN198" s="32"/>
      <c r="CO198" s="32"/>
      <c r="CP198" s="32"/>
      <c r="CQ198" s="32"/>
      <c r="CR198" s="32"/>
      <c r="CS198" s="32"/>
      <c r="CT198" s="32"/>
      <c r="CU198" s="32"/>
      <c r="CV198" s="32"/>
      <c r="CW198" s="32"/>
      <c r="CX198" s="32"/>
      <c r="CY198" s="32"/>
    </row>
    <row r="199" spans="1:103" s="31" customFormat="1" ht="12.75" customHeight="1" x14ac:dyDescent="0.25">
      <c r="A199" s="126">
        <f t="shared" si="19"/>
        <v>2040</v>
      </c>
      <c r="B199" s="35">
        <f t="shared" si="18"/>
        <v>13</v>
      </c>
      <c r="C199" s="372">
        <f t="shared" si="20"/>
        <v>168</v>
      </c>
      <c r="D199" s="371">
        <f t="shared" si="21"/>
        <v>179</v>
      </c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2"/>
      <c r="AM199" s="32"/>
      <c r="AN199" s="32"/>
      <c r="AO199" s="32"/>
      <c r="AP199" s="32"/>
      <c r="AQ199" s="32"/>
      <c r="AR199" s="32"/>
      <c r="AS199" s="32"/>
      <c r="AT199" s="32"/>
      <c r="AU199" s="32"/>
      <c r="AV199" s="32"/>
      <c r="AW199" s="32"/>
      <c r="AX199" s="32"/>
      <c r="AY199" s="32"/>
      <c r="AZ199" s="32"/>
      <c r="BA199" s="32"/>
      <c r="BB199" s="32"/>
      <c r="BC199" s="32"/>
      <c r="BD199" s="32"/>
      <c r="BE199" s="32"/>
      <c r="BF199" s="32"/>
      <c r="BG199" s="32"/>
      <c r="BH199" s="32"/>
      <c r="BI199" s="32"/>
      <c r="BJ199" s="32"/>
      <c r="BK199" s="32"/>
      <c r="BL199" s="32"/>
      <c r="BM199" s="32"/>
      <c r="BN199" s="32"/>
      <c r="BO199" s="32"/>
      <c r="BP199" s="32"/>
      <c r="BQ199" s="32"/>
      <c r="BR199" s="32"/>
      <c r="BS199" s="32"/>
      <c r="BT199" s="32"/>
      <c r="BU199" s="32"/>
      <c r="BV199" s="32"/>
      <c r="BW199" s="32"/>
      <c r="BX199" s="32"/>
      <c r="BY199" s="32"/>
      <c r="BZ199" s="32"/>
      <c r="CA199" s="32"/>
      <c r="CB199" s="32"/>
      <c r="CC199" s="32"/>
      <c r="CD199" s="32"/>
      <c r="CE199" s="32"/>
      <c r="CF199" s="32"/>
      <c r="CG199" s="32"/>
      <c r="CH199" s="32"/>
      <c r="CI199" s="32"/>
      <c r="CJ199" s="32"/>
      <c r="CK199" s="32"/>
      <c r="CL199" s="32"/>
      <c r="CM199" s="32"/>
      <c r="CN199" s="32"/>
      <c r="CO199" s="32"/>
      <c r="CP199" s="32"/>
      <c r="CQ199" s="32"/>
      <c r="CR199" s="32"/>
      <c r="CS199" s="32"/>
      <c r="CT199" s="32"/>
      <c r="CU199" s="32"/>
      <c r="CV199" s="32"/>
      <c r="CW199" s="32"/>
      <c r="CX199" s="32"/>
      <c r="CY199" s="32"/>
    </row>
    <row r="200" spans="1:103" s="31" customFormat="1" ht="12.75" customHeight="1" x14ac:dyDescent="0.25">
      <c r="A200" s="126">
        <f t="shared" ref="A200" si="22">A199+1</f>
        <v>2041</v>
      </c>
      <c r="B200" s="35">
        <f t="shared" si="18"/>
        <v>14</v>
      </c>
      <c r="C200" s="372">
        <f t="shared" ref="C200" si="23">D199+1</f>
        <v>180</v>
      </c>
      <c r="D200" s="371">
        <f t="shared" ref="D200" si="24">C200+11</f>
        <v>191</v>
      </c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  <c r="BY200" s="32"/>
      <c r="BZ200" s="32"/>
      <c r="CA200" s="32"/>
      <c r="CB200" s="32"/>
      <c r="CC200" s="32"/>
      <c r="CD200" s="32"/>
      <c r="CE200" s="32"/>
      <c r="CF200" s="32"/>
      <c r="CG200" s="32"/>
      <c r="CH200" s="32"/>
      <c r="CI200" s="32"/>
      <c r="CJ200" s="32"/>
      <c r="CK200" s="32"/>
      <c r="CL200" s="32"/>
      <c r="CM200" s="32"/>
      <c r="CN200" s="32"/>
      <c r="CO200" s="32"/>
      <c r="CP200" s="32"/>
      <c r="CQ200" s="32"/>
      <c r="CR200" s="32"/>
      <c r="CS200" s="32"/>
      <c r="CT200" s="32"/>
      <c r="CU200" s="32"/>
      <c r="CV200" s="32"/>
      <c r="CW200" s="32"/>
      <c r="CX200" s="32"/>
      <c r="CY200" s="32"/>
    </row>
    <row r="201" spans="1:103" s="31" customFormat="1" ht="12.75" customHeight="1" x14ac:dyDescent="0.25">
      <c r="A201" s="380">
        <f t="shared" ref="A201" si="25">A200+1</f>
        <v>2042</v>
      </c>
      <c r="B201" s="890">
        <f t="shared" ref="B201" si="26">B200+1</f>
        <v>15</v>
      </c>
      <c r="C201" s="369">
        <f t="shared" ref="C201" si="27">D200+1</f>
        <v>192</v>
      </c>
      <c r="D201" s="368">
        <f t="shared" ref="D201" si="28">C201+11</f>
        <v>203</v>
      </c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  <c r="BY201" s="32"/>
      <c r="BZ201" s="32"/>
      <c r="CA201" s="32"/>
      <c r="CB201" s="32"/>
      <c r="CC201" s="32"/>
      <c r="CD201" s="32"/>
      <c r="CE201" s="32"/>
      <c r="CF201" s="32"/>
      <c r="CG201" s="32"/>
      <c r="CH201" s="32"/>
      <c r="CI201" s="32"/>
      <c r="CJ201" s="32"/>
      <c r="CK201" s="32"/>
      <c r="CL201" s="32"/>
      <c r="CM201" s="32"/>
      <c r="CN201" s="32"/>
      <c r="CO201" s="32"/>
      <c r="CP201" s="32"/>
      <c r="CQ201" s="32"/>
      <c r="CR201" s="32"/>
      <c r="CS201" s="32"/>
      <c r="CT201" s="32"/>
      <c r="CU201" s="32"/>
      <c r="CV201" s="32"/>
      <c r="CW201" s="32"/>
      <c r="CX201" s="32"/>
      <c r="CY201" s="32"/>
    </row>
    <row r="202" spans="1:103" s="31" customFormat="1" ht="12.75" customHeight="1" x14ac:dyDescent="0.25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  <c r="BY202" s="32"/>
      <c r="BZ202" s="32"/>
      <c r="CA202" s="32"/>
      <c r="CB202" s="32"/>
      <c r="CC202" s="32"/>
      <c r="CD202" s="32"/>
      <c r="CE202" s="32"/>
      <c r="CF202" s="32"/>
      <c r="CG202" s="32"/>
      <c r="CH202" s="32"/>
      <c r="CI202" s="32"/>
      <c r="CJ202" s="32"/>
      <c r="CK202" s="32"/>
      <c r="CL202" s="32"/>
      <c r="CM202" s="32"/>
      <c r="CN202" s="32"/>
      <c r="CO202" s="32"/>
      <c r="CP202" s="32"/>
      <c r="CQ202" s="32"/>
      <c r="CR202" s="32"/>
      <c r="CS202" s="32"/>
      <c r="CT202" s="32"/>
      <c r="CU202" s="32"/>
      <c r="CV202" s="32"/>
      <c r="CW202" s="32"/>
      <c r="CX202" s="32"/>
      <c r="CY202" s="32"/>
    </row>
    <row r="203" spans="1:103" s="31" customFormat="1" ht="12.75" customHeight="1" x14ac:dyDescent="0.25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2"/>
      <c r="AM203" s="32"/>
      <c r="AN203" s="32"/>
      <c r="AO203" s="32"/>
      <c r="AP203" s="32"/>
      <c r="AQ203" s="32"/>
      <c r="AR203" s="32"/>
      <c r="AS203" s="32"/>
      <c r="AT203" s="32"/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32"/>
      <c r="BF203" s="32"/>
      <c r="BG203" s="32"/>
      <c r="BH203" s="32"/>
      <c r="BI203" s="32"/>
      <c r="BJ203" s="32"/>
      <c r="BK203" s="32"/>
      <c r="BL203" s="32"/>
      <c r="BM203" s="32"/>
      <c r="BN203" s="32"/>
      <c r="BO203" s="32"/>
      <c r="BP203" s="32"/>
      <c r="BQ203" s="32"/>
      <c r="BR203" s="32"/>
      <c r="BS203" s="32"/>
      <c r="BT203" s="32"/>
      <c r="BU203" s="32"/>
      <c r="BV203" s="32"/>
      <c r="BW203" s="32"/>
      <c r="BX203" s="32"/>
      <c r="BY203" s="32"/>
      <c r="BZ203" s="32"/>
      <c r="CA203" s="32"/>
      <c r="CB203" s="32"/>
      <c r="CC203" s="32"/>
      <c r="CD203" s="32"/>
      <c r="CE203" s="32"/>
      <c r="CF203" s="32"/>
      <c r="CG203" s="32"/>
      <c r="CH203" s="32"/>
      <c r="CI203" s="32"/>
      <c r="CJ203" s="32"/>
      <c r="CK203" s="32"/>
      <c r="CL203" s="32"/>
      <c r="CM203" s="32"/>
      <c r="CN203" s="32"/>
      <c r="CO203" s="32"/>
      <c r="CP203" s="32"/>
      <c r="CQ203" s="32"/>
      <c r="CR203" s="32"/>
      <c r="CS203" s="32"/>
      <c r="CT203" s="32"/>
      <c r="CU203" s="32"/>
      <c r="CV203" s="32"/>
      <c r="CW203" s="32"/>
      <c r="CX203" s="32"/>
      <c r="CY203" s="32"/>
    </row>
    <row r="204" spans="1:103" s="31" customFormat="1" ht="12.75" customHeight="1" x14ac:dyDescent="0.25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2"/>
      <c r="AM204" s="32"/>
      <c r="AN204" s="32"/>
      <c r="AO204" s="32"/>
      <c r="AP204" s="32"/>
      <c r="AQ204" s="32"/>
      <c r="AR204" s="32"/>
      <c r="AS204" s="32"/>
      <c r="AT204" s="32"/>
      <c r="AU204" s="32"/>
      <c r="AV204" s="32"/>
      <c r="AW204" s="32"/>
      <c r="AX204" s="32"/>
      <c r="AY204" s="32"/>
      <c r="AZ204" s="32"/>
      <c r="BA204" s="32"/>
      <c r="BB204" s="32"/>
      <c r="BC204" s="32"/>
      <c r="BD204" s="32"/>
      <c r="BE204" s="32"/>
      <c r="BF204" s="32"/>
      <c r="BG204" s="32"/>
      <c r="BH204" s="32"/>
      <c r="BI204" s="32"/>
      <c r="BJ204" s="32"/>
      <c r="BK204" s="32"/>
      <c r="BL204" s="32"/>
      <c r="BM204" s="32"/>
      <c r="BN204" s="32"/>
      <c r="BO204" s="32"/>
      <c r="BP204" s="32"/>
      <c r="BQ204" s="32"/>
      <c r="BR204" s="32"/>
      <c r="BS204" s="32"/>
      <c r="BT204" s="32"/>
      <c r="BU204" s="32"/>
      <c r="BV204" s="32"/>
      <c r="BW204" s="32"/>
      <c r="BX204" s="32"/>
      <c r="BY204" s="32"/>
      <c r="BZ204" s="32"/>
      <c r="CA204" s="32"/>
      <c r="CB204" s="32"/>
      <c r="CC204" s="32"/>
      <c r="CD204" s="32"/>
      <c r="CE204" s="32"/>
      <c r="CF204" s="32"/>
      <c r="CG204" s="32"/>
      <c r="CH204" s="32"/>
      <c r="CI204" s="32"/>
      <c r="CJ204" s="32"/>
      <c r="CK204" s="32"/>
      <c r="CL204" s="32"/>
      <c r="CM204" s="32"/>
      <c r="CN204" s="32"/>
      <c r="CO204" s="32"/>
      <c r="CP204" s="32"/>
      <c r="CQ204" s="32"/>
      <c r="CR204" s="32"/>
      <c r="CS204" s="32"/>
      <c r="CT204" s="32"/>
      <c r="CU204" s="32"/>
      <c r="CV204" s="32"/>
      <c r="CW204" s="32"/>
      <c r="CX204" s="32"/>
      <c r="CY204" s="32"/>
    </row>
    <row r="205" spans="1:103" s="31" customFormat="1" ht="12.75" customHeight="1" x14ac:dyDescent="0.25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2"/>
      <c r="AM205" s="32"/>
      <c r="AN205" s="32"/>
      <c r="AO205" s="32"/>
      <c r="AP205" s="32"/>
      <c r="AQ205" s="32"/>
      <c r="AR205" s="32"/>
      <c r="AS205" s="32"/>
      <c r="AT205" s="32"/>
      <c r="AU205" s="32"/>
      <c r="AV205" s="32"/>
      <c r="AW205" s="32"/>
      <c r="AX205" s="32"/>
      <c r="AY205" s="32"/>
      <c r="AZ205" s="32"/>
      <c r="BA205" s="32"/>
      <c r="BB205" s="32"/>
      <c r="BC205" s="32"/>
      <c r="BD205" s="32"/>
      <c r="BE205" s="32"/>
      <c r="BF205" s="32"/>
      <c r="BG205" s="32"/>
      <c r="BH205" s="32"/>
      <c r="BI205" s="32"/>
      <c r="BJ205" s="32"/>
      <c r="BK205" s="32"/>
      <c r="BL205" s="32"/>
      <c r="BM205" s="32"/>
      <c r="BN205" s="32"/>
      <c r="BO205" s="32"/>
      <c r="BP205" s="32"/>
      <c r="BQ205" s="32"/>
      <c r="BR205" s="32"/>
      <c r="BS205" s="32"/>
      <c r="BT205" s="32"/>
      <c r="BU205" s="32"/>
      <c r="BV205" s="32"/>
      <c r="BW205" s="32"/>
      <c r="BX205" s="32"/>
      <c r="BY205" s="32"/>
      <c r="BZ205" s="32"/>
      <c r="CA205" s="32"/>
      <c r="CB205" s="32"/>
      <c r="CC205" s="32"/>
      <c r="CD205" s="32"/>
      <c r="CE205" s="32"/>
      <c r="CF205" s="32"/>
      <c r="CG205" s="32"/>
      <c r="CH205" s="32"/>
      <c r="CI205" s="32"/>
      <c r="CJ205" s="32"/>
      <c r="CK205" s="32"/>
      <c r="CL205" s="32"/>
      <c r="CM205" s="32"/>
      <c r="CN205" s="32"/>
      <c r="CO205" s="32"/>
      <c r="CP205" s="32"/>
      <c r="CQ205" s="32"/>
      <c r="CR205" s="32"/>
      <c r="CS205" s="32"/>
      <c r="CT205" s="32"/>
      <c r="CU205" s="32"/>
      <c r="CV205" s="32"/>
      <c r="CW205" s="32"/>
      <c r="CX205" s="32"/>
      <c r="CY205" s="32"/>
    </row>
    <row r="206" spans="1:103" s="31" customFormat="1" ht="12.75" customHeight="1" x14ac:dyDescent="0.25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2"/>
      <c r="AM206" s="32"/>
      <c r="AN206" s="32"/>
      <c r="AO206" s="32"/>
      <c r="AP206" s="32"/>
      <c r="AQ206" s="32"/>
      <c r="AR206" s="32"/>
      <c r="AS206" s="32"/>
      <c r="AT206" s="32"/>
      <c r="AU206" s="32"/>
      <c r="AV206" s="32"/>
      <c r="AW206" s="32"/>
      <c r="AX206" s="32"/>
      <c r="AY206" s="32"/>
      <c r="AZ206" s="32"/>
      <c r="BA206" s="32"/>
      <c r="BB206" s="32"/>
      <c r="BC206" s="32"/>
      <c r="BD206" s="32"/>
      <c r="BE206" s="32"/>
      <c r="BF206" s="32"/>
      <c r="BG206" s="32"/>
      <c r="BH206" s="32"/>
      <c r="BI206" s="32"/>
      <c r="BJ206" s="32"/>
      <c r="BK206" s="32"/>
      <c r="BL206" s="32"/>
      <c r="BM206" s="32"/>
      <c r="BN206" s="32"/>
      <c r="BO206" s="32"/>
      <c r="BP206" s="32"/>
      <c r="BQ206" s="32"/>
      <c r="BR206" s="32"/>
      <c r="BS206" s="32"/>
      <c r="BT206" s="32"/>
      <c r="BU206" s="32"/>
      <c r="BV206" s="32"/>
      <c r="BW206" s="32"/>
      <c r="BX206" s="32"/>
      <c r="BY206" s="32"/>
      <c r="BZ206" s="32"/>
      <c r="CA206" s="32"/>
      <c r="CB206" s="32"/>
      <c r="CC206" s="32"/>
      <c r="CD206" s="32"/>
      <c r="CE206" s="32"/>
      <c r="CF206" s="32"/>
      <c r="CG206" s="32"/>
      <c r="CH206" s="32"/>
      <c r="CI206" s="32"/>
      <c r="CJ206" s="32"/>
      <c r="CK206" s="32"/>
      <c r="CL206" s="32"/>
      <c r="CM206" s="32"/>
      <c r="CN206" s="32"/>
      <c r="CO206" s="32"/>
      <c r="CP206" s="32"/>
      <c r="CQ206" s="32"/>
      <c r="CR206" s="32"/>
      <c r="CS206" s="32"/>
      <c r="CT206" s="32"/>
      <c r="CU206" s="32"/>
      <c r="CV206" s="32"/>
      <c r="CW206" s="32"/>
      <c r="CX206" s="32"/>
      <c r="CY206" s="32"/>
    </row>
    <row r="207" spans="1:103" s="31" customFormat="1" ht="12.75" customHeight="1" x14ac:dyDescent="0.25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2"/>
      <c r="BT207" s="32"/>
      <c r="BU207" s="32"/>
      <c r="BV207" s="32"/>
      <c r="BW207" s="32"/>
      <c r="BX207" s="32"/>
      <c r="BY207" s="32"/>
      <c r="BZ207" s="32"/>
      <c r="CA207" s="32"/>
      <c r="CB207" s="32"/>
      <c r="CC207" s="32"/>
      <c r="CD207" s="32"/>
      <c r="CE207" s="32"/>
      <c r="CF207" s="32"/>
      <c r="CG207" s="32"/>
      <c r="CH207" s="32"/>
      <c r="CI207" s="32"/>
      <c r="CJ207" s="32"/>
      <c r="CK207" s="32"/>
      <c r="CL207" s="32"/>
      <c r="CM207" s="32"/>
      <c r="CN207" s="32"/>
      <c r="CO207" s="32"/>
      <c r="CP207" s="32"/>
      <c r="CQ207" s="32"/>
      <c r="CR207" s="32"/>
      <c r="CS207" s="32"/>
      <c r="CT207" s="32"/>
      <c r="CU207" s="32"/>
      <c r="CV207" s="32"/>
      <c r="CW207" s="32"/>
      <c r="CX207" s="32"/>
      <c r="CY207" s="32"/>
    </row>
    <row r="208" spans="1:103" s="31" customFormat="1" ht="12.75" customHeight="1" x14ac:dyDescent="0.25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  <c r="BT208" s="32"/>
      <c r="BU208" s="32"/>
      <c r="BV208" s="32"/>
      <c r="BW208" s="32"/>
      <c r="BX208" s="32"/>
      <c r="BY208" s="32"/>
      <c r="BZ208" s="32"/>
      <c r="CA208" s="32"/>
      <c r="CB208" s="32"/>
      <c r="CC208" s="32"/>
      <c r="CD208" s="32"/>
      <c r="CE208" s="32"/>
      <c r="CF208" s="32"/>
      <c r="CG208" s="32"/>
      <c r="CH208" s="32"/>
      <c r="CI208" s="32"/>
      <c r="CJ208" s="32"/>
      <c r="CK208" s="32"/>
      <c r="CL208" s="32"/>
      <c r="CM208" s="32"/>
      <c r="CN208" s="32"/>
      <c r="CO208" s="32"/>
      <c r="CP208" s="32"/>
      <c r="CQ208" s="32"/>
      <c r="CR208" s="32"/>
      <c r="CS208" s="32"/>
      <c r="CT208" s="32"/>
      <c r="CU208" s="32"/>
      <c r="CV208" s="32"/>
      <c r="CW208" s="32"/>
      <c r="CX208" s="32"/>
      <c r="CY208" s="32"/>
    </row>
    <row r="209" spans="1:103" s="31" customFormat="1" ht="12.75" customHeight="1" x14ac:dyDescent="0.25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  <c r="BI209" s="32"/>
      <c r="BJ209" s="32"/>
      <c r="BK209" s="32"/>
      <c r="BL209" s="32"/>
      <c r="BM209" s="32"/>
      <c r="BN209" s="32"/>
      <c r="BO209" s="32"/>
      <c r="BP209" s="32"/>
      <c r="BQ209" s="32"/>
      <c r="BR209" s="32"/>
      <c r="BS209" s="32"/>
      <c r="BT209" s="32"/>
      <c r="BU209" s="32"/>
      <c r="BV209" s="32"/>
      <c r="BW209" s="32"/>
      <c r="BX209" s="32"/>
      <c r="BY209" s="32"/>
      <c r="BZ209" s="32"/>
      <c r="CA209" s="32"/>
      <c r="CB209" s="32"/>
      <c r="CC209" s="32"/>
      <c r="CD209" s="32"/>
      <c r="CE209" s="32"/>
      <c r="CF209" s="32"/>
      <c r="CG209" s="32"/>
      <c r="CH209" s="32"/>
      <c r="CI209" s="32"/>
      <c r="CJ209" s="32"/>
      <c r="CK209" s="32"/>
      <c r="CL209" s="32"/>
      <c r="CM209" s="32"/>
      <c r="CN209" s="32"/>
      <c r="CO209" s="32"/>
      <c r="CP209" s="32"/>
      <c r="CQ209" s="32"/>
      <c r="CR209" s="32"/>
      <c r="CS209" s="32"/>
      <c r="CT209" s="32"/>
      <c r="CU209" s="32"/>
      <c r="CV209" s="32"/>
      <c r="CW209" s="32"/>
      <c r="CX209" s="32"/>
      <c r="CY209" s="32"/>
    </row>
    <row r="210" spans="1:103" s="31" customFormat="1" ht="12.75" customHeight="1" x14ac:dyDescent="0.25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2"/>
      <c r="BH210" s="32"/>
      <c r="BI210" s="32"/>
      <c r="BJ210" s="32"/>
      <c r="BK210" s="32"/>
      <c r="BL210" s="32"/>
      <c r="BM210" s="32"/>
      <c r="BN210" s="32"/>
      <c r="BO210" s="32"/>
      <c r="BP210" s="32"/>
      <c r="BQ210" s="32"/>
      <c r="BR210" s="32"/>
      <c r="BS210" s="32"/>
      <c r="BT210" s="32"/>
      <c r="BU210" s="32"/>
      <c r="BV210" s="32"/>
      <c r="BW210" s="32"/>
      <c r="BX210" s="32"/>
      <c r="BY210" s="32"/>
      <c r="BZ210" s="32"/>
      <c r="CA210" s="32"/>
      <c r="CB210" s="32"/>
      <c r="CC210" s="32"/>
      <c r="CD210" s="32"/>
      <c r="CE210" s="32"/>
      <c r="CF210" s="32"/>
      <c r="CG210" s="32"/>
      <c r="CH210" s="32"/>
      <c r="CI210" s="32"/>
      <c r="CJ210" s="32"/>
      <c r="CK210" s="32"/>
      <c r="CL210" s="32"/>
      <c r="CM210" s="32"/>
      <c r="CN210" s="32"/>
      <c r="CO210" s="32"/>
      <c r="CP210" s="32"/>
      <c r="CQ210" s="32"/>
      <c r="CR210" s="32"/>
      <c r="CS210" s="32"/>
      <c r="CT210" s="32"/>
      <c r="CU210" s="32"/>
      <c r="CV210" s="32"/>
      <c r="CW210" s="32"/>
      <c r="CX210" s="32"/>
      <c r="CY210" s="32"/>
    </row>
    <row r="211" spans="1:103" s="31" customFormat="1" ht="12.75" customHeight="1" x14ac:dyDescent="0.25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32"/>
      <c r="BF211" s="32"/>
      <c r="BG211" s="32"/>
      <c r="BH211" s="32"/>
      <c r="BI211" s="32"/>
      <c r="BJ211" s="32"/>
      <c r="BK211" s="32"/>
      <c r="BL211" s="32"/>
      <c r="BM211" s="32"/>
      <c r="BN211" s="32"/>
      <c r="BO211" s="32"/>
      <c r="BP211" s="32"/>
      <c r="BQ211" s="32"/>
      <c r="BR211" s="32"/>
      <c r="BS211" s="32"/>
      <c r="BT211" s="32"/>
      <c r="BU211" s="32"/>
      <c r="BV211" s="32"/>
      <c r="BW211" s="32"/>
      <c r="BX211" s="32"/>
      <c r="BY211" s="32"/>
      <c r="BZ211" s="32"/>
      <c r="CA211" s="32"/>
      <c r="CB211" s="32"/>
      <c r="CC211" s="32"/>
      <c r="CD211" s="32"/>
      <c r="CE211" s="32"/>
      <c r="CF211" s="32"/>
      <c r="CG211" s="32"/>
      <c r="CH211" s="32"/>
      <c r="CI211" s="32"/>
      <c r="CJ211" s="32"/>
      <c r="CK211" s="32"/>
      <c r="CL211" s="32"/>
      <c r="CM211" s="32"/>
      <c r="CN211" s="32"/>
      <c r="CO211" s="32"/>
      <c r="CP211" s="32"/>
      <c r="CQ211" s="32"/>
      <c r="CR211" s="32"/>
      <c r="CS211" s="32"/>
      <c r="CT211" s="32"/>
      <c r="CU211" s="32"/>
      <c r="CV211" s="32"/>
      <c r="CW211" s="32"/>
      <c r="CX211" s="32"/>
      <c r="CY211" s="32"/>
    </row>
    <row r="212" spans="1:103" s="31" customFormat="1" ht="12.75" customHeight="1" x14ac:dyDescent="0.25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  <c r="BI212" s="32"/>
      <c r="BJ212" s="32"/>
      <c r="BK212" s="32"/>
      <c r="BL212" s="32"/>
      <c r="BM212" s="32"/>
      <c r="BN212" s="32"/>
      <c r="BO212" s="32"/>
      <c r="BP212" s="32"/>
      <c r="BQ212" s="32"/>
      <c r="BR212" s="32"/>
      <c r="BS212" s="32"/>
      <c r="BT212" s="32"/>
      <c r="BU212" s="32"/>
      <c r="BV212" s="32"/>
      <c r="BW212" s="32"/>
      <c r="BX212" s="32"/>
      <c r="BY212" s="32"/>
      <c r="BZ212" s="32"/>
      <c r="CA212" s="32"/>
      <c r="CB212" s="32"/>
      <c r="CC212" s="32"/>
      <c r="CD212" s="32"/>
      <c r="CE212" s="32"/>
      <c r="CF212" s="32"/>
      <c r="CG212" s="32"/>
      <c r="CH212" s="32"/>
      <c r="CI212" s="32"/>
      <c r="CJ212" s="32"/>
      <c r="CK212" s="32"/>
      <c r="CL212" s="32"/>
      <c r="CM212" s="32"/>
      <c r="CN212" s="32"/>
      <c r="CO212" s="32"/>
      <c r="CP212" s="32"/>
      <c r="CQ212" s="32"/>
      <c r="CR212" s="32"/>
      <c r="CS212" s="32"/>
      <c r="CT212" s="32"/>
      <c r="CU212" s="32"/>
      <c r="CV212" s="32"/>
      <c r="CW212" s="32"/>
      <c r="CX212" s="32"/>
      <c r="CY212" s="32"/>
    </row>
    <row r="213" spans="1:103" s="31" customFormat="1" ht="12" customHeight="1" x14ac:dyDescent="0.25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2"/>
      <c r="BO213" s="32"/>
      <c r="BP213" s="32"/>
      <c r="BQ213" s="32"/>
      <c r="BR213" s="32"/>
      <c r="BS213" s="32"/>
      <c r="BT213" s="32"/>
      <c r="BU213" s="32"/>
      <c r="BV213" s="32"/>
      <c r="BW213" s="32"/>
      <c r="BX213" s="32"/>
      <c r="BY213" s="32"/>
      <c r="BZ213" s="32"/>
      <c r="CA213" s="32"/>
      <c r="CB213" s="32"/>
      <c r="CC213" s="32"/>
      <c r="CD213" s="32"/>
      <c r="CE213" s="32"/>
      <c r="CF213" s="32"/>
      <c r="CG213" s="32"/>
      <c r="CH213" s="32"/>
      <c r="CI213" s="32"/>
      <c r="CJ213" s="32"/>
      <c r="CK213" s="32"/>
      <c r="CL213" s="32"/>
      <c r="CM213" s="32"/>
      <c r="CN213" s="32"/>
      <c r="CO213" s="32"/>
      <c r="CP213" s="32"/>
      <c r="CQ213" s="32"/>
      <c r="CR213" s="32"/>
      <c r="CS213" s="32"/>
      <c r="CT213" s="32"/>
      <c r="CU213" s="32"/>
      <c r="CV213" s="32"/>
      <c r="CW213" s="32"/>
      <c r="CX213" s="32"/>
      <c r="CY213" s="32"/>
    </row>
    <row r="214" spans="1:103" s="31" customFormat="1" ht="12" customHeight="1" x14ac:dyDescent="0.25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  <c r="BT214" s="32"/>
      <c r="BU214" s="32"/>
      <c r="BV214" s="32"/>
      <c r="BW214" s="32"/>
      <c r="BX214" s="32"/>
      <c r="BY214" s="32"/>
      <c r="BZ214" s="32"/>
      <c r="CA214" s="32"/>
      <c r="CB214" s="32"/>
      <c r="CC214" s="32"/>
      <c r="CD214" s="32"/>
      <c r="CE214" s="32"/>
      <c r="CF214" s="32"/>
      <c r="CG214" s="32"/>
      <c r="CH214" s="32"/>
      <c r="CI214" s="32"/>
      <c r="CJ214" s="32"/>
      <c r="CK214" s="32"/>
      <c r="CL214" s="32"/>
      <c r="CM214" s="32"/>
      <c r="CN214" s="32"/>
      <c r="CO214" s="32"/>
      <c r="CP214" s="32"/>
      <c r="CQ214" s="32"/>
      <c r="CR214" s="32"/>
      <c r="CS214" s="32"/>
      <c r="CT214" s="32"/>
      <c r="CU214" s="32"/>
      <c r="CV214" s="32"/>
      <c r="CW214" s="32"/>
      <c r="CX214" s="32"/>
      <c r="CY214" s="32"/>
    </row>
    <row r="215" spans="1:103" s="31" customFormat="1" ht="12" customHeight="1" x14ac:dyDescent="0.25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  <c r="BU215" s="32"/>
      <c r="BV215" s="32"/>
      <c r="BW215" s="32"/>
      <c r="BX215" s="32"/>
      <c r="BY215" s="32"/>
      <c r="BZ215" s="32"/>
      <c r="CA215" s="32"/>
      <c r="CB215" s="32"/>
      <c r="CC215" s="32"/>
      <c r="CD215" s="32"/>
      <c r="CE215" s="32"/>
      <c r="CF215" s="32"/>
      <c r="CG215" s="32"/>
      <c r="CH215" s="32"/>
      <c r="CI215" s="32"/>
      <c r="CJ215" s="32"/>
      <c r="CK215" s="32"/>
      <c r="CL215" s="32"/>
      <c r="CM215" s="32"/>
      <c r="CN215" s="32"/>
      <c r="CO215" s="32"/>
      <c r="CP215" s="32"/>
      <c r="CQ215" s="32"/>
      <c r="CR215" s="32"/>
      <c r="CS215" s="32"/>
      <c r="CT215" s="32"/>
      <c r="CU215" s="32"/>
      <c r="CV215" s="32"/>
      <c r="CW215" s="32"/>
      <c r="CX215" s="32"/>
      <c r="CY215" s="32"/>
    </row>
    <row r="216" spans="1:103" s="31" customFormat="1" ht="12" customHeight="1" x14ac:dyDescent="0.25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P216" s="32"/>
      <c r="BQ216" s="32"/>
      <c r="BR216" s="32"/>
      <c r="BS216" s="32"/>
      <c r="BT216" s="32"/>
      <c r="BU216" s="32"/>
      <c r="BV216" s="32"/>
      <c r="BW216" s="32"/>
      <c r="BX216" s="32"/>
      <c r="BY216" s="32"/>
      <c r="BZ216" s="32"/>
      <c r="CA216" s="32"/>
      <c r="CB216" s="32"/>
      <c r="CC216" s="32"/>
      <c r="CD216" s="32"/>
      <c r="CE216" s="32"/>
      <c r="CF216" s="32"/>
      <c r="CG216" s="32"/>
      <c r="CH216" s="32"/>
      <c r="CI216" s="32"/>
      <c r="CJ216" s="32"/>
      <c r="CK216" s="32"/>
      <c r="CL216" s="32"/>
      <c r="CM216" s="32"/>
      <c r="CN216" s="32"/>
      <c r="CO216" s="32"/>
      <c r="CP216" s="32"/>
      <c r="CQ216" s="32"/>
      <c r="CR216" s="32"/>
      <c r="CS216" s="32"/>
      <c r="CT216" s="32"/>
      <c r="CU216" s="32"/>
      <c r="CV216" s="32"/>
      <c r="CW216" s="32"/>
      <c r="CX216" s="32"/>
      <c r="CY216" s="32"/>
    </row>
    <row r="217" spans="1:103" s="31" customFormat="1" ht="12" customHeight="1" x14ac:dyDescent="0.25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2"/>
      <c r="BQ217" s="32"/>
      <c r="BR217" s="32"/>
      <c r="BS217" s="32"/>
      <c r="BT217" s="32"/>
      <c r="BU217" s="32"/>
      <c r="BV217" s="32"/>
      <c r="BW217" s="32"/>
      <c r="BX217" s="32"/>
      <c r="BY217" s="32"/>
      <c r="BZ217" s="32"/>
      <c r="CA217" s="32"/>
      <c r="CB217" s="32"/>
      <c r="CC217" s="32"/>
      <c r="CD217" s="32"/>
      <c r="CE217" s="32"/>
      <c r="CF217" s="32"/>
      <c r="CG217" s="32"/>
      <c r="CH217" s="32"/>
      <c r="CI217" s="32"/>
      <c r="CJ217" s="32"/>
      <c r="CK217" s="32"/>
      <c r="CL217" s="32"/>
      <c r="CM217" s="32"/>
      <c r="CN217" s="32"/>
      <c r="CO217" s="32"/>
      <c r="CP217" s="32"/>
      <c r="CQ217" s="32"/>
      <c r="CR217" s="32"/>
      <c r="CS217" s="32"/>
      <c r="CT217" s="32"/>
      <c r="CU217" s="32"/>
      <c r="CV217" s="32"/>
      <c r="CW217" s="32"/>
      <c r="CX217" s="32"/>
      <c r="CY217" s="32"/>
    </row>
    <row r="218" spans="1:103" s="31" customFormat="1" ht="12" customHeight="1" x14ac:dyDescent="0.25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  <c r="BQ218" s="32"/>
      <c r="BR218" s="32"/>
      <c r="BS218" s="32"/>
      <c r="BT218" s="32"/>
      <c r="BU218" s="32"/>
      <c r="BV218" s="32"/>
      <c r="BW218" s="32"/>
      <c r="BX218" s="32"/>
      <c r="BY218" s="32"/>
      <c r="BZ218" s="32"/>
      <c r="CA218" s="32"/>
      <c r="CB218" s="32"/>
      <c r="CC218" s="32"/>
      <c r="CD218" s="32"/>
      <c r="CE218" s="32"/>
      <c r="CF218" s="32"/>
      <c r="CG218" s="32"/>
      <c r="CH218" s="32"/>
      <c r="CI218" s="32"/>
      <c r="CJ218" s="32"/>
      <c r="CK218" s="32"/>
      <c r="CL218" s="32"/>
      <c r="CM218" s="32"/>
      <c r="CN218" s="32"/>
      <c r="CO218" s="32"/>
      <c r="CP218" s="32"/>
      <c r="CQ218" s="32"/>
      <c r="CR218" s="32"/>
      <c r="CS218" s="32"/>
      <c r="CT218" s="32"/>
      <c r="CU218" s="32"/>
      <c r="CV218" s="32"/>
      <c r="CW218" s="32"/>
      <c r="CX218" s="32"/>
      <c r="CY218" s="32"/>
    </row>
    <row r="219" spans="1:103" s="31" customFormat="1" ht="12" customHeight="1" x14ac:dyDescent="0.25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  <c r="BT219" s="32"/>
      <c r="BU219" s="32"/>
      <c r="BV219" s="32"/>
      <c r="BW219" s="32"/>
      <c r="BX219" s="32"/>
      <c r="BY219" s="32"/>
      <c r="BZ219" s="32"/>
      <c r="CA219" s="32"/>
      <c r="CB219" s="32"/>
      <c r="CC219" s="32"/>
      <c r="CD219" s="32"/>
      <c r="CE219" s="32"/>
      <c r="CF219" s="32"/>
      <c r="CG219" s="32"/>
      <c r="CH219" s="32"/>
      <c r="CI219" s="32"/>
      <c r="CJ219" s="32"/>
      <c r="CK219" s="32"/>
      <c r="CL219" s="32"/>
      <c r="CM219" s="32"/>
      <c r="CN219" s="32"/>
      <c r="CO219" s="32"/>
      <c r="CP219" s="32"/>
      <c r="CQ219" s="32"/>
      <c r="CR219" s="32"/>
      <c r="CS219" s="32"/>
      <c r="CT219" s="32"/>
      <c r="CU219" s="32"/>
      <c r="CV219" s="32"/>
      <c r="CW219" s="32"/>
      <c r="CX219" s="32"/>
      <c r="CY219" s="32"/>
    </row>
    <row r="220" spans="1:103" s="31" customFormat="1" ht="12" customHeight="1" x14ac:dyDescent="0.25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  <c r="BT220" s="32"/>
      <c r="BU220" s="32"/>
      <c r="BV220" s="32"/>
      <c r="BW220" s="32"/>
      <c r="BX220" s="32"/>
      <c r="BY220" s="32"/>
      <c r="BZ220" s="32"/>
      <c r="CA220" s="32"/>
      <c r="CB220" s="32"/>
      <c r="CC220" s="32"/>
      <c r="CD220" s="32"/>
      <c r="CE220" s="32"/>
      <c r="CF220" s="32"/>
      <c r="CG220" s="32"/>
      <c r="CH220" s="32"/>
      <c r="CI220" s="32"/>
      <c r="CJ220" s="32"/>
      <c r="CK220" s="32"/>
      <c r="CL220" s="32"/>
      <c r="CM220" s="32"/>
      <c r="CN220" s="32"/>
      <c r="CO220" s="32"/>
      <c r="CP220" s="32"/>
      <c r="CQ220" s="32"/>
      <c r="CR220" s="32"/>
      <c r="CS220" s="32"/>
      <c r="CT220" s="32"/>
      <c r="CU220" s="32"/>
      <c r="CV220" s="32"/>
      <c r="CW220" s="32"/>
      <c r="CX220" s="32"/>
      <c r="CY220" s="32"/>
    </row>
    <row r="221" spans="1:103" s="31" customFormat="1" ht="12" customHeight="1" x14ac:dyDescent="0.25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  <c r="BY221" s="32"/>
      <c r="BZ221" s="32"/>
      <c r="CA221" s="32"/>
      <c r="CB221" s="32"/>
      <c r="CC221" s="32"/>
      <c r="CD221" s="32"/>
      <c r="CE221" s="32"/>
      <c r="CF221" s="32"/>
      <c r="CG221" s="32"/>
      <c r="CH221" s="32"/>
      <c r="CI221" s="32"/>
      <c r="CJ221" s="32"/>
      <c r="CK221" s="32"/>
      <c r="CL221" s="32"/>
      <c r="CM221" s="32"/>
      <c r="CN221" s="32"/>
      <c r="CO221" s="32"/>
      <c r="CP221" s="32"/>
      <c r="CQ221" s="32"/>
      <c r="CR221" s="32"/>
      <c r="CS221" s="32"/>
      <c r="CT221" s="32"/>
      <c r="CU221" s="32"/>
      <c r="CV221" s="32"/>
      <c r="CW221" s="32"/>
      <c r="CX221" s="32"/>
      <c r="CY221" s="32"/>
    </row>
    <row r="222" spans="1:103" s="31" customFormat="1" ht="12" customHeight="1" x14ac:dyDescent="0.25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32"/>
      <c r="BU222" s="32"/>
      <c r="BV222" s="32"/>
      <c r="BW222" s="32"/>
      <c r="BX222" s="32"/>
      <c r="BY222" s="32"/>
      <c r="BZ222" s="32"/>
      <c r="CA222" s="32"/>
      <c r="CB222" s="32"/>
      <c r="CC222" s="32"/>
      <c r="CD222" s="32"/>
      <c r="CE222" s="32"/>
      <c r="CF222" s="32"/>
      <c r="CG222" s="32"/>
      <c r="CH222" s="32"/>
      <c r="CI222" s="32"/>
      <c r="CJ222" s="32"/>
      <c r="CK222" s="32"/>
      <c r="CL222" s="32"/>
      <c r="CM222" s="32"/>
      <c r="CN222" s="32"/>
      <c r="CO222" s="32"/>
      <c r="CP222" s="32"/>
      <c r="CQ222" s="32"/>
      <c r="CR222" s="32"/>
      <c r="CS222" s="32"/>
      <c r="CT222" s="32"/>
      <c r="CU222" s="32"/>
      <c r="CV222" s="32"/>
      <c r="CW222" s="32"/>
      <c r="CX222" s="32"/>
      <c r="CY222" s="32"/>
    </row>
    <row r="223" spans="1:103" s="31" customFormat="1" ht="12" customHeight="1" x14ac:dyDescent="0.25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  <c r="BY223" s="32"/>
      <c r="BZ223" s="32"/>
      <c r="CA223" s="32"/>
      <c r="CB223" s="32"/>
      <c r="CC223" s="32"/>
      <c r="CD223" s="32"/>
      <c r="CE223" s="32"/>
      <c r="CF223" s="32"/>
      <c r="CG223" s="32"/>
      <c r="CH223" s="32"/>
      <c r="CI223" s="32"/>
      <c r="CJ223" s="32"/>
      <c r="CK223" s="32"/>
      <c r="CL223" s="32"/>
      <c r="CM223" s="32"/>
      <c r="CN223" s="32"/>
      <c r="CO223" s="32"/>
      <c r="CP223" s="32"/>
      <c r="CQ223" s="32"/>
      <c r="CR223" s="32"/>
      <c r="CS223" s="32"/>
      <c r="CT223" s="32"/>
      <c r="CU223" s="32"/>
      <c r="CV223" s="32"/>
      <c r="CW223" s="32"/>
      <c r="CX223" s="32"/>
      <c r="CY223" s="32"/>
    </row>
    <row r="224" spans="1:103" s="31" customFormat="1" ht="12" customHeight="1" x14ac:dyDescent="0.25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  <c r="BQ224" s="32"/>
      <c r="BR224" s="32"/>
      <c r="BS224" s="32"/>
      <c r="BT224" s="32"/>
      <c r="BU224" s="32"/>
      <c r="BV224" s="32"/>
      <c r="BW224" s="32"/>
      <c r="BX224" s="32"/>
      <c r="BY224" s="32"/>
      <c r="BZ224" s="32"/>
      <c r="CA224" s="32"/>
      <c r="CB224" s="32"/>
      <c r="CC224" s="32"/>
      <c r="CD224" s="32"/>
      <c r="CE224" s="32"/>
      <c r="CF224" s="32"/>
      <c r="CG224" s="32"/>
      <c r="CH224" s="32"/>
      <c r="CI224" s="32"/>
      <c r="CJ224" s="32"/>
      <c r="CK224" s="32"/>
      <c r="CL224" s="32"/>
      <c r="CM224" s="32"/>
      <c r="CN224" s="32"/>
      <c r="CO224" s="32"/>
      <c r="CP224" s="32"/>
      <c r="CQ224" s="32"/>
      <c r="CR224" s="32"/>
      <c r="CS224" s="32"/>
      <c r="CT224" s="32"/>
      <c r="CU224" s="32"/>
      <c r="CV224" s="32"/>
      <c r="CW224" s="32"/>
      <c r="CX224" s="32"/>
      <c r="CY224" s="32"/>
    </row>
    <row r="225" spans="1:103" s="31" customFormat="1" ht="12" customHeight="1" x14ac:dyDescent="0.25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  <c r="BT225" s="32"/>
      <c r="BU225" s="32"/>
      <c r="BV225" s="32"/>
      <c r="BW225" s="32"/>
      <c r="BX225" s="32"/>
      <c r="BY225" s="32"/>
      <c r="BZ225" s="32"/>
      <c r="CA225" s="32"/>
      <c r="CB225" s="32"/>
      <c r="CC225" s="32"/>
      <c r="CD225" s="32"/>
      <c r="CE225" s="32"/>
      <c r="CF225" s="32"/>
      <c r="CG225" s="32"/>
      <c r="CH225" s="32"/>
      <c r="CI225" s="32"/>
      <c r="CJ225" s="32"/>
      <c r="CK225" s="32"/>
      <c r="CL225" s="32"/>
      <c r="CM225" s="32"/>
      <c r="CN225" s="32"/>
      <c r="CO225" s="32"/>
      <c r="CP225" s="32"/>
      <c r="CQ225" s="32"/>
      <c r="CR225" s="32"/>
      <c r="CS225" s="32"/>
      <c r="CT225" s="32"/>
      <c r="CU225" s="32"/>
      <c r="CV225" s="32"/>
      <c r="CW225" s="32"/>
      <c r="CX225" s="32"/>
      <c r="CY225" s="32"/>
    </row>
    <row r="226" spans="1:103" s="31" customFormat="1" ht="12" customHeight="1" x14ac:dyDescent="0.25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  <c r="BT226" s="32"/>
      <c r="BU226" s="32"/>
      <c r="BV226" s="32"/>
      <c r="BW226" s="32"/>
      <c r="BX226" s="32"/>
      <c r="BY226" s="32"/>
      <c r="BZ226" s="32"/>
      <c r="CA226" s="32"/>
      <c r="CB226" s="32"/>
      <c r="CC226" s="32"/>
      <c r="CD226" s="32"/>
      <c r="CE226" s="32"/>
      <c r="CF226" s="32"/>
      <c r="CG226" s="32"/>
      <c r="CH226" s="32"/>
      <c r="CI226" s="32"/>
      <c r="CJ226" s="32"/>
      <c r="CK226" s="32"/>
      <c r="CL226" s="32"/>
      <c r="CM226" s="32"/>
      <c r="CN226" s="32"/>
      <c r="CO226" s="32"/>
      <c r="CP226" s="32"/>
      <c r="CQ226" s="32"/>
      <c r="CR226" s="32"/>
      <c r="CS226" s="32"/>
      <c r="CT226" s="32"/>
      <c r="CU226" s="32"/>
      <c r="CV226" s="32"/>
      <c r="CW226" s="32"/>
      <c r="CX226" s="32"/>
      <c r="CY226" s="32"/>
    </row>
    <row r="227" spans="1:103" s="31" customFormat="1" ht="12" customHeight="1" x14ac:dyDescent="0.25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  <c r="BT227" s="32"/>
      <c r="BU227" s="32"/>
      <c r="BV227" s="32"/>
      <c r="BW227" s="32"/>
      <c r="BX227" s="32"/>
      <c r="BY227" s="32"/>
      <c r="BZ227" s="32"/>
      <c r="CA227" s="32"/>
      <c r="CB227" s="32"/>
      <c r="CC227" s="32"/>
      <c r="CD227" s="32"/>
      <c r="CE227" s="32"/>
      <c r="CF227" s="32"/>
      <c r="CG227" s="32"/>
      <c r="CH227" s="32"/>
      <c r="CI227" s="32"/>
      <c r="CJ227" s="32"/>
      <c r="CK227" s="32"/>
      <c r="CL227" s="32"/>
      <c r="CM227" s="32"/>
      <c r="CN227" s="32"/>
      <c r="CO227" s="32"/>
      <c r="CP227" s="32"/>
      <c r="CQ227" s="32"/>
      <c r="CR227" s="32"/>
      <c r="CS227" s="32"/>
      <c r="CT227" s="32"/>
      <c r="CU227" s="32"/>
      <c r="CV227" s="32"/>
      <c r="CW227" s="32"/>
      <c r="CX227" s="32"/>
      <c r="CY227" s="32"/>
    </row>
    <row r="228" spans="1:103" s="31" customFormat="1" ht="12" customHeight="1" x14ac:dyDescent="0.25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  <c r="BQ228" s="32"/>
      <c r="BR228" s="32"/>
      <c r="BS228" s="32"/>
      <c r="BT228" s="32"/>
      <c r="BU228" s="32"/>
      <c r="BV228" s="32"/>
      <c r="BW228" s="32"/>
      <c r="BX228" s="32"/>
      <c r="BY228" s="32"/>
      <c r="BZ228" s="32"/>
      <c r="CA228" s="32"/>
      <c r="CB228" s="32"/>
      <c r="CC228" s="32"/>
      <c r="CD228" s="32"/>
      <c r="CE228" s="32"/>
      <c r="CF228" s="32"/>
      <c r="CG228" s="32"/>
      <c r="CH228" s="32"/>
      <c r="CI228" s="32"/>
      <c r="CJ228" s="32"/>
      <c r="CK228" s="32"/>
      <c r="CL228" s="32"/>
      <c r="CM228" s="32"/>
      <c r="CN228" s="32"/>
      <c r="CO228" s="32"/>
      <c r="CP228" s="32"/>
      <c r="CQ228" s="32"/>
      <c r="CR228" s="32"/>
      <c r="CS228" s="32"/>
      <c r="CT228" s="32"/>
      <c r="CU228" s="32"/>
      <c r="CV228" s="32"/>
      <c r="CW228" s="32"/>
      <c r="CX228" s="32"/>
      <c r="CY228" s="32"/>
    </row>
    <row r="229" spans="1:103" s="31" customFormat="1" ht="12" customHeight="1" x14ac:dyDescent="0.25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  <c r="BY229" s="32"/>
      <c r="BZ229" s="32"/>
      <c r="CA229" s="32"/>
      <c r="CB229" s="32"/>
      <c r="CC229" s="32"/>
      <c r="CD229" s="32"/>
      <c r="CE229" s="32"/>
      <c r="CF229" s="32"/>
      <c r="CG229" s="32"/>
      <c r="CH229" s="32"/>
      <c r="CI229" s="32"/>
      <c r="CJ229" s="32"/>
      <c r="CK229" s="32"/>
      <c r="CL229" s="32"/>
      <c r="CM229" s="32"/>
      <c r="CN229" s="32"/>
      <c r="CO229" s="32"/>
      <c r="CP229" s="32"/>
      <c r="CQ229" s="32"/>
      <c r="CR229" s="32"/>
      <c r="CS229" s="32"/>
      <c r="CT229" s="32"/>
      <c r="CU229" s="32"/>
      <c r="CV229" s="32"/>
      <c r="CW229" s="32"/>
      <c r="CX229" s="32"/>
      <c r="CY229" s="32"/>
    </row>
    <row r="230" spans="1:103" s="31" customFormat="1" ht="12" customHeight="1" x14ac:dyDescent="0.25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  <c r="BT230" s="32"/>
      <c r="BU230" s="32"/>
      <c r="BV230" s="32"/>
      <c r="BW230" s="32"/>
      <c r="BX230" s="32"/>
      <c r="BY230" s="32"/>
      <c r="BZ230" s="32"/>
      <c r="CA230" s="32"/>
      <c r="CB230" s="32"/>
      <c r="CC230" s="32"/>
      <c r="CD230" s="32"/>
      <c r="CE230" s="32"/>
      <c r="CF230" s="32"/>
      <c r="CG230" s="32"/>
      <c r="CH230" s="32"/>
      <c r="CI230" s="32"/>
      <c r="CJ230" s="32"/>
      <c r="CK230" s="32"/>
      <c r="CL230" s="32"/>
      <c r="CM230" s="32"/>
      <c r="CN230" s="32"/>
      <c r="CO230" s="32"/>
      <c r="CP230" s="32"/>
      <c r="CQ230" s="32"/>
      <c r="CR230" s="32"/>
      <c r="CS230" s="32"/>
      <c r="CT230" s="32"/>
      <c r="CU230" s="32"/>
      <c r="CV230" s="32"/>
      <c r="CW230" s="32"/>
      <c r="CX230" s="32"/>
      <c r="CY230" s="32"/>
    </row>
    <row r="231" spans="1:103" s="31" customFormat="1" ht="12" customHeight="1" x14ac:dyDescent="0.25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2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32"/>
      <c r="BI231" s="32"/>
      <c r="BJ231" s="32"/>
      <c r="BK231" s="32"/>
      <c r="BL231" s="32"/>
      <c r="BM231" s="32"/>
      <c r="BN231" s="32"/>
      <c r="BO231" s="32"/>
      <c r="BP231" s="32"/>
      <c r="BQ231" s="32"/>
      <c r="BR231" s="32"/>
      <c r="BS231" s="32"/>
      <c r="BT231" s="32"/>
      <c r="BU231" s="32"/>
      <c r="BV231" s="32"/>
      <c r="BW231" s="32"/>
      <c r="BX231" s="32"/>
      <c r="BY231" s="32"/>
      <c r="BZ231" s="32"/>
      <c r="CA231" s="32"/>
      <c r="CB231" s="32"/>
      <c r="CC231" s="32"/>
      <c r="CD231" s="32"/>
      <c r="CE231" s="32"/>
      <c r="CF231" s="32"/>
      <c r="CG231" s="32"/>
      <c r="CH231" s="32"/>
      <c r="CI231" s="32"/>
      <c r="CJ231" s="32"/>
      <c r="CK231" s="32"/>
      <c r="CL231" s="32"/>
      <c r="CM231" s="32"/>
      <c r="CN231" s="32"/>
      <c r="CO231" s="32"/>
      <c r="CP231" s="32"/>
      <c r="CQ231" s="32"/>
      <c r="CR231" s="32"/>
      <c r="CS231" s="32"/>
      <c r="CT231" s="32"/>
      <c r="CU231" s="32"/>
      <c r="CV231" s="32"/>
      <c r="CW231" s="32"/>
      <c r="CX231" s="32"/>
      <c r="CY231" s="32"/>
    </row>
    <row r="232" spans="1:103" s="31" customFormat="1" ht="12" customHeight="1" x14ac:dyDescent="0.25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  <c r="BQ232" s="32"/>
      <c r="BR232" s="32"/>
      <c r="BS232" s="32"/>
      <c r="BT232" s="32"/>
      <c r="BU232" s="32"/>
      <c r="BV232" s="32"/>
      <c r="BW232" s="32"/>
      <c r="BX232" s="32"/>
      <c r="BY232" s="32"/>
      <c r="BZ232" s="32"/>
      <c r="CA232" s="32"/>
      <c r="CB232" s="32"/>
      <c r="CC232" s="32"/>
      <c r="CD232" s="32"/>
      <c r="CE232" s="32"/>
      <c r="CF232" s="32"/>
      <c r="CG232" s="32"/>
      <c r="CH232" s="32"/>
      <c r="CI232" s="32"/>
      <c r="CJ232" s="32"/>
      <c r="CK232" s="32"/>
      <c r="CL232" s="32"/>
      <c r="CM232" s="32"/>
      <c r="CN232" s="32"/>
      <c r="CO232" s="32"/>
      <c r="CP232" s="32"/>
      <c r="CQ232" s="32"/>
      <c r="CR232" s="32"/>
      <c r="CS232" s="32"/>
      <c r="CT232" s="32"/>
      <c r="CU232" s="32"/>
      <c r="CV232" s="32"/>
      <c r="CW232" s="32"/>
      <c r="CX232" s="32"/>
      <c r="CY232" s="32"/>
    </row>
    <row r="233" spans="1:103" s="31" customFormat="1" ht="12" customHeight="1" x14ac:dyDescent="0.25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2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32"/>
      <c r="BI233" s="32"/>
      <c r="BJ233" s="32"/>
      <c r="BK233" s="32"/>
      <c r="BL233" s="32"/>
      <c r="BM233" s="32"/>
      <c r="BN233" s="32"/>
      <c r="BO233" s="32"/>
      <c r="BP233" s="32"/>
      <c r="BQ233" s="32"/>
      <c r="BR233" s="32"/>
      <c r="BS233" s="32"/>
      <c r="BT233" s="32"/>
      <c r="BU233" s="32"/>
      <c r="BV233" s="32"/>
      <c r="BW233" s="32"/>
      <c r="BX233" s="32"/>
      <c r="BY233" s="32"/>
      <c r="BZ233" s="32"/>
      <c r="CA233" s="32"/>
      <c r="CB233" s="32"/>
      <c r="CC233" s="32"/>
      <c r="CD233" s="32"/>
      <c r="CE233" s="32"/>
      <c r="CF233" s="32"/>
      <c r="CG233" s="32"/>
      <c r="CH233" s="32"/>
      <c r="CI233" s="32"/>
      <c r="CJ233" s="32"/>
      <c r="CK233" s="32"/>
      <c r="CL233" s="32"/>
      <c r="CM233" s="32"/>
      <c r="CN233" s="32"/>
      <c r="CO233" s="32"/>
      <c r="CP233" s="32"/>
      <c r="CQ233" s="32"/>
      <c r="CR233" s="32"/>
      <c r="CS233" s="32"/>
      <c r="CT233" s="32"/>
      <c r="CU233" s="32"/>
      <c r="CV233" s="32"/>
      <c r="CW233" s="32"/>
      <c r="CX233" s="32"/>
      <c r="CY233" s="32"/>
    </row>
    <row r="234" spans="1:103" s="31" customFormat="1" ht="12" customHeight="1" x14ac:dyDescent="0.25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2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32"/>
      <c r="BI234" s="32"/>
      <c r="BJ234" s="32"/>
      <c r="BK234" s="32"/>
      <c r="BL234" s="32"/>
      <c r="BM234" s="32"/>
      <c r="BN234" s="32"/>
      <c r="BO234" s="32"/>
      <c r="BP234" s="32"/>
      <c r="BQ234" s="32"/>
      <c r="BR234" s="32"/>
      <c r="BS234" s="32"/>
      <c r="BT234" s="32"/>
      <c r="BU234" s="32"/>
      <c r="BV234" s="32"/>
      <c r="BW234" s="32"/>
      <c r="BX234" s="32"/>
      <c r="BY234" s="32"/>
      <c r="BZ234" s="32"/>
      <c r="CA234" s="32"/>
      <c r="CB234" s="32"/>
      <c r="CC234" s="32"/>
      <c r="CD234" s="32"/>
      <c r="CE234" s="32"/>
      <c r="CF234" s="32"/>
      <c r="CG234" s="32"/>
      <c r="CH234" s="32"/>
      <c r="CI234" s="32"/>
      <c r="CJ234" s="32"/>
      <c r="CK234" s="32"/>
      <c r="CL234" s="32"/>
      <c r="CM234" s="32"/>
      <c r="CN234" s="32"/>
      <c r="CO234" s="32"/>
      <c r="CP234" s="32"/>
      <c r="CQ234" s="32"/>
      <c r="CR234" s="32"/>
      <c r="CS234" s="32"/>
      <c r="CT234" s="32"/>
      <c r="CU234" s="32"/>
      <c r="CV234" s="32"/>
      <c r="CW234" s="32"/>
      <c r="CX234" s="32"/>
      <c r="CY234" s="32"/>
    </row>
    <row r="235" spans="1:103" s="31" customFormat="1" ht="12" customHeight="1" x14ac:dyDescent="0.25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32"/>
      <c r="BU235" s="32"/>
      <c r="BV235" s="32"/>
      <c r="BW235" s="32"/>
      <c r="BX235" s="32"/>
      <c r="BY235" s="32"/>
      <c r="BZ235" s="32"/>
      <c r="CA235" s="32"/>
      <c r="CB235" s="32"/>
      <c r="CC235" s="32"/>
      <c r="CD235" s="32"/>
      <c r="CE235" s="32"/>
      <c r="CF235" s="32"/>
      <c r="CG235" s="32"/>
      <c r="CH235" s="32"/>
      <c r="CI235" s="32"/>
      <c r="CJ235" s="32"/>
      <c r="CK235" s="32"/>
      <c r="CL235" s="32"/>
      <c r="CM235" s="32"/>
      <c r="CN235" s="32"/>
      <c r="CO235" s="32"/>
      <c r="CP235" s="32"/>
      <c r="CQ235" s="32"/>
      <c r="CR235" s="32"/>
      <c r="CS235" s="32"/>
      <c r="CT235" s="32"/>
      <c r="CU235" s="32"/>
      <c r="CV235" s="32"/>
      <c r="CW235" s="32"/>
      <c r="CX235" s="32"/>
      <c r="CY235" s="32"/>
    </row>
    <row r="236" spans="1:103" ht="12" customHeight="1" x14ac:dyDescent="0.25"/>
    <row r="237" spans="1:103" ht="12" customHeight="1" x14ac:dyDescent="0.25"/>
    <row r="238" spans="1:103" ht="12" customHeight="1" x14ac:dyDescent="0.25"/>
    <row r="239" spans="1:103" ht="12" customHeight="1" x14ac:dyDescent="0.25"/>
  </sheetData>
  <dataConsolidate/>
  <mergeCells count="7">
    <mergeCell ref="B21:D21"/>
    <mergeCell ref="B36:D36"/>
    <mergeCell ref="P5:AA5"/>
    <mergeCell ref="B5:D5"/>
    <mergeCell ref="F5:I5"/>
    <mergeCell ref="K5:N5"/>
    <mergeCell ref="K33:N33"/>
  </mergeCells>
  <phoneticPr fontId="9" type="noConversion"/>
  <conditionalFormatting sqref="B31:B33">
    <cfRule type="expression" dxfId="260" priority="33">
      <formula>IF($D$29="No","TRUE","FALSE")</formula>
    </cfRule>
  </conditionalFormatting>
  <conditionalFormatting sqref="B34">
    <cfRule type="expression" dxfId="259" priority="34">
      <formula>IF($D$29="No","TRUE","FALSE")</formula>
    </cfRule>
  </conditionalFormatting>
  <conditionalFormatting sqref="C33">
    <cfRule type="expression" dxfId="258" priority="30">
      <formula>IF($D$29="No","TRUE","FALSE")</formula>
    </cfRule>
  </conditionalFormatting>
  <conditionalFormatting sqref="C33:D33">
    <cfRule type="expression" dxfId="257" priority="29">
      <formula>IF($D$31&gt;$D$33,"TRUE","FALSE")</formula>
    </cfRule>
  </conditionalFormatting>
  <conditionalFormatting sqref="C45:D46">
    <cfRule type="expression" dxfId="256" priority="1">
      <formula>IF($B$45&lt;&gt;"Fixed Timing","TRUE","FALSE")</formula>
    </cfRule>
  </conditionalFormatting>
  <conditionalFormatting sqref="D31">
    <cfRule type="expression" dxfId="255" priority="28">
      <formula>IF($D$29="No","TRUE","FALSE")</formula>
    </cfRule>
  </conditionalFormatting>
  <conditionalFormatting sqref="D32:D33">
    <cfRule type="expression" dxfId="254" priority="32">
      <formula>IF($D$29="No","TRUE","FALSE")</formula>
    </cfRule>
  </conditionalFormatting>
  <conditionalFormatting sqref="D34">
    <cfRule type="expression" dxfId="253" priority="31">
      <formula>IF($D$29="No","TRUE","FALSE")</formula>
    </cfRule>
  </conditionalFormatting>
  <conditionalFormatting sqref="H8 H11:H16 H19:H22">
    <cfRule type="expression" dxfId="252" priority="19">
      <formula>IF($G8="N/A","TRUE","FALSE")</formula>
    </cfRule>
  </conditionalFormatting>
  <conditionalFormatting sqref="H8">
    <cfRule type="expression" dxfId="251" priority="14">
      <formula>IF($G$8="$/NSF","TRUE","FALSE")</formula>
    </cfRule>
    <cfRule type="expression" dxfId="250" priority="15">
      <formula>IF(OR($G$8="$/Unit/Annual",$G$8="$/Unit/Month",$G$8="Fixed Amount"),"TRUE","FALSE")</formula>
    </cfRule>
    <cfRule type="expression" dxfId="249" priority="16">
      <formula>IF($G$8="Unit Mix Tab","TRUE","FALSE")</formula>
    </cfRule>
  </conditionalFormatting>
  <conditionalFormatting sqref="H11:H16 H19:H22">
    <cfRule type="expression" dxfId="248" priority="17">
      <formula>IF($G11&lt;&gt;"N/A","TRUE","FALSE")</formula>
    </cfRule>
  </conditionalFormatting>
  <conditionalFormatting sqref="H25:H26">
    <cfRule type="expression" dxfId="247" priority="5">
      <formula>IF(OR($G25="%/Rent Revenue",$G25="%/Total Revenue"),"TRUE","FALSE")</formula>
    </cfRule>
    <cfRule type="expression" dxfId="246" priority="6">
      <formula>IF(OR($G25="Fixed Amount",$G25="$/Unit/Annual",$G25="$/Unit/Month"),"TRUE","FALSE")</formula>
    </cfRule>
    <cfRule type="expression" dxfId="245" priority="7">
      <formula>IF($G25="N/A","TRUE","FALSE")</formula>
    </cfRule>
  </conditionalFormatting>
  <conditionalFormatting sqref="M8:M19 M23:M27">
    <cfRule type="expression" dxfId="244" priority="11">
      <formula>IF(OR($L8="$/Unit/Annual",$L8="$/Unit/Month",$L8="Fixed Amount"),"TRUE","FALSE")</formula>
    </cfRule>
    <cfRule type="expression" dxfId="243" priority="12">
      <formula>IF($L8="N/A","TRUE","FALSE")</formula>
    </cfRule>
  </conditionalFormatting>
  <conditionalFormatting sqref="M8:M19 M24:M27">
    <cfRule type="expression" dxfId="242" priority="10">
      <formula>IF(OR($L8="$/GSF",$L8="$/NSF"),"TRUE","FALSE")</formula>
    </cfRule>
  </conditionalFormatting>
  <conditionalFormatting sqref="M23">
    <cfRule type="expression" dxfId="241" priority="8">
      <formula>IF(OR($L$23="% of Total Revenue",$L$23="%/EGI"),"TRUE","FALSE")</formula>
    </cfRule>
  </conditionalFormatting>
  <conditionalFormatting sqref="M24">
    <cfRule type="expression" dxfId="240" priority="9">
      <formula>IF($L$24="Tax Tab","TRUE","FALSE")</formula>
    </cfRule>
  </conditionalFormatting>
  <conditionalFormatting sqref="M36:M39">
    <cfRule type="expression" dxfId="239" priority="2">
      <formula>IF(OR($L36="$/GSF",$L36="$/NSF"),"TRUE","FALSE")</formula>
    </cfRule>
    <cfRule type="expression" dxfId="238" priority="3">
      <formula>IF(OR($L36="$/Unit/Annual",$L36="$/Unit/Month",$L36="Fixed Amount"),"TRUE","FALSE")</formula>
    </cfRule>
    <cfRule type="expression" dxfId="237" priority="4">
      <formula>IF($L36="N/A","TRUE","FALSE")</formula>
    </cfRule>
  </conditionalFormatting>
  <dataValidations count="10">
    <dataValidation type="list" allowBlank="1" showInputMessage="1" showErrorMessage="1" sqref="D29" xr:uid="{1DB160E7-E930-4B58-B8FA-3DF7D18A6787}">
      <formula1>"Yes, No"</formula1>
    </dataValidation>
    <dataValidation type="list" allowBlank="1" showInputMessage="1" showErrorMessage="1" sqref="G8" xr:uid="{21B1B234-0385-4178-B1B3-2D6C01284960}">
      <formula1>"Unit Mix Tab, $/Unit/Annual, $/Unit/Month, Fixed Amount, $/NSF, N/A"</formula1>
    </dataValidation>
    <dataValidation type="list" allowBlank="1" showInputMessage="1" showErrorMessage="1" sqref="L23" xr:uid="{8521C56F-885E-42E1-A050-E69135F6D11D}">
      <formula1>"% of Total Revenue, %/EGI, $/Unit/Annual, $/Unit/Month, Fixed Amount, N/A"</formula1>
    </dataValidation>
    <dataValidation type="list" allowBlank="1" showInputMessage="1" showErrorMessage="1" sqref="L24" xr:uid="{47F43730-03DA-4E80-A586-5F7E154D34E2}">
      <formula1>"Tax Tab,$/Unit/Annual, $/Unit/Month, Fixed Amount, $/GSF, $/NSF, N/A"</formula1>
    </dataValidation>
    <dataValidation type="list" allowBlank="1" showInputMessage="1" showErrorMessage="1" sqref="G6" xr:uid="{79179AA3-ED89-440B-AEDE-445380B3F66C}">
      <formula1>"Year 0, Year 1, Year 2, Year 3, Year 4, Year 5, Year 6, Year 7, Year 8, Year 9, Year 10, Year 11, Year 12"</formula1>
    </dataValidation>
    <dataValidation type="list" allowBlank="1" showInputMessage="1" showErrorMessage="1" sqref="G19:G22" xr:uid="{9A135F92-6E15-486A-A32C-750D677BFB64}">
      <formula1>"Fixed Amount, $/Unit/Month, $/Unit/Annual, N/A"</formula1>
    </dataValidation>
    <dataValidation type="list" allowBlank="1" showInputMessage="1" showErrorMessage="1" sqref="L25:L27 L8:L19 L36:L39" xr:uid="{8C16B79F-EFCF-4F84-AE70-6BBEB49D6487}">
      <formula1>"$/Unit/Annual, $/Unit/Month, Fixed Amount, $/GSF, $/NSF, N/A"</formula1>
    </dataValidation>
    <dataValidation type="list" allowBlank="1" showInputMessage="1" showErrorMessage="1" sqref="G11:G16" xr:uid="{89F08FDC-8694-4555-878C-29F6747676A2}">
      <formula1>"Fixed Amount, $/Unit/Month, $/Unit/Annual, $/Garage/Month, $/Pet/Month, $/Parking/Month, N/A"</formula1>
    </dataValidation>
    <dataValidation type="list" allowBlank="1" showInputMessage="1" showErrorMessage="1" sqref="G25:G26" xr:uid="{BD9D3808-4901-4BA7-A0B3-C884722FD97C}">
      <formula1>"Fixed Amount, %/Rent Revenue, %/Total Revenue, $/Unit/Annual, $/Unit/Month, N/A"</formula1>
    </dataValidation>
    <dataValidation type="list" allowBlank="1" showInputMessage="1" showErrorMessage="1" sqref="B45" xr:uid="{93861DBD-FC59-4C49-8599-789517F5B744}">
      <formula1>"Fixed Timing, Budget Timing"</formula1>
    </dataValidation>
  </dataValidations>
  <printOptions horizontalCentered="1" verticalCentered="1"/>
  <pageMargins left="0.25" right="0.25" top="0.75" bottom="0.75" header="0.3" footer="0.3"/>
  <pageSetup scale="1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4F29B-A279-40C5-A3F1-92D6D735B343}">
  <dimension ref="A1:BI242"/>
  <sheetViews>
    <sheetView zoomScale="130" zoomScaleNormal="130" workbookViewId="0">
      <selection activeCell="D18" sqref="D18"/>
    </sheetView>
  </sheetViews>
  <sheetFormatPr defaultRowHeight="15" x14ac:dyDescent="0.25"/>
  <cols>
    <col min="1" max="1" width="2.7109375" style="2" customWidth="1"/>
    <col min="2" max="2" width="18.85546875" style="9" customWidth="1"/>
    <col min="3" max="3" width="10.7109375" style="9" customWidth="1"/>
    <col min="4" max="4" width="18.7109375" style="9" customWidth="1"/>
    <col min="5" max="5" width="2.7109375" style="9" customWidth="1"/>
    <col min="6" max="6" width="25.7109375" style="9" customWidth="1"/>
    <col min="7" max="7" width="9.7109375" style="9" customWidth="1"/>
    <col min="8" max="8" width="15.7109375" style="9" customWidth="1"/>
    <col min="9" max="9" width="2.7109375" style="9" customWidth="1"/>
    <col min="10" max="10" width="23.7109375" style="9" customWidth="1"/>
    <col min="11" max="11" width="11.7109375" style="9" customWidth="1"/>
    <col min="12" max="12" width="15.7109375" style="9" customWidth="1"/>
    <col min="13" max="13" width="2.7109375" style="9" customWidth="1"/>
    <col min="14" max="14" width="25.7109375" style="9" customWidth="1"/>
    <col min="15" max="15" width="11.85546875" style="9" customWidth="1"/>
    <col min="16" max="16" width="15.28515625" style="9" customWidth="1"/>
    <col min="17" max="17" width="2.7109375" style="9" customWidth="1"/>
    <col min="18" max="18" width="25.7109375" style="9" customWidth="1"/>
    <col min="19" max="19" width="11.85546875" style="9" customWidth="1"/>
    <col min="20" max="20" width="13.7109375" style="9" customWidth="1"/>
    <col min="21" max="21" width="2.7109375" style="9" customWidth="1"/>
    <col min="22" max="22" width="25.7109375" style="9" customWidth="1"/>
    <col min="23" max="23" width="11.7109375" style="9" customWidth="1"/>
    <col min="24" max="24" width="13.7109375" style="9" customWidth="1"/>
    <col min="25" max="28" width="9.140625" style="9"/>
    <col min="29" max="61" width="9.140625" style="2"/>
  </cols>
  <sheetData>
    <row r="1" spans="1:61" ht="12.75" customHeight="1" x14ac:dyDescent="0.25"/>
    <row r="2" spans="1:61" s="31" customFormat="1" ht="22.5" customHeight="1" x14ac:dyDescent="0.3">
      <c r="A2" s="32"/>
      <c r="B2" s="479" t="str">
        <f>'Operating Assumptions'!D6</f>
        <v>Channahon</v>
      </c>
      <c r="C2" s="148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</row>
    <row r="3" spans="1:61" s="31" customFormat="1" ht="18" customHeight="1" x14ac:dyDescent="0.3">
      <c r="A3" s="32"/>
      <c r="B3" s="479" t="str">
        <f>'Operating Assumptions'!D7</f>
        <v>Channahon, IL</v>
      </c>
      <c r="C3" s="88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</row>
    <row r="4" spans="1:61" s="31" customFormat="1" ht="12.75" customHeight="1" x14ac:dyDescent="0.25">
      <c r="A4" s="32"/>
      <c r="B4" s="32"/>
      <c r="C4" s="32"/>
      <c r="D4" s="32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</row>
    <row r="5" spans="1:61" s="31" customFormat="1" ht="12.75" customHeight="1" x14ac:dyDescent="0.25">
      <c r="A5" s="32"/>
      <c r="B5" s="34"/>
      <c r="C5" s="34"/>
      <c r="D5" s="34"/>
      <c r="E5" s="34"/>
      <c r="F5" s="34"/>
      <c r="G5" s="34"/>
      <c r="H5" s="34"/>
      <c r="I5" s="34"/>
      <c r="J5" s="32"/>
      <c r="K5" s="32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</row>
    <row r="6" spans="1:61" s="89" customFormat="1" ht="12.75" customHeight="1" x14ac:dyDescent="0.25">
      <c r="A6" s="74"/>
      <c r="B6" s="1513" t="s">
        <v>156</v>
      </c>
      <c r="C6" s="1513"/>
      <c r="D6" s="1513"/>
      <c r="E6" s="43"/>
      <c r="F6" s="1512" t="s">
        <v>121</v>
      </c>
      <c r="G6" s="1513"/>
      <c r="H6" s="1514"/>
      <c r="I6" s="34"/>
      <c r="J6" s="1512" t="s">
        <v>157</v>
      </c>
      <c r="K6" s="1513"/>
      <c r="L6" s="1514"/>
      <c r="M6" s="34"/>
      <c r="N6" s="1512" t="str">
        <f>IF($P$8="No","Debt Assumptions",N8&amp;" Assumptions")</f>
        <v>Debt Assumptions</v>
      </c>
      <c r="O6" s="1513"/>
      <c r="P6" s="1514"/>
      <c r="Q6" s="34"/>
      <c r="R6" s="1512" t="str">
        <f>IF($T$8="No","Debt Assumptions",$R$8&amp;" Assumptions")</f>
        <v>Debt Assumptions</v>
      </c>
      <c r="S6" s="1513"/>
      <c r="T6" s="1514"/>
      <c r="U6" s="34"/>
      <c r="V6" s="1512" t="str">
        <f>IF($X$8="No","Debt Assumptions",$V$8&amp;" Assumptions")</f>
        <v>Debt Assumptions</v>
      </c>
      <c r="W6" s="1513"/>
      <c r="X6" s="151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</row>
    <row r="7" spans="1:61" s="89" customFormat="1" ht="12.75" customHeight="1" x14ac:dyDescent="0.25">
      <c r="A7" s="74"/>
      <c r="B7" s="113"/>
      <c r="C7" s="113"/>
      <c r="D7" s="809" t="s">
        <v>491</v>
      </c>
      <c r="E7" s="43"/>
      <c r="F7" s="1522" t="s">
        <v>444</v>
      </c>
      <c r="G7" s="1523"/>
      <c r="H7" s="1524"/>
      <c r="I7" s="34"/>
      <c r="J7" s="114"/>
      <c r="K7" s="113"/>
      <c r="L7" s="129" t="s">
        <v>203</v>
      </c>
      <c r="M7" s="34"/>
      <c r="N7" s="1522" t="s">
        <v>444</v>
      </c>
      <c r="O7" s="1523"/>
      <c r="P7" s="1524"/>
      <c r="Q7" s="34"/>
      <c r="R7" s="1522" t="s">
        <v>444</v>
      </c>
      <c r="S7" s="1523"/>
      <c r="T7" s="1524"/>
      <c r="U7" s="34"/>
      <c r="V7" s="1522" t="s">
        <v>444</v>
      </c>
      <c r="W7" s="1523"/>
      <c r="X7" s="152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</row>
    <row r="8" spans="1:61" s="89" customFormat="1" ht="12.75" customHeight="1" x14ac:dyDescent="0.25">
      <c r="A8" s="74"/>
      <c r="B8" s="36" t="s">
        <v>175</v>
      </c>
      <c r="C8" s="34"/>
      <c r="D8" s="134"/>
      <c r="E8" s="43"/>
      <c r="F8" s="43" t="s">
        <v>159</v>
      </c>
      <c r="G8" s="34"/>
      <c r="H8" s="1227">
        <v>46485000</v>
      </c>
      <c r="I8" s="34"/>
      <c r="J8" s="86" t="s">
        <v>168</v>
      </c>
      <c r="K8" s="34"/>
      <c r="L8" s="569">
        <f>IF(J8="Remaining Balance AC",L21,IF(J8="Fixed Amount","",IF(AND(J8="Remaining Balance",$D$7="Gross Financing",$P$8="Yes",$T$8="Yes",$X$8="Yes"),'Construction Budget'!G116-(H8+P9+T9+X11),IF(AND(J8="Remaining Balance",$D$7="Gross Financing",$P$8="Yes",$T$8="Yes",$X$8="No"),'Construction Budget'!G116-(H8+P9+T9),IF(AND(J8="Remaining Balance",$D$7="Gross Financing",$P$8="Yes",$T$8="No",$X$8="No"),'Construction Budget'!G116-(H8+P9),IF(AND(J8="Remaining Balance",$D$7="Gross Financing",$P$8="Yes",$T$8="No",$X$8="Yes"),'Construction Budget'!G116-(H8+P9+X11),IF(AND(J8="Remaining Balance",$D$7="Gross Financing",$P$8="No",$T$8="No",$X$8="Yes"),'Construction Budget'!G116-(H8+X11),IF(AND(J8="Remaining Balance",$D$7="Gross Financing",$P$8="No",$T$8="Yes",$X$8="Yes"),'Construction Budget'!G116-(H8+T9+X11),IF(AND(J8="Remaining Balance",$D$7="Gross Financing",$P$8="No",$T$8="Yes",$X$8="No"),'Construction Budget'!G116-(H8+T9),IF(AND(J8="Remaining Balance",$D$7="Gross Financing",$P$8="No",$T$8="No",$X$8="No"),'Construction Budget'!G116-H8,IF(AND(J8="Remaining Balance",$D$7="Net Financing",$P$8="Yes",$T$8="Yes",$X$8="Yes"),'Construction Budget'!G116-(H8+P10+T10+X12),IF(AND(J8="Remaining Balance",$D$7="Net Financing",$P$8="Yes",$T$8="Yes",$X$8="No"),'Construction Budget'!G116-(H8+P10+T10),IF(AND(J8="Remaining Balance",$D$7="Net Financing",$P$8="Yes",$T$8="No",$X$8="No"),'Construction Budget'!G116-(H8+P10),IF(AND(J8="Remaining Balance",$D$7="Net Financing",$P$8="Yes",$T$8="No",$X$8="Yes"),'Construction Budget'!G116-(H8+P10+X12),IF(AND(J8="Remaining Balance",$D$7="Net Financing",$P$8="No",$T$8="No",$X$8="Yes"),'Construction Budget'!G116-(H8+X12),IF(AND(J8="Remaining Balance",$D$7="Net Financing",$P$8="No",$T$8="Yes",$X$8="Yes"),'Construction Budget'!G116-(H8+T10+X12),IF(AND(J8="Remaining Balance",$D$7="Net Financing",$P$8="No",$T$8="Yes",$X$8="No"),'Construction Budget'!G116-(H8+T10),IF(AND(J8="Remaining Balance",$D$7="Net Financing",$P$8="No",$T$8="No",$X$8="No"),'Construction Budget'!G116-H8))))))))))))))))))</f>
        <v>10434034.356800005</v>
      </c>
      <c r="M8" s="34"/>
      <c r="N8" s="759" t="s">
        <v>739</v>
      </c>
      <c r="O8" s="113"/>
      <c r="P8" s="86" t="s">
        <v>72</v>
      </c>
      <c r="Q8" s="34"/>
      <c r="R8" s="759" t="s">
        <v>483</v>
      </c>
      <c r="S8" s="113"/>
      <c r="T8" s="86" t="s">
        <v>72</v>
      </c>
      <c r="U8" s="34"/>
      <c r="V8" s="114" t="s">
        <v>422</v>
      </c>
      <c r="W8" s="808" t="s">
        <v>122</v>
      </c>
      <c r="X8" s="86" t="s">
        <v>72</v>
      </c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</row>
    <row r="9" spans="1:61" s="89" customFormat="1" ht="12.75" customHeight="1" x14ac:dyDescent="0.25">
      <c r="A9" s="74"/>
      <c r="B9" s="34" t="s">
        <v>10</v>
      </c>
      <c r="C9" s="34"/>
      <c r="D9" s="51">
        <f>H8</f>
        <v>46485000</v>
      </c>
      <c r="E9" s="43"/>
      <c r="F9" s="43" t="s">
        <v>158</v>
      </c>
      <c r="G9" s="34"/>
      <c r="H9" s="1209">
        <f>H8-SUM(H15:H16)</f>
        <v>39661287.5</v>
      </c>
      <c r="I9" s="34"/>
      <c r="J9" s="43" t="str">
        <f>IF(OR(J8="Remaining Balance",J8="Remaining Balance AC"),"Equity Breakdown","Equity Amount")</f>
        <v>Equity Breakdown</v>
      </c>
      <c r="K9" s="34"/>
      <c r="L9" s="147">
        <v>0</v>
      </c>
      <c r="M9" s="34"/>
      <c r="N9" s="43" t="s">
        <v>159</v>
      </c>
      <c r="O9" s="34"/>
      <c r="P9" s="121">
        <v>0</v>
      </c>
      <c r="Q9" s="34"/>
      <c r="R9" s="43" t="s">
        <v>159</v>
      </c>
      <c r="S9" s="34"/>
      <c r="T9" s="121">
        <v>500000</v>
      </c>
      <c r="U9" s="34"/>
      <c r="V9" s="119" t="str">
        <f>IF(W8="Fixed Amount","TIF Redevelopment Value","")</f>
        <v>TIF Redevelopment Value</v>
      </c>
      <c r="W9" s="34"/>
      <c r="X9" s="1027">
        <v>9000000</v>
      </c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</row>
    <row r="10" spans="1:61" s="89" customFormat="1" ht="12.75" customHeight="1" x14ac:dyDescent="0.25">
      <c r="A10" s="74"/>
      <c r="B10" s="43" t="str">
        <f>IF($P$8="No","-",$N$8&amp;" Equity")</f>
        <v>-</v>
      </c>
      <c r="C10" s="34"/>
      <c r="D10" s="51">
        <f>IF(AND($P$8="Yes",$D$7="Net Financing"),$P$10,IF(AND($P$8="Yes",$D$7="Gross Financing"),$P$9,IF($P$8="No",0)))</f>
        <v>0</v>
      </c>
      <c r="E10" s="43"/>
      <c r="F10" s="43" t="s">
        <v>134</v>
      </c>
      <c r="G10" s="34"/>
      <c r="H10" s="870">
        <f>H8/'Construction Budget'!G116</f>
        <v>0.816686377857472</v>
      </c>
      <c r="I10" s="34"/>
      <c r="J10" s="81" t="s">
        <v>169</v>
      </c>
      <c r="K10" s="86" t="s">
        <v>72</v>
      </c>
      <c r="L10" s="74">
        <v>0</v>
      </c>
      <c r="M10" s="34"/>
      <c r="N10" s="43" t="s">
        <v>158</v>
      </c>
      <c r="O10" s="34"/>
      <c r="P10" s="139">
        <f>P9-SUM(P15:P17)</f>
        <v>0</v>
      </c>
      <c r="Q10" s="34"/>
      <c r="R10" s="43" t="s">
        <v>158</v>
      </c>
      <c r="S10" s="34"/>
      <c r="T10" s="139">
        <f>T9-(T15+T16+T17)</f>
        <v>492500</v>
      </c>
      <c r="U10" s="34"/>
      <c r="V10" s="119" t="str">
        <f>IF(W8="TIF Calc","TIF Redevelopment Value","")</f>
        <v/>
      </c>
      <c r="W10" s="34"/>
      <c r="X10" s="106" t="str">
        <f>IF(W8="Fixed Amount","",'Taxes - TIF'!I21)</f>
        <v/>
      </c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</row>
    <row r="11" spans="1:61" s="89" customFormat="1" ht="12.75" customHeight="1" x14ac:dyDescent="0.25">
      <c r="A11" s="74"/>
      <c r="B11" s="43" t="str">
        <f>IF($T$8="No","-",$R$8&amp;" Equity")</f>
        <v>-</v>
      </c>
      <c r="C11" s="34"/>
      <c r="D11" s="51">
        <f>IF(AND($T$8="Yes",$D$7="Net Financing"),$T$10,IF(AND($T$8="Yes",$D$7="Gross Financing"),$T$9,IF($T$8="No",0)))</f>
        <v>0</v>
      </c>
      <c r="E11" s="43"/>
      <c r="F11" s="43" t="s">
        <v>283</v>
      </c>
      <c r="G11" s="34"/>
      <c r="H11" s="866">
        <f>IF('Operating Assumptions'!D10=0,0,$H$8/'Operating Assumptions'!D10)</f>
        <v>0</v>
      </c>
      <c r="I11" s="34"/>
      <c r="J11" s="81" t="s">
        <v>170</v>
      </c>
      <c r="K11" s="86" t="s">
        <v>72</v>
      </c>
      <c r="L11" s="74">
        <v>0</v>
      </c>
      <c r="M11" s="34"/>
      <c r="N11" s="43" t="s">
        <v>134</v>
      </c>
      <c r="O11" s="34"/>
      <c r="P11" s="1317">
        <f>$P$9/$D$28</f>
        <v>0</v>
      </c>
      <c r="Q11" s="34"/>
      <c r="R11" s="43" t="s">
        <v>134</v>
      </c>
      <c r="S11" s="34"/>
      <c r="T11" s="1317">
        <f>$T$9/$D$28</f>
        <v>8.784407635339055E-3</v>
      </c>
      <c r="U11" s="34"/>
      <c r="V11" s="43" t="s">
        <v>159</v>
      </c>
      <c r="W11" s="108">
        <v>0.76</v>
      </c>
      <c r="X11" s="106">
        <f>IF(W8="TIF Calc",'Taxes - TIF'!I23,X9*W11)</f>
        <v>6840000</v>
      </c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</row>
    <row r="12" spans="1:61" s="89" customFormat="1" ht="12.75" customHeight="1" x14ac:dyDescent="0.25">
      <c r="A12" s="74"/>
      <c r="B12" s="43" t="str">
        <f>IF($X$8="No","-",$V$8&amp;" Equity")</f>
        <v>-</v>
      </c>
      <c r="C12" s="34"/>
      <c r="D12" s="51">
        <f>IF(X8="No",0,IF(AND($X$8="Yes",$D$7="Net Financing"),$X$12,IF(AND($X$8="Yes",$D$7="Gross Financing"),$X$11,IF(AND($X$8="Yes",$W$8="TIF Calc"),$X$10,$X$9))))</f>
        <v>0</v>
      </c>
      <c r="E12" s="54"/>
      <c r="F12" s="114" t="s">
        <v>135</v>
      </c>
      <c r="G12" s="113"/>
      <c r="H12" s="855">
        <v>0.06</v>
      </c>
      <c r="I12" s="54"/>
      <c r="J12" s="81" t="s">
        <v>171</v>
      </c>
      <c r="K12" s="86" t="s">
        <v>72</v>
      </c>
      <c r="L12" s="74">
        <v>0</v>
      </c>
      <c r="M12" s="34"/>
      <c r="N12" s="114" t="s">
        <v>135</v>
      </c>
      <c r="O12" s="113"/>
      <c r="P12" s="855">
        <v>7.4999999999999997E-2</v>
      </c>
      <c r="Q12" s="34"/>
      <c r="R12" s="114" t="s">
        <v>135</v>
      </c>
      <c r="S12" s="113"/>
      <c r="T12" s="855">
        <v>0.1</v>
      </c>
      <c r="U12" s="34"/>
      <c r="V12" s="43" t="s">
        <v>158</v>
      </c>
      <c r="W12" s="34"/>
      <c r="X12" s="106">
        <f>X11-(X17+X19+X18)</f>
        <v>6840000</v>
      </c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</row>
    <row r="13" spans="1:61" s="89" customFormat="1" ht="12.75" customHeight="1" x14ac:dyDescent="0.25">
      <c r="A13" s="74"/>
      <c r="B13" s="114" t="str">
        <f>IF(K10="Yes",J10,"-")</f>
        <v>-</v>
      </c>
      <c r="C13" s="113"/>
      <c r="D13" s="788">
        <f>IF(K10="Yes",L10,0)</f>
        <v>0</v>
      </c>
      <c r="E13" s="43"/>
      <c r="F13" s="43" t="s">
        <v>136</v>
      </c>
      <c r="G13" s="34"/>
      <c r="H13" s="109">
        <v>30</v>
      </c>
      <c r="I13" s="34"/>
      <c r="J13" s="799" t="s">
        <v>171</v>
      </c>
      <c r="K13" s="86" t="s">
        <v>72</v>
      </c>
      <c r="L13" s="74">
        <v>0</v>
      </c>
      <c r="M13" s="34"/>
      <c r="N13" s="43" t="s">
        <v>138</v>
      </c>
      <c r="O13" s="34"/>
      <c r="P13" s="109">
        <v>25</v>
      </c>
      <c r="Q13" s="54"/>
      <c r="R13" s="43" t="s">
        <v>138</v>
      </c>
      <c r="S13" s="34"/>
      <c r="T13" s="109">
        <v>25</v>
      </c>
      <c r="U13" s="34"/>
      <c r="V13" s="43" t="s">
        <v>134</v>
      </c>
      <c r="W13" s="34"/>
      <c r="X13" s="53">
        <f>$D$12/$D$28</f>
        <v>0</v>
      </c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</row>
    <row r="14" spans="1:61" s="89" customFormat="1" ht="12.75" customHeight="1" thickBot="1" x14ac:dyDescent="0.3">
      <c r="A14" s="74"/>
      <c r="B14" s="43" t="str">
        <f>IF(K11="Yes",J11,"-")</f>
        <v>-</v>
      </c>
      <c r="C14" s="34"/>
      <c r="D14" s="137">
        <f>IF(K11="Yes",L11,0)</f>
        <v>0</v>
      </c>
      <c r="E14" s="43"/>
      <c r="F14" s="789" t="s">
        <v>137</v>
      </c>
      <c r="G14" s="39"/>
      <c r="H14" s="865">
        <v>72</v>
      </c>
      <c r="I14" s="34"/>
      <c r="J14" s="144" t="s">
        <v>66</v>
      </c>
      <c r="K14" s="34"/>
      <c r="L14" s="146">
        <f>IF(OR(J8="Remaining Balance",J8="Remaining Balance AC"),SUMIFS(L10:L13,K10:K13,"="&amp;"Yes"),IF(J8="Fixed Amount",L9))</f>
        <v>0</v>
      </c>
      <c r="M14" s="74"/>
      <c r="N14" s="43" t="s">
        <v>137</v>
      </c>
      <c r="O14" s="34"/>
      <c r="P14" s="477">
        <v>36</v>
      </c>
      <c r="Q14" s="54"/>
      <c r="R14" s="57" t="s">
        <v>137</v>
      </c>
      <c r="S14" s="39"/>
      <c r="T14" s="804">
        <v>24</v>
      </c>
      <c r="U14" s="34"/>
      <c r="V14" s="43" t="s">
        <v>135</v>
      </c>
      <c r="W14" s="34"/>
      <c r="X14" s="111">
        <v>0.09</v>
      </c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</row>
    <row r="15" spans="1:61" s="89" customFormat="1" ht="12.75" customHeight="1" thickTop="1" x14ac:dyDescent="0.25">
      <c r="A15" s="74"/>
      <c r="B15" s="43" t="str">
        <f>IF(K12="Yes",J12,"-")</f>
        <v>-</v>
      </c>
      <c r="C15" s="34"/>
      <c r="D15" s="137">
        <f>IF(K12="Yes",L12,0)</f>
        <v>0</v>
      </c>
      <c r="E15" s="43"/>
      <c r="F15" s="114" t="s">
        <v>162</v>
      </c>
      <c r="G15" s="768">
        <v>26</v>
      </c>
      <c r="H15" s="868">
        <f>IF('Construction Budget'!$F$82&lt;&gt;"FA Calc",'Construction Budget'!$G$82,-'Senior Loan Amortization1'!$M$13)</f>
        <v>5777800</v>
      </c>
      <c r="I15" s="34"/>
      <c r="J15" s="57" t="s">
        <v>172</v>
      </c>
      <c r="K15" s="39"/>
      <c r="L15" s="1295">
        <f>IF(OR(J8="Remaining Balance",J8="Remaining Balance AC"),L8-L14,IF(AND(J8="Fixed Amount",$D$7="Gross Financing",$P$8="Yes",$T$8="Yes",$X$8="Yes"),'Construction Budget'!G116-(H8+P9+T9+X11+L14),IF(AND(J8="Fixed Amount",$D$7="Gross Financing",$P$8="Yes",$T$8="Yes",$X$8="No"),'Construction Budget'!G116-(H8+P9+T9+L14),IF(AND(J8="Fixed Amount",$D$7="Gross Financing",$P$8="Yes",$T$8="No",$X$8="No"),'Construction Budget'!G116-(H8+P9+L14),IF(AND(J8="Fixed Amount",$D$7="Gross Financing",$P$8="Yes",$T$8="No",$X$8="Yes"),'Construction Budget'!G116-(H8+P9+X11+L14),IF(AND(J8="Fixed Amount",$D$7="Gross Financing",$P$8="No",$T$8="No",$X$8="Yes"),'Construction Budget'!G116-(H8+X11+L14),IF(AND(J8="Fixed Amount",$D$7="Gross Financing",$P$8="No",$T$8="Yes",$X$8="Yes"),'Construction Budget'!G116-(H8+T9+X11+L14),IF(AND(J8="Fixed Amount",$D$7="Gross Financing",$P$8="No",$T$8="Yes",$X$8="No"),'Construction Budget'!G116-(H8+T9+L14),IF(AND(J8="Fixed Amount",$D$7="Gross Financing",$P$8="No",$T$8="No",$X$8="No"),'Construction Budget'!G116-(H8+L14),IF(AND(J8="Fixed Amount",$D$7="Net Financing",$P$8="Yes",$T$8="Yes",$X$8="Yes"),'Construction Budget'!G116-(H8+P10+T10+X12+L14),IF(AND(J8="Fixed Amount",$D$7="Net Financing",$P$8="Yes",$T$8="Yes",$X$8="No"),'Construction Budget'!G116-(H8+P10+T10+L14),IF(AND(J8="Fixed Amount",$D$7="Net Financing",$P$8="Yes",$T$8="No",$X$8="No"),'Construction Budget'!G116-(H8+P10+L14),IF(AND(J8="Fixed Amount",$D$7="Net Financing",$P$8="Yes",$T$8="No",$X$8="Yes"),'Construction Budget'!G116-(H8+P10+X12+L14),IF(AND(J8="Fixed Amount",$D$7="Net Financing",$P$8="No",$T$8="No",$X$8="Yes"),'Construction Budget'!G116-(H8+X12+L14),IF(AND(J8="Fixed Amount",$D$7="Net Financing",$P$8="No",$T$8="Yes",$X$8="Yes"),'Construction Budget'!G116-(H8+T10+X12+L14),IF(AND(J8="Fixed Amount",$D$7="Net Financing",$P$8="No",$T$8="Yes",$X$8="No"),'Construction Budget'!G116-(H8+T10+L14),IF(AND(J8="Fixed Amount",$D$7="Net Financing",$P$8="No",$T$8="No",$X$8="No"),'Construction Budget'!G116-(H8+L14))))))))))))))))))</f>
        <v>10434034.356800005</v>
      </c>
      <c r="M15" s="74"/>
      <c r="N15" s="114" t="s">
        <v>282</v>
      </c>
      <c r="O15" s="768">
        <v>36</v>
      </c>
      <c r="P15" s="868">
        <f>-'Mezz 1 Amortization'!M14</f>
        <v>0</v>
      </c>
      <c r="Q15" s="54"/>
      <c r="R15" s="114" t="s">
        <v>282</v>
      </c>
      <c r="S15" s="770">
        <v>24</v>
      </c>
      <c r="T15" s="775">
        <f>-'Mezz 2 Amortization'!M14</f>
        <v>0</v>
      </c>
      <c r="U15" s="34"/>
      <c r="V15" s="43" t="s">
        <v>138</v>
      </c>
      <c r="W15" s="34"/>
      <c r="X15" s="109">
        <v>20</v>
      </c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</row>
    <row r="16" spans="1:61" s="89" customFormat="1" ht="12.75" customHeight="1" x14ac:dyDescent="0.25">
      <c r="A16" s="74"/>
      <c r="B16" s="57" t="str">
        <f>IF(K13="Yes",J13,"-")</f>
        <v>-</v>
      </c>
      <c r="C16" s="39"/>
      <c r="D16" s="145">
        <f>IF(K13="Yes",L13,0)</f>
        <v>0</v>
      </c>
      <c r="E16" s="43"/>
      <c r="F16" s="43" t="s">
        <v>208</v>
      </c>
      <c r="G16" s="140">
        <v>2.2499999999999999E-2</v>
      </c>
      <c r="H16" s="143">
        <f>IF('Construction Budget'!F92="Fixed Amount",'Construction Budget'!D92,H8*G16)</f>
        <v>1045912.5</v>
      </c>
      <c r="I16" s="34"/>
      <c r="J16" s="34"/>
      <c r="K16" s="34"/>
      <c r="L16" s="34"/>
      <c r="M16" s="34"/>
      <c r="N16" s="144" t="s">
        <v>139</v>
      </c>
      <c r="O16" s="140">
        <v>0</v>
      </c>
      <c r="P16" s="143">
        <f>$P$9*O16</f>
        <v>0</v>
      </c>
      <c r="Q16" s="74"/>
      <c r="R16" s="144" t="s">
        <v>139</v>
      </c>
      <c r="S16" s="140">
        <v>1.4999999999999999E-2</v>
      </c>
      <c r="T16" s="143">
        <f>$T$9*S16</f>
        <v>7500</v>
      </c>
      <c r="U16" s="34"/>
      <c r="V16" s="57" t="s">
        <v>137</v>
      </c>
      <c r="W16" s="801"/>
      <c r="X16" s="804">
        <v>36</v>
      </c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</row>
    <row r="17" spans="1:61" s="89" customFormat="1" ht="12.75" customHeight="1" x14ac:dyDescent="0.25">
      <c r="A17" s="74"/>
      <c r="B17" s="34" t="s">
        <v>435</v>
      </c>
      <c r="C17" s="34"/>
      <c r="D17" s="51">
        <f>IF(OR($J$18="No Cash Equity",$J$18="LP Only"),0,IF($J$18="GP Only",$K$28,IF(AND($J$18="GP &amp; LP",$J$30="GP Equity Breakdown",$K$27="%"),$L$30,IF(AND($J$18="GP &amp; LP",$J$30="GP Equity Breakdown",$K$27="Fixed"),$K$30,IF(AND($J$18="GP &amp; LP",$J$30&lt;&gt;"GP Equity Breakdown",$K$27="%"),$L$29,IF(AND($J$18="GP &amp; LP",$J$30&lt;&gt;"GP Equity Breakdown",$K$27="Fixed"),$K$29))))))</f>
        <v>0</v>
      </c>
      <c r="E17" s="43"/>
      <c r="F17" s="43"/>
      <c r="G17" s="91"/>
      <c r="H17" s="143"/>
      <c r="I17" s="34"/>
      <c r="J17" s="1515" t="s">
        <v>173</v>
      </c>
      <c r="K17" s="1516"/>
      <c r="L17" s="1517"/>
      <c r="M17" s="34"/>
      <c r="N17" s="57" t="s">
        <v>490</v>
      </c>
      <c r="O17" s="39"/>
      <c r="P17" s="771">
        <f>SUM(P18:P22)</f>
        <v>0</v>
      </c>
      <c r="Q17" s="74"/>
      <c r="R17" s="789" t="s">
        <v>490</v>
      </c>
      <c r="S17" s="39"/>
      <c r="T17" s="771">
        <f>SUM(T18:T22)</f>
        <v>0</v>
      </c>
      <c r="U17" s="34"/>
      <c r="V17" s="43" t="s">
        <v>381</v>
      </c>
      <c r="W17" s="805">
        <v>36</v>
      </c>
      <c r="X17" s="826">
        <f>-'TIF Loan Amortization'!M6</f>
        <v>0</v>
      </c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</row>
    <row r="18" spans="1:61" s="89" customFormat="1" ht="12.75" customHeight="1" x14ac:dyDescent="0.25">
      <c r="A18" s="74"/>
      <c r="B18" s="34" t="s">
        <v>436</v>
      </c>
      <c r="C18" s="34"/>
      <c r="D18" s="56">
        <f>IF(OR($J$18="No Cash Equity",$J$18="GP Only"),0,IF($J$18="LP Only",$K$28,IF(AND($J$18="GP &amp; LP",$J$30="LP Equity Breakdown",$K$27="%"),$L$30,IF(AND($J$18="GP &amp; LP",$J$30="LP Equity Breakdown",$K$27="Fixed"),$K$30,IF(AND($J$18="GP &amp; LP",$J$30&lt;&gt;"LP Equity Breakdown",$K$27="%"),$L$29,IF(AND($J$18="GP &amp; LP",$J$30&lt;&gt;"LP Equity Breakdown",$K$27="Fixed"),$K$29))))))</f>
        <v>10434034.356800005</v>
      </c>
      <c r="E18" s="43"/>
      <c r="F18" s="57"/>
      <c r="G18" s="769"/>
      <c r="H18" s="771"/>
      <c r="I18" s="43"/>
      <c r="J18" s="86" t="s">
        <v>775</v>
      </c>
      <c r="K18" s="113"/>
      <c r="L18" s="402"/>
      <c r="M18" s="34"/>
      <c r="N18" s="738" t="s">
        <v>225</v>
      </c>
      <c r="O18" s="113"/>
      <c r="P18" s="735">
        <v>0</v>
      </c>
      <c r="Q18" s="34"/>
      <c r="R18" s="760" t="s">
        <v>419</v>
      </c>
      <c r="S18" s="761">
        <v>0</v>
      </c>
      <c r="T18" s="762">
        <f>$T$9*S18</f>
        <v>0</v>
      </c>
      <c r="U18" s="34"/>
      <c r="V18" s="43" t="s">
        <v>139</v>
      </c>
      <c r="W18" s="91">
        <v>0</v>
      </c>
      <c r="X18" s="106">
        <f>X11*W18</f>
        <v>0</v>
      </c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</row>
    <row r="19" spans="1:61" s="89" customFormat="1" ht="12.75" customHeight="1" x14ac:dyDescent="0.25">
      <c r="A19" s="74"/>
      <c r="B19" s="34"/>
      <c r="C19" s="34"/>
      <c r="D19" s="784">
        <f>SUM(D9:D18)</f>
        <v>56919034.356800005</v>
      </c>
      <c r="E19" s="43"/>
      <c r="F19" s="1028" t="s">
        <v>160</v>
      </c>
      <c r="G19" s="742"/>
      <c r="H19" s="869">
        <f>-'Senior Loan Amortization1'!$V$11</f>
        <v>3687334.5209553735</v>
      </c>
      <c r="I19" s="43"/>
      <c r="J19" s="50" t="str">
        <f>IF(J8="Remaining Balance","Remaining Equity Needed","Equity Needed")</f>
        <v>Remaining Equity Needed</v>
      </c>
      <c r="K19" s="34"/>
      <c r="L19" s="569">
        <f>IF(AND(J8="Remaining Balance AC",$D$7="Gross Financing",$P$8="Yes",$T$8="Yes",$X$8="Yes"),'Construction Budget'!G116-(H8+P9+T9+X11),IF(AND(J8="Remaining Balance AC",$D$7="Gross Financing",$P$8="Yes",$T$8="Yes",$X$8="No"),'Construction Budget'!G116-(H8+P9+T9),IF(AND(J8="Remaining Balance AC",$D$7="Gross Financing",$P$8="Yes",$T$8="No",$X$8="No"),'Construction Budget'!G116-(H8+P9),IF(AND(J8="Remaining Balance AC",$D$7="Gross Financing",$P$8="Yes",$T$8="No",$X$8="Yes"),'Construction Budget'!G116-(H8+P9+X11),IF(AND(J8="Remaining Balance AC",$D$7="Gross Financing",$P$8="No",$T$8="No",$X$8="Yes"),'Construction Budget'!G116-(H8+X11),IF(AND(J8="Remaining Balance AC",$D$7="Gross Financing",$P$8="No",$T$8="Yes",$X$8="Yes"),'Construction Budget'!G116-(H8+T9+X11),IF(AND(J8="Remaining Balance AC",$D$7="Gross Financing",$P$8="No",$T$8="Yes",$X$8="No"),'Construction Budget'!G116-(H8+T9),IF(AND(J8="Remaining Balance AC",$D$7="Gross Financing",$P$8="No",$T$8="No",$X$8="No"),'Construction Budget'!G116-H8,IF(AND(J8="Remaining Balance AC",$D$7="Net Financing",$P$8="Yes",$T$8="Yes",$X$8="Yes"),'Construction Budget'!G116-(H8+P10+T10+X12),IF(AND(J8="Remaining Balance AC",$D$7="Net Financing",$P$8="Yes",$T$8="Yes",$X$8="No"),'Construction Budget'!G116-(H8+P10+T10),IF(AND(J8="Remaining Balance AC",$D$7="Net Financing",$P$8="Yes",$T$8="No",$X$8="No"),'Construction Budget'!G116-(H8+P10),IF(AND(J8="Remaining Balance AC",$D$7="Net Financing",$P$8="Yes",$T$8="No",$X$8="Yes"),'Construction Budget'!G116-(H8+P10+X12),IF(AND(J8="Remaining Balance AC",$D$7="Net Financing",$P$8="No",$T$8="No",$X$8="Yes"),'Construction Budget'!G116-(H8+X12),IF(AND(J8="Remaining Balance AC",$D$7="Net Financing",$P$8="No",$T$8="Yes",$X$8="Yes"),'Construction Budget'!G116-(H8+T10+X12),IF(AND(J8="Remaining Balance AC",$D$7="Net Financing",$P$8="No",$T$8="Yes",$X$8="No"),'Construction Budget'!G116-(H8+T10),IF(AND(J8="Remaining Balance AC",$D$7="Net Financing",$P$8="No",$T$8="No",$X$8="No"),'Construction Budget'!G116-H8,IF(AND(J8="Remaining Balance",L15&gt;0),L15,IF(AND(J8="Fixed Amount",L15&gt;0),L15))))))))))))))))))</f>
        <v>10434034.356800005</v>
      </c>
      <c r="M19" s="34"/>
      <c r="N19" s="739" t="s">
        <v>140</v>
      </c>
      <c r="O19" s="741">
        <v>0</v>
      </c>
      <c r="P19" s="734">
        <f>$P$9*O19</f>
        <v>0</v>
      </c>
      <c r="Q19" s="34"/>
      <c r="R19" s="763" t="s">
        <v>419</v>
      </c>
      <c r="S19" s="764"/>
      <c r="T19" s="733">
        <v>0</v>
      </c>
      <c r="U19" s="34"/>
      <c r="V19" s="57" t="s">
        <v>274</v>
      </c>
      <c r="W19" s="39"/>
      <c r="X19" s="744">
        <v>0</v>
      </c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</row>
    <row r="20" spans="1:61" s="89" customFormat="1" ht="12.75" customHeight="1" x14ac:dyDescent="0.25">
      <c r="A20" s="74"/>
      <c r="B20" s="36" t="s">
        <v>176</v>
      </c>
      <c r="C20" s="34"/>
      <c r="D20" s="517"/>
      <c r="E20" s="43"/>
      <c r="F20" s="118" t="s">
        <v>429</v>
      </c>
      <c r="G20" s="97">
        <f>IF(H21="January",31,IF(H21="February",28,IF(H21="March",31,IF(H21="April",30,IF(H21="May",31,IF(H21="June",30,IF(H21="July",31,IF(H21="August",31,IF(H21="September",30,IF(H21="October",31,IF(H21="November",30,IF(H21="December",31,0))))))))))))</f>
        <v>31</v>
      </c>
      <c r="H20" s="122">
        <v>2026</v>
      </c>
      <c r="I20" s="43"/>
      <c r="J20" s="50" t="s">
        <v>271</v>
      </c>
      <c r="K20" s="34"/>
      <c r="L20" s="121">
        <v>0</v>
      </c>
      <c r="M20" s="34"/>
      <c r="N20" s="739" t="s">
        <v>223</v>
      </c>
      <c r="O20" s="75"/>
      <c r="P20" s="733">
        <v>0</v>
      </c>
      <c r="Q20" s="34"/>
      <c r="R20" s="763" t="s">
        <v>419</v>
      </c>
      <c r="S20" s="765"/>
      <c r="T20" s="733">
        <v>0</v>
      </c>
      <c r="U20" s="34"/>
      <c r="V20" s="43" t="s">
        <v>429</v>
      </c>
      <c r="W20" s="97">
        <f>IF(X21="January",31,IF(X21="February",28,IF(X21="March",31,IF(X21="April",30,IF(X21="May",31,IF(X21="June",30,IF(X21="July",31,IF(X21="August",31,IF(X21="September",30,IF(X21="October",31,IF(X21="November",30,IF(X21="December",31,0))))))))))))</f>
        <v>31</v>
      </c>
      <c r="X20" s="100">
        <v>2025</v>
      </c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1:61" s="89" customFormat="1" ht="12.75" customHeight="1" x14ac:dyDescent="0.25">
      <c r="A21" s="34"/>
      <c r="B21" s="43" t="str">
        <f>'Construction Budget'!B105</f>
        <v xml:space="preserve">Land/Acquisition Cost </v>
      </c>
      <c r="C21" s="34"/>
      <c r="D21" s="137">
        <f>'Construction Budget'!G105</f>
        <v>2500000</v>
      </c>
      <c r="E21" s="34"/>
      <c r="F21" s="118" t="s">
        <v>430</v>
      </c>
      <c r="G21" s="97">
        <f>IF(H21="January",1,IF(H21="February",2,IF(H21="March",3,IF(H21="April",4,IF(H21="May",5,IF(H21="June",6,IF(H21="July",7,IF(H21="August",8,IF(H21="September",9,IF(H21="October",10,IF(H21="November",11,IF(H21="December",12,0))))))))))))</f>
        <v>3</v>
      </c>
      <c r="H21" s="120" t="s">
        <v>378</v>
      </c>
      <c r="I21" s="43"/>
      <c r="J21" s="50" t="str">
        <f>IF(J8="Remaining Balance","Cash Equity Breakdown",IF(J8="Fixed Amount","Cash Equity Breakdown",IF(J8="Remaining Balance AC","Remaining Equity Needed")))</f>
        <v>Cash Equity Breakdown</v>
      </c>
      <c r="K21" s="34"/>
      <c r="L21" s="139">
        <f>L19-L20</f>
        <v>10434034.356800005</v>
      </c>
      <c r="M21" s="34"/>
      <c r="N21" s="739" t="s">
        <v>224</v>
      </c>
      <c r="O21" s="75"/>
      <c r="P21" s="733">
        <v>0</v>
      </c>
      <c r="Q21" s="34"/>
      <c r="R21" s="763" t="s">
        <v>419</v>
      </c>
      <c r="S21" s="765"/>
      <c r="T21" s="733">
        <v>0</v>
      </c>
      <c r="U21" s="34"/>
      <c r="V21" s="43" t="s">
        <v>430</v>
      </c>
      <c r="W21" s="97">
        <f>IF(X21="January",1,IF(X21="February",2,IF(X21="March",3,IF(X21="April",4,IF(X21="May",5,IF(X21="June",6,IF(X21="July",7,IF(X21="August",8,IF(X21="September",9,IF(X21="October",10,IF(X21="November",11,IF(X21="December",12,0))))))))))))</f>
        <v>3</v>
      </c>
      <c r="X21" s="96" t="s">
        <v>378</v>
      </c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1:61" s="89" customFormat="1" ht="12.75" customHeight="1" x14ac:dyDescent="0.25">
      <c r="A22" s="74"/>
      <c r="B22" s="34" t="str">
        <f>'Construction Budget'!B106</f>
        <v xml:space="preserve">Hard Costs </v>
      </c>
      <c r="C22" s="34"/>
      <c r="D22" s="51">
        <f>'Construction Budget'!G106</f>
        <v>38885935.920000002</v>
      </c>
      <c r="E22" s="43"/>
      <c r="F22" s="43" t="s">
        <v>431</v>
      </c>
      <c r="G22" s="117">
        <f>HLOOKUP(H22,'Monthly CF'!$H$11:$FT$13,2)</f>
        <v>2</v>
      </c>
      <c r="H22" s="69">
        <f>DATE(H20,G21,G20)</f>
        <v>46112</v>
      </c>
      <c r="I22" s="43"/>
      <c r="J22" s="43"/>
      <c r="K22" s="34"/>
      <c r="L22" s="74"/>
      <c r="M22" s="34"/>
      <c r="N22" s="740" t="s">
        <v>141</v>
      </c>
      <c r="O22" s="736"/>
      <c r="P22" s="737">
        <v>0</v>
      </c>
      <c r="Q22" s="34"/>
      <c r="R22" s="766" t="s">
        <v>419</v>
      </c>
      <c r="S22" s="767"/>
      <c r="T22" s="737">
        <v>0</v>
      </c>
      <c r="U22" s="34"/>
      <c r="V22" s="57" t="s">
        <v>431</v>
      </c>
      <c r="W22" s="95" t="e">
        <f>HLOOKUP(X22,'Monthly CF'!$H$11:$FT$13,2)</f>
        <v>#N/A</v>
      </c>
      <c r="X22" s="94">
        <f>DATE(X20,W21,W20)</f>
        <v>45747</v>
      </c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1:61" s="89" customFormat="1" ht="12.75" customHeight="1" x14ac:dyDescent="0.25">
      <c r="A23" s="74"/>
      <c r="B23" s="34" t="str">
        <f>'Construction Budget'!B107</f>
        <v xml:space="preserve">Soft Costs </v>
      </c>
      <c r="C23" s="34"/>
      <c r="D23" s="51">
        <f>'Construction Budget'!G107</f>
        <v>4675000</v>
      </c>
      <c r="E23" s="43"/>
      <c r="F23" s="114" t="s">
        <v>432</v>
      </c>
      <c r="G23" s="715">
        <f>IF(H24="January",31,IF(H24="February",28,IF(H24="March",31,IF(H24="April",30,IF(H24="May",31,IF(H24="June",30,IF(H24="July",31,IF(H24="August",31,IF(H24="September",30,IF(H24="October",31,IF(H24="November",30,IF(H24="December",31,0))))))))))))</f>
        <v>30</v>
      </c>
      <c r="H23" s="859">
        <v>2026</v>
      </c>
      <c r="I23" s="43"/>
      <c r="J23" s="43" t="s">
        <v>281</v>
      </c>
      <c r="K23" s="97">
        <f>IF(L24="January",1,IF(L24="February",2,IF(L24="March",3,IF(L24="April",4,IF(L24="May",5,IF(L24="June",6,IF(L24="July",7,IF(L24="August",8,IF(L24="September",9,IF(L24="October",10,IF(L24="November",11,IF(L24="December",12,0))))))))))))</f>
        <v>3</v>
      </c>
      <c r="L23" s="103">
        <v>2026</v>
      </c>
      <c r="M23" s="34"/>
      <c r="N23" s="1028" t="s">
        <v>160</v>
      </c>
      <c r="O23" s="742"/>
      <c r="P23" s="743">
        <f>-'Mezz 1 Amortization'!T9</f>
        <v>0</v>
      </c>
      <c r="Q23" s="34"/>
      <c r="R23" s="1028" t="s">
        <v>160</v>
      </c>
      <c r="S23" s="742"/>
      <c r="T23" s="776">
        <f>-'Mezz 2 Amortization'!T9</f>
        <v>0</v>
      </c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1:61" s="89" customFormat="1" ht="12.75" customHeight="1" x14ac:dyDescent="0.25">
      <c r="A24" s="74"/>
      <c r="B24" s="34" t="str">
        <f>'Construction Budget'!B108</f>
        <v>FF&amp;E Costs</v>
      </c>
      <c r="C24" s="34"/>
      <c r="D24" s="51">
        <f>'Construction Budget'!G108</f>
        <v>300000</v>
      </c>
      <c r="E24" s="43"/>
      <c r="F24" s="43" t="s">
        <v>433</v>
      </c>
      <c r="G24" s="97">
        <f>IF(H24="January",1,IF(H24="February",2,IF(H24="March",3,IF(H24="April",4,IF(H24="May",5,IF(H24="June",6,IF(H24="July",7,IF(H24="August",8,IF(H24="September",9,IF(H24="October",10,IF(H24="November",11,IF(H24="December",12,0))))))))))))</f>
        <v>4</v>
      </c>
      <c r="H24" s="120" t="s">
        <v>529</v>
      </c>
      <c r="I24" s="43"/>
      <c r="J24" s="43" t="s">
        <v>280</v>
      </c>
      <c r="K24" s="97">
        <f>IF(L24="January",31,IF(L24="February",28,IF(L24="March",31,IF(L24="April",30,IF(L24="May",31,IF(L24="June",30,IF(L24="July",31,IF(L24="August",31,IF(L24="September",30,IF(L24="October",31,IF(L24="November",30,IF(L24="December",31,0))))))))))))</f>
        <v>31</v>
      </c>
      <c r="L24" s="138" t="s">
        <v>378</v>
      </c>
      <c r="M24" s="34"/>
      <c r="N24" s="867" t="s">
        <v>429</v>
      </c>
      <c r="O24" s="715">
        <f>IF(P25="January",31,IF(P25="February",28,IF(P25="March",31,IF(P25="April",30,IF(P25="May",31,IF(P25="June",30,IF(P25="July",31,IF(P25="August",31,IF(P25="September",30,IF(P25="October",31,IF(P25="November",30,IF(P25="December",31,0))))))))))))</f>
        <v>31</v>
      </c>
      <c r="P24" s="859">
        <v>2025</v>
      </c>
      <c r="Q24" s="34"/>
      <c r="R24" s="118" t="s">
        <v>429</v>
      </c>
      <c r="S24" s="97">
        <f>IF(T25="January",31,IF(T25="February",28,IF(T25="March",31,IF(T25="April",30,IF(T25="May",31,IF(T25="June",30,IF(T25="July",31,IF(T25="August",31,IF(T25="September",30,IF(T25="October",31,IF(T25="November",30,IF(T25="December",31,0))))))))))))</f>
        <v>30</v>
      </c>
      <c r="T24" s="100">
        <v>2025</v>
      </c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1:61" s="89" customFormat="1" ht="12.75" customHeight="1" x14ac:dyDescent="0.25">
      <c r="A25" s="74"/>
      <c r="B25" s="57" t="str">
        <f>'Construction Budget'!B109</f>
        <v>Developer Fee</v>
      </c>
      <c r="C25" s="39"/>
      <c r="D25" s="145">
        <f>'Construction Budget'!G109</f>
        <v>2009385.9368</v>
      </c>
      <c r="E25" s="43"/>
      <c r="F25" s="57" t="s">
        <v>434</v>
      </c>
      <c r="G25" s="95">
        <f>HLOOKUP(H25,'Monthly CF'!$H$11:$FT$13,2)</f>
        <v>3</v>
      </c>
      <c r="H25" s="523">
        <f>DATE(H23,G24,G23)</f>
        <v>46142</v>
      </c>
      <c r="I25" s="43"/>
      <c r="J25" s="50" t="s">
        <v>279</v>
      </c>
      <c r="K25" s="34"/>
      <c r="L25" s="136">
        <f>DATE(L23,K23,K24)</f>
        <v>46112</v>
      </c>
      <c r="M25" s="34"/>
      <c r="N25" s="118" t="s">
        <v>430</v>
      </c>
      <c r="O25" s="97">
        <f>IF(P25="January",1,IF(P25="February",2,IF(P25="March",3,IF(P25="April",4,IF(P25="May",5,IF(P25="June",6,IF(P25="July",7,IF(P25="August",8,IF(P25="September",9,IF(P25="October",10,IF(P25="November",11,IF(P25="December",12,0))))))))))))</f>
        <v>7</v>
      </c>
      <c r="P25" s="120" t="s">
        <v>530</v>
      </c>
      <c r="Q25" s="34"/>
      <c r="R25" s="118" t="s">
        <v>430</v>
      </c>
      <c r="S25" s="97">
        <f>IF(T25="January",1,IF(T25="February",2,IF(T25="March",3,IF(T25="April",4,IF(T25="May",5,IF(T25="June",6,IF(T25="July",7,IF(T25="August",8,IF(T25="September",9,IF(T25="October",10,IF(T25="November",11,IF(T25="December",12,0))))))))))))</f>
        <v>6</v>
      </c>
      <c r="T25" s="96" t="s">
        <v>264</v>
      </c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1:61" s="89" customFormat="1" ht="12.75" customHeight="1" x14ac:dyDescent="0.25">
      <c r="A26" s="74"/>
      <c r="B26" s="34" t="str">
        <f>'Construction Budget'!B113</f>
        <v>Reserve Costs</v>
      </c>
      <c r="C26" s="34"/>
      <c r="D26" s="51">
        <f>'Construction Budget'!G113</f>
        <v>5877800</v>
      </c>
      <c r="E26" s="43"/>
      <c r="F26" s="856" t="s">
        <v>550</v>
      </c>
      <c r="G26" s="857">
        <f>HLOOKUP(H26,'Monthly CF'!$H$11:$FT$13,2)</f>
        <v>168</v>
      </c>
      <c r="H26" s="858">
        <f>IF(AND($H$30="Yes",$H$44="No"),EOMONTH($H$34,-1),IF(AND($H$30="No",$H$44="Yes"),EOMONTH($H$47,-1),IF(AND($H$30="Yes",$H$44="Yes"),EOMONTH($H$34,-1),IF(AND($H$30="No",$H$44="No"),EOMONTH($H$22,(12*$H$13))))))</f>
        <v>57070</v>
      </c>
      <c r="I26" s="43"/>
      <c r="J26" s="43"/>
      <c r="K26" s="34"/>
      <c r="L26" s="74"/>
      <c r="M26" s="34"/>
      <c r="N26" s="57" t="s">
        <v>431</v>
      </c>
      <c r="O26" s="95" t="e">
        <f>HLOOKUP(P26,'Monthly CF'!$H$11:$FT$13,2)</f>
        <v>#N/A</v>
      </c>
      <c r="P26" s="523">
        <f>DATE(P24,O25,O24)</f>
        <v>45869</v>
      </c>
      <c r="Q26" s="34"/>
      <c r="R26" s="789" t="s">
        <v>431</v>
      </c>
      <c r="S26" s="95" t="e">
        <f>HLOOKUP(T26,'Monthly CF'!H11:FD14,2)</f>
        <v>#N/A</v>
      </c>
      <c r="T26" s="94">
        <f>DATE(T24,S25,S24)</f>
        <v>45838</v>
      </c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1:61" s="89" customFormat="1" ht="12.75" customHeight="1" thickBot="1" x14ac:dyDescent="0.3">
      <c r="A27" s="74"/>
      <c r="B27" s="34" t="str">
        <f>'Construction Budget'!B114</f>
        <v>Financing/Closing Costs</v>
      </c>
      <c r="C27" s="34"/>
      <c r="D27" s="785">
        <f>'Construction Budget'!G114</f>
        <v>2670912.5</v>
      </c>
      <c r="E27" s="43"/>
      <c r="F27" s="34"/>
      <c r="G27" s="34"/>
      <c r="H27" s="34"/>
      <c r="I27" s="43"/>
      <c r="J27" s="73" t="s">
        <v>6</v>
      </c>
      <c r="K27" s="86" t="s">
        <v>441</v>
      </c>
      <c r="L27" s="7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89" customFormat="1" ht="12.75" customHeight="1" thickTop="1" thickBot="1" x14ac:dyDescent="0.3">
      <c r="A28" s="74"/>
      <c r="B28" s="48" t="s">
        <v>66</v>
      </c>
      <c r="C28" s="34"/>
      <c r="D28" s="786">
        <f>SUM(D21:D27)</f>
        <v>56919034.356800005</v>
      </c>
      <c r="E28" s="43"/>
      <c r="F28" s="1512" t="s">
        <v>548</v>
      </c>
      <c r="G28" s="1513"/>
      <c r="H28" s="1514"/>
      <c r="I28" s="34"/>
      <c r="J28" s="128" t="str">
        <f>IF(OR($J$18="No Cash Equity",$J$18="GP &amp; LP"),"",IF($J$18="LP Only","LP Equity Breakdown",IF($J$18="GP Only","GP Equity Breakdown")))</f>
        <v>LP Equity Breakdown</v>
      </c>
      <c r="K28" s="427">
        <f>IF(OR($J$18="No Cash Equity",$J$18="GP &amp; LP"),"",IF(AND(OR($J$8="Remaining Balance",$J$8="Fixed Amount"),$J$18="LP Only"),$L$19,IF(AND($J$8="Remaining Balance AC",$J$18="LP Only"),$L$20,IF(AND(OR($J$8="Remaining Balance",$J$8="Fixed Amount"),$J$18="GP Only"),$L$19,IF(AND($J$8="Remaining Balance AC",$J$18="GP Only"),$L$20)))))</f>
        <v>10434034.356800005</v>
      </c>
      <c r="L28" s="705">
        <f>IF(OR($J$18="No Cash Equity",$J$18="GP &amp; LP"),"",IF(OR($J$18="LP Only",$J$18="GP Only"),100%))</f>
        <v>1</v>
      </c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89" customFormat="1" ht="12.75" customHeight="1" x14ac:dyDescent="0.25">
      <c r="A29" s="74"/>
      <c r="B29" s="783" t="s">
        <v>177</v>
      </c>
      <c r="C29" s="39"/>
      <c r="D29" s="787">
        <f>D19-D28</f>
        <v>0</v>
      </c>
      <c r="E29" s="43"/>
      <c r="F29" s="1522" t="s">
        <v>444</v>
      </c>
      <c r="G29" s="1523"/>
      <c r="H29" s="1524"/>
      <c r="I29" s="34"/>
      <c r="J29" s="128" t="str">
        <f>IF(OR($J$18="No Cash Equity",$J$18="LP Only",$J$18="GP Only"),"",IF($J$30="LP Equity Breakdown","GP Equity Breakdown",IF($J$30="GP Equity Breakdown","LP Equity Breakdown")))</f>
        <v/>
      </c>
      <c r="K29" s="75">
        <v>0.1</v>
      </c>
      <c r="L29" s="65" t="str">
        <f>IF(OR($J$18="No Cash Equity",$J$18="LP Only",$J$18="GP Only"),"",IF(AND(OR($J$8="Remaining Balance",$J$8="Fixed Amount"),$K$27="%"),$L$19*$K$29,IF(AND($J$8="Remaining Balance AC",$K$27="%"),$L$20*$K$29,IF(AND(OR($J$8="Remaining Balance",$J$8="Fixed Amount"),$K$27="Fixed"),$K$29/$L$19,IF(AND($J$8="Remaining Balance AC",$K$27="Fixed"),$K$29/$L$20)))))</f>
        <v/>
      </c>
      <c r="M29" s="34"/>
      <c r="N29" s="2"/>
      <c r="O29" s="2"/>
      <c r="P29" s="2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89" customFormat="1" ht="12.75" customHeight="1" x14ac:dyDescent="0.25">
      <c r="A30" s="34"/>
      <c r="B30" s="34"/>
      <c r="C30" s="34"/>
      <c r="D30" s="34"/>
      <c r="E30" s="34"/>
      <c r="F30" s="114" t="s">
        <v>548</v>
      </c>
      <c r="G30" s="113"/>
      <c r="H30" s="86" t="s">
        <v>72</v>
      </c>
      <c r="I30" s="34"/>
      <c r="J30" s="861" t="s">
        <v>738</v>
      </c>
      <c r="K30" s="35" t="str">
        <f>IF(OR($J$18="No Cash Equity",$J$18="LP Only",$J$18="GP Only"),"",IF(AND(OR($J$8="Remaining Balance",$J$8="Fixed Amount"),$K$27="%"),100%-$K$29,IF(AND($J$8="Remaining Balance AC",$K$27="%"),100%-$K$29,IF(AND(OR($J$8="Remaining Balance",$J$8="Fixed Amount"),$K$27="Fixed"),$L$19-$K$29,IF(AND($J$8="Remaining Balance AC",$K$27="Fixed"),$L$20-$K$30)))))</f>
        <v/>
      </c>
      <c r="L30" s="65" t="str">
        <f>IF(OR($J$18="No Cash Equity",$J$18="LP Only",$J$18="GP Only"),"",IF(AND(OR($J$8="Remaining Balance",$J$8="Fixed Amount"),$K$27="%"),$L$19*$K$30,IF(AND($J$8="Remaining Balance AC",$K$27="%"),$L$20*$K$30,IF(AND(OR($J$8="Remaining Balance",$J$8="Fixed Amount"),$K$27="Fixed"),$K$30/$L$19,IF(AND($J$8="Remaining Balance AC",$K$27="Fixed"),$K$30/$L$20)))))</f>
        <v/>
      </c>
      <c r="M30" s="34"/>
      <c r="N30" s="2"/>
      <c r="O30" s="2"/>
      <c r="P30" s="2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89" customFormat="1" ht="12.75" customHeight="1" x14ac:dyDescent="0.25">
      <c r="A31" s="34"/>
      <c r="B31" s="34"/>
      <c r="C31" s="34"/>
      <c r="D31" s="34"/>
      <c r="E31" s="34"/>
      <c r="F31" s="86" t="s">
        <v>552</v>
      </c>
      <c r="G31" s="34"/>
      <c r="H31" s="74"/>
      <c r="I31" s="34"/>
      <c r="J31" s="43"/>
      <c r="K31" s="34"/>
      <c r="L31" s="74"/>
      <c r="M31" s="34"/>
      <c r="N31" s="2"/>
      <c r="O31" s="2"/>
      <c r="P31" s="2"/>
      <c r="Q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89" customFormat="1" ht="12.75" customHeight="1" x14ac:dyDescent="0.25">
      <c r="A32" s="34"/>
      <c r="B32" s="34"/>
      <c r="C32" s="34"/>
      <c r="D32" s="34"/>
      <c r="E32" s="34"/>
      <c r="F32" s="43" t="s">
        <v>475</v>
      </c>
      <c r="G32" s="781">
        <f>IF(H33="January",31,IF(H33="February",28,IF(H33="March",31,IF(H33="April",30,IF(H33="May",31,IF(H33="June",30,IF(H33="July",31,IF(H33="August",31,IF(H33="September",30,IF(H33="October",31,IF(H33="November",30,IF(H33="December",31,0))))))))))))</f>
        <v>30</v>
      </c>
      <c r="H32" s="1193">
        <v>2027</v>
      </c>
      <c r="I32" s="34"/>
      <c r="J32" s="73" t="s">
        <v>174</v>
      </c>
      <c r="K32" s="34"/>
      <c r="L32" s="74"/>
      <c r="M32" s="34"/>
      <c r="N32" s="2"/>
      <c r="O32" s="2"/>
      <c r="P32" s="2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1:61" s="89" customFormat="1" ht="12.75" customHeight="1" x14ac:dyDescent="0.25">
      <c r="A33" s="34"/>
      <c r="B33" s="34"/>
      <c r="C33" s="34"/>
      <c r="D33" s="34"/>
      <c r="E33" s="34"/>
      <c r="F33" s="43" t="s">
        <v>323</v>
      </c>
      <c r="G33" s="781">
        <f>IF(H33="January",1,IF(H33="February",2,IF(H33="March",3,IF(H33="April",4,IF(H33="May",5,IF(H33="June",6,IF(H33="July",7,IF(H33="August",8,IF(H33="September",9,IF(H33="October",10,IF(H33="November",11,IF(H33="December",12,0))))))))))))</f>
        <v>9</v>
      </c>
      <c r="H33" s="1193" t="s">
        <v>461</v>
      </c>
      <c r="I33" s="34"/>
      <c r="J33" s="128" t="str">
        <f>IF(OR($J$18="No Cash Equity",$J$18="GP &amp; LP"),"",IF($J$18="LP Only","LP Ownership %",IF($J$18="GP Only","GP Ownership %")))</f>
        <v>LP Ownership %</v>
      </c>
      <c r="K33" s="34"/>
      <c r="L33" s="705">
        <f>IF(OR($J$18="No Cash Equity",$J$18="GP &amp; LP"),"",IF($J$18="GP Only",100%,IF($J$18="LP Only",100%-$L$34)))</f>
        <v>0.7</v>
      </c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1:61" s="89" customFormat="1" ht="12.75" customHeight="1" x14ac:dyDescent="0.25">
      <c r="A34" s="34"/>
      <c r="B34" s="34"/>
      <c r="C34" s="34"/>
      <c r="D34" s="34"/>
      <c r="E34" s="34"/>
      <c r="F34" s="43" t="s">
        <v>549</v>
      </c>
      <c r="G34" s="117">
        <f>HLOOKUP(H34,'Monthly CF'!$H$11:$FT$13,2)</f>
        <v>20</v>
      </c>
      <c r="H34" s="1194">
        <f>IF($F$31="Set Date",DATE(H32,G33,G32),'Operating Assumptions'!$D$51)</f>
        <v>46660</v>
      </c>
      <c r="I34" s="34"/>
      <c r="J34" s="128" t="str">
        <f>IF(OR($J$18="No Cash Equity",$J$18="GP Only"),"",IF($J$18="LP Only","GP Ownership %",IF($J$30="LP Equity Breakdown","GP Ownership %",IF($J$30="GP Equity Breakdown","LP Ownership %"))))</f>
        <v>GP Ownership %</v>
      </c>
      <c r="K34" s="34"/>
      <c r="L34" s="127">
        <v>0.3</v>
      </c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1:61" s="89" customFormat="1" ht="12.75" customHeight="1" x14ac:dyDescent="0.25">
      <c r="A35" s="34"/>
      <c r="B35" s="34"/>
      <c r="C35" s="34"/>
      <c r="D35" s="34"/>
      <c r="E35" s="34"/>
      <c r="F35" s="43" t="s">
        <v>550</v>
      </c>
      <c r="G35" s="117">
        <f>HLOOKUP(H35,'Monthly CF'!$H$11:$FT$13,2)</f>
        <v>168</v>
      </c>
      <c r="H35" s="1194">
        <f>IF($H$44="Yes",EOMONTH($H$47,-1),IF($H$44="No",EOMONTH($H$34,12*$H$38-1)))</f>
        <v>59414</v>
      </c>
      <c r="I35" s="34"/>
      <c r="J35" s="124" t="str">
        <f>IF(OR($J$18="No Cash Equity",$J$18="LP Only",$J$18="GP Only"),"",IF($J$30="GP Equity Breakdown","GP Ownership %",IF($J$30="LP Equity Breakdown","LP Ownership %")))</f>
        <v/>
      </c>
      <c r="K35" s="39"/>
      <c r="L35" s="123" t="str">
        <f>IF(OR($J$18="No Cash Equity",$J$18="LP Only",$J$18="GP Only"),"",IF($J$18="GP &amp; LP",100%-$L$34))</f>
        <v/>
      </c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1:61" s="89" customFormat="1" ht="12.75" customHeight="1" x14ac:dyDescent="0.25">
      <c r="A36" s="34"/>
      <c r="B36" s="34"/>
      <c r="C36" s="34"/>
      <c r="D36" s="34"/>
      <c r="E36" s="34"/>
      <c r="F36" s="1026" t="s">
        <v>448</v>
      </c>
      <c r="G36" s="1199"/>
      <c r="H36" s="1198">
        <f>IF($H$30="No",0,INDEX('Senior Loan Amortization1'!$C$19:$X$379,MATCH($G$26,'Senior Loan Amortization1'!$C$19:$C$379,0),MATCH('Senior Loan Amortization1'!$X$19,'Senior Loan Amortization1'!$C$19:$X$19,0)))</f>
        <v>0</v>
      </c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1:61" s="89" customFormat="1" ht="12.75" customHeight="1" x14ac:dyDescent="0.25">
      <c r="A37" s="34"/>
      <c r="B37" s="34"/>
      <c r="C37" s="34"/>
      <c r="D37" s="34"/>
      <c r="E37" s="34"/>
      <c r="F37" s="43" t="s">
        <v>454</v>
      </c>
      <c r="G37" s="34"/>
      <c r="H37" s="1195">
        <v>4.4999999999999998E-2</v>
      </c>
      <c r="I37" s="34"/>
      <c r="J37" s="34" t="s">
        <v>651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1:61" s="89" customFormat="1" ht="12.75" customHeight="1" x14ac:dyDescent="0.25">
      <c r="A38" s="34"/>
      <c r="B38" s="34"/>
      <c r="C38" s="34"/>
      <c r="D38" s="34"/>
      <c r="E38" s="34"/>
      <c r="F38" s="43" t="s">
        <v>551</v>
      </c>
      <c r="G38" s="34"/>
      <c r="H38" s="1196">
        <v>35</v>
      </c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115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1:61" s="89" customFormat="1" ht="12.75" customHeight="1" x14ac:dyDescent="0.25">
      <c r="A39" s="34"/>
      <c r="B39" s="34"/>
      <c r="C39" s="34"/>
      <c r="D39" s="34"/>
      <c r="E39" s="34"/>
      <c r="F39" s="43" t="s">
        <v>137</v>
      </c>
      <c r="G39" s="34"/>
      <c r="H39" s="1197">
        <v>0</v>
      </c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1:61" s="89" customFormat="1" ht="12.75" customHeight="1" x14ac:dyDescent="0.25">
      <c r="A40" s="34"/>
      <c r="B40" s="34"/>
      <c r="C40" s="34"/>
      <c r="D40" s="34"/>
      <c r="E40" s="34"/>
      <c r="F40" s="1026" t="s">
        <v>160</v>
      </c>
      <c r="G40" s="1199"/>
      <c r="H40" s="1198">
        <f>IF($H$30="No",0,-'Senior Perm Amortization1'!$S$9)</f>
        <v>0</v>
      </c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1:61" s="89" customFormat="1" ht="12.75" customHeight="1" x14ac:dyDescent="0.25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1:61" s="89" customFormat="1" ht="12.75" customHeight="1" x14ac:dyDescent="0.25">
      <c r="A42" s="34"/>
      <c r="B42" s="34"/>
      <c r="C42" s="34"/>
      <c r="D42" s="34"/>
      <c r="E42" s="34"/>
      <c r="F42" s="1512" t="s">
        <v>142</v>
      </c>
      <c r="G42" s="1513"/>
      <c r="H42" s="1514"/>
      <c r="I42" s="34"/>
      <c r="J42" s="34"/>
      <c r="K42" s="34"/>
      <c r="L42" s="1423" t="e">
        <f>(L30*0.08)/12</f>
        <v>#VALUE!</v>
      </c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1:61" s="89" customFormat="1" ht="12.75" customHeight="1" x14ac:dyDescent="0.25">
      <c r="A43" s="34"/>
      <c r="B43" s="34"/>
      <c r="C43" s="34"/>
      <c r="D43" s="34"/>
      <c r="E43" s="34"/>
      <c r="F43" s="1522" t="s">
        <v>444</v>
      </c>
      <c r="G43" s="1523"/>
      <c r="H43" s="152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89" customFormat="1" ht="12.75" customHeight="1" x14ac:dyDescent="0.25">
      <c r="A44" s="34"/>
      <c r="B44" s="34"/>
      <c r="C44" s="34"/>
      <c r="D44" s="34"/>
      <c r="E44" s="34"/>
      <c r="F44" s="43" t="s">
        <v>553</v>
      </c>
      <c r="G44" s="34"/>
      <c r="H44" s="86" t="s">
        <v>72</v>
      </c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89" customFormat="1" ht="12.75" customHeight="1" x14ac:dyDescent="0.25">
      <c r="A45" s="34"/>
      <c r="B45" s="34"/>
      <c r="C45" s="34"/>
      <c r="D45" s="34"/>
      <c r="E45" s="34"/>
      <c r="F45" s="118" t="s">
        <v>429</v>
      </c>
      <c r="G45" s="97">
        <f>IF(H46="January",31,IF(H46="February",28,IF(H46="March",31,IF(H46="April",30,IF(H46="May",31,IF(H46="June",30,IF(H46="July",31,IF(H46="August",31,IF(H46="September",30,IF(H46="October",31,IF(H46="November",30,IF(H46="December",31,0))))))))))))</f>
        <v>30</v>
      </c>
      <c r="H45" s="122">
        <v>2030</v>
      </c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89" customFormat="1" ht="12.75" customHeight="1" x14ac:dyDescent="0.25">
      <c r="A46" s="90"/>
      <c r="B46" s="90"/>
      <c r="C46" s="90"/>
      <c r="D46" s="90"/>
      <c r="E46" s="90"/>
      <c r="F46" s="118" t="s">
        <v>554</v>
      </c>
      <c r="G46" s="97">
        <f>IF(H46="January",1,IF(H46="February",2,IF(H46="March",3,IF(H46="April",4,IF(H46="May",5,IF(H46="June",6,IF(H46="July",7,IF(H46="August",8,IF(H46="September",9,IF(H46="October",10,IF(H46="November",11,IF(H46="December",12,0))))))))))))</f>
        <v>6</v>
      </c>
      <c r="H46" s="120" t="s">
        <v>264</v>
      </c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89" customFormat="1" ht="12.75" customHeight="1" x14ac:dyDescent="0.25">
      <c r="A47" s="90"/>
      <c r="B47" s="34"/>
      <c r="C47" s="34"/>
      <c r="D47" s="34"/>
      <c r="E47" s="90"/>
      <c r="F47" s="118" t="s">
        <v>555</v>
      </c>
      <c r="G47" s="117">
        <f>HLOOKUP(H47,'Monthly CF'!$H$11:$FD$13,2)</f>
        <v>53</v>
      </c>
      <c r="H47" s="69">
        <f>DATE(H45,G46,G45)</f>
        <v>47664</v>
      </c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89" customFormat="1" ht="12.75" customHeight="1" x14ac:dyDescent="0.25">
      <c r="A48" s="90"/>
      <c r="B48" s="90"/>
      <c r="C48" s="90"/>
      <c r="D48" s="90"/>
      <c r="E48" s="90"/>
      <c r="F48" s="57" t="s">
        <v>278</v>
      </c>
      <c r="G48" s="39"/>
      <c r="H48" s="116">
        <f>HLOOKUP(H47,'Monthly CF'!H$11:FT$13,3)</f>
        <v>3</v>
      </c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1:61" s="89" customFormat="1" ht="12.75" customHeight="1" x14ac:dyDescent="0.25">
      <c r="A49" s="90"/>
      <c r="B49" s="90"/>
      <c r="C49" s="90"/>
      <c r="D49" s="90"/>
      <c r="E49" s="90"/>
      <c r="F49" s="43" t="s">
        <v>550</v>
      </c>
      <c r="G49" s="372"/>
      <c r="H49" s="1296">
        <f>EOMONTH('Financing Assumptions'!H47,(12*'Financing Assumptions'!H57))</f>
        <v>58622</v>
      </c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1:61" s="89" customFormat="1" ht="12.75" customHeight="1" x14ac:dyDescent="0.25">
      <c r="A50" s="90"/>
      <c r="B50" s="90"/>
      <c r="C50" s="90"/>
      <c r="D50" s="90"/>
      <c r="E50" s="90"/>
      <c r="F50" s="114" t="s">
        <v>277</v>
      </c>
      <c r="G50" s="113"/>
      <c r="H50" s="524" t="b">
        <f>IF(AND($H$44="Yes",$H$30="Yes"),INDEX('Sale - Refinance'!G4:R26,MATCH('Sale - Refinance'!$G$7,'Sale - Refinance'!$G$4:$G$26,0),MATCH('Financing Assumptions'!$H$48,'Sale - Refinance'!$G$4:$R$4,0)),IF(AND($H$44="Yes",$H$30="No"),INDEX('Sale - Refinance'!G4:R26,MATCH('Sale - Refinance'!$G$7,'Sale - Refinance'!$G$4:$G$26,0),MATCH('Financing Assumptions'!$H$48,'Sale - Refinance'!$G$4:$R$4,0))))</f>
        <v>0</v>
      </c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1:61" s="89" customFormat="1" ht="12.75" customHeight="1" x14ac:dyDescent="0.25">
      <c r="A51" s="90"/>
      <c r="B51" s="90"/>
      <c r="C51" s="90"/>
      <c r="D51" s="90"/>
      <c r="E51" s="90"/>
      <c r="F51" s="43" t="s">
        <v>276</v>
      </c>
      <c r="G51" s="34"/>
      <c r="H51" s="106">
        <f>IF($H$30="No",INDEX('Senior Loan Amortization1'!$C$19:$X$379,MATCH($H$26,'Senior Loan Amortization1'!$F$19:$F$379,0),MATCH('Senior Loan Amortization1'!$W$19,'Senior Loan Amortization1'!$C$19:$X$19,0)),IF($H$30="Yes",INDEX('Senior Perm Amortization1'!$B$19:$U$379,MATCH($H$35,'Senior Perm Amortization1'!$E$19:$E$379,0),MATCH('Senior Perm Amortization1'!$T$19,'Senior Perm Amortization1'!$B$19:$U$19,0))))</f>
        <v>-2.0896550267934799E-8</v>
      </c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1:61" s="89" customFormat="1" ht="12.75" customHeight="1" x14ac:dyDescent="0.25">
      <c r="A52" s="90"/>
      <c r="B52" s="90"/>
      <c r="C52" s="90"/>
      <c r="D52" s="90"/>
      <c r="E52" s="90"/>
      <c r="F52" s="57" t="s">
        <v>275</v>
      </c>
      <c r="G52" s="39"/>
      <c r="H52" s="110">
        <f>IF($H$44="No",0,H51/H50)</f>
        <v>0</v>
      </c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1:61" s="89" customFormat="1" ht="12.75" customHeight="1" x14ac:dyDescent="0.25">
      <c r="A53" s="90"/>
      <c r="B53" s="90"/>
      <c r="C53" s="90"/>
      <c r="D53" s="90"/>
      <c r="E53" s="90"/>
      <c r="F53" s="43" t="s">
        <v>159</v>
      </c>
      <c r="G53" s="1429">
        <v>0.75</v>
      </c>
      <c r="H53" s="106">
        <f>H50*G53</f>
        <v>0</v>
      </c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1:61" s="89" customFormat="1" ht="12.75" customHeight="1" x14ac:dyDescent="0.25">
      <c r="A54" s="90"/>
      <c r="B54" s="90"/>
      <c r="C54" s="90"/>
      <c r="D54" s="90"/>
      <c r="E54" s="90"/>
      <c r="F54" s="43" t="s">
        <v>5</v>
      </c>
      <c r="G54" s="108"/>
      <c r="H54" s="107">
        <f>H53-H51</f>
        <v>2.0896550267934799E-8</v>
      </c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1:61" s="89" customFormat="1" ht="12.75" customHeight="1" x14ac:dyDescent="0.25">
      <c r="A55" s="90"/>
      <c r="B55" s="90"/>
      <c r="C55" s="90"/>
      <c r="D55" s="90"/>
      <c r="E55" s="90"/>
      <c r="F55" s="57" t="s">
        <v>158</v>
      </c>
      <c r="G55" s="39"/>
      <c r="H55" s="105">
        <f>H53-SUM(H59:H61)</f>
        <v>0</v>
      </c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1:61" s="89" customFormat="1" ht="12.75" customHeight="1" x14ac:dyDescent="0.25">
      <c r="A56" s="90"/>
      <c r="B56" s="90"/>
      <c r="C56" s="90"/>
      <c r="D56" s="90"/>
      <c r="E56" s="90"/>
      <c r="F56" s="43" t="s">
        <v>135</v>
      </c>
      <c r="G56" s="34"/>
      <c r="H56" s="101">
        <v>5.3499999999999999E-2</v>
      </c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1:61" s="89" customFormat="1" ht="12.75" customHeight="1" x14ac:dyDescent="0.25">
      <c r="A57" s="34"/>
      <c r="B57" s="34"/>
      <c r="C57" s="34"/>
      <c r="D57" s="34"/>
      <c r="E57" s="34"/>
      <c r="F57" s="43" t="s">
        <v>138</v>
      </c>
      <c r="G57" s="34"/>
      <c r="H57" s="98">
        <v>30</v>
      </c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1:61" s="89" customFormat="1" ht="12.75" customHeight="1" x14ac:dyDescent="0.25">
      <c r="A58" s="34"/>
      <c r="B58" s="34"/>
      <c r="C58" s="34"/>
      <c r="D58" s="34"/>
      <c r="E58" s="34"/>
      <c r="F58" s="118" t="s">
        <v>137</v>
      </c>
      <c r="G58" s="34"/>
      <c r="H58" s="1316">
        <v>6</v>
      </c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1:61" s="89" customFormat="1" ht="12.75" customHeight="1" x14ac:dyDescent="0.25">
      <c r="A59" s="34"/>
      <c r="B59" s="34"/>
      <c r="C59" s="34"/>
      <c r="D59" s="34"/>
      <c r="E59" s="34"/>
      <c r="F59" s="114" t="s">
        <v>162</v>
      </c>
      <c r="G59" s="770">
        <v>0</v>
      </c>
      <c r="H59" s="516">
        <f>'Senior Refinance Amortization1'!L13</f>
        <v>0</v>
      </c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1:61" s="89" customFormat="1" ht="12.75" customHeight="1" x14ac:dyDescent="0.25">
      <c r="A60" s="34"/>
      <c r="B60" s="34"/>
      <c r="C60" s="34"/>
      <c r="D60" s="34"/>
      <c r="E60" s="34"/>
      <c r="F60" s="43" t="s">
        <v>208</v>
      </c>
      <c r="G60" s="91">
        <v>0</v>
      </c>
      <c r="H60" s="93">
        <f>H53*G60</f>
        <v>0</v>
      </c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1:61" s="89" customFormat="1" ht="12.75" customHeight="1" x14ac:dyDescent="0.25">
      <c r="A61" s="34"/>
      <c r="B61" s="34"/>
      <c r="C61" s="34"/>
      <c r="D61" s="34"/>
      <c r="E61" s="34"/>
      <c r="F61" s="92" t="s">
        <v>274</v>
      </c>
      <c r="G61" s="91">
        <v>0</v>
      </c>
      <c r="H61" s="93">
        <f>H53*G61</f>
        <v>0</v>
      </c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1:61" s="89" customFormat="1" ht="12.75" customHeight="1" x14ac:dyDescent="0.25">
      <c r="A62" s="34"/>
      <c r="B62" s="34"/>
      <c r="C62" s="34"/>
      <c r="D62" s="34"/>
      <c r="E62" s="34"/>
      <c r="F62" s="1026" t="s">
        <v>160</v>
      </c>
      <c r="G62" s="1199"/>
      <c r="H62" s="1200">
        <f>-'Senior Refinance Amortization1'!S9</f>
        <v>0</v>
      </c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1:61" s="89" customFormat="1" ht="12.75" customHeight="1" x14ac:dyDescent="0.25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1:61" s="89" customFormat="1" ht="12.75" customHeight="1" x14ac:dyDescent="0.25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1:61" s="89" customFormat="1" ht="12.75" customHeight="1" x14ac:dyDescent="0.25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1:61" s="89" customFormat="1" ht="12.75" customHeight="1" x14ac:dyDescent="0.25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1:61" s="89" customFormat="1" ht="12.75" customHeight="1" x14ac:dyDescent="0.2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1:61" s="89" customFormat="1" ht="12.75" customHeight="1" x14ac:dyDescent="0.25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1:61" s="89" customFormat="1" ht="12.75" customHeight="1" x14ac:dyDescent="0.25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1:61" s="89" customFormat="1" ht="12.75" customHeight="1" x14ac:dyDescent="0.25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1:61" s="89" customFormat="1" ht="12.75" customHeight="1" x14ac:dyDescent="0.25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1:61" s="89" customFormat="1" ht="12.75" customHeight="1" x14ac:dyDescent="0.25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1:61" s="89" customFormat="1" ht="12.75" customHeight="1" x14ac:dyDescent="0.25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1:61" s="89" customFormat="1" ht="12.75" customHeight="1" x14ac:dyDescent="0.25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1:61" s="89" customFormat="1" ht="12.75" customHeight="1" x14ac:dyDescent="0.25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1:61" s="89" customFormat="1" ht="12.75" customHeight="1" x14ac:dyDescent="0.25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1:61" s="89" customFormat="1" ht="12.75" customHeight="1" x14ac:dyDescent="0.25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1:61" s="89" customFormat="1" ht="12.75" customHeight="1" x14ac:dyDescent="0.25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1:61" s="89" customFormat="1" ht="12.75" customHeight="1" x14ac:dyDescent="0.25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1:61" s="89" customFormat="1" ht="12.75" customHeight="1" x14ac:dyDescent="0.25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1:61" s="89" customFormat="1" ht="12.75" customHeight="1" x14ac:dyDescent="0.25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1:61" s="89" customFormat="1" ht="12.75" customHeight="1" x14ac:dyDescent="0.25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1:61" s="89" customFormat="1" ht="12.75" customHeight="1" x14ac:dyDescent="0.25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1:61" s="89" customFormat="1" ht="12.75" customHeight="1" x14ac:dyDescent="0.25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1:61" s="89" customFormat="1" ht="12.75" customHeight="1" x14ac:dyDescent="0.25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1:61" s="89" customFormat="1" ht="12.75" customHeight="1" x14ac:dyDescent="0.25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1:61" s="89" customFormat="1" ht="12.75" customHeight="1" x14ac:dyDescent="0.25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1:61" s="89" customFormat="1" ht="12.75" customHeight="1" x14ac:dyDescent="0.25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1:61" s="89" customFormat="1" ht="12.75" customHeight="1" x14ac:dyDescent="0.25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1:61" s="89" customFormat="1" ht="12.75" customHeight="1" x14ac:dyDescent="0.25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1:61" s="89" customFormat="1" ht="12.75" customHeight="1" x14ac:dyDescent="0.25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1:61" s="89" customFormat="1" ht="12.75" customHeight="1" x14ac:dyDescent="0.25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1:61" s="89" customFormat="1" ht="12.75" customHeight="1" x14ac:dyDescent="0.25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1:61" s="89" customFormat="1" ht="12.75" customHeight="1" x14ac:dyDescent="0.25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1:61" s="89" customFormat="1" ht="12.75" customHeight="1" x14ac:dyDescent="0.25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1:61" s="89" customFormat="1" ht="12.75" customHeight="1" x14ac:dyDescent="0.25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1:61" s="89" customFormat="1" ht="12.75" customHeight="1" x14ac:dyDescent="0.25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1:61" s="89" customFormat="1" ht="12.75" customHeight="1" x14ac:dyDescent="0.25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1:61" s="89" customFormat="1" ht="12.75" customHeight="1" x14ac:dyDescent="0.25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1:61" s="89" customFormat="1" ht="12.75" customHeight="1" x14ac:dyDescent="0.25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1:61" s="89" customFormat="1" ht="12.75" customHeight="1" x14ac:dyDescent="0.25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1:61" s="89" customFormat="1" ht="12.75" customHeight="1" x14ac:dyDescent="0.25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1:61" s="89" customFormat="1" ht="12.75" customHeight="1" x14ac:dyDescent="0.25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1:61" s="89" customFormat="1" ht="12.75" customHeight="1" x14ac:dyDescent="0.25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1:61" s="89" customFormat="1" ht="12.75" customHeight="1" x14ac:dyDescent="0.25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1:61" s="89" customFormat="1" ht="12.75" customHeight="1" x14ac:dyDescent="0.25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1:61" s="89" customFormat="1" ht="12.75" customHeight="1" x14ac:dyDescent="0.25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1:61" s="89" customFormat="1" ht="12.75" customHeight="1" x14ac:dyDescent="0.25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1:61" s="89" customFormat="1" ht="12.75" customHeight="1" x14ac:dyDescent="0.25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1:61" s="89" customFormat="1" ht="12.75" customHeight="1" x14ac:dyDescent="0.25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1:61" s="89" customFormat="1" ht="12.75" customHeight="1" x14ac:dyDescent="0.25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1:61" s="89" customFormat="1" ht="12.75" customHeight="1" x14ac:dyDescent="0.25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1:61" s="89" customFormat="1" ht="12.75" customHeight="1" x14ac:dyDescent="0.25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1:61" s="89" customFormat="1" ht="12.75" customHeight="1" x14ac:dyDescent="0.25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1:61" s="89" customFormat="1" ht="12.75" customHeight="1" x14ac:dyDescent="0.25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1:61" s="89" customFormat="1" ht="12.75" customHeight="1" x14ac:dyDescent="0.25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1:61" s="89" customFormat="1" ht="12.75" customHeight="1" x14ac:dyDescent="0.25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1:61" s="89" customFormat="1" ht="12.75" customHeight="1" x14ac:dyDescent="0.25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1:61" s="89" customFormat="1" ht="12.75" customHeight="1" x14ac:dyDescent="0.25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1:61" s="89" customFormat="1" ht="12.75" customHeight="1" x14ac:dyDescent="0.25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1:61" s="89" customFormat="1" ht="12.75" customHeight="1" x14ac:dyDescent="0.25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1:61" s="89" customFormat="1" ht="12.75" customHeight="1" x14ac:dyDescent="0.25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1:61" s="89" customFormat="1" ht="12.75" customHeight="1" x14ac:dyDescent="0.25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1:61" s="89" customFormat="1" ht="12.75" customHeight="1" x14ac:dyDescent="0.25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1:61" s="89" customFormat="1" ht="12.75" customHeight="1" x14ac:dyDescent="0.25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1:61" s="89" customFormat="1" ht="12.75" customHeight="1" x14ac:dyDescent="0.25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1:61" s="89" customFormat="1" ht="12.75" customHeight="1" x14ac:dyDescent="0.25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1:61" s="89" customFormat="1" ht="12.75" customHeight="1" x14ac:dyDescent="0.25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1:61" s="89" customFormat="1" ht="12.75" customHeight="1" x14ac:dyDescent="0.25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1:61" s="89" customFormat="1" ht="12.75" customHeight="1" x14ac:dyDescent="0.25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1:61" s="89" customFormat="1" ht="12.75" customHeight="1" x14ac:dyDescent="0.25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1:61" s="89" customFormat="1" ht="12.75" customHeight="1" x14ac:dyDescent="0.25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1:61" s="89" customFormat="1" ht="12.75" customHeight="1" x14ac:dyDescent="0.25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1:61" s="89" customFormat="1" ht="12.75" customHeight="1" x14ac:dyDescent="0.25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1:61" s="89" customFormat="1" ht="12.75" customHeight="1" x14ac:dyDescent="0.25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1:61" s="89" customFormat="1" ht="12.75" customHeight="1" x14ac:dyDescent="0.25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1:61" s="89" customFormat="1" ht="12.75" customHeight="1" x14ac:dyDescent="0.25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1:61" s="89" customFormat="1" ht="12.75" customHeight="1" x14ac:dyDescent="0.25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1:61" s="89" customFormat="1" ht="12.75" customHeight="1" x14ac:dyDescent="0.25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1:61" s="89" customFormat="1" ht="12.75" customHeight="1" x14ac:dyDescent="0.25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1:61" s="89" customFormat="1" ht="12.75" customHeight="1" x14ac:dyDescent="0.25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1:61" s="89" customFormat="1" ht="12.75" customHeight="1" x14ac:dyDescent="0.25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1:61" s="89" customFormat="1" ht="12.75" customHeight="1" x14ac:dyDescent="0.25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1:61" s="89" customFormat="1" ht="12.75" customHeight="1" x14ac:dyDescent="0.25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1:61" s="89" customFormat="1" ht="12.75" customHeight="1" x14ac:dyDescent="0.25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1:61" s="89" customFormat="1" ht="12.75" customHeight="1" x14ac:dyDescent="0.25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1:61" s="89" customFormat="1" ht="12.75" customHeight="1" x14ac:dyDescent="0.25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1:61" s="89" customFormat="1" ht="12.75" customHeight="1" x14ac:dyDescent="0.25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1:61" s="89" customFormat="1" ht="12.75" customHeight="1" x14ac:dyDescent="0.25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1:61" s="89" customFormat="1" ht="12.75" customHeight="1" x14ac:dyDescent="0.25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1:61" s="89" customFormat="1" ht="12.75" customHeight="1" x14ac:dyDescent="0.25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1:61" s="89" customFormat="1" ht="12.75" customHeight="1" x14ac:dyDescent="0.25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1:61" s="89" customFormat="1" ht="12.75" customHeight="1" x14ac:dyDescent="0.25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1:61" s="89" customFormat="1" ht="12.75" customHeight="1" x14ac:dyDescent="0.25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1:61" s="89" customFormat="1" ht="12.75" customHeight="1" x14ac:dyDescent="0.25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1:61" s="89" customFormat="1" ht="12.75" customHeight="1" x14ac:dyDescent="0.25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1:61" s="89" customFormat="1" ht="12.75" customHeight="1" x14ac:dyDescent="0.25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1:61" s="89" customFormat="1" ht="12.75" customHeight="1" x14ac:dyDescent="0.25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1:61" s="89" customFormat="1" ht="12.75" customHeight="1" x14ac:dyDescent="0.25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1:61" s="89" customFormat="1" ht="12.75" customHeight="1" x14ac:dyDescent="0.25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1:61" s="89" customFormat="1" ht="12.75" customHeight="1" x14ac:dyDescent="0.25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1:61" s="89" customFormat="1" ht="12.75" customHeight="1" x14ac:dyDescent="0.25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1:61" s="89" customFormat="1" ht="12.75" customHeight="1" x14ac:dyDescent="0.25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1:61" s="89" customFormat="1" ht="12.75" customHeight="1" x14ac:dyDescent="0.25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1:61" s="89" customFormat="1" ht="12.75" customHeight="1" x14ac:dyDescent="0.25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1:61" s="89" customFormat="1" ht="12.75" customHeight="1" x14ac:dyDescent="0.25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1:61" s="89" customFormat="1" ht="12.75" customHeight="1" x14ac:dyDescent="0.25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1:61" s="89" customFormat="1" ht="12.75" customHeight="1" x14ac:dyDescent="0.25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1:61" s="89" customFormat="1" ht="12.75" customHeight="1" x14ac:dyDescent="0.25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1:61" s="89" customFormat="1" ht="12.75" customHeight="1" x14ac:dyDescent="0.25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1:61" s="89" customFormat="1" ht="12.75" customHeight="1" x14ac:dyDescent="0.25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1:61" s="89" customFormat="1" ht="12.75" customHeight="1" x14ac:dyDescent="0.25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1:61" s="89" customFormat="1" ht="12.75" customHeight="1" x14ac:dyDescent="0.25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1:61" s="89" customFormat="1" ht="12.75" customHeight="1" x14ac:dyDescent="0.25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1:61" s="89" customFormat="1" ht="12.75" customHeight="1" x14ac:dyDescent="0.25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1:61" s="89" customFormat="1" ht="12.75" customHeight="1" x14ac:dyDescent="0.25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1:61" s="89" customFormat="1" ht="12.75" customHeight="1" x14ac:dyDescent="0.25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1:61" s="89" customFormat="1" ht="12.75" customHeight="1" x14ac:dyDescent="0.25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1:61" s="89" customFormat="1" ht="12.75" customHeight="1" x14ac:dyDescent="0.25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1:61" s="89" customFormat="1" ht="12.75" customHeight="1" x14ac:dyDescent="0.25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1:61" s="89" customFormat="1" ht="12.75" customHeight="1" x14ac:dyDescent="0.25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1:61" s="89" customFormat="1" ht="12.75" customHeight="1" x14ac:dyDescent="0.25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1:61" s="89" customFormat="1" ht="12.75" customHeight="1" x14ac:dyDescent="0.25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1:61" s="89" customFormat="1" ht="12.75" customHeight="1" x14ac:dyDescent="0.25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1:61" s="89" customFormat="1" ht="12.75" customHeight="1" x14ac:dyDescent="0.25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1:61" s="89" customFormat="1" ht="12.75" customHeight="1" x14ac:dyDescent="0.25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1:61" s="89" customFormat="1" ht="12.75" customHeight="1" x14ac:dyDescent="0.25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1:61" s="89" customFormat="1" ht="12.75" customHeight="1" x14ac:dyDescent="0.25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1:61" s="89" customFormat="1" ht="12.75" customHeight="1" x14ac:dyDescent="0.25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1:61" s="89" customFormat="1" ht="12.75" customHeight="1" x14ac:dyDescent="0.25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1:61" s="89" customFormat="1" ht="12.75" customHeight="1" x14ac:dyDescent="0.25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1:61" s="89" customFormat="1" ht="12.75" customHeight="1" x14ac:dyDescent="0.25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1:61" s="89" customFormat="1" ht="12.75" customHeight="1" x14ac:dyDescent="0.25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1:61" s="89" customFormat="1" ht="12.75" customHeight="1" x14ac:dyDescent="0.25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1:61" s="89" customFormat="1" ht="12.75" customHeight="1" x14ac:dyDescent="0.25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1:61" s="89" customFormat="1" ht="12.75" customHeight="1" x14ac:dyDescent="0.25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1:61" s="89" customFormat="1" ht="12.75" customHeight="1" x14ac:dyDescent="0.25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1:61" s="89" customFormat="1" ht="12.75" customHeight="1" x14ac:dyDescent="0.25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1:61" s="89" customFormat="1" ht="12.75" customHeight="1" x14ac:dyDescent="0.25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1:61" s="89" customFormat="1" ht="12.75" customHeight="1" x14ac:dyDescent="0.25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1:61" s="89" customFormat="1" ht="12.75" customHeight="1" x14ac:dyDescent="0.25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1:61" s="89" customFormat="1" ht="12.75" customHeight="1" x14ac:dyDescent="0.25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1:61" s="89" customFormat="1" ht="12.75" customHeight="1" x14ac:dyDescent="0.25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1:61" s="89" customFormat="1" ht="12.75" customHeight="1" x14ac:dyDescent="0.25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1:61" s="89" customFormat="1" ht="12.75" customHeight="1" x14ac:dyDescent="0.25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1:61" s="89" customFormat="1" ht="12.75" customHeight="1" x14ac:dyDescent="0.25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1:61" s="89" customFormat="1" ht="12.75" customHeight="1" x14ac:dyDescent="0.25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1:61" s="89" customFormat="1" ht="12.75" customHeight="1" x14ac:dyDescent="0.25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1:61" s="89" customFormat="1" ht="12.75" customHeight="1" x14ac:dyDescent="0.25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1:61" s="89" customFormat="1" ht="12.75" customHeight="1" x14ac:dyDescent="0.25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1:61" s="89" customFormat="1" ht="12.75" customHeight="1" x14ac:dyDescent="0.25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1:61" s="89" customFormat="1" ht="12.75" customHeight="1" x14ac:dyDescent="0.25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1:61" s="89" customFormat="1" ht="12.75" customHeight="1" x14ac:dyDescent="0.25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1:61" s="89" customFormat="1" ht="12.75" customHeight="1" x14ac:dyDescent="0.25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1:61" s="89" customFormat="1" ht="12.75" customHeight="1" x14ac:dyDescent="0.25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1:61" s="89" customFormat="1" ht="12" customHeight="1" x14ac:dyDescent="0.25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1:61" s="89" customFormat="1" ht="12" customHeight="1" x14ac:dyDescent="0.25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1:61" s="89" customFormat="1" ht="12" customHeight="1" x14ac:dyDescent="0.25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1:61" s="89" customFormat="1" ht="12" customHeight="1" x14ac:dyDescent="0.25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1:61" s="89" customFormat="1" ht="12" customHeight="1" x14ac:dyDescent="0.25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1:61" s="89" customFormat="1" ht="12" customHeight="1" x14ac:dyDescent="0.25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1:61" s="89" customFormat="1" ht="12" customHeight="1" x14ac:dyDescent="0.25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1:61" s="89" customFormat="1" ht="12" customHeight="1" x14ac:dyDescent="0.25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1:61" s="89" customFormat="1" ht="12" customHeight="1" x14ac:dyDescent="0.25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1:61" s="89" customFormat="1" ht="12" customHeight="1" x14ac:dyDescent="0.25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1:61" s="89" customFormat="1" ht="12" customHeight="1" x14ac:dyDescent="0.25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1:61" s="89" customFormat="1" ht="12" customHeight="1" x14ac:dyDescent="0.25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1:61" s="89" customFormat="1" ht="12" customHeight="1" x14ac:dyDescent="0.25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1:61" s="89" customFormat="1" ht="12" customHeight="1" x14ac:dyDescent="0.25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1:61" s="89" customFormat="1" ht="12" customHeight="1" x14ac:dyDescent="0.25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1:61" s="89" customFormat="1" ht="12" customHeight="1" x14ac:dyDescent="0.25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1:61" s="89" customFormat="1" ht="12" customHeight="1" x14ac:dyDescent="0.25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1:61" s="89" customFormat="1" ht="12" customHeight="1" x14ac:dyDescent="0.25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1:61" s="89" customFormat="1" ht="12" customHeight="1" x14ac:dyDescent="0.25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1:61" s="89" customFormat="1" ht="12" customHeight="1" x14ac:dyDescent="0.25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1:61" s="89" customFormat="1" ht="12" customHeight="1" x14ac:dyDescent="0.25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1:61" s="89" customFormat="1" ht="12" customHeight="1" x14ac:dyDescent="0.25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1:61" s="89" customFormat="1" ht="12" customHeight="1" x14ac:dyDescent="0.25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1:61" s="8" customFormat="1" ht="12" customHeight="1" x14ac:dyDescent="0.2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</row>
    <row r="240" spans="1:61" s="8" customFormat="1" ht="12" customHeight="1" x14ac:dyDescent="0.2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</row>
    <row r="241" spans="1:61" s="8" customFormat="1" ht="12" customHeight="1" x14ac:dyDescent="0.2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</row>
    <row r="242" spans="1:61" s="8" customFormat="1" ht="12" customHeight="1" x14ac:dyDescent="0.2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</row>
  </sheetData>
  <mergeCells count="15">
    <mergeCell ref="F28:H28"/>
    <mergeCell ref="F29:H29"/>
    <mergeCell ref="F42:H42"/>
    <mergeCell ref="F43:H43"/>
    <mergeCell ref="V6:X6"/>
    <mergeCell ref="J17:L17"/>
    <mergeCell ref="N6:P6"/>
    <mergeCell ref="N7:P7"/>
    <mergeCell ref="R7:T7"/>
    <mergeCell ref="V7:X7"/>
    <mergeCell ref="B6:D6"/>
    <mergeCell ref="F6:H6"/>
    <mergeCell ref="J6:L6"/>
    <mergeCell ref="R6:T6"/>
    <mergeCell ref="F7:H7"/>
  </mergeCells>
  <conditionalFormatting sqref="F30">
    <cfRule type="expression" dxfId="236" priority="128">
      <formula>IF($H$30="No","TRUE","FALSE")</formula>
    </cfRule>
  </conditionalFormatting>
  <conditionalFormatting sqref="F31:F39">
    <cfRule type="expression" dxfId="235" priority="8">
      <formula>IF($H$30="No","TRUE","FALSE")</formula>
    </cfRule>
  </conditionalFormatting>
  <conditionalFormatting sqref="F40">
    <cfRule type="expression" dxfId="234" priority="2">
      <formula>IF($H$30="No","TRUE","FALSE")</formula>
    </cfRule>
  </conditionalFormatting>
  <conditionalFormatting sqref="F44">
    <cfRule type="expression" dxfId="233" priority="9">
      <formula>IF($H$44="No","TRUE","FALSE")</formula>
    </cfRule>
  </conditionalFormatting>
  <conditionalFormatting sqref="F45:F61">
    <cfRule type="expression" dxfId="232" priority="138">
      <formula>IF($H$44="No","TRUE","FALSE")</formula>
    </cfRule>
  </conditionalFormatting>
  <conditionalFormatting sqref="F62">
    <cfRule type="expression" dxfId="231" priority="141">
      <formula>IF($H$44="No","TRUE","FALSE")</formula>
    </cfRule>
  </conditionalFormatting>
  <conditionalFormatting sqref="G30">
    <cfRule type="expression" dxfId="230" priority="127">
      <formula>IF($H$30="No","TRUE","FALSE")</formula>
    </cfRule>
  </conditionalFormatting>
  <conditionalFormatting sqref="G31:G39">
    <cfRule type="expression" dxfId="229" priority="7">
      <formula>IF($H$30="No","TRUE","FALSE")</formula>
    </cfRule>
  </conditionalFormatting>
  <conditionalFormatting sqref="G40">
    <cfRule type="expression" dxfId="228" priority="4">
      <formula>IF($H$30="No","TRUE","FALSE")</formula>
    </cfRule>
  </conditionalFormatting>
  <conditionalFormatting sqref="G44">
    <cfRule type="expression" dxfId="227" priority="137">
      <formula>IF($H$44="No","TRUE","FALSE")</formula>
    </cfRule>
  </conditionalFormatting>
  <conditionalFormatting sqref="G45:G61">
    <cfRule type="expression" dxfId="226" priority="92">
      <formula>IF($H$44="No","TRUE","FALSE")</formula>
    </cfRule>
  </conditionalFormatting>
  <conditionalFormatting sqref="G62">
    <cfRule type="expression" dxfId="225" priority="143">
      <formula>IF($H$44="No","TRUE","FALSE")</formula>
    </cfRule>
  </conditionalFormatting>
  <conditionalFormatting sqref="H31">
    <cfRule type="expression" dxfId="224" priority="5">
      <formula>IF($H$30="No","TRUE","FALSE")</formula>
    </cfRule>
  </conditionalFormatting>
  <conditionalFormatting sqref="H32:H33">
    <cfRule type="expression" dxfId="223" priority="1">
      <formula>IF($F$31&lt;&gt;"Set Date","TRUE","FALSE")</formula>
    </cfRule>
  </conditionalFormatting>
  <conditionalFormatting sqref="H32:H39">
    <cfRule type="expression" dxfId="222" priority="6">
      <formula>IF($H$30="No","TRUE","FALSE")</formula>
    </cfRule>
  </conditionalFormatting>
  <conditionalFormatting sqref="H40">
    <cfRule type="expression" dxfId="221" priority="3">
      <formula>IF($H$30="No","TRUE","FALSE")</formula>
    </cfRule>
  </conditionalFormatting>
  <conditionalFormatting sqref="H45">
    <cfRule type="expression" dxfId="220" priority="147">
      <formula>IF($H$44="No","TRUE","FALSE")</formula>
    </cfRule>
  </conditionalFormatting>
  <conditionalFormatting sqref="H46:H51 H53:H57 H59:H61">
    <cfRule type="expression" dxfId="219" priority="148">
      <formula>IF($H$44="No","TRUE","FALSE")</formula>
    </cfRule>
  </conditionalFormatting>
  <conditionalFormatting sqref="H52">
    <cfRule type="expression" dxfId="218" priority="107">
      <formula>IF($H$44="No","TRUE","FALSE")</formula>
    </cfRule>
  </conditionalFormatting>
  <conditionalFormatting sqref="H58">
    <cfRule type="expression" dxfId="217" priority="93">
      <formula>IF($H$44="No","TRUE","FALSE")</formula>
    </cfRule>
  </conditionalFormatting>
  <conditionalFormatting sqref="H62">
    <cfRule type="expression" dxfId="216" priority="142">
      <formula>IF($H$44="No","TRUE","FALSE")</formula>
    </cfRule>
  </conditionalFormatting>
  <conditionalFormatting sqref="J9">
    <cfRule type="expression" dxfId="215" priority="149">
      <formula>IF($J$8="Fixed Amount","TRUE","FALSE")</formula>
    </cfRule>
    <cfRule type="expression" dxfId="214" priority="156">
      <formula>IF(OR(J8="Remaining Balance",J8="Remaining Balance AC"),"TRUE","FALSE")</formula>
    </cfRule>
  </conditionalFormatting>
  <conditionalFormatting sqref="J10:J11">
    <cfRule type="expression" dxfId="213" priority="159">
      <formula>IF(K10="No","TRUE","FALSE")</formula>
    </cfRule>
  </conditionalFormatting>
  <conditionalFormatting sqref="J12">
    <cfRule type="expression" dxfId="212" priority="158">
      <formula>IF(K12="No","TRUE","FALSE")</formula>
    </cfRule>
  </conditionalFormatting>
  <conditionalFormatting sqref="J13">
    <cfRule type="expression" dxfId="211" priority="157">
      <formula>IF(K13="No","TRUE","FALSE")</formula>
    </cfRule>
  </conditionalFormatting>
  <conditionalFormatting sqref="J20">
    <cfRule type="expression" dxfId="210" priority="151">
      <formula>IF($J$8="Fixed Amount","TRUE","FALSE")</formula>
    </cfRule>
    <cfRule type="expression" dxfId="209" priority="152">
      <formula>IF($J$8="Remaining Balance","TRUE","FALSE")</formula>
    </cfRule>
  </conditionalFormatting>
  <conditionalFormatting sqref="J30">
    <cfRule type="expression" dxfId="208" priority="47">
      <formula>IF(OR($J$18="LP Only",$J$18="GP Only",$J$18="No Cash Equity"),"TRUE","FALSE")</formula>
    </cfRule>
  </conditionalFormatting>
  <conditionalFormatting sqref="J21:L26">
    <cfRule type="expression" dxfId="207" priority="89">
      <formula>IF($J$18="No Cash Equity","TRUE","FALSE")</formula>
    </cfRule>
  </conditionalFormatting>
  <conditionalFormatting sqref="K10:K13">
    <cfRule type="expression" dxfId="206" priority="90">
      <formula>IF($J$8="Fixed Amount","TRUE","FALSE")</formula>
    </cfRule>
  </conditionalFormatting>
  <conditionalFormatting sqref="K27">
    <cfRule type="expression" dxfId="205" priority="45">
      <formula>IF($J$18&lt;&gt;"GP &amp; LP","TRUE","FALSE")</formula>
    </cfRule>
  </conditionalFormatting>
  <conditionalFormatting sqref="K29">
    <cfRule type="expression" dxfId="204" priority="48">
      <formula>IF(OR($J$18="No Cash Equity",$J$18="LP Only"),"TRUE","FALSE")</formula>
    </cfRule>
    <cfRule type="expression" dxfId="203" priority="49">
      <formula>IF(AND($J$18="GP Only",$K$27="%",$K$29&lt;100%),"TRUE","FALSE")</formula>
    </cfRule>
    <cfRule type="expression" dxfId="202" priority="50">
      <formula>IF(AND(OR($J$8="Remaining Balance",$J$8="Fixed Amount"),$J$18="GP Only",$K$29&lt;$L$19),"TRUE","FALSE")</formula>
    </cfRule>
    <cfRule type="expression" dxfId="201" priority="52">
      <formula>IF(AND($J$8="Remaining Balance AC",$J$18="GP Only",$K$27="Fixed",$K$29&lt;$L$20),"TRUE","FALSE")</formula>
    </cfRule>
  </conditionalFormatting>
  <conditionalFormatting sqref="K29:K30">
    <cfRule type="expression" dxfId="200" priority="53">
      <formula>IF($K$27="Fixed","TRUE","FALSE")</formula>
    </cfRule>
    <cfRule type="expression" dxfId="199" priority="56">
      <formula>IF($K$27="%","TRUE","FALSE")</formula>
    </cfRule>
  </conditionalFormatting>
  <conditionalFormatting sqref="K30">
    <cfRule type="expression" dxfId="198" priority="51">
      <formula>IF(OR($J$18="No Cash Equity",$J$18="GP Only"),"TRUE","FALSE")</formula>
    </cfRule>
  </conditionalFormatting>
  <conditionalFormatting sqref="K29:L29">
    <cfRule type="expression" dxfId="197" priority="46">
      <formula>IF(OR($J$18="LP Only",$J$18="GP Only",$J$18="No Cash Equity"),"TRUE","FALSE")</formula>
    </cfRule>
  </conditionalFormatting>
  <conditionalFormatting sqref="L8">
    <cfRule type="expression" dxfId="196" priority="164">
      <formula>IF(J8="Remaining Balance","TRUE","FALSE")</formula>
    </cfRule>
  </conditionalFormatting>
  <conditionalFormatting sqref="L9">
    <cfRule type="expression" dxfId="195" priority="162">
      <formula>IF(OR(J8="Remaining Balance",J8="Remaining Balance AC"),"TRUE","FALSE")</formula>
    </cfRule>
    <cfRule type="expression" dxfId="194" priority="163">
      <formula>IF(J8="Fixed Amount","TRUE","FALSE")</formula>
    </cfRule>
  </conditionalFormatting>
  <conditionalFormatting sqref="L10:L13">
    <cfRule type="expression" dxfId="193" priority="160">
      <formula>IF(K10="No","TRUE","FALSE")</formula>
    </cfRule>
    <cfRule type="expression" dxfId="192" priority="161">
      <formula>IF(K10="Yes","TRUE","FALSE")</formula>
    </cfRule>
  </conditionalFormatting>
  <conditionalFormatting sqref="L20">
    <cfRule type="expression" dxfId="191" priority="154">
      <formula>IF($J$8="Remaining Balance AC","TRUE","FALSE")</formula>
    </cfRule>
    <cfRule type="expression" dxfId="190" priority="155">
      <formula>IF($J$8="Remaining Balance","TRUE","FALSE")</formula>
    </cfRule>
  </conditionalFormatting>
  <conditionalFormatting sqref="L20:L21">
    <cfRule type="expression" dxfId="189" priority="150">
      <formula>IF($J$8="Fixed Amount","TRUE","FALSE")</formula>
    </cfRule>
  </conditionalFormatting>
  <conditionalFormatting sqref="L21">
    <cfRule type="expression" dxfId="188" priority="153">
      <formula>IF($J$8="Remaining Balance","TRUE","FALSE")</formula>
    </cfRule>
  </conditionalFormatting>
  <conditionalFormatting sqref="L29:L30">
    <cfRule type="expression" dxfId="187" priority="54">
      <formula>IF($K$27="Fixed","TRUE","FALSE")</formula>
    </cfRule>
    <cfRule type="expression" dxfId="186" priority="55">
      <formula>IF($K$27="%","TRUE","FALSE")</formula>
    </cfRule>
  </conditionalFormatting>
  <conditionalFormatting sqref="L34">
    <cfRule type="expression" dxfId="185" priority="44">
      <formula>IF(OR($J$18="No Cash Equity",$J$18="GP Only"),"TRUE","FALSE")</formula>
    </cfRule>
  </conditionalFormatting>
  <conditionalFormatting sqref="N8">
    <cfRule type="expression" dxfId="184" priority="116">
      <formula>IF($P$8="No","TRUE","FALSE")</formula>
    </cfRule>
  </conditionalFormatting>
  <conditionalFormatting sqref="N9:N25">
    <cfRule type="expression" dxfId="183" priority="33">
      <formula>IF($P$8="No","TRUE","FALSE")</formula>
    </cfRule>
  </conditionalFormatting>
  <conditionalFormatting sqref="N26">
    <cfRule type="expression" dxfId="182" priority="11">
      <formula>IF($P$8="No","TRUE","FALSE")</formula>
    </cfRule>
  </conditionalFormatting>
  <conditionalFormatting sqref="O8">
    <cfRule type="expression" dxfId="181" priority="117">
      <formula>IF($P$8="No","TRUE","FALSE")</formula>
    </cfRule>
  </conditionalFormatting>
  <conditionalFormatting sqref="O9:O25">
    <cfRule type="expression" dxfId="180" priority="87">
      <formula>IF($P$8="No","TRUE","FALSE")</formula>
    </cfRule>
  </conditionalFormatting>
  <conditionalFormatting sqref="O26">
    <cfRule type="expression" dxfId="179" priority="101">
      <formula>IF($P$8="No","TRUE","FALSE")</formula>
    </cfRule>
  </conditionalFormatting>
  <conditionalFormatting sqref="P9">
    <cfRule type="expression" dxfId="178" priority="445">
      <formula>IF($P$8="No","TRUE","FALSE")</formula>
    </cfRule>
  </conditionalFormatting>
  <conditionalFormatting sqref="P10:P25">
    <cfRule type="expression" dxfId="176" priority="32">
      <formula>IF($P$8="No","TRUE","FALSE")</formula>
    </cfRule>
  </conditionalFormatting>
  <conditionalFormatting sqref="P11 T11">
    <cfRule type="expression" dxfId="175" priority="515">
      <formula>IF(#REF!="LTC","TRUE","FALSE")</formula>
    </cfRule>
    <cfRule type="expression" dxfId="174" priority="516">
      <formula>IF(#REF!="Fixed Amount","TRUE","FALSE")</formula>
    </cfRule>
  </conditionalFormatting>
  <conditionalFormatting sqref="P26">
    <cfRule type="expression" dxfId="173" priority="10">
      <formula>IF($P$8="No","TRUE","FALSE")</formula>
    </cfRule>
  </conditionalFormatting>
  <conditionalFormatting sqref="R8">
    <cfRule type="expression" dxfId="172" priority="84">
      <formula>IF($T$8="No","TRUE","FALSE")</formula>
    </cfRule>
  </conditionalFormatting>
  <conditionalFormatting sqref="R9:R25">
    <cfRule type="expression" dxfId="171" priority="77">
      <formula>IF($T$8="No","TRUE","FALSE")</formula>
    </cfRule>
  </conditionalFormatting>
  <conditionalFormatting sqref="R26">
    <cfRule type="expression" dxfId="170" priority="74">
      <formula>IF($T$8="No","TRUE","FALSE")</formula>
    </cfRule>
  </conditionalFormatting>
  <conditionalFormatting sqref="S8">
    <cfRule type="expression" dxfId="169" priority="85">
      <formula>IF($T$8="No","TRUE","FALSE")</formula>
    </cfRule>
  </conditionalFormatting>
  <conditionalFormatting sqref="S9:S25">
    <cfRule type="expression" dxfId="168" priority="76">
      <formula>IF($T$8="No","TRUE","FALSE")</formula>
    </cfRule>
  </conditionalFormatting>
  <conditionalFormatting sqref="S26">
    <cfRule type="expression" dxfId="167" priority="81">
      <formula>IF($T$8="No","TRUE","FALSE")</formula>
    </cfRule>
  </conditionalFormatting>
  <conditionalFormatting sqref="T9">
    <cfRule type="expression" dxfId="166" priority="86">
      <formula>IF($T$8="No","TRUE","FALSE")</formula>
    </cfRule>
  </conditionalFormatting>
  <conditionalFormatting sqref="T10:T25">
    <cfRule type="expression" dxfId="165" priority="75">
      <formula>IF($T$8="No","TRUE","FALSE")</formula>
    </cfRule>
  </conditionalFormatting>
  <conditionalFormatting sqref="T26">
    <cfRule type="expression" dxfId="164" priority="73">
      <formula>IF($T$8="No","TRUE","FALSE")</formula>
    </cfRule>
  </conditionalFormatting>
  <conditionalFormatting sqref="V8">
    <cfRule type="expression" dxfId="163" priority="123">
      <formula>IF($X$8="No","TRUE","FALSE")</formula>
    </cfRule>
  </conditionalFormatting>
  <conditionalFormatting sqref="V9:V21">
    <cfRule type="expression" dxfId="162" priority="170">
      <formula>IF($X$8="No","TRUE","FALSE")</formula>
    </cfRule>
  </conditionalFormatting>
  <conditionalFormatting sqref="V22">
    <cfRule type="expression" dxfId="161" priority="102">
      <formula>IF($X$8="No","TRUE","FALSE")</formula>
    </cfRule>
  </conditionalFormatting>
  <conditionalFormatting sqref="W8">
    <cfRule type="expression" dxfId="160" priority="122">
      <formula>IF($X$8="No","TRUE","FALSE")</formula>
    </cfRule>
  </conditionalFormatting>
  <conditionalFormatting sqref="W9:W21">
    <cfRule type="expression" dxfId="159" priority="105">
      <formula>IF($X$8="No","TRUE","FALSE")</formula>
    </cfRule>
  </conditionalFormatting>
  <conditionalFormatting sqref="W22">
    <cfRule type="expression" dxfId="158" priority="103">
      <formula>IF($X$8="No","TRUE","FALSE")</formula>
    </cfRule>
  </conditionalFormatting>
  <conditionalFormatting sqref="X9">
    <cfRule type="expression" dxfId="157" priority="72">
      <formula>IF($X$8="No","TRUE","FALSE")</formula>
    </cfRule>
    <cfRule type="expression" dxfId="156" priority="108">
      <formula>IF(AND($X$8="Yes",$W$8="TIF Calc"),"TRUE","FALSE")</formula>
    </cfRule>
  </conditionalFormatting>
  <conditionalFormatting sqref="X10:X21">
    <cfRule type="expression" dxfId="155" priority="106">
      <formula>IF($X$8="No","TRUE","FALSE")</formula>
    </cfRule>
  </conditionalFormatting>
  <conditionalFormatting sqref="X13">
    <cfRule type="expression" dxfId="154" priority="519">
      <formula>IF(OR(#REF!="Fixed Amount",#REF!="LTC"),"TRUE","FALSE")</formula>
    </cfRule>
  </conditionalFormatting>
  <conditionalFormatting sqref="X22">
    <cfRule type="expression" dxfId="153" priority="104">
      <formula>IF($X$8="No","TRUE","FALSE")</formula>
    </cfRule>
  </conditionalFormatting>
  <dataValidations count="8">
    <dataValidation type="list" allowBlank="1" showInputMessage="1" showErrorMessage="1" sqref="D7" xr:uid="{61AB4875-437F-4F1A-8984-C7BA2F72F297}">
      <formula1>"Gross Financing, Net Financing"</formula1>
    </dataValidation>
    <dataValidation type="list" allowBlank="1" showInputMessage="1" showErrorMessage="1" sqref="W8" xr:uid="{3E07A3A0-0671-4E56-BB45-616664DF09C8}">
      <formula1>"Fixed Amount, TIF Calc"</formula1>
    </dataValidation>
    <dataValidation type="list" allowBlank="1" showInputMessage="1" showErrorMessage="1" sqref="J8" xr:uid="{BAC82449-3DCE-436D-B65E-60AC5168AEA2}">
      <formula1>"Fixed Amount, Remaining Balance, Remaining Balance AC"</formula1>
    </dataValidation>
    <dataValidation type="list" allowBlank="1" showInputMessage="1" showErrorMessage="1" sqref="X8 P8 H44 H30 K10:K13 T8" xr:uid="{C1604E9C-F52E-4CC1-8AE8-6787159A14F8}">
      <formula1>"Yes, No"</formula1>
    </dataValidation>
    <dataValidation type="list" allowBlank="1" showInputMessage="1" showErrorMessage="1" sqref="J18" xr:uid="{727CFC78-9C74-454E-818A-B1366D415476}">
      <formula1>"GP &amp; LP, GP Only, LP Only, No Cash Equity"</formula1>
    </dataValidation>
    <dataValidation type="list" allowBlank="1" showInputMessage="1" showErrorMessage="1" sqref="J30" xr:uid="{9BF4A651-2DEA-4336-B545-B08364070FAA}">
      <formula1>"LP Equity Breakdown, GP Equity Breakdown"</formula1>
    </dataValidation>
    <dataValidation type="list" allowBlank="1" showInputMessage="1" showErrorMessage="1" sqref="K27" xr:uid="{92C19E5E-0596-46E9-A599-97007B6402B9}">
      <formula1>"%, Fixed"</formula1>
    </dataValidation>
    <dataValidation type="list" allowBlank="1" showInputMessage="1" showErrorMessage="1" sqref="F31" xr:uid="{809B0B11-4E55-4202-9AD7-F40B977AC404}">
      <formula1>"Set Date, Construction End"</formula1>
    </dataValidation>
  </dataValidations>
  <hyperlinks>
    <hyperlink ref="N7:P7" location="'Mezz 1 Amortization'!A1" display="Amortization Table" xr:uid="{BE507977-9742-4AB6-982F-A1871A5D176F}"/>
    <hyperlink ref="R7:T7" location="'Mezz Debt Amortization'!A1" display="Amortization Table" xr:uid="{E1067284-C95B-458A-A5E3-5EC3E88EFF47}"/>
    <hyperlink ref="V7:X7" location="'TIF Loan Amortization'!A1" display="Amortization Table" xr:uid="{0FE18BDA-16E2-45AE-A508-52CF5DCACD71}"/>
    <hyperlink ref="F7:H7" location="'Senior Loan Amortization1'!A1" display="Amortization Table" xr:uid="{21C05AD8-85CA-499E-85F0-78D01F4E6A31}"/>
    <hyperlink ref="F29:H29" location="'Senior Perm Amortization1'!A1" display="Amortization Table" xr:uid="{D937DCB6-0280-42A1-AA9C-7CF454F56E97}"/>
    <hyperlink ref="F43:H43" location="'Senior Refinance Amortization1'!A1" display="Amortization Table" xr:uid="{7E81A647-F112-4071-AD0E-33ABB15A095E}"/>
  </hyperlinks>
  <pageMargins left="0.7" right="0.7" top="0.75" bottom="0.75" header="0.3" footer="0.3"/>
  <pageSetup orientation="portrait" r:id="rId1"/>
  <ignoredErrors>
    <ignoredError sqref="T17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46" id="{BF500B6A-D971-4A3C-9140-8764D5F46ED0}">
            <xm:f>IF(AND('Operating Assumptions'!#REF!&gt;0,$P$9&gt;'Operating Assumptions'!#REF!),"TRUE","FALSE")</xm:f>
            <x14:dxf>
              <font>
                <strike/>
                <color rgb="FFFF0000"/>
              </font>
            </x14:dxf>
          </x14:cfRule>
          <xm:sqref>P9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33661-E499-4FAC-8D81-F9727E35612E}">
  <dimension ref="A1:FZ323"/>
  <sheetViews>
    <sheetView zoomScale="80" zoomScaleNormal="80" workbookViewId="0">
      <pane xSplit="6" ySplit="11" topLeftCell="X70" activePane="bottomRight" state="frozen"/>
      <selection pane="topRight" activeCell="G1" sqref="G1"/>
      <selection pane="bottomLeft" activeCell="A11" sqref="A11"/>
      <selection pane="bottomRight" activeCell="AG106" sqref="AG106:AR106"/>
    </sheetView>
  </sheetViews>
  <sheetFormatPr defaultRowHeight="15" outlineLevelRow="2" x14ac:dyDescent="0.25"/>
  <cols>
    <col min="1" max="1" width="3.85546875" customWidth="1"/>
    <col min="2" max="2" width="43.85546875" customWidth="1"/>
    <col min="5" max="5" width="3.85546875" customWidth="1"/>
    <col min="6" max="6" width="16.5703125" customWidth="1"/>
    <col min="7" max="7" width="4.7109375" customWidth="1"/>
    <col min="8" max="103" width="12.7109375" customWidth="1"/>
    <col min="104" max="176" width="12.7109375" style="2" customWidth="1"/>
    <col min="177" max="182" width="9.140625" style="2"/>
  </cols>
  <sheetData>
    <row r="1" spans="1:182" s="89" customFormat="1" ht="13.5" x14ac:dyDescent="0.2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/>
      <c r="DJ1" s="34"/>
      <c r="DK1" s="34"/>
      <c r="DL1" s="34"/>
      <c r="DM1" s="34"/>
      <c r="DN1" s="34"/>
      <c r="DO1" s="34"/>
      <c r="DP1" s="34"/>
      <c r="DQ1" s="34"/>
      <c r="DR1" s="34"/>
      <c r="DS1" s="34"/>
      <c r="DT1" s="34"/>
      <c r="DU1" s="34"/>
      <c r="DV1" s="34"/>
      <c r="DW1" s="34"/>
      <c r="DX1" s="34"/>
      <c r="DY1" s="34"/>
      <c r="DZ1" s="34"/>
      <c r="EA1" s="34"/>
      <c r="EB1" s="34"/>
      <c r="EC1" s="34"/>
      <c r="ED1" s="34"/>
      <c r="EE1" s="34"/>
      <c r="EF1" s="34"/>
      <c r="EG1" s="34"/>
      <c r="EH1" s="34"/>
      <c r="EI1" s="34"/>
      <c r="EJ1" s="34"/>
      <c r="EK1" s="34"/>
      <c r="EL1" s="34"/>
      <c r="EM1" s="34"/>
      <c r="EN1" s="34"/>
      <c r="EO1" s="34"/>
      <c r="EP1" s="34"/>
      <c r="EQ1" s="34"/>
      <c r="ER1" s="34"/>
      <c r="ES1" s="34"/>
      <c r="ET1" s="34"/>
      <c r="EU1" s="34"/>
      <c r="EV1" s="34"/>
      <c r="EW1" s="34"/>
      <c r="EX1" s="34"/>
      <c r="EY1" s="34"/>
      <c r="EZ1" s="34"/>
      <c r="FA1" s="34"/>
      <c r="FB1" s="34"/>
      <c r="FC1" s="34"/>
      <c r="FD1" s="34"/>
      <c r="FE1" s="34"/>
      <c r="FF1" s="34"/>
      <c r="FG1" s="34"/>
      <c r="FH1" s="34"/>
      <c r="FI1" s="34"/>
      <c r="FJ1" s="34"/>
      <c r="FK1" s="34"/>
      <c r="FL1" s="34"/>
      <c r="FM1" s="34"/>
      <c r="FN1" s="34"/>
      <c r="FO1" s="34"/>
      <c r="FP1" s="34"/>
      <c r="FQ1" s="34"/>
      <c r="FR1" s="34"/>
      <c r="FS1" s="34"/>
      <c r="FT1" s="34"/>
      <c r="FU1" s="34"/>
      <c r="FV1" s="34"/>
      <c r="FW1" s="34"/>
      <c r="FX1" s="34"/>
      <c r="FY1" s="34"/>
      <c r="FZ1" s="34"/>
    </row>
    <row r="2" spans="1:182" s="89" customFormat="1" ht="13.5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</row>
    <row r="3" spans="1:182" s="89" customFormat="1" ht="13.5" hidden="1" outlineLevel="1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</row>
    <row r="4" spans="1:182" s="89" customFormat="1" ht="13.5" hidden="1" outlineLevel="1" x14ac:dyDescent="0.25">
      <c r="A4" s="34"/>
      <c r="B4" s="34"/>
      <c r="C4" s="34"/>
      <c r="D4" s="34"/>
      <c r="E4" s="34"/>
      <c r="F4" s="34" t="s">
        <v>265</v>
      </c>
      <c r="G4" s="34"/>
      <c r="H4" s="35">
        <f t="shared" ref="H4:AM4" si="0">IF(AND(H37=100%,G37&lt;100%),H9,0)</f>
        <v>0</v>
      </c>
      <c r="I4" s="35">
        <f t="shared" si="0"/>
        <v>0</v>
      </c>
      <c r="J4" s="35">
        <f t="shared" si="0"/>
        <v>0</v>
      </c>
      <c r="K4" s="35">
        <f t="shared" si="0"/>
        <v>0</v>
      </c>
      <c r="L4" s="35">
        <f t="shared" si="0"/>
        <v>0</v>
      </c>
      <c r="M4" s="35">
        <f t="shared" si="0"/>
        <v>0</v>
      </c>
      <c r="N4" s="35">
        <f t="shared" si="0"/>
        <v>0</v>
      </c>
      <c r="O4" s="35">
        <f t="shared" si="0"/>
        <v>0</v>
      </c>
      <c r="P4" s="35">
        <f t="shared" si="0"/>
        <v>0</v>
      </c>
      <c r="Q4" s="35">
        <f t="shared" si="0"/>
        <v>0</v>
      </c>
      <c r="R4" s="35">
        <f t="shared" si="0"/>
        <v>0</v>
      </c>
      <c r="S4" s="35">
        <f t="shared" si="0"/>
        <v>0</v>
      </c>
      <c r="T4" s="35">
        <f t="shared" si="0"/>
        <v>0</v>
      </c>
      <c r="U4" s="35">
        <f t="shared" si="0"/>
        <v>0</v>
      </c>
      <c r="V4" s="35">
        <f t="shared" si="0"/>
        <v>0</v>
      </c>
      <c r="W4" s="35">
        <f t="shared" si="0"/>
        <v>0</v>
      </c>
      <c r="X4" s="35">
        <f t="shared" si="0"/>
        <v>0</v>
      </c>
      <c r="Y4" s="35">
        <f t="shared" si="0"/>
        <v>0</v>
      </c>
      <c r="Z4" s="35">
        <f t="shared" si="0"/>
        <v>0</v>
      </c>
      <c r="AA4" s="35">
        <f t="shared" si="0"/>
        <v>0</v>
      </c>
      <c r="AB4" s="35">
        <f t="shared" si="0"/>
        <v>0</v>
      </c>
      <c r="AC4" s="35">
        <f t="shared" si="0"/>
        <v>0</v>
      </c>
      <c r="AD4" s="35">
        <f t="shared" si="0"/>
        <v>0</v>
      </c>
      <c r="AE4" s="35">
        <f t="shared" si="0"/>
        <v>0</v>
      </c>
      <c r="AF4" s="35">
        <f t="shared" si="0"/>
        <v>0</v>
      </c>
      <c r="AG4" s="35">
        <f t="shared" si="0"/>
        <v>0</v>
      </c>
      <c r="AH4" s="35">
        <f t="shared" si="0"/>
        <v>0</v>
      </c>
      <c r="AI4" s="35">
        <f t="shared" si="0"/>
        <v>0</v>
      </c>
      <c r="AJ4" s="35">
        <f t="shared" si="0"/>
        <v>0</v>
      </c>
      <c r="AK4" s="35">
        <f t="shared" si="0"/>
        <v>0</v>
      </c>
      <c r="AL4" s="35">
        <f t="shared" si="0"/>
        <v>0</v>
      </c>
      <c r="AM4" s="35">
        <f t="shared" si="0"/>
        <v>31</v>
      </c>
      <c r="AN4" s="35">
        <f t="shared" ref="AN4:BS4" si="1">IF(AND(AN37=100%,AM37&lt;100%),AN9,0)</f>
        <v>0</v>
      </c>
      <c r="AO4" s="35">
        <f t="shared" si="1"/>
        <v>0</v>
      </c>
      <c r="AP4" s="35">
        <f t="shared" si="1"/>
        <v>0</v>
      </c>
      <c r="AQ4" s="35">
        <f t="shared" si="1"/>
        <v>0</v>
      </c>
      <c r="AR4" s="35">
        <f t="shared" si="1"/>
        <v>0</v>
      </c>
      <c r="AS4" s="35">
        <f t="shared" si="1"/>
        <v>0</v>
      </c>
      <c r="AT4" s="35">
        <f t="shared" si="1"/>
        <v>0</v>
      </c>
      <c r="AU4" s="35">
        <f t="shared" si="1"/>
        <v>0</v>
      </c>
      <c r="AV4" s="35">
        <f t="shared" si="1"/>
        <v>0</v>
      </c>
      <c r="AW4" s="35">
        <f t="shared" si="1"/>
        <v>0</v>
      </c>
      <c r="AX4" s="35">
        <f>IF(AND(AX37=100%,AW37&lt;100%),AX9,0)</f>
        <v>0</v>
      </c>
      <c r="AY4" s="35">
        <f t="shared" si="1"/>
        <v>0</v>
      </c>
      <c r="AZ4" s="35">
        <f t="shared" si="1"/>
        <v>0</v>
      </c>
      <c r="BA4" s="35">
        <f t="shared" si="1"/>
        <v>0</v>
      </c>
      <c r="BB4" s="35">
        <f t="shared" si="1"/>
        <v>0</v>
      </c>
      <c r="BC4" s="35">
        <f t="shared" si="1"/>
        <v>0</v>
      </c>
      <c r="BD4" s="35">
        <f t="shared" si="1"/>
        <v>0</v>
      </c>
      <c r="BE4" s="35">
        <f t="shared" si="1"/>
        <v>0</v>
      </c>
      <c r="BF4" s="35">
        <f t="shared" si="1"/>
        <v>0</v>
      </c>
      <c r="BG4" s="35">
        <f t="shared" si="1"/>
        <v>0</v>
      </c>
      <c r="BH4" s="35">
        <f t="shared" si="1"/>
        <v>0</v>
      </c>
      <c r="BI4" s="35">
        <f t="shared" si="1"/>
        <v>0</v>
      </c>
      <c r="BJ4" s="35">
        <f t="shared" si="1"/>
        <v>0</v>
      </c>
      <c r="BK4" s="35">
        <f t="shared" si="1"/>
        <v>0</v>
      </c>
      <c r="BL4" s="35">
        <f t="shared" si="1"/>
        <v>0</v>
      </c>
      <c r="BM4" s="35">
        <f t="shared" si="1"/>
        <v>0</v>
      </c>
      <c r="BN4" s="35">
        <f t="shared" si="1"/>
        <v>0</v>
      </c>
      <c r="BO4" s="35">
        <f t="shared" si="1"/>
        <v>0</v>
      </c>
      <c r="BP4" s="35">
        <f t="shared" si="1"/>
        <v>0</v>
      </c>
      <c r="BQ4" s="35">
        <f t="shared" si="1"/>
        <v>0</v>
      </c>
      <c r="BR4" s="35">
        <f t="shared" si="1"/>
        <v>0</v>
      </c>
      <c r="BS4" s="35">
        <f t="shared" si="1"/>
        <v>0</v>
      </c>
      <c r="BT4" s="35">
        <f t="shared" ref="BT4:CY4" si="2">IF(AND(BT37=100%,BS37&lt;100%),BT9,0)</f>
        <v>0</v>
      </c>
      <c r="BU4" s="35">
        <f t="shared" si="2"/>
        <v>0</v>
      </c>
      <c r="BV4" s="35">
        <f t="shared" si="2"/>
        <v>0</v>
      </c>
      <c r="BW4" s="35">
        <f t="shared" si="2"/>
        <v>0</v>
      </c>
      <c r="BX4" s="35">
        <f t="shared" si="2"/>
        <v>0</v>
      </c>
      <c r="BY4" s="35">
        <f t="shared" si="2"/>
        <v>0</v>
      </c>
      <c r="BZ4" s="35">
        <f t="shared" si="2"/>
        <v>0</v>
      </c>
      <c r="CA4" s="35">
        <f t="shared" si="2"/>
        <v>0</v>
      </c>
      <c r="CB4" s="35">
        <f t="shared" si="2"/>
        <v>0</v>
      </c>
      <c r="CC4" s="35">
        <f t="shared" si="2"/>
        <v>0</v>
      </c>
      <c r="CD4" s="35">
        <f t="shared" si="2"/>
        <v>0</v>
      </c>
      <c r="CE4" s="35">
        <f t="shared" si="2"/>
        <v>0</v>
      </c>
      <c r="CF4" s="35">
        <f t="shared" si="2"/>
        <v>0</v>
      </c>
      <c r="CG4" s="35">
        <f t="shared" si="2"/>
        <v>0</v>
      </c>
      <c r="CH4" s="35">
        <f t="shared" si="2"/>
        <v>0</v>
      </c>
      <c r="CI4" s="35">
        <f t="shared" si="2"/>
        <v>0</v>
      </c>
      <c r="CJ4" s="35">
        <f t="shared" si="2"/>
        <v>0</v>
      </c>
      <c r="CK4" s="35">
        <f t="shared" si="2"/>
        <v>0</v>
      </c>
      <c r="CL4" s="35">
        <f t="shared" si="2"/>
        <v>0</v>
      </c>
      <c r="CM4" s="35">
        <f t="shared" si="2"/>
        <v>0</v>
      </c>
      <c r="CN4" s="35">
        <f t="shared" si="2"/>
        <v>0</v>
      </c>
      <c r="CO4" s="35">
        <f t="shared" si="2"/>
        <v>0</v>
      </c>
      <c r="CP4" s="35">
        <f t="shared" si="2"/>
        <v>0</v>
      </c>
      <c r="CQ4" s="35">
        <f t="shared" si="2"/>
        <v>0</v>
      </c>
      <c r="CR4" s="35">
        <f t="shared" si="2"/>
        <v>0</v>
      </c>
      <c r="CS4" s="35">
        <f t="shared" si="2"/>
        <v>0</v>
      </c>
      <c r="CT4" s="35">
        <f t="shared" si="2"/>
        <v>0</v>
      </c>
      <c r="CU4" s="35">
        <f t="shared" si="2"/>
        <v>0</v>
      </c>
      <c r="CV4" s="35">
        <f t="shared" si="2"/>
        <v>0</v>
      </c>
      <c r="CW4" s="35">
        <f t="shared" si="2"/>
        <v>0</v>
      </c>
      <c r="CX4" s="35">
        <f t="shared" si="2"/>
        <v>0</v>
      </c>
      <c r="CY4" s="35">
        <f t="shared" si="2"/>
        <v>0</v>
      </c>
      <c r="CZ4" s="35">
        <f>IF(AND(CZ37=100%,CY37&lt;100%),CZ9,0)</f>
        <v>0</v>
      </c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</row>
    <row r="5" spans="1:182" s="89" customFormat="1" ht="13.5" collapsed="1" x14ac:dyDescent="0.25">
      <c r="A5" s="34"/>
      <c r="B5" s="48" t="str">
        <f>'Operating Assumptions'!D6</f>
        <v>Channahon</v>
      </c>
      <c r="C5" s="34"/>
      <c r="D5" s="34"/>
      <c r="E5" s="34"/>
      <c r="F5" s="48" t="s">
        <v>33</v>
      </c>
      <c r="G5" s="34"/>
      <c r="H5" s="35">
        <f>MONTH(H11)</f>
        <v>1</v>
      </c>
      <c r="I5" s="35">
        <f t="shared" ref="I5:BT5" si="3">MONTH(I11)</f>
        <v>2</v>
      </c>
      <c r="J5" s="35">
        <f t="shared" si="3"/>
        <v>3</v>
      </c>
      <c r="K5" s="35">
        <f t="shared" si="3"/>
        <v>4</v>
      </c>
      <c r="L5" s="35">
        <f t="shared" si="3"/>
        <v>5</v>
      </c>
      <c r="M5" s="35">
        <f t="shared" si="3"/>
        <v>6</v>
      </c>
      <c r="N5" s="35">
        <f t="shared" si="3"/>
        <v>7</v>
      </c>
      <c r="O5" s="35">
        <f t="shared" si="3"/>
        <v>8</v>
      </c>
      <c r="P5" s="35">
        <f t="shared" si="3"/>
        <v>9</v>
      </c>
      <c r="Q5" s="35">
        <f t="shared" si="3"/>
        <v>10</v>
      </c>
      <c r="R5" s="35">
        <f t="shared" si="3"/>
        <v>11</v>
      </c>
      <c r="S5" s="35">
        <f t="shared" si="3"/>
        <v>12</v>
      </c>
      <c r="T5" s="35">
        <f t="shared" si="3"/>
        <v>1</v>
      </c>
      <c r="U5" s="35">
        <f t="shared" si="3"/>
        <v>2</v>
      </c>
      <c r="V5" s="35">
        <f t="shared" si="3"/>
        <v>3</v>
      </c>
      <c r="W5" s="35">
        <f t="shared" si="3"/>
        <v>4</v>
      </c>
      <c r="X5" s="35">
        <f t="shared" si="3"/>
        <v>5</v>
      </c>
      <c r="Y5" s="35">
        <f t="shared" si="3"/>
        <v>6</v>
      </c>
      <c r="Z5" s="35">
        <f t="shared" si="3"/>
        <v>7</v>
      </c>
      <c r="AA5" s="35">
        <f t="shared" si="3"/>
        <v>8</v>
      </c>
      <c r="AB5" s="35">
        <f t="shared" si="3"/>
        <v>9</v>
      </c>
      <c r="AC5" s="35">
        <f t="shared" si="3"/>
        <v>10</v>
      </c>
      <c r="AD5" s="35">
        <f t="shared" si="3"/>
        <v>11</v>
      </c>
      <c r="AE5" s="35">
        <f t="shared" si="3"/>
        <v>12</v>
      </c>
      <c r="AF5" s="35">
        <f t="shared" si="3"/>
        <v>1</v>
      </c>
      <c r="AG5" s="35">
        <f t="shared" si="3"/>
        <v>2</v>
      </c>
      <c r="AH5" s="35">
        <f t="shared" si="3"/>
        <v>3</v>
      </c>
      <c r="AI5" s="35">
        <f t="shared" si="3"/>
        <v>4</v>
      </c>
      <c r="AJ5" s="35">
        <f t="shared" si="3"/>
        <v>5</v>
      </c>
      <c r="AK5" s="35">
        <f t="shared" si="3"/>
        <v>6</v>
      </c>
      <c r="AL5" s="35">
        <f t="shared" si="3"/>
        <v>7</v>
      </c>
      <c r="AM5" s="35">
        <f t="shared" si="3"/>
        <v>8</v>
      </c>
      <c r="AN5" s="35">
        <f t="shared" si="3"/>
        <v>9</v>
      </c>
      <c r="AO5" s="35">
        <f t="shared" si="3"/>
        <v>10</v>
      </c>
      <c r="AP5" s="35">
        <f t="shared" si="3"/>
        <v>11</v>
      </c>
      <c r="AQ5" s="35">
        <f t="shared" si="3"/>
        <v>12</v>
      </c>
      <c r="AR5" s="35">
        <f t="shared" si="3"/>
        <v>1</v>
      </c>
      <c r="AS5" s="35">
        <f t="shared" si="3"/>
        <v>2</v>
      </c>
      <c r="AT5" s="35">
        <f t="shared" si="3"/>
        <v>3</v>
      </c>
      <c r="AU5" s="35">
        <f t="shared" si="3"/>
        <v>4</v>
      </c>
      <c r="AV5" s="35">
        <f t="shared" si="3"/>
        <v>5</v>
      </c>
      <c r="AW5" s="35">
        <f t="shared" si="3"/>
        <v>6</v>
      </c>
      <c r="AX5" s="35">
        <f t="shared" si="3"/>
        <v>7</v>
      </c>
      <c r="AY5" s="35">
        <f t="shared" si="3"/>
        <v>8</v>
      </c>
      <c r="AZ5" s="35">
        <f t="shared" si="3"/>
        <v>9</v>
      </c>
      <c r="BA5" s="35">
        <f t="shared" si="3"/>
        <v>10</v>
      </c>
      <c r="BB5" s="35">
        <f t="shared" si="3"/>
        <v>11</v>
      </c>
      <c r="BC5" s="35">
        <f t="shared" si="3"/>
        <v>12</v>
      </c>
      <c r="BD5" s="35">
        <f t="shared" si="3"/>
        <v>1</v>
      </c>
      <c r="BE5" s="35">
        <f t="shared" si="3"/>
        <v>2</v>
      </c>
      <c r="BF5" s="35">
        <f t="shared" si="3"/>
        <v>3</v>
      </c>
      <c r="BG5" s="35">
        <f t="shared" si="3"/>
        <v>4</v>
      </c>
      <c r="BH5" s="35">
        <f t="shared" si="3"/>
        <v>5</v>
      </c>
      <c r="BI5" s="35">
        <f t="shared" si="3"/>
        <v>6</v>
      </c>
      <c r="BJ5" s="35">
        <f t="shared" si="3"/>
        <v>7</v>
      </c>
      <c r="BK5" s="35">
        <f t="shared" si="3"/>
        <v>8</v>
      </c>
      <c r="BL5" s="35">
        <f t="shared" si="3"/>
        <v>9</v>
      </c>
      <c r="BM5" s="35">
        <f t="shared" si="3"/>
        <v>10</v>
      </c>
      <c r="BN5" s="35">
        <f t="shared" si="3"/>
        <v>11</v>
      </c>
      <c r="BO5" s="35">
        <f t="shared" si="3"/>
        <v>12</v>
      </c>
      <c r="BP5" s="35">
        <f t="shared" si="3"/>
        <v>1</v>
      </c>
      <c r="BQ5" s="35">
        <f t="shared" si="3"/>
        <v>2</v>
      </c>
      <c r="BR5" s="35">
        <f t="shared" si="3"/>
        <v>3</v>
      </c>
      <c r="BS5" s="35">
        <f t="shared" si="3"/>
        <v>4</v>
      </c>
      <c r="BT5" s="35">
        <f t="shared" si="3"/>
        <v>5</v>
      </c>
      <c r="BU5" s="35">
        <f t="shared" ref="BU5:EF5" si="4">MONTH(BU11)</f>
        <v>6</v>
      </c>
      <c r="BV5" s="35">
        <f t="shared" si="4"/>
        <v>7</v>
      </c>
      <c r="BW5" s="35">
        <f t="shared" si="4"/>
        <v>8</v>
      </c>
      <c r="BX5" s="35">
        <f t="shared" si="4"/>
        <v>9</v>
      </c>
      <c r="BY5" s="35">
        <f t="shared" si="4"/>
        <v>10</v>
      </c>
      <c r="BZ5" s="35">
        <f t="shared" si="4"/>
        <v>11</v>
      </c>
      <c r="CA5" s="35">
        <f t="shared" si="4"/>
        <v>12</v>
      </c>
      <c r="CB5" s="35">
        <f t="shared" si="4"/>
        <v>1</v>
      </c>
      <c r="CC5" s="35">
        <f t="shared" si="4"/>
        <v>2</v>
      </c>
      <c r="CD5" s="35">
        <f t="shared" si="4"/>
        <v>3</v>
      </c>
      <c r="CE5" s="35">
        <f t="shared" si="4"/>
        <v>4</v>
      </c>
      <c r="CF5" s="35">
        <f t="shared" si="4"/>
        <v>5</v>
      </c>
      <c r="CG5" s="35">
        <f t="shared" si="4"/>
        <v>6</v>
      </c>
      <c r="CH5" s="35">
        <f t="shared" si="4"/>
        <v>7</v>
      </c>
      <c r="CI5" s="35">
        <f t="shared" si="4"/>
        <v>8</v>
      </c>
      <c r="CJ5" s="35">
        <f t="shared" si="4"/>
        <v>9</v>
      </c>
      <c r="CK5" s="35">
        <f t="shared" si="4"/>
        <v>10</v>
      </c>
      <c r="CL5" s="35">
        <f t="shared" si="4"/>
        <v>11</v>
      </c>
      <c r="CM5" s="35">
        <f t="shared" si="4"/>
        <v>12</v>
      </c>
      <c r="CN5" s="35">
        <f t="shared" si="4"/>
        <v>1</v>
      </c>
      <c r="CO5" s="35">
        <f t="shared" si="4"/>
        <v>2</v>
      </c>
      <c r="CP5" s="35">
        <f t="shared" si="4"/>
        <v>3</v>
      </c>
      <c r="CQ5" s="35">
        <f t="shared" si="4"/>
        <v>4</v>
      </c>
      <c r="CR5" s="35">
        <f t="shared" si="4"/>
        <v>5</v>
      </c>
      <c r="CS5" s="35">
        <f t="shared" si="4"/>
        <v>6</v>
      </c>
      <c r="CT5" s="35">
        <f t="shared" si="4"/>
        <v>7</v>
      </c>
      <c r="CU5" s="35">
        <f t="shared" si="4"/>
        <v>8</v>
      </c>
      <c r="CV5" s="35">
        <f t="shared" si="4"/>
        <v>9</v>
      </c>
      <c r="CW5" s="35">
        <f t="shared" si="4"/>
        <v>10</v>
      </c>
      <c r="CX5" s="35">
        <f t="shared" si="4"/>
        <v>11</v>
      </c>
      <c r="CY5" s="35">
        <f t="shared" si="4"/>
        <v>12</v>
      </c>
      <c r="CZ5" s="35">
        <f t="shared" si="4"/>
        <v>1</v>
      </c>
      <c r="DA5" s="35">
        <f t="shared" si="4"/>
        <v>2</v>
      </c>
      <c r="DB5" s="35">
        <f t="shared" si="4"/>
        <v>3</v>
      </c>
      <c r="DC5" s="35">
        <f t="shared" si="4"/>
        <v>4</v>
      </c>
      <c r="DD5" s="35">
        <f t="shared" si="4"/>
        <v>5</v>
      </c>
      <c r="DE5" s="35">
        <f t="shared" si="4"/>
        <v>6</v>
      </c>
      <c r="DF5" s="35">
        <f t="shared" si="4"/>
        <v>7</v>
      </c>
      <c r="DG5" s="35">
        <f t="shared" si="4"/>
        <v>8</v>
      </c>
      <c r="DH5" s="35">
        <f t="shared" si="4"/>
        <v>9</v>
      </c>
      <c r="DI5" s="35">
        <f t="shared" si="4"/>
        <v>10</v>
      </c>
      <c r="DJ5" s="35">
        <f t="shared" si="4"/>
        <v>11</v>
      </c>
      <c r="DK5" s="35">
        <f t="shared" si="4"/>
        <v>12</v>
      </c>
      <c r="DL5" s="35">
        <f t="shared" si="4"/>
        <v>1</v>
      </c>
      <c r="DM5" s="35">
        <f t="shared" si="4"/>
        <v>2</v>
      </c>
      <c r="DN5" s="35">
        <f t="shared" si="4"/>
        <v>3</v>
      </c>
      <c r="DO5" s="35">
        <f t="shared" si="4"/>
        <v>4</v>
      </c>
      <c r="DP5" s="35">
        <f t="shared" si="4"/>
        <v>5</v>
      </c>
      <c r="DQ5" s="35">
        <f t="shared" si="4"/>
        <v>6</v>
      </c>
      <c r="DR5" s="35">
        <f t="shared" si="4"/>
        <v>7</v>
      </c>
      <c r="DS5" s="35">
        <f t="shared" si="4"/>
        <v>8</v>
      </c>
      <c r="DT5" s="35">
        <f t="shared" si="4"/>
        <v>9</v>
      </c>
      <c r="DU5" s="35">
        <f t="shared" si="4"/>
        <v>10</v>
      </c>
      <c r="DV5" s="35">
        <f t="shared" si="4"/>
        <v>11</v>
      </c>
      <c r="DW5" s="35">
        <f t="shared" si="4"/>
        <v>12</v>
      </c>
      <c r="DX5" s="35">
        <f t="shared" si="4"/>
        <v>1</v>
      </c>
      <c r="DY5" s="35">
        <f t="shared" si="4"/>
        <v>2</v>
      </c>
      <c r="DZ5" s="35">
        <f t="shared" si="4"/>
        <v>3</v>
      </c>
      <c r="EA5" s="35">
        <f t="shared" si="4"/>
        <v>4</v>
      </c>
      <c r="EB5" s="35">
        <f t="shared" si="4"/>
        <v>5</v>
      </c>
      <c r="EC5" s="35">
        <f t="shared" si="4"/>
        <v>6</v>
      </c>
      <c r="ED5" s="35">
        <f t="shared" si="4"/>
        <v>7</v>
      </c>
      <c r="EE5" s="35">
        <f t="shared" si="4"/>
        <v>8</v>
      </c>
      <c r="EF5" s="35">
        <f t="shared" si="4"/>
        <v>9</v>
      </c>
      <c r="EG5" s="35">
        <f t="shared" ref="EG5:FT5" si="5">MONTH(EG11)</f>
        <v>10</v>
      </c>
      <c r="EH5" s="35">
        <f t="shared" si="5"/>
        <v>11</v>
      </c>
      <c r="EI5" s="35">
        <f t="shared" si="5"/>
        <v>12</v>
      </c>
      <c r="EJ5" s="35">
        <f t="shared" si="5"/>
        <v>1</v>
      </c>
      <c r="EK5" s="35">
        <f t="shared" si="5"/>
        <v>2</v>
      </c>
      <c r="EL5" s="35">
        <f t="shared" si="5"/>
        <v>3</v>
      </c>
      <c r="EM5" s="35">
        <f t="shared" si="5"/>
        <v>4</v>
      </c>
      <c r="EN5" s="35">
        <f t="shared" si="5"/>
        <v>5</v>
      </c>
      <c r="EO5" s="35">
        <f t="shared" si="5"/>
        <v>6</v>
      </c>
      <c r="EP5" s="35">
        <f t="shared" si="5"/>
        <v>7</v>
      </c>
      <c r="EQ5" s="35">
        <f t="shared" si="5"/>
        <v>8</v>
      </c>
      <c r="ER5" s="35">
        <f t="shared" si="5"/>
        <v>9</v>
      </c>
      <c r="ES5" s="35">
        <f t="shared" si="5"/>
        <v>10</v>
      </c>
      <c r="ET5" s="35">
        <f t="shared" si="5"/>
        <v>11</v>
      </c>
      <c r="EU5" s="35">
        <f t="shared" si="5"/>
        <v>12</v>
      </c>
      <c r="EV5" s="35">
        <f t="shared" si="5"/>
        <v>1</v>
      </c>
      <c r="EW5" s="35">
        <f t="shared" si="5"/>
        <v>2</v>
      </c>
      <c r="EX5" s="35">
        <f t="shared" si="5"/>
        <v>3</v>
      </c>
      <c r="EY5" s="35">
        <f t="shared" si="5"/>
        <v>4</v>
      </c>
      <c r="EZ5" s="35">
        <f t="shared" si="5"/>
        <v>5</v>
      </c>
      <c r="FA5" s="35">
        <f t="shared" si="5"/>
        <v>6</v>
      </c>
      <c r="FB5" s="35">
        <f t="shared" si="5"/>
        <v>7</v>
      </c>
      <c r="FC5" s="35">
        <f t="shared" si="5"/>
        <v>8</v>
      </c>
      <c r="FD5" s="35">
        <f t="shared" si="5"/>
        <v>9</v>
      </c>
      <c r="FE5" s="35">
        <f t="shared" si="5"/>
        <v>10</v>
      </c>
      <c r="FF5" s="35">
        <f t="shared" si="5"/>
        <v>11</v>
      </c>
      <c r="FG5" s="35">
        <f t="shared" si="5"/>
        <v>12</v>
      </c>
      <c r="FH5" s="35">
        <f t="shared" si="5"/>
        <v>1</v>
      </c>
      <c r="FI5" s="35">
        <f t="shared" si="5"/>
        <v>2</v>
      </c>
      <c r="FJ5" s="35">
        <f t="shared" si="5"/>
        <v>3</v>
      </c>
      <c r="FK5" s="35">
        <f t="shared" si="5"/>
        <v>4</v>
      </c>
      <c r="FL5" s="35">
        <f t="shared" si="5"/>
        <v>5</v>
      </c>
      <c r="FM5" s="35">
        <f t="shared" si="5"/>
        <v>6</v>
      </c>
      <c r="FN5" s="35">
        <f t="shared" si="5"/>
        <v>7</v>
      </c>
      <c r="FO5" s="35">
        <f t="shared" si="5"/>
        <v>8</v>
      </c>
      <c r="FP5" s="35">
        <f t="shared" si="5"/>
        <v>9</v>
      </c>
      <c r="FQ5" s="35">
        <f t="shared" si="5"/>
        <v>10</v>
      </c>
      <c r="FR5" s="35">
        <f t="shared" si="5"/>
        <v>11</v>
      </c>
      <c r="FS5" s="35">
        <f t="shared" si="5"/>
        <v>12</v>
      </c>
      <c r="FT5" s="35">
        <f t="shared" si="5"/>
        <v>1</v>
      </c>
      <c r="FU5" s="34"/>
      <c r="FV5" s="34"/>
      <c r="FW5" s="34"/>
      <c r="FX5" s="34"/>
      <c r="FY5" s="34"/>
      <c r="FZ5" s="34"/>
    </row>
    <row r="6" spans="1:182" s="89" customFormat="1" ht="13.5" x14ac:dyDescent="0.25">
      <c r="A6" s="34"/>
      <c r="B6" s="48" t="str">
        <f>'Operating Assumptions'!D7</f>
        <v>Channahon, IL</v>
      </c>
      <c r="C6" s="34"/>
      <c r="D6" s="34"/>
      <c r="E6" s="34"/>
      <c r="F6" s="499" t="s">
        <v>309</v>
      </c>
      <c r="G6" s="34"/>
      <c r="H6" s="35">
        <f>IF(H$9&lt;'Operating Assumptions'!$D$53,0,INDEX('Operating Assumptions'!$A$184:$D$201,MATCH(H$7,'Operating Assumptions'!$A$184:$A$201,0),MATCH("Operational Year",'Operating Assumptions'!$A$184:$D$184,0)))</f>
        <v>0</v>
      </c>
      <c r="I6" s="35">
        <f>IF(I$9&lt;'Operating Assumptions'!$D$53,0,INDEX('Operating Assumptions'!$A$184:$D$201,MATCH(I$7,'Operating Assumptions'!$A$184:$A$201,0),MATCH("Operational Year",'Operating Assumptions'!$A$184:$D$184,0)))</f>
        <v>0</v>
      </c>
      <c r="J6" s="35">
        <f>IF(J$9&lt;'Operating Assumptions'!$D$53,0,INDEX('Operating Assumptions'!$A$184:$D$201,MATCH(J$7,'Operating Assumptions'!$A$184:$A$201,0),MATCH("Operational Year",'Operating Assumptions'!$A$184:$D$184,0)))</f>
        <v>0</v>
      </c>
      <c r="K6" s="35">
        <f>IF(K$9&lt;'Operating Assumptions'!$D$53,0,INDEX('Operating Assumptions'!$A$184:$D$201,MATCH(K$7,'Operating Assumptions'!$A$184:$A$201,0),MATCH("Operational Year",'Operating Assumptions'!$A$184:$D$184,0)))</f>
        <v>0</v>
      </c>
      <c r="L6" s="35">
        <f>IF(L$9&lt;'Operating Assumptions'!$D$53,0,INDEX('Operating Assumptions'!$A$184:$D$201,MATCH(L$7,'Operating Assumptions'!$A$184:$A$201,0),MATCH("Operational Year",'Operating Assumptions'!$A$184:$D$184,0)))</f>
        <v>0</v>
      </c>
      <c r="M6" s="35">
        <f>IF(M$9&lt;'Operating Assumptions'!$D$53,0,INDEX('Operating Assumptions'!$A$184:$D$201,MATCH(M$7,'Operating Assumptions'!$A$184:$A$201,0),MATCH("Operational Year",'Operating Assumptions'!$A$184:$D$184,0)))</f>
        <v>0</v>
      </c>
      <c r="N6" s="35">
        <f>IF(N$9&lt;'Operating Assumptions'!$D$53,0,INDEX('Operating Assumptions'!$A$184:$D$201,MATCH(N$7,'Operating Assumptions'!$A$184:$A$201,0),MATCH("Operational Year",'Operating Assumptions'!$A$184:$D$184,0)))</f>
        <v>0</v>
      </c>
      <c r="O6" s="35">
        <f>IF(O$9&lt;'Operating Assumptions'!$D$53,0,INDEX('Operating Assumptions'!$A$184:$D$201,MATCH(O$7,'Operating Assumptions'!$A$184:$A$201,0),MATCH("Operational Year",'Operating Assumptions'!$A$184:$D$184,0)))</f>
        <v>0</v>
      </c>
      <c r="P6" s="35">
        <f>IF(P$9&lt;'Operating Assumptions'!$D$53,0,INDEX('Operating Assumptions'!$A$184:$D$201,MATCH(P$7,'Operating Assumptions'!$A$184:$A$201,0),MATCH("Operational Year",'Operating Assumptions'!$A$184:$D$184,0)))</f>
        <v>0</v>
      </c>
      <c r="Q6" s="35">
        <f>IF(Q$9&lt;'Operating Assumptions'!$D$53,0,INDEX('Operating Assumptions'!$A$184:$D$201,MATCH(Q$7,'Operating Assumptions'!$A$184:$A$201,0),MATCH("Operational Year",'Operating Assumptions'!$A$184:$D$184,0)))</f>
        <v>0</v>
      </c>
      <c r="R6" s="35">
        <f>IF(R$9&lt;'Operating Assumptions'!$D$53,0,INDEX('Operating Assumptions'!$A$184:$D$201,MATCH(R$7,'Operating Assumptions'!$A$184:$A$201,0),MATCH("Operational Year",'Operating Assumptions'!$A$184:$D$184,0)))</f>
        <v>0</v>
      </c>
      <c r="S6" s="35">
        <f>IF(S$9&lt;'Operating Assumptions'!$D$53,0,INDEX('Operating Assumptions'!$A$184:$D$201,MATCH(S$7,'Operating Assumptions'!$A$184:$A$201,0),MATCH("Operational Year",'Operating Assumptions'!$A$184:$D$184,0)))</f>
        <v>0</v>
      </c>
      <c r="T6" s="35">
        <f>IF(T$9&lt;'Operating Assumptions'!$D$53,0,INDEX('Operating Assumptions'!$A$184:$D$201,MATCH(T$7,'Operating Assumptions'!$A$184:$A$201,0),MATCH("Operational Year",'Operating Assumptions'!$A$184:$D$184,0)))</f>
        <v>0</v>
      </c>
      <c r="U6" s="35">
        <f>IF(U$9&lt;'Operating Assumptions'!$D$53,0,INDEX('Operating Assumptions'!$A$184:$D$201,MATCH(U$7,'Operating Assumptions'!$A$184:$A$201,0),MATCH("Operational Year",'Operating Assumptions'!$A$184:$D$184,0)))</f>
        <v>0</v>
      </c>
      <c r="V6" s="35">
        <f>IF(V$9&lt;'Operating Assumptions'!$D$53,0,INDEX('Operating Assumptions'!$A$184:$D$201,MATCH(V$7,'Operating Assumptions'!$A$184:$A$201,0),MATCH("Operational Year",'Operating Assumptions'!$A$184:$D$184,0)))</f>
        <v>0</v>
      </c>
      <c r="W6" s="35">
        <f>IF(W$9&lt;'Operating Assumptions'!$D$53,0,INDEX('Operating Assumptions'!$A$184:$D$201,MATCH(W$7,'Operating Assumptions'!$A$184:$A$201,0),MATCH("Operational Year",'Operating Assumptions'!$A$184:$D$184,0)))</f>
        <v>0</v>
      </c>
      <c r="X6" s="35">
        <f>IF(X$9&lt;'Operating Assumptions'!$D$53,0,INDEX('Operating Assumptions'!$A$184:$D$201,MATCH(X$7,'Operating Assumptions'!$A$184:$A$201,0),MATCH("Operational Year",'Operating Assumptions'!$A$184:$D$184,0)))</f>
        <v>0</v>
      </c>
      <c r="Y6" s="35">
        <f>IF(Y$9&lt;'Operating Assumptions'!$D$53,0,INDEX('Operating Assumptions'!$A$184:$D$201,MATCH(Y$7,'Operating Assumptions'!$A$184:$A$201,0),MATCH("Operational Year",'Operating Assumptions'!$A$184:$D$184,0)))</f>
        <v>0.1</v>
      </c>
      <c r="Z6" s="35">
        <f>IF(Z$9&lt;'Operating Assumptions'!$D$53,0,INDEX('Operating Assumptions'!$A$184:$D$201,MATCH(Z$7,'Operating Assumptions'!$A$184:$A$201,0),MATCH("Operational Year",'Operating Assumptions'!$A$184:$D$184,0)))</f>
        <v>0.1</v>
      </c>
      <c r="AA6" s="35">
        <f>IF(AA$9&lt;'Operating Assumptions'!$D$53,0,INDEX('Operating Assumptions'!$A$184:$D$201,MATCH(AA$7,'Operating Assumptions'!$A$184:$A$201,0),MATCH("Operational Year",'Operating Assumptions'!$A$184:$D$184,0)))</f>
        <v>0.1</v>
      </c>
      <c r="AB6" s="35">
        <f>IF(AB$9&lt;'Operating Assumptions'!$D$53,0,INDEX('Operating Assumptions'!$A$184:$D$201,MATCH(AB$7,'Operating Assumptions'!$A$184:$A$201,0),MATCH("Operational Year",'Operating Assumptions'!$A$184:$D$184,0)))</f>
        <v>0.1</v>
      </c>
      <c r="AC6" s="35">
        <f>IF(AC$9&lt;'Operating Assumptions'!$D$53,0,INDEX('Operating Assumptions'!$A$184:$D$201,MATCH(AC$7,'Operating Assumptions'!$A$184:$A$201,0),MATCH("Operational Year",'Operating Assumptions'!$A$184:$D$184,0)))</f>
        <v>0.1</v>
      </c>
      <c r="AD6" s="35">
        <f>IF(AD$9&lt;'Operating Assumptions'!$D$53,0,INDEX('Operating Assumptions'!$A$184:$D$201,MATCH(AD$7,'Operating Assumptions'!$A$184:$A$201,0),MATCH("Operational Year",'Operating Assumptions'!$A$184:$D$184,0)))</f>
        <v>0.1</v>
      </c>
      <c r="AE6" s="35">
        <f>IF(AE$9&lt;'Operating Assumptions'!$D$53,0,INDEX('Operating Assumptions'!$A$184:$D$201,MATCH(AE$7,'Operating Assumptions'!$A$184:$A$201,0),MATCH("Operational Year",'Operating Assumptions'!$A$184:$D$184,0)))</f>
        <v>0.1</v>
      </c>
      <c r="AF6" s="35">
        <f>IF(AF$9&lt;'Operating Assumptions'!$D$53,0,INDEX('Operating Assumptions'!$A$184:$D$201,MATCH(AF$7,'Operating Assumptions'!$A$184:$A$201,0),MATCH("Operational Year",'Operating Assumptions'!$A$184:$D$184,0)))</f>
        <v>1</v>
      </c>
      <c r="AG6" s="35">
        <f>IF(AG$9&lt;'Operating Assumptions'!$D$53,0,INDEX('Operating Assumptions'!$A$184:$D$201,MATCH(AG$7,'Operating Assumptions'!$A$184:$A$201,0),MATCH("Operational Year",'Operating Assumptions'!$A$184:$D$184,0)))</f>
        <v>1</v>
      </c>
      <c r="AH6" s="35">
        <f>IF(AH$9&lt;'Operating Assumptions'!$D$53,0,INDEX('Operating Assumptions'!$A$184:$D$201,MATCH(AH$7,'Operating Assumptions'!$A$184:$A$201,0),MATCH("Operational Year",'Operating Assumptions'!$A$184:$D$184,0)))</f>
        <v>1</v>
      </c>
      <c r="AI6" s="35">
        <f>IF(AI$9&lt;'Operating Assumptions'!$D$53,0,INDEX('Operating Assumptions'!$A$184:$D$201,MATCH(AI$7,'Operating Assumptions'!$A$184:$A$201,0),MATCH("Operational Year",'Operating Assumptions'!$A$184:$D$184,0)))</f>
        <v>1</v>
      </c>
      <c r="AJ6" s="35">
        <f>IF(AJ$9&lt;'Operating Assumptions'!$D$53,0,INDEX('Operating Assumptions'!$A$184:$D$201,MATCH(AJ$7,'Operating Assumptions'!$A$184:$A$201,0),MATCH("Operational Year",'Operating Assumptions'!$A$184:$D$184,0)))</f>
        <v>1</v>
      </c>
      <c r="AK6" s="35">
        <f>IF(AK$9&lt;'Operating Assumptions'!$D$53,0,INDEX('Operating Assumptions'!$A$184:$D$201,MATCH(AK$7,'Operating Assumptions'!$A$184:$A$201,0),MATCH("Operational Year",'Operating Assumptions'!$A$184:$D$184,0)))</f>
        <v>1</v>
      </c>
      <c r="AL6" s="35">
        <f>IF(AL$9&lt;'Operating Assumptions'!$D$53,0,INDEX('Operating Assumptions'!$A$184:$D$201,MATCH(AL$7,'Operating Assumptions'!$A$184:$A$201,0),MATCH("Operational Year",'Operating Assumptions'!$A$184:$D$184,0)))</f>
        <v>1</v>
      </c>
      <c r="AM6" s="35">
        <f>IF(AM$9&lt;'Operating Assumptions'!$D$53,0,INDEX('Operating Assumptions'!$A$184:$D$201,MATCH(AM$7,'Operating Assumptions'!$A$184:$A$201,0),MATCH("Operational Year",'Operating Assumptions'!$A$184:$D$184,0)))</f>
        <v>1</v>
      </c>
      <c r="AN6" s="35">
        <f>IF(AN$9&lt;'Operating Assumptions'!$D$53,0,INDEX('Operating Assumptions'!$A$184:$D$201,MATCH(AN$7,'Operating Assumptions'!$A$184:$A$201,0),MATCH("Operational Year",'Operating Assumptions'!$A$184:$D$184,0)))</f>
        <v>1</v>
      </c>
      <c r="AO6" s="35">
        <f>IF(AO$9&lt;'Operating Assumptions'!$D$53,0,INDEX('Operating Assumptions'!$A$184:$D$201,MATCH(AO$7,'Operating Assumptions'!$A$184:$A$201,0),MATCH("Operational Year",'Operating Assumptions'!$A$184:$D$184,0)))</f>
        <v>1</v>
      </c>
      <c r="AP6" s="35">
        <f>IF(AP$9&lt;'Operating Assumptions'!$D$53,0,INDEX('Operating Assumptions'!$A$184:$D$201,MATCH(AP$7,'Operating Assumptions'!$A$184:$A$201,0),MATCH("Operational Year",'Operating Assumptions'!$A$184:$D$184,0)))</f>
        <v>1</v>
      </c>
      <c r="AQ6" s="35">
        <f>IF(AQ$9&lt;'Operating Assumptions'!$D$53,0,INDEX('Operating Assumptions'!$A$184:$D$201,MATCH(AQ$7,'Operating Assumptions'!$A$184:$A$201,0),MATCH("Operational Year",'Operating Assumptions'!$A$184:$D$184,0)))</f>
        <v>1</v>
      </c>
      <c r="AR6" s="35">
        <f>IF(AR$9&lt;'Operating Assumptions'!$D$53,0,INDEX('Operating Assumptions'!$A$184:$D$201,MATCH(AR$7,'Operating Assumptions'!$A$184:$A$201,0),MATCH("Operational Year",'Operating Assumptions'!$A$184:$D$184,0)))</f>
        <v>2</v>
      </c>
      <c r="AS6" s="35">
        <f>IF(AS$9&lt;'Operating Assumptions'!$D$53,0,INDEX('Operating Assumptions'!$A$184:$D$201,MATCH(AS$7,'Operating Assumptions'!$A$184:$A$201,0),MATCH("Operational Year",'Operating Assumptions'!$A$184:$D$184,0)))</f>
        <v>2</v>
      </c>
      <c r="AT6" s="35">
        <f>IF(AT$9&lt;'Operating Assumptions'!$D$53,0,INDEX('Operating Assumptions'!$A$184:$D$201,MATCH(AT$7,'Operating Assumptions'!$A$184:$A$201,0),MATCH("Operational Year",'Operating Assumptions'!$A$184:$D$184,0)))</f>
        <v>2</v>
      </c>
      <c r="AU6" s="35">
        <f>IF(AU$9&lt;'Operating Assumptions'!$D$53,0,INDEX('Operating Assumptions'!$A$184:$D$201,MATCH(AU$7,'Operating Assumptions'!$A$184:$A$201,0),MATCH("Operational Year",'Operating Assumptions'!$A$184:$D$184,0)))</f>
        <v>2</v>
      </c>
      <c r="AV6" s="35">
        <f>IF(AV$9&lt;'Operating Assumptions'!$D$53,0,INDEX('Operating Assumptions'!$A$184:$D$201,MATCH(AV$7,'Operating Assumptions'!$A$184:$A$201,0),MATCH("Operational Year",'Operating Assumptions'!$A$184:$D$184,0)))</f>
        <v>2</v>
      </c>
      <c r="AW6" s="35">
        <f>IF(AW$9&lt;'Operating Assumptions'!$D$53,0,INDEX('Operating Assumptions'!$A$184:$D$201,MATCH(AW$7,'Operating Assumptions'!$A$184:$A$201,0),MATCH("Operational Year",'Operating Assumptions'!$A$184:$D$184,0)))</f>
        <v>2</v>
      </c>
      <c r="AX6" s="35">
        <f>IF(AX$9&lt;'Operating Assumptions'!$D$53,0,INDEX('Operating Assumptions'!$A$184:$D$201,MATCH(AX$7,'Operating Assumptions'!$A$184:$A$201,0),MATCH("Operational Year",'Operating Assumptions'!$A$184:$D$184,0)))</f>
        <v>2</v>
      </c>
      <c r="AY6" s="35">
        <f>IF(AY$9&lt;'Operating Assumptions'!$D$53,0,INDEX('Operating Assumptions'!$A$184:$D$201,MATCH(AY$7,'Operating Assumptions'!$A$184:$A$201,0),MATCH("Operational Year",'Operating Assumptions'!$A$184:$D$184,0)))</f>
        <v>2</v>
      </c>
      <c r="AZ6" s="35">
        <f>IF(AZ$9&lt;'Operating Assumptions'!$D$53,0,INDEX('Operating Assumptions'!$A$184:$D$201,MATCH(AZ$7,'Operating Assumptions'!$A$184:$A$201,0),MATCH("Operational Year",'Operating Assumptions'!$A$184:$D$184,0)))</f>
        <v>2</v>
      </c>
      <c r="BA6" s="35">
        <f>IF(BA$9&lt;'Operating Assumptions'!$D$53,0,INDEX('Operating Assumptions'!$A$184:$D$201,MATCH(BA$7,'Operating Assumptions'!$A$184:$A$201,0),MATCH("Operational Year",'Operating Assumptions'!$A$184:$D$184,0)))</f>
        <v>2</v>
      </c>
      <c r="BB6" s="35">
        <f>IF(BB$9&lt;'Operating Assumptions'!$D$53,0,INDEX('Operating Assumptions'!$A$184:$D$201,MATCH(BB$7,'Operating Assumptions'!$A$184:$A$201,0),MATCH("Operational Year",'Operating Assumptions'!$A$184:$D$184,0)))</f>
        <v>2</v>
      </c>
      <c r="BC6" s="35">
        <f>IF(BC$9&lt;'Operating Assumptions'!$D$53,0,INDEX('Operating Assumptions'!$A$184:$D$201,MATCH(BC$7,'Operating Assumptions'!$A$184:$A$201,0),MATCH("Operational Year",'Operating Assumptions'!$A$184:$D$184,0)))</f>
        <v>2</v>
      </c>
      <c r="BD6" s="35">
        <f>IF(BD$9&lt;'Operating Assumptions'!$D$53,0,INDEX('Operating Assumptions'!$A$184:$D$201,MATCH(BD$7,'Operating Assumptions'!$A$184:$A$201,0),MATCH("Operational Year",'Operating Assumptions'!$A$184:$D$184,0)))</f>
        <v>3</v>
      </c>
      <c r="BE6" s="35">
        <f>IF(BE$9&lt;'Operating Assumptions'!$D$53,0,INDEX('Operating Assumptions'!$A$184:$D$201,MATCH(BE$7,'Operating Assumptions'!$A$184:$A$201,0),MATCH("Operational Year",'Operating Assumptions'!$A$184:$D$184,0)))</f>
        <v>3</v>
      </c>
      <c r="BF6" s="35">
        <f>IF(BF$9&lt;'Operating Assumptions'!$D$53,0,INDEX('Operating Assumptions'!$A$184:$D$201,MATCH(BF$7,'Operating Assumptions'!$A$184:$A$201,0),MATCH("Operational Year",'Operating Assumptions'!$A$184:$D$184,0)))</f>
        <v>3</v>
      </c>
      <c r="BG6" s="35">
        <f>IF(BG$9&lt;'Operating Assumptions'!$D$53,0,INDEX('Operating Assumptions'!$A$184:$D$201,MATCH(BG$7,'Operating Assumptions'!$A$184:$A$201,0),MATCH("Operational Year",'Operating Assumptions'!$A$184:$D$184,0)))</f>
        <v>3</v>
      </c>
      <c r="BH6" s="35">
        <f>IF(BH$9&lt;'Operating Assumptions'!$D$53,0,INDEX('Operating Assumptions'!$A$184:$D$201,MATCH(BH$7,'Operating Assumptions'!$A$184:$A$201,0),MATCH("Operational Year",'Operating Assumptions'!$A$184:$D$184,0)))</f>
        <v>3</v>
      </c>
      <c r="BI6" s="35">
        <f>IF(BI$9&lt;'Operating Assumptions'!$D$53,0,INDEX('Operating Assumptions'!$A$184:$D$201,MATCH(BI$7,'Operating Assumptions'!$A$184:$A$201,0),MATCH("Operational Year",'Operating Assumptions'!$A$184:$D$184,0)))</f>
        <v>3</v>
      </c>
      <c r="BJ6" s="35">
        <f>IF(BJ$9&lt;'Operating Assumptions'!$D$53,0,INDEX('Operating Assumptions'!$A$184:$D$201,MATCH(BJ$7,'Operating Assumptions'!$A$184:$A$201,0),MATCH("Operational Year",'Operating Assumptions'!$A$184:$D$184,0)))</f>
        <v>3</v>
      </c>
      <c r="BK6" s="35">
        <f>IF(BK$9&lt;'Operating Assumptions'!$D$53,0,INDEX('Operating Assumptions'!$A$184:$D$201,MATCH(BK$7,'Operating Assumptions'!$A$184:$A$201,0),MATCH("Operational Year",'Operating Assumptions'!$A$184:$D$184,0)))</f>
        <v>3</v>
      </c>
      <c r="BL6" s="35">
        <f>IF(BL$9&lt;'Operating Assumptions'!$D$53,0,INDEX('Operating Assumptions'!$A$184:$D$201,MATCH(BL$7,'Operating Assumptions'!$A$184:$A$201,0),MATCH("Operational Year",'Operating Assumptions'!$A$184:$D$184,0)))</f>
        <v>3</v>
      </c>
      <c r="BM6" s="35">
        <f>IF(BM$9&lt;'Operating Assumptions'!$D$53,0,INDEX('Operating Assumptions'!$A$184:$D$201,MATCH(BM$7,'Operating Assumptions'!$A$184:$A$201,0),MATCH("Operational Year",'Operating Assumptions'!$A$184:$D$184,0)))</f>
        <v>3</v>
      </c>
      <c r="BN6" s="35">
        <f>IF(BN$9&lt;'Operating Assumptions'!$D$53,0,INDEX('Operating Assumptions'!$A$184:$D$201,MATCH(BN$7,'Operating Assumptions'!$A$184:$A$201,0),MATCH("Operational Year",'Operating Assumptions'!$A$184:$D$184,0)))</f>
        <v>3</v>
      </c>
      <c r="BO6" s="35">
        <f>IF(BO$9&lt;'Operating Assumptions'!$D$53,0,INDEX('Operating Assumptions'!$A$184:$D$201,MATCH(BO$7,'Operating Assumptions'!$A$184:$A$201,0),MATCH("Operational Year",'Operating Assumptions'!$A$184:$D$184,0)))</f>
        <v>3</v>
      </c>
      <c r="BP6" s="35">
        <f>IF(BP$9&lt;'Operating Assumptions'!$D$53,0,INDEX('Operating Assumptions'!$A$184:$D$201,MATCH(BP$7,'Operating Assumptions'!$A$184:$A$201,0),MATCH("Operational Year",'Operating Assumptions'!$A$184:$D$184,0)))</f>
        <v>4</v>
      </c>
      <c r="BQ6" s="35">
        <f>IF(BQ$9&lt;'Operating Assumptions'!$D$53,0,INDEX('Operating Assumptions'!$A$184:$D$201,MATCH(BQ$7,'Operating Assumptions'!$A$184:$A$201,0),MATCH("Operational Year",'Operating Assumptions'!$A$184:$D$184,0)))</f>
        <v>4</v>
      </c>
      <c r="BR6" s="35">
        <f>IF(BR$9&lt;'Operating Assumptions'!$D$53,0,INDEX('Operating Assumptions'!$A$184:$D$201,MATCH(BR$7,'Operating Assumptions'!$A$184:$A$201,0),MATCH("Operational Year",'Operating Assumptions'!$A$184:$D$184,0)))</f>
        <v>4</v>
      </c>
      <c r="BS6" s="35">
        <f>IF(BS$9&lt;'Operating Assumptions'!$D$53,0,INDEX('Operating Assumptions'!$A$184:$D$201,MATCH(BS$7,'Operating Assumptions'!$A$184:$A$201,0),MATCH("Operational Year",'Operating Assumptions'!$A$184:$D$184,0)))</f>
        <v>4</v>
      </c>
      <c r="BT6" s="35">
        <f>IF(BT$9&lt;'Operating Assumptions'!$D$53,0,INDEX('Operating Assumptions'!$A$184:$D$201,MATCH(BT$7,'Operating Assumptions'!$A$184:$A$201,0),MATCH("Operational Year",'Operating Assumptions'!$A$184:$D$184,0)))</f>
        <v>4</v>
      </c>
      <c r="BU6" s="35">
        <f>IF(BU$9&lt;'Operating Assumptions'!$D$53,0,INDEX('Operating Assumptions'!$A$184:$D$201,MATCH(BU$7,'Operating Assumptions'!$A$184:$A$201,0),MATCH("Operational Year",'Operating Assumptions'!$A$184:$D$184,0)))</f>
        <v>4</v>
      </c>
      <c r="BV6" s="35">
        <f>IF(BV$9&lt;'Operating Assumptions'!$D$53,0,INDEX('Operating Assumptions'!$A$184:$D$201,MATCH(BV$7,'Operating Assumptions'!$A$184:$A$201,0),MATCH("Operational Year",'Operating Assumptions'!$A$184:$D$184,0)))</f>
        <v>4</v>
      </c>
      <c r="BW6" s="35">
        <f>IF(BW$9&lt;'Operating Assumptions'!$D$53,0,INDEX('Operating Assumptions'!$A$184:$D$201,MATCH(BW$7,'Operating Assumptions'!$A$184:$A$201,0),MATCH("Operational Year",'Operating Assumptions'!$A$184:$D$184,0)))</f>
        <v>4</v>
      </c>
      <c r="BX6" s="35">
        <f>IF(BX$9&lt;'Operating Assumptions'!$D$53,0,INDEX('Operating Assumptions'!$A$184:$D$201,MATCH(BX$7,'Operating Assumptions'!$A$184:$A$201,0),MATCH("Operational Year",'Operating Assumptions'!$A$184:$D$184,0)))</f>
        <v>4</v>
      </c>
      <c r="BY6" s="35">
        <f>IF(BY$9&lt;'Operating Assumptions'!$D$53,0,INDEX('Operating Assumptions'!$A$184:$D$201,MATCH(BY$7,'Operating Assumptions'!$A$184:$A$201,0),MATCH("Operational Year",'Operating Assumptions'!$A$184:$D$184,0)))</f>
        <v>4</v>
      </c>
      <c r="BZ6" s="35">
        <f>IF(BZ$9&lt;'Operating Assumptions'!$D$53,0,INDEX('Operating Assumptions'!$A$184:$D$201,MATCH(BZ$7,'Operating Assumptions'!$A$184:$A$201,0),MATCH("Operational Year",'Operating Assumptions'!$A$184:$D$184,0)))</f>
        <v>4</v>
      </c>
      <c r="CA6" s="35">
        <f>IF(CA$9&lt;'Operating Assumptions'!$D$53,0,INDEX('Operating Assumptions'!$A$184:$D$201,MATCH(CA$7,'Operating Assumptions'!$A$184:$A$201,0),MATCH("Operational Year",'Operating Assumptions'!$A$184:$D$184,0)))</f>
        <v>4</v>
      </c>
      <c r="CB6" s="35">
        <f>IF(CB$9&lt;'Operating Assumptions'!$D$53,0,INDEX('Operating Assumptions'!$A$184:$D$201,MATCH(CB$7,'Operating Assumptions'!$A$184:$A$201,0),MATCH("Operational Year",'Operating Assumptions'!$A$184:$D$184,0)))</f>
        <v>5</v>
      </c>
      <c r="CC6" s="35">
        <f>IF(CC$9&lt;'Operating Assumptions'!$D$53,0,INDEX('Operating Assumptions'!$A$184:$D$201,MATCH(CC$7,'Operating Assumptions'!$A$184:$A$201,0),MATCH("Operational Year",'Operating Assumptions'!$A$184:$D$184,0)))</f>
        <v>5</v>
      </c>
      <c r="CD6" s="35">
        <f>IF(CD$9&lt;'Operating Assumptions'!$D$53,0,INDEX('Operating Assumptions'!$A$184:$D$201,MATCH(CD$7,'Operating Assumptions'!$A$184:$A$201,0),MATCH("Operational Year",'Operating Assumptions'!$A$184:$D$184,0)))</f>
        <v>5</v>
      </c>
      <c r="CE6" s="35">
        <f>IF(CE$9&lt;'Operating Assumptions'!$D$53,0,INDEX('Operating Assumptions'!$A$184:$D$201,MATCH(CE$7,'Operating Assumptions'!$A$184:$A$201,0),MATCH("Operational Year",'Operating Assumptions'!$A$184:$D$184,0)))</f>
        <v>5</v>
      </c>
      <c r="CF6" s="35">
        <f>IF(CF$9&lt;'Operating Assumptions'!$D$53,0,INDEX('Operating Assumptions'!$A$184:$D$201,MATCH(CF$7,'Operating Assumptions'!$A$184:$A$201,0),MATCH("Operational Year",'Operating Assumptions'!$A$184:$D$184,0)))</f>
        <v>5</v>
      </c>
      <c r="CG6" s="35">
        <f>IF(CG$9&lt;'Operating Assumptions'!$D$53,0,INDEX('Operating Assumptions'!$A$184:$D$201,MATCH(CG$7,'Operating Assumptions'!$A$184:$A$201,0),MATCH("Operational Year",'Operating Assumptions'!$A$184:$D$184,0)))</f>
        <v>5</v>
      </c>
      <c r="CH6" s="35">
        <f>IF(CH$9&lt;'Operating Assumptions'!$D$53,0,INDEX('Operating Assumptions'!$A$184:$D$201,MATCH(CH$7,'Operating Assumptions'!$A$184:$A$201,0),MATCH("Operational Year",'Operating Assumptions'!$A$184:$D$184,0)))</f>
        <v>5</v>
      </c>
      <c r="CI6" s="35">
        <f>IF(CI$9&lt;'Operating Assumptions'!$D$53,0,INDEX('Operating Assumptions'!$A$184:$D$201,MATCH(CI$7,'Operating Assumptions'!$A$184:$A$201,0),MATCH("Operational Year",'Operating Assumptions'!$A$184:$D$184,0)))</f>
        <v>5</v>
      </c>
      <c r="CJ6" s="35">
        <f>IF(CJ$9&lt;'Operating Assumptions'!$D$53,0,INDEX('Operating Assumptions'!$A$184:$D$201,MATCH(CJ$7,'Operating Assumptions'!$A$184:$A$201,0),MATCH("Operational Year",'Operating Assumptions'!$A$184:$D$184,0)))</f>
        <v>5</v>
      </c>
      <c r="CK6" s="35">
        <f>IF(CK$9&lt;'Operating Assumptions'!$D$53,0,INDEX('Operating Assumptions'!$A$184:$D$201,MATCH(CK$7,'Operating Assumptions'!$A$184:$A$201,0),MATCH("Operational Year",'Operating Assumptions'!$A$184:$D$184,0)))</f>
        <v>5</v>
      </c>
      <c r="CL6" s="35">
        <f>IF(CL$9&lt;'Operating Assumptions'!$D$53,0,INDEX('Operating Assumptions'!$A$184:$D$201,MATCH(CL$7,'Operating Assumptions'!$A$184:$A$201,0),MATCH("Operational Year",'Operating Assumptions'!$A$184:$D$184,0)))</f>
        <v>5</v>
      </c>
      <c r="CM6" s="35">
        <f>IF(CM$9&lt;'Operating Assumptions'!$D$53,0,INDEX('Operating Assumptions'!$A$184:$D$201,MATCH(CM$7,'Operating Assumptions'!$A$184:$A$201,0),MATCH("Operational Year",'Operating Assumptions'!$A$184:$D$184,0)))</f>
        <v>5</v>
      </c>
      <c r="CN6" s="35">
        <f>IF(CN$9&lt;'Operating Assumptions'!$D$53,0,INDEX('Operating Assumptions'!$A$184:$D$201,MATCH(CN$7,'Operating Assumptions'!$A$184:$A$201,0),MATCH("Operational Year",'Operating Assumptions'!$A$184:$D$184,0)))</f>
        <v>6</v>
      </c>
      <c r="CO6" s="35">
        <f>IF(CO$9&lt;'Operating Assumptions'!$D$53,0,INDEX('Operating Assumptions'!$A$184:$D$201,MATCH(CO$7,'Operating Assumptions'!$A$184:$A$201,0),MATCH("Operational Year",'Operating Assumptions'!$A$184:$D$184,0)))</f>
        <v>6</v>
      </c>
      <c r="CP6" s="35">
        <f>IF(CP$9&lt;'Operating Assumptions'!$D$53,0,INDEX('Operating Assumptions'!$A$184:$D$201,MATCH(CP$7,'Operating Assumptions'!$A$184:$A$201,0),MATCH("Operational Year",'Operating Assumptions'!$A$184:$D$184,0)))</f>
        <v>6</v>
      </c>
      <c r="CQ6" s="35">
        <f>IF(CQ$9&lt;'Operating Assumptions'!$D$53,0,INDEX('Operating Assumptions'!$A$184:$D$201,MATCH(CQ$7,'Operating Assumptions'!$A$184:$A$201,0),MATCH("Operational Year",'Operating Assumptions'!$A$184:$D$184,0)))</f>
        <v>6</v>
      </c>
      <c r="CR6" s="35">
        <f>IF(CR$9&lt;'Operating Assumptions'!$D$53,0,INDEX('Operating Assumptions'!$A$184:$D$201,MATCH(CR$7,'Operating Assumptions'!$A$184:$A$201,0),MATCH("Operational Year",'Operating Assumptions'!$A$184:$D$184,0)))</f>
        <v>6</v>
      </c>
      <c r="CS6" s="35">
        <f>IF(CS$9&lt;'Operating Assumptions'!$D$53,0,INDEX('Operating Assumptions'!$A$184:$D$201,MATCH(CS$7,'Operating Assumptions'!$A$184:$A$201,0),MATCH("Operational Year",'Operating Assumptions'!$A$184:$D$184,0)))</f>
        <v>6</v>
      </c>
      <c r="CT6" s="35">
        <f>IF(CT$9&lt;'Operating Assumptions'!$D$53,0,INDEX('Operating Assumptions'!$A$184:$D$201,MATCH(CT$7,'Operating Assumptions'!$A$184:$A$201,0),MATCH("Operational Year",'Operating Assumptions'!$A$184:$D$184,0)))</f>
        <v>6</v>
      </c>
      <c r="CU6" s="35">
        <f>IF(CU$9&lt;'Operating Assumptions'!$D$53,0,INDEX('Operating Assumptions'!$A$184:$D$201,MATCH(CU$7,'Operating Assumptions'!$A$184:$A$201,0),MATCH("Operational Year",'Operating Assumptions'!$A$184:$D$184,0)))</f>
        <v>6</v>
      </c>
      <c r="CV6" s="35">
        <f>IF(CV$9&lt;'Operating Assumptions'!$D$53,0,INDEX('Operating Assumptions'!$A$184:$D$201,MATCH(CV$7,'Operating Assumptions'!$A$184:$A$201,0),MATCH("Operational Year",'Operating Assumptions'!$A$184:$D$184,0)))</f>
        <v>6</v>
      </c>
      <c r="CW6" s="35">
        <f>IF(CW$9&lt;'Operating Assumptions'!$D$53,0,INDEX('Operating Assumptions'!$A$184:$D$201,MATCH(CW$7,'Operating Assumptions'!$A$184:$A$201,0),MATCH("Operational Year",'Operating Assumptions'!$A$184:$D$184,0)))</f>
        <v>6</v>
      </c>
      <c r="CX6" s="35">
        <f>IF(CX$9&lt;'Operating Assumptions'!$D$53,0,INDEX('Operating Assumptions'!$A$184:$D$201,MATCH(CX$7,'Operating Assumptions'!$A$184:$A$201,0),MATCH("Operational Year",'Operating Assumptions'!$A$184:$D$184,0)))</f>
        <v>6</v>
      </c>
      <c r="CY6" s="35">
        <f>IF(CY$9&lt;'Operating Assumptions'!$D$53,0,INDEX('Operating Assumptions'!$A$184:$D$201,MATCH(CY$7,'Operating Assumptions'!$A$184:$A$201,0),MATCH("Operational Year",'Operating Assumptions'!$A$184:$D$184,0)))</f>
        <v>6</v>
      </c>
      <c r="CZ6" s="35">
        <f>IF(CZ$9&lt;'Operating Assumptions'!$D$53,0,INDEX('Operating Assumptions'!$A$184:$D$201,MATCH(CZ$7,'Operating Assumptions'!$A$184:$A$201,0),MATCH("Operational Year",'Operating Assumptions'!$A$184:$D$184,0)))</f>
        <v>7</v>
      </c>
      <c r="DA6" s="35">
        <f>IF(DA$9&lt;'Operating Assumptions'!$D$53,0,INDEX('Operating Assumptions'!$A$184:$D$201,MATCH(DA$7,'Operating Assumptions'!$A$184:$A$201,0),MATCH("Operational Year",'Operating Assumptions'!$A$184:$D$184,0)))</f>
        <v>7</v>
      </c>
      <c r="DB6" s="35">
        <f>IF(DB$9&lt;'Operating Assumptions'!$D$53,0,INDEX('Operating Assumptions'!$A$184:$D$201,MATCH(DB$7,'Operating Assumptions'!$A$184:$A$201,0),MATCH("Operational Year",'Operating Assumptions'!$A$184:$D$184,0)))</f>
        <v>7</v>
      </c>
      <c r="DC6" s="35">
        <f>IF(DC$9&lt;'Operating Assumptions'!$D$53,0,INDEX('Operating Assumptions'!$A$184:$D$201,MATCH(DC$7,'Operating Assumptions'!$A$184:$A$201,0),MATCH("Operational Year",'Operating Assumptions'!$A$184:$D$184,0)))</f>
        <v>7</v>
      </c>
      <c r="DD6" s="35">
        <f>IF(DD$9&lt;'Operating Assumptions'!$D$53,0,INDEX('Operating Assumptions'!$A$184:$D$201,MATCH(DD$7,'Operating Assumptions'!$A$184:$A$201,0),MATCH("Operational Year",'Operating Assumptions'!$A$184:$D$184,0)))</f>
        <v>7</v>
      </c>
      <c r="DE6" s="35">
        <f>IF(DE$9&lt;'Operating Assumptions'!$D$53,0,INDEX('Operating Assumptions'!$A$184:$D$201,MATCH(DE$7,'Operating Assumptions'!$A$184:$A$201,0),MATCH("Operational Year",'Operating Assumptions'!$A$184:$D$184,0)))</f>
        <v>7</v>
      </c>
      <c r="DF6" s="35">
        <f>IF(DF$9&lt;'Operating Assumptions'!$D$53,0,INDEX('Operating Assumptions'!$A$184:$D$201,MATCH(DF$7,'Operating Assumptions'!$A$184:$A$201,0),MATCH("Operational Year",'Operating Assumptions'!$A$184:$D$184,0)))</f>
        <v>7</v>
      </c>
      <c r="DG6" s="35">
        <f>IF(DG$9&lt;'Operating Assumptions'!$D$53,0,INDEX('Operating Assumptions'!$A$184:$D$201,MATCH(DG$7,'Operating Assumptions'!$A$184:$A$201,0),MATCH("Operational Year",'Operating Assumptions'!$A$184:$D$184,0)))</f>
        <v>7</v>
      </c>
      <c r="DH6" s="35">
        <f>IF(DH$9&lt;'Operating Assumptions'!$D$53,0,INDEX('Operating Assumptions'!$A$184:$D$201,MATCH(DH$7,'Operating Assumptions'!$A$184:$A$201,0),MATCH("Operational Year",'Operating Assumptions'!$A$184:$D$184,0)))</f>
        <v>7</v>
      </c>
      <c r="DI6" s="35">
        <f>IF(DI$9&lt;'Operating Assumptions'!$D$53,0,INDEX('Operating Assumptions'!$A$184:$D$201,MATCH(DI$7,'Operating Assumptions'!$A$184:$A$201,0),MATCH("Operational Year",'Operating Assumptions'!$A$184:$D$184,0)))</f>
        <v>7</v>
      </c>
      <c r="DJ6" s="35">
        <f>IF(DJ$9&lt;'Operating Assumptions'!$D$53,0,INDEX('Operating Assumptions'!$A$184:$D$201,MATCH(DJ$7,'Operating Assumptions'!$A$184:$A$201,0),MATCH("Operational Year",'Operating Assumptions'!$A$184:$D$184,0)))</f>
        <v>7</v>
      </c>
      <c r="DK6" s="35">
        <f>IF(DK$9&lt;'Operating Assumptions'!$D$53,0,INDEX('Operating Assumptions'!$A$184:$D$201,MATCH(DK$7,'Operating Assumptions'!$A$184:$A$201,0),MATCH("Operational Year",'Operating Assumptions'!$A$184:$D$184,0)))</f>
        <v>7</v>
      </c>
      <c r="DL6" s="35">
        <f>IF(DL$9&lt;'Operating Assumptions'!$D$53,0,INDEX('Operating Assumptions'!$A$184:$D$201,MATCH(DL$7,'Operating Assumptions'!$A$184:$A$201,0),MATCH("Operational Year",'Operating Assumptions'!$A$184:$D$184,0)))</f>
        <v>8</v>
      </c>
      <c r="DM6" s="35">
        <f>IF(DM$9&lt;'Operating Assumptions'!$D$53,0,INDEX('Operating Assumptions'!$A$184:$D$201,MATCH(DM$7,'Operating Assumptions'!$A$184:$A$201,0),MATCH("Operational Year",'Operating Assumptions'!$A$184:$D$184,0)))</f>
        <v>8</v>
      </c>
      <c r="DN6" s="35">
        <f>IF(DN$9&lt;'Operating Assumptions'!$D$53,0,INDEX('Operating Assumptions'!$A$184:$D$201,MATCH(DN$7,'Operating Assumptions'!$A$184:$A$201,0),MATCH("Operational Year",'Operating Assumptions'!$A$184:$D$184,0)))</f>
        <v>8</v>
      </c>
      <c r="DO6" s="35">
        <f>IF(DO$9&lt;'Operating Assumptions'!$D$53,0,INDEX('Operating Assumptions'!$A$184:$D$201,MATCH(DO$7,'Operating Assumptions'!$A$184:$A$201,0),MATCH("Operational Year",'Operating Assumptions'!$A$184:$D$184,0)))</f>
        <v>8</v>
      </c>
      <c r="DP6" s="35">
        <f>IF(DP$9&lt;'Operating Assumptions'!$D$53,0,INDEX('Operating Assumptions'!$A$184:$D$201,MATCH(DP$7,'Operating Assumptions'!$A$184:$A$201,0),MATCH("Operational Year",'Operating Assumptions'!$A$184:$D$184,0)))</f>
        <v>8</v>
      </c>
      <c r="DQ6" s="35">
        <f>IF(DQ$9&lt;'Operating Assumptions'!$D$53,0,INDEX('Operating Assumptions'!$A$184:$D$201,MATCH(DQ$7,'Operating Assumptions'!$A$184:$A$201,0),MATCH("Operational Year",'Operating Assumptions'!$A$184:$D$184,0)))</f>
        <v>8</v>
      </c>
      <c r="DR6" s="35">
        <f>IF(DR$9&lt;'Operating Assumptions'!$D$53,0,INDEX('Operating Assumptions'!$A$184:$D$201,MATCH(DR$7,'Operating Assumptions'!$A$184:$A$201,0),MATCH("Operational Year",'Operating Assumptions'!$A$184:$D$184,0)))</f>
        <v>8</v>
      </c>
      <c r="DS6" s="35">
        <f>IF(DS$9&lt;'Operating Assumptions'!$D$53,0,INDEX('Operating Assumptions'!$A$184:$D$201,MATCH(DS$7,'Operating Assumptions'!$A$184:$A$201,0),MATCH("Operational Year",'Operating Assumptions'!$A$184:$D$184,0)))</f>
        <v>8</v>
      </c>
      <c r="DT6" s="35">
        <f>IF(DT$9&lt;'Operating Assumptions'!$D$53,0,INDEX('Operating Assumptions'!$A$184:$D$201,MATCH(DT$7,'Operating Assumptions'!$A$184:$A$201,0),MATCH("Operational Year",'Operating Assumptions'!$A$184:$D$184,0)))</f>
        <v>8</v>
      </c>
      <c r="DU6" s="35">
        <f>IF(DU$9&lt;'Operating Assumptions'!$D$53,0,INDEX('Operating Assumptions'!$A$184:$D$201,MATCH(DU$7,'Operating Assumptions'!$A$184:$A$201,0),MATCH("Operational Year",'Operating Assumptions'!$A$184:$D$184,0)))</f>
        <v>8</v>
      </c>
      <c r="DV6" s="35">
        <f>IF(DV$9&lt;'Operating Assumptions'!$D$53,0,INDEX('Operating Assumptions'!$A$184:$D$201,MATCH(DV$7,'Operating Assumptions'!$A$184:$A$201,0),MATCH("Operational Year",'Operating Assumptions'!$A$184:$D$184,0)))</f>
        <v>8</v>
      </c>
      <c r="DW6" s="35">
        <f>IF(DW$9&lt;'Operating Assumptions'!$D$53,0,INDEX('Operating Assumptions'!$A$184:$D$201,MATCH(DW$7,'Operating Assumptions'!$A$184:$A$201,0),MATCH("Operational Year",'Operating Assumptions'!$A$184:$D$184,0)))</f>
        <v>8</v>
      </c>
      <c r="DX6" s="35">
        <f>IF(DX$9&lt;'Operating Assumptions'!$D$53,0,INDEX('Operating Assumptions'!$A$184:$D$201,MATCH(DX$7,'Operating Assumptions'!$A$184:$A$201,0),MATCH("Operational Year",'Operating Assumptions'!$A$184:$D$184,0)))</f>
        <v>9</v>
      </c>
      <c r="DY6" s="35">
        <f>IF(DY$9&lt;'Operating Assumptions'!$D$53,0,INDEX('Operating Assumptions'!$A$184:$D$201,MATCH(DY$7,'Operating Assumptions'!$A$184:$A$201,0),MATCH("Operational Year",'Operating Assumptions'!$A$184:$D$184,0)))</f>
        <v>9</v>
      </c>
      <c r="DZ6" s="35">
        <f>IF(DZ$9&lt;'Operating Assumptions'!$D$53,0,INDEX('Operating Assumptions'!$A$184:$D$201,MATCH(DZ$7,'Operating Assumptions'!$A$184:$A$201,0),MATCH("Operational Year",'Operating Assumptions'!$A$184:$D$184,0)))</f>
        <v>9</v>
      </c>
      <c r="EA6" s="35">
        <f>IF(EA$9&lt;'Operating Assumptions'!$D$53,0,INDEX('Operating Assumptions'!$A$184:$D$201,MATCH(EA$7,'Operating Assumptions'!$A$184:$A$201,0),MATCH("Operational Year",'Operating Assumptions'!$A$184:$D$184,0)))</f>
        <v>9</v>
      </c>
      <c r="EB6" s="35">
        <f>IF(EB$9&lt;'Operating Assumptions'!$D$53,0,INDEX('Operating Assumptions'!$A$184:$D$201,MATCH(EB$7,'Operating Assumptions'!$A$184:$A$201,0),MATCH("Operational Year",'Operating Assumptions'!$A$184:$D$184,0)))</f>
        <v>9</v>
      </c>
      <c r="EC6" s="35">
        <f>IF(EC$9&lt;'Operating Assumptions'!$D$53,0,INDEX('Operating Assumptions'!$A$184:$D$201,MATCH(EC$7,'Operating Assumptions'!$A$184:$A$201,0),MATCH("Operational Year",'Operating Assumptions'!$A$184:$D$184,0)))</f>
        <v>9</v>
      </c>
      <c r="ED6" s="35">
        <f>IF(ED$9&lt;'Operating Assumptions'!$D$53,0,INDEX('Operating Assumptions'!$A$184:$D$201,MATCH(ED$7,'Operating Assumptions'!$A$184:$A$201,0),MATCH("Operational Year",'Operating Assumptions'!$A$184:$D$184,0)))</f>
        <v>9</v>
      </c>
      <c r="EE6" s="35">
        <f>IF(EE$9&lt;'Operating Assumptions'!$D$53,0,INDEX('Operating Assumptions'!$A$184:$D$201,MATCH(EE$7,'Operating Assumptions'!$A$184:$A$201,0),MATCH("Operational Year",'Operating Assumptions'!$A$184:$D$184,0)))</f>
        <v>9</v>
      </c>
      <c r="EF6" s="35">
        <f>IF(EF$9&lt;'Operating Assumptions'!$D$53,0,INDEX('Operating Assumptions'!$A$184:$D$201,MATCH(EF$7,'Operating Assumptions'!$A$184:$A$201,0),MATCH("Operational Year",'Operating Assumptions'!$A$184:$D$184,0)))</f>
        <v>9</v>
      </c>
      <c r="EG6" s="35">
        <f>IF(EG$9&lt;'Operating Assumptions'!$D$53,0,INDEX('Operating Assumptions'!$A$184:$D$201,MATCH(EG$7,'Operating Assumptions'!$A$184:$A$201,0),MATCH("Operational Year",'Operating Assumptions'!$A$184:$D$184,0)))</f>
        <v>9</v>
      </c>
      <c r="EH6" s="35">
        <f>IF(EH$9&lt;'Operating Assumptions'!$D$53,0,INDEX('Operating Assumptions'!$A$184:$D$201,MATCH(EH$7,'Operating Assumptions'!$A$184:$A$201,0),MATCH("Operational Year",'Operating Assumptions'!$A$184:$D$184,0)))</f>
        <v>9</v>
      </c>
      <c r="EI6" s="35">
        <f>IF(EI$9&lt;'Operating Assumptions'!$D$53,0,INDEX('Operating Assumptions'!$A$184:$D$201,MATCH(EI$7,'Operating Assumptions'!$A$184:$A$201,0),MATCH("Operational Year",'Operating Assumptions'!$A$184:$D$184,0)))</f>
        <v>9</v>
      </c>
      <c r="EJ6" s="35">
        <f>IF(EJ$9&lt;'Operating Assumptions'!$D$53,0,INDEX('Operating Assumptions'!$A$184:$D$201,MATCH(EJ$7,'Operating Assumptions'!$A$184:$A$201,0),MATCH("Operational Year",'Operating Assumptions'!$A$184:$D$184,0)))</f>
        <v>10</v>
      </c>
      <c r="EK6" s="35">
        <f>IF(EK$9&lt;'Operating Assumptions'!$D$53,0,INDEX('Operating Assumptions'!$A$184:$D$201,MATCH(EK$7,'Operating Assumptions'!$A$184:$A$201,0),MATCH("Operational Year",'Operating Assumptions'!$A$184:$D$184,0)))</f>
        <v>10</v>
      </c>
      <c r="EL6" s="35">
        <f>IF(EL$9&lt;'Operating Assumptions'!$D$53,0,INDEX('Operating Assumptions'!$A$184:$D$201,MATCH(EL$7,'Operating Assumptions'!$A$184:$A$201,0),MATCH("Operational Year",'Operating Assumptions'!$A$184:$D$184,0)))</f>
        <v>10</v>
      </c>
      <c r="EM6" s="35">
        <f>IF(EM$9&lt;'Operating Assumptions'!$D$53,0,INDEX('Operating Assumptions'!$A$184:$D$201,MATCH(EM$7,'Operating Assumptions'!$A$184:$A$201,0),MATCH("Operational Year",'Operating Assumptions'!$A$184:$D$184,0)))</f>
        <v>10</v>
      </c>
      <c r="EN6" s="35">
        <f>IF(EN$9&lt;'Operating Assumptions'!$D$53,0,INDEX('Operating Assumptions'!$A$184:$D$201,MATCH(EN$7,'Operating Assumptions'!$A$184:$A$201,0),MATCH("Operational Year",'Operating Assumptions'!$A$184:$D$184,0)))</f>
        <v>10</v>
      </c>
      <c r="EO6" s="35">
        <f>IF(EO$9&lt;'Operating Assumptions'!$D$53,0,INDEX('Operating Assumptions'!$A$184:$D$201,MATCH(EO$7,'Operating Assumptions'!$A$184:$A$201,0),MATCH("Operational Year",'Operating Assumptions'!$A$184:$D$184,0)))</f>
        <v>10</v>
      </c>
      <c r="EP6" s="35">
        <f>IF(EP$9&lt;'Operating Assumptions'!$D$53,0,INDEX('Operating Assumptions'!$A$184:$D$201,MATCH(EP$7,'Operating Assumptions'!$A$184:$A$201,0),MATCH("Operational Year",'Operating Assumptions'!$A$184:$D$184,0)))</f>
        <v>10</v>
      </c>
      <c r="EQ6" s="35">
        <f>IF(EQ$9&lt;'Operating Assumptions'!$D$53,0,INDEX('Operating Assumptions'!$A$184:$D$201,MATCH(EQ$7,'Operating Assumptions'!$A$184:$A$201,0),MATCH("Operational Year",'Operating Assumptions'!$A$184:$D$184,0)))</f>
        <v>10</v>
      </c>
      <c r="ER6" s="35">
        <f>IF(ER$9&lt;'Operating Assumptions'!$D$53,0,INDEX('Operating Assumptions'!$A$184:$D$201,MATCH(ER$7,'Operating Assumptions'!$A$184:$A$201,0),MATCH("Operational Year",'Operating Assumptions'!$A$184:$D$184,0)))</f>
        <v>10</v>
      </c>
      <c r="ES6" s="35">
        <f>IF(ES$9&lt;'Operating Assumptions'!$D$53,0,INDEX('Operating Assumptions'!$A$184:$D$201,MATCH(ES$7,'Operating Assumptions'!$A$184:$A$201,0),MATCH("Operational Year",'Operating Assumptions'!$A$184:$D$184,0)))</f>
        <v>10</v>
      </c>
      <c r="ET6" s="35">
        <f>IF(ET$9&lt;'Operating Assumptions'!$D$53,0,INDEX('Operating Assumptions'!$A$184:$D$201,MATCH(ET$7,'Operating Assumptions'!$A$184:$A$201,0),MATCH("Operational Year",'Operating Assumptions'!$A$184:$D$184,0)))</f>
        <v>10</v>
      </c>
      <c r="EU6" s="35">
        <f>IF(EU$9&lt;'Operating Assumptions'!$D$53,0,INDEX('Operating Assumptions'!$A$184:$D$201,MATCH(EU$7,'Operating Assumptions'!$A$184:$A$201,0),MATCH("Operational Year",'Operating Assumptions'!$A$184:$D$184,0)))</f>
        <v>10</v>
      </c>
      <c r="EV6" s="35">
        <f>IF(EV$9&lt;'Operating Assumptions'!$D$53,0,INDEX('Operating Assumptions'!$A$184:$D$201,MATCH(EV$7,'Operating Assumptions'!$A$184:$A$201,0),MATCH("Operational Year",'Operating Assumptions'!$A$184:$D$184,0)))</f>
        <v>11</v>
      </c>
      <c r="EW6" s="35">
        <f>IF(EW$9&lt;'Operating Assumptions'!$D$53,0,INDEX('Operating Assumptions'!$A$184:$D$201,MATCH(EW$7,'Operating Assumptions'!$A$184:$A$201,0),MATCH("Operational Year",'Operating Assumptions'!$A$184:$D$184,0)))</f>
        <v>11</v>
      </c>
      <c r="EX6" s="35">
        <f>IF(EX$9&lt;'Operating Assumptions'!$D$53,0,INDEX('Operating Assumptions'!$A$184:$D$201,MATCH(EX$7,'Operating Assumptions'!$A$184:$A$201,0),MATCH("Operational Year",'Operating Assumptions'!$A$184:$D$184,0)))</f>
        <v>11</v>
      </c>
      <c r="EY6" s="35">
        <f>IF(EY$9&lt;'Operating Assumptions'!$D$53,0,INDEX('Operating Assumptions'!$A$184:$D$201,MATCH(EY$7,'Operating Assumptions'!$A$184:$A$201,0),MATCH("Operational Year",'Operating Assumptions'!$A$184:$D$184,0)))</f>
        <v>11</v>
      </c>
      <c r="EZ6" s="35">
        <f>IF(EZ$9&lt;'Operating Assumptions'!$D$53,0,INDEX('Operating Assumptions'!$A$184:$D$201,MATCH(EZ$7,'Operating Assumptions'!$A$184:$A$201,0),MATCH("Operational Year",'Operating Assumptions'!$A$184:$D$184,0)))</f>
        <v>11</v>
      </c>
      <c r="FA6" s="35">
        <f>IF(FA$9&lt;'Operating Assumptions'!$D$53,0,INDEX('Operating Assumptions'!$A$184:$D$201,MATCH(FA$7,'Operating Assumptions'!$A$184:$A$201,0),MATCH("Operational Year",'Operating Assumptions'!$A$184:$D$184,0)))</f>
        <v>11</v>
      </c>
      <c r="FB6" s="35">
        <f>IF(FB$9&lt;'Operating Assumptions'!$D$53,0,INDEX('Operating Assumptions'!$A$184:$D$201,MATCH(FB$7,'Operating Assumptions'!$A$184:$A$201,0),MATCH("Operational Year",'Operating Assumptions'!$A$184:$D$184,0)))</f>
        <v>11</v>
      </c>
      <c r="FC6" s="35">
        <f>IF(FC$9&lt;'Operating Assumptions'!$D$53,0,INDEX('Operating Assumptions'!$A$184:$D$201,MATCH(FC$7,'Operating Assumptions'!$A$184:$A$201,0),MATCH("Operational Year",'Operating Assumptions'!$A$184:$D$184,0)))</f>
        <v>11</v>
      </c>
      <c r="FD6" s="35">
        <f>IF(FD$9&lt;'Operating Assumptions'!$D$53,0,INDEX('Operating Assumptions'!$A$184:$D$201,MATCH(FD$7,'Operating Assumptions'!$A$184:$A$201,0),MATCH("Operational Year",'Operating Assumptions'!$A$184:$D$184,0)))</f>
        <v>11</v>
      </c>
      <c r="FE6" s="35">
        <f>IF(FE$9&lt;'Operating Assumptions'!$D$53,0,INDEX('Operating Assumptions'!$A$184:$D$201,MATCH(FE$7,'Operating Assumptions'!$A$184:$A$201,0),MATCH("Operational Year",'Operating Assumptions'!$A$184:$D$184,0)))</f>
        <v>11</v>
      </c>
      <c r="FF6" s="35">
        <f>IF(FF$9&lt;'Operating Assumptions'!$D$53,0,INDEX('Operating Assumptions'!$A$184:$D$201,MATCH(FF$7,'Operating Assumptions'!$A$184:$A$201,0),MATCH("Operational Year",'Operating Assumptions'!$A$184:$D$184,0)))</f>
        <v>11</v>
      </c>
      <c r="FG6" s="35">
        <f>IF(FG$9&lt;'Operating Assumptions'!$D$53,0,INDEX('Operating Assumptions'!$A$184:$D$201,MATCH(FG$7,'Operating Assumptions'!$A$184:$A$201,0),MATCH("Operational Year",'Operating Assumptions'!$A$184:$D$184,0)))</f>
        <v>11</v>
      </c>
      <c r="FH6" s="35">
        <f>IF(FH$9&lt;'Operating Assumptions'!$D$53,0,INDEX('Operating Assumptions'!$A$184:$D$201,MATCH(FH$7,'Operating Assumptions'!$A$184:$A$201,0),MATCH("Operational Year",'Operating Assumptions'!$A$184:$D$184,0)))</f>
        <v>12</v>
      </c>
      <c r="FI6" s="35">
        <f>IF(FI$9&lt;'Operating Assumptions'!$D$53,0,INDEX('Operating Assumptions'!$A$184:$D$201,MATCH(FI$7,'Operating Assumptions'!$A$184:$A$201,0),MATCH("Operational Year",'Operating Assumptions'!$A$184:$D$184,0)))</f>
        <v>12</v>
      </c>
      <c r="FJ6" s="35">
        <f>IF(FJ$9&lt;'Operating Assumptions'!$D$53,0,INDEX('Operating Assumptions'!$A$184:$D$201,MATCH(FJ$7,'Operating Assumptions'!$A$184:$A$201,0),MATCH("Operational Year",'Operating Assumptions'!$A$184:$D$184,0)))</f>
        <v>12</v>
      </c>
      <c r="FK6" s="35">
        <f>IF(FK$9&lt;'Operating Assumptions'!$D$53,0,INDEX('Operating Assumptions'!$A$184:$D$201,MATCH(FK$7,'Operating Assumptions'!$A$184:$A$201,0),MATCH("Operational Year",'Operating Assumptions'!$A$184:$D$184,0)))</f>
        <v>12</v>
      </c>
      <c r="FL6" s="35">
        <f>IF(FL$9&lt;'Operating Assumptions'!$D$53,0,INDEX('Operating Assumptions'!$A$184:$D$201,MATCH(FL$7,'Operating Assumptions'!$A$184:$A$201,0),MATCH("Operational Year",'Operating Assumptions'!$A$184:$D$184,0)))</f>
        <v>12</v>
      </c>
      <c r="FM6" s="35">
        <f>IF(FM$9&lt;'Operating Assumptions'!$D$53,0,INDEX('Operating Assumptions'!$A$184:$D$201,MATCH(FM$7,'Operating Assumptions'!$A$184:$A$201,0),MATCH("Operational Year",'Operating Assumptions'!$A$184:$D$184,0)))</f>
        <v>12</v>
      </c>
      <c r="FN6" s="35">
        <f>IF(FN$9&lt;'Operating Assumptions'!$D$53,0,INDEX('Operating Assumptions'!$A$184:$D$201,MATCH(FN$7,'Operating Assumptions'!$A$184:$A$201,0),MATCH("Operational Year",'Operating Assumptions'!$A$184:$D$184,0)))</f>
        <v>12</v>
      </c>
      <c r="FO6" s="35">
        <f>IF(FO$9&lt;'Operating Assumptions'!$D$53,0,INDEX('Operating Assumptions'!$A$184:$D$201,MATCH(FO$7,'Operating Assumptions'!$A$184:$A$201,0),MATCH("Operational Year",'Operating Assumptions'!$A$184:$D$184,0)))</f>
        <v>12</v>
      </c>
      <c r="FP6" s="35">
        <f>IF(FP$9&lt;'Operating Assumptions'!$D$53,0,INDEX('Operating Assumptions'!$A$184:$D$201,MATCH(FP$7,'Operating Assumptions'!$A$184:$A$201,0),MATCH("Operational Year",'Operating Assumptions'!$A$184:$D$184,0)))</f>
        <v>12</v>
      </c>
      <c r="FQ6" s="35">
        <f>IF(FQ$9&lt;'Operating Assumptions'!$D$53,0,INDEX('Operating Assumptions'!$A$184:$D$201,MATCH(FQ$7,'Operating Assumptions'!$A$184:$A$201,0),MATCH("Operational Year",'Operating Assumptions'!$A$184:$D$184,0)))</f>
        <v>12</v>
      </c>
      <c r="FR6" s="35">
        <f>IF(FR$9&lt;'Operating Assumptions'!$D$53,0,INDEX('Operating Assumptions'!$A$184:$D$201,MATCH(FR$7,'Operating Assumptions'!$A$184:$A$201,0),MATCH("Operational Year",'Operating Assumptions'!$A$184:$D$184,0)))</f>
        <v>12</v>
      </c>
      <c r="FS6" s="35">
        <f>IF(FS$9&lt;'Operating Assumptions'!$D$53,0,INDEX('Operating Assumptions'!$A$184:$D$201,MATCH(FS$7,'Operating Assumptions'!$A$184:$A$201,0),MATCH("Operational Year",'Operating Assumptions'!$A$184:$D$184,0)))</f>
        <v>12</v>
      </c>
      <c r="FT6" s="35">
        <f>IF(FT$9&lt;'Operating Assumptions'!$D$53,0,INDEX('Operating Assumptions'!$A$184:$D$201,MATCH(FT$7,'Operating Assumptions'!$A$184:$A$201,0),MATCH("Operational Year",'Operating Assumptions'!$A$184:$D$184,0)))</f>
        <v>13</v>
      </c>
      <c r="FU6" s="34"/>
      <c r="FV6" s="34"/>
      <c r="FW6" s="34"/>
      <c r="FX6" s="34"/>
      <c r="FY6" s="34"/>
      <c r="FZ6" s="34"/>
    </row>
    <row r="7" spans="1:182" s="89" customFormat="1" ht="13.5" x14ac:dyDescent="0.25">
      <c r="A7" s="34"/>
      <c r="B7" s="34"/>
      <c r="C7" s="34"/>
      <c r="D7" s="34"/>
      <c r="E7" s="34"/>
      <c r="F7" s="499" t="s">
        <v>408</v>
      </c>
      <c r="G7" s="34"/>
      <c r="H7" s="35">
        <f>YEAR(H11)</f>
        <v>2026</v>
      </c>
      <c r="I7" s="500">
        <f t="shared" ref="I7:AM7" si="6">YEAR(I11)</f>
        <v>2026</v>
      </c>
      <c r="J7" s="35">
        <f t="shared" si="6"/>
        <v>2026</v>
      </c>
      <c r="K7" s="35">
        <f t="shared" si="6"/>
        <v>2026</v>
      </c>
      <c r="L7" s="35">
        <f t="shared" si="6"/>
        <v>2026</v>
      </c>
      <c r="M7" s="35">
        <f t="shared" si="6"/>
        <v>2026</v>
      </c>
      <c r="N7" s="35">
        <f t="shared" si="6"/>
        <v>2026</v>
      </c>
      <c r="O7" s="35">
        <f t="shared" si="6"/>
        <v>2026</v>
      </c>
      <c r="P7" s="35">
        <f t="shared" si="6"/>
        <v>2026</v>
      </c>
      <c r="Q7" s="35">
        <f t="shared" si="6"/>
        <v>2026</v>
      </c>
      <c r="R7" s="35">
        <f t="shared" si="6"/>
        <v>2026</v>
      </c>
      <c r="S7" s="35">
        <f t="shared" si="6"/>
        <v>2026</v>
      </c>
      <c r="T7" s="35">
        <f t="shared" si="6"/>
        <v>2027</v>
      </c>
      <c r="U7" s="35">
        <f t="shared" si="6"/>
        <v>2027</v>
      </c>
      <c r="V7" s="35">
        <f t="shared" si="6"/>
        <v>2027</v>
      </c>
      <c r="W7" s="35">
        <f t="shared" si="6"/>
        <v>2027</v>
      </c>
      <c r="X7" s="35">
        <f t="shared" si="6"/>
        <v>2027</v>
      </c>
      <c r="Y7" s="35">
        <f t="shared" si="6"/>
        <v>2027</v>
      </c>
      <c r="Z7" s="35">
        <f t="shared" si="6"/>
        <v>2027</v>
      </c>
      <c r="AA7" s="35">
        <f t="shared" si="6"/>
        <v>2027</v>
      </c>
      <c r="AB7" s="35">
        <f t="shared" si="6"/>
        <v>2027</v>
      </c>
      <c r="AC7" s="35">
        <f t="shared" si="6"/>
        <v>2027</v>
      </c>
      <c r="AD7" s="35">
        <f t="shared" si="6"/>
        <v>2027</v>
      </c>
      <c r="AE7" s="35">
        <f t="shared" si="6"/>
        <v>2027</v>
      </c>
      <c r="AF7" s="35">
        <f t="shared" si="6"/>
        <v>2028</v>
      </c>
      <c r="AG7" s="35">
        <f t="shared" si="6"/>
        <v>2028</v>
      </c>
      <c r="AH7" s="35">
        <f t="shared" si="6"/>
        <v>2028</v>
      </c>
      <c r="AI7" s="35">
        <f t="shared" si="6"/>
        <v>2028</v>
      </c>
      <c r="AJ7" s="35">
        <f t="shared" si="6"/>
        <v>2028</v>
      </c>
      <c r="AK7" s="35">
        <f t="shared" si="6"/>
        <v>2028</v>
      </c>
      <c r="AL7" s="35">
        <f t="shared" si="6"/>
        <v>2028</v>
      </c>
      <c r="AM7" s="35">
        <f t="shared" si="6"/>
        <v>2028</v>
      </c>
      <c r="AN7" s="35">
        <f t="shared" ref="AN7:BS7" si="7">YEAR(AN11)</f>
        <v>2028</v>
      </c>
      <c r="AO7" s="35">
        <f t="shared" si="7"/>
        <v>2028</v>
      </c>
      <c r="AP7" s="35">
        <f t="shared" si="7"/>
        <v>2028</v>
      </c>
      <c r="AQ7" s="35">
        <f t="shared" si="7"/>
        <v>2028</v>
      </c>
      <c r="AR7" s="35">
        <f t="shared" si="7"/>
        <v>2029</v>
      </c>
      <c r="AS7" s="35">
        <f t="shared" si="7"/>
        <v>2029</v>
      </c>
      <c r="AT7" s="35">
        <f t="shared" si="7"/>
        <v>2029</v>
      </c>
      <c r="AU7" s="35">
        <f t="shared" si="7"/>
        <v>2029</v>
      </c>
      <c r="AV7" s="35">
        <f t="shared" si="7"/>
        <v>2029</v>
      </c>
      <c r="AW7" s="35">
        <f t="shared" si="7"/>
        <v>2029</v>
      </c>
      <c r="AX7" s="35">
        <f t="shared" si="7"/>
        <v>2029</v>
      </c>
      <c r="AY7" s="35">
        <f t="shared" si="7"/>
        <v>2029</v>
      </c>
      <c r="AZ7" s="35">
        <f t="shared" si="7"/>
        <v>2029</v>
      </c>
      <c r="BA7" s="35">
        <f t="shared" si="7"/>
        <v>2029</v>
      </c>
      <c r="BB7" s="35">
        <f t="shared" si="7"/>
        <v>2029</v>
      </c>
      <c r="BC7" s="35">
        <f t="shared" si="7"/>
        <v>2029</v>
      </c>
      <c r="BD7" s="35">
        <f t="shared" si="7"/>
        <v>2030</v>
      </c>
      <c r="BE7" s="35">
        <f t="shared" si="7"/>
        <v>2030</v>
      </c>
      <c r="BF7" s="35">
        <f t="shared" si="7"/>
        <v>2030</v>
      </c>
      <c r="BG7" s="35">
        <f t="shared" si="7"/>
        <v>2030</v>
      </c>
      <c r="BH7" s="35">
        <f t="shared" si="7"/>
        <v>2030</v>
      </c>
      <c r="BI7" s="35">
        <f t="shared" si="7"/>
        <v>2030</v>
      </c>
      <c r="BJ7" s="35">
        <f t="shared" si="7"/>
        <v>2030</v>
      </c>
      <c r="BK7" s="35">
        <f t="shared" si="7"/>
        <v>2030</v>
      </c>
      <c r="BL7" s="35">
        <f t="shared" si="7"/>
        <v>2030</v>
      </c>
      <c r="BM7" s="35">
        <f t="shared" si="7"/>
        <v>2030</v>
      </c>
      <c r="BN7" s="35">
        <f t="shared" si="7"/>
        <v>2030</v>
      </c>
      <c r="BO7" s="35">
        <f t="shared" si="7"/>
        <v>2030</v>
      </c>
      <c r="BP7" s="35">
        <f t="shared" si="7"/>
        <v>2031</v>
      </c>
      <c r="BQ7" s="35">
        <f t="shared" si="7"/>
        <v>2031</v>
      </c>
      <c r="BR7" s="35">
        <f t="shared" si="7"/>
        <v>2031</v>
      </c>
      <c r="BS7" s="35">
        <f t="shared" si="7"/>
        <v>2031</v>
      </c>
      <c r="BT7" s="35">
        <f t="shared" ref="BT7:CY7" si="8">YEAR(BT11)</f>
        <v>2031</v>
      </c>
      <c r="BU7" s="35">
        <f t="shared" si="8"/>
        <v>2031</v>
      </c>
      <c r="BV7" s="35">
        <f t="shared" si="8"/>
        <v>2031</v>
      </c>
      <c r="BW7" s="35">
        <f t="shared" si="8"/>
        <v>2031</v>
      </c>
      <c r="BX7" s="35">
        <f t="shared" si="8"/>
        <v>2031</v>
      </c>
      <c r="BY7" s="35">
        <f t="shared" si="8"/>
        <v>2031</v>
      </c>
      <c r="BZ7" s="35">
        <f t="shared" si="8"/>
        <v>2031</v>
      </c>
      <c r="CA7" s="35">
        <f t="shared" si="8"/>
        <v>2031</v>
      </c>
      <c r="CB7" s="35">
        <f t="shared" si="8"/>
        <v>2032</v>
      </c>
      <c r="CC7" s="35">
        <f t="shared" si="8"/>
        <v>2032</v>
      </c>
      <c r="CD7" s="35">
        <f t="shared" si="8"/>
        <v>2032</v>
      </c>
      <c r="CE7" s="35">
        <f t="shared" si="8"/>
        <v>2032</v>
      </c>
      <c r="CF7" s="35">
        <f t="shared" si="8"/>
        <v>2032</v>
      </c>
      <c r="CG7" s="35">
        <f t="shared" si="8"/>
        <v>2032</v>
      </c>
      <c r="CH7" s="35">
        <f t="shared" si="8"/>
        <v>2032</v>
      </c>
      <c r="CI7" s="35">
        <f t="shared" si="8"/>
        <v>2032</v>
      </c>
      <c r="CJ7" s="35">
        <f t="shared" si="8"/>
        <v>2032</v>
      </c>
      <c r="CK7" s="35">
        <f t="shared" si="8"/>
        <v>2032</v>
      </c>
      <c r="CL7" s="35">
        <f t="shared" si="8"/>
        <v>2032</v>
      </c>
      <c r="CM7" s="35">
        <f t="shared" si="8"/>
        <v>2032</v>
      </c>
      <c r="CN7" s="35">
        <f t="shared" si="8"/>
        <v>2033</v>
      </c>
      <c r="CO7" s="35">
        <f t="shared" si="8"/>
        <v>2033</v>
      </c>
      <c r="CP7" s="35">
        <f t="shared" si="8"/>
        <v>2033</v>
      </c>
      <c r="CQ7" s="35">
        <f t="shared" si="8"/>
        <v>2033</v>
      </c>
      <c r="CR7" s="35">
        <f t="shared" si="8"/>
        <v>2033</v>
      </c>
      <c r="CS7" s="35">
        <f t="shared" si="8"/>
        <v>2033</v>
      </c>
      <c r="CT7" s="35">
        <f t="shared" si="8"/>
        <v>2033</v>
      </c>
      <c r="CU7" s="35">
        <f t="shared" si="8"/>
        <v>2033</v>
      </c>
      <c r="CV7" s="35">
        <f t="shared" si="8"/>
        <v>2033</v>
      </c>
      <c r="CW7" s="35">
        <f t="shared" si="8"/>
        <v>2033</v>
      </c>
      <c r="CX7" s="35">
        <f t="shared" si="8"/>
        <v>2033</v>
      </c>
      <c r="CY7" s="35">
        <f t="shared" si="8"/>
        <v>2033</v>
      </c>
      <c r="CZ7" s="35">
        <f t="shared" ref="CZ7:EJ7" si="9">YEAR(CZ11)</f>
        <v>2034</v>
      </c>
      <c r="DA7" s="35">
        <f t="shared" si="9"/>
        <v>2034</v>
      </c>
      <c r="DB7" s="35">
        <f t="shared" si="9"/>
        <v>2034</v>
      </c>
      <c r="DC7" s="35">
        <f t="shared" si="9"/>
        <v>2034</v>
      </c>
      <c r="DD7" s="35">
        <f t="shared" si="9"/>
        <v>2034</v>
      </c>
      <c r="DE7" s="35">
        <f t="shared" si="9"/>
        <v>2034</v>
      </c>
      <c r="DF7" s="35">
        <f t="shared" si="9"/>
        <v>2034</v>
      </c>
      <c r="DG7" s="35">
        <f t="shared" si="9"/>
        <v>2034</v>
      </c>
      <c r="DH7" s="35">
        <f t="shared" si="9"/>
        <v>2034</v>
      </c>
      <c r="DI7" s="35">
        <f t="shared" si="9"/>
        <v>2034</v>
      </c>
      <c r="DJ7" s="35">
        <f t="shared" si="9"/>
        <v>2034</v>
      </c>
      <c r="DK7" s="35">
        <f t="shared" si="9"/>
        <v>2034</v>
      </c>
      <c r="DL7" s="35">
        <f t="shared" si="9"/>
        <v>2035</v>
      </c>
      <c r="DM7" s="35">
        <f t="shared" si="9"/>
        <v>2035</v>
      </c>
      <c r="DN7" s="35">
        <f t="shared" si="9"/>
        <v>2035</v>
      </c>
      <c r="DO7" s="35">
        <f t="shared" si="9"/>
        <v>2035</v>
      </c>
      <c r="DP7" s="35">
        <f t="shared" si="9"/>
        <v>2035</v>
      </c>
      <c r="DQ7" s="35">
        <f t="shared" si="9"/>
        <v>2035</v>
      </c>
      <c r="DR7" s="35">
        <f t="shared" si="9"/>
        <v>2035</v>
      </c>
      <c r="DS7" s="35">
        <f t="shared" si="9"/>
        <v>2035</v>
      </c>
      <c r="DT7" s="35">
        <f t="shared" si="9"/>
        <v>2035</v>
      </c>
      <c r="DU7" s="35">
        <f t="shared" si="9"/>
        <v>2035</v>
      </c>
      <c r="DV7" s="35">
        <f t="shared" si="9"/>
        <v>2035</v>
      </c>
      <c r="DW7" s="35">
        <f t="shared" si="9"/>
        <v>2035</v>
      </c>
      <c r="DX7" s="35">
        <f t="shared" si="9"/>
        <v>2036</v>
      </c>
      <c r="DY7" s="35">
        <f t="shared" si="9"/>
        <v>2036</v>
      </c>
      <c r="DZ7" s="35">
        <f t="shared" si="9"/>
        <v>2036</v>
      </c>
      <c r="EA7" s="35">
        <f t="shared" si="9"/>
        <v>2036</v>
      </c>
      <c r="EB7" s="35">
        <f t="shared" si="9"/>
        <v>2036</v>
      </c>
      <c r="EC7" s="35">
        <f t="shared" si="9"/>
        <v>2036</v>
      </c>
      <c r="ED7" s="35">
        <f t="shared" si="9"/>
        <v>2036</v>
      </c>
      <c r="EE7" s="35">
        <f t="shared" si="9"/>
        <v>2036</v>
      </c>
      <c r="EF7" s="35">
        <f t="shared" si="9"/>
        <v>2036</v>
      </c>
      <c r="EG7" s="35">
        <f t="shared" si="9"/>
        <v>2036</v>
      </c>
      <c r="EH7" s="35">
        <f t="shared" si="9"/>
        <v>2036</v>
      </c>
      <c r="EI7" s="35">
        <f t="shared" si="9"/>
        <v>2036</v>
      </c>
      <c r="EJ7" s="35">
        <f t="shared" si="9"/>
        <v>2037</v>
      </c>
      <c r="EK7" s="35">
        <f t="shared" ref="EK7:FT7" si="10">YEAR(EK11)</f>
        <v>2037</v>
      </c>
      <c r="EL7" s="35">
        <f t="shared" si="10"/>
        <v>2037</v>
      </c>
      <c r="EM7" s="35">
        <f t="shared" si="10"/>
        <v>2037</v>
      </c>
      <c r="EN7" s="35">
        <f t="shared" si="10"/>
        <v>2037</v>
      </c>
      <c r="EO7" s="35">
        <f t="shared" si="10"/>
        <v>2037</v>
      </c>
      <c r="EP7" s="35">
        <f t="shared" si="10"/>
        <v>2037</v>
      </c>
      <c r="EQ7" s="35">
        <f t="shared" si="10"/>
        <v>2037</v>
      </c>
      <c r="ER7" s="35">
        <f t="shared" si="10"/>
        <v>2037</v>
      </c>
      <c r="ES7" s="35">
        <f t="shared" si="10"/>
        <v>2037</v>
      </c>
      <c r="ET7" s="35">
        <f t="shared" si="10"/>
        <v>2037</v>
      </c>
      <c r="EU7" s="35">
        <f t="shared" si="10"/>
        <v>2037</v>
      </c>
      <c r="EV7" s="35">
        <f t="shared" si="10"/>
        <v>2038</v>
      </c>
      <c r="EW7" s="35">
        <f t="shared" si="10"/>
        <v>2038</v>
      </c>
      <c r="EX7" s="35">
        <f t="shared" si="10"/>
        <v>2038</v>
      </c>
      <c r="EY7" s="35">
        <f t="shared" si="10"/>
        <v>2038</v>
      </c>
      <c r="EZ7" s="35">
        <f t="shared" si="10"/>
        <v>2038</v>
      </c>
      <c r="FA7" s="35">
        <f t="shared" si="10"/>
        <v>2038</v>
      </c>
      <c r="FB7" s="35">
        <f t="shared" si="10"/>
        <v>2038</v>
      </c>
      <c r="FC7" s="35">
        <f t="shared" si="10"/>
        <v>2038</v>
      </c>
      <c r="FD7" s="35">
        <f t="shared" si="10"/>
        <v>2038</v>
      </c>
      <c r="FE7" s="35">
        <f t="shared" si="10"/>
        <v>2038</v>
      </c>
      <c r="FF7" s="35">
        <f t="shared" si="10"/>
        <v>2038</v>
      </c>
      <c r="FG7" s="35">
        <f t="shared" si="10"/>
        <v>2038</v>
      </c>
      <c r="FH7" s="35">
        <f t="shared" si="10"/>
        <v>2039</v>
      </c>
      <c r="FI7" s="35">
        <f t="shared" si="10"/>
        <v>2039</v>
      </c>
      <c r="FJ7" s="35">
        <f t="shared" si="10"/>
        <v>2039</v>
      </c>
      <c r="FK7" s="35">
        <f t="shared" si="10"/>
        <v>2039</v>
      </c>
      <c r="FL7" s="35">
        <f t="shared" si="10"/>
        <v>2039</v>
      </c>
      <c r="FM7" s="35">
        <f t="shared" si="10"/>
        <v>2039</v>
      </c>
      <c r="FN7" s="35">
        <f t="shared" si="10"/>
        <v>2039</v>
      </c>
      <c r="FO7" s="35">
        <f t="shared" si="10"/>
        <v>2039</v>
      </c>
      <c r="FP7" s="35">
        <f t="shared" si="10"/>
        <v>2039</v>
      </c>
      <c r="FQ7" s="35">
        <f t="shared" si="10"/>
        <v>2039</v>
      </c>
      <c r="FR7" s="35">
        <f t="shared" si="10"/>
        <v>2039</v>
      </c>
      <c r="FS7" s="35">
        <f t="shared" si="10"/>
        <v>2039</v>
      </c>
      <c r="FT7" s="35">
        <f t="shared" si="10"/>
        <v>2040</v>
      </c>
      <c r="FU7" s="34"/>
      <c r="FV7" s="34"/>
      <c r="FW7" s="34"/>
      <c r="FX7" s="34"/>
      <c r="FY7" s="34"/>
      <c r="FZ7" s="34"/>
    </row>
    <row r="8" spans="1:182" s="89" customFormat="1" ht="13.5" x14ac:dyDescent="0.25">
      <c r="A8" s="34"/>
      <c r="B8" s="48" t="s">
        <v>254</v>
      </c>
      <c r="C8" s="34"/>
      <c r="D8" s="34"/>
      <c r="E8" s="34"/>
      <c r="F8" s="499" t="s">
        <v>226</v>
      </c>
      <c r="G8" s="34"/>
      <c r="H8" s="35">
        <v>0</v>
      </c>
      <c r="I8" s="35">
        <v>1</v>
      </c>
      <c r="J8" s="35">
        <v>1</v>
      </c>
      <c r="K8" s="35">
        <v>1</v>
      </c>
      <c r="L8" s="35">
        <v>1</v>
      </c>
      <c r="M8" s="35">
        <v>1</v>
      </c>
      <c r="N8" s="35">
        <v>1</v>
      </c>
      <c r="O8" s="35">
        <v>1</v>
      </c>
      <c r="P8" s="35">
        <v>1</v>
      </c>
      <c r="Q8" s="35">
        <v>1</v>
      </c>
      <c r="R8" s="35">
        <v>1</v>
      </c>
      <c r="S8" s="35">
        <v>1</v>
      </c>
      <c r="T8" s="35">
        <v>1</v>
      </c>
      <c r="U8" s="35">
        <f>+I8+1</f>
        <v>2</v>
      </c>
      <c r="V8" s="35">
        <f>+J8+1</f>
        <v>2</v>
      </c>
      <c r="W8" s="35">
        <f t="shared" ref="W8:AI8" si="11">+K8+1</f>
        <v>2</v>
      </c>
      <c r="X8" s="35">
        <f t="shared" si="11"/>
        <v>2</v>
      </c>
      <c r="Y8" s="35">
        <f t="shared" si="11"/>
        <v>2</v>
      </c>
      <c r="Z8" s="35">
        <f t="shared" si="11"/>
        <v>2</v>
      </c>
      <c r="AA8" s="35">
        <f t="shared" si="11"/>
        <v>2</v>
      </c>
      <c r="AB8" s="35">
        <f t="shared" si="11"/>
        <v>2</v>
      </c>
      <c r="AC8" s="35">
        <f t="shared" si="11"/>
        <v>2</v>
      </c>
      <c r="AD8" s="35">
        <f t="shared" si="11"/>
        <v>2</v>
      </c>
      <c r="AE8" s="35">
        <f t="shared" si="11"/>
        <v>2</v>
      </c>
      <c r="AF8" s="35">
        <f t="shared" si="11"/>
        <v>2</v>
      </c>
      <c r="AG8" s="35">
        <f t="shared" si="11"/>
        <v>3</v>
      </c>
      <c r="AH8" s="35">
        <f t="shared" si="11"/>
        <v>3</v>
      </c>
      <c r="AI8" s="35">
        <f t="shared" si="11"/>
        <v>3</v>
      </c>
      <c r="AJ8" s="35">
        <f t="shared" ref="AJ8" si="12">+X8+1</f>
        <v>3</v>
      </c>
      <c r="AK8" s="35">
        <f t="shared" ref="AK8" si="13">+Y8+1</f>
        <v>3</v>
      </c>
      <c r="AL8" s="35">
        <f t="shared" ref="AL8" si="14">+Z8+1</f>
        <v>3</v>
      </c>
      <c r="AM8" s="35">
        <f t="shared" ref="AM8" si="15">+AA8+1</f>
        <v>3</v>
      </c>
      <c r="AN8" s="35">
        <f t="shared" ref="AN8" si="16">+AB8+1</f>
        <v>3</v>
      </c>
      <c r="AO8" s="35">
        <f t="shared" ref="AO8" si="17">+AC8+1</f>
        <v>3</v>
      </c>
      <c r="AP8" s="35">
        <f t="shared" ref="AP8" si="18">+AD8+1</f>
        <v>3</v>
      </c>
      <c r="AQ8" s="35">
        <f t="shared" ref="AQ8" si="19">+AE8+1</f>
        <v>3</v>
      </c>
      <c r="AR8" s="35">
        <f t="shared" ref="AR8" si="20">+AF8+1</f>
        <v>3</v>
      </c>
      <c r="AS8" s="35">
        <f t="shared" ref="AS8" si="21">+AG8+1</f>
        <v>4</v>
      </c>
      <c r="AT8" s="35">
        <f t="shared" ref="AT8:AV8" si="22">+AH8+1</f>
        <v>4</v>
      </c>
      <c r="AU8" s="35">
        <f t="shared" si="22"/>
        <v>4</v>
      </c>
      <c r="AV8" s="35">
        <f t="shared" si="22"/>
        <v>4</v>
      </c>
      <c r="AW8" s="35">
        <f t="shared" ref="AW8" si="23">+AK8+1</f>
        <v>4</v>
      </c>
      <c r="AX8" s="35">
        <f t="shared" ref="AX8" si="24">+AL8+1</f>
        <v>4</v>
      </c>
      <c r="AY8" s="35">
        <f t="shared" ref="AY8" si="25">+AM8+1</f>
        <v>4</v>
      </c>
      <c r="AZ8" s="35">
        <f t="shared" ref="AZ8" si="26">+AN8+1</f>
        <v>4</v>
      </c>
      <c r="BA8" s="35">
        <f t="shared" ref="BA8" si="27">+AO8+1</f>
        <v>4</v>
      </c>
      <c r="BB8" s="35">
        <f t="shared" ref="BB8" si="28">+AP8+1</f>
        <v>4</v>
      </c>
      <c r="BC8" s="35">
        <f t="shared" ref="BC8" si="29">+AQ8+1</f>
        <v>4</v>
      </c>
      <c r="BD8" s="35">
        <f t="shared" ref="BD8" si="30">+AR8+1</f>
        <v>4</v>
      </c>
      <c r="BE8" s="35">
        <f t="shared" ref="BE8" si="31">+AS8+1</f>
        <v>5</v>
      </c>
      <c r="BF8" s="35">
        <f t="shared" ref="BF8" si="32">+AT8+1</f>
        <v>5</v>
      </c>
      <c r="BG8" s="35">
        <f t="shared" ref="BG8:BI8" si="33">+AU8+1</f>
        <v>5</v>
      </c>
      <c r="BH8" s="35">
        <f t="shared" si="33"/>
        <v>5</v>
      </c>
      <c r="BI8" s="35">
        <f t="shared" si="33"/>
        <v>5</v>
      </c>
      <c r="BJ8" s="35">
        <f t="shared" ref="BJ8" si="34">+AX8+1</f>
        <v>5</v>
      </c>
      <c r="BK8" s="35">
        <f t="shared" ref="BK8" si="35">+AY8+1</f>
        <v>5</v>
      </c>
      <c r="BL8" s="35">
        <f t="shared" ref="BL8" si="36">+AZ8+1</f>
        <v>5</v>
      </c>
      <c r="BM8" s="35">
        <f t="shared" ref="BM8" si="37">+BA8+1</f>
        <v>5</v>
      </c>
      <c r="BN8" s="35">
        <f t="shared" ref="BN8" si="38">+BB8+1</f>
        <v>5</v>
      </c>
      <c r="BO8" s="35">
        <f t="shared" ref="BO8" si="39">+BC8+1</f>
        <v>5</v>
      </c>
      <c r="BP8" s="35">
        <f t="shared" ref="BP8" si="40">+BD8+1</f>
        <v>5</v>
      </c>
      <c r="BQ8" s="35">
        <f t="shared" ref="BQ8" si="41">+BE8+1</f>
        <v>6</v>
      </c>
      <c r="BR8" s="35">
        <f t="shared" ref="BR8" si="42">+BF8+1</f>
        <v>6</v>
      </c>
      <c r="BS8" s="35">
        <f t="shared" ref="BS8" si="43">+BG8+1</f>
        <v>6</v>
      </c>
      <c r="BT8" s="35">
        <f t="shared" ref="BT8:BV8" si="44">+BH8+1</f>
        <v>6</v>
      </c>
      <c r="BU8" s="35">
        <f t="shared" si="44"/>
        <v>6</v>
      </c>
      <c r="BV8" s="35">
        <f t="shared" si="44"/>
        <v>6</v>
      </c>
      <c r="BW8" s="35">
        <f t="shared" ref="BW8" si="45">+BK8+1</f>
        <v>6</v>
      </c>
      <c r="BX8" s="35">
        <f t="shared" ref="BX8" si="46">+BL8+1</f>
        <v>6</v>
      </c>
      <c r="BY8" s="35">
        <f t="shared" ref="BY8" si="47">+BM8+1</f>
        <v>6</v>
      </c>
      <c r="BZ8" s="35">
        <f t="shared" ref="BZ8" si="48">+BN8+1</f>
        <v>6</v>
      </c>
      <c r="CA8" s="35">
        <f t="shared" ref="CA8" si="49">+BO8+1</f>
        <v>6</v>
      </c>
      <c r="CB8" s="35">
        <f t="shared" ref="CB8" si="50">+BP8+1</f>
        <v>6</v>
      </c>
      <c r="CC8" s="35">
        <f t="shared" ref="CC8" si="51">+BQ8+1</f>
        <v>7</v>
      </c>
      <c r="CD8" s="35">
        <f t="shared" ref="CD8" si="52">+BR8+1</f>
        <v>7</v>
      </c>
      <c r="CE8" s="35">
        <f t="shared" ref="CE8" si="53">+BS8+1</f>
        <v>7</v>
      </c>
      <c r="CF8" s="35">
        <f t="shared" ref="CF8" si="54">+BT8+1</f>
        <v>7</v>
      </c>
      <c r="CG8" s="35">
        <f t="shared" ref="CG8:CI8" si="55">+BU8+1</f>
        <v>7</v>
      </c>
      <c r="CH8" s="35">
        <f t="shared" si="55"/>
        <v>7</v>
      </c>
      <c r="CI8" s="35">
        <f t="shared" si="55"/>
        <v>7</v>
      </c>
      <c r="CJ8" s="35">
        <f t="shared" ref="CJ8" si="56">+BX8+1</f>
        <v>7</v>
      </c>
      <c r="CK8" s="35">
        <f t="shared" ref="CK8" si="57">+BY8+1</f>
        <v>7</v>
      </c>
      <c r="CL8" s="35">
        <f t="shared" ref="CL8" si="58">+BZ8+1</f>
        <v>7</v>
      </c>
      <c r="CM8" s="35">
        <f t="shared" ref="CM8" si="59">+CA8+1</f>
        <v>7</v>
      </c>
      <c r="CN8" s="35">
        <f t="shared" ref="CN8" si="60">+CB8+1</f>
        <v>7</v>
      </c>
      <c r="CO8" s="35">
        <f>+CC8+1</f>
        <v>8</v>
      </c>
      <c r="CP8" s="35">
        <f>+CD8+1</f>
        <v>8</v>
      </c>
      <c r="CQ8" s="35">
        <f t="shared" ref="CQ8" si="61">+CE8+1</f>
        <v>8</v>
      </c>
      <c r="CR8" s="35">
        <f t="shared" ref="CR8" si="62">+CF8+1</f>
        <v>8</v>
      </c>
      <c r="CS8" s="35">
        <f t="shared" ref="CS8" si="63">+CG8+1</f>
        <v>8</v>
      </c>
      <c r="CT8" s="35">
        <f t="shared" ref="CT8:CV8" si="64">+CH8+1</f>
        <v>8</v>
      </c>
      <c r="CU8" s="35">
        <f t="shared" si="64"/>
        <v>8</v>
      </c>
      <c r="CV8" s="35">
        <f t="shared" si="64"/>
        <v>8</v>
      </c>
      <c r="CW8" s="35">
        <f t="shared" ref="CW8" si="65">+CK8+1</f>
        <v>8</v>
      </c>
      <c r="CX8" s="35">
        <f t="shared" ref="CX8" si="66">+CL8+1</f>
        <v>8</v>
      </c>
      <c r="CY8" s="35">
        <f t="shared" ref="CY8" si="67">+CM8+1</f>
        <v>8</v>
      </c>
      <c r="CZ8" s="35">
        <f t="shared" ref="CZ8" si="68">+CN8+1</f>
        <v>8</v>
      </c>
      <c r="DA8" s="35">
        <f>+CO8+1</f>
        <v>9</v>
      </c>
      <c r="DB8" s="35">
        <f t="shared" ref="DB8:DR8" si="69">+CP8+1</f>
        <v>9</v>
      </c>
      <c r="DC8" s="35">
        <f t="shared" si="69"/>
        <v>9</v>
      </c>
      <c r="DD8" s="35">
        <f t="shared" si="69"/>
        <v>9</v>
      </c>
      <c r="DE8" s="35">
        <f t="shared" si="69"/>
        <v>9</v>
      </c>
      <c r="DF8" s="35">
        <f t="shared" si="69"/>
        <v>9</v>
      </c>
      <c r="DG8" s="35">
        <f t="shared" si="69"/>
        <v>9</v>
      </c>
      <c r="DH8" s="35">
        <f t="shared" si="69"/>
        <v>9</v>
      </c>
      <c r="DI8" s="35">
        <f t="shared" si="69"/>
        <v>9</v>
      </c>
      <c r="DJ8" s="35">
        <f t="shared" si="69"/>
        <v>9</v>
      </c>
      <c r="DK8" s="35">
        <f t="shared" si="69"/>
        <v>9</v>
      </c>
      <c r="DL8" s="35">
        <f t="shared" si="69"/>
        <v>9</v>
      </c>
      <c r="DM8" s="35">
        <f t="shared" si="69"/>
        <v>10</v>
      </c>
      <c r="DN8" s="35">
        <f t="shared" si="69"/>
        <v>10</v>
      </c>
      <c r="DO8" s="35">
        <f t="shared" si="69"/>
        <v>10</v>
      </c>
      <c r="DP8" s="35">
        <f t="shared" si="69"/>
        <v>10</v>
      </c>
      <c r="DQ8" s="35">
        <f t="shared" si="69"/>
        <v>10</v>
      </c>
      <c r="DR8" s="35">
        <f t="shared" si="69"/>
        <v>10</v>
      </c>
      <c r="DS8" s="35">
        <f t="shared" ref="DS8" si="70">+DG8+1</f>
        <v>10</v>
      </c>
      <c r="DT8" s="35">
        <f t="shared" ref="DT8" si="71">+DH8+1</f>
        <v>10</v>
      </c>
      <c r="DU8" s="35">
        <f t="shared" ref="DU8" si="72">+DI8+1</f>
        <v>10</v>
      </c>
      <c r="DV8" s="35">
        <f t="shared" ref="DV8" si="73">+DJ8+1</f>
        <v>10</v>
      </c>
      <c r="DW8" s="35">
        <f t="shared" ref="DW8" si="74">+DK8+1</f>
        <v>10</v>
      </c>
      <c r="DX8" s="35">
        <f t="shared" ref="DX8" si="75">+DL8+1</f>
        <v>10</v>
      </c>
      <c r="DY8" s="35">
        <f t="shared" ref="DY8" si="76">+DM8+1</f>
        <v>11</v>
      </c>
      <c r="DZ8" s="35">
        <f t="shared" ref="DZ8" si="77">+DN8+1</f>
        <v>11</v>
      </c>
      <c r="EA8" s="35">
        <f t="shared" ref="EA8" si="78">+DO8+1</f>
        <v>11</v>
      </c>
      <c r="EB8" s="35">
        <f t="shared" ref="EB8" si="79">+DP8+1</f>
        <v>11</v>
      </c>
      <c r="EC8" s="35">
        <f t="shared" ref="EC8" si="80">+DQ8+1</f>
        <v>11</v>
      </c>
      <c r="ED8" s="35">
        <f t="shared" ref="ED8" si="81">+DR8+1</f>
        <v>11</v>
      </c>
      <c r="EE8" s="35">
        <f t="shared" ref="EE8" si="82">+DS8+1</f>
        <v>11</v>
      </c>
      <c r="EF8" s="35">
        <f t="shared" ref="EF8" si="83">+DT8+1</f>
        <v>11</v>
      </c>
      <c r="EG8" s="35">
        <f t="shared" ref="EG8" si="84">+DU8+1</f>
        <v>11</v>
      </c>
      <c r="EH8" s="35">
        <f t="shared" ref="EH8:EI8" si="85">+DV8+1</f>
        <v>11</v>
      </c>
      <c r="EI8" s="35">
        <f t="shared" si="85"/>
        <v>11</v>
      </c>
      <c r="EJ8" s="35">
        <f t="shared" ref="EJ8:EK8" si="86">+DX8+1</f>
        <v>11</v>
      </c>
      <c r="EK8" s="35">
        <f t="shared" si="86"/>
        <v>12</v>
      </c>
      <c r="EL8" s="35">
        <f t="shared" ref="EL8" si="87">+DZ8+1</f>
        <v>12</v>
      </c>
      <c r="EM8" s="35">
        <f t="shared" ref="EM8" si="88">+EA8+1</f>
        <v>12</v>
      </c>
      <c r="EN8" s="35">
        <f t="shared" ref="EN8" si="89">+EB8+1</f>
        <v>12</v>
      </c>
      <c r="EO8" s="35">
        <f t="shared" ref="EO8" si="90">+EC8+1</f>
        <v>12</v>
      </c>
      <c r="EP8" s="35">
        <f t="shared" ref="EP8" si="91">+ED8+1</f>
        <v>12</v>
      </c>
      <c r="EQ8" s="35">
        <f t="shared" ref="EQ8" si="92">+EE8+1</f>
        <v>12</v>
      </c>
      <c r="ER8" s="35">
        <f t="shared" ref="ER8" si="93">+EF8+1</f>
        <v>12</v>
      </c>
      <c r="ES8" s="35">
        <f t="shared" ref="ES8" si="94">+EG8+1</f>
        <v>12</v>
      </c>
      <c r="ET8" s="35">
        <f t="shared" ref="ET8" si="95">+EH8+1</f>
        <v>12</v>
      </c>
      <c r="EU8" s="35">
        <f t="shared" ref="EU8" si="96">+EI8+1</f>
        <v>12</v>
      </c>
      <c r="EV8" s="35">
        <f t="shared" ref="EV8" si="97">+EJ8+1</f>
        <v>12</v>
      </c>
      <c r="EW8" s="35">
        <f t="shared" ref="EW8" si="98">+EK8+1</f>
        <v>13</v>
      </c>
      <c r="EX8" s="35">
        <f t="shared" ref="EX8" si="99">+EL8+1</f>
        <v>13</v>
      </c>
      <c r="EY8" s="35">
        <f t="shared" ref="EY8" si="100">+EM8+1</f>
        <v>13</v>
      </c>
      <c r="EZ8" s="35">
        <f t="shared" ref="EZ8" si="101">+EN8+1</f>
        <v>13</v>
      </c>
      <c r="FA8" s="35">
        <f t="shared" ref="FA8" si="102">+EO8+1</f>
        <v>13</v>
      </c>
      <c r="FB8" s="35">
        <f t="shared" ref="FB8" si="103">+EP8+1</f>
        <v>13</v>
      </c>
      <c r="FC8" s="35">
        <f t="shared" ref="FC8" si="104">+EQ8+1</f>
        <v>13</v>
      </c>
      <c r="FD8" s="35">
        <f t="shared" ref="FD8" si="105">+ER8+1</f>
        <v>13</v>
      </c>
      <c r="FE8" s="35">
        <f t="shared" ref="FE8" si="106">+ES8+1</f>
        <v>13</v>
      </c>
      <c r="FF8" s="35">
        <f t="shared" ref="FF8" si="107">+ET8+1</f>
        <v>13</v>
      </c>
      <c r="FG8" s="35">
        <f t="shared" ref="FG8" si="108">+EU8+1</f>
        <v>13</v>
      </c>
      <c r="FH8" s="35">
        <f t="shared" ref="FH8" si="109">+EV8+1</f>
        <v>13</v>
      </c>
      <c r="FI8" s="35">
        <f t="shared" ref="FI8" si="110">+EW8+1</f>
        <v>14</v>
      </c>
      <c r="FJ8" s="35">
        <f t="shared" ref="FJ8" si="111">+EX8+1</f>
        <v>14</v>
      </c>
      <c r="FK8" s="35">
        <f t="shared" ref="FK8" si="112">+EY8+1</f>
        <v>14</v>
      </c>
      <c r="FL8" s="35">
        <f t="shared" ref="FL8" si="113">+EZ8+1</f>
        <v>14</v>
      </c>
      <c r="FM8" s="35">
        <f t="shared" ref="FM8" si="114">+FA8+1</f>
        <v>14</v>
      </c>
      <c r="FN8" s="35">
        <f t="shared" ref="FN8" si="115">+FB8+1</f>
        <v>14</v>
      </c>
      <c r="FO8" s="35">
        <f t="shared" ref="FO8" si="116">+FC8+1</f>
        <v>14</v>
      </c>
      <c r="FP8" s="35">
        <f t="shared" ref="FP8" si="117">+FD8+1</f>
        <v>14</v>
      </c>
      <c r="FQ8" s="35">
        <f t="shared" ref="FQ8" si="118">+FE8+1</f>
        <v>14</v>
      </c>
      <c r="FR8" s="35">
        <f t="shared" ref="FR8" si="119">+FF8+1</f>
        <v>14</v>
      </c>
      <c r="FS8" s="35">
        <f t="shared" ref="FS8" si="120">+FG8+1</f>
        <v>14</v>
      </c>
      <c r="FT8" s="35">
        <f t="shared" ref="FT8" si="121">+FH8+1</f>
        <v>14</v>
      </c>
      <c r="FU8" s="34"/>
      <c r="FV8" s="34"/>
      <c r="FW8" s="34"/>
      <c r="FX8" s="34"/>
      <c r="FY8" s="34"/>
      <c r="FZ8" s="34"/>
    </row>
    <row r="9" spans="1:182" s="89" customFormat="1" ht="13.5" x14ac:dyDescent="0.25">
      <c r="A9" s="34"/>
      <c r="B9" s="34"/>
      <c r="C9" s="34"/>
      <c r="D9" s="34"/>
      <c r="E9" s="34"/>
      <c r="F9" s="499" t="s">
        <v>33</v>
      </c>
      <c r="G9" s="34"/>
      <c r="H9" s="35">
        <v>0</v>
      </c>
      <c r="I9" s="35">
        <v>1</v>
      </c>
      <c r="J9" s="35">
        <v>2</v>
      </c>
      <c r="K9" s="35">
        <v>3</v>
      </c>
      <c r="L9" s="35">
        <v>4</v>
      </c>
      <c r="M9" s="35">
        <v>5</v>
      </c>
      <c r="N9" s="35">
        <v>6</v>
      </c>
      <c r="O9" s="35">
        <v>7</v>
      </c>
      <c r="P9" s="35">
        <v>8</v>
      </c>
      <c r="Q9" s="35">
        <v>9</v>
      </c>
      <c r="R9" s="35">
        <v>10</v>
      </c>
      <c r="S9" s="35">
        <v>11</v>
      </c>
      <c r="T9" s="35">
        <v>12</v>
      </c>
      <c r="U9" s="35">
        <v>13</v>
      </c>
      <c r="V9" s="35">
        <v>14</v>
      </c>
      <c r="W9" s="35">
        <v>15</v>
      </c>
      <c r="X9" s="35">
        <v>16</v>
      </c>
      <c r="Y9" s="35">
        <v>17</v>
      </c>
      <c r="Z9" s="35">
        <v>18</v>
      </c>
      <c r="AA9" s="35">
        <v>19</v>
      </c>
      <c r="AB9" s="35">
        <v>20</v>
      </c>
      <c r="AC9" s="35">
        <v>21</v>
      </c>
      <c r="AD9" s="35">
        <v>22</v>
      </c>
      <c r="AE9" s="35">
        <v>23</v>
      </c>
      <c r="AF9" s="35">
        <v>24</v>
      </c>
      <c r="AG9" s="35">
        <v>25</v>
      </c>
      <c r="AH9" s="35">
        <v>26</v>
      </c>
      <c r="AI9" s="35">
        <v>27</v>
      </c>
      <c r="AJ9" s="35">
        <v>28</v>
      </c>
      <c r="AK9" s="35">
        <v>29</v>
      </c>
      <c r="AL9" s="35">
        <v>30</v>
      </c>
      <c r="AM9" s="35">
        <v>31</v>
      </c>
      <c r="AN9" s="35">
        <v>32</v>
      </c>
      <c r="AO9" s="35">
        <v>33</v>
      </c>
      <c r="AP9" s="35">
        <v>34</v>
      </c>
      <c r="AQ9" s="35">
        <v>35</v>
      </c>
      <c r="AR9" s="35">
        <v>36</v>
      </c>
      <c r="AS9" s="35">
        <v>37</v>
      </c>
      <c r="AT9" s="35">
        <v>38</v>
      </c>
      <c r="AU9" s="35">
        <v>39</v>
      </c>
      <c r="AV9" s="35">
        <v>40</v>
      </c>
      <c r="AW9" s="35">
        <v>41</v>
      </c>
      <c r="AX9" s="35">
        <v>42</v>
      </c>
      <c r="AY9" s="35">
        <v>43</v>
      </c>
      <c r="AZ9" s="35">
        <v>44</v>
      </c>
      <c r="BA9" s="35">
        <v>45</v>
      </c>
      <c r="BB9" s="35">
        <v>46</v>
      </c>
      <c r="BC9" s="35">
        <v>47</v>
      </c>
      <c r="BD9" s="35">
        <v>48</v>
      </c>
      <c r="BE9" s="35">
        <v>49</v>
      </c>
      <c r="BF9" s="35">
        <v>50</v>
      </c>
      <c r="BG9" s="35">
        <v>51</v>
      </c>
      <c r="BH9" s="35">
        <v>52</v>
      </c>
      <c r="BI9" s="35">
        <v>53</v>
      </c>
      <c r="BJ9" s="35">
        <v>54</v>
      </c>
      <c r="BK9" s="35">
        <v>55</v>
      </c>
      <c r="BL9" s="35">
        <v>56</v>
      </c>
      <c r="BM9" s="35">
        <v>57</v>
      </c>
      <c r="BN9" s="35">
        <v>58</v>
      </c>
      <c r="BO9" s="35">
        <v>59</v>
      </c>
      <c r="BP9" s="35">
        <v>60</v>
      </c>
      <c r="BQ9" s="35">
        <v>61</v>
      </c>
      <c r="BR9" s="35">
        <v>62</v>
      </c>
      <c r="BS9" s="35">
        <v>63</v>
      </c>
      <c r="BT9" s="35">
        <v>64</v>
      </c>
      <c r="BU9" s="35">
        <v>65</v>
      </c>
      <c r="BV9" s="35">
        <v>66</v>
      </c>
      <c r="BW9" s="35">
        <v>67</v>
      </c>
      <c r="BX9" s="35">
        <v>68</v>
      </c>
      <c r="BY9" s="35">
        <v>69</v>
      </c>
      <c r="BZ9" s="35">
        <v>70</v>
      </c>
      <c r="CA9" s="35">
        <v>71</v>
      </c>
      <c r="CB9" s="35">
        <v>72</v>
      </c>
      <c r="CC9" s="35">
        <v>73</v>
      </c>
      <c r="CD9" s="35">
        <v>74</v>
      </c>
      <c r="CE9" s="35">
        <v>75</v>
      </c>
      <c r="CF9" s="35">
        <v>76</v>
      </c>
      <c r="CG9" s="35">
        <v>77</v>
      </c>
      <c r="CH9" s="35">
        <v>78</v>
      </c>
      <c r="CI9" s="35">
        <v>79</v>
      </c>
      <c r="CJ9" s="35">
        <v>80</v>
      </c>
      <c r="CK9" s="35">
        <v>81</v>
      </c>
      <c r="CL9" s="35">
        <v>82</v>
      </c>
      <c r="CM9" s="35">
        <v>83</v>
      </c>
      <c r="CN9" s="35">
        <v>84</v>
      </c>
      <c r="CO9" s="35">
        <v>85</v>
      </c>
      <c r="CP9" s="35">
        <v>86</v>
      </c>
      <c r="CQ9" s="35">
        <v>87</v>
      </c>
      <c r="CR9" s="35">
        <v>88</v>
      </c>
      <c r="CS9" s="35">
        <v>89</v>
      </c>
      <c r="CT9" s="35">
        <v>90</v>
      </c>
      <c r="CU9" s="35">
        <v>91</v>
      </c>
      <c r="CV9" s="35">
        <v>92</v>
      </c>
      <c r="CW9" s="35">
        <v>93</v>
      </c>
      <c r="CX9" s="35">
        <v>94</v>
      </c>
      <c r="CY9" s="35">
        <v>95</v>
      </c>
      <c r="CZ9" s="35">
        <v>96</v>
      </c>
      <c r="DA9" s="35">
        <v>97</v>
      </c>
      <c r="DB9" s="35">
        <v>98</v>
      </c>
      <c r="DC9" s="35">
        <v>99</v>
      </c>
      <c r="DD9" s="35">
        <v>100</v>
      </c>
      <c r="DE9" s="35">
        <v>101</v>
      </c>
      <c r="DF9" s="35">
        <v>102</v>
      </c>
      <c r="DG9" s="35">
        <v>103</v>
      </c>
      <c r="DH9" s="35">
        <v>104</v>
      </c>
      <c r="DI9" s="35">
        <v>105</v>
      </c>
      <c r="DJ9" s="35">
        <v>106</v>
      </c>
      <c r="DK9" s="35">
        <v>107</v>
      </c>
      <c r="DL9" s="35">
        <v>108</v>
      </c>
      <c r="DM9" s="35">
        <v>109</v>
      </c>
      <c r="DN9" s="35">
        <v>110</v>
      </c>
      <c r="DO9" s="35">
        <v>111</v>
      </c>
      <c r="DP9" s="35">
        <v>112</v>
      </c>
      <c r="DQ9" s="35">
        <v>113</v>
      </c>
      <c r="DR9" s="35">
        <v>114</v>
      </c>
      <c r="DS9" s="35">
        <v>115</v>
      </c>
      <c r="DT9" s="35">
        <v>116</v>
      </c>
      <c r="DU9" s="35">
        <v>117</v>
      </c>
      <c r="DV9" s="35">
        <v>118</v>
      </c>
      <c r="DW9" s="35">
        <v>119</v>
      </c>
      <c r="DX9" s="35">
        <v>120</v>
      </c>
      <c r="DY9" s="35">
        <v>121</v>
      </c>
      <c r="DZ9" s="35">
        <v>122</v>
      </c>
      <c r="EA9" s="35">
        <v>123</v>
      </c>
      <c r="EB9" s="35">
        <v>124</v>
      </c>
      <c r="EC9" s="35">
        <v>125</v>
      </c>
      <c r="ED9" s="35">
        <v>126</v>
      </c>
      <c r="EE9" s="35">
        <v>127</v>
      </c>
      <c r="EF9" s="35">
        <v>128</v>
      </c>
      <c r="EG9" s="35">
        <v>129</v>
      </c>
      <c r="EH9" s="35">
        <v>130</v>
      </c>
      <c r="EI9" s="35">
        <v>131</v>
      </c>
      <c r="EJ9" s="35">
        <v>132</v>
      </c>
      <c r="EK9" s="35">
        <v>133</v>
      </c>
      <c r="EL9" s="35">
        <v>134</v>
      </c>
      <c r="EM9" s="35">
        <v>135</v>
      </c>
      <c r="EN9" s="35">
        <v>136</v>
      </c>
      <c r="EO9" s="35">
        <v>137</v>
      </c>
      <c r="EP9" s="35">
        <v>138</v>
      </c>
      <c r="EQ9" s="35">
        <v>139</v>
      </c>
      <c r="ER9" s="35">
        <v>140</v>
      </c>
      <c r="ES9" s="35">
        <v>141</v>
      </c>
      <c r="ET9" s="35">
        <v>142</v>
      </c>
      <c r="EU9" s="35">
        <v>143</v>
      </c>
      <c r="EV9" s="35">
        <v>144</v>
      </c>
      <c r="EW9" s="35">
        <v>145</v>
      </c>
      <c r="EX9" s="35">
        <v>146</v>
      </c>
      <c r="EY9" s="35">
        <v>147</v>
      </c>
      <c r="EZ9" s="35">
        <v>148</v>
      </c>
      <c r="FA9" s="35">
        <v>149</v>
      </c>
      <c r="FB9" s="35">
        <v>150</v>
      </c>
      <c r="FC9" s="35">
        <v>151</v>
      </c>
      <c r="FD9" s="35">
        <v>152</v>
      </c>
      <c r="FE9" s="35">
        <v>153</v>
      </c>
      <c r="FF9" s="35">
        <v>154</v>
      </c>
      <c r="FG9" s="35">
        <v>155</v>
      </c>
      <c r="FH9" s="35">
        <v>156</v>
      </c>
      <c r="FI9" s="35">
        <v>157</v>
      </c>
      <c r="FJ9" s="35">
        <v>158</v>
      </c>
      <c r="FK9" s="35">
        <v>159</v>
      </c>
      <c r="FL9" s="35">
        <v>160</v>
      </c>
      <c r="FM9" s="35">
        <v>161</v>
      </c>
      <c r="FN9" s="35">
        <v>162</v>
      </c>
      <c r="FO9" s="35">
        <v>163</v>
      </c>
      <c r="FP9" s="35">
        <v>164</v>
      </c>
      <c r="FQ9" s="35">
        <v>165</v>
      </c>
      <c r="FR9" s="35">
        <v>166</v>
      </c>
      <c r="FS9" s="35">
        <v>167</v>
      </c>
      <c r="FT9" s="35">
        <v>168</v>
      </c>
      <c r="FU9" s="34"/>
      <c r="FV9" s="34"/>
      <c r="FW9" s="34"/>
      <c r="FX9" s="34"/>
      <c r="FY9" s="34"/>
      <c r="FZ9" s="34"/>
    </row>
    <row r="10" spans="1:182" s="89" customFormat="1" ht="13.5" hidden="1" x14ac:dyDescent="0.25">
      <c r="A10" s="34"/>
      <c r="B10" s="34"/>
      <c r="C10" s="34"/>
      <c r="D10" s="34"/>
      <c r="E10" s="34"/>
      <c r="F10" s="34"/>
      <c r="G10" s="34"/>
      <c r="H10" s="533">
        <f>H11</f>
        <v>46053</v>
      </c>
      <c r="I10" s="35">
        <f>I11</f>
        <v>46081</v>
      </c>
      <c r="J10" s="35">
        <f t="shared" ref="J10:BU10" si="122">J11</f>
        <v>46112</v>
      </c>
      <c r="K10" s="35">
        <f t="shared" si="122"/>
        <v>46142</v>
      </c>
      <c r="L10" s="35">
        <f t="shared" si="122"/>
        <v>46173</v>
      </c>
      <c r="M10" s="35">
        <f t="shared" si="122"/>
        <v>46203</v>
      </c>
      <c r="N10" s="35">
        <f t="shared" si="122"/>
        <v>46234</v>
      </c>
      <c r="O10" s="35">
        <f t="shared" si="122"/>
        <v>46265</v>
      </c>
      <c r="P10" s="35">
        <f t="shared" si="122"/>
        <v>46295</v>
      </c>
      <c r="Q10" s="35">
        <f t="shared" si="122"/>
        <v>46326</v>
      </c>
      <c r="R10" s="35">
        <f t="shared" si="122"/>
        <v>46356</v>
      </c>
      <c r="S10" s="35">
        <f t="shared" si="122"/>
        <v>46387</v>
      </c>
      <c r="T10" s="35">
        <f t="shared" si="122"/>
        <v>46418</v>
      </c>
      <c r="U10" s="35">
        <f t="shared" si="122"/>
        <v>46446</v>
      </c>
      <c r="V10" s="35">
        <f t="shared" si="122"/>
        <v>46477</v>
      </c>
      <c r="W10" s="35">
        <f t="shared" si="122"/>
        <v>46507</v>
      </c>
      <c r="X10" s="35">
        <f t="shared" si="122"/>
        <v>46538</v>
      </c>
      <c r="Y10" s="35">
        <f t="shared" si="122"/>
        <v>46568</v>
      </c>
      <c r="Z10" s="35">
        <f t="shared" si="122"/>
        <v>46599</v>
      </c>
      <c r="AA10" s="35">
        <f t="shared" si="122"/>
        <v>46630</v>
      </c>
      <c r="AB10" s="35">
        <f t="shared" si="122"/>
        <v>46660</v>
      </c>
      <c r="AC10" s="35">
        <f t="shared" si="122"/>
        <v>46691</v>
      </c>
      <c r="AD10" s="35">
        <f t="shared" si="122"/>
        <v>46721</v>
      </c>
      <c r="AE10" s="35">
        <f t="shared" si="122"/>
        <v>46752</v>
      </c>
      <c r="AF10" s="35">
        <f t="shared" si="122"/>
        <v>46783</v>
      </c>
      <c r="AG10" s="35">
        <f t="shared" si="122"/>
        <v>46812</v>
      </c>
      <c r="AH10" s="35">
        <f t="shared" si="122"/>
        <v>46843</v>
      </c>
      <c r="AI10" s="35">
        <f t="shared" si="122"/>
        <v>46873</v>
      </c>
      <c r="AJ10" s="35">
        <f t="shared" si="122"/>
        <v>46904</v>
      </c>
      <c r="AK10" s="35">
        <f t="shared" si="122"/>
        <v>46934</v>
      </c>
      <c r="AL10" s="35">
        <f t="shared" si="122"/>
        <v>46965</v>
      </c>
      <c r="AM10" s="35">
        <f t="shared" si="122"/>
        <v>46996</v>
      </c>
      <c r="AN10" s="35">
        <f t="shared" si="122"/>
        <v>47026</v>
      </c>
      <c r="AO10" s="35">
        <f t="shared" si="122"/>
        <v>47057</v>
      </c>
      <c r="AP10" s="35">
        <f t="shared" si="122"/>
        <v>47087</v>
      </c>
      <c r="AQ10" s="35">
        <f t="shared" si="122"/>
        <v>47118</v>
      </c>
      <c r="AR10" s="35">
        <f t="shared" si="122"/>
        <v>47149</v>
      </c>
      <c r="AS10" s="35">
        <f t="shared" si="122"/>
        <v>47177</v>
      </c>
      <c r="AT10" s="35">
        <f t="shared" si="122"/>
        <v>47208</v>
      </c>
      <c r="AU10" s="35">
        <f t="shared" si="122"/>
        <v>47238</v>
      </c>
      <c r="AV10" s="35">
        <f t="shared" si="122"/>
        <v>47269</v>
      </c>
      <c r="AW10" s="35">
        <f t="shared" si="122"/>
        <v>47299</v>
      </c>
      <c r="AX10" s="35">
        <f t="shared" si="122"/>
        <v>47330</v>
      </c>
      <c r="AY10" s="35">
        <f t="shared" si="122"/>
        <v>47361</v>
      </c>
      <c r="AZ10" s="35">
        <f t="shared" si="122"/>
        <v>47391</v>
      </c>
      <c r="BA10" s="35">
        <f t="shared" si="122"/>
        <v>47422</v>
      </c>
      <c r="BB10" s="35">
        <f t="shared" si="122"/>
        <v>47452</v>
      </c>
      <c r="BC10" s="35">
        <f t="shared" si="122"/>
        <v>47483</v>
      </c>
      <c r="BD10" s="35">
        <f t="shared" si="122"/>
        <v>47514</v>
      </c>
      <c r="BE10" s="35">
        <f t="shared" si="122"/>
        <v>47542</v>
      </c>
      <c r="BF10" s="35">
        <f t="shared" si="122"/>
        <v>47573</v>
      </c>
      <c r="BG10" s="35">
        <f t="shared" si="122"/>
        <v>47603</v>
      </c>
      <c r="BH10" s="35">
        <f t="shared" si="122"/>
        <v>47634</v>
      </c>
      <c r="BI10" s="35">
        <f t="shared" si="122"/>
        <v>47664</v>
      </c>
      <c r="BJ10" s="35">
        <f t="shared" si="122"/>
        <v>47695</v>
      </c>
      <c r="BK10" s="35">
        <f t="shared" si="122"/>
        <v>47726</v>
      </c>
      <c r="BL10" s="35">
        <f t="shared" si="122"/>
        <v>47756</v>
      </c>
      <c r="BM10" s="35">
        <f t="shared" si="122"/>
        <v>47787</v>
      </c>
      <c r="BN10" s="35">
        <f t="shared" si="122"/>
        <v>47817</v>
      </c>
      <c r="BO10" s="35">
        <f t="shared" si="122"/>
        <v>47848</v>
      </c>
      <c r="BP10" s="35">
        <f t="shared" si="122"/>
        <v>47879</v>
      </c>
      <c r="BQ10" s="35">
        <f t="shared" si="122"/>
        <v>47907</v>
      </c>
      <c r="BR10" s="35">
        <f t="shared" si="122"/>
        <v>47938</v>
      </c>
      <c r="BS10" s="35">
        <f t="shared" si="122"/>
        <v>47968</v>
      </c>
      <c r="BT10" s="35">
        <f t="shared" si="122"/>
        <v>47999</v>
      </c>
      <c r="BU10" s="35">
        <f t="shared" si="122"/>
        <v>48029</v>
      </c>
      <c r="BV10" s="35">
        <f t="shared" ref="BV10:EG10" si="123">BV11</f>
        <v>48060</v>
      </c>
      <c r="BW10" s="35">
        <f t="shared" si="123"/>
        <v>48091</v>
      </c>
      <c r="BX10" s="35">
        <f t="shared" si="123"/>
        <v>48121</v>
      </c>
      <c r="BY10" s="35">
        <f t="shared" si="123"/>
        <v>48152</v>
      </c>
      <c r="BZ10" s="35">
        <f t="shared" si="123"/>
        <v>48182</v>
      </c>
      <c r="CA10" s="35">
        <f t="shared" si="123"/>
        <v>48213</v>
      </c>
      <c r="CB10" s="35">
        <f t="shared" si="123"/>
        <v>48244</v>
      </c>
      <c r="CC10" s="35">
        <f t="shared" si="123"/>
        <v>48273</v>
      </c>
      <c r="CD10" s="35">
        <f t="shared" si="123"/>
        <v>48304</v>
      </c>
      <c r="CE10" s="35">
        <f t="shared" si="123"/>
        <v>48334</v>
      </c>
      <c r="CF10" s="35">
        <f t="shared" si="123"/>
        <v>48365</v>
      </c>
      <c r="CG10" s="35">
        <f t="shared" si="123"/>
        <v>48395</v>
      </c>
      <c r="CH10" s="35">
        <f t="shared" si="123"/>
        <v>48426</v>
      </c>
      <c r="CI10" s="35">
        <f t="shared" si="123"/>
        <v>48457</v>
      </c>
      <c r="CJ10" s="35">
        <f t="shared" si="123"/>
        <v>48487</v>
      </c>
      <c r="CK10" s="35">
        <f t="shared" si="123"/>
        <v>48518</v>
      </c>
      <c r="CL10" s="35">
        <f t="shared" si="123"/>
        <v>48548</v>
      </c>
      <c r="CM10" s="35">
        <f t="shared" si="123"/>
        <v>48579</v>
      </c>
      <c r="CN10" s="35">
        <f t="shared" si="123"/>
        <v>48610</v>
      </c>
      <c r="CO10" s="35">
        <f t="shared" si="123"/>
        <v>48638</v>
      </c>
      <c r="CP10" s="35">
        <f t="shared" si="123"/>
        <v>48669</v>
      </c>
      <c r="CQ10" s="35">
        <f t="shared" si="123"/>
        <v>48699</v>
      </c>
      <c r="CR10" s="35">
        <f t="shared" si="123"/>
        <v>48730</v>
      </c>
      <c r="CS10" s="35">
        <f t="shared" si="123"/>
        <v>48760</v>
      </c>
      <c r="CT10" s="35">
        <f t="shared" si="123"/>
        <v>48791</v>
      </c>
      <c r="CU10" s="35">
        <f t="shared" si="123"/>
        <v>48822</v>
      </c>
      <c r="CV10" s="35">
        <f t="shared" si="123"/>
        <v>48852</v>
      </c>
      <c r="CW10" s="35">
        <f t="shared" si="123"/>
        <v>48883</v>
      </c>
      <c r="CX10" s="35">
        <f t="shared" si="123"/>
        <v>48913</v>
      </c>
      <c r="CY10" s="35">
        <f t="shared" si="123"/>
        <v>48944</v>
      </c>
      <c r="CZ10" s="35">
        <f t="shared" si="123"/>
        <v>48975</v>
      </c>
      <c r="DA10" s="35">
        <f t="shared" si="123"/>
        <v>49003</v>
      </c>
      <c r="DB10" s="35">
        <f t="shared" si="123"/>
        <v>49034</v>
      </c>
      <c r="DC10" s="35">
        <f t="shared" si="123"/>
        <v>49064</v>
      </c>
      <c r="DD10" s="35">
        <f t="shared" si="123"/>
        <v>49095</v>
      </c>
      <c r="DE10" s="35">
        <f t="shared" si="123"/>
        <v>49125</v>
      </c>
      <c r="DF10" s="35">
        <f t="shared" si="123"/>
        <v>49156</v>
      </c>
      <c r="DG10" s="35">
        <f t="shared" si="123"/>
        <v>49187</v>
      </c>
      <c r="DH10" s="35">
        <f t="shared" si="123"/>
        <v>49217</v>
      </c>
      <c r="DI10" s="35">
        <f t="shared" si="123"/>
        <v>49248</v>
      </c>
      <c r="DJ10" s="35">
        <f t="shared" si="123"/>
        <v>49278</v>
      </c>
      <c r="DK10" s="35">
        <f t="shared" si="123"/>
        <v>49309</v>
      </c>
      <c r="DL10" s="35">
        <f t="shared" si="123"/>
        <v>49340</v>
      </c>
      <c r="DM10" s="35">
        <f t="shared" si="123"/>
        <v>49368</v>
      </c>
      <c r="DN10" s="35">
        <f t="shared" si="123"/>
        <v>49399</v>
      </c>
      <c r="DO10" s="35">
        <f t="shared" si="123"/>
        <v>49429</v>
      </c>
      <c r="DP10" s="35">
        <f t="shared" si="123"/>
        <v>49460</v>
      </c>
      <c r="DQ10" s="35">
        <f t="shared" si="123"/>
        <v>49490</v>
      </c>
      <c r="DR10" s="35">
        <f t="shared" si="123"/>
        <v>49521</v>
      </c>
      <c r="DS10" s="35">
        <f t="shared" si="123"/>
        <v>49552</v>
      </c>
      <c r="DT10" s="35">
        <f t="shared" si="123"/>
        <v>49582</v>
      </c>
      <c r="DU10" s="35">
        <f t="shared" si="123"/>
        <v>49613</v>
      </c>
      <c r="DV10" s="35">
        <f t="shared" si="123"/>
        <v>49643</v>
      </c>
      <c r="DW10" s="35">
        <f t="shared" si="123"/>
        <v>49674</v>
      </c>
      <c r="DX10" s="35">
        <f t="shared" si="123"/>
        <v>49705</v>
      </c>
      <c r="DY10" s="35">
        <f t="shared" si="123"/>
        <v>49734</v>
      </c>
      <c r="DZ10" s="35">
        <f t="shared" si="123"/>
        <v>49765</v>
      </c>
      <c r="EA10" s="35">
        <f t="shared" si="123"/>
        <v>49795</v>
      </c>
      <c r="EB10" s="35">
        <f t="shared" si="123"/>
        <v>49826</v>
      </c>
      <c r="EC10" s="35">
        <f t="shared" si="123"/>
        <v>49856</v>
      </c>
      <c r="ED10" s="35">
        <f t="shared" si="123"/>
        <v>49887</v>
      </c>
      <c r="EE10" s="35">
        <f t="shared" si="123"/>
        <v>49918</v>
      </c>
      <c r="EF10" s="35">
        <f t="shared" si="123"/>
        <v>49948</v>
      </c>
      <c r="EG10" s="35">
        <f t="shared" si="123"/>
        <v>49979</v>
      </c>
      <c r="EH10" s="35">
        <f t="shared" ref="EH10:FT10" si="124">EH11</f>
        <v>50009</v>
      </c>
      <c r="EI10" s="35">
        <f t="shared" si="124"/>
        <v>50040</v>
      </c>
      <c r="EJ10" s="35">
        <f t="shared" si="124"/>
        <v>50071</v>
      </c>
      <c r="EK10" s="35">
        <f t="shared" si="124"/>
        <v>50099</v>
      </c>
      <c r="EL10" s="35">
        <f t="shared" si="124"/>
        <v>50130</v>
      </c>
      <c r="EM10" s="35">
        <f t="shared" si="124"/>
        <v>50160</v>
      </c>
      <c r="EN10" s="35">
        <f t="shared" si="124"/>
        <v>50191</v>
      </c>
      <c r="EO10" s="35">
        <f t="shared" si="124"/>
        <v>50221</v>
      </c>
      <c r="EP10" s="35">
        <f t="shared" si="124"/>
        <v>50252</v>
      </c>
      <c r="EQ10" s="35">
        <f t="shared" si="124"/>
        <v>50283</v>
      </c>
      <c r="ER10" s="35">
        <f t="shared" si="124"/>
        <v>50313</v>
      </c>
      <c r="ES10" s="35">
        <f t="shared" si="124"/>
        <v>50344</v>
      </c>
      <c r="ET10" s="35">
        <f t="shared" si="124"/>
        <v>50374</v>
      </c>
      <c r="EU10" s="35">
        <f t="shared" si="124"/>
        <v>50405</v>
      </c>
      <c r="EV10" s="35">
        <f t="shared" si="124"/>
        <v>50436</v>
      </c>
      <c r="EW10" s="35">
        <f t="shared" si="124"/>
        <v>50464</v>
      </c>
      <c r="EX10" s="35">
        <f t="shared" si="124"/>
        <v>50495</v>
      </c>
      <c r="EY10" s="35">
        <f t="shared" si="124"/>
        <v>50525</v>
      </c>
      <c r="EZ10" s="35">
        <f t="shared" si="124"/>
        <v>50556</v>
      </c>
      <c r="FA10" s="35">
        <f t="shared" si="124"/>
        <v>50586</v>
      </c>
      <c r="FB10" s="35">
        <f t="shared" si="124"/>
        <v>50617</v>
      </c>
      <c r="FC10" s="35">
        <f t="shared" si="124"/>
        <v>50648</v>
      </c>
      <c r="FD10" s="35">
        <f t="shared" si="124"/>
        <v>50678</v>
      </c>
      <c r="FE10" s="35">
        <f t="shared" si="124"/>
        <v>50709</v>
      </c>
      <c r="FF10" s="35">
        <f t="shared" si="124"/>
        <v>50739</v>
      </c>
      <c r="FG10" s="35">
        <f t="shared" si="124"/>
        <v>50770</v>
      </c>
      <c r="FH10" s="35">
        <f t="shared" si="124"/>
        <v>50801</v>
      </c>
      <c r="FI10" s="35">
        <f t="shared" si="124"/>
        <v>50829</v>
      </c>
      <c r="FJ10" s="35">
        <f t="shared" si="124"/>
        <v>50860</v>
      </c>
      <c r="FK10" s="35">
        <f t="shared" si="124"/>
        <v>50890</v>
      </c>
      <c r="FL10" s="35">
        <f t="shared" si="124"/>
        <v>50921</v>
      </c>
      <c r="FM10" s="35">
        <f t="shared" si="124"/>
        <v>50951</v>
      </c>
      <c r="FN10" s="35">
        <f t="shared" si="124"/>
        <v>50982</v>
      </c>
      <c r="FO10" s="35">
        <f t="shared" si="124"/>
        <v>51013</v>
      </c>
      <c r="FP10" s="35">
        <f t="shared" si="124"/>
        <v>51043</v>
      </c>
      <c r="FQ10" s="35">
        <f t="shared" si="124"/>
        <v>51074</v>
      </c>
      <c r="FR10" s="35">
        <f t="shared" si="124"/>
        <v>51104</v>
      </c>
      <c r="FS10" s="35">
        <f t="shared" si="124"/>
        <v>51135</v>
      </c>
      <c r="FT10" s="35">
        <f t="shared" si="124"/>
        <v>51166</v>
      </c>
      <c r="FU10" s="34"/>
      <c r="FV10" s="34"/>
      <c r="FW10" s="34"/>
      <c r="FX10" s="34"/>
      <c r="FY10" s="34"/>
      <c r="FZ10" s="34"/>
    </row>
    <row r="11" spans="1:182" s="815" customFormat="1" ht="13.5" x14ac:dyDescent="0.25">
      <c r="A11" s="48"/>
      <c r="B11" s="386"/>
      <c r="C11" s="813"/>
      <c r="D11" s="813"/>
      <c r="E11" s="813"/>
      <c r="F11" s="131" t="s">
        <v>227</v>
      </c>
      <c r="G11" s="813"/>
      <c r="H11" s="814">
        <f>'Operating Assumptions'!D39</f>
        <v>46053</v>
      </c>
      <c r="I11" s="814">
        <f>EOMONTH($H$11,I9)</f>
        <v>46081</v>
      </c>
      <c r="J11" s="814">
        <f>EOMONTH($H$11,J9)</f>
        <v>46112</v>
      </c>
      <c r="K11" s="814">
        <f>EOMONTH($H$11,K9)</f>
        <v>46142</v>
      </c>
      <c r="L11" s="814">
        <f t="shared" ref="L11:BW11" si="125">EOMONTH($H$11,L9)</f>
        <v>46173</v>
      </c>
      <c r="M11" s="814">
        <f t="shared" si="125"/>
        <v>46203</v>
      </c>
      <c r="N11" s="814">
        <f t="shared" si="125"/>
        <v>46234</v>
      </c>
      <c r="O11" s="814">
        <f t="shared" si="125"/>
        <v>46265</v>
      </c>
      <c r="P11" s="814">
        <f t="shared" si="125"/>
        <v>46295</v>
      </c>
      <c r="Q11" s="814">
        <f t="shared" si="125"/>
        <v>46326</v>
      </c>
      <c r="R11" s="814">
        <f t="shared" si="125"/>
        <v>46356</v>
      </c>
      <c r="S11" s="814">
        <f t="shared" si="125"/>
        <v>46387</v>
      </c>
      <c r="T11" s="814">
        <f t="shared" si="125"/>
        <v>46418</v>
      </c>
      <c r="U11" s="814">
        <f t="shared" si="125"/>
        <v>46446</v>
      </c>
      <c r="V11" s="814">
        <f t="shared" si="125"/>
        <v>46477</v>
      </c>
      <c r="W11" s="814">
        <f t="shared" si="125"/>
        <v>46507</v>
      </c>
      <c r="X11" s="814">
        <f t="shared" si="125"/>
        <v>46538</v>
      </c>
      <c r="Y11" s="814">
        <f t="shared" si="125"/>
        <v>46568</v>
      </c>
      <c r="Z11" s="814">
        <f t="shared" si="125"/>
        <v>46599</v>
      </c>
      <c r="AA11" s="814">
        <f t="shared" si="125"/>
        <v>46630</v>
      </c>
      <c r="AB11" s="814">
        <f t="shared" si="125"/>
        <v>46660</v>
      </c>
      <c r="AC11" s="814">
        <f t="shared" si="125"/>
        <v>46691</v>
      </c>
      <c r="AD11" s="814">
        <f t="shared" si="125"/>
        <v>46721</v>
      </c>
      <c r="AE11" s="814">
        <f t="shared" si="125"/>
        <v>46752</v>
      </c>
      <c r="AF11" s="814">
        <f t="shared" si="125"/>
        <v>46783</v>
      </c>
      <c r="AG11" s="814">
        <f t="shared" si="125"/>
        <v>46812</v>
      </c>
      <c r="AH11" s="814">
        <f t="shared" si="125"/>
        <v>46843</v>
      </c>
      <c r="AI11" s="814">
        <f t="shared" si="125"/>
        <v>46873</v>
      </c>
      <c r="AJ11" s="814">
        <f t="shared" si="125"/>
        <v>46904</v>
      </c>
      <c r="AK11" s="814">
        <f t="shared" si="125"/>
        <v>46934</v>
      </c>
      <c r="AL11" s="814">
        <f>EOMONTH($H$11,AL9)</f>
        <v>46965</v>
      </c>
      <c r="AM11" s="814">
        <f t="shared" si="125"/>
        <v>46996</v>
      </c>
      <c r="AN11" s="814">
        <f t="shared" si="125"/>
        <v>47026</v>
      </c>
      <c r="AO11" s="814">
        <f t="shared" si="125"/>
        <v>47057</v>
      </c>
      <c r="AP11" s="814">
        <f t="shared" si="125"/>
        <v>47087</v>
      </c>
      <c r="AQ11" s="814">
        <f t="shared" si="125"/>
        <v>47118</v>
      </c>
      <c r="AR11" s="814">
        <f t="shared" si="125"/>
        <v>47149</v>
      </c>
      <c r="AS11" s="814">
        <f t="shared" si="125"/>
        <v>47177</v>
      </c>
      <c r="AT11" s="814">
        <f t="shared" si="125"/>
        <v>47208</v>
      </c>
      <c r="AU11" s="814">
        <f t="shared" si="125"/>
        <v>47238</v>
      </c>
      <c r="AV11" s="814">
        <f t="shared" si="125"/>
        <v>47269</v>
      </c>
      <c r="AW11" s="814">
        <f t="shared" si="125"/>
        <v>47299</v>
      </c>
      <c r="AX11" s="814">
        <f t="shared" si="125"/>
        <v>47330</v>
      </c>
      <c r="AY11" s="814">
        <f t="shared" si="125"/>
        <v>47361</v>
      </c>
      <c r="AZ11" s="814">
        <f t="shared" si="125"/>
        <v>47391</v>
      </c>
      <c r="BA11" s="814">
        <f t="shared" si="125"/>
        <v>47422</v>
      </c>
      <c r="BB11" s="814">
        <f t="shared" si="125"/>
        <v>47452</v>
      </c>
      <c r="BC11" s="814">
        <f t="shared" si="125"/>
        <v>47483</v>
      </c>
      <c r="BD11" s="814">
        <f t="shared" si="125"/>
        <v>47514</v>
      </c>
      <c r="BE11" s="814">
        <f t="shared" si="125"/>
        <v>47542</v>
      </c>
      <c r="BF11" s="814">
        <f t="shared" si="125"/>
        <v>47573</v>
      </c>
      <c r="BG11" s="814">
        <f t="shared" si="125"/>
        <v>47603</v>
      </c>
      <c r="BH11" s="814">
        <f t="shared" si="125"/>
        <v>47634</v>
      </c>
      <c r="BI11" s="814">
        <f t="shared" si="125"/>
        <v>47664</v>
      </c>
      <c r="BJ11" s="814">
        <f t="shared" si="125"/>
        <v>47695</v>
      </c>
      <c r="BK11" s="814">
        <f t="shared" si="125"/>
        <v>47726</v>
      </c>
      <c r="BL11" s="814">
        <f t="shared" si="125"/>
        <v>47756</v>
      </c>
      <c r="BM11" s="814">
        <f t="shared" si="125"/>
        <v>47787</v>
      </c>
      <c r="BN11" s="814">
        <f t="shared" si="125"/>
        <v>47817</v>
      </c>
      <c r="BO11" s="814">
        <f t="shared" si="125"/>
        <v>47848</v>
      </c>
      <c r="BP11" s="814">
        <f t="shared" si="125"/>
        <v>47879</v>
      </c>
      <c r="BQ11" s="814">
        <f t="shared" si="125"/>
        <v>47907</v>
      </c>
      <c r="BR11" s="814">
        <f t="shared" si="125"/>
        <v>47938</v>
      </c>
      <c r="BS11" s="814">
        <f t="shared" si="125"/>
        <v>47968</v>
      </c>
      <c r="BT11" s="814">
        <f t="shared" si="125"/>
        <v>47999</v>
      </c>
      <c r="BU11" s="814">
        <f t="shared" si="125"/>
        <v>48029</v>
      </c>
      <c r="BV11" s="814">
        <f t="shared" si="125"/>
        <v>48060</v>
      </c>
      <c r="BW11" s="814">
        <f t="shared" si="125"/>
        <v>48091</v>
      </c>
      <c r="BX11" s="814">
        <f t="shared" ref="BX11:EI11" si="126">EOMONTH($H$11,BX9)</f>
        <v>48121</v>
      </c>
      <c r="BY11" s="814">
        <f t="shared" si="126"/>
        <v>48152</v>
      </c>
      <c r="BZ11" s="814">
        <f t="shared" si="126"/>
        <v>48182</v>
      </c>
      <c r="CA11" s="814">
        <f t="shared" si="126"/>
        <v>48213</v>
      </c>
      <c r="CB11" s="814">
        <f t="shared" si="126"/>
        <v>48244</v>
      </c>
      <c r="CC11" s="814">
        <f t="shared" si="126"/>
        <v>48273</v>
      </c>
      <c r="CD11" s="814">
        <f t="shared" si="126"/>
        <v>48304</v>
      </c>
      <c r="CE11" s="814">
        <f t="shared" si="126"/>
        <v>48334</v>
      </c>
      <c r="CF11" s="814">
        <f t="shared" si="126"/>
        <v>48365</v>
      </c>
      <c r="CG11" s="814">
        <f t="shared" si="126"/>
        <v>48395</v>
      </c>
      <c r="CH11" s="814">
        <f t="shared" si="126"/>
        <v>48426</v>
      </c>
      <c r="CI11" s="814">
        <f t="shared" si="126"/>
        <v>48457</v>
      </c>
      <c r="CJ11" s="814">
        <f t="shared" si="126"/>
        <v>48487</v>
      </c>
      <c r="CK11" s="814">
        <f t="shared" si="126"/>
        <v>48518</v>
      </c>
      <c r="CL11" s="814">
        <f t="shared" si="126"/>
        <v>48548</v>
      </c>
      <c r="CM11" s="814">
        <f t="shared" si="126"/>
        <v>48579</v>
      </c>
      <c r="CN11" s="814">
        <f t="shared" si="126"/>
        <v>48610</v>
      </c>
      <c r="CO11" s="814">
        <f t="shared" si="126"/>
        <v>48638</v>
      </c>
      <c r="CP11" s="814">
        <f t="shared" si="126"/>
        <v>48669</v>
      </c>
      <c r="CQ11" s="814">
        <f t="shared" si="126"/>
        <v>48699</v>
      </c>
      <c r="CR11" s="814">
        <f t="shared" si="126"/>
        <v>48730</v>
      </c>
      <c r="CS11" s="814">
        <f t="shared" si="126"/>
        <v>48760</v>
      </c>
      <c r="CT11" s="814">
        <f t="shared" si="126"/>
        <v>48791</v>
      </c>
      <c r="CU11" s="814">
        <f t="shared" si="126"/>
        <v>48822</v>
      </c>
      <c r="CV11" s="814">
        <f t="shared" si="126"/>
        <v>48852</v>
      </c>
      <c r="CW11" s="814">
        <f t="shared" si="126"/>
        <v>48883</v>
      </c>
      <c r="CX11" s="814">
        <f t="shared" si="126"/>
        <v>48913</v>
      </c>
      <c r="CY11" s="814">
        <f t="shared" si="126"/>
        <v>48944</v>
      </c>
      <c r="CZ11" s="814">
        <f t="shared" si="126"/>
        <v>48975</v>
      </c>
      <c r="DA11" s="814">
        <f t="shared" si="126"/>
        <v>49003</v>
      </c>
      <c r="DB11" s="814">
        <f t="shared" si="126"/>
        <v>49034</v>
      </c>
      <c r="DC11" s="814">
        <f t="shared" si="126"/>
        <v>49064</v>
      </c>
      <c r="DD11" s="814">
        <f t="shared" si="126"/>
        <v>49095</v>
      </c>
      <c r="DE11" s="814">
        <f t="shared" si="126"/>
        <v>49125</v>
      </c>
      <c r="DF11" s="814">
        <f t="shared" si="126"/>
        <v>49156</v>
      </c>
      <c r="DG11" s="814">
        <f t="shared" si="126"/>
        <v>49187</v>
      </c>
      <c r="DH11" s="814">
        <f t="shared" si="126"/>
        <v>49217</v>
      </c>
      <c r="DI11" s="814">
        <f t="shared" si="126"/>
        <v>49248</v>
      </c>
      <c r="DJ11" s="814">
        <f t="shared" si="126"/>
        <v>49278</v>
      </c>
      <c r="DK11" s="814">
        <f t="shared" si="126"/>
        <v>49309</v>
      </c>
      <c r="DL11" s="814">
        <f t="shared" si="126"/>
        <v>49340</v>
      </c>
      <c r="DM11" s="814">
        <f t="shared" si="126"/>
        <v>49368</v>
      </c>
      <c r="DN11" s="814">
        <f t="shared" si="126"/>
        <v>49399</v>
      </c>
      <c r="DO11" s="814">
        <f t="shared" si="126"/>
        <v>49429</v>
      </c>
      <c r="DP11" s="814">
        <f t="shared" si="126"/>
        <v>49460</v>
      </c>
      <c r="DQ11" s="814">
        <f t="shared" si="126"/>
        <v>49490</v>
      </c>
      <c r="DR11" s="814">
        <f t="shared" si="126"/>
        <v>49521</v>
      </c>
      <c r="DS11" s="814">
        <f t="shared" si="126"/>
        <v>49552</v>
      </c>
      <c r="DT11" s="814">
        <f t="shared" si="126"/>
        <v>49582</v>
      </c>
      <c r="DU11" s="814">
        <f t="shared" si="126"/>
        <v>49613</v>
      </c>
      <c r="DV11" s="814">
        <f t="shared" si="126"/>
        <v>49643</v>
      </c>
      <c r="DW11" s="814">
        <f t="shared" si="126"/>
        <v>49674</v>
      </c>
      <c r="DX11" s="814">
        <f t="shared" si="126"/>
        <v>49705</v>
      </c>
      <c r="DY11" s="814">
        <f t="shared" si="126"/>
        <v>49734</v>
      </c>
      <c r="DZ11" s="814">
        <f t="shared" si="126"/>
        <v>49765</v>
      </c>
      <c r="EA11" s="814">
        <f t="shared" si="126"/>
        <v>49795</v>
      </c>
      <c r="EB11" s="814">
        <f t="shared" si="126"/>
        <v>49826</v>
      </c>
      <c r="EC11" s="814">
        <f t="shared" si="126"/>
        <v>49856</v>
      </c>
      <c r="ED11" s="814">
        <f t="shared" si="126"/>
        <v>49887</v>
      </c>
      <c r="EE11" s="814">
        <f t="shared" si="126"/>
        <v>49918</v>
      </c>
      <c r="EF11" s="814">
        <f t="shared" si="126"/>
        <v>49948</v>
      </c>
      <c r="EG11" s="814">
        <f t="shared" si="126"/>
        <v>49979</v>
      </c>
      <c r="EH11" s="814">
        <f t="shared" si="126"/>
        <v>50009</v>
      </c>
      <c r="EI11" s="814">
        <f t="shared" si="126"/>
        <v>50040</v>
      </c>
      <c r="EJ11" s="814">
        <f t="shared" ref="EJ11:FT11" si="127">EOMONTH($H$11,EJ9)</f>
        <v>50071</v>
      </c>
      <c r="EK11" s="814">
        <f t="shared" si="127"/>
        <v>50099</v>
      </c>
      <c r="EL11" s="814">
        <f t="shared" si="127"/>
        <v>50130</v>
      </c>
      <c r="EM11" s="814">
        <f t="shared" si="127"/>
        <v>50160</v>
      </c>
      <c r="EN11" s="814">
        <f t="shared" si="127"/>
        <v>50191</v>
      </c>
      <c r="EO11" s="814">
        <f t="shared" si="127"/>
        <v>50221</v>
      </c>
      <c r="EP11" s="814">
        <f t="shared" si="127"/>
        <v>50252</v>
      </c>
      <c r="EQ11" s="814">
        <f t="shared" si="127"/>
        <v>50283</v>
      </c>
      <c r="ER11" s="814">
        <f t="shared" si="127"/>
        <v>50313</v>
      </c>
      <c r="ES11" s="814">
        <f t="shared" si="127"/>
        <v>50344</v>
      </c>
      <c r="ET11" s="814">
        <f t="shared" si="127"/>
        <v>50374</v>
      </c>
      <c r="EU11" s="814">
        <f t="shared" si="127"/>
        <v>50405</v>
      </c>
      <c r="EV11" s="814">
        <f t="shared" si="127"/>
        <v>50436</v>
      </c>
      <c r="EW11" s="814">
        <f t="shared" si="127"/>
        <v>50464</v>
      </c>
      <c r="EX11" s="814">
        <f t="shared" si="127"/>
        <v>50495</v>
      </c>
      <c r="EY11" s="814">
        <f t="shared" si="127"/>
        <v>50525</v>
      </c>
      <c r="EZ11" s="814">
        <f t="shared" si="127"/>
        <v>50556</v>
      </c>
      <c r="FA11" s="814">
        <f t="shared" si="127"/>
        <v>50586</v>
      </c>
      <c r="FB11" s="814">
        <f t="shared" si="127"/>
        <v>50617</v>
      </c>
      <c r="FC11" s="814">
        <f t="shared" si="127"/>
        <v>50648</v>
      </c>
      <c r="FD11" s="814">
        <f t="shared" si="127"/>
        <v>50678</v>
      </c>
      <c r="FE11" s="814">
        <f t="shared" si="127"/>
        <v>50709</v>
      </c>
      <c r="FF11" s="814">
        <f t="shared" si="127"/>
        <v>50739</v>
      </c>
      <c r="FG11" s="814">
        <f t="shared" si="127"/>
        <v>50770</v>
      </c>
      <c r="FH11" s="814">
        <f t="shared" si="127"/>
        <v>50801</v>
      </c>
      <c r="FI11" s="814">
        <f t="shared" si="127"/>
        <v>50829</v>
      </c>
      <c r="FJ11" s="814">
        <f t="shared" si="127"/>
        <v>50860</v>
      </c>
      <c r="FK11" s="814">
        <f t="shared" si="127"/>
        <v>50890</v>
      </c>
      <c r="FL11" s="814">
        <f t="shared" si="127"/>
        <v>50921</v>
      </c>
      <c r="FM11" s="814">
        <f t="shared" si="127"/>
        <v>50951</v>
      </c>
      <c r="FN11" s="814">
        <f t="shared" si="127"/>
        <v>50982</v>
      </c>
      <c r="FO11" s="814">
        <f t="shared" si="127"/>
        <v>51013</v>
      </c>
      <c r="FP11" s="814">
        <f t="shared" si="127"/>
        <v>51043</v>
      </c>
      <c r="FQ11" s="814">
        <f t="shared" si="127"/>
        <v>51074</v>
      </c>
      <c r="FR11" s="814">
        <f t="shared" si="127"/>
        <v>51104</v>
      </c>
      <c r="FS11" s="814">
        <f t="shared" si="127"/>
        <v>51135</v>
      </c>
      <c r="FT11" s="814">
        <f t="shared" si="127"/>
        <v>51166</v>
      </c>
      <c r="FU11" s="50"/>
      <c r="FV11" s="48"/>
      <c r="FW11" s="48"/>
      <c r="FX11" s="48"/>
      <c r="FY11" s="48"/>
      <c r="FZ11" s="48"/>
    </row>
    <row r="12" spans="1:182" s="34" customFormat="1" ht="13.5" hidden="1" outlineLevel="1" x14ac:dyDescent="0.25">
      <c r="F12" s="34" t="s">
        <v>335</v>
      </c>
      <c r="H12" s="35">
        <v>0</v>
      </c>
      <c r="I12" s="35">
        <v>1</v>
      </c>
      <c r="J12" s="35">
        <v>2</v>
      </c>
      <c r="K12" s="35">
        <v>3</v>
      </c>
      <c r="L12" s="35">
        <v>4</v>
      </c>
      <c r="M12" s="35">
        <v>5</v>
      </c>
      <c r="N12" s="35">
        <v>6</v>
      </c>
      <c r="O12" s="35">
        <v>7</v>
      </c>
      <c r="P12" s="35">
        <v>8</v>
      </c>
      <c r="Q12" s="35">
        <v>9</v>
      </c>
      <c r="R12" s="35">
        <v>10</v>
      </c>
      <c r="S12" s="35">
        <v>11</v>
      </c>
      <c r="T12" s="35">
        <v>12</v>
      </c>
      <c r="U12" s="35">
        <v>13</v>
      </c>
      <c r="V12" s="35">
        <v>14</v>
      </c>
      <c r="W12" s="35">
        <v>15</v>
      </c>
      <c r="X12" s="35">
        <v>16</v>
      </c>
      <c r="Y12" s="35">
        <v>17</v>
      </c>
      <c r="Z12" s="35">
        <v>18</v>
      </c>
      <c r="AA12" s="35">
        <v>19</v>
      </c>
      <c r="AB12" s="35">
        <v>20</v>
      </c>
      <c r="AC12" s="35">
        <v>21</v>
      </c>
      <c r="AD12" s="35">
        <v>22</v>
      </c>
      <c r="AE12" s="35">
        <v>23</v>
      </c>
      <c r="AF12" s="35">
        <v>24</v>
      </c>
      <c r="AG12" s="35">
        <v>25</v>
      </c>
      <c r="AH12" s="35">
        <v>26</v>
      </c>
      <c r="AI12" s="35">
        <v>27</v>
      </c>
      <c r="AJ12" s="35">
        <v>28</v>
      </c>
      <c r="AK12" s="35">
        <v>29</v>
      </c>
      <c r="AL12" s="35">
        <v>30</v>
      </c>
      <c r="AM12" s="35">
        <v>31</v>
      </c>
      <c r="AN12" s="35">
        <v>32</v>
      </c>
      <c r="AO12" s="35">
        <v>33</v>
      </c>
      <c r="AP12" s="35">
        <v>34</v>
      </c>
      <c r="AQ12" s="35">
        <v>35</v>
      </c>
      <c r="AR12" s="35">
        <v>36</v>
      </c>
      <c r="AS12" s="35">
        <v>37</v>
      </c>
      <c r="AT12" s="35">
        <v>38</v>
      </c>
      <c r="AU12" s="35">
        <v>39</v>
      </c>
      <c r="AV12" s="35">
        <v>40</v>
      </c>
      <c r="AW12" s="35">
        <v>41</v>
      </c>
      <c r="AX12" s="35">
        <v>42</v>
      </c>
      <c r="AY12" s="35">
        <v>43</v>
      </c>
      <c r="AZ12" s="35">
        <v>44</v>
      </c>
      <c r="BA12" s="35">
        <v>45</v>
      </c>
      <c r="BB12" s="35">
        <v>46</v>
      </c>
      <c r="BC12" s="35">
        <v>47</v>
      </c>
      <c r="BD12" s="35">
        <v>48</v>
      </c>
      <c r="BE12" s="35">
        <v>49</v>
      </c>
      <c r="BF12" s="35">
        <v>50</v>
      </c>
      <c r="BG12" s="35">
        <v>51</v>
      </c>
      <c r="BH12" s="35">
        <v>52</v>
      </c>
      <c r="BI12" s="35">
        <v>53</v>
      </c>
      <c r="BJ12" s="35">
        <v>54</v>
      </c>
      <c r="BK12" s="35">
        <v>55</v>
      </c>
      <c r="BL12" s="35">
        <v>56</v>
      </c>
      <c r="BM12" s="35">
        <v>57</v>
      </c>
      <c r="BN12" s="35">
        <v>58</v>
      </c>
      <c r="BO12" s="35">
        <v>59</v>
      </c>
      <c r="BP12" s="35">
        <v>60</v>
      </c>
      <c r="BQ12" s="35">
        <v>61</v>
      </c>
      <c r="BR12" s="35">
        <v>62</v>
      </c>
      <c r="BS12" s="35">
        <v>63</v>
      </c>
      <c r="BT12" s="35">
        <v>64</v>
      </c>
      <c r="BU12" s="35">
        <v>65</v>
      </c>
      <c r="BV12" s="35">
        <v>66</v>
      </c>
      <c r="BW12" s="35">
        <v>67</v>
      </c>
      <c r="BX12" s="35">
        <v>68</v>
      </c>
      <c r="BY12" s="35">
        <v>69</v>
      </c>
      <c r="BZ12" s="35">
        <v>70</v>
      </c>
      <c r="CA12" s="35">
        <v>71</v>
      </c>
      <c r="CB12" s="35">
        <v>72</v>
      </c>
      <c r="CC12" s="35">
        <v>73</v>
      </c>
      <c r="CD12" s="35">
        <v>74</v>
      </c>
      <c r="CE12" s="35">
        <v>75</v>
      </c>
      <c r="CF12" s="35">
        <v>76</v>
      </c>
      <c r="CG12" s="35">
        <v>77</v>
      </c>
      <c r="CH12" s="35">
        <v>78</v>
      </c>
      <c r="CI12" s="35">
        <v>79</v>
      </c>
      <c r="CJ12" s="35">
        <v>80</v>
      </c>
      <c r="CK12" s="35">
        <v>81</v>
      </c>
      <c r="CL12" s="35">
        <v>82</v>
      </c>
      <c r="CM12" s="35">
        <v>83</v>
      </c>
      <c r="CN12" s="35">
        <v>84</v>
      </c>
      <c r="CO12" s="35">
        <v>85</v>
      </c>
      <c r="CP12" s="35">
        <v>86</v>
      </c>
      <c r="CQ12" s="35">
        <v>87</v>
      </c>
      <c r="CR12" s="35">
        <v>88</v>
      </c>
      <c r="CS12" s="35">
        <v>89</v>
      </c>
      <c r="CT12" s="35">
        <v>90</v>
      </c>
      <c r="CU12" s="35">
        <v>91</v>
      </c>
      <c r="CV12" s="35">
        <v>92</v>
      </c>
      <c r="CW12" s="35">
        <v>93</v>
      </c>
      <c r="CX12" s="35">
        <v>94</v>
      </c>
      <c r="CY12" s="35">
        <v>95</v>
      </c>
      <c r="CZ12" s="35">
        <v>96</v>
      </c>
      <c r="DA12" s="35">
        <v>97</v>
      </c>
      <c r="DB12" s="35">
        <v>98</v>
      </c>
      <c r="DC12" s="35">
        <v>99</v>
      </c>
      <c r="DD12" s="35">
        <v>100</v>
      </c>
      <c r="DE12" s="35">
        <v>101</v>
      </c>
      <c r="DF12" s="35">
        <v>102</v>
      </c>
      <c r="DG12" s="35">
        <v>103</v>
      </c>
      <c r="DH12" s="35">
        <v>104</v>
      </c>
      <c r="DI12" s="35">
        <v>105</v>
      </c>
      <c r="DJ12" s="35">
        <v>106</v>
      </c>
      <c r="DK12" s="35">
        <v>107</v>
      </c>
      <c r="DL12" s="35">
        <v>108</v>
      </c>
      <c r="DM12" s="35">
        <v>109</v>
      </c>
      <c r="DN12" s="35">
        <v>110</v>
      </c>
      <c r="DO12" s="35">
        <v>111</v>
      </c>
      <c r="DP12" s="35">
        <v>112</v>
      </c>
      <c r="DQ12" s="35">
        <v>113</v>
      </c>
      <c r="DR12" s="35">
        <v>114</v>
      </c>
      <c r="DS12" s="35">
        <v>115</v>
      </c>
      <c r="DT12" s="35">
        <v>116</v>
      </c>
      <c r="DU12" s="35">
        <v>117</v>
      </c>
      <c r="DV12" s="35">
        <v>118</v>
      </c>
      <c r="DW12" s="35">
        <v>119</v>
      </c>
      <c r="DX12" s="35">
        <v>120</v>
      </c>
      <c r="DY12" s="35">
        <v>121</v>
      </c>
      <c r="DZ12" s="35">
        <v>122</v>
      </c>
      <c r="EA12" s="35">
        <v>123</v>
      </c>
      <c r="EB12" s="35">
        <v>124</v>
      </c>
      <c r="EC12" s="35">
        <v>125</v>
      </c>
      <c r="ED12" s="35">
        <v>126</v>
      </c>
      <c r="EE12" s="35">
        <v>127</v>
      </c>
      <c r="EF12" s="35">
        <v>128</v>
      </c>
      <c r="EG12" s="35">
        <v>129</v>
      </c>
      <c r="EH12" s="35">
        <v>130</v>
      </c>
      <c r="EI12" s="35">
        <v>131</v>
      </c>
      <c r="EJ12" s="35">
        <v>132</v>
      </c>
      <c r="EK12" s="35">
        <v>133</v>
      </c>
      <c r="EL12" s="35">
        <v>134</v>
      </c>
      <c r="EM12" s="35">
        <v>135</v>
      </c>
      <c r="EN12" s="35">
        <v>136</v>
      </c>
      <c r="EO12" s="35">
        <v>137</v>
      </c>
      <c r="EP12" s="35">
        <v>138</v>
      </c>
      <c r="EQ12" s="35">
        <v>139</v>
      </c>
      <c r="ER12" s="35">
        <v>140</v>
      </c>
      <c r="ES12" s="35">
        <v>141</v>
      </c>
      <c r="ET12" s="35">
        <v>142</v>
      </c>
      <c r="EU12" s="35">
        <v>143</v>
      </c>
      <c r="EV12" s="35">
        <v>144</v>
      </c>
      <c r="EW12" s="35">
        <v>145</v>
      </c>
      <c r="EX12" s="35">
        <v>146</v>
      </c>
      <c r="EY12" s="35">
        <v>147</v>
      </c>
      <c r="EZ12" s="35">
        <v>148</v>
      </c>
      <c r="FA12" s="35">
        <v>149</v>
      </c>
      <c r="FB12" s="35">
        <v>150</v>
      </c>
      <c r="FC12" s="35">
        <v>151</v>
      </c>
      <c r="FD12" s="35">
        <v>152</v>
      </c>
      <c r="FE12" s="35">
        <v>153</v>
      </c>
      <c r="FF12" s="35">
        <v>154</v>
      </c>
      <c r="FG12" s="35">
        <v>155</v>
      </c>
      <c r="FH12" s="35">
        <v>156</v>
      </c>
      <c r="FI12" s="35">
        <v>157</v>
      </c>
      <c r="FJ12" s="35">
        <v>158</v>
      </c>
      <c r="FK12" s="35">
        <v>159</v>
      </c>
      <c r="FL12" s="35">
        <v>160</v>
      </c>
      <c r="FM12" s="35">
        <v>161</v>
      </c>
      <c r="FN12" s="35">
        <v>162</v>
      </c>
      <c r="FO12" s="35">
        <v>163</v>
      </c>
      <c r="FP12" s="35">
        <v>164</v>
      </c>
      <c r="FQ12" s="35">
        <v>165</v>
      </c>
      <c r="FR12" s="35">
        <v>166</v>
      </c>
      <c r="FS12" s="35">
        <v>167</v>
      </c>
      <c r="FT12" s="35">
        <v>168</v>
      </c>
      <c r="FU12" s="43"/>
    </row>
    <row r="13" spans="1:182" s="416" customFormat="1" ht="13.5" hidden="1" outlineLevel="1" x14ac:dyDescent="0.25">
      <c r="F13" s="34" t="s">
        <v>336</v>
      </c>
      <c r="H13" s="35">
        <f>H6</f>
        <v>0</v>
      </c>
      <c r="I13" s="35">
        <f t="shared" ref="I13:BT13" si="128">I6</f>
        <v>0</v>
      </c>
      <c r="J13" s="35">
        <f t="shared" si="128"/>
        <v>0</v>
      </c>
      <c r="K13" s="35">
        <f t="shared" si="128"/>
        <v>0</v>
      </c>
      <c r="L13" s="35">
        <f t="shared" si="128"/>
        <v>0</v>
      </c>
      <c r="M13" s="35">
        <f t="shared" si="128"/>
        <v>0</v>
      </c>
      <c r="N13" s="35">
        <f t="shared" si="128"/>
        <v>0</v>
      </c>
      <c r="O13" s="35">
        <f t="shared" si="128"/>
        <v>0</v>
      </c>
      <c r="P13" s="35">
        <f t="shared" si="128"/>
        <v>0</v>
      </c>
      <c r="Q13" s="35">
        <f t="shared" si="128"/>
        <v>0</v>
      </c>
      <c r="R13" s="35">
        <f t="shared" si="128"/>
        <v>0</v>
      </c>
      <c r="S13" s="35">
        <f t="shared" si="128"/>
        <v>0</v>
      </c>
      <c r="T13" s="35">
        <f t="shared" si="128"/>
        <v>0</v>
      </c>
      <c r="U13" s="35">
        <f t="shared" si="128"/>
        <v>0</v>
      </c>
      <c r="V13" s="35">
        <f t="shared" si="128"/>
        <v>0</v>
      </c>
      <c r="W13" s="35">
        <f t="shared" si="128"/>
        <v>0</v>
      </c>
      <c r="X13" s="35">
        <f t="shared" si="128"/>
        <v>0</v>
      </c>
      <c r="Y13" s="35">
        <f t="shared" si="128"/>
        <v>0.1</v>
      </c>
      <c r="Z13" s="35">
        <f t="shared" si="128"/>
        <v>0.1</v>
      </c>
      <c r="AA13" s="35">
        <f t="shared" si="128"/>
        <v>0.1</v>
      </c>
      <c r="AB13" s="35">
        <f t="shared" si="128"/>
        <v>0.1</v>
      </c>
      <c r="AC13" s="35">
        <f t="shared" si="128"/>
        <v>0.1</v>
      </c>
      <c r="AD13" s="35">
        <f t="shared" si="128"/>
        <v>0.1</v>
      </c>
      <c r="AE13" s="35">
        <f t="shared" si="128"/>
        <v>0.1</v>
      </c>
      <c r="AF13" s="35">
        <f t="shared" si="128"/>
        <v>1</v>
      </c>
      <c r="AG13" s="35">
        <f t="shared" si="128"/>
        <v>1</v>
      </c>
      <c r="AH13" s="35">
        <f t="shared" si="128"/>
        <v>1</v>
      </c>
      <c r="AI13" s="35">
        <f t="shared" si="128"/>
        <v>1</v>
      </c>
      <c r="AJ13" s="35">
        <f t="shared" si="128"/>
        <v>1</v>
      </c>
      <c r="AK13" s="35">
        <f t="shared" si="128"/>
        <v>1</v>
      </c>
      <c r="AL13" s="35">
        <f t="shared" si="128"/>
        <v>1</v>
      </c>
      <c r="AM13" s="35">
        <f t="shared" si="128"/>
        <v>1</v>
      </c>
      <c r="AN13" s="35">
        <f t="shared" si="128"/>
        <v>1</v>
      </c>
      <c r="AO13" s="35">
        <f t="shared" si="128"/>
        <v>1</v>
      </c>
      <c r="AP13" s="35">
        <f t="shared" si="128"/>
        <v>1</v>
      </c>
      <c r="AQ13" s="35">
        <f t="shared" si="128"/>
        <v>1</v>
      </c>
      <c r="AR13" s="35">
        <f t="shared" si="128"/>
        <v>2</v>
      </c>
      <c r="AS13" s="35">
        <f t="shared" si="128"/>
        <v>2</v>
      </c>
      <c r="AT13" s="35">
        <f t="shared" si="128"/>
        <v>2</v>
      </c>
      <c r="AU13" s="35">
        <f t="shared" si="128"/>
        <v>2</v>
      </c>
      <c r="AV13" s="35">
        <f t="shared" si="128"/>
        <v>2</v>
      </c>
      <c r="AW13" s="35">
        <f t="shared" si="128"/>
        <v>2</v>
      </c>
      <c r="AX13" s="35">
        <f t="shared" si="128"/>
        <v>2</v>
      </c>
      <c r="AY13" s="35">
        <f t="shared" si="128"/>
        <v>2</v>
      </c>
      <c r="AZ13" s="35">
        <f t="shared" si="128"/>
        <v>2</v>
      </c>
      <c r="BA13" s="35">
        <f t="shared" si="128"/>
        <v>2</v>
      </c>
      <c r="BB13" s="35">
        <f t="shared" si="128"/>
        <v>2</v>
      </c>
      <c r="BC13" s="35">
        <f t="shared" si="128"/>
        <v>2</v>
      </c>
      <c r="BD13" s="35">
        <f t="shared" si="128"/>
        <v>3</v>
      </c>
      <c r="BE13" s="35">
        <f t="shared" si="128"/>
        <v>3</v>
      </c>
      <c r="BF13" s="35">
        <f t="shared" si="128"/>
        <v>3</v>
      </c>
      <c r="BG13" s="35">
        <f t="shared" si="128"/>
        <v>3</v>
      </c>
      <c r="BH13" s="35">
        <f t="shared" si="128"/>
        <v>3</v>
      </c>
      <c r="BI13" s="35">
        <f t="shared" si="128"/>
        <v>3</v>
      </c>
      <c r="BJ13" s="35">
        <f t="shared" si="128"/>
        <v>3</v>
      </c>
      <c r="BK13" s="35">
        <f t="shared" si="128"/>
        <v>3</v>
      </c>
      <c r="BL13" s="35">
        <f t="shared" si="128"/>
        <v>3</v>
      </c>
      <c r="BM13" s="35">
        <f t="shared" si="128"/>
        <v>3</v>
      </c>
      <c r="BN13" s="35">
        <f t="shared" si="128"/>
        <v>3</v>
      </c>
      <c r="BO13" s="35">
        <f t="shared" si="128"/>
        <v>3</v>
      </c>
      <c r="BP13" s="35">
        <f t="shared" si="128"/>
        <v>4</v>
      </c>
      <c r="BQ13" s="35">
        <f t="shared" si="128"/>
        <v>4</v>
      </c>
      <c r="BR13" s="35">
        <f t="shared" si="128"/>
        <v>4</v>
      </c>
      <c r="BS13" s="35">
        <f t="shared" si="128"/>
        <v>4</v>
      </c>
      <c r="BT13" s="35">
        <f t="shared" si="128"/>
        <v>4</v>
      </c>
      <c r="BU13" s="35">
        <f t="shared" ref="BU13:EF13" si="129">BU6</f>
        <v>4</v>
      </c>
      <c r="BV13" s="35">
        <f t="shared" si="129"/>
        <v>4</v>
      </c>
      <c r="BW13" s="35">
        <f t="shared" si="129"/>
        <v>4</v>
      </c>
      <c r="BX13" s="35">
        <f t="shared" si="129"/>
        <v>4</v>
      </c>
      <c r="BY13" s="35">
        <f t="shared" si="129"/>
        <v>4</v>
      </c>
      <c r="BZ13" s="35">
        <f t="shared" si="129"/>
        <v>4</v>
      </c>
      <c r="CA13" s="35">
        <f t="shared" si="129"/>
        <v>4</v>
      </c>
      <c r="CB13" s="35">
        <f t="shared" si="129"/>
        <v>5</v>
      </c>
      <c r="CC13" s="35">
        <f t="shared" si="129"/>
        <v>5</v>
      </c>
      <c r="CD13" s="35">
        <f t="shared" si="129"/>
        <v>5</v>
      </c>
      <c r="CE13" s="35">
        <f t="shared" si="129"/>
        <v>5</v>
      </c>
      <c r="CF13" s="35">
        <f t="shared" si="129"/>
        <v>5</v>
      </c>
      <c r="CG13" s="35">
        <f t="shared" si="129"/>
        <v>5</v>
      </c>
      <c r="CH13" s="35">
        <f t="shared" si="129"/>
        <v>5</v>
      </c>
      <c r="CI13" s="35">
        <f t="shared" si="129"/>
        <v>5</v>
      </c>
      <c r="CJ13" s="35">
        <f t="shared" si="129"/>
        <v>5</v>
      </c>
      <c r="CK13" s="35">
        <f t="shared" si="129"/>
        <v>5</v>
      </c>
      <c r="CL13" s="35">
        <f t="shared" si="129"/>
        <v>5</v>
      </c>
      <c r="CM13" s="35">
        <f t="shared" si="129"/>
        <v>5</v>
      </c>
      <c r="CN13" s="35">
        <f t="shared" si="129"/>
        <v>6</v>
      </c>
      <c r="CO13" s="35">
        <f t="shared" si="129"/>
        <v>6</v>
      </c>
      <c r="CP13" s="35">
        <f t="shared" si="129"/>
        <v>6</v>
      </c>
      <c r="CQ13" s="35">
        <f t="shared" si="129"/>
        <v>6</v>
      </c>
      <c r="CR13" s="35">
        <f t="shared" si="129"/>
        <v>6</v>
      </c>
      <c r="CS13" s="35">
        <f t="shared" si="129"/>
        <v>6</v>
      </c>
      <c r="CT13" s="35">
        <f t="shared" si="129"/>
        <v>6</v>
      </c>
      <c r="CU13" s="35">
        <f t="shared" si="129"/>
        <v>6</v>
      </c>
      <c r="CV13" s="35">
        <f t="shared" si="129"/>
        <v>6</v>
      </c>
      <c r="CW13" s="35">
        <f t="shared" si="129"/>
        <v>6</v>
      </c>
      <c r="CX13" s="35">
        <f t="shared" si="129"/>
        <v>6</v>
      </c>
      <c r="CY13" s="35">
        <f t="shared" si="129"/>
        <v>6</v>
      </c>
      <c r="CZ13" s="35">
        <f t="shared" si="129"/>
        <v>7</v>
      </c>
      <c r="DA13" s="35">
        <f t="shared" si="129"/>
        <v>7</v>
      </c>
      <c r="DB13" s="35">
        <f t="shared" si="129"/>
        <v>7</v>
      </c>
      <c r="DC13" s="35">
        <f t="shared" si="129"/>
        <v>7</v>
      </c>
      <c r="DD13" s="35">
        <f t="shared" si="129"/>
        <v>7</v>
      </c>
      <c r="DE13" s="35">
        <f t="shared" si="129"/>
        <v>7</v>
      </c>
      <c r="DF13" s="35">
        <f t="shared" si="129"/>
        <v>7</v>
      </c>
      <c r="DG13" s="35">
        <f t="shared" si="129"/>
        <v>7</v>
      </c>
      <c r="DH13" s="35">
        <f t="shared" si="129"/>
        <v>7</v>
      </c>
      <c r="DI13" s="35">
        <f t="shared" si="129"/>
        <v>7</v>
      </c>
      <c r="DJ13" s="35">
        <f t="shared" si="129"/>
        <v>7</v>
      </c>
      <c r="DK13" s="35">
        <f t="shared" si="129"/>
        <v>7</v>
      </c>
      <c r="DL13" s="35">
        <f t="shared" si="129"/>
        <v>8</v>
      </c>
      <c r="DM13" s="35">
        <f t="shared" si="129"/>
        <v>8</v>
      </c>
      <c r="DN13" s="35">
        <f t="shared" si="129"/>
        <v>8</v>
      </c>
      <c r="DO13" s="35">
        <f t="shared" si="129"/>
        <v>8</v>
      </c>
      <c r="DP13" s="35">
        <f t="shared" si="129"/>
        <v>8</v>
      </c>
      <c r="DQ13" s="35">
        <f t="shared" si="129"/>
        <v>8</v>
      </c>
      <c r="DR13" s="35">
        <f t="shared" si="129"/>
        <v>8</v>
      </c>
      <c r="DS13" s="35">
        <f t="shared" si="129"/>
        <v>8</v>
      </c>
      <c r="DT13" s="35">
        <f t="shared" si="129"/>
        <v>8</v>
      </c>
      <c r="DU13" s="35">
        <f t="shared" si="129"/>
        <v>8</v>
      </c>
      <c r="DV13" s="35">
        <f t="shared" si="129"/>
        <v>8</v>
      </c>
      <c r="DW13" s="35">
        <f t="shared" si="129"/>
        <v>8</v>
      </c>
      <c r="DX13" s="35">
        <f t="shared" si="129"/>
        <v>9</v>
      </c>
      <c r="DY13" s="35">
        <f t="shared" si="129"/>
        <v>9</v>
      </c>
      <c r="DZ13" s="35">
        <f t="shared" si="129"/>
        <v>9</v>
      </c>
      <c r="EA13" s="35">
        <f t="shared" si="129"/>
        <v>9</v>
      </c>
      <c r="EB13" s="35">
        <f t="shared" si="129"/>
        <v>9</v>
      </c>
      <c r="EC13" s="35">
        <f t="shared" si="129"/>
        <v>9</v>
      </c>
      <c r="ED13" s="35">
        <f t="shared" si="129"/>
        <v>9</v>
      </c>
      <c r="EE13" s="35">
        <f t="shared" si="129"/>
        <v>9</v>
      </c>
      <c r="EF13" s="35">
        <f t="shared" si="129"/>
        <v>9</v>
      </c>
      <c r="EG13" s="35">
        <f t="shared" ref="EG13:FT13" si="130">EG6</f>
        <v>9</v>
      </c>
      <c r="EH13" s="35">
        <f t="shared" si="130"/>
        <v>9</v>
      </c>
      <c r="EI13" s="35">
        <f t="shared" si="130"/>
        <v>9</v>
      </c>
      <c r="EJ13" s="35">
        <f t="shared" si="130"/>
        <v>10</v>
      </c>
      <c r="EK13" s="35">
        <f t="shared" si="130"/>
        <v>10</v>
      </c>
      <c r="EL13" s="35">
        <f t="shared" si="130"/>
        <v>10</v>
      </c>
      <c r="EM13" s="35">
        <f t="shared" si="130"/>
        <v>10</v>
      </c>
      <c r="EN13" s="35">
        <f t="shared" si="130"/>
        <v>10</v>
      </c>
      <c r="EO13" s="35">
        <f t="shared" si="130"/>
        <v>10</v>
      </c>
      <c r="EP13" s="35">
        <f t="shared" si="130"/>
        <v>10</v>
      </c>
      <c r="EQ13" s="35">
        <f t="shared" si="130"/>
        <v>10</v>
      </c>
      <c r="ER13" s="35">
        <f t="shared" si="130"/>
        <v>10</v>
      </c>
      <c r="ES13" s="35">
        <f t="shared" si="130"/>
        <v>10</v>
      </c>
      <c r="ET13" s="35">
        <f t="shared" si="130"/>
        <v>10</v>
      </c>
      <c r="EU13" s="35">
        <f t="shared" si="130"/>
        <v>10</v>
      </c>
      <c r="EV13" s="35">
        <f t="shared" si="130"/>
        <v>11</v>
      </c>
      <c r="EW13" s="35">
        <f t="shared" si="130"/>
        <v>11</v>
      </c>
      <c r="EX13" s="35">
        <f t="shared" si="130"/>
        <v>11</v>
      </c>
      <c r="EY13" s="35">
        <f t="shared" si="130"/>
        <v>11</v>
      </c>
      <c r="EZ13" s="35">
        <f t="shared" si="130"/>
        <v>11</v>
      </c>
      <c r="FA13" s="35">
        <f t="shared" si="130"/>
        <v>11</v>
      </c>
      <c r="FB13" s="35">
        <f t="shared" si="130"/>
        <v>11</v>
      </c>
      <c r="FC13" s="35">
        <f t="shared" si="130"/>
        <v>11</v>
      </c>
      <c r="FD13" s="35">
        <f t="shared" si="130"/>
        <v>11</v>
      </c>
      <c r="FE13" s="35">
        <f t="shared" si="130"/>
        <v>11</v>
      </c>
      <c r="FF13" s="35">
        <f t="shared" si="130"/>
        <v>11</v>
      </c>
      <c r="FG13" s="35">
        <f t="shared" si="130"/>
        <v>11</v>
      </c>
      <c r="FH13" s="35">
        <f t="shared" si="130"/>
        <v>12</v>
      </c>
      <c r="FI13" s="35">
        <f t="shared" si="130"/>
        <v>12</v>
      </c>
      <c r="FJ13" s="35">
        <f t="shared" si="130"/>
        <v>12</v>
      </c>
      <c r="FK13" s="35">
        <f t="shared" si="130"/>
        <v>12</v>
      </c>
      <c r="FL13" s="35">
        <f t="shared" si="130"/>
        <v>12</v>
      </c>
      <c r="FM13" s="35">
        <f t="shared" si="130"/>
        <v>12</v>
      </c>
      <c r="FN13" s="35">
        <f t="shared" si="130"/>
        <v>12</v>
      </c>
      <c r="FO13" s="35">
        <f t="shared" si="130"/>
        <v>12</v>
      </c>
      <c r="FP13" s="35">
        <f t="shared" si="130"/>
        <v>12</v>
      </c>
      <c r="FQ13" s="35">
        <f t="shared" si="130"/>
        <v>12</v>
      </c>
      <c r="FR13" s="35">
        <f t="shared" si="130"/>
        <v>12</v>
      </c>
      <c r="FS13" s="35">
        <f t="shared" si="130"/>
        <v>12</v>
      </c>
      <c r="FT13" s="35">
        <f t="shared" si="130"/>
        <v>13</v>
      </c>
      <c r="FU13" s="104"/>
    </row>
    <row r="14" spans="1:182" s="34" customFormat="1" ht="13.5" hidden="1" outlineLevel="1" x14ac:dyDescent="0.25">
      <c r="F14" s="34" t="s">
        <v>337</v>
      </c>
      <c r="H14" s="501">
        <f>IF(H9&lt;='Operating Assumptions'!$C$48,H9/'Operating Assumptions'!$C$48,100%)</f>
        <v>0</v>
      </c>
      <c r="I14" s="501">
        <f>IF(I9&lt;='Operating Assumptions'!$C$48,I9/'Operating Assumptions'!$C$48,100%)</f>
        <v>0.04</v>
      </c>
      <c r="J14" s="501">
        <f>IF(J9&lt;='Operating Assumptions'!$C$48,J9/'Operating Assumptions'!$C$48,100%)</f>
        <v>0.08</v>
      </c>
      <c r="K14" s="501">
        <f>IF(K9&lt;='Operating Assumptions'!$C$48,K9/'Operating Assumptions'!$C$48,100%)</f>
        <v>0.12</v>
      </c>
      <c r="L14" s="501">
        <f>IF(L9&lt;='Operating Assumptions'!$C$48,L9/'Operating Assumptions'!$C$48,100%)</f>
        <v>0.16</v>
      </c>
      <c r="M14" s="501">
        <f>IF(M9&lt;='Operating Assumptions'!$C$48,M9/'Operating Assumptions'!$C$48,100%)</f>
        <v>0.2</v>
      </c>
      <c r="N14" s="501">
        <f>IF(N9&lt;='Operating Assumptions'!$C$48,N9/'Operating Assumptions'!$C$48,100%)</f>
        <v>0.24</v>
      </c>
      <c r="O14" s="501">
        <f>IF(O9&lt;='Operating Assumptions'!$C$48,O9/'Operating Assumptions'!$C$48,100%)</f>
        <v>0.28000000000000003</v>
      </c>
      <c r="P14" s="501">
        <f>IF(P9&lt;='Operating Assumptions'!$C$48,P9/'Operating Assumptions'!$C$48,100%)</f>
        <v>0.32</v>
      </c>
      <c r="Q14" s="501">
        <f>IF(Q9&lt;='Operating Assumptions'!$C$48,Q9/'Operating Assumptions'!$C$48,100%)</f>
        <v>0.36</v>
      </c>
      <c r="R14" s="501">
        <f>IF(R9&lt;='Operating Assumptions'!$C$48,R9/'Operating Assumptions'!$C$48,100%)</f>
        <v>0.4</v>
      </c>
      <c r="S14" s="501">
        <f>IF(S9&lt;='Operating Assumptions'!$C$48,S9/'Operating Assumptions'!$C$48,100%)</f>
        <v>0.44</v>
      </c>
      <c r="T14" s="501">
        <f>IF(T9&lt;='Operating Assumptions'!$C$48,T9/'Operating Assumptions'!$C$48,100%)</f>
        <v>0.48</v>
      </c>
      <c r="U14" s="501">
        <f>IF(U9&lt;='Operating Assumptions'!$C$48,U9/'Operating Assumptions'!$C$48,100%)</f>
        <v>0.52</v>
      </c>
      <c r="V14" s="501">
        <f>IF(V9&lt;='Operating Assumptions'!$C$48,V9/'Operating Assumptions'!$C$48,100%)</f>
        <v>0.56000000000000005</v>
      </c>
      <c r="W14" s="501">
        <f>IF(W9&lt;='Operating Assumptions'!$C$48,W9/'Operating Assumptions'!$C$48,100%)</f>
        <v>0.6</v>
      </c>
      <c r="X14" s="501">
        <f>IF(X9&lt;='Operating Assumptions'!$C$48,X9/'Operating Assumptions'!$C$48,100%)</f>
        <v>0.64</v>
      </c>
      <c r="Y14" s="501">
        <f>IF(Y9&lt;='Operating Assumptions'!$C$48,Y9/'Operating Assumptions'!$C$48,100%)</f>
        <v>0.68</v>
      </c>
      <c r="Z14" s="501">
        <f>IF(Z9&lt;='Operating Assumptions'!$C$48,Z9/'Operating Assumptions'!$C$48,100%)</f>
        <v>0.72</v>
      </c>
      <c r="AA14" s="501">
        <f>IF(AA9&lt;='Operating Assumptions'!$C$48,AA9/'Operating Assumptions'!$C$48,100%)</f>
        <v>0.76</v>
      </c>
      <c r="AB14" s="501">
        <f>IF(AB9&lt;='Operating Assumptions'!$C$48,AB9/'Operating Assumptions'!$C$48,100%)</f>
        <v>0.8</v>
      </c>
      <c r="AC14" s="501">
        <f>IF(AC9&lt;='Operating Assumptions'!$C$48,AC9/'Operating Assumptions'!$C$48,100%)</f>
        <v>0.84</v>
      </c>
      <c r="AD14" s="501">
        <f>IF(AD9&lt;='Operating Assumptions'!$C$48,AD9/'Operating Assumptions'!$C$48,100%)</f>
        <v>0.88</v>
      </c>
      <c r="AE14" s="501">
        <f>IF(AE9&lt;='Operating Assumptions'!$C$48,AE9/'Operating Assumptions'!$C$48,100%)</f>
        <v>0.92</v>
      </c>
      <c r="AF14" s="501">
        <f>IF(AF9&lt;='Operating Assumptions'!$C$48,AF9/'Operating Assumptions'!$C$48,100%)</f>
        <v>0.96</v>
      </c>
      <c r="AG14" s="501">
        <f>IF(AG9&lt;='Operating Assumptions'!$C$48,AG9/'Operating Assumptions'!$C$48,100%)</f>
        <v>1</v>
      </c>
      <c r="AH14" s="501">
        <f>IF(AH9&lt;='Operating Assumptions'!$C$48,AH9/'Operating Assumptions'!$C$48,100%)</f>
        <v>1</v>
      </c>
      <c r="AI14" s="501">
        <f>IF(AI9&lt;='Operating Assumptions'!$C$48,AI9/'Operating Assumptions'!$C$48,100%)</f>
        <v>1</v>
      </c>
      <c r="AJ14" s="501">
        <f>IF(AJ9&lt;='Operating Assumptions'!$C$48,AJ9/'Operating Assumptions'!$C$48,100%)</f>
        <v>1</v>
      </c>
      <c r="AK14" s="501">
        <f>IF(AK9&lt;='Operating Assumptions'!$C$48,AK9/'Operating Assumptions'!$C$48,100%)</f>
        <v>1</v>
      </c>
      <c r="AL14" s="501">
        <f>IF(AL9&lt;='Operating Assumptions'!$C$48,AL9/'Operating Assumptions'!$C$48,100%)</f>
        <v>1</v>
      </c>
      <c r="AM14" s="501">
        <f>IF(AM9&lt;='Operating Assumptions'!$C$48,AM9/'Operating Assumptions'!$C$48,100%)</f>
        <v>1</v>
      </c>
      <c r="AN14" s="501">
        <f>IF(AN9&lt;='Operating Assumptions'!$C$48,AN9/'Operating Assumptions'!$C$48,100%)</f>
        <v>1</v>
      </c>
      <c r="AO14" s="501">
        <f>IF(AO9&lt;='Operating Assumptions'!$C$48,AO9/'Operating Assumptions'!$C$48,100%)</f>
        <v>1</v>
      </c>
      <c r="AP14" s="501">
        <f>IF(AP9&lt;='Operating Assumptions'!$C$48,AP9/'Operating Assumptions'!$C$48,100%)</f>
        <v>1</v>
      </c>
      <c r="AQ14" s="501">
        <f>IF(AQ9&lt;='Operating Assumptions'!$C$48,AQ9/'Operating Assumptions'!$C$48,100%)</f>
        <v>1</v>
      </c>
      <c r="AR14" s="501">
        <f>IF(AR9&lt;='Operating Assumptions'!$C$48,AR9/'Operating Assumptions'!$C$48,100%)</f>
        <v>1</v>
      </c>
      <c r="AS14" s="501">
        <f>IF(AS9&lt;='Operating Assumptions'!$C$48,AS9/'Operating Assumptions'!$C$48,100%)</f>
        <v>1</v>
      </c>
      <c r="AT14" s="501">
        <f>IF(AT9&lt;='Operating Assumptions'!$C$48,AT9/'Operating Assumptions'!$C$48,100%)</f>
        <v>1</v>
      </c>
      <c r="AU14" s="501">
        <f>IF(AU9&lt;='Operating Assumptions'!$C$48,AU9/'Operating Assumptions'!$C$48,100%)</f>
        <v>1</v>
      </c>
      <c r="AV14" s="501">
        <f>IF(AV9&lt;='Operating Assumptions'!$C$48,AV9/'Operating Assumptions'!$C$48,100%)</f>
        <v>1</v>
      </c>
      <c r="AW14" s="501">
        <f>IF(AW9&lt;='Operating Assumptions'!$C$48,AW9/'Operating Assumptions'!$C$48,100%)</f>
        <v>1</v>
      </c>
      <c r="AX14" s="501">
        <f>IF(AX9&lt;='Operating Assumptions'!$C$48,AX9/'Operating Assumptions'!$C$48,100%)</f>
        <v>1</v>
      </c>
      <c r="AY14" s="501">
        <f>IF(AY9&lt;='Operating Assumptions'!$C$48,AY9/'Operating Assumptions'!$C$48,100%)</f>
        <v>1</v>
      </c>
      <c r="AZ14" s="501">
        <f>IF(AZ9&lt;='Operating Assumptions'!$C$48,AZ9/'Operating Assumptions'!$C$48,100%)</f>
        <v>1</v>
      </c>
      <c r="BA14" s="501">
        <f>IF(BA9&lt;='Operating Assumptions'!$C$48,BA9/'Operating Assumptions'!$C$48,100%)</f>
        <v>1</v>
      </c>
      <c r="BB14" s="501">
        <f>IF(BB9&lt;='Operating Assumptions'!$C$48,BB9/'Operating Assumptions'!$C$48,100%)</f>
        <v>1</v>
      </c>
      <c r="BC14" s="501">
        <f>IF(BC9&lt;='Operating Assumptions'!$C$48,BC9/'Operating Assumptions'!$C$48,100%)</f>
        <v>1</v>
      </c>
      <c r="BD14" s="501">
        <f>IF(BD9&lt;='Operating Assumptions'!$C$48,BD9/'Operating Assumptions'!$C$48,100%)</f>
        <v>1</v>
      </c>
      <c r="BE14" s="501">
        <f>IF(BE9&lt;='Operating Assumptions'!$C$48,BE9/'Operating Assumptions'!$C$48,100%)</f>
        <v>1</v>
      </c>
      <c r="BF14" s="501">
        <f>IF(BF9&lt;='Operating Assumptions'!$C$48,BF9/'Operating Assumptions'!$C$48,100%)</f>
        <v>1</v>
      </c>
      <c r="BG14" s="501">
        <f>IF(BG9&lt;='Operating Assumptions'!$C$48,BG9/'Operating Assumptions'!$C$48,100%)</f>
        <v>1</v>
      </c>
      <c r="BH14" s="501">
        <f>IF(BH9&lt;='Operating Assumptions'!$C$48,BH9/'Operating Assumptions'!$C$48,100%)</f>
        <v>1</v>
      </c>
      <c r="BI14" s="501">
        <f>IF(BI9&lt;='Operating Assumptions'!$C$48,BI9/'Operating Assumptions'!$C$48,100%)</f>
        <v>1</v>
      </c>
      <c r="BJ14" s="501">
        <f>IF(BJ9&lt;='Operating Assumptions'!$C$48,BJ9/'Operating Assumptions'!$C$48,100%)</f>
        <v>1</v>
      </c>
      <c r="BK14" s="501">
        <f>IF(BK9&lt;='Operating Assumptions'!$C$48,BK9/'Operating Assumptions'!$C$48,100%)</f>
        <v>1</v>
      </c>
      <c r="BL14" s="501">
        <f>IF(BL9&lt;='Operating Assumptions'!$C$48,BL9/'Operating Assumptions'!$C$48,100%)</f>
        <v>1</v>
      </c>
      <c r="BM14" s="501">
        <f>IF(BM9&lt;='Operating Assumptions'!$C$48,BM9/'Operating Assumptions'!$C$48,100%)</f>
        <v>1</v>
      </c>
      <c r="BN14" s="501">
        <f>IF(BN9&lt;='Operating Assumptions'!$C$48,BN9/'Operating Assumptions'!$C$48,100%)</f>
        <v>1</v>
      </c>
      <c r="BO14" s="501">
        <f>IF(BO9&lt;='Operating Assumptions'!$C$48,BO9/'Operating Assumptions'!$C$48,100%)</f>
        <v>1</v>
      </c>
      <c r="BP14" s="501">
        <f>IF(BP9&lt;='Operating Assumptions'!$C$48,BP9/'Operating Assumptions'!$C$48,100%)</f>
        <v>1</v>
      </c>
      <c r="BQ14" s="501">
        <f>IF(BQ9&lt;='Operating Assumptions'!$C$48,BQ9/'Operating Assumptions'!$C$48,100%)</f>
        <v>1</v>
      </c>
      <c r="BR14" s="501">
        <f>IF(BR9&lt;='Operating Assumptions'!$C$48,BR9/'Operating Assumptions'!$C$48,100%)</f>
        <v>1</v>
      </c>
      <c r="BS14" s="501">
        <f>IF(BS9&lt;='Operating Assumptions'!$C$48,BS9/'Operating Assumptions'!$C$48,100%)</f>
        <v>1</v>
      </c>
      <c r="BT14" s="501">
        <f>IF(BT9&lt;='Operating Assumptions'!$C$48,BT9/'Operating Assumptions'!$C$48,100%)</f>
        <v>1</v>
      </c>
      <c r="BU14" s="501">
        <f>IF(BU9&lt;='Operating Assumptions'!$C$48,BU9/'Operating Assumptions'!$C$48,100%)</f>
        <v>1</v>
      </c>
      <c r="BV14" s="501">
        <f>IF(BV9&lt;='Operating Assumptions'!$C$48,BV9/'Operating Assumptions'!$C$48,100%)</f>
        <v>1</v>
      </c>
      <c r="BW14" s="501">
        <f>IF(BW9&lt;='Operating Assumptions'!$C$48,BW9/'Operating Assumptions'!$C$48,100%)</f>
        <v>1</v>
      </c>
      <c r="BX14" s="501">
        <f>IF(BX9&lt;='Operating Assumptions'!$C$48,BX9/'Operating Assumptions'!$C$48,100%)</f>
        <v>1</v>
      </c>
      <c r="BY14" s="501">
        <f>IF(BY9&lt;='Operating Assumptions'!$C$48,BY9/'Operating Assumptions'!$C$48,100%)</f>
        <v>1</v>
      </c>
      <c r="BZ14" s="501">
        <f>IF(BZ9&lt;='Operating Assumptions'!$C$48,BZ9/'Operating Assumptions'!$C$48,100%)</f>
        <v>1</v>
      </c>
      <c r="CA14" s="501">
        <f>IF(CA9&lt;='Operating Assumptions'!$C$48,CA9/'Operating Assumptions'!$C$48,100%)</f>
        <v>1</v>
      </c>
      <c r="CB14" s="501">
        <f>IF(CB9&lt;='Operating Assumptions'!$C$48,CB9/'Operating Assumptions'!$C$48,100%)</f>
        <v>1</v>
      </c>
      <c r="CC14" s="501">
        <f>IF(CC9&lt;='Operating Assumptions'!$C$48,CC9/'Operating Assumptions'!$C$48,100%)</f>
        <v>1</v>
      </c>
      <c r="CD14" s="501">
        <f>IF(CD9&lt;='Operating Assumptions'!$C$48,CD9/'Operating Assumptions'!$C$48,100%)</f>
        <v>1</v>
      </c>
      <c r="CE14" s="501">
        <f>IF(CE9&lt;='Operating Assumptions'!$C$48,CE9/'Operating Assumptions'!$C$48,100%)</f>
        <v>1</v>
      </c>
      <c r="CF14" s="501">
        <f>IF(CF9&lt;='Operating Assumptions'!$C$48,CF9/'Operating Assumptions'!$C$48,100%)</f>
        <v>1</v>
      </c>
      <c r="CG14" s="501">
        <f>IF(CG9&lt;='Operating Assumptions'!$C$48,CG9/'Operating Assumptions'!$C$48,100%)</f>
        <v>1</v>
      </c>
      <c r="CH14" s="501">
        <f>IF(CH9&lt;='Operating Assumptions'!$C$48,CH9/'Operating Assumptions'!$C$48,100%)</f>
        <v>1</v>
      </c>
      <c r="CI14" s="501">
        <f>IF(CI9&lt;='Operating Assumptions'!$C$48,CI9/'Operating Assumptions'!$C$48,100%)</f>
        <v>1</v>
      </c>
      <c r="CJ14" s="501">
        <f>IF(CJ9&lt;='Operating Assumptions'!$C$48,CJ9/'Operating Assumptions'!$C$48,100%)</f>
        <v>1</v>
      </c>
      <c r="CK14" s="501">
        <f>IF(CK9&lt;='Operating Assumptions'!$C$48,CK9/'Operating Assumptions'!$C$48,100%)</f>
        <v>1</v>
      </c>
      <c r="CL14" s="501">
        <f>IF(CL9&lt;='Operating Assumptions'!$C$48,CL9/'Operating Assumptions'!$C$48,100%)</f>
        <v>1</v>
      </c>
      <c r="CM14" s="501">
        <f>IF(CM9&lt;='Operating Assumptions'!$C$48,CM9/'Operating Assumptions'!$C$48,100%)</f>
        <v>1</v>
      </c>
      <c r="CN14" s="501">
        <f>IF(CN9&lt;='Operating Assumptions'!$C$48,CN9/'Operating Assumptions'!$C$48,100%)</f>
        <v>1</v>
      </c>
      <c r="CO14" s="501">
        <f>IF(CO9&lt;='Operating Assumptions'!$C$48,CO9/'Operating Assumptions'!$C$48,100%)</f>
        <v>1</v>
      </c>
      <c r="CP14" s="501">
        <f>IF(CP9&lt;='Operating Assumptions'!$C$48,CP9/'Operating Assumptions'!$C$48,100%)</f>
        <v>1</v>
      </c>
      <c r="CQ14" s="501">
        <f>IF(CQ9&lt;='Operating Assumptions'!$C$48,CQ9/'Operating Assumptions'!$C$48,100%)</f>
        <v>1</v>
      </c>
      <c r="CR14" s="501">
        <f>IF(CR9&lt;='Operating Assumptions'!$C$48,CR9/'Operating Assumptions'!$C$48,100%)</f>
        <v>1</v>
      </c>
      <c r="CS14" s="501">
        <f>IF(CS9&lt;='Operating Assumptions'!$C$48,CS9/'Operating Assumptions'!$C$48,100%)</f>
        <v>1</v>
      </c>
      <c r="CT14" s="501">
        <f>IF(CT9&lt;='Operating Assumptions'!$C$48,CT9/'Operating Assumptions'!$C$48,100%)</f>
        <v>1</v>
      </c>
      <c r="CU14" s="501">
        <f>IF(CU9&lt;='Operating Assumptions'!$C$48,CU9/'Operating Assumptions'!$C$48,100%)</f>
        <v>1</v>
      </c>
      <c r="CV14" s="501">
        <f>IF(CV9&lt;='Operating Assumptions'!$C$48,CV9/'Operating Assumptions'!$C$48,100%)</f>
        <v>1</v>
      </c>
      <c r="CW14" s="501">
        <f>IF(CW9&lt;='Operating Assumptions'!$C$48,CW9/'Operating Assumptions'!$C$48,100%)</f>
        <v>1</v>
      </c>
      <c r="CX14" s="501">
        <f>IF(CX9&lt;='Operating Assumptions'!$C$48,CX9/'Operating Assumptions'!$C$48,100%)</f>
        <v>1</v>
      </c>
      <c r="CY14" s="501">
        <f>IF(CY9&lt;='Operating Assumptions'!$C$48,CY9/'Operating Assumptions'!$C$48,100%)</f>
        <v>1</v>
      </c>
      <c r="CZ14" s="501">
        <f>IF(CZ9&lt;='Operating Assumptions'!$C$48,CZ9/'Operating Assumptions'!$C$48,100%)</f>
        <v>1</v>
      </c>
      <c r="DA14" s="501">
        <f>IF(DA9&lt;='Operating Assumptions'!$C$48,DA9/'Operating Assumptions'!$C$48,100%)</f>
        <v>1</v>
      </c>
      <c r="DB14" s="501">
        <f>IF(DB9&lt;='Operating Assumptions'!$C$48,DB9/'Operating Assumptions'!$C$48,100%)</f>
        <v>1</v>
      </c>
      <c r="DC14" s="501">
        <f>IF(DC9&lt;='Operating Assumptions'!$C$48,DC9/'Operating Assumptions'!$C$48,100%)</f>
        <v>1</v>
      </c>
      <c r="DD14" s="501">
        <f>IF(DD9&lt;='Operating Assumptions'!$C$48,DD9/'Operating Assumptions'!$C$48,100%)</f>
        <v>1</v>
      </c>
      <c r="DE14" s="501">
        <f>IF(DE9&lt;='Operating Assumptions'!$C$48,DE9/'Operating Assumptions'!$C$48,100%)</f>
        <v>1</v>
      </c>
      <c r="DF14" s="501">
        <f>IF(DF9&lt;='Operating Assumptions'!$C$48,DF9/'Operating Assumptions'!$C$48,100%)</f>
        <v>1</v>
      </c>
      <c r="DG14" s="501">
        <f>IF(DG9&lt;='Operating Assumptions'!$C$48,DG9/'Operating Assumptions'!$C$48,100%)</f>
        <v>1</v>
      </c>
      <c r="DH14" s="501">
        <f>IF(DH9&lt;='Operating Assumptions'!$C$48,DH9/'Operating Assumptions'!$C$48,100%)</f>
        <v>1</v>
      </c>
      <c r="DI14" s="501">
        <f>IF(DI9&lt;='Operating Assumptions'!$C$48,DI9/'Operating Assumptions'!$C$48,100%)</f>
        <v>1</v>
      </c>
      <c r="DJ14" s="501">
        <f>IF(DJ9&lt;='Operating Assumptions'!$C$48,DJ9/'Operating Assumptions'!$C$48,100%)</f>
        <v>1</v>
      </c>
      <c r="DK14" s="501">
        <f>IF(DK9&lt;='Operating Assumptions'!$C$48,DK9/'Operating Assumptions'!$C$48,100%)</f>
        <v>1</v>
      </c>
      <c r="DL14" s="501">
        <f>IF(DL9&lt;='Operating Assumptions'!$C$48,DL9/'Operating Assumptions'!$C$48,100%)</f>
        <v>1</v>
      </c>
      <c r="DM14" s="501">
        <f>IF(DM9&lt;='Operating Assumptions'!$C$48,DM9/'Operating Assumptions'!$C$48,100%)</f>
        <v>1</v>
      </c>
      <c r="DN14" s="501">
        <f>IF(DN9&lt;='Operating Assumptions'!$C$48,DN9/'Operating Assumptions'!$C$48,100%)</f>
        <v>1</v>
      </c>
      <c r="DO14" s="501">
        <f>IF(DO9&lt;='Operating Assumptions'!$C$48,DO9/'Operating Assumptions'!$C$48,100%)</f>
        <v>1</v>
      </c>
      <c r="DP14" s="501">
        <f>IF(DP9&lt;='Operating Assumptions'!$C$48,DP9/'Operating Assumptions'!$C$48,100%)</f>
        <v>1</v>
      </c>
      <c r="DQ14" s="501">
        <f>IF(DQ9&lt;='Operating Assumptions'!$C$48,DQ9/'Operating Assumptions'!$C$48,100%)</f>
        <v>1</v>
      </c>
      <c r="DR14" s="501">
        <f>IF(DR9&lt;='Operating Assumptions'!$C$48,DR9/'Operating Assumptions'!$C$48,100%)</f>
        <v>1</v>
      </c>
      <c r="DS14" s="501">
        <f>IF(DS9&lt;='Operating Assumptions'!$C$48,DS9/'Operating Assumptions'!$C$48,100%)</f>
        <v>1</v>
      </c>
      <c r="DT14" s="501">
        <f>IF(DT9&lt;='Operating Assumptions'!$C$48,DT9/'Operating Assumptions'!$C$48,100%)</f>
        <v>1</v>
      </c>
      <c r="DU14" s="501">
        <f>IF(DU9&lt;='Operating Assumptions'!$C$48,DU9/'Operating Assumptions'!$C$48,100%)</f>
        <v>1</v>
      </c>
      <c r="DV14" s="501">
        <f>IF(DV9&lt;='Operating Assumptions'!$C$48,DV9/'Operating Assumptions'!$C$48,100%)</f>
        <v>1</v>
      </c>
      <c r="DW14" s="501">
        <f>IF(DW9&lt;='Operating Assumptions'!$C$48,DW9/'Operating Assumptions'!$C$48,100%)</f>
        <v>1</v>
      </c>
      <c r="DX14" s="501">
        <f>IF(DX9&lt;='Operating Assumptions'!$C$48,DX9/'Operating Assumptions'!$C$48,100%)</f>
        <v>1</v>
      </c>
      <c r="DY14" s="501">
        <f>IF(DY9&lt;='Operating Assumptions'!$C$48,DY9/'Operating Assumptions'!$C$48,100%)</f>
        <v>1</v>
      </c>
      <c r="DZ14" s="501">
        <f>IF(DZ9&lt;='Operating Assumptions'!$C$48,DZ9/'Operating Assumptions'!$C$48,100%)</f>
        <v>1</v>
      </c>
      <c r="EA14" s="501">
        <f>IF(EA9&lt;='Operating Assumptions'!$C$48,EA9/'Operating Assumptions'!$C$48,100%)</f>
        <v>1</v>
      </c>
      <c r="EB14" s="501">
        <f>IF(EB9&lt;='Operating Assumptions'!$C$48,EB9/'Operating Assumptions'!$C$48,100%)</f>
        <v>1</v>
      </c>
      <c r="EC14" s="501">
        <f>IF(EC9&lt;='Operating Assumptions'!$C$48,EC9/'Operating Assumptions'!$C$48,100%)</f>
        <v>1</v>
      </c>
      <c r="ED14" s="501">
        <f>IF(ED9&lt;='Operating Assumptions'!$C$48,ED9/'Operating Assumptions'!$C$48,100%)</f>
        <v>1</v>
      </c>
      <c r="EE14" s="501">
        <f>IF(EE9&lt;='Operating Assumptions'!$C$48,EE9/'Operating Assumptions'!$C$48,100%)</f>
        <v>1</v>
      </c>
      <c r="EF14" s="501">
        <f>IF(EF9&lt;='Operating Assumptions'!$C$48,EF9/'Operating Assumptions'!$C$48,100%)</f>
        <v>1</v>
      </c>
      <c r="EG14" s="501">
        <f>IF(EG9&lt;='Operating Assumptions'!$C$48,EG9/'Operating Assumptions'!$C$48,100%)</f>
        <v>1</v>
      </c>
      <c r="EH14" s="501">
        <f>IF(EH9&lt;='Operating Assumptions'!$C$48,EH9/'Operating Assumptions'!$C$48,100%)</f>
        <v>1</v>
      </c>
      <c r="EI14" s="501">
        <f>IF(EI9&lt;='Operating Assumptions'!$C$48,EI9/'Operating Assumptions'!$C$48,100%)</f>
        <v>1</v>
      </c>
      <c r="EJ14" s="501">
        <f>IF(EJ9&lt;='Operating Assumptions'!$C$48,EJ9/'Operating Assumptions'!$C$48,100%)</f>
        <v>1</v>
      </c>
      <c r="EK14" s="501">
        <f>IF(EK9&lt;='Operating Assumptions'!$C$48,EK9/'Operating Assumptions'!$C$48,100%)</f>
        <v>1</v>
      </c>
      <c r="EL14" s="501">
        <f>IF(EL9&lt;='Operating Assumptions'!$C$48,EL9/'Operating Assumptions'!$C$48,100%)</f>
        <v>1</v>
      </c>
      <c r="EM14" s="501">
        <f>IF(EM9&lt;='Operating Assumptions'!$C$48,EM9/'Operating Assumptions'!$C$48,100%)</f>
        <v>1</v>
      </c>
      <c r="EN14" s="501">
        <f>IF(EN9&lt;='Operating Assumptions'!$C$48,EN9/'Operating Assumptions'!$C$48,100%)</f>
        <v>1</v>
      </c>
      <c r="EO14" s="501">
        <f>IF(EO9&lt;='Operating Assumptions'!$C$48,EO9/'Operating Assumptions'!$C$48,100%)</f>
        <v>1</v>
      </c>
      <c r="EP14" s="501">
        <f>IF(EP9&lt;='Operating Assumptions'!$C$48,EP9/'Operating Assumptions'!$C$48,100%)</f>
        <v>1</v>
      </c>
      <c r="EQ14" s="501">
        <f>IF(EQ9&lt;='Operating Assumptions'!$C$48,EQ9/'Operating Assumptions'!$C$48,100%)</f>
        <v>1</v>
      </c>
      <c r="ER14" s="501">
        <f>IF(ER9&lt;='Operating Assumptions'!$C$48,ER9/'Operating Assumptions'!$C$48,100%)</f>
        <v>1</v>
      </c>
      <c r="ES14" s="501">
        <f>IF(ES9&lt;='Operating Assumptions'!$C$48,ES9/'Operating Assumptions'!$C$48,100%)</f>
        <v>1</v>
      </c>
      <c r="ET14" s="501">
        <f>IF(ET9&lt;='Operating Assumptions'!$C$48,ET9/'Operating Assumptions'!$C$48,100%)</f>
        <v>1</v>
      </c>
      <c r="EU14" s="501">
        <f>IF(EU9&lt;='Operating Assumptions'!$C$48,EU9/'Operating Assumptions'!$C$48,100%)</f>
        <v>1</v>
      </c>
      <c r="EV14" s="501">
        <f>IF(EV9&lt;='Operating Assumptions'!$C$48,EV9/'Operating Assumptions'!$C$48,100%)</f>
        <v>1</v>
      </c>
      <c r="EW14" s="501">
        <f>IF(EW9&lt;='Operating Assumptions'!$C$48,EW9/'Operating Assumptions'!$C$48,100%)</f>
        <v>1</v>
      </c>
      <c r="EX14" s="501">
        <f>IF(EX9&lt;='Operating Assumptions'!$C$48,EX9/'Operating Assumptions'!$C$48,100%)</f>
        <v>1</v>
      </c>
      <c r="EY14" s="501">
        <f>IF(EY9&lt;='Operating Assumptions'!$C$48,EY9/'Operating Assumptions'!$C$48,100%)</f>
        <v>1</v>
      </c>
      <c r="EZ14" s="501">
        <f>IF(EZ9&lt;='Operating Assumptions'!$C$48,EZ9/'Operating Assumptions'!$C$48,100%)</f>
        <v>1</v>
      </c>
      <c r="FA14" s="501">
        <f>IF(FA9&lt;='Operating Assumptions'!$C$48,FA9/'Operating Assumptions'!$C$48,100%)</f>
        <v>1</v>
      </c>
      <c r="FB14" s="501">
        <f>IF(FB9&lt;='Operating Assumptions'!$C$48,FB9/'Operating Assumptions'!$C$48,100%)</f>
        <v>1</v>
      </c>
      <c r="FC14" s="501">
        <f>IF(FC9&lt;='Operating Assumptions'!$C$48,FC9/'Operating Assumptions'!$C$48,100%)</f>
        <v>1</v>
      </c>
      <c r="FD14" s="501">
        <f>IF(FD9&lt;='Operating Assumptions'!$C$48,FD9/'Operating Assumptions'!$C$48,100%)</f>
        <v>1</v>
      </c>
      <c r="FE14" s="501">
        <f>IF(FE9&lt;='Operating Assumptions'!$C$48,FE9/'Operating Assumptions'!$C$48,100%)</f>
        <v>1</v>
      </c>
      <c r="FF14" s="501">
        <f>IF(FF9&lt;='Operating Assumptions'!$C$48,FF9/'Operating Assumptions'!$C$48,100%)</f>
        <v>1</v>
      </c>
      <c r="FG14" s="501">
        <f>IF(FG9&lt;='Operating Assumptions'!$C$48,FG9/'Operating Assumptions'!$C$48,100%)</f>
        <v>1</v>
      </c>
      <c r="FH14" s="501">
        <f>IF(FH9&lt;='Operating Assumptions'!$C$48,FH9/'Operating Assumptions'!$C$48,100%)</f>
        <v>1</v>
      </c>
      <c r="FI14" s="501">
        <f>IF(FI9&lt;='Operating Assumptions'!$C$48,FI9/'Operating Assumptions'!$C$48,100%)</f>
        <v>1</v>
      </c>
      <c r="FJ14" s="501">
        <f>IF(FJ9&lt;='Operating Assumptions'!$C$48,FJ9/'Operating Assumptions'!$C$48,100%)</f>
        <v>1</v>
      </c>
      <c r="FK14" s="501">
        <f>IF(FK9&lt;='Operating Assumptions'!$C$48,FK9/'Operating Assumptions'!$C$48,100%)</f>
        <v>1</v>
      </c>
      <c r="FL14" s="501">
        <f>IF(FL9&lt;='Operating Assumptions'!$C$48,FL9/'Operating Assumptions'!$C$48,100%)</f>
        <v>1</v>
      </c>
      <c r="FM14" s="501">
        <f>IF(FM9&lt;='Operating Assumptions'!$C$48,FM9/'Operating Assumptions'!$C$48,100%)</f>
        <v>1</v>
      </c>
      <c r="FN14" s="501">
        <f>IF(FN9&lt;='Operating Assumptions'!$C$48,FN9/'Operating Assumptions'!$C$48,100%)</f>
        <v>1</v>
      </c>
      <c r="FO14" s="501">
        <f>IF(FO9&lt;='Operating Assumptions'!$C$48,FO9/'Operating Assumptions'!$C$48,100%)</f>
        <v>1</v>
      </c>
      <c r="FP14" s="501">
        <f>IF(FP9&lt;='Operating Assumptions'!$C$48,FP9/'Operating Assumptions'!$C$48,100%)</f>
        <v>1</v>
      </c>
      <c r="FQ14" s="501">
        <f>IF(FQ9&lt;='Operating Assumptions'!$C$48,FQ9/'Operating Assumptions'!$C$48,100%)</f>
        <v>1</v>
      </c>
      <c r="FR14" s="501">
        <f>IF(FR9&lt;='Operating Assumptions'!$C$48,FR9/'Operating Assumptions'!$C$48,100%)</f>
        <v>1</v>
      </c>
      <c r="FS14" s="501">
        <f>IF(FS9&lt;='Operating Assumptions'!$C$48,FS9/'Operating Assumptions'!$C$48,100%)</f>
        <v>1</v>
      </c>
      <c r="FT14" s="501">
        <f>IF(FT9&lt;='Operating Assumptions'!$C$48,FT9/'Operating Assumptions'!$C$48,100%)</f>
        <v>1</v>
      </c>
      <c r="FU14" s="43"/>
    </row>
    <row r="15" spans="1:182" s="34" customFormat="1" ht="13.5" collapsed="1" x14ac:dyDescent="0.25">
      <c r="B15" s="502" t="s">
        <v>257</v>
      </c>
      <c r="C15" s="435"/>
      <c r="D15" s="435"/>
      <c r="E15" s="435"/>
      <c r="F15" s="435"/>
      <c r="G15" s="435"/>
      <c r="H15" s="154"/>
      <c r="I15" s="154"/>
      <c r="J15" s="154"/>
      <c r="K15" s="154"/>
      <c r="L15" s="154"/>
      <c r="M15" s="154"/>
      <c r="N15" s="154"/>
      <c r="O15" s="154"/>
      <c r="P15" s="503"/>
      <c r="Q15" s="503"/>
      <c r="R15" s="503"/>
      <c r="S15" s="503"/>
      <c r="T15" s="503"/>
      <c r="U15" s="503"/>
      <c r="V15" s="503"/>
      <c r="W15" s="503"/>
      <c r="X15" s="503"/>
      <c r="Y15" s="503"/>
      <c r="Z15" s="485"/>
      <c r="AA15" s="485"/>
      <c r="AB15" s="485"/>
      <c r="AC15" s="485"/>
      <c r="AD15" s="485"/>
      <c r="AE15" s="485"/>
      <c r="AF15" s="485"/>
      <c r="AG15" s="485"/>
      <c r="AH15" s="485"/>
      <c r="AI15" s="485"/>
      <c r="AJ15" s="485"/>
      <c r="AK15" s="485"/>
      <c r="AL15" s="485"/>
      <c r="AM15" s="485"/>
      <c r="AN15" s="485"/>
      <c r="AO15" s="485"/>
      <c r="AP15" s="485"/>
      <c r="AQ15" s="485"/>
      <c r="AR15" s="485"/>
      <c r="AS15" s="485"/>
      <c r="AT15" s="485"/>
      <c r="AU15" s="485"/>
      <c r="AV15" s="485"/>
      <c r="AW15" s="485"/>
      <c r="AX15" s="485"/>
      <c r="AY15" s="485"/>
      <c r="AZ15" s="485"/>
      <c r="BA15" s="485"/>
      <c r="BB15" s="485"/>
      <c r="BC15" s="485"/>
      <c r="BD15" s="485"/>
      <c r="BE15" s="485"/>
      <c r="BF15" s="485"/>
      <c r="BG15" s="485"/>
      <c r="BH15" s="485"/>
      <c r="BI15" s="485"/>
      <c r="BJ15" s="485"/>
      <c r="BK15" s="485"/>
      <c r="BL15" s="485"/>
      <c r="BM15" s="485"/>
      <c r="BN15" s="485"/>
      <c r="BO15" s="485"/>
      <c r="BP15" s="485"/>
      <c r="BQ15" s="485"/>
      <c r="BR15" s="485"/>
      <c r="BS15" s="485"/>
      <c r="BT15" s="485"/>
      <c r="BU15" s="485"/>
      <c r="BV15" s="485"/>
      <c r="BW15" s="485"/>
      <c r="BX15" s="485"/>
      <c r="BY15" s="485"/>
      <c r="BZ15" s="485"/>
      <c r="CA15" s="485"/>
      <c r="CB15" s="485"/>
      <c r="CC15" s="485"/>
      <c r="CD15" s="485"/>
      <c r="CE15" s="485"/>
      <c r="CF15" s="485"/>
      <c r="CG15" s="485"/>
      <c r="CH15" s="485"/>
      <c r="CI15" s="485"/>
      <c r="CJ15" s="485"/>
      <c r="CK15" s="485"/>
      <c r="CL15" s="485"/>
      <c r="CM15" s="485"/>
      <c r="CN15" s="485"/>
      <c r="CO15" s="485"/>
      <c r="CP15" s="485"/>
      <c r="CQ15" s="485"/>
      <c r="CR15" s="485"/>
      <c r="CS15" s="485"/>
      <c r="CT15" s="485"/>
      <c r="CU15" s="485"/>
      <c r="CV15" s="485"/>
      <c r="CW15" s="485"/>
      <c r="CX15" s="485"/>
      <c r="CY15" s="485"/>
      <c r="CZ15" s="485"/>
      <c r="FU15" s="43"/>
    </row>
    <row r="16" spans="1:182" s="34" customFormat="1" ht="13.5" hidden="1" outlineLevel="1" x14ac:dyDescent="0.25">
      <c r="B16" s="435"/>
      <c r="C16" s="435"/>
      <c r="D16" s="435"/>
      <c r="E16" s="435"/>
      <c r="F16" s="435"/>
      <c r="G16" s="435"/>
      <c r="H16" s="503"/>
      <c r="I16" s="503"/>
      <c r="J16" s="503"/>
      <c r="K16" s="503"/>
      <c r="L16" s="503"/>
      <c r="M16" s="503"/>
      <c r="N16" s="503"/>
      <c r="O16" s="503"/>
      <c r="P16" s="503"/>
      <c r="Q16" s="503"/>
      <c r="R16" s="503"/>
      <c r="S16" s="503"/>
      <c r="T16" s="503"/>
      <c r="U16" s="503"/>
      <c r="V16" s="503"/>
      <c r="W16" s="503"/>
      <c r="X16" s="503"/>
      <c r="Y16" s="503"/>
      <c r="Z16" s="485"/>
      <c r="AA16" s="485"/>
      <c r="AB16" s="485"/>
      <c r="AC16" s="485"/>
      <c r="AD16" s="485"/>
      <c r="AE16" s="485"/>
      <c r="AF16" s="485"/>
      <c r="AG16" s="485"/>
      <c r="AH16" s="485"/>
      <c r="AI16" s="485"/>
      <c r="AJ16" s="485"/>
      <c r="AK16" s="485"/>
      <c r="AL16" s="485"/>
      <c r="AM16" s="485"/>
      <c r="AN16" s="485"/>
      <c r="AO16" s="485"/>
      <c r="AP16" s="485"/>
      <c r="AQ16" s="485"/>
      <c r="AR16" s="485"/>
      <c r="AS16" s="485"/>
      <c r="AT16" s="485"/>
      <c r="AU16" s="485"/>
      <c r="AV16" s="485"/>
      <c r="AW16" s="485"/>
      <c r="AX16" s="485"/>
      <c r="AY16" s="485"/>
      <c r="AZ16" s="485"/>
      <c r="BA16" s="485"/>
      <c r="BB16" s="485"/>
      <c r="BC16" s="485"/>
      <c r="BD16" s="485"/>
      <c r="BE16" s="485"/>
      <c r="BF16" s="485"/>
      <c r="BG16" s="485"/>
      <c r="BH16" s="485"/>
      <c r="BI16" s="485"/>
      <c r="BJ16" s="485"/>
      <c r="BK16" s="485"/>
      <c r="BL16" s="485"/>
      <c r="BM16" s="485"/>
      <c r="BN16" s="485"/>
      <c r="BO16" s="485"/>
      <c r="BP16" s="485"/>
      <c r="BQ16" s="485"/>
      <c r="BR16" s="485"/>
      <c r="BS16" s="485"/>
      <c r="BT16" s="485"/>
      <c r="BU16" s="485"/>
      <c r="BV16" s="485"/>
      <c r="BW16" s="485"/>
      <c r="BX16" s="485"/>
      <c r="BY16" s="485"/>
      <c r="BZ16" s="485"/>
      <c r="CA16" s="485"/>
      <c r="CB16" s="485"/>
      <c r="CC16" s="485"/>
      <c r="CD16" s="485"/>
      <c r="CE16" s="485"/>
      <c r="CF16" s="485"/>
      <c r="CG16" s="485"/>
      <c r="CH16" s="485"/>
      <c r="CI16" s="485"/>
      <c r="CJ16" s="485"/>
      <c r="CK16" s="485"/>
      <c r="CL16" s="485"/>
      <c r="CM16" s="485"/>
      <c r="CN16" s="485"/>
      <c r="CO16" s="485"/>
      <c r="CP16" s="485"/>
      <c r="CQ16" s="485"/>
      <c r="CR16" s="485"/>
      <c r="CS16" s="485"/>
      <c r="CT16" s="485"/>
      <c r="CU16" s="485"/>
      <c r="CV16" s="485"/>
      <c r="CW16" s="485"/>
      <c r="CX16" s="485"/>
      <c r="CY16" s="485"/>
      <c r="CZ16" s="485"/>
      <c r="FU16" s="43"/>
    </row>
    <row r="17" spans="1:182" s="34" customFormat="1" ht="13.5" hidden="1" outlineLevel="1" x14ac:dyDescent="0.25">
      <c r="B17" s="48" t="str">
        <f>'Operating Assumptions'!$P9</f>
        <v>Rent Inflation</v>
      </c>
      <c r="C17" s="435"/>
      <c r="D17" s="435"/>
      <c r="E17" s="435"/>
      <c r="F17" s="435"/>
      <c r="G17" s="435"/>
      <c r="H17" s="1306">
        <v>0</v>
      </c>
      <c r="I17" s="1306">
        <f>IF(I$7&gt;'Operating Assumptions'!$AA$7,0,IF(I$6&lt;&gt;H$6,INDEX('Operating Assumptions'!$P$8:$AA$13,MATCH($B17,'Operating Assumptions'!$P$8:$P$13,0),MATCH(I$6,'Operating Assumptions'!$P$8:$AA$8,0)),0))</f>
        <v>0</v>
      </c>
      <c r="J17" s="1306">
        <f>IF(J$7&gt;'Operating Assumptions'!$AA$7,0,IF(J$6&lt;&gt;I$6,INDEX('Operating Assumptions'!$P$8:$AA$13,MATCH($B17,'Operating Assumptions'!$P$8:$P$13,0),MATCH(J$6,'Operating Assumptions'!$P$8:$AA$8,0)),0))</f>
        <v>0</v>
      </c>
      <c r="K17" s="1306">
        <f>IF(K$7&gt;'Operating Assumptions'!$AA$7,0,IF(K$6&lt;&gt;J$6,INDEX('Operating Assumptions'!$P$8:$AA$13,MATCH($B17,'Operating Assumptions'!$P$8:$P$13,0),MATCH(K$6,'Operating Assumptions'!$P$8:$AA$8,0)),0))</f>
        <v>0</v>
      </c>
      <c r="L17" s="1306">
        <f>IF(L$7&gt;'Operating Assumptions'!$AA$7,0,IF(L$6&lt;&gt;K$6,INDEX('Operating Assumptions'!$P$8:$AA$13,MATCH($B17,'Operating Assumptions'!$P$8:$P$13,0),MATCH(L$6,'Operating Assumptions'!$P$8:$AA$8,0)),0))</f>
        <v>0</v>
      </c>
      <c r="M17" s="1306">
        <f>IF(M$7&gt;'Operating Assumptions'!$AA$7,0,IF(M$6&lt;&gt;L$6,INDEX('Operating Assumptions'!$P$8:$AA$13,MATCH($B17,'Operating Assumptions'!$P$8:$P$13,0),MATCH(M$6,'Operating Assumptions'!$P$8:$AA$8,0)),0))</f>
        <v>0</v>
      </c>
      <c r="N17" s="1306">
        <f>IF(N$7&gt;'Operating Assumptions'!$AA$7,0,IF(N$6&lt;&gt;M$6,INDEX('Operating Assumptions'!$P$8:$AA$13,MATCH($B17,'Operating Assumptions'!$P$8:$P$13,0),MATCH(N$6,'Operating Assumptions'!$P$8:$AA$8,0)),0))</f>
        <v>0</v>
      </c>
      <c r="O17" s="1306">
        <f>IF(O$7&gt;'Operating Assumptions'!$AA$7,0,IF(O$6&lt;&gt;N$6,INDEX('Operating Assumptions'!$P$8:$AA$13,MATCH($B17,'Operating Assumptions'!$P$8:$P$13,0),MATCH(O$6,'Operating Assumptions'!$P$8:$AA$8,0)),0))</f>
        <v>0</v>
      </c>
      <c r="P17" s="1306">
        <f>IF(P$7&gt;'Operating Assumptions'!$AA$7,0,IF(P$6&lt;&gt;O$6,INDEX('Operating Assumptions'!$P$8:$AA$13,MATCH($B17,'Operating Assumptions'!$P$8:$P$13,0),MATCH(P$6,'Operating Assumptions'!$P$8:$AA$8,0)),0))</f>
        <v>0</v>
      </c>
      <c r="Q17" s="1306">
        <f>IF(Q$7&gt;'Operating Assumptions'!$AA$7,0,IF(Q$6&lt;&gt;P$6,INDEX('Operating Assumptions'!$P$8:$AA$13,MATCH($B17,'Operating Assumptions'!$P$8:$P$13,0),MATCH(Q$6,'Operating Assumptions'!$P$8:$AA$8,0)),0))</f>
        <v>0</v>
      </c>
      <c r="R17" s="1306">
        <f>IF(R$7&gt;'Operating Assumptions'!$AA$7,0,IF(R$6&lt;&gt;Q$6,INDEX('Operating Assumptions'!$P$8:$AA$13,MATCH($B17,'Operating Assumptions'!$P$8:$P$13,0),MATCH(R$6,'Operating Assumptions'!$P$8:$AA$8,0)),0))</f>
        <v>0</v>
      </c>
      <c r="S17" s="1306">
        <f>IF(S$7&gt;'Operating Assumptions'!$AA$7,0,IF(S$6&lt;&gt;R$6,INDEX('Operating Assumptions'!$P$8:$AA$13,MATCH($B17,'Operating Assumptions'!$P$8:$P$13,0),MATCH(S$6,'Operating Assumptions'!$P$8:$AA$8,0)),0))</f>
        <v>0</v>
      </c>
      <c r="T17" s="1306">
        <f>IF(T$7&gt;'Operating Assumptions'!$AA$7,0,IF(T$6&lt;&gt;S$6,INDEX('Operating Assumptions'!$P$8:$AA$13,MATCH($B17,'Operating Assumptions'!$P$8:$P$13,0),MATCH(T$6,'Operating Assumptions'!$P$8:$AA$8,0)),0))</f>
        <v>0</v>
      </c>
      <c r="U17" s="1306">
        <f>IF(U$7&gt;'Operating Assumptions'!$AA$7,0,IF(U$6&lt;&gt;T$6,INDEX('Operating Assumptions'!$P$8:$AA$13,MATCH($B17,'Operating Assumptions'!$P$8:$P$13,0),MATCH(U$6,'Operating Assumptions'!$P$8:$AA$8,0)),0))</f>
        <v>0</v>
      </c>
      <c r="V17" s="1306">
        <f>IF(V$7&gt;'Operating Assumptions'!$AA$7,0,IF(V$6&lt;&gt;U$6,INDEX('Operating Assumptions'!$P$8:$AA$13,MATCH($B17,'Operating Assumptions'!$P$8:$P$13,0),MATCH(V$6,'Operating Assumptions'!$P$8:$AA$8,0)),0))</f>
        <v>0</v>
      </c>
      <c r="W17" s="1306">
        <f>IF(W$7&gt;'Operating Assumptions'!$AA$7,0,IF(W$6&lt;&gt;V$6,INDEX('Operating Assumptions'!$P$8:$AA$13,MATCH($B17,'Operating Assumptions'!$P$8:$P$13,0),MATCH(W$6,'Operating Assumptions'!$P$8:$AA$8,0)),0))</f>
        <v>0</v>
      </c>
      <c r="X17" s="1306">
        <f>IF(X$7&gt;'Operating Assumptions'!$AA$7,0,IF(X$6&lt;&gt;W$6,INDEX('Operating Assumptions'!$P$8:$AA$13,MATCH($B17,'Operating Assumptions'!$P$8:$P$13,0),MATCH(X$6,'Operating Assumptions'!$P$8:$AA$8,0)),0))</f>
        <v>0</v>
      </c>
      <c r="Y17" s="1306">
        <f>IF(Y$7&gt;'Operating Assumptions'!$AA$7,0,IF(Y$6&lt;&gt;X$6,INDEX('Operating Assumptions'!$P$8:$AA$13,MATCH($B17,'Operating Assumptions'!$P$8:$P$13,0),MATCH(Y$6,'Operating Assumptions'!$P$8:$AA$8,0)),0))</f>
        <v>0</v>
      </c>
      <c r="Z17" s="1306">
        <f>IF(Z$7&gt;'Operating Assumptions'!$AA$7,0,IF(Z$6&lt;&gt;Y$6,INDEX('Operating Assumptions'!$P$8:$AA$13,MATCH($B17,'Operating Assumptions'!$P$8:$P$13,0),MATCH(Z$6,'Operating Assumptions'!$P$8:$AA$8,0)),0))</f>
        <v>0</v>
      </c>
      <c r="AA17" s="1306">
        <f>IF(AA$7&gt;'Operating Assumptions'!$AA$7,0,IF(AA$6&lt;&gt;Z$6,INDEX('Operating Assumptions'!$P$8:$AA$13,MATCH($B17,'Operating Assumptions'!$P$8:$P$13,0),MATCH(AA$6,'Operating Assumptions'!$P$8:$AA$8,0)),0))</f>
        <v>0</v>
      </c>
      <c r="AB17" s="1306">
        <f>IF(AB$7&gt;'Operating Assumptions'!$AA$7,0,IF(AB$6&lt;&gt;AA$6,INDEX('Operating Assumptions'!$P$8:$AA$13,MATCH($B17,'Operating Assumptions'!$P$8:$P$13,0),MATCH(AB$6,'Operating Assumptions'!$P$8:$AA$8,0)),0))</f>
        <v>0</v>
      </c>
      <c r="AC17" s="1306">
        <f>IF(AC$7&gt;'Operating Assumptions'!$AA$7,0,IF(AC$6&lt;&gt;AB$6,INDEX('Operating Assumptions'!$P$8:$AA$13,MATCH($B17,'Operating Assumptions'!$P$8:$P$13,0),MATCH(AC$6,'Operating Assumptions'!$P$8:$AA$8,0)),0))</f>
        <v>0</v>
      </c>
      <c r="AD17" s="1306">
        <f>IF(AD$7&gt;'Operating Assumptions'!$AA$7,0,IF(AD$6&lt;&gt;AC$6,INDEX('Operating Assumptions'!$P$8:$AA$13,MATCH($B17,'Operating Assumptions'!$P$8:$P$13,0),MATCH(AD$6,'Operating Assumptions'!$P$8:$AA$8,0)),0))</f>
        <v>0</v>
      </c>
      <c r="AE17" s="1306">
        <f>IF(AE$7&gt;'Operating Assumptions'!$AA$7,0,IF(AE$6&lt;&gt;AD$6,INDEX('Operating Assumptions'!$P$8:$AA$13,MATCH($B17,'Operating Assumptions'!$P$8:$P$13,0),MATCH(AE$6,'Operating Assumptions'!$P$8:$AA$8,0)),0))</f>
        <v>0</v>
      </c>
      <c r="AF17" s="1306">
        <f>IF(AF$7&gt;'Operating Assumptions'!$AA$7,0,IF(AF$6&lt;&gt;AE$6,INDEX('Operating Assumptions'!$P$8:$AA$13,MATCH($B17,'Operating Assumptions'!$P$8:$P$13,0),MATCH(AF$6,'Operating Assumptions'!$P$8:$AA$8,0)),0))</f>
        <v>0.02</v>
      </c>
      <c r="AG17" s="1306">
        <f>IF(AG$7&gt;'Operating Assumptions'!$AA$7,0,IF(AG$6&lt;&gt;AF$6,INDEX('Operating Assumptions'!$P$8:$AA$13,MATCH($B17,'Operating Assumptions'!$P$8:$P$13,0),MATCH(AG$6,'Operating Assumptions'!$P$8:$AA$8,0)),0))</f>
        <v>0</v>
      </c>
      <c r="AH17" s="1306">
        <f>IF(AH$7&gt;'Operating Assumptions'!$AA$7,0,IF(AH$6&lt;&gt;AG$6,INDEX('Operating Assumptions'!$P$8:$AA$13,MATCH($B17,'Operating Assumptions'!$P$8:$P$13,0),MATCH(AH$6,'Operating Assumptions'!$P$8:$AA$8,0)),0))</f>
        <v>0</v>
      </c>
      <c r="AI17" s="1306">
        <f>IF(AI$7&gt;'Operating Assumptions'!$AA$7,0,IF(AI$6&lt;&gt;AH$6,INDEX('Operating Assumptions'!$P$8:$AA$13,MATCH($B17,'Operating Assumptions'!$P$8:$P$13,0),MATCH(AI$6,'Operating Assumptions'!$P$8:$AA$8,0)),0))</f>
        <v>0</v>
      </c>
      <c r="AJ17" s="1306">
        <f>IF(AJ$7&gt;'Operating Assumptions'!$AA$7,0,IF(AJ$6&lt;&gt;AI$6,INDEX('Operating Assumptions'!$P$8:$AA$13,MATCH($B17,'Operating Assumptions'!$P$8:$P$13,0),MATCH(AJ$6,'Operating Assumptions'!$P$8:$AA$8,0)),0))</f>
        <v>0</v>
      </c>
      <c r="AK17" s="1306">
        <f>IF(AK$7&gt;'Operating Assumptions'!$AA$7,0,IF(AK$6&lt;&gt;AJ$6,INDEX('Operating Assumptions'!$P$8:$AA$13,MATCH($B17,'Operating Assumptions'!$P$8:$P$13,0),MATCH(AK$6,'Operating Assumptions'!$P$8:$AA$8,0)),0))</f>
        <v>0</v>
      </c>
      <c r="AL17" s="1306">
        <f>IF(AL$7&gt;'Operating Assumptions'!$AA$7,0,IF(AL$6&lt;&gt;AK$6,INDEX('Operating Assumptions'!$P$8:$AA$13,MATCH($B17,'Operating Assumptions'!$P$8:$P$13,0),MATCH(AL$6,'Operating Assumptions'!$P$8:$AA$8,0)),0))</f>
        <v>0</v>
      </c>
      <c r="AM17" s="1306">
        <f>IF(AM$7&gt;'Operating Assumptions'!$AA$7,0,IF(AM$6&lt;&gt;AL$6,INDEX('Operating Assumptions'!$P$8:$AA$13,MATCH($B17,'Operating Assumptions'!$P$8:$P$13,0),MATCH(AM$6,'Operating Assumptions'!$P$8:$AA$8,0)),0))</f>
        <v>0</v>
      </c>
      <c r="AN17" s="1306">
        <f>IF(AN$7&gt;'Operating Assumptions'!$AA$7,0,IF(AN$6&lt;&gt;AM$6,INDEX('Operating Assumptions'!$P$8:$AA$13,MATCH($B17,'Operating Assumptions'!$P$8:$P$13,0),MATCH(AN$6,'Operating Assumptions'!$P$8:$AA$8,0)),0))</f>
        <v>0</v>
      </c>
      <c r="AO17" s="1306">
        <f>IF(AO$7&gt;'Operating Assumptions'!$AA$7,0,IF(AO$6&lt;&gt;AN$6,INDEX('Operating Assumptions'!$P$8:$AA$13,MATCH($B17,'Operating Assumptions'!$P$8:$P$13,0),MATCH(AO$6,'Operating Assumptions'!$P$8:$AA$8,0)),0))</f>
        <v>0</v>
      </c>
      <c r="AP17" s="1306">
        <f>IF(AP$7&gt;'Operating Assumptions'!$AA$7,0,IF(AP$6&lt;&gt;AO$6,INDEX('Operating Assumptions'!$P$8:$AA$13,MATCH($B17,'Operating Assumptions'!$P$8:$P$13,0),MATCH(AP$6,'Operating Assumptions'!$P$8:$AA$8,0)),0))</f>
        <v>0</v>
      </c>
      <c r="AQ17" s="1306">
        <f>IF(AQ$7&gt;'Operating Assumptions'!$AA$7,0,IF(AQ$6&lt;&gt;AP$6,INDEX('Operating Assumptions'!$P$8:$AA$13,MATCH($B17,'Operating Assumptions'!$P$8:$P$13,0),MATCH(AQ$6,'Operating Assumptions'!$P$8:$AA$8,0)),0))</f>
        <v>0</v>
      </c>
      <c r="AR17" s="1306">
        <f>IF(AR$7&gt;'Operating Assumptions'!$AA$7,0,IF(AR$6&lt;&gt;AQ$6,INDEX('Operating Assumptions'!$P$8:$AA$13,MATCH($B17,'Operating Assumptions'!$P$8:$P$13,0),MATCH(AR$6,'Operating Assumptions'!$P$8:$AA$8,0)),0))</f>
        <v>0.02</v>
      </c>
      <c r="AS17" s="1306">
        <f>IF(AS$7&gt;'Operating Assumptions'!$AA$7,0,IF(AS$6&lt;&gt;AR$6,INDEX('Operating Assumptions'!$P$8:$AA$13,MATCH($B17,'Operating Assumptions'!$P$8:$P$13,0),MATCH(AS$6,'Operating Assumptions'!$P$8:$AA$8,0)),0))</f>
        <v>0</v>
      </c>
      <c r="AT17" s="1306">
        <f>IF(AT$7&gt;'Operating Assumptions'!$AA$7,0,IF(AT$6&lt;&gt;AS$6,INDEX('Operating Assumptions'!$P$8:$AA$13,MATCH($B17,'Operating Assumptions'!$P$8:$P$13,0),MATCH(AT$6,'Operating Assumptions'!$P$8:$AA$8,0)),0))</f>
        <v>0</v>
      </c>
      <c r="AU17" s="1306">
        <f>IF(AU$7&gt;'Operating Assumptions'!$AA$7,0,IF(AU$6&lt;&gt;AT$6,INDEX('Operating Assumptions'!$P$8:$AA$13,MATCH($B17,'Operating Assumptions'!$P$8:$P$13,0),MATCH(AU$6,'Operating Assumptions'!$P$8:$AA$8,0)),0))</f>
        <v>0</v>
      </c>
      <c r="AV17" s="1306">
        <f>IF(AV$7&gt;'Operating Assumptions'!$AA$7,0,IF(AV$6&lt;&gt;AU$6,INDEX('Operating Assumptions'!$P$8:$AA$13,MATCH($B17,'Operating Assumptions'!$P$8:$P$13,0),MATCH(AV$6,'Operating Assumptions'!$P$8:$AA$8,0)),0))</f>
        <v>0</v>
      </c>
      <c r="AW17" s="1306">
        <f>IF(AW$7&gt;'Operating Assumptions'!$AA$7,0,IF(AW$6&lt;&gt;AV$6,INDEX('Operating Assumptions'!$P$8:$AA$13,MATCH($B17,'Operating Assumptions'!$P$8:$P$13,0),MATCH(AW$6,'Operating Assumptions'!$P$8:$AA$8,0)),0))</f>
        <v>0</v>
      </c>
      <c r="AX17" s="1306">
        <f>IF(AX$7&gt;'Operating Assumptions'!$AA$7,0,IF(AX$6&lt;&gt;AW$6,INDEX('Operating Assumptions'!$P$8:$AA$13,MATCH($B17,'Operating Assumptions'!$P$8:$P$13,0),MATCH(AX$6,'Operating Assumptions'!$P$8:$AA$8,0)),0))</f>
        <v>0</v>
      </c>
      <c r="AY17" s="1306">
        <f>IF(AY$7&gt;'Operating Assumptions'!$AA$7,0,IF(AY$6&lt;&gt;AX$6,INDEX('Operating Assumptions'!$P$8:$AA$13,MATCH($B17,'Operating Assumptions'!$P$8:$P$13,0),MATCH(AY$6,'Operating Assumptions'!$P$8:$AA$8,0)),0))</f>
        <v>0</v>
      </c>
      <c r="AZ17" s="1306">
        <f>IF(AZ$7&gt;'Operating Assumptions'!$AA$7,0,IF(AZ$6&lt;&gt;AY$6,INDEX('Operating Assumptions'!$P$8:$AA$13,MATCH($B17,'Operating Assumptions'!$P$8:$P$13,0),MATCH(AZ$6,'Operating Assumptions'!$P$8:$AA$8,0)),0))</f>
        <v>0</v>
      </c>
      <c r="BA17" s="1306">
        <f>IF(BA$7&gt;'Operating Assumptions'!$AA$7,0,IF(BA$6&lt;&gt;AZ$6,INDEX('Operating Assumptions'!$P$8:$AA$13,MATCH($B17,'Operating Assumptions'!$P$8:$P$13,0),MATCH(BA$6,'Operating Assumptions'!$P$8:$AA$8,0)),0))</f>
        <v>0</v>
      </c>
      <c r="BB17" s="1306">
        <f>IF(BB$7&gt;'Operating Assumptions'!$AA$7,0,IF(BB$6&lt;&gt;BA$6,INDEX('Operating Assumptions'!$P$8:$AA$13,MATCH($B17,'Operating Assumptions'!$P$8:$P$13,0),MATCH(BB$6,'Operating Assumptions'!$P$8:$AA$8,0)),0))</f>
        <v>0</v>
      </c>
      <c r="BC17" s="1306">
        <f>IF(BC$7&gt;'Operating Assumptions'!$AA$7,0,IF(BC$6&lt;&gt;BB$6,INDEX('Operating Assumptions'!$P$8:$AA$13,MATCH($B17,'Operating Assumptions'!$P$8:$P$13,0),MATCH(BC$6,'Operating Assumptions'!$P$8:$AA$8,0)),0))</f>
        <v>0</v>
      </c>
      <c r="BD17" s="1306">
        <f>IF(BD$7&gt;'Operating Assumptions'!$AA$7,0,IF(BD$6&lt;&gt;BC$6,INDEX('Operating Assumptions'!$P$8:$AA$13,MATCH($B17,'Operating Assumptions'!$P$8:$P$13,0),MATCH(BD$6,'Operating Assumptions'!$P$8:$AA$8,0)),0))</f>
        <v>0.02</v>
      </c>
      <c r="BE17" s="1306">
        <f>IF(BE$7&gt;'Operating Assumptions'!$AA$7,0,IF(BE$6&lt;&gt;BD$6,INDEX('Operating Assumptions'!$P$8:$AA$13,MATCH($B17,'Operating Assumptions'!$P$8:$P$13,0),MATCH(BE$6,'Operating Assumptions'!$P$8:$AA$8,0)),0))</f>
        <v>0</v>
      </c>
      <c r="BF17" s="1306">
        <f>IF(BF$7&gt;'Operating Assumptions'!$AA$7,0,IF(BF$6&lt;&gt;BE$6,INDEX('Operating Assumptions'!$P$8:$AA$13,MATCH($B17,'Operating Assumptions'!$P$8:$P$13,0),MATCH(BF$6,'Operating Assumptions'!$P$8:$AA$8,0)),0))</f>
        <v>0</v>
      </c>
      <c r="BG17" s="1306">
        <f>IF(BG$7&gt;'Operating Assumptions'!$AA$7,0,IF(BG$6&lt;&gt;BF$6,INDEX('Operating Assumptions'!$P$8:$AA$13,MATCH($B17,'Operating Assumptions'!$P$8:$P$13,0),MATCH(BG$6,'Operating Assumptions'!$P$8:$AA$8,0)),0))</f>
        <v>0</v>
      </c>
      <c r="BH17" s="1306">
        <f>IF(BH$7&gt;'Operating Assumptions'!$AA$7,0,IF(BH$6&lt;&gt;BG$6,INDEX('Operating Assumptions'!$P$8:$AA$13,MATCH($B17,'Operating Assumptions'!$P$8:$P$13,0),MATCH(BH$6,'Operating Assumptions'!$P$8:$AA$8,0)),0))</f>
        <v>0</v>
      </c>
      <c r="BI17" s="1306">
        <f>IF(BI$7&gt;'Operating Assumptions'!$AA$7,0,IF(BI$6&lt;&gt;BH$6,INDEX('Operating Assumptions'!$P$8:$AA$13,MATCH($B17,'Operating Assumptions'!$P$8:$P$13,0),MATCH(BI$6,'Operating Assumptions'!$P$8:$AA$8,0)),0))</f>
        <v>0</v>
      </c>
      <c r="BJ17" s="1306">
        <f>IF(BJ$7&gt;'Operating Assumptions'!$AA$7,0,IF(BJ$6&lt;&gt;BI$6,INDEX('Operating Assumptions'!$P$8:$AA$13,MATCH($B17,'Operating Assumptions'!$P$8:$P$13,0),MATCH(BJ$6,'Operating Assumptions'!$P$8:$AA$8,0)),0))</f>
        <v>0</v>
      </c>
      <c r="BK17" s="1306">
        <f>IF(BK$7&gt;'Operating Assumptions'!$AA$7,0,IF(BK$6&lt;&gt;BJ$6,INDEX('Operating Assumptions'!$P$8:$AA$13,MATCH($B17,'Operating Assumptions'!$P$8:$P$13,0),MATCH(BK$6,'Operating Assumptions'!$P$8:$AA$8,0)),0))</f>
        <v>0</v>
      </c>
      <c r="BL17" s="1306">
        <f>IF(BL$7&gt;'Operating Assumptions'!$AA$7,0,IF(BL$6&lt;&gt;BK$6,INDEX('Operating Assumptions'!$P$8:$AA$13,MATCH($B17,'Operating Assumptions'!$P$8:$P$13,0),MATCH(BL$6,'Operating Assumptions'!$P$8:$AA$8,0)),0))</f>
        <v>0</v>
      </c>
      <c r="BM17" s="1306">
        <f>IF(BM$7&gt;'Operating Assumptions'!$AA$7,0,IF(BM$6&lt;&gt;BL$6,INDEX('Operating Assumptions'!$P$8:$AA$13,MATCH($B17,'Operating Assumptions'!$P$8:$P$13,0),MATCH(BM$6,'Operating Assumptions'!$P$8:$AA$8,0)),0))</f>
        <v>0</v>
      </c>
      <c r="BN17" s="1306">
        <f>IF(BN$7&gt;'Operating Assumptions'!$AA$7,0,IF(BN$6&lt;&gt;BM$6,INDEX('Operating Assumptions'!$P$8:$AA$13,MATCH($B17,'Operating Assumptions'!$P$8:$P$13,0),MATCH(BN$6,'Operating Assumptions'!$P$8:$AA$8,0)),0))</f>
        <v>0</v>
      </c>
      <c r="BO17" s="1306">
        <f>IF(BO$7&gt;'Operating Assumptions'!$AA$7,0,IF(BO$6&lt;&gt;BN$6,INDEX('Operating Assumptions'!$P$8:$AA$13,MATCH($B17,'Operating Assumptions'!$P$8:$P$13,0),MATCH(BO$6,'Operating Assumptions'!$P$8:$AA$8,0)),0))</f>
        <v>0</v>
      </c>
      <c r="BP17" s="1306">
        <f>IF(BP$7&gt;'Operating Assumptions'!$AA$7,0,IF(BP$6&lt;&gt;BO$6,INDEX('Operating Assumptions'!$P$8:$AA$13,MATCH($B17,'Operating Assumptions'!$P$8:$P$13,0),MATCH(BP$6,'Operating Assumptions'!$P$8:$AA$8,0)),0))</f>
        <v>0.02</v>
      </c>
      <c r="BQ17" s="1306">
        <f>IF(BQ$7&gt;'Operating Assumptions'!$AA$7,0,IF(BQ$6&lt;&gt;BP$6,INDEX('Operating Assumptions'!$P$8:$AA$13,MATCH($B17,'Operating Assumptions'!$P$8:$P$13,0),MATCH(BQ$6,'Operating Assumptions'!$P$8:$AA$8,0)),0))</f>
        <v>0</v>
      </c>
      <c r="BR17" s="1306">
        <f>IF(BR$7&gt;'Operating Assumptions'!$AA$7,0,IF(BR$6&lt;&gt;BQ$6,INDEX('Operating Assumptions'!$P$8:$AA$13,MATCH($B17,'Operating Assumptions'!$P$8:$P$13,0),MATCH(BR$6,'Operating Assumptions'!$P$8:$AA$8,0)),0))</f>
        <v>0</v>
      </c>
      <c r="BS17" s="1306">
        <f>IF(BS$7&gt;'Operating Assumptions'!$AA$7,0,IF(BS$6&lt;&gt;BR$6,INDEX('Operating Assumptions'!$P$8:$AA$13,MATCH($B17,'Operating Assumptions'!$P$8:$P$13,0),MATCH(BS$6,'Operating Assumptions'!$P$8:$AA$8,0)),0))</f>
        <v>0</v>
      </c>
      <c r="BT17" s="1306">
        <f>IF(BT$7&gt;'Operating Assumptions'!$AA$7,0,IF(BT$6&lt;&gt;BS$6,INDEX('Operating Assumptions'!$P$8:$AA$13,MATCH($B17,'Operating Assumptions'!$P$8:$P$13,0),MATCH(BT$6,'Operating Assumptions'!$P$8:$AA$8,0)),0))</f>
        <v>0</v>
      </c>
      <c r="BU17" s="1306">
        <f>IF(BU$7&gt;'Operating Assumptions'!$AA$7,0,IF(BU$6&lt;&gt;BT$6,INDEX('Operating Assumptions'!$P$8:$AA$13,MATCH($B17,'Operating Assumptions'!$P$8:$P$13,0),MATCH(BU$6,'Operating Assumptions'!$P$8:$AA$8,0)),0))</f>
        <v>0</v>
      </c>
      <c r="BV17" s="1306">
        <f>IF(BV$7&gt;'Operating Assumptions'!$AA$7,0,IF(BV$6&lt;&gt;BU$6,INDEX('Operating Assumptions'!$P$8:$AA$13,MATCH($B17,'Operating Assumptions'!$P$8:$P$13,0),MATCH(BV$6,'Operating Assumptions'!$P$8:$AA$8,0)),0))</f>
        <v>0</v>
      </c>
      <c r="BW17" s="1306">
        <f>IF(BW$7&gt;'Operating Assumptions'!$AA$7,0,IF(BW$6&lt;&gt;BV$6,INDEX('Operating Assumptions'!$P$8:$AA$13,MATCH($B17,'Operating Assumptions'!$P$8:$P$13,0),MATCH(BW$6,'Operating Assumptions'!$P$8:$AA$8,0)),0))</f>
        <v>0</v>
      </c>
      <c r="BX17" s="1306">
        <f>IF(BX$7&gt;'Operating Assumptions'!$AA$7,0,IF(BX$6&lt;&gt;BW$6,INDEX('Operating Assumptions'!$P$8:$AA$13,MATCH($B17,'Operating Assumptions'!$P$8:$P$13,0),MATCH(BX$6,'Operating Assumptions'!$P$8:$AA$8,0)),0))</f>
        <v>0</v>
      </c>
      <c r="BY17" s="1306">
        <f>IF(BY$7&gt;'Operating Assumptions'!$AA$7,0,IF(BY$6&lt;&gt;BX$6,INDEX('Operating Assumptions'!$P$8:$AA$13,MATCH($B17,'Operating Assumptions'!$P$8:$P$13,0),MATCH(BY$6,'Operating Assumptions'!$P$8:$AA$8,0)),0))</f>
        <v>0</v>
      </c>
      <c r="BZ17" s="1306">
        <f>IF(BZ$7&gt;'Operating Assumptions'!$AA$7,0,IF(BZ$6&lt;&gt;BY$6,INDEX('Operating Assumptions'!$P$8:$AA$13,MATCH($B17,'Operating Assumptions'!$P$8:$P$13,0),MATCH(BZ$6,'Operating Assumptions'!$P$8:$AA$8,0)),0))</f>
        <v>0</v>
      </c>
      <c r="CA17" s="1306">
        <f>IF(CA$7&gt;'Operating Assumptions'!$AA$7,0,IF(CA$6&lt;&gt;BZ$6,INDEX('Operating Assumptions'!$P$8:$AA$13,MATCH($B17,'Operating Assumptions'!$P$8:$P$13,0),MATCH(CA$6,'Operating Assumptions'!$P$8:$AA$8,0)),0))</f>
        <v>0</v>
      </c>
      <c r="CB17" s="1306">
        <f>IF(CB$7&gt;'Operating Assumptions'!$AA$7,0,IF(CB$6&lt;&gt;CA$6,INDEX('Operating Assumptions'!$P$8:$AA$13,MATCH($B17,'Operating Assumptions'!$P$8:$P$13,0),MATCH(CB$6,'Operating Assumptions'!$P$8:$AA$8,0)),0))</f>
        <v>0.02</v>
      </c>
      <c r="CC17" s="1306">
        <f>IF(CC$7&gt;'Operating Assumptions'!$AA$7,0,IF(CC$6&lt;&gt;CB$6,INDEX('Operating Assumptions'!$P$8:$AA$13,MATCH($B17,'Operating Assumptions'!$P$8:$P$13,0),MATCH(CC$6,'Operating Assumptions'!$P$8:$AA$8,0)),0))</f>
        <v>0</v>
      </c>
      <c r="CD17" s="1306">
        <f>IF(CD$7&gt;'Operating Assumptions'!$AA$7,0,IF(CD$6&lt;&gt;CC$6,INDEX('Operating Assumptions'!$P$8:$AA$13,MATCH($B17,'Operating Assumptions'!$P$8:$P$13,0),MATCH(CD$6,'Operating Assumptions'!$P$8:$AA$8,0)),0))</f>
        <v>0</v>
      </c>
      <c r="CE17" s="1306">
        <f>IF(CE$7&gt;'Operating Assumptions'!$AA$7,0,IF(CE$6&lt;&gt;CD$6,INDEX('Operating Assumptions'!$P$8:$AA$13,MATCH($B17,'Operating Assumptions'!$P$8:$P$13,0),MATCH(CE$6,'Operating Assumptions'!$P$8:$AA$8,0)),0))</f>
        <v>0</v>
      </c>
      <c r="CF17" s="1306">
        <f>IF(CF$7&gt;'Operating Assumptions'!$AA$7,0,IF(CF$6&lt;&gt;CE$6,INDEX('Operating Assumptions'!$P$8:$AA$13,MATCH($B17,'Operating Assumptions'!$P$8:$P$13,0),MATCH(CF$6,'Operating Assumptions'!$P$8:$AA$8,0)),0))</f>
        <v>0</v>
      </c>
      <c r="CG17" s="1306">
        <f>IF(CG$7&gt;'Operating Assumptions'!$AA$7,0,IF(CG$6&lt;&gt;CF$6,INDEX('Operating Assumptions'!$P$8:$AA$13,MATCH($B17,'Operating Assumptions'!$P$8:$P$13,0),MATCH(CG$6,'Operating Assumptions'!$P$8:$AA$8,0)),0))</f>
        <v>0</v>
      </c>
      <c r="CH17" s="1306">
        <f>IF(CH$7&gt;'Operating Assumptions'!$AA$7,0,IF(CH$6&lt;&gt;CG$6,INDEX('Operating Assumptions'!$P$8:$AA$13,MATCH($B17,'Operating Assumptions'!$P$8:$P$13,0),MATCH(CH$6,'Operating Assumptions'!$P$8:$AA$8,0)),0))</f>
        <v>0</v>
      </c>
      <c r="CI17" s="1306">
        <f>IF(CI$7&gt;'Operating Assumptions'!$AA$7,0,IF(CI$6&lt;&gt;CH$6,INDEX('Operating Assumptions'!$P$8:$AA$13,MATCH($B17,'Operating Assumptions'!$P$8:$P$13,0),MATCH(CI$6,'Operating Assumptions'!$P$8:$AA$8,0)),0))</f>
        <v>0</v>
      </c>
      <c r="CJ17" s="1306">
        <f>IF(CJ$7&gt;'Operating Assumptions'!$AA$7,0,IF(CJ$6&lt;&gt;CI$6,INDEX('Operating Assumptions'!$P$8:$AA$13,MATCH($B17,'Operating Assumptions'!$P$8:$P$13,0),MATCH(CJ$6,'Operating Assumptions'!$P$8:$AA$8,0)),0))</f>
        <v>0</v>
      </c>
      <c r="CK17" s="1306">
        <f>IF(CK$7&gt;'Operating Assumptions'!$AA$7,0,IF(CK$6&lt;&gt;CJ$6,INDEX('Operating Assumptions'!$P$8:$AA$13,MATCH($B17,'Operating Assumptions'!$P$8:$P$13,0),MATCH(CK$6,'Operating Assumptions'!$P$8:$AA$8,0)),0))</f>
        <v>0</v>
      </c>
      <c r="CL17" s="1306">
        <f>IF(CL$7&gt;'Operating Assumptions'!$AA$7,0,IF(CL$6&lt;&gt;CK$6,INDEX('Operating Assumptions'!$P$8:$AA$13,MATCH($B17,'Operating Assumptions'!$P$8:$P$13,0),MATCH(CL$6,'Operating Assumptions'!$P$8:$AA$8,0)),0))</f>
        <v>0</v>
      </c>
      <c r="CM17" s="1306">
        <f>IF(CM$7&gt;'Operating Assumptions'!$AA$7,0,IF(CM$6&lt;&gt;CL$6,INDEX('Operating Assumptions'!$P$8:$AA$13,MATCH($B17,'Operating Assumptions'!$P$8:$P$13,0),MATCH(CM$6,'Operating Assumptions'!$P$8:$AA$8,0)),0))</f>
        <v>0</v>
      </c>
      <c r="CN17" s="1306">
        <f>IF(CN$7&gt;'Operating Assumptions'!$AA$7,0,IF(CN$6&lt;&gt;CM$6,INDEX('Operating Assumptions'!$P$8:$AA$13,MATCH($B17,'Operating Assumptions'!$P$8:$P$13,0),MATCH(CN$6,'Operating Assumptions'!$P$8:$AA$8,0)),0))</f>
        <v>0.02</v>
      </c>
      <c r="CO17" s="1306">
        <f>IF(CO$7&gt;'Operating Assumptions'!$AA$7,0,IF(CO$6&lt;&gt;CN$6,INDEX('Operating Assumptions'!$P$8:$AA$13,MATCH($B17,'Operating Assumptions'!$P$8:$P$13,0),MATCH(CO$6,'Operating Assumptions'!$P$8:$AA$8,0)),0))</f>
        <v>0</v>
      </c>
      <c r="CP17" s="1306">
        <f>IF(CP$7&gt;'Operating Assumptions'!$AA$7,0,IF(CP$6&lt;&gt;CO$6,INDEX('Operating Assumptions'!$P$8:$AA$13,MATCH($B17,'Operating Assumptions'!$P$8:$P$13,0),MATCH(CP$6,'Operating Assumptions'!$P$8:$AA$8,0)),0))</f>
        <v>0</v>
      </c>
      <c r="CQ17" s="1306">
        <f>IF(CQ$7&gt;'Operating Assumptions'!$AA$7,0,IF(CQ$6&lt;&gt;CP$6,INDEX('Operating Assumptions'!$P$8:$AA$13,MATCH($B17,'Operating Assumptions'!$P$8:$P$13,0),MATCH(CQ$6,'Operating Assumptions'!$P$8:$AA$8,0)),0))</f>
        <v>0</v>
      </c>
      <c r="CR17" s="1306">
        <f>IF(CR$7&gt;'Operating Assumptions'!$AA$7,0,IF(CR$6&lt;&gt;CQ$6,INDEX('Operating Assumptions'!$P$8:$AA$13,MATCH($B17,'Operating Assumptions'!$P$8:$P$13,0),MATCH(CR$6,'Operating Assumptions'!$P$8:$AA$8,0)),0))</f>
        <v>0</v>
      </c>
      <c r="CS17" s="1306">
        <f>IF(CS$7&gt;'Operating Assumptions'!$AA$7,0,IF(CS$6&lt;&gt;CR$6,INDEX('Operating Assumptions'!$P$8:$AA$13,MATCH($B17,'Operating Assumptions'!$P$8:$P$13,0),MATCH(CS$6,'Operating Assumptions'!$P$8:$AA$8,0)),0))</f>
        <v>0</v>
      </c>
      <c r="CT17" s="1306">
        <f>IF(CT$7&gt;'Operating Assumptions'!$AA$7,0,IF(CT$6&lt;&gt;CS$6,INDEX('Operating Assumptions'!$P$8:$AA$13,MATCH($B17,'Operating Assumptions'!$P$8:$P$13,0),MATCH(CT$6,'Operating Assumptions'!$P$8:$AA$8,0)),0))</f>
        <v>0</v>
      </c>
      <c r="CU17" s="1306">
        <f>IF(CU$7&gt;'Operating Assumptions'!$AA$7,0,IF(CU$6&lt;&gt;CT$6,INDEX('Operating Assumptions'!$P$8:$AA$13,MATCH($B17,'Operating Assumptions'!$P$8:$P$13,0),MATCH(CU$6,'Operating Assumptions'!$P$8:$AA$8,0)),0))</f>
        <v>0</v>
      </c>
      <c r="CV17" s="1306">
        <f>IF(CV$7&gt;'Operating Assumptions'!$AA$7,0,IF(CV$6&lt;&gt;CU$6,INDEX('Operating Assumptions'!$P$8:$AA$13,MATCH($B17,'Operating Assumptions'!$P$8:$P$13,0),MATCH(CV$6,'Operating Assumptions'!$P$8:$AA$8,0)),0))</f>
        <v>0</v>
      </c>
      <c r="CW17" s="1306">
        <f>IF(CW$7&gt;'Operating Assumptions'!$AA$7,0,IF(CW$6&lt;&gt;CV$6,INDEX('Operating Assumptions'!$P$8:$AA$13,MATCH($B17,'Operating Assumptions'!$P$8:$P$13,0),MATCH(CW$6,'Operating Assumptions'!$P$8:$AA$8,0)),0))</f>
        <v>0</v>
      </c>
      <c r="CX17" s="1306">
        <f>IF(CX$7&gt;'Operating Assumptions'!$AA$7,0,IF(CX$6&lt;&gt;CW$6,INDEX('Operating Assumptions'!$P$8:$AA$13,MATCH($B17,'Operating Assumptions'!$P$8:$P$13,0),MATCH(CX$6,'Operating Assumptions'!$P$8:$AA$8,0)),0))</f>
        <v>0</v>
      </c>
      <c r="CY17" s="1306">
        <f>IF(CY$7&gt;'Operating Assumptions'!$AA$7,0,IF(CY$6&lt;&gt;CX$6,INDEX('Operating Assumptions'!$P$8:$AA$13,MATCH($B17,'Operating Assumptions'!$P$8:$P$13,0),MATCH(CY$6,'Operating Assumptions'!$P$8:$AA$8,0)),0))</f>
        <v>0</v>
      </c>
      <c r="CZ17" s="1306">
        <f>IF(CZ$7&gt;'Operating Assumptions'!$AA$7,0,IF(CZ$6&lt;&gt;CY$6,INDEX('Operating Assumptions'!$P$8:$AA$13,MATCH($B17,'Operating Assumptions'!$P$8:$P$13,0),MATCH(CZ$6,'Operating Assumptions'!$P$8:$AA$8,0)),0))</f>
        <v>0.02</v>
      </c>
      <c r="DA17" s="1306">
        <f>IF(DA$7&gt;'Operating Assumptions'!$AA$7,0,IF(DA$6&lt;&gt;CZ$6,INDEX('Operating Assumptions'!$P$8:$AA$13,MATCH($B17,'Operating Assumptions'!$P$8:$P$13,0),MATCH(DA$6,'Operating Assumptions'!$P$8:$AA$8,0)),0))</f>
        <v>0</v>
      </c>
      <c r="DB17" s="1306">
        <f>IF(DB$7&gt;'Operating Assumptions'!$AA$7,0,IF(DB$6&lt;&gt;DA$6,INDEX('Operating Assumptions'!$P$8:$AA$13,MATCH($B17,'Operating Assumptions'!$P$8:$P$13,0),MATCH(DB$6,'Operating Assumptions'!$P$8:$AA$8,0)),0))</f>
        <v>0</v>
      </c>
      <c r="DC17" s="1306">
        <f>IF(DC$7&gt;'Operating Assumptions'!$AA$7,0,IF(DC$6&lt;&gt;DB$6,INDEX('Operating Assumptions'!$P$8:$AA$13,MATCH($B17,'Operating Assumptions'!$P$8:$P$13,0),MATCH(DC$6,'Operating Assumptions'!$P$8:$AA$8,0)),0))</f>
        <v>0</v>
      </c>
      <c r="DD17" s="1306">
        <f>IF(DD$7&gt;'Operating Assumptions'!$AA$7,0,IF(DD$6&lt;&gt;DC$6,INDEX('Operating Assumptions'!$P$8:$AA$13,MATCH($B17,'Operating Assumptions'!$P$8:$P$13,0),MATCH(DD$6,'Operating Assumptions'!$P$8:$AA$8,0)),0))</f>
        <v>0</v>
      </c>
      <c r="DE17" s="1306">
        <f>IF(DE$7&gt;'Operating Assumptions'!$AA$7,0,IF(DE$6&lt;&gt;DD$6,INDEX('Operating Assumptions'!$P$8:$AA$13,MATCH($B17,'Operating Assumptions'!$P$8:$P$13,0),MATCH(DE$6,'Operating Assumptions'!$P$8:$AA$8,0)),0))</f>
        <v>0</v>
      </c>
      <c r="DF17" s="1306">
        <f>IF(DF$7&gt;'Operating Assumptions'!$AA$7,0,IF(DF$6&lt;&gt;DE$6,INDEX('Operating Assumptions'!$P$8:$AA$13,MATCH($B17,'Operating Assumptions'!$P$8:$P$13,0),MATCH(DF$6,'Operating Assumptions'!$P$8:$AA$8,0)),0))</f>
        <v>0</v>
      </c>
      <c r="DG17" s="1306">
        <f>IF(DG$7&gt;'Operating Assumptions'!$AA$7,0,IF(DG$6&lt;&gt;DF$6,INDEX('Operating Assumptions'!$P$8:$AA$13,MATCH($B17,'Operating Assumptions'!$P$8:$P$13,0),MATCH(DG$6,'Operating Assumptions'!$P$8:$AA$8,0)),0))</f>
        <v>0</v>
      </c>
      <c r="DH17" s="1306">
        <f>IF(DH$7&gt;'Operating Assumptions'!$AA$7,0,IF(DH$6&lt;&gt;DG$6,INDEX('Operating Assumptions'!$P$8:$AA$13,MATCH($B17,'Operating Assumptions'!$P$8:$P$13,0),MATCH(DH$6,'Operating Assumptions'!$P$8:$AA$8,0)),0))</f>
        <v>0</v>
      </c>
      <c r="DI17" s="1306">
        <f>IF(DI$7&gt;'Operating Assumptions'!$AA$7,0,IF(DI$6&lt;&gt;DH$6,INDEX('Operating Assumptions'!$P$8:$AA$13,MATCH($B17,'Operating Assumptions'!$P$8:$P$13,0),MATCH(DI$6,'Operating Assumptions'!$P$8:$AA$8,0)),0))</f>
        <v>0</v>
      </c>
      <c r="DJ17" s="1306">
        <f>IF(DJ$7&gt;'Operating Assumptions'!$AA$7,0,IF(DJ$6&lt;&gt;DI$6,INDEX('Operating Assumptions'!$P$8:$AA$13,MATCH($B17,'Operating Assumptions'!$P$8:$P$13,0),MATCH(DJ$6,'Operating Assumptions'!$P$8:$AA$8,0)),0))</f>
        <v>0</v>
      </c>
      <c r="DK17" s="1306">
        <f>IF(DK$7&gt;'Operating Assumptions'!$AA$7,0,IF(DK$6&lt;&gt;DJ$6,INDEX('Operating Assumptions'!$P$8:$AA$13,MATCH($B17,'Operating Assumptions'!$P$8:$P$13,0),MATCH(DK$6,'Operating Assumptions'!$P$8:$AA$8,0)),0))</f>
        <v>0</v>
      </c>
      <c r="DL17" s="1306">
        <f>IF(DL$7&gt;'Operating Assumptions'!$AA$7,0,IF(DL$6&lt;&gt;DK$6,INDEX('Operating Assumptions'!$P$8:$AA$13,MATCH($B17,'Operating Assumptions'!$P$8:$P$13,0),MATCH(DL$6,'Operating Assumptions'!$P$8:$AA$8,0)),0))</f>
        <v>0.02</v>
      </c>
      <c r="DM17" s="1306">
        <f>IF(DM$7&gt;'Operating Assumptions'!$AA$7,0,IF(DM$6&lt;&gt;DL$6,INDEX('Operating Assumptions'!$P$8:$AA$13,MATCH($B17,'Operating Assumptions'!$P$8:$P$13,0),MATCH(DM$6,'Operating Assumptions'!$P$8:$AA$8,0)),0))</f>
        <v>0</v>
      </c>
      <c r="DN17" s="1306">
        <f>IF(DN$7&gt;'Operating Assumptions'!$AA$7,0,IF(DN$6&lt;&gt;DM$6,INDEX('Operating Assumptions'!$P$8:$AA$13,MATCH($B17,'Operating Assumptions'!$P$8:$P$13,0),MATCH(DN$6,'Operating Assumptions'!$P$8:$AA$8,0)),0))</f>
        <v>0</v>
      </c>
      <c r="DO17" s="1306">
        <f>IF(DO$7&gt;'Operating Assumptions'!$AA$7,0,IF(DO$6&lt;&gt;DN$6,INDEX('Operating Assumptions'!$P$8:$AA$13,MATCH($B17,'Operating Assumptions'!$P$8:$P$13,0),MATCH(DO$6,'Operating Assumptions'!$P$8:$AA$8,0)),0))</f>
        <v>0</v>
      </c>
      <c r="DP17" s="1306">
        <f>IF(DP$7&gt;'Operating Assumptions'!$AA$7,0,IF(DP$6&lt;&gt;DO$6,INDEX('Operating Assumptions'!$P$8:$AA$13,MATCH($B17,'Operating Assumptions'!$P$8:$P$13,0),MATCH(DP$6,'Operating Assumptions'!$P$8:$AA$8,0)),0))</f>
        <v>0</v>
      </c>
      <c r="DQ17" s="1306">
        <f>IF(DQ$7&gt;'Operating Assumptions'!$AA$7,0,IF(DQ$6&lt;&gt;DP$6,INDEX('Operating Assumptions'!$P$8:$AA$13,MATCH($B17,'Operating Assumptions'!$P$8:$P$13,0),MATCH(DQ$6,'Operating Assumptions'!$P$8:$AA$8,0)),0))</f>
        <v>0</v>
      </c>
      <c r="DR17" s="1306">
        <f>IF(DR$7&gt;'Operating Assumptions'!$AA$7,0,IF(DR$6&lt;&gt;DQ$6,INDEX('Operating Assumptions'!$P$8:$AA$13,MATCH($B17,'Operating Assumptions'!$P$8:$P$13,0),MATCH(DR$6,'Operating Assumptions'!$P$8:$AA$8,0)),0))</f>
        <v>0</v>
      </c>
      <c r="DS17" s="1306">
        <f>IF(DS$7&gt;'Operating Assumptions'!$AA$7,0,IF(DS$6&lt;&gt;DR$6,INDEX('Operating Assumptions'!$P$8:$AA$13,MATCH($B17,'Operating Assumptions'!$P$8:$P$13,0),MATCH(DS$6,'Operating Assumptions'!$P$8:$AA$8,0)),0))</f>
        <v>0</v>
      </c>
      <c r="DT17" s="1306">
        <f>IF(DT$7&gt;'Operating Assumptions'!$AA$7,0,IF(DT$6&lt;&gt;DS$6,INDEX('Operating Assumptions'!$P$8:$AA$13,MATCH($B17,'Operating Assumptions'!$P$8:$P$13,0),MATCH(DT$6,'Operating Assumptions'!$P$8:$AA$8,0)),0))</f>
        <v>0</v>
      </c>
      <c r="DU17" s="1306">
        <f>IF(DU$7&gt;'Operating Assumptions'!$AA$7,0,IF(DU$6&lt;&gt;DT$6,INDEX('Operating Assumptions'!$P$8:$AA$13,MATCH($B17,'Operating Assumptions'!$P$8:$P$13,0),MATCH(DU$6,'Operating Assumptions'!$P$8:$AA$8,0)),0))</f>
        <v>0</v>
      </c>
      <c r="DV17" s="1306">
        <f>IF(DV$7&gt;'Operating Assumptions'!$AA$7,0,IF(DV$6&lt;&gt;DU$6,INDEX('Operating Assumptions'!$P$8:$AA$13,MATCH($B17,'Operating Assumptions'!$P$8:$P$13,0),MATCH(DV$6,'Operating Assumptions'!$P$8:$AA$8,0)),0))</f>
        <v>0</v>
      </c>
      <c r="DW17" s="1306">
        <f>IF(DW$7&gt;'Operating Assumptions'!$AA$7,0,IF(DW$6&lt;&gt;DV$6,INDEX('Operating Assumptions'!$P$8:$AA$13,MATCH($B17,'Operating Assumptions'!$P$8:$P$13,0),MATCH(DW$6,'Operating Assumptions'!$P$8:$AA$8,0)),0))</f>
        <v>0</v>
      </c>
      <c r="DX17" s="1306">
        <f>IF(DX$7&gt;'Operating Assumptions'!$AA$7,0,IF(DX$6&lt;&gt;DW$6,INDEX('Operating Assumptions'!$P$8:$AA$13,MATCH($B17,'Operating Assumptions'!$P$8:$P$13,0),MATCH(DX$6,'Operating Assumptions'!$P$8:$AA$8,0)),0))</f>
        <v>0.02</v>
      </c>
      <c r="DY17" s="1306">
        <f>IF(DY$7&gt;'Operating Assumptions'!$AA$7,0,IF(DY$6&lt;&gt;DX$6,INDEX('Operating Assumptions'!$P$8:$AA$13,MATCH($B17,'Operating Assumptions'!$P$8:$P$13,0),MATCH(DY$6,'Operating Assumptions'!$P$8:$AA$8,0)),0))</f>
        <v>0</v>
      </c>
      <c r="DZ17" s="1306">
        <f>IF(DZ$7&gt;'Operating Assumptions'!$AA$7,0,IF(DZ$6&lt;&gt;DY$6,INDEX('Operating Assumptions'!$P$8:$AA$13,MATCH($B17,'Operating Assumptions'!$P$8:$P$13,0),MATCH(DZ$6,'Operating Assumptions'!$P$8:$AA$8,0)),0))</f>
        <v>0</v>
      </c>
      <c r="EA17" s="1306">
        <f>IF(EA$7&gt;'Operating Assumptions'!$AA$7,0,IF(EA$6&lt;&gt;DZ$6,INDEX('Operating Assumptions'!$P$8:$AA$13,MATCH($B17,'Operating Assumptions'!$P$8:$P$13,0),MATCH(EA$6,'Operating Assumptions'!$P$8:$AA$8,0)),0))</f>
        <v>0</v>
      </c>
      <c r="EB17" s="1306">
        <f>IF(EB$7&gt;'Operating Assumptions'!$AA$7,0,IF(EB$6&lt;&gt;EA$6,INDEX('Operating Assumptions'!$P$8:$AA$13,MATCH($B17,'Operating Assumptions'!$P$8:$P$13,0),MATCH(EB$6,'Operating Assumptions'!$P$8:$AA$8,0)),0))</f>
        <v>0</v>
      </c>
      <c r="EC17" s="1306">
        <f>IF(EC$7&gt;'Operating Assumptions'!$AA$7,0,IF(EC$6&lt;&gt;EB$6,INDEX('Operating Assumptions'!$P$8:$AA$13,MATCH($B17,'Operating Assumptions'!$P$8:$P$13,0),MATCH(EC$6,'Operating Assumptions'!$P$8:$AA$8,0)),0))</f>
        <v>0</v>
      </c>
      <c r="ED17" s="1306">
        <f>IF(ED$7&gt;'Operating Assumptions'!$AA$7,0,IF(ED$6&lt;&gt;EC$6,INDEX('Operating Assumptions'!$P$8:$AA$13,MATCH($B17,'Operating Assumptions'!$P$8:$P$13,0),MATCH(ED$6,'Operating Assumptions'!$P$8:$AA$8,0)),0))</f>
        <v>0</v>
      </c>
      <c r="EE17" s="1306">
        <f>IF(EE$7&gt;'Operating Assumptions'!$AA$7,0,IF(EE$6&lt;&gt;ED$6,INDEX('Operating Assumptions'!$P$8:$AA$13,MATCH($B17,'Operating Assumptions'!$P$8:$P$13,0),MATCH(EE$6,'Operating Assumptions'!$P$8:$AA$8,0)),0))</f>
        <v>0</v>
      </c>
      <c r="EF17" s="1306">
        <f>IF(EF$7&gt;'Operating Assumptions'!$AA$7,0,IF(EF$6&lt;&gt;EE$6,INDEX('Operating Assumptions'!$P$8:$AA$13,MATCH($B17,'Operating Assumptions'!$P$8:$P$13,0),MATCH(EF$6,'Operating Assumptions'!$P$8:$AA$8,0)),0))</f>
        <v>0</v>
      </c>
      <c r="EG17" s="1306">
        <f>IF(EG$7&gt;'Operating Assumptions'!$AA$7,0,IF(EG$6&lt;&gt;EF$6,INDEX('Operating Assumptions'!$P$8:$AA$13,MATCH($B17,'Operating Assumptions'!$P$8:$P$13,0),MATCH(EG$6,'Operating Assumptions'!$P$8:$AA$8,0)),0))</f>
        <v>0</v>
      </c>
      <c r="EH17" s="1306">
        <f>IF(EH$7&gt;'Operating Assumptions'!$AA$7,0,IF(EH$6&lt;&gt;EG$6,INDEX('Operating Assumptions'!$P$8:$AA$13,MATCH($B17,'Operating Assumptions'!$P$8:$P$13,0),MATCH(EH$6,'Operating Assumptions'!$P$8:$AA$8,0)),0))</f>
        <v>0</v>
      </c>
      <c r="EI17" s="1306">
        <f>IF(EI$7&gt;'Operating Assumptions'!$AA$7,0,IF(EI$6&lt;&gt;EH$6,INDEX('Operating Assumptions'!$P$8:$AA$13,MATCH($B17,'Operating Assumptions'!$P$8:$P$13,0),MATCH(EI$6,'Operating Assumptions'!$P$8:$AA$8,0)),0))</f>
        <v>0</v>
      </c>
      <c r="EJ17" s="1306">
        <f>IF(EJ$7&gt;'Operating Assumptions'!$AA$7,0,IF(EJ$6&lt;&gt;EI$6,INDEX('Operating Assumptions'!$P$8:$AA$13,MATCH($B17,'Operating Assumptions'!$P$8:$P$13,0),MATCH(EJ$6,'Operating Assumptions'!$P$8:$AA$8,0)),0))</f>
        <v>0.02</v>
      </c>
      <c r="EK17" s="1306">
        <f>IF(EK$7&gt;'Operating Assumptions'!$AA$7,0,IF(EK$6&lt;&gt;EJ$6,INDEX('Operating Assumptions'!$P$8:$AA$13,MATCH($B17,'Operating Assumptions'!$P$8:$P$13,0),MATCH(EK$6,'Operating Assumptions'!$P$8:$AA$8,0)),0))</f>
        <v>0</v>
      </c>
      <c r="EL17" s="1306">
        <f>IF(EL$7&gt;'Operating Assumptions'!$AA$7,0,IF(EL$6&lt;&gt;EK$6,INDEX('Operating Assumptions'!$P$8:$AA$13,MATCH($B17,'Operating Assumptions'!$P$8:$P$13,0),MATCH(EL$6,'Operating Assumptions'!$P$8:$AA$8,0)),0))</f>
        <v>0</v>
      </c>
      <c r="EM17" s="1306">
        <f>IF(EM$7&gt;'Operating Assumptions'!$AA$7,0,IF(EM$6&lt;&gt;EL$6,INDEX('Operating Assumptions'!$P$8:$AA$13,MATCH($B17,'Operating Assumptions'!$P$8:$P$13,0),MATCH(EM$6,'Operating Assumptions'!$P$8:$AA$8,0)),0))</f>
        <v>0</v>
      </c>
      <c r="EN17" s="1306">
        <f>IF(EN$7&gt;'Operating Assumptions'!$AA$7,0,IF(EN$6&lt;&gt;EM$6,INDEX('Operating Assumptions'!$P$8:$AA$13,MATCH($B17,'Operating Assumptions'!$P$8:$P$13,0),MATCH(EN$6,'Operating Assumptions'!$P$8:$AA$8,0)),0))</f>
        <v>0</v>
      </c>
      <c r="EO17" s="1306">
        <f>IF(EO$7&gt;'Operating Assumptions'!$AA$7,0,IF(EO$6&lt;&gt;EN$6,INDEX('Operating Assumptions'!$P$8:$AA$13,MATCH($B17,'Operating Assumptions'!$P$8:$P$13,0),MATCH(EO$6,'Operating Assumptions'!$P$8:$AA$8,0)),0))</f>
        <v>0</v>
      </c>
      <c r="EP17" s="1306">
        <f>IF(EP$7&gt;'Operating Assumptions'!$AA$7,0,IF(EP$6&lt;&gt;EO$6,INDEX('Operating Assumptions'!$P$8:$AA$13,MATCH($B17,'Operating Assumptions'!$P$8:$P$13,0),MATCH(EP$6,'Operating Assumptions'!$P$8:$AA$8,0)),0))</f>
        <v>0</v>
      </c>
      <c r="EQ17" s="1306">
        <f>IF(EQ$7&gt;'Operating Assumptions'!$AA$7,0,IF(EQ$6&lt;&gt;EP$6,INDEX('Operating Assumptions'!$P$8:$AA$13,MATCH($B17,'Operating Assumptions'!$P$8:$P$13,0),MATCH(EQ$6,'Operating Assumptions'!$P$8:$AA$8,0)),0))</f>
        <v>0</v>
      </c>
      <c r="ER17" s="1306">
        <f>IF(ER$7&gt;'Operating Assumptions'!$AA$7,0,IF(ER$6&lt;&gt;EQ$6,INDEX('Operating Assumptions'!$P$8:$AA$13,MATCH($B17,'Operating Assumptions'!$P$8:$P$13,0),MATCH(ER$6,'Operating Assumptions'!$P$8:$AA$8,0)),0))</f>
        <v>0</v>
      </c>
      <c r="ES17" s="1306">
        <f>IF(ES$7&gt;'Operating Assumptions'!$AA$7,0,IF(ES$6&lt;&gt;ER$6,INDEX('Operating Assumptions'!$P$8:$AA$13,MATCH($B17,'Operating Assumptions'!$P$8:$P$13,0),MATCH(ES$6,'Operating Assumptions'!$P$8:$AA$8,0)),0))</f>
        <v>0</v>
      </c>
      <c r="ET17" s="1306">
        <f>IF(ET$7&gt;'Operating Assumptions'!$AA$7,0,IF(ET$6&lt;&gt;ES$6,INDEX('Operating Assumptions'!$P$8:$AA$13,MATCH($B17,'Operating Assumptions'!$P$8:$P$13,0),MATCH(ET$6,'Operating Assumptions'!$P$8:$AA$8,0)),0))</f>
        <v>0</v>
      </c>
      <c r="EU17" s="1306">
        <f>IF(EU$7&gt;'Operating Assumptions'!$AA$7,0,IF(EU$6&lt;&gt;ET$6,INDEX('Operating Assumptions'!$P$8:$AA$13,MATCH($B17,'Operating Assumptions'!$P$8:$P$13,0),MATCH(EU$6,'Operating Assumptions'!$P$8:$AA$8,0)),0))</f>
        <v>0</v>
      </c>
      <c r="EV17" s="1306">
        <f>IF(EV$7&gt;'Operating Assumptions'!$AA$7,0,IF(EV$6&lt;&gt;EU$6,INDEX('Operating Assumptions'!$P$8:$AA$13,MATCH($B17,'Operating Assumptions'!$P$8:$P$13,0),MATCH(EV$6,'Operating Assumptions'!$P$8:$AA$8,0)),0))</f>
        <v>0</v>
      </c>
      <c r="EW17" s="1306">
        <f>IF(EW$7&gt;'Operating Assumptions'!$AA$7,0,IF(EW$6&lt;&gt;EV$6,INDEX('Operating Assumptions'!$P$8:$AA$13,MATCH($B17,'Operating Assumptions'!$P$8:$P$13,0),MATCH(EW$6,'Operating Assumptions'!$P$8:$AA$8,0)),0))</f>
        <v>0</v>
      </c>
      <c r="EX17" s="1306">
        <f>IF(EX$7&gt;'Operating Assumptions'!$AA$7,0,IF(EX$6&lt;&gt;EW$6,INDEX('Operating Assumptions'!$P$8:$AA$13,MATCH($B17,'Operating Assumptions'!$P$8:$P$13,0),MATCH(EX$6,'Operating Assumptions'!$P$8:$AA$8,0)),0))</f>
        <v>0</v>
      </c>
      <c r="EY17" s="1306">
        <f>IF(EY$7&gt;'Operating Assumptions'!$AA$7,0,IF(EY$6&lt;&gt;EX$6,INDEX('Operating Assumptions'!$P$8:$AA$13,MATCH($B17,'Operating Assumptions'!$P$8:$P$13,0),MATCH(EY$6,'Operating Assumptions'!$P$8:$AA$8,0)),0))</f>
        <v>0</v>
      </c>
      <c r="EZ17" s="1306">
        <f>IF(EZ$7&gt;'Operating Assumptions'!$AA$7,0,IF(EZ$6&lt;&gt;EY$6,INDEX('Operating Assumptions'!$P$8:$AA$13,MATCH($B17,'Operating Assumptions'!$P$8:$P$13,0),MATCH(EZ$6,'Operating Assumptions'!$P$8:$AA$8,0)),0))</f>
        <v>0</v>
      </c>
      <c r="FA17" s="1306">
        <f>IF(FA$7&gt;'Operating Assumptions'!$AA$7,0,IF(FA$6&lt;&gt;EZ$6,INDEX('Operating Assumptions'!$P$8:$AA$13,MATCH($B17,'Operating Assumptions'!$P$8:$P$13,0),MATCH(FA$6,'Operating Assumptions'!$P$8:$AA$8,0)),0))</f>
        <v>0</v>
      </c>
      <c r="FB17" s="1306">
        <f>IF(FB$7&gt;'Operating Assumptions'!$AA$7,0,IF(FB$6&lt;&gt;FA$6,INDEX('Operating Assumptions'!$P$8:$AA$13,MATCH($B17,'Operating Assumptions'!$P$8:$P$13,0),MATCH(FB$6,'Operating Assumptions'!$P$8:$AA$8,0)),0))</f>
        <v>0</v>
      </c>
      <c r="FC17" s="1306">
        <f>IF(FC$7&gt;'Operating Assumptions'!$AA$7,0,IF(FC$6&lt;&gt;FB$6,INDEX('Operating Assumptions'!$P$8:$AA$13,MATCH($B17,'Operating Assumptions'!$P$8:$P$13,0),MATCH(FC$6,'Operating Assumptions'!$P$8:$AA$8,0)),0))</f>
        <v>0</v>
      </c>
      <c r="FD17" s="1306">
        <f>IF(FD$7&gt;'Operating Assumptions'!$AA$7,0,IF(FD$6&lt;&gt;FC$6,INDEX('Operating Assumptions'!$P$8:$AA$13,MATCH($B17,'Operating Assumptions'!$P$8:$P$13,0),MATCH(FD$6,'Operating Assumptions'!$P$8:$AA$8,0)),0))</f>
        <v>0</v>
      </c>
      <c r="FE17" s="1306">
        <f>IF(FE$7&gt;'Operating Assumptions'!$AA$7,0,IF(FE$6&lt;&gt;FD$6,INDEX('Operating Assumptions'!$P$8:$AA$13,MATCH($B17,'Operating Assumptions'!$P$8:$P$13,0),MATCH(FE$6,'Operating Assumptions'!$P$8:$AA$8,0)),0))</f>
        <v>0</v>
      </c>
      <c r="FF17" s="1306">
        <f>IF(FF$7&gt;'Operating Assumptions'!$AA$7,0,IF(FF$6&lt;&gt;FE$6,INDEX('Operating Assumptions'!$P$8:$AA$13,MATCH($B17,'Operating Assumptions'!$P$8:$P$13,0),MATCH(FF$6,'Operating Assumptions'!$P$8:$AA$8,0)),0))</f>
        <v>0</v>
      </c>
      <c r="FG17" s="1306">
        <f>IF(FG$7&gt;'Operating Assumptions'!$AA$7,0,IF(FG$6&lt;&gt;FF$6,INDEX('Operating Assumptions'!$P$8:$AA$13,MATCH($B17,'Operating Assumptions'!$P$8:$P$13,0),MATCH(FG$6,'Operating Assumptions'!$P$8:$AA$8,0)),0))</f>
        <v>0</v>
      </c>
      <c r="FH17" s="1306">
        <f>IF(FH$7&gt;'Operating Assumptions'!$AA$7,0,IF(FH$6&lt;&gt;FG$6,INDEX('Operating Assumptions'!$P$8:$AA$13,MATCH($B17,'Operating Assumptions'!$P$8:$P$13,0),MATCH(FH$6,'Operating Assumptions'!$P$8:$AA$8,0)),0))</f>
        <v>0</v>
      </c>
      <c r="FI17" s="1306">
        <f>IF(FI$7&gt;'Operating Assumptions'!$AA$7,0,IF(FI$6&lt;&gt;FH$6,INDEX('Operating Assumptions'!$P$8:$AA$13,MATCH($B17,'Operating Assumptions'!$P$8:$P$13,0),MATCH(FI$6,'Operating Assumptions'!$P$8:$AA$8,0)),0))</f>
        <v>0</v>
      </c>
      <c r="FJ17" s="1306">
        <f>IF(FJ$7&gt;'Operating Assumptions'!$AA$7,0,IF(FJ$6&lt;&gt;FI$6,INDEX('Operating Assumptions'!$P$8:$AA$13,MATCH($B17,'Operating Assumptions'!$P$8:$P$13,0),MATCH(FJ$6,'Operating Assumptions'!$P$8:$AA$8,0)),0))</f>
        <v>0</v>
      </c>
      <c r="FK17" s="1306">
        <f>IF(FK$7&gt;'Operating Assumptions'!$AA$7,0,IF(FK$6&lt;&gt;FJ$6,INDEX('Operating Assumptions'!$P$8:$AA$13,MATCH($B17,'Operating Assumptions'!$P$8:$P$13,0),MATCH(FK$6,'Operating Assumptions'!$P$8:$AA$8,0)),0))</f>
        <v>0</v>
      </c>
      <c r="FL17" s="1306">
        <f>IF(FL$7&gt;'Operating Assumptions'!$AA$7,0,IF(FL$6&lt;&gt;FK$6,INDEX('Operating Assumptions'!$P$8:$AA$13,MATCH($B17,'Operating Assumptions'!$P$8:$P$13,0),MATCH(FL$6,'Operating Assumptions'!$P$8:$AA$8,0)),0))</f>
        <v>0</v>
      </c>
      <c r="FM17" s="1306">
        <f>IF(FM$7&gt;'Operating Assumptions'!$AA$7,0,IF(FM$6&lt;&gt;FL$6,INDEX('Operating Assumptions'!$P$8:$AA$13,MATCH($B17,'Operating Assumptions'!$P$8:$P$13,0),MATCH(FM$6,'Operating Assumptions'!$P$8:$AA$8,0)),0))</f>
        <v>0</v>
      </c>
      <c r="FN17" s="1306">
        <f>IF(FN$7&gt;'Operating Assumptions'!$AA$7,0,IF(FN$6&lt;&gt;FM$6,INDEX('Operating Assumptions'!$P$8:$AA$13,MATCH($B17,'Operating Assumptions'!$P$8:$P$13,0),MATCH(FN$6,'Operating Assumptions'!$P$8:$AA$8,0)),0))</f>
        <v>0</v>
      </c>
      <c r="FO17" s="1306">
        <f>IF(FO$7&gt;'Operating Assumptions'!$AA$7,0,IF(FO$6&lt;&gt;FN$6,INDEX('Operating Assumptions'!$P$8:$AA$13,MATCH($B17,'Operating Assumptions'!$P$8:$P$13,0),MATCH(FO$6,'Operating Assumptions'!$P$8:$AA$8,0)),0))</f>
        <v>0</v>
      </c>
      <c r="FP17" s="1306">
        <f>IF(FP$7&gt;'Operating Assumptions'!$AA$7,0,IF(FP$6&lt;&gt;FO$6,INDEX('Operating Assumptions'!$P$8:$AA$13,MATCH($B17,'Operating Assumptions'!$P$8:$P$13,0),MATCH(FP$6,'Operating Assumptions'!$P$8:$AA$8,0)),0))</f>
        <v>0</v>
      </c>
      <c r="FQ17" s="1306">
        <f>IF(FQ$7&gt;'Operating Assumptions'!$AA$7,0,IF(FQ$6&lt;&gt;FP$6,INDEX('Operating Assumptions'!$P$8:$AA$13,MATCH($B17,'Operating Assumptions'!$P$8:$P$13,0),MATCH(FQ$6,'Operating Assumptions'!$P$8:$AA$8,0)),0))</f>
        <v>0</v>
      </c>
      <c r="FR17" s="1306">
        <f>IF(FR$7&gt;'Operating Assumptions'!$AA$7,0,IF(FR$6&lt;&gt;FQ$6,INDEX('Operating Assumptions'!$P$8:$AA$13,MATCH($B17,'Operating Assumptions'!$P$8:$P$13,0),MATCH(FR$6,'Operating Assumptions'!$P$8:$AA$8,0)),0))</f>
        <v>0</v>
      </c>
      <c r="FS17" s="1306">
        <f>IF(FS$7&gt;'Operating Assumptions'!$AA$7,0,IF(FS$6&lt;&gt;FR$6,INDEX('Operating Assumptions'!$P$8:$AA$13,MATCH($B17,'Operating Assumptions'!$P$8:$P$13,0),MATCH(FS$6,'Operating Assumptions'!$P$8:$AA$8,0)),0))</f>
        <v>0</v>
      </c>
      <c r="FT17" s="1306">
        <f>IF(FT$7&gt;'Operating Assumptions'!$AA$7,0,IF(FT$6&lt;&gt;FS$6,INDEX('Operating Assumptions'!$P$8:$AA$13,MATCH($B17,'Operating Assumptions'!$P$8:$P$13,0),MATCH(FT$6,'Operating Assumptions'!$P$8:$AA$8,0)),0))</f>
        <v>0</v>
      </c>
      <c r="FU17" s="43"/>
    </row>
    <row r="18" spans="1:182" s="34" customFormat="1" ht="13.5" hidden="1" outlineLevel="1" x14ac:dyDescent="0.25">
      <c r="B18" s="48" t="str">
        <f>'Operating Assumptions'!$P10</f>
        <v>Other Revenue Inflation</v>
      </c>
      <c r="C18" s="435"/>
      <c r="D18" s="435"/>
      <c r="E18" s="435"/>
      <c r="F18" s="435"/>
      <c r="G18" s="435"/>
      <c r="H18" s="1306">
        <v>0</v>
      </c>
      <c r="I18" s="1306">
        <f>IF(I$7&gt;'Operating Assumptions'!$AA$7,0,IF(I$6&lt;&gt;H$6,INDEX('Operating Assumptions'!$P$8:$AA$13,MATCH($B18,'Operating Assumptions'!$P$8:$P$13,0),MATCH(I$6,'Operating Assumptions'!$P$8:$AA$8,0)),0))</f>
        <v>0</v>
      </c>
      <c r="J18" s="1306">
        <f>IF(J$7&gt;'Operating Assumptions'!$AA$7,0,IF(J$6&lt;&gt;I$6,INDEX('Operating Assumptions'!$P$8:$AA$13,MATCH($B18,'Operating Assumptions'!$P$8:$P$13,0),MATCH(J$6,'Operating Assumptions'!$P$8:$AA$8,0)),0))</f>
        <v>0</v>
      </c>
      <c r="K18" s="1306">
        <f>IF(K$7&gt;'Operating Assumptions'!$AA$7,0,IF(K$6&lt;&gt;J$6,INDEX('Operating Assumptions'!$P$8:$AA$13,MATCH($B18,'Operating Assumptions'!$P$8:$P$13,0),MATCH(K$6,'Operating Assumptions'!$P$8:$AA$8,0)),0))</f>
        <v>0</v>
      </c>
      <c r="L18" s="1306">
        <f>IF(L$7&gt;'Operating Assumptions'!$AA$7,0,IF(L$6&lt;&gt;K$6,INDEX('Operating Assumptions'!$P$8:$AA$13,MATCH($B18,'Operating Assumptions'!$P$8:$P$13,0),MATCH(L$6,'Operating Assumptions'!$P$8:$AA$8,0)),0))</f>
        <v>0</v>
      </c>
      <c r="M18" s="1306">
        <f>IF(M$7&gt;'Operating Assumptions'!$AA$7,0,IF(M$6&lt;&gt;L$6,INDEX('Operating Assumptions'!$P$8:$AA$13,MATCH($B18,'Operating Assumptions'!$P$8:$P$13,0),MATCH(M$6,'Operating Assumptions'!$P$8:$AA$8,0)),0))</f>
        <v>0</v>
      </c>
      <c r="N18" s="1306">
        <f>IF(N$7&gt;'Operating Assumptions'!$AA$7,0,IF(N$6&lt;&gt;M$6,INDEX('Operating Assumptions'!$P$8:$AA$13,MATCH($B18,'Operating Assumptions'!$P$8:$P$13,0),MATCH(N$6,'Operating Assumptions'!$P$8:$AA$8,0)),0))</f>
        <v>0</v>
      </c>
      <c r="O18" s="1306">
        <f>IF(O$7&gt;'Operating Assumptions'!$AA$7,0,IF(O$6&lt;&gt;N$6,INDEX('Operating Assumptions'!$P$8:$AA$13,MATCH($B18,'Operating Assumptions'!$P$8:$P$13,0),MATCH(O$6,'Operating Assumptions'!$P$8:$AA$8,0)),0))</f>
        <v>0</v>
      </c>
      <c r="P18" s="1306">
        <f>IF(P$7&gt;'Operating Assumptions'!$AA$7,0,IF(P$6&lt;&gt;O$6,INDEX('Operating Assumptions'!$P$8:$AA$13,MATCH($B18,'Operating Assumptions'!$P$8:$P$13,0),MATCH(P$6,'Operating Assumptions'!$P$8:$AA$8,0)),0))</f>
        <v>0</v>
      </c>
      <c r="Q18" s="1306">
        <f>IF(Q$7&gt;'Operating Assumptions'!$AA$7,0,IF(Q$6&lt;&gt;P$6,INDEX('Operating Assumptions'!$P$8:$AA$13,MATCH($B18,'Operating Assumptions'!$P$8:$P$13,0),MATCH(Q$6,'Operating Assumptions'!$P$8:$AA$8,0)),0))</f>
        <v>0</v>
      </c>
      <c r="R18" s="1306">
        <f>IF(R$7&gt;'Operating Assumptions'!$AA$7,0,IF(R$6&lt;&gt;Q$6,INDEX('Operating Assumptions'!$P$8:$AA$13,MATCH($B18,'Operating Assumptions'!$P$8:$P$13,0),MATCH(R$6,'Operating Assumptions'!$P$8:$AA$8,0)),0))</f>
        <v>0</v>
      </c>
      <c r="S18" s="1306">
        <f>IF(S$7&gt;'Operating Assumptions'!$AA$7,0,IF(S$6&lt;&gt;R$6,INDEX('Operating Assumptions'!$P$8:$AA$13,MATCH($B18,'Operating Assumptions'!$P$8:$P$13,0),MATCH(S$6,'Operating Assumptions'!$P$8:$AA$8,0)),0))</f>
        <v>0</v>
      </c>
      <c r="T18" s="1306">
        <f>IF(T$7&gt;'Operating Assumptions'!$AA$7,0,IF(T$6&lt;&gt;S$6,INDEX('Operating Assumptions'!$P$8:$AA$13,MATCH($B18,'Operating Assumptions'!$P$8:$P$13,0),MATCH(T$6,'Operating Assumptions'!$P$8:$AA$8,0)),0))</f>
        <v>0</v>
      </c>
      <c r="U18" s="1306">
        <f>IF(U$7&gt;'Operating Assumptions'!$AA$7,0,IF(U$6&lt;&gt;T$6,INDEX('Operating Assumptions'!$P$8:$AA$13,MATCH($B18,'Operating Assumptions'!$P$8:$P$13,0),MATCH(U$6,'Operating Assumptions'!$P$8:$AA$8,0)),0))</f>
        <v>0</v>
      </c>
      <c r="V18" s="1306">
        <f>IF(V$7&gt;'Operating Assumptions'!$AA$7,0,IF(V$6&lt;&gt;U$6,INDEX('Operating Assumptions'!$P$8:$AA$13,MATCH($B18,'Operating Assumptions'!$P$8:$P$13,0),MATCH(V$6,'Operating Assumptions'!$P$8:$AA$8,0)),0))</f>
        <v>0</v>
      </c>
      <c r="W18" s="1306">
        <f>IF(W$7&gt;'Operating Assumptions'!$AA$7,0,IF(W$6&lt;&gt;V$6,INDEX('Operating Assumptions'!$P$8:$AA$13,MATCH($B18,'Operating Assumptions'!$P$8:$P$13,0),MATCH(W$6,'Operating Assumptions'!$P$8:$AA$8,0)),0))</f>
        <v>0</v>
      </c>
      <c r="X18" s="1306">
        <f>IF(X$7&gt;'Operating Assumptions'!$AA$7,0,IF(X$6&lt;&gt;W$6,INDEX('Operating Assumptions'!$P$8:$AA$13,MATCH($B18,'Operating Assumptions'!$P$8:$P$13,0),MATCH(X$6,'Operating Assumptions'!$P$8:$AA$8,0)),0))</f>
        <v>0</v>
      </c>
      <c r="Y18" s="1306">
        <f>IF(Y$7&gt;'Operating Assumptions'!$AA$7,0,IF(Y$6&lt;&gt;X$6,INDEX('Operating Assumptions'!$P$8:$AA$13,MATCH($B18,'Operating Assumptions'!$P$8:$P$13,0),MATCH(Y$6,'Operating Assumptions'!$P$8:$AA$8,0)),0))</f>
        <v>0</v>
      </c>
      <c r="Z18" s="1306">
        <f>IF(Z$7&gt;'Operating Assumptions'!$AA$7,0,IF(Z$6&lt;&gt;Y$6,INDEX('Operating Assumptions'!$P$8:$AA$13,MATCH($B18,'Operating Assumptions'!$P$8:$P$13,0),MATCH(Z$6,'Operating Assumptions'!$P$8:$AA$8,0)),0))</f>
        <v>0</v>
      </c>
      <c r="AA18" s="1306">
        <f>IF(AA$7&gt;'Operating Assumptions'!$AA$7,0,IF(AA$6&lt;&gt;Z$6,INDEX('Operating Assumptions'!$P$8:$AA$13,MATCH($B18,'Operating Assumptions'!$P$8:$P$13,0),MATCH(AA$6,'Operating Assumptions'!$P$8:$AA$8,0)),0))</f>
        <v>0</v>
      </c>
      <c r="AB18" s="1306">
        <f>IF(AB$7&gt;'Operating Assumptions'!$AA$7,0,IF(AB$6&lt;&gt;AA$6,INDEX('Operating Assumptions'!$P$8:$AA$13,MATCH($B18,'Operating Assumptions'!$P$8:$P$13,0),MATCH(AB$6,'Operating Assumptions'!$P$8:$AA$8,0)),0))</f>
        <v>0</v>
      </c>
      <c r="AC18" s="1306">
        <f>IF(AC$7&gt;'Operating Assumptions'!$AA$7,0,IF(AC$6&lt;&gt;AB$6,INDEX('Operating Assumptions'!$P$8:$AA$13,MATCH($B18,'Operating Assumptions'!$P$8:$P$13,0),MATCH(AC$6,'Operating Assumptions'!$P$8:$AA$8,0)),0))</f>
        <v>0</v>
      </c>
      <c r="AD18" s="1306">
        <f>IF(AD$7&gt;'Operating Assumptions'!$AA$7,0,IF(AD$6&lt;&gt;AC$6,INDEX('Operating Assumptions'!$P$8:$AA$13,MATCH($B18,'Operating Assumptions'!$P$8:$P$13,0),MATCH(AD$6,'Operating Assumptions'!$P$8:$AA$8,0)),0))</f>
        <v>0</v>
      </c>
      <c r="AE18" s="1306">
        <f>IF(AE$7&gt;'Operating Assumptions'!$AA$7,0,IF(AE$6&lt;&gt;AD$6,INDEX('Operating Assumptions'!$P$8:$AA$13,MATCH($B18,'Operating Assumptions'!$P$8:$P$13,0),MATCH(AE$6,'Operating Assumptions'!$P$8:$AA$8,0)),0))</f>
        <v>0</v>
      </c>
      <c r="AF18" s="1306">
        <f>IF(AF$7&gt;'Operating Assumptions'!$AA$7,0,IF(AF$6&lt;&gt;AE$6,INDEX('Operating Assumptions'!$P$8:$AA$13,MATCH($B18,'Operating Assumptions'!$P$8:$P$13,0),MATCH(AF$6,'Operating Assumptions'!$P$8:$AA$8,0)),0))</f>
        <v>0.02</v>
      </c>
      <c r="AG18" s="1306">
        <f>IF(AG$7&gt;'Operating Assumptions'!$AA$7,0,IF(AG$6&lt;&gt;AF$6,INDEX('Operating Assumptions'!$P$8:$AA$13,MATCH($B18,'Operating Assumptions'!$P$8:$P$13,0),MATCH(AG$6,'Operating Assumptions'!$P$8:$AA$8,0)),0))</f>
        <v>0</v>
      </c>
      <c r="AH18" s="1306">
        <f>IF(AH$7&gt;'Operating Assumptions'!$AA$7,0,IF(AH$6&lt;&gt;AG$6,INDEX('Operating Assumptions'!$P$8:$AA$13,MATCH($B18,'Operating Assumptions'!$P$8:$P$13,0),MATCH(AH$6,'Operating Assumptions'!$P$8:$AA$8,0)),0))</f>
        <v>0</v>
      </c>
      <c r="AI18" s="1306">
        <f>IF(AI$7&gt;'Operating Assumptions'!$AA$7,0,IF(AI$6&lt;&gt;AH$6,INDEX('Operating Assumptions'!$P$8:$AA$13,MATCH($B18,'Operating Assumptions'!$P$8:$P$13,0),MATCH(AI$6,'Operating Assumptions'!$P$8:$AA$8,0)),0))</f>
        <v>0</v>
      </c>
      <c r="AJ18" s="1306">
        <f>IF(AJ$7&gt;'Operating Assumptions'!$AA$7,0,IF(AJ$6&lt;&gt;AI$6,INDEX('Operating Assumptions'!$P$8:$AA$13,MATCH($B18,'Operating Assumptions'!$P$8:$P$13,0),MATCH(AJ$6,'Operating Assumptions'!$P$8:$AA$8,0)),0))</f>
        <v>0</v>
      </c>
      <c r="AK18" s="1306">
        <f>IF(AK$7&gt;'Operating Assumptions'!$AA$7,0,IF(AK$6&lt;&gt;AJ$6,INDEX('Operating Assumptions'!$P$8:$AA$13,MATCH($B18,'Operating Assumptions'!$P$8:$P$13,0),MATCH(AK$6,'Operating Assumptions'!$P$8:$AA$8,0)),0))</f>
        <v>0</v>
      </c>
      <c r="AL18" s="1306">
        <f>IF(AL$7&gt;'Operating Assumptions'!$AA$7,0,IF(AL$6&lt;&gt;AK$6,INDEX('Operating Assumptions'!$P$8:$AA$13,MATCH($B18,'Operating Assumptions'!$P$8:$P$13,0),MATCH(AL$6,'Operating Assumptions'!$P$8:$AA$8,0)),0))</f>
        <v>0</v>
      </c>
      <c r="AM18" s="1306">
        <f>IF(AM$7&gt;'Operating Assumptions'!$AA$7,0,IF(AM$6&lt;&gt;AL$6,INDEX('Operating Assumptions'!$P$8:$AA$13,MATCH($B18,'Operating Assumptions'!$P$8:$P$13,0),MATCH(AM$6,'Operating Assumptions'!$P$8:$AA$8,0)),0))</f>
        <v>0</v>
      </c>
      <c r="AN18" s="1306">
        <f>IF(AN$7&gt;'Operating Assumptions'!$AA$7,0,IF(AN$6&lt;&gt;AM$6,INDEX('Operating Assumptions'!$P$8:$AA$13,MATCH($B18,'Operating Assumptions'!$P$8:$P$13,0),MATCH(AN$6,'Operating Assumptions'!$P$8:$AA$8,0)),0))</f>
        <v>0</v>
      </c>
      <c r="AO18" s="1306">
        <f>IF(AO$7&gt;'Operating Assumptions'!$AA$7,0,IF(AO$6&lt;&gt;AN$6,INDEX('Operating Assumptions'!$P$8:$AA$13,MATCH($B18,'Operating Assumptions'!$P$8:$P$13,0),MATCH(AO$6,'Operating Assumptions'!$P$8:$AA$8,0)),0))</f>
        <v>0</v>
      </c>
      <c r="AP18" s="1306">
        <f>IF(AP$7&gt;'Operating Assumptions'!$AA$7,0,IF(AP$6&lt;&gt;AO$6,INDEX('Operating Assumptions'!$P$8:$AA$13,MATCH($B18,'Operating Assumptions'!$P$8:$P$13,0),MATCH(AP$6,'Operating Assumptions'!$P$8:$AA$8,0)),0))</f>
        <v>0</v>
      </c>
      <c r="AQ18" s="1306">
        <f>IF(AQ$7&gt;'Operating Assumptions'!$AA$7,0,IF(AQ$6&lt;&gt;AP$6,INDEX('Operating Assumptions'!$P$8:$AA$13,MATCH($B18,'Operating Assumptions'!$P$8:$P$13,0),MATCH(AQ$6,'Operating Assumptions'!$P$8:$AA$8,0)),0))</f>
        <v>0</v>
      </c>
      <c r="AR18" s="1306">
        <f>IF(AR$7&gt;'Operating Assumptions'!$AA$7,0,IF(AR$6&lt;&gt;AQ$6,INDEX('Operating Assumptions'!$P$8:$AA$13,MATCH($B18,'Operating Assumptions'!$P$8:$P$13,0),MATCH(AR$6,'Operating Assumptions'!$P$8:$AA$8,0)),0))</f>
        <v>0.02</v>
      </c>
      <c r="AS18" s="1306">
        <f>IF(AS$7&gt;'Operating Assumptions'!$AA$7,0,IF(AS$6&lt;&gt;AR$6,INDEX('Operating Assumptions'!$P$8:$AA$13,MATCH($B18,'Operating Assumptions'!$P$8:$P$13,0),MATCH(AS$6,'Operating Assumptions'!$P$8:$AA$8,0)),0))</f>
        <v>0</v>
      </c>
      <c r="AT18" s="1306">
        <f>IF(AT$7&gt;'Operating Assumptions'!$AA$7,0,IF(AT$6&lt;&gt;AS$6,INDEX('Operating Assumptions'!$P$8:$AA$13,MATCH($B18,'Operating Assumptions'!$P$8:$P$13,0),MATCH(AT$6,'Operating Assumptions'!$P$8:$AA$8,0)),0))</f>
        <v>0</v>
      </c>
      <c r="AU18" s="1306">
        <f>IF(AU$7&gt;'Operating Assumptions'!$AA$7,0,IF(AU$6&lt;&gt;AT$6,INDEX('Operating Assumptions'!$P$8:$AA$13,MATCH($B18,'Operating Assumptions'!$P$8:$P$13,0),MATCH(AU$6,'Operating Assumptions'!$P$8:$AA$8,0)),0))</f>
        <v>0</v>
      </c>
      <c r="AV18" s="1306">
        <f>IF(AV$7&gt;'Operating Assumptions'!$AA$7,0,IF(AV$6&lt;&gt;AU$6,INDEX('Operating Assumptions'!$P$8:$AA$13,MATCH($B18,'Operating Assumptions'!$P$8:$P$13,0),MATCH(AV$6,'Operating Assumptions'!$P$8:$AA$8,0)),0))</f>
        <v>0</v>
      </c>
      <c r="AW18" s="1306">
        <f>IF(AW$7&gt;'Operating Assumptions'!$AA$7,0,IF(AW$6&lt;&gt;AV$6,INDEX('Operating Assumptions'!$P$8:$AA$13,MATCH($B18,'Operating Assumptions'!$P$8:$P$13,0),MATCH(AW$6,'Operating Assumptions'!$P$8:$AA$8,0)),0))</f>
        <v>0</v>
      </c>
      <c r="AX18" s="1306">
        <f>IF(AX$7&gt;'Operating Assumptions'!$AA$7,0,IF(AX$6&lt;&gt;AW$6,INDEX('Operating Assumptions'!$P$8:$AA$13,MATCH($B18,'Operating Assumptions'!$P$8:$P$13,0),MATCH(AX$6,'Operating Assumptions'!$P$8:$AA$8,0)),0))</f>
        <v>0</v>
      </c>
      <c r="AY18" s="1306">
        <f>IF(AY$7&gt;'Operating Assumptions'!$AA$7,0,IF(AY$6&lt;&gt;AX$6,INDEX('Operating Assumptions'!$P$8:$AA$13,MATCH($B18,'Operating Assumptions'!$P$8:$P$13,0),MATCH(AY$6,'Operating Assumptions'!$P$8:$AA$8,0)),0))</f>
        <v>0</v>
      </c>
      <c r="AZ18" s="1306">
        <f>IF(AZ$7&gt;'Operating Assumptions'!$AA$7,0,IF(AZ$6&lt;&gt;AY$6,INDEX('Operating Assumptions'!$P$8:$AA$13,MATCH($B18,'Operating Assumptions'!$P$8:$P$13,0),MATCH(AZ$6,'Operating Assumptions'!$P$8:$AA$8,0)),0))</f>
        <v>0</v>
      </c>
      <c r="BA18" s="1306">
        <f>IF(BA$7&gt;'Operating Assumptions'!$AA$7,0,IF(BA$6&lt;&gt;AZ$6,INDEX('Operating Assumptions'!$P$8:$AA$13,MATCH($B18,'Operating Assumptions'!$P$8:$P$13,0),MATCH(BA$6,'Operating Assumptions'!$P$8:$AA$8,0)),0))</f>
        <v>0</v>
      </c>
      <c r="BB18" s="1306">
        <f>IF(BB$7&gt;'Operating Assumptions'!$AA$7,0,IF(BB$6&lt;&gt;BA$6,INDEX('Operating Assumptions'!$P$8:$AA$13,MATCH($B18,'Operating Assumptions'!$P$8:$P$13,0),MATCH(BB$6,'Operating Assumptions'!$P$8:$AA$8,0)),0))</f>
        <v>0</v>
      </c>
      <c r="BC18" s="1306">
        <f>IF(BC$7&gt;'Operating Assumptions'!$AA$7,0,IF(BC$6&lt;&gt;BB$6,INDEX('Operating Assumptions'!$P$8:$AA$13,MATCH($B18,'Operating Assumptions'!$P$8:$P$13,0),MATCH(BC$6,'Operating Assumptions'!$P$8:$AA$8,0)),0))</f>
        <v>0</v>
      </c>
      <c r="BD18" s="1306">
        <f>IF(BD$7&gt;'Operating Assumptions'!$AA$7,0,IF(BD$6&lt;&gt;BC$6,INDEX('Operating Assumptions'!$P$8:$AA$13,MATCH($B18,'Operating Assumptions'!$P$8:$P$13,0),MATCH(BD$6,'Operating Assumptions'!$P$8:$AA$8,0)),0))</f>
        <v>0.02</v>
      </c>
      <c r="BE18" s="1306">
        <f>IF(BE$7&gt;'Operating Assumptions'!$AA$7,0,IF(BE$6&lt;&gt;BD$6,INDEX('Operating Assumptions'!$P$8:$AA$13,MATCH($B18,'Operating Assumptions'!$P$8:$P$13,0),MATCH(BE$6,'Operating Assumptions'!$P$8:$AA$8,0)),0))</f>
        <v>0</v>
      </c>
      <c r="BF18" s="1306">
        <f>IF(BF$7&gt;'Operating Assumptions'!$AA$7,0,IF(BF$6&lt;&gt;BE$6,INDEX('Operating Assumptions'!$P$8:$AA$13,MATCH($B18,'Operating Assumptions'!$P$8:$P$13,0),MATCH(BF$6,'Operating Assumptions'!$P$8:$AA$8,0)),0))</f>
        <v>0</v>
      </c>
      <c r="BG18" s="1306">
        <f>IF(BG$7&gt;'Operating Assumptions'!$AA$7,0,IF(BG$6&lt;&gt;BF$6,INDEX('Operating Assumptions'!$P$8:$AA$13,MATCH($B18,'Operating Assumptions'!$P$8:$P$13,0),MATCH(BG$6,'Operating Assumptions'!$P$8:$AA$8,0)),0))</f>
        <v>0</v>
      </c>
      <c r="BH18" s="1306">
        <f>IF(BH$7&gt;'Operating Assumptions'!$AA$7,0,IF(BH$6&lt;&gt;BG$6,INDEX('Operating Assumptions'!$P$8:$AA$13,MATCH($B18,'Operating Assumptions'!$P$8:$P$13,0),MATCH(BH$6,'Operating Assumptions'!$P$8:$AA$8,0)),0))</f>
        <v>0</v>
      </c>
      <c r="BI18" s="1306">
        <f>IF(BI$7&gt;'Operating Assumptions'!$AA$7,0,IF(BI$6&lt;&gt;BH$6,INDEX('Operating Assumptions'!$P$8:$AA$13,MATCH($B18,'Operating Assumptions'!$P$8:$P$13,0),MATCH(BI$6,'Operating Assumptions'!$P$8:$AA$8,0)),0))</f>
        <v>0</v>
      </c>
      <c r="BJ18" s="1306">
        <f>IF(BJ$7&gt;'Operating Assumptions'!$AA$7,0,IF(BJ$6&lt;&gt;BI$6,INDEX('Operating Assumptions'!$P$8:$AA$13,MATCH($B18,'Operating Assumptions'!$P$8:$P$13,0),MATCH(BJ$6,'Operating Assumptions'!$P$8:$AA$8,0)),0))</f>
        <v>0</v>
      </c>
      <c r="BK18" s="1306">
        <f>IF(BK$7&gt;'Operating Assumptions'!$AA$7,0,IF(BK$6&lt;&gt;BJ$6,INDEX('Operating Assumptions'!$P$8:$AA$13,MATCH($B18,'Operating Assumptions'!$P$8:$P$13,0),MATCH(BK$6,'Operating Assumptions'!$P$8:$AA$8,0)),0))</f>
        <v>0</v>
      </c>
      <c r="BL18" s="1306">
        <f>IF(BL$7&gt;'Operating Assumptions'!$AA$7,0,IF(BL$6&lt;&gt;BK$6,INDEX('Operating Assumptions'!$P$8:$AA$13,MATCH($B18,'Operating Assumptions'!$P$8:$P$13,0),MATCH(BL$6,'Operating Assumptions'!$P$8:$AA$8,0)),0))</f>
        <v>0</v>
      </c>
      <c r="BM18" s="1306">
        <f>IF(BM$7&gt;'Operating Assumptions'!$AA$7,0,IF(BM$6&lt;&gt;BL$6,INDEX('Operating Assumptions'!$P$8:$AA$13,MATCH($B18,'Operating Assumptions'!$P$8:$P$13,0),MATCH(BM$6,'Operating Assumptions'!$P$8:$AA$8,0)),0))</f>
        <v>0</v>
      </c>
      <c r="BN18" s="1306">
        <f>IF(BN$7&gt;'Operating Assumptions'!$AA$7,0,IF(BN$6&lt;&gt;BM$6,INDEX('Operating Assumptions'!$P$8:$AA$13,MATCH($B18,'Operating Assumptions'!$P$8:$P$13,0),MATCH(BN$6,'Operating Assumptions'!$P$8:$AA$8,0)),0))</f>
        <v>0</v>
      </c>
      <c r="BO18" s="1306">
        <f>IF(BO$7&gt;'Operating Assumptions'!$AA$7,0,IF(BO$6&lt;&gt;BN$6,INDEX('Operating Assumptions'!$P$8:$AA$13,MATCH($B18,'Operating Assumptions'!$P$8:$P$13,0),MATCH(BO$6,'Operating Assumptions'!$P$8:$AA$8,0)),0))</f>
        <v>0</v>
      </c>
      <c r="BP18" s="1306">
        <f>IF(BP$7&gt;'Operating Assumptions'!$AA$7,0,IF(BP$6&lt;&gt;BO$6,INDEX('Operating Assumptions'!$P$8:$AA$13,MATCH($B18,'Operating Assumptions'!$P$8:$P$13,0),MATCH(BP$6,'Operating Assumptions'!$P$8:$AA$8,0)),0))</f>
        <v>0.02</v>
      </c>
      <c r="BQ18" s="1306">
        <f>IF(BQ$7&gt;'Operating Assumptions'!$AA$7,0,IF(BQ$6&lt;&gt;BP$6,INDEX('Operating Assumptions'!$P$8:$AA$13,MATCH($B18,'Operating Assumptions'!$P$8:$P$13,0),MATCH(BQ$6,'Operating Assumptions'!$P$8:$AA$8,0)),0))</f>
        <v>0</v>
      </c>
      <c r="BR18" s="1306">
        <f>IF(BR$7&gt;'Operating Assumptions'!$AA$7,0,IF(BR$6&lt;&gt;BQ$6,INDEX('Operating Assumptions'!$P$8:$AA$13,MATCH($B18,'Operating Assumptions'!$P$8:$P$13,0),MATCH(BR$6,'Operating Assumptions'!$P$8:$AA$8,0)),0))</f>
        <v>0</v>
      </c>
      <c r="BS18" s="1306">
        <f>IF(BS$7&gt;'Operating Assumptions'!$AA$7,0,IF(BS$6&lt;&gt;BR$6,INDEX('Operating Assumptions'!$P$8:$AA$13,MATCH($B18,'Operating Assumptions'!$P$8:$P$13,0),MATCH(BS$6,'Operating Assumptions'!$P$8:$AA$8,0)),0))</f>
        <v>0</v>
      </c>
      <c r="BT18" s="1306">
        <f>IF(BT$7&gt;'Operating Assumptions'!$AA$7,0,IF(BT$6&lt;&gt;BS$6,INDEX('Operating Assumptions'!$P$8:$AA$13,MATCH($B18,'Operating Assumptions'!$P$8:$P$13,0),MATCH(BT$6,'Operating Assumptions'!$P$8:$AA$8,0)),0))</f>
        <v>0</v>
      </c>
      <c r="BU18" s="1306">
        <f>IF(BU$7&gt;'Operating Assumptions'!$AA$7,0,IF(BU$6&lt;&gt;BT$6,INDEX('Operating Assumptions'!$P$8:$AA$13,MATCH($B18,'Operating Assumptions'!$P$8:$P$13,0),MATCH(BU$6,'Operating Assumptions'!$P$8:$AA$8,0)),0))</f>
        <v>0</v>
      </c>
      <c r="BV18" s="1306">
        <f>IF(BV$7&gt;'Operating Assumptions'!$AA$7,0,IF(BV$6&lt;&gt;BU$6,INDEX('Operating Assumptions'!$P$8:$AA$13,MATCH($B18,'Operating Assumptions'!$P$8:$P$13,0),MATCH(BV$6,'Operating Assumptions'!$P$8:$AA$8,0)),0))</f>
        <v>0</v>
      </c>
      <c r="BW18" s="1306">
        <f>IF(BW$7&gt;'Operating Assumptions'!$AA$7,0,IF(BW$6&lt;&gt;BV$6,INDEX('Operating Assumptions'!$P$8:$AA$13,MATCH($B18,'Operating Assumptions'!$P$8:$P$13,0),MATCH(BW$6,'Operating Assumptions'!$P$8:$AA$8,0)),0))</f>
        <v>0</v>
      </c>
      <c r="BX18" s="1306">
        <f>IF(BX$7&gt;'Operating Assumptions'!$AA$7,0,IF(BX$6&lt;&gt;BW$6,INDEX('Operating Assumptions'!$P$8:$AA$13,MATCH($B18,'Operating Assumptions'!$P$8:$P$13,0),MATCH(BX$6,'Operating Assumptions'!$P$8:$AA$8,0)),0))</f>
        <v>0</v>
      </c>
      <c r="BY18" s="1306">
        <f>IF(BY$7&gt;'Operating Assumptions'!$AA$7,0,IF(BY$6&lt;&gt;BX$6,INDEX('Operating Assumptions'!$P$8:$AA$13,MATCH($B18,'Operating Assumptions'!$P$8:$P$13,0),MATCH(BY$6,'Operating Assumptions'!$P$8:$AA$8,0)),0))</f>
        <v>0</v>
      </c>
      <c r="BZ18" s="1306">
        <f>IF(BZ$7&gt;'Operating Assumptions'!$AA$7,0,IF(BZ$6&lt;&gt;BY$6,INDEX('Operating Assumptions'!$P$8:$AA$13,MATCH($B18,'Operating Assumptions'!$P$8:$P$13,0),MATCH(BZ$6,'Operating Assumptions'!$P$8:$AA$8,0)),0))</f>
        <v>0</v>
      </c>
      <c r="CA18" s="1306">
        <f>IF(CA$7&gt;'Operating Assumptions'!$AA$7,0,IF(CA$6&lt;&gt;BZ$6,INDEX('Operating Assumptions'!$P$8:$AA$13,MATCH($B18,'Operating Assumptions'!$P$8:$P$13,0),MATCH(CA$6,'Operating Assumptions'!$P$8:$AA$8,0)),0))</f>
        <v>0</v>
      </c>
      <c r="CB18" s="1306">
        <f>IF(CB$7&gt;'Operating Assumptions'!$AA$7,0,IF(CB$6&lt;&gt;CA$6,INDEX('Operating Assumptions'!$P$8:$AA$13,MATCH($B18,'Operating Assumptions'!$P$8:$P$13,0),MATCH(CB$6,'Operating Assumptions'!$P$8:$AA$8,0)),0))</f>
        <v>0.02</v>
      </c>
      <c r="CC18" s="1306">
        <f>IF(CC$7&gt;'Operating Assumptions'!$AA$7,0,IF(CC$6&lt;&gt;CB$6,INDEX('Operating Assumptions'!$P$8:$AA$13,MATCH($B18,'Operating Assumptions'!$P$8:$P$13,0),MATCH(CC$6,'Operating Assumptions'!$P$8:$AA$8,0)),0))</f>
        <v>0</v>
      </c>
      <c r="CD18" s="1306">
        <f>IF(CD$7&gt;'Operating Assumptions'!$AA$7,0,IF(CD$6&lt;&gt;CC$6,INDEX('Operating Assumptions'!$P$8:$AA$13,MATCH($B18,'Operating Assumptions'!$P$8:$P$13,0),MATCH(CD$6,'Operating Assumptions'!$P$8:$AA$8,0)),0))</f>
        <v>0</v>
      </c>
      <c r="CE18" s="1306">
        <f>IF(CE$7&gt;'Operating Assumptions'!$AA$7,0,IF(CE$6&lt;&gt;CD$6,INDEX('Operating Assumptions'!$P$8:$AA$13,MATCH($B18,'Operating Assumptions'!$P$8:$P$13,0),MATCH(CE$6,'Operating Assumptions'!$P$8:$AA$8,0)),0))</f>
        <v>0</v>
      </c>
      <c r="CF18" s="1306">
        <f>IF(CF$7&gt;'Operating Assumptions'!$AA$7,0,IF(CF$6&lt;&gt;CE$6,INDEX('Operating Assumptions'!$P$8:$AA$13,MATCH($B18,'Operating Assumptions'!$P$8:$P$13,0),MATCH(CF$6,'Operating Assumptions'!$P$8:$AA$8,0)),0))</f>
        <v>0</v>
      </c>
      <c r="CG18" s="1306">
        <f>IF(CG$7&gt;'Operating Assumptions'!$AA$7,0,IF(CG$6&lt;&gt;CF$6,INDEX('Operating Assumptions'!$P$8:$AA$13,MATCH($B18,'Operating Assumptions'!$P$8:$P$13,0),MATCH(CG$6,'Operating Assumptions'!$P$8:$AA$8,0)),0))</f>
        <v>0</v>
      </c>
      <c r="CH18" s="1306">
        <f>IF(CH$7&gt;'Operating Assumptions'!$AA$7,0,IF(CH$6&lt;&gt;CG$6,INDEX('Operating Assumptions'!$P$8:$AA$13,MATCH($B18,'Operating Assumptions'!$P$8:$P$13,0),MATCH(CH$6,'Operating Assumptions'!$P$8:$AA$8,0)),0))</f>
        <v>0</v>
      </c>
      <c r="CI18" s="1306">
        <f>IF(CI$7&gt;'Operating Assumptions'!$AA$7,0,IF(CI$6&lt;&gt;CH$6,INDEX('Operating Assumptions'!$P$8:$AA$13,MATCH($B18,'Operating Assumptions'!$P$8:$P$13,0),MATCH(CI$6,'Operating Assumptions'!$P$8:$AA$8,0)),0))</f>
        <v>0</v>
      </c>
      <c r="CJ18" s="1306">
        <f>IF(CJ$7&gt;'Operating Assumptions'!$AA$7,0,IF(CJ$6&lt;&gt;CI$6,INDEX('Operating Assumptions'!$P$8:$AA$13,MATCH($B18,'Operating Assumptions'!$P$8:$P$13,0),MATCH(CJ$6,'Operating Assumptions'!$P$8:$AA$8,0)),0))</f>
        <v>0</v>
      </c>
      <c r="CK18" s="1306">
        <f>IF(CK$7&gt;'Operating Assumptions'!$AA$7,0,IF(CK$6&lt;&gt;CJ$6,INDEX('Operating Assumptions'!$P$8:$AA$13,MATCH($B18,'Operating Assumptions'!$P$8:$P$13,0),MATCH(CK$6,'Operating Assumptions'!$P$8:$AA$8,0)),0))</f>
        <v>0</v>
      </c>
      <c r="CL18" s="1306">
        <f>IF(CL$7&gt;'Operating Assumptions'!$AA$7,0,IF(CL$6&lt;&gt;CK$6,INDEX('Operating Assumptions'!$P$8:$AA$13,MATCH($B18,'Operating Assumptions'!$P$8:$P$13,0),MATCH(CL$6,'Operating Assumptions'!$P$8:$AA$8,0)),0))</f>
        <v>0</v>
      </c>
      <c r="CM18" s="1306">
        <f>IF(CM$7&gt;'Operating Assumptions'!$AA$7,0,IF(CM$6&lt;&gt;CL$6,INDEX('Operating Assumptions'!$P$8:$AA$13,MATCH($B18,'Operating Assumptions'!$P$8:$P$13,0),MATCH(CM$6,'Operating Assumptions'!$P$8:$AA$8,0)),0))</f>
        <v>0</v>
      </c>
      <c r="CN18" s="1306">
        <f>IF(CN$7&gt;'Operating Assumptions'!$AA$7,0,IF(CN$6&lt;&gt;CM$6,INDEX('Operating Assumptions'!$P$8:$AA$13,MATCH($B18,'Operating Assumptions'!$P$8:$P$13,0),MATCH(CN$6,'Operating Assumptions'!$P$8:$AA$8,0)),0))</f>
        <v>0.02</v>
      </c>
      <c r="CO18" s="1306">
        <f>IF(CO$7&gt;'Operating Assumptions'!$AA$7,0,IF(CO$6&lt;&gt;CN$6,INDEX('Operating Assumptions'!$P$8:$AA$13,MATCH($B18,'Operating Assumptions'!$P$8:$P$13,0),MATCH(CO$6,'Operating Assumptions'!$P$8:$AA$8,0)),0))</f>
        <v>0</v>
      </c>
      <c r="CP18" s="1306">
        <f>IF(CP$7&gt;'Operating Assumptions'!$AA$7,0,IF(CP$6&lt;&gt;CO$6,INDEX('Operating Assumptions'!$P$8:$AA$13,MATCH($B18,'Operating Assumptions'!$P$8:$P$13,0),MATCH(CP$6,'Operating Assumptions'!$P$8:$AA$8,0)),0))</f>
        <v>0</v>
      </c>
      <c r="CQ18" s="1306">
        <f>IF(CQ$7&gt;'Operating Assumptions'!$AA$7,0,IF(CQ$6&lt;&gt;CP$6,INDEX('Operating Assumptions'!$P$8:$AA$13,MATCH($B18,'Operating Assumptions'!$P$8:$P$13,0),MATCH(CQ$6,'Operating Assumptions'!$P$8:$AA$8,0)),0))</f>
        <v>0</v>
      </c>
      <c r="CR18" s="1306">
        <f>IF(CR$7&gt;'Operating Assumptions'!$AA$7,0,IF(CR$6&lt;&gt;CQ$6,INDEX('Operating Assumptions'!$P$8:$AA$13,MATCH($B18,'Operating Assumptions'!$P$8:$P$13,0),MATCH(CR$6,'Operating Assumptions'!$P$8:$AA$8,0)),0))</f>
        <v>0</v>
      </c>
      <c r="CS18" s="1306">
        <f>IF(CS$7&gt;'Operating Assumptions'!$AA$7,0,IF(CS$6&lt;&gt;CR$6,INDEX('Operating Assumptions'!$P$8:$AA$13,MATCH($B18,'Operating Assumptions'!$P$8:$P$13,0),MATCH(CS$6,'Operating Assumptions'!$P$8:$AA$8,0)),0))</f>
        <v>0</v>
      </c>
      <c r="CT18" s="1306">
        <f>IF(CT$7&gt;'Operating Assumptions'!$AA$7,0,IF(CT$6&lt;&gt;CS$6,INDEX('Operating Assumptions'!$P$8:$AA$13,MATCH($B18,'Operating Assumptions'!$P$8:$P$13,0),MATCH(CT$6,'Operating Assumptions'!$P$8:$AA$8,0)),0))</f>
        <v>0</v>
      </c>
      <c r="CU18" s="1306">
        <f>IF(CU$7&gt;'Operating Assumptions'!$AA$7,0,IF(CU$6&lt;&gt;CT$6,INDEX('Operating Assumptions'!$P$8:$AA$13,MATCH($B18,'Operating Assumptions'!$P$8:$P$13,0),MATCH(CU$6,'Operating Assumptions'!$P$8:$AA$8,0)),0))</f>
        <v>0</v>
      </c>
      <c r="CV18" s="1306">
        <f>IF(CV$7&gt;'Operating Assumptions'!$AA$7,0,IF(CV$6&lt;&gt;CU$6,INDEX('Operating Assumptions'!$P$8:$AA$13,MATCH($B18,'Operating Assumptions'!$P$8:$P$13,0),MATCH(CV$6,'Operating Assumptions'!$P$8:$AA$8,0)),0))</f>
        <v>0</v>
      </c>
      <c r="CW18" s="1306">
        <f>IF(CW$7&gt;'Operating Assumptions'!$AA$7,0,IF(CW$6&lt;&gt;CV$6,INDEX('Operating Assumptions'!$P$8:$AA$13,MATCH($B18,'Operating Assumptions'!$P$8:$P$13,0),MATCH(CW$6,'Operating Assumptions'!$P$8:$AA$8,0)),0))</f>
        <v>0</v>
      </c>
      <c r="CX18" s="1306">
        <f>IF(CX$7&gt;'Operating Assumptions'!$AA$7,0,IF(CX$6&lt;&gt;CW$6,INDEX('Operating Assumptions'!$P$8:$AA$13,MATCH($B18,'Operating Assumptions'!$P$8:$P$13,0),MATCH(CX$6,'Operating Assumptions'!$P$8:$AA$8,0)),0))</f>
        <v>0</v>
      </c>
      <c r="CY18" s="1306">
        <f>IF(CY$7&gt;'Operating Assumptions'!$AA$7,0,IF(CY$6&lt;&gt;CX$6,INDEX('Operating Assumptions'!$P$8:$AA$13,MATCH($B18,'Operating Assumptions'!$P$8:$P$13,0),MATCH(CY$6,'Operating Assumptions'!$P$8:$AA$8,0)),0))</f>
        <v>0</v>
      </c>
      <c r="CZ18" s="1306">
        <f>IF(CZ$7&gt;'Operating Assumptions'!$AA$7,0,IF(CZ$6&lt;&gt;CY$6,INDEX('Operating Assumptions'!$P$8:$AA$13,MATCH($B18,'Operating Assumptions'!$P$8:$P$13,0),MATCH(CZ$6,'Operating Assumptions'!$P$8:$AA$8,0)),0))</f>
        <v>0.02</v>
      </c>
      <c r="DA18" s="1306">
        <f>IF(DA$7&gt;'Operating Assumptions'!$AA$7,0,IF(DA$6&lt;&gt;CZ$6,INDEX('Operating Assumptions'!$P$8:$AA$13,MATCH($B18,'Operating Assumptions'!$P$8:$P$13,0),MATCH(DA$6,'Operating Assumptions'!$P$8:$AA$8,0)),0))</f>
        <v>0</v>
      </c>
      <c r="DB18" s="1306">
        <f>IF(DB$7&gt;'Operating Assumptions'!$AA$7,0,IF(DB$6&lt;&gt;DA$6,INDEX('Operating Assumptions'!$P$8:$AA$13,MATCH($B18,'Operating Assumptions'!$P$8:$P$13,0),MATCH(DB$6,'Operating Assumptions'!$P$8:$AA$8,0)),0))</f>
        <v>0</v>
      </c>
      <c r="DC18" s="1306">
        <f>IF(DC$7&gt;'Operating Assumptions'!$AA$7,0,IF(DC$6&lt;&gt;DB$6,INDEX('Operating Assumptions'!$P$8:$AA$13,MATCH($B18,'Operating Assumptions'!$P$8:$P$13,0),MATCH(DC$6,'Operating Assumptions'!$P$8:$AA$8,0)),0))</f>
        <v>0</v>
      </c>
      <c r="DD18" s="1306">
        <f>IF(DD$7&gt;'Operating Assumptions'!$AA$7,0,IF(DD$6&lt;&gt;DC$6,INDEX('Operating Assumptions'!$P$8:$AA$13,MATCH($B18,'Operating Assumptions'!$P$8:$P$13,0),MATCH(DD$6,'Operating Assumptions'!$P$8:$AA$8,0)),0))</f>
        <v>0</v>
      </c>
      <c r="DE18" s="1306">
        <f>IF(DE$7&gt;'Operating Assumptions'!$AA$7,0,IF(DE$6&lt;&gt;DD$6,INDEX('Operating Assumptions'!$P$8:$AA$13,MATCH($B18,'Operating Assumptions'!$P$8:$P$13,0),MATCH(DE$6,'Operating Assumptions'!$P$8:$AA$8,0)),0))</f>
        <v>0</v>
      </c>
      <c r="DF18" s="1306">
        <f>IF(DF$7&gt;'Operating Assumptions'!$AA$7,0,IF(DF$6&lt;&gt;DE$6,INDEX('Operating Assumptions'!$P$8:$AA$13,MATCH($B18,'Operating Assumptions'!$P$8:$P$13,0),MATCH(DF$6,'Operating Assumptions'!$P$8:$AA$8,0)),0))</f>
        <v>0</v>
      </c>
      <c r="DG18" s="1306">
        <f>IF(DG$7&gt;'Operating Assumptions'!$AA$7,0,IF(DG$6&lt;&gt;DF$6,INDEX('Operating Assumptions'!$P$8:$AA$13,MATCH($B18,'Operating Assumptions'!$P$8:$P$13,0),MATCH(DG$6,'Operating Assumptions'!$P$8:$AA$8,0)),0))</f>
        <v>0</v>
      </c>
      <c r="DH18" s="1306">
        <f>IF(DH$7&gt;'Operating Assumptions'!$AA$7,0,IF(DH$6&lt;&gt;DG$6,INDEX('Operating Assumptions'!$P$8:$AA$13,MATCH($B18,'Operating Assumptions'!$P$8:$P$13,0),MATCH(DH$6,'Operating Assumptions'!$P$8:$AA$8,0)),0))</f>
        <v>0</v>
      </c>
      <c r="DI18" s="1306">
        <f>IF(DI$7&gt;'Operating Assumptions'!$AA$7,0,IF(DI$6&lt;&gt;DH$6,INDEX('Operating Assumptions'!$P$8:$AA$13,MATCH($B18,'Operating Assumptions'!$P$8:$P$13,0),MATCH(DI$6,'Operating Assumptions'!$P$8:$AA$8,0)),0))</f>
        <v>0</v>
      </c>
      <c r="DJ18" s="1306">
        <f>IF(DJ$7&gt;'Operating Assumptions'!$AA$7,0,IF(DJ$6&lt;&gt;DI$6,INDEX('Operating Assumptions'!$P$8:$AA$13,MATCH($B18,'Operating Assumptions'!$P$8:$P$13,0),MATCH(DJ$6,'Operating Assumptions'!$P$8:$AA$8,0)),0))</f>
        <v>0</v>
      </c>
      <c r="DK18" s="1306">
        <f>IF(DK$7&gt;'Operating Assumptions'!$AA$7,0,IF(DK$6&lt;&gt;DJ$6,INDEX('Operating Assumptions'!$P$8:$AA$13,MATCH($B18,'Operating Assumptions'!$P$8:$P$13,0),MATCH(DK$6,'Operating Assumptions'!$P$8:$AA$8,0)),0))</f>
        <v>0</v>
      </c>
      <c r="DL18" s="1306">
        <f>IF(DL$7&gt;'Operating Assumptions'!$AA$7,0,IF(DL$6&lt;&gt;DK$6,INDEX('Operating Assumptions'!$P$8:$AA$13,MATCH($B18,'Operating Assumptions'!$P$8:$P$13,0),MATCH(DL$6,'Operating Assumptions'!$P$8:$AA$8,0)),0))</f>
        <v>0.02</v>
      </c>
      <c r="DM18" s="1306">
        <f>IF(DM$7&gt;'Operating Assumptions'!$AA$7,0,IF(DM$6&lt;&gt;DL$6,INDEX('Operating Assumptions'!$P$8:$AA$13,MATCH($B18,'Operating Assumptions'!$P$8:$P$13,0),MATCH(DM$6,'Operating Assumptions'!$P$8:$AA$8,0)),0))</f>
        <v>0</v>
      </c>
      <c r="DN18" s="1306">
        <f>IF(DN$7&gt;'Operating Assumptions'!$AA$7,0,IF(DN$6&lt;&gt;DM$6,INDEX('Operating Assumptions'!$P$8:$AA$13,MATCH($B18,'Operating Assumptions'!$P$8:$P$13,0),MATCH(DN$6,'Operating Assumptions'!$P$8:$AA$8,0)),0))</f>
        <v>0</v>
      </c>
      <c r="DO18" s="1306">
        <f>IF(DO$7&gt;'Operating Assumptions'!$AA$7,0,IF(DO$6&lt;&gt;DN$6,INDEX('Operating Assumptions'!$P$8:$AA$13,MATCH($B18,'Operating Assumptions'!$P$8:$P$13,0),MATCH(DO$6,'Operating Assumptions'!$P$8:$AA$8,0)),0))</f>
        <v>0</v>
      </c>
      <c r="DP18" s="1306">
        <f>IF(DP$7&gt;'Operating Assumptions'!$AA$7,0,IF(DP$6&lt;&gt;DO$6,INDEX('Operating Assumptions'!$P$8:$AA$13,MATCH($B18,'Operating Assumptions'!$P$8:$P$13,0),MATCH(DP$6,'Operating Assumptions'!$P$8:$AA$8,0)),0))</f>
        <v>0</v>
      </c>
      <c r="DQ18" s="1306">
        <f>IF(DQ$7&gt;'Operating Assumptions'!$AA$7,0,IF(DQ$6&lt;&gt;DP$6,INDEX('Operating Assumptions'!$P$8:$AA$13,MATCH($B18,'Operating Assumptions'!$P$8:$P$13,0),MATCH(DQ$6,'Operating Assumptions'!$P$8:$AA$8,0)),0))</f>
        <v>0</v>
      </c>
      <c r="DR18" s="1306">
        <f>IF(DR$7&gt;'Operating Assumptions'!$AA$7,0,IF(DR$6&lt;&gt;DQ$6,INDEX('Operating Assumptions'!$P$8:$AA$13,MATCH($B18,'Operating Assumptions'!$P$8:$P$13,0),MATCH(DR$6,'Operating Assumptions'!$P$8:$AA$8,0)),0))</f>
        <v>0</v>
      </c>
      <c r="DS18" s="1306">
        <f>IF(DS$7&gt;'Operating Assumptions'!$AA$7,0,IF(DS$6&lt;&gt;DR$6,INDEX('Operating Assumptions'!$P$8:$AA$13,MATCH($B18,'Operating Assumptions'!$P$8:$P$13,0),MATCH(DS$6,'Operating Assumptions'!$P$8:$AA$8,0)),0))</f>
        <v>0</v>
      </c>
      <c r="DT18" s="1306">
        <f>IF(DT$7&gt;'Operating Assumptions'!$AA$7,0,IF(DT$6&lt;&gt;DS$6,INDEX('Operating Assumptions'!$P$8:$AA$13,MATCH($B18,'Operating Assumptions'!$P$8:$P$13,0),MATCH(DT$6,'Operating Assumptions'!$P$8:$AA$8,0)),0))</f>
        <v>0</v>
      </c>
      <c r="DU18" s="1306">
        <f>IF(DU$7&gt;'Operating Assumptions'!$AA$7,0,IF(DU$6&lt;&gt;DT$6,INDEX('Operating Assumptions'!$P$8:$AA$13,MATCH($B18,'Operating Assumptions'!$P$8:$P$13,0),MATCH(DU$6,'Operating Assumptions'!$P$8:$AA$8,0)),0))</f>
        <v>0</v>
      </c>
      <c r="DV18" s="1306">
        <f>IF(DV$7&gt;'Operating Assumptions'!$AA$7,0,IF(DV$6&lt;&gt;DU$6,INDEX('Operating Assumptions'!$P$8:$AA$13,MATCH($B18,'Operating Assumptions'!$P$8:$P$13,0),MATCH(DV$6,'Operating Assumptions'!$P$8:$AA$8,0)),0))</f>
        <v>0</v>
      </c>
      <c r="DW18" s="1306">
        <f>IF(DW$7&gt;'Operating Assumptions'!$AA$7,0,IF(DW$6&lt;&gt;DV$6,INDEX('Operating Assumptions'!$P$8:$AA$13,MATCH($B18,'Operating Assumptions'!$P$8:$P$13,0),MATCH(DW$6,'Operating Assumptions'!$P$8:$AA$8,0)),0))</f>
        <v>0</v>
      </c>
      <c r="DX18" s="1306">
        <f>IF(DX$7&gt;'Operating Assumptions'!$AA$7,0,IF(DX$6&lt;&gt;DW$6,INDEX('Operating Assumptions'!$P$8:$AA$13,MATCH($B18,'Operating Assumptions'!$P$8:$P$13,0),MATCH(DX$6,'Operating Assumptions'!$P$8:$AA$8,0)),0))</f>
        <v>0.02</v>
      </c>
      <c r="DY18" s="1306">
        <f>IF(DY$7&gt;'Operating Assumptions'!$AA$7,0,IF(DY$6&lt;&gt;DX$6,INDEX('Operating Assumptions'!$P$8:$AA$13,MATCH($B18,'Operating Assumptions'!$P$8:$P$13,0),MATCH(DY$6,'Operating Assumptions'!$P$8:$AA$8,0)),0))</f>
        <v>0</v>
      </c>
      <c r="DZ18" s="1306">
        <f>IF(DZ$7&gt;'Operating Assumptions'!$AA$7,0,IF(DZ$6&lt;&gt;DY$6,INDEX('Operating Assumptions'!$P$8:$AA$13,MATCH($B18,'Operating Assumptions'!$P$8:$P$13,0),MATCH(DZ$6,'Operating Assumptions'!$P$8:$AA$8,0)),0))</f>
        <v>0</v>
      </c>
      <c r="EA18" s="1306">
        <f>IF(EA$7&gt;'Operating Assumptions'!$AA$7,0,IF(EA$6&lt;&gt;DZ$6,INDEX('Operating Assumptions'!$P$8:$AA$13,MATCH($B18,'Operating Assumptions'!$P$8:$P$13,0),MATCH(EA$6,'Operating Assumptions'!$P$8:$AA$8,0)),0))</f>
        <v>0</v>
      </c>
      <c r="EB18" s="1306">
        <f>IF(EB$7&gt;'Operating Assumptions'!$AA$7,0,IF(EB$6&lt;&gt;EA$6,INDEX('Operating Assumptions'!$P$8:$AA$13,MATCH($B18,'Operating Assumptions'!$P$8:$P$13,0),MATCH(EB$6,'Operating Assumptions'!$P$8:$AA$8,0)),0))</f>
        <v>0</v>
      </c>
      <c r="EC18" s="1306">
        <f>IF(EC$7&gt;'Operating Assumptions'!$AA$7,0,IF(EC$6&lt;&gt;EB$6,INDEX('Operating Assumptions'!$P$8:$AA$13,MATCH($B18,'Operating Assumptions'!$P$8:$P$13,0),MATCH(EC$6,'Operating Assumptions'!$P$8:$AA$8,0)),0))</f>
        <v>0</v>
      </c>
      <c r="ED18" s="1306">
        <f>IF(ED$7&gt;'Operating Assumptions'!$AA$7,0,IF(ED$6&lt;&gt;EC$6,INDEX('Operating Assumptions'!$P$8:$AA$13,MATCH($B18,'Operating Assumptions'!$P$8:$P$13,0),MATCH(ED$6,'Operating Assumptions'!$P$8:$AA$8,0)),0))</f>
        <v>0</v>
      </c>
      <c r="EE18" s="1306">
        <f>IF(EE$7&gt;'Operating Assumptions'!$AA$7,0,IF(EE$6&lt;&gt;ED$6,INDEX('Operating Assumptions'!$P$8:$AA$13,MATCH($B18,'Operating Assumptions'!$P$8:$P$13,0),MATCH(EE$6,'Operating Assumptions'!$P$8:$AA$8,0)),0))</f>
        <v>0</v>
      </c>
      <c r="EF18" s="1306">
        <f>IF(EF$7&gt;'Operating Assumptions'!$AA$7,0,IF(EF$6&lt;&gt;EE$6,INDEX('Operating Assumptions'!$P$8:$AA$13,MATCH($B18,'Operating Assumptions'!$P$8:$P$13,0),MATCH(EF$6,'Operating Assumptions'!$P$8:$AA$8,0)),0))</f>
        <v>0</v>
      </c>
      <c r="EG18" s="1306">
        <f>IF(EG$7&gt;'Operating Assumptions'!$AA$7,0,IF(EG$6&lt;&gt;EF$6,INDEX('Operating Assumptions'!$P$8:$AA$13,MATCH($B18,'Operating Assumptions'!$P$8:$P$13,0),MATCH(EG$6,'Operating Assumptions'!$P$8:$AA$8,0)),0))</f>
        <v>0</v>
      </c>
      <c r="EH18" s="1306">
        <f>IF(EH$7&gt;'Operating Assumptions'!$AA$7,0,IF(EH$6&lt;&gt;EG$6,INDEX('Operating Assumptions'!$P$8:$AA$13,MATCH($B18,'Operating Assumptions'!$P$8:$P$13,0),MATCH(EH$6,'Operating Assumptions'!$P$8:$AA$8,0)),0))</f>
        <v>0</v>
      </c>
      <c r="EI18" s="1306">
        <f>IF(EI$7&gt;'Operating Assumptions'!$AA$7,0,IF(EI$6&lt;&gt;EH$6,INDEX('Operating Assumptions'!$P$8:$AA$13,MATCH($B18,'Operating Assumptions'!$P$8:$P$13,0),MATCH(EI$6,'Operating Assumptions'!$P$8:$AA$8,0)),0))</f>
        <v>0</v>
      </c>
      <c r="EJ18" s="1306">
        <f>IF(EJ$7&gt;'Operating Assumptions'!$AA$7,0,IF(EJ$6&lt;&gt;EI$6,INDEX('Operating Assumptions'!$P$8:$AA$13,MATCH($B18,'Operating Assumptions'!$P$8:$P$13,0),MATCH(EJ$6,'Operating Assumptions'!$P$8:$AA$8,0)),0))</f>
        <v>0.02</v>
      </c>
      <c r="EK18" s="1306">
        <f>IF(EK$7&gt;'Operating Assumptions'!$AA$7,0,IF(EK$6&lt;&gt;EJ$6,INDEX('Operating Assumptions'!$P$8:$AA$13,MATCH($B18,'Operating Assumptions'!$P$8:$P$13,0),MATCH(EK$6,'Operating Assumptions'!$P$8:$AA$8,0)),0))</f>
        <v>0</v>
      </c>
      <c r="EL18" s="1306">
        <f>IF(EL$7&gt;'Operating Assumptions'!$AA$7,0,IF(EL$6&lt;&gt;EK$6,INDEX('Operating Assumptions'!$P$8:$AA$13,MATCH($B18,'Operating Assumptions'!$P$8:$P$13,0),MATCH(EL$6,'Operating Assumptions'!$P$8:$AA$8,0)),0))</f>
        <v>0</v>
      </c>
      <c r="EM18" s="1306">
        <f>IF(EM$7&gt;'Operating Assumptions'!$AA$7,0,IF(EM$6&lt;&gt;EL$6,INDEX('Operating Assumptions'!$P$8:$AA$13,MATCH($B18,'Operating Assumptions'!$P$8:$P$13,0),MATCH(EM$6,'Operating Assumptions'!$P$8:$AA$8,0)),0))</f>
        <v>0</v>
      </c>
      <c r="EN18" s="1306">
        <f>IF(EN$7&gt;'Operating Assumptions'!$AA$7,0,IF(EN$6&lt;&gt;EM$6,INDEX('Operating Assumptions'!$P$8:$AA$13,MATCH($B18,'Operating Assumptions'!$P$8:$P$13,0),MATCH(EN$6,'Operating Assumptions'!$P$8:$AA$8,0)),0))</f>
        <v>0</v>
      </c>
      <c r="EO18" s="1306">
        <f>IF(EO$7&gt;'Operating Assumptions'!$AA$7,0,IF(EO$6&lt;&gt;EN$6,INDEX('Operating Assumptions'!$P$8:$AA$13,MATCH($B18,'Operating Assumptions'!$P$8:$P$13,0),MATCH(EO$6,'Operating Assumptions'!$P$8:$AA$8,0)),0))</f>
        <v>0</v>
      </c>
      <c r="EP18" s="1306">
        <f>IF(EP$7&gt;'Operating Assumptions'!$AA$7,0,IF(EP$6&lt;&gt;EO$6,INDEX('Operating Assumptions'!$P$8:$AA$13,MATCH($B18,'Operating Assumptions'!$P$8:$P$13,0),MATCH(EP$6,'Operating Assumptions'!$P$8:$AA$8,0)),0))</f>
        <v>0</v>
      </c>
      <c r="EQ18" s="1306">
        <f>IF(EQ$7&gt;'Operating Assumptions'!$AA$7,0,IF(EQ$6&lt;&gt;EP$6,INDEX('Operating Assumptions'!$P$8:$AA$13,MATCH($B18,'Operating Assumptions'!$P$8:$P$13,0),MATCH(EQ$6,'Operating Assumptions'!$P$8:$AA$8,0)),0))</f>
        <v>0</v>
      </c>
      <c r="ER18" s="1306">
        <f>IF(ER$7&gt;'Operating Assumptions'!$AA$7,0,IF(ER$6&lt;&gt;EQ$6,INDEX('Operating Assumptions'!$P$8:$AA$13,MATCH($B18,'Operating Assumptions'!$P$8:$P$13,0),MATCH(ER$6,'Operating Assumptions'!$P$8:$AA$8,0)),0))</f>
        <v>0</v>
      </c>
      <c r="ES18" s="1306">
        <f>IF(ES$7&gt;'Operating Assumptions'!$AA$7,0,IF(ES$6&lt;&gt;ER$6,INDEX('Operating Assumptions'!$P$8:$AA$13,MATCH($B18,'Operating Assumptions'!$P$8:$P$13,0),MATCH(ES$6,'Operating Assumptions'!$P$8:$AA$8,0)),0))</f>
        <v>0</v>
      </c>
      <c r="ET18" s="1306">
        <f>IF(ET$7&gt;'Operating Assumptions'!$AA$7,0,IF(ET$6&lt;&gt;ES$6,INDEX('Operating Assumptions'!$P$8:$AA$13,MATCH($B18,'Operating Assumptions'!$P$8:$P$13,0),MATCH(ET$6,'Operating Assumptions'!$P$8:$AA$8,0)),0))</f>
        <v>0</v>
      </c>
      <c r="EU18" s="1306">
        <f>IF(EU$7&gt;'Operating Assumptions'!$AA$7,0,IF(EU$6&lt;&gt;ET$6,INDEX('Operating Assumptions'!$P$8:$AA$13,MATCH($B18,'Operating Assumptions'!$P$8:$P$13,0),MATCH(EU$6,'Operating Assumptions'!$P$8:$AA$8,0)),0))</f>
        <v>0</v>
      </c>
      <c r="EV18" s="1306">
        <f>IF(EV$7&gt;'Operating Assumptions'!$AA$7,0,IF(EV$6&lt;&gt;EU$6,INDEX('Operating Assumptions'!$P$8:$AA$13,MATCH($B18,'Operating Assumptions'!$P$8:$P$13,0),MATCH(EV$6,'Operating Assumptions'!$P$8:$AA$8,0)),0))</f>
        <v>0</v>
      </c>
      <c r="EW18" s="1306">
        <f>IF(EW$7&gt;'Operating Assumptions'!$AA$7,0,IF(EW$6&lt;&gt;EV$6,INDEX('Operating Assumptions'!$P$8:$AA$13,MATCH($B18,'Operating Assumptions'!$P$8:$P$13,0),MATCH(EW$6,'Operating Assumptions'!$P$8:$AA$8,0)),0))</f>
        <v>0</v>
      </c>
      <c r="EX18" s="1306">
        <f>IF(EX$7&gt;'Operating Assumptions'!$AA$7,0,IF(EX$6&lt;&gt;EW$6,INDEX('Operating Assumptions'!$P$8:$AA$13,MATCH($B18,'Operating Assumptions'!$P$8:$P$13,0),MATCH(EX$6,'Operating Assumptions'!$P$8:$AA$8,0)),0))</f>
        <v>0</v>
      </c>
      <c r="EY18" s="1306">
        <f>IF(EY$7&gt;'Operating Assumptions'!$AA$7,0,IF(EY$6&lt;&gt;EX$6,INDEX('Operating Assumptions'!$P$8:$AA$13,MATCH($B18,'Operating Assumptions'!$P$8:$P$13,0),MATCH(EY$6,'Operating Assumptions'!$P$8:$AA$8,0)),0))</f>
        <v>0</v>
      </c>
      <c r="EZ18" s="1306">
        <f>IF(EZ$7&gt;'Operating Assumptions'!$AA$7,0,IF(EZ$6&lt;&gt;EY$6,INDEX('Operating Assumptions'!$P$8:$AA$13,MATCH($B18,'Operating Assumptions'!$P$8:$P$13,0),MATCH(EZ$6,'Operating Assumptions'!$P$8:$AA$8,0)),0))</f>
        <v>0</v>
      </c>
      <c r="FA18" s="1306">
        <f>IF(FA$7&gt;'Operating Assumptions'!$AA$7,0,IF(FA$6&lt;&gt;EZ$6,INDEX('Operating Assumptions'!$P$8:$AA$13,MATCH($B18,'Operating Assumptions'!$P$8:$P$13,0),MATCH(FA$6,'Operating Assumptions'!$P$8:$AA$8,0)),0))</f>
        <v>0</v>
      </c>
      <c r="FB18" s="1306">
        <f>IF(FB$7&gt;'Operating Assumptions'!$AA$7,0,IF(FB$6&lt;&gt;FA$6,INDEX('Operating Assumptions'!$P$8:$AA$13,MATCH($B18,'Operating Assumptions'!$P$8:$P$13,0),MATCH(FB$6,'Operating Assumptions'!$P$8:$AA$8,0)),0))</f>
        <v>0</v>
      </c>
      <c r="FC18" s="1306">
        <f>IF(FC$7&gt;'Operating Assumptions'!$AA$7,0,IF(FC$6&lt;&gt;FB$6,INDEX('Operating Assumptions'!$P$8:$AA$13,MATCH($B18,'Operating Assumptions'!$P$8:$P$13,0),MATCH(FC$6,'Operating Assumptions'!$P$8:$AA$8,0)),0))</f>
        <v>0</v>
      </c>
      <c r="FD18" s="1306">
        <f>IF(FD$7&gt;'Operating Assumptions'!$AA$7,0,IF(FD$6&lt;&gt;FC$6,INDEX('Operating Assumptions'!$P$8:$AA$13,MATCH($B18,'Operating Assumptions'!$P$8:$P$13,0),MATCH(FD$6,'Operating Assumptions'!$P$8:$AA$8,0)),0))</f>
        <v>0</v>
      </c>
      <c r="FE18" s="1306">
        <f>IF(FE$7&gt;'Operating Assumptions'!$AA$7,0,IF(FE$6&lt;&gt;FD$6,INDEX('Operating Assumptions'!$P$8:$AA$13,MATCH($B18,'Operating Assumptions'!$P$8:$P$13,0),MATCH(FE$6,'Operating Assumptions'!$P$8:$AA$8,0)),0))</f>
        <v>0</v>
      </c>
      <c r="FF18" s="1306">
        <f>IF(FF$7&gt;'Operating Assumptions'!$AA$7,0,IF(FF$6&lt;&gt;FE$6,INDEX('Operating Assumptions'!$P$8:$AA$13,MATCH($B18,'Operating Assumptions'!$P$8:$P$13,0),MATCH(FF$6,'Operating Assumptions'!$P$8:$AA$8,0)),0))</f>
        <v>0</v>
      </c>
      <c r="FG18" s="1306">
        <f>IF(FG$7&gt;'Operating Assumptions'!$AA$7,0,IF(FG$6&lt;&gt;FF$6,INDEX('Operating Assumptions'!$P$8:$AA$13,MATCH($B18,'Operating Assumptions'!$P$8:$P$13,0),MATCH(FG$6,'Operating Assumptions'!$P$8:$AA$8,0)),0))</f>
        <v>0</v>
      </c>
      <c r="FH18" s="1306">
        <f>IF(FH$7&gt;'Operating Assumptions'!$AA$7,0,IF(FH$6&lt;&gt;FG$6,INDEX('Operating Assumptions'!$P$8:$AA$13,MATCH($B18,'Operating Assumptions'!$P$8:$P$13,0),MATCH(FH$6,'Operating Assumptions'!$P$8:$AA$8,0)),0))</f>
        <v>0</v>
      </c>
      <c r="FI18" s="1306">
        <f>IF(FI$7&gt;'Operating Assumptions'!$AA$7,0,IF(FI$6&lt;&gt;FH$6,INDEX('Operating Assumptions'!$P$8:$AA$13,MATCH($B18,'Operating Assumptions'!$P$8:$P$13,0),MATCH(FI$6,'Operating Assumptions'!$P$8:$AA$8,0)),0))</f>
        <v>0</v>
      </c>
      <c r="FJ18" s="1306">
        <f>IF(FJ$7&gt;'Operating Assumptions'!$AA$7,0,IF(FJ$6&lt;&gt;FI$6,INDEX('Operating Assumptions'!$P$8:$AA$13,MATCH($B18,'Operating Assumptions'!$P$8:$P$13,0),MATCH(FJ$6,'Operating Assumptions'!$P$8:$AA$8,0)),0))</f>
        <v>0</v>
      </c>
      <c r="FK18" s="1306">
        <f>IF(FK$7&gt;'Operating Assumptions'!$AA$7,0,IF(FK$6&lt;&gt;FJ$6,INDEX('Operating Assumptions'!$P$8:$AA$13,MATCH($B18,'Operating Assumptions'!$P$8:$P$13,0),MATCH(FK$6,'Operating Assumptions'!$P$8:$AA$8,0)),0))</f>
        <v>0</v>
      </c>
      <c r="FL18" s="1306">
        <f>IF(FL$7&gt;'Operating Assumptions'!$AA$7,0,IF(FL$6&lt;&gt;FK$6,INDEX('Operating Assumptions'!$P$8:$AA$13,MATCH($B18,'Operating Assumptions'!$P$8:$P$13,0),MATCH(FL$6,'Operating Assumptions'!$P$8:$AA$8,0)),0))</f>
        <v>0</v>
      </c>
      <c r="FM18" s="1306">
        <f>IF(FM$7&gt;'Operating Assumptions'!$AA$7,0,IF(FM$6&lt;&gt;FL$6,INDEX('Operating Assumptions'!$P$8:$AA$13,MATCH($B18,'Operating Assumptions'!$P$8:$P$13,0),MATCH(FM$6,'Operating Assumptions'!$P$8:$AA$8,0)),0))</f>
        <v>0</v>
      </c>
      <c r="FN18" s="1306">
        <f>IF(FN$7&gt;'Operating Assumptions'!$AA$7,0,IF(FN$6&lt;&gt;FM$6,INDEX('Operating Assumptions'!$P$8:$AA$13,MATCH($B18,'Operating Assumptions'!$P$8:$P$13,0),MATCH(FN$6,'Operating Assumptions'!$P$8:$AA$8,0)),0))</f>
        <v>0</v>
      </c>
      <c r="FO18" s="1306">
        <f>IF(FO$7&gt;'Operating Assumptions'!$AA$7,0,IF(FO$6&lt;&gt;FN$6,INDEX('Operating Assumptions'!$P$8:$AA$13,MATCH($B18,'Operating Assumptions'!$P$8:$P$13,0),MATCH(FO$6,'Operating Assumptions'!$P$8:$AA$8,0)),0))</f>
        <v>0</v>
      </c>
      <c r="FP18" s="1306">
        <f>IF(FP$7&gt;'Operating Assumptions'!$AA$7,0,IF(FP$6&lt;&gt;FO$6,INDEX('Operating Assumptions'!$P$8:$AA$13,MATCH($B18,'Operating Assumptions'!$P$8:$P$13,0),MATCH(FP$6,'Operating Assumptions'!$P$8:$AA$8,0)),0))</f>
        <v>0</v>
      </c>
      <c r="FQ18" s="1306">
        <f>IF(FQ$7&gt;'Operating Assumptions'!$AA$7,0,IF(FQ$6&lt;&gt;FP$6,INDEX('Operating Assumptions'!$P$8:$AA$13,MATCH($B18,'Operating Assumptions'!$P$8:$P$13,0),MATCH(FQ$6,'Operating Assumptions'!$P$8:$AA$8,0)),0))</f>
        <v>0</v>
      </c>
      <c r="FR18" s="1306">
        <f>IF(FR$7&gt;'Operating Assumptions'!$AA$7,0,IF(FR$6&lt;&gt;FQ$6,INDEX('Operating Assumptions'!$P$8:$AA$13,MATCH($B18,'Operating Assumptions'!$P$8:$P$13,0),MATCH(FR$6,'Operating Assumptions'!$P$8:$AA$8,0)),0))</f>
        <v>0</v>
      </c>
      <c r="FS18" s="1306">
        <f>IF(FS$7&gt;'Operating Assumptions'!$AA$7,0,IF(FS$6&lt;&gt;FR$6,INDEX('Operating Assumptions'!$P$8:$AA$13,MATCH($B18,'Operating Assumptions'!$P$8:$P$13,0),MATCH(FS$6,'Operating Assumptions'!$P$8:$AA$8,0)),0))</f>
        <v>0</v>
      </c>
      <c r="FT18" s="1306">
        <f>IF(FT$7&gt;'Operating Assumptions'!$AA$7,0,IF(FT$6&lt;&gt;FS$6,INDEX('Operating Assumptions'!$P$8:$AA$13,MATCH($B18,'Operating Assumptions'!$P$8:$P$13,0),MATCH(FT$6,'Operating Assumptions'!$P$8:$AA$8,0)),0))</f>
        <v>0</v>
      </c>
      <c r="FU18" s="43"/>
    </row>
    <row r="19" spans="1:182" s="34" customFormat="1" ht="13.5" hidden="1" outlineLevel="1" x14ac:dyDescent="0.25">
      <c r="B19" s="48" t="str">
        <f>'Operating Assumptions'!$P11</f>
        <v>Incentive Revenue Inflation</v>
      </c>
      <c r="D19" s="416"/>
      <c r="G19" s="435"/>
      <c r="H19" s="1306">
        <v>0</v>
      </c>
      <c r="I19" s="1306">
        <f>IF(I$7&gt;'Operating Assumptions'!$AA$7,0,IF(I$6&lt;&gt;H$6,INDEX('Operating Assumptions'!$P$8:$AA$13,MATCH($B19,'Operating Assumptions'!$P$8:$P$13,0),MATCH(I$6,'Operating Assumptions'!$P$8:$AA$8,0)),0))</f>
        <v>0</v>
      </c>
      <c r="J19" s="1306">
        <f>IF(J$7&gt;'Operating Assumptions'!$AA$7,0,IF(J$6&lt;&gt;I$6,INDEX('Operating Assumptions'!$P$8:$AA$13,MATCH($B19,'Operating Assumptions'!$P$8:$P$13,0),MATCH(J$6,'Operating Assumptions'!$P$8:$AA$8,0)),0))</f>
        <v>0</v>
      </c>
      <c r="K19" s="1306">
        <f>IF(K$7&gt;'Operating Assumptions'!$AA$7,0,IF(K$6&lt;&gt;J$6,INDEX('Operating Assumptions'!$P$8:$AA$13,MATCH($B19,'Operating Assumptions'!$P$8:$P$13,0),MATCH(K$6,'Operating Assumptions'!$P$8:$AA$8,0)),0))</f>
        <v>0</v>
      </c>
      <c r="L19" s="1306">
        <f>IF(L$7&gt;'Operating Assumptions'!$AA$7,0,IF(L$6&lt;&gt;K$6,INDEX('Operating Assumptions'!$P$8:$AA$13,MATCH($B19,'Operating Assumptions'!$P$8:$P$13,0),MATCH(L$6,'Operating Assumptions'!$P$8:$AA$8,0)),0))</f>
        <v>0</v>
      </c>
      <c r="M19" s="1306">
        <f>IF(M$7&gt;'Operating Assumptions'!$AA$7,0,IF(M$6&lt;&gt;L$6,INDEX('Operating Assumptions'!$P$8:$AA$13,MATCH($B19,'Operating Assumptions'!$P$8:$P$13,0),MATCH(M$6,'Operating Assumptions'!$P$8:$AA$8,0)),0))</f>
        <v>0</v>
      </c>
      <c r="N19" s="1306">
        <f>IF(N$7&gt;'Operating Assumptions'!$AA$7,0,IF(N$6&lt;&gt;M$6,INDEX('Operating Assumptions'!$P$8:$AA$13,MATCH($B19,'Operating Assumptions'!$P$8:$P$13,0),MATCH(N$6,'Operating Assumptions'!$P$8:$AA$8,0)),0))</f>
        <v>0</v>
      </c>
      <c r="O19" s="1306">
        <f>IF(O$7&gt;'Operating Assumptions'!$AA$7,0,IF(O$6&lt;&gt;N$6,INDEX('Operating Assumptions'!$P$8:$AA$13,MATCH($B19,'Operating Assumptions'!$P$8:$P$13,0),MATCH(O$6,'Operating Assumptions'!$P$8:$AA$8,0)),0))</f>
        <v>0</v>
      </c>
      <c r="P19" s="1306">
        <f>IF(P$7&gt;'Operating Assumptions'!$AA$7,0,IF(P$6&lt;&gt;O$6,INDEX('Operating Assumptions'!$P$8:$AA$13,MATCH($B19,'Operating Assumptions'!$P$8:$P$13,0),MATCH(P$6,'Operating Assumptions'!$P$8:$AA$8,0)),0))</f>
        <v>0</v>
      </c>
      <c r="Q19" s="1306">
        <f>IF(Q$7&gt;'Operating Assumptions'!$AA$7,0,IF(Q$6&lt;&gt;P$6,INDEX('Operating Assumptions'!$P$8:$AA$13,MATCH($B19,'Operating Assumptions'!$P$8:$P$13,0),MATCH(Q$6,'Operating Assumptions'!$P$8:$AA$8,0)),0))</f>
        <v>0</v>
      </c>
      <c r="R19" s="1306">
        <f>IF(R$7&gt;'Operating Assumptions'!$AA$7,0,IF(R$6&lt;&gt;Q$6,INDEX('Operating Assumptions'!$P$8:$AA$13,MATCH($B19,'Operating Assumptions'!$P$8:$P$13,0),MATCH(R$6,'Operating Assumptions'!$P$8:$AA$8,0)),0))</f>
        <v>0</v>
      </c>
      <c r="S19" s="1306">
        <f>IF(S$7&gt;'Operating Assumptions'!$AA$7,0,IF(S$6&lt;&gt;R$6,INDEX('Operating Assumptions'!$P$8:$AA$13,MATCH($B19,'Operating Assumptions'!$P$8:$P$13,0),MATCH(S$6,'Operating Assumptions'!$P$8:$AA$8,0)),0))</f>
        <v>0</v>
      </c>
      <c r="T19" s="1306">
        <f>IF(T$7&gt;'Operating Assumptions'!$AA$7,0,IF(T$6&lt;&gt;S$6,INDEX('Operating Assumptions'!$P$8:$AA$13,MATCH($B19,'Operating Assumptions'!$P$8:$P$13,0),MATCH(T$6,'Operating Assumptions'!$P$8:$AA$8,0)),0))</f>
        <v>0</v>
      </c>
      <c r="U19" s="1306">
        <f>IF(U$7&gt;'Operating Assumptions'!$AA$7,0,IF(U$6&lt;&gt;T$6,INDEX('Operating Assumptions'!$P$8:$AA$13,MATCH($B19,'Operating Assumptions'!$P$8:$P$13,0),MATCH(U$6,'Operating Assumptions'!$P$8:$AA$8,0)),0))</f>
        <v>0</v>
      </c>
      <c r="V19" s="1306">
        <f>IF(V$7&gt;'Operating Assumptions'!$AA$7,0,IF(V$6&lt;&gt;U$6,INDEX('Operating Assumptions'!$P$8:$AA$13,MATCH($B19,'Operating Assumptions'!$P$8:$P$13,0),MATCH(V$6,'Operating Assumptions'!$P$8:$AA$8,0)),0))</f>
        <v>0</v>
      </c>
      <c r="W19" s="1306">
        <f>IF(W$7&gt;'Operating Assumptions'!$AA$7,0,IF(W$6&lt;&gt;V$6,INDEX('Operating Assumptions'!$P$8:$AA$13,MATCH($B19,'Operating Assumptions'!$P$8:$P$13,0),MATCH(W$6,'Operating Assumptions'!$P$8:$AA$8,0)),0))</f>
        <v>0</v>
      </c>
      <c r="X19" s="1306">
        <f>IF(X$7&gt;'Operating Assumptions'!$AA$7,0,IF(X$6&lt;&gt;W$6,INDEX('Operating Assumptions'!$P$8:$AA$13,MATCH($B19,'Operating Assumptions'!$P$8:$P$13,0),MATCH(X$6,'Operating Assumptions'!$P$8:$AA$8,0)),0))</f>
        <v>0</v>
      </c>
      <c r="Y19" s="1306">
        <f>IF(Y$7&gt;'Operating Assumptions'!$AA$7,0,IF(Y$6&lt;&gt;X$6,INDEX('Operating Assumptions'!$P$8:$AA$13,MATCH($B19,'Operating Assumptions'!$P$8:$P$13,0),MATCH(Y$6,'Operating Assumptions'!$P$8:$AA$8,0)),0))</f>
        <v>0</v>
      </c>
      <c r="Z19" s="1306">
        <f>IF(Z$7&gt;'Operating Assumptions'!$AA$7,0,IF(Z$6&lt;&gt;Y$6,INDEX('Operating Assumptions'!$P$8:$AA$13,MATCH($B19,'Operating Assumptions'!$P$8:$P$13,0),MATCH(Z$6,'Operating Assumptions'!$P$8:$AA$8,0)),0))</f>
        <v>0</v>
      </c>
      <c r="AA19" s="1306">
        <f>IF(AA$7&gt;'Operating Assumptions'!$AA$7,0,IF(AA$6&lt;&gt;Z$6,INDEX('Operating Assumptions'!$P$8:$AA$13,MATCH($B19,'Operating Assumptions'!$P$8:$P$13,0),MATCH(AA$6,'Operating Assumptions'!$P$8:$AA$8,0)),0))</f>
        <v>0</v>
      </c>
      <c r="AB19" s="1306">
        <f>IF(AB$7&gt;'Operating Assumptions'!$AA$7,0,IF(AB$6&lt;&gt;AA$6,INDEX('Operating Assumptions'!$P$8:$AA$13,MATCH($B19,'Operating Assumptions'!$P$8:$P$13,0),MATCH(AB$6,'Operating Assumptions'!$P$8:$AA$8,0)),0))</f>
        <v>0</v>
      </c>
      <c r="AC19" s="1306">
        <f>IF(AC$7&gt;'Operating Assumptions'!$AA$7,0,IF(AC$6&lt;&gt;AB$6,INDEX('Operating Assumptions'!$P$8:$AA$13,MATCH($B19,'Operating Assumptions'!$P$8:$P$13,0),MATCH(AC$6,'Operating Assumptions'!$P$8:$AA$8,0)),0))</f>
        <v>0</v>
      </c>
      <c r="AD19" s="1306">
        <f>IF(AD$7&gt;'Operating Assumptions'!$AA$7,0,IF(AD$6&lt;&gt;AC$6,INDEX('Operating Assumptions'!$P$8:$AA$13,MATCH($B19,'Operating Assumptions'!$P$8:$P$13,0),MATCH(AD$6,'Operating Assumptions'!$P$8:$AA$8,0)),0))</f>
        <v>0</v>
      </c>
      <c r="AE19" s="1306">
        <f>IF(AE$7&gt;'Operating Assumptions'!$AA$7,0,IF(AE$6&lt;&gt;AD$6,INDEX('Operating Assumptions'!$P$8:$AA$13,MATCH($B19,'Operating Assumptions'!$P$8:$P$13,0),MATCH(AE$6,'Operating Assumptions'!$P$8:$AA$8,0)),0))</f>
        <v>0</v>
      </c>
      <c r="AF19" s="1306">
        <f>IF(AF$7&gt;'Operating Assumptions'!$AA$7,0,IF(AF$6&lt;&gt;AE$6,INDEX('Operating Assumptions'!$P$8:$AA$13,MATCH($B19,'Operating Assumptions'!$P$8:$P$13,0),MATCH(AF$6,'Operating Assumptions'!$P$8:$AA$8,0)),0))</f>
        <v>0</v>
      </c>
      <c r="AG19" s="1306">
        <f>IF(AG$7&gt;'Operating Assumptions'!$AA$7,0,IF(AG$6&lt;&gt;AF$6,INDEX('Operating Assumptions'!$P$8:$AA$13,MATCH($B19,'Operating Assumptions'!$P$8:$P$13,0),MATCH(AG$6,'Operating Assumptions'!$P$8:$AA$8,0)),0))</f>
        <v>0</v>
      </c>
      <c r="AH19" s="1306">
        <f>IF(AH$7&gt;'Operating Assumptions'!$AA$7,0,IF(AH$6&lt;&gt;AG$6,INDEX('Operating Assumptions'!$P$8:$AA$13,MATCH($B19,'Operating Assumptions'!$P$8:$P$13,0),MATCH(AH$6,'Operating Assumptions'!$P$8:$AA$8,0)),0))</f>
        <v>0</v>
      </c>
      <c r="AI19" s="1306">
        <f>IF(AI$7&gt;'Operating Assumptions'!$AA$7,0,IF(AI$6&lt;&gt;AH$6,INDEX('Operating Assumptions'!$P$8:$AA$13,MATCH($B19,'Operating Assumptions'!$P$8:$P$13,0),MATCH(AI$6,'Operating Assumptions'!$P$8:$AA$8,0)),0))</f>
        <v>0</v>
      </c>
      <c r="AJ19" s="1306">
        <f>IF(AJ$7&gt;'Operating Assumptions'!$AA$7,0,IF(AJ$6&lt;&gt;AI$6,INDEX('Operating Assumptions'!$P$8:$AA$13,MATCH($B19,'Operating Assumptions'!$P$8:$P$13,0),MATCH(AJ$6,'Operating Assumptions'!$P$8:$AA$8,0)),0))</f>
        <v>0</v>
      </c>
      <c r="AK19" s="1306">
        <f>IF(AK$7&gt;'Operating Assumptions'!$AA$7,0,IF(AK$6&lt;&gt;AJ$6,INDEX('Operating Assumptions'!$P$8:$AA$13,MATCH($B19,'Operating Assumptions'!$P$8:$P$13,0),MATCH(AK$6,'Operating Assumptions'!$P$8:$AA$8,0)),0))</f>
        <v>0</v>
      </c>
      <c r="AL19" s="1306">
        <f>IF(AL$7&gt;'Operating Assumptions'!$AA$7,0,IF(AL$6&lt;&gt;AK$6,INDEX('Operating Assumptions'!$P$8:$AA$13,MATCH($B19,'Operating Assumptions'!$P$8:$P$13,0),MATCH(AL$6,'Operating Assumptions'!$P$8:$AA$8,0)),0))</f>
        <v>0</v>
      </c>
      <c r="AM19" s="1306">
        <f>IF(AM$7&gt;'Operating Assumptions'!$AA$7,0,IF(AM$6&lt;&gt;AL$6,INDEX('Operating Assumptions'!$P$8:$AA$13,MATCH($B19,'Operating Assumptions'!$P$8:$P$13,0),MATCH(AM$6,'Operating Assumptions'!$P$8:$AA$8,0)),0))</f>
        <v>0</v>
      </c>
      <c r="AN19" s="1306">
        <f>IF(AN$7&gt;'Operating Assumptions'!$AA$7,0,IF(AN$6&lt;&gt;AM$6,INDEX('Operating Assumptions'!$P$8:$AA$13,MATCH($B19,'Operating Assumptions'!$P$8:$P$13,0),MATCH(AN$6,'Operating Assumptions'!$P$8:$AA$8,0)),0))</f>
        <v>0</v>
      </c>
      <c r="AO19" s="1306">
        <f>IF(AO$7&gt;'Operating Assumptions'!$AA$7,0,IF(AO$6&lt;&gt;AN$6,INDEX('Operating Assumptions'!$P$8:$AA$13,MATCH($B19,'Operating Assumptions'!$P$8:$P$13,0),MATCH(AO$6,'Operating Assumptions'!$P$8:$AA$8,0)),0))</f>
        <v>0</v>
      </c>
      <c r="AP19" s="1306">
        <f>IF(AP$7&gt;'Operating Assumptions'!$AA$7,0,IF(AP$6&lt;&gt;AO$6,INDEX('Operating Assumptions'!$P$8:$AA$13,MATCH($B19,'Operating Assumptions'!$P$8:$P$13,0),MATCH(AP$6,'Operating Assumptions'!$P$8:$AA$8,0)),0))</f>
        <v>0</v>
      </c>
      <c r="AQ19" s="1306">
        <f>IF(AQ$7&gt;'Operating Assumptions'!$AA$7,0,IF(AQ$6&lt;&gt;AP$6,INDEX('Operating Assumptions'!$P$8:$AA$13,MATCH($B19,'Operating Assumptions'!$P$8:$P$13,0),MATCH(AQ$6,'Operating Assumptions'!$P$8:$AA$8,0)),0))</f>
        <v>0</v>
      </c>
      <c r="AR19" s="1306">
        <f>IF(AR$7&gt;'Operating Assumptions'!$AA$7,0,IF(AR$6&lt;&gt;AQ$6,INDEX('Operating Assumptions'!$P$8:$AA$13,MATCH($B19,'Operating Assumptions'!$P$8:$P$13,0),MATCH(AR$6,'Operating Assumptions'!$P$8:$AA$8,0)),0))</f>
        <v>0</v>
      </c>
      <c r="AS19" s="1306">
        <f>IF(AS$7&gt;'Operating Assumptions'!$AA$7,0,IF(AS$6&lt;&gt;AR$6,INDEX('Operating Assumptions'!$P$8:$AA$13,MATCH($B19,'Operating Assumptions'!$P$8:$P$13,0),MATCH(AS$6,'Operating Assumptions'!$P$8:$AA$8,0)),0))</f>
        <v>0</v>
      </c>
      <c r="AT19" s="1306">
        <f>IF(AT$7&gt;'Operating Assumptions'!$AA$7,0,IF(AT$6&lt;&gt;AS$6,INDEX('Operating Assumptions'!$P$8:$AA$13,MATCH($B19,'Operating Assumptions'!$P$8:$P$13,0),MATCH(AT$6,'Operating Assumptions'!$P$8:$AA$8,0)),0))</f>
        <v>0</v>
      </c>
      <c r="AU19" s="1306">
        <f>IF(AU$7&gt;'Operating Assumptions'!$AA$7,0,IF(AU$6&lt;&gt;AT$6,INDEX('Operating Assumptions'!$P$8:$AA$13,MATCH($B19,'Operating Assumptions'!$P$8:$P$13,0),MATCH(AU$6,'Operating Assumptions'!$P$8:$AA$8,0)),0))</f>
        <v>0</v>
      </c>
      <c r="AV19" s="1306">
        <f>IF(AV$7&gt;'Operating Assumptions'!$AA$7,0,IF(AV$6&lt;&gt;AU$6,INDEX('Operating Assumptions'!$P$8:$AA$13,MATCH($B19,'Operating Assumptions'!$P$8:$P$13,0),MATCH(AV$6,'Operating Assumptions'!$P$8:$AA$8,0)),0))</f>
        <v>0</v>
      </c>
      <c r="AW19" s="1306">
        <f>IF(AW$7&gt;'Operating Assumptions'!$AA$7,0,IF(AW$6&lt;&gt;AV$6,INDEX('Operating Assumptions'!$P$8:$AA$13,MATCH($B19,'Operating Assumptions'!$P$8:$P$13,0),MATCH(AW$6,'Operating Assumptions'!$P$8:$AA$8,0)),0))</f>
        <v>0</v>
      </c>
      <c r="AX19" s="1306">
        <f>IF(AX$7&gt;'Operating Assumptions'!$AA$7,0,IF(AX$6&lt;&gt;AW$6,INDEX('Operating Assumptions'!$P$8:$AA$13,MATCH($B19,'Operating Assumptions'!$P$8:$P$13,0),MATCH(AX$6,'Operating Assumptions'!$P$8:$AA$8,0)),0))</f>
        <v>0</v>
      </c>
      <c r="AY19" s="1306">
        <f>IF(AY$7&gt;'Operating Assumptions'!$AA$7,0,IF(AY$6&lt;&gt;AX$6,INDEX('Operating Assumptions'!$P$8:$AA$13,MATCH($B19,'Operating Assumptions'!$P$8:$P$13,0),MATCH(AY$6,'Operating Assumptions'!$P$8:$AA$8,0)),0))</f>
        <v>0</v>
      </c>
      <c r="AZ19" s="1306">
        <f>IF(AZ$7&gt;'Operating Assumptions'!$AA$7,0,IF(AZ$6&lt;&gt;AY$6,INDEX('Operating Assumptions'!$P$8:$AA$13,MATCH($B19,'Operating Assumptions'!$P$8:$P$13,0),MATCH(AZ$6,'Operating Assumptions'!$P$8:$AA$8,0)),0))</f>
        <v>0</v>
      </c>
      <c r="BA19" s="1306">
        <f>IF(BA$7&gt;'Operating Assumptions'!$AA$7,0,IF(BA$6&lt;&gt;AZ$6,INDEX('Operating Assumptions'!$P$8:$AA$13,MATCH($B19,'Operating Assumptions'!$P$8:$P$13,0),MATCH(BA$6,'Operating Assumptions'!$P$8:$AA$8,0)),0))</f>
        <v>0</v>
      </c>
      <c r="BB19" s="1306">
        <f>IF(BB$7&gt;'Operating Assumptions'!$AA$7,0,IF(BB$6&lt;&gt;BA$6,INDEX('Operating Assumptions'!$P$8:$AA$13,MATCH($B19,'Operating Assumptions'!$P$8:$P$13,0),MATCH(BB$6,'Operating Assumptions'!$P$8:$AA$8,0)),0))</f>
        <v>0</v>
      </c>
      <c r="BC19" s="1306">
        <f>IF(BC$7&gt;'Operating Assumptions'!$AA$7,0,IF(BC$6&lt;&gt;BB$6,INDEX('Operating Assumptions'!$P$8:$AA$13,MATCH($B19,'Operating Assumptions'!$P$8:$P$13,0),MATCH(BC$6,'Operating Assumptions'!$P$8:$AA$8,0)),0))</f>
        <v>0</v>
      </c>
      <c r="BD19" s="1306">
        <f>IF(BD$7&gt;'Operating Assumptions'!$AA$7,0,IF(BD$6&lt;&gt;BC$6,INDEX('Operating Assumptions'!$P$8:$AA$13,MATCH($B19,'Operating Assumptions'!$P$8:$P$13,0),MATCH(BD$6,'Operating Assumptions'!$P$8:$AA$8,0)),0))</f>
        <v>0</v>
      </c>
      <c r="BE19" s="1306">
        <f>IF(BE$7&gt;'Operating Assumptions'!$AA$7,0,IF(BE$6&lt;&gt;BD$6,INDEX('Operating Assumptions'!$P$8:$AA$13,MATCH($B19,'Operating Assumptions'!$P$8:$P$13,0),MATCH(BE$6,'Operating Assumptions'!$P$8:$AA$8,0)),0))</f>
        <v>0</v>
      </c>
      <c r="BF19" s="1306">
        <f>IF(BF$7&gt;'Operating Assumptions'!$AA$7,0,IF(BF$6&lt;&gt;BE$6,INDEX('Operating Assumptions'!$P$8:$AA$13,MATCH($B19,'Operating Assumptions'!$P$8:$P$13,0),MATCH(BF$6,'Operating Assumptions'!$P$8:$AA$8,0)),0))</f>
        <v>0</v>
      </c>
      <c r="BG19" s="1306">
        <f>IF(BG$7&gt;'Operating Assumptions'!$AA$7,0,IF(BG$6&lt;&gt;BF$6,INDEX('Operating Assumptions'!$P$8:$AA$13,MATCH($B19,'Operating Assumptions'!$P$8:$P$13,0),MATCH(BG$6,'Operating Assumptions'!$P$8:$AA$8,0)),0))</f>
        <v>0</v>
      </c>
      <c r="BH19" s="1306">
        <f>IF(BH$7&gt;'Operating Assumptions'!$AA$7,0,IF(BH$6&lt;&gt;BG$6,INDEX('Operating Assumptions'!$P$8:$AA$13,MATCH($B19,'Operating Assumptions'!$P$8:$P$13,0),MATCH(BH$6,'Operating Assumptions'!$P$8:$AA$8,0)),0))</f>
        <v>0</v>
      </c>
      <c r="BI19" s="1306">
        <f>IF(BI$7&gt;'Operating Assumptions'!$AA$7,0,IF(BI$6&lt;&gt;BH$6,INDEX('Operating Assumptions'!$P$8:$AA$13,MATCH($B19,'Operating Assumptions'!$P$8:$P$13,0),MATCH(BI$6,'Operating Assumptions'!$P$8:$AA$8,0)),0))</f>
        <v>0</v>
      </c>
      <c r="BJ19" s="1306">
        <f>IF(BJ$7&gt;'Operating Assumptions'!$AA$7,0,IF(BJ$6&lt;&gt;BI$6,INDEX('Operating Assumptions'!$P$8:$AA$13,MATCH($B19,'Operating Assumptions'!$P$8:$P$13,0),MATCH(BJ$6,'Operating Assumptions'!$P$8:$AA$8,0)),0))</f>
        <v>0</v>
      </c>
      <c r="BK19" s="1306">
        <f>IF(BK$7&gt;'Operating Assumptions'!$AA$7,0,IF(BK$6&lt;&gt;BJ$6,INDEX('Operating Assumptions'!$P$8:$AA$13,MATCH($B19,'Operating Assumptions'!$P$8:$P$13,0),MATCH(BK$6,'Operating Assumptions'!$P$8:$AA$8,0)),0))</f>
        <v>0</v>
      </c>
      <c r="BL19" s="1306">
        <f>IF(BL$7&gt;'Operating Assumptions'!$AA$7,0,IF(BL$6&lt;&gt;BK$6,INDEX('Operating Assumptions'!$P$8:$AA$13,MATCH($B19,'Operating Assumptions'!$P$8:$P$13,0),MATCH(BL$6,'Operating Assumptions'!$P$8:$AA$8,0)),0))</f>
        <v>0</v>
      </c>
      <c r="BM19" s="1306">
        <f>IF(BM$7&gt;'Operating Assumptions'!$AA$7,0,IF(BM$6&lt;&gt;BL$6,INDEX('Operating Assumptions'!$P$8:$AA$13,MATCH($B19,'Operating Assumptions'!$P$8:$P$13,0),MATCH(BM$6,'Operating Assumptions'!$P$8:$AA$8,0)),0))</f>
        <v>0</v>
      </c>
      <c r="BN19" s="1306">
        <f>IF(BN$7&gt;'Operating Assumptions'!$AA$7,0,IF(BN$6&lt;&gt;BM$6,INDEX('Operating Assumptions'!$P$8:$AA$13,MATCH($B19,'Operating Assumptions'!$P$8:$P$13,0),MATCH(BN$6,'Operating Assumptions'!$P$8:$AA$8,0)),0))</f>
        <v>0</v>
      </c>
      <c r="BO19" s="1306">
        <f>IF(BO$7&gt;'Operating Assumptions'!$AA$7,0,IF(BO$6&lt;&gt;BN$6,INDEX('Operating Assumptions'!$P$8:$AA$13,MATCH($B19,'Operating Assumptions'!$P$8:$P$13,0),MATCH(BO$6,'Operating Assumptions'!$P$8:$AA$8,0)),0))</f>
        <v>0</v>
      </c>
      <c r="BP19" s="1306">
        <f>IF(BP$7&gt;'Operating Assumptions'!$AA$7,0,IF(BP$6&lt;&gt;BO$6,INDEX('Operating Assumptions'!$P$8:$AA$13,MATCH($B19,'Operating Assumptions'!$P$8:$P$13,0),MATCH(BP$6,'Operating Assumptions'!$P$8:$AA$8,0)),0))</f>
        <v>0</v>
      </c>
      <c r="BQ19" s="1306">
        <f>IF(BQ$7&gt;'Operating Assumptions'!$AA$7,0,IF(BQ$6&lt;&gt;BP$6,INDEX('Operating Assumptions'!$P$8:$AA$13,MATCH($B19,'Operating Assumptions'!$P$8:$P$13,0),MATCH(BQ$6,'Operating Assumptions'!$P$8:$AA$8,0)),0))</f>
        <v>0</v>
      </c>
      <c r="BR19" s="1306">
        <f>IF(BR$7&gt;'Operating Assumptions'!$AA$7,0,IF(BR$6&lt;&gt;BQ$6,INDEX('Operating Assumptions'!$P$8:$AA$13,MATCH($B19,'Operating Assumptions'!$P$8:$P$13,0),MATCH(BR$6,'Operating Assumptions'!$P$8:$AA$8,0)),0))</f>
        <v>0</v>
      </c>
      <c r="BS19" s="1306">
        <f>IF(BS$7&gt;'Operating Assumptions'!$AA$7,0,IF(BS$6&lt;&gt;BR$6,INDEX('Operating Assumptions'!$P$8:$AA$13,MATCH($B19,'Operating Assumptions'!$P$8:$P$13,0),MATCH(BS$6,'Operating Assumptions'!$P$8:$AA$8,0)),0))</f>
        <v>0</v>
      </c>
      <c r="BT19" s="1306">
        <f>IF(BT$7&gt;'Operating Assumptions'!$AA$7,0,IF(BT$6&lt;&gt;BS$6,INDEX('Operating Assumptions'!$P$8:$AA$13,MATCH($B19,'Operating Assumptions'!$P$8:$P$13,0),MATCH(BT$6,'Operating Assumptions'!$P$8:$AA$8,0)),0))</f>
        <v>0</v>
      </c>
      <c r="BU19" s="1306">
        <f>IF(BU$7&gt;'Operating Assumptions'!$AA$7,0,IF(BU$6&lt;&gt;BT$6,INDEX('Operating Assumptions'!$P$8:$AA$13,MATCH($B19,'Operating Assumptions'!$P$8:$P$13,0),MATCH(BU$6,'Operating Assumptions'!$P$8:$AA$8,0)),0))</f>
        <v>0</v>
      </c>
      <c r="BV19" s="1306">
        <f>IF(BV$7&gt;'Operating Assumptions'!$AA$7,0,IF(BV$6&lt;&gt;BU$6,INDEX('Operating Assumptions'!$P$8:$AA$13,MATCH($B19,'Operating Assumptions'!$P$8:$P$13,0),MATCH(BV$6,'Operating Assumptions'!$P$8:$AA$8,0)),0))</f>
        <v>0</v>
      </c>
      <c r="BW19" s="1306">
        <f>IF(BW$7&gt;'Operating Assumptions'!$AA$7,0,IF(BW$6&lt;&gt;BV$6,INDEX('Operating Assumptions'!$P$8:$AA$13,MATCH($B19,'Operating Assumptions'!$P$8:$P$13,0),MATCH(BW$6,'Operating Assumptions'!$P$8:$AA$8,0)),0))</f>
        <v>0</v>
      </c>
      <c r="BX19" s="1306">
        <f>IF(BX$7&gt;'Operating Assumptions'!$AA$7,0,IF(BX$6&lt;&gt;BW$6,INDEX('Operating Assumptions'!$P$8:$AA$13,MATCH($B19,'Operating Assumptions'!$P$8:$P$13,0),MATCH(BX$6,'Operating Assumptions'!$P$8:$AA$8,0)),0))</f>
        <v>0</v>
      </c>
      <c r="BY19" s="1306">
        <f>IF(BY$7&gt;'Operating Assumptions'!$AA$7,0,IF(BY$6&lt;&gt;BX$6,INDEX('Operating Assumptions'!$P$8:$AA$13,MATCH($B19,'Operating Assumptions'!$P$8:$P$13,0),MATCH(BY$6,'Operating Assumptions'!$P$8:$AA$8,0)),0))</f>
        <v>0</v>
      </c>
      <c r="BZ19" s="1306">
        <f>IF(BZ$7&gt;'Operating Assumptions'!$AA$7,0,IF(BZ$6&lt;&gt;BY$6,INDEX('Operating Assumptions'!$P$8:$AA$13,MATCH($B19,'Operating Assumptions'!$P$8:$P$13,0),MATCH(BZ$6,'Operating Assumptions'!$P$8:$AA$8,0)),0))</f>
        <v>0</v>
      </c>
      <c r="CA19" s="1306">
        <f>IF(CA$7&gt;'Operating Assumptions'!$AA$7,0,IF(CA$6&lt;&gt;BZ$6,INDEX('Operating Assumptions'!$P$8:$AA$13,MATCH($B19,'Operating Assumptions'!$P$8:$P$13,0),MATCH(CA$6,'Operating Assumptions'!$P$8:$AA$8,0)),0))</f>
        <v>0</v>
      </c>
      <c r="CB19" s="1306">
        <f>IF(CB$7&gt;'Operating Assumptions'!$AA$7,0,IF(CB$6&lt;&gt;CA$6,INDEX('Operating Assumptions'!$P$8:$AA$13,MATCH($B19,'Operating Assumptions'!$P$8:$P$13,0),MATCH(CB$6,'Operating Assumptions'!$P$8:$AA$8,0)),0))</f>
        <v>0</v>
      </c>
      <c r="CC19" s="1306">
        <f>IF(CC$7&gt;'Operating Assumptions'!$AA$7,0,IF(CC$6&lt;&gt;CB$6,INDEX('Operating Assumptions'!$P$8:$AA$13,MATCH($B19,'Operating Assumptions'!$P$8:$P$13,0),MATCH(CC$6,'Operating Assumptions'!$P$8:$AA$8,0)),0))</f>
        <v>0</v>
      </c>
      <c r="CD19" s="1306">
        <f>IF(CD$7&gt;'Operating Assumptions'!$AA$7,0,IF(CD$6&lt;&gt;CC$6,INDEX('Operating Assumptions'!$P$8:$AA$13,MATCH($B19,'Operating Assumptions'!$P$8:$P$13,0),MATCH(CD$6,'Operating Assumptions'!$P$8:$AA$8,0)),0))</f>
        <v>0</v>
      </c>
      <c r="CE19" s="1306">
        <f>IF(CE$7&gt;'Operating Assumptions'!$AA$7,0,IF(CE$6&lt;&gt;CD$6,INDEX('Operating Assumptions'!$P$8:$AA$13,MATCH($B19,'Operating Assumptions'!$P$8:$P$13,0),MATCH(CE$6,'Operating Assumptions'!$P$8:$AA$8,0)),0))</f>
        <v>0</v>
      </c>
      <c r="CF19" s="1306">
        <f>IF(CF$7&gt;'Operating Assumptions'!$AA$7,0,IF(CF$6&lt;&gt;CE$6,INDEX('Operating Assumptions'!$P$8:$AA$13,MATCH($B19,'Operating Assumptions'!$P$8:$P$13,0),MATCH(CF$6,'Operating Assumptions'!$P$8:$AA$8,0)),0))</f>
        <v>0</v>
      </c>
      <c r="CG19" s="1306">
        <f>IF(CG$7&gt;'Operating Assumptions'!$AA$7,0,IF(CG$6&lt;&gt;CF$6,INDEX('Operating Assumptions'!$P$8:$AA$13,MATCH($B19,'Operating Assumptions'!$P$8:$P$13,0),MATCH(CG$6,'Operating Assumptions'!$P$8:$AA$8,0)),0))</f>
        <v>0</v>
      </c>
      <c r="CH19" s="1306">
        <f>IF(CH$7&gt;'Operating Assumptions'!$AA$7,0,IF(CH$6&lt;&gt;CG$6,INDEX('Operating Assumptions'!$P$8:$AA$13,MATCH($B19,'Operating Assumptions'!$P$8:$P$13,0),MATCH(CH$6,'Operating Assumptions'!$P$8:$AA$8,0)),0))</f>
        <v>0</v>
      </c>
      <c r="CI19" s="1306">
        <f>IF(CI$7&gt;'Operating Assumptions'!$AA$7,0,IF(CI$6&lt;&gt;CH$6,INDEX('Operating Assumptions'!$P$8:$AA$13,MATCH($B19,'Operating Assumptions'!$P$8:$P$13,0),MATCH(CI$6,'Operating Assumptions'!$P$8:$AA$8,0)),0))</f>
        <v>0</v>
      </c>
      <c r="CJ19" s="1306">
        <f>IF(CJ$7&gt;'Operating Assumptions'!$AA$7,0,IF(CJ$6&lt;&gt;CI$6,INDEX('Operating Assumptions'!$P$8:$AA$13,MATCH($B19,'Operating Assumptions'!$P$8:$P$13,0),MATCH(CJ$6,'Operating Assumptions'!$P$8:$AA$8,0)),0))</f>
        <v>0</v>
      </c>
      <c r="CK19" s="1306">
        <f>IF(CK$7&gt;'Operating Assumptions'!$AA$7,0,IF(CK$6&lt;&gt;CJ$6,INDEX('Operating Assumptions'!$P$8:$AA$13,MATCH($B19,'Operating Assumptions'!$P$8:$P$13,0),MATCH(CK$6,'Operating Assumptions'!$P$8:$AA$8,0)),0))</f>
        <v>0</v>
      </c>
      <c r="CL19" s="1306">
        <f>IF(CL$7&gt;'Operating Assumptions'!$AA$7,0,IF(CL$6&lt;&gt;CK$6,INDEX('Operating Assumptions'!$P$8:$AA$13,MATCH($B19,'Operating Assumptions'!$P$8:$P$13,0),MATCH(CL$6,'Operating Assumptions'!$P$8:$AA$8,0)),0))</f>
        <v>0</v>
      </c>
      <c r="CM19" s="1306">
        <f>IF(CM$7&gt;'Operating Assumptions'!$AA$7,0,IF(CM$6&lt;&gt;CL$6,INDEX('Operating Assumptions'!$P$8:$AA$13,MATCH($B19,'Operating Assumptions'!$P$8:$P$13,0),MATCH(CM$6,'Operating Assumptions'!$P$8:$AA$8,0)),0))</f>
        <v>0</v>
      </c>
      <c r="CN19" s="1306">
        <f>IF(CN$7&gt;'Operating Assumptions'!$AA$7,0,IF(CN$6&lt;&gt;CM$6,INDEX('Operating Assumptions'!$P$8:$AA$13,MATCH($B19,'Operating Assumptions'!$P$8:$P$13,0),MATCH(CN$6,'Operating Assumptions'!$P$8:$AA$8,0)),0))</f>
        <v>0</v>
      </c>
      <c r="CO19" s="1306">
        <f>IF(CO$7&gt;'Operating Assumptions'!$AA$7,0,IF(CO$6&lt;&gt;CN$6,INDEX('Operating Assumptions'!$P$8:$AA$13,MATCH($B19,'Operating Assumptions'!$P$8:$P$13,0),MATCH(CO$6,'Operating Assumptions'!$P$8:$AA$8,0)),0))</f>
        <v>0</v>
      </c>
      <c r="CP19" s="1306">
        <f>IF(CP$7&gt;'Operating Assumptions'!$AA$7,0,IF(CP$6&lt;&gt;CO$6,INDEX('Operating Assumptions'!$P$8:$AA$13,MATCH($B19,'Operating Assumptions'!$P$8:$P$13,0),MATCH(CP$6,'Operating Assumptions'!$P$8:$AA$8,0)),0))</f>
        <v>0</v>
      </c>
      <c r="CQ19" s="1306">
        <f>IF(CQ$7&gt;'Operating Assumptions'!$AA$7,0,IF(CQ$6&lt;&gt;CP$6,INDEX('Operating Assumptions'!$P$8:$AA$13,MATCH($B19,'Operating Assumptions'!$P$8:$P$13,0),MATCH(CQ$6,'Operating Assumptions'!$P$8:$AA$8,0)),0))</f>
        <v>0</v>
      </c>
      <c r="CR19" s="1306">
        <f>IF(CR$7&gt;'Operating Assumptions'!$AA$7,0,IF(CR$6&lt;&gt;CQ$6,INDEX('Operating Assumptions'!$P$8:$AA$13,MATCH($B19,'Operating Assumptions'!$P$8:$P$13,0),MATCH(CR$6,'Operating Assumptions'!$P$8:$AA$8,0)),0))</f>
        <v>0</v>
      </c>
      <c r="CS19" s="1306">
        <f>IF(CS$7&gt;'Operating Assumptions'!$AA$7,0,IF(CS$6&lt;&gt;CR$6,INDEX('Operating Assumptions'!$P$8:$AA$13,MATCH($B19,'Operating Assumptions'!$P$8:$P$13,0),MATCH(CS$6,'Operating Assumptions'!$P$8:$AA$8,0)),0))</f>
        <v>0</v>
      </c>
      <c r="CT19" s="1306">
        <f>IF(CT$7&gt;'Operating Assumptions'!$AA$7,0,IF(CT$6&lt;&gt;CS$6,INDEX('Operating Assumptions'!$P$8:$AA$13,MATCH($B19,'Operating Assumptions'!$P$8:$P$13,0),MATCH(CT$6,'Operating Assumptions'!$P$8:$AA$8,0)),0))</f>
        <v>0</v>
      </c>
      <c r="CU19" s="1306">
        <f>IF(CU$7&gt;'Operating Assumptions'!$AA$7,0,IF(CU$6&lt;&gt;CT$6,INDEX('Operating Assumptions'!$P$8:$AA$13,MATCH($B19,'Operating Assumptions'!$P$8:$P$13,0),MATCH(CU$6,'Operating Assumptions'!$P$8:$AA$8,0)),0))</f>
        <v>0</v>
      </c>
      <c r="CV19" s="1306">
        <f>IF(CV$7&gt;'Operating Assumptions'!$AA$7,0,IF(CV$6&lt;&gt;CU$6,INDEX('Operating Assumptions'!$P$8:$AA$13,MATCH($B19,'Operating Assumptions'!$P$8:$P$13,0),MATCH(CV$6,'Operating Assumptions'!$P$8:$AA$8,0)),0))</f>
        <v>0</v>
      </c>
      <c r="CW19" s="1306">
        <f>IF(CW$7&gt;'Operating Assumptions'!$AA$7,0,IF(CW$6&lt;&gt;CV$6,INDEX('Operating Assumptions'!$P$8:$AA$13,MATCH($B19,'Operating Assumptions'!$P$8:$P$13,0),MATCH(CW$6,'Operating Assumptions'!$P$8:$AA$8,0)),0))</f>
        <v>0</v>
      </c>
      <c r="CX19" s="1306">
        <f>IF(CX$7&gt;'Operating Assumptions'!$AA$7,0,IF(CX$6&lt;&gt;CW$6,INDEX('Operating Assumptions'!$P$8:$AA$13,MATCH($B19,'Operating Assumptions'!$P$8:$P$13,0),MATCH(CX$6,'Operating Assumptions'!$P$8:$AA$8,0)),0))</f>
        <v>0</v>
      </c>
      <c r="CY19" s="1306">
        <f>IF(CY$7&gt;'Operating Assumptions'!$AA$7,0,IF(CY$6&lt;&gt;CX$6,INDEX('Operating Assumptions'!$P$8:$AA$13,MATCH($B19,'Operating Assumptions'!$P$8:$P$13,0),MATCH(CY$6,'Operating Assumptions'!$P$8:$AA$8,0)),0))</f>
        <v>0</v>
      </c>
      <c r="CZ19" s="1306">
        <f>IF(CZ$7&gt;'Operating Assumptions'!$AA$7,0,IF(CZ$6&lt;&gt;CY$6,INDEX('Operating Assumptions'!$P$8:$AA$13,MATCH($B19,'Operating Assumptions'!$P$8:$P$13,0),MATCH(CZ$6,'Operating Assumptions'!$P$8:$AA$8,0)),0))</f>
        <v>0</v>
      </c>
      <c r="DA19" s="1306">
        <f>IF(DA$7&gt;'Operating Assumptions'!$AA$7,0,IF(DA$6&lt;&gt;CZ$6,INDEX('Operating Assumptions'!$P$8:$AA$13,MATCH($B19,'Operating Assumptions'!$P$8:$P$13,0),MATCH(DA$6,'Operating Assumptions'!$P$8:$AA$8,0)),0))</f>
        <v>0</v>
      </c>
      <c r="DB19" s="1306">
        <f>IF(DB$7&gt;'Operating Assumptions'!$AA$7,0,IF(DB$6&lt;&gt;DA$6,INDEX('Operating Assumptions'!$P$8:$AA$13,MATCH($B19,'Operating Assumptions'!$P$8:$P$13,0),MATCH(DB$6,'Operating Assumptions'!$P$8:$AA$8,0)),0))</f>
        <v>0</v>
      </c>
      <c r="DC19" s="1306">
        <f>IF(DC$7&gt;'Operating Assumptions'!$AA$7,0,IF(DC$6&lt;&gt;DB$6,INDEX('Operating Assumptions'!$P$8:$AA$13,MATCH($B19,'Operating Assumptions'!$P$8:$P$13,0),MATCH(DC$6,'Operating Assumptions'!$P$8:$AA$8,0)),0))</f>
        <v>0</v>
      </c>
      <c r="DD19" s="1306">
        <f>IF(DD$7&gt;'Operating Assumptions'!$AA$7,0,IF(DD$6&lt;&gt;DC$6,INDEX('Operating Assumptions'!$P$8:$AA$13,MATCH($B19,'Operating Assumptions'!$P$8:$P$13,0),MATCH(DD$6,'Operating Assumptions'!$P$8:$AA$8,0)),0))</f>
        <v>0</v>
      </c>
      <c r="DE19" s="1306">
        <f>IF(DE$7&gt;'Operating Assumptions'!$AA$7,0,IF(DE$6&lt;&gt;DD$6,INDEX('Operating Assumptions'!$P$8:$AA$13,MATCH($B19,'Operating Assumptions'!$P$8:$P$13,0),MATCH(DE$6,'Operating Assumptions'!$P$8:$AA$8,0)),0))</f>
        <v>0</v>
      </c>
      <c r="DF19" s="1306">
        <f>IF(DF$7&gt;'Operating Assumptions'!$AA$7,0,IF(DF$6&lt;&gt;DE$6,INDEX('Operating Assumptions'!$P$8:$AA$13,MATCH($B19,'Operating Assumptions'!$P$8:$P$13,0),MATCH(DF$6,'Operating Assumptions'!$P$8:$AA$8,0)),0))</f>
        <v>0</v>
      </c>
      <c r="DG19" s="1306">
        <f>IF(DG$7&gt;'Operating Assumptions'!$AA$7,0,IF(DG$6&lt;&gt;DF$6,INDEX('Operating Assumptions'!$P$8:$AA$13,MATCH($B19,'Operating Assumptions'!$P$8:$P$13,0),MATCH(DG$6,'Operating Assumptions'!$P$8:$AA$8,0)),0))</f>
        <v>0</v>
      </c>
      <c r="DH19" s="1306">
        <f>IF(DH$7&gt;'Operating Assumptions'!$AA$7,0,IF(DH$6&lt;&gt;DG$6,INDEX('Operating Assumptions'!$P$8:$AA$13,MATCH($B19,'Operating Assumptions'!$P$8:$P$13,0),MATCH(DH$6,'Operating Assumptions'!$P$8:$AA$8,0)),0))</f>
        <v>0</v>
      </c>
      <c r="DI19" s="1306">
        <f>IF(DI$7&gt;'Operating Assumptions'!$AA$7,0,IF(DI$6&lt;&gt;DH$6,INDEX('Operating Assumptions'!$P$8:$AA$13,MATCH($B19,'Operating Assumptions'!$P$8:$P$13,0),MATCH(DI$6,'Operating Assumptions'!$P$8:$AA$8,0)),0))</f>
        <v>0</v>
      </c>
      <c r="DJ19" s="1306">
        <f>IF(DJ$7&gt;'Operating Assumptions'!$AA$7,0,IF(DJ$6&lt;&gt;DI$6,INDEX('Operating Assumptions'!$P$8:$AA$13,MATCH($B19,'Operating Assumptions'!$P$8:$P$13,0),MATCH(DJ$6,'Operating Assumptions'!$P$8:$AA$8,0)),0))</f>
        <v>0</v>
      </c>
      <c r="DK19" s="1306">
        <f>IF(DK$7&gt;'Operating Assumptions'!$AA$7,0,IF(DK$6&lt;&gt;DJ$6,INDEX('Operating Assumptions'!$P$8:$AA$13,MATCH($B19,'Operating Assumptions'!$P$8:$P$13,0),MATCH(DK$6,'Operating Assumptions'!$P$8:$AA$8,0)),0))</f>
        <v>0</v>
      </c>
      <c r="DL19" s="1306">
        <f>IF(DL$7&gt;'Operating Assumptions'!$AA$7,0,IF(DL$6&lt;&gt;DK$6,INDEX('Operating Assumptions'!$P$8:$AA$13,MATCH($B19,'Operating Assumptions'!$P$8:$P$13,0),MATCH(DL$6,'Operating Assumptions'!$P$8:$AA$8,0)),0))</f>
        <v>0</v>
      </c>
      <c r="DM19" s="1306">
        <f>IF(DM$7&gt;'Operating Assumptions'!$AA$7,0,IF(DM$6&lt;&gt;DL$6,INDEX('Operating Assumptions'!$P$8:$AA$13,MATCH($B19,'Operating Assumptions'!$P$8:$P$13,0),MATCH(DM$6,'Operating Assumptions'!$P$8:$AA$8,0)),0))</f>
        <v>0</v>
      </c>
      <c r="DN19" s="1306">
        <f>IF(DN$7&gt;'Operating Assumptions'!$AA$7,0,IF(DN$6&lt;&gt;DM$6,INDEX('Operating Assumptions'!$P$8:$AA$13,MATCH($B19,'Operating Assumptions'!$P$8:$P$13,0),MATCH(DN$6,'Operating Assumptions'!$P$8:$AA$8,0)),0))</f>
        <v>0</v>
      </c>
      <c r="DO19" s="1306">
        <f>IF(DO$7&gt;'Operating Assumptions'!$AA$7,0,IF(DO$6&lt;&gt;DN$6,INDEX('Operating Assumptions'!$P$8:$AA$13,MATCH($B19,'Operating Assumptions'!$P$8:$P$13,0),MATCH(DO$6,'Operating Assumptions'!$P$8:$AA$8,0)),0))</f>
        <v>0</v>
      </c>
      <c r="DP19" s="1306">
        <f>IF(DP$7&gt;'Operating Assumptions'!$AA$7,0,IF(DP$6&lt;&gt;DO$6,INDEX('Operating Assumptions'!$P$8:$AA$13,MATCH($B19,'Operating Assumptions'!$P$8:$P$13,0),MATCH(DP$6,'Operating Assumptions'!$P$8:$AA$8,0)),0))</f>
        <v>0</v>
      </c>
      <c r="DQ19" s="1306">
        <f>IF(DQ$7&gt;'Operating Assumptions'!$AA$7,0,IF(DQ$6&lt;&gt;DP$6,INDEX('Operating Assumptions'!$P$8:$AA$13,MATCH($B19,'Operating Assumptions'!$P$8:$P$13,0),MATCH(DQ$6,'Operating Assumptions'!$P$8:$AA$8,0)),0))</f>
        <v>0</v>
      </c>
      <c r="DR19" s="1306">
        <f>IF(DR$7&gt;'Operating Assumptions'!$AA$7,0,IF(DR$6&lt;&gt;DQ$6,INDEX('Operating Assumptions'!$P$8:$AA$13,MATCH($B19,'Operating Assumptions'!$P$8:$P$13,0),MATCH(DR$6,'Operating Assumptions'!$P$8:$AA$8,0)),0))</f>
        <v>0</v>
      </c>
      <c r="DS19" s="1306">
        <f>IF(DS$7&gt;'Operating Assumptions'!$AA$7,0,IF(DS$6&lt;&gt;DR$6,INDEX('Operating Assumptions'!$P$8:$AA$13,MATCH($B19,'Operating Assumptions'!$P$8:$P$13,0),MATCH(DS$6,'Operating Assumptions'!$P$8:$AA$8,0)),0))</f>
        <v>0</v>
      </c>
      <c r="DT19" s="1306">
        <f>IF(DT$7&gt;'Operating Assumptions'!$AA$7,0,IF(DT$6&lt;&gt;DS$6,INDEX('Operating Assumptions'!$P$8:$AA$13,MATCH($B19,'Operating Assumptions'!$P$8:$P$13,0),MATCH(DT$6,'Operating Assumptions'!$P$8:$AA$8,0)),0))</f>
        <v>0</v>
      </c>
      <c r="DU19" s="1306">
        <f>IF(DU$7&gt;'Operating Assumptions'!$AA$7,0,IF(DU$6&lt;&gt;DT$6,INDEX('Operating Assumptions'!$P$8:$AA$13,MATCH($B19,'Operating Assumptions'!$P$8:$P$13,0),MATCH(DU$6,'Operating Assumptions'!$P$8:$AA$8,0)),0))</f>
        <v>0</v>
      </c>
      <c r="DV19" s="1306">
        <f>IF(DV$7&gt;'Operating Assumptions'!$AA$7,0,IF(DV$6&lt;&gt;DU$6,INDEX('Operating Assumptions'!$P$8:$AA$13,MATCH($B19,'Operating Assumptions'!$P$8:$P$13,0),MATCH(DV$6,'Operating Assumptions'!$P$8:$AA$8,0)),0))</f>
        <v>0</v>
      </c>
      <c r="DW19" s="1306">
        <f>IF(DW$7&gt;'Operating Assumptions'!$AA$7,0,IF(DW$6&lt;&gt;DV$6,INDEX('Operating Assumptions'!$P$8:$AA$13,MATCH($B19,'Operating Assumptions'!$P$8:$P$13,0),MATCH(DW$6,'Operating Assumptions'!$P$8:$AA$8,0)),0))</f>
        <v>0</v>
      </c>
      <c r="DX19" s="1306">
        <f>IF(DX$7&gt;'Operating Assumptions'!$AA$7,0,IF(DX$6&lt;&gt;DW$6,INDEX('Operating Assumptions'!$P$8:$AA$13,MATCH($B19,'Operating Assumptions'!$P$8:$P$13,0),MATCH(DX$6,'Operating Assumptions'!$P$8:$AA$8,0)),0))</f>
        <v>0</v>
      </c>
      <c r="DY19" s="1306">
        <f>IF(DY$7&gt;'Operating Assumptions'!$AA$7,0,IF(DY$6&lt;&gt;DX$6,INDEX('Operating Assumptions'!$P$8:$AA$13,MATCH($B19,'Operating Assumptions'!$P$8:$P$13,0),MATCH(DY$6,'Operating Assumptions'!$P$8:$AA$8,0)),0))</f>
        <v>0</v>
      </c>
      <c r="DZ19" s="1306">
        <f>IF(DZ$7&gt;'Operating Assumptions'!$AA$7,0,IF(DZ$6&lt;&gt;DY$6,INDEX('Operating Assumptions'!$P$8:$AA$13,MATCH($B19,'Operating Assumptions'!$P$8:$P$13,0),MATCH(DZ$6,'Operating Assumptions'!$P$8:$AA$8,0)),0))</f>
        <v>0</v>
      </c>
      <c r="EA19" s="1306">
        <f>IF(EA$7&gt;'Operating Assumptions'!$AA$7,0,IF(EA$6&lt;&gt;DZ$6,INDEX('Operating Assumptions'!$P$8:$AA$13,MATCH($B19,'Operating Assumptions'!$P$8:$P$13,0),MATCH(EA$6,'Operating Assumptions'!$P$8:$AA$8,0)),0))</f>
        <v>0</v>
      </c>
      <c r="EB19" s="1306">
        <f>IF(EB$7&gt;'Operating Assumptions'!$AA$7,0,IF(EB$6&lt;&gt;EA$6,INDEX('Operating Assumptions'!$P$8:$AA$13,MATCH($B19,'Operating Assumptions'!$P$8:$P$13,0),MATCH(EB$6,'Operating Assumptions'!$P$8:$AA$8,0)),0))</f>
        <v>0</v>
      </c>
      <c r="EC19" s="1306">
        <f>IF(EC$7&gt;'Operating Assumptions'!$AA$7,0,IF(EC$6&lt;&gt;EB$6,INDEX('Operating Assumptions'!$P$8:$AA$13,MATCH($B19,'Operating Assumptions'!$P$8:$P$13,0),MATCH(EC$6,'Operating Assumptions'!$P$8:$AA$8,0)),0))</f>
        <v>0</v>
      </c>
      <c r="ED19" s="1306">
        <f>IF(ED$7&gt;'Operating Assumptions'!$AA$7,0,IF(ED$6&lt;&gt;EC$6,INDEX('Operating Assumptions'!$P$8:$AA$13,MATCH($B19,'Operating Assumptions'!$P$8:$P$13,0),MATCH(ED$6,'Operating Assumptions'!$P$8:$AA$8,0)),0))</f>
        <v>0</v>
      </c>
      <c r="EE19" s="1306">
        <f>IF(EE$7&gt;'Operating Assumptions'!$AA$7,0,IF(EE$6&lt;&gt;ED$6,INDEX('Operating Assumptions'!$P$8:$AA$13,MATCH($B19,'Operating Assumptions'!$P$8:$P$13,0),MATCH(EE$6,'Operating Assumptions'!$P$8:$AA$8,0)),0))</f>
        <v>0</v>
      </c>
      <c r="EF19" s="1306">
        <f>IF(EF$7&gt;'Operating Assumptions'!$AA$7,0,IF(EF$6&lt;&gt;EE$6,INDEX('Operating Assumptions'!$P$8:$AA$13,MATCH($B19,'Operating Assumptions'!$P$8:$P$13,0),MATCH(EF$6,'Operating Assumptions'!$P$8:$AA$8,0)),0))</f>
        <v>0</v>
      </c>
      <c r="EG19" s="1306">
        <f>IF(EG$7&gt;'Operating Assumptions'!$AA$7,0,IF(EG$6&lt;&gt;EF$6,INDEX('Operating Assumptions'!$P$8:$AA$13,MATCH($B19,'Operating Assumptions'!$P$8:$P$13,0),MATCH(EG$6,'Operating Assumptions'!$P$8:$AA$8,0)),0))</f>
        <v>0</v>
      </c>
      <c r="EH19" s="1306">
        <f>IF(EH$7&gt;'Operating Assumptions'!$AA$7,0,IF(EH$6&lt;&gt;EG$6,INDEX('Operating Assumptions'!$P$8:$AA$13,MATCH($B19,'Operating Assumptions'!$P$8:$P$13,0),MATCH(EH$6,'Operating Assumptions'!$P$8:$AA$8,0)),0))</f>
        <v>0</v>
      </c>
      <c r="EI19" s="1306">
        <f>IF(EI$7&gt;'Operating Assumptions'!$AA$7,0,IF(EI$6&lt;&gt;EH$6,INDEX('Operating Assumptions'!$P$8:$AA$13,MATCH($B19,'Operating Assumptions'!$P$8:$P$13,0),MATCH(EI$6,'Operating Assumptions'!$P$8:$AA$8,0)),0))</f>
        <v>0</v>
      </c>
      <c r="EJ19" s="1306">
        <f>IF(EJ$7&gt;'Operating Assumptions'!$AA$7,0,IF(EJ$6&lt;&gt;EI$6,INDEX('Operating Assumptions'!$P$8:$AA$13,MATCH($B19,'Operating Assumptions'!$P$8:$P$13,0),MATCH(EJ$6,'Operating Assumptions'!$P$8:$AA$8,0)),0))</f>
        <v>0</v>
      </c>
      <c r="EK19" s="1306">
        <f>IF(EK$7&gt;'Operating Assumptions'!$AA$7,0,IF(EK$6&lt;&gt;EJ$6,INDEX('Operating Assumptions'!$P$8:$AA$13,MATCH($B19,'Operating Assumptions'!$P$8:$P$13,0),MATCH(EK$6,'Operating Assumptions'!$P$8:$AA$8,0)),0))</f>
        <v>0</v>
      </c>
      <c r="EL19" s="1306">
        <f>IF(EL$7&gt;'Operating Assumptions'!$AA$7,0,IF(EL$6&lt;&gt;EK$6,INDEX('Operating Assumptions'!$P$8:$AA$13,MATCH($B19,'Operating Assumptions'!$P$8:$P$13,0),MATCH(EL$6,'Operating Assumptions'!$P$8:$AA$8,0)),0))</f>
        <v>0</v>
      </c>
      <c r="EM19" s="1306">
        <f>IF(EM$7&gt;'Operating Assumptions'!$AA$7,0,IF(EM$6&lt;&gt;EL$6,INDEX('Operating Assumptions'!$P$8:$AA$13,MATCH($B19,'Operating Assumptions'!$P$8:$P$13,0),MATCH(EM$6,'Operating Assumptions'!$P$8:$AA$8,0)),0))</f>
        <v>0</v>
      </c>
      <c r="EN19" s="1306">
        <f>IF(EN$7&gt;'Operating Assumptions'!$AA$7,0,IF(EN$6&lt;&gt;EM$6,INDEX('Operating Assumptions'!$P$8:$AA$13,MATCH($B19,'Operating Assumptions'!$P$8:$P$13,0),MATCH(EN$6,'Operating Assumptions'!$P$8:$AA$8,0)),0))</f>
        <v>0</v>
      </c>
      <c r="EO19" s="1306">
        <f>IF(EO$7&gt;'Operating Assumptions'!$AA$7,0,IF(EO$6&lt;&gt;EN$6,INDEX('Operating Assumptions'!$P$8:$AA$13,MATCH($B19,'Operating Assumptions'!$P$8:$P$13,0),MATCH(EO$6,'Operating Assumptions'!$P$8:$AA$8,0)),0))</f>
        <v>0</v>
      </c>
      <c r="EP19" s="1306">
        <f>IF(EP$7&gt;'Operating Assumptions'!$AA$7,0,IF(EP$6&lt;&gt;EO$6,INDEX('Operating Assumptions'!$P$8:$AA$13,MATCH($B19,'Operating Assumptions'!$P$8:$P$13,0),MATCH(EP$6,'Operating Assumptions'!$P$8:$AA$8,0)),0))</f>
        <v>0</v>
      </c>
      <c r="EQ19" s="1306">
        <f>IF(EQ$7&gt;'Operating Assumptions'!$AA$7,0,IF(EQ$6&lt;&gt;EP$6,INDEX('Operating Assumptions'!$P$8:$AA$13,MATCH($B19,'Operating Assumptions'!$P$8:$P$13,0),MATCH(EQ$6,'Operating Assumptions'!$P$8:$AA$8,0)),0))</f>
        <v>0</v>
      </c>
      <c r="ER19" s="1306">
        <f>IF(ER$7&gt;'Operating Assumptions'!$AA$7,0,IF(ER$6&lt;&gt;EQ$6,INDEX('Operating Assumptions'!$P$8:$AA$13,MATCH($B19,'Operating Assumptions'!$P$8:$P$13,0),MATCH(ER$6,'Operating Assumptions'!$P$8:$AA$8,0)),0))</f>
        <v>0</v>
      </c>
      <c r="ES19" s="1306">
        <f>IF(ES$7&gt;'Operating Assumptions'!$AA$7,0,IF(ES$6&lt;&gt;ER$6,INDEX('Operating Assumptions'!$P$8:$AA$13,MATCH($B19,'Operating Assumptions'!$P$8:$P$13,0),MATCH(ES$6,'Operating Assumptions'!$P$8:$AA$8,0)),0))</f>
        <v>0</v>
      </c>
      <c r="ET19" s="1306">
        <f>IF(ET$7&gt;'Operating Assumptions'!$AA$7,0,IF(ET$6&lt;&gt;ES$6,INDEX('Operating Assumptions'!$P$8:$AA$13,MATCH($B19,'Operating Assumptions'!$P$8:$P$13,0),MATCH(ET$6,'Operating Assumptions'!$P$8:$AA$8,0)),0))</f>
        <v>0</v>
      </c>
      <c r="EU19" s="1306">
        <f>IF(EU$7&gt;'Operating Assumptions'!$AA$7,0,IF(EU$6&lt;&gt;ET$6,INDEX('Operating Assumptions'!$P$8:$AA$13,MATCH($B19,'Operating Assumptions'!$P$8:$P$13,0),MATCH(EU$6,'Operating Assumptions'!$P$8:$AA$8,0)),0))</f>
        <v>0</v>
      </c>
      <c r="EV19" s="1306">
        <f>IF(EV$7&gt;'Operating Assumptions'!$AA$7,0,IF(EV$6&lt;&gt;EU$6,INDEX('Operating Assumptions'!$P$8:$AA$13,MATCH($B19,'Operating Assumptions'!$P$8:$P$13,0),MATCH(EV$6,'Operating Assumptions'!$P$8:$AA$8,0)),0))</f>
        <v>0</v>
      </c>
      <c r="EW19" s="1306">
        <f>IF(EW$7&gt;'Operating Assumptions'!$AA$7,0,IF(EW$6&lt;&gt;EV$6,INDEX('Operating Assumptions'!$P$8:$AA$13,MATCH($B19,'Operating Assumptions'!$P$8:$P$13,0),MATCH(EW$6,'Operating Assumptions'!$P$8:$AA$8,0)),0))</f>
        <v>0</v>
      </c>
      <c r="EX19" s="1306">
        <f>IF(EX$7&gt;'Operating Assumptions'!$AA$7,0,IF(EX$6&lt;&gt;EW$6,INDEX('Operating Assumptions'!$P$8:$AA$13,MATCH($B19,'Operating Assumptions'!$P$8:$P$13,0),MATCH(EX$6,'Operating Assumptions'!$P$8:$AA$8,0)),0))</f>
        <v>0</v>
      </c>
      <c r="EY19" s="1306">
        <f>IF(EY$7&gt;'Operating Assumptions'!$AA$7,0,IF(EY$6&lt;&gt;EX$6,INDEX('Operating Assumptions'!$P$8:$AA$13,MATCH($B19,'Operating Assumptions'!$P$8:$P$13,0),MATCH(EY$6,'Operating Assumptions'!$P$8:$AA$8,0)),0))</f>
        <v>0</v>
      </c>
      <c r="EZ19" s="1306">
        <f>IF(EZ$7&gt;'Operating Assumptions'!$AA$7,0,IF(EZ$6&lt;&gt;EY$6,INDEX('Operating Assumptions'!$P$8:$AA$13,MATCH($B19,'Operating Assumptions'!$P$8:$P$13,0),MATCH(EZ$6,'Operating Assumptions'!$P$8:$AA$8,0)),0))</f>
        <v>0</v>
      </c>
      <c r="FA19" s="1306">
        <f>IF(FA$7&gt;'Operating Assumptions'!$AA$7,0,IF(FA$6&lt;&gt;EZ$6,INDEX('Operating Assumptions'!$P$8:$AA$13,MATCH($B19,'Operating Assumptions'!$P$8:$P$13,0),MATCH(FA$6,'Operating Assumptions'!$P$8:$AA$8,0)),0))</f>
        <v>0</v>
      </c>
      <c r="FB19" s="1306">
        <f>IF(FB$7&gt;'Operating Assumptions'!$AA$7,0,IF(FB$6&lt;&gt;FA$6,INDEX('Operating Assumptions'!$P$8:$AA$13,MATCH($B19,'Operating Assumptions'!$P$8:$P$13,0),MATCH(FB$6,'Operating Assumptions'!$P$8:$AA$8,0)),0))</f>
        <v>0</v>
      </c>
      <c r="FC19" s="1306">
        <f>IF(FC$7&gt;'Operating Assumptions'!$AA$7,0,IF(FC$6&lt;&gt;FB$6,INDEX('Operating Assumptions'!$P$8:$AA$13,MATCH($B19,'Operating Assumptions'!$P$8:$P$13,0),MATCH(FC$6,'Operating Assumptions'!$P$8:$AA$8,0)),0))</f>
        <v>0</v>
      </c>
      <c r="FD19" s="1306">
        <f>IF(FD$7&gt;'Operating Assumptions'!$AA$7,0,IF(FD$6&lt;&gt;FC$6,INDEX('Operating Assumptions'!$P$8:$AA$13,MATCH($B19,'Operating Assumptions'!$P$8:$P$13,0),MATCH(FD$6,'Operating Assumptions'!$P$8:$AA$8,0)),0))</f>
        <v>0</v>
      </c>
      <c r="FE19" s="1306">
        <f>IF(FE$7&gt;'Operating Assumptions'!$AA$7,0,IF(FE$6&lt;&gt;FD$6,INDEX('Operating Assumptions'!$P$8:$AA$13,MATCH($B19,'Operating Assumptions'!$P$8:$P$13,0),MATCH(FE$6,'Operating Assumptions'!$P$8:$AA$8,0)),0))</f>
        <v>0</v>
      </c>
      <c r="FF19" s="1306">
        <f>IF(FF$7&gt;'Operating Assumptions'!$AA$7,0,IF(FF$6&lt;&gt;FE$6,INDEX('Operating Assumptions'!$P$8:$AA$13,MATCH($B19,'Operating Assumptions'!$P$8:$P$13,0),MATCH(FF$6,'Operating Assumptions'!$P$8:$AA$8,0)),0))</f>
        <v>0</v>
      </c>
      <c r="FG19" s="1306">
        <f>IF(FG$7&gt;'Operating Assumptions'!$AA$7,0,IF(FG$6&lt;&gt;FF$6,INDEX('Operating Assumptions'!$P$8:$AA$13,MATCH($B19,'Operating Assumptions'!$P$8:$P$13,0),MATCH(FG$6,'Operating Assumptions'!$P$8:$AA$8,0)),0))</f>
        <v>0</v>
      </c>
      <c r="FH19" s="1306">
        <f>IF(FH$7&gt;'Operating Assumptions'!$AA$7,0,IF(FH$6&lt;&gt;FG$6,INDEX('Operating Assumptions'!$P$8:$AA$13,MATCH($B19,'Operating Assumptions'!$P$8:$P$13,0),MATCH(FH$6,'Operating Assumptions'!$P$8:$AA$8,0)),0))</f>
        <v>0</v>
      </c>
      <c r="FI19" s="1306">
        <f>IF(FI$7&gt;'Operating Assumptions'!$AA$7,0,IF(FI$6&lt;&gt;FH$6,INDEX('Operating Assumptions'!$P$8:$AA$13,MATCH($B19,'Operating Assumptions'!$P$8:$P$13,0),MATCH(FI$6,'Operating Assumptions'!$P$8:$AA$8,0)),0))</f>
        <v>0</v>
      </c>
      <c r="FJ19" s="1306">
        <f>IF(FJ$7&gt;'Operating Assumptions'!$AA$7,0,IF(FJ$6&lt;&gt;FI$6,INDEX('Operating Assumptions'!$P$8:$AA$13,MATCH($B19,'Operating Assumptions'!$P$8:$P$13,0),MATCH(FJ$6,'Operating Assumptions'!$P$8:$AA$8,0)),0))</f>
        <v>0</v>
      </c>
      <c r="FK19" s="1306">
        <f>IF(FK$7&gt;'Operating Assumptions'!$AA$7,0,IF(FK$6&lt;&gt;FJ$6,INDEX('Operating Assumptions'!$P$8:$AA$13,MATCH($B19,'Operating Assumptions'!$P$8:$P$13,0),MATCH(FK$6,'Operating Assumptions'!$P$8:$AA$8,0)),0))</f>
        <v>0</v>
      </c>
      <c r="FL19" s="1306">
        <f>IF(FL$7&gt;'Operating Assumptions'!$AA$7,0,IF(FL$6&lt;&gt;FK$6,INDEX('Operating Assumptions'!$P$8:$AA$13,MATCH($B19,'Operating Assumptions'!$P$8:$P$13,0),MATCH(FL$6,'Operating Assumptions'!$P$8:$AA$8,0)),0))</f>
        <v>0</v>
      </c>
      <c r="FM19" s="1306">
        <f>IF(FM$7&gt;'Operating Assumptions'!$AA$7,0,IF(FM$6&lt;&gt;FL$6,INDEX('Operating Assumptions'!$P$8:$AA$13,MATCH($B19,'Operating Assumptions'!$P$8:$P$13,0),MATCH(FM$6,'Operating Assumptions'!$P$8:$AA$8,0)),0))</f>
        <v>0</v>
      </c>
      <c r="FN19" s="1306">
        <f>IF(FN$7&gt;'Operating Assumptions'!$AA$7,0,IF(FN$6&lt;&gt;FM$6,INDEX('Operating Assumptions'!$P$8:$AA$13,MATCH($B19,'Operating Assumptions'!$P$8:$P$13,0),MATCH(FN$6,'Operating Assumptions'!$P$8:$AA$8,0)),0))</f>
        <v>0</v>
      </c>
      <c r="FO19" s="1306">
        <f>IF(FO$7&gt;'Operating Assumptions'!$AA$7,0,IF(FO$6&lt;&gt;FN$6,INDEX('Operating Assumptions'!$P$8:$AA$13,MATCH($B19,'Operating Assumptions'!$P$8:$P$13,0),MATCH(FO$6,'Operating Assumptions'!$P$8:$AA$8,0)),0))</f>
        <v>0</v>
      </c>
      <c r="FP19" s="1306">
        <f>IF(FP$7&gt;'Operating Assumptions'!$AA$7,0,IF(FP$6&lt;&gt;FO$6,INDEX('Operating Assumptions'!$P$8:$AA$13,MATCH($B19,'Operating Assumptions'!$P$8:$P$13,0),MATCH(FP$6,'Operating Assumptions'!$P$8:$AA$8,0)),0))</f>
        <v>0</v>
      </c>
      <c r="FQ19" s="1306">
        <f>IF(FQ$7&gt;'Operating Assumptions'!$AA$7,0,IF(FQ$6&lt;&gt;FP$6,INDEX('Operating Assumptions'!$P$8:$AA$13,MATCH($B19,'Operating Assumptions'!$P$8:$P$13,0),MATCH(FQ$6,'Operating Assumptions'!$P$8:$AA$8,0)),0))</f>
        <v>0</v>
      </c>
      <c r="FR19" s="1306">
        <f>IF(FR$7&gt;'Operating Assumptions'!$AA$7,0,IF(FR$6&lt;&gt;FQ$6,INDEX('Operating Assumptions'!$P$8:$AA$13,MATCH($B19,'Operating Assumptions'!$P$8:$P$13,0),MATCH(FR$6,'Operating Assumptions'!$P$8:$AA$8,0)),0))</f>
        <v>0</v>
      </c>
      <c r="FS19" s="1306">
        <f>IF(FS$7&gt;'Operating Assumptions'!$AA$7,0,IF(FS$6&lt;&gt;FR$6,INDEX('Operating Assumptions'!$P$8:$AA$13,MATCH($B19,'Operating Assumptions'!$P$8:$P$13,0),MATCH(FS$6,'Operating Assumptions'!$P$8:$AA$8,0)),0))</f>
        <v>0</v>
      </c>
      <c r="FT19" s="1306">
        <f>IF(FT$7&gt;'Operating Assumptions'!$AA$7,0,IF(FT$6&lt;&gt;FS$6,INDEX('Operating Assumptions'!$P$8:$AA$13,MATCH($B19,'Operating Assumptions'!$P$8:$P$13,0),MATCH(FT$6,'Operating Assumptions'!$P$8:$AA$8,0)),0))</f>
        <v>0</v>
      </c>
      <c r="FU19" s="43"/>
    </row>
    <row r="20" spans="1:182" s="34" customFormat="1" ht="13.5" hidden="1" outlineLevel="1" x14ac:dyDescent="0.25">
      <c r="B20" s="48" t="str">
        <f>'Operating Assumptions'!$P12</f>
        <v>Expense Inflation</v>
      </c>
      <c r="C20" s="435"/>
      <c r="D20" s="435"/>
      <c r="E20" s="435"/>
      <c r="F20" s="435"/>
      <c r="G20" s="435"/>
      <c r="H20" s="1306">
        <v>0</v>
      </c>
      <c r="I20" s="1306">
        <f>IF(I$7&gt;'Operating Assumptions'!$AA$7,0,IF(I$6&lt;&gt;H$6,INDEX('Operating Assumptions'!$P$8:$AA$13,MATCH($B20,'Operating Assumptions'!$P$8:$P$13,0),MATCH(I$6,'Operating Assumptions'!$P$8:$AA$8,0)),0))</f>
        <v>0</v>
      </c>
      <c r="J20" s="1306">
        <f>IF(J$7&gt;'Operating Assumptions'!$AA$7,0,IF(J$6&lt;&gt;I$6,INDEX('Operating Assumptions'!$P$8:$AA$13,MATCH($B20,'Operating Assumptions'!$P$8:$P$13,0),MATCH(J$6,'Operating Assumptions'!$P$8:$AA$8,0)),0))</f>
        <v>0</v>
      </c>
      <c r="K20" s="1306">
        <f>IF(K$7&gt;'Operating Assumptions'!$AA$7,0,IF(K$6&lt;&gt;J$6,INDEX('Operating Assumptions'!$P$8:$AA$13,MATCH($B20,'Operating Assumptions'!$P$8:$P$13,0),MATCH(K$6,'Operating Assumptions'!$P$8:$AA$8,0)),0))</f>
        <v>0</v>
      </c>
      <c r="L20" s="1306">
        <f>IF(L$7&gt;'Operating Assumptions'!$AA$7,0,IF(L$6&lt;&gt;K$6,INDEX('Operating Assumptions'!$P$8:$AA$13,MATCH($B20,'Operating Assumptions'!$P$8:$P$13,0),MATCH(L$6,'Operating Assumptions'!$P$8:$AA$8,0)),0))</f>
        <v>0</v>
      </c>
      <c r="M20" s="1306">
        <f>IF(M$7&gt;'Operating Assumptions'!$AA$7,0,IF(M$6&lt;&gt;L$6,INDEX('Operating Assumptions'!$P$8:$AA$13,MATCH($B20,'Operating Assumptions'!$P$8:$P$13,0),MATCH(M$6,'Operating Assumptions'!$P$8:$AA$8,0)),0))</f>
        <v>0</v>
      </c>
      <c r="N20" s="1306">
        <f>IF(N$7&gt;'Operating Assumptions'!$AA$7,0,IF(N$6&lt;&gt;M$6,INDEX('Operating Assumptions'!$P$8:$AA$13,MATCH($B20,'Operating Assumptions'!$P$8:$P$13,0),MATCH(N$6,'Operating Assumptions'!$P$8:$AA$8,0)),0))</f>
        <v>0</v>
      </c>
      <c r="O20" s="1306">
        <f>IF(O$7&gt;'Operating Assumptions'!$AA$7,0,IF(O$6&lt;&gt;N$6,INDEX('Operating Assumptions'!$P$8:$AA$13,MATCH($B20,'Operating Assumptions'!$P$8:$P$13,0),MATCH(O$6,'Operating Assumptions'!$P$8:$AA$8,0)),0))</f>
        <v>0</v>
      </c>
      <c r="P20" s="1306">
        <f>IF(P$7&gt;'Operating Assumptions'!$AA$7,0,IF(P$6&lt;&gt;O$6,INDEX('Operating Assumptions'!$P$8:$AA$13,MATCH($B20,'Operating Assumptions'!$P$8:$P$13,0),MATCH(P$6,'Operating Assumptions'!$P$8:$AA$8,0)),0))</f>
        <v>0</v>
      </c>
      <c r="Q20" s="1306">
        <f>IF(Q$7&gt;'Operating Assumptions'!$AA$7,0,IF(Q$6&lt;&gt;P$6,INDEX('Operating Assumptions'!$P$8:$AA$13,MATCH($B20,'Operating Assumptions'!$P$8:$P$13,0),MATCH(Q$6,'Operating Assumptions'!$P$8:$AA$8,0)),0))</f>
        <v>0</v>
      </c>
      <c r="R20" s="1306">
        <f>IF(R$7&gt;'Operating Assumptions'!$AA$7,0,IF(R$6&lt;&gt;Q$6,INDEX('Operating Assumptions'!$P$8:$AA$13,MATCH($B20,'Operating Assumptions'!$P$8:$P$13,0),MATCH(R$6,'Operating Assumptions'!$P$8:$AA$8,0)),0))</f>
        <v>0</v>
      </c>
      <c r="S20" s="1306">
        <f>IF(S$7&gt;'Operating Assumptions'!$AA$7,0,IF(S$6&lt;&gt;R$6,INDEX('Operating Assumptions'!$P$8:$AA$13,MATCH($B20,'Operating Assumptions'!$P$8:$P$13,0),MATCH(S$6,'Operating Assumptions'!$P$8:$AA$8,0)),0))</f>
        <v>0</v>
      </c>
      <c r="T20" s="1306">
        <f>IF(T$7&gt;'Operating Assumptions'!$AA$7,0,IF(T$6&lt;&gt;S$6,INDEX('Operating Assumptions'!$P$8:$AA$13,MATCH($B20,'Operating Assumptions'!$P$8:$P$13,0),MATCH(T$6,'Operating Assumptions'!$P$8:$AA$8,0)),0))</f>
        <v>0</v>
      </c>
      <c r="U20" s="1306">
        <f>IF(U$7&gt;'Operating Assumptions'!$AA$7,0,IF(U$6&lt;&gt;T$6,INDEX('Operating Assumptions'!$P$8:$AA$13,MATCH($B20,'Operating Assumptions'!$P$8:$P$13,0),MATCH(U$6,'Operating Assumptions'!$P$8:$AA$8,0)),0))</f>
        <v>0</v>
      </c>
      <c r="V20" s="1306">
        <f>IF(V$7&gt;'Operating Assumptions'!$AA$7,0,IF(V$6&lt;&gt;U$6,INDEX('Operating Assumptions'!$P$8:$AA$13,MATCH($B20,'Operating Assumptions'!$P$8:$P$13,0),MATCH(V$6,'Operating Assumptions'!$P$8:$AA$8,0)),0))</f>
        <v>0</v>
      </c>
      <c r="W20" s="1306">
        <f>IF(W$7&gt;'Operating Assumptions'!$AA$7,0,IF(W$6&lt;&gt;V$6,INDEX('Operating Assumptions'!$P$8:$AA$13,MATCH($B20,'Operating Assumptions'!$P$8:$P$13,0),MATCH(W$6,'Operating Assumptions'!$P$8:$AA$8,0)),0))</f>
        <v>0</v>
      </c>
      <c r="X20" s="1306">
        <f>IF(X$7&gt;'Operating Assumptions'!$AA$7,0,IF(X$6&lt;&gt;W$6,INDEX('Operating Assumptions'!$P$8:$AA$13,MATCH($B20,'Operating Assumptions'!$P$8:$P$13,0),MATCH(X$6,'Operating Assumptions'!$P$8:$AA$8,0)),0))</f>
        <v>0</v>
      </c>
      <c r="Y20" s="1306">
        <f>IF(Y$7&gt;'Operating Assumptions'!$AA$7,0,IF(Y$6&lt;&gt;X$6,INDEX('Operating Assumptions'!$P$8:$AA$13,MATCH($B20,'Operating Assumptions'!$P$8:$P$13,0),MATCH(Y$6,'Operating Assumptions'!$P$8:$AA$8,0)),0))</f>
        <v>0</v>
      </c>
      <c r="Z20" s="1306">
        <f>IF(Z$7&gt;'Operating Assumptions'!$AA$7,0,IF(Z$6&lt;&gt;Y$6,INDEX('Operating Assumptions'!$P$8:$AA$13,MATCH($B20,'Operating Assumptions'!$P$8:$P$13,0),MATCH(Z$6,'Operating Assumptions'!$P$8:$AA$8,0)),0))</f>
        <v>0</v>
      </c>
      <c r="AA20" s="1306">
        <f>IF(AA$7&gt;'Operating Assumptions'!$AA$7,0,IF(AA$6&lt;&gt;Z$6,INDEX('Operating Assumptions'!$P$8:$AA$13,MATCH($B20,'Operating Assumptions'!$P$8:$P$13,0),MATCH(AA$6,'Operating Assumptions'!$P$8:$AA$8,0)),0))</f>
        <v>0</v>
      </c>
      <c r="AB20" s="1306">
        <f>IF(AB$7&gt;'Operating Assumptions'!$AA$7,0,IF(AB$6&lt;&gt;AA$6,INDEX('Operating Assumptions'!$P$8:$AA$13,MATCH($B20,'Operating Assumptions'!$P$8:$P$13,0),MATCH(AB$6,'Operating Assumptions'!$P$8:$AA$8,0)),0))</f>
        <v>0</v>
      </c>
      <c r="AC20" s="1306">
        <f>IF(AC$7&gt;'Operating Assumptions'!$AA$7,0,IF(AC$6&lt;&gt;AB$6,INDEX('Operating Assumptions'!$P$8:$AA$13,MATCH($B20,'Operating Assumptions'!$P$8:$P$13,0),MATCH(AC$6,'Operating Assumptions'!$P$8:$AA$8,0)),0))</f>
        <v>0</v>
      </c>
      <c r="AD20" s="1306">
        <f>IF(AD$7&gt;'Operating Assumptions'!$AA$7,0,IF(AD$6&lt;&gt;AC$6,INDEX('Operating Assumptions'!$P$8:$AA$13,MATCH($B20,'Operating Assumptions'!$P$8:$P$13,0),MATCH(AD$6,'Operating Assumptions'!$P$8:$AA$8,0)),0))</f>
        <v>0</v>
      </c>
      <c r="AE20" s="1306">
        <f>IF(AE$7&gt;'Operating Assumptions'!$AA$7,0,IF(AE$6&lt;&gt;AD$6,INDEX('Operating Assumptions'!$P$8:$AA$13,MATCH($B20,'Operating Assumptions'!$P$8:$P$13,0),MATCH(AE$6,'Operating Assumptions'!$P$8:$AA$8,0)),0))</f>
        <v>0</v>
      </c>
      <c r="AF20" s="1306">
        <f>IF(AF$7&gt;'Operating Assumptions'!$AA$7,0,IF(AF$6&lt;&gt;AE$6,INDEX('Operating Assumptions'!$P$8:$AA$13,MATCH($B20,'Operating Assumptions'!$P$8:$P$13,0),MATCH(AF$6,'Operating Assumptions'!$P$8:$AA$8,0)),0))</f>
        <v>0.01</v>
      </c>
      <c r="AG20" s="1306">
        <f>IF(AG$7&gt;'Operating Assumptions'!$AA$7,0,IF(AG$6&lt;&gt;AF$6,INDEX('Operating Assumptions'!$P$8:$AA$13,MATCH($B20,'Operating Assumptions'!$P$8:$P$13,0),MATCH(AG$6,'Operating Assumptions'!$P$8:$AA$8,0)),0))</f>
        <v>0</v>
      </c>
      <c r="AH20" s="1306">
        <f>IF(AH$7&gt;'Operating Assumptions'!$AA$7,0,IF(AH$6&lt;&gt;AG$6,INDEX('Operating Assumptions'!$P$8:$AA$13,MATCH($B20,'Operating Assumptions'!$P$8:$P$13,0),MATCH(AH$6,'Operating Assumptions'!$P$8:$AA$8,0)),0))</f>
        <v>0</v>
      </c>
      <c r="AI20" s="1306">
        <f>IF(AI$7&gt;'Operating Assumptions'!$AA$7,0,IF(AI$6&lt;&gt;AH$6,INDEX('Operating Assumptions'!$P$8:$AA$13,MATCH($B20,'Operating Assumptions'!$P$8:$P$13,0),MATCH(AI$6,'Operating Assumptions'!$P$8:$AA$8,0)),0))</f>
        <v>0</v>
      </c>
      <c r="AJ20" s="1306">
        <f>IF(AJ$7&gt;'Operating Assumptions'!$AA$7,0,IF(AJ$6&lt;&gt;AI$6,INDEX('Operating Assumptions'!$P$8:$AA$13,MATCH($B20,'Operating Assumptions'!$P$8:$P$13,0),MATCH(AJ$6,'Operating Assumptions'!$P$8:$AA$8,0)),0))</f>
        <v>0</v>
      </c>
      <c r="AK20" s="1306">
        <f>IF(AK$7&gt;'Operating Assumptions'!$AA$7,0,IF(AK$6&lt;&gt;AJ$6,INDEX('Operating Assumptions'!$P$8:$AA$13,MATCH($B20,'Operating Assumptions'!$P$8:$P$13,0),MATCH(AK$6,'Operating Assumptions'!$P$8:$AA$8,0)),0))</f>
        <v>0</v>
      </c>
      <c r="AL20" s="1306">
        <f>IF(AL$7&gt;'Operating Assumptions'!$AA$7,0,IF(AL$6&lt;&gt;AK$6,INDEX('Operating Assumptions'!$P$8:$AA$13,MATCH($B20,'Operating Assumptions'!$P$8:$P$13,0),MATCH(AL$6,'Operating Assumptions'!$P$8:$AA$8,0)),0))</f>
        <v>0</v>
      </c>
      <c r="AM20" s="1306">
        <f>IF(AM$7&gt;'Operating Assumptions'!$AA$7,0,IF(AM$6&lt;&gt;AL$6,INDEX('Operating Assumptions'!$P$8:$AA$13,MATCH($B20,'Operating Assumptions'!$P$8:$P$13,0),MATCH(AM$6,'Operating Assumptions'!$P$8:$AA$8,0)),0))</f>
        <v>0</v>
      </c>
      <c r="AN20" s="1306">
        <f>IF(AN$7&gt;'Operating Assumptions'!$AA$7,0,IF(AN$6&lt;&gt;AM$6,INDEX('Operating Assumptions'!$P$8:$AA$13,MATCH($B20,'Operating Assumptions'!$P$8:$P$13,0),MATCH(AN$6,'Operating Assumptions'!$P$8:$AA$8,0)),0))</f>
        <v>0</v>
      </c>
      <c r="AO20" s="1306">
        <f>IF(AO$7&gt;'Operating Assumptions'!$AA$7,0,IF(AO$6&lt;&gt;AN$6,INDEX('Operating Assumptions'!$P$8:$AA$13,MATCH($B20,'Operating Assumptions'!$P$8:$P$13,0),MATCH(AO$6,'Operating Assumptions'!$P$8:$AA$8,0)),0))</f>
        <v>0</v>
      </c>
      <c r="AP20" s="1306">
        <f>IF(AP$7&gt;'Operating Assumptions'!$AA$7,0,IF(AP$6&lt;&gt;AO$6,INDEX('Operating Assumptions'!$P$8:$AA$13,MATCH($B20,'Operating Assumptions'!$P$8:$P$13,0),MATCH(AP$6,'Operating Assumptions'!$P$8:$AA$8,0)),0))</f>
        <v>0</v>
      </c>
      <c r="AQ20" s="1306">
        <f>IF(AQ$7&gt;'Operating Assumptions'!$AA$7,0,IF(AQ$6&lt;&gt;AP$6,INDEX('Operating Assumptions'!$P$8:$AA$13,MATCH($B20,'Operating Assumptions'!$P$8:$P$13,0),MATCH(AQ$6,'Operating Assumptions'!$P$8:$AA$8,0)),0))</f>
        <v>0</v>
      </c>
      <c r="AR20" s="1306">
        <f>IF(AR$7&gt;'Operating Assumptions'!$AA$7,0,IF(AR$6&lt;&gt;AQ$6,INDEX('Operating Assumptions'!$P$8:$AA$13,MATCH($B20,'Operating Assumptions'!$P$8:$P$13,0),MATCH(AR$6,'Operating Assumptions'!$P$8:$AA$8,0)),0))</f>
        <v>0.01</v>
      </c>
      <c r="AS20" s="1306">
        <f>IF(AS$7&gt;'Operating Assumptions'!$AA$7,0,IF(AS$6&lt;&gt;AR$6,INDEX('Operating Assumptions'!$P$8:$AA$13,MATCH($B20,'Operating Assumptions'!$P$8:$P$13,0),MATCH(AS$6,'Operating Assumptions'!$P$8:$AA$8,0)),0))</f>
        <v>0</v>
      </c>
      <c r="AT20" s="1306">
        <f>IF(AT$7&gt;'Operating Assumptions'!$AA$7,0,IF(AT$6&lt;&gt;AS$6,INDEX('Operating Assumptions'!$P$8:$AA$13,MATCH($B20,'Operating Assumptions'!$P$8:$P$13,0),MATCH(AT$6,'Operating Assumptions'!$P$8:$AA$8,0)),0))</f>
        <v>0</v>
      </c>
      <c r="AU20" s="1306">
        <f>IF(AU$7&gt;'Operating Assumptions'!$AA$7,0,IF(AU$6&lt;&gt;AT$6,INDEX('Operating Assumptions'!$P$8:$AA$13,MATCH($B20,'Operating Assumptions'!$P$8:$P$13,0),MATCH(AU$6,'Operating Assumptions'!$P$8:$AA$8,0)),0))</f>
        <v>0</v>
      </c>
      <c r="AV20" s="1306">
        <f>IF(AV$7&gt;'Operating Assumptions'!$AA$7,0,IF(AV$6&lt;&gt;AU$6,INDEX('Operating Assumptions'!$P$8:$AA$13,MATCH($B20,'Operating Assumptions'!$P$8:$P$13,0),MATCH(AV$6,'Operating Assumptions'!$P$8:$AA$8,0)),0))</f>
        <v>0</v>
      </c>
      <c r="AW20" s="1306">
        <f>IF(AW$7&gt;'Operating Assumptions'!$AA$7,0,IF(AW$6&lt;&gt;AV$6,INDEX('Operating Assumptions'!$P$8:$AA$13,MATCH($B20,'Operating Assumptions'!$P$8:$P$13,0),MATCH(AW$6,'Operating Assumptions'!$P$8:$AA$8,0)),0))</f>
        <v>0</v>
      </c>
      <c r="AX20" s="1306">
        <f>IF(AX$7&gt;'Operating Assumptions'!$AA$7,0,IF(AX$6&lt;&gt;AW$6,INDEX('Operating Assumptions'!$P$8:$AA$13,MATCH($B20,'Operating Assumptions'!$P$8:$P$13,0),MATCH(AX$6,'Operating Assumptions'!$P$8:$AA$8,0)),0))</f>
        <v>0</v>
      </c>
      <c r="AY20" s="1306">
        <f>IF(AY$7&gt;'Operating Assumptions'!$AA$7,0,IF(AY$6&lt;&gt;AX$6,INDEX('Operating Assumptions'!$P$8:$AA$13,MATCH($B20,'Operating Assumptions'!$P$8:$P$13,0),MATCH(AY$6,'Operating Assumptions'!$P$8:$AA$8,0)),0))</f>
        <v>0</v>
      </c>
      <c r="AZ20" s="1306">
        <f>IF(AZ$7&gt;'Operating Assumptions'!$AA$7,0,IF(AZ$6&lt;&gt;AY$6,INDEX('Operating Assumptions'!$P$8:$AA$13,MATCH($B20,'Operating Assumptions'!$P$8:$P$13,0),MATCH(AZ$6,'Operating Assumptions'!$P$8:$AA$8,0)),0))</f>
        <v>0</v>
      </c>
      <c r="BA20" s="1306">
        <f>IF(BA$7&gt;'Operating Assumptions'!$AA$7,0,IF(BA$6&lt;&gt;AZ$6,INDEX('Operating Assumptions'!$P$8:$AA$13,MATCH($B20,'Operating Assumptions'!$P$8:$P$13,0),MATCH(BA$6,'Operating Assumptions'!$P$8:$AA$8,0)),0))</f>
        <v>0</v>
      </c>
      <c r="BB20" s="1306">
        <f>IF(BB$7&gt;'Operating Assumptions'!$AA$7,0,IF(BB$6&lt;&gt;BA$6,INDEX('Operating Assumptions'!$P$8:$AA$13,MATCH($B20,'Operating Assumptions'!$P$8:$P$13,0),MATCH(BB$6,'Operating Assumptions'!$P$8:$AA$8,0)),0))</f>
        <v>0</v>
      </c>
      <c r="BC20" s="1306">
        <f>IF(BC$7&gt;'Operating Assumptions'!$AA$7,0,IF(BC$6&lt;&gt;BB$6,INDEX('Operating Assumptions'!$P$8:$AA$13,MATCH($B20,'Operating Assumptions'!$P$8:$P$13,0),MATCH(BC$6,'Operating Assumptions'!$P$8:$AA$8,0)),0))</f>
        <v>0</v>
      </c>
      <c r="BD20" s="1306">
        <f>IF(BD$7&gt;'Operating Assumptions'!$AA$7,0,IF(BD$6&lt;&gt;BC$6,INDEX('Operating Assumptions'!$P$8:$AA$13,MATCH($B20,'Operating Assumptions'!$P$8:$P$13,0),MATCH(BD$6,'Operating Assumptions'!$P$8:$AA$8,0)),0))</f>
        <v>0.01</v>
      </c>
      <c r="BE20" s="1306">
        <f>IF(BE$7&gt;'Operating Assumptions'!$AA$7,0,IF(BE$6&lt;&gt;BD$6,INDEX('Operating Assumptions'!$P$8:$AA$13,MATCH($B20,'Operating Assumptions'!$P$8:$P$13,0),MATCH(BE$6,'Operating Assumptions'!$P$8:$AA$8,0)),0))</f>
        <v>0</v>
      </c>
      <c r="BF20" s="1306">
        <f>IF(BF$7&gt;'Operating Assumptions'!$AA$7,0,IF(BF$6&lt;&gt;BE$6,INDEX('Operating Assumptions'!$P$8:$AA$13,MATCH($B20,'Operating Assumptions'!$P$8:$P$13,0),MATCH(BF$6,'Operating Assumptions'!$P$8:$AA$8,0)),0))</f>
        <v>0</v>
      </c>
      <c r="BG20" s="1306">
        <f>IF(BG$7&gt;'Operating Assumptions'!$AA$7,0,IF(BG$6&lt;&gt;BF$6,INDEX('Operating Assumptions'!$P$8:$AA$13,MATCH($B20,'Operating Assumptions'!$P$8:$P$13,0),MATCH(BG$6,'Operating Assumptions'!$P$8:$AA$8,0)),0))</f>
        <v>0</v>
      </c>
      <c r="BH20" s="1306">
        <f>IF(BH$7&gt;'Operating Assumptions'!$AA$7,0,IF(BH$6&lt;&gt;BG$6,INDEX('Operating Assumptions'!$P$8:$AA$13,MATCH($B20,'Operating Assumptions'!$P$8:$P$13,0),MATCH(BH$6,'Operating Assumptions'!$P$8:$AA$8,0)),0))</f>
        <v>0</v>
      </c>
      <c r="BI20" s="1306">
        <f>IF(BI$7&gt;'Operating Assumptions'!$AA$7,0,IF(BI$6&lt;&gt;BH$6,INDEX('Operating Assumptions'!$P$8:$AA$13,MATCH($B20,'Operating Assumptions'!$P$8:$P$13,0),MATCH(BI$6,'Operating Assumptions'!$P$8:$AA$8,0)),0))</f>
        <v>0</v>
      </c>
      <c r="BJ20" s="1306">
        <f>IF(BJ$7&gt;'Operating Assumptions'!$AA$7,0,IF(BJ$6&lt;&gt;BI$6,INDEX('Operating Assumptions'!$P$8:$AA$13,MATCH($B20,'Operating Assumptions'!$P$8:$P$13,0),MATCH(BJ$6,'Operating Assumptions'!$P$8:$AA$8,0)),0))</f>
        <v>0</v>
      </c>
      <c r="BK20" s="1306">
        <f>IF(BK$7&gt;'Operating Assumptions'!$AA$7,0,IF(BK$6&lt;&gt;BJ$6,INDEX('Operating Assumptions'!$P$8:$AA$13,MATCH($B20,'Operating Assumptions'!$P$8:$P$13,0),MATCH(BK$6,'Operating Assumptions'!$P$8:$AA$8,0)),0))</f>
        <v>0</v>
      </c>
      <c r="BL20" s="1306">
        <f>IF(BL$7&gt;'Operating Assumptions'!$AA$7,0,IF(BL$6&lt;&gt;BK$6,INDEX('Operating Assumptions'!$P$8:$AA$13,MATCH($B20,'Operating Assumptions'!$P$8:$P$13,0),MATCH(BL$6,'Operating Assumptions'!$P$8:$AA$8,0)),0))</f>
        <v>0</v>
      </c>
      <c r="BM20" s="1306">
        <f>IF(BM$7&gt;'Operating Assumptions'!$AA$7,0,IF(BM$6&lt;&gt;BL$6,INDEX('Operating Assumptions'!$P$8:$AA$13,MATCH($B20,'Operating Assumptions'!$P$8:$P$13,0),MATCH(BM$6,'Operating Assumptions'!$P$8:$AA$8,0)),0))</f>
        <v>0</v>
      </c>
      <c r="BN20" s="1306">
        <f>IF(BN$7&gt;'Operating Assumptions'!$AA$7,0,IF(BN$6&lt;&gt;BM$6,INDEX('Operating Assumptions'!$P$8:$AA$13,MATCH($B20,'Operating Assumptions'!$P$8:$P$13,0),MATCH(BN$6,'Operating Assumptions'!$P$8:$AA$8,0)),0))</f>
        <v>0</v>
      </c>
      <c r="BO20" s="1306">
        <f>IF(BO$7&gt;'Operating Assumptions'!$AA$7,0,IF(BO$6&lt;&gt;BN$6,INDEX('Operating Assumptions'!$P$8:$AA$13,MATCH($B20,'Operating Assumptions'!$P$8:$P$13,0),MATCH(BO$6,'Operating Assumptions'!$P$8:$AA$8,0)),0))</f>
        <v>0</v>
      </c>
      <c r="BP20" s="1306">
        <f>IF(BP$7&gt;'Operating Assumptions'!$AA$7,0,IF(BP$6&lt;&gt;BO$6,INDEX('Operating Assumptions'!$P$8:$AA$13,MATCH($B20,'Operating Assumptions'!$P$8:$P$13,0),MATCH(BP$6,'Operating Assumptions'!$P$8:$AA$8,0)),0))</f>
        <v>0.01</v>
      </c>
      <c r="BQ20" s="1306">
        <f>IF(BQ$7&gt;'Operating Assumptions'!$AA$7,0,IF(BQ$6&lt;&gt;BP$6,INDEX('Operating Assumptions'!$P$8:$AA$13,MATCH($B20,'Operating Assumptions'!$P$8:$P$13,0),MATCH(BQ$6,'Operating Assumptions'!$P$8:$AA$8,0)),0))</f>
        <v>0</v>
      </c>
      <c r="BR20" s="1306">
        <f>IF(BR$7&gt;'Operating Assumptions'!$AA$7,0,IF(BR$6&lt;&gt;BQ$6,INDEX('Operating Assumptions'!$P$8:$AA$13,MATCH($B20,'Operating Assumptions'!$P$8:$P$13,0),MATCH(BR$6,'Operating Assumptions'!$P$8:$AA$8,0)),0))</f>
        <v>0</v>
      </c>
      <c r="BS20" s="1306">
        <f>IF(BS$7&gt;'Operating Assumptions'!$AA$7,0,IF(BS$6&lt;&gt;BR$6,INDEX('Operating Assumptions'!$P$8:$AA$13,MATCH($B20,'Operating Assumptions'!$P$8:$P$13,0),MATCH(BS$6,'Operating Assumptions'!$P$8:$AA$8,0)),0))</f>
        <v>0</v>
      </c>
      <c r="BT20" s="1306">
        <f>IF(BT$7&gt;'Operating Assumptions'!$AA$7,0,IF(BT$6&lt;&gt;BS$6,INDEX('Operating Assumptions'!$P$8:$AA$13,MATCH($B20,'Operating Assumptions'!$P$8:$P$13,0),MATCH(BT$6,'Operating Assumptions'!$P$8:$AA$8,0)),0))</f>
        <v>0</v>
      </c>
      <c r="BU20" s="1306">
        <f>IF(BU$7&gt;'Operating Assumptions'!$AA$7,0,IF(BU$6&lt;&gt;BT$6,INDEX('Operating Assumptions'!$P$8:$AA$13,MATCH($B20,'Operating Assumptions'!$P$8:$P$13,0),MATCH(BU$6,'Operating Assumptions'!$P$8:$AA$8,0)),0))</f>
        <v>0</v>
      </c>
      <c r="BV20" s="1306">
        <f>IF(BV$7&gt;'Operating Assumptions'!$AA$7,0,IF(BV$6&lt;&gt;BU$6,INDEX('Operating Assumptions'!$P$8:$AA$13,MATCH($B20,'Operating Assumptions'!$P$8:$P$13,0),MATCH(BV$6,'Operating Assumptions'!$P$8:$AA$8,0)),0))</f>
        <v>0</v>
      </c>
      <c r="BW20" s="1306">
        <f>IF(BW$7&gt;'Operating Assumptions'!$AA$7,0,IF(BW$6&lt;&gt;BV$6,INDEX('Operating Assumptions'!$P$8:$AA$13,MATCH($B20,'Operating Assumptions'!$P$8:$P$13,0),MATCH(BW$6,'Operating Assumptions'!$P$8:$AA$8,0)),0))</f>
        <v>0</v>
      </c>
      <c r="BX20" s="1306">
        <f>IF(BX$7&gt;'Operating Assumptions'!$AA$7,0,IF(BX$6&lt;&gt;BW$6,INDEX('Operating Assumptions'!$P$8:$AA$13,MATCH($B20,'Operating Assumptions'!$P$8:$P$13,0),MATCH(BX$6,'Operating Assumptions'!$P$8:$AA$8,0)),0))</f>
        <v>0</v>
      </c>
      <c r="BY20" s="1306">
        <f>IF(BY$7&gt;'Operating Assumptions'!$AA$7,0,IF(BY$6&lt;&gt;BX$6,INDEX('Operating Assumptions'!$P$8:$AA$13,MATCH($B20,'Operating Assumptions'!$P$8:$P$13,0),MATCH(BY$6,'Operating Assumptions'!$P$8:$AA$8,0)),0))</f>
        <v>0</v>
      </c>
      <c r="BZ20" s="1306">
        <f>IF(BZ$7&gt;'Operating Assumptions'!$AA$7,0,IF(BZ$6&lt;&gt;BY$6,INDEX('Operating Assumptions'!$P$8:$AA$13,MATCH($B20,'Operating Assumptions'!$P$8:$P$13,0),MATCH(BZ$6,'Operating Assumptions'!$P$8:$AA$8,0)),0))</f>
        <v>0</v>
      </c>
      <c r="CA20" s="1306">
        <f>IF(CA$7&gt;'Operating Assumptions'!$AA$7,0,IF(CA$6&lt;&gt;BZ$6,INDEX('Operating Assumptions'!$P$8:$AA$13,MATCH($B20,'Operating Assumptions'!$P$8:$P$13,0),MATCH(CA$6,'Operating Assumptions'!$P$8:$AA$8,0)),0))</f>
        <v>0</v>
      </c>
      <c r="CB20" s="1306">
        <f>IF(CB$7&gt;'Operating Assumptions'!$AA$7,0,IF(CB$6&lt;&gt;CA$6,INDEX('Operating Assumptions'!$P$8:$AA$13,MATCH($B20,'Operating Assumptions'!$P$8:$P$13,0),MATCH(CB$6,'Operating Assumptions'!$P$8:$AA$8,0)),0))</f>
        <v>0.01</v>
      </c>
      <c r="CC20" s="1306">
        <f>IF(CC$7&gt;'Operating Assumptions'!$AA$7,0,IF(CC$6&lt;&gt;CB$6,INDEX('Operating Assumptions'!$P$8:$AA$13,MATCH($B20,'Operating Assumptions'!$P$8:$P$13,0),MATCH(CC$6,'Operating Assumptions'!$P$8:$AA$8,0)),0))</f>
        <v>0</v>
      </c>
      <c r="CD20" s="1306">
        <f>IF(CD$7&gt;'Operating Assumptions'!$AA$7,0,IF(CD$6&lt;&gt;CC$6,INDEX('Operating Assumptions'!$P$8:$AA$13,MATCH($B20,'Operating Assumptions'!$P$8:$P$13,0),MATCH(CD$6,'Operating Assumptions'!$P$8:$AA$8,0)),0))</f>
        <v>0</v>
      </c>
      <c r="CE20" s="1306">
        <f>IF(CE$7&gt;'Operating Assumptions'!$AA$7,0,IF(CE$6&lt;&gt;CD$6,INDEX('Operating Assumptions'!$P$8:$AA$13,MATCH($B20,'Operating Assumptions'!$P$8:$P$13,0),MATCH(CE$6,'Operating Assumptions'!$P$8:$AA$8,0)),0))</f>
        <v>0</v>
      </c>
      <c r="CF20" s="1306">
        <f>IF(CF$7&gt;'Operating Assumptions'!$AA$7,0,IF(CF$6&lt;&gt;CE$6,INDEX('Operating Assumptions'!$P$8:$AA$13,MATCH($B20,'Operating Assumptions'!$P$8:$P$13,0),MATCH(CF$6,'Operating Assumptions'!$P$8:$AA$8,0)),0))</f>
        <v>0</v>
      </c>
      <c r="CG20" s="1306">
        <f>IF(CG$7&gt;'Operating Assumptions'!$AA$7,0,IF(CG$6&lt;&gt;CF$6,INDEX('Operating Assumptions'!$P$8:$AA$13,MATCH($B20,'Operating Assumptions'!$P$8:$P$13,0),MATCH(CG$6,'Operating Assumptions'!$P$8:$AA$8,0)),0))</f>
        <v>0</v>
      </c>
      <c r="CH20" s="1306">
        <f>IF(CH$7&gt;'Operating Assumptions'!$AA$7,0,IF(CH$6&lt;&gt;CG$6,INDEX('Operating Assumptions'!$P$8:$AA$13,MATCH($B20,'Operating Assumptions'!$P$8:$P$13,0),MATCH(CH$6,'Operating Assumptions'!$P$8:$AA$8,0)),0))</f>
        <v>0</v>
      </c>
      <c r="CI20" s="1306">
        <f>IF(CI$7&gt;'Operating Assumptions'!$AA$7,0,IF(CI$6&lt;&gt;CH$6,INDEX('Operating Assumptions'!$P$8:$AA$13,MATCH($B20,'Operating Assumptions'!$P$8:$P$13,0),MATCH(CI$6,'Operating Assumptions'!$P$8:$AA$8,0)),0))</f>
        <v>0</v>
      </c>
      <c r="CJ20" s="1306">
        <f>IF(CJ$7&gt;'Operating Assumptions'!$AA$7,0,IF(CJ$6&lt;&gt;CI$6,INDEX('Operating Assumptions'!$P$8:$AA$13,MATCH($B20,'Operating Assumptions'!$P$8:$P$13,0),MATCH(CJ$6,'Operating Assumptions'!$P$8:$AA$8,0)),0))</f>
        <v>0</v>
      </c>
      <c r="CK20" s="1306">
        <f>IF(CK$7&gt;'Operating Assumptions'!$AA$7,0,IF(CK$6&lt;&gt;CJ$6,INDEX('Operating Assumptions'!$P$8:$AA$13,MATCH($B20,'Operating Assumptions'!$P$8:$P$13,0),MATCH(CK$6,'Operating Assumptions'!$P$8:$AA$8,0)),0))</f>
        <v>0</v>
      </c>
      <c r="CL20" s="1306">
        <f>IF(CL$7&gt;'Operating Assumptions'!$AA$7,0,IF(CL$6&lt;&gt;CK$6,INDEX('Operating Assumptions'!$P$8:$AA$13,MATCH($B20,'Operating Assumptions'!$P$8:$P$13,0),MATCH(CL$6,'Operating Assumptions'!$P$8:$AA$8,0)),0))</f>
        <v>0</v>
      </c>
      <c r="CM20" s="1306">
        <f>IF(CM$7&gt;'Operating Assumptions'!$AA$7,0,IF(CM$6&lt;&gt;CL$6,INDEX('Operating Assumptions'!$P$8:$AA$13,MATCH($B20,'Operating Assumptions'!$P$8:$P$13,0),MATCH(CM$6,'Operating Assumptions'!$P$8:$AA$8,0)),0))</f>
        <v>0</v>
      </c>
      <c r="CN20" s="1306">
        <f>IF(CN$7&gt;'Operating Assumptions'!$AA$7,0,IF(CN$6&lt;&gt;CM$6,INDEX('Operating Assumptions'!$P$8:$AA$13,MATCH($B20,'Operating Assumptions'!$P$8:$P$13,0),MATCH(CN$6,'Operating Assumptions'!$P$8:$AA$8,0)),0))</f>
        <v>0.01</v>
      </c>
      <c r="CO20" s="1306">
        <f>IF(CO$7&gt;'Operating Assumptions'!$AA$7,0,IF(CO$6&lt;&gt;CN$6,INDEX('Operating Assumptions'!$P$8:$AA$13,MATCH($B20,'Operating Assumptions'!$P$8:$P$13,0),MATCH(CO$6,'Operating Assumptions'!$P$8:$AA$8,0)),0))</f>
        <v>0</v>
      </c>
      <c r="CP20" s="1306">
        <f>IF(CP$7&gt;'Operating Assumptions'!$AA$7,0,IF(CP$6&lt;&gt;CO$6,INDEX('Operating Assumptions'!$P$8:$AA$13,MATCH($B20,'Operating Assumptions'!$P$8:$P$13,0),MATCH(CP$6,'Operating Assumptions'!$P$8:$AA$8,0)),0))</f>
        <v>0</v>
      </c>
      <c r="CQ20" s="1306">
        <f>IF(CQ$7&gt;'Operating Assumptions'!$AA$7,0,IF(CQ$6&lt;&gt;CP$6,INDEX('Operating Assumptions'!$P$8:$AA$13,MATCH($B20,'Operating Assumptions'!$P$8:$P$13,0),MATCH(CQ$6,'Operating Assumptions'!$P$8:$AA$8,0)),0))</f>
        <v>0</v>
      </c>
      <c r="CR20" s="1306">
        <f>IF(CR$7&gt;'Operating Assumptions'!$AA$7,0,IF(CR$6&lt;&gt;CQ$6,INDEX('Operating Assumptions'!$P$8:$AA$13,MATCH($B20,'Operating Assumptions'!$P$8:$P$13,0),MATCH(CR$6,'Operating Assumptions'!$P$8:$AA$8,0)),0))</f>
        <v>0</v>
      </c>
      <c r="CS20" s="1306">
        <f>IF(CS$7&gt;'Operating Assumptions'!$AA$7,0,IF(CS$6&lt;&gt;CR$6,INDEX('Operating Assumptions'!$P$8:$AA$13,MATCH($B20,'Operating Assumptions'!$P$8:$P$13,0),MATCH(CS$6,'Operating Assumptions'!$P$8:$AA$8,0)),0))</f>
        <v>0</v>
      </c>
      <c r="CT20" s="1306">
        <f>IF(CT$7&gt;'Operating Assumptions'!$AA$7,0,IF(CT$6&lt;&gt;CS$6,INDEX('Operating Assumptions'!$P$8:$AA$13,MATCH($B20,'Operating Assumptions'!$P$8:$P$13,0),MATCH(CT$6,'Operating Assumptions'!$P$8:$AA$8,0)),0))</f>
        <v>0</v>
      </c>
      <c r="CU20" s="1306">
        <f>IF(CU$7&gt;'Operating Assumptions'!$AA$7,0,IF(CU$6&lt;&gt;CT$6,INDEX('Operating Assumptions'!$P$8:$AA$13,MATCH($B20,'Operating Assumptions'!$P$8:$P$13,0),MATCH(CU$6,'Operating Assumptions'!$P$8:$AA$8,0)),0))</f>
        <v>0</v>
      </c>
      <c r="CV20" s="1306">
        <f>IF(CV$7&gt;'Operating Assumptions'!$AA$7,0,IF(CV$6&lt;&gt;CU$6,INDEX('Operating Assumptions'!$P$8:$AA$13,MATCH($B20,'Operating Assumptions'!$P$8:$P$13,0),MATCH(CV$6,'Operating Assumptions'!$P$8:$AA$8,0)),0))</f>
        <v>0</v>
      </c>
      <c r="CW20" s="1306">
        <f>IF(CW$7&gt;'Operating Assumptions'!$AA$7,0,IF(CW$6&lt;&gt;CV$6,INDEX('Operating Assumptions'!$P$8:$AA$13,MATCH($B20,'Operating Assumptions'!$P$8:$P$13,0),MATCH(CW$6,'Operating Assumptions'!$P$8:$AA$8,0)),0))</f>
        <v>0</v>
      </c>
      <c r="CX20" s="1306">
        <f>IF(CX$7&gt;'Operating Assumptions'!$AA$7,0,IF(CX$6&lt;&gt;CW$6,INDEX('Operating Assumptions'!$P$8:$AA$13,MATCH($B20,'Operating Assumptions'!$P$8:$P$13,0),MATCH(CX$6,'Operating Assumptions'!$P$8:$AA$8,0)),0))</f>
        <v>0</v>
      </c>
      <c r="CY20" s="1306">
        <f>IF(CY$7&gt;'Operating Assumptions'!$AA$7,0,IF(CY$6&lt;&gt;CX$6,INDEX('Operating Assumptions'!$P$8:$AA$13,MATCH($B20,'Operating Assumptions'!$P$8:$P$13,0),MATCH(CY$6,'Operating Assumptions'!$P$8:$AA$8,0)),0))</f>
        <v>0</v>
      </c>
      <c r="CZ20" s="1306">
        <f>IF(CZ$7&gt;'Operating Assumptions'!$AA$7,0,IF(CZ$6&lt;&gt;CY$6,INDEX('Operating Assumptions'!$P$8:$AA$13,MATCH($B20,'Operating Assumptions'!$P$8:$P$13,0),MATCH(CZ$6,'Operating Assumptions'!$P$8:$AA$8,0)),0))</f>
        <v>0.01</v>
      </c>
      <c r="DA20" s="1306">
        <f>IF(DA$7&gt;'Operating Assumptions'!$AA$7,0,IF(DA$6&lt;&gt;CZ$6,INDEX('Operating Assumptions'!$P$8:$AA$13,MATCH($B20,'Operating Assumptions'!$P$8:$P$13,0),MATCH(DA$6,'Operating Assumptions'!$P$8:$AA$8,0)),0))</f>
        <v>0</v>
      </c>
      <c r="DB20" s="1306">
        <f>IF(DB$7&gt;'Operating Assumptions'!$AA$7,0,IF(DB$6&lt;&gt;DA$6,INDEX('Operating Assumptions'!$P$8:$AA$13,MATCH($B20,'Operating Assumptions'!$P$8:$P$13,0),MATCH(DB$6,'Operating Assumptions'!$P$8:$AA$8,0)),0))</f>
        <v>0</v>
      </c>
      <c r="DC20" s="1306">
        <f>IF(DC$7&gt;'Operating Assumptions'!$AA$7,0,IF(DC$6&lt;&gt;DB$6,INDEX('Operating Assumptions'!$P$8:$AA$13,MATCH($B20,'Operating Assumptions'!$P$8:$P$13,0),MATCH(DC$6,'Operating Assumptions'!$P$8:$AA$8,0)),0))</f>
        <v>0</v>
      </c>
      <c r="DD20" s="1306">
        <f>IF(DD$7&gt;'Operating Assumptions'!$AA$7,0,IF(DD$6&lt;&gt;DC$6,INDEX('Operating Assumptions'!$P$8:$AA$13,MATCH($B20,'Operating Assumptions'!$P$8:$P$13,0),MATCH(DD$6,'Operating Assumptions'!$P$8:$AA$8,0)),0))</f>
        <v>0</v>
      </c>
      <c r="DE20" s="1306">
        <f>IF(DE$7&gt;'Operating Assumptions'!$AA$7,0,IF(DE$6&lt;&gt;DD$6,INDEX('Operating Assumptions'!$P$8:$AA$13,MATCH($B20,'Operating Assumptions'!$P$8:$P$13,0),MATCH(DE$6,'Operating Assumptions'!$P$8:$AA$8,0)),0))</f>
        <v>0</v>
      </c>
      <c r="DF20" s="1306">
        <f>IF(DF$7&gt;'Operating Assumptions'!$AA$7,0,IF(DF$6&lt;&gt;DE$6,INDEX('Operating Assumptions'!$P$8:$AA$13,MATCH($B20,'Operating Assumptions'!$P$8:$P$13,0),MATCH(DF$6,'Operating Assumptions'!$P$8:$AA$8,0)),0))</f>
        <v>0</v>
      </c>
      <c r="DG20" s="1306">
        <f>IF(DG$7&gt;'Operating Assumptions'!$AA$7,0,IF(DG$6&lt;&gt;DF$6,INDEX('Operating Assumptions'!$P$8:$AA$13,MATCH($B20,'Operating Assumptions'!$P$8:$P$13,0),MATCH(DG$6,'Operating Assumptions'!$P$8:$AA$8,0)),0))</f>
        <v>0</v>
      </c>
      <c r="DH20" s="1306">
        <f>IF(DH$7&gt;'Operating Assumptions'!$AA$7,0,IF(DH$6&lt;&gt;DG$6,INDEX('Operating Assumptions'!$P$8:$AA$13,MATCH($B20,'Operating Assumptions'!$P$8:$P$13,0),MATCH(DH$6,'Operating Assumptions'!$P$8:$AA$8,0)),0))</f>
        <v>0</v>
      </c>
      <c r="DI20" s="1306">
        <f>IF(DI$7&gt;'Operating Assumptions'!$AA$7,0,IF(DI$6&lt;&gt;DH$6,INDEX('Operating Assumptions'!$P$8:$AA$13,MATCH($B20,'Operating Assumptions'!$P$8:$P$13,0),MATCH(DI$6,'Operating Assumptions'!$P$8:$AA$8,0)),0))</f>
        <v>0</v>
      </c>
      <c r="DJ20" s="1306">
        <f>IF(DJ$7&gt;'Operating Assumptions'!$AA$7,0,IF(DJ$6&lt;&gt;DI$6,INDEX('Operating Assumptions'!$P$8:$AA$13,MATCH($B20,'Operating Assumptions'!$P$8:$P$13,0),MATCH(DJ$6,'Operating Assumptions'!$P$8:$AA$8,0)),0))</f>
        <v>0</v>
      </c>
      <c r="DK20" s="1306">
        <f>IF(DK$7&gt;'Operating Assumptions'!$AA$7,0,IF(DK$6&lt;&gt;DJ$6,INDEX('Operating Assumptions'!$P$8:$AA$13,MATCH($B20,'Operating Assumptions'!$P$8:$P$13,0),MATCH(DK$6,'Operating Assumptions'!$P$8:$AA$8,0)),0))</f>
        <v>0</v>
      </c>
      <c r="DL20" s="1306">
        <f>IF(DL$7&gt;'Operating Assumptions'!$AA$7,0,IF(DL$6&lt;&gt;DK$6,INDEX('Operating Assumptions'!$P$8:$AA$13,MATCH($B20,'Operating Assumptions'!$P$8:$P$13,0),MATCH(DL$6,'Operating Assumptions'!$P$8:$AA$8,0)),0))</f>
        <v>0.01</v>
      </c>
      <c r="DM20" s="1306">
        <f>IF(DM$7&gt;'Operating Assumptions'!$AA$7,0,IF(DM$6&lt;&gt;DL$6,INDEX('Operating Assumptions'!$P$8:$AA$13,MATCH($B20,'Operating Assumptions'!$P$8:$P$13,0),MATCH(DM$6,'Operating Assumptions'!$P$8:$AA$8,0)),0))</f>
        <v>0</v>
      </c>
      <c r="DN20" s="1306">
        <f>IF(DN$7&gt;'Operating Assumptions'!$AA$7,0,IF(DN$6&lt;&gt;DM$6,INDEX('Operating Assumptions'!$P$8:$AA$13,MATCH($B20,'Operating Assumptions'!$P$8:$P$13,0),MATCH(DN$6,'Operating Assumptions'!$P$8:$AA$8,0)),0))</f>
        <v>0</v>
      </c>
      <c r="DO20" s="1306">
        <f>IF(DO$7&gt;'Operating Assumptions'!$AA$7,0,IF(DO$6&lt;&gt;DN$6,INDEX('Operating Assumptions'!$P$8:$AA$13,MATCH($B20,'Operating Assumptions'!$P$8:$P$13,0),MATCH(DO$6,'Operating Assumptions'!$P$8:$AA$8,0)),0))</f>
        <v>0</v>
      </c>
      <c r="DP20" s="1306">
        <f>IF(DP$7&gt;'Operating Assumptions'!$AA$7,0,IF(DP$6&lt;&gt;DO$6,INDEX('Operating Assumptions'!$P$8:$AA$13,MATCH($B20,'Operating Assumptions'!$P$8:$P$13,0),MATCH(DP$6,'Operating Assumptions'!$P$8:$AA$8,0)),0))</f>
        <v>0</v>
      </c>
      <c r="DQ20" s="1306">
        <f>IF(DQ$7&gt;'Operating Assumptions'!$AA$7,0,IF(DQ$6&lt;&gt;DP$6,INDEX('Operating Assumptions'!$P$8:$AA$13,MATCH($B20,'Operating Assumptions'!$P$8:$P$13,0),MATCH(DQ$6,'Operating Assumptions'!$P$8:$AA$8,0)),0))</f>
        <v>0</v>
      </c>
      <c r="DR20" s="1306">
        <f>IF(DR$7&gt;'Operating Assumptions'!$AA$7,0,IF(DR$6&lt;&gt;DQ$6,INDEX('Operating Assumptions'!$P$8:$AA$13,MATCH($B20,'Operating Assumptions'!$P$8:$P$13,0),MATCH(DR$6,'Operating Assumptions'!$P$8:$AA$8,0)),0))</f>
        <v>0</v>
      </c>
      <c r="DS20" s="1306">
        <f>IF(DS$7&gt;'Operating Assumptions'!$AA$7,0,IF(DS$6&lt;&gt;DR$6,INDEX('Operating Assumptions'!$P$8:$AA$13,MATCH($B20,'Operating Assumptions'!$P$8:$P$13,0),MATCH(DS$6,'Operating Assumptions'!$P$8:$AA$8,0)),0))</f>
        <v>0</v>
      </c>
      <c r="DT20" s="1306">
        <f>IF(DT$7&gt;'Operating Assumptions'!$AA$7,0,IF(DT$6&lt;&gt;DS$6,INDEX('Operating Assumptions'!$P$8:$AA$13,MATCH($B20,'Operating Assumptions'!$P$8:$P$13,0),MATCH(DT$6,'Operating Assumptions'!$P$8:$AA$8,0)),0))</f>
        <v>0</v>
      </c>
      <c r="DU20" s="1306">
        <f>IF(DU$7&gt;'Operating Assumptions'!$AA$7,0,IF(DU$6&lt;&gt;DT$6,INDEX('Operating Assumptions'!$P$8:$AA$13,MATCH($B20,'Operating Assumptions'!$P$8:$P$13,0),MATCH(DU$6,'Operating Assumptions'!$P$8:$AA$8,0)),0))</f>
        <v>0</v>
      </c>
      <c r="DV20" s="1306">
        <f>IF(DV$7&gt;'Operating Assumptions'!$AA$7,0,IF(DV$6&lt;&gt;DU$6,INDEX('Operating Assumptions'!$P$8:$AA$13,MATCH($B20,'Operating Assumptions'!$P$8:$P$13,0),MATCH(DV$6,'Operating Assumptions'!$P$8:$AA$8,0)),0))</f>
        <v>0</v>
      </c>
      <c r="DW20" s="1306">
        <f>IF(DW$7&gt;'Operating Assumptions'!$AA$7,0,IF(DW$6&lt;&gt;DV$6,INDEX('Operating Assumptions'!$P$8:$AA$13,MATCH($B20,'Operating Assumptions'!$P$8:$P$13,0),MATCH(DW$6,'Operating Assumptions'!$P$8:$AA$8,0)),0))</f>
        <v>0</v>
      </c>
      <c r="DX20" s="1306">
        <f>IF(DX$7&gt;'Operating Assumptions'!$AA$7,0,IF(DX$6&lt;&gt;DW$6,INDEX('Operating Assumptions'!$P$8:$AA$13,MATCH($B20,'Operating Assumptions'!$P$8:$P$13,0),MATCH(DX$6,'Operating Assumptions'!$P$8:$AA$8,0)),0))</f>
        <v>0.01</v>
      </c>
      <c r="DY20" s="1306">
        <f>IF(DY$7&gt;'Operating Assumptions'!$AA$7,0,IF(DY$6&lt;&gt;DX$6,INDEX('Operating Assumptions'!$P$8:$AA$13,MATCH($B20,'Operating Assumptions'!$P$8:$P$13,0),MATCH(DY$6,'Operating Assumptions'!$P$8:$AA$8,0)),0))</f>
        <v>0</v>
      </c>
      <c r="DZ20" s="1306">
        <f>IF(DZ$7&gt;'Operating Assumptions'!$AA$7,0,IF(DZ$6&lt;&gt;DY$6,INDEX('Operating Assumptions'!$P$8:$AA$13,MATCH($B20,'Operating Assumptions'!$P$8:$P$13,0),MATCH(DZ$6,'Operating Assumptions'!$P$8:$AA$8,0)),0))</f>
        <v>0</v>
      </c>
      <c r="EA20" s="1306">
        <f>IF(EA$7&gt;'Operating Assumptions'!$AA$7,0,IF(EA$6&lt;&gt;DZ$6,INDEX('Operating Assumptions'!$P$8:$AA$13,MATCH($B20,'Operating Assumptions'!$P$8:$P$13,0),MATCH(EA$6,'Operating Assumptions'!$P$8:$AA$8,0)),0))</f>
        <v>0</v>
      </c>
      <c r="EB20" s="1306">
        <f>IF(EB$7&gt;'Operating Assumptions'!$AA$7,0,IF(EB$6&lt;&gt;EA$6,INDEX('Operating Assumptions'!$P$8:$AA$13,MATCH($B20,'Operating Assumptions'!$P$8:$P$13,0),MATCH(EB$6,'Operating Assumptions'!$P$8:$AA$8,0)),0))</f>
        <v>0</v>
      </c>
      <c r="EC20" s="1306">
        <f>IF(EC$7&gt;'Operating Assumptions'!$AA$7,0,IF(EC$6&lt;&gt;EB$6,INDEX('Operating Assumptions'!$P$8:$AA$13,MATCH($B20,'Operating Assumptions'!$P$8:$P$13,0),MATCH(EC$6,'Operating Assumptions'!$P$8:$AA$8,0)),0))</f>
        <v>0</v>
      </c>
      <c r="ED20" s="1306">
        <f>IF(ED$7&gt;'Operating Assumptions'!$AA$7,0,IF(ED$6&lt;&gt;EC$6,INDEX('Operating Assumptions'!$P$8:$AA$13,MATCH($B20,'Operating Assumptions'!$P$8:$P$13,0),MATCH(ED$6,'Operating Assumptions'!$P$8:$AA$8,0)),0))</f>
        <v>0</v>
      </c>
      <c r="EE20" s="1306">
        <f>IF(EE$7&gt;'Operating Assumptions'!$AA$7,0,IF(EE$6&lt;&gt;ED$6,INDEX('Operating Assumptions'!$P$8:$AA$13,MATCH($B20,'Operating Assumptions'!$P$8:$P$13,0),MATCH(EE$6,'Operating Assumptions'!$P$8:$AA$8,0)),0))</f>
        <v>0</v>
      </c>
      <c r="EF20" s="1306">
        <f>IF(EF$7&gt;'Operating Assumptions'!$AA$7,0,IF(EF$6&lt;&gt;EE$6,INDEX('Operating Assumptions'!$P$8:$AA$13,MATCH($B20,'Operating Assumptions'!$P$8:$P$13,0),MATCH(EF$6,'Operating Assumptions'!$P$8:$AA$8,0)),0))</f>
        <v>0</v>
      </c>
      <c r="EG20" s="1306">
        <f>IF(EG$7&gt;'Operating Assumptions'!$AA$7,0,IF(EG$6&lt;&gt;EF$6,INDEX('Operating Assumptions'!$P$8:$AA$13,MATCH($B20,'Operating Assumptions'!$P$8:$P$13,0),MATCH(EG$6,'Operating Assumptions'!$P$8:$AA$8,0)),0))</f>
        <v>0</v>
      </c>
      <c r="EH20" s="1306">
        <f>IF(EH$7&gt;'Operating Assumptions'!$AA$7,0,IF(EH$6&lt;&gt;EG$6,INDEX('Operating Assumptions'!$P$8:$AA$13,MATCH($B20,'Operating Assumptions'!$P$8:$P$13,0),MATCH(EH$6,'Operating Assumptions'!$P$8:$AA$8,0)),0))</f>
        <v>0</v>
      </c>
      <c r="EI20" s="1306">
        <f>IF(EI$7&gt;'Operating Assumptions'!$AA$7,0,IF(EI$6&lt;&gt;EH$6,INDEX('Operating Assumptions'!$P$8:$AA$13,MATCH($B20,'Operating Assumptions'!$P$8:$P$13,0),MATCH(EI$6,'Operating Assumptions'!$P$8:$AA$8,0)),0))</f>
        <v>0</v>
      </c>
      <c r="EJ20" s="1306">
        <f>IF(EJ$7&gt;'Operating Assumptions'!$AA$7,0,IF(EJ$6&lt;&gt;EI$6,INDEX('Operating Assumptions'!$P$8:$AA$13,MATCH($B20,'Operating Assumptions'!$P$8:$P$13,0),MATCH(EJ$6,'Operating Assumptions'!$P$8:$AA$8,0)),0))</f>
        <v>0.01</v>
      </c>
      <c r="EK20" s="1306">
        <f>IF(EK$7&gt;'Operating Assumptions'!$AA$7,0,IF(EK$6&lt;&gt;EJ$6,INDEX('Operating Assumptions'!$P$8:$AA$13,MATCH($B20,'Operating Assumptions'!$P$8:$P$13,0),MATCH(EK$6,'Operating Assumptions'!$P$8:$AA$8,0)),0))</f>
        <v>0</v>
      </c>
      <c r="EL20" s="1306">
        <f>IF(EL$7&gt;'Operating Assumptions'!$AA$7,0,IF(EL$6&lt;&gt;EK$6,INDEX('Operating Assumptions'!$P$8:$AA$13,MATCH($B20,'Operating Assumptions'!$P$8:$P$13,0),MATCH(EL$6,'Operating Assumptions'!$P$8:$AA$8,0)),0))</f>
        <v>0</v>
      </c>
      <c r="EM20" s="1306">
        <f>IF(EM$7&gt;'Operating Assumptions'!$AA$7,0,IF(EM$6&lt;&gt;EL$6,INDEX('Operating Assumptions'!$P$8:$AA$13,MATCH($B20,'Operating Assumptions'!$P$8:$P$13,0),MATCH(EM$6,'Operating Assumptions'!$P$8:$AA$8,0)),0))</f>
        <v>0</v>
      </c>
      <c r="EN20" s="1306">
        <f>IF(EN$7&gt;'Operating Assumptions'!$AA$7,0,IF(EN$6&lt;&gt;EM$6,INDEX('Operating Assumptions'!$P$8:$AA$13,MATCH($B20,'Operating Assumptions'!$P$8:$P$13,0),MATCH(EN$6,'Operating Assumptions'!$P$8:$AA$8,0)),0))</f>
        <v>0</v>
      </c>
      <c r="EO20" s="1306">
        <f>IF(EO$7&gt;'Operating Assumptions'!$AA$7,0,IF(EO$6&lt;&gt;EN$6,INDEX('Operating Assumptions'!$P$8:$AA$13,MATCH($B20,'Operating Assumptions'!$P$8:$P$13,0),MATCH(EO$6,'Operating Assumptions'!$P$8:$AA$8,0)),0))</f>
        <v>0</v>
      </c>
      <c r="EP20" s="1306">
        <f>IF(EP$7&gt;'Operating Assumptions'!$AA$7,0,IF(EP$6&lt;&gt;EO$6,INDEX('Operating Assumptions'!$P$8:$AA$13,MATCH($B20,'Operating Assumptions'!$P$8:$P$13,0),MATCH(EP$6,'Operating Assumptions'!$P$8:$AA$8,0)),0))</f>
        <v>0</v>
      </c>
      <c r="EQ20" s="1306">
        <f>IF(EQ$7&gt;'Operating Assumptions'!$AA$7,0,IF(EQ$6&lt;&gt;EP$6,INDEX('Operating Assumptions'!$P$8:$AA$13,MATCH($B20,'Operating Assumptions'!$P$8:$P$13,0),MATCH(EQ$6,'Operating Assumptions'!$P$8:$AA$8,0)),0))</f>
        <v>0</v>
      </c>
      <c r="ER20" s="1306">
        <f>IF(ER$7&gt;'Operating Assumptions'!$AA$7,0,IF(ER$6&lt;&gt;EQ$6,INDEX('Operating Assumptions'!$P$8:$AA$13,MATCH($B20,'Operating Assumptions'!$P$8:$P$13,0),MATCH(ER$6,'Operating Assumptions'!$P$8:$AA$8,0)),0))</f>
        <v>0</v>
      </c>
      <c r="ES20" s="1306">
        <f>IF(ES$7&gt;'Operating Assumptions'!$AA$7,0,IF(ES$6&lt;&gt;ER$6,INDEX('Operating Assumptions'!$P$8:$AA$13,MATCH($B20,'Operating Assumptions'!$P$8:$P$13,0),MATCH(ES$6,'Operating Assumptions'!$P$8:$AA$8,0)),0))</f>
        <v>0</v>
      </c>
      <c r="ET20" s="1306">
        <f>IF(ET$7&gt;'Operating Assumptions'!$AA$7,0,IF(ET$6&lt;&gt;ES$6,INDEX('Operating Assumptions'!$P$8:$AA$13,MATCH($B20,'Operating Assumptions'!$P$8:$P$13,0),MATCH(ET$6,'Operating Assumptions'!$P$8:$AA$8,0)),0))</f>
        <v>0</v>
      </c>
      <c r="EU20" s="1306">
        <f>IF(EU$7&gt;'Operating Assumptions'!$AA$7,0,IF(EU$6&lt;&gt;ET$6,INDEX('Operating Assumptions'!$P$8:$AA$13,MATCH($B20,'Operating Assumptions'!$P$8:$P$13,0),MATCH(EU$6,'Operating Assumptions'!$P$8:$AA$8,0)),0))</f>
        <v>0</v>
      </c>
      <c r="EV20" s="1306">
        <f>IF(EV$7&gt;'Operating Assumptions'!$AA$7,0,IF(EV$6&lt;&gt;EU$6,INDEX('Operating Assumptions'!$P$8:$AA$13,MATCH($B20,'Operating Assumptions'!$P$8:$P$13,0),MATCH(EV$6,'Operating Assumptions'!$P$8:$AA$8,0)),0))</f>
        <v>0</v>
      </c>
      <c r="EW20" s="1306">
        <f>IF(EW$7&gt;'Operating Assumptions'!$AA$7,0,IF(EW$6&lt;&gt;EV$6,INDEX('Operating Assumptions'!$P$8:$AA$13,MATCH($B20,'Operating Assumptions'!$P$8:$P$13,0),MATCH(EW$6,'Operating Assumptions'!$P$8:$AA$8,0)),0))</f>
        <v>0</v>
      </c>
      <c r="EX20" s="1306">
        <f>IF(EX$7&gt;'Operating Assumptions'!$AA$7,0,IF(EX$6&lt;&gt;EW$6,INDEX('Operating Assumptions'!$P$8:$AA$13,MATCH($B20,'Operating Assumptions'!$P$8:$P$13,0),MATCH(EX$6,'Operating Assumptions'!$P$8:$AA$8,0)),0))</f>
        <v>0</v>
      </c>
      <c r="EY20" s="1306">
        <f>IF(EY$7&gt;'Operating Assumptions'!$AA$7,0,IF(EY$6&lt;&gt;EX$6,INDEX('Operating Assumptions'!$P$8:$AA$13,MATCH($B20,'Operating Assumptions'!$P$8:$P$13,0),MATCH(EY$6,'Operating Assumptions'!$P$8:$AA$8,0)),0))</f>
        <v>0</v>
      </c>
      <c r="EZ20" s="1306">
        <f>IF(EZ$7&gt;'Operating Assumptions'!$AA$7,0,IF(EZ$6&lt;&gt;EY$6,INDEX('Operating Assumptions'!$P$8:$AA$13,MATCH($B20,'Operating Assumptions'!$P$8:$P$13,0),MATCH(EZ$6,'Operating Assumptions'!$P$8:$AA$8,0)),0))</f>
        <v>0</v>
      </c>
      <c r="FA20" s="1306">
        <f>IF(FA$7&gt;'Operating Assumptions'!$AA$7,0,IF(FA$6&lt;&gt;EZ$6,INDEX('Operating Assumptions'!$P$8:$AA$13,MATCH($B20,'Operating Assumptions'!$P$8:$P$13,0),MATCH(FA$6,'Operating Assumptions'!$P$8:$AA$8,0)),0))</f>
        <v>0</v>
      </c>
      <c r="FB20" s="1306">
        <f>IF(FB$7&gt;'Operating Assumptions'!$AA$7,0,IF(FB$6&lt;&gt;FA$6,INDEX('Operating Assumptions'!$P$8:$AA$13,MATCH($B20,'Operating Assumptions'!$P$8:$P$13,0),MATCH(FB$6,'Operating Assumptions'!$P$8:$AA$8,0)),0))</f>
        <v>0</v>
      </c>
      <c r="FC20" s="1306">
        <f>IF(FC$7&gt;'Operating Assumptions'!$AA$7,0,IF(FC$6&lt;&gt;FB$6,INDEX('Operating Assumptions'!$P$8:$AA$13,MATCH($B20,'Operating Assumptions'!$P$8:$P$13,0),MATCH(FC$6,'Operating Assumptions'!$P$8:$AA$8,0)),0))</f>
        <v>0</v>
      </c>
      <c r="FD20" s="1306">
        <f>IF(FD$7&gt;'Operating Assumptions'!$AA$7,0,IF(FD$6&lt;&gt;FC$6,INDEX('Operating Assumptions'!$P$8:$AA$13,MATCH($B20,'Operating Assumptions'!$P$8:$P$13,0),MATCH(FD$6,'Operating Assumptions'!$P$8:$AA$8,0)),0))</f>
        <v>0</v>
      </c>
      <c r="FE20" s="1306">
        <f>IF(FE$7&gt;'Operating Assumptions'!$AA$7,0,IF(FE$6&lt;&gt;FD$6,INDEX('Operating Assumptions'!$P$8:$AA$13,MATCH($B20,'Operating Assumptions'!$P$8:$P$13,0),MATCH(FE$6,'Operating Assumptions'!$P$8:$AA$8,0)),0))</f>
        <v>0</v>
      </c>
      <c r="FF20" s="1306">
        <f>IF(FF$7&gt;'Operating Assumptions'!$AA$7,0,IF(FF$6&lt;&gt;FE$6,INDEX('Operating Assumptions'!$P$8:$AA$13,MATCH($B20,'Operating Assumptions'!$P$8:$P$13,0),MATCH(FF$6,'Operating Assumptions'!$P$8:$AA$8,0)),0))</f>
        <v>0</v>
      </c>
      <c r="FG20" s="1306">
        <f>IF(FG$7&gt;'Operating Assumptions'!$AA$7,0,IF(FG$6&lt;&gt;FF$6,INDEX('Operating Assumptions'!$P$8:$AA$13,MATCH($B20,'Operating Assumptions'!$P$8:$P$13,0),MATCH(FG$6,'Operating Assumptions'!$P$8:$AA$8,0)),0))</f>
        <v>0</v>
      </c>
      <c r="FH20" s="1306">
        <f>IF(FH$7&gt;'Operating Assumptions'!$AA$7,0,IF(FH$6&lt;&gt;FG$6,INDEX('Operating Assumptions'!$P$8:$AA$13,MATCH($B20,'Operating Assumptions'!$P$8:$P$13,0),MATCH(FH$6,'Operating Assumptions'!$P$8:$AA$8,0)),0))</f>
        <v>0</v>
      </c>
      <c r="FI20" s="1306">
        <f>IF(FI$7&gt;'Operating Assumptions'!$AA$7,0,IF(FI$6&lt;&gt;FH$6,INDEX('Operating Assumptions'!$P$8:$AA$13,MATCH($B20,'Operating Assumptions'!$P$8:$P$13,0),MATCH(FI$6,'Operating Assumptions'!$P$8:$AA$8,0)),0))</f>
        <v>0</v>
      </c>
      <c r="FJ20" s="1306">
        <f>IF(FJ$7&gt;'Operating Assumptions'!$AA$7,0,IF(FJ$6&lt;&gt;FI$6,INDEX('Operating Assumptions'!$P$8:$AA$13,MATCH($B20,'Operating Assumptions'!$P$8:$P$13,0),MATCH(FJ$6,'Operating Assumptions'!$P$8:$AA$8,0)),0))</f>
        <v>0</v>
      </c>
      <c r="FK20" s="1306">
        <f>IF(FK$7&gt;'Operating Assumptions'!$AA$7,0,IF(FK$6&lt;&gt;FJ$6,INDEX('Operating Assumptions'!$P$8:$AA$13,MATCH($B20,'Operating Assumptions'!$P$8:$P$13,0),MATCH(FK$6,'Operating Assumptions'!$P$8:$AA$8,0)),0))</f>
        <v>0</v>
      </c>
      <c r="FL20" s="1306">
        <f>IF(FL$7&gt;'Operating Assumptions'!$AA$7,0,IF(FL$6&lt;&gt;FK$6,INDEX('Operating Assumptions'!$P$8:$AA$13,MATCH($B20,'Operating Assumptions'!$P$8:$P$13,0),MATCH(FL$6,'Operating Assumptions'!$P$8:$AA$8,0)),0))</f>
        <v>0</v>
      </c>
      <c r="FM20" s="1306">
        <f>IF(FM$7&gt;'Operating Assumptions'!$AA$7,0,IF(FM$6&lt;&gt;FL$6,INDEX('Operating Assumptions'!$P$8:$AA$13,MATCH($B20,'Operating Assumptions'!$P$8:$P$13,0),MATCH(FM$6,'Operating Assumptions'!$P$8:$AA$8,0)),0))</f>
        <v>0</v>
      </c>
      <c r="FN20" s="1306">
        <f>IF(FN$7&gt;'Operating Assumptions'!$AA$7,0,IF(FN$6&lt;&gt;FM$6,INDEX('Operating Assumptions'!$P$8:$AA$13,MATCH($B20,'Operating Assumptions'!$P$8:$P$13,0),MATCH(FN$6,'Operating Assumptions'!$P$8:$AA$8,0)),0))</f>
        <v>0</v>
      </c>
      <c r="FO20" s="1306">
        <f>IF(FO$7&gt;'Operating Assumptions'!$AA$7,0,IF(FO$6&lt;&gt;FN$6,INDEX('Operating Assumptions'!$P$8:$AA$13,MATCH($B20,'Operating Assumptions'!$P$8:$P$13,0),MATCH(FO$6,'Operating Assumptions'!$P$8:$AA$8,0)),0))</f>
        <v>0</v>
      </c>
      <c r="FP20" s="1306">
        <f>IF(FP$7&gt;'Operating Assumptions'!$AA$7,0,IF(FP$6&lt;&gt;FO$6,INDEX('Operating Assumptions'!$P$8:$AA$13,MATCH($B20,'Operating Assumptions'!$P$8:$P$13,0),MATCH(FP$6,'Operating Assumptions'!$P$8:$AA$8,0)),0))</f>
        <v>0</v>
      </c>
      <c r="FQ20" s="1306">
        <f>IF(FQ$7&gt;'Operating Assumptions'!$AA$7,0,IF(FQ$6&lt;&gt;FP$6,INDEX('Operating Assumptions'!$P$8:$AA$13,MATCH($B20,'Operating Assumptions'!$P$8:$P$13,0),MATCH(FQ$6,'Operating Assumptions'!$P$8:$AA$8,0)),0))</f>
        <v>0</v>
      </c>
      <c r="FR20" s="1306">
        <f>IF(FR$7&gt;'Operating Assumptions'!$AA$7,0,IF(FR$6&lt;&gt;FQ$6,INDEX('Operating Assumptions'!$P$8:$AA$13,MATCH($B20,'Operating Assumptions'!$P$8:$P$13,0),MATCH(FR$6,'Operating Assumptions'!$P$8:$AA$8,0)),0))</f>
        <v>0</v>
      </c>
      <c r="FS20" s="1306">
        <f>IF(FS$7&gt;'Operating Assumptions'!$AA$7,0,IF(FS$6&lt;&gt;FR$6,INDEX('Operating Assumptions'!$P$8:$AA$13,MATCH($B20,'Operating Assumptions'!$P$8:$P$13,0),MATCH(FS$6,'Operating Assumptions'!$P$8:$AA$8,0)),0))</f>
        <v>0</v>
      </c>
      <c r="FT20" s="1306">
        <f>IF(FT$7&gt;'Operating Assumptions'!$AA$7,0,IF(FT$6&lt;&gt;FS$6,INDEX('Operating Assumptions'!$P$8:$AA$13,MATCH($B20,'Operating Assumptions'!$P$8:$P$13,0),MATCH(FT$6,'Operating Assumptions'!$P$8:$AA$8,0)),0))</f>
        <v>0</v>
      </c>
      <c r="FU20" s="43"/>
    </row>
    <row r="21" spans="1:182" s="34" customFormat="1" ht="13.5" hidden="1" outlineLevel="1" x14ac:dyDescent="0.25">
      <c r="B21" s="48" t="str">
        <f>'Operating Assumptions'!$P13</f>
        <v>Tax Inflation</v>
      </c>
      <c r="C21" s="435"/>
      <c r="D21" s="435"/>
      <c r="E21" s="435"/>
      <c r="F21" s="435"/>
      <c r="G21" s="504"/>
      <c r="H21" s="1306">
        <v>0</v>
      </c>
      <c r="I21" s="1306">
        <f>IF(I$7&gt;'Operating Assumptions'!$AA$7,0,IF(I$6&lt;&gt;H$6,INDEX('Operating Assumptions'!$P$8:$AA$13,MATCH($B21,'Operating Assumptions'!$P$8:$P$13,0),MATCH(I$6,'Operating Assumptions'!$P$8:$AA$8,0)),0))</f>
        <v>0</v>
      </c>
      <c r="J21" s="1306">
        <f>IF(J$7&gt;'Operating Assumptions'!$AA$7,0,IF(J$6&lt;&gt;I$6,INDEX('Operating Assumptions'!$P$8:$AA$13,MATCH($B21,'Operating Assumptions'!$P$8:$P$13,0),MATCH(J$6,'Operating Assumptions'!$P$8:$AA$8,0)),0))</f>
        <v>0</v>
      </c>
      <c r="K21" s="1306">
        <f>IF(K$7&gt;'Operating Assumptions'!$AA$7,0,IF(K$6&lt;&gt;J$6,INDEX('Operating Assumptions'!$P$8:$AA$13,MATCH($B21,'Operating Assumptions'!$P$8:$P$13,0),MATCH(K$6,'Operating Assumptions'!$P$8:$AA$8,0)),0))</f>
        <v>0</v>
      </c>
      <c r="L21" s="1306">
        <f>IF(L$7&gt;'Operating Assumptions'!$AA$7,0,IF(L$6&lt;&gt;K$6,INDEX('Operating Assumptions'!$P$8:$AA$13,MATCH($B21,'Operating Assumptions'!$P$8:$P$13,0),MATCH(L$6,'Operating Assumptions'!$P$8:$AA$8,0)),0))</f>
        <v>0</v>
      </c>
      <c r="M21" s="1306">
        <f>IF(M$7&gt;'Operating Assumptions'!$AA$7,0,IF(M$6&lt;&gt;L$6,INDEX('Operating Assumptions'!$P$8:$AA$13,MATCH($B21,'Operating Assumptions'!$P$8:$P$13,0),MATCH(M$6,'Operating Assumptions'!$P$8:$AA$8,0)),0))</f>
        <v>0</v>
      </c>
      <c r="N21" s="1306">
        <f>IF(N$7&gt;'Operating Assumptions'!$AA$7,0,IF(N$6&lt;&gt;M$6,INDEX('Operating Assumptions'!$P$8:$AA$13,MATCH($B21,'Operating Assumptions'!$P$8:$P$13,0),MATCH(N$6,'Operating Assumptions'!$P$8:$AA$8,0)),0))</f>
        <v>0</v>
      </c>
      <c r="O21" s="1306">
        <f>IF(O$7&gt;'Operating Assumptions'!$AA$7,0,IF(O$6&lt;&gt;N$6,INDEX('Operating Assumptions'!$P$8:$AA$13,MATCH($B21,'Operating Assumptions'!$P$8:$P$13,0),MATCH(O$6,'Operating Assumptions'!$P$8:$AA$8,0)),0))</f>
        <v>0</v>
      </c>
      <c r="P21" s="1306">
        <f>IF(P$7&gt;'Operating Assumptions'!$AA$7,0,IF(P$6&lt;&gt;O$6,INDEX('Operating Assumptions'!$P$8:$AA$13,MATCH($B21,'Operating Assumptions'!$P$8:$P$13,0),MATCH(P$6,'Operating Assumptions'!$P$8:$AA$8,0)),0))</f>
        <v>0</v>
      </c>
      <c r="Q21" s="1306">
        <f>IF(Q$7&gt;'Operating Assumptions'!$AA$7,0,IF(Q$6&lt;&gt;P$6,INDEX('Operating Assumptions'!$P$8:$AA$13,MATCH($B21,'Operating Assumptions'!$P$8:$P$13,0),MATCH(Q$6,'Operating Assumptions'!$P$8:$AA$8,0)),0))</f>
        <v>0</v>
      </c>
      <c r="R21" s="1306">
        <f>IF(R$7&gt;'Operating Assumptions'!$AA$7,0,IF(R$6&lt;&gt;Q$6,INDEX('Operating Assumptions'!$P$8:$AA$13,MATCH($B21,'Operating Assumptions'!$P$8:$P$13,0),MATCH(R$6,'Operating Assumptions'!$P$8:$AA$8,0)),0))</f>
        <v>0</v>
      </c>
      <c r="S21" s="1306">
        <f>IF(S$7&gt;'Operating Assumptions'!$AA$7,0,IF(S$6&lt;&gt;R$6,INDEX('Operating Assumptions'!$P$8:$AA$13,MATCH($B21,'Operating Assumptions'!$P$8:$P$13,0),MATCH(S$6,'Operating Assumptions'!$P$8:$AA$8,0)),0))</f>
        <v>0</v>
      </c>
      <c r="T21" s="1306">
        <f>IF(T$7&gt;'Operating Assumptions'!$AA$7,0,IF(T$6&lt;&gt;S$6,INDEX('Operating Assumptions'!$P$8:$AA$13,MATCH($B21,'Operating Assumptions'!$P$8:$P$13,0),MATCH(T$6,'Operating Assumptions'!$P$8:$AA$8,0)),0))</f>
        <v>0</v>
      </c>
      <c r="U21" s="1306">
        <f>IF(U$7&gt;'Operating Assumptions'!$AA$7,0,IF(U$6&lt;&gt;T$6,INDEX('Operating Assumptions'!$P$8:$AA$13,MATCH($B21,'Operating Assumptions'!$P$8:$P$13,0),MATCH(U$6,'Operating Assumptions'!$P$8:$AA$8,0)),0))</f>
        <v>0</v>
      </c>
      <c r="V21" s="1306">
        <f>IF(V$7&gt;'Operating Assumptions'!$AA$7,0,IF(V$6&lt;&gt;U$6,INDEX('Operating Assumptions'!$P$8:$AA$13,MATCH($B21,'Operating Assumptions'!$P$8:$P$13,0),MATCH(V$6,'Operating Assumptions'!$P$8:$AA$8,0)),0))</f>
        <v>0</v>
      </c>
      <c r="W21" s="1306">
        <f>IF(W$7&gt;'Operating Assumptions'!$AA$7,0,IF(W$6&lt;&gt;V$6,INDEX('Operating Assumptions'!$P$8:$AA$13,MATCH($B21,'Operating Assumptions'!$P$8:$P$13,0),MATCH(W$6,'Operating Assumptions'!$P$8:$AA$8,0)),0))</f>
        <v>0</v>
      </c>
      <c r="X21" s="1306">
        <f>IF(X$7&gt;'Operating Assumptions'!$AA$7,0,IF(X$6&lt;&gt;W$6,INDEX('Operating Assumptions'!$P$8:$AA$13,MATCH($B21,'Operating Assumptions'!$P$8:$P$13,0),MATCH(X$6,'Operating Assumptions'!$P$8:$AA$8,0)),0))</f>
        <v>0</v>
      </c>
      <c r="Y21" s="1306">
        <f>IF(Y$7&gt;'Operating Assumptions'!$AA$7,0,IF(Y$6&lt;&gt;X$6,INDEX('Operating Assumptions'!$P$8:$AA$13,MATCH($B21,'Operating Assumptions'!$P$8:$P$13,0),MATCH(Y$6,'Operating Assumptions'!$P$8:$AA$8,0)),0))</f>
        <v>0.01</v>
      </c>
      <c r="Z21" s="1306">
        <f>IF(Z$7&gt;'Operating Assumptions'!$AA$7,0,IF(Z$6&lt;&gt;Y$6,INDEX('Operating Assumptions'!$P$8:$AA$13,MATCH($B21,'Operating Assumptions'!$P$8:$P$13,0),MATCH(Z$6,'Operating Assumptions'!$P$8:$AA$8,0)),0))</f>
        <v>0</v>
      </c>
      <c r="AA21" s="1306">
        <f>IF(AA$7&gt;'Operating Assumptions'!$AA$7,0,IF(AA$6&lt;&gt;Z$6,INDEX('Operating Assumptions'!$P$8:$AA$13,MATCH($B21,'Operating Assumptions'!$P$8:$P$13,0),MATCH(AA$6,'Operating Assumptions'!$P$8:$AA$8,0)),0))</f>
        <v>0</v>
      </c>
      <c r="AB21" s="1306">
        <f>IF(AB$7&gt;'Operating Assumptions'!$AA$7,0,IF(AB$6&lt;&gt;AA$6,INDEX('Operating Assumptions'!$P$8:$AA$13,MATCH($B21,'Operating Assumptions'!$P$8:$P$13,0),MATCH(AB$6,'Operating Assumptions'!$P$8:$AA$8,0)),0))</f>
        <v>0</v>
      </c>
      <c r="AC21" s="1306">
        <f>IF(AC$7&gt;'Operating Assumptions'!$AA$7,0,IF(AC$6&lt;&gt;AB$6,INDEX('Operating Assumptions'!$P$8:$AA$13,MATCH($B21,'Operating Assumptions'!$P$8:$P$13,0),MATCH(AC$6,'Operating Assumptions'!$P$8:$AA$8,0)),0))</f>
        <v>0</v>
      </c>
      <c r="AD21" s="1306">
        <f>IF(AD$7&gt;'Operating Assumptions'!$AA$7,0,IF(AD$6&lt;&gt;AC$6,INDEX('Operating Assumptions'!$P$8:$AA$13,MATCH($B21,'Operating Assumptions'!$P$8:$P$13,0),MATCH(AD$6,'Operating Assumptions'!$P$8:$AA$8,0)),0))</f>
        <v>0</v>
      </c>
      <c r="AE21" s="1306">
        <f>IF(AE$7&gt;'Operating Assumptions'!$AA$7,0,IF(AE$6&lt;&gt;AD$6,INDEX('Operating Assumptions'!$P$8:$AA$13,MATCH($B21,'Operating Assumptions'!$P$8:$P$13,0),MATCH(AE$6,'Operating Assumptions'!$P$8:$AA$8,0)),0))</f>
        <v>0</v>
      </c>
      <c r="AF21" s="1306">
        <f>IF(AF$7&gt;'Operating Assumptions'!$AA$7,0,IF(AF$6&lt;&gt;AE$6,INDEX('Operating Assumptions'!$P$8:$AA$13,MATCH($B21,'Operating Assumptions'!$P$8:$P$13,0),MATCH(AF$6,'Operating Assumptions'!$P$8:$AA$8,0)),0))</f>
        <v>0.01</v>
      </c>
      <c r="AG21" s="1306">
        <f>IF(AG$7&gt;'Operating Assumptions'!$AA$7,0,IF(AG$6&lt;&gt;AF$6,INDEX('Operating Assumptions'!$P$8:$AA$13,MATCH($B21,'Operating Assumptions'!$P$8:$P$13,0),MATCH(AG$6,'Operating Assumptions'!$P$8:$AA$8,0)),0))</f>
        <v>0</v>
      </c>
      <c r="AH21" s="1306">
        <f>IF(AH$7&gt;'Operating Assumptions'!$AA$7,0,IF(AH$6&lt;&gt;AG$6,INDEX('Operating Assumptions'!$P$8:$AA$13,MATCH($B21,'Operating Assumptions'!$P$8:$P$13,0),MATCH(AH$6,'Operating Assumptions'!$P$8:$AA$8,0)),0))</f>
        <v>0</v>
      </c>
      <c r="AI21" s="1306">
        <f>IF(AI$7&gt;'Operating Assumptions'!$AA$7,0,IF(AI$6&lt;&gt;AH$6,INDEX('Operating Assumptions'!$P$8:$AA$13,MATCH($B21,'Operating Assumptions'!$P$8:$P$13,0),MATCH(AI$6,'Operating Assumptions'!$P$8:$AA$8,0)),0))</f>
        <v>0</v>
      </c>
      <c r="AJ21" s="1306">
        <f>IF(AJ$7&gt;'Operating Assumptions'!$AA$7,0,IF(AJ$6&lt;&gt;AI$6,INDEX('Operating Assumptions'!$P$8:$AA$13,MATCH($B21,'Operating Assumptions'!$P$8:$P$13,0),MATCH(AJ$6,'Operating Assumptions'!$P$8:$AA$8,0)),0))</f>
        <v>0</v>
      </c>
      <c r="AK21" s="1306">
        <f>IF(AK$7&gt;'Operating Assumptions'!$AA$7,0,IF(AK$6&lt;&gt;AJ$6,INDEX('Operating Assumptions'!$P$8:$AA$13,MATCH($B21,'Operating Assumptions'!$P$8:$P$13,0),MATCH(AK$6,'Operating Assumptions'!$P$8:$AA$8,0)),0))</f>
        <v>0</v>
      </c>
      <c r="AL21" s="1306">
        <f>IF(AL$7&gt;'Operating Assumptions'!$AA$7,0,IF(AL$6&lt;&gt;AK$6,INDEX('Operating Assumptions'!$P$8:$AA$13,MATCH($B21,'Operating Assumptions'!$P$8:$P$13,0),MATCH(AL$6,'Operating Assumptions'!$P$8:$AA$8,0)),0))</f>
        <v>0</v>
      </c>
      <c r="AM21" s="1306">
        <f>IF(AM$7&gt;'Operating Assumptions'!$AA$7,0,IF(AM$6&lt;&gt;AL$6,INDEX('Operating Assumptions'!$P$8:$AA$13,MATCH($B21,'Operating Assumptions'!$P$8:$P$13,0),MATCH(AM$6,'Operating Assumptions'!$P$8:$AA$8,0)),0))</f>
        <v>0</v>
      </c>
      <c r="AN21" s="1306">
        <f>IF(AN$7&gt;'Operating Assumptions'!$AA$7,0,IF(AN$6&lt;&gt;AM$6,INDEX('Operating Assumptions'!$P$8:$AA$13,MATCH($B21,'Operating Assumptions'!$P$8:$P$13,0),MATCH(AN$6,'Operating Assumptions'!$P$8:$AA$8,0)),0))</f>
        <v>0</v>
      </c>
      <c r="AO21" s="1306">
        <f>IF(AO$7&gt;'Operating Assumptions'!$AA$7,0,IF(AO$6&lt;&gt;AN$6,INDEX('Operating Assumptions'!$P$8:$AA$13,MATCH($B21,'Operating Assumptions'!$P$8:$P$13,0),MATCH(AO$6,'Operating Assumptions'!$P$8:$AA$8,0)),0))</f>
        <v>0</v>
      </c>
      <c r="AP21" s="1306">
        <f>IF(AP$7&gt;'Operating Assumptions'!$AA$7,0,IF(AP$6&lt;&gt;AO$6,INDEX('Operating Assumptions'!$P$8:$AA$13,MATCH($B21,'Operating Assumptions'!$P$8:$P$13,0),MATCH(AP$6,'Operating Assumptions'!$P$8:$AA$8,0)),0))</f>
        <v>0</v>
      </c>
      <c r="AQ21" s="1306">
        <f>IF(AQ$7&gt;'Operating Assumptions'!$AA$7,0,IF(AQ$6&lt;&gt;AP$6,INDEX('Operating Assumptions'!$P$8:$AA$13,MATCH($B21,'Operating Assumptions'!$P$8:$P$13,0),MATCH(AQ$6,'Operating Assumptions'!$P$8:$AA$8,0)),0))</f>
        <v>0</v>
      </c>
      <c r="AR21" s="1306">
        <f>IF(AR$7&gt;'Operating Assumptions'!$AA$7,0,IF(AR$6&lt;&gt;AQ$6,INDEX('Operating Assumptions'!$P$8:$AA$13,MATCH($B21,'Operating Assumptions'!$P$8:$P$13,0),MATCH(AR$6,'Operating Assumptions'!$P$8:$AA$8,0)),0))</f>
        <v>0.01</v>
      </c>
      <c r="AS21" s="1306">
        <f>IF(AS$7&gt;'Operating Assumptions'!$AA$7,0,IF(AS$6&lt;&gt;AR$6,INDEX('Operating Assumptions'!$P$8:$AA$13,MATCH($B21,'Operating Assumptions'!$P$8:$P$13,0),MATCH(AS$6,'Operating Assumptions'!$P$8:$AA$8,0)),0))</f>
        <v>0</v>
      </c>
      <c r="AT21" s="1306">
        <f>IF(AT$7&gt;'Operating Assumptions'!$AA$7,0,IF(AT$6&lt;&gt;AS$6,INDEX('Operating Assumptions'!$P$8:$AA$13,MATCH($B21,'Operating Assumptions'!$P$8:$P$13,0),MATCH(AT$6,'Operating Assumptions'!$P$8:$AA$8,0)),0))</f>
        <v>0</v>
      </c>
      <c r="AU21" s="1306">
        <f>IF(AU$7&gt;'Operating Assumptions'!$AA$7,0,IF(AU$6&lt;&gt;AT$6,INDEX('Operating Assumptions'!$P$8:$AA$13,MATCH($B21,'Operating Assumptions'!$P$8:$P$13,0),MATCH(AU$6,'Operating Assumptions'!$P$8:$AA$8,0)),0))</f>
        <v>0</v>
      </c>
      <c r="AV21" s="1306">
        <f>IF(AV$7&gt;'Operating Assumptions'!$AA$7,0,IF(AV$6&lt;&gt;AU$6,INDEX('Operating Assumptions'!$P$8:$AA$13,MATCH($B21,'Operating Assumptions'!$P$8:$P$13,0),MATCH(AV$6,'Operating Assumptions'!$P$8:$AA$8,0)),0))</f>
        <v>0</v>
      </c>
      <c r="AW21" s="1306">
        <f>IF(AW$7&gt;'Operating Assumptions'!$AA$7,0,IF(AW$6&lt;&gt;AV$6,INDEX('Operating Assumptions'!$P$8:$AA$13,MATCH($B21,'Operating Assumptions'!$P$8:$P$13,0),MATCH(AW$6,'Operating Assumptions'!$P$8:$AA$8,0)),0))</f>
        <v>0</v>
      </c>
      <c r="AX21" s="1306">
        <f>IF(AX$7&gt;'Operating Assumptions'!$AA$7,0,IF(AX$6&lt;&gt;AW$6,INDEX('Operating Assumptions'!$P$8:$AA$13,MATCH($B21,'Operating Assumptions'!$P$8:$P$13,0),MATCH(AX$6,'Operating Assumptions'!$P$8:$AA$8,0)),0))</f>
        <v>0</v>
      </c>
      <c r="AY21" s="1306">
        <f>IF(AY$7&gt;'Operating Assumptions'!$AA$7,0,IF(AY$6&lt;&gt;AX$6,INDEX('Operating Assumptions'!$P$8:$AA$13,MATCH($B21,'Operating Assumptions'!$P$8:$P$13,0),MATCH(AY$6,'Operating Assumptions'!$P$8:$AA$8,0)),0))</f>
        <v>0</v>
      </c>
      <c r="AZ21" s="1306">
        <f>IF(AZ$7&gt;'Operating Assumptions'!$AA$7,0,IF(AZ$6&lt;&gt;AY$6,INDEX('Operating Assumptions'!$P$8:$AA$13,MATCH($B21,'Operating Assumptions'!$P$8:$P$13,0),MATCH(AZ$6,'Operating Assumptions'!$P$8:$AA$8,0)),0))</f>
        <v>0</v>
      </c>
      <c r="BA21" s="1306">
        <f>IF(BA$7&gt;'Operating Assumptions'!$AA$7,0,IF(BA$6&lt;&gt;AZ$6,INDEX('Operating Assumptions'!$P$8:$AA$13,MATCH($B21,'Operating Assumptions'!$P$8:$P$13,0),MATCH(BA$6,'Operating Assumptions'!$P$8:$AA$8,0)),0))</f>
        <v>0</v>
      </c>
      <c r="BB21" s="1306">
        <f>IF(BB$7&gt;'Operating Assumptions'!$AA$7,0,IF(BB$6&lt;&gt;BA$6,INDEX('Operating Assumptions'!$P$8:$AA$13,MATCH($B21,'Operating Assumptions'!$P$8:$P$13,0),MATCH(BB$6,'Operating Assumptions'!$P$8:$AA$8,0)),0))</f>
        <v>0</v>
      </c>
      <c r="BC21" s="1306">
        <f>IF(BC$7&gt;'Operating Assumptions'!$AA$7,0,IF(BC$6&lt;&gt;BB$6,INDEX('Operating Assumptions'!$P$8:$AA$13,MATCH($B21,'Operating Assumptions'!$P$8:$P$13,0),MATCH(BC$6,'Operating Assumptions'!$P$8:$AA$8,0)),0))</f>
        <v>0</v>
      </c>
      <c r="BD21" s="1306">
        <f>IF(BD$7&gt;'Operating Assumptions'!$AA$7,0,IF(BD$6&lt;&gt;BC$6,INDEX('Operating Assumptions'!$P$8:$AA$13,MATCH($B21,'Operating Assumptions'!$P$8:$P$13,0),MATCH(BD$6,'Operating Assumptions'!$P$8:$AA$8,0)),0))</f>
        <v>0.01</v>
      </c>
      <c r="BE21" s="1306">
        <f>IF(BE$7&gt;'Operating Assumptions'!$AA$7,0,IF(BE$6&lt;&gt;BD$6,INDEX('Operating Assumptions'!$P$8:$AA$13,MATCH($B21,'Operating Assumptions'!$P$8:$P$13,0),MATCH(BE$6,'Operating Assumptions'!$P$8:$AA$8,0)),0))</f>
        <v>0</v>
      </c>
      <c r="BF21" s="1306">
        <f>IF(BF$7&gt;'Operating Assumptions'!$AA$7,0,IF(BF$6&lt;&gt;BE$6,INDEX('Operating Assumptions'!$P$8:$AA$13,MATCH($B21,'Operating Assumptions'!$P$8:$P$13,0),MATCH(BF$6,'Operating Assumptions'!$P$8:$AA$8,0)),0))</f>
        <v>0</v>
      </c>
      <c r="BG21" s="1306">
        <f>IF(BG$7&gt;'Operating Assumptions'!$AA$7,0,IF(BG$6&lt;&gt;BF$6,INDEX('Operating Assumptions'!$P$8:$AA$13,MATCH($B21,'Operating Assumptions'!$P$8:$P$13,0),MATCH(BG$6,'Operating Assumptions'!$P$8:$AA$8,0)),0))</f>
        <v>0</v>
      </c>
      <c r="BH21" s="1306">
        <f>IF(BH$7&gt;'Operating Assumptions'!$AA$7,0,IF(BH$6&lt;&gt;BG$6,INDEX('Operating Assumptions'!$P$8:$AA$13,MATCH($B21,'Operating Assumptions'!$P$8:$P$13,0),MATCH(BH$6,'Operating Assumptions'!$P$8:$AA$8,0)),0))</f>
        <v>0</v>
      </c>
      <c r="BI21" s="1306">
        <f>IF(BI$7&gt;'Operating Assumptions'!$AA$7,0,IF(BI$6&lt;&gt;BH$6,INDEX('Operating Assumptions'!$P$8:$AA$13,MATCH($B21,'Operating Assumptions'!$P$8:$P$13,0),MATCH(BI$6,'Operating Assumptions'!$P$8:$AA$8,0)),0))</f>
        <v>0</v>
      </c>
      <c r="BJ21" s="1306">
        <f>IF(BJ$7&gt;'Operating Assumptions'!$AA$7,0,IF(BJ$6&lt;&gt;BI$6,INDEX('Operating Assumptions'!$P$8:$AA$13,MATCH($B21,'Operating Assumptions'!$P$8:$P$13,0),MATCH(BJ$6,'Operating Assumptions'!$P$8:$AA$8,0)),0))</f>
        <v>0</v>
      </c>
      <c r="BK21" s="1306">
        <f>IF(BK$7&gt;'Operating Assumptions'!$AA$7,0,IF(BK$6&lt;&gt;BJ$6,INDEX('Operating Assumptions'!$P$8:$AA$13,MATCH($B21,'Operating Assumptions'!$P$8:$P$13,0),MATCH(BK$6,'Operating Assumptions'!$P$8:$AA$8,0)),0))</f>
        <v>0</v>
      </c>
      <c r="BL21" s="1306">
        <f>IF(BL$7&gt;'Operating Assumptions'!$AA$7,0,IF(BL$6&lt;&gt;BK$6,INDEX('Operating Assumptions'!$P$8:$AA$13,MATCH($B21,'Operating Assumptions'!$P$8:$P$13,0),MATCH(BL$6,'Operating Assumptions'!$P$8:$AA$8,0)),0))</f>
        <v>0</v>
      </c>
      <c r="BM21" s="1306">
        <f>IF(BM$7&gt;'Operating Assumptions'!$AA$7,0,IF(BM$6&lt;&gt;BL$6,INDEX('Operating Assumptions'!$P$8:$AA$13,MATCH($B21,'Operating Assumptions'!$P$8:$P$13,0),MATCH(BM$6,'Operating Assumptions'!$P$8:$AA$8,0)),0))</f>
        <v>0</v>
      </c>
      <c r="BN21" s="1306">
        <f>IF(BN$7&gt;'Operating Assumptions'!$AA$7,0,IF(BN$6&lt;&gt;BM$6,INDEX('Operating Assumptions'!$P$8:$AA$13,MATCH($B21,'Operating Assumptions'!$P$8:$P$13,0),MATCH(BN$6,'Operating Assumptions'!$P$8:$AA$8,0)),0))</f>
        <v>0</v>
      </c>
      <c r="BO21" s="1306">
        <f>IF(BO$7&gt;'Operating Assumptions'!$AA$7,0,IF(BO$6&lt;&gt;BN$6,INDEX('Operating Assumptions'!$P$8:$AA$13,MATCH($B21,'Operating Assumptions'!$P$8:$P$13,0),MATCH(BO$6,'Operating Assumptions'!$P$8:$AA$8,0)),0))</f>
        <v>0</v>
      </c>
      <c r="BP21" s="1306">
        <f>IF(BP$7&gt;'Operating Assumptions'!$AA$7,0,IF(BP$6&lt;&gt;BO$6,INDEX('Operating Assumptions'!$P$8:$AA$13,MATCH($B21,'Operating Assumptions'!$P$8:$P$13,0),MATCH(BP$6,'Operating Assumptions'!$P$8:$AA$8,0)),0))</f>
        <v>0.01</v>
      </c>
      <c r="BQ21" s="1306">
        <f>IF(BQ$7&gt;'Operating Assumptions'!$AA$7,0,IF(BQ$6&lt;&gt;BP$6,INDEX('Operating Assumptions'!$P$8:$AA$13,MATCH($B21,'Operating Assumptions'!$P$8:$P$13,0),MATCH(BQ$6,'Operating Assumptions'!$P$8:$AA$8,0)),0))</f>
        <v>0</v>
      </c>
      <c r="BR21" s="1306">
        <f>IF(BR$7&gt;'Operating Assumptions'!$AA$7,0,IF(BR$6&lt;&gt;BQ$6,INDEX('Operating Assumptions'!$P$8:$AA$13,MATCH($B21,'Operating Assumptions'!$P$8:$P$13,0),MATCH(BR$6,'Operating Assumptions'!$P$8:$AA$8,0)),0))</f>
        <v>0</v>
      </c>
      <c r="BS21" s="1306">
        <f>IF(BS$7&gt;'Operating Assumptions'!$AA$7,0,IF(BS$6&lt;&gt;BR$6,INDEX('Operating Assumptions'!$P$8:$AA$13,MATCH($B21,'Operating Assumptions'!$P$8:$P$13,0),MATCH(BS$6,'Operating Assumptions'!$P$8:$AA$8,0)),0))</f>
        <v>0</v>
      </c>
      <c r="BT21" s="1306">
        <f>IF(BT$7&gt;'Operating Assumptions'!$AA$7,0,IF(BT$6&lt;&gt;BS$6,INDEX('Operating Assumptions'!$P$8:$AA$13,MATCH($B21,'Operating Assumptions'!$P$8:$P$13,0),MATCH(BT$6,'Operating Assumptions'!$P$8:$AA$8,0)),0))</f>
        <v>0</v>
      </c>
      <c r="BU21" s="1306">
        <f>IF(BU$7&gt;'Operating Assumptions'!$AA$7,0,IF(BU$6&lt;&gt;BT$6,INDEX('Operating Assumptions'!$P$8:$AA$13,MATCH($B21,'Operating Assumptions'!$P$8:$P$13,0),MATCH(BU$6,'Operating Assumptions'!$P$8:$AA$8,0)),0))</f>
        <v>0</v>
      </c>
      <c r="BV21" s="1306">
        <f>IF(BV$7&gt;'Operating Assumptions'!$AA$7,0,IF(BV$6&lt;&gt;BU$6,INDEX('Operating Assumptions'!$P$8:$AA$13,MATCH($B21,'Operating Assumptions'!$P$8:$P$13,0),MATCH(BV$6,'Operating Assumptions'!$P$8:$AA$8,0)),0))</f>
        <v>0</v>
      </c>
      <c r="BW21" s="1306">
        <f>IF(BW$7&gt;'Operating Assumptions'!$AA$7,0,IF(BW$6&lt;&gt;BV$6,INDEX('Operating Assumptions'!$P$8:$AA$13,MATCH($B21,'Operating Assumptions'!$P$8:$P$13,0),MATCH(BW$6,'Operating Assumptions'!$P$8:$AA$8,0)),0))</f>
        <v>0</v>
      </c>
      <c r="BX21" s="1306">
        <f>IF(BX$7&gt;'Operating Assumptions'!$AA$7,0,IF(BX$6&lt;&gt;BW$6,INDEX('Operating Assumptions'!$P$8:$AA$13,MATCH($B21,'Operating Assumptions'!$P$8:$P$13,0),MATCH(BX$6,'Operating Assumptions'!$P$8:$AA$8,0)),0))</f>
        <v>0</v>
      </c>
      <c r="BY21" s="1306">
        <f>IF(BY$7&gt;'Operating Assumptions'!$AA$7,0,IF(BY$6&lt;&gt;BX$6,INDEX('Operating Assumptions'!$P$8:$AA$13,MATCH($B21,'Operating Assumptions'!$P$8:$P$13,0),MATCH(BY$6,'Operating Assumptions'!$P$8:$AA$8,0)),0))</f>
        <v>0</v>
      </c>
      <c r="BZ21" s="1306">
        <f>IF(BZ$7&gt;'Operating Assumptions'!$AA$7,0,IF(BZ$6&lt;&gt;BY$6,INDEX('Operating Assumptions'!$P$8:$AA$13,MATCH($B21,'Operating Assumptions'!$P$8:$P$13,0),MATCH(BZ$6,'Operating Assumptions'!$P$8:$AA$8,0)),0))</f>
        <v>0</v>
      </c>
      <c r="CA21" s="1306">
        <f>IF(CA$7&gt;'Operating Assumptions'!$AA$7,0,IF(CA$6&lt;&gt;BZ$6,INDEX('Operating Assumptions'!$P$8:$AA$13,MATCH($B21,'Operating Assumptions'!$P$8:$P$13,0),MATCH(CA$6,'Operating Assumptions'!$P$8:$AA$8,0)),0))</f>
        <v>0</v>
      </c>
      <c r="CB21" s="1306">
        <f>IF(CB$7&gt;'Operating Assumptions'!$AA$7,0,IF(CB$6&lt;&gt;CA$6,INDEX('Operating Assumptions'!$P$8:$AA$13,MATCH($B21,'Operating Assumptions'!$P$8:$P$13,0),MATCH(CB$6,'Operating Assumptions'!$P$8:$AA$8,0)),0))</f>
        <v>0.01</v>
      </c>
      <c r="CC21" s="1306">
        <f>IF(CC$7&gt;'Operating Assumptions'!$AA$7,0,IF(CC$6&lt;&gt;CB$6,INDEX('Operating Assumptions'!$P$8:$AA$13,MATCH($B21,'Operating Assumptions'!$P$8:$P$13,0),MATCH(CC$6,'Operating Assumptions'!$P$8:$AA$8,0)),0))</f>
        <v>0</v>
      </c>
      <c r="CD21" s="1306">
        <f>IF(CD$7&gt;'Operating Assumptions'!$AA$7,0,IF(CD$6&lt;&gt;CC$6,INDEX('Operating Assumptions'!$P$8:$AA$13,MATCH($B21,'Operating Assumptions'!$P$8:$P$13,0),MATCH(CD$6,'Operating Assumptions'!$P$8:$AA$8,0)),0))</f>
        <v>0</v>
      </c>
      <c r="CE21" s="1306">
        <f>IF(CE$7&gt;'Operating Assumptions'!$AA$7,0,IF(CE$6&lt;&gt;CD$6,INDEX('Operating Assumptions'!$P$8:$AA$13,MATCH($B21,'Operating Assumptions'!$P$8:$P$13,0),MATCH(CE$6,'Operating Assumptions'!$P$8:$AA$8,0)),0))</f>
        <v>0</v>
      </c>
      <c r="CF21" s="1306">
        <f>IF(CF$7&gt;'Operating Assumptions'!$AA$7,0,IF(CF$6&lt;&gt;CE$6,INDEX('Operating Assumptions'!$P$8:$AA$13,MATCH($B21,'Operating Assumptions'!$P$8:$P$13,0),MATCH(CF$6,'Operating Assumptions'!$P$8:$AA$8,0)),0))</f>
        <v>0</v>
      </c>
      <c r="CG21" s="1306">
        <f>IF(CG$7&gt;'Operating Assumptions'!$AA$7,0,IF(CG$6&lt;&gt;CF$6,INDEX('Operating Assumptions'!$P$8:$AA$13,MATCH($B21,'Operating Assumptions'!$P$8:$P$13,0),MATCH(CG$6,'Operating Assumptions'!$P$8:$AA$8,0)),0))</f>
        <v>0</v>
      </c>
      <c r="CH21" s="1306">
        <f>IF(CH$7&gt;'Operating Assumptions'!$AA$7,0,IF(CH$6&lt;&gt;CG$6,INDEX('Operating Assumptions'!$P$8:$AA$13,MATCH($B21,'Operating Assumptions'!$P$8:$P$13,0),MATCH(CH$6,'Operating Assumptions'!$P$8:$AA$8,0)),0))</f>
        <v>0</v>
      </c>
      <c r="CI21" s="1306">
        <f>IF(CI$7&gt;'Operating Assumptions'!$AA$7,0,IF(CI$6&lt;&gt;CH$6,INDEX('Operating Assumptions'!$P$8:$AA$13,MATCH($B21,'Operating Assumptions'!$P$8:$P$13,0),MATCH(CI$6,'Operating Assumptions'!$P$8:$AA$8,0)),0))</f>
        <v>0</v>
      </c>
      <c r="CJ21" s="1306">
        <f>IF(CJ$7&gt;'Operating Assumptions'!$AA$7,0,IF(CJ$6&lt;&gt;CI$6,INDEX('Operating Assumptions'!$P$8:$AA$13,MATCH($B21,'Operating Assumptions'!$P$8:$P$13,0),MATCH(CJ$6,'Operating Assumptions'!$P$8:$AA$8,0)),0))</f>
        <v>0</v>
      </c>
      <c r="CK21" s="1306">
        <f>IF(CK$7&gt;'Operating Assumptions'!$AA$7,0,IF(CK$6&lt;&gt;CJ$6,INDEX('Operating Assumptions'!$P$8:$AA$13,MATCH($B21,'Operating Assumptions'!$P$8:$P$13,0),MATCH(CK$6,'Operating Assumptions'!$P$8:$AA$8,0)),0))</f>
        <v>0</v>
      </c>
      <c r="CL21" s="1306">
        <f>IF(CL$7&gt;'Operating Assumptions'!$AA$7,0,IF(CL$6&lt;&gt;CK$6,INDEX('Operating Assumptions'!$P$8:$AA$13,MATCH($B21,'Operating Assumptions'!$P$8:$P$13,0),MATCH(CL$6,'Operating Assumptions'!$P$8:$AA$8,0)),0))</f>
        <v>0</v>
      </c>
      <c r="CM21" s="1306">
        <f>IF(CM$7&gt;'Operating Assumptions'!$AA$7,0,IF(CM$6&lt;&gt;CL$6,INDEX('Operating Assumptions'!$P$8:$AA$13,MATCH($B21,'Operating Assumptions'!$P$8:$P$13,0),MATCH(CM$6,'Operating Assumptions'!$P$8:$AA$8,0)),0))</f>
        <v>0</v>
      </c>
      <c r="CN21" s="1306">
        <f>IF(CN$7&gt;'Operating Assumptions'!$AA$7,0,IF(CN$6&lt;&gt;CM$6,INDEX('Operating Assumptions'!$P$8:$AA$13,MATCH($B21,'Operating Assumptions'!$P$8:$P$13,0),MATCH(CN$6,'Operating Assumptions'!$P$8:$AA$8,0)),0))</f>
        <v>0.01</v>
      </c>
      <c r="CO21" s="1306">
        <f>IF(CO$7&gt;'Operating Assumptions'!$AA$7,0,IF(CO$6&lt;&gt;CN$6,INDEX('Operating Assumptions'!$P$8:$AA$13,MATCH($B21,'Operating Assumptions'!$P$8:$P$13,0),MATCH(CO$6,'Operating Assumptions'!$P$8:$AA$8,0)),0))</f>
        <v>0</v>
      </c>
      <c r="CP21" s="1306">
        <f>IF(CP$7&gt;'Operating Assumptions'!$AA$7,0,IF(CP$6&lt;&gt;CO$6,INDEX('Operating Assumptions'!$P$8:$AA$13,MATCH($B21,'Operating Assumptions'!$P$8:$P$13,0),MATCH(CP$6,'Operating Assumptions'!$P$8:$AA$8,0)),0))</f>
        <v>0</v>
      </c>
      <c r="CQ21" s="1306">
        <f>IF(CQ$7&gt;'Operating Assumptions'!$AA$7,0,IF(CQ$6&lt;&gt;CP$6,INDEX('Operating Assumptions'!$P$8:$AA$13,MATCH($B21,'Operating Assumptions'!$P$8:$P$13,0),MATCH(CQ$6,'Operating Assumptions'!$P$8:$AA$8,0)),0))</f>
        <v>0</v>
      </c>
      <c r="CR21" s="1306">
        <f>IF(CR$7&gt;'Operating Assumptions'!$AA$7,0,IF(CR$6&lt;&gt;CQ$6,INDEX('Operating Assumptions'!$P$8:$AA$13,MATCH($B21,'Operating Assumptions'!$P$8:$P$13,0),MATCH(CR$6,'Operating Assumptions'!$P$8:$AA$8,0)),0))</f>
        <v>0</v>
      </c>
      <c r="CS21" s="1306">
        <f>IF(CS$7&gt;'Operating Assumptions'!$AA$7,0,IF(CS$6&lt;&gt;CR$6,INDEX('Operating Assumptions'!$P$8:$AA$13,MATCH($B21,'Operating Assumptions'!$P$8:$P$13,0),MATCH(CS$6,'Operating Assumptions'!$P$8:$AA$8,0)),0))</f>
        <v>0</v>
      </c>
      <c r="CT21" s="1306">
        <f>IF(CT$7&gt;'Operating Assumptions'!$AA$7,0,IF(CT$6&lt;&gt;CS$6,INDEX('Operating Assumptions'!$P$8:$AA$13,MATCH($B21,'Operating Assumptions'!$P$8:$P$13,0),MATCH(CT$6,'Operating Assumptions'!$P$8:$AA$8,0)),0))</f>
        <v>0</v>
      </c>
      <c r="CU21" s="1306">
        <f>IF(CU$7&gt;'Operating Assumptions'!$AA$7,0,IF(CU$6&lt;&gt;CT$6,INDEX('Operating Assumptions'!$P$8:$AA$13,MATCH($B21,'Operating Assumptions'!$P$8:$P$13,0),MATCH(CU$6,'Operating Assumptions'!$P$8:$AA$8,0)),0))</f>
        <v>0</v>
      </c>
      <c r="CV21" s="1306">
        <f>IF(CV$7&gt;'Operating Assumptions'!$AA$7,0,IF(CV$6&lt;&gt;CU$6,INDEX('Operating Assumptions'!$P$8:$AA$13,MATCH($B21,'Operating Assumptions'!$P$8:$P$13,0),MATCH(CV$6,'Operating Assumptions'!$P$8:$AA$8,0)),0))</f>
        <v>0</v>
      </c>
      <c r="CW21" s="1306">
        <f>IF(CW$7&gt;'Operating Assumptions'!$AA$7,0,IF(CW$6&lt;&gt;CV$6,INDEX('Operating Assumptions'!$P$8:$AA$13,MATCH($B21,'Operating Assumptions'!$P$8:$P$13,0),MATCH(CW$6,'Operating Assumptions'!$P$8:$AA$8,0)),0))</f>
        <v>0</v>
      </c>
      <c r="CX21" s="1306">
        <f>IF(CX$7&gt;'Operating Assumptions'!$AA$7,0,IF(CX$6&lt;&gt;CW$6,INDEX('Operating Assumptions'!$P$8:$AA$13,MATCH($B21,'Operating Assumptions'!$P$8:$P$13,0),MATCH(CX$6,'Operating Assumptions'!$P$8:$AA$8,0)),0))</f>
        <v>0</v>
      </c>
      <c r="CY21" s="1306">
        <f>IF(CY$7&gt;'Operating Assumptions'!$AA$7,0,IF(CY$6&lt;&gt;CX$6,INDEX('Operating Assumptions'!$P$8:$AA$13,MATCH($B21,'Operating Assumptions'!$P$8:$P$13,0),MATCH(CY$6,'Operating Assumptions'!$P$8:$AA$8,0)),0))</f>
        <v>0</v>
      </c>
      <c r="CZ21" s="1306">
        <f>IF(CZ$7&gt;'Operating Assumptions'!$AA$7,0,IF(CZ$6&lt;&gt;CY$6,INDEX('Operating Assumptions'!$P$8:$AA$13,MATCH($B21,'Operating Assumptions'!$P$8:$P$13,0),MATCH(CZ$6,'Operating Assumptions'!$P$8:$AA$8,0)),0))</f>
        <v>0.01</v>
      </c>
      <c r="DA21" s="1306">
        <f>IF(DA$7&gt;'Operating Assumptions'!$AA$7,0,IF(DA$6&lt;&gt;CZ$6,INDEX('Operating Assumptions'!$P$8:$AA$13,MATCH($B21,'Operating Assumptions'!$P$8:$P$13,0),MATCH(DA$6,'Operating Assumptions'!$P$8:$AA$8,0)),0))</f>
        <v>0</v>
      </c>
      <c r="DB21" s="1306">
        <f>IF(DB$7&gt;'Operating Assumptions'!$AA$7,0,IF(DB$6&lt;&gt;DA$6,INDEX('Operating Assumptions'!$P$8:$AA$13,MATCH($B21,'Operating Assumptions'!$P$8:$P$13,0),MATCH(DB$6,'Operating Assumptions'!$P$8:$AA$8,0)),0))</f>
        <v>0</v>
      </c>
      <c r="DC21" s="1306">
        <f>IF(DC$7&gt;'Operating Assumptions'!$AA$7,0,IF(DC$6&lt;&gt;DB$6,INDEX('Operating Assumptions'!$P$8:$AA$13,MATCH($B21,'Operating Assumptions'!$P$8:$P$13,0),MATCH(DC$6,'Operating Assumptions'!$P$8:$AA$8,0)),0))</f>
        <v>0</v>
      </c>
      <c r="DD21" s="1306">
        <f>IF(DD$7&gt;'Operating Assumptions'!$AA$7,0,IF(DD$6&lt;&gt;DC$6,INDEX('Operating Assumptions'!$P$8:$AA$13,MATCH($B21,'Operating Assumptions'!$P$8:$P$13,0),MATCH(DD$6,'Operating Assumptions'!$P$8:$AA$8,0)),0))</f>
        <v>0</v>
      </c>
      <c r="DE21" s="1306">
        <f>IF(DE$7&gt;'Operating Assumptions'!$AA$7,0,IF(DE$6&lt;&gt;DD$6,INDEX('Operating Assumptions'!$P$8:$AA$13,MATCH($B21,'Operating Assumptions'!$P$8:$P$13,0),MATCH(DE$6,'Operating Assumptions'!$P$8:$AA$8,0)),0))</f>
        <v>0</v>
      </c>
      <c r="DF21" s="1306">
        <f>IF(DF$7&gt;'Operating Assumptions'!$AA$7,0,IF(DF$6&lt;&gt;DE$6,INDEX('Operating Assumptions'!$P$8:$AA$13,MATCH($B21,'Operating Assumptions'!$P$8:$P$13,0),MATCH(DF$6,'Operating Assumptions'!$P$8:$AA$8,0)),0))</f>
        <v>0</v>
      </c>
      <c r="DG21" s="1306">
        <f>IF(DG$7&gt;'Operating Assumptions'!$AA$7,0,IF(DG$6&lt;&gt;DF$6,INDEX('Operating Assumptions'!$P$8:$AA$13,MATCH($B21,'Operating Assumptions'!$P$8:$P$13,0),MATCH(DG$6,'Operating Assumptions'!$P$8:$AA$8,0)),0))</f>
        <v>0</v>
      </c>
      <c r="DH21" s="1306">
        <f>IF(DH$7&gt;'Operating Assumptions'!$AA$7,0,IF(DH$6&lt;&gt;DG$6,INDEX('Operating Assumptions'!$P$8:$AA$13,MATCH($B21,'Operating Assumptions'!$P$8:$P$13,0),MATCH(DH$6,'Operating Assumptions'!$P$8:$AA$8,0)),0))</f>
        <v>0</v>
      </c>
      <c r="DI21" s="1306">
        <f>IF(DI$7&gt;'Operating Assumptions'!$AA$7,0,IF(DI$6&lt;&gt;DH$6,INDEX('Operating Assumptions'!$P$8:$AA$13,MATCH($B21,'Operating Assumptions'!$P$8:$P$13,0),MATCH(DI$6,'Operating Assumptions'!$P$8:$AA$8,0)),0))</f>
        <v>0</v>
      </c>
      <c r="DJ21" s="1306">
        <f>IF(DJ$7&gt;'Operating Assumptions'!$AA$7,0,IF(DJ$6&lt;&gt;DI$6,INDEX('Operating Assumptions'!$P$8:$AA$13,MATCH($B21,'Operating Assumptions'!$P$8:$P$13,0),MATCH(DJ$6,'Operating Assumptions'!$P$8:$AA$8,0)),0))</f>
        <v>0</v>
      </c>
      <c r="DK21" s="1306">
        <f>IF(DK$7&gt;'Operating Assumptions'!$AA$7,0,IF(DK$6&lt;&gt;DJ$6,INDEX('Operating Assumptions'!$P$8:$AA$13,MATCH($B21,'Operating Assumptions'!$P$8:$P$13,0),MATCH(DK$6,'Operating Assumptions'!$P$8:$AA$8,0)),0))</f>
        <v>0</v>
      </c>
      <c r="DL21" s="1306">
        <f>IF(DL$7&gt;'Operating Assumptions'!$AA$7,0,IF(DL$6&lt;&gt;DK$6,INDEX('Operating Assumptions'!$P$8:$AA$13,MATCH($B21,'Operating Assumptions'!$P$8:$P$13,0),MATCH(DL$6,'Operating Assumptions'!$P$8:$AA$8,0)),0))</f>
        <v>0.01</v>
      </c>
      <c r="DM21" s="1306">
        <f>IF(DM$7&gt;'Operating Assumptions'!$AA$7,0,IF(DM$6&lt;&gt;DL$6,INDEX('Operating Assumptions'!$P$8:$AA$13,MATCH($B21,'Operating Assumptions'!$P$8:$P$13,0),MATCH(DM$6,'Operating Assumptions'!$P$8:$AA$8,0)),0))</f>
        <v>0</v>
      </c>
      <c r="DN21" s="1306">
        <f>IF(DN$7&gt;'Operating Assumptions'!$AA$7,0,IF(DN$6&lt;&gt;DM$6,INDEX('Operating Assumptions'!$P$8:$AA$13,MATCH($B21,'Operating Assumptions'!$P$8:$P$13,0),MATCH(DN$6,'Operating Assumptions'!$P$8:$AA$8,0)),0))</f>
        <v>0</v>
      </c>
      <c r="DO21" s="1306">
        <f>IF(DO$7&gt;'Operating Assumptions'!$AA$7,0,IF(DO$6&lt;&gt;DN$6,INDEX('Operating Assumptions'!$P$8:$AA$13,MATCH($B21,'Operating Assumptions'!$P$8:$P$13,0),MATCH(DO$6,'Operating Assumptions'!$P$8:$AA$8,0)),0))</f>
        <v>0</v>
      </c>
      <c r="DP21" s="1306">
        <f>IF(DP$7&gt;'Operating Assumptions'!$AA$7,0,IF(DP$6&lt;&gt;DO$6,INDEX('Operating Assumptions'!$P$8:$AA$13,MATCH($B21,'Operating Assumptions'!$P$8:$P$13,0),MATCH(DP$6,'Operating Assumptions'!$P$8:$AA$8,0)),0))</f>
        <v>0</v>
      </c>
      <c r="DQ21" s="1306">
        <f>IF(DQ$7&gt;'Operating Assumptions'!$AA$7,0,IF(DQ$6&lt;&gt;DP$6,INDEX('Operating Assumptions'!$P$8:$AA$13,MATCH($B21,'Operating Assumptions'!$P$8:$P$13,0),MATCH(DQ$6,'Operating Assumptions'!$P$8:$AA$8,0)),0))</f>
        <v>0</v>
      </c>
      <c r="DR21" s="1306">
        <f>IF(DR$7&gt;'Operating Assumptions'!$AA$7,0,IF(DR$6&lt;&gt;DQ$6,INDEX('Operating Assumptions'!$P$8:$AA$13,MATCH($B21,'Operating Assumptions'!$P$8:$P$13,0),MATCH(DR$6,'Operating Assumptions'!$P$8:$AA$8,0)),0))</f>
        <v>0</v>
      </c>
      <c r="DS21" s="1306">
        <f>IF(DS$7&gt;'Operating Assumptions'!$AA$7,0,IF(DS$6&lt;&gt;DR$6,INDEX('Operating Assumptions'!$P$8:$AA$13,MATCH($B21,'Operating Assumptions'!$P$8:$P$13,0),MATCH(DS$6,'Operating Assumptions'!$P$8:$AA$8,0)),0))</f>
        <v>0</v>
      </c>
      <c r="DT21" s="1306">
        <f>IF(DT$7&gt;'Operating Assumptions'!$AA$7,0,IF(DT$6&lt;&gt;DS$6,INDEX('Operating Assumptions'!$P$8:$AA$13,MATCH($B21,'Operating Assumptions'!$P$8:$P$13,0),MATCH(DT$6,'Operating Assumptions'!$P$8:$AA$8,0)),0))</f>
        <v>0</v>
      </c>
      <c r="DU21" s="1306">
        <f>IF(DU$7&gt;'Operating Assumptions'!$AA$7,0,IF(DU$6&lt;&gt;DT$6,INDEX('Operating Assumptions'!$P$8:$AA$13,MATCH($B21,'Operating Assumptions'!$P$8:$P$13,0),MATCH(DU$6,'Operating Assumptions'!$P$8:$AA$8,0)),0))</f>
        <v>0</v>
      </c>
      <c r="DV21" s="1306">
        <f>IF(DV$7&gt;'Operating Assumptions'!$AA$7,0,IF(DV$6&lt;&gt;DU$6,INDEX('Operating Assumptions'!$P$8:$AA$13,MATCH($B21,'Operating Assumptions'!$P$8:$P$13,0),MATCH(DV$6,'Operating Assumptions'!$P$8:$AA$8,0)),0))</f>
        <v>0</v>
      </c>
      <c r="DW21" s="1306">
        <f>IF(DW$7&gt;'Operating Assumptions'!$AA$7,0,IF(DW$6&lt;&gt;DV$6,INDEX('Operating Assumptions'!$P$8:$AA$13,MATCH($B21,'Operating Assumptions'!$P$8:$P$13,0),MATCH(DW$6,'Operating Assumptions'!$P$8:$AA$8,0)),0))</f>
        <v>0</v>
      </c>
      <c r="DX21" s="1306">
        <f>IF(DX$7&gt;'Operating Assumptions'!$AA$7,0,IF(DX$6&lt;&gt;DW$6,INDEX('Operating Assumptions'!$P$8:$AA$13,MATCH($B21,'Operating Assumptions'!$P$8:$P$13,0),MATCH(DX$6,'Operating Assumptions'!$P$8:$AA$8,0)),0))</f>
        <v>0.01</v>
      </c>
      <c r="DY21" s="1306">
        <f>IF(DY$7&gt;'Operating Assumptions'!$AA$7,0,IF(DY$6&lt;&gt;DX$6,INDEX('Operating Assumptions'!$P$8:$AA$13,MATCH($B21,'Operating Assumptions'!$P$8:$P$13,0),MATCH(DY$6,'Operating Assumptions'!$P$8:$AA$8,0)),0))</f>
        <v>0</v>
      </c>
      <c r="DZ21" s="1306">
        <f>IF(DZ$7&gt;'Operating Assumptions'!$AA$7,0,IF(DZ$6&lt;&gt;DY$6,INDEX('Operating Assumptions'!$P$8:$AA$13,MATCH($B21,'Operating Assumptions'!$P$8:$P$13,0),MATCH(DZ$6,'Operating Assumptions'!$P$8:$AA$8,0)),0))</f>
        <v>0</v>
      </c>
      <c r="EA21" s="1306">
        <f>IF(EA$7&gt;'Operating Assumptions'!$AA$7,0,IF(EA$6&lt;&gt;DZ$6,INDEX('Operating Assumptions'!$P$8:$AA$13,MATCH($B21,'Operating Assumptions'!$P$8:$P$13,0),MATCH(EA$6,'Operating Assumptions'!$P$8:$AA$8,0)),0))</f>
        <v>0</v>
      </c>
      <c r="EB21" s="1306">
        <f>IF(EB$7&gt;'Operating Assumptions'!$AA$7,0,IF(EB$6&lt;&gt;EA$6,INDEX('Operating Assumptions'!$P$8:$AA$13,MATCH($B21,'Operating Assumptions'!$P$8:$P$13,0),MATCH(EB$6,'Operating Assumptions'!$P$8:$AA$8,0)),0))</f>
        <v>0</v>
      </c>
      <c r="EC21" s="1306">
        <f>IF(EC$7&gt;'Operating Assumptions'!$AA$7,0,IF(EC$6&lt;&gt;EB$6,INDEX('Operating Assumptions'!$P$8:$AA$13,MATCH($B21,'Operating Assumptions'!$P$8:$P$13,0),MATCH(EC$6,'Operating Assumptions'!$P$8:$AA$8,0)),0))</f>
        <v>0</v>
      </c>
      <c r="ED21" s="1306">
        <f>IF(ED$7&gt;'Operating Assumptions'!$AA$7,0,IF(ED$6&lt;&gt;EC$6,INDEX('Operating Assumptions'!$P$8:$AA$13,MATCH($B21,'Operating Assumptions'!$P$8:$P$13,0),MATCH(ED$6,'Operating Assumptions'!$P$8:$AA$8,0)),0))</f>
        <v>0</v>
      </c>
      <c r="EE21" s="1306">
        <f>IF(EE$7&gt;'Operating Assumptions'!$AA$7,0,IF(EE$6&lt;&gt;ED$6,INDEX('Operating Assumptions'!$P$8:$AA$13,MATCH($B21,'Operating Assumptions'!$P$8:$P$13,0),MATCH(EE$6,'Operating Assumptions'!$P$8:$AA$8,0)),0))</f>
        <v>0</v>
      </c>
      <c r="EF21" s="1306">
        <f>IF(EF$7&gt;'Operating Assumptions'!$AA$7,0,IF(EF$6&lt;&gt;EE$6,INDEX('Operating Assumptions'!$P$8:$AA$13,MATCH($B21,'Operating Assumptions'!$P$8:$P$13,0),MATCH(EF$6,'Operating Assumptions'!$P$8:$AA$8,0)),0))</f>
        <v>0</v>
      </c>
      <c r="EG21" s="1306">
        <f>IF(EG$7&gt;'Operating Assumptions'!$AA$7,0,IF(EG$6&lt;&gt;EF$6,INDEX('Operating Assumptions'!$P$8:$AA$13,MATCH($B21,'Operating Assumptions'!$P$8:$P$13,0),MATCH(EG$6,'Operating Assumptions'!$P$8:$AA$8,0)),0))</f>
        <v>0</v>
      </c>
      <c r="EH21" s="1306">
        <f>IF(EH$7&gt;'Operating Assumptions'!$AA$7,0,IF(EH$6&lt;&gt;EG$6,INDEX('Operating Assumptions'!$P$8:$AA$13,MATCH($B21,'Operating Assumptions'!$P$8:$P$13,0),MATCH(EH$6,'Operating Assumptions'!$P$8:$AA$8,0)),0))</f>
        <v>0</v>
      </c>
      <c r="EI21" s="1306">
        <f>IF(EI$7&gt;'Operating Assumptions'!$AA$7,0,IF(EI$6&lt;&gt;EH$6,INDEX('Operating Assumptions'!$P$8:$AA$13,MATCH($B21,'Operating Assumptions'!$P$8:$P$13,0),MATCH(EI$6,'Operating Assumptions'!$P$8:$AA$8,0)),0))</f>
        <v>0</v>
      </c>
      <c r="EJ21" s="1306">
        <f>IF(EJ$7&gt;'Operating Assumptions'!$AA$7,0,IF(EJ$6&lt;&gt;EI$6,INDEX('Operating Assumptions'!$P$8:$AA$13,MATCH($B21,'Operating Assumptions'!$P$8:$P$13,0),MATCH(EJ$6,'Operating Assumptions'!$P$8:$AA$8,0)),0))</f>
        <v>0.01</v>
      </c>
      <c r="EK21" s="1306">
        <f>IF(EK$7&gt;'Operating Assumptions'!$AA$7,0,IF(EK$6&lt;&gt;EJ$6,INDEX('Operating Assumptions'!$P$8:$AA$13,MATCH($B21,'Operating Assumptions'!$P$8:$P$13,0),MATCH(EK$6,'Operating Assumptions'!$P$8:$AA$8,0)),0))</f>
        <v>0</v>
      </c>
      <c r="EL21" s="1306">
        <f>IF(EL$7&gt;'Operating Assumptions'!$AA$7,0,IF(EL$6&lt;&gt;EK$6,INDEX('Operating Assumptions'!$P$8:$AA$13,MATCH($B21,'Operating Assumptions'!$P$8:$P$13,0),MATCH(EL$6,'Operating Assumptions'!$P$8:$AA$8,0)),0))</f>
        <v>0</v>
      </c>
      <c r="EM21" s="1306">
        <f>IF(EM$7&gt;'Operating Assumptions'!$AA$7,0,IF(EM$6&lt;&gt;EL$6,INDEX('Operating Assumptions'!$P$8:$AA$13,MATCH($B21,'Operating Assumptions'!$P$8:$P$13,0),MATCH(EM$6,'Operating Assumptions'!$P$8:$AA$8,0)),0))</f>
        <v>0</v>
      </c>
      <c r="EN21" s="1306">
        <f>IF(EN$7&gt;'Operating Assumptions'!$AA$7,0,IF(EN$6&lt;&gt;EM$6,INDEX('Operating Assumptions'!$P$8:$AA$13,MATCH($B21,'Operating Assumptions'!$P$8:$P$13,0),MATCH(EN$6,'Operating Assumptions'!$P$8:$AA$8,0)),0))</f>
        <v>0</v>
      </c>
      <c r="EO21" s="1306">
        <f>IF(EO$7&gt;'Operating Assumptions'!$AA$7,0,IF(EO$6&lt;&gt;EN$6,INDEX('Operating Assumptions'!$P$8:$AA$13,MATCH($B21,'Operating Assumptions'!$P$8:$P$13,0),MATCH(EO$6,'Operating Assumptions'!$P$8:$AA$8,0)),0))</f>
        <v>0</v>
      </c>
      <c r="EP21" s="1306">
        <f>IF(EP$7&gt;'Operating Assumptions'!$AA$7,0,IF(EP$6&lt;&gt;EO$6,INDEX('Operating Assumptions'!$P$8:$AA$13,MATCH($B21,'Operating Assumptions'!$P$8:$P$13,0),MATCH(EP$6,'Operating Assumptions'!$P$8:$AA$8,0)),0))</f>
        <v>0</v>
      </c>
      <c r="EQ21" s="1306">
        <f>IF(EQ$7&gt;'Operating Assumptions'!$AA$7,0,IF(EQ$6&lt;&gt;EP$6,INDEX('Operating Assumptions'!$P$8:$AA$13,MATCH($B21,'Operating Assumptions'!$P$8:$P$13,0),MATCH(EQ$6,'Operating Assumptions'!$P$8:$AA$8,0)),0))</f>
        <v>0</v>
      </c>
      <c r="ER21" s="1306">
        <f>IF(ER$7&gt;'Operating Assumptions'!$AA$7,0,IF(ER$6&lt;&gt;EQ$6,INDEX('Operating Assumptions'!$P$8:$AA$13,MATCH($B21,'Operating Assumptions'!$P$8:$P$13,0),MATCH(ER$6,'Operating Assumptions'!$P$8:$AA$8,0)),0))</f>
        <v>0</v>
      </c>
      <c r="ES21" s="1306">
        <f>IF(ES$7&gt;'Operating Assumptions'!$AA$7,0,IF(ES$6&lt;&gt;ER$6,INDEX('Operating Assumptions'!$P$8:$AA$13,MATCH($B21,'Operating Assumptions'!$P$8:$P$13,0),MATCH(ES$6,'Operating Assumptions'!$P$8:$AA$8,0)),0))</f>
        <v>0</v>
      </c>
      <c r="ET21" s="1306">
        <f>IF(ET$7&gt;'Operating Assumptions'!$AA$7,0,IF(ET$6&lt;&gt;ES$6,INDEX('Operating Assumptions'!$P$8:$AA$13,MATCH($B21,'Operating Assumptions'!$P$8:$P$13,0),MATCH(ET$6,'Operating Assumptions'!$P$8:$AA$8,0)),0))</f>
        <v>0</v>
      </c>
      <c r="EU21" s="1306">
        <f>IF(EU$7&gt;'Operating Assumptions'!$AA$7,0,IF(EU$6&lt;&gt;ET$6,INDEX('Operating Assumptions'!$P$8:$AA$13,MATCH($B21,'Operating Assumptions'!$P$8:$P$13,0),MATCH(EU$6,'Operating Assumptions'!$P$8:$AA$8,0)),0))</f>
        <v>0</v>
      </c>
      <c r="EV21" s="1306">
        <f>IF(EV$7&gt;'Operating Assumptions'!$AA$7,0,IF(EV$6&lt;&gt;EU$6,INDEX('Operating Assumptions'!$P$8:$AA$13,MATCH($B21,'Operating Assumptions'!$P$8:$P$13,0),MATCH(EV$6,'Operating Assumptions'!$P$8:$AA$8,0)),0))</f>
        <v>0</v>
      </c>
      <c r="EW21" s="1306">
        <f>IF(EW$7&gt;'Operating Assumptions'!$AA$7,0,IF(EW$6&lt;&gt;EV$6,INDEX('Operating Assumptions'!$P$8:$AA$13,MATCH($B21,'Operating Assumptions'!$P$8:$P$13,0),MATCH(EW$6,'Operating Assumptions'!$P$8:$AA$8,0)),0))</f>
        <v>0</v>
      </c>
      <c r="EX21" s="1306">
        <f>IF(EX$7&gt;'Operating Assumptions'!$AA$7,0,IF(EX$6&lt;&gt;EW$6,INDEX('Operating Assumptions'!$P$8:$AA$13,MATCH($B21,'Operating Assumptions'!$P$8:$P$13,0),MATCH(EX$6,'Operating Assumptions'!$P$8:$AA$8,0)),0))</f>
        <v>0</v>
      </c>
      <c r="EY21" s="1306">
        <f>IF(EY$7&gt;'Operating Assumptions'!$AA$7,0,IF(EY$6&lt;&gt;EX$6,INDEX('Operating Assumptions'!$P$8:$AA$13,MATCH($B21,'Operating Assumptions'!$P$8:$P$13,0),MATCH(EY$6,'Operating Assumptions'!$P$8:$AA$8,0)),0))</f>
        <v>0</v>
      </c>
      <c r="EZ21" s="1306">
        <f>IF(EZ$7&gt;'Operating Assumptions'!$AA$7,0,IF(EZ$6&lt;&gt;EY$6,INDEX('Operating Assumptions'!$P$8:$AA$13,MATCH($B21,'Operating Assumptions'!$P$8:$P$13,0),MATCH(EZ$6,'Operating Assumptions'!$P$8:$AA$8,0)),0))</f>
        <v>0</v>
      </c>
      <c r="FA21" s="1306">
        <f>IF(FA$7&gt;'Operating Assumptions'!$AA$7,0,IF(FA$6&lt;&gt;EZ$6,INDEX('Operating Assumptions'!$P$8:$AA$13,MATCH($B21,'Operating Assumptions'!$P$8:$P$13,0),MATCH(FA$6,'Operating Assumptions'!$P$8:$AA$8,0)),0))</f>
        <v>0</v>
      </c>
      <c r="FB21" s="1306">
        <f>IF(FB$7&gt;'Operating Assumptions'!$AA$7,0,IF(FB$6&lt;&gt;FA$6,INDEX('Operating Assumptions'!$P$8:$AA$13,MATCH($B21,'Operating Assumptions'!$P$8:$P$13,0),MATCH(FB$6,'Operating Assumptions'!$P$8:$AA$8,0)),0))</f>
        <v>0</v>
      </c>
      <c r="FC21" s="1306">
        <f>IF(FC$7&gt;'Operating Assumptions'!$AA$7,0,IF(FC$6&lt;&gt;FB$6,INDEX('Operating Assumptions'!$P$8:$AA$13,MATCH($B21,'Operating Assumptions'!$P$8:$P$13,0),MATCH(FC$6,'Operating Assumptions'!$P$8:$AA$8,0)),0))</f>
        <v>0</v>
      </c>
      <c r="FD21" s="1306">
        <f>IF(FD$7&gt;'Operating Assumptions'!$AA$7,0,IF(FD$6&lt;&gt;FC$6,INDEX('Operating Assumptions'!$P$8:$AA$13,MATCH($B21,'Operating Assumptions'!$P$8:$P$13,0),MATCH(FD$6,'Operating Assumptions'!$P$8:$AA$8,0)),0))</f>
        <v>0</v>
      </c>
      <c r="FE21" s="1306">
        <f>IF(FE$7&gt;'Operating Assumptions'!$AA$7,0,IF(FE$6&lt;&gt;FD$6,INDEX('Operating Assumptions'!$P$8:$AA$13,MATCH($B21,'Operating Assumptions'!$P$8:$P$13,0),MATCH(FE$6,'Operating Assumptions'!$P$8:$AA$8,0)),0))</f>
        <v>0</v>
      </c>
      <c r="FF21" s="1306">
        <f>IF(FF$7&gt;'Operating Assumptions'!$AA$7,0,IF(FF$6&lt;&gt;FE$6,INDEX('Operating Assumptions'!$P$8:$AA$13,MATCH($B21,'Operating Assumptions'!$P$8:$P$13,0),MATCH(FF$6,'Operating Assumptions'!$P$8:$AA$8,0)),0))</f>
        <v>0</v>
      </c>
      <c r="FG21" s="1306">
        <f>IF(FG$7&gt;'Operating Assumptions'!$AA$7,0,IF(FG$6&lt;&gt;FF$6,INDEX('Operating Assumptions'!$P$8:$AA$13,MATCH($B21,'Operating Assumptions'!$P$8:$P$13,0),MATCH(FG$6,'Operating Assumptions'!$P$8:$AA$8,0)),0))</f>
        <v>0</v>
      </c>
      <c r="FH21" s="1306">
        <f>IF(FH$7&gt;'Operating Assumptions'!$AA$7,0,IF(FH$6&lt;&gt;FG$6,INDEX('Operating Assumptions'!$P$8:$AA$13,MATCH($B21,'Operating Assumptions'!$P$8:$P$13,0),MATCH(FH$6,'Operating Assumptions'!$P$8:$AA$8,0)),0))</f>
        <v>0</v>
      </c>
      <c r="FI21" s="1306">
        <f>IF(FI$7&gt;'Operating Assumptions'!$AA$7,0,IF(FI$6&lt;&gt;FH$6,INDEX('Operating Assumptions'!$P$8:$AA$13,MATCH($B21,'Operating Assumptions'!$P$8:$P$13,0),MATCH(FI$6,'Operating Assumptions'!$P$8:$AA$8,0)),0))</f>
        <v>0</v>
      </c>
      <c r="FJ21" s="1306">
        <f>IF(FJ$7&gt;'Operating Assumptions'!$AA$7,0,IF(FJ$6&lt;&gt;FI$6,INDEX('Operating Assumptions'!$P$8:$AA$13,MATCH($B21,'Operating Assumptions'!$P$8:$P$13,0),MATCH(FJ$6,'Operating Assumptions'!$P$8:$AA$8,0)),0))</f>
        <v>0</v>
      </c>
      <c r="FK21" s="1306">
        <f>IF(FK$7&gt;'Operating Assumptions'!$AA$7,0,IF(FK$6&lt;&gt;FJ$6,INDEX('Operating Assumptions'!$P$8:$AA$13,MATCH($B21,'Operating Assumptions'!$P$8:$P$13,0),MATCH(FK$6,'Operating Assumptions'!$P$8:$AA$8,0)),0))</f>
        <v>0</v>
      </c>
      <c r="FL21" s="1306">
        <f>IF(FL$7&gt;'Operating Assumptions'!$AA$7,0,IF(FL$6&lt;&gt;FK$6,INDEX('Operating Assumptions'!$P$8:$AA$13,MATCH($B21,'Operating Assumptions'!$P$8:$P$13,0),MATCH(FL$6,'Operating Assumptions'!$P$8:$AA$8,0)),0))</f>
        <v>0</v>
      </c>
      <c r="FM21" s="1306">
        <f>IF(FM$7&gt;'Operating Assumptions'!$AA$7,0,IF(FM$6&lt;&gt;FL$6,INDEX('Operating Assumptions'!$P$8:$AA$13,MATCH($B21,'Operating Assumptions'!$P$8:$P$13,0),MATCH(FM$6,'Operating Assumptions'!$P$8:$AA$8,0)),0))</f>
        <v>0</v>
      </c>
      <c r="FN21" s="1306">
        <f>IF(FN$7&gt;'Operating Assumptions'!$AA$7,0,IF(FN$6&lt;&gt;FM$6,INDEX('Operating Assumptions'!$P$8:$AA$13,MATCH($B21,'Operating Assumptions'!$P$8:$P$13,0),MATCH(FN$6,'Operating Assumptions'!$P$8:$AA$8,0)),0))</f>
        <v>0</v>
      </c>
      <c r="FO21" s="1306">
        <f>IF(FO$7&gt;'Operating Assumptions'!$AA$7,0,IF(FO$6&lt;&gt;FN$6,INDEX('Operating Assumptions'!$P$8:$AA$13,MATCH($B21,'Operating Assumptions'!$P$8:$P$13,0),MATCH(FO$6,'Operating Assumptions'!$P$8:$AA$8,0)),0))</f>
        <v>0</v>
      </c>
      <c r="FP21" s="1306">
        <f>IF(FP$7&gt;'Operating Assumptions'!$AA$7,0,IF(FP$6&lt;&gt;FO$6,INDEX('Operating Assumptions'!$P$8:$AA$13,MATCH($B21,'Operating Assumptions'!$P$8:$P$13,0),MATCH(FP$6,'Operating Assumptions'!$P$8:$AA$8,0)),0))</f>
        <v>0</v>
      </c>
      <c r="FQ21" s="1306">
        <f>IF(FQ$7&gt;'Operating Assumptions'!$AA$7,0,IF(FQ$6&lt;&gt;FP$6,INDEX('Operating Assumptions'!$P$8:$AA$13,MATCH($B21,'Operating Assumptions'!$P$8:$P$13,0),MATCH(FQ$6,'Operating Assumptions'!$P$8:$AA$8,0)),0))</f>
        <v>0</v>
      </c>
      <c r="FR21" s="1306">
        <f>IF(FR$7&gt;'Operating Assumptions'!$AA$7,0,IF(FR$6&lt;&gt;FQ$6,INDEX('Operating Assumptions'!$P$8:$AA$13,MATCH($B21,'Operating Assumptions'!$P$8:$P$13,0),MATCH(FR$6,'Operating Assumptions'!$P$8:$AA$8,0)),0))</f>
        <v>0</v>
      </c>
      <c r="FS21" s="1306">
        <f>IF(FS$7&gt;'Operating Assumptions'!$AA$7,0,IF(FS$6&lt;&gt;FR$6,INDEX('Operating Assumptions'!$P$8:$AA$13,MATCH($B21,'Operating Assumptions'!$P$8:$P$13,0),MATCH(FS$6,'Operating Assumptions'!$P$8:$AA$8,0)),0))</f>
        <v>0</v>
      </c>
      <c r="FT21" s="1306">
        <f>IF(FT$7&gt;'Operating Assumptions'!$AA$7,0,IF(FT$6&lt;&gt;FS$6,INDEX('Operating Assumptions'!$P$8:$AA$13,MATCH($B21,'Operating Assumptions'!$P$8:$P$13,0),MATCH(FT$6,'Operating Assumptions'!$P$8:$AA$8,0)),0))</f>
        <v>0</v>
      </c>
      <c r="FU21" s="43"/>
    </row>
    <row r="22" spans="1:182" s="34" customFormat="1" ht="13.5" hidden="1" outlineLevel="1" x14ac:dyDescent="0.25">
      <c r="B22" s="435" t="str">
        <f>"Cumulative "&amp;$B17</f>
        <v>Cumulative Rent Inflation</v>
      </c>
      <c r="C22" s="435"/>
      <c r="D22" s="435"/>
      <c r="E22" s="435"/>
      <c r="F22" s="435"/>
      <c r="G22" s="504">
        <v>1</v>
      </c>
      <c r="H22" s="1302">
        <f>G22+H17</f>
        <v>1</v>
      </c>
      <c r="I22" s="1302">
        <f>H22+I17</f>
        <v>1</v>
      </c>
      <c r="J22" s="1302">
        <f t="shared" ref="I22:AY26" si="131">I22+J17</f>
        <v>1</v>
      </c>
      <c r="K22" s="1302">
        <f t="shared" si="131"/>
        <v>1</v>
      </c>
      <c r="L22" s="1302">
        <f t="shared" si="131"/>
        <v>1</v>
      </c>
      <c r="M22" s="1302">
        <f t="shared" si="131"/>
        <v>1</v>
      </c>
      <c r="N22" s="1302">
        <f t="shared" si="131"/>
        <v>1</v>
      </c>
      <c r="O22" s="1302">
        <f t="shared" si="131"/>
        <v>1</v>
      </c>
      <c r="P22" s="1302">
        <f t="shared" si="131"/>
        <v>1</v>
      </c>
      <c r="Q22" s="1302">
        <f t="shared" si="131"/>
        <v>1</v>
      </c>
      <c r="R22" s="1302">
        <f t="shared" si="131"/>
        <v>1</v>
      </c>
      <c r="S22" s="1302">
        <f t="shared" si="131"/>
        <v>1</v>
      </c>
      <c r="T22" s="1302">
        <f t="shared" si="131"/>
        <v>1</v>
      </c>
      <c r="U22" s="1302">
        <f t="shared" si="131"/>
        <v>1</v>
      </c>
      <c r="V22" s="1302">
        <f t="shared" si="131"/>
        <v>1</v>
      </c>
      <c r="W22" s="1302">
        <f t="shared" si="131"/>
        <v>1</v>
      </c>
      <c r="X22" s="1302">
        <f t="shared" si="131"/>
        <v>1</v>
      </c>
      <c r="Y22" s="1302">
        <f t="shared" si="131"/>
        <v>1</v>
      </c>
      <c r="Z22" s="1302">
        <f t="shared" si="131"/>
        <v>1</v>
      </c>
      <c r="AA22" s="1302">
        <f t="shared" si="131"/>
        <v>1</v>
      </c>
      <c r="AB22" s="1302">
        <f t="shared" si="131"/>
        <v>1</v>
      </c>
      <c r="AC22" s="1302">
        <f t="shared" si="131"/>
        <v>1</v>
      </c>
      <c r="AD22" s="1302">
        <f t="shared" si="131"/>
        <v>1</v>
      </c>
      <c r="AE22" s="1302">
        <f t="shared" si="131"/>
        <v>1</v>
      </c>
      <c r="AF22" s="1302">
        <f t="shared" si="131"/>
        <v>1.02</v>
      </c>
      <c r="AG22" s="1302">
        <f t="shared" si="131"/>
        <v>1.02</v>
      </c>
      <c r="AH22" s="1302">
        <f t="shared" si="131"/>
        <v>1.02</v>
      </c>
      <c r="AI22" s="1302">
        <f t="shared" si="131"/>
        <v>1.02</v>
      </c>
      <c r="AJ22" s="1302">
        <f t="shared" si="131"/>
        <v>1.02</v>
      </c>
      <c r="AK22" s="1302">
        <f t="shared" si="131"/>
        <v>1.02</v>
      </c>
      <c r="AL22" s="1302">
        <f t="shared" si="131"/>
        <v>1.02</v>
      </c>
      <c r="AM22" s="1302">
        <f t="shared" si="131"/>
        <v>1.02</v>
      </c>
      <c r="AN22" s="1302">
        <f t="shared" si="131"/>
        <v>1.02</v>
      </c>
      <c r="AO22" s="1302">
        <f t="shared" si="131"/>
        <v>1.02</v>
      </c>
      <c r="AP22" s="1302">
        <f t="shared" si="131"/>
        <v>1.02</v>
      </c>
      <c r="AQ22" s="1302">
        <f t="shared" si="131"/>
        <v>1.02</v>
      </c>
      <c r="AR22" s="1302">
        <f t="shared" si="131"/>
        <v>1.04</v>
      </c>
      <c r="AS22" s="1302">
        <f t="shared" si="131"/>
        <v>1.04</v>
      </c>
      <c r="AT22" s="1302">
        <f t="shared" si="131"/>
        <v>1.04</v>
      </c>
      <c r="AU22" s="1302">
        <f t="shared" si="131"/>
        <v>1.04</v>
      </c>
      <c r="AV22" s="1302">
        <f t="shared" si="131"/>
        <v>1.04</v>
      </c>
      <c r="AW22" s="1302">
        <f t="shared" si="131"/>
        <v>1.04</v>
      </c>
      <c r="AX22" s="1302">
        <f t="shared" si="131"/>
        <v>1.04</v>
      </c>
      <c r="AY22" s="1302">
        <f t="shared" si="131"/>
        <v>1.04</v>
      </c>
      <c r="AZ22" s="1302">
        <f t="shared" ref="AZ22:DK22" si="132">AY22+AZ17</f>
        <v>1.04</v>
      </c>
      <c r="BA22" s="1302">
        <f t="shared" si="132"/>
        <v>1.04</v>
      </c>
      <c r="BB22" s="1302">
        <f t="shared" si="132"/>
        <v>1.04</v>
      </c>
      <c r="BC22" s="1302">
        <f t="shared" si="132"/>
        <v>1.04</v>
      </c>
      <c r="BD22" s="1302">
        <f t="shared" si="132"/>
        <v>1.06</v>
      </c>
      <c r="BE22" s="1302">
        <f t="shared" si="132"/>
        <v>1.06</v>
      </c>
      <c r="BF22" s="1302">
        <f t="shared" si="132"/>
        <v>1.06</v>
      </c>
      <c r="BG22" s="1302">
        <f t="shared" si="132"/>
        <v>1.06</v>
      </c>
      <c r="BH22" s="1302">
        <f t="shared" si="132"/>
        <v>1.06</v>
      </c>
      <c r="BI22" s="1302">
        <f t="shared" si="132"/>
        <v>1.06</v>
      </c>
      <c r="BJ22" s="1302">
        <f t="shared" si="132"/>
        <v>1.06</v>
      </c>
      <c r="BK22" s="1302">
        <f t="shared" si="132"/>
        <v>1.06</v>
      </c>
      <c r="BL22" s="1302">
        <f t="shared" si="132"/>
        <v>1.06</v>
      </c>
      <c r="BM22" s="1302">
        <f t="shared" si="132"/>
        <v>1.06</v>
      </c>
      <c r="BN22" s="1302">
        <f t="shared" si="132"/>
        <v>1.06</v>
      </c>
      <c r="BO22" s="1302">
        <f t="shared" si="132"/>
        <v>1.06</v>
      </c>
      <c r="BP22" s="1302">
        <f t="shared" si="132"/>
        <v>1.08</v>
      </c>
      <c r="BQ22" s="1302">
        <f t="shared" si="132"/>
        <v>1.08</v>
      </c>
      <c r="BR22" s="1302">
        <f t="shared" si="132"/>
        <v>1.08</v>
      </c>
      <c r="BS22" s="1302">
        <f t="shared" si="132"/>
        <v>1.08</v>
      </c>
      <c r="BT22" s="1302">
        <f t="shared" si="132"/>
        <v>1.08</v>
      </c>
      <c r="BU22" s="1302">
        <f t="shared" si="132"/>
        <v>1.08</v>
      </c>
      <c r="BV22" s="1302">
        <f t="shared" si="132"/>
        <v>1.08</v>
      </c>
      <c r="BW22" s="1302">
        <f t="shared" si="132"/>
        <v>1.08</v>
      </c>
      <c r="BX22" s="1302">
        <f t="shared" si="132"/>
        <v>1.08</v>
      </c>
      <c r="BY22" s="1302">
        <f t="shared" si="132"/>
        <v>1.08</v>
      </c>
      <c r="BZ22" s="1302">
        <f t="shared" si="132"/>
        <v>1.08</v>
      </c>
      <c r="CA22" s="1302">
        <f t="shared" si="132"/>
        <v>1.08</v>
      </c>
      <c r="CB22" s="1302">
        <f t="shared" si="132"/>
        <v>1.1000000000000001</v>
      </c>
      <c r="CC22" s="1302">
        <f t="shared" si="132"/>
        <v>1.1000000000000001</v>
      </c>
      <c r="CD22" s="1302">
        <f t="shared" si="132"/>
        <v>1.1000000000000001</v>
      </c>
      <c r="CE22" s="1302">
        <f t="shared" si="132"/>
        <v>1.1000000000000001</v>
      </c>
      <c r="CF22" s="1302">
        <f t="shared" si="132"/>
        <v>1.1000000000000001</v>
      </c>
      <c r="CG22" s="1302">
        <f t="shared" si="132"/>
        <v>1.1000000000000001</v>
      </c>
      <c r="CH22" s="1302">
        <f t="shared" si="132"/>
        <v>1.1000000000000001</v>
      </c>
      <c r="CI22" s="1302">
        <f t="shared" si="132"/>
        <v>1.1000000000000001</v>
      </c>
      <c r="CJ22" s="1302">
        <f t="shared" si="132"/>
        <v>1.1000000000000001</v>
      </c>
      <c r="CK22" s="1302">
        <f t="shared" si="132"/>
        <v>1.1000000000000001</v>
      </c>
      <c r="CL22" s="1302">
        <f t="shared" si="132"/>
        <v>1.1000000000000001</v>
      </c>
      <c r="CM22" s="1302">
        <f t="shared" si="132"/>
        <v>1.1000000000000001</v>
      </c>
      <c r="CN22" s="1302">
        <f t="shared" si="132"/>
        <v>1.1200000000000001</v>
      </c>
      <c r="CO22" s="1302">
        <f t="shared" si="132"/>
        <v>1.1200000000000001</v>
      </c>
      <c r="CP22" s="1302">
        <f t="shared" si="132"/>
        <v>1.1200000000000001</v>
      </c>
      <c r="CQ22" s="1302">
        <f t="shared" si="132"/>
        <v>1.1200000000000001</v>
      </c>
      <c r="CR22" s="1302">
        <f t="shared" si="132"/>
        <v>1.1200000000000001</v>
      </c>
      <c r="CS22" s="1302">
        <f t="shared" si="132"/>
        <v>1.1200000000000001</v>
      </c>
      <c r="CT22" s="1302">
        <f t="shared" si="132"/>
        <v>1.1200000000000001</v>
      </c>
      <c r="CU22" s="1302">
        <f t="shared" si="132"/>
        <v>1.1200000000000001</v>
      </c>
      <c r="CV22" s="1302">
        <f t="shared" si="132"/>
        <v>1.1200000000000001</v>
      </c>
      <c r="CW22" s="1302">
        <f t="shared" si="132"/>
        <v>1.1200000000000001</v>
      </c>
      <c r="CX22" s="1302">
        <f t="shared" si="132"/>
        <v>1.1200000000000001</v>
      </c>
      <c r="CY22" s="1302">
        <f t="shared" si="132"/>
        <v>1.1200000000000001</v>
      </c>
      <c r="CZ22" s="1302">
        <f t="shared" si="132"/>
        <v>1.1400000000000001</v>
      </c>
      <c r="DA22" s="1302">
        <f t="shared" si="132"/>
        <v>1.1400000000000001</v>
      </c>
      <c r="DB22" s="1302">
        <f t="shared" si="132"/>
        <v>1.1400000000000001</v>
      </c>
      <c r="DC22" s="1302">
        <f t="shared" si="132"/>
        <v>1.1400000000000001</v>
      </c>
      <c r="DD22" s="1302">
        <f t="shared" si="132"/>
        <v>1.1400000000000001</v>
      </c>
      <c r="DE22" s="1302">
        <f t="shared" si="132"/>
        <v>1.1400000000000001</v>
      </c>
      <c r="DF22" s="1302">
        <f t="shared" si="132"/>
        <v>1.1400000000000001</v>
      </c>
      <c r="DG22" s="1302">
        <f t="shared" si="132"/>
        <v>1.1400000000000001</v>
      </c>
      <c r="DH22" s="1302">
        <f t="shared" si="132"/>
        <v>1.1400000000000001</v>
      </c>
      <c r="DI22" s="1302">
        <f t="shared" si="132"/>
        <v>1.1400000000000001</v>
      </c>
      <c r="DJ22" s="1302">
        <f t="shared" si="132"/>
        <v>1.1400000000000001</v>
      </c>
      <c r="DK22" s="1302">
        <f t="shared" si="132"/>
        <v>1.1400000000000001</v>
      </c>
      <c r="DL22" s="1302">
        <f t="shared" ref="DL22:FT22" si="133">DK22+DL17</f>
        <v>1.1600000000000001</v>
      </c>
      <c r="DM22" s="1302">
        <f t="shared" si="133"/>
        <v>1.1600000000000001</v>
      </c>
      <c r="DN22" s="1302">
        <f t="shared" si="133"/>
        <v>1.1600000000000001</v>
      </c>
      <c r="DO22" s="1302">
        <f t="shared" si="133"/>
        <v>1.1600000000000001</v>
      </c>
      <c r="DP22" s="1302">
        <f t="shared" si="133"/>
        <v>1.1600000000000001</v>
      </c>
      <c r="DQ22" s="1302">
        <f t="shared" si="133"/>
        <v>1.1600000000000001</v>
      </c>
      <c r="DR22" s="1302">
        <f t="shared" si="133"/>
        <v>1.1600000000000001</v>
      </c>
      <c r="DS22" s="1302">
        <f t="shared" si="133"/>
        <v>1.1600000000000001</v>
      </c>
      <c r="DT22" s="1302">
        <f t="shared" si="133"/>
        <v>1.1600000000000001</v>
      </c>
      <c r="DU22" s="1302">
        <f t="shared" si="133"/>
        <v>1.1600000000000001</v>
      </c>
      <c r="DV22" s="1302">
        <f t="shared" si="133"/>
        <v>1.1600000000000001</v>
      </c>
      <c r="DW22" s="1302">
        <f t="shared" si="133"/>
        <v>1.1600000000000001</v>
      </c>
      <c r="DX22" s="1302">
        <f t="shared" si="133"/>
        <v>1.1800000000000002</v>
      </c>
      <c r="DY22" s="1302">
        <f t="shared" si="133"/>
        <v>1.1800000000000002</v>
      </c>
      <c r="DZ22" s="1302">
        <f t="shared" si="133"/>
        <v>1.1800000000000002</v>
      </c>
      <c r="EA22" s="1302">
        <f t="shared" si="133"/>
        <v>1.1800000000000002</v>
      </c>
      <c r="EB22" s="1302">
        <f t="shared" si="133"/>
        <v>1.1800000000000002</v>
      </c>
      <c r="EC22" s="1302">
        <f t="shared" si="133"/>
        <v>1.1800000000000002</v>
      </c>
      <c r="ED22" s="1302">
        <f t="shared" si="133"/>
        <v>1.1800000000000002</v>
      </c>
      <c r="EE22" s="1302">
        <f t="shared" si="133"/>
        <v>1.1800000000000002</v>
      </c>
      <c r="EF22" s="1302">
        <f t="shared" si="133"/>
        <v>1.1800000000000002</v>
      </c>
      <c r="EG22" s="1302">
        <f t="shared" si="133"/>
        <v>1.1800000000000002</v>
      </c>
      <c r="EH22" s="1302">
        <f t="shared" si="133"/>
        <v>1.1800000000000002</v>
      </c>
      <c r="EI22" s="1302">
        <f t="shared" si="133"/>
        <v>1.1800000000000002</v>
      </c>
      <c r="EJ22" s="1302">
        <f t="shared" si="133"/>
        <v>1.2000000000000002</v>
      </c>
      <c r="EK22" s="1302">
        <f t="shared" si="133"/>
        <v>1.2000000000000002</v>
      </c>
      <c r="EL22" s="1302">
        <f t="shared" si="133"/>
        <v>1.2000000000000002</v>
      </c>
      <c r="EM22" s="1302">
        <f t="shared" si="133"/>
        <v>1.2000000000000002</v>
      </c>
      <c r="EN22" s="1302">
        <f t="shared" si="133"/>
        <v>1.2000000000000002</v>
      </c>
      <c r="EO22" s="1302">
        <f t="shared" si="133"/>
        <v>1.2000000000000002</v>
      </c>
      <c r="EP22" s="1302">
        <f t="shared" si="133"/>
        <v>1.2000000000000002</v>
      </c>
      <c r="EQ22" s="1302">
        <f t="shared" si="133"/>
        <v>1.2000000000000002</v>
      </c>
      <c r="ER22" s="1302">
        <f t="shared" si="133"/>
        <v>1.2000000000000002</v>
      </c>
      <c r="ES22" s="1302">
        <f t="shared" si="133"/>
        <v>1.2000000000000002</v>
      </c>
      <c r="ET22" s="1302">
        <f t="shared" si="133"/>
        <v>1.2000000000000002</v>
      </c>
      <c r="EU22" s="1302">
        <f t="shared" si="133"/>
        <v>1.2000000000000002</v>
      </c>
      <c r="EV22" s="1302">
        <f t="shared" si="133"/>
        <v>1.2000000000000002</v>
      </c>
      <c r="EW22" s="1302">
        <f t="shared" si="133"/>
        <v>1.2000000000000002</v>
      </c>
      <c r="EX22" s="1302">
        <f t="shared" si="133"/>
        <v>1.2000000000000002</v>
      </c>
      <c r="EY22" s="1302">
        <f t="shared" si="133"/>
        <v>1.2000000000000002</v>
      </c>
      <c r="EZ22" s="1302">
        <f t="shared" si="133"/>
        <v>1.2000000000000002</v>
      </c>
      <c r="FA22" s="1302">
        <f t="shared" si="133"/>
        <v>1.2000000000000002</v>
      </c>
      <c r="FB22" s="1302">
        <f t="shared" si="133"/>
        <v>1.2000000000000002</v>
      </c>
      <c r="FC22" s="1302">
        <f t="shared" si="133"/>
        <v>1.2000000000000002</v>
      </c>
      <c r="FD22" s="1302">
        <f t="shared" si="133"/>
        <v>1.2000000000000002</v>
      </c>
      <c r="FE22" s="1302">
        <f t="shared" si="133"/>
        <v>1.2000000000000002</v>
      </c>
      <c r="FF22" s="1302">
        <f t="shared" si="133"/>
        <v>1.2000000000000002</v>
      </c>
      <c r="FG22" s="1302">
        <f t="shared" si="133"/>
        <v>1.2000000000000002</v>
      </c>
      <c r="FH22" s="1302">
        <f t="shared" si="133"/>
        <v>1.2000000000000002</v>
      </c>
      <c r="FI22" s="1302">
        <f t="shared" si="133"/>
        <v>1.2000000000000002</v>
      </c>
      <c r="FJ22" s="1302">
        <f t="shared" si="133"/>
        <v>1.2000000000000002</v>
      </c>
      <c r="FK22" s="1302">
        <f t="shared" si="133"/>
        <v>1.2000000000000002</v>
      </c>
      <c r="FL22" s="1302">
        <f t="shared" si="133"/>
        <v>1.2000000000000002</v>
      </c>
      <c r="FM22" s="1302">
        <f t="shared" si="133"/>
        <v>1.2000000000000002</v>
      </c>
      <c r="FN22" s="1302">
        <f t="shared" si="133"/>
        <v>1.2000000000000002</v>
      </c>
      <c r="FO22" s="1302">
        <f t="shared" si="133"/>
        <v>1.2000000000000002</v>
      </c>
      <c r="FP22" s="1302">
        <f t="shared" si="133"/>
        <v>1.2000000000000002</v>
      </c>
      <c r="FQ22" s="1302">
        <f t="shared" si="133"/>
        <v>1.2000000000000002</v>
      </c>
      <c r="FR22" s="1302">
        <f t="shared" si="133"/>
        <v>1.2000000000000002</v>
      </c>
      <c r="FS22" s="1302">
        <f t="shared" si="133"/>
        <v>1.2000000000000002</v>
      </c>
      <c r="FT22" s="1303">
        <f t="shared" si="133"/>
        <v>1.2000000000000002</v>
      </c>
      <c r="FU22" s="43"/>
    </row>
    <row r="23" spans="1:182" s="34" customFormat="1" ht="13.5" hidden="1" outlineLevel="1" x14ac:dyDescent="0.25">
      <c r="B23" s="435" t="str">
        <f t="shared" ref="B23:B26" si="134">"Cumulative "&amp;$B18</f>
        <v>Cumulative Other Revenue Inflation</v>
      </c>
      <c r="C23" s="435"/>
      <c r="D23" s="435"/>
      <c r="E23" s="435"/>
      <c r="F23" s="435"/>
      <c r="G23" s="504">
        <v>1</v>
      </c>
      <c r="H23" s="1304">
        <f t="shared" ref="H23:W26" si="135">G23+H18</f>
        <v>1</v>
      </c>
      <c r="I23" s="1304">
        <f t="shared" si="135"/>
        <v>1</v>
      </c>
      <c r="J23" s="1304">
        <f t="shared" si="135"/>
        <v>1</v>
      </c>
      <c r="K23" s="1304">
        <f t="shared" si="135"/>
        <v>1</v>
      </c>
      <c r="L23" s="1304">
        <f t="shared" si="135"/>
        <v>1</v>
      </c>
      <c r="M23" s="1304">
        <f t="shared" si="135"/>
        <v>1</v>
      </c>
      <c r="N23" s="1304">
        <f t="shared" si="135"/>
        <v>1</v>
      </c>
      <c r="O23" s="1304">
        <f t="shared" si="135"/>
        <v>1</v>
      </c>
      <c r="P23" s="1304">
        <f t="shared" si="135"/>
        <v>1</v>
      </c>
      <c r="Q23" s="1304">
        <f t="shared" si="135"/>
        <v>1</v>
      </c>
      <c r="R23" s="1304">
        <f t="shared" si="135"/>
        <v>1</v>
      </c>
      <c r="S23" s="1304">
        <f t="shared" si="135"/>
        <v>1</v>
      </c>
      <c r="T23" s="1304">
        <f t="shared" si="135"/>
        <v>1</v>
      </c>
      <c r="U23" s="1304">
        <f t="shared" si="135"/>
        <v>1</v>
      </c>
      <c r="V23" s="1304">
        <f t="shared" si="135"/>
        <v>1</v>
      </c>
      <c r="W23" s="1304">
        <f t="shared" si="135"/>
        <v>1</v>
      </c>
      <c r="X23" s="1304">
        <f t="shared" si="131"/>
        <v>1</v>
      </c>
      <c r="Y23" s="1304">
        <f t="shared" si="131"/>
        <v>1</v>
      </c>
      <c r="Z23" s="1304">
        <f t="shared" si="131"/>
        <v>1</v>
      </c>
      <c r="AA23" s="1304">
        <f t="shared" si="131"/>
        <v>1</v>
      </c>
      <c r="AB23" s="1304">
        <f t="shared" si="131"/>
        <v>1</v>
      </c>
      <c r="AC23" s="1304">
        <f t="shared" si="131"/>
        <v>1</v>
      </c>
      <c r="AD23" s="1304">
        <f t="shared" si="131"/>
        <v>1</v>
      </c>
      <c r="AE23" s="1304">
        <f t="shared" si="131"/>
        <v>1</v>
      </c>
      <c r="AF23" s="1304">
        <f t="shared" si="131"/>
        <v>1.02</v>
      </c>
      <c r="AG23" s="1304">
        <f t="shared" si="131"/>
        <v>1.02</v>
      </c>
      <c r="AH23" s="1304">
        <f t="shared" si="131"/>
        <v>1.02</v>
      </c>
      <c r="AI23" s="1304">
        <f t="shared" si="131"/>
        <v>1.02</v>
      </c>
      <c r="AJ23" s="1304">
        <f t="shared" si="131"/>
        <v>1.02</v>
      </c>
      <c r="AK23" s="1304">
        <f t="shared" si="131"/>
        <v>1.02</v>
      </c>
      <c r="AL23" s="1304">
        <f t="shared" si="131"/>
        <v>1.02</v>
      </c>
      <c r="AM23" s="1304">
        <f t="shared" si="131"/>
        <v>1.02</v>
      </c>
      <c r="AN23" s="1304">
        <f t="shared" si="131"/>
        <v>1.02</v>
      </c>
      <c r="AO23" s="1304">
        <f t="shared" si="131"/>
        <v>1.02</v>
      </c>
      <c r="AP23" s="1304">
        <f t="shared" si="131"/>
        <v>1.02</v>
      </c>
      <c r="AQ23" s="1304">
        <f t="shared" si="131"/>
        <v>1.02</v>
      </c>
      <c r="AR23" s="1304">
        <f t="shared" si="131"/>
        <v>1.04</v>
      </c>
      <c r="AS23" s="1304">
        <f t="shared" si="131"/>
        <v>1.04</v>
      </c>
      <c r="AT23" s="1304">
        <f t="shared" si="131"/>
        <v>1.04</v>
      </c>
      <c r="AU23" s="1304">
        <f t="shared" si="131"/>
        <v>1.04</v>
      </c>
      <c r="AV23" s="1304">
        <f t="shared" si="131"/>
        <v>1.04</v>
      </c>
      <c r="AW23" s="1304">
        <f t="shared" si="131"/>
        <v>1.04</v>
      </c>
      <c r="AX23" s="1304">
        <f t="shared" si="131"/>
        <v>1.04</v>
      </c>
      <c r="AY23" s="1304">
        <f t="shared" si="131"/>
        <v>1.04</v>
      </c>
      <c r="AZ23" s="1304">
        <f t="shared" ref="AZ23:DK23" si="136">AY23+AZ18</f>
        <v>1.04</v>
      </c>
      <c r="BA23" s="1304">
        <f t="shared" si="136"/>
        <v>1.04</v>
      </c>
      <c r="BB23" s="1304">
        <f t="shared" si="136"/>
        <v>1.04</v>
      </c>
      <c r="BC23" s="1304">
        <f t="shared" si="136"/>
        <v>1.04</v>
      </c>
      <c r="BD23" s="1304">
        <f t="shared" si="136"/>
        <v>1.06</v>
      </c>
      <c r="BE23" s="1304">
        <f t="shared" si="136"/>
        <v>1.06</v>
      </c>
      <c r="BF23" s="1304">
        <f t="shared" si="136"/>
        <v>1.06</v>
      </c>
      <c r="BG23" s="1304">
        <f t="shared" si="136"/>
        <v>1.06</v>
      </c>
      <c r="BH23" s="1304">
        <f t="shared" si="136"/>
        <v>1.06</v>
      </c>
      <c r="BI23" s="1304">
        <f t="shared" si="136"/>
        <v>1.06</v>
      </c>
      <c r="BJ23" s="1304">
        <f t="shared" si="136"/>
        <v>1.06</v>
      </c>
      <c r="BK23" s="1304">
        <f t="shared" si="136"/>
        <v>1.06</v>
      </c>
      <c r="BL23" s="1304">
        <f t="shared" si="136"/>
        <v>1.06</v>
      </c>
      <c r="BM23" s="1304">
        <f t="shared" si="136"/>
        <v>1.06</v>
      </c>
      <c r="BN23" s="1304">
        <f t="shared" si="136"/>
        <v>1.06</v>
      </c>
      <c r="BO23" s="1304">
        <f t="shared" si="136"/>
        <v>1.06</v>
      </c>
      <c r="BP23" s="1304">
        <f t="shared" si="136"/>
        <v>1.08</v>
      </c>
      <c r="BQ23" s="1304">
        <f t="shared" si="136"/>
        <v>1.08</v>
      </c>
      <c r="BR23" s="1304">
        <f t="shared" si="136"/>
        <v>1.08</v>
      </c>
      <c r="BS23" s="1304">
        <f t="shared" si="136"/>
        <v>1.08</v>
      </c>
      <c r="BT23" s="1304">
        <f t="shared" si="136"/>
        <v>1.08</v>
      </c>
      <c r="BU23" s="1304">
        <f t="shared" si="136"/>
        <v>1.08</v>
      </c>
      <c r="BV23" s="1304">
        <f t="shared" si="136"/>
        <v>1.08</v>
      </c>
      <c r="BW23" s="1304">
        <f t="shared" si="136"/>
        <v>1.08</v>
      </c>
      <c r="BX23" s="1304">
        <f t="shared" si="136"/>
        <v>1.08</v>
      </c>
      <c r="BY23" s="1304">
        <f t="shared" si="136"/>
        <v>1.08</v>
      </c>
      <c r="BZ23" s="1304">
        <f t="shared" si="136"/>
        <v>1.08</v>
      </c>
      <c r="CA23" s="1304">
        <f t="shared" si="136"/>
        <v>1.08</v>
      </c>
      <c r="CB23" s="1304">
        <f t="shared" si="136"/>
        <v>1.1000000000000001</v>
      </c>
      <c r="CC23" s="1304">
        <f t="shared" si="136"/>
        <v>1.1000000000000001</v>
      </c>
      <c r="CD23" s="1304">
        <f t="shared" si="136"/>
        <v>1.1000000000000001</v>
      </c>
      <c r="CE23" s="1304">
        <f t="shared" si="136"/>
        <v>1.1000000000000001</v>
      </c>
      <c r="CF23" s="1304">
        <f t="shared" si="136"/>
        <v>1.1000000000000001</v>
      </c>
      <c r="CG23" s="1304">
        <f t="shared" si="136"/>
        <v>1.1000000000000001</v>
      </c>
      <c r="CH23" s="1304">
        <f t="shared" si="136"/>
        <v>1.1000000000000001</v>
      </c>
      <c r="CI23" s="1304">
        <f t="shared" si="136"/>
        <v>1.1000000000000001</v>
      </c>
      <c r="CJ23" s="1304">
        <f t="shared" si="136"/>
        <v>1.1000000000000001</v>
      </c>
      <c r="CK23" s="1304">
        <f t="shared" si="136"/>
        <v>1.1000000000000001</v>
      </c>
      <c r="CL23" s="1304">
        <f t="shared" si="136"/>
        <v>1.1000000000000001</v>
      </c>
      <c r="CM23" s="1304">
        <f t="shared" si="136"/>
        <v>1.1000000000000001</v>
      </c>
      <c r="CN23" s="1304">
        <f t="shared" si="136"/>
        <v>1.1200000000000001</v>
      </c>
      <c r="CO23" s="1304">
        <f t="shared" si="136"/>
        <v>1.1200000000000001</v>
      </c>
      <c r="CP23" s="1304">
        <f t="shared" si="136"/>
        <v>1.1200000000000001</v>
      </c>
      <c r="CQ23" s="1304">
        <f t="shared" si="136"/>
        <v>1.1200000000000001</v>
      </c>
      <c r="CR23" s="1304">
        <f t="shared" si="136"/>
        <v>1.1200000000000001</v>
      </c>
      <c r="CS23" s="1304">
        <f t="shared" si="136"/>
        <v>1.1200000000000001</v>
      </c>
      <c r="CT23" s="1304">
        <f t="shared" si="136"/>
        <v>1.1200000000000001</v>
      </c>
      <c r="CU23" s="1304">
        <f t="shared" si="136"/>
        <v>1.1200000000000001</v>
      </c>
      <c r="CV23" s="1304">
        <f t="shared" si="136"/>
        <v>1.1200000000000001</v>
      </c>
      <c r="CW23" s="1304">
        <f t="shared" si="136"/>
        <v>1.1200000000000001</v>
      </c>
      <c r="CX23" s="1304">
        <f t="shared" si="136"/>
        <v>1.1200000000000001</v>
      </c>
      <c r="CY23" s="1304">
        <f t="shared" si="136"/>
        <v>1.1200000000000001</v>
      </c>
      <c r="CZ23" s="1304">
        <f t="shared" si="136"/>
        <v>1.1400000000000001</v>
      </c>
      <c r="DA23" s="1304">
        <f t="shared" si="136"/>
        <v>1.1400000000000001</v>
      </c>
      <c r="DB23" s="1304">
        <f t="shared" si="136"/>
        <v>1.1400000000000001</v>
      </c>
      <c r="DC23" s="1304">
        <f t="shared" si="136"/>
        <v>1.1400000000000001</v>
      </c>
      <c r="DD23" s="1304">
        <f t="shared" si="136"/>
        <v>1.1400000000000001</v>
      </c>
      <c r="DE23" s="1304">
        <f t="shared" si="136"/>
        <v>1.1400000000000001</v>
      </c>
      <c r="DF23" s="1304">
        <f t="shared" si="136"/>
        <v>1.1400000000000001</v>
      </c>
      <c r="DG23" s="1304">
        <f t="shared" si="136"/>
        <v>1.1400000000000001</v>
      </c>
      <c r="DH23" s="1304">
        <f t="shared" si="136"/>
        <v>1.1400000000000001</v>
      </c>
      <c r="DI23" s="1304">
        <f t="shared" si="136"/>
        <v>1.1400000000000001</v>
      </c>
      <c r="DJ23" s="1304">
        <f t="shared" si="136"/>
        <v>1.1400000000000001</v>
      </c>
      <c r="DK23" s="1304">
        <f t="shared" si="136"/>
        <v>1.1400000000000001</v>
      </c>
      <c r="DL23" s="1304">
        <f t="shared" ref="DL23:FT23" si="137">DK23+DL18</f>
        <v>1.1600000000000001</v>
      </c>
      <c r="DM23" s="1304">
        <f t="shared" si="137"/>
        <v>1.1600000000000001</v>
      </c>
      <c r="DN23" s="1304">
        <f t="shared" si="137"/>
        <v>1.1600000000000001</v>
      </c>
      <c r="DO23" s="1304">
        <f t="shared" si="137"/>
        <v>1.1600000000000001</v>
      </c>
      <c r="DP23" s="1304">
        <f t="shared" si="137"/>
        <v>1.1600000000000001</v>
      </c>
      <c r="DQ23" s="1304">
        <f t="shared" si="137"/>
        <v>1.1600000000000001</v>
      </c>
      <c r="DR23" s="1304">
        <f t="shared" si="137"/>
        <v>1.1600000000000001</v>
      </c>
      <c r="DS23" s="1304">
        <f t="shared" si="137"/>
        <v>1.1600000000000001</v>
      </c>
      <c r="DT23" s="1304">
        <f t="shared" si="137"/>
        <v>1.1600000000000001</v>
      </c>
      <c r="DU23" s="1304">
        <f t="shared" si="137"/>
        <v>1.1600000000000001</v>
      </c>
      <c r="DV23" s="1304">
        <f t="shared" si="137"/>
        <v>1.1600000000000001</v>
      </c>
      <c r="DW23" s="1304">
        <f t="shared" si="137"/>
        <v>1.1600000000000001</v>
      </c>
      <c r="DX23" s="1304">
        <f t="shared" si="137"/>
        <v>1.1800000000000002</v>
      </c>
      <c r="DY23" s="1304">
        <f t="shared" si="137"/>
        <v>1.1800000000000002</v>
      </c>
      <c r="DZ23" s="1304">
        <f t="shared" si="137"/>
        <v>1.1800000000000002</v>
      </c>
      <c r="EA23" s="1304">
        <f t="shared" si="137"/>
        <v>1.1800000000000002</v>
      </c>
      <c r="EB23" s="1304">
        <f t="shared" si="137"/>
        <v>1.1800000000000002</v>
      </c>
      <c r="EC23" s="1304">
        <f t="shared" si="137"/>
        <v>1.1800000000000002</v>
      </c>
      <c r="ED23" s="1304">
        <f t="shared" si="137"/>
        <v>1.1800000000000002</v>
      </c>
      <c r="EE23" s="1304">
        <f t="shared" si="137"/>
        <v>1.1800000000000002</v>
      </c>
      <c r="EF23" s="1304">
        <f t="shared" si="137"/>
        <v>1.1800000000000002</v>
      </c>
      <c r="EG23" s="1304">
        <f t="shared" si="137"/>
        <v>1.1800000000000002</v>
      </c>
      <c r="EH23" s="1304">
        <f t="shared" si="137"/>
        <v>1.1800000000000002</v>
      </c>
      <c r="EI23" s="1304">
        <f t="shared" si="137"/>
        <v>1.1800000000000002</v>
      </c>
      <c r="EJ23" s="1304">
        <f t="shared" si="137"/>
        <v>1.2000000000000002</v>
      </c>
      <c r="EK23" s="1304">
        <f t="shared" si="137"/>
        <v>1.2000000000000002</v>
      </c>
      <c r="EL23" s="1304">
        <f t="shared" si="137"/>
        <v>1.2000000000000002</v>
      </c>
      <c r="EM23" s="1304">
        <f t="shared" si="137"/>
        <v>1.2000000000000002</v>
      </c>
      <c r="EN23" s="1304">
        <f t="shared" si="137"/>
        <v>1.2000000000000002</v>
      </c>
      <c r="EO23" s="1304">
        <f t="shared" si="137"/>
        <v>1.2000000000000002</v>
      </c>
      <c r="EP23" s="1304">
        <f t="shared" si="137"/>
        <v>1.2000000000000002</v>
      </c>
      <c r="EQ23" s="1304">
        <f t="shared" si="137"/>
        <v>1.2000000000000002</v>
      </c>
      <c r="ER23" s="1304">
        <f t="shared" si="137"/>
        <v>1.2000000000000002</v>
      </c>
      <c r="ES23" s="1304">
        <f t="shared" si="137"/>
        <v>1.2000000000000002</v>
      </c>
      <c r="ET23" s="1304">
        <f t="shared" si="137"/>
        <v>1.2000000000000002</v>
      </c>
      <c r="EU23" s="1304">
        <f t="shared" si="137"/>
        <v>1.2000000000000002</v>
      </c>
      <c r="EV23" s="1304">
        <f t="shared" si="137"/>
        <v>1.2000000000000002</v>
      </c>
      <c r="EW23" s="1304">
        <f t="shared" si="137"/>
        <v>1.2000000000000002</v>
      </c>
      <c r="EX23" s="1304">
        <f t="shared" si="137"/>
        <v>1.2000000000000002</v>
      </c>
      <c r="EY23" s="1304">
        <f t="shared" si="137"/>
        <v>1.2000000000000002</v>
      </c>
      <c r="EZ23" s="1304">
        <f t="shared" si="137"/>
        <v>1.2000000000000002</v>
      </c>
      <c r="FA23" s="1304">
        <f t="shared" si="137"/>
        <v>1.2000000000000002</v>
      </c>
      <c r="FB23" s="1304">
        <f t="shared" si="137"/>
        <v>1.2000000000000002</v>
      </c>
      <c r="FC23" s="1304">
        <f t="shared" si="137"/>
        <v>1.2000000000000002</v>
      </c>
      <c r="FD23" s="1304">
        <f t="shared" si="137"/>
        <v>1.2000000000000002</v>
      </c>
      <c r="FE23" s="1304">
        <f t="shared" si="137"/>
        <v>1.2000000000000002</v>
      </c>
      <c r="FF23" s="1304">
        <f t="shared" si="137"/>
        <v>1.2000000000000002</v>
      </c>
      <c r="FG23" s="1304">
        <f t="shared" si="137"/>
        <v>1.2000000000000002</v>
      </c>
      <c r="FH23" s="1304">
        <f t="shared" si="137"/>
        <v>1.2000000000000002</v>
      </c>
      <c r="FI23" s="1304">
        <f t="shared" si="137"/>
        <v>1.2000000000000002</v>
      </c>
      <c r="FJ23" s="1304">
        <f t="shared" si="137"/>
        <v>1.2000000000000002</v>
      </c>
      <c r="FK23" s="1304">
        <f t="shared" si="137"/>
        <v>1.2000000000000002</v>
      </c>
      <c r="FL23" s="1304">
        <f t="shared" si="137"/>
        <v>1.2000000000000002</v>
      </c>
      <c r="FM23" s="1304">
        <f t="shared" si="137"/>
        <v>1.2000000000000002</v>
      </c>
      <c r="FN23" s="1304">
        <f t="shared" si="137"/>
        <v>1.2000000000000002</v>
      </c>
      <c r="FO23" s="1304">
        <f t="shared" si="137"/>
        <v>1.2000000000000002</v>
      </c>
      <c r="FP23" s="1304">
        <f t="shared" si="137"/>
        <v>1.2000000000000002</v>
      </c>
      <c r="FQ23" s="1304">
        <f t="shared" si="137"/>
        <v>1.2000000000000002</v>
      </c>
      <c r="FR23" s="1304">
        <f t="shared" si="137"/>
        <v>1.2000000000000002</v>
      </c>
      <c r="FS23" s="1304">
        <f t="shared" si="137"/>
        <v>1.2000000000000002</v>
      </c>
      <c r="FT23" s="1305">
        <f t="shared" si="137"/>
        <v>1.2000000000000002</v>
      </c>
      <c r="FU23" s="43"/>
    </row>
    <row r="24" spans="1:182" s="34" customFormat="1" ht="13.5" hidden="1" outlineLevel="1" x14ac:dyDescent="0.25">
      <c r="B24" s="435" t="str">
        <f t="shared" si="134"/>
        <v>Cumulative Incentive Revenue Inflation</v>
      </c>
      <c r="G24" s="504">
        <v>1</v>
      </c>
      <c r="H24" s="1304">
        <f t="shared" si="135"/>
        <v>1</v>
      </c>
      <c r="I24" s="1304">
        <f t="shared" si="131"/>
        <v>1</v>
      </c>
      <c r="J24" s="1304">
        <f t="shared" si="131"/>
        <v>1</v>
      </c>
      <c r="K24" s="1304">
        <f t="shared" si="131"/>
        <v>1</v>
      </c>
      <c r="L24" s="1304">
        <f t="shared" si="131"/>
        <v>1</v>
      </c>
      <c r="M24" s="1304">
        <f t="shared" si="131"/>
        <v>1</v>
      </c>
      <c r="N24" s="1304">
        <f t="shared" si="131"/>
        <v>1</v>
      </c>
      <c r="O24" s="1304">
        <f t="shared" si="131"/>
        <v>1</v>
      </c>
      <c r="P24" s="1304">
        <f t="shared" si="131"/>
        <v>1</v>
      </c>
      <c r="Q24" s="1304">
        <f t="shared" si="131"/>
        <v>1</v>
      </c>
      <c r="R24" s="1304">
        <f t="shared" si="131"/>
        <v>1</v>
      </c>
      <c r="S24" s="1304">
        <f t="shared" si="131"/>
        <v>1</v>
      </c>
      <c r="T24" s="1304">
        <f t="shared" si="131"/>
        <v>1</v>
      </c>
      <c r="U24" s="1304">
        <f t="shared" si="131"/>
        <v>1</v>
      </c>
      <c r="V24" s="1304">
        <f t="shared" si="131"/>
        <v>1</v>
      </c>
      <c r="W24" s="1304">
        <f t="shared" si="131"/>
        <v>1</v>
      </c>
      <c r="X24" s="1304">
        <f t="shared" si="131"/>
        <v>1</v>
      </c>
      <c r="Y24" s="1304">
        <f t="shared" si="131"/>
        <v>1</v>
      </c>
      <c r="Z24" s="1304">
        <f t="shared" si="131"/>
        <v>1</v>
      </c>
      <c r="AA24" s="1304">
        <f t="shared" si="131"/>
        <v>1</v>
      </c>
      <c r="AB24" s="1304">
        <f t="shared" si="131"/>
        <v>1</v>
      </c>
      <c r="AC24" s="1304">
        <f t="shared" si="131"/>
        <v>1</v>
      </c>
      <c r="AD24" s="1304">
        <f t="shared" si="131"/>
        <v>1</v>
      </c>
      <c r="AE24" s="1304">
        <f t="shared" si="131"/>
        <v>1</v>
      </c>
      <c r="AF24" s="1304">
        <f t="shared" si="131"/>
        <v>1</v>
      </c>
      <c r="AG24" s="1304">
        <f t="shared" si="131"/>
        <v>1</v>
      </c>
      <c r="AH24" s="1304">
        <f t="shared" si="131"/>
        <v>1</v>
      </c>
      <c r="AI24" s="1304">
        <f t="shared" si="131"/>
        <v>1</v>
      </c>
      <c r="AJ24" s="1304">
        <f t="shared" si="131"/>
        <v>1</v>
      </c>
      <c r="AK24" s="1304">
        <f t="shared" si="131"/>
        <v>1</v>
      </c>
      <c r="AL24" s="1304">
        <f t="shared" si="131"/>
        <v>1</v>
      </c>
      <c r="AM24" s="1304">
        <f t="shared" si="131"/>
        <v>1</v>
      </c>
      <c r="AN24" s="1304">
        <f t="shared" si="131"/>
        <v>1</v>
      </c>
      <c r="AO24" s="1304">
        <f t="shared" si="131"/>
        <v>1</v>
      </c>
      <c r="AP24" s="1304">
        <f t="shared" si="131"/>
        <v>1</v>
      </c>
      <c r="AQ24" s="1304">
        <f t="shared" si="131"/>
        <v>1</v>
      </c>
      <c r="AR24" s="1304">
        <f t="shared" si="131"/>
        <v>1</v>
      </c>
      <c r="AS24" s="1304">
        <f t="shared" si="131"/>
        <v>1</v>
      </c>
      <c r="AT24" s="1304">
        <f t="shared" si="131"/>
        <v>1</v>
      </c>
      <c r="AU24" s="1304">
        <f t="shared" si="131"/>
        <v>1</v>
      </c>
      <c r="AV24" s="1304">
        <f t="shared" si="131"/>
        <v>1</v>
      </c>
      <c r="AW24" s="1304">
        <f t="shared" si="131"/>
        <v>1</v>
      </c>
      <c r="AX24" s="1304">
        <f t="shared" si="131"/>
        <v>1</v>
      </c>
      <c r="AY24" s="1304">
        <f t="shared" si="131"/>
        <v>1</v>
      </c>
      <c r="AZ24" s="1304">
        <f t="shared" ref="AZ24:DK24" si="138">AY24+AZ19</f>
        <v>1</v>
      </c>
      <c r="BA24" s="1304">
        <f t="shared" si="138"/>
        <v>1</v>
      </c>
      <c r="BB24" s="1304">
        <f t="shared" si="138"/>
        <v>1</v>
      </c>
      <c r="BC24" s="1304">
        <f t="shared" si="138"/>
        <v>1</v>
      </c>
      <c r="BD24" s="1304">
        <f t="shared" si="138"/>
        <v>1</v>
      </c>
      <c r="BE24" s="1304">
        <f t="shared" si="138"/>
        <v>1</v>
      </c>
      <c r="BF24" s="1304">
        <f t="shared" si="138"/>
        <v>1</v>
      </c>
      <c r="BG24" s="1304">
        <f t="shared" si="138"/>
        <v>1</v>
      </c>
      <c r="BH24" s="1304">
        <f t="shared" si="138"/>
        <v>1</v>
      </c>
      <c r="BI24" s="1304">
        <f t="shared" si="138"/>
        <v>1</v>
      </c>
      <c r="BJ24" s="1304">
        <f t="shared" si="138"/>
        <v>1</v>
      </c>
      <c r="BK24" s="1304">
        <f t="shared" si="138"/>
        <v>1</v>
      </c>
      <c r="BL24" s="1304">
        <f t="shared" si="138"/>
        <v>1</v>
      </c>
      <c r="BM24" s="1304">
        <f t="shared" si="138"/>
        <v>1</v>
      </c>
      <c r="BN24" s="1304">
        <f t="shared" si="138"/>
        <v>1</v>
      </c>
      <c r="BO24" s="1304">
        <f t="shared" si="138"/>
        <v>1</v>
      </c>
      <c r="BP24" s="1304">
        <f t="shared" si="138"/>
        <v>1</v>
      </c>
      <c r="BQ24" s="1304">
        <f t="shared" si="138"/>
        <v>1</v>
      </c>
      <c r="BR24" s="1304">
        <f t="shared" si="138"/>
        <v>1</v>
      </c>
      <c r="BS24" s="1304">
        <f t="shared" si="138"/>
        <v>1</v>
      </c>
      <c r="BT24" s="1304">
        <f t="shared" si="138"/>
        <v>1</v>
      </c>
      <c r="BU24" s="1304">
        <f t="shared" si="138"/>
        <v>1</v>
      </c>
      <c r="BV24" s="1304">
        <f t="shared" si="138"/>
        <v>1</v>
      </c>
      <c r="BW24" s="1304">
        <f t="shared" si="138"/>
        <v>1</v>
      </c>
      <c r="BX24" s="1304">
        <f t="shared" si="138"/>
        <v>1</v>
      </c>
      <c r="BY24" s="1304">
        <f t="shared" si="138"/>
        <v>1</v>
      </c>
      <c r="BZ24" s="1304">
        <f t="shared" si="138"/>
        <v>1</v>
      </c>
      <c r="CA24" s="1304">
        <f t="shared" si="138"/>
        <v>1</v>
      </c>
      <c r="CB24" s="1304">
        <f t="shared" si="138"/>
        <v>1</v>
      </c>
      <c r="CC24" s="1304">
        <f t="shared" si="138"/>
        <v>1</v>
      </c>
      <c r="CD24" s="1304">
        <f t="shared" si="138"/>
        <v>1</v>
      </c>
      <c r="CE24" s="1304">
        <f t="shared" si="138"/>
        <v>1</v>
      </c>
      <c r="CF24" s="1304">
        <f t="shared" si="138"/>
        <v>1</v>
      </c>
      <c r="CG24" s="1304">
        <f t="shared" si="138"/>
        <v>1</v>
      </c>
      <c r="CH24" s="1304">
        <f t="shared" si="138"/>
        <v>1</v>
      </c>
      <c r="CI24" s="1304">
        <f t="shared" si="138"/>
        <v>1</v>
      </c>
      <c r="CJ24" s="1304">
        <f t="shared" si="138"/>
        <v>1</v>
      </c>
      <c r="CK24" s="1304">
        <f t="shared" si="138"/>
        <v>1</v>
      </c>
      <c r="CL24" s="1304">
        <f t="shared" si="138"/>
        <v>1</v>
      </c>
      <c r="CM24" s="1304">
        <f t="shared" si="138"/>
        <v>1</v>
      </c>
      <c r="CN24" s="1304">
        <f t="shared" si="138"/>
        <v>1</v>
      </c>
      <c r="CO24" s="1304">
        <f t="shared" si="138"/>
        <v>1</v>
      </c>
      <c r="CP24" s="1304">
        <f t="shared" si="138"/>
        <v>1</v>
      </c>
      <c r="CQ24" s="1304">
        <f t="shared" si="138"/>
        <v>1</v>
      </c>
      <c r="CR24" s="1304">
        <f t="shared" si="138"/>
        <v>1</v>
      </c>
      <c r="CS24" s="1304">
        <f t="shared" si="138"/>
        <v>1</v>
      </c>
      <c r="CT24" s="1304">
        <f t="shared" si="138"/>
        <v>1</v>
      </c>
      <c r="CU24" s="1304">
        <f t="shared" si="138"/>
        <v>1</v>
      </c>
      <c r="CV24" s="1304">
        <f t="shared" si="138"/>
        <v>1</v>
      </c>
      <c r="CW24" s="1304">
        <f t="shared" si="138"/>
        <v>1</v>
      </c>
      <c r="CX24" s="1304">
        <f t="shared" si="138"/>
        <v>1</v>
      </c>
      <c r="CY24" s="1304">
        <f t="shared" si="138"/>
        <v>1</v>
      </c>
      <c r="CZ24" s="1304">
        <f t="shared" si="138"/>
        <v>1</v>
      </c>
      <c r="DA24" s="1304">
        <f t="shared" si="138"/>
        <v>1</v>
      </c>
      <c r="DB24" s="1304">
        <f t="shared" si="138"/>
        <v>1</v>
      </c>
      <c r="DC24" s="1304">
        <f t="shared" si="138"/>
        <v>1</v>
      </c>
      <c r="DD24" s="1304">
        <f t="shared" si="138"/>
        <v>1</v>
      </c>
      <c r="DE24" s="1304">
        <f t="shared" si="138"/>
        <v>1</v>
      </c>
      <c r="DF24" s="1304">
        <f t="shared" si="138"/>
        <v>1</v>
      </c>
      <c r="DG24" s="1304">
        <f t="shared" si="138"/>
        <v>1</v>
      </c>
      <c r="DH24" s="1304">
        <f t="shared" si="138"/>
        <v>1</v>
      </c>
      <c r="DI24" s="1304">
        <f t="shared" si="138"/>
        <v>1</v>
      </c>
      <c r="DJ24" s="1304">
        <f t="shared" si="138"/>
        <v>1</v>
      </c>
      <c r="DK24" s="1304">
        <f t="shared" si="138"/>
        <v>1</v>
      </c>
      <c r="DL24" s="1304">
        <f t="shared" ref="DL24:FT24" si="139">DK24+DL19</f>
        <v>1</v>
      </c>
      <c r="DM24" s="1304">
        <f t="shared" si="139"/>
        <v>1</v>
      </c>
      <c r="DN24" s="1304">
        <f t="shared" si="139"/>
        <v>1</v>
      </c>
      <c r="DO24" s="1304">
        <f t="shared" si="139"/>
        <v>1</v>
      </c>
      <c r="DP24" s="1304">
        <f t="shared" si="139"/>
        <v>1</v>
      </c>
      <c r="DQ24" s="1304">
        <f t="shared" si="139"/>
        <v>1</v>
      </c>
      <c r="DR24" s="1304">
        <f t="shared" si="139"/>
        <v>1</v>
      </c>
      <c r="DS24" s="1304">
        <f t="shared" si="139"/>
        <v>1</v>
      </c>
      <c r="DT24" s="1304">
        <f t="shared" si="139"/>
        <v>1</v>
      </c>
      <c r="DU24" s="1304">
        <f t="shared" si="139"/>
        <v>1</v>
      </c>
      <c r="DV24" s="1304">
        <f t="shared" si="139"/>
        <v>1</v>
      </c>
      <c r="DW24" s="1304">
        <f t="shared" si="139"/>
        <v>1</v>
      </c>
      <c r="DX24" s="1304">
        <f t="shared" si="139"/>
        <v>1</v>
      </c>
      <c r="DY24" s="1304">
        <f t="shared" si="139"/>
        <v>1</v>
      </c>
      <c r="DZ24" s="1304">
        <f t="shared" si="139"/>
        <v>1</v>
      </c>
      <c r="EA24" s="1304">
        <f t="shared" si="139"/>
        <v>1</v>
      </c>
      <c r="EB24" s="1304">
        <f t="shared" si="139"/>
        <v>1</v>
      </c>
      <c r="EC24" s="1304">
        <f t="shared" si="139"/>
        <v>1</v>
      </c>
      <c r="ED24" s="1304">
        <f t="shared" si="139"/>
        <v>1</v>
      </c>
      <c r="EE24" s="1304">
        <f t="shared" si="139"/>
        <v>1</v>
      </c>
      <c r="EF24" s="1304">
        <f t="shared" si="139"/>
        <v>1</v>
      </c>
      <c r="EG24" s="1304">
        <f t="shared" si="139"/>
        <v>1</v>
      </c>
      <c r="EH24" s="1304">
        <f t="shared" si="139"/>
        <v>1</v>
      </c>
      <c r="EI24" s="1304">
        <f t="shared" si="139"/>
        <v>1</v>
      </c>
      <c r="EJ24" s="1304">
        <f t="shared" si="139"/>
        <v>1</v>
      </c>
      <c r="EK24" s="1304">
        <f t="shared" si="139"/>
        <v>1</v>
      </c>
      <c r="EL24" s="1304">
        <f t="shared" si="139"/>
        <v>1</v>
      </c>
      <c r="EM24" s="1304">
        <f t="shared" si="139"/>
        <v>1</v>
      </c>
      <c r="EN24" s="1304">
        <f t="shared" si="139"/>
        <v>1</v>
      </c>
      <c r="EO24" s="1304">
        <f t="shared" si="139"/>
        <v>1</v>
      </c>
      <c r="EP24" s="1304">
        <f t="shared" si="139"/>
        <v>1</v>
      </c>
      <c r="EQ24" s="1304">
        <f t="shared" si="139"/>
        <v>1</v>
      </c>
      <c r="ER24" s="1304">
        <f t="shared" si="139"/>
        <v>1</v>
      </c>
      <c r="ES24" s="1304">
        <f t="shared" si="139"/>
        <v>1</v>
      </c>
      <c r="ET24" s="1304">
        <f t="shared" si="139"/>
        <v>1</v>
      </c>
      <c r="EU24" s="1304">
        <f t="shared" si="139"/>
        <v>1</v>
      </c>
      <c r="EV24" s="1304">
        <f t="shared" si="139"/>
        <v>1</v>
      </c>
      <c r="EW24" s="1304">
        <f t="shared" si="139"/>
        <v>1</v>
      </c>
      <c r="EX24" s="1304">
        <f t="shared" si="139"/>
        <v>1</v>
      </c>
      <c r="EY24" s="1304">
        <f t="shared" si="139"/>
        <v>1</v>
      </c>
      <c r="EZ24" s="1304">
        <f t="shared" si="139"/>
        <v>1</v>
      </c>
      <c r="FA24" s="1304">
        <f t="shared" si="139"/>
        <v>1</v>
      </c>
      <c r="FB24" s="1304">
        <f t="shared" si="139"/>
        <v>1</v>
      </c>
      <c r="FC24" s="1304">
        <f t="shared" si="139"/>
        <v>1</v>
      </c>
      <c r="FD24" s="1304">
        <f t="shared" si="139"/>
        <v>1</v>
      </c>
      <c r="FE24" s="1304">
        <f t="shared" si="139"/>
        <v>1</v>
      </c>
      <c r="FF24" s="1304">
        <f t="shared" si="139"/>
        <v>1</v>
      </c>
      <c r="FG24" s="1304">
        <f t="shared" si="139"/>
        <v>1</v>
      </c>
      <c r="FH24" s="1304">
        <f t="shared" si="139"/>
        <v>1</v>
      </c>
      <c r="FI24" s="1304">
        <f t="shared" si="139"/>
        <v>1</v>
      </c>
      <c r="FJ24" s="1304">
        <f t="shared" si="139"/>
        <v>1</v>
      </c>
      <c r="FK24" s="1304">
        <f t="shared" si="139"/>
        <v>1</v>
      </c>
      <c r="FL24" s="1304">
        <f t="shared" si="139"/>
        <v>1</v>
      </c>
      <c r="FM24" s="1304">
        <f t="shared" si="139"/>
        <v>1</v>
      </c>
      <c r="FN24" s="1304">
        <f t="shared" si="139"/>
        <v>1</v>
      </c>
      <c r="FO24" s="1304">
        <f t="shared" si="139"/>
        <v>1</v>
      </c>
      <c r="FP24" s="1304">
        <f t="shared" si="139"/>
        <v>1</v>
      </c>
      <c r="FQ24" s="1304">
        <f t="shared" si="139"/>
        <v>1</v>
      </c>
      <c r="FR24" s="1304">
        <f t="shared" si="139"/>
        <v>1</v>
      </c>
      <c r="FS24" s="1304">
        <f t="shared" si="139"/>
        <v>1</v>
      </c>
      <c r="FT24" s="1305">
        <f t="shared" si="139"/>
        <v>1</v>
      </c>
      <c r="FU24" s="43"/>
    </row>
    <row r="25" spans="1:182" s="34" customFormat="1" ht="13.5" hidden="1" outlineLevel="1" x14ac:dyDescent="0.25">
      <c r="B25" s="435" t="str">
        <f t="shared" si="134"/>
        <v>Cumulative Expense Inflation</v>
      </c>
      <c r="C25" s="435"/>
      <c r="D25" s="435"/>
      <c r="E25" s="435"/>
      <c r="F25" s="435"/>
      <c r="G25" s="504">
        <v>1</v>
      </c>
      <c r="H25" s="1304">
        <f t="shared" si="135"/>
        <v>1</v>
      </c>
      <c r="I25" s="1304">
        <f t="shared" si="131"/>
        <v>1</v>
      </c>
      <c r="J25" s="1304">
        <f t="shared" si="131"/>
        <v>1</v>
      </c>
      <c r="K25" s="1304">
        <f t="shared" si="131"/>
        <v>1</v>
      </c>
      <c r="L25" s="1304">
        <f t="shared" si="131"/>
        <v>1</v>
      </c>
      <c r="M25" s="1304">
        <f t="shared" si="131"/>
        <v>1</v>
      </c>
      <c r="N25" s="1304">
        <f t="shared" si="131"/>
        <v>1</v>
      </c>
      <c r="O25" s="1304">
        <f t="shared" si="131"/>
        <v>1</v>
      </c>
      <c r="P25" s="1304">
        <f t="shared" si="131"/>
        <v>1</v>
      </c>
      <c r="Q25" s="1304">
        <f t="shared" si="131"/>
        <v>1</v>
      </c>
      <c r="R25" s="1304">
        <f t="shared" si="131"/>
        <v>1</v>
      </c>
      <c r="S25" s="1304">
        <f t="shared" si="131"/>
        <v>1</v>
      </c>
      <c r="T25" s="1304">
        <f t="shared" si="131"/>
        <v>1</v>
      </c>
      <c r="U25" s="1304">
        <f t="shared" si="131"/>
        <v>1</v>
      </c>
      <c r="V25" s="1304">
        <f t="shared" si="131"/>
        <v>1</v>
      </c>
      <c r="W25" s="1304">
        <f t="shared" si="131"/>
        <v>1</v>
      </c>
      <c r="X25" s="1304">
        <f t="shared" si="131"/>
        <v>1</v>
      </c>
      <c r="Y25" s="1304">
        <f t="shared" si="131"/>
        <v>1</v>
      </c>
      <c r="Z25" s="1304">
        <f t="shared" si="131"/>
        <v>1</v>
      </c>
      <c r="AA25" s="1304">
        <f t="shared" si="131"/>
        <v>1</v>
      </c>
      <c r="AB25" s="1304">
        <f t="shared" si="131"/>
        <v>1</v>
      </c>
      <c r="AC25" s="1304">
        <f t="shared" si="131"/>
        <v>1</v>
      </c>
      <c r="AD25" s="1304">
        <f t="shared" si="131"/>
        <v>1</v>
      </c>
      <c r="AE25" s="1304">
        <f t="shared" si="131"/>
        <v>1</v>
      </c>
      <c r="AF25" s="1304">
        <f t="shared" si="131"/>
        <v>1.01</v>
      </c>
      <c r="AG25" s="1304">
        <f t="shared" si="131"/>
        <v>1.01</v>
      </c>
      <c r="AH25" s="1304">
        <f t="shared" si="131"/>
        <v>1.01</v>
      </c>
      <c r="AI25" s="1304">
        <f t="shared" si="131"/>
        <v>1.01</v>
      </c>
      <c r="AJ25" s="1304">
        <f t="shared" si="131"/>
        <v>1.01</v>
      </c>
      <c r="AK25" s="1304">
        <f t="shared" si="131"/>
        <v>1.01</v>
      </c>
      <c r="AL25" s="1304">
        <f t="shared" si="131"/>
        <v>1.01</v>
      </c>
      <c r="AM25" s="1304">
        <f t="shared" si="131"/>
        <v>1.01</v>
      </c>
      <c r="AN25" s="1304">
        <f t="shared" si="131"/>
        <v>1.01</v>
      </c>
      <c r="AO25" s="1304">
        <f t="shared" si="131"/>
        <v>1.01</v>
      </c>
      <c r="AP25" s="1304">
        <f t="shared" si="131"/>
        <v>1.01</v>
      </c>
      <c r="AQ25" s="1304">
        <f t="shared" si="131"/>
        <v>1.01</v>
      </c>
      <c r="AR25" s="1304">
        <f t="shared" si="131"/>
        <v>1.02</v>
      </c>
      <c r="AS25" s="1304">
        <f t="shared" si="131"/>
        <v>1.02</v>
      </c>
      <c r="AT25" s="1304">
        <f t="shared" si="131"/>
        <v>1.02</v>
      </c>
      <c r="AU25" s="1304">
        <f t="shared" si="131"/>
        <v>1.02</v>
      </c>
      <c r="AV25" s="1304">
        <f t="shared" si="131"/>
        <v>1.02</v>
      </c>
      <c r="AW25" s="1304">
        <f t="shared" si="131"/>
        <v>1.02</v>
      </c>
      <c r="AX25" s="1304">
        <f t="shared" si="131"/>
        <v>1.02</v>
      </c>
      <c r="AY25" s="1304">
        <f t="shared" si="131"/>
        <v>1.02</v>
      </c>
      <c r="AZ25" s="1304">
        <f t="shared" ref="AZ25:DK25" si="140">AY25+AZ20</f>
        <v>1.02</v>
      </c>
      <c r="BA25" s="1304">
        <f t="shared" si="140"/>
        <v>1.02</v>
      </c>
      <c r="BB25" s="1304">
        <f t="shared" si="140"/>
        <v>1.02</v>
      </c>
      <c r="BC25" s="1304">
        <f t="shared" si="140"/>
        <v>1.02</v>
      </c>
      <c r="BD25" s="1304">
        <f t="shared" si="140"/>
        <v>1.03</v>
      </c>
      <c r="BE25" s="1304">
        <f t="shared" si="140"/>
        <v>1.03</v>
      </c>
      <c r="BF25" s="1304">
        <f t="shared" si="140"/>
        <v>1.03</v>
      </c>
      <c r="BG25" s="1304">
        <f t="shared" si="140"/>
        <v>1.03</v>
      </c>
      <c r="BH25" s="1304">
        <f t="shared" si="140"/>
        <v>1.03</v>
      </c>
      <c r="BI25" s="1304">
        <f t="shared" si="140"/>
        <v>1.03</v>
      </c>
      <c r="BJ25" s="1304">
        <f t="shared" si="140"/>
        <v>1.03</v>
      </c>
      <c r="BK25" s="1304">
        <f t="shared" si="140"/>
        <v>1.03</v>
      </c>
      <c r="BL25" s="1304">
        <f t="shared" si="140"/>
        <v>1.03</v>
      </c>
      <c r="BM25" s="1304">
        <f t="shared" si="140"/>
        <v>1.03</v>
      </c>
      <c r="BN25" s="1304">
        <f t="shared" si="140"/>
        <v>1.03</v>
      </c>
      <c r="BO25" s="1304">
        <f t="shared" si="140"/>
        <v>1.03</v>
      </c>
      <c r="BP25" s="1304">
        <f t="shared" si="140"/>
        <v>1.04</v>
      </c>
      <c r="BQ25" s="1304">
        <f t="shared" si="140"/>
        <v>1.04</v>
      </c>
      <c r="BR25" s="1304">
        <f t="shared" si="140"/>
        <v>1.04</v>
      </c>
      <c r="BS25" s="1304">
        <f t="shared" si="140"/>
        <v>1.04</v>
      </c>
      <c r="BT25" s="1304">
        <f t="shared" si="140"/>
        <v>1.04</v>
      </c>
      <c r="BU25" s="1304">
        <f t="shared" si="140"/>
        <v>1.04</v>
      </c>
      <c r="BV25" s="1304">
        <f t="shared" si="140"/>
        <v>1.04</v>
      </c>
      <c r="BW25" s="1304">
        <f t="shared" si="140"/>
        <v>1.04</v>
      </c>
      <c r="BX25" s="1304">
        <f t="shared" si="140"/>
        <v>1.04</v>
      </c>
      <c r="BY25" s="1304">
        <f t="shared" si="140"/>
        <v>1.04</v>
      </c>
      <c r="BZ25" s="1304">
        <f t="shared" si="140"/>
        <v>1.04</v>
      </c>
      <c r="CA25" s="1304">
        <f t="shared" si="140"/>
        <v>1.04</v>
      </c>
      <c r="CB25" s="1304">
        <f t="shared" si="140"/>
        <v>1.05</v>
      </c>
      <c r="CC25" s="1304">
        <f t="shared" si="140"/>
        <v>1.05</v>
      </c>
      <c r="CD25" s="1304">
        <f t="shared" si="140"/>
        <v>1.05</v>
      </c>
      <c r="CE25" s="1304">
        <f t="shared" si="140"/>
        <v>1.05</v>
      </c>
      <c r="CF25" s="1304">
        <f t="shared" si="140"/>
        <v>1.05</v>
      </c>
      <c r="CG25" s="1304">
        <f t="shared" si="140"/>
        <v>1.05</v>
      </c>
      <c r="CH25" s="1304">
        <f t="shared" si="140"/>
        <v>1.05</v>
      </c>
      <c r="CI25" s="1304">
        <f t="shared" si="140"/>
        <v>1.05</v>
      </c>
      <c r="CJ25" s="1304">
        <f t="shared" si="140"/>
        <v>1.05</v>
      </c>
      <c r="CK25" s="1304">
        <f t="shared" si="140"/>
        <v>1.05</v>
      </c>
      <c r="CL25" s="1304">
        <f t="shared" si="140"/>
        <v>1.05</v>
      </c>
      <c r="CM25" s="1304">
        <f t="shared" si="140"/>
        <v>1.05</v>
      </c>
      <c r="CN25" s="1304">
        <f t="shared" si="140"/>
        <v>1.06</v>
      </c>
      <c r="CO25" s="1304">
        <f t="shared" si="140"/>
        <v>1.06</v>
      </c>
      <c r="CP25" s="1304">
        <f t="shared" si="140"/>
        <v>1.06</v>
      </c>
      <c r="CQ25" s="1304">
        <f t="shared" si="140"/>
        <v>1.06</v>
      </c>
      <c r="CR25" s="1304">
        <f t="shared" si="140"/>
        <v>1.06</v>
      </c>
      <c r="CS25" s="1304">
        <f t="shared" si="140"/>
        <v>1.06</v>
      </c>
      <c r="CT25" s="1304">
        <f t="shared" si="140"/>
        <v>1.06</v>
      </c>
      <c r="CU25" s="1304">
        <f t="shared" si="140"/>
        <v>1.06</v>
      </c>
      <c r="CV25" s="1304">
        <f t="shared" si="140"/>
        <v>1.06</v>
      </c>
      <c r="CW25" s="1304">
        <f t="shared" si="140"/>
        <v>1.06</v>
      </c>
      <c r="CX25" s="1304">
        <f t="shared" si="140"/>
        <v>1.06</v>
      </c>
      <c r="CY25" s="1304">
        <f t="shared" si="140"/>
        <v>1.06</v>
      </c>
      <c r="CZ25" s="1304">
        <f t="shared" si="140"/>
        <v>1.07</v>
      </c>
      <c r="DA25" s="1304">
        <f t="shared" si="140"/>
        <v>1.07</v>
      </c>
      <c r="DB25" s="1304">
        <f t="shared" si="140"/>
        <v>1.07</v>
      </c>
      <c r="DC25" s="1304">
        <f t="shared" si="140"/>
        <v>1.07</v>
      </c>
      <c r="DD25" s="1304">
        <f t="shared" si="140"/>
        <v>1.07</v>
      </c>
      <c r="DE25" s="1304">
        <f t="shared" si="140"/>
        <v>1.07</v>
      </c>
      <c r="DF25" s="1304">
        <f t="shared" si="140"/>
        <v>1.07</v>
      </c>
      <c r="DG25" s="1304">
        <f t="shared" si="140"/>
        <v>1.07</v>
      </c>
      <c r="DH25" s="1304">
        <f t="shared" si="140"/>
        <v>1.07</v>
      </c>
      <c r="DI25" s="1304">
        <f t="shared" si="140"/>
        <v>1.07</v>
      </c>
      <c r="DJ25" s="1304">
        <f t="shared" si="140"/>
        <v>1.07</v>
      </c>
      <c r="DK25" s="1304">
        <f t="shared" si="140"/>
        <v>1.07</v>
      </c>
      <c r="DL25" s="1304">
        <f t="shared" ref="DL25:FT25" si="141">DK25+DL20</f>
        <v>1.08</v>
      </c>
      <c r="DM25" s="1304">
        <f t="shared" si="141"/>
        <v>1.08</v>
      </c>
      <c r="DN25" s="1304">
        <f t="shared" si="141"/>
        <v>1.08</v>
      </c>
      <c r="DO25" s="1304">
        <f t="shared" si="141"/>
        <v>1.08</v>
      </c>
      <c r="DP25" s="1304">
        <f t="shared" si="141"/>
        <v>1.08</v>
      </c>
      <c r="DQ25" s="1304">
        <f t="shared" si="141"/>
        <v>1.08</v>
      </c>
      <c r="DR25" s="1304">
        <f t="shared" si="141"/>
        <v>1.08</v>
      </c>
      <c r="DS25" s="1304">
        <f t="shared" si="141"/>
        <v>1.08</v>
      </c>
      <c r="DT25" s="1304">
        <f t="shared" si="141"/>
        <v>1.08</v>
      </c>
      <c r="DU25" s="1304">
        <f t="shared" si="141"/>
        <v>1.08</v>
      </c>
      <c r="DV25" s="1304">
        <f t="shared" si="141"/>
        <v>1.08</v>
      </c>
      <c r="DW25" s="1304">
        <f t="shared" si="141"/>
        <v>1.08</v>
      </c>
      <c r="DX25" s="1304">
        <f t="shared" si="141"/>
        <v>1.0900000000000001</v>
      </c>
      <c r="DY25" s="1304">
        <f t="shared" si="141"/>
        <v>1.0900000000000001</v>
      </c>
      <c r="DZ25" s="1304">
        <f t="shared" si="141"/>
        <v>1.0900000000000001</v>
      </c>
      <c r="EA25" s="1304">
        <f t="shared" si="141"/>
        <v>1.0900000000000001</v>
      </c>
      <c r="EB25" s="1304">
        <f t="shared" si="141"/>
        <v>1.0900000000000001</v>
      </c>
      <c r="EC25" s="1304">
        <f t="shared" si="141"/>
        <v>1.0900000000000001</v>
      </c>
      <c r="ED25" s="1304">
        <f t="shared" si="141"/>
        <v>1.0900000000000001</v>
      </c>
      <c r="EE25" s="1304">
        <f t="shared" si="141"/>
        <v>1.0900000000000001</v>
      </c>
      <c r="EF25" s="1304">
        <f t="shared" si="141"/>
        <v>1.0900000000000001</v>
      </c>
      <c r="EG25" s="1304">
        <f t="shared" si="141"/>
        <v>1.0900000000000001</v>
      </c>
      <c r="EH25" s="1304">
        <f t="shared" si="141"/>
        <v>1.0900000000000001</v>
      </c>
      <c r="EI25" s="1304">
        <f t="shared" si="141"/>
        <v>1.0900000000000001</v>
      </c>
      <c r="EJ25" s="1304">
        <f t="shared" si="141"/>
        <v>1.1000000000000001</v>
      </c>
      <c r="EK25" s="1304">
        <f t="shared" si="141"/>
        <v>1.1000000000000001</v>
      </c>
      <c r="EL25" s="1304">
        <f t="shared" si="141"/>
        <v>1.1000000000000001</v>
      </c>
      <c r="EM25" s="1304">
        <f t="shared" si="141"/>
        <v>1.1000000000000001</v>
      </c>
      <c r="EN25" s="1304">
        <f t="shared" si="141"/>
        <v>1.1000000000000001</v>
      </c>
      <c r="EO25" s="1304">
        <f t="shared" si="141"/>
        <v>1.1000000000000001</v>
      </c>
      <c r="EP25" s="1304">
        <f t="shared" si="141"/>
        <v>1.1000000000000001</v>
      </c>
      <c r="EQ25" s="1304">
        <f t="shared" si="141"/>
        <v>1.1000000000000001</v>
      </c>
      <c r="ER25" s="1304">
        <f t="shared" si="141"/>
        <v>1.1000000000000001</v>
      </c>
      <c r="ES25" s="1304">
        <f t="shared" si="141"/>
        <v>1.1000000000000001</v>
      </c>
      <c r="ET25" s="1304">
        <f t="shared" si="141"/>
        <v>1.1000000000000001</v>
      </c>
      <c r="EU25" s="1304">
        <f t="shared" si="141"/>
        <v>1.1000000000000001</v>
      </c>
      <c r="EV25" s="1304">
        <f t="shared" si="141"/>
        <v>1.1000000000000001</v>
      </c>
      <c r="EW25" s="1304">
        <f t="shared" si="141"/>
        <v>1.1000000000000001</v>
      </c>
      <c r="EX25" s="1304">
        <f t="shared" si="141"/>
        <v>1.1000000000000001</v>
      </c>
      <c r="EY25" s="1304">
        <f t="shared" si="141"/>
        <v>1.1000000000000001</v>
      </c>
      <c r="EZ25" s="1304">
        <f t="shared" si="141"/>
        <v>1.1000000000000001</v>
      </c>
      <c r="FA25" s="1304">
        <f t="shared" si="141"/>
        <v>1.1000000000000001</v>
      </c>
      <c r="FB25" s="1304">
        <f t="shared" si="141"/>
        <v>1.1000000000000001</v>
      </c>
      <c r="FC25" s="1304">
        <f t="shared" si="141"/>
        <v>1.1000000000000001</v>
      </c>
      <c r="FD25" s="1304">
        <f t="shared" si="141"/>
        <v>1.1000000000000001</v>
      </c>
      <c r="FE25" s="1304">
        <f t="shared" si="141"/>
        <v>1.1000000000000001</v>
      </c>
      <c r="FF25" s="1304">
        <f t="shared" si="141"/>
        <v>1.1000000000000001</v>
      </c>
      <c r="FG25" s="1304">
        <f t="shared" si="141"/>
        <v>1.1000000000000001</v>
      </c>
      <c r="FH25" s="1304">
        <f t="shared" si="141"/>
        <v>1.1000000000000001</v>
      </c>
      <c r="FI25" s="1304">
        <f t="shared" si="141"/>
        <v>1.1000000000000001</v>
      </c>
      <c r="FJ25" s="1304">
        <f t="shared" si="141"/>
        <v>1.1000000000000001</v>
      </c>
      <c r="FK25" s="1304">
        <f t="shared" si="141"/>
        <v>1.1000000000000001</v>
      </c>
      <c r="FL25" s="1304">
        <f t="shared" si="141"/>
        <v>1.1000000000000001</v>
      </c>
      <c r="FM25" s="1304">
        <f t="shared" si="141"/>
        <v>1.1000000000000001</v>
      </c>
      <c r="FN25" s="1304">
        <f t="shared" si="141"/>
        <v>1.1000000000000001</v>
      </c>
      <c r="FO25" s="1304">
        <f t="shared" si="141"/>
        <v>1.1000000000000001</v>
      </c>
      <c r="FP25" s="1304">
        <f t="shared" si="141"/>
        <v>1.1000000000000001</v>
      </c>
      <c r="FQ25" s="1304">
        <f t="shared" si="141"/>
        <v>1.1000000000000001</v>
      </c>
      <c r="FR25" s="1304">
        <f t="shared" si="141"/>
        <v>1.1000000000000001</v>
      </c>
      <c r="FS25" s="1304">
        <f t="shared" si="141"/>
        <v>1.1000000000000001</v>
      </c>
      <c r="FT25" s="1305">
        <f t="shared" si="141"/>
        <v>1.1000000000000001</v>
      </c>
      <c r="FU25" s="43"/>
    </row>
    <row r="26" spans="1:182" s="34" customFormat="1" ht="13.5" hidden="1" outlineLevel="1" x14ac:dyDescent="0.25">
      <c r="B26" s="435" t="str">
        <f t="shared" si="134"/>
        <v>Cumulative Tax Inflation</v>
      </c>
      <c r="C26" s="435"/>
      <c r="D26" s="435"/>
      <c r="E26" s="435"/>
      <c r="F26" s="435"/>
      <c r="G26" s="504">
        <v>1</v>
      </c>
      <c r="H26" s="1304">
        <f t="shared" si="135"/>
        <v>1</v>
      </c>
      <c r="I26" s="1304">
        <f t="shared" si="131"/>
        <v>1</v>
      </c>
      <c r="J26" s="1304">
        <f t="shared" si="131"/>
        <v>1</v>
      </c>
      <c r="K26" s="1304">
        <f t="shared" si="131"/>
        <v>1</v>
      </c>
      <c r="L26" s="1304">
        <f t="shared" si="131"/>
        <v>1</v>
      </c>
      <c r="M26" s="1304">
        <f t="shared" si="131"/>
        <v>1</v>
      </c>
      <c r="N26" s="1304">
        <f t="shared" si="131"/>
        <v>1</v>
      </c>
      <c r="O26" s="1304">
        <f t="shared" si="131"/>
        <v>1</v>
      </c>
      <c r="P26" s="1304">
        <f t="shared" si="131"/>
        <v>1</v>
      </c>
      <c r="Q26" s="1304">
        <f t="shared" si="131"/>
        <v>1</v>
      </c>
      <c r="R26" s="1304">
        <f t="shared" si="131"/>
        <v>1</v>
      </c>
      <c r="S26" s="1304">
        <f t="shared" si="131"/>
        <v>1</v>
      </c>
      <c r="T26" s="1304">
        <f t="shared" si="131"/>
        <v>1</v>
      </c>
      <c r="U26" s="1304">
        <f t="shared" si="131"/>
        <v>1</v>
      </c>
      <c r="V26" s="1304">
        <f t="shared" si="131"/>
        <v>1</v>
      </c>
      <c r="W26" s="1304">
        <f t="shared" si="131"/>
        <v>1</v>
      </c>
      <c r="X26" s="1304">
        <f t="shared" si="131"/>
        <v>1</v>
      </c>
      <c r="Y26" s="1304">
        <f t="shared" si="131"/>
        <v>1.01</v>
      </c>
      <c r="Z26" s="1304">
        <f t="shared" si="131"/>
        <v>1.01</v>
      </c>
      <c r="AA26" s="1304">
        <f t="shared" si="131"/>
        <v>1.01</v>
      </c>
      <c r="AB26" s="1304">
        <f t="shared" si="131"/>
        <v>1.01</v>
      </c>
      <c r="AC26" s="1304">
        <f t="shared" si="131"/>
        <v>1.01</v>
      </c>
      <c r="AD26" s="1304">
        <f t="shared" si="131"/>
        <v>1.01</v>
      </c>
      <c r="AE26" s="1304">
        <f t="shared" si="131"/>
        <v>1.01</v>
      </c>
      <c r="AF26" s="1304">
        <f t="shared" si="131"/>
        <v>1.02</v>
      </c>
      <c r="AG26" s="1304">
        <f t="shared" si="131"/>
        <v>1.02</v>
      </c>
      <c r="AH26" s="1304">
        <f t="shared" si="131"/>
        <v>1.02</v>
      </c>
      <c r="AI26" s="1304">
        <f t="shared" si="131"/>
        <v>1.02</v>
      </c>
      <c r="AJ26" s="1304">
        <f t="shared" si="131"/>
        <v>1.02</v>
      </c>
      <c r="AK26" s="1304">
        <f t="shared" si="131"/>
        <v>1.02</v>
      </c>
      <c r="AL26" s="1304">
        <f t="shared" si="131"/>
        <v>1.02</v>
      </c>
      <c r="AM26" s="1304">
        <f t="shared" si="131"/>
        <v>1.02</v>
      </c>
      <c r="AN26" s="1304">
        <f t="shared" si="131"/>
        <v>1.02</v>
      </c>
      <c r="AO26" s="1304">
        <f t="shared" si="131"/>
        <v>1.02</v>
      </c>
      <c r="AP26" s="1304">
        <f t="shared" si="131"/>
        <v>1.02</v>
      </c>
      <c r="AQ26" s="1304">
        <f t="shared" si="131"/>
        <v>1.02</v>
      </c>
      <c r="AR26" s="1304">
        <f t="shared" si="131"/>
        <v>1.03</v>
      </c>
      <c r="AS26" s="1304">
        <f t="shared" si="131"/>
        <v>1.03</v>
      </c>
      <c r="AT26" s="1304">
        <f t="shared" si="131"/>
        <v>1.03</v>
      </c>
      <c r="AU26" s="1304">
        <f t="shared" si="131"/>
        <v>1.03</v>
      </c>
      <c r="AV26" s="1304">
        <f t="shared" si="131"/>
        <v>1.03</v>
      </c>
      <c r="AW26" s="1304">
        <f t="shared" si="131"/>
        <v>1.03</v>
      </c>
      <c r="AX26" s="1304">
        <f t="shared" si="131"/>
        <v>1.03</v>
      </c>
      <c r="AY26" s="1304">
        <f t="shared" si="131"/>
        <v>1.03</v>
      </c>
      <c r="AZ26" s="1304">
        <f t="shared" ref="AZ26:DK26" si="142">AY26+AZ21</f>
        <v>1.03</v>
      </c>
      <c r="BA26" s="1304">
        <f t="shared" si="142"/>
        <v>1.03</v>
      </c>
      <c r="BB26" s="1304">
        <f t="shared" si="142"/>
        <v>1.03</v>
      </c>
      <c r="BC26" s="1304">
        <f t="shared" si="142"/>
        <v>1.03</v>
      </c>
      <c r="BD26" s="1304">
        <f t="shared" si="142"/>
        <v>1.04</v>
      </c>
      <c r="BE26" s="1304">
        <f t="shared" si="142"/>
        <v>1.04</v>
      </c>
      <c r="BF26" s="1304">
        <f t="shared" si="142"/>
        <v>1.04</v>
      </c>
      <c r="BG26" s="1304">
        <f t="shared" si="142"/>
        <v>1.04</v>
      </c>
      <c r="BH26" s="1304">
        <f t="shared" si="142"/>
        <v>1.04</v>
      </c>
      <c r="BI26" s="1304">
        <f t="shared" si="142"/>
        <v>1.04</v>
      </c>
      <c r="BJ26" s="1304">
        <f t="shared" si="142"/>
        <v>1.04</v>
      </c>
      <c r="BK26" s="1304">
        <f t="shared" si="142"/>
        <v>1.04</v>
      </c>
      <c r="BL26" s="1304">
        <f t="shared" si="142"/>
        <v>1.04</v>
      </c>
      <c r="BM26" s="1304">
        <f t="shared" si="142"/>
        <v>1.04</v>
      </c>
      <c r="BN26" s="1304">
        <f t="shared" si="142"/>
        <v>1.04</v>
      </c>
      <c r="BO26" s="1304">
        <f t="shared" si="142"/>
        <v>1.04</v>
      </c>
      <c r="BP26" s="1304">
        <f t="shared" si="142"/>
        <v>1.05</v>
      </c>
      <c r="BQ26" s="1304">
        <f t="shared" si="142"/>
        <v>1.05</v>
      </c>
      <c r="BR26" s="1304">
        <f t="shared" si="142"/>
        <v>1.05</v>
      </c>
      <c r="BS26" s="1304">
        <f t="shared" si="142"/>
        <v>1.05</v>
      </c>
      <c r="BT26" s="1304">
        <f t="shared" si="142"/>
        <v>1.05</v>
      </c>
      <c r="BU26" s="1304">
        <f t="shared" si="142"/>
        <v>1.05</v>
      </c>
      <c r="BV26" s="1304">
        <f t="shared" si="142"/>
        <v>1.05</v>
      </c>
      <c r="BW26" s="1304">
        <f t="shared" si="142"/>
        <v>1.05</v>
      </c>
      <c r="BX26" s="1304">
        <f t="shared" si="142"/>
        <v>1.05</v>
      </c>
      <c r="BY26" s="1304">
        <f t="shared" si="142"/>
        <v>1.05</v>
      </c>
      <c r="BZ26" s="1304">
        <f t="shared" si="142"/>
        <v>1.05</v>
      </c>
      <c r="CA26" s="1304">
        <f t="shared" si="142"/>
        <v>1.05</v>
      </c>
      <c r="CB26" s="1304">
        <f t="shared" si="142"/>
        <v>1.06</v>
      </c>
      <c r="CC26" s="1304">
        <f t="shared" si="142"/>
        <v>1.06</v>
      </c>
      <c r="CD26" s="1304">
        <f t="shared" si="142"/>
        <v>1.06</v>
      </c>
      <c r="CE26" s="1304">
        <f t="shared" si="142"/>
        <v>1.06</v>
      </c>
      <c r="CF26" s="1304">
        <f t="shared" si="142"/>
        <v>1.06</v>
      </c>
      <c r="CG26" s="1304">
        <f t="shared" si="142"/>
        <v>1.06</v>
      </c>
      <c r="CH26" s="1304">
        <f t="shared" si="142"/>
        <v>1.06</v>
      </c>
      <c r="CI26" s="1304">
        <f t="shared" si="142"/>
        <v>1.06</v>
      </c>
      <c r="CJ26" s="1304">
        <f t="shared" si="142"/>
        <v>1.06</v>
      </c>
      <c r="CK26" s="1304">
        <f t="shared" si="142"/>
        <v>1.06</v>
      </c>
      <c r="CL26" s="1304">
        <f t="shared" si="142"/>
        <v>1.06</v>
      </c>
      <c r="CM26" s="1304">
        <f t="shared" si="142"/>
        <v>1.06</v>
      </c>
      <c r="CN26" s="1304">
        <f t="shared" si="142"/>
        <v>1.07</v>
      </c>
      <c r="CO26" s="1304">
        <f t="shared" si="142"/>
        <v>1.07</v>
      </c>
      <c r="CP26" s="1304">
        <f t="shared" si="142"/>
        <v>1.07</v>
      </c>
      <c r="CQ26" s="1304">
        <f t="shared" si="142"/>
        <v>1.07</v>
      </c>
      <c r="CR26" s="1304">
        <f t="shared" si="142"/>
        <v>1.07</v>
      </c>
      <c r="CS26" s="1304">
        <f t="shared" si="142"/>
        <v>1.07</v>
      </c>
      <c r="CT26" s="1304">
        <f t="shared" si="142"/>
        <v>1.07</v>
      </c>
      <c r="CU26" s="1304">
        <f t="shared" si="142"/>
        <v>1.07</v>
      </c>
      <c r="CV26" s="1304">
        <f t="shared" si="142"/>
        <v>1.07</v>
      </c>
      <c r="CW26" s="1304">
        <f t="shared" si="142"/>
        <v>1.07</v>
      </c>
      <c r="CX26" s="1304">
        <f t="shared" si="142"/>
        <v>1.07</v>
      </c>
      <c r="CY26" s="1304">
        <f t="shared" si="142"/>
        <v>1.07</v>
      </c>
      <c r="CZ26" s="1304">
        <f t="shared" si="142"/>
        <v>1.08</v>
      </c>
      <c r="DA26" s="1304">
        <f t="shared" si="142"/>
        <v>1.08</v>
      </c>
      <c r="DB26" s="1304">
        <f t="shared" si="142"/>
        <v>1.08</v>
      </c>
      <c r="DC26" s="1304">
        <f t="shared" si="142"/>
        <v>1.08</v>
      </c>
      <c r="DD26" s="1304">
        <f t="shared" si="142"/>
        <v>1.08</v>
      </c>
      <c r="DE26" s="1304">
        <f t="shared" si="142"/>
        <v>1.08</v>
      </c>
      <c r="DF26" s="1304">
        <f t="shared" si="142"/>
        <v>1.08</v>
      </c>
      <c r="DG26" s="1304">
        <f t="shared" si="142"/>
        <v>1.08</v>
      </c>
      <c r="DH26" s="1304">
        <f t="shared" si="142"/>
        <v>1.08</v>
      </c>
      <c r="DI26" s="1304">
        <f t="shared" si="142"/>
        <v>1.08</v>
      </c>
      <c r="DJ26" s="1304">
        <f t="shared" si="142"/>
        <v>1.08</v>
      </c>
      <c r="DK26" s="1304">
        <f t="shared" si="142"/>
        <v>1.08</v>
      </c>
      <c r="DL26" s="1304">
        <f t="shared" ref="DL26:FT26" si="143">DK26+DL21</f>
        <v>1.0900000000000001</v>
      </c>
      <c r="DM26" s="1304">
        <f t="shared" si="143"/>
        <v>1.0900000000000001</v>
      </c>
      <c r="DN26" s="1304">
        <f t="shared" si="143"/>
        <v>1.0900000000000001</v>
      </c>
      <c r="DO26" s="1304">
        <f t="shared" si="143"/>
        <v>1.0900000000000001</v>
      </c>
      <c r="DP26" s="1304">
        <f t="shared" si="143"/>
        <v>1.0900000000000001</v>
      </c>
      <c r="DQ26" s="1304">
        <f t="shared" si="143"/>
        <v>1.0900000000000001</v>
      </c>
      <c r="DR26" s="1304">
        <f t="shared" si="143"/>
        <v>1.0900000000000001</v>
      </c>
      <c r="DS26" s="1304">
        <f t="shared" si="143"/>
        <v>1.0900000000000001</v>
      </c>
      <c r="DT26" s="1304">
        <f t="shared" si="143"/>
        <v>1.0900000000000001</v>
      </c>
      <c r="DU26" s="1304">
        <f t="shared" si="143"/>
        <v>1.0900000000000001</v>
      </c>
      <c r="DV26" s="1304">
        <f t="shared" si="143"/>
        <v>1.0900000000000001</v>
      </c>
      <c r="DW26" s="1304">
        <f t="shared" si="143"/>
        <v>1.0900000000000001</v>
      </c>
      <c r="DX26" s="1304">
        <f t="shared" si="143"/>
        <v>1.1000000000000001</v>
      </c>
      <c r="DY26" s="1304">
        <f t="shared" si="143"/>
        <v>1.1000000000000001</v>
      </c>
      <c r="DZ26" s="1304">
        <f t="shared" si="143"/>
        <v>1.1000000000000001</v>
      </c>
      <c r="EA26" s="1304">
        <f t="shared" si="143"/>
        <v>1.1000000000000001</v>
      </c>
      <c r="EB26" s="1304">
        <f t="shared" si="143"/>
        <v>1.1000000000000001</v>
      </c>
      <c r="EC26" s="1304">
        <f t="shared" si="143"/>
        <v>1.1000000000000001</v>
      </c>
      <c r="ED26" s="1304">
        <f t="shared" si="143"/>
        <v>1.1000000000000001</v>
      </c>
      <c r="EE26" s="1304">
        <f t="shared" si="143"/>
        <v>1.1000000000000001</v>
      </c>
      <c r="EF26" s="1304">
        <f t="shared" si="143"/>
        <v>1.1000000000000001</v>
      </c>
      <c r="EG26" s="1304">
        <f t="shared" si="143"/>
        <v>1.1000000000000001</v>
      </c>
      <c r="EH26" s="1304">
        <f t="shared" si="143"/>
        <v>1.1000000000000001</v>
      </c>
      <c r="EI26" s="1304">
        <f t="shared" si="143"/>
        <v>1.1000000000000001</v>
      </c>
      <c r="EJ26" s="1304">
        <f t="shared" si="143"/>
        <v>1.1100000000000001</v>
      </c>
      <c r="EK26" s="1304">
        <f t="shared" si="143"/>
        <v>1.1100000000000001</v>
      </c>
      <c r="EL26" s="1304">
        <f t="shared" si="143"/>
        <v>1.1100000000000001</v>
      </c>
      <c r="EM26" s="1304">
        <f t="shared" si="143"/>
        <v>1.1100000000000001</v>
      </c>
      <c r="EN26" s="1304">
        <f t="shared" si="143"/>
        <v>1.1100000000000001</v>
      </c>
      <c r="EO26" s="1304">
        <f t="shared" si="143"/>
        <v>1.1100000000000001</v>
      </c>
      <c r="EP26" s="1304">
        <f t="shared" si="143"/>
        <v>1.1100000000000001</v>
      </c>
      <c r="EQ26" s="1304">
        <f t="shared" si="143"/>
        <v>1.1100000000000001</v>
      </c>
      <c r="ER26" s="1304">
        <f t="shared" si="143"/>
        <v>1.1100000000000001</v>
      </c>
      <c r="ES26" s="1304">
        <f t="shared" si="143"/>
        <v>1.1100000000000001</v>
      </c>
      <c r="ET26" s="1304">
        <f t="shared" si="143"/>
        <v>1.1100000000000001</v>
      </c>
      <c r="EU26" s="1304">
        <f t="shared" si="143"/>
        <v>1.1100000000000001</v>
      </c>
      <c r="EV26" s="1304">
        <f t="shared" si="143"/>
        <v>1.1100000000000001</v>
      </c>
      <c r="EW26" s="1304">
        <f t="shared" si="143"/>
        <v>1.1100000000000001</v>
      </c>
      <c r="EX26" s="1304">
        <f t="shared" si="143"/>
        <v>1.1100000000000001</v>
      </c>
      <c r="EY26" s="1304">
        <f t="shared" si="143"/>
        <v>1.1100000000000001</v>
      </c>
      <c r="EZ26" s="1304">
        <f t="shared" si="143"/>
        <v>1.1100000000000001</v>
      </c>
      <c r="FA26" s="1304">
        <f t="shared" si="143"/>
        <v>1.1100000000000001</v>
      </c>
      <c r="FB26" s="1304">
        <f t="shared" si="143"/>
        <v>1.1100000000000001</v>
      </c>
      <c r="FC26" s="1304">
        <f t="shared" si="143"/>
        <v>1.1100000000000001</v>
      </c>
      <c r="FD26" s="1304">
        <f t="shared" si="143"/>
        <v>1.1100000000000001</v>
      </c>
      <c r="FE26" s="1304">
        <f t="shared" si="143"/>
        <v>1.1100000000000001</v>
      </c>
      <c r="FF26" s="1304">
        <f t="shared" si="143"/>
        <v>1.1100000000000001</v>
      </c>
      <c r="FG26" s="1304">
        <f t="shared" si="143"/>
        <v>1.1100000000000001</v>
      </c>
      <c r="FH26" s="1304">
        <f t="shared" si="143"/>
        <v>1.1100000000000001</v>
      </c>
      <c r="FI26" s="1304">
        <f t="shared" si="143"/>
        <v>1.1100000000000001</v>
      </c>
      <c r="FJ26" s="1304">
        <f t="shared" si="143"/>
        <v>1.1100000000000001</v>
      </c>
      <c r="FK26" s="1304">
        <f t="shared" si="143"/>
        <v>1.1100000000000001</v>
      </c>
      <c r="FL26" s="1304">
        <f t="shared" si="143"/>
        <v>1.1100000000000001</v>
      </c>
      <c r="FM26" s="1304">
        <f t="shared" si="143"/>
        <v>1.1100000000000001</v>
      </c>
      <c r="FN26" s="1304">
        <f t="shared" si="143"/>
        <v>1.1100000000000001</v>
      </c>
      <c r="FO26" s="1304">
        <f t="shared" si="143"/>
        <v>1.1100000000000001</v>
      </c>
      <c r="FP26" s="1304">
        <f t="shared" si="143"/>
        <v>1.1100000000000001</v>
      </c>
      <c r="FQ26" s="1304">
        <f t="shared" si="143"/>
        <v>1.1100000000000001</v>
      </c>
      <c r="FR26" s="1304">
        <f t="shared" si="143"/>
        <v>1.1100000000000001</v>
      </c>
      <c r="FS26" s="1304">
        <f t="shared" si="143"/>
        <v>1.1100000000000001</v>
      </c>
      <c r="FT26" s="1305">
        <f t="shared" si="143"/>
        <v>1.1100000000000001</v>
      </c>
      <c r="FU26" s="43"/>
    </row>
    <row r="27" spans="1:182" s="2" customFormat="1" collapsed="1" x14ac:dyDescent="0.25">
      <c r="FU27" s="3"/>
    </row>
    <row r="28" spans="1:182" s="2" customFormat="1" x14ac:dyDescent="0.25">
      <c r="FU28" s="3"/>
    </row>
    <row r="29" spans="1:182" s="34" customFormat="1" ht="13.5" x14ac:dyDescent="0.25">
      <c r="FU29" s="43"/>
    </row>
    <row r="30" spans="1:182" s="89" customFormat="1" ht="13.5" x14ac:dyDescent="0.25">
      <c r="A30" s="34"/>
      <c r="B30" s="64" t="s">
        <v>270</v>
      </c>
      <c r="C30" s="505"/>
      <c r="D30" s="505"/>
      <c r="E30" s="505"/>
      <c r="F30" s="505"/>
      <c r="G30" s="505"/>
      <c r="H30" s="505"/>
      <c r="I30" s="505"/>
      <c r="J30" s="505"/>
      <c r="K30" s="505"/>
      <c r="L30" s="505"/>
      <c r="M30" s="505"/>
      <c r="N30" s="505"/>
      <c r="O30" s="505"/>
      <c r="P30" s="505"/>
      <c r="Q30" s="505"/>
      <c r="R30" s="505"/>
      <c r="S30" s="505"/>
      <c r="T30" s="505"/>
      <c r="U30" s="505"/>
      <c r="V30" s="505"/>
      <c r="W30" s="505"/>
      <c r="X30" s="505"/>
      <c r="Y30" s="505"/>
      <c r="Z30" s="505"/>
      <c r="AA30" s="505"/>
      <c r="AB30" s="505"/>
      <c r="AC30" s="505"/>
      <c r="AD30" s="505"/>
      <c r="AE30" s="505"/>
      <c r="AF30" s="505"/>
      <c r="AG30" s="505"/>
      <c r="AH30" s="505"/>
      <c r="AI30" s="505"/>
      <c r="AJ30" s="505"/>
      <c r="AK30" s="505"/>
      <c r="AL30" s="505"/>
      <c r="AM30" s="505"/>
      <c r="AN30" s="505"/>
      <c r="AO30" s="505"/>
      <c r="AP30" s="505"/>
      <c r="AQ30" s="505"/>
      <c r="AR30" s="505"/>
      <c r="AS30" s="505"/>
      <c r="AT30" s="505"/>
      <c r="AU30" s="505"/>
      <c r="AV30" s="505"/>
      <c r="AW30" s="505"/>
      <c r="AX30" s="505"/>
      <c r="AY30" s="505"/>
      <c r="AZ30" s="505"/>
      <c r="BA30" s="505"/>
      <c r="BB30" s="505"/>
      <c r="BC30" s="505"/>
      <c r="BD30" s="505"/>
      <c r="BE30" s="505"/>
      <c r="BF30" s="505"/>
      <c r="BG30" s="505"/>
      <c r="BH30" s="505"/>
      <c r="BI30" s="505"/>
      <c r="BJ30" s="505"/>
      <c r="BK30" s="505"/>
      <c r="BL30" s="505"/>
      <c r="BM30" s="505"/>
      <c r="BN30" s="505"/>
      <c r="BO30" s="505"/>
      <c r="BP30" s="505"/>
      <c r="BQ30" s="505"/>
      <c r="BR30" s="505"/>
      <c r="BS30" s="505"/>
      <c r="BT30" s="505"/>
      <c r="BU30" s="505"/>
      <c r="BV30" s="505"/>
      <c r="BW30" s="505"/>
      <c r="BX30" s="505"/>
      <c r="BY30" s="505"/>
      <c r="BZ30" s="505"/>
      <c r="CA30" s="505"/>
      <c r="CB30" s="505"/>
      <c r="CC30" s="505"/>
      <c r="CD30" s="505"/>
      <c r="CE30" s="505"/>
      <c r="CF30" s="505"/>
      <c r="CG30" s="505"/>
      <c r="CH30" s="505"/>
      <c r="CI30" s="505"/>
      <c r="CJ30" s="505"/>
      <c r="CK30" s="505"/>
      <c r="CL30" s="505"/>
      <c r="CM30" s="505"/>
      <c r="CN30" s="505"/>
      <c r="CO30" s="505"/>
      <c r="CP30" s="505"/>
      <c r="CQ30" s="505"/>
      <c r="CR30" s="505"/>
      <c r="CS30" s="505"/>
      <c r="CT30" s="505"/>
      <c r="CU30" s="505"/>
      <c r="CV30" s="505"/>
      <c r="CW30" s="505"/>
      <c r="CX30" s="505"/>
      <c r="CY30" s="505"/>
      <c r="CZ30" s="505"/>
      <c r="DA30" s="505"/>
      <c r="DB30" s="505"/>
      <c r="DC30" s="505"/>
      <c r="DD30" s="505"/>
      <c r="DE30" s="505"/>
      <c r="DF30" s="505"/>
      <c r="DG30" s="505"/>
      <c r="DH30" s="505"/>
      <c r="DI30" s="505"/>
      <c r="DJ30" s="505"/>
      <c r="DK30" s="505"/>
      <c r="DL30" s="505"/>
      <c r="DM30" s="505"/>
      <c r="DN30" s="505"/>
      <c r="DO30" s="505"/>
      <c r="DP30" s="505"/>
      <c r="DQ30" s="505"/>
      <c r="DR30" s="505"/>
      <c r="DS30" s="505"/>
      <c r="DT30" s="505"/>
      <c r="DU30" s="505"/>
      <c r="DV30" s="505"/>
      <c r="DW30" s="505"/>
      <c r="DX30" s="505"/>
      <c r="DY30" s="505"/>
      <c r="DZ30" s="505"/>
      <c r="EA30" s="505"/>
      <c r="EB30" s="505"/>
      <c r="EC30" s="505"/>
      <c r="ED30" s="505"/>
      <c r="EE30" s="505"/>
      <c r="EF30" s="505"/>
      <c r="EG30" s="505"/>
      <c r="EH30" s="505"/>
      <c r="EI30" s="505"/>
      <c r="EJ30" s="505"/>
      <c r="EK30" s="505"/>
      <c r="EL30" s="505"/>
      <c r="EM30" s="505"/>
      <c r="EN30" s="505"/>
      <c r="EO30" s="505"/>
      <c r="EP30" s="505"/>
      <c r="EQ30" s="505"/>
      <c r="ER30" s="505"/>
      <c r="ES30" s="505"/>
      <c r="ET30" s="505"/>
      <c r="EU30" s="505"/>
      <c r="EV30" s="505"/>
      <c r="EW30" s="505"/>
      <c r="EX30" s="505"/>
      <c r="EY30" s="505"/>
      <c r="EZ30" s="505"/>
      <c r="FA30" s="505"/>
      <c r="FB30" s="505"/>
      <c r="FC30" s="505"/>
      <c r="FD30" s="505"/>
      <c r="FE30" s="505"/>
      <c r="FF30" s="505"/>
      <c r="FG30" s="505"/>
      <c r="FH30" s="505"/>
      <c r="FI30" s="505"/>
      <c r="FJ30" s="505"/>
      <c r="FK30" s="505"/>
      <c r="FL30" s="505"/>
      <c r="FM30" s="505"/>
      <c r="FN30" s="505"/>
      <c r="FO30" s="505"/>
      <c r="FP30" s="505"/>
      <c r="FQ30" s="505"/>
      <c r="FR30" s="505"/>
      <c r="FS30" s="505"/>
      <c r="FT30" s="505"/>
      <c r="FU30" s="43"/>
      <c r="FV30" s="34"/>
      <c r="FW30" s="34"/>
      <c r="FX30" s="34"/>
      <c r="FY30" s="34"/>
      <c r="FZ30" s="34"/>
    </row>
    <row r="31" spans="1:182" s="89" customFormat="1" ht="13.5" x14ac:dyDescent="0.25">
      <c r="A31" s="34"/>
      <c r="B31" s="4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43"/>
      <c r="FV31" s="34"/>
      <c r="FW31" s="34"/>
      <c r="FX31" s="34"/>
      <c r="FY31" s="34"/>
      <c r="FZ31" s="34"/>
    </row>
    <row r="32" spans="1:182" s="89" customFormat="1" ht="13.5" x14ac:dyDescent="0.25">
      <c r="A32" s="34"/>
      <c r="B32" s="73" t="s">
        <v>233</v>
      </c>
      <c r="C32" s="34"/>
      <c r="D32" s="34"/>
      <c r="E32" s="34"/>
      <c r="F32" s="506" t="s">
        <v>66</v>
      </c>
      <c r="G32" s="34"/>
      <c r="H32" s="1286" t="str">
        <f>IF(AND('Operating Assumptions'!$D$25&gt;0,H35=-'Operating Assumptions'!$D$25),"Pre Lease",IF(H11='Operating Assumptions'!$D$22,"Full Opening",IF(AND(H36='Operating Assumptions'!$D$14,G35&gt;0),"Stablized",IF('Monthly CF'!H11&lt;&gt;'Operating Assumptions'!$D$22,"",IF(H35&lt;&gt;-'Operating Assumptions'!$D$25,"",IF(AND(H36&lt;&gt;'Operating Assumptions'!$D$14,G35&lt;=0),""))))))</f>
        <v/>
      </c>
      <c r="I32" s="68" t="str">
        <f>IF(AND('Operating Assumptions'!$D$25&gt;0,I35=-'Operating Assumptions'!$D$25),"Pre Lease",IF(AND('Operating Assumptions'!$D$29="No",I11='Operating Assumptions'!$D$22),"Opening",IF(AND('Operating Assumptions'!$D$29="Yes",I11='Operating Assumptions'!$D$31),"Phase 1",IF(AND('Operating Assumptions'!$D$29="Yes",I11='Operating Assumptions'!$D$33),"Full Opening",IF(AND(I36='Operating Assumptions'!$D$14,H35&gt;0),"Stablized",IF('Monthly CF'!I11&lt;&gt;'Operating Assumptions'!$D$22,"",IF(I35&lt;&gt;-'Operating Assumptions'!$D$25,"",IF(AND(I36&lt;&gt;'Operating Assumptions'!$D$14,H35&lt;=0),""))))))))</f>
        <v/>
      </c>
      <c r="J32" s="68" t="str">
        <f>IF(AND('Operating Assumptions'!$D$25&gt;0,J35=-'Operating Assumptions'!$D$25),"Pre Lease",IF(AND('Operating Assumptions'!$D$29="No",J11='Operating Assumptions'!$D$22),"Opening",IF(AND('Operating Assumptions'!$D$29="Yes",J11='Operating Assumptions'!$D$31),"Phase 1",IF(AND('Operating Assumptions'!$D$29="Yes",J11='Operating Assumptions'!$D$33),"Full Opening",IF(AND(J36='Operating Assumptions'!$D$14,I35&gt;0),"Stablized",IF('Monthly CF'!J11&lt;&gt;'Operating Assumptions'!$D$22,"",IF(J35&lt;&gt;-'Operating Assumptions'!$D$25,"",IF(AND(J36&lt;&gt;'Operating Assumptions'!$D$14,I35&lt;=0),""))))))))</f>
        <v/>
      </c>
      <c r="K32" s="68" t="str">
        <f>IF(AND('Operating Assumptions'!$D$25&gt;0,K35=-'Operating Assumptions'!$D$25),"Pre Lease",IF(AND('Operating Assumptions'!$D$29="No",K11='Operating Assumptions'!$D$22),"Opening",IF(AND('Operating Assumptions'!$D$29="Yes",K11='Operating Assumptions'!$D$31),"Phase 1",IF(AND('Operating Assumptions'!$D$29="Yes",K11='Operating Assumptions'!$D$33),"Full Opening",IF(AND(K36='Operating Assumptions'!$D$14,J35&gt;0),"Stablized",IF('Monthly CF'!K11&lt;&gt;'Operating Assumptions'!$D$22,"",IF(K35&lt;&gt;-'Operating Assumptions'!$D$25,"",IF(AND(K36&lt;&gt;'Operating Assumptions'!$D$14,J35&lt;=0),""))))))))</f>
        <v/>
      </c>
      <c r="L32" s="68" t="str">
        <f>IF(AND('Operating Assumptions'!$D$25&gt;0,L35=-'Operating Assumptions'!$D$25),"Pre Lease",IF(AND('Operating Assumptions'!$D$29="No",L11='Operating Assumptions'!$D$22),"Opening",IF(AND('Operating Assumptions'!$D$29="Yes",L11='Operating Assumptions'!$D$31),"Phase 1",IF(AND('Operating Assumptions'!$D$29="Yes",L11='Operating Assumptions'!$D$33),"Full Opening",IF(AND(L36='Operating Assumptions'!$D$14,K35&gt;0),"Stablized",IF('Monthly CF'!L11&lt;&gt;'Operating Assumptions'!$D$22,"",IF(L35&lt;&gt;-'Operating Assumptions'!$D$25,"",IF(AND(L36&lt;&gt;'Operating Assumptions'!$D$14,K35&lt;=0),""))))))))</f>
        <v/>
      </c>
      <c r="M32" s="68" t="str">
        <f>IF(AND('Operating Assumptions'!$D$25&gt;0,M35=-'Operating Assumptions'!$D$25),"Pre Lease",IF(AND('Operating Assumptions'!$D$29="No",M11='Operating Assumptions'!$D$22),"Opening",IF(AND('Operating Assumptions'!$D$29="Yes",M11='Operating Assumptions'!$D$31),"Phase 1",IF(AND('Operating Assumptions'!$D$29="Yes",M11='Operating Assumptions'!$D$33),"Full Opening",IF(AND(M36='Operating Assumptions'!$D$14,L35&gt;0),"Stablized",IF('Monthly CF'!M11&lt;&gt;'Operating Assumptions'!$D$22,"",IF(M35&lt;&gt;-'Operating Assumptions'!$D$25,"",IF(AND(M36&lt;&gt;'Operating Assumptions'!$D$14,L35&lt;=0),""))))))))</f>
        <v/>
      </c>
      <c r="N32" s="68" t="str">
        <f>IF(AND('Operating Assumptions'!$D$25&gt;0,N35=-'Operating Assumptions'!$D$25),"Pre Lease",IF(AND('Operating Assumptions'!$D$29="No",N11='Operating Assumptions'!$D$22),"Opening",IF(AND('Operating Assumptions'!$D$29="Yes",N11='Operating Assumptions'!$D$31),"Phase 1",IF(AND('Operating Assumptions'!$D$29="Yes",N11='Operating Assumptions'!$D$33),"Full Opening",IF(AND(N36='Operating Assumptions'!$D$14,M35&gt;0),"Stablized",IF('Monthly CF'!N11&lt;&gt;'Operating Assumptions'!$D$22,"",IF(N35&lt;&gt;-'Operating Assumptions'!$D$25,"",IF(AND(N36&lt;&gt;'Operating Assumptions'!$D$14,M35&lt;=0),""))))))))</f>
        <v/>
      </c>
      <c r="O32" s="68" t="str">
        <f>IF(AND('Operating Assumptions'!$D$25&gt;0,O35=-'Operating Assumptions'!$D$25),"Pre Lease",IF(AND('Operating Assumptions'!$D$29="No",O11='Operating Assumptions'!$D$22),"Opening",IF(AND('Operating Assumptions'!$D$29="Yes",O11='Operating Assumptions'!$D$31),"Phase 1",IF(AND('Operating Assumptions'!$D$29="Yes",O11='Operating Assumptions'!$D$33),"Full Opening",IF(AND(O36='Operating Assumptions'!$D$14,N35&gt;0),"Stablized",IF('Monthly CF'!O11&lt;&gt;'Operating Assumptions'!$D$22,"",IF(O35&lt;&gt;-'Operating Assumptions'!$D$25,"",IF(AND(O36&lt;&gt;'Operating Assumptions'!$D$14,N35&lt;=0),""))))))))</f>
        <v/>
      </c>
      <c r="P32" s="68" t="str">
        <f>IF(AND('Operating Assumptions'!$D$25&gt;0,P35=-'Operating Assumptions'!$D$25),"Pre Lease",IF(AND('Operating Assumptions'!$D$29="No",P11='Operating Assumptions'!$D$22),"Opening",IF(AND('Operating Assumptions'!$D$29="Yes",P11='Operating Assumptions'!$D$31),"Phase 1",IF(AND('Operating Assumptions'!$D$29="Yes",P11='Operating Assumptions'!$D$33),"Full Opening",IF(AND(P36='Operating Assumptions'!$D$14,O35&gt;0),"Stablized",IF('Monthly CF'!P11&lt;&gt;'Operating Assumptions'!$D$22,"",IF(P35&lt;&gt;-'Operating Assumptions'!$D$25,"",IF(AND(P36&lt;&gt;'Operating Assumptions'!$D$14,O35&lt;=0),""))))))))</f>
        <v/>
      </c>
      <c r="Q32" s="68" t="str">
        <f>IF(AND('Operating Assumptions'!$D$25&gt;0,Q35=-'Operating Assumptions'!$D$25),"Pre Lease",IF(AND('Operating Assumptions'!$D$29="No",Q11='Operating Assumptions'!$D$22),"Opening",IF(AND('Operating Assumptions'!$D$29="Yes",Q11='Operating Assumptions'!$D$31),"Phase 1",IF(AND('Operating Assumptions'!$D$29="Yes",Q11='Operating Assumptions'!$D$33),"Full Opening",IF(AND(Q36='Operating Assumptions'!$D$14,P35&gt;0),"Stablized",IF('Monthly CF'!Q11&lt;&gt;'Operating Assumptions'!$D$22,"",IF(Q35&lt;&gt;-'Operating Assumptions'!$D$25,"",IF(AND(Q36&lt;&gt;'Operating Assumptions'!$D$14,P35&lt;=0),""))))))))</f>
        <v/>
      </c>
      <c r="R32" s="68" t="str">
        <f>IF(AND('Operating Assumptions'!$D$25&gt;0,R35=-'Operating Assumptions'!$D$25),"Pre Lease",IF(AND('Operating Assumptions'!$D$29="No",R11='Operating Assumptions'!$D$22),"Opening",IF(AND('Operating Assumptions'!$D$29="Yes",R11='Operating Assumptions'!$D$31),"Phase 1",IF(AND('Operating Assumptions'!$D$29="Yes",R11='Operating Assumptions'!$D$33),"Full Opening",IF(AND(R36='Operating Assumptions'!$D$14,Q35&gt;0),"Stablized",IF('Monthly CF'!R11&lt;&gt;'Operating Assumptions'!$D$22,"",IF(R35&lt;&gt;-'Operating Assumptions'!$D$25,"",IF(AND(R36&lt;&gt;'Operating Assumptions'!$D$14,Q35&lt;=0),""))))))))</f>
        <v/>
      </c>
      <c r="S32" s="68" t="str">
        <f>IF(AND('Operating Assumptions'!$D$25&gt;0,S35=-'Operating Assumptions'!$D$25),"Pre Lease",IF(AND('Operating Assumptions'!$D$29="No",S11='Operating Assumptions'!$D$22),"Opening",IF(AND('Operating Assumptions'!$D$29="Yes",S11='Operating Assumptions'!$D$31),"Phase 1",IF(AND('Operating Assumptions'!$D$29="Yes",S11='Operating Assumptions'!$D$33),"Full Opening",IF(AND(S36='Operating Assumptions'!$D$14,R35&gt;0),"Stablized",IF('Monthly CF'!S11&lt;&gt;'Operating Assumptions'!$D$22,"",IF(S35&lt;&gt;-'Operating Assumptions'!$D$25,"",IF(AND(S36&lt;&gt;'Operating Assumptions'!$D$14,R35&lt;=0),""))))))))</f>
        <v/>
      </c>
      <c r="T32" s="68" t="str">
        <f>IF(AND('Operating Assumptions'!$D$25&gt;0,T35=-'Operating Assumptions'!$D$25),"Pre Lease",IF(AND('Operating Assumptions'!$D$29="No",T11='Operating Assumptions'!$D$22),"Opening",IF(AND('Operating Assumptions'!$D$29="Yes",T11='Operating Assumptions'!$D$31),"Phase 1",IF(AND('Operating Assumptions'!$D$29="Yes",T11='Operating Assumptions'!$D$33),"Full Opening",IF(AND(T36='Operating Assumptions'!$D$14,S35&gt;0),"Stablized",IF('Monthly CF'!T11&lt;&gt;'Operating Assumptions'!$D$22,"",IF(T35&lt;&gt;-'Operating Assumptions'!$D$25,"",IF(AND(T36&lt;&gt;'Operating Assumptions'!$D$14,S35&lt;=0),""))))))))</f>
        <v/>
      </c>
      <c r="U32" s="68" t="str">
        <f>IF(AND('Operating Assumptions'!$D$25&gt;0,U35=-'Operating Assumptions'!$D$25),"Pre Lease",IF(AND('Operating Assumptions'!$D$29="No",U11='Operating Assumptions'!$D$22),"Opening",IF(AND('Operating Assumptions'!$D$29="Yes",U11='Operating Assumptions'!$D$31),"Phase 1",IF(AND('Operating Assumptions'!$D$29="Yes",U11='Operating Assumptions'!$D$33),"Full Opening",IF(AND(U36='Operating Assumptions'!$D$14,T35&gt;0),"Stablized",IF('Monthly CF'!U11&lt;&gt;'Operating Assumptions'!$D$22,"",IF(U35&lt;&gt;-'Operating Assumptions'!$D$25,"",IF(AND(U36&lt;&gt;'Operating Assumptions'!$D$14,T35&lt;=0),""))))))))</f>
        <v/>
      </c>
      <c r="V32" s="68" t="str">
        <f>IF(AND('Operating Assumptions'!$D$25&gt;0,V35=-'Operating Assumptions'!$D$25),"Pre Lease",IF(AND('Operating Assumptions'!$D$29="No",V11='Operating Assumptions'!$D$22),"Opening",IF(AND('Operating Assumptions'!$D$29="Yes",V11='Operating Assumptions'!$D$31),"Phase 1",IF(AND('Operating Assumptions'!$D$29="Yes",V11='Operating Assumptions'!$D$33),"Full Opening",IF(AND(V36='Operating Assumptions'!$D$14,U35&gt;0),"Stablized",IF('Monthly CF'!V11&lt;&gt;'Operating Assumptions'!$D$22,"",IF(V35&lt;&gt;-'Operating Assumptions'!$D$25,"",IF(AND(V36&lt;&gt;'Operating Assumptions'!$D$14,U35&lt;=0),""))))))))</f>
        <v/>
      </c>
      <c r="W32" s="68" t="str">
        <f>IF(AND('Operating Assumptions'!$D$25&gt;0,W35=-'Operating Assumptions'!$D$25),"Pre Lease",IF(AND('Operating Assumptions'!$D$29="No",W11='Operating Assumptions'!$D$22),"Opening",IF(AND('Operating Assumptions'!$D$29="Yes",W11='Operating Assumptions'!$D$31),"Phase 1",IF(AND('Operating Assumptions'!$D$29="Yes",W11='Operating Assumptions'!$D$33),"Full Opening",IF(AND(W36='Operating Assumptions'!$D$14,V35&gt;0),"Stablized",IF('Monthly CF'!W11&lt;&gt;'Operating Assumptions'!$D$22,"",IF(W35&lt;&gt;-'Operating Assumptions'!$D$25,"",IF(AND(W36&lt;&gt;'Operating Assumptions'!$D$14,V35&lt;=0),""))))))))</f>
        <v/>
      </c>
      <c r="X32" s="68" t="str">
        <f>IF(AND('Operating Assumptions'!$D$25&gt;0,X35=-'Operating Assumptions'!$D$25),"Pre Lease",IF(AND('Operating Assumptions'!$D$29="No",X11='Operating Assumptions'!$D$22),"Opening",IF(AND('Operating Assumptions'!$D$29="Yes",X11='Operating Assumptions'!$D$31),"Phase 1",IF(AND('Operating Assumptions'!$D$29="Yes",X11='Operating Assumptions'!$D$33),"Full Opening",IF(AND(X36='Operating Assumptions'!$D$14,W35&gt;0),"Stablized",IF('Monthly CF'!X11&lt;&gt;'Operating Assumptions'!$D$22,"",IF(X35&lt;&gt;-'Operating Assumptions'!$D$25,"",IF(AND(X36&lt;&gt;'Operating Assumptions'!$D$14,W35&lt;=0),""))))))))</f>
        <v>Pre Lease</v>
      </c>
      <c r="Y32" s="68" t="str">
        <f>IF(AND('Operating Assumptions'!$D$25&gt;0,Y35=-'Operating Assumptions'!$D$25),"Pre Lease",IF(AND('Operating Assumptions'!$D$29="No",Y11='Operating Assumptions'!$D$22),"Opening",IF(AND('Operating Assumptions'!$D$29="Yes",Y11='Operating Assumptions'!$D$31),"Phase 1",IF(AND('Operating Assumptions'!$D$29="Yes",Y11='Operating Assumptions'!$D$33),"Full Opening",IF(AND(Y36='Operating Assumptions'!$D$14,X35&gt;0),"Stablized",IF('Monthly CF'!Y11&lt;&gt;'Operating Assumptions'!$D$22,"",IF(Y35&lt;&gt;-'Operating Assumptions'!$D$25,"",IF(AND(Y36&lt;&gt;'Operating Assumptions'!$D$14,X35&lt;=0),""))))))))</f>
        <v/>
      </c>
      <c r="Z32" s="68" t="str">
        <f>IF(AND('Operating Assumptions'!$D$25&gt;0,Z35=-'Operating Assumptions'!$D$25),"Pre Lease",IF(AND('Operating Assumptions'!$D$29="No",Z11='Operating Assumptions'!$D$22),"Opening",IF(AND('Operating Assumptions'!$D$29="Yes",Z11='Operating Assumptions'!$D$31),"Phase 1",IF(AND('Operating Assumptions'!$D$29="Yes",Z11='Operating Assumptions'!$D$33),"Full Opening",IF(AND(Z36='Operating Assumptions'!$D$14,Y35&gt;0),"Stablized",IF('Monthly CF'!Z11&lt;&gt;'Operating Assumptions'!$D$22,"",IF(Z35&lt;&gt;-'Operating Assumptions'!$D$25,"",IF(AND(Z36&lt;&gt;'Operating Assumptions'!$D$14,Y35&lt;=0),""))))))))</f>
        <v/>
      </c>
      <c r="AA32" s="68" t="str">
        <f>IF(AND('Operating Assumptions'!$D$25&gt;0,AA35=-'Operating Assumptions'!$D$25),"Pre Lease",IF(AND('Operating Assumptions'!$D$29="No",AA11='Operating Assumptions'!$D$22),"Opening",IF(AND('Operating Assumptions'!$D$29="Yes",AA11='Operating Assumptions'!$D$31),"Phase 1",IF(AND('Operating Assumptions'!$D$29="Yes",AA11='Operating Assumptions'!$D$33),"Full Opening",IF(AND(AA36='Operating Assumptions'!$D$14,Z35&gt;0),"Stablized",IF('Monthly CF'!AA11&lt;&gt;'Operating Assumptions'!$D$22,"",IF(AA35&lt;&gt;-'Operating Assumptions'!$D$25,"",IF(AND(AA36&lt;&gt;'Operating Assumptions'!$D$14,Z35&lt;=0),""))))))))</f>
        <v/>
      </c>
      <c r="AB32" s="68" t="str">
        <f>IF(AND('Operating Assumptions'!$D$25&gt;0,AB35=-'Operating Assumptions'!$D$25),"Pre Lease",IF(AND('Operating Assumptions'!$D$29="No",AB11='Operating Assumptions'!$D$22),"Opening",IF(AND('Operating Assumptions'!$D$29="Yes",AB11='Operating Assumptions'!$D$31),"Phase 1",IF(AND('Operating Assumptions'!$D$29="Yes",AB11='Operating Assumptions'!$D$33),"Full Opening",IF(AND(AB36='Operating Assumptions'!$D$14,AA35&gt;0),"Stablized",IF('Monthly CF'!AB11&lt;&gt;'Operating Assumptions'!$D$22,"",IF(AB35&lt;&gt;-'Operating Assumptions'!$D$25,"",IF(AND(AB36&lt;&gt;'Operating Assumptions'!$D$14,AA35&lt;=0),""))))))))</f>
        <v/>
      </c>
      <c r="AC32" s="68" t="str">
        <f>IF(AND('Operating Assumptions'!$D$25&gt;0,AC35=-'Operating Assumptions'!$D$25),"Pre Lease",IF(AND('Operating Assumptions'!$D$29="No",AC11='Operating Assumptions'!$D$22),"Opening",IF(AND('Operating Assumptions'!$D$29="Yes",AC11='Operating Assumptions'!$D$31),"Phase 1",IF(AND('Operating Assumptions'!$D$29="Yes",AC11='Operating Assumptions'!$D$33),"Full Opening",IF(AND(AC36='Operating Assumptions'!$D$14,AB35&gt;0),"Stablized",IF('Monthly CF'!AC11&lt;&gt;'Operating Assumptions'!$D$22,"",IF(AC35&lt;&gt;-'Operating Assumptions'!$D$25,"",IF(AND(AC36&lt;&gt;'Operating Assumptions'!$D$14,AB35&lt;=0),""))))))))</f>
        <v/>
      </c>
      <c r="AD32" s="68" t="str">
        <f>IF(AND('Operating Assumptions'!$D$25&gt;0,AD35=-'Operating Assumptions'!$D$25),"Pre Lease",IF(AND('Operating Assumptions'!$D$29="No",AD11='Operating Assumptions'!$D$22),"Opening",IF(AND('Operating Assumptions'!$D$29="Yes",AD11='Operating Assumptions'!$D$31),"Phase 1",IF(AND('Operating Assumptions'!$D$29="Yes",AD11='Operating Assumptions'!$D$33),"Full Opening",IF(AND(AD36='Operating Assumptions'!$D$14,AC35&gt;0),"Stablized",IF('Monthly CF'!AD11&lt;&gt;'Operating Assumptions'!$D$22,"",IF(AD35&lt;&gt;-'Operating Assumptions'!$D$25,"",IF(AND(AD36&lt;&gt;'Operating Assumptions'!$D$14,AC35&lt;=0),""))))))))</f>
        <v/>
      </c>
      <c r="AE32" s="68" t="str">
        <f>IF(AND('Operating Assumptions'!$D$25&gt;0,AE35=-'Operating Assumptions'!$D$25),"Pre Lease",IF(AND('Operating Assumptions'!$D$29="No",AE11='Operating Assumptions'!$D$22),"Opening",IF(AND('Operating Assumptions'!$D$29="Yes",AE11='Operating Assumptions'!$D$31),"Phase 1",IF(AND('Operating Assumptions'!$D$29="Yes",AE11='Operating Assumptions'!$D$33),"Full Opening",IF(AND(AE36='Operating Assumptions'!$D$14,AD35&gt;0),"Stablized",IF('Monthly CF'!AE11&lt;&gt;'Operating Assumptions'!$D$22,"",IF(AE35&lt;&gt;-'Operating Assumptions'!$D$25,"",IF(AND(AE36&lt;&gt;'Operating Assumptions'!$D$14,AD35&lt;=0),""))))))))</f>
        <v/>
      </c>
      <c r="AF32" s="68" t="str">
        <f>IF(AND('Operating Assumptions'!$D$25&gt;0,AF35=-'Operating Assumptions'!$D$25),"Pre Lease",IF(AND('Operating Assumptions'!$D$29="No",AF11='Operating Assumptions'!$D$22),"Opening",IF(AND('Operating Assumptions'!$D$29="Yes",AF11='Operating Assumptions'!$D$31),"Phase 1",IF(AND('Operating Assumptions'!$D$29="Yes",AF11='Operating Assumptions'!$D$33),"Full Opening",IF(AND(AF36='Operating Assumptions'!$D$14,AE35&gt;0),"Stablized",IF('Monthly CF'!AF11&lt;&gt;'Operating Assumptions'!$D$22,"",IF(AF35&lt;&gt;-'Operating Assumptions'!$D$25,"",IF(AND(AF36&lt;&gt;'Operating Assumptions'!$D$14,AE35&lt;=0),""))))))))</f>
        <v/>
      </c>
      <c r="AG32" s="68" t="str">
        <f>IF(AND('Operating Assumptions'!$D$25&gt;0,AG35=-'Operating Assumptions'!$D$25),"Pre Lease",IF(AND('Operating Assumptions'!$D$29="No",AG11='Operating Assumptions'!$D$22),"Opening",IF(AND('Operating Assumptions'!$D$29="Yes",AG11='Operating Assumptions'!$D$31),"Phase 1",IF(AND('Operating Assumptions'!$D$29="Yes",AG11='Operating Assumptions'!$D$33),"Full Opening",IF(AND(AG36='Operating Assumptions'!$D$14,AF35&gt;0),"Stablized",IF('Monthly CF'!AG11&lt;&gt;'Operating Assumptions'!$D$22,"",IF(AG35&lt;&gt;-'Operating Assumptions'!$D$25,"",IF(AND(AG36&lt;&gt;'Operating Assumptions'!$D$14,AF35&lt;=0),""))))))))</f>
        <v/>
      </c>
      <c r="AH32" s="68" t="str">
        <f>IF(AND('Operating Assumptions'!$D$25&gt;0,AH35=-'Operating Assumptions'!$D$25),"Pre Lease",IF(AND('Operating Assumptions'!$D$29="No",AH11='Operating Assumptions'!$D$22),"Opening",IF(AND('Operating Assumptions'!$D$29="Yes",AH11='Operating Assumptions'!$D$31),"Phase 1",IF(AND('Operating Assumptions'!$D$29="Yes",AH11='Operating Assumptions'!$D$33),"Full Opening",IF(AND(AH36='Operating Assumptions'!$D$14,AG35&gt;0),"Stablized",IF('Monthly CF'!AH11&lt;&gt;'Operating Assumptions'!$D$22,"",IF(AH35&lt;&gt;-'Operating Assumptions'!$D$25,"",IF(AND(AH36&lt;&gt;'Operating Assumptions'!$D$14,AG35&lt;=0),""))))))))</f>
        <v>Full Opening</v>
      </c>
      <c r="AI32" s="68" t="str">
        <f>IF(AND('Operating Assumptions'!$D$25&gt;0,AI35=-'Operating Assumptions'!$D$25),"Pre Lease",IF(AND('Operating Assumptions'!$D$29="No",AI11='Operating Assumptions'!$D$22),"Opening",IF(AND('Operating Assumptions'!$D$29="Yes",AI11='Operating Assumptions'!$D$31),"Phase 1",IF(AND('Operating Assumptions'!$D$29="Yes",AI11='Operating Assumptions'!$D$33),"Full Opening",IF(AND(AI36='Operating Assumptions'!$D$14,AH35&gt;0),"Stablized",IF('Monthly CF'!AI11&lt;&gt;'Operating Assumptions'!$D$22,"",IF(AI35&lt;&gt;-'Operating Assumptions'!$D$25,"",IF(AND(AI36&lt;&gt;'Operating Assumptions'!$D$14,AH35&lt;=0),""))))))))</f>
        <v/>
      </c>
      <c r="AJ32" s="68" t="str">
        <f>IF(AND('Operating Assumptions'!$D$25&gt;0,AJ35=-'Operating Assumptions'!$D$25),"Pre Lease",IF(AND('Operating Assumptions'!$D$29="No",AJ11='Operating Assumptions'!$D$22),"Opening",IF(AND('Operating Assumptions'!$D$29="Yes",AJ11='Operating Assumptions'!$D$31),"Phase 1",IF(AND('Operating Assumptions'!$D$29="Yes",AJ11='Operating Assumptions'!$D$33),"Full Opening",IF(AND(AJ36='Operating Assumptions'!$D$14,AI35&gt;0),"Stablized",IF('Monthly CF'!AJ11&lt;&gt;'Operating Assumptions'!$D$22,"",IF(AJ35&lt;&gt;-'Operating Assumptions'!$D$25,"",IF(AND(AJ36&lt;&gt;'Operating Assumptions'!$D$14,AI35&lt;=0),""))))))))</f>
        <v/>
      </c>
      <c r="AK32" s="68" t="str">
        <f>IF(AND('Operating Assumptions'!$D$25&gt;0,AK35=-'Operating Assumptions'!$D$25),"Pre Lease",IF(AND('Operating Assumptions'!$D$29="No",AK11='Operating Assumptions'!$D$22),"Opening",IF(AND('Operating Assumptions'!$D$29="Yes",AK11='Operating Assumptions'!$D$31),"Phase 1",IF(AND('Operating Assumptions'!$D$29="Yes",AK11='Operating Assumptions'!$D$33),"Full Opening",IF(AND(AK36='Operating Assumptions'!$D$14,AJ35&gt;0),"Stablized",IF('Monthly CF'!AK11&lt;&gt;'Operating Assumptions'!$D$22,"",IF(AK35&lt;&gt;-'Operating Assumptions'!$D$25,"",IF(AND(AK36&lt;&gt;'Operating Assumptions'!$D$14,AJ35&lt;=0),""))))))))</f>
        <v/>
      </c>
      <c r="AL32" s="68" t="str">
        <f>IF(AND('Operating Assumptions'!$D$25&gt;0,AL35=-'Operating Assumptions'!$D$25),"Pre Lease",IF(AND('Operating Assumptions'!$D$29="No",AL11='Operating Assumptions'!$D$22),"Opening",IF(AND('Operating Assumptions'!$D$29="Yes",AL11='Operating Assumptions'!$D$31),"Phase 1",IF(AND('Operating Assumptions'!$D$29="Yes",AL11='Operating Assumptions'!$D$33),"Full Opening",IF(AND(AL36='Operating Assumptions'!$D$14,AK35&gt;0),"Stablized",IF('Monthly CF'!AL11&lt;&gt;'Operating Assumptions'!$D$22,"",IF(AL35&lt;&gt;-'Operating Assumptions'!$D$25,"",IF(AND(AL36&lt;&gt;'Operating Assumptions'!$D$14,AK35&lt;=0),""))))))))</f>
        <v/>
      </c>
      <c r="AM32" s="68" t="str">
        <f>IF(AND('Operating Assumptions'!$D$25&gt;0,AM35=-'Operating Assumptions'!$D$25),"Pre Lease",IF(AND('Operating Assumptions'!$D$29="No",AM11='Operating Assumptions'!$D$22),"Opening",IF(AND('Operating Assumptions'!$D$29="Yes",AM11='Operating Assumptions'!$D$31),"Phase 1",IF(AND('Operating Assumptions'!$D$29="Yes",AM11='Operating Assumptions'!$D$33),"Full Opening",IF(AND(AM36='Operating Assumptions'!$D$14,AL35&gt;0),"Stablized",IF('Monthly CF'!AM11&lt;&gt;'Operating Assumptions'!$D$22,"",IF(AM35&lt;&gt;-'Operating Assumptions'!$D$25,"",IF(AND(AM36&lt;&gt;'Operating Assumptions'!$D$14,AL35&lt;=0),""))))))))</f>
        <v>Stablized</v>
      </c>
      <c r="AN32" s="68" t="str">
        <f>IF(AND('Operating Assumptions'!$D$25&gt;0,AN35=-'Operating Assumptions'!$D$25),"Pre Lease",IF(AND('Operating Assumptions'!$D$29="No",AN11='Operating Assumptions'!$D$22),"Opening",IF(AND('Operating Assumptions'!$D$29="Yes",AN11='Operating Assumptions'!$D$31),"Phase 1",IF(AND('Operating Assumptions'!$D$29="Yes",AN11='Operating Assumptions'!$D$33),"Full Opening",IF(AND(AN36='Operating Assumptions'!$D$14,AM35&gt;0),"Stablized",IF('Monthly CF'!AN11&lt;&gt;'Operating Assumptions'!$D$22,"",IF(AN35&lt;&gt;-'Operating Assumptions'!$D$25,"",IF(AND(AN36&lt;&gt;'Operating Assumptions'!$D$14,AM35&lt;=0),""))))))))</f>
        <v/>
      </c>
      <c r="AO32" s="68" t="str">
        <f>IF(AND('Operating Assumptions'!$D$25&gt;0,AO35=-'Operating Assumptions'!$D$25),"Pre Lease",IF(AND('Operating Assumptions'!$D$29="No",AO11='Operating Assumptions'!$D$22),"Opening",IF(AND('Operating Assumptions'!$D$29="Yes",AO11='Operating Assumptions'!$D$31),"Phase 1",IF(AND('Operating Assumptions'!$D$29="Yes",AO11='Operating Assumptions'!$D$33),"Full Opening",IF(AND(AO36='Operating Assumptions'!$D$14,AN35&gt;0),"Stablized",IF('Monthly CF'!AO11&lt;&gt;'Operating Assumptions'!$D$22,"",IF(AO35&lt;&gt;-'Operating Assumptions'!$D$25,"",IF(AND(AO36&lt;&gt;'Operating Assumptions'!$D$14,AN35&lt;=0),""))))))))</f>
        <v/>
      </c>
      <c r="AP32" s="68" t="str">
        <f>IF(AND('Operating Assumptions'!$D$25&gt;0,AP35=-'Operating Assumptions'!$D$25),"Pre Lease",IF(AND('Operating Assumptions'!$D$29="No",AP11='Operating Assumptions'!$D$22),"Opening",IF(AND('Operating Assumptions'!$D$29="Yes",AP11='Operating Assumptions'!$D$31),"Phase 1",IF(AND('Operating Assumptions'!$D$29="Yes",AP11='Operating Assumptions'!$D$33),"Full Opening",IF(AND(AP36='Operating Assumptions'!$D$14,AO35&gt;0),"Stablized",IF('Monthly CF'!AP11&lt;&gt;'Operating Assumptions'!$D$22,"",IF(AP35&lt;&gt;-'Operating Assumptions'!$D$25,"",IF(AND(AP36&lt;&gt;'Operating Assumptions'!$D$14,AO35&lt;=0),""))))))))</f>
        <v/>
      </c>
      <c r="AQ32" s="68" t="str">
        <f>IF(AND('Operating Assumptions'!$D$25&gt;0,AQ35=-'Operating Assumptions'!$D$25),"Pre Lease",IF(AND('Operating Assumptions'!$D$29="No",AQ11='Operating Assumptions'!$D$22),"Opening",IF(AND('Operating Assumptions'!$D$29="Yes",AQ11='Operating Assumptions'!$D$31),"Phase 1",IF(AND('Operating Assumptions'!$D$29="Yes",AQ11='Operating Assumptions'!$D$33),"Full Opening",IF(AND(AQ36='Operating Assumptions'!$D$14,AP35&gt;0),"Stablized",IF('Monthly CF'!AQ11&lt;&gt;'Operating Assumptions'!$D$22,"",IF(AQ35&lt;&gt;-'Operating Assumptions'!$D$25,"",IF(AND(AQ36&lt;&gt;'Operating Assumptions'!$D$14,AP35&lt;=0),""))))))))</f>
        <v/>
      </c>
      <c r="AR32" s="68" t="str">
        <f>IF(AND('Operating Assumptions'!$D$25&gt;0,AR35=-'Operating Assumptions'!$D$25),"Pre Lease",IF(AND('Operating Assumptions'!$D$29="No",AR11='Operating Assumptions'!$D$22),"Opening",IF(AND('Operating Assumptions'!$D$29="Yes",AR11='Operating Assumptions'!$D$31),"Phase 1",IF(AND('Operating Assumptions'!$D$29="Yes",AR11='Operating Assumptions'!$D$33),"Full Opening",IF(AND(AR36='Operating Assumptions'!$D$14,AQ35&gt;0),"Stablized",IF('Monthly CF'!AR11&lt;&gt;'Operating Assumptions'!$D$22,"",IF(AR35&lt;&gt;-'Operating Assumptions'!$D$25,"",IF(AND(AR36&lt;&gt;'Operating Assumptions'!$D$14,AQ35&lt;=0),""))))))))</f>
        <v/>
      </c>
      <c r="AS32" s="68" t="str">
        <f>IF(AND('Operating Assumptions'!$D$25&gt;0,AS35=-'Operating Assumptions'!$D$25),"Pre Lease",IF(AND('Operating Assumptions'!$D$29="No",AS11='Operating Assumptions'!$D$22),"Opening",IF(AND('Operating Assumptions'!$D$29="Yes",AS11='Operating Assumptions'!$D$31),"Phase 1",IF(AND('Operating Assumptions'!$D$29="Yes",AS11='Operating Assumptions'!$D$33),"Full Opening",IF(AND(AS36='Operating Assumptions'!$D$14,AR35&gt;0),"Stablized",IF('Monthly CF'!AS11&lt;&gt;'Operating Assumptions'!$D$22,"",IF(AS35&lt;&gt;-'Operating Assumptions'!$D$25,"",IF(AND(AS36&lt;&gt;'Operating Assumptions'!$D$14,AR35&lt;=0),""))))))))</f>
        <v/>
      </c>
      <c r="AT32" s="68" t="str">
        <f>IF(AND('Operating Assumptions'!$D$25&gt;0,AT35=-'Operating Assumptions'!$D$25),"Pre Lease",IF(AND('Operating Assumptions'!$D$29="No",AT11='Operating Assumptions'!$D$22),"Opening",IF(AND('Operating Assumptions'!$D$29="Yes",AT11='Operating Assumptions'!$D$31),"Phase 1",IF(AND('Operating Assumptions'!$D$29="Yes",AT11='Operating Assumptions'!$D$33),"Full Opening",IF(AND(AT36='Operating Assumptions'!$D$14,AS35&gt;0),"Stablized",IF('Monthly CF'!AT11&lt;&gt;'Operating Assumptions'!$D$22,"",IF(AT35&lt;&gt;-'Operating Assumptions'!$D$25,"",IF(AND(AT36&lt;&gt;'Operating Assumptions'!$D$14,AS35&lt;=0),""))))))))</f>
        <v/>
      </c>
      <c r="AU32" s="68" t="str">
        <f>IF(AND('Operating Assumptions'!$D$25&gt;0,AU35=-'Operating Assumptions'!$D$25),"Pre Lease",IF(AND('Operating Assumptions'!$D$29="No",AU11='Operating Assumptions'!$D$22),"Opening",IF(AND('Operating Assumptions'!$D$29="Yes",AU11='Operating Assumptions'!$D$31),"Phase 1",IF(AND('Operating Assumptions'!$D$29="Yes",AU11='Operating Assumptions'!$D$33),"Full Opening",IF(AND(AU36='Operating Assumptions'!$D$14,AT35&gt;0),"Stablized",IF('Monthly CF'!AU11&lt;&gt;'Operating Assumptions'!$D$22,"",IF(AU35&lt;&gt;-'Operating Assumptions'!$D$25,"",IF(AND(AU36&lt;&gt;'Operating Assumptions'!$D$14,AT35&lt;=0),""))))))))</f>
        <v/>
      </c>
      <c r="AV32" s="68" t="str">
        <f>IF(AND('Operating Assumptions'!$D$25&gt;0,AV35=-'Operating Assumptions'!$D$25),"Pre Lease",IF(AND('Operating Assumptions'!$D$29="No",AV11='Operating Assumptions'!$D$22),"Opening",IF(AND('Operating Assumptions'!$D$29="Yes",AV11='Operating Assumptions'!$D$31),"Phase 1",IF(AND('Operating Assumptions'!$D$29="Yes",AV11='Operating Assumptions'!$D$33),"Full Opening",IF(AND(AV36='Operating Assumptions'!$D$14,AU35&gt;0),"Stablized",IF('Monthly CF'!AV11&lt;&gt;'Operating Assumptions'!$D$22,"",IF(AV35&lt;&gt;-'Operating Assumptions'!$D$25,"",IF(AND(AV36&lt;&gt;'Operating Assumptions'!$D$14,AU35&lt;=0),""))))))))</f>
        <v/>
      </c>
      <c r="AW32" s="68" t="str">
        <f>IF(AND('Operating Assumptions'!$D$25&gt;0,AW35=-'Operating Assumptions'!$D$25),"Pre Lease",IF(AND('Operating Assumptions'!$D$29="No",AW11='Operating Assumptions'!$D$22),"Opening",IF(AND('Operating Assumptions'!$D$29="Yes",AW11='Operating Assumptions'!$D$31),"Phase 1",IF(AND('Operating Assumptions'!$D$29="Yes",AW11='Operating Assumptions'!$D$33),"Full Opening",IF(AND(AW36='Operating Assumptions'!$D$14,AV35&gt;0),"Stablized",IF('Monthly CF'!AW11&lt;&gt;'Operating Assumptions'!$D$22,"",IF(AW35&lt;&gt;-'Operating Assumptions'!$D$25,"",IF(AND(AW36&lt;&gt;'Operating Assumptions'!$D$14,AV35&lt;=0),""))))))))</f>
        <v/>
      </c>
      <c r="AX32" s="68" t="str">
        <f>IF(AND('Operating Assumptions'!$D$25&gt;0,AX35=-'Operating Assumptions'!$D$25),"Pre Lease",IF(AND('Operating Assumptions'!$D$29="No",AX11='Operating Assumptions'!$D$22),"Opening",IF(AND('Operating Assumptions'!$D$29="Yes",AX11='Operating Assumptions'!$D$31),"Phase 1",IF(AND('Operating Assumptions'!$D$29="Yes",AX11='Operating Assumptions'!$D$33),"Full Opening",IF(AND(AX36='Operating Assumptions'!$D$14,AW35&gt;0),"Stablized",IF('Monthly CF'!AX11&lt;&gt;'Operating Assumptions'!$D$22,"",IF(AX35&lt;&gt;-'Operating Assumptions'!$D$25,"",IF(AND(AX36&lt;&gt;'Operating Assumptions'!$D$14,AW35&lt;=0),""))))))))</f>
        <v/>
      </c>
      <c r="AY32" s="68" t="str">
        <f>IF(AND('Operating Assumptions'!$D$25&gt;0,AY35=-'Operating Assumptions'!$D$25),"Pre Lease",IF(AND('Operating Assumptions'!$D$29="No",AY11='Operating Assumptions'!$D$22),"Opening",IF(AND('Operating Assumptions'!$D$29="Yes",AY11='Operating Assumptions'!$D$31),"Phase 1",IF(AND('Operating Assumptions'!$D$29="Yes",AY11='Operating Assumptions'!$D$33),"Full Opening",IF(AND(AY36='Operating Assumptions'!$D$14,AX35&gt;0),"Stablized",IF('Monthly CF'!AY11&lt;&gt;'Operating Assumptions'!$D$22,"",IF(AY35&lt;&gt;-'Operating Assumptions'!$D$25,"",IF(AND(AY36&lt;&gt;'Operating Assumptions'!$D$14,AX35&lt;=0),""))))))))</f>
        <v/>
      </c>
      <c r="AZ32" s="68" t="str">
        <f>IF(AND('Operating Assumptions'!$D$25&gt;0,AZ35=-'Operating Assumptions'!$D$25),"Pre Lease",IF(AND('Operating Assumptions'!$D$29="No",AZ11='Operating Assumptions'!$D$22),"Opening",IF(AND('Operating Assumptions'!$D$29="Yes",AZ11='Operating Assumptions'!$D$31),"Phase 1",IF(AND('Operating Assumptions'!$D$29="Yes",AZ11='Operating Assumptions'!$D$33),"Full Opening",IF(AND(AZ36='Operating Assumptions'!$D$14,AY35&gt;0),"Stablized",IF('Monthly CF'!AZ11&lt;&gt;'Operating Assumptions'!$D$22,"",IF(AZ35&lt;&gt;-'Operating Assumptions'!$D$25,"",IF(AND(AZ36&lt;&gt;'Operating Assumptions'!$D$14,AY35&lt;=0),""))))))))</f>
        <v/>
      </c>
      <c r="BA32" s="68" t="str">
        <f>IF(AND('Operating Assumptions'!$D$25&gt;0,BA35=-'Operating Assumptions'!$D$25),"Pre Lease",IF(AND('Operating Assumptions'!$D$29="No",BA11='Operating Assumptions'!$D$22),"Opening",IF(AND('Operating Assumptions'!$D$29="Yes",BA11='Operating Assumptions'!$D$31),"Phase 1",IF(AND('Operating Assumptions'!$D$29="Yes",BA11='Operating Assumptions'!$D$33),"Full Opening",IF(AND(BA36='Operating Assumptions'!$D$14,AZ35&gt;0),"Stablized",IF('Monthly CF'!BA11&lt;&gt;'Operating Assumptions'!$D$22,"",IF(BA35&lt;&gt;-'Operating Assumptions'!$D$25,"",IF(AND(BA36&lt;&gt;'Operating Assumptions'!$D$14,AZ35&lt;=0),""))))))))</f>
        <v/>
      </c>
      <c r="BB32" s="68" t="str">
        <f>IF(AND('Operating Assumptions'!$D$25&gt;0,BB35=-'Operating Assumptions'!$D$25),"Pre Lease",IF(AND('Operating Assumptions'!$D$29="No",BB11='Operating Assumptions'!$D$22),"Opening",IF(AND('Operating Assumptions'!$D$29="Yes",BB11='Operating Assumptions'!$D$31),"Phase 1",IF(AND('Operating Assumptions'!$D$29="Yes",BB11='Operating Assumptions'!$D$33),"Full Opening",IF(AND(BB36='Operating Assumptions'!$D$14,BA35&gt;0),"Stablized",IF('Monthly CF'!BB11&lt;&gt;'Operating Assumptions'!$D$22,"",IF(BB35&lt;&gt;-'Operating Assumptions'!$D$25,"",IF(AND(BB36&lt;&gt;'Operating Assumptions'!$D$14,BA35&lt;=0),""))))))))</f>
        <v/>
      </c>
      <c r="BC32" s="68" t="str">
        <f>IF(AND('Operating Assumptions'!$D$25&gt;0,BC35=-'Operating Assumptions'!$D$25),"Pre Lease",IF(AND('Operating Assumptions'!$D$29="No",BC11='Operating Assumptions'!$D$22),"Opening",IF(AND('Operating Assumptions'!$D$29="Yes",BC11='Operating Assumptions'!$D$31),"Phase 1",IF(AND('Operating Assumptions'!$D$29="Yes",BC11='Operating Assumptions'!$D$33),"Full Opening",IF(AND(BC36='Operating Assumptions'!$D$14,BB35&gt;0),"Stablized",IF('Monthly CF'!BC11&lt;&gt;'Operating Assumptions'!$D$22,"",IF(BC35&lt;&gt;-'Operating Assumptions'!$D$25,"",IF(AND(BC36&lt;&gt;'Operating Assumptions'!$D$14,BB35&lt;=0),""))))))))</f>
        <v/>
      </c>
      <c r="BD32" s="68" t="str">
        <f>IF(AND('Operating Assumptions'!$D$25&gt;0,BD35=-'Operating Assumptions'!$D$25),"Pre Lease",IF(AND('Operating Assumptions'!$D$29="No",BD11='Operating Assumptions'!$D$22),"Opening",IF(AND('Operating Assumptions'!$D$29="Yes",BD11='Operating Assumptions'!$D$31),"Phase 1",IF(AND('Operating Assumptions'!$D$29="Yes",BD11='Operating Assumptions'!$D$33),"Full Opening",IF(AND(BD36='Operating Assumptions'!$D$14,BC35&gt;0),"Stablized",IF('Monthly CF'!BD11&lt;&gt;'Operating Assumptions'!$D$22,"",IF(BD35&lt;&gt;-'Operating Assumptions'!$D$25,"",IF(AND(BD36&lt;&gt;'Operating Assumptions'!$D$14,BC35&lt;=0),""))))))))</f>
        <v/>
      </c>
      <c r="BE32" s="68" t="str">
        <f>IF(AND('Operating Assumptions'!$D$25&gt;0,BE35=-'Operating Assumptions'!$D$25),"Pre Lease",IF(AND('Operating Assumptions'!$D$29="No",BE11='Operating Assumptions'!$D$22),"Opening",IF(AND('Operating Assumptions'!$D$29="Yes",BE11='Operating Assumptions'!$D$31),"Phase 1",IF(AND('Operating Assumptions'!$D$29="Yes",BE11='Operating Assumptions'!$D$33),"Full Opening",IF(AND(BE36='Operating Assumptions'!$D$14,BD35&gt;0),"Stablized",IF('Monthly CF'!BE11&lt;&gt;'Operating Assumptions'!$D$22,"",IF(BE35&lt;&gt;-'Operating Assumptions'!$D$25,"",IF(AND(BE36&lt;&gt;'Operating Assumptions'!$D$14,BD35&lt;=0),""))))))))</f>
        <v/>
      </c>
      <c r="BF32" s="68" t="str">
        <f>IF(AND('Operating Assumptions'!$D$25&gt;0,BF35=-'Operating Assumptions'!$D$25),"Pre Lease",IF(AND('Operating Assumptions'!$D$29="No",BF11='Operating Assumptions'!$D$22),"Opening",IF(AND('Operating Assumptions'!$D$29="Yes",BF11='Operating Assumptions'!$D$31),"Phase 1",IF(AND('Operating Assumptions'!$D$29="Yes",BF11='Operating Assumptions'!$D$33),"Full Opening",IF(AND(BF36='Operating Assumptions'!$D$14,BE35&gt;0),"Stablized",IF('Monthly CF'!BF11&lt;&gt;'Operating Assumptions'!$D$22,"",IF(BF35&lt;&gt;-'Operating Assumptions'!$D$25,"",IF(AND(BF36&lt;&gt;'Operating Assumptions'!$D$14,BE35&lt;=0),""))))))))</f>
        <v/>
      </c>
      <c r="BG32" s="68" t="str">
        <f>IF(AND('Operating Assumptions'!$D$25&gt;0,BG35=-'Operating Assumptions'!$D$25),"Pre Lease",IF(AND('Operating Assumptions'!$D$29="No",BG11='Operating Assumptions'!$D$22),"Opening",IF(AND('Operating Assumptions'!$D$29="Yes",BG11='Operating Assumptions'!$D$31),"Phase 1",IF(AND('Operating Assumptions'!$D$29="Yes",BG11='Operating Assumptions'!$D$33),"Full Opening",IF(AND(BG36='Operating Assumptions'!$D$14,BF35&gt;0),"Stablized",IF('Monthly CF'!BG11&lt;&gt;'Operating Assumptions'!$D$22,"",IF(BG35&lt;&gt;-'Operating Assumptions'!$D$25,"",IF(AND(BG36&lt;&gt;'Operating Assumptions'!$D$14,BF35&lt;=0),""))))))))</f>
        <v/>
      </c>
      <c r="BH32" s="68" t="str">
        <f>IF(AND('Operating Assumptions'!$D$25&gt;0,BH35=-'Operating Assumptions'!$D$25),"Pre Lease",IF(AND('Operating Assumptions'!$D$29="No",BH11='Operating Assumptions'!$D$22),"Opening",IF(AND('Operating Assumptions'!$D$29="Yes",BH11='Operating Assumptions'!$D$31),"Phase 1",IF(AND('Operating Assumptions'!$D$29="Yes",BH11='Operating Assumptions'!$D$33),"Full Opening",IF(AND(BH36='Operating Assumptions'!$D$14,BG35&gt;0),"Stablized",IF('Monthly CF'!BH11&lt;&gt;'Operating Assumptions'!$D$22,"",IF(BH35&lt;&gt;-'Operating Assumptions'!$D$25,"",IF(AND(BH36&lt;&gt;'Operating Assumptions'!$D$14,BG35&lt;=0),""))))))))</f>
        <v/>
      </c>
      <c r="BI32" s="68" t="str">
        <f>IF(AND('Operating Assumptions'!$D$25&gt;0,BI35=-'Operating Assumptions'!$D$25),"Pre Lease",IF(AND('Operating Assumptions'!$D$29="No",BI11='Operating Assumptions'!$D$22),"Opening",IF(AND('Operating Assumptions'!$D$29="Yes",BI11='Operating Assumptions'!$D$31),"Phase 1",IF(AND('Operating Assumptions'!$D$29="Yes",BI11='Operating Assumptions'!$D$33),"Full Opening",IF(AND(BI36='Operating Assumptions'!$D$14,BH35&gt;0),"Stablized",IF('Monthly CF'!BI11&lt;&gt;'Operating Assumptions'!$D$22,"",IF(BI35&lt;&gt;-'Operating Assumptions'!$D$25,"",IF(AND(BI36&lt;&gt;'Operating Assumptions'!$D$14,BH35&lt;=0),""))))))))</f>
        <v/>
      </c>
      <c r="BJ32" s="68" t="str">
        <f>IF(AND('Operating Assumptions'!$D$25&gt;0,BJ35=-'Operating Assumptions'!$D$25),"Pre Lease",IF(AND('Operating Assumptions'!$D$29="No",BJ11='Operating Assumptions'!$D$22),"Opening",IF(AND('Operating Assumptions'!$D$29="Yes",BJ11='Operating Assumptions'!$D$31),"Phase 1",IF(AND('Operating Assumptions'!$D$29="Yes",BJ11='Operating Assumptions'!$D$33),"Full Opening",IF(AND(BJ36='Operating Assumptions'!$D$14,BI35&gt;0),"Stablized",IF('Monthly CF'!BJ11&lt;&gt;'Operating Assumptions'!$D$22,"",IF(BJ35&lt;&gt;-'Operating Assumptions'!$D$25,"",IF(AND(BJ36&lt;&gt;'Operating Assumptions'!$D$14,BI35&lt;=0),""))))))))</f>
        <v/>
      </c>
      <c r="BK32" s="68" t="str">
        <f>IF(AND('Operating Assumptions'!$D$25&gt;0,BK35=-'Operating Assumptions'!$D$25),"Pre Lease",IF(AND('Operating Assumptions'!$D$29="No",BK11='Operating Assumptions'!$D$22),"Opening",IF(AND('Operating Assumptions'!$D$29="Yes",BK11='Operating Assumptions'!$D$31),"Phase 1",IF(AND('Operating Assumptions'!$D$29="Yes",BK11='Operating Assumptions'!$D$33),"Full Opening",IF(AND(BK36='Operating Assumptions'!$D$14,BJ35&gt;0),"Stablized",IF('Monthly CF'!BK11&lt;&gt;'Operating Assumptions'!$D$22,"",IF(BK35&lt;&gt;-'Operating Assumptions'!$D$25,"",IF(AND(BK36&lt;&gt;'Operating Assumptions'!$D$14,BJ35&lt;=0),""))))))))</f>
        <v/>
      </c>
      <c r="BL32" s="68" t="str">
        <f>IF(AND('Operating Assumptions'!$D$25&gt;0,BL35=-'Operating Assumptions'!$D$25),"Pre Lease",IF(AND('Operating Assumptions'!$D$29="No",BL11='Operating Assumptions'!$D$22),"Opening",IF(AND('Operating Assumptions'!$D$29="Yes",BL11='Operating Assumptions'!$D$31),"Phase 1",IF(AND('Operating Assumptions'!$D$29="Yes",BL11='Operating Assumptions'!$D$33),"Full Opening",IF(AND(BL36='Operating Assumptions'!$D$14,BK35&gt;0),"Stablized",IF('Monthly CF'!BL11&lt;&gt;'Operating Assumptions'!$D$22,"",IF(BL35&lt;&gt;-'Operating Assumptions'!$D$25,"",IF(AND(BL36&lt;&gt;'Operating Assumptions'!$D$14,BK35&lt;=0),""))))))))</f>
        <v/>
      </c>
      <c r="BM32" s="68" t="str">
        <f>IF(AND('Operating Assumptions'!$D$25&gt;0,BM35=-'Operating Assumptions'!$D$25),"Pre Lease",IF(AND('Operating Assumptions'!$D$29="No",BM11='Operating Assumptions'!$D$22),"Opening",IF(AND('Operating Assumptions'!$D$29="Yes",BM11='Operating Assumptions'!$D$31),"Phase 1",IF(AND('Operating Assumptions'!$D$29="Yes",BM11='Operating Assumptions'!$D$33),"Full Opening",IF(AND(BM36='Operating Assumptions'!$D$14,BL35&gt;0),"Stablized",IF('Monthly CF'!BM11&lt;&gt;'Operating Assumptions'!$D$22,"",IF(BM35&lt;&gt;-'Operating Assumptions'!$D$25,"",IF(AND(BM36&lt;&gt;'Operating Assumptions'!$D$14,BL35&lt;=0),""))))))))</f>
        <v/>
      </c>
      <c r="BN32" s="68" t="str">
        <f>IF(AND('Operating Assumptions'!$D$25&gt;0,BN35=-'Operating Assumptions'!$D$25),"Pre Lease",IF(AND('Operating Assumptions'!$D$29="No",BN11='Operating Assumptions'!$D$22),"Opening",IF(AND('Operating Assumptions'!$D$29="Yes",BN11='Operating Assumptions'!$D$31),"Phase 1",IF(AND('Operating Assumptions'!$D$29="Yes",BN11='Operating Assumptions'!$D$33),"Full Opening",IF(AND(BN36='Operating Assumptions'!$D$14,BM35&gt;0),"Stablized",IF('Monthly CF'!BN11&lt;&gt;'Operating Assumptions'!$D$22,"",IF(BN35&lt;&gt;-'Operating Assumptions'!$D$25,"",IF(AND(BN36&lt;&gt;'Operating Assumptions'!$D$14,BM35&lt;=0),""))))))))</f>
        <v/>
      </c>
      <c r="BO32" s="68" t="str">
        <f>IF(AND('Operating Assumptions'!$D$25&gt;0,BO35=-'Operating Assumptions'!$D$25),"Pre Lease",IF(AND('Operating Assumptions'!$D$29="No",BO11='Operating Assumptions'!$D$22),"Opening",IF(AND('Operating Assumptions'!$D$29="Yes",BO11='Operating Assumptions'!$D$31),"Phase 1",IF(AND('Operating Assumptions'!$D$29="Yes",BO11='Operating Assumptions'!$D$33),"Full Opening",IF(AND(BO36='Operating Assumptions'!$D$14,BN35&gt;0),"Stablized",IF('Monthly CF'!BO11&lt;&gt;'Operating Assumptions'!$D$22,"",IF(BO35&lt;&gt;-'Operating Assumptions'!$D$25,"",IF(AND(BO36&lt;&gt;'Operating Assumptions'!$D$14,BN35&lt;=0),""))))))))</f>
        <v/>
      </c>
      <c r="BP32" s="68" t="str">
        <f>IF(AND('Operating Assumptions'!$D$25&gt;0,BP35=-'Operating Assumptions'!$D$25),"Pre Lease",IF(AND('Operating Assumptions'!$D$29="No",BP11='Operating Assumptions'!$D$22),"Opening",IF(AND('Operating Assumptions'!$D$29="Yes",BP11='Operating Assumptions'!$D$31),"Phase 1",IF(AND('Operating Assumptions'!$D$29="Yes",BP11='Operating Assumptions'!$D$33),"Full Opening",IF(AND(BP36='Operating Assumptions'!$D$14,BO35&gt;0),"Stablized",IF('Monthly CF'!BP11&lt;&gt;'Operating Assumptions'!$D$22,"",IF(BP35&lt;&gt;-'Operating Assumptions'!$D$25,"",IF(AND(BP36&lt;&gt;'Operating Assumptions'!$D$14,BO35&lt;=0),""))))))))</f>
        <v/>
      </c>
      <c r="BQ32" s="68" t="str">
        <f>IF(AND('Operating Assumptions'!$D$25&gt;0,BQ35=-'Operating Assumptions'!$D$25),"Pre Lease",IF(AND('Operating Assumptions'!$D$29="No",BQ11='Operating Assumptions'!$D$22),"Opening",IF(AND('Operating Assumptions'!$D$29="Yes",BQ11='Operating Assumptions'!$D$31),"Phase 1",IF(AND('Operating Assumptions'!$D$29="Yes",BQ11='Operating Assumptions'!$D$33),"Full Opening",IF(AND(BQ36='Operating Assumptions'!$D$14,BP35&gt;0),"Stablized",IF('Monthly CF'!BQ11&lt;&gt;'Operating Assumptions'!$D$22,"",IF(BQ35&lt;&gt;-'Operating Assumptions'!$D$25,"",IF(AND(BQ36&lt;&gt;'Operating Assumptions'!$D$14,BP35&lt;=0),""))))))))</f>
        <v/>
      </c>
      <c r="BR32" s="68" t="str">
        <f>IF(AND('Operating Assumptions'!$D$25&gt;0,BR35=-'Operating Assumptions'!$D$25),"Pre Lease",IF(AND('Operating Assumptions'!$D$29="No",BR11='Operating Assumptions'!$D$22),"Opening",IF(AND('Operating Assumptions'!$D$29="Yes",BR11='Operating Assumptions'!$D$31),"Phase 1",IF(AND('Operating Assumptions'!$D$29="Yes",BR11='Operating Assumptions'!$D$33),"Full Opening",IF(AND(BR36='Operating Assumptions'!$D$14,BQ35&gt;0),"Stablized",IF('Monthly CF'!BR11&lt;&gt;'Operating Assumptions'!$D$22,"",IF(BR35&lt;&gt;-'Operating Assumptions'!$D$25,"",IF(AND(BR36&lt;&gt;'Operating Assumptions'!$D$14,BQ35&lt;=0),""))))))))</f>
        <v/>
      </c>
      <c r="BS32" s="68" t="str">
        <f>IF(AND('Operating Assumptions'!$D$25&gt;0,BS35=-'Operating Assumptions'!$D$25),"Pre Lease",IF(AND('Operating Assumptions'!$D$29="No",BS11='Operating Assumptions'!$D$22),"Opening",IF(AND('Operating Assumptions'!$D$29="Yes",BS11='Operating Assumptions'!$D$31),"Phase 1",IF(AND('Operating Assumptions'!$D$29="Yes",BS11='Operating Assumptions'!$D$33),"Full Opening",IF(AND(BS36='Operating Assumptions'!$D$14,BR35&gt;0),"Stablized",IF('Monthly CF'!BS11&lt;&gt;'Operating Assumptions'!$D$22,"",IF(BS35&lt;&gt;-'Operating Assumptions'!$D$25,"",IF(AND(BS36&lt;&gt;'Operating Assumptions'!$D$14,BR35&lt;=0),""))))))))</f>
        <v/>
      </c>
      <c r="BT32" s="68" t="str">
        <f>IF(AND('Operating Assumptions'!$D$25&gt;0,BT35=-'Operating Assumptions'!$D$25),"Pre Lease",IF(AND('Operating Assumptions'!$D$29="No",BT11='Operating Assumptions'!$D$22),"Opening",IF(AND('Operating Assumptions'!$D$29="Yes",BT11='Operating Assumptions'!$D$31),"Phase 1",IF(AND('Operating Assumptions'!$D$29="Yes",BT11='Operating Assumptions'!$D$33),"Full Opening",IF(AND(BT36='Operating Assumptions'!$D$14,BS35&gt;0),"Stablized",IF('Monthly CF'!BT11&lt;&gt;'Operating Assumptions'!$D$22,"",IF(BT35&lt;&gt;-'Operating Assumptions'!$D$25,"",IF(AND(BT36&lt;&gt;'Operating Assumptions'!$D$14,BS35&lt;=0),""))))))))</f>
        <v/>
      </c>
      <c r="BU32" s="68" t="str">
        <f>IF(AND('Operating Assumptions'!$D$25&gt;0,BU35=-'Operating Assumptions'!$D$25),"Pre Lease",IF(AND('Operating Assumptions'!$D$29="No",BU11='Operating Assumptions'!$D$22),"Opening",IF(AND('Operating Assumptions'!$D$29="Yes",BU11='Operating Assumptions'!$D$31),"Phase 1",IF(AND('Operating Assumptions'!$D$29="Yes",BU11='Operating Assumptions'!$D$33),"Full Opening",IF(AND(BU36='Operating Assumptions'!$D$14,BT35&gt;0),"Stablized",IF('Monthly CF'!BU11&lt;&gt;'Operating Assumptions'!$D$22,"",IF(BU35&lt;&gt;-'Operating Assumptions'!$D$25,"",IF(AND(BU36&lt;&gt;'Operating Assumptions'!$D$14,BT35&lt;=0),""))))))))</f>
        <v/>
      </c>
      <c r="BV32" s="68" t="str">
        <f>IF(AND('Operating Assumptions'!$D$25&gt;0,BV35=-'Operating Assumptions'!$D$25),"Pre Lease",IF(AND('Operating Assumptions'!$D$29="No",BV11='Operating Assumptions'!$D$22),"Opening",IF(AND('Operating Assumptions'!$D$29="Yes",BV11='Operating Assumptions'!$D$31),"Phase 1",IF(AND('Operating Assumptions'!$D$29="Yes",BV11='Operating Assumptions'!$D$33),"Full Opening",IF(AND(BV36='Operating Assumptions'!$D$14,BU35&gt;0),"Stablized",IF('Monthly CF'!BV11&lt;&gt;'Operating Assumptions'!$D$22,"",IF(BV35&lt;&gt;-'Operating Assumptions'!$D$25,"",IF(AND(BV36&lt;&gt;'Operating Assumptions'!$D$14,BU35&lt;=0),""))))))))</f>
        <v/>
      </c>
      <c r="BW32" s="68" t="str">
        <f>IF(AND('Operating Assumptions'!$D$25&gt;0,BW35=-'Operating Assumptions'!$D$25),"Pre Lease",IF(AND('Operating Assumptions'!$D$29="No",BW11='Operating Assumptions'!$D$22),"Opening",IF(AND('Operating Assumptions'!$D$29="Yes",BW11='Operating Assumptions'!$D$31),"Phase 1",IF(AND('Operating Assumptions'!$D$29="Yes",BW11='Operating Assumptions'!$D$33),"Full Opening",IF(AND(BW36='Operating Assumptions'!$D$14,BV35&gt;0),"Stablized",IF('Monthly CF'!BW11&lt;&gt;'Operating Assumptions'!$D$22,"",IF(BW35&lt;&gt;-'Operating Assumptions'!$D$25,"",IF(AND(BW36&lt;&gt;'Operating Assumptions'!$D$14,BV35&lt;=0),""))))))))</f>
        <v/>
      </c>
      <c r="BX32" s="68" t="str">
        <f>IF(AND('Operating Assumptions'!$D$25&gt;0,BX35=-'Operating Assumptions'!$D$25),"Pre Lease",IF(AND('Operating Assumptions'!$D$29="No",BX11='Operating Assumptions'!$D$22),"Opening",IF(AND('Operating Assumptions'!$D$29="Yes",BX11='Operating Assumptions'!$D$31),"Phase 1",IF(AND('Operating Assumptions'!$D$29="Yes",BX11='Operating Assumptions'!$D$33),"Full Opening",IF(AND(BX36='Operating Assumptions'!$D$14,BW35&gt;0),"Stablized",IF('Monthly CF'!BX11&lt;&gt;'Operating Assumptions'!$D$22,"",IF(BX35&lt;&gt;-'Operating Assumptions'!$D$25,"",IF(AND(BX36&lt;&gt;'Operating Assumptions'!$D$14,BW35&lt;=0),""))))))))</f>
        <v/>
      </c>
      <c r="BY32" s="68" t="str">
        <f>IF(AND('Operating Assumptions'!$D$25&gt;0,BY35=-'Operating Assumptions'!$D$25),"Pre Lease",IF(AND('Operating Assumptions'!$D$29="No",BY11='Operating Assumptions'!$D$22),"Opening",IF(AND('Operating Assumptions'!$D$29="Yes",BY11='Operating Assumptions'!$D$31),"Phase 1",IF(AND('Operating Assumptions'!$D$29="Yes",BY11='Operating Assumptions'!$D$33),"Full Opening",IF(AND(BY36='Operating Assumptions'!$D$14,BX35&gt;0),"Stablized",IF('Monthly CF'!BY11&lt;&gt;'Operating Assumptions'!$D$22,"",IF(BY35&lt;&gt;-'Operating Assumptions'!$D$25,"",IF(AND(BY36&lt;&gt;'Operating Assumptions'!$D$14,BX35&lt;=0),""))))))))</f>
        <v/>
      </c>
      <c r="BZ32" s="68" t="str">
        <f>IF(AND('Operating Assumptions'!$D$25&gt;0,BZ35=-'Operating Assumptions'!$D$25),"Pre Lease",IF(AND('Operating Assumptions'!$D$29="No",BZ11='Operating Assumptions'!$D$22),"Opening",IF(AND('Operating Assumptions'!$D$29="Yes",BZ11='Operating Assumptions'!$D$31),"Phase 1",IF(AND('Operating Assumptions'!$D$29="Yes",BZ11='Operating Assumptions'!$D$33),"Full Opening",IF(AND(BZ36='Operating Assumptions'!$D$14,BY35&gt;0),"Stablized",IF('Monthly CF'!BZ11&lt;&gt;'Operating Assumptions'!$D$22,"",IF(BZ35&lt;&gt;-'Operating Assumptions'!$D$25,"",IF(AND(BZ36&lt;&gt;'Operating Assumptions'!$D$14,BY35&lt;=0),""))))))))</f>
        <v/>
      </c>
      <c r="CA32" s="68" t="str">
        <f>IF(AND('Operating Assumptions'!$D$25&gt;0,CA35=-'Operating Assumptions'!$D$25),"Pre Lease",IF(AND('Operating Assumptions'!$D$29="No",CA11='Operating Assumptions'!$D$22),"Opening",IF(AND('Operating Assumptions'!$D$29="Yes",CA11='Operating Assumptions'!$D$31),"Phase 1",IF(AND('Operating Assumptions'!$D$29="Yes",CA11='Operating Assumptions'!$D$33),"Full Opening",IF(AND(CA36='Operating Assumptions'!$D$14,BZ35&gt;0),"Stablized",IF('Monthly CF'!CA11&lt;&gt;'Operating Assumptions'!$D$22,"",IF(CA35&lt;&gt;-'Operating Assumptions'!$D$25,"",IF(AND(CA36&lt;&gt;'Operating Assumptions'!$D$14,BZ35&lt;=0),""))))))))</f>
        <v/>
      </c>
      <c r="CB32" s="68" t="str">
        <f>IF(AND('Operating Assumptions'!$D$25&gt;0,CB35=-'Operating Assumptions'!$D$25),"Pre Lease",IF(AND('Operating Assumptions'!$D$29="No",CB11='Operating Assumptions'!$D$22),"Opening",IF(AND('Operating Assumptions'!$D$29="Yes",CB11='Operating Assumptions'!$D$31),"Phase 1",IF(AND('Operating Assumptions'!$D$29="Yes",CB11='Operating Assumptions'!$D$33),"Full Opening",IF(AND(CB36='Operating Assumptions'!$D$14,CA35&gt;0),"Stablized",IF('Monthly CF'!CB11&lt;&gt;'Operating Assumptions'!$D$22,"",IF(CB35&lt;&gt;-'Operating Assumptions'!$D$25,"",IF(AND(CB36&lt;&gt;'Operating Assumptions'!$D$14,CA35&lt;=0),""))))))))</f>
        <v/>
      </c>
      <c r="CC32" s="68" t="str">
        <f>IF(AND('Operating Assumptions'!$D$25&gt;0,CC35=-'Operating Assumptions'!$D$25),"Pre Lease",IF(AND('Operating Assumptions'!$D$29="No",CC11='Operating Assumptions'!$D$22),"Opening",IF(AND('Operating Assumptions'!$D$29="Yes",CC11='Operating Assumptions'!$D$31),"Phase 1",IF(AND('Operating Assumptions'!$D$29="Yes",CC11='Operating Assumptions'!$D$33),"Full Opening",IF(AND(CC36='Operating Assumptions'!$D$14,CB35&gt;0),"Stablized",IF('Monthly CF'!CC11&lt;&gt;'Operating Assumptions'!$D$22,"",IF(CC35&lt;&gt;-'Operating Assumptions'!$D$25,"",IF(AND(CC36&lt;&gt;'Operating Assumptions'!$D$14,CB35&lt;=0),""))))))))</f>
        <v/>
      </c>
      <c r="CD32" s="68" t="str">
        <f>IF(AND('Operating Assumptions'!$D$25&gt;0,CD35=-'Operating Assumptions'!$D$25),"Pre Lease",IF(AND('Operating Assumptions'!$D$29="No",CD11='Operating Assumptions'!$D$22),"Opening",IF(AND('Operating Assumptions'!$D$29="Yes",CD11='Operating Assumptions'!$D$31),"Phase 1",IF(AND('Operating Assumptions'!$D$29="Yes",CD11='Operating Assumptions'!$D$33),"Full Opening",IF(AND(CD36='Operating Assumptions'!$D$14,CC35&gt;0),"Stablized",IF('Monthly CF'!CD11&lt;&gt;'Operating Assumptions'!$D$22,"",IF(CD35&lt;&gt;-'Operating Assumptions'!$D$25,"",IF(AND(CD36&lt;&gt;'Operating Assumptions'!$D$14,CC35&lt;=0),""))))))))</f>
        <v/>
      </c>
      <c r="CE32" s="68" t="str">
        <f>IF(AND('Operating Assumptions'!$D$25&gt;0,CE35=-'Operating Assumptions'!$D$25),"Pre Lease",IF(AND('Operating Assumptions'!$D$29="No",CE11='Operating Assumptions'!$D$22),"Opening",IF(AND('Operating Assumptions'!$D$29="Yes",CE11='Operating Assumptions'!$D$31),"Phase 1",IF(AND('Operating Assumptions'!$D$29="Yes",CE11='Operating Assumptions'!$D$33),"Full Opening",IF(AND(CE36='Operating Assumptions'!$D$14,CD35&gt;0),"Stablized",IF('Monthly CF'!CE11&lt;&gt;'Operating Assumptions'!$D$22,"",IF(CE35&lt;&gt;-'Operating Assumptions'!$D$25,"",IF(AND(CE36&lt;&gt;'Operating Assumptions'!$D$14,CD35&lt;=0),""))))))))</f>
        <v/>
      </c>
      <c r="CF32" s="68" t="str">
        <f>IF(AND('Operating Assumptions'!$D$25&gt;0,CF35=-'Operating Assumptions'!$D$25),"Pre Lease",IF(AND('Operating Assumptions'!$D$29="No",CF11='Operating Assumptions'!$D$22),"Opening",IF(AND('Operating Assumptions'!$D$29="Yes",CF11='Operating Assumptions'!$D$31),"Phase 1",IF(AND('Operating Assumptions'!$D$29="Yes",CF11='Operating Assumptions'!$D$33),"Full Opening",IF(AND(CF36='Operating Assumptions'!$D$14,CE35&gt;0),"Stablized",IF('Monthly CF'!CF11&lt;&gt;'Operating Assumptions'!$D$22,"",IF(CF35&lt;&gt;-'Operating Assumptions'!$D$25,"",IF(AND(CF36&lt;&gt;'Operating Assumptions'!$D$14,CE35&lt;=0),""))))))))</f>
        <v/>
      </c>
      <c r="CG32" s="68" t="str">
        <f>IF(AND('Operating Assumptions'!$D$25&gt;0,CG35=-'Operating Assumptions'!$D$25),"Pre Lease",IF(AND('Operating Assumptions'!$D$29="No",CG11='Operating Assumptions'!$D$22),"Opening",IF(AND('Operating Assumptions'!$D$29="Yes",CG11='Operating Assumptions'!$D$31),"Phase 1",IF(AND('Operating Assumptions'!$D$29="Yes",CG11='Operating Assumptions'!$D$33),"Full Opening",IF(AND(CG36='Operating Assumptions'!$D$14,CF35&gt;0),"Stablized",IF('Monthly CF'!CG11&lt;&gt;'Operating Assumptions'!$D$22,"",IF(CG35&lt;&gt;-'Operating Assumptions'!$D$25,"",IF(AND(CG36&lt;&gt;'Operating Assumptions'!$D$14,CF35&lt;=0),""))))))))</f>
        <v/>
      </c>
      <c r="CH32" s="68" t="str">
        <f>IF(AND('Operating Assumptions'!$D$25&gt;0,CH35=-'Operating Assumptions'!$D$25),"Pre Lease",IF(AND('Operating Assumptions'!$D$29="No",CH11='Operating Assumptions'!$D$22),"Opening",IF(AND('Operating Assumptions'!$D$29="Yes",CH11='Operating Assumptions'!$D$31),"Phase 1",IF(AND('Operating Assumptions'!$D$29="Yes",CH11='Operating Assumptions'!$D$33),"Full Opening",IF(AND(CH36='Operating Assumptions'!$D$14,CG35&gt;0),"Stablized",IF('Monthly CF'!CH11&lt;&gt;'Operating Assumptions'!$D$22,"",IF(CH35&lt;&gt;-'Operating Assumptions'!$D$25,"",IF(AND(CH36&lt;&gt;'Operating Assumptions'!$D$14,CG35&lt;=0),""))))))))</f>
        <v/>
      </c>
      <c r="CI32" s="68" t="str">
        <f>IF(AND('Operating Assumptions'!$D$25&gt;0,CI35=-'Operating Assumptions'!$D$25),"Pre Lease",IF(AND('Operating Assumptions'!$D$29="No",CI11='Operating Assumptions'!$D$22),"Opening",IF(AND('Operating Assumptions'!$D$29="Yes",CI11='Operating Assumptions'!$D$31),"Phase 1",IF(AND('Operating Assumptions'!$D$29="Yes",CI11='Operating Assumptions'!$D$33),"Full Opening",IF(AND(CI36='Operating Assumptions'!$D$14,CH35&gt;0),"Stablized",IF('Monthly CF'!CI11&lt;&gt;'Operating Assumptions'!$D$22,"",IF(CI35&lt;&gt;-'Operating Assumptions'!$D$25,"",IF(AND(CI36&lt;&gt;'Operating Assumptions'!$D$14,CH35&lt;=0),""))))))))</f>
        <v/>
      </c>
      <c r="CJ32" s="68" t="str">
        <f>IF(AND('Operating Assumptions'!$D$25&gt;0,CJ35=-'Operating Assumptions'!$D$25),"Pre Lease",IF(AND('Operating Assumptions'!$D$29="No",CJ11='Operating Assumptions'!$D$22),"Opening",IF(AND('Operating Assumptions'!$D$29="Yes",CJ11='Operating Assumptions'!$D$31),"Phase 1",IF(AND('Operating Assumptions'!$D$29="Yes",CJ11='Operating Assumptions'!$D$33),"Full Opening",IF(AND(CJ36='Operating Assumptions'!$D$14,CI35&gt;0),"Stablized",IF('Monthly CF'!CJ11&lt;&gt;'Operating Assumptions'!$D$22,"",IF(CJ35&lt;&gt;-'Operating Assumptions'!$D$25,"",IF(AND(CJ36&lt;&gt;'Operating Assumptions'!$D$14,CI35&lt;=0),""))))))))</f>
        <v/>
      </c>
      <c r="CK32" s="68" t="str">
        <f>IF(AND('Operating Assumptions'!$D$25&gt;0,CK35=-'Operating Assumptions'!$D$25),"Pre Lease",IF(AND('Operating Assumptions'!$D$29="No",CK11='Operating Assumptions'!$D$22),"Opening",IF(AND('Operating Assumptions'!$D$29="Yes",CK11='Operating Assumptions'!$D$31),"Phase 1",IF(AND('Operating Assumptions'!$D$29="Yes",CK11='Operating Assumptions'!$D$33),"Full Opening",IF(AND(CK36='Operating Assumptions'!$D$14,CJ35&gt;0),"Stablized",IF('Monthly CF'!CK11&lt;&gt;'Operating Assumptions'!$D$22,"",IF(CK35&lt;&gt;-'Operating Assumptions'!$D$25,"",IF(AND(CK36&lt;&gt;'Operating Assumptions'!$D$14,CJ35&lt;=0),""))))))))</f>
        <v/>
      </c>
      <c r="CL32" s="68" t="str">
        <f>IF(AND('Operating Assumptions'!$D$25&gt;0,CL35=-'Operating Assumptions'!$D$25),"Pre Lease",IF(AND('Operating Assumptions'!$D$29="No",CL11='Operating Assumptions'!$D$22),"Opening",IF(AND('Operating Assumptions'!$D$29="Yes",CL11='Operating Assumptions'!$D$31),"Phase 1",IF(AND('Operating Assumptions'!$D$29="Yes",CL11='Operating Assumptions'!$D$33),"Full Opening",IF(AND(CL36='Operating Assumptions'!$D$14,CK35&gt;0),"Stablized",IF('Monthly CF'!CL11&lt;&gt;'Operating Assumptions'!$D$22,"",IF(CL35&lt;&gt;-'Operating Assumptions'!$D$25,"",IF(AND(CL36&lt;&gt;'Operating Assumptions'!$D$14,CK35&lt;=0),""))))))))</f>
        <v/>
      </c>
      <c r="CM32" s="68" t="str">
        <f>IF(AND('Operating Assumptions'!$D$25&gt;0,CM35=-'Operating Assumptions'!$D$25),"Pre Lease",IF(AND('Operating Assumptions'!$D$29="No",CM11='Operating Assumptions'!$D$22),"Opening",IF(AND('Operating Assumptions'!$D$29="Yes",CM11='Operating Assumptions'!$D$31),"Phase 1",IF(AND('Operating Assumptions'!$D$29="Yes",CM11='Operating Assumptions'!$D$33),"Full Opening",IF(AND(CM36='Operating Assumptions'!$D$14,CL35&gt;0),"Stablized",IF('Monthly CF'!CM11&lt;&gt;'Operating Assumptions'!$D$22,"",IF(CM35&lt;&gt;-'Operating Assumptions'!$D$25,"",IF(AND(CM36&lt;&gt;'Operating Assumptions'!$D$14,CL35&lt;=0),""))))))))</f>
        <v/>
      </c>
      <c r="CN32" s="68" t="str">
        <f>IF(AND('Operating Assumptions'!$D$25&gt;0,CN35=-'Operating Assumptions'!$D$25),"Pre Lease",IF(AND('Operating Assumptions'!$D$29="No",CN11='Operating Assumptions'!$D$22),"Opening",IF(AND('Operating Assumptions'!$D$29="Yes",CN11='Operating Assumptions'!$D$31),"Phase 1",IF(AND('Operating Assumptions'!$D$29="Yes",CN11='Operating Assumptions'!$D$33),"Full Opening",IF(AND(CN36='Operating Assumptions'!$D$14,CM35&gt;0),"Stablized",IF('Monthly CF'!CN11&lt;&gt;'Operating Assumptions'!$D$22,"",IF(CN35&lt;&gt;-'Operating Assumptions'!$D$25,"",IF(AND(CN36&lt;&gt;'Operating Assumptions'!$D$14,CM35&lt;=0),""))))))))</f>
        <v/>
      </c>
      <c r="CO32" s="68" t="str">
        <f>IF(AND('Operating Assumptions'!$D$25&gt;0,CO35=-'Operating Assumptions'!$D$25),"Pre Lease",IF(AND('Operating Assumptions'!$D$29="No",CO11='Operating Assumptions'!$D$22),"Opening",IF(AND('Operating Assumptions'!$D$29="Yes",CO11='Operating Assumptions'!$D$31),"Phase 1",IF(AND('Operating Assumptions'!$D$29="Yes",CO11='Operating Assumptions'!$D$33),"Full Opening",IF(AND(CO36='Operating Assumptions'!$D$14,CN35&gt;0),"Stablized",IF('Monthly CF'!CO11&lt;&gt;'Operating Assumptions'!$D$22,"",IF(CO35&lt;&gt;-'Operating Assumptions'!$D$25,"",IF(AND(CO36&lt;&gt;'Operating Assumptions'!$D$14,CN35&lt;=0),""))))))))</f>
        <v/>
      </c>
      <c r="CP32" s="68" t="str">
        <f>IF(AND('Operating Assumptions'!$D$25&gt;0,CP35=-'Operating Assumptions'!$D$25),"Pre Lease",IF(AND('Operating Assumptions'!$D$29="No",CP11='Operating Assumptions'!$D$22),"Opening",IF(AND('Operating Assumptions'!$D$29="Yes",CP11='Operating Assumptions'!$D$31),"Phase 1",IF(AND('Operating Assumptions'!$D$29="Yes",CP11='Operating Assumptions'!$D$33),"Full Opening",IF(AND(CP36='Operating Assumptions'!$D$14,CO35&gt;0),"Stablized",IF('Monthly CF'!CP11&lt;&gt;'Operating Assumptions'!$D$22,"",IF(CP35&lt;&gt;-'Operating Assumptions'!$D$25,"",IF(AND(CP36&lt;&gt;'Operating Assumptions'!$D$14,CO35&lt;=0),""))))))))</f>
        <v/>
      </c>
      <c r="CQ32" s="68" t="str">
        <f>IF(AND('Operating Assumptions'!$D$25&gt;0,CQ35=-'Operating Assumptions'!$D$25),"Pre Lease",IF(AND('Operating Assumptions'!$D$29="No",CQ11='Operating Assumptions'!$D$22),"Opening",IF(AND('Operating Assumptions'!$D$29="Yes",CQ11='Operating Assumptions'!$D$31),"Phase 1",IF(AND('Operating Assumptions'!$D$29="Yes",CQ11='Operating Assumptions'!$D$33),"Full Opening",IF(AND(CQ36='Operating Assumptions'!$D$14,CP35&gt;0),"Stablized",IF('Monthly CF'!CQ11&lt;&gt;'Operating Assumptions'!$D$22,"",IF(CQ35&lt;&gt;-'Operating Assumptions'!$D$25,"",IF(AND(CQ36&lt;&gt;'Operating Assumptions'!$D$14,CP35&lt;=0),""))))))))</f>
        <v/>
      </c>
      <c r="CR32" s="68" t="str">
        <f>IF(AND('Operating Assumptions'!$D$25&gt;0,CR35=-'Operating Assumptions'!$D$25),"Pre Lease",IF(AND('Operating Assumptions'!$D$29="No",CR11='Operating Assumptions'!$D$22),"Opening",IF(AND('Operating Assumptions'!$D$29="Yes",CR11='Operating Assumptions'!$D$31),"Phase 1",IF(AND('Operating Assumptions'!$D$29="Yes",CR11='Operating Assumptions'!$D$33),"Full Opening",IF(AND(CR36='Operating Assumptions'!$D$14,CQ35&gt;0),"Stablized",IF('Monthly CF'!CR11&lt;&gt;'Operating Assumptions'!$D$22,"",IF(CR35&lt;&gt;-'Operating Assumptions'!$D$25,"",IF(AND(CR36&lt;&gt;'Operating Assumptions'!$D$14,CQ35&lt;=0),""))))))))</f>
        <v/>
      </c>
      <c r="CS32" s="68" t="str">
        <f>IF(AND('Operating Assumptions'!$D$25&gt;0,CS35=-'Operating Assumptions'!$D$25),"Pre Lease",IF(AND('Operating Assumptions'!$D$29="No",CS11='Operating Assumptions'!$D$22),"Opening",IF(AND('Operating Assumptions'!$D$29="Yes",CS11='Operating Assumptions'!$D$31),"Phase 1",IF(AND('Operating Assumptions'!$D$29="Yes",CS11='Operating Assumptions'!$D$33),"Full Opening",IF(AND(CS36='Operating Assumptions'!$D$14,CR35&gt;0),"Stablized",IF('Monthly CF'!CS11&lt;&gt;'Operating Assumptions'!$D$22,"",IF(CS35&lt;&gt;-'Operating Assumptions'!$D$25,"",IF(AND(CS36&lt;&gt;'Operating Assumptions'!$D$14,CR35&lt;=0),""))))))))</f>
        <v/>
      </c>
      <c r="CT32" s="68" t="str">
        <f>IF(AND('Operating Assumptions'!$D$25&gt;0,CT35=-'Operating Assumptions'!$D$25),"Pre Lease",IF(AND('Operating Assumptions'!$D$29="No",CT11='Operating Assumptions'!$D$22),"Opening",IF(AND('Operating Assumptions'!$D$29="Yes",CT11='Operating Assumptions'!$D$31),"Phase 1",IF(AND('Operating Assumptions'!$D$29="Yes",CT11='Operating Assumptions'!$D$33),"Full Opening",IF(AND(CT36='Operating Assumptions'!$D$14,CS35&gt;0),"Stablized",IF('Monthly CF'!CT11&lt;&gt;'Operating Assumptions'!$D$22,"",IF(CT35&lt;&gt;-'Operating Assumptions'!$D$25,"",IF(AND(CT36&lt;&gt;'Operating Assumptions'!$D$14,CS35&lt;=0),""))))))))</f>
        <v/>
      </c>
      <c r="CU32" s="68" t="str">
        <f>IF(AND('Operating Assumptions'!$D$25&gt;0,CU35=-'Operating Assumptions'!$D$25),"Pre Lease",IF(AND('Operating Assumptions'!$D$29="No",CU11='Operating Assumptions'!$D$22),"Opening",IF(AND('Operating Assumptions'!$D$29="Yes",CU11='Operating Assumptions'!$D$31),"Phase 1",IF(AND('Operating Assumptions'!$D$29="Yes",CU11='Operating Assumptions'!$D$33),"Full Opening",IF(AND(CU36='Operating Assumptions'!$D$14,CT35&gt;0),"Stablized",IF('Monthly CF'!CU11&lt;&gt;'Operating Assumptions'!$D$22,"",IF(CU35&lt;&gt;-'Operating Assumptions'!$D$25,"",IF(AND(CU36&lt;&gt;'Operating Assumptions'!$D$14,CT35&lt;=0),""))))))))</f>
        <v/>
      </c>
      <c r="CV32" s="68" t="str">
        <f>IF(AND('Operating Assumptions'!$D$25&gt;0,CV35=-'Operating Assumptions'!$D$25),"Pre Lease",IF(AND('Operating Assumptions'!$D$29="No",CV11='Operating Assumptions'!$D$22),"Opening",IF(AND('Operating Assumptions'!$D$29="Yes",CV11='Operating Assumptions'!$D$31),"Phase 1",IF(AND('Operating Assumptions'!$D$29="Yes",CV11='Operating Assumptions'!$D$33),"Full Opening",IF(AND(CV36='Operating Assumptions'!$D$14,CU35&gt;0),"Stablized",IF('Monthly CF'!CV11&lt;&gt;'Operating Assumptions'!$D$22,"",IF(CV35&lt;&gt;-'Operating Assumptions'!$D$25,"",IF(AND(CV36&lt;&gt;'Operating Assumptions'!$D$14,CU35&lt;=0),""))))))))</f>
        <v/>
      </c>
      <c r="CW32" s="68" t="str">
        <f>IF(AND('Operating Assumptions'!$D$25&gt;0,CW35=-'Operating Assumptions'!$D$25),"Pre Lease",IF(AND('Operating Assumptions'!$D$29="No",CW11='Operating Assumptions'!$D$22),"Opening",IF(AND('Operating Assumptions'!$D$29="Yes",CW11='Operating Assumptions'!$D$31),"Phase 1",IF(AND('Operating Assumptions'!$D$29="Yes",CW11='Operating Assumptions'!$D$33),"Full Opening",IF(AND(CW36='Operating Assumptions'!$D$14,CV35&gt;0),"Stablized",IF('Monthly CF'!CW11&lt;&gt;'Operating Assumptions'!$D$22,"",IF(CW35&lt;&gt;-'Operating Assumptions'!$D$25,"",IF(AND(CW36&lt;&gt;'Operating Assumptions'!$D$14,CV35&lt;=0),""))))))))</f>
        <v/>
      </c>
      <c r="CX32" s="68" t="str">
        <f>IF(AND('Operating Assumptions'!$D$25&gt;0,CX35=-'Operating Assumptions'!$D$25),"Pre Lease",IF(AND('Operating Assumptions'!$D$29="No",CX11='Operating Assumptions'!$D$22),"Opening",IF(AND('Operating Assumptions'!$D$29="Yes",CX11='Operating Assumptions'!$D$31),"Phase 1",IF(AND('Operating Assumptions'!$D$29="Yes",CX11='Operating Assumptions'!$D$33),"Full Opening",IF(AND(CX36='Operating Assumptions'!$D$14,CW35&gt;0),"Stablized",IF('Monthly CF'!CX11&lt;&gt;'Operating Assumptions'!$D$22,"",IF(CX35&lt;&gt;-'Operating Assumptions'!$D$25,"",IF(AND(CX36&lt;&gt;'Operating Assumptions'!$D$14,CW35&lt;=0),""))))))))</f>
        <v/>
      </c>
      <c r="CY32" s="68" t="str">
        <f>IF(AND('Operating Assumptions'!$D$25&gt;0,CY35=-'Operating Assumptions'!$D$25),"Pre Lease",IF(AND('Operating Assumptions'!$D$29="No",CY11='Operating Assumptions'!$D$22),"Opening",IF(AND('Operating Assumptions'!$D$29="Yes",CY11='Operating Assumptions'!$D$31),"Phase 1",IF(AND('Operating Assumptions'!$D$29="Yes",CY11='Operating Assumptions'!$D$33),"Full Opening",IF(AND(CY36='Operating Assumptions'!$D$14,CX35&gt;0),"Stablized",IF('Monthly CF'!CY11&lt;&gt;'Operating Assumptions'!$D$22,"",IF(CY35&lt;&gt;-'Operating Assumptions'!$D$25,"",IF(AND(CY36&lt;&gt;'Operating Assumptions'!$D$14,CX35&lt;=0),""))))))))</f>
        <v/>
      </c>
      <c r="CZ32" s="68" t="str">
        <f>IF(AND('Operating Assumptions'!$D$25&gt;0,CZ35=-'Operating Assumptions'!$D$25),"Pre Lease",IF(AND('Operating Assumptions'!$D$29="No",CZ11='Operating Assumptions'!$D$22),"Opening",IF(AND('Operating Assumptions'!$D$29="Yes",CZ11='Operating Assumptions'!$D$31),"Phase 1",IF(AND('Operating Assumptions'!$D$29="Yes",CZ11='Operating Assumptions'!$D$33),"Full Opening",IF(AND(CZ36='Operating Assumptions'!$D$14,CY35&gt;0),"Stablized",IF('Monthly CF'!CZ11&lt;&gt;'Operating Assumptions'!$D$22,"",IF(CZ35&lt;&gt;-'Operating Assumptions'!$D$25,"",IF(AND(CZ36&lt;&gt;'Operating Assumptions'!$D$14,CY35&lt;=0),""))))))))</f>
        <v/>
      </c>
      <c r="DA32" s="68" t="str">
        <f>IF(AND('Operating Assumptions'!$D$25&gt;0,DA35=-'Operating Assumptions'!$D$25),"Pre Lease",IF(AND('Operating Assumptions'!$D$29="No",DA11='Operating Assumptions'!$D$22),"Opening",IF(AND('Operating Assumptions'!$D$29="Yes",DA11='Operating Assumptions'!$D$31),"Phase 1",IF(AND('Operating Assumptions'!$D$29="Yes",DA11='Operating Assumptions'!$D$33),"Full Opening",IF(AND(DA36='Operating Assumptions'!$D$14,CZ35&gt;0),"Stablized",IF('Monthly CF'!DA11&lt;&gt;'Operating Assumptions'!$D$22,"",IF(DA35&lt;&gt;-'Operating Assumptions'!$D$25,"",IF(AND(DA36&lt;&gt;'Operating Assumptions'!$D$14,CZ35&lt;=0),""))))))))</f>
        <v/>
      </c>
      <c r="DB32" s="68" t="str">
        <f>IF(AND('Operating Assumptions'!$D$25&gt;0,DB35=-'Operating Assumptions'!$D$25),"Pre Lease",IF(AND('Operating Assumptions'!$D$29="No",DB11='Operating Assumptions'!$D$22),"Opening",IF(AND('Operating Assumptions'!$D$29="Yes",DB11='Operating Assumptions'!$D$31),"Phase 1",IF(AND('Operating Assumptions'!$D$29="Yes",DB11='Operating Assumptions'!$D$33),"Full Opening",IF(AND(DB36='Operating Assumptions'!$D$14,DA35&gt;0),"Stablized",IF('Monthly CF'!DB11&lt;&gt;'Operating Assumptions'!$D$22,"",IF(DB35&lt;&gt;-'Operating Assumptions'!$D$25,"",IF(AND(DB36&lt;&gt;'Operating Assumptions'!$D$14,DA35&lt;=0),""))))))))</f>
        <v/>
      </c>
      <c r="DC32" s="68" t="str">
        <f>IF(AND('Operating Assumptions'!$D$25&gt;0,DC35=-'Operating Assumptions'!$D$25),"Pre Lease",IF(AND('Operating Assumptions'!$D$29="No",DC11='Operating Assumptions'!$D$22),"Opening",IF(AND('Operating Assumptions'!$D$29="Yes",DC11='Operating Assumptions'!$D$31),"Phase 1",IF(AND('Operating Assumptions'!$D$29="Yes",DC11='Operating Assumptions'!$D$33),"Full Opening",IF(AND(DC36='Operating Assumptions'!$D$14,DB35&gt;0),"Stablized",IF('Monthly CF'!DC11&lt;&gt;'Operating Assumptions'!$D$22,"",IF(DC35&lt;&gt;-'Operating Assumptions'!$D$25,"",IF(AND(DC36&lt;&gt;'Operating Assumptions'!$D$14,DB35&lt;=0),""))))))))</f>
        <v/>
      </c>
      <c r="DD32" s="68" t="str">
        <f>IF(AND('Operating Assumptions'!$D$25&gt;0,DD35=-'Operating Assumptions'!$D$25),"Pre Lease",IF(AND('Operating Assumptions'!$D$29="No",DD11='Operating Assumptions'!$D$22),"Opening",IF(AND('Operating Assumptions'!$D$29="Yes",DD11='Operating Assumptions'!$D$31),"Phase 1",IF(AND('Operating Assumptions'!$D$29="Yes",DD11='Operating Assumptions'!$D$33),"Full Opening",IF(AND(DD36='Operating Assumptions'!$D$14,DC35&gt;0),"Stablized",IF('Monthly CF'!DD11&lt;&gt;'Operating Assumptions'!$D$22,"",IF(DD35&lt;&gt;-'Operating Assumptions'!$D$25,"",IF(AND(DD36&lt;&gt;'Operating Assumptions'!$D$14,DC35&lt;=0),""))))))))</f>
        <v/>
      </c>
      <c r="DE32" s="68" t="str">
        <f>IF(AND('Operating Assumptions'!$D$25&gt;0,DE35=-'Operating Assumptions'!$D$25),"Pre Lease",IF(AND('Operating Assumptions'!$D$29="No",DE11='Operating Assumptions'!$D$22),"Opening",IF(AND('Operating Assumptions'!$D$29="Yes",DE11='Operating Assumptions'!$D$31),"Phase 1",IF(AND('Operating Assumptions'!$D$29="Yes",DE11='Operating Assumptions'!$D$33),"Full Opening",IF(AND(DE36='Operating Assumptions'!$D$14,DD35&gt;0),"Stablized",IF('Monthly CF'!DE11&lt;&gt;'Operating Assumptions'!$D$22,"",IF(DE35&lt;&gt;-'Operating Assumptions'!$D$25,"",IF(AND(DE36&lt;&gt;'Operating Assumptions'!$D$14,DD35&lt;=0),""))))))))</f>
        <v/>
      </c>
      <c r="DF32" s="68" t="str">
        <f>IF(AND('Operating Assumptions'!$D$25&gt;0,DF35=-'Operating Assumptions'!$D$25),"Pre Lease",IF(AND('Operating Assumptions'!$D$29="No",DF11='Operating Assumptions'!$D$22),"Opening",IF(AND('Operating Assumptions'!$D$29="Yes",DF11='Operating Assumptions'!$D$31),"Phase 1",IF(AND('Operating Assumptions'!$D$29="Yes",DF11='Operating Assumptions'!$D$33),"Full Opening",IF(AND(DF36='Operating Assumptions'!$D$14,DE35&gt;0),"Stablized",IF('Monthly CF'!DF11&lt;&gt;'Operating Assumptions'!$D$22,"",IF(DF35&lt;&gt;-'Operating Assumptions'!$D$25,"",IF(AND(DF36&lt;&gt;'Operating Assumptions'!$D$14,DE35&lt;=0),""))))))))</f>
        <v/>
      </c>
      <c r="DG32" s="68" t="str">
        <f>IF(AND('Operating Assumptions'!$D$25&gt;0,DG35=-'Operating Assumptions'!$D$25),"Pre Lease",IF(AND('Operating Assumptions'!$D$29="No",DG11='Operating Assumptions'!$D$22),"Opening",IF(AND('Operating Assumptions'!$D$29="Yes",DG11='Operating Assumptions'!$D$31),"Phase 1",IF(AND('Operating Assumptions'!$D$29="Yes",DG11='Operating Assumptions'!$D$33),"Full Opening",IF(AND(DG36='Operating Assumptions'!$D$14,DF35&gt;0),"Stablized",IF('Monthly CF'!DG11&lt;&gt;'Operating Assumptions'!$D$22,"",IF(DG35&lt;&gt;-'Operating Assumptions'!$D$25,"",IF(AND(DG36&lt;&gt;'Operating Assumptions'!$D$14,DF35&lt;=0),""))))))))</f>
        <v/>
      </c>
      <c r="DH32" s="68" t="str">
        <f>IF(AND('Operating Assumptions'!$D$25&gt;0,DH35=-'Operating Assumptions'!$D$25),"Pre Lease",IF(AND('Operating Assumptions'!$D$29="No",DH11='Operating Assumptions'!$D$22),"Opening",IF(AND('Operating Assumptions'!$D$29="Yes",DH11='Operating Assumptions'!$D$31),"Phase 1",IF(AND('Operating Assumptions'!$D$29="Yes",DH11='Operating Assumptions'!$D$33),"Full Opening",IF(AND(DH36='Operating Assumptions'!$D$14,DG35&gt;0),"Stablized",IF('Monthly CF'!DH11&lt;&gt;'Operating Assumptions'!$D$22,"",IF(DH35&lt;&gt;-'Operating Assumptions'!$D$25,"",IF(AND(DH36&lt;&gt;'Operating Assumptions'!$D$14,DG35&lt;=0),""))))))))</f>
        <v/>
      </c>
      <c r="DI32" s="68" t="str">
        <f>IF(AND('Operating Assumptions'!$D$25&gt;0,DI35=-'Operating Assumptions'!$D$25),"Pre Lease",IF(AND('Operating Assumptions'!$D$29="No",DI11='Operating Assumptions'!$D$22),"Opening",IF(AND('Operating Assumptions'!$D$29="Yes",DI11='Operating Assumptions'!$D$31),"Phase 1",IF(AND('Operating Assumptions'!$D$29="Yes",DI11='Operating Assumptions'!$D$33),"Full Opening",IF(AND(DI36='Operating Assumptions'!$D$14,DH35&gt;0),"Stablized",IF('Monthly CF'!DI11&lt;&gt;'Operating Assumptions'!$D$22,"",IF(DI35&lt;&gt;-'Operating Assumptions'!$D$25,"",IF(AND(DI36&lt;&gt;'Operating Assumptions'!$D$14,DH35&lt;=0),""))))))))</f>
        <v/>
      </c>
      <c r="DJ32" s="68" t="str">
        <f>IF(AND('Operating Assumptions'!$D$25&gt;0,DJ35=-'Operating Assumptions'!$D$25),"Pre Lease",IF(AND('Operating Assumptions'!$D$29="No",DJ11='Operating Assumptions'!$D$22),"Opening",IF(AND('Operating Assumptions'!$D$29="Yes",DJ11='Operating Assumptions'!$D$31),"Phase 1",IF(AND('Operating Assumptions'!$D$29="Yes",DJ11='Operating Assumptions'!$D$33),"Full Opening",IF(AND(DJ36='Operating Assumptions'!$D$14,DI35&gt;0),"Stablized",IF('Monthly CF'!DJ11&lt;&gt;'Operating Assumptions'!$D$22,"",IF(DJ35&lt;&gt;-'Operating Assumptions'!$D$25,"",IF(AND(DJ36&lt;&gt;'Operating Assumptions'!$D$14,DI35&lt;=0),""))))))))</f>
        <v/>
      </c>
      <c r="DK32" s="68" t="str">
        <f>IF(AND('Operating Assumptions'!$D$25&gt;0,DK35=-'Operating Assumptions'!$D$25),"Pre Lease",IF(AND('Operating Assumptions'!$D$29="No",DK11='Operating Assumptions'!$D$22),"Opening",IF(AND('Operating Assumptions'!$D$29="Yes",DK11='Operating Assumptions'!$D$31),"Phase 1",IF(AND('Operating Assumptions'!$D$29="Yes",DK11='Operating Assumptions'!$D$33),"Full Opening",IF(AND(DK36='Operating Assumptions'!$D$14,DJ35&gt;0),"Stablized",IF('Monthly CF'!DK11&lt;&gt;'Operating Assumptions'!$D$22,"",IF(DK35&lt;&gt;-'Operating Assumptions'!$D$25,"",IF(AND(DK36&lt;&gt;'Operating Assumptions'!$D$14,DJ35&lt;=0),""))))))))</f>
        <v/>
      </c>
      <c r="DL32" s="68" t="str">
        <f>IF(AND('Operating Assumptions'!$D$25&gt;0,DL35=-'Operating Assumptions'!$D$25),"Pre Lease",IF(AND('Operating Assumptions'!$D$29="No",DL11='Operating Assumptions'!$D$22),"Opening",IF(AND('Operating Assumptions'!$D$29="Yes",DL11='Operating Assumptions'!$D$31),"Phase 1",IF(AND('Operating Assumptions'!$D$29="Yes",DL11='Operating Assumptions'!$D$33),"Full Opening",IF(AND(DL36='Operating Assumptions'!$D$14,DK35&gt;0),"Stablized",IF('Monthly CF'!DL11&lt;&gt;'Operating Assumptions'!$D$22,"",IF(DL35&lt;&gt;-'Operating Assumptions'!$D$25,"",IF(AND(DL36&lt;&gt;'Operating Assumptions'!$D$14,DK35&lt;=0),""))))))))</f>
        <v/>
      </c>
      <c r="DM32" s="68" t="str">
        <f>IF(AND('Operating Assumptions'!$D$25&gt;0,DM35=-'Operating Assumptions'!$D$25),"Pre Lease",IF(AND('Operating Assumptions'!$D$29="No",DM11='Operating Assumptions'!$D$22),"Opening",IF(AND('Operating Assumptions'!$D$29="Yes",DM11='Operating Assumptions'!$D$31),"Phase 1",IF(AND('Operating Assumptions'!$D$29="Yes",DM11='Operating Assumptions'!$D$33),"Full Opening",IF(AND(DM36='Operating Assumptions'!$D$14,DL35&gt;0),"Stablized",IF('Monthly CF'!DM11&lt;&gt;'Operating Assumptions'!$D$22,"",IF(DM35&lt;&gt;-'Operating Assumptions'!$D$25,"",IF(AND(DM36&lt;&gt;'Operating Assumptions'!$D$14,DL35&lt;=0),""))))))))</f>
        <v/>
      </c>
      <c r="DN32" s="68" t="str">
        <f>IF(AND('Operating Assumptions'!$D$25&gt;0,DN35=-'Operating Assumptions'!$D$25),"Pre Lease",IF(AND('Operating Assumptions'!$D$29="No",DN11='Operating Assumptions'!$D$22),"Opening",IF(AND('Operating Assumptions'!$D$29="Yes",DN11='Operating Assumptions'!$D$31),"Phase 1",IF(AND('Operating Assumptions'!$D$29="Yes",DN11='Operating Assumptions'!$D$33),"Full Opening",IF(AND(DN36='Operating Assumptions'!$D$14,DM35&gt;0),"Stablized",IF('Monthly CF'!DN11&lt;&gt;'Operating Assumptions'!$D$22,"",IF(DN35&lt;&gt;-'Operating Assumptions'!$D$25,"",IF(AND(DN36&lt;&gt;'Operating Assumptions'!$D$14,DM35&lt;=0),""))))))))</f>
        <v/>
      </c>
      <c r="DO32" s="68" t="str">
        <f>IF(AND('Operating Assumptions'!$D$25&gt;0,DO35=-'Operating Assumptions'!$D$25),"Pre Lease",IF(AND('Operating Assumptions'!$D$29="No",DO11='Operating Assumptions'!$D$22),"Opening",IF(AND('Operating Assumptions'!$D$29="Yes",DO11='Operating Assumptions'!$D$31),"Phase 1",IF(AND('Operating Assumptions'!$D$29="Yes",DO11='Operating Assumptions'!$D$33),"Full Opening",IF(AND(DO36='Operating Assumptions'!$D$14,DN35&gt;0),"Stablized",IF('Monthly CF'!DO11&lt;&gt;'Operating Assumptions'!$D$22,"",IF(DO35&lt;&gt;-'Operating Assumptions'!$D$25,"",IF(AND(DO36&lt;&gt;'Operating Assumptions'!$D$14,DN35&lt;=0),""))))))))</f>
        <v/>
      </c>
      <c r="DP32" s="68" t="str">
        <f>IF(AND('Operating Assumptions'!$D$25&gt;0,DP35=-'Operating Assumptions'!$D$25),"Pre Lease",IF(AND('Operating Assumptions'!$D$29="No",DP11='Operating Assumptions'!$D$22),"Opening",IF(AND('Operating Assumptions'!$D$29="Yes",DP11='Operating Assumptions'!$D$31),"Phase 1",IF(AND('Operating Assumptions'!$D$29="Yes",DP11='Operating Assumptions'!$D$33),"Full Opening",IF(AND(DP36='Operating Assumptions'!$D$14,DO35&gt;0),"Stablized",IF('Monthly CF'!DP11&lt;&gt;'Operating Assumptions'!$D$22,"",IF(DP35&lt;&gt;-'Operating Assumptions'!$D$25,"",IF(AND(DP36&lt;&gt;'Operating Assumptions'!$D$14,DO35&lt;=0),""))))))))</f>
        <v/>
      </c>
      <c r="DQ32" s="68" t="str">
        <f>IF(AND('Operating Assumptions'!$D$25&gt;0,DQ35=-'Operating Assumptions'!$D$25),"Pre Lease",IF(AND('Operating Assumptions'!$D$29="No",DQ11='Operating Assumptions'!$D$22),"Opening",IF(AND('Operating Assumptions'!$D$29="Yes",DQ11='Operating Assumptions'!$D$31),"Phase 1",IF(AND('Operating Assumptions'!$D$29="Yes",DQ11='Operating Assumptions'!$D$33),"Full Opening",IF(AND(DQ36='Operating Assumptions'!$D$14,DP35&gt;0),"Stablized",IF('Monthly CF'!DQ11&lt;&gt;'Operating Assumptions'!$D$22,"",IF(DQ35&lt;&gt;-'Operating Assumptions'!$D$25,"",IF(AND(DQ36&lt;&gt;'Operating Assumptions'!$D$14,DP35&lt;=0),""))))))))</f>
        <v/>
      </c>
      <c r="DR32" s="68" t="str">
        <f>IF(AND('Operating Assumptions'!$D$25&gt;0,DR35=-'Operating Assumptions'!$D$25),"Pre Lease",IF(AND('Operating Assumptions'!$D$29="No",DR11='Operating Assumptions'!$D$22),"Opening",IF(AND('Operating Assumptions'!$D$29="Yes",DR11='Operating Assumptions'!$D$31),"Phase 1",IF(AND('Operating Assumptions'!$D$29="Yes",DR11='Operating Assumptions'!$D$33),"Full Opening",IF(AND(DR36='Operating Assumptions'!$D$14,DQ35&gt;0),"Stablized",IF('Monthly CF'!DR11&lt;&gt;'Operating Assumptions'!$D$22,"",IF(DR35&lt;&gt;-'Operating Assumptions'!$D$25,"",IF(AND(DR36&lt;&gt;'Operating Assumptions'!$D$14,DQ35&lt;=0),""))))))))</f>
        <v/>
      </c>
      <c r="DS32" s="68" t="str">
        <f>IF(AND('Operating Assumptions'!$D$25&gt;0,DS35=-'Operating Assumptions'!$D$25),"Pre Lease",IF(AND('Operating Assumptions'!$D$29="No",DS11='Operating Assumptions'!$D$22),"Opening",IF(AND('Operating Assumptions'!$D$29="Yes",DS11='Operating Assumptions'!$D$31),"Phase 1",IF(AND('Operating Assumptions'!$D$29="Yes",DS11='Operating Assumptions'!$D$33),"Full Opening",IF(AND(DS36='Operating Assumptions'!$D$14,DR35&gt;0),"Stablized",IF('Monthly CF'!DS11&lt;&gt;'Operating Assumptions'!$D$22,"",IF(DS35&lt;&gt;-'Operating Assumptions'!$D$25,"",IF(AND(DS36&lt;&gt;'Operating Assumptions'!$D$14,DR35&lt;=0),""))))))))</f>
        <v/>
      </c>
      <c r="DT32" s="68" t="str">
        <f>IF(AND('Operating Assumptions'!$D$25&gt;0,DT35=-'Operating Assumptions'!$D$25),"Pre Lease",IF(AND('Operating Assumptions'!$D$29="No",DT11='Operating Assumptions'!$D$22),"Opening",IF(AND('Operating Assumptions'!$D$29="Yes",DT11='Operating Assumptions'!$D$31),"Phase 1",IF(AND('Operating Assumptions'!$D$29="Yes",DT11='Operating Assumptions'!$D$33),"Full Opening",IF(AND(DT36='Operating Assumptions'!$D$14,DS35&gt;0),"Stablized",IF('Monthly CF'!DT11&lt;&gt;'Operating Assumptions'!$D$22,"",IF(DT35&lt;&gt;-'Operating Assumptions'!$D$25,"",IF(AND(DT36&lt;&gt;'Operating Assumptions'!$D$14,DS35&lt;=0),""))))))))</f>
        <v/>
      </c>
      <c r="DU32" s="68" t="str">
        <f>IF(AND('Operating Assumptions'!$D$25&gt;0,DU35=-'Operating Assumptions'!$D$25),"Pre Lease",IF(AND('Operating Assumptions'!$D$29="No",DU11='Operating Assumptions'!$D$22),"Opening",IF(AND('Operating Assumptions'!$D$29="Yes",DU11='Operating Assumptions'!$D$31),"Phase 1",IF(AND('Operating Assumptions'!$D$29="Yes",DU11='Operating Assumptions'!$D$33),"Full Opening",IF(AND(DU36='Operating Assumptions'!$D$14,DT35&gt;0),"Stablized",IF('Monthly CF'!DU11&lt;&gt;'Operating Assumptions'!$D$22,"",IF(DU35&lt;&gt;-'Operating Assumptions'!$D$25,"",IF(AND(DU36&lt;&gt;'Operating Assumptions'!$D$14,DT35&lt;=0),""))))))))</f>
        <v/>
      </c>
      <c r="DV32" s="68" t="str">
        <f>IF(AND('Operating Assumptions'!$D$25&gt;0,DV35=-'Operating Assumptions'!$D$25),"Pre Lease",IF(AND('Operating Assumptions'!$D$29="No",DV11='Operating Assumptions'!$D$22),"Opening",IF(AND('Operating Assumptions'!$D$29="Yes",DV11='Operating Assumptions'!$D$31),"Phase 1",IF(AND('Operating Assumptions'!$D$29="Yes",DV11='Operating Assumptions'!$D$33),"Full Opening",IF(AND(DV36='Operating Assumptions'!$D$14,DU35&gt;0),"Stablized",IF('Monthly CF'!DV11&lt;&gt;'Operating Assumptions'!$D$22,"",IF(DV35&lt;&gt;-'Operating Assumptions'!$D$25,"",IF(AND(DV36&lt;&gt;'Operating Assumptions'!$D$14,DU35&lt;=0),""))))))))</f>
        <v/>
      </c>
      <c r="DW32" s="68" t="str">
        <f>IF(AND('Operating Assumptions'!$D$25&gt;0,DW35=-'Operating Assumptions'!$D$25),"Pre Lease",IF(AND('Operating Assumptions'!$D$29="No",DW11='Operating Assumptions'!$D$22),"Opening",IF(AND('Operating Assumptions'!$D$29="Yes",DW11='Operating Assumptions'!$D$31),"Phase 1",IF(AND('Operating Assumptions'!$D$29="Yes",DW11='Operating Assumptions'!$D$33),"Full Opening",IF(AND(DW36='Operating Assumptions'!$D$14,DV35&gt;0),"Stablized",IF('Monthly CF'!DW11&lt;&gt;'Operating Assumptions'!$D$22,"",IF(DW35&lt;&gt;-'Operating Assumptions'!$D$25,"",IF(AND(DW36&lt;&gt;'Operating Assumptions'!$D$14,DV35&lt;=0),""))))))))</f>
        <v/>
      </c>
      <c r="DX32" s="68" t="str">
        <f>IF(AND('Operating Assumptions'!$D$25&gt;0,DX35=-'Operating Assumptions'!$D$25),"Pre Lease",IF(AND('Operating Assumptions'!$D$29="No",DX11='Operating Assumptions'!$D$22),"Opening",IF(AND('Operating Assumptions'!$D$29="Yes",DX11='Operating Assumptions'!$D$31),"Phase 1",IF(AND('Operating Assumptions'!$D$29="Yes",DX11='Operating Assumptions'!$D$33),"Full Opening",IF(AND(DX36='Operating Assumptions'!$D$14,DW35&gt;0),"Stablized",IF('Monthly CF'!DX11&lt;&gt;'Operating Assumptions'!$D$22,"",IF(DX35&lt;&gt;-'Operating Assumptions'!$D$25,"",IF(AND(DX36&lt;&gt;'Operating Assumptions'!$D$14,DW35&lt;=0),""))))))))</f>
        <v/>
      </c>
      <c r="DY32" s="68" t="str">
        <f>IF(AND('Operating Assumptions'!$D$25&gt;0,DY35=-'Operating Assumptions'!$D$25),"Pre Lease",IF(AND('Operating Assumptions'!$D$29="No",DY11='Operating Assumptions'!$D$22),"Opening",IF(AND('Operating Assumptions'!$D$29="Yes",DY11='Operating Assumptions'!$D$31),"Phase 1",IF(AND('Operating Assumptions'!$D$29="Yes",DY11='Operating Assumptions'!$D$33),"Full Opening",IF(AND(DY36='Operating Assumptions'!$D$14,DX35&gt;0),"Stablized",IF('Monthly CF'!DY11&lt;&gt;'Operating Assumptions'!$D$22,"",IF(DY35&lt;&gt;-'Operating Assumptions'!$D$25,"",IF(AND(DY36&lt;&gt;'Operating Assumptions'!$D$14,DX35&lt;=0),""))))))))</f>
        <v/>
      </c>
      <c r="DZ32" s="68" t="str">
        <f>IF(AND('Operating Assumptions'!$D$25&gt;0,DZ35=-'Operating Assumptions'!$D$25),"Pre Lease",IF(AND('Operating Assumptions'!$D$29="No",DZ11='Operating Assumptions'!$D$22),"Opening",IF(AND('Operating Assumptions'!$D$29="Yes",DZ11='Operating Assumptions'!$D$31),"Phase 1",IF(AND('Operating Assumptions'!$D$29="Yes",DZ11='Operating Assumptions'!$D$33),"Full Opening",IF(AND(DZ36='Operating Assumptions'!$D$14,DY35&gt;0),"Stablized",IF('Monthly CF'!DZ11&lt;&gt;'Operating Assumptions'!$D$22,"",IF(DZ35&lt;&gt;-'Operating Assumptions'!$D$25,"",IF(AND(DZ36&lt;&gt;'Operating Assumptions'!$D$14,DY35&lt;=0),""))))))))</f>
        <v/>
      </c>
      <c r="EA32" s="68" t="str">
        <f>IF(AND('Operating Assumptions'!$D$25&gt;0,EA35=-'Operating Assumptions'!$D$25),"Pre Lease",IF(AND('Operating Assumptions'!$D$29="No",EA11='Operating Assumptions'!$D$22),"Opening",IF(AND('Operating Assumptions'!$D$29="Yes",EA11='Operating Assumptions'!$D$31),"Phase 1",IF(AND('Operating Assumptions'!$D$29="Yes",EA11='Operating Assumptions'!$D$33),"Full Opening",IF(AND(EA36='Operating Assumptions'!$D$14,DZ35&gt;0),"Stablized",IF('Monthly CF'!EA11&lt;&gt;'Operating Assumptions'!$D$22,"",IF(EA35&lt;&gt;-'Operating Assumptions'!$D$25,"",IF(AND(EA36&lt;&gt;'Operating Assumptions'!$D$14,DZ35&lt;=0),""))))))))</f>
        <v/>
      </c>
      <c r="EB32" s="68" t="str">
        <f>IF(AND('Operating Assumptions'!$D$25&gt;0,EB35=-'Operating Assumptions'!$D$25),"Pre Lease",IF(AND('Operating Assumptions'!$D$29="No",EB11='Operating Assumptions'!$D$22),"Opening",IF(AND('Operating Assumptions'!$D$29="Yes",EB11='Operating Assumptions'!$D$31),"Phase 1",IF(AND('Operating Assumptions'!$D$29="Yes",EB11='Operating Assumptions'!$D$33),"Full Opening",IF(AND(EB36='Operating Assumptions'!$D$14,EA35&gt;0),"Stablized",IF('Monthly CF'!EB11&lt;&gt;'Operating Assumptions'!$D$22,"",IF(EB35&lt;&gt;-'Operating Assumptions'!$D$25,"",IF(AND(EB36&lt;&gt;'Operating Assumptions'!$D$14,EA35&lt;=0),""))))))))</f>
        <v/>
      </c>
      <c r="EC32" s="68" t="str">
        <f>IF(AND('Operating Assumptions'!$D$25&gt;0,EC35=-'Operating Assumptions'!$D$25),"Pre Lease",IF(AND('Operating Assumptions'!$D$29="No",EC11='Operating Assumptions'!$D$22),"Opening",IF(AND('Operating Assumptions'!$D$29="Yes",EC11='Operating Assumptions'!$D$31),"Phase 1",IF(AND('Operating Assumptions'!$D$29="Yes",EC11='Operating Assumptions'!$D$33),"Full Opening",IF(AND(EC36='Operating Assumptions'!$D$14,EB35&gt;0),"Stablized",IF('Monthly CF'!EC11&lt;&gt;'Operating Assumptions'!$D$22,"",IF(EC35&lt;&gt;-'Operating Assumptions'!$D$25,"",IF(AND(EC36&lt;&gt;'Operating Assumptions'!$D$14,EB35&lt;=0),""))))))))</f>
        <v/>
      </c>
      <c r="ED32" s="68" t="str">
        <f>IF(AND('Operating Assumptions'!$D$25&gt;0,ED35=-'Operating Assumptions'!$D$25),"Pre Lease",IF(AND('Operating Assumptions'!$D$29="No",ED11='Operating Assumptions'!$D$22),"Opening",IF(AND('Operating Assumptions'!$D$29="Yes",ED11='Operating Assumptions'!$D$31),"Phase 1",IF(AND('Operating Assumptions'!$D$29="Yes",ED11='Operating Assumptions'!$D$33),"Full Opening",IF(AND(ED36='Operating Assumptions'!$D$14,EC35&gt;0),"Stablized",IF('Monthly CF'!ED11&lt;&gt;'Operating Assumptions'!$D$22,"",IF(ED35&lt;&gt;-'Operating Assumptions'!$D$25,"",IF(AND(ED36&lt;&gt;'Operating Assumptions'!$D$14,EC35&lt;=0),""))))))))</f>
        <v/>
      </c>
      <c r="EE32" s="68" t="str">
        <f>IF(AND('Operating Assumptions'!$D$25&gt;0,EE35=-'Operating Assumptions'!$D$25),"Pre Lease",IF(AND('Operating Assumptions'!$D$29="No",EE11='Operating Assumptions'!$D$22),"Opening",IF(AND('Operating Assumptions'!$D$29="Yes",EE11='Operating Assumptions'!$D$31),"Phase 1",IF(AND('Operating Assumptions'!$D$29="Yes",EE11='Operating Assumptions'!$D$33),"Full Opening",IF(AND(EE36='Operating Assumptions'!$D$14,ED35&gt;0),"Stablized",IF('Monthly CF'!EE11&lt;&gt;'Operating Assumptions'!$D$22,"",IF(EE35&lt;&gt;-'Operating Assumptions'!$D$25,"",IF(AND(EE36&lt;&gt;'Operating Assumptions'!$D$14,ED35&lt;=0),""))))))))</f>
        <v/>
      </c>
      <c r="EF32" s="68" t="str">
        <f>IF(AND('Operating Assumptions'!$D$25&gt;0,EF35=-'Operating Assumptions'!$D$25),"Pre Lease",IF(AND('Operating Assumptions'!$D$29="No",EF11='Operating Assumptions'!$D$22),"Opening",IF(AND('Operating Assumptions'!$D$29="Yes",EF11='Operating Assumptions'!$D$31),"Phase 1",IF(AND('Operating Assumptions'!$D$29="Yes",EF11='Operating Assumptions'!$D$33),"Full Opening",IF(AND(EF36='Operating Assumptions'!$D$14,EE35&gt;0),"Stablized",IF('Monthly CF'!EF11&lt;&gt;'Operating Assumptions'!$D$22,"",IF(EF35&lt;&gt;-'Operating Assumptions'!$D$25,"",IF(AND(EF36&lt;&gt;'Operating Assumptions'!$D$14,EE35&lt;=0),""))))))))</f>
        <v/>
      </c>
      <c r="EG32" s="68" t="str">
        <f>IF(AND('Operating Assumptions'!$D$25&gt;0,EG35=-'Operating Assumptions'!$D$25),"Pre Lease",IF(AND('Operating Assumptions'!$D$29="No",EG11='Operating Assumptions'!$D$22),"Opening",IF(AND('Operating Assumptions'!$D$29="Yes",EG11='Operating Assumptions'!$D$31),"Phase 1",IF(AND('Operating Assumptions'!$D$29="Yes",EG11='Operating Assumptions'!$D$33),"Full Opening",IF(AND(EG36='Operating Assumptions'!$D$14,EF35&gt;0),"Stablized",IF('Monthly CF'!EG11&lt;&gt;'Operating Assumptions'!$D$22,"",IF(EG35&lt;&gt;-'Operating Assumptions'!$D$25,"",IF(AND(EG36&lt;&gt;'Operating Assumptions'!$D$14,EF35&lt;=0),""))))))))</f>
        <v/>
      </c>
      <c r="EH32" s="68" t="str">
        <f>IF(AND('Operating Assumptions'!$D$25&gt;0,EH35=-'Operating Assumptions'!$D$25),"Pre Lease",IF(AND('Operating Assumptions'!$D$29="No",EH11='Operating Assumptions'!$D$22),"Opening",IF(AND('Operating Assumptions'!$D$29="Yes",EH11='Operating Assumptions'!$D$31),"Phase 1",IF(AND('Operating Assumptions'!$D$29="Yes",EH11='Operating Assumptions'!$D$33),"Full Opening",IF(AND(EH36='Operating Assumptions'!$D$14,EG35&gt;0),"Stablized",IF('Monthly CF'!EH11&lt;&gt;'Operating Assumptions'!$D$22,"",IF(EH35&lt;&gt;-'Operating Assumptions'!$D$25,"",IF(AND(EH36&lt;&gt;'Operating Assumptions'!$D$14,EG35&lt;=0),""))))))))</f>
        <v/>
      </c>
      <c r="EI32" s="68" t="str">
        <f>IF(AND('Operating Assumptions'!$D$25&gt;0,EI35=-'Operating Assumptions'!$D$25),"Pre Lease",IF(AND('Operating Assumptions'!$D$29="No",EI11='Operating Assumptions'!$D$22),"Opening",IF(AND('Operating Assumptions'!$D$29="Yes",EI11='Operating Assumptions'!$D$31),"Phase 1",IF(AND('Operating Assumptions'!$D$29="Yes",EI11='Operating Assumptions'!$D$33),"Full Opening",IF(AND(EI36='Operating Assumptions'!$D$14,EH35&gt;0),"Stablized",IF('Monthly CF'!EI11&lt;&gt;'Operating Assumptions'!$D$22,"",IF(EI35&lt;&gt;-'Operating Assumptions'!$D$25,"",IF(AND(EI36&lt;&gt;'Operating Assumptions'!$D$14,EH35&lt;=0),""))))))))</f>
        <v/>
      </c>
      <c r="EJ32" s="68" t="str">
        <f>IF(AND('Operating Assumptions'!$D$25&gt;0,EJ35=-'Operating Assumptions'!$D$25),"Pre Lease",IF(AND('Operating Assumptions'!$D$29="No",EJ11='Operating Assumptions'!$D$22),"Opening",IF(AND('Operating Assumptions'!$D$29="Yes",EJ11='Operating Assumptions'!$D$31),"Phase 1",IF(AND('Operating Assumptions'!$D$29="Yes",EJ11='Operating Assumptions'!$D$33),"Full Opening",IF(AND(EJ36='Operating Assumptions'!$D$14,EI35&gt;0),"Stablized",IF('Monthly CF'!EJ11&lt;&gt;'Operating Assumptions'!$D$22,"",IF(EJ35&lt;&gt;-'Operating Assumptions'!$D$25,"",IF(AND(EJ36&lt;&gt;'Operating Assumptions'!$D$14,EI35&lt;=0),""))))))))</f>
        <v/>
      </c>
      <c r="EK32" s="68" t="str">
        <f>IF(AND('Operating Assumptions'!$D$25&gt;0,EK35=-'Operating Assumptions'!$D$25),"Pre Lease",IF(AND('Operating Assumptions'!$D$29="No",EK11='Operating Assumptions'!$D$22),"Opening",IF(AND('Operating Assumptions'!$D$29="Yes",EK11='Operating Assumptions'!$D$31),"Phase 1",IF(AND('Operating Assumptions'!$D$29="Yes",EK11='Operating Assumptions'!$D$33),"Full Opening",IF(AND(EK36='Operating Assumptions'!$D$14,EJ35&gt;0),"Stablized",IF('Monthly CF'!EK11&lt;&gt;'Operating Assumptions'!$D$22,"",IF(EK35&lt;&gt;-'Operating Assumptions'!$D$25,"",IF(AND(EK36&lt;&gt;'Operating Assumptions'!$D$14,EJ35&lt;=0),""))))))))</f>
        <v/>
      </c>
      <c r="EL32" s="68" t="str">
        <f>IF(AND('Operating Assumptions'!$D$25&gt;0,EL35=-'Operating Assumptions'!$D$25),"Pre Lease",IF(AND('Operating Assumptions'!$D$29="No",EL11='Operating Assumptions'!$D$22),"Opening",IF(AND('Operating Assumptions'!$D$29="Yes",EL11='Operating Assumptions'!$D$31),"Phase 1",IF(AND('Operating Assumptions'!$D$29="Yes",EL11='Operating Assumptions'!$D$33),"Full Opening",IF(AND(EL36='Operating Assumptions'!$D$14,EK35&gt;0),"Stablized",IF('Monthly CF'!EL11&lt;&gt;'Operating Assumptions'!$D$22,"",IF(EL35&lt;&gt;-'Operating Assumptions'!$D$25,"",IF(AND(EL36&lt;&gt;'Operating Assumptions'!$D$14,EK35&lt;=0),""))))))))</f>
        <v/>
      </c>
      <c r="EM32" s="68" t="str">
        <f>IF(AND('Operating Assumptions'!$D$25&gt;0,EM35=-'Operating Assumptions'!$D$25),"Pre Lease",IF(AND('Operating Assumptions'!$D$29="No",EM11='Operating Assumptions'!$D$22),"Opening",IF(AND('Operating Assumptions'!$D$29="Yes",EM11='Operating Assumptions'!$D$31),"Phase 1",IF(AND('Operating Assumptions'!$D$29="Yes",EM11='Operating Assumptions'!$D$33),"Full Opening",IF(AND(EM36='Operating Assumptions'!$D$14,EL35&gt;0),"Stablized",IF('Monthly CF'!EM11&lt;&gt;'Operating Assumptions'!$D$22,"",IF(EM35&lt;&gt;-'Operating Assumptions'!$D$25,"",IF(AND(EM36&lt;&gt;'Operating Assumptions'!$D$14,EL35&lt;=0),""))))))))</f>
        <v/>
      </c>
      <c r="EN32" s="68" t="str">
        <f>IF(AND('Operating Assumptions'!$D$25&gt;0,EN35=-'Operating Assumptions'!$D$25),"Pre Lease",IF(AND('Operating Assumptions'!$D$29="No",EN11='Operating Assumptions'!$D$22),"Opening",IF(AND('Operating Assumptions'!$D$29="Yes",EN11='Operating Assumptions'!$D$31),"Phase 1",IF(AND('Operating Assumptions'!$D$29="Yes",EN11='Operating Assumptions'!$D$33),"Full Opening",IF(AND(EN36='Operating Assumptions'!$D$14,EM35&gt;0),"Stablized",IF('Monthly CF'!EN11&lt;&gt;'Operating Assumptions'!$D$22,"",IF(EN35&lt;&gt;-'Operating Assumptions'!$D$25,"",IF(AND(EN36&lt;&gt;'Operating Assumptions'!$D$14,EM35&lt;=0),""))))))))</f>
        <v/>
      </c>
      <c r="EO32" s="68" t="str">
        <f>IF(AND('Operating Assumptions'!$D$25&gt;0,EO35=-'Operating Assumptions'!$D$25),"Pre Lease",IF(AND('Operating Assumptions'!$D$29="No",EO11='Operating Assumptions'!$D$22),"Opening",IF(AND('Operating Assumptions'!$D$29="Yes",EO11='Operating Assumptions'!$D$31),"Phase 1",IF(AND('Operating Assumptions'!$D$29="Yes",EO11='Operating Assumptions'!$D$33),"Full Opening",IF(AND(EO36='Operating Assumptions'!$D$14,EN35&gt;0),"Stablized",IF('Monthly CF'!EO11&lt;&gt;'Operating Assumptions'!$D$22,"",IF(EO35&lt;&gt;-'Operating Assumptions'!$D$25,"",IF(AND(EO36&lt;&gt;'Operating Assumptions'!$D$14,EN35&lt;=0),""))))))))</f>
        <v/>
      </c>
      <c r="EP32" s="68" t="str">
        <f>IF(AND('Operating Assumptions'!$D$25&gt;0,EP35=-'Operating Assumptions'!$D$25),"Pre Lease",IF(AND('Operating Assumptions'!$D$29="No",EP11='Operating Assumptions'!$D$22),"Opening",IF(AND('Operating Assumptions'!$D$29="Yes",EP11='Operating Assumptions'!$D$31),"Phase 1",IF(AND('Operating Assumptions'!$D$29="Yes",EP11='Operating Assumptions'!$D$33),"Full Opening",IF(AND(EP36='Operating Assumptions'!$D$14,EO35&gt;0),"Stablized",IF('Monthly CF'!EP11&lt;&gt;'Operating Assumptions'!$D$22,"",IF(EP35&lt;&gt;-'Operating Assumptions'!$D$25,"",IF(AND(EP36&lt;&gt;'Operating Assumptions'!$D$14,EO35&lt;=0),""))))))))</f>
        <v/>
      </c>
      <c r="EQ32" s="68" t="str">
        <f>IF(AND('Operating Assumptions'!$D$25&gt;0,EQ35=-'Operating Assumptions'!$D$25),"Pre Lease",IF(AND('Operating Assumptions'!$D$29="No",EQ11='Operating Assumptions'!$D$22),"Opening",IF(AND('Operating Assumptions'!$D$29="Yes",EQ11='Operating Assumptions'!$D$31),"Phase 1",IF(AND('Operating Assumptions'!$D$29="Yes",EQ11='Operating Assumptions'!$D$33),"Full Opening",IF(AND(EQ36='Operating Assumptions'!$D$14,EP35&gt;0),"Stablized",IF('Monthly CF'!EQ11&lt;&gt;'Operating Assumptions'!$D$22,"",IF(EQ35&lt;&gt;-'Operating Assumptions'!$D$25,"",IF(AND(EQ36&lt;&gt;'Operating Assumptions'!$D$14,EP35&lt;=0),""))))))))</f>
        <v/>
      </c>
      <c r="ER32" s="68" t="str">
        <f>IF(AND('Operating Assumptions'!$D$25&gt;0,ER35=-'Operating Assumptions'!$D$25),"Pre Lease",IF(AND('Operating Assumptions'!$D$29="No",ER11='Operating Assumptions'!$D$22),"Opening",IF(AND('Operating Assumptions'!$D$29="Yes",ER11='Operating Assumptions'!$D$31),"Phase 1",IF(AND('Operating Assumptions'!$D$29="Yes",ER11='Operating Assumptions'!$D$33),"Full Opening",IF(AND(ER36='Operating Assumptions'!$D$14,EQ35&gt;0),"Stablized",IF('Monthly CF'!ER11&lt;&gt;'Operating Assumptions'!$D$22,"",IF(ER35&lt;&gt;-'Operating Assumptions'!$D$25,"",IF(AND(ER36&lt;&gt;'Operating Assumptions'!$D$14,EQ35&lt;=0),""))))))))</f>
        <v/>
      </c>
      <c r="ES32" s="68" t="str">
        <f>IF(AND('Operating Assumptions'!$D$25&gt;0,ES35=-'Operating Assumptions'!$D$25),"Pre Lease",IF(AND('Operating Assumptions'!$D$29="No",ES11='Operating Assumptions'!$D$22),"Opening",IF(AND('Operating Assumptions'!$D$29="Yes",ES11='Operating Assumptions'!$D$31),"Phase 1",IF(AND('Operating Assumptions'!$D$29="Yes",ES11='Operating Assumptions'!$D$33),"Full Opening",IF(AND(ES36='Operating Assumptions'!$D$14,ER35&gt;0),"Stablized",IF('Monthly CF'!ES11&lt;&gt;'Operating Assumptions'!$D$22,"",IF(ES35&lt;&gt;-'Operating Assumptions'!$D$25,"",IF(AND(ES36&lt;&gt;'Operating Assumptions'!$D$14,ER35&lt;=0),""))))))))</f>
        <v/>
      </c>
      <c r="ET32" s="68" t="str">
        <f>IF(AND('Operating Assumptions'!$D$25&gt;0,ET35=-'Operating Assumptions'!$D$25),"Pre Lease",IF(AND('Operating Assumptions'!$D$29="No",ET11='Operating Assumptions'!$D$22),"Opening",IF(AND('Operating Assumptions'!$D$29="Yes",ET11='Operating Assumptions'!$D$31),"Phase 1",IF(AND('Operating Assumptions'!$D$29="Yes",ET11='Operating Assumptions'!$D$33),"Full Opening",IF(AND(ET36='Operating Assumptions'!$D$14,ES35&gt;0),"Stablized",IF('Monthly CF'!ET11&lt;&gt;'Operating Assumptions'!$D$22,"",IF(ET35&lt;&gt;-'Operating Assumptions'!$D$25,"",IF(AND(ET36&lt;&gt;'Operating Assumptions'!$D$14,ES35&lt;=0),""))))))))</f>
        <v/>
      </c>
      <c r="EU32" s="68" t="str">
        <f>IF(AND('Operating Assumptions'!$D$25&gt;0,EU35=-'Operating Assumptions'!$D$25),"Pre Lease",IF(AND('Operating Assumptions'!$D$29="No",EU11='Operating Assumptions'!$D$22),"Opening",IF(AND('Operating Assumptions'!$D$29="Yes",EU11='Operating Assumptions'!$D$31),"Phase 1",IF(AND('Operating Assumptions'!$D$29="Yes",EU11='Operating Assumptions'!$D$33),"Full Opening",IF(AND(EU36='Operating Assumptions'!$D$14,ET35&gt;0),"Stablized",IF('Monthly CF'!EU11&lt;&gt;'Operating Assumptions'!$D$22,"",IF(EU35&lt;&gt;-'Operating Assumptions'!$D$25,"",IF(AND(EU36&lt;&gt;'Operating Assumptions'!$D$14,ET35&lt;=0),""))))))))</f>
        <v/>
      </c>
      <c r="EV32" s="68" t="str">
        <f>IF(AND('Operating Assumptions'!$D$25&gt;0,EV35=-'Operating Assumptions'!$D$25),"Pre Lease",IF(AND('Operating Assumptions'!$D$29="No",EV11='Operating Assumptions'!$D$22),"Opening",IF(AND('Operating Assumptions'!$D$29="Yes",EV11='Operating Assumptions'!$D$31),"Phase 1",IF(AND('Operating Assumptions'!$D$29="Yes",EV11='Operating Assumptions'!$D$33),"Full Opening",IF(AND(EV36='Operating Assumptions'!$D$14,EU35&gt;0),"Stablized",IF('Monthly CF'!EV11&lt;&gt;'Operating Assumptions'!$D$22,"",IF(EV35&lt;&gt;-'Operating Assumptions'!$D$25,"",IF(AND(EV36&lt;&gt;'Operating Assumptions'!$D$14,EU35&lt;=0),""))))))))</f>
        <v/>
      </c>
      <c r="EW32" s="68" t="str">
        <f>IF(AND('Operating Assumptions'!$D$25&gt;0,EW35=-'Operating Assumptions'!$D$25),"Pre Lease",IF(AND('Operating Assumptions'!$D$29="No",EW11='Operating Assumptions'!$D$22),"Opening",IF(AND('Operating Assumptions'!$D$29="Yes",EW11='Operating Assumptions'!$D$31),"Phase 1",IF(AND('Operating Assumptions'!$D$29="Yes",EW11='Operating Assumptions'!$D$33),"Full Opening",IF(AND(EW36='Operating Assumptions'!$D$14,EV35&gt;0),"Stablized",IF('Monthly CF'!EW11&lt;&gt;'Operating Assumptions'!$D$22,"",IF(EW35&lt;&gt;-'Operating Assumptions'!$D$25,"",IF(AND(EW36&lt;&gt;'Operating Assumptions'!$D$14,EV35&lt;=0),""))))))))</f>
        <v/>
      </c>
      <c r="EX32" s="68" t="str">
        <f>IF(AND('Operating Assumptions'!$D$25&gt;0,EX35=-'Operating Assumptions'!$D$25),"Pre Lease",IF(AND('Operating Assumptions'!$D$29="No",EX11='Operating Assumptions'!$D$22),"Opening",IF(AND('Operating Assumptions'!$D$29="Yes",EX11='Operating Assumptions'!$D$31),"Phase 1",IF(AND('Operating Assumptions'!$D$29="Yes",EX11='Operating Assumptions'!$D$33),"Full Opening",IF(AND(EX36='Operating Assumptions'!$D$14,EW35&gt;0),"Stablized",IF('Monthly CF'!EX11&lt;&gt;'Operating Assumptions'!$D$22,"",IF(EX35&lt;&gt;-'Operating Assumptions'!$D$25,"",IF(AND(EX36&lt;&gt;'Operating Assumptions'!$D$14,EW35&lt;=0),""))))))))</f>
        <v/>
      </c>
      <c r="EY32" s="68" t="str">
        <f>IF(AND('Operating Assumptions'!$D$25&gt;0,EY35=-'Operating Assumptions'!$D$25),"Pre Lease",IF(AND('Operating Assumptions'!$D$29="No",EY11='Operating Assumptions'!$D$22),"Opening",IF(AND('Operating Assumptions'!$D$29="Yes",EY11='Operating Assumptions'!$D$31),"Phase 1",IF(AND('Operating Assumptions'!$D$29="Yes",EY11='Operating Assumptions'!$D$33),"Full Opening",IF(AND(EY36='Operating Assumptions'!$D$14,EX35&gt;0),"Stablized",IF('Monthly CF'!EY11&lt;&gt;'Operating Assumptions'!$D$22,"",IF(EY35&lt;&gt;-'Operating Assumptions'!$D$25,"",IF(AND(EY36&lt;&gt;'Operating Assumptions'!$D$14,EX35&lt;=0),""))))))))</f>
        <v/>
      </c>
      <c r="EZ32" s="68" t="str">
        <f>IF(AND('Operating Assumptions'!$D$25&gt;0,EZ35=-'Operating Assumptions'!$D$25),"Pre Lease",IF(AND('Operating Assumptions'!$D$29="No",EZ11='Operating Assumptions'!$D$22),"Opening",IF(AND('Operating Assumptions'!$D$29="Yes",EZ11='Operating Assumptions'!$D$31),"Phase 1",IF(AND('Operating Assumptions'!$D$29="Yes",EZ11='Operating Assumptions'!$D$33),"Full Opening",IF(AND(EZ36='Operating Assumptions'!$D$14,EY35&gt;0),"Stablized",IF('Monthly CF'!EZ11&lt;&gt;'Operating Assumptions'!$D$22,"",IF(EZ35&lt;&gt;-'Operating Assumptions'!$D$25,"",IF(AND(EZ36&lt;&gt;'Operating Assumptions'!$D$14,EY35&lt;=0),""))))))))</f>
        <v/>
      </c>
      <c r="FA32" s="68" t="str">
        <f>IF(AND('Operating Assumptions'!$D$25&gt;0,FA35=-'Operating Assumptions'!$D$25),"Pre Lease",IF(AND('Operating Assumptions'!$D$29="No",FA11='Operating Assumptions'!$D$22),"Opening",IF(AND('Operating Assumptions'!$D$29="Yes",FA11='Operating Assumptions'!$D$31),"Phase 1",IF(AND('Operating Assumptions'!$D$29="Yes",FA11='Operating Assumptions'!$D$33),"Full Opening",IF(AND(FA36='Operating Assumptions'!$D$14,EZ35&gt;0),"Stablized",IF('Monthly CF'!FA11&lt;&gt;'Operating Assumptions'!$D$22,"",IF(FA35&lt;&gt;-'Operating Assumptions'!$D$25,"",IF(AND(FA36&lt;&gt;'Operating Assumptions'!$D$14,EZ35&lt;=0),""))))))))</f>
        <v/>
      </c>
      <c r="FB32" s="68" t="str">
        <f>IF(AND('Operating Assumptions'!$D$25&gt;0,FB35=-'Operating Assumptions'!$D$25),"Pre Lease",IF(AND('Operating Assumptions'!$D$29="No",FB11='Operating Assumptions'!$D$22),"Opening",IF(AND('Operating Assumptions'!$D$29="Yes",FB11='Operating Assumptions'!$D$31),"Phase 1",IF(AND('Operating Assumptions'!$D$29="Yes",FB11='Operating Assumptions'!$D$33),"Full Opening",IF(AND(FB36='Operating Assumptions'!$D$14,FA35&gt;0),"Stablized",IF('Monthly CF'!FB11&lt;&gt;'Operating Assumptions'!$D$22,"",IF(FB35&lt;&gt;-'Operating Assumptions'!$D$25,"",IF(AND(FB36&lt;&gt;'Operating Assumptions'!$D$14,FA35&lt;=0),""))))))))</f>
        <v/>
      </c>
      <c r="FC32" s="68" t="str">
        <f>IF(AND('Operating Assumptions'!$D$25&gt;0,FC35=-'Operating Assumptions'!$D$25),"Pre Lease",IF(AND('Operating Assumptions'!$D$29="No",FC11='Operating Assumptions'!$D$22),"Opening",IF(AND('Operating Assumptions'!$D$29="Yes",FC11='Operating Assumptions'!$D$31),"Phase 1",IF(AND('Operating Assumptions'!$D$29="Yes",FC11='Operating Assumptions'!$D$33),"Full Opening",IF(AND(FC36='Operating Assumptions'!$D$14,FB35&gt;0),"Stablized",IF('Monthly CF'!FC11&lt;&gt;'Operating Assumptions'!$D$22,"",IF(FC35&lt;&gt;-'Operating Assumptions'!$D$25,"",IF(AND(FC36&lt;&gt;'Operating Assumptions'!$D$14,FB35&lt;=0),""))))))))</f>
        <v/>
      </c>
      <c r="FD32" s="68" t="str">
        <f>IF(AND('Operating Assumptions'!$D$25&gt;0,FD35=-'Operating Assumptions'!$D$25),"Pre Lease",IF(AND('Operating Assumptions'!$D$29="No",FD11='Operating Assumptions'!$D$22),"Opening",IF(AND('Operating Assumptions'!$D$29="Yes",FD11='Operating Assumptions'!$D$31),"Phase 1",IF(AND('Operating Assumptions'!$D$29="Yes",FD11='Operating Assumptions'!$D$33),"Full Opening",IF(AND(FD36='Operating Assumptions'!$D$14,FC35&gt;0),"Stablized",IF('Monthly CF'!FD11&lt;&gt;'Operating Assumptions'!$D$22,"",IF(FD35&lt;&gt;-'Operating Assumptions'!$D$25,"",IF(AND(FD36&lt;&gt;'Operating Assumptions'!$D$14,FC35&lt;=0),""))))))))</f>
        <v/>
      </c>
      <c r="FE32" s="68" t="str">
        <f>IF(AND('Operating Assumptions'!$D$25&gt;0,FE35=-'Operating Assumptions'!$D$25),"Pre Lease",IF(AND('Operating Assumptions'!$D$29="No",FE11='Operating Assumptions'!$D$22),"Opening",IF(AND('Operating Assumptions'!$D$29="Yes",FE11='Operating Assumptions'!$D$31),"Phase 1",IF(AND('Operating Assumptions'!$D$29="Yes",FE11='Operating Assumptions'!$D$33),"Full Opening",IF(AND(FE36='Operating Assumptions'!$D$14,FD35&gt;0),"Stablized",IF('Monthly CF'!FE11&lt;&gt;'Operating Assumptions'!$D$22,"",IF(FE35&lt;&gt;-'Operating Assumptions'!$D$25,"",IF(AND(FE36&lt;&gt;'Operating Assumptions'!$D$14,FD35&lt;=0),""))))))))</f>
        <v/>
      </c>
      <c r="FF32" s="68" t="str">
        <f>IF(AND('Operating Assumptions'!$D$25&gt;0,FF35=-'Operating Assumptions'!$D$25),"Pre Lease",IF(AND('Operating Assumptions'!$D$29="No",FF11='Operating Assumptions'!$D$22),"Opening",IF(AND('Operating Assumptions'!$D$29="Yes",FF11='Operating Assumptions'!$D$31),"Phase 1",IF(AND('Operating Assumptions'!$D$29="Yes",FF11='Operating Assumptions'!$D$33),"Full Opening",IF(AND(FF36='Operating Assumptions'!$D$14,FE35&gt;0),"Stablized",IF('Monthly CF'!FF11&lt;&gt;'Operating Assumptions'!$D$22,"",IF(FF35&lt;&gt;-'Operating Assumptions'!$D$25,"",IF(AND(FF36&lt;&gt;'Operating Assumptions'!$D$14,FE35&lt;=0),""))))))))</f>
        <v/>
      </c>
      <c r="FG32" s="68" t="str">
        <f>IF(AND('Operating Assumptions'!$D$25&gt;0,FG35=-'Operating Assumptions'!$D$25),"Pre Lease",IF(AND('Operating Assumptions'!$D$29="No",FG11='Operating Assumptions'!$D$22),"Opening",IF(AND('Operating Assumptions'!$D$29="Yes",FG11='Operating Assumptions'!$D$31),"Phase 1",IF(AND('Operating Assumptions'!$D$29="Yes",FG11='Operating Assumptions'!$D$33),"Full Opening",IF(AND(FG36='Operating Assumptions'!$D$14,FF35&gt;0),"Stablized",IF('Monthly CF'!FG11&lt;&gt;'Operating Assumptions'!$D$22,"",IF(FG35&lt;&gt;-'Operating Assumptions'!$D$25,"",IF(AND(FG36&lt;&gt;'Operating Assumptions'!$D$14,FF35&lt;=0),""))))))))</f>
        <v/>
      </c>
      <c r="FH32" s="68" t="str">
        <f>IF(AND('Operating Assumptions'!$D$25&gt;0,FH35=-'Operating Assumptions'!$D$25),"Pre Lease",IF(AND('Operating Assumptions'!$D$29="No",FH11='Operating Assumptions'!$D$22),"Opening",IF(AND('Operating Assumptions'!$D$29="Yes",FH11='Operating Assumptions'!$D$31),"Phase 1",IF(AND('Operating Assumptions'!$D$29="Yes",FH11='Operating Assumptions'!$D$33),"Full Opening",IF(AND(FH36='Operating Assumptions'!$D$14,FG35&gt;0),"Stablized",IF('Monthly CF'!FH11&lt;&gt;'Operating Assumptions'!$D$22,"",IF(FH35&lt;&gt;-'Operating Assumptions'!$D$25,"",IF(AND(FH36&lt;&gt;'Operating Assumptions'!$D$14,FG35&lt;=0),""))))))))</f>
        <v/>
      </c>
      <c r="FI32" s="68" t="str">
        <f>IF(AND('Operating Assumptions'!$D$25&gt;0,FI35=-'Operating Assumptions'!$D$25),"Pre Lease",IF(AND('Operating Assumptions'!$D$29="No",FI11='Operating Assumptions'!$D$22),"Opening",IF(AND('Operating Assumptions'!$D$29="Yes",FI11='Operating Assumptions'!$D$31),"Phase 1",IF(AND('Operating Assumptions'!$D$29="Yes",FI11='Operating Assumptions'!$D$33),"Full Opening",IF(AND(FI36='Operating Assumptions'!$D$14,FH35&gt;0),"Stablized",IF('Monthly CF'!FI11&lt;&gt;'Operating Assumptions'!$D$22,"",IF(FI35&lt;&gt;-'Operating Assumptions'!$D$25,"",IF(AND(FI36&lt;&gt;'Operating Assumptions'!$D$14,FH35&lt;=0),""))))))))</f>
        <v/>
      </c>
      <c r="FJ32" s="68" t="str">
        <f>IF(AND('Operating Assumptions'!$D$25&gt;0,FJ35=-'Operating Assumptions'!$D$25),"Pre Lease",IF(AND('Operating Assumptions'!$D$29="No",FJ11='Operating Assumptions'!$D$22),"Opening",IF(AND('Operating Assumptions'!$D$29="Yes",FJ11='Operating Assumptions'!$D$31),"Phase 1",IF(AND('Operating Assumptions'!$D$29="Yes",FJ11='Operating Assumptions'!$D$33),"Full Opening",IF(AND(FJ36='Operating Assumptions'!$D$14,FI35&gt;0),"Stablized",IF('Monthly CF'!FJ11&lt;&gt;'Operating Assumptions'!$D$22,"",IF(FJ35&lt;&gt;-'Operating Assumptions'!$D$25,"",IF(AND(FJ36&lt;&gt;'Operating Assumptions'!$D$14,FI35&lt;=0),""))))))))</f>
        <v/>
      </c>
      <c r="FK32" s="68" t="str">
        <f>IF(AND('Operating Assumptions'!$D$25&gt;0,FK35=-'Operating Assumptions'!$D$25),"Pre Lease",IF(AND('Operating Assumptions'!$D$29="No",FK11='Operating Assumptions'!$D$22),"Opening",IF(AND('Operating Assumptions'!$D$29="Yes",FK11='Operating Assumptions'!$D$31),"Phase 1",IF(AND('Operating Assumptions'!$D$29="Yes",FK11='Operating Assumptions'!$D$33),"Full Opening",IF(AND(FK36='Operating Assumptions'!$D$14,FJ35&gt;0),"Stablized",IF('Monthly CF'!FK11&lt;&gt;'Operating Assumptions'!$D$22,"",IF(FK35&lt;&gt;-'Operating Assumptions'!$D$25,"",IF(AND(FK36&lt;&gt;'Operating Assumptions'!$D$14,FJ35&lt;=0),""))))))))</f>
        <v/>
      </c>
      <c r="FL32" s="68" t="str">
        <f>IF(AND('Operating Assumptions'!$D$25&gt;0,FL35=-'Operating Assumptions'!$D$25),"Pre Lease",IF(AND('Operating Assumptions'!$D$29="No",FL11='Operating Assumptions'!$D$22),"Opening",IF(AND('Operating Assumptions'!$D$29="Yes",FL11='Operating Assumptions'!$D$31),"Phase 1",IF(AND('Operating Assumptions'!$D$29="Yes",FL11='Operating Assumptions'!$D$33),"Full Opening",IF(AND(FL36='Operating Assumptions'!$D$14,FK35&gt;0),"Stablized",IF('Monthly CF'!FL11&lt;&gt;'Operating Assumptions'!$D$22,"",IF(FL35&lt;&gt;-'Operating Assumptions'!$D$25,"",IF(AND(FL36&lt;&gt;'Operating Assumptions'!$D$14,FK35&lt;=0),""))))))))</f>
        <v/>
      </c>
      <c r="FM32" s="68" t="str">
        <f>IF(AND('Operating Assumptions'!$D$25&gt;0,FM35=-'Operating Assumptions'!$D$25),"Pre Lease",IF(AND('Operating Assumptions'!$D$29="No",FM11='Operating Assumptions'!$D$22),"Opening",IF(AND('Operating Assumptions'!$D$29="Yes",FM11='Operating Assumptions'!$D$31),"Phase 1",IF(AND('Operating Assumptions'!$D$29="Yes",FM11='Operating Assumptions'!$D$33),"Full Opening",IF(AND(FM36='Operating Assumptions'!$D$14,FL35&gt;0),"Stablized",IF('Monthly CF'!FM11&lt;&gt;'Operating Assumptions'!$D$22,"",IF(FM35&lt;&gt;-'Operating Assumptions'!$D$25,"",IF(AND(FM36&lt;&gt;'Operating Assumptions'!$D$14,FL35&lt;=0),""))))))))</f>
        <v/>
      </c>
      <c r="FN32" s="68" t="str">
        <f>IF(AND('Operating Assumptions'!$D$25&gt;0,FN35=-'Operating Assumptions'!$D$25),"Pre Lease",IF(AND('Operating Assumptions'!$D$29="No",FN11='Operating Assumptions'!$D$22),"Opening",IF(AND('Operating Assumptions'!$D$29="Yes",FN11='Operating Assumptions'!$D$31),"Phase 1",IF(AND('Operating Assumptions'!$D$29="Yes",FN11='Operating Assumptions'!$D$33),"Full Opening",IF(AND(FN36='Operating Assumptions'!$D$14,FM35&gt;0),"Stablized",IF('Monthly CF'!FN11&lt;&gt;'Operating Assumptions'!$D$22,"",IF(FN35&lt;&gt;-'Operating Assumptions'!$D$25,"",IF(AND(FN36&lt;&gt;'Operating Assumptions'!$D$14,FM35&lt;=0),""))))))))</f>
        <v/>
      </c>
      <c r="FO32" s="68" t="str">
        <f>IF(AND('Operating Assumptions'!$D$25&gt;0,FO35=-'Operating Assumptions'!$D$25),"Pre Lease",IF(AND('Operating Assumptions'!$D$29="No",FO11='Operating Assumptions'!$D$22),"Opening",IF(AND('Operating Assumptions'!$D$29="Yes",FO11='Operating Assumptions'!$D$31),"Phase 1",IF(AND('Operating Assumptions'!$D$29="Yes",FO11='Operating Assumptions'!$D$33),"Full Opening",IF(AND(FO36='Operating Assumptions'!$D$14,FN35&gt;0),"Stablized",IF('Monthly CF'!FO11&lt;&gt;'Operating Assumptions'!$D$22,"",IF(FO35&lt;&gt;-'Operating Assumptions'!$D$25,"",IF(AND(FO36&lt;&gt;'Operating Assumptions'!$D$14,FN35&lt;=0),""))))))))</f>
        <v/>
      </c>
      <c r="FP32" s="68" t="str">
        <f>IF(AND('Operating Assumptions'!$D$25&gt;0,FP35=-'Operating Assumptions'!$D$25),"Pre Lease",IF(AND('Operating Assumptions'!$D$29="No",FP11='Operating Assumptions'!$D$22),"Opening",IF(AND('Operating Assumptions'!$D$29="Yes",FP11='Operating Assumptions'!$D$31),"Phase 1",IF(AND('Operating Assumptions'!$D$29="Yes",FP11='Operating Assumptions'!$D$33),"Full Opening",IF(AND(FP36='Operating Assumptions'!$D$14,FO35&gt;0),"Stablized",IF('Monthly CF'!FP11&lt;&gt;'Operating Assumptions'!$D$22,"",IF(FP35&lt;&gt;-'Operating Assumptions'!$D$25,"",IF(AND(FP36&lt;&gt;'Operating Assumptions'!$D$14,FO35&lt;=0),""))))))))</f>
        <v/>
      </c>
      <c r="FQ32" s="68" t="str">
        <f>IF(AND('Operating Assumptions'!$D$25&gt;0,FQ35=-'Operating Assumptions'!$D$25),"Pre Lease",IF(AND('Operating Assumptions'!$D$29="No",FQ11='Operating Assumptions'!$D$22),"Opening",IF(AND('Operating Assumptions'!$D$29="Yes",FQ11='Operating Assumptions'!$D$31),"Phase 1",IF(AND('Operating Assumptions'!$D$29="Yes",FQ11='Operating Assumptions'!$D$33),"Full Opening",IF(AND(FQ36='Operating Assumptions'!$D$14,FP35&gt;0),"Stablized",IF('Monthly CF'!FQ11&lt;&gt;'Operating Assumptions'!$D$22,"",IF(FQ35&lt;&gt;-'Operating Assumptions'!$D$25,"",IF(AND(FQ36&lt;&gt;'Operating Assumptions'!$D$14,FP35&lt;=0),""))))))))</f>
        <v/>
      </c>
      <c r="FR32" s="68" t="str">
        <f>IF(AND('Operating Assumptions'!$D$25&gt;0,FR35=-'Operating Assumptions'!$D$25),"Pre Lease",IF(AND('Operating Assumptions'!$D$29="No",FR11='Operating Assumptions'!$D$22),"Opening",IF(AND('Operating Assumptions'!$D$29="Yes",FR11='Operating Assumptions'!$D$31),"Phase 1",IF(AND('Operating Assumptions'!$D$29="Yes",FR11='Operating Assumptions'!$D$33),"Full Opening",IF(AND(FR36='Operating Assumptions'!$D$14,FQ35&gt;0),"Stablized",IF('Monthly CF'!FR11&lt;&gt;'Operating Assumptions'!$D$22,"",IF(FR35&lt;&gt;-'Operating Assumptions'!$D$25,"",IF(AND(FR36&lt;&gt;'Operating Assumptions'!$D$14,FQ35&lt;=0),""))))))))</f>
        <v/>
      </c>
      <c r="FS32" s="68" t="str">
        <f>IF(AND('Operating Assumptions'!$D$25&gt;0,FS35=-'Operating Assumptions'!$D$25),"Pre Lease",IF(AND('Operating Assumptions'!$D$29="No",FS11='Operating Assumptions'!$D$22),"Opening",IF(AND('Operating Assumptions'!$D$29="Yes",FS11='Operating Assumptions'!$D$31),"Phase 1",IF(AND('Operating Assumptions'!$D$29="Yes",FS11='Operating Assumptions'!$D$33),"Full Opening",IF(AND(FS36='Operating Assumptions'!$D$14,FR35&gt;0),"Stablized",IF('Monthly CF'!FS11&lt;&gt;'Operating Assumptions'!$D$22,"",IF(FS35&lt;&gt;-'Operating Assumptions'!$D$25,"",IF(AND(FS36&lt;&gt;'Operating Assumptions'!$D$14,FR35&lt;=0),""))))))))</f>
        <v/>
      </c>
      <c r="FT32" s="68" t="str">
        <f>IF(AND('Operating Assumptions'!$D$25&gt;0,FT35=-'Operating Assumptions'!$D$25),"Pre Lease",IF(AND('Operating Assumptions'!$D$29="No",FT11='Operating Assumptions'!$D$22),"Opening",IF(AND('Operating Assumptions'!$D$29="Yes",FT11='Operating Assumptions'!$D$31),"Phase 1",IF(AND('Operating Assumptions'!$D$29="Yes",FT11='Operating Assumptions'!$D$33),"Full Opening",IF(AND(FT36='Operating Assumptions'!$D$14,FS35&gt;0),"Stablized",IF('Monthly CF'!FT11&lt;&gt;'Operating Assumptions'!$D$22,"",IF(FT35&lt;&gt;-'Operating Assumptions'!$D$25,"",IF(AND(FT36&lt;&gt;'Operating Assumptions'!$D$14,FS35&lt;=0),""))))))))</f>
        <v/>
      </c>
      <c r="FU32" s="43"/>
      <c r="FV32" s="34"/>
      <c r="FW32" s="34"/>
      <c r="FX32" s="34"/>
      <c r="FY32" s="34"/>
      <c r="FZ32" s="34"/>
    </row>
    <row r="33" spans="1:182" s="89" customFormat="1" ht="13.5" x14ac:dyDescent="0.25">
      <c r="A33" s="34"/>
      <c r="B33" s="128" t="s">
        <v>228</v>
      </c>
      <c r="C33" s="34"/>
      <c r="D33" s="34"/>
      <c r="E33" s="34"/>
      <c r="F33" s="507">
        <f>'Operating Assumptions'!D14</f>
        <v>240</v>
      </c>
      <c r="G33" s="34"/>
      <c r="H33" s="508">
        <f>IF(AND('Operating Assumptions'!$D$29="No",H11&lt;'Operating Assumptions'!$D$22),0,IF(AND('Operating Assumptions'!$D$29="No",H11&gt;'Operating Assumptions'!$D$22),'Operating Assumptions'!$D$14,IF(AND('Operating Assumptions'!$D$29="Yes",H11&lt;'Operating Assumptions'!$D$31),0,IF(AND('Operating Assumptions'!$D$29="Yes",H11&gt;'Operating Assumptions'!$D$31,H11&lt;'Operating Assumptions'!$D$33),'Operating Assumptions'!$D$32,IF(AND('Operating Assumptions'!$D$29="Yes",H11&gt;'Operating Assumptions'!$D$31,H11&gt;'Operating Assumptions'!$D$33),'Operating Assumptions'!$D$34)))))</f>
        <v>0</v>
      </c>
      <c r="I33" s="508">
        <f>IF(AND('Operating Assumptions'!$D$29="No",I11&lt;'Operating Assumptions'!$D$22),0,IF(AND('Operating Assumptions'!$D$29="No",I11&gt;='Operating Assumptions'!$D$22),'Operating Assumptions'!$D$14-SUM($H$34:H34),IF(AND('Operating Assumptions'!$D$29="Yes",I11&lt;'Operating Assumptions'!$D$31),0,IF(AND('Operating Assumptions'!$D$29="Yes",I11&gt;='Operating Assumptions'!$D$31,I11&lt;'Operating Assumptions'!$D$33),'Operating Assumptions'!$D$32-SUM($H$34:H34),IF(AND('Operating Assumptions'!$D$29="Yes",I11&gt;'Operating Assumptions'!$D$31,I11&gt;='Operating Assumptions'!$D$33),'Operating Assumptions'!$D$14-SUM($H$34:H34))))))</f>
        <v>0</v>
      </c>
      <c r="J33" s="508">
        <f>IF(AND('Operating Assumptions'!$D$29="No",J11&lt;'Operating Assumptions'!$D$22),0,IF(AND('Operating Assumptions'!$D$29="No",J11&gt;='Operating Assumptions'!$D$22),'Operating Assumptions'!$D$14-SUM($H$34:I34),IF(AND('Operating Assumptions'!$D$29="Yes",J11&lt;'Operating Assumptions'!$D$31),0,IF(AND('Operating Assumptions'!$D$29="Yes",J11&gt;='Operating Assumptions'!$D$31,J11&lt;'Operating Assumptions'!$D$33),'Operating Assumptions'!$D$32-SUM($H$34:I34),IF(AND('Operating Assumptions'!$D$29="Yes",J11&gt;'Operating Assumptions'!$D$31,J11&gt;='Operating Assumptions'!$D$33),'Operating Assumptions'!$D$14-SUM($H$34:I34))))))</f>
        <v>0</v>
      </c>
      <c r="K33" s="508">
        <f>IF(AND('Operating Assumptions'!$D$29="No",K11&lt;'Operating Assumptions'!$D$22),0,IF(AND('Operating Assumptions'!$D$29="No",K11&gt;='Operating Assumptions'!$D$22),'Operating Assumptions'!$D$14-SUM($H$34:J34),IF(AND('Operating Assumptions'!$D$29="Yes",K11&lt;'Operating Assumptions'!$D$31),0,IF(AND('Operating Assumptions'!$D$29="Yes",K11&gt;='Operating Assumptions'!$D$31,K11&lt;'Operating Assumptions'!$D$33),'Operating Assumptions'!$D$32-SUM($H$34:J34),IF(AND('Operating Assumptions'!$D$29="Yes",K11&gt;'Operating Assumptions'!$D$31,K11&gt;='Operating Assumptions'!$D$33),'Operating Assumptions'!$D$14-SUM($H$34:J34))))))</f>
        <v>0</v>
      </c>
      <c r="L33" s="508">
        <f>IF(AND('Operating Assumptions'!$D$29="No",L11&lt;'Operating Assumptions'!$D$22),0,IF(AND('Operating Assumptions'!$D$29="No",L11&gt;='Operating Assumptions'!$D$22),'Operating Assumptions'!$D$14-SUM($H$34:K34),IF(AND('Operating Assumptions'!$D$29="Yes",L11&lt;'Operating Assumptions'!$D$31),0,IF(AND('Operating Assumptions'!$D$29="Yes",L11&gt;='Operating Assumptions'!$D$31,L11&lt;'Operating Assumptions'!$D$33),'Operating Assumptions'!$D$32-SUM($H$34:K34),IF(AND('Operating Assumptions'!$D$29="Yes",L11&gt;'Operating Assumptions'!$D$31,L11&gt;='Operating Assumptions'!$D$33),'Operating Assumptions'!$D$14-SUM($H$34:K34))))))</f>
        <v>0</v>
      </c>
      <c r="M33" s="508">
        <f>IF(AND('Operating Assumptions'!$D$29="No",M11&lt;'Operating Assumptions'!$D$22),0,IF(AND('Operating Assumptions'!$D$29="No",M11&gt;='Operating Assumptions'!$D$22),'Operating Assumptions'!$D$14-SUM($H$34:L34),IF(AND('Operating Assumptions'!$D$29="Yes",M11&lt;'Operating Assumptions'!$D$31),0,IF(AND('Operating Assumptions'!$D$29="Yes",M11&gt;='Operating Assumptions'!$D$31,M11&lt;'Operating Assumptions'!$D$33),'Operating Assumptions'!$D$32-SUM($H$34:L34),IF(AND('Operating Assumptions'!$D$29="Yes",M11&gt;'Operating Assumptions'!$D$31,M11&gt;='Operating Assumptions'!$D$33),'Operating Assumptions'!$D$14-SUM($H$34:L34))))))</f>
        <v>0</v>
      </c>
      <c r="N33" s="508">
        <f>IF(AND('Operating Assumptions'!$D$29="No",N11&lt;'Operating Assumptions'!$D$22),0,IF(AND('Operating Assumptions'!$D$29="No",N11&gt;='Operating Assumptions'!$D$22),'Operating Assumptions'!$D$14-SUM($H$34:M34),IF(AND('Operating Assumptions'!$D$29="Yes",N11&lt;'Operating Assumptions'!$D$31),0,IF(AND('Operating Assumptions'!$D$29="Yes",N11&gt;='Operating Assumptions'!$D$31,N11&lt;'Operating Assumptions'!$D$33),'Operating Assumptions'!$D$32-SUM($H$34:M34),IF(AND('Operating Assumptions'!$D$29="Yes",N11&gt;'Operating Assumptions'!$D$31,N11&gt;='Operating Assumptions'!$D$33),'Operating Assumptions'!$D$14-SUM($H$34:M34))))))</f>
        <v>0</v>
      </c>
      <c r="O33" s="508">
        <f>IF(AND('Operating Assumptions'!$D$29="No",O11&lt;'Operating Assumptions'!$D$22),0,IF(AND('Operating Assumptions'!$D$29="No",O11&gt;='Operating Assumptions'!$D$22),'Operating Assumptions'!$D$14-SUM($H$34:N34),IF(AND('Operating Assumptions'!$D$29="Yes",O11&lt;'Operating Assumptions'!$D$31),0,IF(AND('Operating Assumptions'!$D$29="Yes",O11&gt;='Operating Assumptions'!$D$31,O11&lt;'Operating Assumptions'!$D$33),'Operating Assumptions'!$D$32-SUM($H$34:N34),IF(AND('Operating Assumptions'!$D$29="Yes",O11&gt;'Operating Assumptions'!$D$31,O11&gt;='Operating Assumptions'!$D$33),'Operating Assumptions'!$D$14-SUM($H$34:N34))))))</f>
        <v>0</v>
      </c>
      <c r="P33" s="508">
        <f>IF(AND('Operating Assumptions'!$D$29="No",P11&lt;'Operating Assumptions'!$D$22),0,IF(AND('Operating Assumptions'!$D$29="No",P11&gt;='Operating Assumptions'!$D$22),'Operating Assumptions'!$D$14-SUM($H$34:O34),IF(AND('Operating Assumptions'!$D$29="Yes",P11&lt;'Operating Assumptions'!$D$31),0,IF(AND('Operating Assumptions'!$D$29="Yes",P11&gt;='Operating Assumptions'!$D$31,P11&lt;'Operating Assumptions'!$D$33),'Operating Assumptions'!$D$32-SUM($H$34:O34),IF(AND('Operating Assumptions'!$D$29="Yes",P11&gt;'Operating Assumptions'!$D$31,P11&gt;='Operating Assumptions'!$D$33),'Operating Assumptions'!$D$14-SUM($H$34:O34))))))</f>
        <v>0</v>
      </c>
      <c r="Q33" s="508">
        <f>IF(AND('Operating Assumptions'!$D$29="No",Q11&lt;'Operating Assumptions'!$D$22),0,IF(AND('Operating Assumptions'!$D$29="No",Q11&gt;='Operating Assumptions'!$D$22),'Operating Assumptions'!$D$14-SUM($H$34:P34),IF(AND('Operating Assumptions'!$D$29="Yes",Q11&lt;'Operating Assumptions'!$D$31),0,IF(AND('Operating Assumptions'!$D$29="Yes",Q11&gt;='Operating Assumptions'!$D$31,Q11&lt;'Operating Assumptions'!$D$33),'Operating Assumptions'!$D$32-SUM($H$34:P34),IF(AND('Operating Assumptions'!$D$29="Yes",Q11&gt;'Operating Assumptions'!$D$31,Q11&gt;='Operating Assumptions'!$D$33),'Operating Assumptions'!$D$14-SUM($H$34:P34))))))</f>
        <v>0</v>
      </c>
      <c r="R33" s="508">
        <f>IF(AND('Operating Assumptions'!$D$29="No",R11&lt;'Operating Assumptions'!$D$22),0,IF(AND('Operating Assumptions'!$D$29="No",R11&gt;='Operating Assumptions'!$D$22),'Operating Assumptions'!$D$14-SUM($H$34:Q34),IF(AND('Operating Assumptions'!$D$29="Yes",R11&lt;'Operating Assumptions'!$D$31),0,IF(AND('Operating Assumptions'!$D$29="Yes",R11&gt;='Operating Assumptions'!$D$31,R11&lt;'Operating Assumptions'!$D$33),'Operating Assumptions'!$D$32-SUM($H$34:Q34),IF(AND('Operating Assumptions'!$D$29="Yes",R11&gt;'Operating Assumptions'!$D$31,R11&gt;='Operating Assumptions'!$D$33),'Operating Assumptions'!$D$14-SUM($H$34:Q34))))))</f>
        <v>0</v>
      </c>
      <c r="S33" s="508">
        <f>IF(AND('Operating Assumptions'!$D$29="No",S11&lt;'Operating Assumptions'!$D$22),0,IF(AND('Operating Assumptions'!$D$29="No",S11&gt;='Operating Assumptions'!$D$22),'Operating Assumptions'!$D$14-SUM($H$34:R34),IF(AND('Operating Assumptions'!$D$29="Yes",S11&lt;'Operating Assumptions'!$D$31),0,IF(AND('Operating Assumptions'!$D$29="Yes",S11&gt;='Operating Assumptions'!$D$31,S11&lt;'Operating Assumptions'!$D$33),'Operating Assumptions'!$D$32-SUM($H$34:R34),IF(AND('Operating Assumptions'!$D$29="Yes",S11&gt;'Operating Assumptions'!$D$31,S11&gt;='Operating Assumptions'!$D$33),'Operating Assumptions'!$D$14-SUM($H$34:R34))))))</f>
        <v>0</v>
      </c>
      <c r="T33" s="508">
        <f>IF(AND('Operating Assumptions'!$D$29="No",T11&lt;'Operating Assumptions'!$D$22),0,IF(AND('Operating Assumptions'!$D$29="No",T11&gt;='Operating Assumptions'!$D$22),'Operating Assumptions'!$D$14-SUM($H$34:S34),IF(AND('Operating Assumptions'!$D$29="Yes",T11&lt;'Operating Assumptions'!$D$31),0,IF(AND('Operating Assumptions'!$D$29="Yes",T11&gt;='Operating Assumptions'!$D$31,T11&lt;'Operating Assumptions'!$D$33),'Operating Assumptions'!$D$32-SUM($H$34:S34),IF(AND('Operating Assumptions'!$D$29="Yes",T11&gt;'Operating Assumptions'!$D$31,T11&gt;='Operating Assumptions'!$D$33),'Operating Assumptions'!$D$14-SUM($H$34:S34))))))</f>
        <v>0</v>
      </c>
      <c r="U33" s="508">
        <f>IF(AND('Operating Assumptions'!$D$29="No",U11&lt;'Operating Assumptions'!$D$22),0,IF(AND('Operating Assumptions'!$D$29="No",U11&gt;='Operating Assumptions'!$D$22),'Operating Assumptions'!$D$14-SUM($H$34:T34),IF(AND('Operating Assumptions'!$D$29="Yes",U11&lt;'Operating Assumptions'!$D$31),0,IF(AND('Operating Assumptions'!$D$29="Yes",U11&gt;='Operating Assumptions'!$D$31,U11&lt;'Operating Assumptions'!$D$33),'Operating Assumptions'!$D$32-SUM($H$34:T34),IF(AND('Operating Assumptions'!$D$29="Yes",U11&gt;'Operating Assumptions'!$D$31,U11&gt;='Operating Assumptions'!$D$33),'Operating Assumptions'!$D$14-SUM($H$34:T34))))))</f>
        <v>0</v>
      </c>
      <c r="V33" s="508">
        <f>IF(AND('Operating Assumptions'!$D$29="No",V11&lt;'Operating Assumptions'!$D$22),0,IF(AND('Operating Assumptions'!$D$29="No",V11&gt;='Operating Assumptions'!$D$22),'Operating Assumptions'!$D$14-SUM($H$34:U34),IF(AND('Operating Assumptions'!$D$29="Yes",V11&lt;'Operating Assumptions'!$D$31),0,IF(AND('Operating Assumptions'!$D$29="Yes",V11&gt;='Operating Assumptions'!$D$31,V11&lt;'Operating Assumptions'!$D$33),'Operating Assumptions'!$D$32-SUM($H$34:U34),IF(AND('Operating Assumptions'!$D$29="Yes",V11&gt;'Operating Assumptions'!$D$31,V11&gt;='Operating Assumptions'!$D$33),'Operating Assumptions'!$D$14-SUM($H$34:U34))))))</f>
        <v>0</v>
      </c>
      <c r="W33" s="508">
        <f>IF(AND('Operating Assumptions'!$D$29="No",W11&lt;'Operating Assumptions'!$D$22),0,IF(AND('Operating Assumptions'!$D$29="No",W11&gt;='Operating Assumptions'!$D$22),'Operating Assumptions'!$D$14-SUM($H$34:V34),IF(AND('Operating Assumptions'!$D$29="Yes",W11&lt;'Operating Assumptions'!$D$31),0,IF(AND('Operating Assumptions'!$D$29="Yes",W11&gt;='Operating Assumptions'!$D$31,W11&lt;'Operating Assumptions'!$D$33),'Operating Assumptions'!$D$32-SUM($H$34:V34),IF(AND('Operating Assumptions'!$D$29="Yes",W11&gt;'Operating Assumptions'!$D$31,W11&gt;='Operating Assumptions'!$D$33),'Operating Assumptions'!$D$14-SUM($H$34:V34))))))</f>
        <v>0</v>
      </c>
      <c r="X33" s="508">
        <f>IF(AND('Operating Assumptions'!$D$29="No",X11&lt;'Operating Assumptions'!$D$22),0,IF(AND('Operating Assumptions'!$D$29="No",X11&gt;='Operating Assumptions'!$D$22),'Operating Assumptions'!$D$14-SUM($H$34:W34),IF(AND('Operating Assumptions'!$D$29="Yes",X11&lt;'Operating Assumptions'!$D$31),0,IF(AND('Operating Assumptions'!$D$29="Yes",X11&gt;='Operating Assumptions'!$D$31,X11&lt;'Operating Assumptions'!$D$33),'Operating Assumptions'!$D$32-SUM($H$34:W34),IF(AND('Operating Assumptions'!$D$29="Yes",X11&gt;'Operating Assumptions'!$D$31,X11&gt;='Operating Assumptions'!$D$33),'Operating Assumptions'!$D$14-SUM($H$34:W34))))))</f>
        <v>0</v>
      </c>
      <c r="Y33" s="508">
        <f>IF(AND('Operating Assumptions'!$D$29="No",Y11&lt;'Operating Assumptions'!$D$22),0,IF(AND('Operating Assumptions'!$D$29="No",Y11&gt;='Operating Assumptions'!$D$22),'Operating Assumptions'!$D$14-SUM($H$34:X34),IF(AND('Operating Assumptions'!$D$29="Yes",Y11&lt;'Operating Assumptions'!$D$31),0,IF(AND('Operating Assumptions'!$D$29="Yes",Y11&gt;='Operating Assumptions'!$D$31,Y11&lt;'Operating Assumptions'!$D$33),'Operating Assumptions'!$D$32-SUM($H$34:X34),IF(AND('Operating Assumptions'!$D$29="Yes",Y11&gt;'Operating Assumptions'!$D$31,Y11&gt;='Operating Assumptions'!$D$33),'Operating Assumptions'!$D$14-SUM($H$34:X34))))))</f>
        <v>124</v>
      </c>
      <c r="Z33" s="508">
        <f>IF(AND('Operating Assumptions'!$D$29="No",Z11&lt;'Operating Assumptions'!$D$22),0,IF(AND('Operating Assumptions'!$D$29="No",Z11&gt;='Operating Assumptions'!$D$22),'Operating Assumptions'!$D$14-SUM($H$34:Y34),IF(AND('Operating Assumptions'!$D$29="Yes",Z11&lt;'Operating Assumptions'!$D$31),0,IF(AND('Operating Assumptions'!$D$29="Yes",Z11&gt;='Operating Assumptions'!$D$31,Z11&lt;'Operating Assumptions'!$D$33),'Operating Assumptions'!$D$32-SUM($H$34:Y34),IF(AND('Operating Assumptions'!$D$29="Yes",Z11&gt;'Operating Assumptions'!$D$31,Z11&gt;='Operating Assumptions'!$D$33),'Operating Assumptions'!$D$14-SUM($H$34:Y34))))))</f>
        <v>104</v>
      </c>
      <c r="AA33" s="508">
        <f>IF(AND('Operating Assumptions'!$D$29="No",AA11&lt;'Operating Assumptions'!$D$22),0,IF(AND('Operating Assumptions'!$D$29="No",AA11&gt;='Operating Assumptions'!$D$22),'Operating Assumptions'!$D$14-SUM($H$34:Z34),IF(AND('Operating Assumptions'!$D$29="Yes",AA11&lt;'Operating Assumptions'!$D$31),0,IF(AND('Operating Assumptions'!$D$29="Yes",AA11&gt;='Operating Assumptions'!$D$31,AA11&lt;'Operating Assumptions'!$D$33),'Operating Assumptions'!$D$32-SUM($H$34:Z34),IF(AND('Operating Assumptions'!$D$29="Yes",AA11&gt;'Operating Assumptions'!$D$31,AA11&gt;='Operating Assumptions'!$D$33),'Operating Assumptions'!$D$14-SUM($H$34:Z34))))))</f>
        <v>84</v>
      </c>
      <c r="AB33" s="508">
        <f>IF(AND('Operating Assumptions'!$D$29="No",AB11&lt;'Operating Assumptions'!$D$22),0,IF(AND('Operating Assumptions'!$D$29="No",AB11&gt;='Operating Assumptions'!$D$22),'Operating Assumptions'!$D$14-SUM($H$34:AA34),IF(AND('Operating Assumptions'!$D$29="Yes",AB11&lt;'Operating Assumptions'!$D$31),0,IF(AND('Operating Assumptions'!$D$29="Yes",AB11&gt;='Operating Assumptions'!$D$31,AB11&lt;'Operating Assumptions'!$D$33),'Operating Assumptions'!$D$32-SUM($H$34:AA34),IF(AND('Operating Assumptions'!$D$29="Yes",AB11&gt;'Operating Assumptions'!$D$31,AB11&gt;='Operating Assumptions'!$D$33),'Operating Assumptions'!$D$14-SUM($H$34:AA34))))))</f>
        <v>64</v>
      </c>
      <c r="AC33" s="508">
        <f>IF(AND('Operating Assumptions'!$D$29="No",AC11&lt;'Operating Assumptions'!$D$22),0,IF(AND('Operating Assumptions'!$D$29="No",AC11&gt;='Operating Assumptions'!$D$22),'Operating Assumptions'!$D$14-SUM($H$34:AB34),IF(AND('Operating Assumptions'!$D$29="Yes",AC11&lt;'Operating Assumptions'!$D$31),0,IF(AND('Operating Assumptions'!$D$29="Yes",AC11&gt;='Operating Assumptions'!$D$31,AC11&lt;'Operating Assumptions'!$D$33),'Operating Assumptions'!$D$32-SUM($H$34:AB34),IF(AND('Operating Assumptions'!$D$29="Yes",AC11&gt;'Operating Assumptions'!$D$31,AC11&gt;='Operating Assumptions'!$D$33),'Operating Assumptions'!$D$14-SUM($H$34:AB34))))))</f>
        <v>44</v>
      </c>
      <c r="AD33" s="508">
        <f>IF(AND('Operating Assumptions'!$D$29="No",AD11&lt;'Operating Assumptions'!$D$22),0,IF(AND('Operating Assumptions'!$D$29="No",AD11&gt;='Operating Assumptions'!$D$22),'Operating Assumptions'!$D$14-SUM($H$34:AC34),IF(AND('Operating Assumptions'!$D$29="Yes",AD11&lt;'Operating Assumptions'!$D$31),0,IF(AND('Operating Assumptions'!$D$29="Yes",AD11&gt;='Operating Assumptions'!$D$31,AD11&lt;'Operating Assumptions'!$D$33),'Operating Assumptions'!$D$32-SUM($H$34:AC34),IF(AND('Operating Assumptions'!$D$29="Yes",AD11&gt;'Operating Assumptions'!$D$31,AD11&gt;='Operating Assumptions'!$D$33),'Operating Assumptions'!$D$14-SUM($H$34:AC34))))))</f>
        <v>24</v>
      </c>
      <c r="AE33" s="508">
        <f>IF(AND('Operating Assumptions'!$D$29="No",AE11&lt;'Operating Assumptions'!$D$22),0,IF(AND('Operating Assumptions'!$D$29="No",AE11&gt;='Operating Assumptions'!$D$22),'Operating Assumptions'!$D$14-SUM($H$34:AD34),IF(AND('Operating Assumptions'!$D$29="Yes",AE11&lt;'Operating Assumptions'!$D$31),0,IF(AND('Operating Assumptions'!$D$29="Yes",AE11&gt;='Operating Assumptions'!$D$31,AE11&lt;'Operating Assumptions'!$D$33),'Operating Assumptions'!$D$32-SUM($H$34:AD34),IF(AND('Operating Assumptions'!$D$29="Yes",AE11&gt;'Operating Assumptions'!$D$31,AE11&gt;='Operating Assumptions'!$D$33),'Operating Assumptions'!$D$14-SUM($H$34:AD34))))))</f>
        <v>4</v>
      </c>
      <c r="AF33" s="508">
        <f>IF(AND('Operating Assumptions'!$D$29="No",AF11&lt;'Operating Assumptions'!$D$22),0,IF(AND('Operating Assumptions'!$D$29="No",AF11&gt;='Operating Assumptions'!$D$22),'Operating Assumptions'!$D$14-SUM($H$34:AE34),IF(AND('Operating Assumptions'!$D$29="Yes",AF11&lt;'Operating Assumptions'!$D$31),0,IF(AND('Operating Assumptions'!$D$29="Yes",AF11&gt;='Operating Assumptions'!$D$31,AF11&lt;'Operating Assumptions'!$D$33),'Operating Assumptions'!$D$32-SUM($H$34:AE34),IF(AND('Operating Assumptions'!$D$29="Yes",AF11&gt;'Operating Assumptions'!$D$31,AF11&gt;='Operating Assumptions'!$D$33),'Operating Assumptions'!$D$14-SUM($H$34:AE34))))))</f>
        <v>0</v>
      </c>
      <c r="AG33" s="508">
        <f>IF(AND('Operating Assumptions'!$D$29="No",AG11&lt;'Operating Assumptions'!$D$22),0,IF(AND('Operating Assumptions'!$D$29="No",AG11&gt;='Operating Assumptions'!$D$22),'Operating Assumptions'!$D$14-SUM($H$34:AF34),IF(AND('Operating Assumptions'!$D$29="Yes",AG11&lt;'Operating Assumptions'!$D$31),0,IF(AND('Operating Assumptions'!$D$29="Yes",AG11&gt;='Operating Assumptions'!$D$31,AG11&lt;'Operating Assumptions'!$D$33),'Operating Assumptions'!$D$32-SUM($H$34:AF34),IF(AND('Operating Assumptions'!$D$29="Yes",AG11&gt;'Operating Assumptions'!$D$31,AG11&gt;='Operating Assumptions'!$D$33),'Operating Assumptions'!$D$14-SUM($H$34:AF34))))))</f>
        <v>0</v>
      </c>
      <c r="AH33" s="508">
        <f>IF(AND('Operating Assumptions'!$D$29="No",AH11&lt;'Operating Assumptions'!$D$22),0,IF(AND('Operating Assumptions'!$D$29="No",AH11&gt;='Operating Assumptions'!$D$22),'Operating Assumptions'!$D$14-SUM($H$34:AG34),IF(AND('Operating Assumptions'!$D$29="Yes",AH11&lt;'Operating Assumptions'!$D$31),0,IF(AND('Operating Assumptions'!$D$29="Yes",AH11&gt;='Operating Assumptions'!$D$31,AH11&lt;'Operating Assumptions'!$D$33),'Operating Assumptions'!$D$32-SUM($H$34:AG34),IF(AND('Operating Assumptions'!$D$29="Yes",AH11&gt;'Operating Assumptions'!$D$31,AH11&gt;='Operating Assumptions'!$D$33),'Operating Assumptions'!$D$14-SUM($H$34:AG34))))))</f>
        <v>115</v>
      </c>
      <c r="AI33" s="508">
        <f>IF(AND('Operating Assumptions'!$D$29="No",AI11&lt;'Operating Assumptions'!$D$22),0,IF(AND('Operating Assumptions'!$D$29="No",AI11&gt;='Operating Assumptions'!$D$22),'Operating Assumptions'!$D$14-SUM($H$34:AH34),IF(AND('Operating Assumptions'!$D$29="Yes",AI11&lt;'Operating Assumptions'!$D$31),0,IF(AND('Operating Assumptions'!$D$29="Yes",AI11&gt;='Operating Assumptions'!$D$31,AI11&lt;'Operating Assumptions'!$D$33),'Operating Assumptions'!$D$32-SUM($H$34:AH34),IF(AND('Operating Assumptions'!$D$29="Yes",AI11&gt;'Operating Assumptions'!$D$31,AI11&gt;='Operating Assumptions'!$D$33),'Operating Assumptions'!$D$14-SUM($H$34:AH34))))))</f>
        <v>95</v>
      </c>
      <c r="AJ33" s="508">
        <f>IF(AND('Operating Assumptions'!$D$29="No",AJ11&lt;'Operating Assumptions'!$D$22),0,IF(AND('Operating Assumptions'!$D$29="No",AJ11&gt;='Operating Assumptions'!$D$22),'Operating Assumptions'!$D$14-SUM($H$34:AI34),IF(AND('Operating Assumptions'!$D$29="Yes",AJ11&lt;'Operating Assumptions'!$D$31),0,IF(AND('Operating Assumptions'!$D$29="Yes",AJ11&gt;='Operating Assumptions'!$D$31,AJ11&lt;'Operating Assumptions'!$D$33),'Operating Assumptions'!$D$32-SUM($H$34:AI34),IF(AND('Operating Assumptions'!$D$29="Yes",AJ11&gt;'Operating Assumptions'!$D$31,AJ11&gt;='Operating Assumptions'!$D$33),'Operating Assumptions'!$D$14-SUM($H$34:AI34))))))</f>
        <v>75</v>
      </c>
      <c r="AK33" s="508">
        <f>IF(AND('Operating Assumptions'!$D$29="No",AK11&lt;'Operating Assumptions'!$D$22),0,IF(AND('Operating Assumptions'!$D$29="No",AK11&gt;='Operating Assumptions'!$D$22),'Operating Assumptions'!$D$14-SUM($H$34:AJ34),IF(AND('Operating Assumptions'!$D$29="Yes",AK11&lt;'Operating Assumptions'!$D$31),0,IF(AND('Operating Assumptions'!$D$29="Yes",AK11&gt;='Operating Assumptions'!$D$31,AK11&lt;'Operating Assumptions'!$D$33),'Operating Assumptions'!$D$32-SUM($H$34:AJ34),IF(AND('Operating Assumptions'!$D$29="Yes",AK11&gt;'Operating Assumptions'!$D$31,AK11&gt;='Operating Assumptions'!$D$33),'Operating Assumptions'!$D$14-SUM($H$34:AJ34))))))</f>
        <v>55</v>
      </c>
      <c r="AL33" s="508">
        <f>IF(AND('Operating Assumptions'!$D$29="No",AL11&lt;'Operating Assumptions'!$D$22),0,IF(AND('Operating Assumptions'!$D$29="No",AL11&gt;='Operating Assumptions'!$D$22),'Operating Assumptions'!$D$14-SUM($H$34:AK34),IF(AND('Operating Assumptions'!$D$29="Yes",AL11&lt;'Operating Assumptions'!$D$31),0,IF(AND('Operating Assumptions'!$D$29="Yes",AL11&gt;='Operating Assumptions'!$D$31,AL11&lt;'Operating Assumptions'!$D$33),'Operating Assumptions'!$D$32-SUM($H$34:AK34),IF(AND('Operating Assumptions'!$D$29="Yes",AL11&gt;'Operating Assumptions'!$D$31,AL11&gt;='Operating Assumptions'!$D$33),'Operating Assumptions'!$D$14-SUM($H$34:AK34))))))</f>
        <v>35</v>
      </c>
      <c r="AM33" s="508">
        <f>IF(AND('Operating Assumptions'!$D$29="No",AM11&lt;'Operating Assumptions'!$D$22),0,IF(AND('Operating Assumptions'!$D$29="No",AM11&gt;='Operating Assumptions'!$D$22),'Operating Assumptions'!$D$14-SUM($H$34:AL34),IF(AND('Operating Assumptions'!$D$29="Yes",AM11&lt;'Operating Assumptions'!$D$31),0,IF(AND('Operating Assumptions'!$D$29="Yes",AM11&gt;='Operating Assumptions'!$D$31,AM11&lt;'Operating Assumptions'!$D$33),'Operating Assumptions'!$D$32-SUM($H$34:AL34),IF(AND('Operating Assumptions'!$D$29="Yes",AM11&gt;'Operating Assumptions'!$D$31,AM11&gt;='Operating Assumptions'!$D$33),'Operating Assumptions'!$D$14-SUM($H$34:AL34))))))</f>
        <v>15</v>
      </c>
      <c r="AN33" s="508">
        <f>IF(AND('Operating Assumptions'!$D$29="No",AN11&lt;'Operating Assumptions'!$D$22),0,IF(AND('Operating Assumptions'!$D$29="No",AN11&gt;='Operating Assumptions'!$D$22),'Operating Assumptions'!$D$14-SUM($H$34:AM34),IF(AND('Operating Assumptions'!$D$29="Yes",AN11&lt;'Operating Assumptions'!$D$31),0,IF(AND('Operating Assumptions'!$D$29="Yes",AN11&gt;='Operating Assumptions'!$D$31,AN11&lt;'Operating Assumptions'!$D$33),'Operating Assumptions'!$D$32-SUM($H$34:AM34),IF(AND('Operating Assumptions'!$D$29="Yes",AN11&gt;'Operating Assumptions'!$D$31,AN11&gt;='Operating Assumptions'!$D$33),'Operating Assumptions'!$D$14-SUM($H$34:AM34))))))</f>
        <v>0</v>
      </c>
      <c r="AO33" s="508">
        <f>IF(AND('Operating Assumptions'!$D$29="No",AO11&lt;'Operating Assumptions'!$D$22),0,IF(AND('Operating Assumptions'!$D$29="No",AO11&gt;='Operating Assumptions'!$D$22),'Operating Assumptions'!$D$14-SUM($H$34:AN34),IF(AND('Operating Assumptions'!$D$29="Yes",AO11&lt;'Operating Assumptions'!$D$31),0,IF(AND('Operating Assumptions'!$D$29="Yes",AO11&gt;='Operating Assumptions'!$D$31,AO11&lt;'Operating Assumptions'!$D$33),'Operating Assumptions'!$D$32-SUM($H$34:AN34),IF(AND('Operating Assumptions'!$D$29="Yes",AO11&gt;'Operating Assumptions'!$D$31,AO11&gt;='Operating Assumptions'!$D$33),'Operating Assumptions'!$D$14-SUM($H$34:AN34))))))</f>
        <v>0</v>
      </c>
      <c r="AP33" s="508">
        <f>IF(AND('Operating Assumptions'!$D$29="No",AP11&lt;'Operating Assumptions'!$D$22),0,IF(AND('Operating Assumptions'!$D$29="No",AP11&gt;='Operating Assumptions'!$D$22),'Operating Assumptions'!$D$14-SUM($H$34:AO34),IF(AND('Operating Assumptions'!$D$29="Yes",AP11&lt;'Operating Assumptions'!$D$31),0,IF(AND('Operating Assumptions'!$D$29="Yes",AP11&gt;='Operating Assumptions'!$D$31,AP11&lt;'Operating Assumptions'!$D$33),'Operating Assumptions'!$D$32-SUM($H$34:AO34),IF(AND('Operating Assumptions'!$D$29="Yes",AP11&gt;'Operating Assumptions'!$D$31,AP11&gt;='Operating Assumptions'!$D$33),'Operating Assumptions'!$D$14-SUM($H$34:AO34))))))</f>
        <v>0</v>
      </c>
      <c r="AQ33" s="508">
        <f>IF(AND('Operating Assumptions'!$D$29="No",AQ11&lt;'Operating Assumptions'!$D$22),0,IF(AND('Operating Assumptions'!$D$29="No",AQ11&gt;='Operating Assumptions'!$D$22),'Operating Assumptions'!$D$14-SUM($H$34:AP34),IF(AND('Operating Assumptions'!$D$29="Yes",AQ11&lt;'Operating Assumptions'!$D$31),0,IF(AND('Operating Assumptions'!$D$29="Yes",AQ11&gt;='Operating Assumptions'!$D$31,AQ11&lt;'Operating Assumptions'!$D$33),'Operating Assumptions'!$D$32-SUM($H$34:AP34),IF(AND('Operating Assumptions'!$D$29="Yes",AQ11&gt;'Operating Assumptions'!$D$31,AQ11&gt;='Operating Assumptions'!$D$33),'Operating Assumptions'!$D$14-SUM($H$34:AP34))))))</f>
        <v>0</v>
      </c>
      <c r="AR33" s="508">
        <f>IF(AND('Operating Assumptions'!$D$29="No",AR11&lt;'Operating Assumptions'!$D$22),0,IF(AND('Operating Assumptions'!$D$29="No",AR11&gt;='Operating Assumptions'!$D$22),'Operating Assumptions'!$D$14-SUM($H$34:AQ34),IF(AND('Operating Assumptions'!$D$29="Yes",AR11&lt;'Operating Assumptions'!$D$31),0,IF(AND('Operating Assumptions'!$D$29="Yes",AR11&gt;='Operating Assumptions'!$D$31,AR11&lt;'Operating Assumptions'!$D$33),'Operating Assumptions'!$D$32-SUM($H$34:AQ34),IF(AND('Operating Assumptions'!$D$29="Yes",AR11&gt;'Operating Assumptions'!$D$31,AR11&gt;='Operating Assumptions'!$D$33),'Operating Assumptions'!$D$14-SUM($H$34:AQ34))))))</f>
        <v>0</v>
      </c>
      <c r="AS33" s="508">
        <f>IF(AND('Operating Assumptions'!$D$29="No",AS11&lt;'Operating Assumptions'!$D$22),0,IF(AND('Operating Assumptions'!$D$29="No",AS11&gt;='Operating Assumptions'!$D$22),'Operating Assumptions'!$D$14-SUM($H$34:AR34),IF(AND('Operating Assumptions'!$D$29="Yes",AS11&lt;'Operating Assumptions'!$D$31),0,IF(AND('Operating Assumptions'!$D$29="Yes",AS11&gt;='Operating Assumptions'!$D$31,AS11&lt;'Operating Assumptions'!$D$33),'Operating Assumptions'!$D$32-SUM($H$34:AR34),IF(AND('Operating Assumptions'!$D$29="Yes",AS11&gt;'Operating Assumptions'!$D$31,AS11&gt;='Operating Assumptions'!$D$33),'Operating Assumptions'!$D$14-SUM($H$34:AR34))))))</f>
        <v>0</v>
      </c>
      <c r="AT33" s="508">
        <f>IF(AND('Operating Assumptions'!$D$29="No",AT11&lt;'Operating Assumptions'!$D$22),0,IF(AND('Operating Assumptions'!$D$29="No",AT11&gt;='Operating Assumptions'!$D$22),'Operating Assumptions'!$D$14-SUM($H$34:AS34),IF(AND('Operating Assumptions'!$D$29="Yes",AT11&lt;'Operating Assumptions'!$D$31),0,IF(AND('Operating Assumptions'!$D$29="Yes",AT11&gt;='Operating Assumptions'!$D$31,AT11&lt;'Operating Assumptions'!$D$33),'Operating Assumptions'!$D$32-SUM($H$34:AS34),IF(AND('Operating Assumptions'!$D$29="Yes",AT11&gt;'Operating Assumptions'!$D$31,AT11&gt;='Operating Assumptions'!$D$33),'Operating Assumptions'!$D$14-SUM($H$34:AS34))))))</f>
        <v>0</v>
      </c>
      <c r="AU33" s="508">
        <f>IF(AND('Operating Assumptions'!$D$29="No",AU11&lt;'Operating Assumptions'!$D$22),0,IF(AND('Operating Assumptions'!$D$29="No",AU11&gt;='Operating Assumptions'!$D$22),'Operating Assumptions'!$D$14-SUM($H$34:AT34),IF(AND('Operating Assumptions'!$D$29="Yes",AU11&lt;'Operating Assumptions'!$D$31),0,IF(AND('Operating Assumptions'!$D$29="Yes",AU11&gt;='Operating Assumptions'!$D$31,AU11&lt;'Operating Assumptions'!$D$33),'Operating Assumptions'!$D$32-SUM($H$34:AT34),IF(AND('Operating Assumptions'!$D$29="Yes",AU11&gt;'Operating Assumptions'!$D$31,AU11&gt;='Operating Assumptions'!$D$33),'Operating Assumptions'!$D$14-SUM($H$34:AT34))))))</f>
        <v>0</v>
      </c>
      <c r="AV33" s="508">
        <f>IF(AND('Operating Assumptions'!$D$29="No",AV11&lt;'Operating Assumptions'!$D$22),0,IF(AND('Operating Assumptions'!$D$29="No",AV11&gt;='Operating Assumptions'!$D$22),'Operating Assumptions'!$D$14-SUM($H$34:AU34),IF(AND('Operating Assumptions'!$D$29="Yes",AV11&lt;'Operating Assumptions'!$D$31),0,IF(AND('Operating Assumptions'!$D$29="Yes",AV11&gt;='Operating Assumptions'!$D$31,AV11&lt;'Operating Assumptions'!$D$33),'Operating Assumptions'!$D$32-SUM($H$34:AU34),IF(AND('Operating Assumptions'!$D$29="Yes",AV11&gt;'Operating Assumptions'!$D$31,AV11&gt;='Operating Assumptions'!$D$33),'Operating Assumptions'!$D$14-SUM($H$34:AU34))))))</f>
        <v>0</v>
      </c>
      <c r="AW33" s="508">
        <f>IF(AND('Operating Assumptions'!$D$29="No",AW11&lt;'Operating Assumptions'!$D$22),0,IF(AND('Operating Assumptions'!$D$29="No",AW11&gt;='Operating Assumptions'!$D$22),'Operating Assumptions'!$D$14-SUM($H$34:AV34),IF(AND('Operating Assumptions'!$D$29="Yes",AW11&lt;'Operating Assumptions'!$D$31),0,IF(AND('Operating Assumptions'!$D$29="Yes",AW11&gt;='Operating Assumptions'!$D$31,AW11&lt;'Operating Assumptions'!$D$33),'Operating Assumptions'!$D$32-SUM($H$34:AV34),IF(AND('Operating Assumptions'!$D$29="Yes",AW11&gt;'Operating Assumptions'!$D$31,AW11&gt;='Operating Assumptions'!$D$33),'Operating Assumptions'!$D$14-SUM($H$34:AV34))))))</f>
        <v>0</v>
      </c>
      <c r="AX33" s="508">
        <f>IF(AND('Operating Assumptions'!$D$29="No",AX11&lt;'Operating Assumptions'!$D$22),0,IF(AND('Operating Assumptions'!$D$29="No",AX11&gt;='Operating Assumptions'!$D$22),'Operating Assumptions'!$D$14-SUM($H$34:AW34),IF(AND('Operating Assumptions'!$D$29="Yes",AX11&lt;'Operating Assumptions'!$D$31),0,IF(AND('Operating Assumptions'!$D$29="Yes",AX11&gt;='Operating Assumptions'!$D$31,AX11&lt;'Operating Assumptions'!$D$33),'Operating Assumptions'!$D$32-SUM($H$34:AW34),IF(AND('Operating Assumptions'!$D$29="Yes",AX11&gt;'Operating Assumptions'!$D$31,AX11&gt;='Operating Assumptions'!$D$33),'Operating Assumptions'!$D$14-SUM($H$34:AW34))))))</f>
        <v>0</v>
      </c>
      <c r="AY33" s="508">
        <f>IF(AND('Operating Assumptions'!$D$29="No",AY11&lt;'Operating Assumptions'!$D$22),0,IF(AND('Operating Assumptions'!$D$29="No",AY11&gt;='Operating Assumptions'!$D$22),'Operating Assumptions'!$D$14-SUM($H$34:AX34),IF(AND('Operating Assumptions'!$D$29="Yes",AY11&lt;'Operating Assumptions'!$D$31),0,IF(AND('Operating Assumptions'!$D$29="Yes",AY11&gt;='Operating Assumptions'!$D$31,AY11&lt;'Operating Assumptions'!$D$33),'Operating Assumptions'!$D$32-SUM($H$34:AX34),IF(AND('Operating Assumptions'!$D$29="Yes",AY11&gt;'Operating Assumptions'!$D$31,AY11&gt;='Operating Assumptions'!$D$33),'Operating Assumptions'!$D$14-SUM($H$34:AX34))))))</f>
        <v>0</v>
      </c>
      <c r="AZ33" s="508">
        <f>IF(AND('Operating Assumptions'!$D$29="No",AZ11&lt;'Operating Assumptions'!$D$22),0,IF(AND('Operating Assumptions'!$D$29="No",AZ11&gt;='Operating Assumptions'!$D$22),'Operating Assumptions'!$D$14-SUM($H$34:AY34),IF(AND('Operating Assumptions'!$D$29="Yes",AZ11&lt;'Operating Assumptions'!$D$31),0,IF(AND('Operating Assumptions'!$D$29="Yes",AZ11&gt;='Operating Assumptions'!$D$31,AZ11&lt;'Operating Assumptions'!$D$33),'Operating Assumptions'!$D$32-SUM($H$34:AY34),IF(AND('Operating Assumptions'!$D$29="Yes",AZ11&gt;'Operating Assumptions'!$D$31,AZ11&gt;='Operating Assumptions'!$D$33),'Operating Assumptions'!$D$14-SUM($H$34:AY34))))))</f>
        <v>0</v>
      </c>
      <c r="BA33" s="508">
        <f>IF(AND('Operating Assumptions'!$D$29="No",BA11&lt;'Operating Assumptions'!$D$22),0,IF(AND('Operating Assumptions'!$D$29="No",BA11&gt;='Operating Assumptions'!$D$22),'Operating Assumptions'!$D$14-SUM($H$34:AZ34),IF(AND('Operating Assumptions'!$D$29="Yes",BA11&lt;'Operating Assumptions'!$D$31),0,IF(AND('Operating Assumptions'!$D$29="Yes",BA11&gt;='Operating Assumptions'!$D$31,BA11&lt;'Operating Assumptions'!$D$33),'Operating Assumptions'!$D$32-SUM($H$34:AZ34),IF(AND('Operating Assumptions'!$D$29="Yes",BA11&gt;'Operating Assumptions'!$D$31,BA11&gt;='Operating Assumptions'!$D$33),'Operating Assumptions'!$D$14-SUM($H$34:AZ34))))))</f>
        <v>0</v>
      </c>
      <c r="BB33" s="508">
        <f>IF(AND('Operating Assumptions'!$D$29="No",BB11&lt;'Operating Assumptions'!$D$22),0,IF(AND('Operating Assumptions'!$D$29="No",BB11&gt;='Operating Assumptions'!$D$22),'Operating Assumptions'!$D$14-SUM($H$34:BA34),IF(AND('Operating Assumptions'!$D$29="Yes",BB11&lt;'Operating Assumptions'!$D$31),0,IF(AND('Operating Assumptions'!$D$29="Yes",BB11&gt;='Operating Assumptions'!$D$31,BB11&lt;'Operating Assumptions'!$D$33),'Operating Assumptions'!$D$32-SUM($H$34:BA34),IF(AND('Operating Assumptions'!$D$29="Yes",BB11&gt;'Operating Assumptions'!$D$31,BB11&gt;='Operating Assumptions'!$D$33),'Operating Assumptions'!$D$14-SUM($H$34:BA34))))))</f>
        <v>0</v>
      </c>
      <c r="BC33" s="508">
        <f>IF(AND('Operating Assumptions'!$D$29="No",BC11&lt;'Operating Assumptions'!$D$22),0,IF(AND('Operating Assumptions'!$D$29="No",BC11&gt;='Operating Assumptions'!$D$22),'Operating Assumptions'!$D$14-SUM($H$34:BB34),IF(AND('Operating Assumptions'!$D$29="Yes",BC11&lt;'Operating Assumptions'!$D$31),0,IF(AND('Operating Assumptions'!$D$29="Yes",BC11&gt;='Operating Assumptions'!$D$31,BC11&lt;'Operating Assumptions'!$D$33),'Operating Assumptions'!$D$32-SUM($H$34:BB34),IF(AND('Operating Assumptions'!$D$29="Yes",BC11&gt;'Operating Assumptions'!$D$31,BC11&gt;='Operating Assumptions'!$D$33),'Operating Assumptions'!$D$14-SUM($H$34:BB34))))))</f>
        <v>0</v>
      </c>
      <c r="BD33" s="508">
        <f>IF(AND('Operating Assumptions'!$D$29="No",BD11&lt;'Operating Assumptions'!$D$22),0,IF(AND('Operating Assumptions'!$D$29="No",BD11&gt;='Operating Assumptions'!$D$22),'Operating Assumptions'!$D$14-SUM($H$34:BC34),IF(AND('Operating Assumptions'!$D$29="Yes",BD11&lt;'Operating Assumptions'!$D$31),0,IF(AND('Operating Assumptions'!$D$29="Yes",BD11&gt;='Operating Assumptions'!$D$31,BD11&lt;'Operating Assumptions'!$D$33),'Operating Assumptions'!$D$32-SUM($H$34:BC34),IF(AND('Operating Assumptions'!$D$29="Yes",BD11&gt;'Operating Assumptions'!$D$31,BD11&gt;='Operating Assumptions'!$D$33),'Operating Assumptions'!$D$14-SUM($H$34:BC34))))))</f>
        <v>0</v>
      </c>
      <c r="BE33" s="508">
        <f>IF(AND('Operating Assumptions'!$D$29="No",BE11&lt;'Operating Assumptions'!$D$22),0,IF(AND('Operating Assumptions'!$D$29="No",BE11&gt;='Operating Assumptions'!$D$22),'Operating Assumptions'!$D$14-SUM($H$34:BD34),IF(AND('Operating Assumptions'!$D$29="Yes",BE11&lt;'Operating Assumptions'!$D$31),0,IF(AND('Operating Assumptions'!$D$29="Yes",BE11&gt;='Operating Assumptions'!$D$31,BE11&lt;'Operating Assumptions'!$D$33),'Operating Assumptions'!$D$32-SUM($H$34:BD34),IF(AND('Operating Assumptions'!$D$29="Yes",BE11&gt;'Operating Assumptions'!$D$31,BE11&gt;='Operating Assumptions'!$D$33),'Operating Assumptions'!$D$14-SUM($H$34:BD34))))))</f>
        <v>0</v>
      </c>
      <c r="BF33" s="508">
        <f>IF(AND('Operating Assumptions'!$D$29="No",BF11&lt;'Operating Assumptions'!$D$22),0,IF(AND('Operating Assumptions'!$D$29="No",BF11&gt;='Operating Assumptions'!$D$22),'Operating Assumptions'!$D$14-SUM($H$34:BE34),IF(AND('Operating Assumptions'!$D$29="Yes",BF11&lt;'Operating Assumptions'!$D$31),0,IF(AND('Operating Assumptions'!$D$29="Yes",BF11&gt;='Operating Assumptions'!$D$31,BF11&lt;'Operating Assumptions'!$D$33),'Operating Assumptions'!$D$32-SUM($H$34:BE34),IF(AND('Operating Assumptions'!$D$29="Yes",BF11&gt;'Operating Assumptions'!$D$31,BF11&gt;='Operating Assumptions'!$D$33),'Operating Assumptions'!$D$14-SUM($H$34:BE34))))))</f>
        <v>0</v>
      </c>
      <c r="BG33" s="508">
        <f>IF(AND('Operating Assumptions'!$D$29="No",BG11&lt;'Operating Assumptions'!$D$22),0,IF(AND('Operating Assumptions'!$D$29="No",BG11&gt;='Operating Assumptions'!$D$22),'Operating Assumptions'!$D$14-SUM($H$34:BF34),IF(AND('Operating Assumptions'!$D$29="Yes",BG11&lt;'Operating Assumptions'!$D$31),0,IF(AND('Operating Assumptions'!$D$29="Yes",BG11&gt;='Operating Assumptions'!$D$31,BG11&lt;'Operating Assumptions'!$D$33),'Operating Assumptions'!$D$32-SUM($H$34:BF34),IF(AND('Operating Assumptions'!$D$29="Yes",BG11&gt;'Operating Assumptions'!$D$31,BG11&gt;='Operating Assumptions'!$D$33),'Operating Assumptions'!$D$14-SUM($H$34:BF34))))))</f>
        <v>0</v>
      </c>
      <c r="BH33" s="508">
        <f>IF(AND('Operating Assumptions'!$D$29="No",BH11&lt;'Operating Assumptions'!$D$22),0,IF(AND('Operating Assumptions'!$D$29="No",BH11&gt;='Operating Assumptions'!$D$22),'Operating Assumptions'!$D$14-SUM($H$34:BG34),IF(AND('Operating Assumptions'!$D$29="Yes",BH11&lt;'Operating Assumptions'!$D$31),0,IF(AND('Operating Assumptions'!$D$29="Yes",BH11&gt;='Operating Assumptions'!$D$31,BH11&lt;'Operating Assumptions'!$D$33),'Operating Assumptions'!$D$32-SUM($H$34:BG34),IF(AND('Operating Assumptions'!$D$29="Yes",BH11&gt;'Operating Assumptions'!$D$31,BH11&gt;='Operating Assumptions'!$D$33),'Operating Assumptions'!$D$14-SUM($H$34:BG34))))))</f>
        <v>0</v>
      </c>
      <c r="BI33" s="508">
        <f>IF(AND('Operating Assumptions'!$D$29="No",BI11&lt;'Operating Assumptions'!$D$22),0,IF(AND('Operating Assumptions'!$D$29="No",BI11&gt;='Operating Assumptions'!$D$22),'Operating Assumptions'!$D$14-SUM($H$34:BH34),IF(AND('Operating Assumptions'!$D$29="Yes",BI11&lt;'Operating Assumptions'!$D$31),0,IF(AND('Operating Assumptions'!$D$29="Yes",BI11&gt;='Operating Assumptions'!$D$31,BI11&lt;'Operating Assumptions'!$D$33),'Operating Assumptions'!$D$32-SUM($H$34:BH34),IF(AND('Operating Assumptions'!$D$29="Yes",BI11&gt;'Operating Assumptions'!$D$31,BI11&gt;='Operating Assumptions'!$D$33),'Operating Assumptions'!$D$14-SUM($H$34:BH34))))))</f>
        <v>0</v>
      </c>
      <c r="BJ33" s="508">
        <f>IF(AND('Operating Assumptions'!$D$29="No",BJ11&lt;'Operating Assumptions'!$D$22),0,IF(AND('Operating Assumptions'!$D$29="No",BJ11&gt;='Operating Assumptions'!$D$22),'Operating Assumptions'!$D$14-SUM($H$34:BI34),IF(AND('Operating Assumptions'!$D$29="Yes",BJ11&lt;'Operating Assumptions'!$D$31),0,IF(AND('Operating Assumptions'!$D$29="Yes",BJ11&gt;='Operating Assumptions'!$D$31,BJ11&lt;'Operating Assumptions'!$D$33),'Operating Assumptions'!$D$32-SUM($H$34:BI34),IF(AND('Operating Assumptions'!$D$29="Yes",BJ11&gt;'Operating Assumptions'!$D$31,BJ11&gt;='Operating Assumptions'!$D$33),'Operating Assumptions'!$D$14-SUM($H$34:BI34))))))</f>
        <v>0</v>
      </c>
      <c r="BK33" s="508">
        <f>IF(AND('Operating Assumptions'!$D$29="No",BK11&lt;'Operating Assumptions'!$D$22),0,IF(AND('Operating Assumptions'!$D$29="No",BK11&gt;='Operating Assumptions'!$D$22),'Operating Assumptions'!$D$14-SUM($H$34:BJ34),IF(AND('Operating Assumptions'!$D$29="Yes",BK11&lt;'Operating Assumptions'!$D$31),0,IF(AND('Operating Assumptions'!$D$29="Yes",BK11&gt;='Operating Assumptions'!$D$31,BK11&lt;'Operating Assumptions'!$D$33),'Operating Assumptions'!$D$32-SUM($H$34:BJ34),IF(AND('Operating Assumptions'!$D$29="Yes",BK11&gt;'Operating Assumptions'!$D$31,BK11&gt;='Operating Assumptions'!$D$33),'Operating Assumptions'!$D$14-SUM($H$34:BJ34))))))</f>
        <v>0</v>
      </c>
      <c r="BL33" s="508">
        <f>IF(AND('Operating Assumptions'!$D$29="No",BL11&lt;'Operating Assumptions'!$D$22),0,IF(AND('Operating Assumptions'!$D$29="No",BL11&gt;='Operating Assumptions'!$D$22),'Operating Assumptions'!$D$14-SUM($H$34:BK34),IF(AND('Operating Assumptions'!$D$29="Yes",BL11&lt;'Operating Assumptions'!$D$31),0,IF(AND('Operating Assumptions'!$D$29="Yes",BL11&gt;='Operating Assumptions'!$D$31,BL11&lt;'Operating Assumptions'!$D$33),'Operating Assumptions'!$D$32-SUM($H$34:BK34),IF(AND('Operating Assumptions'!$D$29="Yes",BL11&gt;'Operating Assumptions'!$D$31,BL11&gt;='Operating Assumptions'!$D$33),'Operating Assumptions'!$D$14-SUM($H$34:BK34))))))</f>
        <v>0</v>
      </c>
      <c r="BM33" s="508">
        <f>IF(AND('Operating Assumptions'!$D$29="No",BM11&lt;'Operating Assumptions'!$D$22),0,IF(AND('Operating Assumptions'!$D$29="No",BM11&gt;='Operating Assumptions'!$D$22),'Operating Assumptions'!$D$14-SUM($H$34:BL34),IF(AND('Operating Assumptions'!$D$29="Yes",BM11&lt;'Operating Assumptions'!$D$31),0,IF(AND('Operating Assumptions'!$D$29="Yes",BM11&gt;='Operating Assumptions'!$D$31,BM11&lt;'Operating Assumptions'!$D$33),'Operating Assumptions'!$D$32-SUM($H$34:BL34),IF(AND('Operating Assumptions'!$D$29="Yes",BM11&gt;'Operating Assumptions'!$D$31,BM11&gt;='Operating Assumptions'!$D$33),'Operating Assumptions'!$D$14-SUM($H$34:BL34))))))</f>
        <v>0</v>
      </c>
      <c r="BN33" s="508">
        <f>IF(AND('Operating Assumptions'!$D$29="No",BN11&lt;'Operating Assumptions'!$D$22),0,IF(AND('Operating Assumptions'!$D$29="No",BN11&gt;='Operating Assumptions'!$D$22),'Operating Assumptions'!$D$14-SUM($H$34:BM34),IF(AND('Operating Assumptions'!$D$29="Yes",BN11&lt;'Operating Assumptions'!$D$31),0,IF(AND('Operating Assumptions'!$D$29="Yes",BN11&gt;='Operating Assumptions'!$D$31,BN11&lt;'Operating Assumptions'!$D$33),'Operating Assumptions'!$D$32-SUM($H$34:BM34),IF(AND('Operating Assumptions'!$D$29="Yes",BN11&gt;'Operating Assumptions'!$D$31,BN11&gt;='Operating Assumptions'!$D$33),'Operating Assumptions'!$D$14-SUM($H$34:BM34))))))</f>
        <v>0</v>
      </c>
      <c r="BO33" s="508">
        <f>IF(AND('Operating Assumptions'!$D$29="No",BO11&lt;'Operating Assumptions'!$D$22),0,IF(AND('Operating Assumptions'!$D$29="No",BO11&gt;='Operating Assumptions'!$D$22),'Operating Assumptions'!$D$14-SUM($H$34:BN34),IF(AND('Operating Assumptions'!$D$29="Yes",BO11&lt;'Operating Assumptions'!$D$31),0,IF(AND('Operating Assumptions'!$D$29="Yes",BO11&gt;='Operating Assumptions'!$D$31,BO11&lt;'Operating Assumptions'!$D$33),'Operating Assumptions'!$D$32-SUM($H$34:BN34),IF(AND('Operating Assumptions'!$D$29="Yes",BO11&gt;'Operating Assumptions'!$D$31,BO11&gt;='Operating Assumptions'!$D$33),'Operating Assumptions'!$D$14-SUM($H$34:BN34))))))</f>
        <v>0</v>
      </c>
      <c r="BP33" s="508">
        <f>IF(AND('Operating Assumptions'!$D$29="No",BP11&lt;'Operating Assumptions'!$D$22),0,IF(AND('Operating Assumptions'!$D$29="No",BP11&gt;='Operating Assumptions'!$D$22),'Operating Assumptions'!$D$14-SUM($H$34:BO34),IF(AND('Operating Assumptions'!$D$29="Yes",BP11&lt;'Operating Assumptions'!$D$31),0,IF(AND('Operating Assumptions'!$D$29="Yes",BP11&gt;='Operating Assumptions'!$D$31,BP11&lt;'Operating Assumptions'!$D$33),'Operating Assumptions'!$D$32-SUM($H$34:BO34),IF(AND('Operating Assumptions'!$D$29="Yes",BP11&gt;'Operating Assumptions'!$D$31,BP11&gt;='Operating Assumptions'!$D$33),'Operating Assumptions'!$D$14-SUM($H$34:BO34))))))</f>
        <v>0</v>
      </c>
      <c r="BQ33" s="508">
        <f>IF(AND('Operating Assumptions'!$D$29="No",BQ11&lt;'Operating Assumptions'!$D$22),0,IF(AND('Operating Assumptions'!$D$29="No",BQ11&gt;='Operating Assumptions'!$D$22),'Operating Assumptions'!$D$14-SUM($H$34:BP34),IF(AND('Operating Assumptions'!$D$29="Yes",BQ11&lt;'Operating Assumptions'!$D$31),0,IF(AND('Operating Assumptions'!$D$29="Yes",BQ11&gt;='Operating Assumptions'!$D$31,BQ11&lt;'Operating Assumptions'!$D$33),'Operating Assumptions'!$D$32-SUM($H$34:BP34),IF(AND('Operating Assumptions'!$D$29="Yes",BQ11&gt;'Operating Assumptions'!$D$31,BQ11&gt;='Operating Assumptions'!$D$33),'Operating Assumptions'!$D$14-SUM($H$34:BP34))))))</f>
        <v>0</v>
      </c>
      <c r="BR33" s="508">
        <f>IF(AND('Operating Assumptions'!$D$29="No",BR11&lt;'Operating Assumptions'!$D$22),0,IF(AND('Operating Assumptions'!$D$29="No",BR11&gt;='Operating Assumptions'!$D$22),'Operating Assumptions'!$D$14-SUM($H$34:BQ34),IF(AND('Operating Assumptions'!$D$29="Yes",BR11&lt;'Operating Assumptions'!$D$31),0,IF(AND('Operating Assumptions'!$D$29="Yes",BR11&gt;='Operating Assumptions'!$D$31,BR11&lt;'Operating Assumptions'!$D$33),'Operating Assumptions'!$D$32-SUM($H$34:BQ34),IF(AND('Operating Assumptions'!$D$29="Yes",BR11&gt;'Operating Assumptions'!$D$31,BR11&gt;='Operating Assumptions'!$D$33),'Operating Assumptions'!$D$14-SUM($H$34:BQ34))))))</f>
        <v>0</v>
      </c>
      <c r="BS33" s="508">
        <f>IF(AND('Operating Assumptions'!$D$29="No",BS11&lt;'Operating Assumptions'!$D$22),0,IF(AND('Operating Assumptions'!$D$29="No",BS11&gt;='Operating Assumptions'!$D$22),'Operating Assumptions'!$D$14-SUM($H$34:BR34),IF(AND('Operating Assumptions'!$D$29="Yes",BS11&lt;'Operating Assumptions'!$D$31),0,IF(AND('Operating Assumptions'!$D$29="Yes",BS11&gt;='Operating Assumptions'!$D$31,BS11&lt;'Operating Assumptions'!$D$33),'Operating Assumptions'!$D$32-SUM($H$34:BR34),IF(AND('Operating Assumptions'!$D$29="Yes",BS11&gt;'Operating Assumptions'!$D$31,BS11&gt;='Operating Assumptions'!$D$33),'Operating Assumptions'!$D$14-SUM($H$34:BR34))))))</f>
        <v>0</v>
      </c>
      <c r="BT33" s="508">
        <f>IF(AND('Operating Assumptions'!$D$29="No",BT11&lt;'Operating Assumptions'!$D$22),0,IF(AND('Operating Assumptions'!$D$29="No",BT11&gt;='Operating Assumptions'!$D$22),'Operating Assumptions'!$D$14-SUM($H$34:BS34),IF(AND('Operating Assumptions'!$D$29="Yes",BT11&lt;'Operating Assumptions'!$D$31),0,IF(AND('Operating Assumptions'!$D$29="Yes",BT11&gt;='Operating Assumptions'!$D$31,BT11&lt;'Operating Assumptions'!$D$33),'Operating Assumptions'!$D$32-SUM($H$34:BS34),IF(AND('Operating Assumptions'!$D$29="Yes",BT11&gt;'Operating Assumptions'!$D$31,BT11&gt;='Operating Assumptions'!$D$33),'Operating Assumptions'!$D$14-SUM($H$34:BS34))))))</f>
        <v>0</v>
      </c>
      <c r="BU33" s="508">
        <f>IF(AND('Operating Assumptions'!$D$29="No",BU11&lt;'Operating Assumptions'!$D$22),0,IF(AND('Operating Assumptions'!$D$29="No",BU11&gt;='Operating Assumptions'!$D$22),'Operating Assumptions'!$D$14-SUM($H$34:BT34),IF(AND('Operating Assumptions'!$D$29="Yes",BU11&lt;'Operating Assumptions'!$D$31),0,IF(AND('Operating Assumptions'!$D$29="Yes",BU11&gt;='Operating Assumptions'!$D$31,BU11&lt;'Operating Assumptions'!$D$33),'Operating Assumptions'!$D$32-SUM($H$34:BT34),IF(AND('Operating Assumptions'!$D$29="Yes",BU11&gt;'Operating Assumptions'!$D$31,BU11&gt;='Operating Assumptions'!$D$33),'Operating Assumptions'!$D$14-SUM($H$34:BT34))))))</f>
        <v>0</v>
      </c>
      <c r="BV33" s="508">
        <f>IF(AND('Operating Assumptions'!$D$29="No",BV11&lt;'Operating Assumptions'!$D$22),0,IF(AND('Operating Assumptions'!$D$29="No",BV11&gt;='Operating Assumptions'!$D$22),'Operating Assumptions'!$D$14-SUM($H$34:BU34),IF(AND('Operating Assumptions'!$D$29="Yes",BV11&lt;'Operating Assumptions'!$D$31),0,IF(AND('Operating Assumptions'!$D$29="Yes",BV11&gt;='Operating Assumptions'!$D$31,BV11&lt;'Operating Assumptions'!$D$33),'Operating Assumptions'!$D$32-SUM($H$34:BU34),IF(AND('Operating Assumptions'!$D$29="Yes",BV11&gt;'Operating Assumptions'!$D$31,BV11&gt;='Operating Assumptions'!$D$33),'Operating Assumptions'!$D$14-SUM($H$34:BU34))))))</f>
        <v>0</v>
      </c>
      <c r="BW33" s="508">
        <f>IF(AND('Operating Assumptions'!$D$29="No",BW11&lt;'Operating Assumptions'!$D$22),0,IF(AND('Operating Assumptions'!$D$29="No",BW11&gt;='Operating Assumptions'!$D$22),'Operating Assumptions'!$D$14-SUM($H$34:BV34),IF(AND('Operating Assumptions'!$D$29="Yes",BW11&lt;'Operating Assumptions'!$D$31),0,IF(AND('Operating Assumptions'!$D$29="Yes",BW11&gt;='Operating Assumptions'!$D$31,BW11&lt;'Operating Assumptions'!$D$33),'Operating Assumptions'!$D$32-SUM($H$34:BV34),IF(AND('Operating Assumptions'!$D$29="Yes",BW11&gt;'Operating Assumptions'!$D$31,BW11&gt;='Operating Assumptions'!$D$33),'Operating Assumptions'!$D$14-SUM($H$34:BV34))))))</f>
        <v>0</v>
      </c>
      <c r="BX33" s="508">
        <f>IF(AND('Operating Assumptions'!$D$29="No",BX11&lt;'Operating Assumptions'!$D$22),0,IF(AND('Operating Assumptions'!$D$29="No",BX11&gt;='Operating Assumptions'!$D$22),'Operating Assumptions'!$D$14-SUM($H$34:BW34),IF(AND('Operating Assumptions'!$D$29="Yes",BX11&lt;'Operating Assumptions'!$D$31),0,IF(AND('Operating Assumptions'!$D$29="Yes",BX11&gt;='Operating Assumptions'!$D$31,BX11&lt;'Operating Assumptions'!$D$33),'Operating Assumptions'!$D$32-SUM($H$34:BW34),IF(AND('Operating Assumptions'!$D$29="Yes",BX11&gt;'Operating Assumptions'!$D$31,BX11&gt;='Operating Assumptions'!$D$33),'Operating Assumptions'!$D$14-SUM($H$34:BW34))))))</f>
        <v>0</v>
      </c>
      <c r="BY33" s="508">
        <f>IF(AND('Operating Assumptions'!$D$29="No",BY11&lt;'Operating Assumptions'!$D$22),0,IF(AND('Operating Assumptions'!$D$29="No",BY11&gt;='Operating Assumptions'!$D$22),'Operating Assumptions'!$D$14-SUM($H$34:BX34),IF(AND('Operating Assumptions'!$D$29="Yes",BY11&lt;'Operating Assumptions'!$D$31),0,IF(AND('Operating Assumptions'!$D$29="Yes",BY11&gt;='Operating Assumptions'!$D$31,BY11&lt;'Operating Assumptions'!$D$33),'Operating Assumptions'!$D$32-SUM($H$34:BX34),IF(AND('Operating Assumptions'!$D$29="Yes",BY11&gt;'Operating Assumptions'!$D$31,BY11&gt;='Operating Assumptions'!$D$33),'Operating Assumptions'!$D$14-SUM($H$34:BX34))))))</f>
        <v>0</v>
      </c>
      <c r="BZ33" s="508">
        <f>IF(AND('Operating Assumptions'!$D$29="No",BZ11&lt;'Operating Assumptions'!$D$22),0,IF(AND('Operating Assumptions'!$D$29="No",BZ11&gt;='Operating Assumptions'!$D$22),'Operating Assumptions'!$D$14-SUM($H$34:BY34),IF(AND('Operating Assumptions'!$D$29="Yes",BZ11&lt;'Operating Assumptions'!$D$31),0,IF(AND('Operating Assumptions'!$D$29="Yes",BZ11&gt;='Operating Assumptions'!$D$31,BZ11&lt;'Operating Assumptions'!$D$33),'Operating Assumptions'!$D$32-SUM($H$34:BY34),IF(AND('Operating Assumptions'!$D$29="Yes",BZ11&gt;'Operating Assumptions'!$D$31,BZ11&gt;='Operating Assumptions'!$D$33),'Operating Assumptions'!$D$14-SUM($H$34:BY34))))))</f>
        <v>0</v>
      </c>
      <c r="CA33" s="508">
        <f>IF(AND('Operating Assumptions'!$D$29="No",CA11&lt;'Operating Assumptions'!$D$22),0,IF(AND('Operating Assumptions'!$D$29="No",CA11&gt;='Operating Assumptions'!$D$22),'Operating Assumptions'!$D$14-SUM($H$34:BZ34),IF(AND('Operating Assumptions'!$D$29="Yes",CA11&lt;'Operating Assumptions'!$D$31),0,IF(AND('Operating Assumptions'!$D$29="Yes",CA11&gt;='Operating Assumptions'!$D$31,CA11&lt;'Operating Assumptions'!$D$33),'Operating Assumptions'!$D$32-SUM($H$34:BZ34),IF(AND('Operating Assumptions'!$D$29="Yes",CA11&gt;'Operating Assumptions'!$D$31,CA11&gt;='Operating Assumptions'!$D$33),'Operating Assumptions'!$D$14-SUM($H$34:BZ34))))))</f>
        <v>0</v>
      </c>
      <c r="CB33" s="508">
        <f>IF(AND('Operating Assumptions'!$D$29="No",CB11&lt;'Operating Assumptions'!$D$22),0,IF(AND('Operating Assumptions'!$D$29="No",CB11&gt;='Operating Assumptions'!$D$22),'Operating Assumptions'!$D$14-SUM($H$34:CA34),IF(AND('Operating Assumptions'!$D$29="Yes",CB11&lt;'Operating Assumptions'!$D$31),0,IF(AND('Operating Assumptions'!$D$29="Yes",CB11&gt;='Operating Assumptions'!$D$31,CB11&lt;'Operating Assumptions'!$D$33),'Operating Assumptions'!$D$32-SUM($H$34:CA34),IF(AND('Operating Assumptions'!$D$29="Yes",CB11&gt;'Operating Assumptions'!$D$31,CB11&gt;='Operating Assumptions'!$D$33),'Operating Assumptions'!$D$14-SUM($H$34:CA34))))))</f>
        <v>0</v>
      </c>
      <c r="CC33" s="508">
        <f>IF(AND('Operating Assumptions'!$D$29="No",CC11&lt;'Operating Assumptions'!$D$22),0,IF(AND('Operating Assumptions'!$D$29="No",CC11&gt;='Operating Assumptions'!$D$22),'Operating Assumptions'!$D$14-SUM($H$34:CB34),IF(AND('Operating Assumptions'!$D$29="Yes",CC11&lt;'Operating Assumptions'!$D$31),0,IF(AND('Operating Assumptions'!$D$29="Yes",CC11&gt;='Operating Assumptions'!$D$31,CC11&lt;'Operating Assumptions'!$D$33),'Operating Assumptions'!$D$32-SUM($H$34:CB34),IF(AND('Operating Assumptions'!$D$29="Yes",CC11&gt;'Operating Assumptions'!$D$31,CC11&gt;='Operating Assumptions'!$D$33),'Operating Assumptions'!$D$14-SUM($H$34:CB34))))))</f>
        <v>0</v>
      </c>
      <c r="CD33" s="508">
        <f>IF(AND('Operating Assumptions'!$D$29="No",CD11&lt;'Operating Assumptions'!$D$22),0,IF(AND('Operating Assumptions'!$D$29="No",CD11&gt;='Operating Assumptions'!$D$22),'Operating Assumptions'!$D$14-SUM($H$34:CC34),IF(AND('Operating Assumptions'!$D$29="Yes",CD11&lt;'Operating Assumptions'!$D$31),0,IF(AND('Operating Assumptions'!$D$29="Yes",CD11&gt;='Operating Assumptions'!$D$31,CD11&lt;'Operating Assumptions'!$D$33),'Operating Assumptions'!$D$32-SUM($H$34:CC34),IF(AND('Operating Assumptions'!$D$29="Yes",CD11&gt;'Operating Assumptions'!$D$31,CD11&gt;='Operating Assumptions'!$D$33),'Operating Assumptions'!$D$14-SUM($H$34:CC34))))))</f>
        <v>0</v>
      </c>
      <c r="CE33" s="508">
        <f>IF(AND('Operating Assumptions'!$D$29="No",CE11&lt;'Operating Assumptions'!$D$22),0,IF(AND('Operating Assumptions'!$D$29="No",CE11&gt;='Operating Assumptions'!$D$22),'Operating Assumptions'!$D$14-SUM($H$34:CD34),IF(AND('Operating Assumptions'!$D$29="Yes",CE11&lt;'Operating Assumptions'!$D$31),0,IF(AND('Operating Assumptions'!$D$29="Yes",CE11&gt;='Operating Assumptions'!$D$31,CE11&lt;'Operating Assumptions'!$D$33),'Operating Assumptions'!$D$32-SUM($H$34:CD34),IF(AND('Operating Assumptions'!$D$29="Yes",CE11&gt;'Operating Assumptions'!$D$31,CE11&gt;='Operating Assumptions'!$D$33),'Operating Assumptions'!$D$14-SUM($H$34:CD34))))))</f>
        <v>0</v>
      </c>
      <c r="CF33" s="508">
        <f>IF(AND('Operating Assumptions'!$D$29="No",CF11&lt;'Operating Assumptions'!$D$22),0,IF(AND('Operating Assumptions'!$D$29="No",CF11&gt;='Operating Assumptions'!$D$22),'Operating Assumptions'!$D$14-SUM($H$34:CE34),IF(AND('Operating Assumptions'!$D$29="Yes",CF11&lt;'Operating Assumptions'!$D$31),0,IF(AND('Operating Assumptions'!$D$29="Yes",CF11&gt;='Operating Assumptions'!$D$31,CF11&lt;'Operating Assumptions'!$D$33),'Operating Assumptions'!$D$32-SUM($H$34:CE34),IF(AND('Operating Assumptions'!$D$29="Yes",CF11&gt;'Operating Assumptions'!$D$31,CF11&gt;='Operating Assumptions'!$D$33),'Operating Assumptions'!$D$14-SUM($H$34:CE34))))))</f>
        <v>0</v>
      </c>
      <c r="CG33" s="508">
        <f>IF(AND('Operating Assumptions'!$D$29="No",CG11&lt;'Operating Assumptions'!$D$22),0,IF(AND('Operating Assumptions'!$D$29="No",CG11&gt;='Operating Assumptions'!$D$22),'Operating Assumptions'!$D$14-SUM($H$34:CF34),IF(AND('Operating Assumptions'!$D$29="Yes",CG11&lt;'Operating Assumptions'!$D$31),0,IF(AND('Operating Assumptions'!$D$29="Yes",CG11&gt;='Operating Assumptions'!$D$31,CG11&lt;'Operating Assumptions'!$D$33),'Operating Assumptions'!$D$32-SUM($H$34:CF34),IF(AND('Operating Assumptions'!$D$29="Yes",CG11&gt;'Operating Assumptions'!$D$31,CG11&gt;='Operating Assumptions'!$D$33),'Operating Assumptions'!$D$14-SUM($H$34:CF34))))))</f>
        <v>0</v>
      </c>
      <c r="CH33" s="508">
        <f>IF(AND('Operating Assumptions'!$D$29="No",CH11&lt;'Operating Assumptions'!$D$22),0,IF(AND('Operating Assumptions'!$D$29="No",CH11&gt;='Operating Assumptions'!$D$22),'Operating Assumptions'!$D$14-SUM($H$34:CG34),IF(AND('Operating Assumptions'!$D$29="Yes",CH11&lt;'Operating Assumptions'!$D$31),0,IF(AND('Operating Assumptions'!$D$29="Yes",CH11&gt;='Operating Assumptions'!$D$31,CH11&lt;'Operating Assumptions'!$D$33),'Operating Assumptions'!$D$32-SUM($H$34:CG34),IF(AND('Operating Assumptions'!$D$29="Yes",CH11&gt;'Operating Assumptions'!$D$31,CH11&gt;='Operating Assumptions'!$D$33),'Operating Assumptions'!$D$14-SUM($H$34:CG34))))))</f>
        <v>0</v>
      </c>
      <c r="CI33" s="508">
        <f>IF(AND('Operating Assumptions'!$D$29="No",CI11&lt;'Operating Assumptions'!$D$22),0,IF(AND('Operating Assumptions'!$D$29="No",CI11&gt;='Operating Assumptions'!$D$22),'Operating Assumptions'!$D$14-SUM($H$34:CH34),IF(AND('Operating Assumptions'!$D$29="Yes",CI11&lt;'Operating Assumptions'!$D$31),0,IF(AND('Operating Assumptions'!$D$29="Yes",CI11&gt;='Operating Assumptions'!$D$31,CI11&lt;'Operating Assumptions'!$D$33),'Operating Assumptions'!$D$32-SUM($H$34:CH34),IF(AND('Operating Assumptions'!$D$29="Yes",CI11&gt;'Operating Assumptions'!$D$31,CI11&gt;='Operating Assumptions'!$D$33),'Operating Assumptions'!$D$14-SUM($H$34:CH34))))))</f>
        <v>0</v>
      </c>
      <c r="CJ33" s="508">
        <f>IF(AND('Operating Assumptions'!$D$29="No",CJ11&lt;'Operating Assumptions'!$D$22),0,IF(AND('Operating Assumptions'!$D$29="No",CJ11&gt;='Operating Assumptions'!$D$22),'Operating Assumptions'!$D$14-SUM($H$34:CI34),IF(AND('Operating Assumptions'!$D$29="Yes",CJ11&lt;'Operating Assumptions'!$D$31),0,IF(AND('Operating Assumptions'!$D$29="Yes",CJ11&gt;='Operating Assumptions'!$D$31,CJ11&lt;'Operating Assumptions'!$D$33),'Operating Assumptions'!$D$32-SUM($H$34:CI34),IF(AND('Operating Assumptions'!$D$29="Yes",CJ11&gt;'Operating Assumptions'!$D$31,CJ11&gt;='Operating Assumptions'!$D$33),'Operating Assumptions'!$D$14-SUM($H$34:CI34))))))</f>
        <v>0</v>
      </c>
      <c r="CK33" s="508">
        <f>IF(AND('Operating Assumptions'!$D$29="No",CK11&lt;'Operating Assumptions'!$D$22),0,IF(AND('Operating Assumptions'!$D$29="No",CK11&gt;='Operating Assumptions'!$D$22),'Operating Assumptions'!$D$14-SUM($H$34:CJ34),IF(AND('Operating Assumptions'!$D$29="Yes",CK11&lt;'Operating Assumptions'!$D$31),0,IF(AND('Operating Assumptions'!$D$29="Yes",CK11&gt;='Operating Assumptions'!$D$31,CK11&lt;'Operating Assumptions'!$D$33),'Operating Assumptions'!$D$32-SUM($H$34:CJ34),IF(AND('Operating Assumptions'!$D$29="Yes",CK11&gt;'Operating Assumptions'!$D$31,CK11&gt;='Operating Assumptions'!$D$33),'Operating Assumptions'!$D$14-SUM($H$34:CJ34))))))</f>
        <v>0</v>
      </c>
      <c r="CL33" s="508">
        <f>IF(AND('Operating Assumptions'!$D$29="No",CL11&lt;'Operating Assumptions'!$D$22),0,IF(AND('Operating Assumptions'!$D$29="No",CL11&gt;='Operating Assumptions'!$D$22),'Operating Assumptions'!$D$14-SUM($H$34:CK34),IF(AND('Operating Assumptions'!$D$29="Yes",CL11&lt;'Operating Assumptions'!$D$31),0,IF(AND('Operating Assumptions'!$D$29="Yes",CL11&gt;='Operating Assumptions'!$D$31,CL11&lt;'Operating Assumptions'!$D$33),'Operating Assumptions'!$D$32-SUM($H$34:CK34),IF(AND('Operating Assumptions'!$D$29="Yes",CL11&gt;'Operating Assumptions'!$D$31,CL11&gt;='Operating Assumptions'!$D$33),'Operating Assumptions'!$D$14-SUM($H$34:CK34))))))</f>
        <v>0</v>
      </c>
      <c r="CM33" s="508">
        <f>IF(AND('Operating Assumptions'!$D$29="No",CM11&lt;'Operating Assumptions'!$D$22),0,IF(AND('Operating Assumptions'!$D$29="No",CM11&gt;='Operating Assumptions'!$D$22),'Operating Assumptions'!$D$14-SUM($H$34:CL34),IF(AND('Operating Assumptions'!$D$29="Yes",CM11&lt;'Operating Assumptions'!$D$31),0,IF(AND('Operating Assumptions'!$D$29="Yes",CM11&gt;='Operating Assumptions'!$D$31,CM11&lt;'Operating Assumptions'!$D$33),'Operating Assumptions'!$D$32-SUM($H$34:CL34),IF(AND('Operating Assumptions'!$D$29="Yes",CM11&gt;'Operating Assumptions'!$D$31,CM11&gt;='Operating Assumptions'!$D$33),'Operating Assumptions'!$D$14-SUM($H$34:CL34))))))</f>
        <v>0</v>
      </c>
      <c r="CN33" s="508">
        <f>IF(AND('Operating Assumptions'!$D$29="No",CN11&lt;'Operating Assumptions'!$D$22),0,IF(AND('Operating Assumptions'!$D$29="No",CN11&gt;='Operating Assumptions'!$D$22),'Operating Assumptions'!$D$14-SUM($H$34:CM34),IF(AND('Operating Assumptions'!$D$29="Yes",CN11&lt;'Operating Assumptions'!$D$31),0,IF(AND('Operating Assumptions'!$D$29="Yes",CN11&gt;='Operating Assumptions'!$D$31,CN11&lt;'Operating Assumptions'!$D$33),'Operating Assumptions'!$D$32-SUM($H$34:CM34),IF(AND('Operating Assumptions'!$D$29="Yes",CN11&gt;'Operating Assumptions'!$D$31,CN11&gt;='Operating Assumptions'!$D$33),'Operating Assumptions'!$D$14-SUM($H$34:CM34))))))</f>
        <v>0</v>
      </c>
      <c r="CO33" s="508">
        <f>IF(AND('Operating Assumptions'!$D$29="No",CO11&lt;'Operating Assumptions'!$D$22),0,IF(AND('Operating Assumptions'!$D$29="No",CO11&gt;='Operating Assumptions'!$D$22),'Operating Assumptions'!$D$14-SUM($H$34:CN34),IF(AND('Operating Assumptions'!$D$29="Yes",CO11&lt;'Operating Assumptions'!$D$31),0,IF(AND('Operating Assumptions'!$D$29="Yes",CO11&gt;='Operating Assumptions'!$D$31,CO11&lt;'Operating Assumptions'!$D$33),'Operating Assumptions'!$D$32-SUM($H$34:CN34),IF(AND('Operating Assumptions'!$D$29="Yes",CO11&gt;'Operating Assumptions'!$D$31,CO11&gt;='Operating Assumptions'!$D$33),'Operating Assumptions'!$D$14-SUM($H$34:CN34))))))</f>
        <v>0</v>
      </c>
      <c r="CP33" s="508">
        <f>IF(AND('Operating Assumptions'!$D$29="No",CP11&lt;'Operating Assumptions'!$D$22),0,IF(AND('Operating Assumptions'!$D$29="No",CP11&gt;='Operating Assumptions'!$D$22),'Operating Assumptions'!$D$14-SUM($H$34:CO34),IF(AND('Operating Assumptions'!$D$29="Yes",CP11&lt;'Operating Assumptions'!$D$31),0,IF(AND('Operating Assumptions'!$D$29="Yes",CP11&gt;='Operating Assumptions'!$D$31,CP11&lt;'Operating Assumptions'!$D$33),'Operating Assumptions'!$D$32-SUM($H$34:CO34),IF(AND('Operating Assumptions'!$D$29="Yes",CP11&gt;'Operating Assumptions'!$D$31,CP11&gt;='Operating Assumptions'!$D$33),'Operating Assumptions'!$D$14-SUM($H$34:CO34))))))</f>
        <v>0</v>
      </c>
      <c r="CQ33" s="508">
        <f>IF(AND('Operating Assumptions'!$D$29="No",CQ11&lt;'Operating Assumptions'!$D$22),0,IF(AND('Operating Assumptions'!$D$29="No",CQ11&gt;='Operating Assumptions'!$D$22),'Operating Assumptions'!$D$14-SUM($H$34:CP34),IF(AND('Operating Assumptions'!$D$29="Yes",CQ11&lt;'Operating Assumptions'!$D$31),0,IF(AND('Operating Assumptions'!$D$29="Yes",CQ11&gt;='Operating Assumptions'!$D$31,CQ11&lt;'Operating Assumptions'!$D$33),'Operating Assumptions'!$D$32-SUM($H$34:CP34),IF(AND('Operating Assumptions'!$D$29="Yes",CQ11&gt;'Operating Assumptions'!$D$31,CQ11&gt;='Operating Assumptions'!$D$33),'Operating Assumptions'!$D$14-SUM($H$34:CP34))))))</f>
        <v>0</v>
      </c>
      <c r="CR33" s="508">
        <f>IF(AND('Operating Assumptions'!$D$29="No",CR11&lt;'Operating Assumptions'!$D$22),0,IF(AND('Operating Assumptions'!$D$29="No",CR11&gt;='Operating Assumptions'!$D$22),'Operating Assumptions'!$D$14-SUM($H$34:CQ34),IF(AND('Operating Assumptions'!$D$29="Yes",CR11&lt;'Operating Assumptions'!$D$31),0,IF(AND('Operating Assumptions'!$D$29="Yes",CR11&gt;='Operating Assumptions'!$D$31,CR11&lt;'Operating Assumptions'!$D$33),'Operating Assumptions'!$D$32-SUM($H$34:CQ34),IF(AND('Operating Assumptions'!$D$29="Yes",CR11&gt;'Operating Assumptions'!$D$31,CR11&gt;='Operating Assumptions'!$D$33),'Operating Assumptions'!$D$14-SUM($H$34:CQ34))))))</f>
        <v>0</v>
      </c>
      <c r="CS33" s="508">
        <f>IF(AND('Operating Assumptions'!$D$29="No",CS11&lt;'Operating Assumptions'!$D$22),0,IF(AND('Operating Assumptions'!$D$29="No",CS11&gt;='Operating Assumptions'!$D$22),'Operating Assumptions'!$D$14-SUM($H$34:CR34),IF(AND('Operating Assumptions'!$D$29="Yes",CS11&lt;'Operating Assumptions'!$D$31),0,IF(AND('Operating Assumptions'!$D$29="Yes",CS11&gt;='Operating Assumptions'!$D$31,CS11&lt;'Operating Assumptions'!$D$33),'Operating Assumptions'!$D$32-SUM($H$34:CR34),IF(AND('Operating Assumptions'!$D$29="Yes",CS11&gt;'Operating Assumptions'!$D$31,CS11&gt;='Operating Assumptions'!$D$33),'Operating Assumptions'!$D$14-SUM($H$34:CR34))))))</f>
        <v>0</v>
      </c>
      <c r="CT33" s="508">
        <f>IF(AND('Operating Assumptions'!$D$29="No",CT11&lt;'Operating Assumptions'!$D$22),0,IF(AND('Operating Assumptions'!$D$29="No",CT11&gt;='Operating Assumptions'!$D$22),'Operating Assumptions'!$D$14-SUM($H$34:CS34),IF(AND('Operating Assumptions'!$D$29="Yes",CT11&lt;'Operating Assumptions'!$D$31),0,IF(AND('Operating Assumptions'!$D$29="Yes",CT11&gt;='Operating Assumptions'!$D$31,CT11&lt;'Operating Assumptions'!$D$33),'Operating Assumptions'!$D$32-SUM($H$34:CS34),IF(AND('Operating Assumptions'!$D$29="Yes",CT11&gt;'Operating Assumptions'!$D$31,CT11&gt;='Operating Assumptions'!$D$33),'Operating Assumptions'!$D$14-SUM($H$34:CS34))))))</f>
        <v>0</v>
      </c>
      <c r="CU33" s="508">
        <f>IF(AND('Operating Assumptions'!$D$29="No",CU11&lt;'Operating Assumptions'!$D$22),0,IF(AND('Operating Assumptions'!$D$29="No",CU11&gt;='Operating Assumptions'!$D$22),'Operating Assumptions'!$D$14-SUM($H$34:CT34),IF(AND('Operating Assumptions'!$D$29="Yes",CU11&lt;'Operating Assumptions'!$D$31),0,IF(AND('Operating Assumptions'!$D$29="Yes",CU11&gt;='Operating Assumptions'!$D$31,CU11&lt;'Operating Assumptions'!$D$33),'Operating Assumptions'!$D$32-SUM($H$34:CT34),IF(AND('Operating Assumptions'!$D$29="Yes",CU11&gt;'Operating Assumptions'!$D$31,CU11&gt;='Operating Assumptions'!$D$33),'Operating Assumptions'!$D$14-SUM($H$34:CT34))))))</f>
        <v>0</v>
      </c>
      <c r="CV33" s="508">
        <f>IF(AND('Operating Assumptions'!$D$29="No",CV11&lt;'Operating Assumptions'!$D$22),0,IF(AND('Operating Assumptions'!$D$29="No",CV11&gt;='Operating Assumptions'!$D$22),'Operating Assumptions'!$D$14-SUM($H$34:CU34),IF(AND('Operating Assumptions'!$D$29="Yes",CV11&lt;'Operating Assumptions'!$D$31),0,IF(AND('Operating Assumptions'!$D$29="Yes",CV11&gt;='Operating Assumptions'!$D$31,CV11&lt;'Operating Assumptions'!$D$33),'Operating Assumptions'!$D$32-SUM($H$34:CU34),IF(AND('Operating Assumptions'!$D$29="Yes",CV11&gt;'Operating Assumptions'!$D$31,CV11&gt;='Operating Assumptions'!$D$33),'Operating Assumptions'!$D$14-SUM($H$34:CU34))))))</f>
        <v>0</v>
      </c>
      <c r="CW33" s="508">
        <f>IF(AND('Operating Assumptions'!$D$29="No",CW11&lt;'Operating Assumptions'!$D$22),0,IF(AND('Operating Assumptions'!$D$29="No",CW11&gt;='Operating Assumptions'!$D$22),'Operating Assumptions'!$D$14-SUM($H$34:CV34),IF(AND('Operating Assumptions'!$D$29="Yes",CW11&lt;'Operating Assumptions'!$D$31),0,IF(AND('Operating Assumptions'!$D$29="Yes",CW11&gt;='Operating Assumptions'!$D$31,CW11&lt;'Operating Assumptions'!$D$33),'Operating Assumptions'!$D$32-SUM($H$34:CV34),IF(AND('Operating Assumptions'!$D$29="Yes",CW11&gt;'Operating Assumptions'!$D$31,CW11&gt;='Operating Assumptions'!$D$33),'Operating Assumptions'!$D$14-SUM($H$34:CV34))))))</f>
        <v>0</v>
      </c>
      <c r="CX33" s="508">
        <f>IF(AND('Operating Assumptions'!$D$29="No",CX11&lt;'Operating Assumptions'!$D$22),0,IF(AND('Operating Assumptions'!$D$29="No",CX11&gt;='Operating Assumptions'!$D$22),'Operating Assumptions'!$D$14-SUM($H$34:CW34),IF(AND('Operating Assumptions'!$D$29="Yes",CX11&lt;'Operating Assumptions'!$D$31),0,IF(AND('Operating Assumptions'!$D$29="Yes",CX11&gt;='Operating Assumptions'!$D$31,CX11&lt;'Operating Assumptions'!$D$33),'Operating Assumptions'!$D$32-SUM($H$34:CW34),IF(AND('Operating Assumptions'!$D$29="Yes",CX11&gt;'Operating Assumptions'!$D$31,CX11&gt;='Operating Assumptions'!$D$33),'Operating Assumptions'!$D$14-SUM($H$34:CW34))))))</f>
        <v>0</v>
      </c>
      <c r="CY33" s="508">
        <f>IF(AND('Operating Assumptions'!$D$29="No",CY11&lt;'Operating Assumptions'!$D$22),0,IF(AND('Operating Assumptions'!$D$29="No",CY11&gt;='Operating Assumptions'!$D$22),'Operating Assumptions'!$D$14-SUM($H$34:CX34),IF(AND('Operating Assumptions'!$D$29="Yes",CY11&lt;'Operating Assumptions'!$D$31),0,IF(AND('Operating Assumptions'!$D$29="Yes",CY11&gt;='Operating Assumptions'!$D$31,CY11&lt;'Operating Assumptions'!$D$33),'Operating Assumptions'!$D$32-SUM($H$34:CX34),IF(AND('Operating Assumptions'!$D$29="Yes",CY11&gt;'Operating Assumptions'!$D$31,CY11&gt;='Operating Assumptions'!$D$33),'Operating Assumptions'!$D$14-SUM($H$34:CX34))))))</f>
        <v>0</v>
      </c>
      <c r="CZ33" s="508">
        <f>IF(AND('Operating Assumptions'!$D$29="No",CZ11&lt;'Operating Assumptions'!$D$22),0,IF(AND('Operating Assumptions'!$D$29="No",CZ11&gt;='Operating Assumptions'!$D$22),'Operating Assumptions'!$D$14-SUM($H$34:CY34),IF(AND('Operating Assumptions'!$D$29="Yes",CZ11&lt;'Operating Assumptions'!$D$31),0,IF(AND('Operating Assumptions'!$D$29="Yes",CZ11&gt;='Operating Assumptions'!$D$31,CZ11&lt;'Operating Assumptions'!$D$33),'Operating Assumptions'!$D$32-SUM($H$34:CY34),IF(AND('Operating Assumptions'!$D$29="Yes",CZ11&gt;'Operating Assumptions'!$D$31,CZ11&gt;='Operating Assumptions'!$D$33),'Operating Assumptions'!$D$14-SUM($H$34:CY34))))))</f>
        <v>0</v>
      </c>
      <c r="DA33" s="508">
        <f>IF(AND('Operating Assumptions'!$D$29="No",DA11&lt;'Operating Assumptions'!$D$22),0,IF(AND('Operating Assumptions'!$D$29="No",DA11&gt;='Operating Assumptions'!$D$22),'Operating Assumptions'!$D$14-SUM($H$34:CZ34),IF(AND('Operating Assumptions'!$D$29="Yes",DA11&lt;'Operating Assumptions'!$D$31),0,IF(AND('Operating Assumptions'!$D$29="Yes",DA11&gt;='Operating Assumptions'!$D$31,DA11&lt;'Operating Assumptions'!$D$33),'Operating Assumptions'!$D$32-SUM($H$34:CZ34),IF(AND('Operating Assumptions'!$D$29="Yes",DA11&gt;'Operating Assumptions'!$D$31,DA11&gt;='Operating Assumptions'!$D$33),'Operating Assumptions'!$D$14-SUM($H$34:CZ34))))))</f>
        <v>0</v>
      </c>
      <c r="DB33" s="508">
        <f>IF(AND('Operating Assumptions'!$D$29="No",DB11&lt;'Operating Assumptions'!$D$22),0,IF(AND('Operating Assumptions'!$D$29="No",DB11&gt;='Operating Assumptions'!$D$22),'Operating Assumptions'!$D$14-SUM($H$34:DA34),IF(AND('Operating Assumptions'!$D$29="Yes",DB11&lt;'Operating Assumptions'!$D$31),0,IF(AND('Operating Assumptions'!$D$29="Yes",DB11&gt;='Operating Assumptions'!$D$31,DB11&lt;'Operating Assumptions'!$D$33),'Operating Assumptions'!$D$32-SUM($H$34:DA34),IF(AND('Operating Assumptions'!$D$29="Yes",DB11&gt;'Operating Assumptions'!$D$31,DB11&gt;='Operating Assumptions'!$D$33),'Operating Assumptions'!$D$14-SUM($H$34:DA34))))))</f>
        <v>0</v>
      </c>
      <c r="DC33" s="508">
        <f>IF(AND('Operating Assumptions'!$D$29="No",DC11&lt;'Operating Assumptions'!$D$22),0,IF(AND('Operating Assumptions'!$D$29="No",DC11&gt;='Operating Assumptions'!$D$22),'Operating Assumptions'!$D$14-SUM($H$34:DB34),IF(AND('Operating Assumptions'!$D$29="Yes",DC11&lt;'Operating Assumptions'!$D$31),0,IF(AND('Operating Assumptions'!$D$29="Yes",DC11&gt;='Operating Assumptions'!$D$31,DC11&lt;'Operating Assumptions'!$D$33),'Operating Assumptions'!$D$32-SUM($H$34:DB34),IF(AND('Operating Assumptions'!$D$29="Yes",DC11&gt;'Operating Assumptions'!$D$31,DC11&gt;='Operating Assumptions'!$D$33),'Operating Assumptions'!$D$14-SUM($H$34:DB34))))))</f>
        <v>0</v>
      </c>
      <c r="DD33" s="508">
        <f>IF(AND('Operating Assumptions'!$D$29="No",DD11&lt;'Operating Assumptions'!$D$22),0,IF(AND('Operating Assumptions'!$D$29="No",DD11&gt;='Operating Assumptions'!$D$22),'Operating Assumptions'!$D$14-SUM($H$34:DC34),IF(AND('Operating Assumptions'!$D$29="Yes",DD11&lt;'Operating Assumptions'!$D$31),0,IF(AND('Operating Assumptions'!$D$29="Yes",DD11&gt;='Operating Assumptions'!$D$31,DD11&lt;'Operating Assumptions'!$D$33),'Operating Assumptions'!$D$32-SUM($H$34:DC34),IF(AND('Operating Assumptions'!$D$29="Yes",DD11&gt;'Operating Assumptions'!$D$31,DD11&gt;='Operating Assumptions'!$D$33),'Operating Assumptions'!$D$14-SUM($H$34:DC34))))))</f>
        <v>0</v>
      </c>
      <c r="DE33" s="508">
        <f>IF(AND('Operating Assumptions'!$D$29="No",DE11&lt;'Operating Assumptions'!$D$22),0,IF(AND('Operating Assumptions'!$D$29="No",DE11&gt;='Operating Assumptions'!$D$22),'Operating Assumptions'!$D$14-SUM($H$34:DD34),IF(AND('Operating Assumptions'!$D$29="Yes",DE11&lt;'Operating Assumptions'!$D$31),0,IF(AND('Operating Assumptions'!$D$29="Yes",DE11&gt;='Operating Assumptions'!$D$31,DE11&lt;'Operating Assumptions'!$D$33),'Operating Assumptions'!$D$32-SUM($H$34:DD34),IF(AND('Operating Assumptions'!$D$29="Yes",DE11&gt;'Operating Assumptions'!$D$31,DE11&gt;='Operating Assumptions'!$D$33),'Operating Assumptions'!$D$14-SUM($H$34:DD34))))))</f>
        <v>0</v>
      </c>
      <c r="DF33" s="508">
        <f>IF(AND('Operating Assumptions'!$D$29="No",DF11&lt;'Operating Assumptions'!$D$22),0,IF(AND('Operating Assumptions'!$D$29="No",DF11&gt;='Operating Assumptions'!$D$22),'Operating Assumptions'!$D$14-SUM($H$34:DE34),IF(AND('Operating Assumptions'!$D$29="Yes",DF11&lt;'Operating Assumptions'!$D$31),0,IF(AND('Operating Assumptions'!$D$29="Yes",DF11&gt;='Operating Assumptions'!$D$31,DF11&lt;'Operating Assumptions'!$D$33),'Operating Assumptions'!$D$32-SUM($H$34:DE34),IF(AND('Operating Assumptions'!$D$29="Yes",DF11&gt;'Operating Assumptions'!$D$31,DF11&gt;='Operating Assumptions'!$D$33),'Operating Assumptions'!$D$14-SUM($H$34:DE34))))))</f>
        <v>0</v>
      </c>
      <c r="DG33" s="508">
        <f>IF(AND('Operating Assumptions'!$D$29="No",DG11&lt;'Operating Assumptions'!$D$22),0,IF(AND('Operating Assumptions'!$D$29="No",DG11&gt;='Operating Assumptions'!$D$22),'Operating Assumptions'!$D$14-SUM($H$34:DF34),IF(AND('Operating Assumptions'!$D$29="Yes",DG11&lt;'Operating Assumptions'!$D$31),0,IF(AND('Operating Assumptions'!$D$29="Yes",DG11&gt;='Operating Assumptions'!$D$31,DG11&lt;'Operating Assumptions'!$D$33),'Operating Assumptions'!$D$32-SUM($H$34:DF34),IF(AND('Operating Assumptions'!$D$29="Yes",DG11&gt;'Operating Assumptions'!$D$31,DG11&gt;='Operating Assumptions'!$D$33),'Operating Assumptions'!$D$14-SUM($H$34:DF34))))))</f>
        <v>0</v>
      </c>
      <c r="DH33" s="508">
        <f>IF(AND('Operating Assumptions'!$D$29="No",DH11&lt;'Operating Assumptions'!$D$22),0,IF(AND('Operating Assumptions'!$D$29="No",DH11&gt;='Operating Assumptions'!$D$22),'Operating Assumptions'!$D$14-SUM($H$34:DG34),IF(AND('Operating Assumptions'!$D$29="Yes",DH11&lt;'Operating Assumptions'!$D$31),0,IF(AND('Operating Assumptions'!$D$29="Yes",DH11&gt;='Operating Assumptions'!$D$31,DH11&lt;'Operating Assumptions'!$D$33),'Operating Assumptions'!$D$32-SUM($H$34:DG34),IF(AND('Operating Assumptions'!$D$29="Yes",DH11&gt;'Operating Assumptions'!$D$31,DH11&gt;='Operating Assumptions'!$D$33),'Operating Assumptions'!$D$14-SUM($H$34:DG34))))))</f>
        <v>0</v>
      </c>
      <c r="DI33" s="508">
        <f>IF(AND('Operating Assumptions'!$D$29="No",DI11&lt;'Operating Assumptions'!$D$22),0,IF(AND('Operating Assumptions'!$D$29="No",DI11&gt;='Operating Assumptions'!$D$22),'Operating Assumptions'!$D$14-SUM($H$34:DH34),IF(AND('Operating Assumptions'!$D$29="Yes",DI11&lt;'Operating Assumptions'!$D$31),0,IF(AND('Operating Assumptions'!$D$29="Yes",DI11&gt;='Operating Assumptions'!$D$31,DI11&lt;'Operating Assumptions'!$D$33),'Operating Assumptions'!$D$32-SUM($H$34:DH34),IF(AND('Operating Assumptions'!$D$29="Yes",DI11&gt;'Operating Assumptions'!$D$31,DI11&gt;='Operating Assumptions'!$D$33),'Operating Assumptions'!$D$14-SUM($H$34:DH34))))))</f>
        <v>0</v>
      </c>
      <c r="DJ33" s="508">
        <f>IF(AND('Operating Assumptions'!$D$29="No",DJ11&lt;'Operating Assumptions'!$D$22),0,IF(AND('Operating Assumptions'!$D$29="No",DJ11&gt;='Operating Assumptions'!$D$22),'Operating Assumptions'!$D$14-SUM($H$34:DI34),IF(AND('Operating Assumptions'!$D$29="Yes",DJ11&lt;'Operating Assumptions'!$D$31),0,IF(AND('Operating Assumptions'!$D$29="Yes",DJ11&gt;='Operating Assumptions'!$D$31,DJ11&lt;'Operating Assumptions'!$D$33),'Operating Assumptions'!$D$32-SUM($H$34:DI34),IF(AND('Operating Assumptions'!$D$29="Yes",DJ11&gt;'Operating Assumptions'!$D$31,DJ11&gt;='Operating Assumptions'!$D$33),'Operating Assumptions'!$D$14-SUM($H$34:DI34))))))</f>
        <v>0</v>
      </c>
      <c r="DK33" s="508">
        <f>IF(AND('Operating Assumptions'!$D$29="No",DK11&lt;'Operating Assumptions'!$D$22),0,IF(AND('Operating Assumptions'!$D$29="No",DK11&gt;='Operating Assumptions'!$D$22),'Operating Assumptions'!$D$14-SUM($H$34:DJ34),IF(AND('Operating Assumptions'!$D$29="Yes",DK11&lt;'Operating Assumptions'!$D$31),0,IF(AND('Operating Assumptions'!$D$29="Yes",DK11&gt;='Operating Assumptions'!$D$31,DK11&lt;'Operating Assumptions'!$D$33),'Operating Assumptions'!$D$32-SUM($H$34:DJ34),IF(AND('Operating Assumptions'!$D$29="Yes",DK11&gt;'Operating Assumptions'!$D$31,DK11&gt;='Operating Assumptions'!$D$33),'Operating Assumptions'!$D$14-SUM($H$34:DJ34))))))</f>
        <v>0</v>
      </c>
      <c r="DL33" s="508">
        <f>IF(AND('Operating Assumptions'!$D$29="No",DL11&lt;'Operating Assumptions'!$D$22),0,IF(AND('Operating Assumptions'!$D$29="No",DL11&gt;='Operating Assumptions'!$D$22),'Operating Assumptions'!$D$14-SUM($H$34:DK34),IF(AND('Operating Assumptions'!$D$29="Yes",DL11&lt;'Operating Assumptions'!$D$31),0,IF(AND('Operating Assumptions'!$D$29="Yes",DL11&gt;='Operating Assumptions'!$D$31,DL11&lt;'Operating Assumptions'!$D$33),'Operating Assumptions'!$D$32-SUM($H$34:DK34),IF(AND('Operating Assumptions'!$D$29="Yes",DL11&gt;'Operating Assumptions'!$D$31,DL11&gt;='Operating Assumptions'!$D$33),'Operating Assumptions'!$D$14-SUM($H$34:DK34))))))</f>
        <v>0</v>
      </c>
      <c r="DM33" s="508">
        <f>IF(AND('Operating Assumptions'!$D$29="No",DM11&lt;'Operating Assumptions'!$D$22),0,IF(AND('Operating Assumptions'!$D$29="No",DM11&gt;='Operating Assumptions'!$D$22),'Operating Assumptions'!$D$14-SUM($H$34:DL34),IF(AND('Operating Assumptions'!$D$29="Yes",DM11&lt;'Operating Assumptions'!$D$31),0,IF(AND('Operating Assumptions'!$D$29="Yes",DM11&gt;='Operating Assumptions'!$D$31,DM11&lt;'Operating Assumptions'!$D$33),'Operating Assumptions'!$D$32-SUM($H$34:DL34),IF(AND('Operating Assumptions'!$D$29="Yes",DM11&gt;'Operating Assumptions'!$D$31,DM11&gt;='Operating Assumptions'!$D$33),'Operating Assumptions'!$D$14-SUM($H$34:DL34))))))</f>
        <v>0</v>
      </c>
      <c r="DN33" s="508">
        <f>IF(AND('Operating Assumptions'!$D$29="No",DN11&lt;'Operating Assumptions'!$D$22),0,IF(AND('Operating Assumptions'!$D$29="No",DN11&gt;='Operating Assumptions'!$D$22),'Operating Assumptions'!$D$14-SUM($H$34:DM34),IF(AND('Operating Assumptions'!$D$29="Yes",DN11&lt;'Operating Assumptions'!$D$31),0,IF(AND('Operating Assumptions'!$D$29="Yes",DN11&gt;='Operating Assumptions'!$D$31,DN11&lt;'Operating Assumptions'!$D$33),'Operating Assumptions'!$D$32-SUM($H$34:DM34),IF(AND('Operating Assumptions'!$D$29="Yes",DN11&gt;'Operating Assumptions'!$D$31,DN11&gt;='Operating Assumptions'!$D$33),'Operating Assumptions'!$D$14-SUM($H$34:DM34))))))</f>
        <v>0</v>
      </c>
      <c r="DO33" s="508">
        <f>IF(AND('Operating Assumptions'!$D$29="No",DO11&lt;'Operating Assumptions'!$D$22),0,IF(AND('Operating Assumptions'!$D$29="No",DO11&gt;='Operating Assumptions'!$D$22),'Operating Assumptions'!$D$14-SUM($H$34:DN34),IF(AND('Operating Assumptions'!$D$29="Yes",DO11&lt;'Operating Assumptions'!$D$31),0,IF(AND('Operating Assumptions'!$D$29="Yes",DO11&gt;='Operating Assumptions'!$D$31,DO11&lt;'Operating Assumptions'!$D$33),'Operating Assumptions'!$D$32-SUM($H$34:DN34),IF(AND('Operating Assumptions'!$D$29="Yes",DO11&gt;'Operating Assumptions'!$D$31,DO11&gt;='Operating Assumptions'!$D$33),'Operating Assumptions'!$D$14-SUM($H$34:DN34))))))</f>
        <v>0</v>
      </c>
      <c r="DP33" s="508">
        <f>IF(AND('Operating Assumptions'!$D$29="No",DP11&lt;'Operating Assumptions'!$D$22),0,IF(AND('Operating Assumptions'!$D$29="No",DP11&gt;='Operating Assumptions'!$D$22),'Operating Assumptions'!$D$14-SUM($H$34:DO34),IF(AND('Operating Assumptions'!$D$29="Yes",DP11&lt;'Operating Assumptions'!$D$31),0,IF(AND('Operating Assumptions'!$D$29="Yes",DP11&gt;='Operating Assumptions'!$D$31,DP11&lt;'Operating Assumptions'!$D$33),'Operating Assumptions'!$D$32-SUM($H$34:DO34),IF(AND('Operating Assumptions'!$D$29="Yes",DP11&gt;'Operating Assumptions'!$D$31,DP11&gt;='Operating Assumptions'!$D$33),'Operating Assumptions'!$D$14-SUM($H$34:DO34))))))</f>
        <v>0</v>
      </c>
      <c r="DQ33" s="508">
        <f>IF(AND('Operating Assumptions'!$D$29="No",DQ11&lt;'Operating Assumptions'!$D$22),0,IF(AND('Operating Assumptions'!$D$29="No",DQ11&gt;='Operating Assumptions'!$D$22),'Operating Assumptions'!$D$14-SUM($H$34:DP34),IF(AND('Operating Assumptions'!$D$29="Yes",DQ11&lt;'Operating Assumptions'!$D$31),0,IF(AND('Operating Assumptions'!$D$29="Yes",DQ11&gt;='Operating Assumptions'!$D$31,DQ11&lt;'Operating Assumptions'!$D$33),'Operating Assumptions'!$D$32-SUM($H$34:DP34),IF(AND('Operating Assumptions'!$D$29="Yes",DQ11&gt;'Operating Assumptions'!$D$31,DQ11&gt;='Operating Assumptions'!$D$33),'Operating Assumptions'!$D$14-SUM($H$34:DP34))))))</f>
        <v>0</v>
      </c>
      <c r="DR33" s="508">
        <f>IF(AND('Operating Assumptions'!$D$29="No",DR11&lt;'Operating Assumptions'!$D$22),0,IF(AND('Operating Assumptions'!$D$29="No",DR11&gt;='Operating Assumptions'!$D$22),'Operating Assumptions'!$D$14-SUM($H$34:DQ34),IF(AND('Operating Assumptions'!$D$29="Yes",DR11&lt;'Operating Assumptions'!$D$31),0,IF(AND('Operating Assumptions'!$D$29="Yes",DR11&gt;='Operating Assumptions'!$D$31,DR11&lt;'Operating Assumptions'!$D$33),'Operating Assumptions'!$D$32-SUM($H$34:DQ34),IF(AND('Operating Assumptions'!$D$29="Yes",DR11&gt;'Operating Assumptions'!$D$31,DR11&gt;='Operating Assumptions'!$D$33),'Operating Assumptions'!$D$14-SUM($H$34:DQ34))))))</f>
        <v>0</v>
      </c>
      <c r="DS33" s="508">
        <f>IF(AND('Operating Assumptions'!$D$29="No",DS11&lt;'Operating Assumptions'!$D$22),0,IF(AND('Operating Assumptions'!$D$29="No",DS11&gt;='Operating Assumptions'!$D$22),'Operating Assumptions'!$D$14-SUM($H$34:DR34),IF(AND('Operating Assumptions'!$D$29="Yes",DS11&lt;'Operating Assumptions'!$D$31),0,IF(AND('Operating Assumptions'!$D$29="Yes",DS11&gt;='Operating Assumptions'!$D$31,DS11&lt;'Operating Assumptions'!$D$33),'Operating Assumptions'!$D$32-SUM($H$34:DR34),IF(AND('Operating Assumptions'!$D$29="Yes",DS11&gt;'Operating Assumptions'!$D$31,DS11&gt;='Operating Assumptions'!$D$33),'Operating Assumptions'!$D$14-SUM($H$34:DR34))))))</f>
        <v>0</v>
      </c>
      <c r="DT33" s="508">
        <f>IF(AND('Operating Assumptions'!$D$29="No",DT11&lt;'Operating Assumptions'!$D$22),0,IF(AND('Operating Assumptions'!$D$29="No",DT11&gt;='Operating Assumptions'!$D$22),'Operating Assumptions'!$D$14-SUM($H$34:DS34),IF(AND('Operating Assumptions'!$D$29="Yes",DT11&lt;'Operating Assumptions'!$D$31),0,IF(AND('Operating Assumptions'!$D$29="Yes",DT11&gt;='Operating Assumptions'!$D$31,DT11&lt;'Operating Assumptions'!$D$33),'Operating Assumptions'!$D$32-SUM($H$34:DS34),IF(AND('Operating Assumptions'!$D$29="Yes",DT11&gt;'Operating Assumptions'!$D$31,DT11&gt;='Operating Assumptions'!$D$33),'Operating Assumptions'!$D$14-SUM($H$34:DS34))))))</f>
        <v>0</v>
      </c>
      <c r="DU33" s="508">
        <f>IF(AND('Operating Assumptions'!$D$29="No",DU11&lt;'Operating Assumptions'!$D$22),0,IF(AND('Operating Assumptions'!$D$29="No",DU11&gt;='Operating Assumptions'!$D$22),'Operating Assumptions'!$D$14-SUM($H$34:DT34),IF(AND('Operating Assumptions'!$D$29="Yes",DU11&lt;'Operating Assumptions'!$D$31),0,IF(AND('Operating Assumptions'!$D$29="Yes",DU11&gt;='Operating Assumptions'!$D$31,DU11&lt;'Operating Assumptions'!$D$33),'Operating Assumptions'!$D$32-SUM($H$34:DT34),IF(AND('Operating Assumptions'!$D$29="Yes",DU11&gt;'Operating Assumptions'!$D$31,DU11&gt;='Operating Assumptions'!$D$33),'Operating Assumptions'!$D$14-SUM($H$34:DT34))))))</f>
        <v>0</v>
      </c>
      <c r="DV33" s="508">
        <f>IF(AND('Operating Assumptions'!$D$29="No",DV11&lt;'Operating Assumptions'!$D$22),0,IF(AND('Operating Assumptions'!$D$29="No",DV11&gt;='Operating Assumptions'!$D$22),'Operating Assumptions'!$D$14-SUM($H$34:DU34),IF(AND('Operating Assumptions'!$D$29="Yes",DV11&lt;'Operating Assumptions'!$D$31),0,IF(AND('Operating Assumptions'!$D$29="Yes",DV11&gt;='Operating Assumptions'!$D$31,DV11&lt;'Operating Assumptions'!$D$33),'Operating Assumptions'!$D$32-SUM($H$34:DU34),IF(AND('Operating Assumptions'!$D$29="Yes",DV11&gt;'Operating Assumptions'!$D$31,DV11&gt;='Operating Assumptions'!$D$33),'Operating Assumptions'!$D$14-SUM($H$34:DU34))))))</f>
        <v>0</v>
      </c>
      <c r="DW33" s="508">
        <f>IF(AND('Operating Assumptions'!$D$29="No",DW11&lt;'Operating Assumptions'!$D$22),0,IF(AND('Operating Assumptions'!$D$29="No",DW11&gt;='Operating Assumptions'!$D$22),'Operating Assumptions'!$D$14-SUM($H$34:DV34),IF(AND('Operating Assumptions'!$D$29="Yes",DW11&lt;'Operating Assumptions'!$D$31),0,IF(AND('Operating Assumptions'!$D$29="Yes",DW11&gt;='Operating Assumptions'!$D$31,DW11&lt;'Operating Assumptions'!$D$33),'Operating Assumptions'!$D$32-SUM($H$34:DV34),IF(AND('Operating Assumptions'!$D$29="Yes",DW11&gt;'Operating Assumptions'!$D$31,DW11&gt;='Operating Assumptions'!$D$33),'Operating Assumptions'!$D$14-SUM($H$34:DV34))))))</f>
        <v>0</v>
      </c>
      <c r="DX33" s="508">
        <f>IF(AND('Operating Assumptions'!$D$29="No",DX11&lt;'Operating Assumptions'!$D$22),0,IF(AND('Operating Assumptions'!$D$29="No",DX11&gt;='Operating Assumptions'!$D$22),'Operating Assumptions'!$D$14-SUM($H$34:DW34),IF(AND('Operating Assumptions'!$D$29="Yes",DX11&lt;'Operating Assumptions'!$D$31),0,IF(AND('Operating Assumptions'!$D$29="Yes",DX11&gt;='Operating Assumptions'!$D$31,DX11&lt;'Operating Assumptions'!$D$33),'Operating Assumptions'!$D$32-SUM($H$34:DW34),IF(AND('Operating Assumptions'!$D$29="Yes",DX11&gt;'Operating Assumptions'!$D$31,DX11&gt;='Operating Assumptions'!$D$33),'Operating Assumptions'!$D$14-SUM($H$34:DW34))))))</f>
        <v>0</v>
      </c>
      <c r="DY33" s="508">
        <f>IF(AND('Operating Assumptions'!$D$29="No",DY11&lt;'Operating Assumptions'!$D$22),0,IF(AND('Operating Assumptions'!$D$29="No",DY11&gt;='Operating Assumptions'!$D$22),'Operating Assumptions'!$D$14-SUM($H$34:DX34),IF(AND('Operating Assumptions'!$D$29="Yes",DY11&lt;'Operating Assumptions'!$D$31),0,IF(AND('Operating Assumptions'!$D$29="Yes",DY11&gt;='Operating Assumptions'!$D$31,DY11&lt;'Operating Assumptions'!$D$33),'Operating Assumptions'!$D$32-SUM($H$34:DX34),IF(AND('Operating Assumptions'!$D$29="Yes",DY11&gt;'Operating Assumptions'!$D$31,DY11&gt;='Operating Assumptions'!$D$33),'Operating Assumptions'!$D$14-SUM($H$34:DX34))))))</f>
        <v>0</v>
      </c>
      <c r="DZ33" s="508">
        <f>IF(AND('Operating Assumptions'!$D$29="No",DZ11&lt;'Operating Assumptions'!$D$22),0,IF(AND('Operating Assumptions'!$D$29="No",DZ11&gt;='Operating Assumptions'!$D$22),'Operating Assumptions'!$D$14-SUM($H$34:DY34),IF(AND('Operating Assumptions'!$D$29="Yes",DZ11&lt;'Operating Assumptions'!$D$31),0,IF(AND('Operating Assumptions'!$D$29="Yes",DZ11&gt;='Operating Assumptions'!$D$31,DZ11&lt;'Operating Assumptions'!$D$33),'Operating Assumptions'!$D$32-SUM($H$34:DY34),IF(AND('Operating Assumptions'!$D$29="Yes",DZ11&gt;'Operating Assumptions'!$D$31,DZ11&gt;='Operating Assumptions'!$D$33),'Operating Assumptions'!$D$14-SUM($H$34:DY34))))))</f>
        <v>0</v>
      </c>
      <c r="EA33" s="508">
        <f>IF(AND('Operating Assumptions'!$D$29="No",EA11&lt;'Operating Assumptions'!$D$22),0,IF(AND('Operating Assumptions'!$D$29="No",EA11&gt;='Operating Assumptions'!$D$22),'Operating Assumptions'!$D$14-SUM($H$34:DZ34),IF(AND('Operating Assumptions'!$D$29="Yes",EA11&lt;'Operating Assumptions'!$D$31),0,IF(AND('Operating Assumptions'!$D$29="Yes",EA11&gt;='Operating Assumptions'!$D$31,EA11&lt;'Operating Assumptions'!$D$33),'Operating Assumptions'!$D$32-SUM($H$34:DZ34),IF(AND('Operating Assumptions'!$D$29="Yes",EA11&gt;'Operating Assumptions'!$D$31,EA11&gt;='Operating Assumptions'!$D$33),'Operating Assumptions'!$D$14-SUM($H$34:DZ34))))))</f>
        <v>0</v>
      </c>
      <c r="EB33" s="508">
        <f>IF(AND('Operating Assumptions'!$D$29="No",EB11&lt;'Operating Assumptions'!$D$22),0,IF(AND('Operating Assumptions'!$D$29="No",EB11&gt;='Operating Assumptions'!$D$22),'Operating Assumptions'!$D$14-SUM($H$34:EA34),IF(AND('Operating Assumptions'!$D$29="Yes",EB11&lt;'Operating Assumptions'!$D$31),0,IF(AND('Operating Assumptions'!$D$29="Yes",EB11&gt;='Operating Assumptions'!$D$31,EB11&lt;'Operating Assumptions'!$D$33),'Operating Assumptions'!$D$32-SUM($H$34:EA34),IF(AND('Operating Assumptions'!$D$29="Yes",EB11&gt;'Operating Assumptions'!$D$31,EB11&gt;='Operating Assumptions'!$D$33),'Operating Assumptions'!$D$14-SUM($H$34:EA34))))))</f>
        <v>0</v>
      </c>
      <c r="EC33" s="508">
        <f>IF(AND('Operating Assumptions'!$D$29="No",EC11&lt;'Operating Assumptions'!$D$22),0,IF(AND('Operating Assumptions'!$D$29="No",EC11&gt;='Operating Assumptions'!$D$22),'Operating Assumptions'!$D$14-SUM($H$34:EB34),IF(AND('Operating Assumptions'!$D$29="Yes",EC11&lt;'Operating Assumptions'!$D$31),0,IF(AND('Operating Assumptions'!$D$29="Yes",EC11&gt;='Operating Assumptions'!$D$31,EC11&lt;'Operating Assumptions'!$D$33),'Operating Assumptions'!$D$32-SUM($H$34:EB34),IF(AND('Operating Assumptions'!$D$29="Yes",EC11&gt;'Operating Assumptions'!$D$31,EC11&gt;='Operating Assumptions'!$D$33),'Operating Assumptions'!$D$14-SUM($H$34:EB34))))))</f>
        <v>0</v>
      </c>
      <c r="ED33" s="508">
        <f>IF(AND('Operating Assumptions'!$D$29="No",ED11&lt;'Operating Assumptions'!$D$22),0,IF(AND('Operating Assumptions'!$D$29="No",ED11&gt;='Operating Assumptions'!$D$22),'Operating Assumptions'!$D$14-SUM($H$34:EC34),IF(AND('Operating Assumptions'!$D$29="Yes",ED11&lt;'Operating Assumptions'!$D$31),0,IF(AND('Operating Assumptions'!$D$29="Yes",ED11&gt;='Operating Assumptions'!$D$31,ED11&lt;'Operating Assumptions'!$D$33),'Operating Assumptions'!$D$32-SUM($H$34:EC34),IF(AND('Operating Assumptions'!$D$29="Yes",ED11&gt;'Operating Assumptions'!$D$31,ED11&gt;='Operating Assumptions'!$D$33),'Operating Assumptions'!$D$14-SUM($H$34:EC34))))))</f>
        <v>0</v>
      </c>
      <c r="EE33" s="508">
        <f>IF(AND('Operating Assumptions'!$D$29="No",EE11&lt;'Operating Assumptions'!$D$22),0,IF(AND('Operating Assumptions'!$D$29="No",EE11&gt;='Operating Assumptions'!$D$22),'Operating Assumptions'!$D$14-SUM($H$34:ED34),IF(AND('Operating Assumptions'!$D$29="Yes",EE11&lt;'Operating Assumptions'!$D$31),0,IF(AND('Operating Assumptions'!$D$29="Yes",EE11&gt;='Operating Assumptions'!$D$31,EE11&lt;'Operating Assumptions'!$D$33),'Operating Assumptions'!$D$32-SUM($H$34:ED34),IF(AND('Operating Assumptions'!$D$29="Yes",EE11&gt;'Operating Assumptions'!$D$31,EE11&gt;='Operating Assumptions'!$D$33),'Operating Assumptions'!$D$14-SUM($H$34:ED34))))))</f>
        <v>0</v>
      </c>
      <c r="EF33" s="508">
        <f>IF(AND('Operating Assumptions'!$D$29="No",EF11&lt;'Operating Assumptions'!$D$22),0,IF(AND('Operating Assumptions'!$D$29="No",EF11&gt;='Operating Assumptions'!$D$22),'Operating Assumptions'!$D$14-SUM($H$34:EE34),IF(AND('Operating Assumptions'!$D$29="Yes",EF11&lt;'Operating Assumptions'!$D$31),0,IF(AND('Operating Assumptions'!$D$29="Yes",EF11&gt;='Operating Assumptions'!$D$31,EF11&lt;'Operating Assumptions'!$D$33),'Operating Assumptions'!$D$32-SUM($H$34:EE34),IF(AND('Operating Assumptions'!$D$29="Yes",EF11&gt;'Operating Assumptions'!$D$31,EF11&gt;='Operating Assumptions'!$D$33),'Operating Assumptions'!$D$14-SUM($H$34:EE34))))))</f>
        <v>0</v>
      </c>
      <c r="EG33" s="508">
        <f>IF(AND('Operating Assumptions'!$D$29="No",EG11&lt;'Operating Assumptions'!$D$22),0,IF(AND('Operating Assumptions'!$D$29="No",EG11&gt;='Operating Assumptions'!$D$22),'Operating Assumptions'!$D$14-SUM($H$34:EF34),IF(AND('Operating Assumptions'!$D$29="Yes",EG11&lt;'Operating Assumptions'!$D$31),0,IF(AND('Operating Assumptions'!$D$29="Yes",EG11&gt;='Operating Assumptions'!$D$31,EG11&lt;'Operating Assumptions'!$D$33),'Operating Assumptions'!$D$32-SUM($H$34:EF34),IF(AND('Operating Assumptions'!$D$29="Yes",EG11&gt;'Operating Assumptions'!$D$31,EG11&gt;='Operating Assumptions'!$D$33),'Operating Assumptions'!$D$14-SUM($H$34:EF34))))))</f>
        <v>0</v>
      </c>
      <c r="EH33" s="508">
        <f>IF(AND('Operating Assumptions'!$D$29="No",EH11&lt;'Operating Assumptions'!$D$22),0,IF(AND('Operating Assumptions'!$D$29="No",EH11&gt;='Operating Assumptions'!$D$22),'Operating Assumptions'!$D$14-SUM($H$34:EG34),IF(AND('Operating Assumptions'!$D$29="Yes",EH11&lt;'Operating Assumptions'!$D$31),0,IF(AND('Operating Assumptions'!$D$29="Yes",EH11&gt;='Operating Assumptions'!$D$31,EH11&lt;'Operating Assumptions'!$D$33),'Operating Assumptions'!$D$32-SUM($H$34:EG34),IF(AND('Operating Assumptions'!$D$29="Yes",EH11&gt;'Operating Assumptions'!$D$31,EH11&gt;='Operating Assumptions'!$D$33),'Operating Assumptions'!$D$14-SUM($H$34:EG34))))))</f>
        <v>0</v>
      </c>
      <c r="EI33" s="508">
        <f>IF(AND('Operating Assumptions'!$D$29="No",EI11&lt;'Operating Assumptions'!$D$22),0,IF(AND('Operating Assumptions'!$D$29="No",EI11&gt;='Operating Assumptions'!$D$22),'Operating Assumptions'!$D$14-SUM($H$34:EH34),IF(AND('Operating Assumptions'!$D$29="Yes",EI11&lt;'Operating Assumptions'!$D$31),0,IF(AND('Operating Assumptions'!$D$29="Yes",EI11&gt;='Operating Assumptions'!$D$31,EI11&lt;'Operating Assumptions'!$D$33),'Operating Assumptions'!$D$32-SUM($H$34:EH34),IF(AND('Operating Assumptions'!$D$29="Yes",EI11&gt;'Operating Assumptions'!$D$31,EI11&gt;='Operating Assumptions'!$D$33),'Operating Assumptions'!$D$14-SUM($H$34:EH34))))))</f>
        <v>0</v>
      </c>
      <c r="EJ33" s="508">
        <f>IF(AND('Operating Assumptions'!$D$29="No",EJ11&lt;'Operating Assumptions'!$D$22),0,IF(AND('Operating Assumptions'!$D$29="No",EJ11&gt;='Operating Assumptions'!$D$22),'Operating Assumptions'!$D$14-SUM($H$34:EI34),IF(AND('Operating Assumptions'!$D$29="Yes",EJ11&lt;'Operating Assumptions'!$D$31),0,IF(AND('Operating Assumptions'!$D$29="Yes",EJ11&gt;='Operating Assumptions'!$D$31,EJ11&lt;'Operating Assumptions'!$D$33),'Operating Assumptions'!$D$32-SUM($H$34:EI34),IF(AND('Operating Assumptions'!$D$29="Yes",EJ11&gt;'Operating Assumptions'!$D$31,EJ11&gt;='Operating Assumptions'!$D$33),'Operating Assumptions'!$D$14-SUM($H$34:EI34))))))</f>
        <v>0</v>
      </c>
      <c r="EK33" s="508">
        <f>IF(AND('Operating Assumptions'!$D$29="No",EK11&lt;'Operating Assumptions'!$D$22),0,IF(AND('Operating Assumptions'!$D$29="No",EK11&gt;='Operating Assumptions'!$D$22),'Operating Assumptions'!$D$14-SUM($H$34:EJ34),IF(AND('Operating Assumptions'!$D$29="Yes",EK11&lt;'Operating Assumptions'!$D$31),0,IF(AND('Operating Assumptions'!$D$29="Yes",EK11&gt;='Operating Assumptions'!$D$31,EK11&lt;'Operating Assumptions'!$D$33),'Operating Assumptions'!$D$32-SUM($H$34:EJ34),IF(AND('Operating Assumptions'!$D$29="Yes",EK11&gt;'Operating Assumptions'!$D$31,EK11&gt;='Operating Assumptions'!$D$33),'Operating Assumptions'!$D$14-SUM($H$34:EJ34))))))</f>
        <v>0</v>
      </c>
      <c r="EL33" s="508">
        <f>IF(AND('Operating Assumptions'!$D$29="No",EL11&lt;'Operating Assumptions'!$D$22),0,IF(AND('Operating Assumptions'!$D$29="No",EL11&gt;='Operating Assumptions'!$D$22),'Operating Assumptions'!$D$14-SUM($H$34:EK34),IF(AND('Operating Assumptions'!$D$29="Yes",EL11&lt;'Operating Assumptions'!$D$31),0,IF(AND('Operating Assumptions'!$D$29="Yes",EL11&gt;='Operating Assumptions'!$D$31,EL11&lt;'Operating Assumptions'!$D$33),'Operating Assumptions'!$D$32-SUM($H$34:EK34),IF(AND('Operating Assumptions'!$D$29="Yes",EL11&gt;'Operating Assumptions'!$D$31,EL11&gt;='Operating Assumptions'!$D$33),'Operating Assumptions'!$D$14-SUM($H$34:EK34))))))</f>
        <v>0</v>
      </c>
      <c r="EM33" s="508">
        <f>IF(AND('Operating Assumptions'!$D$29="No",EM11&lt;'Operating Assumptions'!$D$22),0,IF(AND('Operating Assumptions'!$D$29="No",EM11&gt;='Operating Assumptions'!$D$22),'Operating Assumptions'!$D$14-SUM($H$34:EL34),IF(AND('Operating Assumptions'!$D$29="Yes",EM11&lt;'Operating Assumptions'!$D$31),0,IF(AND('Operating Assumptions'!$D$29="Yes",EM11&gt;='Operating Assumptions'!$D$31,EM11&lt;'Operating Assumptions'!$D$33),'Operating Assumptions'!$D$32-SUM($H$34:EL34),IF(AND('Operating Assumptions'!$D$29="Yes",EM11&gt;'Operating Assumptions'!$D$31,EM11&gt;='Operating Assumptions'!$D$33),'Operating Assumptions'!$D$14-SUM($H$34:EL34))))))</f>
        <v>0</v>
      </c>
      <c r="EN33" s="508">
        <f>IF(AND('Operating Assumptions'!$D$29="No",EN11&lt;'Operating Assumptions'!$D$22),0,IF(AND('Operating Assumptions'!$D$29="No",EN11&gt;='Operating Assumptions'!$D$22),'Operating Assumptions'!$D$14-SUM($H$34:EM34),IF(AND('Operating Assumptions'!$D$29="Yes",EN11&lt;'Operating Assumptions'!$D$31),0,IF(AND('Operating Assumptions'!$D$29="Yes",EN11&gt;='Operating Assumptions'!$D$31,EN11&lt;'Operating Assumptions'!$D$33),'Operating Assumptions'!$D$32-SUM($H$34:EM34),IF(AND('Operating Assumptions'!$D$29="Yes",EN11&gt;'Operating Assumptions'!$D$31,EN11&gt;='Operating Assumptions'!$D$33),'Operating Assumptions'!$D$14-SUM($H$34:EM34))))))</f>
        <v>0</v>
      </c>
      <c r="EO33" s="508">
        <f>IF(AND('Operating Assumptions'!$D$29="No",EO11&lt;'Operating Assumptions'!$D$22),0,IF(AND('Operating Assumptions'!$D$29="No",EO11&gt;='Operating Assumptions'!$D$22),'Operating Assumptions'!$D$14-SUM($H$34:EN34),IF(AND('Operating Assumptions'!$D$29="Yes",EO11&lt;'Operating Assumptions'!$D$31),0,IF(AND('Operating Assumptions'!$D$29="Yes",EO11&gt;='Operating Assumptions'!$D$31,EO11&lt;'Operating Assumptions'!$D$33),'Operating Assumptions'!$D$32-SUM($H$34:EN34),IF(AND('Operating Assumptions'!$D$29="Yes",EO11&gt;'Operating Assumptions'!$D$31,EO11&gt;='Operating Assumptions'!$D$33),'Operating Assumptions'!$D$14-SUM($H$34:EN34))))))</f>
        <v>0</v>
      </c>
      <c r="EP33" s="508">
        <f>IF(AND('Operating Assumptions'!$D$29="No",EP11&lt;'Operating Assumptions'!$D$22),0,IF(AND('Operating Assumptions'!$D$29="No",EP11&gt;='Operating Assumptions'!$D$22),'Operating Assumptions'!$D$14-SUM($H$34:EO34),IF(AND('Operating Assumptions'!$D$29="Yes",EP11&lt;'Operating Assumptions'!$D$31),0,IF(AND('Operating Assumptions'!$D$29="Yes",EP11&gt;='Operating Assumptions'!$D$31,EP11&lt;'Operating Assumptions'!$D$33),'Operating Assumptions'!$D$32-SUM($H$34:EO34),IF(AND('Operating Assumptions'!$D$29="Yes",EP11&gt;'Operating Assumptions'!$D$31,EP11&gt;='Operating Assumptions'!$D$33),'Operating Assumptions'!$D$14-SUM($H$34:EO34))))))</f>
        <v>0</v>
      </c>
      <c r="EQ33" s="508">
        <f>IF(AND('Operating Assumptions'!$D$29="No",EQ11&lt;'Operating Assumptions'!$D$22),0,IF(AND('Operating Assumptions'!$D$29="No",EQ11&gt;='Operating Assumptions'!$D$22),'Operating Assumptions'!$D$14-SUM($H$34:EP34),IF(AND('Operating Assumptions'!$D$29="Yes",EQ11&lt;'Operating Assumptions'!$D$31),0,IF(AND('Operating Assumptions'!$D$29="Yes",EQ11&gt;='Operating Assumptions'!$D$31,EQ11&lt;'Operating Assumptions'!$D$33),'Operating Assumptions'!$D$32-SUM($H$34:EP34),IF(AND('Operating Assumptions'!$D$29="Yes",EQ11&gt;'Operating Assumptions'!$D$31,EQ11&gt;='Operating Assumptions'!$D$33),'Operating Assumptions'!$D$14-SUM($H$34:EP34))))))</f>
        <v>0</v>
      </c>
      <c r="ER33" s="508">
        <f>IF(AND('Operating Assumptions'!$D$29="No",ER11&lt;'Operating Assumptions'!$D$22),0,IF(AND('Operating Assumptions'!$D$29="No",ER11&gt;='Operating Assumptions'!$D$22),'Operating Assumptions'!$D$14-SUM($H$34:EQ34),IF(AND('Operating Assumptions'!$D$29="Yes",ER11&lt;'Operating Assumptions'!$D$31),0,IF(AND('Operating Assumptions'!$D$29="Yes",ER11&gt;='Operating Assumptions'!$D$31,ER11&lt;'Operating Assumptions'!$D$33),'Operating Assumptions'!$D$32-SUM($H$34:EQ34),IF(AND('Operating Assumptions'!$D$29="Yes",ER11&gt;'Operating Assumptions'!$D$31,ER11&gt;='Operating Assumptions'!$D$33),'Operating Assumptions'!$D$14-SUM($H$34:EQ34))))))</f>
        <v>0</v>
      </c>
      <c r="ES33" s="508">
        <f>IF(AND('Operating Assumptions'!$D$29="No",ES11&lt;'Operating Assumptions'!$D$22),0,IF(AND('Operating Assumptions'!$D$29="No",ES11&gt;='Operating Assumptions'!$D$22),'Operating Assumptions'!$D$14-SUM($H$34:ER34),IF(AND('Operating Assumptions'!$D$29="Yes",ES11&lt;'Operating Assumptions'!$D$31),0,IF(AND('Operating Assumptions'!$D$29="Yes",ES11&gt;='Operating Assumptions'!$D$31,ES11&lt;'Operating Assumptions'!$D$33),'Operating Assumptions'!$D$32-SUM($H$34:ER34),IF(AND('Operating Assumptions'!$D$29="Yes",ES11&gt;'Operating Assumptions'!$D$31,ES11&gt;='Operating Assumptions'!$D$33),'Operating Assumptions'!$D$14-SUM($H$34:ER34))))))</f>
        <v>0</v>
      </c>
      <c r="ET33" s="508">
        <f>IF(AND('Operating Assumptions'!$D$29="No",ET11&lt;'Operating Assumptions'!$D$22),0,IF(AND('Operating Assumptions'!$D$29="No",ET11&gt;='Operating Assumptions'!$D$22),'Operating Assumptions'!$D$14-SUM($H$34:ES34),IF(AND('Operating Assumptions'!$D$29="Yes",ET11&lt;'Operating Assumptions'!$D$31),0,IF(AND('Operating Assumptions'!$D$29="Yes",ET11&gt;='Operating Assumptions'!$D$31,ET11&lt;'Operating Assumptions'!$D$33),'Operating Assumptions'!$D$32-SUM($H$34:ES34),IF(AND('Operating Assumptions'!$D$29="Yes",ET11&gt;'Operating Assumptions'!$D$31,ET11&gt;='Operating Assumptions'!$D$33),'Operating Assumptions'!$D$14-SUM($H$34:ES34))))))</f>
        <v>0</v>
      </c>
      <c r="EU33" s="508">
        <f>IF(AND('Operating Assumptions'!$D$29="No",EU11&lt;'Operating Assumptions'!$D$22),0,IF(AND('Operating Assumptions'!$D$29="No",EU11&gt;='Operating Assumptions'!$D$22),'Operating Assumptions'!$D$14-SUM($H$34:ET34),IF(AND('Operating Assumptions'!$D$29="Yes",EU11&lt;'Operating Assumptions'!$D$31),0,IF(AND('Operating Assumptions'!$D$29="Yes",EU11&gt;='Operating Assumptions'!$D$31,EU11&lt;'Operating Assumptions'!$D$33),'Operating Assumptions'!$D$32-SUM($H$34:ET34),IF(AND('Operating Assumptions'!$D$29="Yes",EU11&gt;'Operating Assumptions'!$D$31,EU11&gt;='Operating Assumptions'!$D$33),'Operating Assumptions'!$D$14-SUM($H$34:ET34))))))</f>
        <v>0</v>
      </c>
      <c r="EV33" s="508">
        <f>IF(AND('Operating Assumptions'!$D$29="No",EV11&lt;'Operating Assumptions'!$D$22),0,IF(AND('Operating Assumptions'!$D$29="No",EV11&gt;='Operating Assumptions'!$D$22),'Operating Assumptions'!$D$14-SUM($H$34:EU34),IF(AND('Operating Assumptions'!$D$29="Yes",EV11&lt;'Operating Assumptions'!$D$31),0,IF(AND('Operating Assumptions'!$D$29="Yes",EV11&gt;='Operating Assumptions'!$D$31,EV11&lt;'Operating Assumptions'!$D$33),'Operating Assumptions'!$D$32-SUM($H$34:EU34),IF(AND('Operating Assumptions'!$D$29="Yes",EV11&gt;'Operating Assumptions'!$D$31,EV11&gt;='Operating Assumptions'!$D$33),'Operating Assumptions'!$D$14-SUM($H$34:EU34))))))</f>
        <v>0</v>
      </c>
      <c r="EW33" s="508">
        <f>IF(AND('Operating Assumptions'!$D$29="No",EW11&lt;'Operating Assumptions'!$D$22),0,IF(AND('Operating Assumptions'!$D$29="No",EW11&gt;='Operating Assumptions'!$D$22),'Operating Assumptions'!$D$14-SUM($H$34:EV34),IF(AND('Operating Assumptions'!$D$29="Yes",EW11&lt;'Operating Assumptions'!$D$31),0,IF(AND('Operating Assumptions'!$D$29="Yes",EW11&gt;='Operating Assumptions'!$D$31,EW11&lt;'Operating Assumptions'!$D$33),'Operating Assumptions'!$D$32-SUM($H$34:EV34),IF(AND('Operating Assumptions'!$D$29="Yes",EW11&gt;'Operating Assumptions'!$D$31,EW11&gt;='Operating Assumptions'!$D$33),'Operating Assumptions'!$D$14-SUM($H$34:EV34))))))</f>
        <v>0</v>
      </c>
      <c r="EX33" s="508">
        <f>IF(AND('Operating Assumptions'!$D$29="No",EX11&lt;'Operating Assumptions'!$D$22),0,IF(AND('Operating Assumptions'!$D$29="No",EX11&gt;='Operating Assumptions'!$D$22),'Operating Assumptions'!$D$14-SUM($H$34:EW34),IF(AND('Operating Assumptions'!$D$29="Yes",EX11&lt;'Operating Assumptions'!$D$31),0,IF(AND('Operating Assumptions'!$D$29="Yes",EX11&gt;='Operating Assumptions'!$D$31,EX11&lt;'Operating Assumptions'!$D$33),'Operating Assumptions'!$D$32-SUM($H$34:EW34),IF(AND('Operating Assumptions'!$D$29="Yes",EX11&gt;'Operating Assumptions'!$D$31,EX11&gt;='Operating Assumptions'!$D$33),'Operating Assumptions'!$D$14-SUM($H$34:EW34))))))</f>
        <v>0</v>
      </c>
      <c r="EY33" s="508">
        <f>IF(AND('Operating Assumptions'!$D$29="No",EY11&lt;'Operating Assumptions'!$D$22),0,IF(AND('Operating Assumptions'!$D$29="No",EY11&gt;='Operating Assumptions'!$D$22),'Operating Assumptions'!$D$14-SUM($H$34:EX34),IF(AND('Operating Assumptions'!$D$29="Yes",EY11&lt;'Operating Assumptions'!$D$31),0,IF(AND('Operating Assumptions'!$D$29="Yes",EY11&gt;='Operating Assumptions'!$D$31,EY11&lt;'Operating Assumptions'!$D$33),'Operating Assumptions'!$D$32-SUM($H$34:EX34),IF(AND('Operating Assumptions'!$D$29="Yes",EY11&gt;'Operating Assumptions'!$D$31,EY11&gt;='Operating Assumptions'!$D$33),'Operating Assumptions'!$D$14-SUM($H$34:EX34))))))</f>
        <v>0</v>
      </c>
      <c r="EZ33" s="508">
        <f>IF(AND('Operating Assumptions'!$D$29="No",EZ11&lt;'Operating Assumptions'!$D$22),0,IF(AND('Operating Assumptions'!$D$29="No",EZ11&gt;='Operating Assumptions'!$D$22),'Operating Assumptions'!$D$14-SUM($H$34:EY34),IF(AND('Operating Assumptions'!$D$29="Yes",EZ11&lt;'Operating Assumptions'!$D$31),0,IF(AND('Operating Assumptions'!$D$29="Yes",EZ11&gt;='Operating Assumptions'!$D$31,EZ11&lt;'Operating Assumptions'!$D$33),'Operating Assumptions'!$D$32-SUM($H$34:EY34),IF(AND('Operating Assumptions'!$D$29="Yes",EZ11&gt;'Operating Assumptions'!$D$31,EZ11&gt;='Operating Assumptions'!$D$33),'Operating Assumptions'!$D$14-SUM($H$34:EY34))))))</f>
        <v>0</v>
      </c>
      <c r="FA33" s="508">
        <f>IF(AND('Operating Assumptions'!$D$29="No",FA11&lt;'Operating Assumptions'!$D$22),0,IF(AND('Operating Assumptions'!$D$29="No",FA11&gt;='Operating Assumptions'!$D$22),'Operating Assumptions'!$D$14-SUM($H$34:EZ34),IF(AND('Operating Assumptions'!$D$29="Yes",FA11&lt;'Operating Assumptions'!$D$31),0,IF(AND('Operating Assumptions'!$D$29="Yes",FA11&gt;='Operating Assumptions'!$D$31,FA11&lt;'Operating Assumptions'!$D$33),'Operating Assumptions'!$D$32-SUM($H$34:EZ34),IF(AND('Operating Assumptions'!$D$29="Yes",FA11&gt;'Operating Assumptions'!$D$31,FA11&gt;='Operating Assumptions'!$D$33),'Operating Assumptions'!$D$14-SUM($H$34:EZ34))))))</f>
        <v>0</v>
      </c>
      <c r="FB33" s="508">
        <f>IF(AND('Operating Assumptions'!$D$29="No",FB11&lt;'Operating Assumptions'!$D$22),0,IF(AND('Operating Assumptions'!$D$29="No",FB11&gt;='Operating Assumptions'!$D$22),'Operating Assumptions'!$D$14-SUM($H$34:FA34),IF(AND('Operating Assumptions'!$D$29="Yes",FB11&lt;'Operating Assumptions'!$D$31),0,IF(AND('Operating Assumptions'!$D$29="Yes",FB11&gt;='Operating Assumptions'!$D$31,FB11&lt;'Operating Assumptions'!$D$33),'Operating Assumptions'!$D$32-SUM($H$34:FA34),IF(AND('Operating Assumptions'!$D$29="Yes",FB11&gt;'Operating Assumptions'!$D$31,FB11&gt;='Operating Assumptions'!$D$33),'Operating Assumptions'!$D$14-SUM($H$34:FA34))))))</f>
        <v>0</v>
      </c>
      <c r="FC33" s="508">
        <f>IF(AND('Operating Assumptions'!$D$29="No",FC11&lt;'Operating Assumptions'!$D$22),0,IF(AND('Operating Assumptions'!$D$29="No",FC11&gt;='Operating Assumptions'!$D$22),'Operating Assumptions'!$D$14-SUM($H$34:FB34),IF(AND('Operating Assumptions'!$D$29="Yes",FC11&lt;'Operating Assumptions'!$D$31),0,IF(AND('Operating Assumptions'!$D$29="Yes",FC11&gt;='Operating Assumptions'!$D$31,FC11&lt;'Operating Assumptions'!$D$33),'Operating Assumptions'!$D$32-SUM($H$34:FB34),IF(AND('Operating Assumptions'!$D$29="Yes",FC11&gt;'Operating Assumptions'!$D$31,FC11&gt;='Operating Assumptions'!$D$33),'Operating Assumptions'!$D$14-SUM($H$34:FB34))))))</f>
        <v>0</v>
      </c>
      <c r="FD33" s="508">
        <f>IF(AND('Operating Assumptions'!$D$29="No",FD11&lt;'Operating Assumptions'!$D$22),0,IF(AND('Operating Assumptions'!$D$29="No",FD11&gt;='Operating Assumptions'!$D$22),'Operating Assumptions'!$D$14-SUM($H$34:FC34),IF(AND('Operating Assumptions'!$D$29="Yes",FD11&lt;'Operating Assumptions'!$D$31),0,IF(AND('Operating Assumptions'!$D$29="Yes",FD11&gt;='Operating Assumptions'!$D$31,FD11&lt;'Operating Assumptions'!$D$33),'Operating Assumptions'!$D$32-SUM($H$34:FC34),IF(AND('Operating Assumptions'!$D$29="Yes",FD11&gt;'Operating Assumptions'!$D$31,FD11&gt;='Operating Assumptions'!$D$33),'Operating Assumptions'!$D$14-SUM($H$34:FC34))))))</f>
        <v>0</v>
      </c>
      <c r="FE33" s="508">
        <f>IF(AND('Operating Assumptions'!$D$29="No",FE11&lt;'Operating Assumptions'!$D$22),0,IF(AND('Operating Assumptions'!$D$29="No",FE11&gt;='Operating Assumptions'!$D$22),'Operating Assumptions'!$D$14-SUM($H$34:FD34),IF(AND('Operating Assumptions'!$D$29="Yes",FE11&lt;'Operating Assumptions'!$D$31),0,IF(AND('Operating Assumptions'!$D$29="Yes",FE11&gt;='Operating Assumptions'!$D$31,FE11&lt;'Operating Assumptions'!$D$33),'Operating Assumptions'!$D$32-SUM($H$34:FD34),IF(AND('Operating Assumptions'!$D$29="Yes",FE11&gt;'Operating Assumptions'!$D$31,FE11&gt;='Operating Assumptions'!$D$33),'Operating Assumptions'!$D$14-SUM($H$34:FD34))))))</f>
        <v>0</v>
      </c>
      <c r="FF33" s="508">
        <f>IF(AND('Operating Assumptions'!$D$29="No",FF11&lt;'Operating Assumptions'!$D$22),0,IF(AND('Operating Assumptions'!$D$29="No",FF11&gt;='Operating Assumptions'!$D$22),'Operating Assumptions'!$D$14-SUM($H$34:FE34),IF(AND('Operating Assumptions'!$D$29="Yes",FF11&lt;'Operating Assumptions'!$D$31),0,IF(AND('Operating Assumptions'!$D$29="Yes",FF11&gt;='Operating Assumptions'!$D$31,FF11&lt;'Operating Assumptions'!$D$33),'Operating Assumptions'!$D$32-SUM($H$34:FE34),IF(AND('Operating Assumptions'!$D$29="Yes",FF11&gt;'Operating Assumptions'!$D$31,FF11&gt;='Operating Assumptions'!$D$33),'Operating Assumptions'!$D$14-SUM($H$34:FE34))))))</f>
        <v>0</v>
      </c>
      <c r="FG33" s="508">
        <f>IF(AND('Operating Assumptions'!$D$29="No",FG11&lt;'Operating Assumptions'!$D$22),0,IF(AND('Operating Assumptions'!$D$29="No",FG11&gt;='Operating Assumptions'!$D$22),'Operating Assumptions'!$D$14-SUM($H$34:FF34),IF(AND('Operating Assumptions'!$D$29="Yes",FG11&lt;'Operating Assumptions'!$D$31),0,IF(AND('Operating Assumptions'!$D$29="Yes",FG11&gt;='Operating Assumptions'!$D$31,FG11&lt;'Operating Assumptions'!$D$33),'Operating Assumptions'!$D$32-SUM($H$34:FF34),IF(AND('Operating Assumptions'!$D$29="Yes",FG11&gt;'Operating Assumptions'!$D$31,FG11&gt;='Operating Assumptions'!$D$33),'Operating Assumptions'!$D$14-SUM($H$34:FF34))))))</f>
        <v>0</v>
      </c>
      <c r="FH33" s="508">
        <f>IF(AND('Operating Assumptions'!$D$29="No",FH11&lt;'Operating Assumptions'!$D$22),0,IF(AND('Operating Assumptions'!$D$29="No",FH11&gt;='Operating Assumptions'!$D$22),'Operating Assumptions'!$D$14-SUM($H$34:FG34),IF(AND('Operating Assumptions'!$D$29="Yes",FH11&lt;'Operating Assumptions'!$D$31),0,IF(AND('Operating Assumptions'!$D$29="Yes",FH11&gt;='Operating Assumptions'!$D$31,FH11&lt;'Operating Assumptions'!$D$33),'Operating Assumptions'!$D$32-SUM($H$34:FG34),IF(AND('Operating Assumptions'!$D$29="Yes",FH11&gt;'Operating Assumptions'!$D$31,FH11&gt;='Operating Assumptions'!$D$33),'Operating Assumptions'!$D$14-SUM($H$34:FG34))))))</f>
        <v>0</v>
      </c>
      <c r="FI33" s="508">
        <f>IF(AND('Operating Assumptions'!$D$29="No",FI11&lt;'Operating Assumptions'!$D$22),0,IF(AND('Operating Assumptions'!$D$29="No",FI11&gt;='Operating Assumptions'!$D$22),'Operating Assumptions'!$D$14-SUM($H$34:FH34),IF(AND('Operating Assumptions'!$D$29="Yes",FI11&lt;'Operating Assumptions'!$D$31),0,IF(AND('Operating Assumptions'!$D$29="Yes",FI11&gt;='Operating Assumptions'!$D$31,FI11&lt;'Operating Assumptions'!$D$33),'Operating Assumptions'!$D$32-SUM($H$34:FH34),IF(AND('Operating Assumptions'!$D$29="Yes",FI11&gt;'Operating Assumptions'!$D$31,FI11&gt;='Operating Assumptions'!$D$33),'Operating Assumptions'!$D$14-SUM($H$34:FH34))))))</f>
        <v>0</v>
      </c>
      <c r="FJ33" s="508">
        <f>IF(AND('Operating Assumptions'!$D$29="No",FJ11&lt;'Operating Assumptions'!$D$22),0,IF(AND('Operating Assumptions'!$D$29="No",FJ11&gt;='Operating Assumptions'!$D$22),'Operating Assumptions'!$D$14-SUM($H$34:FI34),IF(AND('Operating Assumptions'!$D$29="Yes",FJ11&lt;'Operating Assumptions'!$D$31),0,IF(AND('Operating Assumptions'!$D$29="Yes",FJ11&gt;='Operating Assumptions'!$D$31,FJ11&lt;'Operating Assumptions'!$D$33),'Operating Assumptions'!$D$32-SUM($H$34:FI34),IF(AND('Operating Assumptions'!$D$29="Yes",FJ11&gt;'Operating Assumptions'!$D$31,FJ11&gt;='Operating Assumptions'!$D$33),'Operating Assumptions'!$D$14-SUM($H$34:FI34))))))</f>
        <v>0</v>
      </c>
      <c r="FK33" s="508">
        <f>IF(AND('Operating Assumptions'!$D$29="No",FK11&lt;'Operating Assumptions'!$D$22),0,IF(AND('Operating Assumptions'!$D$29="No",FK11&gt;='Operating Assumptions'!$D$22),'Operating Assumptions'!$D$14-SUM($H$34:FJ34),IF(AND('Operating Assumptions'!$D$29="Yes",FK11&lt;'Operating Assumptions'!$D$31),0,IF(AND('Operating Assumptions'!$D$29="Yes",FK11&gt;='Operating Assumptions'!$D$31,FK11&lt;'Operating Assumptions'!$D$33),'Operating Assumptions'!$D$32-SUM($H$34:FJ34),IF(AND('Operating Assumptions'!$D$29="Yes",FK11&gt;'Operating Assumptions'!$D$31,FK11&gt;='Operating Assumptions'!$D$33),'Operating Assumptions'!$D$14-SUM($H$34:FJ34))))))</f>
        <v>0</v>
      </c>
      <c r="FL33" s="508">
        <f>IF(AND('Operating Assumptions'!$D$29="No",FL11&lt;'Operating Assumptions'!$D$22),0,IF(AND('Operating Assumptions'!$D$29="No",FL11&gt;='Operating Assumptions'!$D$22),'Operating Assumptions'!$D$14-SUM($H$34:FK34),IF(AND('Operating Assumptions'!$D$29="Yes",FL11&lt;'Operating Assumptions'!$D$31),0,IF(AND('Operating Assumptions'!$D$29="Yes",FL11&gt;='Operating Assumptions'!$D$31,FL11&lt;'Operating Assumptions'!$D$33),'Operating Assumptions'!$D$32-SUM($H$34:FK34),IF(AND('Operating Assumptions'!$D$29="Yes",FL11&gt;'Operating Assumptions'!$D$31,FL11&gt;='Operating Assumptions'!$D$33),'Operating Assumptions'!$D$14-SUM($H$34:FK34))))))</f>
        <v>0</v>
      </c>
      <c r="FM33" s="508">
        <f>IF(AND('Operating Assumptions'!$D$29="No",FM11&lt;'Operating Assumptions'!$D$22),0,IF(AND('Operating Assumptions'!$D$29="No",FM11&gt;='Operating Assumptions'!$D$22),'Operating Assumptions'!$D$14-SUM($H$34:FL34),IF(AND('Operating Assumptions'!$D$29="Yes",FM11&lt;'Operating Assumptions'!$D$31),0,IF(AND('Operating Assumptions'!$D$29="Yes",FM11&gt;='Operating Assumptions'!$D$31,FM11&lt;'Operating Assumptions'!$D$33),'Operating Assumptions'!$D$32-SUM($H$34:FL34),IF(AND('Operating Assumptions'!$D$29="Yes",FM11&gt;'Operating Assumptions'!$D$31,FM11&gt;='Operating Assumptions'!$D$33),'Operating Assumptions'!$D$14-SUM($H$34:FL34))))))</f>
        <v>0</v>
      </c>
      <c r="FN33" s="508">
        <f>IF(AND('Operating Assumptions'!$D$29="No",FN11&lt;'Operating Assumptions'!$D$22),0,IF(AND('Operating Assumptions'!$D$29="No",FN11&gt;='Operating Assumptions'!$D$22),'Operating Assumptions'!$D$14-SUM($H$34:FM34),IF(AND('Operating Assumptions'!$D$29="Yes",FN11&lt;'Operating Assumptions'!$D$31),0,IF(AND('Operating Assumptions'!$D$29="Yes",FN11&gt;='Operating Assumptions'!$D$31,FN11&lt;'Operating Assumptions'!$D$33),'Operating Assumptions'!$D$32-SUM($H$34:FM34),IF(AND('Operating Assumptions'!$D$29="Yes",FN11&gt;'Operating Assumptions'!$D$31,FN11&gt;='Operating Assumptions'!$D$33),'Operating Assumptions'!$D$14-SUM($H$34:FM34))))))</f>
        <v>0</v>
      </c>
      <c r="FO33" s="508">
        <f>IF(AND('Operating Assumptions'!$D$29="No",FO11&lt;'Operating Assumptions'!$D$22),0,IF(AND('Operating Assumptions'!$D$29="No",FO11&gt;='Operating Assumptions'!$D$22),'Operating Assumptions'!$D$14-SUM($H$34:FN34),IF(AND('Operating Assumptions'!$D$29="Yes",FO11&lt;'Operating Assumptions'!$D$31),0,IF(AND('Operating Assumptions'!$D$29="Yes",FO11&gt;='Operating Assumptions'!$D$31,FO11&lt;'Operating Assumptions'!$D$33),'Operating Assumptions'!$D$32-SUM($H$34:FN34),IF(AND('Operating Assumptions'!$D$29="Yes",FO11&gt;'Operating Assumptions'!$D$31,FO11&gt;='Operating Assumptions'!$D$33),'Operating Assumptions'!$D$14-SUM($H$34:FN34))))))</f>
        <v>0</v>
      </c>
      <c r="FP33" s="508">
        <f>IF(AND('Operating Assumptions'!$D$29="No",FP11&lt;'Operating Assumptions'!$D$22),0,IF(AND('Operating Assumptions'!$D$29="No",FP11&gt;='Operating Assumptions'!$D$22),'Operating Assumptions'!$D$14-SUM($H$34:FO34),IF(AND('Operating Assumptions'!$D$29="Yes",FP11&lt;'Operating Assumptions'!$D$31),0,IF(AND('Operating Assumptions'!$D$29="Yes",FP11&gt;='Operating Assumptions'!$D$31,FP11&lt;'Operating Assumptions'!$D$33),'Operating Assumptions'!$D$32-SUM($H$34:FO34),IF(AND('Operating Assumptions'!$D$29="Yes",FP11&gt;'Operating Assumptions'!$D$31,FP11&gt;='Operating Assumptions'!$D$33),'Operating Assumptions'!$D$14-SUM($H$34:FO34))))))</f>
        <v>0</v>
      </c>
      <c r="FQ33" s="508">
        <f>IF(AND('Operating Assumptions'!$D$29="No",FQ11&lt;'Operating Assumptions'!$D$22),0,IF(AND('Operating Assumptions'!$D$29="No",FQ11&gt;='Operating Assumptions'!$D$22),'Operating Assumptions'!$D$14-SUM($H$34:FP34),IF(AND('Operating Assumptions'!$D$29="Yes",FQ11&lt;'Operating Assumptions'!$D$31),0,IF(AND('Operating Assumptions'!$D$29="Yes",FQ11&gt;='Operating Assumptions'!$D$31,FQ11&lt;'Operating Assumptions'!$D$33),'Operating Assumptions'!$D$32-SUM($H$34:FP34),IF(AND('Operating Assumptions'!$D$29="Yes",FQ11&gt;'Operating Assumptions'!$D$31,FQ11&gt;='Operating Assumptions'!$D$33),'Operating Assumptions'!$D$14-SUM($H$34:FP34))))))</f>
        <v>0</v>
      </c>
      <c r="FR33" s="508">
        <f>IF(AND('Operating Assumptions'!$D$29="No",FR11&lt;'Operating Assumptions'!$D$22),0,IF(AND('Operating Assumptions'!$D$29="No",FR11&gt;='Operating Assumptions'!$D$22),'Operating Assumptions'!$D$14-SUM($H$34:FQ34),IF(AND('Operating Assumptions'!$D$29="Yes",FR11&lt;'Operating Assumptions'!$D$31),0,IF(AND('Operating Assumptions'!$D$29="Yes",FR11&gt;='Operating Assumptions'!$D$31,FR11&lt;'Operating Assumptions'!$D$33),'Operating Assumptions'!$D$32-SUM($H$34:FQ34),IF(AND('Operating Assumptions'!$D$29="Yes",FR11&gt;'Operating Assumptions'!$D$31,FR11&gt;='Operating Assumptions'!$D$33),'Operating Assumptions'!$D$14-SUM($H$34:FQ34))))))</f>
        <v>0</v>
      </c>
      <c r="FS33" s="508">
        <f>IF(AND('Operating Assumptions'!$D$29="No",FS11&lt;'Operating Assumptions'!$D$22),0,IF(AND('Operating Assumptions'!$D$29="No",FS11&gt;='Operating Assumptions'!$D$22),'Operating Assumptions'!$D$14-SUM($H$34:FR34),IF(AND('Operating Assumptions'!$D$29="Yes",FS11&lt;'Operating Assumptions'!$D$31),0,IF(AND('Operating Assumptions'!$D$29="Yes",FS11&gt;='Operating Assumptions'!$D$31,FS11&lt;'Operating Assumptions'!$D$33),'Operating Assumptions'!$D$32-SUM($H$34:FR34),IF(AND('Operating Assumptions'!$D$29="Yes",FS11&gt;'Operating Assumptions'!$D$31,FS11&gt;='Operating Assumptions'!$D$33),'Operating Assumptions'!$D$14-SUM($H$34:FR34))))))</f>
        <v>0</v>
      </c>
      <c r="FT33" s="508">
        <f>IF(AND('Operating Assumptions'!$D$29="No",FT11&lt;'Operating Assumptions'!$D$22),0,IF(AND('Operating Assumptions'!$D$29="No",FT11&gt;='Operating Assumptions'!$D$22),'Operating Assumptions'!$D$14-SUM($H$34:FS34),IF(AND('Operating Assumptions'!$D$29="Yes",FT11&lt;'Operating Assumptions'!$D$31),0,IF(AND('Operating Assumptions'!$D$29="Yes",FT11&gt;='Operating Assumptions'!$D$31,FT11&lt;'Operating Assumptions'!$D$33),'Operating Assumptions'!$D$32-SUM($H$34:FS34),IF(AND('Operating Assumptions'!$D$29="Yes",FT11&gt;'Operating Assumptions'!$D$31,FT11&gt;='Operating Assumptions'!$D$33),'Operating Assumptions'!$D$14-SUM($H$34:FS34))))))</f>
        <v>0</v>
      </c>
      <c r="FU33" s="43"/>
      <c r="FV33" s="34"/>
      <c r="FW33" s="34"/>
      <c r="FX33" s="34"/>
      <c r="FY33" s="34"/>
      <c r="FZ33" s="34"/>
    </row>
    <row r="34" spans="1:182" s="89" customFormat="1" ht="13.5" x14ac:dyDescent="0.25">
      <c r="A34" s="34"/>
      <c r="B34" s="128" t="s">
        <v>229</v>
      </c>
      <c r="C34" s="34"/>
      <c r="D34" s="34"/>
      <c r="E34" s="34"/>
      <c r="F34" s="509">
        <f>SUM($H$34:$FT$34)</f>
        <v>240</v>
      </c>
      <c r="G34" s="34"/>
      <c r="H34" s="508">
        <f>IF(AND(H$11&lt;'Operating Assumptions'!$D$22,'Operating Assumptions'!$D$25=0),0,IF(AND(H$11&lt;'Operating Assumptions'!$D$22,H$11='Operating Assumptions'!$D$24,'Operating Assumptions'!$D$25&gt;0),'Operating Assumptions'!$D$25,IF(AND('Operating Assumptions'!$D$29="No",H$11&lt;'Operating Assumptions'!$D$22),0,IF(AND('Operating Assumptions'!$D$29="Yes",H$11&lt;'Operating Assumptions'!$D$31),0,IF(H$33&gt;'Operating Assumptions'!$D$26,'Operating Assumptions'!$D$26,IF(H$33='Operating Assumptions'!$D$26,'Operating Assumptions'!$D$26,IF(AND(H$33&gt;0,H$33&lt;'Operating Assumptions'!$D$26),H$33,IF(H$33=0,0))))))))</f>
        <v>0</v>
      </c>
      <c r="I34" s="508">
        <f>IF(AND(I$11&lt;'Operating Assumptions'!$D$22,'Operating Assumptions'!$D$25=0),0,IF(AND(I$11&lt;'Operating Assumptions'!$D$22,I$11='Operating Assumptions'!$D$24,'Operating Assumptions'!$D$25&gt;0),'Operating Assumptions'!$D$25,IF(AND('Operating Assumptions'!$D$29="No",I$11&lt;'Operating Assumptions'!$D$22),0,IF(AND('Operating Assumptions'!$D$29="Yes",I$11&lt;'Operating Assumptions'!$D$31),0,IF(I$33&gt;'Operating Assumptions'!$D$26,'Operating Assumptions'!$D$26,IF(I$33='Operating Assumptions'!$D$26,'Operating Assumptions'!$D$26,IF(AND(I$33&gt;0,I$33&lt;'Operating Assumptions'!$D$26),I$33,IF(I$33=0,0))))))))</f>
        <v>0</v>
      </c>
      <c r="J34" s="508">
        <f>IF(AND(J$11&lt;'Operating Assumptions'!$D$22,'Operating Assumptions'!$D$25=0),0,IF(AND(J$11&lt;'Operating Assumptions'!$D$22,J$11='Operating Assumptions'!$D$24,'Operating Assumptions'!$D$25&gt;0),'Operating Assumptions'!$D$25,IF(AND('Operating Assumptions'!$D$29="No",J$11&lt;'Operating Assumptions'!$D$22),0,IF(AND('Operating Assumptions'!$D$29="Yes",J$11&lt;'Operating Assumptions'!$D$31),0,IF(J$33&gt;'Operating Assumptions'!$D$26,'Operating Assumptions'!$D$26,IF(J$33='Operating Assumptions'!$D$26,'Operating Assumptions'!$D$26,IF(AND(J$33&gt;0,J$33&lt;'Operating Assumptions'!$D$26),J$33,IF(J$33=0,0))))))))</f>
        <v>0</v>
      </c>
      <c r="K34" s="508">
        <f>IF(AND(K$11&lt;'Operating Assumptions'!$D$22,'Operating Assumptions'!$D$25=0),0,IF(AND(K$11&lt;'Operating Assumptions'!$D$22,K$11='Operating Assumptions'!$D$24,'Operating Assumptions'!$D$25&gt;0),'Operating Assumptions'!$D$25,IF(AND('Operating Assumptions'!$D$29="No",K$11&lt;'Operating Assumptions'!$D$22),0,IF(AND('Operating Assumptions'!$D$29="Yes",K$11&lt;'Operating Assumptions'!$D$31),0,IF(K$33&gt;'Operating Assumptions'!$D$26,'Operating Assumptions'!$D$26,IF(K$33='Operating Assumptions'!$D$26,'Operating Assumptions'!$D$26,IF(AND(K$33&gt;0,K$33&lt;'Operating Assumptions'!$D$26),K$33,IF(K$33=0,0))))))))</f>
        <v>0</v>
      </c>
      <c r="L34" s="508">
        <f>IF(AND(L$11&lt;'Operating Assumptions'!$D$22,'Operating Assumptions'!$D$25=0),0,IF(AND(L$11&lt;'Operating Assumptions'!$D$22,L$11='Operating Assumptions'!$D$24,'Operating Assumptions'!$D$25&gt;0),'Operating Assumptions'!$D$25,IF(AND('Operating Assumptions'!$D$29="No",L$11&lt;'Operating Assumptions'!$D$22),0,IF(AND('Operating Assumptions'!$D$29="Yes",L$11&lt;'Operating Assumptions'!$D$31),0,IF(L$33&gt;'Operating Assumptions'!$D$26,'Operating Assumptions'!$D$26,IF(L$33='Operating Assumptions'!$D$26,'Operating Assumptions'!$D$26,IF(AND(L$33&gt;0,L$33&lt;'Operating Assumptions'!$D$26),L$33,IF(L$33=0,0))))))))</f>
        <v>0</v>
      </c>
      <c r="M34" s="508">
        <f>IF(AND(M$11&lt;'Operating Assumptions'!$D$22,'Operating Assumptions'!$D$25=0),0,IF(AND(M$11&lt;'Operating Assumptions'!$D$22,M$11='Operating Assumptions'!$D$24,'Operating Assumptions'!$D$25&gt;0),'Operating Assumptions'!$D$25,IF(AND('Operating Assumptions'!$D$29="No",M$11&lt;'Operating Assumptions'!$D$22),0,IF(AND('Operating Assumptions'!$D$29="Yes",M$11&lt;'Operating Assumptions'!$D$31),0,IF(M$33&gt;'Operating Assumptions'!$D$26,'Operating Assumptions'!$D$26,IF(M$33='Operating Assumptions'!$D$26,'Operating Assumptions'!$D$26,IF(AND(M$33&gt;0,M$33&lt;'Operating Assumptions'!$D$26),M$33,IF(M$33=0,0))))))))</f>
        <v>0</v>
      </c>
      <c r="N34" s="508">
        <f>IF(AND(N$11&lt;'Operating Assumptions'!$D$22,'Operating Assumptions'!$D$25=0),0,IF(AND(N$11&lt;'Operating Assumptions'!$D$22,N$11='Operating Assumptions'!$D$24,'Operating Assumptions'!$D$25&gt;0),'Operating Assumptions'!$D$25,IF(AND('Operating Assumptions'!$D$29="No",N$11&lt;'Operating Assumptions'!$D$22),0,IF(AND('Operating Assumptions'!$D$29="Yes",N$11&lt;'Operating Assumptions'!$D$31),0,IF(N$33&gt;'Operating Assumptions'!$D$26,'Operating Assumptions'!$D$26,IF(N$33='Operating Assumptions'!$D$26,'Operating Assumptions'!$D$26,IF(AND(N$33&gt;0,N$33&lt;'Operating Assumptions'!$D$26),N$33,IF(N$33=0,0))))))))</f>
        <v>0</v>
      </c>
      <c r="O34" s="508">
        <f>IF(AND(O$11&lt;'Operating Assumptions'!$D$22,'Operating Assumptions'!$D$25=0),0,IF(AND(O$11&lt;'Operating Assumptions'!$D$22,O$11='Operating Assumptions'!$D$24,'Operating Assumptions'!$D$25&gt;0),'Operating Assumptions'!$D$25,IF(AND('Operating Assumptions'!$D$29="No",O$11&lt;'Operating Assumptions'!$D$22),0,IF(AND('Operating Assumptions'!$D$29="Yes",O$11&lt;'Operating Assumptions'!$D$31),0,IF(O$33&gt;'Operating Assumptions'!$D$26,'Operating Assumptions'!$D$26,IF(O$33='Operating Assumptions'!$D$26,'Operating Assumptions'!$D$26,IF(AND(O$33&gt;0,O$33&lt;'Operating Assumptions'!$D$26),O$33,IF(O$33=0,0))))))))</f>
        <v>0</v>
      </c>
      <c r="P34" s="508">
        <f>IF(AND(P$11&lt;'Operating Assumptions'!$D$22,'Operating Assumptions'!$D$25=0),0,IF(AND(P$11&lt;'Operating Assumptions'!$D$22,P$11='Operating Assumptions'!$D$24,'Operating Assumptions'!$D$25&gt;0),'Operating Assumptions'!$D$25,IF(AND('Operating Assumptions'!$D$29="No",P$11&lt;'Operating Assumptions'!$D$22),0,IF(AND('Operating Assumptions'!$D$29="Yes",P$11&lt;'Operating Assumptions'!$D$31),0,IF(P$33&gt;'Operating Assumptions'!$D$26,'Operating Assumptions'!$D$26,IF(P$33='Operating Assumptions'!$D$26,'Operating Assumptions'!$D$26,IF(AND(P$33&gt;0,P$33&lt;'Operating Assumptions'!$D$26),P$33,IF(P$33=0,0))))))))</f>
        <v>0</v>
      </c>
      <c r="Q34" s="508">
        <f>IF(AND(Q$11&lt;'Operating Assumptions'!$D$22,'Operating Assumptions'!$D$25=0),0,IF(AND(Q$11&lt;'Operating Assumptions'!$D$22,Q$11='Operating Assumptions'!$D$24,'Operating Assumptions'!$D$25&gt;0),'Operating Assumptions'!$D$25,IF(AND('Operating Assumptions'!$D$29="No",Q$11&lt;'Operating Assumptions'!$D$22),0,IF(AND('Operating Assumptions'!$D$29="Yes",Q$11&lt;'Operating Assumptions'!$D$31),0,IF(Q$33&gt;'Operating Assumptions'!$D$26,'Operating Assumptions'!$D$26,IF(Q$33='Operating Assumptions'!$D$26,'Operating Assumptions'!$D$26,IF(AND(Q$33&gt;0,Q$33&lt;'Operating Assumptions'!$D$26),Q$33,IF(Q$33=0,0))))))))</f>
        <v>0</v>
      </c>
      <c r="R34" s="508">
        <f>IF(AND(R$11&lt;'Operating Assumptions'!$D$22,'Operating Assumptions'!$D$25=0),0,IF(AND(R$11&lt;'Operating Assumptions'!$D$22,R$11='Operating Assumptions'!$D$24,'Operating Assumptions'!$D$25&gt;0),'Operating Assumptions'!$D$25,IF(AND('Operating Assumptions'!$D$29="No",R$11&lt;'Operating Assumptions'!$D$22),0,IF(AND('Operating Assumptions'!$D$29="Yes",R$11&lt;'Operating Assumptions'!$D$31),0,IF(R$33&gt;'Operating Assumptions'!$D$26,'Operating Assumptions'!$D$26,IF(R$33='Operating Assumptions'!$D$26,'Operating Assumptions'!$D$26,IF(AND(R$33&gt;0,R$33&lt;'Operating Assumptions'!$D$26),R$33,IF(R$33=0,0))))))))</f>
        <v>0</v>
      </c>
      <c r="S34" s="508">
        <f>IF(AND(S$11&lt;'Operating Assumptions'!$D$22,'Operating Assumptions'!$D$25=0),0,IF(AND(S$11&lt;'Operating Assumptions'!$D$22,S$11='Operating Assumptions'!$D$24,'Operating Assumptions'!$D$25&gt;0),'Operating Assumptions'!$D$25,IF(AND('Operating Assumptions'!$D$29="No",S$11&lt;'Operating Assumptions'!$D$22),0,IF(AND('Operating Assumptions'!$D$29="Yes",S$11&lt;'Operating Assumptions'!$D$31),0,IF(S$33&gt;'Operating Assumptions'!$D$26,'Operating Assumptions'!$D$26,IF(S$33='Operating Assumptions'!$D$26,'Operating Assumptions'!$D$26,IF(AND(S$33&gt;0,S$33&lt;'Operating Assumptions'!$D$26),S$33,IF(S$33=0,0))))))))</f>
        <v>0</v>
      </c>
      <c r="T34" s="508">
        <f>IF(AND(T$11&lt;'Operating Assumptions'!$D$22,'Operating Assumptions'!$D$25=0),0,IF(AND(T$11&lt;'Operating Assumptions'!$D$22,T$11='Operating Assumptions'!$D$24,'Operating Assumptions'!$D$25&gt;0),'Operating Assumptions'!$D$25,IF(AND('Operating Assumptions'!$D$29="No",T$11&lt;'Operating Assumptions'!$D$22),0,IF(AND('Operating Assumptions'!$D$29="Yes",T$11&lt;'Operating Assumptions'!$D$31),0,IF(T$33&gt;'Operating Assumptions'!$D$26,'Operating Assumptions'!$D$26,IF(T$33='Operating Assumptions'!$D$26,'Operating Assumptions'!$D$26,IF(AND(T$33&gt;0,T$33&lt;'Operating Assumptions'!$D$26),T$33,IF(T$33=0,0))))))))</f>
        <v>0</v>
      </c>
      <c r="U34" s="508">
        <f>IF(AND(U$11&lt;'Operating Assumptions'!$D$22,'Operating Assumptions'!$D$25=0),0,IF(AND(U$11&lt;'Operating Assumptions'!$D$22,U$11='Operating Assumptions'!$D$24,'Operating Assumptions'!$D$25&gt;0),'Operating Assumptions'!$D$25,IF(AND('Operating Assumptions'!$D$29="No",U$11&lt;'Operating Assumptions'!$D$22),0,IF(AND('Operating Assumptions'!$D$29="Yes",U$11&lt;'Operating Assumptions'!$D$31),0,IF(U$33&gt;'Operating Assumptions'!$D$26,'Operating Assumptions'!$D$26,IF(U$33='Operating Assumptions'!$D$26,'Operating Assumptions'!$D$26,IF(AND(U$33&gt;0,U$33&lt;'Operating Assumptions'!$D$26),U$33,IF(U$33=0,0))))))))</f>
        <v>0</v>
      </c>
      <c r="V34" s="508">
        <f>IF(AND(V$11&lt;'Operating Assumptions'!$D$22,'Operating Assumptions'!$D$25=0),0,IF(AND(V$11&lt;'Operating Assumptions'!$D$22,V$11='Operating Assumptions'!$D$24,'Operating Assumptions'!$D$25&gt;0),'Operating Assumptions'!$D$25,IF(AND('Operating Assumptions'!$D$29="No",V$11&lt;'Operating Assumptions'!$D$22),0,IF(AND('Operating Assumptions'!$D$29="Yes",V$11&lt;'Operating Assumptions'!$D$31),0,IF(V$33&gt;'Operating Assumptions'!$D$26,'Operating Assumptions'!$D$26,IF(V$33='Operating Assumptions'!$D$26,'Operating Assumptions'!$D$26,IF(AND(V$33&gt;0,V$33&lt;'Operating Assumptions'!$D$26),V$33,IF(V$33=0,0))))))))</f>
        <v>0</v>
      </c>
      <c r="W34" s="508">
        <f>IF(AND(W$11&lt;'Operating Assumptions'!$D$22,'Operating Assumptions'!$D$25=0),0,IF(AND(W$11&lt;'Operating Assumptions'!$D$22,W$11='Operating Assumptions'!$D$24,'Operating Assumptions'!$D$25&gt;0),'Operating Assumptions'!$D$25,IF(AND('Operating Assumptions'!$D$29="No",W$11&lt;'Operating Assumptions'!$D$22),0,IF(AND('Operating Assumptions'!$D$29="Yes",W$11&lt;'Operating Assumptions'!$D$31),0,IF(W$33&gt;'Operating Assumptions'!$D$26,'Operating Assumptions'!$D$26,IF(W$33='Operating Assumptions'!$D$26,'Operating Assumptions'!$D$26,IF(AND(W$33&gt;0,W$33&lt;'Operating Assumptions'!$D$26),W$33,IF(W$33=0,0))))))))</f>
        <v>0</v>
      </c>
      <c r="X34" s="508">
        <f>IF(AND(X$11&lt;'Operating Assumptions'!$D$22,'Operating Assumptions'!$D$25=0),0,IF(AND(X$11&lt;'Operating Assumptions'!$D$22,X$11='Operating Assumptions'!$D$24,'Operating Assumptions'!$D$25&gt;0),'Operating Assumptions'!$D$25,IF(AND('Operating Assumptions'!$D$29="No",X$11&lt;'Operating Assumptions'!$D$22),0,IF(AND('Operating Assumptions'!$D$29="Yes",X$11&lt;'Operating Assumptions'!$D$31),0,IF(X$33&gt;'Operating Assumptions'!$D$26,'Operating Assumptions'!$D$26,IF(X$33='Operating Assumptions'!$D$26,'Operating Assumptions'!$D$26,IF(AND(X$33&gt;0,X$33&lt;'Operating Assumptions'!$D$26),X$33,IF(X$33=0,0))))))))</f>
        <v>1</v>
      </c>
      <c r="Y34" s="508">
        <f>IF(AND(Y$11&lt;'Operating Assumptions'!$D$22,'Operating Assumptions'!$D$25=0),0,IF(AND(Y$11&lt;'Operating Assumptions'!$D$22,Y$11='Operating Assumptions'!$D$24,'Operating Assumptions'!$D$25&gt;0),'Operating Assumptions'!$D$25,IF(AND('Operating Assumptions'!$D$29="No",Y$11&lt;'Operating Assumptions'!$D$22),0,IF(AND('Operating Assumptions'!$D$29="Yes",Y$11&lt;'Operating Assumptions'!$D$31),0,IF(Y$33&gt;'Operating Assumptions'!$D$26,'Operating Assumptions'!$D$26,IF(Y$33='Operating Assumptions'!$D$26,'Operating Assumptions'!$D$26,IF(AND(Y$33&gt;0,Y$33&lt;'Operating Assumptions'!$D$26),Y$33,IF(Y$33=0,0))))))))</f>
        <v>20</v>
      </c>
      <c r="Z34" s="508">
        <f>IF(AND(Z$11&lt;'Operating Assumptions'!$D$22,'Operating Assumptions'!$D$25=0),0,IF(AND(Z$11&lt;'Operating Assumptions'!$D$22,Z$11='Operating Assumptions'!$D$24,'Operating Assumptions'!$D$25&gt;0),'Operating Assumptions'!$D$25,IF(AND('Operating Assumptions'!$D$29="No",Z$11&lt;'Operating Assumptions'!$D$22),0,IF(AND('Operating Assumptions'!$D$29="Yes",Z$11&lt;'Operating Assumptions'!$D$31),0,IF(Z$33&gt;'Operating Assumptions'!$D$26,'Operating Assumptions'!$D$26,IF(Z$33='Operating Assumptions'!$D$26,'Operating Assumptions'!$D$26,IF(AND(Z$33&gt;0,Z$33&lt;'Operating Assumptions'!$D$26),Z$33,IF(Z$33=0,0))))))))</f>
        <v>20</v>
      </c>
      <c r="AA34" s="508">
        <f>IF(AND(AA$11&lt;'Operating Assumptions'!$D$22,'Operating Assumptions'!$D$25=0),0,IF(AND(AA$11&lt;'Operating Assumptions'!$D$22,AA$11='Operating Assumptions'!$D$24,'Operating Assumptions'!$D$25&gt;0),'Operating Assumptions'!$D$25,IF(AND('Operating Assumptions'!$D$29="No",AA$11&lt;'Operating Assumptions'!$D$22),0,IF(AND('Operating Assumptions'!$D$29="Yes",AA$11&lt;'Operating Assumptions'!$D$31),0,IF(AA$33&gt;'Operating Assumptions'!$D$26,'Operating Assumptions'!$D$26,IF(AA$33='Operating Assumptions'!$D$26,'Operating Assumptions'!$D$26,IF(AND(AA$33&gt;0,AA$33&lt;'Operating Assumptions'!$D$26),AA$33,IF(AA$33=0,0))))))))</f>
        <v>20</v>
      </c>
      <c r="AB34" s="508">
        <f>IF(AND(AB$11&lt;'Operating Assumptions'!$D$22,'Operating Assumptions'!$D$25=0),0,IF(AND(AB$11&lt;'Operating Assumptions'!$D$22,AB$11='Operating Assumptions'!$D$24,'Operating Assumptions'!$D$25&gt;0),'Operating Assumptions'!$D$25,IF(AND('Operating Assumptions'!$D$29="No",AB$11&lt;'Operating Assumptions'!$D$22),0,IF(AND('Operating Assumptions'!$D$29="Yes",AB$11&lt;'Operating Assumptions'!$D$31),0,IF(AB$33&gt;'Operating Assumptions'!$D$26,'Operating Assumptions'!$D$26,IF(AB$33='Operating Assumptions'!$D$26,'Operating Assumptions'!$D$26,IF(AND(AB$33&gt;0,AB$33&lt;'Operating Assumptions'!$D$26),AB$33,IF(AB$33=0,0))))))))</f>
        <v>20</v>
      </c>
      <c r="AC34" s="508">
        <f>IF(AND(AC$11&lt;'Operating Assumptions'!$D$22,'Operating Assumptions'!$D$25=0),0,IF(AND(AC$11&lt;'Operating Assumptions'!$D$22,AC$11='Operating Assumptions'!$D$24,'Operating Assumptions'!$D$25&gt;0),'Operating Assumptions'!$D$25,IF(AND('Operating Assumptions'!$D$29="No",AC$11&lt;'Operating Assumptions'!$D$22),0,IF(AND('Operating Assumptions'!$D$29="Yes",AC$11&lt;'Operating Assumptions'!$D$31),0,IF(AC$33&gt;'Operating Assumptions'!$D$26,'Operating Assumptions'!$D$26,IF(AC$33='Operating Assumptions'!$D$26,'Operating Assumptions'!$D$26,IF(AND(AC$33&gt;0,AC$33&lt;'Operating Assumptions'!$D$26),AC$33,IF(AC$33=0,0))))))))</f>
        <v>20</v>
      </c>
      <c r="AD34" s="508">
        <f>IF(AND(AD$11&lt;'Operating Assumptions'!$D$22,'Operating Assumptions'!$D$25=0),0,IF(AND(AD$11&lt;'Operating Assumptions'!$D$22,AD$11='Operating Assumptions'!$D$24,'Operating Assumptions'!$D$25&gt;0),'Operating Assumptions'!$D$25,IF(AND('Operating Assumptions'!$D$29="No",AD$11&lt;'Operating Assumptions'!$D$22),0,IF(AND('Operating Assumptions'!$D$29="Yes",AD$11&lt;'Operating Assumptions'!$D$31),0,IF(AD$33&gt;'Operating Assumptions'!$D$26,'Operating Assumptions'!$D$26,IF(AD$33='Operating Assumptions'!$D$26,'Operating Assumptions'!$D$26,IF(AND(AD$33&gt;0,AD$33&lt;'Operating Assumptions'!$D$26),AD$33,IF(AD$33=0,0))))))))</f>
        <v>20</v>
      </c>
      <c r="AE34" s="508">
        <f>IF(AND(AE$11&lt;'Operating Assumptions'!$D$22,'Operating Assumptions'!$D$25=0),0,IF(AND(AE$11&lt;'Operating Assumptions'!$D$22,AE$11='Operating Assumptions'!$D$24,'Operating Assumptions'!$D$25&gt;0),'Operating Assumptions'!$D$25,IF(AND('Operating Assumptions'!$D$29="No",AE$11&lt;'Operating Assumptions'!$D$22),0,IF(AND('Operating Assumptions'!$D$29="Yes",AE$11&lt;'Operating Assumptions'!$D$31),0,IF(AE$33&gt;'Operating Assumptions'!$D$26,'Operating Assumptions'!$D$26,IF(AE$33='Operating Assumptions'!$D$26,'Operating Assumptions'!$D$26,IF(AND(AE$33&gt;0,AE$33&lt;'Operating Assumptions'!$D$26),AE$33,IF(AE$33=0,0))))))))</f>
        <v>4</v>
      </c>
      <c r="AF34" s="508">
        <f>IF(AND(AF$11&lt;'Operating Assumptions'!$D$22,'Operating Assumptions'!$D$25=0),0,IF(AND(AF$11&lt;'Operating Assumptions'!$D$22,AF$11='Operating Assumptions'!$D$24,'Operating Assumptions'!$D$25&gt;0),'Operating Assumptions'!$D$25,IF(AND('Operating Assumptions'!$D$29="No",AF$11&lt;'Operating Assumptions'!$D$22),0,IF(AND('Operating Assumptions'!$D$29="Yes",AF$11&lt;'Operating Assumptions'!$D$31),0,IF(AF$33&gt;'Operating Assumptions'!$D$26,'Operating Assumptions'!$D$26,IF(AF$33='Operating Assumptions'!$D$26,'Operating Assumptions'!$D$26,IF(AND(AF$33&gt;0,AF$33&lt;'Operating Assumptions'!$D$26),AF$33,IF(AF$33=0,0))))))))</f>
        <v>0</v>
      </c>
      <c r="AG34" s="508">
        <f>IF(AND(AG$11&lt;'Operating Assumptions'!$D$22,'Operating Assumptions'!$D$25=0),0,IF(AND(AG$11&lt;'Operating Assumptions'!$D$22,AG$11='Operating Assumptions'!$D$24,'Operating Assumptions'!$D$25&gt;0),'Operating Assumptions'!$D$25,IF(AND('Operating Assumptions'!$D$29="No",AG$11&lt;'Operating Assumptions'!$D$22),0,IF(AND('Operating Assumptions'!$D$29="Yes",AG$11&lt;'Operating Assumptions'!$D$31),0,IF(AG$33&gt;'Operating Assumptions'!$D$26,'Operating Assumptions'!$D$26,IF(AG$33='Operating Assumptions'!$D$26,'Operating Assumptions'!$D$26,IF(AND(AG$33&gt;0,AG$33&lt;'Operating Assumptions'!$D$26),AG$33,IF(AG$33=0,0))))))))</f>
        <v>0</v>
      </c>
      <c r="AH34" s="508">
        <f>IF(AND(AH$11&lt;'Operating Assumptions'!$D$22,'Operating Assumptions'!$D$25=0),0,IF(AND(AH$11&lt;'Operating Assumptions'!$D$22,AH$11='Operating Assumptions'!$D$24,'Operating Assumptions'!$D$25&gt;0),'Operating Assumptions'!$D$25,IF(AND('Operating Assumptions'!$D$29="No",AH$11&lt;'Operating Assumptions'!$D$22),0,IF(AND('Operating Assumptions'!$D$29="Yes",AH$11&lt;'Operating Assumptions'!$D$31),0,IF(AH$33&gt;'Operating Assumptions'!$D$26,'Operating Assumptions'!$D$26,IF(AH$33='Operating Assumptions'!$D$26,'Operating Assumptions'!$D$26,IF(AND(AH$33&gt;0,AH$33&lt;'Operating Assumptions'!$D$26),AH$33,IF(AH$33=0,0))))))))</f>
        <v>20</v>
      </c>
      <c r="AI34" s="508">
        <f>IF(AND(AI$11&lt;'Operating Assumptions'!$D$22,'Operating Assumptions'!$D$25=0),0,IF(AND(AI$11&lt;'Operating Assumptions'!$D$22,AI$11='Operating Assumptions'!$D$24,'Operating Assumptions'!$D$25&gt;0),'Operating Assumptions'!$D$25,IF(AND('Operating Assumptions'!$D$29="No",AI$11&lt;'Operating Assumptions'!$D$22),0,IF(AND('Operating Assumptions'!$D$29="Yes",AI$11&lt;'Operating Assumptions'!$D$31),0,IF(AI$33&gt;'Operating Assumptions'!$D$26,'Operating Assumptions'!$D$26,IF(AI$33='Operating Assumptions'!$D$26,'Operating Assumptions'!$D$26,IF(AND(AI$33&gt;0,AI$33&lt;'Operating Assumptions'!$D$26),AI$33,IF(AI$33=0,0))))))))</f>
        <v>20</v>
      </c>
      <c r="AJ34" s="508">
        <f>IF(AND(AJ$11&lt;'Operating Assumptions'!$D$22,'Operating Assumptions'!$D$25=0),0,IF(AND(AJ$11&lt;'Operating Assumptions'!$D$22,AJ$11='Operating Assumptions'!$D$24,'Operating Assumptions'!$D$25&gt;0),'Operating Assumptions'!$D$25,IF(AND('Operating Assumptions'!$D$29="No",AJ$11&lt;'Operating Assumptions'!$D$22),0,IF(AND('Operating Assumptions'!$D$29="Yes",AJ$11&lt;'Operating Assumptions'!$D$31),0,IF(AJ$33&gt;'Operating Assumptions'!$D$26,'Operating Assumptions'!$D$26,IF(AJ$33='Operating Assumptions'!$D$26,'Operating Assumptions'!$D$26,IF(AND(AJ$33&gt;0,AJ$33&lt;'Operating Assumptions'!$D$26),AJ$33,IF(AJ$33=0,0))))))))</f>
        <v>20</v>
      </c>
      <c r="AK34" s="508">
        <f>IF(AND(AK$11&lt;'Operating Assumptions'!$D$22,'Operating Assumptions'!$D$25=0),0,IF(AND(AK$11&lt;'Operating Assumptions'!$D$22,AK$11='Operating Assumptions'!$D$24,'Operating Assumptions'!$D$25&gt;0),'Operating Assumptions'!$D$25,IF(AND('Operating Assumptions'!$D$29="No",AK$11&lt;'Operating Assumptions'!$D$22),0,IF(AND('Operating Assumptions'!$D$29="Yes",AK$11&lt;'Operating Assumptions'!$D$31),0,IF(AK$33&gt;'Operating Assumptions'!$D$26,'Operating Assumptions'!$D$26,IF(AK$33='Operating Assumptions'!$D$26,'Operating Assumptions'!$D$26,IF(AND(AK$33&gt;0,AK$33&lt;'Operating Assumptions'!$D$26),AK$33,IF(AK$33=0,0))))))))</f>
        <v>20</v>
      </c>
      <c r="AL34" s="508">
        <f>IF(AND(AL$11&lt;'Operating Assumptions'!$D$22,'Operating Assumptions'!$D$25=0),0,IF(AND(AL$11&lt;'Operating Assumptions'!$D$22,AL$11='Operating Assumptions'!$D$24,'Operating Assumptions'!$D$25&gt;0),'Operating Assumptions'!$D$25,IF(AND('Operating Assumptions'!$D$29="No",AL$11&lt;'Operating Assumptions'!$D$22),0,IF(AND('Operating Assumptions'!$D$29="Yes",AL$11&lt;'Operating Assumptions'!$D$31),0,IF(AL$33&gt;'Operating Assumptions'!$D$26,'Operating Assumptions'!$D$26,IF(AL$33='Operating Assumptions'!$D$26,'Operating Assumptions'!$D$26,IF(AND(AL$33&gt;0,AL$33&lt;'Operating Assumptions'!$D$26),AL$33,IF(AL$33=0,0))))))))</f>
        <v>20</v>
      </c>
      <c r="AM34" s="508">
        <f>IF(AND(AM$11&lt;'Operating Assumptions'!$D$22,'Operating Assumptions'!$D$25=0),0,IF(AND(AM$11&lt;'Operating Assumptions'!$D$22,AM$11='Operating Assumptions'!$D$24,'Operating Assumptions'!$D$25&gt;0),'Operating Assumptions'!$D$25,IF(AND('Operating Assumptions'!$D$29="No",AM$11&lt;'Operating Assumptions'!$D$22),0,IF(AND('Operating Assumptions'!$D$29="Yes",AM$11&lt;'Operating Assumptions'!$D$31),0,IF(AM$33&gt;'Operating Assumptions'!$D$26,'Operating Assumptions'!$D$26,IF(AM$33='Operating Assumptions'!$D$26,'Operating Assumptions'!$D$26,IF(AND(AM$33&gt;0,AM$33&lt;'Operating Assumptions'!$D$26),AM$33,IF(AM$33=0,0))))))))</f>
        <v>15</v>
      </c>
      <c r="AN34" s="508">
        <f>IF(AND(AN$11&lt;'Operating Assumptions'!$D$22,'Operating Assumptions'!$D$25=0),0,IF(AND(AN$11&lt;'Operating Assumptions'!$D$22,AN$11='Operating Assumptions'!$D$24,'Operating Assumptions'!$D$25&gt;0),'Operating Assumptions'!$D$25,IF(AND('Operating Assumptions'!$D$29="No",AN$11&lt;'Operating Assumptions'!$D$22),0,IF(AND('Operating Assumptions'!$D$29="Yes",AN$11&lt;'Operating Assumptions'!$D$31),0,IF(AN$33&gt;'Operating Assumptions'!$D$26,'Operating Assumptions'!$D$26,IF(AN$33='Operating Assumptions'!$D$26,'Operating Assumptions'!$D$26,IF(AND(AN$33&gt;0,AN$33&lt;'Operating Assumptions'!$D$26),AN$33,IF(AN$33=0,0))))))))</f>
        <v>0</v>
      </c>
      <c r="AO34" s="508">
        <f>IF(AND(AO$11&lt;'Operating Assumptions'!$D$22,'Operating Assumptions'!$D$25=0),0,IF(AND(AO$11&lt;'Operating Assumptions'!$D$22,AO$11='Operating Assumptions'!$D$24,'Operating Assumptions'!$D$25&gt;0),'Operating Assumptions'!$D$25,IF(AND('Operating Assumptions'!$D$29="No",AO$11&lt;'Operating Assumptions'!$D$22),0,IF(AND('Operating Assumptions'!$D$29="Yes",AO$11&lt;'Operating Assumptions'!$D$31),0,IF(AO$33&gt;'Operating Assumptions'!$D$26,'Operating Assumptions'!$D$26,IF(AO$33='Operating Assumptions'!$D$26,'Operating Assumptions'!$D$26,IF(AND(AO$33&gt;0,AO$33&lt;'Operating Assumptions'!$D$26),AO$33,IF(AO$33=0,0))))))))</f>
        <v>0</v>
      </c>
      <c r="AP34" s="508">
        <f>IF(AND(AP$11&lt;'Operating Assumptions'!$D$22,'Operating Assumptions'!$D$25=0),0,IF(AND(AP$11&lt;'Operating Assumptions'!$D$22,AP$11='Operating Assumptions'!$D$24,'Operating Assumptions'!$D$25&gt;0),'Operating Assumptions'!$D$25,IF(AND('Operating Assumptions'!$D$29="No",AP$11&lt;'Operating Assumptions'!$D$22),0,IF(AND('Operating Assumptions'!$D$29="Yes",AP$11&lt;'Operating Assumptions'!$D$31),0,IF(AP$33&gt;'Operating Assumptions'!$D$26,'Operating Assumptions'!$D$26,IF(AP$33='Operating Assumptions'!$D$26,'Operating Assumptions'!$D$26,IF(AND(AP$33&gt;0,AP$33&lt;'Operating Assumptions'!$D$26),AP$33,IF(AP$33=0,0))))))))</f>
        <v>0</v>
      </c>
      <c r="AQ34" s="508">
        <f>IF(AND(AQ$11&lt;'Operating Assumptions'!$D$22,'Operating Assumptions'!$D$25=0),0,IF(AND(AQ$11&lt;'Operating Assumptions'!$D$22,AQ$11='Operating Assumptions'!$D$24,'Operating Assumptions'!$D$25&gt;0),'Operating Assumptions'!$D$25,IF(AND('Operating Assumptions'!$D$29="No",AQ$11&lt;'Operating Assumptions'!$D$22),0,IF(AND('Operating Assumptions'!$D$29="Yes",AQ$11&lt;'Operating Assumptions'!$D$31),0,IF(AQ$33&gt;'Operating Assumptions'!$D$26,'Operating Assumptions'!$D$26,IF(AQ$33='Operating Assumptions'!$D$26,'Operating Assumptions'!$D$26,IF(AND(AQ$33&gt;0,AQ$33&lt;'Operating Assumptions'!$D$26),AQ$33,IF(AQ$33=0,0))))))))</f>
        <v>0</v>
      </c>
      <c r="AR34" s="508">
        <f>IF(AND(AR$11&lt;'Operating Assumptions'!$D$22,'Operating Assumptions'!$D$25=0),0,IF(AND(AR$11&lt;'Operating Assumptions'!$D$22,AR$11='Operating Assumptions'!$D$24,'Operating Assumptions'!$D$25&gt;0),'Operating Assumptions'!$D$25,IF(AND('Operating Assumptions'!$D$29="No",AR$11&lt;'Operating Assumptions'!$D$22),0,IF(AND('Operating Assumptions'!$D$29="Yes",AR$11&lt;'Operating Assumptions'!$D$31),0,IF(AR$33&gt;'Operating Assumptions'!$D$26,'Operating Assumptions'!$D$26,IF(AR$33='Operating Assumptions'!$D$26,'Operating Assumptions'!$D$26,IF(AND(AR$33&gt;0,AR$33&lt;'Operating Assumptions'!$D$26),AR$33,IF(AR$33=0,0))))))))</f>
        <v>0</v>
      </c>
      <c r="AS34" s="508">
        <f>IF(AND(AS$11&lt;'Operating Assumptions'!$D$22,'Operating Assumptions'!$D$25=0),0,IF(AND(AS$11&lt;'Operating Assumptions'!$D$22,AS$11='Operating Assumptions'!$D$24,'Operating Assumptions'!$D$25&gt;0),'Operating Assumptions'!$D$25,IF(AND('Operating Assumptions'!$D$29="No",AS$11&lt;'Operating Assumptions'!$D$22),0,IF(AND('Operating Assumptions'!$D$29="Yes",AS$11&lt;'Operating Assumptions'!$D$31),0,IF(AS$33&gt;'Operating Assumptions'!$D$26,'Operating Assumptions'!$D$26,IF(AS$33='Operating Assumptions'!$D$26,'Operating Assumptions'!$D$26,IF(AND(AS$33&gt;0,AS$33&lt;'Operating Assumptions'!$D$26),AS$33,IF(AS$33=0,0))))))))</f>
        <v>0</v>
      </c>
      <c r="AT34" s="508">
        <f>IF(AND(AT$11&lt;'Operating Assumptions'!$D$22,'Operating Assumptions'!$D$25=0),0,IF(AND(AT$11&lt;'Operating Assumptions'!$D$22,AT$11='Operating Assumptions'!$D$24,'Operating Assumptions'!$D$25&gt;0),'Operating Assumptions'!$D$25,IF(AND('Operating Assumptions'!$D$29="No",AT$11&lt;'Operating Assumptions'!$D$22),0,IF(AND('Operating Assumptions'!$D$29="Yes",AT$11&lt;'Operating Assumptions'!$D$31),0,IF(AT$33&gt;'Operating Assumptions'!$D$26,'Operating Assumptions'!$D$26,IF(AT$33='Operating Assumptions'!$D$26,'Operating Assumptions'!$D$26,IF(AND(AT$33&gt;0,AT$33&lt;'Operating Assumptions'!$D$26),AT$33,IF(AT$33=0,0))))))))</f>
        <v>0</v>
      </c>
      <c r="AU34" s="508">
        <f>IF(AND(AU$11&lt;'Operating Assumptions'!$D$22,'Operating Assumptions'!$D$25=0),0,IF(AND(AU$11&lt;'Operating Assumptions'!$D$22,AU$11='Operating Assumptions'!$D$24,'Operating Assumptions'!$D$25&gt;0),'Operating Assumptions'!$D$25,IF(AND('Operating Assumptions'!$D$29="No",AU$11&lt;'Operating Assumptions'!$D$22),0,IF(AND('Operating Assumptions'!$D$29="Yes",AU$11&lt;'Operating Assumptions'!$D$31),0,IF(AU$33&gt;'Operating Assumptions'!$D$26,'Operating Assumptions'!$D$26,IF(AU$33='Operating Assumptions'!$D$26,'Operating Assumptions'!$D$26,IF(AND(AU$33&gt;0,AU$33&lt;'Operating Assumptions'!$D$26),AU$33,IF(AU$33=0,0))))))))</f>
        <v>0</v>
      </c>
      <c r="AV34" s="508">
        <f>IF(AND(AV$11&lt;'Operating Assumptions'!$D$22,'Operating Assumptions'!$D$25=0),0,IF(AND(AV$11&lt;'Operating Assumptions'!$D$22,AV$11='Operating Assumptions'!$D$24,'Operating Assumptions'!$D$25&gt;0),'Operating Assumptions'!$D$25,IF(AND('Operating Assumptions'!$D$29="No",AV$11&lt;'Operating Assumptions'!$D$22),0,IF(AND('Operating Assumptions'!$D$29="Yes",AV$11&lt;'Operating Assumptions'!$D$31),0,IF(AV$33&gt;'Operating Assumptions'!$D$26,'Operating Assumptions'!$D$26,IF(AV$33='Operating Assumptions'!$D$26,'Operating Assumptions'!$D$26,IF(AND(AV$33&gt;0,AV$33&lt;'Operating Assumptions'!$D$26),AV$33,IF(AV$33=0,0))))))))</f>
        <v>0</v>
      </c>
      <c r="AW34" s="508">
        <f>IF(AND(AW$11&lt;'Operating Assumptions'!$D$22,'Operating Assumptions'!$D$25=0),0,IF(AND(AW$11&lt;'Operating Assumptions'!$D$22,AW$11='Operating Assumptions'!$D$24,'Operating Assumptions'!$D$25&gt;0),'Operating Assumptions'!$D$25,IF(AND('Operating Assumptions'!$D$29="No",AW$11&lt;'Operating Assumptions'!$D$22),0,IF(AND('Operating Assumptions'!$D$29="Yes",AW$11&lt;'Operating Assumptions'!$D$31),0,IF(AW$33&gt;'Operating Assumptions'!$D$26,'Operating Assumptions'!$D$26,IF(AW$33='Operating Assumptions'!$D$26,'Operating Assumptions'!$D$26,IF(AND(AW$33&gt;0,AW$33&lt;'Operating Assumptions'!$D$26),AW$33,IF(AW$33=0,0))))))))</f>
        <v>0</v>
      </c>
      <c r="AX34" s="508">
        <f>IF(AND(AX$11&lt;'Operating Assumptions'!$D$22,'Operating Assumptions'!$D$25=0),0,IF(AND(AX$11&lt;'Operating Assumptions'!$D$22,AX$11='Operating Assumptions'!$D$24,'Operating Assumptions'!$D$25&gt;0),'Operating Assumptions'!$D$25,IF(AND('Operating Assumptions'!$D$29="No",AX$11&lt;'Operating Assumptions'!$D$22),0,IF(AND('Operating Assumptions'!$D$29="Yes",AX$11&lt;'Operating Assumptions'!$D$31),0,IF(AX$33&gt;'Operating Assumptions'!$D$26,'Operating Assumptions'!$D$26,IF(AX$33='Operating Assumptions'!$D$26,'Operating Assumptions'!$D$26,IF(AND(AX$33&gt;0,AX$33&lt;'Operating Assumptions'!$D$26),AX$33,IF(AX$33=0,0))))))))</f>
        <v>0</v>
      </c>
      <c r="AY34" s="508">
        <f>IF(AND(AY$11&lt;'Operating Assumptions'!$D$22,'Operating Assumptions'!$D$25=0),0,IF(AND(AY$11&lt;'Operating Assumptions'!$D$22,AY$11='Operating Assumptions'!$D$24,'Operating Assumptions'!$D$25&gt;0),'Operating Assumptions'!$D$25,IF(AND('Operating Assumptions'!$D$29="No",AY$11&lt;'Operating Assumptions'!$D$22),0,IF(AND('Operating Assumptions'!$D$29="Yes",AY$11&lt;'Operating Assumptions'!$D$31),0,IF(AY$33&gt;'Operating Assumptions'!$D$26,'Operating Assumptions'!$D$26,IF(AY$33='Operating Assumptions'!$D$26,'Operating Assumptions'!$D$26,IF(AND(AY$33&gt;0,AY$33&lt;'Operating Assumptions'!$D$26),AY$33,IF(AY$33=0,0))))))))</f>
        <v>0</v>
      </c>
      <c r="AZ34" s="508">
        <f>IF(AND(AZ$11&lt;'Operating Assumptions'!$D$22,'Operating Assumptions'!$D$25=0),0,IF(AND(AZ$11&lt;'Operating Assumptions'!$D$22,AZ$11='Operating Assumptions'!$D$24,'Operating Assumptions'!$D$25&gt;0),'Operating Assumptions'!$D$25,IF(AND('Operating Assumptions'!$D$29="No",AZ$11&lt;'Operating Assumptions'!$D$22),0,IF(AND('Operating Assumptions'!$D$29="Yes",AZ$11&lt;'Operating Assumptions'!$D$31),0,IF(AZ$33&gt;'Operating Assumptions'!$D$26,'Operating Assumptions'!$D$26,IF(AZ$33='Operating Assumptions'!$D$26,'Operating Assumptions'!$D$26,IF(AND(AZ$33&gt;0,AZ$33&lt;'Operating Assumptions'!$D$26),AZ$33,IF(AZ$33=0,0))))))))</f>
        <v>0</v>
      </c>
      <c r="BA34" s="508">
        <f>IF(AND(BA$11&lt;'Operating Assumptions'!$D$22,'Operating Assumptions'!$D$25=0),0,IF(AND(BA$11&lt;'Operating Assumptions'!$D$22,BA$11='Operating Assumptions'!$D$24,'Operating Assumptions'!$D$25&gt;0),'Operating Assumptions'!$D$25,IF(AND('Operating Assumptions'!$D$29="No",BA$11&lt;'Operating Assumptions'!$D$22),0,IF(AND('Operating Assumptions'!$D$29="Yes",BA$11&lt;'Operating Assumptions'!$D$31),0,IF(BA$33&gt;'Operating Assumptions'!$D$26,'Operating Assumptions'!$D$26,IF(BA$33='Operating Assumptions'!$D$26,'Operating Assumptions'!$D$26,IF(AND(BA$33&gt;0,BA$33&lt;'Operating Assumptions'!$D$26),BA$33,IF(BA$33=0,0))))))))</f>
        <v>0</v>
      </c>
      <c r="BB34" s="508">
        <f>IF(AND(BB$11&lt;'Operating Assumptions'!$D$22,'Operating Assumptions'!$D$25=0),0,IF(AND(BB$11&lt;'Operating Assumptions'!$D$22,BB$11='Operating Assumptions'!$D$24,'Operating Assumptions'!$D$25&gt;0),'Operating Assumptions'!$D$25,IF(AND('Operating Assumptions'!$D$29="No",BB$11&lt;'Operating Assumptions'!$D$22),0,IF(AND('Operating Assumptions'!$D$29="Yes",BB$11&lt;'Operating Assumptions'!$D$31),0,IF(BB$33&gt;'Operating Assumptions'!$D$26,'Operating Assumptions'!$D$26,IF(BB$33='Operating Assumptions'!$D$26,'Operating Assumptions'!$D$26,IF(AND(BB$33&gt;0,BB$33&lt;'Operating Assumptions'!$D$26),BB$33,IF(BB$33=0,0))))))))</f>
        <v>0</v>
      </c>
      <c r="BC34" s="508">
        <f>IF(AND(BC$11&lt;'Operating Assumptions'!$D$22,'Operating Assumptions'!$D$25=0),0,IF(AND(BC$11&lt;'Operating Assumptions'!$D$22,BC$11='Operating Assumptions'!$D$24,'Operating Assumptions'!$D$25&gt;0),'Operating Assumptions'!$D$25,IF(AND('Operating Assumptions'!$D$29="No",BC$11&lt;'Operating Assumptions'!$D$22),0,IF(AND('Operating Assumptions'!$D$29="Yes",BC$11&lt;'Operating Assumptions'!$D$31),0,IF(BC$33&gt;'Operating Assumptions'!$D$26,'Operating Assumptions'!$D$26,IF(BC$33='Operating Assumptions'!$D$26,'Operating Assumptions'!$D$26,IF(AND(BC$33&gt;0,BC$33&lt;'Operating Assumptions'!$D$26),BC$33,IF(BC$33=0,0))))))))</f>
        <v>0</v>
      </c>
      <c r="BD34" s="508">
        <f>IF(AND(BD$11&lt;'Operating Assumptions'!$D$22,'Operating Assumptions'!$D$25=0),0,IF(AND(BD$11&lt;'Operating Assumptions'!$D$22,BD$11='Operating Assumptions'!$D$24,'Operating Assumptions'!$D$25&gt;0),'Operating Assumptions'!$D$25,IF(AND('Operating Assumptions'!$D$29="No",BD$11&lt;'Operating Assumptions'!$D$22),0,IF(AND('Operating Assumptions'!$D$29="Yes",BD$11&lt;'Operating Assumptions'!$D$31),0,IF(BD$33&gt;'Operating Assumptions'!$D$26,'Operating Assumptions'!$D$26,IF(BD$33='Operating Assumptions'!$D$26,'Operating Assumptions'!$D$26,IF(AND(BD$33&gt;0,BD$33&lt;'Operating Assumptions'!$D$26),BD$33,IF(BD$33=0,0))))))))</f>
        <v>0</v>
      </c>
      <c r="BE34" s="508">
        <f>IF(AND(BE$11&lt;'Operating Assumptions'!$D$22,'Operating Assumptions'!$D$25=0),0,IF(AND(BE$11&lt;'Operating Assumptions'!$D$22,BE$11='Operating Assumptions'!$D$24,'Operating Assumptions'!$D$25&gt;0),'Operating Assumptions'!$D$25,IF(AND('Operating Assumptions'!$D$29="No",BE$11&lt;'Operating Assumptions'!$D$22),0,IF(AND('Operating Assumptions'!$D$29="Yes",BE$11&lt;'Operating Assumptions'!$D$31),0,IF(BE$33&gt;'Operating Assumptions'!$D$26,'Operating Assumptions'!$D$26,IF(BE$33='Operating Assumptions'!$D$26,'Operating Assumptions'!$D$26,IF(AND(BE$33&gt;0,BE$33&lt;'Operating Assumptions'!$D$26),BE$33,IF(BE$33=0,0))))))))</f>
        <v>0</v>
      </c>
      <c r="BF34" s="508">
        <f>IF(AND(BF$11&lt;'Operating Assumptions'!$D$22,'Operating Assumptions'!$D$25=0),0,IF(AND(BF$11&lt;'Operating Assumptions'!$D$22,BF$11='Operating Assumptions'!$D$24,'Operating Assumptions'!$D$25&gt;0),'Operating Assumptions'!$D$25,IF(AND('Operating Assumptions'!$D$29="No",BF$11&lt;'Operating Assumptions'!$D$22),0,IF(AND('Operating Assumptions'!$D$29="Yes",BF$11&lt;'Operating Assumptions'!$D$31),0,IF(BF$33&gt;'Operating Assumptions'!$D$26,'Operating Assumptions'!$D$26,IF(BF$33='Operating Assumptions'!$D$26,'Operating Assumptions'!$D$26,IF(AND(BF$33&gt;0,BF$33&lt;'Operating Assumptions'!$D$26),BF$33,IF(BF$33=0,0))))))))</f>
        <v>0</v>
      </c>
      <c r="BG34" s="508">
        <f>IF(AND(BG$11&lt;'Operating Assumptions'!$D$22,'Operating Assumptions'!$D$25=0),0,IF(AND(BG$11&lt;'Operating Assumptions'!$D$22,BG$11='Operating Assumptions'!$D$24,'Operating Assumptions'!$D$25&gt;0),'Operating Assumptions'!$D$25,IF(AND('Operating Assumptions'!$D$29="No",BG$11&lt;'Operating Assumptions'!$D$22),0,IF(AND('Operating Assumptions'!$D$29="Yes",BG$11&lt;'Operating Assumptions'!$D$31),0,IF(BG$33&gt;'Operating Assumptions'!$D$26,'Operating Assumptions'!$D$26,IF(BG$33='Operating Assumptions'!$D$26,'Operating Assumptions'!$D$26,IF(AND(BG$33&gt;0,BG$33&lt;'Operating Assumptions'!$D$26),BG$33,IF(BG$33=0,0))))))))</f>
        <v>0</v>
      </c>
      <c r="BH34" s="508">
        <f>IF(AND(BH$11&lt;'Operating Assumptions'!$D$22,'Operating Assumptions'!$D$25=0),0,IF(AND(BH$11&lt;'Operating Assumptions'!$D$22,BH$11='Operating Assumptions'!$D$24,'Operating Assumptions'!$D$25&gt;0),'Operating Assumptions'!$D$25,IF(AND('Operating Assumptions'!$D$29="No",BH$11&lt;'Operating Assumptions'!$D$22),0,IF(AND('Operating Assumptions'!$D$29="Yes",BH$11&lt;'Operating Assumptions'!$D$31),0,IF(BH$33&gt;'Operating Assumptions'!$D$26,'Operating Assumptions'!$D$26,IF(BH$33='Operating Assumptions'!$D$26,'Operating Assumptions'!$D$26,IF(AND(BH$33&gt;0,BH$33&lt;'Operating Assumptions'!$D$26),BH$33,IF(BH$33=0,0))))))))</f>
        <v>0</v>
      </c>
      <c r="BI34" s="508">
        <f>IF(AND(BI$11&lt;'Operating Assumptions'!$D$22,'Operating Assumptions'!$D$25=0),0,IF(AND(BI$11&lt;'Operating Assumptions'!$D$22,BI$11='Operating Assumptions'!$D$24,'Operating Assumptions'!$D$25&gt;0),'Operating Assumptions'!$D$25,IF(AND('Operating Assumptions'!$D$29="No",BI$11&lt;'Operating Assumptions'!$D$22),0,IF(AND('Operating Assumptions'!$D$29="Yes",BI$11&lt;'Operating Assumptions'!$D$31),0,IF(BI$33&gt;'Operating Assumptions'!$D$26,'Operating Assumptions'!$D$26,IF(BI$33='Operating Assumptions'!$D$26,'Operating Assumptions'!$D$26,IF(AND(BI$33&gt;0,BI$33&lt;'Operating Assumptions'!$D$26),BI$33,IF(BI$33=0,0))))))))</f>
        <v>0</v>
      </c>
      <c r="BJ34" s="508">
        <f>IF(AND(BJ$11&lt;'Operating Assumptions'!$D$22,'Operating Assumptions'!$D$25=0),0,IF(AND(BJ$11&lt;'Operating Assumptions'!$D$22,BJ$11='Operating Assumptions'!$D$24,'Operating Assumptions'!$D$25&gt;0),'Operating Assumptions'!$D$25,IF(AND('Operating Assumptions'!$D$29="No",BJ$11&lt;'Operating Assumptions'!$D$22),0,IF(AND('Operating Assumptions'!$D$29="Yes",BJ$11&lt;'Operating Assumptions'!$D$31),0,IF(BJ$33&gt;'Operating Assumptions'!$D$26,'Operating Assumptions'!$D$26,IF(BJ$33='Operating Assumptions'!$D$26,'Operating Assumptions'!$D$26,IF(AND(BJ$33&gt;0,BJ$33&lt;'Operating Assumptions'!$D$26),BJ$33,IF(BJ$33=0,0))))))))</f>
        <v>0</v>
      </c>
      <c r="BK34" s="508">
        <f>IF(AND(BK$11&lt;'Operating Assumptions'!$D$22,'Operating Assumptions'!$D$25=0),0,IF(AND(BK$11&lt;'Operating Assumptions'!$D$22,BK$11='Operating Assumptions'!$D$24,'Operating Assumptions'!$D$25&gt;0),'Operating Assumptions'!$D$25,IF(AND('Operating Assumptions'!$D$29="No",BK$11&lt;'Operating Assumptions'!$D$22),0,IF(AND('Operating Assumptions'!$D$29="Yes",BK$11&lt;'Operating Assumptions'!$D$31),0,IF(BK$33&gt;'Operating Assumptions'!$D$26,'Operating Assumptions'!$D$26,IF(BK$33='Operating Assumptions'!$D$26,'Operating Assumptions'!$D$26,IF(AND(BK$33&gt;0,BK$33&lt;'Operating Assumptions'!$D$26),BK$33,IF(BK$33=0,0))))))))</f>
        <v>0</v>
      </c>
      <c r="BL34" s="508">
        <f>IF(AND(BL$11&lt;'Operating Assumptions'!$D$22,'Operating Assumptions'!$D$25=0),0,IF(AND(BL$11&lt;'Operating Assumptions'!$D$22,BL$11='Operating Assumptions'!$D$24,'Operating Assumptions'!$D$25&gt;0),'Operating Assumptions'!$D$25,IF(AND('Operating Assumptions'!$D$29="No",BL$11&lt;'Operating Assumptions'!$D$22),0,IF(AND('Operating Assumptions'!$D$29="Yes",BL$11&lt;'Operating Assumptions'!$D$31),0,IF(BL$33&gt;'Operating Assumptions'!$D$26,'Operating Assumptions'!$D$26,IF(BL$33='Operating Assumptions'!$D$26,'Operating Assumptions'!$D$26,IF(AND(BL$33&gt;0,BL$33&lt;'Operating Assumptions'!$D$26),BL$33,IF(BL$33=0,0))))))))</f>
        <v>0</v>
      </c>
      <c r="BM34" s="508">
        <f>IF(AND(BM$11&lt;'Operating Assumptions'!$D$22,'Operating Assumptions'!$D$25=0),0,IF(AND(BM$11&lt;'Operating Assumptions'!$D$22,BM$11='Operating Assumptions'!$D$24,'Operating Assumptions'!$D$25&gt;0),'Operating Assumptions'!$D$25,IF(AND('Operating Assumptions'!$D$29="No",BM$11&lt;'Operating Assumptions'!$D$22),0,IF(AND('Operating Assumptions'!$D$29="Yes",BM$11&lt;'Operating Assumptions'!$D$31),0,IF(BM$33&gt;'Operating Assumptions'!$D$26,'Operating Assumptions'!$D$26,IF(BM$33='Operating Assumptions'!$D$26,'Operating Assumptions'!$D$26,IF(AND(BM$33&gt;0,BM$33&lt;'Operating Assumptions'!$D$26),BM$33,IF(BM$33=0,0))))))))</f>
        <v>0</v>
      </c>
      <c r="BN34" s="508">
        <f>IF(AND(BN$11&lt;'Operating Assumptions'!$D$22,'Operating Assumptions'!$D$25=0),0,IF(AND(BN$11&lt;'Operating Assumptions'!$D$22,BN$11='Operating Assumptions'!$D$24,'Operating Assumptions'!$D$25&gt;0),'Operating Assumptions'!$D$25,IF(AND('Operating Assumptions'!$D$29="No",BN$11&lt;'Operating Assumptions'!$D$22),0,IF(AND('Operating Assumptions'!$D$29="Yes",BN$11&lt;'Operating Assumptions'!$D$31),0,IF(BN$33&gt;'Operating Assumptions'!$D$26,'Operating Assumptions'!$D$26,IF(BN$33='Operating Assumptions'!$D$26,'Operating Assumptions'!$D$26,IF(AND(BN$33&gt;0,BN$33&lt;'Operating Assumptions'!$D$26),BN$33,IF(BN$33=0,0))))))))</f>
        <v>0</v>
      </c>
      <c r="BO34" s="508">
        <f>IF(AND(BO$11&lt;'Operating Assumptions'!$D$22,'Operating Assumptions'!$D$25=0),0,IF(AND(BO$11&lt;'Operating Assumptions'!$D$22,BO$11='Operating Assumptions'!$D$24,'Operating Assumptions'!$D$25&gt;0),'Operating Assumptions'!$D$25,IF(AND('Operating Assumptions'!$D$29="No",BO$11&lt;'Operating Assumptions'!$D$22),0,IF(AND('Operating Assumptions'!$D$29="Yes",BO$11&lt;'Operating Assumptions'!$D$31),0,IF(BO$33&gt;'Operating Assumptions'!$D$26,'Operating Assumptions'!$D$26,IF(BO$33='Operating Assumptions'!$D$26,'Operating Assumptions'!$D$26,IF(AND(BO$33&gt;0,BO$33&lt;'Operating Assumptions'!$D$26),BO$33,IF(BO$33=0,0))))))))</f>
        <v>0</v>
      </c>
      <c r="BP34" s="508">
        <f>IF(AND(BP$11&lt;'Operating Assumptions'!$D$22,'Operating Assumptions'!$D$25=0),0,IF(AND(BP$11&lt;'Operating Assumptions'!$D$22,BP$11='Operating Assumptions'!$D$24,'Operating Assumptions'!$D$25&gt;0),'Operating Assumptions'!$D$25,IF(AND('Operating Assumptions'!$D$29="No",BP$11&lt;'Operating Assumptions'!$D$22),0,IF(AND('Operating Assumptions'!$D$29="Yes",BP$11&lt;'Operating Assumptions'!$D$31),0,IF(BP$33&gt;'Operating Assumptions'!$D$26,'Operating Assumptions'!$D$26,IF(BP$33='Operating Assumptions'!$D$26,'Operating Assumptions'!$D$26,IF(AND(BP$33&gt;0,BP$33&lt;'Operating Assumptions'!$D$26),BP$33,IF(BP$33=0,0))))))))</f>
        <v>0</v>
      </c>
      <c r="BQ34" s="508">
        <f>IF(AND(BQ$11&lt;'Operating Assumptions'!$D$22,'Operating Assumptions'!$D$25=0),0,IF(AND(BQ$11&lt;'Operating Assumptions'!$D$22,BQ$11='Operating Assumptions'!$D$24,'Operating Assumptions'!$D$25&gt;0),'Operating Assumptions'!$D$25,IF(AND('Operating Assumptions'!$D$29="No",BQ$11&lt;'Operating Assumptions'!$D$22),0,IF(AND('Operating Assumptions'!$D$29="Yes",BQ$11&lt;'Operating Assumptions'!$D$31),0,IF(BQ$33&gt;'Operating Assumptions'!$D$26,'Operating Assumptions'!$D$26,IF(BQ$33='Operating Assumptions'!$D$26,'Operating Assumptions'!$D$26,IF(AND(BQ$33&gt;0,BQ$33&lt;'Operating Assumptions'!$D$26),BQ$33,IF(BQ$33=0,0))))))))</f>
        <v>0</v>
      </c>
      <c r="BR34" s="508">
        <f>IF(AND(BR$11&lt;'Operating Assumptions'!$D$22,'Operating Assumptions'!$D$25=0),0,IF(AND(BR$11&lt;'Operating Assumptions'!$D$22,BR$11='Operating Assumptions'!$D$24,'Operating Assumptions'!$D$25&gt;0),'Operating Assumptions'!$D$25,IF(AND('Operating Assumptions'!$D$29="No",BR$11&lt;'Operating Assumptions'!$D$22),0,IF(AND('Operating Assumptions'!$D$29="Yes",BR$11&lt;'Operating Assumptions'!$D$31),0,IF(BR$33&gt;'Operating Assumptions'!$D$26,'Operating Assumptions'!$D$26,IF(BR$33='Operating Assumptions'!$D$26,'Operating Assumptions'!$D$26,IF(AND(BR$33&gt;0,BR$33&lt;'Operating Assumptions'!$D$26),BR$33,IF(BR$33=0,0))))))))</f>
        <v>0</v>
      </c>
      <c r="BS34" s="508">
        <f>IF(AND(BS$11&lt;'Operating Assumptions'!$D$22,'Operating Assumptions'!$D$25=0),0,IF(AND(BS$11&lt;'Operating Assumptions'!$D$22,BS$11='Operating Assumptions'!$D$24,'Operating Assumptions'!$D$25&gt;0),'Operating Assumptions'!$D$25,IF(AND('Operating Assumptions'!$D$29="No",BS$11&lt;'Operating Assumptions'!$D$22),0,IF(AND('Operating Assumptions'!$D$29="Yes",BS$11&lt;'Operating Assumptions'!$D$31),0,IF(BS$33&gt;'Operating Assumptions'!$D$26,'Operating Assumptions'!$D$26,IF(BS$33='Operating Assumptions'!$D$26,'Operating Assumptions'!$D$26,IF(AND(BS$33&gt;0,BS$33&lt;'Operating Assumptions'!$D$26),BS$33,IF(BS$33=0,0))))))))</f>
        <v>0</v>
      </c>
      <c r="BT34" s="508">
        <f>IF(AND(BT$11&lt;'Operating Assumptions'!$D$22,'Operating Assumptions'!$D$25=0),0,IF(AND(BT$11&lt;'Operating Assumptions'!$D$22,BT$11='Operating Assumptions'!$D$24,'Operating Assumptions'!$D$25&gt;0),'Operating Assumptions'!$D$25,IF(AND('Operating Assumptions'!$D$29="No",BT$11&lt;'Operating Assumptions'!$D$22),0,IF(AND('Operating Assumptions'!$D$29="Yes",BT$11&lt;'Operating Assumptions'!$D$31),0,IF(BT$33&gt;'Operating Assumptions'!$D$26,'Operating Assumptions'!$D$26,IF(BT$33='Operating Assumptions'!$D$26,'Operating Assumptions'!$D$26,IF(AND(BT$33&gt;0,BT$33&lt;'Operating Assumptions'!$D$26),BT$33,IF(BT$33=0,0))))))))</f>
        <v>0</v>
      </c>
      <c r="BU34" s="508">
        <f>IF(AND(BU$11&lt;'Operating Assumptions'!$D$22,'Operating Assumptions'!$D$25=0),0,IF(AND(BU$11&lt;'Operating Assumptions'!$D$22,BU$11='Operating Assumptions'!$D$24,'Operating Assumptions'!$D$25&gt;0),'Operating Assumptions'!$D$25,IF(AND('Operating Assumptions'!$D$29="No",BU$11&lt;'Operating Assumptions'!$D$22),0,IF(AND('Operating Assumptions'!$D$29="Yes",BU$11&lt;'Operating Assumptions'!$D$31),0,IF(BU$33&gt;'Operating Assumptions'!$D$26,'Operating Assumptions'!$D$26,IF(BU$33='Operating Assumptions'!$D$26,'Operating Assumptions'!$D$26,IF(AND(BU$33&gt;0,BU$33&lt;'Operating Assumptions'!$D$26),BU$33,IF(BU$33=0,0))))))))</f>
        <v>0</v>
      </c>
      <c r="BV34" s="508">
        <f>IF(AND(BV$11&lt;'Operating Assumptions'!$D$22,'Operating Assumptions'!$D$25=0),0,IF(AND(BV$11&lt;'Operating Assumptions'!$D$22,BV$11='Operating Assumptions'!$D$24,'Operating Assumptions'!$D$25&gt;0),'Operating Assumptions'!$D$25,IF(AND('Operating Assumptions'!$D$29="No",BV$11&lt;'Operating Assumptions'!$D$22),0,IF(AND('Operating Assumptions'!$D$29="Yes",BV$11&lt;'Operating Assumptions'!$D$31),0,IF(BV$33&gt;'Operating Assumptions'!$D$26,'Operating Assumptions'!$D$26,IF(BV$33='Operating Assumptions'!$D$26,'Operating Assumptions'!$D$26,IF(AND(BV$33&gt;0,BV$33&lt;'Operating Assumptions'!$D$26),BV$33,IF(BV$33=0,0))))))))</f>
        <v>0</v>
      </c>
      <c r="BW34" s="508">
        <f>IF(AND(BW$11&lt;'Operating Assumptions'!$D$22,'Operating Assumptions'!$D$25=0),0,IF(AND(BW$11&lt;'Operating Assumptions'!$D$22,BW$11='Operating Assumptions'!$D$24,'Operating Assumptions'!$D$25&gt;0),'Operating Assumptions'!$D$25,IF(AND('Operating Assumptions'!$D$29="No",BW$11&lt;'Operating Assumptions'!$D$22),0,IF(AND('Operating Assumptions'!$D$29="Yes",BW$11&lt;'Operating Assumptions'!$D$31),0,IF(BW$33&gt;'Operating Assumptions'!$D$26,'Operating Assumptions'!$D$26,IF(BW$33='Operating Assumptions'!$D$26,'Operating Assumptions'!$D$26,IF(AND(BW$33&gt;0,BW$33&lt;'Operating Assumptions'!$D$26),BW$33,IF(BW$33=0,0))))))))</f>
        <v>0</v>
      </c>
      <c r="BX34" s="508">
        <f>IF(AND(BX$11&lt;'Operating Assumptions'!$D$22,'Operating Assumptions'!$D$25=0),0,IF(AND(BX$11&lt;'Operating Assumptions'!$D$22,BX$11='Operating Assumptions'!$D$24,'Operating Assumptions'!$D$25&gt;0),'Operating Assumptions'!$D$25,IF(AND('Operating Assumptions'!$D$29="No",BX$11&lt;'Operating Assumptions'!$D$22),0,IF(AND('Operating Assumptions'!$D$29="Yes",BX$11&lt;'Operating Assumptions'!$D$31),0,IF(BX$33&gt;'Operating Assumptions'!$D$26,'Operating Assumptions'!$D$26,IF(BX$33='Operating Assumptions'!$D$26,'Operating Assumptions'!$D$26,IF(AND(BX$33&gt;0,BX$33&lt;'Operating Assumptions'!$D$26),BX$33,IF(BX$33=0,0))))))))</f>
        <v>0</v>
      </c>
      <c r="BY34" s="508">
        <f>IF(AND(BY$11&lt;'Operating Assumptions'!$D$22,'Operating Assumptions'!$D$25=0),0,IF(AND(BY$11&lt;'Operating Assumptions'!$D$22,BY$11='Operating Assumptions'!$D$24,'Operating Assumptions'!$D$25&gt;0),'Operating Assumptions'!$D$25,IF(AND('Operating Assumptions'!$D$29="No",BY$11&lt;'Operating Assumptions'!$D$22),0,IF(AND('Operating Assumptions'!$D$29="Yes",BY$11&lt;'Operating Assumptions'!$D$31),0,IF(BY$33&gt;'Operating Assumptions'!$D$26,'Operating Assumptions'!$D$26,IF(BY$33='Operating Assumptions'!$D$26,'Operating Assumptions'!$D$26,IF(AND(BY$33&gt;0,BY$33&lt;'Operating Assumptions'!$D$26),BY$33,IF(BY$33=0,0))))))))</f>
        <v>0</v>
      </c>
      <c r="BZ34" s="508">
        <f>IF(AND(BZ$11&lt;'Operating Assumptions'!$D$22,'Operating Assumptions'!$D$25=0),0,IF(AND(BZ$11&lt;'Operating Assumptions'!$D$22,BZ$11='Operating Assumptions'!$D$24,'Operating Assumptions'!$D$25&gt;0),'Operating Assumptions'!$D$25,IF(AND('Operating Assumptions'!$D$29="No",BZ$11&lt;'Operating Assumptions'!$D$22),0,IF(AND('Operating Assumptions'!$D$29="Yes",BZ$11&lt;'Operating Assumptions'!$D$31),0,IF(BZ$33&gt;'Operating Assumptions'!$D$26,'Operating Assumptions'!$D$26,IF(BZ$33='Operating Assumptions'!$D$26,'Operating Assumptions'!$D$26,IF(AND(BZ$33&gt;0,BZ$33&lt;'Operating Assumptions'!$D$26),BZ$33,IF(BZ$33=0,0))))))))</f>
        <v>0</v>
      </c>
      <c r="CA34" s="508">
        <f>IF(AND(CA$11&lt;'Operating Assumptions'!$D$22,'Operating Assumptions'!$D$25=0),0,IF(AND(CA$11&lt;'Operating Assumptions'!$D$22,CA$11='Operating Assumptions'!$D$24,'Operating Assumptions'!$D$25&gt;0),'Operating Assumptions'!$D$25,IF(AND('Operating Assumptions'!$D$29="No",CA$11&lt;'Operating Assumptions'!$D$22),0,IF(AND('Operating Assumptions'!$D$29="Yes",CA$11&lt;'Operating Assumptions'!$D$31),0,IF(CA$33&gt;'Operating Assumptions'!$D$26,'Operating Assumptions'!$D$26,IF(CA$33='Operating Assumptions'!$D$26,'Operating Assumptions'!$D$26,IF(AND(CA$33&gt;0,CA$33&lt;'Operating Assumptions'!$D$26),CA$33,IF(CA$33=0,0))))))))</f>
        <v>0</v>
      </c>
      <c r="CB34" s="508">
        <f>IF(AND(CB$11&lt;'Operating Assumptions'!$D$22,'Operating Assumptions'!$D$25=0),0,IF(AND(CB$11&lt;'Operating Assumptions'!$D$22,CB$11='Operating Assumptions'!$D$24,'Operating Assumptions'!$D$25&gt;0),'Operating Assumptions'!$D$25,IF(AND('Operating Assumptions'!$D$29="No",CB$11&lt;'Operating Assumptions'!$D$22),0,IF(AND('Operating Assumptions'!$D$29="Yes",CB$11&lt;'Operating Assumptions'!$D$31),0,IF(CB$33&gt;'Operating Assumptions'!$D$26,'Operating Assumptions'!$D$26,IF(CB$33='Operating Assumptions'!$D$26,'Operating Assumptions'!$D$26,IF(AND(CB$33&gt;0,CB$33&lt;'Operating Assumptions'!$D$26),CB$33,IF(CB$33=0,0))))))))</f>
        <v>0</v>
      </c>
      <c r="CC34" s="508">
        <f>IF(AND(CC$11&lt;'Operating Assumptions'!$D$22,'Operating Assumptions'!$D$25=0),0,IF(AND(CC$11&lt;'Operating Assumptions'!$D$22,CC$11='Operating Assumptions'!$D$24,'Operating Assumptions'!$D$25&gt;0),'Operating Assumptions'!$D$25,IF(AND('Operating Assumptions'!$D$29="No",CC$11&lt;'Operating Assumptions'!$D$22),0,IF(AND('Operating Assumptions'!$D$29="Yes",CC$11&lt;'Operating Assumptions'!$D$31),0,IF(CC$33&gt;'Operating Assumptions'!$D$26,'Operating Assumptions'!$D$26,IF(CC$33='Operating Assumptions'!$D$26,'Operating Assumptions'!$D$26,IF(AND(CC$33&gt;0,CC$33&lt;'Operating Assumptions'!$D$26),CC$33,IF(CC$33=0,0))))))))</f>
        <v>0</v>
      </c>
      <c r="CD34" s="508">
        <f>IF(AND(CD$11&lt;'Operating Assumptions'!$D$22,'Operating Assumptions'!$D$25=0),0,IF(AND(CD$11&lt;'Operating Assumptions'!$D$22,CD$11='Operating Assumptions'!$D$24,'Operating Assumptions'!$D$25&gt;0),'Operating Assumptions'!$D$25,IF(AND('Operating Assumptions'!$D$29="No",CD$11&lt;'Operating Assumptions'!$D$22),0,IF(AND('Operating Assumptions'!$D$29="Yes",CD$11&lt;'Operating Assumptions'!$D$31),0,IF(CD$33&gt;'Operating Assumptions'!$D$26,'Operating Assumptions'!$D$26,IF(CD$33='Operating Assumptions'!$D$26,'Operating Assumptions'!$D$26,IF(AND(CD$33&gt;0,CD$33&lt;'Operating Assumptions'!$D$26),CD$33,IF(CD$33=0,0))))))))</f>
        <v>0</v>
      </c>
      <c r="CE34" s="508">
        <f>IF(AND(CE$11&lt;'Operating Assumptions'!$D$22,'Operating Assumptions'!$D$25=0),0,IF(AND(CE$11&lt;'Operating Assumptions'!$D$22,CE$11='Operating Assumptions'!$D$24,'Operating Assumptions'!$D$25&gt;0),'Operating Assumptions'!$D$25,IF(AND('Operating Assumptions'!$D$29="No",CE$11&lt;'Operating Assumptions'!$D$22),0,IF(AND('Operating Assumptions'!$D$29="Yes",CE$11&lt;'Operating Assumptions'!$D$31),0,IF(CE$33&gt;'Operating Assumptions'!$D$26,'Operating Assumptions'!$D$26,IF(CE$33='Operating Assumptions'!$D$26,'Operating Assumptions'!$D$26,IF(AND(CE$33&gt;0,CE$33&lt;'Operating Assumptions'!$D$26),CE$33,IF(CE$33=0,0))))))))</f>
        <v>0</v>
      </c>
      <c r="CF34" s="508">
        <f>IF(AND(CF$11&lt;'Operating Assumptions'!$D$22,'Operating Assumptions'!$D$25=0),0,IF(AND(CF$11&lt;'Operating Assumptions'!$D$22,CF$11='Operating Assumptions'!$D$24,'Operating Assumptions'!$D$25&gt;0),'Operating Assumptions'!$D$25,IF(AND('Operating Assumptions'!$D$29="No",CF$11&lt;'Operating Assumptions'!$D$22),0,IF(AND('Operating Assumptions'!$D$29="Yes",CF$11&lt;'Operating Assumptions'!$D$31),0,IF(CF$33&gt;'Operating Assumptions'!$D$26,'Operating Assumptions'!$D$26,IF(CF$33='Operating Assumptions'!$D$26,'Operating Assumptions'!$D$26,IF(AND(CF$33&gt;0,CF$33&lt;'Operating Assumptions'!$D$26),CF$33,IF(CF$33=0,0))))))))</f>
        <v>0</v>
      </c>
      <c r="CG34" s="508">
        <f>IF(AND(CG$11&lt;'Operating Assumptions'!$D$22,'Operating Assumptions'!$D$25=0),0,IF(AND(CG$11&lt;'Operating Assumptions'!$D$22,CG$11='Operating Assumptions'!$D$24,'Operating Assumptions'!$D$25&gt;0),'Operating Assumptions'!$D$25,IF(AND('Operating Assumptions'!$D$29="No",CG$11&lt;'Operating Assumptions'!$D$22),0,IF(AND('Operating Assumptions'!$D$29="Yes",CG$11&lt;'Operating Assumptions'!$D$31),0,IF(CG$33&gt;'Operating Assumptions'!$D$26,'Operating Assumptions'!$D$26,IF(CG$33='Operating Assumptions'!$D$26,'Operating Assumptions'!$D$26,IF(AND(CG$33&gt;0,CG$33&lt;'Operating Assumptions'!$D$26),CG$33,IF(CG$33=0,0))))))))</f>
        <v>0</v>
      </c>
      <c r="CH34" s="508">
        <f>IF(AND(CH$11&lt;'Operating Assumptions'!$D$22,'Operating Assumptions'!$D$25=0),0,IF(AND(CH$11&lt;'Operating Assumptions'!$D$22,CH$11='Operating Assumptions'!$D$24,'Operating Assumptions'!$D$25&gt;0),'Operating Assumptions'!$D$25,IF(AND('Operating Assumptions'!$D$29="No",CH$11&lt;'Operating Assumptions'!$D$22),0,IF(AND('Operating Assumptions'!$D$29="Yes",CH$11&lt;'Operating Assumptions'!$D$31),0,IF(CH$33&gt;'Operating Assumptions'!$D$26,'Operating Assumptions'!$D$26,IF(CH$33='Operating Assumptions'!$D$26,'Operating Assumptions'!$D$26,IF(AND(CH$33&gt;0,CH$33&lt;'Operating Assumptions'!$D$26),CH$33,IF(CH$33=0,0))))))))</f>
        <v>0</v>
      </c>
      <c r="CI34" s="508">
        <f>IF(AND(CI$11&lt;'Operating Assumptions'!$D$22,'Operating Assumptions'!$D$25=0),0,IF(AND(CI$11&lt;'Operating Assumptions'!$D$22,CI$11='Operating Assumptions'!$D$24,'Operating Assumptions'!$D$25&gt;0),'Operating Assumptions'!$D$25,IF(AND('Operating Assumptions'!$D$29="No",CI$11&lt;'Operating Assumptions'!$D$22),0,IF(AND('Operating Assumptions'!$D$29="Yes",CI$11&lt;'Operating Assumptions'!$D$31),0,IF(CI$33&gt;'Operating Assumptions'!$D$26,'Operating Assumptions'!$D$26,IF(CI$33='Operating Assumptions'!$D$26,'Operating Assumptions'!$D$26,IF(AND(CI$33&gt;0,CI$33&lt;'Operating Assumptions'!$D$26),CI$33,IF(CI$33=0,0))))))))</f>
        <v>0</v>
      </c>
      <c r="CJ34" s="508">
        <f>IF(AND(CJ$11&lt;'Operating Assumptions'!$D$22,'Operating Assumptions'!$D$25=0),0,IF(AND(CJ$11&lt;'Operating Assumptions'!$D$22,CJ$11='Operating Assumptions'!$D$24,'Operating Assumptions'!$D$25&gt;0),'Operating Assumptions'!$D$25,IF(AND('Operating Assumptions'!$D$29="No",CJ$11&lt;'Operating Assumptions'!$D$22),0,IF(AND('Operating Assumptions'!$D$29="Yes",CJ$11&lt;'Operating Assumptions'!$D$31),0,IF(CJ$33&gt;'Operating Assumptions'!$D$26,'Operating Assumptions'!$D$26,IF(CJ$33='Operating Assumptions'!$D$26,'Operating Assumptions'!$D$26,IF(AND(CJ$33&gt;0,CJ$33&lt;'Operating Assumptions'!$D$26),CJ$33,IF(CJ$33=0,0))))))))</f>
        <v>0</v>
      </c>
      <c r="CK34" s="508">
        <f>IF(AND(CK$11&lt;'Operating Assumptions'!$D$22,'Operating Assumptions'!$D$25=0),0,IF(AND(CK$11&lt;'Operating Assumptions'!$D$22,CK$11='Operating Assumptions'!$D$24,'Operating Assumptions'!$D$25&gt;0),'Operating Assumptions'!$D$25,IF(AND('Operating Assumptions'!$D$29="No",CK$11&lt;'Operating Assumptions'!$D$22),0,IF(AND('Operating Assumptions'!$D$29="Yes",CK$11&lt;'Operating Assumptions'!$D$31),0,IF(CK$33&gt;'Operating Assumptions'!$D$26,'Operating Assumptions'!$D$26,IF(CK$33='Operating Assumptions'!$D$26,'Operating Assumptions'!$D$26,IF(AND(CK$33&gt;0,CK$33&lt;'Operating Assumptions'!$D$26),CK$33,IF(CK$33=0,0))))))))</f>
        <v>0</v>
      </c>
      <c r="CL34" s="508">
        <f>IF(AND(CL$11&lt;'Operating Assumptions'!$D$22,'Operating Assumptions'!$D$25=0),0,IF(AND(CL$11&lt;'Operating Assumptions'!$D$22,CL$11='Operating Assumptions'!$D$24,'Operating Assumptions'!$D$25&gt;0),'Operating Assumptions'!$D$25,IF(AND('Operating Assumptions'!$D$29="No",CL$11&lt;'Operating Assumptions'!$D$22),0,IF(AND('Operating Assumptions'!$D$29="Yes",CL$11&lt;'Operating Assumptions'!$D$31),0,IF(CL$33&gt;'Operating Assumptions'!$D$26,'Operating Assumptions'!$D$26,IF(CL$33='Operating Assumptions'!$D$26,'Operating Assumptions'!$D$26,IF(AND(CL$33&gt;0,CL$33&lt;'Operating Assumptions'!$D$26),CL$33,IF(CL$33=0,0))))))))</f>
        <v>0</v>
      </c>
      <c r="CM34" s="508">
        <f>IF(AND(CM$11&lt;'Operating Assumptions'!$D$22,'Operating Assumptions'!$D$25=0),0,IF(AND(CM$11&lt;'Operating Assumptions'!$D$22,CM$11='Operating Assumptions'!$D$24,'Operating Assumptions'!$D$25&gt;0),'Operating Assumptions'!$D$25,IF(AND('Operating Assumptions'!$D$29="No",CM$11&lt;'Operating Assumptions'!$D$22),0,IF(AND('Operating Assumptions'!$D$29="Yes",CM$11&lt;'Operating Assumptions'!$D$31),0,IF(CM$33&gt;'Operating Assumptions'!$D$26,'Operating Assumptions'!$D$26,IF(CM$33='Operating Assumptions'!$D$26,'Operating Assumptions'!$D$26,IF(AND(CM$33&gt;0,CM$33&lt;'Operating Assumptions'!$D$26),CM$33,IF(CM$33=0,0))))))))</f>
        <v>0</v>
      </c>
      <c r="CN34" s="508">
        <f>IF(AND(CN$11&lt;'Operating Assumptions'!$D$22,'Operating Assumptions'!$D$25=0),0,IF(AND(CN$11&lt;'Operating Assumptions'!$D$22,CN$11='Operating Assumptions'!$D$24,'Operating Assumptions'!$D$25&gt;0),'Operating Assumptions'!$D$25,IF(AND('Operating Assumptions'!$D$29="No",CN$11&lt;'Operating Assumptions'!$D$22),0,IF(AND('Operating Assumptions'!$D$29="Yes",CN$11&lt;'Operating Assumptions'!$D$31),0,IF(CN$33&gt;'Operating Assumptions'!$D$26,'Operating Assumptions'!$D$26,IF(CN$33='Operating Assumptions'!$D$26,'Operating Assumptions'!$D$26,IF(AND(CN$33&gt;0,CN$33&lt;'Operating Assumptions'!$D$26),CN$33,IF(CN$33=0,0))))))))</f>
        <v>0</v>
      </c>
      <c r="CO34" s="508">
        <f>IF(AND(CO$11&lt;'Operating Assumptions'!$D$22,'Operating Assumptions'!$D$25=0),0,IF(AND(CO$11&lt;'Operating Assumptions'!$D$22,CO$11='Operating Assumptions'!$D$24,'Operating Assumptions'!$D$25&gt;0),'Operating Assumptions'!$D$25,IF(AND('Operating Assumptions'!$D$29="No",CO$11&lt;'Operating Assumptions'!$D$22),0,IF(AND('Operating Assumptions'!$D$29="Yes",CO$11&lt;'Operating Assumptions'!$D$31),0,IF(CO$33&gt;'Operating Assumptions'!$D$26,'Operating Assumptions'!$D$26,IF(CO$33='Operating Assumptions'!$D$26,'Operating Assumptions'!$D$26,IF(AND(CO$33&gt;0,CO$33&lt;'Operating Assumptions'!$D$26),CO$33,IF(CO$33=0,0))))))))</f>
        <v>0</v>
      </c>
      <c r="CP34" s="508">
        <f>IF(AND(CP$11&lt;'Operating Assumptions'!$D$22,'Operating Assumptions'!$D$25=0),0,IF(AND(CP$11&lt;'Operating Assumptions'!$D$22,CP$11='Operating Assumptions'!$D$24,'Operating Assumptions'!$D$25&gt;0),'Operating Assumptions'!$D$25,IF(AND('Operating Assumptions'!$D$29="No",CP$11&lt;'Operating Assumptions'!$D$22),0,IF(AND('Operating Assumptions'!$D$29="Yes",CP$11&lt;'Operating Assumptions'!$D$31),0,IF(CP$33&gt;'Operating Assumptions'!$D$26,'Operating Assumptions'!$D$26,IF(CP$33='Operating Assumptions'!$D$26,'Operating Assumptions'!$D$26,IF(AND(CP$33&gt;0,CP$33&lt;'Operating Assumptions'!$D$26),CP$33,IF(CP$33=0,0))))))))</f>
        <v>0</v>
      </c>
      <c r="CQ34" s="508">
        <f>IF(AND(CQ$11&lt;'Operating Assumptions'!$D$22,'Operating Assumptions'!$D$25=0),0,IF(AND(CQ$11&lt;'Operating Assumptions'!$D$22,CQ$11='Operating Assumptions'!$D$24,'Operating Assumptions'!$D$25&gt;0),'Operating Assumptions'!$D$25,IF(AND('Operating Assumptions'!$D$29="No",CQ$11&lt;'Operating Assumptions'!$D$22),0,IF(AND('Operating Assumptions'!$D$29="Yes",CQ$11&lt;'Operating Assumptions'!$D$31),0,IF(CQ$33&gt;'Operating Assumptions'!$D$26,'Operating Assumptions'!$D$26,IF(CQ$33='Operating Assumptions'!$D$26,'Operating Assumptions'!$D$26,IF(AND(CQ$33&gt;0,CQ$33&lt;'Operating Assumptions'!$D$26),CQ$33,IF(CQ$33=0,0))))))))</f>
        <v>0</v>
      </c>
      <c r="CR34" s="508">
        <f>IF(AND(CR$11&lt;'Operating Assumptions'!$D$22,'Operating Assumptions'!$D$25=0),0,IF(AND(CR$11&lt;'Operating Assumptions'!$D$22,CR$11='Operating Assumptions'!$D$24,'Operating Assumptions'!$D$25&gt;0),'Operating Assumptions'!$D$25,IF(AND('Operating Assumptions'!$D$29="No",CR$11&lt;'Operating Assumptions'!$D$22),0,IF(AND('Operating Assumptions'!$D$29="Yes",CR$11&lt;'Operating Assumptions'!$D$31),0,IF(CR$33&gt;'Operating Assumptions'!$D$26,'Operating Assumptions'!$D$26,IF(CR$33='Operating Assumptions'!$D$26,'Operating Assumptions'!$D$26,IF(AND(CR$33&gt;0,CR$33&lt;'Operating Assumptions'!$D$26),CR$33,IF(CR$33=0,0))))))))</f>
        <v>0</v>
      </c>
      <c r="CS34" s="508">
        <f>IF(AND(CS$11&lt;'Operating Assumptions'!$D$22,'Operating Assumptions'!$D$25=0),0,IF(AND(CS$11&lt;'Operating Assumptions'!$D$22,CS$11='Operating Assumptions'!$D$24,'Operating Assumptions'!$D$25&gt;0),'Operating Assumptions'!$D$25,IF(AND('Operating Assumptions'!$D$29="No",CS$11&lt;'Operating Assumptions'!$D$22),0,IF(AND('Operating Assumptions'!$D$29="Yes",CS$11&lt;'Operating Assumptions'!$D$31),0,IF(CS$33&gt;'Operating Assumptions'!$D$26,'Operating Assumptions'!$D$26,IF(CS$33='Operating Assumptions'!$D$26,'Operating Assumptions'!$D$26,IF(AND(CS$33&gt;0,CS$33&lt;'Operating Assumptions'!$D$26),CS$33,IF(CS$33=0,0))))))))</f>
        <v>0</v>
      </c>
      <c r="CT34" s="508">
        <f>IF(AND(CT$11&lt;'Operating Assumptions'!$D$22,'Operating Assumptions'!$D$25=0),0,IF(AND(CT$11&lt;'Operating Assumptions'!$D$22,CT$11='Operating Assumptions'!$D$24,'Operating Assumptions'!$D$25&gt;0),'Operating Assumptions'!$D$25,IF(AND('Operating Assumptions'!$D$29="No",CT$11&lt;'Operating Assumptions'!$D$22),0,IF(AND('Operating Assumptions'!$D$29="Yes",CT$11&lt;'Operating Assumptions'!$D$31),0,IF(CT$33&gt;'Operating Assumptions'!$D$26,'Operating Assumptions'!$D$26,IF(CT$33='Operating Assumptions'!$D$26,'Operating Assumptions'!$D$26,IF(AND(CT$33&gt;0,CT$33&lt;'Operating Assumptions'!$D$26),CT$33,IF(CT$33=0,0))))))))</f>
        <v>0</v>
      </c>
      <c r="CU34" s="508">
        <f>IF(AND(CU$11&lt;'Operating Assumptions'!$D$22,'Operating Assumptions'!$D$25=0),0,IF(AND(CU$11&lt;'Operating Assumptions'!$D$22,CU$11='Operating Assumptions'!$D$24,'Operating Assumptions'!$D$25&gt;0),'Operating Assumptions'!$D$25,IF(AND('Operating Assumptions'!$D$29="No",CU$11&lt;'Operating Assumptions'!$D$22),0,IF(AND('Operating Assumptions'!$D$29="Yes",CU$11&lt;'Operating Assumptions'!$D$31),0,IF(CU$33&gt;'Operating Assumptions'!$D$26,'Operating Assumptions'!$D$26,IF(CU$33='Operating Assumptions'!$D$26,'Operating Assumptions'!$D$26,IF(AND(CU$33&gt;0,CU$33&lt;'Operating Assumptions'!$D$26),CU$33,IF(CU$33=0,0))))))))</f>
        <v>0</v>
      </c>
      <c r="CV34" s="508">
        <f>IF(AND(CV$11&lt;'Operating Assumptions'!$D$22,'Operating Assumptions'!$D$25=0),0,IF(AND(CV$11&lt;'Operating Assumptions'!$D$22,CV$11='Operating Assumptions'!$D$24,'Operating Assumptions'!$D$25&gt;0),'Operating Assumptions'!$D$25,IF(AND('Operating Assumptions'!$D$29="No",CV$11&lt;'Operating Assumptions'!$D$22),0,IF(AND('Operating Assumptions'!$D$29="Yes",CV$11&lt;'Operating Assumptions'!$D$31),0,IF(CV$33&gt;'Operating Assumptions'!$D$26,'Operating Assumptions'!$D$26,IF(CV$33='Operating Assumptions'!$D$26,'Operating Assumptions'!$D$26,IF(AND(CV$33&gt;0,CV$33&lt;'Operating Assumptions'!$D$26),CV$33,IF(CV$33=0,0))))))))</f>
        <v>0</v>
      </c>
      <c r="CW34" s="508">
        <f>IF(AND(CW$11&lt;'Operating Assumptions'!$D$22,'Operating Assumptions'!$D$25=0),0,IF(AND(CW$11&lt;'Operating Assumptions'!$D$22,CW$11='Operating Assumptions'!$D$24,'Operating Assumptions'!$D$25&gt;0),'Operating Assumptions'!$D$25,IF(AND('Operating Assumptions'!$D$29="No",CW$11&lt;'Operating Assumptions'!$D$22),0,IF(AND('Operating Assumptions'!$D$29="Yes",CW$11&lt;'Operating Assumptions'!$D$31),0,IF(CW$33&gt;'Operating Assumptions'!$D$26,'Operating Assumptions'!$D$26,IF(CW$33='Operating Assumptions'!$D$26,'Operating Assumptions'!$D$26,IF(AND(CW$33&gt;0,CW$33&lt;'Operating Assumptions'!$D$26),CW$33,IF(CW$33=0,0))))))))</f>
        <v>0</v>
      </c>
      <c r="CX34" s="508">
        <f>IF(AND(CX$11&lt;'Operating Assumptions'!$D$22,'Operating Assumptions'!$D$25=0),0,IF(AND(CX$11&lt;'Operating Assumptions'!$D$22,CX$11='Operating Assumptions'!$D$24,'Operating Assumptions'!$D$25&gt;0),'Operating Assumptions'!$D$25,IF(AND('Operating Assumptions'!$D$29="No",CX$11&lt;'Operating Assumptions'!$D$22),0,IF(AND('Operating Assumptions'!$D$29="Yes",CX$11&lt;'Operating Assumptions'!$D$31),0,IF(CX$33&gt;'Operating Assumptions'!$D$26,'Operating Assumptions'!$D$26,IF(CX$33='Operating Assumptions'!$D$26,'Operating Assumptions'!$D$26,IF(AND(CX$33&gt;0,CX$33&lt;'Operating Assumptions'!$D$26),CX$33,IF(CX$33=0,0))))))))</f>
        <v>0</v>
      </c>
      <c r="CY34" s="508">
        <f>IF(AND(CY$11&lt;'Operating Assumptions'!$D$22,'Operating Assumptions'!$D$25=0),0,IF(AND(CY$11&lt;'Operating Assumptions'!$D$22,CY$11='Operating Assumptions'!$D$24,'Operating Assumptions'!$D$25&gt;0),'Operating Assumptions'!$D$25,IF(AND('Operating Assumptions'!$D$29="No",CY$11&lt;'Operating Assumptions'!$D$22),0,IF(AND('Operating Assumptions'!$D$29="Yes",CY$11&lt;'Operating Assumptions'!$D$31),0,IF(CY$33&gt;'Operating Assumptions'!$D$26,'Operating Assumptions'!$D$26,IF(CY$33='Operating Assumptions'!$D$26,'Operating Assumptions'!$D$26,IF(AND(CY$33&gt;0,CY$33&lt;'Operating Assumptions'!$D$26),CY$33,IF(CY$33=0,0))))))))</f>
        <v>0</v>
      </c>
      <c r="CZ34" s="508">
        <f>IF(AND(CZ$11&lt;'Operating Assumptions'!$D$22,'Operating Assumptions'!$D$25=0),0,IF(AND(CZ$11&lt;'Operating Assumptions'!$D$22,CZ$11='Operating Assumptions'!$D$24,'Operating Assumptions'!$D$25&gt;0),'Operating Assumptions'!$D$25,IF(AND('Operating Assumptions'!$D$29="No",CZ$11&lt;'Operating Assumptions'!$D$22),0,IF(AND('Operating Assumptions'!$D$29="Yes",CZ$11&lt;'Operating Assumptions'!$D$31),0,IF(CZ$33&gt;'Operating Assumptions'!$D$26,'Operating Assumptions'!$D$26,IF(CZ$33='Operating Assumptions'!$D$26,'Operating Assumptions'!$D$26,IF(AND(CZ$33&gt;0,CZ$33&lt;'Operating Assumptions'!$D$26),CZ$33,IF(CZ$33=0,0))))))))</f>
        <v>0</v>
      </c>
      <c r="DA34" s="508">
        <f>IF(AND(DA$11&lt;'Operating Assumptions'!$D$22,'Operating Assumptions'!$D$25=0),0,IF(AND(DA$11&lt;'Operating Assumptions'!$D$22,DA$11='Operating Assumptions'!$D$24,'Operating Assumptions'!$D$25&gt;0),'Operating Assumptions'!$D$25,IF(AND('Operating Assumptions'!$D$29="No",DA$11&lt;'Operating Assumptions'!$D$22),0,IF(AND('Operating Assumptions'!$D$29="Yes",DA$11&lt;'Operating Assumptions'!$D$31),0,IF(DA$33&gt;'Operating Assumptions'!$D$26,'Operating Assumptions'!$D$26,IF(DA$33='Operating Assumptions'!$D$26,'Operating Assumptions'!$D$26,IF(AND(DA$33&gt;0,DA$33&lt;'Operating Assumptions'!$D$26),DA$33,IF(DA$33=0,0))))))))</f>
        <v>0</v>
      </c>
      <c r="DB34" s="508">
        <f>IF(AND(DB$11&lt;'Operating Assumptions'!$D$22,'Operating Assumptions'!$D$25=0),0,IF(AND(DB$11&lt;'Operating Assumptions'!$D$22,DB$11='Operating Assumptions'!$D$24,'Operating Assumptions'!$D$25&gt;0),'Operating Assumptions'!$D$25,IF(AND('Operating Assumptions'!$D$29="No",DB$11&lt;'Operating Assumptions'!$D$22),0,IF(AND('Operating Assumptions'!$D$29="Yes",DB$11&lt;'Operating Assumptions'!$D$31),0,IF(DB$33&gt;'Operating Assumptions'!$D$26,'Operating Assumptions'!$D$26,IF(DB$33='Operating Assumptions'!$D$26,'Operating Assumptions'!$D$26,IF(AND(DB$33&gt;0,DB$33&lt;'Operating Assumptions'!$D$26),DB$33,IF(DB$33=0,0))))))))</f>
        <v>0</v>
      </c>
      <c r="DC34" s="508">
        <f>IF(AND(DC$11&lt;'Operating Assumptions'!$D$22,'Operating Assumptions'!$D$25=0),0,IF(AND(DC$11&lt;'Operating Assumptions'!$D$22,DC$11='Operating Assumptions'!$D$24,'Operating Assumptions'!$D$25&gt;0),'Operating Assumptions'!$D$25,IF(AND('Operating Assumptions'!$D$29="No",DC$11&lt;'Operating Assumptions'!$D$22),0,IF(AND('Operating Assumptions'!$D$29="Yes",DC$11&lt;'Operating Assumptions'!$D$31),0,IF(DC$33&gt;'Operating Assumptions'!$D$26,'Operating Assumptions'!$D$26,IF(DC$33='Operating Assumptions'!$D$26,'Operating Assumptions'!$D$26,IF(AND(DC$33&gt;0,DC$33&lt;'Operating Assumptions'!$D$26),DC$33,IF(DC$33=0,0))))))))</f>
        <v>0</v>
      </c>
      <c r="DD34" s="508">
        <f>IF(AND(DD$11&lt;'Operating Assumptions'!$D$22,'Operating Assumptions'!$D$25=0),0,IF(AND(DD$11&lt;'Operating Assumptions'!$D$22,DD$11='Operating Assumptions'!$D$24,'Operating Assumptions'!$D$25&gt;0),'Operating Assumptions'!$D$25,IF(AND('Operating Assumptions'!$D$29="No",DD$11&lt;'Operating Assumptions'!$D$22),0,IF(AND('Operating Assumptions'!$D$29="Yes",DD$11&lt;'Operating Assumptions'!$D$31),0,IF(DD$33&gt;'Operating Assumptions'!$D$26,'Operating Assumptions'!$D$26,IF(DD$33='Operating Assumptions'!$D$26,'Operating Assumptions'!$D$26,IF(AND(DD$33&gt;0,DD$33&lt;'Operating Assumptions'!$D$26),DD$33,IF(DD$33=0,0))))))))</f>
        <v>0</v>
      </c>
      <c r="DE34" s="508">
        <f>IF(AND(DE$11&lt;'Operating Assumptions'!$D$22,'Operating Assumptions'!$D$25=0),0,IF(AND(DE$11&lt;'Operating Assumptions'!$D$22,DE$11='Operating Assumptions'!$D$24,'Operating Assumptions'!$D$25&gt;0),'Operating Assumptions'!$D$25,IF(AND('Operating Assumptions'!$D$29="No",DE$11&lt;'Operating Assumptions'!$D$22),0,IF(AND('Operating Assumptions'!$D$29="Yes",DE$11&lt;'Operating Assumptions'!$D$31),0,IF(DE$33&gt;'Operating Assumptions'!$D$26,'Operating Assumptions'!$D$26,IF(DE$33='Operating Assumptions'!$D$26,'Operating Assumptions'!$D$26,IF(AND(DE$33&gt;0,DE$33&lt;'Operating Assumptions'!$D$26),DE$33,IF(DE$33=0,0))))))))</f>
        <v>0</v>
      </c>
      <c r="DF34" s="508">
        <f>IF(AND(DF$11&lt;'Operating Assumptions'!$D$22,'Operating Assumptions'!$D$25=0),0,IF(AND(DF$11&lt;'Operating Assumptions'!$D$22,DF$11='Operating Assumptions'!$D$24,'Operating Assumptions'!$D$25&gt;0),'Operating Assumptions'!$D$25,IF(AND('Operating Assumptions'!$D$29="No",DF$11&lt;'Operating Assumptions'!$D$22),0,IF(AND('Operating Assumptions'!$D$29="Yes",DF$11&lt;'Operating Assumptions'!$D$31),0,IF(DF$33&gt;'Operating Assumptions'!$D$26,'Operating Assumptions'!$D$26,IF(DF$33='Operating Assumptions'!$D$26,'Operating Assumptions'!$D$26,IF(AND(DF$33&gt;0,DF$33&lt;'Operating Assumptions'!$D$26),DF$33,IF(DF$33=0,0))))))))</f>
        <v>0</v>
      </c>
      <c r="DG34" s="508">
        <f>IF(AND(DG$11&lt;'Operating Assumptions'!$D$22,'Operating Assumptions'!$D$25=0),0,IF(AND(DG$11&lt;'Operating Assumptions'!$D$22,DG$11='Operating Assumptions'!$D$24,'Operating Assumptions'!$D$25&gt;0),'Operating Assumptions'!$D$25,IF(AND('Operating Assumptions'!$D$29="No",DG$11&lt;'Operating Assumptions'!$D$22),0,IF(AND('Operating Assumptions'!$D$29="Yes",DG$11&lt;'Operating Assumptions'!$D$31),0,IF(DG$33&gt;'Operating Assumptions'!$D$26,'Operating Assumptions'!$D$26,IF(DG$33='Operating Assumptions'!$D$26,'Operating Assumptions'!$D$26,IF(AND(DG$33&gt;0,DG$33&lt;'Operating Assumptions'!$D$26),DG$33,IF(DG$33=0,0))))))))</f>
        <v>0</v>
      </c>
      <c r="DH34" s="508">
        <f>IF(AND(DH$11&lt;'Operating Assumptions'!$D$22,'Operating Assumptions'!$D$25=0),0,IF(AND(DH$11&lt;'Operating Assumptions'!$D$22,DH$11='Operating Assumptions'!$D$24,'Operating Assumptions'!$D$25&gt;0),'Operating Assumptions'!$D$25,IF(AND('Operating Assumptions'!$D$29="No",DH$11&lt;'Operating Assumptions'!$D$22),0,IF(AND('Operating Assumptions'!$D$29="Yes",DH$11&lt;'Operating Assumptions'!$D$31),0,IF(DH$33&gt;'Operating Assumptions'!$D$26,'Operating Assumptions'!$D$26,IF(DH$33='Operating Assumptions'!$D$26,'Operating Assumptions'!$D$26,IF(AND(DH$33&gt;0,DH$33&lt;'Operating Assumptions'!$D$26),DH$33,IF(DH$33=0,0))))))))</f>
        <v>0</v>
      </c>
      <c r="DI34" s="508">
        <f>IF(AND(DI$11&lt;'Operating Assumptions'!$D$22,'Operating Assumptions'!$D$25=0),0,IF(AND(DI$11&lt;'Operating Assumptions'!$D$22,DI$11='Operating Assumptions'!$D$24,'Operating Assumptions'!$D$25&gt;0),'Operating Assumptions'!$D$25,IF(AND('Operating Assumptions'!$D$29="No",DI$11&lt;'Operating Assumptions'!$D$22),0,IF(AND('Operating Assumptions'!$D$29="Yes",DI$11&lt;'Operating Assumptions'!$D$31),0,IF(DI$33&gt;'Operating Assumptions'!$D$26,'Operating Assumptions'!$D$26,IF(DI$33='Operating Assumptions'!$D$26,'Operating Assumptions'!$D$26,IF(AND(DI$33&gt;0,DI$33&lt;'Operating Assumptions'!$D$26),DI$33,IF(DI$33=0,0))))))))</f>
        <v>0</v>
      </c>
      <c r="DJ34" s="508">
        <f>IF(AND(DJ$11&lt;'Operating Assumptions'!$D$22,'Operating Assumptions'!$D$25=0),0,IF(AND(DJ$11&lt;'Operating Assumptions'!$D$22,DJ$11='Operating Assumptions'!$D$24,'Operating Assumptions'!$D$25&gt;0),'Operating Assumptions'!$D$25,IF(AND('Operating Assumptions'!$D$29="No",DJ$11&lt;'Operating Assumptions'!$D$22),0,IF(AND('Operating Assumptions'!$D$29="Yes",DJ$11&lt;'Operating Assumptions'!$D$31),0,IF(DJ$33&gt;'Operating Assumptions'!$D$26,'Operating Assumptions'!$D$26,IF(DJ$33='Operating Assumptions'!$D$26,'Operating Assumptions'!$D$26,IF(AND(DJ$33&gt;0,DJ$33&lt;'Operating Assumptions'!$D$26),DJ$33,IF(DJ$33=0,0))))))))</f>
        <v>0</v>
      </c>
      <c r="DK34" s="508">
        <f>IF(AND(DK$11&lt;'Operating Assumptions'!$D$22,'Operating Assumptions'!$D$25=0),0,IF(AND(DK$11&lt;'Operating Assumptions'!$D$22,DK$11='Operating Assumptions'!$D$24,'Operating Assumptions'!$D$25&gt;0),'Operating Assumptions'!$D$25,IF(AND('Operating Assumptions'!$D$29="No",DK$11&lt;'Operating Assumptions'!$D$22),0,IF(AND('Operating Assumptions'!$D$29="Yes",DK$11&lt;'Operating Assumptions'!$D$31),0,IF(DK$33&gt;'Operating Assumptions'!$D$26,'Operating Assumptions'!$D$26,IF(DK$33='Operating Assumptions'!$D$26,'Operating Assumptions'!$D$26,IF(AND(DK$33&gt;0,DK$33&lt;'Operating Assumptions'!$D$26),DK$33,IF(DK$33=0,0))))))))</f>
        <v>0</v>
      </c>
      <c r="DL34" s="508">
        <f>IF(AND(DL$11&lt;'Operating Assumptions'!$D$22,'Operating Assumptions'!$D$25=0),0,IF(AND(DL$11&lt;'Operating Assumptions'!$D$22,DL$11='Operating Assumptions'!$D$24,'Operating Assumptions'!$D$25&gt;0),'Operating Assumptions'!$D$25,IF(AND('Operating Assumptions'!$D$29="No",DL$11&lt;'Operating Assumptions'!$D$22),0,IF(AND('Operating Assumptions'!$D$29="Yes",DL$11&lt;'Operating Assumptions'!$D$31),0,IF(DL$33&gt;'Operating Assumptions'!$D$26,'Operating Assumptions'!$D$26,IF(DL$33='Operating Assumptions'!$D$26,'Operating Assumptions'!$D$26,IF(AND(DL$33&gt;0,DL$33&lt;'Operating Assumptions'!$D$26),DL$33,IF(DL$33=0,0))))))))</f>
        <v>0</v>
      </c>
      <c r="DM34" s="508">
        <f>IF(AND(DM$11&lt;'Operating Assumptions'!$D$22,'Operating Assumptions'!$D$25=0),0,IF(AND(DM$11&lt;'Operating Assumptions'!$D$22,DM$11='Operating Assumptions'!$D$24,'Operating Assumptions'!$D$25&gt;0),'Operating Assumptions'!$D$25,IF(AND('Operating Assumptions'!$D$29="No",DM$11&lt;'Operating Assumptions'!$D$22),0,IF(AND('Operating Assumptions'!$D$29="Yes",DM$11&lt;'Operating Assumptions'!$D$31),0,IF(DM$33&gt;'Operating Assumptions'!$D$26,'Operating Assumptions'!$D$26,IF(DM$33='Operating Assumptions'!$D$26,'Operating Assumptions'!$D$26,IF(AND(DM$33&gt;0,DM$33&lt;'Operating Assumptions'!$D$26),DM$33,IF(DM$33=0,0))))))))</f>
        <v>0</v>
      </c>
      <c r="DN34" s="508">
        <f>IF(AND(DN$11&lt;'Operating Assumptions'!$D$22,'Operating Assumptions'!$D$25=0),0,IF(AND(DN$11&lt;'Operating Assumptions'!$D$22,DN$11='Operating Assumptions'!$D$24,'Operating Assumptions'!$D$25&gt;0),'Operating Assumptions'!$D$25,IF(AND('Operating Assumptions'!$D$29="No",DN$11&lt;'Operating Assumptions'!$D$22),0,IF(AND('Operating Assumptions'!$D$29="Yes",DN$11&lt;'Operating Assumptions'!$D$31),0,IF(DN$33&gt;'Operating Assumptions'!$D$26,'Operating Assumptions'!$D$26,IF(DN$33='Operating Assumptions'!$D$26,'Operating Assumptions'!$D$26,IF(AND(DN$33&gt;0,DN$33&lt;'Operating Assumptions'!$D$26),DN$33,IF(DN$33=0,0))))))))</f>
        <v>0</v>
      </c>
      <c r="DO34" s="508">
        <f>IF(AND(DO$11&lt;'Operating Assumptions'!$D$22,'Operating Assumptions'!$D$25=0),0,IF(AND(DO$11&lt;'Operating Assumptions'!$D$22,DO$11='Operating Assumptions'!$D$24,'Operating Assumptions'!$D$25&gt;0),'Operating Assumptions'!$D$25,IF(AND('Operating Assumptions'!$D$29="No",DO$11&lt;'Operating Assumptions'!$D$22),0,IF(AND('Operating Assumptions'!$D$29="Yes",DO$11&lt;'Operating Assumptions'!$D$31),0,IF(DO$33&gt;'Operating Assumptions'!$D$26,'Operating Assumptions'!$D$26,IF(DO$33='Operating Assumptions'!$D$26,'Operating Assumptions'!$D$26,IF(AND(DO$33&gt;0,DO$33&lt;'Operating Assumptions'!$D$26),DO$33,IF(DO$33=0,0))))))))</f>
        <v>0</v>
      </c>
      <c r="DP34" s="508">
        <f>IF(AND(DP$11&lt;'Operating Assumptions'!$D$22,'Operating Assumptions'!$D$25=0),0,IF(AND(DP$11&lt;'Operating Assumptions'!$D$22,DP$11='Operating Assumptions'!$D$24,'Operating Assumptions'!$D$25&gt;0),'Operating Assumptions'!$D$25,IF(AND('Operating Assumptions'!$D$29="No",DP$11&lt;'Operating Assumptions'!$D$22),0,IF(AND('Operating Assumptions'!$D$29="Yes",DP$11&lt;'Operating Assumptions'!$D$31),0,IF(DP$33&gt;'Operating Assumptions'!$D$26,'Operating Assumptions'!$D$26,IF(DP$33='Operating Assumptions'!$D$26,'Operating Assumptions'!$D$26,IF(AND(DP$33&gt;0,DP$33&lt;'Operating Assumptions'!$D$26),DP$33,IF(DP$33=0,0))))))))</f>
        <v>0</v>
      </c>
      <c r="DQ34" s="508">
        <f>IF(AND(DQ$11&lt;'Operating Assumptions'!$D$22,'Operating Assumptions'!$D$25=0),0,IF(AND(DQ$11&lt;'Operating Assumptions'!$D$22,DQ$11='Operating Assumptions'!$D$24,'Operating Assumptions'!$D$25&gt;0),'Operating Assumptions'!$D$25,IF(AND('Operating Assumptions'!$D$29="No",DQ$11&lt;'Operating Assumptions'!$D$22),0,IF(AND('Operating Assumptions'!$D$29="Yes",DQ$11&lt;'Operating Assumptions'!$D$31),0,IF(DQ$33&gt;'Operating Assumptions'!$D$26,'Operating Assumptions'!$D$26,IF(DQ$33='Operating Assumptions'!$D$26,'Operating Assumptions'!$D$26,IF(AND(DQ$33&gt;0,DQ$33&lt;'Operating Assumptions'!$D$26),DQ$33,IF(DQ$33=0,0))))))))</f>
        <v>0</v>
      </c>
      <c r="DR34" s="508">
        <f>IF(AND(DR$11&lt;'Operating Assumptions'!$D$22,'Operating Assumptions'!$D$25=0),0,IF(AND(DR$11&lt;'Operating Assumptions'!$D$22,DR$11='Operating Assumptions'!$D$24,'Operating Assumptions'!$D$25&gt;0),'Operating Assumptions'!$D$25,IF(AND('Operating Assumptions'!$D$29="No",DR$11&lt;'Operating Assumptions'!$D$22),0,IF(AND('Operating Assumptions'!$D$29="Yes",DR$11&lt;'Operating Assumptions'!$D$31),0,IF(DR$33&gt;'Operating Assumptions'!$D$26,'Operating Assumptions'!$D$26,IF(DR$33='Operating Assumptions'!$D$26,'Operating Assumptions'!$D$26,IF(AND(DR$33&gt;0,DR$33&lt;'Operating Assumptions'!$D$26),DR$33,IF(DR$33=0,0))))))))</f>
        <v>0</v>
      </c>
      <c r="DS34" s="508">
        <f>IF(AND(DS$11&lt;'Operating Assumptions'!$D$22,'Operating Assumptions'!$D$25=0),0,IF(AND(DS$11&lt;'Operating Assumptions'!$D$22,DS$11='Operating Assumptions'!$D$24,'Operating Assumptions'!$D$25&gt;0),'Operating Assumptions'!$D$25,IF(AND('Operating Assumptions'!$D$29="No",DS$11&lt;'Operating Assumptions'!$D$22),0,IF(AND('Operating Assumptions'!$D$29="Yes",DS$11&lt;'Operating Assumptions'!$D$31),0,IF(DS$33&gt;'Operating Assumptions'!$D$26,'Operating Assumptions'!$D$26,IF(DS$33='Operating Assumptions'!$D$26,'Operating Assumptions'!$D$26,IF(AND(DS$33&gt;0,DS$33&lt;'Operating Assumptions'!$D$26),DS$33,IF(DS$33=0,0))))))))</f>
        <v>0</v>
      </c>
      <c r="DT34" s="508">
        <f>IF(AND(DT$11&lt;'Operating Assumptions'!$D$22,'Operating Assumptions'!$D$25=0),0,IF(AND(DT$11&lt;'Operating Assumptions'!$D$22,DT$11='Operating Assumptions'!$D$24,'Operating Assumptions'!$D$25&gt;0),'Operating Assumptions'!$D$25,IF(AND('Operating Assumptions'!$D$29="No",DT$11&lt;'Operating Assumptions'!$D$22),0,IF(AND('Operating Assumptions'!$D$29="Yes",DT$11&lt;'Operating Assumptions'!$D$31),0,IF(DT$33&gt;'Operating Assumptions'!$D$26,'Operating Assumptions'!$D$26,IF(DT$33='Operating Assumptions'!$D$26,'Operating Assumptions'!$D$26,IF(AND(DT$33&gt;0,DT$33&lt;'Operating Assumptions'!$D$26),DT$33,IF(DT$33=0,0))))))))</f>
        <v>0</v>
      </c>
      <c r="DU34" s="508">
        <f>IF(AND(DU$11&lt;'Operating Assumptions'!$D$22,'Operating Assumptions'!$D$25=0),0,IF(AND(DU$11&lt;'Operating Assumptions'!$D$22,DU$11='Operating Assumptions'!$D$24,'Operating Assumptions'!$D$25&gt;0),'Operating Assumptions'!$D$25,IF(AND('Operating Assumptions'!$D$29="No",DU$11&lt;'Operating Assumptions'!$D$22),0,IF(AND('Operating Assumptions'!$D$29="Yes",DU$11&lt;'Operating Assumptions'!$D$31),0,IF(DU$33&gt;'Operating Assumptions'!$D$26,'Operating Assumptions'!$D$26,IF(DU$33='Operating Assumptions'!$D$26,'Operating Assumptions'!$D$26,IF(AND(DU$33&gt;0,DU$33&lt;'Operating Assumptions'!$D$26),DU$33,IF(DU$33=0,0))))))))</f>
        <v>0</v>
      </c>
      <c r="DV34" s="508">
        <f>IF(AND(DV$11&lt;'Operating Assumptions'!$D$22,'Operating Assumptions'!$D$25=0),0,IF(AND(DV$11&lt;'Operating Assumptions'!$D$22,DV$11='Operating Assumptions'!$D$24,'Operating Assumptions'!$D$25&gt;0),'Operating Assumptions'!$D$25,IF(AND('Operating Assumptions'!$D$29="No",DV$11&lt;'Operating Assumptions'!$D$22),0,IF(AND('Operating Assumptions'!$D$29="Yes",DV$11&lt;'Operating Assumptions'!$D$31),0,IF(DV$33&gt;'Operating Assumptions'!$D$26,'Operating Assumptions'!$D$26,IF(DV$33='Operating Assumptions'!$D$26,'Operating Assumptions'!$D$26,IF(AND(DV$33&gt;0,DV$33&lt;'Operating Assumptions'!$D$26),DV$33,IF(DV$33=0,0))))))))</f>
        <v>0</v>
      </c>
      <c r="DW34" s="508">
        <f>IF(AND(DW$11&lt;'Operating Assumptions'!$D$22,'Operating Assumptions'!$D$25=0),0,IF(AND(DW$11&lt;'Operating Assumptions'!$D$22,DW$11='Operating Assumptions'!$D$24,'Operating Assumptions'!$D$25&gt;0),'Operating Assumptions'!$D$25,IF(AND('Operating Assumptions'!$D$29="No",DW$11&lt;'Operating Assumptions'!$D$22),0,IF(AND('Operating Assumptions'!$D$29="Yes",DW$11&lt;'Operating Assumptions'!$D$31),0,IF(DW$33&gt;'Operating Assumptions'!$D$26,'Operating Assumptions'!$D$26,IF(DW$33='Operating Assumptions'!$D$26,'Operating Assumptions'!$D$26,IF(AND(DW$33&gt;0,DW$33&lt;'Operating Assumptions'!$D$26),DW$33,IF(DW$33=0,0))))))))</f>
        <v>0</v>
      </c>
      <c r="DX34" s="508">
        <f>IF(AND(DX$11&lt;'Operating Assumptions'!$D$22,'Operating Assumptions'!$D$25=0),0,IF(AND(DX$11&lt;'Operating Assumptions'!$D$22,DX$11='Operating Assumptions'!$D$24,'Operating Assumptions'!$D$25&gt;0),'Operating Assumptions'!$D$25,IF(AND('Operating Assumptions'!$D$29="No",DX$11&lt;'Operating Assumptions'!$D$22),0,IF(AND('Operating Assumptions'!$D$29="Yes",DX$11&lt;'Operating Assumptions'!$D$31),0,IF(DX$33&gt;'Operating Assumptions'!$D$26,'Operating Assumptions'!$D$26,IF(DX$33='Operating Assumptions'!$D$26,'Operating Assumptions'!$D$26,IF(AND(DX$33&gt;0,DX$33&lt;'Operating Assumptions'!$D$26),DX$33,IF(DX$33=0,0))))))))</f>
        <v>0</v>
      </c>
      <c r="DY34" s="508">
        <f>IF(AND(DY$11&lt;'Operating Assumptions'!$D$22,'Operating Assumptions'!$D$25=0),0,IF(AND(DY$11&lt;'Operating Assumptions'!$D$22,DY$11='Operating Assumptions'!$D$24,'Operating Assumptions'!$D$25&gt;0),'Operating Assumptions'!$D$25,IF(AND('Operating Assumptions'!$D$29="No",DY$11&lt;'Operating Assumptions'!$D$22),0,IF(AND('Operating Assumptions'!$D$29="Yes",DY$11&lt;'Operating Assumptions'!$D$31),0,IF(DY$33&gt;'Operating Assumptions'!$D$26,'Operating Assumptions'!$D$26,IF(DY$33='Operating Assumptions'!$D$26,'Operating Assumptions'!$D$26,IF(AND(DY$33&gt;0,DY$33&lt;'Operating Assumptions'!$D$26),DY$33,IF(DY$33=0,0))))))))</f>
        <v>0</v>
      </c>
      <c r="DZ34" s="508">
        <f>IF(AND(DZ$11&lt;'Operating Assumptions'!$D$22,'Operating Assumptions'!$D$25=0),0,IF(AND(DZ$11&lt;'Operating Assumptions'!$D$22,DZ$11='Operating Assumptions'!$D$24,'Operating Assumptions'!$D$25&gt;0),'Operating Assumptions'!$D$25,IF(AND('Operating Assumptions'!$D$29="No",DZ$11&lt;'Operating Assumptions'!$D$22),0,IF(AND('Operating Assumptions'!$D$29="Yes",DZ$11&lt;'Operating Assumptions'!$D$31),0,IF(DZ$33&gt;'Operating Assumptions'!$D$26,'Operating Assumptions'!$D$26,IF(DZ$33='Operating Assumptions'!$D$26,'Operating Assumptions'!$D$26,IF(AND(DZ$33&gt;0,DZ$33&lt;'Operating Assumptions'!$D$26),DZ$33,IF(DZ$33=0,0))))))))</f>
        <v>0</v>
      </c>
      <c r="EA34" s="508">
        <f>IF(AND(EA$11&lt;'Operating Assumptions'!$D$22,'Operating Assumptions'!$D$25=0),0,IF(AND(EA$11&lt;'Operating Assumptions'!$D$22,EA$11='Operating Assumptions'!$D$24,'Operating Assumptions'!$D$25&gt;0),'Operating Assumptions'!$D$25,IF(AND('Operating Assumptions'!$D$29="No",EA$11&lt;'Operating Assumptions'!$D$22),0,IF(AND('Operating Assumptions'!$D$29="Yes",EA$11&lt;'Operating Assumptions'!$D$31),0,IF(EA$33&gt;'Operating Assumptions'!$D$26,'Operating Assumptions'!$D$26,IF(EA$33='Operating Assumptions'!$D$26,'Operating Assumptions'!$D$26,IF(AND(EA$33&gt;0,EA$33&lt;'Operating Assumptions'!$D$26),EA$33,IF(EA$33=0,0))))))))</f>
        <v>0</v>
      </c>
      <c r="EB34" s="508">
        <f>IF(AND(EB$11&lt;'Operating Assumptions'!$D$22,'Operating Assumptions'!$D$25=0),0,IF(AND(EB$11&lt;'Operating Assumptions'!$D$22,EB$11='Operating Assumptions'!$D$24,'Operating Assumptions'!$D$25&gt;0),'Operating Assumptions'!$D$25,IF(AND('Operating Assumptions'!$D$29="No",EB$11&lt;'Operating Assumptions'!$D$22),0,IF(AND('Operating Assumptions'!$D$29="Yes",EB$11&lt;'Operating Assumptions'!$D$31),0,IF(EB$33&gt;'Operating Assumptions'!$D$26,'Operating Assumptions'!$D$26,IF(EB$33='Operating Assumptions'!$D$26,'Operating Assumptions'!$D$26,IF(AND(EB$33&gt;0,EB$33&lt;'Operating Assumptions'!$D$26),EB$33,IF(EB$33=0,0))))))))</f>
        <v>0</v>
      </c>
      <c r="EC34" s="508">
        <f>IF(AND(EC$11&lt;'Operating Assumptions'!$D$22,'Operating Assumptions'!$D$25=0),0,IF(AND(EC$11&lt;'Operating Assumptions'!$D$22,EC$11='Operating Assumptions'!$D$24,'Operating Assumptions'!$D$25&gt;0),'Operating Assumptions'!$D$25,IF(AND('Operating Assumptions'!$D$29="No",EC$11&lt;'Operating Assumptions'!$D$22),0,IF(AND('Operating Assumptions'!$D$29="Yes",EC$11&lt;'Operating Assumptions'!$D$31),0,IF(EC$33&gt;'Operating Assumptions'!$D$26,'Operating Assumptions'!$D$26,IF(EC$33='Operating Assumptions'!$D$26,'Operating Assumptions'!$D$26,IF(AND(EC$33&gt;0,EC$33&lt;'Operating Assumptions'!$D$26),EC$33,IF(EC$33=0,0))))))))</f>
        <v>0</v>
      </c>
      <c r="ED34" s="508">
        <f>IF(AND(ED$11&lt;'Operating Assumptions'!$D$22,'Operating Assumptions'!$D$25=0),0,IF(AND(ED$11&lt;'Operating Assumptions'!$D$22,ED$11='Operating Assumptions'!$D$24,'Operating Assumptions'!$D$25&gt;0),'Operating Assumptions'!$D$25,IF(AND('Operating Assumptions'!$D$29="No",ED$11&lt;'Operating Assumptions'!$D$22),0,IF(AND('Operating Assumptions'!$D$29="Yes",ED$11&lt;'Operating Assumptions'!$D$31),0,IF(ED$33&gt;'Operating Assumptions'!$D$26,'Operating Assumptions'!$D$26,IF(ED$33='Operating Assumptions'!$D$26,'Operating Assumptions'!$D$26,IF(AND(ED$33&gt;0,ED$33&lt;'Operating Assumptions'!$D$26),ED$33,IF(ED$33=0,0))))))))</f>
        <v>0</v>
      </c>
      <c r="EE34" s="508">
        <f>IF(AND(EE$11&lt;'Operating Assumptions'!$D$22,'Operating Assumptions'!$D$25=0),0,IF(AND(EE$11&lt;'Operating Assumptions'!$D$22,EE$11='Operating Assumptions'!$D$24,'Operating Assumptions'!$D$25&gt;0),'Operating Assumptions'!$D$25,IF(AND('Operating Assumptions'!$D$29="No",EE$11&lt;'Operating Assumptions'!$D$22),0,IF(AND('Operating Assumptions'!$D$29="Yes",EE$11&lt;'Operating Assumptions'!$D$31),0,IF(EE$33&gt;'Operating Assumptions'!$D$26,'Operating Assumptions'!$D$26,IF(EE$33='Operating Assumptions'!$D$26,'Operating Assumptions'!$D$26,IF(AND(EE$33&gt;0,EE$33&lt;'Operating Assumptions'!$D$26),EE$33,IF(EE$33=0,0))))))))</f>
        <v>0</v>
      </c>
      <c r="EF34" s="508">
        <f>IF(AND(EF$11&lt;'Operating Assumptions'!$D$22,'Operating Assumptions'!$D$25=0),0,IF(AND(EF$11&lt;'Operating Assumptions'!$D$22,EF$11='Operating Assumptions'!$D$24,'Operating Assumptions'!$D$25&gt;0),'Operating Assumptions'!$D$25,IF(AND('Operating Assumptions'!$D$29="No",EF$11&lt;'Operating Assumptions'!$D$22),0,IF(AND('Operating Assumptions'!$D$29="Yes",EF$11&lt;'Operating Assumptions'!$D$31),0,IF(EF$33&gt;'Operating Assumptions'!$D$26,'Operating Assumptions'!$D$26,IF(EF$33='Operating Assumptions'!$D$26,'Operating Assumptions'!$D$26,IF(AND(EF$33&gt;0,EF$33&lt;'Operating Assumptions'!$D$26),EF$33,IF(EF$33=0,0))))))))</f>
        <v>0</v>
      </c>
      <c r="EG34" s="508">
        <f>IF(AND(EG$11&lt;'Operating Assumptions'!$D$22,'Operating Assumptions'!$D$25=0),0,IF(AND(EG$11&lt;'Operating Assumptions'!$D$22,EG$11='Operating Assumptions'!$D$24,'Operating Assumptions'!$D$25&gt;0),'Operating Assumptions'!$D$25,IF(AND('Operating Assumptions'!$D$29="No",EG$11&lt;'Operating Assumptions'!$D$22),0,IF(AND('Operating Assumptions'!$D$29="Yes",EG$11&lt;'Operating Assumptions'!$D$31),0,IF(EG$33&gt;'Operating Assumptions'!$D$26,'Operating Assumptions'!$D$26,IF(EG$33='Operating Assumptions'!$D$26,'Operating Assumptions'!$D$26,IF(AND(EG$33&gt;0,EG$33&lt;'Operating Assumptions'!$D$26),EG$33,IF(EG$33=0,0))))))))</f>
        <v>0</v>
      </c>
      <c r="EH34" s="508">
        <f>IF(AND(EH$11&lt;'Operating Assumptions'!$D$22,'Operating Assumptions'!$D$25=0),0,IF(AND(EH$11&lt;'Operating Assumptions'!$D$22,EH$11='Operating Assumptions'!$D$24,'Operating Assumptions'!$D$25&gt;0),'Operating Assumptions'!$D$25,IF(AND('Operating Assumptions'!$D$29="No",EH$11&lt;'Operating Assumptions'!$D$22),0,IF(AND('Operating Assumptions'!$D$29="Yes",EH$11&lt;'Operating Assumptions'!$D$31),0,IF(EH$33&gt;'Operating Assumptions'!$D$26,'Operating Assumptions'!$D$26,IF(EH$33='Operating Assumptions'!$D$26,'Operating Assumptions'!$D$26,IF(AND(EH$33&gt;0,EH$33&lt;'Operating Assumptions'!$D$26),EH$33,IF(EH$33=0,0))))))))</f>
        <v>0</v>
      </c>
      <c r="EI34" s="508">
        <f>IF(AND(EI$11&lt;'Operating Assumptions'!$D$22,'Operating Assumptions'!$D$25=0),0,IF(AND(EI$11&lt;'Operating Assumptions'!$D$22,EI$11='Operating Assumptions'!$D$24,'Operating Assumptions'!$D$25&gt;0),'Operating Assumptions'!$D$25,IF(AND('Operating Assumptions'!$D$29="No",EI$11&lt;'Operating Assumptions'!$D$22),0,IF(AND('Operating Assumptions'!$D$29="Yes",EI$11&lt;'Operating Assumptions'!$D$31),0,IF(EI$33&gt;'Operating Assumptions'!$D$26,'Operating Assumptions'!$D$26,IF(EI$33='Operating Assumptions'!$D$26,'Operating Assumptions'!$D$26,IF(AND(EI$33&gt;0,EI$33&lt;'Operating Assumptions'!$D$26),EI$33,IF(EI$33=0,0))))))))</f>
        <v>0</v>
      </c>
      <c r="EJ34" s="508">
        <f>IF(AND(EJ$11&lt;'Operating Assumptions'!$D$22,'Operating Assumptions'!$D$25=0),0,IF(AND(EJ$11&lt;'Operating Assumptions'!$D$22,EJ$11='Operating Assumptions'!$D$24,'Operating Assumptions'!$D$25&gt;0),'Operating Assumptions'!$D$25,IF(AND('Operating Assumptions'!$D$29="No",EJ$11&lt;'Operating Assumptions'!$D$22),0,IF(AND('Operating Assumptions'!$D$29="Yes",EJ$11&lt;'Operating Assumptions'!$D$31),0,IF(EJ$33&gt;'Operating Assumptions'!$D$26,'Operating Assumptions'!$D$26,IF(EJ$33='Operating Assumptions'!$D$26,'Operating Assumptions'!$D$26,IF(AND(EJ$33&gt;0,EJ$33&lt;'Operating Assumptions'!$D$26),EJ$33,IF(EJ$33=0,0))))))))</f>
        <v>0</v>
      </c>
      <c r="EK34" s="508">
        <f>IF(AND(EK$11&lt;'Operating Assumptions'!$D$22,'Operating Assumptions'!$D$25=0),0,IF(AND(EK$11&lt;'Operating Assumptions'!$D$22,EK$11='Operating Assumptions'!$D$24,'Operating Assumptions'!$D$25&gt;0),'Operating Assumptions'!$D$25,IF(AND('Operating Assumptions'!$D$29="No",EK$11&lt;'Operating Assumptions'!$D$22),0,IF(AND('Operating Assumptions'!$D$29="Yes",EK$11&lt;'Operating Assumptions'!$D$31),0,IF(EK$33&gt;'Operating Assumptions'!$D$26,'Operating Assumptions'!$D$26,IF(EK$33='Operating Assumptions'!$D$26,'Operating Assumptions'!$D$26,IF(AND(EK$33&gt;0,EK$33&lt;'Operating Assumptions'!$D$26),EK$33,IF(EK$33=0,0))))))))</f>
        <v>0</v>
      </c>
      <c r="EL34" s="508">
        <f>IF(AND(EL$11&lt;'Operating Assumptions'!$D$22,'Operating Assumptions'!$D$25=0),0,IF(AND(EL$11&lt;'Operating Assumptions'!$D$22,EL$11='Operating Assumptions'!$D$24,'Operating Assumptions'!$D$25&gt;0),'Operating Assumptions'!$D$25,IF(AND('Operating Assumptions'!$D$29="No",EL$11&lt;'Operating Assumptions'!$D$22),0,IF(AND('Operating Assumptions'!$D$29="Yes",EL$11&lt;'Operating Assumptions'!$D$31),0,IF(EL$33&gt;'Operating Assumptions'!$D$26,'Operating Assumptions'!$D$26,IF(EL$33='Operating Assumptions'!$D$26,'Operating Assumptions'!$D$26,IF(AND(EL$33&gt;0,EL$33&lt;'Operating Assumptions'!$D$26),EL$33,IF(EL$33=0,0))))))))</f>
        <v>0</v>
      </c>
      <c r="EM34" s="508">
        <f>IF(AND(EM$11&lt;'Operating Assumptions'!$D$22,'Operating Assumptions'!$D$25=0),0,IF(AND(EM$11&lt;'Operating Assumptions'!$D$22,EM$11='Operating Assumptions'!$D$24,'Operating Assumptions'!$D$25&gt;0),'Operating Assumptions'!$D$25,IF(AND('Operating Assumptions'!$D$29="No",EM$11&lt;'Operating Assumptions'!$D$22),0,IF(AND('Operating Assumptions'!$D$29="Yes",EM$11&lt;'Operating Assumptions'!$D$31),0,IF(EM$33&gt;'Operating Assumptions'!$D$26,'Operating Assumptions'!$D$26,IF(EM$33='Operating Assumptions'!$D$26,'Operating Assumptions'!$D$26,IF(AND(EM$33&gt;0,EM$33&lt;'Operating Assumptions'!$D$26),EM$33,IF(EM$33=0,0))))))))</f>
        <v>0</v>
      </c>
      <c r="EN34" s="508">
        <f>IF(AND(EN$11&lt;'Operating Assumptions'!$D$22,'Operating Assumptions'!$D$25=0),0,IF(AND(EN$11&lt;'Operating Assumptions'!$D$22,EN$11='Operating Assumptions'!$D$24,'Operating Assumptions'!$D$25&gt;0),'Operating Assumptions'!$D$25,IF(AND('Operating Assumptions'!$D$29="No",EN$11&lt;'Operating Assumptions'!$D$22),0,IF(AND('Operating Assumptions'!$D$29="Yes",EN$11&lt;'Operating Assumptions'!$D$31),0,IF(EN$33&gt;'Operating Assumptions'!$D$26,'Operating Assumptions'!$D$26,IF(EN$33='Operating Assumptions'!$D$26,'Operating Assumptions'!$D$26,IF(AND(EN$33&gt;0,EN$33&lt;'Operating Assumptions'!$D$26),EN$33,IF(EN$33=0,0))))))))</f>
        <v>0</v>
      </c>
      <c r="EO34" s="508">
        <f>IF(AND(EO$11&lt;'Operating Assumptions'!$D$22,'Operating Assumptions'!$D$25=0),0,IF(AND(EO$11&lt;'Operating Assumptions'!$D$22,EO$11='Operating Assumptions'!$D$24,'Operating Assumptions'!$D$25&gt;0),'Operating Assumptions'!$D$25,IF(AND('Operating Assumptions'!$D$29="No",EO$11&lt;'Operating Assumptions'!$D$22),0,IF(AND('Operating Assumptions'!$D$29="Yes",EO$11&lt;'Operating Assumptions'!$D$31),0,IF(EO$33&gt;'Operating Assumptions'!$D$26,'Operating Assumptions'!$D$26,IF(EO$33='Operating Assumptions'!$D$26,'Operating Assumptions'!$D$26,IF(AND(EO$33&gt;0,EO$33&lt;'Operating Assumptions'!$D$26),EO$33,IF(EO$33=0,0))))))))</f>
        <v>0</v>
      </c>
      <c r="EP34" s="508">
        <f>IF(AND(EP$11&lt;'Operating Assumptions'!$D$22,'Operating Assumptions'!$D$25=0),0,IF(AND(EP$11&lt;'Operating Assumptions'!$D$22,EP$11='Operating Assumptions'!$D$24,'Operating Assumptions'!$D$25&gt;0),'Operating Assumptions'!$D$25,IF(AND('Operating Assumptions'!$D$29="No",EP$11&lt;'Operating Assumptions'!$D$22),0,IF(AND('Operating Assumptions'!$D$29="Yes",EP$11&lt;'Operating Assumptions'!$D$31),0,IF(EP$33&gt;'Operating Assumptions'!$D$26,'Operating Assumptions'!$D$26,IF(EP$33='Operating Assumptions'!$D$26,'Operating Assumptions'!$D$26,IF(AND(EP$33&gt;0,EP$33&lt;'Operating Assumptions'!$D$26),EP$33,IF(EP$33=0,0))))))))</f>
        <v>0</v>
      </c>
      <c r="EQ34" s="508">
        <f>IF(AND(EQ$11&lt;'Operating Assumptions'!$D$22,'Operating Assumptions'!$D$25=0),0,IF(AND(EQ$11&lt;'Operating Assumptions'!$D$22,EQ$11='Operating Assumptions'!$D$24,'Operating Assumptions'!$D$25&gt;0),'Operating Assumptions'!$D$25,IF(AND('Operating Assumptions'!$D$29="No",EQ$11&lt;'Operating Assumptions'!$D$22),0,IF(AND('Operating Assumptions'!$D$29="Yes",EQ$11&lt;'Operating Assumptions'!$D$31),0,IF(EQ$33&gt;'Operating Assumptions'!$D$26,'Operating Assumptions'!$D$26,IF(EQ$33='Operating Assumptions'!$D$26,'Operating Assumptions'!$D$26,IF(AND(EQ$33&gt;0,EQ$33&lt;'Operating Assumptions'!$D$26),EQ$33,IF(EQ$33=0,0))))))))</f>
        <v>0</v>
      </c>
      <c r="ER34" s="508">
        <f>IF(AND(ER$11&lt;'Operating Assumptions'!$D$22,'Operating Assumptions'!$D$25=0),0,IF(AND(ER$11&lt;'Operating Assumptions'!$D$22,ER$11='Operating Assumptions'!$D$24,'Operating Assumptions'!$D$25&gt;0),'Operating Assumptions'!$D$25,IF(AND('Operating Assumptions'!$D$29="No",ER$11&lt;'Operating Assumptions'!$D$22),0,IF(AND('Operating Assumptions'!$D$29="Yes",ER$11&lt;'Operating Assumptions'!$D$31),0,IF(ER$33&gt;'Operating Assumptions'!$D$26,'Operating Assumptions'!$D$26,IF(ER$33='Operating Assumptions'!$D$26,'Operating Assumptions'!$D$26,IF(AND(ER$33&gt;0,ER$33&lt;'Operating Assumptions'!$D$26),ER$33,IF(ER$33=0,0))))))))</f>
        <v>0</v>
      </c>
      <c r="ES34" s="508">
        <f>IF(AND(ES$11&lt;'Operating Assumptions'!$D$22,'Operating Assumptions'!$D$25=0),0,IF(AND(ES$11&lt;'Operating Assumptions'!$D$22,ES$11='Operating Assumptions'!$D$24,'Operating Assumptions'!$D$25&gt;0),'Operating Assumptions'!$D$25,IF(AND('Operating Assumptions'!$D$29="No",ES$11&lt;'Operating Assumptions'!$D$22),0,IF(AND('Operating Assumptions'!$D$29="Yes",ES$11&lt;'Operating Assumptions'!$D$31),0,IF(ES$33&gt;'Operating Assumptions'!$D$26,'Operating Assumptions'!$D$26,IF(ES$33='Operating Assumptions'!$D$26,'Operating Assumptions'!$D$26,IF(AND(ES$33&gt;0,ES$33&lt;'Operating Assumptions'!$D$26),ES$33,IF(ES$33=0,0))))))))</f>
        <v>0</v>
      </c>
      <c r="ET34" s="508">
        <f>IF(AND(ET$11&lt;'Operating Assumptions'!$D$22,'Operating Assumptions'!$D$25=0),0,IF(AND(ET$11&lt;'Operating Assumptions'!$D$22,ET$11='Operating Assumptions'!$D$24,'Operating Assumptions'!$D$25&gt;0),'Operating Assumptions'!$D$25,IF(AND('Operating Assumptions'!$D$29="No",ET$11&lt;'Operating Assumptions'!$D$22),0,IF(AND('Operating Assumptions'!$D$29="Yes",ET$11&lt;'Operating Assumptions'!$D$31),0,IF(ET$33&gt;'Operating Assumptions'!$D$26,'Operating Assumptions'!$D$26,IF(ET$33='Operating Assumptions'!$D$26,'Operating Assumptions'!$D$26,IF(AND(ET$33&gt;0,ET$33&lt;'Operating Assumptions'!$D$26),ET$33,IF(ET$33=0,0))))))))</f>
        <v>0</v>
      </c>
      <c r="EU34" s="508">
        <f>IF(AND(EU$11&lt;'Operating Assumptions'!$D$22,'Operating Assumptions'!$D$25=0),0,IF(AND(EU$11&lt;'Operating Assumptions'!$D$22,EU$11='Operating Assumptions'!$D$24,'Operating Assumptions'!$D$25&gt;0),'Operating Assumptions'!$D$25,IF(AND('Operating Assumptions'!$D$29="No",EU$11&lt;'Operating Assumptions'!$D$22),0,IF(AND('Operating Assumptions'!$D$29="Yes",EU$11&lt;'Operating Assumptions'!$D$31),0,IF(EU$33&gt;'Operating Assumptions'!$D$26,'Operating Assumptions'!$D$26,IF(EU$33='Operating Assumptions'!$D$26,'Operating Assumptions'!$D$26,IF(AND(EU$33&gt;0,EU$33&lt;'Operating Assumptions'!$D$26),EU$33,IF(EU$33=0,0))))))))</f>
        <v>0</v>
      </c>
      <c r="EV34" s="508">
        <f>IF(AND(EV$11&lt;'Operating Assumptions'!$D$22,'Operating Assumptions'!$D$25=0),0,IF(AND(EV$11&lt;'Operating Assumptions'!$D$22,EV$11='Operating Assumptions'!$D$24,'Operating Assumptions'!$D$25&gt;0),'Operating Assumptions'!$D$25,IF(AND('Operating Assumptions'!$D$29="No",EV$11&lt;'Operating Assumptions'!$D$22),0,IF(AND('Operating Assumptions'!$D$29="Yes",EV$11&lt;'Operating Assumptions'!$D$31),0,IF(EV$33&gt;'Operating Assumptions'!$D$26,'Operating Assumptions'!$D$26,IF(EV$33='Operating Assumptions'!$D$26,'Operating Assumptions'!$D$26,IF(AND(EV$33&gt;0,EV$33&lt;'Operating Assumptions'!$D$26),EV$33,IF(EV$33=0,0))))))))</f>
        <v>0</v>
      </c>
      <c r="EW34" s="508">
        <f>IF(AND(EW$11&lt;'Operating Assumptions'!$D$22,'Operating Assumptions'!$D$25=0),0,IF(AND(EW$11&lt;'Operating Assumptions'!$D$22,EW$11='Operating Assumptions'!$D$24,'Operating Assumptions'!$D$25&gt;0),'Operating Assumptions'!$D$25,IF(AND('Operating Assumptions'!$D$29="No",EW$11&lt;'Operating Assumptions'!$D$22),0,IF(AND('Operating Assumptions'!$D$29="Yes",EW$11&lt;'Operating Assumptions'!$D$31),0,IF(EW$33&gt;'Operating Assumptions'!$D$26,'Operating Assumptions'!$D$26,IF(EW$33='Operating Assumptions'!$D$26,'Operating Assumptions'!$D$26,IF(AND(EW$33&gt;0,EW$33&lt;'Operating Assumptions'!$D$26),EW$33,IF(EW$33=0,0))))))))</f>
        <v>0</v>
      </c>
      <c r="EX34" s="508">
        <f>IF(AND(EX$11&lt;'Operating Assumptions'!$D$22,'Operating Assumptions'!$D$25=0),0,IF(AND(EX$11&lt;'Operating Assumptions'!$D$22,EX$11='Operating Assumptions'!$D$24,'Operating Assumptions'!$D$25&gt;0),'Operating Assumptions'!$D$25,IF(AND('Operating Assumptions'!$D$29="No",EX$11&lt;'Operating Assumptions'!$D$22),0,IF(AND('Operating Assumptions'!$D$29="Yes",EX$11&lt;'Operating Assumptions'!$D$31),0,IF(EX$33&gt;'Operating Assumptions'!$D$26,'Operating Assumptions'!$D$26,IF(EX$33='Operating Assumptions'!$D$26,'Operating Assumptions'!$D$26,IF(AND(EX$33&gt;0,EX$33&lt;'Operating Assumptions'!$D$26),EX$33,IF(EX$33=0,0))))))))</f>
        <v>0</v>
      </c>
      <c r="EY34" s="508">
        <f>IF(AND(EY$11&lt;'Operating Assumptions'!$D$22,'Operating Assumptions'!$D$25=0),0,IF(AND(EY$11&lt;'Operating Assumptions'!$D$22,EY$11='Operating Assumptions'!$D$24,'Operating Assumptions'!$D$25&gt;0),'Operating Assumptions'!$D$25,IF(AND('Operating Assumptions'!$D$29="No",EY$11&lt;'Operating Assumptions'!$D$22),0,IF(AND('Operating Assumptions'!$D$29="Yes",EY$11&lt;'Operating Assumptions'!$D$31),0,IF(EY$33&gt;'Operating Assumptions'!$D$26,'Operating Assumptions'!$D$26,IF(EY$33='Operating Assumptions'!$D$26,'Operating Assumptions'!$D$26,IF(AND(EY$33&gt;0,EY$33&lt;'Operating Assumptions'!$D$26),EY$33,IF(EY$33=0,0))))))))</f>
        <v>0</v>
      </c>
      <c r="EZ34" s="508">
        <f>IF(AND(EZ$11&lt;'Operating Assumptions'!$D$22,'Operating Assumptions'!$D$25=0),0,IF(AND(EZ$11&lt;'Operating Assumptions'!$D$22,EZ$11='Operating Assumptions'!$D$24,'Operating Assumptions'!$D$25&gt;0),'Operating Assumptions'!$D$25,IF(AND('Operating Assumptions'!$D$29="No",EZ$11&lt;'Operating Assumptions'!$D$22),0,IF(AND('Operating Assumptions'!$D$29="Yes",EZ$11&lt;'Operating Assumptions'!$D$31),0,IF(EZ$33&gt;'Operating Assumptions'!$D$26,'Operating Assumptions'!$D$26,IF(EZ$33='Operating Assumptions'!$D$26,'Operating Assumptions'!$D$26,IF(AND(EZ$33&gt;0,EZ$33&lt;'Operating Assumptions'!$D$26),EZ$33,IF(EZ$33=0,0))))))))</f>
        <v>0</v>
      </c>
      <c r="FA34" s="508">
        <f>IF(AND(FA$11&lt;'Operating Assumptions'!$D$22,'Operating Assumptions'!$D$25=0),0,IF(AND(FA$11&lt;'Operating Assumptions'!$D$22,FA$11='Operating Assumptions'!$D$24,'Operating Assumptions'!$D$25&gt;0),'Operating Assumptions'!$D$25,IF(AND('Operating Assumptions'!$D$29="No",FA$11&lt;'Operating Assumptions'!$D$22),0,IF(AND('Operating Assumptions'!$D$29="Yes",FA$11&lt;'Operating Assumptions'!$D$31),0,IF(FA$33&gt;'Operating Assumptions'!$D$26,'Operating Assumptions'!$D$26,IF(FA$33='Operating Assumptions'!$D$26,'Operating Assumptions'!$D$26,IF(AND(FA$33&gt;0,FA$33&lt;'Operating Assumptions'!$D$26),FA$33,IF(FA$33=0,0))))))))</f>
        <v>0</v>
      </c>
      <c r="FB34" s="508">
        <f>IF(AND(FB$11&lt;'Operating Assumptions'!$D$22,'Operating Assumptions'!$D$25=0),0,IF(AND(FB$11&lt;'Operating Assumptions'!$D$22,FB$11='Operating Assumptions'!$D$24,'Operating Assumptions'!$D$25&gt;0),'Operating Assumptions'!$D$25,IF(AND('Operating Assumptions'!$D$29="No",FB$11&lt;'Operating Assumptions'!$D$22),0,IF(AND('Operating Assumptions'!$D$29="Yes",FB$11&lt;'Operating Assumptions'!$D$31),0,IF(FB$33&gt;'Operating Assumptions'!$D$26,'Operating Assumptions'!$D$26,IF(FB$33='Operating Assumptions'!$D$26,'Operating Assumptions'!$D$26,IF(AND(FB$33&gt;0,FB$33&lt;'Operating Assumptions'!$D$26),FB$33,IF(FB$33=0,0))))))))</f>
        <v>0</v>
      </c>
      <c r="FC34" s="508">
        <f>IF(AND(FC$11&lt;'Operating Assumptions'!$D$22,'Operating Assumptions'!$D$25=0),0,IF(AND(FC$11&lt;'Operating Assumptions'!$D$22,FC$11='Operating Assumptions'!$D$24,'Operating Assumptions'!$D$25&gt;0),'Operating Assumptions'!$D$25,IF(AND('Operating Assumptions'!$D$29="No",FC$11&lt;'Operating Assumptions'!$D$22),0,IF(AND('Operating Assumptions'!$D$29="Yes",FC$11&lt;'Operating Assumptions'!$D$31),0,IF(FC$33&gt;'Operating Assumptions'!$D$26,'Operating Assumptions'!$D$26,IF(FC$33='Operating Assumptions'!$D$26,'Operating Assumptions'!$D$26,IF(AND(FC$33&gt;0,FC$33&lt;'Operating Assumptions'!$D$26),FC$33,IF(FC$33=0,0))))))))</f>
        <v>0</v>
      </c>
      <c r="FD34" s="508">
        <f>IF(AND(FD$11&lt;'Operating Assumptions'!$D$22,'Operating Assumptions'!$D$25=0),0,IF(AND(FD$11&lt;'Operating Assumptions'!$D$22,FD$11='Operating Assumptions'!$D$24,'Operating Assumptions'!$D$25&gt;0),'Operating Assumptions'!$D$25,IF(AND('Operating Assumptions'!$D$29="No",FD$11&lt;'Operating Assumptions'!$D$22),0,IF(AND('Operating Assumptions'!$D$29="Yes",FD$11&lt;'Operating Assumptions'!$D$31),0,IF(FD$33&gt;'Operating Assumptions'!$D$26,'Operating Assumptions'!$D$26,IF(FD$33='Operating Assumptions'!$D$26,'Operating Assumptions'!$D$26,IF(AND(FD$33&gt;0,FD$33&lt;'Operating Assumptions'!$D$26),FD$33,IF(FD$33=0,0))))))))</f>
        <v>0</v>
      </c>
      <c r="FE34" s="508">
        <f>IF(AND(FE$11&lt;'Operating Assumptions'!$D$22,'Operating Assumptions'!$D$25=0),0,IF(AND(FE$11&lt;'Operating Assumptions'!$D$22,FE$11='Operating Assumptions'!$D$24,'Operating Assumptions'!$D$25&gt;0),'Operating Assumptions'!$D$25,IF(AND('Operating Assumptions'!$D$29="No",FE$11&lt;'Operating Assumptions'!$D$22),0,IF(AND('Operating Assumptions'!$D$29="Yes",FE$11&lt;'Operating Assumptions'!$D$31),0,IF(FE$33&gt;'Operating Assumptions'!$D$26,'Operating Assumptions'!$D$26,IF(FE$33='Operating Assumptions'!$D$26,'Operating Assumptions'!$D$26,IF(AND(FE$33&gt;0,FE$33&lt;'Operating Assumptions'!$D$26),FE$33,IF(FE$33=0,0))))))))</f>
        <v>0</v>
      </c>
      <c r="FF34" s="508">
        <f>IF(AND(FF$11&lt;'Operating Assumptions'!$D$22,'Operating Assumptions'!$D$25=0),0,IF(AND(FF$11&lt;'Operating Assumptions'!$D$22,FF$11='Operating Assumptions'!$D$24,'Operating Assumptions'!$D$25&gt;0),'Operating Assumptions'!$D$25,IF(AND('Operating Assumptions'!$D$29="No",FF$11&lt;'Operating Assumptions'!$D$22),0,IF(AND('Operating Assumptions'!$D$29="Yes",FF$11&lt;'Operating Assumptions'!$D$31),0,IF(FF$33&gt;'Operating Assumptions'!$D$26,'Operating Assumptions'!$D$26,IF(FF$33='Operating Assumptions'!$D$26,'Operating Assumptions'!$D$26,IF(AND(FF$33&gt;0,FF$33&lt;'Operating Assumptions'!$D$26),FF$33,IF(FF$33=0,0))))))))</f>
        <v>0</v>
      </c>
      <c r="FG34" s="508">
        <f>IF(AND(FG$11&lt;'Operating Assumptions'!$D$22,'Operating Assumptions'!$D$25=0),0,IF(AND(FG$11&lt;'Operating Assumptions'!$D$22,FG$11='Operating Assumptions'!$D$24,'Operating Assumptions'!$D$25&gt;0),'Operating Assumptions'!$D$25,IF(AND('Operating Assumptions'!$D$29="No",FG$11&lt;'Operating Assumptions'!$D$22),0,IF(AND('Operating Assumptions'!$D$29="Yes",FG$11&lt;'Operating Assumptions'!$D$31),0,IF(FG$33&gt;'Operating Assumptions'!$D$26,'Operating Assumptions'!$D$26,IF(FG$33='Operating Assumptions'!$D$26,'Operating Assumptions'!$D$26,IF(AND(FG$33&gt;0,FG$33&lt;'Operating Assumptions'!$D$26),FG$33,IF(FG$33=0,0))))))))</f>
        <v>0</v>
      </c>
      <c r="FH34" s="508">
        <f>IF(AND(FH$11&lt;'Operating Assumptions'!$D$22,'Operating Assumptions'!$D$25=0),0,IF(AND(FH$11&lt;'Operating Assumptions'!$D$22,FH$11='Operating Assumptions'!$D$24,'Operating Assumptions'!$D$25&gt;0),'Operating Assumptions'!$D$25,IF(AND('Operating Assumptions'!$D$29="No",FH$11&lt;'Operating Assumptions'!$D$22),0,IF(AND('Operating Assumptions'!$D$29="Yes",FH$11&lt;'Operating Assumptions'!$D$31),0,IF(FH$33&gt;'Operating Assumptions'!$D$26,'Operating Assumptions'!$D$26,IF(FH$33='Operating Assumptions'!$D$26,'Operating Assumptions'!$D$26,IF(AND(FH$33&gt;0,FH$33&lt;'Operating Assumptions'!$D$26),FH$33,IF(FH$33=0,0))))))))</f>
        <v>0</v>
      </c>
      <c r="FI34" s="508">
        <f>IF(AND(FI$11&lt;'Operating Assumptions'!$D$22,'Operating Assumptions'!$D$25=0),0,IF(AND(FI$11&lt;'Operating Assumptions'!$D$22,FI$11='Operating Assumptions'!$D$24,'Operating Assumptions'!$D$25&gt;0),'Operating Assumptions'!$D$25,IF(AND('Operating Assumptions'!$D$29="No",FI$11&lt;'Operating Assumptions'!$D$22),0,IF(AND('Operating Assumptions'!$D$29="Yes",FI$11&lt;'Operating Assumptions'!$D$31),0,IF(FI$33&gt;'Operating Assumptions'!$D$26,'Operating Assumptions'!$D$26,IF(FI$33='Operating Assumptions'!$D$26,'Operating Assumptions'!$D$26,IF(AND(FI$33&gt;0,FI$33&lt;'Operating Assumptions'!$D$26),FI$33,IF(FI$33=0,0))))))))</f>
        <v>0</v>
      </c>
      <c r="FJ34" s="508">
        <f>IF(AND(FJ$11&lt;'Operating Assumptions'!$D$22,'Operating Assumptions'!$D$25=0),0,IF(AND(FJ$11&lt;'Operating Assumptions'!$D$22,FJ$11='Operating Assumptions'!$D$24,'Operating Assumptions'!$D$25&gt;0),'Operating Assumptions'!$D$25,IF(AND('Operating Assumptions'!$D$29="No",FJ$11&lt;'Operating Assumptions'!$D$22),0,IF(AND('Operating Assumptions'!$D$29="Yes",FJ$11&lt;'Operating Assumptions'!$D$31),0,IF(FJ$33&gt;'Operating Assumptions'!$D$26,'Operating Assumptions'!$D$26,IF(FJ$33='Operating Assumptions'!$D$26,'Operating Assumptions'!$D$26,IF(AND(FJ$33&gt;0,FJ$33&lt;'Operating Assumptions'!$D$26),FJ$33,IF(FJ$33=0,0))))))))</f>
        <v>0</v>
      </c>
      <c r="FK34" s="508">
        <f>IF(AND(FK$11&lt;'Operating Assumptions'!$D$22,'Operating Assumptions'!$D$25=0),0,IF(AND(FK$11&lt;'Operating Assumptions'!$D$22,FK$11='Operating Assumptions'!$D$24,'Operating Assumptions'!$D$25&gt;0),'Operating Assumptions'!$D$25,IF(AND('Operating Assumptions'!$D$29="No",FK$11&lt;'Operating Assumptions'!$D$22),0,IF(AND('Operating Assumptions'!$D$29="Yes",FK$11&lt;'Operating Assumptions'!$D$31),0,IF(FK$33&gt;'Operating Assumptions'!$D$26,'Operating Assumptions'!$D$26,IF(FK$33='Operating Assumptions'!$D$26,'Operating Assumptions'!$D$26,IF(AND(FK$33&gt;0,FK$33&lt;'Operating Assumptions'!$D$26),FK$33,IF(FK$33=0,0))))))))</f>
        <v>0</v>
      </c>
      <c r="FL34" s="508">
        <f>IF(AND(FL$11&lt;'Operating Assumptions'!$D$22,'Operating Assumptions'!$D$25=0),0,IF(AND(FL$11&lt;'Operating Assumptions'!$D$22,FL$11='Operating Assumptions'!$D$24,'Operating Assumptions'!$D$25&gt;0),'Operating Assumptions'!$D$25,IF(AND('Operating Assumptions'!$D$29="No",FL$11&lt;'Operating Assumptions'!$D$22),0,IF(AND('Operating Assumptions'!$D$29="Yes",FL$11&lt;'Operating Assumptions'!$D$31),0,IF(FL$33&gt;'Operating Assumptions'!$D$26,'Operating Assumptions'!$D$26,IF(FL$33='Operating Assumptions'!$D$26,'Operating Assumptions'!$D$26,IF(AND(FL$33&gt;0,FL$33&lt;'Operating Assumptions'!$D$26),FL$33,IF(FL$33=0,0))))))))</f>
        <v>0</v>
      </c>
      <c r="FM34" s="508">
        <f>IF(AND(FM$11&lt;'Operating Assumptions'!$D$22,'Operating Assumptions'!$D$25=0),0,IF(AND(FM$11&lt;'Operating Assumptions'!$D$22,FM$11='Operating Assumptions'!$D$24,'Operating Assumptions'!$D$25&gt;0),'Operating Assumptions'!$D$25,IF(AND('Operating Assumptions'!$D$29="No",FM$11&lt;'Operating Assumptions'!$D$22),0,IF(AND('Operating Assumptions'!$D$29="Yes",FM$11&lt;'Operating Assumptions'!$D$31),0,IF(FM$33&gt;'Operating Assumptions'!$D$26,'Operating Assumptions'!$D$26,IF(FM$33='Operating Assumptions'!$D$26,'Operating Assumptions'!$D$26,IF(AND(FM$33&gt;0,FM$33&lt;'Operating Assumptions'!$D$26),FM$33,IF(FM$33=0,0))))))))</f>
        <v>0</v>
      </c>
      <c r="FN34" s="508">
        <f>IF(AND(FN$11&lt;'Operating Assumptions'!$D$22,'Operating Assumptions'!$D$25=0),0,IF(AND(FN$11&lt;'Operating Assumptions'!$D$22,FN$11='Operating Assumptions'!$D$24,'Operating Assumptions'!$D$25&gt;0),'Operating Assumptions'!$D$25,IF(AND('Operating Assumptions'!$D$29="No",FN$11&lt;'Operating Assumptions'!$D$22),0,IF(AND('Operating Assumptions'!$D$29="Yes",FN$11&lt;'Operating Assumptions'!$D$31),0,IF(FN$33&gt;'Operating Assumptions'!$D$26,'Operating Assumptions'!$D$26,IF(FN$33='Operating Assumptions'!$D$26,'Operating Assumptions'!$D$26,IF(AND(FN$33&gt;0,FN$33&lt;'Operating Assumptions'!$D$26),FN$33,IF(FN$33=0,0))))))))</f>
        <v>0</v>
      </c>
      <c r="FO34" s="508">
        <f>IF(AND(FO$11&lt;'Operating Assumptions'!$D$22,'Operating Assumptions'!$D$25=0),0,IF(AND(FO$11&lt;'Operating Assumptions'!$D$22,FO$11='Operating Assumptions'!$D$24,'Operating Assumptions'!$D$25&gt;0),'Operating Assumptions'!$D$25,IF(AND('Operating Assumptions'!$D$29="No",FO$11&lt;'Operating Assumptions'!$D$22),0,IF(AND('Operating Assumptions'!$D$29="Yes",FO$11&lt;'Operating Assumptions'!$D$31),0,IF(FO$33&gt;'Operating Assumptions'!$D$26,'Operating Assumptions'!$D$26,IF(FO$33='Operating Assumptions'!$D$26,'Operating Assumptions'!$D$26,IF(AND(FO$33&gt;0,FO$33&lt;'Operating Assumptions'!$D$26),FO$33,IF(FO$33=0,0))))))))</f>
        <v>0</v>
      </c>
      <c r="FP34" s="508">
        <f>IF(AND(FP$11&lt;'Operating Assumptions'!$D$22,'Operating Assumptions'!$D$25=0),0,IF(AND(FP$11&lt;'Operating Assumptions'!$D$22,FP$11='Operating Assumptions'!$D$24,'Operating Assumptions'!$D$25&gt;0),'Operating Assumptions'!$D$25,IF(AND('Operating Assumptions'!$D$29="No",FP$11&lt;'Operating Assumptions'!$D$22),0,IF(AND('Operating Assumptions'!$D$29="Yes",FP$11&lt;'Operating Assumptions'!$D$31),0,IF(FP$33&gt;'Operating Assumptions'!$D$26,'Operating Assumptions'!$D$26,IF(FP$33='Operating Assumptions'!$D$26,'Operating Assumptions'!$D$26,IF(AND(FP$33&gt;0,FP$33&lt;'Operating Assumptions'!$D$26),FP$33,IF(FP$33=0,0))))))))</f>
        <v>0</v>
      </c>
      <c r="FQ34" s="508">
        <f>IF(AND(FQ$11&lt;'Operating Assumptions'!$D$22,'Operating Assumptions'!$D$25=0),0,IF(AND(FQ$11&lt;'Operating Assumptions'!$D$22,FQ$11='Operating Assumptions'!$D$24,'Operating Assumptions'!$D$25&gt;0),'Operating Assumptions'!$D$25,IF(AND('Operating Assumptions'!$D$29="No",FQ$11&lt;'Operating Assumptions'!$D$22),0,IF(AND('Operating Assumptions'!$D$29="Yes",FQ$11&lt;'Operating Assumptions'!$D$31),0,IF(FQ$33&gt;'Operating Assumptions'!$D$26,'Operating Assumptions'!$D$26,IF(FQ$33='Operating Assumptions'!$D$26,'Operating Assumptions'!$D$26,IF(AND(FQ$33&gt;0,FQ$33&lt;'Operating Assumptions'!$D$26),FQ$33,IF(FQ$33=0,0))))))))</f>
        <v>0</v>
      </c>
      <c r="FR34" s="508">
        <f>IF(AND(FR$11&lt;'Operating Assumptions'!$D$22,'Operating Assumptions'!$D$25=0),0,IF(AND(FR$11&lt;'Operating Assumptions'!$D$22,FR$11='Operating Assumptions'!$D$24,'Operating Assumptions'!$D$25&gt;0),'Operating Assumptions'!$D$25,IF(AND('Operating Assumptions'!$D$29="No",FR$11&lt;'Operating Assumptions'!$D$22),0,IF(AND('Operating Assumptions'!$D$29="Yes",FR$11&lt;'Operating Assumptions'!$D$31),0,IF(FR$33&gt;'Operating Assumptions'!$D$26,'Operating Assumptions'!$D$26,IF(FR$33='Operating Assumptions'!$D$26,'Operating Assumptions'!$D$26,IF(AND(FR$33&gt;0,FR$33&lt;'Operating Assumptions'!$D$26),FR$33,IF(FR$33=0,0))))))))</f>
        <v>0</v>
      </c>
      <c r="FS34" s="508">
        <f>IF(AND(FS$11&lt;'Operating Assumptions'!$D$22,'Operating Assumptions'!$D$25=0),0,IF(AND(FS$11&lt;'Operating Assumptions'!$D$22,FS$11='Operating Assumptions'!$D$24,'Operating Assumptions'!$D$25&gt;0),'Operating Assumptions'!$D$25,IF(AND('Operating Assumptions'!$D$29="No",FS$11&lt;'Operating Assumptions'!$D$22),0,IF(AND('Operating Assumptions'!$D$29="Yes",FS$11&lt;'Operating Assumptions'!$D$31),0,IF(FS$33&gt;'Operating Assumptions'!$D$26,'Operating Assumptions'!$D$26,IF(FS$33='Operating Assumptions'!$D$26,'Operating Assumptions'!$D$26,IF(AND(FS$33&gt;0,FS$33&lt;'Operating Assumptions'!$D$26),FS$33,IF(FS$33=0,0))))))))</f>
        <v>0</v>
      </c>
      <c r="FT34" s="508">
        <f>IF(AND(FT$11&lt;'Operating Assumptions'!$D$22,'Operating Assumptions'!$D$25=0),0,IF(AND(FT$11&lt;'Operating Assumptions'!$D$22,FT$11='Operating Assumptions'!$D$24,'Operating Assumptions'!$D$25&gt;0),'Operating Assumptions'!$D$25,IF(AND('Operating Assumptions'!$D$29="No",FT$11&lt;'Operating Assumptions'!$D$22),0,IF(AND('Operating Assumptions'!$D$29="Yes",FT$11&lt;'Operating Assumptions'!$D$31),0,IF(FT$33&gt;'Operating Assumptions'!$D$26,'Operating Assumptions'!$D$26,IF(FT$33='Operating Assumptions'!$D$26,'Operating Assumptions'!$D$26,IF(AND(FT$33&gt;0,FT$33&lt;'Operating Assumptions'!$D$26),FT$33,IF(FT$33=0,0))))))))</f>
        <v>0</v>
      </c>
      <c r="FU34" s="43"/>
      <c r="FV34" s="34"/>
      <c r="FW34" s="34"/>
      <c r="FX34" s="34"/>
      <c r="FY34" s="34"/>
      <c r="FZ34" s="34"/>
    </row>
    <row r="35" spans="1:182" s="89" customFormat="1" ht="13.5" x14ac:dyDescent="0.25">
      <c r="A35" s="34"/>
      <c r="B35" s="128" t="s">
        <v>230</v>
      </c>
      <c r="C35" s="34"/>
      <c r="D35" s="34"/>
      <c r="E35" s="34"/>
      <c r="F35" s="510">
        <f>FT35</f>
        <v>0</v>
      </c>
      <c r="G35" s="34"/>
      <c r="H35" s="508">
        <f>H$33-H$34</f>
        <v>0</v>
      </c>
      <c r="I35" s="508">
        <f t="shared" ref="I35:BT35" si="144">I$33-I$34</f>
        <v>0</v>
      </c>
      <c r="J35" s="508">
        <f t="shared" si="144"/>
        <v>0</v>
      </c>
      <c r="K35" s="508">
        <f t="shared" si="144"/>
        <v>0</v>
      </c>
      <c r="L35" s="508">
        <f t="shared" si="144"/>
        <v>0</v>
      </c>
      <c r="M35" s="508">
        <f>M$33-M$34</f>
        <v>0</v>
      </c>
      <c r="N35" s="508">
        <f t="shared" si="144"/>
        <v>0</v>
      </c>
      <c r="O35" s="508">
        <f t="shared" si="144"/>
        <v>0</v>
      </c>
      <c r="P35" s="508">
        <f t="shared" si="144"/>
        <v>0</v>
      </c>
      <c r="Q35" s="508">
        <f t="shared" si="144"/>
        <v>0</v>
      </c>
      <c r="R35" s="508">
        <f t="shared" si="144"/>
        <v>0</v>
      </c>
      <c r="S35" s="508">
        <f t="shared" si="144"/>
        <v>0</v>
      </c>
      <c r="T35" s="508">
        <f t="shared" si="144"/>
        <v>0</v>
      </c>
      <c r="U35" s="508">
        <f t="shared" si="144"/>
        <v>0</v>
      </c>
      <c r="V35" s="508">
        <f t="shared" si="144"/>
        <v>0</v>
      </c>
      <c r="W35" s="508">
        <f t="shared" si="144"/>
        <v>0</v>
      </c>
      <c r="X35" s="508">
        <f t="shared" si="144"/>
        <v>-1</v>
      </c>
      <c r="Y35" s="508">
        <f t="shared" si="144"/>
        <v>104</v>
      </c>
      <c r="Z35" s="508">
        <f t="shared" si="144"/>
        <v>84</v>
      </c>
      <c r="AA35" s="508">
        <f t="shared" si="144"/>
        <v>64</v>
      </c>
      <c r="AB35" s="508">
        <f t="shared" si="144"/>
        <v>44</v>
      </c>
      <c r="AC35" s="508">
        <f t="shared" si="144"/>
        <v>24</v>
      </c>
      <c r="AD35" s="508">
        <f t="shared" si="144"/>
        <v>4</v>
      </c>
      <c r="AE35" s="508">
        <f t="shared" si="144"/>
        <v>0</v>
      </c>
      <c r="AF35" s="508">
        <f t="shared" si="144"/>
        <v>0</v>
      </c>
      <c r="AG35" s="508">
        <f t="shared" si="144"/>
        <v>0</v>
      </c>
      <c r="AH35" s="508">
        <f t="shared" si="144"/>
        <v>95</v>
      </c>
      <c r="AI35" s="508">
        <f t="shared" si="144"/>
        <v>75</v>
      </c>
      <c r="AJ35" s="508">
        <f t="shared" si="144"/>
        <v>55</v>
      </c>
      <c r="AK35" s="508">
        <f t="shared" si="144"/>
        <v>35</v>
      </c>
      <c r="AL35" s="508">
        <f>AL$33-AL$34</f>
        <v>15</v>
      </c>
      <c r="AM35" s="508">
        <f>AM$33-AM$34</f>
        <v>0</v>
      </c>
      <c r="AN35" s="508">
        <f>AN$33-AN$34</f>
        <v>0</v>
      </c>
      <c r="AO35" s="508">
        <f t="shared" si="144"/>
        <v>0</v>
      </c>
      <c r="AP35" s="508">
        <f t="shared" si="144"/>
        <v>0</v>
      </c>
      <c r="AQ35" s="508">
        <f t="shared" si="144"/>
        <v>0</v>
      </c>
      <c r="AR35" s="508">
        <f t="shared" si="144"/>
        <v>0</v>
      </c>
      <c r="AS35" s="508">
        <f t="shared" si="144"/>
        <v>0</v>
      </c>
      <c r="AT35" s="508">
        <f t="shared" ref="AT35:AZ35" si="145">AT$33-AT$34</f>
        <v>0</v>
      </c>
      <c r="AU35" s="508">
        <f t="shared" si="145"/>
        <v>0</v>
      </c>
      <c r="AV35" s="508">
        <f t="shared" si="145"/>
        <v>0</v>
      </c>
      <c r="AW35" s="508">
        <f t="shared" si="145"/>
        <v>0</v>
      </c>
      <c r="AX35" s="508">
        <f t="shared" si="145"/>
        <v>0</v>
      </c>
      <c r="AY35" s="508">
        <f t="shared" si="145"/>
        <v>0</v>
      </c>
      <c r="AZ35" s="508">
        <f t="shared" si="145"/>
        <v>0</v>
      </c>
      <c r="BA35" s="508">
        <f t="shared" si="144"/>
        <v>0</v>
      </c>
      <c r="BB35" s="508">
        <f t="shared" si="144"/>
        <v>0</v>
      </c>
      <c r="BC35" s="508">
        <f t="shared" si="144"/>
        <v>0</v>
      </c>
      <c r="BD35" s="508">
        <f t="shared" si="144"/>
        <v>0</v>
      </c>
      <c r="BE35" s="508">
        <f t="shared" si="144"/>
        <v>0</v>
      </c>
      <c r="BF35" s="508">
        <f t="shared" si="144"/>
        <v>0</v>
      </c>
      <c r="BG35" s="508">
        <f t="shared" si="144"/>
        <v>0</v>
      </c>
      <c r="BH35" s="508">
        <f t="shared" si="144"/>
        <v>0</v>
      </c>
      <c r="BI35" s="508">
        <f t="shared" si="144"/>
        <v>0</v>
      </c>
      <c r="BJ35" s="508">
        <f t="shared" si="144"/>
        <v>0</v>
      </c>
      <c r="BK35" s="508">
        <f t="shared" si="144"/>
        <v>0</v>
      </c>
      <c r="BL35" s="508">
        <f t="shared" si="144"/>
        <v>0</v>
      </c>
      <c r="BM35" s="508">
        <f t="shared" si="144"/>
        <v>0</v>
      </c>
      <c r="BN35" s="508">
        <f t="shared" si="144"/>
        <v>0</v>
      </c>
      <c r="BO35" s="508">
        <f t="shared" si="144"/>
        <v>0</v>
      </c>
      <c r="BP35" s="508">
        <f>BP$33-BP$34</f>
        <v>0</v>
      </c>
      <c r="BQ35" s="508">
        <f t="shared" si="144"/>
        <v>0</v>
      </c>
      <c r="BR35" s="508">
        <f t="shared" si="144"/>
        <v>0</v>
      </c>
      <c r="BS35" s="508">
        <f t="shared" si="144"/>
        <v>0</v>
      </c>
      <c r="BT35" s="508">
        <f t="shared" si="144"/>
        <v>0</v>
      </c>
      <c r="BU35" s="508">
        <f t="shared" ref="BU35:EF35" si="146">BU$33-BU$34</f>
        <v>0</v>
      </c>
      <c r="BV35" s="508">
        <f>BV$33-BV$34</f>
        <v>0</v>
      </c>
      <c r="BW35" s="508">
        <f t="shared" si="146"/>
        <v>0</v>
      </c>
      <c r="BX35" s="508">
        <f t="shared" si="146"/>
        <v>0</v>
      </c>
      <c r="BY35" s="508">
        <f t="shared" si="146"/>
        <v>0</v>
      </c>
      <c r="BZ35" s="508">
        <f t="shared" si="146"/>
        <v>0</v>
      </c>
      <c r="CA35" s="508">
        <f t="shared" si="146"/>
        <v>0</v>
      </c>
      <c r="CB35" s="508">
        <f t="shared" si="146"/>
        <v>0</v>
      </c>
      <c r="CC35" s="508">
        <f t="shared" si="146"/>
        <v>0</v>
      </c>
      <c r="CD35" s="508">
        <f t="shared" si="146"/>
        <v>0</v>
      </c>
      <c r="CE35" s="508">
        <f t="shared" si="146"/>
        <v>0</v>
      </c>
      <c r="CF35" s="508">
        <f t="shared" si="146"/>
        <v>0</v>
      </c>
      <c r="CG35" s="508">
        <f t="shared" si="146"/>
        <v>0</v>
      </c>
      <c r="CH35" s="508">
        <f t="shared" si="146"/>
        <v>0</v>
      </c>
      <c r="CI35" s="508">
        <f t="shared" si="146"/>
        <v>0</v>
      </c>
      <c r="CJ35" s="508">
        <f t="shared" si="146"/>
        <v>0</v>
      </c>
      <c r="CK35" s="508">
        <f t="shared" si="146"/>
        <v>0</v>
      </c>
      <c r="CL35" s="508">
        <f t="shared" si="146"/>
        <v>0</v>
      </c>
      <c r="CM35" s="508">
        <f t="shared" si="146"/>
        <v>0</v>
      </c>
      <c r="CN35" s="508">
        <f t="shared" si="146"/>
        <v>0</v>
      </c>
      <c r="CO35" s="508">
        <f t="shared" si="146"/>
        <v>0</v>
      </c>
      <c r="CP35" s="508">
        <f t="shared" si="146"/>
        <v>0</v>
      </c>
      <c r="CQ35" s="508">
        <f t="shared" si="146"/>
        <v>0</v>
      </c>
      <c r="CR35" s="508">
        <f t="shared" si="146"/>
        <v>0</v>
      </c>
      <c r="CS35" s="508">
        <f t="shared" si="146"/>
        <v>0</v>
      </c>
      <c r="CT35" s="508">
        <f t="shared" si="146"/>
        <v>0</v>
      </c>
      <c r="CU35" s="508">
        <f t="shared" si="146"/>
        <v>0</v>
      </c>
      <c r="CV35" s="508">
        <f t="shared" si="146"/>
        <v>0</v>
      </c>
      <c r="CW35" s="508">
        <f t="shared" si="146"/>
        <v>0</v>
      </c>
      <c r="CX35" s="508">
        <f t="shared" si="146"/>
        <v>0</v>
      </c>
      <c r="CY35" s="508">
        <f t="shared" si="146"/>
        <v>0</v>
      </c>
      <c r="CZ35" s="508">
        <f t="shared" si="146"/>
        <v>0</v>
      </c>
      <c r="DA35" s="508">
        <f t="shared" si="146"/>
        <v>0</v>
      </c>
      <c r="DB35" s="508">
        <f t="shared" si="146"/>
        <v>0</v>
      </c>
      <c r="DC35" s="508">
        <f t="shared" si="146"/>
        <v>0</v>
      </c>
      <c r="DD35" s="508">
        <f t="shared" si="146"/>
        <v>0</v>
      </c>
      <c r="DE35" s="508">
        <f t="shared" si="146"/>
        <v>0</v>
      </c>
      <c r="DF35" s="508">
        <f t="shared" si="146"/>
        <v>0</v>
      </c>
      <c r="DG35" s="508">
        <f t="shared" si="146"/>
        <v>0</v>
      </c>
      <c r="DH35" s="508">
        <f t="shared" si="146"/>
        <v>0</v>
      </c>
      <c r="DI35" s="508">
        <f t="shared" si="146"/>
        <v>0</v>
      </c>
      <c r="DJ35" s="508">
        <f t="shared" si="146"/>
        <v>0</v>
      </c>
      <c r="DK35" s="508">
        <f t="shared" si="146"/>
        <v>0</v>
      </c>
      <c r="DL35" s="508">
        <f t="shared" si="146"/>
        <v>0</v>
      </c>
      <c r="DM35" s="508">
        <f t="shared" si="146"/>
        <v>0</v>
      </c>
      <c r="DN35" s="508">
        <f t="shared" si="146"/>
        <v>0</v>
      </c>
      <c r="DO35" s="508">
        <f t="shared" si="146"/>
        <v>0</v>
      </c>
      <c r="DP35" s="508">
        <f t="shared" si="146"/>
        <v>0</v>
      </c>
      <c r="DQ35" s="508">
        <f t="shared" si="146"/>
        <v>0</v>
      </c>
      <c r="DR35" s="508">
        <f t="shared" si="146"/>
        <v>0</v>
      </c>
      <c r="DS35" s="508">
        <f t="shared" si="146"/>
        <v>0</v>
      </c>
      <c r="DT35" s="508">
        <f t="shared" si="146"/>
        <v>0</v>
      </c>
      <c r="DU35" s="508">
        <f t="shared" si="146"/>
        <v>0</v>
      </c>
      <c r="DV35" s="508">
        <f t="shared" si="146"/>
        <v>0</v>
      </c>
      <c r="DW35" s="508">
        <f t="shared" si="146"/>
        <v>0</v>
      </c>
      <c r="DX35" s="508">
        <f t="shared" si="146"/>
        <v>0</v>
      </c>
      <c r="DY35" s="508">
        <f t="shared" si="146"/>
        <v>0</v>
      </c>
      <c r="DZ35" s="508">
        <f t="shared" si="146"/>
        <v>0</v>
      </c>
      <c r="EA35" s="508">
        <f t="shared" si="146"/>
        <v>0</v>
      </c>
      <c r="EB35" s="508">
        <f t="shared" si="146"/>
        <v>0</v>
      </c>
      <c r="EC35" s="508">
        <f t="shared" si="146"/>
        <v>0</v>
      </c>
      <c r="ED35" s="508">
        <f t="shared" si="146"/>
        <v>0</v>
      </c>
      <c r="EE35" s="508">
        <f t="shared" si="146"/>
        <v>0</v>
      </c>
      <c r="EF35" s="508">
        <f t="shared" si="146"/>
        <v>0</v>
      </c>
      <c r="EG35" s="508">
        <f t="shared" ref="EG35:FT35" si="147">EG$33-EG$34</f>
        <v>0</v>
      </c>
      <c r="EH35" s="508">
        <f t="shared" si="147"/>
        <v>0</v>
      </c>
      <c r="EI35" s="508">
        <f t="shared" si="147"/>
        <v>0</v>
      </c>
      <c r="EJ35" s="508">
        <f t="shared" si="147"/>
        <v>0</v>
      </c>
      <c r="EK35" s="508">
        <f t="shared" si="147"/>
        <v>0</v>
      </c>
      <c r="EL35" s="508">
        <f t="shared" si="147"/>
        <v>0</v>
      </c>
      <c r="EM35" s="508">
        <f t="shared" si="147"/>
        <v>0</v>
      </c>
      <c r="EN35" s="508">
        <f t="shared" si="147"/>
        <v>0</v>
      </c>
      <c r="EO35" s="508">
        <f t="shared" si="147"/>
        <v>0</v>
      </c>
      <c r="EP35" s="508">
        <f t="shared" si="147"/>
        <v>0</v>
      </c>
      <c r="EQ35" s="508">
        <f t="shared" si="147"/>
        <v>0</v>
      </c>
      <c r="ER35" s="508">
        <f t="shared" si="147"/>
        <v>0</v>
      </c>
      <c r="ES35" s="508">
        <f t="shared" si="147"/>
        <v>0</v>
      </c>
      <c r="ET35" s="508">
        <f t="shared" si="147"/>
        <v>0</v>
      </c>
      <c r="EU35" s="508">
        <f t="shared" si="147"/>
        <v>0</v>
      </c>
      <c r="EV35" s="508">
        <f t="shared" si="147"/>
        <v>0</v>
      </c>
      <c r="EW35" s="508">
        <f t="shared" si="147"/>
        <v>0</v>
      </c>
      <c r="EX35" s="508">
        <f t="shared" si="147"/>
        <v>0</v>
      </c>
      <c r="EY35" s="508">
        <f t="shared" si="147"/>
        <v>0</v>
      </c>
      <c r="EZ35" s="508">
        <f t="shared" si="147"/>
        <v>0</v>
      </c>
      <c r="FA35" s="508">
        <f t="shared" si="147"/>
        <v>0</v>
      </c>
      <c r="FB35" s="508">
        <f t="shared" si="147"/>
        <v>0</v>
      </c>
      <c r="FC35" s="508">
        <f t="shared" si="147"/>
        <v>0</v>
      </c>
      <c r="FD35" s="508">
        <f t="shared" si="147"/>
        <v>0</v>
      </c>
      <c r="FE35" s="508">
        <f t="shared" si="147"/>
        <v>0</v>
      </c>
      <c r="FF35" s="508">
        <f t="shared" si="147"/>
        <v>0</v>
      </c>
      <c r="FG35" s="508">
        <f t="shared" si="147"/>
        <v>0</v>
      </c>
      <c r="FH35" s="508">
        <f t="shared" si="147"/>
        <v>0</v>
      </c>
      <c r="FI35" s="508">
        <f t="shared" si="147"/>
        <v>0</v>
      </c>
      <c r="FJ35" s="508">
        <f t="shared" si="147"/>
        <v>0</v>
      </c>
      <c r="FK35" s="508">
        <f t="shared" si="147"/>
        <v>0</v>
      </c>
      <c r="FL35" s="508">
        <f t="shared" si="147"/>
        <v>0</v>
      </c>
      <c r="FM35" s="508">
        <f t="shared" si="147"/>
        <v>0</v>
      </c>
      <c r="FN35" s="508">
        <f t="shared" si="147"/>
        <v>0</v>
      </c>
      <c r="FO35" s="508">
        <f t="shared" si="147"/>
        <v>0</v>
      </c>
      <c r="FP35" s="508">
        <f t="shared" si="147"/>
        <v>0</v>
      </c>
      <c r="FQ35" s="508">
        <f t="shared" si="147"/>
        <v>0</v>
      </c>
      <c r="FR35" s="508">
        <f t="shared" si="147"/>
        <v>0</v>
      </c>
      <c r="FS35" s="508">
        <f t="shared" si="147"/>
        <v>0</v>
      </c>
      <c r="FT35" s="508">
        <f t="shared" si="147"/>
        <v>0</v>
      </c>
      <c r="FU35" s="43"/>
      <c r="FV35" s="34"/>
      <c r="FW35" s="34"/>
      <c r="FX35" s="34"/>
      <c r="FY35" s="34"/>
      <c r="FZ35" s="34"/>
    </row>
    <row r="36" spans="1:182" s="89" customFormat="1" ht="13.5" x14ac:dyDescent="0.25">
      <c r="A36" s="34"/>
      <c r="B36" s="128" t="s">
        <v>231</v>
      </c>
      <c r="C36" s="34"/>
      <c r="D36" s="34"/>
      <c r="E36" s="34"/>
      <c r="F36" s="510"/>
      <c r="G36" s="34"/>
      <c r="H36" s="508">
        <f>H34</f>
        <v>0</v>
      </c>
      <c r="I36" s="508">
        <f>SUM($H$34:I34)</f>
        <v>0</v>
      </c>
      <c r="J36" s="508">
        <f>SUM($H$34:J34)</f>
        <v>0</v>
      </c>
      <c r="K36" s="508">
        <f>SUM($H$34:K34)</f>
        <v>0</v>
      </c>
      <c r="L36" s="508">
        <f>SUM($H$34:L34)</f>
        <v>0</v>
      </c>
      <c r="M36" s="508">
        <f>SUM($H$34:M34)</f>
        <v>0</v>
      </c>
      <c r="N36" s="508">
        <f>SUM($H$34:N34)</f>
        <v>0</v>
      </c>
      <c r="O36" s="508">
        <f>SUM($H$34:O34)</f>
        <v>0</v>
      </c>
      <c r="P36" s="508">
        <f>SUM($H$34:P34)</f>
        <v>0</v>
      </c>
      <c r="Q36" s="508">
        <f>SUM($H$34:Q34)</f>
        <v>0</v>
      </c>
      <c r="R36" s="508">
        <f>SUM($H$34:R34)</f>
        <v>0</v>
      </c>
      <c r="S36" s="508">
        <f>SUM($H$34:S34)</f>
        <v>0</v>
      </c>
      <c r="T36" s="508">
        <f>SUM($H$34:T34)</f>
        <v>0</v>
      </c>
      <c r="U36" s="508">
        <f>SUM($H$34:U34)</f>
        <v>0</v>
      </c>
      <c r="V36" s="508">
        <f>SUM($H$34:V34)</f>
        <v>0</v>
      </c>
      <c r="W36" s="508">
        <f>SUM($H$34:W34)</f>
        <v>0</v>
      </c>
      <c r="X36" s="508">
        <f>SUM($H$34:X34)</f>
        <v>1</v>
      </c>
      <c r="Y36" s="508">
        <f>SUM($H$34:Y34)</f>
        <v>21</v>
      </c>
      <c r="Z36" s="508">
        <f>SUM($H$34:Z34)</f>
        <v>41</v>
      </c>
      <c r="AA36" s="508">
        <f>SUM($H$34:AA34)</f>
        <v>61</v>
      </c>
      <c r="AB36" s="508">
        <f>SUM($H$34:AB34)</f>
        <v>81</v>
      </c>
      <c r="AC36" s="508">
        <f>SUM($H$34:AC34)</f>
        <v>101</v>
      </c>
      <c r="AD36" s="508">
        <f>SUM($H$34:AD34)</f>
        <v>121</v>
      </c>
      <c r="AE36" s="508">
        <f>SUM($H$34:AE34)</f>
        <v>125</v>
      </c>
      <c r="AF36" s="508">
        <f>SUM($H$34:AF34)</f>
        <v>125</v>
      </c>
      <c r="AG36" s="508">
        <f>SUM($H$34:AG34)</f>
        <v>125</v>
      </c>
      <c r="AH36" s="508">
        <f>SUM($H$34:AH34)</f>
        <v>145</v>
      </c>
      <c r="AI36" s="508">
        <f>SUM($H$34:AI34)</f>
        <v>165</v>
      </c>
      <c r="AJ36" s="508">
        <f>SUM($H$34:AJ34)</f>
        <v>185</v>
      </c>
      <c r="AK36" s="508">
        <f>SUM($H$34:AK34)</f>
        <v>205</v>
      </c>
      <c r="AL36" s="508">
        <f>SUM($H$34:AL34)</f>
        <v>225</v>
      </c>
      <c r="AM36" s="508">
        <f>SUM($H$34:AM34)</f>
        <v>240</v>
      </c>
      <c r="AN36" s="508">
        <f>SUM($H$34:AN34)</f>
        <v>240</v>
      </c>
      <c r="AO36" s="508">
        <f>SUM($H$34:AO34)</f>
        <v>240</v>
      </c>
      <c r="AP36" s="508">
        <f>SUM($H$34:AP34)</f>
        <v>240</v>
      </c>
      <c r="AQ36" s="508">
        <f>SUM($H$34:AQ34)</f>
        <v>240</v>
      </c>
      <c r="AR36" s="508">
        <f>SUM($H$34:AR34)</f>
        <v>240</v>
      </c>
      <c r="AS36" s="508">
        <f>SUM($H$34:AS34)</f>
        <v>240</v>
      </c>
      <c r="AT36" s="508">
        <f>SUM($H$34:AT34)</f>
        <v>240</v>
      </c>
      <c r="AU36" s="508">
        <f>SUM($H$34:AU34)</f>
        <v>240</v>
      </c>
      <c r="AV36" s="508">
        <f>SUM($H$34:AV34)</f>
        <v>240</v>
      </c>
      <c r="AW36" s="508">
        <f>SUM($H$34:AW34)</f>
        <v>240</v>
      </c>
      <c r="AX36" s="508">
        <f>SUM($H$34:AX34)</f>
        <v>240</v>
      </c>
      <c r="AY36" s="508">
        <f>SUM($H$34:AY34)</f>
        <v>240</v>
      </c>
      <c r="AZ36" s="508">
        <f>SUM($H$34:AZ34)</f>
        <v>240</v>
      </c>
      <c r="BA36" s="508">
        <f>SUM($H$34:BA34)</f>
        <v>240</v>
      </c>
      <c r="BB36" s="508">
        <f>SUM($H$34:BB34)</f>
        <v>240</v>
      </c>
      <c r="BC36" s="508">
        <f>SUM($H$34:BC34)</f>
        <v>240</v>
      </c>
      <c r="BD36" s="508">
        <f>SUM($H$34:BD34)</f>
        <v>240</v>
      </c>
      <c r="BE36" s="508">
        <f>SUM($H$34:BE34)</f>
        <v>240</v>
      </c>
      <c r="BF36" s="508">
        <f>SUM($H$34:BF34)</f>
        <v>240</v>
      </c>
      <c r="BG36" s="508">
        <f>SUM($H$34:BG34)</f>
        <v>240</v>
      </c>
      <c r="BH36" s="508">
        <f>SUM($H$34:BH34)</f>
        <v>240</v>
      </c>
      <c r="BI36" s="508">
        <f>SUM($H$34:BI34)</f>
        <v>240</v>
      </c>
      <c r="BJ36" s="508">
        <f>SUM($H$34:BJ34)</f>
        <v>240</v>
      </c>
      <c r="BK36" s="508">
        <f>SUM($H$34:BK34)</f>
        <v>240</v>
      </c>
      <c r="BL36" s="508">
        <f>SUM($H$34:BL34)</f>
        <v>240</v>
      </c>
      <c r="BM36" s="508">
        <f>SUM($H$34:BM34)</f>
        <v>240</v>
      </c>
      <c r="BN36" s="508">
        <f>SUM($H$34:BN34)</f>
        <v>240</v>
      </c>
      <c r="BO36" s="508">
        <f>SUM($H$34:BO34)</f>
        <v>240</v>
      </c>
      <c r="BP36" s="508">
        <f>SUM($H$34:BP34)</f>
        <v>240</v>
      </c>
      <c r="BQ36" s="508">
        <f>SUM($H$34:BQ34)</f>
        <v>240</v>
      </c>
      <c r="BR36" s="508">
        <f>SUM($H$34:BR34)</f>
        <v>240</v>
      </c>
      <c r="BS36" s="508">
        <f>SUM($H$34:BS34)</f>
        <v>240</v>
      </c>
      <c r="BT36" s="508">
        <f>SUM($H$34:BT34)</f>
        <v>240</v>
      </c>
      <c r="BU36" s="508">
        <f>SUM($H$34:BU34)</f>
        <v>240</v>
      </c>
      <c r="BV36" s="508">
        <f>SUM($H$34:BV34)</f>
        <v>240</v>
      </c>
      <c r="BW36" s="508">
        <f>SUM($H$34:BW34)</f>
        <v>240</v>
      </c>
      <c r="BX36" s="508">
        <f>SUM($H$34:BX34)</f>
        <v>240</v>
      </c>
      <c r="BY36" s="508">
        <f>SUM($H$34:BY34)</f>
        <v>240</v>
      </c>
      <c r="BZ36" s="508">
        <f>SUM($H$34:BZ34)</f>
        <v>240</v>
      </c>
      <c r="CA36" s="508">
        <f>SUM($H$34:CA34)</f>
        <v>240</v>
      </c>
      <c r="CB36" s="508">
        <f>SUM($H$34:CB34)</f>
        <v>240</v>
      </c>
      <c r="CC36" s="508">
        <f>SUM($H$34:CC34)</f>
        <v>240</v>
      </c>
      <c r="CD36" s="508">
        <f>SUM($H$34:CD34)</f>
        <v>240</v>
      </c>
      <c r="CE36" s="508">
        <f>SUM($H$34:CE34)</f>
        <v>240</v>
      </c>
      <c r="CF36" s="508">
        <f>SUM($H$34:CF34)</f>
        <v>240</v>
      </c>
      <c r="CG36" s="508">
        <f>SUM($H$34:CG34)</f>
        <v>240</v>
      </c>
      <c r="CH36" s="508">
        <f>SUM($H$34:CH34)</f>
        <v>240</v>
      </c>
      <c r="CI36" s="508">
        <f>SUM($H$34:CI34)</f>
        <v>240</v>
      </c>
      <c r="CJ36" s="508">
        <f>SUM($H$34:CJ34)</f>
        <v>240</v>
      </c>
      <c r="CK36" s="508">
        <f>SUM($H$34:CK34)</f>
        <v>240</v>
      </c>
      <c r="CL36" s="508">
        <f>SUM($H$34:CL34)</f>
        <v>240</v>
      </c>
      <c r="CM36" s="508">
        <f>SUM($H$34:CM34)</f>
        <v>240</v>
      </c>
      <c r="CN36" s="508">
        <f>SUM($H$34:CN34)</f>
        <v>240</v>
      </c>
      <c r="CO36" s="508">
        <f>SUM($H$34:CO34)</f>
        <v>240</v>
      </c>
      <c r="CP36" s="508">
        <f>SUM($H$34:CP34)</f>
        <v>240</v>
      </c>
      <c r="CQ36" s="508">
        <f>SUM($H$34:CQ34)</f>
        <v>240</v>
      </c>
      <c r="CR36" s="508">
        <f>SUM($H$34:CR34)</f>
        <v>240</v>
      </c>
      <c r="CS36" s="508">
        <f>SUM($H$34:CS34)</f>
        <v>240</v>
      </c>
      <c r="CT36" s="508">
        <f>SUM($H$34:CT34)</f>
        <v>240</v>
      </c>
      <c r="CU36" s="508">
        <f>SUM($H$34:CU34)</f>
        <v>240</v>
      </c>
      <c r="CV36" s="508">
        <f>SUM($H$34:CV34)</f>
        <v>240</v>
      </c>
      <c r="CW36" s="508">
        <f>SUM($H$34:CW34)</f>
        <v>240</v>
      </c>
      <c r="CX36" s="508">
        <f>SUM($H$34:CX34)</f>
        <v>240</v>
      </c>
      <c r="CY36" s="508">
        <f>SUM($H$34:CY34)</f>
        <v>240</v>
      </c>
      <c r="CZ36" s="508">
        <f>SUM($H$34:CZ34)</f>
        <v>240</v>
      </c>
      <c r="DA36" s="508">
        <f>SUM($H$34:DA34)</f>
        <v>240</v>
      </c>
      <c r="DB36" s="508">
        <f>SUM($H$34:DB34)</f>
        <v>240</v>
      </c>
      <c r="DC36" s="508">
        <f>SUM($H$34:DC34)</f>
        <v>240</v>
      </c>
      <c r="DD36" s="508">
        <f>SUM($H$34:DD34)</f>
        <v>240</v>
      </c>
      <c r="DE36" s="508">
        <f>SUM($H$34:DE34)</f>
        <v>240</v>
      </c>
      <c r="DF36" s="508">
        <f>SUM($H$34:DF34)</f>
        <v>240</v>
      </c>
      <c r="DG36" s="508">
        <f>SUM($H$34:DG34)</f>
        <v>240</v>
      </c>
      <c r="DH36" s="508">
        <f>SUM($H$34:DH34)</f>
        <v>240</v>
      </c>
      <c r="DI36" s="508">
        <f>SUM($H$34:DI34)</f>
        <v>240</v>
      </c>
      <c r="DJ36" s="508">
        <f>SUM($H$34:DJ34)</f>
        <v>240</v>
      </c>
      <c r="DK36" s="508">
        <f>SUM($H$34:DK34)</f>
        <v>240</v>
      </c>
      <c r="DL36" s="508">
        <f>SUM($H$34:DL34)</f>
        <v>240</v>
      </c>
      <c r="DM36" s="508">
        <f>SUM($H$34:DM34)</f>
        <v>240</v>
      </c>
      <c r="DN36" s="508">
        <f>SUM($H$34:DN34)</f>
        <v>240</v>
      </c>
      <c r="DO36" s="508">
        <f>SUM($H$34:DO34)</f>
        <v>240</v>
      </c>
      <c r="DP36" s="508">
        <f>SUM($H$34:DP34)</f>
        <v>240</v>
      </c>
      <c r="DQ36" s="508">
        <f>SUM($H$34:DQ34)</f>
        <v>240</v>
      </c>
      <c r="DR36" s="508">
        <f>SUM($H$34:DR34)</f>
        <v>240</v>
      </c>
      <c r="DS36" s="508">
        <f>SUM($H$34:DS34)</f>
        <v>240</v>
      </c>
      <c r="DT36" s="508">
        <f>SUM($H$34:DT34)</f>
        <v>240</v>
      </c>
      <c r="DU36" s="508">
        <f>SUM($H$34:DU34)</f>
        <v>240</v>
      </c>
      <c r="DV36" s="508">
        <f>SUM($H$34:DV34)</f>
        <v>240</v>
      </c>
      <c r="DW36" s="508">
        <f>SUM($H$34:DW34)</f>
        <v>240</v>
      </c>
      <c r="DX36" s="508">
        <f>SUM($H$34:DX34)</f>
        <v>240</v>
      </c>
      <c r="DY36" s="508">
        <f>SUM($H$34:DY34)</f>
        <v>240</v>
      </c>
      <c r="DZ36" s="508">
        <f>SUM($H$34:DZ34)</f>
        <v>240</v>
      </c>
      <c r="EA36" s="508">
        <f>SUM($H$34:EA34)</f>
        <v>240</v>
      </c>
      <c r="EB36" s="508">
        <f>SUM($H$34:EB34)</f>
        <v>240</v>
      </c>
      <c r="EC36" s="508">
        <f>SUM($H$34:EC34)</f>
        <v>240</v>
      </c>
      <c r="ED36" s="508">
        <f>SUM($H$34:ED34)</f>
        <v>240</v>
      </c>
      <c r="EE36" s="508">
        <f>SUM($H$34:EE34)</f>
        <v>240</v>
      </c>
      <c r="EF36" s="508">
        <f>SUM($H$34:EF34)</f>
        <v>240</v>
      </c>
      <c r="EG36" s="508">
        <f>SUM($H$34:EG34)</f>
        <v>240</v>
      </c>
      <c r="EH36" s="508">
        <f>SUM($H$34:EH34)</f>
        <v>240</v>
      </c>
      <c r="EI36" s="508">
        <f>SUM($H$34:EI34)</f>
        <v>240</v>
      </c>
      <c r="EJ36" s="508">
        <f>SUM($H$34:EJ34)</f>
        <v>240</v>
      </c>
      <c r="EK36" s="508">
        <f>SUM($H$34:EK34)</f>
        <v>240</v>
      </c>
      <c r="EL36" s="508">
        <f>SUM($H$34:EL34)</f>
        <v>240</v>
      </c>
      <c r="EM36" s="508">
        <f>SUM($H$34:EM34)</f>
        <v>240</v>
      </c>
      <c r="EN36" s="508">
        <f>SUM($H$34:EN34)</f>
        <v>240</v>
      </c>
      <c r="EO36" s="508">
        <f>SUM($H$34:EO34)</f>
        <v>240</v>
      </c>
      <c r="EP36" s="508">
        <f>SUM($H$34:EP34)</f>
        <v>240</v>
      </c>
      <c r="EQ36" s="508">
        <f>SUM($H$34:EQ34)</f>
        <v>240</v>
      </c>
      <c r="ER36" s="508">
        <f>SUM($H$34:ER34)</f>
        <v>240</v>
      </c>
      <c r="ES36" s="508">
        <f>SUM($H$34:ES34)</f>
        <v>240</v>
      </c>
      <c r="ET36" s="508">
        <f>SUM($H$34:ET34)</f>
        <v>240</v>
      </c>
      <c r="EU36" s="508">
        <f>SUM($H$34:EU34)</f>
        <v>240</v>
      </c>
      <c r="EV36" s="508">
        <f>SUM($H$34:EV34)</f>
        <v>240</v>
      </c>
      <c r="EW36" s="508">
        <f>SUM($H$34:EW34)</f>
        <v>240</v>
      </c>
      <c r="EX36" s="508">
        <f>SUM($H$34:EX34)</f>
        <v>240</v>
      </c>
      <c r="EY36" s="508">
        <f>SUM($H$34:EY34)</f>
        <v>240</v>
      </c>
      <c r="EZ36" s="508">
        <f>SUM($H$34:EZ34)</f>
        <v>240</v>
      </c>
      <c r="FA36" s="508">
        <f>SUM($H$34:FA34)</f>
        <v>240</v>
      </c>
      <c r="FB36" s="508">
        <f>SUM($H$34:FB34)</f>
        <v>240</v>
      </c>
      <c r="FC36" s="508">
        <f>SUM($H$34:FC34)</f>
        <v>240</v>
      </c>
      <c r="FD36" s="508">
        <f>SUM($H$34:FD34)</f>
        <v>240</v>
      </c>
      <c r="FE36" s="508">
        <f>SUM($H$34:FE34)</f>
        <v>240</v>
      </c>
      <c r="FF36" s="508">
        <f>SUM($H$34:FF34)</f>
        <v>240</v>
      </c>
      <c r="FG36" s="508">
        <f>SUM($H$34:FG34)</f>
        <v>240</v>
      </c>
      <c r="FH36" s="508">
        <f>SUM($H$34:FH34)</f>
        <v>240</v>
      </c>
      <c r="FI36" s="508">
        <f>SUM($H$34:FI34)</f>
        <v>240</v>
      </c>
      <c r="FJ36" s="508">
        <f>SUM($H$34:FJ34)</f>
        <v>240</v>
      </c>
      <c r="FK36" s="508">
        <f>SUM($H$34:FK34)</f>
        <v>240</v>
      </c>
      <c r="FL36" s="508">
        <f>SUM($H$34:FL34)</f>
        <v>240</v>
      </c>
      <c r="FM36" s="508">
        <f>SUM($H$34:FM34)</f>
        <v>240</v>
      </c>
      <c r="FN36" s="508">
        <f>SUM($H$34:FN34)</f>
        <v>240</v>
      </c>
      <c r="FO36" s="508">
        <f>SUM($H$34:FO34)</f>
        <v>240</v>
      </c>
      <c r="FP36" s="508">
        <f>SUM($H$34:FP34)</f>
        <v>240</v>
      </c>
      <c r="FQ36" s="508">
        <f>SUM($H$34:FQ34)</f>
        <v>240</v>
      </c>
      <c r="FR36" s="508">
        <f>SUM($H$34:FR34)</f>
        <v>240</v>
      </c>
      <c r="FS36" s="508">
        <f>SUM($H$34:FS34)</f>
        <v>240</v>
      </c>
      <c r="FT36" s="508">
        <f>SUM($H$34:FT34)</f>
        <v>240</v>
      </c>
      <c r="FU36" s="43"/>
      <c r="FV36" s="34"/>
      <c r="FW36" s="34"/>
      <c r="FX36" s="34"/>
      <c r="FY36" s="34"/>
      <c r="FZ36" s="34"/>
    </row>
    <row r="37" spans="1:182" s="89" customFormat="1" ht="13.5" x14ac:dyDescent="0.25">
      <c r="A37" s="34"/>
      <c r="B37" s="128" t="s">
        <v>15</v>
      </c>
      <c r="C37" s="34"/>
      <c r="D37" s="34"/>
      <c r="E37" s="34"/>
      <c r="F37" s="102"/>
      <c r="G37" s="34"/>
      <c r="H37" s="133">
        <f>H36/'Operating Assumptions'!$D$14</f>
        <v>0</v>
      </c>
      <c r="I37" s="133">
        <f>I36/'Operating Assumptions'!$D$14</f>
        <v>0</v>
      </c>
      <c r="J37" s="133">
        <f>J36/'Operating Assumptions'!$D$14</f>
        <v>0</v>
      </c>
      <c r="K37" s="133">
        <f>K36/'Operating Assumptions'!$D$14</f>
        <v>0</v>
      </c>
      <c r="L37" s="133">
        <f>L36/'Operating Assumptions'!$D$14</f>
        <v>0</v>
      </c>
      <c r="M37" s="133">
        <f>M36/'Operating Assumptions'!$D$14</f>
        <v>0</v>
      </c>
      <c r="N37" s="133">
        <f>N36/'Operating Assumptions'!$D$14</f>
        <v>0</v>
      </c>
      <c r="O37" s="133">
        <f>O36/'Operating Assumptions'!$D$14</f>
        <v>0</v>
      </c>
      <c r="P37" s="133">
        <f>P36/'Operating Assumptions'!$D$14</f>
        <v>0</v>
      </c>
      <c r="Q37" s="133">
        <f>Q36/'Operating Assumptions'!$D$14</f>
        <v>0</v>
      </c>
      <c r="R37" s="133">
        <f>R36/'Operating Assumptions'!$D$14</f>
        <v>0</v>
      </c>
      <c r="S37" s="133">
        <f>S36/'Operating Assumptions'!$D$14</f>
        <v>0</v>
      </c>
      <c r="T37" s="133">
        <f>T36/'Operating Assumptions'!$D$14</f>
        <v>0</v>
      </c>
      <c r="U37" s="133">
        <f>U36/'Operating Assumptions'!$D$14</f>
        <v>0</v>
      </c>
      <c r="V37" s="133">
        <f>V36/'Operating Assumptions'!$D$14</f>
        <v>0</v>
      </c>
      <c r="W37" s="133">
        <f>W36/'Operating Assumptions'!$D$14</f>
        <v>0</v>
      </c>
      <c r="X37" s="133">
        <f>X36/'Operating Assumptions'!$D$14</f>
        <v>4.1666666666666666E-3</v>
      </c>
      <c r="Y37" s="133">
        <f>Y36/'Operating Assumptions'!$D$14</f>
        <v>8.7499999999999994E-2</v>
      </c>
      <c r="Z37" s="133">
        <f>Z36/'Operating Assumptions'!$D$14</f>
        <v>0.17083333333333334</v>
      </c>
      <c r="AA37" s="133">
        <f>AA36/'Operating Assumptions'!$D$14</f>
        <v>0.25416666666666665</v>
      </c>
      <c r="AB37" s="133">
        <f>AB36/'Operating Assumptions'!$D$14</f>
        <v>0.33750000000000002</v>
      </c>
      <c r="AC37" s="133">
        <f>AC36/'Operating Assumptions'!$D$14</f>
        <v>0.42083333333333334</v>
      </c>
      <c r="AD37" s="133">
        <f>AD36/'Operating Assumptions'!$D$14</f>
        <v>0.50416666666666665</v>
      </c>
      <c r="AE37" s="133">
        <f>AE36/'Operating Assumptions'!$D$14</f>
        <v>0.52083333333333337</v>
      </c>
      <c r="AF37" s="133">
        <f>AF36/'Operating Assumptions'!$D$14</f>
        <v>0.52083333333333337</v>
      </c>
      <c r="AG37" s="133">
        <f>AG36/'Operating Assumptions'!$D$14</f>
        <v>0.52083333333333337</v>
      </c>
      <c r="AH37" s="133">
        <f>AH36/'Operating Assumptions'!$D$14</f>
        <v>0.60416666666666663</v>
      </c>
      <c r="AI37" s="133">
        <f>AI36/'Operating Assumptions'!$D$14</f>
        <v>0.6875</v>
      </c>
      <c r="AJ37" s="133">
        <f>AJ36/'Operating Assumptions'!$D$14</f>
        <v>0.77083333333333337</v>
      </c>
      <c r="AK37" s="133">
        <f>AK36/'Operating Assumptions'!$D$14</f>
        <v>0.85416666666666663</v>
      </c>
      <c r="AL37" s="133">
        <f>AL36/'Operating Assumptions'!$D$14</f>
        <v>0.9375</v>
      </c>
      <c r="AM37" s="133">
        <f>AM36/'Operating Assumptions'!$D$14</f>
        <v>1</v>
      </c>
      <c r="AN37" s="133">
        <f>AN36/'Operating Assumptions'!$D$14</f>
        <v>1</v>
      </c>
      <c r="AO37" s="133">
        <f>AO36/'Operating Assumptions'!$D$14</f>
        <v>1</v>
      </c>
      <c r="AP37" s="133">
        <f>AP36/'Operating Assumptions'!$D$14</f>
        <v>1</v>
      </c>
      <c r="AQ37" s="133">
        <f>AQ36/'Operating Assumptions'!$D$14</f>
        <v>1</v>
      </c>
      <c r="AR37" s="133">
        <f>AR36/'Operating Assumptions'!$D$14</f>
        <v>1</v>
      </c>
      <c r="AS37" s="133">
        <f>AS36/'Operating Assumptions'!$D$14</f>
        <v>1</v>
      </c>
      <c r="AT37" s="133">
        <f>AT36/'Operating Assumptions'!$D$14</f>
        <v>1</v>
      </c>
      <c r="AU37" s="133">
        <f>AU36/'Operating Assumptions'!$D$14</f>
        <v>1</v>
      </c>
      <c r="AV37" s="133">
        <f>AV36/'Operating Assumptions'!$D$14</f>
        <v>1</v>
      </c>
      <c r="AW37" s="133">
        <f>AW36/'Operating Assumptions'!$D$14</f>
        <v>1</v>
      </c>
      <c r="AX37" s="133">
        <f>AX36/'Operating Assumptions'!$D$14</f>
        <v>1</v>
      </c>
      <c r="AY37" s="133">
        <f>AY36/'Operating Assumptions'!$D$14</f>
        <v>1</v>
      </c>
      <c r="AZ37" s="133">
        <f>AZ36/'Operating Assumptions'!$D$14</f>
        <v>1</v>
      </c>
      <c r="BA37" s="133">
        <f>BA36/'Operating Assumptions'!$D$14</f>
        <v>1</v>
      </c>
      <c r="BB37" s="133">
        <f>BB36/'Operating Assumptions'!$D$14</f>
        <v>1</v>
      </c>
      <c r="BC37" s="133">
        <f>BC36/'Operating Assumptions'!$D$14</f>
        <v>1</v>
      </c>
      <c r="BD37" s="133">
        <f>BD36/'Operating Assumptions'!$D$14</f>
        <v>1</v>
      </c>
      <c r="BE37" s="133">
        <f>BE36/'Operating Assumptions'!$D$14</f>
        <v>1</v>
      </c>
      <c r="BF37" s="133">
        <f>BF36/'Operating Assumptions'!$D$14</f>
        <v>1</v>
      </c>
      <c r="BG37" s="133">
        <f>BG36/'Operating Assumptions'!$D$14</f>
        <v>1</v>
      </c>
      <c r="BH37" s="133">
        <f>BH36/'Operating Assumptions'!$D$14</f>
        <v>1</v>
      </c>
      <c r="BI37" s="133">
        <f>BI36/'Operating Assumptions'!$D$14</f>
        <v>1</v>
      </c>
      <c r="BJ37" s="133">
        <f>BJ36/'Operating Assumptions'!$D$14</f>
        <v>1</v>
      </c>
      <c r="BK37" s="133">
        <f>BK36/'Operating Assumptions'!$D$14</f>
        <v>1</v>
      </c>
      <c r="BL37" s="133">
        <f>BL36/'Operating Assumptions'!$D$14</f>
        <v>1</v>
      </c>
      <c r="BM37" s="133">
        <f>BM36/'Operating Assumptions'!$D$14</f>
        <v>1</v>
      </c>
      <c r="BN37" s="133">
        <f>BN36/'Operating Assumptions'!$D$14</f>
        <v>1</v>
      </c>
      <c r="BO37" s="133">
        <f>BO36/'Operating Assumptions'!$D$14</f>
        <v>1</v>
      </c>
      <c r="BP37" s="133">
        <f>BP36/'Operating Assumptions'!$D$14</f>
        <v>1</v>
      </c>
      <c r="BQ37" s="133">
        <f>BQ36/'Operating Assumptions'!$D$14</f>
        <v>1</v>
      </c>
      <c r="BR37" s="133">
        <f>BR36/'Operating Assumptions'!$D$14</f>
        <v>1</v>
      </c>
      <c r="BS37" s="133">
        <f>BS36/'Operating Assumptions'!$D$14</f>
        <v>1</v>
      </c>
      <c r="BT37" s="133">
        <f>BT36/'Operating Assumptions'!$D$14</f>
        <v>1</v>
      </c>
      <c r="BU37" s="133">
        <f>BU36/'Operating Assumptions'!$D$14</f>
        <v>1</v>
      </c>
      <c r="BV37" s="133">
        <f>BV36/'Operating Assumptions'!$D$14</f>
        <v>1</v>
      </c>
      <c r="BW37" s="133">
        <f>BW36/'Operating Assumptions'!$D$14</f>
        <v>1</v>
      </c>
      <c r="BX37" s="133">
        <f>BX36/'Operating Assumptions'!$D$14</f>
        <v>1</v>
      </c>
      <c r="BY37" s="133">
        <f>BY36/'Operating Assumptions'!$D$14</f>
        <v>1</v>
      </c>
      <c r="BZ37" s="133">
        <f>BZ36/'Operating Assumptions'!$D$14</f>
        <v>1</v>
      </c>
      <c r="CA37" s="133">
        <f>CA36/'Operating Assumptions'!$D$14</f>
        <v>1</v>
      </c>
      <c r="CB37" s="133">
        <f>CB36/'Operating Assumptions'!$D$14</f>
        <v>1</v>
      </c>
      <c r="CC37" s="133">
        <f>CC36/'Operating Assumptions'!$D$14</f>
        <v>1</v>
      </c>
      <c r="CD37" s="133">
        <f>CD36/'Operating Assumptions'!$D$14</f>
        <v>1</v>
      </c>
      <c r="CE37" s="133">
        <f>CE36/'Operating Assumptions'!$D$14</f>
        <v>1</v>
      </c>
      <c r="CF37" s="133">
        <f>CF36/'Operating Assumptions'!$D$14</f>
        <v>1</v>
      </c>
      <c r="CG37" s="133">
        <f>CG36/'Operating Assumptions'!$D$14</f>
        <v>1</v>
      </c>
      <c r="CH37" s="133">
        <f>CH36/'Operating Assumptions'!$D$14</f>
        <v>1</v>
      </c>
      <c r="CI37" s="133">
        <f>CI36/'Operating Assumptions'!$D$14</f>
        <v>1</v>
      </c>
      <c r="CJ37" s="133">
        <f>CJ36/'Operating Assumptions'!$D$14</f>
        <v>1</v>
      </c>
      <c r="CK37" s="133">
        <f>CK36/'Operating Assumptions'!$D$14</f>
        <v>1</v>
      </c>
      <c r="CL37" s="133">
        <f>CL36/'Operating Assumptions'!$D$14</f>
        <v>1</v>
      </c>
      <c r="CM37" s="133">
        <f>CM36/'Operating Assumptions'!$D$14</f>
        <v>1</v>
      </c>
      <c r="CN37" s="133">
        <f>CN36/'Operating Assumptions'!$D$14</f>
        <v>1</v>
      </c>
      <c r="CO37" s="133">
        <f>CO36/'Operating Assumptions'!$D$14</f>
        <v>1</v>
      </c>
      <c r="CP37" s="133">
        <f>CP36/'Operating Assumptions'!$D$14</f>
        <v>1</v>
      </c>
      <c r="CQ37" s="133">
        <f>CQ36/'Operating Assumptions'!$D$14</f>
        <v>1</v>
      </c>
      <c r="CR37" s="133">
        <f>CR36/'Operating Assumptions'!$D$14</f>
        <v>1</v>
      </c>
      <c r="CS37" s="133">
        <f>CS36/'Operating Assumptions'!$D$14</f>
        <v>1</v>
      </c>
      <c r="CT37" s="133">
        <f>CT36/'Operating Assumptions'!$D$14</f>
        <v>1</v>
      </c>
      <c r="CU37" s="133">
        <f>CU36/'Operating Assumptions'!$D$14</f>
        <v>1</v>
      </c>
      <c r="CV37" s="133">
        <f>CV36/'Operating Assumptions'!$D$14</f>
        <v>1</v>
      </c>
      <c r="CW37" s="133">
        <f>CW36/'Operating Assumptions'!$D$14</f>
        <v>1</v>
      </c>
      <c r="CX37" s="133">
        <f>CX36/'Operating Assumptions'!$D$14</f>
        <v>1</v>
      </c>
      <c r="CY37" s="133">
        <f>CY36/'Operating Assumptions'!$D$14</f>
        <v>1</v>
      </c>
      <c r="CZ37" s="133">
        <f>CZ36/'Operating Assumptions'!$D$14</f>
        <v>1</v>
      </c>
      <c r="DA37" s="133">
        <f>DA36/'Operating Assumptions'!$D$14</f>
        <v>1</v>
      </c>
      <c r="DB37" s="133">
        <f>DB36/'Operating Assumptions'!$D$14</f>
        <v>1</v>
      </c>
      <c r="DC37" s="133">
        <f>DC36/'Operating Assumptions'!$D$14</f>
        <v>1</v>
      </c>
      <c r="DD37" s="133">
        <f>DD36/'Operating Assumptions'!$D$14</f>
        <v>1</v>
      </c>
      <c r="DE37" s="133">
        <f>DE36/'Operating Assumptions'!$D$14</f>
        <v>1</v>
      </c>
      <c r="DF37" s="133">
        <f>DF36/'Operating Assumptions'!$D$14</f>
        <v>1</v>
      </c>
      <c r="DG37" s="133">
        <f>DG36/'Operating Assumptions'!$D$14</f>
        <v>1</v>
      </c>
      <c r="DH37" s="133">
        <f>DH36/'Operating Assumptions'!$D$14</f>
        <v>1</v>
      </c>
      <c r="DI37" s="133">
        <f>DI36/'Operating Assumptions'!$D$14</f>
        <v>1</v>
      </c>
      <c r="DJ37" s="133">
        <f>DJ36/'Operating Assumptions'!$D$14</f>
        <v>1</v>
      </c>
      <c r="DK37" s="133">
        <f>DK36/'Operating Assumptions'!$D$14</f>
        <v>1</v>
      </c>
      <c r="DL37" s="133">
        <f>DL36/'Operating Assumptions'!$D$14</f>
        <v>1</v>
      </c>
      <c r="DM37" s="133">
        <f>DM36/'Operating Assumptions'!$D$14</f>
        <v>1</v>
      </c>
      <c r="DN37" s="133">
        <f>DN36/'Operating Assumptions'!$D$14</f>
        <v>1</v>
      </c>
      <c r="DO37" s="133">
        <f>DO36/'Operating Assumptions'!$D$14</f>
        <v>1</v>
      </c>
      <c r="DP37" s="133">
        <f>DP36/'Operating Assumptions'!$D$14</f>
        <v>1</v>
      </c>
      <c r="DQ37" s="133">
        <f>DQ36/'Operating Assumptions'!$D$14</f>
        <v>1</v>
      </c>
      <c r="DR37" s="133">
        <f>DR36/'Operating Assumptions'!$D$14</f>
        <v>1</v>
      </c>
      <c r="DS37" s="133">
        <f>DS36/'Operating Assumptions'!$D$14</f>
        <v>1</v>
      </c>
      <c r="DT37" s="133">
        <f>DT36/'Operating Assumptions'!$D$14</f>
        <v>1</v>
      </c>
      <c r="DU37" s="133">
        <f>DU36/'Operating Assumptions'!$D$14</f>
        <v>1</v>
      </c>
      <c r="DV37" s="133">
        <f>DV36/'Operating Assumptions'!$D$14</f>
        <v>1</v>
      </c>
      <c r="DW37" s="133">
        <f>DW36/'Operating Assumptions'!$D$14</f>
        <v>1</v>
      </c>
      <c r="DX37" s="133">
        <f>DX36/'Operating Assumptions'!$D$14</f>
        <v>1</v>
      </c>
      <c r="DY37" s="133">
        <f>DY36/'Operating Assumptions'!$D$14</f>
        <v>1</v>
      </c>
      <c r="DZ37" s="133">
        <f>DZ36/'Operating Assumptions'!$D$14</f>
        <v>1</v>
      </c>
      <c r="EA37" s="133">
        <f>EA36/'Operating Assumptions'!$D$14</f>
        <v>1</v>
      </c>
      <c r="EB37" s="133">
        <f>EB36/'Operating Assumptions'!$D$14</f>
        <v>1</v>
      </c>
      <c r="EC37" s="133">
        <f>EC36/'Operating Assumptions'!$D$14</f>
        <v>1</v>
      </c>
      <c r="ED37" s="133">
        <f>ED36/'Operating Assumptions'!$D$14</f>
        <v>1</v>
      </c>
      <c r="EE37" s="133">
        <f>EE36/'Operating Assumptions'!$D$14</f>
        <v>1</v>
      </c>
      <c r="EF37" s="133">
        <f>EF36/'Operating Assumptions'!$D$14</f>
        <v>1</v>
      </c>
      <c r="EG37" s="133">
        <f>EG36/'Operating Assumptions'!$D$14</f>
        <v>1</v>
      </c>
      <c r="EH37" s="133">
        <f>EH36/'Operating Assumptions'!$D$14</f>
        <v>1</v>
      </c>
      <c r="EI37" s="133">
        <f>EI36/'Operating Assumptions'!$D$14</f>
        <v>1</v>
      </c>
      <c r="EJ37" s="133">
        <f>EJ36/'Operating Assumptions'!$D$14</f>
        <v>1</v>
      </c>
      <c r="EK37" s="133">
        <f>EK36/'Operating Assumptions'!$D$14</f>
        <v>1</v>
      </c>
      <c r="EL37" s="133">
        <f>EL36/'Operating Assumptions'!$D$14</f>
        <v>1</v>
      </c>
      <c r="EM37" s="133">
        <f>EM36/'Operating Assumptions'!$D$14</f>
        <v>1</v>
      </c>
      <c r="EN37" s="133">
        <f>EN36/'Operating Assumptions'!$D$14</f>
        <v>1</v>
      </c>
      <c r="EO37" s="133">
        <f>EO36/'Operating Assumptions'!$D$14</f>
        <v>1</v>
      </c>
      <c r="EP37" s="133">
        <f>EP36/'Operating Assumptions'!$D$14</f>
        <v>1</v>
      </c>
      <c r="EQ37" s="133">
        <f>EQ36/'Operating Assumptions'!$D$14</f>
        <v>1</v>
      </c>
      <c r="ER37" s="133">
        <f>ER36/'Operating Assumptions'!$D$14</f>
        <v>1</v>
      </c>
      <c r="ES37" s="133">
        <f>ES36/'Operating Assumptions'!$D$14</f>
        <v>1</v>
      </c>
      <c r="ET37" s="133">
        <f>ET36/'Operating Assumptions'!$D$14</f>
        <v>1</v>
      </c>
      <c r="EU37" s="133">
        <f>EU36/'Operating Assumptions'!$D$14</f>
        <v>1</v>
      </c>
      <c r="EV37" s="133">
        <f>EV36/'Operating Assumptions'!$D$14</f>
        <v>1</v>
      </c>
      <c r="EW37" s="133">
        <f>EW36/'Operating Assumptions'!$D$14</f>
        <v>1</v>
      </c>
      <c r="EX37" s="133">
        <f>EX36/'Operating Assumptions'!$D$14</f>
        <v>1</v>
      </c>
      <c r="EY37" s="133">
        <f>EY36/'Operating Assumptions'!$D$14</f>
        <v>1</v>
      </c>
      <c r="EZ37" s="133">
        <f>EZ36/'Operating Assumptions'!$D$14</f>
        <v>1</v>
      </c>
      <c r="FA37" s="133">
        <f>FA36/'Operating Assumptions'!$D$14</f>
        <v>1</v>
      </c>
      <c r="FB37" s="133">
        <f>FB36/'Operating Assumptions'!$D$14</f>
        <v>1</v>
      </c>
      <c r="FC37" s="133">
        <f>FC36/'Operating Assumptions'!$D$14</f>
        <v>1</v>
      </c>
      <c r="FD37" s="133">
        <f>FD36/'Operating Assumptions'!$D$14</f>
        <v>1</v>
      </c>
      <c r="FE37" s="133">
        <f>FE36/'Operating Assumptions'!$D$14</f>
        <v>1</v>
      </c>
      <c r="FF37" s="133">
        <f>FF36/'Operating Assumptions'!$D$14</f>
        <v>1</v>
      </c>
      <c r="FG37" s="133">
        <f>FG36/'Operating Assumptions'!$D$14</f>
        <v>1</v>
      </c>
      <c r="FH37" s="133">
        <f>FH36/'Operating Assumptions'!$D$14</f>
        <v>1</v>
      </c>
      <c r="FI37" s="133">
        <f>FI36/'Operating Assumptions'!$D$14</f>
        <v>1</v>
      </c>
      <c r="FJ37" s="133">
        <f>FJ36/'Operating Assumptions'!$D$14</f>
        <v>1</v>
      </c>
      <c r="FK37" s="133">
        <f>FK36/'Operating Assumptions'!$D$14</f>
        <v>1</v>
      </c>
      <c r="FL37" s="133">
        <f>FL36/'Operating Assumptions'!$D$14</f>
        <v>1</v>
      </c>
      <c r="FM37" s="133">
        <f>FM36/'Operating Assumptions'!$D$14</f>
        <v>1</v>
      </c>
      <c r="FN37" s="133">
        <f>FN36/'Operating Assumptions'!$D$14</f>
        <v>1</v>
      </c>
      <c r="FO37" s="133">
        <f>FO36/'Operating Assumptions'!$D$14</f>
        <v>1</v>
      </c>
      <c r="FP37" s="133">
        <f>FP36/'Operating Assumptions'!$D$14</f>
        <v>1</v>
      </c>
      <c r="FQ37" s="133">
        <f>FQ36/'Operating Assumptions'!$D$14</f>
        <v>1</v>
      </c>
      <c r="FR37" s="133">
        <f>FR36/'Operating Assumptions'!$D$14</f>
        <v>1</v>
      </c>
      <c r="FS37" s="133">
        <f>FS36/'Operating Assumptions'!$D$14</f>
        <v>1</v>
      </c>
      <c r="FT37" s="133">
        <f>FT36/'Operating Assumptions'!$D$14</f>
        <v>1</v>
      </c>
      <c r="FU37" s="43"/>
      <c r="FV37" s="34"/>
      <c r="FW37" s="34"/>
      <c r="FX37" s="34"/>
      <c r="FY37" s="34"/>
      <c r="FZ37" s="34"/>
    </row>
    <row r="38" spans="1:182" s="89" customFormat="1" ht="13.5" x14ac:dyDescent="0.25">
      <c r="A38" s="34"/>
      <c r="B38" s="128" t="s">
        <v>232</v>
      </c>
      <c r="C38" s="34"/>
      <c r="D38" s="34"/>
      <c r="E38" s="34"/>
      <c r="F38" s="102"/>
      <c r="G38" s="34"/>
      <c r="H38" s="45">
        <f>IF(AND('Operating Assumptions'!$D$29="Yes",H$11&gt;='Operating Assumptions'!$D$31),MAX('Unit Mix'!$C$12,'Operating Assumptions'!$D$23*H$22),IF(AND('Operating Assumptions'!$D$29="Yes",H$11&lt;'Operating Assumptions'!$D$31),0,IF(AND('Operating Assumptions'!$D$29="No",H$11&gt;='Operating Assumptions'!$D$22),MAX('Unit Mix'!$C$12,'Operating Assumptions'!$D$23*H$22),IF(AND('Operating Assumptions'!$D$29="No",H$11&lt;'Operating Assumptions'!$D$22),0))))</f>
        <v>0</v>
      </c>
      <c r="I38" s="45">
        <f>IF(AND('Operating Assumptions'!$D$29="Yes",I$11&gt;='Operating Assumptions'!$D$31),MAX('Unit Mix'!$C$12,'Operating Assumptions'!$D$23*I$22),IF(AND('Operating Assumptions'!$D$29="Yes",I$11&lt;'Operating Assumptions'!$D$31),0,IF(AND('Operating Assumptions'!$D$29="No",I$11&gt;='Operating Assumptions'!$D$22),MAX('Unit Mix'!$C$12,'Operating Assumptions'!$D$23*I$22),IF(AND('Operating Assumptions'!$D$29="No",I$11&lt;'Operating Assumptions'!$D$22),0))))</f>
        <v>0</v>
      </c>
      <c r="J38" s="45">
        <f>IF(AND('Operating Assumptions'!$D$29="Yes",J$11&gt;='Operating Assumptions'!$D$31),MAX('Unit Mix'!$C$12,'Operating Assumptions'!$D$23*J$22),IF(AND('Operating Assumptions'!$D$29="Yes",J$11&lt;'Operating Assumptions'!$D$31),0,IF(AND('Operating Assumptions'!$D$29="No",J$11&gt;='Operating Assumptions'!$D$22),MAX('Unit Mix'!$C$12,'Operating Assumptions'!$D$23*J$22),IF(AND('Operating Assumptions'!$D$29="No",J$11&lt;'Operating Assumptions'!$D$22),0))))</f>
        <v>0</v>
      </c>
      <c r="K38" s="45">
        <f>IF(AND('Operating Assumptions'!$D$29="Yes",K$11&gt;='Operating Assumptions'!$D$31),MAX('Unit Mix'!$C$12,'Operating Assumptions'!$D$23*K$22),IF(AND('Operating Assumptions'!$D$29="Yes",K$11&lt;'Operating Assumptions'!$D$31),0,IF(AND('Operating Assumptions'!$D$29="No",K$11&gt;='Operating Assumptions'!$D$22),MAX('Unit Mix'!$C$12,'Operating Assumptions'!$D$23*K$22),IF(AND('Operating Assumptions'!$D$29="No",K$11&lt;'Operating Assumptions'!$D$22),0))))</f>
        <v>0</v>
      </c>
      <c r="L38" s="45">
        <f>IF(AND('Operating Assumptions'!$D$29="Yes",L$11&gt;='Operating Assumptions'!$D$31),MAX('Unit Mix'!$C$12,'Operating Assumptions'!$D$23*L$22),IF(AND('Operating Assumptions'!$D$29="Yes",L$11&lt;'Operating Assumptions'!$D$31),0,IF(AND('Operating Assumptions'!$D$29="No",L$11&gt;='Operating Assumptions'!$D$22),MAX('Unit Mix'!$C$12,'Operating Assumptions'!$D$23*L$22),IF(AND('Operating Assumptions'!$D$29="No",L$11&lt;'Operating Assumptions'!$D$22),0))))</f>
        <v>0</v>
      </c>
      <c r="M38" s="45">
        <f>IF(AND('Operating Assumptions'!$D$29="Yes",M$11&gt;='Operating Assumptions'!$D$31),MAX('Unit Mix'!$C$12,'Operating Assumptions'!$D$23*M$22),IF(AND('Operating Assumptions'!$D$29="Yes",M$11&lt;'Operating Assumptions'!$D$31),0,IF(AND('Operating Assumptions'!$D$29="No",M$11&gt;='Operating Assumptions'!$D$22),MAX('Unit Mix'!$C$12,'Operating Assumptions'!$D$23*M$22),IF(AND('Operating Assumptions'!$D$29="No",M$11&lt;'Operating Assumptions'!$D$22),0))))</f>
        <v>0</v>
      </c>
      <c r="N38" s="45">
        <f>IF(AND('Operating Assumptions'!$D$29="Yes",N$11&gt;='Operating Assumptions'!$D$31),MAX('Unit Mix'!$C$12,'Operating Assumptions'!$D$23*N$22),IF(AND('Operating Assumptions'!$D$29="Yes",N$11&lt;'Operating Assumptions'!$D$31),0,IF(AND('Operating Assumptions'!$D$29="No",N$11&gt;='Operating Assumptions'!$D$22),MAX('Unit Mix'!$C$12,'Operating Assumptions'!$D$23*N$22),IF(AND('Operating Assumptions'!$D$29="No",N$11&lt;'Operating Assumptions'!$D$22),0))))</f>
        <v>0</v>
      </c>
      <c r="O38" s="45">
        <f>IF(AND('Operating Assumptions'!$D$29="Yes",O$11&gt;='Operating Assumptions'!$D$31),MAX('Unit Mix'!$C$12,'Operating Assumptions'!$D$23*O$22),IF(AND('Operating Assumptions'!$D$29="Yes",O$11&lt;'Operating Assumptions'!$D$31),0,IF(AND('Operating Assumptions'!$D$29="No",O$11&gt;='Operating Assumptions'!$D$22),MAX('Unit Mix'!$C$12,'Operating Assumptions'!$D$23*O$22),IF(AND('Operating Assumptions'!$D$29="No",O$11&lt;'Operating Assumptions'!$D$22),0))))</f>
        <v>0</v>
      </c>
      <c r="P38" s="45">
        <f>IF(AND('Operating Assumptions'!$D$29="Yes",P$11&gt;='Operating Assumptions'!$D$31),MAX('Unit Mix'!$C$12,'Operating Assumptions'!$D$23*P$22),IF(AND('Operating Assumptions'!$D$29="Yes",P$11&lt;'Operating Assumptions'!$D$31),0,IF(AND('Operating Assumptions'!$D$29="No",P$11&gt;='Operating Assumptions'!$D$22),MAX('Unit Mix'!$C$12,'Operating Assumptions'!$D$23*P$22),IF(AND('Operating Assumptions'!$D$29="No",P$11&lt;'Operating Assumptions'!$D$22),0))))</f>
        <v>0</v>
      </c>
      <c r="Q38" s="45">
        <f>IF(AND('Operating Assumptions'!$D$29="Yes",Q$11&gt;='Operating Assumptions'!$D$31),MAX('Unit Mix'!$C$12,'Operating Assumptions'!$D$23*Q$22),IF(AND('Operating Assumptions'!$D$29="Yes",Q$11&lt;'Operating Assumptions'!$D$31),0,IF(AND('Operating Assumptions'!$D$29="No",Q$11&gt;='Operating Assumptions'!$D$22),MAX('Unit Mix'!$C$12,'Operating Assumptions'!$D$23*Q$22),IF(AND('Operating Assumptions'!$D$29="No",Q$11&lt;'Operating Assumptions'!$D$22),0))))</f>
        <v>0</v>
      </c>
      <c r="R38" s="45">
        <f>IF(AND('Operating Assumptions'!$D$29="Yes",R$11&gt;='Operating Assumptions'!$D$31),MAX('Unit Mix'!$C$12,'Operating Assumptions'!$D$23*R$22),IF(AND('Operating Assumptions'!$D$29="Yes",R$11&lt;'Operating Assumptions'!$D$31),0,IF(AND('Operating Assumptions'!$D$29="No",R$11&gt;='Operating Assumptions'!$D$22),MAX('Unit Mix'!$C$12,'Operating Assumptions'!$D$23*R$22),IF(AND('Operating Assumptions'!$D$29="No",R$11&lt;'Operating Assumptions'!$D$22),0))))</f>
        <v>0</v>
      </c>
      <c r="S38" s="45">
        <f>IF(AND('Operating Assumptions'!$D$29="Yes",S$11&gt;='Operating Assumptions'!$D$31),MAX('Unit Mix'!$C$12,'Operating Assumptions'!$D$23*S$22),IF(AND('Operating Assumptions'!$D$29="Yes",S$11&lt;'Operating Assumptions'!$D$31),0,IF(AND('Operating Assumptions'!$D$29="No",S$11&gt;='Operating Assumptions'!$D$22),MAX('Unit Mix'!$C$12,'Operating Assumptions'!$D$23*S$22),IF(AND('Operating Assumptions'!$D$29="No",S$11&lt;'Operating Assumptions'!$D$22),0))))</f>
        <v>0</v>
      </c>
      <c r="T38" s="45">
        <f>IF(AND('Operating Assumptions'!$D$29="Yes",T$11&gt;='Operating Assumptions'!$D$31),MAX('Unit Mix'!$C$12,'Operating Assumptions'!$D$23*T$22),IF(AND('Operating Assumptions'!$D$29="Yes",T$11&lt;'Operating Assumptions'!$D$31),0,IF(AND('Operating Assumptions'!$D$29="No",T$11&gt;='Operating Assumptions'!$D$22),MAX('Unit Mix'!$C$12,'Operating Assumptions'!$D$23*T$22),IF(AND('Operating Assumptions'!$D$29="No",T$11&lt;'Operating Assumptions'!$D$22),0))))</f>
        <v>0</v>
      </c>
      <c r="U38" s="45">
        <f>IF(AND('Operating Assumptions'!$D$29="Yes",U$11&gt;='Operating Assumptions'!$D$31),MAX('Unit Mix'!$C$12,'Operating Assumptions'!$D$23*U$22),IF(AND('Operating Assumptions'!$D$29="Yes",U$11&lt;'Operating Assumptions'!$D$31),0,IF(AND('Operating Assumptions'!$D$29="No",U$11&gt;='Operating Assumptions'!$D$22),MAX('Unit Mix'!$C$12,'Operating Assumptions'!$D$23*U$22),IF(AND('Operating Assumptions'!$D$29="No",U$11&lt;'Operating Assumptions'!$D$22),0))))</f>
        <v>0</v>
      </c>
      <c r="V38" s="45">
        <f>IF(AND('Operating Assumptions'!$D$29="Yes",V$11&gt;='Operating Assumptions'!$D$31),MAX('Unit Mix'!$C$12,'Operating Assumptions'!$D$23*V$22),IF(AND('Operating Assumptions'!$D$29="Yes",V$11&lt;'Operating Assumptions'!$D$31),0,IF(AND('Operating Assumptions'!$D$29="No",V$11&gt;='Operating Assumptions'!$D$22),MAX('Unit Mix'!$C$12,'Operating Assumptions'!$D$23*V$22),IF(AND('Operating Assumptions'!$D$29="No",V$11&lt;'Operating Assumptions'!$D$22),0))))</f>
        <v>0</v>
      </c>
      <c r="W38" s="45">
        <f>IF(AND('Operating Assumptions'!$D$29="Yes",W$11&gt;='Operating Assumptions'!$D$31),MAX('Unit Mix'!$C$12,'Operating Assumptions'!$D$23*W$22),IF(AND('Operating Assumptions'!$D$29="Yes",W$11&lt;'Operating Assumptions'!$D$31),0,IF(AND('Operating Assumptions'!$D$29="No",W$11&gt;='Operating Assumptions'!$D$22),MAX('Unit Mix'!$C$12,'Operating Assumptions'!$D$23*W$22),IF(AND('Operating Assumptions'!$D$29="No",W$11&lt;'Operating Assumptions'!$D$22),0))))</f>
        <v>0</v>
      </c>
      <c r="X38" s="45">
        <f>IF(AND('Operating Assumptions'!$D$29="Yes",X$11&gt;='Operating Assumptions'!$D$31),MAX('Unit Mix'!$C$12,'Operating Assumptions'!$D$23*X$22),IF(AND('Operating Assumptions'!$D$29="Yes",X$11&lt;'Operating Assumptions'!$D$31),0,IF(AND('Operating Assumptions'!$D$29="No",X$11&gt;='Operating Assumptions'!$D$22),MAX('Unit Mix'!$C$12,'Operating Assumptions'!$D$23*X$22),IF(AND('Operating Assumptions'!$D$29="No",X$11&lt;'Operating Assumptions'!$D$22),0))))</f>
        <v>0</v>
      </c>
      <c r="Y38" s="45">
        <f>IF(AND('Operating Assumptions'!$D$29="Yes",Y$11&gt;='Operating Assumptions'!$D$31),MAX('Unit Mix'!$C$12,'Operating Assumptions'!$D$23*Y$22),IF(AND('Operating Assumptions'!$D$29="Yes",Y$11&lt;'Operating Assumptions'!$D$31),0,IF(AND('Operating Assumptions'!$D$29="No",Y$11&gt;='Operating Assumptions'!$D$22),MAX('Unit Mix'!$C$12,'Operating Assumptions'!$D$23*Y$22),IF(AND('Operating Assumptions'!$D$29="No",Y$11&lt;'Operating Assumptions'!$D$22),0))))</f>
        <v>1960.2478990250545</v>
      </c>
      <c r="Z38" s="45">
        <f>IF(AND('Operating Assumptions'!$D$29="Yes",Z$11&gt;='Operating Assumptions'!$D$31),MAX('Unit Mix'!$C$12,'Operating Assumptions'!$D$23*Z$22),IF(AND('Operating Assumptions'!$D$29="Yes",Z$11&lt;'Operating Assumptions'!$D$31),0,IF(AND('Operating Assumptions'!$D$29="No",Z$11&gt;='Operating Assumptions'!$D$22),MAX('Unit Mix'!$C$12,'Operating Assumptions'!$D$23*Z$22),IF(AND('Operating Assumptions'!$D$29="No",Z$11&lt;'Operating Assumptions'!$D$22),0))))</f>
        <v>1960.2478990250545</v>
      </c>
      <c r="AA38" s="45">
        <f>IF(AND('Operating Assumptions'!$D$29="Yes",AA$11&gt;='Operating Assumptions'!$D$31),MAX('Unit Mix'!$C$12,'Operating Assumptions'!$D$23*AA$22),IF(AND('Operating Assumptions'!$D$29="Yes",AA$11&lt;'Operating Assumptions'!$D$31),0,IF(AND('Operating Assumptions'!$D$29="No",AA$11&gt;='Operating Assumptions'!$D$22),MAX('Unit Mix'!$C$12,'Operating Assumptions'!$D$23*AA$22),IF(AND('Operating Assumptions'!$D$29="No",AA$11&lt;'Operating Assumptions'!$D$22),0))))</f>
        <v>1960.2478990250545</v>
      </c>
      <c r="AB38" s="45">
        <f>IF(AND('Operating Assumptions'!$D$29="Yes",AB$11&gt;='Operating Assumptions'!$D$31),MAX('Unit Mix'!$C$12,'Operating Assumptions'!$D$23*AB$22),IF(AND('Operating Assumptions'!$D$29="Yes",AB$11&lt;'Operating Assumptions'!$D$31),0,IF(AND('Operating Assumptions'!$D$29="No",AB$11&gt;='Operating Assumptions'!$D$22),MAX('Unit Mix'!$C$12,'Operating Assumptions'!$D$23*AB$22),IF(AND('Operating Assumptions'!$D$29="No",AB$11&lt;'Operating Assumptions'!$D$22),0))))</f>
        <v>1960.2478990250545</v>
      </c>
      <c r="AC38" s="45">
        <f>IF(AND('Operating Assumptions'!$D$29="Yes",AC$11&gt;='Operating Assumptions'!$D$31),MAX('Unit Mix'!$C$12,'Operating Assumptions'!$D$23*AC$22),IF(AND('Operating Assumptions'!$D$29="Yes",AC$11&lt;'Operating Assumptions'!$D$31),0,IF(AND('Operating Assumptions'!$D$29="No",AC$11&gt;='Operating Assumptions'!$D$22),MAX('Unit Mix'!$C$12,'Operating Assumptions'!$D$23*AC$22),IF(AND('Operating Assumptions'!$D$29="No",AC$11&lt;'Operating Assumptions'!$D$22),0))))</f>
        <v>1960.2478990250545</v>
      </c>
      <c r="AD38" s="45">
        <f>IF(AND('Operating Assumptions'!$D$29="Yes",AD$11&gt;='Operating Assumptions'!$D$31),MAX('Unit Mix'!$C$12,'Operating Assumptions'!$D$23*AD$22),IF(AND('Operating Assumptions'!$D$29="Yes",AD$11&lt;'Operating Assumptions'!$D$31),0,IF(AND('Operating Assumptions'!$D$29="No",AD$11&gt;='Operating Assumptions'!$D$22),MAX('Unit Mix'!$C$12,'Operating Assumptions'!$D$23*AD$22),IF(AND('Operating Assumptions'!$D$29="No",AD$11&lt;'Operating Assumptions'!$D$22),0))))</f>
        <v>1960.2478990250545</v>
      </c>
      <c r="AE38" s="45">
        <f>IF(AND('Operating Assumptions'!$D$29="Yes",AE$11&gt;='Operating Assumptions'!$D$31),MAX('Unit Mix'!$C$12,'Operating Assumptions'!$D$23*AE$22),IF(AND('Operating Assumptions'!$D$29="Yes",AE$11&lt;'Operating Assumptions'!$D$31),0,IF(AND('Operating Assumptions'!$D$29="No",AE$11&gt;='Operating Assumptions'!$D$22),MAX('Unit Mix'!$C$12,'Operating Assumptions'!$D$23*AE$22),IF(AND('Operating Assumptions'!$D$29="No",AE$11&lt;'Operating Assumptions'!$D$22),0))))</f>
        <v>1960.2478990250545</v>
      </c>
      <c r="AF38" s="45">
        <f>IF(AND('Operating Assumptions'!$D$29="Yes",AF$11&gt;='Operating Assumptions'!$D$31),MAX('Unit Mix'!$C$12,'Operating Assumptions'!$D$23*AF$22),IF(AND('Operating Assumptions'!$D$29="Yes",AF$11&lt;'Operating Assumptions'!$D$31),0,IF(AND('Operating Assumptions'!$D$29="No",AF$11&gt;='Operating Assumptions'!$D$22),MAX('Unit Mix'!$C$12,'Operating Assumptions'!$D$23*AF$22),IF(AND('Operating Assumptions'!$D$29="No",AF$11&lt;'Operating Assumptions'!$D$22),0))))</f>
        <v>1999.4528570055556</v>
      </c>
      <c r="AG38" s="45">
        <f>IF(AND('Operating Assumptions'!$D$29="Yes",AG$11&gt;='Operating Assumptions'!$D$31),MAX('Unit Mix'!$C$12,'Operating Assumptions'!$D$23*AG$22),IF(AND('Operating Assumptions'!$D$29="Yes",AG$11&lt;'Operating Assumptions'!$D$31),0,IF(AND('Operating Assumptions'!$D$29="No",AG$11&gt;='Operating Assumptions'!$D$22),MAX('Unit Mix'!$C$12,'Operating Assumptions'!$D$23*AG$22),IF(AND('Operating Assumptions'!$D$29="No",AG$11&lt;'Operating Assumptions'!$D$22),0))))</f>
        <v>1999.4528570055556</v>
      </c>
      <c r="AH38" s="45">
        <f>IF(AND('Operating Assumptions'!$D$29="Yes",AH$11&gt;='Operating Assumptions'!$D$31),MAX('Unit Mix'!$C$12,'Operating Assumptions'!$D$23*AH$22),IF(AND('Operating Assumptions'!$D$29="Yes",AH$11&lt;'Operating Assumptions'!$D$31),0,IF(AND('Operating Assumptions'!$D$29="No",AH$11&gt;='Operating Assumptions'!$D$22),MAX('Unit Mix'!$C$12,'Operating Assumptions'!$D$23*AH$22),IF(AND('Operating Assumptions'!$D$29="No",AH$11&lt;'Operating Assumptions'!$D$22),0))))</f>
        <v>1999.4528570055556</v>
      </c>
      <c r="AI38" s="45">
        <f>IF(AND('Operating Assumptions'!$D$29="Yes",AI$11&gt;='Operating Assumptions'!$D$31),MAX('Unit Mix'!$C$12,'Operating Assumptions'!$D$23*AI$22),IF(AND('Operating Assumptions'!$D$29="Yes",AI$11&lt;'Operating Assumptions'!$D$31),0,IF(AND('Operating Assumptions'!$D$29="No",AI$11&gt;='Operating Assumptions'!$D$22),MAX('Unit Mix'!$C$12,'Operating Assumptions'!$D$23*AI$22),IF(AND('Operating Assumptions'!$D$29="No",AI$11&lt;'Operating Assumptions'!$D$22),0))))</f>
        <v>1999.4528570055556</v>
      </c>
      <c r="AJ38" s="45">
        <f>IF(AND('Operating Assumptions'!$D$29="Yes",AJ$11&gt;='Operating Assumptions'!$D$31),MAX('Unit Mix'!$C$12,'Operating Assumptions'!$D$23*AJ$22),IF(AND('Operating Assumptions'!$D$29="Yes",AJ$11&lt;'Operating Assumptions'!$D$31),0,IF(AND('Operating Assumptions'!$D$29="No",AJ$11&gt;='Operating Assumptions'!$D$22),MAX('Unit Mix'!$C$12,'Operating Assumptions'!$D$23*AJ$22),IF(AND('Operating Assumptions'!$D$29="No",AJ$11&lt;'Operating Assumptions'!$D$22),0))))</f>
        <v>1999.4528570055556</v>
      </c>
      <c r="AK38" s="45">
        <f>IF(AND('Operating Assumptions'!$D$29="Yes",AK$11&gt;='Operating Assumptions'!$D$31),MAX('Unit Mix'!$C$12,'Operating Assumptions'!$D$23*AK$22),IF(AND('Operating Assumptions'!$D$29="Yes",AK$11&lt;'Operating Assumptions'!$D$31),0,IF(AND('Operating Assumptions'!$D$29="No",AK$11&gt;='Operating Assumptions'!$D$22),MAX('Unit Mix'!$C$12,'Operating Assumptions'!$D$23*AK$22),IF(AND('Operating Assumptions'!$D$29="No",AK$11&lt;'Operating Assumptions'!$D$22),0))))</f>
        <v>1999.4528570055556</v>
      </c>
      <c r="AL38" s="45">
        <f>IF(AND('Operating Assumptions'!$D$29="Yes",AL$11&gt;='Operating Assumptions'!$D$31),MAX('Unit Mix'!$C$12,'Operating Assumptions'!$D$23*AL$22),IF(AND('Operating Assumptions'!$D$29="Yes",AL$11&lt;'Operating Assumptions'!$D$31),0,IF(AND('Operating Assumptions'!$D$29="No",AL$11&gt;='Operating Assumptions'!$D$22),MAX('Unit Mix'!$C$12,'Operating Assumptions'!$D$23*AL$22),IF(AND('Operating Assumptions'!$D$29="No",AL$11&lt;'Operating Assumptions'!$D$22),0))))</f>
        <v>1999.4528570055556</v>
      </c>
      <c r="AM38" s="45">
        <f>IF(AND('Operating Assumptions'!$D$29="Yes",AM$11&gt;='Operating Assumptions'!$D$31),MAX('Unit Mix'!$C$12,'Operating Assumptions'!$D$23*AM$22),IF(AND('Operating Assumptions'!$D$29="Yes",AM$11&lt;'Operating Assumptions'!$D$31),0,IF(AND('Operating Assumptions'!$D$29="No",AM$11&gt;='Operating Assumptions'!$D$22),MAX('Unit Mix'!$C$12,'Operating Assumptions'!$D$23*AM$22),IF(AND('Operating Assumptions'!$D$29="No",AM$11&lt;'Operating Assumptions'!$D$22),0))))</f>
        <v>1999.4528570055556</v>
      </c>
      <c r="AN38" s="45">
        <f>IF(AND('Operating Assumptions'!$D$29="Yes",AN$11&gt;='Operating Assumptions'!$D$31),MAX('Unit Mix'!$C$12,'Operating Assumptions'!$D$23*AN$22),IF(AND('Operating Assumptions'!$D$29="Yes",AN$11&lt;'Operating Assumptions'!$D$31),0,IF(AND('Operating Assumptions'!$D$29="No",AN$11&gt;='Operating Assumptions'!$D$22),MAX('Unit Mix'!$C$12,'Operating Assumptions'!$D$23*AN$22),IF(AND('Operating Assumptions'!$D$29="No",AN$11&lt;'Operating Assumptions'!$D$22),0))))</f>
        <v>1999.4528570055556</v>
      </c>
      <c r="AO38" s="45">
        <f>IF(AND('Operating Assumptions'!$D$29="Yes",AO$11&gt;='Operating Assumptions'!$D$31),MAX('Unit Mix'!$C$12,'Operating Assumptions'!$D$23*AO$22),IF(AND('Operating Assumptions'!$D$29="Yes",AO$11&lt;'Operating Assumptions'!$D$31),0,IF(AND('Operating Assumptions'!$D$29="No",AO$11&gt;='Operating Assumptions'!$D$22),MAX('Unit Mix'!$C$12,'Operating Assumptions'!$D$23*AO$22),IF(AND('Operating Assumptions'!$D$29="No",AO$11&lt;'Operating Assumptions'!$D$22),0))))</f>
        <v>1999.4528570055556</v>
      </c>
      <c r="AP38" s="45">
        <f>IF(AND('Operating Assumptions'!$D$29="Yes",AP$11&gt;='Operating Assumptions'!$D$31),MAX('Unit Mix'!$C$12,'Operating Assumptions'!$D$23*AP$22),IF(AND('Operating Assumptions'!$D$29="Yes",AP$11&lt;'Operating Assumptions'!$D$31),0,IF(AND('Operating Assumptions'!$D$29="No",AP$11&gt;='Operating Assumptions'!$D$22),MAX('Unit Mix'!$C$12,'Operating Assumptions'!$D$23*AP$22),IF(AND('Operating Assumptions'!$D$29="No",AP$11&lt;'Operating Assumptions'!$D$22),0))))</f>
        <v>1999.4528570055556</v>
      </c>
      <c r="AQ38" s="45">
        <f>IF(AND('Operating Assumptions'!$D$29="Yes",AQ$11&gt;='Operating Assumptions'!$D$31),MAX('Unit Mix'!$C$12,'Operating Assumptions'!$D$23*AQ$22),IF(AND('Operating Assumptions'!$D$29="Yes",AQ$11&lt;'Operating Assumptions'!$D$31),0,IF(AND('Operating Assumptions'!$D$29="No",AQ$11&gt;='Operating Assumptions'!$D$22),MAX('Unit Mix'!$C$12,'Operating Assumptions'!$D$23*AQ$22),IF(AND('Operating Assumptions'!$D$29="No",AQ$11&lt;'Operating Assumptions'!$D$22),0))))</f>
        <v>1999.4528570055556</v>
      </c>
      <c r="AR38" s="45">
        <f>IF(AND('Operating Assumptions'!$D$29="Yes",AR$11&gt;='Operating Assumptions'!$D$31),MAX('Unit Mix'!$C$12,'Operating Assumptions'!$D$23*AR$22),IF(AND('Operating Assumptions'!$D$29="Yes",AR$11&lt;'Operating Assumptions'!$D$31),0,IF(AND('Operating Assumptions'!$D$29="No",AR$11&gt;='Operating Assumptions'!$D$22),MAX('Unit Mix'!$C$12,'Operating Assumptions'!$D$23*AR$22),IF(AND('Operating Assumptions'!$D$29="No",AR$11&lt;'Operating Assumptions'!$D$22),0))))</f>
        <v>2038.6578149860568</v>
      </c>
      <c r="AS38" s="45">
        <f>IF(AND('Operating Assumptions'!$D$29="Yes",AS$11&gt;='Operating Assumptions'!$D$31),MAX('Unit Mix'!$C$12,'Operating Assumptions'!$D$23*AS$22),IF(AND('Operating Assumptions'!$D$29="Yes",AS$11&lt;'Operating Assumptions'!$D$31),0,IF(AND('Operating Assumptions'!$D$29="No",AS$11&gt;='Operating Assumptions'!$D$22),MAX('Unit Mix'!$C$12,'Operating Assumptions'!$D$23*AS$22),IF(AND('Operating Assumptions'!$D$29="No",AS$11&lt;'Operating Assumptions'!$D$22),0))))</f>
        <v>2038.6578149860568</v>
      </c>
      <c r="AT38" s="45">
        <f>IF(AND('Operating Assumptions'!$D$29="Yes",AT$11&gt;='Operating Assumptions'!$D$31),MAX('Unit Mix'!$C$12,'Operating Assumptions'!$D$23*AT$22),IF(AND('Operating Assumptions'!$D$29="Yes",AT$11&lt;'Operating Assumptions'!$D$31),0,IF(AND('Operating Assumptions'!$D$29="No",AT$11&gt;='Operating Assumptions'!$D$22),MAX('Unit Mix'!$C$12,'Operating Assumptions'!$D$23*AT$22),IF(AND('Operating Assumptions'!$D$29="No",AT$11&lt;'Operating Assumptions'!$D$22),0))))</f>
        <v>2038.6578149860568</v>
      </c>
      <c r="AU38" s="45">
        <f>IF(AND('Operating Assumptions'!$D$29="Yes",AU$11&gt;='Operating Assumptions'!$D$31),MAX('Unit Mix'!$C$12,'Operating Assumptions'!$D$23*AU$22),IF(AND('Operating Assumptions'!$D$29="Yes",AU$11&lt;'Operating Assumptions'!$D$31),0,IF(AND('Operating Assumptions'!$D$29="No",AU$11&gt;='Operating Assumptions'!$D$22),MAX('Unit Mix'!$C$12,'Operating Assumptions'!$D$23*AU$22),IF(AND('Operating Assumptions'!$D$29="No",AU$11&lt;'Operating Assumptions'!$D$22),0))))</f>
        <v>2038.6578149860568</v>
      </c>
      <c r="AV38" s="45">
        <f>IF(AND('Operating Assumptions'!$D$29="Yes",AV$11&gt;='Operating Assumptions'!$D$31),MAX('Unit Mix'!$C$12,'Operating Assumptions'!$D$23*AV$22),IF(AND('Operating Assumptions'!$D$29="Yes",AV$11&lt;'Operating Assumptions'!$D$31),0,IF(AND('Operating Assumptions'!$D$29="No",AV$11&gt;='Operating Assumptions'!$D$22),MAX('Unit Mix'!$C$12,'Operating Assumptions'!$D$23*AV$22),IF(AND('Operating Assumptions'!$D$29="No",AV$11&lt;'Operating Assumptions'!$D$22),0))))</f>
        <v>2038.6578149860568</v>
      </c>
      <c r="AW38" s="45">
        <f>IF(AND('Operating Assumptions'!$D$29="Yes",AW$11&gt;='Operating Assumptions'!$D$31),MAX('Unit Mix'!$C$12,'Operating Assumptions'!$D$23*AW$22),IF(AND('Operating Assumptions'!$D$29="Yes",AW$11&lt;'Operating Assumptions'!$D$31),0,IF(AND('Operating Assumptions'!$D$29="No",AW$11&gt;='Operating Assumptions'!$D$22),MAX('Unit Mix'!$C$12,'Operating Assumptions'!$D$23*AW$22),IF(AND('Operating Assumptions'!$D$29="No",AW$11&lt;'Operating Assumptions'!$D$22),0))))</f>
        <v>2038.6578149860568</v>
      </c>
      <c r="AX38" s="45">
        <f>IF(AND('Operating Assumptions'!$D$29="Yes",AX$11&gt;='Operating Assumptions'!$D$31),MAX('Unit Mix'!$C$12,'Operating Assumptions'!$D$23*AX$22),IF(AND('Operating Assumptions'!$D$29="Yes",AX$11&lt;'Operating Assumptions'!$D$31),0,IF(AND('Operating Assumptions'!$D$29="No",AX$11&gt;='Operating Assumptions'!$D$22),MAX('Unit Mix'!$C$12,'Operating Assumptions'!$D$23*AX$22),IF(AND('Operating Assumptions'!$D$29="No",AX$11&lt;'Operating Assumptions'!$D$22),0))))</f>
        <v>2038.6578149860568</v>
      </c>
      <c r="AY38" s="45">
        <f>IF(AND('Operating Assumptions'!$D$29="Yes",AY$11&gt;='Operating Assumptions'!$D$31),MAX('Unit Mix'!$C$12,'Operating Assumptions'!$D$23*AY$22),IF(AND('Operating Assumptions'!$D$29="Yes",AY$11&lt;'Operating Assumptions'!$D$31),0,IF(AND('Operating Assumptions'!$D$29="No",AY$11&gt;='Operating Assumptions'!$D$22),MAX('Unit Mix'!$C$12,'Operating Assumptions'!$D$23*AY$22),IF(AND('Operating Assumptions'!$D$29="No",AY$11&lt;'Operating Assumptions'!$D$22),0))))</f>
        <v>2038.6578149860568</v>
      </c>
      <c r="AZ38" s="45">
        <f>IF(AND('Operating Assumptions'!$D$29="Yes",AZ$11&gt;='Operating Assumptions'!$D$31),MAX('Unit Mix'!$C$12,'Operating Assumptions'!$D$23*AZ$22),IF(AND('Operating Assumptions'!$D$29="Yes",AZ$11&lt;'Operating Assumptions'!$D$31),0,IF(AND('Operating Assumptions'!$D$29="No",AZ$11&gt;='Operating Assumptions'!$D$22),MAX('Unit Mix'!$C$12,'Operating Assumptions'!$D$23*AZ$22),IF(AND('Operating Assumptions'!$D$29="No",AZ$11&lt;'Operating Assumptions'!$D$22),0))))</f>
        <v>2038.6578149860568</v>
      </c>
      <c r="BA38" s="45">
        <f>IF(AND('Operating Assumptions'!$D$29="Yes",BA$11&gt;='Operating Assumptions'!$D$31),MAX('Unit Mix'!$C$12,'Operating Assumptions'!$D$23*BA$22),IF(AND('Operating Assumptions'!$D$29="Yes",BA$11&lt;'Operating Assumptions'!$D$31),0,IF(AND('Operating Assumptions'!$D$29="No",BA$11&gt;='Operating Assumptions'!$D$22),MAX('Unit Mix'!$C$12,'Operating Assumptions'!$D$23*BA$22),IF(AND('Operating Assumptions'!$D$29="No",BA$11&lt;'Operating Assumptions'!$D$22),0))))</f>
        <v>2038.6578149860568</v>
      </c>
      <c r="BB38" s="45">
        <f>IF(AND('Operating Assumptions'!$D$29="Yes",BB$11&gt;='Operating Assumptions'!$D$31),MAX('Unit Mix'!$C$12,'Operating Assumptions'!$D$23*BB$22),IF(AND('Operating Assumptions'!$D$29="Yes",BB$11&lt;'Operating Assumptions'!$D$31),0,IF(AND('Operating Assumptions'!$D$29="No",BB$11&gt;='Operating Assumptions'!$D$22),MAX('Unit Mix'!$C$12,'Operating Assumptions'!$D$23*BB$22),IF(AND('Operating Assumptions'!$D$29="No",BB$11&lt;'Operating Assumptions'!$D$22),0))))</f>
        <v>2038.6578149860568</v>
      </c>
      <c r="BC38" s="45">
        <f>IF(AND('Operating Assumptions'!$D$29="Yes",BC$11&gt;='Operating Assumptions'!$D$31),MAX('Unit Mix'!$C$12,'Operating Assumptions'!$D$23*BC$22),IF(AND('Operating Assumptions'!$D$29="Yes",BC$11&lt;'Operating Assumptions'!$D$31),0,IF(AND('Operating Assumptions'!$D$29="No",BC$11&gt;='Operating Assumptions'!$D$22),MAX('Unit Mix'!$C$12,'Operating Assumptions'!$D$23*BC$22),IF(AND('Operating Assumptions'!$D$29="No",BC$11&lt;'Operating Assumptions'!$D$22),0))))</f>
        <v>2038.6578149860568</v>
      </c>
      <c r="BD38" s="45">
        <f>IF(AND('Operating Assumptions'!$D$29="Yes",BD$11&gt;='Operating Assumptions'!$D$31),MAX('Unit Mix'!$C$12,'Operating Assumptions'!$D$23*BD$22),IF(AND('Operating Assumptions'!$D$29="Yes",BD$11&lt;'Operating Assumptions'!$D$31),0,IF(AND('Operating Assumptions'!$D$29="No",BD$11&gt;='Operating Assumptions'!$D$22),MAX('Unit Mix'!$C$12,'Operating Assumptions'!$D$23*BD$22),IF(AND('Operating Assumptions'!$D$29="No",BD$11&lt;'Operating Assumptions'!$D$22),0))))</f>
        <v>2077.8627729665577</v>
      </c>
      <c r="BE38" s="45">
        <f>IF(AND('Operating Assumptions'!$D$29="Yes",BE$11&gt;='Operating Assumptions'!$D$31),MAX('Unit Mix'!$C$12,'Operating Assumptions'!$D$23*BE$22),IF(AND('Operating Assumptions'!$D$29="Yes",BE$11&lt;'Operating Assumptions'!$D$31),0,IF(AND('Operating Assumptions'!$D$29="No",BE$11&gt;='Operating Assumptions'!$D$22),MAX('Unit Mix'!$C$12,'Operating Assumptions'!$D$23*BE$22),IF(AND('Operating Assumptions'!$D$29="No",BE$11&lt;'Operating Assumptions'!$D$22),0))))</f>
        <v>2077.8627729665577</v>
      </c>
      <c r="BF38" s="45">
        <f>IF(AND('Operating Assumptions'!$D$29="Yes",BF$11&gt;='Operating Assumptions'!$D$31),MAX('Unit Mix'!$C$12,'Operating Assumptions'!$D$23*BF$22),IF(AND('Operating Assumptions'!$D$29="Yes",BF$11&lt;'Operating Assumptions'!$D$31),0,IF(AND('Operating Assumptions'!$D$29="No",BF$11&gt;='Operating Assumptions'!$D$22),MAX('Unit Mix'!$C$12,'Operating Assumptions'!$D$23*BF$22),IF(AND('Operating Assumptions'!$D$29="No",BF$11&lt;'Operating Assumptions'!$D$22),0))))</f>
        <v>2077.8627729665577</v>
      </c>
      <c r="BG38" s="45">
        <f>IF(AND('Operating Assumptions'!$D$29="Yes",BG$11&gt;='Operating Assumptions'!$D$31),MAX('Unit Mix'!$C$12,'Operating Assumptions'!$D$23*BG$22),IF(AND('Operating Assumptions'!$D$29="Yes",BG$11&lt;'Operating Assumptions'!$D$31),0,IF(AND('Operating Assumptions'!$D$29="No",BG$11&gt;='Operating Assumptions'!$D$22),MAX('Unit Mix'!$C$12,'Operating Assumptions'!$D$23*BG$22),IF(AND('Operating Assumptions'!$D$29="No",BG$11&lt;'Operating Assumptions'!$D$22),0))))</f>
        <v>2077.8627729665577</v>
      </c>
      <c r="BH38" s="45">
        <f>IF(AND('Operating Assumptions'!$D$29="Yes",BH$11&gt;='Operating Assumptions'!$D$31),MAX('Unit Mix'!$C$12,'Operating Assumptions'!$D$23*BH$22),IF(AND('Operating Assumptions'!$D$29="Yes",BH$11&lt;'Operating Assumptions'!$D$31),0,IF(AND('Operating Assumptions'!$D$29="No",BH$11&gt;='Operating Assumptions'!$D$22),MAX('Unit Mix'!$C$12,'Operating Assumptions'!$D$23*BH$22),IF(AND('Operating Assumptions'!$D$29="No",BH$11&lt;'Operating Assumptions'!$D$22),0))))</f>
        <v>2077.8627729665577</v>
      </c>
      <c r="BI38" s="45">
        <f>IF(AND('Operating Assumptions'!$D$29="Yes",BI$11&gt;='Operating Assumptions'!$D$31),MAX('Unit Mix'!$C$12,'Operating Assumptions'!$D$23*BI$22),IF(AND('Operating Assumptions'!$D$29="Yes",BI$11&lt;'Operating Assumptions'!$D$31),0,IF(AND('Operating Assumptions'!$D$29="No",BI$11&gt;='Operating Assumptions'!$D$22),MAX('Unit Mix'!$C$12,'Operating Assumptions'!$D$23*BI$22),IF(AND('Operating Assumptions'!$D$29="No",BI$11&lt;'Operating Assumptions'!$D$22),0))))</f>
        <v>2077.8627729665577</v>
      </c>
      <c r="BJ38" s="45">
        <f>IF(AND('Operating Assumptions'!$D$29="Yes",BJ$11&gt;='Operating Assumptions'!$D$31),MAX('Unit Mix'!$C$12,'Operating Assumptions'!$D$23*BJ$22),IF(AND('Operating Assumptions'!$D$29="Yes",BJ$11&lt;'Operating Assumptions'!$D$31),0,IF(AND('Operating Assumptions'!$D$29="No",BJ$11&gt;='Operating Assumptions'!$D$22),MAX('Unit Mix'!$C$12,'Operating Assumptions'!$D$23*BJ$22),IF(AND('Operating Assumptions'!$D$29="No",BJ$11&lt;'Operating Assumptions'!$D$22),0))))</f>
        <v>2077.8627729665577</v>
      </c>
      <c r="BK38" s="45">
        <f>IF(AND('Operating Assumptions'!$D$29="Yes",BK$11&gt;='Operating Assumptions'!$D$31),MAX('Unit Mix'!$C$12,'Operating Assumptions'!$D$23*BK$22),IF(AND('Operating Assumptions'!$D$29="Yes",BK$11&lt;'Operating Assumptions'!$D$31),0,IF(AND('Operating Assumptions'!$D$29="No",BK$11&gt;='Operating Assumptions'!$D$22),MAX('Unit Mix'!$C$12,'Operating Assumptions'!$D$23*BK$22),IF(AND('Operating Assumptions'!$D$29="No",BK$11&lt;'Operating Assumptions'!$D$22),0))))</f>
        <v>2077.8627729665577</v>
      </c>
      <c r="BL38" s="45">
        <f>IF(AND('Operating Assumptions'!$D$29="Yes",BL$11&gt;='Operating Assumptions'!$D$31),MAX('Unit Mix'!$C$12,'Operating Assumptions'!$D$23*BL$22),IF(AND('Operating Assumptions'!$D$29="Yes",BL$11&lt;'Operating Assumptions'!$D$31),0,IF(AND('Operating Assumptions'!$D$29="No",BL$11&gt;='Operating Assumptions'!$D$22),MAX('Unit Mix'!$C$12,'Operating Assumptions'!$D$23*BL$22),IF(AND('Operating Assumptions'!$D$29="No",BL$11&lt;'Operating Assumptions'!$D$22),0))))</f>
        <v>2077.8627729665577</v>
      </c>
      <c r="BM38" s="45">
        <f>IF(AND('Operating Assumptions'!$D$29="Yes",BM$11&gt;='Operating Assumptions'!$D$31),MAX('Unit Mix'!$C$12,'Operating Assumptions'!$D$23*BM$22),IF(AND('Operating Assumptions'!$D$29="Yes",BM$11&lt;'Operating Assumptions'!$D$31),0,IF(AND('Operating Assumptions'!$D$29="No",BM$11&gt;='Operating Assumptions'!$D$22),MAX('Unit Mix'!$C$12,'Operating Assumptions'!$D$23*BM$22),IF(AND('Operating Assumptions'!$D$29="No",BM$11&lt;'Operating Assumptions'!$D$22),0))))</f>
        <v>2077.8627729665577</v>
      </c>
      <c r="BN38" s="45">
        <f>IF(AND('Operating Assumptions'!$D$29="Yes",BN$11&gt;='Operating Assumptions'!$D$31),MAX('Unit Mix'!$C$12,'Operating Assumptions'!$D$23*BN$22),IF(AND('Operating Assumptions'!$D$29="Yes",BN$11&lt;'Operating Assumptions'!$D$31),0,IF(AND('Operating Assumptions'!$D$29="No",BN$11&gt;='Operating Assumptions'!$D$22),MAX('Unit Mix'!$C$12,'Operating Assumptions'!$D$23*BN$22),IF(AND('Operating Assumptions'!$D$29="No",BN$11&lt;'Operating Assumptions'!$D$22),0))))</f>
        <v>2077.8627729665577</v>
      </c>
      <c r="BO38" s="45">
        <f>IF(AND('Operating Assumptions'!$D$29="Yes",BO$11&gt;='Operating Assumptions'!$D$31),MAX('Unit Mix'!$C$12,'Operating Assumptions'!$D$23*BO$22),IF(AND('Operating Assumptions'!$D$29="Yes",BO$11&lt;'Operating Assumptions'!$D$31),0,IF(AND('Operating Assumptions'!$D$29="No",BO$11&gt;='Operating Assumptions'!$D$22),MAX('Unit Mix'!$C$12,'Operating Assumptions'!$D$23*BO$22),IF(AND('Operating Assumptions'!$D$29="No",BO$11&lt;'Operating Assumptions'!$D$22),0))))</f>
        <v>2077.8627729665577</v>
      </c>
      <c r="BP38" s="45">
        <f>IF(AND('Operating Assumptions'!$D$29="Yes",BP$11&gt;='Operating Assumptions'!$D$31),MAX('Unit Mix'!$C$12,'Operating Assumptions'!$D$23*BP$22),IF(AND('Operating Assumptions'!$D$29="Yes",BP$11&lt;'Operating Assumptions'!$D$31),0,IF(AND('Operating Assumptions'!$D$29="No",BP$11&gt;='Operating Assumptions'!$D$22),MAX('Unit Mix'!$C$12,'Operating Assumptions'!$D$23*BP$22),IF(AND('Operating Assumptions'!$D$29="No",BP$11&lt;'Operating Assumptions'!$D$22),0))))</f>
        <v>2117.0677309470589</v>
      </c>
      <c r="BQ38" s="45">
        <f>IF(AND('Operating Assumptions'!$D$29="Yes",BQ$11&gt;='Operating Assumptions'!$D$31),MAX('Unit Mix'!$C$12,'Operating Assumptions'!$D$23*BQ$22),IF(AND('Operating Assumptions'!$D$29="Yes",BQ$11&lt;'Operating Assumptions'!$D$31),0,IF(AND('Operating Assumptions'!$D$29="No",BQ$11&gt;='Operating Assumptions'!$D$22),MAX('Unit Mix'!$C$12,'Operating Assumptions'!$D$23*BQ$22),IF(AND('Operating Assumptions'!$D$29="No",BQ$11&lt;'Operating Assumptions'!$D$22),0))))</f>
        <v>2117.0677309470589</v>
      </c>
      <c r="BR38" s="45">
        <f>IF(AND('Operating Assumptions'!$D$29="Yes",BR$11&gt;='Operating Assumptions'!$D$31),MAX('Unit Mix'!$C$12,'Operating Assumptions'!$D$23*BR$22),IF(AND('Operating Assumptions'!$D$29="Yes",BR$11&lt;'Operating Assumptions'!$D$31),0,IF(AND('Operating Assumptions'!$D$29="No",BR$11&gt;='Operating Assumptions'!$D$22),MAX('Unit Mix'!$C$12,'Operating Assumptions'!$D$23*BR$22),IF(AND('Operating Assumptions'!$D$29="No",BR$11&lt;'Operating Assumptions'!$D$22),0))))</f>
        <v>2117.0677309470589</v>
      </c>
      <c r="BS38" s="45">
        <f>IF(AND('Operating Assumptions'!$D$29="Yes",BS$11&gt;='Operating Assumptions'!$D$31),MAX('Unit Mix'!$C$12,'Operating Assumptions'!$D$23*BS$22),IF(AND('Operating Assumptions'!$D$29="Yes",BS$11&lt;'Operating Assumptions'!$D$31),0,IF(AND('Operating Assumptions'!$D$29="No",BS$11&gt;='Operating Assumptions'!$D$22),MAX('Unit Mix'!$C$12,'Operating Assumptions'!$D$23*BS$22),IF(AND('Operating Assumptions'!$D$29="No",BS$11&lt;'Operating Assumptions'!$D$22),0))))</f>
        <v>2117.0677309470589</v>
      </c>
      <c r="BT38" s="45">
        <f>IF(AND('Operating Assumptions'!$D$29="Yes",BT$11&gt;='Operating Assumptions'!$D$31),MAX('Unit Mix'!$C$12,'Operating Assumptions'!$D$23*BT$22),IF(AND('Operating Assumptions'!$D$29="Yes",BT$11&lt;'Operating Assumptions'!$D$31),0,IF(AND('Operating Assumptions'!$D$29="No",BT$11&gt;='Operating Assumptions'!$D$22),MAX('Unit Mix'!$C$12,'Operating Assumptions'!$D$23*BT$22),IF(AND('Operating Assumptions'!$D$29="No",BT$11&lt;'Operating Assumptions'!$D$22),0))))</f>
        <v>2117.0677309470589</v>
      </c>
      <c r="BU38" s="45">
        <f>IF(AND('Operating Assumptions'!$D$29="Yes",BU$11&gt;='Operating Assumptions'!$D$31),MAX('Unit Mix'!$C$12,'Operating Assumptions'!$D$23*BU$22),IF(AND('Operating Assumptions'!$D$29="Yes",BU$11&lt;'Operating Assumptions'!$D$31),0,IF(AND('Operating Assumptions'!$D$29="No",BU$11&gt;='Operating Assumptions'!$D$22),MAX('Unit Mix'!$C$12,'Operating Assumptions'!$D$23*BU$22),IF(AND('Operating Assumptions'!$D$29="No",BU$11&lt;'Operating Assumptions'!$D$22),0))))</f>
        <v>2117.0677309470589</v>
      </c>
      <c r="BV38" s="45">
        <f>IF(AND('Operating Assumptions'!$D$29="Yes",BV$11&gt;='Operating Assumptions'!$D$31),MAX('Unit Mix'!$C$12,'Operating Assumptions'!$D$23*BV$22),IF(AND('Operating Assumptions'!$D$29="Yes",BV$11&lt;'Operating Assumptions'!$D$31),0,IF(AND('Operating Assumptions'!$D$29="No",BV$11&gt;='Operating Assumptions'!$D$22),MAX('Unit Mix'!$C$12,'Operating Assumptions'!$D$23*BV$22),IF(AND('Operating Assumptions'!$D$29="No",BV$11&lt;'Operating Assumptions'!$D$22),0))))</f>
        <v>2117.0677309470589</v>
      </c>
      <c r="BW38" s="45">
        <f>IF(AND('Operating Assumptions'!$D$29="Yes",BW$11&gt;='Operating Assumptions'!$D$31),MAX('Unit Mix'!$C$12,'Operating Assumptions'!$D$23*BW$22),IF(AND('Operating Assumptions'!$D$29="Yes",BW$11&lt;'Operating Assumptions'!$D$31),0,IF(AND('Operating Assumptions'!$D$29="No",BW$11&gt;='Operating Assumptions'!$D$22),MAX('Unit Mix'!$C$12,'Operating Assumptions'!$D$23*BW$22),IF(AND('Operating Assumptions'!$D$29="No",BW$11&lt;'Operating Assumptions'!$D$22),0))))</f>
        <v>2117.0677309470589</v>
      </c>
      <c r="BX38" s="45">
        <f>IF(AND('Operating Assumptions'!$D$29="Yes",BX$11&gt;='Operating Assumptions'!$D$31),MAX('Unit Mix'!$C$12,'Operating Assumptions'!$D$23*BX$22),IF(AND('Operating Assumptions'!$D$29="Yes",BX$11&lt;'Operating Assumptions'!$D$31),0,IF(AND('Operating Assumptions'!$D$29="No",BX$11&gt;='Operating Assumptions'!$D$22),MAX('Unit Mix'!$C$12,'Operating Assumptions'!$D$23*BX$22),IF(AND('Operating Assumptions'!$D$29="No",BX$11&lt;'Operating Assumptions'!$D$22),0))))</f>
        <v>2117.0677309470589</v>
      </c>
      <c r="BY38" s="45">
        <f>IF(AND('Operating Assumptions'!$D$29="Yes",BY$11&gt;='Operating Assumptions'!$D$31),MAX('Unit Mix'!$C$12,'Operating Assumptions'!$D$23*BY$22),IF(AND('Operating Assumptions'!$D$29="Yes",BY$11&lt;'Operating Assumptions'!$D$31),0,IF(AND('Operating Assumptions'!$D$29="No",BY$11&gt;='Operating Assumptions'!$D$22),MAX('Unit Mix'!$C$12,'Operating Assumptions'!$D$23*BY$22),IF(AND('Operating Assumptions'!$D$29="No",BY$11&lt;'Operating Assumptions'!$D$22),0))))</f>
        <v>2117.0677309470589</v>
      </c>
      <c r="BZ38" s="45">
        <f>IF(AND('Operating Assumptions'!$D$29="Yes",BZ$11&gt;='Operating Assumptions'!$D$31),MAX('Unit Mix'!$C$12,'Operating Assumptions'!$D$23*BZ$22),IF(AND('Operating Assumptions'!$D$29="Yes",BZ$11&lt;'Operating Assumptions'!$D$31),0,IF(AND('Operating Assumptions'!$D$29="No",BZ$11&gt;='Operating Assumptions'!$D$22),MAX('Unit Mix'!$C$12,'Operating Assumptions'!$D$23*BZ$22),IF(AND('Operating Assumptions'!$D$29="No",BZ$11&lt;'Operating Assumptions'!$D$22),0))))</f>
        <v>2117.0677309470589</v>
      </c>
      <c r="CA38" s="45">
        <f>IF(AND('Operating Assumptions'!$D$29="Yes",CA$11&gt;='Operating Assumptions'!$D$31),MAX('Unit Mix'!$C$12,'Operating Assumptions'!$D$23*CA$22),IF(AND('Operating Assumptions'!$D$29="Yes",CA$11&lt;'Operating Assumptions'!$D$31),0,IF(AND('Operating Assumptions'!$D$29="No",CA$11&gt;='Operating Assumptions'!$D$22),MAX('Unit Mix'!$C$12,'Operating Assumptions'!$D$23*CA$22),IF(AND('Operating Assumptions'!$D$29="No",CA$11&lt;'Operating Assumptions'!$D$22),0))))</f>
        <v>2117.0677309470589</v>
      </c>
      <c r="CB38" s="45">
        <f>IF(AND('Operating Assumptions'!$D$29="Yes",CB$11&gt;='Operating Assumptions'!$D$31),MAX('Unit Mix'!$C$12,'Operating Assumptions'!$D$23*CB$22),IF(AND('Operating Assumptions'!$D$29="Yes",CB$11&lt;'Operating Assumptions'!$D$31),0,IF(AND('Operating Assumptions'!$D$29="No",CB$11&gt;='Operating Assumptions'!$D$22),MAX('Unit Mix'!$C$12,'Operating Assumptions'!$D$23*CB$22),IF(AND('Operating Assumptions'!$D$29="No",CB$11&lt;'Operating Assumptions'!$D$22),0))))</f>
        <v>2156.27268892756</v>
      </c>
      <c r="CC38" s="45">
        <f>IF(AND('Operating Assumptions'!$D$29="Yes",CC$11&gt;='Operating Assumptions'!$D$31),MAX('Unit Mix'!$C$12,'Operating Assumptions'!$D$23*CC$22),IF(AND('Operating Assumptions'!$D$29="Yes",CC$11&lt;'Operating Assumptions'!$D$31),0,IF(AND('Operating Assumptions'!$D$29="No",CC$11&gt;='Operating Assumptions'!$D$22),MAX('Unit Mix'!$C$12,'Operating Assumptions'!$D$23*CC$22),IF(AND('Operating Assumptions'!$D$29="No",CC$11&lt;'Operating Assumptions'!$D$22),0))))</f>
        <v>2156.27268892756</v>
      </c>
      <c r="CD38" s="45">
        <f>IF(AND('Operating Assumptions'!$D$29="Yes",CD$11&gt;='Operating Assumptions'!$D$31),MAX('Unit Mix'!$C$12,'Operating Assumptions'!$D$23*CD$22),IF(AND('Operating Assumptions'!$D$29="Yes",CD$11&lt;'Operating Assumptions'!$D$31),0,IF(AND('Operating Assumptions'!$D$29="No",CD$11&gt;='Operating Assumptions'!$D$22),MAX('Unit Mix'!$C$12,'Operating Assumptions'!$D$23*CD$22),IF(AND('Operating Assumptions'!$D$29="No",CD$11&lt;'Operating Assumptions'!$D$22),0))))</f>
        <v>2156.27268892756</v>
      </c>
      <c r="CE38" s="45">
        <f>IF(AND('Operating Assumptions'!$D$29="Yes",CE$11&gt;='Operating Assumptions'!$D$31),MAX('Unit Mix'!$C$12,'Operating Assumptions'!$D$23*CE$22),IF(AND('Operating Assumptions'!$D$29="Yes",CE$11&lt;'Operating Assumptions'!$D$31),0,IF(AND('Operating Assumptions'!$D$29="No",CE$11&gt;='Operating Assumptions'!$D$22),MAX('Unit Mix'!$C$12,'Operating Assumptions'!$D$23*CE$22),IF(AND('Operating Assumptions'!$D$29="No",CE$11&lt;'Operating Assumptions'!$D$22),0))))</f>
        <v>2156.27268892756</v>
      </c>
      <c r="CF38" s="45">
        <f>IF(AND('Operating Assumptions'!$D$29="Yes",CF$11&gt;='Operating Assumptions'!$D$31),MAX('Unit Mix'!$C$12,'Operating Assumptions'!$D$23*CF$22),IF(AND('Operating Assumptions'!$D$29="Yes",CF$11&lt;'Operating Assumptions'!$D$31),0,IF(AND('Operating Assumptions'!$D$29="No",CF$11&gt;='Operating Assumptions'!$D$22),MAX('Unit Mix'!$C$12,'Operating Assumptions'!$D$23*CF$22),IF(AND('Operating Assumptions'!$D$29="No",CF$11&lt;'Operating Assumptions'!$D$22),0))))</f>
        <v>2156.27268892756</v>
      </c>
      <c r="CG38" s="45">
        <f>IF(AND('Operating Assumptions'!$D$29="Yes",CG$11&gt;='Operating Assumptions'!$D$31),MAX('Unit Mix'!$C$12,'Operating Assumptions'!$D$23*CG$22),IF(AND('Operating Assumptions'!$D$29="Yes",CG$11&lt;'Operating Assumptions'!$D$31),0,IF(AND('Operating Assumptions'!$D$29="No",CG$11&gt;='Operating Assumptions'!$D$22),MAX('Unit Mix'!$C$12,'Operating Assumptions'!$D$23*CG$22),IF(AND('Operating Assumptions'!$D$29="No",CG$11&lt;'Operating Assumptions'!$D$22),0))))</f>
        <v>2156.27268892756</v>
      </c>
      <c r="CH38" s="45">
        <f>IF(AND('Operating Assumptions'!$D$29="Yes",CH$11&gt;='Operating Assumptions'!$D$31),MAX('Unit Mix'!$C$12,'Operating Assumptions'!$D$23*CH$22),IF(AND('Operating Assumptions'!$D$29="Yes",CH$11&lt;'Operating Assumptions'!$D$31),0,IF(AND('Operating Assumptions'!$D$29="No",CH$11&gt;='Operating Assumptions'!$D$22),MAX('Unit Mix'!$C$12,'Operating Assumptions'!$D$23*CH$22),IF(AND('Operating Assumptions'!$D$29="No",CH$11&lt;'Operating Assumptions'!$D$22),0))))</f>
        <v>2156.27268892756</v>
      </c>
      <c r="CI38" s="45">
        <f>IF(AND('Operating Assumptions'!$D$29="Yes",CI$11&gt;='Operating Assumptions'!$D$31),MAX('Unit Mix'!$C$12,'Operating Assumptions'!$D$23*CI$22),IF(AND('Operating Assumptions'!$D$29="Yes",CI$11&lt;'Operating Assumptions'!$D$31),0,IF(AND('Operating Assumptions'!$D$29="No",CI$11&gt;='Operating Assumptions'!$D$22),MAX('Unit Mix'!$C$12,'Operating Assumptions'!$D$23*CI$22),IF(AND('Operating Assumptions'!$D$29="No",CI$11&lt;'Operating Assumptions'!$D$22),0))))</f>
        <v>2156.27268892756</v>
      </c>
      <c r="CJ38" s="45">
        <f>IF(AND('Operating Assumptions'!$D$29="Yes",CJ$11&gt;='Operating Assumptions'!$D$31),MAX('Unit Mix'!$C$12,'Operating Assumptions'!$D$23*CJ$22),IF(AND('Operating Assumptions'!$D$29="Yes",CJ$11&lt;'Operating Assumptions'!$D$31),0,IF(AND('Operating Assumptions'!$D$29="No",CJ$11&gt;='Operating Assumptions'!$D$22),MAX('Unit Mix'!$C$12,'Operating Assumptions'!$D$23*CJ$22),IF(AND('Operating Assumptions'!$D$29="No",CJ$11&lt;'Operating Assumptions'!$D$22),0))))</f>
        <v>2156.27268892756</v>
      </c>
      <c r="CK38" s="45">
        <f>IF(AND('Operating Assumptions'!$D$29="Yes",CK$11&gt;='Operating Assumptions'!$D$31),MAX('Unit Mix'!$C$12,'Operating Assumptions'!$D$23*CK$22),IF(AND('Operating Assumptions'!$D$29="Yes",CK$11&lt;'Operating Assumptions'!$D$31),0,IF(AND('Operating Assumptions'!$D$29="No",CK$11&gt;='Operating Assumptions'!$D$22),MAX('Unit Mix'!$C$12,'Operating Assumptions'!$D$23*CK$22),IF(AND('Operating Assumptions'!$D$29="No",CK$11&lt;'Operating Assumptions'!$D$22),0))))</f>
        <v>2156.27268892756</v>
      </c>
      <c r="CL38" s="45">
        <f>IF(AND('Operating Assumptions'!$D$29="Yes",CL$11&gt;='Operating Assumptions'!$D$31),MAX('Unit Mix'!$C$12,'Operating Assumptions'!$D$23*CL$22),IF(AND('Operating Assumptions'!$D$29="Yes",CL$11&lt;'Operating Assumptions'!$D$31),0,IF(AND('Operating Assumptions'!$D$29="No",CL$11&gt;='Operating Assumptions'!$D$22),MAX('Unit Mix'!$C$12,'Operating Assumptions'!$D$23*CL$22),IF(AND('Operating Assumptions'!$D$29="No",CL$11&lt;'Operating Assumptions'!$D$22),0))))</f>
        <v>2156.27268892756</v>
      </c>
      <c r="CM38" s="45">
        <f>IF(AND('Operating Assumptions'!$D$29="Yes",CM$11&gt;='Operating Assumptions'!$D$31),MAX('Unit Mix'!$C$12,'Operating Assumptions'!$D$23*CM$22),IF(AND('Operating Assumptions'!$D$29="Yes",CM$11&lt;'Operating Assumptions'!$D$31),0,IF(AND('Operating Assumptions'!$D$29="No",CM$11&gt;='Operating Assumptions'!$D$22),MAX('Unit Mix'!$C$12,'Operating Assumptions'!$D$23*CM$22),IF(AND('Operating Assumptions'!$D$29="No",CM$11&lt;'Operating Assumptions'!$D$22),0))))</f>
        <v>2156.27268892756</v>
      </c>
      <c r="CN38" s="45">
        <f>IF(AND('Operating Assumptions'!$D$29="Yes",CN$11&gt;='Operating Assumptions'!$D$31),MAX('Unit Mix'!$C$12,'Operating Assumptions'!$D$23*CN$22),IF(AND('Operating Assumptions'!$D$29="Yes",CN$11&lt;'Operating Assumptions'!$D$31),0,IF(AND('Operating Assumptions'!$D$29="No",CN$11&gt;='Operating Assumptions'!$D$22),MAX('Unit Mix'!$C$12,'Operating Assumptions'!$D$23*CN$22),IF(AND('Operating Assumptions'!$D$29="No",CN$11&lt;'Operating Assumptions'!$D$22),0))))</f>
        <v>2195.4776469080612</v>
      </c>
      <c r="CO38" s="45">
        <f>IF(AND('Operating Assumptions'!$D$29="Yes",CO$11&gt;='Operating Assumptions'!$D$31),MAX('Unit Mix'!$C$12,'Operating Assumptions'!$D$23*CO$22),IF(AND('Operating Assumptions'!$D$29="Yes",CO$11&lt;'Operating Assumptions'!$D$31),0,IF(AND('Operating Assumptions'!$D$29="No",CO$11&gt;='Operating Assumptions'!$D$22),MAX('Unit Mix'!$C$12,'Operating Assumptions'!$D$23*CO$22),IF(AND('Operating Assumptions'!$D$29="No",CO$11&lt;'Operating Assumptions'!$D$22),0))))</f>
        <v>2195.4776469080612</v>
      </c>
      <c r="CP38" s="45">
        <f>IF(AND('Operating Assumptions'!$D$29="Yes",CP$11&gt;='Operating Assumptions'!$D$31),MAX('Unit Mix'!$C$12,'Operating Assumptions'!$D$23*CP$22),IF(AND('Operating Assumptions'!$D$29="Yes",CP$11&lt;'Operating Assumptions'!$D$31),0,IF(AND('Operating Assumptions'!$D$29="No",CP$11&gt;='Operating Assumptions'!$D$22),MAX('Unit Mix'!$C$12,'Operating Assumptions'!$D$23*CP$22),IF(AND('Operating Assumptions'!$D$29="No",CP$11&lt;'Operating Assumptions'!$D$22),0))))</f>
        <v>2195.4776469080612</v>
      </c>
      <c r="CQ38" s="45">
        <f>IF(AND('Operating Assumptions'!$D$29="Yes",CQ$11&gt;='Operating Assumptions'!$D$31),MAX('Unit Mix'!$C$12,'Operating Assumptions'!$D$23*CQ$22),IF(AND('Operating Assumptions'!$D$29="Yes",CQ$11&lt;'Operating Assumptions'!$D$31),0,IF(AND('Operating Assumptions'!$D$29="No",CQ$11&gt;='Operating Assumptions'!$D$22),MAX('Unit Mix'!$C$12,'Operating Assumptions'!$D$23*CQ$22),IF(AND('Operating Assumptions'!$D$29="No",CQ$11&lt;'Operating Assumptions'!$D$22),0))))</f>
        <v>2195.4776469080612</v>
      </c>
      <c r="CR38" s="45">
        <f>IF(AND('Operating Assumptions'!$D$29="Yes",CR$11&gt;='Operating Assumptions'!$D$31),MAX('Unit Mix'!$C$12,'Operating Assumptions'!$D$23*CR$22),IF(AND('Operating Assumptions'!$D$29="Yes",CR$11&lt;'Operating Assumptions'!$D$31),0,IF(AND('Operating Assumptions'!$D$29="No",CR$11&gt;='Operating Assumptions'!$D$22),MAX('Unit Mix'!$C$12,'Operating Assumptions'!$D$23*CR$22),IF(AND('Operating Assumptions'!$D$29="No",CR$11&lt;'Operating Assumptions'!$D$22),0))))</f>
        <v>2195.4776469080612</v>
      </c>
      <c r="CS38" s="45">
        <f>IF(AND('Operating Assumptions'!$D$29="Yes",CS$11&gt;='Operating Assumptions'!$D$31),MAX('Unit Mix'!$C$12,'Operating Assumptions'!$D$23*CS$22),IF(AND('Operating Assumptions'!$D$29="Yes",CS$11&lt;'Operating Assumptions'!$D$31),0,IF(AND('Operating Assumptions'!$D$29="No",CS$11&gt;='Operating Assumptions'!$D$22),MAX('Unit Mix'!$C$12,'Operating Assumptions'!$D$23*CS$22),IF(AND('Operating Assumptions'!$D$29="No",CS$11&lt;'Operating Assumptions'!$D$22),0))))</f>
        <v>2195.4776469080612</v>
      </c>
      <c r="CT38" s="45">
        <f>IF(AND('Operating Assumptions'!$D$29="Yes",CT$11&gt;='Operating Assumptions'!$D$31),MAX('Unit Mix'!$C$12,'Operating Assumptions'!$D$23*CT$22),IF(AND('Operating Assumptions'!$D$29="Yes",CT$11&lt;'Operating Assumptions'!$D$31),0,IF(AND('Operating Assumptions'!$D$29="No",CT$11&gt;='Operating Assumptions'!$D$22),MAX('Unit Mix'!$C$12,'Operating Assumptions'!$D$23*CT$22),IF(AND('Operating Assumptions'!$D$29="No",CT$11&lt;'Operating Assumptions'!$D$22),0))))</f>
        <v>2195.4776469080612</v>
      </c>
      <c r="CU38" s="45">
        <f>IF(AND('Operating Assumptions'!$D$29="Yes",CU$11&gt;='Operating Assumptions'!$D$31),MAX('Unit Mix'!$C$12,'Operating Assumptions'!$D$23*CU$22),IF(AND('Operating Assumptions'!$D$29="Yes",CU$11&lt;'Operating Assumptions'!$D$31),0,IF(AND('Operating Assumptions'!$D$29="No",CU$11&gt;='Operating Assumptions'!$D$22),MAX('Unit Mix'!$C$12,'Operating Assumptions'!$D$23*CU$22),IF(AND('Operating Assumptions'!$D$29="No",CU$11&lt;'Operating Assumptions'!$D$22),0))))</f>
        <v>2195.4776469080612</v>
      </c>
      <c r="CV38" s="45">
        <f>IF(AND('Operating Assumptions'!$D$29="Yes",CV$11&gt;='Operating Assumptions'!$D$31),MAX('Unit Mix'!$C$12,'Operating Assumptions'!$D$23*CV$22),IF(AND('Operating Assumptions'!$D$29="Yes",CV$11&lt;'Operating Assumptions'!$D$31),0,IF(AND('Operating Assumptions'!$D$29="No",CV$11&gt;='Operating Assumptions'!$D$22),MAX('Unit Mix'!$C$12,'Operating Assumptions'!$D$23*CV$22),IF(AND('Operating Assumptions'!$D$29="No",CV$11&lt;'Operating Assumptions'!$D$22),0))))</f>
        <v>2195.4776469080612</v>
      </c>
      <c r="CW38" s="45">
        <f>IF(AND('Operating Assumptions'!$D$29="Yes",CW$11&gt;='Operating Assumptions'!$D$31),MAX('Unit Mix'!$C$12,'Operating Assumptions'!$D$23*CW$22),IF(AND('Operating Assumptions'!$D$29="Yes",CW$11&lt;'Operating Assumptions'!$D$31),0,IF(AND('Operating Assumptions'!$D$29="No",CW$11&gt;='Operating Assumptions'!$D$22),MAX('Unit Mix'!$C$12,'Operating Assumptions'!$D$23*CW$22),IF(AND('Operating Assumptions'!$D$29="No",CW$11&lt;'Operating Assumptions'!$D$22),0))))</f>
        <v>2195.4776469080612</v>
      </c>
      <c r="CX38" s="45">
        <f>IF(AND('Operating Assumptions'!$D$29="Yes",CX$11&gt;='Operating Assumptions'!$D$31),MAX('Unit Mix'!$C$12,'Operating Assumptions'!$D$23*CX$22),IF(AND('Operating Assumptions'!$D$29="Yes",CX$11&lt;'Operating Assumptions'!$D$31),0,IF(AND('Operating Assumptions'!$D$29="No",CX$11&gt;='Operating Assumptions'!$D$22),MAX('Unit Mix'!$C$12,'Operating Assumptions'!$D$23*CX$22),IF(AND('Operating Assumptions'!$D$29="No",CX$11&lt;'Operating Assumptions'!$D$22),0))))</f>
        <v>2195.4776469080612</v>
      </c>
      <c r="CY38" s="45">
        <f>IF(AND('Operating Assumptions'!$D$29="Yes",CY$11&gt;='Operating Assumptions'!$D$31),MAX('Unit Mix'!$C$12,'Operating Assumptions'!$D$23*CY$22),IF(AND('Operating Assumptions'!$D$29="Yes",CY$11&lt;'Operating Assumptions'!$D$31),0,IF(AND('Operating Assumptions'!$D$29="No",CY$11&gt;='Operating Assumptions'!$D$22),MAX('Unit Mix'!$C$12,'Operating Assumptions'!$D$23*CY$22),IF(AND('Operating Assumptions'!$D$29="No",CY$11&lt;'Operating Assumptions'!$D$22),0))))</f>
        <v>2195.4776469080612</v>
      </c>
      <c r="CZ38" s="45">
        <f>IF(AND('Operating Assumptions'!$D$29="Yes",CZ$11&gt;='Operating Assumptions'!$D$31),MAX('Unit Mix'!$C$12,'Operating Assumptions'!$D$23*CZ$22),IF(AND('Operating Assumptions'!$D$29="Yes",CZ$11&lt;'Operating Assumptions'!$D$31),0,IF(AND('Operating Assumptions'!$D$29="No",CZ$11&gt;='Operating Assumptions'!$D$22),MAX('Unit Mix'!$C$12,'Operating Assumptions'!$D$23*CZ$22),IF(AND('Operating Assumptions'!$D$29="No",CZ$11&lt;'Operating Assumptions'!$D$22),0))))</f>
        <v>2234.6826048885623</v>
      </c>
      <c r="DA38" s="45">
        <f>IF(AND('Operating Assumptions'!$D$29="Yes",DA$11&gt;='Operating Assumptions'!$D$31),MAX('Unit Mix'!$C$12,'Operating Assumptions'!$D$23*DA$22),IF(AND('Operating Assumptions'!$D$29="Yes",DA$11&lt;'Operating Assumptions'!$D$31),0,IF(AND('Operating Assumptions'!$D$29="No",DA$11&gt;='Operating Assumptions'!$D$22),MAX('Unit Mix'!$C$12,'Operating Assumptions'!$D$23*DA$22),IF(AND('Operating Assumptions'!$D$29="No",DA$11&lt;'Operating Assumptions'!$D$22),0))))</f>
        <v>2234.6826048885623</v>
      </c>
      <c r="DB38" s="45">
        <f>IF(AND('Operating Assumptions'!$D$29="Yes",DB$11&gt;='Operating Assumptions'!$D$31),MAX('Unit Mix'!$C$12,'Operating Assumptions'!$D$23*DB$22),IF(AND('Operating Assumptions'!$D$29="Yes",DB$11&lt;'Operating Assumptions'!$D$31),0,IF(AND('Operating Assumptions'!$D$29="No",DB$11&gt;='Operating Assumptions'!$D$22),MAX('Unit Mix'!$C$12,'Operating Assumptions'!$D$23*DB$22),IF(AND('Operating Assumptions'!$D$29="No",DB$11&lt;'Operating Assumptions'!$D$22),0))))</f>
        <v>2234.6826048885623</v>
      </c>
      <c r="DC38" s="45">
        <f>IF(AND('Operating Assumptions'!$D$29="Yes",DC$11&gt;='Operating Assumptions'!$D$31),MAX('Unit Mix'!$C$12,'Operating Assumptions'!$D$23*DC$22),IF(AND('Operating Assumptions'!$D$29="Yes",DC$11&lt;'Operating Assumptions'!$D$31),0,IF(AND('Operating Assumptions'!$D$29="No",DC$11&gt;='Operating Assumptions'!$D$22),MAX('Unit Mix'!$C$12,'Operating Assumptions'!$D$23*DC$22),IF(AND('Operating Assumptions'!$D$29="No",DC$11&lt;'Operating Assumptions'!$D$22),0))))</f>
        <v>2234.6826048885623</v>
      </c>
      <c r="DD38" s="45">
        <f>IF(AND('Operating Assumptions'!$D$29="Yes",DD$11&gt;='Operating Assumptions'!$D$31),MAX('Unit Mix'!$C$12,'Operating Assumptions'!$D$23*DD$22),IF(AND('Operating Assumptions'!$D$29="Yes",DD$11&lt;'Operating Assumptions'!$D$31),0,IF(AND('Operating Assumptions'!$D$29="No",DD$11&gt;='Operating Assumptions'!$D$22),MAX('Unit Mix'!$C$12,'Operating Assumptions'!$D$23*DD$22),IF(AND('Operating Assumptions'!$D$29="No",DD$11&lt;'Operating Assumptions'!$D$22),0))))</f>
        <v>2234.6826048885623</v>
      </c>
      <c r="DE38" s="45">
        <f>IF(AND('Operating Assumptions'!$D$29="Yes",DE$11&gt;='Operating Assumptions'!$D$31),MAX('Unit Mix'!$C$12,'Operating Assumptions'!$D$23*DE$22),IF(AND('Operating Assumptions'!$D$29="Yes",DE$11&lt;'Operating Assumptions'!$D$31),0,IF(AND('Operating Assumptions'!$D$29="No",DE$11&gt;='Operating Assumptions'!$D$22),MAX('Unit Mix'!$C$12,'Operating Assumptions'!$D$23*DE$22),IF(AND('Operating Assumptions'!$D$29="No",DE$11&lt;'Operating Assumptions'!$D$22),0))))</f>
        <v>2234.6826048885623</v>
      </c>
      <c r="DF38" s="45">
        <f>IF(AND('Operating Assumptions'!$D$29="Yes",DF$11&gt;='Operating Assumptions'!$D$31),MAX('Unit Mix'!$C$12,'Operating Assumptions'!$D$23*DF$22),IF(AND('Operating Assumptions'!$D$29="Yes",DF$11&lt;'Operating Assumptions'!$D$31),0,IF(AND('Operating Assumptions'!$D$29="No",DF$11&gt;='Operating Assumptions'!$D$22),MAX('Unit Mix'!$C$12,'Operating Assumptions'!$D$23*DF$22),IF(AND('Operating Assumptions'!$D$29="No",DF$11&lt;'Operating Assumptions'!$D$22),0))))</f>
        <v>2234.6826048885623</v>
      </c>
      <c r="DG38" s="45">
        <f>IF(AND('Operating Assumptions'!$D$29="Yes",DG$11&gt;='Operating Assumptions'!$D$31),MAX('Unit Mix'!$C$12,'Operating Assumptions'!$D$23*DG$22),IF(AND('Operating Assumptions'!$D$29="Yes",DG$11&lt;'Operating Assumptions'!$D$31),0,IF(AND('Operating Assumptions'!$D$29="No",DG$11&gt;='Operating Assumptions'!$D$22),MAX('Unit Mix'!$C$12,'Operating Assumptions'!$D$23*DG$22),IF(AND('Operating Assumptions'!$D$29="No",DG$11&lt;'Operating Assumptions'!$D$22),0))))</f>
        <v>2234.6826048885623</v>
      </c>
      <c r="DH38" s="45">
        <f>IF(AND('Operating Assumptions'!$D$29="Yes",DH$11&gt;='Operating Assumptions'!$D$31),MAX('Unit Mix'!$C$12,'Operating Assumptions'!$D$23*DH$22),IF(AND('Operating Assumptions'!$D$29="Yes",DH$11&lt;'Operating Assumptions'!$D$31),0,IF(AND('Operating Assumptions'!$D$29="No",DH$11&gt;='Operating Assumptions'!$D$22),MAX('Unit Mix'!$C$12,'Operating Assumptions'!$D$23*DH$22),IF(AND('Operating Assumptions'!$D$29="No",DH$11&lt;'Operating Assumptions'!$D$22),0))))</f>
        <v>2234.6826048885623</v>
      </c>
      <c r="DI38" s="45">
        <f>IF(AND('Operating Assumptions'!$D$29="Yes",DI$11&gt;='Operating Assumptions'!$D$31),MAX('Unit Mix'!$C$12,'Operating Assumptions'!$D$23*DI$22),IF(AND('Operating Assumptions'!$D$29="Yes",DI$11&lt;'Operating Assumptions'!$D$31),0,IF(AND('Operating Assumptions'!$D$29="No",DI$11&gt;='Operating Assumptions'!$D$22),MAX('Unit Mix'!$C$12,'Operating Assumptions'!$D$23*DI$22),IF(AND('Operating Assumptions'!$D$29="No",DI$11&lt;'Operating Assumptions'!$D$22),0))))</f>
        <v>2234.6826048885623</v>
      </c>
      <c r="DJ38" s="45">
        <f>IF(AND('Operating Assumptions'!$D$29="Yes",DJ$11&gt;='Operating Assumptions'!$D$31),MAX('Unit Mix'!$C$12,'Operating Assumptions'!$D$23*DJ$22),IF(AND('Operating Assumptions'!$D$29="Yes",DJ$11&lt;'Operating Assumptions'!$D$31),0,IF(AND('Operating Assumptions'!$D$29="No",DJ$11&gt;='Operating Assumptions'!$D$22),MAX('Unit Mix'!$C$12,'Operating Assumptions'!$D$23*DJ$22),IF(AND('Operating Assumptions'!$D$29="No",DJ$11&lt;'Operating Assumptions'!$D$22),0))))</f>
        <v>2234.6826048885623</v>
      </c>
      <c r="DK38" s="45">
        <f>IF(AND('Operating Assumptions'!$D$29="Yes",DK$11&gt;='Operating Assumptions'!$D$31),MAX('Unit Mix'!$C$12,'Operating Assumptions'!$D$23*DK$22),IF(AND('Operating Assumptions'!$D$29="Yes",DK$11&lt;'Operating Assumptions'!$D$31),0,IF(AND('Operating Assumptions'!$D$29="No",DK$11&gt;='Operating Assumptions'!$D$22),MAX('Unit Mix'!$C$12,'Operating Assumptions'!$D$23*DK$22),IF(AND('Operating Assumptions'!$D$29="No",DK$11&lt;'Operating Assumptions'!$D$22),0))))</f>
        <v>2234.6826048885623</v>
      </c>
      <c r="DL38" s="45">
        <f>IF(AND('Operating Assumptions'!$D$29="Yes",DL$11&gt;='Operating Assumptions'!$D$31),MAX('Unit Mix'!$C$12,'Operating Assumptions'!$D$23*DL$22),IF(AND('Operating Assumptions'!$D$29="Yes",DL$11&lt;'Operating Assumptions'!$D$31),0,IF(AND('Operating Assumptions'!$D$29="No",DL$11&gt;='Operating Assumptions'!$D$22),MAX('Unit Mix'!$C$12,'Operating Assumptions'!$D$23*DL$22),IF(AND('Operating Assumptions'!$D$29="No",DL$11&lt;'Operating Assumptions'!$D$22),0))))</f>
        <v>2273.8875628690635</v>
      </c>
      <c r="DM38" s="45">
        <f>IF(AND('Operating Assumptions'!$D$29="Yes",DM$11&gt;='Operating Assumptions'!$D$31),MAX('Unit Mix'!$C$12,'Operating Assumptions'!$D$23*DM$22),IF(AND('Operating Assumptions'!$D$29="Yes",DM$11&lt;'Operating Assumptions'!$D$31),0,IF(AND('Operating Assumptions'!$D$29="No",DM$11&gt;='Operating Assumptions'!$D$22),MAX('Unit Mix'!$C$12,'Operating Assumptions'!$D$23*DM$22),IF(AND('Operating Assumptions'!$D$29="No",DM$11&lt;'Operating Assumptions'!$D$22),0))))</f>
        <v>2273.8875628690635</v>
      </c>
      <c r="DN38" s="45">
        <f>IF(AND('Operating Assumptions'!$D$29="Yes",DN$11&gt;='Operating Assumptions'!$D$31),MAX('Unit Mix'!$C$12,'Operating Assumptions'!$D$23*DN$22),IF(AND('Operating Assumptions'!$D$29="Yes",DN$11&lt;'Operating Assumptions'!$D$31),0,IF(AND('Operating Assumptions'!$D$29="No",DN$11&gt;='Operating Assumptions'!$D$22),MAX('Unit Mix'!$C$12,'Operating Assumptions'!$D$23*DN$22),IF(AND('Operating Assumptions'!$D$29="No",DN$11&lt;'Operating Assumptions'!$D$22),0))))</f>
        <v>2273.8875628690635</v>
      </c>
      <c r="DO38" s="45">
        <f>IF(AND('Operating Assumptions'!$D$29="Yes",DO$11&gt;='Operating Assumptions'!$D$31),MAX('Unit Mix'!$C$12,'Operating Assumptions'!$D$23*DO$22),IF(AND('Operating Assumptions'!$D$29="Yes",DO$11&lt;'Operating Assumptions'!$D$31),0,IF(AND('Operating Assumptions'!$D$29="No",DO$11&gt;='Operating Assumptions'!$D$22),MAX('Unit Mix'!$C$12,'Operating Assumptions'!$D$23*DO$22),IF(AND('Operating Assumptions'!$D$29="No",DO$11&lt;'Operating Assumptions'!$D$22),0))))</f>
        <v>2273.8875628690635</v>
      </c>
      <c r="DP38" s="45">
        <f>IF(AND('Operating Assumptions'!$D$29="Yes",DP$11&gt;='Operating Assumptions'!$D$31),MAX('Unit Mix'!$C$12,'Operating Assumptions'!$D$23*DP$22),IF(AND('Operating Assumptions'!$D$29="Yes",DP$11&lt;'Operating Assumptions'!$D$31),0,IF(AND('Operating Assumptions'!$D$29="No",DP$11&gt;='Operating Assumptions'!$D$22),MAX('Unit Mix'!$C$12,'Operating Assumptions'!$D$23*DP$22),IF(AND('Operating Assumptions'!$D$29="No",DP$11&lt;'Operating Assumptions'!$D$22),0))))</f>
        <v>2273.8875628690635</v>
      </c>
      <c r="DQ38" s="45">
        <f>IF(AND('Operating Assumptions'!$D$29="Yes",DQ$11&gt;='Operating Assumptions'!$D$31),MAX('Unit Mix'!$C$12,'Operating Assumptions'!$D$23*DQ$22),IF(AND('Operating Assumptions'!$D$29="Yes",DQ$11&lt;'Operating Assumptions'!$D$31),0,IF(AND('Operating Assumptions'!$D$29="No",DQ$11&gt;='Operating Assumptions'!$D$22),MAX('Unit Mix'!$C$12,'Operating Assumptions'!$D$23*DQ$22),IF(AND('Operating Assumptions'!$D$29="No",DQ$11&lt;'Operating Assumptions'!$D$22),0))))</f>
        <v>2273.8875628690635</v>
      </c>
      <c r="DR38" s="45">
        <f>IF(AND('Operating Assumptions'!$D$29="Yes",DR$11&gt;='Operating Assumptions'!$D$31),MAX('Unit Mix'!$C$12,'Operating Assumptions'!$D$23*DR$22),IF(AND('Operating Assumptions'!$D$29="Yes",DR$11&lt;'Operating Assumptions'!$D$31),0,IF(AND('Operating Assumptions'!$D$29="No",DR$11&gt;='Operating Assumptions'!$D$22),MAX('Unit Mix'!$C$12,'Operating Assumptions'!$D$23*DR$22),IF(AND('Operating Assumptions'!$D$29="No",DR$11&lt;'Operating Assumptions'!$D$22),0))))</f>
        <v>2273.8875628690635</v>
      </c>
      <c r="DS38" s="45">
        <f>IF(AND('Operating Assumptions'!$D$29="Yes",DS$11&gt;='Operating Assumptions'!$D$31),MAX('Unit Mix'!$C$12,'Operating Assumptions'!$D$23*DS$22),IF(AND('Operating Assumptions'!$D$29="Yes",DS$11&lt;'Operating Assumptions'!$D$31),0,IF(AND('Operating Assumptions'!$D$29="No",DS$11&gt;='Operating Assumptions'!$D$22),MAX('Unit Mix'!$C$12,'Operating Assumptions'!$D$23*DS$22),IF(AND('Operating Assumptions'!$D$29="No",DS$11&lt;'Operating Assumptions'!$D$22),0))))</f>
        <v>2273.8875628690635</v>
      </c>
      <c r="DT38" s="45">
        <f>IF(AND('Operating Assumptions'!$D$29="Yes",DT$11&gt;='Operating Assumptions'!$D$31),MAX('Unit Mix'!$C$12,'Operating Assumptions'!$D$23*DT$22),IF(AND('Operating Assumptions'!$D$29="Yes",DT$11&lt;'Operating Assumptions'!$D$31),0,IF(AND('Operating Assumptions'!$D$29="No",DT$11&gt;='Operating Assumptions'!$D$22),MAX('Unit Mix'!$C$12,'Operating Assumptions'!$D$23*DT$22),IF(AND('Operating Assumptions'!$D$29="No",DT$11&lt;'Operating Assumptions'!$D$22),0))))</f>
        <v>2273.8875628690635</v>
      </c>
      <c r="DU38" s="45">
        <f>IF(AND('Operating Assumptions'!$D$29="Yes",DU$11&gt;='Operating Assumptions'!$D$31),MAX('Unit Mix'!$C$12,'Operating Assumptions'!$D$23*DU$22),IF(AND('Operating Assumptions'!$D$29="Yes",DU$11&lt;'Operating Assumptions'!$D$31),0,IF(AND('Operating Assumptions'!$D$29="No",DU$11&gt;='Operating Assumptions'!$D$22),MAX('Unit Mix'!$C$12,'Operating Assumptions'!$D$23*DU$22),IF(AND('Operating Assumptions'!$D$29="No",DU$11&lt;'Operating Assumptions'!$D$22),0))))</f>
        <v>2273.8875628690635</v>
      </c>
      <c r="DV38" s="45">
        <f>IF(AND('Operating Assumptions'!$D$29="Yes",DV$11&gt;='Operating Assumptions'!$D$31),MAX('Unit Mix'!$C$12,'Operating Assumptions'!$D$23*DV$22),IF(AND('Operating Assumptions'!$D$29="Yes",DV$11&lt;'Operating Assumptions'!$D$31),0,IF(AND('Operating Assumptions'!$D$29="No",DV$11&gt;='Operating Assumptions'!$D$22),MAX('Unit Mix'!$C$12,'Operating Assumptions'!$D$23*DV$22),IF(AND('Operating Assumptions'!$D$29="No",DV$11&lt;'Operating Assumptions'!$D$22),0))))</f>
        <v>2273.8875628690635</v>
      </c>
      <c r="DW38" s="45">
        <f>IF(AND('Operating Assumptions'!$D$29="Yes",DW$11&gt;='Operating Assumptions'!$D$31),MAX('Unit Mix'!$C$12,'Operating Assumptions'!$D$23*DW$22),IF(AND('Operating Assumptions'!$D$29="Yes",DW$11&lt;'Operating Assumptions'!$D$31),0,IF(AND('Operating Assumptions'!$D$29="No",DW$11&gt;='Operating Assumptions'!$D$22),MAX('Unit Mix'!$C$12,'Operating Assumptions'!$D$23*DW$22),IF(AND('Operating Assumptions'!$D$29="No",DW$11&lt;'Operating Assumptions'!$D$22),0))))</f>
        <v>2273.8875628690635</v>
      </c>
      <c r="DX38" s="45">
        <f>IF(AND('Operating Assumptions'!$D$29="Yes",DX$11&gt;='Operating Assumptions'!$D$31),MAX('Unit Mix'!$C$12,'Operating Assumptions'!$D$23*DX$22),IF(AND('Operating Assumptions'!$D$29="Yes",DX$11&lt;'Operating Assumptions'!$D$31),0,IF(AND('Operating Assumptions'!$D$29="No",DX$11&gt;='Operating Assumptions'!$D$22),MAX('Unit Mix'!$C$12,'Operating Assumptions'!$D$23*DX$22),IF(AND('Operating Assumptions'!$D$29="No",DX$11&lt;'Operating Assumptions'!$D$22),0))))</f>
        <v>2313.0925208495646</v>
      </c>
      <c r="DY38" s="45">
        <f>IF(AND('Operating Assumptions'!$D$29="Yes",DY$11&gt;='Operating Assumptions'!$D$31),MAX('Unit Mix'!$C$12,'Operating Assumptions'!$D$23*DY$22),IF(AND('Operating Assumptions'!$D$29="Yes",DY$11&lt;'Operating Assumptions'!$D$31),0,IF(AND('Operating Assumptions'!$D$29="No",DY$11&gt;='Operating Assumptions'!$D$22),MAX('Unit Mix'!$C$12,'Operating Assumptions'!$D$23*DY$22),IF(AND('Operating Assumptions'!$D$29="No",DY$11&lt;'Operating Assumptions'!$D$22),0))))</f>
        <v>2313.0925208495646</v>
      </c>
      <c r="DZ38" s="45">
        <f>IF(AND('Operating Assumptions'!$D$29="Yes",DZ$11&gt;='Operating Assumptions'!$D$31),MAX('Unit Mix'!$C$12,'Operating Assumptions'!$D$23*DZ$22),IF(AND('Operating Assumptions'!$D$29="Yes",DZ$11&lt;'Operating Assumptions'!$D$31),0,IF(AND('Operating Assumptions'!$D$29="No",DZ$11&gt;='Operating Assumptions'!$D$22),MAX('Unit Mix'!$C$12,'Operating Assumptions'!$D$23*DZ$22),IF(AND('Operating Assumptions'!$D$29="No",DZ$11&lt;'Operating Assumptions'!$D$22),0))))</f>
        <v>2313.0925208495646</v>
      </c>
      <c r="EA38" s="45">
        <f>IF(AND('Operating Assumptions'!$D$29="Yes",EA$11&gt;='Operating Assumptions'!$D$31),MAX('Unit Mix'!$C$12,'Operating Assumptions'!$D$23*EA$22),IF(AND('Operating Assumptions'!$D$29="Yes",EA$11&lt;'Operating Assumptions'!$D$31),0,IF(AND('Operating Assumptions'!$D$29="No",EA$11&gt;='Operating Assumptions'!$D$22),MAX('Unit Mix'!$C$12,'Operating Assumptions'!$D$23*EA$22),IF(AND('Operating Assumptions'!$D$29="No",EA$11&lt;'Operating Assumptions'!$D$22),0))))</f>
        <v>2313.0925208495646</v>
      </c>
      <c r="EB38" s="45">
        <f>IF(AND('Operating Assumptions'!$D$29="Yes",EB$11&gt;='Operating Assumptions'!$D$31),MAX('Unit Mix'!$C$12,'Operating Assumptions'!$D$23*EB$22),IF(AND('Operating Assumptions'!$D$29="Yes",EB$11&lt;'Operating Assumptions'!$D$31),0,IF(AND('Operating Assumptions'!$D$29="No",EB$11&gt;='Operating Assumptions'!$D$22),MAX('Unit Mix'!$C$12,'Operating Assumptions'!$D$23*EB$22),IF(AND('Operating Assumptions'!$D$29="No",EB$11&lt;'Operating Assumptions'!$D$22),0))))</f>
        <v>2313.0925208495646</v>
      </c>
      <c r="EC38" s="45">
        <f>IF(AND('Operating Assumptions'!$D$29="Yes",EC$11&gt;='Operating Assumptions'!$D$31),MAX('Unit Mix'!$C$12,'Operating Assumptions'!$D$23*EC$22),IF(AND('Operating Assumptions'!$D$29="Yes",EC$11&lt;'Operating Assumptions'!$D$31),0,IF(AND('Operating Assumptions'!$D$29="No",EC$11&gt;='Operating Assumptions'!$D$22),MAX('Unit Mix'!$C$12,'Operating Assumptions'!$D$23*EC$22),IF(AND('Operating Assumptions'!$D$29="No",EC$11&lt;'Operating Assumptions'!$D$22),0))))</f>
        <v>2313.0925208495646</v>
      </c>
      <c r="ED38" s="45">
        <f>IF(AND('Operating Assumptions'!$D$29="Yes",ED$11&gt;='Operating Assumptions'!$D$31),MAX('Unit Mix'!$C$12,'Operating Assumptions'!$D$23*ED$22),IF(AND('Operating Assumptions'!$D$29="Yes",ED$11&lt;'Operating Assumptions'!$D$31),0,IF(AND('Operating Assumptions'!$D$29="No",ED$11&gt;='Operating Assumptions'!$D$22),MAX('Unit Mix'!$C$12,'Operating Assumptions'!$D$23*ED$22),IF(AND('Operating Assumptions'!$D$29="No",ED$11&lt;'Operating Assumptions'!$D$22),0))))</f>
        <v>2313.0925208495646</v>
      </c>
      <c r="EE38" s="45">
        <f>IF(AND('Operating Assumptions'!$D$29="Yes",EE$11&gt;='Operating Assumptions'!$D$31),MAX('Unit Mix'!$C$12,'Operating Assumptions'!$D$23*EE$22),IF(AND('Operating Assumptions'!$D$29="Yes",EE$11&lt;'Operating Assumptions'!$D$31),0,IF(AND('Operating Assumptions'!$D$29="No",EE$11&gt;='Operating Assumptions'!$D$22),MAX('Unit Mix'!$C$12,'Operating Assumptions'!$D$23*EE$22),IF(AND('Operating Assumptions'!$D$29="No",EE$11&lt;'Operating Assumptions'!$D$22),0))))</f>
        <v>2313.0925208495646</v>
      </c>
      <c r="EF38" s="45">
        <f>IF(AND('Operating Assumptions'!$D$29="Yes",EF$11&gt;='Operating Assumptions'!$D$31),MAX('Unit Mix'!$C$12,'Operating Assumptions'!$D$23*EF$22),IF(AND('Operating Assumptions'!$D$29="Yes",EF$11&lt;'Operating Assumptions'!$D$31),0,IF(AND('Operating Assumptions'!$D$29="No",EF$11&gt;='Operating Assumptions'!$D$22),MAX('Unit Mix'!$C$12,'Operating Assumptions'!$D$23*EF$22),IF(AND('Operating Assumptions'!$D$29="No",EF$11&lt;'Operating Assumptions'!$D$22),0))))</f>
        <v>2313.0925208495646</v>
      </c>
      <c r="EG38" s="45">
        <f>IF(AND('Operating Assumptions'!$D$29="Yes",EG$11&gt;='Operating Assumptions'!$D$31),MAX('Unit Mix'!$C$12,'Operating Assumptions'!$D$23*EG$22),IF(AND('Operating Assumptions'!$D$29="Yes",EG$11&lt;'Operating Assumptions'!$D$31),0,IF(AND('Operating Assumptions'!$D$29="No",EG$11&gt;='Operating Assumptions'!$D$22),MAX('Unit Mix'!$C$12,'Operating Assumptions'!$D$23*EG$22),IF(AND('Operating Assumptions'!$D$29="No",EG$11&lt;'Operating Assumptions'!$D$22),0))))</f>
        <v>2313.0925208495646</v>
      </c>
      <c r="EH38" s="45">
        <f>IF(AND('Operating Assumptions'!$D$29="Yes",EH$11&gt;='Operating Assumptions'!$D$31),MAX('Unit Mix'!$C$12,'Operating Assumptions'!$D$23*EH$22),IF(AND('Operating Assumptions'!$D$29="Yes",EH$11&lt;'Operating Assumptions'!$D$31),0,IF(AND('Operating Assumptions'!$D$29="No",EH$11&gt;='Operating Assumptions'!$D$22),MAX('Unit Mix'!$C$12,'Operating Assumptions'!$D$23*EH$22),IF(AND('Operating Assumptions'!$D$29="No",EH$11&lt;'Operating Assumptions'!$D$22),0))))</f>
        <v>2313.0925208495646</v>
      </c>
      <c r="EI38" s="45">
        <f>IF(AND('Operating Assumptions'!$D$29="Yes",EI$11&gt;='Operating Assumptions'!$D$31),MAX('Unit Mix'!$C$12,'Operating Assumptions'!$D$23*EI$22),IF(AND('Operating Assumptions'!$D$29="Yes",EI$11&lt;'Operating Assumptions'!$D$31),0,IF(AND('Operating Assumptions'!$D$29="No",EI$11&gt;='Operating Assumptions'!$D$22),MAX('Unit Mix'!$C$12,'Operating Assumptions'!$D$23*EI$22),IF(AND('Operating Assumptions'!$D$29="No",EI$11&lt;'Operating Assumptions'!$D$22),0))))</f>
        <v>2313.0925208495646</v>
      </c>
      <c r="EJ38" s="45">
        <f>IF(AND('Operating Assumptions'!$D$29="Yes",EJ$11&gt;='Operating Assumptions'!$D$31),MAX('Unit Mix'!$C$12,'Operating Assumptions'!$D$23*EJ$22),IF(AND('Operating Assumptions'!$D$29="Yes",EJ$11&lt;'Operating Assumptions'!$D$31),0,IF(AND('Operating Assumptions'!$D$29="No",EJ$11&gt;='Operating Assumptions'!$D$22),MAX('Unit Mix'!$C$12,'Operating Assumptions'!$D$23*EJ$22),IF(AND('Operating Assumptions'!$D$29="No",EJ$11&lt;'Operating Assumptions'!$D$22),0))))</f>
        <v>2352.2974788300658</v>
      </c>
      <c r="EK38" s="45">
        <f>IF(AND('Operating Assumptions'!$D$29="Yes",EK$11&gt;='Operating Assumptions'!$D$31),MAX('Unit Mix'!$C$12,'Operating Assumptions'!$D$23*EK$22),IF(AND('Operating Assumptions'!$D$29="Yes",EK$11&lt;'Operating Assumptions'!$D$31),0,IF(AND('Operating Assumptions'!$D$29="No",EK$11&gt;='Operating Assumptions'!$D$22),MAX('Unit Mix'!$C$12,'Operating Assumptions'!$D$23*EK$22),IF(AND('Operating Assumptions'!$D$29="No",EK$11&lt;'Operating Assumptions'!$D$22),0))))</f>
        <v>2352.2974788300658</v>
      </c>
      <c r="EL38" s="45">
        <f>IF(AND('Operating Assumptions'!$D$29="Yes",EL$11&gt;='Operating Assumptions'!$D$31),MAX('Unit Mix'!$C$12,'Operating Assumptions'!$D$23*EL$22),IF(AND('Operating Assumptions'!$D$29="Yes",EL$11&lt;'Operating Assumptions'!$D$31),0,IF(AND('Operating Assumptions'!$D$29="No",EL$11&gt;='Operating Assumptions'!$D$22),MAX('Unit Mix'!$C$12,'Operating Assumptions'!$D$23*EL$22),IF(AND('Operating Assumptions'!$D$29="No",EL$11&lt;'Operating Assumptions'!$D$22),0))))</f>
        <v>2352.2974788300658</v>
      </c>
      <c r="EM38" s="45">
        <f>IF(AND('Operating Assumptions'!$D$29="Yes",EM$11&gt;='Operating Assumptions'!$D$31),MAX('Unit Mix'!$C$12,'Operating Assumptions'!$D$23*EM$22),IF(AND('Operating Assumptions'!$D$29="Yes",EM$11&lt;'Operating Assumptions'!$D$31),0,IF(AND('Operating Assumptions'!$D$29="No",EM$11&gt;='Operating Assumptions'!$D$22),MAX('Unit Mix'!$C$12,'Operating Assumptions'!$D$23*EM$22),IF(AND('Operating Assumptions'!$D$29="No",EM$11&lt;'Operating Assumptions'!$D$22),0))))</f>
        <v>2352.2974788300658</v>
      </c>
      <c r="EN38" s="45">
        <f>IF(AND('Operating Assumptions'!$D$29="Yes",EN$11&gt;='Operating Assumptions'!$D$31),MAX('Unit Mix'!$C$12,'Operating Assumptions'!$D$23*EN$22),IF(AND('Operating Assumptions'!$D$29="Yes",EN$11&lt;'Operating Assumptions'!$D$31),0,IF(AND('Operating Assumptions'!$D$29="No",EN$11&gt;='Operating Assumptions'!$D$22),MAX('Unit Mix'!$C$12,'Operating Assumptions'!$D$23*EN$22),IF(AND('Operating Assumptions'!$D$29="No",EN$11&lt;'Operating Assumptions'!$D$22),0))))</f>
        <v>2352.2974788300658</v>
      </c>
      <c r="EO38" s="45">
        <f>IF(AND('Operating Assumptions'!$D$29="Yes",EO$11&gt;='Operating Assumptions'!$D$31),MAX('Unit Mix'!$C$12,'Operating Assumptions'!$D$23*EO$22),IF(AND('Operating Assumptions'!$D$29="Yes",EO$11&lt;'Operating Assumptions'!$D$31),0,IF(AND('Operating Assumptions'!$D$29="No",EO$11&gt;='Operating Assumptions'!$D$22),MAX('Unit Mix'!$C$12,'Operating Assumptions'!$D$23*EO$22),IF(AND('Operating Assumptions'!$D$29="No",EO$11&lt;'Operating Assumptions'!$D$22),0))))</f>
        <v>2352.2974788300658</v>
      </c>
      <c r="EP38" s="45">
        <f>IF(AND('Operating Assumptions'!$D$29="Yes",EP$11&gt;='Operating Assumptions'!$D$31),MAX('Unit Mix'!$C$12,'Operating Assumptions'!$D$23*EP$22),IF(AND('Operating Assumptions'!$D$29="Yes",EP$11&lt;'Operating Assumptions'!$D$31),0,IF(AND('Operating Assumptions'!$D$29="No",EP$11&gt;='Operating Assumptions'!$D$22),MAX('Unit Mix'!$C$12,'Operating Assumptions'!$D$23*EP$22),IF(AND('Operating Assumptions'!$D$29="No",EP$11&lt;'Operating Assumptions'!$D$22),0))))</f>
        <v>2352.2974788300658</v>
      </c>
      <c r="EQ38" s="45">
        <f>IF(AND('Operating Assumptions'!$D$29="Yes",EQ$11&gt;='Operating Assumptions'!$D$31),MAX('Unit Mix'!$C$12,'Operating Assumptions'!$D$23*EQ$22),IF(AND('Operating Assumptions'!$D$29="Yes",EQ$11&lt;'Operating Assumptions'!$D$31),0,IF(AND('Operating Assumptions'!$D$29="No",EQ$11&gt;='Operating Assumptions'!$D$22),MAX('Unit Mix'!$C$12,'Operating Assumptions'!$D$23*EQ$22),IF(AND('Operating Assumptions'!$D$29="No",EQ$11&lt;'Operating Assumptions'!$D$22),0))))</f>
        <v>2352.2974788300658</v>
      </c>
      <c r="ER38" s="45">
        <f>IF(AND('Operating Assumptions'!$D$29="Yes",ER$11&gt;='Operating Assumptions'!$D$31),MAX('Unit Mix'!$C$12,'Operating Assumptions'!$D$23*ER$22),IF(AND('Operating Assumptions'!$D$29="Yes",ER$11&lt;'Operating Assumptions'!$D$31),0,IF(AND('Operating Assumptions'!$D$29="No",ER$11&gt;='Operating Assumptions'!$D$22),MAX('Unit Mix'!$C$12,'Operating Assumptions'!$D$23*ER$22),IF(AND('Operating Assumptions'!$D$29="No",ER$11&lt;'Operating Assumptions'!$D$22),0))))</f>
        <v>2352.2974788300658</v>
      </c>
      <c r="ES38" s="45">
        <f>IF(AND('Operating Assumptions'!$D$29="Yes",ES$11&gt;='Operating Assumptions'!$D$31),MAX('Unit Mix'!$C$12,'Operating Assumptions'!$D$23*ES$22),IF(AND('Operating Assumptions'!$D$29="Yes",ES$11&lt;'Operating Assumptions'!$D$31),0,IF(AND('Operating Assumptions'!$D$29="No",ES$11&gt;='Operating Assumptions'!$D$22),MAX('Unit Mix'!$C$12,'Operating Assumptions'!$D$23*ES$22),IF(AND('Operating Assumptions'!$D$29="No",ES$11&lt;'Operating Assumptions'!$D$22),0))))</f>
        <v>2352.2974788300658</v>
      </c>
      <c r="ET38" s="45">
        <f>IF(AND('Operating Assumptions'!$D$29="Yes",ET$11&gt;='Operating Assumptions'!$D$31),MAX('Unit Mix'!$C$12,'Operating Assumptions'!$D$23*ET$22),IF(AND('Operating Assumptions'!$D$29="Yes",ET$11&lt;'Operating Assumptions'!$D$31),0,IF(AND('Operating Assumptions'!$D$29="No",ET$11&gt;='Operating Assumptions'!$D$22),MAX('Unit Mix'!$C$12,'Operating Assumptions'!$D$23*ET$22),IF(AND('Operating Assumptions'!$D$29="No",ET$11&lt;'Operating Assumptions'!$D$22),0))))</f>
        <v>2352.2974788300658</v>
      </c>
      <c r="EU38" s="45">
        <f>IF(AND('Operating Assumptions'!$D$29="Yes",EU$11&gt;='Operating Assumptions'!$D$31),MAX('Unit Mix'!$C$12,'Operating Assumptions'!$D$23*EU$22),IF(AND('Operating Assumptions'!$D$29="Yes",EU$11&lt;'Operating Assumptions'!$D$31),0,IF(AND('Operating Assumptions'!$D$29="No",EU$11&gt;='Operating Assumptions'!$D$22),MAX('Unit Mix'!$C$12,'Operating Assumptions'!$D$23*EU$22),IF(AND('Operating Assumptions'!$D$29="No",EU$11&lt;'Operating Assumptions'!$D$22),0))))</f>
        <v>2352.2974788300658</v>
      </c>
      <c r="EV38" s="45">
        <f>IF(AND('Operating Assumptions'!$D$29="Yes",EV$11&gt;='Operating Assumptions'!$D$31),MAX('Unit Mix'!$C$12,'Operating Assumptions'!$D$23*EV$22),IF(AND('Operating Assumptions'!$D$29="Yes",EV$11&lt;'Operating Assumptions'!$D$31),0,IF(AND('Operating Assumptions'!$D$29="No",EV$11&gt;='Operating Assumptions'!$D$22),MAX('Unit Mix'!$C$12,'Operating Assumptions'!$D$23*EV$22),IF(AND('Operating Assumptions'!$D$29="No",EV$11&lt;'Operating Assumptions'!$D$22),0))))</f>
        <v>2352.2974788300658</v>
      </c>
      <c r="EW38" s="45">
        <f>IF(AND('Operating Assumptions'!$D$29="Yes",EW$11&gt;='Operating Assumptions'!$D$31),MAX('Unit Mix'!$C$12,'Operating Assumptions'!$D$23*EW$22),IF(AND('Operating Assumptions'!$D$29="Yes",EW$11&lt;'Operating Assumptions'!$D$31),0,IF(AND('Operating Assumptions'!$D$29="No",EW$11&gt;='Operating Assumptions'!$D$22),MAX('Unit Mix'!$C$12,'Operating Assumptions'!$D$23*EW$22),IF(AND('Operating Assumptions'!$D$29="No",EW$11&lt;'Operating Assumptions'!$D$22),0))))</f>
        <v>2352.2974788300658</v>
      </c>
      <c r="EX38" s="45">
        <f>IF(AND('Operating Assumptions'!$D$29="Yes",EX$11&gt;='Operating Assumptions'!$D$31),MAX('Unit Mix'!$C$12,'Operating Assumptions'!$D$23*EX$22),IF(AND('Operating Assumptions'!$D$29="Yes",EX$11&lt;'Operating Assumptions'!$D$31),0,IF(AND('Operating Assumptions'!$D$29="No",EX$11&gt;='Operating Assumptions'!$D$22),MAX('Unit Mix'!$C$12,'Operating Assumptions'!$D$23*EX$22),IF(AND('Operating Assumptions'!$D$29="No",EX$11&lt;'Operating Assumptions'!$D$22),0))))</f>
        <v>2352.2974788300658</v>
      </c>
      <c r="EY38" s="45">
        <f>IF(AND('Operating Assumptions'!$D$29="Yes",EY$11&gt;='Operating Assumptions'!$D$31),MAX('Unit Mix'!$C$12,'Operating Assumptions'!$D$23*EY$22),IF(AND('Operating Assumptions'!$D$29="Yes",EY$11&lt;'Operating Assumptions'!$D$31),0,IF(AND('Operating Assumptions'!$D$29="No",EY$11&gt;='Operating Assumptions'!$D$22),MAX('Unit Mix'!$C$12,'Operating Assumptions'!$D$23*EY$22),IF(AND('Operating Assumptions'!$D$29="No",EY$11&lt;'Operating Assumptions'!$D$22),0))))</f>
        <v>2352.2974788300658</v>
      </c>
      <c r="EZ38" s="45">
        <f>IF(AND('Operating Assumptions'!$D$29="Yes",EZ$11&gt;='Operating Assumptions'!$D$31),MAX('Unit Mix'!$C$12,'Operating Assumptions'!$D$23*EZ$22),IF(AND('Operating Assumptions'!$D$29="Yes",EZ$11&lt;'Operating Assumptions'!$D$31),0,IF(AND('Operating Assumptions'!$D$29="No",EZ$11&gt;='Operating Assumptions'!$D$22),MAX('Unit Mix'!$C$12,'Operating Assumptions'!$D$23*EZ$22),IF(AND('Operating Assumptions'!$D$29="No",EZ$11&lt;'Operating Assumptions'!$D$22),0))))</f>
        <v>2352.2974788300658</v>
      </c>
      <c r="FA38" s="45">
        <f>IF(AND('Operating Assumptions'!$D$29="Yes",FA$11&gt;='Operating Assumptions'!$D$31),MAX('Unit Mix'!$C$12,'Operating Assumptions'!$D$23*FA$22),IF(AND('Operating Assumptions'!$D$29="Yes",FA$11&lt;'Operating Assumptions'!$D$31),0,IF(AND('Operating Assumptions'!$D$29="No",FA$11&gt;='Operating Assumptions'!$D$22),MAX('Unit Mix'!$C$12,'Operating Assumptions'!$D$23*FA$22),IF(AND('Operating Assumptions'!$D$29="No",FA$11&lt;'Operating Assumptions'!$D$22),0))))</f>
        <v>2352.2974788300658</v>
      </c>
      <c r="FB38" s="45">
        <f>IF(AND('Operating Assumptions'!$D$29="Yes",FB$11&gt;='Operating Assumptions'!$D$31),MAX('Unit Mix'!$C$12,'Operating Assumptions'!$D$23*FB$22),IF(AND('Operating Assumptions'!$D$29="Yes",FB$11&lt;'Operating Assumptions'!$D$31),0,IF(AND('Operating Assumptions'!$D$29="No",FB$11&gt;='Operating Assumptions'!$D$22),MAX('Unit Mix'!$C$12,'Operating Assumptions'!$D$23*FB$22),IF(AND('Operating Assumptions'!$D$29="No",FB$11&lt;'Operating Assumptions'!$D$22),0))))</f>
        <v>2352.2974788300658</v>
      </c>
      <c r="FC38" s="45">
        <f>IF(AND('Operating Assumptions'!$D$29="Yes",FC$11&gt;='Operating Assumptions'!$D$31),MAX('Unit Mix'!$C$12,'Operating Assumptions'!$D$23*FC$22),IF(AND('Operating Assumptions'!$D$29="Yes",FC$11&lt;'Operating Assumptions'!$D$31),0,IF(AND('Operating Assumptions'!$D$29="No",FC$11&gt;='Operating Assumptions'!$D$22),MAX('Unit Mix'!$C$12,'Operating Assumptions'!$D$23*FC$22),IF(AND('Operating Assumptions'!$D$29="No",FC$11&lt;'Operating Assumptions'!$D$22),0))))</f>
        <v>2352.2974788300658</v>
      </c>
      <c r="FD38" s="45">
        <f>IF(AND('Operating Assumptions'!$D$29="Yes",FD$11&gt;='Operating Assumptions'!$D$31),MAX('Unit Mix'!$C$12,'Operating Assumptions'!$D$23*FD$22),IF(AND('Operating Assumptions'!$D$29="Yes",FD$11&lt;'Operating Assumptions'!$D$31),0,IF(AND('Operating Assumptions'!$D$29="No",FD$11&gt;='Operating Assumptions'!$D$22),MAX('Unit Mix'!$C$12,'Operating Assumptions'!$D$23*FD$22),IF(AND('Operating Assumptions'!$D$29="No",FD$11&lt;'Operating Assumptions'!$D$22),0))))</f>
        <v>2352.2974788300658</v>
      </c>
      <c r="FE38" s="45">
        <f>IF(AND('Operating Assumptions'!$D$29="Yes",FE$11&gt;='Operating Assumptions'!$D$31),MAX('Unit Mix'!$C$12,'Operating Assumptions'!$D$23*FE$22),IF(AND('Operating Assumptions'!$D$29="Yes",FE$11&lt;'Operating Assumptions'!$D$31),0,IF(AND('Operating Assumptions'!$D$29="No",FE$11&gt;='Operating Assumptions'!$D$22),MAX('Unit Mix'!$C$12,'Operating Assumptions'!$D$23*FE$22),IF(AND('Operating Assumptions'!$D$29="No",FE$11&lt;'Operating Assumptions'!$D$22),0))))</f>
        <v>2352.2974788300658</v>
      </c>
      <c r="FF38" s="45">
        <f>IF(AND('Operating Assumptions'!$D$29="Yes",FF$11&gt;='Operating Assumptions'!$D$31),MAX('Unit Mix'!$C$12,'Operating Assumptions'!$D$23*FF$22),IF(AND('Operating Assumptions'!$D$29="Yes",FF$11&lt;'Operating Assumptions'!$D$31),0,IF(AND('Operating Assumptions'!$D$29="No",FF$11&gt;='Operating Assumptions'!$D$22),MAX('Unit Mix'!$C$12,'Operating Assumptions'!$D$23*FF$22),IF(AND('Operating Assumptions'!$D$29="No",FF$11&lt;'Operating Assumptions'!$D$22),0))))</f>
        <v>2352.2974788300658</v>
      </c>
      <c r="FG38" s="45">
        <f>IF(AND('Operating Assumptions'!$D$29="Yes",FG$11&gt;='Operating Assumptions'!$D$31),MAX('Unit Mix'!$C$12,'Operating Assumptions'!$D$23*FG$22),IF(AND('Operating Assumptions'!$D$29="Yes",FG$11&lt;'Operating Assumptions'!$D$31),0,IF(AND('Operating Assumptions'!$D$29="No",FG$11&gt;='Operating Assumptions'!$D$22),MAX('Unit Mix'!$C$12,'Operating Assumptions'!$D$23*FG$22),IF(AND('Operating Assumptions'!$D$29="No",FG$11&lt;'Operating Assumptions'!$D$22),0))))</f>
        <v>2352.2974788300658</v>
      </c>
      <c r="FH38" s="45">
        <f>IF(AND('Operating Assumptions'!$D$29="Yes",FH$11&gt;='Operating Assumptions'!$D$31),MAX('Unit Mix'!$C$12,'Operating Assumptions'!$D$23*FH$22),IF(AND('Operating Assumptions'!$D$29="Yes",FH$11&lt;'Operating Assumptions'!$D$31),0,IF(AND('Operating Assumptions'!$D$29="No",FH$11&gt;='Operating Assumptions'!$D$22),MAX('Unit Mix'!$C$12,'Operating Assumptions'!$D$23*FH$22),IF(AND('Operating Assumptions'!$D$29="No",FH$11&lt;'Operating Assumptions'!$D$22),0))))</f>
        <v>2352.2974788300658</v>
      </c>
      <c r="FI38" s="45">
        <f>IF(AND('Operating Assumptions'!$D$29="Yes",FI$11&gt;='Operating Assumptions'!$D$31),MAX('Unit Mix'!$C$12,'Operating Assumptions'!$D$23*FI$22),IF(AND('Operating Assumptions'!$D$29="Yes",FI$11&lt;'Operating Assumptions'!$D$31),0,IF(AND('Operating Assumptions'!$D$29="No",FI$11&gt;='Operating Assumptions'!$D$22),MAX('Unit Mix'!$C$12,'Operating Assumptions'!$D$23*FI$22),IF(AND('Operating Assumptions'!$D$29="No",FI$11&lt;'Operating Assumptions'!$D$22),0))))</f>
        <v>2352.2974788300658</v>
      </c>
      <c r="FJ38" s="45">
        <f>IF(AND('Operating Assumptions'!$D$29="Yes",FJ$11&gt;='Operating Assumptions'!$D$31),MAX('Unit Mix'!$C$12,'Operating Assumptions'!$D$23*FJ$22),IF(AND('Operating Assumptions'!$D$29="Yes",FJ$11&lt;'Operating Assumptions'!$D$31),0,IF(AND('Operating Assumptions'!$D$29="No",FJ$11&gt;='Operating Assumptions'!$D$22),MAX('Unit Mix'!$C$12,'Operating Assumptions'!$D$23*FJ$22),IF(AND('Operating Assumptions'!$D$29="No",FJ$11&lt;'Operating Assumptions'!$D$22),0))))</f>
        <v>2352.2974788300658</v>
      </c>
      <c r="FK38" s="45">
        <f>IF(AND('Operating Assumptions'!$D$29="Yes",FK$11&gt;='Operating Assumptions'!$D$31),MAX('Unit Mix'!$C$12,'Operating Assumptions'!$D$23*FK$22),IF(AND('Operating Assumptions'!$D$29="Yes",FK$11&lt;'Operating Assumptions'!$D$31),0,IF(AND('Operating Assumptions'!$D$29="No",FK$11&gt;='Operating Assumptions'!$D$22),MAX('Unit Mix'!$C$12,'Operating Assumptions'!$D$23*FK$22),IF(AND('Operating Assumptions'!$D$29="No",FK$11&lt;'Operating Assumptions'!$D$22),0))))</f>
        <v>2352.2974788300658</v>
      </c>
      <c r="FL38" s="45">
        <f>IF(AND('Operating Assumptions'!$D$29="Yes",FL$11&gt;='Operating Assumptions'!$D$31),MAX('Unit Mix'!$C$12,'Operating Assumptions'!$D$23*FL$22),IF(AND('Operating Assumptions'!$D$29="Yes",FL$11&lt;'Operating Assumptions'!$D$31),0,IF(AND('Operating Assumptions'!$D$29="No",FL$11&gt;='Operating Assumptions'!$D$22),MAX('Unit Mix'!$C$12,'Operating Assumptions'!$D$23*FL$22),IF(AND('Operating Assumptions'!$D$29="No",FL$11&lt;'Operating Assumptions'!$D$22),0))))</f>
        <v>2352.2974788300658</v>
      </c>
      <c r="FM38" s="45">
        <f>IF(AND('Operating Assumptions'!$D$29="Yes",FM$11&gt;='Operating Assumptions'!$D$31),MAX('Unit Mix'!$C$12,'Operating Assumptions'!$D$23*FM$22),IF(AND('Operating Assumptions'!$D$29="Yes",FM$11&lt;'Operating Assumptions'!$D$31),0,IF(AND('Operating Assumptions'!$D$29="No",FM$11&gt;='Operating Assumptions'!$D$22),MAX('Unit Mix'!$C$12,'Operating Assumptions'!$D$23*FM$22),IF(AND('Operating Assumptions'!$D$29="No",FM$11&lt;'Operating Assumptions'!$D$22),0))))</f>
        <v>2352.2974788300658</v>
      </c>
      <c r="FN38" s="45">
        <f>IF(AND('Operating Assumptions'!$D$29="Yes",FN$11&gt;='Operating Assumptions'!$D$31),MAX('Unit Mix'!$C$12,'Operating Assumptions'!$D$23*FN$22),IF(AND('Operating Assumptions'!$D$29="Yes",FN$11&lt;'Operating Assumptions'!$D$31),0,IF(AND('Operating Assumptions'!$D$29="No",FN$11&gt;='Operating Assumptions'!$D$22),MAX('Unit Mix'!$C$12,'Operating Assumptions'!$D$23*FN$22),IF(AND('Operating Assumptions'!$D$29="No",FN$11&lt;'Operating Assumptions'!$D$22),0))))</f>
        <v>2352.2974788300658</v>
      </c>
      <c r="FO38" s="45">
        <f>IF(AND('Operating Assumptions'!$D$29="Yes",FO$11&gt;='Operating Assumptions'!$D$31),MAX('Unit Mix'!$C$12,'Operating Assumptions'!$D$23*FO$22),IF(AND('Operating Assumptions'!$D$29="Yes",FO$11&lt;'Operating Assumptions'!$D$31),0,IF(AND('Operating Assumptions'!$D$29="No",FO$11&gt;='Operating Assumptions'!$D$22),MAX('Unit Mix'!$C$12,'Operating Assumptions'!$D$23*FO$22),IF(AND('Operating Assumptions'!$D$29="No",FO$11&lt;'Operating Assumptions'!$D$22),0))))</f>
        <v>2352.2974788300658</v>
      </c>
      <c r="FP38" s="45">
        <f>IF(AND('Operating Assumptions'!$D$29="Yes",FP$11&gt;='Operating Assumptions'!$D$31),MAX('Unit Mix'!$C$12,'Operating Assumptions'!$D$23*FP$22),IF(AND('Operating Assumptions'!$D$29="Yes",FP$11&lt;'Operating Assumptions'!$D$31),0,IF(AND('Operating Assumptions'!$D$29="No",FP$11&gt;='Operating Assumptions'!$D$22),MAX('Unit Mix'!$C$12,'Operating Assumptions'!$D$23*FP$22),IF(AND('Operating Assumptions'!$D$29="No",FP$11&lt;'Operating Assumptions'!$D$22),0))))</f>
        <v>2352.2974788300658</v>
      </c>
      <c r="FQ38" s="45">
        <f>IF(AND('Operating Assumptions'!$D$29="Yes",FQ$11&gt;='Operating Assumptions'!$D$31),MAX('Unit Mix'!$C$12,'Operating Assumptions'!$D$23*FQ$22),IF(AND('Operating Assumptions'!$D$29="Yes",FQ$11&lt;'Operating Assumptions'!$D$31),0,IF(AND('Operating Assumptions'!$D$29="No",FQ$11&gt;='Operating Assumptions'!$D$22),MAX('Unit Mix'!$C$12,'Operating Assumptions'!$D$23*FQ$22),IF(AND('Operating Assumptions'!$D$29="No",FQ$11&lt;'Operating Assumptions'!$D$22),0))))</f>
        <v>2352.2974788300658</v>
      </c>
      <c r="FR38" s="45">
        <f>IF(AND('Operating Assumptions'!$D$29="Yes",FR$11&gt;='Operating Assumptions'!$D$31),MAX('Unit Mix'!$C$12,'Operating Assumptions'!$D$23*FR$22),IF(AND('Operating Assumptions'!$D$29="Yes",FR$11&lt;'Operating Assumptions'!$D$31),0,IF(AND('Operating Assumptions'!$D$29="No",FR$11&gt;='Operating Assumptions'!$D$22),MAX('Unit Mix'!$C$12,'Operating Assumptions'!$D$23*FR$22),IF(AND('Operating Assumptions'!$D$29="No",FR$11&lt;'Operating Assumptions'!$D$22),0))))</f>
        <v>2352.2974788300658</v>
      </c>
      <c r="FS38" s="45">
        <f>IF(AND('Operating Assumptions'!$D$29="Yes",FS$11&gt;='Operating Assumptions'!$D$31),MAX('Unit Mix'!$C$12,'Operating Assumptions'!$D$23*FS$22),IF(AND('Operating Assumptions'!$D$29="Yes",FS$11&lt;'Operating Assumptions'!$D$31),0,IF(AND('Operating Assumptions'!$D$29="No",FS$11&gt;='Operating Assumptions'!$D$22),MAX('Unit Mix'!$C$12,'Operating Assumptions'!$D$23*FS$22),IF(AND('Operating Assumptions'!$D$29="No",FS$11&lt;'Operating Assumptions'!$D$22),0))))</f>
        <v>2352.2974788300658</v>
      </c>
      <c r="FT38" s="45">
        <f>IF(AND('Operating Assumptions'!$D$29="Yes",FT$11&gt;='Operating Assumptions'!$D$31),MAX('Unit Mix'!$C$12,'Operating Assumptions'!$D$23*FT$22),IF(AND('Operating Assumptions'!$D$29="Yes",FT$11&lt;'Operating Assumptions'!$D$31),0,IF(AND('Operating Assumptions'!$D$29="No",FT$11&gt;='Operating Assumptions'!$D$22),MAX('Unit Mix'!$C$12,'Operating Assumptions'!$D$23*FT$22),IF(AND('Operating Assumptions'!$D$29="No",FT$11&lt;'Operating Assumptions'!$D$22),0))))</f>
        <v>2352.2974788300658</v>
      </c>
      <c r="FU38" s="43"/>
      <c r="FV38" s="34"/>
      <c r="FW38" s="34"/>
      <c r="FX38" s="34"/>
      <c r="FY38" s="34"/>
      <c r="FZ38" s="34"/>
    </row>
    <row r="39" spans="1:182" s="89" customFormat="1" ht="13.5" x14ac:dyDescent="0.25">
      <c r="A39" s="34"/>
      <c r="B39" s="43"/>
      <c r="C39" s="34"/>
      <c r="D39" s="34"/>
      <c r="E39" s="34"/>
      <c r="F39" s="54"/>
      <c r="G39" s="34"/>
      <c r="H39" s="530"/>
      <c r="I39" s="530"/>
      <c r="J39" s="530"/>
      <c r="K39" s="530"/>
      <c r="L39" s="530"/>
      <c r="M39" s="530"/>
      <c r="N39" s="530"/>
      <c r="O39" s="530"/>
      <c r="P39" s="530"/>
      <c r="Q39" s="530"/>
      <c r="R39" s="530"/>
      <c r="S39" s="530"/>
      <c r="T39" s="530"/>
      <c r="U39" s="530"/>
      <c r="V39" s="530"/>
      <c r="W39" s="530"/>
      <c r="X39" s="530"/>
      <c r="Y39" s="530"/>
      <c r="Z39" s="530"/>
      <c r="AA39" s="530"/>
      <c r="AB39" s="530"/>
      <c r="AC39" s="530"/>
      <c r="AD39" s="530"/>
      <c r="AE39" s="530"/>
      <c r="AF39" s="530"/>
      <c r="AG39" s="530"/>
      <c r="AH39" s="530"/>
      <c r="AI39" s="530"/>
      <c r="AJ39" s="530"/>
      <c r="AK39" s="530"/>
      <c r="AL39" s="530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43"/>
      <c r="FV39" s="34"/>
      <c r="FW39" s="34"/>
      <c r="FX39" s="34"/>
      <c r="FY39" s="34"/>
      <c r="FZ39" s="34"/>
    </row>
    <row r="40" spans="1:182" s="89" customFormat="1" ht="13.5" x14ac:dyDescent="0.25">
      <c r="A40" s="34"/>
      <c r="B40" s="73" t="s">
        <v>246</v>
      </c>
      <c r="C40" s="34"/>
      <c r="D40" s="34"/>
      <c r="E40" s="34"/>
      <c r="F40" s="5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43"/>
      <c r="FV40" s="34"/>
      <c r="FW40" s="34"/>
      <c r="FX40" s="34"/>
      <c r="FY40" s="34"/>
      <c r="FZ40" s="34"/>
    </row>
    <row r="41" spans="1:182" s="89" customFormat="1" ht="13.5" x14ac:dyDescent="0.25">
      <c r="A41" s="34"/>
      <c r="B41" s="128" t="str">
        <f>'Operating Assumptions'!F8</f>
        <v>Rent Revenue</v>
      </c>
      <c r="C41" s="34"/>
      <c r="D41" s="34"/>
      <c r="E41" s="34"/>
      <c r="F41" s="429">
        <f>SUM(H41:FT41)</f>
        <v>62735577.735607885</v>
      </c>
      <c r="G41" s="34"/>
      <c r="H41" s="431">
        <f>IF(H$9&lt;'Operating Assumptions'!$D$53,0,IF(H$6&gt;'Operating Assumptions'!$AA$8,0,IF('Operating Assumptions'!$G8="Unit Mix Tab",H$38*H$36,IF('Operating Assumptions'!$G8="$/Unit/Annual",'Operating Assumptions'!$H8*H$36/12*H$22,IF('Operating Assumptions'!$G8="$/Unit/Month",'Operating Assumptions'!$H8*H$36*H$22,IF('Operating Assumptions'!$G8="Fixed Amount",'Operating Assumptions'!$H8/12*H$22,IF('Operating Assumptions'!$G8="$/NSF",'Operating Assumptions'!$H8*'Operating Assumptions'!$D$12/12*H$22,IF('Operating Assumptions'!$G8="N/A",0))))))))</f>
        <v>0</v>
      </c>
      <c r="I41" s="431">
        <f>IF(I$9&lt;'Operating Assumptions'!$D$53,0,IF(I$6&gt;'Operating Assumptions'!$AA$8,0,IF('Operating Assumptions'!$G8="Unit Mix Tab",I$38*I$36,IF('Operating Assumptions'!$G8="$/Unit/Annual",'Operating Assumptions'!$H8*I$36/12*I$22,IF('Operating Assumptions'!$G8="$/Unit/Month",'Operating Assumptions'!$H8*I$36*I$22,IF('Operating Assumptions'!$G8="Fixed Amount",'Operating Assumptions'!$H8/12*I$22,IF('Operating Assumptions'!$G8="$/NSF",'Operating Assumptions'!$H8*'Operating Assumptions'!$D$12/12*I$22,IF('Operating Assumptions'!$G8="N/A",0))))))))</f>
        <v>0</v>
      </c>
      <c r="J41" s="431">
        <f>IF(J$9&lt;'Operating Assumptions'!$D$53,0,IF(J$6&gt;'Operating Assumptions'!$AA$8,0,IF('Operating Assumptions'!$G8="Unit Mix Tab",J$38*J$36,IF('Operating Assumptions'!$G8="$/Unit/Annual",'Operating Assumptions'!$H8*J$36/12*J$22,IF('Operating Assumptions'!$G8="$/Unit/Month",'Operating Assumptions'!$H8*J$36*J$22,IF('Operating Assumptions'!$G8="Fixed Amount",'Operating Assumptions'!$H8/12*J$22,IF('Operating Assumptions'!$G8="$/NSF",'Operating Assumptions'!$H8*'Operating Assumptions'!$D$12/12*J$22,IF('Operating Assumptions'!$G8="N/A",0))))))))</f>
        <v>0</v>
      </c>
      <c r="K41" s="431">
        <f>IF(K$9&lt;'Operating Assumptions'!$D$53,0,IF(K$6&gt;'Operating Assumptions'!$AA$8,0,IF('Operating Assumptions'!$G8="Unit Mix Tab",K$38*K$36,IF('Operating Assumptions'!$G8="$/Unit/Annual",'Operating Assumptions'!$H8*K$36/12*K$22,IF('Operating Assumptions'!$G8="$/Unit/Month",'Operating Assumptions'!$H8*K$36*K$22,IF('Operating Assumptions'!$G8="Fixed Amount",'Operating Assumptions'!$H8/12*K$22,IF('Operating Assumptions'!$G8="$/NSF",'Operating Assumptions'!$H8*'Operating Assumptions'!$D$12/12*K$22,IF('Operating Assumptions'!$G8="N/A",0))))))))</f>
        <v>0</v>
      </c>
      <c r="L41" s="431">
        <f>IF(L$9&lt;'Operating Assumptions'!$D$53,0,IF(L$6&gt;'Operating Assumptions'!$AA$8,0,IF('Operating Assumptions'!$G8="Unit Mix Tab",L$38*L$36,IF('Operating Assumptions'!$G8="$/Unit/Annual",'Operating Assumptions'!$H8*L$36/12*L$22,IF('Operating Assumptions'!$G8="$/Unit/Month",'Operating Assumptions'!$H8*L$36*L$22,IF('Operating Assumptions'!$G8="Fixed Amount",'Operating Assumptions'!$H8/12*L$22,IF('Operating Assumptions'!$G8="$/NSF",'Operating Assumptions'!$H8*'Operating Assumptions'!$D$12/12*L$22,IF('Operating Assumptions'!$G8="N/A",0))))))))</f>
        <v>0</v>
      </c>
      <c r="M41" s="431">
        <f>IF(M$9&lt;'Operating Assumptions'!$D$53,0,IF(M$6&gt;'Operating Assumptions'!$AA$8,0,IF('Operating Assumptions'!$G8="Unit Mix Tab",M$38*M$36,IF('Operating Assumptions'!$G8="$/Unit/Annual",'Operating Assumptions'!$H8*M$36/12*M$22,IF('Operating Assumptions'!$G8="$/Unit/Month",'Operating Assumptions'!$H8*M$36*M$22,IF('Operating Assumptions'!$G8="Fixed Amount",'Operating Assumptions'!$H8/12*M$22,IF('Operating Assumptions'!$G8="$/NSF",'Operating Assumptions'!$H8*'Operating Assumptions'!$D$12/12*M$22,IF('Operating Assumptions'!$G8="N/A",0))))))))</f>
        <v>0</v>
      </c>
      <c r="N41" s="431">
        <f>IF(N$9&lt;'Operating Assumptions'!$D$53,0,IF(N$6&gt;'Operating Assumptions'!$AA$8,0,IF('Operating Assumptions'!$G8="Unit Mix Tab",N$38*N$36,IF('Operating Assumptions'!$G8="$/Unit/Annual",'Operating Assumptions'!$H8*N$36/12*N$22,IF('Operating Assumptions'!$G8="$/Unit/Month",'Operating Assumptions'!$H8*N$36*N$22,IF('Operating Assumptions'!$G8="Fixed Amount",'Operating Assumptions'!$H8/12*N$22,IF('Operating Assumptions'!$G8="$/NSF",'Operating Assumptions'!$H8*'Operating Assumptions'!$D$12/12*N$22,IF('Operating Assumptions'!$G8="N/A",0))))))))</f>
        <v>0</v>
      </c>
      <c r="O41" s="431">
        <f>IF(O$9&lt;'Operating Assumptions'!$D$53,0,IF(O$6&gt;'Operating Assumptions'!$AA$8,0,IF('Operating Assumptions'!$G8="Unit Mix Tab",O$38*O$36,IF('Operating Assumptions'!$G8="$/Unit/Annual",'Operating Assumptions'!$H8*O$36/12*O$22,IF('Operating Assumptions'!$G8="$/Unit/Month",'Operating Assumptions'!$H8*O$36*O$22,IF('Operating Assumptions'!$G8="Fixed Amount",'Operating Assumptions'!$H8/12*O$22,IF('Operating Assumptions'!$G8="$/NSF",'Operating Assumptions'!$H8*'Operating Assumptions'!$D$12/12*O$22,IF('Operating Assumptions'!$G8="N/A",0))))))))</f>
        <v>0</v>
      </c>
      <c r="P41" s="431">
        <f>IF(P$9&lt;'Operating Assumptions'!$D$53,0,IF(P$6&gt;'Operating Assumptions'!$AA$8,0,IF('Operating Assumptions'!$G8="Unit Mix Tab",P$38*P$36,IF('Operating Assumptions'!$G8="$/Unit/Annual",'Operating Assumptions'!$H8*P$36/12*P$22,IF('Operating Assumptions'!$G8="$/Unit/Month",'Operating Assumptions'!$H8*P$36*P$22,IF('Operating Assumptions'!$G8="Fixed Amount",'Operating Assumptions'!$H8/12*P$22,IF('Operating Assumptions'!$G8="$/NSF",'Operating Assumptions'!$H8*'Operating Assumptions'!$D$12/12*P$22,IF('Operating Assumptions'!$G8="N/A",0))))))))</f>
        <v>0</v>
      </c>
      <c r="Q41" s="431">
        <f>IF(Q$9&lt;'Operating Assumptions'!$D$53,0,IF(Q$6&gt;'Operating Assumptions'!$AA$8,0,IF('Operating Assumptions'!$G8="Unit Mix Tab",Q$38*Q$36,IF('Operating Assumptions'!$G8="$/Unit/Annual",'Operating Assumptions'!$H8*Q$36/12*Q$22,IF('Operating Assumptions'!$G8="$/Unit/Month",'Operating Assumptions'!$H8*Q$36*Q$22,IF('Operating Assumptions'!$G8="Fixed Amount",'Operating Assumptions'!$H8/12*Q$22,IF('Operating Assumptions'!$G8="$/NSF",'Operating Assumptions'!$H8*'Operating Assumptions'!$D$12/12*Q$22,IF('Operating Assumptions'!$G8="N/A",0))))))))</f>
        <v>0</v>
      </c>
      <c r="R41" s="431">
        <f>IF(R$9&lt;'Operating Assumptions'!$D$53,0,IF(R$6&gt;'Operating Assumptions'!$AA$8,0,IF('Operating Assumptions'!$G8="Unit Mix Tab",R$38*R$36,IF('Operating Assumptions'!$G8="$/Unit/Annual",'Operating Assumptions'!$H8*R$36/12*R$22,IF('Operating Assumptions'!$G8="$/Unit/Month",'Operating Assumptions'!$H8*R$36*R$22,IF('Operating Assumptions'!$G8="Fixed Amount",'Operating Assumptions'!$H8/12*R$22,IF('Operating Assumptions'!$G8="$/NSF",'Operating Assumptions'!$H8*'Operating Assumptions'!$D$12/12*R$22,IF('Operating Assumptions'!$G8="N/A",0))))))))</f>
        <v>0</v>
      </c>
      <c r="S41" s="431">
        <f>IF(S$9&lt;'Operating Assumptions'!$D$53,0,IF(S$6&gt;'Operating Assumptions'!$AA$8,0,IF('Operating Assumptions'!$G8="Unit Mix Tab",S$38*S$36,IF('Operating Assumptions'!$G8="$/Unit/Annual",'Operating Assumptions'!$H8*S$36/12*S$22,IF('Operating Assumptions'!$G8="$/Unit/Month",'Operating Assumptions'!$H8*S$36*S$22,IF('Operating Assumptions'!$G8="Fixed Amount",'Operating Assumptions'!$H8/12*S$22,IF('Operating Assumptions'!$G8="$/NSF",'Operating Assumptions'!$H8*'Operating Assumptions'!$D$12/12*S$22,IF('Operating Assumptions'!$G8="N/A",0))))))))</f>
        <v>0</v>
      </c>
      <c r="T41" s="431">
        <f>IF(T$9&lt;'Operating Assumptions'!$D$53,0,IF(T$6&gt;'Operating Assumptions'!$AA$8,0,IF('Operating Assumptions'!$G8="Unit Mix Tab",T$38*T$36,IF('Operating Assumptions'!$G8="$/Unit/Annual",'Operating Assumptions'!$H8*T$36/12*T$22,IF('Operating Assumptions'!$G8="$/Unit/Month",'Operating Assumptions'!$H8*T$36*T$22,IF('Operating Assumptions'!$G8="Fixed Amount",'Operating Assumptions'!$H8/12*T$22,IF('Operating Assumptions'!$G8="$/NSF",'Operating Assumptions'!$H8*'Operating Assumptions'!$D$12/12*T$22,IF('Operating Assumptions'!$G8="N/A",0))))))))</f>
        <v>0</v>
      </c>
      <c r="U41" s="431">
        <f>IF(U$9&lt;'Operating Assumptions'!$D$53,0,IF(U$6&gt;'Operating Assumptions'!$AA$8,0,IF('Operating Assumptions'!$G8="Unit Mix Tab",U$38*U$36,IF('Operating Assumptions'!$G8="$/Unit/Annual",'Operating Assumptions'!$H8*U$36/12*U$22,IF('Operating Assumptions'!$G8="$/Unit/Month",'Operating Assumptions'!$H8*U$36*U$22,IF('Operating Assumptions'!$G8="Fixed Amount",'Operating Assumptions'!$H8/12*U$22,IF('Operating Assumptions'!$G8="$/NSF",'Operating Assumptions'!$H8*'Operating Assumptions'!$D$12/12*U$22,IF('Operating Assumptions'!$G8="N/A",0))))))))</f>
        <v>0</v>
      </c>
      <c r="V41" s="431">
        <f>IF(V$9&lt;'Operating Assumptions'!$D$53,0,IF(V$6&gt;'Operating Assumptions'!$AA$8,0,IF('Operating Assumptions'!$G8="Unit Mix Tab",V$38*V$36,IF('Operating Assumptions'!$G8="$/Unit/Annual",'Operating Assumptions'!$H8*V$36/12*V$22,IF('Operating Assumptions'!$G8="$/Unit/Month",'Operating Assumptions'!$H8*V$36*V$22,IF('Operating Assumptions'!$G8="Fixed Amount",'Operating Assumptions'!$H8/12*V$22,IF('Operating Assumptions'!$G8="$/NSF",'Operating Assumptions'!$H8*'Operating Assumptions'!$D$12/12*V$22,IF('Operating Assumptions'!$G8="N/A",0))))))))</f>
        <v>0</v>
      </c>
      <c r="W41" s="431">
        <f>IF(W$9&lt;'Operating Assumptions'!$D$53,0,IF(W$6&gt;'Operating Assumptions'!$AA$8,0,IF('Operating Assumptions'!$G8="Unit Mix Tab",W$38*W$36,IF('Operating Assumptions'!$G8="$/Unit/Annual",'Operating Assumptions'!$H8*W$36/12*W$22,IF('Operating Assumptions'!$G8="$/Unit/Month",'Operating Assumptions'!$H8*W$36*W$22,IF('Operating Assumptions'!$G8="Fixed Amount",'Operating Assumptions'!$H8/12*W$22,IF('Operating Assumptions'!$G8="$/NSF",'Operating Assumptions'!$H8*'Operating Assumptions'!$D$12/12*W$22,IF('Operating Assumptions'!$G8="N/A",0))))))))</f>
        <v>0</v>
      </c>
      <c r="X41" s="431">
        <f>IF(X$9&lt;'Operating Assumptions'!$D$53,0,IF(X$6&gt;'Operating Assumptions'!$AA$8,0,IF('Operating Assumptions'!$G8="Unit Mix Tab",X$38*X$36,IF('Operating Assumptions'!$G8="$/Unit/Annual",'Operating Assumptions'!$H8*X$36/12*X$22,IF('Operating Assumptions'!$G8="$/Unit/Month",'Operating Assumptions'!$H8*X$36*X$22,IF('Operating Assumptions'!$G8="Fixed Amount",'Operating Assumptions'!$H8/12*X$22,IF('Operating Assumptions'!$G8="$/NSF",'Operating Assumptions'!$H8*'Operating Assumptions'!$D$12/12*X$22,IF('Operating Assumptions'!$G8="N/A",0))))))))</f>
        <v>0</v>
      </c>
      <c r="Y41" s="431">
        <f>IF(Y$9&lt;'Operating Assumptions'!$D$53,0,IF(Y$6&gt;'Operating Assumptions'!$AA$8,0,IF('Operating Assumptions'!$G8="Unit Mix Tab",Y$38*Y$36,IF('Operating Assumptions'!$G8="$/Unit/Annual",'Operating Assumptions'!$H8*Y$36/12*Y$22,IF('Operating Assumptions'!$G8="$/Unit/Month",'Operating Assumptions'!$H8*Y$36*Y$22,IF('Operating Assumptions'!$G8="Fixed Amount",'Operating Assumptions'!$H8/12*Y$22,IF('Operating Assumptions'!$G8="$/NSF",'Operating Assumptions'!$H8*'Operating Assumptions'!$D$12/12*Y$22,IF('Operating Assumptions'!$G8="N/A",0))))))))</f>
        <v>41165.205879526147</v>
      </c>
      <c r="Z41" s="431">
        <f>IF(Z$9&lt;'Operating Assumptions'!$D$53,0,IF(Z$6&gt;'Operating Assumptions'!$AA$8,0,IF('Operating Assumptions'!$G8="Unit Mix Tab",Z$38*Z$36,IF('Operating Assumptions'!$G8="$/Unit/Annual",'Operating Assumptions'!$H8*Z$36/12*Z$22,IF('Operating Assumptions'!$G8="$/Unit/Month",'Operating Assumptions'!$H8*Z$36*Z$22,IF('Operating Assumptions'!$G8="Fixed Amount",'Operating Assumptions'!$H8/12*Z$22,IF('Operating Assumptions'!$G8="$/NSF",'Operating Assumptions'!$H8*'Operating Assumptions'!$D$12/12*Z$22,IF('Operating Assumptions'!$G8="N/A",0))))))))</f>
        <v>80370.163860027227</v>
      </c>
      <c r="AA41" s="431">
        <f>IF(AA$9&lt;'Operating Assumptions'!$D$53,0,IF(AA$6&gt;'Operating Assumptions'!$AA$8,0,IF('Operating Assumptions'!$G8="Unit Mix Tab",AA$38*AA$36,IF('Operating Assumptions'!$G8="$/Unit/Annual",'Operating Assumptions'!$H8*AA$36/12*AA$22,IF('Operating Assumptions'!$G8="$/Unit/Month",'Operating Assumptions'!$H8*AA$36*AA$22,IF('Operating Assumptions'!$G8="Fixed Amount",'Operating Assumptions'!$H8/12*AA$22,IF('Operating Assumptions'!$G8="$/NSF",'Operating Assumptions'!$H8*'Operating Assumptions'!$D$12/12*AA$22,IF('Operating Assumptions'!$G8="N/A",0))))))))</f>
        <v>119575.12184052833</v>
      </c>
      <c r="AB41" s="431">
        <f>IF(AB$9&lt;'Operating Assumptions'!$D$53,0,IF(AB$6&gt;'Operating Assumptions'!$AA$8,0,IF('Operating Assumptions'!$G8="Unit Mix Tab",AB$38*AB$36,IF('Operating Assumptions'!$G8="$/Unit/Annual",'Operating Assumptions'!$H8*AB$36/12*AB$22,IF('Operating Assumptions'!$G8="$/Unit/Month",'Operating Assumptions'!$H8*AB$36*AB$22,IF('Operating Assumptions'!$G8="Fixed Amount",'Operating Assumptions'!$H8/12*AB$22,IF('Operating Assumptions'!$G8="$/NSF",'Operating Assumptions'!$H8*'Operating Assumptions'!$D$12/12*AB$22,IF('Operating Assumptions'!$G8="N/A",0))))))))</f>
        <v>158780.07982102942</v>
      </c>
      <c r="AC41" s="431">
        <f>IF(AC$9&lt;'Operating Assumptions'!$D$53,0,IF(AC$6&gt;'Operating Assumptions'!$AA$8,0,IF('Operating Assumptions'!$G8="Unit Mix Tab",AC$38*AC$36,IF('Operating Assumptions'!$G8="$/Unit/Annual",'Operating Assumptions'!$H8*AC$36/12*AC$22,IF('Operating Assumptions'!$G8="$/Unit/Month",'Operating Assumptions'!$H8*AC$36*AC$22,IF('Operating Assumptions'!$G8="Fixed Amount",'Operating Assumptions'!$H8/12*AC$22,IF('Operating Assumptions'!$G8="$/NSF",'Operating Assumptions'!$H8*'Operating Assumptions'!$D$12/12*AC$22,IF('Operating Assumptions'!$G8="N/A",0))))))))</f>
        <v>197985.0378015305</v>
      </c>
      <c r="AD41" s="431">
        <f>IF(AD$9&lt;'Operating Assumptions'!$D$53,0,IF(AD$6&gt;'Operating Assumptions'!$AA$8,0,IF('Operating Assumptions'!$G8="Unit Mix Tab",AD$38*AD$36,IF('Operating Assumptions'!$G8="$/Unit/Annual",'Operating Assumptions'!$H8*AD$36/12*AD$22,IF('Operating Assumptions'!$G8="$/Unit/Month",'Operating Assumptions'!$H8*AD$36*AD$22,IF('Operating Assumptions'!$G8="Fixed Amount",'Operating Assumptions'!$H8/12*AD$22,IF('Operating Assumptions'!$G8="$/NSF",'Operating Assumptions'!$H8*'Operating Assumptions'!$D$12/12*AD$22,IF('Operating Assumptions'!$G8="N/A",0))))))))</f>
        <v>237189.99578203159</v>
      </c>
      <c r="AE41" s="431">
        <f>IF(AE$9&lt;'Operating Assumptions'!$D$53,0,IF(AE$6&gt;'Operating Assumptions'!$AA$8,0,IF('Operating Assumptions'!$G8="Unit Mix Tab",AE$38*AE$36,IF('Operating Assumptions'!$G8="$/Unit/Annual",'Operating Assumptions'!$H8*AE$36/12*AE$22,IF('Operating Assumptions'!$G8="$/Unit/Month",'Operating Assumptions'!$H8*AE$36*AE$22,IF('Operating Assumptions'!$G8="Fixed Amount",'Operating Assumptions'!$H8/12*AE$22,IF('Operating Assumptions'!$G8="$/NSF",'Operating Assumptions'!$H8*'Operating Assumptions'!$D$12/12*AE$22,IF('Operating Assumptions'!$G8="N/A",0))))))))</f>
        <v>245030.9873781318</v>
      </c>
      <c r="AF41" s="431">
        <f>IF(AF$9&lt;'Operating Assumptions'!$D$53,0,IF(AF$6&gt;'Operating Assumptions'!$AA$8,0,IF('Operating Assumptions'!$G8="Unit Mix Tab",AF$38*AF$36,IF('Operating Assumptions'!$G8="$/Unit/Annual",'Operating Assumptions'!$H8*AF$36/12*AF$22,IF('Operating Assumptions'!$G8="$/Unit/Month",'Operating Assumptions'!$H8*AF$36*AF$22,IF('Operating Assumptions'!$G8="Fixed Amount",'Operating Assumptions'!$H8/12*AF$22,IF('Operating Assumptions'!$G8="$/NSF",'Operating Assumptions'!$H8*'Operating Assumptions'!$D$12/12*AF$22,IF('Operating Assumptions'!$G8="N/A",0))))))))</f>
        <v>249931.60712569446</v>
      </c>
      <c r="AG41" s="431">
        <f>IF(AG$9&lt;'Operating Assumptions'!$D$53,0,IF(AG$6&gt;'Operating Assumptions'!$AA$8,0,IF('Operating Assumptions'!$G8="Unit Mix Tab",AG$38*AG$36,IF('Operating Assumptions'!$G8="$/Unit/Annual",'Operating Assumptions'!$H8*AG$36/12*AG$22,IF('Operating Assumptions'!$G8="$/Unit/Month",'Operating Assumptions'!$H8*AG$36*AG$22,IF('Operating Assumptions'!$G8="Fixed Amount",'Operating Assumptions'!$H8/12*AG$22,IF('Operating Assumptions'!$G8="$/NSF",'Operating Assumptions'!$H8*'Operating Assumptions'!$D$12/12*AG$22,IF('Operating Assumptions'!$G8="N/A",0))))))))</f>
        <v>249931.60712569446</v>
      </c>
      <c r="AH41" s="431">
        <f>IF(AH$9&lt;'Operating Assumptions'!$D$53,0,IF(AH$6&gt;'Operating Assumptions'!$AA$8,0,IF('Operating Assumptions'!$G8="Unit Mix Tab",AH$38*AH$36,IF('Operating Assumptions'!$G8="$/Unit/Annual",'Operating Assumptions'!$H8*AH$36/12*AH$22,IF('Operating Assumptions'!$G8="$/Unit/Month",'Operating Assumptions'!$H8*AH$36*AH$22,IF('Operating Assumptions'!$G8="Fixed Amount",'Operating Assumptions'!$H8/12*AH$22,IF('Operating Assumptions'!$G8="$/NSF",'Operating Assumptions'!$H8*'Operating Assumptions'!$D$12/12*AH$22,IF('Operating Assumptions'!$G8="N/A",0))))))))</f>
        <v>289920.66426580556</v>
      </c>
      <c r="AI41" s="431">
        <f>IF(AI$9&lt;'Operating Assumptions'!$D$53,0,IF(AI$6&gt;'Operating Assumptions'!$AA$8,0,IF('Operating Assumptions'!$G8="Unit Mix Tab",AI$38*AI$36,IF('Operating Assumptions'!$G8="$/Unit/Annual",'Operating Assumptions'!$H8*AI$36/12*AI$22,IF('Operating Assumptions'!$G8="$/Unit/Month",'Operating Assumptions'!$H8*AI$36*AI$22,IF('Operating Assumptions'!$G8="Fixed Amount",'Operating Assumptions'!$H8/12*AI$22,IF('Operating Assumptions'!$G8="$/NSF",'Operating Assumptions'!$H8*'Operating Assumptions'!$D$12/12*AI$22,IF('Operating Assumptions'!$G8="N/A",0))))))))</f>
        <v>329909.72140591667</v>
      </c>
      <c r="AJ41" s="431">
        <f>IF(AJ$9&lt;'Operating Assumptions'!$D$53,0,IF(AJ$6&gt;'Operating Assumptions'!$AA$8,0,IF('Operating Assumptions'!$G8="Unit Mix Tab",AJ$38*AJ$36,IF('Operating Assumptions'!$G8="$/Unit/Annual",'Operating Assumptions'!$H8*AJ$36/12*AJ$22,IF('Operating Assumptions'!$G8="$/Unit/Month",'Operating Assumptions'!$H8*AJ$36*AJ$22,IF('Operating Assumptions'!$G8="Fixed Amount",'Operating Assumptions'!$H8/12*AJ$22,IF('Operating Assumptions'!$G8="$/NSF",'Operating Assumptions'!$H8*'Operating Assumptions'!$D$12/12*AJ$22,IF('Operating Assumptions'!$G8="N/A",0))))))))</f>
        <v>369898.77854602778</v>
      </c>
      <c r="AK41" s="431">
        <f>IF(AK$9&lt;'Operating Assumptions'!$D$53,0,IF(AK$6&gt;'Operating Assumptions'!$AA$8,0,IF('Operating Assumptions'!$G8="Unit Mix Tab",AK$38*AK$36,IF('Operating Assumptions'!$G8="$/Unit/Annual",'Operating Assumptions'!$H8*AK$36/12*AK$22,IF('Operating Assumptions'!$G8="$/Unit/Month",'Operating Assumptions'!$H8*AK$36*AK$22,IF('Operating Assumptions'!$G8="Fixed Amount",'Operating Assumptions'!$H8/12*AK$22,IF('Operating Assumptions'!$G8="$/NSF",'Operating Assumptions'!$H8*'Operating Assumptions'!$D$12/12*AK$22,IF('Operating Assumptions'!$G8="N/A",0))))))))</f>
        <v>409887.83568613889</v>
      </c>
      <c r="AL41" s="431">
        <f>IF(AL$9&lt;'Operating Assumptions'!$D$53,0,IF(AL$6&gt;'Operating Assumptions'!$AA$8,0,IF('Operating Assumptions'!$G8="Unit Mix Tab",AL$38*AL$36,IF('Operating Assumptions'!$G8="$/Unit/Annual",'Operating Assumptions'!$H8*AL$36/12*AL$22,IF('Operating Assumptions'!$G8="$/Unit/Month",'Operating Assumptions'!$H8*AL$36*AL$22,IF('Operating Assumptions'!$G8="Fixed Amount",'Operating Assumptions'!$H8/12*AL$22,IF('Operating Assumptions'!$G8="$/NSF",'Operating Assumptions'!$H8*'Operating Assumptions'!$D$12/12*AL$22,IF('Operating Assumptions'!$G8="N/A",0))))))))</f>
        <v>449876.89282625</v>
      </c>
      <c r="AM41" s="431">
        <f>IF(AM$9&lt;'Operating Assumptions'!$D$53,0,IF(AM$6&gt;'Operating Assumptions'!$AA$8,0,IF('Operating Assumptions'!$G8="Unit Mix Tab",AM$38*AM$36,IF('Operating Assumptions'!$G8="$/Unit/Annual",'Operating Assumptions'!$H8*AM$36/12*AM$22,IF('Operating Assumptions'!$G8="$/Unit/Month",'Operating Assumptions'!$H8*AM$36*AM$22,IF('Operating Assumptions'!$G8="Fixed Amount",'Operating Assumptions'!$H8/12*AM$22,IF('Operating Assumptions'!$G8="$/NSF",'Operating Assumptions'!$H8*'Operating Assumptions'!$D$12/12*AM$22,IF('Operating Assumptions'!$G8="N/A",0))))))))</f>
        <v>479868.68568133336</v>
      </c>
      <c r="AN41" s="431">
        <f>IF(AN$9&lt;'Operating Assumptions'!$D$53,0,IF(AN$6&gt;'Operating Assumptions'!$AA$8,0,IF('Operating Assumptions'!$G8="Unit Mix Tab",AN$38*AN$36,IF('Operating Assumptions'!$G8="$/Unit/Annual",'Operating Assumptions'!$H8*AN$36/12*AN$22,IF('Operating Assumptions'!$G8="$/Unit/Month",'Operating Assumptions'!$H8*AN$36*AN$22,IF('Operating Assumptions'!$G8="Fixed Amount",'Operating Assumptions'!$H8/12*AN$22,IF('Operating Assumptions'!$G8="$/NSF",'Operating Assumptions'!$H8*'Operating Assumptions'!$D$12/12*AN$22,IF('Operating Assumptions'!$G8="N/A",0))))))))</f>
        <v>479868.68568133336</v>
      </c>
      <c r="AO41" s="431">
        <f>IF(AO$9&lt;'Operating Assumptions'!$D$53,0,IF(AO$6&gt;'Operating Assumptions'!$AA$8,0,IF('Operating Assumptions'!$G8="Unit Mix Tab",AO$38*AO$36,IF('Operating Assumptions'!$G8="$/Unit/Annual",'Operating Assumptions'!$H8*AO$36/12*AO$22,IF('Operating Assumptions'!$G8="$/Unit/Month",'Operating Assumptions'!$H8*AO$36*AO$22,IF('Operating Assumptions'!$G8="Fixed Amount",'Operating Assumptions'!$H8/12*AO$22,IF('Operating Assumptions'!$G8="$/NSF",'Operating Assumptions'!$H8*'Operating Assumptions'!$D$12/12*AO$22,IF('Operating Assumptions'!$G8="N/A",0))))))))</f>
        <v>479868.68568133336</v>
      </c>
      <c r="AP41" s="431">
        <f>IF(AP$9&lt;'Operating Assumptions'!$D$53,0,IF(AP$6&gt;'Operating Assumptions'!$AA$8,0,IF('Operating Assumptions'!$G8="Unit Mix Tab",AP$38*AP$36,IF('Operating Assumptions'!$G8="$/Unit/Annual",'Operating Assumptions'!$H8*AP$36/12*AP$22,IF('Operating Assumptions'!$G8="$/Unit/Month",'Operating Assumptions'!$H8*AP$36*AP$22,IF('Operating Assumptions'!$G8="Fixed Amount",'Operating Assumptions'!$H8/12*AP$22,IF('Operating Assumptions'!$G8="$/NSF",'Operating Assumptions'!$H8*'Operating Assumptions'!$D$12/12*AP$22,IF('Operating Assumptions'!$G8="N/A",0))))))))</f>
        <v>479868.68568133336</v>
      </c>
      <c r="AQ41" s="431">
        <f>IF(AQ$9&lt;'Operating Assumptions'!$D$53,0,IF(AQ$6&gt;'Operating Assumptions'!$AA$8,0,IF('Operating Assumptions'!$G8="Unit Mix Tab",AQ$38*AQ$36,IF('Operating Assumptions'!$G8="$/Unit/Annual",'Operating Assumptions'!$H8*AQ$36/12*AQ$22,IF('Operating Assumptions'!$G8="$/Unit/Month",'Operating Assumptions'!$H8*AQ$36*AQ$22,IF('Operating Assumptions'!$G8="Fixed Amount",'Operating Assumptions'!$H8/12*AQ$22,IF('Operating Assumptions'!$G8="$/NSF",'Operating Assumptions'!$H8*'Operating Assumptions'!$D$12/12*AQ$22,IF('Operating Assumptions'!$G8="N/A",0))))))))</f>
        <v>479868.68568133336</v>
      </c>
      <c r="AR41" s="431">
        <f>IF(AR$9&lt;'Operating Assumptions'!$D$53,0,IF(AR$6&gt;'Operating Assumptions'!$AA$8,0,IF('Operating Assumptions'!$G8="Unit Mix Tab",AR$38*AR$36,IF('Operating Assumptions'!$G8="$/Unit/Annual",'Operating Assumptions'!$H8*AR$36/12*AR$22,IF('Operating Assumptions'!$G8="$/Unit/Month",'Operating Assumptions'!$H8*AR$36*AR$22,IF('Operating Assumptions'!$G8="Fixed Amount",'Operating Assumptions'!$H8/12*AR$22,IF('Operating Assumptions'!$G8="$/NSF",'Operating Assumptions'!$H8*'Operating Assumptions'!$D$12/12*AR$22,IF('Operating Assumptions'!$G8="N/A",0))))))))</f>
        <v>489277.87559665361</v>
      </c>
      <c r="AS41" s="431">
        <f>IF(AS$9&lt;'Operating Assumptions'!$D$53,0,IF(AS$6&gt;'Operating Assumptions'!$AA$8,0,IF('Operating Assumptions'!$G8="Unit Mix Tab",AS$38*AS$36,IF('Operating Assumptions'!$G8="$/Unit/Annual",'Operating Assumptions'!$H8*AS$36/12*AS$22,IF('Operating Assumptions'!$G8="$/Unit/Month",'Operating Assumptions'!$H8*AS$36*AS$22,IF('Operating Assumptions'!$G8="Fixed Amount",'Operating Assumptions'!$H8/12*AS$22,IF('Operating Assumptions'!$G8="$/NSF",'Operating Assumptions'!$H8*'Operating Assumptions'!$D$12/12*AS$22,IF('Operating Assumptions'!$G8="N/A",0))))))))</f>
        <v>489277.87559665361</v>
      </c>
      <c r="AT41" s="431">
        <f>IF(AT$9&lt;'Operating Assumptions'!$D$53,0,IF(AT$6&gt;'Operating Assumptions'!$AA$8,0,IF('Operating Assumptions'!$G8="Unit Mix Tab",AT$38*AT$36,IF('Operating Assumptions'!$G8="$/Unit/Annual",'Operating Assumptions'!$H8*AT$36/12*AT$22,IF('Operating Assumptions'!$G8="$/Unit/Month",'Operating Assumptions'!$H8*AT$36*AT$22,IF('Operating Assumptions'!$G8="Fixed Amount",'Operating Assumptions'!$H8/12*AT$22,IF('Operating Assumptions'!$G8="$/NSF",'Operating Assumptions'!$H8*'Operating Assumptions'!$D$12/12*AT$22,IF('Operating Assumptions'!$G8="N/A",0))))))))</f>
        <v>489277.87559665361</v>
      </c>
      <c r="AU41" s="431">
        <f>IF(AU$9&lt;'Operating Assumptions'!$D$53,0,IF(AU$6&gt;'Operating Assumptions'!$AA$8,0,IF('Operating Assumptions'!$G8="Unit Mix Tab",AU$38*AU$36,IF('Operating Assumptions'!$G8="$/Unit/Annual",'Operating Assumptions'!$H8*AU$36/12*AU$22,IF('Operating Assumptions'!$G8="$/Unit/Month",'Operating Assumptions'!$H8*AU$36*AU$22,IF('Operating Assumptions'!$G8="Fixed Amount",'Operating Assumptions'!$H8/12*AU$22,IF('Operating Assumptions'!$G8="$/NSF",'Operating Assumptions'!$H8*'Operating Assumptions'!$D$12/12*AU$22,IF('Operating Assumptions'!$G8="N/A",0))))))))</f>
        <v>489277.87559665361</v>
      </c>
      <c r="AV41" s="431">
        <f>IF(AV$9&lt;'Operating Assumptions'!$D$53,0,IF(AV$6&gt;'Operating Assumptions'!$AA$8,0,IF('Operating Assumptions'!$G8="Unit Mix Tab",AV$38*AV$36,IF('Operating Assumptions'!$G8="$/Unit/Annual",'Operating Assumptions'!$H8*AV$36/12*AV$22,IF('Operating Assumptions'!$G8="$/Unit/Month",'Operating Assumptions'!$H8*AV$36*AV$22,IF('Operating Assumptions'!$G8="Fixed Amount",'Operating Assumptions'!$H8/12*AV$22,IF('Operating Assumptions'!$G8="$/NSF",'Operating Assumptions'!$H8*'Operating Assumptions'!$D$12/12*AV$22,IF('Operating Assumptions'!$G8="N/A",0))))))))</f>
        <v>489277.87559665361</v>
      </c>
      <c r="AW41" s="431">
        <f>IF(AW$9&lt;'Operating Assumptions'!$D$53,0,IF(AW$6&gt;'Operating Assumptions'!$AA$8,0,IF('Operating Assumptions'!$G8="Unit Mix Tab",AW$38*AW$36,IF('Operating Assumptions'!$G8="$/Unit/Annual",'Operating Assumptions'!$H8*AW$36/12*AW$22,IF('Operating Assumptions'!$G8="$/Unit/Month",'Operating Assumptions'!$H8*AW$36*AW$22,IF('Operating Assumptions'!$G8="Fixed Amount",'Operating Assumptions'!$H8/12*AW$22,IF('Operating Assumptions'!$G8="$/NSF",'Operating Assumptions'!$H8*'Operating Assumptions'!$D$12/12*AW$22,IF('Operating Assumptions'!$G8="N/A",0))))))))</f>
        <v>489277.87559665361</v>
      </c>
      <c r="AX41" s="431">
        <f>IF(AX$9&lt;'Operating Assumptions'!$D$53,0,IF(AX$6&gt;'Operating Assumptions'!$AA$8,0,IF('Operating Assumptions'!$G8="Unit Mix Tab",AX$38*AX$36,IF('Operating Assumptions'!$G8="$/Unit/Annual",'Operating Assumptions'!$H8*AX$36/12*AX$22,IF('Operating Assumptions'!$G8="$/Unit/Month",'Operating Assumptions'!$H8*AX$36*AX$22,IF('Operating Assumptions'!$G8="Fixed Amount",'Operating Assumptions'!$H8/12*AX$22,IF('Operating Assumptions'!$G8="$/NSF",'Operating Assumptions'!$H8*'Operating Assumptions'!$D$12/12*AX$22,IF('Operating Assumptions'!$G8="N/A",0))))))))</f>
        <v>489277.87559665361</v>
      </c>
      <c r="AY41" s="431">
        <f>IF(AY$9&lt;'Operating Assumptions'!$D$53,0,IF(AY$6&gt;'Operating Assumptions'!$AA$8,0,IF('Operating Assumptions'!$G8="Unit Mix Tab",AY$38*AY$36,IF('Operating Assumptions'!$G8="$/Unit/Annual",'Operating Assumptions'!$H8*AY$36/12*AY$22,IF('Operating Assumptions'!$G8="$/Unit/Month",'Operating Assumptions'!$H8*AY$36*AY$22,IF('Operating Assumptions'!$G8="Fixed Amount",'Operating Assumptions'!$H8/12*AY$22,IF('Operating Assumptions'!$G8="$/NSF",'Operating Assumptions'!$H8*'Operating Assumptions'!$D$12/12*AY$22,IF('Operating Assumptions'!$G8="N/A",0))))))))</f>
        <v>489277.87559665361</v>
      </c>
      <c r="AZ41" s="431">
        <f>IF(AZ$9&lt;'Operating Assumptions'!$D$53,0,IF(AZ$6&gt;'Operating Assumptions'!$AA$8,0,IF('Operating Assumptions'!$G8="Unit Mix Tab",AZ$38*AZ$36,IF('Operating Assumptions'!$G8="$/Unit/Annual",'Operating Assumptions'!$H8*AZ$36/12*AZ$22,IF('Operating Assumptions'!$G8="$/Unit/Month",'Operating Assumptions'!$H8*AZ$36*AZ$22,IF('Operating Assumptions'!$G8="Fixed Amount",'Operating Assumptions'!$H8/12*AZ$22,IF('Operating Assumptions'!$G8="$/NSF",'Operating Assumptions'!$H8*'Operating Assumptions'!$D$12/12*AZ$22,IF('Operating Assumptions'!$G8="N/A",0))))))))</f>
        <v>489277.87559665361</v>
      </c>
      <c r="BA41" s="431">
        <f>IF(BA$9&lt;'Operating Assumptions'!$D$53,0,IF(BA$6&gt;'Operating Assumptions'!$AA$8,0,IF('Operating Assumptions'!$G8="Unit Mix Tab",BA$38*BA$36,IF('Operating Assumptions'!$G8="$/Unit/Annual",'Operating Assumptions'!$H8*BA$36/12*BA$22,IF('Operating Assumptions'!$G8="$/Unit/Month",'Operating Assumptions'!$H8*BA$36*BA$22,IF('Operating Assumptions'!$G8="Fixed Amount",'Operating Assumptions'!$H8/12*BA$22,IF('Operating Assumptions'!$G8="$/NSF",'Operating Assumptions'!$H8*'Operating Assumptions'!$D$12/12*BA$22,IF('Operating Assumptions'!$G8="N/A",0))))))))</f>
        <v>489277.87559665361</v>
      </c>
      <c r="BB41" s="431">
        <f>IF(BB$9&lt;'Operating Assumptions'!$D$53,0,IF(BB$6&gt;'Operating Assumptions'!$AA$8,0,IF('Operating Assumptions'!$G8="Unit Mix Tab",BB$38*BB$36,IF('Operating Assumptions'!$G8="$/Unit/Annual",'Operating Assumptions'!$H8*BB$36/12*BB$22,IF('Operating Assumptions'!$G8="$/Unit/Month",'Operating Assumptions'!$H8*BB$36*BB$22,IF('Operating Assumptions'!$G8="Fixed Amount",'Operating Assumptions'!$H8/12*BB$22,IF('Operating Assumptions'!$G8="$/NSF",'Operating Assumptions'!$H8*'Operating Assumptions'!$D$12/12*BB$22,IF('Operating Assumptions'!$G8="N/A",0))))))))</f>
        <v>489277.87559665361</v>
      </c>
      <c r="BC41" s="431">
        <f>IF(BC$9&lt;'Operating Assumptions'!$D$53,0,IF(BC$6&gt;'Operating Assumptions'!$AA$8,0,IF('Operating Assumptions'!$G8="Unit Mix Tab",BC$38*BC$36,IF('Operating Assumptions'!$G8="$/Unit/Annual",'Operating Assumptions'!$H8*BC$36/12*BC$22,IF('Operating Assumptions'!$G8="$/Unit/Month",'Operating Assumptions'!$H8*BC$36*BC$22,IF('Operating Assumptions'!$G8="Fixed Amount",'Operating Assumptions'!$H8/12*BC$22,IF('Operating Assumptions'!$G8="$/NSF",'Operating Assumptions'!$H8*'Operating Assumptions'!$D$12/12*BC$22,IF('Operating Assumptions'!$G8="N/A",0))))))))</f>
        <v>489277.87559665361</v>
      </c>
      <c r="BD41" s="431">
        <f>IF(BD$9&lt;'Operating Assumptions'!$D$53,0,IF(BD$6&gt;'Operating Assumptions'!$AA$8,0,IF('Operating Assumptions'!$G8="Unit Mix Tab",BD$38*BD$36,IF('Operating Assumptions'!$G8="$/Unit/Annual",'Operating Assumptions'!$H8*BD$36/12*BD$22,IF('Operating Assumptions'!$G8="$/Unit/Month",'Operating Assumptions'!$H8*BD$36*BD$22,IF('Operating Assumptions'!$G8="Fixed Amount",'Operating Assumptions'!$H8/12*BD$22,IF('Operating Assumptions'!$G8="$/NSF",'Operating Assumptions'!$H8*'Operating Assumptions'!$D$12/12*BD$22,IF('Operating Assumptions'!$G8="N/A",0))))))))</f>
        <v>498687.06551197387</v>
      </c>
      <c r="BE41" s="431">
        <f>IF(BE$9&lt;'Operating Assumptions'!$D$53,0,IF(BE$6&gt;'Operating Assumptions'!$AA$8,0,IF('Operating Assumptions'!$G8="Unit Mix Tab",BE$38*BE$36,IF('Operating Assumptions'!$G8="$/Unit/Annual",'Operating Assumptions'!$H8*BE$36/12*BE$22,IF('Operating Assumptions'!$G8="$/Unit/Month",'Operating Assumptions'!$H8*BE$36*BE$22,IF('Operating Assumptions'!$G8="Fixed Amount",'Operating Assumptions'!$H8/12*BE$22,IF('Operating Assumptions'!$G8="$/NSF",'Operating Assumptions'!$H8*'Operating Assumptions'!$D$12/12*BE$22,IF('Operating Assumptions'!$G8="N/A",0))))))))</f>
        <v>498687.06551197387</v>
      </c>
      <c r="BF41" s="431">
        <f>IF(BF$9&lt;'Operating Assumptions'!$D$53,0,IF(BF$6&gt;'Operating Assumptions'!$AA$8,0,IF('Operating Assumptions'!$G8="Unit Mix Tab",BF$38*BF$36,IF('Operating Assumptions'!$G8="$/Unit/Annual",'Operating Assumptions'!$H8*BF$36/12*BF$22,IF('Operating Assumptions'!$G8="$/Unit/Month",'Operating Assumptions'!$H8*BF$36*BF$22,IF('Operating Assumptions'!$G8="Fixed Amount",'Operating Assumptions'!$H8/12*BF$22,IF('Operating Assumptions'!$G8="$/NSF",'Operating Assumptions'!$H8*'Operating Assumptions'!$D$12/12*BF$22,IF('Operating Assumptions'!$G8="N/A",0))))))))</f>
        <v>498687.06551197387</v>
      </c>
      <c r="BG41" s="431">
        <f>IF(BG$9&lt;'Operating Assumptions'!$D$53,0,IF(BG$6&gt;'Operating Assumptions'!$AA$8,0,IF('Operating Assumptions'!$G8="Unit Mix Tab",BG$38*BG$36,IF('Operating Assumptions'!$G8="$/Unit/Annual",'Operating Assumptions'!$H8*BG$36/12*BG$22,IF('Operating Assumptions'!$G8="$/Unit/Month",'Operating Assumptions'!$H8*BG$36*BG$22,IF('Operating Assumptions'!$G8="Fixed Amount",'Operating Assumptions'!$H8/12*BG$22,IF('Operating Assumptions'!$G8="$/NSF",'Operating Assumptions'!$H8*'Operating Assumptions'!$D$12/12*BG$22,IF('Operating Assumptions'!$G8="N/A",0))))))))</f>
        <v>498687.06551197387</v>
      </c>
      <c r="BH41" s="431">
        <f>IF(BH$9&lt;'Operating Assumptions'!$D$53,0,IF(BH$6&gt;'Operating Assumptions'!$AA$8,0,IF('Operating Assumptions'!$G8="Unit Mix Tab",BH$38*BH$36,IF('Operating Assumptions'!$G8="$/Unit/Annual",'Operating Assumptions'!$H8*BH$36/12*BH$22,IF('Operating Assumptions'!$G8="$/Unit/Month",'Operating Assumptions'!$H8*BH$36*BH$22,IF('Operating Assumptions'!$G8="Fixed Amount",'Operating Assumptions'!$H8/12*BH$22,IF('Operating Assumptions'!$G8="$/NSF",'Operating Assumptions'!$H8*'Operating Assumptions'!$D$12/12*BH$22,IF('Operating Assumptions'!$G8="N/A",0))))))))</f>
        <v>498687.06551197387</v>
      </c>
      <c r="BI41" s="431">
        <f>IF(BI$9&lt;'Operating Assumptions'!$D$53,0,IF(BI$6&gt;'Operating Assumptions'!$AA$8,0,IF('Operating Assumptions'!$G8="Unit Mix Tab",BI$38*BI$36,IF('Operating Assumptions'!$G8="$/Unit/Annual",'Operating Assumptions'!$H8*BI$36/12*BI$22,IF('Operating Assumptions'!$G8="$/Unit/Month",'Operating Assumptions'!$H8*BI$36*BI$22,IF('Operating Assumptions'!$G8="Fixed Amount",'Operating Assumptions'!$H8/12*BI$22,IF('Operating Assumptions'!$G8="$/NSF",'Operating Assumptions'!$H8*'Operating Assumptions'!$D$12/12*BI$22,IF('Operating Assumptions'!$G8="N/A",0))))))))</f>
        <v>498687.06551197387</v>
      </c>
      <c r="BJ41" s="431">
        <f>IF(BJ$9&lt;'Operating Assumptions'!$D$53,0,IF(BJ$6&gt;'Operating Assumptions'!$AA$8,0,IF('Operating Assumptions'!$G8="Unit Mix Tab",BJ$38*BJ$36,IF('Operating Assumptions'!$G8="$/Unit/Annual",'Operating Assumptions'!$H8*BJ$36/12*BJ$22,IF('Operating Assumptions'!$G8="$/Unit/Month",'Operating Assumptions'!$H8*BJ$36*BJ$22,IF('Operating Assumptions'!$G8="Fixed Amount",'Operating Assumptions'!$H8/12*BJ$22,IF('Operating Assumptions'!$G8="$/NSF",'Operating Assumptions'!$H8*'Operating Assumptions'!$D$12/12*BJ$22,IF('Operating Assumptions'!$G8="N/A",0))))))))</f>
        <v>498687.06551197387</v>
      </c>
      <c r="BK41" s="431">
        <f>IF(BK$9&lt;'Operating Assumptions'!$D$53,0,IF(BK$6&gt;'Operating Assumptions'!$AA$8,0,IF('Operating Assumptions'!$G8="Unit Mix Tab",BK$38*BK$36,IF('Operating Assumptions'!$G8="$/Unit/Annual",'Operating Assumptions'!$H8*BK$36/12*BK$22,IF('Operating Assumptions'!$G8="$/Unit/Month",'Operating Assumptions'!$H8*BK$36*BK$22,IF('Operating Assumptions'!$G8="Fixed Amount",'Operating Assumptions'!$H8/12*BK$22,IF('Operating Assumptions'!$G8="$/NSF",'Operating Assumptions'!$H8*'Operating Assumptions'!$D$12/12*BK$22,IF('Operating Assumptions'!$G8="N/A",0))))))))</f>
        <v>498687.06551197387</v>
      </c>
      <c r="BL41" s="431">
        <f>IF(BL$9&lt;'Operating Assumptions'!$D$53,0,IF(BL$6&gt;'Operating Assumptions'!$AA$8,0,IF('Operating Assumptions'!$G8="Unit Mix Tab",BL$38*BL$36,IF('Operating Assumptions'!$G8="$/Unit/Annual",'Operating Assumptions'!$H8*BL$36/12*BL$22,IF('Operating Assumptions'!$G8="$/Unit/Month",'Operating Assumptions'!$H8*BL$36*BL$22,IF('Operating Assumptions'!$G8="Fixed Amount",'Operating Assumptions'!$H8/12*BL$22,IF('Operating Assumptions'!$G8="$/NSF",'Operating Assumptions'!$H8*'Operating Assumptions'!$D$12/12*BL$22,IF('Operating Assumptions'!$G8="N/A",0))))))))</f>
        <v>498687.06551197387</v>
      </c>
      <c r="BM41" s="431">
        <f>IF(BM$9&lt;'Operating Assumptions'!$D$53,0,IF(BM$6&gt;'Operating Assumptions'!$AA$8,0,IF('Operating Assumptions'!$G8="Unit Mix Tab",BM$38*BM$36,IF('Operating Assumptions'!$G8="$/Unit/Annual",'Operating Assumptions'!$H8*BM$36/12*BM$22,IF('Operating Assumptions'!$G8="$/Unit/Month",'Operating Assumptions'!$H8*BM$36*BM$22,IF('Operating Assumptions'!$G8="Fixed Amount",'Operating Assumptions'!$H8/12*BM$22,IF('Operating Assumptions'!$G8="$/NSF",'Operating Assumptions'!$H8*'Operating Assumptions'!$D$12/12*BM$22,IF('Operating Assumptions'!$G8="N/A",0))))))))</f>
        <v>498687.06551197387</v>
      </c>
      <c r="BN41" s="431">
        <f>IF(BN$9&lt;'Operating Assumptions'!$D$53,0,IF(BN$6&gt;'Operating Assumptions'!$AA$8,0,IF('Operating Assumptions'!$G8="Unit Mix Tab",BN$38*BN$36,IF('Operating Assumptions'!$G8="$/Unit/Annual",'Operating Assumptions'!$H8*BN$36/12*BN$22,IF('Operating Assumptions'!$G8="$/Unit/Month",'Operating Assumptions'!$H8*BN$36*BN$22,IF('Operating Assumptions'!$G8="Fixed Amount",'Operating Assumptions'!$H8/12*BN$22,IF('Operating Assumptions'!$G8="$/NSF",'Operating Assumptions'!$H8*'Operating Assumptions'!$D$12/12*BN$22,IF('Operating Assumptions'!$G8="N/A",0))))))))</f>
        <v>498687.06551197387</v>
      </c>
      <c r="BO41" s="431">
        <f>IF(BO$9&lt;'Operating Assumptions'!$D$53,0,IF(BO$6&gt;'Operating Assumptions'!$AA$8,0,IF('Operating Assumptions'!$G8="Unit Mix Tab",BO$38*BO$36,IF('Operating Assumptions'!$G8="$/Unit/Annual",'Operating Assumptions'!$H8*BO$36/12*BO$22,IF('Operating Assumptions'!$G8="$/Unit/Month",'Operating Assumptions'!$H8*BO$36*BO$22,IF('Operating Assumptions'!$G8="Fixed Amount",'Operating Assumptions'!$H8/12*BO$22,IF('Operating Assumptions'!$G8="$/NSF",'Operating Assumptions'!$H8*'Operating Assumptions'!$D$12/12*BO$22,IF('Operating Assumptions'!$G8="N/A",0))))))))</f>
        <v>498687.06551197387</v>
      </c>
      <c r="BP41" s="431">
        <f>IF(BP$9&lt;'Operating Assumptions'!$D$53,0,IF(BP$6&gt;'Operating Assumptions'!$AA$8,0,IF('Operating Assumptions'!$G8="Unit Mix Tab",BP$38*BP$36,IF('Operating Assumptions'!$G8="$/Unit/Annual",'Operating Assumptions'!$H8*BP$36/12*BP$22,IF('Operating Assumptions'!$G8="$/Unit/Month",'Operating Assumptions'!$H8*BP$36*BP$22,IF('Operating Assumptions'!$G8="Fixed Amount",'Operating Assumptions'!$H8/12*BP$22,IF('Operating Assumptions'!$G8="$/NSF",'Operating Assumptions'!$H8*'Operating Assumptions'!$D$12/12*BP$22,IF('Operating Assumptions'!$G8="N/A",0))))))))</f>
        <v>508096.25542729412</v>
      </c>
      <c r="BQ41" s="431">
        <f>IF(BQ$9&lt;'Operating Assumptions'!$D$53,0,IF(BQ$6&gt;'Operating Assumptions'!$AA$8,0,IF('Operating Assumptions'!$G8="Unit Mix Tab",BQ$38*BQ$36,IF('Operating Assumptions'!$G8="$/Unit/Annual",'Operating Assumptions'!$H8*BQ$36/12*BQ$22,IF('Operating Assumptions'!$G8="$/Unit/Month",'Operating Assumptions'!$H8*BQ$36*BQ$22,IF('Operating Assumptions'!$G8="Fixed Amount",'Operating Assumptions'!$H8/12*BQ$22,IF('Operating Assumptions'!$G8="$/NSF",'Operating Assumptions'!$H8*'Operating Assumptions'!$D$12/12*BQ$22,IF('Operating Assumptions'!$G8="N/A",0))))))))</f>
        <v>508096.25542729412</v>
      </c>
      <c r="BR41" s="431">
        <f>IF(BR$9&lt;'Operating Assumptions'!$D$53,0,IF(BR$6&gt;'Operating Assumptions'!$AA$8,0,IF('Operating Assumptions'!$G8="Unit Mix Tab",BR$38*BR$36,IF('Operating Assumptions'!$G8="$/Unit/Annual",'Operating Assumptions'!$H8*BR$36/12*BR$22,IF('Operating Assumptions'!$G8="$/Unit/Month",'Operating Assumptions'!$H8*BR$36*BR$22,IF('Operating Assumptions'!$G8="Fixed Amount",'Operating Assumptions'!$H8/12*BR$22,IF('Operating Assumptions'!$G8="$/NSF",'Operating Assumptions'!$H8*'Operating Assumptions'!$D$12/12*BR$22,IF('Operating Assumptions'!$G8="N/A",0))))))))</f>
        <v>508096.25542729412</v>
      </c>
      <c r="BS41" s="431">
        <f>IF(BS$9&lt;'Operating Assumptions'!$D$53,0,IF(BS$6&gt;'Operating Assumptions'!$AA$8,0,IF('Operating Assumptions'!$G8="Unit Mix Tab",BS$38*BS$36,IF('Operating Assumptions'!$G8="$/Unit/Annual",'Operating Assumptions'!$H8*BS$36/12*BS$22,IF('Operating Assumptions'!$G8="$/Unit/Month",'Operating Assumptions'!$H8*BS$36*BS$22,IF('Operating Assumptions'!$G8="Fixed Amount",'Operating Assumptions'!$H8/12*BS$22,IF('Operating Assumptions'!$G8="$/NSF",'Operating Assumptions'!$H8*'Operating Assumptions'!$D$12/12*BS$22,IF('Operating Assumptions'!$G8="N/A",0))))))))</f>
        <v>508096.25542729412</v>
      </c>
      <c r="BT41" s="431">
        <f>IF(BT$9&lt;'Operating Assumptions'!$D$53,0,IF(BT$6&gt;'Operating Assumptions'!$AA$8,0,IF('Operating Assumptions'!$G8="Unit Mix Tab",BT$38*BT$36,IF('Operating Assumptions'!$G8="$/Unit/Annual",'Operating Assumptions'!$H8*BT$36/12*BT$22,IF('Operating Assumptions'!$G8="$/Unit/Month",'Operating Assumptions'!$H8*BT$36*BT$22,IF('Operating Assumptions'!$G8="Fixed Amount",'Operating Assumptions'!$H8/12*BT$22,IF('Operating Assumptions'!$G8="$/NSF",'Operating Assumptions'!$H8*'Operating Assumptions'!$D$12/12*BT$22,IF('Operating Assumptions'!$G8="N/A",0))))))))</f>
        <v>508096.25542729412</v>
      </c>
      <c r="BU41" s="431">
        <f>IF(BU$9&lt;'Operating Assumptions'!$D$53,0,IF(BU$6&gt;'Operating Assumptions'!$AA$8,0,IF('Operating Assumptions'!$G8="Unit Mix Tab",BU$38*BU$36,IF('Operating Assumptions'!$G8="$/Unit/Annual",'Operating Assumptions'!$H8*BU$36/12*BU$22,IF('Operating Assumptions'!$G8="$/Unit/Month",'Operating Assumptions'!$H8*BU$36*BU$22,IF('Operating Assumptions'!$G8="Fixed Amount",'Operating Assumptions'!$H8/12*BU$22,IF('Operating Assumptions'!$G8="$/NSF",'Operating Assumptions'!$H8*'Operating Assumptions'!$D$12/12*BU$22,IF('Operating Assumptions'!$G8="N/A",0))))))))</f>
        <v>508096.25542729412</v>
      </c>
      <c r="BV41" s="431">
        <f>IF(BV$9&lt;'Operating Assumptions'!$D$53,0,IF(BV$6&gt;'Operating Assumptions'!$AA$8,0,IF('Operating Assumptions'!$G8="Unit Mix Tab",BV$38*BV$36,IF('Operating Assumptions'!$G8="$/Unit/Annual",'Operating Assumptions'!$H8*BV$36/12*BV$22,IF('Operating Assumptions'!$G8="$/Unit/Month",'Operating Assumptions'!$H8*BV$36*BV$22,IF('Operating Assumptions'!$G8="Fixed Amount",'Operating Assumptions'!$H8/12*BV$22,IF('Operating Assumptions'!$G8="$/NSF",'Operating Assumptions'!$H8*'Operating Assumptions'!$D$12/12*BV$22,IF('Operating Assumptions'!$G8="N/A",0))))))))</f>
        <v>508096.25542729412</v>
      </c>
      <c r="BW41" s="431">
        <f>IF(BW$9&lt;'Operating Assumptions'!$D$53,0,IF(BW$6&gt;'Operating Assumptions'!$AA$8,0,IF('Operating Assumptions'!$G8="Unit Mix Tab",BW$38*BW$36,IF('Operating Assumptions'!$G8="$/Unit/Annual",'Operating Assumptions'!$H8*BW$36/12*BW$22,IF('Operating Assumptions'!$G8="$/Unit/Month",'Operating Assumptions'!$H8*BW$36*BW$22,IF('Operating Assumptions'!$G8="Fixed Amount",'Operating Assumptions'!$H8/12*BW$22,IF('Operating Assumptions'!$G8="$/NSF",'Operating Assumptions'!$H8*'Operating Assumptions'!$D$12/12*BW$22,IF('Operating Assumptions'!$G8="N/A",0))))))))</f>
        <v>508096.25542729412</v>
      </c>
      <c r="BX41" s="431">
        <f>IF(BX$9&lt;'Operating Assumptions'!$D$53,0,IF(BX$6&gt;'Operating Assumptions'!$AA$8,0,IF('Operating Assumptions'!$G8="Unit Mix Tab",BX$38*BX$36,IF('Operating Assumptions'!$G8="$/Unit/Annual",'Operating Assumptions'!$H8*BX$36/12*BX$22,IF('Operating Assumptions'!$G8="$/Unit/Month",'Operating Assumptions'!$H8*BX$36*BX$22,IF('Operating Assumptions'!$G8="Fixed Amount",'Operating Assumptions'!$H8/12*BX$22,IF('Operating Assumptions'!$G8="$/NSF",'Operating Assumptions'!$H8*'Operating Assumptions'!$D$12/12*BX$22,IF('Operating Assumptions'!$G8="N/A",0))))))))</f>
        <v>508096.25542729412</v>
      </c>
      <c r="BY41" s="431">
        <f>IF(BY$9&lt;'Operating Assumptions'!$D$53,0,IF(BY$6&gt;'Operating Assumptions'!$AA$8,0,IF('Operating Assumptions'!$G8="Unit Mix Tab",BY$38*BY$36,IF('Operating Assumptions'!$G8="$/Unit/Annual",'Operating Assumptions'!$H8*BY$36/12*BY$22,IF('Operating Assumptions'!$G8="$/Unit/Month",'Operating Assumptions'!$H8*BY$36*BY$22,IF('Operating Assumptions'!$G8="Fixed Amount",'Operating Assumptions'!$H8/12*BY$22,IF('Operating Assumptions'!$G8="$/NSF",'Operating Assumptions'!$H8*'Operating Assumptions'!$D$12/12*BY$22,IF('Operating Assumptions'!$G8="N/A",0))))))))</f>
        <v>508096.25542729412</v>
      </c>
      <c r="BZ41" s="431">
        <f>IF(BZ$9&lt;'Operating Assumptions'!$D$53,0,IF(BZ$6&gt;'Operating Assumptions'!$AA$8,0,IF('Operating Assumptions'!$G8="Unit Mix Tab",BZ$38*BZ$36,IF('Operating Assumptions'!$G8="$/Unit/Annual",'Operating Assumptions'!$H8*BZ$36/12*BZ$22,IF('Operating Assumptions'!$G8="$/Unit/Month",'Operating Assumptions'!$H8*BZ$36*BZ$22,IF('Operating Assumptions'!$G8="Fixed Amount",'Operating Assumptions'!$H8/12*BZ$22,IF('Operating Assumptions'!$G8="$/NSF",'Operating Assumptions'!$H8*'Operating Assumptions'!$D$12/12*BZ$22,IF('Operating Assumptions'!$G8="N/A",0))))))))</f>
        <v>508096.25542729412</v>
      </c>
      <c r="CA41" s="431">
        <f>IF(CA$9&lt;'Operating Assumptions'!$D$53,0,IF(CA$6&gt;'Operating Assumptions'!$AA$8,0,IF('Operating Assumptions'!$G8="Unit Mix Tab",CA$38*CA$36,IF('Operating Assumptions'!$G8="$/Unit/Annual",'Operating Assumptions'!$H8*CA$36/12*CA$22,IF('Operating Assumptions'!$G8="$/Unit/Month",'Operating Assumptions'!$H8*CA$36*CA$22,IF('Operating Assumptions'!$G8="Fixed Amount",'Operating Assumptions'!$H8/12*CA$22,IF('Operating Assumptions'!$G8="$/NSF",'Operating Assumptions'!$H8*'Operating Assumptions'!$D$12/12*CA$22,IF('Operating Assumptions'!$G8="N/A",0))))))))</f>
        <v>508096.25542729412</v>
      </c>
      <c r="CB41" s="431">
        <f>IF(CB$9&lt;'Operating Assumptions'!$D$53,0,IF(CB$6&gt;'Operating Assumptions'!$AA$8,0,IF('Operating Assumptions'!$G8="Unit Mix Tab",CB$38*CB$36,IF('Operating Assumptions'!$G8="$/Unit/Annual",'Operating Assumptions'!$H8*CB$36/12*CB$22,IF('Operating Assumptions'!$G8="$/Unit/Month",'Operating Assumptions'!$H8*CB$36*CB$22,IF('Operating Assumptions'!$G8="Fixed Amount",'Operating Assumptions'!$H8/12*CB$22,IF('Operating Assumptions'!$G8="$/NSF",'Operating Assumptions'!$H8*'Operating Assumptions'!$D$12/12*CB$22,IF('Operating Assumptions'!$G8="N/A",0))))))))</f>
        <v>517505.44534261443</v>
      </c>
      <c r="CC41" s="431">
        <f>IF(CC$9&lt;'Operating Assumptions'!$D$53,0,IF(CC$6&gt;'Operating Assumptions'!$AA$8,0,IF('Operating Assumptions'!$G8="Unit Mix Tab",CC$38*CC$36,IF('Operating Assumptions'!$G8="$/Unit/Annual",'Operating Assumptions'!$H8*CC$36/12*CC$22,IF('Operating Assumptions'!$G8="$/Unit/Month",'Operating Assumptions'!$H8*CC$36*CC$22,IF('Operating Assumptions'!$G8="Fixed Amount",'Operating Assumptions'!$H8/12*CC$22,IF('Operating Assumptions'!$G8="$/NSF",'Operating Assumptions'!$H8*'Operating Assumptions'!$D$12/12*CC$22,IF('Operating Assumptions'!$G8="N/A",0))))))))</f>
        <v>517505.44534261443</v>
      </c>
      <c r="CD41" s="431">
        <f>IF(CD$9&lt;'Operating Assumptions'!$D$53,0,IF(CD$6&gt;'Operating Assumptions'!$AA$8,0,IF('Operating Assumptions'!$G8="Unit Mix Tab",CD$38*CD$36,IF('Operating Assumptions'!$G8="$/Unit/Annual",'Operating Assumptions'!$H8*CD$36/12*CD$22,IF('Operating Assumptions'!$G8="$/Unit/Month",'Operating Assumptions'!$H8*CD$36*CD$22,IF('Operating Assumptions'!$G8="Fixed Amount",'Operating Assumptions'!$H8/12*CD$22,IF('Operating Assumptions'!$G8="$/NSF",'Operating Assumptions'!$H8*'Operating Assumptions'!$D$12/12*CD$22,IF('Operating Assumptions'!$G8="N/A",0))))))))</f>
        <v>517505.44534261443</v>
      </c>
      <c r="CE41" s="431">
        <f>IF(CE$9&lt;'Operating Assumptions'!$D$53,0,IF(CE$6&gt;'Operating Assumptions'!$AA$8,0,IF('Operating Assumptions'!$G8="Unit Mix Tab",CE$38*CE$36,IF('Operating Assumptions'!$G8="$/Unit/Annual",'Operating Assumptions'!$H8*CE$36/12*CE$22,IF('Operating Assumptions'!$G8="$/Unit/Month",'Operating Assumptions'!$H8*CE$36*CE$22,IF('Operating Assumptions'!$G8="Fixed Amount",'Operating Assumptions'!$H8/12*CE$22,IF('Operating Assumptions'!$G8="$/NSF",'Operating Assumptions'!$H8*'Operating Assumptions'!$D$12/12*CE$22,IF('Operating Assumptions'!$G8="N/A",0))))))))</f>
        <v>517505.44534261443</v>
      </c>
      <c r="CF41" s="431">
        <f>IF(CF$9&lt;'Operating Assumptions'!$D$53,0,IF(CF$6&gt;'Operating Assumptions'!$AA$8,0,IF('Operating Assumptions'!$G8="Unit Mix Tab",CF$38*CF$36,IF('Operating Assumptions'!$G8="$/Unit/Annual",'Operating Assumptions'!$H8*CF$36/12*CF$22,IF('Operating Assumptions'!$G8="$/Unit/Month",'Operating Assumptions'!$H8*CF$36*CF$22,IF('Operating Assumptions'!$G8="Fixed Amount",'Operating Assumptions'!$H8/12*CF$22,IF('Operating Assumptions'!$G8="$/NSF",'Operating Assumptions'!$H8*'Operating Assumptions'!$D$12/12*CF$22,IF('Operating Assumptions'!$G8="N/A",0))))))))</f>
        <v>517505.44534261443</v>
      </c>
      <c r="CG41" s="431">
        <f>IF(CG$9&lt;'Operating Assumptions'!$D$53,0,IF(CG$6&gt;'Operating Assumptions'!$AA$8,0,IF('Operating Assumptions'!$G8="Unit Mix Tab",CG$38*CG$36,IF('Operating Assumptions'!$G8="$/Unit/Annual",'Operating Assumptions'!$H8*CG$36/12*CG$22,IF('Operating Assumptions'!$G8="$/Unit/Month",'Operating Assumptions'!$H8*CG$36*CG$22,IF('Operating Assumptions'!$G8="Fixed Amount",'Operating Assumptions'!$H8/12*CG$22,IF('Operating Assumptions'!$G8="$/NSF",'Operating Assumptions'!$H8*'Operating Assumptions'!$D$12/12*CG$22,IF('Operating Assumptions'!$G8="N/A",0))))))))</f>
        <v>517505.44534261443</v>
      </c>
      <c r="CH41" s="431">
        <f>IF(CH$9&lt;'Operating Assumptions'!$D$53,0,IF(CH$6&gt;'Operating Assumptions'!$AA$8,0,IF('Operating Assumptions'!$G8="Unit Mix Tab",CH$38*CH$36,IF('Operating Assumptions'!$G8="$/Unit/Annual",'Operating Assumptions'!$H8*CH$36/12*CH$22,IF('Operating Assumptions'!$G8="$/Unit/Month",'Operating Assumptions'!$H8*CH$36*CH$22,IF('Operating Assumptions'!$G8="Fixed Amount",'Operating Assumptions'!$H8/12*CH$22,IF('Operating Assumptions'!$G8="$/NSF",'Operating Assumptions'!$H8*'Operating Assumptions'!$D$12/12*CH$22,IF('Operating Assumptions'!$G8="N/A",0))))))))</f>
        <v>517505.44534261443</v>
      </c>
      <c r="CI41" s="431">
        <f>IF(CI$9&lt;'Operating Assumptions'!$D$53,0,IF(CI$6&gt;'Operating Assumptions'!$AA$8,0,IF('Operating Assumptions'!$G8="Unit Mix Tab",CI$38*CI$36,IF('Operating Assumptions'!$G8="$/Unit/Annual",'Operating Assumptions'!$H8*CI$36/12*CI$22,IF('Operating Assumptions'!$G8="$/Unit/Month",'Operating Assumptions'!$H8*CI$36*CI$22,IF('Operating Assumptions'!$G8="Fixed Amount",'Operating Assumptions'!$H8/12*CI$22,IF('Operating Assumptions'!$G8="$/NSF",'Operating Assumptions'!$H8*'Operating Assumptions'!$D$12/12*CI$22,IF('Operating Assumptions'!$G8="N/A",0))))))))</f>
        <v>517505.44534261443</v>
      </c>
      <c r="CJ41" s="431">
        <f>IF(CJ$9&lt;'Operating Assumptions'!$D$53,0,IF(CJ$6&gt;'Operating Assumptions'!$AA$8,0,IF('Operating Assumptions'!$G8="Unit Mix Tab",CJ$38*CJ$36,IF('Operating Assumptions'!$G8="$/Unit/Annual",'Operating Assumptions'!$H8*CJ$36/12*CJ$22,IF('Operating Assumptions'!$G8="$/Unit/Month",'Operating Assumptions'!$H8*CJ$36*CJ$22,IF('Operating Assumptions'!$G8="Fixed Amount",'Operating Assumptions'!$H8/12*CJ$22,IF('Operating Assumptions'!$G8="$/NSF",'Operating Assumptions'!$H8*'Operating Assumptions'!$D$12/12*CJ$22,IF('Operating Assumptions'!$G8="N/A",0))))))))</f>
        <v>517505.44534261443</v>
      </c>
      <c r="CK41" s="431">
        <f>IF(CK$9&lt;'Operating Assumptions'!$D$53,0,IF(CK$6&gt;'Operating Assumptions'!$AA$8,0,IF('Operating Assumptions'!$G8="Unit Mix Tab",CK$38*CK$36,IF('Operating Assumptions'!$G8="$/Unit/Annual",'Operating Assumptions'!$H8*CK$36/12*CK$22,IF('Operating Assumptions'!$G8="$/Unit/Month",'Operating Assumptions'!$H8*CK$36*CK$22,IF('Operating Assumptions'!$G8="Fixed Amount",'Operating Assumptions'!$H8/12*CK$22,IF('Operating Assumptions'!$G8="$/NSF",'Operating Assumptions'!$H8*'Operating Assumptions'!$D$12/12*CK$22,IF('Operating Assumptions'!$G8="N/A",0))))))))</f>
        <v>517505.44534261443</v>
      </c>
      <c r="CL41" s="431">
        <f>IF(CL$9&lt;'Operating Assumptions'!$D$53,0,IF(CL$6&gt;'Operating Assumptions'!$AA$8,0,IF('Operating Assumptions'!$G8="Unit Mix Tab",CL$38*CL$36,IF('Operating Assumptions'!$G8="$/Unit/Annual",'Operating Assumptions'!$H8*CL$36/12*CL$22,IF('Operating Assumptions'!$G8="$/Unit/Month",'Operating Assumptions'!$H8*CL$36*CL$22,IF('Operating Assumptions'!$G8="Fixed Amount",'Operating Assumptions'!$H8/12*CL$22,IF('Operating Assumptions'!$G8="$/NSF",'Operating Assumptions'!$H8*'Operating Assumptions'!$D$12/12*CL$22,IF('Operating Assumptions'!$G8="N/A",0))))))))</f>
        <v>517505.44534261443</v>
      </c>
      <c r="CM41" s="431">
        <f>IF(CM$9&lt;'Operating Assumptions'!$D$53,0,IF(CM$6&gt;'Operating Assumptions'!$AA$8,0,IF('Operating Assumptions'!$G8="Unit Mix Tab",CM$38*CM$36,IF('Operating Assumptions'!$G8="$/Unit/Annual",'Operating Assumptions'!$H8*CM$36/12*CM$22,IF('Operating Assumptions'!$G8="$/Unit/Month",'Operating Assumptions'!$H8*CM$36*CM$22,IF('Operating Assumptions'!$G8="Fixed Amount",'Operating Assumptions'!$H8/12*CM$22,IF('Operating Assumptions'!$G8="$/NSF",'Operating Assumptions'!$H8*'Operating Assumptions'!$D$12/12*CM$22,IF('Operating Assumptions'!$G8="N/A",0))))))))</f>
        <v>517505.44534261443</v>
      </c>
      <c r="CN41" s="431">
        <f>IF(CN$9&lt;'Operating Assumptions'!$D$53,0,IF(CN$6&gt;'Operating Assumptions'!$AA$8,0,IF('Operating Assumptions'!$G8="Unit Mix Tab",CN$38*CN$36,IF('Operating Assumptions'!$G8="$/Unit/Annual",'Operating Assumptions'!$H8*CN$36/12*CN$22,IF('Operating Assumptions'!$G8="$/Unit/Month",'Operating Assumptions'!$H8*CN$36*CN$22,IF('Operating Assumptions'!$G8="Fixed Amount",'Operating Assumptions'!$H8/12*CN$22,IF('Operating Assumptions'!$G8="$/NSF",'Operating Assumptions'!$H8*'Operating Assumptions'!$D$12/12*CN$22,IF('Operating Assumptions'!$G8="N/A",0))))))))</f>
        <v>526914.63525793469</v>
      </c>
      <c r="CO41" s="431">
        <f>IF(CO$9&lt;'Operating Assumptions'!$D$53,0,IF(CO$6&gt;'Operating Assumptions'!$AA$8,0,IF('Operating Assumptions'!$G8="Unit Mix Tab",CO$38*CO$36,IF('Operating Assumptions'!$G8="$/Unit/Annual",'Operating Assumptions'!$H8*CO$36/12*CO$22,IF('Operating Assumptions'!$G8="$/Unit/Month",'Operating Assumptions'!$H8*CO$36*CO$22,IF('Operating Assumptions'!$G8="Fixed Amount",'Operating Assumptions'!$H8/12*CO$22,IF('Operating Assumptions'!$G8="$/NSF",'Operating Assumptions'!$H8*'Operating Assumptions'!$D$12/12*CO$22,IF('Operating Assumptions'!$G8="N/A",0))))))))</f>
        <v>526914.63525793469</v>
      </c>
      <c r="CP41" s="431">
        <f>IF(CP$9&lt;'Operating Assumptions'!$D$53,0,IF(CP$6&gt;'Operating Assumptions'!$AA$8,0,IF('Operating Assumptions'!$G8="Unit Mix Tab",CP$38*CP$36,IF('Operating Assumptions'!$G8="$/Unit/Annual",'Operating Assumptions'!$H8*CP$36/12*CP$22,IF('Operating Assumptions'!$G8="$/Unit/Month",'Operating Assumptions'!$H8*CP$36*CP$22,IF('Operating Assumptions'!$G8="Fixed Amount",'Operating Assumptions'!$H8/12*CP$22,IF('Operating Assumptions'!$G8="$/NSF",'Operating Assumptions'!$H8*'Operating Assumptions'!$D$12/12*CP$22,IF('Operating Assumptions'!$G8="N/A",0))))))))</f>
        <v>526914.63525793469</v>
      </c>
      <c r="CQ41" s="431">
        <f>IF(CQ$9&lt;'Operating Assumptions'!$D$53,0,IF(CQ$6&gt;'Operating Assumptions'!$AA$8,0,IF('Operating Assumptions'!$G8="Unit Mix Tab",CQ$38*CQ$36,IF('Operating Assumptions'!$G8="$/Unit/Annual",'Operating Assumptions'!$H8*CQ$36/12*CQ$22,IF('Operating Assumptions'!$G8="$/Unit/Month",'Operating Assumptions'!$H8*CQ$36*CQ$22,IF('Operating Assumptions'!$G8="Fixed Amount",'Operating Assumptions'!$H8/12*CQ$22,IF('Operating Assumptions'!$G8="$/NSF",'Operating Assumptions'!$H8*'Operating Assumptions'!$D$12/12*CQ$22,IF('Operating Assumptions'!$G8="N/A",0))))))))</f>
        <v>526914.63525793469</v>
      </c>
      <c r="CR41" s="431">
        <f>IF(CR$9&lt;'Operating Assumptions'!$D$53,0,IF(CR$6&gt;'Operating Assumptions'!$AA$8,0,IF('Operating Assumptions'!$G8="Unit Mix Tab",CR$38*CR$36,IF('Operating Assumptions'!$G8="$/Unit/Annual",'Operating Assumptions'!$H8*CR$36/12*CR$22,IF('Operating Assumptions'!$G8="$/Unit/Month",'Operating Assumptions'!$H8*CR$36*CR$22,IF('Operating Assumptions'!$G8="Fixed Amount",'Operating Assumptions'!$H8/12*CR$22,IF('Operating Assumptions'!$G8="$/NSF",'Operating Assumptions'!$H8*'Operating Assumptions'!$D$12/12*CR$22,IF('Operating Assumptions'!$G8="N/A",0))))))))</f>
        <v>526914.63525793469</v>
      </c>
      <c r="CS41" s="431">
        <f>IF(CS$9&lt;'Operating Assumptions'!$D$53,0,IF(CS$6&gt;'Operating Assumptions'!$AA$8,0,IF('Operating Assumptions'!$G8="Unit Mix Tab",CS$38*CS$36,IF('Operating Assumptions'!$G8="$/Unit/Annual",'Operating Assumptions'!$H8*CS$36/12*CS$22,IF('Operating Assumptions'!$G8="$/Unit/Month",'Operating Assumptions'!$H8*CS$36*CS$22,IF('Operating Assumptions'!$G8="Fixed Amount",'Operating Assumptions'!$H8/12*CS$22,IF('Operating Assumptions'!$G8="$/NSF",'Operating Assumptions'!$H8*'Operating Assumptions'!$D$12/12*CS$22,IF('Operating Assumptions'!$G8="N/A",0))))))))</f>
        <v>526914.63525793469</v>
      </c>
      <c r="CT41" s="431">
        <f>IF(CT$9&lt;'Operating Assumptions'!$D$53,0,IF(CT$6&gt;'Operating Assumptions'!$AA$8,0,IF('Operating Assumptions'!$G8="Unit Mix Tab",CT$38*CT$36,IF('Operating Assumptions'!$G8="$/Unit/Annual",'Operating Assumptions'!$H8*CT$36/12*CT$22,IF('Operating Assumptions'!$G8="$/Unit/Month",'Operating Assumptions'!$H8*CT$36*CT$22,IF('Operating Assumptions'!$G8="Fixed Amount",'Operating Assumptions'!$H8/12*CT$22,IF('Operating Assumptions'!$G8="$/NSF",'Operating Assumptions'!$H8*'Operating Assumptions'!$D$12/12*CT$22,IF('Operating Assumptions'!$G8="N/A",0))))))))</f>
        <v>526914.63525793469</v>
      </c>
      <c r="CU41" s="431">
        <f>IF(CU$9&lt;'Operating Assumptions'!$D$53,0,IF(CU$6&gt;'Operating Assumptions'!$AA$8,0,IF('Operating Assumptions'!$G8="Unit Mix Tab",CU$38*CU$36,IF('Operating Assumptions'!$G8="$/Unit/Annual",'Operating Assumptions'!$H8*CU$36/12*CU$22,IF('Operating Assumptions'!$G8="$/Unit/Month",'Operating Assumptions'!$H8*CU$36*CU$22,IF('Operating Assumptions'!$G8="Fixed Amount",'Operating Assumptions'!$H8/12*CU$22,IF('Operating Assumptions'!$G8="$/NSF",'Operating Assumptions'!$H8*'Operating Assumptions'!$D$12/12*CU$22,IF('Operating Assumptions'!$G8="N/A",0))))))))</f>
        <v>526914.63525793469</v>
      </c>
      <c r="CV41" s="431">
        <f>IF(CV$9&lt;'Operating Assumptions'!$D$53,0,IF(CV$6&gt;'Operating Assumptions'!$AA$8,0,IF('Operating Assumptions'!$G8="Unit Mix Tab",CV$38*CV$36,IF('Operating Assumptions'!$G8="$/Unit/Annual",'Operating Assumptions'!$H8*CV$36/12*CV$22,IF('Operating Assumptions'!$G8="$/Unit/Month",'Operating Assumptions'!$H8*CV$36*CV$22,IF('Operating Assumptions'!$G8="Fixed Amount",'Operating Assumptions'!$H8/12*CV$22,IF('Operating Assumptions'!$G8="$/NSF",'Operating Assumptions'!$H8*'Operating Assumptions'!$D$12/12*CV$22,IF('Operating Assumptions'!$G8="N/A",0))))))))</f>
        <v>526914.63525793469</v>
      </c>
      <c r="CW41" s="431">
        <f>IF(CW$9&lt;'Operating Assumptions'!$D$53,0,IF(CW$6&gt;'Operating Assumptions'!$AA$8,0,IF('Operating Assumptions'!$G8="Unit Mix Tab",CW$38*CW$36,IF('Operating Assumptions'!$G8="$/Unit/Annual",'Operating Assumptions'!$H8*CW$36/12*CW$22,IF('Operating Assumptions'!$G8="$/Unit/Month",'Operating Assumptions'!$H8*CW$36*CW$22,IF('Operating Assumptions'!$G8="Fixed Amount",'Operating Assumptions'!$H8/12*CW$22,IF('Operating Assumptions'!$G8="$/NSF",'Operating Assumptions'!$H8*'Operating Assumptions'!$D$12/12*CW$22,IF('Operating Assumptions'!$G8="N/A",0))))))))</f>
        <v>526914.63525793469</v>
      </c>
      <c r="CX41" s="431">
        <f>IF(CX$9&lt;'Operating Assumptions'!$D$53,0,IF(CX$6&gt;'Operating Assumptions'!$AA$8,0,IF('Operating Assumptions'!$G8="Unit Mix Tab",CX$38*CX$36,IF('Operating Assumptions'!$G8="$/Unit/Annual",'Operating Assumptions'!$H8*CX$36/12*CX$22,IF('Operating Assumptions'!$G8="$/Unit/Month",'Operating Assumptions'!$H8*CX$36*CX$22,IF('Operating Assumptions'!$G8="Fixed Amount",'Operating Assumptions'!$H8/12*CX$22,IF('Operating Assumptions'!$G8="$/NSF",'Operating Assumptions'!$H8*'Operating Assumptions'!$D$12/12*CX$22,IF('Operating Assumptions'!$G8="N/A",0))))))))</f>
        <v>526914.63525793469</v>
      </c>
      <c r="CY41" s="431">
        <f>IF(CY$9&lt;'Operating Assumptions'!$D$53,0,IF(CY$6&gt;'Operating Assumptions'!$AA$8,0,IF('Operating Assumptions'!$G8="Unit Mix Tab",CY$38*CY$36,IF('Operating Assumptions'!$G8="$/Unit/Annual",'Operating Assumptions'!$H8*CY$36/12*CY$22,IF('Operating Assumptions'!$G8="$/Unit/Month",'Operating Assumptions'!$H8*CY$36*CY$22,IF('Operating Assumptions'!$G8="Fixed Amount",'Operating Assumptions'!$H8/12*CY$22,IF('Operating Assumptions'!$G8="$/NSF",'Operating Assumptions'!$H8*'Operating Assumptions'!$D$12/12*CY$22,IF('Operating Assumptions'!$G8="N/A",0))))))))</f>
        <v>526914.63525793469</v>
      </c>
      <c r="CZ41" s="431">
        <f>IF(CZ$9&lt;'Operating Assumptions'!$D$53,0,IF(CZ$6&gt;'Operating Assumptions'!$AA$8,0,IF('Operating Assumptions'!$G8="Unit Mix Tab",CZ$38*CZ$36,IF('Operating Assumptions'!$G8="$/Unit/Annual",'Operating Assumptions'!$H8*CZ$36/12*CZ$22,IF('Operating Assumptions'!$G8="$/Unit/Month",'Operating Assumptions'!$H8*CZ$36*CZ$22,IF('Operating Assumptions'!$G8="Fixed Amount",'Operating Assumptions'!$H8/12*CZ$22,IF('Operating Assumptions'!$G8="$/NSF",'Operating Assumptions'!$H8*'Operating Assumptions'!$D$12/12*CZ$22,IF('Operating Assumptions'!$G8="N/A",0))))))))</f>
        <v>536323.82517325494</v>
      </c>
      <c r="DA41" s="431">
        <f>IF(DA$9&lt;'Operating Assumptions'!$D$53,0,IF(DA$6&gt;'Operating Assumptions'!$AA$8,0,IF('Operating Assumptions'!$G8="Unit Mix Tab",DA$38*DA$36,IF('Operating Assumptions'!$G8="$/Unit/Annual",'Operating Assumptions'!$H8*DA$36/12*DA$22,IF('Operating Assumptions'!$G8="$/Unit/Month",'Operating Assumptions'!$H8*DA$36*DA$22,IF('Operating Assumptions'!$G8="Fixed Amount",'Operating Assumptions'!$H8/12*DA$22,IF('Operating Assumptions'!$G8="$/NSF",'Operating Assumptions'!$H8*'Operating Assumptions'!$D$12/12*DA$22,IF('Operating Assumptions'!$G8="N/A",0))))))))</f>
        <v>536323.82517325494</v>
      </c>
      <c r="DB41" s="431">
        <f>IF(DB$9&lt;'Operating Assumptions'!$D$53,0,IF(DB$6&gt;'Operating Assumptions'!$AA$8,0,IF('Operating Assumptions'!$G8="Unit Mix Tab",DB$38*DB$36,IF('Operating Assumptions'!$G8="$/Unit/Annual",'Operating Assumptions'!$H8*DB$36/12*DB$22,IF('Operating Assumptions'!$G8="$/Unit/Month",'Operating Assumptions'!$H8*DB$36*DB$22,IF('Operating Assumptions'!$G8="Fixed Amount",'Operating Assumptions'!$H8/12*DB$22,IF('Operating Assumptions'!$G8="$/NSF",'Operating Assumptions'!$H8*'Operating Assumptions'!$D$12/12*DB$22,IF('Operating Assumptions'!$G8="N/A",0))))))))</f>
        <v>536323.82517325494</v>
      </c>
      <c r="DC41" s="431">
        <f>IF(DC$9&lt;'Operating Assumptions'!$D$53,0,IF(DC$6&gt;'Operating Assumptions'!$AA$8,0,IF('Operating Assumptions'!$G8="Unit Mix Tab",DC$38*DC$36,IF('Operating Assumptions'!$G8="$/Unit/Annual",'Operating Assumptions'!$H8*DC$36/12*DC$22,IF('Operating Assumptions'!$G8="$/Unit/Month",'Operating Assumptions'!$H8*DC$36*DC$22,IF('Operating Assumptions'!$G8="Fixed Amount",'Operating Assumptions'!$H8/12*DC$22,IF('Operating Assumptions'!$G8="$/NSF",'Operating Assumptions'!$H8*'Operating Assumptions'!$D$12/12*DC$22,IF('Operating Assumptions'!$G8="N/A",0))))))))</f>
        <v>536323.82517325494</v>
      </c>
      <c r="DD41" s="431">
        <f>IF(DD$9&lt;'Operating Assumptions'!$D$53,0,IF(DD$6&gt;'Operating Assumptions'!$AA$8,0,IF('Operating Assumptions'!$G8="Unit Mix Tab",DD$38*DD$36,IF('Operating Assumptions'!$G8="$/Unit/Annual",'Operating Assumptions'!$H8*DD$36/12*DD$22,IF('Operating Assumptions'!$G8="$/Unit/Month",'Operating Assumptions'!$H8*DD$36*DD$22,IF('Operating Assumptions'!$G8="Fixed Amount",'Operating Assumptions'!$H8/12*DD$22,IF('Operating Assumptions'!$G8="$/NSF",'Operating Assumptions'!$H8*'Operating Assumptions'!$D$12/12*DD$22,IF('Operating Assumptions'!$G8="N/A",0))))))))</f>
        <v>536323.82517325494</v>
      </c>
      <c r="DE41" s="431">
        <f>IF(DE$9&lt;'Operating Assumptions'!$D$53,0,IF(DE$6&gt;'Operating Assumptions'!$AA$8,0,IF('Operating Assumptions'!$G8="Unit Mix Tab",DE$38*DE$36,IF('Operating Assumptions'!$G8="$/Unit/Annual",'Operating Assumptions'!$H8*DE$36/12*DE$22,IF('Operating Assumptions'!$G8="$/Unit/Month",'Operating Assumptions'!$H8*DE$36*DE$22,IF('Operating Assumptions'!$G8="Fixed Amount",'Operating Assumptions'!$H8/12*DE$22,IF('Operating Assumptions'!$G8="$/NSF",'Operating Assumptions'!$H8*'Operating Assumptions'!$D$12/12*DE$22,IF('Operating Assumptions'!$G8="N/A",0))))))))</f>
        <v>536323.82517325494</v>
      </c>
      <c r="DF41" s="431">
        <f>IF(DF$9&lt;'Operating Assumptions'!$D$53,0,IF(DF$6&gt;'Operating Assumptions'!$AA$8,0,IF('Operating Assumptions'!$G8="Unit Mix Tab",DF$38*DF$36,IF('Operating Assumptions'!$G8="$/Unit/Annual",'Operating Assumptions'!$H8*DF$36/12*DF$22,IF('Operating Assumptions'!$G8="$/Unit/Month",'Operating Assumptions'!$H8*DF$36*DF$22,IF('Operating Assumptions'!$G8="Fixed Amount",'Operating Assumptions'!$H8/12*DF$22,IF('Operating Assumptions'!$G8="$/NSF",'Operating Assumptions'!$H8*'Operating Assumptions'!$D$12/12*DF$22,IF('Operating Assumptions'!$G8="N/A",0))))))))</f>
        <v>536323.82517325494</v>
      </c>
      <c r="DG41" s="431">
        <f>IF(DG$9&lt;'Operating Assumptions'!$D$53,0,IF(DG$6&gt;'Operating Assumptions'!$AA$8,0,IF('Operating Assumptions'!$G8="Unit Mix Tab",DG$38*DG$36,IF('Operating Assumptions'!$G8="$/Unit/Annual",'Operating Assumptions'!$H8*DG$36/12*DG$22,IF('Operating Assumptions'!$G8="$/Unit/Month",'Operating Assumptions'!$H8*DG$36*DG$22,IF('Operating Assumptions'!$G8="Fixed Amount",'Operating Assumptions'!$H8/12*DG$22,IF('Operating Assumptions'!$G8="$/NSF",'Operating Assumptions'!$H8*'Operating Assumptions'!$D$12/12*DG$22,IF('Operating Assumptions'!$G8="N/A",0))))))))</f>
        <v>536323.82517325494</v>
      </c>
      <c r="DH41" s="431">
        <f>IF(DH$9&lt;'Operating Assumptions'!$D$53,0,IF(DH$6&gt;'Operating Assumptions'!$AA$8,0,IF('Operating Assumptions'!$G8="Unit Mix Tab",DH$38*DH$36,IF('Operating Assumptions'!$G8="$/Unit/Annual",'Operating Assumptions'!$H8*DH$36/12*DH$22,IF('Operating Assumptions'!$G8="$/Unit/Month",'Operating Assumptions'!$H8*DH$36*DH$22,IF('Operating Assumptions'!$G8="Fixed Amount",'Operating Assumptions'!$H8/12*DH$22,IF('Operating Assumptions'!$G8="$/NSF",'Operating Assumptions'!$H8*'Operating Assumptions'!$D$12/12*DH$22,IF('Operating Assumptions'!$G8="N/A",0))))))))</f>
        <v>536323.82517325494</v>
      </c>
      <c r="DI41" s="431">
        <f>IF(DI$9&lt;'Operating Assumptions'!$D$53,0,IF(DI$6&gt;'Operating Assumptions'!$AA$8,0,IF('Operating Assumptions'!$G8="Unit Mix Tab",DI$38*DI$36,IF('Operating Assumptions'!$G8="$/Unit/Annual",'Operating Assumptions'!$H8*DI$36/12*DI$22,IF('Operating Assumptions'!$G8="$/Unit/Month",'Operating Assumptions'!$H8*DI$36*DI$22,IF('Operating Assumptions'!$G8="Fixed Amount",'Operating Assumptions'!$H8/12*DI$22,IF('Operating Assumptions'!$G8="$/NSF",'Operating Assumptions'!$H8*'Operating Assumptions'!$D$12/12*DI$22,IF('Operating Assumptions'!$G8="N/A",0))))))))</f>
        <v>536323.82517325494</v>
      </c>
      <c r="DJ41" s="431">
        <f>IF(DJ$9&lt;'Operating Assumptions'!$D$53,0,IF(DJ$6&gt;'Operating Assumptions'!$AA$8,0,IF('Operating Assumptions'!$G8="Unit Mix Tab",DJ$38*DJ$36,IF('Operating Assumptions'!$G8="$/Unit/Annual",'Operating Assumptions'!$H8*DJ$36/12*DJ$22,IF('Operating Assumptions'!$G8="$/Unit/Month",'Operating Assumptions'!$H8*DJ$36*DJ$22,IF('Operating Assumptions'!$G8="Fixed Amount",'Operating Assumptions'!$H8/12*DJ$22,IF('Operating Assumptions'!$G8="$/NSF",'Operating Assumptions'!$H8*'Operating Assumptions'!$D$12/12*DJ$22,IF('Operating Assumptions'!$G8="N/A",0))))))))</f>
        <v>536323.82517325494</v>
      </c>
      <c r="DK41" s="431">
        <f>IF(DK$9&lt;'Operating Assumptions'!$D$53,0,IF(DK$6&gt;'Operating Assumptions'!$AA$8,0,IF('Operating Assumptions'!$G8="Unit Mix Tab",DK$38*DK$36,IF('Operating Assumptions'!$G8="$/Unit/Annual",'Operating Assumptions'!$H8*DK$36/12*DK$22,IF('Operating Assumptions'!$G8="$/Unit/Month",'Operating Assumptions'!$H8*DK$36*DK$22,IF('Operating Assumptions'!$G8="Fixed Amount",'Operating Assumptions'!$H8/12*DK$22,IF('Operating Assumptions'!$G8="$/NSF",'Operating Assumptions'!$H8*'Operating Assumptions'!$D$12/12*DK$22,IF('Operating Assumptions'!$G8="N/A",0))))))))</f>
        <v>536323.82517325494</v>
      </c>
      <c r="DL41" s="431">
        <f>IF(DL$9&lt;'Operating Assumptions'!$D$53,0,IF(DL$6&gt;'Operating Assumptions'!$AA$8,0,IF('Operating Assumptions'!$G8="Unit Mix Tab",DL$38*DL$36,IF('Operating Assumptions'!$G8="$/Unit/Annual",'Operating Assumptions'!$H8*DL$36/12*DL$22,IF('Operating Assumptions'!$G8="$/Unit/Month",'Operating Assumptions'!$H8*DL$36*DL$22,IF('Operating Assumptions'!$G8="Fixed Amount",'Operating Assumptions'!$H8/12*DL$22,IF('Operating Assumptions'!$G8="$/NSF",'Operating Assumptions'!$H8*'Operating Assumptions'!$D$12/12*DL$22,IF('Operating Assumptions'!$G8="N/A",0))))))))</f>
        <v>545733.01508857519</v>
      </c>
      <c r="DM41" s="431">
        <f>IF(DM$9&lt;'Operating Assumptions'!$D$53,0,IF(DM$6&gt;'Operating Assumptions'!$AA$8,0,IF('Operating Assumptions'!$G8="Unit Mix Tab",DM$38*DM$36,IF('Operating Assumptions'!$G8="$/Unit/Annual",'Operating Assumptions'!$H8*DM$36/12*DM$22,IF('Operating Assumptions'!$G8="$/Unit/Month",'Operating Assumptions'!$H8*DM$36*DM$22,IF('Operating Assumptions'!$G8="Fixed Amount",'Operating Assumptions'!$H8/12*DM$22,IF('Operating Assumptions'!$G8="$/NSF",'Operating Assumptions'!$H8*'Operating Assumptions'!$D$12/12*DM$22,IF('Operating Assumptions'!$G8="N/A",0))))))))</f>
        <v>545733.01508857519</v>
      </c>
      <c r="DN41" s="431">
        <f>IF(DN$9&lt;'Operating Assumptions'!$D$53,0,IF(DN$6&gt;'Operating Assumptions'!$AA$8,0,IF('Operating Assumptions'!$G8="Unit Mix Tab",DN$38*DN$36,IF('Operating Assumptions'!$G8="$/Unit/Annual",'Operating Assumptions'!$H8*DN$36/12*DN$22,IF('Operating Assumptions'!$G8="$/Unit/Month",'Operating Assumptions'!$H8*DN$36*DN$22,IF('Operating Assumptions'!$G8="Fixed Amount",'Operating Assumptions'!$H8/12*DN$22,IF('Operating Assumptions'!$G8="$/NSF",'Operating Assumptions'!$H8*'Operating Assumptions'!$D$12/12*DN$22,IF('Operating Assumptions'!$G8="N/A",0))))))))</f>
        <v>545733.01508857519</v>
      </c>
      <c r="DO41" s="431">
        <f>IF(DO$9&lt;'Operating Assumptions'!$D$53,0,IF(DO$6&gt;'Operating Assumptions'!$AA$8,0,IF('Operating Assumptions'!$G8="Unit Mix Tab",DO$38*DO$36,IF('Operating Assumptions'!$G8="$/Unit/Annual",'Operating Assumptions'!$H8*DO$36/12*DO$22,IF('Operating Assumptions'!$G8="$/Unit/Month",'Operating Assumptions'!$H8*DO$36*DO$22,IF('Operating Assumptions'!$G8="Fixed Amount",'Operating Assumptions'!$H8/12*DO$22,IF('Operating Assumptions'!$G8="$/NSF",'Operating Assumptions'!$H8*'Operating Assumptions'!$D$12/12*DO$22,IF('Operating Assumptions'!$G8="N/A",0))))))))</f>
        <v>545733.01508857519</v>
      </c>
      <c r="DP41" s="431">
        <f>IF(DP$9&lt;'Operating Assumptions'!$D$53,0,IF(DP$6&gt;'Operating Assumptions'!$AA$8,0,IF('Operating Assumptions'!$G8="Unit Mix Tab",DP$38*DP$36,IF('Operating Assumptions'!$G8="$/Unit/Annual",'Operating Assumptions'!$H8*DP$36/12*DP$22,IF('Operating Assumptions'!$G8="$/Unit/Month",'Operating Assumptions'!$H8*DP$36*DP$22,IF('Operating Assumptions'!$G8="Fixed Amount",'Operating Assumptions'!$H8/12*DP$22,IF('Operating Assumptions'!$G8="$/NSF",'Operating Assumptions'!$H8*'Operating Assumptions'!$D$12/12*DP$22,IF('Operating Assumptions'!$G8="N/A",0))))))))</f>
        <v>545733.01508857519</v>
      </c>
      <c r="DQ41" s="431">
        <f>IF(DQ$9&lt;'Operating Assumptions'!$D$53,0,IF(DQ$6&gt;'Operating Assumptions'!$AA$8,0,IF('Operating Assumptions'!$G8="Unit Mix Tab",DQ$38*DQ$36,IF('Operating Assumptions'!$G8="$/Unit/Annual",'Operating Assumptions'!$H8*DQ$36/12*DQ$22,IF('Operating Assumptions'!$G8="$/Unit/Month",'Operating Assumptions'!$H8*DQ$36*DQ$22,IF('Operating Assumptions'!$G8="Fixed Amount",'Operating Assumptions'!$H8/12*DQ$22,IF('Operating Assumptions'!$G8="$/NSF",'Operating Assumptions'!$H8*'Operating Assumptions'!$D$12/12*DQ$22,IF('Operating Assumptions'!$G8="N/A",0))))))))</f>
        <v>545733.01508857519</v>
      </c>
      <c r="DR41" s="431">
        <f>IF(DR$9&lt;'Operating Assumptions'!$D$53,0,IF(DR$6&gt;'Operating Assumptions'!$AA$8,0,IF('Operating Assumptions'!$G8="Unit Mix Tab",DR$38*DR$36,IF('Operating Assumptions'!$G8="$/Unit/Annual",'Operating Assumptions'!$H8*DR$36/12*DR$22,IF('Operating Assumptions'!$G8="$/Unit/Month",'Operating Assumptions'!$H8*DR$36*DR$22,IF('Operating Assumptions'!$G8="Fixed Amount",'Operating Assumptions'!$H8/12*DR$22,IF('Operating Assumptions'!$G8="$/NSF",'Operating Assumptions'!$H8*'Operating Assumptions'!$D$12/12*DR$22,IF('Operating Assumptions'!$G8="N/A",0))))))))</f>
        <v>545733.01508857519</v>
      </c>
      <c r="DS41" s="431">
        <f>IF(DS$9&lt;'Operating Assumptions'!$D$53,0,IF(DS$6&gt;'Operating Assumptions'!$AA$8,0,IF('Operating Assumptions'!$G8="Unit Mix Tab",DS$38*DS$36,IF('Operating Assumptions'!$G8="$/Unit/Annual",'Operating Assumptions'!$H8*DS$36/12*DS$22,IF('Operating Assumptions'!$G8="$/Unit/Month",'Operating Assumptions'!$H8*DS$36*DS$22,IF('Operating Assumptions'!$G8="Fixed Amount",'Operating Assumptions'!$H8/12*DS$22,IF('Operating Assumptions'!$G8="$/NSF",'Operating Assumptions'!$H8*'Operating Assumptions'!$D$12/12*DS$22,IF('Operating Assumptions'!$G8="N/A",0))))))))</f>
        <v>545733.01508857519</v>
      </c>
      <c r="DT41" s="431">
        <f>IF(DT$9&lt;'Operating Assumptions'!$D$53,0,IF(DT$6&gt;'Operating Assumptions'!$AA$8,0,IF('Operating Assumptions'!$G8="Unit Mix Tab",DT$38*DT$36,IF('Operating Assumptions'!$G8="$/Unit/Annual",'Operating Assumptions'!$H8*DT$36/12*DT$22,IF('Operating Assumptions'!$G8="$/Unit/Month",'Operating Assumptions'!$H8*DT$36*DT$22,IF('Operating Assumptions'!$G8="Fixed Amount",'Operating Assumptions'!$H8/12*DT$22,IF('Operating Assumptions'!$G8="$/NSF",'Operating Assumptions'!$H8*'Operating Assumptions'!$D$12/12*DT$22,IF('Operating Assumptions'!$G8="N/A",0))))))))</f>
        <v>545733.01508857519</v>
      </c>
      <c r="DU41" s="431">
        <f>IF(DU$9&lt;'Operating Assumptions'!$D$53,0,IF(DU$6&gt;'Operating Assumptions'!$AA$8,0,IF('Operating Assumptions'!$G8="Unit Mix Tab",DU$38*DU$36,IF('Operating Assumptions'!$G8="$/Unit/Annual",'Operating Assumptions'!$H8*DU$36/12*DU$22,IF('Operating Assumptions'!$G8="$/Unit/Month",'Operating Assumptions'!$H8*DU$36*DU$22,IF('Operating Assumptions'!$G8="Fixed Amount",'Operating Assumptions'!$H8/12*DU$22,IF('Operating Assumptions'!$G8="$/NSF",'Operating Assumptions'!$H8*'Operating Assumptions'!$D$12/12*DU$22,IF('Operating Assumptions'!$G8="N/A",0))))))))</f>
        <v>545733.01508857519</v>
      </c>
      <c r="DV41" s="431">
        <f>IF(DV$9&lt;'Operating Assumptions'!$D$53,0,IF(DV$6&gt;'Operating Assumptions'!$AA$8,0,IF('Operating Assumptions'!$G8="Unit Mix Tab",DV$38*DV$36,IF('Operating Assumptions'!$G8="$/Unit/Annual",'Operating Assumptions'!$H8*DV$36/12*DV$22,IF('Operating Assumptions'!$G8="$/Unit/Month",'Operating Assumptions'!$H8*DV$36*DV$22,IF('Operating Assumptions'!$G8="Fixed Amount",'Operating Assumptions'!$H8/12*DV$22,IF('Operating Assumptions'!$G8="$/NSF",'Operating Assumptions'!$H8*'Operating Assumptions'!$D$12/12*DV$22,IF('Operating Assumptions'!$G8="N/A",0))))))))</f>
        <v>545733.01508857519</v>
      </c>
      <c r="DW41" s="431">
        <f>IF(DW$9&lt;'Operating Assumptions'!$D$53,0,IF(DW$6&gt;'Operating Assumptions'!$AA$8,0,IF('Operating Assumptions'!$G8="Unit Mix Tab",DW$38*DW$36,IF('Operating Assumptions'!$G8="$/Unit/Annual",'Operating Assumptions'!$H8*DW$36/12*DW$22,IF('Operating Assumptions'!$G8="$/Unit/Month",'Operating Assumptions'!$H8*DW$36*DW$22,IF('Operating Assumptions'!$G8="Fixed Amount",'Operating Assumptions'!$H8/12*DW$22,IF('Operating Assumptions'!$G8="$/NSF",'Operating Assumptions'!$H8*'Operating Assumptions'!$D$12/12*DW$22,IF('Operating Assumptions'!$G8="N/A",0))))))))</f>
        <v>545733.01508857519</v>
      </c>
      <c r="DX41" s="431">
        <f>IF(DX$9&lt;'Operating Assumptions'!$D$53,0,IF(DX$6&gt;'Operating Assumptions'!$AA$8,0,IF('Operating Assumptions'!$G8="Unit Mix Tab",DX$38*DX$36,IF('Operating Assumptions'!$G8="$/Unit/Annual",'Operating Assumptions'!$H8*DX$36/12*DX$22,IF('Operating Assumptions'!$G8="$/Unit/Month",'Operating Assumptions'!$H8*DX$36*DX$22,IF('Operating Assumptions'!$G8="Fixed Amount",'Operating Assumptions'!$H8/12*DX$22,IF('Operating Assumptions'!$G8="$/NSF",'Operating Assumptions'!$H8*'Operating Assumptions'!$D$12/12*DX$22,IF('Operating Assumptions'!$G8="N/A",0))))))))</f>
        <v>555142.20500389556</v>
      </c>
      <c r="DY41" s="431">
        <f>IF(DY$9&lt;'Operating Assumptions'!$D$53,0,IF(DY$6&gt;'Operating Assumptions'!$AA$8,0,IF('Operating Assumptions'!$G8="Unit Mix Tab",DY$38*DY$36,IF('Operating Assumptions'!$G8="$/Unit/Annual",'Operating Assumptions'!$H8*DY$36/12*DY$22,IF('Operating Assumptions'!$G8="$/Unit/Month",'Operating Assumptions'!$H8*DY$36*DY$22,IF('Operating Assumptions'!$G8="Fixed Amount",'Operating Assumptions'!$H8/12*DY$22,IF('Operating Assumptions'!$G8="$/NSF",'Operating Assumptions'!$H8*'Operating Assumptions'!$D$12/12*DY$22,IF('Operating Assumptions'!$G8="N/A",0))))))))</f>
        <v>555142.20500389556</v>
      </c>
      <c r="DZ41" s="431">
        <f>IF(DZ$9&lt;'Operating Assumptions'!$D$53,0,IF(DZ$6&gt;'Operating Assumptions'!$AA$8,0,IF('Operating Assumptions'!$G8="Unit Mix Tab",DZ$38*DZ$36,IF('Operating Assumptions'!$G8="$/Unit/Annual",'Operating Assumptions'!$H8*DZ$36/12*DZ$22,IF('Operating Assumptions'!$G8="$/Unit/Month",'Operating Assumptions'!$H8*DZ$36*DZ$22,IF('Operating Assumptions'!$G8="Fixed Amount",'Operating Assumptions'!$H8/12*DZ$22,IF('Operating Assumptions'!$G8="$/NSF",'Operating Assumptions'!$H8*'Operating Assumptions'!$D$12/12*DZ$22,IF('Operating Assumptions'!$G8="N/A",0))))))))</f>
        <v>555142.20500389556</v>
      </c>
      <c r="EA41" s="431">
        <f>IF(EA$9&lt;'Operating Assumptions'!$D$53,0,IF(EA$6&gt;'Operating Assumptions'!$AA$8,0,IF('Operating Assumptions'!$G8="Unit Mix Tab",EA$38*EA$36,IF('Operating Assumptions'!$G8="$/Unit/Annual",'Operating Assumptions'!$H8*EA$36/12*EA$22,IF('Operating Assumptions'!$G8="$/Unit/Month",'Operating Assumptions'!$H8*EA$36*EA$22,IF('Operating Assumptions'!$G8="Fixed Amount",'Operating Assumptions'!$H8/12*EA$22,IF('Operating Assumptions'!$G8="$/NSF",'Operating Assumptions'!$H8*'Operating Assumptions'!$D$12/12*EA$22,IF('Operating Assumptions'!$G8="N/A",0))))))))</f>
        <v>555142.20500389556</v>
      </c>
      <c r="EB41" s="431">
        <f>IF(EB$9&lt;'Operating Assumptions'!$D$53,0,IF(EB$6&gt;'Operating Assumptions'!$AA$8,0,IF('Operating Assumptions'!$G8="Unit Mix Tab",EB$38*EB$36,IF('Operating Assumptions'!$G8="$/Unit/Annual",'Operating Assumptions'!$H8*EB$36/12*EB$22,IF('Operating Assumptions'!$G8="$/Unit/Month",'Operating Assumptions'!$H8*EB$36*EB$22,IF('Operating Assumptions'!$G8="Fixed Amount",'Operating Assumptions'!$H8/12*EB$22,IF('Operating Assumptions'!$G8="$/NSF",'Operating Assumptions'!$H8*'Operating Assumptions'!$D$12/12*EB$22,IF('Operating Assumptions'!$G8="N/A",0))))))))</f>
        <v>555142.20500389556</v>
      </c>
      <c r="EC41" s="431">
        <f>IF(EC$9&lt;'Operating Assumptions'!$D$53,0,IF(EC$6&gt;'Operating Assumptions'!$AA$8,0,IF('Operating Assumptions'!$G8="Unit Mix Tab",EC$38*EC$36,IF('Operating Assumptions'!$G8="$/Unit/Annual",'Operating Assumptions'!$H8*EC$36/12*EC$22,IF('Operating Assumptions'!$G8="$/Unit/Month",'Operating Assumptions'!$H8*EC$36*EC$22,IF('Operating Assumptions'!$G8="Fixed Amount",'Operating Assumptions'!$H8/12*EC$22,IF('Operating Assumptions'!$G8="$/NSF",'Operating Assumptions'!$H8*'Operating Assumptions'!$D$12/12*EC$22,IF('Operating Assumptions'!$G8="N/A",0))))))))</f>
        <v>555142.20500389556</v>
      </c>
      <c r="ED41" s="431">
        <f>IF(ED$9&lt;'Operating Assumptions'!$D$53,0,IF(ED$6&gt;'Operating Assumptions'!$AA$8,0,IF('Operating Assumptions'!$G8="Unit Mix Tab",ED$38*ED$36,IF('Operating Assumptions'!$G8="$/Unit/Annual",'Operating Assumptions'!$H8*ED$36/12*ED$22,IF('Operating Assumptions'!$G8="$/Unit/Month",'Operating Assumptions'!$H8*ED$36*ED$22,IF('Operating Assumptions'!$G8="Fixed Amount",'Operating Assumptions'!$H8/12*ED$22,IF('Operating Assumptions'!$G8="$/NSF",'Operating Assumptions'!$H8*'Operating Assumptions'!$D$12/12*ED$22,IF('Operating Assumptions'!$G8="N/A",0))))))))</f>
        <v>555142.20500389556</v>
      </c>
      <c r="EE41" s="431">
        <f>IF(EE$9&lt;'Operating Assumptions'!$D$53,0,IF(EE$6&gt;'Operating Assumptions'!$AA$8,0,IF('Operating Assumptions'!$G8="Unit Mix Tab",EE$38*EE$36,IF('Operating Assumptions'!$G8="$/Unit/Annual",'Operating Assumptions'!$H8*EE$36/12*EE$22,IF('Operating Assumptions'!$G8="$/Unit/Month",'Operating Assumptions'!$H8*EE$36*EE$22,IF('Operating Assumptions'!$G8="Fixed Amount",'Operating Assumptions'!$H8/12*EE$22,IF('Operating Assumptions'!$G8="$/NSF",'Operating Assumptions'!$H8*'Operating Assumptions'!$D$12/12*EE$22,IF('Operating Assumptions'!$G8="N/A",0))))))))</f>
        <v>555142.20500389556</v>
      </c>
      <c r="EF41" s="431">
        <f>IF(EF$9&lt;'Operating Assumptions'!$D$53,0,IF(EF$6&gt;'Operating Assumptions'!$AA$8,0,IF('Operating Assumptions'!$G8="Unit Mix Tab",EF$38*EF$36,IF('Operating Assumptions'!$G8="$/Unit/Annual",'Operating Assumptions'!$H8*EF$36/12*EF$22,IF('Operating Assumptions'!$G8="$/Unit/Month",'Operating Assumptions'!$H8*EF$36*EF$22,IF('Operating Assumptions'!$G8="Fixed Amount",'Operating Assumptions'!$H8/12*EF$22,IF('Operating Assumptions'!$G8="$/NSF",'Operating Assumptions'!$H8*'Operating Assumptions'!$D$12/12*EF$22,IF('Operating Assumptions'!$G8="N/A",0))))))))</f>
        <v>555142.20500389556</v>
      </c>
      <c r="EG41" s="431">
        <f>IF(EG$9&lt;'Operating Assumptions'!$D$53,0,IF(EG$6&gt;'Operating Assumptions'!$AA$8,0,IF('Operating Assumptions'!$G8="Unit Mix Tab",EG$38*EG$36,IF('Operating Assumptions'!$G8="$/Unit/Annual",'Operating Assumptions'!$H8*EG$36/12*EG$22,IF('Operating Assumptions'!$G8="$/Unit/Month",'Operating Assumptions'!$H8*EG$36*EG$22,IF('Operating Assumptions'!$G8="Fixed Amount",'Operating Assumptions'!$H8/12*EG$22,IF('Operating Assumptions'!$G8="$/NSF",'Operating Assumptions'!$H8*'Operating Assumptions'!$D$12/12*EG$22,IF('Operating Assumptions'!$G8="N/A",0))))))))</f>
        <v>555142.20500389556</v>
      </c>
      <c r="EH41" s="431">
        <f>IF(EH$9&lt;'Operating Assumptions'!$D$53,0,IF(EH$6&gt;'Operating Assumptions'!$AA$8,0,IF('Operating Assumptions'!$G8="Unit Mix Tab",EH$38*EH$36,IF('Operating Assumptions'!$G8="$/Unit/Annual",'Operating Assumptions'!$H8*EH$36/12*EH$22,IF('Operating Assumptions'!$G8="$/Unit/Month",'Operating Assumptions'!$H8*EH$36*EH$22,IF('Operating Assumptions'!$G8="Fixed Amount",'Operating Assumptions'!$H8/12*EH$22,IF('Operating Assumptions'!$G8="$/NSF",'Operating Assumptions'!$H8*'Operating Assumptions'!$D$12/12*EH$22,IF('Operating Assumptions'!$G8="N/A",0))))))))</f>
        <v>555142.20500389556</v>
      </c>
      <c r="EI41" s="431">
        <f>IF(EI$9&lt;'Operating Assumptions'!$D$53,0,IF(EI$6&gt;'Operating Assumptions'!$AA$8,0,IF('Operating Assumptions'!$G8="Unit Mix Tab",EI$38*EI$36,IF('Operating Assumptions'!$G8="$/Unit/Annual",'Operating Assumptions'!$H8*EI$36/12*EI$22,IF('Operating Assumptions'!$G8="$/Unit/Month",'Operating Assumptions'!$H8*EI$36*EI$22,IF('Operating Assumptions'!$G8="Fixed Amount",'Operating Assumptions'!$H8/12*EI$22,IF('Operating Assumptions'!$G8="$/NSF",'Operating Assumptions'!$H8*'Operating Assumptions'!$D$12/12*EI$22,IF('Operating Assumptions'!$G8="N/A",0))))))))</f>
        <v>555142.20500389556</v>
      </c>
      <c r="EJ41" s="431">
        <f>IF(EJ$9&lt;'Operating Assumptions'!$D$53,0,IF(EJ$6&gt;'Operating Assumptions'!$AA$8,0,IF('Operating Assumptions'!$G8="Unit Mix Tab",EJ$38*EJ$36,IF('Operating Assumptions'!$G8="$/Unit/Annual",'Operating Assumptions'!$H8*EJ$36/12*EJ$22,IF('Operating Assumptions'!$G8="$/Unit/Month",'Operating Assumptions'!$H8*EJ$36*EJ$22,IF('Operating Assumptions'!$G8="Fixed Amount",'Operating Assumptions'!$H8/12*EJ$22,IF('Operating Assumptions'!$G8="$/NSF",'Operating Assumptions'!$H8*'Operating Assumptions'!$D$12/12*EJ$22,IF('Operating Assumptions'!$G8="N/A",0))))))))</f>
        <v>564551.39491921582</v>
      </c>
      <c r="EK41" s="431">
        <f>IF(EK$9&lt;'Operating Assumptions'!$D$53,0,IF(EK$6&gt;'Operating Assumptions'!$AA$8,0,IF('Operating Assumptions'!$G8="Unit Mix Tab",EK$38*EK$36,IF('Operating Assumptions'!$G8="$/Unit/Annual",'Operating Assumptions'!$H8*EK$36/12*EK$22,IF('Operating Assumptions'!$G8="$/Unit/Month",'Operating Assumptions'!$H8*EK$36*EK$22,IF('Operating Assumptions'!$G8="Fixed Amount",'Operating Assumptions'!$H8/12*EK$22,IF('Operating Assumptions'!$G8="$/NSF",'Operating Assumptions'!$H8*'Operating Assumptions'!$D$12/12*EK$22,IF('Operating Assumptions'!$G8="N/A",0))))))))</f>
        <v>564551.39491921582</v>
      </c>
      <c r="EL41" s="431">
        <f>IF(EL$9&lt;'Operating Assumptions'!$D$53,0,IF(EL$6&gt;'Operating Assumptions'!$AA$8,0,IF('Operating Assumptions'!$G8="Unit Mix Tab",EL$38*EL$36,IF('Operating Assumptions'!$G8="$/Unit/Annual",'Operating Assumptions'!$H8*EL$36/12*EL$22,IF('Operating Assumptions'!$G8="$/Unit/Month",'Operating Assumptions'!$H8*EL$36*EL$22,IF('Operating Assumptions'!$G8="Fixed Amount",'Operating Assumptions'!$H8/12*EL$22,IF('Operating Assumptions'!$G8="$/NSF",'Operating Assumptions'!$H8*'Operating Assumptions'!$D$12/12*EL$22,IF('Operating Assumptions'!$G8="N/A",0))))))))</f>
        <v>564551.39491921582</v>
      </c>
      <c r="EM41" s="431">
        <f>IF(EM$9&lt;'Operating Assumptions'!$D$53,0,IF(EM$6&gt;'Operating Assumptions'!$AA$8,0,IF('Operating Assumptions'!$G8="Unit Mix Tab",EM$38*EM$36,IF('Operating Assumptions'!$G8="$/Unit/Annual",'Operating Assumptions'!$H8*EM$36/12*EM$22,IF('Operating Assumptions'!$G8="$/Unit/Month",'Operating Assumptions'!$H8*EM$36*EM$22,IF('Operating Assumptions'!$G8="Fixed Amount",'Operating Assumptions'!$H8/12*EM$22,IF('Operating Assumptions'!$G8="$/NSF",'Operating Assumptions'!$H8*'Operating Assumptions'!$D$12/12*EM$22,IF('Operating Assumptions'!$G8="N/A",0))))))))</f>
        <v>564551.39491921582</v>
      </c>
      <c r="EN41" s="431">
        <f>IF(EN$9&lt;'Operating Assumptions'!$D$53,0,IF(EN$6&gt;'Operating Assumptions'!$AA$8,0,IF('Operating Assumptions'!$G8="Unit Mix Tab",EN$38*EN$36,IF('Operating Assumptions'!$G8="$/Unit/Annual",'Operating Assumptions'!$H8*EN$36/12*EN$22,IF('Operating Assumptions'!$G8="$/Unit/Month",'Operating Assumptions'!$H8*EN$36*EN$22,IF('Operating Assumptions'!$G8="Fixed Amount",'Operating Assumptions'!$H8/12*EN$22,IF('Operating Assumptions'!$G8="$/NSF",'Operating Assumptions'!$H8*'Operating Assumptions'!$D$12/12*EN$22,IF('Operating Assumptions'!$G8="N/A",0))))))))</f>
        <v>564551.39491921582</v>
      </c>
      <c r="EO41" s="431">
        <f>IF(EO$9&lt;'Operating Assumptions'!$D$53,0,IF(EO$6&gt;'Operating Assumptions'!$AA$8,0,IF('Operating Assumptions'!$G8="Unit Mix Tab",EO$38*EO$36,IF('Operating Assumptions'!$G8="$/Unit/Annual",'Operating Assumptions'!$H8*EO$36/12*EO$22,IF('Operating Assumptions'!$G8="$/Unit/Month",'Operating Assumptions'!$H8*EO$36*EO$22,IF('Operating Assumptions'!$G8="Fixed Amount",'Operating Assumptions'!$H8/12*EO$22,IF('Operating Assumptions'!$G8="$/NSF",'Operating Assumptions'!$H8*'Operating Assumptions'!$D$12/12*EO$22,IF('Operating Assumptions'!$G8="N/A",0))))))))</f>
        <v>564551.39491921582</v>
      </c>
      <c r="EP41" s="431">
        <f>IF(EP$9&lt;'Operating Assumptions'!$D$53,0,IF(EP$6&gt;'Operating Assumptions'!$AA$8,0,IF('Operating Assumptions'!$G8="Unit Mix Tab",EP$38*EP$36,IF('Operating Assumptions'!$G8="$/Unit/Annual",'Operating Assumptions'!$H8*EP$36/12*EP$22,IF('Operating Assumptions'!$G8="$/Unit/Month",'Operating Assumptions'!$H8*EP$36*EP$22,IF('Operating Assumptions'!$G8="Fixed Amount",'Operating Assumptions'!$H8/12*EP$22,IF('Operating Assumptions'!$G8="$/NSF",'Operating Assumptions'!$H8*'Operating Assumptions'!$D$12/12*EP$22,IF('Operating Assumptions'!$G8="N/A",0))))))))</f>
        <v>564551.39491921582</v>
      </c>
      <c r="EQ41" s="431">
        <f>IF(EQ$9&lt;'Operating Assumptions'!$D$53,0,IF(EQ$6&gt;'Operating Assumptions'!$AA$8,0,IF('Operating Assumptions'!$G8="Unit Mix Tab",EQ$38*EQ$36,IF('Operating Assumptions'!$G8="$/Unit/Annual",'Operating Assumptions'!$H8*EQ$36/12*EQ$22,IF('Operating Assumptions'!$G8="$/Unit/Month",'Operating Assumptions'!$H8*EQ$36*EQ$22,IF('Operating Assumptions'!$G8="Fixed Amount",'Operating Assumptions'!$H8/12*EQ$22,IF('Operating Assumptions'!$G8="$/NSF",'Operating Assumptions'!$H8*'Operating Assumptions'!$D$12/12*EQ$22,IF('Operating Assumptions'!$G8="N/A",0))))))))</f>
        <v>564551.39491921582</v>
      </c>
      <c r="ER41" s="431">
        <f>IF(ER$9&lt;'Operating Assumptions'!$D$53,0,IF(ER$6&gt;'Operating Assumptions'!$AA$8,0,IF('Operating Assumptions'!$G8="Unit Mix Tab",ER$38*ER$36,IF('Operating Assumptions'!$G8="$/Unit/Annual",'Operating Assumptions'!$H8*ER$36/12*ER$22,IF('Operating Assumptions'!$G8="$/Unit/Month",'Operating Assumptions'!$H8*ER$36*ER$22,IF('Operating Assumptions'!$G8="Fixed Amount",'Operating Assumptions'!$H8/12*ER$22,IF('Operating Assumptions'!$G8="$/NSF",'Operating Assumptions'!$H8*'Operating Assumptions'!$D$12/12*ER$22,IF('Operating Assumptions'!$G8="N/A",0))))))))</f>
        <v>564551.39491921582</v>
      </c>
      <c r="ES41" s="431">
        <f>IF(ES$9&lt;'Operating Assumptions'!$D$53,0,IF(ES$6&gt;'Operating Assumptions'!$AA$8,0,IF('Operating Assumptions'!$G8="Unit Mix Tab",ES$38*ES$36,IF('Operating Assumptions'!$G8="$/Unit/Annual",'Operating Assumptions'!$H8*ES$36/12*ES$22,IF('Operating Assumptions'!$G8="$/Unit/Month",'Operating Assumptions'!$H8*ES$36*ES$22,IF('Operating Assumptions'!$G8="Fixed Amount",'Operating Assumptions'!$H8/12*ES$22,IF('Operating Assumptions'!$G8="$/NSF",'Operating Assumptions'!$H8*'Operating Assumptions'!$D$12/12*ES$22,IF('Operating Assumptions'!$G8="N/A",0))))))))</f>
        <v>564551.39491921582</v>
      </c>
      <c r="ET41" s="431">
        <f>IF(ET$9&lt;'Operating Assumptions'!$D$53,0,IF(ET$6&gt;'Operating Assumptions'!$AA$8,0,IF('Operating Assumptions'!$G8="Unit Mix Tab",ET$38*ET$36,IF('Operating Assumptions'!$G8="$/Unit/Annual",'Operating Assumptions'!$H8*ET$36/12*ET$22,IF('Operating Assumptions'!$G8="$/Unit/Month",'Operating Assumptions'!$H8*ET$36*ET$22,IF('Operating Assumptions'!$G8="Fixed Amount",'Operating Assumptions'!$H8/12*ET$22,IF('Operating Assumptions'!$G8="$/NSF",'Operating Assumptions'!$H8*'Operating Assumptions'!$D$12/12*ET$22,IF('Operating Assumptions'!$G8="N/A",0))))))))</f>
        <v>564551.39491921582</v>
      </c>
      <c r="EU41" s="431">
        <f>IF(EU$9&lt;'Operating Assumptions'!$D$53,0,IF(EU$6&gt;'Operating Assumptions'!$AA$8,0,IF('Operating Assumptions'!$G8="Unit Mix Tab",EU$38*EU$36,IF('Operating Assumptions'!$G8="$/Unit/Annual",'Operating Assumptions'!$H8*EU$36/12*EU$22,IF('Operating Assumptions'!$G8="$/Unit/Month",'Operating Assumptions'!$H8*EU$36*EU$22,IF('Operating Assumptions'!$G8="Fixed Amount",'Operating Assumptions'!$H8/12*EU$22,IF('Operating Assumptions'!$G8="$/NSF",'Operating Assumptions'!$H8*'Operating Assumptions'!$D$12/12*EU$22,IF('Operating Assumptions'!$G8="N/A",0))))))))</f>
        <v>564551.39491921582</v>
      </c>
      <c r="EV41" s="431">
        <f>IF(EV$9&lt;'Operating Assumptions'!$D$53,0,IF(EV$6&gt;'Operating Assumptions'!$AA$8,0,IF('Operating Assumptions'!$G8="Unit Mix Tab",EV$38*EV$36,IF('Operating Assumptions'!$G8="$/Unit/Annual",'Operating Assumptions'!$H8*EV$36/12*EV$22,IF('Operating Assumptions'!$G8="$/Unit/Month",'Operating Assumptions'!$H8*EV$36*EV$22,IF('Operating Assumptions'!$G8="Fixed Amount",'Operating Assumptions'!$H8/12*EV$22,IF('Operating Assumptions'!$G8="$/NSF",'Operating Assumptions'!$H8*'Operating Assumptions'!$D$12/12*EV$22,IF('Operating Assumptions'!$G8="N/A",0))))))))</f>
        <v>0</v>
      </c>
      <c r="EW41" s="431">
        <f>IF(EW$9&lt;'Operating Assumptions'!$D$53,0,IF(EW$6&gt;'Operating Assumptions'!$AA$8,0,IF('Operating Assumptions'!$G8="Unit Mix Tab",EW$38*EW$36,IF('Operating Assumptions'!$G8="$/Unit/Annual",'Operating Assumptions'!$H8*EW$36/12*EW$22,IF('Operating Assumptions'!$G8="$/Unit/Month",'Operating Assumptions'!$H8*EW$36*EW$22,IF('Operating Assumptions'!$G8="Fixed Amount",'Operating Assumptions'!$H8/12*EW$22,IF('Operating Assumptions'!$G8="$/NSF",'Operating Assumptions'!$H8*'Operating Assumptions'!$D$12/12*EW$22,IF('Operating Assumptions'!$G8="N/A",0))))))))</f>
        <v>0</v>
      </c>
      <c r="EX41" s="431">
        <f>IF(EX$9&lt;'Operating Assumptions'!$D$53,0,IF(EX$6&gt;'Operating Assumptions'!$AA$8,0,IF('Operating Assumptions'!$G8="Unit Mix Tab",EX$38*EX$36,IF('Operating Assumptions'!$G8="$/Unit/Annual",'Operating Assumptions'!$H8*EX$36/12*EX$22,IF('Operating Assumptions'!$G8="$/Unit/Month",'Operating Assumptions'!$H8*EX$36*EX$22,IF('Operating Assumptions'!$G8="Fixed Amount",'Operating Assumptions'!$H8/12*EX$22,IF('Operating Assumptions'!$G8="$/NSF",'Operating Assumptions'!$H8*'Operating Assumptions'!$D$12/12*EX$22,IF('Operating Assumptions'!$G8="N/A",0))))))))</f>
        <v>0</v>
      </c>
      <c r="EY41" s="431">
        <f>IF(EY$9&lt;'Operating Assumptions'!$D$53,0,IF(EY$6&gt;'Operating Assumptions'!$AA$8,0,IF('Operating Assumptions'!$G8="Unit Mix Tab",EY$38*EY$36,IF('Operating Assumptions'!$G8="$/Unit/Annual",'Operating Assumptions'!$H8*EY$36/12*EY$22,IF('Operating Assumptions'!$G8="$/Unit/Month",'Operating Assumptions'!$H8*EY$36*EY$22,IF('Operating Assumptions'!$G8="Fixed Amount",'Operating Assumptions'!$H8/12*EY$22,IF('Operating Assumptions'!$G8="$/NSF",'Operating Assumptions'!$H8*'Operating Assumptions'!$D$12/12*EY$22,IF('Operating Assumptions'!$G8="N/A",0))))))))</f>
        <v>0</v>
      </c>
      <c r="EZ41" s="431">
        <f>IF(EZ$9&lt;'Operating Assumptions'!$D$53,0,IF(EZ$6&gt;'Operating Assumptions'!$AA$8,0,IF('Operating Assumptions'!$G8="Unit Mix Tab",EZ$38*EZ$36,IF('Operating Assumptions'!$G8="$/Unit/Annual",'Operating Assumptions'!$H8*EZ$36/12*EZ$22,IF('Operating Assumptions'!$G8="$/Unit/Month",'Operating Assumptions'!$H8*EZ$36*EZ$22,IF('Operating Assumptions'!$G8="Fixed Amount",'Operating Assumptions'!$H8/12*EZ$22,IF('Operating Assumptions'!$G8="$/NSF",'Operating Assumptions'!$H8*'Operating Assumptions'!$D$12/12*EZ$22,IF('Operating Assumptions'!$G8="N/A",0))))))))</f>
        <v>0</v>
      </c>
      <c r="FA41" s="431">
        <f>IF(FA$9&lt;'Operating Assumptions'!$D$53,0,IF(FA$6&gt;'Operating Assumptions'!$AA$8,0,IF('Operating Assumptions'!$G8="Unit Mix Tab",FA$38*FA$36,IF('Operating Assumptions'!$G8="$/Unit/Annual",'Operating Assumptions'!$H8*FA$36/12*FA$22,IF('Operating Assumptions'!$G8="$/Unit/Month",'Operating Assumptions'!$H8*FA$36*FA$22,IF('Operating Assumptions'!$G8="Fixed Amount",'Operating Assumptions'!$H8/12*FA$22,IF('Operating Assumptions'!$G8="$/NSF",'Operating Assumptions'!$H8*'Operating Assumptions'!$D$12/12*FA$22,IF('Operating Assumptions'!$G8="N/A",0))))))))</f>
        <v>0</v>
      </c>
      <c r="FB41" s="431">
        <f>IF(FB$9&lt;'Operating Assumptions'!$D$53,0,IF(FB$6&gt;'Operating Assumptions'!$AA$8,0,IF('Operating Assumptions'!$G8="Unit Mix Tab",FB$38*FB$36,IF('Operating Assumptions'!$G8="$/Unit/Annual",'Operating Assumptions'!$H8*FB$36/12*FB$22,IF('Operating Assumptions'!$G8="$/Unit/Month",'Operating Assumptions'!$H8*FB$36*FB$22,IF('Operating Assumptions'!$G8="Fixed Amount",'Operating Assumptions'!$H8/12*FB$22,IF('Operating Assumptions'!$G8="$/NSF",'Operating Assumptions'!$H8*'Operating Assumptions'!$D$12/12*FB$22,IF('Operating Assumptions'!$G8="N/A",0))))))))</f>
        <v>0</v>
      </c>
      <c r="FC41" s="431">
        <f>IF(FC$9&lt;'Operating Assumptions'!$D$53,0,IF(FC$6&gt;'Operating Assumptions'!$AA$8,0,IF('Operating Assumptions'!$G8="Unit Mix Tab",FC$38*FC$36,IF('Operating Assumptions'!$G8="$/Unit/Annual",'Operating Assumptions'!$H8*FC$36/12*FC$22,IF('Operating Assumptions'!$G8="$/Unit/Month",'Operating Assumptions'!$H8*FC$36*FC$22,IF('Operating Assumptions'!$G8="Fixed Amount",'Operating Assumptions'!$H8/12*FC$22,IF('Operating Assumptions'!$G8="$/NSF",'Operating Assumptions'!$H8*'Operating Assumptions'!$D$12/12*FC$22,IF('Operating Assumptions'!$G8="N/A",0))))))))</f>
        <v>0</v>
      </c>
      <c r="FD41" s="431">
        <f>IF(FD$9&lt;'Operating Assumptions'!$D$53,0,IF(FD$6&gt;'Operating Assumptions'!$AA$8,0,IF('Operating Assumptions'!$G8="Unit Mix Tab",FD$38*FD$36,IF('Operating Assumptions'!$G8="$/Unit/Annual",'Operating Assumptions'!$H8*FD$36/12*FD$22,IF('Operating Assumptions'!$G8="$/Unit/Month",'Operating Assumptions'!$H8*FD$36*FD$22,IF('Operating Assumptions'!$G8="Fixed Amount",'Operating Assumptions'!$H8/12*FD$22,IF('Operating Assumptions'!$G8="$/NSF",'Operating Assumptions'!$H8*'Operating Assumptions'!$D$12/12*FD$22,IF('Operating Assumptions'!$G8="N/A",0))))))))</f>
        <v>0</v>
      </c>
      <c r="FE41" s="431">
        <f>IF(FE$9&lt;'Operating Assumptions'!$D$53,0,IF(FE$6&gt;'Operating Assumptions'!$AA$8,0,IF('Operating Assumptions'!$G8="Unit Mix Tab",FE$38*FE$36,IF('Operating Assumptions'!$G8="$/Unit/Annual",'Operating Assumptions'!$H8*FE$36/12*FE$22,IF('Operating Assumptions'!$G8="$/Unit/Month",'Operating Assumptions'!$H8*FE$36*FE$22,IF('Operating Assumptions'!$G8="Fixed Amount",'Operating Assumptions'!$H8/12*FE$22,IF('Operating Assumptions'!$G8="$/NSF",'Operating Assumptions'!$H8*'Operating Assumptions'!$D$12/12*FE$22,IF('Operating Assumptions'!$G8="N/A",0))))))))</f>
        <v>0</v>
      </c>
      <c r="FF41" s="431">
        <f>IF(FF$9&lt;'Operating Assumptions'!$D$53,0,IF(FF$6&gt;'Operating Assumptions'!$AA$8,0,IF('Operating Assumptions'!$G8="Unit Mix Tab",FF$38*FF$36,IF('Operating Assumptions'!$G8="$/Unit/Annual",'Operating Assumptions'!$H8*FF$36/12*FF$22,IF('Operating Assumptions'!$G8="$/Unit/Month",'Operating Assumptions'!$H8*FF$36*FF$22,IF('Operating Assumptions'!$G8="Fixed Amount",'Operating Assumptions'!$H8/12*FF$22,IF('Operating Assumptions'!$G8="$/NSF",'Operating Assumptions'!$H8*'Operating Assumptions'!$D$12/12*FF$22,IF('Operating Assumptions'!$G8="N/A",0))))))))</f>
        <v>0</v>
      </c>
      <c r="FG41" s="431">
        <f>IF(FG$9&lt;'Operating Assumptions'!$D$53,0,IF(FG$6&gt;'Operating Assumptions'!$AA$8,0,IF('Operating Assumptions'!$G8="Unit Mix Tab",FG$38*FG$36,IF('Operating Assumptions'!$G8="$/Unit/Annual",'Operating Assumptions'!$H8*FG$36/12*FG$22,IF('Operating Assumptions'!$G8="$/Unit/Month",'Operating Assumptions'!$H8*FG$36*FG$22,IF('Operating Assumptions'!$G8="Fixed Amount",'Operating Assumptions'!$H8/12*FG$22,IF('Operating Assumptions'!$G8="$/NSF",'Operating Assumptions'!$H8*'Operating Assumptions'!$D$12/12*FG$22,IF('Operating Assumptions'!$G8="N/A",0))))))))</f>
        <v>0</v>
      </c>
      <c r="FH41" s="431">
        <f>IF(FH$9&lt;'Operating Assumptions'!$D$53,0,IF(FH$6&gt;'Operating Assumptions'!$AA$8,0,IF('Operating Assumptions'!$G8="Unit Mix Tab",FH$38*FH$36,IF('Operating Assumptions'!$G8="$/Unit/Annual",'Operating Assumptions'!$H8*FH$36/12*FH$22,IF('Operating Assumptions'!$G8="$/Unit/Month",'Operating Assumptions'!$H8*FH$36*FH$22,IF('Operating Assumptions'!$G8="Fixed Amount",'Operating Assumptions'!$H8/12*FH$22,IF('Operating Assumptions'!$G8="$/NSF",'Operating Assumptions'!$H8*'Operating Assumptions'!$D$12/12*FH$22,IF('Operating Assumptions'!$G8="N/A",0))))))))</f>
        <v>0</v>
      </c>
      <c r="FI41" s="431">
        <f>IF(FI$9&lt;'Operating Assumptions'!$D$53,0,IF(FI$6&gt;'Operating Assumptions'!$AA$8,0,IF('Operating Assumptions'!$G8="Unit Mix Tab",FI$38*FI$36,IF('Operating Assumptions'!$G8="$/Unit/Annual",'Operating Assumptions'!$H8*FI$36/12*FI$22,IF('Operating Assumptions'!$G8="$/Unit/Month",'Operating Assumptions'!$H8*FI$36*FI$22,IF('Operating Assumptions'!$G8="Fixed Amount",'Operating Assumptions'!$H8/12*FI$22,IF('Operating Assumptions'!$G8="$/NSF",'Operating Assumptions'!$H8*'Operating Assumptions'!$D$12/12*FI$22,IF('Operating Assumptions'!$G8="N/A",0))))))))</f>
        <v>0</v>
      </c>
      <c r="FJ41" s="431">
        <f>IF(FJ$9&lt;'Operating Assumptions'!$D$53,0,IF(FJ$6&gt;'Operating Assumptions'!$AA$8,0,IF('Operating Assumptions'!$G8="Unit Mix Tab",FJ$38*FJ$36,IF('Operating Assumptions'!$G8="$/Unit/Annual",'Operating Assumptions'!$H8*FJ$36/12*FJ$22,IF('Operating Assumptions'!$G8="$/Unit/Month",'Operating Assumptions'!$H8*FJ$36*FJ$22,IF('Operating Assumptions'!$G8="Fixed Amount",'Operating Assumptions'!$H8/12*FJ$22,IF('Operating Assumptions'!$G8="$/NSF",'Operating Assumptions'!$H8*'Operating Assumptions'!$D$12/12*FJ$22,IF('Operating Assumptions'!$G8="N/A",0))))))))</f>
        <v>0</v>
      </c>
      <c r="FK41" s="431">
        <f>IF(FK$9&lt;'Operating Assumptions'!$D$53,0,IF(FK$6&gt;'Operating Assumptions'!$AA$8,0,IF('Operating Assumptions'!$G8="Unit Mix Tab",FK$38*FK$36,IF('Operating Assumptions'!$G8="$/Unit/Annual",'Operating Assumptions'!$H8*FK$36/12*FK$22,IF('Operating Assumptions'!$G8="$/Unit/Month",'Operating Assumptions'!$H8*FK$36*FK$22,IF('Operating Assumptions'!$G8="Fixed Amount",'Operating Assumptions'!$H8/12*FK$22,IF('Operating Assumptions'!$G8="$/NSF",'Operating Assumptions'!$H8*'Operating Assumptions'!$D$12/12*FK$22,IF('Operating Assumptions'!$G8="N/A",0))))))))</f>
        <v>0</v>
      </c>
      <c r="FL41" s="431">
        <f>IF(FL$9&lt;'Operating Assumptions'!$D$53,0,IF(FL$6&gt;'Operating Assumptions'!$AA$8,0,IF('Operating Assumptions'!$G8="Unit Mix Tab",FL$38*FL$36,IF('Operating Assumptions'!$G8="$/Unit/Annual",'Operating Assumptions'!$H8*FL$36/12*FL$22,IF('Operating Assumptions'!$G8="$/Unit/Month",'Operating Assumptions'!$H8*FL$36*FL$22,IF('Operating Assumptions'!$G8="Fixed Amount",'Operating Assumptions'!$H8/12*FL$22,IF('Operating Assumptions'!$G8="$/NSF",'Operating Assumptions'!$H8*'Operating Assumptions'!$D$12/12*FL$22,IF('Operating Assumptions'!$G8="N/A",0))))))))</f>
        <v>0</v>
      </c>
      <c r="FM41" s="431">
        <f>IF(FM$9&lt;'Operating Assumptions'!$D$53,0,IF(FM$6&gt;'Operating Assumptions'!$AA$8,0,IF('Operating Assumptions'!$G8="Unit Mix Tab",FM$38*FM$36,IF('Operating Assumptions'!$G8="$/Unit/Annual",'Operating Assumptions'!$H8*FM$36/12*FM$22,IF('Operating Assumptions'!$G8="$/Unit/Month",'Operating Assumptions'!$H8*FM$36*FM$22,IF('Operating Assumptions'!$G8="Fixed Amount",'Operating Assumptions'!$H8/12*FM$22,IF('Operating Assumptions'!$G8="$/NSF",'Operating Assumptions'!$H8*'Operating Assumptions'!$D$12/12*FM$22,IF('Operating Assumptions'!$G8="N/A",0))))))))</f>
        <v>0</v>
      </c>
      <c r="FN41" s="431">
        <f>IF(FN$9&lt;'Operating Assumptions'!$D$53,0,IF(FN$6&gt;'Operating Assumptions'!$AA$8,0,IF('Operating Assumptions'!$G8="Unit Mix Tab",FN$38*FN$36,IF('Operating Assumptions'!$G8="$/Unit/Annual",'Operating Assumptions'!$H8*FN$36/12*FN$22,IF('Operating Assumptions'!$G8="$/Unit/Month",'Operating Assumptions'!$H8*FN$36*FN$22,IF('Operating Assumptions'!$G8="Fixed Amount",'Operating Assumptions'!$H8/12*FN$22,IF('Operating Assumptions'!$G8="$/NSF",'Operating Assumptions'!$H8*'Operating Assumptions'!$D$12/12*FN$22,IF('Operating Assumptions'!$G8="N/A",0))))))))</f>
        <v>0</v>
      </c>
      <c r="FO41" s="431">
        <f>IF(FO$9&lt;'Operating Assumptions'!$D$53,0,IF(FO$6&gt;'Operating Assumptions'!$AA$8,0,IF('Operating Assumptions'!$G8="Unit Mix Tab",FO$38*FO$36,IF('Operating Assumptions'!$G8="$/Unit/Annual",'Operating Assumptions'!$H8*FO$36/12*FO$22,IF('Operating Assumptions'!$G8="$/Unit/Month",'Operating Assumptions'!$H8*FO$36*FO$22,IF('Operating Assumptions'!$G8="Fixed Amount",'Operating Assumptions'!$H8/12*FO$22,IF('Operating Assumptions'!$G8="$/NSF",'Operating Assumptions'!$H8*'Operating Assumptions'!$D$12/12*FO$22,IF('Operating Assumptions'!$G8="N/A",0))))))))</f>
        <v>0</v>
      </c>
      <c r="FP41" s="431">
        <f>IF(FP$9&lt;'Operating Assumptions'!$D$53,0,IF(FP$6&gt;'Operating Assumptions'!$AA$8,0,IF('Operating Assumptions'!$G8="Unit Mix Tab",FP$38*FP$36,IF('Operating Assumptions'!$G8="$/Unit/Annual",'Operating Assumptions'!$H8*FP$36/12*FP$22,IF('Operating Assumptions'!$G8="$/Unit/Month",'Operating Assumptions'!$H8*FP$36*FP$22,IF('Operating Assumptions'!$G8="Fixed Amount",'Operating Assumptions'!$H8/12*FP$22,IF('Operating Assumptions'!$G8="$/NSF",'Operating Assumptions'!$H8*'Operating Assumptions'!$D$12/12*FP$22,IF('Operating Assumptions'!$G8="N/A",0))))))))</f>
        <v>0</v>
      </c>
      <c r="FQ41" s="431">
        <f>IF(FQ$9&lt;'Operating Assumptions'!$D$53,0,IF(FQ$6&gt;'Operating Assumptions'!$AA$8,0,IF('Operating Assumptions'!$G8="Unit Mix Tab",FQ$38*FQ$36,IF('Operating Assumptions'!$G8="$/Unit/Annual",'Operating Assumptions'!$H8*FQ$36/12*FQ$22,IF('Operating Assumptions'!$G8="$/Unit/Month",'Operating Assumptions'!$H8*FQ$36*FQ$22,IF('Operating Assumptions'!$G8="Fixed Amount",'Operating Assumptions'!$H8/12*FQ$22,IF('Operating Assumptions'!$G8="$/NSF",'Operating Assumptions'!$H8*'Operating Assumptions'!$D$12/12*FQ$22,IF('Operating Assumptions'!$G8="N/A",0))))))))</f>
        <v>0</v>
      </c>
      <c r="FR41" s="431">
        <f>IF(FR$9&lt;'Operating Assumptions'!$D$53,0,IF(FR$6&gt;'Operating Assumptions'!$AA$8,0,IF('Operating Assumptions'!$G8="Unit Mix Tab",FR$38*FR$36,IF('Operating Assumptions'!$G8="$/Unit/Annual",'Operating Assumptions'!$H8*FR$36/12*FR$22,IF('Operating Assumptions'!$G8="$/Unit/Month",'Operating Assumptions'!$H8*FR$36*FR$22,IF('Operating Assumptions'!$G8="Fixed Amount",'Operating Assumptions'!$H8/12*FR$22,IF('Operating Assumptions'!$G8="$/NSF",'Operating Assumptions'!$H8*'Operating Assumptions'!$D$12/12*FR$22,IF('Operating Assumptions'!$G8="N/A",0))))))))</f>
        <v>0</v>
      </c>
      <c r="FS41" s="431">
        <f>IF(FS$9&lt;'Operating Assumptions'!$D$53,0,IF(FS$6&gt;'Operating Assumptions'!$AA$8,0,IF('Operating Assumptions'!$G8="Unit Mix Tab",FS$38*FS$36,IF('Operating Assumptions'!$G8="$/Unit/Annual",'Operating Assumptions'!$H8*FS$36/12*FS$22,IF('Operating Assumptions'!$G8="$/Unit/Month",'Operating Assumptions'!$H8*FS$36*FS$22,IF('Operating Assumptions'!$G8="Fixed Amount",'Operating Assumptions'!$H8/12*FS$22,IF('Operating Assumptions'!$G8="$/NSF",'Operating Assumptions'!$H8*'Operating Assumptions'!$D$12/12*FS$22,IF('Operating Assumptions'!$G8="N/A",0))))))))</f>
        <v>0</v>
      </c>
      <c r="FT41" s="431">
        <f>IF(FT$9&lt;'Operating Assumptions'!$D$53,0,IF(FT$6&gt;'Operating Assumptions'!$AA$8,0,IF('Operating Assumptions'!$G8="Unit Mix Tab",FT$38*FT$36,IF('Operating Assumptions'!$G8="$/Unit/Annual",'Operating Assumptions'!$H8*FT$36/12*FT$22,IF('Operating Assumptions'!$G8="$/Unit/Month",'Operating Assumptions'!$H8*FT$36*FT$22,IF('Operating Assumptions'!$G8="Fixed Amount",'Operating Assumptions'!$H8/12*FT$22,IF('Operating Assumptions'!$G8="$/NSF",'Operating Assumptions'!$H8*'Operating Assumptions'!$D$12/12*FT$22,IF('Operating Assumptions'!$G8="N/A",0))))))))</f>
        <v>0</v>
      </c>
      <c r="FU41" s="43"/>
      <c r="FV41" s="34"/>
      <c r="FW41" s="34"/>
      <c r="FX41" s="34"/>
      <c r="FY41" s="34"/>
      <c r="FZ41" s="34"/>
    </row>
    <row r="42" spans="1:182" s="89" customFormat="1" ht="13.5" x14ac:dyDescent="0.25">
      <c r="A42" s="34"/>
      <c r="B42" s="128"/>
      <c r="C42" s="34"/>
      <c r="D42" s="34"/>
      <c r="E42" s="34"/>
      <c r="F42" s="434"/>
      <c r="G42" s="34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  <c r="S42" s="427"/>
      <c r="T42" s="427"/>
      <c r="U42" s="427"/>
      <c r="V42" s="427"/>
      <c r="W42" s="427"/>
      <c r="X42" s="427"/>
      <c r="Y42" s="427"/>
      <c r="Z42" s="427"/>
      <c r="AA42" s="427"/>
      <c r="AB42" s="427"/>
      <c r="AC42" s="427"/>
      <c r="AD42" s="427"/>
      <c r="AE42" s="427"/>
      <c r="AF42" s="427"/>
      <c r="AG42" s="427"/>
      <c r="AH42" s="427"/>
      <c r="AI42" s="427"/>
      <c r="AJ42" s="427"/>
      <c r="AK42" s="427"/>
      <c r="AL42" s="427"/>
      <c r="AM42" s="427"/>
      <c r="AN42" s="427"/>
      <c r="AO42" s="427"/>
      <c r="AP42" s="427"/>
      <c r="AQ42" s="427"/>
      <c r="AR42" s="427"/>
      <c r="AS42" s="427"/>
      <c r="AT42" s="427"/>
      <c r="AU42" s="427"/>
      <c r="AV42" s="427"/>
      <c r="AW42" s="427"/>
      <c r="AX42" s="427"/>
      <c r="AY42" s="427"/>
      <c r="AZ42" s="427"/>
      <c r="BA42" s="427"/>
      <c r="BB42" s="427"/>
      <c r="BC42" s="427"/>
      <c r="BD42" s="427"/>
      <c r="BE42" s="427"/>
      <c r="BF42" s="427"/>
      <c r="BG42" s="427"/>
      <c r="BH42" s="427"/>
      <c r="BI42" s="427"/>
      <c r="BJ42" s="427"/>
      <c r="BK42" s="427"/>
      <c r="BL42" s="427"/>
      <c r="BM42" s="427"/>
      <c r="BN42" s="427"/>
      <c r="BO42" s="427"/>
      <c r="BP42" s="427"/>
      <c r="BQ42" s="427"/>
      <c r="BR42" s="427"/>
      <c r="BS42" s="427"/>
      <c r="BT42" s="427"/>
      <c r="BU42" s="427"/>
      <c r="BV42" s="427"/>
      <c r="BW42" s="427"/>
      <c r="BX42" s="427"/>
      <c r="BY42" s="427"/>
      <c r="BZ42" s="427"/>
      <c r="CA42" s="427"/>
      <c r="CB42" s="427"/>
      <c r="CC42" s="427"/>
      <c r="CD42" s="427"/>
      <c r="CE42" s="427"/>
      <c r="CF42" s="427"/>
      <c r="CG42" s="427"/>
      <c r="CH42" s="427"/>
      <c r="CI42" s="427"/>
      <c r="CJ42" s="427"/>
      <c r="CK42" s="427"/>
      <c r="CL42" s="427"/>
      <c r="CM42" s="427"/>
      <c r="CN42" s="427"/>
      <c r="CO42" s="427"/>
      <c r="CP42" s="427"/>
      <c r="CQ42" s="427"/>
      <c r="CR42" s="427"/>
      <c r="CS42" s="427"/>
      <c r="CT42" s="427"/>
      <c r="CU42" s="427"/>
      <c r="CV42" s="427"/>
      <c r="CW42" s="427"/>
      <c r="CX42" s="427"/>
      <c r="CY42" s="427"/>
      <c r="CZ42" s="427"/>
      <c r="DA42" s="427"/>
      <c r="DB42" s="427"/>
      <c r="DC42" s="427"/>
      <c r="DD42" s="427"/>
      <c r="DE42" s="427"/>
      <c r="DF42" s="427"/>
      <c r="DG42" s="427"/>
      <c r="DH42" s="427"/>
      <c r="DI42" s="427"/>
      <c r="DJ42" s="427"/>
      <c r="DK42" s="427"/>
      <c r="DL42" s="427"/>
      <c r="DM42" s="427"/>
      <c r="DN42" s="427"/>
      <c r="DO42" s="427"/>
      <c r="DP42" s="427"/>
      <c r="DQ42" s="427"/>
      <c r="DR42" s="427"/>
      <c r="DS42" s="427"/>
      <c r="DT42" s="427"/>
      <c r="DU42" s="427"/>
      <c r="DV42" s="427"/>
      <c r="DW42" s="427"/>
      <c r="DX42" s="427"/>
      <c r="DY42" s="427"/>
      <c r="DZ42" s="427"/>
      <c r="EA42" s="427"/>
      <c r="EB42" s="427"/>
      <c r="EC42" s="427"/>
      <c r="ED42" s="427"/>
      <c r="EE42" s="427"/>
      <c r="EF42" s="427"/>
      <c r="EG42" s="427"/>
      <c r="EH42" s="427"/>
      <c r="EI42" s="427"/>
      <c r="EJ42" s="427"/>
      <c r="EK42" s="427"/>
      <c r="EL42" s="427"/>
      <c r="EM42" s="427"/>
      <c r="EN42" s="427"/>
      <c r="EO42" s="427"/>
      <c r="EP42" s="427"/>
      <c r="EQ42" s="427"/>
      <c r="ER42" s="427"/>
      <c r="ES42" s="427"/>
      <c r="ET42" s="427"/>
      <c r="EU42" s="427"/>
      <c r="EV42" s="427"/>
      <c r="EW42" s="427"/>
      <c r="EX42" s="427"/>
      <c r="EY42" s="427"/>
      <c r="EZ42" s="427"/>
      <c r="FA42" s="427"/>
      <c r="FB42" s="427"/>
      <c r="FC42" s="427"/>
      <c r="FD42" s="427"/>
      <c r="FE42" s="427"/>
      <c r="FF42" s="427"/>
      <c r="FG42" s="427"/>
      <c r="FH42" s="427"/>
      <c r="FI42" s="427"/>
      <c r="FJ42" s="427"/>
      <c r="FK42" s="427"/>
      <c r="FL42" s="427"/>
      <c r="FM42" s="427"/>
      <c r="FN42" s="427"/>
      <c r="FO42" s="427"/>
      <c r="FP42" s="427"/>
      <c r="FQ42" s="427"/>
      <c r="FR42" s="427"/>
      <c r="FS42" s="427"/>
      <c r="FT42" s="427"/>
      <c r="FU42" s="43"/>
      <c r="FV42" s="34"/>
      <c r="FW42" s="34"/>
      <c r="FX42" s="34"/>
      <c r="FY42" s="34"/>
      <c r="FZ42" s="34"/>
    </row>
    <row r="43" spans="1:182" s="89" customFormat="1" ht="13.5" x14ac:dyDescent="0.25">
      <c r="A43" s="34"/>
      <c r="B43" s="73" t="s">
        <v>496</v>
      </c>
      <c r="C43" s="34"/>
      <c r="D43" s="34"/>
      <c r="E43" s="34"/>
      <c r="F43" s="434"/>
      <c r="G43" s="34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  <c r="S43" s="427"/>
      <c r="T43" s="427"/>
      <c r="U43" s="427"/>
      <c r="V43" s="427"/>
      <c r="W43" s="427"/>
      <c r="X43" s="427"/>
      <c r="Y43" s="427"/>
      <c r="Z43" s="427"/>
      <c r="AA43" s="427"/>
      <c r="AB43" s="427"/>
      <c r="AC43" s="427"/>
      <c r="AD43" s="427"/>
      <c r="AE43" s="427"/>
      <c r="AF43" s="427"/>
      <c r="AG43" s="427"/>
      <c r="AH43" s="427"/>
      <c r="AI43" s="427"/>
      <c r="AJ43" s="427"/>
      <c r="AK43" s="427"/>
      <c r="AL43" s="427"/>
      <c r="AM43" s="427"/>
      <c r="AN43" s="427"/>
      <c r="AO43" s="427"/>
      <c r="AP43" s="427"/>
      <c r="AQ43" s="427"/>
      <c r="AR43" s="427"/>
      <c r="AS43" s="427"/>
      <c r="AT43" s="427"/>
      <c r="AU43" s="427"/>
      <c r="AV43" s="427"/>
      <c r="AW43" s="427"/>
      <c r="AX43" s="427"/>
      <c r="AY43" s="427"/>
      <c r="AZ43" s="427"/>
      <c r="BA43" s="427"/>
      <c r="BB43" s="427"/>
      <c r="BC43" s="427"/>
      <c r="BD43" s="427"/>
      <c r="BE43" s="427"/>
      <c r="BF43" s="427"/>
      <c r="BG43" s="427"/>
      <c r="BH43" s="427"/>
      <c r="BI43" s="427"/>
      <c r="BJ43" s="427"/>
      <c r="BK43" s="427"/>
      <c r="BL43" s="427"/>
      <c r="BM43" s="427"/>
      <c r="BN43" s="427"/>
      <c r="BO43" s="427"/>
      <c r="BP43" s="427"/>
      <c r="BQ43" s="427"/>
      <c r="BR43" s="427"/>
      <c r="BS43" s="427"/>
      <c r="BT43" s="427"/>
      <c r="BU43" s="427"/>
      <c r="BV43" s="427"/>
      <c r="BW43" s="427"/>
      <c r="BX43" s="427"/>
      <c r="BY43" s="427"/>
      <c r="BZ43" s="427"/>
      <c r="CA43" s="427"/>
      <c r="CB43" s="427"/>
      <c r="CC43" s="427"/>
      <c r="CD43" s="427"/>
      <c r="CE43" s="427"/>
      <c r="CF43" s="427"/>
      <c r="CG43" s="427"/>
      <c r="CH43" s="427"/>
      <c r="CI43" s="427"/>
      <c r="CJ43" s="427"/>
      <c r="CK43" s="427"/>
      <c r="CL43" s="427"/>
      <c r="CM43" s="427"/>
      <c r="CN43" s="427"/>
      <c r="CO43" s="427"/>
      <c r="CP43" s="427"/>
      <c r="CQ43" s="427"/>
      <c r="CR43" s="427"/>
      <c r="CS43" s="427"/>
      <c r="CT43" s="427"/>
      <c r="CU43" s="427"/>
      <c r="CV43" s="427"/>
      <c r="CW43" s="427"/>
      <c r="CX43" s="427"/>
      <c r="CY43" s="427"/>
      <c r="CZ43" s="427"/>
      <c r="DA43" s="427"/>
      <c r="DB43" s="427"/>
      <c r="DC43" s="427"/>
      <c r="DD43" s="427"/>
      <c r="DE43" s="427"/>
      <c r="DF43" s="427"/>
      <c r="DG43" s="427"/>
      <c r="DH43" s="427"/>
      <c r="DI43" s="427"/>
      <c r="DJ43" s="427"/>
      <c r="DK43" s="427"/>
      <c r="DL43" s="427"/>
      <c r="DM43" s="427"/>
      <c r="DN43" s="427"/>
      <c r="DO43" s="427"/>
      <c r="DP43" s="427"/>
      <c r="DQ43" s="427"/>
      <c r="DR43" s="427"/>
      <c r="DS43" s="427"/>
      <c r="DT43" s="427"/>
      <c r="DU43" s="427"/>
      <c r="DV43" s="427"/>
      <c r="DW43" s="427"/>
      <c r="DX43" s="427"/>
      <c r="DY43" s="427"/>
      <c r="DZ43" s="427"/>
      <c r="EA43" s="427"/>
      <c r="EB43" s="427"/>
      <c r="EC43" s="427"/>
      <c r="ED43" s="427"/>
      <c r="EE43" s="427"/>
      <c r="EF43" s="427"/>
      <c r="EG43" s="427"/>
      <c r="EH43" s="427"/>
      <c r="EI43" s="427"/>
      <c r="EJ43" s="427"/>
      <c r="EK43" s="427"/>
      <c r="EL43" s="427"/>
      <c r="EM43" s="427"/>
      <c r="EN43" s="427"/>
      <c r="EO43" s="427"/>
      <c r="EP43" s="427"/>
      <c r="EQ43" s="427"/>
      <c r="ER43" s="427"/>
      <c r="ES43" s="427"/>
      <c r="ET43" s="427"/>
      <c r="EU43" s="427"/>
      <c r="EV43" s="427"/>
      <c r="EW43" s="427"/>
      <c r="EX43" s="427"/>
      <c r="EY43" s="427"/>
      <c r="EZ43" s="427"/>
      <c r="FA43" s="427"/>
      <c r="FB43" s="427"/>
      <c r="FC43" s="427"/>
      <c r="FD43" s="427"/>
      <c r="FE43" s="427"/>
      <c r="FF43" s="427"/>
      <c r="FG43" s="427"/>
      <c r="FH43" s="427"/>
      <c r="FI43" s="427"/>
      <c r="FJ43" s="427"/>
      <c r="FK43" s="427"/>
      <c r="FL43" s="427"/>
      <c r="FM43" s="427"/>
      <c r="FN43" s="427"/>
      <c r="FO43" s="427"/>
      <c r="FP43" s="427"/>
      <c r="FQ43" s="427"/>
      <c r="FR43" s="427"/>
      <c r="FS43" s="427"/>
      <c r="FT43" s="427"/>
      <c r="FU43" s="43"/>
      <c r="FV43" s="34"/>
      <c r="FW43" s="34"/>
      <c r="FX43" s="34"/>
      <c r="FY43" s="34"/>
      <c r="FZ43" s="34"/>
    </row>
    <row r="44" spans="1:182" s="1289" customFormat="1" ht="13.5" x14ac:dyDescent="0.25">
      <c r="A44" s="435"/>
      <c r="B44" s="1287" t="str">
        <f>'Operating Assumptions'!F11</f>
        <v>Unit Premium</v>
      </c>
      <c r="C44" s="435"/>
      <c r="D44" s="435"/>
      <c r="E44" s="435"/>
      <c r="F44" s="1288">
        <f t="shared" ref="F44:F57" si="148">SUM(H44:FT44)</f>
        <v>1466845.4166666667</v>
      </c>
      <c r="G44" s="435"/>
      <c r="H44" s="436">
        <f>IF(H$9&lt;'Operating Assumptions'!$D$53,0,IF(H$6&gt;'Operating Assumptions'!$AA$8,0,IF(AND('Operating Assumptions'!$G11="$/Unit/Annual",H36='Operating Assumptions'!$D$14),'Operating Assumptions'!$H11*('Monthly CF'!H$36-'Operating Assumptions'!$D$15)/12*H$23,IF(AND('Operating Assumptions'!$G11="$/Unit/Annual",H36&lt;'Operating Assumptions'!$D$14,'Operating Assumptions'!$D$15=0),'Operating Assumptions'!$H11*'Monthly CF'!H$36/12*H$23,IF(AND('Operating Assumptions'!$G11="$/Unit/Annual",H36&lt;'Operating Assumptions'!$D$14,'Operating Assumptions'!$D$15&gt;0),'Operating Assumptions'!$H11*('Monthly CF'!H$36*'Operating Assumptions'!$C$15)/12*H$23,IF(AND('Operating Assumptions'!$G11="$/Unit/Month",H36='Operating Assumptions'!$D$14),'Operating Assumptions'!$H11*('Monthly CF'!H$36-'Operating Assumptions'!$D$15)*H$23,IF(AND('Operating Assumptions'!$G11="$/Unit/Month",H36&lt;'Operating Assumptions'!$D$14,'Operating Assumptions'!$D$15=0),'Operating Assumptions'!$H11*'Monthly CF'!H$36*H$23,IF(AND('Operating Assumptions'!$G11="$/Unit/Month",H36&lt;'Operating Assumptions'!$D$14,'Operating Assumptions'!$D$15&gt;0),'Operating Assumptions'!$H11*('Monthly CF'!H$36*'Operating Assumptions'!$C$15)*H$23,IF('Operating Assumptions'!$G11="Fixed Amount",'Operating Assumptions'!$H11/12*H$23,IF('Operating Assumptions'!$G11="$/NSF",'Operating Assumptions'!$H11*'Operating Assumptions'!$D$12/12*H$23,IF('Operating Assumptions'!$G11="N/A",0)))))))))))</f>
        <v>0</v>
      </c>
      <c r="I44" s="436">
        <f>IF(I$9&lt;'Operating Assumptions'!$D$53,0,IF(I$6&gt;'Operating Assumptions'!$AA$8,0,IF(AND('Operating Assumptions'!$G11="$/Unit/Annual",I36='Operating Assumptions'!$D$14),'Operating Assumptions'!$H11*('Monthly CF'!I$36-'Operating Assumptions'!$D$15)/12*I$23,IF(AND('Operating Assumptions'!$G11="$/Unit/Annual",I36&lt;'Operating Assumptions'!$D$14,'Operating Assumptions'!$D$15=0),'Operating Assumptions'!$H11*'Monthly CF'!I$36/12*I$23,IF(AND('Operating Assumptions'!$G11="$/Unit/Annual",I36&lt;'Operating Assumptions'!$D$14,'Operating Assumptions'!$D$15&gt;0),'Operating Assumptions'!$H11*('Monthly CF'!I$36*'Operating Assumptions'!$C$15)/12*I$23,IF(AND('Operating Assumptions'!$G11="$/Unit/Month",I36='Operating Assumptions'!$D$14),'Operating Assumptions'!$H11*('Monthly CF'!I$36-'Operating Assumptions'!$D$15)*I$23,IF(AND('Operating Assumptions'!$G11="$/Unit/Month",I36&lt;'Operating Assumptions'!$D$14,'Operating Assumptions'!$D$15=0),'Operating Assumptions'!$H11*'Monthly CF'!I$36*I$23,IF(AND('Operating Assumptions'!$G11="$/Unit/Month",I36&lt;'Operating Assumptions'!$D$14,'Operating Assumptions'!$D$15&gt;0),'Operating Assumptions'!$H11*('Monthly CF'!I$36*'Operating Assumptions'!$C$15)*I$23,IF('Operating Assumptions'!$G11="Fixed Amount",'Operating Assumptions'!$H11/12*I$23,IF('Operating Assumptions'!$G11="$/NSF",'Operating Assumptions'!$H11*'Operating Assumptions'!$D$12/12*I$23,IF('Operating Assumptions'!$G11="N/A",0)))))))))))</f>
        <v>0</v>
      </c>
      <c r="J44" s="436">
        <f>IF(J$9&lt;'Operating Assumptions'!$D$53,0,IF(J$6&gt;'Operating Assumptions'!$AA$8,0,IF(AND('Operating Assumptions'!$G11="$/Unit/Annual",J36='Operating Assumptions'!$D$14),'Operating Assumptions'!$H11*('Monthly CF'!J$36-'Operating Assumptions'!$D$15)/12*J$23,IF(AND('Operating Assumptions'!$G11="$/Unit/Annual",J36&lt;'Operating Assumptions'!$D$14,'Operating Assumptions'!$D$15=0),'Operating Assumptions'!$H11*'Monthly CF'!J$36/12*J$23,IF(AND('Operating Assumptions'!$G11="$/Unit/Annual",J36&lt;'Operating Assumptions'!$D$14,'Operating Assumptions'!$D$15&gt;0),'Operating Assumptions'!$H11*('Monthly CF'!J$36*'Operating Assumptions'!$C$15)/12*J$23,IF(AND('Operating Assumptions'!$G11="$/Unit/Month",J36='Operating Assumptions'!$D$14),'Operating Assumptions'!$H11*('Monthly CF'!J$36-'Operating Assumptions'!$D$15)*J$23,IF(AND('Operating Assumptions'!$G11="$/Unit/Month",J36&lt;'Operating Assumptions'!$D$14,'Operating Assumptions'!$D$15=0),'Operating Assumptions'!$H11*'Monthly CF'!J$36*J$23,IF(AND('Operating Assumptions'!$G11="$/Unit/Month",J36&lt;'Operating Assumptions'!$D$14,'Operating Assumptions'!$D$15&gt;0),'Operating Assumptions'!$H11*('Monthly CF'!J$36*'Operating Assumptions'!$C$15)*J$23,IF('Operating Assumptions'!$G11="Fixed Amount",'Operating Assumptions'!$H11/12*J$23,IF('Operating Assumptions'!$G11="$/NSF",'Operating Assumptions'!$H11*'Operating Assumptions'!$D$12/12*J$23,IF('Operating Assumptions'!$G11="N/A",0)))))))))))</f>
        <v>0</v>
      </c>
      <c r="K44" s="436">
        <f>IF(K$9&lt;'Operating Assumptions'!$D$53,0,IF(K$6&gt;'Operating Assumptions'!$AA$8,0,IF(AND('Operating Assumptions'!$G11="$/Unit/Annual",K36='Operating Assumptions'!$D$14),'Operating Assumptions'!$H11*('Monthly CF'!K$36-'Operating Assumptions'!$D$15)/12*K$23,IF(AND('Operating Assumptions'!$G11="$/Unit/Annual",K36&lt;'Operating Assumptions'!$D$14,'Operating Assumptions'!$D$15=0),'Operating Assumptions'!$H11*'Monthly CF'!K$36/12*K$23,IF(AND('Operating Assumptions'!$G11="$/Unit/Annual",K36&lt;'Operating Assumptions'!$D$14,'Operating Assumptions'!$D$15&gt;0),'Operating Assumptions'!$H11*('Monthly CF'!K$36*'Operating Assumptions'!$C$15)/12*K$23,IF(AND('Operating Assumptions'!$G11="$/Unit/Month",K36='Operating Assumptions'!$D$14),'Operating Assumptions'!$H11*('Monthly CF'!K$36-'Operating Assumptions'!$D$15)*K$23,IF(AND('Operating Assumptions'!$G11="$/Unit/Month",K36&lt;'Operating Assumptions'!$D$14,'Operating Assumptions'!$D$15=0),'Operating Assumptions'!$H11*'Monthly CF'!K$36*K$23,IF(AND('Operating Assumptions'!$G11="$/Unit/Month",K36&lt;'Operating Assumptions'!$D$14,'Operating Assumptions'!$D$15&gt;0),'Operating Assumptions'!$H11*('Monthly CF'!K$36*'Operating Assumptions'!$C$15)*K$23,IF('Operating Assumptions'!$G11="Fixed Amount",'Operating Assumptions'!$H11/12*K$23,IF('Operating Assumptions'!$G11="$/NSF",'Operating Assumptions'!$H11*'Operating Assumptions'!$D$12/12*K$23,IF('Operating Assumptions'!$G11="N/A",0)))))))))))</f>
        <v>0</v>
      </c>
      <c r="L44" s="436">
        <f>IF(L$9&lt;'Operating Assumptions'!$D$53,0,IF(L$6&gt;'Operating Assumptions'!$AA$8,0,IF(AND('Operating Assumptions'!$G11="$/Unit/Annual",L36='Operating Assumptions'!$D$14),'Operating Assumptions'!$H11*('Monthly CF'!L$36-'Operating Assumptions'!$D$15)/12*L$23,IF(AND('Operating Assumptions'!$G11="$/Unit/Annual",L36&lt;'Operating Assumptions'!$D$14,'Operating Assumptions'!$D$15=0),'Operating Assumptions'!$H11*'Monthly CF'!L$36/12*L$23,IF(AND('Operating Assumptions'!$G11="$/Unit/Annual",L36&lt;'Operating Assumptions'!$D$14,'Operating Assumptions'!$D$15&gt;0),'Operating Assumptions'!$H11*('Monthly CF'!L$36*'Operating Assumptions'!$C$15)/12*L$23,IF(AND('Operating Assumptions'!$G11="$/Unit/Month",L36='Operating Assumptions'!$D$14),'Operating Assumptions'!$H11*('Monthly CF'!L$36-'Operating Assumptions'!$D$15)*L$23,IF(AND('Operating Assumptions'!$G11="$/Unit/Month",L36&lt;'Operating Assumptions'!$D$14,'Operating Assumptions'!$D$15=0),'Operating Assumptions'!$H11*'Monthly CF'!L$36*L$23,IF(AND('Operating Assumptions'!$G11="$/Unit/Month",L36&lt;'Operating Assumptions'!$D$14,'Operating Assumptions'!$D$15&gt;0),'Operating Assumptions'!$H11*('Monthly CF'!L$36*'Operating Assumptions'!$C$15)*L$23,IF('Operating Assumptions'!$G11="Fixed Amount",'Operating Assumptions'!$H11/12*L$23,IF('Operating Assumptions'!$G11="$/NSF",'Operating Assumptions'!$H11*'Operating Assumptions'!$D$12/12*L$23,IF('Operating Assumptions'!$G11="N/A",0)))))))))))</f>
        <v>0</v>
      </c>
      <c r="M44" s="436">
        <f>IF(M$9&lt;'Operating Assumptions'!$D$53,0,IF(M$6&gt;'Operating Assumptions'!$AA$8,0,IF(AND('Operating Assumptions'!$G11="$/Unit/Annual",M36='Operating Assumptions'!$D$14),'Operating Assumptions'!$H11*('Monthly CF'!M$36-'Operating Assumptions'!$D$15)/12*M$23,IF(AND('Operating Assumptions'!$G11="$/Unit/Annual",M36&lt;'Operating Assumptions'!$D$14,'Operating Assumptions'!$D$15=0),'Operating Assumptions'!$H11*'Monthly CF'!M$36/12*M$23,IF(AND('Operating Assumptions'!$G11="$/Unit/Annual",M36&lt;'Operating Assumptions'!$D$14,'Operating Assumptions'!$D$15&gt;0),'Operating Assumptions'!$H11*('Monthly CF'!M$36*'Operating Assumptions'!$C$15)/12*M$23,IF(AND('Operating Assumptions'!$G11="$/Unit/Month",M36='Operating Assumptions'!$D$14),'Operating Assumptions'!$H11*('Monthly CF'!M$36-'Operating Assumptions'!$D$15)*M$23,IF(AND('Operating Assumptions'!$G11="$/Unit/Month",M36&lt;'Operating Assumptions'!$D$14,'Operating Assumptions'!$D$15=0),'Operating Assumptions'!$H11*'Monthly CF'!M$36*M$23,IF(AND('Operating Assumptions'!$G11="$/Unit/Month",M36&lt;'Operating Assumptions'!$D$14,'Operating Assumptions'!$D$15&gt;0),'Operating Assumptions'!$H11*('Monthly CF'!M$36*'Operating Assumptions'!$C$15)*M$23,IF('Operating Assumptions'!$G11="Fixed Amount",'Operating Assumptions'!$H11/12*M$23,IF('Operating Assumptions'!$G11="$/NSF",'Operating Assumptions'!$H11*'Operating Assumptions'!$D$12/12*M$23,IF('Operating Assumptions'!$G11="N/A",0)))))))))))</f>
        <v>0</v>
      </c>
      <c r="N44" s="436">
        <f>IF(N$9&lt;'Operating Assumptions'!$D$53,0,IF(N$6&gt;'Operating Assumptions'!$AA$8,0,IF(AND('Operating Assumptions'!$G11="$/Unit/Annual",N36='Operating Assumptions'!$D$14),'Operating Assumptions'!$H11*('Monthly CF'!N$36-'Operating Assumptions'!$D$15)/12*N$23,IF(AND('Operating Assumptions'!$G11="$/Unit/Annual",N36&lt;'Operating Assumptions'!$D$14,'Operating Assumptions'!$D$15=0),'Operating Assumptions'!$H11*'Monthly CF'!N$36/12*N$23,IF(AND('Operating Assumptions'!$G11="$/Unit/Annual",N36&lt;'Operating Assumptions'!$D$14,'Operating Assumptions'!$D$15&gt;0),'Operating Assumptions'!$H11*('Monthly CF'!N$36*'Operating Assumptions'!$C$15)/12*N$23,IF(AND('Operating Assumptions'!$G11="$/Unit/Month",N36='Operating Assumptions'!$D$14),'Operating Assumptions'!$H11*('Monthly CF'!N$36-'Operating Assumptions'!$D$15)*N$23,IF(AND('Operating Assumptions'!$G11="$/Unit/Month",N36&lt;'Operating Assumptions'!$D$14,'Operating Assumptions'!$D$15=0),'Operating Assumptions'!$H11*'Monthly CF'!N$36*N$23,IF(AND('Operating Assumptions'!$G11="$/Unit/Month",N36&lt;'Operating Assumptions'!$D$14,'Operating Assumptions'!$D$15&gt;0),'Operating Assumptions'!$H11*('Monthly CF'!N$36*'Operating Assumptions'!$C$15)*N$23,IF('Operating Assumptions'!$G11="Fixed Amount",'Operating Assumptions'!$H11/12*N$23,IF('Operating Assumptions'!$G11="$/NSF",'Operating Assumptions'!$H11*'Operating Assumptions'!$D$12/12*N$23,IF('Operating Assumptions'!$G11="N/A",0)))))))))))</f>
        <v>0</v>
      </c>
      <c r="O44" s="436">
        <f>IF(O$9&lt;'Operating Assumptions'!$D$53,0,IF(O$6&gt;'Operating Assumptions'!$AA$8,0,IF(AND('Operating Assumptions'!$G11="$/Unit/Annual",O36='Operating Assumptions'!$D$14),'Operating Assumptions'!$H11*('Monthly CF'!O$36-'Operating Assumptions'!$D$15)/12*O$23,IF(AND('Operating Assumptions'!$G11="$/Unit/Annual",O36&lt;'Operating Assumptions'!$D$14,'Operating Assumptions'!$D$15=0),'Operating Assumptions'!$H11*'Monthly CF'!O$36/12*O$23,IF(AND('Operating Assumptions'!$G11="$/Unit/Annual",O36&lt;'Operating Assumptions'!$D$14,'Operating Assumptions'!$D$15&gt;0),'Operating Assumptions'!$H11*('Monthly CF'!O$36*'Operating Assumptions'!$C$15)/12*O$23,IF(AND('Operating Assumptions'!$G11="$/Unit/Month",O36='Operating Assumptions'!$D$14),'Operating Assumptions'!$H11*('Monthly CF'!O$36-'Operating Assumptions'!$D$15)*O$23,IF(AND('Operating Assumptions'!$G11="$/Unit/Month",O36&lt;'Operating Assumptions'!$D$14,'Operating Assumptions'!$D$15=0),'Operating Assumptions'!$H11*'Monthly CF'!O$36*O$23,IF(AND('Operating Assumptions'!$G11="$/Unit/Month",O36&lt;'Operating Assumptions'!$D$14,'Operating Assumptions'!$D$15&gt;0),'Operating Assumptions'!$H11*('Monthly CF'!O$36*'Operating Assumptions'!$C$15)*O$23,IF('Operating Assumptions'!$G11="Fixed Amount",'Operating Assumptions'!$H11/12*O$23,IF('Operating Assumptions'!$G11="$/NSF",'Operating Assumptions'!$H11*'Operating Assumptions'!$D$12/12*O$23,IF('Operating Assumptions'!$G11="N/A",0)))))))))))</f>
        <v>0</v>
      </c>
      <c r="P44" s="436">
        <f>IF(P$9&lt;'Operating Assumptions'!$D$53,0,IF(P$6&gt;'Operating Assumptions'!$AA$8,0,IF(AND('Operating Assumptions'!$G11="$/Unit/Annual",P36='Operating Assumptions'!$D$14),'Operating Assumptions'!$H11*('Monthly CF'!P$36-'Operating Assumptions'!$D$15)/12*P$23,IF(AND('Operating Assumptions'!$G11="$/Unit/Annual",P36&lt;'Operating Assumptions'!$D$14,'Operating Assumptions'!$D$15=0),'Operating Assumptions'!$H11*'Monthly CF'!P$36/12*P$23,IF(AND('Operating Assumptions'!$G11="$/Unit/Annual",P36&lt;'Operating Assumptions'!$D$14,'Operating Assumptions'!$D$15&gt;0),'Operating Assumptions'!$H11*('Monthly CF'!P$36*'Operating Assumptions'!$C$15)/12*P$23,IF(AND('Operating Assumptions'!$G11="$/Unit/Month",P36='Operating Assumptions'!$D$14),'Operating Assumptions'!$H11*('Monthly CF'!P$36-'Operating Assumptions'!$D$15)*P$23,IF(AND('Operating Assumptions'!$G11="$/Unit/Month",P36&lt;'Operating Assumptions'!$D$14,'Operating Assumptions'!$D$15=0),'Operating Assumptions'!$H11*'Monthly CF'!P$36*P$23,IF(AND('Operating Assumptions'!$G11="$/Unit/Month",P36&lt;'Operating Assumptions'!$D$14,'Operating Assumptions'!$D$15&gt;0),'Operating Assumptions'!$H11*('Monthly CF'!P$36*'Operating Assumptions'!$C$15)*P$23,IF('Operating Assumptions'!$G11="Fixed Amount",'Operating Assumptions'!$H11/12*P$23,IF('Operating Assumptions'!$G11="$/NSF",'Operating Assumptions'!$H11*'Operating Assumptions'!$D$12/12*P$23,IF('Operating Assumptions'!$G11="N/A",0)))))))))))</f>
        <v>0</v>
      </c>
      <c r="Q44" s="436">
        <f>IF(Q$9&lt;'Operating Assumptions'!$D$53,0,IF(Q$6&gt;'Operating Assumptions'!$AA$8,0,IF(AND('Operating Assumptions'!$G11="$/Unit/Annual",Q36='Operating Assumptions'!$D$14),'Operating Assumptions'!$H11*('Monthly CF'!Q$36-'Operating Assumptions'!$D$15)/12*Q$23,IF(AND('Operating Assumptions'!$G11="$/Unit/Annual",Q36&lt;'Operating Assumptions'!$D$14,'Operating Assumptions'!$D$15=0),'Operating Assumptions'!$H11*'Monthly CF'!Q$36/12*Q$23,IF(AND('Operating Assumptions'!$G11="$/Unit/Annual",Q36&lt;'Operating Assumptions'!$D$14,'Operating Assumptions'!$D$15&gt;0),'Operating Assumptions'!$H11*('Monthly CF'!Q$36*'Operating Assumptions'!$C$15)/12*Q$23,IF(AND('Operating Assumptions'!$G11="$/Unit/Month",Q36='Operating Assumptions'!$D$14),'Operating Assumptions'!$H11*('Monthly CF'!Q$36-'Operating Assumptions'!$D$15)*Q$23,IF(AND('Operating Assumptions'!$G11="$/Unit/Month",Q36&lt;'Operating Assumptions'!$D$14,'Operating Assumptions'!$D$15=0),'Operating Assumptions'!$H11*'Monthly CF'!Q$36*Q$23,IF(AND('Operating Assumptions'!$G11="$/Unit/Month",Q36&lt;'Operating Assumptions'!$D$14,'Operating Assumptions'!$D$15&gt;0),'Operating Assumptions'!$H11*('Monthly CF'!Q$36*'Operating Assumptions'!$C$15)*Q$23,IF('Operating Assumptions'!$G11="Fixed Amount",'Operating Assumptions'!$H11/12*Q$23,IF('Operating Assumptions'!$G11="$/NSF",'Operating Assumptions'!$H11*'Operating Assumptions'!$D$12/12*Q$23,IF('Operating Assumptions'!$G11="N/A",0)))))))))))</f>
        <v>0</v>
      </c>
      <c r="R44" s="436">
        <f>IF(R$9&lt;'Operating Assumptions'!$D$53,0,IF(R$6&gt;'Operating Assumptions'!$AA$8,0,IF(AND('Operating Assumptions'!$G11="$/Unit/Annual",R36='Operating Assumptions'!$D$14),'Operating Assumptions'!$H11*('Monthly CF'!R$36-'Operating Assumptions'!$D$15)/12*R$23,IF(AND('Operating Assumptions'!$G11="$/Unit/Annual",R36&lt;'Operating Assumptions'!$D$14,'Operating Assumptions'!$D$15=0),'Operating Assumptions'!$H11*'Monthly CF'!R$36/12*R$23,IF(AND('Operating Assumptions'!$G11="$/Unit/Annual",R36&lt;'Operating Assumptions'!$D$14,'Operating Assumptions'!$D$15&gt;0),'Operating Assumptions'!$H11*('Monthly CF'!R$36*'Operating Assumptions'!$C$15)/12*R$23,IF(AND('Operating Assumptions'!$G11="$/Unit/Month",R36='Operating Assumptions'!$D$14),'Operating Assumptions'!$H11*('Monthly CF'!R$36-'Operating Assumptions'!$D$15)*R$23,IF(AND('Operating Assumptions'!$G11="$/Unit/Month",R36&lt;'Operating Assumptions'!$D$14,'Operating Assumptions'!$D$15=0),'Operating Assumptions'!$H11*'Monthly CF'!R$36*R$23,IF(AND('Operating Assumptions'!$G11="$/Unit/Month",R36&lt;'Operating Assumptions'!$D$14,'Operating Assumptions'!$D$15&gt;0),'Operating Assumptions'!$H11*('Monthly CF'!R$36*'Operating Assumptions'!$C$15)*R$23,IF('Operating Assumptions'!$G11="Fixed Amount",'Operating Assumptions'!$H11/12*R$23,IF('Operating Assumptions'!$G11="$/NSF",'Operating Assumptions'!$H11*'Operating Assumptions'!$D$12/12*R$23,IF('Operating Assumptions'!$G11="N/A",0)))))))))))</f>
        <v>0</v>
      </c>
      <c r="S44" s="436">
        <f>IF(S$9&lt;'Operating Assumptions'!$D$53,0,IF(S$6&gt;'Operating Assumptions'!$AA$8,0,IF(AND('Operating Assumptions'!$G11="$/Unit/Annual",S36='Operating Assumptions'!$D$14),'Operating Assumptions'!$H11*('Monthly CF'!S$36-'Operating Assumptions'!$D$15)/12*S$23,IF(AND('Operating Assumptions'!$G11="$/Unit/Annual",S36&lt;'Operating Assumptions'!$D$14,'Operating Assumptions'!$D$15=0),'Operating Assumptions'!$H11*'Monthly CF'!S$36/12*S$23,IF(AND('Operating Assumptions'!$G11="$/Unit/Annual",S36&lt;'Operating Assumptions'!$D$14,'Operating Assumptions'!$D$15&gt;0),'Operating Assumptions'!$H11*('Monthly CF'!S$36*'Operating Assumptions'!$C$15)/12*S$23,IF(AND('Operating Assumptions'!$G11="$/Unit/Month",S36='Operating Assumptions'!$D$14),'Operating Assumptions'!$H11*('Monthly CF'!S$36-'Operating Assumptions'!$D$15)*S$23,IF(AND('Operating Assumptions'!$G11="$/Unit/Month",S36&lt;'Operating Assumptions'!$D$14,'Operating Assumptions'!$D$15=0),'Operating Assumptions'!$H11*'Monthly CF'!S$36*S$23,IF(AND('Operating Assumptions'!$G11="$/Unit/Month",S36&lt;'Operating Assumptions'!$D$14,'Operating Assumptions'!$D$15&gt;0),'Operating Assumptions'!$H11*('Monthly CF'!S$36*'Operating Assumptions'!$C$15)*S$23,IF('Operating Assumptions'!$G11="Fixed Amount",'Operating Assumptions'!$H11/12*S$23,IF('Operating Assumptions'!$G11="$/NSF",'Operating Assumptions'!$H11*'Operating Assumptions'!$D$12/12*S$23,IF('Operating Assumptions'!$G11="N/A",0)))))))))))</f>
        <v>0</v>
      </c>
      <c r="T44" s="436">
        <f>IF(T$9&lt;'Operating Assumptions'!$D$53,0,IF(T$6&gt;'Operating Assumptions'!$AA$8,0,IF(AND('Operating Assumptions'!$G11="$/Unit/Annual",T36='Operating Assumptions'!$D$14),'Operating Assumptions'!$H11*('Monthly CF'!T$36-'Operating Assumptions'!$D$15)/12*T$23,IF(AND('Operating Assumptions'!$G11="$/Unit/Annual",T36&lt;'Operating Assumptions'!$D$14,'Operating Assumptions'!$D$15=0),'Operating Assumptions'!$H11*'Monthly CF'!T$36/12*T$23,IF(AND('Operating Assumptions'!$G11="$/Unit/Annual",T36&lt;'Operating Assumptions'!$D$14,'Operating Assumptions'!$D$15&gt;0),'Operating Assumptions'!$H11*('Monthly CF'!T$36*'Operating Assumptions'!$C$15)/12*T$23,IF(AND('Operating Assumptions'!$G11="$/Unit/Month",T36='Operating Assumptions'!$D$14),'Operating Assumptions'!$H11*('Monthly CF'!T$36-'Operating Assumptions'!$D$15)*T$23,IF(AND('Operating Assumptions'!$G11="$/Unit/Month",T36&lt;'Operating Assumptions'!$D$14,'Operating Assumptions'!$D$15=0),'Operating Assumptions'!$H11*'Monthly CF'!T$36*T$23,IF(AND('Operating Assumptions'!$G11="$/Unit/Month",T36&lt;'Operating Assumptions'!$D$14,'Operating Assumptions'!$D$15&gt;0),'Operating Assumptions'!$H11*('Monthly CF'!T$36*'Operating Assumptions'!$C$15)*T$23,IF('Operating Assumptions'!$G11="Fixed Amount",'Operating Assumptions'!$H11/12*T$23,IF('Operating Assumptions'!$G11="$/NSF",'Operating Assumptions'!$H11*'Operating Assumptions'!$D$12/12*T$23,IF('Operating Assumptions'!$G11="N/A",0)))))))))))</f>
        <v>0</v>
      </c>
      <c r="U44" s="436">
        <f>IF(U$9&lt;'Operating Assumptions'!$D$53,0,IF(U$6&gt;'Operating Assumptions'!$AA$8,0,IF(AND('Operating Assumptions'!$G11="$/Unit/Annual",U36='Operating Assumptions'!$D$14),'Operating Assumptions'!$H11*('Monthly CF'!U$36-'Operating Assumptions'!$D$15)/12*U$23,IF(AND('Operating Assumptions'!$G11="$/Unit/Annual",U36&lt;'Operating Assumptions'!$D$14,'Operating Assumptions'!$D$15=0),'Operating Assumptions'!$H11*'Monthly CF'!U$36/12*U$23,IF(AND('Operating Assumptions'!$G11="$/Unit/Annual",U36&lt;'Operating Assumptions'!$D$14,'Operating Assumptions'!$D$15&gt;0),'Operating Assumptions'!$H11*('Monthly CF'!U$36*'Operating Assumptions'!$C$15)/12*U$23,IF(AND('Operating Assumptions'!$G11="$/Unit/Month",U36='Operating Assumptions'!$D$14),'Operating Assumptions'!$H11*('Monthly CF'!U$36-'Operating Assumptions'!$D$15)*U$23,IF(AND('Operating Assumptions'!$G11="$/Unit/Month",U36&lt;'Operating Assumptions'!$D$14,'Operating Assumptions'!$D$15=0),'Operating Assumptions'!$H11*'Monthly CF'!U$36*U$23,IF(AND('Operating Assumptions'!$G11="$/Unit/Month",U36&lt;'Operating Assumptions'!$D$14,'Operating Assumptions'!$D$15&gt;0),'Operating Assumptions'!$H11*('Monthly CF'!U$36*'Operating Assumptions'!$C$15)*U$23,IF('Operating Assumptions'!$G11="Fixed Amount",'Operating Assumptions'!$H11/12*U$23,IF('Operating Assumptions'!$G11="$/NSF",'Operating Assumptions'!$H11*'Operating Assumptions'!$D$12/12*U$23,IF('Operating Assumptions'!$G11="N/A",0)))))))))))</f>
        <v>0</v>
      </c>
      <c r="V44" s="436">
        <f>IF(V$9&lt;'Operating Assumptions'!$D$53,0,IF(V$6&gt;'Operating Assumptions'!$AA$8,0,IF(AND('Operating Assumptions'!$G11="$/Unit/Annual",V36='Operating Assumptions'!$D$14),'Operating Assumptions'!$H11*('Monthly CF'!V$36-'Operating Assumptions'!$D$15)/12*V$23,IF(AND('Operating Assumptions'!$G11="$/Unit/Annual",V36&lt;'Operating Assumptions'!$D$14,'Operating Assumptions'!$D$15=0),'Operating Assumptions'!$H11*'Monthly CF'!V$36/12*V$23,IF(AND('Operating Assumptions'!$G11="$/Unit/Annual",V36&lt;'Operating Assumptions'!$D$14,'Operating Assumptions'!$D$15&gt;0),'Operating Assumptions'!$H11*('Monthly CF'!V$36*'Operating Assumptions'!$C$15)/12*V$23,IF(AND('Operating Assumptions'!$G11="$/Unit/Month",V36='Operating Assumptions'!$D$14),'Operating Assumptions'!$H11*('Monthly CF'!V$36-'Operating Assumptions'!$D$15)*V$23,IF(AND('Operating Assumptions'!$G11="$/Unit/Month",V36&lt;'Operating Assumptions'!$D$14,'Operating Assumptions'!$D$15=0),'Operating Assumptions'!$H11*'Monthly CF'!V$36*V$23,IF(AND('Operating Assumptions'!$G11="$/Unit/Month",V36&lt;'Operating Assumptions'!$D$14,'Operating Assumptions'!$D$15&gt;0),'Operating Assumptions'!$H11*('Monthly CF'!V$36*'Operating Assumptions'!$C$15)*V$23,IF('Operating Assumptions'!$G11="Fixed Amount",'Operating Assumptions'!$H11/12*V$23,IF('Operating Assumptions'!$G11="$/NSF",'Operating Assumptions'!$H11*'Operating Assumptions'!$D$12/12*V$23,IF('Operating Assumptions'!$G11="N/A",0)))))))))))</f>
        <v>0</v>
      </c>
      <c r="W44" s="436">
        <f>IF(W$9&lt;'Operating Assumptions'!$D$53,0,IF(W$6&gt;'Operating Assumptions'!$AA$8,0,IF(AND('Operating Assumptions'!$G11="$/Unit/Annual",W36='Operating Assumptions'!$D$14),'Operating Assumptions'!$H11*('Monthly CF'!W$36-'Operating Assumptions'!$D$15)/12*W$23,IF(AND('Operating Assumptions'!$G11="$/Unit/Annual",W36&lt;'Operating Assumptions'!$D$14,'Operating Assumptions'!$D$15=0),'Operating Assumptions'!$H11*'Monthly CF'!W$36/12*W$23,IF(AND('Operating Assumptions'!$G11="$/Unit/Annual",W36&lt;'Operating Assumptions'!$D$14,'Operating Assumptions'!$D$15&gt;0),'Operating Assumptions'!$H11*('Monthly CF'!W$36*'Operating Assumptions'!$C$15)/12*W$23,IF(AND('Operating Assumptions'!$G11="$/Unit/Month",W36='Operating Assumptions'!$D$14),'Operating Assumptions'!$H11*('Monthly CF'!W$36-'Operating Assumptions'!$D$15)*W$23,IF(AND('Operating Assumptions'!$G11="$/Unit/Month",W36&lt;'Operating Assumptions'!$D$14,'Operating Assumptions'!$D$15=0),'Operating Assumptions'!$H11*'Monthly CF'!W$36*W$23,IF(AND('Operating Assumptions'!$G11="$/Unit/Month",W36&lt;'Operating Assumptions'!$D$14,'Operating Assumptions'!$D$15&gt;0),'Operating Assumptions'!$H11*('Monthly CF'!W$36*'Operating Assumptions'!$C$15)*W$23,IF('Operating Assumptions'!$G11="Fixed Amount",'Operating Assumptions'!$H11/12*W$23,IF('Operating Assumptions'!$G11="$/NSF",'Operating Assumptions'!$H11*'Operating Assumptions'!$D$12/12*W$23,IF('Operating Assumptions'!$G11="N/A",0)))))))))))</f>
        <v>0</v>
      </c>
      <c r="X44" s="436">
        <f>IF(X$9&lt;'Operating Assumptions'!$D$53,0,IF(X$6&gt;'Operating Assumptions'!$AA$8,0,IF(AND('Operating Assumptions'!$G11="$/Unit/Annual",X36='Operating Assumptions'!$D$14),'Operating Assumptions'!$H11*('Monthly CF'!X$36-'Operating Assumptions'!$D$15)/12*X$23,IF(AND('Operating Assumptions'!$G11="$/Unit/Annual",X36&lt;'Operating Assumptions'!$D$14,'Operating Assumptions'!$D$15=0),'Operating Assumptions'!$H11*'Monthly CF'!X$36/12*X$23,IF(AND('Operating Assumptions'!$G11="$/Unit/Annual",X36&lt;'Operating Assumptions'!$D$14,'Operating Assumptions'!$D$15&gt;0),'Operating Assumptions'!$H11*('Monthly CF'!X$36*'Operating Assumptions'!$C$15)/12*X$23,IF(AND('Operating Assumptions'!$G11="$/Unit/Month",X36='Operating Assumptions'!$D$14),'Operating Assumptions'!$H11*('Monthly CF'!X$36-'Operating Assumptions'!$D$15)*X$23,IF(AND('Operating Assumptions'!$G11="$/Unit/Month",X36&lt;'Operating Assumptions'!$D$14,'Operating Assumptions'!$D$15=0),'Operating Assumptions'!$H11*'Monthly CF'!X$36*X$23,IF(AND('Operating Assumptions'!$G11="$/Unit/Month",X36&lt;'Operating Assumptions'!$D$14,'Operating Assumptions'!$D$15&gt;0),'Operating Assumptions'!$H11*('Monthly CF'!X$36*'Operating Assumptions'!$C$15)*X$23,IF('Operating Assumptions'!$G11="Fixed Amount",'Operating Assumptions'!$H11/12*X$23,IF('Operating Assumptions'!$G11="$/NSF",'Operating Assumptions'!$H11*'Operating Assumptions'!$D$12/12*X$23,IF('Operating Assumptions'!$G11="N/A",0)))))))))))</f>
        <v>0</v>
      </c>
      <c r="Y44" s="436">
        <f>IF(Y$9&lt;'Operating Assumptions'!$D$53,0,IF(Y$6&gt;'Operating Assumptions'!$AA$8,0,IF(AND('Operating Assumptions'!$G11="$/Unit/Annual",Y36='Operating Assumptions'!$D$14),'Operating Assumptions'!$H11*('Monthly CF'!Y$36-'Operating Assumptions'!$D$15)/12*Y$23,IF(AND('Operating Assumptions'!$G11="$/Unit/Annual",Y36&lt;'Operating Assumptions'!$D$14,'Operating Assumptions'!$D$15=0),'Operating Assumptions'!$H11*'Monthly CF'!Y$36/12*Y$23,IF(AND('Operating Assumptions'!$G11="$/Unit/Annual",Y36&lt;'Operating Assumptions'!$D$14,'Operating Assumptions'!$D$15&gt;0),'Operating Assumptions'!$H11*('Monthly CF'!Y$36*'Operating Assumptions'!$C$15)/12*Y$23,IF(AND('Operating Assumptions'!$G11="$/Unit/Month",Y36='Operating Assumptions'!$D$14),'Operating Assumptions'!$H11*('Monthly CF'!Y$36-'Operating Assumptions'!$D$15)*Y$23,IF(AND('Operating Assumptions'!$G11="$/Unit/Month",Y36&lt;'Operating Assumptions'!$D$14,'Operating Assumptions'!$D$15=0),'Operating Assumptions'!$H11*'Monthly CF'!Y$36*Y$23,IF(AND('Operating Assumptions'!$G11="$/Unit/Month",Y36&lt;'Operating Assumptions'!$D$14,'Operating Assumptions'!$D$15&gt;0),'Operating Assumptions'!$H11*('Monthly CF'!Y$36*'Operating Assumptions'!$C$15)*Y$23,IF('Operating Assumptions'!$G11="Fixed Amount",'Operating Assumptions'!$H11/12*Y$23,IF('Operating Assumptions'!$G11="$/NSF",'Operating Assumptions'!$H11*'Operating Assumptions'!$D$12/12*Y$23,IF('Operating Assumptions'!$G11="N/A",0)))))))))))</f>
        <v>962.5</v>
      </c>
      <c r="Z44" s="436">
        <f>IF(Z$9&lt;'Operating Assumptions'!$D$53,0,IF(Z$6&gt;'Operating Assumptions'!$AA$8,0,IF(AND('Operating Assumptions'!$G11="$/Unit/Annual",Z36='Operating Assumptions'!$D$14),'Operating Assumptions'!$H11*('Monthly CF'!Z$36-'Operating Assumptions'!$D$15)/12*Z$23,IF(AND('Operating Assumptions'!$G11="$/Unit/Annual",Z36&lt;'Operating Assumptions'!$D$14,'Operating Assumptions'!$D$15=0),'Operating Assumptions'!$H11*'Monthly CF'!Z$36/12*Z$23,IF(AND('Operating Assumptions'!$G11="$/Unit/Annual",Z36&lt;'Operating Assumptions'!$D$14,'Operating Assumptions'!$D$15&gt;0),'Operating Assumptions'!$H11*('Monthly CF'!Z$36*'Operating Assumptions'!$C$15)/12*Z$23,IF(AND('Operating Assumptions'!$G11="$/Unit/Month",Z36='Operating Assumptions'!$D$14),'Operating Assumptions'!$H11*('Monthly CF'!Z$36-'Operating Assumptions'!$D$15)*Z$23,IF(AND('Operating Assumptions'!$G11="$/Unit/Month",Z36&lt;'Operating Assumptions'!$D$14,'Operating Assumptions'!$D$15=0),'Operating Assumptions'!$H11*'Monthly CF'!Z$36*Z$23,IF(AND('Operating Assumptions'!$G11="$/Unit/Month",Z36&lt;'Operating Assumptions'!$D$14,'Operating Assumptions'!$D$15&gt;0),'Operating Assumptions'!$H11*('Monthly CF'!Z$36*'Operating Assumptions'!$C$15)*Z$23,IF('Operating Assumptions'!$G11="Fixed Amount",'Operating Assumptions'!$H11/12*Z$23,IF('Operating Assumptions'!$G11="$/NSF",'Operating Assumptions'!$H11*'Operating Assumptions'!$D$12/12*Z$23,IF('Operating Assumptions'!$G11="N/A",0)))))))))))</f>
        <v>1879.1666666666667</v>
      </c>
      <c r="AA44" s="436">
        <f>IF(AA$9&lt;'Operating Assumptions'!$D$53,0,IF(AA$6&gt;'Operating Assumptions'!$AA$8,0,IF(AND('Operating Assumptions'!$G11="$/Unit/Annual",AA36='Operating Assumptions'!$D$14),'Operating Assumptions'!$H11*('Monthly CF'!AA$36-'Operating Assumptions'!$D$15)/12*AA$23,IF(AND('Operating Assumptions'!$G11="$/Unit/Annual",AA36&lt;'Operating Assumptions'!$D$14,'Operating Assumptions'!$D$15=0),'Operating Assumptions'!$H11*'Monthly CF'!AA$36/12*AA$23,IF(AND('Operating Assumptions'!$G11="$/Unit/Annual",AA36&lt;'Operating Assumptions'!$D$14,'Operating Assumptions'!$D$15&gt;0),'Operating Assumptions'!$H11*('Monthly CF'!AA$36*'Operating Assumptions'!$C$15)/12*AA$23,IF(AND('Operating Assumptions'!$G11="$/Unit/Month",AA36='Operating Assumptions'!$D$14),'Operating Assumptions'!$H11*('Monthly CF'!AA$36-'Operating Assumptions'!$D$15)*AA$23,IF(AND('Operating Assumptions'!$G11="$/Unit/Month",AA36&lt;'Operating Assumptions'!$D$14,'Operating Assumptions'!$D$15=0),'Operating Assumptions'!$H11*'Monthly CF'!AA$36*AA$23,IF(AND('Operating Assumptions'!$G11="$/Unit/Month",AA36&lt;'Operating Assumptions'!$D$14,'Operating Assumptions'!$D$15&gt;0),'Operating Assumptions'!$H11*('Monthly CF'!AA$36*'Operating Assumptions'!$C$15)*AA$23,IF('Operating Assumptions'!$G11="Fixed Amount",'Operating Assumptions'!$H11/12*AA$23,IF('Operating Assumptions'!$G11="$/NSF",'Operating Assumptions'!$H11*'Operating Assumptions'!$D$12/12*AA$23,IF('Operating Assumptions'!$G11="N/A",0)))))))))))</f>
        <v>2795.8333333333335</v>
      </c>
      <c r="AB44" s="436">
        <f>IF(AB$9&lt;'Operating Assumptions'!$D$53,0,IF(AB$6&gt;'Operating Assumptions'!$AA$8,0,IF(AND('Operating Assumptions'!$G11="$/Unit/Annual",AB36='Operating Assumptions'!$D$14),'Operating Assumptions'!$H11*('Monthly CF'!AB$36-'Operating Assumptions'!$D$15)/12*AB$23,IF(AND('Operating Assumptions'!$G11="$/Unit/Annual",AB36&lt;'Operating Assumptions'!$D$14,'Operating Assumptions'!$D$15=0),'Operating Assumptions'!$H11*'Monthly CF'!AB$36/12*AB$23,IF(AND('Operating Assumptions'!$G11="$/Unit/Annual",AB36&lt;'Operating Assumptions'!$D$14,'Operating Assumptions'!$D$15&gt;0),'Operating Assumptions'!$H11*('Monthly CF'!AB$36*'Operating Assumptions'!$C$15)/12*AB$23,IF(AND('Operating Assumptions'!$G11="$/Unit/Month",AB36='Operating Assumptions'!$D$14),'Operating Assumptions'!$H11*('Monthly CF'!AB$36-'Operating Assumptions'!$D$15)*AB$23,IF(AND('Operating Assumptions'!$G11="$/Unit/Month",AB36&lt;'Operating Assumptions'!$D$14,'Operating Assumptions'!$D$15=0),'Operating Assumptions'!$H11*'Monthly CF'!AB$36*AB$23,IF(AND('Operating Assumptions'!$G11="$/Unit/Month",AB36&lt;'Operating Assumptions'!$D$14,'Operating Assumptions'!$D$15&gt;0),'Operating Assumptions'!$H11*('Monthly CF'!AB$36*'Operating Assumptions'!$C$15)*AB$23,IF('Operating Assumptions'!$G11="Fixed Amount",'Operating Assumptions'!$H11/12*AB$23,IF('Operating Assumptions'!$G11="$/NSF",'Operating Assumptions'!$H11*'Operating Assumptions'!$D$12/12*AB$23,IF('Operating Assumptions'!$G11="N/A",0)))))))))))</f>
        <v>3712.5</v>
      </c>
      <c r="AC44" s="436">
        <f>IF(AC$9&lt;'Operating Assumptions'!$D$53,0,IF(AC$6&gt;'Operating Assumptions'!$AA$8,0,IF(AND('Operating Assumptions'!$G11="$/Unit/Annual",AC36='Operating Assumptions'!$D$14),'Operating Assumptions'!$H11*('Monthly CF'!AC$36-'Operating Assumptions'!$D$15)/12*AC$23,IF(AND('Operating Assumptions'!$G11="$/Unit/Annual",AC36&lt;'Operating Assumptions'!$D$14,'Operating Assumptions'!$D$15=0),'Operating Assumptions'!$H11*'Monthly CF'!AC$36/12*AC$23,IF(AND('Operating Assumptions'!$G11="$/Unit/Annual",AC36&lt;'Operating Assumptions'!$D$14,'Operating Assumptions'!$D$15&gt;0),'Operating Assumptions'!$H11*('Monthly CF'!AC$36*'Operating Assumptions'!$C$15)/12*AC$23,IF(AND('Operating Assumptions'!$G11="$/Unit/Month",AC36='Operating Assumptions'!$D$14),'Operating Assumptions'!$H11*('Monthly CF'!AC$36-'Operating Assumptions'!$D$15)*AC$23,IF(AND('Operating Assumptions'!$G11="$/Unit/Month",AC36&lt;'Operating Assumptions'!$D$14,'Operating Assumptions'!$D$15=0),'Operating Assumptions'!$H11*'Monthly CF'!AC$36*AC$23,IF(AND('Operating Assumptions'!$G11="$/Unit/Month",AC36&lt;'Operating Assumptions'!$D$14,'Operating Assumptions'!$D$15&gt;0),'Operating Assumptions'!$H11*('Monthly CF'!AC$36*'Operating Assumptions'!$C$15)*AC$23,IF('Operating Assumptions'!$G11="Fixed Amount",'Operating Assumptions'!$H11/12*AC$23,IF('Operating Assumptions'!$G11="$/NSF",'Operating Assumptions'!$H11*'Operating Assumptions'!$D$12/12*AC$23,IF('Operating Assumptions'!$G11="N/A",0)))))))))))</f>
        <v>4629.166666666667</v>
      </c>
      <c r="AD44" s="436">
        <f>IF(AD$9&lt;'Operating Assumptions'!$D$53,0,IF(AD$6&gt;'Operating Assumptions'!$AA$8,0,IF(AND('Operating Assumptions'!$G11="$/Unit/Annual",AD36='Operating Assumptions'!$D$14),'Operating Assumptions'!$H11*('Monthly CF'!AD$36-'Operating Assumptions'!$D$15)/12*AD$23,IF(AND('Operating Assumptions'!$G11="$/Unit/Annual",AD36&lt;'Operating Assumptions'!$D$14,'Operating Assumptions'!$D$15=0),'Operating Assumptions'!$H11*'Monthly CF'!AD$36/12*AD$23,IF(AND('Operating Assumptions'!$G11="$/Unit/Annual",AD36&lt;'Operating Assumptions'!$D$14,'Operating Assumptions'!$D$15&gt;0),'Operating Assumptions'!$H11*('Monthly CF'!AD$36*'Operating Assumptions'!$C$15)/12*AD$23,IF(AND('Operating Assumptions'!$G11="$/Unit/Month",AD36='Operating Assumptions'!$D$14),'Operating Assumptions'!$H11*('Monthly CF'!AD$36-'Operating Assumptions'!$D$15)*AD$23,IF(AND('Operating Assumptions'!$G11="$/Unit/Month",AD36&lt;'Operating Assumptions'!$D$14,'Operating Assumptions'!$D$15=0),'Operating Assumptions'!$H11*'Monthly CF'!AD$36*AD$23,IF(AND('Operating Assumptions'!$G11="$/Unit/Month",AD36&lt;'Operating Assumptions'!$D$14,'Operating Assumptions'!$D$15&gt;0),'Operating Assumptions'!$H11*('Monthly CF'!AD$36*'Operating Assumptions'!$C$15)*AD$23,IF('Operating Assumptions'!$G11="Fixed Amount",'Operating Assumptions'!$H11/12*AD$23,IF('Operating Assumptions'!$G11="$/NSF",'Operating Assumptions'!$H11*'Operating Assumptions'!$D$12/12*AD$23,IF('Operating Assumptions'!$G11="N/A",0)))))))))))</f>
        <v>5545.833333333333</v>
      </c>
      <c r="AE44" s="436">
        <f>IF(AE$9&lt;'Operating Assumptions'!$D$53,0,IF(AE$6&gt;'Operating Assumptions'!$AA$8,0,IF(AND('Operating Assumptions'!$G11="$/Unit/Annual",AE36='Operating Assumptions'!$D$14),'Operating Assumptions'!$H11*('Monthly CF'!AE$36-'Operating Assumptions'!$D$15)/12*AE$23,IF(AND('Operating Assumptions'!$G11="$/Unit/Annual",AE36&lt;'Operating Assumptions'!$D$14,'Operating Assumptions'!$D$15=0),'Operating Assumptions'!$H11*'Monthly CF'!AE$36/12*AE$23,IF(AND('Operating Assumptions'!$G11="$/Unit/Annual",AE36&lt;'Operating Assumptions'!$D$14,'Operating Assumptions'!$D$15&gt;0),'Operating Assumptions'!$H11*('Monthly CF'!AE$36*'Operating Assumptions'!$C$15)/12*AE$23,IF(AND('Operating Assumptions'!$G11="$/Unit/Month",AE36='Operating Assumptions'!$D$14),'Operating Assumptions'!$H11*('Monthly CF'!AE$36-'Operating Assumptions'!$D$15)*AE$23,IF(AND('Operating Assumptions'!$G11="$/Unit/Month",AE36&lt;'Operating Assumptions'!$D$14,'Operating Assumptions'!$D$15=0),'Operating Assumptions'!$H11*'Monthly CF'!AE$36*AE$23,IF(AND('Operating Assumptions'!$G11="$/Unit/Month",AE36&lt;'Operating Assumptions'!$D$14,'Operating Assumptions'!$D$15&gt;0),'Operating Assumptions'!$H11*('Monthly CF'!AE$36*'Operating Assumptions'!$C$15)*AE$23,IF('Operating Assumptions'!$G11="Fixed Amount",'Operating Assumptions'!$H11/12*AE$23,IF('Operating Assumptions'!$G11="$/NSF",'Operating Assumptions'!$H11*'Operating Assumptions'!$D$12/12*AE$23,IF('Operating Assumptions'!$G11="N/A",0)))))))))))</f>
        <v>5729.166666666667</v>
      </c>
      <c r="AF44" s="436">
        <f>IF(AF$9&lt;'Operating Assumptions'!$D$53,0,IF(AF$6&gt;'Operating Assumptions'!$AA$8,0,IF(AND('Operating Assumptions'!$G11="$/Unit/Annual",AF36='Operating Assumptions'!$D$14),'Operating Assumptions'!$H11*('Monthly CF'!AF$36-'Operating Assumptions'!$D$15)/12*AF$23,IF(AND('Operating Assumptions'!$G11="$/Unit/Annual",AF36&lt;'Operating Assumptions'!$D$14,'Operating Assumptions'!$D$15=0),'Operating Assumptions'!$H11*'Monthly CF'!AF$36/12*AF$23,IF(AND('Operating Assumptions'!$G11="$/Unit/Annual",AF36&lt;'Operating Assumptions'!$D$14,'Operating Assumptions'!$D$15&gt;0),'Operating Assumptions'!$H11*('Monthly CF'!AF$36*'Operating Assumptions'!$C$15)/12*AF$23,IF(AND('Operating Assumptions'!$G11="$/Unit/Month",AF36='Operating Assumptions'!$D$14),'Operating Assumptions'!$H11*('Monthly CF'!AF$36-'Operating Assumptions'!$D$15)*AF$23,IF(AND('Operating Assumptions'!$G11="$/Unit/Month",AF36&lt;'Operating Assumptions'!$D$14,'Operating Assumptions'!$D$15=0),'Operating Assumptions'!$H11*'Monthly CF'!AF$36*AF$23,IF(AND('Operating Assumptions'!$G11="$/Unit/Month",AF36&lt;'Operating Assumptions'!$D$14,'Operating Assumptions'!$D$15&gt;0),'Operating Assumptions'!$H11*('Monthly CF'!AF$36*'Operating Assumptions'!$C$15)*AF$23,IF('Operating Assumptions'!$G11="Fixed Amount",'Operating Assumptions'!$H11/12*AF$23,IF('Operating Assumptions'!$G11="$/NSF",'Operating Assumptions'!$H11*'Operating Assumptions'!$D$12/12*AF$23,IF('Operating Assumptions'!$G11="N/A",0)))))))))))</f>
        <v>5843.75</v>
      </c>
      <c r="AG44" s="436">
        <f>IF(AG$9&lt;'Operating Assumptions'!$D$53,0,IF(AG$6&gt;'Operating Assumptions'!$AA$8,0,IF(AND('Operating Assumptions'!$G11="$/Unit/Annual",AG36='Operating Assumptions'!$D$14),'Operating Assumptions'!$H11*('Monthly CF'!AG$36-'Operating Assumptions'!$D$15)/12*AG$23,IF(AND('Operating Assumptions'!$G11="$/Unit/Annual",AG36&lt;'Operating Assumptions'!$D$14,'Operating Assumptions'!$D$15=0),'Operating Assumptions'!$H11*'Monthly CF'!AG$36/12*AG$23,IF(AND('Operating Assumptions'!$G11="$/Unit/Annual",AG36&lt;'Operating Assumptions'!$D$14,'Operating Assumptions'!$D$15&gt;0),'Operating Assumptions'!$H11*('Monthly CF'!AG$36*'Operating Assumptions'!$C$15)/12*AG$23,IF(AND('Operating Assumptions'!$G11="$/Unit/Month",AG36='Operating Assumptions'!$D$14),'Operating Assumptions'!$H11*('Monthly CF'!AG$36-'Operating Assumptions'!$D$15)*AG$23,IF(AND('Operating Assumptions'!$G11="$/Unit/Month",AG36&lt;'Operating Assumptions'!$D$14,'Operating Assumptions'!$D$15=0),'Operating Assumptions'!$H11*'Monthly CF'!AG$36*AG$23,IF(AND('Operating Assumptions'!$G11="$/Unit/Month",AG36&lt;'Operating Assumptions'!$D$14,'Operating Assumptions'!$D$15&gt;0),'Operating Assumptions'!$H11*('Monthly CF'!AG$36*'Operating Assumptions'!$C$15)*AG$23,IF('Operating Assumptions'!$G11="Fixed Amount",'Operating Assumptions'!$H11/12*AG$23,IF('Operating Assumptions'!$G11="$/NSF",'Operating Assumptions'!$H11*'Operating Assumptions'!$D$12/12*AG$23,IF('Operating Assumptions'!$G11="N/A",0)))))))))))</f>
        <v>5843.75</v>
      </c>
      <c r="AH44" s="436">
        <f>IF(AH$9&lt;'Operating Assumptions'!$D$53,0,IF(AH$6&gt;'Operating Assumptions'!$AA$8,0,IF(AND('Operating Assumptions'!$G11="$/Unit/Annual",AH36='Operating Assumptions'!$D$14),'Operating Assumptions'!$H11*('Monthly CF'!AH$36-'Operating Assumptions'!$D$15)/12*AH$23,IF(AND('Operating Assumptions'!$G11="$/Unit/Annual",AH36&lt;'Operating Assumptions'!$D$14,'Operating Assumptions'!$D$15=0),'Operating Assumptions'!$H11*'Monthly CF'!AH$36/12*AH$23,IF(AND('Operating Assumptions'!$G11="$/Unit/Annual",AH36&lt;'Operating Assumptions'!$D$14,'Operating Assumptions'!$D$15&gt;0),'Operating Assumptions'!$H11*('Monthly CF'!AH$36*'Operating Assumptions'!$C$15)/12*AH$23,IF(AND('Operating Assumptions'!$G11="$/Unit/Month",AH36='Operating Assumptions'!$D$14),'Operating Assumptions'!$H11*('Monthly CF'!AH$36-'Operating Assumptions'!$D$15)*AH$23,IF(AND('Operating Assumptions'!$G11="$/Unit/Month",AH36&lt;'Operating Assumptions'!$D$14,'Operating Assumptions'!$D$15=0),'Operating Assumptions'!$H11*'Monthly CF'!AH$36*AH$23,IF(AND('Operating Assumptions'!$G11="$/Unit/Month",AH36&lt;'Operating Assumptions'!$D$14,'Operating Assumptions'!$D$15&gt;0),'Operating Assumptions'!$H11*('Monthly CF'!AH$36*'Operating Assumptions'!$C$15)*AH$23,IF('Operating Assumptions'!$G11="Fixed Amount",'Operating Assumptions'!$H11/12*AH$23,IF('Operating Assumptions'!$G11="$/NSF",'Operating Assumptions'!$H11*'Operating Assumptions'!$D$12/12*AH$23,IF('Operating Assumptions'!$G11="N/A",0)))))))))))</f>
        <v>6778.75</v>
      </c>
      <c r="AI44" s="436">
        <f>IF(AI$9&lt;'Operating Assumptions'!$D$53,0,IF(AI$6&gt;'Operating Assumptions'!$AA$8,0,IF(AND('Operating Assumptions'!$G11="$/Unit/Annual",AI36='Operating Assumptions'!$D$14),'Operating Assumptions'!$H11*('Monthly CF'!AI$36-'Operating Assumptions'!$D$15)/12*AI$23,IF(AND('Operating Assumptions'!$G11="$/Unit/Annual",AI36&lt;'Operating Assumptions'!$D$14,'Operating Assumptions'!$D$15=0),'Operating Assumptions'!$H11*'Monthly CF'!AI$36/12*AI$23,IF(AND('Operating Assumptions'!$G11="$/Unit/Annual",AI36&lt;'Operating Assumptions'!$D$14,'Operating Assumptions'!$D$15&gt;0),'Operating Assumptions'!$H11*('Monthly CF'!AI$36*'Operating Assumptions'!$C$15)/12*AI$23,IF(AND('Operating Assumptions'!$G11="$/Unit/Month",AI36='Operating Assumptions'!$D$14),'Operating Assumptions'!$H11*('Monthly CF'!AI$36-'Operating Assumptions'!$D$15)*AI$23,IF(AND('Operating Assumptions'!$G11="$/Unit/Month",AI36&lt;'Operating Assumptions'!$D$14,'Operating Assumptions'!$D$15=0),'Operating Assumptions'!$H11*'Monthly CF'!AI$36*AI$23,IF(AND('Operating Assumptions'!$G11="$/Unit/Month",AI36&lt;'Operating Assumptions'!$D$14,'Operating Assumptions'!$D$15&gt;0),'Operating Assumptions'!$H11*('Monthly CF'!AI$36*'Operating Assumptions'!$C$15)*AI$23,IF('Operating Assumptions'!$G11="Fixed Amount",'Operating Assumptions'!$H11/12*AI$23,IF('Operating Assumptions'!$G11="$/NSF",'Operating Assumptions'!$H11*'Operating Assumptions'!$D$12/12*AI$23,IF('Operating Assumptions'!$G11="N/A",0)))))))))))</f>
        <v>7713.75</v>
      </c>
      <c r="AJ44" s="436">
        <f>IF(AJ$9&lt;'Operating Assumptions'!$D$53,0,IF(AJ$6&gt;'Operating Assumptions'!$AA$8,0,IF(AND('Operating Assumptions'!$G11="$/Unit/Annual",AJ36='Operating Assumptions'!$D$14),'Operating Assumptions'!$H11*('Monthly CF'!AJ$36-'Operating Assumptions'!$D$15)/12*AJ$23,IF(AND('Operating Assumptions'!$G11="$/Unit/Annual",AJ36&lt;'Operating Assumptions'!$D$14,'Operating Assumptions'!$D$15=0),'Operating Assumptions'!$H11*'Monthly CF'!AJ$36/12*AJ$23,IF(AND('Operating Assumptions'!$G11="$/Unit/Annual",AJ36&lt;'Operating Assumptions'!$D$14,'Operating Assumptions'!$D$15&gt;0),'Operating Assumptions'!$H11*('Monthly CF'!AJ$36*'Operating Assumptions'!$C$15)/12*AJ$23,IF(AND('Operating Assumptions'!$G11="$/Unit/Month",AJ36='Operating Assumptions'!$D$14),'Operating Assumptions'!$H11*('Monthly CF'!AJ$36-'Operating Assumptions'!$D$15)*AJ$23,IF(AND('Operating Assumptions'!$G11="$/Unit/Month",AJ36&lt;'Operating Assumptions'!$D$14,'Operating Assumptions'!$D$15=0),'Operating Assumptions'!$H11*'Monthly CF'!AJ$36*AJ$23,IF(AND('Operating Assumptions'!$G11="$/Unit/Month",AJ36&lt;'Operating Assumptions'!$D$14,'Operating Assumptions'!$D$15&gt;0),'Operating Assumptions'!$H11*('Monthly CF'!AJ$36*'Operating Assumptions'!$C$15)*AJ$23,IF('Operating Assumptions'!$G11="Fixed Amount",'Operating Assumptions'!$H11/12*AJ$23,IF('Operating Assumptions'!$G11="$/NSF",'Operating Assumptions'!$H11*'Operating Assumptions'!$D$12/12*AJ$23,IF('Operating Assumptions'!$G11="N/A",0)))))))))))</f>
        <v>8648.75</v>
      </c>
      <c r="AK44" s="436">
        <f>IF(AK$9&lt;'Operating Assumptions'!$D$53,0,IF(AK$6&gt;'Operating Assumptions'!$AA$8,0,IF(AND('Operating Assumptions'!$G11="$/Unit/Annual",AK36='Operating Assumptions'!$D$14),'Operating Assumptions'!$H11*('Monthly CF'!AK$36-'Operating Assumptions'!$D$15)/12*AK$23,IF(AND('Operating Assumptions'!$G11="$/Unit/Annual",AK36&lt;'Operating Assumptions'!$D$14,'Operating Assumptions'!$D$15=0),'Operating Assumptions'!$H11*'Monthly CF'!AK$36/12*AK$23,IF(AND('Operating Assumptions'!$G11="$/Unit/Annual",AK36&lt;'Operating Assumptions'!$D$14,'Operating Assumptions'!$D$15&gt;0),'Operating Assumptions'!$H11*('Monthly CF'!AK$36*'Operating Assumptions'!$C$15)/12*AK$23,IF(AND('Operating Assumptions'!$G11="$/Unit/Month",AK36='Operating Assumptions'!$D$14),'Operating Assumptions'!$H11*('Monthly CF'!AK$36-'Operating Assumptions'!$D$15)*AK$23,IF(AND('Operating Assumptions'!$G11="$/Unit/Month",AK36&lt;'Operating Assumptions'!$D$14,'Operating Assumptions'!$D$15=0),'Operating Assumptions'!$H11*'Monthly CF'!AK$36*AK$23,IF(AND('Operating Assumptions'!$G11="$/Unit/Month",AK36&lt;'Operating Assumptions'!$D$14,'Operating Assumptions'!$D$15&gt;0),'Operating Assumptions'!$H11*('Monthly CF'!AK$36*'Operating Assumptions'!$C$15)*AK$23,IF('Operating Assumptions'!$G11="Fixed Amount",'Operating Assumptions'!$H11/12*AK$23,IF('Operating Assumptions'!$G11="$/NSF",'Operating Assumptions'!$H11*'Operating Assumptions'!$D$12/12*AK$23,IF('Operating Assumptions'!$G11="N/A",0)))))))))))</f>
        <v>9583.75</v>
      </c>
      <c r="AL44" s="436">
        <f>IF(AL$9&lt;'Operating Assumptions'!$D$53,0,IF(AL$6&gt;'Operating Assumptions'!$AA$8,0,IF(AND('Operating Assumptions'!$G11="$/Unit/Annual",AL36='Operating Assumptions'!$D$14),'Operating Assumptions'!$H11*('Monthly CF'!AL$36-'Operating Assumptions'!$D$15)/12*AL$23,IF(AND('Operating Assumptions'!$G11="$/Unit/Annual",AL36&lt;'Operating Assumptions'!$D$14,'Operating Assumptions'!$D$15=0),'Operating Assumptions'!$H11*'Monthly CF'!AL$36/12*AL$23,IF(AND('Operating Assumptions'!$G11="$/Unit/Annual",AL36&lt;'Operating Assumptions'!$D$14,'Operating Assumptions'!$D$15&gt;0),'Operating Assumptions'!$H11*('Monthly CF'!AL$36*'Operating Assumptions'!$C$15)/12*AL$23,IF(AND('Operating Assumptions'!$G11="$/Unit/Month",AL36='Operating Assumptions'!$D$14),'Operating Assumptions'!$H11*('Monthly CF'!AL$36-'Operating Assumptions'!$D$15)*AL$23,IF(AND('Operating Assumptions'!$G11="$/Unit/Month",AL36&lt;'Operating Assumptions'!$D$14,'Operating Assumptions'!$D$15=0),'Operating Assumptions'!$H11*'Monthly CF'!AL$36*AL$23,IF(AND('Operating Assumptions'!$G11="$/Unit/Month",AL36&lt;'Operating Assumptions'!$D$14,'Operating Assumptions'!$D$15&gt;0),'Operating Assumptions'!$H11*('Monthly CF'!AL$36*'Operating Assumptions'!$C$15)*AL$23,IF('Operating Assumptions'!$G11="Fixed Amount",'Operating Assumptions'!$H11/12*AL$23,IF('Operating Assumptions'!$G11="$/NSF",'Operating Assumptions'!$H11*'Operating Assumptions'!$D$12/12*AL$23,IF('Operating Assumptions'!$G11="N/A",0)))))))))))</f>
        <v>10518.75</v>
      </c>
      <c r="AM44" s="436">
        <f>IF(AM$9&lt;'Operating Assumptions'!$D$53,0,IF(AM$6&gt;'Operating Assumptions'!$AA$8,0,IF(AND('Operating Assumptions'!$G11="$/Unit/Annual",AM36='Operating Assumptions'!$D$14),'Operating Assumptions'!$H11*('Monthly CF'!AM$36-'Operating Assumptions'!$D$15)/12*AM$23,IF(AND('Operating Assumptions'!$G11="$/Unit/Annual",AM36&lt;'Operating Assumptions'!$D$14,'Operating Assumptions'!$D$15=0),'Operating Assumptions'!$H11*'Monthly CF'!AM$36/12*AM$23,IF(AND('Operating Assumptions'!$G11="$/Unit/Annual",AM36&lt;'Operating Assumptions'!$D$14,'Operating Assumptions'!$D$15&gt;0),'Operating Assumptions'!$H11*('Monthly CF'!AM$36*'Operating Assumptions'!$C$15)/12*AM$23,IF(AND('Operating Assumptions'!$G11="$/Unit/Month",AM36='Operating Assumptions'!$D$14),'Operating Assumptions'!$H11*('Monthly CF'!AM$36-'Operating Assumptions'!$D$15)*AM$23,IF(AND('Operating Assumptions'!$G11="$/Unit/Month",AM36&lt;'Operating Assumptions'!$D$14,'Operating Assumptions'!$D$15=0),'Operating Assumptions'!$H11*'Monthly CF'!AM$36*AM$23,IF(AND('Operating Assumptions'!$G11="$/Unit/Month",AM36&lt;'Operating Assumptions'!$D$14,'Operating Assumptions'!$D$15&gt;0),'Operating Assumptions'!$H11*('Monthly CF'!AM$36*'Operating Assumptions'!$C$15)*AM$23,IF('Operating Assumptions'!$G11="Fixed Amount",'Operating Assumptions'!$H11/12*AM$23,IF('Operating Assumptions'!$G11="$/NSF",'Operating Assumptions'!$H11*'Operating Assumptions'!$D$12/12*AM$23,IF('Operating Assumptions'!$G11="N/A",0)))))))))))</f>
        <v>11220</v>
      </c>
      <c r="AN44" s="436">
        <f>IF(AN$9&lt;'Operating Assumptions'!$D$53,0,IF(AN$6&gt;'Operating Assumptions'!$AA$8,0,IF(AND('Operating Assumptions'!$G11="$/Unit/Annual",AN36='Operating Assumptions'!$D$14),'Operating Assumptions'!$H11*('Monthly CF'!AN$36-'Operating Assumptions'!$D$15)/12*AN$23,IF(AND('Operating Assumptions'!$G11="$/Unit/Annual",AN36&lt;'Operating Assumptions'!$D$14,'Operating Assumptions'!$D$15=0),'Operating Assumptions'!$H11*'Monthly CF'!AN$36/12*AN$23,IF(AND('Operating Assumptions'!$G11="$/Unit/Annual",AN36&lt;'Operating Assumptions'!$D$14,'Operating Assumptions'!$D$15&gt;0),'Operating Assumptions'!$H11*('Monthly CF'!AN$36*'Operating Assumptions'!$C$15)/12*AN$23,IF(AND('Operating Assumptions'!$G11="$/Unit/Month",AN36='Operating Assumptions'!$D$14),'Operating Assumptions'!$H11*('Monthly CF'!AN$36-'Operating Assumptions'!$D$15)*AN$23,IF(AND('Operating Assumptions'!$G11="$/Unit/Month",AN36&lt;'Operating Assumptions'!$D$14,'Operating Assumptions'!$D$15=0),'Operating Assumptions'!$H11*'Monthly CF'!AN$36*AN$23,IF(AND('Operating Assumptions'!$G11="$/Unit/Month",AN36&lt;'Operating Assumptions'!$D$14,'Operating Assumptions'!$D$15&gt;0),'Operating Assumptions'!$H11*('Monthly CF'!AN$36*'Operating Assumptions'!$C$15)*AN$23,IF('Operating Assumptions'!$G11="Fixed Amount",'Operating Assumptions'!$H11/12*AN$23,IF('Operating Assumptions'!$G11="$/NSF",'Operating Assumptions'!$H11*'Operating Assumptions'!$D$12/12*AN$23,IF('Operating Assumptions'!$G11="N/A",0)))))))))))</f>
        <v>11220</v>
      </c>
      <c r="AO44" s="436">
        <f>IF(AO$9&lt;'Operating Assumptions'!$D$53,0,IF(AO$6&gt;'Operating Assumptions'!$AA$8,0,IF(AND('Operating Assumptions'!$G11="$/Unit/Annual",AO36='Operating Assumptions'!$D$14),'Operating Assumptions'!$H11*('Monthly CF'!AO$36-'Operating Assumptions'!$D$15)/12*AO$23,IF(AND('Operating Assumptions'!$G11="$/Unit/Annual",AO36&lt;'Operating Assumptions'!$D$14,'Operating Assumptions'!$D$15=0),'Operating Assumptions'!$H11*'Monthly CF'!AO$36/12*AO$23,IF(AND('Operating Assumptions'!$G11="$/Unit/Annual",AO36&lt;'Operating Assumptions'!$D$14,'Operating Assumptions'!$D$15&gt;0),'Operating Assumptions'!$H11*('Monthly CF'!AO$36*'Operating Assumptions'!$C$15)/12*AO$23,IF(AND('Operating Assumptions'!$G11="$/Unit/Month",AO36='Operating Assumptions'!$D$14),'Operating Assumptions'!$H11*('Monthly CF'!AO$36-'Operating Assumptions'!$D$15)*AO$23,IF(AND('Operating Assumptions'!$G11="$/Unit/Month",AO36&lt;'Operating Assumptions'!$D$14,'Operating Assumptions'!$D$15=0),'Operating Assumptions'!$H11*'Monthly CF'!AO$36*AO$23,IF(AND('Operating Assumptions'!$G11="$/Unit/Month",AO36&lt;'Operating Assumptions'!$D$14,'Operating Assumptions'!$D$15&gt;0),'Operating Assumptions'!$H11*('Monthly CF'!AO$36*'Operating Assumptions'!$C$15)*AO$23,IF('Operating Assumptions'!$G11="Fixed Amount",'Operating Assumptions'!$H11/12*AO$23,IF('Operating Assumptions'!$G11="$/NSF",'Operating Assumptions'!$H11*'Operating Assumptions'!$D$12/12*AO$23,IF('Operating Assumptions'!$G11="N/A",0)))))))))))</f>
        <v>11220</v>
      </c>
      <c r="AP44" s="436">
        <f>IF(AP$9&lt;'Operating Assumptions'!$D$53,0,IF(AP$6&gt;'Operating Assumptions'!$AA$8,0,IF(AND('Operating Assumptions'!$G11="$/Unit/Annual",AP36='Operating Assumptions'!$D$14),'Operating Assumptions'!$H11*('Monthly CF'!AP$36-'Operating Assumptions'!$D$15)/12*AP$23,IF(AND('Operating Assumptions'!$G11="$/Unit/Annual",AP36&lt;'Operating Assumptions'!$D$14,'Operating Assumptions'!$D$15=0),'Operating Assumptions'!$H11*'Monthly CF'!AP$36/12*AP$23,IF(AND('Operating Assumptions'!$G11="$/Unit/Annual",AP36&lt;'Operating Assumptions'!$D$14,'Operating Assumptions'!$D$15&gt;0),'Operating Assumptions'!$H11*('Monthly CF'!AP$36*'Operating Assumptions'!$C$15)/12*AP$23,IF(AND('Operating Assumptions'!$G11="$/Unit/Month",AP36='Operating Assumptions'!$D$14),'Operating Assumptions'!$H11*('Monthly CF'!AP$36-'Operating Assumptions'!$D$15)*AP$23,IF(AND('Operating Assumptions'!$G11="$/Unit/Month",AP36&lt;'Operating Assumptions'!$D$14,'Operating Assumptions'!$D$15=0),'Operating Assumptions'!$H11*'Monthly CF'!AP$36*AP$23,IF(AND('Operating Assumptions'!$G11="$/Unit/Month",AP36&lt;'Operating Assumptions'!$D$14,'Operating Assumptions'!$D$15&gt;0),'Operating Assumptions'!$H11*('Monthly CF'!AP$36*'Operating Assumptions'!$C$15)*AP$23,IF('Operating Assumptions'!$G11="Fixed Amount",'Operating Assumptions'!$H11/12*AP$23,IF('Operating Assumptions'!$G11="$/NSF",'Operating Assumptions'!$H11*'Operating Assumptions'!$D$12/12*AP$23,IF('Operating Assumptions'!$G11="N/A",0)))))))))))</f>
        <v>11220</v>
      </c>
      <c r="AQ44" s="436">
        <f>IF(AQ$9&lt;'Operating Assumptions'!$D$53,0,IF(AQ$6&gt;'Operating Assumptions'!$AA$8,0,IF(AND('Operating Assumptions'!$G11="$/Unit/Annual",AQ36='Operating Assumptions'!$D$14),'Operating Assumptions'!$H11*('Monthly CF'!AQ$36-'Operating Assumptions'!$D$15)/12*AQ$23,IF(AND('Operating Assumptions'!$G11="$/Unit/Annual",AQ36&lt;'Operating Assumptions'!$D$14,'Operating Assumptions'!$D$15=0),'Operating Assumptions'!$H11*'Monthly CF'!AQ$36/12*AQ$23,IF(AND('Operating Assumptions'!$G11="$/Unit/Annual",AQ36&lt;'Operating Assumptions'!$D$14,'Operating Assumptions'!$D$15&gt;0),'Operating Assumptions'!$H11*('Monthly CF'!AQ$36*'Operating Assumptions'!$C$15)/12*AQ$23,IF(AND('Operating Assumptions'!$G11="$/Unit/Month",AQ36='Operating Assumptions'!$D$14),'Operating Assumptions'!$H11*('Monthly CF'!AQ$36-'Operating Assumptions'!$D$15)*AQ$23,IF(AND('Operating Assumptions'!$G11="$/Unit/Month",AQ36&lt;'Operating Assumptions'!$D$14,'Operating Assumptions'!$D$15=0),'Operating Assumptions'!$H11*'Monthly CF'!AQ$36*AQ$23,IF(AND('Operating Assumptions'!$G11="$/Unit/Month",AQ36&lt;'Operating Assumptions'!$D$14,'Operating Assumptions'!$D$15&gt;0),'Operating Assumptions'!$H11*('Monthly CF'!AQ$36*'Operating Assumptions'!$C$15)*AQ$23,IF('Operating Assumptions'!$G11="Fixed Amount",'Operating Assumptions'!$H11/12*AQ$23,IF('Operating Assumptions'!$G11="$/NSF",'Operating Assumptions'!$H11*'Operating Assumptions'!$D$12/12*AQ$23,IF('Operating Assumptions'!$G11="N/A",0)))))))))))</f>
        <v>11220</v>
      </c>
      <c r="AR44" s="436">
        <f>IF(AR$9&lt;'Operating Assumptions'!$D$53,0,IF(AR$6&gt;'Operating Assumptions'!$AA$8,0,IF(AND('Operating Assumptions'!$G11="$/Unit/Annual",AR36='Operating Assumptions'!$D$14),'Operating Assumptions'!$H11*('Monthly CF'!AR$36-'Operating Assumptions'!$D$15)/12*AR$23,IF(AND('Operating Assumptions'!$G11="$/Unit/Annual",AR36&lt;'Operating Assumptions'!$D$14,'Operating Assumptions'!$D$15=0),'Operating Assumptions'!$H11*'Monthly CF'!AR$36/12*AR$23,IF(AND('Operating Assumptions'!$G11="$/Unit/Annual",AR36&lt;'Operating Assumptions'!$D$14,'Operating Assumptions'!$D$15&gt;0),'Operating Assumptions'!$H11*('Monthly CF'!AR$36*'Operating Assumptions'!$C$15)/12*AR$23,IF(AND('Operating Assumptions'!$G11="$/Unit/Month",AR36='Operating Assumptions'!$D$14),'Operating Assumptions'!$H11*('Monthly CF'!AR$36-'Operating Assumptions'!$D$15)*AR$23,IF(AND('Operating Assumptions'!$G11="$/Unit/Month",AR36&lt;'Operating Assumptions'!$D$14,'Operating Assumptions'!$D$15=0),'Operating Assumptions'!$H11*'Monthly CF'!AR$36*AR$23,IF(AND('Operating Assumptions'!$G11="$/Unit/Month",AR36&lt;'Operating Assumptions'!$D$14,'Operating Assumptions'!$D$15&gt;0),'Operating Assumptions'!$H11*('Monthly CF'!AR$36*'Operating Assumptions'!$C$15)*AR$23,IF('Operating Assumptions'!$G11="Fixed Amount",'Operating Assumptions'!$H11/12*AR$23,IF('Operating Assumptions'!$G11="$/NSF",'Operating Assumptions'!$H11*'Operating Assumptions'!$D$12/12*AR$23,IF('Operating Assumptions'!$G11="N/A",0)))))))))))</f>
        <v>11440</v>
      </c>
      <c r="AS44" s="436">
        <f>IF(AS$9&lt;'Operating Assumptions'!$D$53,0,IF(AS$6&gt;'Operating Assumptions'!$AA$8,0,IF(AND('Operating Assumptions'!$G11="$/Unit/Annual",AS36='Operating Assumptions'!$D$14),'Operating Assumptions'!$H11*('Monthly CF'!AS$36-'Operating Assumptions'!$D$15)/12*AS$23,IF(AND('Operating Assumptions'!$G11="$/Unit/Annual",AS36&lt;'Operating Assumptions'!$D$14,'Operating Assumptions'!$D$15=0),'Operating Assumptions'!$H11*'Monthly CF'!AS$36/12*AS$23,IF(AND('Operating Assumptions'!$G11="$/Unit/Annual",AS36&lt;'Operating Assumptions'!$D$14,'Operating Assumptions'!$D$15&gt;0),'Operating Assumptions'!$H11*('Monthly CF'!AS$36*'Operating Assumptions'!$C$15)/12*AS$23,IF(AND('Operating Assumptions'!$G11="$/Unit/Month",AS36='Operating Assumptions'!$D$14),'Operating Assumptions'!$H11*('Monthly CF'!AS$36-'Operating Assumptions'!$D$15)*AS$23,IF(AND('Operating Assumptions'!$G11="$/Unit/Month",AS36&lt;'Operating Assumptions'!$D$14,'Operating Assumptions'!$D$15=0),'Operating Assumptions'!$H11*'Monthly CF'!AS$36*AS$23,IF(AND('Operating Assumptions'!$G11="$/Unit/Month",AS36&lt;'Operating Assumptions'!$D$14,'Operating Assumptions'!$D$15&gt;0),'Operating Assumptions'!$H11*('Monthly CF'!AS$36*'Operating Assumptions'!$C$15)*AS$23,IF('Operating Assumptions'!$G11="Fixed Amount",'Operating Assumptions'!$H11/12*AS$23,IF('Operating Assumptions'!$G11="$/NSF",'Operating Assumptions'!$H11*'Operating Assumptions'!$D$12/12*AS$23,IF('Operating Assumptions'!$G11="N/A",0)))))))))))</f>
        <v>11440</v>
      </c>
      <c r="AT44" s="436">
        <f>IF(AT$9&lt;'Operating Assumptions'!$D$53,0,IF(AT$6&gt;'Operating Assumptions'!$AA$8,0,IF(AND('Operating Assumptions'!$G11="$/Unit/Annual",AT36='Operating Assumptions'!$D$14),'Operating Assumptions'!$H11*('Monthly CF'!AT$36-'Operating Assumptions'!$D$15)/12*AT$23,IF(AND('Operating Assumptions'!$G11="$/Unit/Annual",AT36&lt;'Operating Assumptions'!$D$14,'Operating Assumptions'!$D$15=0),'Operating Assumptions'!$H11*'Monthly CF'!AT$36/12*AT$23,IF(AND('Operating Assumptions'!$G11="$/Unit/Annual",AT36&lt;'Operating Assumptions'!$D$14,'Operating Assumptions'!$D$15&gt;0),'Operating Assumptions'!$H11*('Monthly CF'!AT$36*'Operating Assumptions'!$C$15)/12*AT$23,IF(AND('Operating Assumptions'!$G11="$/Unit/Month",AT36='Operating Assumptions'!$D$14),'Operating Assumptions'!$H11*('Monthly CF'!AT$36-'Operating Assumptions'!$D$15)*AT$23,IF(AND('Operating Assumptions'!$G11="$/Unit/Month",AT36&lt;'Operating Assumptions'!$D$14,'Operating Assumptions'!$D$15=0),'Operating Assumptions'!$H11*'Monthly CF'!AT$36*AT$23,IF(AND('Operating Assumptions'!$G11="$/Unit/Month",AT36&lt;'Operating Assumptions'!$D$14,'Operating Assumptions'!$D$15&gt;0),'Operating Assumptions'!$H11*('Monthly CF'!AT$36*'Operating Assumptions'!$C$15)*AT$23,IF('Operating Assumptions'!$G11="Fixed Amount",'Operating Assumptions'!$H11/12*AT$23,IF('Operating Assumptions'!$G11="$/NSF",'Operating Assumptions'!$H11*'Operating Assumptions'!$D$12/12*AT$23,IF('Operating Assumptions'!$G11="N/A",0)))))))))))</f>
        <v>11440</v>
      </c>
      <c r="AU44" s="436">
        <f>IF(AU$9&lt;'Operating Assumptions'!$D$53,0,IF(AU$6&gt;'Operating Assumptions'!$AA$8,0,IF(AND('Operating Assumptions'!$G11="$/Unit/Annual",AU36='Operating Assumptions'!$D$14),'Operating Assumptions'!$H11*('Monthly CF'!AU$36-'Operating Assumptions'!$D$15)/12*AU$23,IF(AND('Operating Assumptions'!$G11="$/Unit/Annual",AU36&lt;'Operating Assumptions'!$D$14,'Operating Assumptions'!$D$15=0),'Operating Assumptions'!$H11*'Monthly CF'!AU$36/12*AU$23,IF(AND('Operating Assumptions'!$G11="$/Unit/Annual",AU36&lt;'Operating Assumptions'!$D$14,'Operating Assumptions'!$D$15&gt;0),'Operating Assumptions'!$H11*('Monthly CF'!AU$36*'Operating Assumptions'!$C$15)/12*AU$23,IF(AND('Operating Assumptions'!$G11="$/Unit/Month",AU36='Operating Assumptions'!$D$14),'Operating Assumptions'!$H11*('Monthly CF'!AU$36-'Operating Assumptions'!$D$15)*AU$23,IF(AND('Operating Assumptions'!$G11="$/Unit/Month",AU36&lt;'Operating Assumptions'!$D$14,'Operating Assumptions'!$D$15=0),'Operating Assumptions'!$H11*'Monthly CF'!AU$36*AU$23,IF(AND('Operating Assumptions'!$G11="$/Unit/Month",AU36&lt;'Operating Assumptions'!$D$14,'Operating Assumptions'!$D$15&gt;0),'Operating Assumptions'!$H11*('Monthly CF'!AU$36*'Operating Assumptions'!$C$15)*AU$23,IF('Operating Assumptions'!$G11="Fixed Amount",'Operating Assumptions'!$H11/12*AU$23,IF('Operating Assumptions'!$G11="$/NSF",'Operating Assumptions'!$H11*'Operating Assumptions'!$D$12/12*AU$23,IF('Operating Assumptions'!$G11="N/A",0)))))))))))</f>
        <v>11440</v>
      </c>
      <c r="AV44" s="436">
        <f>IF(AV$9&lt;'Operating Assumptions'!$D$53,0,IF(AV$6&gt;'Operating Assumptions'!$AA$8,0,IF(AND('Operating Assumptions'!$G11="$/Unit/Annual",AV36='Operating Assumptions'!$D$14),'Operating Assumptions'!$H11*('Monthly CF'!AV$36-'Operating Assumptions'!$D$15)/12*AV$23,IF(AND('Operating Assumptions'!$G11="$/Unit/Annual",AV36&lt;'Operating Assumptions'!$D$14,'Operating Assumptions'!$D$15=0),'Operating Assumptions'!$H11*'Monthly CF'!AV$36/12*AV$23,IF(AND('Operating Assumptions'!$G11="$/Unit/Annual",AV36&lt;'Operating Assumptions'!$D$14,'Operating Assumptions'!$D$15&gt;0),'Operating Assumptions'!$H11*('Monthly CF'!AV$36*'Operating Assumptions'!$C$15)/12*AV$23,IF(AND('Operating Assumptions'!$G11="$/Unit/Month",AV36='Operating Assumptions'!$D$14),'Operating Assumptions'!$H11*('Monthly CF'!AV$36-'Operating Assumptions'!$D$15)*AV$23,IF(AND('Operating Assumptions'!$G11="$/Unit/Month",AV36&lt;'Operating Assumptions'!$D$14,'Operating Assumptions'!$D$15=0),'Operating Assumptions'!$H11*'Monthly CF'!AV$36*AV$23,IF(AND('Operating Assumptions'!$G11="$/Unit/Month",AV36&lt;'Operating Assumptions'!$D$14,'Operating Assumptions'!$D$15&gt;0),'Operating Assumptions'!$H11*('Monthly CF'!AV$36*'Operating Assumptions'!$C$15)*AV$23,IF('Operating Assumptions'!$G11="Fixed Amount",'Operating Assumptions'!$H11/12*AV$23,IF('Operating Assumptions'!$G11="$/NSF",'Operating Assumptions'!$H11*'Operating Assumptions'!$D$12/12*AV$23,IF('Operating Assumptions'!$G11="N/A",0)))))))))))</f>
        <v>11440</v>
      </c>
      <c r="AW44" s="436">
        <f>IF(AW$9&lt;'Operating Assumptions'!$D$53,0,IF(AW$6&gt;'Operating Assumptions'!$AA$8,0,IF(AND('Operating Assumptions'!$G11="$/Unit/Annual",AW36='Operating Assumptions'!$D$14),'Operating Assumptions'!$H11*('Monthly CF'!AW$36-'Operating Assumptions'!$D$15)/12*AW$23,IF(AND('Operating Assumptions'!$G11="$/Unit/Annual",AW36&lt;'Operating Assumptions'!$D$14,'Operating Assumptions'!$D$15=0),'Operating Assumptions'!$H11*'Monthly CF'!AW$36/12*AW$23,IF(AND('Operating Assumptions'!$G11="$/Unit/Annual",AW36&lt;'Operating Assumptions'!$D$14,'Operating Assumptions'!$D$15&gt;0),'Operating Assumptions'!$H11*('Monthly CF'!AW$36*'Operating Assumptions'!$C$15)/12*AW$23,IF(AND('Operating Assumptions'!$G11="$/Unit/Month",AW36='Operating Assumptions'!$D$14),'Operating Assumptions'!$H11*('Monthly CF'!AW$36-'Operating Assumptions'!$D$15)*AW$23,IF(AND('Operating Assumptions'!$G11="$/Unit/Month",AW36&lt;'Operating Assumptions'!$D$14,'Operating Assumptions'!$D$15=0),'Operating Assumptions'!$H11*'Monthly CF'!AW$36*AW$23,IF(AND('Operating Assumptions'!$G11="$/Unit/Month",AW36&lt;'Operating Assumptions'!$D$14,'Operating Assumptions'!$D$15&gt;0),'Operating Assumptions'!$H11*('Monthly CF'!AW$36*'Operating Assumptions'!$C$15)*AW$23,IF('Operating Assumptions'!$G11="Fixed Amount",'Operating Assumptions'!$H11/12*AW$23,IF('Operating Assumptions'!$G11="$/NSF",'Operating Assumptions'!$H11*'Operating Assumptions'!$D$12/12*AW$23,IF('Operating Assumptions'!$G11="N/A",0)))))))))))</f>
        <v>11440</v>
      </c>
      <c r="AX44" s="436">
        <f>IF(AX$9&lt;'Operating Assumptions'!$D$53,0,IF(AX$6&gt;'Operating Assumptions'!$AA$8,0,IF(AND('Operating Assumptions'!$G11="$/Unit/Annual",AX36='Operating Assumptions'!$D$14),'Operating Assumptions'!$H11*('Monthly CF'!AX$36-'Operating Assumptions'!$D$15)/12*AX$23,IF(AND('Operating Assumptions'!$G11="$/Unit/Annual",AX36&lt;'Operating Assumptions'!$D$14,'Operating Assumptions'!$D$15=0),'Operating Assumptions'!$H11*'Monthly CF'!AX$36/12*AX$23,IF(AND('Operating Assumptions'!$G11="$/Unit/Annual",AX36&lt;'Operating Assumptions'!$D$14,'Operating Assumptions'!$D$15&gt;0),'Operating Assumptions'!$H11*('Monthly CF'!AX$36*'Operating Assumptions'!$C$15)/12*AX$23,IF(AND('Operating Assumptions'!$G11="$/Unit/Month",AX36='Operating Assumptions'!$D$14),'Operating Assumptions'!$H11*('Monthly CF'!AX$36-'Operating Assumptions'!$D$15)*AX$23,IF(AND('Operating Assumptions'!$G11="$/Unit/Month",AX36&lt;'Operating Assumptions'!$D$14,'Operating Assumptions'!$D$15=0),'Operating Assumptions'!$H11*'Monthly CF'!AX$36*AX$23,IF(AND('Operating Assumptions'!$G11="$/Unit/Month",AX36&lt;'Operating Assumptions'!$D$14,'Operating Assumptions'!$D$15&gt;0),'Operating Assumptions'!$H11*('Monthly CF'!AX$36*'Operating Assumptions'!$C$15)*AX$23,IF('Operating Assumptions'!$G11="Fixed Amount",'Operating Assumptions'!$H11/12*AX$23,IF('Operating Assumptions'!$G11="$/NSF",'Operating Assumptions'!$H11*'Operating Assumptions'!$D$12/12*AX$23,IF('Operating Assumptions'!$G11="N/A",0)))))))))))</f>
        <v>11440</v>
      </c>
      <c r="AY44" s="436">
        <f>IF(AY$9&lt;'Operating Assumptions'!$D$53,0,IF(AY$6&gt;'Operating Assumptions'!$AA$8,0,IF(AND('Operating Assumptions'!$G11="$/Unit/Annual",AY36='Operating Assumptions'!$D$14),'Operating Assumptions'!$H11*('Monthly CF'!AY$36-'Operating Assumptions'!$D$15)/12*AY$23,IF(AND('Operating Assumptions'!$G11="$/Unit/Annual",AY36&lt;'Operating Assumptions'!$D$14,'Operating Assumptions'!$D$15=0),'Operating Assumptions'!$H11*'Monthly CF'!AY$36/12*AY$23,IF(AND('Operating Assumptions'!$G11="$/Unit/Annual",AY36&lt;'Operating Assumptions'!$D$14,'Operating Assumptions'!$D$15&gt;0),'Operating Assumptions'!$H11*('Monthly CF'!AY$36*'Operating Assumptions'!$C$15)/12*AY$23,IF(AND('Operating Assumptions'!$G11="$/Unit/Month",AY36='Operating Assumptions'!$D$14),'Operating Assumptions'!$H11*('Monthly CF'!AY$36-'Operating Assumptions'!$D$15)*AY$23,IF(AND('Operating Assumptions'!$G11="$/Unit/Month",AY36&lt;'Operating Assumptions'!$D$14,'Operating Assumptions'!$D$15=0),'Operating Assumptions'!$H11*'Monthly CF'!AY$36*AY$23,IF(AND('Operating Assumptions'!$G11="$/Unit/Month",AY36&lt;'Operating Assumptions'!$D$14,'Operating Assumptions'!$D$15&gt;0),'Operating Assumptions'!$H11*('Monthly CF'!AY$36*'Operating Assumptions'!$C$15)*AY$23,IF('Operating Assumptions'!$G11="Fixed Amount",'Operating Assumptions'!$H11/12*AY$23,IF('Operating Assumptions'!$G11="$/NSF",'Operating Assumptions'!$H11*'Operating Assumptions'!$D$12/12*AY$23,IF('Operating Assumptions'!$G11="N/A",0)))))))))))</f>
        <v>11440</v>
      </c>
      <c r="AZ44" s="436">
        <f>IF(AZ$9&lt;'Operating Assumptions'!$D$53,0,IF(AZ$6&gt;'Operating Assumptions'!$AA$8,0,IF(AND('Operating Assumptions'!$G11="$/Unit/Annual",AZ36='Operating Assumptions'!$D$14),'Operating Assumptions'!$H11*('Monthly CF'!AZ$36-'Operating Assumptions'!$D$15)/12*AZ$23,IF(AND('Operating Assumptions'!$G11="$/Unit/Annual",AZ36&lt;'Operating Assumptions'!$D$14,'Operating Assumptions'!$D$15=0),'Operating Assumptions'!$H11*'Monthly CF'!AZ$36/12*AZ$23,IF(AND('Operating Assumptions'!$G11="$/Unit/Annual",AZ36&lt;'Operating Assumptions'!$D$14,'Operating Assumptions'!$D$15&gt;0),'Operating Assumptions'!$H11*('Monthly CF'!AZ$36*'Operating Assumptions'!$C$15)/12*AZ$23,IF(AND('Operating Assumptions'!$G11="$/Unit/Month",AZ36='Operating Assumptions'!$D$14),'Operating Assumptions'!$H11*('Monthly CF'!AZ$36-'Operating Assumptions'!$D$15)*AZ$23,IF(AND('Operating Assumptions'!$G11="$/Unit/Month",AZ36&lt;'Operating Assumptions'!$D$14,'Operating Assumptions'!$D$15=0),'Operating Assumptions'!$H11*'Monthly CF'!AZ$36*AZ$23,IF(AND('Operating Assumptions'!$G11="$/Unit/Month",AZ36&lt;'Operating Assumptions'!$D$14,'Operating Assumptions'!$D$15&gt;0),'Operating Assumptions'!$H11*('Monthly CF'!AZ$36*'Operating Assumptions'!$C$15)*AZ$23,IF('Operating Assumptions'!$G11="Fixed Amount",'Operating Assumptions'!$H11/12*AZ$23,IF('Operating Assumptions'!$G11="$/NSF",'Operating Assumptions'!$H11*'Operating Assumptions'!$D$12/12*AZ$23,IF('Operating Assumptions'!$G11="N/A",0)))))))))))</f>
        <v>11440</v>
      </c>
      <c r="BA44" s="436">
        <f>IF(BA$9&lt;'Operating Assumptions'!$D$53,0,IF(BA$6&gt;'Operating Assumptions'!$AA$8,0,IF(AND('Operating Assumptions'!$G11="$/Unit/Annual",BA36='Operating Assumptions'!$D$14),'Operating Assumptions'!$H11*('Monthly CF'!BA$36-'Operating Assumptions'!$D$15)/12*BA$23,IF(AND('Operating Assumptions'!$G11="$/Unit/Annual",BA36&lt;'Operating Assumptions'!$D$14,'Operating Assumptions'!$D$15=0),'Operating Assumptions'!$H11*'Monthly CF'!BA$36/12*BA$23,IF(AND('Operating Assumptions'!$G11="$/Unit/Annual",BA36&lt;'Operating Assumptions'!$D$14,'Operating Assumptions'!$D$15&gt;0),'Operating Assumptions'!$H11*('Monthly CF'!BA$36*'Operating Assumptions'!$C$15)/12*BA$23,IF(AND('Operating Assumptions'!$G11="$/Unit/Month",BA36='Operating Assumptions'!$D$14),'Operating Assumptions'!$H11*('Monthly CF'!BA$36-'Operating Assumptions'!$D$15)*BA$23,IF(AND('Operating Assumptions'!$G11="$/Unit/Month",BA36&lt;'Operating Assumptions'!$D$14,'Operating Assumptions'!$D$15=0),'Operating Assumptions'!$H11*'Monthly CF'!BA$36*BA$23,IF(AND('Operating Assumptions'!$G11="$/Unit/Month",BA36&lt;'Operating Assumptions'!$D$14,'Operating Assumptions'!$D$15&gt;0),'Operating Assumptions'!$H11*('Monthly CF'!BA$36*'Operating Assumptions'!$C$15)*BA$23,IF('Operating Assumptions'!$G11="Fixed Amount",'Operating Assumptions'!$H11/12*BA$23,IF('Operating Assumptions'!$G11="$/NSF",'Operating Assumptions'!$H11*'Operating Assumptions'!$D$12/12*BA$23,IF('Operating Assumptions'!$G11="N/A",0)))))))))))</f>
        <v>11440</v>
      </c>
      <c r="BB44" s="436">
        <f>IF(BB$9&lt;'Operating Assumptions'!$D$53,0,IF(BB$6&gt;'Operating Assumptions'!$AA$8,0,IF(AND('Operating Assumptions'!$G11="$/Unit/Annual",BB36='Operating Assumptions'!$D$14),'Operating Assumptions'!$H11*('Monthly CF'!BB$36-'Operating Assumptions'!$D$15)/12*BB$23,IF(AND('Operating Assumptions'!$G11="$/Unit/Annual",BB36&lt;'Operating Assumptions'!$D$14,'Operating Assumptions'!$D$15=0),'Operating Assumptions'!$H11*'Monthly CF'!BB$36/12*BB$23,IF(AND('Operating Assumptions'!$G11="$/Unit/Annual",BB36&lt;'Operating Assumptions'!$D$14,'Operating Assumptions'!$D$15&gt;0),'Operating Assumptions'!$H11*('Monthly CF'!BB$36*'Operating Assumptions'!$C$15)/12*BB$23,IF(AND('Operating Assumptions'!$G11="$/Unit/Month",BB36='Operating Assumptions'!$D$14),'Operating Assumptions'!$H11*('Monthly CF'!BB$36-'Operating Assumptions'!$D$15)*BB$23,IF(AND('Operating Assumptions'!$G11="$/Unit/Month",BB36&lt;'Operating Assumptions'!$D$14,'Operating Assumptions'!$D$15=0),'Operating Assumptions'!$H11*'Monthly CF'!BB$36*BB$23,IF(AND('Operating Assumptions'!$G11="$/Unit/Month",BB36&lt;'Operating Assumptions'!$D$14,'Operating Assumptions'!$D$15&gt;0),'Operating Assumptions'!$H11*('Monthly CF'!BB$36*'Operating Assumptions'!$C$15)*BB$23,IF('Operating Assumptions'!$G11="Fixed Amount",'Operating Assumptions'!$H11/12*BB$23,IF('Operating Assumptions'!$G11="$/NSF",'Operating Assumptions'!$H11*'Operating Assumptions'!$D$12/12*BB$23,IF('Operating Assumptions'!$G11="N/A",0)))))))))))</f>
        <v>11440</v>
      </c>
      <c r="BC44" s="436">
        <f>IF(BC$9&lt;'Operating Assumptions'!$D$53,0,IF(BC$6&gt;'Operating Assumptions'!$AA$8,0,IF(AND('Operating Assumptions'!$G11="$/Unit/Annual",BC36='Operating Assumptions'!$D$14),'Operating Assumptions'!$H11*('Monthly CF'!BC$36-'Operating Assumptions'!$D$15)/12*BC$23,IF(AND('Operating Assumptions'!$G11="$/Unit/Annual",BC36&lt;'Operating Assumptions'!$D$14,'Operating Assumptions'!$D$15=0),'Operating Assumptions'!$H11*'Monthly CF'!BC$36/12*BC$23,IF(AND('Operating Assumptions'!$G11="$/Unit/Annual",BC36&lt;'Operating Assumptions'!$D$14,'Operating Assumptions'!$D$15&gt;0),'Operating Assumptions'!$H11*('Monthly CF'!BC$36*'Operating Assumptions'!$C$15)/12*BC$23,IF(AND('Operating Assumptions'!$G11="$/Unit/Month",BC36='Operating Assumptions'!$D$14),'Operating Assumptions'!$H11*('Monthly CF'!BC$36-'Operating Assumptions'!$D$15)*BC$23,IF(AND('Operating Assumptions'!$G11="$/Unit/Month",BC36&lt;'Operating Assumptions'!$D$14,'Operating Assumptions'!$D$15=0),'Operating Assumptions'!$H11*'Monthly CF'!BC$36*BC$23,IF(AND('Operating Assumptions'!$G11="$/Unit/Month",BC36&lt;'Operating Assumptions'!$D$14,'Operating Assumptions'!$D$15&gt;0),'Operating Assumptions'!$H11*('Monthly CF'!BC$36*'Operating Assumptions'!$C$15)*BC$23,IF('Operating Assumptions'!$G11="Fixed Amount",'Operating Assumptions'!$H11/12*BC$23,IF('Operating Assumptions'!$G11="$/NSF",'Operating Assumptions'!$H11*'Operating Assumptions'!$D$12/12*BC$23,IF('Operating Assumptions'!$G11="N/A",0)))))))))))</f>
        <v>11440</v>
      </c>
      <c r="BD44" s="436">
        <f>IF(BD$9&lt;'Operating Assumptions'!$D$53,0,IF(BD$6&gt;'Operating Assumptions'!$AA$8,0,IF(AND('Operating Assumptions'!$G11="$/Unit/Annual",BD36='Operating Assumptions'!$D$14),'Operating Assumptions'!$H11*('Monthly CF'!BD$36-'Operating Assumptions'!$D$15)/12*BD$23,IF(AND('Operating Assumptions'!$G11="$/Unit/Annual",BD36&lt;'Operating Assumptions'!$D$14,'Operating Assumptions'!$D$15=0),'Operating Assumptions'!$H11*'Monthly CF'!BD$36/12*BD$23,IF(AND('Operating Assumptions'!$G11="$/Unit/Annual",BD36&lt;'Operating Assumptions'!$D$14,'Operating Assumptions'!$D$15&gt;0),'Operating Assumptions'!$H11*('Monthly CF'!BD$36*'Operating Assumptions'!$C$15)/12*BD$23,IF(AND('Operating Assumptions'!$G11="$/Unit/Month",BD36='Operating Assumptions'!$D$14),'Operating Assumptions'!$H11*('Monthly CF'!BD$36-'Operating Assumptions'!$D$15)*BD$23,IF(AND('Operating Assumptions'!$G11="$/Unit/Month",BD36&lt;'Operating Assumptions'!$D$14,'Operating Assumptions'!$D$15=0),'Operating Assumptions'!$H11*'Monthly CF'!BD$36*BD$23,IF(AND('Operating Assumptions'!$G11="$/Unit/Month",BD36&lt;'Operating Assumptions'!$D$14,'Operating Assumptions'!$D$15&gt;0),'Operating Assumptions'!$H11*('Monthly CF'!BD$36*'Operating Assumptions'!$C$15)*BD$23,IF('Operating Assumptions'!$G11="Fixed Amount",'Operating Assumptions'!$H11/12*BD$23,IF('Operating Assumptions'!$G11="$/NSF",'Operating Assumptions'!$H11*'Operating Assumptions'!$D$12/12*BD$23,IF('Operating Assumptions'!$G11="N/A",0)))))))))))</f>
        <v>11660</v>
      </c>
      <c r="BE44" s="436">
        <f>IF(BE$9&lt;'Operating Assumptions'!$D$53,0,IF(BE$6&gt;'Operating Assumptions'!$AA$8,0,IF(AND('Operating Assumptions'!$G11="$/Unit/Annual",BE36='Operating Assumptions'!$D$14),'Operating Assumptions'!$H11*('Monthly CF'!BE$36-'Operating Assumptions'!$D$15)/12*BE$23,IF(AND('Operating Assumptions'!$G11="$/Unit/Annual",BE36&lt;'Operating Assumptions'!$D$14,'Operating Assumptions'!$D$15=0),'Operating Assumptions'!$H11*'Monthly CF'!BE$36/12*BE$23,IF(AND('Operating Assumptions'!$G11="$/Unit/Annual",BE36&lt;'Operating Assumptions'!$D$14,'Operating Assumptions'!$D$15&gt;0),'Operating Assumptions'!$H11*('Monthly CF'!BE$36*'Operating Assumptions'!$C$15)/12*BE$23,IF(AND('Operating Assumptions'!$G11="$/Unit/Month",BE36='Operating Assumptions'!$D$14),'Operating Assumptions'!$H11*('Monthly CF'!BE$36-'Operating Assumptions'!$D$15)*BE$23,IF(AND('Operating Assumptions'!$G11="$/Unit/Month",BE36&lt;'Operating Assumptions'!$D$14,'Operating Assumptions'!$D$15=0),'Operating Assumptions'!$H11*'Monthly CF'!BE$36*BE$23,IF(AND('Operating Assumptions'!$G11="$/Unit/Month",BE36&lt;'Operating Assumptions'!$D$14,'Operating Assumptions'!$D$15&gt;0),'Operating Assumptions'!$H11*('Monthly CF'!BE$36*'Operating Assumptions'!$C$15)*BE$23,IF('Operating Assumptions'!$G11="Fixed Amount",'Operating Assumptions'!$H11/12*BE$23,IF('Operating Assumptions'!$G11="$/NSF",'Operating Assumptions'!$H11*'Operating Assumptions'!$D$12/12*BE$23,IF('Operating Assumptions'!$G11="N/A",0)))))))))))</f>
        <v>11660</v>
      </c>
      <c r="BF44" s="436">
        <f>IF(BF$9&lt;'Operating Assumptions'!$D$53,0,IF(BF$6&gt;'Operating Assumptions'!$AA$8,0,IF(AND('Operating Assumptions'!$G11="$/Unit/Annual",BF36='Operating Assumptions'!$D$14),'Operating Assumptions'!$H11*('Monthly CF'!BF$36-'Operating Assumptions'!$D$15)/12*BF$23,IF(AND('Operating Assumptions'!$G11="$/Unit/Annual",BF36&lt;'Operating Assumptions'!$D$14,'Operating Assumptions'!$D$15=0),'Operating Assumptions'!$H11*'Monthly CF'!BF$36/12*BF$23,IF(AND('Operating Assumptions'!$G11="$/Unit/Annual",BF36&lt;'Operating Assumptions'!$D$14,'Operating Assumptions'!$D$15&gt;0),'Operating Assumptions'!$H11*('Monthly CF'!BF$36*'Operating Assumptions'!$C$15)/12*BF$23,IF(AND('Operating Assumptions'!$G11="$/Unit/Month",BF36='Operating Assumptions'!$D$14),'Operating Assumptions'!$H11*('Monthly CF'!BF$36-'Operating Assumptions'!$D$15)*BF$23,IF(AND('Operating Assumptions'!$G11="$/Unit/Month",BF36&lt;'Operating Assumptions'!$D$14,'Operating Assumptions'!$D$15=0),'Operating Assumptions'!$H11*'Monthly CF'!BF$36*BF$23,IF(AND('Operating Assumptions'!$G11="$/Unit/Month",BF36&lt;'Operating Assumptions'!$D$14,'Operating Assumptions'!$D$15&gt;0),'Operating Assumptions'!$H11*('Monthly CF'!BF$36*'Operating Assumptions'!$C$15)*BF$23,IF('Operating Assumptions'!$G11="Fixed Amount",'Operating Assumptions'!$H11/12*BF$23,IF('Operating Assumptions'!$G11="$/NSF",'Operating Assumptions'!$H11*'Operating Assumptions'!$D$12/12*BF$23,IF('Operating Assumptions'!$G11="N/A",0)))))))))))</f>
        <v>11660</v>
      </c>
      <c r="BG44" s="436">
        <f>IF(BG$9&lt;'Operating Assumptions'!$D$53,0,IF(BG$6&gt;'Operating Assumptions'!$AA$8,0,IF(AND('Operating Assumptions'!$G11="$/Unit/Annual",BG36='Operating Assumptions'!$D$14),'Operating Assumptions'!$H11*('Monthly CF'!BG$36-'Operating Assumptions'!$D$15)/12*BG$23,IF(AND('Operating Assumptions'!$G11="$/Unit/Annual",BG36&lt;'Operating Assumptions'!$D$14,'Operating Assumptions'!$D$15=0),'Operating Assumptions'!$H11*'Monthly CF'!BG$36/12*BG$23,IF(AND('Operating Assumptions'!$G11="$/Unit/Annual",BG36&lt;'Operating Assumptions'!$D$14,'Operating Assumptions'!$D$15&gt;0),'Operating Assumptions'!$H11*('Monthly CF'!BG$36*'Operating Assumptions'!$C$15)/12*BG$23,IF(AND('Operating Assumptions'!$G11="$/Unit/Month",BG36='Operating Assumptions'!$D$14),'Operating Assumptions'!$H11*('Monthly CF'!BG$36-'Operating Assumptions'!$D$15)*BG$23,IF(AND('Operating Assumptions'!$G11="$/Unit/Month",BG36&lt;'Operating Assumptions'!$D$14,'Operating Assumptions'!$D$15=0),'Operating Assumptions'!$H11*'Monthly CF'!BG$36*BG$23,IF(AND('Operating Assumptions'!$G11="$/Unit/Month",BG36&lt;'Operating Assumptions'!$D$14,'Operating Assumptions'!$D$15&gt;0),'Operating Assumptions'!$H11*('Monthly CF'!BG$36*'Operating Assumptions'!$C$15)*BG$23,IF('Operating Assumptions'!$G11="Fixed Amount",'Operating Assumptions'!$H11/12*BG$23,IF('Operating Assumptions'!$G11="$/NSF",'Operating Assumptions'!$H11*'Operating Assumptions'!$D$12/12*BG$23,IF('Operating Assumptions'!$G11="N/A",0)))))))))))</f>
        <v>11660</v>
      </c>
      <c r="BH44" s="436">
        <f>IF(BH$9&lt;'Operating Assumptions'!$D$53,0,IF(BH$6&gt;'Operating Assumptions'!$AA$8,0,IF(AND('Operating Assumptions'!$G11="$/Unit/Annual",BH36='Operating Assumptions'!$D$14),'Operating Assumptions'!$H11*('Monthly CF'!BH$36-'Operating Assumptions'!$D$15)/12*BH$23,IF(AND('Operating Assumptions'!$G11="$/Unit/Annual",BH36&lt;'Operating Assumptions'!$D$14,'Operating Assumptions'!$D$15=0),'Operating Assumptions'!$H11*'Monthly CF'!BH$36/12*BH$23,IF(AND('Operating Assumptions'!$G11="$/Unit/Annual",BH36&lt;'Operating Assumptions'!$D$14,'Operating Assumptions'!$D$15&gt;0),'Operating Assumptions'!$H11*('Monthly CF'!BH$36*'Operating Assumptions'!$C$15)/12*BH$23,IF(AND('Operating Assumptions'!$G11="$/Unit/Month",BH36='Operating Assumptions'!$D$14),'Operating Assumptions'!$H11*('Monthly CF'!BH$36-'Operating Assumptions'!$D$15)*BH$23,IF(AND('Operating Assumptions'!$G11="$/Unit/Month",BH36&lt;'Operating Assumptions'!$D$14,'Operating Assumptions'!$D$15=0),'Operating Assumptions'!$H11*'Monthly CF'!BH$36*BH$23,IF(AND('Operating Assumptions'!$G11="$/Unit/Month",BH36&lt;'Operating Assumptions'!$D$14,'Operating Assumptions'!$D$15&gt;0),'Operating Assumptions'!$H11*('Monthly CF'!BH$36*'Operating Assumptions'!$C$15)*BH$23,IF('Operating Assumptions'!$G11="Fixed Amount",'Operating Assumptions'!$H11/12*BH$23,IF('Operating Assumptions'!$G11="$/NSF",'Operating Assumptions'!$H11*'Operating Assumptions'!$D$12/12*BH$23,IF('Operating Assumptions'!$G11="N/A",0)))))))))))</f>
        <v>11660</v>
      </c>
      <c r="BI44" s="436">
        <f>IF(BI$9&lt;'Operating Assumptions'!$D$53,0,IF(BI$6&gt;'Operating Assumptions'!$AA$8,0,IF(AND('Operating Assumptions'!$G11="$/Unit/Annual",BI36='Operating Assumptions'!$D$14),'Operating Assumptions'!$H11*('Monthly CF'!BI$36-'Operating Assumptions'!$D$15)/12*BI$23,IF(AND('Operating Assumptions'!$G11="$/Unit/Annual",BI36&lt;'Operating Assumptions'!$D$14,'Operating Assumptions'!$D$15=0),'Operating Assumptions'!$H11*'Monthly CF'!BI$36/12*BI$23,IF(AND('Operating Assumptions'!$G11="$/Unit/Annual",BI36&lt;'Operating Assumptions'!$D$14,'Operating Assumptions'!$D$15&gt;0),'Operating Assumptions'!$H11*('Monthly CF'!BI$36*'Operating Assumptions'!$C$15)/12*BI$23,IF(AND('Operating Assumptions'!$G11="$/Unit/Month",BI36='Operating Assumptions'!$D$14),'Operating Assumptions'!$H11*('Monthly CF'!BI$36-'Operating Assumptions'!$D$15)*BI$23,IF(AND('Operating Assumptions'!$G11="$/Unit/Month",BI36&lt;'Operating Assumptions'!$D$14,'Operating Assumptions'!$D$15=0),'Operating Assumptions'!$H11*'Monthly CF'!BI$36*BI$23,IF(AND('Operating Assumptions'!$G11="$/Unit/Month",BI36&lt;'Operating Assumptions'!$D$14,'Operating Assumptions'!$D$15&gt;0),'Operating Assumptions'!$H11*('Monthly CF'!BI$36*'Operating Assumptions'!$C$15)*BI$23,IF('Operating Assumptions'!$G11="Fixed Amount",'Operating Assumptions'!$H11/12*BI$23,IF('Operating Assumptions'!$G11="$/NSF",'Operating Assumptions'!$H11*'Operating Assumptions'!$D$12/12*BI$23,IF('Operating Assumptions'!$G11="N/A",0)))))))))))</f>
        <v>11660</v>
      </c>
      <c r="BJ44" s="436">
        <f>IF(BJ$9&lt;'Operating Assumptions'!$D$53,0,IF(BJ$6&gt;'Operating Assumptions'!$AA$8,0,IF(AND('Operating Assumptions'!$G11="$/Unit/Annual",BJ36='Operating Assumptions'!$D$14),'Operating Assumptions'!$H11*('Monthly CF'!BJ$36-'Operating Assumptions'!$D$15)/12*BJ$23,IF(AND('Operating Assumptions'!$G11="$/Unit/Annual",BJ36&lt;'Operating Assumptions'!$D$14,'Operating Assumptions'!$D$15=0),'Operating Assumptions'!$H11*'Monthly CF'!BJ$36/12*BJ$23,IF(AND('Operating Assumptions'!$G11="$/Unit/Annual",BJ36&lt;'Operating Assumptions'!$D$14,'Operating Assumptions'!$D$15&gt;0),'Operating Assumptions'!$H11*('Monthly CF'!BJ$36*'Operating Assumptions'!$C$15)/12*BJ$23,IF(AND('Operating Assumptions'!$G11="$/Unit/Month",BJ36='Operating Assumptions'!$D$14),'Operating Assumptions'!$H11*('Monthly CF'!BJ$36-'Operating Assumptions'!$D$15)*BJ$23,IF(AND('Operating Assumptions'!$G11="$/Unit/Month",BJ36&lt;'Operating Assumptions'!$D$14,'Operating Assumptions'!$D$15=0),'Operating Assumptions'!$H11*'Monthly CF'!BJ$36*BJ$23,IF(AND('Operating Assumptions'!$G11="$/Unit/Month",BJ36&lt;'Operating Assumptions'!$D$14,'Operating Assumptions'!$D$15&gt;0),'Operating Assumptions'!$H11*('Monthly CF'!BJ$36*'Operating Assumptions'!$C$15)*BJ$23,IF('Operating Assumptions'!$G11="Fixed Amount",'Operating Assumptions'!$H11/12*BJ$23,IF('Operating Assumptions'!$G11="$/NSF",'Operating Assumptions'!$H11*'Operating Assumptions'!$D$12/12*BJ$23,IF('Operating Assumptions'!$G11="N/A",0)))))))))))</f>
        <v>11660</v>
      </c>
      <c r="BK44" s="436">
        <f>IF(BK$9&lt;'Operating Assumptions'!$D$53,0,IF(BK$6&gt;'Operating Assumptions'!$AA$8,0,IF(AND('Operating Assumptions'!$G11="$/Unit/Annual",BK36='Operating Assumptions'!$D$14),'Operating Assumptions'!$H11*('Monthly CF'!BK$36-'Operating Assumptions'!$D$15)/12*BK$23,IF(AND('Operating Assumptions'!$G11="$/Unit/Annual",BK36&lt;'Operating Assumptions'!$D$14,'Operating Assumptions'!$D$15=0),'Operating Assumptions'!$H11*'Monthly CF'!BK$36/12*BK$23,IF(AND('Operating Assumptions'!$G11="$/Unit/Annual",BK36&lt;'Operating Assumptions'!$D$14,'Operating Assumptions'!$D$15&gt;0),'Operating Assumptions'!$H11*('Monthly CF'!BK$36*'Operating Assumptions'!$C$15)/12*BK$23,IF(AND('Operating Assumptions'!$G11="$/Unit/Month",BK36='Operating Assumptions'!$D$14),'Operating Assumptions'!$H11*('Monthly CF'!BK$36-'Operating Assumptions'!$D$15)*BK$23,IF(AND('Operating Assumptions'!$G11="$/Unit/Month",BK36&lt;'Operating Assumptions'!$D$14,'Operating Assumptions'!$D$15=0),'Operating Assumptions'!$H11*'Monthly CF'!BK$36*BK$23,IF(AND('Operating Assumptions'!$G11="$/Unit/Month",BK36&lt;'Operating Assumptions'!$D$14,'Operating Assumptions'!$D$15&gt;0),'Operating Assumptions'!$H11*('Monthly CF'!BK$36*'Operating Assumptions'!$C$15)*BK$23,IF('Operating Assumptions'!$G11="Fixed Amount",'Operating Assumptions'!$H11/12*BK$23,IF('Operating Assumptions'!$G11="$/NSF",'Operating Assumptions'!$H11*'Operating Assumptions'!$D$12/12*BK$23,IF('Operating Assumptions'!$G11="N/A",0)))))))))))</f>
        <v>11660</v>
      </c>
      <c r="BL44" s="436">
        <f>IF(BL$9&lt;'Operating Assumptions'!$D$53,0,IF(BL$6&gt;'Operating Assumptions'!$AA$8,0,IF(AND('Operating Assumptions'!$G11="$/Unit/Annual",BL36='Operating Assumptions'!$D$14),'Operating Assumptions'!$H11*('Monthly CF'!BL$36-'Operating Assumptions'!$D$15)/12*BL$23,IF(AND('Operating Assumptions'!$G11="$/Unit/Annual",BL36&lt;'Operating Assumptions'!$D$14,'Operating Assumptions'!$D$15=0),'Operating Assumptions'!$H11*'Monthly CF'!BL$36/12*BL$23,IF(AND('Operating Assumptions'!$G11="$/Unit/Annual",BL36&lt;'Operating Assumptions'!$D$14,'Operating Assumptions'!$D$15&gt;0),'Operating Assumptions'!$H11*('Monthly CF'!BL$36*'Operating Assumptions'!$C$15)/12*BL$23,IF(AND('Operating Assumptions'!$G11="$/Unit/Month",BL36='Operating Assumptions'!$D$14),'Operating Assumptions'!$H11*('Monthly CF'!BL$36-'Operating Assumptions'!$D$15)*BL$23,IF(AND('Operating Assumptions'!$G11="$/Unit/Month",BL36&lt;'Operating Assumptions'!$D$14,'Operating Assumptions'!$D$15=0),'Operating Assumptions'!$H11*'Monthly CF'!BL$36*BL$23,IF(AND('Operating Assumptions'!$G11="$/Unit/Month",BL36&lt;'Operating Assumptions'!$D$14,'Operating Assumptions'!$D$15&gt;0),'Operating Assumptions'!$H11*('Monthly CF'!BL$36*'Operating Assumptions'!$C$15)*BL$23,IF('Operating Assumptions'!$G11="Fixed Amount",'Operating Assumptions'!$H11/12*BL$23,IF('Operating Assumptions'!$G11="$/NSF",'Operating Assumptions'!$H11*'Operating Assumptions'!$D$12/12*BL$23,IF('Operating Assumptions'!$G11="N/A",0)))))))))))</f>
        <v>11660</v>
      </c>
      <c r="BM44" s="436">
        <f>IF(BM$9&lt;'Operating Assumptions'!$D$53,0,IF(BM$6&gt;'Operating Assumptions'!$AA$8,0,IF(AND('Operating Assumptions'!$G11="$/Unit/Annual",BM36='Operating Assumptions'!$D$14),'Operating Assumptions'!$H11*('Monthly CF'!BM$36-'Operating Assumptions'!$D$15)/12*BM$23,IF(AND('Operating Assumptions'!$G11="$/Unit/Annual",BM36&lt;'Operating Assumptions'!$D$14,'Operating Assumptions'!$D$15=0),'Operating Assumptions'!$H11*'Monthly CF'!BM$36/12*BM$23,IF(AND('Operating Assumptions'!$G11="$/Unit/Annual",BM36&lt;'Operating Assumptions'!$D$14,'Operating Assumptions'!$D$15&gt;0),'Operating Assumptions'!$H11*('Monthly CF'!BM$36*'Operating Assumptions'!$C$15)/12*BM$23,IF(AND('Operating Assumptions'!$G11="$/Unit/Month",BM36='Operating Assumptions'!$D$14),'Operating Assumptions'!$H11*('Monthly CF'!BM$36-'Operating Assumptions'!$D$15)*BM$23,IF(AND('Operating Assumptions'!$G11="$/Unit/Month",BM36&lt;'Operating Assumptions'!$D$14,'Operating Assumptions'!$D$15=0),'Operating Assumptions'!$H11*'Monthly CF'!BM$36*BM$23,IF(AND('Operating Assumptions'!$G11="$/Unit/Month",BM36&lt;'Operating Assumptions'!$D$14,'Operating Assumptions'!$D$15&gt;0),'Operating Assumptions'!$H11*('Monthly CF'!BM$36*'Operating Assumptions'!$C$15)*BM$23,IF('Operating Assumptions'!$G11="Fixed Amount",'Operating Assumptions'!$H11/12*BM$23,IF('Operating Assumptions'!$G11="$/NSF",'Operating Assumptions'!$H11*'Operating Assumptions'!$D$12/12*BM$23,IF('Operating Assumptions'!$G11="N/A",0)))))))))))</f>
        <v>11660</v>
      </c>
      <c r="BN44" s="436">
        <f>IF(BN$9&lt;'Operating Assumptions'!$D$53,0,IF(BN$6&gt;'Operating Assumptions'!$AA$8,0,IF(AND('Operating Assumptions'!$G11="$/Unit/Annual",BN36='Operating Assumptions'!$D$14),'Operating Assumptions'!$H11*('Monthly CF'!BN$36-'Operating Assumptions'!$D$15)/12*BN$23,IF(AND('Operating Assumptions'!$G11="$/Unit/Annual",BN36&lt;'Operating Assumptions'!$D$14,'Operating Assumptions'!$D$15=0),'Operating Assumptions'!$H11*'Monthly CF'!BN$36/12*BN$23,IF(AND('Operating Assumptions'!$G11="$/Unit/Annual",BN36&lt;'Operating Assumptions'!$D$14,'Operating Assumptions'!$D$15&gt;0),'Operating Assumptions'!$H11*('Monthly CF'!BN$36*'Operating Assumptions'!$C$15)/12*BN$23,IF(AND('Operating Assumptions'!$G11="$/Unit/Month",BN36='Operating Assumptions'!$D$14),'Operating Assumptions'!$H11*('Monthly CF'!BN$36-'Operating Assumptions'!$D$15)*BN$23,IF(AND('Operating Assumptions'!$G11="$/Unit/Month",BN36&lt;'Operating Assumptions'!$D$14,'Operating Assumptions'!$D$15=0),'Operating Assumptions'!$H11*'Monthly CF'!BN$36*BN$23,IF(AND('Operating Assumptions'!$G11="$/Unit/Month",BN36&lt;'Operating Assumptions'!$D$14,'Operating Assumptions'!$D$15&gt;0),'Operating Assumptions'!$H11*('Monthly CF'!BN$36*'Operating Assumptions'!$C$15)*BN$23,IF('Operating Assumptions'!$G11="Fixed Amount",'Operating Assumptions'!$H11/12*BN$23,IF('Operating Assumptions'!$G11="$/NSF",'Operating Assumptions'!$H11*'Operating Assumptions'!$D$12/12*BN$23,IF('Operating Assumptions'!$G11="N/A",0)))))))))))</f>
        <v>11660</v>
      </c>
      <c r="BO44" s="436">
        <f>IF(BO$9&lt;'Operating Assumptions'!$D$53,0,IF(BO$6&gt;'Operating Assumptions'!$AA$8,0,IF(AND('Operating Assumptions'!$G11="$/Unit/Annual",BO36='Operating Assumptions'!$D$14),'Operating Assumptions'!$H11*('Monthly CF'!BO$36-'Operating Assumptions'!$D$15)/12*BO$23,IF(AND('Operating Assumptions'!$G11="$/Unit/Annual",BO36&lt;'Operating Assumptions'!$D$14,'Operating Assumptions'!$D$15=0),'Operating Assumptions'!$H11*'Monthly CF'!BO$36/12*BO$23,IF(AND('Operating Assumptions'!$G11="$/Unit/Annual",BO36&lt;'Operating Assumptions'!$D$14,'Operating Assumptions'!$D$15&gt;0),'Operating Assumptions'!$H11*('Monthly CF'!BO$36*'Operating Assumptions'!$C$15)/12*BO$23,IF(AND('Operating Assumptions'!$G11="$/Unit/Month",BO36='Operating Assumptions'!$D$14),'Operating Assumptions'!$H11*('Monthly CF'!BO$36-'Operating Assumptions'!$D$15)*BO$23,IF(AND('Operating Assumptions'!$G11="$/Unit/Month",BO36&lt;'Operating Assumptions'!$D$14,'Operating Assumptions'!$D$15=0),'Operating Assumptions'!$H11*'Monthly CF'!BO$36*BO$23,IF(AND('Operating Assumptions'!$G11="$/Unit/Month",BO36&lt;'Operating Assumptions'!$D$14,'Operating Assumptions'!$D$15&gt;0),'Operating Assumptions'!$H11*('Monthly CF'!BO$36*'Operating Assumptions'!$C$15)*BO$23,IF('Operating Assumptions'!$G11="Fixed Amount",'Operating Assumptions'!$H11/12*BO$23,IF('Operating Assumptions'!$G11="$/NSF",'Operating Assumptions'!$H11*'Operating Assumptions'!$D$12/12*BO$23,IF('Operating Assumptions'!$G11="N/A",0)))))))))))</f>
        <v>11660</v>
      </c>
      <c r="BP44" s="436">
        <f>IF(BP$9&lt;'Operating Assumptions'!$D$53,0,IF(BP$6&gt;'Operating Assumptions'!$AA$8,0,IF(AND('Operating Assumptions'!$G11="$/Unit/Annual",BP36='Operating Assumptions'!$D$14),'Operating Assumptions'!$H11*('Monthly CF'!BP$36-'Operating Assumptions'!$D$15)/12*BP$23,IF(AND('Operating Assumptions'!$G11="$/Unit/Annual",BP36&lt;'Operating Assumptions'!$D$14,'Operating Assumptions'!$D$15=0),'Operating Assumptions'!$H11*'Monthly CF'!BP$36/12*BP$23,IF(AND('Operating Assumptions'!$G11="$/Unit/Annual",BP36&lt;'Operating Assumptions'!$D$14,'Operating Assumptions'!$D$15&gt;0),'Operating Assumptions'!$H11*('Monthly CF'!BP$36*'Operating Assumptions'!$C$15)/12*BP$23,IF(AND('Operating Assumptions'!$G11="$/Unit/Month",BP36='Operating Assumptions'!$D$14),'Operating Assumptions'!$H11*('Monthly CF'!BP$36-'Operating Assumptions'!$D$15)*BP$23,IF(AND('Operating Assumptions'!$G11="$/Unit/Month",BP36&lt;'Operating Assumptions'!$D$14,'Operating Assumptions'!$D$15=0),'Operating Assumptions'!$H11*'Monthly CF'!BP$36*BP$23,IF(AND('Operating Assumptions'!$G11="$/Unit/Month",BP36&lt;'Operating Assumptions'!$D$14,'Operating Assumptions'!$D$15&gt;0),'Operating Assumptions'!$H11*('Monthly CF'!BP$36*'Operating Assumptions'!$C$15)*BP$23,IF('Operating Assumptions'!$G11="Fixed Amount",'Operating Assumptions'!$H11/12*BP$23,IF('Operating Assumptions'!$G11="$/NSF",'Operating Assumptions'!$H11*'Operating Assumptions'!$D$12/12*BP$23,IF('Operating Assumptions'!$G11="N/A",0)))))))))))</f>
        <v>11880</v>
      </c>
      <c r="BQ44" s="436">
        <f>IF(BQ$9&lt;'Operating Assumptions'!$D$53,0,IF(BQ$6&gt;'Operating Assumptions'!$AA$8,0,IF(AND('Operating Assumptions'!$G11="$/Unit/Annual",BQ36='Operating Assumptions'!$D$14),'Operating Assumptions'!$H11*('Monthly CF'!BQ$36-'Operating Assumptions'!$D$15)/12*BQ$23,IF(AND('Operating Assumptions'!$G11="$/Unit/Annual",BQ36&lt;'Operating Assumptions'!$D$14,'Operating Assumptions'!$D$15=0),'Operating Assumptions'!$H11*'Monthly CF'!BQ$36/12*BQ$23,IF(AND('Operating Assumptions'!$G11="$/Unit/Annual",BQ36&lt;'Operating Assumptions'!$D$14,'Operating Assumptions'!$D$15&gt;0),'Operating Assumptions'!$H11*('Monthly CF'!BQ$36*'Operating Assumptions'!$C$15)/12*BQ$23,IF(AND('Operating Assumptions'!$G11="$/Unit/Month",BQ36='Operating Assumptions'!$D$14),'Operating Assumptions'!$H11*('Monthly CF'!BQ$36-'Operating Assumptions'!$D$15)*BQ$23,IF(AND('Operating Assumptions'!$G11="$/Unit/Month",BQ36&lt;'Operating Assumptions'!$D$14,'Operating Assumptions'!$D$15=0),'Operating Assumptions'!$H11*'Monthly CF'!BQ$36*BQ$23,IF(AND('Operating Assumptions'!$G11="$/Unit/Month",BQ36&lt;'Operating Assumptions'!$D$14,'Operating Assumptions'!$D$15&gt;0),'Operating Assumptions'!$H11*('Monthly CF'!BQ$36*'Operating Assumptions'!$C$15)*BQ$23,IF('Operating Assumptions'!$G11="Fixed Amount",'Operating Assumptions'!$H11/12*BQ$23,IF('Operating Assumptions'!$G11="$/NSF",'Operating Assumptions'!$H11*'Operating Assumptions'!$D$12/12*BQ$23,IF('Operating Assumptions'!$G11="N/A",0)))))))))))</f>
        <v>11880</v>
      </c>
      <c r="BR44" s="436">
        <f>IF(BR$9&lt;'Operating Assumptions'!$D$53,0,IF(BR$6&gt;'Operating Assumptions'!$AA$8,0,IF(AND('Operating Assumptions'!$G11="$/Unit/Annual",BR36='Operating Assumptions'!$D$14),'Operating Assumptions'!$H11*('Monthly CF'!BR$36-'Operating Assumptions'!$D$15)/12*BR$23,IF(AND('Operating Assumptions'!$G11="$/Unit/Annual",BR36&lt;'Operating Assumptions'!$D$14,'Operating Assumptions'!$D$15=0),'Operating Assumptions'!$H11*'Monthly CF'!BR$36/12*BR$23,IF(AND('Operating Assumptions'!$G11="$/Unit/Annual",BR36&lt;'Operating Assumptions'!$D$14,'Operating Assumptions'!$D$15&gt;0),'Operating Assumptions'!$H11*('Monthly CF'!BR$36*'Operating Assumptions'!$C$15)/12*BR$23,IF(AND('Operating Assumptions'!$G11="$/Unit/Month",BR36='Operating Assumptions'!$D$14),'Operating Assumptions'!$H11*('Monthly CF'!BR$36-'Operating Assumptions'!$D$15)*BR$23,IF(AND('Operating Assumptions'!$G11="$/Unit/Month",BR36&lt;'Operating Assumptions'!$D$14,'Operating Assumptions'!$D$15=0),'Operating Assumptions'!$H11*'Monthly CF'!BR$36*BR$23,IF(AND('Operating Assumptions'!$G11="$/Unit/Month",BR36&lt;'Operating Assumptions'!$D$14,'Operating Assumptions'!$D$15&gt;0),'Operating Assumptions'!$H11*('Monthly CF'!BR$36*'Operating Assumptions'!$C$15)*BR$23,IF('Operating Assumptions'!$G11="Fixed Amount",'Operating Assumptions'!$H11/12*BR$23,IF('Operating Assumptions'!$G11="$/NSF",'Operating Assumptions'!$H11*'Operating Assumptions'!$D$12/12*BR$23,IF('Operating Assumptions'!$G11="N/A",0)))))))))))</f>
        <v>11880</v>
      </c>
      <c r="BS44" s="436">
        <f>IF(BS$9&lt;'Operating Assumptions'!$D$53,0,IF(BS$6&gt;'Operating Assumptions'!$AA$8,0,IF(AND('Operating Assumptions'!$G11="$/Unit/Annual",BS36='Operating Assumptions'!$D$14),'Operating Assumptions'!$H11*('Monthly CF'!BS$36-'Operating Assumptions'!$D$15)/12*BS$23,IF(AND('Operating Assumptions'!$G11="$/Unit/Annual",BS36&lt;'Operating Assumptions'!$D$14,'Operating Assumptions'!$D$15=0),'Operating Assumptions'!$H11*'Monthly CF'!BS$36/12*BS$23,IF(AND('Operating Assumptions'!$G11="$/Unit/Annual",BS36&lt;'Operating Assumptions'!$D$14,'Operating Assumptions'!$D$15&gt;0),'Operating Assumptions'!$H11*('Monthly CF'!BS$36*'Operating Assumptions'!$C$15)/12*BS$23,IF(AND('Operating Assumptions'!$G11="$/Unit/Month",BS36='Operating Assumptions'!$D$14),'Operating Assumptions'!$H11*('Monthly CF'!BS$36-'Operating Assumptions'!$D$15)*BS$23,IF(AND('Operating Assumptions'!$G11="$/Unit/Month",BS36&lt;'Operating Assumptions'!$D$14,'Operating Assumptions'!$D$15=0),'Operating Assumptions'!$H11*'Monthly CF'!BS$36*BS$23,IF(AND('Operating Assumptions'!$G11="$/Unit/Month",BS36&lt;'Operating Assumptions'!$D$14,'Operating Assumptions'!$D$15&gt;0),'Operating Assumptions'!$H11*('Monthly CF'!BS$36*'Operating Assumptions'!$C$15)*BS$23,IF('Operating Assumptions'!$G11="Fixed Amount",'Operating Assumptions'!$H11/12*BS$23,IF('Operating Assumptions'!$G11="$/NSF",'Operating Assumptions'!$H11*'Operating Assumptions'!$D$12/12*BS$23,IF('Operating Assumptions'!$G11="N/A",0)))))))))))</f>
        <v>11880</v>
      </c>
      <c r="BT44" s="436">
        <f>IF(BT$9&lt;'Operating Assumptions'!$D$53,0,IF(BT$6&gt;'Operating Assumptions'!$AA$8,0,IF(AND('Operating Assumptions'!$G11="$/Unit/Annual",BT36='Operating Assumptions'!$D$14),'Operating Assumptions'!$H11*('Monthly CF'!BT$36-'Operating Assumptions'!$D$15)/12*BT$23,IF(AND('Operating Assumptions'!$G11="$/Unit/Annual",BT36&lt;'Operating Assumptions'!$D$14,'Operating Assumptions'!$D$15=0),'Operating Assumptions'!$H11*'Monthly CF'!BT$36/12*BT$23,IF(AND('Operating Assumptions'!$G11="$/Unit/Annual",BT36&lt;'Operating Assumptions'!$D$14,'Operating Assumptions'!$D$15&gt;0),'Operating Assumptions'!$H11*('Monthly CF'!BT$36*'Operating Assumptions'!$C$15)/12*BT$23,IF(AND('Operating Assumptions'!$G11="$/Unit/Month",BT36='Operating Assumptions'!$D$14),'Operating Assumptions'!$H11*('Monthly CF'!BT$36-'Operating Assumptions'!$D$15)*BT$23,IF(AND('Operating Assumptions'!$G11="$/Unit/Month",BT36&lt;'Operating Assumptions'!$D$14,'Operating Assumptions'!$D$15=0),'Operating Assumptions'!$H11*'Monthly CF'!BT$36*BT$23,IF(AND('Operating Assumptions'!$G11="$/Unit/Month",BT36&lt;'Operating Assumptions'!$D$14,'Operating Assumptions'!$D$15&gt;0),'Operating Assumptions'!$H11*('Monthly CF'!BT$36*'Operating Assumptions'!$C$15)*BT$23,IF('Operating Assumptions'!$G11="Fixed Amount",'Operating Assumptions'!$H11/12*BT$23,IF('Operating Assumptions'!$G11="$/NSF",'Operating Assumptions'!$H11*'Operating Assumptions'!$D$12/12*BT$23,IF('Operating Assumptions'!$G11="N/A",0)))))))))))</f>
        <v>11880</v>
      </c>
      <c r="BU44" s="436">
        <f>IF(BU$9&lt;'Operating Assumptions'!$D$53,0,IF(BU$6&gt;'Operating Assumptions'!$AA$8,0,IF(AND('Operating Assumptions'!$G11="$/Unit/Annual",BU36='Operating Assumptions'!$D$14),'Operating Assumptions'!$H11*('Monthly CF'!BU$36-'Operating Assumptions'!$D$15)/12*BU$23,IF(AND('Operating Assumptions'!$G11="$/Unit/Annual",BU36&lt;'Operating Assumptions'!$D$14,'Operating Assumptions'!$D$15=0),'Operating Assumptions'!$H11*'Monthly CF'!BU$36/12*BU$23,IF(AND('Operating Assumptions'!$G11="$/Unit/Annual",BU36&lt;'Operating Assumptions'!$D$14,'Operating Assumptions'!$D$15&gt;0),'Operating Assumptions'!$H11*('Monthly CF'!BU$36*'Operating Assumptions'!$C$15)/12*BU$23,IF(AND('Operating Assumptions'!$G11="$/Unit/Month",BU36='Operating Assumptions'!$D$14),'Operating Assumptions'!$H11*('Monthly CF'!BU$36-'Operating Assumptions'!$D$15)*BU$23,IF(AND('Operating Assumptions'!$G11="$/Unit/Month",BU36&lt;'Operating Assumptions'!$D$14,'Operating Assumptions'!$D$15=0),'Operating Assumptions'!$H11*'Monthly CF'!BU$36*BU$23,IF(AND('Operating Assumptions'!$G11="$/Unit/Month",BU36&lt;'Operating Assumptions'!$D$14,'Operating Assumptions'!$D$15&gt;0),'Operating Assumptions'!$H11*('Monthly CF'!BU$36*'Operating Assumptions'!$C$15)*BU$23,IF('Operating Assumptions'!$G11="Fixed Amount",'Operating Assumptions'!$H11/12*BU$23,IF('Operating Assumptions'!$G11="$/NSF",'Operating Assumptions'!$H11*'Operating Assumptions'!$D$12/12*BU$23,IF('Operating Assumptions'!$G11="N/A",0)))))))))))</f>
        <v>11880</v>
      </c>
      <c r="BV44" s="436">
        <f>IF(BV$9&lt;'Operating Assumptions'!$D$53,0,IF(BV$6&gt;'Operating Assumptions'!$AA$8,0,IF(AND('Operating Assumptions'!$G11="$/Unit/Annual",BV36='Operating Assumptions'!$D$14),'Operating Assumptions'!$H11*('Monthly CF'!BV$36-'Operating Assumptions'!$D$15)/12*BV$23,IF(AND('Operating Assumptions'!$G11="$/Unit/Annual",BV36&lt;'Operating Assumptions'!$D$14,'Operating Assumptions'!$D$15=0),'Operating Assumptions'!$H11*'Monthly CF'!BV$36/12*BV$23,IF(AND('Operating Assumptions'!$G11="$/Unit/Annual",BV36&lt;'Operating Assumptions'!$D$14,'Operating Assumptions'!$D$15&gt;0),'Operating Assumptions'!$H11*('Monthly CF'!BV$36*'Operating Assumptions'!$C$15)/12*BV$23,IF(AND('Operating Assumptions'!$G11="$/Unit/Month",BV36='Operating Assumptions'!$D$14),'Operating Assumptions'!$H11*('Monthly CF'!BV$36-'Operating Assumptions'!$D$15)*BV$23,IF(AND('Operating Assumptions'!$G11="$/Unit/Month",BV36&lt;'Operating Assumptions'!$D$14,'Operating Assumptions'!$D$15=0),'Operating Assumptions'!$H11*'Monthly CF'!BV$36*BV$23,IF(AND('Operating Assumptions'!$G11="$/Unit/Month",BV36&lt;'Operating Assumptions'!$D$14,'Operating Assumptions'!$D$15&gt;0),'Operating Assumptions'!$H11*('Monthly CF'!BV$36*'Operating Assumptions'!$C$15)*BV$23,IF('Operating Assumptions'!$G11="Fixed Amount",'Operating Assumptions'!$H11/12*BV$23,IF('Operating Assumptions'!$G11="$/NSF",'Operating Assumptions'!$H11*'Operating Assumptions'!$D$12/12*BV$23,IF('Operating Assumptions'!$G11="N/A",0)))))))))))</f>
        <v>11880</v>
      </c>
      <c r="BW44" s="436">
        <f>IF(BW$9&lt;'Operating Assumptions'!$D$53,0,IF(BW$6&gt;'Operating Assumptions'!$AA$8,0,IF(AND('Operating Assumptions'!$G11="$/Unit/Annual",BW36='Operating Assumptions'!$D$14),'Operating Assumptions'!$H11*('Monthly CF'!BW$36-'Operating Assumptions'!$D$15)/12*BW$23,IF(AND('Operating Assumptions'!$G11="$/Unit/Annual",BW36&lt;'Operating Assumptions'!$D$14,'Operating Assumptions'!$D$15=0),'Operating Assumptions'!$H11*'Monthly CF'!BW$36/12*BW$23,IF(AND('Operating Assumptions'!$G11="$/Unit/Annual",BW36&lt;'Operating Assumptions'!$D$14,'Operating Assumptions'!$D$15&gt;0),'Operating Assumptions'!$H11*('Monthly CF'!BW$36*'Operating Assumptions'!$C$15)/12*BW$23,IF(AND('Operating Assumptions'!$G11="$/Unit/Month",BW36='Operating Assumptions'!$D$14),'Operating Assumptions'!$H11*('Monthly CF'!BW$36-'Operating Assumptions'!$D$15)*BW$23,IF(AND('Operating Assumptions'!$G11="$/Unit/Month",BW36&lt;'Operating Assumptions'!$D$14,'Operating Assumptions'!$D$15=0),'Operating Assumptions'!$H11*'Monthly CF'!BW$36*BW$23,IF(AND('Operating Assumptions'!$G11="$/Unit/Month",BW36&lt;'Operating Assumptions'!$D$14,'Operating Assumptions'!$D$15&gt;0),'Operating Assumptions'!$H11*('Monthly CF'!BW$36*'Operating Assumptions'!$C$15)*BW$23,IF('Operating Assumptions'!$G11="Fixed Amount",'Operating Assumptions'!$H11/12*BW$23,IF('Operating Assumptions'!$G11="$/NSF",'Operating Assumptions'!$H11*'Operating Assumptions'!$D$12/12*BW$23,IF('Operating Assumptions'!$G11="N/A",0)))))))))))</f>
        <v>11880</v>
      </c>
      <c r="BX44" s="436">
        <f>IF(BX$9&lt;'Operating Assumptions'!$D$53,0,IF(BX$6&gt;'Operating Assumptions'!$AA$8,0,IF(AND('Operating Assumptions'!$G11="$/Unit/Annual",BX36='Operating Assumptions'!$D$14),'Operating Assumptions'!$H11*('Monthly CF'!BX$36-'Operating Assumptions'!$D$15)/12*BX$23,IF(AND('Operating Assumptions'!$G11="$/Unit/Annual",BX36&lt;'Operating Assumptions'!$D$14,'Operating Assumptions'!$D$15=0),'Operating Assumptions'!$H11*'Monthly CF'!BX$36/12*BX$23,IF(AND('Operating Assumptions'!$G11="$/Unit/Annual",BX36&lt;'Operating Assumptions'!$D$14,'Operating Assumptions'!$D$15&gt;0),'Operating Assumptions'!$H11*('Monthly CF'!BX$36*'Operating Assumptions'!$C$15)/12*BX$23,IF(AND('Operating Assumptions'!$G11="$/Unit/Month",BX36='Operating Assumptions'!$D$14),'Operating Assumptions'!$H11*('Monthly CF'!BX$36-'Operating Assumptions'!$D$15)*BX$23,IF(AND('Operating Assumptions'!$G11="$/Unit/Month",BX36&lt;'Operating Assumptions'!$D$14,'Operating Assumptions'!$D$15=0),'Operating Assumptions'!$H11*'Monthly CF'!BX$36*BX$23,IF(AND('Operating Assumptions'!$G11="$/Unit/Month",BX36&lt;'Operating Assumptions'!$D$14,'Operating Assumptions'!$D$15&gt;0),'Operating Assumptions'!$H11*('Monthly CF'!BX$36*'Operating Assumptions'!$C$15)*BX$23,IF('Operating Assumptions'!$G11="Fixed Amount",'Operating Assumptions'!$H11/12*BX$23,IF('Operating Assumptions'!$G11="$/NSF",'Operating Assumptions'!$H11*'Operating Assumptions'!$D$12/12*BX$23,IF('Operating Assumptions'!$G11="N/A",0)))))))))))</f>
        <v>11880</v>
      </c>
      <c r="BY44" s="436">
        <f>IF(BY$9&lt;'Operating Assumptions'!$D$53,0,IF(BY$6&gt;'Operating Assumptions'!$AA$8,0,IF(AND('Operating Assumptions'!$G11="$/Unit/Annual",BY36='Operating Assumptions'!$D$14),'Operating Assumptions'!$H11*('Monthly CF'!BY$36-'Operating Assumptions'!$D$15)/12*BY$23,IF(AND('Operating Assumptions'!$G11="$/Unit/Annual",BY36&lt;'Operating Assumptions'!$D$14,'Operating Assumptions'!$D$15=0),'Operating Assumptions'!$H11*'Monthly CF'!BY$36/12*BY$23,IF(AND('Operating Assumptions'!$G11="$/Unit/Annual",BY36&lt;'Operating Assumptions'!$D$14,'Operating Assumptions'!$D$15&gt;0),'Operating Assumptions'!$H11*('Monthly CF'!BY$36*'Operating Assumptions'!$C$15)/12*BY$23,IF(AND('Operating Assumptions'!$G11="$/Unit/Month",BY36='Operating Assumptions'!$D$14),'Operating Assumptions'!$H11*('Monthly CF'!BY$36-'Operating Assumptions'!$D$15)*BY$23,IF(AND('Operating Assumptions'!$G11="$/Unit/Month",BY36&lt;'Operating Assumptions'!$D$14,'Operating Assumptions'!$D$15=0),'Operating Assumptions'!$H11*'Monthly CF'!BY$36*BY$23,IF(AND('Operating Assumptions'!$G11="$/Unit/Month",BY36&lt;'Operating Assumptions'!$D$14,'Operating Assumptions'!$D$15&gt;0),'Operating Assumptions'!$H11*('Monthly CF'!BY$36*'Operating Assumptions'!$C$15)*BY$23,IF('Operating Assumptions'!$G11="Fixed Amount",'Operating Assumptions'!$H11/12*BY$23,IF('Operating Assumptions'!$G11="$/NSF",'Operating Assumptions'!$H11*'Operating Assumptions'!$D$12/12*BY$23,IF('Operating Assumptions'!$G11="N/A",0)))))))))))</f>
        <v>11880</v>
      </c>
      <c r="BZ44" s="436">
        <f>IF(BZ$9&lt;'Operating Assumptions'!$D$53,0,IF(BZ$6&gt;'Operating Assumptions'!$AA$8,0,IF(AND('Operating Assumptions'!$G11="$/Unit/Annual",BZ36='Operating Assumptions'!$D$14),'Operating Assumptions'!$H11*('Monthly CF'!BZ$36-'Operating Assumptions'!$D$15)/12*BZ$23,IF(AND('Operating Assumptions'!$G11="$/Unit/Annual",BZ36&lt;'Operating Assumptions'!$D$14,'Operating Assumptions'!$D$15=0),'Operating Assumptions'!$H11*'Monthly CF'!BZ$36/12*BZ$23,IF(AND('Operating Assumptions'!$G11="$/Unit/Annual",BZ36&lt;'Operating Assumptions'!$D$14,'Operating Assumptions'!$D$15&gt;0),'Operating Assumptions'!$H11*('Monthly CF'!BZ$36*'Operating Assumptions'!$C$15)/12*BZ$23,IF(AND('Operating Assumptions'!$G11="$/Unit/Month",BZ36='Operating Assumptions'!$D$14),'Operating Assumptions'!$H11*('Monthly CF'!BZ$36-'Operating Assumptions'!$D$15)*BZ$23,IF(AND('Operating Assumptions'!$G11="$/Unit/Month",BZ36&lt;'Operating Assumptions'!$D$14,'Operating Assumptions'!$D$15=0),'Operating Assumptions'!$H11*'Monthly CF'!BZ$36*BZ$23,IF(AND('Operating Assumptions'!$G11="$/Unit/Month",BZ36&lt;'Operating Assumptions'!$D$14,'Operating Assumptions'!$D$15&gt;0),'Operating Assumptions'!$H11*('Monthly CF'!BZ$36*'Operating Assumptions'!$C$15)*BZ$23,IF('Operating Assumptions'!$G11="Fixed Amount",'Operating Assumptions'!$H11/12*BZ$23,IF('Operating Assumptions'!$G11="$/NSF",'Operating Assumptions'!$H11*'Operating Assumptions'!$D$12/12*BZ$23,IF('Operating Assumptions'!$G11="N/A",0)))))))))))</f>
        <v>11880</v>
      </c>
      <c r="CA44" s="436">
        <f>IF(CA$9&lt;'Operating Assumptions'!$D$53,0,IF(CA$6&gt;'Operating Assumptions'!$AA$8,0,IF(AND('Operating Assumptions'!$G11="$/Unit/Annual",CA36='Operating Assumptions'!$D$14),'Operating Assumptions'!$H11*('Monthly CF'!CA$36-'Operating Assumptions'!$D$15)/12*CA$23,IF(AND('Operating Assumptions'!$G11="$/Unit/Annual",CA36&lt;'Operating Assumptions'!$D$14,'Operating Assumptions'!$D$15=0),'Operating Assumptions'!$H11*'Monthly CF'!CA$36/12*CA$23,IF(AND('Operating Assumptions'!$G11="$/Unit/Annual",CA36&lt;'Operating Assumptions'!$D$14,'Operating Assumptions'!$D$15&gt;0),'Operating Assumptions'!$H11*('Monthly CF'!CA$36*'Operating Assumptions'!$C$15)/12*CA$23,IF(AND('Operating Assumptions'!$G11="$/Unit/Month",CA36='Operating Assumptions'!$D$14),'Operating Assumptions'!$H11*('Monthly CF'!CA$36-'Operating Assumptions'!$D$15)*CA$23,IF(AND('Operating Assumptions'!$G11="$/Unit/Month",CA36&lt;'Operating Assumptions'!$D$14,'Operating Assumptions'!$D$15=0),'Operating Assumptions'!$H11*'Monthly CF'!CA$36*CA$23,IF(AND('Operating Assumptions'!$G11="$/Unit/Month",CA36&lt;'Operating Assumptions'!$D$14,'Operating Assumptions'!$D$15&gt;0),'Operating Assumptions'!$H11*('Monthly CF'!CA$36*'Operating Assumptions'!$C$15)*CA$23,IF('Operating Assumptions'!$G11="Fixed Amount",'Operating Assumptions'!$H11/12*CA$23,IF('Operating Assumptions'!$G11="$/NSF",'Operating Assumptions'!$H11*'Operating Assumptions'!$D$12/12*CA$23,IF('Operating Assumptions'!$G11="N/A",0)))))))))))</f>
        <v>11880</v>
      </c>
      <c r="CB44" s="436">
        <f>IF(CB$9&lt;'Operating Assumptions'!$D$53,0,IF(CB$6&gt;'Operating Assumptions'!$AA$8,0,IF(AND('Operating Assumptions'!$G11="$/Unit/Annual",CB36='Operating Assumptions'!$D$14),'Operating Assumptions'!$H11*('Monthly CF'!CB$36-'Operating Assumptions'!$D$15)/12*CB$23,IF(AND('Operating Assumptions'!$G11="$/Unit/Annual",CB36&lt;'Operating Assumptions'!$D$14,'Operating Assumptions'!$D$15=0),'Operating Assumptions'!$H11*'Monthly CF'!CB$36/12*CB$23,IF(AND('Operating Assumptions'!$G11="$/Unit/Annual",CB36&lt;'Operating Assumptions'!$D$14,'Operating Assumptions'!$D$15&gt;0),'Operating Assumptions'!$H11*('Monthly CF'!CB$36*'Operating Assumptions'!$C$15)/12*CB$23,IF(AND('Operating Assumptions'!$G11="$/Unit/Month",CB36='Operating Assumptions'!$D$14),'Operating Assumptions'!$H11*('Monthly CF'!CB$36-'Operating Assumptions'!$D$15)*CB$23,IF(AND('Operating Assumptions'!$G11="$/Unit/Month",CB36&lt;'Operating Assumptions'!$D$14,'Operating Assumptions'!$D$15=0),'Operating Assumptions'!$H11*'Monthly CF'!CB$36*CB$23,IF(AND('Operating Assumptions'!$G11="$/Unit/Month",CB36&lt;'Operating Assumptions'!$D$14,'Operating Assumptions'!$D$15&gt;0),'Operating Assumptions'!$H11*('Monthly CF'!CB$36*'Operating Assumptions'!$C$15)*CB$23,IF('Operating Assumptions'!$G11="Fixed Amount",'Operating Assumptions'!$H11/12*CB$23,IF('Operating Assumptions'!$G11="$/NSF",'Operating Assumptions'!$H11*'Operating Assumptions'!$D$12/12*CB$23,IF('Operating Assumptions'!$G11="N/A",0)))))))))))</f>
        <v>12100.000000000002</v>
      </c>
      <c r="CC44" s="436">
        <f>IF(CC$9&lt;'Operating Assumptions'!$D$53,0,IF(CC$6&gt;'Operating Assumptions'!$AA$8,0,IF(AND('Operating Assumptions'!$G11="$/Unit/Annual",CC36='Operating Assumptions'!$D$14),'Operating Assumptions'!$H11*('Monthly CF'!CC$36-'Operating Assumptions'!$D$15)/12*CC$23,IF(AND('Operating Assumptions'!$G11="$/Unit/Annual",CC36&lt;'Operating Assumptions'!$D$14,'Operating Assumptions'!$D$15=0),'Operating Assumptions'!$H11*'Monthly CF'!CC$36/12*CC$23,IF(AND('Operating Assumptions'!$G11="$/Unit/Annual",CC36&lt;'Operating Assumptions'!$D$14,'Operating Assumptions'!$D$15&gt;0),'Operating Assumptions'!$H11*('Monthly CF'!CC$36*'Operating Assumptions'!$C$15)/12*CC$23,IF(AND('Operating Assumptions'!$G11="$/Unit/Month",CC36='Operating Assumptions'!$D$14),'Operating Assumptions'!$H11*('Monthly CF'!CC$36-'Operating Assumptions'!$D$15)*CC$23,IF(AND('Operating Assumptions'!$G11="$/Unit/Month",CC36&lt;'Operating Assumptions'!$D$14,'Operating Assumptions'!$D$15=0),'Operating Assumptions'!$H11*'Monthly CF'!CC$36*CC$23,IF(AND('Operating Assumptions'!$G11="$/Unit/Month",CC36&lt;'Operating Assumptions'!$D$14,'Operating Assumptions'!$D$15&gt;0),'Operating Assumptions'!$H11*('Monthly CF'!CC$36*'Operating Assumptions'!$C$15)*CC$23,IF('Operating Assumptions'!$G11="Fixed Amount",'Operating Assumptions'!$H11/12*CC$23,IF('Operating Assumptions'!$G11="$/NSF",'Operating Assumptions'!$H11*'Operating Assumptions'!$D$12/12*CC$23,IF('Operating Assumptions'!$G11="N/A",0)))))))))))</f>
        <v>12100.000000000002</v>
      </c>
      <c r="CD44" s="436">
        <f>IF(CD$9&lt;'Operating Assumptions'!$D$53,0,IF(CD$6&gt;'Operating Assumptions'!$AA$8,0,IF(AND('Operating Assumptions'!$G11="$/Unit/Annual",CD36='Operating Assumptions'!$D$14),'Operating Assumptions'!$H11*('Monthly CF'!CD$36-'Operating Assumptions'!$D$15)/12*CD$23,IF(AND('Operating Assumptions'!$G11="$/Unit/Annual",CD36&lt;'Operating Assumptions'!$D$14,'Operating Assumptions'!$D$15=0),'Operating Assumptions'!$H11*'Monthly CF'!CD$36/12*CD$23,IF(AND('Operating Assumptions'!$G11="$/Unit/Annual",CD36&lt;'Operating Assumptions'!$D$14,'Operating Assumptions'!$D$15&gt;0),'Operating Assumptions'!$H11*('Monthly CF'!CD$36*'Operating Assumptions'!$C$15)/12*CD$23,IF(AND('Operating Assumptions'!$G11="$/Unit/Month",CD36='Operating Assumptions'!$D$14),'Operating Assumptions'!$H11*('Monthly CF'!CD$36-'Operating Assumptions'!$D$15)*CD$23,IF(AND('Operating Assumptions'!$G11="$/Unit/Month",CD36&lt;'Operating Assumptions'!$D$14,'Operating Assumptions'!$D$15=0),'Operating Assumptions'!$H11*'Monthly CF'!CD$36*CD$23,IF(AND('Operating Assumptions'!$G11="$/Unit/Month",CD36&lt;'Operating Assumptions'!$D$14,'Operating Assumptions'!$D$15&gt;0),'Operating Assumptions'!$H11*('Monthly CF'!CD$36*'Operating Assumptions'!$C$15)*CD$23,IF('Operating Assumptions'!$G11="Fixed Amount",'Operating Assumptions'!$H11/12*CD$23,IF('Operating Assumptions'!$G11="$/NSF",'Operating Assumptions'!$H11*'Operating Assumptions'!$D$12/12*CD$23,IF('Operating Assumptions'!$G11="N/A",0)))))))))))</f>
        <v>12100.000000000002</v>
      </c>
      <c r="CE44" s="436">
        <f>IF(CE$9&lt;'Operating Assumptions'!$D$53,0,IF(CE$6&gt;'Operating Assumptions'!$AA$8,0,IF(AND('Operating Assumptions'!$G11="$/Unit/Annual",CE36='Operating Assumptions'!$D$14),'Operating Assumptions'!$H11*('Monthly CF'!CE$36-'Operating Assumptions'!$D$15)/12*CE$23,IF(AND('Operating Assumptions'!$G11="$/Unit/Annual",CE36&lt;'Operating Assumptions'!$D$14,'Operating Assumptions'!$D$15=0),'Operating Assumptions'!$H11*'Monthly CF'!CE$36/12*CE$23,IF(AND('Operating Assumptions'!$G11="$/Unit/Annual",CE36&lt;'Operating Assumptions'!$D$14,'Operating Assumptions'!$D$15&gt;0),'Operating Assumptions'!$H11*('Monthly CF'!CE$36*'Operating Assumptions'!$C$15)/12*CE$23,IF(AND('Operating Assumptions'!$G11="$/Unit/Month",CE36='Operating Assumptions'!$D$14),'Operating Assumptions'!$H11*('Monthly CF'!CE$36-'Operating Assumptions'!$D$15)*CE$23,IF(AND('Operating Assumptions'!$G11="$/Unit/Month",CE36&lt;'Operating Assumptions'!$D$14,'Operating Assumptions'!$D$15=0),'Operating Assumptions'!$H11*'Monthly CF'!CE$36*CE$23,IF(AND('Operating Assumptions'!$G11="$/Unit/Month",CE36&lt;'Operating Assumptions'!$D$14,'Operating Assumptions'!$D$15&gt;0),'Operating Assumptions'!$H11*('Monthly CF'!CE$36*'Operating Assumptions'!$C$15)*CE$23,IF('Operating Assumptions'!$G11="Fixed Amount",'Operating Assumptions'!$H11/12*CE$23,IF('Operating Assumptions'!$G11="$/NSF",'Operating Assumptions'!$H11*'Operating Assumptions'!$D$12/12*CE$23,IF('Operating Assumptions'!$G11="N/A",0)))))))))))</f>
        <v>12100.000000000002</v>
      </c>
      <c r="CF44" s="436">
        <f>IF(CF$9&lt;'Operating Assumptions'!$D$53,0,IF(CF$6&gt;'Operating Assumptions'!$AA$8,0,IF(AND('Operating Assumptions'!$G11="$/Unit/Annual",CF36='Operating Assumptions'!$D$14),'Operating Assumptions'!$H11*('Monthly CF'!CF$36-'Operating Assumptions'!$D$15)/12*CF$23,IF(AND('Operating Assumptions'!$G11="$/Unit/Annual",CF36&lt;'Operating Assumptions'!$D$14,'Operating Assumptions'!$D$15=0),'Operating Assumptions'!$H11*'Monthly CF'!CF$36/12*CF$23,IF(AND('Operating Assumptions'!$G11="$/Unit/Annual",CF36&lt;'Operating Assumptions'!$D$14,'Operating Assumptions'!$D$15&gt;0),'Operating Assumptions'!$H11*('Monthly CF'!CF$36*'Operating Assumptions'!$C$15)/12*CF$23,IF(AND('Operating Assumptions'!$G11="$/Unit/Month",CF36='Operating Assumptions'!$D$14),'Operating Assumptions'!$H11*('Monthly CF'!CF$36-'Operating Assumptions'!$D$15)*CF$23,IF(AND('Operating Assumptions'!$G11="$/Unit/Month",CF36&lt;'Operating Assumptions'!$D$14,'Operating Assumptions'!$D$15=0),'Operating Assumptions'!$H11*'Monthly CF'!CF$36*CF$23,IF(AND('Operating Assumptions'!$G11="$/Unit/Month",CF36&lt;'Operating Assumptions'!$D$14,'Operating Assumptions'!$D$15&gt;0),'Operating Assumptions'!$H11*('Monthly CF'!CF$36*'Operating Assumptions'!$C$15)*CF$23,IF('Operating Assumptions'!$G11="Fixed Amount",'Operating Assumptions'!$H11/12*CF$23,IF('Operating Assumptions'!$G11="$/NSF",'Operating Assumptions'!$H11*'Operating Assumptions'!$D$12/12*CF$23,IF('Operating Assumptions'!$G11="N/A",0)))))))))))</f>
        <v>12100.000000000002</v>
      </c>
      <c r="CG44" s="436">
        <f>IF(CG$9&lt;'Operating Assumptions'!$D$53,0,IF(CG$6&gt;'Operating Assumptions'!$AA$8,0,IF(AND('Operating Assumptions'!$G11="$/Unit/Annual",CG36='Operating Assumptions'!$D$14),'Operating Assumptions'!$H11*('Monthly CF'!CG$36-'Operating Assumptions'!$D$15)/12*CG$23,IF(AND('Operating Assumptions'!$G11="$/Unit/Annual",CG36&lt;'Operating Assumptions'!$D$14,'Operating Assumptions'!$D$15=0),'Operating Assumptions'!$H11*'Monthly CF'!CG$36/12*CG$23,IF(AND('Operating Assumptions'!$G11="$/Unit/Annual",CG36&lt;'Operating Assumptions'!$D$14,'Operating Assumptions'!$D$15&gt;0),'Operating Assumptions'!$H11*('Monthly CF'!CG$36*'Operating Assumptions'!$C$15)/12*CG$23,IF(AND('Operating Assumptions'!$G11="$/Unit/Month",CG36='Operating Assumptions'!$D$14),'Operating Assumptions'!$H11*('Monthly CF'!CG$36-'Operating Assumptions'!$D$15)*CG$23,IF(AND('Operating Assumptions'!$G11="$/Unit/Month",CG36&lt;'Operating Assumptions'!$D$14,'Operating Assumptions'!$D$15=0),'Operating Assumptions'!$H11*'Monthly CF'!CG$36*CG$23,IF(AND('Operating Assumptions'!$G11="$/Unit/Month",CG36&lt;'Operating Assumptions'!$D$14,'Operating Assumptions'!$D$15&gt;0),'Operating Assumptions'!$H11*('Monthly CF'!CG$36*'Operating Assumptions'!$C$15)*CG$23,IF('Operating Assumptions'!$G11="Fixed Amount",'Operating Assumptions'!$H11/12*CG$23,IF('Operating Assumptions'!$G11="$/NSF",'Operating Assumptions'!$H11*'Operating Assumptions'!$D$12/12*CG$23,IF('Operating Assumptions'!$G11="N/A",0)))))))))))</f>
        <v>12100.000000000002</v>
      </c>
      <c r="CH44" s="436">
        <f>IF(CH$9&lt;'Operating Assumptions'!$D$53,0,IF(CH$6&gt;'Operating Assumptions'!$AA$8,0,IF(AND('Operating Assumptions'!$G11="$/Unit/Annual",CH36='Operating Assumptions'!$D$14),'Operating Assumptions'!$H11*('Monthly CF'!CH$36-'Operating Assumptions'!$D$15)/12*CH$23,IF(AND('Operating Assumptions'!$G11="$/Unit/Annual",CH36&lt;'Operating Assumptions'!$D$14,'Operating Assumptions'!$D$15=0),'Operating Assumptions'!$H11*'Monthly CF'!CH$36/12*CH$23,IF(AND('Operating Assumptions'!$G11="$/Unit/Annual",CH36&lt;'Operating Assumptions'!$D$14,'Operating Assumptions'!$D$15&gt;0),'Operating Assumptions'!$H11*('Monthly CF'!CH$36*'Operating Assumptions'!$C$15)/12*CH$23,IF(AND('Operating Assumptions'!$G11="$/Unit/Month",CH36='Operating Assumptions'!$D$14),'Operating Assumptions'!$H11*('Monthly CF'!CH$36-'Operating Assumptions'!$D$15)*CH$23,IF(AND('Operating Assumptions'!$G11="$/Unit/Month",CH36&lt;'Operating Assumptions'!$D$14,'Operating Assumptions'!$D$15=0),'Operating Assumptions'!$H11*'Monthly CF'!CH$36*CH$23,IF(AND('Operating Assumptions'!$G11="$/Unit/Month",CH36&lt;'Operating Assumptions'!$D$14,'Operating Assumptions'!$D$15&gt;0),'Operating Assumptions'!$H11*('Monthly CF'!CH$36*'Operating Assumptions'!$C$15)*CH$23,IF('Operating Assumptions'!$G11="Fixed Amount",'Operating Assumptions'!$H11/12*CH$23,IF('Operating Assumptions'!$G11="$/NSF",'Operating Assumptions'!$H11*'Operating Assumptions'!$D$12/12*CH$23,IF('Operating Assumptions'!$G11="N/A",0)))))))))))</f>
        <v>12100.000000000002</v>
      </c>
      <c r="CI44" s="436">
        <f>IF(CI$9&lt;'Operating Assumptions'!$D$53,0,IF(CI$6&gt;'Operating Assumptions'!$AA$8,0,IF(AND('Operating Assumptions'!$G11="$/Unit/Annual",CI36='Operating Assumptions'!$D$14),'Operating Assumptions'!$H11*('Monthly CF'!CI$36-'Operating Assumptions'!$D$15)/12*CI$23,IF(AND('Operating Assumptions'!$G11="$/Unit/Annual",CI36&lt;'Operating Assumptions'!$D$14,'Operating Assumptions'!$D$15=0),'Operating Assumptions'!$H11*'Monthly CF'!CI$36/12*CI$23,IF(AND('Operating Assumptions'!$G11="$/Unit/Annual",CI36&lt;'Operating Assumptions'!$D$14,'Operating Assumptions'!$D$15&gt;0),'Operating Assumptions'!$H11*('Monthly CF'!CI$36*'Operating Assumptions'!$C$15)/12*CI$23,IF(AND('Operating Assumptions'!$G11="$/Unit/Month",CI36='Operating Assumptions'!$D$14),'Operating Assumptions'!$H11*('Monthly CF'!CI$36-'Operating Assumptions'!$D$15)*CI$23,IF(AND('Operating Assumptions'!$G11="$/Unit/Month",CI36&lt;'Operating Assumptions'!$D$14,'Operating Assumptions'!$D$15=0),'Operating Assumptions'!$H11*'Monthly CF'!CI$36*CI$23,IF(AND('Operating Assumptions'!$G11="$/Unit/Month",CI36&lt;'Operating Assumptions'!$D$14,'Operating Assumptions'!$D$15&gt;0),'Operating Assumptions'!$H11*('Monthly CF'!CI$36*'Operating Assumptions'!$C$15)*CI$23,IF('Operating Assumptions'!$G11="Fixed Amount",'Operating Assumptions'!$H11/12*CI$23,IF('Operating Assumptions'!$G11="$/NSF",'Operating Assumptions'!$H11*'Operating Assumptions'!$D$12/12*CI$23,IF('Operating Assumptions'!$G11="N/A",0)))))))))))</f>
        <v>12100.000000000002</v>
      </c>
      <c r="CJ44" s="436">
        <f>IF(CJ$9&lt;'Operating Assumptions'!$D$53,0,IF(CJ$6&gt;'Operating Assumptions'!$AA$8,0,IF(AND('Operating Assumptions'!$G11="$/Unit/Annual",CJ36='Operating Assumptions'!$D$14),'Operating Assumptions'!$H11*('Monthly CF'!CJ$36-'Operating Assumptions'!$D$15)/12*CJ$23,IF(AND('Operating Assumptions'!$G11="$/Unit/Annual",CJ36&lt;'Operating Assumptions'!$D$14,'Operating Assumptions'!$D$15=0),'Operating Assumptions'!$H11*'Monthly CF'!CJ$36/12*CJ$23,IF(AND('Operating Assumptions'!$G11="$/Unit/Annual",CJ36&lt;'Operating Assumptions'!$D$14,'Operating Assumptions'!$D$15&gt;0),'Operating Assumptions'!$H11*('Monthly CF'!CJ$36*'Operating Assumptions'!$C$15)/12*CJ$23,IF(AND('Operating Assumptions'!$G11="$/Unit/Month",CJ36='Operating Assumptions'!$D$14),'Operating Assumptions'!$H11*('Monthly CF'!CJ$36-'Operating Assumptions'!$D$15)*CJ$23,IF(AND('Operating Assumptions'!$G11="$/Unit/Month",CJ36&lt;'Operating Assumptions'!$D$14,'Operating Assumptions'!$D$15=0),'Operating Assumptions'!$H11*'Monthly CF'!CJ$36*CJ$23,IF(AND('Operating Assumptions'!$G11="$/Unit/Month",CJ36&lt;'Operating Assumptions'!$D$14,'Operating Assumptions'!$D$15&gt;0),'Operating Assumptions'!$H11*('Monthly CF'!CJ$36*'Operating Assumptions'!$C$15)*CJ$23,IF('Operating Assumptions'!$G11="Fixed Amount",'Operating Assumptions'!$H11/12*CJ$23,IF('Operating Assumptions'!$G11="$/NSF",'Operating Assumptions'!$H11*'Operating Assumptions'!$D$12/12*CJ$23,IF('Operating Assumptions'!$G11="N/A",0)))))))))))</f>
        <v>12100.000000000002</v>
      </c>
      <c r="CK44" s="436">
        <f>IF(CK$9&lt;'Operating Assumptions'!$D$53,0,IF(CK$6&gt;'Operating Assumptions'!$AA$8,0,IF(AND('Operating Assumptions'!$G11="$/Unit/Annual",CK36='Operating Assumptions'!$D$14),'Operating Assumptions'!$H11*('Monthly CF'!CK$36-'Operating Assumptions'!$D$15)/12*CK$23,IF(AND('Operating Assumptions'!$G11="$/Unit/Annual",CK36&lt;'Operating Assumptions'!$D$14,'Operating Assumptions'!$D$15=0),'Operating Assumptions'!$H11*'Monthly CF'!CK$36/12*CK$23,IF(AND('Operating Assumptions'!$G11="$/Unit/Annual",CK36&lt;'Operating Assumptions'!$D$14,'Operating Assumptions'!$D$15&gt;0),'Operating Assumptions'!$H11*('Monthly CF'!CK$36*'Operating Assumptions'!$C$15)/12*CK$23,IF(AND('Operating Assumptions'!$G11="$/Unit/Month",CK36='Operating Assumptions'!$D$14),'Operating Assumptions'!$H11*('Monthly CF'!CK$36-'Operating Assumptions'!$D$15)*CK$23,IF(AND('Operating Assumptions'!$G11="$/Unit/Month",CK36&lt;'Operating Assumptions'!$D$14,'Operating Assumptions'!$D$15=0),'Operating Assumptions'!$H11*'Monthly CF'!CK$36*CK$23,IF(AND('Operating Assumptions'!$G11="$/Unit/Month",CK36&lt;'Operating Assumptions'!$D$14,'Operating Assumptions'!$D$15&gt;0),'Operating Assumptions'!$H11*('Monthly CF'!CK$36*'Operating Assumptions'!$C$15)*CK$23,IF('Operating Assumptions'!$G11="Fixed Amount",'Operating Assumptions'!$H11/12*CK$23,IF('Operating Assumptions'!$G11="$/NSF",'Operating Assumptions'!$H11*'Operating Assumptions'!$D$12/12*CK$23,IF('Operating Assumptions'!$G11="N/A",0)))))))))))</f>
        <v>12100.000000000002</v>
      </c>
      <c r="CL44" s="436">
        <f>IF(CL$9&lt;'Operating Assumptions'!$D$53,0,IF(CL$6&gt;'Operating Assumptions'!$AA$8,0,IF(AND('Operating Assumptions'!$G11="$/Unit/Annual",CL36='Operating Assumptions'!$D$14),'Operating Assumptions'!$H11*('Monthly CF'!CL$36-'Operating Assumptions'!$D$15)/12*CL$23,IF(AND('Operating Assumptions'!$G11="$/Unit/Annual",CL36&lt;'Operating Assumptions'!$D$14,'Operating Assumptions'!$D$15=0),'Operating Assumptions'!$H11*'Monthly CF'!CL$36/12*CL$23,IF(AND('Operating Assumptions'!$G11="$/Unit/Annual",CL36&lt;'Operating Assumptions'!$D$14,'Operating Assumptions'!$D$15&gt;0),'Operating Assumptions'!$H11*('Monthly CF'!CL$36*'Operating Assumptions'!$C$15)/12*CL$23,IF(AND('Operating Assumptions'!$G11="$/Unit/Month",CL36='Operating Assumptions'!$D$14),'Operating Assumptions'!$H11*('Monthly CF'!CL$36-'Operating Assumptions'!$D$15)*CL$23,IF(AND('Operating Assumptions'!$G11="$/Unit/Month",CL36&lt;'Operating Assumptions'!$D$14,'Operating Assumptions'!$D$15=0),'Operating Assumptions'!$H11*'Monthly CF'!CL$36*CL$23,IF(AND('Operating Assumptions'!$G11="$/Unit/Month",CL36&lt;'Operating Assumptions'!$D$14,'Operating Assumptions'!$D$15&gt;0),'Operating Assumptions'!$H11*('Monthly CF'!CL$36*'Operating Assumptions'!$C$15)*CL$23,IF('Operating Assumptions'!$G11="Fixed Amount",'Operating Assumptions'!$H11/12*CL$23,IF('Operating Assumptions'!$G11="$/NSF",'Operating Assumptions'!$H11*'Operating Assumptions'!$D$12/12*CL$23,IF('Operating Assumptions'!$G11="N/A",0)))))))))))</f>
        <v>12100.000000000002</v>
      </c>
      <c r="CM44" s="436">
        <f>IF(CM$9&lt;'Operating Assumptions'!$D$53,0,IF(CM$6&gt;'Operating Assumptions'!$AA$8,0,IF(AND('Operating Assumptions'!$G11="$/Unit/Annual",CM36='Operating Assumptions'!$D$14),'Operating Assumptions'!$H11*('Monthly CF'!CM$36-'Operating Assumptions'!$D$15)/12*CM$23,IF(AND('Operating Assumptions'!$G11="$/Unit/Annual",CM36&lt;'Operating Assumptions'!$D$14,'Operating Assumptions'!$D$15=0),'Operating Assumptions'!$H11*'Monthly CF'!CM$36/12*CM$23,IF(AND('Operating Assumptions'!$G11="$/Unit/Annual",CM36&lt;'Operating Assumptions'!$D$14,'Operating Assumptions'!$D$15&gt;0),'Operating Assumptions'!$H11*('Monthly CF'!CM$36*'Operating Assumptions'!$C$15)/12*CM$23,IF(AND('Operating Assumptions'!$G11="$/Unit/Month",CM36='Operating Assumptions'!$D$14),'Operating Assumptions'!$H11*('Monthly CF'!CM$36-'Operating Assumptions'!$D$15)*CM$23,IF(AND('Operating Assumptions'!$G11="$/Unit/Month",CM36&lt;'Operating Assumptions'!$D$14,'Operating Assumptions'!$D$15=0),'Operating Assumptions'!$H11*'Monthly CF'!CM$36*CM$23,IF(AND('Operating Assumptions'!$G11="$/Unit/Month",CM36&lt;'Operating Assumptions'!$D$14,'Operating Assumptions'!$D$15&gt;0),'Operating Assumptions'!$H11*('Monthly CF'!CM$36*'Operating Assumptions'!$C$15)*CM$23,IF('Operating Assumptions'!$G11="Fixed Amount",'Operating Assumptions'!$H11/12*CM$23,IF('Operating Assumptions'!$G11="$/NSF",'Operating Assumptions'!$H11*'Operating Assumptions'!$D$12/12*CM$23,IF('Operating Assumptions'!$G11="N/A",0)))))))))))</f>
        <v>12100.000000000002</v>
      </c>
      <c r="CN44" s="436">
        <f>IF(CN$9&lt;'Operating Assumptions'!$D$53,0,IF(CN$6&gt;'Operating Assumptions'!$AA$8,0,IF(AND('Operating Assumptions'!$G11="$/Unit/Annual",CN36='Operating Assumptions'!$D$14),'Operating Assumptions'!$H11*('Monthly CF'!CN$36-'Operating Assumptions'!$D$15)/12*CN$23,IF(AND('Operating Assumptions'!$G11="$/Unit/Annual",CN36&lt;'Operating Assumptions'!$D$14,'Operating Assumptions'!$D$15=0),'Operating Assumptions'!$H11*'Monthly CF'!CN$36/12*CN$23,IF(AND('Operating Assumptions'!$G11="$/Unit/Annual",CN36&lt;'Operating Assumptions'!$D$14,'Operating Assumptions'!$D$15&gt;0),'Operating Assumptions'!$H11*('Monthly CF'!CN$36*'Operating Assumptions'!$C$15)/12*CN$23,IF(AND('Operating Assumptions'!$G11="$/Unit/Month",CN36='Operating Assumptions'!$D$14),'Operating Assumptions'!$H11*('Monthly CF'!CN$36-'Operating Assumptions'!$D$15)*CN$23,IF(AND('Operating Assumptions'!$G11="$/Unit/Month",CN36&lt;'Operating Assumptions'!$D$14,'Operating Assumptions'!$D$15=0),'Operating Assumptions'!$H11*'Monthly CF'!CN$36*CN$23,IF(AND('Operating Assumptions'!$G11="$/Unit/Month",CN36&lt;'Operating Assumptions'!$D$14,'Operating Assumptions'!$D$15&gt;0),'Operating Assumptions'!$H11*('Monthly CF'!CN$36*'Operating Assumptions'!$C$15)*CN$23,IF('Operating Assumptions'!$G11="Fixed Amount",'Operating Assumptions'!$H11/12*CN$23,IF('Operating Assumptions'!$G11="$/NSF",'Operating Assumptions'!$H11*'Operating Assumptions'!$D$12/12*CN$23,IF('Operating Assumptions'!$G11="N/A",0)))))))))))</f>
        <v>12320.000000000002</v>
      </c>
      <c r="CO44" s="436">
        <f>IF(CO$9&lt;'Operating Assumptions'!$D$53,0,IF(CO$6&gt;'Operating Assumptions'!$AA$8,0,IF(AND('Operating Assumptions'!$G11="$/Unit/Annual",CO36='Operating Assumptions'!$D$14),'Operating Assumptions'!$H11*('Monthly CF'!CO$36-'Operating Assumptions'!$D$15)/12*CO$23,IF(AND('Operating Assumptions'!$G11="$/Unit/Annual",CO36&lt;'Operating Assumptions'!$D$14,'Operating Assumptions'!$D$15=0),'Operating Assumptions'!$H11*'Monthly CF'!CO$36/12*CO$23,IF(AND('Operating Assumptions'!$G11="$/Unit/Annual",CO36&lt;'Operating Assumptions'!$D$14,'Operating Assumptions'!$D$15&gt;0),'Operating Assumptions'!$H11*('Monthly CF'!CO$36*'Operating Assumptions'!$C$15)/12*CO$23,IF(AND('Operating Assumptions'!$G11="$/Unit/Month",CO36='Operating Assumptions'!$D$14),'Operating Assumptions'!$H11*('Monthly CF'!CO$36-'Operating Assumptions'!$D$15)*CO$23,IF(AND('Operating Assumptions'!$G11="$/Unit/Month",CO36&lt;'Operating Assumptions'!$D$14,'Operating Assumptions'!$D$15=0),'Operating Assumptions'!$H11*'Monthly CF'!CO$36*CO$23,IF(AND('Operating Assumptions'!$G11="$/Unit/Month",CO36&lt;'Operating Assumptions'!$D$14,'Operating Assumptions'!$D$15&gt;0),'Operating Assumptions'!$H11*('Monthly CF'!CO$36*'Operating Assumptions'!$C$15)*CO$23,IF('Operating Assumptions'!$G11="Fixed Amount",'Operating Assumptions'!$H11/12*CO$23,IF('Operating Assumptions'!$G11="$/NSF",'Operating Assumptions'!$H11*'Operating Assumptions'!$D$12/12*CO$23,IF('Operating Assumptions'!$G11="N/A",0)))))))))))</f>
        <v>12320.000000000002</v>
      </c>
      <c r="CP44" s="436">
        <f>IF(CP$9&lt;'Operating Assumptions'!$D$53,0,IF(CP$6&gt;'Operating Assumptions'!$AA$8,0,IF(AND('Operating Assumptions'!$G11="$/Unit/Annual",CP36='Operating Assumptions'!$D$14),'Operating Assumptions'!$H11*('Monthly CF'!CP$36-'Operating Assumptions'!$D$15)/12*CP$23,IF(AND('Operating Assumptions'!$G11="$/Unit/Annual",CP36&lt;'Operating Assumptions'!$D$14,'Operating Assumptions'!$D$15=0),'Operating Assumptions'!$H11*'Monthly CF'!CP$36/12*CP$23,IF(AND('Operating Assumptions'!$G11="$/Unit/Annual",CP36&lt;'Operating Assumptions'!$D$14,'Operating Assumptions'!$D$15&gt;0),'Operating Assumptions'!$H11*('Monthly CF'!CP$36*'Operating Assumptions'!$C$15)/12*CP$23,IF(AND('Operating Assumptions'!$G11="$/Unit/Month",CP36='Operating Assumptions'!$D$14),'Operating Assumptions'!$H11*('Monthly CF'!CP$36-'Operating Assumptions'!$D$15)*CP$23,IF(AND('Operating Assumptions'!$G11="$/Unit/Month",CP36&lt;'Operating Assumptions'!$D$14,'Operating Assumptions'!$D$15=0),'Operating Assumptions'!$H11*'Monthly CF'!CP$36*CP$23,IF(AND('Operating Assumptions'!$G11="$/Unit/Month",CP36&lt;'Operating Assumptions'!$D$14,'Operating Assumptions'!$D$15&gt;0),'Operating Assumptions'!$H11*('Monthly CF'!CP$36*'Operating Assumptions'!$C$15)*CP$23,IF('Operating Assumptions'!$G11="Fixed Amount",'Operating Assumptions'!$H11/12*CP$23,IF('Operating Assumptions'!$G11="$/NSF",'Operating Assumptions'!$H11*'Operating Assumptions'!$D$12/12*CP$23,IF('Operating Assumptions'!$G11="N/A",0)))))))))))</f>
        <v>12320.000000000002</v>
      </c>
      <c r="CQ44" s="436">
        <f>IF(CQ$9&lt;'Operating Assumptions'!$D$53,0,IF(CQ$6&gt;'Operating Assumptions'!$AA$8,0,IF(AND('Operating Assumptions'!$G11="$/Unit/Annual",CQ36='Operating Assumptions'!$D$14),'Operating Assumptions'!$H11*('Monthly CF'!CQ$36-'Operating Assumptions'!$D$15)/12*CQ$23,IF(AND('Operating Assumptions'!$G11="$/Unit/Annual",CQ36&lt;'Operating Assumptions'!$D$14,'Operating Assumptions'!$D$15=0),'Operating Assumptions'!$H11*'Monthly CF'!CQ$36/12*CQ$23,IF(AND('Operating Assumptions'!$G11="$/Unit/Annual",CQ36&lt;'Operating Assumptions'!$D$14,'Operating Assumptions'!$D$15&gt;0),'Operating Assumptions'!$H11*('Monthly CF'!CQ$36*'Operating Assumptions'!$C$15)/12*CQ$23,IF(AND('Operating Assumptions'!$G11="$/Unit/Month",CQ36='Operating Assumptions'!$D$14),'Operating Assumptions'!$H11*('Monthly CF'!CQ$36-'Operating Assumptions'!$D$15)*CQ$23,IF(AND('Operating Assumptions'!$G11="$/Unit/Month",CQ36&lt;'Operating Assumptions'!$D$14,'Operating Assumptions'!$D$15=0),'Operating Assumptions'!$H11*'Monthly CF'!CQ$36*CQ$23,IF(AND('Operating Assumptions'!$G11="$/Unit/Month",CQ36&lt;'Operating Assumptions'!$D$14,'Operating Assumptions'!$D$15&gt;0),'Operating Assumptions'!$H11*('Monthly CF'!CQ$36*'Operating Assumptions'!$C$15)*CQ$23,IF('Operating Assumptions'!$G11="Fixed Amount",'Operating Assumptions'!$H11/12*CQ$23,IF('Operating Assumptions'!$G11="$/NSF",'Operating Assumptions'!$H11*'Operating Assumptions'!$D$12/12*CQ$23,IF('Operating Assumptions'!$G11="N/A",0)))))))))))</f>
        <v>12320.000000000002</v>
      </c>
      <c r="CR44" s="436">
        <f>IF(CR$9&lt;'Operating Assumptions'!$D$53,0,IF(CR$6&gt;'Operating Assumptions'!$AA$8,0,IF(AND('Operating Assumptions'!$G11="$/Unit/Annual",CR36='Operating Assumptions'!$D$14),'Operating Assumptions'!$H11*('Monthly CF'!CR$36-'Operating Assumptions'!$D$15)/12*CR$23,IF(AND('Operating Assumptions'!$G11="$/Unit/Annual",CR36&lt;'Operating Assumptions'!$D$14,'Operating Assumptions'!$D$15=0),'Operating Assumptions'!$H11*'Monthly CF'!CR$36/12*CR$23,IF(AND('Operating Assumptions'!$G11="$/Unit/Annual",CR36&lt;'Operating Assumptions'!$D$14,'Operating Assumptions'!$D$15&gt;0),'Operating Assumptions'!$H11*('Monthly CF'!CR$36*'Operating Assumptions'!$C$15)/12*CR$23,IF(AND('Operating Assumptions'!$G11="$/Unit/Month",CR36='Operating Assumptions'!$D$14),'Operating Assumptions'!$H11*('Monthly CF'!CR$36-'Operating Assumptions'!$D$15)*CR$23,IF(AND('Operating Assumptions'!$G11="$/Unit/Month",CR36&lt;'Operating Assumptions'!$D$14,'Operating Assumptions'!$D$15=0),'Operating Assumptions'!$H11*'Monthly CF'!CR$36*CR$23,IF(AND('Operating Assumptions'!$G11="$/Unit/Month",CR36&lt;'Operating Assumptions'!$D$14,'Operating Assumptions'!$D$15&gt;0),'Operating Assumptions'!$H11*('Monthly CF'!CR$36*'Operating Assumptions'!$C$15)*CR$23,IF('Operating Assumptions'!$G11="Fixed Amount",'Operating Assumptions'!$H11/12*CR$23,IF('Operating Assumptions'!$G11="$/NSF",'Operating Assumptions'!$H11*'Operating Assumptions'!$D$12/12*CR$23,IF('Operating Assumptions'!$G11="N/A",0)))))))))))</f>
        <v>12320.000000000002</v>
      </c>
      <c r="CS44" s="436">
        <f>IF(CS$9&lt;'Operating Assumptions'!$D$53,0,IF(CS$6&gt;'Operating Assumptions'!$AA$8,0,IF(AND('Operating Assumptions'!$G11="$/Unit/Annual",CS36='Operating Assumptions'!$D$14),'Operating Assumptions'!$H11*('Monthly CF'!CS$36-'Operating Assumptions'!$D$15)/12*CS$23,IF(AND('Operating Assumptions'!$G11="$/Unit/Annual",CS36&lt;'Operating Assumptions'!$D$14,'Operating Assumptions'!$D$15=0),'Operating Assumptions'!$H11*'Monthly CF'!CS$36/12*CS$23,IF(AND('Operating Assumptions'!$G11="$/Unit/Annual",CS36&lt;'Operating Assumptions'!$D$14,'Operating Assumptions'!$D$15&gt;0),'Operating Assumptions'!$H11*('Monthly CF'!CS$36*'Operating Assumptions'!$C$15)/12*CS$23,IF(AND('Operating Assumptions'!$G11="$/Unit/Month",CS36='Operating Assumptions'!$D$14),'Operating Assumptions'!$H11*('Monthly CF'!CS$36-'Operating Assumptions'!$D$15)*CS$23,IF(AND('Operating Assumptions'!$G11="$/Unit/Month",CS36&lt;'Operating Assumptions'!$D$14,'Operating Assumptions'!$D$15=0),'Operating Assumptions'!$H11*'Monthly CF'!CS$36*CS$23,IF(AND('Operating Assumptions'!$G11="$/Unit/Month",CS36&lt;'Operating Assumptions'!$D$14,'Operating Assumptions'!$D$15&gt;0),'Operating Assumptions'!$H11*('Monthly CF'!CS$36*'Operating Assumptions'!$C$15)*CS$23,IF('Operating Assumptions'!$G11="Fixed Amount",'Operating Assumptions'!$H11/12*CS$23,IF('Operating Assumptions'!$G11="$/NSF",'Operating Assumptions'!$H11*'Operating Assumptions'!$D$12/12*CS$23,IF('Operating Assumptions'!$G11="N/A",0)))))))))))</f>
        <v>12320.000000000002</v>
      </c>
      <c r="CT44" s="436">
        <f>IF(CT$9&lt;'Operating Assumptions'!$D$53,0,IF(CT$6&gt;'Operating Assumptions'!$AA$8,0,IF(AND('Operating Assumptions'!$G11="$/Unit/Annual",CT36='Operating Assumptions'!$D$14),'Operating Assumptions'!$H11*('Monthly CF'!CT$36-'Operating Assumptions'!$D$15)/12*CT$23,IF(AND('Operating Assumptions'!$G11="$/Unit/Annual",CT36&lt;'Operating Assumptions'!$D$14,'Operating Assumptions'!$D$15=0),'Operating Assumptions'!$H11*'Monthly CF'!CT$36/12*CT$23,IF(AND('Operating Assumptions'!$G11="$/Unit/Annual",CT36&lt;'Operating Assumptions'!$D$14,'Operating Assumptions'!$D$15&gt;0),'Operating Assumptions'!$H11*('Monthly CF'!CT$36*'Operating Assumptions'!$C$15)/12*CT$23,IF(AND('Operating Assumptions'!$G11="$/Unit/Month",CT36='Operating Assumptions'!$D$14),'Operating Assumptions'!$H11*('Monthly CF'!CT$36-'Operating Assumptions'!$D$15)*CT$23,IF(AND('Operating Assumptions'!$G11="$/Unit/Month",CT36&lt;'Operating Assumptions'!$D$14,'Operating Assumptions'!$D$15=0),'Operating Assumptions'!$H11*'Monthly CF'!CT$36*CT$23,IF(AND('Operating Assumptions'!$G11="$/Unit/Month",CT36&lt;'Operating Assumptions'!$D$14,'Operating Assumptions'!$D$15&gt;0),'Operating Assumptions'!$H11*('Monthly CF'!CT$36*'Operating Assumptions'!$C$15)*CT$23,IF('Operating Assumptions'!$G11="Fixed Amount",'Operating Assumptions'!$H11/12*CT$23,IF('Operating Assumptions'!$G11="$/NSF",'Operating Assumptions'!$H11*'Operating Assumptions'!$D$12/12*CT$23,IF('Operating Assumptions'!$G11="N/A",0)))))))))))</f>
        <v>12320.000000000002</v>
      </c>
      <c r="CU44" s="436">
        <f>IF(CU$9&lt;'Operating Assumptions'!$D$53,0,IF(CU$6&gt;'Operating Assumptions'!$AA$8,0,IF(AND('Operating Assumptions'!$G11="$/Unit/Annual",CU36='Operating Assumptions'!$D$14),'Operating Assumptions'!$H11*('Monthly CF'!CU$36-'Operating Assumptions'!$D$15)/12*CU$23,IF(AND('Operating Assumptions'!$G11="$/Unit/Annual",CU36&lt;'Operating Assumptions'!$D$14,'Operating Assumptions'!$D$15=0),'Operating Assumptions'!$H11*'Monthly CF'!CU$36/12*CU$23,IF(AND('Operating Assumptions'!$G11="$/Unit/Annual",CU36&lt;'Operating Assumptions'!$D$14,'Operating Assumptions'!$D$15&gt;0),'Operating Assumptions'!$H11*('Monthly CF'!CU$36*'Operating Assumptions'!$C$15)/12*CU$23,IF(AND('Operating Assumptions'!$G11="$/Unit/Month",CU36='Operating Assumptions'!$D$14),'Operating Assumptions'!$H11*('Monthly CF'!CU$36-'Operating Assumptions'!$D$15)*CU$23,IF(AND('Operating Assumptions'!$G11="$/Unit/Month",CU36&lt;'Operating Assumptions'!$D$14,'Operating Assumptions'!$D$15=0),'Operating Assumptions'!$H11*'Monthly CF'!CU$36*CU$23,IF(AND('Operating Assumptions'!$G11="$/Unit/Month",CU36&lt;'Operating Assumptions'!$D$14,'Operating Assumptions'!$D$15&gt;0),'Operating Assumptions'!$H11*('Monthly CF'!CU$36*'Operating Assumptions'!$C$15)*CU$23,IF('Operating Assumptions'!$G11="Fixed Amount",'Operating Assumptions'!$H11/12*CU$23,IF('Operating Assumptions'!$G11="$/NSF",'Operating Assumptions'!$H11*'Operating Assumptions'!$D$12/12*CU$23,IF('Operating Assumptions'!$G11="N/A",0)))))))))))</f>
        <v>12320.000000000002</v>
      </c>
      <c r="CV44" s="436">
        <f>IF(CV$9&lt;'Operating Assumptions'!$D$53,0,IF(CV$6&gt;'Operating Assumptions'!$AA$8,0,IF(AND('Operating Assumptions'!$G11="$/Unit/Annual",CV36='Operating Assumptions'!$D$14),'Operating Assumptions'!$H11*('Monthly CF'!CV$36-'Operating Assumptions'!$D$15)/12*CV$23,IF(AND('Operating Assumptions'!$G11="$/Unit/Annual",CV36&lt;'Operating Assumptions'!$D$14,'Operating Assumptions'!$D$15=0),'Operating Assumptions'!$H11*'Monthly CF'!CV$36/12*CV$23,IF(AND('Operating Assumptions'!$G11="$/Unit/Annual",CV36&lt;'Operating Assumptions'!$D$14,'Operating Assumptions'!$D$15&gt;0),'Operating Assumptions'!$H11*('Monthly CF'!CV$36*'Operating Assumptions'!$C$15)/12*CV$23,IF(AND('Operating Assumptions'!$G11="$/Unit/Month",CV36='Operating Assumptions'!$D$14),'Operating Assumptions'!$H11*('Monthly CF'!CV$36-'Operating Assumptions'!$D$15)*CV$23,IF(AND('Operating Assumptions'!$G11="$/Unit/Month",CV36&lt;'Operating Assumptions'!$D$14,'Operating Assumptions'!$D$15=0),'Operating Assumptions'!$H11*'Monthly CF'!CV$36*CV$23,IF(AND('Operating Assumptions'!$G11="$/Unit/Month",CV36&lt;'Operating Assumptions'!$D$14,'Operating Assumptions'!$D$15&gt;0),'Operating Assumptions'!$H11*('Monthly CF'!CV$36*'Operating Assumptions'!$C$15)*CV$23,IF('Operating Assumptions'!$G11="Fixed Amount",'Operating Assumptions'!$H11/12*CV$23,IF('Operating Assumptions'!$G11="$/NSF",'Operating Assumptions'!$H11*'Operating Assumptions'!$D$12/12*CV$23,IF('Operating Assumptions'!$G11="N/A",0)))))))))))</f>
        <v>12320.000000000002</v>
      </c>
      <c r="CW44" s="436">
        <f>IF(CW$9&lt;'Operating Assumptions'!$D$53,0,IF(CW$6&gt;'Operating Assumptions'!$AA$8,0,IF(AND('Operating Assumptions'!$G11="$/Unit/Annual",CW36='Operating Assumptions'!$D$14),'Operating Assumptions'!$H11*('Monthly CF'!CW$36-'Operating Assumptions'!$D$15)/12*CW$23,IF(AND('Operating Assumptions'!$G11="$/Unit/Annual",CW36&lt;'Operating Assumptions'!$D$14,'Operating Assumptions'!$D$15=0),'Operating Assumptions'!$H11*'Monthly CF'!CW$36/12*CW$23,IF(AND('Operating Assumptions'!$G11="$/Unit/Annual",CW36&lt;'Operating Assumptions'!$D$14,'Operating Assumptions'!$D$15&gt;0),'Operating Assumptions'!$H11*('Monthly CF'!CW$36*'Operating Assumptions'!$C$15)/12*CW$23,IF(AND('Operating Assumptions'!$G11="$/Unit/Month",CW36='Operating Assumptions'!$D$14),'Operating Assumptions'!$H11*('Monthly CF'!CW$36-'Operating Assumptions'!$D$15)*CW$23,IF(AND('Operating Assumptions'!$G11="$/Unit/Month",CW36&lt;'Operating Assumptions'!$D$14,'Operating Assumptions'!$D$15=0),'Operating Assumptions'!$H11*'Monthly CF'!CW$36*CW$23,IF(AND('Operating Assumptions'!$G11="$/Unit/Month",CW36&lt;'Operating Assumptions'!$D$14,'Operating Assumptions'!$D$15&gt;0),'Operating Assumptions'!$H11*('Monthly CF'!CW$36*'Operating Assumptions'!$C$15)*CW$23,IF('Operating Assumptions'!$G11="Fixed Amount",'Operating Assumptions'!$H11/12*CW$23,IF('Operating Assumptions'!$G11="$/NSF",'Operating Assumptions'!$H11*'Operating Assumptions'!$D$12/12*CW$23,IF('Operating Assumptions'!$G11="N/A",0)))))))))))</f>
        <v>12320.000000000002</v>
      </c>
      <c r="CX44" s="436">
        <f>IF(CX$9&lt;'Operating Assumptions'!$D$53,0,IF(CX$6&gt;'Operating Assumptions'!$AA$8,0,IF(AND('Operating Assumptions'!$G11="$/Unit/Annual",CX36='Operating Assumptions'!$D$14),'Operating Assumptions'!$H11*('Monthly CF'!CX$36-'Operating Assumptions'!$D$15)/12*CX$23,IF(AND('Operating Assumptions'!$G11="$/Unit/Annual",CX36&lt;'Operating Assumptions'!$D$14,'Operating Assumptions'!$D$15=0),'Operating Assumptions'!$H11*'Monthly CF'!CX$36/12*CX$23,IF(AND('Operating Assumptions'!$G11="$/Unit/Annual",CX36&lt;'Operating Assumptions'!$D$14,'Operating Assumptions'!$D$15&gt;0),'Operating Assumptions'!$H11*('Monthly CF'!CX$36*'Operating Assumptions'!$C$15)/12*CX$23,IF(AND('Operating Assumptions'!$G11="$/Unit/Month",CX36='Operating Assumptions'!$D$14),'Operating Assumptions'!$H11*('Monthly CF'!CX$36-'Operating Assumptions'!$D$15)*CX$23,IF(AND('Operating Assumptions'!$G11="$/Unit/Month",CX36&lt;'Operating Assumptions'!$D$14,'Operating Assumptions'!$D$15=0),'Operating Assumptions'!$H11*'Monthly CF'!CX$36*CX$23,IF(AND('Operating Assumptions'!$G11="$/Unit/Month",CX36&lt;'Operating Assumptions'!$D$14,'Operating Assumptions'!$D$15&gt;0),'Operating Assumptions'!$H11*('Monthly CF'!CX$36*'Operating Assumptions'!$C$15)*CX$23,IF('Operating Assumptions'!$G11="Fixed Amount",'Operating Assumptions'!$H11/12*CX$23,IF('Operating Assumptions'!$G11="$/NSF",'Operating Assumptions'!$H11*'Operating Assumptions'!$D$12/12*CX$23,IF('Operating Assumptions'!$G11="N/A",0)))))))))))</f>
        <v>12320.000000000002</v>
      </c>
      <c r="CY44" s="436">
        <f>IF(CY$9&lt;'Operating Assumptions'!$D$53,0,IF(CY$6&gt;'Operating Assumptions'!$AA$8,0,IF(AND('Operating Assumptions'!$G11="$/Unit/Annual",CY36='Operating Assumptions'!$D$14),'Operating Assumptions'!$H11*('Monthly CF'!CY$36-'Operating Assumptions'!$D$15)/12*CY$23,IF(AND('Operating Assumptions'!$G11="$/Unit/Annual",CY36&lt;'Operating Assumptions'!$D$14,'Operating Assumptions'!$D$15=0),'Operating Assumptions'!$H11*'Monthly CF'!CY$36/12*CY$23,IF(AND('Operating Assumptions'!$G11="$/Unit/Annual",CY36&lt;'Operating Assumptions'!$D$14,'Operating Assumptions'!$D$15&gt;0),'Operating Assumptions'!$H11*('Monthly CF'!CY$36*'Operating Assumptions'!$C$15)/12*CY$23,IF(AND('Operating Assumptions'!$G11="$/Unit/Month",CY36='Operating Assumptions'!$D$14),'Operating Assumptions'!$H11*('Monthly CF'!CY$36-'Operating Assumptions'!$D$15)*CY$23,IF(AND('Operating Assumptions'!$G11="$/Unit/Month",CY36&lt;'Operating Assumptions'!$D$14,'Operating Assumptions'!$D$15=0),'Operating Assumptions'!$H11*'Monthly CF'!CY$36*CY$23,IF(AND('Operating Assumptions'!$G11="$/Unit/Month",CY36&lt;'Operating Assumptions'!$D$14,'Operating Assumptions'!$D$15&gt;0),'Operating Assumptions'!$H11*('Monthly CF'!CY$36*'Operating Assumptions'!$C$15)*CY$23,IF('Operating Assumptions'!$G11="Fixed Amount",'Operating Assumptions'!$H11/12*CY$23,IF('Operating Assumptions'!$G11="$/NSF",'Operating Assumptions'!$H11*'Operating Assumptions'!$D$12/12*CY$23,IF('Operating Assumptions'!$G11="N/A",0)))))))))))</f>
        <v>12320.000000000002</v>
      </c>
      <c r="CZ44" s="436">
        <f>IF(CZ$9&lt;'Operating Assumptions'!$D$53,0,IF(CZ$6&gt;'Operating Assumptions'!$AA$8,0,IF(AND('Operating Assumptions'!$G11="$/Unit/Annual",CZ36='Operating Assumptions'!$D$14),'Operating Assumptions'!$H11*('Monthly CF'!CZ$36-'Operating Assumptions'!$D$15)/12*CZ$23,IF(AND('Operating Assumptions'!$G11="$/Unit/Annual",CZ36&lt;'Operating Assumptions'!$D$14,'Operating Assumptions'!$D$15=0),'Operating Assumptions'!$H11*'Monthly CF'!CZ$36/12*CZ$23,IF(AND('Operating Assumptions'!$G11="$/Unit/Annual",CZ36&lt;'Operating Assumptions'!$D$14,'Operating Assumptions'!$D$15&gt;0),'Operating Assumptions'!$H11*('Monthly CF'!CZ$36*'Operating Assumptions'!$C$15)/12*CZ$23,IF(AND('Operating Assumptions'!$G11="$/Unit/Month",CZ36='Operating Assumptions'!$D$14),'Operating Assumptions'!$H11*('Monthly CF'!CZ$36-'Operating Assumptions'!$D$15)*CZ$23,IF(AND('Operating Assumptions'!$G11="$/Unit/Month",CZ36&lt;'Operating Assumptions'!$D$14,'Operating Assumptions'!$D$15=0),'Operating Assumptions'!$H11*'Monthly CF'!CZ$36*CZ$23,IF(AND('Operating Assumptions'!$G11="$/Unit/Month",CZ36&lt;'Operating Assumptions'!$D$14,'Operating Assumptions'!$D$15&gt;0),'Operating Assumptions'!$H11*('Monthly CF'!CZ$36*'Operating Assumptions'!$C$15)*CZ$23,IF('Operating Assumptions'!$G11="Fixed Amount",'Operating Assumptions'!$H11/12*CZ$23,IF('Operating Assumptions'!$G11="$/NSF",'Operating Assumptions'!$H11*'Operating Assumptions'!$D$12/12*CZ$23,IF('Operating Assumptions'!$G11="N/A",0)))))))))))</f>
        <v>12540.000000000002</v>
      </c>
      <c r="DA44" s="436">
        <f>IF(DA$9&lt;'Operating Assumptions'!$D$53,0,IF(DA$6&gt;'Operating Assumptions'!$AA$8,0,IF(AND('Operating Assumptions'!$G11="$/Unit/Annual",DA36='Operating Assumptions'!$D$14),'Operating Assumptions'!$H11*('Monthly CF'!DA$36-'Operating Assumptions'!$D$15)/12*DA$23,IF(AND('Operating Assumptions'!$G11="$/Unit/Annual",DA36&lt;'Operating Assumptions'!$D$14,'Operating Assumptions'!$D$15=0),'Operating Assumptions'!$H11*'Monthly CF'!DA$36/12*DA$23,IF(AND('Operating Assumptions'!$G11="$/Unit/Annual",DA36&lt;'Operating Assumptions'!$D$14,'Operating Assumptions'!$D$15&gt;0),'Operating Assumptions'!$H11*('Monthly CF'!DA$36*'Operating Assumptions'!$C$15)/12*DA$23,IF(AND('Operating Assumptions'!$G11="$/Unit/Month",DA36='Operating Assumptions'!$D$14),'Operating Assumptions'!$H11*('Monthly CF'!DA$36-'Operating Assumptions'!$D$15)*DA$23,IF(AND('Operating Assumptions'!$G11="$/Unit/Month",DA36&lt;'Operating Assumptions'!$D$14,'Operating Assumptions'!$D$15=0),'Operating Assumptions'!$H11*'Monthly CF'!DA$36*DA$23,IF(AND('Operating Assumptions'!$G11="$/Unit/Month",DA36&lt;'Operating Assumptions'!$D$14,'Operating Assumptions'!$D$15&gt;0),'Operating Assumptions'!$H11*('Monthly CF'!DA$36*'Operating Assumptions'!$C$15)*DA$23,IF('Operating Assumptions'!$G11="Fixed Amount",'Operating Assumptions'!$H11/12*DA$23,IF('Operating Assumptions'!$G11="$/NSF",'Operating Assumptions'!$H11*'Operating Assumptions'!$D$12/12*DA$23,IF('Operating Assumptions'!$G11="N/A",0)))))))))))</f>
        <v>12540.000000000002</v>
      </c>
      <c r="DB44" s="436">
        <f>IF(DB$9&lt;'Operating Assumptions'!$D$53,0,IF(DB$6&gt;'Operating Assumptions'!$AA$8,0,IF(AND('Operating Assumptions'!$G11="$/Unit/Annual",DB36='Operating Assumptions'!$D$14),'Operating Assumptions'!$H11*('Monthly CF'!DB$36-'Operating Assumptions'!$D$15)/12*DB$23,IF(AND('Operating Assumptions'!$G11="$/Unit/Annual",DB36&lt;'Operating Assumptions'!$D$14,'Operating Assumptions'!$D$15=0),'Operating Assumptions'!$H11*'Monthly CF'!DB$36/12*DB$23,IF(AND('Operating Assumptions'!$G11="$/Unit/Annual",DB36&lt;'Operating Assumptions'!$D$14,'Operating Assumptions'!$D$15&gt;0),'Operating Assumptions'!$H11*('Monthly CF'!DB$36*'Operating Assumptions'!$C$15)/12*DB$23,IF(AND('Operating Assumptions'!$G11="$/Unit/Month",DB36='Operating Assumptions'!$D$14),'Operating Assumptions'!$H11*('Monthly CF'!DB$36-'Operating Assumptions'!$D$15)*DB$23,IF(AND('Operating Assumptions'!$G11="$/Unit/Month",DB36&lt;'Operating Assumptions'!$D$14,'Operating Assumptions'!$D$15=0),'Operating Assumptions'!$H11*'Monthly CF'!DB$36*DB$23,IF(AND('Operating Assumptions'!$G11="$/Unit/Month",DB36&lt;'Operating Assumptions'!$D$14,'Operating Assumptions'!$D$15&gt;0),'Operating Assumptions'!$H11*('Monthly CF'!DB$36*'Operating Assumptions'!$C$15)*DB$23,IF('Operating Assumptions'!$G11="Fixed Amount",'Operating Assumptions'!$H11/12*DB$23,IF('Operating Assumptions'!$G11="$/NSF",'Operating Assumptions'!$H11*'Operating Assumptions'!$D$12/12*DB$23,IF('Operating Assumptions'!$G11="N/A",0)))))))))))</f>
        <v>12540.000000000002</v>
      </c>
      <c r="DC44" s="436">
        <f>IF(DC$9&lt;'Operating Assumptions'!$D$53,0,IF(DC$6&gt;'Operating Assumptions'!$AA$8,0,IF(AND('Operating Assumptions'!$G11="$/Unit/Annual",DC36='Operating Assumptions'!$D$14),'Operating Assumptions'!$H11*('Monthly CF'!DC$36-'Operating Assumptions'!$D$15)/12*DC$23,IF(AND('Operating Assumptions'!$G11="$/Unit/Annual",DC36&lt;'Operating Assumptions'!$D$14,'Operating Assumptions'!$D$15=0),'Operating Assumptions'!$H11*'Monthly CF'!DC$36/12*DC$23,IF(AND('Operating Assumptions'!$G11="$/Unit/Annual",DC36&lt;'Operating Assumptions'!$D$14,'Operating Assumptions'!$D$15&gt;0),'Operating Assumptions'!$H11*('Monthly CF'!DC$36*'Operating Assumptions'!$C$15)/12*DC$23,IF(AND('Operating Assumptions'!$G11="$/Unit/Month",DC36='Operating Assumptions'!$D$14),'Operating Assumptions'!$H11*('Monthly CF'!DC$36-'Operating Assumptions'!$D$15)*DC$23,IF(AND('Operating Assumptions'!$G11="$/Unit/Month",DC36&lt;'Operating Assumptions'!$D$14,'Operating Assumptions'!$D$15=0),'Operating Assumptions'!$H11*'Monthly CF'!DC$36*DC$23,IF(AND('Operating Assumptions'!$G11="$/Unit/Month",DC36&lt;'Operating Assumptions'!$D$14,'Operating Assumptions'!$D$15&gt;0),'Operating Assumptions'!$H11*('Monthly CF'!DC$36*'Operating Assumptions'!$C$15)*DC$23,IF('Operating Assumptions'!$G11="Fixed Amount",'Operating Assumptions'!$H11/12*DC$23,IF('Operating Assumptions'!$G11="$/NSF",'Operating Assumptions'!$H11*'Operating Assumptions'!$D$12/12*DC$23,IF('Operating Assumptions'!$G11="N/A",0)))))))))))</f>
        <v>12540.000000000002</v>
      </c>
      <c r="DD44" s="436">
        <f>IF(DD$9&lt;'Operating Assumptions'!$D$53,0,IF(DD$6&gt;'Operating Assumptions'!$AA$8,0,IF(AND('Operating Assumptions'!$G11="$/Unit/Annual",DD36='Operating Assumptions'!$D$14),'Operating Assumptions'!$H11*('Monthly CF'!DD$36-'Operating Assumptions'!$D$15)/12*DD$23,IF(AND('Operating Assumptions'!$G11="$/Unit/Annual",DD36&lt;'Operating Assumptions'!$D$14,'Operating Assumptions'!$D$15=0),'Operating Assumptions'!$H11*'Monthly CF'!DD$36/12*DD$23,IF(AND('Operating Assumptions'!$G11="$/Unit/Annual",DD36&lt;'Operating Assumptions'!$D$14,'Operating Assumptions'!$D$15&gt;0),'Operating Assumptions'!$H11*('Monthly CF'!DD$36*'Operating Assumptions'!$C$15)/12*DD$23,IF(AND('Operating Assumptions'!$G11="$/Unit/Month",DD36='Operating Assumptions'!$D$14),'Operating Assumptions'!$H11*('Monthly CF'!DD$36-'Operating Assumptions'!$D$15)*DD$23,IF(AND('Operating Assumptions'!$G11="$/Unit/Month",DD36&lt;'Operating Assumptions'!$D$14,'Operating Assumptions'!$D$15=0),'Operating Assumptions'!$H11*'Monthly CF'!DD$36*DD$23,IF(AND('Operating Assumptions'!$G11="$/Unit/Month",DD36&lt;'Operating Assumptions'!$D$14,'Operating Assumptions'!$D$15&gt;0),'Operating Assumptions'!$H11*('Monthly CF'!DD$36*'Operating Assumptions'!$C$15)*DD$23,IF('Operating Assumptions'!$G11="Fixed Amount",'Operating Assumptions'!$H11/12*DD$23,IF('Operating Assumptions'!$G11="$/NSF",'Operating Assumptions'!$H11*'Operating Assumptions'!$D$12/12*DD$23,IF('Operating Assumptions'!$G11="N/A",0)))))))))))</f>
        <v>12540.000000000002</v>
      </c>
      <c r="DE44" s="436">
        <f>IF(DE$9&lt;'Operating Assumptions'!$D$53,0,IF(DE$6&gt;'Operating Assumptions'!$AA$8,0,IF(AND('Operating Assumptions'!$G11="$/Unit/Annual",DE36='Operating Assumptions'!$D$14),'Operating Assumptions'!$H11*('Monthly CF'!DE$36-'Operating Assumptions'!$D$15)/12*DE$23,IF(AND('Operating Assumptions'!$G11="$/Unit/Annual",DE36&lt;'Operating Assumptions'!$D$14,'Operating Assumptions'!$D$15=0),'Operating Assumptions'!$H11*'Monthly CF'!DE$36/12*DE$23,IF(AND('Operating Assumptions'!$G11="$/Unit/Annual",DE36&lt;'Operating Assumptions'!$D$14,'Operating Assumptions'!$D$15&gt;0),'Operating Assumptions'!$H11*('Monthly CF'!DE$36*'Operating Assumptions'!$C$15)/12*DE$23,IF(AND('Operating Assumptions'!$G11="$/Unit/Month",DE36='Operating Assumptions'!$D$14),'Operating Assumptions'!$H11*('Monthly CF'!DE$36-'Operating Assumptions'!$D$15)*DE$23,IF(AND('Operating Assumptions'!$G11="$/Unit/Month",DE36&lt;'Operating Assumptions'!$D$14,'Operating Assumptions'!$D$15=0),'Operating Assumptions'!$H11*'Monthly CF'!DE$36*DE$23,IF(AND('Operating Assumptions'!$G11="$/Unit/Month",DE36&lt;'Operating Assumptions'!$D$14,'Operating Assumptions'!$D$15&gt;0),'Operating Assumptions'!$H11*('Monthly CF'!DE$36*'Operating Assumptions'!$C$15)*DE$23,IF('Operating Assumptions'!$G11="Fixed Amount",'Operating Assumptions'!$H11/12*DE$23,IF('Operating Assumptions'!$G11="$/NSF",'Operating Assumptions'!$H11*'Operating Assumptions'!$D$12/12*DE$23,IF('Operating Assumptions'!$G11="N/A",0)))))))))))</f>
        <v>12540.000000000002</v>
      </c>
      <c r="DF44" s="436">
        <f>IF(DF$9&lt;'Operating Assumptions'!$D$53,0,IF(DF$6&gt;'Operating Assumptions'!$AA$8,0,IF(AND('Operating Assumptions'!$G11="$/Unit/Annual",DF36='Operating Assumptions'!$D$14),'Operating Assumptions'!$H11*('Monthly CF'!DF$36-'Operating Assumptions'!$D$15)/12*DF$23,IF(AND('Operating Assumptions'!$G11="$/Unit/Annual",DF36&lt;'Operating Assumptions'!$D$14,'Operating Assumptions'!$D$15=0),'Operating Assumptions'!$H11*'Monthly CF'!DF$36/12*DF$23,IF(AND('Operating Assumptions'!$G11="$/Unit/Annual",DF36&lt;'Operating Assumptions'!$D$14,'Operating Assumptions'!$D$15&gt;0),'Operating Assumptions'!$H11*('Monthly CF'!DF$36*'Operating Assumptions'!$C$15)/12*DF$23,IF(AND('Operating Assumptions'!$G11="$/Unit/Month",DF36='Operating Assumptions'!$D$14),'Operating Assumptions'!$H11*('Monthly CF'!DF$36-'Operating Assumptions'!$D$15)*DF$23,IF(AND('Operating Assumptions'!$G11="$/Unit/Month",DF36&lt;'Operating Assumptions'!$D$14,'Operating Assumptions'!$D$15=0),'Operating Assumptions'!$H11*'Monthly CF'!DF$36*DF$23,IF(AND('Operating Assumptions'!$G11="$/Unit/Month",DF36&lt;'Operating Assumptions'!$D$14,'Operating Assumptions'!$D$15&gt;0),'Operating Assumptions'!$H11*('Monthly CF'!DF$36*'Operating Assumptions'!$C$15)*DF$23,IF('Operating Assumptions'!$G11="Fixed Amount",'Operating Assumptions'!$H11/12*DF$23,IF('Operating Assumptions'!$G11="$/NSF",'Operating Assumptions'!$H11*'Operating Assumptions'!$D$12/12*DF$23,IF('Operating Assumptions'!$G11="N/A",0)))))))))))</f>
        <v>12540.000000000002</v>
      </c>
      <c r="DG44" s="436">
        <f>IF(DG$9&lt;'Operating Assumptions'!$D$53,0,IF(DG$6&gt;'Operating Assumptions'!$AA$8,0,IF(AND('Operating Assumptions'!$G11="$/Unit/Annual",DG36='Operating Assumptions'!$D$14),'Operating Assumptions'!$H11*('Monthly CF'!DG$36-'Operating Assumptions'!$D$15)/12*DG$23,IF(AND('Operating Assumptions'!$G11="$/Unit/Annual",DG36&lt;'Operating Assumptions'!$D$14,'Operating Assumptions'!$D$15=0),'Operating Assumptions'!$H11*'Monthly CF'!DG$36/12*DG$23,IF(AND('Operating Assumptions'!$G11="$/Unit/Annual",DG36&lt;'Operating Assumptions'!$D$14,'Operating Assumptions'!$D$15&gt;0),'Operating Assumptions'!$H11*('Monthly CF'!DG$36*'Operating Assumptions'!$C$15)/12*DG$23,IF(AND('Operating Assumptions'!$G11="$/Unit/Month",DG36='Operating Assumptions'!$D$14),'Operating Assumptions'!$H11*('Monthly CF'!DG$36-'Operating Assumptions'!$D$15)*DG$23,IF(AND('Operating Assumptions'!$G11="$/Unit/Month",DG36&lt;'Operating Assumptions'!$D$14,'Operating Assumptions'!$D$15=0),'Operating Assumptions'!$H11*'Monthly CF'!DG$36*DG$23,IF(AND('Operating Assumptions'!$G11="$/Unit/Month",DG36&lt;'Operating Assumptions'!$D$14,'Operating Assumptions'!$D$15&gt;0),'Operating Assumptions'!$H11*('Monthly CF'!DG$36*'Operating Assumptions'!$C$15)*DG$23,IF('Operating Assumptions'!$G11="Fixed Amount",'Operating Assumptions'!$H11/12*DG$23,IF('Operating Assumptions'!$G11="$/NSF",'Operating Assumptions'!$H11*'Operating Assumptions'!$D$12/12*DG$23,IF('Operating Assumptions'!$G11="N/A",0)))))))))))</f>
        <v>12540.000000000002</v>
      </c>
      <c r="DH44" s="436">
        <f>IF(DH$9&lt;'Operating Assumptions'!$D$53,0,IF(DH$6&gt;'Operating Assumptions'!$AA$8,0,IF(AND('Operating Assumptions'!$G11="$/Unit/Annual",DH36='Operating Assumptions'!$D$14),'Operating Assumptions'!$H11*('Monthly CF'!DH$36-'Operating Assumptions'!$D$15)/12*DH$23,IF(AND('Operating Assumptions'!$G11="$/Unit/Annual",DH36&lt;'Operating Assumptions'!$D$14,'Operating Assumptions'!$D$15=0),'Operating Assumptions'!$H11*'Monthly CF'!DH$36/12*DH$23,IF(AND('Operating Assumptions'!$G11="$/Unit/Annual",DH36&lt;'Operating Assumptions'!$D$14,'Operating Assumptions'!$D$15&gt;0),'Operating Assumptions'!$H11*('Monthly CF'!DH$36*'Operating Assumptions'!$C$15)/12*DH$23,IF(AND('Operating Assumptions'!$G11="$/Unit/Month",DH36='Operating Assumptions'!$D$14),'Operating Assumptions'!$H11*('Monthly CF'!DH$36-'Operating Assumptions'!$D$15)*DH$23,IF(AND('Operating Assumptions'!$G11="$/Unit/Month",DH36&lt;'Operating Assumptions'!$D$14,'Operating Assumptions'!$D$15=0),'Operating Assumptions'!$H11*'Monthly CF'!DH$36*DH$23,IF(AND('Operating Assumptions'!$G11="$/Unit/Month",DH36&lt;'Operating Assumptions'!$D$14,'Operating Assumptions'!$D$15&gt;0),'Operating Assumptions'!$H11*('Monthly CF'!DH$36*'Operating Assumptions'!$C$15)*DH$23,IF('Operating Assumptions'!$G11="Fixed Amount",'Operating Assumptions'!$H11/12*DH$23,IF('Operating Assumptions'!$G11="$/NSF",'Operating Assumptions'!$H11*'Operating Assumptions'!$D$12/12*DH$23,IF('Operating Assumptions'!$G11="N/A",0)))))))))))</f>
        <v>12540.000000000002</v>
      </c>
      <c r="DI44" s="436">
        <f>IF(DI$9&lt;'Operating Assumptions'!$D$53,0,IF(DI$6&gt;'Operating Assumptions'!$AA$8,0,IF(AND('Operating Assumptions'!$G11="$/Unit/Annual",DI36='Operating Assumptions'!$D$14),'Operating Assumptions'!$H11*('Monthly CF'!DI$36-'Operating Assumptions'!$D$15)/12*DI$23,IF(AND('Operating Assumptions'!$G11="$/Unit/Annual",DI36&lt;'Operating Assumptions'!$D$14,'Operating Assumptions'!$D$15=0),'Operating Assumptions'!$H11*'Monthly CF'!DI$36/12*DI$23,IF(AND('Operating Assumptions'!$G11="$/Unit/Annual",DI36&lt;'Operating Assumptions'!$D$14,'Operating Assumptions'!$D$15&gt;0),'Operating Assumptions'!$H11*('Monthly CF'!DI$36*'Operating Assumptions'!$C$15)/12*DI$23,IF(AND('Operating Assumptions'!$G11="$/Unit/Month",DI36='Operating Assumptions'!$D$14),'Operating Assumptions'!$H11*('Monthly CF'!DI$36-'Operating Assumptions'!$D$15)*DI$23,IF(AND('Operating Assumptions'!$G11="$/Unit/Month",DI36&lt;'Operating Assumptions'!$D$14,'Operating Assumptions'!$D$15=0),'Operating Assumptions'!$H11*'Monthly CF'!DI$36*DI$23,IF(AND('Operating Assumptions'!$G11="$/Unit/Month",DI36&lt;'Operating Assumptions'!$D$14,'Operating Assumptions'!$D$15&gt;0),'Operating Assumptions'!$H11*('Monthly CF'!DI$36*'Operating Assumptions'!$C$15)*DI$23,IF('Operating Assumptions'!$G11="Fixed Amount",'Operating Assumptions'!$H11/12*DI$23,IF('Operating Assumptions'!$G11="$/NSF",'Operating Assumptions'!$H11*'Operating Assumptions'!$D$12/12*DI$23,IF('Operating Assumptions'!$G11="N/A",0)))))))))))</f>
        <v>12540.000000000002</v>
      </c>
      <c r="DJ44" s="436">
        <f>IF(DJ$9&lt;'Operating Assumptions'!$D$53,0,IF(DJ$6&gt;'Operating Assumptions'!$AA$8,0,IF(AND('Operating Assumptions'!$G11="$/Unit/Annual",DJ36='Operating Assumptions'!$D$14),'Operating Assumptions'!$H11*('Monthly CF'!DJ$36-'Operating Assumptions'!$D$15)/12*DJ$23,IF(AND('Operating Assumptions'!$G11="$/Unit/Annual",DJ36&lt;'Operating Assumptions'!$D$14,'Operating Assumptions'!$D$15=0),'Operating Assumptions'!$H11*'Monthly CF'!DJ$36/12*DJ$23,IF(AND('Operating Assumptions'!$G11="$/Unit/Annual",DJ36&lt;'Operating Assumptions'!$D$14,'Operating Assumptions'!$D$15&gt;0),'Operating Assumptions'!$H11*('Monthly CF'!DJ$36*'Operating Assumptions'!$C$15)/12*DJ$23,IF(AND('Operating Assumptions'!$G11="$/Unit/Month",DJ36='Operating Assumptions'!$D$14),'Operating Assumptions'!$H11*('Monthly CF'!DJ$36-'Operating Assumptions'!$D$15)*DJ$23,IF(AND('Operating Assumptions'!$G11="$/Unit/Month",DJ36&lt;'Operating Assumptions'!$D$14,'Operating Assumptions'!$D$15=0),'Operating Assumptions'!$H11*'Monthly CF'!DJ$36*DJ$23,IF(AND('Operating Assumptions'!$G11="$/Unit/Month",DJ36&lt;'Operating Assumptions'!$D$14,'Operating Assumptions'!$D$15&gt;0),'Operating Assumptions'!$H11*('Monthly CF'!DJ$36*'Operating Assumptions'!$C$15)*DJ$23,IF('Operating Assumptions'!$G11="Fixed Amount",'Operating Assumptions'!$H11/12*DJ$23,IF('Operating Assumptions'!$G11="$/NSF",'Operating Assumptions'!$H11*'Operating Assumptions'!$D$12/12*DJ$23,IF('Operating Assumptions'!$G11="N/A",0)))))))))))</f>
        <v>12540.000000000002</v>
      </c>
      <c r="DK44" s="436">
        <f>IF(DK$9&lt;'Operating Assumptions'!$D$53,0,IF(DK$6&gt;'Operating Assumptions'!$AA$8,0,IF(AND('Operating Assumptions'!$G11="$/Unit/Annual",DK36='Operating Assumptions'!$D$14),'Operating Assumptions'!$H11*('Monthly CF'!DK$36-'Operating Assumptions'!$D$15)/12*DK$23,IF(AND('Operating Assumptions'!$G11="$/Unit/Annual",DK36&lt;'Operating Assumptions'!$D$14,'Operating Assumptions'!$D$15=0),'Operating Assumptions'!$H11*'Monthly CF'!DK$36/12*DK$23,IF(AND('Operating Assumptions'!$G11="$/Unit/Annual",DK36&lt;'Operating Assumptions'!$D$14,'Operating Assumptions'!$D$15&gt;0),'Operating Assumptions'!$H11*('Monthly CF'!DK$36*'Operating Assumptions'!$C$15)/12*DK$23,IF(AND('Operating Assumptions'!$G11="$/Unit/Month",DK36='Operating Assumptions'!$D$14),'Operating Assumptions'!$H11*('Monthly CF'!DK$36-'Operating Assumptions'!$D$15)*DK$23,IF(AND('Operating Assumptions'!$G11="$/Unit/Month",DK36&lt;'Operating Assumptions'!$D$14,'Operating Assumptions'!$D$15=0),'Operating Assumptions'!$H11*'Monthly CF'!DK$36*DK$23,IF(AND('Operating Assumptions'!$G11="$/Unit/Month",DK36&lt;'Operating Assumptions'!$D$14,'Operating Assumptions'!$D$15&gt;0),'Operating Assumptions'!$H11*('Monthly CF'!DK$36*'Operating Assumptions'!$C$15)*DK$23,IF('Operating Assumptions'!$G11="Fixed Amount",'Operating Assumptions'!$H11/12*DK$23,IF('Operating Assumptions'!$G11="$/NSF",'Operating Assumptions'!$H11*'Operating Assumptions'!$D$12/12*DK$23,IF('Operating Assumptions'!$G11="N/A",0)))))))))))</f>
        <v>12540.000000000002</v>
      </c>
      <c r="DL44" s="436">
        <f>IF(DL$9&lt;'Operating Assumptions'!$D$53,0,IF(DL$6&gt;'Operating Assumptions'!$AA$8,0,IF(AND('Operating Assumptions'!$G11="$/Unit/Annual",DL36='Operating Assumptions'!$D$14),'Operating Assumptions'!$H11*('Monthly CF'!DL$36-'Operating Assumptions'!$D$15)/12*DL$23,IF(AND('Operating Assumptions'!$G11="$/Unit/Annual",DL36&lt;'Operating Assumptions'!$D$14,'Operating Assumptions'!$D$15=0),'Operating Assumptions'!$H11*'Monthly CF'!DL$36/12*DL$23,IF(AND('Operating Assumptions'!$G11="$/Unit/Annual",DL36&lt;'Operating Assumptions'!$D$14,'Operating Assumptions'!$D$15&gt;0),'Operating Assumptions'!$H11*('Monthly CF'!DL$36*'Operating Assumptions'!$C$15)/12*DL$23,IF(AND('Operating Assumptions'!$G11="$/Unit/Month",DL36='Operating Assumptions'!$D$14),'Operating Assumptions'!$H11*('Monthly CF'!DL$36-'Operating Assumptions'!$D$15)*DL$23,IF(AND('Operating Assumptions'!$G11="$/Unit/Month",DL36&lt;'Operating Assumptions'!$D$14,'Operating Assumptions'!$D$15=0),'Operating Assumptions'!$H11*'Monthly CF'!DL$36*DL$23,IF(AND('Operating Assumptions'!$G11="$/Unit/Month",DL36&lt;'Operating Assumptions'!$D$14,'Operating Assumptions'!$D$15&gt;0),'Operating Assumptions'!$H11*('Monthly CF'!DL$36*'Operating Assumptions'!$C$15)*DL$23,IF('Operating Assumptions'!$G11="Fixed Amount",'Operating Assumptions'!$H11/12*DL$23,IF('Operating Assumptions'!$G11="$/NSF",'Operating Assumptions'!$H11*'Operating Assumptions'!$D$12/12*DL$23,IF('Operating Assumptions'!$G11="N/A",0)))))))))))</f>
        <v>12760.000000000002</v>
      </c>
      <c r="DM44" s="436">
        <f>IF(DM$9&lt;'Operating Assumptions'!$D$53,0,IF(DM$6&gt;'Operating Assumptions'!$AA$8,0,IF(AND('Operating Assumptions'!$G11="$/Unit/Annual",DM36='Operating Assumptions'!$D$14),'Operating Assumptions'!$H11*('Monthly CF'!DM$36-'Operating Assumptions'!$D$15)/12*DM$23,IF(AND('Operating Assumptions'!$G11="$/Unit/Annual",DM36&lt;'Operating Assumptions'!$D$14,'Operating Assumptions'!$D$15=0),'Operating Assumptions'!$H11*'Monthly CF'!DM$36/12*DM$23,IF(AND('Operating Assumptions'!$G11="$/Unit/Annual",DM36&lt;'Operating Assumptions'!$D$14,'Operating Assumptions'!$D$15&gt;0),'Operating Assumptions'!$H11*('Monthly CF'!DM$36*'Operating Assumptions'!$C$15)/12*DM$23,IF(AND('Operating Assumptions'!$G11="$/Unit/Month",DM36='Operating Assumptions'!$D$14),'Operating Assumptions'!$H11*('Monthly CF'!DM$36-'Operating Assumptions'!$D$15)*DM$23,IF(AND('Operating Assumptions'!$G11="$/Unit/Month",DM36&lt;'Operating Assumptions'!$D$14,'Operating Assumptions'!$D$15=0),'Operating Assumptions'!$H11*'Monthly CF'!DM$36*DM$23,IF(AND('Operating Assumptions'!$G11="$/Unit/Month",DM36&lt;'Operating Assumptions'!$D$14,'Operating Assumptions'!$D$15&gt;0),'Operating Assumptions'!$H11*('Monthly CF'!DM$36*'Operating Assumptions'!$C$15)*DM$23,IF('Operating Assumptions'!$G11="Fixed Amount",'Operating Assumptions'!$H11/12*DM$23,IF('Operating Assumptions'!$G11="$/NSF",'Operating Assumptions'!$H11*'Operating Assumptions'!$D$12/12*DM$23,IF('Operating Assumptions'!$G11="N/A",0)))))))))))</f>
        <v>12760.000000000002</v>
      </c>
      <c r="DN44" s="436">
        <f>IF(DN$9&lt;'Operating Assumptions'!$D$53,0,IF(DN$6&gt;'Operating Assumptions'!$AA$8,0,IF(AND('Operating Assumptions'!$G11="$/Unit/Annual",DN36='Operating Assumptions'!$D$14),'Operating Assumptions'!$H11*('Monthly CF'!DN$36-'Operating Assumptions'!$D$15)/12*DN$23,IF(AND('Operating Assumptions'!$G11="$/Unit/Annual",DN36&lt;'Operating Assumptions'!$D$14,'Operating Assumptions'!$D$15=0),'Operating Assumptions'!$H11*'Monthly CF'!DN$36/12*DN$23,IF(AND('Operating Assumptions'!$G11="$/Unit/Annual",DN36&lt;'Operating Assumptions'!$D$14,'Operating Assumptions'!$D$15&gt;0),'Operating Assumptions'!$H11*('Monthly CF'!DN$36*'Operating Assumptions'!$C$15)/12*DN$23,IF(AND('Operating Assumptions'!$G11="$/Unit/Month",DN36='Operating Assumptions'!$D$14),'Operating Assumptions'!$H11*('Monthly CF'!DN$36-'Operating Assumptions'!$D$15)*DN$23,IF(AND('Operating Assumptions'!$G11="$/Unit/Month",DN36&lt;'Operating Assumptions'!$D$14,'Operating Assumptions'!$D$15=0),'Operating Assumptions'!$H11*'Monthly CF'!DN$36*DN$23,IF(AND('Operating Assumptions'!$G11="$/Unit/Month",DN36&lt;'Operating Assumptions'!$D$14,'Operating Assumptions'!$D$15&gt;0),'Operating Assumptions'!$H11*('Monthly CF'!DN$36*'Operating Assumptions'!$C$15)*DN$23,IF('Operating Assumptions'!$G11="Fixed Amount",'Operating Assumptions'!$H11/12*DN$23,IF('Operating Assumptions'!$G11="$/NSF",'Operating Assumptions'!$H11*'Operating Assumptions'!$D$12/12*DN$23,IF('Operating Assumptions'!$G11="N/A",0)))))))))))</f>
        <v>12760.000000000002</v>
      </c>
      <c r="DO44" s="436">
        <f>IF(DO$9&lt;'Operating Assumptions'!$D$53,0,IF(DO$6&gt;'Operating Assumptions'!$AA$8,0,IF(AND('Operating Assumptions'!$G11="$/Unit/Annual",DO36='Operating Assumptions'!$D$14),'Operating Assumptions'!$H11*('Monthly CF'!DO$36-'Operating Assumptions'!$D$15)/12*DO$23,IF(AND('Operating Assumptions'!$G11="$/Unit/Annual",DO36&lt;'Operating Assumptions'!$D$14,'Operating Assumptions'!$D$15=0),'Operating Assumptions'!$H11*'Monthly CF'!DO$36/12*DO$23,IF(AND('Operating Assumptions'!$G11="$/Unit/Annual",DO36&lt;'Operating Assumptions'!$D$14,'Operating Assumptions'!$D$15&gt;0),'Operating Assumptions'!$H11*('Monthly CF'!DO$36*'Operating Assumptions'!$C$15)/12*DO$23,IF(AND('Operating Assumptions'!$G11="$/Unit/Month",DO36='Operating Assumptions'!$D$14),'Operating Assumptions'!$H11*('Monthly CF'!DO$36-'Operating Assumptions'!$D$15)*DO$23,IF(AND('Operating Assumptions'!$G11="$/Unit/Month",DO36&lt;'Operating Assumptions'!$D$14,'Operating Assumptions'!$D$15=0),'Operating Assumptions'!$H11*'Monthly CF'!DO$36*DO$23,IF(AND('Operating Assumptions'!$G11="$/Unit/Month",DO36&lt;'Operating Assumptions'!$D$14,'Operating Assumptions'!$D$15&gt;0),'Operating Assumptions'!$H11*('Monthly CF'!DO$36*'Operating Assumptions'!$C$15)*DO$23,IF('Operating Assumptions'!$G11="Fixed Amount",'Operating Assumptions'!$H11/12*DO$23,IF('Operating Assumptions'!$G11="$/NSF",'Operating Assumptions'!$H11*'Operating Assumptions'!$D$12/12*DO$23,IF('Operating Assumptions'!$G11="N/A",0)))))))))))</f>
        <v>12760.000000000002</v>
      </c>
      <c r="DP44" s="436">
        <f>IF(DP$9&lt;'Operating Assumptions'!$D$53,0,IF(DP$6&gt;'Operating Assumptions'!$AA$8,0,IF(AND('Operating Assumptions'!$G11="$/Unit/Annual",DP36='Operating Assumptions'!$D$14),'Operating Assumptions'!$H11*('Monthly CF'!DP$36-'Operating Assumptions'!$D$15)/12*DP$23,IF(AND('Operating Assumptions'!$G11="$/Unit/Annual",DP36&lt;'Operating Assumptions'!$D$14,'Operating Assumptions'!$D$15=0),'Operating Assumptions'!$H11*'Monthly CF'!DP$36/12*DP$23,IF(AND('Operating Assumptions'!$G11="$/Unit/Annual",DP36&lt;'Operating Assumptions'!$D$14,'Operating Assumptions'!$D$15&gt;0),'Operating Assumptions'!$H11*('Monthly CF'!DP$36*'Operating Assumptions'!$C$15)/12*DP$23,IF(AND('Operating Assumptions'!$G11="$/Unit/Month",DP36='Operating Assumptions'!$D$14),'Operating Assumptions'!$H11*('Monthly CF'!DP$36-'Operating Assumptions'!$D$15)*DP$23,IF(AND('Operating Assumptions'!$G11="$/Unit/Month",DP36&lt;'Operating Assumptions'!$D$14,'Operating Assumptions'!$D$15=0),'Operating Assumptions'!$H11*'Monthly CF'!DP$36*DP$23,IF(AND('Operating Assumptions'!$G11="$/Unit/Month",DP36&lt;'Operating Assumptions'!$D$14,'Operating Assumptions'!$D$15&gt;0),'Operating Assumptions'!$H11*('Monthly CF'!DP$36*'Operating Assumptions'!$C$15)*DP$23,IF('Operating Assumptions'!$G11="Fixed Amount",'Operating Assumptions'!$H11/12*DP$23,IF('Operating Assumptions'!$G11="$/NSF",'Operating Assumptions'!$H11*'Operating Assumptions'!$D$12/12*DP$23,IF('Operating Assumptions'!$G11="N/A",0)))))))))))</f>
        <v>12760.000000000002</v>
      </c>
      <c r="DQ44" s="436">
        <f>IF(DQ$9&lt;'Operating Assumptions'!$D$53,0,IF(DQ$6&gt;'Operating Assumptions'!$AA$8,0,IF(AND('Operating Assumptions'!$G11="$/Unit/Annual",DQ36='Operating Assumptions'!$D$14),'Operating Assumptions'!$H11*('Monthly CF'!DQ$36-'Operating Assumptions'!$D$15)/12*DQ$23,IF(AND('Operating Assumptions'!$G11="$/Unit/Annual",DQ36&lt;'Operating Assumptions'!$D$14,'Operating Assumptions'!$D$15=0),'Operating Assumptions'!$H11*'Monthly CF'!DQ$36/12*DQ$23,IF(AND('Operating Assumptions'!$G11="$/Unit/Annual",DQ36&lt;'Operating Assumptions'!$D$14,'Operating Assumptions'!$D$15&gt;0),'Operating Assumptions'!$H11*('Monthly CF'!DQ$36*'Operating Assumptions'!$C$15)/12*DQ$23,IF(AND('Operating Assumptions'!$G11="$/Unit/Month",DQ36='Operating Assumptions'!$D$14),'Operating Assumptions'!$H11*('Monthly CF'!DQ$36-'Operating Assumptions'!$D$15)*DQ$23,IF(AND('Operating Assumptions'!$G11="$/Unit/Month",DQ36&lt;'Operating Assumptions'!$D$14,'Operating Assumptions'!$D$15=0),'Operating Assumptions'!$H11*'Monthly CF'!DQ$36*DQ$23,IF(AND('Operating Assumptions'!$G11="$/Unit/Month",DQ36&lt;'Operating Assumptions'!$D$14,'Operating Assumptions'!$D$15&gt;0),'Operating Assumptions'!$H11*('Monthly CF'!DQ$36*'Operating Assumptions'!$C$15)*DQ$23,IF('Operating Assumptions'!$G11="Fixed Amount",'Operating Assumptions'!$H11/12*DQ$23,IF('Operating Assumptions'!$G11="$/NSF",'Operating Assumptions'!$H11*'Operating Assumptions'!$D$12/12*DQ$23,IF('Operating Assumptions'!$G11="N/A",0)))))))))))</f>
        <v>12760.000000000002</v>
      </c>
      <c r="DR44" s="436">
        <f>IF(DR$9&lt;'Operating Assumptions'!$D$53,0,IF(DR$6&gt;'Operating Assumptions'!$AA$8,0,IF(AND('Operating Assumptions'!$G11="$/Unit/Annual",DR36='Operating Assumptions'!$D$14),'Operating Assumptions'!$H11*('Monthly CF'!DR$36-'Operating Assumptions'!$D$15)/12*DR$23,IF(AND('Operating Assumptions'!$G11="$/Unit/Annual",DR36&lt;'Operating Assumptions'!$D$14,'Operating Assumptions'!$D$15=0),'Operating Assumptions'!$H11*'Monthly CF'!DR$36/12*DR$23,IF(AND('Operating Assumptions'!$G11="$/Unit/Annual",DR36&lt;'Operating Assumptions'!$D$14,'Operating Assumptions'!$D$15&gt;0),'Operating Assumptions'!$H11*('Monthly CF'!DR$36*'Operating Assumptions'!$C$15)/12*DR$23,IF(AND('Operating Assumptions'!$G11="$/Unit/Month",DR36='Operating Assumptions'!$D$14),'Operating Assumptions'!$H11*('Monthly CF'!DR$36-'Operating Assumptions'!$D$15)*DR$23,IF(AND('Operating Assumptions'!$G11="$/Unit/Month",DR36&lt;'Operating Assumptions'!$D$14,'Operating Assumptions'!$D$15=0),'Operating Assumptions'!$H11*'Monthly CF'!DR$36*DR$23,IF(AND('Operating Assumptions'!$G11="$/Unit/Month",DR36&lt;'Operating Assumptions'!$D$14,'Operating Assumptions'!$D$15&gt;0),'Operating Assumptions'!$H11*('Monthly CF'!DR$36*'Operating Assumptions'!$C$15)*DR$23,IF('Operating Assumptions'!$G11="Fixed Amount",'Operating Assumptions'!$H11/12*DR$23,IF('Operating Assumptions'!$G11="$/NSF",'Operating Assumptions'!$H11*'Operating Assumptions'!$D$12/12*DR$23,IF('Operating Assumptions'!$G11="N/A",0)))))))))))</f>
        <v>12760.000000000002</v>
      </c>
      <c r="DS44" s="436">
        <f>IF(DS$9&lt;'Operating Assumptions'!$D$53,0,IF(DS$6&gt;'Operating Assumptions'!$AA$8,0,IF(AND('Operating Assumptions'!$G11="$/Unit/Annual",DS36='Operating Assumptions'!$D$14),'Operating Assumptions'!$H11*('Monthly CF'!DS$36-'Operating Assumptions'!$D$15)/12*DS$23,IF(AND('Operating Assumptions'!$G11="$/Unit/Annual",DS36&lt;'Operating Assumptions'!$D$14,'Operating Assumptions'!$D$15=0),'Operating Assumptions'!$H11*'Monthly CF'!DS$36/12*DS$23,IF(AND('Operating Assumptions'!$G11="$/Unit/Annual",DS36&lt;'Operating Assumptions'!$D$14,'Operating Assumptions'!$D$15&gt;0),'Operating Assumptions'!$H11*('Monthly CF'!DS$36*'Operating Assumptions'!$C$15)/12*DS$23,IF(AND('Operating Assumptions'!$G11="$/Unit/Month",DS36='Operating Assumptions'!$D$14),'Operating Assumptions'!$H11*('Monthly CF'!DS$36-'Operating Assumptions'!$D$15)*DS$23,IF(AND('Operating Assumptions'!$G11="$/Unit/Month",DS36&lt;'Operating Assumptions'!$D$14,'Operating Assumptions'!$D$15=0),'Operating Assumptions'!$H11*'Monthly CF'!DS$36*DS$23,IF(AND('Operating Assumptions'!$G11="$/Unit/Month",DS36&lt;'Operating Assumptions'!$D$14,'Operating Assumptions'!$D$15&gt;0),'Operating Assumptions'!$H11*('Monthly CF'!DS$36*'Operating Assumptions'!$C$15)*DS$23,IF('Operating Assumptions'!$G11="Fixed Amount",'Operating Assumptions'!$H11/12*DS$23,IF('Operating Assumptions'!$G11="$/NSF",'Operating Assumptions'!$H11*'Operating Assumptions'!$D$12/12*DS$23,IF('Operating Assumptions'!$G11="N/A",0)))))))))))</f>
        <v>12760.000000000002</v>
      </c>
      <c r="DT44" s="436">
        <f>IF(DT$9&lt;'Operating Assumptions'!$D$53,0,IF(DT$6&gt;'Operating Assumptions'!$AA$8,0,IF(AND('Operating Assumptions'!$G11="$/Unit/Annual",DT36='Operating Assumptions'!$D$14),'Operating Assumptions'!$H11*('Monthly CF'!DT$36-'Operating Assumptions'!$D$15)/12*DT$23,IF(AND('Operating Assumptions'!$G11="$/Unit/Annual",DT36&lt;'Operating Assumptions'!$D$14,'Operating Assumptions'!$D$15=0),'Operating Assumptions'!$H11*'Monthly CF'!DT$36/12*DT$23,IF(AND('Operating Assumptions'!$G11="$/Unit/Annual",DT36&lt;'Operating Assumptions'!$D$14,'Operating Assumptions'!$D$15&gt;0),'Operating Assumptions'!$H11*('Monthly CF'!DT$36*'Operating Assumptions'!$C$15)/12*DT$23,IF(AND('Operating Assumptions'!$G11="$/Unit/Month",DT36='Operating Assumptions'!$D$14),'Operating Assumptions'!$H11*('Monthly CF'!DT$36-'Operating Assumptions'!$D$15)*DT$23,IF(AND('Operating Assumptions'!$G11="$/Unit/Month",DT36&lt;'Operating Assumptions'!$D$14,'Operating Assumptions'!$D$15=0),'Operating Assumptions'!$H11*'Monthly CF'!DT$36*DT$23,IF(AND('Operating Assumptions'!$G11="$/Unit/Month",DT36&lt;'Operating Assumptions'!$D$14,'Operating Assumptions'!$D$15&gt;0),'Operating Assumptions'!$H11*('Monthly CF'!DT$36*'Operating Assumptions'!$C$15)*DT$23,IF('Operating Assumptions'!$G11="Fixed Amount",'Operating Assumptions'!$H11/12*DT$23,IF('Operating Assumptions'!$G11="$/NSF",'Operating Assumptions'!$H11*'Operating Assumptions'!$D$12/12*DT$23,IF('Operating Assumptions'!$G11="N/A",0)))))))))))</f>
        <v>12760.000000000002</v>
      </c>
      <c r="DU44" s="436">
        <f>IF(DU$9&lt;'Operating Assumptions'!$D$53,0,IF(DU$6&gt;'Operating Assumptions'!$AA$8,0,IF(AND('Operating Assumptions'!$G11="$/Unit/Annual",DU36='Operating Assumptions'!$D$14),'Operating Assumptions'!$H11*('Monthly CF'!DU$36-'Operating Assumptions'!$D$15)/12*DU$23,IF(AND('Operating Assumptions'!$G11="$/Unit/Annual",DU36&lt;'Operating Assumptions'!$D$14,'Operating Assumptions'!$D$15=0),'Operating Assumptions'!$H11*'Monthly CF'!DU$36/12*DU$23,IF(AND('Operating Assumptions'!$G11="$/Unit/Annual",DU36&lt;'Operating Assumptions'!$D$14,'Operating Assumptions'!$D$15&gt;0),'Operating Assumptions'!$H11*('Monthly CF'!DU$36*'Operating Assumptions'!$C$15)/12*DU$23,IF(AND('Operating Assumptions'!$G11="$/Unit/Month",DU36='Operating Assumptions'!$D$14),'Operating Assumptions'!$H11*('Monthly CF'!DU$36-'Operating Assumptions'!$D$15)*DU$23,IF(AND('Operating Assumptions'!$G11="$/Unit/Month",DU36&lt;'Operating Assumptions'!$D$14,'Operating Assumptions'!$D$15=0),'Operating Assumptions'!$H11*'Monthly CF'!DU$36*DU$23,IF(AND('Operating Assumptions'!$G11="$/Unit/Month",DU36&lt;'Operating Assumptions'!$D$14,'Operating Assumptions'!$D$15&gt;0),'Operating Assumptions'!$H11*('Monthly CF'!DU$36*'Operating Assumptions'!$C$15)*DU$23,IF('Operating Assumptions'!$G11="Fixed Amount",'Operating Assumptions'!$H11/12*DU$23,IF('Operating Assumptions'!$G11="$/NSF",'Operating Assumptions'!$H11*'Operating Assumptions'!$D$12/12*DU$23,IF('Operating Assumptions'!$G11="N/A",0)))))))))))</f>
        <v>12760.000000000002</v>
      </c>
      <c r="DV44" s="436">
        <f>IF(DV$9&lt;'Operating Assumptions'!$D$53,0,IF(DV$6&gt;'Operating Assumptions'!$AA$8,0,IF(AND('Operating Assumptions'!$G11="$/Unit/Annual",DV36='Operating Assumptions'!$D$14),'Operating Assumptions'!$H11*('Monthly CF'!DV$36-'Operating Assumptions'!$D$15)/12*DV$23,IF(AND('Operating Assumptions'!$G11="$/Unit/Annual",DV36&lt;'Operating Assumptions'!$D$14,'Operating Assumptions'!$D$15=0),'Operating Assumptions'!$H11*'Monthly CF'!DV$36/12*DV$23,IF(AND('Operating Assumptions'!$G11="$/Unit/Annual",DV36&lt;'Operating Assumptions'!$D$14,'Operating Assumptions'!$D$15&gt;0),'Operating Assumptions'!$H11*('Monthly CF'!DV$36*'Operating Assumptions'!$C$15)/12*DV$23,IF(AND('Operating Assumptions'!$G11="$/Unit/Month",DV36='Operating Assumptions'!$D$14),'Operating Assumptions'!$H11*('Monthly CF'!DV$36-'Operating Assumptions'!$D$15)*DV$23,IF(AND('Operating Assumptions'!$G11="$/Unit/Month",DV36&lt;'Operating Assumptions'!$D$14,'Operating Assumptions'!$D$15=0),'Operating Assumptions'!$H11*'Monthly CF'!DV$36*DV$23,IF(AND('Operating Assumptions'!$G11="$/Unit/Month",DV36&lt;'Operating Assumptions'!$D$14,'Operating Assumptions'!$D$15&gt;0),'Operating Assumptions'!$H11*('Monthly CF'!DV$36*'Operating Assumptions'!$C$15)*DV$23,IF('Operating Assumptions'!$G11="Fixed Amount",'Operating Assumptions'!$H11/12*DV$23,IF('Operating Assumptions'!$G11="$/NSF",'Operating Assumptions'!$H11*'Operating Assumptions'!$D$12/12*DV$23,IF('Operating Assumptions'!$G11="N/A",0)))))))))))</f>
        <v>12760.000000000002</v>
      </c>
      <c r="DW44" s="436">
        <f>IF(DW$9&lt;'Operating Assumptions'!$D$53,0,IF(DW$6&gt;'Operating Assumptions'!$AA$8,0,IF(AND('Operating Assumptions'!$G11="$/Unit/Annual",DW36='Operating Assumptions'!$D$14),'Operating Assumptions'!$H11*('Monthly CF'!DW$36-'Operating Assumptions'!$D$15)/12*DW$23,IF(AND('Operating Assumptions'!$G11="$/Unit/Annual",DW36&lt;'Operating Assumptions'!$D$14,'Operating Assumptions'!$D$15=0),'Operating Assumptions'!$H11*'Monthly CF'!DW$36/12*DW$23,IF(AND('Operating Assumptions'!$G11="$/Unit/Annual",DW36&lt;'Operating Assumptions'!$D$14,'Operating Assumptions'!$D$15&gt;0),'Operating Assumptions'!$H11*('Monthly CF'!DW$36*'Operating Assumptions'!$C$15)/12*DW$23,IF(AND('Operating Assumptions'!$G11="$/Unit/Month",DW36='Operating Assumptions'!$D$14),'Operating Assumptions'!$H11*('Monthly CF'!DW$36-'Operating Assumptions'!$D$15)*DW$23,IF(AND('Operating Assumptions'!$G11="$/Unit/Month",DW36&lt;'Operating Assumptions'!$D$14,'Operating Assumptions'!$D$15=0),'Operating Assumptions'!$H11*'Monthly CF'!DW$36*DW$23,IF(AND('Operating Assumptions'!$G11="$/Unit/Month",DW36&lt;'Operating Assumptions'!$D$14,'Operating Assumptions'!$D$15&gt;0),'Operating Assumptions'!$H11*('Monthly CF'!DW$36*'Operating Assumptions'!$C$15)*DW$23,IF('Operating Assumptions'!$G11="Fixed Amount",'Operating Assumptions'!$H11/12*DW$23,IF('Operating Assumptions'!$G11="$/NSF",'Operating Assumptions'!$H11*'Operating Assumptions'!$D$12/12*DW$23,IF('Operating Assumptions'!$G11="N/A",0)))))))))))</f>
        <v>12760.000000000002</v>
      </c>
      <c r="DX44" s="436">
        <f>IF(DX$9&lt;'Operating Assumptions'!$D$53,0,IF(DX$6&gt;'Operating Assumptions'!$AA$8,0,IF(AND('Operating Assumptions'!$G11="$/Unit/Annual",DX36='Operating Assumptions'!$D$14),'Operating Assumptions'!$H11*('Monthly CF'!DX$36-'Operating Assumptions'!$D$15)/12*DX$23,IF(AND('Operating Assumptions'!$G11="$/Unit/Annual",DX36&lt;'Operating Assumptions'!$D$14,'Operating Assumptions'!$D$15=0),'Operating Assumptions'!$H11*'Monthly CF'!DX$36/12*DX$23,IF(AND('Operating Assumptions'!$G11="$/Unit/Annual",DX36&lt;'Operating Assumptions'!$D$14,'Operating Assumptions'!$D$15&gt;0),'Operating Assumptions'!$H11*('Monthly CF'!DX$36*'Operating Assumptions'!$C$15)/12*DX$23,IF(AND('Operating Assumptions'!$G11="$/Unit/Month",DX36='Operating Assumptions'!$D$14),'Operating Assumptions'!$H11*('Monthly CF'!DX$36-'Operating Assumptions'!$D$15)*DX$23,IF(AND('Operating Assumptions'!$G11="$/Unit/Month",DX36&lt;'Operating Assumptions'!$D$14,'Operating Assumptions'!$D$15=0),'Operating Assumptions'!$H11*'Monthly CF'!DX$36*DX$23,IF(AND('Operating Assumptions'!$G11="$/Unit/Month",DX36&lt;'Operating Assumptions'!$D$14,'Operating Assumptions'!$D$15&gt;0),'Operating Assumptions'!$H11*('Monthly CF'!DX$36*'Operating Assumptions'!$C$15)*DX$23,IF('Operating Assumptions'!$G11="Fixed Amount",'Operating Assumptions'!$H11/12*DX$23,IF('Operating Assumptions'!$G11="$/NSF",'Operating Assumptions'!$H11*'Operating Assumptions'!$D$12/12*DX$23,IF('Operating Assumptions'!$G11="N/A",0)))))))))))</f>
        <v>12980.000000000002</v>
      </c>
      <c r="DY44" s="436">
        <f>IF(DY$9&lt;'Operating Assumptions'!$D$53,0,IF(DY$6&gt;'Operating Assumptions'!$AA$8,0,IF(AND('Operating Assumptions'!$G11="$/Unit/Annual",DY36='Operating Assumptions'!$D$14),'Operating Assumptions'!$H11*('Monthly CF'!DY$36-'Operating Assumptions'!$D$15)/12*DY$23,IF(AND('Operating Assumptions'!$G11="$/Unit/Annual",DY36&lt;'Operating Assumptions'!$D$14,'Operating Assumptions'!$D$15=0),'Operating Assumptions'!$H11*'Monthly CF'!DY$36/12*DY$23,IF(AND('Operating Assumptions'!$G11="$/Unit/Annual",DY36&lt;'Operating Assumptions'!$D$14,'Operating Assumptions'!$D$15&gt;0),'Operating Assumptions'!$H11*('Monthly CF'!DY$36*'Operating Assumptions'!$C$15)/12*DY$23,IF(AND('Operating Assumptions'!$G11="$/Unit/Month",DY36='Operating Assumptions'!$D$14),'Operating Assumptions'!$H11*('Monthly CF'!DY$36-'Operating Assumptions'!$D$15)*DY$23,IF(AND('Operating Assumptions'!$G11="$/Unit/Month",DY36&lt;'Operating Assumptions'!$D$14,'Operating Assumptions'!$D$15=0),'Operating Assumptions'!$H11*'Monthly CF'!DY$36*DY$23,IF(AND('Operating Assumptions'!$G11="$/Unit/Month",DY36&lt;'Operating Assumptions'!$D$14,'Operating Assumptions'!$D$15&gt;0),'Operating Assumptions'!$H11*('Monthly CF'!DY$36*'Operating Assumptions'!$C$15)*DY$23,IF('Operating Assumptions'!$G11="Fixed Amount",'Operating Assumptions'!$H11/12*DY$23,IF('Operating Assumptions'!$G11="$/NSF",'Operating Assumptions'!$H11*'Operating Assumptions'!$D$12/12*DY$23,IF('Operating Assumptions'!$G11="N/A",0)))))))))))</f>
        <v>12980.000000000002</v>
      </c>
      <c r="DZ44" s="436">
        <f>IF(DZ$9&lt;'Operating Assumptions'!$D$53,0,IF(DZ$6&gt;'Operating Assumptions'!$AA$8,0,IF(AND('Operating Assumptions'!$G11="$/Unit/Annual",DZ36='Operating Assumptions'!$D$14),'Operating Assumptions'!$H11*('Monthly CF'!DZ$36-'Operating Assumptions'!$D$15)/12*DZ$23,IF(AND('Operating Assumptions'!$G11="$/Unit/Annual",DZ36&lt;'Operating Assumptions'!$D$14,'Operating Assumptions'!$D$15=0),'Operating Assumptions'!$H11*'Monthly CF'!DZ$36/12*DZ$23,IF(AND('Operating Assumptions'!$G11="$/Unit/Annual",DZ36&lt;'Operating Assumptions'!$D$14,'Operating Assumptions'!$D$15&gt;0),'Operating Assumptions'!$H11*('Monthly CF'!DZ$36*'Operating Assumptions'!$C$15)/12*DZ$23,IF(AND('Operating Assumptions'!$G11="$/Unit/Month",DZ36='Operating Assumptions'!$D$14),'Operating Assumptions'!$H11*('Monthly CF'!DZ$36-'Operating Assumptions'!$D$15)*DZ$23,IF(AND('Operating Assumptions'!$G11="$/Unit/Month",DZ36&lt;'Operating Assumptions'!$D$14,'Operating Assumptions'!$D$15=0),'Operating Assumptions'!$H11*'Monthly CF'!DZ$36*DZ$23,IF(AND('Operating Assumptions'!$G11="$/Unit/Month",DZ36&lt;'Operating Assumptions'!$D$14,'Operating Assumptions'!$D$15&gt;0),'Operating Assumptions'!$H11*('Monthly CF'!DZ$36*'Operating Assumptions'!$C$15)*DZ$23,IF('Operating Assumptions'!$G11="Fixed Amount",'Operating Assumptions'!$H11/12*DZ$23,IF('Operating Assumptions'!$G11="$/NSF",'Operating Assumptions'!$H11*'Operating Assumptions'!$D$12/12*DZ$23,IF('Operating Assumptions'!$G11="N/A",0)))))))))))</f>
        <v>12980.000000000002</v>
      </c>
      <c r="EA44" s="436">
        <f>IF(EA$9&lt;'Operating Assumptions'!$D$53,0,IF(EA$6&gt;'Operating Assumptions'!$AA$8,0,IF(AND('Operating Assumptions'!$G11="$/Unit/Annual",EA36='Operating Assumptions'!$D$14),'Operating Assumptions'!$H11*('Monthly CF'!EA$36-'Operating Assumptions'!$D$15)/12*EA$23,IF(AND('Operating Assumptions'!$G11="$/Unit/Annual",EA36&lt;'Operating Assumptions'!$D$14,'Operating Assumptions'!$D$15=0),'Operating Assumptions'!$H11*'Monthly CF'!EA$36/12*EA$23,IF(AND('Operating Assumptions'!$G11="$/Unit/Annual",EA36&lt;'Operating Assumptions'!$D$14,'Operating Assumptions'!$D$15&gt;0),'Operating Assumptions'!$H11*('Monthly CF'!EA$36*'Operating Assumptions'!$C$15)/12*EA$23,IF(AND('Operating Assumptions'!$G11="$/Unit/Month",EA36='Operating Assumptions'!$D$14),'Operating Assumptions'!$H11*('Monthly CF'!EA$36-'Operating Assumptions'!$D$15)*EA$23,IF(AND('Operating Assumptions'!$G11="$/Unit/Month",EA36&lt;'Operating Assumptions'!$D$14,'Operating Assumptions'!$D$15=0),'Operating Assumptions'!$H11*'Monthly CF'!EA$36*EA$23,IF(AND('Operating Assumptions'!$G11="$/Unit/Month",EA36&lt;'Operating Assumptions'!$D$14,'Operating Assumptions'!$D$15&gt;0),'Operating Assumptions'!$H11*('Monthly CF'!EA$36*'Operating Assumptions'!$C$15)*EA$23,IF('Operating Assumptions'!$G11="Fixed Amount",'Operating Assumptions'!$H11/12*EA$23,IF('Operating Assumptions'!$G11="$/NSF",'Operating Assumptions'!$H11*'Operating Assumptions'!$D$12/12*EA$23,IF('Operating Assumptions'!$G11="N/A",0)))))))))))</f>
        <v>12980.000000000002</v>
      </c>
      <c r="EB44" s="436">
        <f>IF(EB$9&lt;'Operating Assumptions'!$D$53,0,IF(EB$6&gt;'Operating Assumptions'!$AA$8,0,IF(AND('Operating Assumptions'!$G11="$/Unit/Annual",EB36='Operating Assumptions'!$D$14),'Operating Assumptions'!$H11*('Monthly CF'!EB$36-'Operating Assumptions'!$D$15)/12*EB$23,IF(AND('Operating Assumptions'!$G11="$/Unit/Annual",EB36&lt;'Operating Assumptions'!$D$14,'Operating Assumptions'!$D$15=0),'Operating Assumptions'!$H11*'Monthly CF'!EB$36/12*EB$23,IF(AND('Operating Assumptions'!$G11="$/Unit/Annual",EB36&lt;'Operating Assumptions'!$D$14,'Operating Assumptions'!$D$15&gt;0),'Operating Assumptions'!$H11*('Monthly CF'!EB$36*'Operating Assumptions'!$C$15)/12*EB$23,IF(AND('Operating Assumptions'!$G11="$/Unit/Month",EB36='Operating Assumptions'!$D$14),'Operating Assumptions'!$H11*('Monthly CF'!EB$36-'Operating Assumptions'!$D$15)*EB$23,IF(AND('Operating Assumptions'!$G11="$/Unit/Month",EB36&lt;'Operating Assumptions'!$D$14,'Operating Assumptions'!$D$15=0),'Operating Assumptions'!$H11*'Monthly CF'!EB$36*EB$23,IF(AND('Operating Assumptions'!$G11="$/Unit/Month",EB36&lt;'Operating Assumptions'!$D$14,'Operating Assumptions'!$D$15&gt;0),'Operating Assumptions'!$H11*('Monthly CF'!EB$36*'Operating Assumptions'!$C$15)*EB$23,IF('Operating Assumptions'!$G11="Fixed Amount",'Operating Assumptions'!$H11/12*EB$23,IF('Operating Assumptions'!$G11="$/NSF",'Operating Assumptions'!$H11*'Operating Assumptions'!$D$12/12*EB$23,IF('Operating Assumptions'!$G11="N/A",0)))))))))))</f>
        <v>12980.000000000002</v>
      </c>
      <c r="EC44" s="436">
        <f>IF(EC$9&lt;'Operating Assumptions'!$D$53,0,IF(EC$6&gt;'Operating Assumptions'!$AA$8,0,IF(AND('Operating Assumptions'!$G11="$/Unit/Annual",EC36='Operating Assumptions'!$D$14),'Operating Assumptions'!$H11*('Monthly CF'!EC$36-'Operating Assumptions'!$D$15)/12*EC$23,IF(AND('Operating Assumptions'!$G11="$/Unit/Annual",EC36&lt;'Operating Assumptions'!$D$14,'Operating Assumptions'!$D$15=0),'Operating Assumptions'!$H11*'Monthly CF'!EC$36/12*EC$23,IF(AND('Operating Assumptions'!$G11="$/Unit/Annual",EC36&lt;'Operating Assumptions'!$D$14,'Operating Assumptions'!$D$15&gt;0),'Operating Assumptions'!$H11*('Monthly CF'!EC$36*'Operating Assumptions'!$C$15)/12*EC$23,IF(AND('Operating Assumptions'!$G11="$/Unit/Month",EC36='Operating Assumptions'!$D$14),'Operating Assumptions'!$H11*('Monthly CF'!EC$36-'Operating Assumptions'!$D$15)*EC$23,IF(AND('Operating Assumptions'!$G11="$/Unit/Month",EC36&lt;'Operating Assumptions'!$D$14,'Operating Assumptions'!$D$15=0),'Operating Assumptions'!$H11*'Monthly CF'!EC$36*EC$23,IF(AND('Operating Assumptions'!$G11="$/Unit/Month",EC36&lt;'Operating Assumptions'!$D$14,'Operating Assumptions'!$D$15&gt;0),'Operating Assumptions'!$H11*('Monthly CF'!EC$36*'Operating Assumptions'!$C$15)*EC$23,IF('Operating Assumptions'!$G11="Fixed Amount",'Operating Assumptions'!$H11/12*EC$23,IF('Operating Assumptions'!$G11="$/NSF",'Operating Assumptions'!$H11*'Operating Assumptions'!$D$12/12*EC$23,IF('Operating Assumptions'!$G11="N/A",0)))))))))))</f>
        <v>12980.000000000002</v>
      </c>
      <c r="ED44" s="436">
        <f>IF(ED$9&lt;'Operating Assumptions'!$D$53,0,IF(ED$6&gt;'Operating Assumptions'!$AA$8,0,IF(AND('Operating Assumptions'!$G11="$/Unit/Annual",ED36='Operating Assumptions'!$D$14),'Operating Assumptions'!$H11*('Monthly CF'!ED$36-'Operating Assumptions'!$D$15)/12*ED$23,IF(AND('Operating Assumptions'!$G11="$/Unit/Annual",ED36&lt;'Operating Assumptions'!$D$14,'Operating Assumptions'!$D$15=0),'Operating Assumptions'!$H11*'Monthly CF'!ED$36/12*ED$23,IF(AND('Operating Assumptions'!$G11="$/Unit/Annual",ED36&lt;'Operating Assumptions'!$D$14,'Operating Assumptions'!$D$15&gt;0),'Operating Assumptions'!$H11*('Monthly CF'!ED$36*'Operating Assumptions'!$C$15)/12*ED$23,IF(AND('Operating Assumptions'!$G11="$/Unit/Month",ED36='Operating Assumptions'!$D$14),'Operating Assumptions'!$H11*('Monthly CF'!ED$36-'Operating Assumptions'!$D$15)*ED$23,IF(AND('Operating Assumptions'!$G11="$/Unit/Month",ED36&lt;'Operating Assumptions'!$D$14,'Operating Assumptions'!$D$15=0),'Operating Assumptions'!$H11*'Monthly CF'!ED$36*ED$23,IF(AND('Operating Assumptions'!$G11="$/Unit/Month",ED36&lt;'Operating Assumptions'!$D$14,'Operating Assumptions'!$D$15&gt;0),'Operating Assumptions'!$H11*('Monthly CF'!ED$36*'Operating Assumptions'!$C$15)*ED$23,IF('Operating Assumptions'!$G11="Fixed Amount",'Operating Assumptions'!$H11/12*ED$23,IF('Operating Assumptions'!$G11="$/NSF",'Operating Assumptions'!$H11*'Operating Assumptions'!$D$12/12*ED$23,IF('Operating Assumptions'!$G11="N/A",0)))))))))))</f>
        <v>12980.000000000002</v>
      </c>
      <c r="EE44" s="436">
        <f>IF(EE$9&lt;'Operating Assumptions'!$D$53,0,IF(EE$6&gt;'Operating Assumptions'!$AA$8,0,IF(AND('Operating Assumptions'!$G11="$/Unit/Annual",EE36='Operating Assumptions'!$D$14),'Operating Assumptions'!$H11*('Monthly CF'!EE$36-'Operating Assumptions'!$D$15)/12*EE$23,IF(AND('Operating Assumptions'!$G11="$/Unit/Annual",EE36&lt;'Operating Assumptions'!$D$14,'Operating Assumptions'!$D$15=0),'Operating Assumptions'!$H11*'Monthly CF'!EE$36/12*EE$23,IF(AND('Operating Assumptions'!$G11="$/Unit/Annual",EE36&lt;'Operating Assumptions'!$D$14,'Operating Assumptions'!$D$15&gt;0),'Operating Assumptions'!$H11*('Monthly CF'!EE$36*'Operating Assumptions'!$C$15)/12*EE$23,IF(AND('Operating Assumptions'!$G11="$/Unit/Month",EE36='Operating Assumptions'!$D$14),'Operating Assumptions'!$H11*('Monthly CF'!EE$36-'Operating Assumptions'!$D$15)*EE$23,IF(AND('Operating Assumptions'!$G11="$/Unit/Month",EE36&lt;'Operating Assumptions'!$D$14,'Operating Assumptions'!$D$15=0),'Operating Assumptions'!$H11*'Monthly CF'!EE$36*EE$23,IF(AND('Operating Assumptions'!$G11="$/Unit/Month",EE36&lt;'Operating Assumptions'!$D$14,'Operating Assumptions'!$D$15&gt;0),'Operating Assumptions'!$H11*('Monthly CF'!EE$36*'Operating Assumptions'!$C$15)*EE$23,IF('Operating Assumptions'!$G11="Fixed Amount",'Operating Assumptions'!$H11/12*EE$23,IF('Operating Assumptions'!$G11="$/NSF",'Operating Assumptions'!$H11*'Operating Assumptions'!$D$12/12*EE$23,IF('Operating Assumptions'!$G11="N/A",0)))))))))))</f>
        <v>12980.000000000002</v>
      </c>
      <c r="EF44" s="436">
        <f>IF(EF$9&lt;'Operating Assumptions'!$D$53,0,IF(EF$6&gt;'Operating Assumptions'!$AA$8,0,IF(AND('Operating Assumptions'!$G11="$/Unit/Annual",EF36='Operating Assumptions'!$D$14),'Operating Assumptions'!$H11*('Monthly CF'!EF$36-'Operating Assumptions'!$D$15)/12*EF$23,IF(AND('Operating Assumptions'!$G11="$/Unit/Annual",EF36&lt;'Operating Assumptions'!$D$14,'Operating Assumptions'!$D$15=0),'Operating Assumptions'!$H11*'Monthly CF'!EF$36/12*EF$23,IF(AND('Operating Assumptions'!$G11="$/Unit/Annual",EF36&lt;'Operating Assumptions'!$D$14,'Operating Assumptions'!$D$15&gt;0),'Operating Assumptions'!$H11*('Monthly CF'!EF$36*'Operating Assumptions'!$C$15)/12*EF$23,IF(AND('Operating Assumptions'!$G11="$/Unit/Month",EF36='Operating Assumptions'!$D$14),'Operating Assumptions'!$H11*('Monthly CF'!EF$36-'Operating Assumptions'!$D$15)*EF$23,IF(AND('Operating Assumptions'!$G11="$/Unit/Month",EF36&lt;'Operating Assumptions'!$D$14,'Operating Assumptions'!$D$15=0),'Operating Assumptions'!$H11*'Monthly CF'!EF$36*EF$23,IF(AND('Operating Assumptions'!$G11="$/Unit/Month",EF36&lt;'Operating Assumptions'!$D$14,'Operating Assumptions'!$D$15&gt;0),'Operating Assumptions'!$H11*('Monthly CF'!EF$36*'Operating Assumptions'!$C$15)*EF$23,IF('Operating Assumptions'!$G11="Fixed Amount",'Operating Assumptions'!$H11/12*EF$23,IF('Operating Assumptions'!$G11="$/NSF",'Operating Assumptions'!$H11*'Operating Assumptions'!$D$12/12*EF$23,IF('Operating Assumptions'!$G11="N/A",0)))))))))))</f>
        <v>12980.000000000002</v>
      </c>
      <c r="EG44" s="436">
        <f>IF(EG$9&lt;'Operating Assumptions'!$D$53,0,IF(EG$6&gt;'Operating Assumptions'!$AA$8,0,IF(AND('Operating Assumptions'!$G11="$/Unit/Annual",EG36='Operating Assumptions'!$D$14),'Operating Assumptions'!$H11*('Monthly CF'!EG$36-'Operating Assumptions'!$D$15)/12*EG$23,IF(AND('Operating Assumptions'!$G11="$/Unit/Annual",EG36&lt;'Operating Assumptions'!$D$14,'Operating Assumptions'!$D$15=0),'Operating Assumptions'!$H11*'Monthly CF'!EG$36/12*EG$23,IF(AND('Operating Assumptions'!$G11="$/Unit/Annual",EG36&lt;'Operating Assumptions'!$D$14,'Operating Assumptions'!$D$15&gt;0),'Operating Assumptions'!$H11*('Monthly CF'!EG$36*'Operating Assumptions'!$C$15)/12*EG$23,IF(AND('Operating Assumptions'!$G11="$/Unit/Month",EG36='Operating Assumptions'!$D$14),'Operating Assumptions'!$H11*('Monthly CF'!EG$36-'Operating Assumptions'!$D$15)*EG$23,IF(AND('Operating Assumptions'!$G11="$/Unit/Month",EG36&lt;'Operating Assumptions'!$D$14,'Operating Assumptions'!$D$15=0),'Operating Assumptions'!$H11*'Monthly CF'!EG$36*EG$23,IF(AND('Operating Assumptions'!$G11="$/Unit/Month",EG36&lt;'Operating Assumptions'!$D$14,'Operating Assumptions'!$D$15&gt;0),'Operating Assumptions'!$H11*('Monthly CF'!EG$36*'Operating Assumptions'!$C$15)*EG$23,IF('Operating Assumptions'!$G11="Fixed Amount",'Operating Assumptions'!$H11/12*EG$23,IF('Operating Assumptions'!$G11="$/NSF",'Operating Assumptions'!$H11*'Operating Assumptions'!$D$12/12*EG$23,IF('Operating Assumptions'!$G11="N/A",0)))))))))))</f>
        <v>12980.000000000002</v>
      </c>
      <c r="EH44" s="436">
        <f>IF(EH$9&lt;'Operating Assumptions'!$D$53,0,IF(EH$6&gt;'Operating Assumptions'!$AA$8,0,IF(AND('Operating Assumptions'!$G11="$/Unit/Annual",EH36='Operating Assumptions'!$D$14),'Operating Assumptions'!$H11*('Monthly CF'!EH$36-'Operating Assumptions'!$D$15)/12*EH$23,IF(AND('Operating Assumptions'!$G11="$/Unit/Annual",EH36&lt;'Operating Assumptions'!$D$14,'Operating Assumptions'!$D$15=0),'Operating Assumptions'!$H11*'Monthly CF'!EH$36/12*EH$23,IF(AND('Operating Assumptions'!$G11="$/Unit/Annual",EH36&lt;'Operating Assumptions'!$D$14,'Operating Assumptions'!$D$15&gt;0),'Operating Assumptions'!$H11*('Monthly CF'!EH$36*'Operating Assumptions'!$C$15)/12*EH$23,IF(AND('Operating Assumptions'!$G11="$/Unit/Month",EH36='Operating Assumptions'!$D$14),'Operating Assumptions'!$H11*('Monthly CF'!EH$36-'Operating Assumptions'!$D$15)*EH$23,IF(AND('Operating Assumptions'!$G11="$/Unit/Month",EH36&lt;'Operating Assumptions'!$D$14,'Operating Assumptions'!$D$15=0),'Operating Assumptions'!$H11*'Monthly CF'!EH$36*EH$23,IF(AND('Operating Assumptions'!$G11="$/Unit/Month",EH36&lt;'Operating Assumptions'!$D$14,'Operating Assumptions'!$D$15&gt;0),'Operating Assumptions'!$H11*('Monthly CF'!EH$36*'Operating Assumptions'!$C$15)*EH$23,IF('Operating Assumptions'!$G11="Fixed Amount",'Operating Assumptions'!$H11/12*EH$23,IF('Operating Assumptions'!$G11="$/NSF",'Operating Assumptions'!$H11*'Operating Assumptions'!$D$12/12*EH$23,IF('Operating Assumptions'!$G11="N/A",0)))))))))))</f>
        <v>12980.000000000002</v>
      </c>
      <c r="EI44" s="436">
        <f>IF(EI$9&lt;'Operating Assumptions'!$D$53,0,IF(EI$6&gt;'Operating Assumptions'!$AA$8,0,IF(AND('Operating Assumptions'!$G11="$/Unit/Annual",EI36='Operating Assumptions'!$D$14),'Operating Assumptions'!$H11*('Monthly CF'!EI$36-'Operating Assumptions'!$D$15)/12*EI$23,IF(AND('Operating Assumptions'!$G11="$/Unit/Annual",EI36&lt;'Operating Assumptions'!$D$14,'Operating Assumptions'!$D$15=0),'Operating Assumptions'!$H11*'Monthly CF'!EI$36/12*EI$23,IF(AND('Operating Assumptions'!$G11="$/Unit/Annual",EI36&lt;'Operating Assumptions'!$D$14,'Operating Assumptions'!$D$15&gt;0),'Operating Assumptions'!$H11*('Monthly CF'!EI$36*'Operating Assumptions'!$C$15)/12*EI$23,IF(AND('Operating Assumptions'!$G11="$/Unit/Month",EI36='Operating Assumptions'!$D$14),'Operating Assumptions'!$H11*('Monthly CF'!EI$36-'Operating Assumptions'!$D$15)*EI$23,IF(AND('Operating Assumptions'!$G11="$/Unit/Month",EI36&lt;'Operating Assumptions'!$D$14,'Operating Assumptions'!$D$15=0),'Operating Assumptions'!$H11*'Monthly CF'!EI$36*EI$23,IF(AND('Operating Assumptions'!$G11="$/Unit/Month",EI36&lt;'Operating Assumptions'!$D$14,'Operating Assumptions'!$D$15&gt;0),'Operating Assumptions'!$H11*('Monthly CF'!EI$36*'Operating Assumptions'!$C$15)*EI$23,IF('Operating Assumptions'!$G11="Fixed Amount",'Operating Assumptions'!$H11/12*EI$23,IF('Operating Assumptions'!$G11="$/NSF",'Operating Assumptions'!$H11*'Operating Assumptions'!$D$12/12*EI$23,IF('Operating Assumptions'!$G11="N/A",0)))))))))))</f>
        <v>12980.000000000002</v>
      </c>
      <c r="EJ44" s="436">
        <f>IF(EJ$9&lt;'Operating Assumptions'!$D$53,0,IF(EJ$6&gt;'Operating Assumptions'!$AA$8,0,IF(AND('Operating Assumptions'!$G11="$/Unit/Annual",EJ36='Operating Assumptions'!$D$14),'Operating Assumptions'!$H11*('Monthly CF'!EJ$36-'Operating Assumptions'!$D$15)/12*EJ$23,IF(AND('Operating Assumptions'!$G11="$/Unit/Annual",EJ36&lt;'Operating Assumptions'!$D$14,'Operating Assumptions'!$D$15=0),'Operating Assumptions'!$H11*'Monthly CF'!EJ$36/12*EJ$23,IF(AND('Operating Assumptions'!$G11="$/Unit/Annual",EJ36&lt;'Operating Assumptions'!$D$14,'Operating Assumptions'!$D$15&gt;0),'Operating Assumptions'!$H11*('Monthly CF'!EJ$36*'Operating Assumptions'!$C$15)/12*EJ$23,IF(AND('Operating Assumptions'!$G11="$/Unit/Month",EJ36='Operating Assumptions'!$D$14),'Operating Assumptions'!$H11*('Monthly CF'!EJ$36-'Operating Assumptions'!$D$15)*EJ$23,IF(AND('Operating Assumptions'!$G11="$/Unit/Month",EJ36&lt;'Operating Assumptions'!$D$14,'Operating Assumptions'!$D$15=0),'Operating Assumptions'!$H11*'Monthly CF'!EJ$36*EJ$23,IF(AND('Operating Assumptions'!$G11="$/Unit/Month",EJ36&lt;'Operating Assumptions'!$D$14,'Operating Assumptions'!$D$15&gt;0),'Operating Assumptions'!$H11*('Monthly CF'!EJ$36*'Operating Assumptions'!$C$15)*EJ$23,IF('Operating Assumptions'!$G11="Fixed Amount",'Operating Assumptions'!$H11/12*EJ$23,IF('Operating Assumptions'!$G11="$/NSF",'Operating Assumptions'!$H11*'Operating Assumptions'!$D$12/12*EJ$23,IF('Operating Assumptions'!$G11="N/A",0)))))))))))</f>
        <v>13200.000000000002</v>
      </c>
      <c r="EK44" s="436">
        <f>IF(EK$9&lt;'Operating Assumptions'!$D$53,0,IF(EK$6&gt;'Operating Assumptions'!$AA$8,0,IF(AND('Operating Assumptions'!$G11="$/Unit/Annual",EK36='Operating Assumptions'!$D$14),'Operating Assumptions'!$H11*('Monthly CF'!EK$36-'Operating Assumptions'!$D$15)/12*EK$23,IF(AND('Operating Assumptions'!$G11="$/Unit/Annual",EK36&lt;'Operating Assumptions'!$D$14,'Operating Assumptions'!$D$15=0),'Operating Assumptions'!$H11*'Monthly CF'!EK$36/12*EK$23,IF(AND('Operating Assumptions'!$G11="$/Unit/Annual",EK36&lt;'Operating Assumptions'!$D$14,'Operating Assumptions'!$D$15&gt;0),'Operating Assumptions'!$H11*('Monthly CF'!EK$36*'Operating Assumptions'!$C$15)/12*EK$23,IF(AND('Operating Assumptions'!$G11="$/Unit/Month",EK36='Operating Assumptions'!$D$14),'Operating Assumptions'!$H11*('Monthly CF'!EK$36-'Operating Assumptions'!$D$15)*EK$23,IF(AND('Operating Assumptions'!$G11="$/Unit/Month",EK36&lt;'Operating Assumptions'!$D$14,'Operating Assumptions'!$D$15=0),'Operating Assumptions'!$H11*'Monthly CF'!EK$36*EK$23,IF(AND('Operating Assumptions'!$G11="$/Unit/Month",EK36&lt;'Operating Assumptions'!$D$14,'Operating Assumptions'!$D$15&gt;0),'Operating Assumptions'!$H11*('Monthly CF'!EK$36*'Operating Assumptions'!$C$15)*EK$23,IF('Operating Assumptions'!$G11="Fixed Amount",'Operating Assumptions'!$H11/12*EK$23,IF('Operating Assumptions'!$G11="$/NSF",'Operating Assumptions'!$H11*'Operating Assumptions'!$D$12/12*EK$23,IF('Operating Assumptions'!$G11="N/A",0)))))))))))</f>
        <v>13200.000000000002</v>
      </c>
      <c r="EL44" s="436">
        <f>IF(EL$9&lt;'Operating Assumptions'!$D$53,0,IF(EL$6&gt;'Operating Assumptions'!$AA$8,0,IF(AND('Operating Assumptions'!$G11="$/Unit/Annual",EL36='Operating Assumptions'!$D$14),'Operating Assumptions'!$H11*('Monthly CF'!EL$36-'Operating Assumptions'!$D$15)/12*EL$23,IF(AND('Operating Assumptions'!$G11="$/Unit/Annual",EL36&lt;'Operating Assumptions'!$D$14,'Operating Assumptions'!$D$15=0),'Operating Assumptions'!$H11*'Monthly CF'!EL$36/12*EL$23,IF(AND('Operating Assumptions'!$G11="$/Unit/Annual",EL36&lt;'Operating Assumptions'!$D$14,'Operating Assumptions'!$D$15&gt;0),'Operating Assumptions'!$H11*('Monthly CF'!EL$36*'Operating Assumptions'!$C$15)/12*EL$23,IF(AND('Operating Assumptions'!$G11="$/Unit/Month",EL36='Operating Assumptions'!$D$14),'Operating Assumptions'!$H11*('Monthly CF'!EL$36-'Operating Assumptions'!$D$15)*EL$23,IF(AND('Operating Assumptions'!$G11="$/Unit/Month",EL36&lt;'Operating Assumptions'!$D$14,'Operating Assumptions'!$D$15=0),'Operating Assumptions'!$H11*'Monthly CF'!EL$36*EL$23,IF(AND('Operating Assumptions'!$G11="$/Unit/Month",EL36&lt;'Operating Assumptions'!$D$14,'Operating Assumptions'!$D$15&gt;0),'Operating Assumptions'!$H11*('Monthly CF'!EL$36*'Operating Assumptions'!$C$15)*EL$23,IF('Operating Assumptions'!$G11="Fixed Amount",'Operating Assumptions'!$H11/12*EL$23,IF('Operating Assumptions'!$G11="$/NSF",'Operating Assumptions'!$H11*'Operating Assumptions'!$D$12/12*EL$23,IF('Operating Assumptions'!$G11="N/A",0)))))))))))</f>
        <v>13200.000000000002</v>
      </c>
      <c r="EM44" s="436">
        <f>IF(EM$9&lt;'Operating Assumptions'!$D$53,0,IF(EM$6&gt;'Operating Assumptions'!$AA$8,0,IF(AND('Operating Assumptions'!$G11="$/Unit/Annual",EM36='Operating Assumptions'!$D$14),'Operating Assumptions'!$H11*('Monthly CF'!EM$36-'Operating Assumptions'!$D$15)/12*EM$23,IF(AND('Operating Assumptions'!$G11="$/Unit/Annual",EM36&lt;'Operating Assumptions'!$D$14,'Operating Assumptions'!$D$15=0),'Operating Assumptions'!$H11*'Monthly CF'!EM$36/12*EM$23,IF(AND('Operating Assumptions'!$G11="$/Unit/Annual",EM36&lt;'Operating Assumptions'!$D$14,'Operating Assumptions'!$D$15&gt;0),'Operating Assumptions'!$H11*('Monthly CF'!EM$36*'Operating Assumptions'!$C$15)/12*EM$23,IF(AND('Operating Assumptions'!$G11="$/Unit/Month",EM36='Operating Assumptions'!$D$14),'Operating Assumptions'!$H11*('Monthly CF'!EM$36-'Operating Assumptions'!$D$15)*EM$23,IF(AND('Operating Assumptions'!$G11="$/Unit/Month",EM36&lt;'Operating Assumptions'!$D$14,'Operating Assumptions'!$D$15=0),'Operating Assumptions'!$H11*'Monthly CF'!EM$36*EM$23,IF(AND('Operating Assumptions'!$G11="$/Unit/Month",EM36&lt;'Operating Assumptions'!$D$14,'Operating Assumptions'!$D$15&gt;0),'Operating Assumptions'!$H11*('Monthly CF'!EM$36*'Operating Assumptions'!$C$15)*EM$23,IF('Operating Assumptions'!$G11="Fixed Amount",'Operating Assumptions'!$H11/12*EM$23,IF('Operating Assumptions'!$G11="$/NSF",'Operating Assumptions'!$H11*'Operating Assumptions'!$D$12/12*EM$23,IF('Operating Assumptions'!$G11="N/A",0)))))))))))</f>
        <v>13200.000000000002</v>
      </c>
      <c r="EN44" s="436">
        <f>IF(EN$9&lt;'Operating Assumptions'!$D$53,0,IF(EN$6&gt;'Operating Assumptions'!$AA$8,0,IF(AND('Operating Assumptions'!$G11="$/Unit/Annual",EN36='Operating Assumptions'!$D$14),'Operating Assumptions'!$H11*('Monthly CF'!EN$36-'Operating Assumptions'!$D$15)/12*EN$23,IF(AND('Operating Assumptions'!$G11="$/Unit/Annual",EN36&lt;'Operating Assumptions'!$D$14,'Operating Assumptions'!$D$15=0),'Operating Assumptions'!$H11*'Monthly CF'!EN$36/12*EN$23,IF(AND('Operating Assumptions'!$G11="$/Unit/Annual",EN36&lt;'Operating Assumptions'!$D$14,'Operating Assumptions'!$D$15&gt;0),'Operating Assumptions'!$H11*('Monthly CF'!EN$36*'Operating Assumptions'!$C$15)/12*EN$23,IF(AND('Operating Assumptions'!$G11="$/Unit/Month",EN36='Operating Assumptions'!$D$14),'Operating Assumptions'!$H11*('Monthly CF'!EN$36-'Operating Assumptions'!$D$15)*EN$23,IF(AND('Operating Assumptions'!$G11="$/Unit/Month",EN36&lt;'Operating Assumptions'!$D$14,'Operating Assumptions'!$D$15=0),'Operating Assumptions'!$H11*'Monthly CF'!EN$36*EN$23,IF(AND('Operating Assumptions'!$G11="$/Unit/Month",EN36&lt;'Operating Assumptions'!$D$14,'Operating Assumptions'!$D$15&gt;0),'Operating Assumptions'!$H11*('Monthly CF'!EN$36*'Operating Assumptions'!$C$15)*EN$23,IF('Operating Assumptions'!$G11="Fixed Amount",'Operating Assumptions'!$H11/12*EN$23,IF('Operating Assumptions'!$G11="$/NSF",'Operating Assumptions'!$H11*'Operating Assumptions'!$D$12/12*EN$23,IF('Operating Assumptions'!$G11="N/A",0)))))))))))</f>
        <v>13200.000000000002</v>
      </c>
      <c r="EO44" s="436">
        <f>IF(EO$9&lt;'Operating Assumptions'!$D$53,0,IF(EO$6&gt;'Operating Assumptions'!$AA$8,0,IF(AND('Operating Assumptions'!$G11="$/Unit/Annual",EO36='Operating Assumptions'!$D$14),'Operating Assumptions'!$H11*('Monthly CF'!EO$36-'Operating Assumptions'!$D$15)/12*EO$23,IF(AND('Operating Assumptions'!$G11="$/Unit/Annual",EO36&lt;'Operating Assumptions'!$D$14,'Operating Assumptions'!$D$15=0),'Operating Assumptions'!$H11*'Monthly CF'!EO$36/12*EO$23,IF(AND('Operating Assumptions'!$G11="$/Unit/Annual",EO36&lt;'Operating Assumptions'!$D$14,'Operating Assumptions'!$D$15&gt;0),'Operating Assumptions'!$H11*('Monthly CF'!EO$36*'Operating Assumptions'!$C$15)/12*EO$23,IF(AND('Operating Assumptions'!$G11="$/Unit/Month",EO36='Operating Assumptions'!$D$14),'Operating Assumptions'!$H11*('Monthly CF'!EO$36-'Operating Assumptions'!$D$15)*EO$23,IF(AND('Operating Assumptions'!$G11="$/Unit/Month",EO36&lt;'Operating Assumptions'!$D$14,'Operating Assumptions'!$D$15=0),'Operating Assumptions'!$H11*'Monthly CF'!EO$36*EO$23,IF(AND('Operating Assumptions'!$G11="$/Unit/Month",EO36&lt;'Operating Assumptions'!$D$14,'Operating Assumptions'!$D$15&gt;0),'Operating Assumptions'!$H11*('Monthly CF'!EO$36*'Operating Assumptions'!$C$15)*EO$23,IF('Operating Assumptions'!$G11="Fixed Amount",'Operating Assumptions'!$H11/12*EO$23,IF('Operating Assumptions'!$G11="$/NSF",'Operating Assumptions'!$H11*'Operating Assumptions'!$D$12/12*EO$23,IF('Operating Assumptions'!$G11="N/A",0)))))))))))</f>
        <v>13200.000000000002</v>
      </c>
      <c r="EP44" s="436">
        <f>IF(EP$9&lt;'Operating Assumptions'!$D$53,0,IF(EP$6&gt;'Operating Assumptions'!$AA$8,0,IF(AND('Operating Assumptions'!$G11="$/Unit/Annual",EP36='Operating Assumptions'!$D$14),'Operating Assumptions'!$H11*('Monthly CF'!EP$36-'Operating Assumptions'!$D$15)/12*EP$23,IF(AND('Operating Assumptions'!$G11="$/Unit/Annual",EP36&lt;'Operating Assumptions'!$D$14,'Operating Assumptions'!$D$15=0),'Operating Assumptions'!$H11*'Monthly CF'!EP$36/12*EP$23,IF(AND('Operating Assumptions'!$G11="$/Unit/Annual",EP36&lt;'Operating Assumptions'!$D$14,'Operating Assumptions'!$D$15&gt;0),'Operating Assumptions'!$H11*('Monthly CF'!EP$36*'Operating Assumptions'!$C$15)/12*EP$23,IF(AND('Operating Assumptions'!$G11="$/Unit/Month",EP36='Operating Assumptions'!$D$14),'Operating Assumptions'!$H11*('Monthly CF'!EP$36-'Operating Assumptions'!$D$15)*EP$23,IF(AND('Operating Assumptions'!$G11="$/Unit/Month",EP36&lt;'Operating Assumptions'!$D$14,'Operating Assumptions'!$D$15=0),'Operating Assumptions'!$H11*'Monthly CF'!EP$36*EP$23,IF(AND('Operating Assumptions'!$G11="$/Unit/Month",EP36&lt;'Operating Assumptions'!$D$14,'Operating Assumptions'!$D$15&gt;0),'Operating Assumptions'!$H11*('Monthly CF'!EP$36*'Operating Assumptions'!$C$15)*EP$23,IF('Operating Assumptions'!$G11="Fixed Amount",'Operating Assumptions'!$H11/12*EP$23,IF('Operating Assumptions'!$G11="$/NSF",'Operating Assumptions'!$H11*'Operating Assumptions'!$D$12/12*EP$23,IF('Operating Assumptions'!$G11="N/A",0)))))))))))</f>
        <v>13200.000000000002</v>
      </c>
      <c r="EQ44" s="436">
        <f>IF(EQ$9&lt;'Operating Assumptions'!$D$53,0,IF(EQ$6&gt;'Operating Assumptions'!$AA$8,0,IF(AND('Operating Assumptions'!$G11="$/Unit/Annual",EQ36='Operating Assumptions'!$D$14),'Operating Assumptions'!$H11*('Monthly CF'!EQ$36-'Operating Assumptions'!$D$15)/12*EQ$23,IF(AND('Operating Assumptions'!$G11="$/Unit/Annual",EQ36&lt;'Operating Assumptions'!$D$14,'Operating Assumptions'!$D$15=0),'Operating Assumptions'!$H11*'Monthly CF'!EQ$36/12*EQ$23,IF(AND('Operating Assumptions'!$G11="$/Unit/Annual",EQ36&lt;'Operating Assumptions'!$D$14,'Operating Assumptions'!$D$15&gt;0),'Operating Assumptions'!$H11*('Monthly CF'!EQ$36*'Operating Assumptions'!$C$15)/12*EQ$23,IF(AND('Operating Assumptions'!$G11="$/Unit/Month",EQ36='Operating Assumptions'!$D$14),'Operating Assumptions'!$H11*('Monthly CF'!EQ$36-'Operating Assumptions'!$D$15)*EQ$23,IF(AND('Operating Assumptions'!$G11="$/Unit/Month",EQ36&lt;'Operating Assumptions'!$D$14,'Operating Assumptions'!$D$15=0),'Operating Assumptions'!$H11*'Monthly CF'!EQ$36*EQ$23,IF(AND('Operating Assumptions'!$G11="$/Unit/Month",EQ36&lt;'Operating Assumptions'!$D$14,'Operating Assumptions'!$D$15&gt;0),'Operating Assumptions'!$H11*('Monthly CF'!EQ$36*'Operating Assumptions'!$C$15)*EQ$23,IF('Operating Assumptions'!$G11="Fixed Amount",'Operating Assumptions'!$H11/12*EQ$23,IF('Operating Assumptions'!$G11="$/NSF",'Operating Assumptions'!$H11*'Operating Assumptions'!$D$12/12*EQ$23,IF('Operating Assumptions'!$G11="N/A",0)))))))))))</f>
        <v>13200.000000000002</v>
      </c>
      <c r="ER44" s="436">
        <f>IF(ER$9&lt;'Operating Assumptions'!$D$53,0,IF(ER$6&gt;'Operating Assumptions'!$AA$8,0,IF(AND('Operating Assumptions'!$G11="$/Unit/Annual",ER36='Operating Assumptions'!$D$14),'Operating Assumptions'!$H11*('Monthly CF'!ER$36-'Operating Assumptions'!$D$15)/12*ER$23,IF(AND('Operating Assumptions'!$G11="$/Unit/Annual",ER36&lt;'Operating Assumptions'!$D$14,'Operating Assumptions'!$D$15=0),'Operating Assumptions'!$H11*'Monthly CF'!ER$36/12*ER$23,IF(AND('Operating Assumptions'!$G11="$/Unit/Annual",ER36&lt;'Operating Assumptions'!$D$14,'Operating Assumptions'!$D$15&gt;0),'Operating Assumptions'!$H11*('Monthly CF'!ER$36*'Operating Assumptions'!$C$15)/12*ER$23,IF(AND('Operating Assumptions'!$G11="$/Unit/Month",ER36='Operating Assumptions'!$D$14),'Operating Assumptions'!$H11*('Monthly CF'!ER$36-'Operating Assumptions'!$D$15)*ER$23,IF(AND('Operating Assumptions'!$G11="$/Unit/Month",ER36&lt;'Operating Assumptions'!$D$14,'Operating Assumptions'!$D$15=0),'Operating Assumptions'!$H11*'Monthly CF'!ER$36*ER$23,IF(AND('Operating Assumptions'!$G11="$/Unit/Month",ER36&lt;'Operating Assumptions'!$D$14,'Operating Assumptions'!$D$15&gt;0),'Operating Assumptions'!$H11*('Monthly CF'!ER$36*'Operating Assumptions'!$C$15)*ER$23,IF('Operating Assumptions'!$G11="Fixed Amount",'Operating Assumptions'!$H11/12*ER$23,IF('Operating Assumptions'!$G11="$/NSF",'Operating Assumptions'!$H11*'Operating Assumptions'!$D$12/12*ER$23,IF('Operating Assumptions'!$G11="N/A",0)))))))))))</f>
        <v>13200.000000000002</v>
      </c>
      <c r="ES44" s="436">
        <f>IF(ES$9&lt;'Operating Assumptions'!$D$53,0,IF(ES$6&gt;'Operating Assumptions'!$AA$8,0,IF(AND('Operating Assumptions'!$G11="$/Unit/Annual",ES36='Operating Assumptions'!$D$14),'Operating Assumptions'!$H11*('Monthly CF'!ES$36-'Operating Assumptions'!$D$15)/12*ES$23,IF(AND('Operating Assumptions'!$G11="$/Unit/Annual",ES36&lt;'Operating Assumptions'!$D$14,'Operating Assumptions'!$D$15=0),'Operating Assumptions'!$H11*'Monthly CF'!ES$36/12*ES$23,IF(AND('Operating Assumptions'!$G11="$/Unit/Annual",ES36&lt;'Operating Assumptions'!$D$14,'Operating Assumptions'!$D$15&gt;0),'Operating Assumptions'!$H11*('Monthly CF'!ES$36*'Operating Assumptions'!$C$15)/12*ES$23,IF(AND('Operating Assumptions'!$G11="$/Unit/Month",ES36='Operating Assumptions'!$D$14),'Operating Assumptions'!$H11*('Monthly CF'!ES$36-'Operating Assumptions'!$D$15)*ES$23,IF(AND('Operating Assumptions'!$G11="$/Unit/Month",ES36&lt;'Operating Assumptions'!$D$14,'Operating Assumptions'!$D$15=0),'Operating Assumptions'!$H11*'Monthly CF'!ES$36*ES$23,IF(AND('Operating Assumptions'!$G11="$/Unit/Month",ES36&lt;'Operating Assumptions'!$D$14,'Operating Assumptions'!$D$15&gt;0),'Operating Assumptions'!$H11*('Monthly CF'!ES$36*'Operating Assumptions'!$C$15)*ES$23,IF('Operating Assumptions'!$G11="Fixed Amount",'Operating Assumptions'!$H11/12*ES$23,IF('Operating Assumptions'!$G11="$/NSF",'Operating Assumptions'!$H11*'Operating Assumptions'!$D$12/12*ES$23,IF('Operating Assumptions'!$G11="N/A",0)))))))))))</f>
        <v>13200.000000000002</v>
      </c>
      <c r="ET44" s="436">
        <f>IF(ET$9&lt;'Operating Assumptions'!$D$53,0,IF(ET$6&gt;'Operating Assumptions'!$AA$8,0,IF(AND('Operating Assumptions'!$G11="$/Unit/Annual",ET36='Operating Assumptions'!$D$14),'Operating Assumptions'!$H11*('Monthly CF'!ET$36-'Operating Assumptions'!$D$15)/12*ET$23,IF(AND('Operating Assumptions'!$G11="$/Unit/Annual",ET36&lt;'Operating Assumptions'!$D$14,'Operating Assumptions'!$D$15=0),'Operating Assumptions'!$H11*'Monthly CF'!ET$36/12*ET$23,IF(AND('Operating Assumptions'!$G11="$/Unit/Annual",ET36&lt;'Operating Assumptions'!$D$14,'Operating Assumptions'!$D$15&gt;0),'Operating Assumptions'!$H11*('Monthly CF'!ET$36*'Operating Assumptions'!$C$15)/12*ET$23,IF(AND('Operating Assumptions'!$G11="$/Unit/Month",ET36='Operating Assumptions'!$D$14),'Operating Assumptions'!$H11*('Monthly CF'!ET$36-'Operating Assumptions'!$D$15)*ET$23,IF(AND('Operating Assumptions'!$G11="$/Unit/Month",ET36&lt;'Operating Assumptions'!$D$14,'Operating Assumptions'!$D$15=0),'Operating Assumptions'!$H11*'Monthly CF'!ET$36*ET$23,IF(AND('Operating Assumptions'!$G11="$/Unit/Month",ET36&lt;'Operating Assumptions'!$D$14,'Operating Assumptions'!$D$15&gt;0),'Operating Assumptions'!$H11*('Monthly CF'!ET$36*'Operating Assumptions'!$C$15)*ET$23,IF('Operating Assumptions'!$G11="Fixed Amount",'Operating Assumptions'!$H11/12*ET$23,IF('Operating Assumptions'!$G11="$/NSF",'Operating Assumptions'!$H11*'Operating Assumptions'!$D$12/12*ET$23,IF('Operating Assumptions'!$G11="N/A",0)))))))))))</f>
        <v>13200.000000000002</v>
      </c>
      <c r="EU44" s="436">
        <f>IF(EU$9&lt;'Operating Assumptions'!$D$53,0,IF(EU$6&gt;'Operating Assumptions'!$AA$8,0,IF(AND('Operating Assumptions'!$G11="$/Unit/Annual",EU36='Operating Assumptions'!$D$14),'Operating Assumptions'!$H11*('Monthly CF'!EU$36-'Operating Assumptions'!$D$15)/12*EU$23,IF(AND('Operating Assumptions'!$G11="$/Unit/Annual",EU36&lt;'Operating Assumptions'!$D$14,'Operating Assumptions'!$D$15=0),'Operating Assumptions'!$H11*'Monthly CF'!EU$36/12*EU$23,IF(AND('Operating Assumptions'!$G11="$/Unit/Annual",EU36&lt;'Operating Assumptions'!$D$14,'Operating Assumptions'!$D$15&gt;0),'Operating Assumptions'!$H11*('Monthly CF'!EU$36*'Operating Assumptions'!$C$15)/12*EU$23,IF(AND('Operating Assumptions'!$G11="$/Unit/Month",EU36='Operating Assumptions'!$D$14),'Operating Assumptions'!$H11*('Monthly CF'!EU$36-'Operating Assumptions'!$D$15)*EU$23,IF(AND('Operating Assumptions'!$G11="$/Unit/Month",EU36&lt;'Operating Assumptions'!$D$14,'Operating Assumptions'!$D$15=0),'Operating Assumptions'!$H11*'Monthly CF'!EU$36*EU$23,IF(AND('Operating Assumptions'!$G11="$/Unit/Month",EU36&lt;'Operating Assumptions'!$D$14,'Operating Assumptions'!$D$15&gt;0),'Operating Assumptions'!$H11*('Monthly CF'!EU$36*'Operating Assumptions'!$C$15)*EU$23,IF('Operating Assumptions'!$G11="Fixed Amount",'Operating Assumptions'!$H11/12*EU$23,IF('Operating Assumptions'!$G11="$/NSF",'Operating Assumptions'!$H11*'Operating Assumptions'!$D$12/12*EU$23,IF('Operating Assumptions'!$G11="N/A",0)))))))))))</f>
        <v>13200.000000000002</v>
      </c>
      <c r="EV44" s="436">
        <f>IF(EV$9&lt;'Operating Assumptions'!$D$53,0,IF(EV$6&gt;'Operating Assumptions'!$AA$8,0,IF(AND('Operating Assumptions'!$G11="$/Unit/Annual",EV36='Operating Assumptions'!$D$14),'Operating Assumptions'!$H11*('Monthly CF'!EV$36-'Operating Assumptions'!$D$15)/12*EV$23,IF(AND('Operating Assumptions'!$G11="$/Unit/Annual",EV36&lt;'Operating Assumptions'!$D$14,'Operating Assumptions'!$D$15=0),'Operating Assumptions'!$H11*'Monthly CF'!EV$36/12*EV$23,IF(AND('Operating Assumptions'!$G11="$/Unit/Annual",EV36&lt;'Operating Assumptions'!$D$14,'Operating Assumptions'!$D$15&gt;0),'Operating Assumptions'!$H11*('Monthly CF'!EV$36*'Operating Assumptions'!$C$15)/12*EV$23,IF(AND('Operating Assumptions'!$G11="$/Unit/Month",EV36='Operating Assumptions'!$D$14),'Operating Assumptions'!$H11*('Monthly CF'!EV$36-'Operating Assumptions'!$D$15)*EV$23,IF(AND('Operating Assumptions'!$G11="$/Unit/Month",EV36&lt;'Operating Assumptions'!$D$14,'Operating Assumptions'!$D$15=0),'Operating Assumptions'!$H11*'Monthly CF'!EV$36*EV$23,IF(AND('Operating Assumptions'!$G11="$/Unit/Month",EV36&lt;'Operating Assumptions'!$D$14,'Operating Assumptions'!$D$15&gt;0),'Operating Assumptions'!$H11*('Monthly CF'!EV$36*'Operating Assumptions'!$C$15)*EV$23,IF('Operating Assumptions'!$G11="Fixed Amount",'Operating Assumptions'!$H11/12*EV$23,IF('Operating Assumptions'!$G11="$/NSF",'Operating Assumptions'!$H11*'Operating Assumptions'!$D$12/12*EV$23,IF('Operating Assumptions'!$G11="N/A",0)))))))))))</f>
        <v>0</v>
      </c>
      <c r="EW44" s="436">
        <f>IF(EW$9&lt;'Operating Assumptions'!$D$53,0,IF(EW$6&gt;'Operating Assumptions'!$AA$8,0,IF(AND('Operating Assumptions'!$G11="$/Unit/Annual",EW36='Operating Assumptions'!$D$14),'Operating Assumptions'!$H11*('Monthly CF'!EW$36-'Operating Assumptions'!$D$15)/12*EW$23,IF(AND('Operating Assumptions'!$G11="$/Unit/Annual",EW36&lt;'Operating Assumptions'!$D$14,'Operating Assumptions'!$D$15=0),'Operating Assumptions'!$H11*'Monthly CF'!EW$36/12*EW$23,IF(AND('Operating Assumptions'!$G11="$/Unit/Annual",EW36&lt;'Operating Assumptions'!$D$14,'Operating Assumptions'!$D$15&gt;0),'Operating Assumptions'!$H11*('Monthly CF'!EW$36*'Operating Assumptions'!$C$15)/12*EW$23,IF(AND('Operating Assumptions'!$G11="$/Unit/Month",EW36='Operating Assumptions'!$D$14),'Operating Assumptions'!$H11*('Monthly CF'!EW$36-'Operating Assumptions'!$D$15)*EW$23,IF(AND('Operating Assumptions'!$G11="$/Unit/Month",EW36&lt;'Operating Assumptions'!$D$14,'Operating Assumptions'!$D$15=0),'Operating Assumptions'!$H11*'Monthly CF'!EW$36*EW$23,IF(AND('Operating Assumptions'!$G11="$/Unit/Month",EW36&lt;'Operating Assumptions'!$D$14,'Operating Assumptions'!$D$15&gt;0),'Operating Assumptions'!$H11*('Monthly CF'!EW$36*'Operating Assumptions'!$C$15)*EW$23,IF('Operating Assumptions'!$G11="Fixed Amount",'Operating Assumptions'!$H11/12*EW$23,IF('Operating Assumptions'!$G11="$/NSF",'Operating Assumptions'!$H11*'Operating Assumptions'!$D$12/12*EW$23,IF('Operating Assumptions'!$G11="N/A",0)))))))))))</f>
        <v>0</v>
      </c>
      <c r="EX44" s="436">
        <f>IF(EX$9&lt;'Operating Assumptions'!$D$53,0,IF(EX$6&gt;'Operating Assumptions'!$AA$8,0,IF(AND('Operating Assumptions'!$G11="$/Unit/Annual",EX36='Operating Assumptions'!$D$14),'Operating Assumptions'!$H11*('Monthly CF'!EX$36-'Operating Assumptions'!$D$15)/12*EX$23,IF(AND('Operating Assumptions'!$G11="$/Unit/Annual",EX36&lt;'Operating Assumptions'!$D$14,'Operating Assumptions'!$D$15=0),'Operating Assumptions'!$H11*'Monthly CF'!EX$36/12*EX$23,IF(AND('Operating Assumptions'!$G11="$/Unit/Annual",EX36&lt;'Operating Assumptions'!$D$14,'Operating Assumptions'!$D$15&gt;0),'Operating Assumptions'!$H11*('Monthly CF'!EX$36*'Operating Assumptions'!$C$15)/12*EX$23,IF(AND('Operating Assumptions'!$G11="$/Unit/Month",EX36='Operating Assumptions'!$D$14),'Operating Assumptions'!$H11*('Monthly CF'!EX$36-'Operating Assumptions'!$D$15)*EX$23,IF(AND('Operating Assumptions'!$G11="$/Unit/Month",EX36&lt;'Operating Assumptions'!$D$14,'Operating Assumptions'!$D$15=0),'Operating Assumptions'!$H11*'Monthly CF'!EX$36*EX$23,IF(AND('Operating Assumptions'!$G11="$/Unit/Month",EX36&lt;'Operating Assumptions'!$D$14,'Operating Assumptions'!$D$15&gt;0),'Operating Assumptions'!$H11*('Monthly CF'!EX$36*'Operating Assumptions'!$C$15)*EX$23,IF('Operating Assumptions'!$G11="Fixed Amount",'Operating Assumptions'!$H11/12*EX$23,IF('Operating Assumptions'!$G11="$/NSF",'Operating Assumptions'!$H11*'Operating Assumptions'!$D$12/12*EX$23,IF('Operating Assumptions'!$G11="N/A",0)))))))))))</f>
        <v>0</v>
      </c>
      <c r="EY44" s="436">
        <f>IF(EY$9&lt;'Operating Assumptions'!$D$53,0,IF(EY$6&gt;'Operating Assumptions'!$AA$8,0,IF(AND('Operating Assumptions'!$G11="$/Unit/Annual",EY36='Operating Assumptions'!$D$14),'Operating Assumptions'!$H11*('Monthly CF'!EY$36-'Operating Assumptions'!$D$15)/12*EY$23,IF(AND('Operating Assumptions'!$G11="$/Unit/Annual",EY36&lt;'Operating Assumptions'!$D$14,'Operating Assumptions'!$D$15=0),'Operating Assumptions'!$H11*'Monthly CF'!EY$36/12*EY$23,IF(AND('Operating Assumptions'!$G11="$/Unit/Annual",EY36&lt;'Operating Assumptions'!$D$14,'Operating Assumptions'!$D$15&gt;0),'Operating Assumptions'!$H11*('Monthly CF'!EY$36*'Operating Assumptions'!$C$15)/12*EY$23,IF(AND('Operating Assumptions'!$G11="$/Unit/Month",EY36='Operating Assumptions'!$D$14),'Operating Assumptions'!$H11*('Monthly CF'!EY$36-'Operating Assumptions'!$D$15)*EY$23,IF(AND('Operating Assumptions'!$G11="$/Unit/Month",EY36&lt;'Operating Assumptions'!$D$14,'Operating Assumptions'!$D$15=0),'Operating Assumptions'!$H11*'Monthly CF'!EY$36*EY$23,IF(AND('Operating Assumptions'!$G11="$/Unit/Month",EY36&lt;'Operating Assumptions'!$D$14,'Operating Assumptions'!$D$15&gt;0),'Operating Assumptions'!$H11*('Monthly CF'!EY$36*'Operating Assumptions'!$C$15)*EY$23,IF('Operating Assumptions'!$G11="Fixed Amount",'Operating Assumptions'!$H11/12*EY$23,IF('Operating Assumptions'!$G11="$/NSF",'Operating Assumptions'!$H11*'Operating Assumptions'!$D$12/12*EY$23,IF('Operating Assumptions'!$G11="N/A",0)))))))))))</f>
        <v>0</v>
      </c>
      <c r="EZ44" s="436">
        <f>IF(EZ$9&lt;'Operating Assumptions'!$D$53,0,IF(EZ$6&gt;'Operating Assumptions'!$AA$8,0,IF(AND('Operating Assumptions'!$G11="$/Unit/Annual",EZ36='Operating Assumptions'!$D$14),'Operating Assumptions'!$H11*('Monthly CF'!EZ$36-'Operating Assumptions'!$D$15)/12*EZ$23,IF(AND('Operating Assumptions'!$G11="$/Unit/Annual",EZ36&lt;'Operating Assumptions'!$D$14,'Operating Assumptions'!$D$15=0),'Operating Assumptions'!$H11*'Monthly CF'!EZ$36/12*EZ$23,IF(AND('Operating Assumptions'!$G11="$/Unit/Annual",EZ36&lt;'Operating Assumptions'!$D$14,'Operating Assumptions'!$D$15&gt;0),'Operating Assumptions'!$H11*('Monthly CF'!EZ$36*'Operating Assumptions'!$C$15)/12*EZ$23,IF(AND('Operating Assumptions'!$G11="$/Unit/Month",EZ36='Operating Assumptions'!$D$14),'Operating Assumptions'!$H11*('Monthly CF'!EZ$36-'Operating Assumptions'!$D$15)*EZ$23,IF(AND('Operating Assumptions'!$G11="$/Unit/Month",EZ36&lt;'Operating Assumptions'!$D$14,'Operating Assumptions'!$D$15=0),'Operating Assumptions'!$H11*'Monthly CF'!EZ$36*EZ$23,IF(AND('Operating Assumptions'!$G11="$/Unit/Month",EZ36&lt;'Operating Assumptions'!$D$14,'Operating Assumptions'!$D$15&gt;0),'Operating Assumptions'!$H11*('Monthly CF'!EZ$36*'Operating Assumptions'!$C$15)*EZ$23,IF('Operating Assumptions'!$G11="Fixed Amount",'Operating Assumptions'!$H11/12*EZ$23,IF('Operating Assumptions'!$G11="$/NSF",'Operating Assumptions'!$H11*'Operating Assumptions'!$D$12/12*EZ$23,IF('Operating Assumptions'!$G11="N/A",0)))))))))))</f>
        <v>0</v>
      </c>
      <c r="FA44" s="436">
        <f>IF(FA$9&lt;'Operating Assumptions'!$D$53,0,IF(FA$6&gt;'Operating Assumptions'!$AA$8,0,IF(AND('Operating Assumptions'!$G11="$/Unit/Annual",FA36='Operating Assumptions'!$D$14),'Operating Assumptions'!$H11*('Monthly CF'!FA$36-'Operating Assumptions'!$D$15)/12*FA$23,IF(AND('Operating Assumptions'!$G11="$/Unit/Annual",FA36&lt;'Operating Assumptions'!$D$14,'Operating Assumptions'!$D$15=0),'Operating Assumptions'!$H11*'Monthly CF'!FA$36/12*FA$23,IF(AND('Operating Assumptions'!$G11="$/Unit/Annual",FA36&lt;'Operating Assumptions'!$D$14,'Operating Assumptions'!$D$15&gt;0),'Operating Assumptions'!$H11*('Monthly CF'!FA$36*'Operating Assumptions'!$C$15)/12*FA$23,IF(AND('Operating Assumptions'!$G11="$/Unit/Month",FA36='Operating Assumptions'!$D$14),'Operating Assumptions'!$H11*('Monthly CF'!FA$36-'Operating Assumptions'!$D$15)*FA$23,IF(AND('Operating Assumptions'!$G11="$/Unit/Month",FA36&lt;'Operating Assumptions'!$D$14,'Operating Assumptions'!$D$15=0),'Operating Assumptions'!$H11*'Monthly CF'!FA$36*FA$23,IF(AND('Operating Assumptions'!$G11="$/Unit/Month",FA36&lt;'Operating Assumptions'!$D$14,'Operating Assumptions'!$D$15&gt;0),'Operating Assumptions'!$H11*('Monthly CF'!FA$36*'Operating Assumptions'!$C$15)*FA$23,IF('Operating Assumptions'!$G11="Fixed Amount",'Operating Assumptions'!$H11/12*FA$23,IF('Operating Assumptions'!$G11="$/NSF",'Operating Assumptions'!$H11*'Operating Assumptions'!$D$12/12*FA$23,IF('Operating Assumptions'!$G11="N/A",0)))))))))))</f>
        <v>0</v>
      </c>
      <c r="FB44" s="436">
        <f>IF(FB$9&lt;'Operating Assumptions'!$D$53,0,IF(FB$6&gt;'Operating Assumptions'!$AA$8,0,IF(AND('Operating Assumptions'!$G11="$/Unit/Annual",FB36='Operating Assumptions'!$D$14),'Operating Assumptions'!$H11*('Monthly CF'!FB$36-'Operating Assumptions'!$D$15)/12*FB$23,IF(AND('Operating Assumptions'!$G11="$/Unit/Annual",FB36&lt;'Operating Assumptions'!$D$14,'Operating Assumptions'!$D$15=0),'Operating Assumptions'!$H11*'Monthly CF'!FB$36/12*FB$23,IF(AND('Operating Assumptions'!$G11="$/Unit/Annual",FB36&lt;'Operating Assumptions'!$D$14,'Operating Assumptions'!$D$15&gt;0),'Operating Assumptions'!$H11*('Monthly CF'!FB$36*'Operating Assumptions'!$C$15)/12*FB$23,IF(AND('Operating Assumptions'!$G11="$/Unit/Month",FB36='Operating Assumptions'!$D$14),'Operating Assumptions'!$H11*('Monthly CF'!FB$36-'Operating Assumptions'!$D$15)*FB$23,IF(AND('Operating Assumptions'!$G11="$/Unit/Month",FB36&lt;'Operating Assumptions'!$D$14,'Operating Assumptions'!$D$15=0),'Operating Assumptions'!$H11*'Monthly CF'!FB$36*FB$23,IF(AND('Operating Assumptions'!$G11="$/Unit/Month",FB36&lt;'Operating Assumptions'!$D$14,'Operating Assumptions'!$D$15&gt;0),'Operating Assumptions'!$H11*('Monthly CF'!FB$36*'Operating Assumptions'!$C$15)*FB$23,IF('Operating Assumptions'!$G11="Fixed Amount",'Operating Assumptions'!$H11/12*FB$23,IF('Operating Assumptions'!$G11="$/NSF",'Operating Assumptions'!$H11*'Operating Assumptions'!$D$12/12*FB$23,IF('Operating Assumptions'!$G11="N/A",0)))))))))))</f>
        <v>0</v>
      </c>
      <c r="FC44" s="436">
        <f>IF(FC$9&lt;'Operating Assumptions'!$D$53,0,IF(FC$6&gt;'Operating Assumptions'!$AA$8,0,IF(AND('Operating Assumptions'!$G11="$/Unit/Annual",FC36='Operating Assumptions'!$D$14),'Operating Assumptions'!$H11*('Monthly CF'!FC$36-'Operating Assumptions'!$D$15)/12*FC$23,IF(AND('Operating Assumptions'!$G11="$/Unit/Annual",FC36&lt;'Operating Assumptions'!$D$14,'Operating Assumptions'!$D$15=0),'Operating Assumptions'!$H11*'Monthly CF'!FC$36/12*FC$23,IF(AND('Operating Assumptions'!$G11="$/Unit/Annual",FC36&lt;'Operating Assumptions'!$D$14,'Operating Assumptions'!$D$15&gt;0),'Operating Assumptions'!$H11*('Monthly CF'!FC$36*'Operating Assumptions'!$C$15)/12*FC$23,IF(AND('Operating Assumptions'!$G11="$/Unit/Month",FC36='Operating Assumptions'!$D$14),'Operating Assumptions'!$H11*('Monthly CF'!FC$36-'Operating Assumptions'!$D$15)*FC$23,IF(AND('Operating Assumptions'!$G11="$/Unit/Month",FC36&lt;'Operating Assumptions'!$D$14,'Operating Assumptions'!$D$15=0),'Operating Assumptions'!$H11*'Monthly CF'!FC$36*FC$23,IF(AND('Operating Assumptions'!$G11="$/Unit/Month",FC36&lt;'Operating Assumptions'!$D$14,'Operating Assumptions'!$D$15&gt;0),'Operating Assumptions'!$H11*('Monthly CF'!FC$36*'Operating Assumptions'!$C$15)*FC$23,IF('Operating Assumptions'!$G11="Fixed Amount",'Operating Assumptions'!$H11/12*FC$23,IF('Operating Assumptions'!$G11="$/NSF",'Operating Assumptions'!$H11*'Operating Assumptions'!$D$12/12*FC$23,IF('Operating Assumptions'!$G11="N/A",0)))))))))))</f>
        <v>0</v>
      </c>
      <c r="FD44" s="436">
        <f>IF(FD$9&lt;'Operating Assumptions'!$D$53,0,IF(FD$6&gt;'Operating Assumptions'!$AA$8,0,IF(AND('Operating Assumptions'!$G11="$/Unit/Annual",FD36='Operating Assumptions'!$D$14),'Operating Assumptions'!$H11*('Monthly CF'!FD$36-'Operating Assumptions'!$D$15)/12*FD$23,IF(AND('Operating Assumptions'!$G11="$/Unit/Annual",FD36&lt;'Operating Assumptions'!$D$14,'Operating Assumptions'!$D$15=0),'Operating Assumptions'!$H11*'Monthly CF'!FD$36/12*FD$23,IF(AND('Operating Assumptions'!$G11="$/Unit/Annual",FD36&lt;'Operating Assumptions'!$D$14,'Operating Assumptions'!$D$15&gt;0),'Operating Assumptions'!$H11*('Monthly CF'!FD$36*'Operating Assumptions'!$C$15)/12*FD$23,IF(AND('Operating Assumptions'!$G11="$/Unit/Month",FD36='Operating Assumptions'!$D$14),'Operating Assumptions'!$H11*('Monthly CF'!FD$36-'Operating Assumptions'!$D$15)*FD$23,IF(AND('Operating Assumptions'!$G11="$/Unit/Month",FD36&lt;'Operating Assumptions'!$D$14,'Operating Assumptions'!$D$15=0),'Operating Assumptions'!$H11*'Monthly CF'!FD$36*FD$23,IF(AND('Operating Assumptions'!$G11="$/Unit/Month",FD36&lt;'Operating Assumptions'!$D$14,'Operating Assumptions'!$D$15&gt;0),'Operating Assumptions'!$H11*('Monthly CF'!FD$36*'Operating Assumptions'!$C$15)*FD$23,IF('Operating Assumptions'!$G11="Fixed Amount",'Operating Assumptions'!$H11/12*FD$23,IF('Operating Assumptions'!$G11="$/NSF",'Operating Assumptions'!$H11*'Operating Assumptions'!$D$12/12*FD$23,IF('Operating Assumptions'!$G11="N/A",0)))))))))))</f>
        <v>0</v>
      </c>
      <c r="FE44" s="436">
        <f>IF(FE$9&lt;'Operating Assumptions'!$D$53,0,IF(FE$6&gt;'Operating Assumptions'!$AA$8,0,IF(AND('Operating Assumptions'!$G11="$/Unit/Annual",FE36='Operating Assumptions'!$D$14),'Operating Assumptions'!$H11*('Monthly CF'!FE$36-'Operating Assumptions'!$D$15)/12*FE$23,IF(AND('Operating Assumptions'!$G11="$/Unit/Annual",FE36&lt;'Operating Assumptions'!$D$14,'Operating Assumptions'!$D$15=0),'Operating Assumptions'!$H11*'Monthly CF'!FE$36/12*FE$23,IF(AND('Operating Assumptions'!$G11="$/Unit/Annual",FE36&lt;'Operating Assumptions'!$D$14,'Operating Assumptions'!$D$15&gt;0),'Operating Assumptions'!$H11*('Monthly CF'!FE$36*'Operating Assumptions'!$C$15)/12*FE$23,IF(AND('Operating Assumptions'!$G11="$/Unit/Month",FE36='Operating Assumptions'!$D$14),'Operating Assumptions'!$H11*('Monthly CF'!FE$36-'Operating Assumptions'!$D$15)*FE$23,IF(AND('Operating Assumptions'!$G11="$/Unit/Month",FE36&lt;'Operating Assumptions'!$D$14,'Operating Assumptions'!$D$15=0),'Operating Assumptions'!$H11*'Monthly CF'!FE$36*FE$23,IF(AND('Operating Assumptions'!$G11="$/Unit/Month",FE36&lt;'Operating Assumptions'!$D$14,'Operating Assumptions'!$D$15&gt;0),'Operating Assumptions'!$H11*('Monthly CF'!FE$36*'Operating Assumptions'!$C$15)*FE$23,IF('Operating Assumptions'!$G11="Fixed Amount",'Operating Assumptions'!$H11/12*FE$23,IF('Operating Assumptions'!$G11="$/NSF",'Operating Assumptions'!$H11*'Operating Assumptions'!$D$12/12*FE$23,IF('Operating Assumptions'!$G11="N/A",0)))))))))))</f>
        <v>0</v>
      </c>
      <c r="FF44" s="436">
        <f>IF(FF$9&lt;'Operating Assumptions'!$D$53,0,IF(FF$6&gt;'Operating Assumptions'!$AA$8,0,IF(AND('Operating Assumptions'!$G11="$/Unit/Annual",FF36='Operating Assumptions'!$D$14),'Operating Assumptions'!$H11*('Monthly CF'!FF$36-'Operating Assumptions'!$D$15)/12*FF$23,IF(AND('Operating Assumptions'!$G11="$/Unit/Annual",FF36&lt;'Operating Assumptions'!$D$14,'Operating Assumptions'!$D$15=0),'Operating Assumptions'!$H11*'Monthly CF'!FF$36/12*FF$23,IF(AND('Operating Assumptions'!$G11="$/Unit/Annual",FF36&lt;'Operating Assumptions'!$D$14,'Operating Assumptions'!$D$15&gt;0),'Operating Assumptions'!$H11*('Monthly CF'!FF$36*'Operating Assumptions'!$C$15)/12*FF$23,IF(AND('Operating Assumptions'!$G11="$/Unit/Month",FF36='Operating Assumptions'!$D$14),'Operating Assumptions'!$H11*('Monthly CF'!FF$36-'Operating Assumptions'!$D$15)*FF$23,IF(AND('Operating Assumptions'!$G11="$/Unit/Month",FF36&lt;'Operating Assumptions'!$D$14,'Operating Assumptions'!$D$15=0),'Operating Assumptions'!$H11*'Monthly CF'!FF$36*FF$23,IF(AND('Operating Assumptions'!$G11="$/Unit/Month",FF36&lt;'Operating Assumptions'!$D$14,'Operating Assumptions'!$D$15&gt;0),'Operating Assumptions'!$H11*('Monthly CF'!FF$36*'Operating Assumptions'!$C$15)*FF$23,IF('Operating Assumptions'!$G11="Fixed Amount",'Operating Assumptions'!$H11/12*FF$23,IF('Operating Assumptions'!$G11="$/NSF",'Operating Assumptions'!$H11*'Operating Assumptions'!$D$12/12*FF$23,IF('Operating Assumptions'!$G11="N/A",0)))))))))))</f>
        <v>0</v>
      </c>
      <c r="FG44" s="436">
        <f>IF(FG$9&lt;'Operating Assumptions'!$D$53,0,IF(FG$6&gt;'Operating Assumptions'!$AA$8,0,IF(AND('Operating Assumptions'!$G11="$/Unit/Annual",FG36='Operating Assumptions'!$D$14),'Operating Assumptions'!$H11*('Monthly CF'!FG$36-'Operating Assumptions'!$D$15)/12*FG$23,IF(AND('Operating Assumptions'!$G11="$/Unit/Annual",FG36&lt;'Operating Assumptions'!$D$14,'Operating Assumptions'!$D$15=0),'Operating Assumptions'!$H11*'Monthly CF'!FG$36/12*FG$23,IF(AND('Operating Assumptions'!$G11="$/Unit/Annual",FG36&lt;'Operating Assumptions'!$D$14,'Operating Assumptions'!$D$15&gt;0),'Operating Assumptions'!$H11*('Monthly CF'!FG$36*'Operating Assumptions'!$C$15)/12*FG$23,IF(AND('Operating Assumptions'!$G11="$/Unit/Month",FG36='Operating Assumptions'!$D$14),'Operating Assumptions'!$H11*('Monthly CF'!FG$36-'Operating Assumptions'!$D$15)*FG$23,IF(AND('Operating Assumptions'!$G11="$/Unit/Month",FG36&lt;'Operating Assumptions'!$D$14,'Operating Assumptions'!$D$15=0),'Operating Assumptions'!$H11*'Monthly CF'!FG$36*FG$23,IF(AND('Operating Assumptions'!$G11="$/Unit/Month",FG36&lt;'Operating Assumptions'!$D$14,'Operating Assumptions'!$D$15&gt;0),'Operating Assumptions'!$H11*('Monthly CF'!FG$36*'Operating Assumptions'!$C$15)*FG$23,IF('Operating Assumptions'!$G11="Fixed Amount",'Operating Assumptions'!$H11/12*FG$23,IF('Operating Assumptions'!$G11="$/NSF",'Operating Assumptions'!$H11*'Operating Assumptions'!$D$12/12*FG$23,IF('Operating Assumptions'!$G11="N/A",0)))))))))))</f>
        <v>0</v>
      </c>
      <c r="FH44" s="436">
        <f>IF(FH$9&lt;'Operating Assumptions'!$D$53,0,IF(FH$6&gt;'Operating Assumptions'!$AA$8,0,IF(AND('Operating Assumptions'!$G11="$/Unit/Annual",FH36='Operating Assumptions'!$D$14),'Operating Assumptions'!$H11*('Monthly CF'!FH$36-'Operating Assumptions'!$D$15)/12*FH$23,IF(AND('Operating Assumptions'!$G11="$/Unit/Annual",FH36&lt;'Operating Assumptions'!$D$14,'Operating Assumptions'!$D$15=0),'Operating Assumptions'!$H11*'Monthly CF'!FH$36/12*FH$23,IF(AND('Operating Assumptions'!$G11="$/Unit/Annual",FH36&lt;'Operating Assumptions'!$D$14,'Operating Assumptions'!$D$15&gt;0),'Operating Assumptions'!$H11*('Monthly CF'!FH$36*'Operating Assumptions'!$C$15)/12*FH$23,IF(AND('Operating Assumptions'!$G11="$/Unit/Month",FH36='Operating Assumptions'!$D$14),'Operating Assumptions'!$H11*('Monthly CF'!FH$36-'Operating Assumptions'!$D$15)*FH$23,IF(AND('Operating Assumptions'!$G11="$/Unit/Month",FH36&lt;'Operating Assumptions'!$D$14,'Operating Assumptions'!$D$15=0),'Operating Assumptions'!$H11*'Monthly CF'!FH$36*FH$23,IF(AND('Operating Assumptions'!$G11="$/Unit/Month",FH36&lt;'Operating Assumptions'!$D$14,'Operating Assumptions'!$D$15&gt;0),'Operating Assumptions'!$H11*('Monthly CF'!FH$36*'Operating Assumptions'!$C$15)*FH$23,IF('Operating Assumptions'!$G11="Fixed Amount",'Operating Assumptions'!$H11/12*FH$23,IF('Operating Assumptions'!$G11="$/NSF",'Operating Assumptions'!$H11*'Operating Assumptions'!$D$12/12*FH$23,IF('Operating Assumptions'!$G11="N/A",0)))))))))))</f>
        <v>0</v>
      </c>
      <c r="FI44" s="436">
        <f>IF(FI$9&lt;'Operating Assumptions'!$D$53,0,IF(FI$6&gt;'Operating Assumptions'!$AA$8,0,IF(AND('Operating Assumptions'!$G11="$/Unit/Annual",FI36='Operating Assumptions'!$D$14),'Operating Assumptions'!$H11*('Monthly CF'!FI$36-'Operating Assumptions'!$D$15)/12*FI$23,IF(AND('Operating Assumptions'!$G11="$/Unit/Annual",FI36&lt;'Operating Assumptions'!$D$14,'Operating Assumptions'!$D$15=0),'Operating Assumptions'!$H11*'Monthly CF'!FI$36/12*FI$23,IF(AND('Operating Assumptions'!$G11="$/Unit/Annual",FI36&lt;'Operating Assumptions'!$D$14,'Operating Assumptions'!$D$15&gt;0),'Operating Assumptions'!$H11*('Monthly CF'!FI$36*'Operating Assumptions'!$C$15)/12*FI$23,IF(AND('Operating Assumptions'!$G11="$/Unit/Month",FI36='Operating Assumptions'!$D$14),'Operating Assumptions'!$H11*('Monthly CF'!FI$36-'Operating Assumptions'!$D$15)*FI$23,IF(AND('Operating Assumptions'!$G11="$/Unit/Month",FI36&lt;'Operating Assumptions'!$D$14,'Operating Assumptions'!$D$15=0),'Operating Assumptions'!$H11*'Monthly CF'!FI$36*FI$23,IF(AND('Operating Assumptions'!$G11="$/Unit/Month",FI36&lt;'Operating Assumptions'!$D$14,'Operating Assumptions'!$D$15&gt;0),'Operating Assumptions'!$H11*('Monthly CF'!FI$36*'Operating Assumptions'!$C$15)*FI$23,IF('Operating Assumptions'!$G11="Fixed Amount",'Operating Assumptions'!$H11/12*FI$23,IF('Operating Assumptions'!$G11="$/NSF",'Operating Assumptions'!$H11*'Operating Assumptions'!$D$12/12*FI$23,IF('Operating Assumptions'!$G11="N/A",0)))))))))))</f>
        <v>0</v>
      </c>
      <c r="FJ44" s="436">
        <f>IF(FJ$9&lt;'Operating Assumptions'!$D$53,0,IF(FJ$6&gt;'Operating Assumptions'!$AA$8,0,IF(AND('Operating Assumptions'!$G11="$/Unit/Annual",FJ36='Operating Assumptions'!$D$14),'Operating Assumptions'!$H11*('Monthly CF'!FJ$36-'Operating Assumptions'!$D$15)/12*FJ$23,IF(AND('Operating Assumptions'!$G11="$/Unit/Annual",FJ36&lt;'Operating Assumptions'!$D$14,'Operating Assumptions'!$D$15=0),'Operating Assumptions'!$H11*'Monthly CF'!FJ$36/12*FJ$23,IF(AND('Operating Assumptions'!$G11="$/Unit/Annual",FJ36&lt;'Operating Assumptions'!$D$14,'Operating Assumptions'!$D$15&gt;0),'Operating Assumptions'!$H11*('Monthly CF'!FJ$36*'Operating Assumptions'!$C$15)/12*FJ$23,IF(AND('Operating Assumptions'!$G11="$/Unit/Month",FJ36='Operating Assumptions'!$D$14),'Operating Assumptions'!$H11*('Monthly CF'!FJ$36-'Operating Assumptions'!$D$15)*FJ$23,IF(AND('Operating Assumptions'!$G11="$/Unit/Month",FJ36&lt;'Operating Assumptions'!$D$14,'Operating Assumptions'!$D$15=0),'Operating Assumptions'!$H11*'Monthly CF'!FJ$36*FJ$23,IF(AND('Operating Assumptions'!$G11="$/Unit/Month",FJ36&lt;'Operating Assumptions'!$D$14,'Operating Assumptions'!$D$15&gt;0),'Operating Assumptions'!$H11*('Monthly CF'!FJ$36*'Operating Assumptions'!$C$15)*FJ$23,IF('Operating Assumptions'!$G11="Fixed Amount",'Operating Assumptions'!$H11/12*FJ$23,IF('Operating Assumptions'!$G11="$/NSF",'Operating Assumptions'!$H11*'Operating Assumptions'!$D$12/12*FJ$23,IF('Operating Assumptions'!$G11="N/A",0)))))))))))</f>
        <v>0</v>
      </c>
      <c r="FK44" s="436">
        <f>IF(FK$9&lt;'Operating Assumptions'!$D$53,0,IF(FK$6&gt;'Operating Assumptions'!$AA$8,0,IF(AND('Operating Assumptions'!$G11="$/Unit/Annual",FK36='Operating Assumptions'!$D$14),'Operating Assumptions'!$H11*('Monthly CF'!FK$36-'Operating Assumptions'!$D$15)/12*FK$23,IF(AND('Operating Assumptions'!$G11="$/Unit/Annual",FK36&lt;'Operating Assumptions'!$D$14,'Operating Assumptions'!$D$15=0),'Operating Assumptions'!$H11*'Monthly CF'!FK$36/12*FK$23,IF(AND('Operating Assumptions'!$G11="$/Unit/Annual",FK36&lt;'Operating Assumptions'!$D$14,'Operating Assumptions'!$D$15&gt;0),'Operating Assumptions'!$H11*('Monthly CF'!FK$36*'Operating Assumptions'!$C$15)/12*FK$23,IF(AND('Operating Assumptions'!$G11="$/Unit/Month",FK36='Operating Assumptions'!$D$14),'Operating Assumptions'!$H11*('Monthly CF'!FK$36-'Operating Assumptions'!$D$15)*FK$23,IF(AND('Operating Assumptions'!$G11="$/Unit/Month",FK36&lt;'Operating Assumptions'!$D$14,'Operating Assumptions'!$D$15=0),'Operating Assumptions'!$H11*'Monthly CF'!FK$36*FK$23,IF(AND('Operating Assumptions'!$G11="$/Unit/Month",FK36&lt;'Operating Assumptions'!$D$14,'Operating Assumptions'!$D$15&gt;0),'Operating Assumptions'!$H11*('Monthly CF'!FK$36*'Operating Assumptions'!$C$15)*FK$23,IF('Operating Assumptions'!$G11="Fixed Amount",'Operating Assumptions'!$H11/12*FK$23,IF('Operating Assumptions'!$G11="$/NSF",'Operating Assumptions'!$H11*'Operating Assumptions'!$D$12/12*FK$23,IF('Operating Assumptions'!$G11="N/A",0)))))))))))</f>
        <v>0</v>
      </c>
      <c r="FL44" s="436">
        <f>IF(FL$9&lt;'Operating Assumptions'!$D$53,0,IF(FL$6&gt;'Operating Assumptions'!$AA$8,0,IF(AND('Operating Assumptions'!$G11="$/Unit/Annual",FL36='Operating Assumptions'!$D$14),'Operating Assumptions'!$H11*('Monthly CF'!FL$36-'Operating Assumptions'!$D$15)/12*FL$23,IF(AND('Operating Assumptions'!$G11="$/Unit/Annual",FL36&lt;'Operating Assumptions'!$D$14,'Operating Assumptions'!$D$15=0),'Operating Assumptions'!$H11*'Monthly CF'!FL$36/12*FL$23,IF(AND('Operating Assumptions'!$G11="$/Unit/Annual",FL36&lt;'Operating Assumptions'!$D$14,'Operating Assumptions'!$D$15&gt;0),'Operating Assumptions'!$H11*('Monthly CF'!FL$36*'Operating Assumptions'!$C$15)/12*FL$23,IF(AND('Operating Assumptions'!$G11="$/Unit/Month",FL36='Operating Assumptions'!$D$14),'Operating Assumptions'!$H11*('Monthly CF'!FL$36-'Operating Assumptions'!$D$15)*FL$23,IF(AND('Operating Assumptions'!$G11="$/Unit/Month",FL36&lt;'Operating Assumptions'!$D$14,'Operating Assumptions'!$D$15=0),'Operating Assumptions'!$H11*'Monthly CF'!FL$36*FL$23,IF(AND('Operating Assumptions'!$G11="$/Unit/Month",FL36&lt;'Operating Assumptions'!$D$14,'Operating Assumptions'!$D$15&gt;0),'Operating Assumptions'!$H11*('Monthly CF'!FL$36*'Operating Assumptions'!$C$15)*FL$23,IF('Operating Assumptions'!$G11="Fixed Amount",'Operating Assumptions'!$H11/12*FL$23,IF('Operating Assumptions'!$G11="$/NSF",'Operating Assumptions'!$H11*'Operating Assumptions'!$D$12/12*FL$23,IF('Operating Assumptions'!$G11="N/A",0)))))))))))</f>
        <v>0</v>
      </c>
      <c r="FM44" s="436">
        <f>IF(FM$9&lt;'Operating Assumptions'!$D$53,0,IF(FM$6&gt;'Operating Assumptions'!$AA$8,0,IF(AND('Operating Assumptions'!$G11="$/Unit/Annual",FM36='Operating Assumptions'!$D$14),'Operating Assumptions'!$H11*('Monthly CF'!FM$36-'Operating Assumptions'!$D$15)/12*FM$23,IF(AND('Operating Assumptions'!$G11="$/Unit/Annual",FM36&lt;'Operating Assumptions'!$D$14,'Operating Assumptions'!$D$15=0),'Operating Assumptions'!$H11*'Monthly CF'!FM$36/12*FM$23,IF(AND('Operating Assumptions'!$G11="$/Unit/Annual",FM36&lt;'Operating Assumptions'!$D$14,'Operating Assumptions'!$D$15&gt;0),'Operating Assumptions'!$H11*('Monthly CF'!FM$36*'Operating Assumptions'!$C$15)/12*FM$23,IF(AND('Operating Assumptions'!$G11="$/Unit/Month",FM36='Operating Assumptions'!$D$14),'Operating Assumptions'!$H11*('Monthly CF'!FM$36-'Operating Assumptions'!$D$15)*FM$23,IF(AND('Operating Assumptions'!$G11="$/Unit/Month",FM36&lt;'Operating Assumptions'!$D$14,'Operating Assumptions'!$D$15=0),'Operating Assumptions'!$H11*'Monthly CF'!FM$36*FM$23,IF(AND('Operating Assumptions'!$G11="$/Unit/Month",FM36&lt;'Operating Assumptions'!$D$14,'Operating Assumptions'!$D$15&gt;0),'Operating Assumptions'!$H11*('Monthly CF'!FM$36*'Operating Assumptions'!$C$15)*FM$23,IF('Operating Assumptions'!$G11="Fixed Amount",'Operating Assumptions'!$H11/12*FM$23,IF('Operating Assumptions'!$G11="$/NSF",'Operating Assumptions'!$H11*'Operating Assumptions'!$D$12/12*FM$23,IF('Operating Assumptions'!$G11="N/A",0)))))))))))</f>
        <v>0</v>
      </c>
      <c r="FN44" s="436">
        <f>IF(FN$9&lt;'Operating Assumptions'!$D$53,0,IF(FN$6&gt;'Operating Assumptions'!$AA$8,0,IF(AND('Operating Assumptions'!$G11="$/Unit/Annual",FN36='Operating Assumptions'!$D$14),'Operating Assumptions'!$H11*('Monthly CF'!FN$36-'Operating Assumptions'!$D$15)/12*FN$23,IF(AND('Operating Assumptions'!$G11="$/Unit/Annual",FN36&lt;'Operating Assumptions'!$D$14,'Operating Assumptions'!$D$15=0),'Operating Assumptions'!$H11*'Monthly CF'!FN$36/12*FN$23,IF(AND('Operating Assumptions'!$G11="$/Unit/Annual",FN36&lt;'Operating Assumptions'!$D$14,'Operating Assumptions'!$D$15&gt;0),'Operating Assumptions'!$H11*('Monthly CF'!FN$36*'Operating Assumptions'!$C$15)/12*FN$23,IF(AND('Operating Assumptions'!$G11="$/Unit/Month",FN36='Operating Assumptions'!$D$14),'Operating Assumptions'!$H11*('Monthly CF'!FN$36-'Operating Assumptions'!$D$15)*FN$23,IF(AND('Operating Assumptions'!$G11="$/Unit/Month",FN36&lt;'Operating Assumptions'!$D$14,'Operating Assumptions'!$D$15=0),'Operating Assumptions'!$H11*'Monthly CF'!FN$36*FN$23,IF(AND('Operating Assumptions'!$G11="$/Unit/Month",FN36&lt;'Operating Assumptions'!$D$14,'Operating Assumptions'!$D$15&gt;0),'Operating Assumptions'!$H11*('Monthly CF'!FN$36*'Operating Assumptions'!$C$15)*FN$23,IF('Operating Assumptions'!$G11="Fixed Amount",'Operating Assumptions'!$H11/12*FN$23,IF('Operating Assumptions'!$G11="$/NSF",'Operating Assumptions'!$H11*'Operating Assumptions'!$D$12/12*FN$23,IF('Operating Assumptions'!$G11="N/A",0)))))))))))</f>
        <v>0</v>
      </c>
      <c r="FO44" s="436">
        <f>IF(FO$9&lt;'Operating Assumptions'!$D$53,0,IF(FO$6&gt;'Operating Assumptions'!$AA$8,0,IF(AND('Operating Assumptions'!$G11="$/Unit/Annual",FO36='Operating Assumptions'!$D$14),'Operating Assumptions'!$H11*('Monthly CF'!FO$36-'Operating Assumptions'!$D$15)/12*FO$23,IF(AND('Operating Assumptions'!$G11="$/Unit/Annual",FO36&lt;'Operating Assumptions'!$D$14,'Operating Assumptions'!$D$15=0),'Operating Assumptions'!$H11*'Monthly CF'!FO$36/12*FO$23,IF(AND('Operating Assumptions'!$G11="$/Unit/Annual",FO36&lt;'Operating Assumptions'!$D$14,'Operating Assumptions'!$D$15&gt;0),'Operating Assumptions'!$H11*('Monthly CF'!FO$36*'Operating Assumptions'!$C$15)/12*FO$23,IF(AND('Operating Assumptions'!$G11="$/Unit/Month",FO36='Operating Assumptions'!$D$14),'Operating Assumptions'!$H11*('Monthly CF'!FO$36-'Operating Assumptions'!$D$15)*FO$23,IF(AND('Operating Assumptions'!$G11="$/Unit/Month",FO36&lt;'Operating Assumptions'!$D$14,'Operating Assumptions'!$D$15=0),'Operating Assumptions'!$H11*'Monthly CF'!FO$36*FO$23,IF(AND('Operating Assumptions'!$G11="$/Unit/Month",FO36&lt;'Operating Assumptions'!$D$14,'Operating Assumptions'!$D$15&gt;0),'Operating Assumptions'!$H11*('Monthly CF'!FO$36*'Operating Assumptions'!$C$15)*FO$23,IF('Operating Assumptions'!$G11="Fixed Amount",'Operating Assumptions'!$H11/12*FO$23,IF('Operating Assumptions'!$G11="$/NSF",'Operating Assumptions'!$H11*'Operating Assumptions'!$D$12/12*FO$23,IF('Operating Assumptions'!$G11="N/A",0)))))))))))</f>
        <v>0</v>
      </c>
      <c r="FP44" s="436">
        <f>IF(FP$9&lt;'Operating Assumptions'!$D$53,0,IF(FP$6&gt;'Operating Assumptions'!$AA$8,0,IF(AND('Operating Assumptions'!$G11="$/Unit/Annual",FP36='Operating Assumptions'!$D$14),'Operating Assumptions'!$H11*('Monthly CF'!FP$36-'Operating Assumptions'!$D$15)/12*FP$23,IF(AND('Operating Assumptions'!$G11="$/Unit/Annual",FP36&lt;'Operating Assumptions'!$D$14,'Operating Assumptions'!$D$15=0),'Operating Assumptions'!$H11*'Monthly CF'!FP$36/12*FP$23,IF(AND('Operating Assumptions'!$G11="$/Unit/Annual",FP36&lt;'Operating Assumptions'!$D$14,'Operating Assumptions'!$D$15&gt;0),'Operating Assumptions'!$H11*('Monthly CF'!FP$36*'Operating Assumptions'!$C$15)/12*FP$23,IF(AND('Operating Assumptions'!$G11="$/Unit/Month",FP36='Operating Assumptions'!$D$14),'Operating Assumptions'!$H11*('Monthly CF'!FP$36-'Operating Assumptions'!$D$15)*FP$23,IF(AND('Operating Assumptions'!$G11="$/Unit/Month",FP36&lt;'Operating Assumptions'!$D$14,'Operating Assumptions'!$D$15=0),'Operating Assumptions'!$H11*'Monthly CF'!FP$36*FP$23,IF(AND('Operating Assumptions'!$G11="$/Unit/Month",FP36&lt;'Operating Assumptions'!$D$14,'Operating Assumptions'!$D$15&gt;0),'Operating Assumptions'!$H11*('Monthly CF'!FP$36*'Operating Assumptions'!$C$15)*FP$23,IF('Operating Assumptions'!$G11="Fixed Amount",'Operating Assumptions'!$H11/12*FP$23,IF('Operating Assumptions'!$G11="$/NSF",'Operating Assumptions'!$H11*'Operating Assumptions'!$D$12/12*FP$23,IF('Operating Assumptions'!$G11="N/A",0)))))))))))</f>
        <v>0</v>
      </c>
      <c r="FQ44" s="436">
        <f>IF(FQ$9&lt;'Operating Assumptions'!$D$53,0,IF(FQ$6&gt;'Operating Assumptions'!$AA$8,0,IF(AND('Operating Assumptions'!$G11="$/Unit/Annual",FQ36='Operating Assumptions'!$D$14),'Operating Assumptions'!$H11*('Monthly CF'!FQ$36-'Operating Assumptions'!$D$15)/12*FQ$23,IF(AND('Operating Assumptions'!$G11="$/Unit/Annual",FQ36&lt;'Operating Assumptions'!$D$14,'Operating Assumptions'!$D$15=0),'Operating Assumptions'!$H11*'Monthly CF'!FQ$36/12*FQ$23,IF(AND('Operating Assumptions'!$G11="$/Unit/Annual",FQ36&lt;'Operating Assumptions'!$D$14,'Operating Assumptions'!$D$15&gt;0),'Operating Assumptions'!$H11*('Monthly CF'!FQ$36*'Operating Assumptions'!$C$15)/12*FQ$23,IF(AND('Operating Assumptions'!$G11="$/Unit/Month",FQ36='Operating Assumptions'!$D$14),'Operating Assumptions'!$H11*('Monthly CF'!FQ$36-'Operating Assumptions'!$D$15)*FQ$23,IF(AND('Operating Assumptions'!$G11="$/Unit/Month",FQ36&lt;'Operating Assumptions'!$D$14,'Operating Assumptions'!$D$15=0),'Operating Assumptions'!$H11*'Monthly CF'!FQ$36*FQ$23,IF(AND('Operating Assumptions'!$G11="$/Unit/Month",FQ36&lt;'Operating Assumptions'!$D$14,'Operating Assumptions'!$D$15&gt;0),'Operating Assumptions'!$H11*('Monthly CF'!FQ$36*'Operating Assumptions'!$C$15)*FQ$23,IF('Operating Assumptions'!$G11="Fixed Amount",'Operating Assumptions'!$H11/12*FQ$23,IF('Operating Assumptions'!$G11="$/NSF",'Operating Assumptions'!$H11*'Operating Assumptions'!$D$12/12*FQ$23,IF('Operating Assumptions'!$G11="N/A",0)))))))))))</f>
        <v>0</v>
      </c>
      <c r="FR44" s="436">
        <f>IF(FR$9&lt;'Operating Assumptions'!$D$53,0,IF(FR$6&gt;'Operating Assumptions'!$AA$8,0,IF(AND('Operating Assumptions'!$G11="$/Unit/Annual",FR36='Operating Assumptions'!$D$14),'Operating Assumptions'!$H11*('Monthly CF'!FR$36-'Operating Assumptions'!$D$15)/12*FR$23,IF(AND('Operating Assumptions'!$G11="$/Unit/Annual",FR36&lt;'Operating Assumptions'!$D$14,'Operating Assumptions'!$D$15=0),'Operating Assumptions'!$H11*'Monthly CF'!FR$36/12*FR$23,IF(AND('Operating Assumptions'!$G11="$/Unit/Annual",FR36&lt;'Operating Assumptions'!$D$14,'Operating Assumptions'!$D$15&gt;0),'Operating Assumptions'!$H11*('Monthly CF'!FR$36*'Operating Assumptions'!$C$15)/12*FR$23,IF(AND('Operating Assumptions'!$G11="$/Unit/Month",FR36='Operating Assumptions'!$D$14),'Operating Assumptions'!$H11*('Monthly CF'!FR$36-'Operating Assumptions'!$D$15)*FR$23,IF(AND('Operating Assumptions'!$G11="$/Unit/Month",FR36&lt;'Operating Assumptions'!$D$14,'Operating Assumptions'!$D$15=0),'Operating Assumptions'!$H11*'Monthly CF'!FR$36*FR$23,IF(AND('Operating Assumptions'!$G11="$/Unit/Month",FR36&lt;'Operating Assumptions'!$D$14,'Operating Assumptions'!$D$15&gt;0),'Operating Assumptions'!$H11*('Monthly CF'!FR$36*'Operating Assumptions'!$C$15)*FR$23,IF('Operating Assumptions'!$G11="Fixed Amount",'Operating Assumptions'!$H11/12*FR$23,IF('Operating Assumptions'!$G11="$/NSF",'Operating Assumptions'!$H11*'Operating Assumptions'!$D$12/12*FR$23,IF('Operating Assumptions'!$G11="N/A",0)))))))))))</f>
        <v>0</v>
      </c>
      <c r="FS44" s="436">
        <f>IF(FS$9&lt;'Operating Assumptions'!$D$53,0,IF(FS$6&gt;'Operating Assumptions'!$AA$8,0,IF(AND('Operating Assumptions'!$G11="$/Unit/Annual",FS36='Operating Assumptions'!$D$14),'Operating Assumptions'!$H11*('Monthly CF'!FS$36-'Operating Assumptions'!$D$15)/12*FS$23,IF(AND('Operating Assumptions'!$G11="$/Unit/Annual",FS36&lt;'Operating Assumptions'!$D$14,'Operating Assumptions'!$D$15=0),'Operating Assumptions'!$H11*'Monthly CF'!FS$36/12*FS$23,IF(AND('Operating Assumptions'!$G11="$/Unit/Annual",FS36&lt;'Operating Assumptions'!$D$14,'Operating Assumptions'!$D$15&gt;0),'Operating Assumptions'!$H11*('Monthly CF'!FS$36*'Operating Assumptions'!$C$15)/12*FS$23,IF(AND('Operating Assumptions'!$G11="$/Unit/Month",FS36='Operating Assumptions'!$D$14),'Operating Assumptions'!$H11*('Monthly CF'!FS$36-'Operating Assumptions'!$D$15)*FS$23,IF(AND('Operating Assumptions'!$G11="$/Unit/Month",FS36&lt;'Operating Assumptions'!$D$14,'Operating Assumptions'!$D$15=0),'Operating Assumptions'!$H11*'Monthly CF'!FS$36*FS$23,IF(AND('Operating Assumptions'!$G11="$/Unit/Month",FS36&lt;'Operating Assumptions'!$D$14,'Operating Assumptions'!$D$15&gt;0),'Operating Assumptions'!$H11*('Monthly CF'!FS$36*'Operating Assumptions'!$C$15)*FS$23,IF('Operating Assumptions'!$G11="Fixed Amount",'Operating Assumptions'!$H11/12*FS$23,IF('Operating Assumptions'!$G11="$/NSF",'Operating Assumptions'!$H11*'Operating Assumptions'!$D$12/12*FS$23,IF('Operating Assumptions'!$G11="N/A",0)))))))))))</f>
        <v>0</v>
      </c>
      <c r="FT44" s="436">
        <f>IF(FT$9&lt;'Operating Assumptions'!$D$53,0,IF(FT$6&gt;'Operating Assumptions'!$AA$8,0,IF(AND('Operating Assumptions'!$G11="$/Unit/Annual",FT36='Operating Assumptions'!$D$14),'Operating Assumptions'!$H11*('Monthly CF'!FT$36-'Operating Assumptions'!$D$15)/12*FT$23,IF(AND('Operating Assumptions'!$G11="$/Unit/Annual",FT36&lt;'Operating Assumptions'!$D$14,'Operating Assumptions'!$D$15=0),'Operating Assumptions'!$H11*'Monthly CF'!FT$36/12*FT$23,IF(AND('Operating Assumptions'!$G11="$/Unit/Annual",FT36&lt;'Operating Assumptions'!$D$14,'Operating Assumptions'!$D$15&gt;0),'Operating Assumptions'!$H11*('Monthly CF'!FT$36*'Operating Assumptions'!$C$15)/12*FT$23,IF(AND('Operating Assumptions'!$G11="$/Unit/Month",FT36='Operating Assumptions'!$D$14),'Operating Assumptions'!$H11*('Monthly CF'!FT$36-'Operating Assumptions'!$D$15)*FT$23,IF(AND('Operating Assumptions'!$G11="$/Unit/Month",FT36&lt;'Operating Assumptions'!$D$14,'Operating Assumptions'!$D$15=0),'Operating Assumptions'!$H11*'Monthly CF'!FT$36*FT$23,IF(AND('Operating Assumptions'!$G11="$/Unit/Month",FT36&lt;'Operating Assumptions'!$D$14,'Operating Assumptions'!$D$15&gt;0),'Operating Assumptions'!$H11*('Monthly CF'!FT$36*'Operating Assumptions'!$C$15)*FT$23,IF('Operating Assumptions'!$G11="Fixed Amount",'Operating Assumptions'!$H11/12*FT$23,IF('Operating Assumptions'!$G11="$/NSF",'Operating Assumptions'!$H11*'Operating Assumptions'!$D$12/12*FT$23,IF('Operating Assumptions'!$G11="N/A",0)))))))))))</f>
        <v>0</v>
      </c>
      <c r="FU44" s="118"/>
      <c r="FV44" s="435"/>
      <c r="FW44" s="435"/>
      <c r="FX44" s="435"/>
      <c r="FY44" s="435"/>
      <c r="FZ44" s="435"/>
    </row>
    <row r="45" spans="1:182" s="89" customFormat="1" ht="13.5" x14ac:dyDescent="0.25">
      <c r="A45" s="34"/>
      <c r="B45" s="128" t="str">
        <f>'Operating Assumptions'!F12</f>
        <v>Blank</v>
      </c>
      <c r="C45" s="34"/>
      <c r="D45" s="34"/>
      <c r="E45" s="34"/>
      <c r="F45" s="434">
        <f t="shared" si="148"/>
        <v>0</v>
      </c>
      <c r="G45" s="34"/>
      <c r="H45" s="427">
        <f>IF(OR(H$9&lt;'Operating Assumptions'!$D$53,H$6&gt;'Operating Assumptions'!$AA$8,'Operating Assumptions'!$G12="N/A"),0,IF('Operating Assumptions'!$G12="$/Unit/Annual",(('Operating Assumptions'!$H12*H$23)*H$36)/12,IF('Operating Assumptions'!$G12="$/Unit/Month",('Operating Assumptions'!$H12*H$23)*H$36,IF('Operating Assumptions'!$G12="Fixed Amount",('Operating Assumptions'!$H12*H$23)/12,IF('Operating Assumptions'!$G12="$/Garage/Month",('Operating Assumptions'!$H12*H$23)*'Operating Assumptions'!$D$16,IF('Operating Assumptions'!$G12="$/Pet/Month",(H$36*'Operating Assumptions'!$D$18)*('Operating Assumptions'!$H12*H$23),IF('Operating Assumptions'!$G12="$/Parking/Month",('Operating Assumptions'!$H12*H$23)*'Operating Assumptions'!$D$17)))))))</f>
        <v>0</v>
      </c>
      <c r="I45" s="427">
        <f>IF(OR(I$9&lt;'Operating Assumptions'!$D$53,I$6&gt;'Operating Assumptions'!$AA$8,'Operating Assumptions'!$G12="N/A"),0,IF('Operating Assumptions'!$G12="$/Unit/Annual",(('Operating Assumptions'!$H12*I$23)*I$36)/12,IF('Operating Assumptions'!$G12="$/Unit/Month",('Operating Assumptions'!$H12*I$23)*I$36,IF('Operating Assumptions'!$G12="Fixed Amount",('Operating Assumptions'!$H12*I$23)/12,IF('Operating Assumptions'!$G12="$/Garage/Month",('Operating Assumptions'!$H12*I$23)*'Operating Assumptions'!$D$16,IF('Operating Assumptions'!$G12="$/Pet/Month",(I$36*'Operating Assumptions'!$D$18)*('Operating Assumptions'!$H12*I$23),IF('Operating Assumptions'!$G12="$/Parking/Month",('Operating Assumptions'!$H12*I$23)*'Operating Assumptions'!$D$17)))))))</f>
        <v>0</v>
      </c>
      <c r="J45" s="427">
        <f>IF(OR(J$9&lt;'Operating Assumptions'!$D$53,J$6&gt;'Operating Assumptions'!$AA$8,'Operating Assumptions'!$G12="N/A"),0,IF('Operating Assumptions'!$G12="$/Unit/Annual",(('Operating Assumptions'!$H12*J$23)*J$36)/12,IF('Operating Assumptions'!$G12="$/Unit/Month",('Operating Assumptions'!$H12*J$23)*J$36,IF('Operating Assumptions'!$G12="Fixed Amount",('Operating Assumptions'!$H12*J$23)/12,IF('Operating Assumptions'!$G12="$/Garage/Month",('Operating Assumptions'!$H12*J$23)*'Operating Assumptions'!$D$16,IF('Operating Assumptions'!$G12="$/Pet/Month",(J$36*'Operating Assumptions'!$D$18)*('Operating Assumptions'!$H12*J$23),IF('Operating Assumptions'!$G12="$/Parking/Month",('Operating Assumptions'!$H12*J$23)*'Operating Assumptions'!$D$17)))))))</f>
        <v>0</v>
      </c>
      <c r="K45" s="427">
        <f>IF(OR(K$9&lt;'Operating Assumptions'!$D$53,K$6&gt;'Operating Assumptions'!$AA$8,'Operating Assumptions'!$G12="N/A"),0,IF('Operating Assumptions'!$G12="$/Unit/Annual",(('Operating Assumptions'!$H12*K$23)*K$36)/12,IF('Operating Assumptions'!$G12="$/Unit/Month",('Operating Assumptions'!$H12*K$23)*K$36,IF('Operating Assumptions'!$G12="Fixed Amount",('Operating Assumptions'!$H12*K$23)/12,IF('Operating Assumptions'!$G12="$/Garage/Month",('Operating Assumptions'!$H12*K$23)*'Operating Assumptions'!$D$16,IF('Operating Assumptions'!$G12="$/Pet/Month",(K$36*'Operating Assumptions'!$D$18)*('Operating Assumptions'!$H12*K$23),IF('Operating Assumptions'!$G12="$/Parking/Month",('Operating Assumptions'!$H12*K$23)*'Operating Assumptions'!$D$17)))))))</f>
        <v>0</v>
      </c>
      <c r="L45" s="427">
        <f>IF(OR(L$9&lt;'Operating Assumptions'!$D$53,L$6&gt;'Operating Assumptions'!$AA$8,'Operating Assumptions'!$G12="N/A"),0,IF('Operating Assumptions'!$G12="$/Unit/Annual",(('Operating Assumptions'!$H12*L$23)*L$36)/12,IF('Operating Assumptions'!$G12="$/Unit/Month",('Operating Assumptions'!$H12*L$23)*L$36,IF('Operating Assumptions'!$G12="Fixed Amount",('Operating Assumptions'!$H12*L$23)/12,IF('Operating Assumptions'!$G12="$/Garage/Month",('Operating Assumptions'!$H12*L$23)*'Operating Assumptions'!$D$16,IF('Operating Assumptions'!$G12="$/Pet/Month",(L$36*'Operating Assumptions'!$D$18)*('Operating Assumptions'!$H12*L$23),IF('Operating Assumptions'!$G12="$/Parking/Month",('Operating Assumptions'!$H12*L$23)*'Operating Assumptions'!$D$17)))))))</f>
        <v>0</v>
      </c>
      <c r="M45" s="427">
        <f>IF(OR(M$9&lt;'Operating Assumptions'!$D$53,M$6&gt;'Operating Assumptions'!$AA$8,'Operating Assumptions'!$G12="N/A"),0,IF('Operating Assumptions'!$G12="$/Unit/Annual",(('Operating Assumptions'!$H12*M$23)*M$36)/12,IF('Operating Assumptions'!$G12="$/Unit/Month",('Operating Assumptions'!$H12*M$23)*M$36,IF('Operating Assumptions'!$G12="Fixed Amount",('Operating Assumptions'!$H12*M$23)/12,IF('Operating Assumptions'!$G12="$/Garage/Month",('Operating Assumptions'!$H12*M$23)*'Operating Assumptions'!$D$16,IF('Operating Assumptions'!$G12="$/Pet/Month",(M$36*'Operating Assumptions'!$D$18)*('Operating Assumptions'!$H12*M$23),IF('Operating Assumptions'!$G12="$/Parking/Month",('Operating Assumptions'!$H12*M$23)*'Operating Assumptions'!$D$17)))))))</f>
        <v>0</v>
      </c>
      <c r="N45" s="427">
        <f>IF(OR(N$9&lt;'Operating Assumptions'!$D$53,N$6&gt;'Operating Assumptions'!$AA$8,'Operating Assumptions'!$G12="N/A"),0,IF('Operating Assumptions'!$G12="$/Unit/Annual",(('Operating Assumptions'!$H12*N$23)*N$36)/12,IF('Operating Assumptions'!$G12="$/Unit/Month",('Operating Assumptions'!$H12*N$23)*N$36,IF('Operating Assumptions'!$G12="Fixed Amount",('Operating Assumptions'!$H12*N$23)/12,IF('Operating Assumptions'!$G12="$/Garage/Month",('Operating Assumptions'!$H12*N$23)*'Operating Assumptions'!$D$16,IF('Operating Assumptions'!$G12="$/Pet/Month",(N$36*'Operating Assumptions'!$D$18)*('Operating Assumptions'!$H12*N$23),IF('Operating Assumptions'!$G12="$/Parking/Month",('Operating Assumptions'!$H12*N$23)*'Operating Assumptions'!$D$17)))))))</f>
        <v>0</v>
      </c>
      <c r="O45" s="427">
        <f>IF(OR(O$9&lt;'Operating Assumptions'!$D$53,O$6&gt;'Operating Assumptions'!$AA$8,'Operating Assumptions'!$G12="N/A"),0,IF('Operating Assumptions'!$G12="$/Unit/Annual",(('Operating Assumptions'!$H12*O$23)*O$36)/12,IF('Operating Assumptions'!$G12="$/Unit/Month",('Operating Assumptions'!$H12*O$23)*O$36,IF('Operating Assumptions'!$G12="Fixed Amount",('Operating Assumptions'!$H12*O$23)/12,IF('Operating Assumptions'!$G12="$/Garage/Month",('Operating Assumptions'!$H12*O$23)*'Operating Assumptions'!$D$16,IF('Operating Assumptions'!$G12="$/Pet/Month",(O$36*'Operating Assumptions'!$D$18)*('Operating Assumptions'!$H12*O$23),IF('Operating Assumptions'!$G12="$/Parking/Month",('Operating Assumptions'!$H12*O$23)*'Operating Assumptions'!$D$17)))))))</f>
        <v>0</v>
      </c>
      <c r="P45" s="427">
        <f>IF(OR(P$9&lt;'Operating Assumptions'!$D$53,P$6&gt;'Operating Assumptions'!$AA$8,'Operating Assumptions'!$G12="N/A"),0,IF('Operating Assumptions'!$G12="$/Unit/Annual",(('Operating Assumptions'!$H12*P$23)*P$36)/12,IF('Operating Assumptions'!$G12="$/Unit/Month",('Operating Assumptions'!$H12*P$23)*P$36,IF('Operating Assumptions'!$G12="Fixed Amount",('Operating Assumptions'!$H12*P$23)/12,IF('Operating Assumptions'!$G12="$/Garage/Month",('Operating Assumptions'!$H12*P$23)*'Operating Assumptions'!$D$16,IF('Operating Assumptions'!$G12="$/Pet/Month",(P$36*'Operating Assumptions'!$D$18)*('Operating Assumptions'!$H12*P$23),IF('Operating Assumptions'!$G12="$/Parking/Month",('Operating Assumptions'!$H12*P$23)*'Operating Assumptions'!$D$17)))))))</f>
        <v>0</v>
      </c>
      <c r="Q45" s="427">
        <f>IF(OR(Q$9&lt;'Operating Assumptions'!$D$53,Q$6&gt;'Operating Assumptions'!$AA$8,'Operating Assumptions'!$G12="N/A"),0,IF('Operating Assumptions'!$G12="$/Unit/Annual",(('Operating Assumptions'!$H12*Q$23)*Q$36)/12,IF('Operating Assumptions'!$G12="$/Unit/Month",('Operating Assumptions'!$H12*Q$23)*Q$36,IF('Operating Assumptions'!$G12="Fixed Amount",('Operating Assumptions'!$H12*Q$23)/12,IF('Operating Assumptions'!$G12="$/Garage/Month",('Operating Assumptions'!$H12*Q$23)*'Operating Assumptions'!$D$16,IF('Operating Assumptions'!$G12="$/Pet/Month",(Q$36*'Operating Assumptions'!$D$18)*('Operating Assumptions'!$H12*Q$23),IF('Operating Assumptions'!$G12="$/Parking/Month",('Operating Assumptions'!$H12*Q$23)*'Operating Assumptions'!$D$17)))))))</f>
        <v>0</v>
      </c>
      <c r="R45" s="427">
        <f>IF(OR(R$9&lt;'Operating Assumptions'!$D$53,R$6&gt;'Operating Assumptions'!$AA$8,'Operating Assumptions'!$G12="N/A"),0,IF('Operating Assumptions'!$G12="$/Unit/Annual",(('Operating Assumptions'!$H12*R$23)*R$36)/12,IF('Operating Assumptions'!$G12="$/Unit/Month",('Operating Assumptions'!$H12*R$23)*R$36,IF('Operating Assumptions'!$G12="Fixed Amount",('Operating Assumptions'!$H12*R$23)/12,IF('Operating Assumptions'!$G12="$/Garage/Month",('Operating Assumptions'!$H12*R$23)*'Operating Assumptions'!$D$16,IF('Operating Assumptions'!$G12="$/Pet/Month",(R$36*'Operating Assumptions'!$D$18)*('Operating Assumptions'!$H12*R$23),IF('Operating Assumptions'!$G12="$/Parking/Month",('Operating Assumptions'!$H12*R$23)*'Operating Assumptions'!$D$17)))))))</f>
        <v>0</v>
      </c>
      <c r="S45" s="427">
        <f>IF(OR(S$9&lt;'Operating Assumptions'!$D$53,S$6&gt;'Operating Assumptions'!$AA$8,'Operating Assumptions'!$G12="N/A"),0,IF('Operating Assumptions'!$G12="$/Unit/Annual",(('Operating Assumptions'!$H12*S$23)*S$36)/12,IF('Operating Assumptions'!$G12="$/Unit/Month",('Operating Assumptions'!$H12*S$23)*S$36,IF('Operating Assumptions'!$G12="Fixed Amount",('Operating Assumptions'!$H12*S$23)/12,IF('Operating Assumptions'!$G12="$/Garage/Month",('Operating Assumptions'!$H12*S$23)*'Operating Assumptions'!$D$16,IF('Operating Assumptions'!$G12="$/Pet/Month",(S$36*'Operating Assumptions'!$D$18)*('Operating Assumptions'!$H12*S$23),IF('Operating Assumptions'!$G12="$/Parking/Month",('Operating Assumptions'!$H12*S$23)*'Operating Assumptions'!$D$17)))))))</f>
        <v>0</v>
      </c>
      <c r="T45" s="427">
        <f>IF(OR(T$9&lt;'Operating Assumptions'!$D$53,T$6&gt;'Operating Assumptions'!$AA$8,'Operating Assumptions'!$G12="N/A"),0,IF('Operating Assumptions'!$G12="$/Unit/Annual",(('Operating Assumptions'!$H12*T$23)*T$36)/12,IF('Operating Assumptions'!$G12="$/Unit/Month",('Operating Assumptions'!$H12*T$23)*T$36,IF('Operating Assumptions'!$G12="Fixed Amount",('Operating Assumptions'!$H12*T$23)/12,IF('Operating Assumptions'!$G12="$/Garage/Month",('Operating Assumptions'!$H12*T$23)*'Operating Assumptions'!$D$16,IF('Operating Assumptions'!$G12="$/Pet/Month",(T$36*'Operating Assumptions'!$D$18)*('Operating Assumptions'!$H12*T$23),IF('Operating Assumptions'!$G12="$/Parking/Month",('Operating Assumptions'!$H12*T$23)*'Operating Assumptions'!$D$17)))))))</f>
        <v>0</v>
      </c>
      <c r="U45" s="427">
        <f>IF(OR(U$9&lt;'Operating Assumptions'!$D$53,U$6&gt;'Operating Assumptions'!$AA$8,'Operating Assumptions'!$G12="N/A"),0,IF('Operating Assumptions'!$G12="$/Unit/Annual",(('Operating Assumptions'!$H12*U$23)*U$36)/12,IF('Operating Assumptions'!$G12="$/Unit/Month",('Operating Assumptions'!$H12*U$23)*U$36,IF('Operating Assumptions'!$G12="Fixed Amount",('Operating Assumptions'!$H12*U$23)/12,IF('Operating Assumptions'!$G12="$/Garage/Month",('Operating Assumptions'!$H12*U$23)*'Operating Assumptions'!$D$16,IF('Operating Assumptions'!$G12="$/Pet/Month",(U$36*'Operating Assumptions'!$D$18)*('Operating Assumptions'!$H12*U$23),IF('Operating Assumptions'!$G12="$/Parking/Month",('Operating Assumptions'!$H12*U$23)*'Operating Assumptions'!$D$17)))))))</f>
        <v>0</v>
      </c>
      <c r="V45" s="427">
        <f>IF(OR(V$9&lt;'Operating Assumptions'!$D$53,V$6&gt;'Operating Assumptions'!$AA$8,'Operating Assumptions'!$G12="N/A"),0,IF('Operating Assumptions'!$G12="$/Unit/Annual",(('Operating Assumptions'!$H12*V$23)*V$36)/12,IF('Operating Assumptions'!$G12="$/Unit/Month",('Operating Assumptions'!$H12*V$23)*V$36,IF('Operating Assumptions'!$G12="Fixed Amount",('Operating Assumptions'!$H12*V$23)/12,IF('Operating Assumptions'!$G12="$/Garage/Month",('Operating Assumptions'!$H12*V$23)*'Operating Assumptions'!$D$16,IF('Operating Assumptions'!$G12="$/Pet/Month",(V$36*'Operating Assumptions'!$D$18)*('Operating Assumptions'!$H12*V$23),IF('Operating Assumptions'!$G12="$/Parking/Month",('Operating Assumptions'!$H12*V$23)*'Operating Assumptions'!$D$17)))))))</f>
        <v>0</v>
      </c>
      <c r="W45" s="427">
        <f>IF(OR(W$9&lt;'Operating Assumptions'!$D$53,W$6&gt;'Operating Assumptions'!$AA$8,'Operating Assumptions'!$G12="N/A"),0,IF('Operating Assumptions'!$G12="$/Unit/Annual",(('Operating Assumptions'!$H12*W$23)*W$36)/12,IF('Operating Assumptions'!$G12="$/Unit/Month",('Operating Assumptions'!$H12*W$23)*W$36,IF('Operating Assumptions'!$G12="Fixed Amount",('Operating Assumptions'!$H12*W$23)/12,IF('Operating Assumptions'!$G12="$/Garage/Month",('Operating Assumptions'!$H12*W$23)*'Operating Assumptions'!$D$16,IF('Operating Assumptions'!$G12="$/Pet/Month",(W$36*'Operating Assumptions'!$D$18)*('Operating Assumptions'!$H12*W$23),IF('Operating Assumptions'!$G12="$/Parking/Month",('Operating Assumptions'!$H12*W$23)*'Operating Assumptions'!$D$17)))))))</f>
        <v>0</v>
      </c>
      <c r="X45" s="427">
        <f>IF(OR(X$9&lt;'Operating Assumptions'!$D$53,X$6&gt;'Operating Assumptions'!$AA$8,'Operating Assumptions'!$G12="N/A"),0,IF('Operating Assumptions'!$G12="$/Unit/Annual",(('Operating Assumptions'!$H12*X$23)*X$36)/12,IF('Operating Assumptions'!$G12="$/Unit/Month",('Operating Assumptions'!$H12*X$23)*X$36,IF('Operating Assumptions'!$G12="Fixed Amount",('Operating Assumptions'!$H12*X$23)/12,IF('Operating Assumptions'!$G12="$/Garage/Month",('Operating Assumptions'!$H12*X$23)*'Operating Assumptions'!$D$16,IF('Operating Assumptions'!$G12="$/Pet/Month",(X$36*'Operating Assumptions'!$D$18)*('Operating Assumptions'!$H12*X$23),IF('Operating Assumptions'!$G12="$/Parking/Month",('Operating Assumptions'!$H12*X$23)*'Operating Assumptions'!$D$17)))))))</f>
        <v>0</v>
      </c>
      <c r="Y45" s="427">
        <f>IF(OR(Y$9&lt;'Operating Assumptions'!$D$53,Y$6&gt;'Operating Assumptions'!$AA$8,'Operating Assumptions'!$G12="N/A"),0,IF('Operating Assumptions'!$G12="$/Unit/Annual",(('Operating Assumptions'!$H12*Y$23)*Y$36)/12,IF('Operating Assumptions'!$G12="$/Unit/Month",('Operating Assumptions'!$H12*Y$23)*Y$36,IF('Operating Assumptions'!$G12="Fixed Amount",('Operating Assumptions'!$H12*Y$23)/12,IF('Operating Assumptions'!$G12="$/Garage/Month",('Operating Assumptions'!$H12*Y$23)*'Operating Assumptions'!$D$16,IF('Operating Assumptions'!$G12="$/Pet/Month",(Y$36*'Operating Assumptions'!$D$18)*('Operating Assumptions'!$H12*Y$23),IF('Operating Assumptions'!$G12="$/Parking/Month",('Operating Assumptions'!$H12*Y$23)*'Operating Assumptions'!$D$17)))))))</f>
        <v>0</v>
      </c>
      <c r="Z45" s="427">
        <f>IF(OR(Z$9&lt;'Operating Assumptions'!$D$53,Z$6&gt;'Operating Assumptions'!$AA$8,'Operating Assumptions'!$G12="N/A"),0,IF('Operating Assumptions'!$G12="$/Unit/Annual",(('Operating Assumptions'!$H12*Z$23)*Z$36)/12,IF('Operating Assumptions'!$G12="$/Unit/Month",('Operating Assumptions'!$H12*Z$23)*Z$36,IF('Operating Assumptions'!$G12="Fixed Amount",('Operating Assumptions'!$H12*Z$23)/12,IF('Operating Assumptions'!$G12="$/Garage/Month",('Operating Assumptions'!$H12*Z$23)*'Operating Assumptions'!$D$16,IF('Operating Assumptions'!$G12="$/Pet/Month",(Z$36*'Operating Assumptions'!$D$18)*('Operating Assumptions'!$H12*Z$23),IF('Operating Assumptions'!$G12="$/Parking/Month",('Operating Assumptions'!$H12*Z$23)*'Operating Assumptions'!$D$17)))))))</f>
        <v>0</v>
      </c>
      <c r="AA45" s="427">
        <f>IF(OR(AA$9&lt;'Operating Assumptions'!$D$53,AA$6&gt;'Operating Assumptions'!$AA$8,'Operating Assumptions'!$G12="N/A"),0,IF('Operating Assumptions'!$G12="$/Unit/Annual",(('Operating Assumptions'!$H12*AA$23)*AA$36)/12,IF('Operating Assumptions'!$G12="$/Unit/Month",('Operating Assumptions'!$H12*AA$23)*AA$36,IF('Operating Assumptions'!$G12="Fixed Amount",('Operating Assumptions'!$H12*AA$23)/12,IF('Operating Assumptions'!$G12="$/Garage/Month",('Operating Assumptions'!$H12*AA$23)*'Operating Assumptions'!$D$16,IF('Operating Assumptions'!$G12="$/Pet/Month",(AA$36*'Operating Assumptions'!$D$18)*('Operating Assumptions'!$H12*AA$23),IF('Operating Assumptions'!$G12="$/Parking/Month",('Operating Assumptions'!$H12*AA$23)*'Operating Assumptions'!$D$17)))))))</f>
        <v>0</v>
      </c>
      <c r="AB45" s="427">
        <f>IF(OR(AB$9&lt;'Operating Assumptions'!$D$53,AB$6&gt;'Operating Assumptions'!$AA$8,'Operating Assumptions'!$G12="N/A"),0,IF('Operating Assumptions'!$G12="$/Unit/Annual",(('Operating Assumptions'!$H12*AB$23)*AB$36)/12,IF('Operating Assumptions'!$G12="$/Unit/Month",('Operating Assumptions'!$H12*AB$23)*AB$36,IF('Operating Assumptions'!$G12="Fixed Amount",('Operating Assumptions'!$H12*AB$23)/12,IF('Operating Assumptions'!$G12="$/Garage/Month",('Operating Assumptions'!$H12*AB$23)*'Operating Assumptions'!$D$16,IF('Operating Assumptions'!$G12="$/Pet/Month",(AB$36*'Operating Assumptions'!$D$18)*('Operating Assumptions'!$H12*AB$23),IF('Operating Assumptions'!$G12="$/Parking/Month",('Operating Assumptions'!$H12*AB$23)*'Operating Assumptions'!$D$17)))))))</f>
        <v>0</v>
      </c>
      <c r="AC45" s="427">
        <f>IF(OR(AC$9&lt;'Operating Assumptions'!$D$53,AC$6&gt;'Operating Assumptions'!$AA$8,'Operating Assumptions'!$G12="N/A"),0,IF('Operating Assumptions'!$G12="$/Unit/Annual",(('Operating Assumptions'!$H12*AC$23)*AC$36)/12,IF('Operating Assumptions'!$G12="$/Unit/Month",('Operating Assumptions'!$H12*AC$23)*AC$36,IF('Operating Assumptions'!$G12="Fixed Amount",('Operating Assumptions'!$H12*AC$23)/12,IF('Operating Assumptions'!$G12="$/Garage/Month",('Operating Assumptions'!$H12*AC$23)*'Operating Assumptions'!$D$16,IF('Operating Assumptions'!$G12="$/Pet/Month",(AC$36*'Operating Assumptions'!$D$18)*('Operating Assumptions'!$H12*AC$23),IF('Operating Assumptions'!$G12="$/Parking/Month",('Operating Assumptions'!$H12*AC$23)*'Operating Assumptions'!$D$17)))))))</f>
        <v>0</v>
      </c>
      <c r="AD45" s="427">
        <f>IF(OR(AD$9&lt;'Operating Assumptions'!$D$53,AD$6&gt;'Operating Assumptions'!$AA$8,'Operating Assumptions'!$G12="N/A"),0,IF('Operating Assumptions'!$G12="$/Unit/Annual",(('Operating Assumptions'!$H12*AD$23)*AD$36)/12,IF('Operating Assumptions'!$G12="$/Unit/Month",('Operating Assumptions'!$H12*AD$23)*AD$36,IF('Operating Assumptions'!$G12="Fixed Amount",('Operating Assumptions'!$H12*AD$23)/12,IF('Operating Assumptions'!$G12="$/Garage/Month",('Operating Assumptions'!$H12*AD$23)*'Operating Assumptions'!$D$16,IF('Operating Assumptions'!$G12="$/Pet/Month",(AD$36*'Operating Assumptions'!$D$18)*('Operating Assumptions'!$H12*AD$23),IF('Operating Assumptions'!$G12="$/Parking/Month",('Operating Assumptions'!$H12*AD$23)*'Operating Assumptions'!$D$17)))))))</f>
        <v>0</v>
      </c>
      <c r="AE45" s="427">
        <f>IF(OR(AE$9&lt;'Operating Assumptions'!$D$53,AE$6&gt;'Operating Assumptions'!$AA$8,'Operating Assumptions'!$G12="N/A"),0,IF('Operating Assumptions'!$G12="$/Unit/Annual",(('Operating Assumptions'!$H12*AE$23)*AE$36)/12,IF('Operating Assumptions'!$G12="$/Unit/Month",('Operating Assumptions'!$H12*AE$23)*AE$36,IF('Operating Assumptions'!$G12="Fixed Amount",('Operating Assumptions'!$H12*AE$23)/12,IF('Operating Assumptions'!$G12="$/Garage/Month",('Operating Assumptions'!$H12*AE$23)*'Operating Assumptions'!$D$16,IF('Operating Assumptions'!$G12="$/Pet/Month",(AE$36*'Operating Assumptions'!$D$18)*('Operating Assumptions'!$H12*AE$23),IF('Operating Assumptions'!$G12="$/Parking/Month",('Operating Assumptions'!$H12*AE$23)*'Operating Assumptions'!$D$17)))))))</f>
        <v>0</v>
      </c>
      <c r="AF45" s="427">
        <f>IF(OR(AF$9&lt;'Operating Assumptions'!$D$53,AF$6&gt;'Operating Assumptions'!$AA$8,'Operating Assumptions'!$G12="N/A"),0,IF('Operating Assumptions'!$G12="$/Unit/Annual",(('Operating Assumptions'!$H12*AF$23)*AF$36)/12,IF('Operating Assumptions'!$G12="$/Unit/Month",('Operating Assumptions'!$H12*AF$23)*AF$36,IF('Operating Assumptions'!$G12="Fixed Amount",('Operating Assumptions'!$H12*AF$23)/12,IF('Operating Assumptions'!$G12="$/Garage/Month",('Operating Assumptions'!$H12*AF$23)*'Operating Assumptions'!$D$16,IF('Operating Assumptions'!$G12="$/Pet/Month",(AF$36*'Operating Assumptions'!$D$18)*('Operating Assumptions'!$H12*AF$23),IF('Operating Assumptions'!$G12="$/Parking/Month",('Operating Assumptions'!$H12*AF$23)*'Operating Assumptions'!$D$17)))))))</f>
        <v>0</v>
      </c>
      <c r="AG45" s="427">
        <f>IF(OR(AG$9&lt;'Operating Assumptions'!$D$53,AG$6&gt;'Operating Assumptions'!$AA$8,'Operating Assumptions'!$G12="N/A"),0,IF('Operating Assumptions'!$G12="$/Unit/Annual",(('Operating Assumptions'!$H12*AG$23)*AG$36)/12,IF('Operating Assumptions'!$G12="$/Unit/Month",('Operating Assumptions'!$H12*AG$23)*AG$36,IF('Operating Assumptions'!$G12="Fixed Amount",('Operating Assumptions'!$H12*AG$23)/12,IF('Operating Assumptions'!$G12="$/Garage/Month",('Operating Assumptions'!$H12*AG$23)*'Operating Assumptions'!$D$16,IF('Operating Assumptions'!$G12="$/Pet/Month",(AG$36*'Operating Assumptions'!$D$18)*('Operating Assumptions'!$H12*AG$23),IF('Operating Assumptions'!$G12="$/Parking/Month",('Operating Assumptions'!$H12*AG$23)*'Operating Assumptions'!$D$17)))))))</f>
        <v>0</v>
      </c>
      <c r="AH45" s="427">
        <f>IF(OR(AH$9&lt;'Operating Assumptions'!$D$53,AH$6&gt;'Operating Assumptions'!$AA$8,'Operating Assumptions'!$G12="N/A"),0,IF('Operating Assumptions'!$G12="$/Unit/Annual",(('Operating Assumptions'!$H12*AH$23)*AH$36)/12,IF('Operating Assumptions'!$G12="$/Unit/Month",('Operating Assumptions'!$H12*AH$23)*AH$36,IF('Operating Assumptions'!$G12="Fixed Amount",('Operating Assumptions'!$H12*AH$23)/12,IF('Operating Assumptions'!$G12="$/Garage/Month",('Operating Assumptions'!$H12*AH$23)*'Operating Assumptions'!$D$16,IF('Operating Assumptions'!$G12="$/Pet/Month",(AH$36*'Operating Assumptions'!$D$18)*('Operating Assumptions'!$H12*AH$23),IF('Operating Assumptions'!$G12="$/Parking/Month",('Operating Assumptions'!$H12*AH$23)*'Operating Assumptions'!$D$17)))))))</f>
        <v>0</v>
      </c>
      <c r="AI45" s="427">
        <f>IF(OR(AI$9&lt;'Operating Assumptions'!$D$53,AI$6&gt;'Operating Assumptions'!$AA$8,'Operating Assumptions'!$G12="N/A"),0,IF('Operating Assumptions'!$G12="$/Unit/Annual",(('Operating Assumptions'!$H12*AI$23)*AI$36)/12,IF('Operating Assumptions'!$G12="$/Unit/Month",('Operating Assumptions'!$H12*AI$23)*AI$36,IF('Operating Assumptions'!$G12="Fixed Amount",('Operating Assumptions'!$H12*AI$23)/12,IF('Operating Assumptions'!$G12="$/Garage/Month",('Operating Assumptions'!$H12*AI$23)*'Operating Assumptions'!$D$16,IF('Operating Assumptions'!$G12="$/Pet/Month",(AI$36*'Operating Assumptions'!$D$18)*('Operating Assumptions'!$H12*AI$23),IF('Operating Assumptions'!$G12="$/Parking/Month",('Operating Assumptions'!$H12*AI$23)*'Operating Assumptions'!$D$17)))))))</f>
        <v>0</v>
      </c>
      <c r="AJ45" s="427">
        <f>IF(OR(AJ$9&lt;'Operating Assumptions'!$D$53,AJ$6&gt;'Operating Assumptions'!$AA$8,'Operating Assumptions'!$G12="N/A"),0,IF('Operating Assumptions'!$G12="$/Unit/Annual",(('Operating Assumptions'!$H12*AJ$23)*AJ$36)/12,IF('Operating Assumptions'!$G12="$/Unit/Month",('Operating Assumptions'!$H12*AJ$23)*AJ$36,IF('Operating Assumptions'!$G12="Fixed Amount",('Operating Assumptions'!$H12*AJ$23)/12,IF('Operating Assumptions'!$G12="$/Garage/Month",('Operating Assumptions'!$H12*AJ$23)*'Operating Assumptions'!$D$16,IF('Operating Assumptions'!$G12="$/Pet/Month",(AJ$36*'Operating Assumptions'!$D$18)*('Operating Assumptions'!$H12*AJ$23),IF('Operating Assumptions'!$G12="$/Parking/Month",('Operating Assumptions'!$H12*AJ$23)*'Operating Assumptions'!$D$17)))))))</f>
        <v>0</v>
      </c>
      <c r="AK45" s="427">
        <f>IF(OR(AK$9&lt;'Operating Assumptions'!$D$53,AK$6&gt;'Operating Assumptions'!$AA$8,'Operating Assumptions'!$G12="N/A"),0,IF('Operating Assumptions'!$G12="$/Unit/Annual",(('Operating Assumptions'!$H12*AK$23)*AK$36)/12,IF('Operating Assumptions'!$G12="$/Unit/Month",('Operating Assumptions'!$H12*AK$23)*AK$36,IF('Operating Assumptions'!$G12="Fixed Amount",('Operating Assumptions'!$H12*AK$23)/12,IF('Operating Assumptions'!$G12="$/Garage/Month",('Operating Assumptions'!$H12*AK$23)*'Operating Assumptions'!$D$16,IF('Operating Assumptions'!$G12="$/Pet/Month",(AK$36*'Operating Assumptions'!$D$18)*('Operating Assumptions'!$H12*AK$23),IF('Operating Assumptions'!$G12="$/Parking/Month",('Operating Assumptions'!$H12*AK$23)*'Operating Assumptions'!$D$17)))))))</f>
        <v>0</v>
      </c>
      <c r="AL45" s="427">
        <f>IF(OR(AL$9&lt;'Operating Assumptions'!$D$53,AL$6&gt;'Operating Assumptions'!$AA$8,'Operating Assumptions'!$G12="N/A"),0,IF('Operating Assumptions'!$G12="$/Unit/Annual",(('Operating Assumptions'!$H12*AL$23)*AL$36)/12,IF('Operating Assumptions'!$G12="$/Unit/Month",('Operating Assumptions'!$H12*AL$23)*AL$36,IF('Operating Assumptions'!$G12="Fixed Amount",('Operating Assumptions'!$H12*AL$23)/12,IF('Operating Assumptions'!$G12="$/Garage/Month",('Operating Assumptions'!$H12*AL$23)*'Operating Assumptions'!$D$16,IF('Operating Assumptions'!$G12="$/Pet/Month",(AL$36*'Operating Assumptions'!$D$18)*('Operating Assumptions'!$H12*AL$23),IF('Operating Assumptions'!$G12="$/Parking/Month",('Operating Assumptions'!$H12*AL$23)*'Operating Assumptions'!$D$17)))))))</f>
        <v>0</v>
      </c>
      <c r="AM45" s="427">
        <f>IF(OR(AM$9&lt;'Operating Assumptions'!$D$53,AM$6&gt;'Operating Assumptions'!$AA$8,'Operating Assumptions'!$G12="N/A"),0,IF('Operating Assumptions'!$G12="$/Unit/Annual",(('Operating Assumptions'!$H12*AM$23)*AM$36)/12,IF('Operating Assumptions'!$G12="$/Unit/Month",('Operating Assumptions'!$H12*AM$23)*AM$36,IF('Operating Assumptions'!$G12="Fixed Amount",('Operating Assumptions'!$H12*AM$23)/12,IF('Operating Assumptions'!$G12="$/Garage/Month",('Operating Assumptions'!$H12*AM$23)*'Operating Assumptions'!$D$16,IF('Operating Assumptions'!$G12="$/Pet/Month",(AM$36*'Operating Assumptions'!$D$18)*('Operating Assumptions'!$H12*AM$23),IF('Operating Assumptions'!$G12="$/Parking/Month",('Operating Assumptions'!$H12*AM$23)*'Operating Assumptions'!$D$17)))))))</f>
        <v>0</v>
      </c>
      <c r="AN45" s="427">
        <f>IF(OR(AN$9&lt;'Operating Assumptions'!$D$53,AN$6&gt;'Operating Assumptions'!$AA$8,'Operating Assumptions'!$G12="N/A"),0,IF('Operating Assumptions'!$G12="$/Unit/Annual",(('Operating Assumptions'!$H12*AN$23)*AN$36)/12,IF('Operating Assumptions'!$G12="$/Unit/Month",('Operating Assumptions'!$H12*AN$23)*AN$36,IF('Operating Assumptions'!$G12="Fixed Amount",('Operating Assumptions'!$H12*AN$23)/12,IF('Operating Assumptions'!$G12="$/Garage/Month",('Operating Assumptions'!$H12*AN$23)*'Operating Assumptions'!$D$16,IF('Operating Assumptions'!$G12="$/Pet/Month",(AN$36*'Operating Assumptions'!$D$18)*('Operating Assumptions'!$H12*AN$23),IF('Operating Assumptions'!$G12="$/Parking/Month",('Operating Assumptions'!$H12*AN$23)*'Operating Assumptions'!$D$17)))))))</f>
        <v>0</v>
      </c>
      <c r="AO45" s="427">
        <f>IF(OR(AO$9&lt;'Operating Assumptions'!$D$53,AO$6&gt;'Operating Assumptions'!$AA$8,'Operating Assumptions'!$G12="N/A"),0,IF('Operating Assumptions'!$G12="$/Unit/Annual",(('Operating Assumptions'!$H12*AO$23)*AO$36)/12,IF('Operating Assumptions'!$G12="$/Unit/Month",('Operating Assumptions'!$H12*AO$23)*AO$36,IF('Operating Assumptions'!$G12="Fixed Amount",('Operating Assumptions'!$H12*AO$23)/12,IF('Operating Assumptions'!$G12="$/Garage/Month",('Operating Assumptions'!$H12*AO$23)*'Operating Assumptions'!$D$16,IF('Operating Assumptions'!$G12="$/Pet/Month",(AO$36*'Operating Assumptions'!$D$18)*('Operating Assumptions'!$H12*AO$23),IF('Operating Assumptions'!$G12="$/Parking/Month",('Operating Assumptions'!$H12*AO$23)*'Operating Assumptions'!$D$17)))))))</f>
        <v>0</v>
      </c>
      <c r="AP45" s="427">
        <f>IF(OR(AP$9&lt;'Operating Assumptions'!$D$53,AP$6&gt;'Operating Assumptions'!$AA$8,'Operating Assumptions'!$G12="N/A"),0,IF('Operating Assumptions'!$G12="$/Unit/Annual",(('Operating Assumptions'!$H12*AP$23)*AP$36)/12,IF('Operating Assumptions'!$G12="$/Unit/Month",('Operating Assumptions'!$H12*AP$23)*AP$36,IF('Operating Assumptions'!$G12="Fixed Amount",('Operating Assumptions'!$H12*AP$23)/12,IF('Operating Assumptions'!$G12="$/Garage/Month",('Operating Assumptions'!$H12*AP$23)*'Operating Assumptions'!$D$16,IF('Operating Assumptions'!$G12="$/Pet/Month",(AP$36*'Operating Assumptions'!$D$18)*('Operating Assumptions'!$H12*AP$23),IF('Operating Assumptions'!$G12="$/Parking/Month",('Operating Assumptions'!$H12*AP$23)*'Operating Assumptions'!$D$17)))))))</f>
        <v>0</v>
      </c>
      <c r="AQ45" s="427">
        <f>IF(OR(AQ$9&lt;'Operating Assumptions'!$D$53,AQ$6&gt;'Operating Assumptions'!$AA$8,'Operating Assumptions'!$G12="N/A"),0,IF('Operating Assumptions'!$G12="$/Unit/Annual",(('Operating Assumptions'!$H12*AQ$23)*AQ$36)/12,IF('Operating Assumptions'!$G12="$/Unit/Month",('Operating Assumptions'!$H12*AQ$23)*AQ$36,IF('Operating Assumptions'!$G12="Fixed Amount",('Operating Assumptions'!$H12*AQ$23)/12,IF('Operating Assumptions'!$G12="$/Garage/Month",('Operating Assumptions'!$H12*AQ$23)*'Operating Assumptions'!$D$16,IF('Operating Assumptions'!$G12="$/Pet/Month",(AQ$36*'Operating Assumptions'!$D$18)*('Operating Assumptions'!$H12*AQ$23),IF('Operating Assumptions'!$G12="$/Parking/Month",('Operating Assumptions'!$H12*AQ$23)*'Operating Assumptions'!$D$17)))))))</f>
        <v>0</v>
      </c>
      <c r="AR45" s="427">
        <f>IF(OR(AR$9&lt;'Operating Assumptions'!$D$53,AR$6&gt;'Operating Assumptions'!$AA$8,'Operating Assumptions'!$G12="N/A"),0,IF('Operating Assumptions'!$G12="$/Unit/Annual",(('Operating Assumptions'!$H12*AR$23)*AR$36)/12,IF('Operating Assumptions'!$G12="$/Unit/Month",('Operating Assumptions'!$H12*AR$23)*AR$36,IF('Operating Assumptions'!$G12="Fixed Amount",('Operating Assumptions'!$H12*AR$23)/12,IF('Operating Assumptions'!$G12="$/Garage/Month",('Operating Assumptions'!$H12*AR$23)*'Operating Assumptions'!$D$16,IF('Operating Assumptions'!$G12="$/Pet/Month",(AR$36*'Operating Assumptions'!$D$18)*('Operating Assumptions'!$H12*AR$23),IF('Operating Assumptions'!$G12="$/Parking/Month",('Operating Assumptions'!$H12*AR$23)*'Operating Assumptions'!$D$17)))))))</f>
        <v>0</v>
      </c>
      <c r="AS45" s="427">
        <f>IF(OR(AS$9&lt;'Operating Assumptions'!$D$53,AS$6&gt;'Operating Assumptions'!$AA$8,'Operating Assumptions'!$G12="N/A"),0,IF('Operating Assumptions'!$G12="$/Unit/Annual",(('Operating Assumptions'!$H12*AS$23)*AS$36)/12,IF('Operating Assumptions'!$G12="$/Unit/Month",('Operating Assumptions'!$H12*AS$23)*AS$36,IF('Operating Assumptions'!$G12="Fixed Amount",('Operating Assumptions'!$H12*AS$23)/12,IF('Operating Assumptions'!$G12="$/Garage/Month",('Operating Assumptions'!$H12*AS$23)*'Operating Assumptions'!$D$16,IF('Operating Assumptions'!$G12="$/Pet/Month",(AS$36*'Operating Assumptions'!$D$18)*('Operating Assumptions'!$H12*AS$23),IF('Operating Assumptions'!$G12="$/Parking/Month",('Operating Assumptions'!$H12*AS$23)*'Operating Assumptions'!$D$17)))))))</f>
        <v>0</v>
      </c>
      <c r="AT45" s="427">
        <f>IF(OR(AT$9&lt;'Operating Assumptions'!$D$53,AT$6&gt;'Operating Assumptions'!$AA$8,'Operating Assumptions'!$G12="N/A"),0,IF('Operating Assumptions'!$G12="$/Unit/Annual",(('Operating Assumptions'!$H12*AT$23)*AT$36)/12,IF('Operating Assumptions'!$G12="$/Unit/Month",('Operating Assumptions'!$H12*AT$23)*AT$36,IF('Operating Assumptions'!$G12="Fixed Amount",('Operating Assumptions'!$H12*AT$23)/12,IF('Operating Assumptions'!$G12="$/Garage/Month",('Operating Assumptions'!$H12*AT$23)*'Operating Assumptions'!$D$16,IF('Operating Assumptions'!$G12="$/Pet/Month",(AT$36*'Operating Assumptions'!$D$18)*('Operating Assumptions'!$H12*AT$23),IF('Operating Assumptions'!$G12="$/Parking/Month",('Operating Assumptions'!$H12*AT$23)*'Operating Assumptions'!$D$17)))))))</f>
        <v>0</v>
      </c>
      <c r="AU45" s="427">
        <f>IF(OR(AU$9&lt;'Operating Assumptions'!$D$53,AU$6&gt;'Operating Assumptions'!$AA$8,'Operating Assumptions'!$G12="N/A"),0,IF('Operating Assumptions'!$G12="$/Unit/Annual",(('Operating Assumptions'!$H12*AU$23)*AU$36)/12,IF('Operating Assumptions'!$G12="$/Unit/Month",('Operating Assumptions'!$H12*AU$23)*AU$36,IF('Operating Assumptions'!$G12="Fixed Amount",('Operating Assumptions'!$H12*AU$23)/12,IF('Operating Assumptions'!$G12="$/Garage/Month",('Operating Assumptions'!$H12*AU$23)*'Operating Assumptions'!$D$16,IF('Operating Assumptions'!$G12="$/Pet/Month",(AU$36*'Operating Assumptions'!$D$18)*('Operating Assumptions'!$H12*AU$23),IF('Operating Assumptions'!$G12="$/Parking/Month",('Operating Assumptions'!$H12*AU$23)*'Operating Assumptions'!$D$17)))))))</f>
        <v>0</v>
      </c>
      <c r="AV45" s="427">
        <f>IF(OR(AV$9&lt;'Operating Assumptions'!$D$53,AV$6&gt;'Operating Assumptions'!$AA$8,'Operating Assumptions'!$G12="N/A"),0,IF('Operating Assumptions'!$G12="$/Unit/Annual",(('Operating Assumptions'!$H12*AV$23)*AV$36)/12,IF('Operating Assumptions'!$G12="$/Unit/Month",('Operating Assumptions'!$H12*AV$23)*AV$36,IF('Operating Assumptions'!$G12="Fixed Amount",('Operating Assumptions'!$H12*AV$23)/12,IF('Operating Assumptions'!$G12="$/Garage/Month",('Operating Assumptions'!$H12*AV$23)*'Operating Assumptions'!$D$16,IF('Operating Assumptions'!$G12="$/Pet/Month",(AV$36*'Operating Assumptions'!$D$18)*('Operating Assumptions'!$H12*AV$23),IF('Operating Assumptions'!$G12="$/Parking/Month",('Operating Assumptions'!$H12*AV$23)*'Operating Assumptions'!$D$17)))))))</f>
        <v>0</v>
      </c>
      <c r="AW45" s="427">
        <f>IF(OR(AW$9&lt;'Operating Assumptions'!$D$53,AW$6&gt;'Operating Assumptions'!$AA$8,'Operating Assumptions'!$G12="N/A"),0,IF('Operating Assumptions'!$G12="$/Unit/Annual",(('Operating Assumptions'!$H12*AW$23)*AW$36)/12,IF('Operating Assumptions'!$G12="$/Unit/Month",('Operating Assumptions'!$H12*AW$23)*AW$36,IF('Operating Assumptions'!$G12="Fixed Amount",('Operating Assumptions'!$H12*AW$23)/12,IF('Operating Assumptions'!$G12="$/Garage/Month",('Operating Assumptions'!$H12*AW$23)*'Operating Assumptions'!$D$16,IF('Operating Assumptions'!$G12="$/Pet/Month",(AW$36*'Operating Assumptions'!$D$18)*('Operating Assumptions'!$H12*AW$23),IF('Operating Assumptions'!$G12="$/Parking/Month",('Operating Assumptions'!$H12*AW$23)*'Operating Assumptions'!$D$17)))))))</f>
        <v>0</v>
      </c>
      <c r="AX45" s="427">
        <f>IF(OR(AX$9&lt;'Operating Assumptions'!$D$53,AX$6&gt;'Operating Assumptions'!$AA$8,'Operating Assumptions'!$G12="N/A"),0,IF('Operating Assumptions'!$G12="$/Unit/Annual",(('Operating Assumptions'!$H12*AX$23)*AX$36)/12,IF('Operating Assumptions'!$G12="$/Unit/Month",('Operating Assumptions'!$H12*AX$23)*AX$36,IF('Operating Assumptions'!$G12="Fixed Amount",('Operating Assumptions'!$H12*AX$23)/12,IF('Operating Assumptions'!$G12="$/Garage/Month",('Operating Assumptions'!$H12*AX$23)*'Operating Assumptions'!$D$16,IF('Operating Assumptions'!$G12="$/Pet/Month",(AX$36*'Operating Assumptions'!$D$18)*('Operating Assumptions'!$H12*AX$23),IF('Operating Assumptions'!$G12="$/Parking/Month",('Operating Assumptions'!$H12*AX$23)*'Operating Assumptions'!$D$17)))))))</f>
        <v>0</v>
      </c>
      <c r="AY45" s="427">
        <f>IF(OR(AY$9&lt;'Operating Assumptions'!$D$53,AY$6&gt;'Operating Assumptions'!$AA$8,'Operating Assumptions'!$G12="N/A"),0,IF('Operating Assumptions'!$G12="$/Unit/Annual",(('Operating Assumptions'!$H12*AY$23)*AY$36)/12,IF('Operating Assumptions'!$G12="$/Unit/Month",('Operating Assumptions'!$H12*AY$23)*AY$36,IF('Operating Assumptions'!$G12="Fixed Amount",('Operating Assumptions'!$H12*AY$23)/12,IF('Operating Assumptions'!$G12="$/Garage/Month",('Operating Assumptions'!$H12*AY$23)*'Operating Assumptions'!$D$16,IF('Operating Assumptions'!$G12="$/Pet/Month",(AY$36*'Operating Assumptions'!$D$18)*('Operating Assumptions'!$H12*AY$23),IF('Operating Assumptions'!$G12="$/Parking/Month",('Operating Assumptions'!$H12*AY$23)*'Operating Assumptions'!$D$17)))))))</f>
        <v>0</v>
      </c>
      <c r="AZ45" s="427">
        <f>IF(OR(AZ$9&lt;'Operating Assumptions'!$D$53,AZ$6&gt;'Operating Assumptions'!$AA$8,'Operating Assumptions'!$G12="N/A"),0,IF('Operating Assumptions'!$G12="$/Unit/Annual",(('Operating Assumptions'!$H12*AZ$23)*AZ$36)/12,IF('Operating Assumptions'!$G12="$/Unit/Month",('Operating Assumptions'!$H12*AZ$23)*AZ$36,IF('Operating Assumptions'!$G12="Fixed Amount",('Operating Assumptions'!$H12*AZ$23)/12,IF('Operating Assumptions'!$G12="$/Garage/Month",('Operating Assumptions'!$H12*AZ$23)*'Operating Assumptions'!$D$16,IF('Operating Assumptions'!$G12="$/Pet/Month",(AZ$36*'Operating Assumptions'!$D$18)*('Operating Assumptions'!$H12*AZ$23),IF('Operating Assumptions'!$G12="$/Parking/Month",('Operating Assumptions'!$H12*AZ$23)*'Operating Assumptions'!$D$17)))))))</f>
        <v>0</v>
      </c>
      <c r="BA45" s="427">
        <f>IF(OR(BA$9&lt;'Operating Assumptions'!$D$53,BA$6&gt;'Operating Assumptions'!$AA$8,'Operating Assumptions'!$G12="N/A"),0,IF('Operating Assumptions'!$G12="$/Unit/Annual",(('Operating Assumptions'!$H12*BA$23)*BA$36)/12,IF('Operating Assumptions'!$G12="$/Unit/Month",('Operating Assumptions'!$H12*BA$23)*BA$36,IF('Operating Assumptions'!$G12="Fixed Amount",('Operating Assumptions'!$H12*BA$23)/12,IF('Operating Assumptions'!$G12="$/Garage/Month",('Operating Assumptions'!$H12*BA$23)*'Operating Assumptions'!$D$16,IF('Operating Assumptions'!$G12="$/Pet/Month",(BA$36*'Operating Assumptions'!$D$18)*('Operating Assumptions'!$H12*BA$23),IF('Operating Assumptions'!$G12="$/Parking/Month",('Operating Assumptions'!$H12*BA$23)*'Operating Assumptions'!$D$17)))))))</f>
        <v>0</v>
      </c>
      <c r="BB45" s="427">
        <f>IF(OR(BB$9&lt;'Operating Assumptions'!$D$53,BB$6&gt;'Operating Assumptions'!$AA$8,'Operating Assumptions'!$G12="N/A"),0,IF('Operating Assumptions'!$G12="$/Unit/Annual",(('Operating Assumptions'!$H12*BB$23)*BB$36)/12,IF('Operating Assumptions'!$G12="$/Unit/Month",('Operating Assumptions'!$H12*BB$23)*BB$36,IF('Operating Assumptions'!$G12="Fixed Amount",('Operating Assumptions'!$H12*BB$23)/12,IF('Operating Assumptions'!$G12="$/Garage/Month",('Operating Assumptions'!$H12*BB$23)*'Operating Assumptions'!$D$16,IF('Operating Assumptions'!$G12="$/Pet/Month",(BB$36*'Operating Assumptions'!$D$18)*('Operating Assumptions'!$H12*BB$23),IF('Operating Assumptions'!$G12="$/Parking/Month",('Operating Assumptions'!$H12*BB$23)*'Operating Assumptions'!$D$17)))))))</f>
        <v>0</v>
      </c>
      <c r="BC45" s="427">
        <f>IF(OR(BC$9&lt;'Operating Assumptions'!$D$53,BC$6&gt;'Operating Assumptions'!$AA$8,'Operating Assumptions'!$G12="N/A"),0,IF('Operating Assumptions'!$G12="$/Unit/Annual",(('Operating Assumptions'!$H12*BC$23)*BC$36)/12,IF('Operating Assumptions'!$G12="$/Unit/Month",('Operating Assumptions'!$H12*BC$23)*BC$36,IF('Operating Assumptions'!$G12="Fixed Amount",('Operating Assumptions'!$H12*BC$23)/12,IF('Operating Assumptions'!$G12="$/Garage/Month",('Operating Assumptions'!$H12*BC$23)*'Operating Assumptions'!$D$16,IF('Operating Assumptions'!$G12="$/Pet/Month",(BC$36*'Operating Assumptions'!$D$18)*('Operating Assumptions'!$H12*BC$23),IF('Operating Assumptions'!$G12="$/Parking/Month",('Operating Assumptions'!$H12*BC$23)*'Operating Assumptions'!$D$17)))))))</f>
        <v>0</v>
      </c>
      <c r="BD45" s="427">
        <f>IF(OR(BD$9&lt;'Operating Assumptions'!$D$53,BD$6&gt;'Operating Assumptions'!$AA$8,'Operating Assumptions'!$G12="N/A"),0,IF('Operating Assumptions'!$G12="$/Unit/Annual",(('Operating Assumptions'!$H12*BD$23)*BD$36)/12,IF('Operating Assumptions'!$G12="$/Unit/Month",('Operating Assumptions'!$H12*BD$23)*BD$36,IF('Operating Assumptions'!$G12="Fixed Amount",('Operating Assumptions'!$H12*BD$23)/12,IF('Operating Assumptions'!$G12="$/Garage/Month",('Operating Assumptions'!$H12*BD$23)*'Operating Assumptions'!$D$16,IF('Operating Assumptions'!$G12="$/Pet/Month",(BD$36*'Operating Assumptions'!$D$18)*('Operating Assumptions'!$H12*BD$23),IF('Operating Assumptions'!$G12="$/Parking/Month",('Operating Assumptions'!$H12*BD$23)*'Operating Assumptions'!$D$17)))))))</f>
        <v>0</v>
      </c>
      <c r="BE45" s="427">
        <f>IF(OR(BE$9&lt;'Operating Assumptions'!$D$53,BE$6&gt;'Operating Assumptions'!$AA$8,'Operating Assumptions'!$G12="N/A"),0,IF('Operating Assumptions'!$G12="$/Unit/Annual",(('Operating Assumptions'!$H12*BE$23)*BE$36)/12,IF('Operating Assumptions'!$G12="$/Unit/Month",('Operating Assumptions'!$H12*BE$23)*BE$36,IF('Operating Assumptions'!$G12="Fixed Amount",('Operating Assumptions'!$H12*BE$23)/12,IF('Operating Assumptions'!$G12="$/Garage/Month",('Operating Assumptions'!$H12*BE$23)*'Operating Assumptions'!$D$16,IF('Operating Assumptions'!$G12="$/Pet/Month",(BE$36*'Operating Assumptions'!$D$18)*('Operating Assumptions'!$H12*BE$23),IF('Operating Assumptions'!$G12="$/Parking/Month",('Operating Assumptions'!$H12*BE$23)*'Operating Assumptions'!$D$17)))))))</f>
        <v>0</v>
      </c>
      <c r="BF45" s="427">
        <f>IF(OR(BF$9&lt;'Operating Assumptions'!$D$53,BF$6&gt;'Operating Assumptions'!$AA$8,'Operating Assumptions'!$G12="N/A"),0,IF('Operating Assumptions'!$G12="$/Unit/Annual",(('Operating Assumptions'!$H12*BF$23)*BF$36)/12,IF('Operating Assumptions'!$G12="$/Unit/Month",('Operating Assumptions'!$H12*BF$23)*BF$36,IF('Operating Assumptions'!$G12="Fixed Amount",('Operating Assumptions'!$H12*BF$23)/12,IF('Operating Assumptions'!$G12="$/Garage/Month",('Operating Assumptions'!$H12*BF$23)*'Operating Assumptions'!$D$16,IF('Operating Assumptions'!$G12="$/Pet/Month",(BF$36*'Operating Assumptions'!$D$18)*('Operating Assumptions'!$H12*BF$23),IF('Operating Assumptions'!$G12="$/Parking/Month",('Operating Assumptions'!$H12*BF$23)*'Operating Assumptions'!$D$17)))))))</f>
        <v>0</v>
      </c>
      <c r="BG45" s="427">
        <f>IF(OR(BG$9&lt;'Operating Assumptions'!$D$53,BG$6&gt;'Operating Assumptions'!$AA$8,'Operating Assumptions'!$G12="N/A"),0,IF('Operating Assumptions'!$G12="$/Unit/Annual",(('Operating Assumptions'!$H12*BG$23)*BG$36)/12,IF('Operating Assumptions'!$G12="$/Unit/Month",('Operating Assumptions'!$H12*BG$23)*BG$36,IF('Operating Assumptions'!$G12="Fixed Amount",('Operating Assumptions'!$H12*BG$23)/12,IF('Operating Assumptions'!$G12="$/Garage/Month",('Operating Assumptions'!$H12*BG$23)*'Operating Assumptions'!$D$16,IF('Operating Assumptions'!$G12="$/Pet/Month",(BG$36*'Operating Assumptions'!$D$18)*('Operating Assumptions'!$H12*BG$23),IF('Operating Assumptions'!$G12="$/Parking/Month",('Operating Assumptions'!$H12*BG$23)*'Operating Assumptions'!$D$17)))))))</f>
        <v>0</v>
      </c>
      <c r="BH45" s="427">
        <f>IF(OR(BH$9&lt;'Operating Assumptions'!$D$53,BH$6&gt;'Operating Assumptions'!$AA$8,'Operating Assumptions'!$G12="N/A"),0,IF('Operating Assumptions'!$G12="$/Unit/Annual",(('Operating Assumptions'!$H12*BH$23)*BH$36)/12,IF('Operating Assumptions'!$G12="$/Unit/Month",('Operating Assumptions'!$H12*BH$23)*BH$36,IF('Operating Assumptions'!$G12="Fixed Amount",('Operating Assumptions'!$H12*BH$23)/12,IF('Operating Assumptions'!$G12="$/Garage/Month",('Operating Assumptions'!$H12*BH$23)*'Operating Assumptions'!$D$16,IF('Operating Assumptions'!$G12="$/Pet/Month",(BH$36*'Operating Assumptions'!$D$18)*('Operating Assumptions'!$H12*BH$23),IF('Operating Assumptions'!$G12="$/Parking/Month",('Operating Assumptions'!$H12*BH$23)*'Operating Assumptions'!$D$17)))))))</f>
        <v>0</v>
      </c>
      <c r="BI45" s="427">
        <f>IF(OR(BI$9&lt;'Operating Assumptions'!$D$53,BI$6&gt;'Operating Assumptions'!$AA$8,'Operating Assumptions'!$G12="N/A"),0,IF('Operating Assumptions'!$G12="$/Unit/Annual",(('Operating Assumptions'!$H12*BI$23)*BI$36)/12,IF('Operating Assumptions'!$G12="$/Unit/Month",('Operating Assumptions'!$H12*BI$23)*BI$36,IF('Operating Assumptions'!$G12="Fixed Amount",('Operating Assumptions'!$H12*BI$23)/12,IF('Operating Assumptions'!$G12="$/Garage/Month",('Operating Assumptions'!$H12*BI$23)*'Operating Assumptions'!$D$16,IF('Operating Assumptions'!$G12="$/Pet/Month",(BI$36*'Operating Assumptions'!$D$18)*('Operating Assumptions'!$H12*BI$23),IF('Operating Assumptions'!$G12="$/Parking/Month",('Operating Assumptions'!$H12*BI$23)*'Operating Assumptions'!$D$17)))))))</f>
        <v>0</v>
      </c>
      <c r="BJ45" s="427">
        <f>IF(OR(BJ$9&lt;'Operating Assumptions'!$D$53,BJ$6&gt;'Operating Assumptions'!$AA$8,'Operating Assumptions'!$G12="N/A"),0,IF('Operating Assumptions'!$G12="$/Unit/Annual",(('Operating Assumptions'!$H12*BJ$23)*BJ$36)/12,IF('Operating Assumptions'!$G12="$/Unit/Month",('Operating Assumptions'!$H12*BJ$23)*BJ$36,IF('Operating Assumptions'!$G12="Fixed Amount",('Operating Assumptions'!$H12*BJ$23)/12,IF('Operating Assumptions'!$G12="$/Garage/Month",('Operating Assumptions'!$H12*BJ$23)*'Operating Assumptions'!$D$16,IF('Operating Assumptions'!$G12="$/Pet/Month",(BJ$36*'Operating Assumptions'!$D$18)*('Operating Assumptions'!$H12*BJ$23),IF('Operating Assumptions'!$G12="$/Parking/Month",('Operating Assumptions'!$H12*BJ$23)*'Operating Assumptions'!$D$17)))))))</f>
        <v>0</v>
      </c>
      <c r="BK45" s="427">
        <f>IF(OR(BK$9&lt;'Operating Assumptions'!$D$53,BK$6&gt;'Operating Assumptions'!$AA$8,'Operating Assumptions'!$G12="N/A"),0,IF('Operating Assumptions'!$G12="$/Unit/Annual",(('Operating Assumptions'!$H12*BK$23)*BK$36)/12,IF('Operating Assumptions'!$G12="$/Unit/Month",('Operating Assumptions'!$H12*BK$23)*BK$36,IF('Operating Assumptions'!$G12="Fixed Amount",('Operating Assumptions'!$H12*BK$23)/12,IF('Operating Assumptions'!$G12="$/Garage/Month",('Operating Assumptions'!$H12*BK$23)*'Operating Assumptions'!$D$16,IF('Operating Assumptions'!$G12="$/Pet/Month",(BK$36*'Operating Assumptions'!$D$18)*('Operating Assumptions'!$H12*BK$23),IF('Operating Assumptions'!$G12="$/Parking/Month",('Operating Assumptions'!$H12*BK$23)*'Operating Assumptions'!$D$17)))))))</f>
        <v>0</v>
      </c>
      <c r="BL45" s="427">
        <f>IF(OR(BL$9&lt;'Operating Assumptions'!$D$53,BL$6&gt;'Operating Assumptions'!$AA$8,'Operating Assumptions'!$G12="N/A"),0,IF('Operating Assumptions'!$G12="$/Unit/Annual",(('Operating Assumptions'!$H12*BL$23)*BL$36)/12,IF('Operating Assumptions'!$G12="$/Unit/Month",('Operating Assumptions'!$H12*BL$23)*BL$36,IF('Operating Assumptions'!$G12="Fixed Amount",('Operating Assumptions'!$H12*BL$23)/12,IF('Operating Assumptions'!$G12="$/Garage/Month",('Operating Assumptions'!$H12*BL$23)*'Operating Assumptions'!$D$16,IF('Operating Assumptions'!$G12="$/Pet/Month",(BL$36*'Operating Assumptions'!$D$18)*('Operating Assumptions'!$H12*BL$23),IF('Operating Assumptions'!$G12="$/Parking/Month",('Operating Assumptions'!$H12*BL$23)*'Operating Assumptions'!$D$17)))))))</f>
        <v>0</v>
      </c>
      <c r="BM45" s="427">
        <f>IF(OR(BM$9&lt;'Operating Assumptions'!$D$53,BM$6&gt;'Operating Assumptions'!$AA$8,'Operating Assumptions'!$G12="N/A"),0,IF('Operating Assumptions'!$G12="$/Unit/Annual",(('Operating Assumptions'!$H12*BM$23)*BM$36)/12,IF('Operating Assumptions'!$G12="$/Unit/Month",('Operating Assumptions'!$H12*BM$23)*BM$36,IF('Operating Assumptions'!$G12="Fixed Amount",('Operating Assumptions'!$H12*BM$23)/12,IF('Operating Assumptions'!$G12="$/Garage/Month",('Operating Assumptions'!$H12*BM$23)*'Operating Assumptions'!$D$16,IF('Operating Assumptions'!$G12="$/Pet/Month",(BM$36*'Operating Assumptions'!$D$18)*('Operating Assumptions'!$H12*BM$23),IF('Operating Assumptions'!$G12="$/Parking/Month",('Operating Assumptions'!$H12*BM$23)*'Operating Assumptions'!$D$17)))))))</f>
        <v>0</v>
      </c>
      <c r="BN45" s="427">
        <f>IF(OR(BN$9&lt;'Operating Assumptions'!$D$53,BN$6&gt;'Operating Assumptions'!$AA$8,'Operating Assumptions'!$G12="N/A"),0,IF('Operating Assumptions'!$G12="$/Unit/Annual",(('Operating Assumptions'!$H12*BN$23)*BN$36)/12,IF('Operating Assumptions'!$G12="$/Unit/Month",('Operating Assumptions'!$H12*BN$23)*BN$36,IF('Operating Assumptions'!$G12="Fixed Amount",('Operating Assumptions'!$H12*BN$23)/12,IF('Operating Assumptions'!$G12="$/Garage/Month",('Operating Assumptions'!$H12*BN$23)*'Operating Assumptions'!$D$16,IF('Operating Assumptions'!$G12="$/Pet/Month",(BN$36*'Operating Assumptions'!$D$18)*('Operating Assumptions'!$H12*BN$23),IF('Operating Assumptions'!$G12="$/Parking/Month",('Operating Assumptions'!$H12*BN$23)*'Operating Assumptions'!$D$17)))))))</f>
        <v>0</v>
      </c>
      <c r="BO45" s="427">
        <f>IF(OR(BO$9&lt;'Operating Assumptions'!$D$53,BO$6&gt;'Operating Assumptions'!$AA$8,'Operating Assumptions'!$G12="N/A"),0,IF('Operating Assumptions'!$G12="$/Unit/Annual",(('Operating Assumptions'!$H12*BO$23)*BO$36)/12,IF('Operating Assumptions'!$G12="$/Unit/Month",('Operating Assumptions'!$H12*BO$23)*BO$36,IF('Operating Assumptions'!$G12="Fixed Amount",('Operating Assumptions'!$H12*BO$23)/12,IF('Operating Assumptions'!$G12="$/Garage/Month",('Operating Assumptions'!$H12*BO$23)*'Operating Assumptions'!$D$16,IF('Operating Assumptions'!$G12="$/Pet/Month",(BO$36*'Operating Assumptions'!$D$18)*('Operating Assumptions'!$H12*BO$23),IF('Operating Assumptions'!$G12="$/Parking/Month",('Operating Assumptions'!$H12*BO$23)*'Operating Assumptions'!$D$17)))))))</f>
        <v>0</v>
      </c>
      <c r="BP45" s="427">
        <f>IF(OR(BP$9&lt;'Operating Assumptions'!$D$53,BP$6&gt;'Operating Assumptions'!$AA$8,'Operating Assumptions'!$G12="N/A"),0,IF('Operating Assumptions'!$G12="$/Unit/Annual",(('Operating Assumptions'!$H12*BP$23)*BP$36)/12,IF('Operating Assumptions'!$G12="$/Unit/Month",('Operating Assumptions'!$H12*BP$23)*BP$36,IF('Operating Assumptions'!$G12="Fixed Amount",('Operating Assumptions'!$H12*BP$23)/12,IF('Operating Assumptions'!$G12="$/Garage/Month",('Operating Assumptions'!$H12*BP$23)*'Operating Assumptions'!$D$16,IF('Operating Assumptions'!$G12="$/Pet/Month",(BP$36*'Operating Assumptions'!$D$18)*('Operating Assumptions'!$H12*BP$23),IF('Operating Assumptions'!$G12="$/Parking/Month",('Operating Assumptions'!$H12*BP$23)*'Operating Assumptions'!$D$17)))))))</f>
        <v>0</v>
      </c>
      <c r="BQ45" s="427">
        <f>IF(OR(BQ$9&lt;'Operating Assumptions'!$D$53,BQ$6&gt;'Operating Assumptions'!$AA$8,'Operating Assumptions'!$G12="N/A"),0,IF('Operating Assumptions'!$G12="$/Unit/Annual",(('Operating Assumptions'!$H12*BQ$23)*BQ$36)/12,IF('Operating Assumptions'!$G12="$/Unit/Month",('Operating Assumptions'!$H12*BQ$23)*BQ$36,IF('Operating Assumptions'!$G12="Fixed Amount",('Operating Assumptions'!$H12*BQ$23)/12,IF('Operating Assumptions'!$G12="$/Garage/Month",('Operating Assumptions'!$H12*BQ$23)*'Operating Assumptions'!$D$16,IF('Operating Assumptions'!$G12="$/Pet/Month",(BQ$36*'Operating Assumptions'!$D$18)*('Operating Assumptions'!$H12*BQ$23),IF('Operating Assumptions'!$G12="$/Parking/Month",('Operating Assumptions'!$H12*BQ$23)*'Operating Assumptions'!$D$17)))))))</f>
        <v>0</v>
      </c>
      <c r="BR45" s="427">
        <f>IF(OR(BR$9&lt;'Operating Assumptions'!$D$53,BR$6&gt;'Operating Assumptions'!$AA$8,'Operating Assumptions'!$G12="N/A"),0,IF('Operating Assumptions'!$G12="$/Unit/Annual",(('Operating Assumptions'!$H12*BR$23)*BR$36)/12,IF('Operating Assumptions'!$G12="$/Unit/Month",('Operating Assumptions'!$H12*BR$23)*BR$36,IF('Operating Assumptions'!$G12="Fixed Amount",('Operating Assumptions'!$H12*BR$23)/12,IF('Operating Assumptions'!$G12="$/Garage/Month",('Operating Assumptions'!$H12*BR$23)*'Operating Assumptions'!$D$16,IF('Operating Assumptions'!$G12="$/Pet/Month",(BR$36*'Operating Assumptions'!$D$18)*('Operating Assumptions'!$H12*BR$23),IF('Operating Assumptions'!$G12="$/Parking/Month",('Operating Assumptions'!$H12*BR$23)*'Operating Assumptions'!$D$17)))))))</f>
        <v>0</v>
      </c>
      <c r="BS45" s="427">
        <f>IF(OR(BS$9&lt;'Operating Assumptions'!$D$53,BS$6&gt;'Operating Assumptions'!$AA$8,'Operating Assumptions'!$G12="N/A"),0,IF('Operating Assumptions'!$G12="$/Unit/Annual",(('Operating Assumptions'!$H12*BS$23)*BS$36)/12,IF('Operating Assumptions'!$G12="$/Unit/Month",('Operating Assumptions'!$H12*BS$23)*BS$36,IF('Operating Assumptions'!$G12="Fixed Amount",('Operating Assumptions'!$H12*BS$23)/12,IF('Operating Assumptions'!$G12="$/Garage/Month",('Operating Assumptions'!$H12*BS$23)*'Operating Assumptions'!$D$16,IF('Operating Assumptions'!$G12="$/Pet/Month",(BS$36*'Operating Assumptions'!$D$18)*('Operating Assumptions'!$H12*BS$23),IF('Operating Assumptions'!$G12="$/Parking/Month",('Operating Assumptions'!$H12*BS$23)*'Operating Assumptions'!$D$17)))))))</f>
        <v>0</v>
      </c>
      <c r="BT45" s="427">
        <f>IF(OR(BT$9&lt;'Operating Assumptions'!$D$53,BT$6&gt;'Operating Assumptions'!$AA$8,'Operating Assumptions'!$G12="N/A"),0,IF('Operating Assumptions'!$G12="$/Unit/Annual",(('Operating Assumptions'!$H12*BT$23)*BT$36)/12,IF('Operating Assumptions'!$G12="$/Unit/Month",('Operating Assumptions'!$H12*BT$23)*BT$36,IF('Operating Assumptions'!$G12="Fixed Amount",('Operating Assumptions'!$H12*BT$23)/12,IF('Operating Assumptions'!$G12="$/Garage/Month",('Operating Assumptions'!$H12*BT$23)*'Operating Assumptions'!$D$16,IF('Operating Assumptions'!$G12="$/Pet/Month",(BT$36*'Operating Assumptions'!$D$18)*('Operating Assumptions'!$H12*BT$23),IF('Operating Assumptions'!$G12="$/Parking/Month",('Operating Assumptions'!$H12*BT$23)*'Operating Assumptions'!$D$17)))))))</f>
        <v>0</v>
      </c>
      <c r="BU45" s="427">
        <f>IF(OR(BU$9&lt;'Operating Assumptions'!$D$53,BU$6&gt;'Operating Assumptions'!$AA$8,'Operating Assumptions'!$G12="N/A"),0,IF('Operating Assumptions'!$G12="$/Unit/Annual",(('Operating Assumptions'!$H12*BU$23)*BU$36)/12,IF('Operating Assumptions'!$G12="$/Unit/Month",('Operating Assumptions'!$H12*BU$23)*BU$36,IF('Operating Assumptions'!$G12="Fixed Amount",('Operating Assumptions'!$H12*BU$23)/12,IF('Operating Assumptions'!$G12="$/Garage/Month",('Operating Assumptions'!$H12*BU$23)*'Operating Assumptions'!$D$16,IF('Operating Assumptions'!$G12="$/Pet/Month",(BU$36*'Operating Assumptions'!$D$18)*('Operating Assumptions'!$H12*BU$23),IF('Operating Assumptions'!$G12="$/Parking/Month",('Operating Assumptions'!$H12*BU$23)*'Operating Assumptions'!$D$17)))))))</f>
        <v>0</v>
      </c>
      <c r="BV45" s="427">
        <f>IF(OR(BV$9&lt;'Operating Assumptions'!$D$53,BV$6&gt;'Operating Assumptions'!$AA$8,'Operating Assumptions'!$G12="N/A"),0,IF('Operating Assumptions'!$G12="$/Unit/Annual",(('Operating Assumptions'!$H12*BV$23)*BV$36)/12,IF('Operating Assumptions'!$G12="$/Unit/Month",('Operating Assumptions'!$H12*BV$23)*BV$36,IF('Operating Assumptions'!$G12="Fixed Amount",('Operating Assumptions'!$H12*BV$23)/12,IF('Operating Assumptions'!$G12="$/Garage/Month",('Operating Assumptions'!$H12*BV$23)*'Operating Assumptions'!$D$16,IF('Operating Assumptions'!$G12="$/Pet/Month",(BV$36*'Operating Assumptions'!$D$18)*('Operating Assumptions'!$H12*BV$23),IF('Operating Assumptions'!$G12="$/Parking/Month",('Operating Assumptions'!$H12*BV$23)*'Operating Assumptions'!$D$17)))))))</f>
        <v>0</v>
      </c>
      <c r="BW45" s="427">
        <f>IF(OR(BW$9&lt;'Operating Assumptions'!$D$53,BW$6&gt;'Operating Assumptions'!$AA$8,'Operating Assumptions'!$G12="N/A"),0,IF('Operating Assumptions'!$G12="$/Unit/Annual",(('Operating Assumptions'!$H12*BW$23)*BW$36)/12,IF('Operating Assumptions'!$G12="$/Unit/Month",('Operating Assumptions'!$H12*BW$23)*BW$36,IF('Operating Assumptions'!$G12="Fixed Amount",('Operating Assumptions'!$H12*BW$23)/12,IF('Operating Assumptions'!$G12="$/Garage/Month",('Operating Assumptions'!$H12*BW$23)*'Operating Assumptions'!$D$16,IF('Operating Assumptions'!$G12="$/Pet/Month",(BW$36*'Operating Assumptions'!$D$18)*('Operating Assumptions'!$H12*BW$23),IF('Operating Assumptions'!$G12="$/Parking/Month",('Operating Assumptions'!$H12*BW$23)*'Operating Assumptions'!$D$17)))))))</f>
        <v>0</v>
      </c>
      <c r="BX45" s="427">
        <f>IF(OR(BX$9&lt;'Operating Assumptions'!$D$53,BX$6&gt;'Operating Assumptions'!$AA$8,'Operating Assumptions'!$G12="N/A"),0,IF('Operating Assumptions'!$G12="$/Unit/Annual",(('Operating Assumptions'!$H12*BX$23)*BX$36)/12,IF('Operating Assumptions'!$G12="$/Unit/Month",('Operating Assumptions'!$H12*BX$23)*BX$36,IF('Operating Assumptions'!$G12="Fixed Amount",('Operating Assumptions'!$H12*BX$23)/12,IF('Operating Assumptions'!$G12="$/Garage/Month",('Operating Assumptions'!$H12*BX$23)*'Operating Assumptions'!$D$16,IF('Operating Assumptions'!$G12="$/Pet/Month",(BX$36*'Operating Assumptions'!$D$18)*('Operating Assumptions'!$H12*BX$23),IF('Operating Assumptions'!$G12="$/Parking/Month",('Operating Assumptions'!$H12*BX$23)*'Operating Assumptions'!$D$17)))))))</f>
        <v>0</v>
      </c>
      <c r="BY45" s="427">
        <f>IF(OR(BY$9&lt;'Operating Assumptions'!$D$53,BY$6&gt;'Operating Assumptions'!$AA$8,'Operating Assumptions'!$G12="N/A"),0,IF('Operating Assumptions'!$G12="$/Unit/Annual",(('Operating Assumptions'!$H12*BY$23)*BY$36)/12,IF('Operating Assumptions'!$G12="$/Unit/Month",('Operating Assumptions'!$H12*BY$23)*BY$36,IF('Operating Assumptions'!$G12="Fixed Amount",('Operating Assumptions'!$H12*BY$23)/12,IF('Operating Assumptions'!$G12="$/Garage/Month",('Operating Assumptions'!$H12*BY$23)*'Operating Assumptions'!$D$16,IF('Operating Assumptions'!$G12="$/Pet/Month",(BY$36*'Operating Assumptions'!$D$18)*('Operating Assumptions'!$H12*BY$23),IF('Operating Assumptions'!$G12="$/Parking/Month",('Operating Assumptions'!$H12*BY$23)*'Operating Assumptions'!$D$17)))))))</f>
        <v>0</v>
      </c>
      <c r="BZ45" s="427">
        <f>IF(OR(BZ$9&lt;'Operating Assumptions'!$D$53,BZ$6&gt;'Operating Assumptions'!$AA$8,'Operating Assumptions'!$G12="N/A"),0,IF('Operating Assumptions'!$G12="$/Unit/Annual",(('Operating Assumptions'!$H12*BZ$23)*BZ$36)/12,IF('Operating Assumptions'!$G12="$/Unit/Month",('Operating Assumptions'!$H12*BZ$23)*BZ$36,IF('Operating Assumptions'!$G12="Fixed Amount",('Operating Assumptions'!$H12*BZ$23)/12,IF('Operating Assumptions'!$G12="$/Garage/Month",('Operating Assumptions'!$H12*BZ$23)*'Operating Assumptions'!$D$16,IF('Operating Assumptions'!$G12="$/Pet/Month",(BZ$36*'Operating Assumptions'!$D$18)*('Operating Assumptions'!$H12*BZ$23),IF('Operating Assumptions'!$G12="$/Parking/Month",('Operating Assumptions'!$H12*BZ$23)*'Operating Assumptions'!$D$17)))))))</f>
        <v>0</v>
      </c>
      <c r="CA45" s="427">
        <f>IF(OR(CA$9&lt;'Operating Assumptions'!$D$53,CA$6&gt;'Operating Assumptions'!$AA$8,'Operating Assumptions'!$G12="N/A"),0,IF('Operating Assumptions'!$G12="$/Unit/Annual",(('Operating Assumptions'!$H12*CA$23)*CA$36)/12,IF('Operating Assumptions'!$G12="$/Unit/Month",('Operating Assumptions'!$H12*CA$23)*CA$36,IF('Operating Assumptions'!$G12="Fixed Amount",('Operating Assumptions'!$H12*CA$23)/12,IF('Operating Assumptions'!$G12="$/Garage/Month",('Operating Assumptions'!$H12*CA$23)*'Operating Assumptions'!$D$16,IF('Operating Assumptions'!$G12="$/Pet/Month",(CA$36*'Operating Assumptions'!$D$18)*('Operating Assumptions'!$H12*CA$23),IF('Operating Assumptions'!$G12="$/Parking/Month",('Operating Assumptions'!$H12*CA$23)*'Operating Assumptions'!$D$17)))))))</f>
        <v>0</v>
      </c>
      <c r="CB45" s="427">
        <f>IF(OR(CB$9&lt;'Operating Assumptions'!$D$53,CB$6&gt;'Operating Assumptions'!$AA$8,'Operating Assumptions'!$G12="N/A"),0,IF('Operating Assumptions'!$G12="$/Unit/Annual",(('Operating Assumptions'!$H12*CB$23)*CB$36)/12,IF('Operating Assumptions'!$G12="$/Unit/Month",('Operating Assumptions'!$H12*CB$23)*CB$36,IF('Operating Assumptions'!$G12="Fixed Amount",('Operating Assumptions'!$H12*CB$23)/12,IF('Operating Assumptions'!$G12="$/Garage/Month",('Operating Assumptions'!$H12*CB$23)*'Operating Assumptions'!$D$16,IF('Operating Assumptions'!$G12="$/Pet/Month",(CB$36*'Operating Assumptions'!$D$18)*('Operating Assumptions'!$H12*CB$23),IF('Operating Assumptions'!$G12="$/Parking/Month",('Operating Assumptions'!$H12*CB$23)*'Operating Assumptions'!$D$17)))))))</f>
        <v>0</v>
      </c>
      <c r="CC45" s="427">
        <f>IF(OR(CC$9&lt;'Operating Assumptions'!$D$53,CC$6&gt;'Operating Assumptions'!$AA$8,'Operating Assumptions'!$G12="N/A"),0,IF('Operating Assumptions'!$G12="$/Unit/Annual",(('Operating Assumptions'!$H12*CC$23)*CC$36)/12,IF('Operating Assumptions'!$G12="$/Unit/Month",('Operating Assumptions'!$H12*CC$23)*CC$36,IF('Operating Assumptions'!$G12="Fixed Amount",('Operating Assumptions'!$H12*CC$23)/12,IF('Operating Assumptions'!$G12="$/Garage/Month",('Operating Assumptions'!$H12*CC$23)*'Operating Assumptions'!$D$16,IF('Operating Assumptions'!$G12="$/Pet/Month",(CC$36*'Operating Assumptions'!$D$18)*('Operating Assumptions'!$H12*CC$23),IF('Operating Assumptions'!$G12="$/Parking/Month",('Operating Assumptions'!$H12*CC$23)*'Operating Assumptions'!$D$17)))))))</f>
        <v>0</v>
      </c>
      <c r="CD45" s="427">
        <f>IF(OR(CD$9&lt;'Operating Assumptions'!$D$53,CD$6&gt;'Operating Assumptions'!$AA$8,'Operating Assumptions'!$G12="N/A"),0,IF('Operating Assumptions'!$G12="$/Unit/Annual",(('Operating Assumptions'!$H12*CD$23)*CD$36)/12,IF('Operating Assumptions'!$G12="$/Unit/Month",('Operating Assumptions'!$H12*CD$23)*CD$36,IF('Operating Assumptions'!$G12="Fixed Amount",('Operating Assumptions'!$H12*CD$23)/12,IF('Operating Assumptions'!$G12="$/Garage/Month",('Operating Assumptions'!$H12*CD$23)*'Operating Assumptions'!$D$16,IF('Operating Assumptions'!$G12="$/Pet/Month",(CD$36*'Operating Assumptions'!$D$18)*('Operating Assumptions'!$H12*CD$23),IF('Operating Assumptions'!$G12="$/Parking/Month",('Operating Assumptions'!$H12*CD$23)*'Operating Assumptions'!$D$17)))))))</f>
        <v>0</v>
      </c>
      <c r="CE45" s="427">
        <f>IF(OR(CE$9&lt;'Operating Assumptions'!$D$53,CE$6&gt;'Operating Assumptions'!$AA$8,'Operating Assumptions'!$G12="N/A"),0,IF('Operating Assumptions'!$G12="$/Unit/Annual",(('Operating Assumptions'!$H12*CE$23)*CE$36)/12,IF('Operating Assumptions'!$G12="$/Unit/Month",('Operating Assumptions'!$H12*CE$23)*CE$36,IF('Operating Assumptions'!$G12="Fixed Amount",('Operating Assumptions'!$H12*CE$23)/12,IF('Operating Assumptions'!$G12="$/Garage/Month",('Operating Assumptions'!$H12*CE$23)*'Operating Assumptions'!$D$16,IF('Operating Assumptions'!$G12="$/Pet/Month",(CE$36*'Operating Assumptions'!$D$18)*('Operating Assumptions'!$H12*CE$23),IF('Operating Assumptions'!$G12="$/Parking/Month",('Operating Assumptions'!$H12*CE$23)*'Operating Assumptions'!$D$17)))))))</f>
        <v>0</v>
      </c>
      <c r="CF45" s="427">
        <f>IF(OR(CF$9&lt;'Operating Assumptions'!$D$53,CF$6&gt;'Operating Assumptions'!$AA$8,'Operating Assumptions'!$G12="N/A"),0,IF('Operating Assumptions'!$G12="$/Unit/Annual",(('Operating Assumptions'!$H12*CF$23)*CF$36)/12,IF('Operating Assumptions'!$G12="$/Unit/Month",('Operating Assumptions'!$H12*CF$23)*CF$36,IF('Operating Assumptions'!$G12="Fixed Amount",('Operating Assumptions'!$H12*CF$23)/12,IF('Operating Assumptions'!$G12="$/Garage/Month",('Operating Assumptions'!$H12*CF$23)*'Operating Assumptions'!$D$16,IF('Operating Assumptions'!$G12="$/Pet/Month",(CF$36*'Operating Assumptions'!$D$18)*('Operating Assumptions'!$H12*CF$23),IF('Operating Assumptions'!$G12="$/Parking/Month",('Operating Assumptions'!$H12*CF$23)*'Operating Assumptions'!$D$17)))))))</f>
        <v>0</v>
      </c>
      <c r="CG45" s="427">
        <f>IF(OR(CG$9&lt;'Operating Assumptions'!$D$53,CG$6&gt;'Operating Assumptions'!$AA$8,'Operating Assumptions'!$G12="N/A"),0,IF('Operating Assumptions'!$G12="$/Unit/Annual",(('Operating Assumptions'!$H12*CG$23)*CG$36)/12,IF('Operating Assumptions'!$G12="$/Unit/Month",('Operating Assumptions'!$H12*CG$23)*CG$36,IF('Operating Assumptions'!$G12="Fixed Amount",('Operating Assumptions'!$H12*CG$23)/12,IF('Operating Assumptions'!$G12="$/Garage/Month",('Operating Assumptions'!$H12*CG$23)*'Operating Assumptions'!$D$16,IF('Operating Assumptions'!$G12="$/Pet/Month",(CG$36*'Operating Assumptions'!$D$18)*('Operating Assumptions'!$H12*CG$23),IF('Operating Assumptions'!$G12="$/Parking/Month",('Operating Assumptions'!$H12*CG$23)*'Operating Assumptions'!$D$17)))))))</f>
        <v>0</v>
      </c>
      <c r="CH45" s="427">
        <f>IF(OR(CH$9&lt;'Operating Assumptions'!$D$53,CH$6&gt;'Operating Assumptions'!$AA$8,'Operating Assumptions'!$G12="N/A"),0,IF('Operating Assumptions'!$G12="$/Unit/Annual",(('Operating Assumptions'!$H12*CH$23)*CH$36)/12,IF('Operating Assumptions'!$G12="$/Unit/Month",('Operating Assumptions'!$H12*CH$23)*CH$36,IF('Operating Assumptions'!$G12="Fixed Amount",('Operating Assumptions'!$H12*CH$23)/12,IF('Operating Assumptions'!$G12="$/Garage/Month",('Operating Assumptions'!$H12*CH$23)*'Operating Assumptions'!$D$16,IF('Operating Assumptions'!$G12="$/Pet/Month",(CH$36*'Operating Assumptions'!$D$18)*('Operating Assumptions'!$H12*CH$23),IF('Operating Assumptions'!$G12="$/Parking/Month",('Operating Assumptions'!$H12*CH$23)*'Operating Assumptions'!$D$17)))))))</f>
        <v>0</v>
      </c>
      <c r="CI45" s="427">
        <f>IF(OR(CI$9&lt;'Operating Assumptions'!$D$53,CI$6&gt;'Operating Assumptions'!$AA$8,'Operating Assumptions'!$G12="N/A"),0,IF('Operating Assumptions'!$G12="$/Unit/Annual",(('Operating Assumptions'!$H12*CI$23)*CI$36)/12,IF('Operating Assumptions'!$G12="$/Unit/Month",('Operating Assumptions'!$H12*CI$23)*CI$36,IF('Operating Assumptions'!$G12="Fixed Amount",('Operating Assumptions'!$H12*CI$23)/12,IF('Operating Assumptions'!$G12="$/Garage/Month",('Operating Assumptions'!$H12*CI$23)*'Operating Assumptions'!$D$16,IF('Operating Assumptions'!$G12="$/Pet/Month",(CI$36*'Operating Assumptions'!$D$18)*('Operating Assumptions'!$H12*CI$23),IF('Operating Assumptions'!$G12="$/Parking/Month",('Operating Assumptions'!$H12*CI$23)*'Operating Assumptions'!$D$17)))))))</f>
        <v>0</v>
      </c>
      <c r="CJ45" s="427">
        <f>IF(OR(CJ$9&lt;'Operating Assumptions'!$D$53,CJ$6&gt;'Operating Assumptions'!$AA$8,'Operating Assumptions'!$G12="N/A"),0,IF('Operating Assumptions'!$G12="$/Unit/Annual",(('Operating Assumptions'!$H12*CJ$23)*CJ$36)/12,IF('Operating Assumptions'!$G12="$/Unit/Month",('Operating Assumptions'!$H12*CJ$23)*CJ$36,IF('Operating Assumptions'!$G12="Fixed Amount",('Operating Assumptions'!$H12*CJ$23)/12,IF('Operating Assumptions'!$G12="$/Garage/Month",('Operating Assumptions'!$H12*CJ$23)*'Operating Assumptions'!$D$16,IF('Operating Assumptions'!$G12="$/Pet/Month",(CJ$36*'Operating Assumptions'!$D$18)*('Operating Assumptions'!$H12*CJ$23),IF('Operating Assumptions'!$G12="$/Parking/Month",('Operating Assumptions'!$H12*CJ$23)*'Operating Assumptions'!$D$17)))))))</f>
        <v>0</v>
      </c>
      <c r="CK45" s="427">
        <f>IF(OR(CK$9&lt;'Operating Assumptions'!$D$53,CK$6&gt;'Operating Assumptions'!$AA$8,'Operating Assumptions'!$G12="N/A"),0,IF('Operating Assumptions'!$G12="$/Unit/Annual",(('Operating Assumptions'!$H12*CK$23)*CK$36)/12,IF('Operating Assumptions'!$G12="$/Unit/Month",('Operating Assumptions'!$H12*CK$23)*CK$36,IF('Operating Assumptions'!$G12="Fixed Amount",('Operating Assumptions'!$H12*CK$23)/12,IF('Operating Assumptions'!$G12="$/Garage/Month",('Operating Assumptions'!$H12*CK$23)*'Operating Assumptions'!$D$16,IF('Operating Assumptions'!$G12="$/Pet/Month",(CK$36*'Operating Assumptions'!$D$18)*('Operating Assumptions'!$H12*CK$23),IF('Operating Assumptions'!$G12="$/Parking/Month",('Operating Assumptions'!$H12*CK$23)*'Operating Assumptions'!$D$17)))))))</f>
        <v>0</v>
      </c>
      <c r="CL45" s="427">
        <f>IF(OR(CL$9&lt;'Operating Assumptions'!$D$53,CL$6&gt;'Operating Assumptions'!$AA$8,'Operating Assumptions'!$G12="N/A"),0,IF('Operating Assumptions'!$G12="$/Unit/Annual",(('Operating Assumptions'!$H12*CL$23)*CL$36)/12,IF('Operating Assumptions'!$G12="$/Unit/Month",('Operating Assumptions'!$H12*CL$23)*CL$36,IF('Operating Assumptions'!$G12="Fixed Amount",('Operating Assumptions'!$H12*CL$23)/12,IF('Operating Assumptions'!$G12="$/Garage/Month",('Operating Assumptions'!$H12*CL$23)*'Operating Assumptions'!$D$16,IF('Operating Assumptions'!$G12="$/Pet/Month",(CL$36*'Operating Assumptions'!$D$18)*('Operating Assumptions'!$H12*CL$23),IF('Operating Assumptions'!$G12="$/Parking/Month",('Operating Assumptions'!$H12*CL$23)*'Operating Assumptions'!$D$17)))))))</f>
        <v>0</v>
      </c>
      <c r="CM45" s="427">
        <f>IF(OR(CM$9&lt;'Operating Assumptions'!$D$53,CM$6&gt;'Operating Assumptions'!$AA$8,'Operating Assumptions'!$G12="N/A"),0,IF('Operating Assumptions'!$G12="$/Unit/Annual",(('Operating Assumptions'!$H12*CM$23)*CM$36)/12,IF('Operating Assumptions'!$G12="$/Unit/Month",('Operating Assumptions'!$H12*CM$23)*CM$36,IF('Operating Assumptions'!$G12="Fixed Amount",('Operating Assumptions'!$H12*CM$23)/12,IF('Operating Assumptions'!$G12="$/Garage/Month",('Operating Assumptions'!$H12*CM$23)*'Operating Assumptions'!$D$16,IF('Operating Assumptions'!$G12="$/Pet/Month",(CM$36*'Operating Assumptions'!$D$18)*('Operating Assumptions'!$H12*CM$23),IF('Operating Assumptions'!$G12="$/Parking/Month",('Operating Assumptions'!$H12*CM$23)*'Operating Assumptions'!$D$17)))))))</f>
        <v>0</v>
      </c>
      <c r="CN45" s="427">
        <f>IF(OR(CN$9&lt;'Operating Assumptions'!$D$53,CN$6&gt;'Operating Assumptions'!$AA$8,'Operating Assumptions'!$G12="N/A"),0,IF('Operating Assumptions'!$G12="$/Unit/Annual",(('Operating Assumptions'!$H12*CN$23)*CN$36)/12,IF('Operating Assumptions'!$G12="$/Unit/Month",('Operating Assumptions'!$H12*CN$23)*CN$36,IF('Operating Assumptions'!$G12="Fixed Amount",('Operating Assumptions'!$H12*CN$23)/12,IF('Operating Assumptions'!$G12="$/Garage/Month",('Operating Assumptions'!$H12*CN$23)*'Operating Assumptions'!$D$16,IF('Operating Assumptions'!$G12="$/Pet/Month",(CN$36*'Operating Assumptions'!$D$18)*('Operating Assumptions'!$H12*CN$23),IF('Operating Assumptions'!$G12="$/Parking/Month",('Operating Assumptions'!$H12*CN$23)*'Operating Assumptions'!$D$17)))))))</f>
        <v>0</v>
      </c>
      <c r="CO45" s="427">
        <f>IF(OR(CO$9&lt;'Operating Assumptions'!$D$53,CO$6&gt;'Operating Assumptions'!$AA$8,'Operating Assumptions'!$G12="N/A"),0,IF('Operating Assumptions'!$G12="$/Unit/Annual",(('Operating Assumptions'!$H12*CO$23)*CO$36)/12,IF('Operating Assumptions'!$G12="$/Unit/Month",('Operating Assumptions'!$H12*CO$23)*CO$36,IF('Operating Assumptions'!$G12="Fixed Amount",('Operating Assumptions'!$H12*CO$23)/12,IF('Operating Assumptions'!$G12="$/Garage/Month",('Operating Assumptions'!$H12*CO$23)*'Operating Assumptions'!$D$16,IF('Operating Assumptions'!$G12="$/Pet/Month",(CO$36*'Operating Assumptions'!$D$18)*('Operating Assumptions'!$H12*CO$23),IF('Operating Assumptions'!$G12="$/Parking/Month",('Operating Assumptions'!$H12*CO$23)*'Operating Assumptions'!$D$17)))))))</f>
        <v>0</v>
      </c>
      <c r="CP45" s="427">
        <f>IF(OR(CP$9&lt;'Operating Assumptions'!$D$53,CP$6&gt;'Operating Assumptions'!$AA$8,'Operating Assumptions'!$G12="N/A"),0,IF('Operating Assumptions'!$G12="$/Unit/Annual",(('Operating Assumptions'!$H12*CP$23)*CP$36)/12,IF('Operating Assumptions'!$G12="$/Unit/Month",('Operating Assumptions'!$H12*CP$23)*CP$36,IF('Operating Assumptions'!$G12="Fixed Amount",('Operating Assumptions'!$H12*CP$23)/12,IF('Operating Assumptions'!$G12="$/Garage/Month",('Operating Assumptions'!$H12*CP$23)*'Operating Assumptions'!$D$16,IF('Operating Assumptions'!$G12="$/Pet/Month",(CP$36*'Operating Assumptions'!$D$18)*('Operating Assumptions'!$H12*CP$23),IF('Operating Assumptions'!$G12="$/Parking/Month",('Operating Assumptions'!$H12*CP$23)*'Operating Assumptions'!$D$17)))))))</f>
        <v>0</v>
      </c>
      <c r="CQ45" s="427">
        <f>IF(OR(CQ$9&lt;'Operating Assumptions'!$D$53,CQ$6&gt;'Operating Assumptions'!$AA$8,'Operating Assumptions'!$G12="N/A"),0,IF('Operating Assumptions'!$G12="$/Unit/Annual",(('Operating Assumptions'!$H12*CQ$23)*CQ$36)/12,IF('Operating Assumptions'!$G12="$/Unit/Month",('Operating Assumptions'!$H12*CQ$23)*CQ$36,IF('Operating Assumptions'!$G12="Fixed Amount",('Operating Assumptions'!$H12*CQ$23)/12,IF('Operating Assumptions'!$G12="$/Garage/Month",('Operating Assumptions'!$H12*CQ$23)*'Operating Assumptions'!$D$16,IF('Operating Assumptions'!$G12="$/Pet/Month",(CQ$36*'Operating Assumptions'!$D$18)*('Operating Assumptions'!$H12*CQ$23),IF('Operating Assumptions'!$G12="$/Parking/Month",('Operating Assumptions'!$H12*CQ$23)*'Operating Assumptions'!$D$17)))))))</f>
        <v>0</v>
      </c>
      <c r="CR45" s="427">
        <f>IF(OR(CR$9&lt;'Operating Assumptions'!$D$53,CR$6&gt;'Operating Assumptions'!$AA$8,'Operating Assumptions'!$G12="N/A"),0,IF('Operating Assumptions'!$G12="$/Unit/Annual",(('Operating Assumptions'!$H12*CR$23)*CR$36)/12,IF('Operating Assumptions'!$G12="$/Unit/Month",('Operating Assumptions'!$H12*CR$23)*CR$36,IF('Operating Assumptions'!$G12="Fixed Amount",('Operating Assumptions'!$H12*CR$23)/12,IF('Operating Assumptions'!$G12="$/Garage/Month",('Operating Assumptions'!$H12*CR$23)*'Operating Assumptions'!$D$16,IF('Operating Assumptions'!$G12="$/Pet/Month",(CR$36*'Operating Assumptions'!$D$18)*('Operating Assumptions'!$H12*CR$23),IF('Operating Assumptions'!$G12="$/Parking/Month",('Operating Assumptions'!$H12*CR$23)*'Operating Assumptions'!$D$17)))))))</f>
        <v>0</v>
      </c>
      <c r="CS45" s="427">
        <f>IF(OR(CS$9&lt;'Operating Assumptions'!$D$53,CS$6&gt;'Operating Assumptions'!$AA$8,'Operating Assumptions'!$G12="N/A"),0,IF('Operating Assumptions'!$G12="$/Unit/Annual",(('Operating Assumptions'!$H12*CS$23)*CS$36)/12,IF('Operating Assumptions'!$G12="$/Unit/Month",('Operating Assumptions'!$H12*CS$23)*CS$36,IF('Operating Assumptions'!$G12="Fixed Amount",('Operating Assumptions'!$H12*CS$23)/12,IF('Operating Assumptions'!$G12="$/Garage/Month",('Operating Assumptions'!$H12*CS$23)*'Operating Assumptions'!$D$16,IF('Operating Assumptions'!$G12="$/Pet/Month",(CS$36*'Operating Assumptions'!$D$18)*('Operating Assumptions'!$H12*CS$23),IF('Operating Assumptions'!$G12="$/Parking/Month",('Operating Assumptions'!$H12*CS$23)*'Operating Assumptions'!$D$17)))))))</f>
        <v>0</v>
      </c>
      <c r="CT45" s="427">
        <f>IF(OR(CT$9&lt;'Operating Assumptions'!$D$53,CT$6&gt;'Operating Assumptions'!$AA$8,'Operating Assumptions'!$G12="N/A"),0,IF('Operating Assumptions'!$G12="$/Unit/Annual",(('Operating Assumptions'!$H12*CT$23)*CT$36)/12,IF('Operating Assumptions'!$G12="$/Unit/Month",('Operating Assumptions'!$H12*CT$23)*CT$36,IF('Operating Assumptions'!$G12="Fixed Amount",('Operating Assumptions'!$H12*CT$23)/12,IF('Operating Assumptions'!$G12="$/Garage/Month",('Operating Assumptions'!$H12*CT$23)*'Operating Assumptions'!$D$16,IF('Operating Assumptions'!$G12="$/Pet/Month",(CT$36*'Operating Assumptions'!$D$18)*('Operating Assumptions'!$H12*CT$23),IF('Operating Assumptions'!$G12="$/Parking/Month",('Operating Assumptions'!$H12*CT$23)*'Operating Assumptions'!$D$17)))))))</f>
        <v>0</v>
      </c>
      <c r="CU45" s="427">
        <f>IF(OR(CU$9&lt;'Operating Assumptions'!$D$53,CU$6&gt;'Operating Assumptions'!$AA$8,'Operating Assumptions'!$G12="N/A"),0,IF('Operating Assumptions'!$G12="$/Unit/Annual",(('Operating Assumptions'!$H12*CU$23)*CU$36)/12,IF('Operating Assumptions'!$G12="$/Unit/Month",('Operating Assumptions'!$H12*CU$23)*CU$36,IF('Operating Assumptions'!$G12="Fixed Amount",('Operating Assumptions'!$H12*CU$23)/12,IF('Operating Assumptions'!$G12="$/Garage/Month",('Operating Assumptions'!$H12*CU$23)*'Operating Assumptions'!$D$16,IF('Operating Assumptions'!$G12="$/Pet/Month",(CU$36*'Operating Assumptions'!$D$18)*('Operating Assumptions'!$H12*CU$23),IF('Operating Assumptions'!$G12="$/Parking/Month",('Operating Assumptions'!$H12*CU$23)*'Operating Assumptions'!$D$17)))))))</f>
        <v>0</v>
      </c>
      <c r="CV45" s="427">
        <f>IF(OR(CV$9&lt;'Operating Assumptions'!$D$53,CV$6&gt;'Operating Assumptions'!$AA$8,'Operating Assumptions'!$G12="N/A"),0,IF('Operating Assumptions'!$G12="$/Unit/Annual",(('Operating Assumptions'!$H12*CV$23)*CV$36)/12,IF('Operating Assumptions'!$G12="$/Unit/Month",('Operating Assumptions'!$H12*CV$23)*CV$36,IF('Operating Assumptions'!$G12="Fixed Amount",('Operating Assumptions'!$H12*CV$23)/12,IF('Operating Assumptions'!$G12="$/Garage/Month",('Operating Assumptions'!$H12*CV$23)*'Operating Assumptions'!$D$16,IF('Operating Assumptions'!$G12="$/Pet/Month",(CV$36*'Operating Assumptions'!$D$18)*('Operating Assumptions'!$H12*CV$23),IF('Operating Assumptions'!$G12="$/Parking/Month",('Operating Assumptions'!$H12*CV$23)*'Operating Assumptions'!$D$17)))))))</f>
        <v>0</v>
      </c>
      <c r="CW45" s="427">
        <f>IF(OR(CW$9&lt;'Operating Assumptions'!$D$53,CW$6&gt;'Operating Assumptions'!$AA$8,'Operating Assumptions'!$G12="N/A"),0,IF('Operating Assumptions'!$G12="$/Unit/Annual",(('Operating Assumptions'!$H12*CW$23)*CW$36)/12,IF('Operating Assumptions'!$G12="$/Unit/Month",('Operating Assumptions'!$H12*CW$23)*CW$36,IF('Operating Assumptions'!$G12="Fixed Amount",('Operating Assumptions'!$H12*CW$23)/12,IF('Operating Assumptions'!$G12="$/Garage/Month",('Operating Assumptions'!$H12*CW$23)*'Operating Assumptions'!$D$16,IF('Operating Assumptions'!$G12="$/Pet/Month",(CW$36*'Operating Assumptions'!$D$18)*('Operating Assumptions'!$H12*CW$23),IF('Operating Assumptions'!$G12="$/Parking/Month",('Operating Assumptions'!$H12*CW$23)*'Operating Assumptions'!$D$17)))))))</f>
        <v>0</v>
      </c>
      <c r="CX45" s="427">
        <f>IF(OR(CX$9&lt;'Operating Assumptions'!$D$53,CX$6&gt;'Operating Assumptions'!$AA$8,'Operating Assumptions'!$G12="N/A"),0,IF('Operating Assumptions'!$G12="$/Unit/Annual",(('Operating Assumptions'!$H12*CX$23)*CX$36)/12,IF('Operating Assumptions'!$G12="$/Unit/Month",('Operating Assumptions'!$H12*CX$23)*CX$36,IF('Operating Assumptions'!$G12="Fixed Amount",('Operating Assumptions'!$H12*CX$23)/12,IF('Operating Assumptions'!$G12="$/Garage/Month",('Operating Assumptions'!$H12*CX$23)*'Operating Assumptions'!$D$16,IF('Operating Assumptions'!$G12="$/Pet/Month",(CX$36*'Operating Assumptions'!$D$18)*('Operating Assumptions'!$H12*CX$23),IF('Operating Assumptions'!$G12="$/Parking/Month",('Operating Assumptions'!$H12*CX$23)*'Operating Assumptions'!$D$17)))))))</f>
        <v>0</v>
      </c>
      <c r="CY45" s="427">
        <f>IF(OR(CY$9&lt;'Operating Assumptions'!$D$53,CY$6&gt;'Operating Assumptions'!$AA$8,'Operating Assumptions'!$G12="N/A"),0,IF('Operating Assumptions'!$G12="$/Unit/Annual",(('Operating Assumptions'!$H12*CY$23)*CY$36)/12,IF('Operating Assumptions'!$G12="$/Unit/Month",('Operating Assumptions'!$H12*CY$23)*CY$36,IF('Operating Assumptions'!$G12="Fixed Amount",('Operating Assumptions'!$H12*CY$23)/12,IF('Operating Assumptions'!$G12="$/Garage/Month",('Operating Assumptions'!$H12*CY$23)*'Operating Assumptions'!$D$16,IF('Operating Assumptions'!$G12="$/Pet/Month",(CY$36*'Operating Assumptions'!$D$18)*('Operating Assumptions'!$H12*CY$23),IF('Operating Assumptions'!$G12="$/Parking/Month",('Operating Assumptions'!$H12*CY$23)*'Operating Assumptions'!$D$17)))))))</f>
        <v>0</v>
      </c>
      <c r="CZ45" s="427">
        <f>IF(OR(CZ$9&lt;'Operating Assumptions'!$D$53,CZ$6&gt;'Operating Assumptions'!$AA$8,'Operating Assumptions'!$G12="N/A"),0,IF('Operating Assumptions'!$G12="$/Unit/Annual",(('Operating Assumptions'!$H12*CZ$23)*CZ$36)/12,IF('Operating Assumptions'!$G12="$/Unit/Month",('Operating Assumptions'!$H12*CZ$23)*CZ$36,IF('Operating Assumptions'!$G12="Fixed Amount",('Operating Assumptions'!$H12*CZ$23)/12,IF('Operating Assumptions'!$G12="$/Garage/Month",('Operating Assumptions'!$H12*CZ$23)*'Operating Assumptions'!$D$16,IF('Operating Assumptions'!$G12="$/Pet/Month",(CZ$36*'Operating Assumptions'!$D$18)*('Operating Assumptions'!$H12*CZ$23),IF('Operating Assumptions'!$G12="$/Parking/Month",('Operating Assumptions'!$H12*CZ$23)*'Operating Assumptions'!$D$17)))))))</f>
        <v>0</v>
      </c>
      <c r="DA45" s="427">
        <f>IF(OR(DA$9&lt;'Operating Assumptions'!$D$53,DA$6&gt;'Operating Assumptions'!$AA$8,'Operating Assumptions'!$G12="N/A"),0,IF('Operating Assumptions'!$G12="$/Unit/Annual",(('Operating Assumptions'!$H12*DA$23)*DA$36)/12,IF('Operating Assumptions'!$G12="$/Unit/Month",('Operating Assumptions'!$H12*DA$23)*DA$36,IF('Operating Assumptions'!$G12="Fixed Amount",('Operating Assumptions'!$H12*DA$23)/12,IF('Operating Assumptions'!$G12="$/Garage/Month",('Operating Assumptions'!$H12*DA$23)*'Operating Assumptions'!$D$16,IF('Operating Assumptions'!$G12="$/Pet/Month",(DA$36*'Operating Assumptions'!$D$18)*('Operating Assumptions'!$H12*DA$23),IF('Operating Assumptions'!$G12="$/Parking/Month",('Operating Assumptions'!$H12*DA$23)*'Operating Assumptions'!$D$17)))))))</f>
        <v>0</v>
      </c>
      <c r="DB45" s="427">
        <f>IF(OR(DB$9&lt;'Operating Assumptions'!$D$53,DB$6&gt;'Operating Assumptions'!$AA$8,'Operating Assumptions'!$G12="N/A"),0,IF('Operating Assumptions'!$G12="$/Unit/Annual",(('Operating Assumptions'!$H12*DB$23)*DB$36)/12,IF('Operating Assumptions'!$G12="$/Unit/Month",('Operating Assumptions'!$H12*DB$23)*DB$36,IF('Operating Assumptions'!$G12="Fixed Amount",('Operating Assumptions'!$H12*DB$23)/12,IF('Operating Assumptions'!$G12="$/Garage/Month",('Operating Assumptions'!$H12*DB$23)*'Operating Assumptions'!$D$16,IF('Operating Assumptions'!$G12="$/Pet/Month",(DB$36*'Operating Assumptions'!$D$18)*('Operating Assumptions'!$H12*DB$23),IF('Operating Assumptions'!$G12="$/Parking/Month",('Operating Assumptions'!$H12*DB$23)*'Operating Assumptions'!$D$17)))))))</f>
        <v>0</v>
      </c>
      <c r="DC45" s="427">
        <f>IF(OR(DC$9&lt;'Operating Assumptions'!$D$53,DC$6&gt;'Operating Assumptions'!$AA$8,'Operating Assumptions'!$G12="N/A"),0,IF('Operating Assumptions'!$G12="$/Unit/Annual",(('Operating Assumptions'!$H12*DC$23)*DC$36)/12,IF('Operating Assumptions'!$G12="$/Unit/Month",('Operating Assumptions'!$H12*DC$23)*DC$36,IF('Operating Assumptions'!$G12="Fixed Amount",('Operating Assumptions'!$H12*DC$23)/12,IF('Operating Assumptions'!$G12="$/Garage/Month",('Operating Assumptions'!$H12*DC$23)*'Operating Assumptions'!$D$16,IF('Operating Assumptions'!$G12="$/Pet/Month",(DC$36*'Operating Assumptions'!$D$18)*('Operating Assumptions'!$H12*DC$23),IF('Operating Assumptions'!$G12="$/Parking/Month",('Operating Assumptions'!$H12*DC$23)*'Operating Assumptions'!$D$17)))))))</f>
        <v>0</v>
      </c>
      <c r="DD45" s="427">
        <f>IF(OR(DD$9&lt;'Operating Assumptions'!$D$53,DD$6&gt;'Operating Assumptions'!$AA$8,'Operating Assumptions'!$G12="N/A"),0,IF('Operating Assumptions'!$G12="$/Unit/Annual",(('Operating Assumptions'!$H12*DD$23)*DD$36)/12,IF('Operating Assumptions'!$G12="$/Unit/Month",('Operating Assumptions'!$H12*DD$23)*DD$36,IF('Operating Assumptions'!$G12="Fixed Amount",('Operating Assumptions'!$H12*DD$23)/12,IF('Operating Assumptions'!$G12="$/Garage/Month",('Operating Assumptions'!$H12*DD$23)*'Operating Assumptions'!$D$16,IF('Operating Assumptions'!$G12="$/Pet/Month",(DD$36*'Operating Assumptions'!$D$18)*('Operating Assumptions'!$H12*DD$23),IF('Operating Assumptions'!$G12="$/Parking/Month",('Operating Assumptions'!$H12*DD$23)*'Operating Assumptions'!$D$17)))))))</f>
        <v>0</v>
      </c>
      <c r="DE45" s="427">
        <f>IF(OR(DE$9&lt;'Operating Assumptions'!$D$53,DE$6&gt;'Operating Assumptions'!$AA$8,'Operating Assumptions'!$G12="N/A"),0,IF('Operating Assumptions'!$G12="$/Unit/Annual",(('Operating Assumptions'!$H12*DE$23)*DE$36)/12,IF('Operating Assumptions'!$G12="$/Unit/Month",('Operating Assumptions'!$H12*DE$23)*DE$36,IF('Operating Assumptions'!$G12="Fixed Amount",('Operating Assumptions'!$H12*DE$23)/12,IF('Operating Assumptions'!$G12="$/Garage/Month",('Operating Assumptions'!$H12*DE$23)*'Operating Assumptions'!$D$16,IF('Operating Assumptions'!$G12="$/Pet/Month",(DE$36*'Operating Assumptions'!$D$18)*('Operating Assumptions'!$H12*DE$23),IF('Operating Assumptions'!$G12="$/Parking/Month",('Operating Assumptions'!$H12*DE$23)*'Operating Assumptions'!$D$17)))))))</f>
        <v>0</v>
      </c>
      <c r="DF45" s="427">
        <f>IF(OR(DF$9&lt;'Operating Assumptions'!$D$53,DF$6&gt;'Operating Assumptions'!$AA$8,'Operating Assumptions'!$G12="N/A"),0,IF('Operating Assumptions'!$G12="$/Unit/Annual",(('Operating Assumptions'!$H12*DF$23)*DF$36)/12,IF('Operating Assumptions'!$G12="$/Unit/Month",('Operating Assumptions'!$H12*DF$23)*DF$36,IF('Operating Assumptions'!$G12="Fixed Amount",('Operating Assumptions'!$H12*DF$23)/12,IF('Operating Assumptions'!$G12="$/Garage/Month",('Operating Assumptions'!$H12*DF$23)*'Operating Assumptions'!$D$16,IF('Operating Assumptions'!$G12="$/Pet/Month",(DF$36*'Operating Assumptions'!$D$18)*('Operating Assumptions'!$H12*DF$23),IF('Operating Assumptions'!$G12="$/Parking/Month",('Operating Assumptions'!$H12*DF$23)*'Operating Assumptions'!$D$17)))))))</f>
        <v>0</v>
      </c>
      <c r="DG45" s="427">
        <f>IF(OR(DG$9&lt;'Operating Assumptions'!$D$53,DG$6&gt;'Operating Assumptions'!$AA$8,'Operating Assumptions'!$G12="N/A"),0,IF('Operating Assumptions'!$G12="$/Unit/Annual",(('Operating Assumptions'!$H12*DG$23)*DG$36)/12,IF('Operating Assumptions'!$G12="$/Unit/Month",('Operating Assumptions'!$H12*DG$23)*DG$36,IF('Operating Assumptions'!$G12="Fixed Amount",('Operating Assumptions'!$H12*DG$23)/12,IF('Operating Assumptions'!$G12="$/Garage/Month",('Operating Assumptions'!$H12*DG$23)*'Operating Assumptions'!$D$16,IF('Operating Assumptions'!$G12="$/Pet/Month",(DG$36*'Operating Assumptions'!$D$18)*('Operating Assumptions'!$H12*DG$23),IF('Operating Assumptions'!$G12="$/Parking/Month",('Operating Assumptions'!$H12*DG$23)*'Operating Assumptions'!$D$17)))))))</f>
        <v>0</v>
      </c>
      <c r="DH45" s="427">
        <f>IF(OR(DH$9&lt;'Operating Assumptions'!$D$53,DH$6&gt;'Operating Assumptions'!$AA$8,'Operating Assumptions'!$G12="N/A"),0,IF('Operating Assumptions'!$G12="$/Unit/Annual",(('Operating Assumptions'!$H12*DH$23)*DH$36)/12,IF('Operating Assumptions'!$G12="$/Unit/Month",('Operating Assumptions'!$H12*DH$23)*DH$36,IF('Operating Assumptions'!$G12="Fixed Amount",('Operating Assumptions'!$H12*DH$23)/12,IF('Operating Assumptions'!$G12="$/Garage/Month",('Operating Assumptions'!$H12*DH$23)*'Operating Assumptions'!$D$16,IF('Operating Assumptions'!$G12="$/Pet/Month",(DH$36*'Operating Assumptions'!$D$18)*('Operating Assumptions'!$H12*DH$23),IF('Operating Assumptions'!$G12="$/Parking/Month",('Operating Assumptions'!$H12*DH$23)*'Operating Assumptions'!$D$17)))))))</f>
        <v>0</v>
      </c>
      <c r="DI45" s="427">
        <f>IF(OR(DI$9&lt;'Operating Assumptions'!$D$53,DI$6&gt;'Operating Assumptions'!$AA$8,'Operating Assumptions'!$G12="N/A"),0,IF('Operating Assumptions'!$G12="$/Unit/Annual",(('Operating Assumptions'!$H12*DI$23)*DI$36)/12,IF('Operating Assumptions'!$G12="$/Unit/Month",('Operating Assumptions'!$H12*DI$23)*DI$36,IF('Operating Assumptions'!$G12="Fixed Amount",('Operating Assumptions'!$H12*DI$23)/12,IF('Operating Assumptions'!$G12="$/Garage/Month",('Operating Assumptions'!$H12*DI$23)*'Operating Assumptions'!$D$16,IF('Operating Assumptions'!$G12="$/Pet/Month",(DI$36*'Operating Assumptions'!$D$18)*('Operating Assumptions'!$H12*DI$23),IF('Operating Assumptions'!$G12="$/Parking/Month",('Operating Assumptions'!$H12*DI$23)*'Operating Assumptions'!$D$17)))))))</f>
        <v>0</v>
      </c>
      <c r="DJ45" s="427">
        <f>IF(OR(DJ$9&lt;'Operating Assumptions'!$D$53,DJ$6&gt;'Operating Assumptions'!$AA$8,'Operating Assumptions'!$G12="N/A"),0,IF('Operating Assumptions'!$G12="$/Unit/Annual",(('Operating Assumptions'!$H12*DJ$23)*DJ$36)/12,IF('Operating Assumptions'!$G12="$/Unit/Month",('Operating Assumptions'!$H12*DJ$23)*DJ$36,IF('Operating Assumptions'!$G12="Fixed Amount",('Operating Assumptions'!$H12*DJ$23)/12,IF('Operating Assumptions'!$G12="$/Garage/Month",('Operating Assumptions'!$H12*DJ$23)*'Operating Assumptions'!$D$16,IF('Operating Assumptions'!$G12="$/Pet/Month",(DJ$36*'Operating Assumptions'!$D$18)*('Operating Assumptions'!$H12*DJ$23),IF('Operating Assumptions'!$G12="$/Parking/Month",('Operating Assumptions'!$H12*DJ$23)*'Operating Assumptions'!$D$17)))))))</f>
        <v>0</v>
      </c>
      <c r="DK45" s="427">
        <f>IF(OR(DK$9&lt;'Operating Assumptions'!$D$53,DK$6&gt;'Operating Assumptions'!$AA$8,'Operating Assumptions'!$G12="N/A"),0,IF('Operating Assumptions'!$G12="$/Unit/Annual",(('Operating Assumptions'!$H12*DK$23)*DK$36)/12,IF('Operating Assumptions'!$G12="$/Unit/Month",('Operating Assumptions'!$H12*DK$23)*DK$36,IF('Operating Assumptions'!$G12="Fixed Amount",('Operating Assumptions'!$H12*DK$23)/12,IF('Operating Assumptions'!$G12="$/Garage/Month",('Operating Assumptions'!$H12*DK$23)*'Operating Assumptions'!$D$16,IF('Operating Assumptions'!$G12="$/Pet/Month",(DK$36*'Operating Assumptions'!$D$18)*('Operating Assumptions'!$H12*DK$23),IF('Operating Assumptions'!$G12="$/Parking/Month",('Operating Assumptions'!$H12*DK$23)*'Operating Assumptions'!$D$17)))))))</f>
        <v>0</v>
      </c>
      <c r="DL45" s="427">
        <f>IF(OR(DL$9&lt;'Operating Assumptions'!$D$53,DL$6&gt;'Operating Assumptions'!$AA$8,'Operating Assumptions'!$G12="N/A"),0,IF('Operating Assumptions'!$G12="$/Unit/Annual",(('Operating Assumptions'!$H12*DL$23)*DL$36)/12,IF('Operating Assumptions'!$G12="$/Unit/Month",('Operating Assumptions'!$H12*DL$23)*DL$36,IF('Operating Assumptions'!$G12="Fixed Amount",('Operating Assumptions'!$H12*DL$23)/12,IF('Operating Assumptions'!$G12="$/Garage/Month",('Operating Assumptions'!$H12*DL$23)*'Operating Assumptions'!$D$16,IF('Operating Assumptions'!$G12="$/Pet/Month",(DL$36*'Operating Assumptions'!$D$18)*('Operating Assumptions'!$H12*DL$23),IF('Operating Assumptions'!$G12="$/Parking/Month",('Operating Assumptions'!$H12*DL$23)*'Operating Assumptions'!$D$17)))))))</f>
        <v>0</v>
      </c>
      <c r="DM45" s="427">
        <f>IF(OR(DM$9&lt;'Operating Assumptions'!$D$53,DM$6&gt;'Operating Assumptions'!$AA$8,'Operating Assumptions'!$G12="N/A"),0,IF('Operating Assumptions'!$G12="$/Unit/Annual",(('Operating Assumptions'!$H12*DM$23)*DM$36)/12,IF('Operating Assumptions'!$G12="$/Unit/Month",('Operating Assumptions'!$H12*DM$23)*DM$36,IF('Operating Assumptions'!$G12="Fixed Amount",('Operating Assumptions'!$H12*DM$23)/12,IF('Operating Assumptions'!$G12="$/Garage/Month",('Operating Assumptions'!$H12*DM$23)*'Operating Assumptions'!$D$16,IF('Operating Assumptions'!$G12="$/Pet/Month",(DM$36*'Operating Assumptions'!$D$18)*('Operating Assumptions'!$H12*DM$23),IF('Operating Assumptions'!$G12="$/Parking/Month",('Operating Assumptions'!$H12*DM$23)*'Operating Assumptions'!$D$17)))))))</f>
        <v>0</v>
      </c>
      <c r="DN45" s="427">
        <f>IF(OR(DN$9&lt;'Operating Assumptions'!$D$53,DN$6&gt;'Operating Assumptions'!$AA$8,'Operating Assumptions'!$G12="N/A"),0,IF('Operating Assumptions'!$G12="$/Unit/Annual",(('Operating Assumptions'!$H12*DN$23)*DN$36)/12,IF('Operating Assumptions'!$G12="$/Unit/Month",('Operating Assumptions'!$H12*DN$23)*DN$36,IF('Operating Assumptions'!$G12="Fixed Amount",('Operating Assumptions'!$H12*DN$23)/12,IF('Operating Assumptions'!$G12="$/Garage/Month",('Operating Assumptions'!$H12*DN$23)*'Operating Assumptions'!$D$16,IF('Operating Assumptions'!$G12="$/Pet/Month",(DN$36*'Operating Assumptions'!$D$18)*('Operating Assumptions'!$H12*DN$23),IF('Operating Assumptions'!$G12="$/Parking/Month",('Operating Assumptions'!$H12*DN$23)*'Operating Assumptions'!$D$17)))))))</f>
        <v>0</v>
      </c>
      <c r="DO45" s="427">
        <f>IF(OR(DO$9&lt;'Operating Assumptions'!$D$53,DO$6&gt;'Operating Assumptions'!$AA$8,'Operating Assumptions'!$G12="N/A"),0,IF('Operating Assumptions'!$G12="$/Unit/Annual",(('Operating Assumptions'!$H12*DO$23)*DO$36)/12,IF('Operating Assumptions'!$G12="$/Unit/Month",('Operating Assumptions'!$H12*DO$23)*DO$36,IF('Operating Assumptions'!$G12="Fixed Amount",('Operating Assumptions'!$H12*DO$23)/12,IF('Operating Assumptions'!$G12="$/Garage/Month",('Operating Assumptions'!$H12*DO$23)*'Operating Assumptions'!$D$16,IF('Operating Assumptions'!$G12="$/Pet/Month",(DO$36*'Operating Assumptions'!$D$18)*('Operating Assumptions'!$H12*DO$23),IF('Operating Assumptions'!$G12="$/Parking/Month",('Operating Assumptions'!$H12*DO$23)*'Operating Assumptions'!$D$17)))))))</f>
        <v>0</v>
      </c>
      <c r="DP45" s="427">
        <f>IF(OR(DP$9&lt;'Operating Assumptions'!$D$53,DP$6&gt;'Operating Assumptions'!$AA$8,'Operating Assumptions'!$G12="N/A"),0,IF('Operating Assumptions'!$G12="$/Unit/Annual",(('Operating Assumptions'!$H12*DP$23)*DP$36)/12,IF('Operating Assumptions'!$G12="$/Unit/Month",('Operating Assumptions'!$H12*DP$23)*DP$36,IF('Operating Assumptions'!$G12="Fixed Amount",('Operating Assumptions'!$H12*DP$23)/12,IF('Operating Assumptions'!$G12="$/Garage/Month",('Operating Assumptions'!$H12*DP$23)*'Operating Assumptions'!$D$16,IF('Operating Assumptions'!$G12="$/Pet/Month",(DP$36*'Operating Assumptions'!$D$18)*('Operating Assumptions'!$H12*DP$23),IF('Operating Assumptions'!$G12="$/Parking/Month",('Operating Assumptions'!$H12*DP$23)*'Operating Assumptions'!$D$17)))))))</f>
        <v>0</v>
      </c>
      <c r="DQ45" s="427">
        <f>IF(OR(DQ$9&lt;'Operating Assumptions'!$D$53,DQ$6&gt;'Operating Assumptions'!$AA$8,'Operating Assumptions'!$G12="N/A"),0,IF('Operating Assumptions'!$G12="$/Unit/Annual",(('Operating Assumptions'!$H12*DQ$23)*DQ$36)/12,IF('Operating Assumptions'!$G12="$/Unit/Month",('Operating Assumptions'!$H12*DQ$23)*DQ$36,IF('Operating Assumptions'!$G12="Fixed Amount",('Operating Assumptions'!$H12*DQ$23)/12,IF('Operating Assumptions'!$G12="$/Garage/Month",('Operating Assumptions'!$H12*DQ$23)*'Operating Assumptions'!$D$16,IF('Operating Assumptions'!$G12="$/Pet/Month",(DQ$36*'Operating Assumptions'!$D$18)*('Operating Assumptions'!$H12*DQ$23),IF('Operating Assumptions'!$G12="$/Parking/Month",('Operating Assumptions'!$H12*DQ$23)*'Operating Assumptions'!$D$17)))))))</f>
        <v>0</v>
      </c>
      <c r="DR45" s="427">
        <f>IF(OR(DR$9&lt;'Operating Assumptions'!$D$53,DR$6&gt;'Operating Assumptions'!$AA$8,'Operating Assumptions'!$G12="N/A"),0,IF('Operating Assumptions'!$G12="$/Unit/Annual",(('Operating Assumptions'!$H12*DR$23)*DR$36)/12,IF('Operating Assumptions'!$G12="$/Unit/Month",('Operating Assumptions'!$H12*DR$23)*DR$36,IF('Operating Assumptions'!$G12="Fixed Amount",('Operating Assumptions'!$H12*DR$23)/12,IF('Operating Assumptions'!$G12="$/Garage/Month",('Operating Assumptions'!$H12*DR$23)*'Operating Assumptions'!$D$16,IF('Operating Assumptions'!$G12="$/Pet/Month",(DR$36*'Operating Assumptions'!$D$18)*('Operating Assumptions'!$H12*DR$23),IF('Operating Assumptions'!$G12="$/Parking/Month",('Operating Assumptions'!$H12*DR$23)*'Operating Assumptions'!$D$17)))))))</f>
        <v>0</v>
      </c>
      <c r="DS45" s="427">
        <f>IF(OR(DS$9&lt;'Operating Assumptions'!$D$53,DS$6&gt;'Operating Assumptions'!$AA$8,'Operating Assumptions'!$G12="N/A"),0,IF('Operating Assumptions'!$G12="$/Unit/Annual",(('Operating Assumptions'!$H12*DS$23)*DS$36)/12,IF('Operating Assumptions'!$G12="$/Unit/Month",('Operating Assumptions'!$H12*DS$23)*DS$36,IF('Operating Assumptions'!$G12="Fixed Amount",('Operating Assumptions'!$H12*DS$23)/12,IF('Operating Assumptions'!$G12="$/Garage/Month",('Operating Assumptions'!$H12*DS$23)*'Operating Assumptions'!$D$16,IF('Operating Assumptions'!$G12="$/Pet/Month",(DS$36*'Operating Assumptions'!$D$18)*('Operating Assumptions'!$H12*DS$23),IF('Operating Assumptions'!$G12="$/Parking/Month",('Operating Assumptions'!$H12*DS$23)*'Operating Assumptions'!$D$17)))))))</f>
        <v>0</v>
      </c>
      <c r="DT45" s="427">
        <f>IF(OR(DT$9&lt;'Operating Assumptions'!$D$53,DT$6&gt;'Operating Assumptions'!$AA$8,'Operating Assumptions'!$G12="N/A"),0,IF('Operating Assumptions'!$G12="$/Unit/Annual",(('Operating Assumptions'!$H12*DT$23)*DT$36)/12,IF('Operating Assumptions'!$G12="$/Unit/Month",('Operating Assumptions'!$H12*DT$23)*DT$36,IF('Operating Assumptions'!$G12="Fixed Amount",('Operating Assumptions'!$H12*DT$23)/12,IF('Operating Assumptions'!$G12="$/Garage/Month",('Operating Assumptions'!$H12*DT$23)*'Operating Assumptions'!$D$16,IF('Operating Assumptions'!$G12="$/Pet/Month",(DT$36*'Operating Assumptions'!$D$18)*('Operating Assumptions'!$H12*DT$23),IF('Operating Assumptions'!$G12="$/Parking/Month",('Operating Assumptions'!$H12*DT$23)*'Operating Assumptions'!$D$17)))))))</f>
        <v>0</v>
      </c>
      <c r="DU45" s="427">
        <f>IF(OR(DU$9&lt;'Operating Assumptions'!$D$53,DU$6&gt;'Operating Assumptions'!$AA$8,'Operating Assumptions'!$G12="N/A"),0,IF('Operating Assumptions'!$G12="$/Unit/Annual",(('Operating Assumptions'!$H12*DU$23)*DU$36)/12,IF('Operating Assumptions'!$G12="$/Unit/Month",('Operating Assumptions'!$H12*DU$23)*DU$36,IF('Operating Assumptions'!$G12="Fixed Amount",('Operating Assumptions'!$H12*DU$23)/12,IF('Operating Assumptions'!$G12="$/Garage/Month",('Operating Assumptions'!$H12*DU$23)*'Operating Assumptions'!$D$16,IF('Operating Assumptions'!$G12="$/Pet/Month",(DU$36*'Operating Assumptions'!$D$18)*('Operating Assumptions'!$H12*DU$23),IF('Operating Assumptions'!$G12="$/Parking/Month",('Operating Assumptions'!$H12*DU$23)*'Operating Assumptions'!$D$17)))))))</f>
        <v>0</v>
      </c>
      <c r="DV45" s="427">
        <f>IF(OR(DV$9&lt;'Operating Assumptions'!$D$53,DV$6&gt;'Operating Assumptions'!$AA$8,'Operating Assumptions'!$G12="N/A"),0,IF('Operating Assumptions'!$G12="$/Unit/Annual",(('Operating Assumptions'!$H12*DV$23)*DV$36)/12,IF('Operating Assumptions'!$G12="$/Unit/Month",('Operating Assumptions'!$H12*DV$23)*DV$36,IF('Operating Assumptions'!$G12="Fixed Amount",('Operating Assumptions'!$H12*DV$23)/12,IF('Operating Assumptions'!$G12="$/Garage/Month",('Operating Assumptions'!$H12*DV$23)*'Operating Assumptions'!$D$16,IF('Operating Assumptions'!$G12="$/Pet/Month",(DV$36*'Operating Assumptions'!$D$18)*('Operating Assumptions'!$H12*DV$23),IF('Operating Assumptions'!$G12="$/Parking/Month",('Operating Assumptions'!$H12*DV$23)*'Operating Assumptions'!$D$17)))))))</f>
        <v>0</v>
      </c>
      <c r="DW45" s="427">
        <f>IF(OR(DW$9&lt;'Operating Assumptions'!$D$53,DW$6&gt;'Operating Assumptions'!$AA$8,'Operating Assumptions'!$G12="N/A"),0,IF('Operating Assumptions'!$G12="$/Unit/Annual",(('Operating Assumptions'!$H12*DW$23)*DW$36)/12,IF('Operating Assumptions'!$G12="$/Unit/Month",('Operating Assumptions'!$H12*DW$23)*DW$36,IF('Operating Assumptions'!$G12="Fixed Amount",('Operating Assumptions'!$H12*DW$23)/12,IF('Operating Assumptions'!$G12="$/Garage/Month",('Operating Assumptions'!$H12*DW$23)*'Operating Assumptions'!$D$16,IF('Operating Assumptions'!$G12="$/Pet/Month",(DW$36*'Operating Assumptions'!$D$18)*('Operating Assumptions'!$H12*DW$23),IF('Operating Assumptions'!$G12="$/Parking/Month",('Operating Assumptions'!$H12*DW$23)*'Operating Assumptions'!$D$17)))))))</f>
        <v>0</v>
      </c>
      <c r="DX45" s="427">
        <f>IF(OR(DX$9&lt;'Operating Assumptions'!$D$53,DX$6&gt;'Operating Assumptions'!$AA$8,'Operating Assumptions'!$G12="N/A"),0,IF('Operating Assumptions'!$G12="$/Unit/Annual",(('Operating Assumptions'!$H12*DX$23)*DX$36)/12,IF('Operating Assumptions'!$G12="$/Unit/Month",('Operating Assumptions'!$H12*DX$23)*DX$36,IF('Operating Assumptions'!$G12="Fixed Amount",('Operating Assumptions'!$H12*DX$23)/12,IF('Operating Assumptions'!$G12="$/Garage/Month",('Operating Assumptions'!$H12*DX$23)*'Operating Assumptions'!$D$16,IF('Operating Assumptions'!$G12="$/Pet/Month",(DX$36*'Operating Assumptions'!$D$18)*('Operating Assumptions'!$H12*DX$23),IF('Operating Assumptions'!$G12="$/Parking/Month",('Operating Assumptions'!$H12*DX$23)*'Operating Assumptions'!$D$17)))))))</f>
        <v>0</v>
      </c>
      <c r="DY45" s="427">
        <f>IF(OR(DY$9&lt;'Operating Assumptions'!$D$53,DY$6&gt;'Operating Assumptions'!$AA$8,'Operating Assumptions'!$G12="N/A"),0,IF('Operating Assumptions'!$G12="$/Unit/Annual",(('Operating Assumptions'!$H12*DY$23)*DY$36)/12,IF('Operating Assumptions'!$G12="$/Unit/Month",('Operating Assumptions'!$H12*DY$23)*DY$36,IF('Operating Assumptions'!$G12="Fixed Amount",('Operating Assumptions'!$H12*DY$23)/12,IF('Operating Assumptions'!$G12="$/Garage/Month",('Operating Assumptions'!$H12*DY$23)*'Operating Assumptions'!$D$16,IF('Operating Assumptions'!$G12="$/Pet/Month",(DY$36*'Operating Assumptions'!$D$18)*('Operating Assumptions'!$H12*DY$23),IF('Operating Assumptions'!$G12="$/Parking/Month",('Operating Assumptions'!$H12*DY$23)*'Operating Assumptions'!$D$17)))))))</f>
        <v>0</v>
      </c>
      <c r="DZ45" s="427">
        <f>IF(OR(DZ$9&lt;'Operating Assumptions'!$D$53,DZ$6&gt;'Operating Assumptions'!$AA$8,'Operating Assumptions'!$G12="N/A"),0,IF('Operating Assumptions'!$G12="$/Unit/Annual",(('Operating Assumptions'!$H12*DZ$23)*DZ$36)/12,IF('Operating Assumptions'!$G12="$/Unit/Month",('Operating Assumptions'!$H12*DZ$23)*DZ$36,IF('Operating Assumptions'!$G12="Fixed Amount",('Operating Assumptions'!$H12*DZ$23)/12,IF('Operating Assumptions'!$G12="$/Garage/Month",('Operating Assumptions'!$H12*DZ$23)*'Operating Assumptions'!$D$16,IF('Operating Assumptions'!$G12="$/Pet/Month",(DZ$36*'Operating Assumptions'!$D$18)*('Operating Assumptions'!$H12*DZ$23),IF('Operating Assumptions'!$G12="$/Parking/Month",('Operating Assumptions'!$H12*DZ$23)*'Operating Assumptions'!$D$17)))))))</f>
        <v>0</v>
      </c>
      <c r="EA45" s="427">
        <f>IF(OR(EA$9&lt;'Operating Assumptions'!$D$53,EA$6&gt;'Operating Assumptions'!$AA$8,'Operating Assumptions'!$G12="N/A"),0,IF('Operating Assumptions'!$G12="$/Unit/Annual",(('Operating Assumptions'!$H12*EA$23)*EA$36)/12,IF('Operating Assumptions'!$G12="$/Unit/Month",('Operating Assumptions'!$H12*EA$23)*EA$36,IF('Operating Assumptions'!$G12="Fixed Amount",('Operating Assumptions'!$H12*EA$23)/12,IF('Operating Assumptions'!$G12="$/Garage/Month",('Operating Assumptions'!$H12*EA$23)*'Operating Assumptions'!$D$16,IF('Operating Assumptions'!$G12="$/Pet/Month",(EA$36*'Operating Assumptions'!$D$18)*('Operating Assumptions'!$H12*EA$23),IF('Operating Assumptions'!$G12="$/Parking/Month",('Operating Assumptions'!$H12*EA$23)*'Operating Assumptions'!$D$17)))))))</f>
        <v>0</v>
      </c>
      <c r="EB45" s="427">
        <f>IF(OR(EB$9&lt;'Operating Assumptions'!$D$53,EB$6&gt;'Operating Assumptions'!$AA$8,'Operating Assumptions'!$G12="N/A"),0,IF('Operating Assumptions'!$G12="$/Unit/Annual",(('Operating Assumptions'!$H12*EB$23)*EB$36)/12,IF('Operating Assumptions'!$G12="$/Unit/Month",('Operating Assumptions'!$H12*EB$23)*EB$36,IF('Operating Assumptions'!$G12="Fixed Amount",('Operating Assumptions'!$H12*EB$23)/12,IF('Operating Assumptions'!$G12="$/Garage/Month",('Operating Assumptions'!$H12*EB$23)*'Operating Assumptions'!$D$16,IF('Operating Assumptions'!$G12="$/Pet/Month",(EB$36*'Operating Assumptions'!$D$18)*('Operating Assumptions'!$H12*EB$23),IF('Operating Assumptions'!$G12="$/Parking/Month",('Operating Assumptions'!$H12*EB$23)*'Operating Assumptions'!$D$17)))))))</f>
        <v>0</v>
      </c>
      <c r="EC45" s="427">
        <f>IF(OR(EC$9&lt;'Operating Assumptions'!$D$53,EC$6&gt;'Operating Assumptions'!$AA$8,'Operating Assumptions'!$G12="N/A"),0,IF('Operating Assumptions'!$G12="$/Unit/Annual",(('Operating Assumptions'!$H12*EC$23)*EC$36)/12,IF('Operating Assumptions'!$G12="$/Unit/Month",('Operating Assumptions'!$H12*EC$23)*EC$36,IF('Operating Assumptions'!$G12="Fixed Amount",('Operating Assumptions'!$H12*EC$23)/12,IF('Operating Assumptions'!$G12="$/Garage/Month",('Operating Assumptions'!$H12*EC$23)*'Operating Assumptions'!$D$16,IF('Operating Assumptions'!$G12="$/Pet/Month",(EC$36*'Operating Assumptions'!$D$18)*('Operating Assumptions'!$H12*EC$23),IF('Operating Assumptions'!$G12="$/Parking/Month",('Operating Assumptions'!$H12*EC$23)*'Operating Assumptions'!$D$17)))))))</f>
        <v>0</v>
      </c>
      <c r="ED45" s="427">
        <f>IF(OR(ED$9&lt;'Operating Assumptions'!$D$53,ED$6&gt;'Operating Assumptions'!$AA$8,'Operating Assumptions'!$G12="N/A"),0,IF('Operating Assumptions'!$G12="$/Unit/Annual",(('Operating Assumptions'!$H12*ED$23)*ED$36)/12,IF('Operating Assumptions'!$G12="$/Unit/Month",('Operating Assumptions'!$H12*ED$23)*ED$36,IF('Operating Assumptions'!$G12="Fixed Amount",('Operating Assumptions'!$H12*ED$23)/12,IF('Operating Assumptions'!$G12="$/Garage/Month",('Operating Assumptions'!$H12*ED$23)*'Operating Assumptions'!$D$16,IF('Operating Assumptions'!$G12="$/Pet/Month",(ED$36*'Operating Assumptions'!$D$18)*('Operating Assumptions'!$H12*ED$23),IF('Operating Assumptions'!$G12="$/Parking/Month",('Operating Assumptions'!$H12*ED$23)*'Operating Assumptions'!$D$17)))))))</f>
        <v>0</v>
      </c>
      <c r="EE45" s="427">
        <f>IF(OR(EE$9&lt;'Operating Assumptions'!$D$53,EE$6&gt;'Operating Assumptions'!$AA$8,'Operating Assumptions'!$G12="N/A"),0,IF('Operating Assumptions'!$G12="$/Unit/Annual",(('Operating Assumptions'!$H12*EE$23)*EE$36)/12,IF('Operating Assumptions'!$G12="$/Unit/Month",('Operating Assumptions'!$H12*EE$23)*EE$36,IF('Operating Assumptions'!$G12="Fixed Amount",('Operating Assumptions'!$H12*EE$23)/12,IF('Operating Assumptions'!$G12="$/Garage/Month",('Operating Assumptions'!$H12*EE$23)*'Operating Assumptions'!$D$16,IF('Operating Assumptions'!$G12="$/Pet/Month",(EE$36*'Operating Assumptions'!$D$18)*('Operating Assumptions'!$H12*EE$23),IF('Operating Assumptions'!$G12="$/Parking/Month",('Operating Assumptions'!$H12*EE$23)*'Operating Assumptions'!$D$17)))))))</f>
        <v>0</v>
      </c>
      <c r="EF45" s="427">
        <f>IF(OR(EF$9&lt;'Operating Assumptions'!$D$53,EF$6&gt;'Operating Assumptions'!$AA$8,'Operating Assumptions'!$G12="N/A"),0,IF('Operating Assumptions'!$G12="$/Unit/Annual",(('Operating Assumptions'!$H12*EF$23)*EF$36)/12,IF('Operating Assumptions'!$G12="$/Unit/Month",('Operating Assumptions'!$H12*EF$23)*EF$36,IF('Operating Assumptions'!$G12="Fixed Amount",('Operating Assumptions'!$H12*EF$23)/12,IF('Operating Assumptions'!$G12="$/Garage/Month",('Operating Assumptions'!$H12*EF$23)*'Operating Assumptions'!$D$16,IF('Operating Assumptions'!$G12="$/Pet/Month",(EF$36*'Operating Assumptions'!$D$18)*('Operating Assumptions'!$H12*EF$23),IF('Operating Assumptions'!$G12="$/Parking/Month",('Operating Assumptions'!$H12*EF$23)*'Operating Assumptions'!$D$17)))))))</f>
        <v>0</v>
      </c>
      <c r="EG45" s="427">
        <f>IF(OR(EG$9&lt;'Operating Assumptions'!$D$53,EG$6&gt;'Operating Assumptions'!$AA$8,'Operating Assumptions'!$G12="N/A"),0,IF('Operating Assumptions'!$G12="$/Unit/Annual",(('Operating Assumptions'!$H12*EG$23)*EG$36)/12,IF('Operating Assumptions'!$G12="$/Unit/Month",('Operating Assumptions'!$H12*EG$23)*EG$36,IF('Operating Assumptions'!$G12="Fixed Amount",('Operating Assumptions'!$H12*EG$23)/12,IF('Operating Assumptions'!$G12="$/Garage/Month",('Operating Assumptions'!$H12*EG$23)*'Operating Assumptions'!$D$16,IF('Operating Assumptions'!$G12="$/Pet/Month",(EG$36*'Operating Assumptions'!$D$18)*('Operating Assumptions'!$H12*EG$23),IF('Operating Assumptions'!$G12="$/Parking/Month",('Operating Assumptions'!$H12*EG$23)*'Operating Assumptions'!$D$17)))))))</f>
        <v>0</v>
      </c>
      <c r="EH45" s="427">
        <f>IF(OR(EH$9&lt;'Operating Assumptions'!$D$53,EH$6&gt;'Operating Assumptions'!$AA$8,'Operating Assumptions'!$G12="N/A"),0,IF('Operating Assumptions'!$G12="$/Unit/Annual",(('Operating Assumptions'!$H12*EH$23)*EH$36)/12,IF('Operating Assumptions'!$G12="$/Unit/Month",('Operating Assumptions'!$H12*EH$23)*EH$36,IF('Operating Assumptions'!$G12="Fixed Amount",('Operating Assumptions'!$H12*EH$23)/12,IF('Operating Assumptions'!$G12="$/Garage/Month",('Operating Assumptions'!$H12*EH$23)*'Operating Assumptions'!$D$16,IF('Operating Assumptions'!$G12="$/Pet/Month",(EH$36*'Operating Assumptions'!$D$18)*('Operating Assumptions'!$H12*EH$23),IF('Operating Assumptions'!$G12="$/Parking/Month",('Operating Assumptions'!$H12*EH$23)*'Operating Assumptions'!$D$17)))))))</f>
        <v>0</v>
      </c>
      <c r="EI45" s="427">
        <f>IF(OR(EI$9&lt;'Operating Assumptions'!$D$53,EI$6&gt;'Operating Assumptions'!$AA$8,'Operating Assumptions'!$G12="N/A"),0,IF('Operating Assumptions'!$G12="$/Unit/Annual",(('Operating Assumptions'!$H12*EI$23)*EI$36)/12,IF('Operating Assumptions'!$G12="$/Unit/Month",('Operating Assumptions'!$H12*EI$23)*EI$36,IF('Operating Assumptions'!$G12="Fixed Amount",('Operating Assumptions'!$H12*EI$23)/12,IF('Operating Assumptions'!$G12="$/Garage/Month",('Operating Assumptions'!$H12*EI$23)*'Operating Assumptions'!$D$16,IF('Operating Assumptions'!$G12="$/Pet/Month",(EI$36*'Operating Assumptions'!$D$18)*('Operating Assumptions'!$H12*EI$23),IF('Operating Assumptions'!$G12="$/Parking/Month",('Operating Assumptions'!$H12*EI$23)*'Operating Assumptions'!$D$17)))))))</f>
        <v>0</v>
      </c>
      <c r="EJ45" s="427">
        <f>IF(OR(EJ$9&lt;'Operating Assumptions'!$D$53,EJ$6&gt;'Operating Assumptions'!$AA$8,'Operating Assumptions'!$G12="N/A"),0,IF('Operating Assumptions'!$G12="$/Unit/Annual",(('Operating Assumptions'!$H12*EJ$23)*EJ$36)/12,IF('Operating Assumptions'!$G12="$/Unit/Month",('Operating Assumptions'!$H12*EJ$23)*EJ$36,IF('Operating Assumptions'!$G12="Fixed Amount",('Operating Assumptions'!$H12*EJ$23)/12,IF('Operating Assumptions'!$G12="$/Garage/Month",('Operating Assumptions'!$H12*EJ$23)*'Operating Assumptions'!$D$16,IF('Operating Assumptions'!$G12="$/Pet/Month",(EJ$36*'Operating Assumptions'!$D$18)*('Operating Assumptions'!$H12*EJ$23),IF('Operating Assumptions'!$G12="$/Parking/Month",('Operating Assumptions'!$H12*EJ$23)*'Operating Assumptions'!$D$17)))))))</f>
        <v>0</v>
      </c>
      <c r="EK45" s="427">
        <f>IF(OR(EK$9&lt;'Operating Assumptions'!$D$53,EK$6&gt;'Operating Assumptions'!$AA$8,'Operating Assumptions'!$G12="N/A"),0,IF('Operating Assumptions'!$G12="$/Unit/Annual",(('Operating Assumptions'!$H12*EK$23)*EK$36)/12,IF('Operating Assumptions'!$G12="$/Unit/Month",('Operating Assumptions'!$H12*EK$23)*EK$36,IF('Operating Assumptions'!$G12="Fixed Amount",('Operating Assumptions'!$H12*EK$23)/12,IF('Operating Assumptions'!$G12="$/Garage/Month",('Operating Assumptions'!$H12*EK$23)*'Operating Assumptions'!$D$16,IF('Operating Assumptions'!$G12="$/Pet/Month",(EK$36*'Operating Assumptions'!$D$18)*('Operating Assumptions'!$H12*EK$23),IF('Operating Assumptions'!$G12="$/Parking/Month",('Operating Assumptions'!$H12*EK$23)*'Operating Assumptions'!$D$17)))))))</f>
        <v>0</v>
      </c>
      <c r="EL45" s="427">
        <f>IF(OR(EL$9&lt;'Operating Assumptions'!$D$53,EL$6&gt;'Operating Assumptions'!$AA$8,'Operating Assumptions'!$G12="N/A"),0,IF('Operating Assumptions'!$G12="$/Unit/Annual",(('Operating Assumptions'!$H12*EL$23)*EL$36)/12,IF('Operating Assumptions'!$G12="$/Unit/Month",('Operating Assumptions'!$H12*EL$23)*EL$36,IF('Operating Assumptions'!$G12="Fixed Amount",('Operating Assumptions'!$H12*EL$23)/12,IF('Operating Assumptions'!$G12="$/Garage/Month",('Operating Assumptions'!$H12*EL$23)*'Operating Assumptions'!$D$16,IF('Operating Assumptions'!$G12="$/Pet/Month",(EL$36*'Operating Assumptions'!$D$18)*('Operating Assumptions'!$H12*EL$23),IF('Operating Assumptions'!$G12="$/Parking/Month",('Operating Assumptions'!$H12*EL$23)*'Operating Assumptions'!$D$17)))))))</f>
        <v>0</v>
      </c>
      <c r="EM45" s="427">
        <f>IF(OR(EM$9&lt;'Operating Assumptions'!$D$53,EM$6&gt;'Operating Assumptions'!$AA$8,'Operating Assumptions'!$G12="N/A"),0,IF('Operating Assumptions'!$G12="$/Unit/Annual",(('Operating Assumptions'!$H12*EM$23)*EM$36)/12,IF('Operating Assumptions'!$G12="$/Unit/Month",('Operating Assumptions'!$H12*EM$23)*EM$36,IF('Operating Assumptions'!$G12="Fixed Amount",('Operating Assumptions'!$H12*EM$23)/12,IF('Operating Assumptions'!$G12="$/Garage/Month",('Operating Assumptions'!$H12*EM$23)*'Operating Assumptions'!$D$16,IF('Operating Assumptions'!$G12="$/Pet/Month",(EM$36*'Operating Assumptions'!$D$18)*('Operating Assumptions'!$H12*EM$23),IF('Operating Assumptions'!$G12="$/Parking/Month",('Operating Assumptions'!$H12*EM$23)*'Operating Assumptions'!$D$17)))))))</f>
        <v>0</v>
      </c>
      <c r="EN45" s="427">
        <f>IF(OR(EN$9&lt;'Operating Assumptions'!$D$53,EN$6&gt;'Operating Assumptions'!$AA$8,'Operating Assumptions'!$G12="N/A"),0,IF('Operating Assumptions'!$G12="$/Unit/Annual",(('Operating Assumptions'!$H12*EN$23)*EN$36)/12,IF('Operating Assumptions'!$G12="$/Unit/Month",('Operating Assumptions'!$H12*EN$23)*EN$36,IF('Operating Assumptions'!$G12="Fixed Amount",('Operating Assumptions'!$H12*EN$23)/12,IF('Operating Assumptions'!$G12="$/Garage/Month",('Operating Assumptions'!$H12*EN$23)*'Operating Assumptions'!$D$16,IF('Operating Assumptions'!$G12="$/Pet/Month",(EN$36*'Operating Assumptions'!$D$18)*('Operating Assumptions'!$H12*EN$23),IF('Operating Assumptions'!$G12="$/Parking/Month",('Operating Assumptions'!$H12*EN$23)*'Operating Assumptions'!$D$17)))))))</f>
        <v>0</v>
      </c>
      <c r="EO45" s="427">
        <f>IF(OR(EO$9&lt;'Operating Assumptions'!$D$53,EO$6&gt;'Operating Assumptions'!$AA$8,'Operating Assumptions'!$G12="N/A"),0,IF('Operating Assumptions'!$G12="$/Unit/Annual",(('Operating Assumptions'!$H12*EO$23)*EO$36)/12,IF('Operating Assumptions'!$G12="$/Unit/Month",('Operating Assumptions'!$H12*EO$23)*EO$36,IF('Operating Assumptions'!$G12="Fixed Amount",('Operating Assumptions'!$H12*EO$23)/12,IF('Operating Assumptions'!$G12="$/Garage/Month",('Operating Assumptions'!$H12*EO$23)*'Operating Assumptions'!$D$16,IF('Operating Assumptions'!$G12="$/Pet/Month",(EO$36*'Operating Assumptions'!$D$18)*('Operating Assumptions'!$H12*EO$23),IF('Operating Assumptions'!$G12="$/Parking/Month",('Operating Assumptions'!$H12*EO$23)*'Operating Assumptions'!$D$17)))))))</f>
        <v>0</v>
      </c>
      <c r="EP45" s="427">
        <f>IF(OR(EP$9&lt;'Operating Assumptions'!$D$53,EP$6&gt;'Operating Assumptions'!$AA$8,'Operating Assumptions'!$G12="N/A"),0,IF('Operating Assumptions'!$G12="$/Unit/Annual",(('Operating Assumptions'!$H12*EP$23)*EP$36)/12,IF('Operating Assumptions'!$G12="$/Unit/Month",('Operating Assumptions'!$H12*EP$23)*EP$36,IF('Operating Assumptions'!$G12="Fixed Amount",('Operating Assumptions'!$H12*EP$23)/12,IF('Operating Assumptions'!$G12="$/Garage/Month",('Operating Assumptions'!$H12*EP$23)*'Operating Assumptions'!$D$16,IF('Operating Assumptions'!$G12="$/Pet/Month",(EP$36*'Operating Assumptions'!$D$18)*('Operating Assumptions'!$H12*EP$23),IF('Operating Assumptions'!$G12="$/Parking/Month",('Operating Assumptions'!$H12*EP$23)*'Operating Assumptions'!$D$17)))))))</f>
        <v>0</v>
      </c>
      <c r="EQ45" s="427">
        <f>IF(OR(EQ$9&lt;'Operating Assumptions'!$D$53,EQ$6&gt;'Operating Assumptions'!$AA$8,'Operating Assumptions'!$G12="N/A"),0,IF('Operating Assumptions'!$G12="$/Unit/Annual",(('Operating Assumptions'!$H12*EQ$23)*EQ$36)/12,IF('Operating Assumptions'!$G12="$/Unit/Month",('Operating Assumptions'!$H12*EQ$23)*EQ$36,IF('Operating Assumptions'!$G12="Fixed Amount",('Operating Assumptions'!$H12*EQ$23)/12,IF('Operating Assumptions'!$G12="$/Garage/Month",('Operating Assumptions'!$H12*EQ$23)*'Operating Assumptions'!$D$16,IF('Operating Assumptions'!$G12="$/Pet/Month",(EQ$36*'Operating Assumptions'!$D$18)*('Operating Assumptions'!$H12*EQ$23),IF('Operating Assumptions'!$G12="$/Parking/Month",('Operating Assumptions'!$H12*EQ$23)*'Operating Assumptions'!$D$17)))))))</f>
        <v>0</v>
      </c>
      <c r="ER45" s="427">
        <f>IF(OR(ER$9&lt;'Operating Assumptions'!$D$53,ER$6&gt;'Operating Assumptions'!$AA$8,'Operating Assumptions'!$G12="N/A"),0,IF('Operating Assumptions'!$G12="$/Unit/Annual",(('Operating Assumptions'!$H12*ER$23)*ER$36)/12,IF('Operating Assumptions'!$G12="$/Unit/Month",('Operating Assumptions'!$H12*ER$23)*ER$36,IF('Operating Assumptions'!$G12="Fixed Amount",('Operating Assumptions'!$H12*ER$23)/12,IF('Operating Assumptions'!$G12="$/Garage/Month",('Operating Assumptions'!$H12*ER$23)*'Operating Assumptions'!$D$16,IF('Operating Assumptions'!$G12="$/Pet/Month",(ER$36*'Operating Assumptions'!$D$18)*('Operating Assumptions'!$H12*ER$23),IF('Operating Assumptions'!$G12="$/Parking/Month",('Operating Assumptions'!$H12*ER$23)*'Operating Assumptions'!$D$17)))))))</f>
        <v>0</v>
      </c>
      <c r="ES45" s="427">
        <f>IF(OR(ES$9&lt;'Operating Assumptions'!$D$53,ES$6&gt;'Operating Assumptions'!$AA$8,'Operating Assumptions'!$G12="N/A"),0,IF('Operating Assumptions'!$G12="$/Unit/Annual",(('Operating Assumptions'!$H12*ES$23)*ES$36)/12,IF('Operating Assumptions'!$G12="$/Unit/Month",('Operating Assumptions'!$H12*ES$23)*ES$36,IF('Operating Assumptions'!$G12="Fixed Amount",('Operating Assumptions'!$H12*ES$23)/12,IF('Operating Assumptions'!$G12="$/Garage/Month",('Operating Assumptions'!$H12*ES$23)*'Operating Assumptions'!$D$16,IF('Operating Assumptions'!$G12="$/Pet/Month",(ES$36*'Operating Assumptions'!$D$18)*('Operating Assumptions'!$H12*ES$23),IF('Operating Assumptions'!$G12="$/Parking/Month",('Operating Assumptions'!$H12*ES$23)*'Operating Assumptions'!$D$17)))))))</f>
        <v>0</v>
      </c>
      <c r="ET45" s="427">
        <f>IF(OR(ET$9&lt;'Operating Assumptions'!$D$53,ET$6&gt;'Operating Assumptions'!$AA$8,'Operating Assumptions'!$G12="N/A"),0,IF('Operating Assumptions'!$G12="$/Unit/Annual",(('Operating Assumptions'!$H12*ET$23)*ET$36)/12,IF('Operating Assumptions'!$G12="$/Unit/Month",('Operating Assumptions'!$H12*ET$23)*ET$36,IF('Operating Assumptions'!$G12="Fixed Amount",('Operating Assumptions'!$H12*ET$23)/12,IF('Operating Assumptions'!$G12="$/Garage/Month",('Operating Assumptions'!$H12*ET$23)*'Operating Assumptions'!$D$16,IF('Operating Assumptions'!$G12="$/Pet/Month",(ET$36*'Operating Assumptions'!$D$18)*('Operating Assumptions'!$H12*ET$23),IF('Operating Assumptions'!$G12="$/Parking/Month",('Operating Assumptions'!$H12*ET$23)*'Operating Assumptions'!$D$17)))))))</f>
        <v>0</v>
      </c>
      <c r="EU45" s="427">
        <f>IF(OR(EU$9&lt;'Operating Assumptions'!$D$53,EU$6&gt;'Operating Assumptions'!$AA$8,'Operating Assumptions'!$G12="N/A"),0,IF('Operating Assumptions'!$G12="$/Unit/Annual",(('Operating Assumptions'!$H12*EU$23)*EU$36)/12,IF('Operating Assumptions'!$G12="$/Unit/Month",('Operating Assumptions'!$H12*EU$23)*EU$36,IF('Operating Assumptions'!$G12="Fixed Amount",('Operating Assumptions'!$H12*EU$23)/12,IF('Operating Assumptions'!$G12="$/Garage/Month",('Operating Assumptions'!$H12*EU$23)*'Operating Assumptions'!$D$16,IF('Operating Assumptions'!$G12="$/Pet/Month",(EU$36*'Operating Assumptions'!$D$18)*('Operating Assumptions'!$H12*EU$23),IF('Operating Assumptions'!$G12="$/Parking/Month",('Operating Assumptions'!$H12*EU$23)*'Operating Assumptions'!$D$17)))))))</f>
        <v>0</v>
      </c>
      <c r="EV45" s="427">
        <f>IF(OR(EV$9&lt;'Operating Assumptions'!$D$53,EV$6&gt;'Operating Assumptions'!$AA$8,'Operating Assumptions'!$G12="N/A"),0,IF('Operating Assumptions'!$G12="$/Unit/Annual",(('Operating Assumptions'!$H12*EV$23)*EV$36)/12,IF('Operating Assumptions'!$G12="$/Unit/Month",('Operating Assumptions'!$H12*EV$23)*EV$36,IF('Operating Assumptions'!$G12="Fixed Amount",('Operating Assumptions'!$H12*EV$23)/12,IF('Operating Assumptions'!$G12="$/Garage/Month",('Operating Assumptions'!$H12*EV$23)*'Operating Assumptions'!$D$16,IF('Operating Assumptions'!$G12="$/Pet/Month",(EV$36*'Operating Assumptions'!$D$18)*('Operating Assumptions'!$H12*EV$23),IF('Operating Assumptions'!$G12="$/Parking/Month",('Operating Assumptions'!$H12*EV$23)*'Operating Assumptions'!$D$17)))))))</f>
        <v>0</v>
      </c>
      <c r="EW45" s="427">
        <f>IF(OR(EW$9&lt;'Operating Assumptions'!$D$53,EW$6&gt;'Operating Assumptions'!$AA$8,'Operating Assumptions'!$G12="N/A"),0,IF('Operating Assumptions'!$G12="$/Unit/Annual",(('Operating Assumptions'!$H12*EW$23)*EW$36)/12,IF('Operating Assumptions'!$G12="$/Unit/Month",('Operating Assumptions'!$H12*EW$23)*EW$36,IF('Operating Assumptions'!$G12="Fixed Amount",('Operating Assumptions'!$H12*EW$23)/12,IF('Operating Assumptions'!$G12="$/Garage/Month",('Operating Assumptions'!$H12*EW$23)*'Operating Assumptions'!$D$16,IF('Operating Assumptions'!$G12="$/Pet/Month",(EW$36*'Operating Assumptions'!$D$18)*('Operating Assumptions'!$H12*EW$23),IF('Operating Assumptions'!$G12="$/Parking/Month",('Operating Assumptions'!$H12*EW$23)*'Operating Assumptions'!$D$17)))))))</f>
        <v>0</v>
      </c>
      <c r="EX45" s="427">
        <f>IF(OR(EX$9&lt;'Operating Assumptions'!$D$53,EX$6&gt;'Operating Assumptions'!$AA$8,'Operating Assumptions'!$G12="N/A"),0,IF('Operating Assumptions'!$G12="$/Unit/Annual",(('Operating Assumptions'!$H12*EX$23)*EX$36)/12,IF('Operating Assumptions'!$G12="$/Unit/Month",('Operating Assumptions'!$H12*EX$23)*EX$36,IF('Operating Assumptions'!$G12="Fixed Amount",('Operating Assumptions'!$H12*EX$23)/12,IF('Operating Assumptions'!$G12="$/Garage/Month",('Operating Assumptions'!$H12*EX$23)*'Operating Assumptions'!$D$16,IF('Operating Assumptions'!$G12="$/Pet/Month",(EX$36*'Operating Assumptions'!$D$18)*('Operating Assumptions'!$H12*EX$23),IF('Operating Assumptions'!$G12="$/Parking/Month",('Operating Assumptions'!$H12*EX$23)*'Operating Assumptions'!$D$17)))))))</f>
        <v>0</v>
      </c>
      <c r="EY45" s="427">
        <f>IF(OR(EY$9&lt;'Operating Assumptions'!$D$53,EY$6&gt;'Operating Assumptions'!$AA$8,'Operating Assumptions'!$G12="N/A"),0,IF('Operating Assumptions'!$G12="$/Unit/Annual",(('Operating Assumptions'!$H12*EY$23)*EY$36)/12,IF('Operating Assumptions'!$G12="$/Unit/Month",('Operating Assumptions'!$H12*EY$23)*EY$36,IF('Operating Assumptions'!$G12="Fixed Amount",('Operating Assumptions'!$H12*EY$23)/12,IF('Operating Assumptions'!$G12="$/Garage/Month",('Operating Assumptions'!$H12*EY$23)*'Operating Assumptions'!$D$16,IF('Operating Assumptions'!$G12="$/Pet/Month",(EY$36*'Operating Assumptions'!$D$18)*('Operating Assumptions'!$H12*EY$23),IF('Operating Assumptions'!$G12="$/Parking/Month",('Operating Assumptions'!$H12*EY$23)*'Operating Assumptions'!$D$17)))))))</f>
        <v>0</v>
      </c>
      <c r="EZ45" s="427">
        <f>IF(OR(EZ$9&lt;'Operating Assumptions'!$D$53,EZ$6&gt;'Operating Assumptions'!$AA$8,'Operating Assumptions'!$G12="N/A"),0,IF('Operating Assumptions'!$G12="$/Unit/Annual",(('Operating Assumptions'!$H12*EZ$23)*EZ$36)/12,IF('Operating Assumptions'!$G12="$/Unit/Month",('Operating Assumptions'!$H12*EZ$23)*EZ$36,IF('Operating Assumptions'!$G12="Fixed Amount",('Operating Assumptions'!$H12*EZ$23)/12,IF('Operating Assumptions'!$G12="$/Garage/Month",('Operating Assumptions'!$H12*EZ$23)*'Operating Assumptions'!$D$16,IF('Operating Assumptions'!$G12="$/Pet/Month",(EZ$36*'Operating Assumptions'!$D$18)*('Operating Assumptions'!$H12*EZ$23),IF('Operating Assumptions'!$G12="$/Parking/Month",('Operating Assumptions'!$H12*EZ$23)*'Operating Assumptions'!$D$17)))))))</f>
        <v>0</v>
      </c>
      <c r="FA45" s="427">
        <f>IF(OR(FA$9&lt;'Operating Assumptions'!$D$53,FA$6&gt;'Operating Assumptions'!$AA$8,'Operating Assumptions'!$G12="N/A"),0,IF('Operating Assumptions'!$G12="$/Unit/Annual",(('Operating Assumptions'!$H12*FA$23)*FA$36)/12,IF('Operating Assumptions'!$G12="$/Unit/Month",('Operating Assumptions'!$H12*FA$23)*FA$36,IF('Operating Assumptions'!$G12="Fixed Amount",('Operating Assumptions'!$H12*FA$23)/12,IF('Operating Assumptions'!$G12="$/Garage/Month",('Operating Assumptions'!$H12*FA$23)*'Operating Assumptions'!$D$16,IF('Operating Assumptions'!$G12="$/Pet/Month",(FA$36*'Operating Assumptions'!$D$18)*('Operating Assumptions'!$H12*FA$23),IF('Operating Assumptions'!$G12="$/Parking/Month",('Operating Assumptions'!$H12*FA$23)*'Operating Assumptions'!$D$17)))))))</f>
        <v>0</v>
      </c>
      <c r="FB45" s="427">
        <f>IF(OR(FB$9&lt;'Operating Assumptions'!$D$53,FB$6&gt;'Operating Assumptions'!$AA$8,'Operating Assumptions'!$G12="N/A"),0,IF('Operating Assumptions'!$G12="$/Unit/Annual",(('Operating Assumptions'!$H12*FB$23)*FB$36)/12,IF('Operating Assumptions'!$G12="$/Unit/Month",('Operating Assumptions'!$H12*FB$23)*FB$36,IF('Operating Assumptions'!$G12="Fixed Amount",('Operating Assumptions'!$H12*FB$23)/12,IF('Operating Assumptions'!$G12="$/Garage/Month",('Operating Assumptions'!$H12*FB$23)*'Operating Assumptions'!$D$16,IF('Operating Assumptions'!$G12="$/Pet/Month",(FB$36*'Operating Assumptions'!$D$18)*('Operating Assumptions'!$H12*FB$23),IF('Operating Assumptions'!$G12="$/Parking/Month",('Operating Assumptions'!$H12*FB$23)*'Operating Assumptions'!$D$17)))))))</f>
        <v>0</v>
      </c>
      <c r="FC45" s="427">
        <f>IF(OR(FC$9&lt;'Operating Assumptions'!$D$53,FC$6&gt;'Operating Assumptions'!$AA$8,'Operating Assumptions'!$G12="N/A"),0,IF('Operating Assumptions'!$G12="$/Unit/Annual",(('Operating Assumptions'!$H12*FC$23)*FC$36)/12,IF('Operating Assumptions'!$G12="$/Unit/Month",('Operating Assumptions'!$H12*FC$23)*FC$36,IF('Operating Assumptions'!$G12="Fixed Amount",('Operating Assumptions'!$H12*FC$23)/12,IF('Operating Assumptions'!$G12="$/Garage/Month",('Operating Assumptions'!$H12*FC$23)*'Operating Assumptions'!$D$16,IF('Operating Assumptions'!$G12="$/Pet/Month",(FC$36*'Operating Assumptions'!$D$18)*('Operating Assumptions'!$H12*FC$23),IF('Operating Assumptions'!$G12="$/Parking/Month",('Operating Assumptions'!$H12*FC$23)*'Operating Assumptions'!$D$17)))))))</f>
        <v>0</v>
      </c>
      <c r="FD45" s="427">
        <f>IF(OR(FD$9&lt;'Operating Assumptions'!$D$53,FD$6&gt;'Operating Assumptions'!$AA$8,'Operating Assumptions'!$G12="N/A"),0,IF('Operating Assumptions'!$G12="$/Unit/Annual",(('Operating Assumptions'!$H12*FD$23)*FD$36)/12,IF('Operating Assumptions'!$G12="$/Unit/Month",('Operating Assumptions'!$H12*FD$23)*FD$36,IF('Operating Assumptions'!$G12="Fixed Amount",('Operating Assumptions'!$H12*FD$23)/12,IF('Operating Assumptions'!$G12="$/Garage/Month",('Operating Assumptions'!$H12*FD$23)*'Operating Assumptions'!$D$16,IF('Operating Assumptions'!$G12="$/Pet/Month",(FD$36*'Operating Assumptions'!$D$18)*('Operating Assumptions'!$H12*FD$23),IF('Operating Assumptions'!$G12="$/Parking/Month",('Operating Assumptions'!$H12*FD$23)*'Operating Assumptions'!$D$17)))))))</f>
        <v>0</v>
      </c>
      <c r="FE45" s="427">
        <f>IF(OR(FE$9&lt;'Operating Assumptions'!$D$53,FE$6&gt;'Operating Assumptions'!$AA$8,'Operating Assumptions'!$G12="N/A"),0,IF('Operating Assumptions'!$G12="$/Unit/Annual",(('Operating Assumptions'!$H12*FE$23)*FE$36)/12,IF('Operating Assumptions'!$G12="$/Unit/Month",('Operating Assumptions'!$H12*FE$23)*FE$36,IF('Operating Assumptions'!$G12="Fixed Amount",('Operating Assumptions'!$H12*FE$23)/12,IF('Operating Assumptions'!$G12="$/Garage/Month",('Operating Assumptions'!$H12*FE$23)*'Operating Assumptions'!$D$16,IF('Operating Assumptions'!$G12="$/Pet/Month",(FE$36*'Operating Assumptions'!$D$18)*('Operating Assumptions'!$H12*FE$23),IF('Operating Assumptions'!$G12="$/Parking/Month",('Operating Assumptions'!$H12*FE$23)*'Operating Assumptions'!$D$17)))))))</f>
        <v>0</v>
      </c>
      <c r="FF45" s="427">
        <f>IF(OR(FF$9&lt;'Operating Assumptions'!$D$53,FF$6&gt;'Operating Assumptions'!$AA$8,'Operating Assumptions'!$G12="N/A"),0,IF('Operating Assumptions'!$G12="$/Unit/Annual",(('Operating Assumptions'!$H12*FF$23)*FF$36)/12,IF('Operating Assumptions'!$G12="$/Unit/Month",('Operating Assumptions'!$H12*FF$23)*FF$36,IF('Operating Assumptions'!$G12="Fixed Amount",('Operating Assumptions'!$H12*FF$23)/12,IF('Operating Assumptions'!$G12="$/Garage/Month",('Operating Assumptions'!$H12*FF$23)*'Operating Assumptions'!$D$16,IF('Operating Assumptions'!$G12="$/Pet/Month",(FF$36*'Operating Assumptions'!$D$18)*('Operating Assumptions'!$H12*FF$23),IF('Operating Assumptions'!$G12="$/Parking/Month",('Operating Assumptions'!$H12*FF$23)*'Operating Assumptions'!$D$17)))))))</f>
        <v>0</v>
      </c>
      <c r="FG45" s="427">
        <f>IF(OR(FG$9&lt;'Operating Assumptions'!$D$53,FG$6&gt;'Operating Assumptions'!$AA$8,'Operating Assumptions'!$G12="N/A"),0,IF('Operating Assumptions'!$G12="$/Unit/Annual",(('Operating Assumptions'!$H12*FG$23)*FG$36)/12,IF('Operating Assumptions'!$G12="$/Unit/Month",('Operating Assumptions'!$H12*FG$23)*FG$36,IF('Operating Assumptions'!$G12="Fixed Amount",('Operating Assumptions'!$H12*FG$23)/12,IF('Operating Assumptions'!$G12="$/Garage/Month",('Operating Assumptions'!$H12*FG$23)*'Operating Assumptions'!$D$16,IF('Operating Assumptions'!$G12="$/Pet/Month",(FG$36*'Operating Assumptions'!$D$18)*('Operating Assumptions'!$H12*FG$23),IF('Operating Assumptions'!$G12="$/Parking/Month",('Operating Assumptions'!$H12*FG$23)*'Operating Assumptions'!$D$17)))))))</f>
        <v>0</v>
      </c>
      <c r="FH45" s="427">
        <f>IF(OR(FH$9&lt;'Operating Assumptions'!$D$53,FH$6&gt;'Operating Assumptions'!$AA$8,'Operating Assumptions'!$G12="N/A"),0,IF('Operating Assumptions'!$G12="$/Unit/Annual",(('Operating Assumptions'!$H12*FH$23)*FH$36)/12,IF('Operating Assumptions'!$G12="$/Unit/Month",('Operating Assumptions'!$H12*FH$23)*FH$36,IF('Operating Assumptions'!$G12="Fixed Amount",('Operating Assumptions'!$H12*FH$23)/12,IF('Operating Assumptions'!$G12="$/Garage/Month",('Operating Assumptions'!$H12*FH$23)*'Operating Assumptions'!$D$16,IF('Operating Assumptions'!$G12="$/Pet/Month",(FH$36*'Operating Assumptions'!$D$18)*('Operating Assumptions'!$H12*FH$23),IF('Operating Assumptions'!$G12="$/Parking/Month",('Operating Assumptions'!$H12*FH$23)*'Operating Assumptions'!$D$17)))))))</f>
        <v>0</v>
      </c>
      <c r="FI45" s="427">
        <f>IF(OR(FI$9&lt;'Operating Assumptions'!$D$53,FI$6&gt;'Operating Assumptions'!$AA$8,'Operating Assumptions'!$G12="N/A"),0,IF('Operating Assumptions'!$G12="$/Unit/Annual",(('Operating Assumptions'!$H12*FI$23)*FI$36)/12,IF('Operating Assumptions'!$G12="$/Unit/Month",('Operating Assumptions'!$H12*FI$23)*FI$36,IF('Operating Assumptions'!$G12="Fixed Amount",('Operating Assumptions'!$H12*FI$23)/12,IF('Operating Assumptions'!$G12="$/Garage/Month",('Operating Assumptions'!$H12*FI$23)*'Operating Assumptions'!$D$16,IF('Operating Assumptions'!$G12="$/Pet/Month",(FI$36*'Operating Assumptions'!$D$18)*('Operating Assumptions'!$H12*FI$23),IF('Operating Assumptions'!$G12="$/Parking/Month",('Operating Assumptions'!$H12*FI$23)*'Operating Assumptions'!$D$17)))))))</f>
        <v>0</v>
      </c>
      <c r="FJ45" s="427">
        <f>IF(OR(FJ$9&lt;'Operating Assumptions'!$D$53,FJ$6&gt;'Operating Assumptions'!$AA$8,'Operating Assumptions'!$G12="N/A"),0,IF('Operating Assumptions'!$G12="$/Unit/Annual",(('Operating Assumptions'!$H12*FJ$23)*FJ$36)/12,IF('Operating Assumptions'!$G12="$/Unit/Month",('Operating Assumptions'!$H12*FJ$23)*FJ$36,IF('Operating Assumptions'!$G12="Fixed Amount",('Operating Assumptions'!$H12*FJ$23)/12,IF('Operating Assumptions'!$G12="$/Garage/Month",('Operating Assumptions'!$H12*FJ$23)*'Operating Assumptions'!$D$16,IF('Operating Assumptions'!$G12="$/Pet/Month",(FJ$36*'Operating Assumptions'!$D$18)*('Operating Assumptions'!$H12*FJ$23),IF('Operating Assumptions'!$G12="$/Parking/Month",('Operating Assumptions'!$H12*FJ$23)*'Operating Assumptions'!$D$17)))))))</f>
        <v>0</v>
      </c>
      <c r="FK45" s="427">
        <f>IF(OR(FK$9&lt;'Operating Assumptions'!$D$53,FK$6&gt;'Operating Assumptions'!$AA$8,'Operating Assumptions'!$G12="N/A"),0,IF('Operating Assumptions'!$G12="$/Unit/Annual",(('Operating Assumptions'!$H12*FK$23)*FK$36)/12,IF('Operating Assumptions'!$G12="$/Unit/Month",('Operating Assumptions'!$H12*FK$23)*FK$36,IF('Operating Assumptions'!$G12="Fixed Amount",('Operating Assumptions'!$H12*FK$23)/12,IF('Operating Assumptions'!$G12="$/Garage/Month",('Operating Assumptions'!$H12*FK$23)*'Operating Assumptions'!$D$16,IF('Operating Assumptions'!$G12="$/Pet/Month",(FK$36*'Operating Assumptions'!$D$18)*('Operating Assumptions'!$H12*FK$23),IF('Operating Assumptions'!$G12="$/Parking/Month",('Operating Assumptions'!$H12*FK$23)*'Operating Assumptions'!$D$17)))))))</f>
        <v>0</v>
      </c>
      <c r="FL45" s="427">
        <f>IF(OR(FL$9&lt;'Operating Assumptions'!$D$53,FL$6&gt;'Operating Assumptions'!$AA$8,'Operating Assumptions'!$G12="N/A"),0,IF('Operating Assumptions'!$G12="$/Unit/Annual",(('Operating Assumptions'!$H12*FL$23)*FL$36)/12,IF('Operating Assumptions'!$G12="$/Unit/Month",('Operating Assumptions'!$H12*FL$23)*FL$36,IF('Operating Assumptions'!$G12="Fixed Amount",('Operating Assumptions'!$H12*FL$23)/12,IF('Operating Assumptions'!$G12="$/Garage/Month",('Operating Assumptions'!$H12*FL$23)*'Operating Assumptions'!$D$16,IF('Operating Assumptions'!$G12="$/Pet/Month",(FL$36*'Operating Assumptions'!$D$18)*('Operating Assumptions'!$H12*FL$23),IF('Operating Assumptions'!$G12="$/Parking/Month",('Operating Assumptions'!$H12*FL$23)*'Operating Assumptions'!$D$17)))))))</f>
        <v>0</v>
      </c>
      <c r="FM45" s="427">
        <f>IF(OR(FM$9&lt;'Operating Assumptions'!$D$53,FM$6&gt;'Operating Assumptions'!$AA$8,'Operating Assumptions'!$G12="N/A"),0,IF('Operating Assumptions'!$G12="$/Unit/Annual",(('Operating Assumptions'!$H12*FM$23)*FM$36)/12,IF('Operating Assumptions'!$G12="$/Unit/Month",('Operating Assumptions'!$H12*FM$23)*FM$36,IF('Operating Assumptions'!$G12="Fixed Amount",('Operating Assumptions'!$H12*FM$23)/12,IF('Operating Assumptions'!$G12="$/Garage/Month",('Operating Assumptions'!$H12*FM$23)*'Operating Assumptions'!$D$16,IF('Operating Assumptions'!$G12="$/Pet/Month",(FM$36*'Operating Assumptions'!$D$18)*('Operating Assumptions'!$H12*FM$23),IF('Operating Assumptions'!$G12="$/Parking/Month",('Operating Assumptions'!$H12*FM$23)*'Operating Assumptions'!$D$17)))))))</f>
        <v>0</v>
      </c>
      <c r="FN45" s="427">
        <f>IF(OR(FN$9&lt;'Operating Assumptions'!$D$53,FN$6&gt;'Operating Assumptions'!$AA$8,'Operating Assumptions'!$G12="N/A"),0,IF('Operating Assumptions'!$G12="$/Unit/Annual",(('Operating Assumptions'!$H12*FN$23)*FN$36)/12,IF('Operating Assumptions'!$G12="$/Unit/Month",('Operating Assumptions'!$H12*FN$23)*FN$36,IF('Operating Assumptions'!$G12="Fixed Amount",('Operating Assumptions'!$H12*FN$23)/12,IF('Operating Assumptions'!$G12="$/Garage/Month",('Operating Assumptions'!$H12*FN$23)*'Operating Assumptions'!$D$16,IF('Operating Assumptions'!$G12="$/Pet/Month",(FN$36*'Operating Assumptions'!$D$18)*('Operating Assumptions'!$H12*FN$23),IF('Operating Assumptions'!$G12="$/Parking/Month",('Operating Assumptions'!$H12*FN$23)*'Operating Assumptions'!$D$17)))))))</f>
        <v>0</v>
      </c>
      <c r="FO45" s="427">
        <f>IF(OR(FO$9&lt;'Operating Assumptions'!$D$53,FO$6&gt;'Operating Assumptions'!$AA$8,'Operating Assumptions'!$G12="N/A"),0,IF('Operating Assumptions'!$G12="$/Unit/Annual",(('Operating Assumptions'!$H12*FO$23)*FO$36)/12,IF('Operating Assumptions'!$G12="$/Unit/Month",('Operating Assumptions'!$H12*FO$23)*FO$36,IF('Operating Assumptions'!$G12="Fixed Amount",('Operating Assumptions'!$H12*FO$23)/12,IF('Operating Assumptions'!$G12="$/Garage/Month",('Operating Assumptions'!$H12*FO$23)*'Operating Assumptions'!$D$16,IF('Operating Assumptions'!$G12="$/Pet/Month",(FO$36*'Operating Assumptions'!$D$18)*('Operating Assumptions'!$H12*FO$23),IF('Operating Assumptions'!$G12="$/Parking/Month",('Operating Assumptions'!$H12*FO$23)*'Operating Assumptions'!$D$17)))))))</f>
        <v>0</v>
      </c>
      <c r="FP45" s="427">
        <f>IF(OR(FP$9&lt;'Operating Assumptions'!$D$53,FP$6&gt;'Operating Assumptions'!$AA$8,'Operating Assumptions'!$G12="N/A"),0,IF('Operating Assumptions'!$G12="$/Unit/Annual",(('Operating Assumptions'!$H12*FP$23)*FP$36)/12,IF('Operating Assumptions'!$G12="$/Unit/Month",('Operating Assumptions'!$H12*FP$23)*FP$36,IF('Operating Assumptions'!$G12="Fixed Amount",('Operating Assumptions'!$H12*FP$23)/12,IF('Operating Assumptions'!$G12="$/Garage/Month",('Operating Assumptions'!$H12*FP$23)*'Operating Assumptions'!$D$16,IF('Operating Assumptions'!$G12="$/Pet/Month",(FP$36*'Operating Assumptions'!$D$18)*('Operating Assumptions'!$H12*FP$23),IF('Operating Assumptions'!$G12="$/Parking/Month",('Operating Assumptions'!$H12*FP$23)*'Operating Assumptions'!$D$17)))))))</f>
        <v>0</v>
      </c>
      <c r="FQ45" s="427">
        <f>IF(OR(FQ$9&lt;'Operating Assumptions'!$D$53,FQ$6&gt;'Operating Assumptions'!$AA$8,'Operating Assumptions'!$G12="N/A"),0,IF('Operating Assumptions'!$G12="$/Unit/Annual",(('Operating Assumptions'!$H12*FQ$23)*FQ$36)/12,IF('Operating Assumptions'!$G12="$/Unit/Month",('Operating Assumptions'!$H12*FQ$23)*FQ$36,IF('Operating Assumptions'!$G12="Fixed Amount",('Operating Assumptions'!$H12*FQ$23)/12,IF('Operating Assumptions'!$G12="$/Garage/Month",('Operating Assumptions'!$H12*FQ$23)*'Operating Assumptions'!$D$16,IF('Operating Assumptions'!$G12="$/Pet/Month",(FQ$36*'Operating Assumptions'!$D$18)*('Operating Assumptions'!$H12*FQ$23),IF('Operating Assumptions'!$G12="$/Parking/Month",('Operating Assumptions'!$H12*FQ$23)*'Operating Assumptions'!$D$17)))))))</f>
        <v>0</v>
      </c>
      <c r="FR45" s="427">
        <f>IF(OR(FR$9&lt;'Operating Assumptions'!$D$53,FR$6&gt;'Operating Assumptions'!$AA$8,'Operating Assumptions'!$G12="N/A"),0,IF('Operating Assumptions'!$G12="$/Unit/Annual",(('Operating Assumptions'!$H12*FR$23)*FR$36)/12,IF('Operating Assumptions'!$G12="$/Unit/Month",('Operating Assumptions'!$H12*FR$23)*FR$36,IF('Operating Assumptions'!$G12="Fixed Amount",('Operating Assumptions'!$H12*FR$23)/12,IF('Operating Assumptions'!$G12="$/Garage/Month",('Operating Assumptions'!$H12*FR$23)*'Operating Assumptions'!$D$16,IF('Operating Assumptions'!$G12="$/Pet/Month",(FR$36*'Operating Assumptions'!$D$18)*('Operating Assumptions'!$H12*FR$23),IF('Operating Assumptions'!$G12="$/Parking/Month",('Operating Assumptions'!$H12*FR$23)*'Operating Assumptions'!$D$17)))))))</f>
        <v>0</v>
      </c>
      <c r="FS45" s="427">
        <f>IF(OR(FS$9&lt;'Operating Assumptions'!$D$53,FS$6&gt;'Operating Assumptions'!$AA$8,'Operating Assumptions'!$G12="N/A"),0,IF('Operating Assumptions'!$G12="$/Unit/Annual",(('Operating Assumptions'!$H12*FS$23)*FS$36)/12,IF('Operating Assumptions'!$G12="$/Unit/Month",('Operating Assumptions'!$H12*FS$23)*FS$36,IF('Operating Assumptions'!$G12="Fixed Amount",('Operating Assumptions'!$H12*FS$23)/12,IF('Operating Assumptions'!$G12="$/Garage/Month",('Operating Assumptions'!$H12*FS$23)*'Operating Assumptions'!$D$16,IF('Operating Assumptions'!$G12="$/Pet/Month",(FS$36*'Operating Assumptions'!$D$18)*('Operating Assumptions'!$H12*FS$23),IF('Operating Assumptions'!$G12="$/Parking/Month",('Operating Assumptions'!$H12*FS$23)*'Operating Assumptions'!$D$17)))))))</f>
        <v>0</v>
      </c>
      <c r="FT45" s="427">
        <f>IF(OR(FT$9&lt;'Operating Assumptions'!$D$53,FT$6&gt;'Operating Assumptions'!$AA$8,'Operating Assumptions'!$G12="N/A"),0,IF('Operating Assumptions'!$G12="$/Unit/Annual",(('Operating Assumptions'!$H12*FT$23)*FT$36)/12,IF('Operating Assumptions'!$G12="$/Unit/Month",('Operating Assumptions'!$H12*FT$23)*FT$36,IF('Operating Assumptions'!$G12="Fixed Amount",('Operating Assumptions'!$H12*FT$23)/12,IF('Operating Assumptions'!$G12="$/Garage/Month",('Operating Assumptions'!$H12*FT$23)*'Operating Assumptions'!$D$16,IF('Operating Assumptions'!$G12="$/Pet/Month",(FT$36*'Operating Assumptions'!$D$18)*('Operating Assumptions'!$H12*FT$23),IF('Operating Assumptions'!$G12="$/Parking/Month",('Operating Assumptions'!$H12*FT$23)*'Operating Assumptions'!$D$17)))))))</f>
        <v>0</v>
      </c>
      <c r="FU45" s="43"/>
      <c r="FV45" s="34"/>
      <c r="FW45" s="34"/>
      <c r="FX45" s="34"/>
      <c r="FY45" s="34"/>
      <c r="FZ45" s="34"/>
    </row>
    <row r="46" spans="1:182" s="89" customFormat="1" ht="13.5" x14ac:dyDescent="0.25">
      <c r="A46" s="34"/>
      <c r="B46" s="128" t="str">
        <f>'Operating Assumptions'!F13</f>
        <v>Blank</v>
      </c>
      <c r="C46" s="34"/>
      <c r="D46" s="34"/>
      <c r="E46" s="34"/>
      <c r="F46" s="434">
        <f t="shared" si="148"/>
        <v>0</v>
      </c>
      <c r="G46" s="34"/>
      <c r="H46" s="427">
        <f>IF(OR(H$9&lt;'Operating Assumptions'!$D$53,H$6&gt;'Operating Assumptions'!$AA$8,'Operating Assumptions'!$G13="N/A"),0,IF('Operating Assumptions'!$G13="$/Unit/Annual",(('Operating Assumptions'!$H13*H$23)*H$36)/12,IF('Operating Assumptions'!$G13="$/Unit/Month",('Operating Assumptions'!$H13*H$23)*H$36,IF('Operating Assumptions'!$G13="Fixed Amount",('Operating Assumptions'!$H13*H$23)/12,IF('Operating Assumptions'!$G13="$/Garage/Month",('Operating Assumptions'!$H13*H$23)*'Operating Assumptions'!$D$16,IF('Operating Assumptions'!$G13="$/Pet/Month",(H$36*'Operating Assumptions'!$D$18)*('Operating Assumptions'!$H13*H$23),IF('Operating Assumptions'!$G13="$/Parking/Month",('Operating Assumptions'!$H13*H$23)*'Operating Assumptions'!$D$17)))))))</f>
        <v>0</v>
      </c>
      <c r="I46" s="427">
        <f>IF(OR(I$9&lt;'Operating Assumptions'!$D$53,I$6&gt;'Operating Assumptions'!$AA$8,'Operating Assumptions'!$G13="N/A"),0,IF('Operating Assumptions'!$G13="$/Unit/Annual",(('Operating Assumptions'!$H13*I$23)*I$36)/12,IF('Operating Assumptions'!$G13="$/Unit/Month",('Operating Assumptions'!$H13*I$23)*I$36,IF('Operating Assumptions'!$G13="Fixed Amount",('Operating Assumptions'!$H13*I$23)/12,IF('Operating Assumptions'!$G13="$/Garage/Month",('Operating Assumptions'!$H13*I$23)*'Operating Assumptions'!$D$16,IF('Operating Assumptions'!$G13="$/Pet/Month",(I$36*'Operating Assumptions'!$D$18)*('Operating Assumptions'!$H13*I$23),IF('Operating Assumptions'!$G13="$/Parking/Month",('Operating Assumptions'!$H13*I$23)*'Operating Assumptions'!$D$17)))))))</f>
        <v>0</v>
      </c>
      <c r="J46" s="427">
        <f>IF(OR(J$9&lt;'Operating Assumptions'!$D$53,J$6&gt;'Operating Assumptions'!$AA$8,'Operating Assumptions'!$G13="N/A"),0,IF('Operating Assumptions'!$G13="$/Unit/Annual",(('Operating Assumptions'!$H13*J$23)*J$36)/12,IF('Operating Assumptions'!$G13="$/Unit/Month",('Operating Assumptions'!$H13*J$23)*J$36,IF('Operating Assumptions'!$G13="Fixed Amount",('Operating Assumptions'!$H13*J$23)/12,IF('Operating Assumptions'!$G13="$/Garage/Month",('Operating Assumptions'!$H13*J$23)*'Operating Assumptions'!$D$16,IF('Operating Assumptions'!$G13="$/Pet/Month",(J$36*'Operating Assumptions'!$D$18)*('Operating Assumptions'!$H13*J$23),IF('Operating Assumptions'!$G13="$/Parking/Month",('Operating Assumptions'!$H13*J$23)*'Operating Assumptions'!$D$17)))))))</f>
        <v>0</v>
      </c>
      <c r="K46" s="427">
        <f>IF(OR(K$9&lt;'Operating Assumptions'!$D$53,K$6&gt;'Operating Assumptions'!$AA$8,'Operating Assumptions'!$G13="N/A"),0,IF('Operating Assumptions'!$G13="$/Unit/Annual",(('Operating Assumptions'!$H13*K$23)*K$36)/12,IF('Operating Assumptions'!$G13="$/Unit/Month",('Operating Assumptions'!$H13*K$23)*K$36,IF('Operating Assumptions'!$G13="Fixed Amount",('Operating Assumptions'!$H13*K$23)/12,IF('Operating Assumptions'!$G13="$/Garage/Month",('Operating Assumptions'!$H13*K$23)*'Operating Assumptions'!$D$16,IF('Operating Assumptions'!$G13="$/Pet/Month",(K$36*'Operating Assumptions'!$D$18)*('Operating Assumptions'!$H13*K$23),IF('Operating Assumptions'!$G13="$/Parking/Month",('Operating Assumptions'!$H13*K$23)*'Operating Assumptions'!$D$17)))))))</f>
        <v>0</v>
      </c>
      <c r="L46" s="427">
        <f>IF(OR(L$9&lt;'Operating Assumptions'!$D$53,L$6&gt;'Operating Assumptions'!$AA$8,'Operating Assumptions'!$G13="N/A"),0,IF('Operating Assumptions'!$G13="$/Unit/Annual",(('Operating Assumptions'!$H13*L$23)*L$36)/12,IF('Operating Assumptions'!$G13="$/Unit/Month",('Operating Assumptions'!$H13*L$23)*L$36,IF('Operating Assumptions'!$G13="Fixed Amount",('Operating Assumptions'!$H13*L$23)/12,IF('Operating Assumptions'!$G13="$/Garage/Month",('Operating Assumptions'!$H13*L$23)*'Operating Assumptions'!$D$16,IF('Operating Assumptions'!$G13="$/Pet/Month",(L$36*'Operating Assumptions'!$D$18)*('Operating Assumptions'!$H13*L$23),IF('Operating Assumptions'!$G13="$/Parking/Month",('Operating Assumptions'!$H13*L$23)*'Operating Assumptions'!$D$17)))))))</f>
        <v>0</v>
      </c>
      <c r="M46" s="427">
        <f>IF(OR(M$9&lt;'Operating Assumptions'!$D$53,M$6&gt;'Operating Assumptions'!$AA$8,'Operating Assumptions'!$G13="N/A"),0,IF('Operating Assumptions'!$G13="$/Unit/Annual",(('Operating Assumptions'!$H13*M$23)*M$36)/12,IF('Operating Assumptions'!$G13="$/Unit/Month",('Operating Assumptions'!$H13*M$23)*M$36,IF('Operating Assumptions'!$G13="Fixed Amount",('Operating Assumptions'!$H13*M$23)/12,IF('Operating Assumptions'!$G13="$/Garage/Month",('Operating Assumptions'!$H13*M$23)*'Operating Assumptions'!$D$16,IF('Operating Assumptions'!$G13="$/Pet/Month",(M$36*'Operating Assumptions'!$D$18)*('Operating Assumptions'!$H13*M$23),IF('Operating Assumptions'!$G13="$/Parking/Month",('Operating Assumptions'!$H13*M$23)*'Operating Assumptions'!$D$17)))))))</f>
        <v>0</v>
      </c>
      <c r="N46" s="427">
        <f>IF(OR(N$9&lt;'Operating Assumptions'!$D$53,N$6&gt;'Operating Assumptions'!$AA$8,'Operating Assumptions'!$G13="N/A"),0,IF('Operating Assumptions'!$G13="$/Unit/Annual",(('Operating Assumptions'!$H13*N$23)*N$36)/12,IF('Operating Assumptions'!$G13="$/Unit/Month",('Operating Assumptions'!$H13*N$23)*N$36,IF('Operating Assumptions'!$G13="Fixed Amount",('Operating Assumptions'!$H13*N$23)/12,IF('Operating Assumptions'!$G13="$/Garage/Month",('Operating Assumptions'!$H13*N$23)*'Operating Assumptions'!$D$16,IF('Operating Assumptions'!$G13="$/Pet/Month",(N$36*'Operating Assumptions'!$D$18)*('Operating Assumptions'!$H13*N$23),IF('Operating Assumptions'!$G13="$/Parking/Month",('Operating Assumptions'!$H13*N$23)*'Operating Assumptions'!$D$17)))))))</f>
        <v>0</v>
      </c>
      <c r="O46" s="427">
        <f>IF(OR(O$9&lt;'Operating Assumptions'!$D$53,O$6&gt;'Operating Assumptions'!$AA$8,'Operating Assumptions'!$G13="N/A"),0,IF('Operating Assumptions'!$G13="$/Unit/Annual",(('Operating Assumptions'!$H13*O$23)*O$36)/12,IF('Operating Assumptions'!$G13="$/Unit/Month",('Operating Assumptions'!$H13*O$23)*O$36,IF('Operating Assumptions'!$G13="Fixed Amount",('Operating Assumptions'!$H13*O$23)/12,IF('Operating Assumptions'!$G13="$/Garage/Month",('Operating Assumptions'!$H13*O$23)*'Operating Assumptions'!$D$16,IF('Operating Assumptions'!$G13="$/Pet/Month",(O$36*'Operating Assumptions'!$D$18)*('Operating Assumptions'!$H13*O$23),IF('Operating Assumptions'!$G13="$/Parking/Month",('Operating Assumptions'!$H13*O$23)*'Operating Assumptions'!$D$17)))))))</f>
        <v>0</v>
      </c>
      <c r="P46" s="427">
        <f>IF(OR(P$9&lt;'Operating Assumptions'!$D$53,P$6&gt;'Operating Assumptions'!$AA$8,'Operating Assumptions'!$G13="N/A"),0,IF('Operating Assumptions'!$G13="$/Unit/Annual",(('Operating Assumptions'!$H13*P$23)*P$36)/12,IF('Operating Assumptions'!$G13="$/Unit/Month",('Operating Assumptions'!$H13*P$23)*P$36,IF('Operating Assumptions'!$G13="Fixed Amount",('Operating Assumptions'!$H13*P$23)/12,IF('Operating Assumptions'!$G13="$/Garage/Month",('Operating Assumptions'!$H13*P$23)*'Operating Assumptions'!$D$16,IF('Operating Assumptions'!$G13="$/Pet/Month",(P$36*'Operating Assumptions'!$D$18)*('Operating Assumptions'!$H13*P$23),IF('Operating Assumptions'!$G13="$/Parking/Month",('Operating Assumptions'!$H13*P$23)*'Operating Assumptions'!$D$17)))))))</f>
        <v>0</v>
      </c>
      <c r="Q46" s="427">
        <f>IF(OR(Q$9&lt;'Operating Assumptions'!$D$53,Q$6&gt;'Operating Assumptions'!$AA$8,'Operating Assumptions'!$G13="N/A"),0,IF('Operating Assumptions'!$G13="$/Unit/Annual",(('Operating Assumptions'!$H13*Q$23)*Q$36)/12,IF('Operating Assumptions'!$G13="$/Unit/Month",('Operating Assumptions'!$H13*Q$23)*Q$36,IF('Operating Assumptions'!$G13="Fixed Amount",('Operating Assumptions'!$H13*Q$23)/12,IF('Operating Assumptions'!$G13="$/Garage/Month",('Operating Assumptions'!$H13*Q$23)*'Operating Assumptions'!$D$16,IF('Operating Assumptions'!$G13="$/Pet/Month",(Q$36*'Operating Assumptions'!$D$18)*('Operating Assumptions'!$H13*Q$23),IF('Operating Assumptions'!$G13="$/Parking/Month",('Operating Assumptions'!$H13*Q$23)*'Operating Assumptions'!$D$17)))))))</f>
        <v>0</v>
      </c>
      <c r="R46" s="427">
        <f>IF(OR(R$9&lt;'Operating Assumptions'!$D$53,R$6&gt;'Operating Assumptions'!$AA$8,'Operating Assumptions'!$G13="N/A"),0,IF('Operating Assumptions'!$G13="$/Unit/Annual",(('Operating Assumptions'!$H13*R$23)*R$36)/12,IF('Operating Assumptions'!$G13="$/Unit/Month",('Operating Assumptions'!$H13*R$23)*R$36,IF('Operating Assumptions'!$G13="Fixed Amount",('Operating Assumptions'!$H13*R$23)/12,IF('Operating Assumptions'!$G13="$/Garage/Month",('Operating Assumptions'!$H13*R$23)*'Operating Assumptions'!$D$16,IF('Operating Assumptions'!$G13="$/Pet/Month",(R$36*'Operating Assumptions'!$D$18)*('Operating Assumptions'!$H13*R$23),IF('Operating Assumptions'!$G13="$/Parking/Month",('Operating Assumptions'!$H13*R$23)*'Operating Assumptions'!$D$17)))))))</f>
        <v>0</v>
      </c>
      <c r="S46" s="427">
        <f>IF(OR(S$9&lt;'Operating Assumptions'!$D$53,S$6&gt;'Operating Assumptions'!$AA$8,'Operating Assumptions'!$G13="N/A"),0,IF('Operating Assumptions'!$G13="$/Unit/Annual",(('Operating Assumptions'!$H13*S$23)*S$36)/12,IF('Operating Assumptions'!$G13="$/Unit/Month",('Operating Assumptions'!$H13*S$23)*S$36,IF('Operating Assumptions'!$G13="Fixed Amount",('Operating Assumptions'!$H13*S$23)/12,IF('Operating Assumptions'!$G13="$/Garage/Month",('Operating Assumptions'!$H13*S$23)*'Operating Assumptions'!$D$16,IF('Operating Assumptions'!$G13="$/Pet/Month",(S$36*'Operating Assumptions'!$D$18)*('Operating Assumptions'!$H13*S$23),IF('Operating Assumptions'!$G13="$/Parking/Month",('Operating Assumptions'!$H13*S$23)*'Operating Assumptions'!$D$17)))))))</f>
        <v>0</v>
      </c>
      <c r="T46" s="427">
        <f>IF(OR(T$9&lt;'Operating Assumptions'!$D$53,T$6&gt;'Operating Assumptions'!$AA$8,'Operating Assumptions'!$G13="N/A"),0,IF('Operating Assumptions'!$G13="$/Unit/Annual",(('Operating Assumptions'!$H13*T$23)*T$36)/12,IF('Operating Assumptions'!$G13="$/Unit/Month",('Operating Assumptions'!$H13*T$23)*T$36,IF('Operating Assumptions'!$G13="Fixed Amount",('Operating Assumptions'!$H13*T$23)/12,IF('Operating Assumptions'!$G13="$/Garage/Month",('Operating Assumptions'!$H13*T$23)*'Operating Assumptions'!$D$16,IF('Operating Assumptions'!$G13="$/Pet/Month",(T$36*'Operating Assumptions'!$D$18)*('Operating Assumptions'!$H13*T$23),IF('Operating Assumptions'!$G13="$/Parking/Month",('Operating Assumptions'!$H13*T$23)*'Operating Assumptions'!$D$17)))))))</f>
        <v>0</v>
      </c>
      <c r="U46" s="427">
        <f>IF(OR(U$9&lt;'Operating Assumptions'!$D$53,U$6&gt;'Operating Assumptions'!$AA$8,'Operating Assumptions'!$G13="N/A"),0,IF('Operating Assumptions'!$G13="$/Unit/Annual",(('Operating Assumptions'!$H13*U$23)*U$36)/12,IF('Operating Assumptions'!$G13="$/Unit/Month",('Operating Assumptions'!$H13*U$23)*U$36,IF('Operating Assumptions'!$G13="Fixed Amount",('Operating Assumptions'!$H13*U$23)/12,IF('Operating Assumptions'!$G13="$/Garage/Month",('Operating Assumptions'!$H13*U$23)*'Operating Assumptions'!$D$16,IF('Operating Assumptions'!$G13="$/Pet/Month",(U$36*'Operating Assumptions'!$D$18)*('Operating Assumptions'!$H13*U$23),IF('Operating Assumptions'!$G13="$/Parking/Month",('Operating Assumptions'!$H13*U$23)*'Operating Assumptions'!$D$17)))))))</f>
        <v>0</v>
      </c>
      <c r="V46" s="427">
        <f>IF(OR(V$9&lt;'Operating Assumptions'!$D$53,V$6&gt;'Operating Assumptions'!$AA$8,'Operating Assumptions'!$G13="N/A"),0,IF('Operating Assumptions'!$G13="$/Unit/Annual",(('Operating Assumptions'!$H13*V$23)*V$36)/12,IF('Operating Assumptions'!$G13="$/Unit/Month",('Operating Assumptions'!$H13*V$23)*V$36,IF('Operating Assumptions'!$G13="Fixed Amount",('Operating Assumptions'!$H13*V$23)/12,IF('Operating Assumptions'!$G13="$/Garage/Month",('Operating Assumptions'!$H13*V$23)*'Operating Assumptions'!$D$16,IF('Operating Assumptions'!$G13="$/Pet/Month",(V$36*'Operating Assumptions'!$D$18)*('Operating Assumptions'!$H13*V$23),IF('Operating Assumptions'!$G13="$/Parking/Month",('Operating Assumptions'!$H13*V$23)*'Operating Assumptions'!$D$17)))))))</f>
        <v>0</v>
      </c>
      <c r="W46" s="427">
        <f>IF(OR(W$9&lt;'Operating Assumptions'!$D$53,W$6&gt;'Operating Assumptions'!$AA$8,'Operating Assumptions'!$G13="N/A"),0,IF('Operating Assumptions'!$G13="$/Unit/Annual",(('Operating Assumptions'!$H13*W$23)*W$36)/12,IF('Operating Assumptions'!$G13="$/Unit/Month",('Operating Assumptions'!$H13*W$23)*W$36,IF('Operating Assumptions'!$G13="Fixed Amount",('Operating Assumptions'!$H13*W$23)/12,IF('Operating Assumptions'!$G13="$/Garage/Month",('Operating Assumptions'!$H13*W$23)*'Operating Assumptions'!$D$16,IF('Operating Assumptions'!$G13="$/Pet/Month",(W$36*'Operating Assumptions'!$D$18)*('Operating Assumptions'!$H13*W$23),IF('Operating Assumptions'!$G13="$/Parking/Month",('Operating Assumptions'!$H13*W$23)*'Operating Assumptions'!$D$17)))))))</f>
        <v>0</v>
      </c>
      <c r="X46" s="427">
        <f>IF(OR(X$9&lt;'Operating Assumptions'!$D$53,X$6&gt;'Operating Assumptions'!$AA$8,'Operating Assumptions'!$G13="N/A"),0,IF('Operating Assumptions'!$G13="$/Unit/Annual",(('Operating Assumptions'!$H13*X$23)*X$36)/12,IF('Operating Assumptions'!$G13="$/Unit/Month",('Operating Assumptions'!$H13*X$23)*X$36,IF('Operating Assumptions'!$G13="Fixed Amount",('Operating Assumptions'!$H13*X$23)/12,IF('Operating Assumptions'!$G13="$/Garage/Month",('Operating Assumptions'!$H13*X$23)*'Operating Assumptions'!$D$16,IF('Operating Assumptions'!$G13="$/Pet/Month",(X$36*'Operating Assumptions'!$D$18)*('Operating Assumptions'!$H13*X$23),IF('Operating Assumptions'!$G13="$/Parking/Month",('Operating Assumptions'!$H13*X$23)*'Operating Assumptions'!$D$17)))))))</f>
        <v>0</v>
      </c>
      <c r="Y46" s="427">
        <f>IF(OR(Y$9&lt;'Operating Assumptions'!$D$53,Y$6&gt;'Operating Assumptions'!$AA$8,'Operating Assumptions'!$G13="N/A"),0,IF('Operating Assumptions'!$G13="$/Unit/Annual",(('Operating Assumptions'!$H13*Y$23)*Y$36)/12,IF('Operating Assumptions'!$G13="$/Unit/Month",('Operating Assumptions'!$H13*Y$23)*Y$36,IF('Operating Assumptions'!$G13="Fixed Amount",('Operating Assumptions'!$H13*Y$23)/12,IF('Operating Assumptions'!$G13="$/Garage/Month",('Operating Assumptions'!$H13*Y$23)*'Operating Assumptions'!$D$16,IF('Operating Assumptions'!$G13="$/Pet/Month",(Y$36*'Operating Assumptions'!$D$18)*('Operating Assumptions'!$H13*Y$23),IF('Operating Assumptions'!$G13="$/Parking/Month",('Operating Assumptions'!$H13*Y$23)*'Operating Assumptions'!$D$17)))))))</f>
        <v>0</v>
      </c>
      <c r="Z46" s="427">
        <f>IF(OR(Z$9&lt;'Operating Assumptions'!$D$53,Z$6&gt;'Operating Assumptions'!$AA$8,'Operating Assumptions'!$G13="N/A"),0,IF('Operating Assumptions'!$G13="$/Unit/Annual",(('Operating Assumptions'!$H13*Z$23)*Z$36)/12,IF('Operating Assumptions'!$G13="$/Unit/Month",('Operating Assumptions'!$H13*Z$23)*Z$36,IF('Operating Assumptions'!$G13="Fixed Amount",('Operating Assumptions'!$H13*Z$23)/12,IF('Operating Assumptions'!$G13="$/Garage/Month",('Operating Assumptions'!$H13*Z$23)*'Operating Assumptions'!$D$16,IF('Operating Assumptions'!$G13="$/Pet/Month",(Z$36*'Operating Assumptions'!$D$18)*('Operating Assumptions'!$H13*Z$23),IF('Operating Assumptions'!$G13="$/Parking/Month",('Operating Assumptions'!$H13*Z$23)*'Operating Assumptions'!$D$17)))))))</f>
        <v>0</v>
      </c>
      <c r="AA46" s="427">
        <f>IF(OR(AA$9&lt;'Operating Assumptions'!$D$53,AA$6&gt;'Operating Assumptions'!$AA$8,'Operating Assumptions'!$G13="N/A"),0,IF('Operating Assumptions'!$G13="$/Unit/Annual",(('Operating Assumptions'!$H13*AA$23)*AA$36)/12,IF('Operating Assumptions'!$G13="$/Unit/Month",('Operating Assumptions'!$H13*AA$23)*AA$36,IF('Operating Assumptions'!$G13="Fixed Amount",('Operating Assumptions'!$H13*AA$23)/12,IF('Operating Assumptions'!$G13="$/Garage/Month",('Operating Assumptions'!$H13*AA$23)*'Operating Assumptions'!$D$16,IF('Operating Assumptions'!$G13="$/Pet/Month",(AA$36*'Operating Assumptions'!$D$18)*('Operating Assumptions'!$H13*AA$23),IF('Operating Assumptions'!$G13="$/Parking/Month",('Operating Assumptions'!$H13*AA$23)*'Operating Assumptions'!$D$17)))))))</f>
        <v>0</v>
      </c>
      <c r="AB46" s="427">
        <f>IF(OR(AB$9&lt;'Operating Assumptions'!$D$53,AB$6&gt;'Operating Assumptions'!$AA$8,'Operating Assumptions'!$G13="N/A"),0,IF('Operating Assumptions'!$G13="$/Unit/Annual",(('Operating Assumptions'!$H13*AB$23)*AB$36)/12,IF('Operating Assumptions'!$G13="$/Unit/Month",('Operating Assumptions'!$H13*AB$23)*AB$36,IF('Operating Assumptions'!$G13="Fixed Amount",('Operating Assumptions'!$H13*AB$23)/12,IF('Operating Assumptions'!$G13="$/Garage/Month",('Operating Assumptions'!$H13*AB$23)*'Operating Assumptions'!$D$16,IF('Operating Assumptions'!$G13="$/Pet/Month",(AB$36*'Operating Assumptions'!$D$18)*('Operating Assumptions'!$H13*AB$23),IF('Operating Assumptions'!$G13="$/Parking/Month",('Operating Assumptions'!$H13*AB$23)*'Operating Assumptions'!$D$17)))))))</f>
        <v>0</v>
      </c>
      <c r="AC46" s="427">
        <f>IF(OR(AC$9&lt;'Operating Assumptions'!$D$53,AC$6&gt;'Operating Assumptions'!$AA$8,'Operating Assumptions'!$G13="N/A"),0,IF('Operating Assumptions'!$G13="$/Unit/Annual",(('Operating Assumptions'!$H13*AC$23)*AC$36)/12,IF('Operating Assumptions'!$G13="$/Unit/Month",('Operating Assumptions'!$H13*AC$23)*AC$36,IF('Operating Assumptions'!$G13="Fixed Amount",('Operating Assumptions'!$H13*AC$23)/12,IF('Operating Assumptions'!$G13="$/Garage/Month",('Operating Assumptions'!$H13*AC$23)*'Operating Assumptions'!$D$16,IF('Operating Assumptions'!$G13="$/Pet/Month",(AC$36*'Operating Assumptions'!$D$18)*('Operating Assumptions'!$H13*AC$23),IF('Operating Assumptions'!$G13="$/Parking/Month",('Operating Assumptions'!$H13*AC$23)*'Operating Assumptions'!$D$17)))))))</f>
        <v>0</v>
      </c>
      <c r="AD46" s="427">
        <f>IF(OR(AD$9&lt;'Operating Assumptions'!$D$53,AD$6&gt;'Operating Assumptions'!$AA$8,'Operating Assumptions'!$G13="N/A"),0,IF('Operating Assumptions'!$G13="$/Unit/Annual",(('Operating Assumptions'!$H13*AD$23)*AD$36)/12,IF('Operating Assumptions'!$G13="$/Unit/Month",('Operating Assumptions'!$H13*AD$23)*AD$36,IF('Operating Assumptions'!$G13="Fixed Amount",('Operating Assumptions'!$H13*AD$23)/12,IF('Operating Assumptions'!$G13="$/Garage/Month",('Operating Assumptions'!$H13*AD$23)*'Operating Assumptions'!$D$16,IF('Operating Assumptions'!$G13="$/Pet/Month",(AD$36*'Operating Assumptions'!$D$18)*('Operating Assumptions'!$H13*AD$23),IF('Operating Assumptions'!$G13="$/Parking/Month",('Operating Assumptions'!$H13*AD$23)*'Operating Assumptions'!$D$17)))))))</f>
        <v>0</v>
      </c>
      <c r="AE46" s="427">
        <f>IF(OR(AE$9&lt;'Operating Assumptions'!$D$53,AE$6&gt;'Operating Assumptions'!$AA$8,'Operating Assumptions'!$G13="N/A"),0,IF('Operating Assumptions'!$G13="$/Unit/Annual",(('Operating Assumptions'!$H13*AE$23)*AE$36)/12,IF('Operating Assumptions'!$G13="$/Unit/Month",('Operating Assumptions'!$H13*AE$23)*AE$36,IF('Operating Assumptions'!$G13="Fixed Amount",('Operating Assumptions'!$H13*AE$23)/12,IF('Operating Assumptions'!$G13="$/Garage/Month",('Operating Assumptions'!$H13*AE$23)*'Operating Assumptions'!$D$16,IF('Operating Assumptions'!$G13="$/Pet/Month",(AE$36*'Operating Assumptions'!$D$18)*('Operating Assumptions'!$H13*AE$23),IF('Operating Assumptions'!$G13="$/Parking/Month",('Operating Assumptions'!$H13*AE$23)*'Operating Assumptions'!$D$17)))))))</f>
        <v>0</v>
      </c>
      <c r="AF46" s="427">
        <f>IF(OR(AF$9&lt;'Operating Assumptions'!$D$53,AF$6&gt;'Operating Assumptions'!$AA$8,'Operating Assumptions'!$G13="N/A"),0,IF('Operating Assumptions'!$G13="$/Unit/Annual",(('Operating Assumptions'!$H13*AF$23)*AF$36)/12,IF('Operating Assumptions'!$G13="$/Unit/Month",('Operating Assumptions'!$H13*AF$23)*AF$36,IF('Operating Assumptions'!$G13="Fixed Amount",('Operating Assumptions'!$H13*AF$23)/12,IF('Operating Assumptions'!$G13="$/Garage/Month",('Operating Assumptions'!$H13*AF$23)*'Operating Assumptions'!$D$16,IF('Operating Assumptions'!$G13="$/Pet/Month",(AF$36*'Operating Assumptions'!$D$18)*('Operating Assumptions'!$H13*AF$23),IF('Operating Assumptions'!$G13="$/Parking/Month",('Operating Assumptions'!$H13*AF$23)*'Operating Assumptions'!$D$17)))))))</f>
        <v>0</v>
      </c>
      <c r="AG46" s="427">
        <f>IF(OR(AG$9&lt;'Operating Assumptions'!$D$53,AG$6&gt;'Operating Assumptions'!$AA$8,'Operating Assumptions'!$G13="N/A"),0,IF('Operating Assumptions'!$G13="$/Unit/Annual",(('Operating Assumptions'!$H13*AG$23)*AG$36)/12,IF('Operating Assumptions'!$G13="$/Unit/Month",('Operating Assumptions'!$H13*AG$23)*AG$36,IF('Operating Assumptions'!$G13="Fixed Amount",('Operating Assumptions'!$H13*AG$23)/12,IF('Operating Assumptions'!$G13="$/Garage/Month",('Operating Assumptions'!$H13*AG$23)*'Operating Assumptions'!$D$16,IF('Operating Assumptions'!$G13="$/Pet/Month",(AG$36*'Operating Assumptions'!$D$18)*('Operating Assumptions'!$H13*AG$23),IF('Operating Assumptions'!$G13="$/Parking/Month",('Operating Assumptions'!$H13*AG$23)*'Operating Assumptions'!$D$17)))))))</f>
        <v>0</v>
      </c>
      <c r="AH46" s="427">
        <f>IF(OR(AH$9&lt;'Operating Assumptions'!$D$53,AH$6&gt;'Operating Assumptions'!$AA$8,'Operating Assumptions'!$G13="N/A"),0,IF('Operating Assumptions'!$G13="$/Unit/Annual",(('Operating Assumptions'!$H13*AH$23)*AH$36)/12,IF('Operating Assumptions'!$G13="$/Unit/Month",('Operating Assumptions'!$H13*AH$23)*AH$36,IF('Operating Assumptions'!$G13="Fixed Amount",('Operating Assumptions'!$H13*AH$23)/12,IF('Operating Assumptions'!$G13="$/Garage/Month",('Operating Assumptions'!$H13*AH$23)*'Operating Assumptions'!$D$16,IF('Operating Assumptions'!$G13="$/Pet/Month",(AH$36*'Operating Assumptions'!$D$18)*('Operating Assumptions'!$H13*AH$23),IF('Operating Assumptions'!$G13="$/Parking/Month",('Operating Assumptions'!$H13*AH$23)*'Operating Assumptions'!$D$17)))))))</f>
        <v>0</v>
      </c>
      <c r="AI46" s="427">
        <f>IF(OR(AI$9&lt;'Operating Assumptions'!$D$53,AI$6&gt;'Operating Assumptions'!$AA$8,'Operating Assumptions'!$G13="N/A"),0,IF('Operating Assumptions'!$G13="$/Unit/Annual",(('Operating Assumptions'!$H13*AI$23)*AI$36)/12,IF('Operating Assumptions'!$G13="$/Unit/Month",('Operating Assumptions'!$H13*AI$23)*AI$36,IF('Operating Assumptions'!$G13="Fixed Amount",('Operating Assumptions'!$H13*AI$23)/12,IF('Operating Assumptions'!$G13="$/Garage/Month",('Operating Assumptions'!$H13*AI$23)*'Operating Assumptions'!$D$16,IF('Operating Assumptions'!$G13="$/Pet/Month",(AI$36*'Operating Assumptions'!$D$18)*('Operating Assumptions'!$H13*AI$23),IF('Operating Assumptions'!$G13="$/Parking/Month",('Operating Assumptions'!$H13*AI$23)*'Operating Assumptions'!$D$17)))))))</f>
        <v>0</v>
      </c>
      <c r="AJ46" s="427">
        <f>IF(OR(AJ$9&lt;'Operating Assumptions'!$D$53,AJ$6&gt;'Operating Assumptions'!$AA$8,'Operating Assumptions'!$G13="N/A"),0,IF('Operating Assumptions'!$G13="$/Unit/Annual",(('Operating Assumptions'!$H13*AJ$23)*AJ$36)/12,IF('Operating Assumptions'!$G13="$/Unit/Month",('Operating Assumptions'!$H13*AJ$23)*AJ$36,IF('Operating Assumptions'!$G13="Fixed Amount",('Operating Assumptions'!$H13*AJ$23)/12,IF('Operating Assumptions'!$G13="$/Garage/Month",('Operating Assumptions'!$H13*AJ$23)*'Operating Assumptions'!$D$16,IF('Operating Assumptions'!$G13="$/Pet/Month",(AJ$36*'Operating Assumptions'!$D$18)*('Operating Assumptions'!$H13*AJ$23),IF('Operating Assumptions'!$G13="$/Parking/Month",('Operating Assumptions'!$H13*AJ$23)*'Operating Assumptions'!$D$17)))))))</f>
        <v>0</v>
      </c>
      <c r="AK46" s="427">
        <f>IF(OR(AK$9&lt;'Operating Assumptions'!$D$53,AK$6&gt;'Operating Assumptions'!$AA$8,'Operating Assumptions'!$G13="N/A"),0,IF('Operating Assumptions'!$G13="$/Unit/Annual",(('Operating Assumptions'!$H13*AK$23)*AK$36)/12,IF('Operating Assumptions'!$G13="$/Unit/Month",('Operating Assumptions'!$H13*AK$23)*AK$36,IF('Operating Assumptions'!$G13="Fixed Amount",('Operating Assumptions'!$H13*AK$23)/12,IF('Operating Assumptions'!$G13="$/Garage/Month",('Operating Assumptions'!$H13*AK$23)*'Operating Assumptions'!$D$16,IF('Operating Assumptions'!$G13="$/Pet/Month",(AK$36*'Operating Assumptions'!$D$18)*('Operating Assumptions'!$H13*AK$23),IF('Operating Assumptions'!$G13="$/Parking/Month",('Operating Assumptions'!$H13*AK$23)*'Operating Assumptions'!$D$17)))))))</f>
        <v>0</v>
      </c>
      <c r="AL46" s="427">
        <f>IF(OR(AL$9&lt;'Operating Assumptions'!$D$53,AL$6&gt;'Operating Assumptions'!$AA$8,'Operating Assumptions'!$G13="N/A"),0,IF('Operating Assumptions'!$G13="$/Unit/Annual",(('Operating Assumptions'!$H13*AL$23)*AL$36)/12,IF('Operating Assumptions'!$G13="$/Unit/Month",('Operating Assumptions'!$H13*AL$23)*AL$36,IF('Operating Assumptions'!$G13="Fixed Amount",('Operating Assumptions'!$H13*AL$23)/12,IF('Operating Assumptions'!$G13="$/Garage/Month",('Operating Assumptions'!$H13*AL$23)*'Operating Assumptions'!$D$16,IF('Operating Assumptions'!$G13="$/Pet/Month",(AL$36*'Operating Assumptions'!$D$18)*('Operating Assumptions'!$H13*AL$23),IF('Operating Assumptions'!$G13="$/Parking/Month",('Operating Assumptions'!$H13*AL$23)*'Operating Assumptions'!$D$17)))))))</f>
        <v>0</v>
      </c>
      <c r="AM46" s="427">
        <f>IF(OR(AM$9&lt;'Operating Assumptions'!$D$53,AM$6&gt;'Operating Assumptions'!$AA$8,'Operating Assumptions'!$G13="N/A"),0,IF('Operating Assumptions'!$G13="$/Unit/Annual",(('Operating Assumptions'!$H13*AM$23)*AM$36)/12,IF('Operating Assumptions'!$G13="$/Unit/Month",('Operating Assumptions'!$H13*AM$23)*AM$36,IF('Operating Assumptions'!$G13="Fixed Amount",('Operating Assumptions'!$H13*AM$23)/12,IF('Operating Assumptions'!$G13="$/Garage/Month",('Operating Assumptions'!$H13*AM$23)*'Operating Assumptions'!$D$16,IF('Operating Assumptions'!$G13="$/Pet/Month",(AM$36*'Operating Assumptions'!$D$18)*('Operating Assumptions'!$H13*AM$23),IF('Operating Assumptions'!$G13="$/Parking/Month",('Operating Assumptions'!$H13*AM$23)*'Operating Assumptions'!$D$17)))))))</f>
        <v>0</v>
      </c>
      <c r="AN46" s="427">
        <f>IF(OR(AN$9&lt;'Operating Assumptions'!$D$53,AN$6&gt;'Operating Assumptions'!$AA$8,'Operating Assumptions'!$G13="N/A"),0,IF('Operating Assumptions'!$G13="$/Unit/Annual",(('Operating Assumptions'!$H13*AN$23)*AN$36)/12,IF('Operating Assumptions'!$G13="$/Unit/Month",('Operating Assumptions'!$H13*AN$23)*AN$36,IF('Operating Assumptions'!$G13="Fixed Amount",('Operating Assumptions'!$H13*AN$23)/12,IF('Operating Assumptions'!$G13="$/Garage/Month",('Operating Assumptions'!$H13*AN$23)*'Operating Assumptions'!$D$16,IF('Operating Assumptions'!$G13="$/Pet/Month",(AN$36*'Operating Assumptions'!$D$18)*('Operating Assumptions'!$H13*AN$23),IF('Operating Assumptions'!$G13="$/Parking/Month",('Operating Assumptions'!$H13*AN$23)*'Operating Assumptions'!$D$17)))))))</f>
        <v>0</v>
      </c>
      <c r="AO46" s="427">
        <f>IF(OR(AO$9&lt;'Operating Assumptions'!$D$53,AO$6&gt;'Operating Assumptions'!$AA$8,'Operating Assumptions'!$G13="N/A"),0,IF('Operating Assumptions'!$G13="$/Unit/Annual",(('Operating Assumptions'!$H13*AO$23)*AO$36)/12,IF('Operating Assumptions'!$G13="$/Unit/Month",('Operating Assumptions'!$H13*AO$23)*AO$36,IF('Operating Assumptions'!$G13="Fixed Amount",('Operating Assumptions'!$H13*AO$23)/12,IF('Operating Assumptions'!$G13="$/Garage/Month",('Operating Assumptions'!$H13*AO$23)*'Operating Assumptions'!$D$16,IF('Operating Assumptions'!$G13="$/Pet/Month",(AO$36*'Operating Assumptions'!$D$18)*('Operating Assumptions'!$H13*AO$23),IF('Operating Assumptions'!$G13="$/Parking/Month",('Operating Assumptions'!$H13*AO$23)*'Operating Assumptions'!$D$17)))))))</f>
        <v>0</v>
      </c>
      <c r="AP46" s="427">
        <f>IF(OR(AP$9&lt;'Operating Assumptions'!$D$53,AP$6&gt;'Operating Assumptions'!$AA$8,'Operating Assumptions'!$G13="N/A"),0,IF('Operating Assumptions'!$G13="$/Unit/Annual",(('Operating Assumptions'!$H13*AP$23)*AP$36)/12,IF('Operating Assumptions'!$G13="$/Unit/Month",('Operating Assumptions'!$H13*AP$23)*AP$36,IF('Operating Assumptions'!$G13="Fixed Amount",('Operating Assumptions'!$H13*AP$23)/12,IF('Operating Assumptions'!$G13="$/Garage/Month",('Operating Assumptions'!$H13*AP$23)*'Operating Assumptions'!$D$16,IF('Operating Assumptions'!$G13="$/Pet/Month",(AP$36*'Operating Assumptions'!$D$18)*('Operating Assumptions'!$H13*AP$23),IF('Operating Assumptions'!$G13="$/Parking/Month",('Operating Assumptions'!$H13*AP$23)*'Operating Assumptions'!$D$17)))))))</f>
        <v>0</v>
      </c>
      <c r="AQ46" s="427">
        <f>IF(OR(AQ$9&lt;'Operating Assumptions'!$D$53,AQ$6&gt;'Operating Assumptions'!$AA$8,'Operating Assumptions'!$G13="N/A"),0,IF('Operating Assumptions'!$G13="$/Unit/Annual",(('Operating Assumptions'!$H13*AQ$23)*AQ$36)/12,IF('Operating Assumptions'!$G13="$/Unit/Month",('Operating Assumptions'!$H13*AQ$23)*AQ$36,IF('Operating Assumptions'!$G13="Fixed Amount",('Operating Assumptions'!$H13*AQ$23)/12,IF('Operating Assumptions'!$G13="$/Garage/Month",('Operating Assumptions'!$H13*AQ$23)*'Operating Assumptions'!$D$16,IF('Operating Assumptions'!$G13="$/Pet/Month",(AQ$36*'Operating Assumptions'!$D$18)*('Operating Assumptions'!$H13*AQ$23),IF('Operating Assumptions'!$G13="$/Parking/Month",('Operating Assumptions'!$H13*AQ$23)*'Operating Assumptions'!$D$17)))))))</f>
        <v>0</v>
      </c>
      <c r="AR46" s="427">
        <f>IF(OR(AR$9&lt;'Operating Assumptions'!$D$53,AR$6&gt;'Operating Assumptions'!$AA$8,'Operating Assumptions'!$G13="N/A"),0,IF('Operating Assumptions'!$G13="$/Unit/Annual",(('Operating Assumptions'!$H13*AR$23)*AR$36)/12,IF('Operating Assumptions'!$G13="$/Unit/Month",('Operating Assumptions'!$H13*AR$23)*AR$36,IF('Operating Assumptions'!$G13="Fixed Amount",('Operating Assumptions'!$H13*AR$23)/12,IF('Operating Assumptions'!$G13="$/Garage/Month",('Operating Assumptions'!$H13*AR$23)*'Operating Assumptions'!$D$16,IF('Operating Assumptions'!$G13="$/Pet/Month",(AR$36*'Operating Assumptions'!$D$18)*('Operating Assumptions'!$H13*AR$23),IF('Operating Assumptions'!$G13="$/Parking/Month",('Operating Assumptions'!$H13*AR$23)*'Operating Assumptions'!$D$17)))))))</f>
        <v>0</v>
      </c>
      <c r="AS46" s="427">
        <f>IF(OR(AS$9&lt;'Operating Assumptions'!$D$53,AS$6&gt;'Operating Assumptions'!$AA$8,'Operating Assumptions'!$G13="N/A"),0,IF('Operating Assumptions'!$G13="$/Unit/Annual",(('Operating Assumptions'!$H13*AS$23)*AS$36)/12,IF('Operating Assumptions'!$G13="$/Unit/Month",('Operating Assumptions'!$H13*AS$23)*AS$36,IF('Operating Assumptions'!$G13="Fixed Amount",('Operating Assumptions'!$H13*AS$23)/12,IF('Operating Assumptions'!$G13="$/Garage/Month",('Operating Assumptions'!$H13*AS$23)*'Operating Assumptions'!$D$16,IF('Operating Assumptions'!$G13="$/Pet/Month",(AS$36*'Operating Assumptions'!$D$18)*('Operating Assumptions'!$H13*AS$23),IF('Operating Assumptions'!$G13="$/Parking/Month",('Operating Assumptions'!$H13*AS$23)*'Operating Assumptions'!$D$17)))))))</f>
        <v>0</v>
      </c>
      <c r="AT46" s="427">
        <f>IF(OR(AT$9&lt;'Operating Assumptions'!$D$53,AT$6&gt;'Operating Assumptions'!$AA$8,'Operating Assumptions'!$G13="N/A"),0,IF('Operating Assumptions'!$G13="$/Unit/Annual",(('Operating Assumptions'!$H13*AT$23)*AT$36)/12,IF('Operating Assumptions'!$G13="$/Unit/Month",('Operating Assumptions'!$H13*AT$23)*AT$36,IF('Operating Assumptions'!$G13="Fixed Amount",('Operating Assumptions'!$H13*AT$23)/12,IF('Operating Assumptions'!$G13="$/Garage/Month",('Operating Assumptions'!$H13*AT$23)*'Operating Assumptions'!$D$16,IF('Operating Assumptions'!$G13="$/Pet/Month",(AT$36*'Operating Assumptions'!$D$18)*('Operating Assumptions'!$H13*AT$23),IF('Operating Assumptions'!$G13="$/Parking/Month",('Operating Assumptions'!$H13*AT$23)*'Operating Assumptions'!$D$17)))))))</f>
        <v>0</v>
      </c>
      <c r="AU46" s="427">
        <f>IF(OR(AU$9&lt;'Operating Assumptions'!$D$53,AU$6&gt;'Operating Assumptions'!$AA$8,'Operating Assumptions'!$G13="N/A"),0,IF('Operating Assumptions'!$G13="$/Unit/Annual",(('Operating Assumptions'!$H13*AU$23)*AU$36)/12,IF('Operating Assumptions'!$G13="$/Unit/Month",('Operating Assumptions'!$H13*AU$23)*AU$36,IF('Operating Assumptions'!$G13="Fixed Amount",('Operating Assumptions'!$H13*AU$23)/12,IF('Operating Assumptions'!$G13="$/Garage/Month",('Operating Assumptions'!$H13*AU$23)*'Operating Assumptions'!$D$16,IF('Operating Assumptions'!$G13="$/Pet/Month",(AU$36*'Operating Assumptions'!$D$18)*('Operating Assumptions'!$H13*AU$23),IF('Operating Assumptions'!$G13="$/Parking/Month",('Operating Assumptions'!$H13*AU$23)*'Operating Assumptions'!$D$17)))))))</f>
        <v>0</v>
      </c>
      <c r="AV46" s="427">
        <f>IF(OR(AV$9&lt;'Operating Assumptions'!$D$53,AV$6&gt;'Operating Assumptions'!$AA$8,'Operating Assumptions'!$G13="N/A"),0,IF('Operating Assumptions'!$G13="$/Unit/Annual",(('Operating Assumptions'!$H13*AV$23)*AV$36)/12,IF('Operating Assumptions'!$G13="$/Unit/Month",('Operating Assumptions'!$H13*AV$23)*AV$36,IF('Operating Assumptions'!$G13="Fixed Amount",('Operating Assumptions'!$H13*AV$23)/12,IF('Operating Assumptions'!$G13="$/Garage/Month",('Operating Assumptions'!$H13*AV$23)*'Operating Assumptions'!$D$16,IF('Operating Assumptions'!$G13="$/Pet/Month",(AV$36*'Operating Assumptions'!$D$18)*('Operating Assumptions'!$H13*AV$23),IF('Operating Assumptions'!$G13="$/Parking/Month",('Operating Assumptions'!$H13*AV$23)*'Operating Assumptions'!$D$17)))))))</f>
        <v>0</v>
      </c>
      <c r="AW46" s="427">
        <f>IF(OR(AW$9&lt;'Operating Assumptions'!$D$53,AW$6&gt;'Operating Assumptions'!$AA$8,'Operating Assumptions'!$G13="N/A"),0,IF('Operating Assumptions'!$G13="$/Unit/Annual",(('Operating Assumptions'!$H13*AW$23)*AW$36)/12,IF('Operating Assumptions'!$G13="$/Unit/Month",('Operating Assumptions'!$H13*AW$23)*AW$36,IF('Operating Assumptions'!$G13="Fixed Amount",('Operating Assumptions'!$H13*AW$23)/12,IF('Operating Assumptions'!$G13="$/Garage/Month",('Operating Assumptions'!$H13*AW$23)*'Operating Assumptions'!$D$16,IF('Operating Assumptions'!$G13="$/Pet/Month",(AW$36*'Operating Assumptions'!$D$18)*('Operating Assumptions'!$H13*AW$23),IF('Operating Assumptions'!$G13="$/Parking/Month",('Operating Assumptions'!$H13*AW$23)*'Operating Assumptions'!$D$17)))))))</f>
        <v>0</v>
      </c>
      <c r="AX46" s="427">
        <f>IF(OR(AX$9&lt;'Operating Assumptions'!$D$53,AX$6&gt;'Operating Assumptions'!$AA$8,'Operating Assumptions'!$G13="N/A"),0,IF('Operating Assumptions'!$G13="$/Unit/Annual",(('Operating Assumptions'!$H13*AX$23)*AX$36)/12,IF('Operating Assumptions'!$G13="$/Unit/Month",('Operating Assumptions'!$H13*AX$23)*AX$36,IF('Operating Assumptions'!$G13="Fixed Amount",('Operating Assumptions'!$H13*AX$23)/12,IF('Operating Assumptions'!$G13="$/Garage/Month",('Operating Assumptions'!$H13*AX$23)*'Operating Assumptions'!$D$16,IF('Operating Assumptions'!$G13="$/Pet/Month",(AX$36*'Operating Assumptions'!$D$18)*('Operating Assumptions'!$H13*AX$23),IF('Operating Assumptions'!$G13="$/Parking/Month",('Operating Assumptions'!$H13*AX$23)*'Operating Assumptions'!$D$17)))))))</f>
        <v>0</v>
      </c>
      <c r="AY46" s="427">
        <f>IF(OR(AY$9&lt;'Operating Assumptions'!$D$53,AY$6&gt;'Operating Assumptions'!$AA$8,'Operating Assumptions'!$G13="N/A"),0,IF('Operating Assumptions'!$G13="$/Unit/Annual",(('Operating Assumptions'!$H13*AY$23)*AY$36)/12,IF('Operating Assumptions'!$G13="$/Unit/Month",('Operating Assumptions'!$H13*AY$23)*AY$36,IF('Operating Assumptions'!$G13="Fixed Amount",('Operating Assumptions'!$H13*AY$23)/12,IF('Operating Assumptions'!$G13="$/Garage/Month",('Operating Assumptions'!$H13*AY$23)*'Operating Assumptions'!$D$16,IF('Operating Assumptions'!$G13="$/Pet/Month",(AY$36*'Operating Assumptions'!$D$18)*('Operating Assumptions'!$H13*AY$23),IF('Operating Assumptions'!$G13="$/Parking/Month",('Operating Assumptions'!$H13*AY$23)*'Operating Assumptions'!$D$17)))))))</f>
        <v>0</v>
      </c>
      <c r="AZ46" s="427">
        <f>IF(OR(AZ$9&lt;'Operating Assumptions'!$D$53,AZ$6&gt;'Operating Assumptions'!$AA$8,'Operating Assumptions'!$G13="N/A"),0,IF('Operating Assumptions'!$G13="$/Unit/Annual",(('Operating Assumptions'!$H13*AZ$23)*AZ$36)/12,IF('Operating Assumptions'!$G13="$/Unit/Month",('Operating Assumptions'!$H13*AZ$23)*AZ$36,IF('Operating Assumptions'!$G13="Fixed Amount",('Operating Assumptions'!$H13*AZ$23)/12,IF('Operating Assumptions'!$G13="$/Garage/Month",('Operating Assumptions'!$H13*AZ$23)*'Operating Assumptions'!$D$16,IF('Operating Assumptions'!$G13="$/Pet/Month",(AZ$36*'Operating Assumptions'!$D$18)*('Operating Assumptions'!$H13*AZ$23),IF('Operating Assumptions'!$G13="$/Parking/Month",('Operating Assumptions'!$H13*AZ$23)*'Operating Assumptions'!$D$17)))))))</f>
        <v>0</v>
      </c>
      <c r="BA46" s="427">
        <f>IF(OR(BA$9&lt;'Operating Assumptions'!$D$53,BA$6&gt;'Operating Assumptions'!$AA$8,'Operating Assumptions'!$G13="N/A"),0,IF('Operating Assumptions'!$G13="$/Unit/Annual",(('Operating Assumptions'!$H13*BA$23)*BA$36)/12,IF('Operating Assumptions'!$G13="$/Unit/Month",('Operating Assumptions'!$H13*BA$23)*BA$36,IF('Operating Assumptions'!$G13="Fixed Amount",('Operating Assumptions'!$H13*BA$23)/12,IF('Operating Assumptions'!$G13="$/Garage/Month",('Operating Assumptions'!$H13*BA$23)*'Operating Assumptions'!$D$16,IF('Operating Assumptions'!$G13="$/Pet/Month",(BA$36*'Operating Assumptions'!$D$18)*('Operating Assumptions'!$H13*BA$23),IF('Operating Assumptions'!$G13="$/Parking/Month",('Operating Assumptions'!$H13*BA$23)*'Operating Assumptions'!$D$17)))))))</f>
        <v>0</v>
      </c>
      <c r="BB46" s="427">
        <f>IF(OR(BB$9&lt;'Operating Assumptions'!$D$53,BB$6&gt;'Operating Assumptions'!$AA$8,'Operating Assumptions'!$G13="N/A"),0,IF('Operating Assumptions'!$G13="$/Unit/Annual",(('Operating Assumptions'!$H13*BB$23)*BB$36)/12,IF('Operating Assumptions'!$G13="$/Unit/Month",('Operating Assumptions'!$H13*BB$23)*BB$36,IF('Operating Assumptions'!$G13="Fixed Amount",('Operating Assumptions'!$H13*BB$23)/12,IF('Operating Assumptions'!$G13="$/Garage/Month",('Operating Assumptions'!$H13*BB$23)*'Operating Assumptions'!$D$16,IF('Operating Assumptions'!$G13="$/Pet/Month",(BB$36*'Operating Assumptions'!$D$18)*('Operating Assumptions'!$H13*BB$23),IF('Operating Assumptions'!$G13="$/Parking/Month",('Operating Assumptions'!$H13*BB$23)*'Operating Assumptions'!$D$17)))))))</f>
        <v>0</v>
      </c>
      <c r="BC46" s="427">
        <f>IF(OR(BC$9&lt;'Operating Assumptions'!$D$53,BC$6&gt;'Operating Assumptions'!$AA$8,'Operating Assumptions'!$G13="N/A"),0,IF('Operating Assumptions'!$G13="$/Unit/Annual",(('Operating Assumptions'!$H13*BC$23)*BC$36)/12,IF('Operating Assumptions'!$G13="$/Unit/Month",('Operating Assumptions'!$H13*BC$23)*BC$36,IF('Operating Assumptions'!$G13="Fixed Amount",('Operating Assumptions'!$H13*BC$23)/12,IF('Operating Assumptions'!$G13="$/Garage/Month",('Operating Assumptions'!$H13*BC$23)*'Operating Assumptions'!$D$16,IF('Operating Assumptions'!$G13="$/Pet/Month",(BC$36*'Operating Assumptions'!$D$18)*('Operating Assumptions'!$H13*BC$23),IF('Operating Assumptions'!$G13="$/Parking/Month",('Operating Assumptions'!$H13*BC$23)*'Operating Assumptions'!$D$17)))))))</f>
        <v>0</v>
      </c>
      <c r="BD46" s="427">
        <f>IF(OR(BD$9&lt;'Operating Assumptions'!$D$53,BD$6&gt;'Operating Assumptions'!$AA$8,'Operating Assumptions'!$G13="N/A"),0,IF('Operating Assumptions'!$G13="$/Unit/Annual",(('Operating Assumptions'!$H13*BD$23)*BD$36)/12,IF('Operating Assumptions'!$G13="$/Unit/Month",('Operating Assumptions'!$H13*BD$23)*BD$36,IF('Operating Assumptions'!$G13="Fixed Amount",('Operating Assumptions'!$H13*BD$23)/12,IF('Operating Assumptions'!$G13="$/Garage/Month",('Operating Assumptions'!$H13*BD$23)*'Operating Assumptions'!$D$16,IF('Operating Assumptions'!$G13="$/Pet/Month",(BD$36*'Operating Assumptions'!$D$18)*('Operating Assumptions'!$H13*BD$23),IF('Operating Assumptions'!$G13="$/Parking/Month",('Operating Assumptions'!$H13*BD$23)*'Operating Assumptions'!$D$17)))))))</f>
        <v>0</v>
      </c>
      <c r="BE46" s="427">
        <f>IF(OR(BE$9&lt;'Operating Assumptions'!$D$53,BE$6&gt;'Operating Assumptions'!$AA$8,'Operating Assumptions'!$G13="N/A"),0,IF('Operating Assumptions'!$G13="$/Unit/Annual",(('Operating Assumptions'!$H13*BE$23)*BE$36)/12,IF('Operating Assumptions'!$G13="$/Unit/Month",('Operating Assumptions'!$H13*BE$23)*BE$36,IF('Operating Assumptions'!$G13="Fixed Amount",('Operating Assumptions'!$H13*BE$23)/12,IF('Operating Assumptions'!$G13="$/Garage/Month",('Operating Assumptions'!$H13*BE$23)*'Operating Assumptions'!$D$16,IF('Operating Assumptions'!$G13="$/Pet/Month",(BE$36*'Operating Assumptions'!$D$18)*('Operating Assumptions'!$H13*BE$23),IF('Operating Assumptions'!$G13="$/Parking/Month",('Operating Assumptions'!$H13*BE$23)*'Operating Assumptions'!$D$17)))))))</f>
        <v>0</v>
      </c>
      <c r="BF46" s="427">
        <f>IF(OR(BF$9&lt;'Operating Assumptions'!$D$53,BF$6&gt;'Operating Assumptions'!$AA$8,'Operating Assumptions'!$G13="N/A"),0,IF('Operating Assumptions'!$G13="$/Unit/Annual",(('Operating Assumptions'!$H13*BF$23)*BF$36)/12,IF('Operating Assumptions'!$G13="$/Unit/Month",('Operating Assumptions'!$H13*BF$23)*BF$36,IF('Operating Assumptions'!$G13="Fixed Amount",('Operating Assumptions'!$H13*BF$23)/12,IF('Operating Assumptions'!$G13="$/Garage/Month",('Operating Assumptions'!$H13*BF$23)*'Operating Assumptions'!$D$16,IF('Operating Assumptions'!$G13="$/Pet/Month",(BF$36*'Operating Assumptions'!$D$18)*('Operating Assumptions'!$H13*BF$23),IF('Operating Assumptions'!$G13="$/Parking/Month",('Operating Assumptions'!$H13*BF$23)*'Operating Assumptions'!$D$17)))))))</f>
        <v>0</v>
      </c>
      <c r="BG46" s="427">
        <f>IF(OR(BG$9&lt;'Operating Assumptions'!$D$53,BG$6&gt;'Operating Assumptions'!$AA$8,'Operating Assumptions'!$G13="N/A"),0,IF('Operating Assumptions'!$G13="$/Unit/Annual",(('Operating Assumptions'!$H13*BG$23)*BG$36)/12,IF('Operating Assumptions'!$G13="$/Unit/Month",('Operating Assumptions'!$H13*BG$23)*BG$36,IF('Operating Assumptions'!$G13="Fixed Amount",('Operating Assumptions'!$H13*BG$23)/12,IF('Operating Assumptions'!$G13="$/Garage/Month",('Operating Assumptions'!$H13*BG$23)*'Operating Assumptions'!$D$16,IF('Operating Assumptions'!$G13="$/Pet/Month",(BG$36*'Operating Assumptions'!$D$18)*('Operating Assumptions'!$H13*BG$23),IF('Operating Assumptions'!$G13="$/Parking/Month",('Operating Assumptions'!$H13*BG$23)*'Operating Assumptions'!$D$17)))))))</f>
        <v>0</v>
      </c>
      <c r="BH46" s="427">
        <f>IF(OR(BH$9&lt;'Operating Assumptions'!$D$53,BH$6&gt;'Operating Assumptions'!$AA$8,'Operating Assumptions'!$G13="N/A"),0,IF('Operating Assumptions'!$G13="$/Unit/Annual",(('Operating Assumptions'!$H13*BH$23)*BH$36)/12,IF('Operating Assumptions'!$G13="$/Unit/Month",('Operating Assumptions'!$H13*BH$23)*BH$36,IF('Operating Assumptions'!$G13="Fixed Amount",('Operating Assumptions'!$H13*BH$23)/12,IF('Operating Assumptions'!$G13="$/Garage/Month",('Operating Assumptions'!$H13*BH$23)*'Operating Assumptions'!$D$16,IF('Operating Assumptions'!$G13="$/Pet/Month",(BH$36*'Operating Assumptions'!$D$18)*('Operating Assumptions'!$H13*BH$23),IF('Operating Assumptions'!$G13="$/Parking/Month",('Operating Assumptions'!$H13*BH$23)*'Operating Assumptions'!$D$17)))))))</f>
        <v>0</v>
      </c>
      <c r="BI46" s="427">
        <f>IF(OR(BI$9&lt;'Operating Assumptions'!$D$53,BI$6&gt;'Operating Assumptions'!$AA$8,'Operating Assumptions'!$G13="N/A"),0,IF('Operating Assumptions'!$G13="$/Unit/Annual",(('Operating Assumptions'!$H13*BI$23)*BI$36)/12,IF('Operating Assumptions'!$G13="$/Unit/Month",('Operating Assumptions'!$H13*BI$23)*BI$36,IF('Operating Assumptions'!$G13="Fixed Amount",('Operating Assumptions'!$H13*BI$23)/12,IF('Operating Assumptions'!$G13="$/Garage/Month",('Operating Assumptions'!$H13*BI$23)*'Operating Assumptions'!$D$16,IF('Operating Assumptions'!$G13="$/Pet/Month",(BI$36*'Operating Assumptions'!$D$18)*('Operating Assumptions'!$H13*BI$23),IF('Operating Assumptions'!$G13="$/Parking/Month",('Operating Assumptions'!$H13*BI$23)*'Operating Assumptions'!$D$17)))))))</f>
        <v>0</v>
      </c>
      <c r="BJ46" s="427">
        <f>IF(OR(BJ$9&lt;'Operating Assumptions'!$D$53,BJ$6&gt;'Operating Assumptions'!$AA$8,'Operating Assumptions'!$G13="N/A"),0,IF('Operating Assumptions'!$G13="$/Unit/Annual",(('Operating Assumptions'!$H13*BJ$23)*BJ$36)/12,IF('Operating Assumptions'!$G13="$/Unit/Month",('Operating Assumptions'!$H13*BJ$23)*BJ$36,IF('Operating Assumptions'!$G13="Fixed Amount",('Operating Assumptions'!$H13*BJ$23)/12,IF('Operating Assumptions'!$G13="$/Garage/Month",('Operating Assumptions'!$H13*BJ$23)*'Operating Assumptions'!$D$16,IF('Operating Assumptions'!$G13="$/Pet/Month",(BJ$36*'Operating Assumptions'!$D$18)*('Operating Assumptions'!$H13*BJ$23),IF('Operating Assumptions'!$G13="$/Parking/Month",('Operating Assumptions'!$H13*BJ$23)*'Operating Assumptions'!$D$17)))))))</f>
        <v>0</v>
      </c>
      <c r="BK46" s="427">
        <f>IF(OR(BK$9&lt;'Operating Assumptions'!$D$53,BK$6&gt;'Operating Assumptions'!$AA$8,'Operating Assumptions'!$G13="N/A"),0,IF('Operating Assumptions'!$G13="$/Unit/Annual",(('Operating Assumptions'!$H13*BK$23)*BK$36)/12,IF('Operating Assumptions'!$G13="$/Unit/Month",('Operating Assumptions'!$H13*BK$23)*BK$36,IF('Operating Assumptions'!$G13="Fixed Amount",('Operating Assumptions'!$H13*BK$23)/12,IF('Operating Assumptions'!$G13="$/Garage/Month",('Operating Assumptions'!$H13*BK$23)*'Operating Assumptions'!$D$16,IF('Operating Assumptions'!$G13="$/Pet/Month",(BK$36*'Operating Assumptions'!$D$18)*('Operating Assumptions'!$H13*BK$23),IF('Operating Assumptions'!$G13="$/Parking/Month",('Operating Assumptions'!$H13*BK$23)*'Operating Assumptions'!$D$17)))))))</f>
        <v>0</v>
      </c>
      <c r="BL46" s="427">
        <f>IF(OR(BL$9&lt;'Operating Assumptions'!$D$53,BL$6&gt;'Operating Assumptions'!$AA$8,'Operating Assumptions'!$G13="N/A"),0,IF('Operating Assumptions'!$G13="$/Unit/Annual",(('Operating Assumptions'!$H13*BL$23)*BL$36)/12,IF('Operating Assumptions'!$G13="$/Unit/Month",('Operating Assumptions'!$H13*BL$23)*BL$36,IF('Operating Assumptions'!$G13="Fixed Amount",('Operating Assumptions'!$H13*BL$23)/12,IF('Operating Assumptions'!$G13="$/Garage/Month",('Operating Assumptions'!$H13*BL$23)*'Operating Assumptions'!$D$16,IF('Operating Assumptions'!$G13="$/Pet/Month",(BL$36*'Operating Assumptions'!$D$18)*('Operating Assumptions'!$H13*BL$23),IF('Operating Assumptions'!$G13="$/Parking/Month",('Operating Assumptions'!$H13*BL$23)*'Operating Assumptions'!$D$17)))))))</f>
        <v>0</v>
      </c>
      <c r="BM46" s="427">
        <f>IF(OR(BM$9&lt;'Operating Assumptions'!$D$53,BM$6&gt;'Operating Assumptions'!$AA$8,'Operating Assumptions'!$G13="N/A"),0,IF('Operating Assumptions'!$G13="$/Unit/Annual",(('Operating Assumptions'!$H13*BM$23)*BM$36)/12,IF('Operating Assumptions'!$G13="$/Unit/Month",('Operating Assumptions'!$H13*BM$23)*BM$36,IF('Operating Assumptions'!$G13="Fixed Amount",('Operating Assumptions'!$H13*BM$23)/12,IF('Operating Assumptions'!$G13="$/Garage/Month",('Operating Assumptions'!$H13*BM$23)*'Operating Assumptions'!$D$16,IF('Operating Assumptions'!$G13="$/Pet/Month",(BM$36*'Operating Assumptions'!$D$18)*('Operating Assumptions'!$H13*BM$23),IF('Operating Assumptions'!$G13="$/Parking/Month",('Operating Assumptions'!$H13*BM$23)*'Operating Assumptions'!$D$17)))))))</f>
        <v>0</v>
      </c>
      <c r="BN46" s="427">
        <f>IF(OR(BN$9&lt;'Operating Assumptions'!$D$53,BN$6&gt;'Operating Assumptions'!$AA$8,'Operating Assumptions'!$G13="N/A"),0,IF('Operating Assumptions'!$G13="$/Unit/Annual",(('Operating Assumptions'!$H13*BN$23)*BN$36)/12,IF('Operating Assumptions'!$G13="$/Unit/Month",('Operating Assumptions'!$H13*BN$23)*BN$36,IF('Operating Assumptions'!$G13="Fixed Amount",('Operating Assumptions'!$H13*BN$23)/12,IF('Operating Assumptions'!$G13="$/Garage/Month",('Operating Assumptions'!$H13*BN$23)*'Operating Assumptions'!$D$16,IF('Operating Assumptions'!$G13="$/Pet/Month",(BN$36*'Operating Assumptions'!$D$18)*('Operating Assumptions'!$H13*BN$23),IF('Operating Assumptions'!$G13="$/Parking/Month",('Operating Assumptions'!$H13*BN$23)*'Operating Assumptions'!$D$17)))))))</f>
        <v>0</v>
      </c>
      <c r="BO46" s="427">
        <f>IF(OR(BO$9&lt;'Operating Assumptions'!$D$53,BO$6&gt;'Operating Assumptions'!$AA$8,'Operating Assumptions'!$G13="N/A"),0,IF('Operating Assumptions'!$G13="$/Unit/Annual",(('Operating Assumptions'!$H13*BO$23)*BO$36)/12,IF('Operating Assumptions'!$G13="$/Unit/Month",('Operating Assumptions'!$H13*BO$23)*BO$36,IF('Operating Assumptions'!$G13="Fixed Amount",('Operating Assumptions'!$H13*BO$23)/12,IF('Operating Assumptions'!$G13="$/Garage/Month",('Operating Assumptions'!$H13*BO$23)*'Operating Assumptions'!$D$16,IF('Operating Assumptions'!$G13="$/Pet/Month",(BO$36*'Operating Assumptions'!$D$18)*('Operating Assumptions'!$H13*BO$23),IF('Operating Assumptions'!$G13="$/Parking/Month",('Operating Assumptions'!$H13*BO$23)*'Operating Assumptions'!$D$17)))))))</f>
        <v>0</v>
      </c>
      <c r="BP46" s="427">
        <f>IF(OR(BP$9&lt;'Operating Assumptions'!$D$53,BP$6&gt;'Operating Assumptions'!$AA$8,'Operating Assumptions'!$G13="N/A"),0,IF('Operating Assumptions'!$G13="$/Unit/Annual",(('Operating Assumptions'!$H13*BP$23)*BP$36)/12,IF('Operating Assumptions'!$G13="$/Unit/Month",('Operating Assumptions'!$H13*BP$23)*BP$36,IF('Operating Assumptions'!$G13="Fixed Amount",('Operating Assumptions'!$H13*BP$23)/12,IF('Operating Assumptions'!$G13="$/Garage/Month",('Operating Assumptions'!$H13*BP$23)*'Operating Assumptions'!$D$16,IF('Operating Assumptions'!$G13="$/Pet/Month",(BP$36*'Operating Assumptions'!$D$18)*('Operating Assumptions'!$H13*BP$23),IF('Operating Assumptions'!$G13="$/Parking/Month",('Operating Assumptions'!$H13*BP$23)*'Operating Assumptions'!$D$17)))))))</f>
        <v>0</v>
      </c>
      <c r="BQ46" s="427">
        <f>IF(OR(BQ$9&lt;'Operating Assumptions'!$D$53,BQ$6&gt;'Operating Assumptions'!$AA$8,'Operating Assumptions'!$G13="N/A"),0,IF('Operating Assumptions'!$G13="$/Unit/Annual",(('Operating Assumptions'!$H13*BQ$23)*BQ$36)/12,IF('Operating Assumptions'!$G13="$/Unit/Month",('Operating Assumptions'!$H13*BQ$23)*BQ$36,IF('Operating Assumptions'!$G13="Fixed Amount",('Operating Assumptions'!$H13*BQ$23)/12,IF('Operating Assumptions'!$G13="$/Garage/Month",('Operating Assumptions'!$H13*BQ$23)*'Operating Assumptions'!$D$16,IF('Operating Assumptions'!$G13="$/Pet/Month",(BQ$36*'Operating Assumptions'!$D$18)*('Operating Assumptions'!$H13*BQ$23),IF('Operating Assumptions'!$G13="$/Parking/Month",('Operating Assumptions'!$H13*BQ$23)*'Operating Assumptions'!$D$17)))))))</f>
        <v>0</v>
      </c>
      <c r="BR46" s="427">
        <f>IF(OR(BR$9&lt;'Operating Assumptions'!$D$53,BR$6&gt;'Operating Assumptions'!$AA$8,'Operating Assumptions'!$G13="N/A"),0,IF('Operating Assumptions'!$G13="$/Unit/Annual",(('Operating Assumptions'!$H13*BR$23)*BR$36)/12,IF('Operating Assumptions'!$G13="$/Unit/Month",('Operating Assumptions'!$H13*BR$23)*BR$36,IF('Operating Assumptions'!$G13="Fixed Amount",('Operating Assumptions'!$H13*BR$23)/12,IF('Operating Assumptions'!$G13="$/Garage/Month",('Operating Assumptions'!$H13*BR$23)*'Operating Assumptions'!$D$16,IF('Operating Assumptions'!$G13="$/Pet/Month",(BR$36*'Operating Assumptions'!$D$18)*('Operating Assumptions'!$H13*BR$23),IF('Operating Assumptions'!$G13="$/Parking/Month",('Operating Assumptions'!$H13*BR$23)*'Operating Assumptions'!$D$17)))))))</f>
        <v>0</v>
      </c>
      <c r="BS46" s="427">
        <f>IF(OR(BS$9&lt;'Operating Assumptions'!$D$53,BS$6&gt;'Operating Assumptions'!$AA$8,'Operating Assumptions'!$G13="N/A"),0,IF('Operating Assumptions'!$G13="$/Unit/Annual",(('Operating Assumptions'!$H13*BS$23)*BS$36)/12,IF('Operating Assumptions'!$G13="$/Unit/Month",('Operating Assumptions'!$H13*BS$23)*BS$36,IF('Operating Assumptions'!$G13="Fixed Amount",('Operating Assumptions'!$H13*BS$23)/12,IF('Operating Assumptions'!$G13="$/Garage/Month",('Operating Assumptions'!$H13*BS$23)*'Operating Assumptions'!$D$16,IF('Operating Assumptions'!$G13="$/Pet/Month",(BS$36*'Operating Assumptions'!$D$18)*('Operating Assumptions'!$H13*BS$23),IF('Operating Assumptions'!$G13="$/Parking/Month",('Operating Assumptions'!$H13*BS$23)*'Operating Assumptions'!$D$17)))))))</f>
        <v>0</v>
      </c>
      <c r="BT46" s="427">
        <f>IF(OR(BT$9&lt;'Operating Assumptions'!$D$53,BT$6&gt;'Operating Assumptions'!$AA$8,'Operating Assumptions'!$G13="N/A"),0,IF('Operating Assumptions'!$G13="$/Unit/Annual",(('Operating Assumptions'!$H13*BT$23)*BT$36)/12,IF('Operating Assumptions'!$G13="$/Unit/Month",('Operating Assumptions'!$H13*BT$23)*BT$36,IF('Operating Assumptions'!$G13="Fixed Amount",('Operating Assumptions'!$H13*BT$23)/12,IF('Operating Assumptions'!$G13="$/Garage/Month",('Operating Assumptions'!$H13*BT$23)*'Operating Assumptions'!$D$16,IF('Operating Assumptions'!$G13="$/Pet/Month",(BT$36*'Operating Assumptions'!$D$18)*('Operating Assumptions'!$H13*BT$23),IF('Operating Assumptions'!$G13="$/Parking/Month",('Operating Assumptions'!$H13*BT$23)*'Operating Assumptions'!$D$17)))))))</f>
        <v>0</v>
      </c>
      <c r="BU46" s="427">
        <f>IF(OR(BU$9&lt;'Operating Assumptions'!$D$53,BU$6&gt;'Operating Assumptions'!$AA$8,'Operating Assumptions'!$G13="N/A"),0,IF('Operating Assumptions'!$G13="$/Unit/Annual",(('Operating Assumptions'!$H13*BU$23)*BU$36)/12,IF('Operating Assumptions'!$G13="$/Unit/Month",('Operating Assumptions'!$H13*BU$23)*BU$36,IF('Operating Assumptions'!$G13="Fixed Amount",('Operating Assumptions'!$H13*BU$23)/12,IF('Operating Assumptions'!$G13="$/Garage/Month",('Operating Assumptions'!$H13*BU$23)*'Operating Assumptions'!$D$16,IF('Operating Assumptions'!$G13="$/Pet/Month",(BU$36*'Operating Assumptions'!$D$18)*('Operating Assumptions'!$H13*BU$23),IF('Operating Assumptions'!$G13="$/Parking/Month",('Operating Assumptions'!$H13*BU$23)*'Operating Assumptions'!$D$17)))))))</f>
        <v>0</v>
      </c>
      <c r="BV46" s="427">
        <f>IF(OR(BV$9&lt;'Operating Assumptions'!$D$53,BV$6&gt;'Operating Assumptions'!$AA$8,'Operating Assumptions'!$G13="N/A"),0,IF('Operating Assumptions'!$G13="$/Unit/Annual",(('Operating Assumptions'!$H13*BV$23)*BV$36)/12,IF('Operating Assumptions'!$G13="$/Unit/Month",('Operating Assumptions'!$H13*BV$23)*BV$36,IF('Operating Assumptions'!$G13="Fixed Amount",('Operating Assumptions'!$H13*BV$23)/12,IF('Operating Assumptions'!$G13="$/Garage/Month",('Operating Assumptions'!$H13*BV$23)*'Operating Assumptions'!$D$16,IF('Operating Assumptions'!$G13="$/Pet/Month",(BV$36*'Operating Assumptions'!$D$18)*('Operating Assumptions'!$H13*BV$23),IF('Operating Assumptions'!$G13="$/Parking/Month",('Operating Assumptions'!$H13*BV$23)*'Operating Assumptions'!$D$17)))))))</f>
        <v>0</v>
      </c>
      <c r="BW46" s="427">
        <f>IF(OR(BW$9&lt;'Operating Assumptions'!$D$53,BW$6&gt;'Operating Assumptions'!$AA$8,'Operating Assumptions'!$G13="N/A"),0,IF('Operating Assumptions'!$G13="$/Unit/Annual",(('Operating Assumptions'!$H13*BW$23)*BW$36)/12,IF('Operating Assumptions'!$G13="$/Unit/Month",('Operating Assumptions'!$H13*BW$23)*BW$36,IF('Operating Assumptions'!$G13="Fixed Amount",('Operating Assumptions'!$H13*BW$23)/12,IF('Operating Assumptions'!$G13="$/Garage/Month",('Operating Assumptions'!$H13*BW$23)*'Operating Assumptions'!$D$16,IF('Operating Assumptions'!$G13="$/Pet/Month",(BW$36*'Operating Assumptions'!$D$18)*('Operating Assumptions'!$H13*BW$23),IF('Operating Assumptions'!$G13="$/Parking/Month",('Operating Assumptions'!$H13*BW$23)*'Operating Assumptions'!$D$17)))))))</f>
        <v>0</v>
      </c>
      <c r="BX46" s="427">
        <f>IF(OR(BX$9&lt;'Operating Assumptions'!$D$53,BX$6&gt;'Operating Assumptions'!$AA$8,'Operating Assumptions'!$G13="N/A"),0,IF('Operating Assumptions'!$G13="$/Unit/Annual",(('Operating Assumptions'!$H13*BX$23)*BX$36)/12,IF('Operating Assumptions'!$G13="$/Unit/Month",('Operating Assumptions'!$H13*BX$23)*BX$36,IF('Operating Assumptions'!$G13="Fixed Amount",('Operating Assumptions'!$H13*BX$23)/12,IF('Operating Assumptions'!$G13="$/Garage/Month",('Operating Assumptions'!$H13*BX$23)*'Operating Assumptions'!$D$16,IF('Operating Assumptions'!$G13="$/Pet/Month",(BX$36*'Operating Assumptions'!$D$18)*('Operating Assumptions'!$H13*BX$23),IF('Operating Assumptions'!$G13="$/Parking/Month",('Operating Assumptions'!$H13*BX$23)*'Operating Assumptions'!$D$17)))))))</f>
        <v>0</v>
      </c>
      <c r="BY46" s="427">
        <f>IF(OR(BY$9&lt;'Operating Assumptions'!$D$53,BY$6&gt;'Operating Assumptions'!$AA$8,'Operating Assumptions'!$G13="N/A"),0,IF('Operating Assumptions'!$G13="$/Unit/Annual",(('Operating Assumptions'!$H13*BY$23)*BY$36)/12,IF('Operating Assumptions'!$G13="$/Unit/Month",('Operating Assumptions'!$H13*BY$23)*BY$36,IF('Operating Assumptions'!$G13="Fixed Amount",('Operating Assumptions'!$H13*BY$23)/12,IF('Operating Assumptions'!$G13="$/Garage/Month",('Operating Assumptions'!$H13*BY$23)*'Operating Assumptions'!$D$16,IF('Operating Assumptions'!$G13="$/Pet/Month",(BY$36*'Operating Assumptions'!$D$18)*('Operating Assumptions'!$H13*BY$23),IF('Operating Assumptions'!$G13="$/Parking/Month",('Operating Assumptions'!$H13*BY$23)*'Operating Assumptions'!$D$17)))))))</f>
        <v>0</v>
      </c>
      <c r="BZ46" s="427">
        <f>IF(OR(BZ$9&lt;'Operating Assumptions'!$D$53,BZ$6&gt;'Operating Assumptions'!$AA$8,'Operating Assumptions'!$G13="N/A"),0,IF('Operating Assumptions'!$G13="$/Unit/Annual",(('Operating Assumptions'!$H13*BZ$23)*BZ$36)/12,IF('Operating Assumptions'!$G13="$/Unit/Month",('Operating Assumptions'!$H13*BZ$23)*BZ$36,IF('Operating Assumptions'!$G13="Fixed Amount",('Operating Assumptions'!$H13*BZ$23)/12,IF('Operating Assumptions'!$G13="$/Garage/Month",('Operating Assumptions'!$H13*BZ$23)*'Operating Assumptions'!$D$16,IF('Operating Assumptions'!$G13="$/Pet/Month",(BZ$36*'Operating Assumptions'!$D$18)*('Operating Assumptions'!$H13*BZ$23),IF('Operating Assumptions'!$G13="$/Parking/Month",('Operating Assumptions'!$H13*BZ$23)*'Operating Assumptions'!$D$17)))))))</f>
        <v>0</v>
      </c>
      <c r="CA46" s="427">
        <f>IF(OR(CA$9&lt;'Operating Assumptions'!$D$53,CA$6&gt;'Operating Assumptions'!$AA$8,'Operating Assumptions'!$G13="N/A"),0,IF('Operating Assumptions'!$G13="$/Unit/Annual",(('Operating Assumptions'!$H13*CA$23)*CA$36)/12,IF('Operating Assumptions'!$G13="$/Unit/Month",('Operating Assumptions'!$H13*CA$23)*CA$36,IF('Operating Assumptions'!$G13="Fixed Amount",('Operating Assumptions'!$H13*CA$23)/12,IF('Operating Assumptions'!$G13="$/Garage/Month",('Operating Assumptions'!$H13*CA$23)*'Operating Assumptions'!$D$16,IF('Operating Assumptions'!$G13="$/Pet/Month",(CA$36*'Operating Assumptions'!$D$18)*('Operating Assumptions'!$H13*CA$23),IF('Operating Assumptions'!$G13="$/Parking/Month",('Operating Assumptions'!$H13*CA$23)*'Operating Assumptions'!$D$17)))))))</f>
        <v>0</v>
      </c>
      <c r="CB46" s="427">
        <f>IF(OR(CB$9&lt;'Operating Assumptions'!$D$53,CB$6&gt;'Operating Assumptions'!$AA$8,'Operating Assumptions'!$G13="N/A"),0,IF('Operating Assumptions'!$G13="$/Unit/Annual",(('Operating Assumptions'!$H13*CB$23)*CB$36)/12,IF('Operating Assumptions'!$G13="$/Unit/Month",('Operating Assumptions'!$H13*CB$23)*CB$36,IF('Operating Assumptions'!$G13="Fixed Amount",('Operating Assumptions'!$H13*CB$23)/12,IF('Operating Assumptions'!$G13="$/Garage/Month",('Operating Assumptions'!$H13*CB$23)*'Operating Assumptions'!$D$16,IF('Operating Assumptions'!$G13="$/Pet/Month",(CB$36*'Operating Assumptions'!$D$18)*('Operating Assumptions'!$H13*CB$23),IF('Operating Assumptions'!$G13="$/Parking/Month",('Operating Assumptions'!$H13*CB$23)*'Operating Assumptions'!$D$17)))))))</f>
        <v>0</v>
      </c>
      <c r="CC46" s="427">
        <f>IF(OR(CC$9&lt;'Operating Assumptions'!$D$53,CC$6&gt;'Operating Assumptions'!$AA$8,'Operating Assumptions'!$G13="N/A"),0,IF('Operating Assumptions'!$G13="$/Unit/Annual",(('Operating Assumptions'!$H13*CC$23)*CC$36)/12,IF('Operating Assumptions'!$G13="$/Unit/Month",('Operating Assumptions'!$H13*CC$23)*CC$36,IF('Operating Assumptions'!$G13="Fixed Amount",('Operating Assumptions'!$H13*CC$23)/12,IF('Operating Assumptions'!$G13="$/Garage/Month",('Operating Assumptions'!$H13*CC$23)*'Operating Assumptions'!$D$16,IF('Operating Assumptions'!$G13="$/Pet/Month",(CC$36*'Operating Assumptions'!$D$18)*('Operating Assumptions'!$H13*CC$23),IF('Operating Assumptions'!$G13="$/Parking/Month",('Operating Assumptions'!$H13*CC$23)*'Operating Assumptions'!$D$17)))))))</f>
        <v>0</v>
      </c>
      <c r="CD46" s="427">
        <f>IF(OR(CD$9&lt;'Operating Assumptions'!$D$53,CD$6&gt;'Operating Assumptions'!$AA$8,'Operating Assumptions'!$G13="N/A"),0,IF('Operating Assumptions'!$G13="$/Unit/Annual",(('Operating Assumptions'!$H13*CD$23)*CD$36)/12,IF('Operating Assumptions'!$G13="$/Unit/Month",('Operating Assumptions'!$H13*CD$23)*CD$36,IF('Operating Assumptions'!$G13="Fixed Amount",('Operating Assumptions'!$H13*CD$23)/12,IF('Operating Assumptions'!$G13="$/Garage/Month",('Operating Assumptions'!$H13*CD$23)*'Operating Assumptions'!$D$16,IF('Operating Assumptions'!$G13="$/Pet/Month",(CD$36*'Operating Assumptions'!$D$18)*('Operating Assumptions'!$H13*CD$23),IF('Operating Assumptions'!$G13="$/Parking/Month",('Operating Assumptions'!$H13*CD$23)*'Operating Assumptions'!$D$17)))))))</f>
        <v>0</v>
      </c>
      <c r="CE46" s="427">
        <f>IF(OR(CE$9&lt;'Operating Assumptions'!$D$53,CE$6&gt;'Operating Assumptions'!$AA$8,'Operating Assumptions'!$G13="N/A"),0,IF('Operating Assumptions'!$G13="$/Unit/Annual",(('Operating Assumptions'!$H13*CE$23)*CE$36)/12,IF('Operating Assumptions'!$G13="$/Unit/Month",('Operating Assumptions'!$H13*CE$23)*CE$36,IF('Operating Assumptions'!$G13="Fixed Amount",('Operating Assumptions'!$H13*CE$23)/12,IF('Operating Assumptions'!$G13="$/Garage/Month",('Operating Assumptions'!$H13*CE$23)*'Operating Assumptions'!$D$16,IF('Operating Assumptions'!$G13="$/Pet/Month",(CE$36*'Operating Assumptions'!$D$18)*('Operating Assumptions'!$H13*CE$23),IF('Operating Assumptions'!$G13="$/Parking/Month",('Operating Assumptions'!$H13*CE$23)*'Operating Assumptions'!$D$17)))))))</f>
        <v>0</v>
      </c>
      <c r="CF46" s="427">
        <f>IF(OR(CF$9&lt;'Operating Assumptions'!$D$53,CF$6&gt;'Operating Assumptions'!$AA$8,'Operating Assumptions'!$G13="N/A"),0,IF('Operating Assumptions'!$G13="$/Unit/Annual",(('Operating Assumptions'!$H13*CF$23)*CF$36)/12,IF('Operating Assumptions'!$G13="$/Unit/Month",('Operating Assumptions'!$H13*CF$23)*CF$36,IF('Operating Assumptions'!$G13="Fixed Amount",('Operating Assumptions'!$H13*CF$23)/12,IF('Operating Assumptions'!$G13="$/Garage/Month",('Operating Assumptions'!$H13*CF$23)*'Operating Assumptions'!$D$16,IF('Operating Assumptions'!$G13="$/Pet/Month",(CF$36*'Operating Assumptions'!$D$18)*('Operating Assumptions'!$H13*CF$23),IF('Operating Assumptions'!$G13="$/Parking/Month",('Operating Assumptions'!$H13*CF$23)*'Operating Assumptions'!$D$17)))))))</f>
        <v>0</v>
      </c>
      <c r="CG46" s="427">
        <f>IF(OR(CG$9&lt;'Operating Assumptions'!$D$53,CG$6&gt;'Operating Assumptions'!$AA$8,'Operating Assumptions'!$G13="N/A"),0,IF('Operating Assumptions'!$G13="$/Unit/Annual",(('Operating Assumptions'!$H13*CG$23)*CG$36)/12,IF('Operating Assumptions'!$G13="$/Unit/Month",('Operating Assumptions'!$H13*CG$23)*CG$36,IF('Operating Assumptions'!$G13="Fixed Amount",('Operating Assumptions'!$H13*CG$23)/12,IF('Operating Assumptions'!$G13="$/Garage/Month",('Operating Assumptions'!$H13*CG$23)*'Operating Assumptions'!$D$16,IF('Operating Assumptions'!$G13="$/Pet/Month",(CG$36*'Operating Assumptions'!$D$18)*('Operating Assumptions'!$H13*CG$23),IF('Operating Assumptions'!$G13="$/Parking/Month",('Operating Assumptions'!$H13*CG$23)*'Operating Assumptions'!$D$17)))))))</f>
        <v>0</v>
      </c>
      <c r="CH46" s="427">
        <f>IF(OR(CH$9&lt;'Operating Assumptions'!$D$53,CH$6&gt;'Operating Assumptions'!$AA$8,'Operating Assumptions'!$G13="N/A"),0,IF('Operating Assumptions'!$G13="$/Unit/Annual",(('Operating Assumptions'!$H13*CH$23)*CH$36)/12,IF('Operating Assumptions'!$G13="$/Unit/Month",('Operating Assumptions'!$H13*CH$23)*CH$36,IF('Operating Assumptions'!$G13="Fixed Amount",('Operating Assumptions'!$H13*CH$23)/12,IF('Operating Assumptions'!$G13="$/Garage/Month",('Operating Assumptions'!$H13*CH$23)*'Operating Assumptions'!$D$16,IF('Operating Assumptions'!$G13="$/Pet/Month",(CH$36*'Operating Assumptions'!$D$18)*('Operating Assumptions'!$H13*CH$23),IF('Operating Assumptions'!$G13="$/Parking/Month",('Operating Assumptions'!$H13*CH$23)*'Operating Assumptions'!$D$17)))))))</f>
        <v>0</v>
      </c>
      <c r="CI46" s="427">
        <f>IF(OR(CI$9&lt;'Operating Assumptions'!$D$53,CI$6&gt;'Operating Assumptions'!$AA$8,'Operating Assumptions'!$G13="N/A"),0,IF('Operating Assumptions'!$G13="$/Unit/Annual",(('Operating Assumptions'!$H13*CI$23)*CI$36)/12,IF('Operating Assumptions'!$G13="$/Unit/Month",('Operating Assumptions'!$H13*CI$23)*CI$36,IF('Operating Assumptions'!$G13="Fixed Amount",('Operating Assumptions'!$H13*CI$23)/12,IF('Operating Assumptions'!$G13="$/Garage/Month",('Operating Assumptions'!$H13*CI$23)*'Operating Assumptions'!$D$16,IF('Operating Assumptions'!$G13="$/Pet/Month",(CI$36*'Operating Assumptions'!$D$18)*('Operating Assumptions'!$H13*CI$23),IF('Operating Assumptions'!$G13="$/Parking/Month",('Operating Assumptions'!$H13*CI$23)*'Operating Assumptions'!$D$17)))))))</f>
        <v>0</v>
      </c>
      <c r="CJ46" s="427">
        <f>IF(OR(CJ$9&lt;'Operating Assumptions'!$D$53,CJ$6&gt;'Operating Assumptions'!$AA$8,'Operating Assumptions'!$G13="N/A"),0,IF('Operating Assumptions'!$G13="$/Unit/Annual",(('Operating Assumptions'!$H13*CJ$23)*CJ$36)/12,IF('Operating Assumptions'!$G13="$/Unit/Month",('Operating Assumptions'!$H13*CJ$23)*CJ$36,IF('Operating Assumptions'!$G13="Fixed Amount",('Operating Assumptions'!$H13*CJ$23)/12,IF('Operating Assumptions'!$G13="$/Garage/Month",('Operating Assumptions'!$H13*CJ$23)*'Operating Assumptions'!$D$16,IF('Operating Assumptions'!$G13="$/Pet/Month",(CJ$36*'Operating Assumptions'!$D$18)*('Operating Assumptions'!$H13*CJ$23),IF('Operating Assumptions'!$G13="$/Parking/Month",('Operating Assumptions'!$H13*CJ$23)*'Operating Assumptions'!$D$17)))))))</f>
        <v>0</v>
      </c>
      <c r="CK46" s="427">
        <f>IF(OR(CK$9&lt;'Operating Assumptions'!$D$53,CK$6&gt;'Operating Assumptions'!$AA$8,'Operating Assumptions'!$G13="N/A"),0,IF('Operating Assumptions'!$G13="$/Unit/Annual",(('Operating Assumptions'!$H13*CK$23)*CK$36)/12,IF('Operating Assumptions'!$G13="$/Unit/Month",('Operating Assumptions'!$H13*CK$23)*CK$36,IF('Operating Assumptions'!$G13="Fixed Amount",('Operating Assumptions'!$H13*CK$23)/12,IF('Operating Assumptions'!$G13="$/Garage/Month",('Operating Assumptions'!$H13*CK$23)*'Operating Assumptions'!$D$16,IF('Operating Assumptions'!$G13="$/Pet/Month",(CK$36*'Operating Assumptions'!$D$18)*('Operating Assumptions'!$H13*CK$23),IF('Operating Assumptions'!$G13="$/Parking/Month",('Operating Assumptions'!$H13*CK$23)*'Operating Assumptions'!$D$17)))))))</f>
        <v>0</v>
      </c>
      <c r="CL46" s="427">
        <f>IF(OR(CL$9&lt;'Operating Assumptions'!$D$53,CL$6&gt;'Operating Assumptions'!$AA$8,'Operating Assumptions'!$G13="N/A"),0,IF('Operating Assumptions'!$G13="$/Unit/Annual",(('Operating Assumptions'!$H13*CL$23)*CL$36)/12,IF('Operating Assumptions'!$G13="$/Unit/Month",('Operating Assumptions'!$H13*CL$23)*CL$36,IF('Operating Assumptions'!$G13="Fixed Amount",('Operating Assumptions'!$H13*CL$23)/12,IF('Operating Assumptions'!$G13="$/Garage/Month",('Operating Assumptions'!$H13*CL$23)*'Operating Assumptions'!$D$16,IF('Operating Assumptions'!$G13="$/Pet/Month",(CL$36*'Operating Assumptions'!$D$18)*('Operating Assumptions'!$H13*CL$23),IF('Operating Assumptions'!$G13="$/Parking/Month",('Operating Assumptions'!$H13*CL$23)*'Operating Assumptions'!$D$17)))))))</f>
        <v>0</v>
      </c>
      <c r="CM46" s="427">
        <f>IF(OR(CM$9&lt;'Operating Assumptions'!$D$53,CM$6&gt;'Operating Assumptions'!$AA$8,'Operating Assumptions'!$G13="N/A"),0,IF('Operating Assumptions'!$G13="$/Unit/Annual",(('Operating Assumptions'!$H13*CM$23)*CM$36)/12,IF('Operating Assumptions'!$G13="$/Unit/Month",('Operating Assumptions'!$H13*CM$23)*CM$36,IF('Operating Assumptions'!$G13="Fixed Amount",('Operating Assumptions'!$H13*CM$23)/12,IF('Operating Assumptions'!$G13="$/Garage/Month",('Operating Assumptions'!$H13*CM$23)*'Operating Assumptions'!$D$16,IF('Operating Assumptions'!$G13="$/Pet/Month",(CM$36*'Operating Assumptions'!$D$18)*('Operating Assumptions'!$H13*CM$23),IF('Operating Assumptions'!$G13="$/Parking/Month",('Operating Assumptions'!$H13*CM$23)*'Operating Assumptions'!$D$17)))))))</f>
        <v>0</v>
      </c>
      <c r="CN46" s="427">
        <f>IF(OR(CN$9&lt;'Operating Assumptions'!$D$53,CN$6&gt;'Operating Assumptions'!$AA$8,'Operating Assumptions'!$G13="N/A"),0,IF('Operating Assumptions'!$G13="$/Unit/Annual",(('Operating Assumptions'!$H13*CN$23)*CN$36)/12,IF('Operating Assumptions'!$G13="$/Unit/Month",('Operating Assumptions'!$H13*CN$23)*CN$36,IF('Operating Assumptions'!$G13="Fixed Amount",('Operating Assumptions'!$H13*CN$23)/12,IF('Operating Assumptions'!$G13="$/Garage/Month",('Operating Assumptions'!$H13*CN$23)*'Operating Assumptions'!$D$16,IF('Operating Assumptions'!$G13="$/Pet/Month",(CN$36*'Operating Assumptions'!$D$18)*('Operating Assumptions'!$H13*CN$23),IF('Operating Assumptions'!$G13="$/Parking/Month",('Operating Assumptions'!$H13*CN$23)*'Operating Assumptions'!$D$17)))))))</f>
        <v>0</v>
      </c>
      <c r="CO46" s="427">
        <f>IF(OR(CO$9&lt;'Operating Assumptions'!$D$53,CO$6&gt;'Operating Assumptions'!$AA$8,'Operating Assumptions'!$G13="N/A"),0,IF('Operating Assumptions'!$G13="$/Unit/Annual",(('Operating Assumptions'!$H13*CO$23)*CO$36)/12,IF('Operating Assumptions'!$G13="$/Unit/Month",('Operating Assumptions'!$H13*CO$23)*CO$36,IF('Operating Assumptions'!$G13="Fixed Amount",('Operating Assumptions'!$H13*CO$23)/12,IF('Operating Assumptions'!$G13="$/Garage/Month",('Operating Assumptions'!$H13*CO$23)*'Operating Assumptions'!$D$16,IF('Operating Assumptions'!$G13="$/Pet/Month",(CO$36*'Operating Assumptions'!$D$18)*('Operating Assumptions'!$H13*CO$23),IF('Operating Assumptions'!$G13="$/Parking/Month",('Operating Assumptions'!$H13*CO$23)*'Operating Assumptions'!$D$17)))))))</f>
        <v>0</v>
      </c>
      <c r="CP46" s="427">
        <f>IF(OR(CP$9&lt;'Operating Assumptions'!$D$53,CP$6&gt;'Operating Assumptions'!$AA$8,'Operating Assumptions'!$G13="N/A"),0,IF('Operating Assumptions'!$G13="$/Unit/Annual",(('Operating Assumptions'!$H13*CP$23)*CP$36)/12,IF('Operating Assumptions'!$G13="$/Unit/Month",('Operating Assumptions'!$H13*CP$23)*CP$36,IF('Operating Assumptions'!$G13="Fixed Amount",('Operating Assumptions'!$H13*CP$23)/12,IF('Operating Assumptions'!$G13="$/Garage/Month",('Operating Assumptions'!$H13*CP$23)*'Operating Assumptions'!$D$16,IF('Operating Assumptions'!$G13="$/Pet/Month",(CP$36*'Operating Assumptions'!$D$18)*('Operating Assumptions'!$H13*CP$23),IF('Operating Assumptions'!$G13="$/Parking/Month",('Operating Assumptions'!$H13*CP$23)*'Operating Assumptions'!$D$17)))))))</f>
        <v>0</v>
      </c>
      <c r="CQ46" s="427">
        <f>IF(OR(CQ$9&lt;'Operating Assumptions'!$D$53,CQ$6&gt;'Operating Assumptions'!$AA$8,'Operating Assumptions'!$G13="N/A"),0,IF('Operating Assumptions'!$G13="$/Unit/Annual",(('Operating Assumptions'!$H13*CQ$23)*CQ$36)/12,IF('Operating Assumptions'!$G13="$/Unit/Month",('Operating Assumptions'!$H13*CQ$23)*CQ$36,IF('Operating Assumptions'!$G13="Fixed Amount",('Operating Assumptions'!$H13*CQ$23)/12,IF('Operating Assumptions'!$G13="$/Garage/Month",('Operating Assumptions'!$H13*CQ$23)*'Operating Assumptions'!$D$16,IF('Operating Assumptions'!$G13="$/Pet/Month",(CQ$36*'Operating Assumptions'!$D$18)*('Operating Assumptions'!$H13*CQ$23),IF('Operating Assumptions'!$G13="$/Parking/Month",('Operating Assumptions'!$H13*CQ$23)*'Operating Assumptions'!$D$17)))))))</f>
        <v>0</v>
      </c>
      <c r="CR46" s="427">
        <f>IF(OR(CR$9&lt;'Operating Assumptions'!$D$53,CR$6&gt;'Operating Assumptions'!$AA$8,'Operating Assumptions'!$G13="N/A"),0,IF('Operating Assumptions'!$G13="$/Unit/Annual",(('Operating Assumptions'!$H13*CR$23)*CR$36)/12,IF('Operating Assumptions'!$G13="$/Unit/Month",('Operating Assumptions'!$H13*CR$23)*CR$36,IF('Operating Assumptions'!$G13="Fixed Amount",('Operating Assumptions'!$H13*CR$23)/12,IF('Operating Assumptions'!$G13="$/Garage/Month",('Operating Assumptions'!$H13*CR$23)*'Operating Assumptions'!$D$16,IF('Operating Assumptions'!$G13="$/Pet/Month",(CR$36*'Operating Assumptions'!$D$18)*('Operating Assumptions'!$H13*CR$23),IF('Operating Assumptions'!$G13="$/Parking/Month",('Operating Assumptions'!$H13*CR$23)*'Operating Assumptions'!$D$17)))))))</f>
        <v>0</v>
      </c>
      <c r="CS46" s="427">
        <f>IF(OR(CS$9&lt;'Operating Assumptions'!$D$53,CS$6&gt;'Operating Assumptions'!$AA$8,'Operating Assumptions'!$G13="N/A"),0,IF('Operating Assumptions'!$G13="$/Unit/Annual",(('Operating Assumptions'!$H13*CS$23)*CS$36)/12,IF('Operating Assumptions'!$G13="$/Unit/Month",('Operating Assumptions'!$H13*CS$23)*CS$36,IF('Operating Assumptions'!$G13="Fixed Amount",('Operating Assumptions'!$H13*CS$23)/12,IF('Operating Assumptions'!$G13="$/Garage/Month",('Operating Assumptions'!$H13*CS$23)*'Operating Assumptions'!$D$16,IF('Operating Assumptions'!$G13="$/Pet/Month",(CS$36*'Operating Assumptions'!$D$18)*('Operating Assumptions'!$H13*CS$23),IF('Operating Assumptions'!$G13="$/Parking/Month",('Operating Assumptions'!$H13*CS$23)*'Operating Assumptions'!$D$17)))))))</f>
        <v>0</v>
      </c>
      <c r="CT46" s="427">
        <f>IF(OR(CT$9&lt;'Operating Assumptions'!$D$53,CT$6&gt;'Operating Assumptions'!$AA$8,'Operating Assumptions'!$G13="N/A"),0,IF('Operating Assumptions'!$G13="$/Unit/Annual",(('Operating Assumptions'!$H13*CT$23)*CT$36)/12,IF('Operating Assumptions'!$G13="$/Unit/Month",('Operating Assumptions'!$H13*CT$23)*CT$36,IF('Operating Assumptions'!$G13="Fixed Amount",('Operating Assumptions'!$H13*CT$23)/12,IF('Operating Assumptions'!$G13="$/Garage/Month",('Operating Assumptions'!$H13*CT$23)*'Operating Assumptions'!$D$16,IF('Operating Assumptions'!$G13="$/Pet/Month",(CT$36*'Operating Assumptions'!$D$18)*('Operating Assumptions'!$H13*CT$23),IF('Operating Assumptions'!$G13="$/Parking/Month",('Operating Assumptions'!$H13*CT$23)*'Operating Assumptions'!$D$17)))))))</f>
        <v>0</v>
      </c>
      <c r="CU46" s="427">
        <f>IF(OR(CU$9&lt;'Operating Assumptions'!$D$53,CU$6&gt;'Operating Assumptions'!$AA$8,'Operating Assumptions'!$G13="N/A"),0,IF('Operating Assumptions'!$G13="$/Unit/Annual",(('Operating Assumptions'!$H13*CU$23)*CU$36)/12,IF('Operating Assumptions'!$G13="$/Unit/Month",('Operating Assumptions'!$H13*CU$23)*CU$36,IF('Operating Assumptions'!$G13="Fixed Amount",('Operating Assumptions'!$H13*CU$23)/12,IF('Operating Assumptions'!$G13="$/Garage/Month",('Operating Assumptions'!$H13*CU$23)*'Operating Assumptions'!$D$16,IF('Operating Assumptions'!$G13="$/Pet/Month",(CU$36*'Operating Assumptions'!$D$18)*('Operating Assumptions'!$H13*CU$23),IF('Operating Assumptions'!$G13="$/Parking/Month",('Operating Assumptions'!$H13*CU$23)*'Operating Assumptions'!$D$17)))))))</f>
        <v>0</v>
      </c>
      <c r="CV46" s="427">
        <f>IF(OR(CV$9&lt;'Operating Assumptions'!$D$53,CV$6&gt;'Operating Assumptions'!$AA$8,'Operating Assumptions'!$G13="N/A"),0,IF('Operating Assumptions'!$G13="$/Unit/Annual",(('Operating Assumptions'!$H13*CV$23)*CV$36)/12,IF('Operating Assumptions'!$G13="$/Unit/Month",('Operating Assumptions'!$H13*CV$23)*CV$36,IF('Operating Assumptions'!$G13="Fixed Amount",('Operating Assumptions'!$H13*CV$23)/12,IF('Operating Assumptions'!$G13="$/Garage/Month",('Operating Assumptions'!$H13*CV$23)*'Operating Assumptions'!$D$16,IF('Operating Assumptions'!$G13="$/Pet/Month",(CV$36*'Operating Assumptions'!$D$18)*('Operating Assumptions'!$H13*CV$23),IF('Operating Assumptions'!$G13="$/Parking/Month",('Operating Assumptions'!$H13*CV$23)*'Operating Assumptions'!$D$17)))))))</f>
        <v>0</v>
      </c>
      <c r="CW46" s="427">
        <f>IF(OR(CW$9&lt;'Operating Assumptions'!$D$53,CW$6&gt;'Operating Assumptions'!$AA$8,'Operating Assumptions'!$G13="N/A"),0,IF('Operating Assumptions'!$G13="$/Unit/Annual",(('Operating Assumptions'!$H13*CW$23)*CW$36)/12,IF('Operating Assumptions'!$G13="$/Unit/Month",('Operating Assumptions'!$H13*CW$23)*CW$36,IF('Operating Assumptions'!$G13="Fixed Amount",('Operating Assumptions'!$H13*CW$23)/12,IF('Operating Assumptions'!$G13="$/Garage/Month",('Operating Assumptions'!$H13*CW$23)*'Operating Assumptions'!$D$16,IF('Operating Assumptions'!$G13="$/Pet/Month",(CW$36*'Operating Assumptions'!$D$18)*('Operating Assumptions'!$H13*CW$23),IF('Operating Assumptions'!$G13="$/Parking/Month",('Operating Assumptions'!$H13*CW$23)*'Operating Assumptions'!$D$17)))))))</f>
        <v>0</v>
      </c>
      <c r="CX46" s="427">
        <f>IF(OR(CX$9&lt;'Operating Assumptions'!$D$53,CX$6&gt;'Operating Assumptions'!$AA$8,'Operating Assumptions'!$G13="N/A"),0,IF('Operating Assumptions'!$G13="$/Unit/Annual",(('Operating Assumptions'!$H13*CX$23)*CX$36)/12,IF('Operating Assumptions'!$G13="$/Unit/Month",('Operating Assumptions'!$H13*CX$23)*CX$36,IF('Operating Assumptions'!$G13="Fixed Amount",('Operating Assumptions'!$H13*CX$23)/12,IF('Operating Assumptions'!$G13="$/Garage/Month",('Operating Assumptions'!$H13*CX$23)*'Operating Assumptions'!$D$16,IF('Operating Assumptions'!$G13="$/Pet/Month",(CX$36*'Operating Assumptions'!$D$18)*('Operating Assumptions'!$H13*CX$23),IF('Operating Assumptions'!$G13="$/Parking/Month",('Operating Assumptions'!$H13*CX$23)*'Operating Assumptions'!$D$17)))))))</f>
        <v>0</v>
      </c>
      <c r="CY46" s="427">
        <f>IF(OR(CY$9&lt;'Operating Assumptions'!$D$53,CY$6&gt;'Operating Assumptions'!$AA$8,'Operating Assumptions'!$G13="N/A"),0,IF('Operating Assumptions'!$G13="$/Unit/Annual",(('Operating Assumptions'!$H13*CY$23)*CY$36)/12,IF('Operating Assumptions'!$G13="$/Unit/Month",('Operating Assumptions'!$H13*CY$23)*CY$36,IF('Operating Assumptions'!$G13="Fixed Amount",('Operating Assumptions'!$H13*CY$23)/12,IF('Operating Assumptions'!$G13="$/Garage/Month",('Operating Assumptions'!$H13*CY$23)*'Operating Assumptions'!$D$16,IF('Operating Assumptions'!$G13="$/Pet/Month",(CY$36*'Operating Assumptions'!$D$18)*('Operating Assumptions'!$H13*CY$23),IF('Operating Assumptions'!$G13="$/Parking/Month",('Operating Assumptions'!$H13*CY$23)*'Operating Assumptions'!$D$17)))))))</f>
        <v>0</v>
      </c>
      <c r="CZ46" s="427">
        <f>IF(OR(CZ$9&lt;'Operating Assumptions'!$D$53,CZ$6&gt;'Operating Assumptions'!$AA$8,'Operating Assumptions'!$G13="N/A"),0,IF('Operating Assumptions'!$G13="$/Unit/Annual",(('Operating Assumptions'!$H13*CZ$23)*CZ$36)/12,IF('Operating Assumptions'!$G13="$/Unit/Month",('Operating Assumptions'!$H13*CZ$23)*CZ$36,IF('Operating Assumptions'!$G13="Fixed Amount",('Operating Assumptions'!$H13*CZ$23)/12,IF('Operating Assumptions'!$G13="$/Garage/Month",('Operating Assumptions'!$H13*CZ$23)*'Operating Assumptions'!$D$16,IF('Operating Assumptions'!$G13="$/Pet/Month",(CZ$36*'Operating Assumptions'!$D$18)*('Operating Assumptions'!$H13*CZ$23),IF('Operating Assumptions'!$G13="$/Parking/Month",('Operating Assumptions'!$H13*CZ$23)*'Operating Assumptions'!$D$17)))))))</f>
        <v>0</v>
      </c>
      <c r="DA46" s="427">
        <f>IF(OR(DA$9&lt;'Operating Assumptions'!$D$53,DA$6&gt;'Operating Assumptions'!$AA$8,'Operating Assumptions'!$G13="N/A"),0,IF('Operating Assumptions'!$G13="$/Unit/Annual",(('Operating Assumptions'!$H13*DA$23)*DA$36)/12,IF('Operating Assumptions'!$G13="$/Unit/Month",('Operating Assumptions'!$H13*DA$23)*DA$36,IF('Operating Assumptions'!$G13="Fixed Amount",('Operating Assumptions'!$H13*DA$23)/12,IF('Operating Assumptions'!$G13="$/Garage/Month",('Operating Assumptions'!$H13*DA$23)*'Operating Assumptions'!$D$16,IF('Operating Assumptions'!$G13="$/Pet/Month",(DA$36*'Operating Assumptions'!$D$18)*('Operating Assumptions'!$H13*DA$23),IF('Operating Assumptions'!$G13="$/Parking/Month",('Operating Assumptions'!$H13*DA$23)*'Operating Assumptions'!$D$17)))))))</f>
        <v>0</v>
      </c>
      <c r="DB46" s="427">
        <f>IF(OR(DB$9&lt;'Operating Assumptions'!$D$53,DB$6&gt;'Operating Assumptions'!$AA$8,'Operating Assumptions'!$G13="N/A"),0,IF('Operating Assumptions'!$G13="$/Unit/Annual",(('Operating Assumptions'!$H13*DB$23)*DB$36)/12,IF('Operating Assumptions'!$G13="$/Unit/Month",('Operating Assumptions'!$H13*DB$23)*DB$36,IF('Operating Assumptions'!$G13="Fixed Amount",('Operating Assumptions'!$H13*DB$23)/12,IF('Operating Assumptions'!$G13="$/Garage/Month",('Operating Assumptions'!$H13*DB$23)*'Operating Assumptions'!$D$16,IF('Operating Assumptions'!$G13="$/Pet/Month",(DB$36*'Operating Assumptions'!$D$18)*('Operating Assumptions'!$H13*DB$23),IF('Operating Assumptions'!$G13="$/Parking/Month",('Operating Assumptions'!$H13*DB$23)*'Operating Assumptions'!$D$17)))))))</f>
        <v>0</v>
      </c>
      <c r="DC46" s="427">
        <f>IF(OR(DC$9&lt;'Operating Assumptions'!$D$53,DC$6&gt;'Operating Assumptions'!$AA$8,'Operating Assumptions'!$G13="N/A"),0,IF('Operating Assumptions'!$G13="$/Unit/Annual",(('Operating Assumptions'!$H13*DC$23)*DC$36)/12,IF('Operating Assumptions'!$G13="$/Unit/Month",('Operating Assumptions'!$H13*DC$23)*DC$36,IF('Operating Assumptions'!$G13="Fixed Amount",('Operating Assumptions'!$H13*DC$23)/12,IF('Operating Assumptions'!$G13="$/Garage/Month",('Operating Assumptions'!$H13*DC$23)*'Operating Assumptions'!$D$16,IF('Operating Assumptions'!$G13="$/Pet/Month",(DC$36*'Operating Assumptions'!$D$18)*('Operating Assumptions'!$H13*DC$23),IF('Operating Assumptions'!$G13="$/Parking/Month",('Operating Assumptions'!$H13*DC$23)*'Operating Assumptions'!$D$17)))))))</f>
        <v>0</v>
      </c>
      <c r="DD46" s="427">
        <f>IF(OR(DD$9&lt;'Operating Assumptions'!$D$53,DD$6&gt;'Operating Assumptions'!$AA$8,'Operating Assumptions'!$G13="N/A"),0,IF('Operating Assumptions'!$G13="$/Unit/Annual",(('Operating Assumptions'!$H13*DD$23)*DD$36)/12,IF('Operating Assumptions'!$G13="$/Unit/Month",('Operating Assumptions'!$H13*DD$23)*DD$36,IF('Operating Assumptions'!$G13="Fixed Amount",('Operating Assumptions'!$H13*DD$23)/12,IF('Operating Assumptions'!$G13="$/Garage/Month",('Operating Assumptions'!$H13*DD$23)*'Operating Assumptions'!$D$16,IF('Operating Assumptions'!$G13="$/Pet/Month",(DD$36*'Operating Assumptions'!$D$18)*('Operating Assumptions'!$H13*DD$23),IF('Operating Assumptions'!$G13="$/Parking/Month",('Operating Assumptions'!$H13*DD$23)*'Operating Assumptions'!$D$17)))))))</f>
        <v>0</v>
      </c>
      <c r="DE46" s="427">
        <f>IF(OR(DE$9&lt;'Operating Assumptions'!$D$53,DE$6&gt;'Operating Assumptions'!$AA$8,'Operating Assumptions'!$G13="N/A"),0,IF('Operating Assumptions'!$G13="$/Unit/Annual",(('Operating Assumptions'!$H13*DE$23)*DE$36)/12,IF('Operating Assumptions'!$G13="$/Unit/Month",('Operating Assumptions'!$H13*DE$23)*DE$36,IF('Operating Assumptions'!$G13="Fixed Amount",('Operating Assumptions'!$H13*DE$23)/12,IF('Operating Assumptions'!$G13="$/Garage/Month",('Operating Assumptions'!$H13*DE$23)*'Operating Assumptions'!$D$16,IF('Operating Assumptions'!$G13="$/Pet/Month",(DE$36*'Operating Assumptions'!$D$18)*('Operating Assumptions'!$H13*DE$23),IF('Operating Assumptions'!$G13="$/Parking/Month",('Operating Assumptions'!$H13*DE$23)*'Operating Assumptions'!$D$17)))))))</f>
        <v>0</v>
      </c>
      <c r="DF46" s="427">
        <f>IF(OR(DF$9&lt;'Operating Assumptions'!$D$53,DF$6&gt;'Operating Assumptions'!$AA$8,'Operating Assumptions'!$G13="N/A"),0,IF('Operating Assumptions'!$G13="$/Unit/Annual",(('Operating Assumptions'!$H13*DF$23)*DF$36)/12,IF('Operating Assumptions'!$G13="$/Unit/Month",('Operating Assumptions'!$H13*DF$23)*DF$36,IF('Operating Assumptions'!$G13="Fixed Amount",('Operating Assumptions'!$H13*DF$23)/12,IF('Operating Assumptions'!$G13="$/Garage/Month",('Operating Assumptions'!$H13*DF$23)*'Operating Assumptions'!$D$16,IF('Operating Assumptions'!$G13="$/Pet/Month",(DF$36*'Operating Assumptions'!$D$18)*('Operating Assumptions'!$H13*DF$23),IF('Operating Assumptions'!$G13="$/Parking/Month",('Operating Assumptions'!$H13*DF$23)*'Operating Assumptions'!$D$17)))))))</f>
        <v>0</v>
      </c>
      <c r="DG46" s="427">
        <f>IF(OR(DG$9&lt;'Operating Assumptions'!$D$53,DG$6&gt;'Operating Assumptions'!$AA$8,'Operating Assumptions'!$G13="N/A"),0,IF('Operating Assumptions'!$G13="$/Unit/Annual",(('Operating Assumptions'!$H13*DG$23)*DG$36)/12,IF('Operating Assumptions'!$G13="$/Unit/Month",('Operating Assumptions'!$H13*DG$23)*DG$36,IF('Operating Assumptions'!$G13="Fixed Amount",('Operating Assumptions'!$H13*DG$23)/12,IF('Operating Assumptions'!$G13="$/Garage/Month",('Operating Assumptions'!$H13*DG$23)*'Operating Assumptions'!$D$16,IF('Operating Assumptions'!$G13="$/Pet/Month",(DG$36*'Operating Assumptions'!$D$18)*('Operating Assumptions'!$H13*DG$23),IF('Operating Assumptions'!$G13="$/Parking/Month",('Operating Assumptions'!$H13*DG$23)*'Operating Assumptions'!$D$17)))))))</f>
        <v>0</v>
      </c>
      <c r="DH46" s="427">
        <f>IF(OR(DH$9&lt;'Operating Assumptions'!$D$53,DH$6&gt;'Operating Assumptions'!$AA$8,'Operating Assumptions'!$G13="N/A"),0,IF('Operating Assumptions'!$G13="$/Unit/Annual",(('Operating Assumptions'!$H13*DH$23)*DH$36)/12,IF('Operating Assumptions'!$G13="$/Unit/Month",('Operating Assumptions'!$H13*DH$23)*DH$36,IF('Operating Assumptions'!$G13="Fixed Amount",('Operating Assumptions'!$H13*DH$23)/12,IF('Operating Assumptions'!$G13="$/Garage/Month",('Operating Assumptions'!$H13*DH$23)*'Operating Assumptions'!$D$16,IF('Operating Assumptions'!$G13="$/Pet/Month",(DH$36*'Operating Assumptions'!$D$18)*('Operating Assumptions'!$H13*DH$23),IF('Operating Assumptions'!$G13="$/Parking/Month",('Operating Assumptions'!$H13*DH$23)*'Operating Assumptions'!$D$17)))))))</f>
        <v>0</v>
      </c>
      <c r="DI46" s="427">
        <f>IF(OR(DI$9&lt;'Operating Assumptions'!$D$53,DI$6&gt;'Operating Assumptions'!$AA$8,'Operating Assumptions'!$G13="N/A"),0,IF('Operating Assumptions'!$G13="$/Unit/Annual",(('Operating Assumptions'!$H13*DI$23)*DI$36)/12,IF('Operating Assumptions'!$G13="$/Unit/Month",('Operating Assumptions'!$H13*DI$23)*DI$36,IF('Operating Assumptions'!$G13="Fixed Amount",('Operating Assumptions'!$H13*DI$23)/12,IF('Operating Assumptions'!$G13="$/Garage/Month",('Operating Assumptions'!$H13*DI$23)*'Operating Assumptions'!$D$16,IF('Operating Assumptions'!$G13="$/Pet/Month",(DI$36*'Operating Assumptions'!$D$18)*('Operating Assumptions'!$H13*DI$23),IF('Operating Assumptions'!$G13="$/Parking/Month",('Operating Assumptions'!$H13*DI$23)*'Operating Assumptions'!$D$17)))))))</f>
        <v>0</v>
      </c>
      <c r="DJ46" s="427">
        <f>IF(OR(DJ$9&lt;'Operating Assumptions'!$D$53,DJ$6&gt;'Operating Assumptions'!$AA$8,'Operating Assumptions'!$G13="N/A"),0,IF('Operating Assumptions'!$G13="$/Unit/Annual",(('Operating Assumptions'!$H13*DJ$23)*DJ$36)/12,IF('Operating Assumptions'!$G13="$/Unit/Month",('Operating Assumptions'!$H13*DJ$23)*DJ$36,IF('Operating Assumptions'!$G13="Fixed Amount",('Operating Assumptions'!$H13*DJ$23)/12,IF('Operating Assumptions'!$G13="$/Garage/Month",('Operating Assumptions'!$H13*DJ$23)*'Operating Assumptions'!$D$16,IF('Operating Assumptions'!$G13="$/Pet/Month",(DJ$36*'Operating Assumptions'!$D$18)*('Operating Assumptions'!$H13*DJ$23),IF('Operating Assumptions'!$G13="$/Parking/Month",('Operating Assumptions'!$H13*DJ$23)*'Operating Assumptions'!$D$17)))))))</f>
        <v>0</v>
      </c>
      <c r="DK46" s="427">
        <f>IF(OR(DK$9&lt;'Operating Assumptions'!$D$53,DK$6&gt;'Operating Assumptions'!$AA$8,'Operating Assumptions'!$G13="N/A"),0,IF('Operating Assumptions'!$G13="$/Unit/Annual",(('Operating Assumptions'!$H13*DK$23)*DK$36)/12,IF('Operating Assumptions'!$G13="$/Unit/Month",('Operating Assumptions'!$H13*DK$23)*DK$36,IF('Operating Assumptions'!$G13="Fixed Amount",('Operating Assumptions'!$H13*DK$23)/12,IF('Operating Assumptions'!$G13="$/Garage/Month",('Operating Assumptions'!$H13*DK$23)*'Operating Assumptions'!$D$16,IF('Operating Assumptions'!$G13="$/Pet/Month",(DK$36*'Operating Assumptions'!$D$18)*('Operating Assumptions'!$H13*DK$23),IF('Operating Assumptions'!$G13="$/Parking/Month",('Operating Assumptions'!$H13*DK$23)*'Operating Assumptions'!$D$17)))))))</f>
        <v>0</v>
      </c>
      <c r="DL46" s="427">
        <f>IF(OR(DL$9&lt;'Operating Assumptions'!$D$53,DL$6&gt;'Operating Assumptions'!$AA$8,'Operating Assumptions'!$G13="N/A"),0,IF('Operating Assumptions'!$G13="$/Unit/Annual",(('Operating Assumptions'!$H13*DL$23)*DL$36)/12,IF('Operating Assumptions'!$G13="$/Unit/Month",('Operating Assumptions'!$H13*DL$23)*DL$36,IF('Operating Assumptions'!$G13="Fixed Amount",('Operating Assumptions'!$H13*DL$23)/12,IF('Operating Assumptions'!$G13="$/Garage/Month",('Operating Assumptions'!$H13*DL$23)*'Operating Assumptions'!$D$16,IF('Operating Assumptions'!$G13="$/Pet/Month",(DL$36*'Operating Assumptions'!$D$18)*('Operating Assumptions'!$H13*DL$23),IF('Operating Assumptions'!$G13="$/Parking/Month",('Operating Assumptions'!$H13*DL$23)*'Operating Assumptions'!$D$17)))))))</f>
        <v>0</v>
      </c>
      <c r="DM46" s="427">
        <f>IF(OR(DM$9&lt;'Operating Assumptions'!$D$53,DM$6&gt;'Operating Assumptions'!$AA$8,'Operating Assumptions'!$G13="N/A"),0,IF('Operating Assumptions'!$G13="$/Unit/Annual",(('Operating Assumptions'!$H13*DM$23)*DM$36)/12,IF('Operating Assumptions'!$G13="$/Unit/Month",('Operating Assumptions'!$H13*DM$23)*DM$36,IF('Operating Assumptions'!$G13="Fixed Amount",('Operating Assumptions'!$H13*DM$23)/12,IF('Operating Assumptions'!$G13="$/Garage/Month",('Operating Assumptions'!$H13*DM$23)*'Operating Assumptions'!$D$16,IF('Operating Assumptions'!$G13="$/Pet/Month",(DM$36*'Operating Assumptions'!$D$18)*('Operating Assumptions'!$H13*DM$23),IF('Operating Assumptions'!$G13="$/Parking/Month",('Operating Assumptions'!$H13*DM$23)*'Operating Assumptions'!$D$17)))))))</f>
        <v>0</v>
      </c>
      <c r="DN46" s="427">
        <f>IF(OR(DN$9&lt;'Operating Assumptions'!$D$53,DN$6&gt;'Operating Assumptions'!$AA$8,'Operating Assumptions'!$G13="N/A"),0,IF('Operating Assumptions'!$G13="$/Unit/Annual",(('Operating Assumptions'!$H13*DN$23)*DN$36)/12,IF('Operating Assumptions'!$G13="$/Unit/Month",('Operating Assumptions'!$H13*DN$23)*DN$36,IF('Operating Assumptions'!$G13="Fixed Amount",('Operating Assumptions'!$H13*DN$23)/12,IF('Operating Assumptions'!$G13="$/Garage/Month",('Operating Assumptions'!$H13*DN$23)*'Operating Assumptions'!$D$16,IF('Operating Assumptions'!$G13="$/Pet/Month",(DN$36*'Operating Assumptions'!$D$18)*('Operating Assumptions'!$H13*DN$23),IF('Operating Assumptions'!$G13="$/Parking/Month",('Operating Assumptions'!$H13*DN$23)*'Operating Assumptions'!$D$17)))))))</f>
        <v>0</v>
      </c>
      <c r="DO46" s="427">
        <f>IF(OR(DO$9&lt;'Operating Assumptions'!$D$53,DO$6&gt;'Operating Assumptions'!$AA$8,'Operating Assumptions'!$G13="N/A"),0,IF('Operating Assumptions'!$G13="$/Unit/Annual",(('Operating Assumptions'!$H13*DO$23)*DO$36)/12,IF('Operating Assumptions'!$G13="$/Unit/Month",('Operating Assumptions'!$H13*DO$23)*DO$36,IF('Operating Assumptions'!$G13="Fixed Amount",('Operating Assumptions'!$H13*DO$23)/12,IF('Operating Assumptions'!$G13="$/Garage/Month",('Operating Assumptions'!$H13*DO$23)*'Operating Assumptions'!$D$16,IF('Operating Assumptions'!$G13="$/Pet/Month",(DO$36*'Operating Assumptions'!$D$18)*('Operating Assumptions'!$H13*DO$23),IF('Operating Assumptions'!$G13="$/Parking/Month",('Operating Assumptions'!$H13*DO$23)*'Operating Assumptions'!$D$17)))))))</f>
        <v>0</v>
      </c>
      <c r="DP46" s="427">
        <f>IF(OR(DP$9&lt;'Operating Assumptions'!$D$53,DP$6&gt;'Operating Assumptions'!$AA$8,'Operating Assumptions'!$G13="N/A"),0,IF('Operating Assumptions'!$G13="$/Unit/Annual",(('Operating Assumptions'!$H13*DP$23)*DP$36)/12,IF('Operating Assumptions'!$G13="$/Unit/Month",('Operating Assumptions'!$H13*DP$23)*DP$36,IF('Operating Assumptions'!$G13="Fixed Amount",('Operating Assumptions'!$H13*DP$23)/12,IF('Operating Assumptions'!$G13="$/Garage/Month",('Operating Assumptions'!$H13*DP$23)*'Operating Assumptions'!$D$16,IF('Operating Assumptions'!$G13="$/Pet/Month",(DP$36*'Operating Assumptions'!$D$18)*('Operating Assumptions'!$H13*DP$23),IF('Operating Assumptions'!$G13="$/Parking/Month",('Operating Assumptions'!$H13*DP$23)*'Operating Assumptions'!$D$17)))))))</f>
        <v>0</v>
      </c>
      <c r="DQ46" s="427">
        <f>IF(OR(DQ$9&lt;'Operating Assumptions'!$D$53,DQ$6&gt;'Operating Assumptions'!$AA$8,'Operating Assumptions'!$G13="N/A"),0,IF('Operating Assumptions'!$G13="$/Unit/Annual",(('Operating Assumptions'!$H13*DQ$23)*DQ$36)/12,IF('Operating Assumptions'!$G13="$/Unit/Month",('Operating Assumptions'!$H13*DQ$23)*DQ$36,IF('Operating Assumptions'!$G13="Fixed Amount",('Operating Assumptions'!$H13*DQ$23)/12,IF('Operating Assumptions'!$G13="$/Garage/Month",('Operating Assumptions'!$H13*DQ$23)*'Operating Assumptions'!$D$16,IF('Operating Assumptions'!$G13="$/Pet/Month",(DQ$36*'Operating Assumptions'!$D$18)*('Operating Assumptions'!$H13*DQ$23),IF('Operating Assumptions'!$G13="$/Parking/Month",('Operating Assumptions'!$H13*DQ$23)*'Operating Assumptions'!$D$17)))))))</f>
        <v>0</v>
      </c>
      <c r="DR46" s="427">
        <f>IF(OR(DR$9&lt;'Operating Assumptions'!$D$53,DR$6&gt;'Operating Assumptions'!$AA$8,'Operating Assumptions'!$G13="N/A"),0,IF('Operating Assumptions'!$G13="$/Unit/Annual",(('Operating Assumptions'!$H13*DR$23)*DR$36)/12,IF('Operating Assumptions'!$G13="$/Unit/Month",('Operating Assumptions'!$H13*DR$23)*DR$36,IF('Operating Assumptions'!$G13="Fixed Amount",('Operating Assumptions'!$H13*DR$23)/12,IF('Operating Assumptions'!$G13="$/Garage/Month",('Operating Assumptions'!$H13*DR$23)*'Operating Assumptions'!$D$16,IF('Operating Assumptions'!$G13="$/Pet/Month",(DR$36*'Operating Assumptions'!$D$18)*('Operating Assumptions'!$H13*DR$23),IF('Operating Assumptions'!$G13="$/Parking/Month",('Operating Assumptions'!$H13*DR$23)*'Operating Assumptions'!$D$17)))))))</f>
        <v>0</v>
      </c>
      <c r="DS46" s="427">
        <f>IF(OR(DS$9&lt;'Operating Assumptions'!$D$53,DS$6&gt;'Operating Assumptions'!$AA$8,'Operating Assumptions'!$G13="N/A"),0,IF('Operating Assumptions'!$G13="$/Unit/Annual",(('Operating Assumptions'!$H13*DS$23)*DS$36)/12,IF('Operating Assumptions'!$G13="$/Unit/Month",('Operating Assumptions'!$H13*DS$23)*DS$36,IF('Operating Assumptions'!$G13="Fixed Amount",('Operating Assumptions'!$H13*DS$23)/12,IF('Operating Assumptions'!$G13="$/Garage/Month",('Operating Assumptions'!$H13*DS$23)*'Operating Assumptions'!$D$16,IF('Operating Assumptions'!$G13="$/Pet/Month",(DS$36*'Operating Assumptions'!$D$18)*('Operating Assumptions'!$H13*DS$23),IF('Operating Assumptions'!$G13="$/Parking/Month",('Operating Assumptions'!$H13*DS$23)*'Operating Assumptions'!$D$17)))))))</f>
        <v>0</v>
      </c>
      <c r="DT46" s="427">
        <f>IF(OR(DT$9&lt;'Operating Assumptions'!$D$53,DT$6&gt;'Operating Assumptions'!$AA$8,'Operating Assumptions'!$G13="N/A"),0,IF('Operating Assumptions'!$G13="$/Unit/Annual",(('Operating Assumptions'!$H13*DT$23)*DT$36)/12,IF('Operating Assumptions'!$G13="$/Unit/Month",('Operating Assumptions'!$H13*DT$23)*DT$36,IF('Operating Assumptions'!$G13="Fixed Amount",('Operating Assumptions'!$H13*DT$23)/12,IF('Operating Assumptions'!$G13="$/Garage/Month",('Operating Assumptions'!$H13*DT$23)*'Operating Assumptions'!$D$16,IF('Operating Assumptions'!$G13="$/Pet/Month",(DT$36*'Operating Assumptions'!$D$18)*('Operating Assumptions'!$H13*DT$23),IF('Operating Assumptions'!$G13="$/Parking/Month",('Operating Assumptions'!$H13*DT$23)*'Operating Assumptions'!$D$17)))))))</f>
        <v>0</v>
      </c>
      <c r="DU46" s="427">
        <f>IF(OR(DU$9&lt;'Operating Assumptions'!$D$53,DU$6&gt;'Operating Assumptions'!$AA$8,'Operating Assumptions'!$G13="N/A"),0,IF('Operating Assumptions'!$G13="$/Unit/Annual",(('Operating Assumptions'!$H13*DU$23)*DU$36)/12,IF('Operating Assumptions'!$G13="$/Unit/Month",('Operating Assumptions'!$H13*DU$23)*DU$36,IF('Operating Assumptions'!$G13="Fixed Amount",('Operating Assumptions'!$H13*DU$23)/12,IF('Operating Assumptions'!$G13="$/Garage/Month",('Operating Assumptions'!$H13*DU$23)*'Operating Assumptions'!$D$16,IF('Operating Assumptions'!$G13="$/Pet/Month",(DU$36*'Operating Assumptions'!$D$18)*('Operating Assumptions'!$H13*DU$23),IF('Operating Assumptions'!$G13="$/Parking/Month",('Operating Assumptions'!$H13*DU$23)*'Operating Assumptions'!$D$17)))))))</f>
        <v>0</v>
      </c>
      <c r="DV46" s="427">
        <f>IF(OR(DV$9&lt;'Operating Assumptions'!$D$53,DV$6&gt;'Operating Assumptions'!$AA$8,'Operating Assumptions'!$G13="N/A"),0,IF('Operating Assumptions'!$G13="$/Unit/Annual",(('Operating Assumptions'!$H13*DV$23)*DV$36)/12,IF('Operating Assumptions'!$G13="$/Unit/Month",('Operating Assumptions'!$H13*DV$23)*DV$36,IF('Operating Assumptions'!$G13="Fixed Amount",('Operating Assumptions'!$H13*DV$23)/12,IF('Operating Assumptions'!$G13="$/Garage/Month",('Operating Assumptions'!$H13*DV$23)*'Operating Assumptions'!$D$16,IF('Operating Assumptions'!$G13="$/Pet/Month",(DV$36*'Operating Assumptions'!$D$18)*('Operating Assumptions'!$H13*DV$23),IF('Operating Assumptions'!$G13="$/Parking/Month",('Operating Assumptions'!$H13*DV$23)*'Operating Assumptions'!$D$17)))))))</f>
        <v>0</v>
      </c>
      <c r="DW46" s="427">
        <f>IF(OR(DW$9&lt;'Operating Assumptions'!$D$53,DW$6&gt;'Operating Assumptions'!$AA$8,'Operating Assumptions'!$G13="N/A"),0,IF('Operating Assumptions'!$G13="$/Unit/Annual",(('Operating Assumptions'!$H13*DW$23)*DW$36)/12,IF('Operating Assumptions'!$G13="$/Unit/Month",('Operating Assumptions'!$H13*DW$23)*DW$36,IF('Operating Assumptions'!$G13="Fixed Amount",('Operating Assumptions'!$H13*DW$23)/12,IF('Operating Assumptions'!$G13="$/Garage/Month",('Operating Assumptions'!$H13*DW$23)*'Operating Assumptions'!$D$16,IF('Operating Assumptions'!$G13="$/Pet/Month",(DW$36*'Operating Assumptions'!$D$18)*('Operating Assumptions'!$H13*DW$23),IF('Operating Assumptions'!$G13="$/Parking/Month",('Operating Assumptions'!$H13*DW$23)*'Operating Assumptions'!$D$17)))))))</f>
        <v>0</v>
      </c>
      <c r="DX46" s="427">
        <f>IF(OR(DX$9&lt;'Operating Assumptions'!$D$53,DX$6&gt;'Operating Assumptions'!$AA$8,'Operating Assumptions'!$G13="N/A"),0,IF('Operating Assumptions'!$G13="$/Unit/Annual",(('Operating Assumptions'!$H13*DX$23)*DX$36)/12,IF('Operating Assumptions'!$G13="$/Unit/Month",('Operating Assumptions'!$H13*DX$23)*DX$36,IF('Operating Assumptions'!$G13="Fixed Amount",('Operating Assumptions'!$H13*DX$23)/12,IF('Operating Assumptions'!$G13="$/Garage/Month",('Operating Assumptions'!$H13*DX$23)*'Operating Assumptions'!$D$16,IF('Operating Assumptions'!$G13="$/Pet/Month",(DX$36*'Operating Assumptions'!$D$18)*('Operating Assumptions'!$H13*DX$23),IF('Operating Assumptions'!$G13="$/Parking/Month",('Operating Assumptions'!$H13*DX$23)*'Operating Assumptions'!$D$17)))))))</f>
        <v>0</v>
      </c>
      <c r="DY46" s="427">
        <f>IF(OR(DY$9&lt;'Operating Assumptions'!$D$53,DY$6&gt;'Operating Assumptions'!$AA$8,'Operating Assumptions'!$G13="N/A"),0,IF('Operating Assumptions'!$G13="$/Unit/Annual",(('Operating Assumptions'!$H13*DY$23)*DY$36)/12,IF('Operating Assumptions'!$G13="$/Unit/Month",('Operating Assumptions'!$H13*DY$23)*DY$36,IF('Operating Assumptions'!$G13="Fixed Amount",('Operating Assumptions'!$H13*DY$23)/12,IF('Operating Assumptions'!$G13="$/Garage/Month",('Operating Assumptions'!$H13*DY$23)*'Operating Assumptions'!$D$16,IF('Operating Assumptions'!$G13="$/Pet/Month",(DY$36*'Operating Assumptions'!$D$18)*('Operating Assumptions'!$H13*DY$23),IF('Operating Assumptions'!$G13="$/Parking/Month",('Operating Assumptions'!$H13*DY$23)*'Operating Assumptions'!$D$17)))))))</f>
        <v>0</v>
      </c>
      <c r="DZ46" s="427">
        <f>IF(OR(DZ$9&lt;'Operating Assumptions'!$D$53,DZ$6&gt;'Operating Assumptions'!$AA$8,'Operating Assumptions'!$G13="N/A"),0,IF('Operating Assumptions'!$G13="$/Unit/Annual",(('Operating Assumptions'!$H13*DZ$23)*DZ$36)/12,IF('Operating Assumptions'!$G13="$/Unit/Month",('Operating Assumptions'!$H13*DZ$23)*DZ$36,IF('Operating Assumptions'!$G13="Fixed Amount",('Operating Assumptions'!$H13*DZ$23)/12,IF('Operating Assumptions'!$G13="$/Garage/Month",('Operating Assumptions'!$H13*DZ$23)*'Operating Assumptions'!$D$16,IF('Operating Assumptions'!$G13="$/Pet/Month",(DZ$36*'Operating Assumptions'!$D$18)*('Operating Assumptions'!$H13*DZ$23),IF('Operating Assumptions'!$G13="$/Parking/Month",('Operating Assumptions'!$H13*DZ$23)*'Operating Assumptions'!$D$17)))))))</f>
        <v>0</v>
      </c>
      <c r="EA46" s="427">
        <f>IF(OR(EA$9&lt;'Operating Assumptions'!$D$53,EA$6&gt;'Operating Assumptions'!$AA$8,'Operating Assumptions'!$G13="N/A"),0,IF('Operating Assumptions'!$G13="$/Unit/Annual",(('Operating Assumptions'!$H13*EA$23)*EA$36)/12,IF('Operating Assumptions'!$G13="$/Unit/Month",('Operating Assumptions'!$H13*EA$23)*EA$36,IF('Operating Assumptions'!$G13="Fixed Amount",('Operating Assumptions'!$H13*EA$23)/12,IF('Operating Assumptions'!$G13="$/Garage/Month",('Operating Assumptions'!$H13*EA$23)*'Operating Assumptions'!$D$16,IF('Operating Assumptions'!$G13="$/Pet/Month",(EA$36*'Operating Assumptions'!$D$18)*('Operating Assumptions'!$H13*EA$23),IF('Operating Assumptions'!$G13="$/Parking/Month",('Operating Assumptions'!$H13*EA$23)*'Operating Assumptions'!$D$17)))))))</f>
        <v>0</v>
      </c>
      <c r="EB46" s="427">
        <f>IF(OR(EB$9&lt;'Operating Assumptions'!$D$53,EB$6&gt;'Operating Assumptions'!$AA$8,'Operating Assumptions'!$G13="N/A"),0,IF('Operating Assumptions'!$G13="$/Unit/Annual",(('Operating Assumptions'!$H13*EB$23)*EB$36)/12,IF('Operating Assumptions'!$G13="$/Unit/Month",('Operating Assumptions'!$H13*EB$23)*EB$36,IF('Operating Assumptions'!$G13="Fixed Amount",('Operating Assumptions'!$H13*EB$23)/12,IF('Operating Assumptions'!$G13="$/Garage/Month",('Operating Assumptions'!$H13*EB$23)*'Operating Assumptions'!$D$16,IF('Operating Assumptions'!$G13="$/Pet/Month",(EB$36*'Operating Assumptions'!$D$18)*('Operating Assumptions'!$H13*EB$23),IF('Operating Assumptions'!$G13="$/Parking/Month",('Operating Assumptions'!$H13*EB$23)*'Operating Assumptions'!$D$17)))))))</f>
        <v>0</v>
      </c>
      <c r="EC46" s="427">
        <f>IF(OR(EC$9&lt;'Operating Assumptions'!$D$53,EC$6&gt;'Operating Assumptions'!$AA$8,'Operating Assumptions'!$G13="N/A"),0,IF('Operating Assumptions'!$G13="$/Unit/Annual",(('Operating Assumptions'!$H13*EC$23)*EC$36)/12,IF('Operating Assumptions'!$G13="$/Unit/Month",('Operating Assumptions'!$H13*EC$23)*EC$36,IF('Operating Assumptions'!$G13="Fixed Amount",('Operating Assumptions'!$H13*EC$23)/12,IF('Operating Assumptions'!$G13="$/Garage/Month",('Operating Assumptions'!$H13*EC$23)*'Operating Assumptions'!$D$16,IF('Operating Assumptions'!$G13="$/Pet/Month",(EC$36*'Operating Assumptions'!$D$18)*('Operating Assumptions'!$H13*EC$23),IF('Operating Assumptions'!$G13="$/Parking/Month",('Operating Assumptions'!$H13*EC$23)*'Operating Assumptions'!$D$17)))))))</f>
        <v>0</v>
      </c>
      <c r="ED46" s="427">
        <f>IF(OR(ED$9&lt;'Operating Assumptions'!$D$53,ED$6&gt;'Operating Assumptions'!$AA$8,'Operating Assumptions'!$G13="N/A"),0,IF('Operating Assumptions'!$G13="$/Unit/Annual",(('Operating Assumptions'!$H13*ED$23)*ED$36)/12,IF('Operating Assumptions'!$G13="$/Unit/Month",('Operating Assumptions'!$H13*ED$23)*ED$36,IF('Operating Assumptions'!$G13="Fixed Amount",('Operating Assumptions'!$H13*ED$23)/12,IF('Operating Assumptions'!$G13="$/Garage/Month",('Operating Assumptions'!$H13*ED$23)*'Operating Assumptions'!$D$16,IF('Operating Assumptions'!$G13="$/Pet/Month",(ED$36*'Operating Assumptions'!$D$18)*('Operating Assumptions'!$H13*ED$23),IF('Operating Assumptions'!$G13="$/Parking/Month",('Operating Assumptions'!$H13*ED$23)*'Operating Assumptions'!$D$17)))))))</f>
        <v>0</v>
      </c>
      <c r="EE46" s="427">
        <f>IF(OR(EE$9&lt;'Operating Assumptions'!$D$53,EE$6&gt;'Operating Assumptions'!$AA$8,'Operating Assumptions'!$G13="N/A"),0,IF('Operating Assumptions'!$G13="$/Unit/Annual",(('Operating Assumptions'!$H13*EE$23)*EE$36)/12,IF('Operating Assumptions'!$G13="$/Unit/Month",('Operating Assumptions'!$H13*EE$23)*EE$36,IF('Operating Assumptions'!$G13="Fixed Amount",('Operating Assumptions'!$H13*EE$23)/12,IF('Operating Assumptions'!$G13="$/Garage/Month",('Operating Assumptions'!$H13*EE$23)*'Operating Assumptions'!$D$16,IF('Operating Assumptions'!$G13="$/Pet/Month",(EE$36*'Operating Assumptions'!$D$18)*('Operating Assumptions'!$H13*EE$23),IF('Operating Assumptions'!$G13="$/Parking/Month",('Operating Assumptions'!$H13*EE$23)*'Operating Assumptions'!$D$17)))))))</f>
        <v>0</v>
      </c>
      <c r="EF46" s="427">
        <f>IF(OR(EF$9&lt;'Operating Assumptions'!$D$53,EF$6&gt;'Operating Assumptions'!$AA$8,'Operating Assumptions'!$G13="N/A"),0,IF('Operating Assumptions'!$G13="$/Unit/Annual",(('Operating Assumptions'!$H13*EF$23)*EF$36)/12,IF('Operating Assumptions'!$G13="$/Unit/Month",('Operating Assumptions'!$H13*EF$23)*EF$36,IF('Operating Assumptions'!$G13="Fixed Amount",('Operating Assumptions'!$H13*EF$23)/12,IF('Operating Assumptions'!$G13="$/Garage/Month",('Operating Assumptions'!$H13*EF$23)*'Operating Assumptions'!$D$16,IF('Operating Assumptions'!$G13="$/Pet/Month",(EF$36*'Operating Assumptions'!$D$18)*('Operating Assumptions'!$H13*EF$23),IF('Operating Assumptions'!$G13="$/Parking/Month",('Operating Assumptions'!$H13*EF$23)*'Operating Assumptions'!$D$17)))))))</f>
        <v>0</v>
      </c>
      <c r="EG46" s="427">
        <f>IF(OR(EG$9&lt;'Operating Assumptions'!$D$53,EG$6&gt;'Operating Assumptions'!$AA$8,'Operating Assumptions'!$G13="N/A"),0,IF('Operating Assumptions'!$G13="$/Unit/Annual",(('Operating Assumptions'!$H13*EG$23)*EG$36)/12,IF('Operating Assumptions'!$G13="$/Unit/Month",('Operating Assumptions'!$H13*EG$23)*EG$36,IF('Operating Assumptions'!$G13="Fixed Amount",('Operating Assumptions'!$H13*EG$23)/12,IF('Operating Assumptions'!$G13="$/Garage/Month",('Operating Assumptions'!$H13*EG$23)*'Operating Assumptions'!$D$16,IF('Operating Assumptions'!$G13="$/Pet/Month",(EG$36*'Operating Assumptions'!$D$18)*('Operating Assumptions'!$H13*EG$23),IF('Operating Assumptions'!$G13="$/Parking/Month",('Operating Assumptions'!$H13*EG$23)*'Operating Assumptions'!$D$17)))))))</f>
        <v>0</v>
      </c>
      <c r="EH46" s="427">
        <f>IF(OR(EH$9&lt;'Operating Assumptions'!$D$53,EH$6&gt;'Operating Assumptions'!$AA$8,'Operating Assumptions'!$G13="N/A"),0,IF('Operating Assumptions'!$G13="$/Unit/Annual",(('Operating Assumptions'!$H13*EH$23)*EH$36)/12,IF('Operating Assumptions'!$G13="$/Unit/Month",('Operating Assumptions'!$H13*EH$23)*EH$36,IF('Operating Assumptions'!$G13="Fixed Amount",('Operating Assumptions'!$H13*EH$23)/12,IF('Operating Assumptions'!$G13="$/Garage/Month",('Operating Assumptions'!$H13*EH$23)*'Operating Assumptions'!$D$16,IF('Operating Assumptions'!$G13="$/Pet/Month",(EH$36*'Operating Assumptions'!$D$18)*('Operating Assumptions'!$H13*EH$23),IF('Operating Assumptions'!$G13="$/Parking/Month",('Operating Assumptions'!$H13*EH$23)*'Operating Assumptions'!$D$17)))))))</f>
        <v>0</v>
      </c>
      <c r="EI46" s="427">
        <f>IF(OR(EI$9&lt;'Operating Assumptions'!$D$53,EI$6&gt;'Operating Assumptions'!$AA$8,'Operating Assumptions'!$G13="N/A"),0,IF('Operating Assumptions'!$G13="$/Unit/Annual",(('Operating Assumptions'!$H13*EI$23)*EI$36)/12,IF('Operating Assumptions'!$G13="$/Unit/Month",('Operating Assumptions'!$H13*EI$23)*EI$36,IF('Operating Assumptions'!$G13="Fixed Amount",('Operating Assumptions'!$H13*EI$23)/12,IF('Operating Assumptions'!$G13="$/Garage/Month",('Operating Assumptions'!$H13*EI$23)*'Operating Assumptions'!$D$16,IF('Operating Assumptions'!$G13="$/Pet/Month",(EI$36*'Operating Assumptions'!$D$18)*('Operating Assumptions'!$H13*EI$23),IF('Operating Assumptions'!$G13="$/Parking/Month",('Operating Assumptions'!$H13*EI$23)*'Operating Assumptions'!$D$17)))))))</f>
        <v>0</v>
      </c>
      <c r="EJ46" s="427">
        <f>IF(OR(EJ$9&lt;'Operating Assumptions'!$D$53,EJ$6&gt;'Operating Assumptions'!$AA$8,'Operating Assumptions'!$G13="N/A"),0,IF('Operating Assumptions'!$G13="$/Unit/Annual",(('Operating Assumptions'!$H13*EJ$23)*EJ$36)/12,IF('Operating Assumptions'!$G13="$/Unit/Month",('Operating Assumptions'!$H13*EJ$23)*EJ$36,IF('Operating Assumptions'!$G13="Fixed Amount",('Operating Assumptions'!$H13*EJ$23)/12,IF('Operating Assumptions'!$G13="$/Garage/Month",('Operating Assumptions'!$H13*EJ$23)*'Operating Assumptions'!$D$16,IF('Operating Assumptions'!$G13="$/Pet/Month",(EJ$36*'Operating Assumptions'!$D$18)*('Operating Assumptions'!$H13*EJ$23),IF('Operating Assumptions'!$G13="$/Parking/Month",('Operating Assumptions'!$H13*EJ$23)*'Operating Assumptions'!$D$17)))))))</f>
        <v>0</v>
      </c>
      <c r="EK46" s="427">
        <f>IF(OR(EK$9&lt;'Operating Assumptions'!$D$53,EK$6&gt;'Operating Assumptions'!$AA$8,'Operating Assumptions'!$G13="N/A"),0,IF('Operating Assumptions'!$G13="$/Unit/Annual",(('Operating Assumptions'!$H13*EK$23)*EK$36)/12,IF('Operating Assumptions'!$G13="$/Unit/Month",('Operating Assumptions'!$H13*EK$23)*EK$36,IF('Operating Assumptions'!$G13="Fixed Amount",('Operating Assumptions'!$H13*EK$23)/12,IF('Operating Assumptions'!$G13="$/Garage/Month",('Operating Assumptions'!$H13*EK$23)*'Operating Assumptions'!$D$16,IF('Operating Assumptions'!$G13="$/Pet/Month",(EK$36*'Operating Assumptions'!$D$18)*('Operating Assumptions'!$H13*EK$23),IF('Operating Assumptions'!$G13="$/Parking/Month",('Operating Assumptions'!$H13*EK$23)*'Operating Assumptions'!$D$17)))))))</f>
        <v>0</v>
      </c>
      <c r="EL46" s="427">
        <f>IF(OR(EL$9&lt;'Operating Assumptions'!$D$53,EL$6&gt;'Operating Assumptions'!$AA$8,'Operating Assumptions'!$G13="N/A"),0,IF('Operating Assumptions'!$G13="$/Unit/Annual",(('Operating Assumptions'!$H13*EL$23)*EL$36)/12,IF('Operating Assumptions'!$G13="$/Unit/Month",('Operating Assumptions'!$H13*EL$23)*EL$36,IF('Operating Assumptions'!$G13="Fixed Amount",('Operating Assumptions'!$H13*EL$23)/12,IF('Operating Assumptions'!$G13="$/Garage/Month",('Operating Assumptions'!$H13*EL$23)*'Operating Assumptions'!$D$16,IF('Operating Assumptions'!$G13="$/Pet/Month",(EL$36*'Operating Assumptions'!$D$18)*('Operating Assumptions'!$H13*EL$23),IF('Operating Assumptions'!$G13="$/Parking/Month",('Operating Assumptions'!$H13*EL$23)*'Operating Assumptions'!$D$17)))))))</f>
        <v>0</v>
      </c>
      <c r="EM46" s="427">
        <f>IF(OR(EM$9&lt;'Operating Assumptions'!$D$53,EM$6&gt;'Operating Assumptions'!$AA$8,'Operating Assumptions'!$G13="N/A"),0,IF('Operating Assumptions'!$G13="$/Unit/Annual",(('Operating Assumptions'!$H13*EM$23)*EM$36)/12,IF('Operating Assumptions'!$G13="$/Unit/Month",('Operating Assumptions'!$H13*EM$23)*EM$36,IF('Operating Assumptions'!$G13="Fixed Amount",('Operating Assumptions'!$H13*EM$23)/12,IF('Operating Assumptions'!$G13="$/Garage/Month",('Operating Assumptions'!$H13*EM$23)*'Operating Assumptions'!$D$16,IF('Operating Assumptions'!$G13="$/Pet/Month",(EM$36*'Operating Assumptions'!$D$18)*('Operating Assumptions'!$H13*EM$23),IF('Operating Assumptions'!$G13="$/Parking/Month",('Operating Assumptions'!$H13*EM$23)*'Operating Assumptions'!$D$17)))))))</f>
        <v>0</v>
      </c>
      <c r="EN46" s="427">
        <f>IF(OR(EN$9&lt;'Operating Assumptions'!$D$53,EN$6&gt;'Operating Assumptions'!$AA$8,'Operating Assumptions'!$G13="N/A"),0,IF('Operating Assumptions'!$G13="$/Unit/Annual",(('Operating Assumptions'!$H13*EN$23)*EN$36)/12,IF('Operating Assumptions'!$G13="$/Unit/Month",('Operating Assumptions'!$H13*EN$23)*EN$36,IF('Operating Assumptions'!$G13="Fixed Amount",('Operating Assumptions'!$H13*EN$23)/12,IF('Operating Assumptions'!$G13="$/Garage/Month",('Operating Assumptions'!$H13*EN$23)*'Operating Assumptions'!$D$16,IF('Operating Assumptions'!$G13="$/Pet/Month",(EN$36*'Operating Assumptions'!$D$18)*('Operating Assumptions'!$H13*EN$23),IF('Operating Assumptions'!$G13="$/Parking/Month",('Operating Assumptions'!$H13*EN$23)*'Operating Assumptions'!$D$17)))))))</f>
        <v>0</v>
      </c>
      <c r="EO46" s="427">
        <f>IF(OR(EO$9&lt;'Operating Assumptions'!$D$53,EO$6&gt;'Operating Assumptions'!$AA$8,'Operating Assumptions'!$G13="N/A"),0,IF('Operating Assumptions'!$G13="$/Unit/Annual",(('Operating Assumptions'!$H13*EO$23)*EO$36)/12,IF('Operating Assumptions'!$G13="$/Unit/Month",('Operating Assumptions'!$H13*EO$23)*EO$36,IF('Operating Assumptions'!$G13="Fixed Amount",('Operating Assumptions'!$H13*EO$23)/12,IF('Operating Assumptions'!$G13="$/Garage/Month",('Operating Assumptions'!$H13*EO$23)*'Operating Assumptions'!$D$16,IF('Operating Assumptions'!$G13="$/Pet/Month",(EO$36*'Operating Assumptions'!$D$18)*('Operating Assumptions'!$H13*EO$23),IF('Operating Assumptions'!$G13="$/Parking/Month",('Operating Assumptions'!$H13*EO$23)*'Operating Assumptions'!$D$17)))))))</f>
        <v>0</v>
      </c>
      <c r="EP46" s="427">
        <f>IF(OR(EP$9&lt;'Operating Assumptions'!$D$53,EP$6&gt;'Operating Assumptions'!$AA$8,'Operating Assumptions'!$G13="N/A"),0,IF('Operating Assumptions'!$G13="$/Unit/Annual",(('Operating Assumptions'!$H13*EP$23)*EP$36)/12,IF('Operating Assumptions'!$G13="$/Unit/Month",('Operating Assumptions'!$H13*EP$23)*EP$36,IF('Operating Assumptions'!$G13="Fixed Amount",('Operating Assumptions'!$H13*EP$23)/12,IF('Operating Assumptions'!$G13="$/Garage/Month",('Operating Assumptions'!$H13*EP$23)*'Operating Assumptions'!$D$16,IF('Operating Assumptions'!$G13="$/Pet/Month",(EP$36*'Operating Assumptions'!$D$18)*('Operating Assumptions'!$H13*EP$23),IF('Operating Assumptions'!$G13="$/Parking/Month",('Operating Assumptions'!$H13*EP$23)*'Operating Assumptions'!$D$17)))))))</f>
        <v>0</v>
      </c>
      <c r="EQ46" s="427">
        <f>IF(OR(EQ$9&lt;'Operating Assumptions'!$D$53,EQ$6&gt;'Operating Assumptions'!$AA$8,'Operating Assumptions'!$G13="N/A"),0,IF('Operating Assumptions'!$G13="$/Unit/Annual",(('Operating Assumptions'!$H13*EQ$23)*EQ$36)/12,IF('Operating Assumptions'!$G13="$/Unit/Month",('Operating Assumptions'!$H13*EQ$23)*EQ$36,IF('Operating Assumptions'!$G13="Fixed Amount",('Operating Assumptions'!$H13*EQ$23)/12,IF('Operating Assumptions'!$G13="$/Garage/Month",('Operating Assumptions'!$H13*EQ$23)*'Operating Assumptions'!$D$16,IF('Operating Assumptions'!$G13="$/Pet/Month",(EQ$36*'Operating Assumptions'!$D$18)*('Operating Assumptions'!$H13*EQ$23),IF('Operating Assumptions'!$G13="$/Parking/Month",('Operating Assumptions'!$H13*EQ$23)*'Operating Assumptions'!$D$17)))))))</f>
        <v>0</v>
      </c>
      <c r="ER46" s="427">
        <f>IF(OR(ER$9&lt;'Operating Assumptions'!$D$53,ER$6&gt;'Operating Assumptions'!$AA$8,'Operating Assumptions'!$G13="N/A"),0,IF('Operating Assumptions'!$G13="$/Unit/Annual",(('Operating Assumptions'!$H13*ER$23)*ER$36)/12,IF('Operating Assumptions'!$G13="$/Unit/Month",('Operating Assumptions'!$H13*ER$23)*ER$36,IF('Operating Assumptions'!$G13="Fixed Amount",('Operating Assumptions'!$H13*ER$23)/12,IF('Operating Assumptions'!$G13="$/Garage/Month",('Operating Assumptions'!$H13*ER$23)*'Operating Assumptions'!$D$16,IF('Operating Assumptions'!$G13="$/Pet/Month",(ER$36*'Operating Assumptions'!$D$18)*('Operating Assumptions'!$H13*ER$23),IF('Operating Assumptions'!$G13="$/Parking/Month",('Operating Assumptions'!$H13*ER$23)*'Operating Assumptions'!$D$17)))))))</f>
        <v>0</v>
      </c>
      <c r="ES46" s="427">
        <f>IF(OR(ES$9&lt;'Operating Assumptions'!$D$53,ES$6&gt;'Operating Assumptions'!$AA$8,'Operating Assumptions'!$G13="N/A"),0,IF('Operating Assumptions'!$G13="$/Unit/Annual",(('Operating Assumptions'!$H13*ES$23)*ES$36)/12,IF('Operating Assumptions'!$G13="$/Unit/Month",('Operating Assumptions'!$H13*ES$23)*ES$36,IF('Operating Assumptions'!$G13="Fixed Amount",('Operating Assumptions'!$H13*ES$23)/12,IF('Operating Assumptions'!$G13="$/Garage/Month",('Operating Assumptions'!$H13*ES$23)*'Operating Assumptions'!$D$16,IF('Operating Assumptions'!$G13="$/Pet/Month",(ES$36*'Operating Assumptions'!$D$18)*('Operating Assumptions'!$H13*ES$23),IF('Operating Assumptions'!$G13="$/Parking/Month",('Operating Assumptions'!$H13*ES$23)*'Operating Assumptions'!$D$17)))))))</f>
        <v>0</v>
      </c>
      <c r="ET46" s="427">
        <f>IF(OR(ET$9&lt;'Operating Assumptions'!$D$53,ET$6&gt;'Operating Assumptions'!$AA$8,'Operating Assumptions'!$G13="N/A"),0,IF('Operating Assumptions'!$G13="$/Unit/Annual",(('Operating Assumptions'!$H13*ET$23)*ET$36)/12,IF('Operating Assumptions'!$G13="$/Unit/Month",('Operating Assumptions'!$H13*ET$23)*ET$36,IF('Operating Assumptions'!$G13="Fixed Amount",('Operating Assumptions'!$H13*ET$23)/12,IF('Operating Assumptions'!$G13="$/Garage/Month",('Operating Assumptions'!$H13*ET$23)*'Operating Assumptions'!$D$16,IF('Operating Assumptions'!$G13="$/Pet/Month",(ET$36*'Operating Assumptions'!$D$18)*('Operating Assumptions'!$H13*ET$23),IF('Operating Assumptions'!$G13="$/Parking/Month",('Operating Assumptions'!$H13*ET$23)*'Operating Assumptions'!$D$17)))))))</f>
        <v>0</v>
      </c>
      <c r="EU46" s="427">
        <f>IF(OR(EU$9&lt;'Operating Assumptions'!$D$53,EU$6&gt;'Operating Assumptions'!$AA$8,'Operating Assumptions'!$G13="N/A"),0,IF('Operating Assumptions'!$G13="$/Unit/Annual",(('Operating Assumptions'!$H13*EU$23)*EU$36)/12,IF('Operating Assumptions'!$G13="$/Unit/Month",('Operating Assumptions'!$H13*EU$23)*EU$36,IF('Operating Assumptions'!$G13="Fixed Amount",('Operating Assumptions'!$H13*EU$23)/12,IF('Operating Assumptions'!$G13="$/Garage/Month",('Operating Assumptions'!$H13*EU$23)*'Operating Assumptions'!$D$16,IF('Operating Assumptions'!$G13="$/Pet/Month",(EU$36*'Operating Assumptions'!$D$18)*('Operating Assumptions'!$H13*EU$23),IF('Operating Assumptions'!$G13="$/Parking/Month",('Operating Assumptions'!$H13*EU$23)*'Operating Assumptions'!$D$17)))))))</f>
        <v>0</v>
      </c>
      <c r="EV46" s="427">
        <f>IF(OR(EV$9&lt;'Operating Assumptions'!$D$53,EV$6&gt;'Operating Assumptions'!$AA$8,'Operating Assumptions'!$G13="N/A"),0,IF('Operating Assumptions'!$G13="$/Unit/Annual",(('Operating Assumptions'!$H13*EV$23)*EV$36)/12,IF('Operating Assumptions'!$G13="$/Unit/Month",('Operating Assumptions'!$H13*EV$23)*EV$36,IF('Operating Assumptions'!$G13="Fixed Amount",('Operating Assumptions'!$H13*EV$23)/12,IF('Operating Assumptions'!$G13="$/Garage/Month",('Operating Assumptions'!$H13*EV$23)*'Operating Assumptions'!$D$16,IF('Operating Assumptions'!$G13="$/Pet/Month",(EV$36*'Operating Assumptions'!$D$18)*('Operating Assumptions'!$H13*EV$23),IF('Operating Assumptions'!$G13="$/Parking/Month",('Operating Assumptions'!$H13*EV$23)*'Operating Assumptions'!$D$17)))))))</f>
        <v>0</v>
      </c>
      <c r="EW46" s="427">
        <f>IF(OR(EW$9&lt;'Operating Assumptions'!$D$53,EW$6&gt;'Operating Assumptions'!$AA$8,'Operating Assumptions'!$G13="N/A"),0,IF('Operating Assumptions'!$G13="$/Unit/Annual",(('Operating Assumptions'!$H13*EW$23)*EW$36)/12,IF('Operating Assumptions'!$G13="$/Unit/Month",('Operating Assumptions'!$H13*EW$23)*EW$36,IF('Operating Assumptions'!$G13="Fixed Amount",('Operating Assumptions'!$H13*EW$23)/12,IF('Operating Assumptions'!$G13="$/Garage/Month",('Operating Assumptions'!$H13*EW$23)*'Operating Assumptions'!$D$16,IF('Operating Assumptions'!$G13="$/Pet/Month",(EW$36*'Operating Assumptions'!$D$18)*('Operating Assumptions'!$H13*EW$23),IF('Operating Assumptions'!$G13="$/Parking/Month",('Operating Assumptions'!$H13*EW$23)*'Operating Assumptions'!$D$17)))))))</f>
        <v>0</v>
      </c>
      <c r="EX46" s="427">
        <f>IF(OR(EX$9&lt;'Operating Assumptions'!$D$53,EX$6&gt;'Operating Assumptions'!$AA$8,'Operating Assumptions'!$G13="N/A"),0,IF('Operating Assumptions'!$G13="$/Unit/Annual",(('Operating Assumptions'!$H13*EX$23)*EX$36)/12,IF('Operating Assumptions'!$G13="$/Unit/Month",('Operating Assumptions'!$H13*EX$23)*EX$36,IF('Operating Assumptions'!$G13="Fixed Amount",('Operating Assumptions'!$H13*EX$23)/12,IF('Operating Assumptions'!$G13="$/Garage/Month",('Operating Assumptions'!$H13*EX$23)*'Operating Assumptions'!$D$16,IF('Operating Assumptions'!$G13="$/Pet/Month",(EX$36*'Operating Assumptions'!$D$18)*('Operating Assumptions'!$H13*EX$23),IF('Operating Assumptions'!$G13="$/Parking/Month",('Operating Assumptions'!$H13*EX$23)*'Operating Assumptions'!$D$17)))))))</f>
        <v>0</v>
      </c>
      <c r="EY46" s="427">
        <f>IF(OR(EY$9&lt;'Operating Assumptions'!$D$53,EY$6&gt;'Operating Assumptions'!$AA$8,'Operating Assumptions'!$G13="N/A"),0,IF('Operating Assumptions'!$G13="$/Unit/Annual",(('Operating Assumptions'!$H13*EY$23)*EY$36)/12,IF('Operating Assumptions'!$G13="$/Unit/Month",('Operating Assumptions'!$H13*EY$23)*EY$36,IF('Operating Assumptions'!$G13="Fixed Amount",('Operating Assumptions'!$H13*EY$23)/12,IF('Operating Assumptions'!$G13="$/Garage/Month",('Operating Assumptions'!$H13*EY$23)*'Operating Assumptions'!$D$16,IF('Operating Assumptions'!$G13="$/Pet/Month",(EY$36*'Operating Assumptions'!$D$18)*('Operating Assumptions'!$H13*EY$23),IF('Operating Assumptions'!$G13="$/Parking/Month",('Operating Assumptions'!$H13*EY$23)*'Operating Assumptions'!$D$17)))))))</f>
        <v>0</v>
      </c>
      <c r="EZ46" s="427">
        <f>IF(OR(EZ$9&lt;'Operating Assumptions'!$D$53,EZ$6&gt;'Operating Assumptions'!$AA$8,'Operating Assumptions'!$G13="N/A"),0,IF('Operating Assumptions'!$G13="$/Unit/Annual",(('Operating Assumptions'!$H13*EZ$23)*EZ$36)/12,IF('Operating Assumptions'!$G13="$/Unit/Month",('Operating Assumptions'!$H13*EZ$23)*EZ$36,IF('Operating Assumptions'!$G13="Fixed Amount",('Operating Assumptions'!$H13*EZ$23)/12,IF('Operating Assumptions'!$G13="$/Garage/Month",('Operating Assumptions'!$H13*EZ$23)*'Operating Assumptions'!$D$16,IF('Operating Assumptions'!$G13="$/Pet/Month",(EZ$36*'Operating Assumptions'!$D$18)*('Operating Assumptions'!$H13*EZ$23),IF('Operating Assumptions'!$G13="$/Parking/Month",('Operating Assumptions'!$H13*EZ$23)*'Operating Assumptions'!$D$17)))))))</f>
        <v>0</v>
      </c>
      <c r="FA46" s="427">
        <f>IF(OR(FA$9&lt;'Operating Assumptions'!$D$53,FA$6&gt;'Operating Assumptions'!$AA$8,'Operating Assumptions'!$G13="N/A"),0,IF('Operating Assumptions'!$G13="$/Unit/Annual",(('Operating Assumptions'!$H13*FA$23)*FA$36)/12,IF('Operating Assumptions'!$G13="$/Unit/Month",('Operating Assumptions'!$H13*FA$23)*FA$36,IF('Operating Assumptions'!$G13="Fixed Amount",('Operating Assumptions'!$H13*FA$23)/12,IF('Operating Assumptions'!$G13="$/Garage/Month",('Operating Assumptions'!$H13*FA$23)*'Operating Assumptions'!$D$16,IF('Operating Assumptions'!$G13="$/Pet/Month",(FA$36*'Operating Assumptions'!$D$18)*('Operating Assumptions'!$H13*FA$23),IF('Operating Assumptions'!$G13="$/Parking/Month",('Operating Assumptions'!$H13*FA$23)*'Operating Assumptions'!$D$17)))))))</f>
        <v>0</v>
      </c>
      <c r="FB46" s="427">
        <f>IF(OR(FB$9&lt;'Operating Assumptions'!$D$53,FB$6&gt;'Operating Assumptions'!$AA$8,'Operating Assumptions'!$G13="N/A"),0,IF('Operating Assumptions'!$G13="$/Unit/Annual",(('Operating Assumptions'!$H13*FB$23)*FB$36)/12,IF('Operating Assumptions'!$G13="$/Unit/Month",('Operating Assumptions'!$H13*FB$23)*FB$36,IF('Operating Assumptions'!$G13="Fixed Amount",('Operating Assumptions'!$H13*FB$23)/12,IF('Operating Assumptions'!$G13="$/Garage/Month",('Operating Assumptions'!$H13*FB$23)*'Operating Assumptions'!$D$16,IF('Operating Assumptions'!$G13="$/Pet/Month",(FB$36*'Operating Assumptions'!$D$18)*('Operating Assumptions'!$H13*FB$23),IF('Operating Assumptions'!$G13="$/Parking/Month",('Operating Assumptions'!$H13*FB$23)*'Operating Assumptions'!$D$17)))))))</f>
        <v>0</v>
      </c>
      <c r="FC46" s="427">
        <f>IF(OR(FC$9&lt;'Operating Assumptions'!$D$53,FC$6&gt;'Operating Assumptions'!$AA$8,'Operating Assumptions'!$G13="N/A"),0,IF('Operating Assumptions'!$G13="$/Unit/Annual",(('Operating Assumptions'!$H13*FC$23)*FC$36)/12,IF('Operating Assumptions'!$G13="$/Unit/Month",('Operating Assumptions'!$H13*FC$23)*FC$36,IF('Operating Assumptions'!$G13="Fixed Amount",('Operating Assumptions'!$H13*FC$23)/12,IF('Operating Assumptions'!$G13="$/Garage/Month",('Operating Assumptions'!$H13*FC$23)*'Operating Assumptions'!$D$16,IF('Operating Assumptions'!$G13="$/Pet/Month",(FC$36*'Operating Assumptions'!$D$18)*('Operating Assumptions'!$H13*FC$23),IF('Operating Assumptions'!$G13="$/Parking/Month",('Operating Assumptions'!$H13*FC$23)*'Operating Assumptions'!$D$17)))))))</f>
        <v>0</v>
      </c>
      <c r="FD46" s="427">
        <f>IF(OR(FD$9&lt;'Operating Assumptions'!$D$53,FD$6&gt;'Operating Assumptions'!$AA$8,'Operating Assumptions'!$G13="N/A"),0,IF('Operating Assumptions'!$G13="$/Unit/Annual",(('Operating Assumptions'!$H13*FD$23)*FD$36)/12,IF('Operating Assumptions'!$G13="$/Unit/Month",('Operating Assumptions'!$H13*FD$23)*FD$36,IF('Operating Assumptions'!$G13="Fixed Amount",('Operating Assumptions'!$H13*FD$23)/12,IF('Operating Assumptions'!$G13="$/Garage/Month",('Operating Assumptions'!$H13*FD$23)*'Operating Assumptions'!$D$16,IF('Operating Assumptions'!$G13="$/Pet/Month",(FD$36*'Operating Assumptions'!$D$18)*('Operating Assumptions'!$H13*FD$23),IF('Operating Assumptions'!$G13="$/Parking/Month",('Operating Assumptions'!$H13*FD$23)*'Operating Assumptions'!$D$17)))))))</f>
        <v>0</v>
      </c>
      <c r="FE46" s="427">
        <f>IF(OR(FE$9&lt;'Operating Assumptions'!$D$53,FE$6&gt;'Operating Assumptions'!$AA$8,'Operating Assumptions'!$G13="N/A"),0,IF('Operating Assumptions'!$G13="$/Unit/Annual",(('Operating Assumptions'!$H13*FE$23)*FE$36)/12,IF('Operating Assumptions'!$G13="$/Unit/Month",('Operating Assumptions'!$H13*FE$23)*FE$36,IF('Operating Assumptions'!$G13="Fixed Amount",('Operating Assumptions'!$H13*FE$23)/12,IF('Operating Assumptions'!$G13="$/Garage/Month",('Operating Assumptions'!$H13*FE$23)*'Operating Assumptions'!$D$16,IF('Operating Assumptions'!$G13="$/Pet/Month",(FE$36*'Operating Assumptions'!$D$18)*('Operating Assumptions'!$H13*FE$23),IF('Operating Assumptions'!$G13="$/Parking/Month",('Operating Assumptions'!$H13*FE$23)*'Operating Assumptions'!$D$17)))))))</f>
        <v>0</v>
      </c>
      <c r="FF46" s="427">
        <f>IF(OR(FF$9&lt;'Operating Assumptions'!$D$53,FF$6&gt;'Operating Assumptions'!$AA$8,'Operating Assumptions'!$G13="N/A"),0,IF('Operating Assumptions'!$G13="$/Unit/Annual",(('Operating Assumptions'!$H13*FF$23)*FF$36)/12,IF('Operating Assumptions'!$G13="$/Unit/Month",('Operating Assumptions'!$H13*FF$23)*FF$36,IF('Operating Assumptions'!$G13="Fixed Amount",('Operating Assumptions'!$H13*FF$23)/12,IF('Operating Assumptions'!$G13="$/Garage/Month",('Operating Assumptions'!$H13*FF$23)*'Operating Assumptions'!$D$16,IF('Operating Assumptions'!$G13="$/Pet/Month",(FF$36*'Operating Assumptions'!$D$18)*('Operating Assumptions'!$H13*FF$23),IF('Operating Assumptions'!$G13="$/Parking/Month",('Operating Assumptions'!$H13*FF$23)*'Operating Assumptions'!$D$17)))))))</f>
        <v>0</v>
      </c>
      <c r="FG46" s="427">
        <f>IF(OR(FG$9&lt;'Operating Assumptions'!$D$53,FG$6&gt;'Operating Assumptions'!$AA$8,'Operating Assumptions'!$G13="N/A"),0,IF('Operating Assumptions'!$G13="$/Unit/Annual",(('Operating Assumptions'!$H13*FG$23)*FG$36)/12,IF('Operating Assumptions'!$G13="$/Unit/Month",('Operating Assumptions'!$H13*FG$23)*FG$36,IF('Operating Assumptions'!$G13="Fixed Amount",('Operating Assumptions'!$H13*FG$23)/12,IF('Operating Assumptions'!$G13="$/Garage/Month",('Operating Assumptions'!$H13*FG$23)*'Operating Assumptions'!$D$16,IF('Operating Assumptions'!$G13="$/Pet/Month",(FG$36*'Operating Assumptions'!$D$18)*('Operating Assumptions'!$H13*FG$23),IF('Operating Assumptions'!$G13="$/Parking/Month",('Operating Assumptions'!$H13*FG$23)*'Operating Assumptions'!$D$17)))))))</f>
        <v>0</v>
      </c>
      <c r="FH46" s="427">
        <f>IF(OR(FH$9&lt;'Operating Assumptions'!$D$53,FH$6&gt;'Operating Assumptions'!$AA$8,'Operating Assumptions'!$G13="N/A"),0,IF('Operating Assumptions'!$G13="$/Unit/Annual",(('Operating Assumptions'!$H13*FH$23)*FH$36)/12,IF('Operating Assumptions'!$G13="$/Unit/Month",('Operating Assumptions'!$H13*FH$23)*FH$36,IF('Operating Assumptions'!$G13="Fixed Amount",('Operating Assumptions'!$H13*FH$23)/12,IF('Operating Assumptions'!$G13="$/Garage/Month",('Operating Assumptions'!$H13*FH$23)*'Operating Assumptions'!$D$16,IF('Operating Assumptions'!$G13="$/Pet/Month",(FH$36*'Operating Assumptions'!$D$18)*('Operating Assumptions'!$H13*FH$23),IF('Operating Assumptions'!$G13="$/Parking/Month",('Operating Assumptions'!$H13*FH$23)*'Operating Assumptions'!$D$17)))))))</f>
        <v>0</v>
      </c>
      <c r="FI46" s="427">
        <f>IF(OR(FI$9&lt;'Operating Assumptions'!$D$53,FI$6&gt;'Operating Assumptions'!$AA$8,'Operating Assumptions'!$G13="N/A"),0,IF('Operating Assumptions'!$G13="$/Unit/Annual",(('Operating Assumptions'!$H13*FI$23)*FI$36)/12,IF('Operating Assumptions'!$G13="$/Unit/Month",('Operating Assumptions'!$H13*FI$23)*FI$36,IF('Operating Assumptions'!$G13="Fixed Amount",('Operating Assumptions'!$H13*FI$23)/12,IF('Operating Assumptions'!$G13="$/Garage/Month",('Operating Assumptions'!$H13*FI$23)*'Operating Assumptions'!$D$16,IF('Operating Assumptions'!$G13="$/Pet/Month",(FI$36*'Operating Assumptions'!$D$18)*('Operating Assumptions'!$H13*FI$23),IF('Operating Assumptions'!$G13="$/Parking/Month",('Operating Assumptions'!$H13*FI$23)*'Operating Assumptions'!$D$17)))))))</f>
        <v>0</v>
      </c>
      <c r="FJ46" s="427">
        <f>IF(OR(FJ$9&lt;'Operating Assumptions'!$D$53,FJ$6&gt;'Operating Assumptions'!$AA$8,'Operating Assumptions'!$G13="N/A"),0,IF('Operating Assumptions'!$G13="$/Unit/Annual",(('Operating Assumptions'!$H13*FJ$23)*FJ$36)/12,IF('Operating Assumptions'!$G13="$/Unit/Month",('Operating Assumptions'!$H13*FJ$23)*FJ$36,IF('Operating Assumptions'!$G13="Fixed Amount",('Operating Assumptions'!$H13*FJ$23)/12,IF('Operating Assumptions'!$G13="$/Garage/Month",('Operating Assumptions'!$H13*FJ$23)*'Operating Assumptions'!$D$16,IF('Operating Assumptions'!$G13="$/Pet/Month",(FJ$36*'Operating Assumptions'!$D$18)*('Operating Assumptions'!$H13*FJ$23),IF('Operating Assumptions'!$G13="$/Parking/Month",('Operating Assumptions'!$H13*FJ$23)*'Operating Assumptions'!$D$17)))))))</f>
        <v>0</v>
      </c>
      <c r="FK46" s="427">
        <f>IF(OR(FK$9&lt;'Operating Assumptions'!$D$53,FK$6&gt;'Operating Assumptions'!$AA$8,'Operating Assumptions'!$G13="N/A"),0,IF('Operating Assumptions'!$G13="$/Unit/Annual",(('Operating Assumptions'!$H13*FK$23)*FK$36)/12,IF('Operating Assumptions'!$G13="$/Unit/Month",('Operating Assumptions'!$H13*FK$23)*FK$36,IF('Operating Assumptions'!$G13="Fixed Amount",('Operating Assumptions'!$H13*FK$23)/12,IF('Operating Assumptions'!$G13="$/Garage/Month",('Operating Assumptions'!$H13*FK$23)*'Operating Assumptions'!$D$16,IF('Operating Assumptions'!$G13="$/Pet/Month",(FK$36*'Operating Assumptions'!$D$18)*('Operating Assumptions'!$H13*FK$23),IF('Operating Assumptions'!$G13="$/Parking/Month",('Operating Assumptions'!$H13*FK$23)*'Operating Assumptions'!$D$17)))))))</f>
        <v>0</v>
      </c>
      <c r="FL46" s="427">
        <f>IF(OR(FL$9&lt;'Operating Assumptions'!$D$53,FL$6&gt;'Operating Assumptions'!$AA$8,'Operating Assumptions'!$G13="N/A"),0,IF('Operating Assumptions'!$G13="$/Unit/Annual",(('Operating Assumptions'!$H13*FL$23)*FL$36)/12,IF('Operating Assumptions'!$G13="$/Unit/Month",('Operating Assumptions'!$H13*FL$23)*FL$36,IF('Operating Assumptions'!$G13="Fixed Amount",('Operating Assumptions'!$H13*FL$23)/12,IF('Operating Assumptions'!$G13="$/Garage/Month",('Operating Assumptions'!$H13*FL$23)*'Operating Assumptions'!$D$16,IF('Operating Assumptions'!$G13="$/Pet/Month",(FL$36*'Operating Assumptions'!$D$18)*('Operating Assumptions'!$H13*FL$23),IF('Operating Assumptions'!$G13="$/Parking/Month",('Operating Assumptions'!$H13*FL$23)*'Operating Assumptions'!$D$17)))))))</f>
        <v>0</v>
      </c>
      <c r="FM46" s="427">
        <f>IF(OR(FM$9&lt;'Operating Assumptions'!$D$53,FM$6&gt;'Operating Assumptions'!$AA$8,'Operating Assumptions'!$G13="N/A"),0,IF('Operating Assumptions'!$G13="$/Unit/Annual",(('Operating Assumptions'!$H13*FM$23)*FM$36)/12,IF('Operating Assumptions'!$G13="$/Unit/Month",('Operating Assumptions'!$H13*FM$23)*FM$36,IF('Operating Assumptions'!$G13="Fixed Amount",('Operating Assumptions'!$H13*FM$23)/12,IF('Operating Assumptions'!$G13="$/Garage/Month",('Operating Assumptions'!$H13*FM$23)*'Operating Assumptions'!$D$16,IF('Operating Assumptions'!$G13="$/Pet/Month",(FM$36*'Operating Assumptions'!$D$18)*('Operating Assumptions'!$H13*FM$23),IF('Operating Assumptions'!$G13="$/Parking/Month",('Operating Assumptions'!$H13*FM$23)*'Operating Assumptions'!$D$17)))))))</f>
        <v>0</v>
      </c>
      <c r="FN46" s="427">
        <f>IF(OR(FN$9&lt;'Operating Assumptions'!$D$53,FN$6&gt;'Operating Assumptions'!$AA$8,'Operating Assumptions'!$G13="N/A"),0,IF('Operating Assumptions'!$G13="$/Unit/Annual",(('Operating Assumptions'!$H13*FN$23)*FN$36)/12,IF('Operating Assumptions'!$G13="$/Unit/Month",('Operating Assumptions'!$H13*FN$23)*FN$36,IF('Operating Assumptions'!$G13="Fixed Amount",('Operating Assumptions'!$H13*FN$23)/12,IF('Operating Assumptions'!$G13="$/Garage/Month",('Operating Assumptions'!$H13*FN$23)*'Operating Assumptions'!$D$16,IF('Operating Assumptions'!$G13="$/Pet/Month",(FN$36*'Operating Assumptions'!$D$18)*('Operating Assumptions'!$H13*FN$23),IF('Operating Assumptions'!$G13="$/Parking/Month",('Operating Assumptions'!$H13*FN$23)*'Operating Assumptions'!$D$17)))))))</f>
        <v>0</v>
      </c>
      <c r="FO46" s="427">
        <f>IF(OR(FO$9&lt;'Operating Assumptions'!$D$53,FO$6&gt;'Operating Assumptions'!$AA$8,'Operating Assumptions'!$G13="N/A"),0,IF('Operating Assumptions'!$G13="$/Unit/Annual",(('Operating Assumptions'!$H13*FO$23)*FO$36)/12,IF('Operating Assumptions'!$G13="$/Unit/Month",('Operating Assumptions'!$H13*FO$23)*FO$36,IF('Operating Assumptions'!$G13="Fixed Amount",('Operating Assumptions'!$H13*FO$23)/12,IF('Operating Assumptions'!$G13="$/Garage/Month",('Operating Assumptions'!$H13*FO$23)*'Operating Assumptions'!$D$16,IF('Operating Assumptions'!$G13="$/Pet/Month",(FO$36*'Operating Assumptions'!$D$18)*('Operating Assumptions'!$H13*FO$23),IF('Operating Assumptions'!$G13="$/Parking/Month",('Operating Assumptions'!$H13*FO$23)*'Operating Assumptions'!$D$17)))))))</f>
        <v>0</v>
      </c>
      <c r="FP46" s="427">
        <f>IF(OR(FP$9&lt;'Operating Assumptions'!$D$53,FP$6&gt;'Operating Assumptions'!$AA$8,'Operating Assumptions'!$G13="N/A"),0,IF('Operating Assumptions'!$G13="$/Unit/Annual",(('Operating Assumptions'!$H13*FP$23)*FP$36)/12,IF('Operating Assumptions'!$G13="$/Unit/Month",('Operating Assumptions'!$H13*FP$23)*FP$36,IF('Operating Assumptions'!$G13="Fixed Amount",('Operating Assumptions'!$H13*FP$23)/12,IF('Operating Assumptions'!$G13="$/Garage/Month",('Operating Assumptions'!$H13*FP$23)*'Operating Assumptions'!$D$16,IF('Operating Assumptions'!$G13="$/Pet/Month",(FP$36*'Operating Assumptions'!$D$18)*('Operating Assumptions'!$H13*FP$23),IF('Operating Assumptions'!$G13="$/Parking/Month",('Operating Assumptions'!$H13*FP$23)*'Operating Assumptions'!$D$17)))))))</f>
        <v>0</v>
      </c>
      <c r="FQ46" s="427">
        <f>IF(OR(FQ$9&lt;'Operating Assumptions'!$D$53,FQ$6&gt;'Operating Assumptions'!$AA$8,'Operating Assumptions'!$G13="N/A"),0,IF('Operating Assumptions'!$G13="$/Unit/Annual",(('Operating Assumptions'!$H13*FQ$23)*FQ$36)/12,IF('Operating Assumptions'!$G13="$/Unit/Month",('Operating Assumptions'!$H13*FQ$23)*FQ$36,IF('Operating Assumptions'!$G13="Fixed Amount",('Operating Assumptions'!$H13*FQ$23)/12,IF('Operating Assumptions'!$G13="$/Garage/Month",('Operating Assumptions'!$H13*FQ$23)*'Operating Assumptions'!$D$16,IF('Operating Assumptions'!$G13="$/Pet/Month",(FQ$36*'Operating Assumptions'!$D$18)*('Operating Assumptions'!$H13*FQ$23),IF('Operating Assumptions'!$G13="$/Parking/Month",('Operating Assumptions'!$H13*FQ$23)*'Operating Assumptions'!$D$17)))))))</f>
        <v>0</v>
      </c>
      <c r="FR46" s="427">
        <f>IF(OR(FR$9&lt;'Operating Assumptions'!$D$53,FR$6&gt;'Operating Assumptions'!$AA$8,'Operating Assumptions'!$G13="N/A"),0,IF('Operating Assumptions'!$G13="$/Unit/Annual",(('Operating Assumptions'!$H13*FR$23)*FR$36)/12,IF('Operating Assumptions'!$G13="$/Unit/Month",('Operating Assumptions'!$H13*FR$23)*FR$36,IF('Operating Assumptions'!$G13="Fixed Amount",('Operating Assumptions'!$H13*FR$23)/12,IF('Operating Assumptions'!$G13="$/Garage/Month",('Operating Assumptions'!$H13*FR$23)*'Operating Assumptions'!$D$16,IF('Operating Assumptions'!$G13="$/Pet/Month",(FR$36*'Operating Assumptions'!$D$18)*('Operating Assumptions'!$H13*FR$23),IF('Operating Assumptions'!$G13="$/Parking/Month",('Operating Assumptions'!$H13*FR$23)*'Operating Assumptions'!$D$17)))))))</f>
        <v>0</v>
      </c>
      <c r="FS46" s="427">
        <f>IF(OR(FS$9&lt;'Operating Assumptions'!$D$53,FS$6&gt;'Operating Assumptions'!$AA$8,'Operating Assumptions'!$G13="N/A"),0,IF('Operating Assumptions'!$G13="$/Unit/Annual",(('Operating Assumptions'!$H13*FS$23)*FS$36)/12,IF('Operating Assumptions'!$G13="$/Unit/Month",('Operating Assumptions'!$H13*FS$23)*FS$36,IF('Operating Assumptions'!$G13="Fixed Amount",('Operating Assumptions'!$H13*FS$23)/12,IF('Operating Assumptions'!$G13="$/Garage/Month",('Operating Assumptions'!$H13*FS$23)*'Operating Assumptions'!$D$16,IF('Operating Assumptions'!$G13="$/Pet/Month",(FS$36*'Operating Assumptions'!$D$18)*('Operating Assumptions'!$H13*FS$23),IF('Operating Assumptions'!$G13="$/Parking/Month",('Operating Assumptions'!$H13*FS$23)*'Operating Assumptions'!$D$17)))))))</f>
        <v>0</v>
      </c>
      <c r="FT46" s="427">
        <f>IF(OR(FT$9&lt;'Operating Assumptions'!$D$53,FT$6&gt;'Operating Assumptions'!$AA$8,'Operating Assumptions'!$G13="N/A"),0,IF('Operating Assumptions'!$G13="$/Unit/Annual",(('Operating Assumptions'!$H13*FT$23)*FT$36)/12,IF('Operating Assumptions'!$G13="$/Unit/Month",('Operating Assumptions'!$H13*FT$23)*FT$36,IF('Operating Assumptions'!$G13="Fixed Amount",('Operating Assumptions'!$H13*FT$23)/12,IF('Operating Assumptions'!$G13="$/Garage/Month",('Operating Assumptions'!$H13*FT$23)*'Operating Assumptions'!$D$16,IF('Operating Assumptions'!$G13="$/Pet/Month",(FT$36*'Operating Assumptions'!$D$18)*('Operating Assumptions'!$H13*FT$23),IF('Operating Assumptions'!$G13="$/Parking/Month",('Operating Assumptions'!$H13*FT$23)*'Operating Assumptions'!$D$17)))))))</f>
        <v>0</v>
      </c>
      <c r="FU46" s="43"/>
      <c r="FV46" s="34"/>
      <c r="FW46" s="34"/>
      <c r="FX46" s="34"/>
      <c r="FY46" s="34"/>
      <c r="FZ46" s="34"/>
    </row>
    <row r="47" spans="1:182" s="89" customFormat="1" ht="13.5" x14ac:dyDescent="0.25">
      <c r="A47" s="34"/>
      <c r="B47" s="128" t="str">
        <f>'Operating Assumptions'!F14</f>
        <v>Blank</v>
      </c>
      <c r="C47" s="34"/>
      <c r="D47" s="34"/>
      <c r="E47" s="34"/>
      <c r="F47" s="434">
        <f t="shared" si="148"/>
        <v>0</v>
      </c>
      <c r="G47" s="34"/>
      <c r="H47" s="427">
        <f>IF(OR(H$9&lt;'Operating Assumptions'!$D$53,H$6&gt;'Operating Assumptions'!$AA$8,'Operating Assumptions'!$G14="N/A"),0,IF('Operating Assumptions'!$G14="$/Unit/Annual",(('Operating Assumptions'!$H14*H$23)*H$36)/12,IF('Operating Assumptions'!$G14="$/Unit/Month",('Operating Assumptions'!$H14*H$23)*H$36,IF('Operating Assumptions'!$G14="Fixed Amount",('Operating Assumptions'!$H14*H$23)/12,IF('Operating Assumptions'!$G14="$/Garage/Month",('Operating Assumptions'!$H14*H$23)*'Operating Assumptions'!$D$16,IF('Operating Assumptions'!$G14="$/Pet/Month",(H$36*'Operating Assumptions'!$D$18)*('Operating Assumptions'!$H14*H$23),IF('Operating Assumptions'!$G14="$/Parking/Month",('Operating Assumptions'!$H14*H$23)*'Operating Assumptions'!$D$17)))))))</f>
        <v>0</v>
      </c>
      <c r="I47" s="427">
        <f>IF(OR(I$9&lt;'Operating Assumptions'!$D$53,I$6&gt;'Operating Assumptions'!$AA$8,'Operating Assumptions'!$G14="N/A"),0,IF('Operating Assumptions'!$G14="$/Unit/Annual",(('Operating Assumptions'!$H14*I$23)*I$36)/12,IF('Operating Assumptions'!$G14="$/Unit/Month",('Operating Assumptions'!$H14*I$23)*I$36,IF('Operating Assumptions'!$G14="Fixed Amount",('Operating Assumptions'!$H14*I$23)/12,IF('Operating Assumptions'!$G14="$/Garage/Month",('Operating Assumptions'!$H14*I$23)*'Operating Assumptions'!$D$16,IF('Operating Assumptions'!$G14="$/Pet/Month",(I$36*'Operating Assumptions'!$D$18)*('Operating Assumptions'!$H14*I$23),IF('Operating Assumptions'!$G14="$/Parking/Month",('Operating Assumptions'!$H14*I$23)*'Operating Assumptions'!$D$17)))))))</f>
        <v>0</v>
      </c>
      <c r="J47" s="427">
        <f>IF(OR(J$9&lt;'Operating Assumptions'!$D$53,J$6&gt;'Operating Assumptions'!$AA$8,'Operating Assumptions'!$G14="N/A"),0,IF('Operating Assumptions'!$G14="$/Unit/Annual",(('Operating Assumptions'!$H14*J$23)*J$36)/12,IF('Operating Assumptions'!$G14="$/Unit/Month",('Operating Assumptions'!$H14*J$23)*J$36,IF('Operating Assumptions'!$G14="Fixed Amount",('Operating Assumptions'!$H14*J$23)/12,IF('Operating Assumptions'!$G14="$/Garage/Month",('Operating Assumptions'!$H14*J$23)*'Operating Assumptions'!$D$16,IF('Operating Assumptions'!$G14="$/Pet/Month",(J$36*'Operating Assumptions'!$D$18)*('Operating Assumptions'!$H14*J$23),IF('Operating Assumptions'!$G14="$/Parking/Month",('Operating Assumptions'!$H14*J$23)*'Operating Assumptions'!$D$17)))))))</f>
        <v>0</v>
      </c>
      <c r="K47" s="427">
        <f>IF(OR(K$9&lt;'Operating Assumptions'!$D$53,K$6&gt;'Operating Assumptions'!$AA$8,'Operating Assumptions'!$G14="N/A"),0,IF('Operating Assumptions'!$G14="$/Unit/Annual",(('Operating Assumptions'!$H14*K$23)*K$36)/12,IF('Operating Assumptions'!$G14="$/Unit/Month",('Operating Assumptions'!$H14*K$23)*K$36,IF('Operating Assumptions'!$G14="Fixed Amount",('Operating Assumptions'!$H14*K$23)/12,IF('Operating Assumptions'!$G14="$/Garage/Month",('Operating Assumptions'!$H14*K$23)*'Operating Assumptions'!$D$16,IF('Operating Assumptions'!$G14="$/Pet/Month",(K$36*'Operating Assumptions'!$D$18)*('Operating Assumptions'!$H14*K$23),IF('Operating Assumptions'!$G14="$/Parking/Month",('Operating Assumptions'!$H14*K$23)*'Operating Assumptions'!$D$17)))))))</f>
        <v>0</v>
      </c>
      <c r="L47" s="427">
        <f>IF(OR(L$9&lt;'Operating Assumptions'!$D$53,L$6&gt;'Operating Assumptions'!$AA$8,'Operating Assumptions'!$G14="N/A"),0,IF('Operating Assumptions'!$G14="$/Unit/Annual",(('Operating Assumptions'!$H14*L$23)*L$36)/12,IF('Operating Assumptions'!$G14="$/Unit/Month",('Operating Assumptions'!$H14*L$23)*L$36,IF('Operating Assumptions'!$G14="Fixed Amount",('Operating Assumptions'!$H14*L$23)/12,IF('Operating Assumptions'!$G14="$/Garage/Month",('Operating Assumptions'!$H14*L$23)*'Operating Assumptions'!$D$16,IF('Operating Assumptions'!$G14="$/Pet/Month",(L$36*'Operating Assumptions'!$D$18)*('Operating Assumptions'!$H14*L$23),IF('Operating Assumptions'!$G14="$/Parking/Month",('Operating Assumptions'!$H14*L$23)*'Operating Assumptions'!$D$17)))))))</f>
        <v>0</v>
      </c>
      <c r="M47" s="427">
        <f>IF(OR(M$9&lt;'Operating Assumptions'!$D$53,M$6&gt;'Operating Assumptions'!$AA$8,'Operating Assumptions'!$G14="N/A"),0,IF('Operating Assumptions'!$G14="$/Unit/Annual",(('Operating Assumptions'!$H14*M$23)*M$36)/12,IF('Operating Assumptions'!$G14="$/Unit/Month",('Operating Assumptions'!$H14*M$23)*M$36,IF('Operating Assumptions'!$G14="Fixed Amount",('Operating Assumptions'!$H14*M$23)/12,IF('Operating Assumptions'!$G14="$/Garage/Month",('Operating Assumptions'!$H14*M$23)*'Operating Assumptions'!$D$16,IF('Operating Assumptions'!$G14="$/Pet/Month",(M$36*'Operating Assumptions'!$D$18)*('Operating Assumptions'!$H14*M$23),IF('Operating Assumptions'!$G14="$/Parking/Month",('Operating Assumptions'!$H14*M$23)*'Operating Assumptions'!$D$17)))))))</f>
        <v>0</v>
      </c>
      <c r="N47" s="427">
        <f>IF(OR(N$9&lt;'Operating Assumptions'!$D$53,N$6&gt;'Operating Assumptions'!$AA$8,'Operating Assumptions'!$G14="N/A"),0,IF('Operating Assumptions'!$G14="$/Unit/Annual",(('Operating Assumptions'!$H14*N$23)*N$36)/12,IF('Operating Assumptions'!$G14="$/Unit/Month",('Operating Assumptions'!$H14*N$23)*N$36,IF('Operating Assumptions'!$G14="Fixed Amount",('Operating Assumptions'!$H14*N$23)/12,IF('Operating Assumptions'!$G14="$/Garage/Month",('Operating Assumptions'!$H14*N$23)*'Operating Assumptions'!$D$16,IF('Operating Assumptions'!$G14="$/Pet/Month",(N$36*'Operating Assumptions'!$D$18)*('Operating Assumptions'!$H14*N$23),IF('Operating Assumptions'!$G14="$/Parking/Month",('Operating Assumptions'!$H14*N$23)*'Operating Assumptions'!$D$17)))))))</f>
        <v>0</v>
      </c>
      <c r="O47" s="427">
        <f>IF(OR(O$9&lt;'Operating Assumptions'!$D$53,O$6&gt;'Operating Assumptions'!$AA$8,'Operating Assumptions'!$G14="N/A"),0,IF('Operating Assumptions'!$G14="$/Unit/Annual",(('Operating Assumptions'!$H14*O$23)*O$36)/12,IF('Operating Assumptions'!$G14="$/Unit/Month",('Operating Assumptions'!$H14*O$23)*O$36,IF('Operating Assumptions'!$G14="Fixed Amount",('Operating Assumptions'!$H14*O$23)/12,IF('Operating Assumptions'!$G14="$/Garage/Month",('Operating Assumptions'!$H14*O$23)*'Operating Assumptions'!$D$16,IF('Operating Assumptions'!$G14="$/Pet/Month",(O$36*'Operating Assumptions'!$D$18)*('Operating Assumptions'!$H14*O$23),IF('Operating Assumptions'!$G14="$/Parking/Month",('Operating Assumptions'!$H14*O$23)*'Operating Assumptions'!$D$17)))))))</f>
        <v>0</v>
      </c>
      <c r="P47" s="427">
        <f>IF(OR(P$9&lt;'Operating Assumptions'!$D$53,P$6&gt;'Operating Assumptions'!$AA$8,'Operating Assumptions'!$G14="N/A"),0,IF('Operating Assumptions'!$G14="$/Unit/Annual",(('Operating Assumptions'!$H14*P$23)*P$36)/12,IF('Operating Assumptions'!$G14="$/Unit/Month",('Operating Assumptions'!$H14*P$23)*P$36,IF('Operating Assumptions'!$G14="Fixed Amount",('Operating Assumptions'!$H14*P$23)/12,IF('Operating Assumptions'!$G14="$/Garage/Month",('Operating Assumptions'!$H14*P$23)*'Operating Assumptions'!$D$16,IF('Operating Assumptions'!$G14="$/Pet/Month",(P$36*'Operating Assumptions'!$D$18)*('Operating Assumptions'!$H14*P$23),IF('Operating Assumptions'!$G14="$/Parking/Month",('Operating Assumptions'!$H14*P$23)*'Operating Assumptions'!$D$17)))))))</f>
        <v>0</v>
      </c>
      <c r="Q47" s="427">
        <f>IF(OR(Q$9&lt;'Operating Assumptions'!$D$53,Q$6&gt;'Operating Assumptions'!$AA$8,'Operating Assumptions'!$G14="N/A"),0,IF('Operating Assumptions'!$G14="$/Unit/Annual",(('Operating Assumptions'!$H14*Q$23)*Q$36)/12,IF('Operating Assumptions'!$G14="$/Unit/Month",('Operating Assumptions'!$H14*Q$23)*Q$36,IF('Operating Assumptions'!$G14="Fixed Amount",('Operating Assumptions'!$H14*Q$23)/12,IF('Operating Assumptions'!$G14="$/Garage/Month",('Operating Assumptions'!$H14*Q$23)*'Operating Assumptions'!$D$16,IF('Operating Assumptions'!$G14="$/Pet/Month",(Q$36*'Operating Assumptions'!$D$18)*('Operating Assumptions'!$H14*Q$23),IF('Operating Assumptions'!$G14="$/Parking/Month",('Operating Assumptions'!$H14*Q$23)*'Operating Assumptions'!$D$17)))))))</f>
        <v>0</v>
      </c>
      <c r="R47" s="427">
        <f>IF(OR(R$9&lt;'Operating Assumptions'!$D$53,R$6&gt;'Operating Assumptions'!$AA$8,'Operating Assumptions'!$G14="N/A"),0,IF('Operating Assumptions'!$G14="$/Unit/Annual",(('Operating Assumptions'!$H14*R$23)*R$36)/12,IF('Operating Assumptions'!$G14="$/Unit/Month",('Operating Assumptions'!$H14*R$23)*R$36,IF('Operating Assumptions'!$G14="Fixed Amount",('Operating Assumptions'!$H14*R$23)/12,IF('Operating Assumptions'!$G14="$/Garage/Month",('Operating Assumptions'!$H14*R$23)*'Operating Assumptions'!$D$16,IF('Operating Assumptions'!$G14="$/Pet/Month",(R$36*'Operating Assumptions'!$D$18)*('Operating Assumptions'!$H14*R$23),IF('Operating Assumptions'!$G14="$/Parking/Month",('Operating Assumptions'!$H14*R$23)*'Operating Assumptions'!$D$17)))))))</f>
        <v>0</v>
      </c>
      <c r="S47" s="427">
        <f>IF(OR(S$9&lt;'Operating Assumptions'!$D$53,S$6&gt;'Operating Assumptions'!$AA$8,'Operating Assumptions'!$G14="N/A"),0,IF('Operating Assumptions'!$G14="$/Unit/Annual",(('Operating Assumptions'!$H14*S$23)*S$36)/12,IF('Operating Assumptions'!$G14="$/Unit/Month",('Operating Assumptions'!$H14*S$23)*S$36,IF('Operating Assumptions'!$G14="Fixed Amount",('Operating Assumptions'!$H14*S$23)/12,IF('Operating Assumptions'!$G14="$/Garage/Month",('Operating Assumptions'!$H14*S$23)*'Operating Assumptions'!$D$16,IF('Operating Assumptions'!$G14="$/Pet/Month",(S$36*'Operating Assumptions'!$D$18)*('Operating Assumptions'!$H14*S$23),IF('Operating Assumptions'!$G14="$/Parking/Month",('Operating Assumptions'!$H14*S$23)*'Operating Assumptions'!$D$17)))))))</f>
        <v>0</v>
      </c>
      <c r="T47" s="427">
        <f>IF(OR(T$9&lt;'Operating Assumptions'!$D$53,T$6&gt;'Operating Assumptions'!$AA$8,'Operating Assumptions'!$G14="N/A"),0,IF('Operating Assumptions'!$G14="$/Unit/Annual",(('Operating Assumptions'!$H14*T$23)*T$36)/12,IF('Operating Assumptions'!$G14="$/Unit/Month",('Operating Assumptions'!$H14*T$23)*T$36,IF('Operating Assumptions'!$G14="Fixed Amount",('Operating Assumptions'!$H14*T$23)/12,IF('Operating Assumptions'!$G14="$/Garage/Month",('Operating Assumptions'!$H14*T$23)*'Operating Assumptions'!$D$16,IF('Operating Assumptions'!$G14="$/Pet/Month",(T$36*'Operating Assumptions'!$D$18)*('Operating Assumptions'!$H14*T$23),IF('Operating Assumptions'!$G14="$/Parking/Month",('Operating Assumptions'!$H14*T$23)*'Operating Assumptions'!$D$17)))))))</f>
        <v>0</v>
      </c>
      <c r="U47" s="427">
        <f>IF(OR(U$9&lt;'Operating Assumptions'!$D$53,U$6&gt;'Operating Assumptions'!$AA$8,'Operating Assumptions'!$G14="N/A"),0,IF('Operating Assumptions'!$G14="$/Unit/Annual",(('Operating Assumptions'!$H14*U$23)*U$36)/12,IF('Operating Assumptions'!$G14="$/Unit/Month",('Operating Assumptions'!$H14*U$23)*U$36,IF('Operating Assumptions'!$G14="Fixed Amount",('Operating Assumptions'!$H14*U$23)/12,IF('Operating Assumptions'!$G14="$/Garage/Month",('Operating Assumptions'!$H14*U$23)*'Operating Assumptions'!$D$16,IF('Operating Assumptions'!$G14="$/Pet/Month",(U$36*'Operating Assumptions'!$D$18)*('Operating Assumptions'!$H14*U$23),IF('Operating Assumptions'!$G14="$/Parking/Month",('Operating Assumptions'!$H14*U$23)*'Operating Assumptions'!$D$17)))))))</f>
        <v>0</v>
      </c>
      <c r="V47" s="427">
        <f>IF(OR(V$9&lt;'Operating Assumptions'!$D$53,V$6&gt;'Operating Assumptions'!$AA$8,'Operating Assumptions'!$G14="N/A"),0,IF('Operating Assumptions'!$G14="$/Unit/Annual",(('Operating Assumptions'!$H14*V$23)*V$36)/12,IF('Operating Assumptions'!$G14="$/Unit/Month",('Operating Assumptions'!$H14*V$23)*V$36,IF('Operating Assumptions'!$G14="Fixed Amount",('Operating Assumptions'!$H14*V$23)/12,IF('Operating Assumptions'!$G14="$/Garage/Month",('Operating Assumptions'!$H14*V$23)*'Operating Assumptions'!$D$16,IF('Operating Assumptions'!$G14="$/Pet/Month",(V$36*'Operating Assumptions'!$D$18)*('Operating Assumptions'!$H14*V$23),IF('Operating Assumptions'!$G14="$/Parking/Month",('Operating Assumptions'!$H14*V$23)*'Operating Assumptions'!$D$17)))))))</f>
        <v>0</v>
      </c>
      <c r="W47" s="427">
        <f>IF(OR(W$9&lt;'Operating Assumptions'!$D$53,W$6&gt;'Operating Assumptions'!$AA$8,'Operating Assumptions'!$G14="N/A"),0,IF('Operating Assumptions'!$G14="$/Unit/Annual",(('Operating Assumptions'!$H14*W$23)*W$36)/12,IF('Operating Assumptions'!$G14="$/Unit/Month",('Operating Assumptions'!$H14*W$23)*W$36,IF('Operating Assumptions'!$G14="Fixed Amount",('Operating Assumptions'!$H14*W$23)/12,IF('Operating Assumptions'!$G14="$/Garage/Month",('Operating Assumptions'!$H14*W$23)*'Operating Assumptions'!$D$16,IF('Operating Assumptions'!$G14="$/Pet/Month",(W$36*'Operating Assumptions'!$D$18)*('Operating Assumptions'!$H14*W$23),IF('Operating Assumptions'!$G14="$/Parking/Month",('Operating Assumptions'!$H14*W$23)*'Operating Assumptions'!$D$17)))))))</f>
        <v>0</v>
      </c>
      <c r="X47" s="427">
        <f>IF(OR(X$9&lt;'Operating Assumptions'!$D$53,X$6&gt;'Operating Assumptions'!$AA$8,'Operating Assumptions'!$G14="N/A"),0,IF('Operating Assumptions'!$G14="$/Unit/Annual",(('Operating Assumptions'!$H14*X$23)*X$36)/12,IF('Operating Assumptions'!$G14="$/Unit/Month",('Operating Assumptions'!$H14*X$23)*X$36,IF('Operating Assumptions'!$G14="Fixed Amount",('Operating Assumptions'!$H14*X$23)/12,IF('Operating Assumptions'!$G14="$/Garage/Month",('Operating Assumptions'!$H14*X$23)*'Operating Assumptions'!$D$16,IF('Operating Assumptions'!$G14="$/Pet/Month",(X$36*'Operating Assumptions'!$D$18)*('Operating Assumptions'!$H14*X$23),IF('Operating Assumptions'!$G14="$/Parking/Month",('Operating Assumptions'!$H14*X$23)*'Operating Assumptions'!$D$17)))))))</f>
        <v>0</v>
      </c>
      <c r="Y47" s="427">
        <f>IF(OR(Y$9&lt;'Operating Assumptions'!$D$53,Y$6&gt;'Operating Assumptions'!$AA$8,'Operating Assumptions'!$G14="N/A"),0,IF('Operating Assumptions'!$G14="$/Unit/Annual",(('Operating Assumptions'!$H14*Y$23)*Y$36)/12,IF('Operating Assumptions'!$G14="$/Unit/Month",('Operating Assumptions'!$H14*Y$23)*Y$36,IF('Operating Assumptions'!$G14="Fixed Amount",('Operating Assumptions'!$H14*Y$23)/12,IF('Operating Assumptions'!$G14="$/Garage/Month",('Operating Assumptions'!$H14*Y$23)*'Operating Assumptions'!$D$16,IF('Operating Assumptions'!$G14="$/Pet/Month",(Y$36*'Operating Assumptions'!$D$18)*('Operating Assumptions'!$H14*Y$23),IF('Operating Assumptions'!$G14="$/Parking/Month",('Operating Assumptions'!$H14*Y$23)*'Operating Assumptions'!$D$17)))))))</f>
        <v>0</v>
      </c>
      <c r="Z47" s="427">
        <f>IF(OR(Z$9&lt;'Operating Assumptions'!$D$53,Z$6&gt;'Operating Assumptions'!$AA$8,'Operating Assumptions'!$G14="N/A"),0,IF('Operating Assumptions'!$G14="$/Unit/Annual",(('Operating Assumptions'!$H14*Z$23)*Z$36)/12,IF('Operating Assumptions'!$G14="$/Unit/Month",('Operating Assumptions'!$H14*Z$23)*Z$36,IF('Operating Assumptions'!$G14="Fixed Amount",('Operating Assumptions'!$H14*Z$23)/12,IF('Operating Assumptions'!$G14="$/Garage/Month",('Operating Assumptions'!$H14*Z$23)*'Operating Assumptions'!$D$16,IF('Operating Assumptions'!$G14="$/Pet/Month",(Z$36*'Operating Assumptions'!$D$18)*('Operating Assumptions'!$H14*Z$23),IF('Operating Assumptions'!$G14="$/Parking/Month",('Operating Assumptions'!$H14*Z$23)*'Operating Assumptions'!$D$17)))))))</f>
        <v>0</v>
      </c>
      <c r="AA47" s="427">
        <f>IF(OR(AA$9&lt;'Operating Assumptions'!$D$53,AA$6&gt;'Operating Assumptions'!$AA$8,'Operating Assumptions'!$G14="N/A"),0,IF('Operating Assumptions'!$G14="$/Unit/Annual",(('Operating Assumptions'!$H14*AA$23)*AA$36)/12,IF('Operating Assumptions'!$G14="$/Unit/Month",('Operating Assumptions'!$H14*AA$23)*AA$36,IF('Operating Assumptions'!$G14="Fixed Amount",('Operating Assumptions'!$H14*AA$23)/12,IF('Operating Assumptions'!$G14="$/Garage/Month",('Operating Assumptions'!$H14*AA$23)*'Operating Assumptions'!$D$16,IF('Operating Assumptions'!$G14="$/Pet/Month",(AA$36*'Operating Assumptions'!$D$18)*('Operating Assumptions'!$H14*AA$23),IF('Operating Assumptions'!$G14="$/Parking/Month",('Operating Assumptions'!$H14*AA$23)*'Operating Assumptions'!$D$17)))))))</f>
        <v>0</v>
      </c>
      <c r="AB47" s="427">
        <f>IF(OR(AB$9&lt;'Operating Assumptions'!$D$53,AB$6&gt;'Operating Assumptions'!$AA$8,'Operating Assumptions'!$G14="N/A"),0,IF('Operating Assumptions'!$G14="$/Unit/Annual",(('Operating Assumptions'!$H14*AB$23)*AB$36)/12,IF('Operating Assumptions'!$G14="$/Unit/Month",('Operating Assumptions'!$H14*AB$23)*AB$36,IF('Operating Assumptions'!$G14="Fixed Amount",('Operating Assumptions'!$H14*AB$23)/12,IF('Operating Assumptions'!$G14="$/Garage/Month",('Operating Assumptions'!$H14*AB$23)*'Operating Assumptions'!$D$16,IF('Operating Assumptions'!$G14="$/Pet/Month",(AB$36*'Operating Assumptions'!$D$18)*('Operating Assumptions'!$H14*AB$23),IF('Operating Assumptions'!$G14="$/Parking/Month",('Operating Assumptions'!$H14*AB$23)*'Operating Assumptions'!$D$17)))))))</f>
        <v>0</v>
      </c>
      <c r="AC47" s="427">
        <f>IF(OR(AC$9&lt;'Operating Assumptions'!$D$53,AC$6&gt;'Operating Assumptions'!$AA$8,'Operating Assumptions'!$G14="N/A"),0,IF('Operating Assumptions'!$G14="$/Unit/Annual",(('Operating Assumptions'!$H14*AC$23)*AC$36)/12,IF('Operating Assumptions'!$G14="$/Unit/Month",('Operating Assumptions'!$H14*AC$23)*AC$36,IF('Operating Assumptions'!$G14="Fixed Amount",('Operating Assumptions'!$H14*AC$23)/12,IF('Operating Assumptions'!$G14="$/Garage/Month",('Operating Assumptions'!$H14*AC$23)*'Operating Assumptions'!$D$16,IF('Operating Assumptions'!$G14="$/Pet/Month",(AC$36*'Operating Assumptions'!$D$18)*('Operating Assumptions'!$H14*AC$23),IF('Operating Assumptions'!$G14="$/Parking/Month",('Operating Assumptions'!$H14*AC$23)*'Operating Assumptions'!$D$17)))))))</f>
        <v>0</v>
      </c>
      <c r="AD47" s="427">
        <f>IF(OR(AD$9&lt;'Operating Assumptions'!$D$53,AD$6&gt;'Operating Assumptions'!$AA$8,'Operating Assumptions'!$G14="N/A"),0,IF('Operating Assumptions'!$G14="$/Unit/Annual",(('Operating Assumptions'!$H14*AD$23)*AD$36)/12,IF('Operating Assumptions'!$G14="$/Unit/Month",('Operating Assumptions'!$H14*AD$23)*AD$36,IF('Operating Assumptions'!$G14="Fixed Amount",('Operating Assumptions'!$H14*AD$23)/12,IF('Operating Assumptions'!$G14="$/Garage/Month",('Operating Assumptions'!$H14*AD$23)*'Operating Assumptions'!$D$16,IF('Operating Assumptions'!$G14="$/Pet/Month",(AD$36*'Operating Assumptions'!$D$18)*('Operating Assumptions'!$H14*AD$23),IF('Operating Assumptions'!$G14="$/Parking/Month",('Operating Assumptions'!$H14*AD$23)*'Operating Assumptions'!$D$17)))))))</f>
        <v>0</v>
      </c>
      <c r="AE47" s="427">
        <f>IF(OR(AE$9&lt;'Operating Assumptions'!$D$53,AE$6&gt;'Operating Assumptions'!$AA$8,'Operating Assumptions'!$G14="N/A"),0,IF('Operating Assumptions'!$G14="$/Unit/Annual",(('Operating Assumptions'!$H14*AE$23)*AE$36)/12,IF('Operating Assumptions'!$G14="$/Unit/Month",('Operating Assumptions'!$H14*AE$23)*AE$36,IF('Operating Assumptions'!$G14="Fixed Amount",('Operating Assumptions'!$H14*AE$23)/12,IF('Operating Assumptions'!$G14="$/Garage/Month",('Operating Assumptions'!$H14*AE$23)*'Operating Assumptions'!$D$16,IF('Operating Assumptions'!$G14="$/Pet/Month",(AE$36*'Operating Assumptions'!$D$18)*('Operating Assumptions'!$H14*AE$23),IF('Operating Assumptions'!$G14="$/Parking/Month",('Operating Assumptions'!$H14*AE$23)*'Operating Assumptions'!$D$17)))))))</f>
        <v>0</v>
      </c>
      <c r="AF47" s="427">
        <f>IF(OR(AF$9&lt;'Operating Assumptions'!$D$53,AF$6&gt;'Operating Assumptions'!$AA$8,'Operating Assumptions'!$G14="N/A"),0,IF('Operating Assumptions'!$G14="$/Unit/Annual",(('Operating Assumptions'!$H14*AF$23)*AF$36)/12,IF('Operating Assumptions'!$G14="$/Unit/Month",('Operating Assumptions'!$H14*AF$23)*AF$36,IF('Operating Assumptions'!$G14="Fixed Amount",('Operating Assumptions'!$H14*AF$23)/12,IF('Operating Assumptions'!$G14="$/Garage/Month",('Operating Assumptions'!$H14*AF$23)*'Operating Assumptions'!$D$16,IF('Operating Assumptions'!$G14="$/Pet/Month",(AF$36*'Operating Assumptions'!$D$18)*('Operating Assumptions'!$H14*AF$23),IF('Operating Assumptions'!$G14="$/Parking/Month",('Operating Assumptions'!$H14*AF$23)*'Operating Assumptions'!$D$17)))))))</f>
        <v>0</v>
      </c>
      <c r="AG47" s="427">
        <f>IF(OR(AG$9&lt;'Operating Assumptions'!$D$53,AG$6&gt;'Operating Assumptions'!$AA$8,'Operating Assumptions'!$G14="N/A"),0,IF('Operating Assumptions'!$G14="$/Unit/Annual",(('Operating Assumptions'!$H14*AG$23)*AG$36)/12,IF('Operating Assumptions'!$G14="$/Unit/Month",('Operating Assumptions'!$H14*AG$23)*AG$36,IF('Operating Assumptions'!$G14="Fixed Amount",('Operating Assumptions'!$H14*AG$23)/12,IF('Operating Assumptions'!$G14="$/Garage/Month",('Operating Assumptions'!$H14*AG$23)*'Operating Assumptions'!$D$16,IF('Operating Assumptions'!$G14="$/Pet/Month",(AG$36*'Operating Assumptions'!$D$18)*('Operating Assumptions'!$H14*AG$23),IF('Operating Assumptions'!$G14="$/Parking/Month",('Operating Assumptions'!$H14*AG$23)*'Operating Assumptions'!$D$17)))))))</f>
        <v>0</v>
      </c>
      <c r="AH47" s="427">
        <f>IF(OR(AH$9&lt;'Operating Assumptions'!$D$53,AH$6&gt;'Operating Assumptions'!$AA$8,'Operating Assumptions'!$G14="N/A"),0,IF('Operating Assumptions'!$G14="$/Unit/Annual",(('Operating Assumptions'!$H14*AH$23)*AH$36)/12,IF('Operating Assumptions'!$G14="$/Unit/Month",('Operating Assumptions'!$H14*AH$23)*AH$36,IF('Operating Assumptions'!$G14="Fixed Amount",('Operating Assumptions'!$H14*AH$23)/12,IF('Operating Assumptions'!$G14="$/Garage/Month",('Operating Assumptions'!$H14*AH$23)*'Operating Assumptions'!$D$16,IF('Operating Assumptions'!$G14="$/Pet/Month",(AH$36*'Operating Assumptions'!$D$18)*('Operating Assumptions'!$H14*AH$23),IF('Operating Assumptions'!$G14="$/Parking/Month",('Operating Assumptions'!$H14*AH$23)*'Operating Assumptions'!$D$17)))))))</f>
        <v>0</v>
      </c>
      <c r="AI47" s="427">
        <f>IF(OR(AI$9&lt;'Operating Assumptions'!$D$53,AI$6&gt;'Operating Assumptions'!$AA$8,'Operating Assumptions'!$G14="N/A"),0,IF('Operating Assumptions'!$G14="$/Unit/Annual",(('Operating Assumptions'!$H14*AI$23)*AI$36)/12,IF('Operating Assumptions'!$G14="$/Unit/Month",('Operating Assumptions'!$H14*AI$23)*AI$36,IF('Operating Assumptions'!$G14="Fixed Amount",('Operating Assumptions'!$H14*AI$23)/12,IF('Operating Assumptions'!$G14="$/Garage/Month",('Operating Assumptions'!$H14*AI$23)*'Operating Assumptions'!$D$16,IF('Operating Assumptions'!$G14="$/Pet/Month",(AI$36*'Operating Assumptions'!$D$18)*('Operating Assumptions'!$H14*AI$23),IF('Operating Assumptions'!$G14="$/Parking/Month",('Operating Assumptions'!$H14*AI$23)*'Operating Assumptions'!$D$17)))))))</f>
        <v>0</v>
      </c>
      <c r="AJ47" s="427">
        <f>IF(OR(AJ$9&lt;'Operating Assumptions'!$D$53,AJ$6&gt;'Operating Assumptions'!$AA$8,'Operating Assumptions'!$G14="N/A"),0,IF('Operating Assumptions'!$G14="$/Unit/Annual",(('Operating Assumptions'!$H14*AJ$23)*AJ$36)/12,IF('Operating Assumptions'!$G14="$/Unit/Month",('Operating Assumptions'!$H14*AJ$23)*AJ$36,IF('Operating Assumptions'!$G14="Fixed Amount",('Operating Assumptions'!$H14*AJ$23)/12,IF('Operating Assumptions'!$G14="$/Garage/Month",('Operating Assumptions'!$H14*AJ$23)*'Operating Assumptions'!$D$16,IF('Operating Assumptions'!$G14="$/Pet/Month",(AJ$36*'Operating Assumptions'!$D$18)*('Operating Assumptions'!$H14*AJ$23),IF('Operating Assumptions'!$G14="$/Parking/Month",('Operating Assumptions'!$H14*AJ$23)*'Operating Assumptions'!$D$17)))))))</f>
        <v>0</v>
      </c>
      <c r="AK47" s="427">
        <f>IF(OR(AK$9&lt;'Operating Assumptions'!$D$53,AK$6&gt;'Operating Assumptions'!$AA$8,'Operating Assumptions'!$G14="N/A"),0,IF('Operating Assumptions'!$G14="$/Unit/Annual",(('Operating Assumptions'!$H14*AK$23)*AK$36)/12,IF('Operating Assumptions'!$G14="$/Unit/Month",('Operating Assumptions'!$H14*AK$23)*AK$36,IF('Operating Assumptions'!$G14="Fixed Amount",('Operating Assumptions'!$H14*AK$23)/12,IF('Operating Assumptions'!$G14="$/Garage/Month",('Operating Assumptions'!$H14*AK$23)*'Operating Assumptions'!$D$16,IF('Operating Assumptions'!$G14="$/Pet/Month",(AK$36*'Operating Assumptions'!$D$18)*('Operating Assumptions'!$H14*AK$23),IF('Operating Assumptions'!$G14="$/Parking/Month",('Operating Assumptions'!$H14*AK$23)*'Operating Assumptions'!$D$17)))))))</f>
        <v>0</v>
      </c>
      <c r="AL47" s="427">
        <f>IF(OR(AL$9&lt;'Operating Assumptions'!$D$53,AL$6&gt;'Operating Assumptions'!$AA$8,'Operating Assumptions'!$G14="N/A"),0,IF('Operating Assumptions'!$G14="$/Unit/Annual",(('Operating Assumptions'!$H14*AL$23)*AL$36)/12,IF('Operating Assumptions'!$G14="$/Unit/Month",('Operating Assumptions'!$H14*AL$23)*AL$36,IF('Operating Assumptions'!$G14="Fixed Amount",('Operating Assumptions'!$H14*AL$23)/12,IF('Operating Assumptions'!$G14="$/Garage/Month",('Operating Assumptions'!$H14*AL$23)*'Operating Assumptions'!$D$16,IF('Operating Assumptions'!$G14="$/Pet/Month",(AL$36*'Operating Assumptions'!$D$18)*('Operating Assumptions'!$H14*AL$23),IF('Operating Assumptions'!$G14="$/Parking/Month",('Operating Assumptions'!$H14*AL$23)*'Operating Assumptions'!$D$17)))))))</f>
        <v>0</v>
      </c>
      <c r="AM47" s="427">
        <f>IF(OR(AM$9&lt;'Operating Assumptions'!$D$53,AM$6&gt;'Operating Assumptions'!$AA$8,'Operating Assumptions'!$G14="N/A"),0,IF('Operating Assumptions'!$G14="$/Unit/Annual",(('Operating Assumptions'!$H14*AM$23)*AM$36)/12,IF('Operating Assumptions'!$G14="$/Unit/Month",('Operating Assumptions'!$H14*AM$23)*AM$36,IF('Operating Assumptions'!$G14="Fixed Amount",('Operating Assumptions'!$H14*AM$23)/12,IF('Operating Assumptions'!$G14="$/Garage/Month",('Operating Assumptions'!$H14*AM$23)*'Operating Assumptions'!$D$16,IF('Operating Assumptions'!$G14="$/Pet/Month",(AM$36*'Operating Assumptions'!$D$18)*('Operating Assumptions'!$H14*AM$23),IF('Operating Assumptions'!$G14="$/Parking/Month",('Operating Assumptions'!$H14*AM$23)*'Operating Assumptions'!$D$17)))))))</f>
        <v>0</v>
      </c>
      <c r="AN47" s="427">
        <f>IF(OR(AN$9&lt;'Operating Assumptions'!$D$53,AN$6&gt;'Operating Assumptions'!$AA$8,'Operating Assumptions'!$G14="N/A"),0,IF('Operating Assumptions'!$G14="$/Unit/Annual",(('Operating Assumptions'!$H14*AN$23)*AN$36)/12,IF('Operating Assumptions'!$G14="$/Unit/Month",('Operating Assumptions'!$H14*AN$23)*AN$36,IF('Operating Assumptions'!$G14="Fixed Amount",('Operating Assumptions'!$H14*AN$23)/12,IF('Operating Assumptions'!$G14="$/Garage/Month",('Operating Assumptions'!$H14*AN$23)*'Operating Assumptions'!$D$16,IF('Operating Assumptions'!$G14="$/Pet/Month",(AN$36*'Operating Assumptions'!$D$18)*('Operating Assumptions'!$H14*AN$23),IF('Operating Assumptions'!$G14="$/Parking/Month",('Operating Assumptions'!$H14*AN$23)*'Operating Assumptions'!$D$17)))))))</f>
        <v>0</v>
      </c>
      <c r="AO47" s="427">
        <f>IF(OR(AO$9&lt;'Operating Assumptions'!$D$53,AO$6&gt;'Operating Assumptions'!$AA$8,'Operating Assumptions'!$G14="N/A"),0,IF('Operating Assumptions'!$G14="$/Unit/Annual",(('Operating Assumptions'!$H14*AO$23)*AO$36)/12,IF('Operating Assumptions'!$G14="$/Unit/Month",('Operating Assumptions'!$H14*AO$23)*AO$36,IF('Operating Assumptions'!$G14="Fixed Amount",('Operating Assumptions'!$H14*AO$23)/12,IF('Operating Assumptions'!$G14="$/Garage/Month",('Operating Assumptions'!$H14*AO$23)*'Operating Assumptions'!$D$16,IF('Operating Assumptions'!$G14="$/Pet/Month",(AO$36*'Operating Assumptions'!$D$18)*('Operating Assumptions'!$H14*AO$23),IF('Operating Assumptions'!$G14="$/Parking/Month",('Operating Assumptions'!$H14*AO$23)*'Operating Assumptions'!$D$17)))))))</f>
        <v>0</v>
      </c>
      <c r="AP47" s="427">
        <f>IF(OR(AP$9&lt;'Operating Assumptions'!$D$53,AP$6&gt;'Operating Assumptions'!$AA$8,'Operating Assumptions'!$G14="N/A"),0,IF('Operating Assumptions'!$G14="$/Unit/Annual",(('Operating Assumptions'!$H14*AP$23)*AP$36)/12,IF('Operating Assumptions'!$G14="$/Unit/Month",('Operating Assumptions'!$H14*AP$23)*AP$36,IF('Operating Assumptions'!$G14="Fixed Amount",('Operating Assumptions'!$H14*AP$23)/12,IF('Operating Assumptions'!$G14="$/Garage/Month",('Operating Assumptions'!$H14*AP$23)*'Operating Assumptions'!$D$16,IF('Operating Assumptions'!$G14="$/Pet/Month",(AP$36*'Operating Assumptions'!$D$18)*('Operating Assumptions'!$H14*AP$23),IF('Operating Assumptions'!$G14="$/Parking/Month",('Operating Assumptions'!$H14*AP$23)*'Operating Assumptions'!$D$17)))))))</f>
        <v>0</v>
      </c>
      <c r="AQ47" s="427">
        <f>IF(OR(AQ$9&lt;'Operating Assumptions'!$D$53,AQ$6&gt;'Operating Assumptions'!$AA$8,'Operating Assumptions'!$G14="N/A"),0,IF('Operating Assumptions'!$G14="$/Unit/Annual",(('Operating Assumptions'!$H14*AQ$23)*AQ$36)/12,IF('Operating Assumptions'!$G14="$/Unit/Month",('Operating Assumptions'!$H14*AQ$23)*AQ$36,IF('Operating Assumptions'!$G14="Fixed Amount",('Operating Assumptions'!$H14*AQ$23)/12,IF('Operating Assumptions'!$G14="$/Garage/Month",('Operating Assumptions'!$H14*AQ$23)*'Operating Assumptions'!$D$16,IF('Operating Assumptions'!$G14="$/Pet/Month",(AQ$36*'Operating Assumptions'!$D$18)*('Operating Assumptions'!$H14*AQ$23),IF('Operating Assumptions'!$G14="$/Parking/Month",('Operating Assumptions'!$H14*AQ$23)*'Operating Assumptions'!$D$17)))))))</f>
        <v>0</v>
      </c>
      <c r="AR47" s="427">
        <f>IF(OR(AR$9&lt;'Operating Assumptions'!$D$53,AR$6&gt;'Operating Assumptions'!$AA$8,'Operating Assumptions'!$G14="N/A"),0,IF('Operating Assumptions'!$G14="$/Unit/Annual",(('Operating Assumptions'!$H14*AR$23)*AR$36)/12,IF('Operating Assumptions'!$G14="$/Unit/Month",('Operating Assumptions'!$H14*AR$23)*AR$36,IF('Operating Assumptions'!$G14="Fixed Amount",('Operating Assumptions'!$H14*AR$23)/12,IF('Operating Assumptions'!$G14="$/Garage/Month",('Operating Assumptions'!$H14*AR$23)*'Operating Assumptions'!$D$16,IF('Operating Assumptions'!$G14="$/Pet/Month",(AR$36*'Operating Assumptions'!$D$18)*('Operating Assumptions'!$H14*AR$23),IF('Operating Assumptions'!$G14="$/Parking/Month",('Operating Assumptions'!$H14*AR$23)*'Operating Assumptions'!$D$17)))))))</f>
        <v>0</v>
      </c>
      <c r="AS47" s="427">
        <f>IF(OR(AS$9&lt;'Operating Assumptions'!$D$53,AS$6&gt;'Operating Assumptions'!$AA$8,'Operating Assumptions'!$G14="N/A"),0,IF('Operating Assumptions'!$G14="$/Unit/Annual",(('Operating Assumptions'!$H14*AS$23)*AS$36)/12,IF('Operating Assumptions'!$G14="$/Unit/Month",('Operating Assumptions'!$H14*AS$23)*AS$36,IF('Operating Assumptions'!$G14="Fixed Amount",('Operating Assumptions'!$H14*AS$23)/12,IF('Operating Assumptions'!$G14="$/Garage/Month",('Operating Assumptions'!$H14*AS$23)*'Operating Assumptions'!$D$16,IF('Operating Assumptions'!$G14="$/Pet/Month",(AS$36*'Operating Assumptions'!$D$18)*('Operating Assumptions'!$H14*AS$23),IF('Operating Assumptions'!$G14="$/Parking/Month",('Operating Assumptions'!$H14*AS$23)*'Operating Assumptions'!$D$17)))))))</f>
        <v>0</v>
      </c>
      <c r="AT47" s="427">
        <f>IF(OR(AT$9&lt;'Operating Assumptions'!$D$53,AT$6&gt;'Operating Assumptions'!$AA$8,'Operating Assumptions'!$G14="N/A"),0,IF('Operating Assumptions'!$G14="$/Unit/Annual",(('Operating Assumptions'!$H14*AT$23)*AT$36)/12,IF('Operating Assumptions'!$G14="$/Unit/Month",('Operating Assumptions'!$H14*AT$23)*AT$36,IF('Operating Assumptions'!$G14="Fixed Amount",('Operating Assumptions'!$H14*AT$23)/12,IF('Operating Assumptions'!$G14="$/Garage/Month",('Operating Assumptions'!$H14*AT$23)*'Operating Assumptions'!$D$16,IF('Operating Assumptions'!$G14="$/Pet/Month",(AT$36*'Operating Assumptions'!$D$18)*('Operating Assumptions'!$H14*AT$23),IF('Operating Assumptions'!$G14="$/Parking/Month",('Operating Assumptions'!$H14*AT$23)*'Operating Assumptions'!$D$17)))))))</f>
        <v>0</v>
      </c>
      <c r="AU47" s="427">
        <f>IF(OR(AU$9&lt;'Operating Assumptions'!$D$53,AU$6&gt;'Operating Assumptions'!$AA$8,'Operating Assumptions'!$G14="N/A"),0,IF('Operating Assumptions'!$G14="$/Unit/Annual",(('Operating Assumptions'!$H14*AU$23)*AU$36)/12,IF('Operating Assumptions'!$G14="$/Unit/Month",('Operating Assumptions'!$H14*AU$23)*AU$36,IF('Operating Assumptions'!$G14="Fixed Amount",('Operating Assumptions'!$H14*AU$23)/12,IF('Operating Assumptions'!$G14="$/Garage/Month",('Operating Assumptions'!$H14*AU$23)*'Operating Assumptions'!$D$16,IF('Operating Assumptions'!$G14="$/Pet/Month",(AU$36*'Operating Assumptions'!$D$18)*('Operating Assumptions'!$H14*AU$23),IF('Operating Assumptions'!$G14="$/Parking/Month",('Operating Assumptions'!$H14*AU$23)*'Operating Assumptions'!$D$17)))))))</f>
        <v>0</v>
      </c>
      <c r="AV47" s="427">
        <f>IF(OR(AV$9&lt;'Operating Assumptions'!$D$53,AV$6&gt;'Operating Assumptions'!$AA$8,'Operating Assumptions'!$G14="N/A"),0,IF('Operating Assumptions'!$G14="$/Unit/Annual",(('Operating Assumptions'!$H14*AV$23)*AV$36)/12,IF('Operating Assumptions'!$G14="$/Unit/Month",('Operating Assumptions'!$H14*AV$23)*AV$36,IF('Operating Assumptions'!$G14="Fixed Amount",('Operating Assumptions'!$H14*AV$23)/12,IF('Operating Assumptions'!$G14="$/Garage/Month",('Operating Assumptions'!$H14*AV$23)*'Operating Assumptions'!$D$16,IF('Operating Assumptions'!$G14="$/Pet/Month",(AV$36*'Operating Assumptions'!$D$18)*('Operating Assumptions'!$H14*AV$23),IF('Operating Assumptions'!$G14="$/Parking/Month",('Operating Assumptions'!$H14*AV$23)*'Operating Assumptions'!$D$17)))))))</f>
        <v>0</v>
      </c>
      <c r="AW47" s="427">
        <f>IF(OR(AW$9&lt;'Operating Assumptions'!$D$53,AW$6&gt;'Operating Assumptions'!$AA$8,'Operating Assumptions'!$G14="N/A"),0,IF('Operating Assumptions'!$G14="$/Unit/Annual",(('Operating Assumptions'!$H14*AW$23)*AW$36)/12,IF('Operating Assumptions'!$G14="$/Unit/Month",('Operating Assumptions'!$H14*AW$23)*AW$36,IF('Operating Assumptions'!$G14="Fixed Amount",('Operating Assumptions'!$H14*AW$23)/12,IF('Operating Assumptions'!$G14="$/Garage/Month",('Operating Assumptions'!$H14*AW$23)*'Operating Assumptions'!$D$16,IF('Operating Assumptions'!$G14="$/Pet/Month",(AW$36*'Operating Assumptions'!$D$18)*('Operating Assumptions'!$H14*AW$23),IF('Operating Assumptions'!$G14="$/Parking/Month",('Operating Assumptions'!$H14*AW$23)*'Operating Assumptions'!$D$17)))))))</f>
        <v>0</v>
      </c>
      <c r="AX47" s="427">
        <f>IF(OR(AX$9&lt;'Operating Assumptions'!$D$53,AX$6&gt;'Operating Assumptions'!$AA$8,'Operating Assumptions'!$G14="N/A"),0,IF('Operating Assumptions'!$G14="$/Unit/Annual",(('Operating Assumptions'!$H14*AX$23)*AX$36)/12,IF('Operating Assumptions'!$G14="$/Unit/Month",('Operating Assumptions'!$H14*AX$23)*AX$36,IF('Operating Assumptions'!$G14="Fixed Amount",('Operating Assumptions'!$H14*AX$23)/12,IF('Operating Assumptions'!$G14="$/Garage/Month",('Operating Assumptions'!$H14*AX$23)*'Operating Assumptions'!$D$16,IF('Operating Assumptions'!$G14="$/Pet/Month",(AX$36*'Operating Assumptions'!$D$18)*('Operating Assumptions'!$H14*AX$23),IF('Operating Assumptions'!$G14="$/Parking/Month",('Operating Assumptions'!$H14*AX$23)*'Operating Assumptions'!$D$17)))))))</f>
        <v>0</v>
      </c>
      <c r="AY47" s="427">
        <f>IF(OR(AY$9&lt;'Operating Assumptions'!$D$53,AY$6&gt;'Operating Assumptions'!$AA$8,'Operating Assumptions'!$G14="N/A"),0,IF('Operating Assumptions'!$G14="$/Unit/Annual",(('Operating Assumptions'!$H14*AY$23)*AY$36)/12,IF('Operating Assumptions'!$G14="$/Unit/Month",('Operating Assumptions'!$H14*AY$23)*AY$36,IF('Operating Assumptions'!$G14="Fixed Amount",('Operating Assumptions'!$H14*AY$23)/12,IF('Operating Assumptions'!$G14="$/Garage/Month",('Operating Assumptions'!$H14*AY$23)*'Operating Assumptions'!$D$16,IF('Operating Assumptions'!$G14="$/Pet/Month",(AY$36*'Operating Assumptions'!$D$18)*('Operating Assumptions'!$H14*AY$23),IF('Operating Assumptions'!$G14="$/Parking/Month",('Operating Assumptions'!$H14*AY$23)*'Operating Assumptions'!$D$17)))))))</f>
        <v>0</v>
      </c>
      <c r="AZ47" s="427">
        <f>IF(OR(AZ$9&lt;'Operating Assumptions'!$D$53,AZ$6&gt;'Operating Assumptions'!$AA$8,'Operating Assumptions'!$G14="N/A"),0,IF('Operating Assumptions'!$G14="$/Unit/Annual",(('Operating Assumptions'!$H14*AZ$23)*AZ$36)/12,IF('Operating Assumptions'!$G14="$/Unit/Month",('Operating Assumptions'!$H14*AZ$23)*AZ$36,IF('Operating Assumptions'!$G14="Fixed Amount",('Operating Assumptions'!$H14*AZ$23)/12,IF('Operating Assumptions'!$G14="$/Garage/Month",('Operating Assumptions'!$H14*AZ$23)*'Operating Assumptions'!$D$16,IF('Operating Assumptions'!$G14="$/Pet/Month",(AZ$36*'Operating Assumptions'!$D$18)*('Operating Assumptions'!$H14*AZ$23),IF('Operating Assumptions'!$G14="$/Parking/Month",('Operating Assumptions'!$H14*AZ$23)*'Operating Assumptions'!$D$17)))))))</f>
        <v>0</v>
      </c>
      <c r="BA47" s="427">
        <f>IF(OR(BA$9&lt;'Operating Assumptions'!$D$53,BA$6&gt;'Operating Assumptions'!$AA$8,'Operating Assumptions'!$G14="N/A"),0,IF('Operating Assumptions'!$G14="$/Unit/Annual",(('Operating Assumptions'!$H14*BA$23)*BA$36)/12,IF('Operating Assumptions'!$G14="$/Unit/Month",('Operating Assumptions'!$H14*BA$23)*BA$36,IF('Operating Assumptions'!$G14="Fixed Amount",('Operating Assumptions'!$H14*BA$23)/12,IF('Operating Assumptions'!$G14="$/Garage/Month",('Operating Assumptions'!$H14*BA$23)*'Operating Assumptions'!$D$16,IF('Operating Assumptions'!$G14="$/Pet/Month",(BA$36*'Operating Assumptions'!$D$18)*('Operating Assumptions'!$H14*BA$23),IF('Operating Assumptions'!$G14="$/Parking/Month",('Operating Assumptions'!$H14*BA$23)*'Operating Assumptions'!$D$17)))))))</f>
        <v>0</v>
      </c>
      <c r="BB47" s="427">
        <f>IF(OR(BB$9&lt;'Operating Assumptions'!$D$53,BB$6&gt;'Operating Assumptions'!$AA$8,'Operating Assumptions'!$G14="N/A"),0,IF('Operating Assumptions'!$G14="$/Unit/Annual",(('Operating Assumptions'!$H14*BB$23)*BB$36)/12,IF('Operating Assumptions'!$G14="$/Unit/Month",('Operating Assumptions'!$H14*BB$23)*BB$36,IF('Operating Assumptions'!$G14="Fixed Amount",('Operating Assumptions'!$H14*BB$23)/12,IF('Operating Assumptions'!$G14="$/Garage/Month",('Operating Assumptions'!$H14*BB$23)*'Operating Assumptions'!$D$16,IF('Operating Assumptions'!$G14="$/Pet/Month",(BB$36*'Operating Assumptions'!$D$18)*('Operating Assumptions'!$H14*BB$23),IF('Operating Assumptions'!$G14="$/Parking/Month",('Operating Assumptions'!$H14*BB$23)*'Operating Assumptions'!$D$17)))))))</f>
        <v>0</v>
      </c>
      <c r="BC47" s="427">
        <f>IF(OR(BC$9&lt;'Operating Assumptions'!$D$53,BC$6&gt;'Operating Assumptions'!$AA$8,'Operating Assumptions'!$G14="N/A"),0,IF('Operating Assumptions'!$G14="$/Unit/Annual",(('Operating Assumptions'!$H14*BC$23)*BC$36)/12,IF('Operating Assumptions'!$G14="$/Unit/Month",('Operating Assumptions'!$H14*BC$23)*BC$36,IF('Operating Assumptions'!$G14="Fixed Amount",('Operating Assumptions'!$H14*BC$23)/12,IF('Operating Assumptions'!$G14="$/Garage/Month",('Operating Assumptions'!$H14*BC$23)*'Operating Assumptions'!$D$16,IF('Operating Assumptions'!$G14="$/Pet/Month",(BC$36*'Operating Assumptions'!$D$18)*('Operating Assumptions'!$H14*BC$23),IF('Operating Assumptions'!$G14="$/Parking/Month",('Operating Assumptions'!$H14*BC$23)*'Operating Assumptions'!$D$17)))))))</f>
        <v>0</v>
      </c>
      <c r="BD47" s="427">
        <f>IF(OR(BD$9&lt;'Operating Assumptions'!$D$53,BD$6&gt;'Operating Assumptions'!$AA$8,'Operating Assumptions'!$G14="N/A"),0,IF('Operating Assumptions'!$G14="$/Unit/Annual",(('Operating Assumptions'!$H14*BD$23)*BD$36)/12,IF('Operating Assumptions'!$G14="$/Unit/Month",('Operating Assumptions'!$H14*BD$23)*BD$36,IF('Operating Assumptions'!$G14="Fixed Amount",('Operating Assumptions'!$H14*BD$23)/12,IF('Operating Assumptions'!$G14="$/Garage/Month",('Operating Assumptions'!$H14*BD$23)*'Operating Assumptions'!$D$16,IF('Operating Assumptions'!$G14="$/Pet/Month",(BD$36*'Operating Assumptions'!$D$18)*('Operating Assumptions'!$H14*BD$23),IF('Operating Assumptions'!$G14="$/Parking/Month",('Operating Assumptions'!$H14*BD$23)*'Operating Assumptions'!$D$17)))))))</f>
        <v>0</v>
      </c>
      <c r="BE47" s="427">
        <f>IF(OR(BE$9&lt;'Operating Assumptions'!$D$53,BE$6&gt;'Operating Assumptions'!$AA$8,'Operating Assumptions'!$G14="N/A"),0,IF('Operating Assumptions'!$G14="$/Unit/Annual",(('Operating Assumptions'!$H14*BE$23)*BE$36)/12,IF('Operating Assumptions'!$G14="$/Unit/Month",('Operating Assumptions'!$H14*BE$23)*BE$36,IF('Operating Assumptions'!$G14="Fixed Amount",('Operating Assumptions'!$H14*BE$23)/12,IF('Operating Assumptions'!$G14="$/Garage/Month",('Operating Assumptions'!$H14*BE$23)*'Operating Assumptions'!$D$16,IF('Operating Assumptions'!$G14="$/Pet/Month",(BE$36*'Operating Assumptions'!$D$18)*('Operating Assumptions'!$H14*BE$23),IF('Operating Assumptions'!$G14="$/Parking/Month",('Operating Assumptions'!$H14*BE$23)*'Operating Assumptions'!$D$17)))))))</f>
        <v>0</v>
      </c>
      <c r="BF47" s="427">
        <f>IF(OR(BF$9&lt;'Operating Assumptions'!$D$53,BF$6&gt;'Operating Assumptions'!$AA$8,'Operating Assumptions'!$G14="N/A"),0,IF('Operating Assumptions'!$G14="$/Unit/Annual",(('Operating Assumptions'!$H14*BF$23)*BF$36)/12,IF('Operating Assumptions'!$G14="$/Unit/Month",('Operating Assumptions'!$H14*BF$23)*BF$36,IF('Operating Assumptions'!$G14="Fixed Amount",('Operating Assumptions'!$H14*BF$23)/12,IF('Operating Assumptions'!$G14="$/Garage/Month",('Operating Assumptions'!$H14*BF$23)*'Operating Assumptions'!$D$16,IF('Operating Assumptions'!$G14="$/Pet/Month",(BF$36*'Operating Assumptions'!$D$18)*('Operating Assumptions'!$H14*BF$23),IF('Operating Assumptions'!$G14="$/Parking/Month",('Operating Assumptions'!$H14*BF$23)*'Operating Assumptions'!$D$17)))))))</f>
        <v>0</v>
      </c>
      <c r="BG47" s="427">
        <f>IF(OR(BG$9&lt;'Operating Assumptions'!$D$53,BG$6&gt;'Operating Assumptions'!$AA$8,'Operating Assumptions'!$G14="N/A"),0,IF('Operating Assumptions'!$G14="$/Unit/Annual",(('Operating Assumptions'!$H14*BG$23)*BG$36)/12,IF('Operating Assumptions'!$G14="$/Unit/Month",('Operating Assumptions'!$H14*BG$23)*BG$36,IF('Operating Assumptions'!$G14="Fixed Amount",('Operating Assumptions'!$H14*BG$23)/12,IF('Operating Assumptions'!$G14="$/Garage/Month",('Operating Assumptions'!$H14*BG$23)*'Operating Assumptions'!$D$16,IF('Operating Assumptions'!$G14="$/Pet/Month",(BG$36*'Operating Assumptions'!$D$18)*('Operating Assumptions'!$H14*BG$23),IF('Operating Assumptions'!$G14="$/Parking/Month",('Operating Assumptions'!$H14*BG$23)*'Operating Assumptions'!$D$17)))))))</f>
        <v>0</v>
      </c>
      <c r="BH47" s="427">
        <f>IF(OR(BH$9&lt;'Operating Assumptions'!$D$53,BH$6&gt;'Operating Assumptions'!$AA$8,'Operating Assumptions'!$G14="N/A"),0,IF('Operating Assumptions'!$G14="$/Unit/Annual",(('Operating Assumptions'!$H14*BH$23)*BH$36)/12,IF('Operating Assumptions'!$G14="$/Unit/Month",('Operating Assumptions'!$H14*BH$23)*BH$36,IF('Operating Assumptions'!$G14="Fixed Amount",('Operating Assumptions'!$H14*BH$23)/12,IF('Operating Assumptions'!$G14="$/Garage/Month",('Operating Assumptions'!$H14*BH$23)*'Operating Assumptions'!$D$16,IF('Operating Assumptions'!$G14="$/Pet/Month",(BH$36*'Operating Assumptions'!$D$18)*('Operating Assumptions'!$H14*BH$23),IF('Operating Assumptions'!$G14="$/Parking/Month",('Operating Assumptions'!$H14*BH$23)*'Operating Assumptions'!$D$17)))))))</f>
        <v>0</v>
      </c>
      <c r="BI47" s="427">
        <f>IF(OR(BI$9&lt;'Operating Assumptions'!$D$53,BI$6&gt;'Operating Assumptions'!$AA$8,'Operating Assumptions'!$G14="N/A"),0,IF('Operating Assumptions'!$G14="$/Unit/Annual",(('Operating Assumptions'!$H14*BI$23)*BI$36)/12,IF('Operating Assumptions'!$G14="$/Unit/Month",('Operating Assumptions'!$H14*BI$23)*BI$36,IF('Operating Assumptions'!$G14="Fixed Amount",('Operating Assumptions'!$H14*BI$23)/12,IF('Operating Assumptions'!$G14="$/Garage/Month",('Operating Assumptions'!$H14*BI$23)*'Operating Assumptions'!$D$16,IF('Operating Assumptions'!$G14="$/Pet/Month",(BI$36*'Operating Assumptions'!$D$18)*('Operating Assumptions'!$H14*BI$23),IF('Operating Assumptions'!$G14="$/Parking/Month",('Operating Assumptions'!$H14*BI$23)*'Operating Assumptions'!$D$17)))))))</f>
        <v>0</v>
      </c>
      <c r="BJ47" s="427">
        <f>IF(OR(BJ$9&lt;'Operating Assumptions'!$D$53,BJ$6&gt;'Operating Assumptions'!$AA$8,'Operating Assumptions'!$G14="N/A"),0,IF('Operating Assumptions'!$G14="$/Unit/Annual",(('Operating Assumptions'!$H14*BJ$23)*BJ$36)/12,IF('Operating Assumptions'!$G14="$/Unit/Month",('Operating Assumptions'!$H14*BJ$23)*BJ$36,IF('Operating Assumptions'!$G14="Fixed Amount",('Operating Assumptions'!$H14*BJ$23)/12,IF('Operating Assumptions'!$G14="$/Garage/Month",('Operating Assumptions'!$H14*BJ$23)*'Operating Assumptions'!$D$16,IF('Operating Assumptions'!$G14="$/Pet/Month",(BJ$36*'Operating Assumptions'!$D$18)*('Operating Assumptions'!$H14*BJ$23),IF('Operating Assumptions'!$G14="$/Parking/Month",('Operating Assumptions'!$H14*BJ$23)*'Operating Assumptions'!$D$17)))))))</f>
        <v>0</v>
      </c>
      <c r="BK47" s="427">
        <f>IF(OR(BK$9&lt;'Operating Assumptions'!$D$53,BK$6&gt;'Operating Assumptions'!$AA$8,'Operating Assumptions'!$G14="N/A"),0,IF('Operating Assumptions'!$G14="$/Unit/Annual",(('Operating Assumptions'!$H14*BK$23)*BK$36)/12,IF('Operating Assumptions'!$G14="$/Unit/Month",('Operating Assumptions'!$H14*BK$23)*BK$36,IF('Operating Assumptions'!$G14="Fixed Amount",('Operating Assumptions'!$H14*BK$23)/12,IF('Operating Assumptions'!$G14="$/Garage/Month",('Operating Assumptions'!$H14*BK$23)*'Operating Assumptions'!$D$16,IF('Operating Assumptions'!$G14="$/Pet/Month",(BK$36*'Operating Assumptions'!$D$18)*('Operating Assumptions'!$H14*BK$23),IF('Operating Assumptions'!$G14="$/Parking/Month",('Operating Assumptions'!$H14*BK$23)*'Operating Assumptions'!$D$17)))))))</f>
        <v>0</v>
      </c>
      <c r="BL47" s="427">
        <f>IF(OR(BL$9&lt;'Operating Assumptions'!$D$53,BL$6&gt;'Operating Assumptions'!$AA$8,'Operating Assumptions'!$G14="N/A"),0,IF('Operating Assumptions'!$G14="$/Unit/Annual",(('Operating Assumptions'!$H14*BL$23)*BL$36)/12,IF('Operating Assumptions'!$G14="$/Unit/Month",('Operating Assumptions'!$H14*BL$23)*BL$36,IF('Operating Assumptions'!$G14="Fixed Amount",('Operating Assumptions'!$H14*BL$23)/12,IF('Operating Assumptions'!$G14="$/Garage/Month",('Operating Assumptions'!$H14*BL$23)*'Operating Assumptions'!$D$16,IF('Operating Assumptions'!$G14="$/Pet/Month",(BL$36*'Operating Assumptions'!$D$18)*('Operating Assumptions'!$H14*BL$23),IF('Operating Assumptions'!$G14="$/Parking/Month",('Operating Assumptions'!$H14*BL$23)*'Operating Assumptions'!$D$17)))))))</f>
        <v>0</v>
      </c>
      <c r="BM47" s="427">
        <f>IF(OR(BM$9&lt;'Operating Assumptions'!$D$53,BM$6&gt;'Operating Assumptions'!$AA$8,'Operating Assumptions'!$G14="N/A"),0,IF('Operating Assumptions'!$G14="$/Unit/Annual",(('Operating Assumptions'!$H14*BM$23)*BM$36)/12,IF('Operating Assumptions'!$G14="$/Unit/Month",('Operating Assumptions'!$H14*BM$23)*BM$36,IF('Operating Assumptions'!$G14="Fixed Amount",('Operating Assumptions'!$H14*BM$23)/12,IF('Operating Assumptions'!$G14="$/Garage/Month",('Operating Assumptions'!$H14*BM$23)*'Operating Assumptions'!$D$16,IF('Operating Assumptions'!$G14="$/Pet/Month",(BM$36*'Operating Assumptions'!$D$18)*('Operating Assumptions'!$H14*BM$23),IF('Operating Assumptions'!$G14="$/Parking/Month",('Operating Assumptions'!$H14*BM$23)*'Operating Assumptions'!$D$17)))))))</f>
        <v>0</v>
      </c>
      <c r="BN47" s="427">
        <f>IF(OR(BN$9&lt;'Operating Assumptions'!$D$53,BN$6&gt;'Operating Assumptions'!$AA$8,'Operating Assumptions'!$G14="N/A"),0,IF('Operating Assumptions'!$G14="$/Unit/Annual",(('Operating Assumptions'!$H14*BN$23)*BN$36)/12,IF('Operating Assumptions'!$G14="$/Unit/Month",('Operating Assumptions'!$H14*BN$23)*BN$36,IF('Operating Assumptions'!$G14="Fixed Amount",('Operating Assumptions'!$H14*BN$23)/12,IF('Operating Assumptions'!$G14="$/Garage/Month",('Operating Assumptions'!$H14*BN$23)*'Operating Assumptions'!$D$16,IF('Operating Assumptions'!$G14="$/Pet/Month",(BN$36*'Operating Assumptions'!$D$18)*('Operating Assumptions'!$H14*BN$23),IF('Operating Assumptions'!$G14="$/Parking/Month",('Operating Assumptions'!$H14*BN$23)*'Operating Assumptions'!$D$17)))))))</f>
        <v>0</v>
      </c>
      <c r="BO47" s="427">
        <f>IF(OR(BO$9&lt;'Operating Assumptions'!$D$53,BO$6&gt;'Operating Assumptions'!$AA$8,'Operating Assumptions'!$G14="N/A"),0,IF('Operating Assumptions'!$G14="$/Unit/Annual",(('Operating Assumptions'!$H14*BO$23)*BO$36)/12,IF('Operating Assumptions'!$G14="$/Unit/Month",('Operating Assumptions'!$H14*BO$23)*BO$36,IF('Operating Assumptions'!$G14="Fixed Amount",('Operating Assumptions'!$H14*BO$23)/12,IF('Operating Assumptions'!$G14="$/Garage/Month",('Operating Assumptions'!$H14*BO$23)*'Operating Assumptions'!$D$16,IF('Operating Assumptions'!$G14="$/Pet/Month",(BO$36*'Operating Assumptions'!$D$18)*('Operating Assumptions'!$H14*BO$23),IF('Operating Assumptions'!$G14="$/Parking/Month",('Operating Assumptions'!$H14*BO$23)*'Operating Assumptions'!$D$17)))))))</f>
        <v>0</v>
      </c>
      <c r="BP47" s="427">
        <f>IF(OR(BP$9&lt;'Operating Assumptions'!$D$53,BP$6&gt;'Operating Assumptions'!$AA$8,'Operating Assumptions'!$G14="N/A"),0,IF('Operating Assumptions'!$G14="$/Unit/Annual",(('Operating Assumptions'!$H14*BP$23)*BP$36)/12,IF('Operating Assumptions'!$G14="$/Unit/Month",('Operating Assumptions'!$H14*BP$23)*BP$36,IF('Operating Assumptions'!$G14="Fixed Amount",('Operating Assumptions'!$H14*BP$23)/12,IF('Operating Assumptions'!$G14="$/Garage/Month",('Operating Assumptions'!$H14*BP$23)*'Operating Assumptions'!$D$16,IF('Operating Assumptions'!$G14="$/Pet/Month",(BP$36*'Operating Assumptions'!$D$18)*('Operating Assumptions'!$H14*BP$23),IF('Operating Assumptions'!$G14="$/Parking/Month",('Operating Assumptions'!$H14*BP$23)*'Operating Assumptions'!$D$17)))))))</f>
        <v>0</v>
      </c>
      <c r="BQ47" s="427">
        <f>IF(OR(BQ$9&lt;'Operating Assumptions'!$D$53,BQ$6&gt;'Operating Assumptions'!$AA$8,'Operating Assumptions'!$G14="N/A"),0,IF('Operating Assumptions'!$G14="$/Unit/Annual",(('Operating Assumptions'!$H14*BQ$23)*BQ$36)/12,IF('Operating Assumptions'!$G14="$/Unit/Month",('Operating Assumptions'!$H14*BQ$23)*BQ$36,IF('Operating Assumptions'!$G14="Fixed Amount",('Operating Assumptions'!$H14*BQ$23)/12,IF('Operating Assumptions'!$G14="$/Garage/Month",('Operating Assumptions'!$H14*BQ$23)*'Operating Assumptions'!$D$16,IF('Operating Assumptions'!$G14="$/Pet/Month",(BQ$36*'Operating Assumptions'!$D$18)*('Operating Assumptions'!$H14*BQ$23),IF('Operating Assumptions'!$G14="$/Parking/Month",('Operating Assumptions'!$H14*BQ$23)*'Operating Assumptions'!$D$17)))))))</f>
        <v>0</v>
      </c>
      <c r="BR47" s="427">
        <f>IF(OR(BR$9&lt;'Operating Assumptions'!$D$53,BR$6&gt;'Operating Assumptions'!$AA$8,'Operating Assumptions'!$G14="N/A"),0,IF('Operating Assumptions'!$G14="$/Unit/Annual",(('Operating Assumptions'!$H14*BR$23)*BR$36)/12,IF('Operating Assumptions'!$G14="$/Unit/Month",('Operating Assumptions'!$H14*BR$23)*BR$36,IF('Operating Assumptions'!$G14="Fixed Amount",('Operating Assumptions'!$H14*BR$23)/12,IF('Operating Assumptions'!$G14="$/Garage/Month",('Operating Assumptions'!$H14*BR$23)*'Operating Assumptions'!$D$16,IF('Operating Assumptions'!$G14="$/Pet/Month",(BR$36*'Operating Assumptions'!$D$18)*('Operating Assumptions'!$H14*BR$23),IF('Operating Assumptions'!$G14="$/Parking/Month",('Operating Assumptions'!$H14*BR$23)*'Operating Assumptions'!$D$17)))))))</f>
        <v>0</v>
      </c>
      <c r="BS47" s="427">
        <f>IF(OR(BS$9&lt;'Operating Assumptions'!$D$53,BS$6&gt;'Operating Assumptions'!$AA$8,'Operating Assumptions'!$G14="N/A"),0,IF('Operating Assumptions'!$G14="$/Unit/Annual",(('Operating Assumptions'!$H14*BS$23)*BS$36)/12,IF('Operating Assumptions'!$G14="$/Unit/Month",('Operating Assumptions'!$H14*BS$23)*BS$36,IF('Operating Assumptions'!$G14="Fixed Amount",('Operating Assumptions'!$H14*BS$23)/12,IF('Operating Assumptions'!$G14="$/Garage/Month",('Operating Assumptions'!$H14*BS$23)*'Operating Assumptions'!$D$16,IF('Operating Assumptions'!$G14="$/Pet/Month",(BS$36*'Operating Assumptions'!$D$18)*('Operating Assumptions'!$H14*BS$23),IF('Operating Assumptions'!$G14="$/Parking/Month",('Operating Assumptions'!$H14*BS$23)*'Operating Assumptions'!$D$17)))))))</f>
        <v>0</v>
      </c>
      <c r="BT47" s="427">
        <f>IF(OR(BT$9&lt;'Operating Assumptions'!$D$53,BT$6&gt;'Operating Assumptions'!$AA$8,'Operating Assumptions'!$G14="N/A"),0,IF('Operating Assumptions'!$G14="$/Unit/Annual",(('Operating Assumptions'!$H14*BT$23)*BT$36)/12,IF('Operating Assumptions'!$G14="$/Unit/Month",('Operating Assumptions'!$H14*BT$23)*BT$36,IF('Operating Assumptions'!$G14="Fixed Amount",('Operating Assumptions'!$H14*BT$23)/12,IF('Operating Assumptions'!$G14="$/Garage/Month",('Operating Assumptions'!$H14*BT$23)*'Operating Assumptions'!$D$16,IF('Operating Assumptions'!$G14="$/Pet/Month",(BT$36*'Operating Assumptions'!$D$18)*('Operating Assumptions'!$H14*BT$23),IF('Operating Assumptions'!$G14="$/Parking/Month",('Operating Assumptions'!$H14*BT$23)*'Operating Assumptions'!$D$17)))))))</f>
        <v>0</v>
      </c>
      <c r="BU47" s="427">
        <f>IF(OR(BU$9&lt;'Operating Assumptions'!$D$53,BU$6&gt;'Operating Assumptions'!$AA$8,'Operating Assumptions'!$G14="N/A"),0,IF('Operating Assumptions'!$G14="$/Unit/Annual",(('Operating Assumptions'!$H14*BU$23)*BU$36)/12,IF('Operating Assumptions'!$G14="$/Unit/Month",('Operating Assumptions'!$H14*BU$23)*BU$36,IF('Operating Assumptions'!$G14="Fixed Amount",('Operating Assumptions'!$H14*BU$23)/12,IF('Operating Assumptions'!$G14="$/Garage/Month",('Operating Assumptions'!$H14*BU$23)*'Operating Assumptions'!$D$16,IF('Operating Assumptions'!$G14="$/Pet/Month",(BU$36*'Operating Assumptions'!$D$18)*('Operating Assumptions'!$H14*BU$23),IF('Operating Assumptions'!$G14="$/Parking/Month",('Operating Assumptions'!$H14*BU$23)*'Operating Assumptions'!$D$17)))))))</f>
        <v>0</v>
      </c>
      <c r="BV47" s="427">
        <f>IF(OR(BV$9&lt;'Operating Assumptions'!$D$53,BV$6&gt;'Operating Assumptions'!$AA$8,'Operating Assumptions'!$G14="N/A"),0,IF('Operating Assumptions'!$G14="$/Unit/Annual",(('Operating Assumptions'!$H14*BV$23)*BV$36)/12,IF('Operating Assumptions'!$G14="$/Unit/Month",('Operating Assumptions'!$H14*BV$23)*BV$36,IF('Operating Assumptions'!$G14="Fixed Amount",('Operating Assumptions'!$H14*BV$23)/12,IF('Operating Assumptions'!$G14="$/Garage/Month",('Operating Assumptions'!$H14*BV$23)*'Operating Assumptions'!$D$16,IF('Operating Assumptions'!$G14="$/Pet/Month",(BV$36*'Operating Assumptions'!$D$18)*('Operating Assumptions'!$H14*BV$23),IF('Operating Assumptions'!$G14="$/Parking/Month",('Operating Assumptions'!$H14*BV$23)*'Operating Assumptions'!$D$17)))))))</f>
        <v>0</v>
      </c>
      <c r="BW47" s="427">
        <f>IF(OR(BW$9&lt;'Operating Assumptions'!$D$53,BW$6&gt;'Operating Assumptions'!$AA$8,'Operating Assumptions'!$G14="N/A"),0,IF('Operating Assumptions'!$G14="$/Unit/Annual",(('Operating Assumptions'!$H14*BW$23)*BW$36)/12,IF('Operating Assumptions'!$G14="$/Unit/Month",('Operating Assumptions'!$H14*BW$23)*BW$36,IF('Operating Assumptions'!$G14="Fixed Amount",('Operating Assumptions'!$H14*BW$23)/12,IF('Operating Assumptions'!$G14="$/Garage/Month",('Operating Assumptions'!$H14*BW$23)*'Operating Assumptions'!$D$16,IF('Operating Assumptions'!$G14="$/Pet/Month",(BW$36*'Operating Assumptions'!$D$18)*('Operating Assumptions'!$H14*BW$23),IF('Operating Assumptions'!$G14="$/Parking/Month",('Operating Assumptions'!$H14*BW$23)*'Operating Assumptions'!$D$17)))))))</f>
        <v>0</v>
      </c>
      <c r="BX47" s="427">
        <f>IF(OR(BX$9&lt;'Operating Assumptions'!$D$53,BX$6&gt;'Operating Assumptions'!$AA$8,'Operating Assumptions'!$G14="N/A"),0,IF('Operating Assumptions'!$G14="$/Unit/Annual",(('Operating Assumptions'!$H14*BX$23)*BX$36)/12,IF('Operating Assumptions'!$G14="$/Unit/Month",('Operating Assumptions'!$H14*BX$23)*BX$36,IF('Operating Assumptions'!$G14="Fixed Amount",('Operating Assumptions'!$H14*BX$23)/12,IF('Operating Assumptions'!$G14="$/Garage/Month",('Operating Assumptions'!$H14*BX$23)*'Operating Assumptions'!$D$16,IF('Operating Assumptions'!$G14="$/Pet/Month",(BX$36*'Operating Assumptions'!$D$18)*('Operating Assumptions'!$H14*BX$23),IF('Operating Assumptions'!$G14="$/Parking/Month",('Operating Assumptions'!$H14*BX$23)*'Operating Assumptions'!$D$17)))))))</f>
        <v>0</v>
      </c>
      <c r="BY47" s="427">
        <f>IF(OR(BY$9&lt;'Operating Assumptions'!$D$53,BY$6&gt;'Operating Assumptions'!$AA$8,'Operating Assumptions'!$G14="N/A"),0,IF('Operating Assumptions'!$G14="$/Unit/Annual",(('Operating Assumptions'!$H14*BY$23)*BY$36)/12,IF('Operating Assumptions'!$G14="$/Unit/Month",('Operating Assumptions'!$H14*BY$23)*BY$36,IF('Operating Assumptions'!$G14="Fixed Amount",('Operating Assumptions'!$H14*BY$23)/12,IF('Operating Assumptions'!$G14="$/Garage/Month",('Operating Assumptions'!$H14*BY$23)*'Operating Assumptions'!$D$16,IF('Operating Assumptions'!$G14="$/Pet/Month",(BY$36*'Operating Assumptions'!$D$18)*('Operating Assumptions'!$H14*BY$23),IF('Operating Assumptions'!$G14="$/Parking/Month",('Operating Assumptions'!$H14*BY$23)*'Operating Assumptions'!$D$17)))))))</f>
        <v>0</v>
      </c>
      <c r="BZ47" s="427">
        <f>IF(OR(BZ$9&lt;'Operating Assumptions'!$D$53,BZ$6&gt;'Operating Assumptions'!$AA$8,'Operating Assumptions'!$G14="N/A"),0,IF('Operating Assumptions'!$G14="$/Unit/Annual",(('Operating Assumptions'!$H14*BZ$23)*BZ$36)/12,IF('Operating Assumptions'!$G14="$/Unit/Month",('Operating Assumptions'!$H14*BZ$23)*BZ$36,IF('Operating Assumptions'!$G14="Fixed Amount",('Operating Assumptions'!$H14*BZ$23)/12,IF('Operating Assumptions'!$G14="$/Garage/Month",('Operating Assumptions'!$H14*BZ$23)*'Operating Assumptions'!$D$16,IF('Operating Assumptions'!$G14="$/Pet/Month",(BZ$36*'Operating Assumptions'!$D$18)*('Operating Assumptions'!$H14*BZ$23),IF('Operating Assumptions'!$G14="$/Parking/Month",('Operating Assumptions'!$H14*BZ$23)*'Operating Assumptions'!$D$17)))))))</f>
        <v>0</v>
      </c>
      <c r="CA47" s="427">
        <f>IF(OR(CA$9&lt;'Operating Assumptions'!$D$53,CA$6&gt;'Operating Assumptions'!$AA$8,'Operating Assumptions'!$G14="N/A"),0,IF('Operating Assumptions'!$G14="$/Unit/Annual",(('Operating Assumptions'!$H14*CA$23)*CA$36)/12,IF('Operating Assumptions'!$G14="$/Unit/Month",('Operating Assumptions'!$H14*CA$23)*CA$36,IF('Operating Assumptions'!$G14="Fixed Amount",('Operating Assumptions'!$H14*CA$23)/12,IF('Operating Assumptions'!$G14="$/Garage/Month",('Operating Assumptions'!$H14*CA$23)*'Operating Assumptions'!$D$16,IF('Operating Assumptions'!$G14="$/Pet/Month",(CA$36*'Operating Assumptions'!$D$18)*('Operating Assumptions'!$H14*CA$23),IF('Operating Assumptions'!$G14="$/Parking/Month",('Operating Assumptions'!$H14*CA$23)*'Operating Assumptions'!$D$17)))))))</f>
        <v>0</v>
      </c>
      <c r="CB47" s="427">
        <f>IF(OR(CB$9&lt;'Operating Assumptions'!$D$53,CB$6&gt;'Operating Assumptions'!$AA$8,'Operating Assumptions'!$G14="N/A"),0,IF('Operating Assumptions'!$G14="$/Unit/Annual",(('Operating Assumptions'!$H14*CB$23)*CB$36)/12,IF('Operating Assumptions'!$G14="$/Unit/Month",('Operating Assumptions'!$H14*CB$23)*CB$36,IF('Operating Assumptions'!$G14="Fixed Amount",('Operating Assumptions'!$H14*CB$23)/12,IF('Operating Assumptions'!$G14="$/Garage/Month",('Operating Assumptions'!$H14*CB$23)*'Operating Assumptions'!$D$16,IF('Operating Assumptions'!$G14="$/Pet/Month",(CB$36*'Operating Assumptions'!$D$18)*('Operating Assumptions'!$H14*CB$23),IF('Operating Assumptions'!$G14="$/Parking/Month",('Operating Assumptions'!$H14*CB$23)*'Operating Assumptions'!$D$17)))))))</f>
        <v>0</v>
      </c>
      <c r="CC47" s="427">
        <f>IF(OR(CC$9&lt;'Operating Assumptions'!$D$53,CC$6&gt;'Operating Assumptions'!$AA$8,'Operating Assumptions'!$G14="N/A"),0,IF('Operating Assumptions'!$G14="$/Unit/Annual",(('Operating Assumptions'!$H14*CC$23)*CC$36)/12,IF('Operating Assumptions'!$G14="$/Unit/Month",('Operating Assumptions'!$H14*CC$23)*CC$36,IF('Operating Assumptions'!$G14="Fixed Amount",('Operating Assumptions'!$H14*CC$23)/12,IF('Operating Assumptions'!$G14="$/Garage/Month",('Operating Assumptions'!$H14*CC$23)*'Operating Assumptions'!$D$16,IF('Operating Assumptions'!$G14="$/Pet/Month",(CC$36*'Operating Assumptions'!$D$18)*('Operating Assumptions'!$H14*CC$23),IF('Operating Assumptions'!$G14="$/Parking/Month",('Operating Assumptions'!$H14*CC$23)*'Operating Assumptions'!$D$17)))))))</f>
        <v>0</v>
      </c>
      <c r="CD47" s="427">
        <f>IF(OR(CD$9&lt;'Operating Assumptions'!$D$53,CD$6&gt;'Operating Assumptions'!$AA$8,'Operating Assumptions'!$G14="N/A"),0,IF('Operating Assumptions'!$G14="$/Unit/Annual",(('Operating Assumptions'!$H14*CD$23)*CD$36)/12,IF('Operating Assumptions'!$G14="$/Unit/Month",('Operating Assumptions'!$H14*CD$23)*CD$36,IF('Operating Assumptions'!$G14="Fixed Amount",('Operating Assumptions'!$H14*CD$23)/12,IF('Operating Assumptions'!$G14="$/Garage/Month",('Operating Assumptions'!$H14*CD$23)*'Operating Assumptions'!$D$16,IF('Operating Assumptions'!$G14="$/Pet/Month",(CD$36*'Operating Assumptions'!$D$18)*('Operating Assumptions'!$H14*CD$23),IF('Operating Assumptions'!$G14="$/Parking/Month",('Operating Assumptions'!$H14*CD$23)*'Operating Assumptions'!$D$17)))))))</f>
        <v>0</v>
      </c>
      <c r="CE47" s="427">
        <f>IF(OR(CE$9&lt;'Operating Assumptions'!$D$53,CE$6&gt;'Operating Assumptions'!$AA$8,'Operating Assumptions'!$G14="N/A"),0,IF('Operating Assumptions'!$G14="$/Unit/Annual",(('Operating Assumptions'!$H14*CE$23)*CE$36)/12,IF('Operating Assumptions'!$G14="$/Unit/Month",('Operating Assumptions'!$H14*CE$23)*CE$36,IF('Operating Assumptions'!$G14="Fixed Amount",('Operating Assumptions'!$H14*CE$23)/12,IF('Operating Assumptions'!$G14="$/Garage/Month",('Operating Assumptions'!$H14*CE$23)*'Operating Assumptions'!$D$16,IF('Operating Assumptions'!$G14="$/Pet/Month",(CE$36*'Operating Assumptions'!$D$18)*('Operating Assumptions'!$H14*CE$23),IF('Operating Assumptions'!$G14="$/Parking/Month",('Operating Assumptions'!$H14*CE$23)*'Operating Assumptions'!$D$17)))))))</f>
        <v>0</v>
      </c>
      <c r="CF47" s="427">
        <f>IF(OR(CF$9&lt;'Operating Assumptions'!$D$53,CF$6&gt;'Operating Assumptions'!$AA$8,'Operating Assumptions'!$G14="N/A"),0,IF('Operating Assumptions'!$G14="$/Unit/Annual",(('Operating Assumptions'!$H14*CF$23)*CF$36)/12,IF('Operating Assumptions'!$G14="$/Unit/Month",('Operating Assumptions'!$H14*CF$23)*CF$36,IF('Operating Assumptions'!$G14="Fixed Amount",('Operating Assumptions'!$H14*CF$23)/12,IF('Operating Assumptions'!$G14="$/Garage/Month",('Operating Assumptions'!$H14*CF$23)*'Operating Assumptions'!$D$16,IF('Operating Assumptions'!$G14="$/Pet/Month",(CF$36*'Operating Assumptions'!$D$18)*('Operating Assumptions'!$H14*CF$23),IF('Operating Assumptions'!$G14="$/Parking/Month",('Operating Assumptions'!$H14*CF$23)*'Operating Assumptions'!$D$17)))))))</f>
        <v>0</v>
      </c>
      <c r="CG47" s="427">
        <f>IF(OR(CG$9&lt;'Operating Assumptions'!$D$53,CG$6&gt;'Operating Assumptions'!$AA$8,'Operating Assumptions'!$G14="N/A"),0,IF('Operating Assumptions'!$G14="$/Unit/Annual",(('Operating Assumptions'!$H14*CG$23)*CG$36)/12,IF('Operating Assumptions'!$G14="$/Unit/Month",('Operating Assumptions'!$H14*CG$23)*CG$36,IF('Operating Assumptions'!$G14="Fixed Amount",('Operating Assumptions'!$H14*CG$23)/12,IF('Operating Assumptions'!$G14="$/Garage/Month",('Operating Assumptions'!$H14*CG$23)*'Operating Assumptions'!$D$16,IF('Operating Assumptions'!$G14="$/Pet/Month",(CG$36*'Operating Assumptions'!$D$18)*('Operating Assumptions'!$H14*CG$23),IF('Operating Assumptions'!$G14="$/Parking/Month",('Operating Assumptions'!$H14*CG$23)*'Operating Assumptions'!$D$17)))))))</f>
        <v>0</v>
      </c>
      <c r="CH47" s="427">
        <f>IF(OR(CH$9&lt;'Operating Assumptions'!$D$53,CH$6&gt;'Operating Assumptions'!$AA$8,'Operating Assumptions'!$G14="N/A"),0,IF('Operating Assumptions'!$G14="$/Unit/Annual",(('Operating Assumptions'!$H14*CH$23)*CH$36)/12,IF('Operating Assumptions'!$G14="$/Unit/Month",('Operating Assumptions'!$H14*CH$23)*CH$36,IF('Operating Assumptions'!$G14="Fixed Amount",('Operating Assumptions'!$H14*CH$23)/12,IF('Operating Assumptions'!$G14="$/Garage/Month",('Operating Assumptions'!$H14*CH$23)*'Operating Assumptions'!$D$16,IF('Operating Assumptions'!$G14="$/Pet/Month",(CH$36*'Operating Assumptions'!$D$18)*('Operating Assumptions'!$H14*CH$23),IF('Operating Assumptions'!$G14="$/Parking/Month",('Operating Assumptions'!$H14*CH$23)*'Operating Assumptions'!$D$17)))))))</f>
        <v>0</v>
      </c>
      <c r="CI47" s="427">
        <f>IF(OR(CI$9&lt;'Operating Assumptions'!$D$53,CI$6&gt;'Operating Assumptions'!$AA$8,'Operating Assumptions'!$G14="N/A"),0,IF('Operating Assumptions'!$G14="$/Unit/Annual",(('Operating Assumptions'!$H14*CI$23)*CI$36)/12,IF('Operating Assumptions'!$G14="$/Unit/Month",('Operating Assumptions'!$H14*CI$23)*CI$36,IF('Operating Assumptions'!$G14="Fixed Amount",('Operating Assumptions'!$H14*CI$23)/12,IF('Operating Assumptions'!$G14="$/Garage/Month",('Operating Assumptions'!$H14*CI$23)*'Operating Assumptions'!$D$16,IF('Operating Assumptions'!$G14="$/Pet/Month",(CI$36*'Operating Assumptions'!$D$18)*('Operating Assumptions'!$H14*CI$23),IF('Operating Assumptions'!$G14="$/Parking/Month",('Operating Assumptions'!$H14*CI$23)*'Operating Assumptions'!$D$17)))))))</f>
        <v>0</v>
      </c>
      <c r="CJ47" s="427">
        <f>IF(OR(CJ$9&lt;'Operating Assumptions'!$D$53,CJ$6&gt;'Operating Assumptions'!$AA$8,'Operating Assumptions'!$G14="N/A"),0,IF('Operating Assumptions'!$G14="$/Unit/Annual",(('Operating Assumptions'!$H14*CJ$23)*CJ$36)/12,IF('Operating Assumptions'!$G14="$/Unit/Month",('Operating Assumptions'!$H14*CJ$23)*CJ$36,IF('Operating Assumptions'!$G14="Fixed Amount",('Operating Assumptions'!$H14*CJ$23)/12,IF('Operating Assumptions'!$G14="$/Garage/Month",('Operating Assumptions'!$H14*CJ$23)*'Operating Assumptions'!$D$16,IF('Operating Assumptions'!$G14="$/Pet/Month",(CJ$36*'Operating Assumptions'!$D$18)*('Operating Assumptions'!$H14*CJ$23),IF('Operating Assumptions'!$G14="$/Parking/Month",('Operating Assumptions'!$H14*CJ$23)*'Operating Assumptions'!$D$17)))))))</f>
        <v>0</v>
      </c>
      <c r="CK47" s="427">
        <f>IF(OR(CK$9&lt;'Operating Assumptions'!$D$53,CK$6&gt;'Operating Assumptions'!$AA$8,'Operating Assumptions'!$G14="N/A"),0,IF('Operating Assumptions'!$G14="$/Unit/Annual",(('Operating Assumptions'!$H14*CK$23)*CK$36)/12,IF('Operating Assumptions'!$G14="$/Unit/Month",('Operating Assumptions'!$H14*CK$23)*CK$36,IF('Operating Assumptions'!$G14="Fixed Amount",('Operating Assumptions'!$H14*CK$23)/12,IF('Operating Assumptions'!$G14="$/Garage/Month",('Operating Assumptions'!$H14*CK$23)*'Operating Assumptions'!$D$16,IF('Operating Assumptions'!$G14="$/Pet/Month",(CK$36*'Operating Assumptions'!$D$18)*('Operating Assumptions'!$H14*CK$23),IF('Operating Assumptions'!$G14="$/Parking/Month",('Operating Assumptions'!$H14*CK$23)*'Operating Assumptions'!$D$17)))))))</f>
        <v>0</v>
      </c>
      <c r="CL47" s="427">
        <f>IF(OR(CL$9&lt;'Operating Assumptions'!$D$53,CL$6&gt;'Operating Assumptions'!$AA$8,'Operating Assumptions'!$G14="N/A"),0,IF('Operating Assumptions'!$G14="$/Unit/Annual",(('Operating Assumptions'!$H14*CL$23)*CL$36)/12,IF('Operating Assumptions'!$G14="$/Unit/Month",('Operating Assumptions'!$H14*CL$23)*CL$36,IF('Operating Assumptions'!$G14="Fixed Amount",('Operating Assumptions'!$H14*CL$23)/12,IF('Operating Assumptions'!$G14="$/Garage/Month",('Operating Assumptions'!$H14*CL$23)*'Operating Assumptions'!$D$16,IF('Operating Assumptions'!$G14="$/Pet/Month",(CL$36*'Operating Assumptions'!$D$18)*('Operating Assumptions'!$H14*CL$23),IF('Operating Assumptions'!$G14="$/Parking/Month",('Operating Assumptions'!$H14*CL$23)*'Operating Assumptions'!$D$17)))))))</f>
        <v>0</v>
      </c>
      <c r="CM47" s="427">
        <f>IF(OR(CM$9&lt;'Operating Assumptions'!$D$53,CM$6&gt;'Operating Assumptions'!$AA$8,'Operating Assumptions'!$G14="N/A"),0,IF('Operating Assumptions'!$G14="$/Unit/Annual",(('Operating Assumptions'!$H14*CM$23)*CM$36)/12,IF('Operating Assumptions'!$G14="$/Unit/Month",('Operating Assumptions'!$H14*CM$23)*CM$36,IF('Operating Assumptions'!$G14="Fixed Amount",('Operating Assumptions'!$H14*CM$23)/12,IF('Operating Assumptions'!$G14="$/Garage/Month",('Operating Assumptions'!$H14*CM$23)*'Operating Assumptions'!$D$16,IF('Operating Assumptions'!$G14="$/Pet/Month",(CM$36*'Operating Assumptions'!$D$18)*('Operating Assumptions'!$H14*CM$23),IF('Operating Assumptions'!$G14="$/Parking/Month",('Operating Assumptions'!$H14*CM$23)*'Operating Assumptions'!$D$17)))))))</f>
        <v>0</v>
      </c>
      <c r="CN47" s="427">
        <f>IF(OR(CN$9&lt;'Operating Assumptions'!$D$53,CN$6&gt;'Operating Assumptions'!$AA$8,'Operating Assumptions'!$G14="N/A"),0,IF('Operating Assumptions'!$G14="$/Unit/Annual",(('Operating Assumptions'!$H14*CN$23)*CN$36)/12,IF('Operating Assumptions'!$G14="$/Unit/Month",('Operating Assumptions'!$H14*CN$23)*CN$36,IF('Operating Assumptions'!$G14="Fixed Amount",('Operating Assumptions'!$H14*CN$23)/12,IF('Operating Assumptions'!$G14="$/Garage/Month",('Operating Assumptions'!$H14*CN$23)*'Operating Assumptions'!$D$16,IF('Operating Assumptions'!$G14="$/Pet/Month",(CN$36*'Operating Assumptions'!$D$18)*('Operating Assumptions'!$H14*CN$23),IF('Operating Assumptions'!$G14="$/Parking/Month",('Operating Assumptions'!$H14*CN$23)*'Operating Assumptions'!$D$17)))))))</f>
        <v>0</v>
      </c>
      <c r="CO47" s="427">
        <f>IF(OR(CO$9&lt;'Operating Assumptions'!$D$53,CO$6&gt;'Operating Assumptions'!$AA$8,'Operating Assumptions'!$G14="N/A"),0,IF('Operating Assumptions'!$G14="$/Unit/Annual",(('Operating Assumptions'!$H14*CO$23)*CO$36)/12,IF('Operating Assumptions'!$G14="$/Unit/Month",('Operating Assumptions'!$H14*CO$23)*CO$36,IF('Operating Assumptions'!$G14="Fixed Amount",('Operating Assumptions'!$H14*CO$23)/12,IF('Operating Assumptions'!$G14="$/Garage/Month",('Operating Assumptions'!$H14*CO$23)*'Operating Assumptions'!$D$16,IF('Operating Assumptions'!$G14="$/Pet/Month",(CO$36*'Operating Assumptions'!$D$18)*('Operating Assumptions'!$H14*CO$23),IF('Operating Assumptions'!$G14="$/Parking/Month",('Operating Assumptions'!$H14*CO$23)*'Operating Assumptions'!$D$17)))))))</f>
        <v>0</v>
      </c>
      <c r="CP47" s="427">
        <f>IF(OR(CP$9&lt;'Operating Assumptions'!$D$53,CP$6&gt;'Operating Assumptions'!$AA$8,'Operating Assumptions'!$G14="N/A"),0,IF('Operating Assumptions'!$G14="$/Unit/Annual",(('Operating Assumptions'!$H14*CP$23)*CP$36)/12,IF('Operating Assumptions'!$G14="$/Unit/Month",('Operating Assumptions'!$H14*CP$23)*CP$36,IF('Operating Assumptions'!$G14="Fixed Amount",('Operating Assumptions'!$H14*CP$23)/12,IF('Operating Assumptions'!$G14="$/Garage/Month",('Operating Assumptions'!$H14*CP$23)*'Operating Assumptions'!$D$16,IF('Operating Assumptions'!$G14="$/Pet/Month",(CP$36*'Operating Assumptions'!$D$18)*('Operating Assumptions'!$H14*CP$23),IF('Operating Assumptions'!$G14="$/Parking/Month",('Operating Assumptions'!$H14*CP$23)*'Operating Assumptions'!$D$17)))))))</f>
        <v>0</v>
      </c>
      <c r="CQ47" s="427">
        <f>IF(OR(CQ$9&lt;'Operating Assumptions'!$D$53,CQ$6&gt;'Operating Assumptions'!$AA$8,'Operating Assumptions'!$G14="N/A"),0,IF('Operating Assumptions'!$G14="$/Unit/Annual",(('Operating Assumptions'!$H14*CQ$23)*CQ$36)/12,IF('Operating Assumptions'!$G14="$/Unit/Month",('Operating Assumptions'!$H14*CQ$23)*CQ$36,IF('Operating Assumptions'!$G14="Fixed Amount",('Operating Assumptions'!$H14*CQ$23)/12,IF('Operating Assumptions'!$G14="$/Garage/Month",('Operating Assumptions'!$H14*CQ$23)*'Operating Assumptions'!$D$16,IF('Operating Assumptions'!$G14="$/Pet/Month",(CQ$36*'Operating Assumptions'!$D$18)*('Operating Assumptions'!$H14*CQ$23),IF('Operating Assumptions'!$G14="$/Parking/Month",('Operating Assumptions'!$H14*CQ$23)*'Operating Assumptions'!$D$17)))))))</f>
        <v>0</v>
      </c>
      <c r="CR47" s="427">
        <f>IF(OR(CR$9&lt;'Operating Assumptions'!$D$53,CR$6&gt;'Operating Assumptions'!$AA$8,'Operating Assumptions'!$G14="N/A"),0,IF('Operating Assumptions'!$G14="$/Unit/Annual",(('Operating Assumptions'!$H14*CR$23)*CR$36)/12,IF('Operating Assumptions'!$G14="$/Unit/Month",('Operating Assumptions'!$H14*CR$23)*CR$36,IF('Operating Assumptions'!$G14="Fixed Amount",('Operating Assumptions'!$H14*CR$23)/12,IF('Operating Assumptions'!$G14="$/Garage/Month",('Operating Assumptions'!$H14*CR$23)*'Operating Assumptions'!$D$16,IF('Operating Assumptions'!$G14="$/Pet/Month",(CR$36*'Operating Assumptions'!$D$18)*('Operating Assumptions'!$H14*CR$23),IF('Operating Assumptions'!$G14="$/Parking/Month",('Operating Assumptions'!$H14*CR$23)*'Operating Assumptions'!$D$17)))))))</f>
        <v>0</v>
      </c>
      <c r="CS47" s="427">
        <f>IF(OR(CS$9&lt;'Operating Assumptions'!$D$53,CS$6&gt;'Operating Assumptions'!$AA$8,'Operating Assumptions'!$G14="N/A"),0,IF('Operating Assumptions'!$G14="$/Unit/Annual",(('Operating Assumptions'!$H14*CS$23)*CS$36)/12,IF('Operating Assumptions'!$G14="$/Unit/Month",('Operating Assumptions'!$H14*CS$23)*CS$36,IF('Operating Assumptions'!$G14="Fixed Amount",('Operating Assumptions'!$H14*CS$23)/12,IF('Operating Assumptions'!$G14="$/Garage/Month",('Operating Assumptions'!$H14*CS$23)*'Operating Assumptions'!$D$16,IF('Operating Assumptions'!$G14="$/Pet/Month",(CS$36*'Operating Assumptions'!$D$18)*('Operating Assumptions'!$H14*CS$23),IF('Operating Assumptions'!$G14="$/Parking/Month",('Operating Assumptions'!$H14*CS$23)*'Operating Assumptions'!$D$17)))))))</f>
        <v>0</v>
      </c>
      <c r="CT47" s="427">
        <f>IF(OR(CT$9&lt;'Operating Assumptions'!$D$53,CT$6&gt;'Operating Assumptions'!$AA$8,'Operating Assumptions'!$G14="N/A"),0,IF('Operating Assumptions'!$G14="$/Unit/Annual",(('Operating Assumptions'!$H14*CT$23)*CT$36)/12,IF('Operating Assumptions'!$G14="$/Unit/Month",('Operating Assumptions'!$H14*CT$23)*CT$36,IF('Operating Assumptions'!$G14="Fixed Amount",('Operating Assumptions'!$H14*CT$23)/12,IF('Operating Assumptions'!$G14="$/Garage/Month",('Operating Assumptions'!$H14*CT$23)*'Operating Assumptions'!$D$16,IF('Operating Assumptions'!$G14="$/Pet/Month",(CT$36*'Operating Assumptions'!$D$18)*('Operating Assumptions'!$H14*CT$23),IF('Operating Assumptions'!$G14="$/Parking/Month",('Operating Assumptions'!$H14*CT$23)*'Operating Assumptions'!$D$17)))))))</f>
        <v>0</v>
      </c>
      <c r="CU47" s="427">
        <f>IF(OR(CU$9&lt;'Operating Assumptions'!$D$53,CU$6&gt;'Operating Assumptions'!$AA$8,'Operating Assumptions'!$G14="N/A"),0,IF('Operating Assumptions'!$G14="$/Unit/Annual",(('Operating Assumptions'!$H14*CU$23)*CU$36)/12,IF('Operating Assumptions'!$G14="$/Unit/Month",('Operating Assumptions'!$H14*CU$23)*CU$36,IF('Operating Assumptions'!$G14="Fixed Amount",('Operating Assumptions'!$H14*CU$23)/12,IF('Operating Assumptions'!$G14="$/Garage/Month",('Operating Assumptions'!$H14*CU$23)*'Operating Assumptions'!$D$16,IF('Operating Assumptions'!$G14="$/Pet/Month",(CU$36*'Operating Assumptions'!$D$18)*('Operating Assumptions'!$H14*CU$23),IF('Operating Assumptions'!$G14="$/Parking/Month",('Operating Assumptions'!$H14*CU$23)*'Operating Assumptions'!$D$17)))))))</f>
        <v>0</v>
      </c>
      <c r="CV47" s="427">
        <f>IF(OR(CV$9&lt;'Operating Assumptions'!$D$53,CV$6&gt;'Operating Assumptions'!$AA$8,'Operating Assumptions'!$G14="N/A"),0,IF('Operating Assumptions'!$G14="$/Unit/Annual",(('Operating Assumptions'!$H14*CV$23)*CV$36)/12,IF('Operating Assumptions'!$G14="$/Unit/Month",('Operating Assumptions'!$H14*CV$23)*CV$36,IF('Operating Assumptions'!$G14="Fixed Amount",('Operating Assumptions'!$H14*CV$23)/12,IF('Operating Assumptions'!$G14="$/Garage/Month",('Operating Assumptions'!$H14*CV$23)*'Operating Assumptions'!$D$16,IF('Operating Assumptions'!$G14="$/Pet/Month",(CV$36*'Operating Assumptions'!$D$18)*('Operating Assumptions'!$H14*CV$23),IF('Operating Assumptions'!$G14="$/Parking/Month",('Operating Assumptions'!$H14*CV$23)*'Operating Assumptions'!$D$17)))))))</f>
        <v>0</v>
      </c>
      <c r="CW47" s="427">
        <f>IF(OR(CW$9&lt;'Operating Assumptions'!$D$53,CW$6&gt;'Operating Assumptions'!$AA$8,'Operating Assumptions'!$G14="N/A"),0,IF('Operating Assumptions'!$G14="$/Unit/Annual",(('Operating Assumptions'!$H14*CW$23)*CW$36)/12,IF('Operating Assumptions'!$G14="$/Unit/Month",('Operating Assumptions'!$H14*CW$23)*CW$36,IF('Operating Assumptions'!$G14="Fixed Amount",('Operating Assumptions'!$H14*CW$23)/12,IF('Operating Assumptions'!$G14="$/Garage/Month",('Operating Assumptions'!$H14*CW$23)*'Operating Assumptions'!$D$16,IF('Operating Assumptions'!$G14="$/Pet/Month",(CW$36*'Operating Assumptions'!$D$18)*('Operating Assumptions'!$H14*CW$23),IF('Operating Assumptions'!$G14="$/Parking/Month",('Operating Assumptions'!$H14*CW$23)*'Operating Assumptions'!$D$17)))))))</f>
        <v>0</v>
      </c>
      <c r="CX47" s="427">
        <f>IF(OR(CX$9&lt;'Operating Assumptions'!$D$53,CX$6&gt;'Operating Assumptions'!$AA$8,'Operating Assumptions'!$G14="N/A"),0,IF('Operating Assumptions'!$G14="$/Unit/Annual",(('Operating Assumptions'!$H14*CX$23)*CX$36)/12,IF('Operating Assumptions'!$G14="$/Unit/Month",('Operating Assumptions'!$H14*CX$23)*CX$36,IF('Operating Assumptions'!$G14="Fixed Amount",('Operating Assumptions'!$H14*CX$23)/12,IF('Operating Assumptions'!$G14="$/Garage/Month",('Operating Assumptions'!$H14*CX$23)*'Operating Assumptions'!$D$16,IF('Operating Assumptions'!$G14="$/Pet/Month",(CX$36*'Operating Assumptions'!$D$18)*('Operating Assumptions'!$H14*CX$23),IF('Operating Assumptions'!$G14="$/Parking/Month",('Operating Assumptions'!$H14*CX$23)*'Operating Assumptions'!$D$17)))))))</f>
        <v>0</v>
      </c>
      <c r="CY47" s="427">
        <f>IF(OR(CY$9&lt;'Operating Assumptions'!$D$53,CY$6&gt;'Operating Assumptions'!$AA$8,'Operating Assumptions'!$G14="N/A"),0,IF('Operating Assumptions'!$G14="$/Unit/Annual",(('Operating Assumptions'!$H14*CY$23)*CY$36)/12,IF('Operating Assumptions'!$G14="$/Unit/Month",('Operating Assumptions'!$H14*CY$23)*CY$36,IF('Operating Assumptions'!$G14="Fixed Amount",('Operating Assumptions'!$H14*CY$23)/12,IF('Operating Assumptions'!$G14="$/Garage/Month",('Operating Assumptions'!$H14*CY$23)*'Operating Assumptions'!$D$16,IF('Operating Assumptions'!$G14="$/Pet/Month",(CY$36*'Operating Assumptions'!$D$18)*('Operating Assumptions'!$H14*CY$23),IF('Operating Assumptions'!$G14="$/Parking/Month",('Operating Assumptions'!$H14*CY$23)*'Operating Assumptions'!$D$17)))))))</f>
        <v>0</v>
      </c>
      <c r="CZ47" s="427">
        <f>IF(OR(CZ$9&lt;'Operating Assumptions'!$D$53,CZ$6&gt;'Operating Assumptions'!$AA$8,'Operating Assumptions'!$G14="N/A"),0,IF('Operating Assumptions'!$G14="$/Unit/Annual",(('Operating Assumptions'!$H14*CZ$23)*CZ$36)/12,IF('Operating Assumptions'!$G14="$/Unit/Month",('Operating Assumptions'!$H14*CZ$23)*CZ$36,IF('Operating Assumptions'!$G14="Fixed Amount",('Operating Assumptions'!$H14*CZ$23)/12,IF('Operating Assumptions'!$G14="$/Garage/Month",('Operating Assumptions'!$H14*CZ$23)*'Operating Assumptions'!$D$16,IF('Operating Assumptions'!$G14="$/Pet/Month",(CZ$36*'Operating Assumptions'!$D$18)*('Operating Assumptions'!$H14*CZ$23),IF('Operating Assumptions'!$G14="$/Parking/Month",('Operating Assumptions'!$H14*CZ$23)*'Operating Assumptions'!$D$17)))))))</f>
        <v>0</v>
      </c>
      <c r="DA47" s="427">
        <f>IF(OR(DA$9&lt;'Operating Assumptions'!$D$53,DA$6&gt;'Operating Assumptions'!$AA$8,'Operating Assumptions'!$G14="N/A"),0,IF('Operating Assumptions'!$G14="$/Unit/Annual",(('Operating Assumptions'!$H14*DA$23)*DA$36)/12,IF('Operating Assumptions'!$G14="$/Unit/Month",('Operating Assumptions'!$H14*DA$23)*DA$36,IF('Operating Assumptions'!$G14="Fixed Amount",('Operating Assumptions'!$H14*DA$23)/12,IF('Operating Assumptions'!$G14="$/Garage/Month",('Operating Assumptions'!$H14*DA$23)*'Operating Assumptions'!$D$16,IF('Operating Assumptions'!$G14="$/Pet/Month",(DA$36*'Operating Assumptions'!$D$18)*('Operating Assumptions'!$H14*DA$23),IF('Operating Assumptions'!$G14="$/Parking/Month",('Operating Assumptions'!$H14*DA$23)*'Operating Assumptions'!$D$17)))))))</f>
        <v>0</v>
      </c>
      <c r="DB47" s="427">
        <f>IF(OR(DB$9&lt;'Operating Assumptions'!$D$53,DB$6&gt;'Operating Assumptions'!$AA$8,'Operating Assumptions'!$G14="N/A"),0,IF('Operating Assumptions'!$G14="$/Unit/Annual",(('Operating Assumptions'!$H14*DB$23)*DB$36)/12,IF('Operating Assumptions'!$G14="$/Unit/Month",('Operating Assumptions'!$H14*DB$23)*DB$36,IF('Operating Assumptions'!$G14="Fixed Amount",('Operating Assumptions'!$H14*DB$23)/12,IF('Operating Assumptions'!$G14="$/Garage/Month",('Operating Assumptions'!$H14*DB$23)*'Operating Assumptions'!$D$16,IF('Operating Assumptions'!$G14="$/Pet/Month",(DB$36*'Operating Assumptions'!$D$18)*('Operating Assumptions'!$H14*DB$23),IF('Operating Assumptions'!$G14="$/Parking/Month",('Operating Assumptions'!$H14*DB$23)*'Operating Assumptions'!$D$17)))))))</f>
        <v>0</v>
      </c>
      <c r="DC47" s="427">
        <f>IF(OR(DC$9&lt;'Operating Assumptions'!$D$53,DC$6&gt;'Operating Assumptions'!$AA$8,'Operating Assumptions'!$G14="N/A"),0,IF('Operating Assumptions'!$G14="$/Unit/Annual",(('Operating Assumptions'!$H14*DC$23)*DC$36)/12,IF('Operating Assumptions'!$G14="$/Unit/Month",('Operating Assumptions'!$H14*DC$23)*DC$36,IF('Operating Assumptions'!$G14="Fixed Amount",('Operating Assumptions'!$H14*DC$23)/12,IF('Operating Assumptions'!$G14="$/Garage/Month",('Operating Assumptions'!$H14*DC$23)*'Operating Assumptions'!$D$16,IF('Operating Assumptions'!$G14="$/Pet/Month",(DC$36*'Operating Assumptions'!$D$18)*('Operating Assumptions'!$H14*DC$23),IF('Operating Assumptions'!$G14="$/Parking/Month",('Operating Assumptions'!$H14*DC$23)*'Operating Assumptions'!$D$17)))))))</f>
        <v>0</v>
      </c>
      <c r="DD47" s="427">
        <f>IF(OR(DD$9&lt;'Operating Assumptions'!$D$53,DD$6&gt;'Operating Assumptions'!$AA$8,'Operating Assumptions'!$G14="N/A"),0,IF('Operating Assumptions'!$G14="$/Unit/Annual",(('Operating Assumptions'!$H14*DD$23)*DD$36)/12,IF('Operating Assumptions'!$G14="$/Unit/Month",('Operating Assumptions'!$H14*DD$23)*DD$36,IF('Operating Assumptions'!$G14="Fixed Amount",('Operating Assumptions'!$H14*DD$23)/12,IF('Operating Assumptions'!$G14="$/Garage/Month",('Operating Assumptions'!$H14*DD$23)*'Operating Assumptions'!$D$16,IF('Operating Assumptions'!$G14="$/Pet/Month",(DD$36*'Operating Assumptions'!$D$18)*('Operating Assumptions'!$H14*DD$23),IF('Operating Assumptions'!$G14="$/Parking/Month",('Operating Assumptions'!$H14*DD$23)*'Operating Assumptions'!$D$17)))))))</f>
        <v>0</v>
      </c>
      <c r="DE47" s="427">
        <f>IF(OR(DE$9&lt;'Operating Assumptions'!$D$53,DE$6&gt;'Operating Assumptions'!$AA$8,'Operating Assumptions'!$G14="N/A"),0,IF('Operating Assumptions'!$G14="$/Unit/Annual",(('Operating Assumptions'!$H14*DE$23)*DE$36)/12,IF('Operating Assumptions'!$G14="$/Unit/Month",('Operating Assumptions'!$H14*DE$23)*DE$36,IF('Operating Assumptions'!$G14="Fixed Amount",('Operating Assumptions'!$H14*DE$23)/12,IF('Operating Assumptions'!$G14="$/Garage/Month",('Operating Assumptions'!$H14*DE$23)*'Operating Assumptions'!$D$16,IF('Operating Assumptions'!$G14="$/Pet/Month",(DE$36*'Operating Assumptions'!$D$18)*('Operating Assumptions'!$H14*DE$23),IF('Operating Assumptions'!$G14="$/Parking/Month",('Operating Assumptions'!$H14*DE$23)*'Operating Assumptions'!$D$17)))))))</f>
        <v>0</v>
      </c>
      <c r="DF47" s="427">
        <f>IF(OR(DF$9&lt;'Operating Assumptions'!$D$53,DF$6&gt;'Operating Assumptions'!$AA$8,'Operating Assumptions'!$G14="N/A"),0,IF('Operating Assumptions'!$G14="$/Unit/Annual",(('Operating Assumptions'!$H14*DF$23)*DF$36)/12,IF('Operating Assumptions'!$G14="$/Unit/Month",('Operating Assumptions'!$H14*DF$23)*DF$36,IF('Operating Assumptions'!$G14="Fixed Amount",('Operating Assumptions'!$H14*DF$23)/12,IF('Operating Assumptions'!$G14="$/Garage/Month",('Operating Assumptions'!$H14*DF$23)*'Operating Assumptions'!$D$16,IF('Operating Assumptions'!$G14="$/Pet/Month",(DF$36*'Operating Assumptions'!$D$18)*('Operating Assumptions'!$H14*DF$23),IF('Operating Assumptions'!$G14="$/Parking/Month",('Operating Assumptions'!$H14*DF$23)*'Operating Assumptions'!$D$17)))))))</f>
        <v>0</v>
      </c>
      <c r="DG47" s="427">
        <f>IF(OR(DG$9&lt;'Operating Assumptions'!$D$53,DG$6&gt;'Operating Assumptions'!$AA$8,'Operating Assumptions'!$G14="N/A"),0,IF('Operating Assumptions'!$G14="$/Unit/Annual",(('Operating Assumptions'!$H14*DG$23)*DG$36)/12,IF('Operating Assumptions'!$G14="$/Unit/Month",('Operating Assumptions'!$H14*DG$23)*DG$36,IF('Operating Assumptions'!$G14="Fixed Amount",('Operating Assumptions'!$H14*DG$23)/12,IF('Operating Assumptions'!$G14="$/Garage/Month",('Operating Assumptions'!$H14*DG$23)*'Operating Assumptions'!$D$16,IF('Operating Assumptions'!$G14="$/Pet/Month",(DG$36*'Operating Assumptions'!$D$18)*('Operating Assumptions'!$H14*DG$23),IF('Operating Assumptions'!$G14="$/Parking/Month",('Operating Assumptions'!$H14*DG$23)*'Operating Assumptions'!$D$17)))))))</f>
        <v>0</v>
      </c>
      <c r="DH47" s="427">
        <f>IF(OR(DH$9&lt;'Operating Assumptions'!$D$53,DH$6&gt;'Operating Assumptions'!$AA$8,'Operating Assumptions'!$G14="N/A"),0,IF('Operating Assumptions'!$G14="$/Unit/Annual",(('Operating Assumptions'!$H14*DH$23)*DH$36)/12,IF('Operating Assumptions'!$G14="$/Unit/Month",('Operating Assumptions'!$H14*DH$23)*DH$36,IF('Operating Assumptions'!$G14="Fixed Amount",('Operating Assumptions'!$H14*DH$23)/12,IF('Operating Assumptions'!$G14="$/Garage/Month",('Operating Assumptions'!$H14*DH$23)*'Operating Assumptions'!$D$16,IF('Operating Assumptions'!$G14="$/Pet/Month",(DH$36*'Operating Assumptions'!$D$18)*('Operating Assumptions'!$H14*DH$23),IF('Operating Assumptions'!$G14="$/Parking/Month",('Operating Assumptions'!$H14*DH$23)*'Operating Assumptions'!$D$17)))))))</f>
        <v>0</v>
      </c>
      <c r="DI47" s="427">
        <f>IF(OR(DI$9&lt;'Operating Assumptions'!$D$53,DI$6&gt;'Operating Assumptions'!$AA$8,'Operating Assumptions'!$G14="N/A"),0,IF('Operating Assumptions'!$G14="$/Unit/Annual",(('Operating Assumptions'!$H14*DI$23)*DI$36)/12,IF('Operating Assumptions'!$G14="$/Unit/Month",('Operating Assumptions'!$H14*DI$23)*DI$36,IF('Operating Assumptions'!$G14="Fixed Amount",('Operating Assumptions'!$H14*DI$23)/12,IF('Operating Assumptions'!$G14="$/Garage/Month",('Operating Assumptions'!$H14*DI$23)*'Operating Assumptions'!$D$16,IF('Operating Assumptions'!$G14="$/Pet/Month",(DI$36*'Operating Assumptions'!$D$18)*('Operating Assumptions'!$H14*DI$23),IF('Operating Assumptions'!$G14="$/Parking/Month",('Operating Assumptions'!$H14*DI$23)*'Operating Assumptions'!$D$17)))))))</f>
        <v>0</v>
      </c>
      <c r="DJ47" s="427">
        <f>IF(OR(DJ$9&lt;'Operating Assumptions'!$D$53,DJ$6&gt;'Operating Assumptions'!$AA$8,'Operating Assumptions'!$G14="N/A"),0,IF('Operating Assumptions'!$G14="$/Unit/Annual",(('Operating Assumptions'!$H14*DJ$23)*DJ$36)/12,IF('Operating Assumptions'!$G14="$/Unit/Month",('Operating Assumptions'!$H14*DJ$23)*DJ$36,IF('Operating Assumptions'!$G14="Fixed Amount",('Operating Assumptions'!$H14*DJ$23)/12,IF('Operating Assumptions'!$G14="$/Garage/Month",('Operating Assumptions'!$H14*DJ$23)*'Operating Assumptions'!$D$16,IF('Operating Assumptions'!$G14="$/Pet/Month",(DJ$36*'Operating Assumptions'!$D$18)*('Operating Assumptions'!$H14*DJ$23),IF('Operating Assumptions'!$G14="$/Parking/Month",('Operating Assumptions'!$H14*DJ$23)*'Operating Assumptions'!$D$17)))))))</f>
        <v>0</v>
      </c>
      <c r="DK47" s="427">
        <f>IF(OR(DK$9&lt;'Operating Assumptions'!$D$53,DK$6&gt;'Operating Assumptions'!$AA$8,'Operating Assumptions'!$G14="N/A"),0,IF('Operating Assumptions'!$G14="$/Unit/Annual",(('Operating Assumptions'!$H14*DK$23)*DK$36)/12,IF('Operating Assumptions'!$G14="$/Unit/Month",('Operating Assumptions'!$H14*DK$23)*DK$36,IF('Operating Assumptions'!$G14="Fixed Amount",('Operating Assumptions'!$H14*DK$23)/12,IF('Operating Assumptions'!$G14="$/Garage/Month",('Operating Assumptions'!$H14*DK$23)*'Operating Assumptions'!$D$16,IF('Operating Assumptions'!$G14="$/Pet/Month",(DK$36*'Operating Assumptions'!$D$18)*('Operating Assumptions'!$H14*DK$23),IF('Operating Assumptions'!$G14="$/Parking/Month",('Operating Assumptions'!$H14*DK$23)*'Operating Assumptions'!$D$17)))))))</f>
        <v>0</v>
      </c>
      <c r="DL47" s="427">
        <f>IF(OR(DL$9&lt;'Operating Assumptions'!$D$53,DL$6&gt;'Operating Assumptions'!$AA$8,'Operating Assumptions'!$G14="N/A"),0,IF('Operating Assumptions'!$G14="$/Unit/Annual",(('Operating Assumptions'!$H14*DL$23)*DL$36)/12,IF('Operating Assumptions'!$G14="$/Unit/Month",('Operating Assumptions'!$H14*DL$23)*DL$36,IF('Operating Assumptions'!$G14="Fixed Amount",('Operating Assumptions'!$H14*DL$23)/12,IF('Operating Assumptions'!$G14="$/Garage/Month",('Operating Assumptions'!$H14*DL$23)*'Operating Assumptions'!$D$16,IF('Operating Assumptions'!$G14="$/Pet/Month",(DL$36*'Operating Assumptions'!$D$18)*('Operating Assumptions'!$H14*DL$23),IF('Operating Assumptions'!$G14="$/Parking/Month",('Operating Assumptions'!$H14*DL$23)*'Operating Assumptions'!$D$17)))))))</f>
        <v>0</v>
      </c>
      <c r="DM47" s="427">
        <f>IF(OR(DM$9&lt;'Operating Assumptions'!$D$53,DM$6&gt;'Operating Assumptions'!$AA$8,'Operating Assumptions'!$G14="N/A"),0,IF('Operating Assumptions'!$G14="$/Unit/Annual",(('Operating Assumptions'!$H14*DM$23)*DM$36)/12,IF('Operating Assumptions'!$G14="$/Unit/Month",('Operating Assumptions'!$H14*DM$23)*DM$36,IF('Operating Assumptions'!$G14="Fixed Amount",('Operating Assumptions'!$H14*DM$23)/12,IF('Operating Assumptions'!$G14="$/Garage/Month",('Operating Assumptions'!$H14*DM$23)*'Operating Assumptions'!$D$16,IF('Operating Assumptions'!$G14="$/Pet/Month",(DM$36*'Operating Assumptions'!$D$18)*('Operating Assumptions'!$H14*DM$23),IF('Operating Assumptions'!$G14="$/Parking/Month",('Operating Assumptions'!$H14*DM$23)*'Operating Assumptions'!$D$17)))))))</f>
        <v>0</v>
      </c>
      <c r="DN47" s="427">
        <f>IF(OR(DN$9&lt;'Operating Assumptions'!$D$53,DN$6&gt;'Operating Assumptions'!$AA$8,'Operating Assumptions'!$G14="N/A"),0,IF('Operating Assumptions'!$G14="$/Unit/Annual",(('Operating Assumptions'!$H14*DN$23)*DN$36)/12,IF('Operating Assumptions'!$G14="$/Unit/Month",('Operating Assumptions'!$H14*DN$23)*DN$36,IF('Operating Assumptions'!$G14="Fixed Amount",('Operating Assumptions'!$H14*DN$23)/12,IF('Operating Assumptions'!$G14="$/Garage/Month",('Operating Assumptions'!$H14*DN$23)*'Operating Assumptions'!$D$16,IF('Operating Assumptions'!$G14="$/Pet/Month",(DN$36*'Operating Assumptions'!$D$18)*('Operating Assumptions'!$H14*DN$23),IF('Operating Assumptions'!$G14="$/Parking/Month",('Operating Assumptions'!$H14*DN$23)*'Operating Assumptions'!$D$17)))))))</f>
        <v>0</v>
      </c>
      <c r="DO47" s="427">
        <f>IF(OR(DO$9&lt;'Operating Assumptions'!$D$53,DO$6&gt;'Operating Assumptions'!$AA$8,'Operating Assumptions'!$G14="N/A"),0,IF('Operating Assumptions'!$G14="$/Unit/Annual",(('Operating Assumptions'!$H14*DO$23)*DO$36)/12,IF('Operating Assumptions'!$G14="$/Unit/Month",('Operating Assumptions'!$H14*DO$23)*DO$36,IF('Operating Assumptions'!$G14="Fixed Amount",('Operating Assumptions'!$H14*DO$23)/12,IF('Operating Assumptions'!$G14="$/Garage/Month",('Operating Assumptions'!$H14*DO$23)*'Operating Assumptions'!$D$16,IF('Operating Assumptions'!$G14="$/Pet/Month",(DO$36*'Operating Assumptions'!$D$18)*('Operating Assumptions'!$H14*DO$23),IF('Operating Assumptions'!$G14="$/Parking/Month",('Operating Assumptions'!$H14*DO$23)*'Operating Assumptions'!$D$17)))))))</f>
        <v>0</v>
      </c>
      <c r="DP47" s="427">
        <f>IF(OR(DP$9&lt;'Operating Assumptions'!$D$53,DP$6&gt;'Operating Assumptions'!$AA$8,'Operating Assumptions'!$G14="N/A"),0,IF('Operating Assumptions'!$G14="$/Unit/Annual",(('Operating Assumptions'!$H14*DP$23)*DP$36)/12,IF('Operating Assumptions'!$G14="$/Unit/Month",('Operating Assumptions'!$H14*DP$23)*DP$36,IF('Operating Assumptions'!$G14="Fixed Amount",('Operating Assumptions'!$H14*DP$23)/12,IF('Operating Assumptions'!$G14="$/Garage/Month",('Operating Assumptions'!$H14*DP$23)*'Operating Assumptions'!$D$16,IF('Operating Assumptions'!$G14="$/Pet/Month",(DP$36*'Operating Assumptions'!$D$18)*('Operating Assumptions'!$H14*DP$23),IF('Operating Assumptions'!$G14="$/Parking/Month",('Operating Assumptions'!$H14*DP$23)*'Operating Assumptions'!$D$17)))))))</f>
        <v>0</v>
      </c>
      <c r="DQ47" s="427">
        <f>IF(OR(DQ$9&lt;'Operating Assumptions'!$D$53,DQ$6&gt;'Operating Assumptions'!$AA$8,'Operating Assumptions'!$G14="N/A"),0,IF('Operating Assumptions'!$G14="$/Unit/Annual",(('Operating Assumptions'!$H14*DQ$23)*DQ$36)/12,IF('Operating Assumptions'!$G14="$/Unit/Month",('Operating Assumptions'!$H14*DQ$23)*DQ$36,IF('Operating Assumptions'!$G14="Fixed Amount",('Operating Assumptions'!$H14*DQ$23)/12,IF('Operating Assumptions'!$G14="$/Garage/Month",('Operating Assumptions'!$H14*DQ$23)*'Operating Assumptions'!$D$16,IF('Operating Assumptions'!$G14="$/Pet/Month",(DQ$36*'Operating Assumptions'!$D$18)*('Operating Assumptions'!$H14*DQ$23),IF('Operating Assumptions'!$G14="$/Parking/Month",('Operating Assumptions'!$H14*DQ$23)*'Operating Assumptions'!$D$17)))))))</f>
        <v>0</v>
      </c>
      <c r="DR47" s="427">
        <f>IF(OR(DR$9&lt;'Operating Assumptions'!$D$53,DR$6&gt;'Operating Assumptions'!$AA$8,'Operating Assumptions'!$G14="N/A"),0,IF('Operating Assumptions'!$G14="$/Unit/Annual",(('Operating Assumptions'!$H14*DR$23)*DR$36)/12,IF('Operating Assumptions'!$G14="$/Unit/Month",('Operating Assumptions'!$H14*DR$23)*DR$36,IF('Operating Assumptions'!$G14="Fixed Amount",('Operating Assumptions'!$H14*DR$23)/12,IF('Operating Assumptions'!$G14="$/Garage/Month",('Operating Assumptions'!$H14*DR$23)*'Operating Assumptions'!$D$16,IF('Operating Assumptions'!$G14="$/Pet/Month",(DR$36*'Operating Assumptions'!$D$18)*('Operating Assumptions'!$H14*DR$23),IF('Operating Assumptions'!$G14="$/Parking/Month",('Operating Assumptions'!$H14*DR$23)*'Operating Assumptions'!$D$17)))))))</f>
        <v>0</v>
      </c>
      <c r="DS47" s="427">
        <f>IF(OR(DS$9&lt;'Operating Assumptions'!$D$53,DS$6&gt;'Operating Assumptions'!$AA$8,'Operating Assumptions'!$G14="N/A"),0,IF('Operating Assumptions'!$G14="$/Unit/Annual",(('Operating Assumptions'!$H14*DS$23)*DS$36)/12,IF('Operating Assumptions'!$G14="$/Unit/Month",('Operating Assumptions'!$H14*DS$23)*DS$36,IF('Operating Assumptions'!$G14="Fixed Amount",('Operating Assumptions'!$H14*DS$23)/12,IF('Operating Assumptions'!$G14="$/Garage/Month",('Operating Assumptions'!$H14*DS$23)*'Operating Assumptions'!$D$16,IF('Operating Assumptions'!$G14="$/Pet/Month",(DS$36*'Operating Assumptions'!$D$18)*('Operating Assumptions'!$H14*DS$23),IF('Operating Assumptions'!$G14="$/Parking/Month",('Operating Assumptions'!$H14*DS$23)*'Operating Assumptions'!$D$17)))))))</f>
        <v>0</v>
      </c>
      <c r="DT47" s="427">
        <f>IF(OR(DT$9&lt;'Operating Assumptions'!$D$53,DT$6&gt;'Operating Assumptions'!$AA$8,'Operating Assumptions'!$G14="N/A"),0,IF('Operating Assumptions'!$G14="$/Unit/Annual",(('Operating Assumptions'!$H14*DT$23)*DT$36)/12,IF('Operating Assumptions'!$G14="$/Unit/Month",('Operating Assumptions'!$H14*DT$23)*DT$36,IF('Operating Assumptions'!$G14="Fixed Amount",('Operating Assumptions'!$H14*DT$23)/12,IF('Operating Assumptions'!$G14="$/Garage/Month",('Operating Assumptions'!$H14*DT$23)*'Operating Assumptions'!$D$16,IF('Operating Assumptions'!$G14="$/Pet/Month",(DT$36*'Operating Assumptions'!$D$18)*('Operating Assumptions'!$H14*DT$23),IF('Operating Assumptions'!$G14="$/Parking/Month",('Operating Assumptions'!$H14*DT$23)*'Operating Assumptions'!$D$17)))))))</f>
        <v>0</v>
      </c>
      <c r="DU47" s="427">
        <f>IF(OR(DU$9&lt;'Operating Assumptions'!$D$53,DU$6&gt;'Operating Assumptions'!$AA$8,'Operating Assumptions'!$G14="N/A"),0,IF('Operating Assumptions'!$G14="$/Unit/Annual",(('Operating Assumptions'!$H14*DU$23)*DU$36)/12,IF('Operating Assumptions'!$G14="$/Unit/Month",('Operating Assumptions'!$H14*DU$23)*DU$36,IF('Operating Assumptions'!$G14="Fixed Amount",('Operating Assumptions'!$H14*DU$23)/12,IF('Operating Assumptions'!$G14="$/Garage/Month",('Operating Assumptions'!$H14*DU$23)*'Operating Assumptions'!$D$16,IF('Operating Assumptions'!$G14="$/Pet/Month",(DU$36*'Operating Assumptions'!$D$18)*('Operating Assumptions'!$H14*DU$23),IF('Operating Assumptions'!$G14="$/Parking/Month",('Operating Assumptions'!$H14*DU$23)*'Operating Assumptions'!$D$17)))))))</f>
        <v>0</v>
      </c>
      <c r="DV47" s="427">
        <f>IF(OR(DV$9&lt;'Operating Assumptions'!$D$53,DV$6&gt;'Operating Assumptions'!$AA$8,'Operating Assumptions'!$G14="N/A"),0,IF('Operating Assumptions'!$G14="$/Unit/Annual",(('Operating Assumptions'!$H14*DV$23)*DV$36)/12,IF('Operating Assumptions'!$G14="$/Unit/Month",('Operating Assumptions'!$H14*DV$23)*DV$36,IF('Operating Assumptions'!$G14="Fixed Amount",('Operating Assumptions'!$H14*DV$23)/12,IF('Operating Assumptions'!$G14="$/Garage/Month",('Operating Assumptions'!$H14*DV$23)*'Operating Assumptions'!$D$16,IF('Operating Assumptions'!$G14="$/Pet/Month",(DV$36*'Operating Assumptions'!$D$18)*('Operating Assumptions'!$H14*DV$23),IF('Operating Assumptions'!$G14="$/Parking/Month",('Operating Assumptions'!$H14*DV$23)*'Operating Assumptions'!$D$17)))))))</f>
        <v>0</v>
      </c>
      <c r="DW47" s="427">
        <f>IF(OR(DW$9&lt;'Operating Assumptions'!$D$53,DW$6&gt;'Operating Assumptions'!$AA$8,'Operating Assumptions'!$G14="N/A"),0,IF('Operating Assumptions'!$G14="$/Unit/Annual",(('Operating Assumptions'!$H14*DW$23)*DW$36)/12,IF('Operating Assumptions'!$G14="$/Unit/Month",('Operating Assumptions'!$H14*DW$23)*DW$36,IF('Operating Assumptions'!$G14="Fixed Amount",('Operating Assumptions'!$H14*DW$23)/12,IF('Operating Assumptions'!$G14="$/Garage/Month",('Operating Assumptions'!$H14*DW$23)*'Operating Assumptions'!$D$16,IF('Operating Assumptions'!$G14="$/Pet/Month",(DW$36*'Operating Assumptions'!$D$18)*('Operating Assumptions'!$H14*DW$23),IF('Operating Assumptions'!$G14="$/Parking/Month",('Operating Assumptions'!$H14*DW$23)*'Operating Assumptions'!$D$17)))))))</f>
        <v>0</v>
      </c>
      <c r="DX47" s="427">
        <f>IF(OR(DX$9&lt;'Operating Assumptions'!$D$53,DX$6&gt;'Operating Assumptions'!$AA$8,'Operating Assumptions'!$G14="N/A"),0,IF('Operating Assumptions'!$G14="$/Unit/Annual",(('Operating Assumptions'!$H14*DX$23)*DX$36)/12,IF('Operating Assumptions'!$G14="$/Unit/Month",('Operating Assumptions'!$H14*DX$23)*DX$36,IF('Operating Assumptions'!$G14="Fixed Amount",('Operating Assumptions'!$H14*DX$23)/12,IF('Operating Assumptions'!$G14="$/Garage/Month",('Operating Assumptions'!$H14*DX$23)*'Operating Assumptions'!$D$16,IF('Operating Assumptions'!$G14="$/Pet/Month",(DX$36*'Operating Assumptions'!$D$18)*('Operating Assumptions'!$H14*DX$23),IF('Operating Assumptions'!$G14="$/Parking/Month",('Operating Assumptions'!$H14*DX$23)*'Operating Assumptions'!$D$17)))))))</f>
        <v>0</v>
      </c>
      <c r="DY47" s="427">
        <f>IF(OR(DY$9&lt;'Operating Assumptions'!$D$53,DY$6&gt;'Operating Assumptions'!$AA$8,'Operating Assumptions'!$G14="N/A"),0,IF('Operating Assumptions'!$G14="$/Unit/Annual",(('Operating Assumptions'!$H14*DY$23)*DY$36)/12,IF('Operating Assumptions'!$G14="$/Unit/Month",('Operating Assumptions'!$H14*DY$23)*DY$36,IF('Operating Assumptions'!$G14="Fixed Amount",('Operating Assumptions'!$H14*DY$23)/12,IF('Operating Assumptions'!$G14="$/Garage/Month",('Operating Assumptions'!$H14*DY$23)*'Operating Assumptions'!$D$16,IF('Operating Assumptions'!$G14="$/Pet/Month",(DY$36*'Operating Assumptions'!$D$18)*('Operating Assumptions'!$H14*DY$23),IF('Operating Assumptions'!$G14="$/Parking/Month",('Operating Assumptions'!$H14*DY$23)*'Operating Assumptions'!$D$17)))))))</f>
        <v>0</v>
      </c>
      <c r="DZ47" s="427">
        <f>IF(OR(DZ$9&lt;'Operating Assumptions'!$D$53,DZ$6&gt;'Operating Assumptions'!$AA$8,'Operating Assumptions'!$G14="N/A"),0,IF('Operating Assumptions'!$G14="$/Unit/Annual",(('Operating Assumptions'!$H14*DZ$23)*DZ$36)/12,IF('Operating Assumptions'!$G14="$/Unit/Month",('Operating Assumptions'!$H14*DZ$23)*DZ$36,IF('Operating Assumptions'!$G14="Fixed Amount",('Operating Assumptions'!$H14*DZ$23)/12,IF('Operating Assumptions'!$G14="$/Garage/Month",('Operating Assumptions'!$H14*DZ$23)*'Operating Assumptions'!$D$16,IF('Operating Assumptions'!$G14="$/Pet/Month",(DZ$36*'Operating Assumptions'!$D$18)*('Operating Assumptions'!$H14*DZ$23),IF('Operating Assumptions'!$G14="$/Parking/Month",('Operating Assumptions'!$H14*DZ$23)*'Operating Assumptions'!$D$17)))))))</f>
        <v>0</v>
      </c>
      <c r="EA47" s="427">
        <f>IF(OR(EA$9&lt;'Operating Assumptions'!$D$53,EA$6&gt;'Operating Assumptions'!$AA$8,'Operating Assumptions'!$G14="N/A"),0,IF('Operating Assumptions'!$G14="$/Unit/Annual",(('Operating Assumptions'!$H14*EA$23)*EA$36)/12,IF('Operating Assumptions'!$G14="$/Unit/Month",('Operating Assumptions'!$H14*EA$23)*EA$36,IF('Operating Assumptions'!$G14="Fixed Amount",('Operating Assumptions'!$H14*EA$23)/12,IF('Operating Assumptions'!$G14="$/Garage/Month",('Operating Assumptions'!$H14*EA$23)*'Operating Assumptions'!$D$16,IF('Operating Assumptions'!$G14="$/Pet/Month",(EA$36*'Operating Assumptions'!$D$18)*('Operating Assumptions'!$H14*EA$23),IF('Operating Assumptions'!$G14="$/Parking/Month",('Operating Assumptions'!$H14*EA$23)*'Operating Assumptions'!$D$17)))))))</f>
        <v>0</v>
      </c>
      <c r="EB47" s="427">
        <f>IF(OR(EB$9&lt;'Operating Assumptions'!$D$53,EB$6&gt;'Operating Assumptions'!$AA$8,'Operating Assumptions'!$G14="N/A"),0,IF('Operating Assumptions'!$G14="$/Unit/Annual",(('Operating Assumptions'!$H14*EB$23)*EB$36)/12,IF('Operating Assumptions'!$G14="$/Unit/Month",('Operating Assumptions'!$H14*EB$23)*EB$36,IF('Operating Assumptions'!$G14="Fixed Amount",('Operating Assumptions'!$H14*EB$23)/12,IF('Operating Assumptions'!$G14="$/Garage/Month",('Operating Assumptions'!$H14*EB$23)*'Operating Assumptions'!$D$16,IF('Operating Assumptions'!$G14="$/Pet/Month",(EB$36*'Operating Assumptions'!$D$18)*('Operating Assumptions'!$H14*EB$23),IF('Operating Assumptions'!$G14="$/Parking/Month",('Operating Assumptions'!$H14*EB$23)*'Operating Assumptions'!$D$17)))))))</f>
        <v>0</v>
      </c>
      <c r="EC47" s="427">
        <f>IF(OR(EC$9&lt;'Operating Assumptions'!$D$53,EC$6&gt;'Operating Assumptions'!$AA$8,'Operating Assumptions'!$G14="N/A"),0,IF('Operating Assumptions'!$G14="$/Unit/Annual",(('Operating Assumptions'!$H14*EC$23)*EC$36)/12,IF('Operating Assumptions'!$G14="$/Unit/Month",('Operating Assumptions'!$H14*EC$23)*EC$36,IF('Operating Assumptions'!$G14="Fixed Amount",('Operating Assumptions'!$H14*EC$23)/12,IF('Operating Assumptions'!$G14="$/Garage/Month",('Operating Assumptions'!$H14*EC$23)*'Operating Assumptions'!$D$16,IF('Operating Assumptions'!$G14="$/Pet/Month",(EC$36*'Operating Assumptions'!$D$18)*('Operating Assumptions'!$H14*EC$23),IF('Operating Assumptions'!$G14="$/Parking/Month",('Operating Assumptions'!$H14*EC$23)*'Operating Assumptions'!$D$17)))))))</f>
        <v>0</v>
      </c>
      <c r="ED47" s="427">
        <f>IF(OR(ED$9&lt;'Operating Assumptions'!$D$53,ED$6&gt;'Operating Assumptions'!$AA$8,'Operating Assumptions'!$G14="N/A"),0,IF('Operating Assumptions'!$G14="$/Unit/Annual",(('Operating Assumptions'!$H14*ED$23)*ED$36)/12,IF('Operating Assumptions'!$G14="$/Unit/Month",('Operating Assumptions'!$H14*ED$23)*ED$36,IF('Operating Assumptions'!$G14="Fixed Amount",('Operating Assumptions'!$H14*ED$23)/12,IF('Operating Assumptions'!$G14="$/Garage/Month",('Operating Assumptions'!$H14*ED$23)*'Operating Assumptions'!$D$16,IF('Operating Assumptions'!$G14="$/Pet/Month",(ED$36*'Operating Assumptions'!$D$18)*('Operating Assumptions'!$H14*ED$23),IF('Operating Assumptions'!$G14="$/Parking/Month",('Operating Assumptions'!$H14*ED$23)*'Operating Assumptions'!$D$17)))))))</f>
        <v>0</v>
      </c>
      <c r="EE47" s="427">
        <f>IF(OR(EE$9&lt;'Operating Assumptions'!$D$53,EE$6&gt;'Operating Assumptions'!$AA$8,'Operating Assumptions'!$G14="N/A"),0,IF('Operating Assumptions'!$G14="$/Unit/Annual",(('Operating Assumptions'!$H14*EE$23)*EE$36)/12,IF('Operating Assumptions'!$G14="$/Unit/Month",('Operating Assumptions'!$H14*EE$23)*EE$36,IF('Operating Assumptions'!$G14="Fixed Amount",('Operating Assumptions'!$H14*EE$23)/12,IF('Operating Assumptions'!$G14="$/Garage/Month",('Operating Assumptions'!$H14*EE$23)*'Operating Assumptions'!$D$16,IF('Operating Assumptions'!$G14="$/Pet/Month",(EE$36*'Operating Assumptions'!$D$18)*('Operating Assumptions'!$H14*EE$23),IF('Operating Assumptions'!$G14="$/Parking/Month",('Operating Assumptions'!$H14*EE$23)*'Operating Assumptions'!$D$17)))))))</f>
        <v>0</v>
      </c>
      <c r="EF47" s="427">
        <f>IF(OR(EF$9&lt;'Operating Assumptions'!$D$53,EF$6&gt;'Operating Assumptions'!$AA$8,'Operating Assumptions'!$G14="N/A"),0,IF('Operating Assumptions'!$G14="$/Unit/Annual",(('Operating Assumptions'!$H14*EF$23)*EF$36)/12,IF('Operating Assumptions'!$G14="$/Unit/Month",('Operating Assumptions'!$H14*EF$23)*EF$36,IF('Operating Assumptions'!$G14="Fixed Amount",('Operating Assumptions'!$H14*EF$23)/12,IF('Operating Assumptions'!$G14="$/Garage/Month",('Operating Assumptions'!$H14*EF$23)*'Operating Assumptions'!$D$16,IF('Operating Assumptions'!$G14="$/Pet/Month",(EF$36*'Operating Assumptions'!$D$18)*('Operating Assumptions'!$H14*EF$23),IF('Operating Assumptions'!$G14="$/Parking/Month",('Operating Assumptions'!$H14*EF$23)*'Operating Assumptions'!$D$17)))))))</f>
        <v>0</v>
      </c>
      <c r="EG47" s="427">
        <f>IF(OR(EG$9&lt;'Operating Assumptions'!$D$53,EG$6&gt;'Operating Assumptions'!$AA$8,'Operating Assumptions'!$G14="N/A"),0,IF('Operating Assumptions'!$G14="$/Unit/Annual",(('Operating Assumptions'!$H14*EG$23)*EG$36)/12,IF('Operating Assumptions'!$G14="$/Unit/Month",('Operating Assumptions'!$H14*EG$23)*EG$36,IF('Operating Assumptions'!$G14="Fixed Amount",('Operating Assumptions'!$H14*EG$23)/12,IF('Operating Assumptions'!$G14="$/Garage/Month",('Operating Assumptions'!$H14*EG$23)*'Operating Assumptions'!$D$16,IF('Operating Assumptions'!$G14="$/Pet/Month",(EG$36*'Operating Assumptions'!$D$18)*('Operating Assumptions'!$H14*EG$23),IF('Operating Assumptions'!$G14="$/Parking/Month",('Operating Assumptions'!$H14*EG$23)*'Operating Assumptions'!$D$17)))))))</f>
        <v>0</v>
      </c>
      <c r="EH47" s="427">
        <f>IF(OR(EH$9&lt;'Operating Assumptions'!$D$53,EH$6&gt;'Operating Assumptions'!$AA$8,'Operating Assumptions'!$G14="N/A"),0,IF('Operating Assumptions'!$G14="$/Unit/Annual",(('Operating Assumptions'!$H14*EH$23)*EH$36)/12,IF('Operating Assumptions'!$G14="$/Unit/Month",('Operating Assumptions'!$H14*EH$23)*EH$36,IF('Operating Assumptions'!$G14="Fixed Amount",('Operating Assumptions'!$H14*EH$23)/12,IF('Operating Assumptions'!$G14="$/Garage/Month",('Operating Assumptions'!$H14*EH$23)*'Operating Assumptions'!$D$16,IF('Operating Assumptions'!$G14="$/Pet/Month",(EH$36*'Operating Assumptions'!$D$18)*('Operating Assumptions'!$H14*EH$23),IF('Operating Assumptions'!$G14="$/Parking/Month",('Operating Assumptions'!$H14*EH$23)*'Operating Assumptions'!$D$17)))))))</f>
        <v>0</v>
      </c>
      <c r="EI47" s="427">
        <f>IF(OR(EI$9&lt;'Operating Assumptions'!$D$53,EI$6&gt;'Operating Assumptions'!$AA$8,'Operating Assumptions'!$G14="N/A"),0,IF('Operating Assumptions'!$G14="$/Unit/Annual",(('Operating Assumptions'!$H14*EI$23)*EI$36)/12,IF('Operating Assumptions'!$G14="$/Unit/Month",('Operating Assumptions'!$H14*EI$23)*EI$36,IF('Operating Assumptions'!$G14="Fixed Amount",('Operating Assumptions'!$H14*EI$23)/12,IF('Operating Assumptions'!$G14="$/Garage/Month",('Operating Assumptions'!$H14*EI$23)*'Operating Assumptions'!$D$16,IF('Operating Assumptions'!$G14="$/Pet/Month",(EI$36*'Operating Assumptions'!$D$18)*('Operating Assumptions'!$H14*EI$23),IF('Operating Assumptions'!$G14="$/Parking/Month",('Operating Assumptions'!$H14*EI$23)*'Operating Assumptions'!$D$17)))))))</f>
        <v>0</v>
      </c>
      <c r="EJ47" s="427">
        <f>IF(OR(EJ$9&lt;'Operating Assumptions'!$D$53,EJ$6&gt;'Operating Assumptions'!$AA$8,'Operating Assumptions'!$G14="N/A"),0,IF('Operating Assumptions'!$G14="$/Unit/Annual",(('Operating Assumptions'!$H14*EJ$23)*EJ$36)/12,IF('Operating Assumptions'!$G14="$/Unit/Month",('Operating Assumptions'!$H14*EJ$23)*EJ$36,IF('Operating Assumptions'!$G14="Fixed Amount",('Operating Assumptions'!$H14*EJ$23)/12,IF('Operating Assumptions'!$G14="$/Garage/Month",('Operating Assumptions'!$H14*EJ$23)*'Operating Assumptions'!$D$16,IF('Operating Assumptions'!$G14="$/Pet/Month",(EJ$36*'Operating Assumptions'!$D$18)*('Operating Assumptions'!$H14*EJ$23),IF('Operating Assumptions'!$G14="$/Parking/Month",('Operating Assumptions'!$H14*EJ$23)*'Operating Assumptions'!$D$17)))))))</f>
        <v>0</v>
      </c>
      <c r="EK47" s="427">
        <f>IF(OR(EK$9&lt;'Operating Assumptions'!$D$53,EK$6&gt;'Operating Assumptions'!$AA$8,'Operating Assumptions'!$G14="N/A"),0,IF('Operating Assumptions'!$G14="$/Unit/Annual",(('Operating Assumptions'!$H14*EK$23)*EK$36)/12,IF('Operating Assumptions'!$G14="$/Unit/Month",('Operating Assumptions'!$H14*EK$23)*EK$36,IF('Operating Assumptions'!$G14="Fixed Amount",('Operating Assumptions'!$H14*EK$23)/12,IF('Operating Assumptions'!$G14="$/Garage/Month",('Operating Assumptions'!$H14*EK$23)*'Operating Assumptions'!$D$16,IF('Operating Assumptions'!$G14="$/Pet/Month",(EK$36*'Operating Assumptions'!$D$18)*('Operating Assumptions'!$H14*EK$23),IF('Operating Assumptions'!$G14="$/Parking/Month",('Operating Assumptions'!$H14*EK$23)*'Operating Assumptions'!$D$17)))))))</f>
        <v>0</v>
      </c>
      <c r="EL47" s="427">
        <f>IF(OR(EL$9&lt;'Operating Assumptions'!$D$53,EL$6&gt;'Operating Assumptions'!$AA$8,'Operating Assumptions'!$G14="N/A"),0,IF('Operating Assumptions'!$G14="$/Unit/Annual",(('Operating Assumptions'!$H14*EL$23)*EL$36)/12,IF('Operating Assumptions'!$G14="$/Unit/Month",('Operating Assumptions'!$H14*EL$23)*EL$36,IF('Operating Assumptions'!$G14="Fixed Amount",('Operating Assumptions'!$H14*EL$23)/12,IF('Operating Assumptions'!$G14="$/Garage/Month",('Operating Assumptions'!$H14*EL$23)*'Operating Assumptions'!$D$16,IF('Operating Assumptions'!$G14="$/Pet/Month",(EL$36*'Operating Assumptions'!$D$18)*('Operating Assumptions'!$H14*EL$23),IF('Operating Assumptions'!$G14="$/Parking/Month",('Operating Assumptions'!$H14*EL$23)*'Operating Assumptions'!$D$17)))))))</f>
        <v>0</v>
      </c>
      <c r="EM47" s="427">
        <f>IF(OR(EM$9&lt;'Operating Assumptions'!$D$53,EM$6&gt;'Operating Assumptions'!$AA$8,'Operating Assumptions'!$G14="N/A"),0,IF('Operating Assumptions'!$G14="$/Unit/Annual",(('Operating Assumptions'!$H14*EM$23)*EM$36)/12,IF('Operating Assumptions'!$G14="$/Unit/Month",('Operating Assumptions'!$H14*EM$23)*EM$36,IF('Operating Assumptions'!$G14="Fixed Amount",('Operating Assumptions'!$H14*EM$23)/12,IF('Operating Assumptions'!$G14="$/Garage/Month",('Operating Assumptions'!$H14*EM$23)*'Operating Assumptions'!$D$16,IF('Operating Assumptions'!$G14="$/Pet/Month",(EM$36*'Operating Assumptions'!$D$18)*('Operating Assumptions'!$H14*EM$23),IF('Operating Assumptions'!$G14="$/Parking/Month",('Operating Assumptions'!$H14*EM$23)*'Operating Assumptions'!$D$17)))))))</f>
        <v>0</v>
      </c>
      <c r="EN47" s="427">
        <f>IF(OR(EN$9&lt;'Operating Assumptions'!$D$53,EN$6&gt;'Operating Assumptions'!$AA$8,'Operating Assumptions'!$G14="N/A"),0,IF('Operating Assumptions'!$G14="$/Unit/Annual",(('Operating Assumptions'!$H14*EN$23)*EN$36)/12,IF('Operating Assumptions'!$G14="$/Unit/Month",('Operating Assumptions'!$H14*EN$23)*EN$36,IF('Operating Assumptions'!$G14="Fixed Amount",('Operating Assumptions'!$H14*EN$23)/12,IF('Operating Assumptions'!$G14="$/Garage/Month",('Operating Assumptions'!$H14*EN$23)*'Operating Assumptions'!$D$16,IF('Operating Assumptions'!$G14="$/Pet/Month",(EN$36*'Operating Assumptions'!$D$18)*('Operating Assumptions'!$H14*EN$23),IF('Operating Assumptions'!$G14="$/Parking/Month",('Operating Assumptions'!$H14*EN$23)*'Operating Assumptions'!$D$17)))))))</f>
        <v>0</v>
      </c>
      <c r="EO47" s="427">
        <f>IF(OR(EO$9&lt;'Operating Assumptions'!$D$53,EO$6&gt;'Operating Assumptions'!$AA$8,'Operating Assumptions'!$G14="N/A"),0,IF('Operating Assumptions'!$G14="$/Unit/Annual",(('Operating Assumptions'!$H14*EO$23)*EO$36)/12,IF('Operating Assumptions'!$G14="$/Unit/Month",('Operating Assumptions'!$H14*EO$23)*EO$36,IF('Operating Assumptions'!$G14="Fixed Amount",('Operating Assumptions'!$H14*EO$23)/12,IF('Operating Assumptions'!$G14="$/Garage/Month",('Operating Assumptions'!$H14*EO$23)*'Operating Assumptions'!$D$16,IF('Operating Assumptions'!$G14="$/Pet/Month",(EO$36*'Operating Assumptions'!$D$18)*('Operating Assumptions'!$H14*EO$23),IF('Operating Assumptions'!$G14="$/Parking/Month",('Operating Assumptions'!$H14*EO$23)*'Operating Assumptions'!$D$17)))))))</f>
        <v>0</v>
      </c>
      <c r="EP47" s="427">
        <f>IF(OR(EP$9&lt;'Operating Assumptions'!$D$53,EP$6&gt;'Operating Assumptions'!$AA$8,'Operating Assumptions'!$G14="N/A"),0,IF('Operating Assumptions'!$G14="$/Unit/Annual",(('Operating Assumptions'!$H14*EP$23)*EP$36)/12,IF('Operating Assumptions'!$G14="$/Unit/Month",('Operating Assumptions'!$H14*EP$23)*EP$36,IF('Operating Assumptions'!$G14="Fixed Amount",('Operating Assumptions'!$H14*EP$23)/12,IF('Operating Assumptions'!$G14="$/Garage/Month",('Operating Assumptions'!$H14*EP$23)*'Operating Assumptions'!$D$16,IF('Operating Assumptions'!$G14="$/Pet/Month",(EP$36*'Operating Assumptions'!$D$18)*('Operating Assumptions'!$H14*EP$23),IF('Operating Assumptions'!$G14="$/Parking/Month",('Operating Assumptions'!$H14*EP$23)*'Operating Assumptions'!$D$17)))))))</f>
        <v>0</v>
      </c>
      <c r="EQ47" s="427">
        <f>IF(OR(EQ$9&lt;'Operating Assumptions'!$D$53,EQ$6&gt;'Operating Assumptions'!$AA$8,'Operating Assumptions'!$G14="N/A"),0,IF('Operating Assumptions'!$G14="$/Unit/Annual",(('Operating Assumptions'!$H14*EQ$23)*EQ$36)/12,IF('Operating Assumptions'!$G14="$/Unit/Month",('Operating Assumptions'!$H14*EQ$23)*EQ$36,IF('Operating Assumptions'!$G14="Fixed Amount",('Operating Assumptions'!$H14*EQ$23)/12,IF('Operating Assumptions'!$G14="$/Garage/Month",('Operating Assumptions'!$H14*EQ$23)*'Operating Assumptions'!$D$16,IF('Operating Assumptions'!$G14="$/Pet/Month",(EQ$36*'Operating Assumptions'!$D$18)*('Operating Assumptions'!$H14*EQ$23),IF('Operating Assumptions'!$G14="$/Parking/Month",('Operating Assumptions'!$H14*EQ$23)*'Operating Assumptions'!$D$17)))))))</f>
        <v>0</v>
      </c>
      <c r="ER47" s="427">
        <f>IF(OR(ER$9&lt;'Operating Assumptions'!$D$53,ER$6&gt;'Operating Assumptions'!$AA$8,'Operating Assumptions'!$G14="N/A"),0,IF('Operating Assumptions'!$G14="$/Unit/Annual",(('Operating Assumptions'!$H14*ER$23)*ER$36)/12,IF('Operating Assumptions'!$G14="$/Unit/Month",('Operating Assumptions'!$H14*ER$23)*ER$36,IF('Operating Assumptions'!$G14="Fixed Amount",('Operating Assumptions'!$H14*ER$23)/12,IF('Operating Assumptions'!$G14="$/Garage/Month",('Operating Assumptions'!$H14*ER$23)*'Operating Assumptions'!$D$16,IF('Operating Assumptions'!$G14="$/Pet/Month",(ER$36*'Operating Assumptions'!$D$18)*('Operating Assumptions'!$H14*ER$23),IF('Operating Assumptions'!$G14="$/Parking/Month",('Operating Assumptions'!$H14*ER$23)*'Operating Assumptions'!$D$17)))))))</f>
        <v>0</v>
      </c>
      <c r="ES47" s="427">
        <f>IF(OR(ES$9&lt;'Operating Assumptions'!$D$53,ES$6&gt;'Operating Assumptions'!$AA$8,'Operating Assumptions'!$G14="N/A"),0,IF('Operating Assumptions'!$G14="$/Unit/Annual",(('Operating Assumptions'!$H14*ES$23)*ES$36)/12,IF('Operating Assumptions'!$G14="$/Unit/Month",('Operating Assumptions'!$H14*ES$23)*ES$36,IF('Operating Assumptions'!$G14="Fixed Amount",('Operating Assumptions'!$H14*ES$23)/12,IF('Operating Assumptions'!$G14="$/Garage/Month",('Operating Assumptions'!$H14*ES$23)*'Operating Assumptions'!$D$16,IF('Operating Assumptions'!$G14="$/Pet/Month",(ES$36*'Operating Assumptions'!$D$18)*('Operating Assumptions'!$H14*ES$23),IF('Operating Assumptions'!$G14="$/Parking/Month",('Operating Assumptions'!$H14*ES$23)*'Operating Assumptions'!$D$17)))))))</f>
        <v>0</v>
      </c>
      <c r="ET47" s="427">
        <f>IF(OR(ET$9&lt;'Operating Assumptions'!$D$53,ET$6&gt;'Operating Assumptions'!$AA$8,'Operating Assumptions'!$G14="N/A"),0,IF('Operating Assumptions'!$G14="$/Unit/Annual",(('Operating Assumptions'!$H14*ET$23)*ET$36)/12,IF('Operating Assumptions'!$G14="$/Unit/Month",('Operating Assumptions'!$H14*ET$23)*ET$36,IF('Operating Assumptions'!$G14="Fixed Amount",('Operating Assumptions'!$H14*ET$23)/12,IF('Operating Assumptions'!$G14="$/Garage/Month",('Operating Assumptions'!$H14*ET$23)*'Operating Assumptions'!$D$16,IF('Operating Assumptions'!$G14="$/Pet/Month",(ET$36*'Operating Assumptions'!$D$18)*('Operating Assumptions'!$H14*ET$23),IF('Operating Assumptions'!$G14="$/Parking/Month",('Operating Assumptions'!$H14*ET$23)*'Operating Assumptions'!$D$17)))))))</f>
        <v>0</v>
      </c>
      <c r="EU47" s="427">
        <f>IF(OR(EU$9&lt;'Operating Assumptions'!$D$53,EU$6&gt;'Operating Assumptions'!$AA$8,'Operating Assumptions'!$G14="N/A"),0,IF('Operating Assumptions'!$G14="$/Unit/Annual",(('Operating Assumptions'!$H14*EU$23)*EU$36)/12,IF('Operating Assumptions'!$G14="$/Unit/Month",('Operating Assumptions'!$H14*EU$23)*EU$36,IF('Operating Assumptions'!$G14="Fixed Amount",('Operating Assumptions'!$H14*EU$23)/12,IF('Operating Assumptions'!$G14="$/Garage/Month",('Operating Assumptions'!$H14*EU$23)*'Operating Assumptions'!$D$16,IF('Operating Assumptions'!$G14="$/Pet/Month",(EU$36*'Operating Assumptions'!$D$18)*('Operating Assumptions'!$H14*EU$23),IF('Operating Assumptions'!$G14="$/Parking/Month",('Operating Assumptions'!$H14*EU$23)*'Operating Assumptions'!$D$17)))))))</f>
        <v>0</v>
      </c>
      <c r="EV47" s="427">
        <f>IF(OR(EV$9&lt;'Operating Assumptions'!$D$53,EV$6&gt;'Operating Assumptions'!$AA$8,'Operating Assumptions'!$G14="N/A"),0,IF('Operating Assumptions'!$G14="$/Unit/Annual",(('Operating Assumptions'!$H14*EV$23)*EV$36)/12,IF('Operating Assumptions'!$G14="$/Unit/Month",('Operating Assumptions'!$H14*EV$23)*EV$36,IF('Operating Assumptions'!$G14="Fixed Amount",('Operating Assumptions'!$H14*EV$23)/12,IF('Operating Assumptions'!$G14="$/Garage/Month",('Operating Assumptions'!$H14*EV$23)*'Operating Assumptions'!$D$16,IF('Operating Assumptions'!$G14="$/Pet/Month",(EV$36*'Operating Assumptions'!$D$18)*('Operating Assumptions'!$H14*EV$23),IF('Operating Assumptions'!$G14="$/Parking/Month",('Operating Assumptions'!$H14*EV$23)*'Operating Assumptions'!$D$17)))))))</f>
        <v>0</v>
      </c>
      <c r="EW47" s="427">
        <f>IF(OR(EW$9&lt;'Operating Assumptions'!$D$53,EW$6&gt;'Operating Assumptions'!$AA$8,'Operating Assumptions'!$G14="N/A"),0,IF('Operating Assumptions'!$G14="$/Unit/Annual",(('Operating Assumptions'!$H14*EW$23)*EW$36)/12,IF('Operating Assumptions'!$G14="$/Unit/Month",('Operating Assumptions'!$H14*EW$23)*EW$36,IF('Operating Assumptions'!$G14="Fixed Amount",('Operating Assumptions'!$H14*EW$23)/12,IF('Operating Assumptions'!$G14="$/Garage/Month",('Operating Assumptions'!$H14*EW$23)*'Operating Assumptions'!$D$16,IF('Operating Assumptions'!$G14="$/Pet/Month",(EW$36*'Operating Assumptions'!$D$18)*('Operating Assumptions'!$H14*EW$23),IF('Operating Assumptions'!$G14="$/Parking/Month",('Operating Assumptions'!$H14*EW$23)*'Operating Assumptions'!$D$17)))))))</f>
        <v>0</v>
      </c>
      <c r="EX47" s="427">
        <f>IF(OR(EX$9&lt;'Operating Assumptions'!$D$53,EX$6&gt;'Operating Assumptions'!$AA$8,'Operating Assumptions'!$G14="N/A"),0,IF('Operating Assumptions'!$G14="$/Unit/Annual",(('Operating Assumptions'!$H14*EX$23)*EX$36)/12,IF('Operating Assumptions'!$G14="$/Unit/Month",('Operating Assumptions'!$H14*EX$23)*EX$36,IF('Operating Assumptions'!$G14="Fixed Amount",('Operating Assumptions'!$H14*EX$23)/12,IF('Operating Assumptions'!$G14="$/Garage/Month",('Operating Assumptions'!$H14*EX$23)*'Operating Assumptions'!$D$16,IF('Operating Assumptions'!$G14="$/Pet/Month",(EX$36*'Operating Assumptions'!$D$18)*('Operating Assumptions'!$H14*EX$23),IF('Operating Assumptions'!$G14="$/Parking/Month",('Operating Assumptions'!$H14*EX$23)*'Operating Assumptions'!$D$17)))))))</f>
        <v>0</v>
      </c>
      <c r="EY47" s="427">
        <f>IF(OR(EY$9&lt;'Operating Assumptions'!$D$53,EY$6&gt;'Operating Assumptions'!$AA$8,'Operating Assumptions'!$G14="N/A"),0,IF('Operating Assumptions'!$G14="$/Unit/Annual",(('Operating Assumptions'!$H14*EY$23)*EY$36)/12,IF('Operating Assumptions'!$G14="$/Unit/Month",('Operating Assumptions'!$H14*EY$23)*EY$36,IF('Operating Assumptions'!$G14="Fixed Amount",('Operating Assumptions'!$H14*EY$23)/12,IF('Operating Assumptions'!$G14="$/Garage/Month",('Operating Assumptions'!$H14*EY$23)*'Operating Assumptions'!$D$16,IF('Operating Assumptions'!$G14="$/Pet/Month",(EY$36*'Operating Assumptions'!$D$18)*('Operating Assumptions'!$H14*EY$23),IF('Operating Assumptions'!$G14="$/Parking/Month",('Operating Assumptions'!$H14*EY$23)*'Operating Assumptions'!$D$17)))))))</f>
        <v>0</v>
      </c>
      <c r="EZ47" s="427">
        <f>IF(OR(EZ$9&lt;'Operating Assumptions'!$D$53,EZ$6&gt;'Operating Assumptions'!$AA$8,'Operating Assumptions'!$G14="N/A"),0,IF('Operating Assumptions'!$G14="$/Unit/Annual",(('Operating Assumptions'!$H14*EZ$23)*EZ$36)/12,IF('Operating Assumptions'!$G14="$/Unit/Month",('Operating Assumptions'!$H14*EZ$23)*EZ$36,IF('Operating Assumptions'!$G14="Fixed Amount",('Operating Assumptions'!$H14*EZ$23)/12,IF('Operating Assumptions'!$G14="$/Garage/Month",('Operating Assumptions'!$H14*EZ$23)*'Operating Assumptions'!$D$16,IF('Operating Assumptions'!$G14="$/Pet/Month",(EZ$36*'Operating Assumptions'!$D$18)*('Operating Assumptions'!$H14*EZ$23),IF('Operating Assumptions'!$G14="$/Parking/Month",('Operating Assumptions'!$H14*EZ$23)*'Operating Assumptions'!$D$17)))))))</f>
        <v>0</v>
      </c>
      <c r="FA47" s="427">
        <f>IF(OR(FA$9&lt;'Operating Assumptions'!$D$53,FA$6&gt;'Operating Assumptions'!$AA$8,'Operating Assumptions'!$G14="N/A"),0,IF('Operating Assumptions'!$G14="$/Unit/Annual",(('Operating Assumptions'!$H14*FA$23)*FA$36)/12,IF('Operating Assumptions'!$G14="$/Unit/Month",('Operating Assumptions'!$H14*FA$23)*FA$36,IF('Operating Assumptions'!$G14="Fixed Amount",('Operating Assumptions'!$H14*FA$23)/12,IF('Operating Assumptions'!$G14="$/Garage/Month",('Operating Assumptions'!$H14*FA$23)*'Operating Assumptions'!$D$16,IF('Operating Assumptions'!$G14="$/Pet/Month",(FA$36*'Operating Assumptions'!$D$18)*('Operating Assumptions'!$H14*FA$23),IF('Operating Assumptions'!$G14="$/Parking/Month",('Operating Assumptions'!$H14*FA$23)*'Operating Assumptions'!$D$17)))))))</f>
        <v>0</v>
      </c>
      <c r="FB47" s="427">
        <f>IF(OR(FB$9&lt;'Operating Assumptions'!$D$53,FB$6&gt;'Operating Assumptions'!$AA$8,'Operating Assumptions'!$G14="N/A"),0,IF('Operating Assumptions'!$G14="$/Unit/Annual",(('Operating Assumptions'!$H14*FB$23)*FB$36)/12,IF('Operating Assumptions'!$G14="$/Unit/Month",('Operating Assumptions'!$H14*FB$23)*FB$36,IF('Operating Assumptions'!$G14="Fixed Amount",('Operating Assumptions'!$H14*FB$23)/12,IF('Operating Assumptions'!$G14="$/Garage/Month",('Operating Assumptions'!$H14*FB$23)*'Operating Assumptions'!$D$16,IF('Operating Assumptions'!$G14="$/Pet/Month",(FB$36*'Operating Assumptions'!$D$18)*('Operating Assumptions'!$H14*FB$23),IF('Operating Assumptions'!$G14="$/Parking/Month",('Operating Assumptions'!$H14*FB$23)*'Operating Assumptions'!$D$17)))))))</f>
        <v>0</v>
      </c>
      <c r="FC47" s="427">
        <f>IF(OR(FC$9&lt;'Operating Assumptions'!$D$53,FC$6&gt;'Operating Assumptions'!$AA$8,'Operating Assumptions'!$G14="N/A"),0,IF('Operating Assumptions'!$G14="$/Unit/Annual",(('Operating Assumptions'!$H14*FC$23)*FC$36)/12,IF('Operating Assumptions'!$G14="$/Unit/Month",('Operating Assumptions'!$H14*FC$23)*FC$36,IF('Operating Assumptions'!$G14="Fixed Amount",('Operating Assumptions'!$H14*FC$23)/12,IF('Operating Assumptions'!$G14="$/Garage/Month",('Operating Assumptions'!$H14*FC$23)*'Operating Assumptions'!$D$16,IF('Operating Assumptions'!$G14="$/Pet/Month",(FC$36*'Operating Assumptions'!$D$18)*('Operating Assumptions'!$H14*FC$23),IF('Operating Assumptions'!$G14="$/Parking/Month",('Operating Assumptions'!$H14*FC$23)*'Operating Assumptions'!$D$17)))))))</f>
        <v>0</v>
      </c>
      <c r="FD47" s="427">
        <f>IF(OR(FD$9&lt;'Operating Assumptions'!$D$53,FD$6&gt;'Operating Assumptions'!$AA$8,'Operating Assumptions'!$G14="N/A"),0,IF('Operating Assumptions'!$G14="$/Unit/Annual",(('Operating Assumptions'!$H14*FD$23)*FD$36)/12,IF('Operating Assumptions'!$G14="$/Unit/Month",('Operating Assumptions'!$H14*FD$23)*FD$36,IF('Operating Assumptions'!$G14="Fixed Amount",('Operating Assumptions'!$H14*FD$23)/12,IF('Operating Assumptions'!$G14="$/Garage/Month",('Operating Assumptions'!$H14*FD$23)*'Operating Assumptions'!$D$16,IF('Operating Assumptions'!$G14="$/Pet/Month",(FD$36*'Operating Assumptions'!$D$18)*('Operating Assumptions'!$H14*FD$23),IF('Operating Assumptions'!$G14="$/Parking/Month",('Operating Assumptions'!$H14*FD$23)*'Operating Assumptions'!$D$17)))))))</f>
        <v>0</v>
      </c>
      <c r="FE47" s="427">
        <f>IF(OR(FE$9&lt;'Operating Assumptions'!$D$53,FE$6&gt;'Operating Assumptions'!$AA$8,'Operating Assumptions'!$G14="N/A"),0,IF('Operating Assumptions'!$G14="$/Unit/Annual",(('Operating Assumptions'!$H14*FE$23)*FE$36)/12,IF('Operating Assumptions'!$G14="$/Unit/Month",('Operating Assumptions'!$H14*FE$23)*FE$36,IF('Operating Assumptions'!$G14="Fixed Amount",('Operating Assumptions'!$H14*FE$23)/12,IF('Operating Assumptions'!$G14="$/Garage/Month",('Operating Assumptions'!$H14*FE$23)*'Operating Assumptions'!$D$16,IF('Operating Assumptions'!$G14="$/Pet/Month",(FE$36*'Operating Assumptions'!$D$18)*('Operating Assumptions'!$H14*FE$23),IF('Operating Assumptions'!$G14="$/Parking/Month",('Operating Assumptions'!$H14*FE$23)*'Operating Assumptions'!$D$17)))))))</f>
        <v>0</v>
      </c>
      <c r="FF47" s="427">
        <f>IF(OR(FF$9&lt;'Operating Assumptions'!$D$53,FF$6&gt;'Operating Assumptions'!$AA$8,'Operating Assumptions'!$G14="N/A"),0,IF('Operating Assumptions'!$G14="$/Unit/Annual",(('Operating Assumptions'!$H14*FF$23)*FF$36)/12,IF('Operating Assumptions'!$G14="$/Unit/Month",('Operating Assumptions'!$H14*FF$23)*FF$36,IF('Operating Assumptions'!$G14="Fixed Amount",('Operating Assumptions'!$H14*FF$23)/12,IF('Operating Assumptions'!$G14="$/Garage/Month",('Operating Assumptions'!$H14*FF$23)*'Operating Assumptions'!$D$16,IF('Operating Assumptions'!$G14="$/Pet/Month",(FF$36*'Operating Assumptions'!$D$18)*('Operating Assumptions'!$H14*FF$23),IF('Operating Assumptions'!$G14="$/Parking/Month",('Operating Assumptions'!$H14*FF$23)*'Operating Assumptions'!$D$17)))))))</f>
        <v>0</v>
      </c>
      <c r="FG47" s="427">
        <f>IF(OR(FG$9&lt;'Operating Assumptions'!$D$53,FG$6&gt;'Operating Assumptions'!$AA$8,'Operating Assumptions'!$G14="N/A"),0,IF('Operating Assumptions'!$G14="$/Unit/Annual",(('Operating Assumptions'!$H14*FG$23)*FG$36)/12,IF('Operating Assumptions'!$G14="$/Unit/Month",('Operating Assumptions'!$H14*FG$23)*FG$36,IF('Operating Assumptions'!$G14="Fixed Amount",('Operating Assumptions'!$H14*FG$23)/12,IF('Operating Assumptions'!$G14="$/Garage/Month",('Operating Assumptions'!$H14*FG$23)*'Operating Assumptions'!$D$16,IF('Operating Assumptions'!$G14="$/Pet/Month",(FG$36*'Operating Assumptions'!$D$18)*('Operating Assumptions'!$H14*FG$23),IF('Operating Assumptions'!$G14="$/Parking/Month",('Operating Assumptions'!$H14*FG$23)*'Operating Assumptions'!$D$17)))))))</f>
        <v>0</v>
      </c>
      <c r="FH47" s="427">
        <f>IF(OR(FH$9&lt;'Operating Assumptions'!$D$53,FH$6&gt;'Operating Assumptions'!$AA$8,'Operating Assumptions'!$G14="N/A"),0,IF('Operating Assumptions'!$G14="$/Unit/Annual",(('Operating Assumptions'!$H14*FH$23)*FH$36)/12,IF('Operating Assumptions'!$G14="$/Unit/Month",('Operating Assumptions'!$H14*FH$23)*FH$36,IF('Operating Assumptions'!$G14="Fixed Amount",('Operating Assumptions'!$H14*FH$23)/12,IF('Operating Assumptions'!$G14="$/Garage/Month",('Operating Assumptions'!$H14*FH$23)*'Operating Assumptions'!$D$16,IF('Operating Assumptions'!$G14="$/Pet/Month",(FH$36*'Operating Assumptions'!$D$18)*('Operating Assumptions'!$H14*FH$23),IF('Operating Assumptions'!$G14="$/Parking/Month",('Operating Assumptions'!$H14*FH$23)*'Operating Assumptions'!$D$17)))))))</f>
        <v>0</v>
      </c>
      <c r="FI47" s="427">
        <f>IF(OR(FI$9&lt;'Operating Assumptions'!$D$53,FI$6&gt;'Operating Assumptions'!$AA$8,'Operating Assumptions'!$G14="N/A"),0,IF('Operating Assumptions'!$G14="$/Unit/Annual",(('Operating Assumptions'!$H14*FI$23)*FI$36)/12,IF('Operating Assumptions'!$G14="$/Unit/Month",('Operating Assumptions'!$H14*FI$23)*FI$36,IF('Operating Assumptions'!$G14="Fixed Amount",('Operating Assumptions'!$H14*FI$23)/12,IF('Operating Assumptions'!$G14="$/Garage/Month",('Operating Assumptions'!$H14*FI$23)*'Operating Assumptions'!$D$16,IF('Operating Assumptions'!$G14="$/Pet/Month",(FI$36*'Operating Assumptions'!$D$18)*('Operating Assumptions'!$H14*FI$23),IF('Operating Assumptions'!$G14="$/Parking/Month",('Operating Assumptions'!$H14*FI$23)*'Operating Assumptions'!$D$17)))))))</f>
        <v>0</v>
      </c>
      <c r="FJ47" s="427">
        <f>IF(OR(FJ$9&lt;'Operating Assumptions'!$D$53,FJ$6&gt;'Operating Assumptions'!$AA$8,'Operating Assumptions'!$G14="N/A"),0,IF('Operating Assumptions'!$G14="$/Unit/Annual",(('Operating Assumptions'!$H14*FJ$23)*FJ$36)/12,IF('Operating Assumptions'!$G14="$/Unit/Month",('Operating Assumptions'!$H14*FJ$23)*FJ$36,IF('Operating Assumptions'!$G14="Fixed Amount",('Operating Assumptions'!$H14*FJ$23)/12,IF('Operating Assumptions'!$G14="$/Garage/Month",('Operating Assumptions'!$H14*FJ$23)*'Operating Assumptions'!$D$16,IF('Operating Assumptions'!$G14="$/Pet/Month",(FJ$36*'Operating Assumptions'!$D$18)*('Operating Assumptions'!$H14*FJ$23),IF('Operating Assumptions'!$G14="$/Parking/Month",('Operating Assumptions'!$H14*FJ$23)*'Operating Assumptions'!$D$17)))))))</f>
        <v>0</v>
      </c>
      <c r="FK47" s="427">
        <f>IF(OR(FK$9&lt;'Operating Assumptions'!$D$53,FK$6&gt;'Operating Assumptions'!$AA$8,'Operating Assumptions'!$G14="N/A"),0,IF('Operating Assumptions'!$G14="$/Unit/Annual",(('Operating Assumptions'!$H14*FK$23)*FK$36)/12,IF('Operating Assumptions'!$G14="$/Unit/Month",('Operating Assumptions'!$H14*FK$23)*FK$36,IF('Operating Assumptions'!$G14="Fixed Amount",('Operating Assumptions'!$H14*FK$23)/12,IF('Operating Assumptions'!$G14="$/Garage/Month",('Operating Assumptions'!$H14*FK$23)*'Operating Assumptions'!$D$16,IF('Operating Assumptions'!$G14="$/Pet/Month",(FK$36*'Operating Assumptions'!$D$18)*('Operating Assumptions'!$H14*FK$23),IF('Operating Assumptions'!$G14="$/Parking/Month",('Operating Assumptions'!$H14*FK$23)*'Operating Assumptions'!$D$17)))))))</f>
        <v>0</v>
      </c>
      <c r="FL47" s="427">
        <f>IF(OR(FL$9&lt;'Operating Assumptions'!$D$53,FL$6&gt;'Operating Assumptions'!$AA$8,'Operating Assumptions'!$G14="N/A"),0,IF('Operating Assumptions'!$G14="$/Unit/Annual",(('Operating Assumptions'!$H14*FL$23)*FL$36)/12,IF('Operating Assumptions'!$G14="$/Unit/Month",('Operating Assumptions'!$H14*FL$23)*FL$36,IF('Operating Assumptions'!$G14="Fixed Amount",('Operating Assumptions'!$H14*FL$23)/12,IF('Operating Assumptions'!$G14="$/Garage/Month",('Operating Assumptions'!$H14*FL$23)*'Operating Assumptions'!$D$16,IF('Operating Assumptions'!$G14="$/Pet/Month",(FL$36*'Operating Assumptions'!$D$18)*('Operating Assumptions'!$H14*FL$23),IF('Operating Assumptions'!$G14="$/Parking/Month",('Operating Assumptions'!$H14*FL$23)*'Operating Assumptions'!$D$17)))))))</f>
        <v>0</v>
      </c>
      <c r="FM47" s="427">
        <f>IF(OR(FM$9&lt;'Operating Assumptions'!$D$53,FM$6&gt;'Operating Assumptions'!$AA$8,'Operating Assumptions'!$G14="N/A"),0,IF('Operating Assumptions'!$G14="$/Unit/Annual",(('Operating Assumptions'!$H14*FM$23)*FM$36)/12,IF('Operating Assumptions'!$G14="$/Unit/Month",('Operating Assumptions'!$H14*FM$23)*FM$36,IF('Operating Assumptions'!$G14="Fixed Amount",('Operating Assumptions'!$H14*FM$23)/12,IF('Operating Assumptions'!$G14="$/Garage/Month",('Operating Assumptions'!$H14*FM$23)*'Operating Assumptions'!$D$16,IF('Operating Assumptions'!$G14="$/Pet/Month",(FM$36*'Operating Assumptions'!$D$18)*('Operating Assumptions'!$H14*FM$23),IF('Operating Assumptions'!$G14="$/Parking/Month",('Operating Assumptions'!$H14*FM$23)*'Operating Assumptions'!$D$17)))))))</f>
        <v>0</v>
      </c>
      <c r="FN47" s="427">
        <f>IF(OR(FN$9&lt;'Operating Assumptions'!$D$53,FN$6&gt;'Operating Assumptions'!$AA$8,'Operating Assumptions'!$G14="N/A"),0,IF('Operating Assumptions'!$G14="$/Unit/Annual",(('Operating Assumptions'!$H14*FN$23)*FN$36)/12,IF('Operating Assumptions'!$G14="$/Unit/Month",('Operating Assumptions'!$H14*FN$23)*FN$36,IF('Operating Assumptions'!$G14="Fixed Amount",('Operating Assumptions'!$H14*FN$23)/12,IF('Operating Assumptions'!$G14="$/Garage/Month",('Operating Assumptions'!$H14*FN$23)*'Operating Assumptions'!$D$16,IF('Operating Assumptions'!$G14="$/Pet/Month",(FN$36*'Operating Assumptions'!$D$18)*('Operating Assumptions'!$H14*FN$23),IF('Operating Assumptions'!$G14="$/Parking/Month",('Operating Assumptions'!$H14*FN$23)*'Operating Assumptions'!$D$17)))))))</f>
        <v>0</v>
      </c>
      <c r="FO47" s="427">
        <f>IF(OR(FO$9&lt;'Operating Assumptions'!$D$53,FO$6&gt;'Operating Assumptions'!$AA$8,'Operating Assumptions'!$G14="N/A"),0,IF('Operating Assumptions'!$G14="$/Unit/Annual",(('Operating Assumptions'!$H14*FO$23)*FO$36)/12,IF('Operating Assumptions'!$G14="$/Unit/Month",('Operating Assumptions'!$H14*FO$23)*FO$36,IF('Operating Assumptions'!$G14="Fixed Amount",('Operating Assumptions'!$H14*FO$23)/12,IF('Operating Assumptions'!$G14="$/Garage/Month",('Operating Assumptions'!$H14*FO$23)*'Operating Assumptions'!$D$16,IF('Operating Assumptions'!$G14="$/Pet/Month",(FO$36*'Operating Assumptions'!$D$18)*('Operating Assumptions'!$H14*FO$23),IF('Operating Assumptions'!$G14="$/Parking/Month",('Operating Assumptions'!$H14*FO$23)*'Operating Assumptions'!$D$17)))))))</f>
        <v>0</v>
      </c>
      <c r="FP47" s="427">
        <f>IF(OR(FP$9&lt;'Operating Assumptions'!$D$53,FP$6&gt;'Operating Assumptions'!$AA$8,'Operating Assumptions'!$G14="N/A"),0,IF('Operating Assumptions'!$G14="$/Unit/Annual",(('Operating Assumptions'!$H14*FP$23)*FP$36)/12,IF('Operating Assumptions'!$G14="$/Unit/Month",('Operating Assumptions'!$H14*FP$23)*FP$36,IF('Operating Assumptions'!$G14="Fixed Amount",('Operating Assumptions'!$H14*FP$23)/12,IF('Operating Assumptions'!$G14="$/Garage/Month",('Operating Assumptions'!$H14*FP$23)*'Operating Assumptions'!$D$16,IF('Operating Assumptions'!$G14="$/Pet/Month",(FP$36*'Operating Assumptions'!$D$18)*('Operating Assumptions'!$H14*FP$23),IF('Operating Assumptions'!$G14="$/Parking/Month",('Operating Assumptions'!$H14*FP$23)*'Operating Assumptions'!$D$17)))))))</f>
        <v>0</v>
      </c>
      <c r="FQ47" s="427">
        <f>IF(OR(FQ$9&lt;'Operating Assumptions'!$D$53,FQ$6&gt;'Operating Assumptions'!$AA$8,'Operating Assumptions'!$G14="N/A"),0,IF('Operating Assumptions'!$G14="$/Unit/Annual",(('Operating Assumptions'!$H14*FQ$23)*FQ$36)/12,IF('Operating Assumptions'!$G14="$/Unit/Month",('Operating Assumptions'!$H14*FQ$23)*FQ$36,IF('Operating Assumptions'!$G14="Fixed Amount",('Operating Assumptions'!$H14*FQ$23)/12,IF('Operating Assumptions'!$G14="$/Garage/Month",('Operating Assumptions'!$H14*FQ$23)*'Operating Assumptions'!$D$16,IF('Operating Assumptions'!$G14="$/Pet/Month",(FQ$36*'Operating Assumptions'!$D$18)*('Operating Assumptions'!$H14*FQ$23),IF('Operating Assumptions'!$G14="$/Parking/Month",('Operating Assumptions'!$H14*FQ$23)*'Operating Assumptions'!$D$17)))))))</f>
        <v>0</v>
      </c>
      <c r="FR47" s="427">
        <f>IF(OR(FR$9&lt;'Operating Assumptions'!$D$53,FR$6&gt;'Operating Assumptions'!$AA$8,'Operating Assumptions'!$G14="N/A"),0,IF('Operating Assumptions'!$G14="$/Unit/Annual",(('Operating Assumptions'!$H14*FR$23)*FR$36)/12,IF('Operating Assumptions'!$G14="$/Unit/Month",('Operating Assumptions'!$H14*FR$23)*FR$36,IF('Operating Assumptions'!$G14="Fixed Amount",('Operating Assumptions'!$H14*FR$23)/12,IF('Operating Assumptions'!$G14="$/Garage/Month",('Operating Assumptions'!$H14*FR$23)*'Operating Assumptions'!$D$16,IF('Operating Assumptions'!$G14="$/Pet/Month",(FR$36*'Operating Assumptions'!$D$18)*('Operating Assumptions'!$H14*FR$23),IF('Operating Assumptions'!$G14="$/Parking/Month",('Operating Assumptions'!$H14*FR$23)*'Operating Assumptions'!$D$17)))))))</f>
        <v>0</v>
      </c>
      <c r="FS47" s="427">
        <f>IF(OR(FS$9&lt;'Operating Assumptions'!$D$53,FS$6&gt;'Operating Assumptions'!$AA$8,'Operating Assumptions'!$G14="N/A"),0,IF('Operating Assumptions'!$G14="$/Unit/Annual",(('Operating Assumptions'!$H14*FS$23)*FS$36)/12,IF('Operating Assumptions'!$G14="$/Unit/Month",('Operating Assumptions'!$H14*FS$23)*FS$36,IF('Operating Assumptions'!$G14="Fixed Amount",('Operating Assumptions'!$H14*FS$23)/12,IF('Operating Assumptions'!$G14="$/Garage/Month",('Operating Assumptions'!$H14*FS$23)*'Operating Assumptions'!$D$16,IF('Operating Assumptions'!$G14="$/Pet/Month",(FS$36*'Operating Assumptions'!$D$18)*('Operating Assumptions'!$H14*FS$23),IF('Operating Assumptions'!$G14="$/Parking/Month",('Operating Assumptions'!$H14*FS$23)*'Operating Assumptions'!$D$17)))))))</f>
        <v>0</v>
      </c>
      <c r="FT47" s="427">
        <f>IF(OR(FT$9&lt;'Operating Assumptions'!$D$53,FT$6&gt;'Operating Assumptions'!$AA$8,'Operating Assumptions'!$G14="N/A"),0,IF('Operating Assumptions'!$G14="$/Unit/Annual",(('Operating Assumptions'!$H14*FT$23)*FT$36)/12,IF('Operating Assumptions'!$G14="$/Unit/Month",('Operating Assumptions'!$H14*FT$23)*FT$36,IF('Operating Assumptions'!$G14="Fixed Amount",('Operating Assumptions'!$H14*FT$23)/12,IF('Operating Assumptions'!$G14="$/Garage/Month",('Operating Assumptions'!$H14*FT$23)*'Operating Assumptions'!$D$16,IF('Operating Assumptions'!$G14="$/Pet/Month",(FT$36*'Operating Assumptions'!$D$18)*('Operating Assumptions'!$H14*FT$23),IF('Operating Assumptions'!$G14="$/Parking/Month",('Operating Assumptions'!$H14*FT$23)*'Operating Assumptions'!$D$17)))))))</f>
        <v>0</v>
      </c>
      <c r="FU47" s="43"/>
      <c r="FV47" s="34"/>
      <c r="FW47" s="34"/>
      <c r="FX47" s="34"/>
      <c r="FY47" s="34"/>
      <c r="FZ47" s="34"/>
    </row>
    <row r="48" spans="1:182" s="89" customFormat="1" ht="13.5" x14ac:dyDescent="0.25">
      <c r="A48" s="34"/>
      <c r="B48" s="128" t="str">
        <f>'Operating Assumptions'!F15</f>
        <v>Blank</v>
      </c>
      <c r="C48" s="34"/>
      <c r="D48" s="34"/>
      <c r="E48" s="34"/>
      <c r="F48" s="434">
        <f t="shared" si="148"/>
        <v>0</v>
      </c>
      <c r="G48" s="34"/>
      <c r="H48" s="427">
        <f>IF(OR(H$9&lt;'Operating Assumptions'!$D$53,H$6&gt;'Operating Assumptions'!$AA$8,'Operating Assumptions'!$G15="N/A"),0,IF('Operating Assumptions'!$G15="$/Unit/Annual",(('Operating Assumptions'!$H15*H$23)*H$36)/12,IF('Operating Assumptions'!$G15="$/Unit/Month",('Operating Assumptions'!$H15*H$23)*H$36,IF('Operating Assumptions'!$G15="Fixed Amount",('Operating Assumptions'!$H15*H$23)/12,IF('Operating Assumptions'!$G15="$/Garage/Month",('Operating Assumptions'!$H15*H$23)*'Operating Assumptions'!$D$16,IF('Operating Assumptions'!$G15="$/Pet/Month",(H$36*'Operating Assumptions'!$D$18)*('Operating Assumptions'!$H15*H$23),IF('Operating Assumptions'!$G15="$/Parking/Month",('Operating Assumptions'!$H15*H$23)*'Operating Assumptions'!$D$17)))))))</f>
        <v>0</v>
      </c>
      <c r="I48" s="427">
        <f>IF(OR(I$9&lt;'Operating Assumptions'!$D$53,I$6&gt;'Operating Assumptions'!$AA$8,'Operating Assumptions'!$G15="N/A"),0,IF('Operating Assumptions'!$G15="$/Unit/Annual",(('Operating Assumptions'!$H15*I$23)*I$36)/12,IF('Operating Assumptions'!$G15="$/Unit/Month",('Operating Assumptions'!$H15*I$23)*I$36,IF('Operating Assumptions'!$G15="Fixed Amount",('Operating Assumptions'!$H15*I$23)/12,IF('Operating Assumptions'!$G15="$/Garage/Month",('Operating Assumptions'!$H15*I$23)*'Operating Assumptions'!$D$16,IF('Operating Assumptions'!$G15="$/Pet/Month",(I$36*'Operating Assumptions'!$D$18)*('Operating Assumptions'!$H15*I$23),IF('Operating Assumptions'!$G15="$/Parking/Month",('Operating Assumptions'!$H15*I$23)*'Operating Assumptions'!$D$17)))))))</f>
        <v>0</v>
      </c>
      <c r="J48" s="427">
        <f>IF(OR(J$9&lt;'Operating Assumptions'!$D$53,J$6&gt;'Operating Assumptions'!$AA$8,'Operating Assumptions'!$G15="N/A"),0,IF('Operating Assumptions'!$G15="$/Unit/Annual",(('Operating Assumptions'!$H15*J$23)*J$36)/12,IF('Operating Assumptions'!$G15="$/Unit/Month",('Operating Assumptions'!$H15*J$23)*J$36,IF('Operating Assumptions'!$G15="Fixed Amount",('Operating Assumptions'!$H15*J$23)/12,IF('Operating Assumptions'!$G15="$/Garage/Month",('Operating Assumptions'!$H15*J$23)*'Operating Assumptions'!$D$16,IF('Operating Assumptions'!$G15="$/Pet/Month",(J$36*'Operating Assumptions'!$D$18)*('Operating Assumptions'!$H15*J$23),IF('Operating Assumptions'!$G15="$/Parking/Month",('Operating Assumptions'!$H15*J$23)*'Operating Assumptions'!$D$17)))))))</f>
        <v>0</v>
      </c>
      <c r="K48" s="427">
        <f>IF(OR(K$9&lt;'Operating Assumptions'!$D$53,K$6&gt;'Operating Assumptions'!$AA$8,'Operating Assumptions'!$G15="N/A"),0,IF('Operating Assumptions'!$G15="$/Unit/Annual",(('Operating Assumptions'!$H15*K$23)*K$36)/12,IF('Operating Assumptions'!$G15="$/Unit/Month",('Operating Assumptions'!$H15*K$23)*K$36,IF('Operating Assumptions'!$G15="Fixed Amount",('Operating Assumptions'!$H15*K$23)/12,IF('Operating Assumptions'!$G15="$/Garage/Month",('Operating Assumptions'!$H15*K$23)*'Operating Assumptions'!$D$16,IF('Operating Assumptions'!$G15="$/Pet/Month",(K$36*'Operating Assumptions'!$D$18)*('Operating Assumptions'!$H15*K$23),IF('Operating Assumptions'!$G15="$/Parking/Month",('Operating Assumptions'!$H15*K$23)*'Operating Assumptions'!$D$17)))))))</f>
        <v>0</v>
      </c>
      <c r="L48" s="427">
        <f>IF(OR(L$9&lt;'Operating Assumptions'!$D$53,L$6&gt;'Operating Assumptions'!$AA$8,'Operating Assumptions'!$G15="N/A"),0,IF('Operating Assumptions'!$G15="$/Unit/Annual",(('Operating Assumptions'!$H15*L$23)*L$36)/12,IF('Operating Assumptions'!$G15="$/Unit/Month",('Operating Assumptions'!$H15*L$23)*L$36,IF('Operating Assumptions'!$G15="Fixed Amount",('Operating Assumptions'!$H15*L$23)/12,IF('Operating Assumptions'!$G15="$/Garage/Month",('Operating Assumptions'!$H15*L$23)*'Operating Assumptions'!$D$16,IF('Operating Assumptions'!$G15="$/Pet/Month",(L$36*'Operating Assumptions'!$D$18)*('Operating Assumptions'!$H15*L$23),IF('Operating Assumptions'!$G15="$/Parking/Month",('Operating Assumptions'!$H15*L$23)*'Operating Assumptions'!$D$17)))))))</f>
        <v>0</v>
      </c>
      <c r="M48" s="427">
        <f>IF(OR(M$9&lt;'Operating Assumptions'!$D$53,M$6&gt;'Operating Assumptions'!$AA$8,'Operating Assumptions'!$G15="N/A"),0,IF('Operating Assumptions'!$G15="$/Unit/Annual",(('Operating Assumptions'!$H15*M$23)*M$36)/12,IF('Operating Assumptions'!$G15="$/Unit/Month",('Operating Assumptions'!$H15*M$23)*M$36,IF('Operating Assumptions'!$G15="Fixed Amount",('Operating Assumptions'!$H15*M$23)/12,IF('Operating Assumptions'!$G15="$/Garage/Month",('Operating Assumptions'!$H15*M$23)*'Operating Assumptions'!$D$16,IF('Operating Assumptions'!$G15="$/Pet/Month",(M$36*'Operating Assumptions'!$D$18)*('Operating Assumptions'!$H15*M$23),IF('Operating Assumptions'!$G15="$/Parking/Month",('Operating Assumptions'!$H15*M$23)*'Operating Assumptions'!$D$17)))))))</f>
        <v>0</v>
      </c>
      <c r="N48" s="427">
        <f>IF(OR(N$9&lt;'Operating Assumptions'!$D$53,N$6&gt;'Operating Assumptions'!$AA$8,'Operating Assumptions'!$G15="N/A"),0,IF('Operating Assumptions'!$G15="$/Unit/Annual",(('Operating Assumptions'!$H15*N$23)*N$36)/12,IF('Operating Assumptions'!$G15="$/Unit/Month",('Operating Assumptions'!$H15*N$23)*N$36,IF('Operating Assumptions'!$G15="Fixed Amount",('Operating Assumptions'!$H15*N$23)/12,IF('Operating Assumptions'!$G15="$/Garage/Month",('Operating Assumptions'!$H15*N$23)*'Operating Assumptions'!$D$16,IF('Operating Assumptions'!$G15="$/Pet/Month",(N$36*'Operating Assumptions'!$D$18)*('Operating Assumptions'!$H15*N$23),IF('Operating Assumptions'!$G15="$/Parking/Month",('Operating Assumptions'!$H15*N$23)*'Operating Assumptions'!$D$17)))))))</f>
        <v>0</v>
      </c>
      <c r="O48" s="427">
        <f>IF(OR(O$9&lt;'Operating Assumptions'!$D$53,O$6&gt;'Operating Assumptions'!$AA$8,'Operating Assumptions'!$G15="N/A"),0,IF('Operating Assumptions'!$G15="$/Unit/Annual",(('Operating Assumptions'!$H15*O$23)*O$36)/12,IF('Operating Assumptions'!$G15="$/Unit/Month",('Operating Assumptions'!$H15*O$23)*O$36,IF('Operating Assumptions'!$G15="Fixed Amount",('Operating Assumptions'!$H15*O$23)/12,IF('Operating Assumptions'!$G15="$/Garage/Month",('Operating Assumptions'!$H15*O$23)*'Operating Assumptions'!$D$16,IF('Operating Assumptions'!$G15="$/Pet/Month",(O$36*'Operating Assumptions'!$D$18)*('Operating Assumptions'!$H15*O$23),IF('Operating Assumptions'!$G15="$/Parking/Month",('Operating Assumptions'!$H15*O$23)*'Operating Assumptions'!$D$17)))))))</f>
        <v>0</v>
      </c>
      <c r="P48" s="427">
        <f>IF(OR(P$9&lt;'Operating Assumptions'!$D$53,P$6&gt;'Operating Assumptions'!$AA$8,'Operating Assumptions'!$G15="N/A"),0,IF('Operating Assumptions'!$G15="$/Unit/Annual",(('Operating Assumptions'!$H15*P$23)*P$36)/12,IF('Operating Assumptions'!$G15="$/Unit/Month",('Operating Assumptions'!$H15*P$23)*P$36,IF('Operating Assumptions'!$G15="Fixed Amount",('Operating Assumptions'!$H15*P$23)/12,IF('Operating Assumptions'!$G15="$/Garage/Month",('Operating Assumptions'!$H15*P$23)*'Operating Assumptions'!$D$16,IF('Operating Assumptions'!$G15="$/Pet/Month",(P$36*'Operating Assumptions'!$D$18)*('Operating Assumptions'!$H15*P$23),IF('Operating Assumptions'!$G15="$/Parking/Month",('Operating Assumptions'!$H15*P$23)*'Operating Assumptions'!$D$17)))))))</f>
        <v>0</v>
      </c>
      <c r="Q48" s="427">
        <f>IF(OR(Q$9&lt;'Operating Assumptions'!$D$53,Q$6&gt;'Operating Assumptions'!$AA$8,'Operating Assumptions'!$G15="N/A"),0,IF('Operating Assumptions'!$G15="$/Unit/Annual",(('Operating Assumptions'!$H15*Q$23)*Q$36)/12,IF('Operating Assumptions'!$G15="$/Unit/Month",('Operating Assumptions'!$H15*Q$23)*Q$36,IF('Operating Assumptions'!$G15="Fixed Amount",('Operating Assumptions'!$H15*Q$23)/12,IF('Operating Assumptions'!$G15="$/Garage/Month",('Operating Assumptions'!$H15*Q$23)*'Operating Assumptions'!$D$16,IF('Operating Assumptions'!$G15="$/Pet/Month",(Q$36*'Operating Assumptions'!$D$18)*('Operating Assumptions'!$H15*Q$23),IF('Operating Assumptions'!$G15="$/Parking/Month",('Operating Assumptions'!$H15*Q$23)*'Operating Assumptions'!$D$17)))))))</f>
        <v>0</v>
      </c>
      <c r="R48" s="427">
        <f>IF(OR(R$9&lt;'Operating Assumptions'!$D$53,R$6&gt;'Operating Assumptions'!$AA$8,'Operating Assumptions'!$G15="N/A"),0,IF('Operating Assumptions'!$G15="$/Unit/Annual",(('Operating Assumptions'!$H15*R$23)*R$36)/12,IF('Operating Assumptions'!$G15="$/Unit/Month",('Operating Assumptions'!$H15*R$23)*R$36,IF('Operating Assumptions'!$G15="Fixed Amount",('Operating Assumptions'!$H15*R$23)/12,IF('Operating Assumptions'!$G15="$/Garage/Month",('Operating Assumptions'!$H15*R$23)*'Operating Assumptions'!$D$16,IF('Operating Assumptions'!$G15="$/Pet/Month",(R$36*'Operating Assumptions'!$D$18)*('Operating Assumptions'!$H15*R$23),IF('Operating Assumptions'!$G15="$/Parking/Month",('Operating Assumptions'!$H15*R$23)*'Operating Assumptions'!$D$17)))))))</f>
        <v>0</v>
      </c>
      <c r="S48" s="427">
        <f>IF(OR(S$9&lt;'Operating Assumptions'!$D$53,S$6&gt;'Operating Assumptions'!$AA$8,'Operating Assumptions'!$G15="N/A"),0,IF('Operating Assumptions'!$G15="$/Unit/Annual",(('Operating Assumptions'!$H15*S$23)*S$36)/12,IF('Operating Assumptions'!$G15="$/Unit/Month",('Operating Assumptions'!$H15*S$23)*S$36,IF('Operating Assumptions'!$G15="Fixed Amount",('Operating Assumptions'!$H15*S$23)/12,IF('Operating Assumptions'!$G15="$/Garage/Month",('Operating Assumptions'!$H15*S$23)*'Operating Assumptions'!$D$16,IF('Operating Assumptions'!$G15="$/Pet/Month",(S$36*'Operating Assumptions'!$D$18)*('Operating Assumptions'!$H15*S$23),IF('Operating Assumptions'!$G15="$/Parking/Month",('Operating Assumptions'!$H15*S$23)*'Operating Assumptions'!$D$17)))))))</f>
        <v>0</v>
      </c>
      <c r="T48" s="427">
        <f>IF(OR(T$9&lt;'Operating Assumptions'!$D$53,T$6&gt;'Operating Assumptions'!$AA$8,'Operating Assumptions'!$G15="N/A"),0,IF('Operating Assumptions'!$G15="$/Unit/Annual",(('Operating Assumptions'!$H15*T$23)*T$36)/12,IF('Operating Assumptions'!$G15="$/Unit/Month",('Operating Assumptions'!$H15*T$23)*T$36,IF('Operating Assumptions'!$G15="Fixed Amount",('Operating Assumptions'!$H15*T$23)/12,IF('Operating Assumptions'!$G15="$/Garage/Month",('Operating Assumptions'!$H15*T$23)*'Operating Assumptions'!$D$16,IF('Operating Assumptions'!$G15="$/Pet/Month",(T$36*'Operating Assumptions'!$D$18)*('Operating Assumptions'!$H15*T$23),IF('Operating Assumptions'!$G15="$/Parking/Month",('Operating Assumptions'!$H15*T$23)*'Operating Assumptions'!$D$17)))))))</f>
        <v>0</v>
      </c>
      <c r="U48" s="427">
        <f>IF(OR(U$9&lt;'Operating Assumptions'!$D$53,U$6&gt;'Operating Assumptions'!$AA$8,'Operating Assumptions'!$G15="N/A"),0,IF('Operating Assumptions'!$G15="$/Unit/Annual",(('Operating Assumptions'!$H15*U$23)*U$36)/12,IF('Operating Assumptions'!$G15="$/Unit/Month",('Operating Assumptions'!$H15*U$23)*U$36,IF('Operating Assumptions'!$G15="Fixed Amount",('Operating Assumptions'!$H15*U$23)/12,IF('Operating Assumptions'!$G15="$/Garage/Month",('Operating Assumptions'!$H15*U$23)*'Operating Assumptions'!$D$16,IF('Operating Assumptions'!$G15="$/Pet/Month",(U$36*'Operating Assumptions'!$D$18)*('Operating Assumptions'!$H15*U$23),IF('Operating Assumptions'!$G15="$/Parking/Month",('Operating Assumptions'!$H15*U$23)*'Operating Assumptions'!$D$17)))))))</f>
        <v>0</v>
      </c>
      <c r="V48" s="427">
        <f>IF(OR(V$9&lt;'Operating Assumptions'!$D$53,V$6&gt;'Operating Assumptions'!$AA$8,'Operating Assumptions'!$G15="N/A"),0,IF('Operating Assumptions'!$G15="$/Unit/Annual",(('Operating Assumptions'!$H15*V$23)*V$36)/12,IF('Operating Assumptions'!$G15="$/Unit/Month",('Operating Assumptions'!$H15*V$23)*V$36,IF('Operating Assumptions'!$G15="Fixed Amount",('Operating Assumptions'!$H15*V$23)/12,IF('Operating Assumptions'!$G15="$/Garage/Month",('Operating Assumptions'!$H15*V$23)*'Operating Assumptions'!$D$16,IF('Operating Assumptions'!$G15="$/Pet/Month",(V$36*'Operating Assumptions'!$D$18)*('Operating Assumptions'!$H15*V$23),IF('Operating Assumptions'!$G15="$/Parking/Month",('Operating Assumptions'!$H15*V$23)*'Operating Assumptions'!$D$17)))))))</f>
        <v>0</v>
      </c>
      <c r="W48" s="427">
        <f>IF(OR(W$9&lt;'Operating Assumptions'!$D$53,W$6&gt;'Operating Assumptions'!$AA$8,'Operating Assumptions'!$G15="N/A"),0,IF('Operating Assumptions'!$G15="$/Unit/Annual",(('Operating Assumptions'!$H15*W$23)*W$36)/12,IF('Operating Assumptions'!$G15="$/Unit/Month",('Operating Assumptions'!$H15*W$23)*W$36,IF('Operating Assumptions'!$G15="Fixed Amount",('Operating Assumptions'!$H15*W$23)/12,IF('Operating Assumptions'!$G15="$/Garage/Month",('Operating Assumptions'!$H15*W$23)*'Operating Assumptions'!$D$16,IF('Operating Assumptions'!$G15="$/Pet/Month",(W$36*'Operating Assumptions'!$D$18)*('Operating Assumptions'!$H15*W$23),IF('Operating Assumptions'!$G15="$/Parking/Month",('Operating Assumptions'!$H15*W$23)*'Operating Assumptions'!$D$17)))))))</f>
        <v>0</v>
      </c>
      <c r="X48" s="427">
        <f>IF(OR(X$9&lt;'Operating Assumptions'!$D$53,X$6&gt;'Operating Assumptions'!$AA$8,'Operating Assumptions'!$G15="N/A"),0,IF('Operating Assumptions'!$G15="$/Unit/Annual",(('Operating Assumptions'!$H15*X$23)*X$36)/12,IF('Operating Assumptions'!$G15="$/Unit/Month",('Operating Assumptions'!$H15*X$23)*X$36,IF('Operating Assumptions'!$G15="Fixed Amount",('Operating Assumptions'!$H15*X$23)/12,IF('Operating Assumptions'!$G15="$/Garage/Month",('Operating Assumptions'!$H15*X$23)*'Operating Assumptions'!$D$16,IF('Operating Assumptions'!$G15="$/Pet/Month",(X$36*'Operating Assumptions'!$D$18)*('Operating Assumptions'!$H15*X$23),IF('Operating Assumptions'!$G15="$/Parking/Month",('Operating Assumptions'!$H15*X$23)*'Operating Assumptions'!$D$17)))))))</f>
        <v>0</v>
      </c>
      <c r="Y48" s="427">
        <f>IF(OR(Y$9&lt;'Operating Assumptions'!$D$53,Y$6&gt;'Operating Assumptions'!$AA$8,'Operating Assumptions'!$G15="N/A"),0,IF('Operating Assumptions'!$G15="$/Unit/Annual",(('Operating Assumptions'!$H15*Y$23)*Y$36)/12,IF('Operating Assumptions'!$G15="$/Unit/Month",('Operating Assumptions'!$H15*Y$23)*Y$36,IF('Operating Assumptions'!$G15="Fixed Amount",('Operating Assumptions'!$H15*Y$23)/12,IF('Operating Assumptions'!$G15="$/Garage/Month",('Operating Assumptions'!$H15*Y$23)*'Operating Assumptions'!$D$16,IF('Operating Assumptions'!$G15="$/Pet/Month",(Y$36*'Operating Assumptions'!$D$18)*('Operating Assumptions'!$H15*Y$23),IF('Operating Assumptions'!$G15="$/Parking/Month",('Operating Assumptions'!$H15*Y$23)*'Operating Assumptions'!$D$17)))))))</f>
        <v>0</v>
      </c>
      <c r="Z48" s="427">
        <f>IF(OR(Z$9&lt;'Operating Assumptions'!$D$53,Z$6&gt;'Operating Assumptions'!$AA$8,'Operating Assumptions'!$G15="N/A"),0,IF('Operating Assumptions'!$G15="$/Unit/Annual",(('Operating Assumptions'!$H15*Z$23)*Z$36)/12,IF('Operating Assumptions'!$G15="$/Unit/Month",('Operating Assumptions'!$H15*Z$23)*Z$36,IF('Operating Assumptions'!$G15="Fixed Amount",('Operating Assumptions'!$H15*Z$23)/12,IF('Operating Assumptions'!$G15="$/Garage/Month",('Operating Assumptions'!$H15*Z$23)*'Operating Assumptions'!$D$16,IF('Operating Assumptions'!$G15="$/Pet/Month",(Z$36*'Operating Assumptions'!$D$18)*('Operating Assumptions'!$H15*Z$23),IF('Operating Assumptions'!$G15="$/Parking/Month",('Operating Assumptions'!$H15*Z$23)*'Operating Assumptions'!$D$17)))))))</f>
        <v>0</v>
      </c>
      <c r="AA48" s="427">
        <f>IF(OR(AA$9&lt;'Operating Assumptions'!$D$53,AA$6&gt;'Operating Assumptions'!$AA$8,'Operating Assumptions'!$G15="N/A"),0,IF('Operating Assumptions'!$G15="$/Unit/Annual",(('Operating Assumptions'!$H15*AA$23)*AA$36)/12,IF('Operating Assumptions'!$G15="$/Unit/Month",('Operating Assumptions'!$H15*AA$23)*AA$36,IF('Operating Assumptions'!$G15="Fixed Amount",('Operating Assumptions'!$H15*AA$23)/12,IF('Operating Assumptions'!$G15="$/Garage/Month",('Operating Assumptions'!$H15*AA$23)*'Operating Assumptions'!$D$16,IF('Operating Assumptions'!$G15="$/Pet/Month",(AA$36*'Operating Assumptions'!$D$18)*('Operating Assumptions'!$H15*AA$23),IF('Operating Assumptions'!$G15="$/Parking/Month",('Operating Assumptions'!$H15*AA$23)*'Operating Assumptions'!$D$17)))))))</f>
        <v>0</v>
      </c>
      <c r="AB48" s="427">
        <f>IF(OR(AB$9&lt;'Operating Assumptions'!$D$53,AB$6&gt;'Operating Assumptions'!$AA$8,'Operating Assumptions'!$G15="N/A"),0,IF('Operating Assumptions'!$G15="$/Unit/Annual",(('Operating Assumptions'!$H15*AB$23)*AB$36)/12,IF('Operating Assumptions'!$G15="$/Unit/Month",('Operating Assumptions'!$H15*AB$23)*AB$36,IF('Operating Assumptions'!$G15="Fixed Amount",('Operating Assumptions'!$H15*AB$23)/12,IF('Operating Assumptions'!$G15="$/Garage/Month",('Operating Assumptions'!$H15*AB$23)*'Operating Assumptions'!$D$16,IF('Operating Assumptions'!$G15="$/Pet/Month",(AB$36*'Operating Assumptions'!$D$18)*('Operating Assumptions'!$H15*AB$23),IF('Operating Assumptions'!$G15="$/Parking/Month",('Operating Assumptions'!$H15*AB$23)*'Operating Assumptions'!$D$17)))))))</f>
        <v>0</v>
      </c>
      <c r="AC48" s="427">
        <f>IF(OR(AC$9&lt;'Operating Assumptions'!$D$53,AC$6&gt;'Operating Assumptions'!$AA$8,'Operating Assumptions'!$G15="N/A"),0,IF('Operating Assumptions'!$G15="$/Unit/Annual",(('Operating Assumptions'!$H15*AC$23)*AC$36)/12,IF('Operating Assumptions'!$G15="$/Unit/Month",('Operating Assumptions'!$H15*AC$23)*AC$36,IF('Operating Assumptions'!$G15="Fixed Amount",('Operating Assumptions'!$H15*AC$23)/12,IF('Operating Assumptions'!$G15="$/Garage/Month",('Operating Assumptions'!$H15*AC$23)*'Operating Assumptions'!$D$16,IF('Operating Assumptions'!$G15="$/Pet/Month",(AC$36*'Operating Assumptions'!$D$18)*('Operating Assumptions'!$H15*AC$23),IF('Operating Assumptions'!$G15="$/Parking/Month",('Operating Assumptions'!$H15*AC$23)*'Operating Assumptions'!$D$17)))))))</f>
        <v>0</v>
      </c>
      <c r="AD48" s="427">
        <f>IF(OR(AD$9&lt;'Operating Assumptions'!$D$53,AD$6&gt;'Operating Assumptions'!$AA$8,'Operating Assumptions'!$G15="N/A"),0,IF('Operating Assumptions'!$G15="$/Unit/Annual",(('Operating Assumptions'!$H15*AD$23)*AD$36)/12,IF('Operating Assumptions'!$G15="$/Unit/Month",('Operating Assumptions'!$H15*AD$23)*AD$36,IF('Operating Assumptions'!$G15="Fixed Amount",('Operating Assumptions'!$H15*AD$23)/12,IF('Operating Assumptions'!$G15="$/Garage/Month",('Operating Assumptions'!$H15*AD$23)*'Operating Assumptions'!$D$16,IF('Operating Assumptions'!$G15="$/Pet/Month",(AD$36*'Operating Assumptions'!$D$18)*('Operating Assumptions'!$H15*AD$23),IF('Operating Assumptions'!$G15="$/Parking/Month",('Operating Assumptions'!$H15*AD$23)*'Operating Assumptions'!$D$17)))))))</f>
        <v>0</v>
      </c>
      <c r="AE48" s="427">
        <f>IF(OR(AE$9&lt;'Operating Assumptions'!$D$53,AE$6&gt;'Operating Assumptions'!$AA$8,'Operating Assumptions'!$G15="N/A"),0,IF('Operating Assumptions'!$G15="$/Unit/Annual",(('Operating Assumptions'!$H15*AE$23)*AE$36)/12,IF('Operating Assumptions'!$G15="$/Unit/Month",('Operating Assumptions'!$H15*AE$23)*AE$36,IF('Operating Assumptions'!$G15="Fixed Amount",('Operating Assumptions'!$H15*AE$23)/12,IF('Operating Assumptions'!$G15="$/Garage/Month",('Operating Assumptions'!$H15*AE$23)*'Operating Assumptions'!$D$16,IF('Operating Assumptions'!$G15="$/Pet/Month",(AE$36*'Operating Assumptions'!$D$18)*('Operating Assumptions'!$H15*AE$23),IF('Operating Assumptions'!$G15="$/Parking/Month",('Operating Assumptions'!$H15*AE$23)*'Operating Assumptions'!$D$17)))))))</f>
        <v>0</v>
      </c>
      <c r="AF48" s="427">
        <f>IF(OR(AF$9&lt;'Operating Assumptions'!$D$53,AF$6&gt;'Operating Assumptions'!$AA$8,'Operating Assumptions'!$G15="N/A"),0,IF('Operating Assumptions'!$G15="$/Unit/Annual",(('Operating Assumptions'!$H15*AF$23)*AF$36)/12,IF('Operating Assumptions'!$G15="$/Unit/Month",('Operating Assumptions'!$H15*AF$23)*AF$36,IF('Operating Assumptions'!$G15="Fixed Amount",('Operating Assumptions'!$H15*AF$23)/12,IF('Operating Assumptions'!$G15="$/Garage/Month",('Operating Assumptions'!$H15*AF$23)*'Operating Assumptions'!$D$16,IF('Operating Assumptions'!$G15="$/Pet/Month",(AF$36*'Operating Assumptions'!$D$18)*('Operating Assumptions'!$H15*AF$23),IF('Operating Assumptions'!$G15="$/Parking/Month",('Operating Assumptions'!$H15*AF$23)*'Operating Assumptions'!$D$17)))))))</f>
        <v>0</v>
      </c>
      <c r="AG48" s="427">
        <f>IF(OR(AG$9&lt;'Operating Assumptions'!$D$53,AG$6&gt;'Operating Assumptions'!$AA$8,'Operating Assumptions'!$G15="N/A"),0,IF('Operating Assumptions'!$G15="$/Unit/Annual",(('Operating Assumptions'!$H15*AG$23)*AG$36)/12,IF('Operating Assumptions'!$G15="$/Unit/Month",('Operating Assumptions'!$H15*AG$23)*AG$36,IF('Operating Assumptions'!$G15="Fixed Amount",('Operating Assumptions'!$H15*AG$23)/12,IF('Operating Assumptions'!$G15="$/Garage/Month",('Operating Assumptions'!$H15*AG$23)*'Operating Assumptions'!$D$16,IF('Operating Assumptions'!$G15="$/Pet/Month",(AG$36*'Operating Assumptions'!$D$18)*('Operating Assumptions'!$H15*AG$23),IF('Operating Assumptions'!$G15="$/Parking/Month",('Operating Assumptions'!$H15*AG$23)*'Operating Assumptions'!$D$17)))))))</f>
        <v>0</v>
      </c>
      <c r="AH48" s="427">
        <f>IF(OR(AH$9&lt;'Operating Assumptions'!$D$53,AH$6&gt;'Operating Assumptions'!$AA$8,'Operating Assumptions'!$G15="N/A"),0,IF('Operating Assumptions'!$G15="$/Unit/Annual",(('Operating Assumptions'!$H15*AH$23)*AH$36)/12,IF('Operating Assumptions'!$G15="$/Unit/Month",('Operating Assumptions'!$H15*AH$23)*AH$36,IF('Operating Assumptions'!$G15="Fixed Amount",('Operating Assumptions'!$H15*AH$23)/12,IF('Operating Assumptions'!$G15="$/Garage/Month",('Operating Assumptions'!$H15*AH$23)*'Operating Assumptions'!$D$16,IF('Operating Assumptions'!$G15="$/Pet/Month",(AH$36*'Operating Assumptions'!$D$18)*('Operating Assumptions'!$H15*AH$23),IF('Operating Assumptions'!$G15="$/Parking/Month",('Operating Assumptions'!$H15*AH$23)*'Operating Assumptions'!$D$17)))))))</f>
        <v>0</v>
      </c>
      <c r="AI48" s="427">
        <f>IF(OR(AI$9&lt;'Operating Assumptions'!$D$53,AI$6&gt;'Operating Assumptions'!$AA$8,'Operating Assumptions'!$G15="N/A"),0,IF('Operating Assumptions'!$G15="$/Unit/Annual",(('Operating Assumptions'!$H15*AI$23)*AI$36)/12,IF('Operating Assumptions'!$G15="$/Unit/Month",('Operating Assumptions'!$H15*AI$23)*AI$36,IF('Operating Assumptions'!$G15="Fixed Amount",('Operating Assumptions'!$H15*AI$23)/12,IF('Operating Assumptions'!$G15="$/Garage/Month",('Operating Assumptions'!$H15*AI$23)*'Operating Assumptions'!$D$16,IF('Operating Assumptions'!$G15="$/Pet/Month",(AI$36*'Operating Assumptions'!$D$18)*('Operating Assumptions'!$H15*AI$23),IF('Operating Assumptions'!$G15="$/Parking/Month",('Operating Assumptions'!$H15*AI$23)*'Operating Assumptions'!$D$17)))))))</f>
        <v>0</v>
      </c>
      <c r="AJ48" s="427">
        <f>IF(OR(AJ$9&lt;'Operating Assumptions'!$D$53,AJ$6&gt;'Operating Assumptions'!$AA$8,'Operating Assumptions'!$G15="N/A"),0,IF('Operating Assumptions'!$G15="$/Unit/Annual",(('Operating Assumptions'!$H15*AJ$23)*AJ$36)/12,IF('Operating Assumptions'!$G15="$/Unit/Month",('Operating Assumptions'!$H15*AJ$23)*AJ$36,IF('Operating Assumptions'!$G15="Fixed Amount",('Operating Assumptions'!$H15*AJ$23)/12,IF('Operating Assumptions'!$G15="$/Garage/Month",('Operating Assumptions'!$H15*AJ$23)*'Operating Assumptions'!$D$16,IF('Operating Assumptions'!$G15="$/Pet/Month",(AJ$36*'Operating Assumptions'!$D$18)*('Operating Assumptions'!$H15*AJ$23),IF('Operating Assumptions'!$G15="$/Parking/Month",('Operating Assumptions'!$H15*AJ$23)*'Operating Assumptions'!$D$17)))))))</f>
        <v>0</v>
      </c>
      <c r="AK48" s="427">
        <f>IF(OR(AK$9&lt;'Operating Assumptions'!$D$53,AK$6&gt;'Operating Assumptions'!$AA$8,'Operating Assumptions'!$G15="N/A"),0,IF('Operating Assumptions'!$G15="$/Unit/Annual",(('Operating Assumptions'!$H15*AK$23)*AK$36)/12,IF('Operating Assumptions'!$G15="$/Unit/Month",('Operating Assumptions'!$H15*AK$23)*AK$36,IF('Operating Assumptions'!$G15="Fixed Amount",('Operating Assumptions'!$H15*AK$23)/12,IF('Operating Assumptions'!$G15="$/Garage/Month",('Operating Assumptions'!$H15*AK$23)*'Operating Assumptions'!$D$16,IF('Operating Assumptions'!$G15="$/Pet/Month",(AK$36*'Operating Assumptions'!$D$18)*('Operating Assumptions'!$H15*AK$23),IF('Operating Assumptions'!$G15="$/Parking/Month",('Operating Assumptions'!$H15*AK$23)*'Operating Assumptions'!$D$17)))))))</f>
        <v>0</v>
      </c>
      <c r="AL48" s="427">
        <f>IF(OR(AL$9&lt;'Operating Assumptions'!$D$53,AL$6&gt;'Operating Assumptions'!$AA$8,'Operating Assumptions'!$G15="N/A"),0,IF('Operating Assumptions'!$G15="$/Unit/Annual",(('Operating Assumptions'!$H15*AL$23)*AL$36)/12,IF('Operating Assumptions'!$G15="$/Unit/Month",('Operating Assumptions'!$H15*AL$23)*AL$36,IF('Operating Assumptions'!$G15="Fixed Amount",('Operating Assumptions'!$H15*AL$23)/12,IF('Operating Assumptions'!$G15="$/Garage/Month",('Operating Assumptions'!$H15*AL$23)*'Operating Assumptions'!$D$16,IF('Operating Assumptions'!$G15="$/Pet/Month",(AL$36*'Operating Assumptions'!$D$18)*('Operating Assumptions'!$H15*AL$23),IF('Operating Assumptions'!$G15="$/Parking/Month",('Operating Assumptions'!$H15*AL$23)*'Operating Assumptions'!$D$17)))))))</f>
        <v>0</v>
      </c>
      <c r="AM48" s="427">
        <f>IF(OR(AM$9&lt;'Operating Assumptions'!$D$53,AM$6&gt;'Operating Assumptions'!$AA$8,'Operating Assumptions'!$G15="N/A"),0,IF('Operating Assumptions'!$G15="$/Unit/Annual",(('Operating Assumptions'!$H15*AM$23)*AM$36)/12,IF('Operating Assumptions'!$G15="$/Unit/Month",('Operating Assumptions'!$H15*AM$23)*AM$36,IF('Operating Assumptions'!$G15="Fixed Amount",('Operating Assumptions'!$H15*AM$23)/12,IF('Operating Assumptions'!$G15="$/Garage/Month",('Operating Assumptions'!$H15*AM$23)*'Operating Assumptions'!$D$16,IF('Operating Assumptions'!$G15="$/Pet/Month",(AM$36*'Operating Assumptions'!$D$18)*('Operating Assumptions'!$H15*AM$23),IF('Operating Assumptions'!$G15="$/Parking/Month",('Operating Assumptions'!$H15*AM$23)*'Operating Assumptions'!$D$17)))))))</f>
        <v>0</v>
      </c>
      <c r="AN48" s="427">
        <f>IF(OR(AN$9&lt;'Operating Assumptions'!$D$53,AN$6&gt;'Operating Assumptions'!$AA$8,'Operating Assumptions'!$G15="N/A"),0,IF('Operating Assumptions'!$G15="$/Unit/Annual",(('Operating Assumptions'!$H15*AN$23)*AN$36)/12,IF('Operating Assumptions'!$G15="$/Unit/Month",('Operating Assumptions'!$H15*AN$23)*AN$36,IF('Operating Assumptions'!$G15="Fixed Amount",('Operating Assumptions'!$H15*AN$23)/12,IF('Operating Assumptions'!$G15="$/Garage/Month",('Operating Assumptions'!$H15*AN$23)*'Operating Assumptions'!$D$16,IF('Operating Assumptions'!$G15="$/Pet/Month",(AN$36*'Operating Assumptions'!$D$18)*('Operating Assumptions'!$H15*AN$23),IF('Operating Assumptions'!$G15="$/Parking/Month",('Operating Assumptions'!$H15*AN$23)*'Operating Assumptions'!$D$17)))))))</f>
        <v>0</v>
      </c>
      <c r="AO48" s="427">
        <f>IF(OR(AO$9&lt;'Operating Assumptions'!$D$53,AO$6&gt;'Operating Assumptions'!$AA$8,'Operating Assumptions'!$G15="N/A"),0,IF('Operating Assumptions'!$G15="$/Unit/Annual",(('Operating Assumptions'!$H15*AO$23)*AO$36)/12,IF('Operating Assumptions'!$G15="$/Unit/Month",('Operating Assumptions'!$H15*AO$23)*AO$36,IF('Operating Assumptions'!$G15="Fixed Amount",('Operating Assumptions'!$H15*AO$23)/12,IF('Operating Assumptions'!$G15="$/Garage/Month",('Operating Assumptions'!$H15*AO$23)*'Operating Assumptions'!$D$16,IF('Operating Assumptions'!$G15="$/Pet/Month",(AO$36*'Operating Assumptions'!$D$18)*('Operating Assumptions'!$H15*AO$23),IF('Operating Assumptions'!$G15="$/Parking/Month",('Operating Assumptions'!$H15*AO$23)*'Operating Assumptions'!$D$17)))))))</f>
        <v>0</v>
      </c>
      <c r="AP48" s="427">
        <f>IF(OR(AP$9&lt;'Operating Assumptions'!$D$53,AP$6&gt;'Operating Assumptions'!$AA$8,'Operating Assumptions'!$G15="N/A"),0,IF('Operating Assumptions'!$G15="$/Unit/Annual",(('Operating Assumptions'!$H15*AP$23)*AP$36)/12,IF('Operating Assumptions'!$G15="$/Unit/Month",('Operating Assumptions'!$H15*AP$23)*AP$36,IF('Operating Assumptions'!$G15="Fixed Amount",('Operating Assumptions'!$H15*AP$23)/12,IF('Operating Assumptions'!$G15="$/Garage/Month",('Operating Assumptions'!$H15*AP$23)*'Operating Assumptions'!$D$16,IF('Operating Assumptions'!$G15="$/Pet/Month",(AP$36*'Operating Assumptions'!$D$18)*('Operating Assumptions'!$H15*AP$23),IF('Operating Assumptions'!$G15="$/Parking/Month",('Operating Assumptions'!$H15*AP$23)*'Operating Assumptions'!$D$17)))))))</f>
        <v>0</v>
      </c>
      <c r="AQ48" s="427">
        <f>IF(OR(AQ$9&lt;'Operating Assumptions'!$D$53,AQ$6&gt;'Operating Assumptions'!$AA$8,'Operating Assumptions'!$G15="N/A"),0,IF('Operating Assumptions'!$G15="$/Unit/Annual",(('Operating Assumptions'!$H15*AQ$23)*AQ$36)/12,IF('Operating Assumptions'!$G15="$/Unit/Month",('Operating Assumptions'!$H15*AQ$23)*AQ$36,IF('Operating Assumptions'!$G15="Fixed Amount",('Operating Assumptions'!$H15*AQ$23)/12,IF('Operating Assumptions'!$G15="$/Garage/Month",('Operating Assumptions'!$H15*AQ$23)*'Operating Assumptions'!$D$16,IF('Operating Assumptions'!$G15="$/Pet/Month",(AQ$36*'Operating Assumptions'!$D$18)*('Operating Assumptions'!$H15*AQ$23),IF('Operating Assumptions'!$G15="$/Parking/Month",('Operating Assumptions'!$H15*AQ$23)*'Operating Assumptions'!$D$17)))))))</f>
        <v>0</v>
      </c>
      <c r="AR48" s="427">
        <f>IF(OR(AR$9&lt;'Operating Assumptions'!$D$53,AR$6&gt;'Operating Assumptions'!$AA$8,'Operating Assumptions'!$G15="N/A"),0,IF('Operating Assumptions'!$G15="$/Unit/Annual",(('Operating Assumptions'!$H15*AR$23)*AR$36)/12,IF('Operating Assumptions'!$G15="$/Unit/Month",('Operating Assumptions'!$H15*AR$23)*AR$36,IF('Operating Assumptions'!$G15="Fixed Amount",('Operating Assumptions'!$H15*AR$23)/12,IF('Operating Assumptions'!$G15="$/Garage/Month",('Operating Assumptions'!$H15*AR$23)*'Operating Assumptions'!$D$16,IF('Operating Assumptions'!$G15="$/Pet/Month",(AR$36*'Operating Assumptions'!$D$18)*('Operating Assumptions'!$H15*AR$23),IF('Operating Assumptions'!$G15="$/Parking/Month",('Operating Assumptions'!$H15*AR$23)*'Operating Assumptions'!$D$17)))))))</f>
        <v>0</v>
      </c>
      <c r="AS48" s="427">
        <f>IF(OR(AS$9&lt;'Operating Assumptions'!$D$53,AS$6&gt;'Operating Assumptions'!$AA$8,'Operating Assumptions'!$G15="N/A"),0,IF('Operating Assumptions'!$G15="$/Unit/Annual",(('Operating Assumptions'!$H15*AS$23)*AS$36)/12,IF('Operating Assumptions'!$G15="$/Unit/Month",('Operating Assumptions'!$H15*AS$23)*AS$36,IF('Operating Assumptions'!$G15="Fixed Amount",('Operating Assumptions'!$H15*AS$23)/12,IF('Operating Assumptions'!$G15="$/Garage/Month",('Operating Assumptions'!$H15*AS$23)*'Operating Assumptions'!$D$16,IF('Operating Assumptions'!$G15="$/Pet/Month",(AS$36*'Operating Assumptions'!$D$18)*('Operating Assumptions'!$H15*AS$23),IF('Operating Assumptions'!$G15="$/Parking/Month",('Operating Assumptions'!$H15*AS$23)*'Operating Assumptions'!$D$17)))))))</f>
        <v>0</v>
      </c>
      <c r="AT48" s="427">
        <f>IF(OR(AT$9&lt;'Operating Assumptions'!$D$53,AT$6&gt;'Operating Assumptions'!$AA$8,'Operating Assumptions'!$G15="N/A"),0,IF('Operating Assumptions'!$G15="$/Unit/Annual",(('Operating Assumptions'!$H15*AT$23)*AT$36)/12,IF('Operating Assumptions'!$G15="$/Unit/Month",('Operating Assumptions'!$H15*AT$23)*AT$36,IF('Operating Assumptions'!$G15="Fixed Amount",('Operating Assumptions'!$H15*AT$23)/12,IF('Operating Assumptions'!$G15="$/Garage/Month",('Operating Assumptions'!$H15*AT$23)*'Operating Assumptions'!$D$16,IF('Operating Assumptions'!$G15="$/Pet/Month",(AT$36*'Operating Assumptions'!$D$18)*('Operating Assumptions'!$H15*AT$23),IF('Operating Assumptions'!$G15="$/Parking/Month",('Operating Assumptions'!$H15*AT$23)*'Operating Assumptions'!$D$17)))))))</f>
        <v>0</v>
      </c>
      <c r="AU48" s="427">
        <f>IF(OR(AU$9&lt;'Operating Assumptions'!$D$53,AU$6&gt;'Operating Assumptions'!$AA$8,'Operating Assumptions'!$G15="N/A"),0,IF('Operating Assumptions'!$G15="$/Unit/Annual",(('Operating Assumptions'!$H15*AU$23)*AU$36)/12,IF('Operating Assumptions'!$G15="$/Unit/Month",('Operating Assumptions'!$H15*AU$23)*AU$36,IF('Operating Assumptions'!$G15="Fixed Amount",('Operating Assumptions'!$H15*AU$23)/12,IF('Operating Assumptions'!$G15="$/Garage/Month",('Operating Assumptions'!$H15*AU$23)*'Operating Assumptions'!$D$16,IF('Operating Assumptions'!$G15="$/Pet/Month",(AU$36*'Operating Assumptions'!$D$18)*('Operating Assumptions'!$H15*AU$23),IF('Operating Assumptions'!$G15="$/Parking/Month",('Operating Assumptions'!$H15*AU$23)*'Operating Assumptions'!$D$17)))))))</f>
        <v>0</v>
      </c>
      <c r="AV48" s="427">
        <f>IF(OR(AV$9&lt;'Operating Assumptions'!$D$53,AV$6&gt;'Operating Assumptions'!$AA$8,'Operating Assumptions'!$G15="N/A"),0,IF('Operating Assumptions'!$G15="$/Unit/Annual",(('Operating Assumptions'!$H15*AV$23)*AV$36)/12,IF('Operating Assumptions'!$G15="$/Unit/Month",('Operating Assumptions'!$H15*AV$23)*AV$36,IF('Operating Assumptions'!$G15="Fixed Amount",('Operating Assumptions'!$H15*AV$23)/12,IF('Operating Assumptions'!$G15="$/Garage/Month",('Operating Assumptions'!$H15*AV$23)*'Operating Assumptions'!$D$16,IF('Operating Assumptions'!$G15="$/Pet/Month",(AV$36*'Operating Assumptions'!$D$18)*('Operating Assumptions'!$H15*AV$23),IF('Operating Assumptions'!$G15="$/Parking/Month",('Operating Assumptions'!$H15*AV$23)*'Operating Assumptions'!$D$17)))))))</f>
        <v>0</v>
      </c>
      <c r="AW48" s="427">
        <f>IF(OR(AW$9&lt;'Operating Assumptions'!$D$53,AW$6&gt;'Operating Assumptions'!$AA$8,'Operating Assumptions'!$G15="N/A"),0,IF('Operating Assumptions'!$G15="$/Unit/Annual",(('Operating Assumptions'!$H15*AW$23)*AW$36)/12,IF('Operating Assumptions'!$G15="$/Unit/Month",('Operating Assumptions'!$H15*AW$23)*AW$36,IF('Operating Assumptions'!$G15="Fixed Amount",('Operating Assumptions'!$H15*AW$23)/12,IF('Operating Assumptions'!$G15="$/Garage/Month",('Operating Assumptions'!$H15*AW$23)*'Operating Assumptions'!$D$16,IF('Operating Assumptions'!$G15="$/Pet/Month",(AW$36*'Operating Assumptions'!$D$18)*('Operating Assumptions'!$H15*AW$23),IF('Operating Assumptions'!$G15="$/Parking/Month",('Operating Assumptions'!$H15*AW$23)*'Operating Assumptions'!$D$17)))))))</f>
        <v>0</v>
      </c>
      <c r="AX48" s="427">
        <f>IF(OR(AX$9&lt;'Operating Assumptions'!$D$53,AX$6&gt;'Operating Assumptions'!$AA$8,'Operating Assumptions'!$G15="N/A"),0,IF('Operating Assumptions'!$G15="$/Unit/Annual",(('Operating Assumptions'!$H15*AX$23)*AX$36)/12,IF('Operating Assumptions'!$G15="$/Unit/Month",('Operating Assumptions'!$H15*AX$23)*AX$36,IF('Operating Assumptions'!$G15="Fixed Amount",('Operating Assumptions'!$H15*AX$23)/12,IF('Operating Assumptions'!$G15="$/Garage/Month",('Operating Assumptions'!$H15*AX$23)*'Operating Assumptions'!$D$16,IF('Operating Assumptions'!$G15="$/Pet/Month",(AX$36*'Operating Assumptions'!$D$18)*('Operating Assumptions'!$H15*AX$23),IF('Operating Assumptions'!$G15="$/Parking/Month",('Operating Assumptions'!$H15*AX$23)*'Operating Assumptions'!$D$17)))))))</f>
        <v>0</v>
      </c>
      <c r="AY48" s="427">
        <f>IF(OR(AY$9&lt;'Operating Assumptions'!$D$53,AY$6&gt;'Operating Assumptions'!$AA$8,'Operating Assumptions'!$G15="N/A"),0,IF('Operating Assumptions'!$G15="$/Unit/Annual",(('Operating Assumptions'!$H15*AY$23)*AY$36)/12,IF('Operating Assumptions'!$G15="$/Unit/Month",('Operating Assumptions'!$H15*AY$23)*AY$36,IF('Operating Assumptions'!$G15="Fixed Amount",('Operating Assumptions'!$H15*AY$23)/12,IF('Operating Assumptions'!$G15="$/Garage/Month",('Operating Assumptions'!$H15*AY$23)*'Operating Assumptions'!$D$16,IF('Operating Assumptions'!$G15="$/Pet/Month",(AY$36*'Operating Assumptions'!$D$18)*('Operating Assumptions'!$H15*AY$23),IF('Operating Assumptions'!$G15="$/Parking/Month",('Operating Assumptions'!$H15*AY$23)*'Operating Assumptions'!$D$17)))))))</f>
        <v>0</v>
      </c>
      <c r="AZ48" s="427">
        <f>IF(OR(AZ$9&lt;'Operating Assumptions'!$D$53,AZ$6&gt;'Operating Assumptions'!$AA$8,'Operating Assumptions'!$G15="N/A"),0,IF('Operating Assumptions'!$G15="$/Unit/Annual",(('Operating Assumptions'!$H15*AZ$23)*AZ$36)/12,IF('Operating Assumptions'!$G15="$/Unit/Month",('Operating Assumptions'!$H15*AZ$23)*AZ$36,IF('Operating Assumptions'!$G15="Fixed Amount",('Operating Assumptions'!$H15*AZ$23)/12,IF('Operating Assumptions'!$G15="$/Garage/Month",('Operating Assumptions'!$H15*AZ$23)*'Operating Assumptions'!$D$16,IF('Operating Assumptions'!$G15="$/Pet/Month",(AZ$36*'Operating Assumptions'!$D$18)*('Operating Assumptions'!$H15*AZ$23),IF('Operating Assumptions'!$G15="$/Parking/Month",('Operating Assumptions'!$H15*AZ$23)*'Operating Assumptions'!$D$17)))))))</f>
        <v>0</v>
      </c>
      <c r="BA48" s="427">
        <f>IF(OR(BA$9&lt;'Operating Assumptions'!$D$53,BA$6&gt;'Operating Assumptions'!$AA$8,'Operating Assumptions'!$G15="N/A"),0,IF('Operating Assumptions'!$G15="$/Unit/Annual",(('Operating Assumptions'!$H15*BA$23)*BA$36)/12,IF('Operating Assumptions'!$G15="$/Unit/Month",('Operating Assumptions'!$H15*BA$23)*BA$36,IF('Operating Assumptions'!$G15="Fixed Amount",('Operating Assumptions'!$H15*BA$23)/12,IF('Operating Assumptions'!$G15="$/Garage/Month",('Operating Assumptions'!$H15*BA$23)*'Operating Assumptions'!$D$16,IF('Operating Assumptions'!$G15="$/Pet/Month",(BA$36*'Operating Assumptions'!$D$18)*('Operating Assumptions'!$H15*BA$23),IF('Operating Assumptions'!$G15="$/Parking/Month",('Operating Assumptions'!$H15*BA$23)*'Operating Assumptions'!$D$17)))))))</f>
        <v>0</v>
      </c>
      <c r="BB48" s="427">
        <f>IF(OR(BB$9&lt;'Operating Assumptions'!$D$53,BB$6&gt;'Operating Assumptions'!$AA$8,'Operating Assumptions'!$G15="N/A"),0,IF('Operating Assumptions'!$G15="$/Unit/Annual",(('Operating Assumptions'!$H15*BB$23)*BB$36)/12,IF('Operating Assumptions'!$G15="$/Unit/Month",('Operating Assumptions'!$H15*BB$23)*BB$36,IF('Operating Assumptions'!$G15="Fixed Amount",('Operating Assumptions'!$H15*BB$23)/12,IF('Operating Assumptions'!$G15="$/Garage/Month",('Operating Assumptions'!$H15*BB$23)*'Operating Assumptions'!$D$16,IF('Operating Assumptions'!$G15="$/Pet/Month",(BB$36*'Operating Assumptions'!$D$18)*('Operating Assumptions'!$H15*BB$23),IF('Operating Assumptions'!$G15="$/Parking/Month",('Operating Assumptions'!$H15*BB$23)*'Operating Assumptions'!$D$17)))))))</f>
        <v>0</v>
      </c>
      <c r="BC48" s="427">
        <f>IF(OR(BC$9&lt;'Operating Assumptions'!$D$53,BC$6&gt;'Operating Assumptions'!$AA$8,'Operating Assumptions'!$G15="N/A"),0,IF('Operating Assumptions'!$G15="$/Unit/Annual",(('Operating Assumptions'!$H15*BC$23)*BC$36)/12,IF('Operating Assumptions'!$G15="$/Unit/Month",('Operating Assumptions'!$H15*BC$23)*BC$36,IF('Operating Assumptions'!$G15="Fixed Amount",('Operating Assumptions'!$H15*BC$23)/12,IF('Operating Assumptions'!$G15="$/Garage/Month",('Operating Assumptions'!$H15*BC$23)*'Operating Assumptions'!$D$16,IF('Operating Assumptions'!$G15="$/Pet/Month",(BC$36*'Operating Assumptions'!$D$18)*('Operating Assumptions'!$H15*BC$23),IF('Operating Assumptions'!$G15="$/Parking/Month",('Operating Assumptions'!$H15*BC$23)*'Operating Assumptions'!$D$17)))))))</f>
        <v>0</v>
      </c>
      <c r="BD48" s="427">
        <f>IF(OR(BD$9&lt;'Operating Assumptions'!$D$53,BD$6&gt;'Operating Assumptions'!$AA$8,'Operating Assumptions'!$G15="N/A"),0,IF('Operating Assumptions'!$G15="$/Unit/Annual",(('Operating Assumptions'!$H15*BD$23)*BD$36)/12,IF('Operating Assumptions'!$G15="$/Unit/Month",('Operating Assumptions'!$H15*BD$23)*BD$36,IF('Operating Assumptions'!$G15="Fixed Amount",('Operating Assumptions'!$H15*BD$23)/12,IF('Operating Assumptions'!$G15="$/Garage/Month",('Operating Assumptions'!$H15*BD$23)*'Operating Assumptions'!$D$16,IF('Operating Assumptions'!$G15="$/Pet/Month",(BD$36*'Operating Assumptions'!$D$18)*('Operating Assumptions'!$H15*BD$23),IF('Operating Assumptions'!$G15="$/Parking/Month",('Operating Assumptions'!$H15*BD$23)*'Operating Assumptions'!$D$17)))))))</f>
        <v>0</v>
      </c>
      <c r="BE48" s="427">
        <f>IF(OR(BE$9&lt;'Operating Assumptions'!$D$53,BE$6&gt;'Operating Assumptions'!$AA$8,'Operating Assumptions'!$G15="N/A"),0,IF('Operating Assumptions'!$G15="$/Unit/Annual",(('Operating Assumptions'!$H15*BE$23)*BE$36)/12,IF('Operating Assumptions'!$G15="$/Unit/Month",('Operating Assumptions'!$H15*BE$23)*BE$36,IF('Operating Assumptions'!$G15="Fixed Amount",('Operating Assumptions'!$H15*BE$23)/12,IF('Operating Assumptions'!$G15="$/Garage/Month",('Operating Assumptions'!$H15*BE$23)*'Operating Assumptions'!$D$16,IF('Operating Assumptions'!$G15="$/Pet/Month",(BE$36*'Operating Assumptions'!$D$18)*('Operating Assumptions'!$H15*BE$23),IF('Operating Assumptions'!$G15="$/Parking/Month",('Operating Assumptions'!$H15*BE$23)*'Operating Assumptions'!$D$17)))))))</f>
        <v>0</v>
      </c>
      <c r="BF48" s="427">
        <f>IF(OR(BF$9&lt;'Operating Assumptions'!$D$53,BF$6&gt;'Operating Assumptions'!$AA$8,'Operating Assumptions'!$G15="N/A"),0,IF('Operating Assumptions'!$G15="$/Unit/Annual",(('Operating Assumptions'!$H15*BF$23)*BF$36)/12,IF('Operating Assumptions'!$G15="$/Unit/Month",('Operating Assumptions'!$H15*BF$23)*BF$36,IF('Operating Assumptions'!$G15="Fixed Amount",('Operating Assumptions'!$H15*BF$23)/12,IF('Operating Assumptions'!$G15="$/Garage/Month",('Operating Assumptions'!$H15*BF$23)*'Operating Assumptions'!$D$16,IF('Operating Assumptions'!$G15="$/Pet/Month",(BF$36*'Operating Assumptions'!$D$18)*('Operating Assumptions'!$H15*BF$23),IF('Operating Assumptions'!$G15="$/Parking/Month",('Operating Assumptions'!$H15*BF$23)*'Operating Assumptions'!$D$17)))))))</f>
        <v>0</v>
      </c>
      <c r="BG48" s="427">
        <f>IF(OR(BG$9&lt;'Operating Assumptions'!$D$53,BG$6&gt;'Operating Assumptions'!$AA$8,'Operating Assumptions'!$G15="N/A"),0,IF('Operating Assumptions'!$G15="$/Unit/Annual",(('Operating Assumptions'!$H15*BG$23)*BG$36)/12,IF('Operating Assumptions'!$G15="$/Unit/Month",('Operating Assumptions'!$H15*BG$23)*BG$36,IF('Operating Assumptions'!$G15="Fixed Amount",('Operating Assumptions'!$H15*BG$23)/12,IF('Operating Assumptions'!$G15="$/Garage/Month",('Operating Assumptions'!$H15*BG$23)*'Operating Assumptions'!$D$16,IF('Operating Assumptions'!$G15="$/Pet/Month",(BG$36*'Operating Assumptions'!$D$18)*('Operating Assumptions'!$H15*BG$23),IF('Operating Assumptions'!$G15="$/Parking/Month",('Operating Assumptions'!$H15*BG$23)*'Operating Assumptions'!$D$17)))))))</f>
        <v>0</v>
      </c>
      <c r="BH48" s="427">
        <f>IF(OR(BH$9&lt;'Operating Assumptions'!$D$53,BH$6&gt;'Operating Assumptions'!$AA$8,'Operating Assumptions'!$G15="N/A"),0,IF('Operating Assumptions'!$G15="$/Unit/Annual",(('Operating Assumptions'!$H15*BH$23)*BH$36)/12,IF('Operating Assumptions'!$G15="$/Unit/Month",('Operating Assumptions'!$H15*BH$23)*BH$36,IF('Operating Assumptions'!$G15="Fixed Amount",('Operating Assumptions'!$H15*BH$23)/12,IF('Operating Assumptions'!$G15="$/Garage/Month",('Operating Assumptions'!$H15*BH$23)*'Operating Assumptions'!$D$16,IF('Operating Assumptions'!$G15="$/Pet/Month",(BH$36*'Operating Assumptions'!$D$18)*('Operating Assumptions'!$H15*BH$23),IF('Operating Assumptions'!$G15="$/Parking/Month",('Operating Assumptions'!$H15*BH$23)*'Operating Assumptions'!$D$17)))))))</f>
        <v>0</v>
      </c>
      <c r="BI48" s="427">
        <f>IF(OR(BI$9&lt;'Operating Assumptions'!$D$53,BI$6&gt;'Operating Assumptions'!$AA$8,'Operating Assumptions'!$G15="N/A"),0,IF('Operating Assumptions'!$G15="$/Unit/Annual",(('Operating Assumptions'!$H15*BI$23)*BI$36)/12,IF('Operating Assumptions'!$G15="$/Unit/Month",('Operating Assumptions'!$H15*BI$23)*BI$36,IF('Operating Assumptions'!$G15="Fixed Amount",('Operating Assumptions'!$H15*BI$23)/12,IF('Operating Assumptions'!$G15="$/Garage/Month",('Operating Assumptions'!$H15*BI$23)*'Operating Assumptions'!$D$16,IF('Operating Assumptions'!$G15="$/Pet/Month",(BI$36*'Operating Assumptions'!$D$18)*('Operating Assumptions'!$H15*BI$23),IF('Operating Assumptions'!$G15="$/Parking/Month",('Operating Assumptions'!$H15*BI$23)*'Operating Assumptions'!$D$17)))))))</f>
        <v>0</v>
      </c>
      <c r="BJ48" s="427">
        <f>IF(OR(BJ$9&lt;'Operating Assumptions'!$D$53,BJ$6&gt;'Operating Assumptions'!$AA$8,'Operating Assumptions'!$G15="N/A"),0,IF('Operating Assumptions'!$G15="$/Unit/Annual",(('Operating Assumptions'!$H15*BJ$23)*BJ$36)/12,IF('Operating Assumptions'!$G15="$/Unit/Month",('Operating Assumptions'!$H15*BJ$23)*BJ$36,IF('Operating Assumptions'!$G15="Fixed Amount",('Operating Assumptions'!$H15*BJ$23)/12,IF('Operating Assumptions'!$G15="$/Garage/Month",('Operating Assumptions'!$H15*BJ$23)*'Operating Assumptions'!$D$16,IF('Operating Assumptions'!$G15="$/Pet/Month",(BJ$36*'Operating Assumptions'!$D$18)*('Operating Assumptions'!$H15*BJ$23),IF('Operating Assumptions'!$G15="$/Parking/Month",('Operating Assumptions'!$H15*BJ$23)*'Operating Assumptions'!$D$17)))))))</f>
        <v>0</v>
      </c>
      <c r="BK48" s="427">
        <f>IF(OR(BK$9&lt;'Operating Assumptions'!$D$53,BK$6&gt;'Operating Assumptions'!$AA$8,'Operating Assumptions'!$G15="N/A"),0,IF('Operating Assumptions'!$G15="$/Unit/Annual",(('Operating Assumptions'!$H15*BK$23)*BK$36)/12,IF('Operating Assumptions'!$G15="$/Unit/Month",('Operating Assumptions'!$H15*BK$23)*BK$36,IF('Operating Assumptions'!$G15="Fixed Amount",('Operating Assumptions'!$H15*BK$23)/12,IF('Operating Assumptions'!$G15="$/Garage/Month",('Operating Assumptions'!$H15*BK$23)*'Operating Assumptions'!$D$16,IF('Operating Assumptions'!$G15="$/Pet/Month",(BK$36*'Operating Assumptions'!$D$18)*('Operating Assumptions'!$H15*BK$23),IF('Operating Assumptions'!$G15="$/Parking/Month",('Operating Assumptions'!$H15*BK$23)*'Operating Assumptions'!$D$17)))))))</f>
        <v>0</v>
      </c>
      <c r="BL48" s="427">
        <f>IF(OR(BL$9&lt;'Operating Assumptions'!$D$53,BL$6&gt;'Operating Assumptions'!$AA$8,'Operating Assumptions'!$G15="N/A"),0,IF('Operating Assumptions'!$G15="$/Unit/Annual",(('Operating Assumptions'!$H15*BL$23)*BL$36)/12,IF('Operating Assumptions'!$G15="$/Unit/Month",('Operating Assumptions'!$H15*BL$23)*BL$36,IF('Operating Assumptions'!$G15="Fixed Amount",('Operating Assumptions'!$H15*BL$23)/12,IF('Operating Assumptions'!$G15="$/Garage/Month",('Operating Assumptions'!$H15*BL$23)*'Operating Assumptions'!$D$16,IF('Operating Assumptions'!$G15="$/Pet/Month",(BL$36*'Operating Assumptions'!$D$18)*('Operating Assumptions'!$H15*BL$23),IF('Operating Assumptions'!$G15="$/Parking/Month",('Operating Assumptions'!$H15*BL$23)*'Operating Assumptions'!$D$17)))))))</f>
        <v>0</v>
      </c>
      <c r="BM48" s="427">
        <f>IF(OR(BM$9&lt;'Operating Assumptions'!$D$53,BM$6&gt;'Operating Assumptions'!$AA$8,'Operating Assumptions'!$G15="N/A"),0,IF('Operating Assumptions'!$G15="$/Unit/Annual",(('Operating Assumptions'!$H15*BM$23)*BM$36)/12,IF('Operating Assumptions'!$G15="$/Unit/Month",('Operating Assumptions'!$H15*BM$23)*BM$36,IF('Operating Assumptions'!$G15="Fixed Amount",('Operating Assumptions'!$H15*BM$23)/12,IF('Operating Assumptions'!$G15="$/Garage/Month",('Operating Assumptions'!$H15*BM$23)*'Operating Assumptions'!$D$16,IF('Operating Assumptions'!$G15="$/Pet/Month",(BM$36*'Operating Assumptions'!$D$18)*('Operating Assumptions'!$H15*BM$23),IF('Operating Assumptions'!$G15="$/Parking/Month",('Operating Assumptions'!$H15*BM$23)*'Operating Assumptions'!$D$17)))))))</f>
        <v>0</v>
      </c>
      <c r="BN48" s="427">
        <f>IF(OR(BN$9&lt;'Operating Assumptions'!$D$53,BN$6&gt;'Operating Assumptions'!$AA$8,'Operating Assumptions'!$G15="N/A"),0,IF('Operating Assumptions'!$G15="$/Unit/Annual",(('Operating Assumptions'!$H15*BN$23)*BN$36)/12,IF('Operating Assumptions'!$G15="$/Unit/Month",('Operating Assumptions'!$H15*BN$23)*BN$36,IF('Operating Assumptions'!$G15="Fixed Amount",('Operating Assumptions'!$H15*BN$23)/12,IF('Operating Assumptions'!$G15="$/Garage/Month",('Operating Assumptions'!$H15*BN$23)*'Operating Assumptions'!$D$16,IF('Operating Assumptions'!$G15="$/Pet/Month",(BN$36*'Operating Assumptions'!$D$18)*('Operating Assumptions'!$H15*BN$23),IF('Operating Assumptions'!$G15="$/Parking/Month",('Operating Assumptions'!$H15*BN$23)*'Operating Assumptions'!$D$17)))))))</f>
        <v>0</v>
      </c>
      <c r="BO48" s="427">
        <f>IF(OR(BO$9&lt;'Operating Assumptions'!$D$53,BO$6&gt;'Operating Assumptions'!$AA$8,'Operating Assumptions'!$G15="N/A"),0,IF('Operating Assumptions'!$G15="$/Unit/Annual",(('Operating Assumptions'!$H15*BO$23)*BO$36)/12,IF('Operating Assumptions'!$G15="$/Unit/Month",('Operating Assumptions'!$H15*BO$23)*BO$36,IF('Operating Assumptions'!$G15="Fixed Amount",('Operating Assumptions'!$H15*BO$23)/12,IF('Operating Assumptions'!$G15="$/Garage/Month",('Operating Assumptions'!$H15*BO$23)*'Operating Assumptions'!$D$16,IF('Operating Assumptions'!$G15="$/Pet/Month",(BO$36*'Operating Assumptions'!$D$18)*('Operating Assumptions'!$H15*BO$23),IF('Operating Assumptions'!$G15="$/Parking/Month",('Operating Assumptions'!$H15*BO$23)*'Operating Assumptions'!$D$17)))))))</f>
        <v>0</v>
      </c>
      <c r="BP48" s="427">
        <f>IF(OR(BP$9&lt;'Operating Assumptions'!$D$53,BP$6&gt;'Operating Assumptions'!$AA$8,'Operating Assumptions'!$G15="N/A"),0,IF('Operating Assumptions'!$G15="$/Unit/Annual",(('Operating Assumptions'!$H15*BP$23)*BP$36)/12,IF('Operating Assumptions'!$G15="$/Unit/Month",('Operating Assumptions'!$H15*BP$23)*BP$36,IF('Operating Assumptions'!$G15="Fixed Amount",('Operating Assumptions'!$H15*BP$23)/12,IF('Operating Assumptions'!$G15="$/Garage/Month",('Operating Assumptions'!$H15*BP$23)*'Operating Assumptions'!$D$16,IF('Operating Assumptions'!$G15="$/Pet/Month",(BP$36*'Operating Assumptions'!$D$18)*('Operating Assumptions'!$H15*BP$23),IF('Operating Assumptions'!$G15="$/Parking/Month",('Operating Assumptions'!$H15*BP$23)*'Operating Assumptions'!$D$17)))))))</f>
        <v>0</v>
      </c>
      <c r="BQ48" s="427">
        <f>IF(OR(BQ$9&lt;'Operating Assumptions'!$D$53,BQ$6&gt;'Operating Assumptions'!$AA$8,'Operating Assumptions'!$G15="N/A"),0,IF('Operating Assumptions'!$G15="$/Unit/Annual",(('Operating Assumptions'!$H15*BQ$23)*BQ$36)/12,IF('Operating Assumptions'!$G15="$/Unit/Month",('Operating Assumptions'!$H15*BQ$23)*BQ$36,IF('Operating Assumptions'!$G15="Fixed Amount",('Operating Assumptions'!$H15*BQ$23)/12,IF('Operating Assumptions'!$G15="$/Garage/Month",('Operating Assumptions'!$H15*BQ$23)*'Operating Assumptions'!$D$16,IF('Operating Assumptions'!$G15="$/Pet/Month",(BQ$36*'Operating Assumptions'!$D$18)*('Operating Assumptions'!$H15*BQ$23),IF('Operating Assumptions'!$G15="$/Parking/Month",('Operating Assumptions'!$H15*BQ$23)*'Operating Assumptions'!$D$17)))))))</f>
        <v>0</v>
      </c>
      <c r="BR48" s="427">
        <f>IF(OR(BR$9&lt;'Operating Assumptions'!$D$53,BR$6&gt;'Operating Assumptions'!$AA$8,'Operating Assumptions'!$G15="N/A"),0,IF('Operating Assumptions'!$G15="$/Unit/Annual",(('Operating Assumptions'!$H15*BR$23)*BR$36)/12,IF('Operating Assumptions'!$G15="$/Unit/Month",('Operating Assumptions'!$H15*BR$23)*BR$36,IF('Operating Assumptions'!$G15="Fixed Amount",('Operating Assumptions'!$H15*BR$23)/12,IF('Operating Assumptions'!$G15="$/Garage/Month",('Operating Assumptions'!$H15*BR$23)*'Operating Assumptions'!$D$16,IF('Operating Assumptions'!$G15="$/Pet/Month",(BR$36*'Operating Assumptions'!$D$18)*('Operating Assumptions'!$H15*BR$23),IF('Operating Assumptions'!$G15="$/Parking/Month",('Operating Assumptions'!$H15*BR$23)*'Operating Assumptions'!$D$17)))))))</f>
        <v>0</v>
      </c>
      <c r="BS48" s="427">
        <f>IF(OR(BS$9&lt;'Operating Assumptions'!$D$53,BS$6&gt;'Operating Assumptions'!$AA$8,'Operating Assumptions'!$G15="N/A"),0,IF('Operating Assumptions'!$G15="$/Unit/Annual",(('Operating Assumptions'!$H15*BS$23)*BS$36)/12,IF('Operating Assumptions'!$G15="$/Unit/Month",('Operating Assumptions'!$H15*BS$23)*BS$36,IF('Operating Assumptions'!$G15="Fixed Amount",('Operating Assumptions'!$H15*BS$23)/12,IF('Operating Assumptions'!$G15="$/Garage/Month",('Operating Assumptions'!$H15*BS$23)*'Operating Assumptions'!$D$16,IF('Operating Assumptions'!$G15="$/Pet/Month",(BS$36*'Operating Assumptions'!$D$18)*('Operating Assumptions'!$H15*BS$23),IF('Operating Assumptions'!$G15="$/Parking/Month",('Operating Assumptions'!$H15*BS$23)*'Operating Assumptions'!$D$17)))))))</f>
        <v>0</v>
      </c>
      <c r="BT48" s="427">
        <f>IF(OR(BT$9&lt;'Operating Assumptions'!$D$53,BT$6&gt;'Operating Assumptions'!$AA$8,'Operating Assumptions'!$G15="N/A"),0,IF('Operating Assumptions'!$G15="$/Unit/Annual",(('Operating Assumptions'!$H15*BT$23)*BT$36)/12,IF('Operating Assumptions'!$G15="$/Unit/Month",('Operating Assumptions'!$H15*BT$23)*BT$36,IF('Operating Assumptions'!$G15="Fixed Amount",('Operating Assumptions'!$H15*BT$23)/12,IF('Operating Assumptions'!$G15="$/Garage/Month",('Operating Assumptions'!$H15*BT$23)*'Operating Assumptions'!$D$16,IF('Operating Assumptions'!$G15="$/Pet/Month",(BT$36*'Operating Assumptions'!$D$18)*('Operating Assumptions'!$H15*BT$23),IF('Operating Assumptions'!$G15="$/Parking/Month",('Operating Assumptions'!$H15*BT$23)*'Operating Assumptions'!$D$17)))))))</f>
        <v>0</v>
      </c>
      <c r="BU48" s="427">
        <f>IF(OR(BU$9&lt;'Operating Assumptions'!$D$53,BU$6&gt;'Operating Assumptions'!$AA$8,'Operating Assumptions'!$G15="N/A"),0,IF('Operating Assumptions'!$G15="$/Unit/Annual",(('Operating Assumptions'!$H15*BU$23)*BU$36)/12,IF('Operating Assumptions'!$G15="$/Unit/Month",('Operating Assumptions'!$H15*BU$23)*BU$36,IF('Operating Assumptions'!$G15="Fixed Amount",('Operating Assumptions'!$H15*BU$23)/12,IF('Operating Assumptions'!$G15="$/Garage/Month",('Operating Assumptions'!$H15*BU$23)*'Operating Assumptions'!$D$16,IF('Operating Assumptions'!$G15="$/Pet/Month",(BU$36*'Operating Assumptions'!$D$18)*('Operating Assumptions'!$H15*BU$23),IF('Operating Assumptions'!$G15="$/Parking/Month",('Operating Assumptions'!$H15*BU$23)*'Operating Assumptions'!$D$17)))))))</f>
        <v>0</v>
      </c>
      <c r="BV48" s="427">
        <f>IF(OR(BV$9&lt;'Operating Assumptions'!$D$53,BV$6&gt;'Operating Assumptions'!$AA$8,'Operating Assumptions'!$G15="N/A"),0,IF('Operating Assumptions'!$G15="$/Unit/Annual",(('Operating Assumptions'!$H15*BV$23)*BV$36)/12,IF('Operating Assumptions'!$G15="$/Unit/Month",('Operating Assumptions'!$H15*BV$23)*BV$36,IF('Operating Assumptions'!$G15="Fixed Amount",('Operating Assumptions'!$H15*BV$23)/12,IF('Operating Assumptions'!$G15="$/Garage/Month",('Operating Assumptions'!$H15*BV$23)*'Operating Assumptions'!$D$16,IF('Operating Assumptions'!$G15="$/Pet/Month",(BV$36*'Operating Assumptions'!$D$18)*('Operating Assumptions'!$H15*BV$23),IF('Operating Assumptions'!$G15="$/Parking/Month",('Operating Assumptions'!$H15*BV$23)*'Operating Assumptions'!$D$17)))))))</f>
        <v>0</v>
      </c>
      <c r="BW48" s="427">
        <f>IF(OR(BW$9&lt;'Operating Assumptions'!$D$53,BW$6&gt;'Operating Assumptions'!$AA$8,'Operating Assumptions'!$G15="N/A"),0,IF('Operating Assumptions'!$G15="$/Unit/Annual",(('Operating Assumptions'!$H15*BW$23)*BW$36)/12,IF('Operating Assumptions'!$G15="$/Unit/Month",('Operating Assumptions'!$H15*BW$23)*BW$36,IF('Operating Assumptions'!$G15="Fixed Amount",('Operating Assumptions'!$H15*BW$23)/12,IF('Operating Assumptions'!$G15="$/Garage/Month",('Operating Assumptions'!$H15*BW$23)*'Operating Assumptions'!$D$16,IF('Operating Assumptions'!$G15="$/Pet/Month",(BW$36*'Operating Assumptions'!$D$18)*('Operating Assumptions'!$H15*BW$23),IF('Operating Assumptions'!$G15="$/Parking/Month",('Operating Assumptions'!$H15*BW$23)*'Operating Assumptions'!$D$17)))))))</f>
        <v>0</v>
      </c>
      <c r="BX48" s="427">
        <f>IF(OR(BX$9&lt;'Operating Assumptions'!$D$53,BX$6&gt;'Operating Assumptions'!$AA$8,'Operating Assumptions'!$G15="N/A"),0,IF('Operating Assumptions'!$G15="$/Unit/Annual",(('Operating Assumptions'!$H15*BX$23)*BX$36)/12,IF('Operating Assumptions'!$G15="$/Unit/Month",('Operating Assumptions'!$H15*BX$23)*BX$36,IF('Operating Assumptions'!$G15="Fixed Amount",('Operating Assumptions'!$H15*BX$23)/12,IF('Operating Assumptions'!$G15="$/Garage/Month",('Operating Assumptions'!$H15*BX$23)*'Operating Assumptions'!$D$16,IF('Operating Assumptions'!$G15="$/Pet/Month",(BX$36*'Operating Assumptions'!$D$18)*('Operating Assumptions'!$H15*BX$23),IF('Operating Assumptions'!$G15="$/Parking/Month",('Operating Assumptions'!$H15*BX$23)*'Operating Assumptions'!$D$17)))))))</f>
        <v>0</v>
      </c>
      <c r="BY48" s="427">
        <f>IF(OR(BY$9&lt;'Operating Assumptions'!$D$53,BY$6&gt;'Operating Assumptions'!$AA$8,'Operating Assumptions'!$G15="N/A"),0,IF('Operating Assumptions'!$G15="$/Unit/Annual",(('Operating Assumptions'!$H15*BY$23)*BY$36)/12,IF('Operating Assumptions'!$G15="$/Unit/Month",('Operating Assumptions'!$H15*BY$23)*BY$36,IF('Operating Assumptions'!$G15="Fixed Amount",('Operating Assumptions'!$H15*BY$23)/12,IF('Operating Assumptions'!$G15="$/Garage/Month",('Operating Assumptions'!$H15*BY$23)*'Operating Assumptions'!$D$16,IF('Operating Assumptions'!$G15="$/Pet/Month",(BY$36*'Operating Assumptions'!$D$18)*('Operating Assumptions'!$H15*BY$23),IF('Operating Assumptions'!$G15="$/Parking/Month",('Operating Assumptions'!$H15*BY$23)*'Operating Assumptions'!$D$17)))))))</f>
        <v>0</v>
      </c>
      <c r="BZ48" s="427">
        <f>IF(OR(BZ$9&lt;'Operating Assumptions'!$D$53,BZ$6&gt;'Operating Assumptions'!$AA$8,'Operating Assumptions'!$G15="N/A"),0,IF('Operating Assumptions'!$G15="$/Unit/Annual",(('Operating Assumptions'!$H15*BZ$23)*BZ$36)/12,IF('Operating Assumptions'!$G15="$/Unit/Month",('Operating Assumptions'!$H15*BZ$23)*BZ$36,IF('Operating Assumptions'!$G15="Fixed Amount",('Operating Assumptions'!$H15*BZ$23)/12,IF('Operating Assumptions'!$G15="$/Garage/Month",('Operating Assumptions'!$H15*BZ$23)*'Operating Assumptions'!$D$16,IF('Operating Assumptions'!$G15="$/Pet/Month",(BZ$36*'Operating Assumptions'!$D$18)*('Operating Assumptions'!$H15*BZ$23),IF('Operating Assumptions'!$G15="$/Parking/Month",('Operating Assumptions'!$H15*BZ$23)*'Operating Assumptions'!$D$17)))))))</f>
        <v>0</v>
      </c>
      <c r="CA48" s="427">
        <f>IF(OR(CA$9&lt;'Operating Assumptions'!$D$53,CA$6&gt;'Operating Assumptions'!$AA$8,'Operating Assumptions'!$G15="N/A"),0,IF('Operating Assumptions'!$G15="$/Unit/Annual",(('Operating Assumptions'!$H15*CA$23)*CA$36)/12,IF('Operating Assumptions'!$G15="$/Unit/Month",('Operating Assumptions'!$H15*CA$23)*CA$36,IF('Operating Assumptions'!$G15="Fixed Amount",('Operating Assumptions'!$H15*CA$23)/12,IF('Operating Assumptions'!$G15="$/Garage/Month",('Operating Assumptions'!$H15*CA$23)*'Operating Assumptions'!$D$16,IF('Operating Assumptions'!$G15="$/Pet/Month",(CA$36*'Operating Assumptions'!$D$18)*('Operating Assumptions'!$H15*CA$23),IF('Operating Assumptions'!$G15="$/Parking/Month",('Operating Assumptions'!$H15*CA$23)*'Operating Assumptions'!$D$17)))))))</f>
        <v>0</v>
      </c>
      <c r="CB48" s="427">
        <f>IF(OR(CB$9&lt;'Operating Assumptions'!$D$53,CB$6&gt;'Operating Assumptions'!$AA$8,'Operating Assumptions'!$G15="N/A"),0,IF('Operating Assumptions'!$G15="$/Unit/Annual",(('Operating Assumptions'!$H15*CB$23)*CB$36)/12,IF('Operating Assumptions'!$G15="$/Unit/Month",('Operating Assumptions'!$H15*CB$23)*CB$36,IF('Operating Assumptions'!$G15="Fixed Amount",('Operating Assumptions'!$H15*CB$23)/12,IF('Operating Assumptions'!$G15="$/Garage/Month",('Operating Assumptions'!$H15*CB$23)*'Operating Assumptions'!$D$16,IF('Operating Assumptions'!$G15="$/Pet/Month",(CB$36*'Operating Assumptions'!$D$18)*('Operating Assumptions'!$H15*CB$23),IF('Operating Assumptions'!$G15="$/Parking/Month",('Operating Assumptions'!$H15*CB$23)*'Operating Assumptions'!$D$17)))))))</f>
        <v>0</v>
      </c>
      <c r="CC48" s="427">
        <f>IF(OR(CC$9&lt;'Operating Assumptions'!$D$53,CC$6&gt;'Operating Assumptions'!$AA$8,'Operating Assumptions'!$G15="N/A"),0,IF('Operating Assumptions'!$G15="$/Unit/Annual",(('Operating Assumptions'!$H15*CC$23)*CC$36)/12,IF('Operating Assumptions'!$G15="$/Unit/Month",('Operating Assumptions'!$H15*CC$23)*CC$36,IF('Operating Assumptions'!$G15="Fixed Amount",('Operating Assumptions'!$H15*CC$23)/12,IF('Operating Assumptions'!$G15="$/Garage/Month",('Operating Assumptions'!$H15*CC$23)*'Operating Assumptions'!$D$16,IF('Operating Assumptions'!$G15="$/Pet/Month",(CC$36*'Operating Assumptions'!$D$18)*('Operating Assumptions'!$H15*CC$23),IF('Operating Assumptions'!$G15="$/Parking/Month",('Operating Assumptions'!$H15*CC$23)*'Operating Assumptions'!$D$17)))))))</f>
        <v>0</v>
      </c>
      <c r="CD48" s="427">
        <f>IF(OR(CD$9&lt;'Operating Assumptions'!$D$53,CD$6&gt;'Operating Assumptions'!$AA$8,'Operating Assumptions'!$G15="N/A"),0,IF('Operating Assumptions'!$G15="$/Unit/Annual",(('Operating Assumptions'!$H15*CD$23)*CD$36)/12,IF('Operating Assumptions'!$G15="$/Unit/Month",('Operating Assumptions'!$H15*CD$23)*CD$36,IF('Operating Assumptions'!$G15="Fixed Amount",('Operating Assumptions'!$H15*CD$23)/12,IF('Operating Assumptions'!$G15="$/Garage/Month",('Operating Assumptions'!$H15*CD$23)*'Operating Assumptions'!$D$16,IF('Operating Assumptions'!$G15="$/Pet/Month",(CD$36*'Operating Assumptions'!$D$18)*('Operating Assumptions'!$H15*CD$23),IF('Operating Assumptions'!$G15="$/Parking/Month",('Operating Assumptions'!$H15*CD$23)*'Operating Assumptions'!$D$17)))))))</f>
        <v>0</v>
      </c>
      <c r="CE48" s="427">
        <f>IF(OR(CE$9&lt;'Operating Assumptions'!$D$53,CE$6&gt;'Operating Assumptions'!$AA$8,'Operating Assumptions'!$G15="N/A"),0,IF('Operating Assumptions'!$G15="$/Unit/Annual",(('Operating Assumptions'!$H15*CE$23)*CE$36)/12,IF('Operating Assumptions'!$G15="$/Unit/Month",('Operating Assumptions'!$H15*CE$23)*CE$36,IF('Operating Assumptions'!$G15="Fixed Amount",('Operating Assumptions'!$H15*CE$23)/12,IF('Operating Assumptions'!$G15="$/Garage/Month",('Operating Assumptions'!$H15*CE$23)*'Operating Assumptions'!$D$16,IF('Operating Assumptions'!$G15="$/Pet/Month",(CE$36*'Operating Assumptions'!$D$18)*('Operating Assumptions'!$H15*CE$23),IF('Operating Assumptions'!$G15="$/Parking/Month",('Operating Assumptions'!$H15*CE$23)*'Operating Assumptions'!$D$17)))))))</f>
        <v>0</v>
      </c>
      <c r="CF48" s="427">
        <f>IF(OR(CF$9&lt;'Operating Assumptions'!$D$53,CF$6&gt;'Operating Assumptions'!$AA$8,'Operating Assumptions'!$G15="N/A"),0,IF('Operating Assumptions'!$G15="$/Unit/Annual",(('Operating Assumptions'!$H15*CF$23)*CF$36)/12,IF('Operating Assumptions'!$G15="$/Unit/Month",('Operating Assumptions'!$H15*CF$23)*CF$36,IF('Operating Assumptions'!$G15="Fixed Amount",('Operating Assumptions'!$H15*CF$23)/12,IF('Operating Assumptions'!$G15="$/Garage/Month",('Operating Assumptions'!$H15*CF$23)*'Operating Assumptions'!$D$16,IF('Operating Assumptions'!$G15="$/Pet/Month",(CF$36*'Operating Assumptions'!$D$18)*('Operating Assumptions'!$H15*CF$23),IF('Operating Assumptions'!$G15="$/Parking/Month",('Operating Assumptions'!$H15*CF$23)*'Operating Assumptions'!$D$17)))))))</f>
        <v>0</v>
      </c>
      <c r="CG48" s="427">
        <f>IF(OR(CG$9&lt;'Operating Assumptions'!$D$53,CG$6&gt;'Operating Assumptions'!$AA$8,'Operating Assumptions'!$G15="N/A"),0,IF('Operating Assumptions'!$G15="$/Unit/Annual",(('Operating Assumptions'!$H15*CG$23)*CG$36)/12,IF('Operating Assumptions'!$G15="$/Unit/Month",('Operating Assumptions'!$H15*CG$23)*CG$36,IF('Operating Assumptions'!$G15="Fixed Amount",('Operating Assumptions'!$H15*CG$23)/12,IF('Operating Assumptions'!$G15="$/Garage/Month",('Operating Assumptions'!$H15*CG$23)*'Operating Assumptions'!$D$16,IF('Operating Assumptions'!$G15="$/Pet/Month",(CG$36*'Operating Assumptions'!$D$18)*('Operating Assumptions'!$H15*CG$23),IF('Operating Assumptions'!$G15="$/Parking/Month",('Operating Assumptions'!$H15*CG$23)*'Operating Assumptions'!$D$17)))))))</f>
        <v>0</v>
      </c>
      <c r="CH48" s="427">
        <f>IF(OR(CH$9&lt;'Operating Assumptions'!$D$53,CH$6&gt;'Operating Assumptions'!$AA$8,'Operating Assumptions'!$G15="N/A"),0,IF('Operating Assumptions'!$G15="$/Unit/Annual",(('Operating Assumptions'!$H15*CH$23)*CH$36)/12,IF('Operating Assumptions'!$G15="$/Unit/Month",('Operating Assumptions'!$H15*CH$23)*CH$36,IF('Operating Assumptions'!$G15="Fixed Amount",('Operating Assumptions'!$H15*CH$23)/12,IF('Operating Assumptions'!$G15="$/Garage/Month",('Operating Assumptions'!$H15*CH$23)*'Operating Assumptions'!$D$16,IF('Operating Assumptions'!$G15="$/Pet/Month",(CH$36*'Operating Assumptions'!$D$18)*('Operating Assumptions'!$H15*CH$23),IF('Operating Assumptions'!$G15="$/Parking/Month",('Operating Assumptions'!$H15*CH$23)*'Operating Assumptions'!$D$17)))))))</f>
        <v>0</v>
      </c>
      <c r="CI48" s="427">
        <f>IF(OR(CI$9&lt;'Operating Assumptions'!$D$53,CI$6&gt;'Operating Assumptions'!$AA$8,'Operating Assumptions'!$G15="N/A"),0,IF('Operating Assumptions'!$G15="$/Unit/Annual",(('Operating Assumptions'!$H15*CI$23)*CI$36)/12,IF('Operating Assumptions'!$G15="$/Unit/Month",('Operating Assumptions'!$H15*CI$23)*CI$36,IF('Operating Assumptions'!$G15="Fixed Amount",('Operating Assumptions'!$H15*CI$23)/12,IF('Operating Assumptions'!$G15="$/Garage/Month",('Operating Assumptions'!$H15*CI$23)*'Operating Assumptions'!$D$16,IF('Operating Assumptions'!$G15="$/Pet/Month",(CI$36*'Operating Assumptions'!$D$18)*('Operating Assumptions'!$H15*CI$23),IF('Operating Assumptions'!$G15="$/Parking/Month",('Operating Assumptions'!$H15*CI$23)*'Operating Assumptions'!$D$17)))))))</f>
        <v>0</v>
      </c>
      <c r="CJ48" s="427">
        <f>IF(OR(CJ$9&lt;'Operating Assumptions'!$D$53,CJ$6&gt;'Operating Assumptions'!$AA$8,'Operating Assumptions'!$G15="N/A"),0,IF('Operating Assumptions'!$G15="$/Unit/Annual",(('Operating Assumptions'!$H15*CJ$23)*CJ$36)/12,IF('Operating Assumptions'!$G15="$/Unit/Month",('Operating Assumptions'!$H15*CJ$23)*CJ$36,IF('Operating Assumptions'!$G15="Fixed Amount",('Operating Assumptions'!$H15*CJ$23)/12,IF('Operating Assumptions'!$G15="$/Garage/Month",('Operating Assumptions'!$H15*CJ$23)*'Operating Assumptions'!$D$16,IF('Operating Assumptions'!$G15="$/Pet/Month",(CJ$36*'Operating Assumptions'!$D$18)*('Operating Assumptions'!$H15*CJ$23),IF('Operating Assumptions'!$G15="$/Parking/Month",('Operating Assumptions'!$H15*CJ$23)*'Operating Assumptions'!$D$17)))))))</f>
        <v>0</v>
      </c>
      <c r="CK48" s="427">
        <f>IF(OR(CK$9&lt;'Operating Assumptions'!$D$53,CK$6&gt;'Operating Assumptions'!$AA$8,'Operating Assumptions'!$G15="N/A"),0,IF('Operating Assumptions'!$G15="$/Unit/Annual",(('Operating Assumptions'!$H15*CK$23)*CK$36)/12,IF('Operating Assumptions'!$G15="$/Unit/Month",('Operating Assumptions'!$H15*CK$23)*CK$36,IF('Operating Assumptions'!$G15="Fixed Amount",('Operating Assumptions'!$H15*CK$23)/12,IF('Operating Assumptions'!$G15="$/Garage/Month",('Operating Assumptions'!$H15*CK$23)*'Operating Assumptions'!$D$16,IF('Operating Assumptions'!$G15="$/Pet/Month",(CK$36*'Operating Assumptions'!$D$18)*('Operating Assumptions'!$H15*CK$23),IF('Operating Assumptions'!$G15="$/Parking/Month",('Operating Assumptions'!$H15*CK$23)*'Operating Assumptions'!$D$17)))))))</f>
        <v>0</v>
      </c>
      <c r="CL48" s="427">
        <f>IF(OR(CL$9&lt;'Operating Assumptions'!$D$53,CL$6&gt;'Operating Assumptions'!$AA$8,'Operating Assumptions'!$G15="N/A"),0,IF('Operating Assumptions'!$G15="$/Unit/Annual",(('Operating Assumptions'!$H15*CL$23)*CL$36)/12,IF('Operating Assumptions'!$G15="$/Unit/Month",('Operating Assumptions'!$H15*CL$23)*CL$36,IF('Operating Assumptions'!$G15="Fixed Amount",('Operating Assumptions'!$H15*CL$23)/12,IF('Operating Assumptions'!$G15="$/Garage/Month",('Operating Assumptions'!$H15*CL$23)*'Operating Assumptions'!$D$16,IF('Operating Assumptions'!$G15="$/Pet/Month",(CL$36*'Operating Assumptions'!$D$18)*('Operating Assumptions'!$H15*CL$23),IF('Operating Assumptions'!$G15="$/Parking/Month",('Operating Assumptions'!$H15*CL$23)*'Operating Assumptions'!$D$17)))))))</f>
        <v>0</v>
      </c>
      <c r="CM48" s="427">
        <f>IF(OR(CM$9&lt;'Operating Assumptions'!$D$53,CM$6&gt;'Operating Assumptions'!$AA$8,'Operating Assumptions'!$G15="N/A"),0,IF('Operating Assumptions'!$G15="$/Unit/Annual",(('Operating Assumptions'!$H15*CM$23)*CM$36)/12,IF('Operating Assumptions'!$G15="$/Unit/Month",('Operating Assumptions'!$H15*CM$23)*CM$36,IF('Operating Assumptions'!$G15="Fixed Amount",('Operating Assumptions'!$H15*CM$23)/12,IF('Operating Assumptions'!$G15="$/Garage/Month",('Operating Assumptions'!$H15*CM$23)*'Operating Assumptions'!$D$16,IF('Operating Assumptions'!$G15="$/Pet/Month",(CM$36*'Operating Assumptions'!$D$18)*('Operating Assumptions'!$H15*CM$23),IF('Operating Assumptions'!$G15="$/Parking/Month",('Operating Assumptions'!$H15*CM$23)*'Operating Assumptions'!$D$17)))))))</f>
        <v>0</v>
      </c>
      <c r="CN48" s="427">
        <f>IF(OR(CN$9&lt;'Operating Assumptions'!$D$53,CN$6&gt;'Operating Assumptions'!$AA$8,'Operating Assumptions'!$G15="N/A"),0,IF('Operating Assumptions'!$G15="$/Unit/Annual",(('Operating Assumptions'!$H15*CN$23)*CN$36)/12,IF('Operating Assumptions'!$G15="$/Unit/Month",('Operating Assumptions'!$H15*CN$23)*CN$36,IF('Operating Assumptions'!$G15="Fixed Amount",('Operating Assumptions'!$H15*CN$23)/12,IF('Operating Assumptions'!$G15="$/Garage/Month",('Operating Assumptions'!$H15*CN$23)*'Operating Assumptions'!$D$16,IF('Operating Assumptions'!$G15="$/Pet/Month",(CN$36*'Operating Assumptions'!$D$18)*('Operating Assumptions'!$H15*CN$23),IF('Operating Assumptions'!$G15="$/Parking/Month",('Operating Assumptions'!$H15*CN$23)*'Operating Assumptions'!$D$17)))))))</f>
        <v>0</v>
      </c>
      <c r="CO48" s="427">
        <f>IF(OR(CO$9&lt;'Operating Assumptions'!$D$53,CO$6&gt;'Operating Assumptions'!$AA$8,'Operating Assumptions'!$G15="N/A"),0,IF('Operating Assumptions'!$G15="$/Unit/Annual",(('Operating Assumptions'!$H15*CO$23)*CO$36)/12,IF('Operating Assumptions'!$G15="$/Unit/Month",('Operating Assumptions'!$H15*CO$23)*CO$36,IF('Operating Assumptions'!$G15="Fixed Amount",('Operating Assumptions'!$H15*CO$23)/12,IF('Operating Assumptions'!$G15="$/Garage/Month",('Operating Assumptions'!$H15*CO$23)*'Operating Assumptions'!$D$16,IF('Operating Assumptions'!$G15="$/Pet/Month",(CO$36*'Operating Assumptions'!$D$18)*('Operating Assumptions'!$H15*CO$23),IF('Operating Assumptions'!$G15="$/Parking/Month",('Operating Assumptions'!$H15*CO$23)*'Operating Assumptions'!$D$17)))))))</f>
        <v>0</v>
      </c>
      <c r="CP48" s="427">
        <f>IF(OR(CP$9&lt;'Operating Assumptions'!$D$53,CP$6&gt;'Operating Assumptions'!$AA$8,'Operating Assumptions'!$G15="N/A"),0,IF('Operating Assumptions'!$G15="$/Unit/Annual",(('Operating Assumptions'!$H15*CP$23)*CP$36)/12,IF('Operating Assumptions'!$G15="$/Unit/Month",('Operating Assumptions'!$H15*CP$23)*CP$36,IF('Operating Assumptions'!$G15="Fixed Amount",('Operating Assumptions'!$H15*CP$23)/12,IF('Operating Assumptions'!$G15="$/Garage/Month",('Operating Assumptions'!$H15*CP$23)*'Operating Assumptions'!$D$16,IF('Operating Assumptions'!$G15="$/Pet/Month",(CP$36*'Operating Assumptions'!$D$18)*('Operating Assumptions'!$H15*CP$23),IF('Operating Assumptions'!$G15="$/Parking/Month",('Operating Assumptions'!$H15*CP$23)*'Operating Assumptions'!$D$17)))))))</f>
        <v>0</v>
      </c>
      <c r="CQ48" s="427">
        <f>IF(OR(CQ$9&lt;'Operating Assumptions'!$D$53,CQ$6&gt;'Operating Assumptions'!$AA$8,'Operating Assumptions'!$G15="N/A"),0,IF('Operating Assumptions'!$G15="$/Unit/Annual",(('Operating Assumptions'!$H15*CQ$23)*CQ$36)/12,IF('Operating Assumptions'!$G15="$/Unit/Month",('Operating Assumptions'!$H15*CQ$23)*CQ$36,IF('Operating Assumptions'!$G15="Fixed Amount",('Operating Assumptions'!$H15*CQ$23)/12,IF('Operating Assumptions'!$G15="$/Garage/Month",('Operating Assumptions'!$H15*CQ$23)*'Operating Assumptions'!$D$16,IF('Operating Assumptions'!$G15="$/Pet/Month",(CQ$36*'Operating Assumptions'!$D$18)*('Operating Assumptions'!$H15*CQ$23),IF('Operating Assumptions'!$G15="$/Parking/Month",('Operating Assumptions'!$H15*CQ$23)*'Operating Assumptions'!$D$17)))))))</f>
        <v>0</v>
      </c>
      <c r="CR48" s="427">
        <f>IF(OR(CR$9&lt;'Operating Assumptions'!$D$53,CR$6&gt;'Operating Assumptions'!$AA$8,'Operating Assumptions'!$G15="N/A"),0,IF('Operating Assumptions'!$G15="$/Unit/Annual",(('Operating Assumptions'!$H15*CR$23)*CR$36)/12,IF('Operating Assumptions'!$G15="$/Unit/Month",('Operating Assumptions'!$H15*CR$23)*CR$36,IF('Operating Assumptions'!$G15="Fixed Amount",('Operating Assumptions'!$H15*CR$23)/12,IF('Operating Assumptions'!$G15="$/Garage/Month",('Operating Assumptions'!$H15*CR$23)*'Operating Assumptions'!$D$16,IF('Operating Assumptions'!$G15="$/Pet/Month",(CR$36*'Operating Assumptions'!$D$18)*('Operating Assumptions'!$H15*CR$23),IF('Operating Assumptions'!$G15="$/Parking/Month",('Operating Assumptions'!$H15*CR$23)*'Operating Assumptions'!$D$17)))))))</f>
        <v>0</v>
      </c>
      <c r="CS48" s="427">
        <f>IF(OR(CS$9&lt;'Operating Assumptions'!$D$53,CS$6&gt;'Operating Assumptions'!$AA$8,'Operating Assumptions'!$G15="N/A"),0,IF('Operating Assumptions'!$G15="$/Unit/Annual",(('Operating Assumptions'!$H15*CS$23)*CS$36)/12,IF('Operating Assumptions'!$G15="$/Unit/Month",('Operating Assumptions'!$H15*CS$23)*CS$36,IF('Operating Assumptions'!$G15="Fixed Amount",('Operating Assumptions'!$H15*CS$23)/12,IF('Operating Assumptions'!$G15="$/Garage/Month",('Operating Assumptions'!$H15*CS$23)*'Operating Assumptions'!$D$16,IF('Operating Assumptions'!$G15="$/Pet/Month",(CS$36*'Operating Assumptions'!$D$18)*('Operating Assumptions'!$H15*CS$23),IF('Operating Assumptions'!$G15="$/Parking/Month",('Operating Assumptions'!$H15*CS$23)*'Operating Assumptions'!$D$17)))))))</f>
        <v>0</v>
      </c>
      <c r="CT48" s="427">
        <f>IF(OR(CT$9&lt;'Operating Assumptions'!$D$53,CT$6&gt;'Operating Assumptions'!$AA$8,'Operating Assumptions'!$G15="N/A"),0,IF('Operating Assumptions'!$G15="$/Unit/Annual",(('Operating Assumptions'!$H15*CT$23)*CT$36)/12,IF('Operating Assumptions'!$G15="$/Unit/Month",('Operating Assumptions'!$H15*CT$23)*CT$36,IF('Operating Assumptions'!$G15="Fixed Amount",('Operating Assumptions'!$H15*CT$23)/12,IF('Operating Assumptions'!$G15="$/Garage/Month",('Operating Assumptions'!$H15*CT$23)*'Operating Assumptions'!$D$16,IF('Operating Assumptions'!$G15="$/Pet/Month",(CT$36*'Operating Assumptions'!$D$18)*('Operating Assumptions'!$H15*CT$23),IF('Operating Assumptions'!$G15="$/Parking/Month",('Operating Assumptions'!$H15*CT$23)*'Operating Assumptions'!$D$17)))))))</f>
        <v>0</v>
      </c>
      <c r="CU48" s="427">
        <f>IF(OR(CU$9&lt;'Operating Assumptions'!$D$53,CU$6&gt;'Operating Assumptions'!$AA$8,'Operating Assumptions'!$G15="N/A"),0,IF('Operating Assumptions'!$G15="$/Unit/Annual",(('Operating Assumptions'!$H15*CU$23)*CU$36)/12,IF('Operating Assumptions'!$G15="$/Unit/Month",('Operating Assumptions'!$H15*CU$23)*CU$36,IF('Operating Assumptions'!$G15="Fixed Amount",('Operating Assumptions'!$H15*CU$23)/12,IF('Operating Assumptions'!$G15="$/Garage/Month",('Operating Assumptions'!$H15*CU$23)*'Operating Assumptions'!$D$16,IF('Operating Assumptions'!$G15="$/Pet/Month",(CU$36*'Operating Assumptions'!$D$18)*('Operating Assumptions'!$H15*CU$23),IF('Operating Assumptions'!$G15="$/Parking/Month",('Operating Assumptions'!$H15*CU$23)*'Operating Assumptions'!$D$17)))))))</f>
        <v>0</v>
      </c>
      <c r="CV48" s="427">
        <f>IF(OR(CV$9&lt;'Operating Assumptions'!$D$53,CV$6&gt;'Operating Assumptions'!$AA$8,'Operating Assumptions'!$G15="N/A"),0,IF('Operating Assumptions'!$G15="$/Unit/Annual",(('Operating Assumptions'!$H15*CV$23)*CV$36)/12,IF('Operating Assumptions'!$G15="$/Unit/Month",('Operating Assumptions'!$H15*CV$23)*CV$36,IF('Operating Assumptions'!$G15="Fixed Amount",('Operating Assumptions'!$H15*CV$23)/12,IF('Operating Assumptions'!$G15="$/Garage/Month",('Operating Assumptions'!$H15*CV$23)*'Operating Assumptions'!$D$16,IF('Operating Assumptions'!$G15="$/Pet/Month",(CV$36*'Operating Assumptions'!$D$18)*('Operating Assumptions'!$H15*CV$23),IF('Operating Assumptions'!$G15="$/Parking/Month",('Operating Assumptions'!$H15*CV$23)*'Operating Assumptions'!$D$17)))))))</f>
        <v>0</v>
      </c>
      <c r="CW48" s="427">
        <f>IF(OR(CW$9&lt;'Operating Assumptions'!$D$53,CW$6&gt;'Operating Assumptions'!$AA$8,'Operating Assumptions'!$G15="N/A"),0,IF('Operating Assumptions'!$G15="$/Unit/Annual",(('Operating Assumptions'!$H15*CW$23)*CW$36)/12,IF('Operating Assumptions'!$G15="$/Unit/Month",('Operating Assumptions'!$H15*CW$23)*CW$36,IF('Operating Assumptions'!$G15="Fixed Amount",('Operating Assumptions'!$H15*CW$23)/12,IF('Operating Assumptions'!$G15="$/Garage/Month",('Operating Assumptions'!$H15*CW$23)*'Operating Assumptions'!$D$16,IF('Operating Assumptions'!$G15="$/Pet/Month",(CW$36*'Operating Assumptions'!$D$18)*('Operating Assumptions'!$H15*CW$23),IF('Operating Assumptions'!$G15="$/Parking/Month",('Operating Assumptions'!$H15*CW$23)*'Operating Assumptions'!$D$17)))))))</f>
        <v>0</v>
      </c>
      <c r="CX48" s="427">
        <f>IF(OR(CX$9&lt;'Operating Assumptions'!$D$53,CX$6&gt;'Operating Assumptions'!$AA$8,'Operating Assumptions'!$G15="N/A"),0,IF('Operating Assumptions'!$G15="$/Unit/Annual",(('Operating Assumptions'!$H15*CX$23)*CX$36)/12,IF('Operating Assumptions'!$G15="$/Unit/Month",('Operating Assumptions'!$H15*CX$23)*CX$36,IF('Operating Assumptions'!$G15="Fixed Amount",('Operating Assumptions'!$H15*CX$23)/12,IF('Operating Assumptions'!$G15="$/Garage/Month",('Operating Assumptions'!$H15*CX$23)*'Operating Assumptions'!$D$16,IF('Operating Assumptions'!$G15="$/Pet/Month",(CX$36*'Operating Assumptions'!$D$18)*('Operating Assumptions'!$H15*CX$23),IF('Operating Assumptions'!$G15="$/Parking/Month",('Operating Assumptions'!$H15*CX$23)*'Operating Assumptions'!$D$17)))))))</f>
        <v>0</v>
      </c>
      <c r="CY48" s="427">
        <f>IF(OR(CY$9&lt;'Operating Assumptions'!$D$53,CY$6&gt;'Operating Assumptions'!$AA$8,'Operating Assumptions'!$G15="N/A"),0,IF('Operating Assumptions'!$G15="$/Unit/Annual",(('Operating Assumptions'!$H15*CY$23)*CY$36)/12,IF('Operating Assumptions'!$G15="$/Unit/Month",('Operating Assumptions'!$H15*CY$23)*CY$36,IF('Operating Assumptions'!$G15="Fixed Amount",('Operating Assumptions'!$H15*CY$23)/12,IF('Operating Assumptions'!$G15="$/Garage/Month",('Operating Assumptions'!$H15*CY$23)*'Operating Assumptions'!$D$16,IF('Operating Assumptions'!$G15="$/Pet/Month",(CY$36*'Operating Assumptions'!$D$18)*('Operating Assumptions'!$H15*CY$23),IF('Operating Assumptions'!$G15="$/Parking/Month",('Operating Assumptions'!$H15*CY$23)*'Operating Assumptions'!$D$17)))))))</f>
        <v>0</v>
      </c>
      <c r="CZ48" s="427">
        <f>IF(OR(CZ$9&lt;'Operating Assumptions'!$D$53,CZ$6&gt;'Operating Assumptions'!$AA$8,'Operating Assumptions'!$G15="N/A"),0,IF('Operating Assumptions'!$G15="$/Unit/Annual",(('Operating Assumptions'!$H15*CZ$23)*CZ$36)/12,IF('Operating Assumptions'!$G15="$/Unit/Month",('Operating Assumptions'!$H15*CZ$23)*CZ$36,IF('Operating Assumptions'!$G15="Fixed Amount",('Operating Assumptions'!$H15*CZ$23)/12,IF('Operating Assumptions'!$G15="$/Garage/Month",('Operating Assumptions'!$H15*CZ$23)*'Operating Assumptions'!$D$16,IF('Operating Assumptions'!$G15="$/Pet/Month",(CZ$36*'Operating Assumptions'!$D$18)*('Operating Assumptions'!$H15*CZ$23),IF('Operating Assumptions'!$G15="$/Parking/Month",('Operating Assumptions'!$H15*CZ$23)*'Operating Assumptions'!$D$17)))))))</f>
        <v>0</v>
      </c>
      <c r="DA48" s="427">
        <f>IF(OR(DA$9&lt;'Operating Assumptions'!$D$53,DA$6&gt;'Operating Assumptions'!$AA$8,'Operating Assumptions'!$G15="N/A"),0,IF('Operating Assumptions'!$G15="$/Unit/Annual",(('Operating Assumptions'!$H15*DA$23)*DA$36)/12,IF('Operating Assumptions'!$G15="$/Unit/Month",('Operating Assumptions'!$H15*DA$23)*DA$36,IF('Operating Assumptions'!$G15="Fixed Amount",('Operating Assumptions'!$H15*DA$23)/12,IF('Operating Assumptions'!$G15="$/Garage/Month",('Operating Assumptions'!$H15*DA$23)*'Operating Assumptions'!$D$16,IF('Operating Assumptions'!$G15="$/Pet/Month",(DA$36*'Operating Assumptions'!$D$18)*('Operating Assumptions'!$H15*DA$23),IF('Operating Assumptions'!$G15="$/Parking/Month",('Operating Assumptions'!$H15*DA$23)*'Operating Assumptions'!$D$17)))))))</f>
        <v>0</v>
      </c>
      <c r="DB48" s="427">
        <f>IF(OR(DB$9&lt;'Operating Assumptions'!$D$53,DB$6&gt;'Operating Assumptions'!$AA$8,'Operating Assumptions'!$G15="N/A"),0,IF('Operating Assumptions'!$G15="$/Unit/Annual",(('Operating Assumptions'!$H15*DB$23)*DB$36)/12,IF('Operating Assumptions'!$G15="$/Unit/Month",('Operating Assumptions'!$H15*DB$23)*DB$36,IF('Operating Assumptions'!$G15="Fixed Amount",('Operating Assumptions'!$H15*DB$23)/12,IF('Operating Assumptions'!$G15="$/Garage/Month",('Operating Assumptions'!$H15*DB$23)*'Operating Assumptions'!$D$16,IF('Operating Assumptions'!$G15="$/Pet/Month",(DB$36*'Operating Assumptions'!$D$18)*('Operating Assumptions'!$H15*DB$23),IF('Operating Assumptions'!$G15="$/Parking/Month",('Operating Assumptions'!$H15*DB$23)*'Operating Assumptions'!$D$17)))))))</f>
        <v>0</v>
      </c>
      <c r="DC48" s="427">
        <f>IF(OR(DC$9&lt;'Operating Assumptions'!$D$53,DC$6&gt;'Operating Assumptions'!$AA$8,'Operating Assumptions'!$G15="N/A"),0,IF('Operating Assumptions'!$G15="$/Unit/Annual",(('Operating Assumptions'!$H15*DC$23)*DC$36)/12,IF('Operating Assumptions'!$G15="$/Unit/Month",('Operating Assumptions'!$H15*DC$23)*DC$36,IF('Operating Assumptions'!$G15="Fixed Amount",('Operating Assumptions'!$H15*DC$23)/12,IF('Operating Assumptions'!$G15="$/Garage/Month",('Operating Assumptions'!$H15*DC$23)*'Operating Assumptions'!$D$16,IF('Operating Assumptions'!$G15="$/Pet/Month",(DC$36*'Operating Assumptions'!$D$18)*('Operating Assumptions'!$H15*DC$23),IF('Operating Assumptions'!$G15="$/Parking/Month",('Operating Assumptions'!$H15*DC$23)*'Operating Assumptions'!$D$17)))))))</f>
        <v>0</v>
      </c>
      <c r="DD48" s="427">
        <f>IF(OR(DD$9&lt;'Operating Assumptions'!$D$53,DD$6&gt;'Operating Assumptions'!$AA$8,'Operating Assumptions'!$G15="N/A"),0,IF('Operating Assumptions'!$G15="$/Unit/Annual",(('Operating Assumptions'!$H15*DD$23)*DD$36)/12,IF('Operating Assumptions'!$G15="$/Unit/Month",('Operating Assumptions'!$H15*DD$23)*DD$36,IF('Operating Assumptions'!$G15="Fixed Amount",('Operating Assumptions'!$H15*DD$23)/12,IF('Operating Assumptions'!$G15="$/Garage/Month",('Operating Assumptions'!$H15*DD$23)*'Operating Assumptions'!$D$16,IF('Operating Assumptions'!$G15="$/Pet/Month",(DD$36*'Operating Assumptions'!$D$18)*('Operating Assumptions'!$H15*DD$23),IF('Operating Assumptions'!$G15="$/Parking/Month",('Operating Assumptions'!$H15*DD$23)*'Operating Assumptions'!$D$17)))))))</f>
        <v>0</v>
      </c>
      <c r="DE48" s="427">
        <f>IF(OR(DE$9&lt;'Operating Assumptions'!$D$53,DE$6&gt;'Operating Assumptions'!$AA$8,'Operating Assumptions'!$G15="N/A"),0,IF('Operating Assumptions'!$G15="$/Unit/Annual",(('Operating Assumptions'!$H15*DE$23)*DE$36)/12,IF('Operating Assumptions'!$G15="$/Unit/Month",('Operating Assumptions'!$H15*DE$23)*DE$36,IF('Operating Assumptions'!$G15="Fixed Amount",('Operating Assumptions'!$H15*DE$23)/12,IF('Operating Assumptions'!$G15="$/Garage/Month",('Operating Assumptions'!$H15*DE$23)*'Operating Assumptions'!$D$16,IF('Operating Assumptions'!$G15="$/Pet/Month",(DE$36*'Operating Assumptions'!$D$18)*('Operating Assumptions'!$H15*DE$23),IF('Operating Assumptions'!$G15="$/Parking/Month",('Operating Assumptions'!$H15*DE$23)*'Operating Assumptions'!$D$17)))))))</f>
        <v>0</v>
      </c>
      <c r="DF48" s="427">
        <f>IF(OR(DF$9&lt;'Operating Assumptions'!$D$53,DF$6&gt;'Operating Assumptions'!$AA$8,'Operating Assumptions'!$G15="N/A"),0,IF('Operating Assumptions'!$G15="$/Unit/Annual",(('Operating Assumptions'!$H15*DF$23)*DF$36)/12,IF('Operating Assumptions'!$G15="$/Unit/Month",('Operating Assumptions'!$H15*DF$23)*DF$36,IF('Operating Assumptions'!$G15="Fixed Amount",('Operating Assumptions'!$H15*DF$23)/12,IF('Operating Assumptions'!$G15="$/Garage/Month",('Operating Assumptions'!$H15*DF$23)*'Operating Assumptions'!$D$16,IF('Operating Assumptions'!$G15="$/Pet/Month",(DF$36*'Operating Assumptions'!$D$18)*('Operating Assumptions'!$H15*DF$23),IF('Operating Assumptions'!$G15="$/Parking/Month",('Operating Assumptions'!$H15*DF$23)*'Operating Assumptions'!$D$17)))))))</f>
        <v>0</v>
      </c>
      <c r="DG48" s="427">
        <f>IF(OR(DG$9&lt;'Operating Assumptions'!$D$53,DG$6&gt;'Operating Assumptions'!$AA$8,'Operating Assumptions'!$G15="N/A"),0,IF('Operating Assumptions'!$G15="$/Unit/Annual",(('Operating Assumptions'!$H15*DG$23)*DG$36)/12,IF('Operating Assumptions'!$G15="$/Unit/Month",('Operating Assumptions'!$H15*DG$23)*DG$36,IF('Operating Assumptions'!$G15="Fixed Amount",('Operating Assumptions'!$H15*DG$23)/12,IF('Operating Assumptions'!$G15="$/Garage/Month",('Operating Assumptions'!$H15*DG$23)*'Operating Assumptions'!$D$16,IF('Operating Assumptions'!$G15="$/Pet/Month",(DG$36*'Operating Assumptions'!$D$18)*('Operating Assumptions'!$H15*DG$23),IF('Operating Assumptions'!$G15="$/Parking/Month",('Operating Assumptions'!$H15*DG$23)*'Operating Assumptions'!$D$17)))))))</f>
        <v>0</v>
      </c>
      <c r="DH48" s="427">
        <f>IF(OR(DH$9&lt;'Operating Assumptions'!$D$53,DH$6&gt;'Operating Assumptions'!$AA$8,'Operating Assumptions'!$G15="N/A"),0,IF('Operating Assumptions'!$G15="$/Unit/Annual",(('Operating Assumptions'!$H15*DH$23)*DH$36)/12,IF('Operating Assumptions'!$G15="$/Unit/Month",('Operating Assumptions'!$H15*DH$23)*DH$36,IF('Operating Assumptions'!$G15="Fixed Amount",('Operating Assumptions'!$H15*DH$23)/12,IF('Operating Assumptions'!$G15="$/Garage/Month",('Operating Assumptions'!$H15*DH$23)*'Operating Assumptions'!$D$16,IF('Operating Assumptions'!$G15="$/Pet/Month",(DH$36*'Operating Assumptions'!$D$18)*('Operating Assumptions'!$H15*DH$23),IF('Operating Assumptions'!$G15="$/Parking/Month",('Operating Assumptions'!$H15*DH$23)*'Operating Assumptions'!$D$17)))))))</f>
        <v>0</v>
      </c>
      <c r="DI48" s="427">
        <f>IF(OR(DI$9&lt;'Operating Assumptions'!$D$53,DI$6&gt;'Operating Assumptions'!$AA$8,'Operating Assumptions'!$G15="N/A"),0,IF('Operating Assumptions'!$G15="$/Unit/Annual",(('Operating Assumptions'!$H15*DI$23)*DI$36)/12,IF('Operating Assumptions'!$G15="$/Unit/Month",('Operating Assumptions'!$H15*DI$23)*DI$36,IF('Operating Assumptions'!$G15="Fixed Amount",('Operating Assumptions'!$H15*DI$23)/12,IF('Operating Assumptions'!$G15="$/Garage/Month",('Operating Assumptions'!$H15*DI$23)*'Operating Assumptions'!$D$16,IF('Operating Assumptions'!$G15="$/Pet/Month",(DI$36*'Operating Assumptions'!$D$18)*('Operating Assumptions'!$H15*DI$23),IF('Operating Assumptions'!$G15="$/Parking/Month",('Operating Assumptions'!$H15*DI$23)*'Operating Assumptions'!$D$17)))))))</f>
        <v>0</v>
      </c>
      <c r="DJ48" s="427">
        <f>IF(OR(DJ$9&lt;'Operating Assumptions'!$D$53,DJ$6&gt;'Operating Assumptions'!$AA$8,'Operating Assumptions'!$G15="N/A"),0,IF('Operating Assumptions'!$G15="$/Unit/Annual",(('Operating Assumptions'!$H15*DJ$23)*DJ$36)/12,IF('Operating Assumptions'!$G15="$/Unit/Month",('Operating Assumptions'!$H15*DJ$23)*DJ$36,IF('Operating Assumptions'!$G15="Fixed Amount",('Operating Assumptions'!$H15*DJ$23)/12,IF('Operating Assumptions'!$G15="$/Garage/Month",('Operating Assumptions'!$H15*DJ$23)*'Operating Assumptions'!$D$16,IF('Operating Assumptions'!$G15="$/Pet/Month",(DJ$36*'Operating Assumptions'!$D$18)*('Operating Assumptions'!$H15*DJ$23),IF('Operating Assumptions'!$G15="$/Parking/Month",('Operating Assumptions'!$H15*DJ$23)*'Operating Assumptions'!$D$17)))))))</f>
        <v>0</v>
      </c>
      <c r="DK48" s="427">
        <f>IF(OR(DK$9&lt;'Operating Assumptions'!$D$53,DK$6&gt;'Operating Assumptions'!$AA$8,'Operating Assumptions'!$G15="N/A"),0,IF('Operating Assumptions'!$G15="$/Unit/Annual",(('Operating Assumptions'!$H15*DK$23)*DK$36)/12,IF('Operating Assumptions'!$G15="$/Unit/Month",('Operating Assumptions'!$H15*DK$23)*DK$36,IF('Operating Assumptions'!$G15="Fixed Amount",('Operating Assumptions'!$H15*DK$23)/12,IF('Operating Assumptions'!$G15="$/Garage/Month",('Operating Assumptions'!$H15*DK$23)*'Operating Assumptions'!$D$16,IF('Operating Assumptions'!$G15="$/Pet/Month",(DK$36*'Operating Assumptions'!$D$18)*('Operating Assumptions'!$H15*DK$23),IF('Operating Assumptions'!$G15="$/Parking/Month",('Operating Assumptions'!$H15*DK$23)*'Operating Assumptions'!$D$17)))))))</f>
        <v>0</v>
      </c>
      <c r="DL48" s="427">
        <f>IF(OR(DL$9&lt;'Operating Assumptions'!$D$53,DL$6&gt;'Operating Assumptions'!$AA$8,'Operating Assumptions'!$G15="N/A"),0,IF('Operating Assumptions'!$G15="$/Unit/Annual",(('Operating Assumptions'!$H15*DL$23)*DL$36)/12,IF('Operating Assumptions'!$G15="$/Unit/Month",('Operating Assumptions'!$H15*DL$23)*DL$36,IF('Operating Assumptions'!$G15="Fixed Amount",('Operating Assumptions'!$H15*DL$23)/12,IF('Operating Assumptions'!$G15="$/Garage/Month",('Operating Assumptions'!$H15*DL$23)*'Operating Assumptions'!$D$16,IF('Operating Assumptions'!$G15="$/Pet/Month",(DL$36*'Operating Assumptions'!$D$18)*('Operating Assumptions'!$H15*DL$23),IF('Operating Assumptions'!$G15="$/Parking/Month",('Operating Assumptions'!$H15*DL$23)*'Operating Assumptions'!$D$17)))))))</f>
        <v>0</v>
      </c>
      <c r="DM48" s="427">
        <f>IF(OR(DM$9&lt;'Operating Assumptions'!$D$53,DM$6&gt;'Operating Assumptions'!$AA$8,'Operating Assumptions'!$G15="N/A"),0,IF('Operating Assumptions'!$G15="$/Unit/Annual",(('Operating Assumptions'!$H15*DM$23)*DM$36)/12,IF('Operating Assumptions'!$G15="$/Unit/Month",('Operating Assumptions'!$H15*DM$23)*DM$36,IF('Operating Assumptions'!$G15="Fixed Amount",('Operating Assumptions'!$H15*DM$23)/12,IF('Operating Assumptions'!$G15="$/Garage/Month",('Operating Assumptions'!$H15*DM$23)*'Operating Assumptions'!$D$16,IF('Operating Assumptions'!$G15="$/Pet/Month",(DM$36*'Operating Assumptions'!$D$18)*('Operating Assumptions'!$H15*DM$23),IF('Operating Assumptions'!$G15="$/Parking/Month",('Operating Assumptions'!$H15*DM$23)*'Operating Assumptions'!$D$17)))))))</f>
        <v>0</v>
      </c>
      <c r="DN48" s="427">
        <f>IF(OR(DN$9&lt;'Operating Assumptions'!$D$53,DN$6&gt;'Operating Assumptions'!$AA$8,'Operating Assumptions'!$G15="N/A"),0,IF('Operating Assumptions'!$G15="$/Unit/Annual",(('Operating Assumptions'!$H15*DN$23)*DN$36)/12,IF('Operating Assumptions'!$G15="$/Unit/Month",('Operating Assumptions'!$H15*DN$23)*DN$36,IF('Operating Assumptions'!$G15="Fixed Amount",('Operating Assumptions'!$H15*DN$23)/12,IF('Operating Assumptions'!$G15="$/Garage/Month",('Operating Assumptions'!$H15*DN$23)*'Operating Assumptions'!$D$16,IF('Operating Assumptions'!$G15="$/Pet/Month",(DN$36*'Operating Assumptions'!$D$18)*('Operating Assumptions'!$H15*DN$23),IF('Operating Assumptions'!$G15="$/Parking/Month",('Operating Assumptions'!$H15*DN$23)*'Operating Assumptions'!$D$17)))))))</f>
        <v>0</v>
      </c>
      <c r="DO48" s="427">
        <f>IF(OR(DO$9&lt;'Operating Assumptions'!$D$53,DO$6&gt;'Operating Assumptions'!$AA$8,'Operating Assumptions'!$G15="N/A"),0,IF('Operating Assumptions'!$G15="$/Unit/Annual",(('Operating Assumptions'!$H15*DO$23)*DO$36)/12,IF('Operating Assumptions'!$G15="$/Unit/Month",('Operating Assumptions'!$H15*DO$23)*DO$36,IF('Operating Assumptions'!$G15="Fixed Amount",('Operating Assumptions'!$H15*DO$23)/12,IF('Operating Assumptions'!$G15="$/Garage/Month",('Operating Assumptions'!$H15*DO$23)*'Operating Assumptions'!$D$16,IF('Operating Assumptions'!$G15="$/Pet/Month",(DO$36*'Operating Assumptions'!$D$18)*('Operating Assumptions'!$H15*DO$23),IF('Operating Assumptions'!$G15="$/Parking/Month",('Operating Assumptions'!$H15*DO$23)*'Operating Assumptions'!$D$17)))))))</f>
        <v>0</v>
      </c>
      <c r="DP48" s="427">
        <f>IF(OR(DP$9&lt;'Operating Assumptions'!$D$53,DP$6&gt;'Operating Assumptions'!$AA$8,'Operating Assumptions'!$G15="N/A"),0,IF('Operating Assumptions'!$G15="$/Unit/Annual",(('Operating Assumptions'!$H15*DP$23)*DP$36)/12,IF('Operating Assumptions'!$G15="$/Unit/Month",('Operating Assumptions'!$H15*DP$23)*DP$36,IF('Operating Assumptions'!$G15="Fixed Amount",('Operating Assumptions'!$H15*DP$23)/12,IF('Operating Assumptions'!$G15="$/Garage/Month",('Operating Assumptions'!$H15*DP$23)*'Operating Assumptions'!$D$16,IF('Operating Assumptions'!$G15="$/Pet/Month",(DP$36*'Operating Assumptions'!$D$18)*('Operating Assumptions'!$H15*DP$23),IF('Operating Assumptions'!$G15="$/Parking/Month",('Operating Assumptions'!$H15*DP$23)*'Operating Assumptions'!$D$17)))))))</f>
        <v>0</v>
      </c>
      <c r="DQ48" s="427">
        <f>IF(OR(DQ$9&lt;'Operating Assumptions'!$D$53,DQ$6&gt;'Operating Assumptions'!$AA$8,'Operating Assumptions'!$G15="N/A"),0,IF('Operating Assumptions'!$G15="$/Unit/Annual",(('Operating Assumptions'!$H15*DQ$23)*DQ$36)/12,IF('Operating Assumptions'!$G15="$/Unit/Month",('Operating Assumptions'!$H15*DQ$23)*DQ$36,IF('Operating Assumptions'!$G15="Fixed Amount",('Operating Assumptions'!$H15*DQ$23)/12,IF('Operating Assumptions'!$G15="$/Garage/Month",('Operating Assumptions'!$H15*DQ$23)*'Operating Assumptions'!$D$16,IF('Operating Assumptions'!$G15="$/Pet/Month",(DQ$36*'Operating Assumptions'!$D$18)*('Operating Assumptions'!$H15*DQ$23),IF('Operating Assumptions'!$G15="$/Parking/Month",('Operating Assumptions'!$H15*DQ$23)*'Operating Assumptions'!$D$17)))))))</f>
        <v>0</v>
      </c>
      <c r="DR48" s="427">
        <f>IF(OR(DR$9&lt;'Operating Assumptions'!$D$53,DR$6&gt;'Operating Assumptions'!$AA$8,'Operating Assumptions'!$G15="N/A"),0,IF('Operating Assumptions'!$G15="$/Unit/Annual",(('Operating Assumptions'!$H15*DR$23)*DR$36)/12,IF('Operating Assumptions'!$G15="$/Unit/Month",('Operating Assumptions'!$H15*DR$23)*DR$36,IF('Operating Assumptions'!$G15="Fixed Amount",('Operating Assumptions'!$H15*DR$23)/12,IF('Operating Assumptions'!$G15="$/Garage/Month",('Operating Assumptions'!$H15*DR$23)*'Operating Assumptions'!$D$16,IF('Operating Assumptions'!$G15="$/Pet/Month",(DR$36*'Operating Assumptions'!$D$18)*('Operating Assumptions'!$H15*DR$23),IF('Operating Assumptions'!$G15="$/Parking/Month",('Operating Assumptions'!$H15*DR$23)*'Operating Assumptions'!$D$17)))))))</f>
        <v>0</v>
      </c>
      <c r="DS48" s="427">
        <f>IF(OR(DS$9&lt;'Operating Assumptions'!$D$53,DS$6&gt;'Operating Assumptions'!$AA$8,'Operating Assumptions'!$G15="N/A"),0,IF('Operating Assumptions'!$G15="$/Unit/Annual",(('Operating Assumptions'!$H15*DS$23)*DS$36)/12,IF('Operating Assumptions'!$G15="$/Unit/Month",('Operating Assumptions'!$H15*DS$23)*DS$36,IF('Operating Assumptions'!$G15="Fixed Amount",('Operating Assumptions'!$H15*DS$23)/12,IF('Operating Assumptions'!$G15="$/Garage/Month",('Operating Assumptions'!$H15*DS$23)*'Operating Assumptions'!$D$16,IF('Operating Assumptions'!$G15="$/Pet/Month",(DS$36*'Operating Assumptions'!$D$18)*('Operating Assumptions'!$H15*DS$23),IF('Operating Assumptions'!$G15="$/Parking/Month",('Operating Assumptions'!$H15*DS$23)*'Operating Assumptions'!$D$17)))))))</f>
        <v>0</v>
      </c>
      <c r="DT48" s="427">
        <f>IF(OR(DT$9&lt;'Operating Assumptions'!$D$53,DT$6&gt;'Operating Assumptions'!$AA$8,'Operating Assumptions'!$G15="N/A"),0,IF('Operating Assumptions'!$G15="$/Unit/Annual",(('Operating Assumptions'!$H15*DT$23)*DT$36)/12,IF('Operating Assumptions'!$G15="$/Unit/Month",('Operating Assumptions'!$H15*DT$23)*DT$36,IF('Operating Assumptions'!$G15="Fixed Amount",('Operating Assumptions'!$H15*DT$23)/12,IF('Operating Assumptions'!$G15="$/Garage/Month",('Operating Assumptions'!$H15*DT$23)*'Operating Assumptions'!$D$16,IF('Operating Assumptions'!$G15="$/Pet/Month",(DT$36*'Operating Assumptions'!$D$18)*('Operating Assumptions'!$H15*DT$23),IF('Operating Assumptions'!$G15="$/Parking/Month",('Operating Assumptions'!$H15*DT$23)*'Operating Assumptions'!$D$17)))))))</f>
        <v>0</v>
      </c>
      <c r="DU48" s="427">
        <f>IF(OR(DU$9&lt;'Operating Assumptions'!$D$53,DU$6&gt;'Operating Assumptions'!$AA$8,'Operating Assumptions'!$G15="N/A"),0,IF('Operating Assumptions'!$G15="$/Unit/Annual",(('Operating Assumptions'!$H15*DU$23)*DU$36)/12,IF('Operating Assumptions'!$G15="$/Unit/Month",('Operating Assumptions'!$H15*DU$23)*DU$36,IF('Operating Assumptions'!$G15="Fixed Amount",('Operating Assumptions'!$H15*DU$23)/12,IF('Operating Assumptions'!$G15="$/Garage/Month",('Operating Assumptions'!$H15*DU$23)*'Operating Assumptions'!$D$16,IF('Operating Assumptions'!$G15="$/Pet/Month",(DU$36*'Operating Assumptions'!$D$18)*('Operating Assumptions'!$H15*DU$23),IF('Operating Assumptions'!$G15="$/Parking/Month",('Operating Assumptions'!$H15*DU$23)*'Operating Assumptions'!$D$17)))))))</f>
        <v>0</v>
      </c>
      <c r="DV48" s="427">
        <f>IF(OR(DV$9&lt;'Operating Assumptions'!$D$53,DV$6&gt;'Operating Assumptions'!$AA$8,'Operating Assumptions'!$G15="N/A"),0,IF('Operating Assumptions'!$G15="$/Unit/Annual",(('Operating Assumptions'!$H15*DV$23)*DV$36)/12,IF('Operating Assumptions'!$G15="$/Unit/Month",('Operating Assumptions'!$H15*DV$23)*DV$36,IF('Operating Assumptions'!$G15="Fixed Amount",('Operating Assumptions'!$H15*DV$23)/12,IF('Operating Assumptions'!$G15="$/Garage/Month",('Operating Assumptions'!$H15*DV$23)*'Operating Assumptions'!$D$16,IF('Operating Assumptions'!$G15="$/Pet/Month",(DV$36*'Operating Assumptions'!$D$18)*('Operating Assumptions'!$H15*DV$23),IF('Operating Assumptions'!$G15="$/Parking/Month",('Operating Assumptions'!$H15*DV$23)*'Operating Assumptions'!$D$17)))))))</f>
        <v>0</v>
      </c>
      <c r="DW48" s="427">
        <f>IF(OR(DW$9&lt;'Operating Assumptions'!$D$53,DW$6&gt;'Operating Assumptions'!$AA$8,'Operating Assumptions'!$G15="N/A"),0,IF('Operating Assumptions'!$G15="$/Unit/Annual",(('Operating Assumptions'!$H15*DW$23)*DW$36)/12,IF('Operating Assumptions'!$G15="$/Unit/Month",('Operating Assumptions'!$H15*DW$23)*DW$36,IF('Operating Assumptions'!$G15="Fixed Amount",('Operating Assumptions'!$H15*DW$23)/12,IF('Operating Assumptions'!$G15="$/Garage/Month",('Operating Assumptions'!$H15*DW$23)*'Operating Assumptions'!$D$16,IF('Operating Assumptions'!$G15="$/Pet/Month",(DW$36*'Operating Assumptions'!$D$18)*('Operating Assumptions'!$H15*DW$23),IF('Operating Assumptions'!$G15="$/Parking/Month",('Operating Assumptions'!$H15*DW$23)*'Operating Assumptions'!$D$17)))))))</f>
        <v>0</v>
      </c>
      <c r="DX48" s="427">
        <f>IF(OR(DX$9&lt;'Operating Assumptions'!$D$53,DX$6&gt;'Operating Assumptions'!$AA$8,'Operating Assumptions'!$G15="N/A"),0,IF('Operating Assumptions'!$G15="$/Unit/Annual",(('Operating Assumptions'!$H15*DX$23)*DX$36)/12,IF('Operating Assumptions'!$G15="$/Unit/Month",('Operating Assumptions'!$H15*DX$23)*DX$36,IF('Operating Assumptions'!$G15="Fixed Amount",('Operating Assumptions'!$H15*DX$23)/12,IF('Operating Assumptions'!$G15="$/Garage/Month",('Operating Assumptions'!$H15*DX$23)*'Operating Assumptions'!$D$16,IF('Operating Assumptions'!$G15="$/Pet/Month",(DX$36*'Operating Assumptions'!$D$18)*('Operating Assumptions'!$H15*DX$23),IF('Operating Assumptions'!$G15="$/Parking/Month",('Operating Assumptions'!$H15*DX$23)*'Operating Assumptions'!$D$17)))))))</f>
        <v>0</v>
      </c>
      <c r="DY48" s="427">
        <f>IF(OR(DY$9&lt;'Operating Assumptions'!$D$53,DY$6&gt;'Operating Assumptions'!$AA$8,'Operating Assumptions'!$G15="N/A"),0,IF('Operating Assumptions'!$G15="$/Unit/Annual",(('Operating Assumptions'!$H15*DY$23)*DY$36)/12,IF('Operating Assumptions'!$G15="$/Unit/Month",('Operating Assumptions'!$H15*DY$23)*DY$36,IF('Operating Assumptions'!$G15="Fixed Amount",('Operating Assumptions'!$H15*DY$23)/12,IF('Operating Assumptions'!$G15="$/Garage/Month",('Operating Assumptions'!$H15*DY$23)*'Operating Assumptions'!$D$16,IF('Operating Assumptions'!$G15="$/Pet/Month",(DY$36*'Operating Assumptions'!$D$18)*('Operating Assumptions'!$H15*DY$23),IF('Operating Assumptions'!$G15="$/Parking/Month",('Operating Assumptions'!$H15*DY$23)*'Operating Assumptions'!$D$17)))))))</f>
        <v>0</v>
      </c>
      <c r="DZ48" s="427">
        <f>IF(OR(DZ$9&lt;'Operating Assumptions'!$D$53,DZ$6&gt;'Operating Assumptions'!$AA$8,'Operating Assumptions'!$G15="N/A"),0,IF('Operating Assumptions'!$G15="$/Unit/Annual",(('Operating Assumptions'!$H15*DZ$23)*DZ$36)/12,IF('Operating Assumptions'!$G15="$/Unit/Month",('Operating Assumptions'!$H15*DZ$23)*DZ$36,IF('Operating Assumptions'!$G15="Fixed Amount",('Operating Assumptions'!$H15*DZ$23)/12,IF('Operating Assumptions'!$G15="$/Garage/Month",('Operating Assumptions'!$H15*DZ$23)*'Operating Assumptions'!$D$16,IF('Operating Assumptions'!$G15="$/Pet/Month",(DZ$36*'Operating Assumptions'!$D$18)*('Operating Assumptions'!$H15*DZ$23),IF('Operating Assumptions'!$G15="$/Parking/Month",('Operating Assumptions'!$H15*DZ$23)*'Operating Assumptions'!$D$17)))))))</f>
        <v>0</v>
      </c>
      <c r="EA48" s="427">
        <f>IF(OR(EA$9&lt;'Operating Assumptions'!$D$53,EA$6&gt;'Operating Assumptions'!$AA$8,'Operating Assumptions'!$G15="N/A"),0,IF('Operating Assumptions'!$G15="$/Unit/Annual",(('Operating Assumptions'!$H15*EA$23)*EA$36)/12,IF('Operating Assumptions'!$G15="$/Unit/Month",('Operating Assumptions'!$H15*EA$23)*EA$36,IF('Operating Assumptions'!$G15="Fixed Amount",('Operating Assumptions'!$H15*EA$23)/12,IF('Operating Assumptions'!$G15="$/Garage/Month",('Operating Assumptions'!$H15*EA$23)*'Operating Assumptions'!$D$16,IF('Operating Assumptions'!$G15="$/Pet/Month",(EA$36*'Operating Assumptions'!$D$18)*('Operating Assumptions'!$H15*EA$23),IF('Operating Assumptions'!$G15="$/Parking/Month",('Operating Assumptions'!$H15*EA$23)*'Operating Assumptions'!$D$17)))))))</f>
        <v>0</v>
      </c>
      <c r="EB48" s="427">
        <f>IF(OR(EB$9&lt;'Operating Assumptions'!$D$53,EB$6&gt;'Operating Assumptions'!$AA$8,'Operating Assumptions'!$G15="N/A"),0,IF('Operating Assumptions'!$G15="$/Unit/Annual",(('Operating Assumptions'!$H15*EB$23)*EB$36)/12,IF('Operating Assumptions'!$G15="$/Unit/Month",('Operating Assumptions'!$H15*EB$23)*EB$36,IF('Operating Assumptions'!$G15="Fixed Amount",('Operating Assumptions'!$H15*EB$23)/12,IF('Operating Assumptions'!$G15="$/Garage/Month",('Operating Assumptions'!$H15*EB$23)*'Operating Assumptions'!$D$16,IF('Operating Assumptions'!$G15="$/Pet/Month",(EB$36*'Operating Assumptions'!$D$18)*('Operating Assumptions'!$H15*EB$23),IF('Operating Assumptions'!$G15="$/Parking/Month",('Operating Assumptions'!$H15*EB$23)*'Operating Assumptions'!$D$17)))))))</f>
        <v>0</v>
      </c>
      <c r="EC48" s="427">
        <f>IF(OR(EC$9&lt;'Operating Assumptions'!$D$53,EC$6&gt;'Operating Assumptions'!$AA$8,'Operating Assumptions'!$G15="N/A"),0,IF('Operating Assumptions'!$G15="$/Unit/Annual",(('Operating Assumptions'!$H15*EC$23)*EC$36)/12,IF('Operating Assumptions'!$G15="$/Unit/Month",('Operating Assumptions'!$H15*EC$23)*EC$36,IF('Operating Assumptions'!$G15="Fixed Amount",('Operating Assumptions'!$H15*EC$23)/12,IF('Operating Assumptions'!$G15="$/Garage/Month",('Operating Assumptions'!$H15*EC$23)*'Operating Assumptions'!$D$16,IF('Operating Assumptions'!$G15="$/Pet/Month",(EC$36*'Operating Assumptions'!$D$18)*('Operating Assumptions'!$H15*EC$23),IF('Operating Assumptions'!$G15="$/Parking/Month",('Operating Assumptions'!$H15*EC$23)*'Operating Assumptions'!$D$17)))))))</f>
        <v>0</v>
      </c>
      <c r="ED48" s="427">
        <f>IF(OR(ED$9&lt;'Operating Assumptions'!$D$53,ED$6&gt;'Operating Assumptions'!$AA$8,'Operating Assumptions'!$G15="N/A"),0,IF('Operating Assumptions'!$G15="$/Unit/Annual",(('Operating Assumptions'!$H15*ED$23)*ED$36)/12,IF('Operating Assumptions'!$G15="$/Unit/Month",('Operating Assumptions'!$H15*ED$23)*ED$36,IF('Operating Assumptions'!$G15="Fixed Amount",('Operating Assumptions'!$H15*ED$23)/12,IF('Operating Assumptions'!$G15="$/Garage/Month",('Operating Assumptions'!$H15*ED$23)*'Operating Assumptions'!$D$16,IF('Operating Assumptions'!$G15="$/Pet/Month",(ED$36*'Operating Assumptions'!$D$18)*('Operating Assumptions'!$H15*ED$23),IF('Operating Assumptions'!$G15="$/Parking/Month",('Operating Assumptions'!$H15*ED$23)*'Operating Assumptions'!$D$17)))))))</f>
        <v>0</v>
      </c>
      <c r="EE48" s="427">
        <f>IF(OR(EE$9&lt;'Operating Assumptions'!$D$53,EE$6&gt;'Operating Assumptions'!$AA$8,'Operating Assumptions'!$G15="N/A"),0,IF('Operating Assumptions'!$G15="$/Unit/Annual",(('Operating Assumptions'!$H15*EE$23)*EE$36)/12,IF('Operating Assumptions'!$G15="$/Unit/Month",('Operating Assumptions'!$H15*EE$23)*EE$36,IF('Operating Assumptions'!$G15="Fixed Amount",('Operating Assumptions'!$H15*EE$23)/12,IF('Operating Assumptions'!$G15="$/Garage/Month",('Operating Assumptions'!$H15*EE$23)*'Operating Assumptions'!$D$16,IF('Operating Assumptions'!$G15="$/Pet/Month",(EE$36*'Operating Assumptions'!$D$18)*('Operating Assumptions'!$H15*EE$23),IF('Operating Assumptions'!$G15="$/Parking/Month",('Operating Assumptions'!$H15*EE$23)*'Operating Assumptions'!$D$17)))))))</f>
        <v>0</v>
      </c>
      <c r="EF48" s="427">
        <f>IF(OR(EF$9&lt;'Operating Assumptions'!$D$53,EF$6&gt;'Operating Assumptions'!$AA$8,'Operating Assumptions'!$G15="N/A"),0,IF('Operating Assumptions'!$G15="$/Unit/Annual",(('Operating Assumptions'!$H15*EF$23)*EF$36)/12,IF('Operating Assumptions'!$G15="$/Unit/Month",('Operating Assumptions'!$H15*EF$23)*EF$36,IF('Operating Assumptions'!$G15="Fixed Amount",('Operating Assumptions'!$H15*EF$23)/12,IF('Operating Assumptions'!$G15="$/Garage/Month",('Operating Assumptions'!$H15*EF$23)*'Operating Assumptions'!$D$16,IF('Operating Assumptions'!$G15="$/Pet/Month",(EF$36*'Operating Assumptions'!$D$18)*('Operating Assumptions'!$H15*EF$23),IF('Operating Assumptions'!$G15="$/Parking/Month",('Operating Assumptions'!$H15*EF$23)*'Operating Assumptions'!$D$17)))))))</f>
        <v>0</v>
      </c>
      <c r="EG48" s="427">
        <f>IF(OR(EG$9&lt;'Operating Assumptions'!$D$53,EG$6&gt;'Operating Assumptions'!$AA$8,'Operating Assumptions'!$G15="N/A"),0,IF('Operating Assumptions'!$G15="$/Unit/Annual",(('Operating Assumptions'!$H15*EG$23)*EG$36)/12,IF('Operating Assumptions'!$G15="$/Unit/Month",('Operating Assumptions'!$H15*EG$23)*EG$36,IF('Operating Assumptions'!$G15="Fixed Amount",('Operating Assumptions'!$H15*EG$23)/12,IF('Operating Assumptions'!$G15="$/Garage/Month",('Operating Assumptions'!$H15*EG$23)*'Operating Assumptions'!$D$16,IF('Operating Assumptions'!$G15="$/Pet/Month",(EG$36*'Operating Assumptions'!$D$18)*('Operating Assumptions'!$H15*EG$23),IF('Operating Assumptions'!$G15="$/Parking/Month",('Operating Assumptions'!$H15*EG$23)*'Operating Assumptions'!$D$17)))))))</f>
        <v>0</v>
      </c>
      <c r="EH48" s="427">
        <f>IF(OR(EH$9&lt;'Operating Assumptions'!$D$53,EH$6&gt;'Operating Assumptions'!$AA$8,'Operating Assumptions'!$G15="N/A"),0,IF('Operating Assumptions'!$G15="$/Unit/Annual",(('Operating Assumptions'!$H15*EH$23)*EH$36)/12,IF('Operating Assumptions'!$G15="$/Unit/Month",('Operating Assumptions'!$H15*EH$23)*EH$36,IF('Operating Assumptions'!$G15="Fixed Amount",('Operating Assumptions'!$H15*EH$23)/12,IF('Operating Assumptions'!$G15="$/Garage/Month",('Operating Assumptions'!$H15*EH$23)*'Operating Assumptions'!$D$16,IF('Operating Assumptions'!$G15="$/Pet/Month",(EH$36*'Operating Assumptions'!$D$18)*('Operating Assumptions'!$H15*EH$23),IF('Operating Assumptions'!$G15="$/Parking/Month",('Operating Assumptions'!$H15*EH$23)*'Operating Assumptions'!$D$17)))))))</f>
        <v>0</v>
      </c>
      <c r="EI48" s="427">
        <f>IF(OR(EI$9&lt;'Operating Assumptions'!$D$53,EI$6&gt;'Operating Assumptions'!$AA$8,'Operating Assumptions'!$G15="N/A"),0,IF('Operating Assumptions'!$G15="$/Unit/Annual",(('Operating Assumptions'!$H15*EI$23)*EI$36)/12,IF('Operating Assumptions'!$G15="$/Unit/Month",('Operating Assumptions'!$H15*EI$23)*EI$36,IF('Operating Assumptions'!$G15="Fixed Amount",('Operating Assumptions'!$H15*EI$23)/12,IF('Operating Assumptions'!$G15="$/Garage/Month",('Operating Assumptions'!$H15*EI$23)*'Operating Assumptions'!$D$16,IF('Operating Assumptions'!$G15="$/Pet/Month",(EI$36*'Operating Assumptions'!$D$18)*('Operating Assumptions'!$H15*EI$23),IF('Operating Assumptions'!$G15="$/Parking/Month",('Operating Assumptions'!$H15*EI$23)*'Operating Assumptions'!$D$17)))))))</f>
        <v>0</v>
      </c>
      <c r="EJ48" s="427">
        <f>IF(OR(EJ$9&lt;'Operating Assumptions'!$D$53,EJ$6&gt;'Operating Assumptions'!$AA$8,'Operating Assumptions'!$G15="N/A"),0,IF('Operating Assumptions'!$G15="$/Unit/Annual",(('Operating Assumptions'!$H15*EJ$23)*EJ$36)/12,IF('Operating Assumptions'!$G15="$/Unit/Month",('Operating Assumptions'!$H15*EJ$23)*EJ$36,IF('Operating Assumptions'!$G15="Fixed Amount",('Operating Assumptions'!$H15*EJ$23)/12,IF('Operating Assumptions'!$G15="$/Garage/Month",('Operating Assumptions'!$H15*EJ$23)*'Operating Assumptions'!$D$16,IF('Operating Assumptions'!$G15="$/Pet/Month",(EJ$36*'Operating Assumptions'!$D$18)*('Operating Assumptions'!$H15*EJ$23),IF('Operating Assumptions'!$G15="$/Parking/Month",('Operating Assumptions'!$H15*EJ$23)*'Operating Assumptions'!$D$17)))))))</f>
        <v>0</v>
      </c>
      <c r="EK48" s="427">
        <f>IF(OR(EK$9&lt;'Operating Assumptions'!$D$53,EK$6&gt;'Operating Assumptions'!$AA$8,'Operating Assumptions'!$G15="N/A"),0,IF('Operating Assumptions'!$G15="$/Unit/Annual",(('Operating Assumptions'!$H15*EK$23)*EK$36)/12,IF('Operating Assumptions'!$G15="$/Unit/Month",('Operating Assumptions'!$H15*EK$23)*EK$36,IF('Operating Assumptions'!$G15="Fixed Amount",('Operating Assumptions'!$H15*EK$23)/12,IF('Operating Assumptions'!$G15="$/Garage/Month",('Operating Assumptions'!$H15*EK$23)*'Operating Assumptions'!$D$16,IF('Operating Assumptions'!$G15="$/Pet/Month",(EK$36*'Operating Assumptions'!$D$18)*('Operating Assumptions'!$H15*EK$23),IF('Operating Assumptions'!$G15="$/Parking/Month",('Operating Assumptions'!$H15*EK$23)*'Operating Assumptions'!$D$17)))))))</f>
        <v>0</v>
      </c>
      <c r="EL48" s="427">
        <f>IF(OR(EL$9&lt;'Operating Assumptions'!$D$53,EL$6&gt;'Operating Assumptions'!$AA$8,'Operating Assumptions'!$G15="N/A"),0,IF('Operating Assumptions'!$G15="$/Unit/Annual",(('Operating Assumptions'!$H15*EL$23)*EL$36)/12,IF('Operating Assumptions'!$G15="$/Unit/Month",('Operating Assumptions'!$H15*EL$23)*EL$36,IF('Operating Assumptions'!$G15="Fixed Amount",('Operating Assumptions'!$H15*EL$23)/12,IF('Operating Assumptions'!$G15="$/Garage/Month",('Operating Assumptions'!$H15*EL$23)*'Operating Assumptions'!$D$16,IF('Operating Assumptions'!$G15="$/Pet/Month",(EL$36*'Operating Assumptions'!$D$18)*('Operating Assumptions'!$H15*EL$23),IF('Operating Assumptions'!$G15="$/Parking/Month",('Operating Assumptions'!$H15*EL$23)*'Operating Assumptions'!$D$17)))))))</f>
        <v>0</v>
      </c>
      <c r="EM48" s="427">
        <f>IF(OR(EM$9&lt;'Operating Assumptions'!$D$53,EM$6&gt;'Operating Assumptions'!$AA$8,'Operating Assumptions'!$G15="N/A"),0,IF('Operating Assumptions'!$G15="$/Unit/Annual",(('Operating Assumptions'!$H15*EM$23)*EM$36)/12,IF('Operating Assumptions'!$G15="$/Unit/Month",('Operating Assumptions'!$H15*EM$23)*EM$36,IF('Operating Assumptions'!$G15="Fixed Amount",('Operating Assumptions'!$H15*EM$23)/12,IF('Operating Assumptions'!$G15="$/Garage/Month",('Operating Assumptions'!$H15*EM$23)*'Operating Assumptions'!$D$16,IF('Operating Assumptions'!$G15="$/Pet/Month",(EM$36*'Operating Assumptions'!$D$18)*('Operating Assumptions'!$H15*EM$23),IF('Operating Assumptions'!$G15="$/Parking/Month",('Operating Assumptions'!$H15*EM$23)*'Operating Assumptions'!$D$17)))))))</f>
        <v>0</v>
      </c>
      <c r="EN48" s="427">
        <f>IF(OR(EN$9&lt;'Operating Assumptions'!$D$53,EN$6&gt;'Operating Assumptions'!$AA$8,'Operating Assumptions'!$G15="N/A"),0,IF('Operating Assumptions'!$G15="$/Unit/Annual",(('Operating Assumptions'!$H15*EN$23)*EN$36)/12,IF('Operating Assumptions'!$G15="$/Unit/Month",('Operating Assumptions'!$H15*EN$23)*EN$36,IF('Operating Assumptions'!$G15="Fixed Amount",('Operating Assumptions'!$H15*EN$23)/12,IF('Operating Assumptions'!$G15="$/Garage/Month",('Operating Assumptions'!$H15*EN$23)*'Operating Assumptions'!$D$16,IF('Operating Assumptions'!$G15="$/Pet/Month",(EN$36*'Operating Assumptions'!$D$18)*('Operating Assumptions'!$H15*EN$23),IF('Operating Assumptions'!$G15="$/Parking/Month",('Operating Assumptions'!$H15*EN$23)*'Operating Assumptions'!$D$17)))))))</f>
        <v>0</v>
      </c>
      <c r="EO48" s="427">
        <f>IF(OR(EO$9&lt;'Operating Assumptions'!$D$53,EO$6&gt;'Operating Assumptions'!$AA$8,'Operating Assumptions'!$G15="N/A"),0,IF('Operating Assumptions'!$G15="$/Unit/Annual",(('Operating Assumptions'!$H15*EO$23)*EO$36)/12,IF('Operating Assumptions'!$G15="$/Unit/Month",('Operating Assumptions'!$H15*EO$23)*EO$36,IF('Operating Assumptions'!$G15="Fixed Amount",('Operating Assumptions'!$H15*EO$23)/12,IF('Operating Assumptions'!$G15="$/Garage/Month",('Operating Assumptions'!$H15*EO$23)*'Operating Assumptions'!$D$16,IF('Operating Assumptions'!$G15="$/Pet/Month",(EO$36*'Operating Assumptions'!$D$18)*('Operating Assumptions'!$H15*EO$23),IF('Operating Assumptions'!$G15="$/Parking/Month",('Operating Assumptions'!$H15*EO$23)*'Operating Assumptions'!$D$17)))))))</f>
        <v>0</v>
      </c>
      <c r="EP48" s="427">
        <f>IF(OR(EP$9&lt;'Operating Assumptions'!$D$53,EP$6&gt;'Operating Assumptions'!$AA$8,'Operating Assumptions'!$G15="N/A"),0,IF('Operating Assumptions'!$G15="$/Unit/Annual",(('Operating Assumptions'!$H15*EP$23)*EP$36)/12,IF('Operating Assumptions'!$G15="$/Unit/Month",('Operating Assumptions'!$H15*EP$23)*EP$36,IF('Operating Assumptions'!$G15="Fixed Amount",('Operating Assumptions'!$H15*EP$23)/12,IF('Operating Assumptions'!$G15="$/Garage/Month",('Operating Assumptions'!$H15*EP$23)*'Operating Assumptions'!$D$16,IF('Operating Assumptions'!$G15="$/Pet/Month",(EP$36*'Operating Assumptions'!$D$18)*('Operating Assumptions'!$H15*EP$23),IF('Operating Assumptions'!$G15="$/Parking/Month",('Operating Assumptions'!$H15*EP$23)*'Operating Assumptions'!$D$17)))))))</f>
        <v>0</v>
      </c>
      <c r="EQ48" s="427">
        <f>IF(OR(EQ$9&lt;'Operating Assumptions'!$D$53,EQ$6&gt;'Operating Assumptions'!$AA$8,'Operating Assumptions'!$G15="N/A"),0,IF('Operating Assumptions'!$G15="$/Unit/Annual",(('Operating Assumptions'!$H15*EQ$23)*EQ$36)/12,IF('Operating Assumptions'!$G15="$/Unit/Month",('Operating Assumptions'!$H15*EQ$23)*EQ$36,IF('Operating Assumptions'!$G15="Fixed Amount",('Operating Assumptions'!$H15*EQ$23)/12,IF('Operating Assumptions'!$G15="$/Garage/Month",('Operating Assumptions'!$H15*EQ$23)*'Operating Assumptions'!$D$16,IF('Operating Assumptions'!$G15="$/Pet/Month",(EQ$36*'Operating Assumptions'!$D$18)*('Operating Assumptions'!$H15*EQ$23),IF('Operating Assumptions'!$G15="$/Parking/Month",('Operating Assumptions'!$H15*EQ$23)*'Operating Assumptions'!$D$17)))))))</f>
        <v>0</v>
      </c>
      <c r="ER48" s="427">
        <f>IF(OR(ER$9&lt;'Operating Assumptions'!$D$53,ER$6&gt;'Operating Assumptions'!$AA$8,'Operating Assumptions'!$G15="N/A"),0,IF('Operating Assumptions'!$G15="$/Unit/Annual",(('Operating Assumptions'!$H15*ER$23)*ER$36)/12,IF('Operating Assumptions'!$G15="$/Unit/Month",('Operating Assumptions'!$H15*ER$23)*ER$36,IF('Operating Assumptions'!$G15="Fixed Amount",('Operating Assumptions'!$H15*ER$23)/12,IF('Operating Assumptions'!$G15="$/Garage/Month",('Operating Assumptions'!$H15*ER$23)*'Operating Assumptions'!$D$16,IF('Operating Assumptions'!$G15="$/Pet/Month",(ER$36*'Operating Assumptions'!$D$18)*('Operating Assumptions'!$H15*ER$23),IF('Operating Assumptions'!$G15="$/Parking/Month",('Operating Assumptions'!$H15*ER$23)*'Operating Assumptions'!$D$17)))))))</f>
        <v>0</v>
      </c>
      <c r="ES48" s="427">
        <f>IF(OR(ES$9&lt;'Operating Assumptions'!$D$53,ES$6&gt;'Operating Assumptions'!$AA$8,'Operating Assumptions'!$G15="N/A"),0,IF('Operating Assumptions'!$G15="$/Unit/Annual",(('Operating Assumptions'!$H15*ES$23)*ES$36)/12,IF('Operating Assumptions'!$G15="$/Unit/Month",('Operating Assumptions'!$H15*ES$23)*ES$36,IF('Operating Assumptions'!$G15="Fixed Amount",('Operating Assumptions'!$H15*ES$23)/12,IF('Operating Assumptions'!$G15="$/Garage/Month",('Operating Assumptions'!$H15*ES$23)*'Operating Assumptions'!$D$16,IF('Operating Assumptions'!$G15="$/Pet/Month",(ES$36*'Operating Assumptions'!$D$18)*('Operating Assumptions'!$H15*ES$23),IF('Operating Assumptions'!$G15="$/Parking/Month",('Operating Assumptions'!$H15*ES$23)*'Operating Assumptions'!$D$17)))))))</f>
        <v>0</v>
      </c>
      <c r="ET48" s="427">
        <f>IF(OR(ET$9&lt;'Operating Assumptions'!$D$53,ET$6&gt;'Operating Assumptions'!$AA$8,'Operating Assumptions'!$G15="N/A"),0,IF('Operating Assumptions'!$G15="$/Unit/Annual",(('Operating Assumptions'!$H15*ET$23)*ET$36)/12,IF('Operating Assumptions'!$G15="$/Unit/Month",('Operating Assumptions'!$H15*ET$23)*ET$36,IF('Operating Assumptions'!$G15="Fixed Amount",('Operating Assumptions'!$H15*ET$23)/12,IF('Operating Assumptions'!$G15="$/Garage/Month",('Operating Assumptions'!$H15*ET$23)*'Operating Assumptions'!$D$16,IF('Operating Assumptions'!$G15="$/Pet/Month",(ET$36*'Operating Assumptions'!$D$18)*('Operating Assumptions'!$H15*ET$23),IF('Operating Assumptions'!$G15="$/Parking/Month",('Operating Assumptions'!$H15*ET$23)*'Operating Assumptions'!$D$17)))))))</f>
        <v>0</v>
      </c>
      <c r="EU48" s="427">
        <f>IF(OR(EU$9&lt;'Operating Assumptions'!$D$53,EU$6&gt;'Operating Assumptions'!$AA$8,'Operating Assumptions'!$G15="N/A"),0,IF('Operating Assumptions'!$G15="$/Unit/Annual",(('Operating Assumptions'!$H15*EU$23)*EU$36)/12,IF('Operating Assumptions'!$G15="$/Unit/Month",('Operating Assumptions'!$H15*EU$23)*EU$36,IF('Operating Assumptions'!$G15="Fixed Amount",('Operating Assumptions'!$H15*EU$23)/12,IF('Operating Assumptions'!$G15="$/Garage/Month",('Operating Assumptions'!$H15*EU$23)*'Operating Assumptions'!$D$16,IF('Operating Assumptions'!$G15="$/Pet/Month",(EU$36*'Operating Assumptions'!$D$18)*('Operating Assumptions'!$H15*EU$23),IF('Operating Assumptions'!$G15="$/Parking/Month",('Operating Assumptions'!$H15*EU$23)*'Operating Assumptions'!$D$17)))))))</f>
        <v>0</v>
      </c>
      <c r="EV48" s="427">
        <f>IF(OR(EV$9&lt;'Operating Assumptions'!$D$53,EV$6&gt;'Operating Assumptions'!$AA$8,'Operating Assumptions'!$G15="N/A"),0,IF('Operating Assumptions'!$G15="$/Unit/Annual",(('Operating Assumptions'!$H15*EV$23)*EV$36)/12,IF('Operating Assumptions'!$G15="$/Unit/Month",('Operating Assumptions'!$H15*EV$23)*EV$36,IF('Operating Assumptions'!$G15="Fixed Amount",('Operating Assumptions'!$H15*EV$23)/12,IF('Operating Assumptions'!$G15="$/Garage/Month",('Operating Assumptions'!$H15*EV$23)*'Operating Assumptions'!$D$16,IF('Operating Assumptions'!$G15="$/Pet/Month",(EV$36*'Operating Assumptions'!$D$18)*('Operating Assumptions'!$H15*EV$23),IF('Operating Assumptions'!$G15="$/Parking/Month",('Operating Assumptions'!$H15*EV$23)*'Operating Assumptions'!$D$17)))))))</f>
        <v>0</v>
      </c>
      <c r="EW48" s="427">
        <f>IF(OR(EW$9&lt;'Operating Assumptions'!$D$53,EW$6&gt;'Operating Assumptions'!$AA$8,'Operating Assumptions'!$G15="N/A"),0,IF('Operating Assumptions'!$G15="$/Unit/Annual",(('Operating Assumptions'!$H15*EW$23)*EW$36)/12,IF('Operating Assumptions'!$G15="$/Unit/Month",('Operating Assumptions'!$H15*EW$23)*EW$36,IF('Operating Assumptions'!$G15="Fixed Amount",('Operating Assumptions'!$H15*EW$23)/12,IF('Operating Assumptions'!$G15="$/Garage/Month",('Operating Assumptions'!$H15*EW$23)*'Operating Assumptions'!$D$16,IF('Operating Assumptions'!$G15="$/Pet/Month",(EW$36*'Operating Assumptions'!$D$18)*('Operating Assumptions'!$H15*EW$23),IF('Operating Assumptions'!$G15="$/Parking/Month",('Operating Assumptions'!$H15*EW$23)*'Operating Assumptions'!$D$17)))))))</f>
        <v>0</v>
      </c>
      <c r="EX48" s="427">
        <f>IF(OR(EX$9&lt;'Operating Assumptions'!$D$53,EX$6&gt;'Operating Assumptions'!$AA$8,'Operating Assumptions'!$G15="N/A"),0,IF('Operating Assumptions'!$G15="$/Unit/Annual",(('Operating Assumptions'!$H15*EX$23)*EX$36)/12,IF('Operating Assumptions'!$G15="$/Unit/Month",('Operating Assumptions'!$H15*EX$23)*EX$36,IF('Operating Assumptions'!$G15="Fixed Amount",('Operating Assumptions'!$H15*EX$23)/12,IF('Operating Assumptions'!$G15="$/Garage/Month",('Operating Assumptions'!$H15*EX$23)*'Operating Assumptions'!$D$16,IF('Operating Assumptions'!$G15="$/Pet/Month",(EX$36*'Operating Assumptions'!$D$18)*('Operating Assumptions'!$H15*EX$23),IF('Operating Assumptions'!$G15="$/Parking/Month",('Operating Assumptions'!$H15*EX$23)*'Operating Assumptions'!$D$17)))))))</f>
        <v>0</v>
      </c>
      <c r="EY48" s="427">
        <f>IF(OR(EY$9&lt;'Operating Assumptions'!$D$53,EY$6&gt;'Operating Assumptions'!$AA$8,'Operating Assumptions'!$G15="N/A"),0,IF('Operating Assumptions'!$G15="$/Unit/Annual",(('Operating Assumptions'!$H15*EY$23)*EY$36)/12,IF('Operating Assumptions'!$G15="$/Unit/Month",('Operating Assumptions'!$H15*EY$23)*EY$36,IF('Operating Assumptions'!$G15="Fixed Amount",('Operating Assumptions'!$H15*EY$23)/12,IF('Operating Assumptions'!$G15="$/Garage/Month",('Operating Assumptions'!$H15*EY$23)*'Operating Assumptions'!$D$16,IF('Operating Assumptions'!$G15="$/Pet/Month",(EY$36*'Operating Assumptions'!$D$18)*('Operating Assumptions'!$H15*EY$23),IF('Operating Assumptions'!$G15="$/Parking/Month",('Operating Assumptions'!$H15*EY$23)*'Operating Assumptions'!$D$17)))))))</f>
        <v>0</v>
      </c>
      <c r="EZ48" s="427">
        <f>IF(OR(EZ$9&lt;'Operating Assumptions'!$D$53,EZ$6&gt;'Operating Assumptions'!$AA$8,'Operating Assumptions'!$G15="N/A"),0,IF('Operating Assumptions'!$G15="$/Unit/Annual",(('Operating Assumptions'!$H15*EZ$23)*EZ$36)/12,IF('Operating Assumptions'!$G15="$/Unit/Month",('Operating Assumptions'!$H15*EZ$23)*EZ$36,IF('Operating Assumptions'!$G15="Fixed Amount",('Operating Assumptions'!$H15*EZ$23)/12,IF('Operating Assumptions'!$G15="$/Garage/Month",('Operating Assumptions'!$H15*EZ$23)*'Operating Assumptions'!$D$16,IF('Operating Assumptions'!$G15="$/Pet/Month",(EZ$36*'Operating Assumptions'!$D$18)*('Operating Assumptions'!$H15*EZ$23),IF('Operating Assumptions'!$G15="$/Parking/Month",('Operating Assumptions'!$H15*EZ$23)*'Operating Assumptions'!$D$17)))))))</f>
        <v>0</v>
      </c>
      <c r="FA48" s="427">
        <f>IF(OR(FA$9&lt;'Operating Assumptions'!$D$53,FA$6&gt;'Operating Assumptions'!$AA$8,'Operating Assumptions'!$G15="N/A"),0,IF('Operating Assumptions'!$G15="$/Unit/Annual",(('Operating Assumptions'!$H15*FA$23)*FA$36)/12,IF('Operating Assumptions'!$G15="$/Unit/Month",('Operating Assumptions'!$H15*FA$23)*FA$36,IF('Operating Assumptions'!$G15="Fixed Amount",('Operating Assumptions'!$H15*FA$23)/12,IF('Operating Assumptions'!$G15="$/Garage/Month",('Operating Assumptions'!$H15*FA$23)*'Operating Assumptions'!$D$16,IF('Operating Assumptions'!$G15="$/Pet/Month",(FA$36*'Operating Assumptions'!$D$18)*('Operating Assumptions'!$H15*FA$23),IF('Operating Assumptions'!$G15="$/Parking/Month",('Operating Assumptions'!$H15*FA$23)*'Operating Assumptions'!$D$17)))))))</f>
        <v>0</v>
      </c>
      <c r="FB48" s="427">
        <f>IF(OR(FB$9&lt;'Operating Assumptions'!$D$53,FB$6&gt;'Operating Assumptions'!$AA$8,'Operating Assumptions'!$G15="N/A"),0,IF('Operating Assumptions'!$G15="$/Unit/Annual",(('Operating Assumptions'!$H15*FB$23)*FB$36)/12,IF('Operating Assumptions'!$G15="$/Unit/Month",('Operating Assumptions'!$H15*FB$23)*FB$36,IF('Operating Assumptions'!$G15="Fixed Amount",('Operating Assumptions'!$H15*FB$23)/12,IF('Operating Assumptions'!$G15="$/Garage/Month",('Operating Assumptions'!$H15*FB$23)*'Operating Assumptions'!$D$16,IF('Operating Assumptions'!$G15="$/Pet/Month",(FB$36*'Operating Assumptions'!$D$18)*('Operating Assumptions'!$H15*FB$23),IF('Operating Assumptions'!$G15="$/Parking/Month",('Operating Assumptions'!$H15*FB$23)*'Operating Assumptions'!$D$17)))))))</f>
        <v>0</v>
      </c>
      <c r="FC48" s="427">
        <f>IF(OR(FC$9&lt;'Operating Assumptions'!$D$53,FC$6&gt;'Operating Assumptions'!$AA$8,'Operating Assumptions'!$G15="N/A"),0,IF('Operating Assumptions'!$G15="$/Unit/Annual",(('Operating Assumptions'!$H15*FC$23)*FC$36)/12,IF('Operating Assumptions'!$G15="$/Unit/Month",('Operating Assumptions'!$H15*FC$23)*FC$36,IF('Operating Assumptions'!$G15="Fixed Amount",('Operating Assumptions'!$H15*FC$23)/12,IF('Operating Assumptions'!$G15="$/Garage/Month",('Operating Assumptions'!$H15*FC$23)*'Operating Assumptions'!$D$16,IF('Operating Assumptions'!$G15="$/Pet/Month",(FC$36*'Operating Assumptions'!$D$18)*('Operating Assumptions'!$H15*FC$23),IF('Operating Assumptions'!$G15="$/Parking/Month",('Operating Assumptions'!$H15*FC$23)*'Operating Assumptions'!$D$17)))))))</f>
        <v>0</v>
      </c>
      <c r="FD48" s="427">
        <f>IF(OR(FD$9&lt;'Operating Assumptions'!$D$53,FD$6&gt;'Operating Assumptions'!$AA$8,'Operating Assumptions'!$G15="N/A"),0,IF('Operating Assumptions'!$G15="$/Unit/Annual",(('Operating Assumptions'!$H15*FD$23)*FD$36)/12,IF('Operating Assumptions'!$G15="$/Unit/Month",('Operating Assumptions'!$H15*FD$23)*FD$36,IF('Operating Assumptions'!$G15="Fixed Amount",('Operating Assumptions'!$H15*FD$23)/12,IF('Operating Assumptions'!$G15="$/Garage/Month",('Operating Assumptions'!$H15*FD$23)*'Operating Assumptions'!$D$16,IF('Operating Assumptions'!$G15="$/Pet/Month",(FD$36*'Operating Assumptions'!$D$18)*('Operating Assumptions'!$H15*FD$23),IF('Operating Assumptions'!$G15="$/Parking/Month",('Operating Assumptions'!$H15*FD$23)*'Operating Assumptions'!$D$17)))))))</f>
        <v>0</v>
      </c>
      <c r="FE48" s="427">
        <f>IF(OR(FE$9&lt;'Operating Assumptions'!$D$53,FE$6&gt;'Operating Assumptions'!$AA$8,'Operating Assumptions'!$G15="N/A"),0,IF('Operating Assumptions'!$G15="$/Unit/Annual",(('Operating Assumptions'!$H15*FE$23)*FE$36)/12,IF('Operating Assumptions'!$G15="$/Unit/Month",('Operating Assumptions'!$H15*FE$23)*FE$36,IF('Operating Assumptions'!$G15="Fixed Amount",('Operating Assumptions'!$H15*FE$23)/12,IF('Operating Assumptions'!$G15="$/Garage/Month",('Operating Assumptions'!$H15*FE$23)*'Operating Assumptions'!$D$16,IF('Operating Assumptions'!$G15="$/Pet/Month",(FE$36*'Operating Assumptions'!$D$18)*('Operating Assumptions'!$H15*FE$23),IF('Operating Assumptions'!$G15="$/Parking/Month",('Operating Assumptions'!$H15*FE$23)*'Operating Assumptions'!$D$17)))))))</f>
        <v>0</v>
      </c>
      <c r="FF48" s="427">
        <f>IF(OR(FF$9&lt;'Operating Assumptions'!$D$53,FF$6&gt;'Operating Assumptions'!$AA$8,'Operating Assumptions'!$G15="N/A"),0,IF('Operating Assumptions'!$G15="$/Unit/Annual",(('Operating Assumptions'!$H15*FF$23)*FF$36)/12,IF('Operating Assumptions'!$G15="$/Unit/Month",('Operating Assumptions'!$H15*FF$23)*FF$36,IF('Operating Assumptions'!$G15="Fixed Amount",('Operating Assumptions'!$H15*FF$23)/12,IF('Operating Assumptions'!$G15="$/Garage/Month",('Operating Assumptions'!$H15*FF$23)*'Operating Assumptions'!$D$16,IF('Operating Assumptions'!$G15="$/Pet/Month",(FF$36*'Operating Assumptions'!$D$18)*('Operating Assumptions'!$H15*FF$23),IF('Operating Assumptions'!$G15="$/Parking/Month",('Operating Assumptions'!$H15*FF$23)*'Operating Assumptions'!$D$17)))))))</f>
        <v>0</v>
      </c>
      <c r="FG48" s="427">
        <f>IF(OR(FG$9&lt;'Operating Assumptions'!$D$53,FG$6&gt;'Operating Assumptions'!$AA$8,'Operating Assumptions'!$G15="N/A"),0,IF('Operating Assumptions'!$G15="$/Unit/Annual",(('Operating Assumptions'!$H15*FG$23)*FG$36)/12,IF('Operating Assumptions'!$G15="$/Unit/Month",('Operating Assumptions'!$H15*FG$23)*FG$36,IF('Operating Assumptions'!$G15="Fixed Amount",('Operating Assumptions'!$H15*FG$23)/12,IF('Operating Assumptions'!$G15="$/Garage/Month",('Operating Assumptions'!$H15*FG$23)*'Operating Assumptions'!$D$16,IF('Operating Assumptions'!$G15="$/Pet/Month",(FG$36*'Operating Assumptions'!$D$18)*('Operating Assumptions'!$H15*FG$23),IF('Operating Assumptions'!$G15="$/Parking/Month",('Operating Assumptions'!$H15*FG$23)*'Operating Assumptions'!$D$17)))))))</f>
        <v>0</v>
      </c>
      <c r="FH48" s="427">
        <f>IF(OR(FH$9&lt;'Operating Assumptions'!$D$53,FH$6&gt;'Operating Assumptions'!$AA$8,'Operating Assumptions'!$G15="N/A"),0,IF('Operating Assumptions'!$G15="$/Unit/Annual",(('Operating Assumptions'!$H15*FH$23)*FH$36)/12,IF('Operating Assumptions'!$G15="$/Unit/Month",('Operating Assumptions'!$H15*FH$23)*FH$36,IF('Operating Assumptions'!$G15="Fixed Amount",('Operating Assumptions'!$H15*FH$23)/12,IF('Operating Assumptions'!$G15="$/Garage/Month",('Operating Assumptions'!$H15*FH$23)*'Operating Assumptions'!$D$16,IF('Operating Assumptions'!$G15="$/Pet/Month",(FH$36*'Operating Assumptions'!$D$18)*('Operating Assumptions'!$H15*FH$23),IF('Operating Assumptions'!$G15="$/Parking/Month",('Operating Assumptions'!$H15*FH$23)*'Operating Assumptions'!$D$17)))))))</f>
        <v>0</v>
      </c>
      <c r="FI48" s="427">
        <f>IF(OR(FI$9&lt;'Operating Assumptions'!$D$53,FI$6&gt;'Operating Assumptions'!$AA$8,'Operating Assumptions'!$G15="N/A"),0,IF('Operating Assumptions'!$G15="$/Unit/Annual",(('Operating Assumptions'!$H15*FI$23)*FI$36)/12,IF('Operating Assumptions'!$G15="$/Unit/Month",('Operating Assumptions'!$H15*FI$23)*FI$36,IF('Operating Assumptions'!$G15="Fixed Amount",('Operating Assumptions'!$H15*FI$23)/12,IF('Operating Assumptions'!$G15="$/Garage/Month",('Operating Assumptions'!$H15*FI$23)*'Operating Assumptions'!$D$16,IF('Operating Assumptions'!$G15="$/Pet/Month",(FI$36*'Operating Assumptions'!$D$18)*('Operating Assumptions'!$H15*FI$23),IF('Operating Assumptions'!$G15="$/Parking/Month",('Operating Assumptions'!$H15*FI$23)*'Operating Assumptions'!$D$17)))))))</f>
        <v>0</v>
      </c>
      <c r="FJ48" s="427">
        <f>IF(OR(FJ$9&lt;'Operating Assumptions'!$D$53,FJ$6&gt;'Operating Assumptions'!$AA$8,'Operating Assumptions'!$G15="N/A"),0,IF('Operating Assumptions'!$G15="$/Unit/Annual",(('Operating Assumptions'!$H15*FJ$23)*FJ$36)/12,IF('Operating Assumptions'!$G15="$/Unit/Month",('Operating Assumptions'!$H15*FJ$23)*FJ$36,IF('Operating Assumptions'!$G15="Fixed Amount",('Operating Assumptions'!$H15*FJ$23)/12,IF('Operating Assumptions'!$G15="$/Garage/Month",('Operating Assumptions'!$H15*FJ$23)*'Operating Assumptions'!$D$16,IF('Operating Assumptions'!$G15="$/Pet/Month",(FJ$36*'Operating Assumptions'!$D$18)*('Operating Assumptions'!$H15*FJ$23),IF('Operating Assumptions'!$G15="$/Parking/Month",('Operating Assumptions'!$H15*FJ$23)*'Operating Assumptions'!$D$17)))))))</f>
        <v>0</v>
      </c>
      <c r="FK48" s="427">
        <f>IF(OR(FK$9&lt;'Operating Assumptions'!$D$53,FK$6&gt;'Operating Assumptions'!$AA$8,'Operating Assumptions'!$G15="N/A"),0,IF('Operating Assumptions'!$G15="$/Unit/Annual",(('Operating Assumptions'!$H15*FK$23)*FK$36)/12,IF('Operating Assumptions'!$G15="$/Unit/Month",('Operating Assumptions'!$H15*FK$23)*FK$36,IF('Operating Assumptions'!$G15="Fixed Amount",('Operating Assumptions'!$H15*FK$23)/12,IF('Operating Assumptions'!$G15="$/Garage/Month",('Operating Assumptions'!$H15*FK$23)*'Operating Assumptions'!$D$16,IF('Operating Assumptions'!$G15="$/Pet/Month",(FK$36*'Operating Assumptions'!$D$18)*('Operating Assumptions'!$H15*FK$23),IF('Operating Assumptions'!$G15="$/Parking/Month",('Operating Assumptions'!$H15*FK$23)*'Operating Assumptions'!$D$17)))))))</f>
        <v>0</v>
      </c>
      <c r="FL48" s="427">
        <f>IF(OR(FL$9&lt;'Operating Assumptions'!$D$53,FL$6&gt;'Operating Assumptions'!$AA$8,'Operating Assumptions'!$G15="N/A"),0,IF('Operating Assumptions'!$G15="$/Unit/Annual",(('Operating Assumptions'!$H15*FL$23)*FL$36)/12,IF('Operating Assumptions'!$G15="$/Unit/Month",('Operating Assumptions'!$H15*FL$23)*FL$36,IF('Operating Assumptions'!$G15="Fixed Amount",('Operating Assumptions'!$H15*FL$23)/12,IF('Operating Assumptions'!$G15="$/Garage/Month",('Operating Assumptions'!$H15*FL$23)*'Operating Assumptions'!$D$16,IF('Operating Assumptions'!$G15="$/Pet/Month",(FL$36*'Operating Assumptions'!$D$18)*('Operating Assumptions'!$H15*FL$23),IF('Operating Assumptions'!$G15="$/Parking/Month",('Operating Assumptions'!$H15*FL$23)*'Operating Assumptions'!$D$17)))))))</f>
        <v>0</v>
      </c>
      <c r="FM48" s="427">
        <f>IF(OR(FM$9&lt;'Operating Assumptions'!$D$53,FM$6&gt;'Operating Assumptions'!$AA$8,'Operating Assumptions'!$G15="N/A"),0,IF('Operating Assumptions'!$G15="$/Unit/Annual",(('Operating Assumptions'!$H15*FM$23)*FM$36)/12,IF('Operating Assumptions'!$G15="$/Unit/Month",('Operating Assumptions'!$H15*FM$23)*FM$36,IF('Operating Assumptions'!$G15="Fixed Amount",('Operating Assumptions'!$H15*FM$23)/12,IF('Operating Assumptions'!$G15="$/Garage/Month",('Operating Assumptions'!$H15*FM$23)*'Operating Assumptions'!$D$16,IF('Operating Assumptions'!$G15="$/Pet/Month",(FM$36*'Operating Assumptions'!$D$18)*('Operating Assumptions'!$H15*FM$23),IF('Operating Assumptions'!$G15="$/Parking/Month",('Operating Assumptions'!$H15*FM$23)*'Operating Assumptions'!$D$17)))))))</f>
        <v>0</v>
      </c>
      <c r="FN48" s="427">
        <f>IF(OR(FN$9&lt;'Operating Assumptions'!$D$53,FN$6&gt;'Operating Assumptions'!$AA$8,'Operating Assumptions'!$G15="N/A"),0,IF('Operating Assumptions'!$G15="$/Unit/Annual",(('Operating Assumptions'!$H15*FN$23)*FN$36)/12,IF('Operating Assumptions'!$G15="$/Unit/Month",('Operating Assumptions'!$H15*FN$23)*FN$36,IF('Operating Assumptions'!$G15="Fixed Amount",('Operating Assumptions'!$H15*FN$23)/12,IF('Operating Assumptions'!$G15="$/Garage/Month",('Operating Assumptions'!$H15*FN$23)*'Operating Assumptions'!$D$16,IF('Operating Assumptions'!$G15="$/Pet/Month",(FN$36*'Operating Assumptions'!$D$18)*('Operating Assumptions'!$H15*FN$23),IF('Operating Assumptions'!$G15="$/Parking/Month",('Operating Assumptions'!$H15*FN$23)*'Operating Assumptions'!$D$17)))))))</f>
        <v>0</v>
      </c>
      <c r="FO48" s="427">
        <f>IF(OR(FO$9&lt;'Operating Assumptions'!$D$53,FO$6&gt;'Operating Assumptions'!$AA$8,'Operating Assumptions'!$G15="N/A"),0,IF('Operating Assumptions'!$G15="$/Unit/Annual",(('Operating Assumptions'!$H15*FO$23)*FO$36)/12,IF('Operating Assumptions'!$G15="$/Unit/Month",('Operating Assumptions'!$H15*FO$23)*FO$36,IF('Operating Assumptions'!$G15="Fixed Amount",('Operating Assumptions'!$H15*FO$23)/12,IF('Operating Assumptions'!$G15="$/Garage/Month",('Operating Assumptions'!$H15*FO$23)*'Operating Assumptions'!$D$16,IF('Operating Assumptions'!$G15="$/Pet/Month",(FO$36*'Operating Assumptions'!$D$18)*('Operating Assumptions'!$H15*FO$23),IF('Operating Assumptions'!$G15="$/Parking/Month",('Operating Assumptions'!$H15*FO$23)*'Operating Assumptions'!$D$17)))))))</f>
        <v>0</v>
      </c>
      <c r="FP48" s="427">
        <f>IF(OR(FP$9&lt;'Operating Assumptions'!$D$53,FP$6&gt;'Operating Assumptions'!$AA$8,'Operating Assumptions'!$G15="N/A"),0,IF('Operating Assumptions'!$G15="$/Unit/Annual",(('Operating Assumptions'!$H15*FP$23)*FP$36)/12,IF('Operating Assumptions'!$G15="$/Unit/Month",('Operating Assumptions'!$H15*FP$23)*FP$36,IF('Operating Assumptions'!$G15="Fixed Amount",('Operating Assumptions'!$H15*FP$23)/12,IF('Operating Assumptions'!$G15="$/Garage/Month",('Operating Assumptions'!$H15*FP$23)*'Operating Assumptions'!$D$16,IF('Operating Assumptions'!$G15="$/Pet/Month",(FP$36*'Operating Assumptions'!$D$18)*('Operating Assumptions'!$H15*FP$23),IF('Operating Assumptions'!$G15="$/Parking/Month",('Operating Assumptions'!$H15*FP$23)*'Operating Assumptions'!$D$17)))))))</f>
        <v>0</v>
      </c>
      <c r="FQ48" s="427">
        <f>IF(OR(FQ$9&lt;'Operating Assumptions'!$D$53,FQ$6&gt;'Operating Assumptions'!$AA$8,'Operating Assumptions'!$G15="N/A"),0,IF('Operating Assumptions'!$G15="$/Unit/Annual",(('Operating Assumptions'!$H15*FQ$23)*FQ$36)/12,IF('Operating Assumptions'!$G15="$/Unit/Month",('Operating Assumptions'!$H15*FQ$23)*FQ$36,IF('Operating Assumptions'!$G15="Fixed Amount",('Operating Assumptions'!$H15*FQ$23)/12,IF('Operating Assumptions'!$G15="$/Garage/Month",('Operating Assumptions'!$H15*FQ$23)*'Operating Assumptions'!$D$16,IF('Operating Assumptions'!$G15="$/Pet/Month",(FQ$36*'Operating Assumptions'!$D$18)*('Operating Assumptions'!$H15*FQ$23),IF('Operating Assumptions'!$G15="$/Parking/Month",('Operating Assumptions'!$H15*FQ$23)*'Operating Assumptions'!$D$17)))))))</f>
        <v>0</v>
      </c>
      <c r="FR48" s="427">
        <f>IF(OR(FR$9&lt;'Operating Assumptions'!$D$53,FR$6&gt;'Operating Assumptions'!$AA$8,'Operating Assumptions'!$G15="N/A"),0,IF('Operating Assumptions'!$G15="$/Unit/Annual",(('Operating Assumptions'!$H15*FR$23)*FR$36)/12,IF('Operating Assumptions'!$G15="$/Unit/Month",('Operating Assumptions'!$H15*FR$23)*FR$36,IF('Operating Assumptions'!$G15="Fixed Amount",('Operating Assumptions'!$H15*FR$23)/12,IF('Operating Assumptions'!$G15="$/Garage/Month",('Operating Assumptions'!$H15*FR$23)*'Operating Assumptions'!$D$16,IF('Operating Assumptions'!$G15="$/Pet/Month",(FR$36*'Operating Assumptions'!$D$18)*('Operating Assumptions'!$H15*FR$23),IF('Operating Assumptions'!$G15="$/Parking/Month",('Operating Assumptions'!$H15*FR$23)*'Operating Assumptions'!$D$17)))))))</f>
        <v>0</v>
      </c>
      <c r="FS48" s="427">
        <f>IF(OR(FS$9&lt;'Operating Assumptions'!$D$53,FS$6&gt;'Operating Assumptions'!$AA$8,'Operating Assumptions'!$G15="N/A"),0,IF('Operating Assumptions'!$G15="$/Unit/Annual",(('Operating Assumptions'!$H15*FS$23)*FS$36)/12,IF('Operating Assumptions'!$G15="$/Unit/Month",('Operating Assumptions'!$H15*FS$23)*FS$36,IF('Operating Assumptions'!$G15="Fixed Amount",('Operating Assumptions'!$H15*FS$23)/12,IF('Operating Assumptions'!$G15="$/Garage/Month",('Operating Assumptions'!$H15*FS$23)*'Operating Assumptions'!$D$16,IF('Operating Assumptions'!$G15="$/Pet/Month",(FS$36*'Operating Assumptions'!$D$18)*('Operating Assumptions'!$H15*FS$23),IF('Operating Assumptions'!$G15="$/Parking/Month",('Operating Assumptions'!$H15*FS$23)*'Operating Assumptions'!$D$17)))))))</f>
        <v>0</v>
      </c>
      <c r="FT48" s="427">
        <f>IF(OR(FT$9&lt;'Operating Assumptions'!$D$53,FT$6&gt;'Operating Assumptions'!$AA$8,'Operating Assumptions'!$G15="N/A"),0,IF('Operating Assumptions'!$G15="$/Unit/Annual",(('Operating Assumptions'!$H15*FT$23)*FT$36)/12,IF('Operating Assumptions'!$G15="$/Unit/Month",('Operating Assumptions'!$H15*FT$23)*FT$36,IF('Operating Assumptions'!$G15="Fixed Amount",('Operating Assumptions'!$H15*FT$23)/12,IF('Operating Assumptions'!$G15="$/Garage/Month",('Operating Assumptions'!$H15*FT$23)*'Operating Assumptions'!$D$16,IF('Operating Assumptions'!$G15="$/Pet/Month",(FT$36*'Operating Assumptions'!$D$18)*('Operating Assumptions'!$H15*FT$23),IF('Operating Assumptions'!$G15="$/Parking/Month",('Operating Assumptions'!$H15*FT$23)*'Operating Assumptions'!$D$17)))))))</f>
        <v>0</v>
      </c>
      <c r="FU48" s="43"/>
      <c r="FV48" s="34"/>
      <c r="FW48" s="34"/>
      <c r="FX48" s="34"/>
      <c r="FY48" s="34"/>
      <c r="FZ48" s="34"/>
    </row>
    <row r="49" spans="1:182" s="89" customFormat="1" ht="13.5" x14ac:dyDescent="0.25">
      <c r="A49" s="34"/>
      <c r="B49" s="128" t="str">
        <f>'Operating Assumptions'!F16</f>
        <v>Blank</v>
      </c>
      <c r="C49" s="34"/>
      <c r="D49" s="34"/>
      <c r="E49" s="34"/>
      <c r="F49" s="434">
        <f t="shared" si="148"/>
        <v>0</v>
      </c>
      <c r="G49" s="34"/>
      <c r="H49" s="427">
        <f>IF(OR(H$9&lt;'Operating Assumptions'!$D$53,H$6&gt;'Operating Assumptions'!$AA$8,'Operating Assumptions'!$G16="N/A"),0,IF('Operating Assumptions'!$G16="$/Unit/Annual",(('Operating Assumptions'!$H16*H$23)*H$36)/12,IF('Operating Assumptions'!$G16="$/Unit/Month",('Operating Assumptions'!$H16*H$23)*H$36,IF('Operating Assumptions'!$G16="Fixed Amount",('Operating Assumptions'!$H16*H$23)/12,IF('Operating Assumptions'!$G16="$/Garage/Month",('Operating Assumptions'!$H16*H$23)*'Operating Assumptions'!$D$16,IF('Operating Assumptions'!$G16="$/Pet/Month",(H$36*'Operating Assumptions'!$D$18)*('Operating Assumptions'!$H16*H$23),IF('Operating Assumptions'!$G16="$/Parking/Month",('Operating Assumptions'!$H16*H$23)*'Operating Assumptions'!$D$17)))))))</f>
        <v>0</v>
      </c>
      <c r="I49" s="427">
        <f>IF(OR(I$9&lt;'Operating Assumptions'!$D$53,I$6&gt;'Operating Assumptions'!$AA$8,'Operating Assumptions'!$G16="N/A"),0,IF('Operating Assumptions'!$G16="$/Unit/Annual",(('Operating Assumptions'!$H16*I$23)*I$36)/12,IF('Operating Assumptions'!$G16="$/Unit/Month",('Operating Assumptions'!$H16*I$23)*I$36,IF('Operating Assumptions'!$G16="Fixed Amount",('Operating Assumptions'!$H16*I$23)/12,IF('Operating Assumptions'!$G16="$/Garage/Month",('Operating Assumptions'!$H16*I$23)*'Operating Assumptions'!$D$16,IF('Operating Assumptions'!$G16="$/Pet/Month",(I$36*'Operating Assumptions'!$D$18)*('Operating Assumptions'!$H16*I$23),IF('Operating Assumptions'!$G16="$/Parking/Month",('Operating Assumptions'!$H16*I$23)*'Operating Assumptions'!$D$17)))))))</f>
        <v>0</v>
      </c>
      <c r="J49" s="427">
        <f>IF(OR(J$9&lt;'Operating Assumptions'!$D$53,J$6&gt;'Operating Assumptions'!$AA$8,'Operating Assumptions'!$G16="N/A"),0,IF('Operating Assumptions'!$G16="$/Unit/Annual",(('Operating Assumptions'!$H16*J$23)*J$36)/12,IF('Operating Assumptions'!$G16="$/Unit/Month",('Operating Assumptions'!$H16*J$23)*J$36,IF('Operating Assumptions'!$G16="Fixed Amount",('Operating Assumptions'!$H16*J$23)/12,IF('Operating Assumptions'!$G16="$/Garage/Month",('Operating Assumptions'!$H16*J$23)*'Operating Assumptions'!$D$16,IF('Operating Assumptions'!$G16="$/Pet/Month",(J$36*'Operating Assumptions'!$D$18)*('Operating Assumptions'!$H16*J$23),IF('Operating Assumptions'!$G16="$/Parking/Month",('Operating Assumptions'!$H16*J$23)*'Operating Assumptions'!$D$17)))))))</f>
        <v>0</v>
      </c>
      <c r="K49" s="427">
        <f>IF(OR(K$9&lt;'Operating Assumptions'!$D$53,K$6&gt;'Operating Assumptions'!$AA$8,'Operating Assumptions'!$G16="N/A"),0,IF('Operating Assumptions'!$G16="$/Unit/Annual",(('Operating Assumptions'!$H16*K$23)*K$36)/12,IF('Operating Assumptions'!$G16="$/Unit/Month",('Operating Assumptions'!$H16*K$23)*K$36,IF('Operating Assumptions'!$G16="Fixed Amount",('Operating Assumptions'!$H16*K$23)/12,IF('Operating Assumptions'!$G16="$/Garage/Month",('Operating Assumptions'!$H16*K$23)*'Operating Assumptions'!$D$16,IF('Operating Assumptions'!$G16="$/Pet/Month",(K$36*'Operating Assumptions'!$D$18)*('Operating Assumptions'!$H16*K$23),IF('Operating Assumptions'!$G16="$/Parking/Month",('Operating Assumptions'!$H16*K$23)*'Operating Assumptions'!$D$17)))))))</f>
        <v>0</v>
      </c>
      <c r="L49" s="427">
        <f>IF(OR(L$9&lt;'Operating Assumptions'!$D$53,L$6&gt;'Operating Assumptions'!$AA$8,'Operating Assumptions'!$G16="N/A"),0,IF('Operating Assumptions'!$G16="$/Unit/Annual",(('Operating Assumptions'!$H16*L$23)*L$36)/12,IF('Operating Assumptions'!$G16="$/Unit/Month",('Operating Assumptions'!$H16*L$23)*L$36,IF('Operating Assumptions'!$G16="Fixed Amount",('Operating Assumptions'!$H16*L$23)/12,IF('Operating Assumptions'!$G16="$/Garage/Month",('Operating Assumptions'!$H16*L$23)*'Operating Assumptions'!$D$16,IF('Operating Assumptions'!$G16="$/Pet/Month",(L$36*'Operating Assumptions'!$D$18)*('Operating Assumptions'!$H16*L$23),IF('Operating Assumptions'!$G16="$/Parking/Month",('Operating Assumptions'!$H16*L$23)*'Operating Assumptions'!$D$17)))))))</f>
        <v>0</v>
      </c>
      <c r="M49" s="427">
        <f>IF(OR(M$9&lt;'Operating Assumptions'!$D$53,M$6&gt;'Operating Assumptions'!$AA$8,'Operating Assumptions'!$G16="N/A"),0,IF('Operating Assumptions'!$G16="$/Unit/Annual",(('Operating Assumptions'!$H16*M$23)*M$36)/12,IF('Operating Assumptions'!$G16="$/Unit/Month",('Operating Assumptions'!$H16*M$23)*M$36,IF('Operating Assumptions'!$G16="Fixed Amount",('Operating Assumptions'!$H16*M$23)/12,IF('Operating Assumptions'!$G16="$/Garage/Month",('Operating Assumptions'!$H16*M$23)*'Operating Assumptions'!$D$16,IF('Operating Assumptions'!$G16="$/Pet/Month",(M$36*'Operating Assumptions'!$D$18)*('Operating Assumptions'!$H16*M$23),IF('Operating Assumptions'!$G16="$/Parking/Month",('Operating Assumptions'!$H16*M$23)*'Operating Assumptions'!$D$17)))))))</f>
        <v>0</v>
      </c>
      <c r="N49" s="427">
        <f>IF(OR(N$9&lt;'Operating Assumptions'!$D$53,N$6&gt;'Operating Assumptions'!$AA$8,'Operating Assumptions'!$G16="N/A"),0,IF('Operating Assumptions'!$G16="$/Unit/Annual",(('Operating Assumptions'!$H16*N$23)*N$36)/12,IF('Operating Assumptions'!$G16="$/Unit/Month",('Operating Assumptions'!$H16*N$23)*N$36,IF('Operating Assumptions'!$G16="Fixed Amount",('Operating Assumptions'!$H16*N$23)/12,IF('Operating Assumptions'!$G16="$/Garage/Month",('Operating Assumptions'!$H16*N$23)*'Operating Assumptions'!$D$16,IF('Operating Assumptions'!$G16="$/Pet/Month",(N$36*'Operating Assumptions'!$D$18)*('Operating Assumptions'!$H16*N$23),IF('Operating Assumptions'!$G16="$/Parking/Month",('Operating Assumptions'!$H16*N$23)*'Operating Assumptions'!$D$17)))))))</f>
        <v>0</v>
      </c>
      <c r="O49" s="427">
        <f>IF(OR(O$9&lt;'Operating Assumptions'!$D$53,O$6&gt;'Operating Assumptions'!$AA$8,'Operating Assumptions'!$G16="N/A"),0,IF('Operating Assumptions'!$G16="$/Unit/Annual",(('Operating Assumptions'!$H16*O$23)*O$36)/12,IF('Operating Assumptions'!$G16="$/Unit/Month",('Operating Assumptions'!$H16*O$23)*O$36,IF('Operating Assumptions'!$G16="Fixed Amount",('Operating Assumptions'!$H16*O$23)/12,IF('Operating Assumptions'!$G16="$/Garage/Month",('Operating Assumptions'!$H16*O$23)*'Operating Assumptions'!$D$16,IF('Operating Assumptions'!$G16="$/Pet/Month",(O$36*'Operating Assumptions'!$D$18)*('Operating Assumptions'!$H16*O$23),IF('Operating Assumptions'!$G16="$/Parking/Month",('Operating Assumptions'!$H16*O$23)*'Operating Assumptions'!$D$17)))))))</f>
        <v>0</v>
      </c>
      <c r="P49" s="427">
        <f>IF(OR(P$9&lt;'Operating Assumptions'!$D$53,P$6&gt;'Operating Assumptions'!$AA$8,'Operating Assumptions'!$G16="N/A"),0,IF('Operating Assumptions'!$G16="$/Unit/Annual",(('Operating Assumptions'!$H16*P$23)*P$36)/12,IF('Operating Assumptions'!$G16="$/Unit/Month",('Operating Assumptions'!$H16*P$23)*P$36,IF('Operating Assumptions'!$G16="Fixed Amount",('Operating Assumptions'!$H16*P$23)/12,IF('Operating Assumptions'!$G16="$/Garage/Month",('Operating Assumptions'!$H16*P$23)*'Operating Assumptions'!$D$16,IF('Operating Assumptions'!$G16="$/Pet/Month",(P$36*'Operating Assumptions'!$D$18)*('Operating Assumptions'!$H16*P$23),IF('Operating Assumptions'!$G16="$/Parking/Month",('Operating Assumptions'!$H16*P$23)*'Operating Assumptions'!$D$17)))))))</f>
        <v>0</v>
      </c>
      <c r="Q49" s="427">
        <f>IF(OR(Q$9&lt;'Operating Assumptions'!$D$53,Q$6&gt;'Operating Assumptions'!$AA$8,'Operating Assumptions'!$G16="N/A"),0,IF('Operating Assumptions'!$G16="$/Unit/Annual",(('Operating Assumptions'!$H16*Q$23)*Q$36)/12,IF('Operating Assumptions'!$G16="$/Unit/Month",('Operating Assumptions'!$H16*Q$23)*Q$36,IF('Operating Assumptions'!$G16="Fixed Amount",('Operating Assumptions'!$H16*Q$23)/12,IF('Operating Assumptions'!$G16="$/Garage/Month",('Operating Assumptions'!$H16*Q$23)*'Operating Assumptions'!$D$16,IF('Operating Assumptions'!$G16="$/Pet/Month",(Q$36*'Operating Assumptions'!$D$18)*('Operating Assumptions'!$H16*Q$23),IF('Operating Assumptions'!$G16="$/Parking/Month",('Operating Assumptions'!$H16*Q$23)*'Operating Assumptions'!$D$17)))))))</f>
        <v>0</v>
      </c>
      <c r="R49" s="427">
        <f>IF(OR(R$9&lt;'Operating Assumptions'!$D$53,R$6&gt;'Operating Assumptions'!$AA$8,'Operating Assumptions'!$G16="N/A"),0,IF('Operating Assumptions'!$G16="$/Unit/Annual",(('Operating Assumptions'!$H16*R$23)*R$36)/12,IF('Operating Assumptions'!$G16="$/Unit/Month",('Operating Assumptions'!$H16*R$23)*R$36,IF('Operating Assumptions'!$G16="Fixed Amount",('Operating Assumptions'!$H16*R$23)/12,IF('Operating Assumptions'!$G16="$/Garage/Month",('Operating Assumptions'!$H16*R$23)*'Operating Assumptions'!$D$16,IF('Operating Assumptions'!$G16="$/Pet/Month",(R$36*'Operating Assumptions'!$D$18)*('Operating Assumptions'!$H16*R$23),IF('Operating Assumptions'!$G16="$/Parking/Month",('Operating Assumptions'!$H16*R$23)*'Operating Assumptions'!$D$17)))))))</f>
        <v>0</v>
      </c>
      <c r="S49" s="427">
        <f>IF(OR(S$9&lt;'Operating Assumptions'!$D$53,S$6&gt;'Operating Assumptions'!$AA$8,'Operating Assumptions'!$G16="N/A"),0,IF('Operating Assumptions'!$G16="$/Unit/Annual",(('Operating Assumptions'!$H16*S$23)*S$36)/12,IF('Operating Assumptions'!$G16="$/Unit/Month",('Operating Assumptions'!$H16*S$23)*S$36,IF('Operating Assumptions'!$G16="Fixed Amount",('Operating Assumptions'!$H16*S$23)/12,IF('Operating Assumptions'!$G16="$/Garage/Month",('Operating Assumptions'!$H16*S$23)*'Operating Assumptions'!$D$16,IF('Operating Assumptions'!$G16="$/Pet/Month",(S$36*'Operating Assumptions'!$D$18)*('Operating Assumptions'!$H16*S$23),IF('Operating Assumptions'!$G16="$/Parking/Month",('Operating Assumptions'!$H16*S$23)*'Operating Assumptions'!$D$17)))))))</f>
        <v>0</v>
      </c>
      <c r="T49" s="427">
        <f>IF(OR(T$9&lt;'Operating Assumptions'!$D$53,T$6&gt;'Operating Assumptions'!$AA$8,'Operating Assumptions'!$G16="N/A"),0,IF('Operating Assumptions'!$G16="$/Unit/Annual",(('Operating Assumptions'!$H16*T$23)*T$36)/12,IF('Operating Assumptions'!$G16="$/Unit/Month",('Operating Assumptions'!$H16*T$23)*T$36,IF('Operating Assumptions'!$G16="Fixed Amount",('Operating Assumptions'!$H16*T$23)/12,IF('Operating Assumptions'!$G16="$/Garage/Month",('Operating Assumptions'!$H16*T$23)*'Operating Assumptions'!$D$16,IF('Operating Assumptions'!$G16="$/Pet/Month",(T$36*'Operating Assumptions'!$D$18)*('Operating Assumptions'!$H16*T$23),IF('Operating Assumptions'!$G16="$/Parking/Month",('Operating Assumptions'!$H16*T$23)*'Operating Assumptions'!$D$17)))))))</f>
        <v>0</v>
      </c>
      <c r="U49" s="427">
        <f>IF(OR(U$9&lt;'Operating Assumptions'!$D$53,U$6&gt;'Operating Assumptions'!$AA$8,'Operating Assumptions'!$G16="N/A"),0,IF('Operating Assumptions'!$G16="$/Unit/Annual",(('Operating Assumptions'!$H16*U$23)*U$36)/12,IF('Operating Assumptions'!$G16="$/Unit/Month",('Operating Assumptions'!$H16*U$23)*U$36,IF('Operating Assumptions'!$G16="Fixed Amount",('Operating Assumptions'!$H16*U$23)/12,IF('Operating Assumptions'!$G16="$/Garage/Month",('Operating Assumptions'!$H16*U$23)*'Operating Assumptions'!$D$16,IF('Operating Assumptions'!$G16="$/Pet/Month",(U$36*'Operating Assumptions'!$D$18)*('Operating Assumptions'!$H16*U$23),IF('Operating Assumptions'!$G16="$/Parking/Month",('Operating Assumptions'!$H16*U$23)*'Operating Assumptions'!$D$17)))))))</f>
        <v>0</v>
      </c>
      <c r="V49" s="427">
        <f>IF(OR(V$9&lt;'Operating Assumptions'!$D$53,V$6&gt;'Operating Assumptions'!$AA$8,'Operating Assumptions'!$G16="N/A"),0,IF('Operating Assumptions'!$G16="$/Unit/Annual",(('Operating Assumptions'!$H16*V$23)*V$36)/12,IF('Operating Assumptions'!$G16="$/Unit/Month",('Operating Assumptions'!$H16*V$23)*V$36,IF('Operating Assumptions'!$G16="Fixed Amount",('Operating Assumptions'!$H16*V$23)/12,IF('Operating Assumptions'!$G16="$/Garage/Month",('Operating Assumptions'!$H16*V$23)*'Operating Assumptions'!$D$16,IF('Operating Assumptions'!$G16="$/Pet/Month",(V$36*'Operating Assumptions'!$D$18)*('Operating Assumptions'!$H16*V$23),IF('Operating Assumptions'!$G16="$/Parking/Month",('Operating Assumptions'!$H16*V$23)*'Operating Assumptions'!$D$17)))))))</f>
        <v>0</v>
      </c>
      <c r="W49" s="427">
        <f>IF(OR(W$9&lt;'Operating Assumptions'!$D$53,W$6&gt;'Operating Assumptions'!$AA$8,'Operating Assumptions'!$G16="N/A"),0,IF('Operating Assumptions'!$G16="$/Unit/Annual",(('Operating Assumptions'!$H16*W$23)*W$36)/12,IF('Operating Assumptions'!$G16="$/Unit/Month",('Operating Assumptions'!$H16*W$23)*W$36,IF('Operating Assumptions'!$G16="Fixed Amount",('Operating Assumptions'!$H16*W$23)/12,IF('Operating Assumptions'!$G16="$/Garage/Month",('Operating Assumptions'!$H16*W$23)*'Operating Assumptions'!$D$16,IF('Operating Assumptions'!$G16="$/Pet/Month",(W$36*'Operating Assumptions'!$D$18)*('Operating Assumptions'!$H16*W$23),IF('Operating Assumptions'!$G16="$/Parking/Month",('Operating Assumptions'!$H16*W$23)*'Operating Assumptions'!$D$17)))))))</f>
        <v>0</v>
      </c>
      <c r="X49" s="427">
        <f>IF(OR(X$9&lt;'Operating Assumptions'!$D$53,X$6&gt;'Operating Assumptions'!$AA$8,'Operating Assumptions'!$G16="N/A"),0,IF('Operating Assumptions'!$G16="$/Unit/Annual",(('Operating Assumptions'!$H16*X$23)*X$36)/12,IF('Operating Assumptions'!$G16="$/Unit/Month",('Operating Assumptions'!$H16*X$23)*X$36,IF('Operating Assumptions'!$G16="Fixed Amount",('Operating Assumptions'!$H16*X$23)/12,IF('Operating Assumptions'!$G16="$/Garage/Month",('Operating Assumptions'!$H16*X$23)*'Operating Assumptions'!$D$16,IF('Operating Assumptions'!$G16="$/Pet/Month",(X$36*'Operating Assumptions'!$D$18)*('Operating Assumptions'!$H16*X$23),IF('Operating Assumptions'!$G16="$/Parking/Month",('Operating Assumptions'!$H16*X$23)*'Operating Assumptions'!$D$17)))))))</f>
        <v>0</v>
      </c>
      <c r="Y49" s="427">
        <f>IF(OR(Y$9&lt;'Operating Assumptions'!$D$53,Y$6&gt;'Operating Assumptions'!$AA$8,'Operating Assumptions'!$G16="N/A"),0,IF('Operating Assumptions'!$G16="$/Unit/Annual",(('Operating Assumptions'!$H16*Y$23)*Y$36)/12,IF('Operating Assumptions'!$G16="$/Unit/Month",('Operating Assumptions'!$H16*Y$23)*Y$36,IF('Operating Assumptions'!$G16="Fixed Amount",('Operating Assumptions'!$H16*Y$23)/12,IF('Operating Assumptions'!$G16="$/Garage/Month",('Operating Assumptions'!$H16*Y$23)*'Operating Assumptions'!$D$16,IF('Operating Assumptions'!$G16="$/Pet/Month",(Y$36*'Operating Assumptions'!$D$18)*('Operating Assumptions'!$H16*Y$23),IF('Operating Assumptions'!$G16="$/Parking/Month",('Operating Assumptions'!$H16*Y$23)*'Operating Assumptions'!$D$17)))))))</f>
        <v>0</v>
      </c>
      <c r="Z49" s="427">
        <f>IF(OR(Z$9&lt;'Operating Assumptions'!$D$53,Z$6&gt;'Operating Assumptions'!$AA$8,'Operating Assumptions'!$G16="N/A"),0,IF('Operating Assumptions'!$G16="$/Unit/Annual",(('Operating Assumptions'!$H16*Z$23)*Z$36)/12,IF('Operating Assumptions'!$G16="$/Unit/Month",('Operating Assumptions'!$H16*Z$23)*Z$36,IF('Operating Assumptions'!$G16="Fixed Amount",('Operating Assumptions'!$H16*Z$23)/12,IF('Operating Assumptions'!$G16="$/Garage/Month",('Operating Assumptions'!$H16*Z$23)*'Operating Assumptions'!$D$16,IF('Operating Assumptions'!$G16="$/Pet/Month",(Z$36*'Operating Assumptions'!$D$18)*('Operating Assumptions'!$H16*Z$23),IF('Operating Assumptions'!$G16="$/Parking/Month",('Operating Assumptions'!$H16*Z$23)*'Operating Assumptions'!$D$17)))))))</f>
        <v>0</v>
      </c>
      <c r="AA49" s="427">
        <f>IF(OR(AA$9&lt;'Operating Assumptions'!$D$53,AA$6&gt;'Operating Assumptions'!$AA$8,'Operating Assumptions'!$G16="N/A"),0,IF('Operating Assumptions'!$G16="$/Unit/Annual",(('Operating Assumptions'!$H16*AA$23)*AA$36)/12,IF('Operating Assumptions'!$G16="$/Unit/Month",('Operating Assumptions'!$H16*AA$23)*AA$36,IF('Operating Assumptions'!$G16="Fixed Amount",('Operating Assumptions'!$H16*AA$23)/12,IF('Operating Assumptions'!$G16="$/Garage/Month",('Operating Assumptions'!$H16*AA$23)*'Operating Assumptions'!$D$16,IF('Operating Assumptions'!$G16="$/Pet/Month",(AA$36*'Operating Assumptions'!$D$18)*('Operating Assumptions'!$H16*AA$23),IF('Operating Assumptions'!$G16="$/Parking/Month",('Operating Assumptions'!$H16*AA$23)*'Operating Assumptions'!$D$17)))))))</f>
        <v>0</v>
      </c>
      <c r="AB49" s="427">
        <f>IF(OR(AB$9&lt;'Operating Assumptions'!$D$53,AB$6&gt;'Operating Assumptions'!$AA$8,'Operating Assumptions'!$G16="N/A"),0,IF('Operating Assumptions'!$G16="$/Unit/Annual",(('Operating Assumptions'!$H16*AB$23)*AB$36)/12,IF('Operating Assumptions'!$G16="$/Unit/Month",('Operating Assumptions'!$H16*AB$23)*AB$36,IF('Operating Assumptions'!$G16="Fixed Amount",('Operating Assumptions'!$H16*AB$23)/12,IF('Operating Assumptions'!$G16="$/Garage/Month",('Operating Assumptions'!$H16*AB$23)*'Operating Assumptions'!$D$16,IF('Operating Assumptions'!$G16="$/Pet/Month",(AB$36*'Operating Assumptions'!$D$18)*('Operating Assumptions'!$H16*AB$23),IF('Operating Assumptions'!$G16="$/Parking/Month",('Operating Assumptions'!$H16*AB$23)*'Operating Assumptions'!$D$17)))))))</f>
        <v>0</v>
      </c>
      <c r="AC49" s="427">
        <f>IF(OR(AC$9&lt;'Operating Assumptions'!$D$53,AC$6&gt;'Operating Assumptions'!$AA$8,'Operating Assumptions'!$G16="N/A"),0,IF('Operating Assumptions'!$G16="$/Unit/Annual",(('Operating Assumptions'!$H16*AC$23)*AC$36)/12,IF('Operating Assumptions'!$G16="$/Unit/Month",('Operating Assumptions'!$H16*AC$23)*AC$36,IF('Operating Assumptions'!$G16="Fixed Amount",('Operating Assumptions'!$H16*AC$23)/12,IF('Operating Assumptions'!$G16="$/Garage/Month",('Operating Assumptions'!$H16*AC$23)*'Operating Assumptions'!$D$16,IF('Operating Assumptions'!$G16="$/Pet/Month",(AC$36*'Operating Assumptions'!$D$18)*('Operating Assumptions'!$H16*AC$23),IF('Operating Assumptions'!$G16="$/Parking/Month",('Operating Assumptions'!$H16*AC$23)*'Operating Assumptions'!$D$17)))))))</f>
        <v>0</v>
      </c>
      <c r="AD49" s="427">
        <f>IF(OR(AD$9&lt;'Operating Assumptions'!$D$53,AD$6&gt;'Operating Assumptions'!$AA$8,'Operating Assumptions'!$G16="N/A"),0,IF('Operating Assumptions'!$G16="$/Unit/Annual",(('Operating Assumptions'!$H16*AD$23)*AD$36)/12,IF('Operating Assumptions'!$G16="$/Unit/Month",('Operating Assumptions'!$H16*AD$23)*AD$36,IF('Operating Assumptions'!$G16="Fixed Amount",('Operating Assumptions'!$H16*AD$23)/12,IF('Operating Assumptions'!$G16="$/Garage/Month",('Operating Assumptions'!$H16*AD$23)*'Operating Assumptions'!$D$16,IF('Operating Assumptions'!$G16="$/Pet/Month",(AD$36*'Operating Assumptions'!$D$18)*('Operating Assumptions'!$H16*AD$23),IF('Operating Assumptions'!$G16="$/Parking/Month",('Operating Assumptions'!$H16*AD$23)*'Operating Assumptions'!$D$17)))))))</f>
        <v>0</v>
      </c>
      <c r="AE49" s="427">
        <f>IF(OR(AE$9&lt;'Operating Assumptions'!$D$53,AE$6&gt;'Operating Assumptions'!$AA$8,'Operating Assumptions'!$G16="N/A"),0,IF('Operating Assumptions'!$G16="$/Unit/Annual",(('Operating Assumptions'!$H16*AE$23)*AE$36)/12,IF('Operating Assumptions'!$G16="$/Unit/Month",('Operating Assumptions'!$H16*AE$23)*AE$36,IF('Operating Assumptions'!$G16="Fixed Amount",('Operating Assumptions'!$H16*AE$23)/12,IF('Operating Assumptions'!$G16="$/Garage/Month",('Operating Assumptions'!$H16*AE$23)*'Operating Assumptions'!$D$16,IF('Operating Assumptions'!$G16="$/Pet/Month",(AE$36*'Operating Assumptions'!$D$18)*('Operating Assumptions'!$H16*AE$23),IF('Operating Assumptions'!$G16="$/Parking/Month",('Operating Assumptions'!$H16*AE$23)*'Operating Assumptions'!$D$17)))))))</f>
        <v>0</v>
      </c>
      <c r="AF49" s="427">
        <f>IF(OR(AF$9&lt;'Operating Assumptions'!$D$53,AF$6&gt;'Operating Assumptions'!$AA$8,'Operating Assumptions'!$G16="N/A"),0,IF('Operating Assumptions'!$G16="$/Unit/Annual",(('Operating Assumptions'!$H16*AF$23)*AF$36)/12,IF('Operating Assumptions'!$G16="$/Unit/Month",('Operating Assumptions'!$H16*AF$23)*AF$36,IF('Operating Assumptions'!$G16="Fixed Amount",('Operating Assumptions'!$H16*AF$23)/12,IF('Operating Assumptions'!$G16="$/Garage/Month",('Operating Assumptions'!$H16*AF$23)*'Operating Assumptions'!$D$16,IF('Operating Assumptions'!$G16="$/Pet/Month",(AF$36*'Operating Assumptions'!$D$18)*('Operating Assumptions'!$H16*AF$23),IF('Operating Assumptions'!$G16="$/Parking/Month",('Operating Assumptions'!$H16*AF$23)*'Operating Assumptions'!$D$17)))))))</f>
        <v>0</v>
      </c>
      <c r="AG49" s="427">
        <f>IF(OR(AG$9&lt;'Operating Assumptions'!$D$53,AG$6&gt;'Operating Assumptions'!$AA$8,'Operating Assumptions'!$G16="N/A"),0,IF('Operating Assumptions'!$G16="$/Unit/Annual",(('Operating Assumptions'!$H16*AG$23)*AG$36)/12,IF('Operating Assumptions'!$G16="$/Unit/Month",('Operating Assumptions'!$H16*AG$23)*AG$36,IF('Operating Assumptions'!$G16="Fixed Amount",('Operating Assumptions'!$H16*AG$23)/12,IF('Operating Assumptions'!$G16="$/Garage/Month",('Operating Assumptions'!$H16*AG$23)*'Operating Assumptions'!$D$16,IF('Operating Assumptions'!$G16="$/Pet/Month",(AG$36*'Operating Assumptions'!$D$18)*('Operating Assumptions'!$H16*AG$23),IF('Operating Assumptions'!$G16="$/Parking/Month",('Operating Assumptions'!$H16*AG$23)*'Operating Assumptions'!$D$17)))))))</f>
        <v>0</v>
      </c>
      <c r="AH49" s="427">
        <f>IF(OR(AH$9&lt;'Operating Assumptions'!$D$53,AH$6&gt;'Operating Assumptions'!$AA$8,'Operating Assumptions'!$G16="N/A"),0,IF('Operating Assumptions'!$G16="$/Unit/Annual",(('Operating Assumptions'!$H16*AH$23)*AH$36)/12,IF('Operating Assumptions'!$G16="$/Unit/Month",('Operating Assumptions'!$H16*AH$23)*AH$36,IF('Operating Assumptions'!$G16="Fixed Amount",('Operating Assumptions'!$H16*AH$23)/12,IF('Operating Assumptions'!$G16="$/Garage/Month",('Operating Assumptions'!$H16*AH$23)*'Operating Assumptions'!$D$16,IF('Operating Assumptions'!$G16="$/Pet/Month",(AH$36*'Operating Assumptions'!$D$18)*('Operating Assumptions'!$H16*AH$23),IF('Operating Assumptions'!$G16="$/Parking/Month",('Operating Assumptions'!$H16*AH$23)*'Operating Assumptions'!$D$17)))))))</f>
        <v>0</v>
      </c>
      <c r="AI49" s="427">
        <f>IF(OR(AI$9&lt;'Operating Assumptions'!$D$53,AI$6&gt;'Operating Assumptions'!$AA$8,'Operating Assumptions'!$G16="N/A"),0,IF('Operating Assumptions'!$G16="$/Unit/Annual",(('Operating Assumptions'!$H16*AI$23)*AI$36)/12,IF('Operating Assumptions'!$G16="$/Unit/Month",('Operating Assumptions'!$H16*AI$23)*AI$36,IF('Operating Assumptions'!$G16="Fixed Amount",('Operating Assumptions'!$H16*AI$23)/12,IF('Operating Assumptions'!$G16="$/Garage/Month",('Operating Assumptions'!$H16*AI$23)*'Operating Assumptions'!$D$16,IF('Operating Assumptions'!$G16="$/Pet/Month",(AI$36*'Operating Assumptions'!$D$18)*('Operating Assumptions'!$H16*AI$23),IF('Operating Assumptions'!$G16="$/Parking/Month",('Operating Assumptions'!$H16*AI$23)*'Operating Assumptions'!$D$17)))))))</f>
        <v>0</v>
      </c>
      <c r="AJ49" s="427">
        <f>IF(OR(AJ$9&lt;'Operating Assumptions'!$D$53,AJ$6&gt;'Operating Assumptions'!$AA$8,'Operating Assumptions'!$G16="N/A"),0,IF('Operating Assumptions'!$G16="$/Unit/Annual",(('Operating Assumptions'!$H16*AJ$23)*AJ$36)/12,IF('Operating Assumptions'!$G16="$/Unit/Month",('Operating Assumptions'!$H16*AJ$23)*AJ$36,IF('Operating Assumptions'!$G16="Fixed Amount",('Operating Assumptions'!$H16*AJ$23)/12,IF('Operating Assumptions'!$G16="$/Garage/Month",('Operating Assumptions'!$H16*AJ$23)*'Operating Assumptions'!$D$16,IF('Operating Assumptions'!$G16="$/Pet/Month",(AJ$36*'Operating Assumptions'!$D$18)*('Operating Assumptions'!$H16*AJ$23),IF('Operating Assumptions'!$G16="$/Parking/Month",('Operating Assumptions'!$H16*AJ$23)*'Operating Assumptions'!$D$17)))))))</f>
        <v>0</v>
      </c>
      <c r="AK49" s="427">
        <f>IF(OR(AK$9&lt;'Operating Assumptions'!$D$53,AK$6&gt;'Operating Assumptions'!$AA$8,'Operating Assumptions'!$G16="N/A"),0,IF('Operating Assumptions'!$G16="$/Unit/Annual",(('Operating Assumptions'!$H16*AK$23)*AK$36)/12,IF('Operating Assumptions'!$G16="$/Unit/Month",('Operating Assumptions'!$H16*AK$23)*AK$36,IF('Operating Assumptions'!$G16="Fixed Amount",('Operating Assumptions'!$H16*AK$23)/12,IF('Operating Assumptions'!$G16="$/Garage/Month",('Operating Assumptions'!$H16*AK$23)*'Operating Assumptions'!$D$16,IF('Operating Assumptions'!$G16="$/Pet/Month",(AK$36*'Operating Assumptions'!$D$18)*('Operating Assumptions'!$H16*AK$23),IF('Operating Assumptions'!$G16="$/Parking/Month",('Operating Assumptions'!$H16*AK$23)*'Operating Assumptions'!$D$17)))))))</f>
        <v>0</v>
      </c>
      <c r="AL49" s="427">
        <f>IF(OR(AL$9&lt;'Operating Assumptions'!$D$53,AL$6&gt;'Operating Assumptions'!$AA$8,'Operating Assumptions'!$G16="N/A"),0,IF('Operating Assumptions'!$G16="$/Unit/Annual",(('Operating Assumptions'!$H16*AL$23)*AL$36)/12,IF('Operating Assumptions'!$G16="$/Unit/Month",('Operating Assumptions'!$H16*AL$23)*AL$36,IF('Operating Assumptions'!$G16="Fixed Amount",('Operating Assumptions'!$H16*AL$23)/12,IF('Operating Assumptions'!$G16="$/Garage/Month",('Operating Assumptions'!$H16*AL$23)*'Operating Assumptions'!$D$16,IF('Operating Assumptions'!$G16="$/Pet/Month",(AL$36*'Operating Assumptions'!$D$18)*('Operating Assumptions'!$H16*AL$23),IF('Operating Assumptions'!$G16="$/Parking/Month",('Operating Assumptions'!$H16*AL$23)*'Operating Assumptions'!$D$17)))))))</f>
        <v>0</v>
      </c>
      <c r="AM49" s="427">
        <f>IF(OR(AM$9&lt;'Operating Assumptions'!$D$53,AM$6&gt;'Operating Assumptions'!$AA$8,'Operating Assumptions'!$G16="N/A"),0,IF('Operating Assumptions'!$G16="$/Unit/Annual",(('Operating Assumptions'!$H16*AM$23)*AM$36)/12,IF('Operating Assumptions'!$G16="$/Unit/Month",('Operating Assumptions'!$H16*AM$23)*AM$36,IF('Operating Assumptions'!$G16="Fixed Amount",('Operating Assumptions'!$H16*AM$23)/12,IF('Operating Assumptions'!$G16="$/Garage/Month",('Operating Assumptions'!$H16*AM$23)*'Operating Assumptions'!$D$16,IF('Operating Assumptions'!$G16="$/Pet/Month",(AM$36*'Operating Assumptions'!$D$18)*('Operating Assumptions'!$H16*AM$23),IF('Operating Assumptions'!$G16="$/Parking/Month",('Operating Assumptions'!$H16*AM$23)*'Operating Assumptions'!$D$17)))))))</f>
        <v>0</v>
      </c>
      <c r="AN49" s="427">
        <f>IF(OR(AN$9&lt;'Operating Assumptions'!$D$53,AN$6&gt;'Operating Assumptions'!$AA$8,'Operating Assumptions'!$G16="N/A"),0,IF('Operating Assumptions'!$G16="$/Unit/Annual",(('Operating Assumptions'!$H16*AN$23)*AN$36)/12,IF('Operating Assumptions'!$G16="$/Unit/Month",('Operating Assumptions'!$H16*AN$23)*AN$36,IF('Operating Assumptions'!$G16="Fixed Amount",('Operating Assumptions'!$H16*AN$23)/12,IF('Operating Assumptions'!$G16="$/Garage/Month",('Operating Assumptions'!$H16*AN$23)*'Operating Assumptions'!$D$16,IF('Operating Assumptions'!$G16="$/Pet/Month",(AN$36*'Operating Assumptions'!$D$18)*('Operating Assumptions'!$H16*AN$23),IF('Operating Assumptions'!$G16="$/Parking/Month",('Operating Assumptions'!$H16*AN$23)*'Operating Assumptions'!$D$17)))))))</f>
        <v>0</v>
      </c>
      <c r="AO49" s="427">
        <f>IF(OR(AO$9&lt;'Operating Assumptions'!$D$53,AO$6&gt;'Operating Assumptions'!$AA$8,'Operating Assumptions'!$G16="N/A"),0,IF('Operating Assumptions'!$G16="$/Unit/Annual",(('Operating Assumptions'!$H16*AO$23)*AO$36)/12,IF('Operating Assumptions'!$G16="$/Unit/Month",('Operating Assumptions'!$H16*AO$23)*AO$36,IF('Operating Assumptions'!$G16="Fixed Amount",('Operating Assumptions'!$H16*AO$23)/12,IF('Operating Assumptions'!$G16="$/Garage/Month",('Operating Assumptions'!$H16*AO$23)*'Operating Assumptions'!$D$16,IF('Operating Assumptions'!$G16="$/Pet/Month",(AO$36*'Operating Assumptions'!$D$18)*('Operating Assumptions'!$H16*AO$23),IF('Operating Assumptions'!$G16="$/Parking/Month",('Operating Assumptions'!$H16*AO$23)*'Operating Assumptions'!$D$17)))))))</f>
        <v>0</v>
      </c>
      <c r="AP49" s="427">
        <f>IF(OR(AP$9&lt;'Operating Assumptions'!$D$53,AP$6&gt;'Operating Assumptions'!$AA$8,'Operating Assumptions'!$G16="N/A"),0,IF('Operating Assumptions'!$G16="$/Unit/Annual",(('Operating Assumptions'!$H16*AP$23)*AP$36)/12,IF('Operating Assumptions'!$G16="$/Unit/Month",('Operating Assumptions'!$H16*AP$23)*AP$36,IF('Operating Assumptions'!$G16="Fixed Amount",('Operating Assumptions'!$H16*AP$23)/12,IF('Operating Assumptions'!$G16="$/Garage/Month",('Operating Assumptions'!$H16*AP$23)*'Operating Assumptions'!$D$16,IF('Operating Assumptions'!$G16="$/Pet/Month",(AP$36*'Operating Assumptions'!$D$18)*('Operating Assumptions'!$H16*AP$23),IF('Operating Assumptions'!$G16="$/Parking/Month",('Operating Assumptions'!$H16*AP$23)*'Operating Assumptions'!$D$17)))))))</f>
        <v>0</v>
      </c>
      <c r="AQ49" s="427">
        <f>IF(OR(AQ$9&lt;'Operating Assumptions'!$D$53,AQ$6&gt;'Operating Assumptions'!$AA$8,'Operating Assumptions'!$G16="N/A"),0,IF('Operating Assumptions'!$G16="$/Unit/Annual",(('Operating Assumptions'!$H16*AQ$23)*AQ$36)/12,IF('Operating Assumptions'!$G16="$/Unit/Month",('Operating Assumptions'!$H16*AQ$23)*AQ$36,IF('Operating Assumptions'!$G16="Fixed Amount",('Operating Assumptions'!$H16*AQ$23)/12,IF('Operating Assumptions'!$G16="$/Garage/Month",('Operating Assumptions'!$H16*AQ$23)*'Operating Assumptions'!$D$16,IF('Operating Assumptions'!$G16="$/Pet/Month",(AQ$36*'Operating Assumptions'!$D$18)*('Operating Assumptions'!$H16*AQ$23),IF('Operating Assumptions'!$G16="$/Parking/Month",('Operating Assumptions'!$H16*AQ$23)*'Operating Assumptions'!$D$17)))))))</f>
        <v>0</v>
      </c>
      <c r="AR49" s="427">
        <f>IF(OR(AR$9&lt;'Operating Assumptions'!$D$53,AR$6&gt;'Operating Assumptions'!$AA$8,'Operating Assumptions'!$G16="N/A"),0,IF('Operating Assumptions'!$G16="$/Unit/Annual",(('Operating Assumptions'!$H16*AR$23)*AR$36)/12,IF('Operating Assumptions'!$G16="$/Unit/Month",('Operating Assumptions'!$H16*AR$23)*AR$36,IF('Operating Assumptions'!$G16="Fixed Amount",('Operating Assumptions'!$H16*AR$23)/12,IF('Operating Assumptions'!$G16="$/Garage/Month",('Operating Assumptions'!$H16*AR$23)*'Operating Assumptions'!$D$16,IF('Operating Assumptions'!$G16="$/Pet/Month",(AR$36*'Operating Assumptions'!$D$18)*('Operating Assumptions'!$H16*AR$23),IF('Operating Assumptions'!$G16="$/Parking/Month",('Operating Assumptions'!$H16*AR$23)*'Operating Assumptions'!$D$17)))))))</f>
        <v>0</v>
      </c>
      <c r="AS49" s="427">
        <f>IF(OR(AS$9&lt;'Operating Assumptions'!$D$53,AS$6&gt;'Operating Assumptions'!$AA$8,'Operating Assumptions'!$G16="N/A"),0,IF('Operating Assumptions'!$G16="$/Unit/Annual",(('Operating Assumptions'!$H16*AS$23)*AS$36)/12,IF('Operating Assumptions'!$G16="$/Unit/Month",('Operating Assumptions'!$H16*AS$23)*AS$36,IF('Operating Assumptions'!$G16="Fixed Amount",('Operating Assumptions'!$H16*AS$23)/12,IF('Operating Assumptions'!$G16="$/Garage/Month",('Operating Assumptions'!$H16*AS$23)*'Operating Assumptions'!$D$16,IF('Operating Assumptions'!$G16="$/Pet/Month",(AS$36*'Operating Assumptions'!$D$18)*('Operating Assumptions'!$H16*AS$23),IF('Operating Assumptions'!$G16="$/Parking/Month",('Operating Assumptions'!$H16*AS$23)*'Operating Assumptions'!$D$17)))))))</f>
        <v>0</v>
      </c>
      <c r="AT49" s="427">
        <f>IF(OR(AT$9&lt;'Operating Assumptions'!$D$53,AT$6&gt;'Operating Assumptions'!$AA$8,'Operating Assumptions'!$G16="N/A"),0,IF('Operating Assumptions'!$G16="$/Unit/Annual",(('Operating Assumptions'!$H16*AT$23)*AT$36)/12,IF('Operating Assumptions'!$G16="$/Unit/Month",('Operating Assumptions'!$H16*AT$23)*AT$36,IF('Operating Assumptions'!$G16="Fixed Amount",('Operating Assumptions'!$H16*AT$23)/12,IF('Operating Assumptions'!$G16="$/Garage/Month",('Operating Assumptions'!$H16*AT$23)*'Operating Assumptions'!$D$16,IF('Operating Assumptions'!$G16="$/Pet/Month",(AT$36*'Operating Assumptions'!$D$18)*('Operating Assumptions'!$H16*AT$23),IF('Operating Assumptions'!$G16="$/Parking/Month",('Operating Assumptions'!$H16*AT$23)*'Operating Assumptions'!$D$17)))))))</f>
        <v>0</v>
      </c>
      <c r="AU49" s="427">
        <f>IF(OR(AU$9&lt;'Operating Assumptions'!$D$53,AU$6&gt;'Operating Assumptions'!$AA$8,'Operating Assumptions'!$G16="N/A"),0,IF('Operating Assumptions'!$G16="$/Unit/Annual",(('Operating Assumptions'!$H16*AU$23)*AU$36)/12,IF('Operating Assumptions'!$G16="$/Unit/Month",('Operating Assumptions'!$H16*AU$23)*AU$36,IF('Operating Assumptions'!$G16="Fixed Amount",('Operating Assumptions'!$H16*AU$23)/12,IF('Operating Assumptions'!$G16="$/Garage/Month",('Operating Assumptions'!$H16*AU$23)*'Operating Assumptions'!$D$16,IF('Operating Assumptions'!$G16="$/Pet/Month",(AU$36*'Operating Assumptions'!$D$18)*('Operating Assumptions'!$H16*AU$23),IF('Operating Assumptions'!$G16="$/Parking/Month",('Operating Assumptions'!$H16*AU$23)*'Operating Assumptions'!$D$17)))))))</f>
        <v>0</v>
      </c>
      <c r="AV49" s="427">
        <f>IF(OR(AV$9&lt;'Operating Assumptions'!$D$53,AV$6&gt;'Operating Assumptions'!$AA$8,'Operating Assumptions'!$G16="N/A"),0,IF('Operating Assumptions'!$G16="$/Unit/Annual",(('Operating Assumptions'!$H16*AV$23)*AV$36)/12,IF('Operating Assumptions'!$G16="$/Unit/Month",('Operating Assumptions'!$H16*AV$23)*AV$36,IF('Operating Assumptions'!$G16="Fixed Amount",('Operating Assumptions'!$H16*AV$23)/12,IF('Operating Assumptions'!$G16="$/Garage/Month",('Operating Assumptions'!$H16*AV$23)*'Operating Assumptions'!$D$16,IF('Operating Assumptions'!$G16="$/Pet/Month",(AV$36*'Operating Assumptions'!$D$18)*('Operating Assumptions'!$H16*AV$23),IF('Operating Assumptions'!$G16="$/Parking/Month",('Operating Assumptions'!$H16*AV$23)*'Operating Assumptions'!$D$17)))))))</f>
        <v>0</v>
      </c>
      <c r="AW49" s="427">
        <f>IF(OR(AW$9&lt;'Operating Assumptions'!$D$53,AW$6&gt;'Operating Assumptions'!$AA$8,'Operating Assumptions'!$G16="N/A"),0,IF('Operating Assumptions'!$G16="$/Unit/Annual",(('Operating Assumptions'!$H16*AW$23)*AW$36)/12,IF('Operating Assumptions'!$G16="$/Unit/Month",('Operating Assumptions'!$H16*AW$23)*AW$36,IF('Operating Assumptions'!$G16="Fixed Amount",('Operating Assumptions'!$H16*AW$23)/12,IF('Operating Assumptions'!$G16="$/Garage/Month",('Operating Assumptions'!$H16*AW$23)*'Operating Assumptions'!$D$16,IF('Operating Assumptions'!$G16="$/Pet/Month",(AW$36*'Operating Assumptions'!$D$18)*('Operating Assumptions'!$H16*AW$23),IF('Operating Assumptions'!$G16="$/Parking/Month",('Operating Assumptions'!$H16*AW$23)*'Operating Assumptions'!$D$17)))))))</f>
        <v>0</v>
      </c>
      <c r="AX49" s="427">
        <f>IF(OR(AX$9&lt;'Operating Assumptions'!$D$53,AX$6&gt;'Operating Assumptions'!$AA$8,'Operating Assumptions'!$G16="N/A"),0,IF('Operating Assumptions'!$G16="$/Unit/Annual",(('Operating Assumptions'!$H16*AX$23)*AX$36)/12,IF('Operating Assumptions'!$G16="$/Unit/Month",('Operating Assumptions'!$H16*AX$23)*AX$36,IF('Operating Assumptions'!$G16="Fixed Amount",('Operating Assumptions'!$H16*AX$23)/12,IF('Operating Assumptions'!$G16="$/Garage/Month",('Operating Assumptions'!$H16*AX$23)*'Operating Assumptions'!$D$16,IF('Operating Assumptions'!$G16="$/Pet/Month",(AX$36*'Operating Assumptions'!$D$18)*('Operating Assumptions'!$H16*AX$23),IF('Operating Assumptions'!$G16="$/Parking/Month",('Operating Assumptions'!$H16*AX$23)*'Operating Assumptions'!$D$17)))))))</f>
        <v>0</v>
      </c>
      <c r="AY49" s="427">
        <f>IF(OR(AY$9&lt;'Operating Assumptions'!$D$53,AY$6&gt;'Operating Assumptions'!$AA$8,'Operating Assumptions'!$G16="N/A"),0,IF('Operating Assumptions'!$G16="$/Unit/Annual",(('Operating Assumptions'!$H16*AY$23)*AY$36)/12,IF('Operating Assumptions'!$G16="$/Unit/Month",('Operating Assumptions'!$H16*AY$23)*AY$36,IF('Operating Assumptions'!$G16="Fixed Amount",('Operating Assumptions'!$H16*AY$23)/12,IF('Operating Assumptions'!$G16="$/Garage/Month",('Operating Assumptions'!$H16*AY$23)*'Operating Assumptions'!$D$16,IF('Operating Assumptions'!$G16="$/Pet/Month",(AY$36*'Operating Assumptions'!$D$18)*('Operating Assumptions'!$H16*AY$23),IF('Operating Assumptions'!$G16="$/Parking/Month",('Operating Assumptions'!$H16*AY$23)*'Operating Assumptions'!$D$17)))))))</f>
        <v>0</v>
      </c>
      <c r="AZ49" s="427">
        <f>IF(OR(AZ$9&lt;'Operating Assumptions'!$D$53,AZ$6&gt;'Operating Assumptions'!$AA$8,'Operating Assumptions'!$G16="N/A"),0,IF('Operating Assumptions'!$G16="$/Unit/Annual",(('Operating Assumptions'!$H16*AZ$23)*AZ$36)/12,IF('Operating Assumptions'!$G16="$/Unit/Month",('Operating Assumptions'!$H16*AZ$23)*AZ$36,IF('Operating Assumptions'!$G16="Fixed Amount",('Operating Assumptions'!$H16*AZ$23)/12,IF('Operating Assumptions'!$G16="$/Garage/Month",('Operating Assumptions'!$H16*AZ$23)*'Operating Assumptions'!$D$16,IF('Operating Assumptions'!$G16="$/Pet/Month",(AZ$36*'Operating Assumptions'!$D$18)*('Operating Assumptions'!$H16*AZ$23),IF('Operating Assumptions'!$G16="$/Parking/Month",('Operating Assumptions'!$H16*AZ$23)*'Operating Assumptions'!$D$17)))))))</f>
        <v>0</v>
      </c>
      <c r="BA49" s="427">
        <f>IF(OR(BA$9&lt;'Operating Assumptions'!$D$53,BA$6&gt;'Operating Assumptions'!$AA$8,'Operating Assumptions'!$G16="N/A"),0,IF('Operating Assumptions'!$G16="$/Unit/Annual",(('Operating Assumptions'!$H16*BA$23)*BA$36)/12,IF('Operating Assumptions'!$G16="$/Unit/Month",('Operating Assumptions'!$H16*BA$23)*BA$36,IF('Operating Assumptions'!$G16="Fixed Amount",('Operating Assumptions'!$H16*BA$23)/12,IF('Operating Assumptions'!$G16="$/Garage/Month",('Operating Assumptions'!$H16*BA$23)*'Operating Assumptions'!$D$16,IF('Operating Assumptions'!$G16="$/Pet/Month",(BA$36*'Operating Assumptions'!$D$18)*('Operating Assumptions'!$H16*BA$23),IF('Operating Assumptions'!$G16="$/Parking/Month",('Operating Assumptions'!$H16*BA$23)*'Operating Assumptions'!$D$17)))))))</f>
        <v>0</v>
      </c>
      <c r="BB49" s="427">
        <f>IF(OR(BB$9&lt;'Operating Assumptions'!$D$53,BB$6&gt;'Operating Assumptions'!$AA$8,'Operating Assumptions'!$G16="N/A"),0,IF('Operating Assumptions'!$G16="$/Unit/Annual",(('Operating Assumptions'!$H16*BB$23)*BB$36)/12,IF('Operating Assumptions'!$G16="$/Unit/Month",('Operating Assumptions'!$H16*BB$23)*BB$36,IF('Operating Assumptions'!$G16="Fixed Amount",('Operating Assumptions'!$H16*BB$23)/12,IF('Operating Assumptions'!$G16="$/Garage/Month",('Operating Assumptions'!$H16*BB$23)*'Operating Assumptions'!$D$16,IF('Operating Assumptions'!$G16="$/Pet/Month",(BB$36*'Operating Assumptions'!$D$18)*('Operating Assumptions'!$H16*BB$23),IF('Operating Assumptions'!$G16="$/Parking/Month",('Operating Assumptions'!$H16*BB$23)*'Operating Assumptions'!$D$17)))))))</f>
        <v>0</v>
      </c>
      <c r="BC49" s="427">
        <f>IF(OR(BC$9&lt;'Operating Assumptions'!$D$53,BC$6&gt;'Operating Assumptions'!$AA$8,'Operating Assumptions'!$G16="N/A"),0,IF('Operating Assumptions'!$G16="$/Unit/Annual",(('Operating Assumptions'!$H16*BC$23)*BC$36)/12,IF('Operating Assumptions'!$G16="$/Unit/Month",('Operating Assumptions'!$H16*BC$23)*BC$36,IF('Operating Assumptions'!$G16="Fixed Amount",('Operating Assumptions'!$H16*BC$23)/12,IF('Operating Assumptions'!$G16="$/Garage/Month",('Operating Assumptions'!$H16*BC$23)*'Operating Assumptions'!$D$16,IF('Operating Assumptions'!$G16="$/Pet/Month",(BC$36*'Operating Assumptions'!$D$18)*('Operating Assumptions'!$H16*BC$23),IF('Operating Assumptions'!$G16="$/Parking/Month",('Operating Assumptions'!$H16*BC$23)*'Operating Assumptions'!$D$17)))))))</f>
        <v>0</v>
      </c>
      <c r="BD49" s="427">
        <f>IF(OR(BD$9&lt;'Operating Assumptions'!$D$53,BD$6&gt;'Operating Assumptions'!$AA$8,'Operating Assumptions'!$G16="N/A"),0,IF('Operating Assumptions'!$G16="$/Unit/Annual",(('Operating Assumptions'!$H16*BD$23)*BD$36)/12,IF('Operating Assumptions'!$G16="$/Unit/Month",('Operating Assumptions'!$H16*BD$23)*BD$36,IF('Operating Assumptions'!$G16="Fixed Amount",('Operating Assumptions'!$H16*BD$23)/12,IF('Operating Assumptions'!$G16="$/Garage/Month",('Operating Assumptions'!$H16*BD$23)*'Operating Assumptions'!$D$16,IF('Operating Assumptions'!$G16="$/Pet/Month",(BD$36*'Operating Assumptions'!$D$18)*('Operating Assumptions'!$H16*BD$23),IF('Operating Assumptions'!$G16="$/Parking/Month",('Operating Assumptions'!$H16*BD$23)*'Operating Assumptions'!$D$17)))))))</f>
        <v>0</v>
      </c>
      <c r="BE49" s="427">
        <f>IF(OR(BE$9&lt;'Operating Assumptions'!$D$53,BE$6&gt;'Operating Assumptions'!$AA$8,'Operating Assumptions'!$G16="N/A"),0,IF('Operating Assumptions'!$G16="$/Unit/Annual",(('Operating Assumptions'!$H16*BE$23)*BE$36)/12,IF('Operating Assumptions'!$G16="$/Unit/Month",('Operating Assumptions'!$H16*BE$23)*BE$36,IF('Operating Assumptions'!$G16="Fixed Amount",('Operating Assumptions'!$H16*BE$23)/12,IF('Operating Assumptions'!$G16="$/Garage/Month",('Operating Assumptions'!$H16*BE$23)*'Operating Assumptions'!$D$16,IF('Operating Assumptions'!$G16="$/Pet/Month",(BE$36*'Operating Assumptions'!$D$18)*('Operating Assumptions'!$H16*BE$23),IF('Operating Assumptions'!$G16="$/Parking/Month",('Operating Assumptions'!$H16*BE$23)*'Operating Assumptions'!$D$17)))))))</f>
        <v>0</v>
      </c>
      <c r="BF49" s="427">
        <f>IF(OR(BF$9&lt;'Operating Assumptions'!$D$53,BF$6&gt;'Operating Assumptions'!$AA$8,'Operating Assumptions'!$G16="N/A"),0,IF('Operating Assumptions'!$G16="$/Unit/Annual",(('Operating Assumptions'!$H16*BF$23)*BF$36)/12,IF('Operating Assumptions'!$G16="$/Unit/Month",('Operating Assumptions'!$H16*BF$23)*BF$36,IF('Operating Assumptions'!$G16="Fixed Amount",('Operating Assumptions'!$H16*BF$23)/12,IF('Operating Assumptions'!$G16="$/Garage/Month",('Operating Assumptions'!$H16*BF$23)*'Operating Assumptions'!$D$16,IF('Operating Assumptions'!$G16="$/Pet/Month",(BF$36*'Operating Assumptions'!$D$18)*('Operating Assumptions'!$H16*BF$23),IF('Operating Assumptions'!$G16="$/Parking/Month",('Operating Assumptions'!$H16*BF$23)*'Operating Assumptions'!$D$17)))))))</f>
        <v>0</v>
      </c>
      <c r="BG49" s="427">
        <f>IF(OR(BG$9&lt;'Operating Assumptions'!$D$53,BG$6&gt;'Operating Assumptions'!$AA$8,'Operating Assumptions'!$G16="N/A"),0,IF('Operating Assumptions'!$G16="$/Unit/Annual",(('Operating Assumptions'!$H16*BG$23)*BG$36)/12,IF('Operating Assumptions'!$G16="$/Unit/Month",('Operating Assumptions'!$H16*BG$23)*BG$36,IF('Operating Assumptions'!$G16="Fixed Amount",('Operating Assumptions'!$H16*BG$23)/12,IF('Operating Assumptions'!$G16="$/Garage/Month",('Operating Assumptions'!$H16*BG$23)*'Operating Assumptions'!$D$16,IF('Operating Assumptions'!$G16="$/Pet/Month",(BG$36*'Operating Assumptions'!$D$18)*('Operating Assumptions'!$H16*BG$23),IF('Operating Assumptions'!$G16="$/Parking/Month",('Operating Assumptions'!$H16*BG$23)*'Operating Assumptions'!$D$17)))))))</f>
        <v>0</v>
      </c>
      <c r="BH49" s="427">
        <f>IF(OR(BH$9&lt;'Operating Assumptions'!$D$53,BH$6&gt;'Operating Assumptions'!$AA$8,'Operating Assumptions'!$G16="N/A"),0,IF('Operating Assumptions'!$G16="$/Unit/Annual",(('Operating Assumptions'!$H16*BH$23)*BH$36)/12,IF('Operating Assumptions'!$G16="$/Unit/Month",('Operating Assumptions'!$H16*BH$23)*BH$36,IF('Operating Assumptions'!$G16="Fixed Amount",('Operating Assumptions'!$H16*BH$23)/12,IF('Operating Assumptions'!$G16="$/Garage/Month",('Operating Assumptions'!$H16*BH$23)*'Operating Assumptions'!$D$16,IF('Operating Assumptions'!$G16="$/Pet/Month",(BH$36*'Operating Assumptions'!$D$18)*('Operating Assumptions'!$H16*BH$23),IF('Operating Assumptions'!$G16="$/Parking/Month",('Operating Assumptions'!$H16*BH$23)*'Operating Assumptions'!$D$17)))))))</f>
        <v>0</v>
      </c>
      <c r="BI49" s="427">
        <f>IF(OR(BI$9&lt;'Operating Assumptions'!$D$53,BI$6&gt;'Operating Assumptions'!$AA$8,'Operating Assumptions'!$G16="N/A"),0,IF('Operating Assumptions'!$G16="$/Unit/Annual",(('Operating Assumptions'!$H16*BI$23)*BI$36)/12,IF('Operating Assumptions'!$G16="$/Unit/Month",('Operating Assumptions'!$H16*BI$23)*BI$36,IF('Operating Assumptions'!$G16="Fixed Amount",('Operating Assumptions'!$H16*BI$23)/12,IF('Operating Assumptions'!$G16="$/Garage/Month",('Operating Assumptions'!$H16*BI$23)*'Operating Assumptions'!$D$16,IF('Operating Assumptions'!$G16="$/Pet/Month",(BI$36*'Operating Assumptions'!$D$18)*('Operating Assumptions'!$H16*BI$23),IF('Operating Assumptions'!$G16="$/Parking/Month",('Operating Assumptions'!$H16*BI$23)*'Operating Assumptions'!$D$17)))))))</f>
        <v>0</v>
      </c>
      <c r="BJ49" s="427">
        <f>IF(OR(BJ$9&lt;'Operating Assumptions'!$D$53,BJ$6&gt;'Operating Assumptions'!$AA$8,'Operating Assumptions'!$G16="N/A"),0,IF('Operating Assumptions'!$G16="$/Unit/Annual",(('Operating Assumptions'!$H16*BJ$23)*BJ$36)/12,IF('Operating Assumptions'!$G16="$/Unit/Month",('Operating Assumptions'!$H16*BJ$23)*BJ$36,IF('Operating Assumptions'!$G16="Fixed Amount",('Operating Assumptions'!$H16*BJ$23)/12,IF('Operating Assumptions'!$G16="$/Garage/Month",('Operating Assumptions'!$H16*BJ$23)*'Operating Assumptions'!$D$16,IF('Operating Assumptions'!$G16="$/Pet/Month",(BJ$36*'Operating Assumptions'!$D$18)*('Operating Assumptions'!$H16*BJ$23),IF('Operating Assumptions'!$G16="$/Parking/Month",('Operating Assumptions'!$H16*BJ$23)*'Operating Assumptions'!$D$17)))))))</f>
        <v>0</v>
      </c>
      <c r="BK49" s="427">
        <f>IF(OR(BK$9&lt;'Operating Assumptions'!$D$53,BK$6&gt;'Operating Assumptions'!$AA$8,'Operating Assumptions'!$G16="N/A"),0,IF('Operating Assumptions'!$G16="$/Unit/Annual",(('Operating Assumptions'!$H16*BK$23)*BK$36)/12,IF('Operating Assumptions'!$G16="$/Unit/Month",('Operating Assumptions'!$H16*BK$23)*BK$36,IF('Operating Assumptions'!$G16="Fixed Amount",('Operating Assumptions'!$H16*BK$23)/12,IF('Operating Assumptions'!$G16="$/Garage/Month",('Operating Assumptions'!$H16*BK$23)*'Operating Assumptions'!$D$16,IF('Operating Assumptions'!$G16="$/Pet/Month",(BK$36*'Operating Assumptions'!$D$18)*('Operating Assumptions'!$H16*BK$23),IF('Operating Assumptions'!$G16="$/Parking/Month",('Operating Assumptions'!$H16*BK$23)*'Operating Assumptions'!$D$17)))))))</f>
        <v>0</v>
      </c>
      <c r="BL49" s="427">
        <f>IF(OR(BL$9&lt;'Operating Assumptions'!$D$53,BL$6&gt;'Operating Assumptions'!$AA$8,'Operating Assumptions'!$G16="N/A"),0,IF('Operating Assumptions'!$G16="$/Unit/Annual",(('Operating Assumptions'!$H16*BL$23)*BL$36)/12,IF('Operating Assumptions'!$G16="$/Unit/Month",('Operating Assumptions'!$H16*BL$23)*BL$36,IF('Operating Assumptions'!$G16="Fixed Amount",('Operating Assumptions'!$H16*BL$23)/12,IF('Operating Assumptions'!$G16="$/Garage/Month",('Operating Assumptions'!$H16*BL$23)*'Operating Assumptions'!$D$16,IF('Operating Assumptions'!$G16="$/Pet/Month",(BL$36*'Operating Assumptions'!$D$18)*('Operating Assumptions'!$H16*BL$23),IF('Operating Assumptions'!$G16="$/Parking/Month",('Operating Assumptions'!$H16*BL$23)*'Operating Assumptions'!$D$17)))))))</f>
        <v>0</v>
      </c>
      <c r="BM49" s="427">
        <f>IF(OR(BM$9&lt;'Operating Assumptions'!$D$53,BM$6&gt;'Operating Assumptions'!$AA$8,'Operating Assumptions'!$G16="N/A"),0,IF('Operating Assumptions'!$G16="$/Unit/Annual",(('Operating Assumptions'!$H16*BM$23)*BM$36)/12,IF('Operating Assumptions'!$G16="$/Unit/Month",('Operating Assumptions'!$H16*BM$23)*BM$36,IF('Operating Assumptions'!$G16="Fixed Amount",('Operating Assumptions'!$H16*BM$23)/12,IF('Operating Assumptions'!$G16="$/Garage/Month",('Operating Assumptions'!$H16*BM$23)*'Operating Assumptions'!$D$16,IF('Operating Assumptions'!$G16="$/Pet/Month",(BM$36*'Operating Assumptions'!$D$18)*('Operating Assumptions'!$H16*BM$23),IF('Operating Assumptions'!$G16="$/Parking/Month",('Operating Assumptions'!$H16*BM$23)*'Operating Assumptions'!$D$17)))))))</f>
        <v>0</v>
      </c>
      <c r="BN49" s="427">
        <f>IF(OR(BN$9&lt;'Operating Assumptions'!$D$53,BN$6&gt;'Operating Assumptions'!$AA$8,'Operating Assumptions'!$G16="N/A"),0,IF('Operating Assumptions'!$G16="$/Unit/Annual",(('Operating Assumptions'!$H16*BN$23)*BN$36)/12,IF('Operating Assumptions'!$G16="$/Unit/Month",('Operating Assumptions'!$H16*BN$23)*BN$36,IF('Operating Assumptions'!$G16="Fixed Amount",('Operating Assumptions'!$H16*BN$23)/12,IF('Operating Assumptions'!$G16="$/Garage/Month",('Operating Assumptions'!$H16*BN$23)*'Operating Assumptions'!$D$16,IF('Operating Assumptions'!$G16="$/Pet/Month",(BN$36*'Operating Assumptions'!$D$18)*('Operating Assumptions'!$H16*BN$23),IF('Operating Assumptions'!$G16="$/Parking/Month",('Operating Assumptions'!$H16*BN$23)*'Operating Assumptions'!$D$17)))))))</f>
        <v>0</v>
      </c>
      <c r="BO49" s="427">
        <f>IF(OR(BO$9&lt;'Operating Assumptions'!$D$53,BO$6&gt;'Operating Assumptions'!$AA$8,'Operating Assumptions'!$G16="N/A"),0,IF('Operating Assumptions'!$G16="$/Unit/Annual",(('Operating Assumptions'!$H16*BO$23)*BO$36)/12,IF('Operating Assumptions'!$G16="$/Unit/Month",('Operating Assumptions'!$H16*BO$23)*BO$36,IF('Operating Assumptions'!$G16="Fixed Amount",('Operating Assumptions'!$H16*BO$23)/12,IF('Operating Assumptions'!$G16="$/Garage/Month",('Operating Assumptions'!$H16*BO$23)*'Operating Assumptions'!$D$16,IF('Operating Assumptions'!$G16="$/Pet/Month",(BO$36*'Operating Assumptions'!$D$18)*('Operating Assumptions'!$H16*BO$23),IF('Operating Assumptions'!$G16="$/Parking/Month",('Operating Assumptions'!$H16*BO$23)*'Operating Assumptions'!$D$17)))))))</f>
        <v>0</v>
      </c>
      <c r="BP49" s="427">
        <f>IF(OR(BP$9&lt;'Operating Assumptions'!$D$53,BP$6&gt;'Operating Assumptions'!$AA$8,'Operating Assumptions'!$G16="N/A"),0,IF('Operating Assumptions'!$G16="$/Unit/Annual",(('Operating Assumptions'!$H16*BP$23)*BP$36)/12,IF('Operating Assumptions'!$G16="$/Unit/Month",('Operating Assumptions'!$H16*BP$23)*BP$36,IF('Operating Assumptions'!$G16="Fixed Amount",('Operating Assumptions'!$H16*BP$23)/12,IF('Operating Assumptions'!$G16="$/Garage/Month",('Operating Assumptions'!$H16*BP$23)*'Operating Assumptions'!$D$16,IF('Operating Assumptions'!$G16="$/Pet/Month",(BP$36*'Operating Assumptions'!$D$18)*('Operating Assumptions'!$H16*BP$23),IF('Operating Assumptions'!$G16="$/Parking/Month",('Operating Assumptions'!$H16*BP$23)*'Operating Assumptions'!$D$17)))))))</f>
        <v>0</v>
      </c>
      <c r="BQ49" s="427">
        <f>IF(OR(BQ$9&lt;'Operating Assumptions'!$D$53,BQ$6&gt;'Operating Assumptions'!$AA$8,'Operating Assumptions'!$G16="N/A"),0,IF('Operating Assumptions'!$G16="$/Unit/Annual",(('Operating Assumptions'!$H16*BQ$23)*BQ$36)/12,IF('Operating Assumptions'!$G16="$/Unit/Month",('Operating Assumptions'!$H16*BQ$23)*BQ$36,IF('Operating Assumptions'!$G16="Fixed Amount",('Operating Assumptions'!$H16*BQ$23)/12,IF('Operating Assumptions'!$G16="$/Garage/Month",('Operating Assumptions'!$H16*BQ$23)*'Operating Assumptions'!$D$16,IF('Operating Assumptions'!$G16="$/Pet/Month",(BQ$36*'Operating Assumptions'!$D$18)*('Operating Assumptions'!$H16*BQ$23),IF('Operating Assumptions'!$G16="$/Parking/Month",('Operating Assumptions'!$H16*BQ$23)*'Operating Assumptions'!$D$17)))))))</f>
        <v>0</v>
      </c>
      <c r="BR49" s="427">
        <f>IF(OR(BR$9&lt;'Operating Assumptions'!$D$53,BR$6&gt;'Operating Assumptions'!$AA$8,'Operating Assumptions'!$G16="N/A"),0,IF('Operating Assumptions'!$G16="$/Unit/Annual",(('Operating Assumptions'!$H16*BR$23)*BR$36)/12,IF('Operating Assumptions'!$G16="$/Unit/Month",('Operating Assumptions'!$H16*BR$23)*BR$36,IF('Operating Assumptions'!$G16="Fixed Amount",('Operating Assumptions'!$H16*BR$23)/12,IF('Operating Assumptions'!$G16="$/Garage/Month",('Operating Assumptions'!$H16*BR$23)*'Operating Assumptions'!$D$16,IF('Operating Assumptions'!$G16="$/Pet/Month",(BR$36*'Operating Assumptions'!$D$18)*('Operating Assumptions'!$H16*BR$23),IF('Operating Assumptions'!$G16="$/Parking/Month",('Operating Assumptions'!$H16*BR$23)*'Operating Assumptions'!$D$17)))))))</f>
        <v>0</v>
      </c>
      <c r="BS49" s="427">
        <f>IF(OR(BS$9&lt;'Operating Assumptions'!$D$53,BS$6&gt;'Operating Assumptions'!$AA$8,'Operating Assumptions'!$G16="N/A"),0,IF('Operating Assumptions'!$G16="$/Unit/Annual",(('Operating Assumptions'!$H16*BS$23)*BS$36)/12,IF('Operating Assumptions'!$G16="$/Unit/Month",('Operating Assumptions'!$H16*BS$23)*BS$36,IF('Operating Assumptions'!$G16="Fixed Amount",('Operating Assumptions'!$H16*BS$23)/12,IF('Operating Assumptions'!$G16="$/Garage/Month",('Operating Assumptions'!$H16*BS$23)*'Operating Assumptions'!$D$16,IF('Operating Assumptions'!$G16="$/Pet/Month",(BS$36*'Operating Assumptions'!$D$18)*('Operating Assumptions'!$H16*BS$23),IF('Operating Assumptions'!$G16="$/Parking/Month",('Operating Assumptions'!$H16*BS$23)*'Operating Assumptions'!$D$17)))))))</f>
        <v>0</v>
      </c>
      <c r="BT49" s="427">
        <f>IF(OR(BT$9&lt;'Operating Assumptions'!$D$53,BT$6&gt;'Operating Assumptions'!$AA$8,'Operating Assumptions'!$G16="N/A"),0,IF('Operating Assumptions'!$G16="$/Unit/Annual",(('Operating Assumptions'!$H16*BT$23)*BT$36)/12,IF('Operating Assumptions'!$G16="$/Unit/Month",('Operating Assumptions'!$H16*BT$23)*BT$36,IF('Operating Assumptions'!$G16="Fixed Amount",('Operating Assumptions'!$H16*BT$23)/12,IF('Operating Assumptions'!$G16="$/Garage/Month",('Operating Assumptions'!$H16*BT$23)*'Operating Assumptions'!$D$16,IF('Operating Assumptions'!$G16="$/Pet/Month",(BT$36*'Operating Assumptions'!$D$18)*('Operating Assumptions'!$H16*BT$23),IF('Operating Assumptions'!$G16="$/Parking/Month",('Operating Assumptions'!$H16*BT$23)*'Operating Assumptions'!$D$17)))))))</f>
        <v>0</v>
      </c>
      <c r="BU49" s="427">
        <f>IF(OR(BU$9&lt;'Operating Assumptions'!$D$53,BU$6&gt;'Operating Assumptions'!$AA$8,'Operating Assumptions'!$G16="N/A"),0,IF('Operating Assumptions'!$G16="$/Unit/Annual",(('Operating Assumptions'!$H16*BU$23)*BU$36)/12,IF('Operating Assumptions'!$G16="$/Unit/Month",('Operating Assumptions'!$H16*BU$23)*BU$36,IF('Operating Assumptions'!$G16="Fixed Amount",('Operating Assumptions'!$H16*BU$23)/12,IF('Operating Assumptions'!$G16="$/Garage/Month",('Operating Assumptions'!$H16*BU$23)*'Operating Assumptions'!$D$16,IF('Operating Assumptions'!$G16="$/Pet/Month",(BU$36*'Operating Assumptions'!$D$18)*('Operating Assumptions'!$H16*BU$23),IF('Operating Assumptions'!$G16="$/Parking/Month",('Operating Assumptions'!$H16*BU$23)*'Operating Assumptions'!$D$17)))))))</f>
        <v>0</v>
      </c>
      <c r="BV49" s="427">
        <f>IF(OR(BV$9&lt;'Operating Assumptions'!$D$53,BV$6&gt;'Operating Assumptions'!$AA$8,'Operating Assumptions'!$G16="N/A"),0,IF('Operating Assumptions'!$G16="$/Unit/Annual",(('Operating Assumptions'!$H16*BV$23)*BV$36)/12,IF('Operating Assumptions'!$G16="$/Unit/Month",('Operating Assumptions'!$H16*BV$23)*BV$36,IF('Operating Assumptions'!$G16="Fixed Amount",('Operating Assumptions'!$H16*BV$23)/12,IF('Operating Assumptions'!$G16="$/Garage/Month",('Operating Assumptions'!$H16*BV$23)*'Operating Assumptions'!$D$16,IF('Operating Assumptions'!$G16="$/Pet/Month",(BV$36*'Operating Assumptions'!$D$18)*('Operating Assumptions'!$H16*BV$23),IF('Operating Assumptions'!$G16="$/Parking/Month",('Operating Assumptions'!$H16*BV$23)*'Operating Assumptions'!$D$17)))))))</f>
        <v>0</v>
      </c>
      <c r="BW49" s="427">
        <f>IF(OR(BW$9&lt;'Operating Assumptions'!$D$53,BW$6&gt;'Operating Assumptions'!$AA$8,'Operating Assumptions'!$G16="N/A"),0,IF('Operating Assumptions'!$G16="$/Unit/Annual",(('Operating Assumptions'!$H16*BW$23)*BW$36)/12,IF('Operating Assumptions'!$G16="$/Unit/Month",('Operating Assumptions'!$H16*BW$23)*BW$36,IF('Operating Assumptions'!$G16="Fixed Amount",('Operating Assumptions'!$H16*BW$23)/12,IF('Operating Assumptions'!$G16="$/Garage/Month",('Operating Assumptions'!$H16*BW$23)*'Operating Assumptions'!$D$16,IF('Operating Assumptions'!$G16="$/Pet/Month",(BW$36*'Operating Assumptions'!$D$18)*('Operating Assumptions'!$H16*BW$23),IF('Operating Assumptions'!$G16="$/Parking/Month",('Operating Assumptions'!$H16*BW$23)*'Operating Assumptions'!$D$17)))))))</f>
        <v>0</v>
      </c>
      <c r="BX49" s="427">
        <f>IF(OR(BX$9&lt;'Operating Assumptions'!$D$53,BX$6&gt;'Operating Assumptions'!$AA$8,'Operating Assumptions'!$G16="N/A"),0,IF('Operating Assumptions'!$G16="$/Unit/Annual",(('Operating Assumptions'!$H16*BX$23)*BX$36)/12,IF('Operating Assumptions'!$G16="$/Unit/Month",('Operating Assumptions'!$H16*BX$23)*BX$36,IF('Operating Assumptions'!$G16="Fixed Amount",('Operating Assumptions'!$H16*BX$23)/12,IF('Operating Assumptions'!$G16="$/Garage/Month",('Operating Assumptions'!$H16*BX$23)*'Operating Assumptions'!$D$16,IF('Operating Assumptions'!$G16="$/Pet/Month",(BX$36*'Operating Assumptions'!$D$18)*('Operating Assumptions'!$H16*BX$23),IF('Operating Assumptions'!$G16="$/Parking/Month",('Operating Assumptions'!$H16*BX$23)*'Operating Assumptions'!$D$17)))))))</f>
        <v>0</v>
      </c>
      <c r="BY49" s="427">
        <f>IF(OR(BY$9&lt;'Operating Assumptions'!$D$53,BY$6&gt;'Operating Assumptions'!$AA$8,'Operating Assumptions'!$G16="N/A"),0,IF('Operating Assumptions'!$G16="$/Unit/Annual",(('Operating Assumptions'!$H16*BY$23)*BY$36)/12,IF('Operating Assumptions'!$G16="$/Unit/Month",('Operating Assumptions'!$H16*BY$23)*BY$36,IF('Operating Assumptions'!$G16="Fixed Amount",('Operating Assumptions'!$H16*BY$23)/12,IF('Operating Assumptions'!$G16="$/Garage/Month",('Operating Assumptions'!$H16*BY$23)*'Operating Assumptions'!$D$16,IF('Operating Assumptions'!$G16="$/Pet/Month",(BY$36*'Operating Assumptions'!$D$18)*('Operating Assumptions'!$H16*BY$23),IF('Operating Assumptions'!$G16="$/Parking/Month",('Operating Assumptions'!$H16*BY$23)*'Operating Assumptions'!$D$17)))))))</f>
        <v>0</v>
      </c>
      <c r="BZ49" s="427">
        <f>IF(OR(BZ$9&lt;'Operating Assumptions'!$D$53,BZ$6&gt;'Operating Assumptions'!$AA$8,'Operating Assumptions'!$G16="N/A"),0,IF('Operating Assumptions'!$G16="$/Unit/Annual",(('Operating Assumptions'!$H16*BZ$23)*BZ$36)/12,IF('Operating Assumptions'!$G16="$/Unit/Month",('Operating Assumptions'!$H16*BZ$23)*BZ$36,IF('Operating Assumptions'!$G16="Fixed Amount",('Operating Assumptions'!$H16*BZ$23)/12,IF('Operating Assumptions'!$G16="$/Garage/Month",('Operating Assumptions'!$H16*BZ$23)*'Operating Assumptions'!$D$16,IF('Operating Assumptions'!$G16="$/Pet/Month",(BZ$36*'Operating Assumptions'!$D$18)*('Operating Assumptions'!$H16*BZ$23),IF('Operating Assumptions'!$G16="$/Parking/Month",('Operating Assumptions'!$H16*BZ$23)*'Operating Assumptions'!$D$17)))))))</f>
        <v>0</v>
      </c>
      <c r="CA49" s="427">
        <f>IF(OR(CA$9&lt;'Operating Assumptions'!$D$53,CA$6&gt;'Operating Assumptions'!$AA$8,'Operating Assumptions'!$G16="N/A"),0,IF('Operating Assumptions'!$G16="$/Unit/Annual",(('Operating Assumptions'!$H16*CA$23)*CA$36)/12,IF('Operating Assumptions'!$G16="$/Unit/Month",('Operating Assumptions'!$H16*CA$23)*CA$36,IF('Operating Assumptions'!$G16="Fixed Amount",('Operating Assumptions'!$H16*CA$23)/12,IF('Operating Assumptions'!$G16="$/Garage/Month",('Operating Assumptions'!$H16*CA$23)*'Operating Assumptions'!$D$16,IF('Operating Assumptions'!$G16="$/Pet/Month",(CA$36*'Operating Assumptions'!$D$18)*('Operating Assumptions'!$H16*CA$23),IF('Operating Assumptions'!$G16="$/Parking/Month",('Operating Assumptions'!$H16*CA$23)*'Operating Assumptions'!$D$17)))))))</f>
        <v>0</v>
      </c>
      <c r="CB49" s="427">
        <f>IF(OR(CB$9&lt;'Operating Assumptions'!$D$53,CB$6&gt;'Operating Assumptions'!$AA$8,'Operating Assumptions'!$G16="N/A"),0,IF('Operating Assumptions'!$G16="$/Unit/Annual",(('Operating Assumptions'!$H16*CB$23)*CB$36)/12,IF('Operating Assumptions'!$G16="$/Unit/Month",('Operating Assumptions'!$H16*CB$23)*CB$36,IF('Operating Assumptions'!$G16="Fixed Amount",('Operating Assumptions'!$H16*CB$23)/12,IF('Operating Assumptions'!$G16="$/Garage/Month",('Operating Assumptions'!$H16*CB$23)*'Operating Assumptions'!$D$16,IF('Operating Assumptions'!$G16="$/Pet/Month",(CB$36*'Operating Assumptions'!$D$18)*('Operating Assumptions'!$H16*CB$23),IF('Operating Assumptions'!$G16="$/Parking/Month",('Operating Assumptions'!$H16*CB$23)*'Operating Assumptions'!$D$17)))))))</f>
        <v>0</v>
      </c>
      <c r="CC49" s="427">
        <f>IF(OR(CC$9&lt;'Operating Assumptions'!$D$53,CC$6&gt;'Operating Assumptions'!$AA$8,'Operating Assumptions'!$G16="N/A"),0,IF('Operating Assumptions'!$G16="$/Unit/Annual",(('Operating Assumptions'!$H16*CC$23)*CC$36)/12,IF('Operating Assumptions'!$G16="$/Unit/Month",('Operating Assumptions'!$H16*CC$23)*CC$36,IF('Operating Assumptions'!$G16="Fixed Amount",('Operating Assumptions'!$H16*CC$23)/12,IF('Operating Assumptions'!$G16="$/Garage/Month",('Operating Assumptions'!$H16*CC$23)*'Operating Assumptions'!$D$16,IF('Operating Assumptions'!$G16="$/Pet/Month",(CC$36*'Operating Assumptions'!$D$18)*('Operating Assumptions'!$H16*CC$23),IF('Operating Assumptions'!$G16="$/Parking/Month",('Operating Assumptions'!$H16*CC$23)*'Operating Assumptions'!$D$17)))))))</f>
        <v>0</v>
      </c>
      <c r="CD49" s="427">
        <f>IF(OR(CD$9&lt;'Operating Assumptions'!$D$53,CD$6&gt;'Operating Assumptions'!$AA$8,'Operating Assumptions'!$G16="N/A"),0,IF('Operating Assumptions'!$G16="$/Unit/Annual",(('Operating Assumptions'!$H16*CD$23)*CD$36)/12,IF('Operating Assumptions'!$G16="$/Unit/Month",('Operating Assumptions'!$H16*CD$23)*CD$36,IF('Operating Assumptions'!$G16="Fixed Amount",('Operating Assumptions'!$H16*CD$23)/12,IF('Operating Assumptions'!$G16="$/Garage/Month",('Operating Assumptions'!$H16*CD$23)*'Operating Assumptions'!$D$16,IF('Operating Assumptions'!$G16="$/Pet/Month",(CD$36*'Operating Assumptions'!$D$18)*('Operating Assumptions'!$H16*CD$23),IF('Operating Assumptions'!$G16="$/Parking/Month",('Operating Assumptions'!$H16*CD$23)*'Operating Assumptions'!$D$17)))))))</f>
        <v>0</v>
      </c>
      <c r="CE49" s="427">
        <f>IF(OR(CE$9&lt;'Operating Assumptions'!$D$53,CE$6&gt;'Operating Assumptions'!$AA$8,'Operating Assumptions'!$G16="N/A"),0,IF('Operating Assumptions'!$G16="$/Unit/Annual",(('Operating Assumptions'!$H16*CE$23)*CE$36)/12,IF('Operating Assumptions'!$G16="$/Unit/Month",('Operating Assumptions'!$H16*CE$23)*CE$36,IF('Operating Assumptions'!$G16="Fixed Amount",('Operating Assumptions'!$H16*CE$23)/12,IF('Operating Assumptions'!$G16="$/Garage/Month",('Operating Assumptions'!$H16*CE$23)*'Operating Assumptions'!$D$16,IF('Operating Assumptions'!$G16="$/Pet/Month",(CE$36*'Operating Assumptions'!$D$18)*('Operating Assumptions'!$H16*CE$23),IF('Operating Assumptions'!$G16="$/Parking/Month",('Operating Assumptions'!$H16*CE$23)*'Operating Assumptions'!$D$17)))))))</f>
        <v>0</v>
      </c>
      <c r="CF49" s="427">
        <f>IF(OR(CF$9&lt;'Operating Assumptions'!$D$53,CF$6&gt;'Operating Assumptions'!$AA$8,'Operating Assumptions'!$G16="N/A"),0,IF('Operating Assumptions'!$G16="$/Unit/Annual",(('Operating Assumptions'!$H16*CF$23)*CF$36)/12,IF('Operating Assumptions'!$G16="$/Unit/Month",('Operating Assumptions'!$H16*CF$23)*CF$36,IF('Operating Assumptions'!$G16="Fixed Amount",('Operating Assumptions'!$H16*CF$23)/12,IF('Operating Assumptions'!$G16="$/Garage/Month",('Operating Assumptions'!$H16*CF$23)*'Operating Assumptions'!$D$16,IF('Operating Assumptions'!$G16="$/Pet/Month",(CF$36*'Operating Assumptions'!$D$18)*('Operating Assumptions'!$H16*CF$23),IF('Operating Assumptions'!$G16="$/Parking/Month",('Operating Assumptions'!$H16*CF$23)*'Operating Assumptions'!$D$17)))))))</f>
        <v>0</v>
      </c>
      <c r="CG49" s="427">
        <f>IF(OR(CG$9&lt;'Operating Assumptions'!$D$53,CG$6&gt;'Operating Assumptions'!$AA$8,'Operating Assumptions'!$G16="N/A"),0,IF('Operating Assumptions'!$G16="$/Unit/Annual",(('Operating Assumptions'!$H16*CG$23)*CG$36)/12,IF('Operating Assumptions'!$G16="$/Unit/Month",('Operating Assumptions'!$H16*CG$23)*CG$36,IF('Operating Assumptions'!$G16="Fixed Amount",('Operating Assumptions'!$H16*CG$23)/12,IF('Operating Assumptions'!$G16="$/Garage/Month",('Operating Assumptions'!$H16*CG$23)*'Operating Assumptions'!$D$16,IF('Operating Assumptions'!$G16="$/Pet/Month",(CG$36*'Operating Assumptions'!$D$18)*('Operating Assumptions'!$H16*CG$23),IF('Operating Assumptions'!$G16="$/Parking/Month",('Operating Assumptions'!$H16*CG$23)*'Operating Assumptions'!$D$17)))))))</f>
        <v>0</v>
      </c>
      <c r="CH49" s="427">
        <f>IF(OR(CH$9&lt;'Operating Assumptions'!$D$53,CH$6&gt;'Operating Assumptions'!$AA$8,'Operating Assumptions'!$G16="N/A"),0,IF('Operating Assumptions'!$G16="$/Unit/Annual",(('Operating Assumptions'!$H16*CH$23)*CH$36)/12,IF('Operating Assumptions'!$G16="$/Unit/Month",('Operating Assumptions'!$H16*CH$23)*CH$36,IF('Operating Assumptions'!$G16="Fixed Amount",('Operating Assumptions'!$H16*CH$23)/12,IF('Operating Assumptions'!$G16="$/Garage/Month",('Operating Assumptions'!$H16*CH$23)*'Operating Assumptions'!$D$16,IF('Operating Assumptions'!$G16="$/Pet/Month",(CH$36*'Operating Assumptions'!$D$18)*('Operating Assumptions'!$H16*CH$23),IF('Operating Assumptions'!$G16="$/Parking/Month",('Operating Assumptions'!$H16*CH$23)*'Operating Assumptions'!$D$17)))))))</f>
        <v>0</v>
      </c>
      <c r="CI49" s="427">
        <f>IF(OR(CI$9&lt;'Operating Assumptions'!$D$53,CI$6&gt;'Operating Assumptions'!$AA$8,'Operating Assumptions'!$G16="N/A"),0,IF('Operating Assumptions'!$G16="$/Unit/Annual",(('Operating Assumptions'!$H16*CI$23)*CI$36)/12,IF('Operating Assumptions'!$G16="$/Unit/Month",('Operating Assumptions'!$H16*CI$23)*CI$36,IF('Operating Assumptions'!$G16="Fixed Amount",('Operating Assumptions'!$H16*CI$23)/12,IF('Operating Assumptions'!$G16="$/Garage/Month",('Operating Assumptions'!$H16*CI$23)*'Operating Assumptions'!$D$16,IF('Operating Assumptions'!$G16="$/Pet/Month",(CI$36*'Operating Assumptions'!$D$18)*('Operating Assumptions'!$H16*CI$23),IF('Operating Assumptions'!$G16="$/Parking/Month",('Operating Assumptions'!$H16*CI$23)*'Operating Assumptions'!$D$17)))))))</f>
        <v>0</v>
      </c>
      <c r="CJ49" s="427">
        <f>IF(OR(CJ$9&lt;'Operating Assumptions'!$D$53,CJ$6&gt;'Operating Assumptions'!$AA$8,'Operating Assumptions'!$G16="N/A"),0,IF('Operating Assumptions'!$G16="$/Unit/Annual",(('Operating Assumptions'!$H16*CJ$23)*CJ$36)/12,IF('Operating Assumptions'!$G16="$/Unit/Month",('Operating Assumptions'!$H16*CJ$23)*CJ$36,IF('Operating Assumptions'!$G16="Fixed Amount",('Operating Assumptions'!$H16*CJ$23)/12,IF('Operating Assumptions'!$G16="$/Garage/Month",('Operating Assumptions'!$H16*CJ$23)*'Operating Assumptions'!$D$16,IF('Operating Assumptions'!$G16="$/Pet/Month",(CJ$36*'Operating Assumptions'!$D$18)*('Operating Assumptions'!$H16*CJ$23),IF('Operating Assumptions'!$G16="$/Parking/Month",('Operating Assumptions'!$H16*CJ$23)*'Operating Assumptions'!$D$17)))))))</f>
        <v>0</v>
      </c>
      <c r="CK49" s="427">
        <f>IF(OR(CK$9&lt;'Operating Assumptions'!$D$53,CK$6&gt;'Operating Assumptions'!$AA$8,'Operating Assumptions'!$G16="N/A"),0,IF('Operating Assumptions'!$G16="$/Unit/Annual",(('Operating Assumptions'!$H16*CK$23)*CK$36)/12,IF('Operating Assumptions'!$G16="$/Unit/Month",('Operating Assumptions'!$H16*CK$23)*CK$36,IF('Operating Assumptions'!$G16="Fixed Amount",('Operating Assumptions'!$H16*CK$23)/12,IF('Operating Assumptions'!$G16="$/Garage/Month",('Operating Assumptions'!$H16*CK$23)*'Operating Assumptions'!$D$16,IF('Operating Assumptions'!$G16="$/Pet/Month",(CK$36*'Operating Assumptions'!$D$18)*('Operating Assumptions'!$H16*CK$23),IF('Operating Assumptions'!$G16="$/Parking/Month",('Operating Assumptions'!$H16*CK$23)*'Operating Assumptions'!$D$17)))))))</f>
        <v>0</v>
      </c>
      <c r="CL49" s="427">
        <f>IF(OR(CL$9&lt;'Operating Assumptions'!$D$53,CL$6&gt;'Operating Assumptions'!$AA$8,'Operating Assumptions'!$G16="N/A"),0,IF('Operating Assumptions'!$G16="$/Unit/Annual",(('Operating Assumptions'!$H16*CL$23)*CL$36)/12,IF('Operating Assumptions'!$G16="$/Unit/Month",('Operating Assumptions'!$H16*CL$23)*CL$36,IF('Operating Assumptions'!$G16="Fixed Amount",('Operating Assumptions'!$H16*CL$23)/12,IF('Operating Assumptions'!$G16="$/Garage/Month",('Operating Assumptions'!$H16*CL$23)*'Operating Assumptions'!$D$16,IF('Operating Assumptions'!$G16="$/Pet/Month",(CL$36*'Operating Assumptions'!$D$18)*('Operating Assumptions'!$H16*CL$23),IF('Operating Assumptions'!$G16="$/Parking/Month",('Operating Assumptions'!$H16*CL$23)*'Operating Assumptions'!$D$17)))))))</f>
        <v>0</v>
      </c>
      <c r="CM49" s="427">
        <f>IF(OR(CM$9&lt;'Operating Assumptions'!$D$53,CM$6&gt;'Operating Assumptions'!$AA$8,'Operating Assumptions'!$G16="N/A"),0,IF('Operating Assumptions'!$G16="$/Unit/Annual",(('Operating Assumptions'!$H16*CM$23)*CM$36)/12,IF('Operating Assumptions'!$G16="$/Unit/Month",('Operating Assumptions'!$H16*CM$23)*CM$36,IF('Operating Assumptions'!$G16="Fixed Amount",('Operating Assumptions'!$H16*CM$23)/12,IF('Operating Assumptions'!$G16="$/Garage/Month",('Operating Assumptions'!$H16*CM$23)*'Operating Assumptions'!$D$16,IF('Operating Assumptions'!$G16="$/Pet/Month",(CM$36*'Operating Assumptions'!$D$18)*('Operating Assumptions'!$H16*CM$23),IF('Operating Assumptions'!$G16="$/Parking/Month",('Operating Assumptions'!$H16*CM$23)*'Operating Assumptions'!$D$17)))))))</f>
        <v>0</v>
      </c>
      <c r="CN49" s="427">
        <f>IF(OR(CN$9&lt;'Operating Assumptions'!$D$53,CN$6&gt;'Operating Assumptions'!$AA$8,'Operating Assumptions'!$G16="N/A"),0,IF('Operating Assumptions'!$G16="$/Unit/Annual",(('Operating Assumptions'!$H16*CN$23)*CN$36)/12,IF('Operating Assumptions'!$G16="$/Unit/Month",('Operating Assumptions'!$H16*CN$23)*CN$36,IF('Operating Assumptions'!$G16="Fixed Amount",('Operating Assumptions'!$H16*CN$23)/12,IF('Operating Assumptions'!$G16="$/Garage/Month",('Operating Assumptions'!$H16*CN$23)*'Operating Assumptions'!$D$16,IF('Operating Assumptions'!$G16="$/Pet/Month",(CN$36*'Operating Assumptions'!$D$18)*('Operating Assumptions'!$H16*CN$23),IF('Operating Assumptions'!$G16="$/Parking/Month",('Operating Assumptions'!$H16*CN$23)*'Operating Assumptions'!$D$17)))))))</f>
        <v>0</v>
      </c>
      <c r="CO49" s="427">
        <f>IF(OR(CO$9&lt;'Operating Assumptions'!$D$53,CO$6&gt;'Operating Assumptions'!$AA$8,'Operating Assumptions'!$G16="N/A"),0,IF('Operating Assumptions'!$G16="$/Unit/Annual",(('Operating Assumptions'!$H16*CO$23)*CO$36)/12,IF('Operating Assumptions'!$G16="$/Unit/Month",('Operating Assumptions'!$H16*CO$23)*CO$36,IF('Operating Assumptions'!$G16="Fixed Amount",('Operating Assumptions'!$H16*CO$23)/12,IF('Operating Assumptions'!$G16="$/Garage/Month",('Operating Assumptions'!$H16*CO$23)*'Operating Assumptions'!$D$16,IF('Operating Assumptions'!$G16="$/Pet/Month",(CO$36*'Operating Assumptions'!$D$18)*('Operating Assumptions'!$H16*CO$23),IF('Operating Assumptions'!$G16="$/Parking/Month",('Operating Assumptions'!$H16*CO$23)*'Operating Assumptions'!$D$17)))))))</f>
        <v>0</v>
      </c>
      <c r="CP49" s="427">
        <f>IF(OR(CP$9&lt;'Operating Assumptions'!$D$53,CP$6&gt;'Operating Assumptions'!$AA$8,'Operating Assumptions'!$G16="N/A"),0,IF('Operating Assumptions'!$G16="$/Unit/Annual",(('Operating Assumptions'!$H16*CP$23)*CP$36)/12,IF('Operating Assumptions'!$G16="$/Unit/Month",('Operating Assumptions'!$H16*CP$23)*CP$36,IF('Operating Assumptions'!$G16="Fixed Amount",('Operating Assumptions'!$H16*CP$23)/12,IF('Operating Assumptions'!$G16="$/Garage/Month",('Operating Assumptions'!$H16*CP$23)*'Operating Assumptions'!$D$16,IF('Operating Assumptions'!$G16="$/Pet/Month",(CP$36*'Operating Assumptions'!$D$18)*('Operating Assumptions'!$H16*CP$23),IF('Operating Assumptions'!$G16="$/Parking/Month",('Operating Assumptions'!$H16*CP$23)*'Operating Assumptions'!$D$17)))))))</f>
        <v>0</v>
      </c>
      <c r="CQ49" s="427">
        <f>IF(OR(CQ$9&lt;'Operating Assumptions'!$D$53,CQ$6&gt;'Operating Assumptions'!$AA$8,'Operating Assumptions'!$G16="N/A"),0,IF('Operating Assumptions'!$G16="$/Unit/Annual",(('Operating Assumptions'!$H16*CQ$23)*CQ$36)/12,IF('Operating Assumptions'!$G16="$/Unit/Month",('Operating Assumptions'!$H16*CQ$23)*CQ$36,IF('Operating Assumptions'!$G16="Fixed Amount",('Operating Assumptions'!$H16*CQ$23)/12,IF('Operating Assumptions'!$G16="$/Garage/Month",('Operating Assumptions'!$H16*CQ$23)*'Operating Assumptions'!$D$16,IF('Operating Assumptions'!$G16="$/Pet/Month",(CQ$36*'Operating Assumptions'!$D$18)*('Operating Assumptions'!$H16*CQ$23),IF('Operating Assumptions'!$G16="$/Parking/Month",('Operating Assumptions'!$H16*CQ$23)*'Operating Assumptions'!$D$17)))))))</f>
        <v>0</v>
      </c>
      <c r="CR49" s="427">
        <f>IF(OR(CR$9&lt;'Operating Assumptions'!$D$53,CR$6&gt;'Operating Assumptions'!$AA$8,'Operating Assumptions'!$G16="N/A"),0,IF('Operating Assumptions'!$G16="$/Unit/Annual",(('Operating Assumptions'!$H16*CR$23)*CR$36)/12,IF('Operating Assumptions'!$G16="$/Unit/Month",('Operating Assumptions'!$H16*CR$23)*CR$36,IF('Operating Assumptions'!$G16="Fixed Amount",('Operating Assumptions'!$H16*CR$23)/12,IF('Operating Assumptions'!$G16="$/Garage/Month",('Operating Assumptions'!$H16*CR$23)*'Operating Assumptions'!$D$16,IF('Operating Assumptions'!$G16="$/Pet/Month",(CR$36*'Operating Assumptions'!$D$18)*('Operating Assumptions'!$H16*CR$23),IF('Operating Assumptions'!$G16="$/Parking/Month",('Operating Assumptions'!$H16*CR$23)*'Operating Assumptions'!$D$17)))))))</f>
        <v>0</v>
      </c>
      <c r="CS49" s="427">
        <f>IF(OR(CS$9&lt;'Operating Assumptions'!$D$53,CS$6&gt;'Operating Assumptions'!$AA$8,'Operating Assumptions'!$G16="N/A"),0,IF('Operating Assumptions'!$G16="$/Unit/Annual",(('Operating Assumptions'!$H16*CS$23)*CS$36)/12,IF('Operating Assumptions'!$G16="$/Unit/Month",('Operating Assumptions'!$H16*CS$23)*CS$36,IF('Operating Assumptions'!$G16="Fixed Amount",('Operating Assumptions'!$H16*CS$23)/12,IF('Operating Assumptions'!$G16="$/Garage/Month",('Operating Assumptions'!$H16*CS$23)*'Operating Assumptions'!$D$16,IF('Operating Assumptions'!$G16="$/Pet/Month",(CS$36*'Operating Assumptions'!$D$18)*('Operating Assumptions'!$H16*CS$23),IF('Operating Assumptions'!$G16="$/Parking/Month",('Operating Assumptions'!$H16*CS$23)*'Operating Assumptions'!$D$17)))))))</f>
        <v>0</v>
      </c>
      <c r="CT49" s="427">
        <f>IF(OR(CT$9&lt;'Operating Assumptions'!$D$53,CT$6&gt;'Operating Assumptions'!$AA$8,'Operating Assumptions'!$G16="N/A"),0,IF('Operating Assumptions'!$G16="$/Unit/Annual",(('Operating Assumptions'!$H16*CT$23)*CT$36)/12,IF('Operating Assumptions'!$G16="$/Unit/Month",('Operating Assumptions'!$H16*CT$23)*CT$36,IF('Operating Assumptions'!$G16="Fixed Amount",('Operating Assumptions'!$H16*CT$23)/12,IF('Operating Assumptions'!$G16="$/Garage/Month",('Operating Assumptions'!$H16*CT$23)*'Operating Assumptions'!$D$16,IF('Operating Assumptions'!$G16="$/Pet/Month",(CT$36*'Operating Assumptions'!$D$18)*('Operating Assumptions'!$H16*CT$23),IF('Operating Assumptions'!$G16="$/Parking/Month",('Operating Assumptions'!$H16*CT$23)*'Operating Assumptions'!$D$17)))))))</f>
        <v>0</v>
      </c>
      <c r="CU49" s="427">
        <f>IF(OR(CU$9&lt;'Operating Assumptions'!$D$53,CU$6&gt;'Operating Assumptions'!$AA$8,'Operating Assumptions'!$G16="N/A"),0,IF('Operating Assumptions'!$G16="$/Unit/Annual",(('Operating Assumptions'!$H16*CU$23)*CU$36)/12,IF('Operating Assumptions'!$G16="$/Unit/Month",('Operating Assumptions'!$H16*CU$23)*CU$36,IF('Operating Assumptions'!$G16="Fixed Amount",('Operating Assumptions'!$H16*CU$23)/12,IF('Operating Assumptions'!$G16="$/Garage/Month",('Operating Assumptions'!$H16*CU$23)*'Operating Assumptions'!$D$16,IF('Operating Assumptions'!$G16="$/Pet/Month",(CU$36*'Operating Assumptions'!$D$18)*('Operating Assumptions'!$H16*CU$23),IF('Operating Assumptions'!$G16="$/Parking/Month",('Operating Assumptions'!$H16*CU$23)*'Operating Assumptions'!$D$17)))))))</f>
        <v>0</v>
      </c>
      <c r="CV49" s="427">
        <f>IF(OR(CV$9&lt;'Operating Assumptions'!$D$53,CV$6&gt;'Operating Assumptions'!$AA$8,'Operating Assumptions'!$G16="N/A"),0,IF('Operating Assumptions'!$G16="$/Unit/Annual",(('Operating Assumptions'!$H16*CV$23)*CV$36)/12,IF('Operating Assumptions'!$G16="$/Unit/Month",('Operating Assumptions'!$H16*CV$23)*CV$36,IF('Operating Assumptions'!$G16="Fixed Amount",('Operating Assumptions'!$H16*CV$23)/12,IF('Operating Assumptions'!$G16="$/Garage/Month",('Operating Assumptions'!$H16*CV$23)*'Operating Assumptions'!$D$16,IF('Operating Assumptions'!$G16="$/Pet/Month",(CV$36*'Operating Assumptions'!$D$18)*('Operating Assumptions'!$H16*CV$23),IF('Operating Assumptions'!$G16="$/Parking/Month",('Operating Assumptions'!$H16*CV$23)*'Operating Assumptions'!$D$17)))))))</f>
        <v>0</v>
      </c>
      <c r="CW49" s="427">
        <f>IF(OR(CW$9&lt;'Operating Assumptions'!$D$53,CW$6&gt;'Operating Assumptions'!$AA$8,'Operating Assumptions'!$G16="N/A"),0,IF('Operating Assumptions'!$G16="$/Unit/Annual",(('Operating Assumptions'!$H16*CW$23)*CW$36)/12,IF('Operating Assumptions'!$G16="$/Unit/Month",('Operating Assumptions'!$H16*CW$23)*CW$36,IF('Operating Assumptions'!$G16="Fixed Amount",('Operating Assumptions'!$H16*CW$23)/12,IF('Operating Assumptions'!$G16="$/Garage/Month",('Operating Assumptions'!$H16*CW$23)*'Operating Assumptions'!$D$16,IF('Operating Assumptions'!$G16="$/Pet/Month",(CW$36*'Operating Assumptions'!$D$18)*('Operating Assumptions'!$H16*CW$23),IF('Operating Assumptions'!$G16="$/Parking/Month",('Operating Assumptions'!$H16*CW$23)*'Operating Assumptions'!$D$17)))))))</f>
        <v>0</v>
      </c>
      <c r="CX49" s="427">
        <f>IF(OR(CX$9&lt;'Operating Assumptions'!$D$53,CX$6&gt;'Operating Assumptions'!$AA$8,'Operating Assumptions'!$G16="N/A"),0,IF('Operating Assumptions'!$G16="$/Unit/Annual",(('Operating Assumptions'!$H16*CX$23)*CX$36)/12,IF('Operating Assumptions'!$G16="$/Unit/Month",('Operating Assumptions'!$H16*CX$23)*CX$36,IF('Operating Assumptions'!$G16="Fixed Amount",('Operating Assumptions'!$H16*CX$23)/12,IF('Operating Assumptions'!$G16="$/Garage/Month",('Operating Assumptions'!$H16*CX$23)*'Operating Assumptions'!$D$16,IF('Operating Assumptions'!$G16="$/Pet/Month",(CX$36*'Operating Assumptions'!$D$18)*('Operating Assumptions'!$H16*CX$23),IF('Operating Assumptions'!$G16="$/Parking/Month",('Operating Assumptions'!$H16*CX$23)*'Operating Assumptions'!$D$17)))))))</f>
        <v>0</v>
      </c>
      <c r="CY49" s="427">
        <f>IF(OR(CY$9&lt;'Operating Assumptions'!$D$53,CY$6&gt;'Operating Assumptions'!$AA$8,'Operating Assumptions'!$G16="N/A"),0,IF('Operating Assumptions'!$G16="$/Unit/Annual",(('Operating Assumptions'!$H16*CY$23)*CY$36)/12,IF('Operating Assumptions'!$G16="$/Unit/Month",('Operating Assumptions'!$H16*CY$23)*CY$36,IF('Operating Assumptions'!$G16="Fixed Amount",('Operating Assumptions'!$H16*CY$23)/12,IF('Operating Assumptions'!$G16="$/Garage/Month",('Operating Assumptions'!$H16*CY$23)*'Operating Assumptions'!$D$16,IF('Operating Assumptions'!$G16="$/Pet/Month",(CY$36*'Operating Assumptions'!$D$18)*('Operating Assumptions'!$H16*CY$23),IF('Operating Assumptions'!$G16="$/Parking/Month",('Operating Assumptions'!$H16*CY$23)*'Operating Assumptions'!$D$17)))))))</f>
        <v>0</v>
      </c>
      <c r="CZ49" s="427">
        <f>IF(OR(CZ$9&lt;'Operating Assumptions'!$D$53,CZ$6&gt;'Operating Assumptions'!$AA$8,'Operating Assumptions'!$G16="N/A"),0,IF('Operating Assumptions'!$G16="$/Unit/Annual",(('Operating Assumptions'!$H16*CZ$23)*CZ$36)/12,IF('Operating Assumptions'!$G16="$/Unit/Month",('Operating Assumptions'!$H16*CZ$23)*CZ$36,IF('Operating Assumptions'!$G16="Fixed Amount",('Operating Assumptions'!$H16*CZ$23)/12,IF('Operating Assumptions'!$G16="$/Garage/Month",('Operating Assumptions'!$H16*CZ$23)*'Operating Assumptions'!$D$16,IF('Operating Assumptions'!$G16="$/Pet/Month",(CZ$36*'Operating Assumptions'!$D$18)*('Operating Assumptions'!$H16*CZ$23),IF('Operating Assumptions'!$G16="$/Parking/Month",('Operating Assumptions'!$H16*CZ$23)*'Operating Assumptions'!$D$17)))))))</f>
        <v>0</v>
      </c>
      <c r="DA49" s="427">
        <f>IF(OR(DA$9&lt;'Operating Assumptions'!$D$53,DA$6&gt;'Operating Assumptions'!$AA$8,'Operating Assumptions'!$G16="N/A"),0,IF('Operating Assumptions'!$G16="$/Unit/Annual",(('Operating Assumptions'!$H16*DA$23)*DA$36)/12,IF('Operating Assumptions'!$G16="$/Unit/Month",('Operating Assumptions'!$H16*DA$23)*DA$36,IF('Operating Assumptions'!$G16="Fixed Amount",('Operating Assumptions'!$H16*DA$23)/12,IF('Operating Assumptions'!$G16="$/Garage/Month",('Operating Assumptions'!$H16*DA$23)*'Operating Assumptions'!$D$16,IF('Operating Assumptions'!$G16="$/Pet/Month",(DA$36*'Operating Assumptions'!$D$18)*('Operating Assumptions'!$H16*DA$23),IF('Operating Assumptions'!$G16="$/Parking/Month",('Operating Assumptions'!$H16*DA$23)*'Operating Assumptions'!$D$17)))))))</f>
        <v>0</v>
      </c>
      <c r="DB49" s="427">
        <f>IF(OR(DB$9&lt;'Operating Assumptions'!$D$53,DB$6&gt;'Operating Assumptions'!$AA$8,'Operating Assumptions'!$G16="N/A"),0,IF('Operating Assumptions'!$G16="$/Unit/Annual",(('Operating Assumptions'!$H16*DB$23)*DB$36)/12,IF('Operating Assumptions'!$G16="$/Unit/Month",('Operating Assumptions'!$H16*DB$23)*DB$36,IF('Operating Assumptions'!$G16="Fixed Amount",('Operating Assumptions'!$H16*DB$23)/12,IF('Operating Assumptions'!$G16="$/Garage/Month",('Operating Assumptions'!$H16*DB$23)*'Operating Assumptions'!$D$16,IF('Operating Assumptions'!$G16="$/Pet/Month",(DB$36*'Operating Assumptions'!$D$18)*('Operating Assumptions'!$H16*DB$23),IF('Operating Assumptions'!$G16="$/Parking/Month",('Operating Assumptions'!$H16*DB$23)*'Operating Assumptions'!$D$17)))))))</f>
        <v>0</v>
      </c>
      <c r="DC49" s="427">
        <f>IF(OR(DC$9&lt;'Operating Assumptions'!$D$53,DC$6&gt;'Operating Assumptions'!$AA$8,'Operating Assumptions'!$G16="N/A"),0,IF('Operating Assumptions'!$G16="$/Unit/Annual",(('Operating Assumptions'!$H16*DC$23)*DC$36)/12,IF('Operating Assumptions'!$G16="$/Unit/Month",('Operating Assumptions'!$H16*DC$23)*DC$36,IF('Operating Assumptions'!$G16="Fixed Amount",('Operating Assumptions'!$H16*DC$23)/12,IF('Operating Assumptions'!$G16="$/Garage/Month",('Operating Assumptions'!$H16*DC$23)*'Operating Assumptions'!$D$16,IF('Operating Assumptions'!$G16="$/Pet/Month",(DC$36*'Operating Assumptions'!$D$18)*('Operating Assumptions'!$H16*DC$23),IF('Operating Assumptions'!$G16="$/Parking/Month",('Operating Assumptions'!$H16*DC$23)*'Operating Assumptions'!$D$17)))))))</f>
        <v>0</v>
      </c>
      <c r="DD49" s="427">
        <f>IF(OR(DD$9&lt;'Operating Assumptions'!$D$53,DD$6&gt;'Operating Assumptions'!$AA$8,'Operating Assumptions'!$G16="N/A"),0,IF('Operating Assumptions'!$G16="$/Unit/Annual",(('Operating Assumptions'!$H16*DD$23)*DD$36)/12,IF('Operating Assumptions'!$G16="$/Unit/Month",('Operating Assumptions'!$H16*DD$23)*DD$36,IF('Operating Assumptions'!$G16="Fixed Amount",('Operating Assumptions'!$H16*DD$23)/12,IF('Operating Assumptions'!$G16="$/Garage/Month",('Operating Assumptions'!$H16*DD$23)*'Operating Assumptions'!$D$16,IF('Operating Assumptions'!$G16="$/Pet/Month",(DD$36*'Operating Assumptions'!$D$18)*('Operating Assumptions'!$H16*DD$23),IF('Operating Assumptions'!$G16="$/Parking/Month",('Operating Assumptions'!$H16*DD$23)*'Operating Assumptions'!$D$17)))))))</f>
        <v>0</v>
      </c>
      <c r="DE49" s="427">
        <f>IF(OR(DE$9&lt;'Operating Assumptions'!$D$53,DE$6&gt;'Operating Assumptions'!$AA$8,'Operating Assumptions'!$G16="N/A"),0,IF('Operating Assumptions'!$G16="$/Unit/Annual",(('Operating Assumptions'!$H16*DE$23)*DE$36)/12,IF('Operating Assumptions'!$G16="$/Unit/Month",('Operating Assumptions'!$H16*DE$23)*DE$36,IF('Operating Assumptions'!$G16="Fixed Amount",('Operating Assumptions'!$H16*DE$23)/12,IF('Operating Assumptions'!$G16="$/Garage/Month",('Operating Assumptions'!$H16*DE$23)*'Operating Assumptions'!$D$16,IF('Operating Assumptions'!$G16="$/Pet/Month",(DE$36*'Operating Assumptions'!$D$18)*('Operating Assumptions'!$H16*DE$23),IF('Operating Assumptions'!$G16="$/Parking/Month",('Operating Assumptions'!$H16*DE$23)*'Operating Assumptions'!$D$17)))))))</f>
        <v>0</v>
      </c>
      <c r="DF49" s="427">
        <f>IF(OR(DF$9&lt;'Operating Assumptions'!$D$53,DF$6&gt;'Operating Assumptions'!$AA$8,'Operating Assumptions'!$G16="N/A"),0,IF('Operating Assumptions'!$G16="$/Unit/Annual",(('Operating Assumptions'!$H16*DF$23)*DF$36)/12,IF('Operating Assumptions'!$G16="$/Unit/Month",('Operating Assumptions'!$H16*DF$23)*DF$36,IF('Operating Assumptions'!$G16="Fixed Amount",('Operating Assumptions'!$H16*DF$23)/12,IF('Operating Assumptions'!$G16="$/Garage/Month",('Operating Assumptions'!$H16*DF$23)*'Operating Assumptions'!$D$16,IF('Operating Assumptions'!$G16="$/Pet/Month",(DF$36*'Operating Assumptions'!$D$18)*('Operating Assumptions'!$H16*DF$23),IF('Operating Assumptions'!$G16="$/Parking/Month",('Operating Assumptions'!$H16*DF$23)*'Operating Assumptions'!$D$17)))))))</f>
        <v>0</v>
      </c>
      <c r="DG49" s="427">
        <f>IF(OR(DG$9&lt;'Operating Assumptions'!$D$53,DG$6&gt;'Operating Assumptions'!$AA$8,'Operating Assumptions'!$G16="N/A"),0,IF('Operating Assumptions'!$G16="$/Unit/Annual",(('Operating Assumptions'!$H16*DG$23)*DG$36)/12,IF('Operating Assumptions'!$G16="$/Unit/Month",('Operating Assumptions'!$H16*DG$23)*DG$36,IF('Operating Assumptions'!$G16="Fixed Amount",('Operating Assumptions'!$H16*DG$23)/12,IF('Operating Assumptions'!$G16="$/Garage/Month",('Operating Assumptions'!$H16*DG$23)*'Operating Assumptions'!$D$16,IF('Operating Assumptions'!$G16="$/Pet/Month",(DG$36*'Operating Assumptions'!$D$18)*('Operating Assumptions'!$H16*DG$23),IF('Operating Assumptions'!$G16="$/Parking/Month",('Operating Assumptions'!$H16*DG$23)*'Operating Assumptions'!$D$17)))))))</f>
        <v>0</v>
      </c>
      <c r="DH49" s="427">
        <f>IF(OR(DH$9&lt;'Operating Assumptions'!$D$53,DH$6&gt;'Operating Assumptions'!$AA$8,'Operating Assumptions'!$G16="N/A"),0,IF('Operating Assumptions'!$G16="$/Unit/Annual",(('Operating Assumptions'!$H16*DH$23)*DH$36)/12,IF('Operating Assumptions'!$G16="$/Unit/Month",('Operating Assumptions'!$H16*DH$23)*DH$36,IF('Operating Assumptions'!$G16="Fixed Amount",('Operating Assumptions'!$H16*DH$23)/12,IF('Operating Assumptions'!$G16="$/Garage/Month",('Operating Assumptions'!$H16*DH$23)*'Operating Assumptions'!$D$16,IF('Operating Assumptions'!$G16="$/Pet/Month",(DH$36*'Operating Assumptions'!$D$18)*('Operating Assumptions'!$H16*DH$23),IF('Operating Assumptions'!$G16="$/Parking/Month",('Operating Assumptions'!$H16*DH$23)*'Operating Assumptions'!$D$17)))))))</f>
        <v>0</v>
      </c>
      <c r="DI49" s="427">
        <f>IF(OR(DI$9&lt;'Operating Assumptions'!$D$53,DI$6&gt;'Operating Assumptions'!$AA$8,'Operating Assumptions'!$G16="N/A"),0,IF('Operating Assumptions'!$G16="$/Unit/Annual",(('Operating Assumptions'!$H16*DI$23)*DI$36)/12,IF('Operating Assumptions'!$G16="$/Unit/Month",('Operating Assumptions'!$H16*DI$23)*DI$36,IF('Operating Assumptions'!$G16="Fixed Amount",('Operating Assumptions'!$H16*DI$23)/12,IF('Operating Assumptions'!$G16="$/Garage/Month",('Operating Assumptions'!$H16*DI$23)*'Operating Assumptions'!$D$16,IF('Operating Assumptions'!$G16="$/Pet/Month",(DI$36*'Operating Assumptions'!$D$18)*('Operating Assumptions'!$H16*DI$23),IF('Operating Assumptions'!$G16="$/Parking/Month",('Operating Assumptions'!$H16*DI$23)*'Operating Assumptions'!$D$17)))))))</f>
        <v>0</v>
      </c>
      <c r="DJ49" s="427">
        <f>IF(OR(DJ$9&lt;'Operating Assumptions'!$D$53,DJ$6&gt;'Operating Assumptions'!$AA$8,'Operating Assumptions'!$G16="N/A"),0,IF('Operating Assumptions'!$G16="$/Unit/Annual",(('Operating Assumptions'!$H16*DJ$23)*DJ$36)/12,IF('Operating Assumptions'!$G16="$/Unit/Month",('Operating Assumptions'!$H16*DJ$23)*DJ$36,IF('Operating Assumptions'!$G16="Fixed Amount",('Operating Assumptions'!$H16*DJ$23)/12,IF('Operating Assumptions'!$G16="$/Garage/Month",('Operating Assumptions'!$H16*DJ$23)*'Operating Assumptions'!$D$16,IF('Operating Assumptions'!$G16="$/Pet/Month",(DJ$36*'Operating Assumptions'!$D$18)*('Operating Assumptions'!$H16*DJ$23),IF('Operating Assumptions'!$G16="$/Parking/Month",('Operating Assumptions'!$H16*DJ$23)*'Operating Assumptions'!$D$17)))))))</f>
        <v>0</v>
      </c>
      <c r="DK49" s="427">
        <f>IF(OR(DK$9&lt;'Operating Assumptions'!$D$53,DK$6&gt;'Operating Assumptions'!$AA$8,'Operating Assumptions'!$G16="N/A"),0,IF('Operating Assumptions'!$G16="$/Unit/Annual",(('Operating Assumptions'!$H16*DK$23)*DK$36)/12,IF('Operating Assumptions'!$G16="$/Unit/Month",('Operating Assumptions'!$H16*DK$23)*DK$36,IF('Operating Assumptions'!$G16="Fixed Amount",('Operating Assumptions'!$H16*DK$23)/12,IF('Operating Assumptions'!$G16="$/Garage/Month",('Operating Assumptions'!$H16*DK$23)*'Operating Assumptions'!$D$16,IF('Operating Assumptions'!$G16="$/Pet/Month",(DK$36*'Operating Assumptions'!$D$18)*('Operating Assumptions'!$H16*DK$23),IF('Operating Assumptions'!$G16="$/Parking/Month",('Operating Assumptions'!$H16*DK$23)*'Operating Assumptions'!$D$17)))))))</f>
        <v>0</v>
      </c>
      <c r="DL49" s="427">
        <f>IF(OR(DL$9&lt;'Operating Assumptions'!$D$53,DL$6&gt;'Operating Assumptions'!$AA$8,'Operating Assumptions'!$G16="N/A"),0,IF('Operating Assumptions'!$G16="$/Unit/Annual",(('Operating Assumptions'!$H16*DL$23)*DL$36)/12,IF('Operating Assumptions'!$G16="$/Unit/Month",('Operating Assumptions'!$H16*DL$23)*DL$36,IF('Operating Assumptions'!$G16="Fixed Amount",('Operating Assumptions'!$H16*DL$23)/12,IF('Operating Assumptions'!$G16="$/Garage/Month",('Operating Assumptions'!$H16*DL$23)*'Operating Assumptions'!$D$16,IF('Operating Assumptions'!$G16="$/Pet/Month",(DL$36*'Operating Assumptions'!$D$18)*('Operating Assumptions'!$H16*DL$23),IF('Operating Assumptions'!$G16="$/Parking/Month",('Operating Assumptions'!$H16*DL$23)*'Operating Assumptions'!$D$17)))))))</f>
        <v>0</v>
      </c>
      <c r="DM49" s="427">
        <f>IF(OR(DM$9&lt;'Operating Assumptions'!$D$53,DM$6&gt;'Operating Assumptions'!$AA$8,'Operating Assumptions'!$G16="N/A"),0,IF('Operating Assumptions'!$G16="$/Unit/Annual",(('Operating Assumptions'!$H16*DM$23)*DM$36)/12,IF('Operating Assumptions'!$G16="$/Unit/Month",('Operating Assumptions'!$H16*DM$23)*DM$36,IF('Operating Assumptions'!$G16="Fixed Amount",('Operating Assumptions'!$H16*DM$23)/12,IF('Operating Assumptions'!$G16="$/Garage/Month",('Operating Assumptions'!$H16*DM$23)*'Operating Assumptions'!$D$16,IF('Operating Assumptions'!$G16="$/Pet/Month",(DM$36*'Operating Assumptions'!$D$18)*('Operating Assumptions'!$H16*DM$23),IF('Operating Assumptions'!$G16="$/Parking/Month",('Operating Assumptions'!$H16*DM$23)*'Operating Assumptions'!$D$17)))))))</f>
        <v>0</v>
      </c>
      <c r="DN49" s="427">
        <f>IF(OR(DN$9&lt;'Operating Assumptions'!$D$53,DN$6&gt;'Operating Assumptions'!$AA$8,'Operating Assumptions'!$G16="N/A"),0,IF('Operating Assumptions'!$G16="$/Unit/Annual",(('Operating Assumptions'!$H16*DN$23)*DN$36)/12,IF('Operating Assumptions'!$G16="$/Unit/Month",('Operating Assumptions'!$H16*DN$23)*DN$36,IF('Operating Assumptions'!$G16="Fixed Amount",('Operating Assumptions'!$H16*DN$23)/12,IF('Operating Assumptions'!$G16="$/Garage/Month",('Operating Assumptions'!$H16*DN$23)*'Operating Assumptions'!$D$16,IF('Operating Assumptions'!$G16="$/Pet/Month",(DN$36*'Operating Assumptions'!$D$18)*('Operating Assumptions'!$H16*DN$23),IF('Operating Assumptions'!$G16="$/Parking/Month",('Operating Assumptions'!$H16*DN$23)*'Operating Assumptions'!$D$17)))))))</f>
        <v>0</v>
      </c>
      <c r="DO49" s="427">
        <f>IF(OR(DO$9&lt;'Operating Assumptions'!$D$53,DO$6&gt;'Operating Assumptions'!$AA$8,'Operating Assumptions'!$G16="N/A"),0,IF('Operating Assumptions'!$G16="$/Unit/Annual",(('Operating Assumptions'!$H16*DO$23)*DO$36)/12,IF('Operating Assumptions'!$G16="$/Unit/Month",('Operating Assumptions'!$H16*DO$23)*DO$36,IF('Operating Assumptions'!$G16="Fixed Amount",('Operating Assumptions'!$H16*DO$23)/12,IF('Operating Assumptions'!$G16="$/Garage/Month",('Operating Assumptions'!$H16*DO$23)*'Operating Assumptions'!$D$16,IF('Operating Assumptions'!$G16="$/Pet/Month",(DO$36*'Operating Assumptions'!$D$18)*('Operating Assumptions'!$H16*DO$23),IF('Operating Assumptions'!$G16="$/Parking/Month",('Operating Assumptions'!$H16*DO$23)*'Operating Assumptions'!$D$17)))))))</f>
        <v>0</v>
      </c>
      <c r="DP49" s="427">
        <f>IF(OR(DP$9&lt;'Operating Assumptions'!$D$53,DP$6&gt;'Operating Assumptions'!$AA$8,'Operating Assumptions'!$G16="N/A"),0,IF('Operating Assumptions'!$G16="$/Unit/Annual",(('Operating Assumptions'!$H16*DP$23)*DP$36)/12,IF('Operating Assumptions'!$G16="$/Unit/Month",('Operating Assumptions'!$H16*DP$23)*DP$36,IF('Operating Assumptions'!$G16="Fixed Amount",('Operating Assumptions'!$H16*DP$23)/12,IF('Operating Assumptions'!$G16="$/Garage/Month",('Operating Assumptions'!$H16*DP$23)*'Operating Assumptions'!$D$16,IF('Operating Assumptions'!$G16="$/Pet/Month",(DP$36*'Operating Assumptions'!$D$18)*('Operating Assumptions'!$H16*DP$23),IF('Operating Assumptions'!$G16="$/Parking/Month",('Operating Assumptions'!$H16*DP$23)*'Operating Assumptions'!$D$17)))))))</f>
        <v>0</v>
      </c>
      <c r="DQ49" s="427">
        <f>IF(OR(DQ$9&lt;'Operating Assumptions'!$D$53,DQ$6&gt;'Operating Assumptions'!$AA$8,'Operating Assumptions'!$G16="N/A"),0,IF('Operating Assumptions'!$G16="$/Unit/Annual",(('Operating Assumptions'!$H16*DQ$23)*DQ$36)/12,IF('Operating Assumptions'!$G16="$/Unit/Month",('Operating Assumptions'!$H16*DQ$23)*DQ$36,IF('Operating Assumptions'!$G16="Fixed Amount",('Operating Assumptions'!$H16*DQ$23)/12,IF('Operating Assumptions'!$G16="$/Garage/Month",('Operating Assumptions'!$H16*DQ$23)*'Operating Assumptions'!$D$16,IF('Operating Assumptions'!$G16="$/Pet/Month",(DQ$36*'Operating Assumptions'!$D$18)*('Operating Assumptions'!$H16*DQ$23),IF('Operating Assumptions'!$G16="$/Parking/Month",('Operating Assumptions'!$H16*DQ$23)*'Operating Assumptions'!$D$17)))))))</f>
        <v>0</v>
      </c>
      <c r="DR49" s="427">
        <f>IF(OR(DR$9&lt;'Operating Assumptions'!$D$53,DR$6&gt;'Operating Assumptions'!$AA$8,'Operating Assumptions'!$G16="N/A"),0,IF('Operating Assumptions'!$G16="$/Unit/Annual",(('Operating Assumptions'!$H16*DR$23)*DR$36)/12,IF('Operating Assumptions'!$G16="$/Unit/Month",('Operating Assumptions'!$H16*DR$23)*DR$36,IF('Operating Assumptions'!$G16="Fixed Amount",('Operating Assumptions'!$H16*DR$23)/12,IF('Operating Assumptions'!$G16="$/Garage/Month",('Operating Assumptions'!$H16*DR$23)*'Operating Assumptions'!$D$16,IF('Operating Assumptions'!$G16="$/Pet/Month",(DR$36*'Operating Assumptions'!$D$18)*('Operating Assumptions'!$H16*DR$23),IF('Operating Assumptions'!$G16="$/Parking/Month",('Operating Assumptions'!$H16*DR$23)*'Operating Assumptions'!$D$17)))))))</f>
        <v>0</v>
      </c>
      <c r="DS49" s="427">
        <f>IF(OR(DS$9&lt;'Operating Assumptions'!$D$53,DS$6&gt;'Operating Assumptions'!$AA$8,'Operating Assumptions'!$G16="N/A"),0,IF('Operating Assumptions'!$G16="$/Unit/Annual",(('Operating Assumptions'!$H16*DS$23)*DS$36)/12,IF('Operating Assumptions'!$G16="$/Unit/Month",('Operating Assumptions'!$H16*DS$23)*DS$36,IF('Operating Assumptions'!$G16="Fixed Amount",('Operating Assumptions'!$H16*DS$23)/12,IF('Operating Assumptions'!$G16="$/Garage/Month",('Operating Assumptions'!$H16*DS$23)*'Operating Assumptions'!$D$16,IF('Operating Assumptions'!$G16="$/Pet/Month",(DS$36*'Operating Assumptions'!$D$18)*('Operating Assumptions'!$H16*DS$23),IF('Operating Assumptions'!$G16="$/Parking/Month",('Operating Assumptions'!$H16*DS$23)*'Operating Assumptions'!$D$17)))))))</f>
        <v>0</v>
      </c>
      <c r="DT49" s="427">
        <f>IF(OR(DT$9&lt;'Operating Assumptions'!$D$53,DT$6&gt;'Operating Assumptions'!$AA$8,'Operating Assumptions'!$G16="N/A"),0,IF('Operating Assumptions'!$G16="$/Unit/Annual",(('Operating Assumptions'!$H16*DT$23)*DT$36)/12,IF('Operating Assumptions'!$G16="$/Unit/Month",('Operating Assumptions'!$H16*DT$23)*DT$36,IF('Operating Assumptions'!$G16="Fixed Amount",('Operating Assumptions'!$H16*DT$23)/12,IF('Operating Assumptions'!$G16="$/Garage/Month",('Operating Assumptions'!$H16*DT$23)*'Operating Assumptions'!$D$16,IF('Operating Assumptions'!$G16="$/Pet/Month",(DT$36*'Operating Assumptions'!$D$18)*('Operating Assumptions'!$H16*DT$23),IF('Operating Assumptions'!$G16="$/Parking/Month",('Operating Assumptions'!$H16*DT$23)*'Operating Assumptions'!$D$17)))))))</f>
        <v>0</v>
      </c>
      <c r="DU49" s="427">
        <f>IF(OR(DU$9&lt;'Operating Assumptions'!$D$53,DU$6&gt;'Operating Assumptions'!$AA$8,'Operating Assumptions'!$G16="N/A"),0,IF('Operating Assumptions'!$G16="$/Unit/Annual",(('Operating Assumptions'!$H16*DU$23)*DU$36)/12,IF('Operating Assumptions'!$G16="$/Unit/Month",('Operating Assumptions'!$H16*DU$23)*DU$36,IF('Operating Assumptions'!$G16="Fixed Amount",('Operating Assumptions'!$H16*DU$23)/12,IF('Operating Assumptions'!$G16="$/Garage/Month",('Operating Assumptions'!$H16*DU$23)*'Operating Assumptions'!$D$16,IF('Operating Assumptions'!$G16="$/Pet/Month",(DU$36*'Operating Assumptions'!$D$18)*('Operating Assumptions'!$H16*DU$23),IF('Operating Assumptions'!$G16="$/Parking/Month",('Operating Assumptions'!$H16*DU$23)*'Operating Assumptions'!$D$17)))))))</f>
        <v>0</v>
      </c>
      <c r="DV49" s="427">
        <f>IF(OR(DV$9&lt;'Operating Assumptions'!$D$53,DV$6&gt;'Operating Assumptions'!$AA$8,'Operating Assumptions'!$G16="N/A"),0,IF('Operating Assumptions'!$G16="$/Unit/Annual",(('Operating Assumptions'!$H16*DV$23)*DV$36)/12,IF('Operating Assumptions'!$G16="$/Unit/Month",('Operating Assumptions'!$H16*DV$23)*DV$36,IF('Operating Assumptions'!$G16="Fixed Amount",('Operating Assumptions'!$H16*DV$23)/12,IF('Operating Assumptions'!$G16="$/Garage/Month",('Operating Assumptions'!$H16*DV$23)*'Operating Assumptions'!$D$16,IF('Operating Assumptions'!$G16="$/Pet/Month",(DV$36*'Operating Assumptions'!$D$18)*('Operating Assumptions'!$H16*DV$23),IF('Operating Assumptions'!$G16="$/Parking/Month",('Operating Assumptions'!$H16*DV$23)*'Operating Assumptions'!$D$17)))))))</f>
        <v>0</v>
      </c>
      <c r="DW49" s="427">
        <f>IF(OR(DW$9&lt;'Operating Assumptions'!$D$53,DW$6&gt;'Operating Assumptions'!$AA$8,'Operating Assumptions'!$G16="N/A"),0,IF('Operating Assumptions'!$G16="$/Unit/Annual",(('Operating Assumptions'!$H16*DW$23)*DW$36)/12,IF('Operating Assumptions'!$G16="$/Unit/Month",('Operating Assumptions'!$H16*DW$23)*DW$36,IF('Operating Assumptions'!$G16="Fixed Amount",('Operating Assumptions'!$H16*DW$23)/12,IF('Operating Assumptions'!$G16="$/Garage/Month",('Operating Assumptions'!$H16*DW$23)*'Operating Assumptions'!$D$16,IF('Operating Assumptions'!$G16="$/Pet/Month",(DW$36*'Operating Assumptions'!$D$18)*('Operating Assumptions'!$H16*DW$23),IF('Operating Assumptions'!$G16="$/Parking/Month",('Operating Assumptions'!$H16*DW$23)*'Operating Assumptions'!$D$17)))))))</f>
        <v>0</v>
      </c>
      <c r="DX49" s="427">
        <f>IF(OR(DX$9&lt;'Operating Assumptions'!$D$53,DX$6&gt;'Operating Assumptions'!$AA$8,'Operating Assumptions'!$G16="N/A"),0,IF('Operating Assumptions'!$G16="$/Unit/Annual",(('Operating Assumptions'!$H16*DX$23)*DX$36)/12,IF('Operating Assumptions'!$G16="$/Unit/Month",('Operating Assumptions'!$H16*DX$23)*DX$36,IF('Operating Assumptions'!$G16="Fixed Amount",('Operating Assumptions'!$H16*DX$23)/12,IF('Operating Assumptions'!$G16="$/Garage/Month",('Operating Assumptions'!$H16*DX$23)*'Operating Assumptions'!$D$16,IF('Operating Assumptions'!$G16="$/Pet/Month",(DX$36*'Operating Assumptions'!$D$18)*('Operating Assumptions'!$H16*DX$23),IF('Operating Assumptions'!$G16="$/Parking/Month",('Operating Assumptions'!$H16*DX$23)*'Operating Assumptions'!$D$17)))))))</f>
        <v>0</v>
      </c>
      <c r="DY49" s="427">
        <f>IF(OR(DY$9&lt;'Operating Assumptions'!$D$53,DY$6&gt;'Operating Assumptions'!$AA$8,'Operating Assumptions'!$G16="N/A"),0,IF('Operating Assumptions'!$G16="$/Unit/Annual",(('Operating Assumptions'!$H16*DY$23)*DY$36)/12,IF('Operating Assumptions'!$G16="$/Unit/Month",('Operating Assumptions'!$H16*DY$23)*DY$36,IF('Operating Assumptions'!$G16="Fixed Amount",('Operating Assumptions'!$H16*DY$23)/12,IF('Operating Assumptions'!$G16="$/Garage/Month",('Operating Assumptions'!$H16*DY$23)*'Operating Assumptions'!$D$16,IF('Operating Assumptions'!$G16="$/Pet/Month",(DY$36*'Operating Assumptions'!$D$18)*('Operating Assumptions'!$H16*DY$23),IF('Operating Assumptions'!$G16="$/Parking/Month",('Operating Assumptions'!$H16*DY$23)*'Operating Assumptions'!$D$17)))))))</f>
        <v>0</v>
      </c>
      <c r="DZ49" s="427">
        <f>IF(OR(DZ$9&lt;'Operating Assumptions'!$D$53,DZ$6&gt;'Operating Assumptions'!$AA$8,'Operating Assumptions'!$G16="N/A"),0,IF('Operating Assumptions'!$G16="$/Unit/Annual",(('Operating Assumptions'!$H16*DZ$23)*DZ$36)/12,IF('Operating Assumptions'!$G16="$/Unit/Month",('Operating Assumptions'!$H16*DZ$23)*DZ$36,IF('Operating Assumptions'!$G16="Fixed Amount",('Operating Assumptions'!$H16*DZ$23)/12,IF('Operating Assumptions'!$G16="$/Garage/Month",('Operating Assumptions'!$H16*DZ$23)*'Operating Assumptions'!$D$16,IF('Operating Assumptions'!$G16="$/Pet/Month",(DZ$36*'Operating Assumptions'!$D$18)*('Operating Assumptions'!$H16*DZ$23),IF('Operating Assumptions'!$G16="$/Parking/Month",('Operating Assumptions'!$H16*DZ$23)*'Operating Assumptions'!$D$17)))))))</f>
        <v>0</v>
      </c>
      <c r="EA49" s="427">
        <f>IF(OR(EA$9&lt;'Operating Assumptions'!$D$53,EA$6&gt;'Operating Assumptions'!$AA$8,'Operating Assumptions'!$G16="N/A"),0,IF('Operating Assumptions'!$G16="$/Unit/Annual",(('Operating Assumptions'!$H16*EA$23)*EA$36)/12,IF('Operating Assumptions'!$G16="$/Unit/Month",('Operating Assumptions'!$H16*EA$23)*EA$36,IF('Operating Assumptions'!$G16="Fixed Amount",('Operating Assumptions'!$H16*EA$23)/12,IF('Operating Assumptions'!$G16="$/Garage/Month",('Operating Assumptions'!$H16*EA$23)*'Operating Assumptions'!$D$16,IF('Operating Assumptions'!$G16="$/Pet/Month",(EA$36*'Operating Assumptions'!$D$18)*('Operating Assumptions'!$H16*EA$23),IF('Operating Assumptions'!$G16="$/Parking/Month",('Operating Assumptions'!$H16*EA$23)*'Operating Assumptions'!$D$17)))))))</f>
        <v>0</v>
      </c>
      <c r="EB49" s="427">
        <f>IF(OR(EB$9&lt;'Operating Assumptions'!$D$53,EB$6&gt;'Operating Assumptions'!$AA$8,'Operating Assumptions'!$G16="N/A"),0,IF('Operating Assumptions'!$G16="$/Unit/Annual",(('Operating Assumptions'!$H16*EB$23)*EB$36)/12,IF('Operating Assumptions'!$G16="$/Unit/Month",('Operating Assumptions'!$H16*EB$23)*EB$36,IF('Operating Assumptions'!$G16="Fixed Amount",('Operating Assumptions'!$H16*EB$23)/12,IF('Operating Assumptions'!$G16="$/Garage/Month",('Operating Assumptions'!$H16*EB$23)*'Operating Assumptions'!$D$16,IF('Operating Assumptions'!$G16="$/Pet/Month",(EB$36*'Operating Assumptions'!$D$18)*('Operating Assumptions'!$H16*EB$23),IF('Operating Assumptions'!$G16="$/Parking/Month",('Operating Assumptions'!$H16*EB$23)*'Operating Assumptions'!$D$17)))))))</f>
        <v>0</v>
      </c>
      <c r="EC49" s="427">
        <f>IF(OR(EC$9&lt;'Operating Assumptions'!$D$53,EC$6&gt;'Operating Assumptions'!$AA$8,'Operating Assumptions'!$G16="N/A"),0,IF('Operating Assumptions'!$G16="$/Unit/Annual",(('Operating Assumptions'!$H16*EC$23)*EC$36)/12,IF('Operating Assumptions'!$G16="$/Unit/Month",('Operating Assumptions'!$H16*EC$23)*EC$36,IF('Operating Assumptions'!$G16="Fixed Amount",('Operating Assumptions'!$H16*EC$23)/12,IF('Operating Assumptions'!$G16="$/Garage/Month",('Operating Assumptions'!$H16*EC$23)*'Operating Assumptions'!$D$16,IF('Operating Assumptions'!$G16="$/Pet/Month",(EC$36*'Operating Assumptions'!$D$18)*('Operating Assumptions'!$H16*EC$23),IF('Operating Assumptions'!$G16="$/Parking/Month",('Operating Assumptions'!$H16*EC$23)*'Operating Assumptions'!$D$17)))))))</f>
        <v>0</v>
      </c>
      <c r="ED49" s="427">
        <f>IF(OR(ED$9&lt;'Operating Assumptions'!$D$53,ED$6&gt;'Operating Assumptions'!$AA$8,'Operating Assumptions'!$G16="N/A"),0,IF('Operating Assumptions'!$G16="$/Unit/Annual",(('Operating Assumptions'!$H16*ED$23)*ED$36)/12,IF('Operating Assumptions'!$G16="$/Unit/Month",('Operating Assumptions'!$H16*ED$23)*ED$36,IF('Operating Assumptions'!$G16="Fixed Amount",('Operating Assumptions'!$H16*ED$23)/12,IF('Operating Assumptions'!$G16="$/Garage/Month",('Operating Assumptions'!$H16*ED$23)*'Operating Assumptions'!$D$16,IF('Operating Assumptions'!$G16="$/Pet/Month",(ED$36*'Operating Assumptions'!$D$18)*('Operating Assumptions'!$H16*ED$23),IF('Operating Assumptions'!$G16="$/Parking/Month",('Operating Assumptions'!$H16*ED$23)*'Operating Assumptions'!$D$17)))))))</f>
        <v>0</v>
      </c>
      <c r="EE49" s="427">
        <f>IF(OR(EE$9&lt;'Operating Assumptions'!$D$53,EE$6&gt;'Operating Assumptions'!$AA$8,'Operating Assumptions'!$G16="N/A"),0,IF('Operating Assumptions'!$G16="$/Unit/Annual",(('Operating Assumptions'!$H16*EE$23)*EE$36)/12,IF('Operating Assumptions'!$G16="$/Unit/Month",('Operating Assumptions'!$H16*EE$23)*EE$36,IF('Operating Assumptions'!$G16="Fixed Amount",('Operating Assumptions'!$H16*EE$23)/12,IF('Operating Assumptions'!$G16="$/Garage/Month",('Operating Assumptions'!$H16*EE$23)*'Operating Assumptions'!$D$16,IF('Operating Assumptions'!$G16="$/Pet/Month",(EE$36*'Operating Assumptions'!$D$18)*('Operating Assumptions'!$H16*EE$23),IF('Operating Assumptions'!$G16="$/Parking/Month",('Operating Assumptions'!$H16*EE$23)*'Operating Assumptions'!$D$17)))))))</f>
        <v>0</v>
      </c>
      <c r="EF49" s="427">
        <f>IF(OR(EF$9&lt;'Operating Assumptions'!$D$53,EF$6&gt;'Operating Assumptions'!$AA$8,'Operating Assumptions'!$G16="N/A"),0,IF('Operating Assumptions'!$G16="$/Unit/Annual",(('Operating Assumptions'!$H16*EF$23)*EF$36)/12,IF('Operating Assumptions'!$G16="$/Unit/Month",('Operating Assumptions'!$H16*EF$23)*EF$36,IF('Operating Assumptions'!$G16="Fixed Amount",('Operating Assumptions'!$H16*EF$23)/12,IF('Operating Assumptions'!$G16="$/Garage/Month",('Operating Assumptions'!$H16*EF$23)*'Operating Assumptions'!$D$16,IF('Operating Assumptions'!$G16="$/Pet/Month",(EF$36*'Operating Assumptions'!$D$18)*('Operating Assumptions'!$H16*EF$23),IF('Operating Assumptions'!$G16="$/Parking/Month",('Operating Assumptions'!$H16*EF$23)*'Operating Assumptions'!$D$17)))))))</f>
        <v>0</v>
      </c>
      <c r="EG49" s="427">
        <f>IF(OR(EG$9&lt;'Operating Assumptions'!$D$53,EG$6&gt;'Operating Assumptions'!$AA$8,'Operating Assumptions'!$G16="N/A"),0,IF('Operating Assumptions'!$G16="$/Unit/Annual",(('Operating Assumptions'!$H16*EG$23)*EG$36)/12,IF('Operating Assumptions'!$G16="$/Unit/Month",('Operating Assumptions'!$H16*EG$23)*EG$36,IF('Operating Assumptions'!$G16="Fixed Amount",('Operating Assumptions'!$H16*EG$23)/12,IF('Operating Assumptions'!$G16="$/Garage/Month",('Operating Assumptions'!$H16*EG$23)*'Operating Assumptions'!$D$16,IF('Operating Assumptions'!$G16="$/Pet/Month",(EG$36*'Operating Assumptions'!$D$18)*('Operating Assumptions'!$H16*EG$23),IF('Operating Assumptions'!$G16="$/Parking/Month",('Operating Assumptions'!$H16*EG$23)*'Operating Assumptions'!$D$17)))))))</f>
        <v>0</v>
      </c>
      <c r="EH49" s="427">
        <f>IF(OR(EH$9&lt;'Operating Assumptions'!$D$53,EH$6&gt;'Operating Assumptions'!$AA$8,'Operating Assumptions'!$G16="N/A"),0,IF('Operating Assumptions'!$G16="$/Unit/Annual",(('Operating Assumptions'!$H16*EH$23)*EH$36)/12,IF('Operating Assumptions'!$G16="$/Unit/Month",('Operating Assumptions'!$H16*EH$23)*EH$36,IF('Operating Assumptions'!$G16="Fixed Amount",('Operating Assumptions'!$H16*EH$23)/12,IF('Operating Assumptions'!$G16="$/Garage/Month",('Operating Assumptions'!$H16*EH$23)*'Operating Assumptions'!$D$16,IF('Operating Assumptions'!$G16="$/Pet/Month",(EH$36*'Operating Assumptions'!$D$18)*('Operating Assumptions'!$H16*EH$23),IF('Operating Assumptions'!$G16="$/Parking/Month",('Operating Assumptions'!$H16*EH$23)*'Operating Assumptions'!$D$17)))))))</f>
        <v>0</v>
      </c>
      <c r="EI49" s="427">
        <f>IF(OR(EI$9&lt;'Operating Assumptions'!$D$53,EI$6&gt;'Operating Assumptions'!$AA$8,'Operating Assumptions'!$G16="N/A"),0,IF('Operating Assumptions'!$G16="$/Unit/Annual",(('Operating Assumptions'!$H16*EI$23)*EI$36)/12,IF('Operating Assumptions'!$G16="$/Unit/Month",('Operating Assumptions'!$H16*EI$23)*EI$36,IF('Operating Assumptions'!$G16="Fixed Amount",('Operating Assumptions'!$H16*EI$23)/12,IF('Operating Assumptions'!$G16="$/Garage/Month",('Operating Assumptions'!$H16*EI$23)*'Operating Assumptions'!$D$16,IF('Operating Assumptions'!$G16="$/Pet/Month",(EI$36*'Operating Assumptions'!$D$18)*('Operating Assumptions'!$H16*EI$23),IF('Operating Assumptions'!$G16="$/Parking/Month",('Operating Assumptions'!$H16*EI$23)*'Operating Assumptions'!$D$17)))))))</f>
        <v>0</v>
      </c>
      <c r="EJ49" s="427">
        <f>IF(OR(EJ$9&lt;'Operating Assumptions'!$D$53,EJ$6&gt;'Operating Assumptions'!$AA$8,'Operating Assumptions'!$G16="N/A"),0,IF('Operating Assumptions'!$G16="$/Unit/Annual",(('Operating Assumptions'!$H16*EJ$23)*EJ$36)/12,IF('Operating Assumptions'!$G16="$/Unit/Month",('Operating Assumptions'!$H16*EJ$23)*EJ$36,IF('Operating Assumptions'!$G16="Fixed Amount",('Operating Assumptions'!$H16*EJ$23)/12,IF('Operating Assumptions'!$G16="$/Garage/Month",('Operating Assumptions'!$H16*EJ$23)*'Operating Assumptions'!$D$16,IF('Operating Assumptions'!$G16="$/Pet/Month",(EJ$36*'Operating Assumptions'!$D$18)*('Operating Assumptions'!$H16*EJ$23),IF('Operating Assumptions'!$G16="$/Parking/Month",('Operating Assumptions'!$H16*EJ$23)*'Operating Assumptions'!$D$17)))))))</f>
        <v>0</v>
      </c>
      <c r="EK49" s="427">
        <f>IF(OR(EK$9&lt;'Operating Assumptions'!$D$53,EK$6&gt;'Operating Assumptions'!$AA$8,'Operating Assumptions'!$G16="N/A"),0,IF('Operating Assumptions'!$G16="$/Unit/Annual",(('Operating Assumptions'!$H16*EK$23)*EK$36)/12,IF('Operating Assumptions'!$G16="$/Unit/Month",('Operating Assumptions'!$H16*EK$23)*EK$36,IF('Operating Assumptions'!$G16="Fixed Amount",('Operating Assumptions'!$H16*EK$23)/12,IF('Operating Assumptions'!$G16="$/Garage/Month",('Operating Assumptions'!$H16*EK$23)*'Operating Assumptions'!$D$16,IF('Operating Assumptions'!$G16="$/Pet/Month",(EK$36*'Operating Assumptions'!$D$18)*('Operating Assumptions'!$H16*EK$23),IF('Operating Assumptions'!$G16="$/Parking/Month",('Operating Assumptions'!$H16*EK$23)*'Operating Assumptions'!$D$17)))))))</f>
        <v>0</v>
      </c>
      <c r="EL49" s="427">
        <f>IF(OR(EL$9&lt;'Operating Assumptions'!$D$53,EL$6&gt;'Operating Assumptions'!$AA$8,'Operating Assumptions'!$G16="N/A"),0,IF('Operating Assumptions'!$G16="$/Unit/Annual",(('Operating Assumptions'!$H16*EL$23)*EL$36)/12,IF('Operating Assumptions'!$G16="$/Unit/Month",('Operating Assumptions'!$H16*EL$23)*EL$36,IF('Operating Assumptions'!$G16="Fixed Amount",('Operating Assumptions'!$H16*EL$23)/12,IF('Operating Assumptions'!$G16="$/Garage/Month",('Operating Assumptions'!$H16*EL$23)*'Operating Assumptions'!$D$16,IF('Operating Assumptions'!$G16="$/Pet/Month",(EL$36*'Operating Assumptions'!$D$18)*('Operating Assumptions'!$H16*EL$23),IF('Operating Assumptions'!$G16="$/Parking/Month",('Operating Assumptions'!$H16*EL$23)*'Operating Assumptions'!$D$17)))))))</f>
        <v>0</v>
      </c>
      <c r="EM49" s="427">
        <f>IF(OR(EM$9&lt;'Operating Assumptions'!$D$53,EM$6&gt;'Operating Assumptions'!$AA$8,'Operating Assumptions'!$G16="N/A"),0,IF('Operating Assumptions'!$G16="$/Unit/Annual",(('Operating Assumptions'!$H16*EM$23)*EM$36)/12,IF('Operating Assumptions'!$G16="$/Unit/Month",('Operating Assumptions'!$H16*EM$23)*EM$36,IF('Operating Assumptions'!$G16="Fixed Amount",('Operating Assumptions'!$H16*EM$23)/12,IF('Operating Assumptions'!$G16="$/Garage/Month",('Operating Assumptions'!$H16*EM$23)*'Operating Assumptions'!$D$16,IF('Operating Assumptions'!$G16="$/Pet/Month",(EM$36*'Operating Assumptions'!$D$18)*('Operating Assumptions'!$H16*EM$23),IF('Operating Assumptions'!$G16="$/Parking/Month",('Operating Assumptions'!$H16*EM$23)*'Operating Assumptions'!$D$17)))))))</f>
        <v>0</v>
      </c>
      <c r="EN49" s="427">
        <f>IF(OR(EN$9&lt;'Operating Assumptions'!$D$53,EN$6&gt;'Operating Assumptions'!$AA$8,'Operating Assumptions'!$G16="N/A"),0,IF('Operating Assumptions'!$G16="$/Unit/Annual",(('Operating Assumptions'!$H16*EN$23)*EN$36)/12,IF('Operating Assumptions'!$G16="$/Unit/Month",('Operating Assumptions'!$H16*EN$23)*EN$36,IF('Operating Assumptions'!$G16="Fixed Amount",('Operating Assumptions'!$H16*EN$23)/12,IF('Operating Assumptions'!$G16="$/Garage/Month",('Operating Assumptions'!$H16*EN$23)*'Operating Assumptions'!$D$16,IF('Operating Assumptions'!$G16="$/Pet/Month",(EN$36*'Operating Assumptions'!$D$18)*('Operating Assumptions'!$H16*EN$23),IF('Operating Assumptions'!$G16="$/Parking/Month",('Operating Assumptions'!$H16*EN$23)*'Operating Assumptions'!$D$17)))))))</f>
        <v>0</v>
      </c>
      <c r="EO49" s="427">
        <f>IF(OR(EO$9&lt;'Operating Assumptions'!$D$53,EO$6&gt;'Operating Assumptions'!$AA$8,'Operating Assumptions'!$G16="N/A"),0,IF('Operating Assumptions'!$G16="$/Unit/Annual",(('Operating Assumptions'!$H16*EO$23)*EO$36)/12,IF('Operating Assumptions'!$G16="$/Unit/Month",('Operating Assumptions'!$H16*EO$23)*EO$36,IF('Operating Assumptions'!$G16="Fixed Amount",('Operating Assumptions'!$H16*EO$23)/12,IF('Operating Assumptions'!$G16="$/Garage/Month",('Operating Assumptions'!$H16*EO$23)*'Operating Assumptions'!$D$16,IF('Operating Assumptions'!$G16="$/Pet/Month",(EO$36*'Operating Assumptions'!$D$18)*('Operating Assumptions'!$H16*EO$23),IF('Operating Assumptions'!$G16="$/Parking/Month",('Operating Assumptions'!$H16*EO$23)*'Operating Assumptions'!$D$17)))))))</f>
        <v>0</v>
      </c>
      <c r="EP49" s="427">
        <f>IF(OR(EP$9&lt;'Operating Assumptions'!$D$53,EP$6&gt;'Operating Assumptions'!$AA$8,'Operating Assumptions'!$G16="N/A"),0,IF('Operating Assumptions'!$G16="$/Unit/Annual",(('Operating Assumptions'!$H16*EP$23)*EP$36)/12,IF('Operating Assumptions'!$G16="$/Unit/Month",('Operating Assumptions'!$H16*EP$23)*EP$36,IF('Operating Assumptions'!$G16="Fixed Amount",('Operating Assumptions'!$H16*EP$23)/12,IF('Operating Assumptions'!$G16="$/Garage/Month",('Operating Assumptions'!$H16*EP$23)*'Operating Assumptions'!$D$16,IF('Operating Assumptions'!$G16="$/Pet/Month",(EP$36*'Operating Assumptions'!$D$18)*('Operating Assumptions'!$H16*EP$23),IF('Operating Assumptions'!$G16="$/Parking/Month",('Operating Assumptions'!$H16*EP$23)*'Operating Assumptions'!$D$17)))))))</f>
        <v>0</v>
      </c>
      <c r="EQ49" s="427">
        <f>IF(OR(EQ$9&lt;'Operating Assumptions'!$D$53,EQ$6&gt;'Operating Assumptions'!$AA$8,'Operating Assumptions'!$G16="N/A"),0,IF('Operating Assumptions'!$G16="$/Unit/Annual",(('Operating Assumptions'!$H16*EQ$23)*EQ$36)/12,IF('Operating Assumptions'!$G16="$/Unit/Month",('Operating Assumptions'!$H16*EQ$23)*EQ$36,IF('Operating Assumptions'!$G16="Fixed Amount",('Operating Assumptions'!$H16*EQ$23)/12,IF('Operating Assumptions'!$G16="$/Garage/Month",('Operating Assumptions'!$H16*EQ$23)*'Operating Assumptions'!$D$16,IF('Operating Assumptions'!$G16="$/Pet/Month",(EQ$36*'Operating Assumptions'!$D$18)*('Operating Assumptions'!$H16*EQ$23),IF('Operating Assumptions'!$G16="$/Parking/Month",('Operating Assumptions'!$H16*EQ$23)*'Operating Assumptions'!$D$17)))))))</f>
        <v>0</v>
      </c>
      <c r="ER49" s="427">
        <f>IF(OR(ER$9&lt;'Operating Assumptions'!$D$53,ER$6&gt;'Operating Assumptions'!$AA$8,'Operating Assumptions'!$G16="N/A"),0,IF('Operating Assumptions'!$G16="$/Unit/Annual",(('Operating Assumptions'!$H16*ER$23)*ER$36)/12,IF('Operating Assumptions'!$G16="$/Unit/Month",('Operating Assumptions'!$H16*ER$23)*ER$36,IF('Operating Assumptions'!$G16="Fixed Amount",('Operating Assumptions'!$H16*ER$23)/12,IF('Operating Assumptions'!$G16="$/Garage/Month",('Operating Assumptions'!$H16*ER$23)*'Operating Assumptions'!$D$16,IF('Operating Assumptions'!$G16="$/Pet/Month",(ER$36*'Operating Assumptions'!$D$18)*('Operating Assumptions'!$H16*ER$23),IF('Operating Assumptions'!$G16="$/Parking/Month",('Operating Assumptions'!$H16*ER$23)*'Operating Assumptions'!$D$17)))))))</f>
        <v>0</v>
      </c>
      <c r="ES49" s="427">
        <f>IF(OR(ES$9&lt;'Operating Assumptions'!$D$53,ES$6&gt;'Operating Assumptions'!$AA$8,'Operating Assumptions'!$G16="N/A"),0,IF('Operating Assumptions'!$G16="$/Unit/Annual",(('Operating Assumptions'!$H16*ES$23)*ES$36)/12,IF('Operating Assumptions'!$G16="$/Unit/Month",('Operating Assumptions'!$H16*ES$23)*ES$36,IF('Operating Assumptions'!$G16="Fixed Amount",('Operating Assumptions'!$H16*ES$23)/12,IF('Operating Assumptions'!$G16="$/Garage/Month",('Operating Assumptions'!$H16*ES$23)*'Operating Assumptions'!$D$16,IF('Operating Assumptions'!$G16="$/Pet/Month",(ES$36*'Operating Assumptions'!$D$18)*('Operating Assumptions'!$H16*ES$23),IF('Operating Assumptions'!$G16="$/Parking/Month",('Operating Assumptions'!$H16*ES$23)*'Operating Assumptions'!$D$17)))))))</f>
        <v>0</v>
      </c>
      <c r="ET49" s="427">
        <f>IF(OR(ET$9&lt;'Operating Assumptions'!$D$53,ET$6&gt;'Operating Assumptions'!$AA$8,'Operating Assumptions'!$G16="N/A"),0,IF('Operating Assumptions'!$G16="$/Unit/Annual",(('Operating Assumptions'!$H16*ET$23)*ET$36)/12,IF('Operating Assumptions'!$G16="$/Unit/Month",('Operating Assumptions'!$H16*ET$23)*ET$36,IF('Operating Assumptions'!$G16="Fixed Amount",('Operating Assumptions'!$H16*ET$23)/12,IF('Operating Assumptions'!$G16="$/Garage/Month",('Operating Assumptions'!$H16*ET$23)*'Operating Assumptions'!$D$16,IF('Operating Assumptions'!$G16="$/Pet/Month",(ET$36*'Operating Assumptions'!$D$18)*('Operating Assumptions'!$H16*ET$23),IF('Operating Assumptions'!$G16="$/Parking/Month",('Operating Assumptions'!$H16*ET$23)*'Operating Assumptions'!$D$17)))))))</f>
        <v>0</v>
      </c>
      <c r="EU49" s="427">
        <f>IF(OR(EU$9&lt;'Operating Assumptions'!$D$53,EU$6&gt;'Operating Assumptions'!$AA$8,'Operating Assumptions'!$G16="N/A"),0,IF('Operating Assumptions'!$G16="$/Unit/Annual",(('Operating Assumptions'!$H16*EU$23)*EU$36)/12,IF('Operating Assumptions'!$G16="$/Unit/Month",('Operating Assumptions'!$H16*EU$23)*EU$36,IF('Operating Assumptions'!$G16="Fixed Amount",('Operating Assumptions'!$H16*EU$23)/12,IF('Operating Assumptions'!$G16="$/Garage/Month",('Operating Assumptions'!$H16*EU$23)*'Operating Assumptions'!$D$16,IF('Operating Assumptions'!$G16="$/Pet/Month",(EU$36*'Operating Assumptions'!$D$18)*('Operating Assumptions'!$H16*EU$23),IF('Operating Assumptions'!$G16="$/Parking/Month",('Operating Assumptions'!$H16*EU$23)*'Operating Assumptions'!$D$17)))))))</f>
        <v>0</v>
      </c>
      <c r="EV49" s="427">
        <f>IF(OR(EV$9&lt;'Operating Assumptions'!$D$53,EV$6&gt;'Operating Assumptions'!$AA$8,'Operating Assumptions'!$G16="N/A"),0,IF('Operating Assumptions'!$G16="$/Unit/Annual",(('Operating Assumptions'!$H16*EV$23)*EV$36)/12,IF('Operating Assumptions'!$G16="$/Unit/Month",('Operating Assumptions'!$H16*EV$23)*EV$36,IF('Operating Assumptions'!$G16="Fixed Amount",('Operating Assumptions'!$H16*EV$23)/12,IF('Operating Assumptions'!$G16="$/Garage/Month",('Operating Assumptions'!$H16*EV$23)*'Operating Assumptions'!$D$16,IF('Operating Assumptions'!$G16="$/Pet/Month",(EV$36*'Operating Assumptions'!$D$18)*('Operating Assumptions'!$H16*EV$23),IF('Operating Assumptions'!$G16="$/Parking/Month",('Operating Assumptions'!$H16*EV$23)*'Operating Assumptions'!$D$17)))))))</f>
        <v>0</v>
      </c>
      <c r="EW49" s="427">
        <f>IF(OR(EW$9&lt;'Operating Assumptions'!$D$53,EW$6&gt;'Operating Assumptions'!$AA$8,'Operating Assumptions'!$G16="N/A"),0,IF('Operating Assumptions'!$G16="$/Unit/Annual",(('Operating Assumptions'!$H16*EW$23)*EW$36)/12,IF('Operating Assumptions'!$G16="$/Unit/Month",('Operating Assumptions'!$H16*EW$23)*EW$36,IF('Operating Assumptions'!$G16="Fixed Amount",('Operating Assumptions'!$H16*EW$23)/12,IF('Operating Assumptions'!$G16="$/Garage/Month",('Operating Assumptions'!$H16*EW$23)*'Operating Assumptions'!$D$16,IF('Operating Assumptions'!$G16="$/Pet/Month",(EW$36*'Operating Assumptions'!$D$18)*('Operating Assumptions'!$H16*EW$23),IF('Operating Assumptions'!$G16="$/Parking/Month",('Operating Assumptions'!$H16*EW$23)*'Operating Assumptions'!$D$17)))))))</f>
        <v>0</v>
      </c>
      <c r="EX49" s="427">
        <f>IF(OR(EX$9&lt;'Operating Assumptions'!$D$53,EX$6&gt;'Operating Assumptions'!$AA$8,'Operating Assumptions'!$G16="N/A"),0,IF('Operating Assumptions'!$G16="$/Unit/Annual",(('Operating Assumptions'!$H16*EX$23)*EX$36)/12,IF('Operating Assumptions'!$G16="$/Unit/Month",('Operating Assumptions'!$H16*EX$23)*EX$36,IF('Operating Assumptions'!$G16="Fixed Amount",('Operating Assumptions'!$H16*EX$23)/12,IF('Operating Assumptions'!$G16="$/Garage/Month",('Operating Assumptions'!$H16*EX$23)*'Operating Assumptions'!$D$16,IF('Operating Assumptions'!$G16="$/Pet/Month",(EX$36*'Operating Assumptions'!$D$18)*('Operating Assumptions'!$H16*EX$23),IF('Operating Assumptions'!$G16="$/Parking/Month",('Operating Assumptions'!$H16*EX$23)*'Operating Assumptions'!$D$17)))))))</f>
        <v>0</v>
      </c>
      <c r="EY49" s="427">
        <f>IF(OR(EY$9&lt;'Operating Assumptions'!$D$53,EY$6&gt;'Operating Assumptions'!$AA$8,'Operating Assumptions'!$G16="N/A"),0,IF('Operating Assumptions'!$G16="$/Unit/Annual",(('Operating Assumptions'!$H16*EY$23)*EY$36)/12,IF('Operating Assumptions'!$G16="$/Unit/Month",('Operating Assumptions'!$H16*EY$23)*EY$36,IF('Operating Assumptions'!$G16="Fixed Amount",('Operating Assumptions'!$H16*EY$23)/12,IF('Operating Assumptions'!$G16="$/Garage/Month",('Operating Assumptions'!$H16*EY$23)*'Operating Assumptions'!$D$16,IF('Operating Assumptions'!$G16="$/Pet/Month",(EY$36*'Operating Assumptions'!$D$18)*('Operating Assumptions'!$H16*EY$23),IF('Operating Assumptions'!$G16="$/Parking/Month",('Operating Assumptions'!$H16*EY$23)*'Operating Assumptions'!$D$17)))))))</f>
        <v>0</v>
      </c>
      <c r="EZ49" s="427">
        <f>IF(OR(EZ$9&lt;'Operating Assumptions'!$D$53,EZ$6&gt;'Operating Assumptions'!$AA$8,'Operating Assumptions'!$G16="N/A"),0,IF('Operating Assumptions'!$G16="$/Unit/Annual",(('Operating Assumptions'!$H16*EZ$23)*EZ$36)/12,IF('Operating Assumptions'!$G16="$/Unit/Month",('Operating Assumptions'!$H16*EZ$23)*EZ$36,IF('Operating Assumptions'!$G16="Fixed Amount",('Operating Assumptions'!$H16*EZ$23)/12,IF('Operating Assumptions'!$G16="$/Garage/Month",('Operating Assumptions'!$H16*EZ$23)*'Operating Assumptions'!$D$16,IF('Operating Assumptions'!$G16="$/Pet/Month",(EZ$36*'Operating Assumptions'!$D$18)*('Operating Assumptions'!$H16*EZ$23),IF('Operating Assumptions'!$G16="$/Parking/Month",('Operating Assumptions'!$H16*EZ$23)*'Operating Assumptions'!$D$17)))))))</f>
        <v>0</v>
      </c>
      <c r="FA49" s="427">
        <f>IF(OR(FA$9&lt;'Operating Assumptions'!$D$53,FA$6&gt;'Operating Assumptions'!$AA$8,'Operating Assumptions'!$G16="N/A"),0,IF('Operating Assumptions'!$G16="$/Unit/Annual",(('Operating Assumptions'!$H16*FA$23)*FA$36)/12,IF('Operating Assumptions'!$G16="$/Unit/Month",('Operating Assumptions'!$H16*FA$23)*FA$36,IF('Operating Assumptions'!$G16="Fixed Amount",('Operating Assumptions'!$H16*FA$23)/12,IF('Operating Assumptions'!$G16="$/Garage/Month",('Operating Assumptions'!$H16*FA$23)*'Operating Assumptions'!$D$16,IF('Operating Assumptions'!$G16="$/Pet/Month",(FA$36*'Operating Assumptions'!$D$18)*('Operating Assumptions'!$H16*FA$23),IF('Operating Assumptions'!$G16="$/Parking/Month",('Operating Assumptions'!$H16*FA$23)*'Operating Assumptions'!$D$17)))))))</f>
        <v>0</v>
      </c>
      <c r="FB49" s="427">
        <f>IF(OR(FB$9&lt;'Operating Assumptions'!$D$53,FB$6&gt;'Operating Assumptions'!$AA$8,'Operating Assumptions'!$G16="N/A"),0,IF('Operating Assumptions'!$G16="$/Unit/Annual",(('Operating Assumptions'!$H16*FB$23)*FB$36)/12,IF('Operating Assumptions'!$G16="$/Unit/Month",('Operating Assumptions'!$H16*FB$23)*FB$36,IF('Operating Assumptions'!$G16="Fixed Amount",('Operating Assumptions'!$H16*FB$23)/12,IF('Operating Assumptions'!$G16="$/Garage/Month",('Operating Assumptions'!$H16*FB$23)*'Operating Assumptions'!$D$16,IF('Operating Assumptions'!$G16="$/Pet/Month",(FB$36*'Operating Assumptions'!$D$18)*('Operating Assumptions'!$H16*FB$23),IF('Operating Assumptions'!$G16="$/Parking/Month",('Operating Assumptions'!$H16*FB$23)*'Operating Assumptions'!$D$17)))))))</f>
        <v>0</v>
      </c>
      <c r="FC49" s="427">
        <f>IF(OR(FC$9&lt;'Operating Assumptions'!$D$53,FC$6&gt;'Operating Assumptions'!$AA$8,'Operating Assumptions'!$G16="N/A"),0,IF('Operating Assumptions'!$G16="$/Unit/Annual",(('Operating Assumptions'!$H16*FC$23)*FC$36)/12,IF('Operating Assumptions'!$G16="$/Unit/Month",('Operating Assumptions'!$H16*FC$23)*FC$36,IF('Operating Assumptions'!$G16="Fixed Amount",('Operating Assumptions'!$H16*FC$23)/12,IF('Operating Assumptions'!$G16="$/Garage/Month",('Operating Assumptions'!$H16*FC$23)*'Operating Assumptions'!$D$16,IF('Operating Assumptions'!$G16="$/Pet/Month",(FC$36*'Operating Assumptions'!$D$18)*('Operating Assumptions'!$H16*FC$23),IF('Operating Assumptions'!$G16="$/Parking/Month",('Operating Assumptions'!$H16*FC$23)*'Operating Assumptions'!$D$17)))))))</f>
        <v>0</v>
      </c>
      <c r="FD49" s="427">
        <f>IF(OR(FD$9&lt;'Operating Assumptions'!$D$53,FD$6&gt;'Operating Assumptions'!$AA$8,'Operating Assumptions'!$G16="N/A"),0,IF('Operating Assumptions'!$G16="$/Unit/Annual",(('Operating Assumptions'!$H16*FD$23)*FD$36)/12,IF('Operating Assumptions'!$G16="$/Unit/Month",('Operating Assumptions'!$H16*FD$23)*FD$36,IF('Operating Assumptions'!$G16="Fixed Amount",('Operating Assumptions'!$H16*FD$23)/12,IF('Operating Assumptions'!$G16="$/Garage/Month",('Operating Assumptions'!$H16*FD$23)*'Operating Assumptions'!$D$16,IF('Operating Assumptions'!$G16="$/Pet/Month",(FD$36*'Operating Assumptions'!$D$18)*('Operating Assumptions'!$H16*FD$23),IF('Operating Assumptions'!$G16="$/Parking/Month",('Operating Assumptions'!$H16*FD$23)*'Operating Assumptions'!$D$17)))))))</f>
        <v>0</v>
      </c>
      <c r="FE49" s="427">
        <f>IF(OR(FE$9&lt;'Operating Assumptions'!$D$53,FE$6&gt;'Operating Assumptions'!$AA$8,'Operating Assumptions'!$G16="N/A"),0,IF('Operating Assumptions'!$G16="$/Unit/Annual",(('Operating Assumptions'!$H16*FE$23)*FE$36)/12,IF('Operating Assumptions'!$G16="$/Unit/Month",('Operating Assumptions'!$H16*FE$23)*FE$36,IF('Operating Assumptions'!$G16="Fixed Amount",('Operating Assumptions'!$H16*FE$23)/12,IF('Operating Assumptions'!$G16="$/Garage/Month",('Operating Assumptions'!$H16*FE$23)*'Operating Assumptions'!$D$16,IF('Operating Assumptions'!$G16="$/Pet/Month",(FE$36*'Operating Assumptions'!$D$18)*('Operating Assumptions'!$H16*FE$23),IF('Operating Assumptions'!$G16="$/Parking/Month",('Operating Assumptions'!$H16*FE$23)*'Operating Assumptions'!$D$17)))))))</f>
        <v>0</v>
      </c>
      <c r="FF49" s="427">
        <f>IF(OR(FF$9&lt;'Operating Assumptions'!$D$53,FF$6&gt;'Operating Assumptions'!$AA$8,'Operating Assumptions'!$G16="N/A"),0,IF('Operating Assumptions'!$G16="$/Unit/Annual",(('Operating Assumptions'!$H16*FF$23)*FF$36)/12,IF('Operating Assumptions'!$G16="$/Unit/Month",('Operating Assumptions'!$H16*FF$23)*FF$36,IF('Operating Assumptions'!$G16="Fixed Amount",('Operating Assumptions'!$H16*FF$23)/12,IF('Operating Assumptions'!$G16="$/Garage/Month",('Operating Assumptions'!$H16*FF$23)*'Operating Assumptions'!$D$16,IF('Operating Assumptions'!$G16="$/Pet/Month",(FF$36*'Operating Assumptions'!$D$18)*('Operating Assumptions'!$H16*FF$23),IF('Operating Assumptions'!$G16="$/Parking/Month",('Operating Assumptions'!$H16*FF$23)*'Operating Assumptions'!$D$17)))))))</f>
        <v>0</v>
      </c>
      <c r="FG49" s="427">
        <f>IF(OR(FG$9&lt;'Operating Assumptions'!$D$53,FG$6&gt;'Operating Assumptions'!$AA$8,'Operating Assumptions'!$G16="N/A"),0,IF('Operating Assumptions'!$G16="$/Unit/Annual",(('Operating Assumptions'!$H16*FG$23)*FG$36)/12,IF('Operating Assumptions'!$G16="$/Unit/Month",('Operating Assumptions'!$H16*FG$23)*FG$36,IF('Operating Assumptions'!$G16="Fixed Amount",('Operating Assumptions'!$H16*FG$23)/12,IF('Operating Assumptions'!$G16="$/Garage/Month",('Operating Assumptions'!$H16*FG$23)*'Operating Assumptions'!$D$16,IF('Operating Assumptions'!$G16="$/Pet/Month",(FG$36*'Operating Assumptions'!$D$18)*('Operating Assumptions'!$H16*FG$23),IF('Operating Assumptions'!$G16="$/Parking/Month",('Operating Assumptions'!$H16*FG$23)*'Operating Assumptions'!$D$17)))))))</f>
        <v>0</v>
      </c>
      <c r="FH49" s="427">
        <f>IF(OR(FH$9&lt;'Operating Assumptions'!$D$53,FH$6&gt;'Operating Assumptions'!$AA$8,'Operating Assumptions'!$G16="N/A"),0,IF('Operating Assumptions'!$G16="$/Unit/Annual",(('Operating Assumptions'!$H16*FH$23)*FH$36)/12,IF('Operating Assumptions'!$G16="$/Unit/Month",('Operating Assumptions'!$H16*FH$23)*FH$36,IF('Operating Assumptions'!$G16="Fixed Amount",('Operating Assumptions'!$H16*FH$23)/12,IF('Operating Assumptions'!$G16="$/Garage/Month",('Operating Assumptions'!$H16*FH$23)*'Operating Assumptions'!$D$16,IF('Operating Assumptions'!$G16="$/Pet/Month",(FH$36*'Operating Assumptions'!$D$18)*('Operating Assumptions'!$H16*FH$23),IF('Operating Assumptions'!$G16="$/Parking/Month",('Operating Assumptions'!$H16*FH$23)*'Operating Assumptions'!$D$17)))))))</f>
        <v>0</v>
      </c>
      <c r="FI49" s="427">
        <f>IF(OR(FI$9&lt;'Operating Assumptions'!$D$53,FI$6&gt;'Operating Assumptions'!$AA$8,'Operating Assumptions'!$G16="N/A"),0,IF('Operating Assumptions'!$G16="$/Unit/Annual",(('Operating Assumptions'!$H16*FI$23)*FI$36)/12,IF('Operating Assumptions'!$G16="$/Unit/Month",('Operating Assumptions'!$H16*FI$23)*FI$36,IF('Operating Assumptions'!$G16="Fixed Amount",('Operating Assumptions'!$H16*FI$23)/12,IF('Operating Assumptions'!$G16="$/Garage/Month",('Operating Assumptions'!$H16*FI$23)*'Operating Assumptions'!$D$16,IF('Operating Assumptions'!$G16="$/Pet/Month",(FI$36*'Operating Assumptions'!$D$18)*('Operating Assumptions'!$H16*FI$23),IF('Operating Assumptions'!$G16="$/Parking/Month",('Operating Assumptions'!$H16*FI$23)*'Operating Assumptions'!$D$17)))))))</f>
        <v>0</v>
      </c>
      <c r="FJ49" s="427">
        <f>IF(OR(FJ$9&lt;'Operating Assumptions'!$D$53,FJ$6&gt;'Operating Assumptions'!$AA$8,'Operating Assumptions'!$G16="N/A"),0,IF('Operating Assumptions'!$G16="$/Unit/Annual",(('Operating Assumptions'!$H16*FJ$23)*FJ$36)/12,IF('Operating Assumptions'!$G16="$/Unit/Month",('Operating Assumptions'!$H16*FJ$23)*FJ$36,IF('Operating Assumptions'!$G16="Fixed Amount",('Operating Assumptions'!$H16*FJ$23)/12,IF('Operating Assumptions'!$G16="$/Garage/Month",('Operating Assumptions'!$H16*FJ$23)*'Operating Assumptions'!$D$16,IF('Operating Assumptions'!$G16="$/Pet/Month",(FJ$36*'Operating Assumptions'!$D$18)*('Operating Assumptions'!$H16*FJ$23),IF('Operating Assumptions'!$G16="$/Parking/Month",('Operating Assumptions'!$H16*FJ$23)*'Operating Assumptions'!$D$17)))))))</f>
        <v>0</v>
      </c>
      <c r="FK49" s="427">
        <f>IF(OR(FK$9&lt;'Operating Assumptions'!$D$53,FK$6&gt;'Operating Assumptions'!$AA$8,'Operating Assumptions'!$G16="N/A"),0,IF('Operating Assumptions'!$G16="$/Unit/Annual",(('Operating Assumptions'!$H16*FK$23)*FK$36)/12,IF('Operating Assumptions'!$G16="$/Unit/Month",('Operating Assumptions'!$H16*FK$23)*FK$36,IF('Operating Assumptions'!$G16="Fixed Amount",('Operating Assumptions'!$H16*FK$23)/12,IF('Operating Assumptions'!$G16="$/Garage/Month",('Operating Assumptions'!$H16*FK$23)*'Operating Assumptions'!$D$16,IF('Operating Assumptions'!$G16="$/Pet/Month",(FK$36*'Operating Assumptions'!$D$18)*('Operating Assumptions'!$H16*FK$23),IF('Operating Assumptions'!$G16="$/Parking/Month",('Operating Assumptions'!$H16*FK$23)*'Operating Assumptions'!$D$17)))))))</f>
        <v>0</v>
      </c>
      <c r="FL49" s="427">
        <f>IF(OR(FL$9&lt;'Operating Assumptions'!$D$53,FL$6&gt;'Operating Assumptions'!$AA$8,'Operating Assumptions'!$G16="N/A"),0,IF('Operating Assumptions'!$G16="$/Unit/Annual",(('Operating Assumptions'!$H16*FL$23)*FL$36)/12,IF('Operating Assumptions'!$G16="$/Unit/Month",('Operating Assumptions'!$H16*FL$23)*FL$36,IF('Operating Assumptions'!$G16="Fixed Amount",('Operating Assumptions'!$H16*FL$23)/12,IF('Operating Assumptions'!$G16="$/Garage/Month",('Operating Assumptions'!$H16*FL$23)*'Operating Assumptions'!$D$16,IF('Operating Assumptions'!$G16="$/Pet/Month",(FL$36*'Operating Assumptions'!$D$18)*('Operating Assumptions'!$H16*FL$23),IF('Operating Assumptions'!$G16="$/Parking/Month",('Operating Assumptions'!$H16*FL$23)*'Operating Assumptions'!$D$17)))))))</f>
        <v>0</v>
      </c>
      <c r="FM49" s="427">
        <f>IF(OR(FM$9&lt;'Operating Assumptions'!$D$53,FM$6&gt;'Operating Assumptions'!$AA$8,'Operating Assumptions'!$G16="N/A"),0,IF('Operating Assumptions'!$G16="$/Unit/Annual",(('Operating Assumptions'!$H16*FM$23)*FM$36)/12,IF('Operating Assumptions'!$G16="$/Unit/Month",('Operating Assumptions'!$H16*FM$23)*FM$36,IF('Operating Assumptions'!$G16="Fixed Amount",('Operating Assumptions'!$H16*FM$23)/12,IF('Operating Assumptions'!$G16="$/Garage/Month",('Operating Assumptions'!$H16*FM$23)*'Operating Assumptions'!$D$16,IF('Operating Assumptions'!$G16="$/Pet/Month",(FM$36*'Operating Assumptions'!$D$18)*('Operating Assumptions'!$H16*FM$23),IF('Operating Assumptions'!$G16="$/Parking/Month",('Operating Assumptions'!$H16*FM$23)*'Operating Assumptions'!$D$17)))))))</f>
        <v>0</v>
      </c>
      <c r="FN49" s="427">
        <f>IF(OR(FN$9&lt;'Operating Assumptions'!$D$53,FN$6&gt;'Operating Assumptions'!$AA$8,'Operating Assumptions'!$G16="N/A"),0,IF('Operating Assumptions'!$G16="$/Unit/Annual",(('Operating Assumptions'!$H16*FN$23)*FN$36)/12,IF('Operating Assumptions'!$G16="$/Unit/Month",('Operating Assumptions'!$H16*FN$23)*FN$36,IF('Operating Assumptions'!$G16="Fixed Amount",('Operating Assumptions'!$H16*FN$23)/12,IF('Operating Assumptions'!$G16="$/Garage/Month",('Operating Assumptions'!$H16*FN$23)*'Operating Assumptions'!$D$16,IF('Operating Assumptions'!$G16="$/Pet/Month",(FN$36*'Operating Assumptions'!$D$18)*('Operating Assumptions'!$H16*FN$23),IF('Operating Assumptions'!$G16="$/Parking/Month",('Operating Assumptions'!$H16*FN$23)*'Operating Assumptions'!$D$17)))))))</f>
        <v>0</v>
      </c>
      <c r="FO49" s="427">
        <f>IF(OR(FO$9&lt;'Operating Assumptions'!$D$53,FO$6&gt;'Operating Assumptions'!$AA$8,'Operating Assumptions'!$G16="N/A"),0,IF('Operating Assumptions'!$G16="$/Unit/Annual",(('Operating Assumptions'!$H16*FO$23)*FO$36)/12,IF('Operating Assumptions'!$G16="$/Unit/Month",('Operating Assumptions'!$H16*FO$23)*FO$36,IF('Operating Assumptions'!$G16="Fixed Amount",('Operating Assumptions'!$H16*FO$23)/12,IF('Operating Assumptions'!$G16="$/Garage/Month",('Operating Assumptions'!$H16*FO$23)*'Operating Assumptions'!$D$16,IF('Operating Assumptions'!$G16="$/Pet/Month",(FO$36*'Operating Assumptions'!$D$18)*('Operating Assumptions'!$H16*FO$23),IF('Operating Assumptions'!$G16="$/Parking/Month",('Operating Assumptions'!$H16*FO$23)*'Operating Assumptions'!$D$17)))))))</f>
        <v>0</v>
      </c>
      <c r="FP49" s="427">
        <f>IF(OR(FP$9&lt;'Operating Assumptions'!$D$53,FP$6&gt;'Operating Assumptions'!$AA$8,'Operating Assumptions'!$G16="N/A"),0,IF('Operating Assumptions'!$G16="$/Unit/Annual",(('Operating Assumptions'!$H16*FP$23)*FP$36)/12,IF('Operating Assumptions'!$G16="$/Unit/Month",('Operating Assumptions'!$H16*FP$23)*FP$36,IF('Operating Assumptions'!$G16="Fixed Amount",('Operating Assumptions'!$H16*FP$23)/12,IF('Operating Assumptions'!$G16="$/Garage/Month",('Operating Assumptions'!$H16*FP$23)*'Operating Assumptions'!$D$16,IF('Operating Assumptions'!$G16="$/Pet/Month",(FP$36*'Operating Assumptions'!$D$18)*('Operating Assumptions'!$H16*FP$23),IF('Operating Assumptions'!$G16="$/Parking/Month",('Operating Assumptions'!$H16*FP$23)*'Operating Assumptions'!$D$17)))))))</f>
        <v>0</v>
      </c>
      <c r="FQ49" s="427">
        <f>IF(OR(FQ$9&lt;'Operating Assumptions'!$D$53,FQ$6&gt;'Operating Assumptions'!$AA$8,'Operating Assumptions'!$G16="N/A"),0,IF('Operating Assumptions'!$G16="$/Unit/Annual",(('Operating Assumptions'!$H16*FQ$23)*FQ$36)/12,IF('Operating Assumptions'!$G16="$/Unit/Month",('Operating Assumptions'!$H16*FQ$23)*FQ$36,IF('Operating Assumptions'!$G16="Fixed Amount",('Operating Assumptions'!$H16*FQ$23)/12,IF('Operating Assumptions'!$G16="$/Garage/Month",('Operating Assumptions'!$H16*FQ$23)*'Operating Assumptions'!$D$16,IF('Operating Assumptions'!$G16="$/Pet/Month",(FQ$36*'Operating Assumptions'!$D$18)*('Operating Assumptions'!$H16*FQ$23),IF('Operating Assumptions'!$G16="$/Parking/Month",('Operating Assumptions'!$H16*FQ$23)*'Operating Assumptions'!$D$17)))))))</f>
        <v>0</v>
      </c>
      <c r="FR49" s="427">
        <f>IF(OR(FR$9&lt;'Operating Assumptions'!$D$53,FR$6&gt;'Operating Assumptions'!$AA$8,'Operating Assumptions'!$G16="N/A"),0,IF('Operating Assumptions'!$G16="$/Unit/Annual",(('Operating Assumptions'!$H16*FR$23)*FR$36)/12,IF('Operating Assumptions'!$G16="$/Unit/Month",('Operating Assumptions'!$H16*FR$23)*FR$36,IF('Operating Assumptions'!$G16="Fixed Amount",('Operating Assumptions'!$H16*FR$23)/12,IF('Operating Assumptions'!$G16="$/Garage/Month",('Operating Assumptions'!$H16*FR$23)*'Operating Assumptions'!$D$16,IF('Operating Assumptions'!$G16="$/Pet/Month",(FR$36*'Operating Assumptions'!$D$18)*('Operating Assumptions'!$H16*FR$23),IF('Operating Assumptions'!$G16="$/Parking/Month",('Operating Assumptions'!$H16*FR$23)*'Operating Assumptions'!$D$17)))))))</f>
        <v>0</v>
      </c>
      <c r="FS49" s="427">
        <f>IF(OR(FS$9&lt;'Operating Assumptions'!$D$53,FS$6&gt;'Operating Assumptions'!$AA$8,'Operating Assumptions'!$G16="N/A"),0,IF('Operating Assumptions'!$G16="$/Unit/Annual",(('Operating Assumptions'!$H16*FS$23)*FS$36)/12,IF('Operating Assumptions'!$G16="$/Unit/Month",('Operating Assumptions'!$H16*FS$23)*FS$36,IF('Operating Assumptions'!$G16="Fixed Amount",('Operating Assumptions'!$H16*FS$23)/12,IF('Operating Assumptions'!$G16="$/Garage/Month",('Operating Assumptions'!$H16*FS$23)*'Operating Assumptions'!$D$16,IF('Operating Assumptions'!$G16="$/Pet/Month",(FS$36*'Operating Assumptions'!$D$18)*('Operating Assumptions'!$H16*FS$23),IF('Operating Assumptions'!$G16="$/Parking/Month",('Operating Assumptions'!$H16*FS$23)*'Operating Assumptions'!$D$17)))))))</f>
        <v>0</v>
      </c>
      <c r="FT49" s="427">
        <f>IF(OR(FT$9&lt;'Operating Assumptions'!$D$53,FT$6&gt;'Operating Assumptions'!$AA$8,'Operating Assumptions'!$G16="N/A"),0,IF('Operating Assumptions'!$G16="$/Unit/Annual",(('Operating Assumptions'!$H16*FT$23)*FT$36)/12,IF('Operating Assumptions'!$G16="$/Unit/Month",('Operating Assumptions'!$H16*FT$23)*FT$36,IF('Operating Assumptions'!$G16="Fixed Amount",('Operating Assumptions'!$H16*FT$23)/12,IF('Operating Assumptions'!$G16="$/Garage/Month",('Operating Assumptions'!$H16*FT$23)*'Operating Assumptions'!$D$16,IF('Operating Assumptions'!$G16="$/Pet/Month",(FT$36*'Operating Assumptions'!$D$18)*('Operating Assumptions'!$H16*FT$23),IF('Operating Assumptions'!$G16="$/Parking/Month",('Operating Assumptions'!$H16*FT$23)*'Operating Assumptions'!$D$17)))))))</f>
        <v>0</v>
      </c>
      <c r="FU49" s="43"/>
      <c r="FV49" s="34"/>
      <c r="FW49" s="34"/>
      <c r="FX49" s="34"/>
      <c r="FY49" s="34"/>
      <c r="FZ49" s="34"/>
    </row>
    <row r="50" spans="1:182" s="89" customFormat="1" ht="13.5" x14ac:dyDescent="0.25">
      <c r="A50" s="34"/>
      <c r="B50" s="433" t="s">
        <v>499</v>
      </c>
      <c r="C50" s="34"/>
      <c r="D50" s="34"/>
      <c r="E50" s="34"/>
      <c r="F50" s="429">
        <f t="shared" si="148"/>
        <v>1466845.4166666667</v>
      </c>
      <c r="G50" s="34"/>
      <c r="H50" s="431">
        <f>SUM(H44:H49)</f>
        <v>0</v>
      </c>
      <c r="I50" s="431">
        <f>SUM(I44:I49)</f>
        <v>0</v>
      </c>
      <c r="J50" s="431">
        <f t="shared" ref="J50:BT50" si="149">SUM(J44:J49)</f>
        <v>0</v>
      </c>
      <c r="K50" s="431">
        <f t="shared" si="149"/>
        <v>0</v>
      </c>
      <c r="L50" s="431">
        <f t="shared" si="149"/>
        <v>0</v>
      </c>
      <c r="M50" s="431">
        <f t="shared" si="149"/>
        <v>0</v>
      </c>
      <c r="N50" s="431">
        <f t="shared" si="149"/>
        <v>0</v>
      </c>
      <c r="O50" s="431">
        <f t="shared" si="149"/>
        <v>0</v>
      </c>
      <c r="P50" s="431">
        <f t="shared" si="149"/>
        <v>0</v>
      </c>
      <c r="Q50" s="431">
        <f t="shared" si="149"/>
        <v>0</v>
      </c>
      <c r="R50" s="431">
        <f t="shared" si="149"/>
        <v>0</v>
      </c>
      <c r="S50" s="431">
        <f t="shared" si="149"/>
        <v>0</v>
      </c>
      <c r="T50" s="431">
        <f t="shared" si="149"/>
        <v>0</v>
      </c>
      <c r="U50" s="431">
        <f t="shared" si="149"/>
        <v>0</v>
      </c>
      <c r="V50" s="431">
        <f t="shared" si="149"/>
        <v>0</v>
      </c>
      <c r="W50" s="431">
        <f t="shared" si="149"/>
        <v>0</v>
      </c>
      <c r="X50" s="431">
        <f t="shared" si="149"/>
        <v>0</v>
      </c>
      <c r="Y50" s="431">
        <f t="shared" si="149"/>
        <v>962.5</v>
      </c>
      <c r="Z50" s="431">
        <f t="shared" si="149"/>
        <v>1879.1666666666667</v>
      </c>
      <c r="AA50" s="431">
        <f t="shared" si="149"/>
        <v>2795.8333333333335</v>
      </c>
      <c r="AB50" s="431">
        <f t="shared" si="149"/>
        <v>3712.5</v>
      </c>
      <c r="AC50" s="431">
        <f t="shared" si="149"/>
        <v>4629.166666666667</v>
      </c>
      <c r="AD50" s="431">
        <f t="shared" si="149"/>
        <v>5545.833333333333</v>
      </c>
      <c r="AE50" s="431">
        <f t="shared" si="149"/>
        <v>5729.166666666667</v>
      </c>
      <c r="AF50" s="431">
        <f t="shared" si="149"/>
        <v>5843.75</v>
      </c>
      <c r="AG50" s="431">
        <f t="shared" si="149"/>
        <v>5843.75</v>
      </c>
      <c r="AH50" s="431">
        <f t="shared" si="149"/>
        <v>6778.75</v>
      </c>
      <c r="AI50" s="431">
        <f t="shared" si="149"/>
        <v>7713.75</v>
      </c>
      <c r="AJ50" s="431">
        <f t="shared" si="149"/>
        <v>8648.75</v>
      </c>
      <c r="AK50" s="431">
        <f t="shared" si="149"/>
        <v>9583.75</v>
      </c>
      <c r="AL50" s="431">
        <f t="shared" si="149"/>
        <v>10518.75</v>
      </c>
      <c r="AM50" s="431">
        <f t="shared" si="149"/>
        <v>11220</v>
      </c>
      <c r="AN50" s="431">
        <f t="shared" si="149"/>
        <v>11220</v>
      </c>
      <c r="AO50" s="431">
        <f t="shared" si="149"/>
        <v>11220</v>
      </c>
      <c r="AP50" s="431">
        <f t="shared" si="149"/>
        <v>11220</v>
      </c>
      <c r="AQ50" s="431">
        <f t="shared" si="149"/>
        <v>11220</v>
      </c>
      <c r="AR50" s="431">
        <f t="shared" si="149"/>
        <v>11440</v>
      </c>
      <c r="AS50" s="431">
        <f t="shared" si="149"/>
        <v>11440</v>
      </c>
      <c r="AT50" s="431">
        <f t="shared" si="149"/>
        <v>11440</v>
      </c>
      <c r="AU50" s="431">
        <f t="shared" si="149"/>
        <v>11440</v>
      </c>
      <c r="AV50" s="431">
        <f t="shared" si="149"/>
        <v>11440</v>
      </c>
      <c r="AW50" s="431">
        <f t="shared" si="149"/>
        <v>11440</v>
      </c>
      <c r="AX50" s="431">
        <f t="shared" si="149"/>
        <v>11440</v>
      </c>
      <c r="AY50" s="431">
        <f t="shared" si="149"/>
        <v>11440</v>
      </c>
      <c r="AZ50" s="431">
        <f t="shared" si="149"/>
        <v>11440</v>
      </c>
      <c r="BA50" s="431">
        <f t="shared" si="149"/>
        <v>11440</v>
      </c>
      <c r="BB50" s="431">
        <f t="shared" si="149"/>
        <v>11440</v>
      </c>
      <c r="BC50" s="431">
        <f t="shared" si="149"/>
        <v>11440</v>
      </c>
      <c r="BD50" s="431">
        <f t="shared" si="149"/>
        <v>11660</v>
      </c>
      <c r="BE50" s="431">
        <f t="shared" si="149"/>
        <v>11660</v>
      </c>
      <c r="BF50" s="431">
        <f t="shared" si="149"/>
        <v>11660</v>
      </c>
      <c r="BG50" s="431">
        <f t="shared" si="149"/>
        <v>11660</v>
      </c>
      <c r="BH50" s="431">
        <f t="shared" si="149"/>
        <v>11660</v>
      </c>
      <c r="BI50" s="431">
        <f t="shared" si="149"/>
        <v>11660</v>
      </c>
      <c r="BJ50" s="431">
        <f t="shared" si="149"/>
        <v>11660</v>
      </c>
      <c r="BK50" s="431">
        <f t="shared" si="149"/>
        <v>11660</v>
      </c>
      <c r="BL50" s="431">
        <f t="shared" si="149"/>
        <v>11660</v>
      </c>
      <c r="BM50" s="431">
        <f t="shared" si="149"/>
        <v>11660</v>
      </c>
      <c r="BN50" s="431">
        <f t="shared" si="149"/>
        <v>11660</v>
      </c>
      <c r="BO50" s="431">
        <f t="shared" si="149"/>
        <v>11660</v>
      </c>
      <c r="BP50" s="431">
        <f t="shared" si="149"/>
        <v>11880</v>
      </c>
      <c r="BQ50" s="431">
        <f t="shared" si="149"/>
        <v>11880</v>
      </c>
      <c r="BR50" s="431">
        <f t="shared" si="149"/>
        <v>11880</v>
      </c>
      <c r="BS50" s="431">
        <f t="shared" si="149"/>
        <v>11880</v>
      </c>
      <c r="BT50" s="431">
        <f t="shared" si="149"/>
        <v>11880</v>
      </c>
      <c r="BU50" s="431">
        <f t="shared" ref="BU50:EF50" si="150">SUM(BU44:BU49)</f>
        <v>11880</v>
      </c>
      <c r="BV50" s="431">
        <f t="shared" si="150"/>
        <v>11880</v>
      </c>
      <c r="BW50" s="431">
        <f t="shared" si="150"/>
        <v>11880</v>
      </c>
      <c r="BX50" s="431">
        <f t="shared" si="150"/>
        <v>11880</v>
      </c>
      <c r="BY50" s="431">
        <f t="shared" si="150"/>
        <v>11880</v>
      </c>
      <c r="BZ50" s="431">
        <f t="shared" si="150"/>
        <v>11880</v>
      </c>
      <c r="CA50" s="431">
        <f t="shared" si="150"/>
        <v>11880</v>
      </c>
      <c r="CB50" s="431">
        <f t="shared" si="150"/>
        <v>12100.000000000002</v>
      </c>
      <c r="CC50" s="431">
        <f t="shared" si="150"/>
        <v>12100.000000000002</v>
      </c>
      <c r="CD50" s="431">
        <f t="shared" si="150"/>
        <v>12100.000000000002</v>
      </c>
      <c r="CE50" s="431">
        <f t="shared" si="150"/>
        <v>12100.000000000002</v>
      </c>
      <c r="CF50" s="431">
        <f t="shared" si="150"/>
        <v>12100.000000000002</v>
      </c>
      <c r="CG50" s="431">
        <f t="shared" si="150"/>
        <v>12100.000000000002</v>
      </c>
      <c r="CH50" s="431">
        <f t="shared" si="150"/>
        <v>12100.000000000002</v>
      </c>
      <c r="CI50" s="431">
        <f t="shared" si="150"/>
        <v>12100.000000000002</v>
      </c>
      <c r="CJ50" s="431">
        <f t="shared" si="150"/>
        <v>12100.000000000002</v>
      </c>
      <c r="CK50" s="431">
        <f t="shared" si="150"/>
        <v>12100.000000000002</v>
      </c>
      <c r="CL50" s="431">
        <f t="shared" si="150"/>
        <v>12100.000000000002</v>
      </c>
      <c r="CM50" s="431">
        <f t="shared" si="150"/>
        <v>12100.000000000002</v>
      </c>
      <c r="CN50" s="431">
        <f t="shared" si="150"/>
        <v>12320.000000000002</v>
      </c>
      <c r="CO50" s="431">
        <f t="shared" si="150"/>
        <v>12320.000000000002</v>
      </c>
      <c r="CP50" s="431">
        <f t="shared" si="150"/>
        <v>12320.000000000002</v>
      </c>
      <c r="CQ50" s="431">
        <f t="shared" si="150"/>
        <v>12320.000000000002</v>
      </c>
      <c r="CR50" s="431">
        <f t="shared" si="150"/>
        <v>12320.000000000002</v>
      </c>
      <c r="CS50" s="431">
        <f t="shared" si="150"/>
        <v>12320.000000000002</v>
      </c>
      <c r="CT50" s="431">
        <f t="shared" si="150"/>
        <v>12320.000000000002</v>
      </c>
      <c r="CU50" s="431">
        <f t="shared" si="150"/>
        <v>12320.000000000002</v>
      </c>
      <c r="CV50" s="431">
        <f t="shared" si="150"/>
        <v>12320.000000000002</v>
      </c>
      <c r="CW50" s="431">
        <f t="shared" si="150"/>
        <v>12320.000000000002</v>
      </c>
      <c r="CX50" s="431">
        <f t="shared" si="150"/>
        <v>12320.000000000002</v>
      </c>
      <c r="CY50" s="431">
        <f t="shared" si="150"/>
        <v>12320.000000000002</v>
      </c>
      <c r="CZ50" s="431">
        <f t="shared" si="150"/>
        <v>12540.000000000002</v>
      </c>
      <c r="DA50" s="431">
        <f t="shared" si="150"/>
        <v>12540.000000000002</v>
      </c>
      <c r="DB50" s="431">
        <f t="shared" si="150"/>
        <v>12540.000000000002</v>
      </c>
      <c r="DC50" s="431">
        <f t="shared" si="150"/>
        <v>12540.000000000002</v>
      </c>
      <c r="DD50" s="431">
        <f t="shared" si="150"/>
        <v>12540.000000000002</v>
      </c>
      <c r="DE50" s="431">
        <f t="shared" si="150"/>
        <v>12540.000000000002</v>
      </c>
      <c r="DF50" s="431">
        <f t="shared" si="150"/>
        <v>12540.000000000002</v>
      </c>
      <c r="DG50" s="431">
        <f t="shared" si="150"/>
        <v>12540.000000000002</v>
      </c>
      <c r="DH50" s="431">
        <f t="shared" si="150"/>
        <v>12540.000000000002</v>
      </c>
      <c r="DI50" s="431">
        <f t="shared" si="150"/>
        <v>12540.000000000002</v>
      </c>
      <c r="DJ50" s="431">
        <f t="shared" si="150"/>
        <v>12540.000000000002</v>
      </c>
      <c r="DK50" s="431">
        <f t="shared" si="150"/>
        <v>12540.000000000002</v>
      </c>
      <c r="DL50" s="431">
        <f t="shared" si="150"/>
        <v>12760.000000000002</v>
      </c>
      <c r="DM50" s="431">
        <f t="shared" si="150"/>
        <v>12760.000000000002</v>
      </c>
      <c r="DN50" s="431">
        <f t="shared" si="150"/>
        <v>12760.000000000002</v>
      </c>
      <c r="DO50" s="431">
        <f t="shared" si="150"/>
        <v>12760.000000000002</v>
      </c>
      <c r="DP50" s="431">
        <f t="shared" si="150"/>
        <v>12760.000000000002</v>
      </c>
      <c r="DQ50" s="431">
        <f t="shared" si="150"/>
        <v>12760.000000000002</v>
      </c>
      <c r="DR50" s="431">
        <f t="shared" si="150"/>
        <v>12760.000000000002</v>
      </c>
      <c r="DS50" s="431">
        <f t="shared" si="150"/>
        <v>12760.000000000002</v>
      </c>
      <c r="DT50" s="431">
        <f t="shared" si="150"/>
        <v>12760.000000000002</v>
      </c>
      <c r="DU50" s="431">
        <f t="shared" si="150"/>
        <v>12760.000000000002</v>
      </c>
      <c r="DV50" s="431">
        <f t="shared" si="150"/>
        <v>12760.000000000002</v>
      </c>
      <c r="DW50" s="431">
        <f t="shared" si="150"/>
        <v>12760.000000000002</v>
      </c>
      <c r="DX50" s="431">
        <f t="shared" si="150"/>
        <v>12980.000000000002</v>
      </c>
      <c r="DY50" s="431">
        <f t="shared" si="150"/>
        <v>12980.000000000002</v>
      </c>
      <c r="DZ50" s="431">
        <f t="shared" si="150"/>
        <v>12980.000000000002</v>
      </c>
      <c r="EA50" s="431">
        <f t="shared" si="150"/>
        <v>12980.000000000002</v>
      </c>
      <c r="EB50" s="431">
        <f t="shared" si="150"/>
        <v>12980.000000000002</v>
      </c>
      <c r="EC50" s="431">
        <f t="shared" si="150"/>
        <v>12980.000000000002</v>
      </c>
      <c r="ED50" s="431">
        <f t="shared" si="150"/>
        <v>12980.000000000002</v>
      </c>
      <c r="EE50" s="431">
        <f t="shared" si="150"/>
        <v>12980.000000000002</v>
      </c>
      <c r="EF50" s="431">
        <f t="shared" si="150"/>
        <v>12980.000000000002</v>
      </c>
      <c r="EG50" s="431">
        <f t="shared" ref="EG50:FT50" si="151">SUM(EG44:EG49)</f>
        <v>12980.000000000002</v>
      </c>
      <c r="EH50" s="431">
        <f t="shared" si="151"/>
        <v>12980.000000000002</v>
      </c>
      <c r="EI50" s="431">
        <f t="shared" si="151"/>
        <v>12980.000000000002</v>
      </c>
      <c r="EJ50" s="431">
        <f t="shared" si="151"/>
        <v>13200.000000000002</v>
      </c>
      <c r="EK50" s="431">
        <f t="shared" si="151"/>
        <v>13200.000000000002</v>
      </c>
      <c r="EL50" s="431">
        <f t="shared" si="151"/>
        <v>13200.000000000002</v>
      </c>
      <c r="EM50" s="431">
        <f t="shared" si="151"/>
        <v>13200.000000000002</v>
      </c>
      <c r="EN50" s="431">
        <f t="shared" si="151"/>
        <v>13200.000000000002</v>
      </c>
      <c r="EO50" s="431">
        <f t="shared" si="151"/>
        <v>13200.000000000002</v>
      </c>
      <c r="EP50" s="431">
        <f t="shared" si="151"/>
        <v>13200.000000000002</v>
      </c>
      <c r="EQ50" s="431">
        <f t="shared" si="151"/>
        <v>13200.000000000002</v>
      </c>
      <c r="ER50" s="431">
        <f t="shared" si="151"/>
        <v>13200.000000000002</v>
      </c>
      <c r="ES50" s="431">
        <f t="shared" si="151"/>
        <v>13200.000000000002</v>
      </c>
      <c r="ET50" s="431">
        <f t="shared" si="151"/>
        <v>13200.000000000002</v>
      </c>
      <c r="EU50" s="431">
        <f t="shared" si="151"/>
        <v>13200.000000000002</v>
      </c>
      <c r="EV50" s="431">
        <f t="shared" si="151"/>
        <v>0</v>
      </c>
      <c r="EW50" s="431">
        <f t="shared" si="151"/>
        <v>0</v>
      </c>
      <c r="EX50" s="431">
        <f t="shared" si="151"/>
        <v>0</v>
      </c>
      <c r="EY50" s="431">
        <f t="shared" si="151"/>
        <v>0</v>
      </c>
      <c r="EZ50" s="431">
        <f t="shared" si="151"/>
        <v>0</v>
      </c>
      <c r="FA50" s="431">
        <f t="shared" si="151"/>
        <v>0</v>
      </c>
      <c r="FB50" s="431">
        <f t="shared" si="151"/>
        <v>0</v>
      </c>
      <c r="FC50" s="431">
        <f t="shared" si="151"/>
        <v>0</v>
      </c>
      <c r="FD50" s="431">
        <f t="shared" si="151"/>
        <v>0</v>
      </c>
      <c r="FE50" s="431">
        <f t="shared" si="151"/>
        <v>0</v>
      </c>
      <c r="FF50" s="431">
        <f t="shared" si="151"/>
        <v>0</v>
      </c>
      <c r="FG50" s="431">
        <f t="shared" si="151"/>
        <v>0</v>
      </c>
      <c r="FH50" s="431">
        <f t="shared" si="151"/>
        <v>0</v>
      </c>
      <c r="FI50" s="431">
        <f t="shared" si="151"/>
        <v>0</v>
      </c>
      <c r="FJ50" s="431">
        <f t="shared" si="151"/>
        <v>0</v>
      </c>
      <c r="FK50" s="431">
        <f t="shared" si="151"/>
        <v>0</v>
      </c>
      <c r="FL50" s="431">
        <f t="shared" si="151"/>
        <v>0</v>
      </c>
      <c r="FM50" s="431">
        <f t="shared" si="151"/>
        <v>0</v>
      </c>
      <c r="FN50" s="431">
        <f t="shared" si="151"/>
        <v>0</v>
      </c>
      <c r="FO50" s="431">
        <f t="shared" si="151"/>
        <v>0</v>
      </c>
      <c r="FP50" s="431">
        <f t="shared" si="151"/>
        <v>0</v>
      </c>
      <c r="FQ50" s="431">
        <f t="shared" si="151"/>
        <v>0</v>
      </c>
      <c r="FR50" s="431">
        <f t="shared" si="151"/>
        <v>0</v>
      </c>
      <c r="FS50" s="431">
        <f t="shared" si="151"/>
        <v>0</v>
      </c>
      <c r="FT50" s="430">
        <f t="shared" si="151"/>
        <v>0</v>
      </c>
      <c r="FU50" s="43"/>
      <c r="FV50" s="34"/>
      <c r="FW50" s="34"/>
      <c r="FX50" s="34"/>
      <c r="FY50" s="34"/>
      <c r="FZ50" s="34"/>
    </row>
    <row r="51" spans="1:182" s="89" customFormat="1" ht="13.5" x14ac:dyDescent="0.25">
      <c r="A51" s="34"/>
      <c r="B51" s="128"/>
      <c r="C51" s="34"/>
      <c r="D51" s="34"/>
      <c r="E51" s="34"/>
      <c r="F51" s="434"/>
      <c r="G51" s="34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  <c r="S51" s="427"/>
      <c r="T51" s="427"/>
      <c r="U51" s="427"/>
      <c r="V51" s="427"/>
      <c r="W51" s="427"/>
      <c r="X51" s="427"/>
      <c r="Y51" s="427"/>
      <c r="Z51" s="427"/>
      <c r="AA51" s="427"/>
      <c r="AB51" s="427"/>
      <c r="AC51" s="427"/>
      <c r="AD51" s="427"/>
      <c r="AE51" s="427"/>
      <c r="AF51" s="427"/>
      <c r="AG51" s="427"/>
      <c r="AH51" s="427"/>
      <c r="AI51" s="427"/>
      <c r="AJ51" s="427"/>
      <c r="AK51" s="427"/>
      <c r="AL51" s="427"/>
      <c r="AM51" s="427"/>
      <c r="AN51" s="427"/>
      <c r="AO51" s="427"/>
      <c r="AP51" s="427"/>
      <c r="AQ51" s="427"/>
      <c r="AR51" s="427"/>
      <c r="AS51" s="427"/>
      <c r="AT51" s="427"/>
      <c r="AU51" s="427"/>
      <c r="AV51" s="427"/>
      <c r="AW51" s="427"/>
      <c r="AX51" s="427"/>
      <c r="AY51" s="427"/>
      <c r="AZ51" s="427"/>
      <c r="BA51" s="427"/>
      <c r="BB51" s="427"/>
      <c r="BC51" s="427"/>
      <c r="BD51" s="427"/>
      <c r="BE51" s="427"/>
      <c r="BF51" s="427"/>
      <c r="BG51" s="427"/>
      <c r="BH51" s="427"/>
      <c r="BI51" s="427"/>
      <c r="BJ51" s="427"/>
      <c r="BK51" s="427"/>
      <c r="BL51" s="427"/>
      <c r="BM51" s="427"/>
      <c r="BN51" s="427"/>
      <c r="BO51" s="427"/>
      <c r="BP51" s="427"/>
      <c r="BQ51" s="427"/>
      <c r="BR51" s="427"/>
      <c r="BS51" s="427"/>
      <c r="BT51" s="427"/>
      <c r="BU51" s="427"/>
      <c r="BV51" s="427"/>
      <c r="BW51" s="427"/>
      <c r="BX51" s="427"/>
      <c r="BY51" s="427"/>
      <c r="BZ51" s="427"/>
      <c r="CA51" s="427"/>
      <c r="CB51" s="427"/>
      <c r="CC51" s="427"/>
      <c r="CD51" s="427"/>
      <c r="CE51" s="427"/>
      <c r="CF51" s="427"/>
      <c r="CG51" s="427"/>
      <c r="CH51" s="427"/>
      <c r="CI51" s="427"/>
      <c r="CJ51" s="427"/>
      <c r="CK51" s="427"/>
      <c r="CL51" s="427"/>
      <c r="CM51" s="427"/>
      <c r="CN51" s="427"/>
      <c r="CO51" s="427"/>
      <c r="CP51" s="427"/>
      <c r="CQ51" s="427"/>
      <c r="CR51" s="427"/>
      <c r="CS51" s="427"/>
      <c r="CT51" s="427"/>
      <c r="CU51" s="427"/>
      <c r="CV51" s="427"/>
      <c r="CW51" s="427"/>
      <c r="CX51" s="427"/>
      <c r="CY51" s="427"/>
      <c r="CZ51" s="427"/>
      <c r="DA51" s="427"/>
      <c r="DB51" s="427"/>
      <c r="DC51" s="427"/>
      <c r="DD51" s="427"/>
      <c r="DE51" s="427"/>
      <c r="DF51" s="427"/>
      <c r="DG51" s="427"/>
      <c r="DH51" s="427"/>
      <c r="DI51" s="427"/>
      <c r="DJ51" s="427"/>
      <c r="DK51" s="427"/>
      <c r="DL51" s="427"/>
      <c r="DM51" s="427"/>
      <c r="DN51" s="427"/>
      <c r="DO51" s="427"/>
      <c r="DP51" s="427"/>
      <c r="DQ51" s="427"/>
      <c r="DR51" s="427"/>
      <c r="DS51" s="427"/>
      <c r="DT51" s="427"/>
      <c r="DU51" s="427"/>
      <c r="DV51" s="427"/>
      <c r="DW51" s="427"/>
      <c r="DX51" s="427"/>
      <c r="DY51" s="427"/>
      <c r="DZ51" s="427"/>
      <c r="EA51" s="427"/>
      <c r="EB51" s="427"/>
      <c r="EC51" s="427"/>
      <c r="ED51" s="427"/>
      <c r="EE51" s="427"/>
      <c r="EF51" s="427"/>
      <c r="EG51" s="427"/>
      <c r="EH51" s="427"/>
      <c r="EI51" s="427"/>
      <c r="EJ51" s="427"/>
      <c r="EK51" s="427"/>
      <c r="EL51" s="427"/>
      <c r="EM51" s="427"/>
      <c r="EN51" s="427"/>
      <c r="EO51" s="427"/>
      <c r="EP51" s="427"/>
      <c r="EQ51" s="427"/>
      <c r="ER51" s="427"/>
      <c r="ES51" s="427"/>
      <c r="ET51" s="427"/>
      <c r="EU51" s="427"/>
      <c r="EV51" s="427"/>
      <c r="EW51" s="427"/>
      <c r="EX51" s="427"/>
      <c r="EY51" s="427"/>
      <c r="EZ51" s="427"/>
      <c r="FA51" s="427"/>
      <c r="FB51" s="427"/>
      <c r="FC51" s="427"/>
      <c r="FD51" s="427"/>
      <c r="FE51" s="427"/>
      <c r="FF51" s="427"/>
      <c r="FG51" s="427"/>
      <c r="FH51" s="427"/>
      <c r="FI51" s="427"/>
      <c r="FJ51" s="427"/>
      <c r="FK51" s="427"/>
      <c r="FL51" s="427"/>
      <c r="FM51" s="427"/>
      <c r="FN51" s="427"/>
      <c r="FO51" s="427"/>
      <c r="FP51" s="427"/>
      <c r="FQ51" s="427"/>
      <c r="FR51" s="427"/>
      <c r="FS51" s="427"/>
      <c r="FT51" s="427"/>
      <c r="FU51" s="43"/>
      <c r="FV51" s="34"/>
      <c r="FW51" s="34"/>
      <c r="FX51" s="34"/>
      <c r="FY51" s="34"/>
      <c r="FZ51" s="34"/>
    </row>
    <row r="52" spans="1:182" s="89" customFormat="1" ht="13.5" x14ac:dyDescent="0.25">
      <c r="A52" s="34"/>
      <c r="B52" s="73" t="s">
        <v>201</v>
      </c>
      <c r="C52" s="34"/>
      <c r="D52" s="34"/>
      <c r="E52" s="34"/>
      <c r="F52" s="434"/>
      <c r="G52" s="34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  <c r="S52" s="427"/>
      <c r="T52" s="427"/>
      <c r="U52" s="427"/>
      <c r="V52" s="427"/>
      <c r="W52" s="427"/>
      <c r="X52" s="427"/>
      <c r="Y52" s="427"/>
      <c r="Z52" s="427"/>
      <c r="AA52" s="427"/>
      <c r="AB52" s="427"/>
      <c r="AC52" s="427"/>
      <c r="AD52" s="427"/>
      <c r="AE52" s="427"/>
      <c r="AF52" s="427"/>
      <c r="AG52" s="427"/>
      <c r="AH52" s="427"/>
      <c r="AI52" s="427"/>
      <c r="AJ52" s="427"/>
      <c r="AK52" s="427"/>
      <c r="AL52" s="427"/>
      <c r="AM52" s="427"/>
      <c r="AN52" s="427"/>
      <c r="AO52" s="427"/>
      <c r="AP52" s="427"/>
      <c r="AQ52" s="427"/>
      <c r="AR52" s="427"/>
      <c r="AS52" s="427"/>
      <c r="AT52" s="427"/>
      <c r="AU52" s="427"/>
      <c r="AV52" s="427"/>
      <c r="AW52" s="427"/>
      <c r="AX52" s="427"/>
      <c r="AY52" s="427"/>
      <c r="AZ52" s="427"/>
      <c r="BA52" s="427"/>
      <c r="BB52" s="427"/>
      <c r="BC52" s="427"/>
      <c r="BD52" s="427"/>
      <c r="BE52" s="427"/>
      <c r="BF52" s="427"/>
      <c r="BG52" s="427"/>
      <c r="BH52" s="427"/>
      <c r="BI52" s="427"/>
      <c r="BJ52" s="427"/>
      <c r="BK52" s="427"/>
      <c r="BL52" s="427"/>
      <c r="BM52" s="427"/>
      <c r="BN52" s="427"/>
      <c r="BO52" s="427"/>
      <c r="BP52" s="427"/>
      <c r="BQ52" s="427"/>
      <c r="BR52" s="427"/>
      <c r="BS52" s="427"/>
      <c r="BT52" s="427"/>
      <c r="BU52" s="427"/>
      <c r="BV52" s="427"/>
      <c r="BW52" s="427"/>
      <c r="BX52" s="427"/>
      <c r="BY52" s="427"/>
      <c r="BZ52" s="427"/>
      <c r="CA52" s="427"/>
      <c r="CB52" s="427"/>
      <c r="CC52" s="427"/>
      <c r="CD52" s="427"/>
      <c r="CE52" s="427"/>
      <c r="CF52" s="427"/>
      <c r="CG52" s="427"/>
      <c r="CH52" s="427"/>
      <c r="CI52" s="427"/>
      <c r="CJ52" s="427"/>
      <c r="CK52" s="427"/>
      <c r="CL52" s="427"/>
      <c r="CM52" s="427"/>
      <c r="CN52" s="427"/>
      <c r="CO52" s="427"/>
      <c r="CP52" s="427"/>
      <c r="CQ52" s="427"/>
      <c r="CR52" s="427"/>
      <c r="CS52" s="427"/>
      <c r="CT52" s="427"/>
      <c r="CU52" s="427"/>
      <c r="CV52" s="427"/>
      <c r="CW52" s="427"/>
      <c r="CX52" s="427"/>
      <c r="CY52" s="427"/>
      <c r="CZ52" s="427"/>
      <c r="DA52" s="427"/>
      <c r="DB52" s="427"/>
      <c r="DC52" s="427"/>
      <c r="DD52" s="427"/>
      <c r="DE52" s="427"/>
      <c r="DF52" s="427"/>
      <c r="DG52" s="427"/>
      <c r="DH52" s="427"/>
      <c r="DI52" s="427"/>
      <c r="DJ52" s="427"/>
      <c r="DK52" s="427"/>
      <c r="DL52" s="427"/>
      <c r="DM52" s="427"/>
      <c r="DN52" s="427"/>
      <c r="DO52" s="427"/>
      <c r="DP52" s="427"/>
      <c r="DQ52" s="427"/>
      <c r="DR52" s="427"/>
      <c r="DS52" s="427"/>
      <c r="DT52" s="427"/>
      <c r="DU52" s="427"/>
      <c r="DV52" s="427"/>
      <c r="DW52" s="427"/>
      <c r="DX52" s="427"/>
      <c r="DY52" s="427"/>
      <c r="DZ52" s="427"/>
      <c r="EA52" s="427"/>
      <c r="EB52" s="427"/>
      <c r="EC52" s="427"/>
      <c r="ED52" s="427"/>
      <c r="EE52" s="427"/>
      <c r="EF52" s="427"/>
      <c r="EG52" s="427"/>
      <c r="EH52" s="427"/>
      <c r="EI52" s="427"/>
      <c r="EJ52" s="427"/>
      <c r="EK52" s="427"/>
      <c r="EL52" s="427"/>
      <c r="EM52" s="427"/>
      <c r="EN52" s="427"/>
      <c r="EO52" s="427"/>
      <c r="EP52" s="427"/>
      <c r="EQ52" s="427"/>
      <c r="ER52" s="427"/>
      <c r="ES52" s="427"/>
      <c r="ET52" s="427"/>
      <c r="EU52" s="427"/>
      <c r="EV52" s="427"/>
      <c r="EW52" s="427"/>
      <c r="EX52" s="427"/>
      <c r="EY52" s="427"/>
      <c r="EZ52" s="427"/>
      <c r="FA52" s="427"/>
      <c r="FB52" s="427"/>
      <c r="FC52" s="427"/>
      <c r="FD52" s="427"/>
      <c r="FE52" s="427"/>
      <c r="FF52" s="427"/>
      <c r="FG52" s="427"/>
      <c r="FH52" s="427"/>
      <c r="FI52" s="427"/>
      <c r="FJ52" s="427"/>
      <c r="FK52" s="427"/>
      <c r="FL52" s="427"/>
      <c r="FM52" s="427"/>
      <c r="FN52" s="427"/>
      <c r="FO52" s="427"/>
      <c r="FP52" s="427"/>
      <c r="FQ52" s="427"/>
      <c r="FR52" s="427"/>
      <c r="FS52" s="427"/>
      <c r="FT52" s="427"/>
      <c r="FU52" s="43"/>
      <c r="FV52" s="34"/>
      <c r="FW52" s="34"/>
      <c r="FX52" s="34"/>
      <c r="FY52" s="34"/>
      <c r="FZ52" s="34"/>
    </row>
    <row r="53" spans="1:182" s="89" customFormat="1" ht="13.5" x14ac:dyDescent="0.25">
      <c r="A53" s="34"/>
      <c r="B53" s="128" t="str">
        <f>'Operating Assumptions'!F19</f>
        <v>Misc/Fees</v>
      </c>
      <c r="C53" s="34"/>
      <c r="D53" s="34"/>
      <c r="E53" s="34"/>
      <c r="F53" s="434">
        <f t="shared" si="148"/>
        <v>4960604.5</v>
      </c>
      <c r="G53" s="34"/>
      <c r="H53" s="427">
        <f>IF(OR(H$9&lt;'Operating Assumptions'!$D$53,H$6&gt;'Operating Assumptions'!$AA$8,'Operating Assumptions'!$G19="N/A"),0,IF('Operating Assumptions'!$G19="$/Unit/Annual",(('Operating Assumptions'!$H19*H$23)*H$36)/12,IF('Operating Assumptions'!$G19="$/Unit/Month",('Operating Assumptions'!$H19*H$23)*H$36,IF('Operating Assumptions'!$G19="Fixed Amount",('Operating Assumptions'!$H19*H$23)/12))))</f>
        <v>0</v>
      </c>
      <c r="I53" s="427">
        <f>IF(OR(I$9&lt;'Operating Assumptions'!$D$53,I$6&gt;'Operating Assumptions'!$AA$8,'Operating Assumptions'!$G19="N/A"),0,IF('Operating Assumptions'!$G19="$/Unit/Annual",(('Operating Assumptions'!$H19*I$23)*I$36)/12,IF('Operating Assumptions'!$G19="$/Unit/Month",('Operating Assumptions'!$H19*I$23)*I$36,IF('Operating Assumptions'!$G19="Fixed Amount",('Operating Assumptions'!$H19*I$23)/12))))</f>
        <v>0</v>
      </c>
      <c r="J53" s="427">
        <f>IF(OR(J$9&lt;'Operating Assumptions'!$D$53,J$6&gt;'Operating Assumptions'!$AA$8,'Operating Assumptions'!$G19="N/A"),0,IF('Operating Assumptions'!$G19="$/Unit/Annual",(('Operating Assumptions'!$H19*J$23)*J$36)/12,IF('Operating Assumptions'!$G19="$/Unit/Month",('Operating Assumptions'!$H19*J$23)*J$36,IF('Operating Assumptions'!$G19="Fixed Amount",('Operating Assumptions'!$H19*J$23)/12))))</f>
        <v>0</v>
      </c>
      <c r="K53" s="427">
        <f>IF(OR(K$9&lt;'Operating Assumptions'!$D$53,K$6&gt;'Operating Assumptions'!$AA$8,'Operating Assumptions'!$G19="N/A"),0,IF('Operating Assumptions'!$G19="$/Unit/Annual",(('Operating Assumptions'!$H19*K$23)*K$36)/12,IF('Operating Assumptions'!$G19="$/Unit/Month",('Operating Assumptions'!$H19*K$23)*K$36,IF('Operating Assumptions'!$G19="Fixed Amount",('Operating Assumptions'!$H19*K$23)/12))))</f>
        <v>0</v>
      </c>
      <c r="L53" s="427">
        <f>IF(OR(L$9&lt;'Operating Assumptions'!$D$53,L$6&gt;'Operating Assumptions'!$AA$8,'Operating Assumptions'!$G19="N/A"),0,IF('Operating Assumptions'!$G19="$/Unit/Annual",(('Operating Assumptions'!$H19*L$23)*L$36)/12,IF('Operating Assumptions'!$G19="$/Unit/Month",('Operating Assumptions'!$H19*L$23)*L$36,IF('Operating Assumptions'!$G19="Fixed Amount",('Operating Assumptions'!$H19*L$23)/12))))</f>
        <v>0</v>
      </c>
      <c r="M53" s="427">
        <f>IF(OR(M$9&lt;'Operating Assumptions'!$D$53,M$6&gt;'Operating Assumptions'!$AA$8,'Operating Assumptions'!$G19="N/A"),0,IF('Operating Assumptions'!$G19="$/Unit/Annual",(('Operating Assumptions'!$H19*M$23)*M$36)/12,IF('Operating Assumptions'!$G19="$/Unit/Month",('Operating Assumptions'!$H19*M$23)*M$36,IF('Operating Assumptions'!$G19="Fixed Amount",('Operating Assumptions'!$H19*M$23)/12))))</f>
        <v>0</v>
      </c>
      <c r="N53" s="427">
        <f>IF(OR(N$9&lt;'Operating Assumptions'!$D$53,N$6&gt;'Operating Assumptions'!$AA$8,'Operating Assumptions'!$G19="N/A"),0,IF('Operating Assumptions'!$G19="$/Unit/Annual",(('Operating Assumptions'!$H19*N$23)*N$36)/12,IF('Operating Assumptions'!$G19="$/Unit/Month",('Operating Assumptions'!$H19*N$23)*N$36,IF('Operating Assumptions'!$G19="Fixed Amount",('Operating Assumptions'!$H19*N$23)/12))))</f>
        <v>0</v>
      </c>
      <c r="O53" s="427">
        <f>IF(OR(O$9&lt;'Operating Assumptions'!$D$53,O$6&gt;'Operating Assumptions'!$AA$8,'Operating Assumptions'!$G19="N/A"),0,IF('Operating Assumptions'!$G19="$/Unit/Annual",(('Operating Assumptions'!$H19*O$23)*O$36)/12,IF('Operating Assumptions'!$G19="$/Unit/Month",('Operating Assumptions'!$H19*O$23)*O$36,IF('Operating Assumptions'!$G19="Fixed Amount",('Operating Assumptions'!$H19*O$23)/12))))</f>
        <v>0</v>
      </c>
      <c r="P53" s="427">
        <f>IF(OR(P$9&lt;'Operating Assumptions'!$D$53,P$6&gt;'Operating Assumptions'!$AA$8,'Operating Assumptions'!$G19="N/A"),0,IF('Operating Assumptions'!$G19="$/Unit/Annual",(('Operating Assumptions'!$H19*P$23)*P$36)/12,IF('Operating Assumptions'!$G19="$/Unit/Month",('Operating Assumptions'!$H19*P$23)*P$36,IF('Operating Assumptions'!$G19="Fixed Amount",('Operating Assumptions'!$H19*P$23)/12))))</f>
        <v>0</v>
      </c>
      <c r="Q53" s="427">
        <f>IF(OR(Q$9&lt;'Operating Assumptions'!$D$53,Q$6&gt;'Operating Assumptions'!$AA$8,'Operating Assumptions'!$G19="N/A"),0,IF('Operating Assumptions'!$G19="$/Unit/Annual",(('Operating Assumptions'!$H19*Q$23)*Q$36)/12,IF('Operating Assumptions'!$G19="$/Unit/Month",('Operating Assumptions'!$H19*Q$23)*Q$36,IF('Operating Assumptions'!$G19="Fixed Amount",('Operating Assumptions'!$H19*Q$23)/12))))</f>
        <v>0</v>
      </c>
      <c r="R53" s="427">
        <f>IF(OR(R$9&lt;'Operating Assumptions'!$D$53,R$6&gt;'Operating Assumptions'!$AA$8,'Operating Assumptions'!$G19="N/A"),0,IF('Operating Assumptions'!$G19="$/Unit/Annual",(('Operating Assumptions'!$H19*R$23)*R$36)/12,IF('Operating Assumptions'!$G19="$/Unit/Month",('Operating Assumptions'!$H19*R$23)*R$36,IF('Operating Assumptions'!$G19="Fixed Amount",('Operating Assumptions'!$H19*R$23)/12))))</f>
        <v>0</v>
      </c>
      <c r="S53" s="427">
        <f>IF(OR(S$9&lt;'Operating Assumptions'!$D$53,S$6&gt;'Operating Assumptions'!$AA$8,'Operating Assumptions'!$G19="N/A"),0,IF('Operating Assumptions'!$G19="$/Unit/Annual",(('Operating Assumptions'!$H19*S$23)*S$36)/12,IF('Operating Assumptions'!$G19="$/Unit/Month",('Operating Assumptions'!$H19*S$23)*S$36,IF('Operating Assumptions'!$G19="Fixed Amount",('Operating Assumptions'!$H19*S$23)/12))))</f>
        <v>0</v>
      </c>
      <c r="T53" s="427">
        <f>IF(OR(T$9&lt;'Operating Assumptions'!$D$53,T$6&gt;'Operating Assumptions'!$AA$8,'Operating Assumptions'!$G19="N/A"),0,IF('Operating Assumptions'!$G19="$/Unit/Annual",(('Operating Assumptions'!$H19*T$23)*T$36)/12,IF('Operating Assumptions'!$G19="$/Unit/Month",('Operating Assumptions'!$H19*T$23)*T$36,IF('Operating Assumptions'!$G19="Fixed Amount",('Operating Assumptions'!$H19*T$23)/12))))</f>
        <v>0</v>
      </c>
      <c r="U53" s="427">
        <f>IF(OR(U$9&lt;'Operating Assumptions'!$D$53,U$6&gt;'Operating Assumptions'!$AA$8,'Operating Assumptions'!$G19="N/A"),0,IF('Operating Assumptions'!$G19="$/Unit/Annual",(('Operating Assumptions'!$H19*U$23)*U$36)/12,IF('Operating Assumptions'!$G19="$/Unit/Month",('Operating Assumptions'!$H19*U$23)*U$36,IF('Operating Assumptions'!$G19="Fixed Amount",('Operating Assumptions'!$H19*U$23)/12))))</f>
        <v>0</v>
      </c>
      <c r="V53" s="427">
        <f>IF(OR(V$9&lt;'Operating Assumptions'!$D$53,V$6&gt;'Operating Assumptions'!$AA$8,'Operating Assumptions'!$G19="N/A"),0,IF('Operating Assumptions'!$G19="$/Unit/Annual",(('Operating Assumptions'!$H19*V$23)*V$36)/12,IF('Operating Assumptions'!$G19="$/Unit/Month",('Operating Assumptions'!$H19*V$23)*V$36,IF('Operating Assumptions'!$G19="Fixed Amount",('Operating Assumptions'!$H19*V$23)/12))))</f>
        <v>0</v>
      </c>
      <c r="W53" s="427">
        <f>IF(OR(W$9&lt;'Operating Assumptions'!$D$53,W$6&gt;'Operating Assumptions'!$AA$8,'Operating Assumptions'!$G19="N/A"),0,IF('Operating Assumptions'!$G19="$/Unit/Annual",(('Operating Assumptions'!$H19*W$23)*W$36)/12,IF('Operating Assumptions'!$G19="$/Unit/Month",('Operating Assumptions'!$H19*W$23)*W$36,IF('Operating Assumptions'!$G19="Fixed Amount",('Operating Assumptions'!$H19*W$23)/12))))</f>
        <v>0</v>
      </c>
      <c r="X53" s="427">
        <f>IF(OR(X$9&lt;'Operating Assumptions'!$D$53,X$6&gt;'Operating Assumptions'!$AA$8,'Operating Assumptions'!$G19="N/A"),0,IF('Operating Assumptions'!$G19="$/Unit/Annual",(('Operating Assumptions'!$H19*X$23)*X$36)/12,IF('Operating Assumptions'!$G19="$/Unit/Month",('Operating Assumptions'!$H19*X$23)*X$36,IF('Operating Assumptions'!$G19="Fixed Amount",('Operating Assumptions'!$H19*X$23)/12))))</f>
        <v>0</v>
      </c>
      <c r="Y53" s="427">
        <f>IF(OR(Y$9&lt;'Operating Assumptions'!$D$53,Y$6&gt;'Operating Assumptions'!$AA$8,'Operating Assumptions'!$G19="N/A"),0,IF('Operating Assumptions'!$G19="$/Unit/Annual",(('Operating Assumptions'!$H19*Y$23)*Y$36)/12,IF('Operating Assumptions'!$G19="$/Unit/Month",('Operating Assumptions'!$H19*Y$23)*Y$36,IF('Operating Assumptions'!$G19="Fixed Amount",('Operating Assumptions'!$H19*Y$23)/12))))</f>
        <v>3255</v>
      </c>
      <c r="Z53" s="427">
        <f>IF(OR(Z$9&lt;'Operating Assumptions'!$D$53,Z$6&gt;'Operating Assumptions'!$AA$8,'Operating Assumptions'!$G19="N/A"),0,IF('Operating Assumptions'!$G19="$/Unit/Annual",(('Operating Assumptions'!$H19*Z$23)*Z$36)/12,IF('Operating Assumptions'!$G19="$/Unit/Month",('Operating Assumptions'!$H19*Z$23)*Z$36,IF('Operating Assumptions'!$G19="Fixed Amount",('Operating Assumptions'!$H19*Z$23)/12))))</f>
        <v>6355</v>
      </c>
      <c r="AA53" s="427">
        <f>IF(OR(AA$9&lt;'Operating Assumptions'!$D$53,AA$6&gt;'Operating Assumptions'!$AA$8,'Operating Assumptions'!$G19="N/A"),0,IF('Operating Assumptions'!$G19="$/Unit/Annual",(('Operating Assumptions'!$H19*AA$23)*AA$36)/12,IF('Operating Assumptions'!$G19="$/Unit/Month",('Operating Assumptions'!$H19*AA$23)*AA$36,IF('Operating Assumptions'!$G19="Fixed Amount",('Operating Assumptions'!$H19*AA$23)/12))))</f>
        <v>9455</v>
      </c>
      <c r="AB53" s="427">
        <f>IF(OR(AB$9&lt;'Operating Assumptions'!$D$53,AB$6&gt;'Operating Assumptions'!$AA$8,'Operating Assumptions'!$G19="N/A"),0,IF('Operating Assumptions'!$G19="$/Unit/Annual",(('Operating Assumptions'!$H19*AB$23)*AB$36)/12,IF('Operating Assumptions'!$G19="$/Unit/Month",('Operating Assumptions'!$H19*AB$23)*AB$36,IF('Operating Assumptions'!$G19="Fixed Amount",('Operating Assumptions'!$H19*AB$23)/12))))</f>
        <v>12555</v>
      </c>
      <c r="AC53" s="427">
        <f>IF(OR(AC$9&lt;'Operating Assumptions'!$D$53,AC$6&gt;'Operating Assumptions'!$AA$8,'Operating Assumptions'!$G19="N/A"),0,IF('Operating Assumptions'!$G19="$/Unit/Annual",(('Operating Assumptions'!$H19*AC$23)*AC$36)/12,IF('Operating Assumptions'!$G19="$/Unit/Month",('Operating Assumptions'!$H19*AC$23)*AC$36,IF('Operating Assumptions'!$G19="Fixed Amount",('Operating Assumptions'!$H19*AC$23)/12))))</f>
        <v>15655</v>
      </c>
      <c r="AD53" s="427">
        <f>IF(OR(AD$9&lt;'Operating Assumptions'!$D$53,AD$6&gt;'Operating Assumptions'!$AA$8,'Operating Assumptions'!$G19="N/A"),0,IF('Operating Assumptions'!$G19="$/Unit/Annual",(('Operating Assumptions'!$H19*AD$23)*AD$36)/12,IF('Operating Assumptions'!$G19="$/Unit/Month",('Operating Assumptions'!$H19*AD$23)*AD$36,IF('Operating Assumptions'!$G19="Fixed Amount",('Operating Assumptions'!$H19*AD$23)/12))))</f>
        <v>18755</v>
      </c>
      <c r="AE53" s="427">
        <f>IF(OR(AE$9&lt;'Operating Assumptions'!$D$53,AE$6&gt;'Operating Assumptions'!$AA$8,'Operating Assumptions'!$G19="N/A"),0,IF('Operating Assumptions'!$G19="$/Unit/Annual",(('Operating Assumptions'!$H19*AE$23)*AE$36)/12,IF('Operating Assumptions'!$G19="$/Unit/Month",('Operating Assumptions'!$H19*AE$23)*AE$36,IF('Operating Assumptions'!$G19="Fixed Amount",('Operating Assumptions'!$H19*AE$23)/12))))</f>
        <v>19375</v>
      </c>
      <c r="AF53" s="427">
        <f>IF(OR(AF$9&lt;'Operating Assumptions'!$D$53,AF$6&gt;'Operating Assumptions'!$AA$8,'Operating Assumptions'!$G19="N/A"),0,IF('Operating Assumptions'!$G19="$/Unit/Annual",(('Operating Assumptions'!$H19*AF$23)*AF$36)/12,IF('Operating Assumptions'!$G19="$/Unit/Month",('Operating Assumptions'!$H19*AF$23)*AF$36,IF('Operating Assumptions'!$G19="Fixed Amount",('Operating Assumptions'!$H19*AF$23)/12))))</f>
        <v>19762.5</v>
      </c>
      <c r="AG53" s="427">
        <f>IF(OR(AG$9&lt;'Operating Assumptions'!$D$53,AG$6&gt;'Operating Assumptions'!$AA$8,'Operating Assumptions'!$G19="N/A"),0,IF('Operating Assumptions'!$G19="$/Unit/Annual",(('Operating Assumptions'!$H19*AG$23)*AG$36)/12,IF('Operating Assumptions'!$G19="$/Unit/Month",('Operating Assumptions'!$H19*AG$23)*AG$36,IF('Operating Assumptions'!$G19="Fixed Amount",('Operating Assumptions'!$H19*AG$23)/12))))</f>
        <v>19762.5</v>
      </c>
      <c r="AH53" s="427">
        <f>IF(OR(AH$9&lt;'Operating Assumptions'!$D$53,AH$6&gt;'Operating Assumptions'!$AA$8,'Operating Assumptions'!$G19="N/A"),0,IF('Operating Assumptions'!$G19="$/Unit/Annual",(('Operating Assumptions'!$H19*AH$23)*AH$36)/12,IF('Operating Assumptions'!$G19="$/Unit/Month",('Operating Assumptions'!$H19*AH$23)*AH$36,IF('Operating Assumptions'!$G19="Fixed Amount",('Operating Assumptions'!$H19*AH$23)/12))))</f>
        <v>22924.5</v>
      </c>
      <c r="AI53" s="427">
        <f>IF(OR(AI$9&lt;'Operating Assumptions'!$D$53,AI$6&gt;'Operating Assumptions'!$AA$8,'Operating Assumptions'!$G19="N/A"),0,IF('Operating Assumptions'!$G19="$/Unit/Annual",(('Operating Assumptions'!$H19*AI$23)*AI$36)/12,IF('Operating Assumptions'!$G19="$/Unit/Month",('Operating Assumptions'!$H19*AI$23)*AI$36,IF('Operating Assumptions'!$G19="Fixed Amount",('Operating Assumptions'!$H19*AI$23)/12))))</f>
        <v>26086.5</v>
      </c>
      <c r="AJ53" s="427">
        <f>IF(OR(AJ$9&lt;'Operating Assumptions'!$D$53,AJ$6&gt;'Operating Assumptions'!$AA$8,'Operating Assumptions'!$G19="N/A"),0,IF('Operating Assumptions'!$G19="$/Unit/Annual",(('Operating Assumptions'!$H19*AJ$23)*AJ$36)/12,IF('Operating Assumptions'!$G19="$/Unit/Month",('Operating Assumptions'!$H19*AJ$23)*AJ$36,IF('Operating Assumptions'!$G19="Fixed Amount",('Operating Assumptions'!$H19*AJ$23)/12))))</f>
        <v>29248.5</v>
      </c>
      <c r="AK53" s="427">
        <f>IF(OR(AK$9&lt;'Operating Assumptions'!$D$53,AK$6&gt;'Operating Assumptions'!$AA$8,'Operating Assumptions'!$G19="N/A"),0,IF('Operating Assumptions'!$G19="$/Unit/Annual",(('Operating Assumptions'!$H19*AK$23)*AK$36)/12,IF('Operating Assumptions'!$G19="$/Unit/Month",('Operating Assumptions'!$H19*AK$23)*AK$36,IF('Operating Assumptions'!$G19="Fixed Amount",('Operating Assumptions'!$H19*AK$23)/12))))</f>
        <v>32410.5</v>
      </c>
      <c r="AL53" s="427">
        <f>IF(OR(AL$9&lt;'Operating Assumptions'!$D$53,AL$6&gt;'Operating Assumptions'!$AA$8,'Operating Assumptions'!$G19="N/A"),0,IF('Operating Assumptions'!$G19="$/Unit/Annual",(('Operating Assumptions'!$H19*AL$23)*AL$36)/12,IF('Operating Assumptions'!$G19="$/Unit/Month",('Operating Assumptions'!$H19*AL$23)*AL$36,IF('Operating Assumptions'!$G19="Fixed Amount",('Operating Assumptions'!$H19*AL$23)/12))))</f>
        <v>35572.5</v>
      </c>
      <c r="AM53" s="427">
        <f>IF(OR(AM$9&lt;'Operating Assumptions'!$D$53,AM$6&gt;'Operating Assumptions'!$AA$8,'Operating Assumptions'!$G19="N/A"),0,IF('Operating Assumptions'!$G19="$/Unit/Annual",(('Operating Assumptions'!$H19*AM$23)*AM$36)/12,IF('Operating Assumptions'!$G19="$/Unit/Month",('Operating Assumptions'!$H19*AM$23)*AM$36,IF('Operating Assumptions'!$G19="Fixed Amount",('Operating Assumptions'!$H19*AM$23)/12))))</f>
        <v>37944</v>
      </c>
      <c r="AN53" s="427">
        <f>IF(OR(AN$9&lt;'Operating Assumptions'!$D$53,AN$6&gt;'Operating Assumptions'!$AA$8,'Operating Assumptions'!$G19="N/A"),0,IF('Operating Assumptions'!$G19="$/Unit/Annual",(('Operating Assumptions'!$H19*AN$23)*AN$36)/12,IF('Operating Assumptions'!$G19="$/Unit/Month",('Operating Assumptions'!$H19*AN$23)*AN$36,IF('Operating Assumptions'!$G19="Fixed Amount",('Operating Assumptions'!$H19*AN$23)/12))))</f>
        <v>37944</v>
      </c>
      <c r="AO53" s="427">
        <f>IF(OR(AO$9&lt;'Operating Assumptions'!$D$53,AO$6&gt;'Operating Assumptions'!$AA$8,'Operating Assumptions'!$G19="N/A"),0,IF('Operating Assumptions'!$G19="$/Unit/Annual",(('Operating Assumptions'!$H19*AO$23)*AO$36)/12,IF('Operating Assumptions'!$G19="$/Unit/Month",('Operating Assumptions'!$H19*AO$23)*AO$36,IF('Operating Assumptions'!$G19="Fixed Amount",('Operating Assumptions'!$H19*AO$23)/12))))</f>
        <v>37944</v>
      </c>
      <c r="AP53" s="427">
        <f>IF(OR(AP$9&lt;'Operating Assumptions'!$D$53,AP$6&gt;'Operating Assumptions'!$AA$8,'Operating Assumptions'!$G19="N/A"),0,IF('Operating Assumptions'!$G19="$/Unit/Annual",(('Operating Assumptions'!$H19*AP$23)*AP$36)/12,IF('Operating Assumptions'!$G19="$/Unit/Month",('Operating Assumptions'!$H19*AP$23)*AP$36,IF('Operating Assumptions'!$G19="Fixed Amount",('Operating Assumptions'!$H19*AP$23)/12))))</f>
        <v>37944</v>
      </c>
      <c r="AQ53" s="427">
        <f>IF(OR(AQ$9&lt;'Operating Assumptions'!$D$53,AQ$6&gt;'Operating Assumptions'!$AA$8,'Operating Assumptions'!$G19="N/A"),0,IF('Operating Assumptions'!$G19="$/Unit/Annual",(('Operating Assumptions'!$H19*AQ$23)*AQ$36)/12,IF('Operating Assumptions'!$G19="$/Unit/Month",('Operating Assumptions'!$H19*AQ$23)*AQ$36,IF('Operating Assumptions'!$G19="Fixed Amount",('Operating Assumptions'!$H19*AQ$23)/12))))</f>
        <v>37944</v>
      </c>
      <c r="AR53" s="427">
        <f>IF(OR(AR$9&lt;'Operating Assumptions'!$D$53,AR$6&gt;'Operating Assumptions'!$AA$8,'Operating Assumptions'!$G19="N/A"),0,IF('Operating Assumptions'!$G19="$/Unit/Annual",(('Operating Assumptions'!$H19*AR$23)*AR$36)/12,IF('Operating Assumptions'!$G19="$/Unit/Month",('Operating Assumptions'!$H19*AR$23)*AR$36,IF('Operating Assumptions'!$G19="Fixed Amount",('Operating Assumptions'!$H19*AR$23)/12))))</f>
        <v>38688.000000000007</v>
      </c>
      <c r="AS53" s="427">
        <f>IF(OR(AS$9&lt;'Operating Assumptions'!$D$53,AS$6&gt;'Operating Assumptions'!$AA$8,'Operating Assumptions'!$G19="N/A"),0,IF('Operating Assumptions'!$G19="$/Unit/Annual",(('Operating Assumptions'!$H19*AS$23)*AS$36)/12,IF('Operating Assumptions'!$G19="$/Unit/Month",('Operating Assumptions'!$H19*AS$23)*AS$36,IF('Operating Assumptions'!$G19="Fixed Amount",('Operating Assumptions'!$H19*AS$23)/12))))</f>
        <v>38688.000000000007</v>
      </c>
      <c r="AT53" s="427">
        <f>IF(OR(AT$9&lt;'Operating Assumptions'!$D$53,AT$6&gt;'Operating Assumptions'!$AA$8,'Operating Assumptions'!$G19="N/A"),0,IF('Operating Assumptions'!$G19="$/Unit/Annual",(('Operating Assumptions'!$H19*AT$23)*AT$36)/12,IF('Operating Assumptions'!$G19="$/Unit/Month",('Operating Assumptions'!$H19*AT$23)*AT$36,IF('Operating Assumptions'!$G19="Fixed Amount",('Operating Assumptions'!$H19*AT$23)/12))))</f>
        <v>38688.000000000007</v>
      </c>
      <c r="AU53" s="427">
        <f>IF(OR(AU$9&lt;'Operating Assumptions'!$D$53,AU$6&gt;'Operating Assumptions'!$AA$8,'Operating Assumptions'!$G19="N/A"),0,IF('Operating Assumptions'!$G19="$/Unit/Annual",(('Operating Assumptions'!$H19*AU$23)*AU$36)/12,IF('Operating Assumptions'!$G19="$/Unit/Month",('Operating Assumptions'!$H19*AU$23)*AU$36,IF('Operating Assumptions'!$G19="Fixed Amount",('Operating Assumptions'!$H19*AU$23)/12))))</f>
        <v>38688.000000000007</v>
      </c>
      <c r="AV53" s="427">
        <f>IF(OR(AV$9&lt;'Operating Assumptions'!$D$53,AV$6&gt;'Operating Assumptions'!$AA$8,'Operating Assumptions'!$G19="N/A"),0,IF('Operating Assumptions'!$G19="$/Unit/Annual",(('Operating Assumptions'!$H19*AV$23)*AV$36)/12,IF('Operating Assumptions'!$G19="$/Unit/Month",('Operating Assumptions'!$H19*AV$23)*AV$36,IF('Operating Assumptions'!$G19="Fixed Amount",('Operating Assumptions'!$H19*AV$23)/12))))</f>
        <v>38688.000000000007</v>
      </c>
      <c r="AW53" s="427">
        <f>IF(OR(AW$9&lt;'Operating Assumptions'!$D$53,AW$6&gt;'Operating Assumptions'!$AA$8,'Operating Assumptions'!$G19="N/A"),0,IF('Operating Assumptions'!$G19="$/Unit/Annual",(('Operating Assumptions'!$H19*AW$23)*AW$36)/12,IF('Operating Assumptions'!$G19="$/Unit/Month",('Operating Assumptions'!$H19*AW$23)*AW$36,IF('Operating Assumptions'!$G19="Fixed Amount",('Operating Assumptions'!$H19*AW$23)/12))))</f>
        <v>38688.000000000007</v>
      </c>
      <c r="AX53" s="427">
        <f>IF(OR(AX$9&lt;'Operating Assumptions'!$D$53,AX$6&gt;'Operating Assumptions'!$AA$8,'Operating Assumptions'!$G19="N/A"),0,IF('Operating Assumptions'!$G19="$/Unit/Annual",(('Operating Assumptions'!$H19*AX$23)*AX$36)/12,IF('Operating Assumptions'!$G19="$/Unit/Month",('Operating Assumptions'!$H19*AX$23)*AX$36,IF('Operating Assumptions'!$G19="Fixed Amount",('Operating Assumptions'!$H19*AX$23)/12))))</f>
        <v>38688.000000000007</v>
      </c>
      <c r="AY53" s="427">
        <f>IF(OR(AY$9&lt;'Operating Assumptions'!$D$53,AY$6&gt;'Operating Assumptions'!$AA$8,'Operating Assumptions'!$G19="N/A"),0,IF('Operating Assumptions'!$G19="$/Unit/Annual",(('Operating Assumptions'!$H19*AY$23)*AY$36)/12,IF('Operating Assumptions'!$G19="$/Unit/Month",('Operating Assumptions'!$H19*AY$23)*AY$36,IF('Operating Assumptions'!$G19="Fixed Amount",('Operating Assumptions'!$H19*AY$23)/12))))</f>
        <v>38688.000000000007</v>
      </c>
      <c r="AZ53" s="427">
        <f>IF(OR(AZ$9&lt;'Operating Assumptions'!$D$53,AZ$6&gt;'Operating Assumptions'!$AA$8,'Operating Assumptions'!$G19="N/A"),0,IF('Operating Assumptions'!$G19="$/Unit/Annual",(('Operating Assumptions'!$H19*AZ$23)*AZ$36)/12,IF('Operating Assumptions'!$G19="$/Unit/Month",('Operating Assumptions'!$H19*AZ$23)*AZ$36,IF('Operating Assumptions'!$G19="Fixed Amount",('Operating Assumptions'!$H19*AZ$23)/12))))</f>
        <v>38688.000000000007</v>
      </c>
      <c r="BA53" s="427">
        <f>IF(OR(BA$9&lt;'Operating Assumptions'!$D$53,BA$6&gt;'Operating Assumptions'!$AA$8,'Operating Assumptions'!$G19="N/A"),0,IF('Operating Assumptions'!$G19="$/Unit/Annual",(('Operating Assumptions'!$H19*BA$23)*BA$36)/12,IF('Operating Assumptions'!$G19="$/Unit/Month",('Operating Assumptions'!$H19*BA$23)*BA$36,IF('Operating Assumptions'!$G19="Fixed Amount",('Operating Assumptions'!$H19*BA$23)/12))))</f>
        <v>38688.000000000007</v>
      </c>
      <c r="BB53" s="427">
        <f>IF(OR(BB$9&lt;'Operating Assumptions'!$D$53,BB$6&gt;'Operating Assumptions'!$AA$8,'Operating Assumptions'!$G19="N/A"),0,IF('Operating Assumptions'!$G19="$/Unit/Annual",(('Operating Assumptions'!$H19*BB$23)*BB$36)/12,IF('Operating Assumptions'!$G19="$/Unit/Month",('Operating Assumptions'!$H19*BB$23)*BB$36,IF('Operating Assumptions'!$G19="Fixed Amount",('Operating Assumptions'!$H19*BB$23)/12))))</f>
        <v>38688.000000000007</v>
      </c>
      <c r="BC53" s="427">
        <f>IF(OR(BC$9&lt;'Operating Assumptions'!$D$53,BC$6&gt;'Operating Assumptions'!$AA$8,'Operating Assumptions'!$G19="N/A"),0,IF('Operating Assumptions'!$G19="$/Unit/Annual",(('Operating Assumptions'!$H19*BC$23)*BC$36)/12,IF('Operating Assumptions'!$G19="$/Unit/Month",('Operating Assumptions'!$H19*BC$23)*BC$36,IF('Operating Assumptions'!$G19="Fixed Amount",('Operating Assumptions'!$H19*BC$23)/12))))</f>
        <v>38688.000000000007</v>
      </c>
      <c r="BD53" s="427">
        <f>IF(OR(BD$9&lt;'Operating Assumptions'!$D$53,BD$6&gt;'Operating Assumptions'!$AA$8,'Operating Assumptions'!$G19="N/A"),0,IF('Operating Assumptions'!$G19="$/Unit/Annual",(('Operating Assumptions'!$H19*BD$23)*BD$36)/12,IF('Operating Assumptions'!$G19="$/Unit/Month",('Operating Assumptions'!$H19*BD$23)*BD$36,IF('Operating Assumptions'!$G19="Fixed Amount",('Operating Assumptions'!$H19*BD$23)/12))))</f>
        <v>39432</v>
      </c>
      <c r="BE53" s="427">
        <f>IF(OR(BE$9&lt;'Operating Assumptions'!$D$53,BE$6&gt;'Operating Assumptions'!$AA$8,'Operating Assumptions'!$G19="N/A"),0,IF('Operating Assumptions'!$G19="$/Unit/Annual",(('Operating Assumptions'!$H19*BE$23)*BE$36)/12,IF('Operating Assumptions'!$G19="$/Unit/Month",('Operating Assumptions'!$H19*BE$23)*BE$36,IF('Operating Assumptions'!$G19="Fixed Amount",('Operating Assumptions'!$H19*BE$23)/12))))</f>
        <v>39432</v>
      </c>
      <c r="BF53" s="427">
        <f>IF(OR(BF$9&lt;'Operating Assumptions'!$D$53,BF$6&gt;'Operating Assumptions'!$AA$8,'Operating Assumptions'!$G19="N/A"),0,IF('Operating Assumptions'!$G19="$/Unit/Annual",(('Operating Assumptions'!$H19*BF$23)*BF$36)/12,IF('Operating Assumptions'!$G19="$/Unit/Month",('Operating Assumptions'!$H19*BF$23)*BF$36,IF('Operating Assumptions'!$G19="Fixed Amount",('Operating Assumptions'!$H19*BF$23)/12))))</f>
        <v>39432</v>
      </c>
      <c r="BG53" s="427">
        <f>IF(OR(BG$9&lt;'Operating Assumptions'!$D$53,BG$6&gt;'Operating Assumptions'!$AA$8,'Operating Assumptions'!$G19="N/A"),0,IF('Operating Assumptions'!$G19="$/Unit/Annual",(('Operating Assumptions'!$H19*BG$23)*BG$36)/12,IF('Operating Assumptions'!$G19="$/Unit/Month",('Operating Assumptions'!$H19*BG$23)*BG$36,IF('Operating Assumptions'!$G19="Fixed Amount",('Operating Assumptions'!$H19*BG$23)/12))))</f>
        <v>39432</v>
      </c>
      <c r="BH53" s="427">
        <f>IF(OR(BH$9&lt;'Operating Assumptions'!$D$53,BH$6&gt;'Operating Assumptions'!$AA$8,'Operating Assumptions'!$G19="N/A"),0,IF('Operating Assumptions'!$G19="$/Unit/Annual",(('Operating Assumptions'!$H19*BH$23)*BH$36)/12,IF('Operating Assumptions'!$G19="$/Unit/Month",('Operating Assumptions'!$H19*BH$23)*BH$36,IF('Operating Assumptions'!$G19="Fixed Amount",('Operating Assumptions'!$H19*BH$23)/12))))</f>
        <v>39432</v>
      </c>
      <c r="BI53" s="427">
        <f>IF(OR(BI$9&lt;'Operating Assumptions'!$D$53,BI$6&gt;'Operating Assumptions'!$AA$8,'Operating Assumptions'!$G19="N/A"),0,IF('Operating Assumptions'!$G19="$/Unit/Annual",(('Operating Assumptions'!$H19*BI$23)*BI$36)/12,IF('Operating Assumptions'!$G19="$/Unit/Month",('Operating Assumptions'!$H19*BI$23)*BI$36,IF('Operating Assumptions'!$G19="Fixed Amount",('Operating Assumptions'!$H19*BI$23)/12))))</f>
        <v>39432</v>
      </c>
      <c r="BJ53" s="427">
        <f>IF(OR(BJ$9&lt;'Operating Assumptions'!$D$53,BJ$6&gt;'Operating Assumptions'!$AA$8,'Operating Assumptions'!$G19="N/A"),0,IF('Operating Assumptions'!$G19="$/Unit/Annual",(('Operating Assumptions'!$H19*BJ$23)*BJ$36)/12,IF('Operating Assumptions'!$G19="$/Unit/Month",('Operating Assumptions'!$H19*BJ$23)*BJ$36,IF('Operating Assumptions'!$G19="Fixed Amount",('Operating Assumptions'!$H19*BJ$23)/12))))</f>
        <v>39432</v>
      </c>
      <c r="BK53" s="427">
        <f>IF(OR(BK$9&lt;'Operating Assumptions'!$D$53,BK$6&gt;'Operating Assumptions'!$AA$8,'Operating Assumptions'!$G19="N/A"),0,IF('Operating Assumptions'!$G19="$/Unit/Annual",(('Operating Assumptions'!$H19*BK$23)*BK$36)/12,IF('Operating Assumptions'!$G19="$/Unit/Month",('Operating Assumptions'!$H19*BK$23)*BK$36,IF('Operating Assumptions'!$G19="Fixed Amount",('Operating Assumptions'!$H19*BK$23)/12))))</f>
        <v>39432</v>
      </c>
      <c r="BL53" s="427">
        <f>IF(OR(BL$9&lt;'Operating Assumptions'!$D$53,BL$6&gt;'Operating Assumptions'!$AA$8,'Operating Assumptions'!$G19="N/A"),0,IF('Operating Assumptions'!$G19="$/Unit/Annual",(('Operating Assumptions'!$H19*BL$23)*BL$36)/12,IF('Operating Assumptions'!$G19="$/Unit/Month",('Operating Assumptions'!$H19*BL$23)*BL$36,IF('Operating Assumptions'!$G19="Fixed Amount",('Operating Assumptions'!$H19*BL$23)/12))))</f>
        <v>39432</v>
      </c>
      <c r="BM53" s="427">
        <f>IF(OR(BM$9&lt;'Operating Assumptions'!$D$53,BM$6&gt;'Operating Assumptions'!$AA$8,'Operating Assumptions'!$G19="N/A"),0,IF('Operating Assumptions'!$G19="$/Unit/Annual",(('Operating Assumptions'!$H19*BM$23)*BM$36)/12,IF('Operating Assumptions'!$G19="$/Unit/Month",('Operating Assumptions'!$H19*BM$23)*BM$36,IF('Operating Assumptions'!$G19="Fixed Amount",('Operating Assumptions'!$H19*BM$23)/12))))</f>
        <v>39432</v>
      </c>
      <c r="BN53" s="427">
        <f>IF(OR(BN$9&lt;'Operating Assumptions'!$D$53,BN$6&gt;'Operating Assumptions'!$AA$8,'Operating Assumptions'!$G19="N/A"),0,IF('Operating Assumptions'!$G19="$/Unit/Annual",(('Operating Assumptions'!$H19*BN$23)*BN$36)/12,IF('Operating Assumptions'!$G19="$/Unit/Month",('Operating Assumptions'!$H19*BN$23)*BN$36,IF('Operating Assumptions'!$G19="Fixed Amount",('Operating Assumptions'!$H19*BN$23)/12))))</f>
        <v>39432</v>
      </c>
      <c r="BO53" s="427">
        <f>IF(OR(BO$9&lt;'Operating Assumptions'!$D$53,BO$6&gt;'Operating Assumptions'!$AA$8,'Operating Assumptions'!$G19="N/A"),0,IF('Operating Assumptions'!$G19="$/Unit/Annual",(('Operating Assumptions'!$H19*BO$23)*BO$36)/12,IF('Operating Assumptions'!$G19="$/Unit/Month",('Operating Assumptions'!$H19*BO$23)*BO$36,IF('Operating Assumptions'!$G19="Fixed Amount",('Operating Assumptions'!$H19*BO$23)/12))))</f>
        <v>39432</v>
      </c>
      <c r="BP53" s="427">
        <f>IF(OR(BP$9&lt;'Operating Assumptions'!$D$53,BP$6&gt;'Operating Assumptions'!$AA$8,'Operating Assumptions'!$G19="N/A"),0,IF('Operating Assumptions'!$G19="$/Unit/Annual",(('Operating Assumptions'!$H19*BP$23)*BP$36)/12,IF('Operating Assumptions'!$G19="$/Unit/Month",('Operating Assumptions'!$H19*BP$23)*BP$36,IF('Operating Assumptions'!$G19="Fixed Amount",('Operating Assumptions'!$H19*BP$23)/12))))</f>
        <v>40176</v>
      </c>
      <c r="BQ53" s="427">
        <f>IF(OR(BQ$9&lt;'Operating Assumptions'!$D$53,BQ$6&gt;'Operating Assumptions'!$AA$8,'Operating Assumptions'!$G19="N/A"),0,IF('Operating Assumptions'!$G19="$/Unit/Annual",(('Operating Assumptions'!$H19*BQ$23)*BQ$36)/12,IF('Operating Assumptions'!$G19="$/Unit/Month",('Operating Assumptions'!$H19*BQ$23)*BQ$36,IF('Operating Assumptions'!$G19="Fixed Amount",('Operating Assumptions'!$H19*BQ$23)/12))))</f>
        <v>40176</v>
      </c>
      <c r="BR53" s="427">
        <f>IF(OR(BR$9&lt;'Operating Assumptions'!$D$53,BR$6&gt;'Operating Assumptions'!$AA$8,'Operating Assumptions'!$G19="N/A"),0,IF('Operating Assumptions'!$G19="$/Unit/Annual",(('Operating Assumptions'!$H19*BR$23)*BR$36)/12,IF('Operating Assumptions'!$G19="$/Unit/Month",('Operating Assumptions'!$H19*BR$23)*BR$36,IF('Operating Assumptions'!$G19="Fixed Amount",('Operating Assumptions'!$H19*BR$23)/12))))</f>
        <v>40176</v>
      </c>
      <c r="BS53" s="427">
        <f>IF(OR(BS$9&lt;'Operating Assumptions'!$D$53,BS$6&gt;'Operating Assumptions'!$AA$8,'Operating Assumptions'!$G19="N/A"),0,IF('Operating Assumptions'!$G19="$/Unit/Annual",(('Operating Assumptions'!$H19*BS$23)*BS$36)/12,IF('Operating Assumptions'!$G19="$/Unit/Month",('Operating Assumptions'!$H19*BS$23)*BS$36,IF('Operating Assumptions'!$G19="Fixed Amount",('Operating Assumptions'!$H19*BS$23)/12))))</f>
        <v>40176</v>
      </c>
      <c r="BT53" s="427">
        <f>IF(OR(BT$9&lt;'Operating Assumptions'!$D$53,BT$6&gt;'Operating Assumptions'!$AA$8,'Operating Assumptions'!$G19="N/A"),0,IF('Operating Assumptions'!$G19="$/Unit/Annual",(('Operating Assumptions'!$H19*BT$23)*BT$36)/12,IF('Operating Assumptions'!$G19="$/Unit/Month",('Operating Assumptions'!$H19*BT$23)*BT$36,IF('Operating Assumptions'!$G19="Fixed Amount",('Operating Assumptions'!$H19*BT$23)/12))))</f>
        <v>40176</v>
      </c>
      <c r="BU53" s="427">
        <f>IF(OR(BU$9&lt;'Operating Assumptions'!$D$53,BU$6&gt;'Operating Assumptions'!$AA$8,'Operating Assumptions'!$G19="N/A"),0,IF('Operating Assumptions'!$G19="$/Unit/Annual",(('Operating Assumptions'!$H19*BU$23)*BU$36)/12,IF('Operating Assumptions'!$G19="$/Unit/Month",('Operating Assumptions'!$H19*BU$23)*BU$36,IF('Operating Assumptions'!$G19="Fixed Amount",('Operating Assumptions'!$H19*BU$23)/12))))</f>
        <v>40176</v>
      </c>
      <c r="BV53" s="427">
        <f>IF(OR(BV$9&lt;'Operating Assumptions'!$D$53,BV$6&gt;'Operating Assumptions'!$AA$8,'Operating Assumptions'!$G19="N/A"),0,IF('Operating Assumptions'!$G19="$/Unit/Annual",(('Operating Assumptions'!$H19*BV$23)*BV$36)/12,IF('Operating Assumptions'!$G19="$/Unit/Month",('Operating Assumptions'!$H19*BV$23)*BV$36,IF('Operating Assumptions'!$G19="Fixed Amount",('Operating Assumptions'!$H19*BV$23)/12))))</f>
        <v>40176</v>
      </c>
      <c r="BW53" s="427">
        <f>IF(OR(BW$9&lt;'Operating Assumptions'!$D$53,BW$6&gt;'Operating Assumptions'!$AA$8,'Operating Assumptions'!$G19="N/A"),0,IF('Operating Assumptions'!$G19="$/Unit/Annual",(('Operating Assumptions'!$H19*BW$23)*BW$36)/12,IF('Operating Assumptions'!$G19="$/Unit/Month",('Operating Assumptions'!$H19*BW$23)*BW$36,IF('Operating Assumptions'!$G19="Fixed Amount",('Operating Assumptions'!$H19*BW$23)/12))))</f>
        <v>40176</v>
      </c>
      <c r="BX53" s="427">
        <f>IF(OR(BX$9&lt;'Operating Assumptions'!$D$53,BX$6&gt;'Operating Assumptions'!$AA$8,'Operating Assumptions'!$G19="N/A"),0,IF('Operating Assumptions'!$G19="$/Unit/Annual",(('Operating Assumptions'!$H19*BX$23)*BX$36)/12,IF('Operating Assumptions'!$G19="$/Unit/Month",('Operating Assumptions'!$H19*BX$23)*BX$36,IF('Operating Assumptions'!$G19="Fixed Amount",('Operating Assumptions'!$H19*BX$23)/12))))</f>
        <v>40176</v>
      </c>
      <c r="BY53" s="427">
        <f>IF(OR(BY$9&lt;'Operating Assumptions'!$D$53,BY$6&gt;'Operating Assumptions'!$AA$8,'Operating Assumptions'!$G19="N/A"),0,IF('Operating Assumptions'!$G19="$/Unit/Annual",(('Operating Assumptions'!$H19*BY$23)*BY$36)/12,IF('Operating Assumptions'!$G19="$/Unit/Month",('Operating Assumptions'!$H19*BY$23)*BY$36,IF('Operating Assumptions'!$G19="Fixed Amount",('Operating Assumptions'!$H19*BY$23)/12))))</f>
        <v>40176</v>
      </c>
      <c r="BZ53" s="427">
        <f>IF(OR(BZ$9&lt;'Operating Assumptions'!$D$53,BZ$6&gt;'Operating Assumptions'!$AA$8,'Operating Assumptions'!$G19="N/A"),0,IF('Operating Assumptions'!$G19="$/Unit/Annual",(('Operating Assumptions'!$H19*BZ$23)*BZ$36)/12,IF('Operating Assumptions'!$G19="$/Unit/Month",('Operating Assumptions'!$H19*BZ$23)*BZ$36,IF('Operating Assumptions'!$G19="Fixed Amount",('Operating Assumptions'!$H19*BZ$23)/12))))</f>
        <v>40176</v>
      </c>
      <c r="CA53" s="427">
        <f>IF(OR(CA$9&lt;'Operating Assumptions'!$D$53,CA$6&gt;'Operating Assumptions'!$AA$8,'Operating Assumptions'!$G19="N/A"),0,IF('Operating Assumptions'!$G19="$/Unit/Annual",(('Operating Assumptions'!$H19*CA$23)*CA$36)/12,IF('Operating Assumptions'!$G19="$/Unit/Month",('Operating Assumptions'!$H19*CA$23)*CA$36,IF('Operating Assumptions'!$G19="Fixed Amount",('Operating Assumptions'!$H19*CA$23)/12))))</f>
        <v>40176</v>
      </c>
      <c r="CB53" s="427">
        <f>IF(OR(CB$9&lt;'Operating Assumptions'!$D$53,CB$6&gt;'Operating Assumptions'!$AA$8,'Operating Assumptions'!$G19="N/A"),0,IF('Operating Assumptions'!$G19="$/Unit/Annual",(('Operating Assumptions'!$H19*CB$23)*CB$36)/12,IF('Operating Assumptions'!$G19="$/Unit/Month",('Operating Assumptions'!$H19*CB$23)*CB$36,IF('Operating Assumptions'!$G19="Fixed Amount",('Operating Assumptions'!$H19*CB$23)/12))))</f>
        <v>40920</v>
      </c>
      <c r="CC53" s="427">
        <f>IF(OR(CC$9&lt;'Operating Assumptions'!$D$53,CC$6&gt;'Operating Assumptions'!$AA$8,'Operating Assumptions'!$G19="N/A"),0,IF('Operating Assumptions'!$G19="$/Unit/Annual",(('Operating Assumptions'!$H19*CC$23)*CC$36)/12,IF('Operating Assumptions'!$G19="$/Unit/Month",('Operating Assumptions'!$H19*CC$23)*CC$36,IF('Operating Assumptions'!$G19="Fixed Amount",('Operating Assumptions'!$H19*CC$23)/12))))</f>
        <v>40920</v>
      </c>
      <c r="CD53" s="427">
        <f>IF(OR(CD$9&lt;'Operating Assumptions'!$D$53,CD$6&gt;'Operating Assumptions'!$AA$8,'Operating Assumptions'!$G19="N/A"),0,IF('Operating Assumptions'!$G19="$/Unit/Annual",(('Operating Assumptions'!$H19*CD$23)*CD$36)/12,IF('Operating Assumptions'!$G19="$/Unit/Month",('Operating Assumptions'!$H19*CD$23)*CD$36,IF('Operating Assumptions'!$G19="Fixed Amount",('Operating Assumptions'!$H19*CD$23)/12))))</f>
        <v>40920</v>
      </c>
      <c r="CE53" s="427">
        <f>IF(OR(CE$9&lt;'Operating Assumptions'!$D$53,CE$6&gt;'Operating Assumptions'!$AA$8,'Operating Assumptions'!$G19="N/A"),0,IF('Operating Assumptions'!$G19="$/Unit/Annual",(('Operating Assumptions'!$H19*CE$23)*CE$36)/12,IF('Operating Assumptions'!$G19="$/Unit/Month",('Operating Assumptions'!$H19*CE$23)*CE$36,IF('Operating Assumptions'!$G19="Fixed Amount",('Operating Assumptions'!$H19*CE$23)/12))))</f>
        <v>40920</v>
      </c>
      <c r="CF53" s="427">
        <f>IF(OR(CF$9&lt;'Operating Assumptions'!$D$53,CF$6&gt;'Operating Assumptions'!$AA$8,'Operating Assumptions'!$G19="N/A"),0,IF('Operating Assumptions'!$G19="$/Unit/Annual",(('Operating Assumptions'!$H19*CF$23)*CF$36)/12,IF('Operating Assumptions'!$G19="$/Unit/Month",('Operating Assumptions'!$H19*CF$23)*CF$36,IF('Operating Assumptions'!$G19="Fixed Amount",('Operating Assumptions'!$H19*CF$23)/12))))</f>
        <v>40920</v>
      </c>
      <c r="CG53" s="427">
        <f>IF(OR(CG$9&lt;'Operating Assumptions'!$D$53,CG$6&gt;'Operating Assumptions'!$AA$8,'Operating Assumptions'!$G19="N/A"),0,IF('Operating Assumptions'!$G19="$/Unit/Annual",(('Operating Assumptions'!$H19*CG$23)*CG$36)/12,IF('Operating Assumptions'!$G19="$/Unit/Month",('Operating Assumptions'!$H19*CG$23)*CG$36,IF('Operating Assumptions'!$G19="Fixed Amount",('Operating Assumptions'!$H19*CG$23)/12))))</f>
        <v>40920</v>
      </c>
      <c r="CH53" s="427">
        <f>IF(OR(CH$9&lt;'Operating Assumptions'!$D$53,CH$6&gt;'Operating Assumptions'!$AA$8,'Operating Assumptions'!$G19="N/A"),0,IF('Operating Assumptions'!$G19="$/Unit/Annual",(('Operating Assumptions'!$H19*CH$23)*CH$36)/12,IF('Operating Assumptions'!$G19="$/Unit/Month",('Operating Assumptions'!$H19*CH$23)*CH$36,IF('Operating Assumptions'!$G19="Fixed Amount",('Operating Assumptions'!$H19*CH$23)/12))))</f>
        <v>40920</v>
      </c>
      <c r="CI53" s="427">
        <f>IF(OR(CI$9&lt;'Operating Assumptions'!$D$53,CI$6&gt;'Operating Assumptions'!$AA$8,'Operating Assumptions'!$G19="N/A"),0,IF('Operating Assumptions'!$G19="$/Unit/Annual",(('Operating Assumptions'!$H19*CI$23)*CI$36)/12,IF('Operating Assumptions'!$G19="$/Unit/Month",('Operating Assumptions'!$H19*CI$23)*CI$36,IF('Operating Assumptions'!$G19="Fixed Amount",('Operating Assumptions'!$H19*CI$23)/12))))</f>
        <v>40920</v>
      </c>
      <c r="CJ53" s="427">
        <f>IF(OR(CJ$9&lt;'Operating Assumptions'!$D$53,CJ$6&gt;'Operating Assumptions'!$AA$8,'Operating Assumptions'!$G19="N/A"),0,IF('Operating Assumptions'!$G19="$/Unit/Annual",(('Operating Assumptions'!$H19*CJ$23)*CJ$36)/12,IF('Operating Assumptions'!$G19="$/Unit/Month",('Operating Assumptions'!$H19*CJ$23)*CJ$36,IF('Operating Assumptions'!$G19="Fixed Amount",('Operating Assumptions'!$H19*CJ$23)/12))))</f>
        <v>40920</v>
      </c>
      <c r="CK53" s="427">
        <f>IF(OR(CK$9&lt;'Operating Assumptions'!$D$53,CK$6&gt;'Operating Assumptions'!$AA$8,'Operating Assumptions'!$G19="N/A"),0,IF('Operating Assumptions'!$G19="$/Unit/Annual",(('Operating Assumptions'!$H19*CK$23)*CK$36)/12,IF('Operating Assumptions'!$G19="$/Unit/Month",('Operating Assumptions'!$H19*CK$23)*CK$36,IF('Operating Assumptions'!$G19="Fixed Amount",('Operating Assumptions'!$H19*CK$23)/12))))</f>
        <v>40920</v>
      </c>
      <c r="CL53" s="427">
        <f>IF(OR(CL$9&lt;'Operating Assumptions'!$D$53,CL$6&gt;'Operating Assumptions'!$AA$8,'Operating Assumptions'!$G19="N/A"),0,IF('Operating Assumptions'!$G19="$/Unit/Annual",(('Operating Assumptions'!$H19*CL$23)*CL$36)/12,IF('Operating Assumptions'!$G19="$/Unit/Month",('Operating Assumptions'!$H19*CL$23)*CL$36,IF('Operating Assumptions'!$G19="Fixed Amount",('Operating Assumptions'!$H19*CL$23)/12))))</f>
        <v>40920</v>
      </c>
      <c r="CM53" s="427">
        <f>IF(OR(CM$9&lt;'Operating Assumptions'!$D$53,CM$6&gt;'Operating Assumptions'!$AA$8,'Operating Assumptions'!$G19="N/A"),0,IF('Operating Assumptions'!$G19="$/Unit/Annual",(('Operating Assumptions'!$H19*CM$23)*CM$36)/12,IF('Operating Assumptions'!$G19="$/Unit/Month",('Operating Assumptions'!$H19*CM$23)*CM$36,IF('Operating Assumptions'!$G19="Fixed Amount",('Operating Assumptions'!$H19*CM$23)/12))))</f>
        <v>40920</v>
      </c>
      <c r="CN53" s="427">
        <f>IF(OR(CN$9&lt;'Operating Assumptions'!$D$53,CN$6&gt;'Operating Assumptions'!$AA$8,'Operating Assumptions'!$G19="N/A"),0,IF('Operating Assumptions'!$G19="$/Unit/Annual",(('Operating Assumptions'!$H19*CN$23)*CN$36)/12,IF('Operating Assumptions'!$G19="$/Unit/Month",('Operating Assumptions'!$H19*CN$23)*CN$36,IF('Operating Assumptions'!$G19="Fixed Amount",('Operating Assumptions'!$H19*CN$23)/12))))</f>
        <v>41664.000000000007</v>
      </c>
      <c r="CO53" s="427">
        <f>IF(OR(CO$9&lt;'Operating Assumptions'!$D$53,CO$6&gt;'Operating Assumptions'!$AA$8,'Operating Assumptions'!$G19="N/A"),0,IF('Operating Assumptions'!$G19="$/Unit/Annual",(('Operating Assumptions'!$H19*CO$23)*CO$36)/12,IF('Operating Assumptions'!$G19="$/Unit/Month",('Operating Assumptions'!$H19*CO$23)*CO$36,IF('Operating Assumptions'!$G19="Fixed Amount",('Operating Assumptions'!$H19*CO$23)/12))))</f>
        <v>41664.000000000007</v>
      </c>
      <c r="CP53" s="427">
        <f>IF(OR(CP$9&lt;'Operating Assumptions'!$D$53,CP$6&gt;'Operating Assumptions'!$AA$8,'Operating Assumptions'!$G19="N/A"),0,IF('Operating Assumptions'!$G19="$/Unit/Annual",(('Operating Assumptions'!$H19*CP$23)*CP$36)/12,IF('Operating Assumptions'!$G19="$/Unit/Month",('Operating Assumptions'!$H19*CP$23)*CP$36,IF('Operating Assumptions'!$G19="Fixed Amount",('Operating Assumptions'!$H19*CP$23)/12))))</f>
        <v>41664.000000000007</v>
      </c>
      <c r="CQ53" s="427">
        <f>IF(OR(CQ$9&lt;'Operating Assumptions'!$D$53,CQ$6&gt;'Operating Assumptions'!$AA$8,'Operating Assumptions'!$G19="N/A"),0,IF('Operating Assumptions'!$G19="$/Unit/Annual",(('Operating Assumptions'!$H19*CQ$23)*CQ$36)/12,IF('Operating Assumptions'!$G19="$/Unit/Month",('Operating Assumptions'!$H19*CQ$23)*CQ$36,IF('Operating Assumptions'!$G19="Fixed Amount",('Operating Assumptions'!$H19*CQ$23)/12))))</f>
        <v>41664.000000000007</v>
      </c>
      <c r="CR53" s="427">
        <f>IF(OR(CR$9&lt;'Operating Assumptions'!$D$53,CR$6&gt;'Operating Assumptions'!$AA$8,'Operating Assumptions'!$G19="N/A"),0,IF('Operating Assumptions'!$G19="$/Unit/Annual",(('Operating Assumptions'!$H19*CR$23)*CR$36)/12,IF('Operating Assumptions'!$G19="$/Unit/Month",('Operating Assumptions'!$H19*CR$23)*CR$36,IF('Operating Assumptions'!$G19="Fixed Amount",('Operating Assumptions'!$H19*CR$23)/12))))</f>
        <v>41664.000000000007</v>
      </c>
      <c r="CS53" s="427">
        <f>IF(OR(CS$9&lt;'Operating Assumptions'!$D$53,CS$6&gt;'Operating Assumptions'!$AA$8,'Operating Assumptions'!$G19="N/A"),0,IF('Operating Assumptions'!$G19="$/Unit/Annual",(('Operating Assumptions'!$H19*CS$23)*CS$36)/12,IF('Operating Assumptions'!$G19="$/Unit/Month",('Operating Assumptions'!$H19*CS$23)*CS$36,IF('Operating Assumptions'!$G19="Fixed Amount",('Operating Assumptions'!$H19*CS$23)/12))))</f>
        <v>41664.000000000007</v>
      </c>
      <c r="CT53" s="427">
        <f>IF(OR(CT$9&lt;'Operating Assumptions'!$D$53,CT$6&gt;'Operating Assumptions'!$AA$8,'Operating Assumptions'!$G19="N/A"),0,IF('Operating Assumptions'!$G19="$/Unit/Annual",(('Operating Assumptions'!$H19*CT$23)*CT$36)/12,IF('Operating Assumptions'!$G19="$/Unit/Month",('Operating Assumptions'!$H19*CT$23)*CT$36,IF('Operating Assumptions'!$G19="Fixed Amount",('Operating Assumptions'!$H19*CT$23)/12))))</f>
        <v>41664.000000000007</v>
      </c>
      <c r="CU53" s="427">
        <f>IF(OR(CU$9&lt;'Operating Assumptions'!$D$53,CU$6&gt;'Operating Assumptions'!$AA$8,'Operating Assumptions'!$G19="N/A"),0,IF('Operating Assumptions'!$G19="$/Unit/Annual",(('Operating Assumptions'!$H19*CU$23)*CU$36)/12,IF('Operating Assumptions'!$G19="$/Unit/Month",('Operating Assumptions'!$H19*CU$23)*CU$36,IF('Operating Assumptions'!$G19="Fixed Amount",('Operating Assumptions'!$H19*CU$23)/12))))</f>
        <v>41664.000000000007</v>
      </c>
      <c r="CV53" s="427">
        <f>IF(OR(CV$9&lt;'Operating Assumptions'!$D$53,CV$6&gt;'Operating Assumptions'!$AA$8,'Operating Assumptions'!$G19="N/A"),0,IF('Operating Assumptions'!$G19="$/Unit/Annual",(('Operating Assumptions'!$H19*CV$23)*CV$36)/12,IF('Operating Assumptions'!$G19="$/Unit/Month",('Operating Assumptions'!$H19*CV$23)*CV$36,IF('Operating Assumptions'!$G19="Fixed Amount",('Operating Assumptions'!$H19*CV$23)/12))))</f>
        <v>41664.000000000007</v>
      </c>
      <c r="CW53" s="427">
        <f>IF(OR(CW$9&lt;'Operating Assumptions'!$D$53,CW$6&gt;'Operating Assumptions'!$AA$8,'Operating Assumptions'!$G19="N/A"),0,IF('Operating Assumptions'!$G19="$/Unit/Annual",(('Operating Assumptions'!$H19*CW$23)*CW$36)/12,IF('Operating Assumptions'!$G19="$/Unit/Month",('Operating Assumptions'!$H19*CW$23)*CW$36,IF('Operating Assumptions'!$G19="Fixed Amount",('Operating Assumptions'!$H19*CW$23)/12))))</f>
        <v>41664.000000000007</v>
      </c>
      <c r="CX53" s="427">
        <f>IF(OR(CX$9&lt;'Operating Assumptions'!$D$53,CX$6&gt;'Operating Assumptions'!$AA$8,'Operating Assumptions'!$G19="N/A"),0,IF('Operating Assumptions'!$G19="$/Unit/Annual",(('Operating Assumptions'!$H19*CX$23)*CX$36)/12,IF('Operating Assumptions'!$G19="$/Unit/Month",('Operating Assumptions'!$H19*CX$23)*CX$36,IF('Operating Assumptions'!$G19="Fixed Amount",('Operating Assumptions'!$H19*CX$23)/12))))</f>
        <v>41664.000000000007</v>
      </c>
      <c r="CY53" s="427">
        <f>IF(OR(CY$9&lt;'Operating Assumptions'!$D$53,CY$6&gt;'Operating Assumptions'!$AA$8,'Operating Assumptions'!$G19="N/A"),0,IF('Operating Assumptions'!$G19="$/Unit/Annual",(('Operating Assumptions'!$H19*CY$23)*CY$36)/12,IF('Operating Assumptions'!$G19="$/Unit/Month",('Operating Assumptions'!$H19*CY$23)*CY$36,IF('Operating Assumptions'!$G19="Fixed Amount",('Operating Assumptions'!$H19*CY$23)/12))))</f>
        <v>41664.000000000007</v>
      </c>
      <c r="CZ53" s="427">
        <f>IF(OR(CZ$9&lt;'Operating Assumptions'!$D$53,CZ$6&gt;'Operating Assumptions'!$AA$8,'Operating Assumptions'!$G19="N/A"),0,IF('Operating Assumptions'!$G19="$/Unit/Annual",(('Operating Assumptions'!$H19*CZ$23)*CZ$36)/12,IF('Operating Assumptions'!$G19="$/Unit/Month",('Operating Assumptions'!$H19*CZ$23)*CZ$36,IF('Operating Assumptions'!$G19="Fixed Amount",('Operating Assumptions'!$H19*CZ$23)/12))))</f>
        <v>42408.000000000007</v>
      </c>
      <c r="DA53" s="427">
        <f>IF(OR(DA$9&lt;'Operating Assumptions'!$D$53,DA$6&gt;'Operating Assumptions'!$AA$8,'Operating Assumptions'!$G19="N/A"),0,IF('Operating Assumptions'!$G19="$/Unit/Annual",(('Operating Assumptions'!$H19*DA$23)*DA$36)/12,IF('Operating Assumptions'!$G19="$/Unit/Month",('Operating Assumptions'!$H19*DA$23)*DA$36,IF('Operating Assumptions'!$G19="Fixed Amount",('Operating Assumptions'!$H19*DA$23)/12))))</f>
        <v>42408.000000000007</v>
      </c>
      <c r="DB53" s="427">
        <f>IF(OR(DB$9&lt;'Operating Assumptions'!$D$53,DB$6&gt;'Operating Assumptions'!$AA$8,'Operating Assumptions'!$G19="N/A"),0,IF('Operating Assumptions'!$G19="$/Unit/Annual",(('Operating Assumptions'!$H19*DB$23)*DB$36)/12,IF('Operating Assumptions'!$G19="$/Unit/Month",('Operating Assumptions'!$H19*DB$23)*DB$36,IF('Operating Assumptions'!$G19="Fixed Amount",('Operating Assumptions'!$H19*DB$23)/12))))</f>
        <v>42408.000000000007</v>
      </c>
      <c r="DC53" s="427">
        <f>IF(OR(DC$9&lt;'Operating Assumptions'!$D$53,DC$6&gt;'Operating Assumptions'!$AA$8,'Operating Assumptions'!$G19="N/A"),0,IF('Operating Assumptions'!$G19="$/Unit/Annual",(('Operating Assumptions'!$H19*DC$23)*DC$36)/12,IF('Operating Assumptions'!$G19="$/Unit/Month",('Operating Assumptions'!$H19*DC$23)*DC$36,IF('Operating Assumptions'!$G19="Fixed Amount",('Operating Assumptions'!$H19*DC$23)/12))))</f>
        <v>42408.000000000007</v>
      </c>
      <c r="DD53" s="427">
        <f>IF(OR(DD$9&lt;'Operating Assumptions'!$D$53,DD$6&gt;'Operating Assumptions'!$AA$8,'Operating Assumptions'!$G19="N/A"),0,IF('Operating Assumptions'!$G19="$/Unit/Annual",(('Operating Assumptions'!$H19*DD$23)*DD$36)/12,IF('Operating Assumptions'!$G19="$/Unit/Month",('Operating Assumptions'!$H19*DD$23)*DD$36,IF('Operating Assumptions'!$G19="Fixed Amount",('Operating Assumptions'!$H19*DD$23)/12))))</f>
        <v>42408.000000000007</v>
      </c>
      <c r="DE53" s="427">
        <f>IF(OR(DE$9&lt;'Operating Assumptions'!$D$53,DE$6&gt;'Operating Assumptions'!$AA$8,'Operating Assumptions'!$G19="N/A"),0,IF('Operating Assumptions'!$G19="$/Unit/Annual",(('Operating Assumptions'!$H19*DE$23)*DE$36)/12,IF('Operating Assumptions'!$G19="$/Unit/Month",('Operating Assumptions'!$H19*DE$23)*DE$36,IF('Operating Assumptions'!$G19="Fixed Amount",('Operating Assumptions'!$H19*DE$23)/12))))</f>
        <v>42408.000000000007</v>
      </c>
      <c r="DF53" s="427">
        <f>IF(OR(DF$9&lt;'Operating Assumptions'!$D$53,DF$6&gt;'Operating Assumptions'!$AA$8,'Operating Assumptions'!$G19="N/A"),0,IF('Operating Assumptions'!$G19="$/Unit/Annual",(('Operating Assumptions'!$H19*DF$23)*DF$36)/12,IF('Operating Assumptions'!$G19="$/Unit/Month",('Operating Assumptions'!$H19*DF$23)*DF$36,IF('Operating Assumptions'!$G19="Fixed Amount",('Operating Assumptions'!$H19*DF$23)/12))))</f>
        <v>42408.000000000007</v>
      </c>
      <c r="DG53" s="427">
        <f>IF(OR(DG$9&lt;'Operating Assumptions'!$D$53,DG$6&gt;'Operating Assumptions'!$AA$8,'Operating Assumptions'!$G19="N/A"),0,IF('Operating Assumptions'!$G19="$/Unit/Annual",(('Operating Assumptions'!$H19*DG$23)*DG$36)/12,IF('Operating Assumptions'!$G19="$/Unit/Month",('Operating Assumptions'!$H19*DG$23)*DG$36,IF('Operating Assumptions'!$G19="Fixed Amount",('Operating Assumptions'!$H19*DG$23)/12))))</f>
        <v>42408.000000000007</v>
      </c>
      <c r="DH53" s="427">
        <f>IF(OR(DH$9&lt;'Operating Assumptions'!$D$53,DH$6&gt;'Operating Assumptions'!$AA$8,'Operating Assumptions'!$G19="N/A"),0,IF('Operating Assumptions'!$G19="$/Unit/Annual",(('Operating Assumptions'!$H19*DH$23)*DH$36)/12,IF('Operating Assumptions'!$G19="$/Unit/Month",('Operating Assumptions'!$H19*DH$23)*DH$36,IF('Operating Assumptions'!$G19="Fixed Amount",('Operating Assumptions'!$H19*DH$23)/12))))</f>
        <v>42408.000000000007</v>
      </c>
      <c r="DI53" s="427">
        <f>IF(OR(DI$9&lt;'Operating Assumptions'!$D$53,DI$6&gt;'Operating Assumptions'!$AA$8,'Operating Assumptions'!$G19="N/A"),0,IF('Operating Assumptions'!$G19="$/Unit/Annual",(('Operating Assumptions'!$H19*DI$23)*DI$36)/12,IF('Operating Assumptions'!$G19="$/Unit/Month",('Operating Assumptions'!$H19*DI$23)*DI$36,IF('Operating Assumptions'!$G19="Fixed Amount",('Operating Assumptions'!$H19*DI$23)/12))))</f>
        <v>42408.000000000007</v>
      </c>
      <c r="DJ53" s="427">
        <f>IF(OR(DJ$9&lt;'Operating Assumptions'!$D$53,DJ$6&gt;'Operating Assumptions'!$AA$8,'Operating Assumptions'!$G19="N/A"),0,IF('Operating Assumptions'!$G19="$/Unit/Annual",(('Operating Assumptions'!$H19*DJ$23)*DJ$36)/12,IF('Operating Assumptions'!$G19="$/Unit/Month",('Operating Assumptions'!$H19*DJ$23)*DJ$36,IF('Operating Assumptions'!$G19="Fixed Amount",('Operating Assumptions'!$H19*DJ$23)/12))))</f>
        <v>42408.000000000007</v>
      </c>
      <c r="DK53" s="427">
        <f>IF(OR(DK$9&lt;'Operating Assumptions'!$D$53,DK$6&gt;'Operating Assumptions'!$AA$8,'Operating Assumptions'!$G19="N/A"),0,IF('Operating Assumptions'!$G19="$/Unit/Annual",(('Operating Assumptions'!$H19*DK$23)*DK$36)/12,IF('Operating Assumptions'!$G19="$/Unit/Month",('Operating Assumptions'!$H19*DK$23)*DK$36,IF('Operating Assumptions'!$G19="Fixed Amount",('Operating Assumptions'!$H19*DK$23)/12))))</f>
        <v>42408.000000000007</v>
      </c>
      <c r="DL53" s="427">
        <f>IF(OR(DL$9&lt;'Operating Assumptions'!$D$53,DL$6&gt;'Operating Assumptions'!$AA$8,'Operating Assumptions'!$G19="N/A"),0,IF('Operating Assumptions'!$G19="$/Unit/Annual",(('Operating Assumptions'!$H19*DL$23)*DL$36)/12,IF('Operating Assumptions'!$G19="$/Unit/Month",('Operating Assumptions'!$H19*DL$23)*DL$36,IF('Operating Assumptions'!$G19="Fixed Amount",('Operating Assumptions'!$H19*DL$23)/12))))</f>
        <v>43152</v>
      </c>
      <c r="DM53" s="427">
        <f>IF(OR(DM$9&lt;'Operating Assumptions'!$D$53,DM$6&gt;'Operating Assumptions'!$AA$8,'Operating Assumptions'!$G19="N/A"),0,IF('Operating Assumptions'!$G19="$/Unit/Annual",(('Operating Assumptions'!$H19*DM$23)*DM$36)/12,IF('Operating Assumptions'!$G19="$/Unit/Month",('Operating Assumptions'!$H19*DM$23)*DM$36,IF('Operating Assumptions'!$G19="Fixed Amount",('Operating Assumptions'!$H19*DM$23)/12))))</f>
        <v>43152</v>
      </c>
      <c r="DN53" s="427">
        <f>IF(OR(DN$9&lt;'Operating Assumptions'!$D$53,DN$6&gt;'Operating Assumptions'!$AA$8,'Operating Assumptions'!$G19="N/A"),0,IF('Operating Assumptions'!$G19="$/Unit/Annual",(('Operating Assumptions'!$H19*DN$23)*DN$36)/12,IF('Operating Assumptions'!$G19="$/Unit/Month",('Operating Assumptions'!$H19*DN$23)*DN$36,IF('Operating Assumptions'!$G19="Fixed Amount",('Operating Assumptions'!$H19*DN$23)/12))))</f>
        <v>43152</v>
      </c>
      <c r="DO53" s="427">
        <f>IF(OR(DO$9&lt;'Operating Assumptions'!$D$53,DO$6&gt;'Operating Assumptions'!$AA$8,'Operating Assumptions'!$G19="N/A"),0,IF('Operating Assumptions'!$G19="$/Unit/Annual",(('Operating Assumptions'!$H19*DO$23)*DO$36)/12,IF('Operating Assumptions'!$G19="$/Unit/Month",('Operating Assumptions'!$H19*DO$23)*DO$36,IF('Operating Assumptions'!$G19="Fixed Amount",('Operating Assumptions'!$H19*DO$23)/12))))</f>
        <v>43152</v>
      </c>
      <c r="DP53" s="427">
        <f>IF(OR(DP$9&lt;'Operating Assumptions'!$D$53,DP$6&gt;'Operating Assumptions'!$AA$8,'Operating Assumptions'!$G19="N/A"),0,IF('Operating Assumptions'!$G19="$/Unit/Annual",(('Operating Assumptions'!$H19*DP$23)*DP$36)/12,IF('Operating Assumptions'!$G19="$/Unit/Month",('Operating Assumptions'!$H19*DP$23)*DP$36,IF('Operating Assumptions'!$G19="Fixed Amount",('Operating Assumptions'!$H19*DP$23)/12))))</f>
        <v>43152</v>
      </c>
      <c r="DQ53" s="427">
        <f>IF(OR(DQ$9&lt;'Operating Assumptions'!$D$53,DQ$6&gt;'Operating Assumptions'!$AA$8,'Operating Assumptions'!$G19="N/A"),0,IF('Operating Assumptions'!$G19="$/Unit/Annual",(('Operating Assumptions'!$H19*DQ$23)*DQ$36)/12,IF('Operating Assumptions'!$G19="$/Unit/Month",('Operating Assumptions'!$H19*DQ$23)*DQ$36,IF('Operating Assumptions'!$G19="Fixed Amount",('Operating Assumptions'!$H19*DQ$23)/12))))</f>
        <v>43152</v>
      </c>
      <c r="DR53" s="427">
        <f>IF(OR(DR$9&lt;'Operating Assumptions'!$D$53,DR$6&gt;'Operating Assumptions'!$AA$8,'Operating Assumptions'!$G19="N/A"),0,IF('Operating Assumptions'!$G19="$/Unit/Annual",(('Operating Assumptions'!$H19*DR$23)*DR$36)/12,IF('Operating Assumptions'!$G19="$/Unit/Month",('Operating Assumptions'!$H19*DR$23)*DR$36,IF('Operating Assumptions'!$G19="Fixed Amount",('Operating Assumptions'!$H19*DR$23)/12))))</f>
        <v>43152</v>
      </c>
      <c r="DS53" s="427">
        <f>IF(OR(DS$9&lt;'Operating Assumptions'!$D$53,DS$6&gt;'Operating Assumptions'!$AA$8,'Operating Assumptions'!$G19="N/A"),0,IF('Operating Assumptions'!$G19="$/Unit/Annual",(('Operating Assumptions'!$H19*DS$23)*DS$36)/12,IF('Operating Assumptions'!$G19="$/Unit/Month",('Operating Assumptions'!$H19*DS$23)*DS$36,IF('Operating Assumptions'!$G19="Fixed Amount",('Operating Assumptions'!$H19*DS$23)/12))))</f>
        <v>43152</v>
      </c>
      <c r="DT53" s="427">
        <f>IF(OR(DT$9&lt;'Operating Assumptions'!$D$53,DT$6&gt;'Operating Assumptions'!$AA$8,'Operating Assumptions'!$G19="N/A"),0,IF('Operating Assumptions'!$G19="$/Unit/Annual",(('Operating Assumptions'!$H19*DT$23)*DT$36)/12,IF('Operating Assumptions'!$G19="$/Unit/Month",('Operating Assumptions'!$H19*DT$23)*DT$36,IF('Operating Assumptions'!$G19="Fixed Amount",('Operating Assumptions'!$H19*DT$23)/12))))</f>
        <v>43152</v>
      </c>
      <c r="DU53" s="427">
        <f>IF(OR(DU$9&lt;'Operating Assumptions'!$D$53,DU$6&gt;'Operating Assumptions'!$AA$8,'Operating Assumptions'!$G19="N/A"),0,IF('Operating Assumptions'!$G19="$/Unit/Annual",(('Operating Assumptions'!$H19*DU$23)*DU$36)/12,IF('Operating Assumptions'!$G19="$/Unit/Month",('Operating Assumptions'!$H19*DU$23)*DU$36,IF('Operating Assumptions'!$G19="Fixed Amount",('Operating Assumptions'!$H19*DU$23)/12))))</f>
        <v>43152</v>
      </c>
      <c r="DV53" s="427">
        <f>IF(OR(DV$9&lt;'Operating Assumptions'!$D$53,DV$6&gt;'Operating Assumptions'!$AA$8,'Operating Assumptions'!$G19="N/A"),0,IF('Operating Assumptions'!$G19="$/Unit/Annual",(('Operating Assumptions'!$H19*DV$23)*DV$36)/12,IF('Operating Assumptions'!$G19="$/Unit/Month",('Operating Assumptions'!$H19*DV$23)*DV$36,IF('Operating Assumptions'!$G19="Fixed Amount",('Operating Assumptions'!$H19*DV$23)/12))))</f>
        <v>43152</v>
      </c>
      <c r="DW53" s="427">
        <f>IF(OR(DW$9&lt;'Operating Assumptions'!$D$53,DW$6&gt;'Operating Assumptions'!$AA$8,'Operating Assumptions'!$G19="N/A"),0,IF('Operating Assumptions'!$G19="$/Unit/Annual",(('Operating Assumptions'!$H19*DW$23)*DW$36)/12,IF('Operating Assumptions'!$G19="$/Unit/Month",('Operating Assumptions'!$H19*DW$23)*DW$36,IF('Operating Assumptions'!$G19="Fixed Amount",('Operating Assumptions'!$H19*DW$23)/12))))</f>
        <v>43152</v>
      </c>
      <c r="DX53" s="427">
        <f>IF(OR(DX$9&lt;'Operating Assumptions'!$D$53,DX$6&gt;'Operating Assumptions'!$AA$8,'Operating Assumptions'!$G19="N/A"),0,IF('Operating Assumptions'!$G19="$/Unit/Annual",(('Operating Assumptions'!$H19*DX$23)*DX$36)/12,IF('Operating Assumptions'!$G19="$/Unit/Month",('Operating Assumptions'!$H19*DX$23)*DX$36,IF('Operating Assumptions'!$G19="Fixed Amount",('Operating Assumptions'!$H19*DX$23)/12))))</f>
        <v>43896.000000000007</v>
      </c>
      <c r="DY53" s="427">
        <f>IF(OR(DY$9&lt;'Operating Assumptions'!$D$53,DY$6&gt;'Operating Assumptions'!$AA$8,'Operating Assumptions'!$G19="N/A"),0,IF('Operating Assumptions'!$G19="$/Unit/Annual",(('Operating Assumptions'!$H19*DY$23)*DY$36)/12,IF('Operating Assumptions'!$G19="$/Unit/Month",('Operating Assumptions'!$H19*DY$23)*DY$36,IF('Operating Assumptions'!$G19="Fixed Amount",('Operating Assumptions'!$H19*DY$23)/12))))</f>
        <v>43896.000000000007</v>
      </c>
      <c r="DZ53" s="427">
        <f>IF(OR(DZ$9&lt;'Operating Assumptions'!$D$53,DZ$6&gt;'Operating Assumptions'!$AA$8,'Operating Assumptions'!$G19="N/A"),0,IF('Operating Assumptions'!$G19="$/Unit/Annual",(('Operating Assumptions'!$H19*DZ$23)*DZ$36)/12,IF('Operating Assumptions'!$G19="$/Unit/Month",('Operating Assumptions'!$H19*DZ$23)*DZ$36,IF('Operating Assumptions'!$G19="Fixed Amount",('Operating Assumptions'!$H19*DZ$23)/12))))</f>
        <v>43896.000000000007</v>
      </c>
      <c r="EA53" s="427">
        <f>IF(OR(EA$9&lt;'Operating Assumptions'!$D$53,EA$6&gt;'Operating Assumptions'!$AA$8,'Operating Assumptions'!$G19="N/A"),0,IF('Operating Assumptions'!$G19="$/Unit/Annual",(('Operating Assumptions'!$H19*EA$23)*EA$36)/12,IF('Operating Assumptions'!$G19="$/Unit/Month",('Operating Assumptions'!$H19*EA$23)*EA$36,IF('Operating Assumptions'!$G19="Fixed Amount",('Operating Assumptions'!$H19*EA$23)/12))))</f>
        <v>43896.000000000007</v>
      </c>
      <c r="EB53" s="427">
        <f>IF(OR(EB$9&lt;'Operating Assumptions'!$D$53,EB$6&gt;'Operating Assumptions'!$AA$8,'Operating Assumptions'!$G19="N/A"),0,IF('Operating Assumptions'!$G19="$/Unit/Annual",(('Operating Assumptions'!$H19*EB$23)*EB$36)/12,IF('Operating Assumptions'!$G19="$/Unit/Month",('Operating Assumptions'!$H19*EB$23)*EB$36,IF('Operating Assumptions'!$G19="Fixed Amount",('Operating Assumptions'!$H19*EB$23)/12))))</f>
        <v>43896.000000000007</v>
      </c>
      <c r="EC53" s="427">
        <f>IF(OR(EC$9&lt;'Operating Assumptions'!$D$53,EC$6&gt;'Operating Assumptions'!$AA$8,'Operating Assumptions'!$G19="N/A"),0,IF('Operating Assumptions'!$G19="$/Unit/Annual",(('Operating Assumptions'!$H19*EC$23)*EC$36)/12,IF('Operating Assumptions'!$G19="$/Unit/Month",('Operating Assumptions'!$H19*EC$23)*EC$36,IF('Operating Assumptions'!$G19="Fixed Amount",('Operating Assumptions'!$H19*EC$23)/12))))</f>
        <v>43896.000000000007</v>
      </c>
      <c r="ED53" s="427">
        <f>IF(OR(ED$9&lt;'Operating Assumptions'!$D$53,ED$6&gt;'Operating Assumptions'!$AA$8,'Operating Assumptions'!$G19="N/A"),0,IF('Operating Assumptions'!$G19="$/Unit/Annual",(('Operating Assumptions'!$H19*ED$23)*ED$36)/12,IF('Operating Assumptions'!$G19="$/Unit/Month",('Operating Assumptions'!$H19*ED$23)*ED$36,IF('Operating Assumptions'!$G19="Fixed Amount",('Operating Assumptions'!$H19*ED$23)/12))))</f>
        <v>43896.000000000007</v>
      </c>
      <c r="EE53" s="427">
        <f>IF(OR(EE$9&lt;'Operating Assumptions'!$D$53,EE$6&gt;'Operating Assumptions'!$AA$8,'Operating Assumptions'!$G19="N/A"),0,IF('Operating Assumptions'!$G19="$/Unit/Annual",(('Operating Assumptions'!$H19*EE$23)*EE$36)/12,IF('Operating Assumptions'!$G19="$/Unit/Month",('Operating Assumptions'!$H19*EE$23)*EE$36,IF('Operating Assumptions'!$G19="Fixed Amount",('Operating Assumptions'!$H19*EE$23)/12))))</f>
        <v>43896.000000000007</v>
      </c>
      <c r="EF53" s="427">
        <f>IF(OR(EF$9&lt;'Operating Assumptions'!$D$53,EF$6&gt;'Operating Assumptions'!$AA$8,'Operating Assumptions'!$G19="N/A"),0,IF('Operating Assumptions'!$G19="$/Unit/Annual",(('Operating Assumptions'!$H19*EF$23)*EF$36)/12,IF('Operating Assumptions'!$G19="$/Unit/Month",('Operating Assumptions'!$H19*EF$23)*EF$36,IF('Operating Assumptions'!$G19="Fixed Amount",('Operating Assumptions'!$H19*EF$23)/12))))</f>
        <v>43896.000000000007</v>
      </c>
      <c r="EG53" s="427">
        <f>IF(OR(EG$9&lt;'Operating Assumptions'!$D$53,EG$6&gt;'Operating Assumptions'!$AA$8,'Operating Assumptions'!$G19="N/A"),0,IF('Operating Assumptions'!$G19="$/Unit/Annual",(('Operating Assumptions'!$H19*EG$23)*EG$36)/12,IF('Operating Assumptions'!$G19="$/Unit/Month",('Operating Assumptions'!$H19*EG$23)*EG$36,IF('Operating Assumptions'!$G19="Fixed Amount",('Operating Assumptions'!$H19*EG$23)/12))))</f>
        <v>43896.000000000007</v>
      </c>
      <c r="EH53" s="427">
        <f>IF(OR(EH$9&lt;'Operating Assumptions'!$D$53,EH$6&gt;'Operating Assumptions'!$AA$8,'Operating Assumptions'!$G19="N/A"),0,IF('Operating Assumptions'!$G19="$/Unit/Annual",(('Operating Assumptions'!$H19*EH$23)*EH$36)/12,IF('Operating Assumptions'!$G19="$/Unit/Month",('Operating Assumptions'!$H19*EH$23)*EH$36,IF('Operating Assumptions'!$G19="Fixed Amount",('Operating Assumptions'!$H19*EH$23)/12))))</f>
        <v>43896.000000000007</v>
      </c>
      <c r="EI53" s="427">
        <f>IF(OR(EI$9&lt;'Operating Assumptions'!$D$53,EI$6&gt;'Operating Assumptions'!$AA$8,'Operating Assumptions'!$G19="N/A"),0,IF('Operating Assumptions'!$G19="$/Unit/Annual",(('Operating Assumptions'!$H19*EI$23)*EI$36)/12,IF('Operating Assumptions'!$G19="$/Unit/Month",('Operating Assumptions'!$H19*EI$23)*EI$36,IF('Operating Assumptions'!$G19="Fixed Amount",('Operating Assumptions'!$H19*EI$23)/12))))</f>
        <v>43896.000000000007</v>
      </c>
      <c r="EJ53" s="427">
        <f>IF(OR(EJ$9&lt;'Operating Assumptions'!$D$53,EJ$6&gt;'Operating Assumptions'!$AA$8,'Operating Assumptions'!$G19="N/A"),0,IF('Operating Assumptions'!$G19="$/Unit/Annual",(('Operating Assumptions'!$H19*EJ$23)*EJ$36)/12,IF('Operating Assumptions'!$G19="$/Unit/Month",('Operating Assumptions'!$H19*EJ$23)*EJ$36,IF('Operating Assumptions'!$G19="Fixed Amount",('Operating Assumptions'!$H19*EJ$23)/12))))</f>
        <v>44640.000000000007</v>
      </c>
      <c r="EK53" s="427">
        <f>IF(OR(EK$9&lt;'Operating Assumptions'!$D$53,EK$6&gt;'Operating Assumptions'!$AA$8,'Operating Assumptions'!$G19="N/A"),0,IF('Operating Assumptions'!$G19="$/Unit/Annual",(('Operating Assumptions'!$H19*EK$23)*EK$36)/12,IF('Operating Assumptions'!$G19="$/Unit/Month",('Operating Assumptions'!$H19*EK$23)*EK$36,IF('Operating Assumptions'!$G19="Fixed Amount",('Operating Assumptions'!$H19*EK$23)/12))))</f>
        <v>44640.000000000007</v>
      </c>
      <c r="EL53" s="427">
        <f>IF(OR(EL$9&lt;'Operating Assumptions'!$D$53,EL$6&gt;'Operating Assumptions'!$AA$8,'Operating Assumptions'!$G19="N/A"),0,IF('Operating Assumptions'!$G19="$/Unit/Annual",(('Operating Assumptions'!$H19*EL$23)*EL$36)/12,IF('Operating Assumptions'!$G19="$/Unit/Month",('Operating Assumptions'!$H19*EL$23)*EL$36,IF('Operating Assumptions'!$G19="Fixed Amount",('Operating Assumptions'!$H19*EL$23)/12))))</f>
        <v>44640.000000000007</v>
      </c>
      <c r="EM53" s="427">
        <f>IF(OR(EM$9&lt;'Operating Assumptions'!$D$53,EM$6&gt;'Operating Assumptions'!$AA$8,'Operating Assumptions'!$G19="N/A"),0,IF('Operating Assumptions'!$G19="$/Unit/Annual",(('Operating Assumptions'!$H19*EM$23)*EM$36)/12,IF('Operating Assumptions'!$G19="$/Unit/Month",('Operating Assumptions'!$H19*EM$23)*EM$36,IF('Operating Assumptions'!$G19="Fixed Amount",('Operating Assumptions'!$H19*EM$23)/12))))</f>
        <v>44640.000000000007</v>
      </c>
      <c r="EN53" s="427">
        <f>IF(OR(EN$9&lt;'Operating Assumptions'!$D$53,EN$6&gt;'Operating Assumptions'!$AA$8,'Operating Assumptions'!$G19="N/A"),0,IF('Operating Assumptions'!$G19="$/Unit/Annual",(('Operating Assumptions'!$H19*EN$23)*EN$36)/12,IF('Operating Assumptions'!$G19="$/Unit/Month",('Operating Assumptions'!$H19*EN$23)*EN$36,IF('Operating Assumptions'!$G19="Fixed Amount",('Operating Assumptions'!$H19*EN$23)/12))))</f>
        <v>44640.000000000007</v>
      </c>
      <c r="EO53" s="427">
        <f>IF(OR(EO$9&lt;'Operating Assumptions'!$D$53,EO$6&gt;'Operating Assumptions'!$AA$8,'Operating Assumptions'!$G19="N/A"),0,IF('Operating Assumptions'!$G19="$/Unit/Annual",(('Operating Assumptions'!$H19*EO$23)*EO$36)/12,IF('Operating Assumptions'!$G19="$/Unit/Month",('Operating Assumptions'!$H19*EO$23)*EO$36,IF('Operating Assumptions'!$G19="Fixed Amount",('Operating Assumptions'!$H19*EO$23)/12))))</f>
        <v>44640.000000000007</v>
      </c>
      <c r="EP53" s="427">
        <f>IF(OR(EP$9&lt;'Operating Assumptions'!$D$53,EP$6&gt;'Operating Assumptions'!$AA$8,'Operating Assumptions'!$G19="N/A"),0,IF('Operating Assumptions'!$G19="$/Unit/Annual",(('Operating Assumptions'!$H19*EP$23)*EP$36)/12,IF('Operating Assumptions'!$G19="$/Unit/Month",('Operating Assumptions'!$H19*EP$23)*EP$36,IF('Operating Assumptions'!$G19="Fixed Amount",('Operating Assumptions'!$H19*EP$23)/12))))</f>
        <v>44640.000000000007</v>
      </c>
      <c r="EQ53" s="427">
        <f>IF(OR(EQ$9&lt;'Operating Assumptions'!$D$53,EQ$6&gt;'Operating Assumptions'!$AA$8,'Operating Assumptions'!$G19="N/A"),0,IF('Operating Assumptions'!$G19="$/Unit/Annual",(('Operating Assumptions'!$H19*EQ$23)*EQ$36)/12,IF('Operating Assumptions'!$G19="$/Unit/Month",('Operating Assumptions'!$H19*EQ$23)*EQ$36,IF('Operating Assumptions'!$G19="Fixed Amount",('Operating Assumptions'!$H19*EQ$23)/12))))</f>
        <v>44640.000000000007</v>
      </c>
      <c r="ER53" s="427">
        <f>IF(OR(ER$9&lt;'Operating Assumptions'!$D$53,ER$6&gt;'Operating Assumptions'!$AA$8,'Operating Assumptions'!$G19="N/A"),0,IF('Operating Assumptions'!$G19="$/Unit/Annual",(('Operating Assumptions'!$H19*ER$23)*ER$36)/12,IF('Operating Assumptions'!$G19="$/Unit/Month",('Operating Assumptions'!$H19*ER$23)*ER$36,IF('Operating Assumptions'!$G19="Fixed Amount",('Operating Assumptions'!$H19*ER$23)/12))))</f>
        <v>44640.000000000007</v>
      </c>
      <c r="ES53" s="427">
        <f>IF(OR(ES$9&lt;'Operating Assumptions'!$D$53,ES$6&gt;'Operating Assumptions'!$AA$8,'Operating Assumptions'!$G19="N/A"),0,IF('Operating Assumptions'!$G19="$/Unit/Annual",(('Operating Assumptions'!$H19*ES$23)*ES$36)/12,IF('Operating Assumptions'!$G19="$/Unit/Month",('Operating Assumptions'!$H19*ES$23)*ES$36,IF('Operating Assumptions'!$G19="Fixed Amount",('Operating Assumptions'!$H19*ES$23)/12))))</f>
        <v>44640.000000000007</v>
      </c>
      <c r="ET53" s="427">
        <f>IF(OR(ET$9&lt;'Operating Assumptions'!$D$53,ET$6&gt;'Operating Assumptions'!$AA$8,'Operating Assumptions'!$G19="N/A"),0,IF('Operating Assumptions'!$G19="$/Unit/Annual",(('Operating Assumptions'!$H19*ET$23)*ET$36)/12,IF('Operating Assumptions'!$G19="$/Unit/Month",('Operating Assumptions'!$H19*ET$23)*ET$36,IF('Operating Assumptions'!$G19="Fixed Amount",('Operating Assumptions'!$H19*ET$23)/12))))</f>
        <v>44640.000000000007</v>
      </c>
      <c r="EU53" s="427">
        <f>IF(OR(EU$9&lt;'Operating Assumptions'!$D$53,EU$6&gt;'Operating Assumptions'!$AA$8,'Operating Assumptions'!$G19="N/A"),0,IF('Operating Assumptions'!$G19="$/Unit/Annual",(('Operating Assumptions'!$H19*EU$23)*EU$36)/12,IF('Operating Assumptions'!$G19="$/Unit/Month",('Operating Assumptions'!$H19*EU$23)*EU$36,IF('Operating Assumptions'!$G19="Fixed Amount",('Operating Assumptions'!$H19*EU$23)/12))))</f>
        <v>44640.000000000007</v>
      </c>
      <c r="EV53" s="427">
        <f>IF(OR(EV$9&lt;'Operating Assumptions'!$D$53,EV$6&gt;'Operating Assumptions'!$AA$8,'Operating Assumptions'!$G19="N/A"),0,IF('Operating Assumptions'!$G19="$/Unit/Annual",(('Operating Assumptions'!$H19*EV$23)*EV$36)/12,IF('Operating Assumptions'!$G19="$/Unit/Month",('Operating Assumptions'!$H19*EV$23)*EV$36,IF('Operating Assumptions'!$G19="Fixed Amount",('Operating Assumptions'!$H19*EV$23)/12))))</f>
        <v>0</v>
      </c>
      <c r="EW53" s="427">
        <f>IF(OR(EW$9&lt;'Operating Assumptions'!$D$53,EW$6&gt;'Operating Assumptions'!$AA$8,'Operating Assumptions'!$G19="N/A"),0,IF('Operating Assumptions'!$G19="$/Unit/Annual",(('Operating Assumptions'!$H19*EW$23)*EW$36)/12,IF('Operating Assumptions'!$G19="$/Unit/Month",('Operating Assumptions'!$H19*EW$23)*EW$36,IF('Operating Assumptions'!$G19="Fixed Amount",('Operating Assumptions'!$H19*EW$23)/12))))</f>
        <v>0</v>
      </c>
      <c r="EX53" s="427">
        <f>IF(OR(EX$9&lt;'Operating Assumptions'!$D$53,EX$6&gt;'Operating Assumptions'!$AA$8,'Operating Assumptions'!$G19="N/A"),0,IF('Operating Assumptions'!$G19="$/Unit/Annual",(('Operating Assumptions'!$H19*EX$23)*EX$36)/12,IF('Operating Assumptions'!$G19="$/Unit/Month",('Operating Assumptions'!$H19*EX$23)*EX$36,IF('Operating Assumptions'!$G19="Fixed Amount",('Operating Assumptions'!$H19*EX$23)/12))))</f>
        <v>0</v>
      </c>
      <c r="EY53" s="427">
        <f>IF(OR(EY$9&lt;'Operating Assumptions'!$D$53,EY$6&gt;'Operating Assumptions'!$AA$8,'Operating Assumptions'!$G19="N/A"),0,IF('Operating Assumptions'!$G19="$/Unit/Annual",(('Operating Assumptions'!$H19*EY$23)*EY$36)/12,IF('Operating Assumptions'!$G19="$/Unit/Month",('Operating Assumptions'!$H19*EY$23)*EY$36,IF('Operating Assumptions'!$G19="Fixed Amount",('Operating Assumptions'!$H19*EY$23)/12))))</f>
        <v>0</v>
      </c>
      <c r="EZ53" s="427">
        <f>IF(OR(EZ$9&lt;'Operating Assumptions'!$D$53,EZ$6&gt;'Operating Assumptions'!$AA$8,'Operating Assumptions'!$G19="N/A"),0,IF('Operating Assumptions'!$G19="$/Unit/Annual",(('Operating Assumptions'!$H19*EZ$23)*EZ$36)/12,IF('Operating Assumptions'!$G19="$/Unit/Month",('Operating Assumptions'!$H19*EZ$23)*EZ$36,IF('Operating Assumptions'!$G19="Fixed Amount",('Operating Assumptions'!$H19*EZ$23)/12))))</f>
        <v>0</v>
      </c>
      <c r="FA53" s="427">
        <f>IF(OR(FA$9&lt;'Operating Assumptions'!$D$53,FA$6&gt;'Operating Assumptions'!$AA$8,'Operating Assumptions'!$G19="N/A"),0,IF('Operating Assumptions'!$G19="$/Unit/Annual",(('Operating Assumptions'!$H19*FA$23)*FA$36)/12,IF('Operating Assumptions'!$G19="$/Unit/Month",('Operating Assumptions'!$H19*FA$23)*FA$36,IF('Operating Assumptions'!$G19="Fixed Amount",('Operating Assumptions'!$H19*FA$23)/12))))</f>
        <v>0</v>
      </c>
      <c r="FB53" s="427">
        <f>IF(OR(FB$9&lt;'Operating Assumptions'!$D$53,FB$6&gt;'Operating Assumptions'!$AA$8,'Operating Assumptions'!$G19="N/A"),0,IF('Operating Assumptions'!$G19="$/Unit/Annual",(('Operating Assumptions'!$H19*FB$23)*FB$36)/12,IF('Operating Assumptions'!$G19="$/Unit/Month",('Operating Assumptions'!$H19*FB$23)*FB$36,IF('Operating Assumptions'!$G19="Fixed Amount",('Operating Assumptions'!$H19*FB$23)/12))))</f>
        <v>0</v>
      </c>
      <c r="FC53" s="427">
        <f>IF(OR(FC$9&lt;'Operating Assumptions'!$D$53,FC$6&gt;'Operating Assumptions'!$AA$8,'Operating Assumptions'!$G19="N/A"),0,IF('Operating Assumptions'!$G19="$/Unit/Annual",(('Operating Assumptions'!$H19*FC$23)*FC$36)/12,IF('Operating Assumptions'!$G19="$/Unit/Month",('Operating Assumptions'!$H19*FC$23)*FC$36,IF('Operating Assumptions'!$G19="Fixed Amount",('Operating Assumptions'!$H19*FC$23)/12))))</f>
        <v>0</v>
      </c>
      <c r="FD53" s="427">
        <f>IF(OR(FD$9&lt;'Operating Assumptions'!$D$53,FD$6&gt;'Operating Assumptions'!$AA$8,'Operating Assumptions'!$G19="N/A"),0,IF('Operating Assumptions'!$G19="$/Unit/Annual",(('Operating Assumptions'!$H19*FD$23)*FD$36)/12,IF('Operating Assumptions'!$G19="$/Unit/Month",('Operating Assumptions'!$H19*FD$23)*FD$36,IF('Operating Assumptions'!$G19="Fixed Amount",('Operating Assumptions'!$H19*FD$23)/12))))</f>
        <v>0</v>
      </c>
      <c r="FE53" s="427">
        <f>IF(OR(FE$9&lt;'Operating Assumptions'!$D$53,FE$6&gt;'Operating Assumptions'!$AA$8,'Operating Assumptions'!$G19="N/A"),0,IF('Operating Assumptions'!$G19="$/Unit/Annual",(('Operating Assumptions'!$H19*FE$23)*FE$36)/12,IF('Operating Assumptions'!$G19="$/Unit/Month",('Operating Assumptions'!$H19*FE$23)*FE$36,IF('Operating Assumptions'!$G19="Fixed Amount",('Operating Assumptions'!$H19*FE$23)/12))))</f>
        <v>0</v>
      </c>
      <c r="FF53" s="427">
        <f>IF(OR(FF$9&lt;'Operating Assumptions'!$D$53,FF$6&gt;'Operating Assumptions'!$AA$8,'Operating Assumptions'!$G19="N/A"),0,IF('Operating Assumptions'!$G19="$/Unit/Annual",(('Operating Assumptions'!$H19*FF$23)*FF$36)/12,IF('Operating Assumptions'!$G19="$/Unit/Month",('Operating Assumptions'!$H19*FF$23)*FF$36,IF('Operating Assumptions'!$G19="Fixed Amount",('Operating Assumptions'!$H19*FF$23)/12))))</f>
        <v>0</v>
      </c>
      <c r="FG53" s="427">
        <f>IF(OR(FG$9&lt;'Operating Assumptions'!$D$53,FG$6&gt;'Operating Assumptions'!$AA$8,'Operating Assumptions'!$G19="N/A"),0,IF('Operating Assumptions'!$G19="$/Unit/Annual",(('Operating Assumptions'!$H19*FG$23)*FG$36)/12,IF('Operating Assumptions'!$G19="$/Unit/Month",('Operating Assumptions'!$H19*FG$23)*FG$36,IF('Operating Assumptions'!$G19="Fixed Amount",('Operating Assumptions'!$H19*FG$23)/12))))</f>
        <v>0</v>
      </c>
      <c r="FH53" s="427">
        <f>IF(OR(FH$9&lt;'Operating Assumptions'!$D$53,FH$6&gt;'Operating Assumptions'!$AA$8,'Operating Assumptions'!$G19="N/A"),0,IF('Operating Assumptions'!$G19="$/Unit/Annual",(('Operating Assumptions'!$H19*FH$23)*FH$36)/12,IF('Operating Assumptions'!$G19="$/Unit/Month",('Operating Assumptions'!$H19*FH$23)*FH$36,IF('Operating Assumptions'!$G19="Fixed Amount",('Operating Assumptions'!$H19*FH$23)/12))))</f>
        <v>0</v>
      </c>
      <c r="FI53" s="427">
        <f>IF(OR(FI$9&lt;'Operating Assumptions'!$D$53,FI$6&gt;'Operating Assumptions'!$AA$8,'Operating Assumptions'!$G19="N/A"),0,IF('Operating Assumptions'!$G19="$/Unit/Annual",(('Operating Assumptions'!$H19*FI$23)*FI$36)/12,IF('Operating Assumptions'!$G19="$/Unit/Month",('Operating Assumptions'!$H19*FI$23)*FI$36,IF('Operating Assumptions'!$G19="Fixed Amount",('Operating Assumptions'!$H19*FI$23)/12))))</f>
        <v>0</v>
      </c>
      <c r="FJ53" s="427">
        <f>IF(OR(FJ$9&lt;'Operating Assumptions'!$D$53,FJ$6&gt;'Operating Assumptions'!$AA$8,'Operating Assumptions'!$G19="N/A"),0,IF('Operating Assumptions'!$G19="$/Unit/Annual",(('Operating Assumptions'!$H19*FJ$23)*FJ$36)/12,IF('Operating Assumptions'!$G19="$/Unit/Month",('Operating Assumptions'!$H19*FJ$23)*FJ$36,IF('Operating Assumptions'!$G19="Fixed Amount",('Operating Assumptions'!$H19*FJ$23)/12))))</f>
        <v>0</v>
      </c>
      <c r="FK53" s="427">
        <f>IF(OR(FK$9&lt;'Operating Assumptions'!$D$53,FK$6&gt;'Operating Assumptions'!$AA$8,'Operating Assumptions'!$G19="N/A"),0,IF('Operating Assumptions'!$G19="$/Unit/Annual",(('Operating Assumptions'!$H19*FK$23)*FK$36)/12,IF('Operating Assumptions'!$G19="$/Unit/Month",('Operating Assumptions'!$H19*FK$23)*FK$36,IF('Operating Assumptions'!$G19="Fixed Amount",('Operating Assumptions'!$H19*FK$23)/12))))</f>
        <v>0</v>
      </c>
      <c r="FL53" s="427">
        <f>IF(OR(FL$9&lt;'Operating Assumptions'!$D$53,FL$6&gt;'Operating Assumptions'!$AA$8,'Operating Assumptions'!$G19="N/A"),0,IF('Operating Assumptions'!$G19="$/Unit/Annual",(('Operating Assumptions'!$H19*FL$23)*FL$36)/12,IF('Operating Assumptions'!$G19="$/Unit/Month",('Operating Assumptions'!$H19*FL$23)*FL$36,IF('Operating Assumptions'!$G19="Fixed Amount",('Operating Assumptions'!$H19*FL$23)/12))))</f>
        <v>0</v>
      </c>
      <c r="FM53" s="427">
        <f>IF(OR(FM$9&lt;'Operating Assumptions'!$D$53,FM$6&gt;'Operating Assumptions'!$AA$8,'Operating Assumptions'!$G19="N/A"),0,IF('Operating Assumptions'!$G19="$/Unit/Annual",(('Operating Assumptions'!$H19*FM$23)*FM$36)/12,IF('Operating Assumptions'!$G19="$/Unit/Month",('Operating Assumptions'!$H19*FM$23)*FM$36,IF('Operating Assumptions'!$G19="Fixed Amount",('Operating Assumptions'!$H19*FM$23)/12))))</f>
        <v>0</v>
      </c>
      <c r="FN53" s="427">
        <f>IF(OR(FN$9&lt;'Operating Assumptions'!$D$53,FN$6&gt;'Operating Assumptions'!$AA$8,'Operating Assumptions'!$G19="N/A"),0,IF('Operating Assumptions'!$G19="$/Unit/Annual",(('Operating Assumptions'!$H19*FN$23)*FN$36)/12,IF('Operating Assumptions'!$G19="$/Unit/Month",('Operating Assumptions'!$H19*FN$23)*FN$36,IF('Operating Assumptions'!$G19="Fixed Amount",('Operating Assumptions'!$H19*FN$23)/12))))</f>
        <v>0</v>
      </c>
      <c r="FO53" s="427">
        <f>IF(OR(FO$9&lt;'Operating Assumptions'!$D$53,FO$6&gt;'Operating Assumptions'!$AA$8,'Operating Assumptions'!$G19="N/A"),0,IF('Operating Assumptions'!$G19="$/Unit/Annual",(('Operating Assumptions'!$H19*FO$23)*FO$36)/12,IF('Operating Assumptions'!$G19="$/Unit/Month",('Operating Assumptions'!$H19*FO$23)*FO$36,IF('Operating Assumptions'!$G19="Fixed Amount",('Operating Assumptions'!$H19*FO$23)/12))))</f>
        <v>0</v>
      </c>
      <c r="FP53" s="427">
        <f>IF(OR(FP$9&lt;'Operating Assumptions'!$D$53,FP$6&gt;'Operating Assumptions'!$AA$8,'Operating Assumptions'!$G19="N/A"),0,IF('Operating Assumptions'!$G19="$/Unit/Annual",(('Operating Assumptions'!$H19*FP$23)*FP$36)/12,IF('Operating Assumptions'!$G19="$/Unit/Month",('Operating Assumptions'!$H19*FP$23)*FP$36,IF('Operating Assumptions'!$G19="Fixed Amount",('Operating Assumptions'!$H19*FP$23)/12))))</f>
        <v>0</v>
      </c>
      <c r="FQ53" s="427">
        <f>IF(OR(FQ$9&lt;'Operating Assumptions'!$D$53,FQ$6&gt;'Operating Assumptions'!$AA$8,'Operating Assumptions'!$G19="N/A"),0,IF('Operating Assumptions'!$G19="$/Unit/Annual",(('Operating Assumptions'!$H19*FQ$23)*FQ$36)/12,IF('Operating Assumptions'!$G19="$/Unit/Month",('Operating Assumptions'!$H19*FQ$23)*FQ$36,IF('Operating Assumptions'!$G19="Fixed Amount",('Operating Assumptions'!$H19*FQ$23)/12))))</f>
        <v>0</v>
      </c>
      <c r="FR53" s="427">
        <f>IF(OR(FR$9&lt;'Operating Assumptions'!$D$53,FR$6&gt;'Operating Assumptions'!$AA$8,'Operating Assumptions'!$G19="N/A"),0,IF('Operating Assumptions'!$G19="$/Unit/Annual",(('Operating Assumptions'!$H19*FR$23)*FR$36)/12,IF('Operating Assumptions'!$G19="$/Unit/Month",('Operating Assumptions'!$H19*FR$23)*FR$36,IF('Operating Assumptions'!$G19="Fixed Amount",('Operating Assumptions'!$H19*FR$23)/12))))</f>
        <v>0</v>
      </c>
      <c r="FS53" s="427">
        <f>IF(OR(FS$9&lt;'Operating Assumptions'!$D$53,FS$6&gt;'Operating Assumptions'!$AA$8,'Operating Assumptions'!$G19="N/A"),0,IF('Operating Assumptions'!$G19="$/Unit/Annual",(('Operating Assumptions'!$H19*FS$23)*FS$36)/12,IF('Operating Assumptions'!$G19="$/Unit/Month",('Operating Assumptions'!$H19*FS$23)*FS$36,IF('Operating Assumptions'!$G19="Fixed Amount",('Operating Assumptions'!$H19*FS$23)/12))))</f>
        <v>0</v>
      </c>
      <c r="FT53" s="427">
        <f>IF(OR(FT$9&lt;'Operating Assumptions'!$D$53,FT$6&gt;'Operating Assumptions'!$AA$8,'Operating Assumptions'!$G19="N/A"),0,IF('Operating Assumptions'!$G19="$/Unit/Annual",(('Operating Assumptions'!$H19*FT$23)*FT$36)/12,IF('Operating Assumptions'!$G19="$/Unit/Month",('Operating Assumptions'!$H19*FT$23)*FT$36,IF('Operating Assumptions'!$G19="Fixed Amount",('Operating Assumptions'!$H19*FT$23)/12))))</f>
        <v>0</v>
      </c>
      <c r="FU53" s="43"/>
      <c r="FV53" s="34"/>
      <c r="FW53" s="34"/>
      <c r="FX53" s="34"/>
      <c r="FY53" s="34"/>
      <c r="FZ53" s="34"/>
    </row>
    <row r="54" spans="1:182" s="89" customFormat="1" ht="13.5" x14ac:dyDescent="0.25">
      <c r="A54" s="34"/>
      <c r="B54" s="128" t="str">
        <f>'Operating Assumptions'!F20</f>
        <v>Blank</v>
      </c>
      <c r="C54" s="34"/>
      <c r="D54" s="34"/>
      <c r="E54" s="34"/>
      <c r="F54" s="434">
        <f t="shared" si="148"/>
        <v>0</v>
      </c>
      <c r="G54" s="34"/>
      <c r="H54" s="427">
        <f>IF(OR(H$9&lt;'Operating Assumptions'!$D$53,H$6&gt;'Operating Assumptions'!$AA$8,'Operating Assumptions'!$G20="N/A"),0,IF('Operating Assumptions'!$G20="$/Unit/Annual",(('Operating Assumptions'!$H20*H$23)*H$36)/12,IF('Operating Assumptions'!$G20="$/Unit/Month",('Operating Assumptions'!$H20*H$23)*H$36,IF('Operating Assumptions'!$G20="Fixed Amount",('Operating Assumptions'!$H20*H$23)/12))))</f>
        <v>0</v>
      </c>
      <c r="I54" s="427">
        <f>IF(OR(I$9&lt;'Operating Assumptions'!$D$53,I$6&gt;'Operating Assumptions'!$AA$8,'Operating Assumptions'!$G20="N/A"),0,IF('Operating Assumptions'!$G20="$/Unit/Annual",(('Operating Assumptions'!$H20*I$23)*I$36)/12,IF('Operating Assumptions'!$G20="$/Unit/Month",('Operating Assumptions'!$H20*I$23)*I$36,IF('Operating Assumptions'!$G20="Fixed Amount",('Operating Assumptions'!$H20*I$23)/12))))</f>
        <v>0</v>
      </c>
      <c r="J54" s="427">
        <f>IF(OR(J$9&lt;'Operating Assumptions'!$D$53,J$6&gt;'Operating Assumptions'!$AA$8,'Operating Assumptions'!$G20="N/A"),0,IF('Operating Assumptions'!$G20="$/Unit/Annual",(('Operating Assumptions'!$H20*J$23)*J$36)/12,IF('Operating Assumptions'!$G20="$/Unit/Month",('Operating Assumptions'!$H20*J$23)*J$36,IF('Operating Assumptions'!$G20="Fixed Amount",('Operating Assumptions'!$H20*J$23)/12))))</f>
        <v>0</v>
      </c>
      <c r="K54" s="427">
        <f>IF(OR(K$9&lt;'Operating Assumptions'!$D$53,K$6&gt;'Operating Assumptions'!$AA$8,'Operating Assumptions'!$G20="N/A"),0,IF('Operating Assumptions'!$G20="$/Unit/Annual",(('Operating Assumptions'!$H20*K$23)*K$36)/12,IF('Operating Assumptions'!$G20="$/Unit/Month",('Operating Assumptions'!$H20*K$23)*K$36,IF('Operating Assumptions'!$G20="Fixed Amount",('Operating Assumptions'!$H20*K$23)/12))))</f>
        <v>0</v>
      </c>
      <c r="L54" s="427">
        <f>IF(OR(L$9&lt;'Operating Assumptions'!$D$53,L$6&gt;'Operating Assumptions'!$AA$8,'Operating Assumptions'!$G20="N/A"),0,IF('Operating Assumptions'!$G20="$/Unit/Annual",(('Operating Assumptions'!$H20*L$23)*L$36)/12,IF('Operating Assumptions'!$G20="$/Unit/Month",('Operating Assumptions'!$H20*L$23)*L$36,IF('Operating Assumptions'!$G20="Fixed Amount",('Operating Assumptions'!$H20*L$23)/12))))</f>
        <v>0</v>
      </c>
      <c r="M54" s="427">
        <f>IF(OR(M$9&lt;'Operating Assumptions'!$D$53,M$6&gt;'Operating Assumptions'!$AA$8,'Operating Assumptions'!$G20="N/A"),0,IF('Operating Assumptions'!$G20="$/Unit/Annual",(('Operating Assumptions'!$H20*M$23)*M$36)/12,IF('Operating Assumptions'!$G20="$/Unit/Month",('Operating Assumptions'!$H20*M$23)*M$36,IF('Operating Assumptions'!$G20="Fixed Amount",('Operating Assumptions'!$H20*M$23)/12))))</f>
        <v>0</v>
      </c>
      <c r="N54" s="427">
        <f>IF(OR(N$9&lt;'Operating Assumptions'!$D$53,N$6&gt;'Operating Assumptions'!$AA$8,'Operating Assumptions'!$G20="N/A"),0,IF('Operating Assumptions'!$G20="$/Unit/Annual",(('Operating Assumptions'!$H20*N$23)*N$36)/12,IF('Operating Assumptions'!$G20="$/Unit/Month",('Operating Assumptions'!$H20*N$23)*N$36,IF('Operating Assumptions'!$G20="Fixed Amount",('Operating Assumptions'!$H20*N$23)/12))))</f>
        <v>0</v>
      </c>
      <c r="O54" s="427">
        <f>IF(OR(O$9&lt;'Operating Assumptions'!$D$53,O$6&gt;'Operating Assumptions'!$AA$8,'Operating Assumptions'!$G20="N/A"),0,IF('Operating Assumptions'!$G20="$/Unit/Annual",(('Operating Assumptions'!$H20*O$23)*O$36)/12,IF('Operating Assumptions'!$G20="$/Unit/Month",('Operating Assumptions'!$H20*O$23)*O$36,IF('Operating Assumptions'!$G20="Fixed Amount",('Operating Assumptions'!$H20*O$23)/12))))</f>
        <v>0</v>
      </c>
      <c r="P54" s="427">
        <f>IF(OR(P$9&lt;'Operating Assumptions'!$D$53,P$6&gt;'Operating Assumptions'!$AA$8,'Operating Assumptions'!$G20="N/A"),0,IF('Operating Assumptions'!$G20="$/Unit/Annual",(('Operating Assumptions'!$H20*P$23)*P$36)/12,IF('Operating Assumptions'!$G20="$/Unit/Month",('Operating Assumptions'!$H20*P$23)*P$36,IF('Operating Assumptions'!$G20="Fixed Amount",('Operating Assumptions'!$H20*P$23)/12))))</f>
        <v>0</v>
      </c>
      <c r="Q54" s="427">
        <f>IF(OR(Q$9&lt;'Operating Assumptions'!$D$53,Q$6&gt;'Operating Assumptions'!$AA$8,'Operating Assumptions'!$G20="N/A"),0,IF('Operating Assumptions'!$G20="$/Unit/Annual",(('Operating Assumptions'!$H20*Q$23)*Q$36)/12,IF('Operating Assumptions'!$G20="$/Unit/Month",('Operating Assumptions'!$H20*Q$23)*Q$36,IF('Operating Assumptions'!$G20="Fixed Amount",('Operating Assumptions'!$H20*Q$23)/12))))</f>
        <v>0</v>
      </c>
      <c r="R54" s="427">
        <f>IF(OR(R$9&lt;'Operating Assumptions'!$D$53,R$6&gt;'Operating Assumptions'!$AA$8,'Operating Assumptions'!$G20="N/A"),0,IF('Operating Assumptions'!$G20="$/Unit/Annual",(('Operating Assumptions'!$H20*R$23)*R$36)/12,IF('Operating Assumptions'!$G20="$/Unit/Month",('Operating Assumptions'!$H20*R$23)*R$36,IF('Operating Assumptions'!$G20="Fixed Amount",('Operating Assumptions'!$H20*R$23)/12))))</f>
        <v>0</v>
      </c>
      <c r="S54" s="427">
        <f>IF(OR(S$9&lt;'Operating Assumptions'!$D$53,S$6&gt;'Operating Assumptions'!$AA$8,'Operating Assumptions'!$G20="N/A"),0,IF('Operating Assumptions'!$G20="$/Unit/Annual",(('Operating Assumptions'!$H20*S$23)*S$36)/12,IF('Operating Assumptions'!$G20="$/Unit/Month",('Operating Assumptions'!$H20*S$23)*S$36,IF('Operating Assumptions'!$G20="Fixed Amount",('Operating Assumptions'!$H20*S$23)/12))))</f>
        <v>0</v>
      </c>
      <c r="T54" s="427">
        <f>IF(OR(T$9&lt;'Operating Assumptions'!$D$53,T$6&gt;'Operating Assumptions'!$AA$8,'Operating Assumptions'!$G20="N/A"),0,IF('Operating Assumptions'!$G20="$/Unit/Annual",(('Operating Assumptions'!$H20*T$23)*T$36)/12,IF('Operating Assumptions'!$G20="$/Unit/Month",('Operating Assumptions'!$H20*T$23)*T$36,IF('Operating Assumptions'!$G20="Fixed Amount",('Operating Assumptions'!$H20*T$23)/12))))</f>
        <v>0</v>
      </c>
      <c r="U54" s="427">
        <f>IF(OR(U$9&lt;'Operating Assumptions'!$D$53,U$6&gt;'Operating Assumptions'!$AA$8,'Operating Assumptions'!$G20="N/A"),0,IF('Operating Assumptions'!$G20="$/Unit/Annual",(('Operating Assumptions'!$H20*U$23)*U$36)/12,IF('Operating Assumptions'!$G20="$/Unit/Month",('Operating Assumptions'!$H20*U$23)*U$36,IF('Operating Assumptions'!$G20="Fixed Amount",('Operating Assumptions'!$H20*U$23)/12))))</f>
        <v>0</v>
      </c>
      <c r="V54" s="427">
        <f>IF(OR(V$9&lt;'Operating Assumptions'!$D$53,V$6&gt;'Operating Assumptions'!$AA$8,'Operating Assumptions'!$G20="N/A"),0,IF('Operating Assumptions'!$G20="$/Unit/Annual",(('Operating Assumptions'!$H20*V$23)*V$36)/12,IF('Operating Assumptions'!$G20="$/Unit/Month",('Operating Assumptions'!$H20*V$23)*V$36,IF('Operating Assumptions'!$G20="Fixed Amount",('Operating Assumptions'!$H20*V$23)/12))))</f>
        <v>0</v>
      </c>
      <c r="W54" s="427">
        <f>IF(OR(W$9&lt;'Operating Assumptions'!$D$53,W$6&gt;'Operating Assumptions'!$AA$8,'Operating Assumptions'!$G20="N/A"),0,IF('Operating Assumptions'!$G20="$/Unit/Annual",(('Operating Assumptions'!$H20*W$23)*W$36)/12,IF('Operating Assumptions'!$G20="$/Unit/Month",('Operating Assumptions'!$H20*W$23)*W$36,IF('Operating Assumptions'!$G20="Fixed Amount",('Operating Assumptions'!$H20*W$23)/12))))</f>
        <v>0</v>
      </c>
      <c r="X54" s="427">
        <f>IF(OR(X$9&lt;'Operating Assumptions'!$D$53,X$6&gt;'Operating Assumptions'!$AA$8,'Operating Assumptions'!$G20="N/A"),0,IF('Operating Assumptions'!$G20="$/Unit/Annual",(('Operating Assumptions'!$H20*X$23)*X$36)/12,IF('Operating Assumptions'!$G20="$/Unit/Month",('Operating Assumptions'!$H20*X$23)*X$36,IF('Operating Assumptions'!$G20="Fixed Amount",('Operating Assumptions'!$H20*X$23)/12))))</f>
        <v>0</v>
      </c>
      <c r="Y54" s="427">
        <f>IF(OR(Y$9&lt;'Operating Assumptions'!$D$53,Y$6&gt;'Operating Assumptions'!$AA$8,'Operating Assumptions'!$G20="N/A"),0,IF('Operating Assumptions'!$G20="$/Unit/Annual",(('Operating Assumptions'!$H20*Y$23)*Y$36)/12,IF('Operating Assumptions'!$G20="$/Unit/Month",('Operating Assumptions'!$H20*Y$23)*Y$36,IF('Operating Assumptions'!$G20="Fixed Amount",('Operating Assumptions'!$H20*Y$23)/12))))</f>
        <v>0</v>
      </c>
      <c r="Z54" s="427">
        <f>IF(OR(Z$9&lt;'Operating Assumptions'!$D$53,Z$6&gt;'Operating Assumptions'!$AA$8,'Operating Assumptions'!$G20="N/A"),0,IF('Operating Assumptions'!$G20="$/Unit/Annual",(('Operating Assumptions'!$H20*Z$23)*Z$36)/12,IF('Operating Assumptions'!$G20="$/Unit/Month",('Operating Assumptions'!$H20*Z$23)*Z$36,IF('Operating Assumptions'!$G20="Fixed Amount",('Operating Assumptions'!$H20*Z$23)/12))))</f>
        <v>0</v>
      </c>
      <c r="AA54" s="427">
        <f>IF(OR(AA$9&lt;'Operating Assumptions'!$D$53,AA$6&gt;'Operating Assumptions'!$AA$8,'Operating Assumptions'!$G20="N/A"),0,IF('Operating Assumptions'!$G20="$/Unit/Annual",(('Operating Assumptions'!$H20*AA$23)*AA$36)/12,IF('Operating Assumptions'!$G20="$/Unit/Month",('Operating Assumptions'!$H20*AA$23)*AA$36,IF('Operating Assumptions'!$G20="Fixed Amount",('Operating Assumptions'!$H20*AA$23)/12))))</f>
        <v>0</v>
      </c>
      <c r="AB54" s="427">
        <f>IF(OR(AB$9&lt;'Operating Assumptions'!$D$53,AB$6&gt;'Operating Assumptions'!$AA$8,'Operating Assumptions'!$G20="N/A"),0,IF('Operating Assumptions'!$G20="$/Unit/Annual",(('Operating Assumptions'!$H20*AB$23)*AB$36)/12,IF('Operating Assumptions'!$G20="$/Unit/Month",('Operating Assumptions'!$H20*AB$23)*AB$36,IF('Operating Assumptions'!$G20="Fixed Amount",('Operating Assumptions'!$H20*AB$23)/12))))</f>
        <v>0</v>
      </c>
      <c r="AC54" s="427">
        <f>IF(OR(AC$9&lt;'Operating Assumptions'!$D$53,AC$6&gt;'Operating Assumptions'!$AA$8,'Operating Assumptions'!$G20="N/A"),0,IF('Operating Assumptions'!$G20="$/Unit/Annual",(('Operating Assumptions'!$H20*AC$23)*AC$36)/12,IF('Operating Assumptions'!$G20="$/Unit/Month",('Operating Assumptions'!$H20*AC$23)*AC$36,IF('Operating Assumptions'!$G20="Fixed Amount",('Operating Assumptions'!$H20*AC$23)/12))))</f>
        <v>0</v>
      </c>
      <c r="AD54" s="427">
        <f>IF(OR(AD$9&lt;'Operating Assumptions'!$D$53,AD$6&gt;'Operating Assumptions'!$AA$8,'Operating Assumptions'!$G20="N/A"),0,IF('Operating Assumptions'!$G20="$/Unit/Annual",(('Operating Assumptions'!$H20*AD$23)*AD$36)/12,IF('Operating Assumptions'!$G20="$/Unit/Month",('Operating Assumptions'!$H20*AD$23)*AD$36,IF('Operating Assumptions'!$G20="Fixed Amount",('Operating Assumptions'!$H20*AD$23)/12))))</f>
        <v>0</v>
      </c>
      <c r="AE54" s="427">
        <f>IF(OR(AE$9&lt;'Operating Assumptions'!$D$53,AE$6&gt;'Operating Assumptions'!$AA$8,'Operating Assumptions'!$G20="N/A"),0,IF('Operating Assumptions'!$G20="$/Unit/Annual",(('Operating Assumptions'!$H20*AE$23)*AE$36)/12,IF('Operating Assumptions'!$G20="$/Unit/Month",('Operating Assumptions'!$H20*AE$23)*AE$36,IF('Operating Assumptions'!$G20="Fixed Amount",('Operating Assumptions'!$H20*AE$23)/12))))</f>
        <v>0</v>
      </c>
      <c r="AF54" s="427">
        <f>IF(OR(AF$9&lt;'Operating Assumptions'!$D$53,AF$6&gt;'Operating Assumptions'!$AA$8,'Operating Assumptions'!$G20="N/A"),0,IF('Operating Assumptions'!$G20="$/Unit/Annual",(('Operating Assumptions'!$H20*AF$23)*AF$36)/12,IF('Operating Assumptions'!$G20="$/Unit/Month",('Operating Assumptions'!$H20*AF$23)*AF$36,IF('Operating Assumptions'!$G20="Fixed Amount",('Operating Assumptions'!$H20*AF$23)/12))))</f>
        <v>0</v>
      </c>
      <c r="AG54" s="427">
        <f>IF(OR(AG$9&lt;'Operating Assumptions'!$D$53,AG$6&gt;'Operating Assumptions'!$AA$8,'Operating Assumptions'!$G20="N/A"),0,IF('Operating Assumptions'!$G20="$/Unit/Annual",(('Operating Assumptions'!$H20*AG$23)*AG$36)/12,IF('Operating Assumptions'!$G20="$/Unit/Month",('Operating Assumptions'!$H20*AG$23)*AG$36,IF('Operating Assumptions'!$G20="Fixed Amount",('Operating Assumptions'!$H20*AG$23)/12))))</f>
        <v>0</v>
      </c>
      <c r="AH54" s="427">
        <f>IF(OR(AH$9&lt;'Operating Assumptions'!$D$53,AH$6&gt;'Operating Assumptions'!$AA$8,'Operating Assumptions'!$G20="N/A"),0,IF('Operating Assumptions'!$G20="$/Unit/Annual",(('Operating Assumptions'!$H20*AH$23)*AH$36)/12,IF('Operating Assumptions'!$G20="$/Unit/Month",('Operating Assumptions'!$H20*AH$23)*AH$36,IF('Operating Assumptions'!$G20="Fixed Amount",('Operating Assumptions'!$H20*AH$23)/12))))</f>
        <v>0</v>
      </c>
      <c r="AI54" s="427">
        <f>IF(OR(AI$9&lt;'Operating Assumptions'!$D$53,AI$6&gt;'Operating Assumptions'!$AA$8,'Operating Assumptions'!$G20="N/A"),0,IF('Operating Assumptions'!$G20="$/Unit/Annual",(('Operating Assumptions'!$H20*AI$23)*AI$36)/12,IF('Operating Assumptions'!$G20="$/Unit/Month",('Operating Assumptions'!$H20*AI$23)*AI$36,IF('Operating Assumptions'!$G20="Fixed Amount",('Operating Assumptions'!$H20*AI$23)/12))))</f>
        <v>0</v>
      </c>
      <c r="AJ54" s="427">
        <f>IF(OR(AJ$9&lt;'Operating Assumptions'!$D$53,AJ$6&gt;'Operating Assumptions'!$AA$8,'Operating Assumptions'!$G20="N/A"),0,IF('Operating Assumptions'!$G20="$/Unit/Annual",(('Operating Assumptions'!$H20*AJ$23)*AJ$36)/12,IF('Operating Assumptions'!$G20="$/Unit/Month",('Operating Assumptions'!$H20*AJ$23)*AJ$36,IF('Operating Assumptions'!$G20="Fixed Amount",('Operating Assumptions'!$H20*AJ$23)/12))))</f>
        <v>0</v>
      </c>
      <c r="AK54" s="427">
        <f>IF(OR(AK$9&lt;'Operating Assumptions'!$D$53,AK$6&gt;'Operating Assumptions'!$AA$8,'Operating Assumptions'!$G20="N/A"),0,IF('Operating Assumptions'!$G20="$/Unit/Annual",(('Operating Assumptions'!$H20*AK$23)*AK$36)/12,IF('Operating Assumptions'!$G20="$/Unit/Month",('Operating Assumptions'!$H20*AK$23)*AK$36,IF('Operating Assumptions'!$G20="Fixed Amount",('Operating Assumptions'!$H20*AK$23)/12))))</f>
        <v>0</v>
      </c>
      <c r="AL54" s="427">
        <f>IF(OR(AL$9&lt;'Operating Assumptions'!$D$53,AL$6&gt;'Operating Assumptions'!$AA$8,'Operating Assumptions'!$G20="N/A"),0,IF('Operating Assumptions'!$G20="$/Unit/Annual",(('Operating Assumptions'!$H20*AL$23)*AL$36)/12,IF('Operating Assumptions'!$G20="$/Unit/Month",('Operating Assumptions'!$H20*AL$23)*AL$36,IF('Operating Assumptions'!$G20="Fixed Amount",('Operating Assumptions'!$H20*AL$23)/12))))</f>
        <v>0</v>
      </c>
      <c r="AM54" s="427">
        <f>IF(OR(AM$9&lt;'Operating Assumptions'!$D$53,AM$6&gt;'Operating Assumptions'!$AA$8,'Operating Assumptions'!$G20="N/A"),0,IF('Operating Assumptions'!$G20="$/Unit/Annual",(('Operating Assumptions'!$H20*AM$23)*AM$36)/12,IF('Operating Assumptions'!$G20="$/Unit/Month",('Operating Assumptions'!$H20*AM$23)*AM$36,IF('Operating Assumptions'!$G20="Fixed Amount",('Operating Assumptions'!$H20*AM$23)/12))))</f>
        <v>0</v>
      </c>
      <c r="AN54" s="427">
        <f>IF(OR(AN$9&lt;'Operating Assumptions'!$D$53,AN$6&gt;'Operating Assumptions'!$AA$8,'Operating Assumptions'!$G20="N/A"),0,IF('Operating Assumptions'!$G20="$/Unit/Annual",(('Operating Assumptions'!$H20*AN$23)*AN$36)/12,IF('Operating Assumptions'!$G20="$/Unit/Month",('Operating Assumptions'!$H20*AN$23)*AN$36,IF('Operating Assumptions'!$G20="Fixed Amount",('Operating Assumptions'!$H20*AN$23)/12))))</f>
        <v>0</v>
      </c>
      <c r="AO54" s="427">
        <f>IF(OR(AO$9&lt;'Operating Assumptions'!$D$53,AO$6&gt;'Operating Assumptions'!$AA$8,'Operating Assumptions'!$G20="N/A"),0,IF('Operating Assumptions'!$G20="$/Unit/Annual",(('Operating Assumptions'!$H20*AO$23)*AO$36)/12,IF('Operating Assumptions'!$G20="$/Unit/Month",('Operating Assumptions'!$H20*AO$23)*AO$36,IF('Operating Assumptions'!$G20="Fixed Amount",('Operating Assumptions'!$H20*AO$23)/12))))</f>
        <v>0</v>
      </c>
      <c r="AP54" s="427">
        <f>IF(OR(AP$9&lt;'Operating Assumptions'!$D$53,AP$6&gt;'Operating Assumptions'!$AA$8,'Operating Assumptions'!$G20="N/A"),0,IF('Operating Assumptions'!$G20="$/Unit/Annual",(('Operating Assumptions'!$H20*AP$23)*AP$36)/12,IF('Operating Assumptions'!$G20="$/Unit/Month",('Operating Assumptions'!$H20*AP$23)*AP$36,IF('Operating Assumptions'!$G20="Fixed Amount",('Operating Assumptions'!$H20*AP$23)/12))))</f>
        <v>0</v>
      </c>
      <c r="AQ54" s="427">
        <f>IF(OR(AQ$9&lt;'Operating Assumptions'!$D$53,AQ$6&gt;'Operating Assumptions'!$AA$8,'Operating Assumptions'!$G20="N/A"),0,IF('Operating Assumptions'!$G20="$/Unit/Annual",(('Operating Assumptions'!$H20*AQ$23)*AQ$36)/12,IF('Operating Assumptions'!$G20="$/Unit/Month",('Operating Assumptions'!$H20*AQ$23)*AQ$36,IF('Operating Assumptions'!$G20="Fixed Amount",('Operating Assumptions'!$H20*AQ$23)/12))))</f>
        <v>0</v>
      </c>
      <c r="AR54" s="427">
        <f>IF(OR(AR$9&lt;'Operating Assumptions'!$D$53,AR$6&gt;'Operating Assumptions'!$AA$8,'Operating Assumptions'!$G20="N/A"),0,IF('Operating Assumptions'!$G20="$/Unit/Annual",(('Operating Assumptions'!$H20*AR$23)*AR$36)/12,IF('Operating Assumptions'!$G20="$/Unit/Month",('Operating Assumptions'!$H20*AR$23)*AR$36,IF('Operating Assumptions'!$G20="Fixed Amount",('Operating Assumptions'!$H20*AR$23)/12))))</f>
        <v>0</v>
      </c>
      <c r="AS54" s="427">
        <f>IF(OR(AS$9&lt;'Operating Assumptions'!$D$53,AS$6&gt;'Operating Assumptions'!$AA$8,'Operating Assumptions'!$G20="N/A"),0,IF('Operating Assumptions'!$G20="$/Unit/Annual",(('Operating Assumptions'!$H20*AS$23)*AS$36)/12,IF('Operating Assumptions'!$G20="$/Unit/Month",('Operating Assumptions'!$H20*AS$23)*AS$36,IF('Operating Assumptions'!$G20="Fixed Amount",('Operating Assumptions'!$H20*AS$23)/12))))</f>
        <v>0</v>
      </c>
      <c r="AT54" s="427">
        <f>IF(OR(AT$9&lt;'Operating Assumptions'!$D$53,AT$6&gt;'Operating Assumptions'!$AA$8,'Operating Assumptions'!$G20="N/A"),0,IF('Operating Assumptions'!$G20="$/Unit/Annual",(('Operating Assumptions'!$H20*AT$23)*AT$36)/12,IF('Operating Assumptions'!$G20="$/Unit/Month",('Operating Assumptions'!$H20*AT$23)*AT$36,IF('Operating Assumptions'!$G20="Fixed Amount",('Operating Assumptions'!$H20*AT$23)/12))))</f>
        <v>0</v>
      </c>
      <c r="AU54" s="427">
        <f>IF(OR(AU$9&lt;'Operating Assumptions'!$D$53,AU$6&gt;'Operating Assumptions'!$AA$8,'Operating Assumptions'!$G20="N/A"),0,IF('Operating Assumptions'!$G20="$/Unit/Annual",(('Operating Assumptions'!$H20*AU$23)*AU$36)/12,IF('Operating Assumptions'!$G20="$/Unit/Month",('Operating Assumptions'!$H20*AU$23)*AU$36,IF('Operating Assumptions'!$G20="Fixed Amount",('Operating Assumptions'!$H20*AU$23)/12))))</f>
        <v>0</v>
      </c>
      <c r="AV54" s="427">
        <f>IF(OR(AV$9&lt;'Operating Assumptions'!$D$53,AV$6&gt;'Operating Assumptions'!$AA$8,'Operating Assumptions'!$G20="N/A"),0,IF('Operating Assumptions'!$G20="$/Unit/Annual",(('Operating Assumptions'!$H20*AV$23)*AV$36)/12,IF('Operating Assumptions'!$G20="$/Unit/Month",('Operating Assumptions'!$H20*AV$23)*AV$36,IF('Operating Assumptions'!$G20="Fixed Amount",('Operating Assumptions'!$H20*AV$23)/12))))</f>
        <v>0</v>
      </c>
      <c r="AW54" s="427">
        <f>IF(OR(AW$9&lt;'Operating Assumptions'!$D$53,AW$6&gt;'Operating Assumptions'!$AA$8,'Operating Assumptions'!$G20="N/A"),0,IF('Operating Assumptions'!$G20="$/Unit/Annual",(('Operating Assumptions'!$H20*AW$23)*AW$36)/12,IF('Operating Assumptions'!$G20="$/Unit/Month",('Operating Assumptions'!$H20*AW$23)*AW$36,IF('Operating Assumptions'!$G20="Fixed Amount",('Operating Assumptions'!$H20*AW$23)/12))))</f>
        <v>0</v>
      </c>
      <c r="AX54" s="427">
        <f>IF(OR(AX$9&lt;'Operating Assumptions'!$D$53,AX$6&gt;'Operating Assumptions'!$AA$8,'Operating Assumptions'!$G20="N/A"),0,IF('Operating Assumptions'!$G20="$/Unit/Annual",(('Operating Assumptions'!$H20*AX$23)*AX$36)/12,IF('Operating Assumptions'!$G20="$/Unit/Month",('Operating Assumptions'!$H20*AX$23)*AX$36,IF('Operating Assumptions'!$G20="Fixed Amount",('Operating Assumptions'!$H20*AX$23)/12))))</f>
        <v>0</v>
      </c>
      <c r="AY54" s="427">
        <f>IF(OR(AY$9&lt;'Operating Assumptions'!$D$53,AY$6&gt;'Operating Assumptions'!$AA$8,'Operating Assumptions'!$G20="N/A"),0,IF('Operating Assumptions'!$G20="$/Unit/Annual",(('Operating Assumptions'!$H20*AY$23)*AY$36)/12,IF('Operating Assumptions'!$G20="$/Unit/Month",('Operating Assumptions'!$H20*AY$23)*AY$36,IF('Operating Assumptions'!$G20="Fixed Amount",('Operating Assumptions'!$H20*AY$23)/12))))</f>
        <v>0</v>
      </c>
      <c r="AZ54" s="427">
        <f>IF(OR(AZ$9&lt;'Operating Assumptions'!$D$53,AZ$6&gt;'Operating Assumptions'!$AA$8,'Operating Assumptions'!$G20="N/A"),0,IF('Operating Assumptions'!$G20="$/Unit/Annual",(('Operating Assumptions'!$H20*AZ$23)*AZ$36)/12,IF('Operating Assumptions'!$G20="$/Unit/Month",('Operating Assumptions'!$H20*AZ$23)*AZ$36,IF('Operating Assumptions'!$G20="Fixed Amount",('Operating Assumptions'!$H20*AZ$23)/12))))</f>
        <v>0</v>
      </c>
      <c r="BA54" s="427">
        <f>IF(OR(BA$9&lt;'Operating Assumptions'!$D$53,BA$6&gt;'Operating Assumptions'!$AA$8,'Operating Assumptions'!$G20="N/A"),0,IF('Operating Assumptions'!$G20="$/Unit/Annual",(('Operating Assumptions'!$H20*BA$23)*BA$36)/12,IF('Operating Assumptions'!$G20="$/Unit/Month",('Operating Assumptions'!$H20*BA$23)*BA$36,IF('Operating Assumptions'!$G20="Fixed Amount",('Operating Assumptions'!$H20*BA$23)/12))))</f>
        <v>0</v>
      </c>
      <c r="BB54" s="427">
        <f>IF(OR(BB$9&lt;'Operating Assumptions'!$D$53,BB$6&gt;'Operating Assumptions'!$AA$8,'Operating Assumptions'!$G20="N/A"),0,IF('Operating Assumptions'!$G20="$/Unit/Annual",(('Operating Assumptions'!$H20*BB$23)*BB$36)/12,IF('Operating Assumptions'!$G20="$/Unit/Month",('Operating Assumptions'!$H20*BB$23)*BB$36,IF('Operating Assumptions'!$G20="Fixed Amount",('Operating Assumptions'!$H20*BB$23)/12))))</f>
        <v>0</v>
      </c>
      <c r="BC54" s="427">
        <f>IF(OR(BC$9&lt;'Operating Assumptions'!$D$53,BC$6&gt;'Operating Assumptions'!$AA$8,'Operating Assumptions'!$G20="N/A"),0,IF('Operating Assumptions'!$G20="$/Unit/Annual",(('Operating Assumptions'!$H20*BC$23)*BC$36)/12,IF('Operating Assumptions'!$G20="$/Unit/Month",('Operating Assumptions'!$H20*BC$23)*BC$36,IF('Operating Assumptions'!$G20="Fixed Amount",('Operating Assumptions'!$H20*BC$23)/12))))</f>
        <v>0</v>
      </c>
      <c r="BD54" s="427">
        <f>IF(OR(BD$9&lt;'Operating Assumptions'!$D$53,BD$6&gt;'Operating Assumptions'!$AA$8,'Operating Assumptions'!$G20="N/A"),0,IF('Operating Assumptions'!$G20="$/Unit/Annual",(('Operating Assumptions'!$H20*BD$23)*BD$36)/12,IF('Operating Assumptions'!$G20="$/Unit/Month",('Operating Assumptions'!$H20*BD$23)*BD$36,IF('Operating Assumptions'!$G20="Fixed Amount",('Operating Assumptions'!$H20*BD$23)/12))))</f>
        <v>0</v>
      </c>
      <c r="BE54" s="427">
        <f>IF(OR(BE$9&lt;'Operating Assumptions'!$D$53,BE$6&gt;'Operating Assumptions'!$AA$8,'Operating Assumptions'!$G20="N/A"),0,IF('Operating Assumptions'!$G20="$/Unit/Annual",(('Operating Assumptions'!$H20*BE$23)*BE$36)/12,IF('Operating Assumptions'!$G20="$/Unit/Month",('Operating Assumptions'!$H20*BE$23)*BE$36,IF('Operating Assumptions'!$G20="Fixed Amount",('Operating Assumptions'!$H20*BE$23)/12))))</f>
        <v>0</v>
      </c>
      <c r="BF54" s="427">
        <f>IF(OR(BF$9&lt;'Operating Assumptions'!$D$53,BF$6&gt;'Operating Assumptions'!$AA$8,'Operating Assumptions'!$G20="N/A"),0,IF('Operating Assumptions'!$G20="$/Unit/Annual",(('Operating Assumptions'!$H20*BF$23)*BF$36)/12,IF('Operating Assumptions'!$G20="$/Unit/Month",('Operating Assumptions'!$H20*BF$23)*BF$36,IF('Operating Assumptions'!$G20="Fixed Amount",('Operating Assumptions'!$H20*BF$23)/12))))</f>
        <v>0</v>
      </c>
      <c r="BG54" s="427">
        <f>IF(OR(BG$9&lt;'Operating Assumptions'!$D$53,BG$6&gt;'Operating Assumptions'!$AA$8,'Operating Assumptions'!$G20="N/A"),0,IF('Operating Assumptions'!$G20="$/Unit/Annual",(('Operating Assumptions'!$H20*BG$23)*BG$36)/12,IF('Operating Assumptions'!$G20="$/Unit/Month",('Operating Assumptions'!$H20*BG$23)*BG$36,IF('Operating Assumptions'!$G20="Fixed Amount",('Operating Assumptions'!$H20*BG$23)/12))))</f>
        <v>0</v>
      </c>
      <c r="BH54" s="427">
        <f>IF(OR(BH$9&lt;'Operating Assumptions'!$D$53,BH$6&gt;'Operating Assumptions'!$AA$8,'Operating Assumptions'!$G20="N/A"),0,IF('Operating Assumptions'!$G20="$/Unit/Annual",(('Operating Assumptions'!$H20*BH$23)*BH$36)/12,IF('Operating Assumptions'!$G20="$/Unit/Month",('Operating Assumptions'!$H20*BH$23)*BH$36,IF('Operating Assumptions'!$G20="Fixed Amount",('Operating Assumptions'!$H20*BH$23)/12))))</f>
        <v>0</v>
      </c>
      <c r="BI54" s="427">
        <f>IF(OR(BI$9&lt;'Operating Assumptions'!$D$53,BI$6&gt;'Operating Assumptions'!$AA$8,'Operating Assumptions'!$G20="N/A"),0,IF('Operating Assumptions'!$G20="$/Unit/Annual",(('Operating Assumptions'!$H20*BI$23)*BI$36)/12,IF('Operating Assumptions'!$G20="$/Unit/Month",('Operating Assumptions'!$H20*BI$23)*BI$36,IF('Operating Assumptions'!$G20="Fixed Amount",('Operating Assumptions'!$H20*BI$23)/12))))</f>
        <v>0</v>
      </c>
      <c r="BJ54" s="427">
        <f>IF(OR(BJ$9&lt;'Operating Assumptions'!$D$53,BJ$6&gt;'Operating Assumptions'!$AA$8,'Operating Assumptions'!$G20="N/A"),0,IF('Operating Assumptions'!$G20="$/Unit/Annual",(('Operating Assumptions'!$H20*BJ$23)*BJ$36)/12,IF('Operating Assumptions'!$G20="$/Unit/Month",('Operating Assumptions'!$H20*BJ$23)*BJ$36,IF('Operating Assumptions'!$G20="Fixed Amount",('Operating Assumptions'!$H20*BJ$23)/12))))</f>
        <v>0</v>
      </c>
      <c r="BK54" s="427">
        <f>IF(OR(BK$9&lt;'Operating Assumptions'!$D$53,BK$6&gt;'Operating Assumptions'!$AA$8,'Operating Assumptions'!$G20="N/A"),0,IF('Operating Assumptions'!$G20="$/Unit/Annual",(('Operating Assumptions'!$H20*BK$23)*BK$36)/12,IF('Operating Assumptions'!$G20="$/Unit/Month",('Operating Assumptions'!$H20*BK$23)*BK$36,IF('Operating Assumptions'!$G20="Fixed Amount",('Operating Assumptions'!$H20*BK$23)/12))))</f>
        <v>0</v>
      </c>
      <c r="BL54" s="427">
        <f>IF(OR(BL$9&lt;'Operating Assumptions'!$D$53,BL$6&gt;'Operating Assumptions'!$AA$8,'Operating Assumptions'!$G20="N/A"),0,IF('Operating Assumptions'!$G20="$/Unit/Annual",(('Operating Assumptions'!$H20*BL$23)*BL$36)/12,IF('Operating Assumptions'!$G20="$/Unit/Month",('Operating Assumptions'!$H20*BL$23)*BL$36,IF('Operating Assumptions'!$G20="Fixed Amount",('Operating Assumptions'!$H20*BL$23)/12))))</f>
        <v>0</v>
      </c>
      <c r="BM54" s="427">
        <f>IF(OR(BM$9&lt;'Operating Assumptions'!$D$53,BM$6&gt;'Operating Assumptions'!$AA$8,'Operating Assumptions'!$G20="N/A"),0,IF('Operating Assumptions'!$G20="$/Unit/Annual",(('Operating Assumptions'!$H20*BM$23)*BM$36)/12,IF('Operating Assumptions'!$G20="$/Unit/Month",('Operating Assumptions'!$H20*BM$23)*BM$36,IF('Operating Assumptions'!$G20="Fixed Amount",('Operating Assumptions'!$H20*BM$23)/12))))</f>
        <v>0</v>
      </c>
      <c r="BN54" s="427">
        <f>IF(OR(BN$9&lt;'Operating Assumptions'!$D$53,BN$6&gt;'Operating Assumptions'!$AA$8,'Operating Assumptions'!$G20="N/A"),0,IF('Operating Assumptions'!$G20="$/Unit/Annual",(('Operating Assumptions'!$H20*BN$23)*BN$36)/12,IF('Operating Assumptions'!$G20="$/Unit/Month",('Operating Assumptions'!$H20*BN$23)*BN$36,IF('Operating Assumptions'!$G20="Fixed Amount",('Operating Assumptions'!$H20*BN$23)/12))))</f>
        <v>0</v>
      </c>
      <c r="BO54" s="427">
        <f>IF(OR(BO$9&lt;'Operating Assumptions'!$D$53,BO$6&gt;'Operating Assumptions'!$AA$8,'Operating Assumptions'!$G20="N/A"),0,IF('Operating Assumptions'!$G20="$/Unit/Annual",(('Operating Assumptions'!$H20*BO$23)*BO$36)/12,IF('Operating Assumptions'!$G20="$/Unit/Month",('Operating Assumptions'!$H20*BO$23)*BO$36,IF('Operating Assumptions'!$G20="Fixed Amount",('Operating Assumptions'!$H20*BO$23)/12))))</f>
        <v>0</v>
      </c>
      <c r="BP54" s="427">
        <f>IF(OR(BP$9&lt;'Operating Assumptions'!$D$53,BP$6&gt;'Operating Assumptions'!$AA$8,'Operating Assumptions'!$G20="N/A"),0,IF('Operating Assumptions'!$G20="$/Unit/Annual",(('Operating Assumptions'!$H20*BP$23)*BP$36)/12,IF('Operating Assumptions'!$G20="$/Unit/Month",('Operating Assumptions'!$H20*BP$23)*BP$36,IF('Operating Assumptions'!$G20="Fixed Amount",('Operating Assumptions'!$H20*BP$23)/12))))</f>
        <v>0</v>
      </c>
      <c r="BQ54" s="427">
        <f>IF(OR(BQ$9&lt;'Operating Assumptions'!$D$53,BQ$6&gt;'Operating Assumptions'!$AA$8,'Operating Assumptions'!$G20="N/A"),0,IF('Operating Assumptions'!$G20="$/Unit/Annual",(('Operating Assumptions'!$H20*BQ$23)*BQ$36)/12,IF('Operating Assumptions'!$G20="$/Unit/Month",('Operating Assumptions'!$H20*BQ$23)*BQ$36,IF('Operating Assumptions'!$G20="Fixed Amount",('Operating Assumptions'!$H20*BQ$23)/12))))</f>
        <v>0</v>
      </c>
      <c r="BR54" s="427">
        <f>IF(OR(BR$9&lt;'Operating Assumptions'!$D$53,BR$6&gt;'Operating Assumptions'!$AA$8,'Operating Assumptions'!$G20="N/A"),0,IF('Operating Assumptions'!$G20="$/Unit/Annual",(('Operating Assumptions'!$H20*BR$23)*BR$36)/12,IF('Operating Assumptions'!$G20="$/Unit/Month",('Operating Assumptions'!$H20*BR$23)*BR$36,IF('Operating Assumptions'!$G20="Fixed Amount",('Operating Assumptions'!$H20*BR$23)/12))))</f>
        <v>0</v>
      </c>
      <c r="BS54" s="427">
        <f>IF(OR(BS$9&lt;'Operating Assumptions'!$D$53,BS$6&gt;'Operating Assumptions'!$AA$8,'Operating Assumptions'!$G20="N/A"),0,IF('Operating Assumptions'!$G20="$/Unit/Annual",(('Operating Assumptions'!$H20*BS$23)*BS$36)/12,IF('Operating Assumptions'!$G20="$/Unit/Month",('Operating Assumptions'!$H20*BS$23)*BS$36,IF('Operating Assumptions'!$G20="Fixed Amount",('Operating Assumptions'!$H20*BS$23)/12))))</f>
        <v>0</v>
      </c>
      <c r="BT54" s="427">
        <f>IF(OR(BT$9&lt;'Operating Assumptions'!$D$53,BT$6&gt;'Operating Assumptions'!$AA$8,'Operating Assumptions'!$G20="N/A"),0,IF('Operating Assumptions'!$G20="$/Unit/Annual",(('Operating Assumptions'!$H20*BT$23)*BT$36)/12,IF('Operating Assumptions'!$G20="$/Unit/Month",('Operating Assumptions'!$H20*BT$23)*BT$36,IF('Operating Assumptions'!$G20="Fixed Amount",('Operating Assumptions'!$H20*BT$23)/12))))</f>
        <v>0</v>
      </c>
      <c r="BU54" s="427">
        <f>IF(OR(BU$9&lt;'Operating Assumptions'!$D$53,BU$6&gt;'Operating Assumptions'!$AA$8,'Operating Assumptions'!$G20="N/A"),0,IF('Operating Assumptions'!$G20="$/Unit/Annual",(('Operating Assumptions'!$H20*BU$23)*BU$36)/12,IF('Operating Assumptions'!$G20="$/Unit/Month",('Operating Assumptions'!$H20*BU$23)*BU$36,IF('Operating Assumptions'!$G20="Fixed Amount",('Operating Assumptions'!$H20*BU$23)/12))))</f>
        <v>0</v>
      </c>
      <c r="BV54" s="427">
        <f>IF(OR(BV$9&lt;'Operating Assumptions'!$D$53,BV$6&gt;'Operating Assumptions'!$AA$8,'Operating Assumptions'!$G20="N/A"),0,IF('Operating Assumptions'!$G20="$/Unit/Annual",(('Operating Assumptions'!$H20*BV$23)*BV$36)/12,IF('Operating Assumptions'!$G20="$/Unit/Month",('Operating Assumptions'!$H20*BV$23)*BV$36,IF('Operating Assumptions'!$G20="Fixed Amount",('Operating Assumptions'!$H20*BV$23)/12))))</f>
        <v>0</v>
      </c>
      <c r="BW54" s="427">
        <f>IF(OR(BW$9&lt;'Operating Assumptions'!$D$53,BW$6&gt;'Operating Assumptions'!$AA$8,'Operating Assumptions'!$G20="N/A"),0,IF('Operating Assumptions'!$G20="$/Unit/Annual",(('Operating Assumptions'!$H20*BW$23)*BW$36)/12,IF('Operating Assumptions'!$G20="$/Unit/Month",('Operating Assumptions'!$H20*BW$23)*BW$36,IF('Operating Assumptions'!$G20="Fixed Amount",('Operating Assumptions'!$H20*BW$23)/12))))</f>
        <v>0</v>
      </c>
      <c r="BX54" s="427">
        <f>IF(OR(BX$9&lt;'Operating Assumptions'!$D$53,BX$6&gt;'Operating Assumptions'!$AA$8,'Operating Assumptions'!$G20="N/A"),0,IF('Operating Assumptions'!$G20="$/Unit/Annual",(('Operating Assumptions'!$H20*BX$23)*BX$36)/12,IF('Operating Assumptions'!$G20="$/Unit/Month",('Operating Assumptions'!$H20*BX$23)*BX$36,IF('Operating Assumptions'!$G20="Fixed Amount",('Operating Assumptions'!$H20*BX$23)/12))))</f>
        <v>0</v>
      </c>
      <c r="BY54" s="427">
        <f>IF(OR(BY$9&lt;'Operating Assumptions'!$D$53,BY$6&gt;'Operating Assumptions'!$AA$8,'Operating Assumptions'!$G20="N/A"),0,IF('Operating Assumptions'!$G20="$/Unit/Annual",(('Operating Assumptions'!$H20*BY$23)*BY$36)/12,IF('Operating Assumptions'!$G20="$/Unit/Month",('Operating Assumptions'!$H20*BY$23)*BY$36,IF('Operating Assumptions'!$G20="Fixed Amount",('Operating Assumptions'!$H20*BY$23)/12))))</f>
        <v>0</v>
      </c>
      <c r="BZ54" s="427">
        <f>IF(OR(BZ$9&lt;'Operating Assumptions'!$D$53,BZ$6&gt;'Operating Assumptions'!$AA$8,'Operating Assumptions'!$G20="N/A"),0,IF('Operating Assumptions'!$G20="$/Unit/Annual",(('Operating Assumptions'!$H20*BZ$23)*BZ$36)/12,IF('Operating Assumptions'!$G20="$/Unit/Month",('Operating Assumptions'!$H20*BZ$23)*BZ$36,IF('Operating Assumptions'!$G20="Fixed Amount",('Operating Assumptions'!$H20*BZ$23)/12))))</f>
        <v>0</v>
      </c>
      <c r="CA54" s="427">
        <f>IF(OR(CA$9&lt;'Operating Assumptions'!$D$53,CA$6&gt;'Operating Assumptions'!$AA$8,'Operating Assumptions'!$G20="N/A"),0,IF('Operating Assumptions'!$G20="$/Unit/Annual",(('Operating Assumptions'!$H20*CA$23)*CA$36)/12,IF('Operating Assumptions'!$G20="$/Unit/Month",('Operating Assumptions'!$H20*CA$23)*CA$36,IF('Operating Assumptions'!$G20="Fixed Amount",('Operating Assumptions'!$H20*CA$23)/12))))</f>
        <v>0</v>
      </c>
      <c r="CB54" s="427">
        <f>IF(OR(CB$9&lt;'Operating Assumptions'!$D$53,CB$6&gt;'Operating Assumptions'!$AA$8,'Operating Assumptions'!$G20="N/A"),0,IF('Operating Assumptions'!$G20="$/Unit/Annual",(('Operating Assumptions'!$H20*CB$23)*CB$36)/12,IF('Operating Assumptions'!$G20="$/Unit/Month",('Operating Assumptions'!$H20*CB$23)*CB$36,IF('Operating Assumptions'!$G20="Fixed Amount",('Operating Assumptions'!$H20*CB$23)/12))))</f>
        <v>0</v>
      </c>
      <c r="CC54" s="427">
        <f>IF(OR(CC$9&lt;'Operating Assumptions'!$D$53,CC$6&gt;'Operating Assumptions'!$AA$8,'Operating Assumptions'!$G20="N/A"),0,IF('Operating Assumptions'!$G20="$/Unit/Annual",(('Operating Assumptions'!$H20*CC$23)*CC$36)/12,IF('Operating Assumptions'!$G20="$/Unit/Month",('Operating Assumptions'!$H20*CC$23)*CC$36,IF('Operating Assumptions'!$G20="Fixed Amount",('Operating Assumptions'!$H20*CC$23)/12))))</f>
        <v>0</v>
      </c>
      <c r="CD54" s="427">
        <f>IF(OR(CD$9&lt;'Operating Assumptions'!$D$53,CD$6&gt;'Operating Assumptions'!$AA$8,'Operating Assumptions'!$G20="N/A"),0,IF('Operating Assumptions'!$G20="$/Unit/Annual",(('Operating Assumptions'!$H20*CD$23)*CD$36)/12,IF('Operating Assumptions'!$G20="$/Unit/Month",('Operating Assumptions'!$H20*CD$23)*CD$36,IF('Operating Assumptions'!$G20="Fixed Amount",('Operating Assumptions'!$H20*CD$23)/12))))</f>
        <v>0</v>
      </c>
      <c r="CE54" s="427">
        <f>IF(OR(CE$9&lt;'Operating Assumptions'!$D$53,CE$6&gt;'Operating Assumptions'!$AA$8,'Operating Assumptions'!$G20="N/A"),0,IF('Operating Assumptions'!$G20="$/Unit/Annual",(('Operating Assumptions'!$H20*CE$23)*CE$36)/12,IF('Operating Assumptions'!$G20="$/Unit/Month",('Operating Assumptions'!$H20*CE$23)*CE$36,IF('Operating Assumptions'!$G20="Fixed Amount",('Operating Assumptions'!$H20*CE$23)/12))))</f>
        <v>0</v>
      </c>
      <c r="CF54" s="427">
        <f>IF(OR(CF$9&lt;'Operating Assumptions'!$D$53,CF$6&gt;'Operating Assumptions'!$AA$8,'Operating Assumptions'!$G20="N/A"),0,IF('Operating Assumptions'!$G20="$/Unit/Annual",(('Operating Assumptions'!$H20*CF$23)*CF$36)/12,IF('Operating Assumptions'!$G20="$/Unit/Month",('Operating Assumptions'!$H20*CF$23)*CF$36,IF('Operating Assumptions'!$G20="Fixed Amount",('Operating Assumptions'!$H20*CF$23)/12))))</f>
        <v>0</v>
      </c>
      <c r="CG54" s="427">
        <f>IF(OR(CG$9&lt;'Operating Assumptions'!$D$53,CG$6&gt;'Operating Assumptions'!$AA$8,'Operating Assumptions'!$G20="N/A"),0,IF('Operating Assumptions'!$G20="$/Unit/Annual",(('Operating Assumptions'!$H20*CG$23)*CG$36)/12,IF('Operating Assumptions'!$G20="$/Unit/Month",('Operating Assumptions'!$H20*CG$23)*CG$36,IF('Operating Assumptions'!$G20="Fixed Amount",('Operating Assumptions'!$H20*CG$23)/12))))</f>
        <v>0</v>
      </c>
      <c r="CH54" s="427">
        <f>IF(OR(CH$9&lt;'Operating Assumptions'!$D$53,CH$6&gt;'Operating Assumptions'!$AA$8,'Operating Assumptions'!$G20="N/A"),0,IF('Operating Assumptions'!$G20="$/Unit/Annual",(('Operating Assumptions'!$H20*CH$23)*CH$36)/12,IF('Operating Assumptions'!$G20="$/Unit/Month",('Operating Assumptions'!$H20*CH$23)*CH$36,IF('Operating Assumptions'!$G20="Fixed Amount",('Operating Assumptions'!$H20*CH$23)/12))))</f>
        <v>0</v>
      </c>
      <c r="CI54" s="427">
        <f>IF(OR(CI$9&lt;'Operating Assumptions'!$D$53,CI$6&gt;'Operating Assumptions'!$AA$8,'Operating Assumptions'!$G20="N/A"),0,IF('Operating Assumptions'!$G20="$/Unit/Annual",(('Operating Assumptions'!$H20*CI$23)*CI$36)/12,IF('Operating Assumptions'!$G20="$/Unit/Month",('Operating Assumptions'!$H20*CI$23)*CI$36,IF('Operating Assumptions'!$G20="Fixed Amount",('Operating Assumptions'!$H20*CI$23)/12))))</f>
        <v>0</v>
      </c>
      <c r="CJ54" s="427">
        <f>IF(OR(CJ$9&lt;'Operating Assumptions'!$D$53,CJ$6&gt;'Operating Assumptions'!$AA$8,'Operating Assumptions'!$G20="N/A"),0,IF('Operating Assumptions'!$G20="$/Unit/Annual",(('Operating Assumptions'!$H20*CJ$23)*CJ$36)/12,IF('Operating Assumptions'!$G20="$/Unit/Month",('Operating Assumptions'!$H20*CJ$23)*CJ$36,IF('Operating Assumptions'!$G20="Fixed Amount",('Operating Assumptions'!$H20*CJ$23)/12))))</f>
        <v>0</v>
      </c>
      <c r="CK54" s="427">
        <f>IF(OR(CK$9&lt;'Operating Assumptions'!$D$53,CK$6&gt;'Operating Assumptions'!$AA$8,'Operating Assumptions'!$G20="N/A"),0,IF('Operating Assumptions'!$G20="$/Unit/Annual",(('Operating Assumptions'!$H20*CK$23)*CK$36)/12,IF('Operating Assumptions'!$G20="$/Unit/Month",('Operating Assumptions'!$H20*CK$23)*CK$36,IF('Operating Assumptions'!$G20="Fixed Amount",('Operating Assumptions'!$H20*CK$23)/12))))</f>
        <v>0</v>
      </c>
      <c r="CL54" s="427">
        <f>IF(OR(CL$9&lt;'Operating Assumptions'!$D$53,CL$6&gt;'Operating Assumptions'!$AA$8,'Operating Assumptions'!$G20="N/A"),0,IF('Operating Assumptions'!$G20="$/Unit/Annual",(('Operating Assumptions'!$H20*CL$23)*CL$36)/12,IF('Operating Assumptions'!$G20="$/Unit/Month",('Operating Assumptions'!$H20*CL$23)*CL$36,IF('Operating Assumptions'!$G20="Fixed Amount",('Operating Assumptions'!$H20*CL$23)/12))))</f>
        <v>0</v>
      </c>
      <c r="CM54" s="427">
        <f>IF(OR(CM$9&lt;'Operating Assumptions'!$D$53,CM$6&gt;'Operating Assumptions'!$AA$8,'Operating Assumptions'!$G20="N/A"),0,IF('Operating Assumptions'!$G20="$/Unit/Annual",(('Operating Assumptions'!$H20*CM$23)*CM$36)/12,IF('Operating Assumptions'!$G20="$/Unit/Month",('Operating Assumptions'!$H20*CM$23)*CM$36,IF('Operating Assumptions'!$G20="Fixed Amount",('Operating Assumptions'!$H20*CM$23)/12))))</f>
        <v>0</v>
      </c>
      <c r="CN54" s="427">
        <f>IF(OR(CN$9&lt;'Operating Assumptions'!$D$53,CN$6&gt;'Operating Assumptions'!$AA$8,'Operating Assumptions'!$G20="N/A"),0,IF('Operating Assumptions'!$G20="$/Unit/Annual",(('Operating Assumptions'!$H20*CN$23)*CN$36)/12,IF('Operating Assumptions'!$G20="$/Unit/Month",('Operating Assumptions'!$H20*CN$23)*CN$36,IF('Operating Assumptions'!$G20="Fixed Amount",('Operating Assumptions'!$H20*CN$23)/12))))</f>
        <v>0</v>
      </c>
      <c r="CO54" s="427">
        <f>IF(OR(CO$9&lt;'Operating Assumptions'!$D$53,CO$6&gt;'Operating Assumptions'!$AA$8,'Operating Assumptions'!$G20="N/A"),0,IF('Operating Assumptions'!$G20="$/Unit/Annual",(('Operating Assumptions'!$H20*CO$23)*CO$36)/12,IF('Operating Assumptions'!$G20="$/Unit/Month",('Operating Assumptions'!$H20*CO$23)*CO$36,IF('Operating Assumptions'!$G20="Fixed Amount",('Operating Assumptions'!$H20*CO$23)/12))))</f>
        <v>0</v>
      </c>
      <c r="CP54" s="427">
        <f>IF(OR(CP$9&lt;'Operating Assumptions'!$D$53,CP$6&gt;'Operating Assumptions'!$AA$8,'Operating Assumptions'!$G20="N/A"),0,IF('Operating Assumptions'!$G20="$/Unit/Annual",(('Operating Assumptions'!$H20*CP$23)*CP$36)/12,IF('Operating Assumptions'!$G20="$/Unit/Month",('Operating Assumptions'!$H20*CP$23)*CP$36,IF('Operating Assumptions'!$G20="Fixed Amount",('Operating Assumptions'!$H20*CP$23)/12))))</f>
        <v>0</v>
      </c>
      <c r="CQ54" s="427">
        <f>IF(OR(CQ$9&lt;'Operating Assumptions'!$D$53,CQ$6&gt;'Operating Assumptions'!$AA$8,'Operating Assumptions'!$G20="N/A"),0,IF('Operating Assumptions'!$G20="$/Unit/Annual",(('Operating Assumptions'!$H20*CQ$23)*CQ$36)/12,IF('Operating Assumptions'!$G20="$/Unit/Month",('Operating Assumptions'!$H20*CQ$23)*CQ$36,IF('Operating Assumptions'!$G20="Fixed Amount",('Operating Assumptions'!$H20*CQ$23)/12))))</f>
        <v>0</v>
      </c>
      <c r="CR54" s="427">
        <f>IF(OR(CR$9&lt;'Operating Assumptions'!$D$53,CR$6&gt;'Operating Assumptions'!$AA$8,'Operating Assumptions'!$G20="N/A"),0,IF('Operating Assumptions'!$G20="$/Unit/Annual",(('Operating Assumptions'!$H20*CR$23)*CR$36)/12,IF('Operating Assumptions'!$G20="$/Unit/Month",('Operating Assumptions'!$H20*CR$23)*CR$36,IF('Operating Assumptions'!$G20="Fixed Amount",('Operating Assumptions'!$H20*CR$23)/12))))</f>
        <v>0</v>
      </c>
      <c r="CS54" s="427">
        <f>IF(OR(CS$9&lt;'Operating Assumptions'!$D$53,CS$6&gt;'Operating Assumptions'!$AA$8,'Operating Assumptions'!$G20="N/A"),0,IF('Operating Assumptions'!$G20="$/Unit/Annual",(('Operating Assumptions'!$H20*CS$23)*CS$36)/12,IF('Operating Assumptions'!$G20="$/Unit/Month",('Operating Assumptions'!$H20*CS$23)*CS$36,IF('Operating Assumptions'!$G20="Fixed Amount",('Operating Assumptions'!$H20*CS$23)/12))))</f>
        <v>0</v>
      </c>
      <c r="CT54" s="427">
        <f>IF(OR(CT$9&lt;'Operating Assumptions'!$D$53,CT$6&gt;'Operating Assumptions'!$AA$8,'Operating Assumptions'!$G20="N/A"),0,IF('Operating Assumptions'!$G20="$/Unit/Annual",(('Operating Assumptions'!$H20*CT$23)*CT$36)/12,IF('Operating Assumptions'!$G20="$/Unit/Month",('Operating Assumptions'!$H20*CT$23)*CT$36,IF('Operating Assumptions'!$G20="Fixed Amount",('Operating Assumptions'!$H20*CT$23)/12))))</f>
        <v>0</v>
      </c>
      <c r="CU54" s="427">
        <f>IF(OR(CU$9&lt;'Operating Assumptions'!$D$53,CU$6&gt;'Operating Assumptions'!$AA$8,'Operating Assumptions'!$G20="N/A"),0,IF('Operating Assumptions'!$G20="$/Unit/Annual",(('Operating Assumptions'!$H20*CU$23)*CU$36)/12,IF('Operating Assumptions'!$G20="$/Unit/Month",('Operating Assumptions'!$H20*CU$23)*CU$36,IF('Operating Assumptions'!$G20="Fixed Amount",('Operating Assumptions'!$H20*CU$23)/12))))</f>
        <v>0</v>
      </c>
      <c r="CV54" s="427">
        <f>IF(OR(CV$9&lt;'Operating Assumptions'!$D$53,CV$6&gt;'Operating Assumptions'!$AA$8,'Operating Assumptions'!$G20="N/A"),0,IF('Operating Assumptions'!$G20="$/Unit/Annual",(('Operating Assumptions'!$H20*CV$23)*CV$36)/12,IF('Operating Assumptions'!$G20="$/Unit/Month",('Operating Assumptions'!$H20*CV$23)*CV$36,IF('Operating Assumptions'!$G20="Fixed Amount",('Operating Assumptions'!$H20*CV$23)/12))))</f>
        <v>0</v>
      </c>
      <c r="CW54" s="427">
        <f>IF(OR(CW$9&lt;'Operating Assumptions'!$D$53,CW$6&gt;'Operating Assumptions'!$AA$8,'Operating Assumptions'!$G20="N/A"),0,IF('Operating Assumptions'!$G20="$/Unit/Annual",(('Operating Assumptions'!$H20*CW$23)*CW$36)/12,IF('Operating Assumptions'!$G20="$/Unit/Month",('Operating Assumptions'!$H20*CW$23)*CW$36,IF('Operating Assumptions'!$G20="Fixed Amount",('Operating Assumptions'!$H20*CW$23)/12))))</f>
        <v>0</v>
      </c>
      <c r="CX54" s="427">
        <f>IF(OR(CX$9&lt;'Operating Assumptions'!$D$53,CX$6&gt;'Operating Assumptions'!$AA$8,'Operating Assumptions'!$G20="N/A"),0,IF('Operating Assumptions'!$G20="$/Unit/Annual",(('Operating Assumptions'!$H20*CX$23)*CX$36)/12,IF('Operating Assumptions'!$G20="$/Unit/Month",('Operating Assumptions'!$H20*CX$23)*CX$36,IF('Operating Assumptions'!$G20="Fixed Amount",('Operating Assumptions'!$H20*CX$23)/12))))</f>
        <v>0</v>
      </c>
      <c r="CY54" s="427">
        <f>IF(OR(CY$9&lt;'Operating Assumptions'!$D$53,CY$6&gt;'Operating Assumptions'!$AA$8,'Operating Assumptions'!$G20="N/A"),0,IF('Operating Assumptions'!$G20="$/Unit/Annual",(('Operating Assumptions'!$H20*CY$23)*CY$36)/12,IF('Operating Assumptions'!$G20="$/Unit/Month",('Operating Assumptions'!$H20*CY$23)*CY$36,IF('Operating Assumptions'!$G20="Fixed Amount",('Operating Assumptions'!$H20*CY$23)/12))))</f>
        <v>0</v>
      </c>
      <c r="CZ54" s="427">
        <f>IF(OR(CZ$9&lt;'Operating Assumptions'!$D$53,CZ$6&gt;'Operating Assumptions'!$AA$8,'Operating Assumptions'!$G20="N/A"),0,IF('Operating Assumptions'!$G20="$/Unit/Annual",(('Operating Assumptions'!$H20*CZ$23)*CZ$36)/12,IF('Operating Assumptions'!$G20="$/Unit/Month",('Operating Assumptions'!$H20*CZ$23)*CZ$36,IF('Operating Assumptions'!$G20="Fixed Amount",('Operating Assumptions'!$H20*CZ$23)/12))))</f>
        <v>0</v>
      </c>
      <c r="DA54" s="427">
        <f>IF(OR(DA$9&lt;'Operating Assumptions'!$D$53,DA$6&gt;'Operating Assumptions'!$AA$8,'Operating Assumptions'!$G20="N/A"),0,IF('Operating Assumptions'!$G20="$/Unit/Annual",(('Operating Assumptions'!$H20*DA$23)*DA$36)/12,IF('Operating Assumptions'!$G20="$/Unit/Month",('Operating Assumptions'!$H20*DA$23)*DA$36,IF('Operating Assumptions'!$G20="Fixed Amount",('Operating Assumptions'!$H20*DA$23)/12))))</f>
        <v>0</v>
      </c>
      <c r="DB54" s="427">
        <f>IF(OR(DB$9&lt;'Operating Assumptions'!$D$53,DB$6&gt;'Operating Assumptions'!$AA$8,'Operating Assumptions'!$G20="N/A"),0,IF('Operating Assumptions'!$G20="$/Unit/Annual",(('Operating Assumptions'!$H20*DB$23)*DB$36)/12,IF('Operating Assumptions'!$G20="$/Unit/Month",('Operating Assumptions'!$H20*DB$23)*DB$36,IF('Operating Assumptions'!$G20="Fixed Amount",('Operating Assumptions'!$H20*DB$23)/12))))</f>
        <v>0</v>
      </c>
      <c r="DC54" s="427">
        <f>IF(OR(DC$9&lt;'Operating Assumptions'!$D$53,DC$6&gt;'Operating Assumptions'!$AA$8,'Operating Assumptions'!$G20="N/A"),0,IF('Operating Assumptions'!$G20="$/Unit/Annual",(('Operating Assumptions'!$H20*DC$23)*DC$36)/12,IF('Operating Assumptions'!$G20="$/Unit/Month",('Operating Assumptions'!$H20*DC$23)*DC$36,IF('Operating Assumptions'!$G20="Fixed Amount",('Operating Assumptions'!$H20*DC$23)/12))))</f>
        <v>0</v>
      </c>
      <c r="DD54" s="427">
        <f>IF(OR(DD$9&lt;'Operating Assumptions'!$D$53,DD$6&gt;'Operating Assumptions'!$AA$8,'Operating Assumptions'!$G20="N/A"),0,IF('Operating Assumptions'!$G20="$/Unit/Annual",(('Operating Assumptions'!$H20*DD$23)*DD$36)/12,IF('Operating Assumptions'!$G20="$/Unit/Month",('Operating Assumptions'!$H20*DD$23)*DD$36,IF('Operating Assumptions'!$G20="Fixed Amount",('Operating Assumptions'!$H20*DD$23)/12))))</f>
        <v>0</v>
      </c>
      <c r="DE54" s="427">
        <f>IF(OR(DE$9&lt;'Operating Assumptions'!$D$53,DE$6&gt;'Operating Assumptions'!$AA$8,'Operating Assumptions'!$G20="N/A"),0,IF('Operating Assumptions'!$G20="$/Unit/Annual",(('Operating Assumptions'!$H20*DE$23)*DE$36)/12,IF('Operating Assumptions'!$G20="$/Unit/Month",('Operating Assumptions'!$H20*DE$23)*DE$36,IF('Operating Assumptions'!$G20="Fixed Amount",('Operating Assumptions'!$H20*DE$23)/12))))</f>
        <v>0</v>
      </c>
      <c r="DF54" s="427">
        <f>IF(OR(DF$9&lt;'Operating Assumptions'!$D$53,DF$6&gt;'Operating Assumptions'!$AA$8,'Operating Assumptions'!$G20="N/A"),0,IF('Operating Assumptions'!$G20="$/Unit/Annual",(('Operating Assumptions'!$H20*DF$23)*DF$36)/12,IF('Operating Assumptions'!$G20="$/Unit/Month",('Operating Assumptions'!$H20*DF$23)*DF$36,IF('Operating Assumptions'!$G20="Fixed Amount",('Operating Assumptions'!$H20*DF$23)/12))))</f>
        <v>0</v>
      </c>
      <c r="DG54" s="427">
        <f>IF(OR(DG$9&lt;'Operating Assumptions'!$D$53,DG$6&gt;'Operating Assumptions'!$AA$8,'Operating Assumptions'!$G20="N/A"),0,IF('Operating Assumptions'!$G20="$/Unit/Annual",(('Operating Assumptions'!$H20*DG$23)*DG$36)/12,IF('Operating Assumptions'!$G20="$/Unit/Month",('Operating Assumptions'!$H20*DG$23)*DG$36,IF('Operating Assumptions'!$G20="Fixed Amount",('Operating Assumptions'!$H20*DG$23)/12))))</f>
        <v>0</v>
      </c>
      <c r="DH54" s="427">
        <f>IF(OR(DH$9&lt;'Operating Assumptions'!$D$53,DH$6&gt;'Operating Assumptions'!$AA$8,'Operating Assumptions'!$G20="N/A"),0,IF('Operating Assumptions'!$G20="$/Unit/Annual",(('Operating Assumptions'!$H20*DH$23)*DH$36)/12,IF('Operating Assumptions'!$G20="$/Unit/Month",('Operating Assumptions'!$H20*DH$23)*DH$36,IF('Operating Assumptions'!$G20="Fixed Amount",('Operating Assumptions'!$H20*DH$23)/12))))</f>
        <v>0</v>
      </c>
      <c r="DI54" s="427">
        <f>IF(OR(DI$9&lt;'Operating Assumptions'!$D$53,DI$6&gt;'Operating Assumptions'!$AA$8,'Operating Assumptions'!$G20="N/A"),0,IF('Operating Assumptions'!$G20="$/Unit/Annual",(('Operating Assumptions'!$H20*DI$23)*DI$36)/12,IF('Operating Assumptions'!$G20="$/Unit/Month",('Operating Assumptions'!$H20*DI$23)*DI$36,IF('Operating Assumptions'!$G20="Fixed Amount",('Operating Assumptions'!$H20*DI$23)/12))))</f>
        <v>0</v>
      </c>
      <c r="DJ54" s="427">
        <f>IF(OR(DJ$9&lt;'Operating Assumptions'!$D$53,DJ$6&gt;'Operating Assumptions'!$AA$8,'Operating Assumptions'!$G20="N/A"),0,IF('Operating Assumptions'!$G20="$/Unit/Annual",(('Operating Assumptions'!$H20*DJ$23)*DJ$36)/12,IF('Operating Assumptions'!$G20="$/Unit/Month",('Operating Assumptions'!$H20*DJ$23)*DJ$36,IF('Operating Assumptions'!$G20="Fixed Amount",('Operating Assumptions'!$H20*DJ$23)/12))))</f>
        <v>0</v>
      </c>
      <c r="DK54" s="427">
        <f>IF(OR(DK$9&lt;'Operating Assumptions'!$D$53,DK$6&gt;'Operating Assumptions'!$AA$8,'Operating Assumptions'!$G20="N/A"),0,IF('Operating Assumptions'!$G20="$/Unit/Annual",(('Operating Assumptions'!$H20*DK$23)*DK$36)/12,IF('Operating Assumptions'!$G20="$/Unit/Month",('Operating Assumptions'!$H20*DK$23)*DK$36,IF('Operating Assumptions'!$G20="Fixed Amount",('Operating Assumptions'!$H20*DK$23)/12))))</f>
        <v>0</v>
      </c>
      <c r="DL54" s="427">
        <f>IF(OR(DL$9&lt;'Operating Assumptions'!$D$53,DL$6&gt;'Operating Assumptions'!$AA$8,'Operating Assumptions'!$G20="N/A"),0,IF('Operating Assumptions'!$G20="$/Unit/Annual",(('Operating Assumptions'!$H20*DL$23)*DL$36)/12,IF('Operating Assumptions'!$G20="$/Unit/Month",('Operating Assumptions'!$H20*DL$23)*DL$36,IF('Operating Assumptions'!$G20="Fixed Amount",('Operating Assumptions'!$H20*DL$23)/12))))</f>
        <v>0</v>
      </c>
      <c r="DM54" s="427">
        <f>IF(OR(DM$9&lt;'Operating Assumptions'!$D$53,DM$6&gt;'Operating Assumptions'!$AA$8,'Operating Assumptions'!$G20="N/A"),0,IF('Operating Assumptions'!$G20="$/Unit/Annual",(('Operating Assumptions'!$H20*DM$23)*DM$36)/12,IF('Operating Assumptions'!$G20="$/Unit/Month",('Operating Assumptions'!$H20*DM$23)*DM$36,IF('Operating Assumptions'!$G20="Fixed Amount",('Operating Assumptions'!$H20*DM$23)/12))))</f>
        <v>0</v>
      </c>
      <c r="DN54" s="427">
        <f>IF(OR(DN$9&lt;'Operating Assumptions'!$D$53,DN$6&gt;'Operating Assumptions'!$AA$8,'Operating Assumptions'!$G20="N/A"),0,IF('Operating Assumptions'!$G20="$/Unit/Annual",(('Operating Assumptions'!$H20*DN$23)*DN$36)/12,IF('Operating Assumptions'!$G20="$/Unit/Month",('Operating Assumptions'!$H20*DN$23)*DN$36,IF('Operating Assumptions'!$G20="Fixed Amount",('Operating Assumptions'!$H20*DN$23)/12))))</f>
        <v>0</v>
      </c>
      <c r="DO54" s="427">
        <f>IF(OR(DO$9&lt;'Operating Assumptions'!$D$53,DO$6&gt;'Operating Assumptions'!$AA$8,'Operating Assumptions'!$G20="N/A"),0,IF('Operating Assumptions'!$G20="$/Unit/Annual",(('Operating Assumptions'!$H20*DO$23)*DO$36)/12,IF('Operating Assumptions'!$G20="$/Unit/Month",('Operating Assumptions'!$H20*DO$23)*DO$36,IF('Operating Assumptions'!$G20="Fixed Amount",('Operating Assumptions'!$H20*DO$23)/12))))</f>
        <v>0</v>
      </c>
      <c r="DP54" s="427">
        <f>IF(OR(DP$9&lt;'Operating Assumptions'!$D$53,DP$6&gt;'Operating Assumptions'!$AA$8,'Operating Assumptions'!$G20="N/A"),0,IF('Operating Assumptions'!$G20="$/Unit/Annual",(('Operating Assumptions'!$H20*DP$23)*DP$36)/12,IF('Operating Assumptions'!$G20="$/Unit/Month",('Operating Assumptions'!$H20*DP$23)*DP$36,IF('Operating Assumptions'!$G20="Fixed Amount",('Operating Assumptions'!$H20*DP$23)/12))))</f>
        <v>0</v>
      </c>
      <c r="DQ54" s="427">
        <f>IF(OR(DQ$9&lt;'Operating Assumptions'!$D$53,DQ$6&gt;'Operating Assumptions'!$AA$8,'Operating Assumptions'!$G20="N/A"),0,IF('Operating Assumptions'!$G20="$/Unit/Annual",(('Operating Assumptions'!$H20*DQ$23)*DQ$36)/12,IF('Operating Assumptions'!$G20="$/Unit/Month",('Operating Assumptions'!$H20*DQ$23)*DQ$36,IF('Operating Assumptions'!$G20="Fixed Amount",('Operating Assumptions'!$H20*DQ$23)/12))))</f>
        <v>0</v>
      </c>
      <c r="DR54" s="427">
        <f>IF(OR(DR$9&lt;'Operating Assumptions'!$D$53,DR$6&gt;'Operating Assumptions'!$AA$8,'Operating Assumptions'!$G20="N/A"),0,IF('Operating Assumptions'!$G20="$/Unit/Annual",(('Operating Assumptions'!$H20*DR$23)*DR$36)/12,IF('Operating Assumptions'!$G20="$/Unit/Month",('Operating Assumptions'!$H20*DR$23)*DR$36,IF('Operating Assumptions'!$G20="Fixed Amount",('Operating Assumptions'!$H20*DR$23)/12))))</f>
        <v>0</v>
      </c>
      <c r="DS54" s="427">
        <f>IF(OR(DS$9&lt;'Operating Assumptions'!$D$53,DS$6&gt;'Operating Assumptions'!$AA$8,'Operating Assumptions'!$G20="N/A"),0,IF('Operating Assumptions'!$G20="$/Unit/Annual",(('Operating Assumptions'!$H20*DS$23)*DS$36)/12,IF('Operating Assumptions'!$G20="$/Unit/Month",('Operating Assumptions'!$H20*DS$23)*DS$36,IF('Operating Assumptions'!$G20="Fixed Amount",('Operating Assumptions'!$H20*DS$23)/12))))</f>
        <v>0</v>
      </c>
      <c r="DT54" s="427">
        <f>IF(OR(DT$9&lt;'Operating Assumptions'!$D$53,DT$6&gt;'Operating Assumptions'!$AA$8,'Operating Assumptions'!$G20="N/A"),0,IF('Operating Assumptions'!$G20="$/Unit/Annual",(('Operating Assumptions'!$H20*DT$23)*DT$36)/12,IF('Operating Assumptions'!$G20="$/Unit/Month",('Operating Assumptions'!$H20*DT$23)*DT$36,IF('Operating Assumptions'!$G20="Fixed Amount",('Operating Assumptions'!$H20*DT$23)/12))))</f>
        <v>0</v>
      </c>
      <c r="DU54" s="427">
        <f>IF(OR(DU$9&lt;'Operating Assumptions'!$D$53,DU$6&gt;'Operating Assumptions'!$AA$8,'Operating Assumptions'!$G20="N/A"),0,IF('Operating Assumptions'!$G20="$/Unit/Annual",(('Operating Assumptions'!$H20*DU$23)*DU$36)/12,IF('Operating Assumptions'!$G20="$/Unit/Month",('Operating Assumptions'!$H20*DU$23)*DU$36,IF('Operating Assumptions'!$G20="Fixed Amount",('Operating Assumptions'!$H20*DU$23)/12))))</f>
        <v>0</v>
      </c>
      <c r="DV54" s="427">
        <f>IF(OR(DV$9&lt;'Operating Assumptions'!$D$53,DV$6&gt;'Operating Assumptions'!$AA$8,'Operating Assumptions'!$G20="N/A"),0,IF('Operating Assumptions'!$G20="$/Unit/Annual",(('Operating Assumptions'!$H20*DV$23)*DV$36)/12,IF('Operating Assumptions'!$G20="$/Unit/Month",('Operating Assumptions'!$H20*DV$23)*DV$36,IF('Operating Assumptions'!$G20="Fixed Amount",('Operating Assumptions'!$H20*DV$23)/12))))</f>
        <v>0</v>
      </c>
      <c r="DW54" s="427">
        <f>IF(OR(DW$9&lt;'Operating Assumptions'!$D$53,DW$6&gt;'Operating Assumptions'!$AA$8,'Operating Assumptions'!$G20="N/A"),0,IF('Operating Assumptions'!$G20="$/Unit/Annual",(('Operating Assumptions'!$H20*DW$23)*DW$36)/12,IF('Operating Assumptions'!$G20="$/Unit/Month",('Operating Assumptions'!$H20*DW$23)*DW$36,IF('Operating Assumptions'!$G20="Fixed Amount",('Operating Assumptions'!$H20*DW$23)/12))))</f>
        <v>0</v>
      </c>
      <c r="DX54" s="427">
        <f>IF(OR(DX$9&lt;'Operating Assumptions'!$D$53,DX$6&gt;'Operating Assumptions'!$AA$8,'Operating Assumptions'!$G20="N/A"),0,IF('Operating Assumptions'!$G20="$/Unit/Annual",(('Operating Assumptions'!$H20*DX$23)*DX$36)/12,IF('Operating Assumptions'!$G20="$/Unit/Month",('Operating Assumptions'!$H20*DX$23)*DX$36,IF('Operating Assumptions'!$G20="Fixed Amount",('Operating Assumptions'!$H20*DX$23)/12))))</f>
        <v>0</v>
      </c>
      <c r="DY54" s="427">
        <f>IF(OR(DY$9&lt;'Operating Assumptions'!$D$53,DY$6&gt;'Operating Assumptions'!$AA$8,'Operating Assumptions'!$G20="N/A"),0,IF('Operating Assumptions'!$G20="$/Unit/Annual",(('Operating Assumptions'!$H20*DY$23)*DY$36)/12,IF('Operating Assumptions'!$G20="$/Unit/Month",('Operating Assumptions'!$H20*DY$23)*DY$36,IF('Operating Assumptions'!$G20="Fixed Amount",('Operating Assumptions'!$H20*DY$23)/12))))</f>
        <v>0</v>
      </c>
      <c r="DZ54" s="427">
        <f>IF(OR(DZ$9&lt;'Operating Assumptions'!$D$53,DZ$6&gt;'Operating Assumptions'!$AA$8,'Operating Assumptions'!$G20="N/A"),0,IF('Operating Assumptions'!$G20="$/Unit/Annual",(('Operating Assumptions'!$H20*DZ$23)*DZ$36)/12,IF('Operating Assumptions'!$G20="$/Unit/Month",('Operating Assumptions'!$H20*DZ$23)*DZ$36,IF('Operating Assumptions'!$G20="Fixed Amount",('Operating Assumptions'!$H20*DZ$23)/12))))</f>
        <v>0</v>
      </c>
      <c r="EA54" s="427">
        <f>IF(OR(EA$9&lt;'Operating Assumptions'!$D$53,EA$6&gt;'Operating Assumptions'!$AA$8,'Operating Assumptions'!$G20="N/A"),0,IF('Operating Assumptions'!$G20="$/Unit/Annual",(('Operating Assumptions'!$H20*EA$23)*EA$36)/12,IF('Operating Assumptions'!$G20="$/Unit/Month",('Operating Assumptions'!$H20*EA$23)*EA$36,IF('Operating Assumptions'!$G20="Fixed Amount",('Operating Assumptions'!$H20*EA$23)/12))))</f>
        <v>0</v>
      </c>
      <c r="EB54" s="427">
        <f>IF(OR(EB$9&lt;'Operating Assumptions'!$D$53,EB$6&gt;'Operating Assumptions'!$AA$8,'Operating Assumptions'!$G20="N/A"),0,IF('Operating Assumptions'!$G20="$/Unit/Annual",(('Operating Assumptions'!$H20*EB$23)*EB$36)/12,IF('Operating Assumptions'!$G20="$/Unit/Month",('Operating Assumptions'!$H20*EB$23)*EB$36,IF('Operating Assumptions'!$G20="Fixed Amount",('Operating Assumptions'!$H20*EB$23)/12))))</f>
        <v>0</v>
      </c>
      <c r="EC54" s="427">
        <f>IF(OR(EC$9&lt;'Operating Assumptions'!$D$53,EC$6&gt;'Operating Assumptions'!$AA$8,'Operating Assumptions'!$G20="N/A"),0,IF('Operating Assumptions'!$G20="$/Unit/Annual",(('Operating Assumptions'!$H20*EC$23)*EC$36)/12,IF('Operating Assumptions'!$G20="$/Unit/Month",('Operating Assumptions'!$H20*EC$23)*EC$36,IF('Operating Assumptions'!$G20="Fixed Amount",('Operating Assumptions'!$H20*EC$23)/12))))</f>
        <v>0</v>
      </c>
      <c r="ED54" s="427">
        <f>IF(OR(ED$9&lt;'Operating Assumptions'!$D$53,ED$6&gt;'Operating Assumptions'!$AA$8,'Operating Assumptions'!$G20="N/A"),0,IF('Operating Assumptions'!$G20="$/Unit/Annual",(('Operating Assumptions'!$H20*ED$23)*ED$36)/12,IF('Operating Assumptions'!$G20="$/Unit/Month",('Operating Assumptions'!$H20*ED$23)*ED$36,IF('Operating Assumptions'!$G20="Fixed Amount",('Operating Assumptions'!$H20*ED$23)/12))))</f>
        <v>0</v>
      </c>
      <c r="EE54" s="427">
        <f>IF(OR(EE$9&lt;'Operating Assumptions'!$D$53,EE$6&gt;'Operating Assumptions'!$AA$8,'Operating Assumptions'!$G20="N/A"),0,IF('Operating Assumptions'!$G20="$/Unit/Annual",(('Operating Assumptions'!$H20*EE$23)*EE$36)/12,IF('Operating Assumptions'!$G20="$/Unit/Month",('Operating Assumptions'!$H20*EE$23)*EE$36,IF('Operating Assumptions'!$G20="Fixed Amount",('Operating Assumptions'!$H20*EE$23)/12))))</f>
        <v>0</v>
      </c>
      <c r="EF54" s="427">
        <f>IF(OR(EF$9&lt;'Operating Assumptions'!$D$53,EF$6&gt;'Operating Assumptions'!$AA$8,'Operating Assumptions'!$G20="N/A"),0,IF('Operating Assumptions'!$G20="$/Unit/Annual",(('Operating Assumptions'!$H20*EF$23)*EF$36)/12,IF('Operating Assumptions'!$G20="$/Unit/Month",('Operating Assumptions'!$H20*EF$23)*EF$36,IF('Operating Assumptions'!$G20="Fixed Amount",('Operating Assumptions'!$H20*EF$23)/12))))</f>
        <v>0</v>
      </c>
      <c r="EG54" s="427">
        <f>IF(OR(EG$9&lt;'Operating Assumptions'!$D$53,EG$6&gt;'Operating Assumptions'!$AA$8,'Operating Assumptions'!$G20="N/A"),0,IF('Operating Assumptions'!$G20="$/Unit/Annual",(('Operating Assumptions'!$H20*EG$23)*EG$36)/12,IF('Operating Assumptions'!$G20="$/Unit/Month",('Operating Assumptions'!$H20*EG$23)*EG$36,IF('Operating Assumptions'!$G20="Fixed Amount",('Operating Assumptions'!$H20*EG$23)/12))))</f>
        <v>0</v>
      </c>
      <c r="EH54" s="427">
        <f>IF(OR(EH$9&lt;'Operating Assumptions'!$D$53,EH$6&gt;'Operating Assumptions'!$AA$8,'Operating Assumptions'!$G20="N/A"),0,IF('Operating Assumptions'!$G20="$/Unit/Annual",(('Operating Assumptions'!$H20*EH$23)*EH$36)/12,IF('Operating Assumptions'!$G20="$/Unit/Month",('Operating Assumptions'!$H20*EH$23)*EH$36,IF('Operating Assumptions'!$G20="Fixed Amount",('Operating Assumptions'!$H20*EH$23)/12))))</f>
        <v>0</v>
      </c>
      <c r="EI54" s="427">
        <f>IF(OR(EI$9&lt;'Operating Assumptions'!$D$53,EI$6&gt;'Operating Assumptions'!$AA$8,'Operating Assumptions'!$G20="N/A"),0,IF('Operating Assumptions'!$G20="$/Unit/Annual",(('Operating Assumptions'!$H20*EI$23)*EI$36)/12,IF('Operating Assumptions'!$G20="$/Unit/Month",('Operating Assumptions'!$H20*EI$23)*EI$36,IF('Operating Assumptions'!$G20="Fixed Amount",('Operating Assumptions'!$H20*EI$23)/12))))</f>
        <v>0</v>
      </c>
      <c r="EJ54" s="427">
        <f>IF(OR(EJ$9&lt;'Operating Assumptions'!$D$53,EJ$6&gt;'Operating Assumptions'!$AA$8,'Operating Assumptions'!$G20="N/A"),0,IF('Operating Assumptions'!$G20="$/Unit/Annual",(('Operating Assumptions'!$H20*EJ$23)*EJ$36)/12,IF('Operating Assumptions'!$G20="$/Unit/Month",('Operating Assumptions'!$H20*EJ$23)*EJ$36,IF('Operating Assumptions'!$G20="Fixed Amount",('Operating Assumptions'!$H20*EJ$23)/12))))</f>
        <v>0</v>
      </c>
      <c r="EK54" s="427">
        <f>IF(OR(EK$9&lt;'Operating Assumptions'!$D$53,EK$6&gt;'Operating Assumptions'!$AA$8,'Operating Assumptions'!$G20="N/A"),0,IF('Operating Assumptions'!$G20="$/Unit/Annual",(('Operating Assumptions'!$H20*EK$23)*EK$36)/12,IF('Operating Assumptions'!$G20="$/Unit/Month",('Operating Assumptions'!$H20*EK$23)*EK$36,IF('Operating Assumptions'!$G20="Fixed Amount",('Operating Assumptions'!$H20*EK$23)/12))))</f>
        <v>0</v>
      </c>
      <c r="EL54" s="427">
        <f>IF(OR(EL$9&lt;'Operating Assumptions'!$D$53,EL$6&gt;'Operating Assumptions'!$AA$8,'Operating Assumptions'!$G20="N/A"),0,IF('Operating Assumptions'!$G20="$/Unit/Annual",(('Operating Assumptions'!$H20*EL$23)*EL$36)/12,IF('Operating Assumptions'!$G20="$/Unit/Month",('Operating Assumptions'!$H20*EL$23)*EL$36,IF('Operating Assumptions'!$G20="Fixed Amount",('Operating Assumptions'!$H20*EL$23)/12))))</f>
        <v>0</v>
      </c>
      <c r="EM54" s="427">
        <f>IF(OR(EM$9&lt;'Operating Assumptions'!$D$53,EM$6&gt;'Operating Assumptions'!$AA$8,'Operating Assumptions'!$G20="N/A"),0,IF('Operating Assumptions'!$G20="$/Unit/Annual",(('Operating Assumptions'!$H20*EM$23)*EM$36)/12,IF('Operating Assumptions'!$G20="$/Unit/Month",('Operating Assumptions'!$H20*EM$23)*EM$36,IF('Operating Assumptions'!$G20="Fixed Amount",('Operating Assumptions'!$H20*EM$23)/12))))</f>
        <v>0</v>
      </c>
      <c r="EN54" s="427">
        <f>IF(OR(EN$9&lt;'Operating Assumptions'!$D$53,EN$6&gt;'Operating Assumptions'!$AA$8,'Operating Assumptions'!$G20="N/A"),0,IF('Operating Assumptions'!$G20="$/Unit/Annual",(('Operating Assumptions'!$H20*EN$23)*EN$36)/12,IF('Operating Assumptions'!$G20="$/Unit/Month",('Operating Assumptions'!$H20*EN$23)*EN$36,IF('Operating Assumptions'!$G20="Fixed Amount",('Operating Assumptions'!$H20*EN$23)/12))))</f>
        <v>0</v>
      </c>
      <c r="EO54" s="427">
        <f>IF(OR(EO$9&lt;'Operating Assumptions'!$D$53,EO$6&gt;'Operating Assumptions'!$AA$8,'Operating Assumptions'!$G20="N/A"),0,IF('Operating Assumptions'!$G20="$/Unit/Annual",(('Operating Assumptions'!$H20*EO$23)*EO$36)/12,IF('Operating Assumptions'!$G20="$/Unit/Month",('Operating Assumptions'!$H20*EO$23)*EO$36,IF('Operating Assumptions'!$G20="Fixed Amount",('Operating Assumptions'!$H20*EO$23)/12))))</f>
        <v>0</v>
      </c>
      <c r="EP54" s="427">
        <f>IF(OR(EP$9&lt;'Operating Assumptions'!$D$53,EP$6&gt;'Operating Assumptions'!$AA$8,'Operating Assumptions'!$G20="N/A"),0,IF('Operating Assumptions'!$G20="$/Unit/Annual",(('Operating Assumptions'!$H20*EP$23)*EP$36)/12,IF('Operating Assumptions'!$G20="$/Unit/Month",('Operating Assumptions'!$H20*EP$23)*EP$36,IF('Operating Assumptions'!$G20="Fixed Amount",('Operating Assumptions'!$H20*EP$23)/12))))</f>
        <v>0</v>
      </c>
      <c r="EQ54" s="427">
        <f>IF(OR(EQ$9&lt;'Operating Assumptions'!$D$53,EQ$6&gt;'Operating Assumptions'!$AA$8,'Operating Assumptions'!$G20="N/A"),0,IF('Operating Assumptions'!$G20="$/Unit/Annual",(('Operating Assumptions'!$H20*EQ$23)*EQ$36)/12,IF('Operating Assumptions'!$G20="$/Unit/Month",('Operating Assumptions'!$H20*EQ$23)*EQ$36,IF('Operating Assumptions'!$G20="Fixed Amount",('Operating Assumptions'!$H20*EQ$23)/12))))</f>
        <v>0</v>
      </c>
      <c r="ER54" s="427">
        <f>IF(OR(ER$9&lt;'Operating Assumptions'!$D$53,ER$6&gt;'Operating Assumptions'!$AA$8,'Operating Assumptions'!$G20="N/A"),0,IF('Operating Assumptions'!$G20="$/Unit/Annual",(('Operating Assumptions'!$H20*ER$23)*ER$36)/12,IF('Operating Assumptions'!$G20="$/Unit/Month",('Operating Assumptions'!$H20*ER$23)*ER$36,IF('Operating Assumptions'!$G20="Fixed Amount",('Operating Assumptions'!$H20*ER$23)/12))))</f>
        <v>0</v>
      </c>
      <c r="ES54" s="427">
        <f>IF(OR(ES$9&lt;'Operating Assumptions'!$D$53,ES$6&gt;'Operating Assumptions'!$AA$8,'Operating Assumptions'!$G20="N/A"),0,IF('Operating Assumptions'!$G20="$/Unit/Annual",(('Operating Assumptions'!$H20*ES$23)*ES$36)/12,IF('Operating Assumptions'!$G20="$/Unit/Month",('Operating Assumptions'!$H20*ES$23)*ES$36,IF('Operating Assumptions'!$G20="Fixed Amount",('Operating Assumptions'!$H20*ES$23)/12))))</f>
        <v>0</v>
      </c>
      <c r="ET54" s="427">
        <f>IF(OR(ET$9&lt;'Operating Assumptions'!$D$53,ET$6&gt;'Operating Assumptions'!$AA$8,'Operating Assumptions'!$G20="N/A"),0,IF('Operating Assumptions'!$G20="$/Unit/Annual",(('Operating Assumptions'!$H20*ET$23)*ET$36)/12,IF('Operating Assumptions'!$G20="$/Unit/Month",('Operating Assumptions'!$H20*ET$23)*ET$36,IF('Operating Assumptions'!$G20="Fixed Amount",('Operating Assumptions'!$H20*ET$23)/12))))</f>
        <v>0</v>
      </c>
      <c r="EU54" s="427">
        <f>IF(OR(EU$9&lt;'Operating Assumptions'!$D$53,EU$6&gt;'Operating Assumptions'!$AA$8,'Operating Assumptions'!$G20="N/A"),0,IF('Operating Assumptions'!$G20="$/Unit/Annual",(('Operating Assumptions'!$H20*EU$23)*EU$36)/12,IF('Operating Assumptions'!$G20="$/Unit/Month",('Operating Assumptions'!$H20*EU$23)*EU$36,IF('Operating Assumptions'!$G20="Fixed Amount",('Operating Assumptions'!$H20*EU$23)/12))))</f>
        <v>0</v>
      </c>
      <c r="EV54" s="427">
        <f>IF(OR(EV$9&lt;'Operating Assumptions'!$D$53,EV$6&gt;'Operating Assumptions'!$AA$8,'Operating Assumptions'!$G20="N/A"),0,IF('Operating Assumptions'!$G20="$/Unit/Annual",(('Operating Assumptions'!$H20*EV$23)*EV$36)/12,IF('Operating Assumptions'!$G20="$/Unit/Month",('Operating Assumptions'!$H20*EV$23)*EV$36,IF('Operating Assumptions'!$G20="Fixed Amount",('Operating Assumptions'!$H20*EV$23)/12))))</f>
        <v>0</v>
      </c>
      <c r="EW54" s="427">
        <f>IF(OR(EW$9&lt;'Operating Assumptions'!$D$53,EW$6&gt;'Operating Assumptions'!$AA$8,'Operating Assumptions'!$G20="N/A"),0,IF('Operating Assumptions'!$G20="$/Unit/Annual",(('Operating Assumptions'!$H20*EW$23)*EW$36)/12,IF('Operating Assumptions'!$G20="$/Unit/Month",('Operating Assumptions'!$H20*EW$23)*EW$36,IF('Operating Assumptions'!$G20="Fixed Amount",('Operating Assumptions'!$H20*EW$23)/12))))</f>
        <v>0</v>
      </c>
      <c r="EX54" s="427">
        <f>IF(OR(EX$9&lt;'Operating Assumptions'!$D$53,EX$6&gt;'Operating Assumptions'!$AA$8,'Operating Assumptions'!$G20="N/A"),0,IF('Operating Assumptions'!$G20="$/Unit/Annual",(('Operating Assumptions'!$H20*EX$23)*EX$36)/12,IF('Operating Assumptions'!$G20="$/Unit/Month",('Operating Assumptions'!$H20*EX$23)*EX$36,IF('Operating Assumptions'!$G20="Fixed Amount",('Operating Assumptions'!$H20*EX$23)/12))))</f>
        <v>0</v>
      </c>
      <c r="EY54" s="427">
        <f>IF(OR(EY$9&lt;'Operating Assumptions'!$D$53,EY$6&gt;'Operating Assumptions'!$AA$8,'Operating Assumptions'!$G20="N/A"),0,IF('Operating Assumptions'!$G20="$/Unit/Annual",(('Operating Assumptions'!$H20*EY$23)*EY$36)/12,IF('Operating Assumptions'!$G20="$/Unit/Month",('Operating Assumptions'!$H20*EY$23)*EY$36,IF('Operating Assumptions'!$G20="Fixed Amount",('Operating Assumptions'!$H20*EY$23)/12))))</f>
        <v>0</v>
      </c>
      <c r="EZ54" s="427">
        <f>IF(OR(EZ$9&lt;'Operating Assumptions'!$D$53,EZ$6&gt;'Operating Assumptions'!$AA$8,'Operating Assumptions'!$G20="N/A"),0,IF('Operating Assumptions'!$G20="$/Unit/Annual",(('Operating Assumptions'!$H20*EZ$23)*EZ$36)/12,IF('Operating Assumptions'!$G20="$/Unit/Month",('Operating Assumptions'!$H20*EZ$23)*EZ$36,IF('Operating Assumptions'!$G20="Fixed Amount",('Operating Assumptions'!$H20*EZ$23)/12))))</f>
        <v>0</v>
      </c>
      <c r="FA54" s="427">
        <f>IF(OR(FA$9&lt;'Operating Assumptions'!$D$53,FA$6&gt;'Operating Assumptions'!$AA$8,'Operating Assumptions'!$G20="N/A"),0,IF('Operating Assumptions'!$G20="$/Unit/Annual",(('Operating Assumptions'!$H20*FA$23)*FA$36)/12,IF('Operating Assumptions'!$G20="$/Unit/Month",('Operating Assumptions'!$H20*FA$23)*FA$36,IF('Operating Assumptions'!$G20="Fixed Amount",('Operating Assumptions'!$H20*FA$23)/12))))</f>
        <v>0</v>
      </c>
      <c r="FB54" s="427">
        <f>IF(OR(FB$9&lt;'Operating Assumptions'!$D$53,FB$6&gt;'Operating Assumptions'!$AA$8,'Operating Assumptions'!$G20="N/A"),0,IF('Operating Assumptions'!$G20="$/Unit/Annual",(('Operating Assumptions'!$H20*FB$23)*FB$36)/12,IF('Operating Assumptions'!$G20="$/Unit/Month",('Operating Assumptions'!$H20*FB$23)*FB$36,IF('Operating Assumptions'!$G20="Fixed Amount",('Operating Assumptions'!$H20*FB$23)/12))))</f>
        <v>0</v>
      </c>
      <c r="FC54" s="427">
        <f>IF(OR(FC$9&lt;'Operating Assumptions'!$D$53,FC$6&gt;'Operating Assumptions'!$AA$8,'Operating Assumptions'!$G20="N/A"),0,IF('Operating Assumptions'!$G20="$/Unit/Annual",(('Operating Assumptions'!$H20*FC$23)*FC$36)/12,IF('Operating Assumptions'!$G20="$/Unit/Month",('Operating Assumptions'!$H20*FC$23)*FC$36,IF('Operating Assumptions'!$G20="Fixed Amount",('Operating Assumptions'!$H20*FC$23)/12))))</f>
        <v>0</v>
      </c>
      <c r="FD54" s="427">
        <f>IF(OR(FD$9&lt;'Operating Assumptions'!$D$53,FD$6&gt;'Operating Assumptions'!$AA$8,'Operating Assumptions'!$G20="N/A"),0,IF('Operating Assumptions'!$G20="$/Unit/Annual",(('Operating Assumptions'!$H20*FD$23)*FD$36)/12,IF('Operating Assumptions'!$G20="$/Unit/Month",('Operating Assumptions'!$H20*FD$23)*FD$36,IF('Operating Assumptions'!$G20="Fixed Amount",('Operating Assumptions'!$H20*FD$23)/12))))</f>
        <v>0</v>
      </c>
      <c r="FE54" s="427">
        <f>IF(OR(FE$9&lt;'Operating Assumptions'!$D$53,FE$6&gt;'Operating Assumptions'!$AA$8,'Operating Assumptions'!$G20="N/A"),0,IF('Operating Assumptions'!$G20="$/Unit/Annual",(('Operating Assumptions'!$H20*FE$23)*FE$36)/12,IF('Operating Assumptions'!$G20="$/Unit/Month",('Operating Assumptions'!$H20*FE$23)*FE$36,IF('Operating Assumptions'!$G20="Fixed Amount",('Operating Assumptions'!$H20*FE$23)/12))))</f>
        <v>0</v>
      </c>
      <c r="FF54" s="427">
        <f>IF(OR(FF$9&lt;'Operating Assumptions'!$D$53,FF$6&gt;'Operating Assumptions'!$AA$8,'Operating Assumptions'!$G20="N/A"),0,IF('Operating Assumptions'!$G20="$/Unit/Annual",(('Operating Assumptions'!$H20*FF$23)*FF$36)/12,IF('Operating Assumptions'!$G20="$/Unit/Month",('Operating Assumptions'!$H20*FF$23)*FF$36,IF('Operating Assumptions'!$G20="Fixed Amount",('Operating Assumptions'!$H20*FF$23)/12))))</f>
        <v>0</v>
      </c>
      <c r="FG54" s="427">
        <f>IF(OR(FG$9&lt;'Operating Assumptions'!$D$53,FG$6&gt;'Operating Assumptions'!$AA$8,'Operating Assumptions'!$G20="N/A"),0,IF('Operating Assumptions'!$G20="$/Unit/Annual",(('Operating Assumptions'!$H20*FG$23)*FG$36)/12,IF('Operating Assumptions'!$G20="$/Unit/Month",('Operating Assumptions'!$H20*FG$23)*FG$36,IF('Operating Assumptions'!$G20="Fixed Amount",('Operating Assumptions'!$H20*FG$23)/12))))</f>
        <v>0</v>
      </c>
      <c r="FH54" s="427">
        <f>IF(OR(FH$9&lt;'Operating Assumptions'!$D$53,FH$6&gt;'Operating Assumptions'!$AA$8,'Operating Assumptions'!$G20="N/A"),0,IF('Operating Assumptions'!$G20="$/Unit/Annual",(('Operating Assumptions'!$H20*FH$23)*FH$36)/12,IF('Operating Assumptions'!$G20="$/Unit/Month",('Operating Assumptions'!$H20*FH$23)*FH$36,IF('Operating Assumptions'!$G20="Fixed Amount",('Operating Assumptions'!$H20*FH$23)/12))))</f>
        <v>0</v>
      </c>
      <c r="FI54" s="427">
        <f>IF(OR(FI$9&lt;'Operating Assumptions'!$D$53,FI$6&gt;'Operating Assumptions'!$AA$8,'Operating Assumptions'!$G20="N/A"),0,IF('Operating Assumptions'!$G20="$/Unit/Annual",(('Operating Assumptions'!$H20*FI$23)*FI$36)/12,IF('Operating Assumptions'!$G20="$/Unit/Month",('Operating Assumptions'!$H20*FI$23)*FI$36,IF('Operating Assumptions'!$G20="Fixed Amount",('Operating Assumptions'!$H20*FI$23)/12))))</f>
        <v>0</v>
      </c>
      <c r="FJ54" s="427">
        <f>IF(OR(FJ$9&lt;'Operating Assumptions'!$D$53,FJ$6&gt;'Operating Assumptions'!$AA$8,'Operating Assumptions'!$G20="N/A"),0,IF('Operating Assumptions'!$G20="$/Unit/Annual",(('Operating Assumptions'!$H20*FJ$23)*FJ$36)/12,IF('Operating Assumptions'!$G20="$/Unit/Month",('Operating Assumptions'!$H20*FJ$23)*FJ$36,IF('Operating Assumptions'!$G20="Fixed Amount",('Operating Assumptions'!$H20*FJ$23)/12))))</f>
        <v>0</v>
      </c>
      <c r="FK54" s="427">
        <f>IF(OR(FK$9&lt;'Operating Assumptions'!$D$53,FK$6&gt;'Operating Assumptions'!$AA$8,'Operating Assumptions'!$G20="N/A"),0,IF('Operating Assumptions'!$G20="$/Unit/Annual",(('Operating Assumptions'!$H20*FK$23)*FK$36)/12,IF('Operating Assumptions'!$G20="$/Unit/Month",('Operating Assumptions'!$H20*FK$23)*FK$36,IF('Operating Assumptions'!$G20="Fixed Amount",('Operating Assumptions'!$H20*FK$23)/12))))</f>
        <v>0</v>
      </c>
      <c r="FL54" s="427">
        <f>IF(OR(FL$9&lt;'Operating Assumptions'!$D$53,FL$6&gt;'Operating Assumptions'!$AA$8,'Operating Assumptions'!$G20="N/A"),0,IF('Operating Assumptions'!$G20="$/Unit/Annual",(('Operating Assumptions'!$H20*FL$23)*FL$36)/12,IF('Operating Assumptions'!$G20="$/Unit/Month",('Operating Assumptions'!$H20*FL$23)*FL$36,IF('Operating Assumptions'!$G20="Fixed Amount",('Operating Assumptions'!$H20*FL$23)/12))))</f>
        <v>0</v>
      </c>
      <c r="FM54" s="427">
        <f>IF(OR(FM$9&lt;'Operating Assumptions'!$D$53,FM$6&gt;'Operating Assumptions'!$AA$8,'Operating Assumptions'!$G20="N/A"),0,IF('Operating Assumptions'!$G20="$/Unit/Annual",(('Operating Assumptions'!$H20*FM$23)*FM$36)/12,IF('Operating Assumptions'!$G20="$/Unit/Month",('Operating Assumptions'!$H20*FM$23)*FM$36,IF('Operating Assumptions'!$G20="Fixed Amount",('Operating Assumptions'!$H20*FM$23)/12))))</f>
        <v>0</v>
      </c>
      <c r="FN54" s="427">
        <f>IF(OR(FN$9&lt;'Operating Assumptions'!$D$53,FN$6&gt;'Operating Assumptions'!$AA$8,'Operating Assumptions'!$G20="N/A"),0,IF('Operating Assumptions'!$G20="$/Unit/Annual",(('Operating Assumptions'!$H20*FN$23)*FN$36)/12,IF('Operating Assumptions'!$G20="$/Unit/Month",('Operating Assumptions'!$H20*FN$23)*FN$36,IF('Operating Assumptions'!$G20="Fixed Amount",('Operating Assumptions'!$H20*FN$23)/12))))</f>
        <v>0</v>
      </c>
      <c r="FO54" s="427">
        <f>IF(OR(FO$9&lt;'Operating Assumptions'!$D$53,FO$6&gt;'Operating Assumptions'!$AA$8,'Operating Assumptions'!$G20="N/A"),0,IF('Operating Assumptions'!$G20="$/Unit/Annual",(('Operating Assumptions'!$H20*FO$23)*FO$36)/12,IF('Operating Assumptions'!$G20="$/Unit/Month",('Operating Assumptions'!$H20*FO$23)*FO$36,IF('Operating Assumptions'!$G20="Fixed Amount",('Operating Assumptions'!$H20*FO$23)/12))))</f>
        <v>0</v>
      </c>
      <c r="FP54" s="427">
        <f>IF(OR(FP$9&lt;'Operating Assumptions'!$D$53,FP$6&gt;'Operating Assumptions'!$AA$8,'Operating Assumptions'!$G20="N/A"),0,IF('Operating Assumptions'!$G20="$/Unit/Annual",(('Operating Assumptions'!$H20*FP$23)*FP$36)/12,IF('Operating Assumptions'!$G20="$/Unit/Month",('Operating Assumptions'!$H20*FP$23)*FP$36,IF('Operating Assumptions'!$G20="Fixed Amount",('Operating Assumptions'!$H20*FP$23)/12))))</f>
        <v>0</v>
      </c>
      <c r="FQ54" s="427">
        <f>IF(OR(FQ$9&lt;'Operating Assumptions'!$D$53,FQ$6&gt;'Operating Assumptions'!$AA$8,'Operating Assumptions'!$G20="N/A"),0,IF('Operating Assumptions'!$G20="$/Unit/Annual",(('Operating Assumptions'!$H20*FQ$23)*FQ$36)/12,IF('Operating Assumptions'!$G20="$/Unit/Month",('Operating Assumptions'!$H20*FQ$23)*FQ$36,IF('Operating Assumptions'!$G20="Fixed Amount",('Operating Assumptions'!$H20*FQ$23)/12))))</f>
        <v>0</v>
      </c>
      <c r="FR54" s="427">
        <f>IF(OR(FR$9&lt;'Operating Assumptions'!$D$53,FR$6&gt;'Operating Assumptions'!$AA$8,'Operating Assumptions'!$G20="N/A"),0,IF('Operating Assumptions'!$G20="$/Unit/Annual",(('Operating Assumptions'!$H20*FR$23)*FR$36)/12,IF('Operating Assumptions'!$G20="$/Unit/Month",('Operating Assumptions'!$H20*FR$23)*FR$36,IF('Operating Assumptions'!$G20="Fixed Amount",('Operating Assumptions'!$H20*FR$23)/12))))</f>
        <v>0</v>
      </c>
      <c r="FS54" s="427">
        <f>IF(OR(FS$9&lt;'Operating Assumptions'!$D$53,FS$6&gt;'Operating Assumptions'!$AA$8,'Operating Assumptions'!$G20="N/A"),0,IF('Operating Assumptions'!$G20="$/Unit/Annual",(('Operating Assumptions'!$H20*FS$23)*FS$36)/12,IF('Operating Assumptions'!$G20="$/Unit/Month",('Operating Assumptions'!$H20*FS$23)*FS$36,IF('Operating Assumptions'!$G20="Fixed Amount",('Operating Assumptions'!$H20*FS$23)/12))))</f>
        <v>0</v>
      </c>
      <c r="FT54" s="427">
        <f>IF(OR(FT$9&lt;'Operating Assumptions'!$D$53,FT$6&gt;'Operating Assumptions'!$AA$8,'Operating Assumptions'!$G20="N/A"),0,IF('Operating Assumptions'!$G20="$/Unit/Annual",(('Operating Assumptions'!$H20*FT$23)*FT$36)/12,IF('Operating Assumptions'!$G20="$/Unit/Month",('Operating Assumptions'!$H20*FT$23)*FT$36,IF('Operating Assumptions'!$G20="Fixed Amount",('Operating Assumptions'!$H20*FT$23)/12))))</f>
        <v>0</v>
      </c>
      <c r="FU54" s="43"/>
      <c r="FV54" s="34"/>
      <c r="FW54" s="34"/>
      <c r="FX54" s="34"/>
      <c r="FY54" s="34"/>
      <c r="FZ54" s="34"/>
    </row>
    <row r="55" spans="1:182" s="89" customFormat="1" ht="13.5" x14ac:dyDescent="0.25">
      <c r="A55" s="34"/>
      <c r="B55" s="128" t="str">
        <f>'Operating Assumptions'!F21</f>
        <v>Blank</v>
      </c>
      <c r="C55" s="34"/>
      <c r="D55" s="34"/>
      <c r="E55" s="34"/>
      <c r="F55" s="434">
        <f t="shared" si="148"/>
        <v>0</v>
      </c>
      <c r="G55" s="34"/>
      <c r="H55" s="427">
        <f>IF(OR(H$9&lt;'Operating Assumptions'!$D$53,H$6&gt;'Operating Assumptions'!$AA$8,'Operating Assumptions'!$G21="N/A"),0,IF('Operating Assumptions'!$G21="$/Unit/Annual",(('Operating Assumptions'!$H21*H$23)*H$36)/12,IF('Operating Assumptions'!$G21="$/Unit/Month",('Operating Assumptions'!$H21*H$23)*H$36,IF('Operating Assumptions'!$G21="Fixed Amount",('Operating Assumptions'!$H21*H$23)/12))))</f>
        <v>0</v>
      </c>
      <c r="I55" s="427">
        <f>IF(OR(I$9&lt;'Operating Assumptions'!$D$53,I$6&gt;'Operating Assumptions'!$AA$8,'Operating Assumptions'!$G21="N/A"),0,IF('Operating Assumptions'!$G21="$/Unit/Annual",(('Operating Assumptions'!$H21*I$23)*I$36)/12,IF('Operating Assumptions'!$G21="$/Unit/Month",('Operating Assumptions'!$H21*I$23)*I$36,IF('Operating Assumptions'!$G21="Fixed Amount",('Operating Assumptions'!$H21*I$23)/12))))</f>
        <v>0</v>
      </c>
      <c r="J55" s="427">
        <f>IF(OR(J$9&lt;'Operating Assumptions'!$D$53,J$6&gt;'Operating Assumptions'!$AA$8,'Operating Assumptions'!$G21="N/A"),0,IF('Operating Assumptions'!$G21="$/Unit/Annual",(('Operating Assumptions'!$H21*J$23)*J$36)/12,IF('Operating Assumptions'!$G21="$/Unit/Month",('Operating Assumptions'!$H21*J$23)*J$36,IF('Operating Assumptions'!$G21="Fixed Amount",('Operating Assumptions'!$H21*J$23)/12))))</f>
        <v>0</v>
      </c>
      <c r="K55" s="427">
        <f>IF(OR(K$9&lt;'Operating Assumptions'!$D$53,K$6&gt;'Operating Assumptions'!$AA$8,'Operating Assumptions'!$G21="N/A"),0,IF('Operating Assumptions'!$G21="$/Unit/Annual",(('Operating Assumptions'!$H21*K$23)*K$36)/12,IF('Operating Assumptions'!$G21="$/Unit/Month",('Operating Assumptions'!$H21*K$23)*K$36,IF('Operating Assumptions'!$G21="Fixed Amount",('Operating Assumptions'!$H21*K$23)/12))))</f>
        <v>0</v>
      </c>
      <c r="L55" s="427">
        <f>IF(OR(L$9&lt;'Operating Assumptions'!$D$53,L$6&gt;'Operating Assumptions'!$AA$8,'Operating Assumptions'!$G21="N/A"),0,IF('Operating Assumptions'!$G21="$/Unit/Annual",(('Operating Assumptions'!$H21*L$23)*L$36)/12,IF('Operating Assumptions'!$G21="$/Unit/Month",('Operating Assumptions'!$H21*L$23)*L$36,IF('Operating Assumptions'!$G21="Fixed Amount",('Operating Assumptions'!$H21*L$23)/12))))</f>
        <v>0</v>
      </c>
      <c r="M55" s="427">
        <f>IF(OR(M$9&lt;'Operating Assumptions'!$D$53,M$6&gt;'Operating Assumptions'!$AA$8,'Operating Assumptions'!$G21="N/A"),0,IF('Operating Assumptions'!$G21="$/Unit/Annual",(('Operating Assumptions'!$H21*M$23)*M$36)/12,IF('Operating Assumptions'!$G21="$/Unit/Month",('Operating Assumptions'!$H21*M$23)*M$36,IF('Operating Assumptions'!$G21="Fixed Amount",('Operating Assumptions'!$H21*M$23)/12))))</f>
        <v>0</v>
      </c>
      <c r="N55" s="427">
        <f>IF(OR(N$9&lt;'Operating Assumptions'!$D$53,N$6&gt;'Operating Assumptions'!$AA$8,'Operating Assumptions'!$G21="N/A"),0,IF('Operating Assumptions'!$G21="$/Unit/Annual",(('Operating Assumptions'!$H21*N$23)*N$36)/12,IF('Operating Assumptions'!$G21="$/Unit/Month",('Operating Assumptions'!$H21*N$23)*N$36,IF('Operating Assumptions'!$G21="Fixed Amount",('Operating Assumptions'!$H21*N$23)/12))))</f>
        <v>0</v>
      </c>
      <c r="O55" s="427">
        <f>IF(OR(O$9&lt;'Operating Assumptions'!$D$53,O$6&gt;'Operating Assumptions'!$AA$8,'Operating Assumptions'!$G21="N/A"),0,IF('Operating Assumptions'!$G21="$/Unit/Annual",(('Operating Assumptions'!$H21*O$23)*O$36)/12,IF('Operating Assumptions'!$G21="$/Unit/Month",('Operating Assumptions'!$H21*O$23)*O$36,IF('Operating Assumptions'!$G21="Fixed Amount",('Operating Assumptions'!$H21*O$23)/12))))</f>
        <v>0</v>
      </c>
      <c r="P55" s="427">
        <f>IF(OR(P$9&lt;'Operating Assumptions'!$D$53,P$6&gt;'Operating Assumptions'!$AA$8,'Operating Assumptions'!$G21="N/A"),0,IF('Operating Assumptions'!$G21="$/Unit/Annual",(('Operating Assumptions'!$H21*P$23)*P$36)/12,IF('Operating Assumptions'!$G21="$/Unit/Month",('Operating Assumptions'!$H21*P$23)*P$36,IF('Operating Assumptions'!$G21="Fixed Amount",('Operating Assumptions'!$H21*P$23)/12))))</f>
        <v>0</v>
      </c>
      <c r="Q55" s="427">
        <f>IF(OR(Q$9&lt;'Operating Assumptions'!$D$53,Q$6&gt;'Operating Assumptions'!$AA$8,'Operating Assumptions'!$G21="N/A"),0,IF('Operating Assumptions'!$G21="$/Unit/Annual",(('Operating Assumptions'!$H21*Q$23)*Q$36)/12,IF('Operating Assumptions'!$G21="$/Unit/Month",('Operating Assumptions'!$H21*Q$23)*Q$36,IF('Operating Assumptions'!$G21="Fixed Amount",('Operating Assumptions'!$H21*Q$23)/12))))</f>
        <v>0</v>
      </c>
      <c r="R55" s="427">
        <f>IF(OR(R$9&lt;'Operating Assumptions'!$D$53,R$6&gt;'Operating Assumptions'!$AA$8,'Operating Assumptions'!$G21="N/A"),0,IF('Operating Assumptions'!$G21="$/Unit/Annual",(('Operating Assumptions'!$H21*R$23)*R$36)/12,IF('Operating Assumptions'!$G21="$/Unit/Month",('Operating Assumptions'!$H21*R$23)*R$36,IF('Operating Assumptions'!$G21="Fixed Amount",('Operating Assumptions'!$H21*R$23)/12))))</f>
        <v>0</v>
      </c>
      <c r="S55" s="427">
        <f>IF(OR(S$9&lt;'Operating Assumptions'!$D$53,S$6&gt;'Operating Assumptions'!$AA$8,'Operating Assumptions'!$G21="N/A"),0,IF('Operating Assumptions'!$G21="$/Unit/Annual",(('Operating Assumptions'!$H21*S$23)*S$36)/12,IF('Operating Assumptions'!$G21="$/Unit/Month",('Operating Assumptions'!$H21*S$23)*S$36,IF('Operating Assumptions'!$G21="Fixed Amount",('Operating Assumptions'!$H21*S$23)/12))))</f>
        <v>0</v>
      </c>
      <c r="T55" s="427">
        <f>IF(OR(T$9&lt;'Operating Assumptions'!$D$53,T$6&gt;'Operating Assumptions'!$AA$8,'Operating Assumptions'!$G21="N/A"),0,IF('Operating Assumptions'!$G21="$/Unit/Annual",(('Operating Assumptions'!$H21*T$23)*T$36)/12,IF('Operating Assumptions'!$G21="$/Unit/Month",('Operating Assumptions'!$H21*T$23)*T$36,IF('Operating Assumptions'!$G21="Fixed Amount",('Operating Assumptions'!$H21*T$23)/12))))</f>
        <v>0</v>
      </c>
      <c r="U55" s="427">
        <f>IF(OR(U$9&lt;'Operating Assumptions'!$D$53,U$6&gt;'Operating Assumptions'!$AA$8,'Operating Assumptions'!$G21="N/A"),0,IF('Operating Assumptions'!$G21="$/Unit/Annual",(('Operating Assumptions'!$H21*U$23)*U$36)/12,IF('Operating Assumptions'!$G21="$/Unit/Month",('Operating Assumptions'!$H21*U$23)*U$36,IF('Operating Assumptions'!$G21="Fixed Amount",('Operating Assumptions'!$H21*U$23)/12))))</f>
        <v>0</v>
      </c>
      <c r="V55" s="427">
        <f>IF(OR(V$9&lt;'Operating Assumptions'!$D$53,V$6&gt;'Operating Assumptions'!$AA$8,'Operating Assumptions'!$G21="N/A"),0,IF('Operating Assumptions'!$G21="$/Unit/Annual",(('Operating Assumptions'!$H21*V$23)*V$36)/12,IF('Operating Assumptions'!$G21="$/Unit/Month",('Operating Assumptions'!$H21*V$23)*V$36,IF('Operating Assumptions'!$G21="Fixed Amount",('Operating Assumptions'!$H21*V$23)/12))))</f>
        <v>0</v>
      </c>
      <c r="W55" s="427">
        <f>IF(OR(W$9&lt;'Operating Assumptions'!$D$53,W$6&gt;'Operating Assumptions'!$AA$8,'Operating Assumptions'!$G21="N/A"),0,IF('Operating Assumptions'!$G21="$/Unit/Annual",(('Operating Assumptions'!$H21*W$23)*W$36)/12,IF('Operating Assumptions'!$G21="$/Unit/Month",('Operating Assumptions'!$H21*W$23)*W$36,IF('Operating Assumptions'!$G21="Fixed Amount",('Operating Assumptions'!$H21*W$23)/12))))</f>
        <v>0</v>
      </c>
      <c r="X55" s="427">
        <f>IF(OR(X$9&lt;'Operating Assumptions'!$D$53,X$6&gt;'Operating Assumptions'!$AA$8,'Operating Assumptions'!$G21="N/A"),0,IF('Operating Assumptions'!$G21="$/Unit/Annual",(('Operating Assumptions'!$H21*X$23)*X$36)/12,IF('Operating Assumptions'!$G21="$/Unit/Month",('Operating Assumptions'!$H21*X$23)*X$36,IF('Operating Assumptions'!$G21="Fixed Amount",('Operating Assumptions'!$H21*X$23)/12))))</f>
        <v>0</v>
      </c>
      <c r="Y55" s="427">
        <f>IF(OR(Y$9&lt;'Operating Assumptions'!$D$53,Y$6&gt;'Operating Assumptions'!$AA$8,'Operating Assumptions'!$G21="N/A"),0,IF('Operating Assumptions'!$G21="$/Unit/Annual",(('Operating Assumptions'!$H21*Y$23)*Y$36)/12,IF('Operating Assumptions'!$G21="$/Unit/Month",('Operating Assumptions'!$H21*Y$23)*Y$36,IF('Operating Assumptions'!$G21="Fixed Amount",('Operating Assumptions'!$H21*Y$23)/12))))</f>
        <v>0</v>
      </c>
      <c r="Z55" s="427">
        <f>IF(OR(Z$9&lt;'Operating Assumptions'!$D$53,Z$6&gt;'Operating Assumptions'!$AA$8,'Operating Assumptions'!$G21="N/A"),0,IF('Operating Assumptions'!$G21="$/Unit/Annual",(('Operating Assumptions'!$H21*Z$23)*Z$36)/12,IF('Operating Assumptions'!$G21="$/Unit/Month",('Operating Assumptions'!$H21*Z$23)*Z$36,IF('Operating Assumptions'!$G21="Fixed Amount",('Operating Assumptions'!$H21*Z$23)/12))))</f>
        <v>0</v>
      </c>
      <c r="AA55" s="427">
        <f>IF(OR(AA$9&lt;'Operating Assumptions'!$D$53,AA$6&gt;'Operating Assumptions'!$AA$8,'Operating Assumptions'!$G21="N/A"),0,IF('Operating Assumptions'!$G21="$/Unit/Annual",(('Operating Assumptions'!$H21*AA$23)*AA$36)/12,IF('Operating Assumptions'!$G21="$/Unit/Month",('Operating Assumptions'!$H21*AA$23)*AA$36,IF('Operating Assumptions'!$G21="Fixed Amount",('Operating Assumptions'!$H21*AA$23)/12))))</f>
        <v>0</v>
      </c>
      <c r="AB55" s="427">
        <f>IF(OR(AB$9&lt;'Operating Assumptions'!$D$53,AB$6&gt;'Operating Assumptions'!$AA$8,'Operating Assumptions'!$G21="N/A"),0,IF('Operating Assumptions'!$G21="$/Unit/Annual",(('Operating Assumptions'!$H21*AB$23)*AB$36)/12,IF('Operating Assumptions'!$G21="$/Unit/Month",('Operating Assumptions'!$H21*AB$23)*AB$36,IF('Operating Assumptions'!$G21="Fixed Amount",('Operating Assumptions'!$H21*AB$23)/12))))</f>
        <v>0</v>
      </c>
      <c r="AC55" s="427">
        <f>IF(OR(AC$9&lt;'Operating Assumptions'!$D$53,AC$6&gt;'Operating Assumptions'!$AA$8,'Operating Assumptions'!$G21="N/A"),0,IF('Operating Assumptions'!$G21="$/Unit/Annual",(('Operating Assumptions'!$H21*AC$23)*AC$36)/12,IF('Operating Assumptions'!$G21="$/Unit/Month",('Operating Assumptions'!$H21*AC$23)*AC$36,IF('Operating Assumptions'!$G21="Fixed Amount",('Operating Assumptions'!$H21*AC$23)/12))))</f>
        <v>0</v>
      </c>
      <c r="AD55" s="427">
        <f>IF(OR(AD$9&lt;'Operating Assumptions'!$D$53,AD$6&gt;'Operating Assumptions'!$AA$8,'Operating Assumptions'!$G21="N/A"),0,IF('Operating Assumptions'!$G21="$/Unit/Annual",(('Operating Assumptions'!$H21*AD$23)*AD$36)/12,IF('Operating Assumptions'!$G21="$/Unit/Month",('Operating Assumptions'!$H21*AD$23)*AD$36,IF('Operating Assumptions'!$G21="Fixed Amount",('Operating Assumptions'!$H21*AD$23)/12))))</f>
        <v>0</v>
      </c>
      <c r="AE55" s="427">
        <f>IF(OR(AE$9&lt;'Operating Assumptions'!$D$53,AE$6&gt;'Operating Assumptions'!$AA$8,'Operating Assumptions'!$G21="N/A"),0,IF('Operating Assumptions'!$G21="$/Unit/Annual",(('Operating Assumptions'!$H21*AE$23)*AE$36)/12,IF('Operating Assumptions'!$G21="$/Unit/Month",('Operating Assumptions'!$H21*AE$23)*AE$36,IF('Operating Assumptions'!$G21="Fixed Amount",('Operating Assumptions'!$H21*AE$23)/12))))</f>
        <v>0</v>
      </c>
      <c r="AF55" s="427">
        <f>IF(OR(AF$9&lt;'Operating Assumptions'!$D$53,AF$6&gt;'Operating Assumptions'!$AA$8,'Operating Assumptions'!$G21="N/A"),0,IF('Operating Assumptions'!$G21="$/Unit/Annual",(('Operating Assumptions'!$H21*AF$23)*AF$36)/12,IF('Operating Assumptions'!$G21="$/Unit/Month",('Operating Assumptions'!$H21*AF$23)*AF$36,IF('Operating Assumptions'!$G21="Fixed Amount",('Operating Assumptions'!$H21*AF$23)/12))))</f>
        <v>0</v>
      </c>
      <c r="AG55" s="427">
        <f>IF(OR(AG$9&lt;'Operating Assumptions'!$D$53,AG$6&gt;'Operating Assumptions'!$AA$8,'Operating Assumptions'!$G21="N/A"),0,IF('Operating Assumptions'!$G21="$/Unit/Annual",(('Operating Assumptions'!$H21*AG$23)*AG$36)/12,IF('Operating Assumptions'!$G21="$/Unit/Month",('Operating Assumptions'!$H21*AG$23)*AG$36,IF('Operating Assumptions'!$G21="Fixed Amount",('Operating Assumptions'!$H21*AG$23)/12))))</f>
        <v>0</v>
      </c>
      <c r="AH55" s="427">
        <f>IF(OR(AH$9&lt;'Operating Assumptions'!$D$53,AH$6&gt;'Operating Assumptions'!$AA$8,'Operating Assumptions'!$G21="N/A"),0,IF('Operating Assumptions'!$G21="$/Unit/Annual",(('Operating Assumptions'!$H21*AH$23)*AH$36)/12,IF('Operating Assumptions'!$G21="$/Unit/Month",('Operating Assumptions'!$H21*AH$23)*AH$36,IF('Operating Assumptions'!$G21="Fixed Amount",('Operating Assumptions'!$H21*AH$23)/12))))</f>
        <v>0</v>
      </c>
      <c r="AI55" s="427">
        <f>IF(OR(AI$9&lt;'Operating Assumptions'!$D$53,AI$6&gt;'Operating Assumptions'!$AA$8,'Operating Assumptions'!$G21="N/A"),0,IF('Operating Assumptions'!$G21="$/Unit/Annual",(('Operating Assumptions'!$H21*AI$23)*AI$36)/12,IF('Operating Assumptions'!$G21="$/Unit/Month",('Operating Assumptions'!$H21*AI$23)*AI$36,IF('Operating Assumptions'!$G21="Fixed Amount",('Operating Assumptions'!$H21*AI$23)/12))))</f>
        <v>0</v>
      </c>
      <c r="AJ55" s="427">
        <f>IF(OR(AJ$9&lt;'Operating Assumptions'!$D$53,AJ$6&gt;'Operating Assumptions'!$AA$8,'Operating Assumptions'!$G21="N/A"),0,IF('Operating Assumptions'!$G21="$/Unit/Annual",(('Operating Assumptions'!$H21*AJ$23)*AJ$36)/12,IF('Operating Assumptions'!$G21="$/Unit/Month",('Operating Assumptions'!$H21*AJ$23)*AJ$36,IF('Operating Assumptions'!$G21="Fixed Amount",('Operating Assumptions'!$H21*AJ$23)/12))))</f>
        <v>0</v>
      </c>
      <c r="AK55" s="427">
        <f>IF(OR(AK$9&lt;'Operating Assumptions'!$D$53,AK$6&gt;'Operating Assumptions'!$AA$8,'Operating Assumptions'!$G21="N/A"),0,IF('Operating Assumptions'!$G21="$/Unit/Annual",(('Operating Assumptions'!$H21*AK$23)*AK$36)/12,IF('Operating Assumptions'!$G21="$/Unit/Month",('Operating Assumptions'!$H21*AK$23)*AK$36,IF('Operating Assumptions'!$G21="Fixed Amount",('Operating Assumptions'!$H21*AK$23)/12))))</f>
        <v>0</v>
      </c>
      <c r="AL55" s="427">
        <f>IF(OR(AL$9&lt;'Operating Assumptions'!$D$53,AL$6&gt;'Operating Assumptions'!$AA$8,'Operating Assumptions'!$G21="N/A"),0,IF('Operating Assumptions'!$G21="$/Unit/Annual",(('Operating Assumptions'!$H21*AL$23)*AL$36)/12,IF('Operating Assumptions'!$G21="$/Unit/Month",('Operating Assumptions'!$H21*AL$23)*AL$36,IF('Operating Assumptions'!$G21="Fixed Amount",('Operating Assumptions'!$H21*AL$23)/12))))</f>
        <v>0</v>
      </c>
      <c r="AM55" s="427">
        <f>IF(OR(AM$9&lt;'Operating Assumptions'!$D$53,AM$6&gt;'Operating Assumptions'!$AA$8,'Operating Assumptions'!$G21="N/A"),0,IF('Operating Assumptions'!$G21="$/Unit/Annual",(('Operating Assumptions'!$H21*AM$23)*AM$36)/12,IF('Operating Assumptions'!$G21="$/Unit/Month",('Operating Assumptions'!$H21*AM$23)*AM$36,IF('Operating Assumptions'!$G21="Fixed Amount",('Operating Assumptions'!$H21*AM$23)/12))))</f>
        <v>0</v>
      </c>
      <c r="AN55" s="427">
        <f>IF(OR(AN$9&lt;'Operating Assumptions'!$D$53,AN$6&gt;'Operating Assumptions'!$AA$8,'Operating Assumptions'!$G21="N/A"),0,IF('Operating Assumptions'!$G21="$/Unit/Annual",(('Operating Assumptions'!$H21*AN$23)*AN$36)/12,IF('Operating Assumptions'!$G21="$/Unit/Month",('Operating Assumptions'!$H21*AN$23)*AN$36,IF('Operating Assumptions'!$G21="Fixed Amount",('Operating Assumptions'!$H21*AN$23)/12))))</f>
        <v>0</v>
      </c>
      <c r="AO55" s="427">
        <f>IF(OR(AO$9&lt;'Operating Assumptions'!$D$53,AO$6&gt;'Operating Assumptions'!$AA$8,'Operating Assumptions'!$G21="N/A"),0,IF('Operating Assumptions'!$G21="$/Unit/Annual",(('Operating Assumptions'!$H21*AO$23)*AO$36)/12,IF('Operating Assumptions'!$G21="$/Unit/Month",('Operating Assumptions'!$H21*AO$23)*AO$36,IF('Operating Assumptions'!$G21="Fixed Amount",('Operating Assumptions'!$H21*AO$23)/12))))</f>
        <v>0</v>
      </c>
      <c r="AP55" s="427">
        <f>IF(OR(AP$9&lt;'Operating Assumptions'!$D$53,AP$6&gt;'Operating Assumptions'!$AA$8,'Operating Assumptions'!$G21="N/A"),0,IF('Operating Assumptions'!$G21="$/Unit/Annual",(('Operating Assumptions'!$H21*AP$23)*AP$36)/12,IF('Operating Assumptions'!$G21="$/Unit/Month",('Operating Assumptions'!$H21*AP$23)*AP$36,IF('Operating Assumptions'!$G21="Fixed Amount",('Operating Assumptions'!$H21*AP$23)/12))))</f>
        <v>0</v>
      </c>
      <c r="AQ55" s="427">
        <f>IF(OR(AQ$9&lt;'Operating Assumptions'!$D$53,AQ$6&gt;'Operating Assumptions'!$AA$8,'Operating Assumptions'!$G21="N/A"),0,IF('Operating Assumptions'!$G21="$/Unit/Annual",(('Operating Assumptions'!$H21*AQ$23)*AQ$36)/12,IF('Operating Assumptions'!$G21="$/Unit/Month",('Operating Assumptions'!$H21*AQ$23)*AQ$36,IF('Operating Assumptions'!$G21="Fixed Amount",('Operating Assumptions'!$H21*AQ$23)/12))))</f>
        <v>0</v>
      </c>
      <c r="AR55" s="427">
        <f>IF(OR(AR$9&lt;'Operating Assumptions'!$D$53,AR$6&gt;'Operating Assumptions'!$AA$8,'Operating Assumptions'!$G21="N/A"),0,IF('Operating Assumptions'!$G21="$/Unit/Annual",(('Operating Assumptions'!$H21*AR$23)*AR$36)/12,IF('Operating Assumptions'!$G21="$/Unit/Month",('Operating Assumptions'!$H21*AR$23)*AR$36,IF('Operating Assumptions'!$G21="Fixed Amount",('Operating Assumptions'!$H21*AR$23)/12))))</f>
        <v>0</v>
      </c>
      <c r="AS55" s="427">
        <f>IF(OR(AS$9&lt;'Operating Assumptions'!$D$53,AS$6&gt;'Operating Assumptions'!$AA$8,'Operating Assumptions'!$G21="N/A"),0,IF('Operating Assumptions'!$G21="$/Unit/Annual",(('Operating Assumptions'!$H21*AS$23)*AS$36)/12,IF('Operating Assumptions'!$G21="$/Unit/Month",('Operating Assumptions'!$H21*AS$23)*AS$36,IF('Operating Assumptions'!$G21="Fixed Amount",('Operating Assumptions'!$H21*AS$23)/12))))</f>
        <v>0</v>
      </c>
      <c r="AT55" s="427">
        <f>IF(OR(AT$9&lt;'Operating Assumptions'!$D$53,AT$6&gt;'Operating Assumptions'!$AA$8,'Operating Assumptions'!$G21="N/A"),0,IF('Operating Assumptions'!$G21="$/Unit/Annual",(('Operating Assumptions'!$H21*AT$23)*AT$36)/12,IF('Operating Assumptions'!$G21="$/Unit/Month",('Operating Assumptions'!$H21*AT$23)*AT$36,IF('Operating Assumptions'!$G21="Fixed Amount",('Operating Assumptions'!$H21*AT$23)/12))))</f>
        <v>0</v>
      </c>
      <c r="AU55" s="427">
        <f>IF(OR(AU$9&lt;'Operating Assumptions'!$D$53,AU$6&gt;'Operating Assumptions'!$AA$8,'Operating Assumptions'!$G21="N/A"),0,IF('Operating Assumptions'!$G21="$/Unit/Annual",(('Operating Assumptions'!$H21*AU$23)*AU$36)/12,IF('Operating Assumptions'!$G21="$/Unit/Month",('Operating Assumptions'!$H21*AU$23)*AU$36,IF('Operating Assumptions'!$G21="Fixed Amount",('Operating Assumptions'!$H21*AU$23)/12))))</f>
        <v>0</v>
      </c>
      <c r="AV55" s="427">
        <f>IF(OR(AV$9&lt;'Operating Assumptions'!$D$53,AV$6&gt;'Operating Assumptions'!$AA$8,'Operating Assumptions'!$G21="N/A"),0,IF('Operating Assumptions'!$G21="$/Unit/Annual",(('Operating Assumptions'!$H21*AV$23)*AV$36)/12,IF('Operating Assumptions'!$G21="$/Unit/Month",('Operating Assumptions'!$H21*AV$23)*AV$36,IF('Operating Assumptions'!$G21="Fixed Amount",('Operating Assumptions'!$H21*AV$23)/12))))</f>
        <v>0</v>
      </c>
      <c r="AW55" s="427">
        <f>IF(OR(AW$9&lt;'Operating Assumptions'!$D$53,AW$6&gt;'Operating Assumptions'!$AA$8,'Operating Assumptions'!$G21="N/A"),0,IF('Operating Assumptions'!$G21="$/Unit/Annual",(('Operating Assumptions'!$H21*AW$23)*AW$36)/12,IF('Operating Assumptions'!$G21="$/Unit/Month",('Operating Assumptions'!$H21*AW$23)*AW$36,IF('Operating Assumptions'!$G21="Fixed Amount",('Operating Assumptions'!$H21*AW$23)/12))))</f>
        <v>0</v>
      </c>
      <c r="AX55" s="427">
        <f>IF(OR(AX$9&lt;'Operating Assumptions'!$D$53,AX$6&gt;'Operating Assumptions'!$AA$8,'Operating Assumptions'!$G21="N/A"),0,IF('Operating Assumptions'!$G21="$/Unit/Annual",(('Operating Assumptions'!$H21*AX$23)*AX$36)/12,IF('Operating Assumptions'!$G21="$/Unit/Month",('Operating Assumptions'!$H21*AX$23)*AX$36,IF('Operating Assumptions'!$G21="Fixed Amount",('Operating Assumptions'!$H21*AX$23)/12))))</f>
        <v>0</v>
      </c>
      <c r="AY55" s="427">
        <f>IF(OR(AY$9&lt;'Operating Assumptions'!$D$53,AY$6&gt;'Operating Assumptions'!$AA$8,'Operating Assumptions'!$G21="N/A"),0,IF('Operating Assumptions'!$G21="$/Unit/Annual",(('Operating Assumptions'!$H21*AY$23)*AY$36)/12,IF('Operating Assumptions'!$G21="$/Unit/Month",('Operating Assumptions'!$H21*AY$23)*AY$36,IF('Operating Assumptions'!$G21="Fixed Amount",('Operating Assumptions'!$H21*AY$23)/12))))</f>
        <v>0</v>
      </c>
      <c r="AZ55" s="427">
        <f>IF(OR(AZ$9&lt;'Operating Assumptions'!$D$53,AZ$6&gt;'Operating Assumptions'!$AA$8,'Operating Assumptions'!$G21="N/A"),0,IF('Operating Assumptions'!$G21="$/Unit/Annual",(('Operating Assumptions'!$H21*AZ$23)*AZ$36)/12,IF('Operating Assumptions'!$G21="$/Unit/Month",('Operating Assumptions'!$H21*AZ$23)*AZ$36,IF('Operating Assumptions'!$G21="Fixed Amount",('Operating Assumptions'!$H21*AZ$23)/12))))</f>
        <v>0</v>
      </c>
      <c r="BA55" s="427">
        <f>IF(OR(BA$9&lt;'Operating Assumptions'!$D$53,BA$6&gt;'Operating Assumptions'!$AA$8,'Operating Assumptions'!$G21="N/A"),0,IF('Operating Assumptions'!$G21="$/Unit/Annual",(('Operating Assumptions'!$H21*BA$23)*BA$36)/12,IF('Operating Assumptions'!$G21="$/Unit/Month",('Operating Assumptions'!$H21*BA$23)*BA$36,IF('Operating Assumptions'!$G21="Fixed Amount",('Operating Assumptions'!$H21*BA$23)/12))))</f>
        <v>0</v>
      </c>
      <c r="BB55" s="427">
        <f>IF(OR(BB$9&lt;'Operating Assumptions'!$D$53,BB$6&gt;'Operating Assumptions'!$AA$8,'Operating Assumptions'!$G21="N/A"),0,IF('Operating Assumptions'!$G21="$/Unit/Annual",(('Operating Assumptions'!$H21*BB$23)*BB$36)/12,IF('Operating Assumptions'!$G21="$/Unit/Month",('Operating Assumptions'!$H21*BB$23)*BB$36,IF('Operating Assumptions'!$G21="Fixed Amount",('Operating Assumptions'!$H21*BB$23)/12))))</f>
        <v>0</v>
      </c>
      <c r="BC55" s="427">
        <f>IF(OR(BC$9&lt;'Operating Assumptions'!$D$53,BC$6&gt;'Operating Assumptions'!$AA$8,'Operating Assumptions'!$G21="N/A"),0,IF('Operating Assumptions'!$G21="$/Unit/Annual",(('Operating Assumptions'!$H21*BC$23)*BC$36)/12,IF('Operating Assumptions'!$G21="$/Unit/Month",('Operating Assumptions'!$H21*BC$23)*BC$36,IF('Operating Assumptions'!$G21="Fixed Amount",('Operating Assumptions'!$H21*BC$23)/12))))</f>
        <v>0</v>
      </c>
      <c r="BD55" s="427">
        <f>IF(OR(BD$9&lt;'Operating Assumptions'!$D$53,BD$6&gt;'Operating Assumptions'!$AA$8,'Operating Assumptions'!$G21="N/A"),0,IF('Operating Assumptions'!$G21="$/Unit/Annual",(('Operating Assumptions'!$H21*BD$23)*BD$36)/12,IF('Operating Assumptions'!$G21="$/Unit/Month",('Operating Assumptions'!$H21*BD$23)*BD$36,IF('Operating Assumptions'!$G21="Fixed Amount",('Operating Assumptions'!$H21*BD$23)/12))))</f>
        <v>0</v>
      </c>
      <c r="BE55" s="427">
        <f>IF(OR(BE$9&lt;'Operating Assumptions'!$D$53,BE$6&gt;'Operating Assumptions'!$AA$8,'Operating Assumptions'!$G21="N/A"),0,IF('Operating Assumptions'!$G21="$/Unit/Annual",(('Operating Assumptions'!$H21*BE$23)*BE$36)/12,IF('Operating Assumptions'!$G21="$/Unit/Month",('Operating Assumptions'!$H21*BE$23)*BE$36,IF('Operating Assumptions'!$G21="Fixed Amount",('Operating Assumptions'!$H21*BE$23)/12))))</f>
        <v>0</v>
      </c>
      <c r="BF55" s="427">
        <f>IF(OR(BF$9&lt;'Operating Assumptions'!$D$53,BF$6&gt;'Operating Assumptions'!$AA$8,'Operating Assumptions'!$G21="N/A"),0,IF('Operating Assumptions'!$G21="$/Unit/Annual",(('Operating Assumptions'!$H21*BF$23)*BF$36)/12,IF('Operating Assumptions'!$G21="$/Unit/Month",('Operating Assumptions'!$H21*BF$23)*BF$36,IF('Operating Assumptions'!$G21="Fixed Amount",('Operating Assumptions'!$H21*BF$23)/12))))</f>
        <v>0</v>
      </c>
      <c r="BG55" s="427">
        <f>IF(OR(BG$9&lt;'Operating Assumptions'!$D$53,BG$6&gt;'Operating Assumptions'!$AA$8,'Operating Assumptions'!$G21="N/A"),0,IF('Operating Assumptions'!$G21="$/Unit/Annual",(('Operating Assumptions'!$H21*BG$23)*BG$36)/12,IF('Operating Assumptions'!$G21="$/Unit/Month",('Operating Assumptions'!$H21*BG$23)*BG$36,IF('Operating Assumptions'!$G21="Fixed Amount",('Operating Assumptions'!$H21*BG$23)/12))))</f>
        <v>0</v>
      </c>
      <c r="BH55" s="427">
        <f>IF(OR(BH$9&lt;'Operating Assumptions'!$D$53,BH$6&gt;'Operating Assumptions'!$AA$8,'Operating Assumptions'!$G21="N/A"),0,IF('Operating Assumptions'!$G21="$/Unit/Annual",(('Operating Assumptions'!$H21*BH$23)*BH$36)/12,IF('Operating Assumptions'!$G21="$/Unit/Month",('Operating Assumptions'!$H21*BH$23)*BH$36,IF('Operating Assumptions'!$G21="Fixed Amount",('Operating Assumptions'!$H21*BH$23)/12))))</f>
        <v>0</v>
      </c>
      <c r="BI55" s="427">
        <f>IF(OR(BI$9&lt;'Operating Assumptions'!$D$53,BI$6&gt;'Operating Assumptions'!$AA$8,'Operating Assumptions'!$G21="N/A"),0,IF('Operating Assumptions'!$G21="$/Unit/Annual",(('Operating Assumptions'!$H21*BI$23)*BI$36)/12,IF('Operating Assumptions'!$G21="$/Unit/Month",('Operating Assumptions'!$H21*BI$23)*BI$36,IF('Operating Assumptions'!$G21="Fixed Amount",('Operating Assumptions'!$H21*BI$23)/12))))</f>
        <v>0</v>
      </c>
      <c r="BJ55" s="427">
        <f>IF(OR(BJ$9&lt;'Operating Assumptions'!$D$53,BJ$6&gt;'Operating Assumptions'!$AA$8,'Operating Assumptions'!$G21="N/A"),0,IF('Operating Assumptions'!$G21="$/Unit/Annual",(('Operating Assumptions'!$H21*BJ$23)*BJ$36)/12,IF('Operating Assumptions'!$G21="$/Unit/Month",('Operating Assumptions'!$H21*BJ$23)*BJ$36,IF('Operating Assumptions'!$G21="Fixed Amount",('Operating Assumptions'!$H21*BJ$23)/12))))</f>
        <v>0</v>
      </c>
      <c r="BK55" s="427">
        <f>IF(OR(BK$9&lt;'Operating Assumptions'!$D$53,BK$6&gt;'Operating Assumptions'!$AA$8,'Operating Assumptions'!$G21="N/A"),0,IF('Operating Assumptions'!$G21="$/Unit/Annual",(('Operating Assumptions'!$H21*BK$23)*BK$36)/12,IF('Operating Assumptions'!$G21="$/Unit/Month",('Operating Assumptions'!$H21*BK$23)*BK$36,IF('Operating Assumptions'!$G21="Fixed Amount",('Operating Assumptions'!$H21*BK$23)/12))))</f>
        <v>0</v>
      </c>
      <c r="BL55" s="427">
        <f>IF(OR(BL$9&lt;'Operating Assumptions'!$D$53,BL$6&gt;'Operating Assumptions'!$AA$8,'Operating Assumptions'!$G21="N/A"),0,IF('Operating Assumptions'!$G21="$/Unit/Annual",(('Operating Assumptions'!$H21*BL$23)*BL$36)/12,IF('Operating Assumptions'!$G21="$/Unit/Month",('Operating Assumptions'!$H21*BL$23)*BL$36,IF('Operating Assumptions'!$G21="Fixed Amount",('Operating Assumptions'!$H21*BL$23)/12))))</f>
        <v>0</v>
      </c>
      <c r="BM55" s="427">
        <f>IF(OR(BM$9&lt;'Operating Assumptions'!$D$53,BM$6&gt;'Operating Assumptions'!$AA$8,'Operating Assumptions'!$G21="N/A"),0,IF('Operating Assumptions'!$G21="$/Unit/Annual",(('Operating Assumptions'!$H21*BM$23)*BM$36)/12,IF('Operating Assumptions'!$G21="$/Unit/Month",('Operating Assumptions'!$H21*BM$23)*BM$36,IF('Operating Assumptions'!$G21="Fixed Amount",('Operating Assumptions'!$H21*BM$23)/12))))</f>
        <v>0</v>
      </c>
      <c r="BN55" s="427">
        <f>IF(OR(BN$9&lt;'Operating Assumptions'!$D$53,BN$6&gt;'Operating Assumptions'!$AA$8,'Operating Assumptions'!$G21="N/A"),0,IF('Operating Assumptions'!$G21="$/Unit/Annual",(('Operating Assumptions'!$H21*BN$23)*BN$36)/12,IF('Operating Assumptions'!$G21="$/Unit/Month",('Operating Assumptions'!$H21*BN$23)*BN$36,IF('Operating Assumptions'!$G21="Fixed Amount",('Operating Assumptions'!$H21*BN$23)/12))))</f>
        <v>0</v>
      </c>
      <c r="BO55" s="427">
        <f>IF(OR(BO$9&lt;'Operating Assumptions'!$D$53,BO$6&gt;'Operating Assumptions'!$AA$8,'Operating Assumptions'!$G21="N/A"),0,IF('Operating Assumptions'!$G21="$/Unit/Annual",(('Operating Assumptions'!$H21*BO$23)*BO$36)/12,IF('Operating Assumptions'!$G21="$/Unit/Month",('Operating Assumptions'!$H21*BO$23)*BO$36,IF('Operating Assumptions'!$G21="Fixed Amount",('Operating Assumptions'!$H21*BO$23)/12))))</f>
        <v>0</v>
      </c>
      <c r="BP55" s="427">
        <f>IF(OR(BP$9&lt;'Operating Assumptions'!$D$53,BP$6&gt;'Operating Assumptions'!$AA$8,'Operating Assumptions'!$G21="N/A"),0,IF('Operating Assumptions'!$G21="$/Unit/Annual",(('Operating Assumptions'!$H21*BP$23)*BP$36)/12,IF('Operating Assumptions'!$G21="$/Unit/Month",('Operating Assumptions'!$H21*BP$23)*BP$36,IF('Operating Assumptions'!$G21="Fixed Amount",('Operating Assumptions'!$H21*BP$23)/12))))</f>
        <v>0</v>
      </c>
      <c r="BQ55" s="427">
        <f>IF(OR(BQ$9&lt;'Operating Assumptions'!$D$53,BQ$6&gt;'Operating Assumptions'!$AA$8,'Operating Assumptions'!$G21="N/A"),0,IF('Operating Assumptions'!$G21="$/Unit/Annual",(('Operating Assumptions'!$H21*BQ$23)*BQ$36)/12,IF('Operating Assumptions'!$G21="$/Unit/Month",('Operating Assumptions'!$H21*BQ$23)*BQ$36,IF('Operating Assumptions'!$G21="Fixed Amount",('Operating Assumptions'!$H21*BQ$23)/12))))</f>
        <v>0</v>
      </c>
      <c r="BR55" s="427">
        <f>IF(OR(BR$9&lt;'Operating Assumptions'!$D$53,BR$6&gt;'Operating Assumptions'!$AA$8,'Operating Assumptions'!$G21="N/A"),0,IF('Operating Assumptions'!$G21="$/Unit/Annual",(('Operating Assumptions'!$H21*BR$23)*BR$36)/12,IF('Operating Assumptions'!$G21="$/Unit/Month",('Operating Assumptions'!$H21*BR$23)*BR$36,IF('Operating Assumptions'!$G21="Fixed Amount",('Operating Assumptions'!$H21*BR$23)/12))))</f>
        <v>0</v>
      </c>
      <c r="BS55" s="427">
        <f>IF(OR(BS$9&lt;'Operating Assumptions'!$D$53,BS$6&gt;'Operating Assumptions'!$AA$8,'Operating Assumptions'!$G21="N/A"),0,IF('Operating Assumptions'!$G21="$/Unit/Annual",(('Operating Assumptions'!$H21*BS$23)*BS$36)/12,IF('Operating Assumptions'!$G21="$/Unit/Month",('Operating Assumptions'!$H21*BS$23)*BS$36,IF('Operating Assumptions'!$G21="Fixed Amount",('Operating Assumptions'!$H21*BS$23)/12))))</f>
        <v>0</v>
      </c>
      <c r="BT55" s="427">
        <f>IF(OR(BT$9&lt;'Operating Assumptions'!$D$53,BT$6&gt;'Operating Assumptions'!$AA$8,'Operating Assumptions'!$G21="N/A"),0,IF('Operating Assumptions'!$G21="$/Unit/Annual",(('Operating Assumptions'!$H21*BT$23)*BT$36)/12,IF('Operating Assumptions'!$G21="$/Unit/Month",('Operating Assumptions'!$H21*BT$23)*BT$36,IF('Operating Assumptions'!$G21="Fixed Amount",('Operating Assumptions'!$H21*BT$23)/12))))</f>
        <v>0</v>
      </c>
      <c r="BU55" s="427">
        <f>IF(OR(BU$9&lt;'Operating Assumptions'!$D$53,BU$6&gt;'Operating Assumptions'!$AA$8,'Operating Assumptions'!$G21="N/A"),0,IF('Operating Assumptions'!$G21="$/Unit/Annual",(('Operating Assumptions'!$H21*BU$23)*BU$36)/12,IF('Operating Assumptions'!$G21="$/Unit/Month",('Operating Assumptions'!$H21*BU$23)*BU$36,IF('Operating Assumptions'!$G21="Fixed Amount",('Operating Assumptions'!$H21*BU$23)/12))))</f>
        <v>0</v>
      </c>
      <c r="BV55" s="427">
        <f>IF(OR(BV$9&lt;'Operating Assumptions'!$D$53,BV$6&gt;'Operating Assumptions'!$AA$8,'Operating Assumptions'!$G21="N/A"),0,IF('Operating Assumptions'!$G21="$/Unit/Annual",(('Operating Assumptions'!$H21*BV$23)*BV$36)/12,IF('Operating Assumptions'!$G21="$/Unit/Month",('Operating Assumptions'!$H21*BV$23)*BV$36,IF('Operating Assumptions'!$G21="Fixed Amount",('Operating Assumptions'!$H21*BV$23)/12))))</f>
        <v>0</v>
      </c>
      <c r="BW55" s="427">
        <f>IF(OR(BW$9&lt;'Operating Assumptions'!$D$53,BW$6&gt;'Operating Assumptions'!$AA$8,'Operating Assumptions'!$G21="N/A"),0,IF('Operating Assumptions'!$G21="$/Unit/Annual",(('Operating Assumptions'!$H21*BW$23)*BW$36)/12,IF('Operating Assumptions'!$G21="$/Unit/Month",('Operating Assumptions'!$H21*BW$23)*BW$36,IF('Operating Assumptions'!$G21="Fixed Amount",('Operating Assumptions'!$H21*BW$23)/12))))</f>
        <v>0</v>
      </c>
      <c r="BX55" s="427">
        <f>IF(OR(BX$9&lt;'Operating Assumptions'!$D$53,BX$6&gt;'Operating Assumptions'!$AA$8,'Operating Assumptions'!$G21="N/A"),0,IF('Operating Assumptions'!$G21="$/Unit/Annual",(('Operating Assumptions'!$H21*BX$23)*BX$36)/12,IF('Operating Assumptions'!$G21="$/Unit/Month",('Operating Assumptions'!$H21*BX$23)*BX$36,IF('Operating Assumptions'!$G21="Fixed Amount",('Operating Assumptions'!$H21*BX$23)/12))))</f>
        <v>0</v>
      </c>
      <c r="BY55" s="427">
        <f>IF(OR(BY$9&lt;'Operating Assumptions'!$D$53,BY$6&gt;'Operating Assumptions'!$AA$8,'Operating Assumptions'!$G21="N/A"),0,IF('Operating Assumptions'!$G21="$/Unit/Annual",(('Operating Assumptions'!$H21*BY$23)*BY$36)/12,IF('Operating Assumptions'!$G21="$/Unit/Month",('Operating Assumptions'!$H21*BY$23)*BY$36,IF('Operating Assumptions'!$G21="Fixed Amount",('Operating Assumptions'!$H21*BY$23)/12))))</f>
        <v>0</v>
      </c>
      <c r="BZ55" s="427">
        <f>IF(OR(BZ$9&lt;'Operating Assumptions'!$D$53,BZ$6&gt;'Operating Assumptions'!$AA$8,'Operating Assumptions'!$G21="N/A"),0,IF('Operating Assumptions'!$G21="$/Unit/Annual",(('Operating Assumptions'!$H21*BZ$23)*BZ$36)/12,IF('Operating Assumptions'!$G21="$/Unit/Month",('Operating Assumptions'!$H21*BZ$23)*BZ$36,IF('Operating Assumptions'!$G21="Fixed Amount",('Operating Assumptions'!$H21*BZ$23)/12))))</f>
        <v>0</v>
      </c>
      <c r="CA55" s="427">
        <f>IF(OR(CA$9&lt;'Operating Assumptions'!$D$53,CA$6&gt;'Operating Assumptions'!$AA$8,'Operating Assumptions'!$G21="N/A"),0,IF('Operating Assumptions'!$G21="$/Unit/Annual",(('Operating Assumptions'!$H21*CA$23)*CA$36)/12,IF('Operating Assumptions'!$G21="$/Unit/Month",('Operating Assumptions'!$H21*CA$23)*CA$36,IF('Operating Assumptions'!$G21="Fixed Amount",('Operating Assumptions'!$H21*CA$23)/12))))</f>
        <v>0</v>
      </c>
      <c r="CB55" s="427">
        <f>IF(OR(CB$9&lt;'Operating Assumptions'!$D$53,CB$6&gt;'Operating Assumptions'!$AA$8,'Operating Assumptions'!$G21="N/A"),0,IF('Operating Assumptions'!$G21="$/Unit/Annual",(('Operating Assumptions'!$H21*CB$23)*CB$36)/12,IF('Operating Assumptions'!$G21="$/Unit/Month",('Operating Assumptions'!$H21*CB$23)*CB$36,IF('Operating Assumptions'!$G21="Fixed Amount",('Operating Assumptions'!$H21*CB$23)/12))))</f>
        <v>0</v>
      </c>
      <c r="CC55" s="427">
        <f>IF(OR(CC$9&lt;'Operating Assumptions'!$D$53,CC$6&gt;'Operating Assumptions'!$AA$8,'Operating Assumptions'!$G21="N/A"),0,IF('Operating Assumptions'!$G21="$/Unit/Annual",(('Operating Assumptions'!$H21*CC$23)*CC$36)/12,IF('Operating Assumptions'!$G21="$/Unit/Month",('Operating Assumptions'!$H21*CC$23)*CC$36,IF('Operating Assumptions'!$G21="Fixed Amount",('Operating Assumptions'!$H21*CC$23)/12))))</f>
        <v>0</v>
      </c>
      <c r="CD55" s="427">
        <f>IF(OR(CD$9&lt;'Operating Assumptions'!$D$53,CD$6&gt;'Operating Assumptions'!$AA$8,'Operating Assumptions'!$G21="N/A"),0,IF('Operating Assumptions'!$G21="$/Unit/Annual",(('Operating Assumptions'!$H21*CD$23)*CD$36)/12,IF('Operating Assumptions'!$G21="$/Unit/Month",('Operating Assumptions'!$H21*CD$23)*CD$36,IF('Operating Assumptions'!$G21="Fixed Amount",('Operating Assumptions'!$H21*CD$23)/12))))</f>
        <v>0</v>
      </c>
      <c r="CE55" s="427">
        <f>IF(OR(CE$9&lt;'Operating Assumptions'!$D$53,CE$6&gt;'Operating Assumptions'!$AA$8,'Operating Assumptions'!$G21="N/A"),0,IF('Operating Assumptions'!$G21="$/Unit/Annual",(('Operating Assumptions'!$H21*CE$23)*CE$36)/12,IF('Operating Assumptions'!$G21="$/Unit/Month",('Operating Assumptions'!$H21*CE$23)*CE$36,IF('Operating Assumptions'!$G21="Fixed Amount",('Operating Assumptions'!$H21*CE$23)/12))))</f>
        <v>0</v>
      </c>
      <c r="CF55" s="427">
        <f>IF(OR(CF$9&lt;'Operating Assumptions'!$D$53,CF$6&gt;'Operating Assumptions'!$AA$8,'Operating Assumptions'!$G21="N/A"),0,IF('Operating Assumptions'!$G21="$/Unit/Annual",(('Operating Assumptions'!$H21*CF$23)*CF$36)/12,IF('Operating Assumptions'!$G21="$/Unit/Month",('Operating Assumptions'!$H21*CF$23)*CF$36,IF('Operating Assumptions'!$G21="Fixed Amount",('Operating Assumptions'!$H21*CF$23)/12))))</f>
        <v>0</v>
      </c>
      <c r="CG55" s="427">
        <f>IF(OR(CG$9&lt;'Operating Assumptions'!$D$53,CG$6&gt;'Operating Assumptions'!$AA$8,'Operating Assumptions'!$G21="N/A"),0,IF('Operating Assumptions'!$G21="$/Unit/Annual",(('Operating Assumptions'!$H21*CG$23)*CG$36)/12,IF('Operating Assumptions'!$G21="$/Unit/Month",('Operating Assumptions'!$H21*CG$23)*CG$36,IF('Operating Assumptions'!$G21="Fixed Amount",('Operating Assumptions'!$H21*CG$23)/12))))</f>
        <v>0</v>
      </c>
      <c r="CH55" s="427">
        <f>IF(OR(CH$9&lt;'Operating Assumptions'!$D$53,CH$6&gt;'Operating Assumptions'!$AA$8,'Operating Assumptions'!$G21="N/A"),0,IF('Operating Assumptions'!$G21="$/Unit/Annual",(('Operating Assumptions'!$H21*CH$23)*CH$36)/12,IF('Operating Assumptions'!$G21="$/Unit/Month",('Operating Assumptions'!$H21*CH$23)*CH$36,IF('Operating Assumptions'!$G21="Fixed Amount",('Operating Assumptions'!$H21*CH$23)/12))))</f>
        <v>0</v>
      </c>
      <c r="CI55" s="427">
        <f>IF(OR(CI$9&lt;'Operating Assumptions'!$D$53,CI$6&gt;'Operating Assumptions'!$AA$8,'Operating Assumptions'!$G21="N/A"),0,IF('Operating Assumptions'!$G21="$/Unit/Annual",(('Operating Assumptions'!$H21*CI$23)*CI$36)/12,IF('Operating Assumptions'!$G21="$/Unit/Month",('Operating Assumptions'!$H21*CI$23)*CI$36,IF('Operating Assumptions'!$G21="Fixed Amount",('Operating Assumptions'!$H21*CI$23)/12))))</f>
        <v>0</v>
      </c>
      <c r="CJ55" s="427">
        <f>IF(OR(CJ$9&lt;'Operating Assumptions'!$D$53,CJ$6&gt;'Operating Assumptions'!$AA$8,'Operating Assumptions'!$G21="N/A"),0,IF('Operating Assumptions'!$G21="$/Unit/Annual",(('Operating Assumptions'!$H21*CJ$23)*CJ$36)/12,IF('Operating Assumptions'!$G21="$/Unit/Month",('Operating Assumptions'!$H21*CJ$23)*CJ$36,IF('Operating Assumptions'!$G21="Fixed Amount",('Operating Assumptions'!$H21*CJ$23)/12))))</f>
        <v>0</v>
      </c>
      <c r="CK55" s="427">
        <f>IF(OR(CK$9&lt;'Operating Assumptions'!$D$53,CK$6&gt;'Operating Assumptions'!$AA$8,'Operating Assumptions'!$G21="N/A"),0,IF('Operating Assumptions'!$G21="$/Unit/Annual",(('Operating Assumptions'!$H21*CK$23)*CK$36)/12,IF('Operating Assumptions'!$G21="$/Unit/Month",('Operating Assumptions'!$H21*CK$23)*CK$36,IF('Operating Assumptions'!$G21="Fixed Amount",('Operating Assumptions'!$H21*CK$23)/12))))</f>
        <v>0</v>
      </c>
      <c r="CL55" s="427">
        <f>IF(OR(CL$9&lt;'Operating Assumptions'!$D$53,CL$6&gt;'Operating Assumptions'!$AA$8,'Operating Assumptions'!$G21="N/A"),0,IF('Operating Assumptions'!$G21="$/Unit/Annual",(('Operating Assumptions'!$H21*CL$23)*CL$36)/12,IF('Operating Assumptions'!$G21="$/Unit/Month",('Operating Assumptions'!$H21*CL$23)*CL$36,IF('Operating Assumptions'!$G21="Fixed Amount",('Operating Assumptions'!$H21*CL$23)/12))))</f>
        <v>0</v>
      </c>
      <c r="CM55" s="427">
        <f>IF(OR(CM$9&lt;'Operating Assumptions'!$D$53,CM$6&gt;'Operating Assumptions'!$AA$8,'Operating Assumptions'!$G21="N/A"),0,IF('Operating Assumptions'!$G21="$/Unit/Annual",(('Operating Assumptions'!$H21*CM$23)*CM$36)/12,IF('Operating Assumptions'!$G21="$/Unit/Month",('Operating Assumptions'!$H21*CM$23)*CM$36,IF('Operating Assumptions'!$G21="Fixed Amount",('Operating Assumptions'!$H21*CM$23)/12))))</f>
        <v>0</v>
      </c>
      <c r="CN55" s="427">
        <f>IF(OR(CN$9&lt;'Operating Assumptions'!$D$53,CN$6&gt;'Operating Assumptions'!$AA$8,'Operating Assumptions'!$G21="N/A"),0,IF('Operating Assumptions'!$G21="$/Unit/Annual",(('Operating Assumptions'!$H21*CN$23)*CN$36)/12,IF('Operating Assumptions'!$G21="$/Unit/Month",('Operating Assumptions'!$H21*CN$23)*CN$36,IF('Operating Assumptions'!$G21="Fixed Amount",('Operating Assumptions'!$H21*CN$23)/12))))</f>
        <v>0</v>
      </c>
      <c r="CO55" s="427">
        <f>IF(OR(CO$9&lt;'Operating Assumptions'!$D$53,CO$6&gt;'Operating Assumptions'!$AA$8,'Operating Assumptions'!$G21="N/A"),0,IF('Operating Assumptions'!$G21="$/Unit/Annual",(('Operating Assumptions'!$H21*CO$23)*CO$36)/12,IF('Operating Assumptions'!$G21="$/Unit/Month",('Operating Assumptions'!$H21*CO$23)*CO$36,IF('Operating Assumptions'!$G21="Fixed Amount",('Operating Assumptions'!$H21*CO$23)/12))))</f>
        <v>0</v>
      </c>
      <c r="CP55" s="427">
        <f>IF(OR(CP$9&lt;'Operating Assumptions'!$D$53,CP$6&gt;'Operating Assumptions'!$AA$8,'Operating Assumptions'!$G21="N/A"),0,IF('Operating Assumptions'!$G21="$/Unit/Annual",(('Operating Assumptions'!$H21*CP$23)*CP$36)/12,IF('Operating Assumptions'!$G21="$/Unit/Month",('Operating Assumptions'!$H21*CP$23)*CP$36,IF('Operating Assumptions'!$G21="Fixed Amount",('Operating Assumptions'!$H21*CP$23)/12))))</f>
        <v>0</v>
      </c>
      <c r="CQ55" s="427">
        <f>IF(OR(CQ$9&lt;'Operating Assumptions'!$D$53,CQ$6&gt;'Operating Assumptions'!$AA$8,'Operating Assumptions'!$G21="N/A"),0,IF('Operating Assumptions'!$G21="$/Unit/Annual",(('Operating Assumptions'!$H21*CQ$23)*CQ$36)/12,IF('Operating Assumptions'!$G21="$/Unit/Month",('Operating Assumptions'!$H21*CQ$23)*CQ$36,IF('Operating Assumptions'!$G21="Fixed Amount",('Operating Assumptions'!$H21*CQ$23)/12))))</f>
        <v>0</v>
      </c>
      <c r="CR55" s="427">
        <f>IF(OR(CR$9&lt;'Operating Assumptions'!$D$53,CR$6&gt;'Operating Assumptions'!$AA$8,'Operating Assumptions'!$G21="N/A"),0,IF('Operating Assumptions'!$G21="$/Unit/Annual",(('Operating Assumptions'!$H21*CR$23)*CR$36)/12,IF('Operating Assumptions'!$G21="$/Unit/Month",('Operating Assumptions'!$H21*CR$23)*CR$36,IF('Operating Assumptions'!$G21="Fixed Amount",('Operating Assumptions'!$H21*CR$23)/12))))</f>
        <v>0</v>
      </c>
      <c r="CS55" s="427">
        <f>IF(OR(CS$9&lt;'Operating Assumptions'!$D$53,CS$6&gt;'Operating Assumptions'!$AA$8,'Operating Assumptions'!$G21="N/A"),0,IF('Operating Assumptions'!$G21="$/Unit/Annual",(('Operating Assumptions'!$H21*CS$23)*CS$36)/12,IF('Operating Assumptions'!$G21="$/Unit/Month",('Operating Assumptions'!$H21*CS$23)*CS$36,IF('Operating Assumptions'!$G21="Fixed Amount",('Operating Assumptions'!$H21*CS$23)/12))))</f>
        <v>0</v>
      </c>
      <c r="CT55" s="427">
        <f>IF(OR(CT$9&lt;'Operating Assumptions'!$D$53,CT$6&gt;'Operating Assumptions'!$AA$8,'Operating Assumptions'!$G21="N/A"),0,IF('Operating Assumptions'!$G21="$/Unit/Annual",(('Operating Assumptions'!$H21*CT$23)*CT$36)/12,IF('Operating Assumptions'!$G21="$/Unit/Month",('Operating Assumptions'!$H21*CT$23)*CT$36,IF('Operating Assumptions'!$G21="Fixed Amount",('Operating Assumptions'!$H21*CT$23)/12))))</f>
        <v>0</v>
      </c>
      <c r="CU55" s="427">
        <f>IF(OR(CU$9&lt;'Operating Assumptions'!$D$53,CU$6&gt;'Operating Assumptions'!$AA$8,'Operating Assumptions'!$G21="N/A"),0,IF('Operating Assumptions'!$G21="$/Unit/Annual",(('Operating Assumptions'!$H21*CU$23)*CU$36)/12,IF('Operating Assumptions'!$G21="$/Unit/Month",('Operating Assumptions'!$H21*CU$23)*CU$36,IF('Operating Assumptions'!$G21="Fixed Amount",('Operating Assumptions'!$H21*CU$23)/12))))</f>
        <v>0</v>
      </c>
      <c r="CV55" s="427">
        <f>IF(OR(CV$9&lt;'Operating Assumptions'!$D$53,CV$6&gt;'Operating Assumptions'!$AA$8,'Operating Assumptions'!$G21="N/A"),0,IF('Operating Assumptions'!$G21="$/Unit/Annual",(('Operating Assumptions'!$H21*CV$23)*CV$36)/12,IF('Operating Assumptions'!$G21="$/Unit/Month",('Operating Assumptions'!$H21*CV$23)*CV$36,IF('Operating Assumptions'!$G21="Fixed Amount",('Operating Assumptions'!$H21*CV$23)/12))))</f>
        <v>0</v>
      </c>
      <c r="CW55" s="427">
        <f>IF(OR(CW$9&lt;'Operating Assumptions'!$D$53,CW$6&gt;'Operating Assumptions'!$AA$8,'Operating Assumptions'!$G21="N/A"),0,IF('Operating Assumptions'!$G21="$/Unit/Annual",(('Operating Assumptions'!$H21*CW$23)*CW$36)/12,IF('Operating Assumptions'!$G21="$/Unit/Month",('Operating Assumptions'!$H21*CW$23)*CW$36,IF('Operating Assumptions'!$G21="Fixed Amount",('Operating Assumptions'!$H21*CW$23)/12))))</f>
        <v>0</v>
      </c>
      <c r="CX55" s="427">
        <f>IF(OR(CX$9&lt;'Operating Assumptions'!$D$53,CX$6&gt;'Operating Assumptions'!$AA$8,'Operating Assumptions'!$G21="N/A"),0,IF('Operating Assumptions'!$G21="$/Unit/Annual",(('Operating Assumptions'!$H21*CX$23)*CX$36)/12,IF('Operating Assumptions'!$G21="$/Unit/Month",('Operating Assumptions'!$H21*CX$23)*CX$36,IF('Operating Assumptions'!$G21="Fixed Amount",('Operating Assumptions'!$H21*CX$23)/12))))</f>
        <v>0</v>
      </c>
      <c r="CY55" s="427">
        <f>IF(OR(CY$9&lt;'Operating Assumptions'!$D$53,CY$6&gt;'Operating Assumptions'!$AA$8,'Operating Assumptions'!$G21="N/A"),0,IF('Operating Assumptions'!$G21="$/Unit/Annual",(('Operating Assumptions'!$H21*CY$23)*CY$36)/12,IF('Operating Assumptions'!$G21="$/Unit/Month",('Operating Assumptions'!$H21*CY$23)*CY$36,IF('Operating Assumptions'!$G21="Fixed Amount",('Operating Assumptions'!$H21*CY$23)/12))))</f>
        <v>0</v>
      </c>
      <c r="CZ55" s="427">
        <f>IF(OR(CZ$9&lt;'Operating Assumptions'!$D$53,CZ$6&gt;'Operating Assumptions'!$AA$8,'Operating Assumptions'!$G21="N/A"),0,IF('Operating Assumptions'!$G21="$/Unit/Annual",(('Operating Assumptions'!$H21*CZ$23)*CZ$36)/12,IF('Operating Assumptions'!$G21="$/Unit/Month",('Operating Assumptions'!$H21*CZ$23)*CZ$36,IF('Operating Assumptions'!$G21="Fixed Amount",('Operating Assumptions'!$H21*CZ$23)/12))))</f>
        <v>0</v>
      </c>
      <c r="DA55" s="427">
        <f>IF(OR(DA$9&lt;'Operating Assumptions'!$D$53,DA$6&gt;'Operating Assumptions'!$AA$8,'Operating Assumptions'!$G21="N/A"),0,IF('Operating Assumptions'!$G21="$/Unit/Annual",(('Operating Assumptions'!$H21*DA$23)*DA$36)/12,IF('Operating Assumptions'!$G21="$/Unit/Month",('Operating Assumptions'!$H21*DA$23)*DA$36,IF('Operating Assumptions'!$G21="Fixed Amount",('Operating Assumptions'!$H21*DA$23)/12))))</f>
        <v>0</v>
      </c>
      <c r="DB55" s="427">
        <f>IF(OR(DB$9&lt;'Operating Assumptions'!$D$53,DB$6&gt;'Operating Assumptions'!$AA$8,'Operating Assumptions'!$G21="N/A"),0,IF('Operating Assumptions'!$G21="$/Unit/Annual",(('Operating Assumptions'!$H21*DB$23)*DB$36)/12,IF('Operating Assumptions'!$G21="$/Unit/Month",('Operating Assumptions'!$H21*DB$23)*DB$36,IF('Operating Assumptions'!$G21="Fixed Amount",('Operating Assumptions'!$H21*DB$23)/12))))</f>
        <v>0</v>
      </c>
      <c r="DC55" s="427">
        <f>IF(OR(DC$9&lt;'Operating Assumptions'!$D$53,DC$6&gt;'Operating Assumptions'!$AA$8,'Operating Assumptions'!$G21="N/A"),0,IF('Operating Assumptions'!$G21="$/Unit/Annual",(('Operating Assumptions'!$H21*DC$23)*DC$36)/12,IF('Operating Assumptions'!$G21="$/Unit/Month",('Operating Assumptions'!$H21*DC$23)*DC$36,IF('Operating Assumptions'!$G21="Fixed Amount",('Operating Assumptions'!$H21*DC$23)/12))))</f>
        <v>0</v>
      </c>
      <c r="DD55" s="427">
        <f>IF(OR(DD$9&lt;'Operating Assumptions'!$D$53,DD$6&gt;'Operating Assumptions'!$AA$8,'Operating Assumptions'!$G21="N/A"),0,IF('Operating Assumptions'!$G21="$/Unit/Annual",(('Operating Assumptions'!$H21*DD$23)*DD$36)/12,IF('Operating Assumptions'!$G21="$/Unit/Month",('Operating Assumptions'!$H21*DD$23)*DD$36,IF('Operating Assumptions'!$G21="Fixed Amount",('Operating Assumptions'!$H21*DD$23)/12))))</f>
        <v>0</v>
      </c>
      <c r="DE55" s="427">
        <f>IF(OR(DE$9&lt;'Operating Assumptions'!$D$53,DE$6&gt;'Operating Assumptions'!$AA$8,'Operating Assumptions'!$G21="N/A"),0,IF('Operating Assumptions'!$G21="$/Unit/Annual",(('Operating Assumptions'!$H21*DE$23)*DE$36)/12,IF('Operating Assumptions'!$G21="$/Unit/Month",('Operating Assumptions'!$H21*DE$23)*DE$36,IF('Operating Assumptions'!$G21="Fixed Amount",('Operating Assumptions'!$H21*DE$23)/12))))</f>
        <v>0</v>
      </c>
      <c r="DF55" s="427">
        <f>IF(OR(DF$9&lt;'Operating Assumptions'!$D$53,DF$6&gt;'Operating Assumptions'!$AA$8,'Operating Assumptions'!$G21="N/A"),0,IF('Operating Assumptions'!$G21="$/Unit/Annual",(('Operating Assumptions'!$H21*DF$23)*DF$36)/12,IF('Operating Assumptions'!$G21="$/Unit/Month",('Operating Assumptions'!$H21*DF$23)*DF$36,IF('Operating Assumptions'!$G21="Fixed Amount",('Operating Assumptions'!$H21*DF$23)/12))))</f>
        <v>0</v>
      </c>
      <c r="DG55" s="427">
        <f>IF(OR(DG$9&lt;'Operating Assumptions'!$D$53,DG$6&gt;'Operating Assumptions'!$AA$8,'Operating Assumptions'!$G21="N/A"),0,IF('Operating Assumptions'!$G21="$/Unit/Annual",(('Operating Assumptions'!$H21*DG$23)*DG$36)/12,IF('Operating Assumptions'!$G21="$/Unit/Month",('Operating Assumptions'!$H21*DG$23)*DG$36,IF('Operating Assumptions'!$G21="Fixed Amount",('Operating Assumptions'!$H21*DG$23)/12))))</f>
        <v>0</v>
      </c>
      <c r="DH55" s="427">
        <f>IF(OR(DH$9&lt;'Operating Assumptions'!$D$53,DH$6&gt;'Operating Assumptions'!$AA$8,'Operating Assumptions'!$G21="N/A"),0,IF('Operating Assumptions'!$G21="$/Unit/Annual",(('Operating Assumptions'!$H21*DH$23)*DH$36)/12,IF('Operating Assumptions'!$G21="$/Unit/Month",('Operating Assumptions'!$H21*DH$23)*DH$36,IF('Operating Assumptions'!$G21="Fixed Amount",('Operating Assumptions'!$H21*DH$23)/12))))</f>
        <v>0</v>
      </c>
      <c r="DI55" s="427">
        <f>IF(OR(DI$9&lt;'Operating Assumptions'!$D$53,DI$6&gt;'Operating Assumptions'!$AA$8,'Operating Assumptions'!$G21="N/A"),0,IF('Operating Assumptions'!$G21="$/Unit/Annual",(('Operating Assumptions'!$H21*DI$23)*DI$36)/12,IF('Operating Assumptions'!$G21="$/Unit/Month",('Operating Assumptions'!$H21*DI$23)*DI$36,IF('Operating Assumptions'!$G21="Fixed Amount",('Operating Assumptions'!$H21*DI$23)/12))))</f>
        <v>0</v>
      </c>
      <c r="DJ55" s="427">
        <f>IF(OR(DJ$9&lt;'Operating Assumptions'!$D$53,DJ$6&gt;'Operating Assumptions'!$AA$8,'Operating Assumptions'!$G21="N/A"),0,IF('Operating Assumptions'!$G21="$/Unit/Annual",(('Operating Assumptions'!$H21*DJ$23)*DJ$36)/12,IF('Operating Assumptions'!$G21="$/Unit/Month",('Operating Assumptions'!$H21*DJ$23)*DJ$36,IF('Operating Assumptions'!$G21="Fixed Amount",('Operating Assumptions'!$H21*DJ$23)/12))))</f>
        <v>0</v>
      </c>
      <c r="DK55" s="427">
        <f>IF(OR(DK$9&lt;'Operating Assumptions'!$D$53,DK$6&gt;'Operating Assumptions'!$AA$8,'Operating Assumptions'!$G21="N/A"),0,IF('Operating Assumptions'!$G21="$/Unit/Annual",(('Operating Assumptions'!$H21*DK$23)*DK$36)/12,IF('Operating Assumptions'!$G21="$/Unit/Month",('Operating Assumptions'!$H21*DK$23)*DK$36,IF('Operating Assumptions'!$G21="Fixed Amount",('Operating Assumptions'!$H21*DK$23)/12))))</f>
        <v>0</v>
      </c>
      <c r="DL55" s="427">
        <f>IF(OR(DL$9&lt;'Operating Assumptions'!$D$53,DL$6&gt;'Operating Assumptions'!$AA$8,'Operating Assumptions'!$G21="N/A"),0,IF('Operating Assumptions'!$G21="$/Unit/Annual",(('Operating Assumptions'!$H21*DL$23)*DL$36)/12,IF('Operating Assumptions'!$G21="$/Unit/Month",('Operating Assumptions'!$H21*DL$23)*DL$36,IF('Operating Assumptions'!$G21="Fixed Amount",('Operating Assumptions'!$H21*DL$23)/12))))</f>
        <v>0</v>
      </c>
      <c r="DM55" s="427">
        <f>IF(OR(DM$9&lt;'Operating Assumptions'!$D$53,DM$6&gt;'Operating Assumptions'!$AA$8,'Operating Assumptions'!$G21="N/A"),0,IF('Operating Assumptions'!$G21="$/Unit/Annual",(('Operating Assumptions'!$H21*DM$23)*DM$36)/12,IF('Operating Assumptions'!$G21="$/Unit/Month",('Operating Assumptions'!$H21*DM$23)*DM$36,IF('Operating Assumptions'!$G21="Fixed Amount",('Operating Assumptions'!$H21*DM$23)/12))))</f>
        <v>0</v>
      </c>
      <c r="DN55" s="427">
        <f>IF(OR(DN$9&lt;'Operating Assumptions'!$D$53,DN$6&gt;'Operating Assumptions'!$AA$8,'Operating Assumptions'!$G21="N/A"),0,IF('Operating Assumptions'!$G21="$/Unit/Annual",(('Operating Assumptions'!$H21*DN$23)*DN$36)/12,IF('Operating Assumptions'!$G21="$/Unit/Month",('Operating Assumptions'!$H21*DN$23)*DN$36,IF('Operating Assumptions'!$G21="Fixed Amount",('Operating Assumptions'!$H21*DN$23)/12))))</f>
        <v>0</v>
      </c>
      <c r="DO55" s="427">
        <f>IF(OR(DO$9&lt;'Operating Assumptions'!$D$53,DO$6&gt;'Operating Assumptions'!$AA$8,'Operating Assumptions'!$G21="N/A"),0,IF('Operating Assumptions'!$G21="$/Unit/Annual",(('Operating Assumptions'!$H21*DO$23)*DO$36)/12,IF('Operating Assumptions'!$G21="$/Unit/Month",('Operating Assumptions'!$H21*DO$23)*DO$36,IF('Operating Assumptions'!$G21="Fixed Amount",('Operating Assumptions'!$H21*DO$23)/12))))</f>
        <v>0</v>
      </c>
      <c r="DP55" s="427">
        <f>IF(OR(DP$9&lt;'Operating Assumptions'!$D$53,DP$6&gt;'Operating Assumptions'!$AA$8,'Operating Assumptions'!$G21="N/A"),0,IF('Operating Assumptions'!$G21="$/Unit/Annual",(('Operating Assumptions'!$H21*DP$23)*DP$36)/12,IF('Operating Assumptions'!$G21="$/Unit/Month",('Operating Assumptions'!$H21*DP$23)*DP$36,IF('Operating Assumptions'!$G21="Fixed Amount",('Operating Assumptions'!$H21*DP$23)/12))))</f>
        <v>0</v>
      </c>
      <c r="DQ55" s="427">
        <f>IF(OR(DQ$9&lt;'Operating Assumptions'!$D$53,DQ$6&gt;'Operating Assumptions'!$AA$8,'Operating Assumptions'!$G21="N/A"),0,IF('Operating Assumptions'!$G21="$/Unit/Annual",(('Operating Assumptions'!$H21*DQ$23)*DQ$36)/12,IF('Operating Assumptions'!$G21="$/Unit/Month",('Operating Assumptions'!$H21*DQ$23)*DQ$36,IF('Operating Assumptions'!$G21="Fixed Amount",('Operating Assumptions'!$H21*DQ$23)/12))))</f>
        <v>0</v>
      </c>
      <c r="DR55" s="427">
        <f>IF(OR(DR$9&lt;'Operating Assumptions'!$D$53,DR$6&gt;'Operating Assumptions'!$AA$8,'Operating Assumptions'!$G21="N/A"),0,IF('Operating Assumptions'!$G21="$/Unit/Annual",(('Operating Assumptions'!$H21*DR$23)*DR$36)/12,IF('Operating Assumptions'!$G21="$/Unit/Month",('Operating Assumptions'!$H21*DR$23)*DR$36,IF('Operating Assumptions'!$G21="Fixed Amount",('Operating Assumptions'!$H21*DR$23)/12))))</f>
        <v>0</v>
      </c>
      <c r="DS55" s="427">
        <f>IF(OR(DS$9&lt;'Operating Assumptions'!$D$53,DS$6&gt;'Operating Assumptions'!$AA$8,'Operating Assumptions'!$G21="N/A"),0,IF('Operating Assumptions'!$G21="$/Unit/Annual",(('Operating Assumptions'!$H21*DS$23)*DS$36)/12,IF('Operating Assumptions'!$G21="$/Unit/Month",('Operating Assumptions'!$H21*DS$23)*DS$36,IF('Operating Assumptions'!$G21="Fixed Amount",('Operating Assumptions'!$H21*DS$23)/12))))</f>
        <v>0</v>
      </c>
      <c r="DT55" s="427">
        <f>IF(OR(DT$9&lt;'Operating Assumptions'!$D$53,DT$6&gt;'Operating Assumptions'!$AA$8,'Operating Assumptions'!$G21="N/A"),0,IF('Operating Assumptions'!$G21="$/Unit/Annual",(('Operating Assumptions'!$H21*DT$23)*DT$36)/12,IF('Operating Assumptions'!$G21="$/Unit/Month",('Operating Assumptions'!$H21*DT$23)*DT$36,IF('Operating Assumptions'!$G21="Fixed Amount",('Operating Assumptions'!$H21*DT$23)/12))))</f>
        <v>0</v>
      </c>
      <c r="DU55" s="427">
        <f>IF(OR(DU$9&lt;'Operating Assumptions'!$D$53,DU$6&gt;'Operating Assumptions'!$AA$8,'Operating Assumptions'!$G21="N/A"),0,IF('Operating Assumptions'!$G21="$/Unit/Annual",(('Operating Assumptions'!$H21*DU$23)*DU$36)/12,IF('Operating Assumptions'!$G21="$/Unit/Month",('Operating Assumptions'!$H21*DU$23)*DU$36,IF('Operating Assumptions'!$G21="Fixed Amount",('Operating Assumptions'!$H21*DU$23)/12))))</f>
        <v>0</v>
      </c>
      <c r="DV55" s="427">
        <f>IF(OR(DV$9&lt;'Operating Assumptions'!$D$53,DV$6&gt;'Operating Assumptions'!$AA$8,'Operating Assumptions'!$G21="N/A"),0,IF('Operating Assumptions'!$G21="$/Unit/Annual",(('Operating Assumptions'!$H21*DV$23)*DV$36)/12,IF('Operating Assumptions'!$G21="$/Unit/Month",('Operating Assumptions'!$H21*DV$23)*DV$36,IF('Operating Assumptions'!$G21="Fixed Amount",('Operating Assumptions'!$H21*DV$23)/12))))</f>
        <v>0</v>
      </c>
      <c r="DW55" s="427">
        <f>IF(OR(DW$9&lt;'Operating Assumptions'!$D$53,DW$6&gt;'Operating Assumptions'!$AA$8,'Operating Assumptions'!$G21="N/A"),0,IF('Operating Assumptions'!$G21="$/Unit/Annual",(('Operating Assumptions'!$H21*DW$23)*DW$36)/12,IF('Operating Assumptions'!$G21="$/Unit/Month",('Operating Assumptions'!$H21*DW$23)*DW$36,IF('Operating Assumptions'!$G21="Fixed Amount",('Operating Assumptions'!$H21*DW$23)/12))))</f>
        <v>0</v>
      </c>
      <c r="DX55" s="427">
        <f>IF(OR(DX$9&lt;'Operating Assumptions'!$D$53,DX$6&gt;'Operating Assumptions'!$AA$8,'Operating Assumptions'!$G21="N/A"),0,IF('Operating Assumptions'!$G21="$/Unit/Annual",(('Operating Assumptions'!$H21*DX$23)*DX$36)/12,IF('Operating Assumptions'!$G21="$/Unit/Month",('Operating Assumptions'!$H21*DX$23)*DX$36,IF('Operating Assumptions'!$G21="Fixed Amount",('Operating Assumptions'!$H21*DX$23)/12))))</f>
        <v>0</v>
      </c>
      <c r="DY55" s="427">
        <f>IF(OR(DY$9&lt;'Operating Assumptions'!$D$53,DY$6&gt;'Operating Assumptions'!$AA$8,'Operating Assumptions'!$G21="N/A"),0,IF('Operating Assumptions'!$G21="$/Unit/Annual",(('Operating Assumptions'!$H21*DY$23)*DY$36)/12,IF('Operating Assumptions'!$G21="$/Unit/Month",('Operating Assumptions'!$H21*DY$23)*DY$36,IF('Operating Assumptions'!$G21="Fixed Amount",('Operating Assumptions'!$H21*DY$23)/12))))</f>
        <v>0</v>
      </c>
      <c r="DZ55" s="427">
        <f>IF(OR(DZ$9&lt;'Operating Assumptions'!$D$53,DZ$6&gt;'Operating Assumptions'!$AA$8,'Operating Assumptions'!$G21="N/A"),0,IF('Operating Assumptions'!$G21="$/Unit/Annual",(('Operating Assumptions'!$H21*DZ$23)*DZ$36)/12,IF('Operating Assumptions'!$G21="$/Unit/Month",('Operating Assumptions'!$H21*DZ$23)*DZ$36,IF('Operating Assumptions'!$G21="Fixed Amount",('Operating Assumptions'!$H21*DZ$23)/12))))</f>
        <v>0</v>
      </c>
      <c r="EA55" s="427">
        <f>IF(OR(EA$9&lt;'Operating Assumptions'!$D$53,EA$6&gt;'Operating Assumptions'!$AA$8,'Operating Assumptions'!$G21="N/A"),0,IF('Operating Assumptions'!$G21="$/Unit/Annual",(('Operating Assumptions'!$H21*EA$23)*EA$36)/12,IF('Operating Assumptions'!$G21="$/Unit/Month",('Operating Assumptions'!$H21*EA$23)*EA$36,IF('Operating Assumptions'!$G21="Fixed Amount",('Operating Assumptions'!$H21*EA$23)/12))))</f>
        <v>0</v>
      </c>
      <c r="EB55" s="427">
        <f>IF(OR(EB$9&lt;'Operating Assumptions'!$D$53,EB$6&gt;'Operating Assumptions'!$AA$8,'Operating Assumptions'!$G21="N/A"),0,IF('Operating Assumptions'!$G21="$/Unit/Annual",(('Operating Assumptions'!$H21*EB$23)*EB$36)/12,IF('Operating Assumptions'!$G21="$/Unit/Month",('Operating Assumptions'!$H21*EB$23)*EB$36,IF('Operating Assumptions'!$G21="Fixed Amount",('Operating Assumptions'!$H21*EB$23)/12))))</f>
        <v>0</v>
      </c>
      <c r="EC55" s="427">
        <f>IF(OR(EC$9&lt;'Operating Assumptions'!$D$53,EC$6&gt;'Operating Assumptions'!$AA$8,'Operating Assumptions'!$G21="N/A"),0,IF('Operating Assumptions'!$G21="$/Unit/Annual",(('Operating Assumptions'!$H21*EC$23)*EC$36)/12,IF('Operating Assumptions'!$G21="$/Unit/Month",('Operating Assumptions'!$H21*EC$23)*EC$36,IF('Operating Assumptions'!$G21="Fixed Amount",('Operating Assumptions'!$H21*EC$23)/12))))</f>
        <v>0</v>
      </c>
      <c r="ED55" s="427">
        <f>IF(OR(ED$9&lt;'Operating Assumptions'!$D$53,ED$6&gt;'Operating Assumptions'!$AA$8,'Operating Assumptions'!$G21="N/A"),0,IF('Operating Assumptions'!$G21="$/Unit/Annual",(('Operating Assumptions'!$H21*ED$23)*ED$36)/12,IF('Operating Assumptions'!$G21="$/Unit/Month",('Operating Assumptions'!$H21*ED$23)*ED$36,IF('Operating Assumptions'!$G21="Fixed Amount",('Operating Assumptions'!$H21*ED$23)/12))))</f>
        <v>0</v>
      </c>
      <c r="EE55" s="427">
        <f>IF(OR(EE$9&lt;'Operating Assumptions'!$D$53,EE$6&gt;'Operating Assumptions'!$AA$8,'Operating Assumptions'!$G21="N/A"),0,IF('Operating Assumptions'!$G21="$/Unit/Annual",(('Operating Assumptions'!$H21*EE$23)*EE$36)/12,IF('Operating Assumptions'!$G21="$/Unit/Month",('Operating Assumptions'!$H21*EE$23)*EE$36,IF('Operating Assumptions'!$G21="Fixed Amount",('Operating Assumptions'!$H21*EE$23)/12))))</f>
        <v>0</v>
      </c>
      <c r="EF55" s="427">
        <f>IF(OR(EF$9&lt;'Operating Assumptions'!$D$53,EF$6&gt;'Operating Assumptions'!$AA$8,'Operating Assumptions'!$G21="N/A"),0,IF('Operating Assumptions'!$G21="$/Unit/Annual",(('Operating Assumptions'!$H21*EF$23)*EF$36)/12,IF('Operating Assumptions'!$G21="$/Unit/Month",('Operating Assumptions'!$H21*EF$23)*EF$36,IF('Operating Assumptions'!$G21="Fixed Amount",('Operating Assumptions'!$H21*EF$23)/12))))</f>
        <v>0</v>
      </c>
      <c r="EG55" s="427">
        <f>IF(OR(EG$9&lt;'Operating Assumptions'!$D$53,EG$6&gt;'Operating Assumptions'!$AA$8,'Operating Assumptions'!$G21="N/A"),0,IF('Operating Assumptions'!$G21="$/Unit/Annual",(('Operating Assumptions'!$H21*EG$23)*EG$36)/12,IF('Operating Assumptions'!$G21="$/Unit/Month",('Operating Assumptions'!$H21*EG$23)*EG$36,IF('Operating Assumptions'!$G21="Fixed Amount",('Operating Assumptions'!$H21*EG$23)/12))))</f>
        <v>0</v>
      </c>
      <c r="EH55" s="427">
        <f>IF(OR(EH$9&lt;'Operating Assumptions'!$D$53,EH$6&gt;'Operating Assumptions'!$AA$8,'Operating Assumptions'!$G21="N/A"),0,IF('Operating Assumptions'!$G21="$/Unit/Annual",(('Operating Assumptions'!$H21*EH$23)*EH$36)/12,IF('Operating Assumptions'!$G21="$/Unit/Month",('Operating Assumptions'!$H21*EH$23)*EH$36,IF('Operating Assumptions'!$G21="Fixed Amount",('Operating Assumptions'!$H21*EH$23)/12))))</f>
        <v>0</v>
      </c>
      <c r="EI55" s="427">
        <f>IF(OR(EI$9&lt;'Operating Assumptions'!$D$53,EI$6&gt;'Operating Assumptions'!$AA$8,'Operating Assumptions'!$G21="N/A"),0,IF('Operating Assumptions'!$G21="$/Unit/Annual",(('Operating Assumptions'!$H21*EI$23)*EI$36)/12,IF('Operating Assumptions'!$G21="$/Unit/Month",('Operating Assumptions'!$H21*EI$23)*EI$36,IF('Operating Assumptions'!$G21="Fixed Amount",('Operating Assumptions'!$H21*EI$23)/12))))</f>
        <v>0</v>
      </c>
      <c r="EJ55" s="427">
        <f>IF(OR(EJ$9&lt;'Operating Assumptions'!$D$53,EJ$6&gt;'Operating Assumptions'!$AA$8,'Operating Assumptions'!$G21="N/A"),0,IF('Operating Assumptions'!$G21="$/Unit/Annual",(('Operating Assumptions'!$H21*EJ$23)*EJ$36)/12,IF('Operating Assumptions'!$G21="$/Unit/Month",('Operating Assumptions'!$H21*EJ$23)*EJ$36,IF('Operating Assumptions'!$G21="Fixed Amount",('Operating Assumptions'!$H21*EJ$23)/12))))</f>
        <v>0</v>
      </c>
      <c r="EK55" s="427">
        <f>IF(OR(EK$9&lt;'Operating Assumptions'!$D$53,EK$6&gt;'Operating Assumptions'!$AA$8,'Operating Assumptions'!$G21="N/A"),0,IF('Operating Assumptions'!$G21="$/Unit/Annual",(('Operating Assumptions'!$H21*EK$23)*EK$36)/12,IF('Operating Assumptions'!$G21="$/Unit/Month",('Operating Assumptions'!$H21*EK$23)*EK$36,IF('Operating Assumptions'!$G21="Fixed Amount",('Operating Assumptions'!$H21*EK$23)/12))))</f>
        <v>0</v>
      </c>
      <c r="EL55" s="427">
        <f>IF(OR(EL$9&lt;'Operating Assumptions'!$D$53,EL$6&gt;'Operating Assumptions'!$AA$8,'Operating Assumptions'!$G21="N/A"),0,IF('Operating Assumptions'!$G21="$/Unit/Annual",(('Operating Assumptions'!$H21*EL$23)*EL$36)/12,IF('Operating Assumptions'!$G21="$/Unit/Month",('Operating Assumptions'!$H21*EL$23)*EL$36,IF('Operating Assumptions'!$G21="Fixed Amount",('Operating Assumptions'!$H21*EL$23)/12))))</f>
        <v>0</v>
      </c>
      <c r="EM55" s="427">
        <f>IF(OR(EM$9&lt;'Operating Assumptions'!$D$53,EM$6&gt;'Operating Assumptions'!$AA$8,'Operating Assumptions'!$G21="N/A"),0,IF('Operating Assumptions'!$G21="$/Unit/Annual",(('Operating Assumptions'!$H21*EM$23)*EM$36)/12,IF('Operating Assumptions'!$G21="$/Unit/Month",('Operating Assumptions'!$H21*EM$23)*EM$36,IF('Operating Assumptions'!$G21="Fixed Amount",('Operating Assumptions'!$H21*EM$23)/12))))</f>
        <v>0</v>
      </c>
      <c r="EN55" s="427">
        <f>IF(OR(EN$9&lt;'Operating Assumptions'!$D$53,EN$6&gt;'Operating Assumptions'!$AA$8,'Operating Assumptions'!$G21="N/A"),0,IF('Operating Assumptions'!$G21="$/Unit/Annual",(('Operating Assumptions'!$H21*EN$23)*EN$36)/12,IF('Operating Assumptions'!$G21="$/Unit/Month",('Operating Assumptions'!$H21*EN$23)*EN$36,IF('Operating Assumptions'!$G21="Fixed Amount",('Operating Assumptions'!$H21*EN$23)/12))))</f>
        <v>0</v>
      </c>
      <c r="EO55" s="427">
        <f>IF(OR(EO$9&lt;'Operating Assumptions'!$D$53,EO$6&gt;'Operating Assumptions'!$AA$8,'Operating Assumptions'!$G21="N/A"),0,IF('Operating Assumptions'!$G21="$/Unit/Annual",(('Operating Assumptions'!$H21*EO$23)*EO$36)/12,IF('Operating Assumptions'!$G21="$/Unit/Month",('Operating Assumptions'!$H21*EO$23)*EO$36,IF('Operating Assumptions'!$G21="Fixed Amount",('Operating Assumptions'!$H21*EO$23)/12))))</f>
        <v>0</v>
      </c>
      <c r="EP55" s="427">
        <f>IF(OR(EP$9&lt;'Operating Assumptions'!$D$53,EP$6&gt;'Operating Assumptions'!$AA$8,'Operating Assumptions'!$G21="N/A"),0,IF('Operating Assumptions'!$G21="$/Unit/Annual",(('Operating Assumptions'!$H21*EP$23)*EP$36)/12,IF('Operating Assumptions'!$G21="$/Unit/Month",('Operating Assumptions'!$H21*EP$23)*EP$36,IF('Operating Assumptions'!$G21="Fixed Amount",('Operating Assumptions'!$H21*EP$23)/12))))</f>
        <v>0</v>
      </c>
      <c r="EQ55" s="427">
        <f>IF(OR(EQ$9&lt;'Operating Assumptions'!$D$53,EQ$6&gt;'Operating Assumptions'!$AA$8,'Operating Assumptions'!$G21="N/A"),0,IF('Operating Assumptions'!$G21="$/Unit/Annual",(('Operating Assumptions'!$H21*EQ$23)*EQ$36)/12,IF('Operating Assumptions'!$G21="$/Unit/Month",('Operating Assumptions'!$H21*EQ$23)*EQ$36,IF('Operating Assumptions'!$G21="Fixed Amount",('Operating Assumptions'!$H21*EQ$23)/12))))</f>
        <v>0</v>
      </c>
      <c r="ER55" s="427">
        <f>IF(OR(ER$9&lt;'Operating Assumptions'!$D$53,ER$6&gt;'Operating Assumptions'!$AA$8,'Operating Assumptions'!$G21="N/A"),0,IF('Operating Assumptions'!$G21="$/Unit/Annual",(('Operating Assumptions'!$H21*ER$23)*ER$36)/12,IF('Operating Assumptions'!$G21="$/Unit/Month",('Operating Assumptions'!$H21*ER$23)*ER$36,IF('Operating Assumptions'!$G21="Fixed Amount",('Operating Assumptions'!$H21*ER$23)/12))))</f>
        <v>0</v>
      </c>
      <c r="ES55" s="427">
        <f>IF(OR(ES$9&lt;'Operating Assumptions'!$D$53,ES$6&gt;'Operating Assumptions'!$AA$8,'Operating Assumptions'!$G21="N/A"),0,IF('Operating Assumptions'!$G21="$/Unit/Annual",(('Operating Assumptions'!$H21*ES$23)*ES$36)/12,IF('Operating Assumptions'!$G21="$/Unit/Month",('Operating Assumptions'!$H21*ES$23)*ES$36,IF('Operating Assumptions'!$G21="Fixed Amount",('Operating Assumptions'!$H21*ES$23)/12))))</f>
        <v>0</v>
      </c>
      <c r="ET55" s="427">
        <f>IF(OR(ET$9&lt;'Operating Assumptions'!$D$53,ET$6&gt;'Operating Assumptions'!$AA$8,'Operating Assumptions'!$G21="N/A"),0,IF('Operating Assumptions'!$G21="$/Unit/Annual",(('Operating Assumptions'!$H21*ET$23)*ET$36)/12,IF('Operating Assumptions'!$G21="$/Unit/Month",('Operating Assumptions'!$H21*ET$23)*ET$36,IF('Operating Assumptions'!$G21="Fixed Amount",('Operating Assumptions'!$H21*ET$23)/12))))</f>
        <v>0</v>
      </c>
      <c r="EU55" s="427">
        <f>IF(OR(EU$9&lt;'Operating Assumptions'!$D$53,EU$6&gt;'Operating Assumptions'!$AA$8,'Operating Assumptions'!$G21="N/A"),0,IF('Operating Assumptions'!$G21="$/Unit/Annual",(('Operating Assumptions'!$H21*EU$23)*EU$36)/12,IF('Operating Assumptions'!$G21="$/Unit/Month",('Operating Assumptions'!$H21*EU$23)*EU$36,IF('Operating Assumptions'!$G21="Fixed Amount",('Operating Assumptions'!$H21*EU$23)/12))))</f>
        <v>0</v>
      </c>
      <c r="EV55" s="427">
        <f>IF(OR(EV$9&lt;'Operating Assumptions'!$D$53,EV$6&gt;'Operating Assumptions'!$AA$8,'Operating Assumptions'!$G21="N/A"),0,IF('Operating Assumptions'!$G21="$/Unit/Annual",(('Operating Assumptions'!$H21*EV$23)*EV$36)/12,IF('Operating Assumptions'!$G21="$/Unit/Month",('Operating Assumptions'!$H21*EV$23)*EV$36,IF('Operating Assumptions'!$G21="Fixed Amount",('Operating Assumptions'!$H21*EV$23)/12))))</f>
        <v>0</v>
      </c>
      <c r="EW55" s="427">
        <f>IF(OR(EW$9&lt;'Operating Assumptions'!$D$53,EW$6&gt;'Operating Assumptions'!$AA$8,'Operating Assumptions'!$G21="N/A"),0,IF('Operating Assumptions'!$G21="$/Unit/Annual",(('Operating Assumptions'!$H21*EW$23)*EW$36)/12,IF('Operating Assumptions'!$G21="$/Unit/Month",('Operating Assumptions'!$H21*EW$23)*EW$36,IF('Operating Assumptions'!$G21="Fixed Amount",('Operating Assumptions'!$H21*EW$23)/12))))</f>
        <v>0</v>
      </c>
      <c r="EX55" s="427">
        <f>IF(OR(EX$9&lt;'Operating Assumptions'!$D$53,EX$6&gt;'Operating Assumptions'!$AA$8,'Operating Assumptions'!$G21="N/A"),0,IF('Operating Assumptions'!$G21="$/Unit/Annual",(('Operating Assumptions'!$H21*EX$23)*EX$36)/12,IF('Operating Assumptions'!$G21="$/Unit/Month",('Operating Assumptions'!$H21*EX$23)*EX$36,IF('Operating Assumptions'!$G21="Fixed Amount",('Operating Assumptions'!$H21*EX$23)/12))))</f>
        <v>0</v>
      </c>
      <c r="EY55" s="427">
        <f>IF(OR(EY$9&lt;'Operating Assumptions'!$D$53,EY$6&gt;'Operating Assumptions'!$AA$8,'Operating Assumptions'!$G21="N/A"),0,IF('Operating Assumptions'!$G21="$/Unit/Annual",(('Operating Assumptions'!$H21*EY$23)*EY$36)/12,IF('Operating Assumptions'!$G21="$/Unit/Month",('Operating Assumptions'!$H21*EY$23)*EY$36,IF('Operating Assumptions'!$G21="Fixed Amount",('Operating Assumptions'!$H21*EY$23)/12))))</f>
        <v>0</v>
      </c>
      <c r="EZ55" s="427">
        <f>IF(OR(EZ$9&lt;'Operating Assumptions'!$D$53,EZ$6&gt;'Operating Assumptions'!$AA$8,'Operating Assumptions'!$G21="N/A"),0,IF('Operating Assumptions'!$G21="$/Unit/Annual",(('Operating Assumptions'!$H21*EZ$23)*EZ$36)/12,IF('Operating Assumptions'!$G21="$/Unit/Month",('Operating Assumptions'!$H21*EZ$23)*EZ$36,IF('Operating Assumptions'!$G21="Fixed Amount",('Operating Assumptions'!$H21*EZ$23)/12))))</f>
        <v>0</v>
      </c>
      <c r="FA55" s="427">
        <f>IF(OR(FA$9&lt;'Operating Assumptions'!$D$53,FA$6&gt;'Operating Assumptions'!$AA$8,'Operating Assumptions'!$G21="N/A"),0,IF('Operating Assumptions'!$G21="$/Unit/Annual",(('Operating Assumptions'!$H21*FA$23)*FA$36)/12,IF('Operating Assumptions'!$G21="$/Unit/Month",('Operating Assumptions'!$H21*FA$23)*FA$36,IF('Operating Assumptions'!$G21="Fixed Amount",('Operating Assumptions'!$H21*FA$23)/12))))</f>
        <v>0</v>
      </c>
      <c r="FB55" s="427">
        <f>IF(OR(FB$9&lt;'Operating Assumptions'!$D$53,FB$6&gt;'Operating Assumptions'!$AA$8,'Operating Assumptions'!$G21="N/A"),0,IF('Operating Assumptions'!$G21="$/Unit/Annual",(('Operating Assumptions'!$H21*FB$23)*FB$36)/12,IF('Operating Assumptions'!$G21="$/Unit/Month",('Operating Assumptions'!$H21*FB$23)*FB$36,IF('Operating Assumptions'!$G21="Fixed Amount",('Operating Assumptions'!$H21*FB$23)/12))))</f>
        <v>0</v>
      </c>
      <c r="FC55" s="427">
        <f>IF(OR(FC$9&lt;'Operating Assumptions'!$D$53,FC$6&gt;'Operating Assumptions'!$AA$8,'Operating Assumptions'!$G21="N/A"),0,IF('Operating Assumptions'!$G21="$/Unit/Annual",(('Operating Assumptions'!$H21*FC$23)*FC$36)/12,IF('Operating Assumptions'!$G21="$/Unit/Month",('Operating Assumptions'!$H21*FC$23)*FC$36,IF('Operating Assumptions'!$G21="Fixed Amount",('Operating Assumptions'!$H21*FC$23)/12))))</f>
        <v>0</v>
      </c>
      <c r="FD55" s="427">
        <f>IF(OR(FD$9&lt;'Operating Assumptions'!$D$53,FD$6&gt;'Operating Assumptions'!$AA$8,'Operating Assumptions'!$G21="N/A"),0,IF('Operating Assumptions'!$G21="$/Unit/Annual",(('Operating Assumptions'!$H21*FD$23)*FD$36)/12,IF('Operating Assumptions'!$G21="$/Unit/Month",('Operating Assumptions'!$H21*FD$23)*FD$36,IF('Operating Assumptions'!$G21="Fixed Amount",('Operating Assumptions'!$H21*FD$23)/12))))</f>
        <v>0</v>
      </c>
      <c r="FE55" s="427">
        <f>IF(OR(FE$9&lt;'Operating Assumptions'!$D$53,FE$6&gt;'Operating Assumptions'!$AA$8,'Operating Assumptions'!$G21="N/A"),0,IF('Operating Assumptions'!$G21="$/Unit/Annual",(('Operating Assumptions'!$H21*FE$23)*FE$36)/12,IF('Operating Assumptions'!$G21="$/Unit/Month",('Operating Assumptions'!$H21*FE$23)*FE$36,IF('Operating Assumptions'!$G21="Fixed Amount",('Operating Assumptions'!$H21*FE$23)/12))))</f>
        <v>0</v>
      </c>
      <c r="FF55" s="427">
        <f>IF(OR(FF$9&lt;'Operating Assumptions'!$D$53,FF$6&gt;'Operating Assumptions'!$AA$8,'Operating Assumptions'!$G21="N/A"),0,IF('Operating Assumptions'!$G21="$/Unit/Annual",(('Operating Assumptions'!$H21*FF$23)*FF$36)/12,IF('Operating Assumptions'!$G21="$/Unit/Month",('Operating Assumptions'!$H21*FF$23)*FF$36,IF('Operating Assumptions'!$G21="Fixed Amount",('Operating Assumptions'!$H21*FF$23)/12))))</f>
        <v>0</v>
      </c>
      <c r="FG55" s="427">
        <f>IF(OR(FG$9&lt;'Operating Assumptions'!$D$53,FG$6&gt;'Operating Assumptions'!$AA$8,'Operating Assumptions'!$G21="N/A"),0,IF('Operating Assumptions'!$G21="$/Unit/Annual",(('Operating Assumptions'!$H21*FG$23)*FG$36)/12,IF('Operating Assumptions'!$G21="$/Unit/Month",('Operating Assumptions'!$H21*FG$23)*FG$36,IF('Operating Assumptions'!$G21="Fixed Amount",('Operating Assumptions'!$H21*FG$23)/12))))</f>
        <v>0</v>
      </c>
      <c r="FH55" s="427">
        <f>IF(OR(FH$9&lt;'Operating Assumptions'!$D$53,FH$6&gt;'Operating Assumptions'!$AA$8,'Operating Assumptions'!$G21="N/A"),0,IF('Operating Assumptions'!$G21="$/Unit/Annual",(('Operating Assumptions'!$H21*FH$23)*FH$36)/12,IF('Operating Assumptions'!$G21="$/Unit/Month",('Operating Assumptions'!$H21*FH$23)*FH$36,IF('Operating Assumptions'!$G21="Fixed Amount",('Operating Assumptions'!$H21*FH$23)/12))))</f>
        <v>0</v>
      </c>
      <c r="FI55" s="427">
        <f>IF(OR(FI$9&lt;'Operating Assumptions'!$D$53,FI$6&gt;'Operating Assumptions'!$AA$8,'Operating Assumptions'!$G21="N/A"),0,IF('Operating Assumptions'!$G21="$/Unit/Annual",(('Operating Assumptions'!$H21*FI$23)*FI$36)/12,IF('Operating Assumptions'!$G21="$/Unit/Month",('Operating Assumptions'!$H21*FI$23)*FI$36,IF('Operating Assumptions'!$G21="Fixed Amount",('Operating Assumptions'!$H21*FI$23)/12))))</f>
        <v>0</v>
      </c>
      <c r="FJ55" s="427">
        <f>IF(OR(FJ$9&lt;'Operating Assumptions'!$D$53,FJ$6&gt;'Operating Assumptions'!$AA$8,'Operating Assumptions'!$G21="N/A"),0,IF('Operating Assumptions'!$G21="$/Unit/Annual",(('Operating Assumptions'!$H21*FJ$23)*FJ$36)/12,IF('Operating Assumptions'!$G21="$/Unit/Month",('Operating Assumptions'!$H21*FJ$23)*FJ$36,IF('Operating Assumptions'!$G21="Fixed Amount",('Operating Assumptions'!$H21*FJ$23)/12))))</f>
        <v>0</v>
      </c>
      <c r="FK55" s="427">
        <f>IF(OR(FK$9&lt;'Operating Assumptions'!$D$53,FK$6&gt;'Operating Assumptions'!$AA$8,'Operating Assumptions'!$G21="N/A"),0,IF('Operating Assumptions'!$G21="$/Unit/Annual",(('Operating Assumptions'!$H21*FK$23)*FK$36)/12,IF('Operating Assumptions'!$G21="$/Unit/Month",('Operating Assumptions'!$H21*FK$23)*FK$36,IF('Operating Assumptions'!$G21="Fixed Amount",('Operating Assumptions'!$H21*FK$23)/12))))</f>
        <v>0</v>
      </c>
      <c r="FL55" s="427">
        <f>IF(OR(FL$9&lt;'Operating Assumptions'!$D$53,FL$6&gt;'Operating Assumptions'!$AA$8,'Operating Assumptions'!$G21="N/A"),0,IF('Operating Assumptions'!$G21="$/Unit/Annual",(('Operating Assumptions'!$H21*FL$23)*FL$36)/12,IF('Operating Assumptions'!$G21="$/Unit/Month",('Operating Assumptions'!$H21*FL$23)*FL$36,IF('Operating Assumptions'!$G21="Fixed Amount",('Operating Assumptions'!$H21*FL$23)/12))))</f>
        <v>0</v>
      </c>
      <c r="FM55" s="427">
        <f>IF(OR(FM$9&lt;'Operating Assumptions'!$D$53,FM$6&gt;'Operating Assumptions'!$AA$8,'Operating Assumptions'!$G21="N/A"),0,IF('Operating Assumptions'!$G21="$/Unit/Annual",(('Operating Assumptions'!$H21*FM$23)*FM$36)/12,IF('Operating Assumptions'!$G21="$/Unit/Month",('Operating Assumptions'!$H21*FM$23)*FM$36,IF('Operating Assumptions'!$G21="Fixed Amount",('Operating Assumptions'!$H21*FM$23)/12))))</f>
        <v>0</v>
      </c>
      <c r="FN55" s="427">
        <f>IF(OR(FN$9&lt;'Operating Assumptions'!$D$53,FN$6&gt;'Operating Assumptions'!$AA$8,'Operating Assumptions'!$G21="N/A"),0,IF('Operating Assumptions'!$G21="$/Unit/Annual",(('Operating Assumptions'!$H21*FN$23)*FN$36)/12,IF('Operating Assumptions'!$G21="$/Unit/Month",('Operating Assumptions'!$H21*FN$23)*FN$36,IF('Operating Assumptions'!$G21="Fixed Amount",('Operating Assumptions'!$H21*FN$23)/12))))</f>
        <v>0</v>
      </c>
      <c r="FO55" s="427">
        <f>IF(OR(FO$9&lt;'Operating Assumptions'!$D$53,FO$6&gt;'Operating Assumptions'!$AA$8,'Operating Assumptions'!$G21="N/A"),0,IF('Operating Assumptions'!$G21="$/Unit/Annual",(('Operating Assumptions'!$H21*FO$23)*FO$36)/12,IF('Operating Assumptions'!$G21="$/Unit/Month",('Operating Assumptions'!$H21*FO$23)*FO$36,IF('Operating Assumptions'!$G21="Fixed Amount",('Operating Assumptions'!$H21*FO$23)/12))))</f>
        <v>0</v>
      </c>
      <c r="FP55" s="427">
        <f>IF(OR(FP$9&lt;'Operating Assumptions'!$D$53,FP$6&gt;'Operating Assumptions'!$AA$8,'Operating Assumptions'!$G21="N/A"),0,IF('Operating Assumptions'!$G21="$/Unit/Annual",(('Operating Assumptions'!$H21*FP$23)*FP$36)/12,IF('Operating Assumptions'!$G21="$/Unit/Month",('Operating Assumptions'!$H21*FP$23)*FP$36,IF('Operating Assumptions'!$G21="Fixed Amount",('Operating Assumptions'!$H21*FP$23)/12))))</f>
        <v>0</v>
      </c>
      <c r="FQ55" s="427">
        <f>IF(OR(FQ$9&lt;'Operating Assumptions'!$D$53,FQ$6&gt;'Operating Assumptions'!$AA$8,'Operating Assumptions'!$G21="N/A"),0,IF('Operating Assumptions'!$G21="$/Unit/Annual",(('Operating Assumptions'!$H21*FQ$23)*FQ$36)/12,IF('Operating Assumptions'!$G21="$/Unit/Month",('Operating Assumptions'!$H21*FQ$23)*FQ$36,IF('Operating Assumptions'!$G21="Fixed Amount",('Operating Assumptions'!$H21*FQ$23)/12))))</f>
        <v>0</v>
      </c>
      <c r="FR55" s="427">
        <f>IF(OR(FR$9&lt;'Operating Assumptions'!$D$53,FR$6&gt;'Operating Assumptions'!$AA$8,'Operating Assumptions'!$G21="N/A"),0,IF('Operating Assumptions'!$G21="$/Unit/Annual",(('Operating Assumptions'!$H21*FR$23)*FR$36)/12,IF('Operating Assumptions'!$G21="$/Unit/Month",('Operating Assumptions'!$H21*FR$23)*FR$36,IF('Operating Assumptions'!$G21="Fixed Amount",('Operating Assumptions'!$H21*FR$23)/12))))</f>
        <v>0</v>
      </c>
      <c r="FS55" s="427">
        <f>IF(OR(FS$9&lt;'Operating Assumptions'!$D$53,FS$6&gt;'Operating Assumptions'!$AA$8,'Operating Assumptions'!$G21="N/A"),0,IF('Operating Assumptions'!$G21="$/Unit/Annual",(('Operating Assumptions'!$H21*FS$23)*FS$36)/12,IF('Operating Assumptions'!$G21="$/Unit/Month",('Operating Assumptions'!$H21*FS$23)*FS$36,IF('Operating Assumptions'!$G21="Fixed Amount",('Operating Assumptions'!$H21*FS$23)/12))))</f>
        <v>0</v>
      </c>
      <c r="FT55" s="427">
        <f>IF(OR(FT$9&lt;'Operating Assumptions'!$D$53,FT$6&gt;'Operating Assumptions'!$AA$8,'Operating Assumptions'!$G21="N/A"),0,IF('Operating Assumptions'!$G21="$/Unit/Annual",(('Operating Assumptions'!$H21*FT$23)*FT$36)/12,IF('Operating Assumptions'!$G21="$/Unit/Month",('Operating Assumptions'!$H21*FT$23)*FT$36,IF('Operating Assumptions'!$G21="Fixed Amount",('Operating Assumptions'!$H21*FT$23)/12))))</f>
        <v>0</v>
      </c>
      <c r="FU55" s="43"/>
      <c r="FV55" s="34"/>
      <c r="FW55" s="34"/>
      <c r="FX55" s="34"/>
      <c r="FY55" s="34"/>
      <c r="FZ55" s="34"/>
    </row>
    <row r="56" spans="1:182" s="89" customFormat="1" ht="13.5" x14ac:dyDescent="0.25">
      <c r="A56" s="34"/>
      <c r="B56" s="128" t="str">
        <f>'Operating Assumptions'!F22</f>
        <v>Blank</v>
      </c>
      <c r="C56" s="34"/>
      <c r="D56" s="34"/>
      <c r="E56" s="34"/>
      <c r="F56" s="434">
        <f t="shared" si="148"/>
        <v>0</v>
      </c>
      <c r="G56" s="34"/>
      <c r="H56" s="427">
        <f>IF(OR(H$9&lt;'Operating Assumptions'!$D$53,H$6&gt;'Operating Assumptions'!$AA$8,'Operating Assumptions'!$G22="N/A"),0,IF('Operating Assumptions'!$G22="$/Unit/Annual",(('Operating Assumptions'!$H22*H$23)*H$36)/12,IF('Operating Assumptions'!$G22="$/Unit/Month",('Operating Assumptions'!$H22*H$23)*H$36,IF('Operating Assumptions'!$G22="Fixed Amount",('Operating Assumptions'!$H22*H$23)/12))))</f>
        <v>0</v>
      </c>
      <c r="I56" s="427">
        <f>IF(OR(I$9&lt;'Operating Assumptions'!$D$53,I$6&gt;'Operating Assumptions'!$AA$8,'Operating Assumptions'!$G22="N/A"),0,IF('Operating Assumptions'!$G22="$/Unit/Annual",(('Operating Assumptions'!$H22*I$23)*I$36)/12,IF('Operating Assumptions'!$G22="$/Unit/Month",('Operating Assumptions'!$H22*I$23)*I$36,IF('Operating Assumptions'!$G22="Fixed Amount",('Operating Assumptions'!$H22*I$23)/12))))</f>
        <v>0</v>
      </c>
      <c r="J56" s="427">
        <f>IF(OR(J$9&lt;'Operating Assumptions'!$D$53,J$6&gt;'Operating Assumptions'!$AA$8,'Operating Assumptions'!$G22="N/A"),0,IF('Operating Assumptions'!$G22="$/Unit/Annual",(('Operating Assumptions'!$H22*J$23)*J$36)/12,IF('Operating Assumptions'!$G22="$/Unit/Month",('Operating Assumptions'!$H22*J$23)*J$36,IF('Operating Assumptions'!$G22="Fixed Amount",('Operating Assumptions'!$H22*J$23)/12))))</f>
        <v>0</v>
      </c>
      <c r="K56" s="427">
        <f>IF(OR(K$9&lt;'Operating Assumptions'!$D$53,K$6&gt;'Operating Assumptions'!$AA$8,'Operating Assumptions'!$G22="N/A"),0,IF('Operating Assumptions'!$G22="$/Unit/Annual",(('Operating Assumptions'!$H22*K$23)*K$36)/12,IF('Operating Assumptions'!$G22="$/Unit/Month",('Operating Assumptions'!$H22*K$23)*K$36,IF('Operating Assumptions'!$G22="Fixed Amount",('Operating Assumptions'!$H22*K$23)/12))))</f>
        <v>0</v>
      </c>
      <c r="L56" s="427">
        <f>IF(OR(L$9&lt;'Operating Assumptions'!$D$53,L$6&gt;'Operating Assumptions'!$AA$8,'Operating Assumptions'!$G22="N/A"),0,IF('Operating Assumptions'!$G22="$/Unit/Annual",(('Operating Assumptions'!$H22*L$23)*L$36)/12,IF('Operating Assumptions'!$G22="$/Unit/Month",('Operating Assumptions'!$H22*L$23)*L$36,IF('Operating Assumptions'!$G22="Fixed Amount",('Operating Assumptions'!$H22*L$23)/12))))</f>
        <v>0</v>
      </c>
      <c r="M56" s="427">
        <f>IF(OR(M$9&lt;'Operating Assumptions'!$D$53,M$6&gt;'Operating Assumptions'!$AA$8,'Operating Assumptions'!$G22="N/A"),0,IF('Operating Assumptions'!$G22="$/Unit/Annual",(('Operating Assumptions'!$H22*M$23)*M$36)/12,IF('Operating Assumptions'!$G22="$/Unit/Month",('Operating Assumptions'!$H22*M$23)*M$36,IF('Operating Assumptions'!$G22="Fixed Amount",('Operating Assumptions'!$H22*M$23)/12))))</f>
        <v>0</v>
      </c>
      <c r="N56" s="427">
        <f>IF(OR(N$9&lt;'Operating Assumptions'!$D$53,N$6&gt;'Operating Assumptions'!$AA$8,'Operating Assumptions'!$G22="N/A"),0,IF('Operating Assumptions'!$G22="$/Unit/Annual",(('Operating Assumptions'!$H22*N$23)*N$36)/12,IF('Operating Assumptions'!$G22="$/Unit/Month",('Operating Assumptions'!$H22*N$23)*N$36,IF('Operating Assumptions'!$G22="Fixed Amount",('Operating Assumptions'!$H22*N$23)/12))))</f>
        <v>0</v>
      </c>
      <c r="O56" s="427">
        <f>IF(OR(O$9&lt;'Operating Assumptions'!$D$53,O$6&gt;'Operating Assumptions'!$AA$8,'Operating Assumptions'!$G22="N/A"),0,IF('Operating Assumptions'!$G22="$/Unit/Annual",(('Operating Assumptions'!$H22*O$23)*O$36)/12,IF('Operating Assumptions'!$G22="$/Unit/Month",('Operating Assumptions'!$H22*O$23)*O$36,IF('Operating Assumptions'!$G22="Fixed Amount",('Operating Assumptions'!$H22*O$23)/12))))</f>
        <v>0</v>
      </c>
      <c r="P56" s="427">
        <f>IF(OR(P$9&lt;'Operating Assumptions'!$D$53,P$6&gt;'Operating Assumptions'!$AA$8,'Operating Assumptions'!$G22="N/A"),0,IF('Operating Assumptions'!$G22="$/Unit/Annual",(('Operating Assumptions'!$H22*P$23)*P$36)/12,IF('Operating Assumptions'!$G22="$/Unit/Month",('Operating Assumptions'!$H22*P$23)*P$36,IF('Operating Assumptions'!$G22="Fixed Amount",('Operating Assumptions'!$H22*P$23)/12))))</f>
        <v>0</v>
      </c>
      <c r="Q56" s="427">
        <f>IF(OR(Q$9&lt;'Operating Assumptions'!$D$53,Q$6&gt;'Operating Assumptions'!$AA$8,'Operating Assumptions'!$G22="N/A"),0,IF('Operating Assumptions'!$G22="$/Unit/Annual",(('Operating Assumptions'!$H22*Q$23)*Q$36)/12,IF('Operating Assumptions'!$G22="$/Unit/Month",('Operating Assumptions'!$H22*Q$23)*Q$36,IF('Operating Assumptions'!$G22="Fixed Amount",('Operating Assumptions'!$H22*Q$23)/12))))</f>
        <v>0</v>
      </c>
      <c r="R56" s="427">
        <f>IF(OR(R$9&lt;'Operating Assumptions'!$D$53,R$6&gt;'Operating Assumptions'!$AA$8,'Operating Assumptions'!$G22="N/A"),0,IF('Operating Assumptions'!$G22="$/Unit/Annual",(('Operating Assumptions'!$H22*R$23)*R$36)/12,IF('Operating Assumptions'!$G22="$/Unit/Month",('Operating Assumptions'!$H22*R$23)*R$36,IF('Operating Assumptions'!$G22="Fixed Amount",('Operating Assumptions'!$H22*R$23)/12))))</f>
        <v>0</v>
      </c>
      <c r="S56" s="427">
        <f>IF(OR(S$9&lt;'Operating Assumptions'!$D$53,S$6&gt;'Operating Assumptions'!$AA$8,'Operating Assumptions'!$G22="N/A"),0,IF('Operating Assumptions'!$G22="$/Unit/Annual",(('Operating Assumptions'!$H22*S$23)*S$36)/12,IF('Operating Assumptions'!$G22="$/Unit/Month",('Operating Assumptions'!$H22*S$23)*S$36,IF('Operating Assumptions'!$G22="Fixed Amount",('Operating Assumptions'!$H22*S$23)/12))))</f>
        <v>0</v>
      </c>
      <c r="T56" s="427">
        <f>IF(OR(T$9&lt;'Operating Assumptions'!$D$53,T$6&gt;'Operating Assumptions'!$AA$8,'Operating Assumptions'!$G22="N/A"),0,IF('Operating Assumptions'!$G22="$/Unit/Annual",(('Operating Assumptions'!$H22*T$23)*T$36)/12,IF('Operating Assumptions'!$G22="$/Unit/Month",('Operating Assumptions'!$H22*T$23)*T$36,IF('Operating Assumptions'!$G22="Fixed Amount",('Operating Assumptions'!$H22*T$23)/12))))</f>
        <v>0</v>
      </c>
      <c r="U56" s="427">
        <f>IF(OR(U$9&lt;'Operating Assumptions'!$D$53,U$6&gt;'Operating Assumptions'!$AA$8,'Operating Assumptions'!$G22="N/A"),0,IF('Operating Assumptions'!$G22="$/Unit/Annual",(('Operating Assumptions'!$H22*U$23)*U$36)/12,IF('Operating Assumptions'!$G22="$/Unit/Month",('Operating Assumptions'!$H22*U$23)*U$36,IF('Operating Assumptions'!$G22="Fixed Amount",('Operating Assumptions'!$H22*U$23)/12))))</f>
        <v>0</v>
      </c>
      <c r="V56" s="427">
        <f>IF(OR(V$9&lt;'Operating Assumptions'!$D$53,V$6&gt;'Operating Assumptions'!$AA$8,'Operating Assumptions'!$G22="N/A"),0,IF('Operating Assumptions'!$G22="$/Unit/Annual",(('Operating Assumptions'!$H22*V$23)*V$36)/12,IF('Operating Assumptions'!$G22="$/Unit/Month",('Operating Assumptions'!$H22*V$23)*V$36,IF('Operating Assumptions'!$G22="Fixed Amount",('Operating Assumptions'!$H22*V$23)/12))))</f>
        <v>0</v>
      </c>
      <c r="W56" s="427">
        <f>IF(OR(W$9&lt;'Operating Assumptions'!$D$53,W$6&gt;'Operating Assumptions'!$AA$8,'Operating Assumptions'!$G22="N/A"),0,IF('Operating Assumptions'!$G22="$/Unit/Annual",(('Operating Assumptions'!$H22*W$23)*W$36)/12,IF('Operating Assumptions'!$G22="$/Unit/Month",('Operating Assumptions'!$H22*W$23)*W$36,IF('Operating Assumptions'!$G22="Fixed Amount",('Operating Assumptions'!$H22*W$23)/12))))</f>
        <v>0</v>
      </c>
      <c r="X56" s="427">
        <f>IF(OR(X$9&lt;'Operating Assumptions'!$D$53,X$6&gt;'Operating Assumptions'!$AA$8,'Operating Assumptions'!$G22="N/A"),0,IF('Operating Assumptions'!$G22="$/Unit/Annual",(('Operating Assumptions'!$H22*X$23)*X$36)/12,IF('Operating Assumptions'!$G22="$/Unit/Month",('Operating Assumptions'!$H22*X$23)*X$36,IF('Operating Assumptions'!$G22="Fixed Amount",('Operating Assumptions'!$H22*X$23)/12))))</f>
        <v>0</v>
      </c>
      <c r="Y56" s="427">
        <f>IF(OR(Y$9&lt;'Operating Assumptions'!$D$53,Y$6&gt;'Operating Assumptions'!$AA$8,'Operating Assumptions'!$G22="N/A"),0,IF('Operating Assumptions'!$G22="$/Unit/Annual",(('Operating Assumptions'!$H22*Y$23)*Y$36)/12,IF('Operating Assumptions'!$G22="$/Unit/Month",('Operating Assumptions'!$H22*Y$23)*Y$36,IF('Operating Assumptions'!$G22="Fixed Amount",('Operating Assumptions'!$H22*Y$23)/12))))</f>
        <v>0</v>
      </c>
      <c r="Z56" s="427">
        <f>IF(OR(Z$9&lt;'Operating Assumptions'!$D$53,Z$6&gt;'Operating Assumptions'!$AA$8,'Operating Assumptions'!$G22="N/A"),0,IF('Operating Assumptions'!$G22="$/Unit/Annual",(('Operating Assumptions'!$H22*Z$23)*Z$36)/12,IF('Operating Assumptions'!$G22="$/Unit/Month",('Operating Assumptions'!$H22*Z$23)*Z$36,IF('Operating Assumptions'!$G22="Fixed Amount",('Operating Assumptions'!$H22*Z$23)/12))))</f>
        <v>0</v>
      </c>
      <c r="AA56" s="427">
        <f>IF(OR(AA$9&lt;'Operating Assumptions'!$D$53,AA$6&gt;'Operating Assumptions'!$AA$8,'Operating Assumptions'!$G22="N/A"),0,IF('Operating Assumptions'!$G22="$/Unit/Annual",(('Operating Assumptions'!$H22*AA$23)*AA$36)/12,IF('Operating Assumptions'!$G22="$/Unit/Month",('Operating Assumptions'!$H22*AA$23)*AA$36,IF('Operating Assumptions'!$G22="Fixed Amount",('Operating Assumptions'!$H22*AA$23)/12))))</f>
        <v>0</v>
      </c>
      <c r="AB56" s="427">
        <f>IF(OR(AB$9&lt;'Operating Assumptions'!$D$53,AB$6&gt;'Operating Assumptions'!$AA$8,'Operating Assumptions'!$G22="N/A"),0,IF('Operating Assumptions'!$G22="$/Unit/Annual",(('Operating Assumptions'!$H22*AB$23)*AB$36)/12,IF('Operating Assumptions'!$G22="$/Unit/Month",('Operating Assumptions'!$H22*AB$23)*AB$36,IF('Operating Assumptions'!$G22="Fixed Amount",('Operating Assumptions'!$H22*AB$23)/12))))</f>
        <v>0</v>
      </c>
      <c r="AC56" s="427">
        <f>IF(OR(AC$9&lt;'Operating Assumptions'!$D$53,AC$6&gt;'Operating Assumptions'!$AA$8,'Operating Assumptions'!$G22="N/A"),0,IF('Operating Assumptions'!$G22="$/Unit/Annual",(('Operating Assumptions'!$H22*AC$23)*AC$36)/12,IF('Operating Assumptions'!$G22="$/Unit/Month",('Operating Assumptions'!$H22*AC$23)*AC$36,IF('Operating Assumptions'!$G22="Fixed Amount",('Operating Assumptions'!$H22*AC$23)/12))))</f>
        <v>0</v>
      </c>
      <c r="AD56" s="427">
        <f>IF(OR(AD$9&lt;'Operating Assumptions'!$D$53,AD$6&gt;'Operating Assumptions'!$AA$8,'Operating Assumptions'!$G22="N/A"),0,IF('Operating Assumptions'!$G22="$/Unit/Annual",(('Operating Assumptions'!$H22*AD$23)*AD$36)/12,IF('Operating Assumptions'!$G22="$/Unit/Month",('Operating Assumptions'!$H22*AD$23)*AD$36,IF('Operating Assumptions'!$G22="Fixed Amount",('Operating Assumptions'!$H22*AD$23)/12))))</f>
        <v>0</v>
      </c>
      <c r="AE56" s="427">
        <f>IF(OR(AE$9&lt;'Operating Assumptions'!$D$53,AE$6&gt;'Operating Assumptions'!$AA$8,'Operating Assumptions'!$G22="N/A"),0,IF('Operating Assumptions'!$G22="$/Unit/Annual",(('Operating Assumptions'!$H22*AE$23)*AE$36)/12,IF('Operating Assumptions'!$G22="$/Unit/Month",('Operating Assumptions'!$H22*AE$23)*AE$36,IF('Operating Assumptions'!$G22="Fixed Amount",('Operating Assumptions'!$H22*AE$23)/12))))</f>
        <v>0</v>
      </c>
      <c r="AF56" s="427">
        <f>IF(OR(AF$9&lt;'Operating Assumptions'!$D$53,AF$6&gt;'Operating Assumptions'!$AA$8,'Operating Assumptions'!$G22="N/A"),0,IF('Operating Assumptions'!$G22="$/Unit/Annual",(('Operating Assumptions'!$H22*AF$23)*AF$36)/12,IF('Operating Assumptions'!$G22="$/Unit/Month",('Operating Assumptions'!$H22*AF$23)*AF$36,IF('Operating Assumptions'!$G22="Fixed Amount",('Operating Assumptions'!$H22*AF$23)/12))))</f>
        <v>0</v>
      </c>
      <c r="AG56" s="427">
        <f>IF(OR(AG$9&lt;'Operating Assumptions'!$D$53,AG$6&gt;'Operating Assumptions'!$AA$8,'Operating Assumptions'!$G22="N/A"),0,IF('Operating Assumptions'!$G22="$/Unit/Annual",(('Operating Assumptions'!$H22*AG$23)*AG$36)/12,IF('Operating Assumptions'!$G22="$/Unit/Month",('Operating Assumptions'!$H22*AG$23)*AG$36,IF('Operating Assumptions'!$G22="Fixed Amount",('Operating Assumptions'!$H22*AG$23)/12))))</f>
        <v>0</v>
      </c>
      <c r="AH56" s="427">
        <f>IF(OR(AH$9&lt;'Operating Assumptions'!$D$53,AH$6&gt;'Operating Assumptions'!$AA$8,'Operating Assumptions'!$G22="N/A"),0,IF('Operating Assumptions'!$G22="$/Unit/Annual",(('Operating Assumptions'!$H22*AH$23)*AH$36)/12,IF('Operating Assumptions'!$G22="$/Unit/Month",('Operating Assumptions'!$H22*AH$23)*AH$36,IF('Operating Assumptions'!$G22="Fixed Amount",('Operating Assumptions'!$H22*AH$23)/12))))</f>
        <v>0</v>
      </c>
      <c r="AI56" s="427">
        <f>IF(OR(AI$9&lt;'Operating Assumptions'!$D$53,AI$6&gt;'Operating Assumptions'!$AA$8,'Operating Assumptions'!$G22="N/A"),0,IF('Operating Assumptions'!$G22="$/Unit/Annual",(('Operating Assumptions'!$H22*AI$23)*AI$36)/12,IF('Operating Assumptions'!$G22="$/Unit/Month",('Operating Assumptions'!$H22*AI$23)*AI$36,IF('Operating Assumptions'!$G22="Fixed Amount",('Operating Assumptions'!$H22*AI$23)/12))))</f>
        <v>0</v>
      </c>
      <c r="AJ56" s="427">
        <f>IF(OR(AJ$9&lt;'Operating Assumptions'!$D$53,AJ$6&gt;'Operating Assumptions'!$AA$8,'Operating Assumptions'!$G22="N/A"),0,IF('Operating Assumptions'!$G22="$/Unit/Annual",(('Operating Assumptions'!$H22*AJ$23)*AJ$36)/12,IF('Operating Assumptions'!$G22="$/Unit/Month",('Operating Assumptions'!$H22*AJ$23)*AJ$36,IF('Operating Assumptions'!$G22="Fixed Amount",('Operating Assumptions'!$H22*AJ$23)/12))))</f>
        <v>0</v>
      </c>
      <c r="AK56" s="427">
        <f>IF(OR(AK$9&lt;'Operating Assumptions'!$D$53,AK$6&gt;'Operating Assumptions'!$AA$8,'Operating Assumptions'!$G22="N/A"),0,IF('Operating Assumptions'!$G22="$/Unit/Annual",(('Operating Assumptions'!$H22*AK$23)*AK$36)/12,IF('Operating Assumptions'!$G22="$/Unit/Month",('Operating Assumptions'!$H22*AK$23)*AK$36,IF('Operating Assumptions'!$G22="Fixed Amount",('Operating Assumptions'!$H22*AK$23)/12))))</f>
        <v>0</v>
      </c>
      <c r="AL56" s="427">
        <f>IF(OR(AL$9&lt;'Operating Assumptions'!$D$53,AL$6&gt;'Operating Assumptions'!$AA$8,'Operating Assumptions'!$G22="N/A"),0,IF('Operating Assumptions'!$G22="$/Unit/Annual",(('Operating Assumptions'!$H22*AL$23)*AL$36)/12,IF('Operating Assumptions'!$G22="$/Unit/Month",('Operating Assumptions'!$H22*AL$23)*AL$36,IF('Operating Assumptions'!$G22="Fixed Amount",('Operating Assumptions'!$H22*AL$23)/12))))</f>
        <v>0</v>
      </c>
      <c r="AM56" s="427">
        <f>IF(OR(AM$9&lt;'Operating Assumptions'!$D$53,AM$6&gt;'Operating Assumptions'!$AA$8,'Operating Assumptions'!$G22="N/A"),0,IF('Operating Assumptions'!$G22="$/Unit/Annual",(('Operating Assumptions'!$H22*AM$23)*AM$36)/12,IF('Operating Assumptions'!$G22="$/Unit/Month",('Operating Assumptions'!$H22*AM$23)*AM$36,IF('Operating Assumptions'!$G22="Fixed Amount",('Operating Assumptions'!$H22*AM$23)/12))))</f>
        <v>0</v>
      </c>
      <c r="AN56" s="427">
        <f>IF(OR(AN$9&lt;'Operating Assumptions'!$D$53,AN$6&gt;'Operating Assumptions'!$AA$8,'Operating Assumptions'!$G22="N/A"),0,IF('Operating Assumptions'!$G22="$/Unit/Annual",(('Operating Assumptions'!$H22*AN$23)*AN$36)/12,IF('Operating Assumptions'!$G22="$/Unit/Month",('Operating Assumptions'!$H22*AN$23)*AN$36,IF('Operating Assumptions'!$G22="Fixed Amount",('Operating Assumptions'!$H22*AN$23)/12))))</f>
        <v>0</v>
      </c>
      <c r="AO56" s="427">
        <f>IF(OR(AO$9&lt;'Operating Assumptions'!$D$53,AO$6&gt;'Operating Assumptions'!$AA$8,'Operating Assumptions'!$G22="N/A"),0,IF('Operating Assumptions'!$G22="$/Unit/Annual",(('Operating Assumptions'!$H22*AO$23)*AO$36)/12,IF('Operating Assumptions'!$G22="$/Unit/Month",('Operating Assumptions'!$H22*AO$23)*AO$36,IF('Operating Assumptions'!$G22="Fixed Amount",('Operating Assumptions'!$H22*AO$23)/12))))</f>
        <v>0</v>
      </c>
      <c r="AP56" s="427">
        <f>IF(OR(AP$9&lt;'Operating Assumptions'!$D$53,AP$6&gt;'Operating Assumptions'!$AA$8,'Operating Assumptions'!$G22="N/A"),0,IF('Operating Assumptions'!$G22="$/Unit/Annual",(('Operating Assumptions'!$H22*AP$23)*AP$36)/12,IF('Operating Assumptions'!$G22="$/Unit/Month",('Operating Assumptions'!$H22*AP$23)*AP$36,IF('Operating Assumptions'!$G22="Fixed Amount",('Operating Assumptions'!$H22*AP$23)/12))))</f>
        <v>0</v>
      </c>
      <c r="AQ56" s="427">
        <f>IF(OR(AQ$9&lt;'Operating Assumptions'!$D$53,AQ$6&gt;'Operating Assumptions'!$AA$8,'Operating Assumptions'!$G22="N/A"),0,IF('Operating Assumptions'!$G22="$/Unit/Annual",(('Operating Assumptions'!$H22*AQ$23)*AQ$36)/12,IF('Operating Assumptions'!$G22="$/Unit/Month",('Operating Assumptions'!$H22*AQ$23)*AQ$36,IF('Operating Assumptions'!$G22="Fixed Amount",('Operating Assumptions'!$H22*AQ$23)/12))))</f>
        <v>0</v>
      </c>
      <c r="AR56" s="427">
        <f>IF(OR(AR$9&lt;'Operating Assumptions'!$D$53,AR$6&gt;'Operating Assumptions'!$AA$8,'Operating Assumptions'!$G22="N/A"),0,IF('Operating Assumptions'!$G22="$/Unit/Annual",(('Operating Assumptions'!$H22*AR$23)*AR$36)/12,IF('Operating Assumptions'!$G22="$/Unit/Month",('Operating Assumptions'!$H22*AR$23)*AR$36,IF('Operating Assumptions'!$G22="Fixed Amount",('Operating Assumptions'!$H22*AR$23)/12))))</f>
        <v>0</v>
      </c>
      <c r="AS56" s="427">
        <f>IF(OR(AS$9&lt;'Operating Assumptions'!$D$53,AS$6&gt;'Operating Assumptions'!$AA$8,'Operating Assumptions'!$G22="N/A"),0,IF('Operating Assumptions'!$G22="$/Unit/Annual",(('Operating Assumptions'!$H22*AS$23)*AS$36)/12,IF('Operating Assumptions'!$G22="$/Unit/Month",('Operating Assumptions'!$H22*AS$23)*AS$36,IF('Operating Assumptions'!$G22="Fixed Amount",('Operating Assumptions'!$H22*AS$23)/12))))</f>
        <v>0</v>
      </c>
      <c r="AT56" s="427">
        <f>IF(OR(AT$9&lt;'Operating Assumptions'!$D$53,AT$6&gt;'Operating Assumptions'!$AA$8,'Operating Assumptions'!$G22="N/A"),0,IF('Operating Assumptions'!$G22="$/Unit/Annual",(('Operating Assumptions'!$H22*AT$23)*AT$36)/12,IF('Operating Assumptions'!$G22="$/Unit/Month",('Operating Assumptions'!$H22*AT$23)*AT$36,IF('Operating Assumptions'!$G22="Fixed Amount",('Operating Assumptions'!$H22*AT$23)/12))))</f>
        <v>0</v>
      </c>
      <c r="AU56" s="427">
        <f>IF(OR(AU$9&lt;'Operating Assumptions'!$D$53,AU$6&gt;'Operating Assumptions'!$AA$8,'Operating Assumptions'!$G22="N/A"),0,IF('Operating Assumptions'!$G22="$/Unit/Annual",(('Operating Assumptions'!$H22*AU$23)*AU$36)/12,IF('Operating Assumptions'!$G22="$/Unit/Month",('Operating Assumptions'!$H22*AU$23)*AU$36,IF('Operating Assumptions'!$G22="Fixed Amount",('Operating Assumptions'!$H22*AU$23)/12))))</f>
        <v>0</v>
      </c>
      <c r="AV56" s="427">
        <f>IF(OR(AV$9&lt;'Operating Assumptions'!$D$53,AV$6&gt;'Operating Assumptions'!$AA$8,'Operating Assumptions'!$G22="N/A"),0,IF('Operating Assumptions'!$G22="$/Unit/Annual",(('Operating Assumptions'!$H22*AV$23)*AV$36)/12,IF('Operating Assumptions'!$G22="$/Unit/Month",('Operating Assumptions'!$H22*AV$23)*AV$36,IF('Operating Assumptions'!$G22="Fixed Amount",('Operating Assumptions'!$H22*AV$23)/12))))</f>
        <v>0</v>
      </c>
      <c r="AW56" s="427">
        <f>IF(OR(AW$9&lt;'Operating Assumptions'!$D$53,AW$6&gt;'Operating Assumptions'!$AA$8,'Operating Assumptions'!$G22="N/A"),0,IF('Operating Assumptions'!$G22="$/Unit/Annual",(('Operating Assumptions'!$H22*AW$23)*AW$36)/12,IF('Operating Assumptions'!$G22="$/Unit/Month",('Operating Assumptions'!$H22*AW$23)*AW$36,IF('Operating Assumptions'!$G22="Fixed Amount",('Operating Assumptions'!$H22*AW$23)/12))))</f>
        <v>0</v>
      </c>
      <c r="AX56" s="427">
        <f>IF(OR(AX$9&lt;'Operating Assumptions'!$D$53,AX$6&gt;'Operating Assumptions'!$AA$8,'Operating Assumptions'!$G22="N/A"),0,IF('Operating Assumptions'!$G22="$/Unit/Annual",(('Operating Assumptions'!$H22*AX$23)*AX$36)/12,IF('Operating Assumptions'!$G22="$/Unit/Month",('Operating Assumptions'!$H22*AX$23)*AX$36,IF('Operating Assumptions'!$G22="Fixed Amount",('Operating Assumptions'!$H22*AX$23)/12))))</f>
        <v>0</v>
      </c>
      <c r="AY56" s="427">
        <f>IF(OR(AY$9&lt;'Operating Assumptions'!$D$53,AY$6&gt;'Operating Assumptions'!$AA$8,'Operating Assumptions'!$G22="N/A"),0,IF('Operating Assumptions'!$G22="$/Unit/Annual",(('Operating Assumptions'!$H22*AY$23)*AY$36)/12,IF('Operating Assumptions'!$G22="$/Unit/Month",('Operating Assumptions'!$H22*AY$23)*AY$36,IF('Operating Assumptions'!$G22="Fixed Amount",('Operating Assumptions'!$H22*AY$23)/12))))</f>
        <v>0</v>
      </c>
      <c r="AZ56" s="427">
        <f>IF(OR(AZ$9&lt;'Operating Assumptions'!$D$53,AZ$6&gt;'Operating Assumptions'!$AA$8,'Operating Assumptions'!$G22="N/A"),0,IF('Operating Assumptions'!$G22="$/Unit/Annual",(('Operating Assumptions'!$H22*AZ$23)*AZ$36)/12,IF('Operating Assumptions'!$G22="$/Unit/Month",('Operating Assumptions'!$H22*AZ$23)*AZ$36,IF('Operating Assumptions'!$G22="Fixed Amount",('Operating Assumptions'!$H22*AZ$23)/12))))</f>
        <v>0</v>
      </c>
      <c r="BA56" s="427">
        <f>IF(OR(BA$9&lt;'Operating Assumptions'!$D$53,BA$6&gt;'Operating Assumptions'!$AA$8,'Operating Assumptions'!$G22="N/A"),0,IF('Operating Assumptions'!$G22="$/Unit/Annual",(('Operating Assumptions'!$H22*BA$23)*BA$36)/12,IF('Operating Assumptions'!$G22="$/Unit/Month",('Operating Assumptions'!$H22*BA$23)*BA$36,IF('Operating Assumptions'!$G22="Fixed Amount",('Operating Assumptions'!$H22*BA$23)/12))))</f>
        <v>0</v>
      </c>
      <c r="BB56" s="427">
        <f>IF(OR(BB$9&lt;'Operating Assumptions'!$D$53,BB$6&gt;'Operating Assumptions'!$AA$8,'Operating Assumptions'!$G22="N/A"),0,IF('Operating Assumptions'!$G22="$/Unit/Annual",(('Operating Assumptions'!$H22*BB$23)*BB$36)/12,IF('Operating Assumptions'!$G22="$/Unit/Month",('Operating Assumptions'!$H22*BB$23)*BB$36,IF('Operating Assumptions'!$G22="Fixed Amount",('Operating Assumptions'!$H22*BB$23)/12))))</f>
        <v>0</v>
      </c>
      <c r="BC56" s="427">
        <f>IF(OR(BC$9&lt;'Operating Assumptions'!$D$53,BC$6&gt;'Operating Assumptions'!$AA$8,'Operating Assumptions'!$G22="N/A"),0,IF('Operating Assumptions'!$G22="$/Unit/Annual",(('Operating Assumptions'!$H22*BC$23)*BC$36)/12,IF('Operating Assumptions'!$G22="$/Unit/Month",('Operating Assumptions'!$H22*BC$23)*BC$36,IF('Operating Assumptions'!$G22="Fixed Amount",('Operating Assumptions'!$H22*BC$23)/12))))</f>
        <v>0</v>
      </c>
      <c r="BD56" s="427">
        <f>IF(OR(BD$9&lt;'Operating Assumptions'!$D$53,BD$6&gt;'Operating Assumptions'!$AA$8,'Operating Assumptions'!$G22="N/A"),0,IF('Operating Assumptions'!$G22="$/Unit/Annual",(('Operating Assumptions'!$H22*BD$23)*BD$36)/12,IF('Operating Assumptions'!$G22="$/Unit/Month",('Operating Assumptions'!$H22*BD$23)*BD$36,IF('Operating Assumptions'!$G22="Fixed Amount",('Operating Assumptions'!$H22*BD$23)/12))))</f>
        <v>0</v>
      </c>
      <c r="BE56" s="427">
        <f>IF(OR(BE$9&lt;'Operating Assumptions'!$D$53,BE$6&gt;'Operating Assumptions'!$AA$8,'Operating Assumptions'!$G22="N/A"),0,IF('Operating Assumptions'!$G22="$/Unit/Annual",(('Operating Assumptions'!$H22*BE$23)*BE$36)/12,IF('Operating Assumptions'!$G22="$/Unit/Month",('Operating Assumptions'!$H22*BE$23)*BE$36,IF('Operating Assumptions'!$G22="Fixed Amount",('Operating Assumptions'!$H22*BE$23)/12))))</f>
        <v>0</v>
      </c>
      <c r="BF56" s="427">
        <f>IF(OR(BF$9&lt;'Operating Assumptions'!$D$53,BF$6&gt;'Operating Assumptions'!$AA$8,'Operating Assumptions'!$G22="N/A"),0,IF('Operating Assumptions'!$G22="$/Unit/Annual",(('Operating Assumptions'!$H22*BF$23)*BF$36)/12,IF('Operating Assumptions'!$G22="$/Unit/Month",('Operating Assumptions'!$H22*BF$23)*BF$36,IF('Operating Assumptions'!$G22="Fixed Amount",('Operating Assumptions'!$H22*BF$23)/12))))</f>
        <v>0</v>
      </c>
      <c r="BG56" s="427">
        <f>IF(OR(BG$9&lt;'Operating Assumptions'!$D$53,BG$6&gt;'Operating Assumptions'!$AA$8,'Operating Assumptions'!$G22="N/A"),0,IF('Operating Assumptions'!$G22="$/Unit/Annual",(('Operating Assumptions'!$H22*BG$23)*BG$36)/12,IF('Operating Assumptions'!$G22="$/Unit/Month",('Operating Assumptions'!$H22*BG$23)*BG$36,IF('Operating Assumptions'!$G22="Fixed Amount",('Operating Assumptions'!$H22*BG$23)/12))))</f>
        <v>0</v>
      </c>
      <c r="BH56" s="427">
        <f>IF(OR(BH$9&lt;'Operating Assumptions'!$D$53,BH$6&gt;'Operating Assumptions'!$AA$8,'Operating Assumptions'!$G22="N/A"),0,IF('Operating Assumptions'!$G22="$/Unit/Annual",(('Operating Assumptions'!$H22*BH$23)*BH$36)/12,IF('Operating Assumptions'!$G22="$/Unit/Month",('Operating Assumptions'!$H22*BH$23)*BH$36,IF('Operating Assumptions'!$G22="Fixed Amount",('Operating Assumptions'!$H22*BH$23)/12))))</f>
        <v>0</v>
      </c>
      <c r="BI56" s="427">
        <f>IF(OR(BI$9&lt;'Operating Assumptions'!$D$53,BI$6&gt;'Operating Assumptions'!$AA$8,'Operating Assumptions'!$G22="N/A"),0,IF('Operating Assumptions'!$G22="$/Unit/Annual",(('Operating Assumptions'!$H22*BI$23)*BI$36)/12,IF('Operating Assumptions'!$G22="$/Unit/Month",('Operating Assumptions'!$H22*BI$23)*BI$36,IF('Operating Assumptions'!$G22="Fixed Amount",('Operating Assumptions'!$H22*BI$23)/12))))</f>
        <v>0</v>
      </c>
      <c r="BJ56" s="427">
        <f>IF(OR(BJ$9&lt;'Operating Assumptions'!$D$53,BJ$6&gt;'Operating Assumptions'!$AA$8,'Operating Assumptions'!$G22="N/A"),0,IF('Operating Assumptions'!$G22="$/Unit/Annual",(('Operating Assumptions'!$H22*BJ$23)*BJ$36)/12,IF('Operating Assumptions'!$G22="$/Unit/Month",('Operating Assumptions'!$H22*BJ$23)*BJ$36,IF('Operating Assumptions'!$G22="Fixed Amount",('Operating Assumptions'!$H22*BJ$23)/12))))</f>
        <v>0</v>
      </c>
      <c r="BK56" s="427">
        <f>IF(OR(BK$9&lt;'Operating Assumptions'!$D$53,BK$6&gt;'Operating Assumptions'!$AA$8,'Operating Assumptions'!$G22="N/A"),0,IF('Operating Assumptions'!$G22="$/Unit/Annual",(('Operating Assumptions'!$H22*BK$23)*BK$36)/12,IF('Operating Assumptions'!$G22="$/Unit/Month",('Operating Assumptions'!$H22*BK$23)*BK$36,IF('Operating Assumptions'!$G22="Fixed Amount",('Operating Assumptions'!$H22*BK$23)/12))))</f>
        <v>0</v>
      </c>
      <c r="BL56" s="427">
        <f>IF(OR(BL$9&lt;'Operating Assumptions'!$D$53,BL$6&gt;'Operating Assumptions'!$AA$8,'Operating Assumptions'!$G22="N/A"),0,IF('Operating Assumptions'!$G22="$/Unit/Annual",(('Operating Assumptions'!$H22*BL$23)*BL$36)/12,IF('Operating Assumptions'!$G22="$/Unit/Month",('Operating Assumptions'!$H22*BL$23)*BL$36,IF('Operating Assumptions'!$G22="Fixed Amount",('Operating Assumptions'!$H22*BL$23)/12))))</f>
        <v>0</v>
      </c>
      <c r="BM56" s="427">
        <f>IF(OR(BM$9&lt;'Operating Assumptions'!$D$53,BM$6&gt;'Operating Assumptions'!$AA$8,'Operating Assumptions'!$G22="N/A"),0,IF('Operating Assumptions'!$G22="$/Unit/Annual",(('Operating Assumptions'!$H22*BM$23)*BM$36)/12,IF('Operating Assumptions'!$G22="$/Unit/Month",('Operating Assumptions'!$H22*BM$23)*BM$36,IF('Operating Assumptions'!$G22="Fixed Amount",('Operating Assumptions'!$H22*BM$23)/12))))</f>
        <v>0</v>
      </c>
      <c r="BN56" s="427">
        <f>IF(OR(BN$9&lt;'Operating Assumptions'!$D$53,BN$6&gt;'Operating Assumptions'!$AA$8,'Operating Assumptions'!$G22="N/A"),0,IF('Operating Assumptions'!$G22="$/Unit/Annual",(('Operating Assumptions'!$H22*BN$23)*BN$36)/12,IF('Operating Assumptions'!$G22="$/Unit/Month",('Operating Assumptions'!$H22*BN$23)*BN$36,IF('Operating Assumptions'!$G22="Fixed Amount",('Operating Assumptions'!$H22*BN$23)/12))))</f>
        <v>0</v>
      </c>
      <c r="BO56" s="427">
        <f>IF(OR(BO$9&lt;'Operating Assumptions'!$D$53,BO$6&gt;'Operating Assumptions'!$AA$8,'Operating Assumptions'!$G22="N/A"),0,IF('Operating Assumptions'!$G22="$/Unit/Annual",(('Operating Assumptions'!$H22*BO$23)*BO$36)/12,IF('Operating Assumptions'!$G22="$/Unit/Month",('Operating Assumptions'!$H22*BO$23)*BO$36,IF('Operating Assumptions'!$G22="Fixed Amount",('Operating Assumptions'!$H22*BO$23)/12))))</f>
        <v>0</v>
      </c>
      <c r="BP56" s="427">
        <f>IF(OR(BP$9&lt;'Operating Assumptions'!$D$53,BP$6&gt;'Operating Assumptions'!$AA$8,'Operating Assumptions'!$G22="N/A"),0,IF('Operating Assumptions'!$G22="$/Unit/Annual",(('Operating Assumptions'!$H22*BP$23)*BP$36)/12,IF('Operating Assumptions'!$G22="$/Unit/Month",('Operating Assumptions'!$H22*BP$23)*BP$36,IF('Operating Assumptions'!$G22="Fixed Amount",('Operating Assumptions'!$H22*BP$23)/12))))</f>
        <v>0</v>
      </c>
      <c r="BQ56" s="427">
        <f>IF(OR(BQ$9&lt;'Operating Assumptions'!$D$53,BQ$6&gt;'Operating Assumptions'!$AA$8,'Operating Assumptions'!$G22="N/A"),0,IF('Operating Assumptions'!$G22="$/Unit/Annual",(('Operating Assumptions'!$H22*BQ$23)*BQ$36)/12,IF('Operating Assumptions'!$G22="$/Unit/Month",('Operating Assumptions'!$H22*BQ$23)*BQ$36,IF('Operating Assumptions'!$G22="Fixed Amount",('Operating Assumptions'!$H22*BQ$23)/12))))</f>
        <v>0</v>
      </c>
      <c r="BR56" s="427">
        <f>IF(OR(BR$9&lt;'Operating Assumptions'!$D$53,BR$6&gt;'Operating Assumptions'!$AA$8,'Operating Assumptions'!$G22="N/A"),0,IF('Operating Assumptions'!$G22="$/Unit/Annual",(('Operating Assumptions'!$H22*BR$23)*BR$36)/12,IF('Operating Assumptions'!$G22="$/Unit/Month",('Operating Assumptions'!$H22*BR$23)*BR$36,IF('Operating Assumptions'!$G22="Fixed Amount",('Operating Assumptions'!$H22*BR$23)/12))))</f>
        <v>0</v>
      </c>
      <c r="BS56" s="427">
        <f>IF(OR(BS$9&lt;'Operating Assumptions'!$D$53,BS$6&gt;'Operating Assumptions'!$AA$8,'Operating Assumptions'!$G22="N/A"),0,IF('Operating Assumptions'!$G22="$/Unit/Annual",(('Operating Assumptions'!$H22*BS$23)*BS$36)/12,IF('Operating Assumptions'!$G22="$/Unit/Month",('Operating Assumptions'!$H22*BS$23)*BS$36,IF('Operating Assumptions'!$G22="Fixed Amount",('Operating Assumptions'!$H22*BS$23)/12))))</f>
        <v>0</v>
      </c>
      <c r="BT56" s="427">
        <f>IF(OR(BT$9&lt;'Operating Assumptions'!$D$53,BT$6&gt;'Operating Assumptions'!$AA$8,'Operating Assumptions'!$G22="N/A"),0,IF('Operating Assumptions'!$G22="$/Unit/Annual",(('Operating Assumptions'!$H22*BT$23)*BT$36)/12,IF('Operating Assumptions'!$G22="$/Unit/Month",('Operating Assumptions'!$H22*BT$23)*BT$36,IF('Operating Assumptions'!$G22="Fixed Amount",('Operating Assumptions'!$H22*BT$23)/12))))</f>
        <v>0</v>
      </c>
      <c r="BU56" s="427">
        <f>IF(OR(BU$9&lt;'Operating Assumptions'!$D$53,BU$6&gt;'Operating Assumptions'!$AA$8,'Operating Assumptions'!$G22="N/A"),0,IF('Operating Assumptions'!$G22="$/Unit/Annual",(('Operating Assumptions'!$H22*BU$23)*BU$36)/12,IF('Operating Assumptions'!$G22="$/Unit/Month",('Operating Assumptions'!$H22*BU$23)*BU$36,IF('Operating Assumptions'!$G22="Fixed Amount",('Operating Assumptions'!$H22*BU$23)/12))))</f>
        <v>0</v>
      </c>
      <c r="BV56" s="427">
        <f>IF(OR(BV$9&lt;'Operating Assumptions'!$D$53,BV$6&gt;'Operating Assumptions'!$AA$8,'Operating Assumptions'!$G22="N/A"),0,IF('Operating Assumptions'!$G22="$/Unit/Annual",(('Operating Assumptions'!$H22*BV$23)*BV$36)/12,IF('Operating Assumptions'!$G22="$/Unit/Month",('Operating Assumptions'!$H22*BV$23)*BV$36,IF('Operating Assumptions'!$G22="Fixed Amount",('Operating Assumptions'!$H22*BV$23)/12))))</f>
        <v>0</v>
      </c>
      <c r="BW56" s="427">
        <f>IF(OR(BW$9&lt;'Operating Assumptions'!$D$53,BW$6&gt;'Operating Assumptions'!$AA$8,'Operating Assumptions'!$G22="N/A"),0,IF('Operating Assumptions'!$G22="$/Unit/Annual",(('Operating Assumptions'!$H22*BW$23)*BW$36)/12,IF('Operating Assumptions'!$G22="$/Unit/Month",('Operating Assumptions'!$H22*BW$23)*BW$36,IF('Operating Assumptions'!$G22="Fixed Amount",('Operating Assumptions'!$H22*BW$23)/12))))</f>
        <v>0</v>
      </c>
      <c r="BX56" s="427">
        <f>IF(OR(BX$9&lt;'Operating Assumptions'!$D$53,BX$6&gt;'Operating Assumptions'!$AA$8,'Operating Assumptions'!$G22="N/A"),0,IF('Operating Assumptions'!$G22="$/Unit/Annual",(('Operating Assumptions'!$H22*BX$23)*BX$36)/12,IF('Operating Assumptions'!$G22="$/Unit/Month",('Operating Assumptions'!$H22*BX$23)*BX$36,IF('Operating Assumptions'!$G22="Fixed Amount",('Operating Assumptions'!$H22*BX$23)/12))))</f>
        <v>0</v>
      </c>
      <c r="BY56" s="427">
        <f>IF(OR(BY$9&lt;'Operating Assumptions'!$D$53,BY$6&gt;'Operating Assumptions'!$AA$8,'Operating Assumptions'!$G22="N/A"),0,IF('Operating Assumptions'!$G22="$/Unit/Annual",(('Operating Assumptions'!$H22*BY$23)*BY$36)/12,IF('Operating Assumptions'!$G22="$/Unit/Month",('Operating Assumptions'!$H22*BY$23)*BY$36,IF('Operating Assumptions'!$G22="Fixed Amount",('Operating Assumptions'!$H22*BY$23)/12))))</f>
        <v>0</v>
      </c>
      <c r="BZ56" s="427">
        <f>IF(OR(BZ$9&lt;'Operating Assumptions'!$D$53,BZ$6&gt;'Operating Assumptions'!$AA$8,'Operating Assumptions'!$G22="N/A"),0,IF('Operating Assumptions'!$G22="$/Unit/Annual",(('Operating Assumptions'!$H22*BZ$23)*BZ$36)/12,IF('Operating Assumptions'!$G22="$/Unit/Month",('Operating Assumptions'!$H22*BZ$23)*BZ$36,IF('Operating Assumptions'!$G22="Fixed Amount",('Operating Assumptions'!$H22*BZ$23)/12))))</f>
        <v>0</v>
      </c>
      <c r="CA56" s="427">
        <f>IF(OR(CA$9&lt;'Operating Assumptions'!$D$53,CA$6&gt;'Operating Assumptions'!$AA$8,'Operating Assumptions'!$G22="N/A"),0,IF('Operating Assumptions'!$G22="$/Unit/Annual",(('Operating Assumptions'!$H22*CA$23)*CA$36)/12,IF('Operating Assumptions'!$G22="$/Unit/Month",('Operating Assumptions'!$H22*CA$23)*CA$36,IF('Operating Assumptions'!$G22="Fixed Amount",('Operating Assumptions'!$H22*CA$23)/12))))</f>
        <v>0</v>
      </c>
      <c r="CB56" s="427">
        <f>IF(OR(CB$9&lt;'Operating Assumptions'!$D$53,CB$6&gt;'Operating Assumptions'!$AA$8,'Operating Assumptions'!$G22="N/A"),0,IF('Operating Assumptions'!$G22="$/Unit/Annual",(('Operating Assumptions'!$H22*CB$23)*CB$36)/12,IF('Operating Assumptions'!$G22="$/Unit/Month",('Operating Assumptions'!$H22*CB$23)*CB$36,IF('Operating Assumptions'!$G22="Fixed Amount",('Operating Assumptions'!$H22*CB$23)/12))))</f>
        <v>0</v>
      </c>
      <c r="CC56" s="427">
        <f>IF(OR(CC$9&lt;'Operating Assumptions'!$D$53,CC$6&gt;'Operating Assumptions'!$AA$8,'Operating Assumptions'!$G22="N/A"),0,IF('Operating Assumptions'!$G22="$/Unit/Annual",(('Operating Assumptions'!$H22*CC$23)*CC$36)/12,IF('Operating Assumptions'!$G22="$/Unit/Month",('Operating Assumptions'!$H22*CC$23)*CC$36,IF('Operating Assumptions'!$G22="Fixed Amount",('Operating Assumptions'!$H22*CC$23)/12))))</f>
        <v>0</v>
      </c>
      <c r="CD56" s="427">
        <f>IF(OR(CD$9&lt;'Operating Assumptions'!$D$53,CD$6&gt;'Operating Assumptions'!$AA$8,'Operating Assumptions'!$G22="N/A"),0,IF('Operating Assumptions'!$G22="$/Unit/Annual",(('Operating Assumptions'!$H22*CD$23)*CD$36)/12,IF('Operating Assumptions'!$G22="$/Unit/Month",('Operating Assumptions'!$H22*CD$23)*CD$36,IF('Operating Assumptions'!$G22="Fixed Amount",('Operating Assumptions'!$H22*CD$23)/12))))</f>
        <v>0</v>
      </c>
      <c r="CE56" s="427">
        <f>IF(OR(CE$9&lt;'Operating Assumptions'!$D$53,CE$6&gt;'Operating Assumptions'!$AA$8,'Operating Assumptions'!$G22="N/A"),0,IF('Operating Assumptions'!$G22="$/Unit/Annual",(('Operating Assumptions'!$H22*CE$23)*CE$36)/12,IF('Operating Assumptions'!$G22="$/Unit/Month",('Operating Assumptions'!$H22*CE$23)*CE$36,IF('Operating Assumptions'!$G22="Fixed Amount",('Operating Assumptions'!$H22*CE$23)/12))))</f>
        <v>0</v>
      </c>
      <c r="CF56" s="427">
        <f>IF(OR(CF$9&lt;'Operating Assumptions'!$D$53,CF$6&gt;'Operating Assumptions'!$AA$8,'Operating Assumptions'!$G22="N/A"),0,IF('Operating Assumptions'!$G22="$/Unit/Annual",(('Operating Assumptions'!$H22*CF$23)*CF$36)/12,IF('Operating Assumptions'!$G22="$/Unit/Month",('Operating Assumptions'!$H22*CF$23)*CF$36,IF('Operating Assumptions'!$G22="Fixed Amount",('Operating Assumptions'!$H22*CF$23)/12))))</f>
        <v>0</v>
      </c>
      <c r="CG56" s="427">
        <f>IF(OR(CG$9&lt;'Operating Assumptions'!$D$53,CG$6&gt;'Operating Assumptions'!$AA$8,'Operating Assumptions'!$G22="N/A"),0,IF('Operating Assumptions'!$G22="$/Unit/Annual",(('Operating Assumptions'!$H22*CG$23)*CG$36)/12,IF('Operating Assumptions'!$G22="$/Unit/Month",('Operating Assumptions'!$H22*CG$23)*CG$36,IF('Operating Assumptions'!$G22="Fixed Amount",('Operating Assumptions'!$H22*CG$23)/12))))</f>
        <v>0</v>
      </c>
      <c r="CH56" s="427">
        <f>IF(OR(CH$9&lt;'Operating Assumptions'!$D$53,CH$6&gt;'Operating Assumptions'!$AA$8,'Operating Assumptions'!$G22="N/A"),0,IF('Operating Assumptions'!$G22="$/Unit/Annual",(('Operating Assumptions'!$H22*CH$23)*CH$36)/12,IF('Operating Assumptions'!$G22="$/Unit/Month",('Operating Assumptions'!$H22*CH$23)*CH$36,IF('Operating Assumptions'!$G22="Fixed Amount",('Operating Assumptions'!$H22*CH$23)/12))))</f>
        <v>0</v>
      </c>
      <c r="CI56" s="427">
        <f>IF(OR(CI$9&lt;'Operating Assumptions'!$D$53,CI$6&gt;'Operating Assumptions'!$AA$8,'Operating Assumptions'!$G22="N/A"),0,IF('Operating Assumptions'!$G22="$/Unit/Annual",(('Operating Assumptions'!$H22*CI$23)*CI$36)/12,IF('Operating Assumptions'!$G22="$/Unit/Month",('Operating Assumptions'!$H22*CI$23)*CI$36,IF('Operating Assumptions'!$G22="Fixed Amount",('Operating Assumptions'!$H22*CI$23)/12))))</f>
        <v>0</v>
      </c>
      <c r="CJ56" s="427">
        <f>IF(OR(CJ$9&lt;'Operating Assumptions'!$D$53,CJ$6&gt;'Operating Assumptions'!$AA$8,'Operating Assumptions'!$G22="N/A"),0,IF('Operating Assumptions'!$G22="$/Unit/Annual",(('Operating Assumptions'!$H22*CJ$23)*CJ$36)/12,IF('Operating Assumptions'!$G22="$/Unit/Month",('Operating Assumptions'!$H22*CJ$23)*CJ$36,IF('Operating Assumptions'!$G22="Fixed Amount",('Operating Assumptions'!$H22*CJ$23)/12))))</f>
        <v>0</v>
      </c>
      <c r="CK56" s="427">
        <f>IF(OR(CK$9&lt;'Operating Assumptions'!$D$53,CK$6&gt;'Operating Assumptions'!$AA$8,'Operating Assumptions'!$G22="N/A"),0,IF('Operating Assumptions'!$G22="$/Unit/Annual",(('Operating Assumptions'!$H22*CK$23)*CK$36)/12,IF('Operating Assumptions'!$G22="$/Unit/Month",('Operating Assumptions'!$H22*CK$23)*CK$36,IF('Operating Assumptions'!$G22="Fixed Amount",('Operating Assumptions'!$H22*CK$23)/12))))</f>
        <v>0</v>
      </c>
      <c r="CL56" s="427">
        <f>IF(OR(CL$9&lt;'Operating Assumptions'!$D$53,CL$6&gt;'Operating Assumptions'!$AA$8,'Operating Assumptions'!$G22="N/A"),0,IF('Operating Assumptions'!$G22="$/Unit/Annual",(('Operating Assumptions'!$H22*CL$23)*CL$36)/12,IF('Operating Assumptions'!$G22="$/Unit/Month",('Operating Assumptions'!$H22*CL$23)*CL$36,IF('Operating Assumptions'!$G22="Fixed Amount",('Operating Assumptions'!$H22*CL$23)/12))))</f>
        <v>0</v>
      </c>
      <c r="CM56" s="427">
        <f>IF(OR(CM$9&lt;'Operating Assumptions'!$D$53,CM$6&gt;'Operating Assumptions'!$AA$8,'Operating Assumptions'!$G22="N/A"),0,IF('Operating Assumptions'!$G22="$/Unit/Annual",(('Operating Assumptions'!$H22*CM$23)*CM$36)/12,IF('Operating Assumptions'!$G22="$/Unit/Month",('Operating Assumptions'!$H22*CM$23)*CM$36,IF('Operating Assumptions'!$G22="Fixed Amount",('Operating Assumptions'!$H22*CM$23)/12))))</f>
        <v>0</v>
      </c>
      <c r="CN56" s="427">
        <f>IF(OR(CN$9&lt;'Operating Assumptions'!$D$53,CN$6&gt;'Operating Assumptions'!$AA$8,'Operating Assumptions'!$G22="N/A"),0,IF('Operating Assumptions'!$G22="$/Unit/Annual",(('Operating Assumptions'!$H22*CN$23)*CN$36)/12,IF('Operating Assumptions'!$G22="$/Unit/Month",('Operating Assumptions'!$H22*CN$23)*CN$36,IF('Operating Assumptions'!$G22="Fixed Amount",('Operating Assumptions'!$H22*CN$23)/12))))</f>
        <v>0</v>
      </c>
      <c r="CO56" s="427">
        <f>IF(OR(CO$9&lt;'Operating Assumptions'!$D$53,CO$6&gt;'Operating Assumptions'!$AA$8,'Operating Assumptions'!$G22="N/A"),0,IF('Operating Assumptions'!$G22="$/Unit/Annual",(('Operating Assumptions'!$H22*CO$23)*CO$36)/12,IF('Operating Assumptions'!$G22="$/Unit/Month",('Operating Assumptions'!$H22*CO$23)*CO$36,IF('Operating Assumptions'!$G22="Fixed Amount",('Operating Assumptions'!$H22*CO$23)/12))))</f>
        <v>0</v>
      </c>
      <c r="CP56" s="427">
        <f>IF(OR(CP$9&lt;'Operating Assumptions'!$D$53,CP$6&gt;'Operating Assumptions'!$AA$8,'Operating Assumptions'!$G22="N/A"),0,IF('Operating Assumptions'!$G22="$/Unit/Annual",(('Operating Assumptions'!$H22*CP$23)*CP$36)/12,IF('Operating Assumptions'!$G22="$/Unit/Month",('Operating Assumptions'!$H22*CP$23)*CP$36,IF('Operating Assumptions'!$G22="Fixed Amount",('Operating Assumptions'!$H22*CP$23)/12))))</f>
        <v>0</v>
      </c>
      <c r="CQ56" s="427">
        <f>IF(OR(CQ$9&lt;'Operating Assumptions'!$D$53,CQ$6&gt;'Operating Assumptions'!$AA$8,'Operating Assumptions'!$G22="N/A"),0,IF('Operating Assumptions'!$G22="$/Unit/Annual",(('Operating Assumptions'!$H22*CQ$23)*CQ$36)/12,IF('Operating Assumptions'!$G22="$/Unit/Month",('Operating Assumptions'!$H22*CQ$23)*CQ$36,IF('Operating Assumptions'!$G22="Fixed Amount",('Operating Assumptions'!$H22*CQ$23)/12))))</f>
        <v>0</v>
      </c>
      <c r="CR56" s="427">
        <f>IF(OR(CR$9&lt;'Operating Assumptions'!$D$53,CR$6&gt;'Operating Assumptions'!$AA$8,'Operating Assumptions'!$G22="N/A"),0,IF('Operating Assumptions'!$G22="$/Unit/Annual",(('Operating Assumptions'!$H22*CR$23)*CR$36)/12,IF('Operating Assumptions'!$G22="$/Unit/Month",('Operating Assumptions'!$H22*CR$23)*CR$36,IF('Operating Assumptions'!$G22="Fixed Amount",('Operating Assumptions'!$H22*CR$23)/12))))</f>
        <v>0</v>
      </c>
      <c r="CS56" s="427">
        <f>IF(OR(CS$9&lt;'Operating Assumptions'!$D$53,CS$6&gt;'Operating Assumptions'!$AA$8,'Operating Assumptions'!$G22="N/A"),0,IF('Operating Assumptions'!$G22="$/Unit/Annual",(('Operating Assumptions'!$H22*CS$23)*CS$36)/12,IF('Operating Assumptions'!$G22="$/Unit/Month",('Operating Assumptions'!$H22*CS$23)*CS$36,IF('Operating Assumptions'!$G22="Fixed Amount",('Operating Assumptions'!$H22*CS$23)/12))))</f>
        <v>0</v>
      </c>
      <c r="CT56" s="427">
        <f>IF(OR(CT$9&lt;'Operating Assumptions'!$D$53,CT$6&gt;'Operating Assumptions'!$AA$8,'Operating Assumptions'!$G22="N/A"),0,IF('Operating Assumptions'!$G22="$/Unit/Annual",(('Operating Assumptions'!$H22*CT$23)*CT$36)/12,IF('Operating Assumptions'!$G22="$/Unit/Month",('Operating Assumptions'!$H22*CT$23)*CT$36,IF('Operating Assumptions'!$G22="Fixed Amount",('Operating Assumptions'!$H22*CT$23)/12))))</f>
        <v>0</v>
      </c>
      <c r="CU56" s="427">
        <f>IF(OR(CU$9&lt;'Operating Assumptions'!$D$53,CU$6&gt;'Operating Assumptions'!$AA$8,'Operating Assumptions'!$G22="N/A"),0,IF('Operating Assumptions'!$G22="$/Unit/Annual",(('Operating Assumptions'!$H22*CU$23)*CU$36)/12,IF('Operating Assumptions'!$G22="$/Unit/Month",('Operating Assumptions'!$H22*CU$23)*CU$36,IF('Operating Assumptions'!$G22="Fixed Amount",('Operating Assumptions'!$H22*CU$23)/12))))</f>
        <v>0</v>
      </c>
      <c r="CV56" s="427">
        <f>IF(OR(CV$9&lt;'Operating Assumptions'!$D$53,CV$6&gt;'Operating Assumptions'!$AA$8,'Operating Assumptions'!$G22="N/A"),0,IF('Operating Assumptions'!$G22="$/Unit/Annual",(('Operating Assumptions'!$H22*CV$23)*CV$36)/12,IF('Operating Assumptions'!$G22="$/Unit/Month",('Operating Assumptions'!$H22*CV$23)*CV$36,IF('Operating Assumptions'!$G22="Fixed Amount",('Operating Assumptions'!$H22*CV$23)/12))))</f>
        <v>0</v>
      </c>
      <c r="CW56" s="427">
        <f>IF(OR(CW$9&lt;'Operating Assumptions'!$D$53,CW$6&gt;'Operating Assumptions'!$AA$8,'Operating Assumptions'!$G22="N/A"),0,IF('Operating Assumptions'!$G22="$/Unit/Annual",(('Operating Assumptions'!$H22*CW$23)*CW$36)/12,IF('Operating Assumptions'!$G22="$/Unit/Month",('Operating Assumptions'!$H22*CW$23)*CW$36,IF('Operating Assumptions'!$G22="Fixed Amount",('Operating Assumptions'!$H22*CW$23)/12))))</f>
        <v>0</v>
      </c>
      <c r="CX56" s="427">
        <f>IF(OR(CX$9&lt;'Operating Assumptions'!$D$53,CX$6&gt;'Operating Assumptions'!$AA$8,'Operating Assumptions'!$G22="N/A"),0,IF('Operating Assumptions'!$G22="$/Unit/Annual",(('Operating Assumptions'!$H22*CX$23)*CX$36)/12,IF('Operating Assumptions'!$G22="$/Unit/Month",('Operating Assumptions'!$H22*CX$23)*CX$36,IF('Operating Assumptions'!$G22="Fixed Amount",('Operating Assumptions'!$H22*CX$23)/12))))</f>
        <v>0</v>
      </c>
      <c r="CY56" s="427">
        <f>IF(OR(CY$9&lt;'Operating Assumptions'!$D$53,CY$6&gt;'Operating Assumptions'!$AA$8,'Operating Assumptions'!$G22="N/A"),0,IF('Operating Assumptions'!$G22="$/Unit/Annual",(('Operating Assumptions'!$H22*CY$23)*CY$36)/12,IF('Operating Assumptions'!$G22="$/Unit/Month",('Operating Assumptions'!$H22*CY$23)*CY$36,IF('Operating Assumptions'!$G22="Fixed Amount",('Operating Assumptions'!$H22*CY$23)/12))))</f>
        <v>0</v>
      </c>
      <c r="CZ56" s="427">
        <f>IF(OR(CZ$9&lt;'Operating Assumptions'!$D$53,CZ$6&gt;'Operating Assumptions'!$AA$8,'Operating Assumptions'!$G22="N/A"),0,IF('Operating Assumptions'!$G22="$/Unit/Annual",(('Operating Assumptions'!$H22*CZ$23)*CZ$36)/12,IF('Operating Assumptions'!$G22="$/Unit/Month",('Operating Assumptions'!$H22*CZ$23)*CZ$36,IF('Operating Assumptions'!$G22="Fixed Amount",('Operating Assumptions'!$H22*CZ$23)/12))))</f>
        <v>0</v>
      </c>
      <c r="DA56" s="427">
        <f>IF(OR(DA$9&lt;'Operating Assumptions'!$D$53,DA$6&gt;'Operating Assumptions'!$AA$8,'Operating Assumptions'!$G22="N/A"),0,IF('Operating Assumptions'!$G22="$/Unit/Annual",(('Operating Assumptions'!$H22*DA$23)*DA$36)/12,IF('Operating Assumptions'!$G22="$/Unit/Month",('Operating Assumptions'!$H22*DA$23)*DA$36,IF('Operating Assumptions'!$G22="Fixed Amount",('Operating Assumptions'!$H22*DA$23)/12))))</f>
        <v>0</v>
      </c>
      <c r="DB56" s="427">
        <f>IF(OR(DB$9&lt;'Operating Assumptions'!$D$53,DB$6&gt;'Operating Assumptions'!$AA$8,'Operating Assumptions'!$G22="N/A"),0,IF('Operating Assumptions'!$G22="$/Unit/Annual",(('Operating Assumptions'!$H22*DB$23)*DB$36)/12,IF('Operating Assumptions'!$G22="$/Unit/Month",('Operating Assumptions'!$H22*DB$23)*DB$36,IF('Operating Assumptions'!$G22="Fixed Amount",('Operating Assumptions'!$H22*DB$23)/12))))</f>
        <v>0</v>
      </c>
      <c r="DC56" s="427">
        <f>IF(OR(DC$9&lt;'Operating Assumptions'!$D$53,DC$6&gt;'Operating Assumptions'!$AA$8,'Operating Assumptions'!$G22="N/A"),0,IF('Operating Assumptions'!$G22="$/Unit/Annual",(('Operating Assumptions'!$H22*DC$23)*DC$36)/12,IF('Operating Assumptions'!$G22="$/Unit/Month",('Operating Assumptions'!$H22*DC$23)*DC$36,IF('Operating Assumptions'!$G22="Fixed Amount",('Operating Assumptions'!$H22*DC$23)/12))))</f>
        <v>0</v>
      </c>
      <c r="DD56" s="427">
        <f>IF(OR(DD$9&lt;'Operating Assumptions'!$D$53,DD$6&gt;'Operating Assumptions'!$AA$8,'Operating Assumptions'!$G22="N/A"),0,IF('Operating Assumptions'!$G22="$/Unit/Annual",(('Operating Assumptions'!$H22*DD$23)*DD$36)/12,IF('Operating Assumptions'!$G22="$/Unit/Month",('Operating Assumptions'!$H22*DD$23)*DD$36,IF('Operating Assumptions'!$G22="Fixed Amount",('Operating Assumptions'!$H22*DD$23)/12))))</f>
        <v>0</v>
      </c>
      <c r="DE56" s="427">
        <f>IF(OR(DE$9&lt;'Operating Assumptions'!$D$53,DE$6&gt;'Operating Assumptions'!$AA$8,'Operating Assumptions'!$G22="N/A"),0,IF('Operating Assumptions'!$G22="$/Unit/Annual",(('Operating Assumptions'!$H22*DE$23)*DE$36)/12,IF('Operating Assumptions'!$G22="$/Unit/Month",('Operating Assumptions'!$H22*DE$23)*DE$36,IF('Operating Assumptions'!$G22="Fixed Amount",('Operating Assumptions'!$H22*DE$23)/12))))</f>
        <v>0</v>
      </c>
      <c r="DF56" s="427">
        <f>IF(OR(DF$9&lt;'Operating Assumptions'!$D$53,DF$6&gt;'Operating Assumptions'!$AA$8,'Operating Assumptions'!$G22="N/A"),0,IF('Operating Assumptions'!$G22="$/Unit/Annual",(('Operating Assumptions'!$H22*DF$23)*DF$36)/12,IF('Operating Assumptions'!$G22="$/Unit/Month",('Operating Assumptions'!$H22*DF$23)*DF$36,IF('Operating Assumptions'!$G22="Fixed Amount",('Operating Assumptions'!$H22*DF$23)/12))))</f>
        <v>0</v>
      </c>
      <c r="DG56" s="427">
        <f>IF(OR(DG$9&lt;'Operating Assumptions'!$D$53,DG$6&gt;'Operating Assumptions'!$AA$8,'Operating Assumptions'!$G22="N/A"),0,IF('Operating Assumptions'!$G22="$/Unit/Annual",(('Operating Assumptions'!$H22*DG$23)*DG$36)/12,IF('Operating Assumptions'!$G22="$/Unit/Month",('Operating Assumptions'!$H22*DG$23)*DG$36,IF('Operating Assumptions'!$G22="Fixed Amount",('Operating Assumptions'!$H22*DG$23)/12))))</f>
        <v>0</v>
      </c>
      <c r="DH56" s="427">
        <f>IF(OR(DH$9&lt;'Operating Assumptions'!$D$53,DH$6&gt;'Operating Assumptions'!$AA$8,'Operating Assumptions'!$G22="N/A"),0,IF('Operating Assumptions'!$G22="$/Unit/Annual",(('Operating Assumptions'!$H22*DH$23)*DH$36)/12,IF('Operating Assumptions'!$G22="$/Unit/Month",('Operating Assumptions'!$H22*DH$23)*DH$36,IF('Operating Assumptions'!$G22="Fixed Amount",('Operating Assumptions'!$H22*DH$23)/12))))</f>
        <v>0</v>
      </c>
      <c r="DI56" s="427">
        <f>IF(OR(DI$9&lt;'Operating Assumptions'!$D$53,DI$6&gt;'Operating Assumptions'!$AA$8,'Operating Assumptions'!$G22="N/A"),0,IF('Operating Assumptions'!$G22="$/Unit/Annual",(('Operating Assumptions'!$H22*DI$23)*DI$36)/12,IF('Operating Assumptions'!$G22="$/Unit/Month",('Operating Assumptions'!$H22*DI$23)*DI$36,IF('Operating Assumptions'!$G22="Fixed Amount",('Operating Assumptions'!$H22*DI$23)/12))))</f>
        <v>0</v>
      </c>
      <c r="DJ56" s="427">
        <f>IF(OR(DJ$9&lt;'Operating Assumptions'!$D$53,DJ$6&gt;'Operating Assumptions'!$AA$8,'Operating Assumptions'!$G22="N/A"),0,IF('Operating Assumptions'!$G22="$/Unit/Annual",(('Operating Assumptions'!$H22*DJ$23)*DJ$36)/12,IF('Operating Assumptions'!$G22="$/Unit/Month",('Operating Assumptions'!$H22*DJ$23)*DJ$36,IF('Operating Assumptions'!$G22="Fixed Amount",('Operating Assumptions'!$H22*DJ$23)/12))))</f>
        <v>0</v>
      </c>
      <c r="DK56" s="427">
        <f>IF(OR(DK$9&lt;'Operating Assumptions'!$D$53,DK$6&gt;'Operating Assumptions'!$AA$8,'Operating Assumptions'!$G22="N/A"),0,IF('Operating Assumptions'!$G22="$/Unit/Annual",(('Operating Assumptions'!$H22*DK$23)*DK$36)/12,IF('Operating Assumptions'!$G22="$/Unit/Month",('Operating Assumptions'!$H22*DK$23)*DK$36,IF('Operating Assumptions'!$G22="Fixed Amount",('Operating Assumptions'!$H22*DK$23)/12))))</f>
        <v>0</v>
      </c>
      <c r="DL56" s="427">
        <f>IF(OR(DL$9&lt;'Operating Assumptions'!$D$53,DL$6&gt;'Operating Assumptions'!$AA$8,'Operating Assumptions'!$G22="N/A"),0,IF('Operating Assumptions'!$G22="$/Unit/Annual",(('Operating Assumptions'!$H22*DL$23)*DL$36)/12,IF('Operating Assumptions'!$G22="$/Unit/Month",('Operating Assumptions'!$H22*DL$23)*DL$36,IF('Operating Assumptions'!$G22="Fixed Amount",('Operating Assumptions'!$H22*DL$23)/12))))</f>
        <v>0</v>
      </c>
      <c r="DM56" s="427">
        <f>IF(OR(DM$9&lt;'Operating Assumptions'!$D$53,DM$6&gt;'Operating Assumptions'!$AA$8,'Operating Assumptions'!$G22="N/A"),0,IF('Operating Assumptions'!$G22="$/Unit/Annual",(('Operating Assumptions'!$H22*DM$23)*DM$36)/12,IF('Operating Assumptions'!$G22="$/Unit/Month",('Operating Assumptions'!$H22*DM$23)*DM$36,IF('Operating Assumptions'!$G22="Fixed Amount",('Operating Assumptions'!$H22*DM$23)/12))))</f>
        <v>0</v>
      </c>
      <c r="DN56" s="427">
        <f>IF(OR(DN$9&lt;'Operating Assumptions'!$D$53,DN$6&gt;'Operating Assumptions'!$AA$8,'Operating Assumptions'!$G22="N/A"),0,IF('Operating Assumptions'!$G22="$/Unit/Annual",(('Operating Assumptions'!$H22*DN$23)*DN$36)/12,IF('Operating Assumptions'!$G22="$/Unit/Month",('Operating Assumptions'!$H22*DN$23)*DN$36,IF('Operating Assumptions'!$G22="Fixed Amount",('Operating Assumptions'!$H22*DN$23)/12))))</f>
        <v>0</v>
      </c>
      <c r="DO56" s="427">
        <f>IF(OR(DO$9&lt;'Operating Assumptions'!$D$53,DO$6&gt;'Operating Assumptions'!$AA$8,'Operating Assumptions'!$G22="N/A"),0,IF('Operating Assumptions'!$G22="$/Unit/Annual",(('Operating Assumptions'!$H22*DO$23)*DO$36)/12,IF('Operating Assumptions'!$G22="$/Unit/Month",('Operating Assumptions'!$H22*DO$23)*DO$36,IF('Operating Assumptions'!$G22="Fixed Amount",('Operating Assumptions'!$H22*DO$23)/12))))</f>
        <v>0</v>
      </c>
      <c r="DP56" s="427">
        <f>IF(OR(DP$9&lt;'Operating Assumptions'!$D$53,DP$6&gt;'Operating Assumptions'!$AA$8,'Operating Assumptions'!$G22="N/A"),0,IF('Operating Assumptions'!$G22="$/Unit/Annual",(('Operating Assumptions'!$H22*DP$23)*DP$36)/12,IF('Operating Assumptions'!$G22="$/Unit/Month",('Operating Assumptions'!$H22*DP$23)*DP$36,IF('Operating Assumptions'!$G22="Fixed Amount",('Operating Assumptions'!$H22*DP$23)/12))))</f>
        <v>0</v>
      </c>
      <c r="DQ56" s="427">
        <f>IF(OR(DQ$9&lt;'Operating Assumptions'!$D$53,DQ$6&gt;'Operating Assumptions'!$AA$8,'Operating Assumptions'!$G22="N/A"),0,IF('Operating Assumptions'!$G22="$/Unit/Annual",(('Operating Assumptions'!$H22*DQ$23)*DQ$36)/12,IF('Operating Assumptions'!$G22="$/Unit/Month",('Operating Assumptions'!$H22*DQ$23)*DQ$36,IF('Operating Assumptions'!$G22="Fixed Amount",('Operating Assumptions'!$H22*DQ$23)/12))))</f>
        <v>0</v>
      </c>
      <c r="DR56" s="427">
        <f>IF(OR(DR$9&lt;'Operating Assumptions'!$D$53,DR$6&gt;'Operating Assumptions'!$AA$8,'Operating Assumptions'!$G22="N/A"),0,IF('Operating Assumptions'!$G22="$/Unit/Annual",(('Operating Assumptions'!$H22*DR$23)*DR$36)/12,IF('Operating Assumptions'!$G22="$/Unit/Month",('Operating Assumptions'!$H22*DR$23)*DR$36,IF('Operating Assumptions'!$G22="Fixed Amount",('Operating Assumptions'!$H22*DR$23)/12))))</f>
        <v>0</v>
      </c>
      <c r="DS56" s="427">
        <f>IF(OR(DS$9&lt;'Operating Assumptions'!$D$53,DS$6&gt;'Operating Assumptions'!$AA$8,'Operating Assumptions'!$G22="N/A"),0,IF('Operating Assumptions'!$G22="$/Unit/Annual",(('Operating Assumptions'!$H22*DS$23)*DS$36)/12,IF('Operating Assumptions'!$G22="$/Unit/Month",('Operating Assumptions'!$H22*DS$23)*DS$36,IF('Operating Assumptions'!$G22="Fixed Amount",('Operating Assumptions'!$H22*DS$23)/12))))</f>
        <v>0</v>
      </c>
      <c r="DT56" s="427">
        <f>IF(OR(DT$9&lt;'Operating Assumptions'!$D$53,DT$6&gt;'Operating Assumptions'!$AA$8,'Operating Assumptions'!$G22="N/A"),0,IF('Operating Assumptions'!$G22="$/Unit/Annual",(('Operating Assumptions'!$H22*DT$23)*DT$36)/12,IF('Operating Assumptions'!$G22="$/Unit/Month",('Operating Assumptions'!$H22*DT$23)*DT$36,IF('Operating Assumptions'!$G22="Fixed Amount",('Operating Assumptions'!$H22*DT$23)/12))))</f>
        <v>0</v>
      </c>
      <c r="DU56" s="427">
        <f>IF(OR(DU$9&lt;'Operating Assumptions'!$D$53,DU$6&gt;'Operating Assumptions'!$AA$8,'Operating Assumptions'!$G22="N/A"),0,IF('Operating Assumptions'!$G22="$/Unit/Annual",(('Operating Assumptions'!$H22*DU$23)*DU$36)/12,IF('Operating Assumptions'!$G22="$/Unit/Month",('Operating Assumptions'!$H22*DU$23)*DU$36,IF('Operating Assumptions'!$G22="Fixed Amount",('Operating Assumptions'!$H22*DU$23)/12))))</f>
        <v>0</v>
      </c>
      <c r="DV56" s="427">
        <f>IF(OR(DV$9&lt;'Operating Assumptions'!$D$53,DV$6&gt;'Operating Assumptions'!$AA$8,'Operating Assumptions'!$G22="N/A"),0,IF('Operating Assumptions'!$G22="$/Unit/Annual",(('Operating Assumptions'!$H22*DV$23)*DV$36)/12,IF('Operating Assumptions'!$G22="$/Unit/Month",('Operating Assumptions'!$H22*DV$23)*DV$36,IF('Operating Assumptions'!$G22="Fixed Amount",('Operating Assumptions'!$H22*DV$23)/12))))</f>
        <v>0</v>
      </c>
      <c r="DW56" s="427">
        <f>IF(OR(DW$9&lt;'Operating Assumptions'!$D$53,DW$6&gt;'Operating Assumptions'!$AA$8,'Operating Assumptions'!$G22="N/A"),0,IF('Operating Assumptions'!$G22="$/Unit/Annual",(('Operating Assumptions'!$H22*DW$23)*DW$36)/12,IF('Operating Assumptions'!$G22="$/Unit/Month",('Operating Assumptions'!$H22*DW$23)*DW$36,IF('Operating Assumptions'!$G22="Fixed Amount",('Operating Assumptions'!$H22*DW$23)/12))))</f>
        <v>0</v>
      </c>
      <c r="DX56" s="427">
        <f>IF(OR(DX$9&lt;'Operating Assumptions'!$D$53,DX$6&gt;'Operating Assumptions'!$AA$8,'Operating Assumptions'!$G22="N/A"),0,IF('Operating Assumptions'!$G22="$/Unit/Annual",(('Operating Assumptions'!$H22*DX$23)*DX$36)/12,IF('Operating Assumptions'!$G22="$/Unit/Month",('Operating Assumptions'!$H22*DX$23)*DX$36,IF('Operating Assumptions'!$G22="Fixed Amount",('Operating Assumptions'!$H22*DX$23)/12))))</f>
        <v>0</v>
      </c>
      <c r="DY56" s="427">
        <f>IF(OR(DY$9&lt;'Operating Assumptions'!$D$53,DY$6&gt;'Operating Assumptions'!$AA$8,'Operating Assumptions'!$G22="N/A"),0,IF('Operating Assumptions'!$G22="$/Unit/Annual",(('Operating Assumptions'!$H22*DY$23)*DY$36)/12,IF('Operating Assumptions'!$G22="$/Unit/Month",('Operating Assumptions'!$H22*DY$23)*DY$36,IF('Operating Assumptions'!$G22="Fixed Amount",('Operating Assumptions'!$H22*DY$23)/12))))</f>
        <v>0</v>
      </c>
      <c r="DZ56" s="427">
        <f>IF(OR(DZ$9&lt;'Operating Assumptions'!$D$53,DZ$6&gt;'Operating Assumptions'!$AA$8,'Operating Assumptions'!$G22="N/A"),0,IF('Operating Assumptions'!$G22="$/Unit/Annual",(('Operating Assumptions'!$H22*DZ$23)*DZ$36)/12,IF('Operating Assumptions'!$G22="$/Unit/Month",('Operating Assumptions'!$H22*DZ$23)*DZ$36,IF('Operating Assumptions'!$G22="Fixed Amount",('Operating Assumptions'!$H22*DZ$23)/12))))</f>
        <v>0</v>
      </c>
      <c r="EA56" s="427">
        <f>IF(OR(EA$9&lt;'Operating Assumptions'!$D$53,EA$6&gt;'Operating Assumptions'!$AA$8,'Operating Assumptions'!$G22="N/A"),0,IF('Operating Assumptions'!$G22="$/Unit/Annual",(('Operating Assumptions'!$H22*EA$23)*EA$36)/12,IF('Operating Assumptions'!$G22="$/Unit/Month",('Operating Assumptions'!$H22*EA$23)*EA$36,IF('Operating Assumptions'!$G22="Fixed Amount",('Operating Assumptions'!$H22*EA$23)/12))))</f>
        <v>0</v>
      </c>
      <c r="EB56" s="427">
        <f>IF(OR(EB$9&lt;'Operating Assumptions'!$D$53,EB$6&gt;'Operating Assumptions'!$AA$8,'Operating Assumptions'!$G22="N/A"),0,IF('Operating Assumptions'!$G22="$/Unit/Annual",(('Operating Assumptions'!$H22*EB$23)*EB$36)/12,IF('Operating Assumptions'!$G22="$/Unit/Month",('Operating Assumptions'!$H22*EB$23)*EB$36,IF('Operating Assumptions'!$G22="Fixed Amount",('Operating Assumptions'!$H22*EB$23)/12))))</f>
        <v>0</v>
      </c>
      <c r="EC56" s="427">
        <f>IF(OR(EC$9&lt;'Operating Assumptions'!$D$53,EC$6&gt;'Operating Assumptions'!$AA$8,'Operating Assumptions'!$G22="N/A"),0,IF('Operating Assumptions'!$G22="$/Unit/Annual",(('Operating Assumptions'!$H22*EC$23)*EC$36)/12,IF('Operating Assumptions'!$G22="$/Unit/Month",('Operating Assumptions'!$H22*EC$23)*EC$36,IF('Operating Assumptions'!$G22="Fixed Amount",('Operating Assumptions'!$H22*EC$23)/12))))</f>
        <v>0</v>
      </c>
      <c r="ED56" s="427">
        <f>IF(OR(ED$9&lt;'Operating Assumptions'!$D$53,ED$6&gt;'Operating Assumptions'!$AA$8,'Operating Assumptions'!$G22="N/A"),0,IF('Operating Assumptions'!$G22="$/Unit/Annual",(('Operating Assumptions'!$H22*ED$23)*ED$36)/12,IF('Operating Assumptions'!$G22="$/Unit/Month",('Operating Assumptions'!$H22*ED$23)*ED$36,IF('Operating Assumptions'!$G22="Fixed Amount",('Operating Assumptions'!$H22*ED$23)/12))))</f>
        <v>0</v>
      </c>
      <c r="EE56" s="427">
        <f>IF(OR(EE$9&lt;'Operating Assumptions'!$D$53,EE$6&gt;'Operating Assumptions'!$AA$8,'Operating Assumptions'!$G22="N/A"),0,IF('Operating Assumptions'!$G22="$/Unit/Annual",(('Operating Assumptions'!$H22*EE$23)*EE$36)/12,IF('Operating Assumptions'!$G22="$/Unit/Month",('Operating Assumptions'!$H22*EE$23)*EE$36,IF('Operating Assumptions'!$G22="Fixed Amount",('Operating Assumptions'!$H22*EE$23)/12))))</f>
        <v>0</v>
      </c>
      <c r="EF56" s="427">
        <f>IF(OR(EF$9&lt;'Operating Assumptions'!$D$53,EF$6&gt;'Operating Assumptions'!$AA$8,'Operating Assumptions'!$G22="N/A"),0,IF('Operating Assumptions'!$G22="$/Unit/Annual",(('Operating Assumptions'!$H22*EF$23)*EF$36)/12,IF('Operating Assumptions'!$G22="$/Unit/Month",('Operating Assumptions'!$H22*EF$23)*EF$36,IF('Operating Assumptions'!$G22="Fixed Amount",('Operating Assumptions'!$H22*EF$23)/12))))</f>
        <v>0</v>
      </c>
      <c r="EG56" s="427">
        <f>IF(OR(EG$9&lt;'Operating Assumptions'!$D$53,EG$6&gt;'Operating Assumptions'!$AA$8,'Operating Assumptions'!$G22="N/A"),0,IF('Operating Assumptions'!$G22="$/Unit/Annual",(('Operating Assumptions'!$H22*EG$23)*EG$36)/12,IF('Operating Assumptions'!$G22="$/Unit/Month",('Operating Assumptions'!$H22*EG$23)*EG$36,IF('Operating Assumptions'!$G22="Fixed Amount",('Operating Assumptions'!$H22*EG$23)/12))))</f>
        <v>0</v>
      </c>
      <c r="EH56" s="427">
        <f>IF(OR(EH$9&lt;'Operating Assumptions'!$D$53,EH$6&gt;'Operating Assumptions'!$AA$8,'Operating Assumptions'!$G22="N/A"),0,IF('Operating Assumptions'!$G22="$/Unit/Annual",(('Operating Assumptions'!$H22*EH$23)*EH$36)/12,IF('Operating Assumptions'!$G22="$/Unit/Month",('Operating Assumptions'!$H22*EH$23)*EH$36,IF('Operating Assumptions'!$G22="Fixed Amount",('Operating Assumptions'!$H22*EH$23)/12))))</f>
        <v>0</v>
      </c>
      <c r="EI56" s="427">
        <f>IF(OR(EI$9&lt;'Operating Assumptions'!$D$53,EI$6&gt;'Operating Assumptions'!$AA$8,'Operating Assumptions'!$G22="N/A"),0,IF('Operating Assumptions'!$G22="$/Unit/Annual",(('Operating Assumptions'!$H22*EI$23)*EI$36)/12,IF('Operating Assumptions'!$G22="$/Unit/Month",('Operating Assumptions'!$H22*EI$23)*EI$36,IF('Operating Assumptions'!$G22="Fixed Amount",('Operating Assumptions'!$H22*EI$23)/12))))</f>
        <v>0</v>
      </c>
      <c r="EJ56" s="427">
        <f>IF(OR(EJ$9&lt;'Operating Assumptions'!$D$53,EJ$6&gt;'Operating Assumptions'!$AA$8,'Operating Assumptions'!$G22="N/A"),0,IF('Operating Assumptions'!$G22="$/Unit/Annual",(('Operating Assumptions'!$H22*EJ$23)*EJ$36)/12,IF('Operating Assumptions'!$G22="$/Unit/Month",('Operating Assumptions'!$H22*EJ$23)*EJ$36,IF('Operating Assumptions'!$G22="Fixed Amount",('Operating Assumptions'!$H22*EJ$23)/12))))</f>
        <v>0</v>
      </c>
      <c r="EK56" s="427">
        <f>IF(OR(EK$9&lt;'Operating Assumptions'!$D$53,EK$6&gt;'Operating Assumptions'!$AA$8,'Operating Assumptions'!$G22="N/A"),0,IF('Operating Assumptions'!$G22="$/Unit/Annual",(('Operating Assumptions'!$H22*EK$23)*EK$36)/12,IF('Operating Assumptions'!$G22="$/Unit/Month",('Operating Assumptions'!$H22*EK$23)*EK$36,IF('Operating Assumptions'!$G22="Fixed Amount",('Operating Assumptions'!$H22*EK$23)/12))))</f>
        <v>0</v>
      </c>
      <c r="EL56" s="427">
        <f>IF(OR(EL$9&lt;'Operating Assumptions'!$D$53,EL$6&gt;'Operating Assumptions'!$AA$8,'Operating Assumptions'!$G22="N/A"),0,IF('Operating Assumptions'!$G22="$/Unit/Annual",(('Operating Assumptions'!$H22*EL$23)*EL$36)/12,IF('Operating Assumptions'!$G22="$/Unit/Month",('Operating Assumptions'!$H22*EL$23)*EL$36,IF('Operating Assumptions'!$G22="Fixed Amount",('Operating Assumptions'!$H22*EL$23)/12))))</f>
        <v>0</v>
      </c>
      <c r="EM56" s="427">
        <f>IF(OR(EM$9&lt;'Operating Assumptions'!$D$53,EM$6&gt;'Operating Assumptions'!$AA$8,'Operating Assumptions'!$G22="N/A"),0,IF('Operating Assumptions'!$G22="$/Unit/Annual",(('Operating Assumptions'!$H22*EM$23)*EM$36)/12,IF('Operating Assumptions'!$G22="$/Unit/Month",('Operating Assumptions'!$H22*EM$23)*EM$36,IF('Operating Assumptions'!$G22="Fixed Amount",('Operating Assumptions'!$H22*EM$23)/12))))</f>
        <v>0</v>
      </c>
      <c r="EN56" s="427">
        <f>IF(OR(EN$9&lt;'Operating Assumptions'!$D$53,EN$6&gt;'Operating Assumptions'!$AA$8,'Operating Assumptions'!$G22="N/A"),0,IF('Operating Assumptions'!$G22="$/Unit/Annual",(('Operating Assumptions'!$H22*EN$23)*EN$36)/12,IF('Operating Assumptions'!$G22="$/Unit/Month",('Operating Assumptions'!$H22*EN$23)*EN$36,IF('Operating Assumptions'!$G22="Fixed Amount",('Operating Assumptions'!$H22*EN$23)/12))))</f>
        <v>0</v>
      </c>
      <c r="EO56" s="427">
        <f>IF(OR(EO$9&lt;'Operating Assumptions'!$D$53,EO$6&gt;'Operating Assumptions'!$AA$8,'Operating Assumptions'!$G22="N/A"),0,IF('Operating Assumptions'!$G22="$/Unit/Annual",(('Operating Assumptions'!$H22*EO$23)*EO$36)/12,IF('Operating Assumptions'!$G22="$/Unit/Month",('Operating Assumptions'!$H22*EO$23)*EO$36,IF('Operating Assumptions'!$G22="Fixed Amount",('Operating Assumptions'!$H22*EO$23)/12))))</f>
        <v>0</v>
      </c>
      <c r="EP56" s="427">
        <f>IF(OR(EP$9&lt;'Operating Assumptions'!$D$53,EP$6&gt;'Operating Assumptions'!$AA$8,'Operating Assumptions'!$G22="N/A"),0,IF('Operating Assumptions'!$G22="$/Unit/Annual",(('Operating Assumptions'!$H22*EP$23)*EP$36)/12,IF('Operating Assumptions'!$G22="$/Unit/Month",('Operating Assumptions'!$H22*EP$23)*EP$36,IF('Operating Assumptions'!$G22="Fixed Amount",('Operating Assumptions'!$H22*EP$23)/12))))</f>
        <v>0</v>
      </c>
      <c r="EQ56" s="427">
        <f>IF(OR(EQ$9&lt;'Operating Assumptions'!$D$53,EQ$6&gt;'Operating Assumptions'!$AA$8,'Operating Assumptions'!$G22="N/A"),0,IF('Operating Assumptions'!$G22="$/Unit/Annual",(('Operating Assumptions'!$H22*EQ$23)*EQ$36)/12,IF('Operating Assumptions'!$G22="$/Unit/Month",('Operating Assumptions'!$H22*EQ$23)*EQ$36,IF('Operating Assumptions'!$G22="Fixed Amount",('Operating Assumptions'!$H22*EQ$23)/12))))</f>
        <v>0</v>
      </c>
      <c r="ER56" s="427">
        <f>IF(OR(ER$9&lt;'Operating Assumptions'!$D$53,ER$6&gt;'Operating Assumptions'!$AA$8,'Operating Assumptions'!$G22="N/A"),0,IF('Operating Assumptions'!$G22="$/Unit/Annual",(('Operating Assumptions'!$H22*ER$23)*ER$36)/12,IF('Operating Assumptions'!$G22="$/Unit/Month",('Operating Assumptions'!$H22*ER$23)*ER$36,IF('Operating Assumptions'!$G22="Fixed Amount",('Operating Assumptions'!$H22*ER$23)/12))))</f>
        <v>0</v>
      </c>
      <c r="ES56" s="427">
        <f>IF(OR(ES$9&lt;'Operating Assumptions'!$D$53,ES$6&gt;'Operating Assumptions'!$AA$8,'Operating Assumptions'!$G22="N/A"),0,IF('Operating Assumptions'!$G22="$/Unit/Annual",(('Operating Assumptions'!$H22*ES$23)*ES$36)/12,IF('Operating Assumptions'!$G22="$/Unit/Month",('Operating Assumptions'!$H22*ES$23)*ES$36,IF('Operating Assumptions'!$G22="Fixed Amount",('Operating Assumptions'!$H22*ES$23)/12))))</f>
        <v>0</v>
      </c>
      <c r="ET56" s="427">
        <f>IF(OR(ET$9&lt;'Operating Assumptions'!$D$53,ET$6&gt;'Operating Assumptions'!$AA$8,'Operating Assumptions'!$G22="N/A"),0,IF('Operating Assumptions'!$G22="$/Unit/Annual",(('Operating Assumptions'!$H22*ET$23)*ET$36)/12,IF('Operating Assumptions'!$G22="$/Unit/Month",('Operating Assumptions'!$H22*ET$23)*ET$36,IF('Operating Assumptions'!$G22="Fixed Amount",('Operating Assumptions'!$H22*ET$23)/12))))</f>
        <v>0</v>
      </c>
      <c r="EU56" s="427">
        <f>IF(OR(EU$9&lt;'Operating Assumptions'!$D$53,EU$6&gt;'Operating Assumptions'!$AA$8,'Operating Assumptions'!$G22="N/A"),0,IF('Operating Assumptions'!$G22="$/Unit/Annual",(('Operating Assumptions'!$H22*EU$23)*EU$36)/12,IF('Operating Assumptions'!$G22="$/Unit/Month",('Operating Assumptions'!$H22*EU$23)*EU$36,IF('Operating Assumptions'!$G22="Fixed Amount",('Operating Assumptions'!$H22*EU$23)/12))))</f>
        <v>0</v>
      </c>
      <c r="EV56" s="427">
        <f>IF(OR(EV$9&lt;'Operating Assumptions'!$D$53,EV$6&gt;'Operating Assumptions'!$AA$8,'Operating Assumptions'!$G22="N/A"),0,IF('Operating Assumptions'!$G22="$/Unit/Annual",(('Operating Assumptions'!$H22*EV$23)*EV$36)/12,IF('Operating Assumptions'!$G22="$/Unit/Month",('Operating Assumptions'!$H22*EV$23)*EV$36,IF('Operating Assumptions'!$G22="Fixed Amount",('Operating Assumptions'!$H22*EV$23)/12))))</f>
        <v>0</v>
      </c>
      <c r="EW56" s="427">
        <f>IF(OR(EW$9&lt;'Operating Assumptions'!$D$53,EW$6&gt;'Operating Assumptions'!$AA$8,'Operating Assumptions'!$G22="N/A"),0,IF('Operating Assumptions'!$G22="$/Unit/Annual",(('Operating Assumptions'!$H22*EW$23)*EW$36)/12,IF('Operating Assumptions'!$G22="$/Unit/Month",('Operating Assumptions'!$H22*EW$23)*EW$36,IF('Operating Assumptions'!$G22="Fixed Amount",('Operating Assumptions'!$H22*EW$23)/12))))</f>
        <v>0</v>
      </c>
      <c r="EX56" s="427">
        <f>IF(OR(EX$9&lt;'Operating Assumptions'!$D$53,EX$6&gt;'Operating Assumptions'!$AA$8,'Operating Assumptions'!$G22="N/A"),0,IF('Operating Assumptions'!$G22="$/Unit/Annual",(('Operating Assumptions'!$H22*EX$23)*EX$36)/12,IF('Operating Assumptions'!$G22="$/Unit/Month",('Operating Assumptions'!$H22*EX$23)*EX$36,IF('Operating Assumptions'!$G22="Fixed Amount",('Operating Assumptions'!$H22*EX$23)/12))))</f>
        <v>0</v>
      </c>
      <c r="EY56" s="427">
        <f>IF(OR(EY$9&lt;'Operating Assumptions'!$D$53,EY$6&gt;'Operating Assumptions'!$AA$8,'Operating Assumptions'!$G22="N/A"),0,IF('Operating Assumptions'!$G22="$/Unit/Annual",(('Operating Assumptions'!$H22*EY$23)*EY$36)/12,IF('Operating Assumptions'!$G22="$/Unit/Month",('Operating Assumptions'!$H22*EY$23)*EY$36,IF('Operating Assumptions'!$G22="Fixed Amount",('Operating Assumptions'!$H22*EY$23)/12))))</f>
        <v>0</v>
      </c>
      <c r="EZ56" s="427">
        <f>IF(OR(EZ$9&lt;'Operating Assumptions'!$D$53,EZ$6&gt;'Operating Assumptions'!$AA$8,'Operating Assumptions'!$G22="N/A"),0,IF('Operating Assumptions'!$G22="$/Unit/Annual",(('Operating Assumptions'!$H22*EZ$23)*EZ$36)/12,IF('Operating Assumptions'!$G22="$/Unit/Month",('Operating Assumptions'!$H22*EZ$23)*EZ$36,IF('Operating Assumptions'!$G22="Fixed Amount",('Operating Assumptions'!$H22*EZ$23)/12))))</f>
        <v>0</v>
      </c>
      <c r="FA56" s="427">
        <f>IF(OR(FA$9&lt;'Operating Assumptions'!$D$53,FA$6&gt;'Operating Assumptions'!$AA$8,'Operating Assumptions'!$G22="N/A"),0,IF('Operating Assumptions'!$G22="$/Unit/Annual",(('Operating Assumptions'!$H22*FA$23)*FA$36)/12,IF('Operating Assumptions'!$G22="$/Unit/Month",('Operating Assumptions'!$H22*FA$23)*FA$36,IF('Operating Assumptions'!$G22="Fixed Amount",('Operating Assumptions'!$H22*FA$23)/12))))</f>
        <v>0</v>
      </c>
      <c r="FB56" s="427">
        <f>IF(OR(FB$9&lt;'Operating Assumptions'!$D$53,FB$6&gt;'Operating Assumptions'!$AA$8,'Operating Assumptions'!$G22="N/A"),0,IF('Operating Assumptions'!$G22="$/Unit/Annual",(('Operating Assumptions'!$H22*FB$23)*FB$36)/12,IF('Operating Assumptions'!$G22="$/Unit/Month",('Operating Assumptions'!$H22*FB$23)*FB$36,IF('Operating Assumptions'!$G22="Fixed Amount",('Operating Assumptions'!$H22*FB$23)/12))))</f>
        <v>0</v>
      </c>
      <c r="FC56" s="427">
        <f>IF(OR(FC$9&lt;'Operating Assumptions'!$D$53,FC$6&gt;'Operating Assumptions'!$AA$8,'Operating Assumptions'!$G22="N/A"),0,IF('Operating Assumptions'!$G22="$/Unit/Annual",(('Operating Assumptions'!$H22*FC$23)*FC$36)/12,IF('Operating Assumptions'!$G22="$/Unit/Month",('Operating Assumptions'!$H22*FC$23)*FC$36,IF('Operating Assumptions'!$G22="Fixed Amount",('Operating Assumptions'!$H22*FC$23)/12))))</f>
        <v>0</v>
      </c>
      <c r="FD56" s="427">
        <f>IF(OR(FD$9&lt;'Operating Assumptions'!$D$53,FD$6&gt;'Operating Assumptions'!$AA$8,'Operating Assumptions'!$G22="N/A"),0,IF('Operating Assumptions'!$G22="$/Unit/Annual",(('Operating Assumptions'!$H22*FD$23)*FD$36)/12,IF('Operating Assumptions'!$G22="$/Unit/Month",('Operating Assumptions'!$H22*FD$23)*FD$36,IF('Operating Assumptions'!$G22="Fixed Amount",('Operating Assumptions'!$H22*FD$23)/12))))</f>
        <v>0</v>
      </c>
      <c r="FE56" s="427">
        <f>IF(OR(FE$9&lt;'Operating Assumptions'!$D$53,FE$6&gt;'Operating Assumptions'!$AA$8,'Operating Assumptions'!$G22="N/A"),0,IF('Operating Assumptions'!$G22="$/Unit/Annual",(('Operating Assumptions'!$H22*FE$23)*FE$36)/12,IF('Operating Assumptions'!$G22="$/Unit/Month",('Operating Assumptions'!$H22*FE$23)*FE$36,IF('Operating Assumptions'!$G22="Fixed Amount",('Operating Assumptions'!$H22*FE$23)/12))))</f>
        <v>0</v>
      </c>
      <c r="FF56" s="427">
        <f>IF(OR(FF$9&lt;'Operating Assumptions'!$D$53,FF$6&gt;'Operating Assumptions'!$AA$8,'Operating Assumptions'!$G22="N/A"),0,IF('Operating Assumptions'!$G22="$/Unit/Annual",(('Operating Assumptions'!$H22*FF$23)*FF$36)/12,IF('Operating Assumptions'!$G22="$/Unit/Month",('Operating Assumptions'!$H22*FF$23)*FF$36,IF('Operating Assumptions'!$G22="Fixed Amount",('Operating Assumptions'!$H22*FF$23)/12))))</f>
        <v>0</v>
      </c>
      <c r="FG56" s="427">
        <f>IF(OR(FG$9&lt;'Operating Assumptions'!$D$53,FG$6&gt;'Operating Assumptions'!$AA$8,'Operating Assumptions'!$G22="N/A"),0,IF('Operating Assumptions'!$G22="$/Unit/Annual",(('Operating Assumptions'!$H22*FG$23)*FG$36)/12,IF('Operating Assumptions'!$G22="$/Unit/Month",('Operating Assumptions'!$H22*FG$23)*FG$36,IF('Operating Assumptions'!$G22="Fixed Amount",('Operating Assumptions'!$H22*FG$23)/12))))</f>
        <v>0</v>
      </c>
      <c r="FH56" s="427">
        <f>IF(OR(FH$9&lt;'Operating Assumptions'!$D$53,FH$6&gt;'Operating Assumptions'!$AA$8,'Operating Assumptions'!$G22="N/A"),0,IF('Operating Assumptions'!$G22="$/Unit/Annual",(('Operating Assumptions'!$H22*FH$23)*FH$36)/12,IF('Operating Assumptions'!$G22="$/Unit/Month",('Operating Assumptions'!$H22*FH$23)*FH$36,IF('Operating Assumptions'!$G22="Fixed Amount",('Operating Assumptions'!$H22*FH$23)/12))))</f>
        <v>0</v>
      </c>
      <c r="FI56" s="427">
        <f>IF(OR(FI$9&lt;'Operating Assumptions'!$D$53,FI$6&gt;'Operating Assumptions'!$AA$8,'Operating Assumptions'!$G22="N/A"),0,IF('Operating Assumptions'!$G22="$/Unit/Annual",(('Operating Assumptions'!$H22*FI$23)*FI$36)/12,IF('Operating Assumptions'!$G22="$/Unit/Month",('Operating Assumptions'!$H22*FI$23)*FI$36,IF('Operating Assumptions'!$G22="Fixed Amount",('Operating Assumptions'!$H22*FI$23)/12))))</f>
        <v>0</v>
      </c>
      <c r="FJ56" s="427">
        <f>IF(OR(FJ$9&lt;'Operating Assumptions'!$D$53,FJ$6&gt;'Operating Assumptions'!$AA$8,'Operating Assumptions'!$G22="N/A"),0,IF('Operating Assumptions'!$G22="$/Unit/Annual",(('Operating Assumptions'!$H22*FJ$23)*FJ$36)/12,IF('Operating Assumptions'!$G22="$/Unit/Month",('Operating Assumptions'!$H22*FJ$23)*FJ$36,IF('Operating Assumptions'!$G22="Fixed Amount",('Operating Assumptions'!$H22*FJ$23)/12))))</f>
        <v>0</v>
      </c>
      <c r="FK56" s="427">
        <f>IF(OR(FK$9&lt;'Operating Assumptions'!$D$53,FK$6&gt;'Operating Assumptions'!$AA$8,'Operating Assumptions'!$G22="N/A"),0,IF('Operating Assumptions'!$G22="$/Unit/Annual",(('Operating Assumptions'!$H22*FK$23)*FK$36)/12,IF('Operating Assumptions'!$G22="$/Unit/Month",('Operating Assumptions'!$H22*FK$23)*FK$36,IF('Operating Assumptions'!$G22="Fixed Amount",('Operating Assumptions'!$H22*FK$23)/12))))</f>
        <v>0</v>
      </c>
      <c r="FL56" s="427">
        <f>IF(OR(FL$9&lt;'Operating Assumptions'!$D$53,FL$6&gt;'Operating Assumptions'!$AA$8,'Operating Assumptions'!$G22="N/A"),0,IF('Operating Assumptions'!$G22="$/Unit/Annual",(('Operating Assumptions'!$H22*FL$23)*FL$36)/12,IF('Operating Assumptions'!$G22="$/Unit/Month",('Operating Assumptions'!$H22*FL$23)*FL$36,IF('Operating Assumptions'!$G22="Fixed Amount",('Operating Assumptions'!$H22*FL$23)/12))))</f>
        <v>0</v>
      </c>
      <c r="FM56" s="427">
        <f>IF(OR(FM$9&lt;'Operating Assumptions'!$D$53,FM$6&gt;'Operating Assumptions'!$AA$8,'Operating Assumptions'!$G22="N/A"),0,IF('Operating Assumptions'!$G22="$/Unit/Annual",(('Operating Assumptions'!$H22*FM$23)*FM$36)/12,IF('Operating Assumptions'!$G22="$/Unit/Month",('Operating Assumptions'!$H22*FM$23)*FM$36,IF('Operating Assumptions'!$G22="Fixed Amount",('Operating Assumptions'!$H22*FM$23)/12))))</f>
        <v>0</v>
      </c>
      <c r="FN56" s="427">
        <f>IF(OR(FN$9&lt;'Operating Assumptions'!$D$53,FN$6&gt;'Operating Assumptions'!$AA$8,'Operating Assumptions'!$G22="N/A"),0,IF('Operating Assumptions'!$G22="$/Unit/Annual",(('Operating Assumptions'!$H22*FN$23)*FN$36)/12,IF('Operating Assumptions'!$G22="$/Unit/Month",('Operating Assumptions'!$H22*FN$23)*FN$36,IF('Operating Assumptions'!$G22="Fixed Amount",('Operating Assumptions'!$H22*FN$23)/12))))</f>
        <v>0</v>
      </c>
      <c r="FO56" s="427">
        <f>IF(OR(FO$9&lt;'Operating Assumptions'!$D$53,FO$6&gt;'Operating Assumptions'!$AA$8,'Operating Assumptions'!$G22="N/A"),0,IF('Operating Assumptions'!$G22="$/Unit/Annual",(('Operating Assumptions'!$H22*FO$23)*FO$36)/12,IF('Operating Assumptions'!$G22="$/Unit/Month",('Operating Assumptions'!$H22*FO$23)*FO$36,IF('Operating Assumptions'!$G22="Fixed Amount",('Operating Assumptions'!$H22*FO$23)/12))))</f>
        <v>0</v>
      </c>
      <c r="FP56" s="427">
        <f>IF(OR(FP$9&lt;'Operating Assumptions'!$D$53,FP$6&gt;'Operating Assumptions'!$AA$8,'Operating Assumptions'!$G22="N/A"),0,IF('Operating Assumptions'!$G22="$/Unit/Annual",(('Operating Assumptions'!$H22*FP$23)*FP$36)/12,IF('Operating Assumptions'!$G22="$/Unit/Month",('Operating Assumptions'!$H22*FP$23)*FP$36,IF('Operating Assumptions'!$G22="Fixed Amount",('Operating Assumptions'!$H22*FP$23)/12))))</f>
        <v>0</v>
      </c>
      <c r="FQ56" s="427">
        <f>IF(OR(FQ$9&lt;'Operating Assumptions'!$D$53,FQ$6&gt;'Operating Assumptions'!$AA$8,'Operating Assumptions'!$G22="N/A"),0,IF('Operating Assumptions'!$G22="$/Unit/Annual",(('Operating Assumptions'!$H22*FQ$23)*FQ$36)/12,IF('Operating Assumptions'!$G22="$/Unit/Month",('Operating Assumptions'!$H22*FQ$23)*FQ$36,IF('Operating Assumptions'!$G22="Fixed Amount",('Operating Assumptions'!$H22*FQ$23)/12))))</f>
        <v>0</v>
      </c>
      <c r="FR56" s="427">
        <f>IF(OR(FR$9&lt;'Operating Assumptions'!$D$53,FR$6&gt;'Operating Assumptions'!$AA$8,'Operating Assumptions'!$G22="N/A"),0,IF('Operating Assumptions'!$G22="$/Unit/Annual",(('Operating Assumptions'!$H22*FR$23)*FR$36)/12,IF('Operating Assumptions'!$G22="$/Unit/Month",('Operating Assumptions'!$H22*FR$23)*FR$36,IF('Operating Assumptions'!$G22="Fixed Amount",('Operating Assumptions'!$H22*FR$23)/12))))</f>
        <v>0</v>
      </c>
      <c r="FS56" s="427">
        <f>IF(OR(FS$9&lt;'Operating Assumptions'!$D$53,FS$6&gt;'Operating Assumptions'!$AA$8,'Operating Assumptions'!$G22="N/A"),0,IF('Operating Assumptions'!$G22="$/Unit/Annual",(('Operating Assumptions'!$H22*FS$23)*FS$36)/12,IF('Operating Assumptions'!$G22="$/Unit/Month",('Operating Assumptions'!$H22*FS$23)*FS$36,IF('Operating Assumptions'!$G22="Fixed Amount",('Operating Assumptions'!$H22*FS$23)/12))))</f>
        <v>0</v>
      </c>
      <c r="FT56" s="427">
        <f>IF(OR(FT$9&lt;'Operating Assumptions'!$D$53,FT$6&gt;'Operating Assumptions'!$AA$8,'Operating Assumptions'!$G22="N/A"),0,IF('Operating Assumptions'!$G22="$/Unit/Annual",(('Operating Assumptions'!$H22*FT$23)*FT$36)/12,IF('Operating Assumptions'!$G22="$/Unit/Month",('Operating Assumptions'!$H22*FT$23)*FT$36,IF('Operating Assumptions'!$G22="Fixed Amount",('Operating Assumptions'!$H22*FT$23)/12))))</f>
        <v>0</v>
      </c>
      <c r="FU56" s="43"/>
      <c r="FV56" s="34"/>
      <c r="FW56" s="34"/>
      <c r="FX56" s="34"/>
      <c r="FY56" s="34"/>
      <c r="FZ56" s="34"/>
    </row>
    <row r="57" spans="1:182" s="89" customFormat="1" ht="13.5" x14ac:dyDescent="0.25">
      <c r="A57" s="34"/>
      <c r="B57" s="433" t="s">
        <v>12</v>
      </c>
      <c r="C57" s="34"/>
      <c r="D57" s="34"/>
      <c r="E57" s="34"/>
      <c r="F57" s="429">
        <f t="shared" si="148"/>
        <v>4960604.5</v>
      </c>
      <c r="G57" s="34"/>
      <c r="H57" s="431">
        <f>SUM(H53:H56)</f>
        <v>0</v>
      </c>
      <c r="I57" s="431">
        <f t="shared" ref="I57:BT57" si="152">SUM(I53:I56)</f>
        <v>0</v>
      </c>
      <c r="J57" s="431">
        <f t="shared" si="152"/>
        <v>0</v>
      </c>
      <c r="K57" s="431">
        <f t="shared" si="152"/>
        <v>0</v>
      </c>
      <c r="L57" s="431">
        <f t="shared" si="152"/>
        <v>0</v>
      </c>
      <c r="M57" s="431">
        <f t="shared" si="152"/>
        <v>0</v>
      </c>
      <c r="N57" s="431">
        <f t="shared" si="152"/>
        <v>0</v>
      </c>
      <c r="O57" s="431">
        <f t="shared" si="152"/>
        <v>0</v>
      </c>
      <c r="P57" s="431">
        <f t="shared" si="152"/>
        <v>0</v>
      </c>
      <c r="Q57" s="431">
        <f t="shared" si="152"/>
        <v>0</v>
      </c>
      <c r="R57" s="431">
        <f t="shared" si="152"/>
        <v>0</v>
      </c>
      <c r="S57" s="431">
        <f t="shared" si="152"/>
        <v>0</v>
      </c>
      <c r="T57" s="431">
        <f t="shared" si="152"/>
        <v>0</v>
      </c>
      <c r="U57" s="431">
        <f t="shared" si="152"/>
        <v>0</v>
      </c>
      <c r="V57" s="431">
        <f t="shared" si="152"/>
        <v>0</v>
      </c>
      <c r="W57" s="431">
        <f t="shared" si="152"/>
        <v>0</v>
      </c>
      <c r="X57" s="431">
        <f t="shared" si="152"/>
        <v>0</v>
      </c>
      <c r="Y57" s="431">
        <f t="shared" si="152"/>
        <v>3255</v>
      </c>
      <c r="Z57" s="431">
        <f t="shared" si="152"/>
        <v>6355</v>
      </c>
      <c r="AA57" s="431">
        <f t="shared" si="152"/>
        <v>9455</v>
      </c>
      <c r="AB57" s="431">
        <f t="shared" si="152"/>
        <v>12555</v>
      </c>
      <c r="AC57" s="431">
        <f t="shared" si="152"/>
        <v>15655</v>
      </c>
      <c r="AD57" s="431">
        <f t="shared" si="152"/>
        <v>18755</v>
      </c>
      <c r="AE57" s="431">
        <f t="shared" si="152"/>
        <v>19375</v>
      </c>
      <c r="AF57" s="431">
        <f t="shared" si="152"/>
        <v>19762.5</v>
      </c>
      <c r="AG57" s="431">
        <f t="shared" si="152"/>
        <v>19762.5</v>
      </c>
      <c r="AH57" s="431">
        <f t="shared" si="152"/>
        <v>22924.5</v>
      </c>
      <c r="AI57" s="431">
        <f t="shared" si="152"/>
        <v>26086.5</v>
      </c>
      <c r="AJ57" s="431">
        <f t="shared" si="152"/>
        <v>29248.5</v>
      </c>
      <c r="AK57" s="431">
        <f t="shared" si="152"/>
        <v>32410.5</v>
      </c>
      <c r="AL57" s="431">
        <f t="shared" si="152"/>
        <v>35572.5</v>
      </c>
      <c r="AM57" s="431">
        <f t="shared" si="152"/>
        <v>37944</v>
      </c>
      <c r="AN57" s="431">
        <f t="shared" si="152"/>
        <v>37944</v>
      </c>
      <c r="AO57" s="431">
        <f t="shared" si="152"/>
        <v>37944</v>
      </c>
      <c r="AP57" s="431">
        <f t="shared" si="152"/>
        <v>37944</v>
      </c>
      <c r="AQ57" s="431">
        <f t="shared" si="152"/>
        <v>37944</v>
      </c>
      <c r="AR57" s="431">
        <f t="shared" si="152"/>
        <v>38688.000000000007</v>
      </c>
      <c r="AS57" s="431">
        <f t="shared" si="152"/>
        <v>38688.000000000007</v>
      </c>
      <c r="AT57" s="431">
        <f t="shared" si="152"/>
        <v>38688.000000000007</v>
      </c>
      <c r="AU57" s="431">
        <f t="shared" si="152"/>
        <v>38688.000000000007</v>
      </c>
      <c r="AV57" s="431">
        <f t="shared" si="152"/>
        <v>38688.000000000007</v>
      </c>
      <c r="AW57" s="431">
        <f t="shared" si="152"/>
        <v>38688.000000000007</v>
      </c>
      <c r="AX57" s="431">
        <f t="shared" si="152"/>
        <v>38688.000000000007</v>
      </c>
      <c r="AY57" s="431">
        <f t="shared" si="152"/>
        <v>38688.000000000007</v>
      </c>
      <c r="AZ57" s="431">
        <f t="shared" si="152"/>
        <v>38688.000000000007</v>
      </c>
      <c r="BA57" s="431">
        <f t="shared" si="152"/>
        <v>38688.000000000007</v>
      </c>
      <c r="BB57" s="431">
        <f t="shared" si="152"/>
        <v>38688.000000000007</v>
      </c>
      <c r="BC57" s="431">
        <f t="shared" si="152"/>
        <v>38688.000000000007</v>
      </c>
      <c r="BD57" s="431">
        <f t="shared" si="152"/>
        <v>39432</v>
      </c>
      <c r="BE57" s="431">
        <f t="shared" si="152"/>
        <v>39432</v>
      </c>
      <c r="BF57" s="431">
        <f t="shared" si="152"/>
        <v>39432</v>
      </c>
      <c r="BG57" s="431">
        <f t="shared" si="152"/>
        <v>39432</v>
      </c>
      <c r="BH57" s="431">
        <f t="shared" si="152"/>
        <v>39432</v>
      </c>
      <c r="BI57" s="431">
        <f t="shared" si="152"/>
        <v>39432</v>
      </c>
      <c r="BJ57" s="431">
        <f t="shared" si="152"/>
        <v>39432</v>
      </c>
      <c r="BK57" s="431">
        <f t="shared" si="152"/>
        <v>39432</v>
      </c>
      <c r="BL57" s="431">
        <f t="shared" si="152"/>
        <v>39432</v>
      </c>
      <c r="BM57" s="431">
        <f t="shared" si="152"/>
        <v>39432</v>
      </c>
      <c r="BN57" s="431">
        <f t="shared" si="152"/>
        <v>39432</v>
      </c>
      <c r="BO57" s="431">
        <f t="shared" si="152"/>
        <v>39432</v>
      </c>
      <c r="BP57" s="431">
        <f t="shared" si="152"/>
        <v>40176</v>
      </c>
      <c r="BQ57" s="431">
        <f t="shared" si="152"/>
        <v>40176</v>
      </c>
      <c r="BR57" s="431">
        <f t="shared" si="152"/>
        <v>40176</v>
      </c>
      <c r="BS57" s="431">
        <f t="shared" si="152"/>
        <v>40176</v>
      </c>
      <c r="BT57" s="431">
        <f t="shared" si="152"/>
        <v>40176</v>
      </c>
      <c r="BU57" s="431">
        <f t="shared" ref="BU57:EF57" si="153">SUM(BU53:BU56)</f>
        <v>40176</v>
      </c>
      <c r="BV57" s="431">
        <f t="shared" si="153"/>
        <v>40176</v>
      </c>
      <c r="BW57" s="431">
        <f t="shared" si="153"/>
        <v>40176</v>
      </c>
      <c r="BX57" s="431">
        <f t="shared" si="153"/>
        <v>40176</v>
      </c>
      <c r="BY57" s="431">
        <f t="shared" si="153"/>
        <v>40176</v>
      </c>
      <c r="BZ57" s="431">
        <f t="shared" si="153"/>
        <v>40176</v>
      </c>
      <c r="CA57" s="431">
        <f t="shared" si="153"/>
        <v>40176</v>
      </c>
      <c r="CB57" s="431">
        <f t="shared" si="153"/>
        <v>40920</v>
      </c>
      <c r="CC57" s="431">
        <f t="shared" si="153"/>
        <v>40920</v>
      </c>
      <c r="CD57" s="431">
        <f t="shared" si="153"/>
        <v>40920</v>
      </c>
      <c r="CE57" s="431">
        <f t="shared" si="153"/>
        <v>40920</v>
      </c>
      <c r="CF57" s="431">
        <f t="shared" si="153"/>
        <v>40920</v>
      </c>
      <c r="CG57" s="431">
        <f t="shared" si="153"/>
        <v>40920</v>
      </c>
      <c r="CH57" s="431">
        <f t="shared" si="153"/>
        <v>40920</v>
      </c>
      <c r="CI57" s="431">
        <f t="shared" si="153"/>
        <v>40920</v>
      </c>
      <c r="CJ57" s="431">
        <f t="shared" si="153"/>
        <v>40920</v>
      </c>
      <c r="CK57" s="431">
        <f t="shared" si="153"/>
        <v>40920</v>
      </c>
      <c r="CL57" s="431">
        <f t="shared" si="153"/>
        <v>40920</v>
      </c>
      <c r="CM57" s="431">
        <f t="shared" si="153"/>
        <v>40920</v>
      </c>
      <c r="CN57" s="431">
        <f t="shared" si="153"/>
        <v>41664.000000000007</v>
      </c>
      <c r="CO57" s="431">
        <f t="shared" si="153"/>
        <v>41664.000000000007</v>
      </c>
      <c r="CP57" s="431">
        <f t="shared" si="153"/>
        <v>41664.000000000007</v>
      </c>
      <c r="CQ57" s="431">
        <f t="shared" si="153"/>
        <v>41664.000000000007</v>
      </c>
      <c r="CR57" s="431">
        <f t="shared" si="153"/>
        <v>41664.000000000007</v>
      </c>
      <c r="CS57" s="431">
        <f t="shared" si="153"/>
        <v>41664.000000000007</v>
      </c>
      <c r="CT57" s="431">
        <f t="shared" si="153"/>
        <v>41664.000000000007</v>
      </c>
      <c r="CU57" s="431">
        <f t="shared" si="153"/>
        <v>41664.000000000007</v>
      </c>
      <c r="CV57" s="431">
        <f t="shared" si="153"/>
        <v>41664.000000000007</v>
      </c>
      <c r="CW57" s="431">
        <f t="shared" si="153"/>
        <v>41664.000000000007</v>
      </c>
      <c r="CX57" s="431">
        <f t="shared" si="153"/>
        <v>41664.000000000007</v>
      </c>
      <c r="CY57" s="431">
        <f t="shared" si="153"/>
        <v>41664.000000000007</v>
      </c>
      <c r="CZ57" s="431">
        <f t="shared" si="153"/>
        <v>42408.000000000007</v>
      </c>
      <c r="DA57" s="431">
        <f t="shared" si="153"/>
        <v>42408.000000000007</v>
      </c>
      <c r="DB57" s="431">
        <f t="shared" si="153"/>
        <v>42408.000000000007</v>
      </c>
      <c r="DC57" s="431">
        <f t="shared" si="153"/>
        <v>42408.000000000007</v>
      </c>
      <c r="DD57" s="431">
        <f t="shared" si="153"/>
        <v>42408.000000000007</v>
      </c>
      <c r="DE57" s="431">
        <f t="shared" si="153"/>
        <v>42408.000000000007</v>
      </c>
      <c r="DF57" s="431">
        <f t="shared" si="153"/>
        <v>42408.000000000007</v>
      </c>
      <c r="DG57" s="431">
        <f t="shared" si="153"/>
        <v>42408.000000000007</v>
      </c>
      <c r="DH57" s="431">
        <f t="shared" si="153"/>
        <v>42408.000000000007</v>
      </c>
      <c r="DI57" s="431">
        <f t="shared" si="153"/>
        <v>42408.000000000007</v>
      </c>
      <c r="DJ57" s="431">
        <f t="shared" si="153"/>
        <v>42408.000000000007</v>
      </c>
      <c r="DK57" s="431">
        <f t="shared" si="153"/>
        <v>42408.000000000007</v>
      </c>
      <c r="DL57" s="431">
        <f t="shared" si="153"/>
        <v>43152</v>
      </c>
      <c r="DM57" s="431">
        <f t="shared" si="153"/>
        <v>43152</v>
      </c>
      <c r="DN57" s="431">
        <f t="shared" si="153"/>
        <v>43152</v>
      </c>
      <c r="DO57" s="431">
        <f t="shared" si="153"/>
        <v>43152</v>
      </c>
      <c r="DP57" s="431">
        <f t="shared" si="153"/>
        <v>43152</v>
      </c>
      <c r="DQ57" s="431">
        <f t="shared" si="153"/>
        <v>43152</v>
      </c>
      <c r="DR57" s="431">
        <f t="shared" si="153"/>
        <v>43152</v>
      </c>
      <c r="DS57" s="431">
        <f t="shared" si="153"/>
        <v>43152</v>
      </c>
      <c r="DT57" s="431">
        <f t="shared" si="153"/>
        <v>43152</v>
      </c>
      <c r="DU57" s="431">
        <f t="shared" si="153"/>
        <v>43152</v>
      </c>
      <c r="DV57" s="431">
        <f t="shared" si="153"/>
        <v>43152</v>
      </c>
      <c r="DW57" s="431">
        <f t="shared" si="153"/>
        <v>43152</v>
      </c>
      <c r="DX57" s="431">
        <f t="shared" si="153"/>
        <v>43896.000000000007</v>
      </c>
      <c r="DY57" s="431">
        <f t="shared" si="153"/>
        <v>43896.000000000007</v>
      </c>
      <c r="DZ57" s="431">
        <f t="shared" si="153"/>
        <v>43896.000000000007</v>
      </c>
      <c r="EA57" s="431">
        <f t="shared" si="153"/>
        <v>43896.000000000007</v>
      </c>
      <c r="EB57" s="431">
        <f t="shared" si="153"/>
        <v>43896.000000000007</v>
      </c>
      <c r="EC57" s="431">
        <f t="shared" si="153"/>
        <v>43896.000000000007</v>
      </c>
      <c r="ED57" s="431">
        <f t="shared" si="153"/>
        <v>43896.000000000007</v>
      </c>
      <c r="EE57" s="431">
        <f t="shared" si="153"/>
        <v>43896.000000000007</v>
      </c>
      <c r="EF57" s="431">
        <f t="shared" si="153"/>
        <v>43896.000000000007</v>
      </c>
      <c r="EG57" s="431">
        <f t="shared" ref="EG57:FT57" si="154">SUM(EG53:EG56)</f>
        <v>43896.000000000007</v>
      </c>
      <c r="EH57" s="431">
        <f t="shared" si="154"/>
        <v>43896.000000000007</v>
      </c>
      <c r="EI57" s="431">
        <f t="shared" si="154"/>
        <v>43896.000000000007</v>
      </c>
      <c r="EJ57" s="431">
        <f t="shared" si="154"/>
        <v>44640.000000000007</v>
      </c>
      <c r="EK57" s="431">
        <f t="shared" si="154"/>
        <v>44640.000000000007</v>
      </c>
      <c r="EL57" s="431">
        <f t="shared" si="154"/>
        <v>44640.000000000007</v>
      </c>
      <c r="EM57" s="431">
        <f t="shared" si="154"/>
        <v>44640.000000000007</v>
      </c>
      <c r="EN57" s="431">
        <f t="shared" si="154"/>
        <v>44640.000000000007</v>
      </c>
      <c r="EO57" s="431">
        <f t="shared" si="154"/>
        <v>44640.000000000007</v>
      </c>
      <c r="EP57" s="431">
        <f t="shared" si="154"/>
        <v>44640.000000000007</v>
      </c>
      <c r="EQ57" s="431">
        <f t="shared" si="154"/>
        <v>44640.000000000007</v>
      </c>
      <c r="ER57" s="431">
        <f t="shared" si="154"/>
        <v>44640.000000000007</v>
      </c>
      <c r="ES57" s="431">
        <f t="shared" si="154"/>
        <v>44640.000000000007</v>
      </c>
      <c r="ET57" s="431">
        <f t="shared" si="154"/>
        <v>44640.000000000007</v>
      </c>
      <c r="EU57" s="431">
        <f t="shared" si="154"/>
        <v>44640.000000000007</v>
      </c>
      <c r="EV57" s="431">
        <f t="shared" si="154"/>
        <v>0</v>
      </c>
      <c r="EW57" s="431">
        <f t="shared" si="154"/>
        <v>0</v>
      </c>
      <c r="EX57" s="431">
        <f t="shared" si="154"/>
        <v>0</v>
      </c>
      <c r="EY57" s="431">
        <f t="shared" si="154"/>
        <v>0</v>
      </c>
      <c r="EZ57" s="431">
        <f t="shared" si="154"/>
        <v>0</v>
      </c>
      <c r="FA57" s="431">
        <f t="shared" si="154"/>
        <v>0</v>
      </c>
      <c r="FB57" s="431">
        <f t="shared" si="154"/>
        <v>0</v>
      </c>
      <c r="FC57" s="431">
        <f t="shared" si="154"/>
        <v>0</v>
      </c>
      <c r="FD57" s="431">
        <f t="shared" si="154"/>
        <v>0</v>
      </c>
      <c r="FE57" s="431">
        <f t="shared" si="154"/>
        <v>0</v>
      </c>
      <c r="FF57" s="431">
        <f t="shared" si="154"/>
        <v>0</v>
      </c>
      <c r="FG57" s="431">
        <f t="shared" si="154"/>
        <v>0</v>
      </c>
      <c r="FH57" s="431">
        <f t="shared" si="154"/>
        <v>0</v>
      </c>
      <c r="FI57" s="431">
        <f t="shared" si="154"/>
        <v>0</v>
      </c>
      <c r="FJ57" s="431">
        <f t="shared" si="154"/>
        <v>0</v>
      </c>
      <c r="FK57" s="431">
        <f t="shared" si="154"/>
        <v>0</v>
      </c>
      <c r="FL57" s="431">
        <f t="shared" si="154"/>
        <v>0</v>
      </c>
      <c r="FM57" s="431">
        <f t="shared" si="154"/>
        <v>0</v>
      </c>
      <c r="FN57" s="431">
        <f t="shared" si="154"/>
        <v>0</v>
      </c>
      <c r="FO57" s="431">
        <f t="shared" si="154"/>
        <v>0</v>
      </c>
      <c r="FP57" s="431">
        <f t="shared" si="154"/>
        <v>0</v>
      </c>
      <c r="FQ57" s="431">
        <f t="shared" si="154"/>
        <v>0</v>
      </c>
      <c r="FR57" s="431">
        <f t="shared" si="154"/>
        <v>0</v>
      </c>
      <c r="FS57" s="431">
        <f t="shared" si="154"/>
        <v>0</v>
      </c>
      <c r="FT57" s="431">
        <f t="shared" si="154"/>
        <v>0</v>
      </c>
      <c r="FU57" s="43"/>
      <c r="FV57" s="34"/>
      <c r="FW57" s="34"/>
      <c r="FX57" s="34"/>
      <c r="FY57" s="34"/>
      <c r="FZ57" s="34"/>
    </row>
    <row r="58" spans="1:182" s="89" customFormat="1" ht="13.5" x14ac:dyDescent="0.25">
      <c r="A58" s="34"/>
      <c r="B58" s="128"/>
      <c r="C58" s="34"/>
      <c r="D58" s="34"/>
      <c r="E58" s="34"/>
      <c r="F58" s="428"/>
      <c r="G58" s="34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  <c r="S58" s="427"/>
      <c r="T58" s="427"/>
      <c r="U58" s="427"/>
      <c r="V58" s="427"/>
      <c r="W58" s="427"/>
      <c r="X58" s="427"/>
      <c r="Y58" s="427"/>
      <c r="Z58" s="427"/>
      <c r="AA58" s="427"/>
      <c r="AB58" s="427"/>
      <c r="AC58" s="427"/>
      <c r="AD58" s="427"/>
      <c r="AE58" s="427"/>
      <c r="AF58" s="427"/>
      <c r="AG58" s="427"/>
      <c r="AH58" s="427"/>
      <c r="AI58" s="427"/>
      <c r="AJ58" s="427"/>
      <c r="AK58" s="427"/>
      <c r="AL58" s="427"/>
      <c r="AM58" s="427"/>
      <c r="AN58" s="427"/>
      <c r="AO58" s="427"/>
      <c r="AP58" s="427"/>
      <c r="AQ58" s="427"/>
      <c r="AR58" s="427"/>
      <c r="AS58" s="427"/>
      <c r="AT58" s="427"/>
      <c r="AU58" s="427"/>
      <c r="AV58" s="427"/>
      <c r="AW58" s="427"/>
      <c r="AX58" s="427"/>
      <c r="AY58" s="427"/>
      <c r="AZ58" s="427"/>
      <c r="BA58" s="427"/>
      <c r="BB58" s="427"/>
      <c r="BC58" s="427"/>
      <c r="BD58" s="427"/>
      <c r="BE58" s="427"/>
      <c r="BF58" s="427"/>
      <c r="BG58" s="427"/>
      <c r="BH58" s="427"/>
      <c r="BI58" s="427"/>
      <c r="BJ58" s="427"/>
      <c r="BK58" s="427"/>
      <c r="BL58" s="427"/>
      <c r="BM58" s="427"/>
      <c r="BN58" s="427"/>
      <c r="BO58" s="427"/>
      <c r="BP58" s="427"/>
      <c r="BQ58" s="427"/>
      <c r="BR58" s="427"/>
      <c r="BS58" s="427"/>
      <c r="BT58" s="427"/>
      <c r="BU58" s="427"/>
      <c r="BV58" s="427"/>
      <c r="BW58" s="427"/>
      <c r="BX58" s="427"/>
      <c r="BY58" s="427"/>
      <c r="BZ58" s="427"/>
      <c r="CA58" s="427"/>
      <c r="CB58" s="427"/>
      <c r="CC58" s="427"/>
      <c r="CD58" s="427"/>
      <c r="CE58" s="427"/>
      <c r="CF58" s="427"/>
      <c r="CG58" s="427"/>
      <c r="CH58" s="427"/>
      <c r="CI58" s="427"/>
      <c r="CJ58" s="427"/>
      <c r="CK58" s="427"/>
      <c r="CL58" s="427"/>
      <c r="CM58" s="427"/>
      <c r="CN58" s="427"/>
      <c r="CO58" s="427"/>
      <c r="CP58" s="427"/>
      <c r="CQ58" s="427"/>
      <c r="CR58" s="427"/>
      <c r="CS58" s="427"/>
      <c r="CT58" s="427"/>
      <c r="CU58" s="427"/>
      <c r="CV58" s="427"/>
      <c r="CW58" s="427"/>
      <c r="CX58" s="427"/>
      <c r="CY58" s="427"/>
      <c r="CZ58" s="427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43"/>
      <c r="FV58" s="34"/>
      <c r="FW58" s="34"/>
      <c r="FX58" s="34"/>
      <c r="FY58" s="34"/>
      <c r="FZ58" s="34"/>
    </row>
    <row r="59" spans="1:182" s="89" customFormat="1" ht="13.5" x14ac:dyDescent="0.25">
      <c r="A59" s="34"/>
      <c r="B59" s="73" t="s">
        <v>245</v>
      </c>
      <c r="C59" s="34"/>
      <c r="D59" s="34"/>
      <c r="E59" s="34"/>
      <c r="F59" s="428"/>
      <c r="G59" s="34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  <c r="S59" s="427"/>
      <c r="T59" s="427"/>
      <c r="U59" s="427"/>
      <c r="V59" s="427"/>
      <c r="W59" s="427"/>
      <c r="X59" s="427"/>
      <c r="Y59" s="427"/>
      <c r="Z59" s="427"/>
      <c r="AA59" s="427"/>
      <c r="AB59" s="427"/>
      <c r="AC59" s="427"/>
      <c r="AD59" s="427"/>
      <c r="AE59" s="427"/>
      <c r="AF59" s="427"/>
      <c r="AG59" s="427"/>
      <c r="AH59" s="427"/>
      <c r="AI59" s="427"/>
      <c r="AJ59" s="427"/>
      <c r="AK59" s="427"/>
      <c r="AL59" s="427"/>
      <c r="AM59" s="427"/>
      <c r="AN59" s="427"/>
      <c r="AO59" s="427"/>
      <c r="AP59" s="427"/>
      <c r="AQ59" s="427"/>
      <c r="AR59" s="427"/>
      <c r="AS59" s="427"/>
      <c r="AT59" s="427"/>
      <c r="AU59" s="427"/>
      <c r="AV59" s="427"/>
      <c r="AW59" s="427"/>
      <c r="AX59" s="427"/>
      <c r="AY59" s="427"/>
      <c r="AZ59" s="427"/>
      <c r="BA59" s="427"/>
      <c r="BB59" s="427"/>
      <c r="BC59" s="427"/>
      <c r="BD59" s="427"/>
      <c r="BE59" s="427"/>
      <c r="BF59" s="427"/>
      <c r="BG59" s="427"/>
      <c r="BH59" s="427"/>
      <c r="BI59" s="427"/>
      <c r="BJ59" s="427"/>
      <c r="BK59" s="427"/>
      <c r="BL59" s="427"/>
      <c r="BM59" s="427"/>
      <c r="BN59" s="427"/>
      <c r="BO59" s="427"/>
      <c r="BP59" s="427"/>
      <c r="BQ59" s="427"/>
      <c r="BR59" s="427"/>
      <c r="BS59" s="427"/>
      <c r="BT59" s="427"/>
      <c r="BU59" s="427"/>
      <c r="BV59" s="427"/>
      <c r="BW59" s="427"/>
      <c r="BX59" s="427"/>
      <c r="BY59" s="427"/>
      <c r="BZ59" s="427"/>
      <c r="CA59" s="427"/>
      <c r="CB59" s="427"/>
      <c r="CC59" s="427"/>
      <c r="CD59" s="427"/>
      <c r="CE59" s="427"/>
      <c r="CF59" s="427"/>
      <c r="CG59" s="427"/>
      <c r="CH59" s="427"/>
      <c r="CI59" s="427"/>
      <c r="CJ59" s="427"/>
      <c r="CK59" s="427"/>
      <c r="CL59" s="427"/>
      <c r="CM59" s="427"/>
      <c r="CN59" s="427"/>
      <c r="CO59" s="427"/>
      <c r="CP59" s="427"/>
      <c r="CQ59" s="427"/>
      <c r="CR59" s="427"/>
      <c r="CS59" s="427"/>
      <c r="CT59" s="427"/>
      <c r="CU59" s="427"/>
      <c r="CV59" s="427"/>
      <c r="CW59" s="427"/>
      <c r="CX59" s="427"/>
      <c r="CY59" s="427"/>
      <c r="CZ59" s="427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43"/>
      <c r="FV59" s="34"/>
      <c r="FW59" s="34"/>
      <c r="FX59" s="34"/>
      <c r="FY59" s="34"/>
      <c r="FZ59" s="34"/>
    </row>
    <row r="60" spans="1:182" s="89" customFormat="1" ht="13.5" x14ac:dyDescent="0.25">
      <c r="A60" s="34"/>
      <c r="B60" s="128" t="str">
        <f>'Operating Assumptions'!F25</f>
        <v>Incentive Revenue:</v>
      </c>
      <c r="C60" s="34"/>
      <c r="D60" s="34"/>
      <c r="E60" s="34"/>
      <c r="F60" s="434">
        <f t="shared" ref="F60:F65" si="155">SUM(H60:FT60)</f>
        <v>0</v>
      </c>
      <c r="G60" s="34"/>
      <c r="H60" s="427">
        <f>IF(OR(H$9&lt;'Operating Assumptions'!$D$53,H$6&gt;'Operating Assumptions'!$AA$8,'Operating Assumptions'!$G25="N/A"),0,IF('Operating Assumptions'!$G25="Fixed Amount",('Operating Assumptions'!$H25*H$24)/12,IF('Operating Assumptions'!$G25="%/Rent Revenue",'Operating Assumptions'!$H25*$H41,IF('Operating Assumptions'!$G25="% of Total Revenue",'Operating Assumptions'!$H25*SUM($H41,$H50,$H57),IF('Operating Assumptions'!$G25="$/Unit/Annual",(('Operating Assumptions'!$H25*H$24)*H$36)/12,IF('Operating Assumptions'!$G25="$/Unit/Month",('Operating Assumptions'!$H25*H$24)*H$36))))))</f>
        <v>0</v>
      </c>
      <c r="I60" s="427">
        <f>IF(OR(I$9&lt;'Operating Assumptions'!$D$53,I$6&gt;'Operating Assumptions'!$AA$8,'Operating Assumptions'!$G25="N/A"),0,IF('Operating Assumptions'!$G25="Fixed Amount",('Operating Assumptions'!$H25*I$24)/12,IF('Operating Assumptions'!$G25="%/Rent Revenue",'Operating Assumptions'!$H25*$H41,IF('Operating Assumptions'!$G25="% of Total Revenue",'Operating Assumptions'!$H25*SUM($H41,$H50,$H57),IF('Operating Assumptions'!$G25="$/Unit/Annual",(('Operating Assumptions'!$H25*I$24)*I$36)/12,IF('Operating Assumptions'!$G25="$/Unit/Month",('Operating Assumptions'!$H25*I$24)*I$36))))))</f>
        <v>0</v>
      </c>
      <c r="J60" s="427">
        <f>IF(OR(J$9&lt;'Operating Assumptions'!$D$53,J$6&gt;'Operating Assumptions'!$AA$8,'Operating Assumptions'!$G25="N/A"),0,IF('Operating Assumptions'!$G25="Fixed Amount",('Operating Assumptions'!$H25*J$24)/12,IF('Operating Assumptions'!$G25="%/Rent Revenue",'Operating Assumptions'!$H25*$H41,IF('Operating Assumptions'!$G25="% of Total Revenue",'Operating Assumptions'!$H25*SUM($H41,$H50,$H57),IF('Operating Assumptions'!$G25="$/Unit/Annual",(('Operating Assumptions'!$H25*J$24)*J$36)/12,IF('Operating Assumptions'!$G25="$/Unit/Month",('Operating Assumptions'!$H25*J$24)*J$36))))))</f>
        <v>0</v>
      </c>
      <c r="K60" s="427">
        <f>IF(OR(K$9&lt;'Operating Assumptions'!$D$53,K$6&gt;'Operating Assumptions'!$AA$8,'Operating Assumptions'!$G25="N/A"),0,IF('Operating Assumptions'!$G25="Fixed Amount",('Operating Assumptions'!$H25*K$24)/12,IF('Operating Assumptions'!$G25="%/Rent Revenue",'Operating Assumptions'!$H25*$H41,IF('Operating Assumptions'!$G25="% of Total Revenue",'Operating Assumptions'!$H25*SUM($H41,$H50,$H57),IF('Operating Assumptions'!$G25="$/Unit/Annual",(('Operating Assumptions'!$H25*K$24)*K$36)/12,IF('Operating Assumptions'!$G25="$/Unit/Month",('Operating Assumptions'!$H25*K$24)*K$36))))))</f>
        <v>0</v>
      </c>
      <c r="L60" s="427">
        <f>IF(OR(L$9&lt;'Operating Assumptions'!$D$53,L$6&gt;'Operating Assumptions'!$AA$8,'Operating Assumptions'!$G25="N/A"),0,IF('Operating Assumptions'!$G25="Fixed Amount",('Operating Assumptions'!$H25*L$24)/12,IF('Operating Assumptions'!$G25="%/Rent Revenue",'Operating Assumptions'!$H25*$H41,IF('Operating Assumptions'!$G25="% of Total Revenue",'Operating Assumptions'!$H25*SUM($H41,$H50,$H57),IF('Operating Assumptions'!$G25="$/Unit/Annual",(('Operating Assumptions'!$H25*L$24)*L$36)/12,IF('Operating Assumptions'!$G25="$/Unit/Month",('Operating Assumptions'!$H25*L$24)*L$36))))))</f>
        <v>0</v>
      </c>
      <c r="M60" s="427">
        <f>IF(OR(M$9&lt;'Operating Assumptions'!$D$53,M$6&gt;'Operating Assumptions'!$AA$8,'Operating Assumptions'!$G25="N/A"),0,IF('Operating Assumptions'!$G25="Fixed Amount",('Operating Assumptions'!$H25*M$24)/12,IF('Operating Assumptions'!$G25="%/Rent Revenue",'Operating Assumptions'!$H25*$H41,IF('Operating Assumptions'!$G25="% of Total Revenue",'Operating Assumptions'!$H25*SUM($H41,$H50,$H57),IF('Operating Assumptions'!$G25="$/Unit/Annual",(('Operating Assumptions'!$H25*M$24)*M$36)/12,IF('Operating Assumptions'!$G25="$/Unit/Month",('Operating Assumptions'!$H25*M$24)*M$36))))))</f>
        <v>0</v>
      </c>
      <c r="N60" s="427">
        <f>IF(OR(N$9&lt;'Operating Assumptions'!$D$53,N$6&gt;'Operating Assumptions'!$AA$8,'Operating Assumptions'!$G25="N/A"),0,IF('Operating Assumptions'!$G25="Fixed Amount",('Operating Assumptions'!$H25*N$24)/12,IF('Operating Assumptions'!$G25="%/Rent Revenue",'Operating Assumptions'!$H25*$H41,IF('Operating Assumptions'!$G25="% of Total Revenue",'Operating Assumptions'!$H25*SUM($H41,$H50,$H57),IF('Operating Assumptions'!$G25="$/Unit/Annual",(('Operating Assumptions'!$H25*N$24)*N$36)/12,IF('Operating Assumptions'!$G25="$/Unit/Month",('Operating Assumptions'!$H25*N$24)*N$36))))))</f>
        <v>0</v>
      </c>
      <c r="O60" s="427">
        <f>IF(OR(O$9&lt;'Operating Assumptions'!$D$53,O$6&gt;'Operating Assumptions'!$AA$8,'Operating Assumptions'!$G25="N/A"),0,IF('Operating Assumptions'!$G25="Fixed Amount",('Operating Assumptions'!$H25*O$24)/12,IF('Operating Assumptions'!$G25="%/Rent Revenue",'Operating Assumptions'!$H25*$H41,IF('Operating Assumptions'!$G25="% of Total Revenue",'Operating Assumptions'!$H25*SUM($H41,$H50,$H57),IF('Operating Assumptions'!$G25="$/Unit/Annual",(('Operating Assumptions'!$H25*O$24)*O$36)/12,IF('Operating Assumptions'!$G25="$/Unit/Month",('Operating Assumptions'!$H25*O$24)*O$36))))))</f>
        <v>0</v>
      </c>
      <c r="P60" s="427">
        <f>IF(OR(P$9&lt;'Operating Assumptions'!$D$53,P$6&gt;'Operating Assumptions'!$AA$8,'Operating Assumptions'!$G25="N/A"),0,IF('Operating Assumptions'!$G25="Fixed Amount",('Operating Assumptions'!$H25*P$24)/12,IF('Operating Assumptions'!$G25="%/Rent Revenue",'Operating Assumptions'!$H25*$H41,IF('Operating Assumptions'!$G25="% of Total Revenue",'Operating Assumptions'!$H25*SUM($H41,$H50,$H57),IF('Operating Assumptions'!$G25="$/Unit/Annual",(('Operating Assumptions'!$H25*P$24)*P$36)/12,IF('Operating Assumptions'!$G25="$/Unit/Month",('Operating Assumptions'!$H25*P$24)*P$36))))))</f>
        <v>0</v>
      </c>
      <c r="Q60" s="427">
        <f>IF(OR(Q$9&lt;'Operating Assumptions'!$D$53,Q$6&gt;'Operating Assumptions'!$AA$8,'Operating Assumptions'!$G25="N/A"),0,IF('Operating Assumptions'!$G25="Fixed Amount",('Operating Assumptions'!$H25*Q$24)/12,IF('Operating Assumptions'!$G25="%/Rent Revenue",'Operating Assumptions'!$H25*$H41,IF('Operating Assumptions'!$G25="% of Total Revenue",'Operating Assumptions'!$H25*SUM($H41,$H50,$H57),IF('Operating Assumptions'!$G25="$/Unit/Annual",(('Operating Assumptions'!$H25*Q$24)*Q$36)/12,IF('Operating Assumptions'!$G25="$/Unit/Month",('Operating Assumptions'!$H25*Q$24)*Q$36))))))</f>
        <v>0</v>
      </c>
      <c r="R60" s="427">
        <f>IF(OR(R$9&lt;'Operating Assumptions'!$D$53,R$6&gt;'Operating Assumptions'!$AA$8,'Operating Assumptions'!$G25="N/A"),0,IF('Operating Assumptions'!$G25="Fixed Amount",('Operating Assumptions'!$H25*R$24)/12,IF('Operating Assumptions'!$G25="%/Rent Revenue",'Operating Assumptions'!$H25*$H41,IF('Operating Assumptions'!$G25="% of Total Revenue",'Operating Assumptions'!$H25*SUM($H41,$H50,$H57),IF('Operating Assumptions'!$G25="$/Unit/Annual",(('Operating Assumptions'!$H25*R$24)*R$36)/12,IF('Operating Assumptions'!$G25="$/Unit/Month",('Operating Assumptions'!$H25*R$24)*R$36))))))</f>
        <v>0</v>
      </c>
      <c r="S60" s="427">
        <f>IF(OR(S$9&lt;'Operating Assumptions'!$D$53,S$6&gt;'Operating Assumptions'!$AA$8,'Operating Assumptions'!$G25="N/A"),0,IF('Operating Assumptions'!$G25="Fixed Amount",('Operating Assumptions'!$H25*S$24)/12,IF('Operating Assumptions'!$G25="%/Rent Revenue",'Operating Assumptions'!$H25*$H41,IF('Operating Assumptions'!$G25="% of Total Revenue",'Operating Assumptions'!$H25*SUM($H41,$H50,$H57),IF('Operating Assumptions'!$G25="$/Unit/Annual",(('Operating Assumptions'!$H25*S$24)*S$36)/12,IF('Operating Assumptions'!$G25="$/Unit/Month",('Operating Assumptions'!$H25*S$24)*S$36))))))</f>
        <v>0</v>
      </c>
      <c r="T60" s="427">
        <f>IF(OR(T$9&lt;'Operating Assumptions'!$D$53,T$6&gt;'Operating Assumptions'!$AA$8,'Operating Assumptions'!$G25="N/A"),0,IF('Operating Assumptions'!$G25="Fixed Amount",('Operating Assumptions'!$H25*T$24)/12,IF('Operating Assumptions'!$G25="%/Rent Revenue",'Operating Assumptions'!$H25*$H41,IF('Operating Assumptions'!$G25="% of Total Revenue",'Operating Assumptions'!$H25*SUM($H41,$H50,$H57),IF('Operating Assumptions'!$G25="$/Unit/Annual",(('Operating Assumptions'!$H25*T$24)*T$36)/12,IF('Operating Assumptions'!$G25="$/Unit/Month",('Operating Assumptions'!$H25*T$24)*T$36))))))</f>
        <v>0</v>
      </c>
      <c r="U60" s="427">
        <f>IF(OR(U$9&lt;'Operating Assumptions'!$D$53,U$6&gt;'Operating Assumptions'!$AA$8,'Operating Assumptions'!$G25="N/A"),0,IF('Operating Assumptions'!$G25="Fixed Amount",('Operating Assumptions'!$H25*U$24)/12,IF('Operating Assumptions'!$G25="%/Rent Revenue",'Operating Assumptions'!$H25*$H41,IF('Operating Assumptions'!$G25="% of Total Revenue",'Operating Assumptions'!$H25*SUM($H41,$H50,$H57),IF('Operating Assumptions'!$G25="$/Unit/Annual",(('Operating Assumptions'!$H25*U$24)*U$36)/12,IF('Operating Assumptions'!$G25="$/Unit/Month",('Operating Assumptions'!$H25*U$24)*U$36))))))</f>
        <v>0</v>
      </c>
      <c r="V60" s="427">
        <f>IF(OR(V$9&lt;'Operating Assumptions'!$D$53,V$6&gt;'Operating Assumptions'!$AA$8,'Operating Assumptions'!$G25="N/A"),0,IF('Operating Assumptions'!$G25="Fixed Amount",('Operating Assumptions'!$H25*V$24)/12,IF('Operating Assumptions'!$G25="%/Rent Revenue",'Operating Assumptions'!$H25*$H41,IF('Operating Assumptions'!$G25="% of Total Revenue",'Operating Assumptions'!$H25*SUM($H41,$H50,$H57),IF('Operating Assumptions'!$G25="$/Unit/Annual",(('Operating Assumptions'!$H25*V$24)*V$36)/12,IF('Operating Assumptions'!$G25="$/Unit/Month",('Operating Assumptions'!$H25*V$24)*V$36))))))</f>
        <v>0</v>
      </c>
      <c r="W60" s="427">
        <f>IF(OR(W$9&lt;'Operating Assumptions'!$D$53,W$6&gt;'Operating Assumptions'!$AA$8,'Operating Assumptions'!$G25="N/A"),0,IF('Operating Assumptions'!$G25="Fixed Amount",('Operating Assumptions'!$H25*W$24)/12,IF('Operating Assumptions'!$G25="%/Rent Revenue",'Operating Assumptions'!$H25*$H41,IF('Operating Assumptions'!$G25="% of Total Revenue",'Operating Assumptions'!$H25*SUM($H41,$H50,$H57),IF('Operating Assumptions'!$G25="$/Unit/Annual",(('Operating Assumptions'!$H25*W$24)*W$36)/12,IF('Operating Assumptions'!$G25="$/Unit/Month",('Operating Assumptions'!$H25*W$24)*W$36))))))</f>
        <v>0</v>
      </c>
      <c r="X60" s="427">
        <f>IF(OR(X$9&lt;'Operating Assumptions'!$D$53,X$6&gt;'Operating Assumptions'!$AA$8,'Operating Assumptions'!$G25="N/A"),0,IF('Operating Assumptions'!$G25="Fixed Amount",('Operating Assumptions'!$H25*X$24)/12,IF('Operating Assumptions'!$G25="%/Rent Revenue",'Operating Assumptions'!$H25*$H41,IF('Operating Assumptions'!$G25="% of Total Revenue",'Operating Assumptions'!$H25*SUM($H41,$H50,$H57),IF('Operating Assumptions'!$G25="$/Unit/Annual",(('Operating Assumptions'!$H25*X$24)*X$36)/12,IF('Operating Assumptions'!$G25="$/Unit/Month",('Operating Assumptions'!$H25*X$24)*X$36))))))</f>
        <v>0</v>
      </c>
      <c r="Y60" s="427">
        <f>IF(OR(Y$9&lt;'Operating Assumptions'!$D$53,Y$6&gt;'Operating Assumptions'!$AA$8,'Operating Assumptions'!$G25="N/A"),0,IF('Operating Assumptions'!$G25="Fixed Amount",('Operating Assumptions'!$H25*Y$24)/12,IF('Operating Assumptions'!$G25="%/Rent Revenue",'Operating Assumptions'!$H25*$H41,IF('Operating Assumptions'!$G25="% of Total Revenue",'Operating Assumptions'!$H25*SUM($H41,$H50,$H57),IF('Operating Assumptions'!$G25="$/Unit/Annual",(('Operating Assumptions'!$H25*Y$24)*Y$36)/12,IF('Operating Assumptions'!$G25="$/Unit/Month",('Operating Assumptions'!$H25*Y$24)*Y$36))))))</f>
        <v>0</v>
      </c>
      <c r="Z60" s="427">
        <f>IF(OR(Z$9&lt;'Operating Assumptions'!$D$53,Z$6&gt;'Operating Assumptions'!$AA$8,'Operating Assumptions'!$G25="N/A"),0,IF('Operating Assumptions'!$G25="Fixed Amount",('Operating Assumptions'!$H25*Z$24)/12,IF('Operating Assumptions'!$G25="%/Rent Revenue",'Operating Assumptions'!$H25*$H41,IF('Operating Assumptions'!$G25="% of Total Revenue",'Operating Assumptions'!$H25*SUM($H41,$H50,$H57),IF('Operating Assumptions'!$G25="$/Unit/Annual",(('Operating Assumptions'!$H25*Z$24)*Z$36)/12,IF('Operating Assumptions'!$G25="$/Unit/Month",('Operating Assumptions'!$H25*Z$24)*Z$36))))))</f>
        <v>0</v>
      </c>
      <c r="AA60" s="427">
        <f>IF(OR(AA$9&lt;'Operating Assumptions'!$D$53,AA$6&gt;'Operating Assumptions'!$AA$8,'Operating Assumptions'!$G25="N/A"),0,IF('Operating Assumptions'!$G25="Fixed Amount",('Operating Assumptions'!$H25*AA$24)/12,IF('Operating Assumptions'!$G25="%/Rent Revenue",'Operating Assumptions'!$H25*$H41,IF('Operating Assumptions'!$G25="% of Total Revenue",'Operating Assumptions'!$H25*SUM($H41,$H50,$H57),IF('Operating Assumptions'!$G25="$/Unit/Annual",(('Operating Assumptions'!$H25*AA$24)*AA$36)/12,IF('Operating Assumptions'!$G25="$/Unit/Month",('Operating Assumptions'!$H25*AA$24)*AA$36))))))</f>
        <v>0</v>
      </c>
      <c r="AB60" s="427">
        <f>IF(OR(AB$9&lt;'Operating Assumptions'!$D$53,AB$6&gt;'Operating Assumptions'!$AA$8,'Operating Assumptions'!$G25="N/A"),0,IF('Operating Assumptions'!$G25="Fixed Amount",('Operating Assumptions'!$H25*AB$24)/12,IF('Operating Assumptions'!$G25="%/Rent Revenue",'Operating Assumptions'!$H25*$H41,IF('Operating Assumptions'!$G25="% of Total Revenue",'Operating Assumptions'!$H25*SUM($H41,$H50,$H57),IF('Operating Assumptions'!$G25="$/Unit/Annual",(('Operating Assumptions'!$H25*AB$24)*AB$36)/12,IF('Operating Assumptions'!$G25="$/Unit/Month",('Operating Assumptions'!$H25*AB$24)*AB$36))))))</f>
        <v>0</v>
      </c>
      <c r="AC60" s="427">
        <f>IF(OR(AC$9&lt;'Operating Assumptions'!$D$53,AC$6&gt;'Operating Assumptions'!$AA$8,'Operating Assumptions'!$G25="N/A"),0,IF('Operating Assumptions'!$G25="Fixed Amount",('Operating Assumptions'!$H25*AC$24)/12,IF('Operating Assumptions'!$G25="%/Rent Revenue",'Operating Assumptions'!$H25*$H41,IF('Operating Assumptions'!$G25="% of Total Revenue",'Operating Assumptions'!$H25*SUM($H41,$H50,$H57),IF('Operating Assumptions'!$G25="$/Unit/Annual",(('Operating Assumptions'!$H25*AC$24)*AC$36)/12,IF('Operating Assumptions'!$G25="$/Unit/Month",('Operating Assumptions'!$H25*AC$24)*AC$36))))))</f>
        <v>0</v>
      </c>
      <c r="AD60" s="427">
        <f>IF(OR(AD$9&lt;'Operating Assumptions'!$D$53,AD$6&gt;'Operating Assumptions'!$AA$8,'Operating Assumptions'!$G25="N/A"),0,IF('Operating Assumptions'!$G25="Fixed Amount",('Operating Assumptions'!$H25*AD$24)/12,IF('Operating Assumptions'!$G25="%/Rent Revenue",'Operating Assumptions'!$H25*$H41,IF('Operating Assumptions'!$G25="% of Total Revenue",'Operating Assumptions'!$H25*SUM($H41,$H50,$H57),IF('Operating Assumptions'!$G25="$/Unit/Annual",(('Operating Assumptions'!$H25*AD$24)*AD$36)/12,IF('Operating Assumptions'!$G25="$/Unit/Month",('Operating Assumptions'!$H25*AD$24)*AD$36))))))</f>
        <v>0</v>
      </c>
      <c r="AE60" s="427">
        <f>IF(OR(AE$9&lt;'Operating Assumptions'!$D$53,AE$6&gt;'Operating Assumptions'!$AA$8,'Operating Assumptions'!$G25="N/A"),0,IF('Operating Assumptions'!$G25="Fixed Amount",('Operating Assumptions'!$H25*AE$24)/12,IF('Operating Assumptions'!$G25="%/Rent Revenue",'Operating Assumptions'!$H25*$H41,IF('Operating Assumptions'!$G25="% of Total Revenue",'Operating Assumptions'!$H25*SUM($H41,$H50,$H57),IF('Operating Assumptions'!$G25="$/Unit/Annual",(('Operating Assumptions'!$H25*AE$24)*AE$36)/12,IF('Operating Assumptions'!$G25="$/Unit/Month",('Operating Assumptions'!$H25*AE$24)*AE$36))))))</f>
        <v>0</v>
      </c>
      <c r="AF60" s="427">
        <f>IF(OR(AF$9&lt;'Operating Assumptions'!$D$53,AF$6&gt;'Operating Assumptions'!$AA$8,'Operating Assumptions'!$G25="N/A"),0,IF('Operating Assumptions'!$G25="Fixed Amount",('Operating Assumptions'!$H25*AF$24)/12,IF('Operating Assumptions'!$G25="%/Rent Revenue",'Operating Assumptions'!$H25*$H41,IF('Operating Assumptions'!$G25="% of Total Revenue",'Operating Assumptions'!$H25*SUM($H41,$H50,$H57),IF('Operating Assumptions'!$G25="$/Unit/Annual",(('Operating Assumptions'!$H25*AF$24)*AF$36)/12,IF('Operating Assumptions'!$G25="$/Unit/Month",('Operating Assumptions'!$H25*AF$24)*AF$36))))))</f>
        <v>0</v>
      </c>
      <c r="AG60" s="427">
        <f>IF(OR(AG$9&lt;'Operating Assumptions'!$D$53,AG$6&gt;'Operating Assumptions'!$AA$8,'Operating Assumptions'!$G25="N/A"),0,IF('Operating Assumptions'!$G25="Fixed Amount",('Operating Assumptions'!$H25*AG$24)/12,IF('Operating Assumptions'!$G25="%/Rent Revenue",'Operating Assumptions'!$H25*$H41,IF('Operating Assumptions'!$G25="% of Total Revenue",'Operating Assumptions'!$H25*SUM($H41,$H50,$H57),IF('Operating Assumptions'!$G25="$/Unit/Annual",(('Operating Assumptions'!$H25*AG$24)*AG$36)/12,IF('Operating Assumptions'!$G25="$/Unit/Month",('Operating Assumptions'!$H25*AG$24)*AG$36))))))</f>
        <v>0</v>
      </c>
      <c r="AH60" s="427">
        <f>IF(OR(AH$9&lt;'Operating Assumptions'!$D$53,AH$6&gt;'Operating Assumptions'!$AA$8,'Operating Assumptions'!$G25="N/A"),0,IF('Operating Assumptions'!$G25="Fixed Amount",('Operating Assumptions'!$H25*AH$24)/12,IF('Operating Assumptions'!$G25="%/Rent Revenue",'Operating Assumptions'!$H25*$H41,IF('Operating Assumptions'!$G25="% of Total Revenue",'Operating Assumptions'!$H25*SUM($H41,$H50,$H57),IF('Operating Assumptions'!$G25="$/Unit/Annual",(('Operating Assumptions'!$H25*AH$24)*AH$36)/12,IF('Operating Assumptions'!$G25="$/Unit/Month",('Operating Assumptions'!$H25*AH$24)*AH$36))))))</f>
        <v>0</v>
      </c>
      <c r="AI60" s="427">
        <f>IF(OR(AI$9&lt;'Operating Assumptions'!$D$53,AI$6&gt;'Operating Assumptions'!$AA$8,'Operating Assumptions'!$G25="N/A"),0,IF('Operating Assumptions'!$G25="Fixed Amount",('Operating Assumptions'!$H25*AI$24)/12,IF('Operating Assumptions'!$G25="%/Rent Revenue",'Operating Assumptions'!$H25*$H41,IF('Operating Assumptions'!$G25="% of Total Revenue",'Operating Assumptions'!$H25*SUM($H41,$H50,$H57),IF('Operating Assumptions'!$G25="$/Unit/Annual",(('Operating Assumptions'!$H25*AI$24)*AI$36)/12,IF('Operating Assumptions'!$G25="$/Unit/Month",('Operating Assumptions'!$H25*AI$24)*AI$36))))))</f>
        <v>0</v>
      </c>
      <c r="AJ60" s="427">
        <f>IF(OR(AJ$9&lt;'Operating Assumptions'!$D$53,AJ$6&gt;'Operating Assumptions'!$AA$8,'Operating Assumptions'!$G25="N/A"),0,IF('Operating Assumptions'!$G25="Fixed Amount",('Operating Assumptions'!$H25*AJ$24)/12,IF('Operating Assumptions'!$G25="%/Rent Revenue",'Operating Assumptions'!$H25*$H41,IF('Operating Assumptions'!$G25="% of Total Revenue",'Operating Assumptions'!$H25*SUM($H41,$H50,$H57),IF('Operating Assumptions'!$G25="$/Unit/Annual",(('Operating Assumptions'!$H25*AJ$24)*AJ$36)/12,IF('Operating Assumptions'!$G25="$/Unit/Month",('Operating Assumptions'!$H25*AJ$24)*AJ$36))))))</f>
        <v>0</v>
      </c>
      <c r="AK60" s="427">
        <f>IF(OR(AK$9&lt;'Operating Assumptions'!$D$53,AK$6&gt;'Operating Assumptions'!$AA$8,'Operating Assumptions'!$G25="N/A"),0,IF('Operating Assumptions'!$G25="Fixed Amount",('Operating Assumptions'!$H25*AK$24)/12,IF('Operating Assumptions'!$G25="%/Rent Revenue",'Operating Assumptions'!$H25*$H41,IF('Operating Assumptions'!$G25="% of Total Revenue",'Operating Assumptions'!$H25*SUM($H41,$H50,$H57),IF('Operating Assumptions'!$G25="$/Unit/Annual",(('Operating Assumptions'!$H25*AK$24)*AK$36)/12,IF('Operating Assumptions'!$G25="$/Unit/Month",('Operating Assumptions'!$H25*AK$24)*AK$36))))))</f>
        <v>0</v>
      </c>
      <c r="AL60" s="427">
        <f>IF(OR(AL$9&lt;'Operating Assumptions'!$D$53,AL$6&gt;'Operating Assumptions'!$AA$8,'Operating Assumptions'!$G25="N/A"),0,IF('Operating Assumptions'!$G25="Fixed Amount",('Operating Assumptions'!$H25*AL$24)/12,IF('Operating Assumptions'!$G25="%/Rent Revenue",'Operating Assumptions'!$H25*$H41,IF('Operating Assumptions'!$G25="% of Total Revenue",'Operating Assumptions'!$H25*SUM($H41,$H50,$H57),IF('Operating Assumptions'!$G25="$/Unit/Annual",(('Operating Assumptions'!$H25*AL$24)*AL$36)/12,IF('Operating Assumptions'!$G25="$/Unit/Month",('Operating Assumptions'!$H25*AL$24)*AL$36))))))</f>
        <v>0</v>
      </c>
      <c r="AM60" s="427">
        <f>IF(OR(AM$9&lt;'Operating Assumptions'!$D$53,AM$6&gt;'Operating Assumptions'!$AA$8,'Operating Assumptions'!$G25="N/A"),0,IF('Operating Assumptions'!$G25="Fixed Amount",('Operating Assumptions'!$H25*AM$24)/12,IF('Operating Assumptions'!$G25="%/Rent Revenue",'Operating Assumptions'!$H25*$H41,IF('Operating Assumptions'!$G25="% of Total Revenue",'Operating Assumptions'!$H25*SUM($H41,$H50,$H57),IF('Operating Assumptions'!$G25="$/Unit/Annual",(('Operating Assumptions'!$H25*AM$24)*AM$36)/12,IF('Operating Assumptions'!$G25="$/Unit/Month",('Operating Assumptions'!$H25*AM$24)*AM$36))))))</f>
        <v>0</v>
      </c>
      <c r="AN60" s="427">
        <f>IF(OR(AN$9&lt;'Operating Assumptions'!$D$53,AN$6&gt;'Operating Assumptions'!$AA$8,'Operating Assumptions'!$G25="N/A"),0,IF('Operating Assumptions'!$G25="Fixed Amount",('Operating Assumptions'!$H25*AN$24)/12,IF('Operating Assumptions'!$G25="%/Rent Revenue",'Operating Assumptions'!$H25*$H41,IF('Operating Assumptions'!$G25="% of Total Revenue",'Operating Assumptions'!$H25*SUM($H41,$H50,$H57),IF('Operating Assumptions'!$G25="$/Unit/Annual",(('Operating Assumptions'!$H25*AN$24)*AN$36)/12,IF('Operating Assumptions'!$G25="$/Unit/Month",('Operating Assumptions'!$H25*AN$24)*AN$36))))))</f>
        <v>0</v>
      </c>
      <c r="AO60" s="427">
        <f>IF(OR(AO$9&lt;'Operating Assumptions'!$D$53,AO$6&gt;'Operating Assumptions'!$AA$8,'Operating Assumptions'!$G25="N/A"),0,IF('Operating Assumptions'!$G25="Fixed Amount",('Operating Assumptions'!$H25*AO$24)/12,IF('Operating Assumptions'!$G25="%/Rent Revenue",'Operating Assumptions'!$H25*$H41,IF('Operating Assumptions'!$G25="% of Total Revenue",'Operating Assumptions'!$H25*SUM($H41,$H50,$H57),IF('Operating Assumptions'!$G25="$/Unit/Annual",(('Operating Assumptions'!$H25*AO$24)*AO$36)/12,IF('Operating Assumptions'!$G25="$/Unit/Month",('Operating Assumptions'!$H25*AO$24)*AO$36))))))</f>
        <v>0</v>
      </c>
      <c r="AP60" s="427">
        <f>IF(OR(AP$9&lt;'Operating Assumptions'!$D$53,AP$6&gt;'Operating Assumptions'!$AA$8,'Operating Assumptions'!$G25="N/A"),0,IF('Operating Assumptions'!$G25="Fixed Amount",('Operating Assumptions'!$H25*AP$24)/12,IF('Operating Assumptions'!$G25="%/Rent Revenue",'Operating Assumptions'!$H25*$H41,IF('Operating Assumptions'!$G25="% of Total Revenue",'Operating Assumptions'!$H25*SUM($H41,$H50,$H57),IF('Operating Assumptions'!$G25="$/Unit/Annual",(('Operating Assumptions'!$H25*AP$24)*AP$36)/12,IF('Operating Assumptions'!$G25="$/Unit/Month",('Operating Assumptions'!$H25*AP$24)*AP$36))))))</f>
        <v>0</v>
      </c>
      <c r="AQ60" s="427">
        <f>IF(OR(AQ$9&lt;'Operating Assumptions'!$D$53,AQ$6&gt;'Operating Assumptions'!$AA$8,'Operating Assumptions'!$G25="N/A"),0,IF('Operating Assumptions'!$G25="Fixed Amount",('Operating Assumptions'!$H25*AQ$24)/12,IF('Operating Assumptions'!$G25="%/Rent Revenue",'Operating Assumptions'!$H25*$H41,IF('Operating Assumptions'!$G25="% of Total Revenue",'Operating Assumptions'!$H25*SUM($H41,$H50,$H57),IF('Operating Assumptions'!$G25="$/Unit/Annual",(('Operating Assumptions'!$H25*AQ$24)*AQ$36)/12,IF('Operating Assumptions'!$G25="$/Unit/Month",('Operating Assumptions'!$H25*AQ$24)*AQ$36))))))</f>
        <v>0</v>
      </c>
      <c r="AR60" s="427">
        <f>IF(OR(AR$9&lt;'Operating Assumptions'!$D$53,AR$6&gt;'Operating Assumptions'!$AA$8,'Operating Assumptions'!$G25="N/A"),0,IF('Operating Assumptions'!$G25="Fixed Amount",('Operating Assumptions'!$H25*AR$24)/12,IF('Operating Assumptions'!$G25="%/Rent Revenue",'Operating Assumptions'!$H25*$H41,IF('Operating Assumptions'!$G25="% of Total Revenue",'Operating Assumptions'!$H25*SUM($H41,$H50,$H57),IF('Operating Assumptions'!$G25="$/Unit/Annual",(('Operating Assumptions'!$H25*AR$24)*AR$36)/12,IF('Operating Assumptions'!$G25="$/Unit/Month",('Operating Assumptions'!$H25*AR$24)*AR$36))))))</f>
        <v>0</v>
      </c>
      <c r="AS60" s="427">
        <f>IF(OR(AS$9&lt;'Operating Assumptions'!$D$53,AS$6&gt;'Operating Assumptions'!$AA$8,'Operating Assumptions'!$G25="N/A"),0,IF('Operating Assumptions'!$G25="Fixed Amount",('Operating Assumptions'!$H25*AS$24)/12,IF('Operating Assumptions'!$G25="%/Rent Revenue",'Operating Assumptions'!$H25*$H41,IF('Operating Assumptions'!$G25="% of Total Revenue",'Operating Assumptions'!$H25*SUM($H41,$H50,$H57),IF('Operating Assumptions'!$G25="$/Unit/Annual",(('Operating Assumptions'!$H25*AS$24)*AS$36)/12,IF('Operating Assumptions'!$G25="$/Unit/Month",('Operating Assumptions'!$H25*AS$24)*AS$36))))))</f>
        <v>0</v>
      </c>
      <c r="AT60" s="427">
        <f>IF(OR(AT$9&lt;'Operating Assumptions'!$D$53,AT$6&gt;'Operating Assumptions'!$AA$8,'Operating Assumptions'!$G25="N/A"),0,IF('Operating Assumptions'!$G25="Fixed Amount",('Operating Assumptions'!$H25*AT$24)/12,IF('Operating Assumptions'!$G25="%/Rent Revenue",'Operating Assumptions'!$H25*$H41,IF('Operating Assumptions'!$G25="% of Total Revenue",'Operating Assumptions'!$H25*SUM($H41,$H50,$H57),IF('Operating Assumptions'!$G25="$/Unit/Annual",(('Operating Assumptions'!$H25*AT$24)*AT$36)/12,IF('Operating Assumptions'!$G25="$/Unit/Month",('Operating Assumptions'!$H25*AT$24)*AT$36))))))</f>
        <v>0</v>
      </c>
      <c r="AU60" s="427">
        <f>IF(OR(AU$9&lt;'Operating Assumptions'!$D$53,AU$6&gt;'Operating Assumptions'!$AA$8,'Operating Assumptions'!$G25="N/A"),0,IF('Operating Assumptions'!$G25="Fixed Amount",('Operating Assumptions'!$H25*AU$24)/12,IF('Operating Assumptions'!$G25="%/Rent Revenue",'Operating Assumptions'!$H25*$H41,IF('Operating Assumptions'!$G25="% of Total Revenue",'Operating Assumptions'!$H25*SUM($H41,$H50,$H57),IF('Operating Assumptions'!$G25="$/Unit/Annual",(('Operating Assumptions'!$H25*AU$24)*AU$36)/12,IF('Operating Assumptions'!$G25="$/Unit/Month",('Operating Assumptions'!$H25*AU$24)*AU$36))))))</f>
        <v>0</v>
      </c>
      <c r="AV60" s="427">
        <f>IF(OR(AV$9&lt;'Operating Assumptions'!$D$53,AV$6&gt;'Operating Assumptions'!$AA$8,'Operating Assumptions'!$G25="N/A"),0,IF('Operating Assumptions'!$G25="Fixed Amount",('Operating Assumptions'!$H25*AV$24)/12,IF('Operating Assumptions'!$G25="%/Rent Revenue",'Operating Assumptions'!$H25*$H41,IF('Operating Assumptions'!$G25="% of Total Revenue",'Operating Assumptions'!$H25*SUM($H41,$H50,$H57),IF('Operating Assumptions'!$G25="$/Unit/Annual",(('Operating Assumptions'!$H25*AV$24)*AV$36)/12,IF('Operating Assumptions'!$G25="$/Unit/Month",('Operating Assumptions'!$H25*AV$24)*AV$36))))))</f>
        <v>0</v>
      </c>
      <c r="AW60" s="427">
        <f>IF(OR(AW$9&lt;'Operating Assumptions'!$D$53,AW$6&gt;'Operating Assumptions'!$AA$8,'Operating Assumptions'!$G25="N/A"),0,IF('Operating Assumptions'!$G25="Fixed Amount",('Operating Assumptions'!$H25*AW$24)/12,IF('Operating Assumptions'!$G25="%/Rent Revenue",'Operating Assumptions'!$H25*$H41,IF('Operating Assumptions'!$G25="% of Total Revenue",'Operating Assumptions'!$H25*SUM($H41,$H50,$H57),IF('Operating Assumptions'!$G25="$/Unit/Annual",(('Operating Assumptions'!$H25*AW$24)*AW$36)/12,IF('Operating Assumptions'!$G25="$/Unit/Month",('Operating Assumptions'!$H25*AW$24)*AW$36))))))</f>
        <v>0</v>
      </c>
      <c r="AX60" s="427">
        <f>IF(OR(AX$9&lt;'Operating Assumptions'!$D$53,AX$6&gt;'Operating Assumptions'!$AA$8,'Operating Assumptions'!$G25="N/A"),0,IF('Operating Assumptions'!$G25="Fixed Amount",('Operating Assumptions'!$H25*AX$24)/12,IF('Operating Assumptions'!$G25="%/Rent Revenue",'Operating Assumptions'!$H25*$H41,IF('Operating Assumptions'!$G25="% of Total Revenue",'Operating Assumptions'!$H25*SUM($H41,$H50,$H57),IF('Operating Assumptions'!$G25="$/Unit/Annual",(('Operating Assumptions'!$H25*AX$24)*AX$36)/12,IF('Operating Assumptions'!$G25="$/Unit/Month",('Operating Assumptions'!$H25*AX$24)*AX$36))))))</f>
        <v>0</v>
      </c>
      <c r="AY60" s="427">
        <f>IF(OR(AY$9&lt;'Operating Assumptions'!$D$53,AY$6&gt;'Operating Assumptions'!$AA$8,'Operating Assumptions'!$G25="N/A"),0,IF('Operating Assumptions'!$G25="Fixed Amount",('Operating Assumptions'!$H25*AY$24)/12,IF('Operating Assumptions'!$G25="%/Rent Revenue",'Operating Assumptions'!$H25*$H41,IF('Operating Assumptions'!$G25="% of Total Revenue",'Operating Assumptions'!$H25*SUM($H41,$H50,$H57),IF('Operating Assumptions'!$G25="$/Unit/Annual",(('Operating Assumptions'!$H25*AY$24)*AY$36)/12,IF('Operating Assumptions'!$G25="$/Unit/Month",('Operating Assumptions'!$H25*AY$24)*AY$36))))))</f>
        <v>0</v>
      </c>
      <c r="AZ60" s="427">
        <f>IF(OR(AZ$9&lt;'Operating Assumptions'!$D$53,AZ$6&gt;'Operating Assumptions'!$AA$8,'Operating Assumptions'!$G25="N/A"),0,IF('Operating Assumptions'!$G25="Fixed Amount",('Operating Assumptions'!$H25*AZ$24)/12,IF('Operating Assumptions'!$G25="%/Rent Revenue",'Operating Assumptions'!$H25*$H41,IF('Operating Assumptions'!$G25="% of Total Revenue",'Operating Assumptions'!$H25*SUM($H41,$H50,$H57),IF('Operating Assumptions'!$G25="$/Unit/Annual",(('Operating Assumptions'!$H25*AZ$24)*AZ$36)/12,IF('Operating Assumptions'!$G25="$/Unit/Month",('Operating Assumptions'!$H25*AZ$24)*AZ$36))))))</f>
        <v>0</v>
      </c>
      <c r="BA60" s="427">
        <f>IF(OR(BA$9&lt;'Operating Assumptions'!$D$53,BA$6&gt;'Operating Assumptions'!$AA$8,'Operating Assumptions'!$G25="N/A"),0,IF('Operating Assumptions'!$G25="Fixed Amount",('Operating Assumptions'!$H25*BA$24)/12,IF('Operating Assumptions'!$G25="%/Rent Revenue",'Operating Assumptions'!$H25*$H41,IF('Operating Assumptions'!$G25="% of Total Revenue",'Operating Assumptions'!$H25*SUM($H41,$H50,$H57),IF('Operating Assumptions'!$G25="$/Unit/Annual",(('Operating Assumptions'!$H25*BA$24)*BA$36)/12,IF('Operating Assumptions'!$G25="$/Unit/Month",('Operating Assumptions'!$H25*BA$24)*BA$36))))))</f>
        <v>0</v>
      </c>
      <c r="BB60" s="427">
        <f>IF(OR(BB$9&lt;'Operating Assumptions'!$D$53,BB$6&gt;'Operating Assumptions'!$AA$8,'Operating Assumptions'!$G25="N/A"),0,IF('Operating Assumptions'!$G25="Fixed Amount",('Operating Assumptions'!$H25*BB$24)/12,IF('Operating Assumptions'!$G25="%/Rent Revenue",'Operating Assumptions'!$H25*$H41,IF('Operating Assumptions'!$G25="% of Total Revenue",'Operating Assumptions'!$H25*SUM($H41,$H50,$H57),IF('Operating Assumptions'!$G25="$/Unit/Annual",(('Operating Assumptions'!$H25*BB$24)*BB$36)/12,IF('Operating Assumptions'!$G25="$/Unit/Month",('Operating Assumptions'!$H25*BB$24)*BB$36))))))</f>
        <v>0</v>
      </c>
      <c r="BC60" s="427">
        <f>IF(OR(BC$9&lt;'Operating Assumptions'!$D$53,BC$6&gt;'Operating Assumptions'!$AA$8,'Operating Assumptions'!$G25="N/A"),0,IF('Operating Assumptions'!$G25="Fixed Amount",('Operating Assumptions'!$H25*BC$24)/12,IF('Operating Assumptions'!$G25="%/Rent Revenue",'Operating Assumptions'!$H25*$H41,IF('Operating Assumptions'!$G25="% of Total Revenue",'Operating Assumptions'!$H25*SUM($H41,$H50,$H57),IF('Operating Assumptions'!$G25="$/Unit/Annual",(('Operating Assumptions'!$H25*BC$24)*BC$36)/12,IF('Operating Assumptions'!$G25="$/Unit/Month",('Operating Assumptions'!$H25*BC$24)*BC$36))))))</f>
        <v>0</v>
      </c>
      <c r="BD60" s="427">
        <f>IF(OR(BD$9&lt;'Operating Assumptions'!$D$53,BD$6&gt;'Operating Assumptions'!$AA$8,'Operating Assumptions'!$G25="N/A"),0,IF('Operating Assumptions'!$G25="Fixed Amount",('Operating Assumptions'!$H25*BD$24)/12,IF('Operating Assumptions'!$G25="%/Rent Revenue",'Operating Assumptions'!$H25*$H41,IF('Operating Assumptions'!$G25="% of Total Revenue",'Operating Assumptions'!$H25*SUM($H41,$H50,$H57),IF('Operating Assumptions'!$G25="$/Unit/Annual",(('Operating Assumptions'!$H25*BD$24)*BD$36)/12,IF('Operating Assumptions'!$G25="$/Unit/Month",('Operating Assumptions'!$H25*BD$24)*BD$36))))))</f>
        <v>0</v>
      </c>
      <c r="BE60" s="427">
        <f>IF(OR(BE$9&lt;'Operating Assumptions'!$D$53,BE$6&gt;'Operating Assumptions'!$AA$8,'Operating Assumptions'!$G25="N/A"),0,IF('Operating Assumptions'!$G25="Fixed Amount",('Operating Assumptions'!$H25*BE$24)/12,IF('Operating Assumptions'!$G25="%/Rent Revenue",'Operating Assumptions'!$H25*$H41,IF('Operating Assumptions'!$G25="% of Total Revenue",'Operating Assumptions'!$H25*SUM($H41,$H50,$H57),IF('Operating Assumptions'!$G25="$/Unit/Annual",(('Operating Assumptions'!$H25*BE$24)*BE$36)/12,IF('Operating Assumptions'!$G25="$/Unit/Month",('Operating Assumptions'!$H25*BE$24)*BE$36))))))</f>
        <v>0</v>
      </c>
      <c r="BF60" s="427">
        <f>IF(OR(BF$9&lt;'Operating Assumptions'!$D$53,BF$6&gt;'Operating Assumptions'!$AA$8,'Operating Assumptions'!$G25="N/A"),0,IF('Operating Assumptions'!$G25="Fixed Amount",('Operating Assumptions'!$H25*BF$24)/12,IF('Operating Assumptions'!$G25="%/Rent Revenue",'Operating Assumptions'!$H25*$H41,IF('Operating Assumptions'!$G25="% of Total Revenue",'Operating Assumptions'!$H25*SUM($H41,$H50,$H57),IF('Operating Assumptions'!$G25="$/Unit/Annual",(('Operating Assumptions'!$H25*BF$24)*BF$36)/12,IF('Operating Assumptions'!$G25="$/Unit/Month",('Operating Assumptions'!$H25*BF$24)*BF$36))))))</f>
        <v>0</v>
      </c>
      <c r="BG60" s="427">
        <f>IF(OR(BG$9&lt;'Operating Assumptions'!$D$53,BG$6&gt;'Operating Assumptions'!$AA$8,'Operating Assumptions'!$G25="N/A"),0,IF('Operating Assumptions'!$G25="Fixed Amount",('Operating Assumptions'!$H25*BG$24)/12,IF('Operating Assumptions'!$G25="%/Rent Revenue",'Operating Assumptions'!$H25*$H41,IF('Operating Assumptions'!$G25="% of Total Revenue",'Operating Assumptions'!$H25*SUM($H41,$H50,$H57),IF('Operating Assumptions'!$G25="$/Unit/Annual",(('Operating Assumptions'!$H25*BG$24)*BG$36)/12,IF('Operating Assumptions'!$G25="$/Unit/Month",('Operating Assumptions'!$H25*BG$24)*BG$36))))))</f>
        <v>0</v>
      </c>
      <c r="BH60" s="427">
        <f>IF(OR(BH$9&lt;'Operating Assumptions'!$D$53,BH$6&gt;'Operating Assumptions'!$AA$8,'Operating Assumptions'!$G25="N/A"),0,IF('Operating Assumptions'!$G25="Fixed Amount",('Operating Assumptions'!$H25*BH$24)/12,IF('Operating Assumptions'!$G25="%/Rent Revenue",'Operating Assumptions'!$H25*$H41,IF('Operating Assumptions'!$G25="% of Total Revenue",'Operating Assumptions'!$H25*SUM($H41,$H50,$H57),IF('Operating Assumptions'!$G25="$/Unit/Annual",(('Operating Assumptions'!$H25*BH$24)*BH$36)/12,IF('Operating Assumptions'!$G25="$/Unit/Month",('Operating Assumptions'!$H25*BH$24)*BH$36))))))</f>
        <v>0</v>
      </c>
      <c r="BI60" s="427">
        <f>IF(OR(BI$9&lt;'Operating Assumptions'!$D$53,BI$6&gt;'Operating Assumptions'!$AA$8,'Operating Assumptions'!$G25="N/A"),0,IF('Operating Assumptions'!$G25="Fixed Amount",('Operating Assumptions'!$H25*BI$24)/12,IF('Operating Assumptions'!$G25="%/Rent Revenue",'Operating Assumptions'!$H25*$H41,IF('Operating Assumptions'!$G25="% of Total Revenue",'Operating Assumptions'!$H25*SUM($H41,$H50,$H57),IF('Operating Assumptions'!$G25="$/Unit/Annual",(('Operating Assumptions'!$H25*BI$24)*BI$36)/12,IF('Operating Assumptions'!$G25="$/Unit/Month",('Operating Assumptions'!$H25*BI$24)*BI$36))))))</f>
        <v>0</v>
      </c>
      <c r="BJ60" s="427">
        <f>IF(OR(BJ$9&lt;'Operating Assumptions'!$D$53,BJ$6&gt;'Operating Assumptions'!$AA$8,'Operating Assumptions'!$G25="N/A"),0,IF('Operating Assumptions'!$G25="Fixed Amount",('Operating Assumptions'!$H25*BJ$24)/12,IF('Operating Assumptions'!$G25="%/Rent Revenue",'Operating Assumptions'!$H25*$H41,IF('Operating Assumptions'!$G25="% of Total Revenue",'Operating Assumptions'!$H25*SUM($H41,$H50,$H57),IF('Operating Assumptions'!$G25="$/Unit/Annual",(('Operating Assumptions'!$H25*BJ$24)*BJ$36)/12,IF('Operating Assumptions'!$G25="$/Unit/Month",('Operating Assumptions'!$H25*BJ$24)*BJ$36))))))</f>
        <v>0</v>
      </c>
      <c r="BK60" s="427">
        <f>IF(OR(BK$9&lt;'Operating Assumptions'!$D$53,BK$6&gt;'Operating Assumptions'!$AA$8,'Operating Assumptions'!$G25="N/A"),0,IF('Operating Assumptions'!$G25="Fixed Amount",('Operating Assumptions'!$H25*BK$24)/12,IF('Operating Assumptions'!$G25="%/Rent Revenue",'Operating Assumptions'!$H25*$H41,IF('Operating Assumptions'!$G25="% of Total Revenue",'Operating Assumptions'!$H25*SUM($H41,$H50,$H57),IF('Operating Assumptions'!$G25="$/Unit/Annual",(('Operating Assumptions'!$H25*BK$24)*BK$36)/12,IF('Operating Assumptions'!$G25="$/Unit/Month",('Operating Assumptions'!$H25*BK$24)*BK$36))))))</f>
        <v>0</v>
      </c>
      <c r="BL60" s="427">
        <f>IF(OR(BL$9&lt;'Operating Assumptions'!$D$53,BL$6&gt;'Operating Assumptions'!$AA$8,'Operating Assumptions'!$G25="N/A"),0,IF('Operating Assumptions'!$G25="Fixed Amount",('Operating Assumptions'!$H25*BL$24)/12,IF('Operating Assumptions'!$G25="%/Rent Revenue",'Operating Assumptions'!$H25*$H41,IF('Operating Assumptions'!$G25="% of Total Revenue",'Operating Assumptions'!$H25*SUM($H41,$H50,$H57),IF('Operating Assumptions'!$G25="$/Unit/Annual",(('Operating Assumptions'!$H25*BL$24)*BL$36)/12,IF('Operating Assumptions'!$G25="$/Unit/Month",('Operating Assumptions'!$H25*BL$24)*BL$36))))))</f>
        <v>0</v>
      </c>
      <c r="BM60" s="427">
        <f>IF(OR(BM$9&lt;'Operating Assumptions'!$D$53,BM$6&gt;'Operating Assumptions'!$AA$8,'Operating Assumptions'!$G25="N/A"),0,IF('Operating Assumptions'!$G25="Fixed Amount",('Operating Assumptions'!$H25*BM$24)/12,IF('Operating Assumptions'!$G25="%/Rent Revenue",'Operating Assumptions'!$H25*$H41,IF('Operating Assumptions'!$G25="% of Total Revenue",'Operating Assumptions'!$H25*SUM($H41,$H50,$H57),IF('Operating Assumptions'!$G25="$/Unit/Annual",(('Operating Assumptions'!$H25*BM$24)*BM$36)/12,IF('Operating Assumptions'!$G25="$/Unit/Month",('Operating Assumptions'!$H25*BM$24)*BM$36))))))</f>
        <v>0</v>
      </c>
      <c r="BN60" s="427">
        <f>IF(OR(BN$9&lt;'Operating Assumptions'!$D$53,BN$6&gt;'Operating Assumptions'!$AA$8,'Operating Assumptions'!$G25="N/A"),0,IF('Operating Assumptions'!$G25="Fixed Amount",('Operating Assumptions'!$H25*BN$24)/12,IF('Operating Assumptions'!$G25="%/Rent Revenue",'Operating Assumptions'!$H25*$H41,IF('Operating Assumptions'!$G25="% of Total Revenue",'Operating Assumptions'!$H25*SUM($H41,$H50,$H57),IF('Operating Assumptions'!$G25="$/Unit/Annual",(('Operating Assumptions'!$H25*BN$24)*BN$36)/12,IF('Operating Assumptions'!$G25="$/Unit/Month",('Operating Assumptions'!$H25*BN$24)*BN$36))))))</f>
        <v>0</v>
      </c>
      <c r="BO60" s="427">
        <f>IF(OR(BO$9&lt;'Operating Assumptions'!$D$53,BO$6&gt;'Operating Assumptions'!$AA$8,'Operating Assumptions'!$G25="N/A"),0,IF('Operating Assumptions'!$G25="Fixed Amount",('Operating Assumptions'!$H25*BO$24)/12,IF('Operating Assumptions'!$G25="%/Rent Revenue",'Operating Assumptions'!$H25*$H41,IF('Operating Assumptions'!$G25="% of Total Revenue",'Operating Assumptions'!$H25*SUM($H41,$H50,$H57),IF('Operating Assumptions'!$G25="$/Unit/Annual",(('Operating Assumptions'!$H25*BO$24)*BO$36)/12,IF('Operating Assumptions'!$G25="$/Unit/Month",('Operating Assumptions'!$H25*BO$24)*BO$36))))))</f>
        <v>0</v>
      </c>
      <c r="BP60" s="427">
        <f>IF(OR(BP$9&lt;'Operating Assumptions'!$D$53,BP$6&gt;'Operating Assumptions'!$AA$8,'Operating Assumptions'!$G25="N/A"),0,IF('Operating Assumptions'!$G25="Fixed Amount",('Operating Assumptions'!$H25*BP$24)/12,IF('Operating Assumptions'!$G25="%/Rent Revenue",'Operating Assumptions'!$H25*$H41,IF('Operating Assumptions'!$G25="% of Total Revenue",'Operating Assumptions'!$H25*SUM($H41,$H50,$H57),IF('Operating Assumptions'!$G25="$/Unit/Annual",(('Operating Assumptions'!$H25*BP$24)*BP$36)/12,IF('Operating Assumptions'!$G25="$/Unit/Month",('Operating Assumptions'!$H25*BP$24)*BP$36))))))</f>
        <v>0</v>
      </c>
      <c r="BQ60" s="427">
        <f>IF(OR(BQ$9&lt;'Operating Assumptions'!$D$53,BQ$6&gt;'Operating Assumptions'!$AA$8,'Operating Assumptions'!$G25="N/A"),0,IF('Operating Assumptions'!$G25="Fixed Amount",('Operating Assumptions'!$H25*BQ$24)/12,IF('Operating Assumptions'!$G25="%/Rent Revenue",'Operating Assumptions'!$H25*$H41,IF('Operating Assumptions'!$G25="% of Total Revenue",'Operating Assumptions'!$H25*SUM($H41,$H50,$H57),IF('Operating Assumptions'!$G25="$/Unit/Annual",(('Operating Assumptions'!$H25*BQ$24)*BQ$36)/12,IF('Operating Assumptions'!$G25="$/Unit/Month",('Operating Assumptions'!$H25*BQ$24)*BQ$36))))))</f>
        <v>0</v>
      </c>
      <c r="BR60" s="427">
        <f>IF(OR(BR$9&lt;'Operating Assumptions'!$D$53,BR$6&gt;'Operating Assumptions'!$AA$8,'Operating Assumptions'!$G25="N/A"),0,IF('Operating Assumptions'!$G25="Fixed Amount",('Operating Assumptions'!$H25*BR$24)/12,IF('Operating Assumptions'!$G25="%/Rent Revenue",'Operating Assumptions'!$H25*$H41,IF('Operating Assumptions'!$G25="% of Total Revenue",'Operating Assumptions'!$H25*SUM($H41,$H50,$H57),IF('Operating Assumptions'!$G25="$/Unit/Annual",(('Operating Assumptions'!$H25*BR$24)*BR$36)/12,IF('Operating Assumptions'!$G25="$/Unit/Month",('Operating Assumptions'!$H25*BR$24)*BR$36))))))</f>
        <v>0</v>
      </c>
      <c r="BS60" s="427">
        <f>IF(OR(BS$9&lt;'Operating Assumptions'!$D$53,BS$6&gt;'Operating Assumptions'!$AA$8,'Operating Assumptions'!$G25="N/A"),0,IF('Operating Assumptions'!$G25="Fixed Amount",('Operating Assumptions'!$H25*BS$24)/12,IF('Operating Assumptions'!$G25="%/Rent Revenue",'Operating Assumptions'!$H25*$H41,IF('Operating Assumptions'!$G25="% of Total Revenue",'Operating Assumptions'!$H25*SUM($H41,$H50,$H57),IF('Operating Assumptions'!$G25="$/Unit/Annual",(('Operating Assumptions'!$H25*BS$24)*BS$36)/12,IF('Operating Assumptions'!$G25="$/Unit/Month",('Operating Assumptions'!$H25*BS$24)*BS$36))))))</f>
        <v>0</v>
      </c>
      <c r="BT60" s="427">
        <f>IF(OR(BT$9&lt;'Operating Assumptions'!$D$53,BT$6&gt;'Operating Assumptions'!$AA$8,'Operating Assumptions'!$G25="N/A"),0,IF('Operating Assumptions'!$G25="Fixed Amount",('Operating Assumptions'!$H25*BT$24)/12,IF('Operating Assumptions'!$G25="%/Rent Revenue",'Operating Assumptions'!$H25*$H41,IF('Operating Assumptions'!$G25="% of Total Revenue",'Operating Assumptions'!$H25*SUM($H41,$H50,$H57),IF('Operating Assumptions'!$G25="$/Unit/Annual",(('Operating Assumptions'!$H25*BT$24)*BT$36)/12,IF('Operating Assumptions'!$G25="$/Unit/Month",('Operating Assumptions'!$H25*BT$24)*BT$36))))))</f>
        <v>0</v>
      </c>
      <c r="BU60" s="427">
        <f>IF(OR(BU$9&lt;'Operating Assumptions'!$D$53,BU$6&gt;'Operating Assumptions'!$AA$8,'Operating Assumptions'!$G25="N/A"),0,IF('Operating Assumptions'!$G25="Fixed Amount",('Operating Assumptions'!$H25*BU$24)/12,IF('Operating Assumptions'!$G25="%/Rent Revenue",'Operating Assumptions'!$H25*$H41,IF('Operating Assumptions'!$G25="% of Total Revenue",'Operating Assumptions'!$H25*SUM($H41,$H50,$H57),IF('Operating Assumptions'!$G25="$/Unit/Annual",(('Operating Assumptions'!$H25*BU$24)*BU$36)/12,IF('Operating Assumptions'!$G25="$/Unit/Month",('Operating Assumptions'!$H25*BU$24)*BU$36))))))</f>
        <v>0</v>
      </c>
      <c r="BV60" s="427">
        <f>IF(OR(BV$9&lt;'Operating Assumptions'!$D$53,BV$6&gt;'Operating Assumptions'!$AA$8,'Operating Assumptions'!$G25="N/A"),0,IF('Operating Assumptions'!$G25="Fixed Amount",('Operating Assumptions'!$H25*BV$24)/12,IF('Operating Assumptions'!$G25="%/Rent Revenue",'Operating Assumptions'!$H25*$H41,IF('Operating Assumptions'!$G25="% of Total Revenue",'Operating Assumptions'!$H25*SUM($H41,$H50,$H57),IF('Operating Assumptions'!$G25="$/Unit/Annual",(('Operating Assumptions'!$H25*BV$24)*BV$36)/12,IF('Operating Assumptions'!$G25="$/Unit/Month",('Operating Assumptions'!$H25*BV$24)*BV$36))))))</f>
        <v>0</v>
      </c>
      <c r="BW60" s="427">
        <f>IF(OR(BW$9&lt;'Operating Assumptions'!$D$53,BW$6&gt;'Operating Assumptions'!$AA$8,'Operating Assumptions'!$G25="N/A"),0,IF('Operating Assumptions'!$G25="Fixed Amount",('Operating Assumptions'!$H25*BW$24)/12,IF('Operating Assumptions'!$G25="%/Rent Revenue",'Operating Assumptions'!$H25*$H41,IF('Operating Assumptions'!$G25="% of Total Revenue",'Operating Assumptions'!$H25*SUM($H41,$H50,$H57),IF('Operating Assumptions'!$G25="$/Unit/Annual",(('Operating Assumptions'!$H25*BW$24)*BW$36)/12,IF('Operating Assumptions'!$G25="$/Unit/Month",('Operating Assumptions'!$H25*BW$24)*BW$36))))))</f>
        <v>0</v>
      </c>
      <c r="BX60" s="427">
        <f>IF(OR(BX$9&lt;'Operating Assumptions'!$D$53,BX$6&gt;'Operating Assumptions'!$AA$8,'Operating Assumptions'!$G25="N/A"),0,IF('Operating Assumptions'!$G25="Fixed Amount",('Operating Assumptions'!$H25*BX$24)/12,IF('Operating Assumptions'!$G25="%/Rent Revenue",'Operating Assumptions'!$H25*$H41,IF('Operating Assumptions'!$G25="% of Total Revenue",'Operating Assumptions'!$H25*SUM($H41,$H50,$H57),IF('Operating Assumptions'!$G25="$/Unit/Annual",(('Operating Assumptions'!$H25*BX$24)*BX$36)/12,IF('Operating Assumptions'!$G25="$/Unit/Month",('Operating Assumptions'!$H25*BX$24)*BX$36))))))</f>
        <v>0</v>
      </c>
      <c r="BY60" s="427">
        <f>IF(OR(BY$9&lt;'Operating Assumptions'!$D$53,BY$6&gt;'Operating Assumptions'!$AA$8,'Operating Assumptions'!$G25="N/A"),0,IF('Operating Assumptions'!$G25="Fixed Amount",('Operating Assumptions'!$H25*BY$24)/12,IF('Operating Assumptions'!$G25="%/Rent Revenue",'Operating Assumptions'!$H25*$H41,IF('Operating Assumptions'!$G25="% of Total Revenue",'Operating Assumptions'!$H25*SUM($H41,$H50,$H57),IF('Operating Assumptions'!$G25="$/Unit/Annual",(('Operating Assumptions'!$H25*BY$24)*BY$36)/12,IF('Operating Assumptions'!$G25="$/Unit/Month",('Operating Assumptions'!$H25*BY$24)*BY$36))))))</f>
        <v>0</v>
      </c>
      <c r="BZ60" s="427">
        <f>IF(OR(BZ$9&lt;'Operating Assumptions'!$D$53,BZ$6&gt;'Operating Assumptions'!$AA$8,'Operating Assumptions'!$G25="N/A"),0,IF('Operating Assumptions'!$G25="Fixed Amount",('Operating Assumptions'!$H25*BZ$24)/12,IF('Operating Assumptions'!$G25="%/Rent Revenue",'Operating Assumptions'!$H25*$H41,IF('Operating Assumptions'!$G25="% of Total Revenue",'Operating Assumptions'!$H25*SUM($H41,$H50,$H57),IF('Operating Assumptions'!$G25="$/Unit/Annual",(('Operating Assumptions'!$H25*BZ$24)*BZ$36)/12,IF('Operating Assumptions'!$G25="$/Unit/Month",('Operating Assumptions'!$H25*BZ$24)*BZ$36))))))</f>
        <v>0</v>
      </c>
      <c r="CA60" s="427">
        <f>IF(OR(CA$9&lt;'Operating Assumptions'!$D$53,CA$6&gt;'Operating Assumptions'!$AA$8,'Operating Assumptions'!$G25="N/A"),0,IF('Operating Assumptions'!$G25="Fixed Amount",('Operating Assumptions'!$H25*CA$24)/12,IF('Operating Assumptions'!$G25="%/Rent Revenue",'Operating Assumptions'!$H25*$H41,IF('Operating Assumptions'!$G25="% of Total Revenue",'Operating Assumptions'!$H25*SUM($H41,$H50,$H57),IF('Operating Assumptions'!$G25="$/Unit/Annual",(('Operating Assumptions'!$H25*CA$24)*CA$36)/12,IF('Operating Assumptions'!$G25="$/Unit/Month",('Operating Assumptions'!$H25*CA$24)*CA$36))))))</f>
        <v>0</v>
      </c>
      <c r="CB60" s="427">
        <f>IF(OR(CB$9&lt;'Operating Assumptions'!$D$53,CB$6&gt;'Operating Assumptions'!$AA$8,'Operating Assumptions'!$G25="N/A"),0,IF('Operating Assumptions'!$G25="Fixed Amount",('Operating Assumptions'!$H25*CB$24)/12,IF('Operating Assumptions'!$G25="%/Rent Revenue",'Operating Assumptions'!$H25*$H41,IF('Operating Assumptions'!$G25="% of Total Revenue",'Operating Assumptions'!$H25*SUM($H41,$H50,$H57),IF('Operating Assumptions'!$G25="$/Unit/Annual",(('Operating Assumptions'!$H25*CB$24)*CB$36)/12,IF('Operating Assumptions'!$G25="$/Unit/Month",('Operating Assumptions'!$H25*CB$24)*CB$36))))))</f>
        <v>0</v>
      </c>
      <c r="CC60" s="427">
        <f>IF(OR(CC$9&lt;'Operating Assumptions'!$D$53,CC$6&gt;'Operating Assumptions'!$AA$8,'Operating Assumptions'!$G25="N/A"),0,IF('Operating Assumptions'!$G25="Fixed Amount",('Operating Assumptions'!$H25*CC$24)/12,IF('Operating Assumptions'!$G25="%/Rent Revenue",'Operating Assumptions'!$H25*$H41,IF('Operating Assumptions'!$G25="% of Total Revenue",'Operating Assumptions'!$H25*SUM($H41,$H50,$H57),IF('Operating Assumptions'!$G25="$/Unit/Annual",(('Operating Assumptions'!$H25*CC$24)*CC$36)/12,IF('Operating Assumptions'!$G25="$/Unit/Month",('Operating Assumptions'!$H25*CC$24)*CC$36))))))</f>
        <v>0</v>
      </c>
      <c r="CD60" s="427">
        <f>IF(OR(CD$9&lt;'Operating Assumptions'!$D$53,CD$6&gt;'Operating Assumptions'!$AA$8,'Operating Assumptions'!$G25="N/A"),0,IF('Operating Assumptions'!$G25="Fixed Amount",('Operating Assumptions'!$H25*CD$24)/12,IF('Operating Assumptions'!$G25="%/Rent Revenue",'Operating Assumptions'!$H25*$H41,IF('Operating Assumptions'!$G25="% of Total Revenue",'Operating Assumptions'!$H25*SUM($H41,$H50,$H57),IF('Operating Assumptions'!$G25="$/Unit/Annual",(('Operating Assumptions'!$H25*CD$24)*CD$36)/12,IF('Operating Assumptions'!$G25="$/Unit/Month",('Operating Assumptions'!$H25*CD$24)*CD$36))))))</f>
        <v>0</v>
      </c>
      <c r="CE60" s="427">
        <f>IF(OR(CE$9&lt;'Operating Assumptions'!$D$53,CE$6&gt;'Operating Assumptions'!$AA$8,'Operating Assumptions'!$G25="N/A"),0,IF('Operating Assumptions'!$G25="Fixed Amount",('Operating Assumptions'!$H25*CE$24)/12,IF('Operating Assumptions'!$G25="%/Rent Revenue",'Operating Assumptions'!$H25*$H41,IF('Operating Assumptions'!$G25="% of Total Revenue",'Operating Assumptions'!$H25*SUM($H41,$H50,$H57),IF('Operating Assumptions'!$G25="$/Unit/Annual",(('Operating Assumptions'!$H25*CE$24)*CE$36)/12,IF('Operating Assumptions'!$G25="$/Unit/Month",('Operating Assumptions'!$H25*CE$24)*CE$36))))))</f>
        <v>0</v>
      </c>
      <c r="CF60" s="427">
        <f>IF(OR(CF$9&lt;'Operating Assumptions'!$D$53,CF$6&gt;'Operating Assumptions'!$AA$8,'Operating Assumptions'!$G25="N/A"),0,IF('Operating Assumptions'!$G25="Fixed Amount",('Operating Assumptions'!$H25*CF$24)/12,IF('Operating Assumptions'!$G25="%/Rent Revenue",'Operating Assumptions'!$H25*$H41,IF('Operating Assumptions'!$G25="% of Total Revenue",'Operating Assumptions'!$H25*SUM($H41,$H50,$H57),IF('Operating Assumptions'!$G25="$/Unit/Annual",(('Operating Assumptions'!$H25*CF$24)*CF$36)/12,IF('Operating Assumptions'!$G25="$/Unit/Month",('Operating Assumptions'!$H25*CF$24)*CF$36))))))</f>
        <v>0</v>
      </c>
      <c r="CG60" s="427">
        <f>IF(OR(CG$9&lt;'Operating Assumptions'!$D$53,CG$6&gt;'Operating Assumptions'!$AA$8,'Operating Assumptions'!$G25="N/A"),0,IF('Operating Assumptions'!$G25="Fixed Amount",('Operating Assumptions'!$H25*CG$24)/12,IF('Operating Assumptions'!$G25="%/Rent Revenue",'Operating Assumptions'!$H25*$H41,IF('Operating Assumptions'!$G25="% of Total Revenue",'Operating Assumptions'!$H25*SUM($H41,$H50,$H57),IF('Operating Assumptions'!$G25="$/Unit/Annual",(('Operating Assumptions'!$H25*CG$24)*CG$36)/12,IF('Operating Assumptions'!$G25="$/Unit/Month",('Operating Assumptions'!$H25*CG$24)*CG$36))))))</f>
        <v>0</v>
      </c>
      <c r="CH60" s="427">
        <f>IF(OR(CH$9&lt;'Operating Assumptions'!$D$53,CH$6&gt;'Operating Assumptions'!$AA$8,'Operating Assumptions'!$G25="N/A"),0,IF('Operating Assumptions'!$G25="Fixed Amount",('Operating Assumptions'!$H25*CH$24)/12,IF('Operating Assumptions'!$G25="%/Rent Revenue",'Operating Assumptions'!$H25*$H41,IF('Operating Assumptions'!$G25="% of Total Revenue",'Operating Assumptions'!$H25*SUM($H41,$H50,$H57),IF('Operating Assumptions'!$G25="$/Unit/Annual",(('Operating Assumptions'!$H25*CH$24)*CH$36)/12,IF('Operating Assumptions'!$G25="$/Unit/Month",('Operating Assumptions'!$H25*CH$24)*CH$36))))))</f>
        <v>0</v>
      </c>
      <c r="CI60" s="427">
        <f>IF(OR(CI$9&lt;'Operating Assumptions'!$D$53,CI$6&gt;'Operating Assumptions'!$AA$8,'Operating Assumptions'!$G25="N/A"),0,IF('Operating Assumptions'!$G25="Fixed Amount",('Operating Assumptions'!$H25*CI$24)/12,IF('Operating Assumptions'!$G25="%/Rent Revenue",'Operating Assumptions'!$H25*$H41,IF('Operating Assumptions'!$G25="% of Total Revenue",'Operating Assumptions'!$H25*SUM($H41,$H50,$H57),IF('Operating Assumptions'!$G25="$/Unit/Annual",(('Operating Assumptions'!$H25*CI$24)*CI$36)/12,IF('Operating Assumptions'!$G25="$/Unit/Month",('Operating Assumptions'!$H25*CI$24)*CI$36))))))</f>
        <v>0</v>
      </c>
      <c r="CJ60" s="427">
        <f>IF(OR(CJ$9&lt;'Operating Assumptions'!$D$53,CJ$6&gt;'Operating Assumptions'!$AA$8,'Operating Assumptions'!$G25="N/A"),0,IF('Operating Assumptions'!$G25="Fixed Amount",('Operating Assumptions'!$H25*CJ$24)/12,IF('Operating Assumptions'!$G25="%/Rent Revenue",'Operating Assumptions'!$H25*$H41,IF('Operating Assumptions'!$G25="% of Total Revenue",'Operating Assumptions'!$H25*SUM($H41,$H50,$H57),IF('Operating Assumptions'!$G25="$/Unit/Annual",(('Operating Assumptions'!$H25*CJ$24)*CJ$36)/12,IF('Operating Assumptions'!$G25="$/Unit/Month",('Operating Assumptions'!$H25*CJ$24)*CJ$36))))))</f>
        <v>0</v>
      </c>
      <c r="CK60" s="427">
        <f>IF(OR(CK$9&lt;'Operating Assumptions'!$D$53,CK$6&gt;'Operating Assumptions'!$AA$8,'Operating Assumptions'!$G25="N/A"),0,IF('Operating Assumptions'!$G25="Fixed Amount",('Operating Assumptions'!$H25*CK$24)/12,IF('Operating Assumptions'!$G25="%/Rent Revenue",'Operating Assumptions'!$H25*$H41,IF('Operating Assumptions'!$G25="% of Total Revenue",'Operating Assumptions'!$H25*SUM($H41,$H50,$H57),IF('Operating Assumptions'!$G25="$/Unit/Annual",(('Operating Assumptions'!$H25*CK$24)*CK$36)/12,IF('Operating Assumptions'!$G25="$/Unit/Month",('Operating Assumptions'!$H25*CK$24)*CK$36))))))</f>
        <v>0</v>
      </c>
      <c r="CL60" s="427">
        <f>IF(OR(CL$9&lt;'Operating Assumptions'!$D$53,CL$6&gt;'Operating Assumptions'!$AA$8,'Operating Assumptions'!$G25="N/A"),0,IF('Operating Assumptions'!$G25="Fixed Amount",('Operating Assumptions'!$H25*CL$24)/12,IF('Operating Assumptions'!$G25="%/Rent Revenue",'Operating Assumptions'!$H25*$H41,IF('Operating Assumptions'!$G25="% of Total Revenue",'Operating Assumptions'!$H25*SUM($H41,$H50,$H57),IF('Operating Assumptions'!$G25="$/Unit/Annual",(('Operating Assumptions'!$H25*CL$24)*CL$36)/12,IF('Operating Assumptions'!$G25="$/Unit/Month",('Operating Assumptions'!$H25*CL$24)*CL$36))))))</f>
        <v>0</v>
      </c>
      <c r="CM60" s="427">
        <f>IF(OR(CM$9&lt;'Operating Assumptions'!$D$53,CM$6&gt;'Operating Assumptions'!$AA$8,'Operating Assumptions'!$G25="N/A"),0,IF('Operating Assumptions'!$G25="Fixed Amount",('Operating Assumptions'!$H25*CM$24)/12,IF('Operating Assumptions'!$G25="%/Rent Revenue",'Operating Assumptions'!$H25*$H41,IF('Operating Assumptions'!$G25="% of Total Revenue",'Operating Assumptions'!$H25*SUM($H41,$H50,$H57),IF('Operating Assumptions'!$G25="$/Unit/Annual",(('Operating Assumptions'!$H25*CM$24)*CM$36)/12,IF('Operating Assumptions'!$G25="$/Unit/Month",('Operating Assumptions'!$H25*CM$24)*CM$36))))))</f>
        <v>0</v>
      </c>
      <c r="CN60" s="427">
        <f>IF(OR(CN$9&lt;'Operating Assumptions'!$D$53,CN$6&gt;'Operating Assumptions'!$AA$8,'Operating Assumptions'!$G25="N/A"),0,IF('Operating Assumptions'!$G25="Fixed Amount",('Operating Assumptions'!$H25*CN$24)/12,IF('Operating Assumptions'!$G25="%/Rent Revenue",'Operating Assumptions'!$H25*$H41,IF('Operating Assumptions'!$G25="% of Total Revenue",'Operating Assumptions'!$H25*SUM($H41,$H50,$H57),IF('Operating Assumptions'!$G25="$/Unit/Annual",(('Operating Assumptions'!$H25*CN$24)*CN$36)/12,IF('Operating Assumptions'!$G25="$/Unit/Month",('Operating Assumptions'!$H25*CN$24)*CN$36))))))</f>
        <v>0</v>
      </c>
      <c r="CO60" s="427">
        <f>IF(OR(CO$9&lt;'Operating Assumptions'!$D$53,CO$6&gt;'Operating Assumptions'!$AA$8,'Operating Assumptions'!$G25="N/A"),0,IF('Operating Assumptions'!$G25="Fixed Amount",('Operating Assumptions'!$H25*CO$24)/12,IF('Operating Assumptions'!$G25="%/Rent Revenue",'Operating Assumptions'!$H25*$H41,IF('Operating Assumptions'!$G25="% of Total Revenue",'Operating Assumptions'!$H25*SUM($H41,$H50,$H57),IF('Operating Assumptions'!$G25="$/Unit/Annual",(('Operating Assumptions'!$H25*CO$24)*CO$36)/12,IF('Operating Assumptions'!$G25="$/Unit/Month",('Operating Assumptions'!$H25*CO$24)*CO$36))))))</f>
        <v>0</v>
      </c>
      <c r="CP60" s="427">
        <f>IF(OR(CP$9&lt;'Operating Assumptions'!$D$53,CP$6&gt;'Operating Assumptions'!$AA$8,'Operating Assumptions'!$G25="N/A"),0,IF('Operating Assumptions'!$G25="Fixed Amount",('Operating Assumptions'!$H25*CP$24)/12,IF('Operating Assumptions'!$G25="%/Rent Revenue",'Operating Assumptions'!$H25*$H41,IF('Operating Assumptions'!$G25="% of Total Revenue",'Operating Assumptions'!$H25*SUM($H41,$H50,$H57),IF('Operating Assumptions'!$G25="$/Unit/Annual",(('Operating Assumptions'!$H25*CP$24)*CP$36)/12,IF('Operating Assumptions'!$G25="$/Unit/Month",('Operating Assumptions'!$H25*CP$24)*CP$36))))))</f>
        <v>0</v>
      </c>
      <c r="CQ60" s="427">
        <f>IF(OR(CQ$9&lt;'Operating Assumptions'!$D$53,CQ$6&gt;'Operating Assumptions'!$AA$8,'Operating Assumptions'!$G25="N/A"),0,IF('Operating Assumptions'!$G25="Fixed Amount",('Operating Assumptions'!$H25*CQ$24)/12,IF('Operating Assumptions'!$G25="%/Rent Revenue",'Operating Assumptions'!$H25*$H41,IF('Operating Assumptions'!$G25="% of Total Revenue",'Operating Assumptions'!$H25*SUM($H41,$H50,$H57),IF('Operating Assumptions'!$G25="$/Unit/Annual",(('Operating Assumptions'!$H25*CQ$24)*CQ$36)/12,IF('Operating Assumptions'!$G25="$/Unit/Month",('Operating Assumptions'!$H25*CQ$24)*CQ$36))))))</f>
        <v>0</v>
      </c>
      <c r="CR60" s="427">
        <f>IF(OR(CR$9&lt;'Operating Assumptions'!$D$53,CR$6&gt;'Operating Assumptions'!$AA$8,'Operating Assumptions'!$G25="N/A"),0,IF('Operating Assumptions'!$G25="Fixed Amount",('Operating Assumptions'!$H25*CR$24)/12,IF('Operating Assumptions'!$G25="%/Rent Revenue",'Operating Assumptions'!$H25*$H41,IF('Operating Assumptions'!$G25="% of Total Revenue",'Operating Assumptions'!$H25*SUM($H41,$H50,$H57),IF('Operating Assumptions'!$G25="$/Unit/Annual",(('Operating Assumptions'!$H25*CR$24)*CR$36)/12,IF('Operating Assumptions'!$G25="$/Unit/Month",('Operating Assumptions'!$H25*CR$24)*CR$36))))))</f>
        <v>0</v>
      </c>
      <c r="CS60" s="427">
        <f>IF(OR(CS$9&lt;'Operating Assumptions'!$D$53,CS$6&gt;'Operating Assumptions'!$AA$8,'Operating Assumptions'!$G25="N/A"),0,IF('Operating Assumptions'!$G25="Fixed Amount",('Operating Assumptions'!$H25*CS$24)/12,IF('Operating Assumptions'!$G25="%/Rent Revenue",'Operating Assumptions'!$H25*$H41,IF('Operating Assumptions'!$G25="% of Total Revenue",'Operating Assumptions'!$H25*SUM($H41,$H50,$H57),IF('Operating Assumptions'!$G25="$/Unit/Annual",(('Operating Assumptions'!$H25*CS$24)*CS$36)/12,IF('Operating Assumptions'!$G25="$/Unit/Month",('Operating Assumptions'!$H25*CS$24)*CS$36))))))</f>
        <v>0</v>
      </c>
      <c r="CT60" s="427">
        <f>IF(OR(CT$9&lt;'Operating Assumptions'!$D$53,CT$6&gt;'Operating Assumptions'!$AA$8,'Operating Assumptions'!$G25="N/A"),0,IF('Operating Assumptions'!$G25="Fixed Amount",('Operating Assumptions'!$H25*CT$24)/12,IF('Operating Assumptions'!$G25="%/Rent Revenue",'Operating Assumptions'!$H25*$H41,IF('Operating Assumptions'!$G25="% of Total Revenue",'Operating Assumptions'!$H25*SUM($H41,$H50,$H57),IF('Operating Assumptions'!$G25="$/Unit/Annual",(('Operating Assumptions'!$H25*CT$24)*CT$36)/12,IF('Operating Assumptions'!$G25="$/Unit/Month",('Operating Assumptions'!$H25*CT$24)*CT$36))))))</f>
        <v>0</v>
      </c>
      <c r="CU60" s="427">
        <f>IF(OR(CU$9&lt;'Operating Assumptions'!$D$53,CU$6&gt;'Operating Assumptions'!$AA$8,'Operating Assumptions'!$G25="N/A"),0,IF('Operating Assumptions'!$G25="Fixed Amount",('Operating Assumptions'!$H25*CU$24)/12,IF('Operating Assumptions'!$G25="%/Rent Revenue",'Operating Assumptions'!$H25*$H41,IF('Operating Assumptions'!$G25="% of Total Revenue",'Operating Assumptions'!$H25*SUM($H41,$H50,$H57),IF('Operating Assumptions'!$G25="$/Unit/Annual",(('Operating Assumptions'!$H25*CU$24)*CU$36)/12,IF('Operating Assumptions'!$G25="$/Unit/Month",('Operating Assumptions'!$H25*CU$24)*CU$36))))))</f>
        <v>0</v>
      </c>
      <c r="CV60" s="427">
        <f>IF(OR(CV$9&lt;'Operating Assumptions'!$D$53,CV$6&gt;'Operating Assumptions'!$AA$8,'Operating Assumptions'!$G25="N/A"),0,IF('Operating Assumptions'!$G25="Fixed Amount",('Operating Assumptions'!$H25*CV$24)/12,IF('Operating Assumptions'!$G25="%/Rent Revenue",'Operating Assumptions'!$H25*$H41,IF('Operating Assumptions'!$G25="% of Total Revenue",'Operating Assumptions'!$H25*SUM($H41,$H50,$H57),IF('Operating Assumptions'!$G25="$/Unit/Annual",(('Operating Assumptions'!$H25*CV$24)*CV$36)/12,IF('Operating Assumptions'!$G25="$/Unit/Month",('Operating Assumptions'!$H25*CV$24)*CV$36))))))</f>
        <v>0</v>
      </c>
      <c r="CW60" s="427">
        <f>IF(OR(CW$9&lt;'Operating Assumptions'!$D$53,CW$6&gt;'Operating Assumptions'!$AA$8,'Operating Assumptions'!$G25="N/A"),0,IF('Operating Assumptions'!$G25="Fixed Amount",('Operating Assumptions'!$H25*CW$24)/12,IF('Operating Assumptions'!$G25="%/Rent Revenue",'Operating Assumptions'!$H25*$H41,IF('Operating Assumptions'!$G25="% of Total Revenue",'Operating Assumptions'!$H25*SUM($H41,$H50,$H57),IF('Operating Assumptions'!$G25="$/Unit/Annual",(('Operating Assumptions'!$H25*CW$24)*CW$36)/12,IF('Operating Assumptions'!$G25="$/Unit/Month",('Operating Assumptions'!$H25*CW$24)*CW$36))))))</f>
        <v>0</v>
      </c>
      <c r="CX60" s="427">
        <f>IF(OR(CX$9&lt;'Operating Assumptions'!$D$53,CX$6&gt;'Operating Assumptions'!$AA$8,'Operating Assumptions'!$G25="N/A"),0,IF('Operating Assumptions'!$G25="Fixed Amount",('Operating Assumptions'!$H25*CX$24)/12,IF('Operating Assumptions'!$G25="%/Rent Revenue",'Operating Assumptions'!$H25*$H41,IF('Operating Assumptions'!$G25="% of Total Revenue",'Operating Assumptions'!$H25*SUM($H41,$H50,$H57),IF('Operating Assumptions'!$G25="$/Unit/Annual",(('Operating Assumptions'!$H25*CX$24)*CX$36)/12,IF('Operating Assumptions'!$G25="$/Unit/Month",('Operating Assumptions'!$H25*CX$24)*CX$36))))))</f>
        <v>0</v>
      </c>
      <c r="CY60" s="427">
        <f>IF(OR(CY$9&lt;'Operating Assumptions'!$D$53,CY$6&gt;'Operating Assumptions'!$AA$8,'Operating Assumptions'!$G25="N/A"),0,IF('Operating Assumptions'!$G25="Fixed Amount",('Operating Assumptions'!$H25*CY$24)/12,IF('Operating Assumptions'!$G25="%/Rent Revenue",'Operating Assumptions'!$H25*$H41,IF('Operating Assumptions'!$G25="% of Total Revenue",'Operating Assumptions'!$H25*SUM($H41,$H50,$H57),IF('Operating Assumptions'!$G25="$/Unit/Annual",(('Operating Assumptions'!$H25*CY$24)*CY$36)/12,IF('Operating Assumptions'!$G25="$/Unit/Month",('Operating Assumptions'!$H25*CY$24)*CY$36))))))</f>
        <v>0</v>
      </c>
      <c r="CZ60" s="427">
        <f>IF(OR(CZ$9&lt;'Operating Assumptions'!$D$53,CZ$6&gt;'Operating Assumptions'!$AA$8,'Operating Assumptions'!$G25="N/A"),0,IF('Operating Assumptions'!$G25="Fixed Amount",('Operating Assumptions'!$H25*CZ$24)/12,IF('Operating Assumptions'!$G25="%/Rent Revenue",'Operating Assumptions'!$H25*$H41,IF('Operating Assumptions'!$G25="% of Total Revenue",'Operating Assumptions'!$H25*SUM($H41,$H50,$H57),IF('Operating Assumptions'!$G25="$/Unit/Annual",(('Operating Assumptions'!$H25*CZ$24)*CZ$36)/12,IF('Operating Assumptions'!$G25="$/Unit/Month",('Operating Assumptions'!$H25*CZ$24)*CZ$36))))))</f>
        <v>0</v>
      </c>
      <c r="DA60" s="427">
        <f>IF(OR(DA$9&lt;'Operating Assumptions'!$D$53,DA$6&gt;'Operating Assumptions'!$AA$8,'Operating Assumptions'!$G25="N/A"),0,IF('Operating Assumptions'!$G25="Fixed Amount",('Operating Assumptions'!$H25*DA$24)/12,IF('Operating Assumptions'!$G25="%/Rent Revenue",'Operating Assumptions'!$H25*$H41,IF('Operating Assumptions'!$G25="% of Total Revenue",'Operating Assumptions'!$H25*SUM($H41,$H50,$H57),IF('Operating Assumptions'!$G25="$/Unit/Annual",(('Operating Assumptions'!$H25*DA$24)*DA$36)/12,IF('Operating Assumptions'!$G25="$/Unit/Month",('Operating Assumptions'!$H25*DA$24)*DA$36))))))</f>
        <v>0</v>
      </c>
      <c r="DB60" s="427">
        <f>IF(OR(DB$9&lt;'Operating Assumptions'!$D$53,DB$6&gt;'Operating Assumptions'!$AA$8,'Operating Assumptions'!$G25="N/A"),0,IF('Operating Assumptions'!$G25="Fixed Amount",('Operating Assumptions'!$H25*DB$24)/12,IF('Operating Assumptions'!$G25="%/Rent Revenue",'Operating Assumptions'!$H25*$H41,IF('Operating Assumptions'!$G25="% of Total Revenue",'Operating Assumptions'!$H25*SUM($H41,$H50,$H57),IF('Operating Assumptions'!$G25="$/Unit/Annual",(('Operating Assumptions'!$H25*DB$24)*DB$36)/12,IF('Operating Assumptions'!$G25="$/Unit/Month",('Operating Assumptions'!$H25*DB$24)*DB$36))))))</f>
        <v>0</v>
      </c>
      <c r="DC60" s="427">
        <f>IF(OR(DC$9&lt;'Operating Assumptions'!$D$53,DC$6&gt;'Operating Assumptions'!$AA$8,'Operating Assumptions'!$G25="N/A"),0,IF('Operating Assumptions'!$G25="Fixed Amount",('Operating Assumptions'!$H25*DC$24)/12,IF('Operating Assumptions'!$G25="%/Rent Revenue",'Operating Assumptions'!$H25*$H41,IF('Operating Assumptions'!$G25="% of Total Revenue",'Operating Assumptions'!$H25*SUM($H41,$H50,$H57),IF('Operating Assumptions'!$G25="$/Unit/Annual",(('Operating Assumptions'!$H25*DC$24)*DC$36)/12,IF('Operating Assumptions'!$G25="$/Unit/Month",('Operating Assumptions'!$H25*DC$24)*DC$36))))))</f>
        <v>0</v>
      </c>
      <c r="DD60" s="427">
        <f>IF(OR(DD$9&lt;'Operating Assumptions'!$D$53,DD$6&gt;'Operating Assumptions'!$AA$8,'Operating Assumptions'!$G25="N/A"),0,IF('Operating Assumptions'!$G25="Fixed Amount",('Operating Assumptions'!$H25*DD$24)/12,IF('Operating Assumptions'!$G25="%/Rent Revenue",'Operating Assumptions'!$H25*$H41,IF('Operating Assumptions'!$G25="% of Total Revenue",'Operating Assumptions'!$H25*SUM($H41,$H50,$H57),IF('Operating Assumptions'!$G25="$/Unit/Annual",(('Operating Assumptions'!$H25*DD$24)*DD$36)/12,IF('Operating Assumptions'!$G25="$/Unit/Month",('Operating Assumptions'!$H25*DD$24)*DD$36))))))</f>
        <v>0</v>
      </c>
      <c r="DE60" s="427">
        <f>IF(OR(DE$9&lt;'Operating Assumptions'!$D$53,DE$6&gt;'Operating Assumptions'!$AA$8,'Operating Assumptions'!$G25="N/A"),0,IF('Operating Assumptions'!$G25="Fixed Amount",('Operating Assumptions'!$H25*DE$24)/12,IF('Operating Assumptions'!$G25="%/Rent Revenue",'Operating Assumptions'!$H25*$H41,IF('Operating Assumptions'!$G25="% of Total Revenue",'Operating Assumptions'!$H25*SUM($H41,$H50,$H57),IF('Operating Assumptions'!$G25="$/Unit/Annual",(('Operating Assumptions'!$H25*DE$24)*DE$36)/12,IF('Operating Assumptions'!$G25="$/Unit/Month",('Operating Assumptions'!$H25*DE$24)*DE$36))))))</f>
        <v>0</v>
      </c>
      <c r="DF60" s="427">
        <f>IF(OR(DF$9&lt;'Operating Assumptions'!$D$53,DF$6&gt;'Operating Assumptions'!$AA$8,'Operating Assumptions'!$G25="N/A"),0,IF('Operating Assumptions'!$G25="Fixed Amount",('Operating Assumptions'!$H25*DF$24)/12,IF('Operating Assumptions'!$G25="%/Rent Revenue",'Operating Assumptions'!$H25*$H41,IF('Operating Assumptions'!$G25="% of Total Revenue",'Operating Assumptions'!$H25*SUM($H41,$H50,$H57),IF('Operating Assumptions'!$G25="$/Unit/Annual",(('Operating Assumptions'!$H25*DF$24)*DF$36)/12,IF('Operating Assumptions'!$G25="$/Unit/Month",('Operating Assumptions'!$H25*DF$24)*DF$36))))))</f>
        <v>0</v>
      </c>
      <c r="DG60" s="427">
        <f>IF(OR(DG$9&lt;'Operating Assumptions'!$D$53,DG$6&gt;'Operating Assumptions'!$AA$8,'Operating Assumptions'!$G25="N/A"),0,IF('Operating Assumptions'!$G25="Fixed Amount",('Operating Assumptions'!$H25*DG$24)/12,IF('Operating Assumptions'!$G25="%/Rent Revenue",'Operating Assumptions'!$H25*$H41,IF('Operating Assumptions'!$G25="% of Total Revenue",'Operating Assumptions'!$H25*SUM($H41,$H50,$H57),IF('Operating Assumptions'!$G25="$/Unit/Annual",(('Operating Assumptions'!$H25*DG$24)*DG$36)/12,IF('Operating Assumptions'!$G25="$/Unit/Month",('Operating Assumptions'!$H25*DG$24)*DG$36))))))</f>
        <v>0</v>
      </c>
      <c r="DH60" s="427">
        <f>IF(OR(DH$9&lt;'Operating Assumptions'!$D$53,DH$6&gt;'Operating Assumptions'!$AA$8,'Operating Assumptions'!$G25="N/A"),0,IF('Operating Assumptions'!$G25="Fixed Amount",('Operating Assumptions'!$H25*DH$24)/12,IF('Operating Assumptions'!$G25="%/Rent Revenue",'Operating Assumptions'!$H25*$H41,IF('Operating Assumptions'!$G25="% of Total Revenue",'Operating Assumptions'!$H25*SUM($H41,$H50,$H57),IF('Operating Assumptions'!$G25="$/Unit/Annual",(('Operating Assumptions'!$H25*DH$24)*DH$36)/12,IF('Operating Assumptions'!$G25="$/Unit/Month",('Operating Assumptions'!$H25*DH$24)*DH$36))))))</f>
        <v>0</v>
      </c>
      <c r="DI60" s="427">
        <f>IF(OR(DI$9&lt;'Operating Assumptions'!$D$53,DI$6&gt;'Operating Assumptions'!$AA$8,'Operating Assumptions'!$G25="N/A"),0,IF('Operating Assumptions'!$G25="Fixed Amount",('Operating Assumptions'!$H25*DI$24)/12,IF('Operating Assumptions'!$G25="%/Rent Revenue",'Operating Assumptions'!$H25*$H41,IF('Operating Assumptions'!$G25="% of Total Revenue",'Operating Assumptions'!$H25*SUM($H41,$H50,$H57),IF('Operating Assumptions'!$G25="$/Unit/Annual",(('Operating Assumptions'!$H25*DI$24)*DI$36)/12,IF('Operating Assumptions'!$G25="$/Unit/Month",('Operating Assumptions'!$H25*DI$24)*DI$36))))))</f>
        <v>0</v>
      </c>
      <c r="DJ60" s="427">
        <f>IF(OR(DJ$9&lt;'Operating Assumptions'!$D$53,DJ$6&gt;'Operating Assumptions'!$AA$8,'Operating Assumptions'!$G25="N/A"),0,IF('Operating Assumptions'!$G25="Fixed Amount",('Operating Assumptions'!$H25*DJ$24)/12,IF('Operating Assumptions'!$G25="%/Rent Revenue",'Operating Assumptions'!$H25*$H41,IF('Operating Assumptions'!$G25="% of Total Revenue",'Operating Assumptions'!$H25*SUM($H41,$H50,$H57),IF('Operating Assumptions'!$G25="$/Unit/Annual",(('Operating Assumptions'!$H25*DJ$24)*DJ$36)/12,IF('Operating Assumptions'!$G25="$/Unit/Month",('Operating Assumptions'!$H25*DJ$24)*DJ$36))))))</f>
        <v>0</v>
      </c>
      <c r="DK60" s="427">
        <f>IF(OR(DK$9&lt;'Operating Assumptions'!$D$53,DK$6&gt;'Operating Assumptions'!$AA$8,'Operating Assumptions'!$G25="N/A"),0,IF('Operating Assumptions'!$G25="Fixed Amount",('Operating Assumptions'!$H25*DK$24)/12,IF('Operating Assumptions'!$G25="%/Rent Revenue",'Operating Assumptions'!$H25*$H41,IF('Operating Assumptions'!$G25="% of Total Revenue",'Operating Assumptions'!$H25*SUM($H41,$H50,$H57),IF('Operating Assumptions'!$G25="$/Unit/Annual",(('Operating Assumptions'!$H25*DK$24)*DK$36)/12,IF('Operating Assumptions'!$G25="$/Unit/Month",('Operating Assumptions'!$H25*DK$24)*DK$36))))))</f>
        <v>0</v>
      </c>
      <c r="DL60" s="427">
        <f>IF(OR(DL$9&lt;'Operating Assumptions'!$D$53,DL$6&gt;'Operating Assumptions'!$AA$8,'Operating Assumptions'!$G25="N/A"),0,IF('Operating Assumptions'!$G25="Fixed Amount",('Operating Assumptions'!$H25*DL$24)/12,IF('Operating Assumptions'!$G25="%/Rent Revenue",'Operating Assumptions'!$H25*$H41,IF('Operating Assumptions'!$G25="% of Total Revenue",'Operating Assumptions'!$H25*SUM($H41,$H50,$H57),IF('Operating Assumptions'!$G25="$/Unit/Annual",(('Operating Assumptions'!$H25*DL$24)*DL$36)/12,IF('Operating Assumptions'!$G25="$/Unit/Month",('Operating Assumptions'!$H25*DL$24)*DL$36))))))</f>
        <v>0</v>
      </c>
      <c r="DM60" s="427">
        <f>IF(OR(DM$9&lt;'Operating Assumptions'!$D$53,DM$6&gt;'Operating Assumptions'!$AA$8,'Operating Assumptions'!$G25="N/A"),0,IF('Operating Assumptions'!$G25="Fixed Amount",('Operating Assumptions'!$H25*DM$24)/12,IF('Operating Assumptions'!$G25="%/Rent Revenue",'Operating Assumptions'!$H25*$H41,IF('Operating Assumptions'!$G25="% of Total Revenue",'Operating Assumptions'!$H25*SUM($H41,$H50,$H57),IF('Operating Assumptions'!$G25="$/Unit/Annual",(('Operating Assumptions'!$H25*DM$24)*DM$36)/12,IF('Operating Assumptions'!$G25="$/Unit/Month",('Operating Assumptions'!$H25*DM$24)*DM$36))))))</f>
        <v>0</v>
      </c>
      <c r="DN60" s="427">
        <f>IF(OR(DN$9&lt;'Operating Assumptions'!$D$53,DN$6&gt;'Operating Assumptions'!$AA$8,'Operating Assumptions'!$G25="N/A"),0,IF('Operating Assumptions'!$G25="Fixed Amount",('Operating Assumptions'!$H25*DN$24)/12,IF('Operating Assumptions'!$G25="%/Rent Revenue",'Operating Assumptions'!$H25*$H41,IF('Operating Assumptions'!$G25="% of Total Revenue",'Operating Assumptions'!$H25*SUM($H41,$H50,$H57),IF('Operating Assumptions'!$G25="$/Unit/Annual",(('Operating Assumptions'!$H25*DN$24)*DN$36)/12,IF('Operating Assumptions'!$G25="$/Unit/Month",('Operating Assumptions'!$H25*DN$24)*DN$36))))))</f>
        <v>0</v>
      </c>
      <c r="DO60" s="427">
        <f>IF(OR(DO$9&lt;'Operating Assumptions'!$D$53,DO$6&gt;'Operating Assumptions'!$AA$8,'Operating Assumptions'!$G25="N/A"),0,IF('Operating Assumptions'!$G25="Fixed Amount",('Operating Assumptions'!$H25*DO$24)/12,IF('Operating Assumptions'!$G25="%/Rent Revenue",'Operating Assumptions'!$H25*$H41,IF('Operating Assumptions'!$G25="% of Total Revenue",'Operating Assumptions'!$H25*SUM($H41,$H50,$H57),IF('Operating Assumptions'!$G25="$/Unit/Annual",(('Operating Assumptions'!$H25*DO$24)*DO$36)/12,IF('Operating Assumptions'!$G25="$/Unit/Month",('Operating Assumptions'!$H25*DO$24)*DO$36))))))</f>
        <v>0</v>
      </c>
      <c r="DP60" s="427">
        <f>IF(OR(DP$9&lt;'Operating Assumptions'!$D$53,DP$6&gt;'Operating Assumptions'!$AA$8,'Operating Assumptions'!$G25="N/A"),0,IF('Operating Assumptions'!$G25="Fixed Amount",('Operating Assumptions'!$H25*DP$24)/12,IF('Operating Assumptions'!$G25="%/Rent Revenue",'Operating Assumptions'!$H25*$H41,IF('Operating Assumptions'!$G25="% of Total Revenue",'Operating Assumptions'!$H25*SUM($H41,$H50,$H57),IF('Operating Assumptions'!$G25="$/Unit/Annual",(('Operating Assumptions'!$H25*DP$24)*DP$36)/12,IF('Operating Assumptions'!$G25="$/Unit/Month",('Operating Assumptions'!$H25*DP$24)*DP$36))))))</f>
        <v>0</v>
      </c>
      <c r="DQ60" s="427">
        <f>IF(OR(DQ$9&lt;'Operating Assumptions'!$D$53,DQ$6&gt;'Operating Assumptions'!$AA$8,'Operating Assumptions'!$G25="N/A"),0,IF('Operating Assumptions'!$G25="Fixed Amount",('Operating Assumptions'!$H25*DQ$24)/12,IF('Operating Assumptions'!$G25="%/Rent Revenue",'Operating Assumptions'!$H25*$H41,IF('Operating Assumptions'!$G25="% of Total Revenue",'Operating Assumptions'!$H25*SUM($H41,$H50,$H57),IF('Operating Assumptions'!$G25="$/Unit/Annual",(('Operating Assumptions'!$H25*DQ$24)*DQ$36)/12,IF('Operating Assumptions'!$G25="$/Unit/Month",('Operating Assumptions'!$H25*DQ$24)*DQ$36))))))</f>
        <v>0</v>
      </c>
      <c r="DR60" s="427">
        <f>IF(OR(DR$9&lt;'Operating Assumptions'!$D$53,DR$6&gt;'Operating Assumptions'!$AA$8,'Operating Assumptions'!$G25="N/A"),0,IF('Operating Assumptions'!$G25="Fixed Amount",('Operating Assumptions'!$H25*DR$24)/12,IF('Operating Assumptions'!$G25="%/Rent Revenue",'Operating Assumptions'!$H25*$H41,IF('Operating Assumptions'!$G25="% of Total Revenue",'Operating Assumptions'!$H25*SUM($H41,$H50,$H57),IF('Operating Assumptions'!$G25="$/Unit/Annual",(('Operating Assumptions'!$H25*DR$24)*DR$36)/12,IF('Operating Assumptions'!$G25="$/Unit/Month",('Operating Assumptions'!$H25*DR$24)*DR$36))))))</f>
        <v>0</v>
      </c>
      <c r="DS60" s="427">
        <f>IF(OR(DS$9&lt;'Operating Assumptions'!$D$53,DS$6&gt;'Operating Assumptions'!$AA$8,'Operating Assumptions'!$G25="N/A"),0,IF('Operating Assumptions'!$G25="Fixed Amount",('Operating Assumptions'!$H25*DS$24)/12,IF('Operating Assumptions'!$G25="%/Rent Revenue",'Operating Assumptions'!$H25*$H41,IF('Operating Assumptions'!$G25="% of Total Revenue",'Operating Assumptions'!$H25*SUM($H41,$H50,$H57),IF('Operating Assumptions'!$G25="$/Unit/Annual",(('Operating Assumptions'!$H25*DS$24)*DS$36)/12,IF('Operating Assumptions'!$G25="$/Unit/Month",('Operating Assumptions'!$H25*DS$24)*DS$36))))))</f>
        <v>0</v>
      </c>
      <c r="DT60" s="427">
        <f>IF(OR(DT$9&lt;'Operating Assumptions'!$D$53,DT$6&gt;'Operating Assumptions'!$AA$8,'Operating Assumptions'!$G25="N/A"),0,IF('Operating Assumptions'!$G25="Fixed Amount",('Operating Assumptions'!$H25*DT$24)/12,IF('Operating Assumptions'!$G25="%/Rent Revenue",'Operating Assumptions'!$H25*$H41,IF('Operating Assumptions'!$G25="% of Total Revenue",'Operating Assumptions'!$H25*SUM($H41,$H50,$H57),IF('Operating Assumptions'!$G25="$/Unit/Annual",(('Operating Assumptions'!$H25*DT$24)*DT$36)/12,IF('Operating Assumptions'!$G25="$/Unit/Month",('Operating Assumptions'!$H25*DT$24)*DT$36))))))</f>
        <v>0</v>
      </c>
      <c r="DU60" s="427">
        <f>IF(OR(DU$9&lt;'Operating Assumptions'!$D$53,DU$6&gt;'Operating Assumptions'!$AA$8,'Operating Assumptions'!$G25="N/A"),0,IF('Operating Assumptions'!$G25="Fixed Amount",('Operating Assumptions'!$H25*DU$24)/12,IF('Operating Assumptions'!$G25="%/Rent Revenue",'Operating Assumptions'!$H25*$H41,IF('Operating Assumptions'!$G25="% of Total Revenue",'Operating Assumptions'!$H25*SUM($H41,$H50,$H57),IF('Operating Assumptions'!$G25="$/Unit/Annual",(('Operating Assumptions'!$H25*DU$24)*DU$36)/12,IF('Operating Assumptions'!$G25="$/Unit/Month",('Operating Assumptions'!$H25*DU$24)*DU$36))))))</f>
        <v>0</v>
      </c>
      <c r="DV60" s="427">
        <f>IF(OR(DV$9&lt;'Operating Assumptions'!$D$53,DV$6&gt;'Operating Assumptions'!$AA$8,'Operating Assumptions'!$G25="N/A"),0,IF('Operating Assumptions'!$G25="Fixed Amount",('Operating Assumptions'!$H25*DV$24)/12,IF('Operating Assumptions'!$G25="%/Rent Revenue",'Operating Assumptions'!$H25*$H41,IF('Operating Assumptions'!$G25="% of Total Revenue",'Operating Assumptions'!$H25*SUM($H41,$H50,$H57),IF('Operating Assumptions'!$G25="$/Unit/Annual",(('Operating Assumptions'!$H25*DV$24)*DV$36)/12,IF('Operating Assumptions'!$G25="$/Unit/Month",('Operating Assumptions'!$H25*DV$24)*DV$36))))))</f>
        <v>0</v>
      </c>
      <c r="DW60" s="427">
        <f>IF(OR(DW$9&lt;'Operating Assumptions'!$D$53,DW$6&gt;'Operating Assumptions'!$AA$8,'Operating Assumptions'!$G25="N/A"),0,IF('Operating Assumptions'!$G25="Fixed Amount",('Operating Assumptions'!$H25*DW$24)/12,IF('Operating Assumptions'!$G25="%/Rent Revenue",'Operating Assumptions'!$H25*$H41,IF('Operating Assumptions'!$G25="% of Total Revenue",'Operating Assumptions'!$H25*SUM($H41,$H50,$H57),IF('Operating Assumptions'!$G25="$/Unit/Annual",(('Operating Assumptions'!$H25*DW$24)*DW$36)/12,IF('Operating Assumptions'!$G25="$/Unit/Month",('Operating Assumptions'!$H25*DW$24)*DW$36))))))</f>
        <v>0</v>
      </c>
      <c r="DX60" s="427">
        <f>IF(OR(DX$9&lt;'Operating Assumptions'!$D$53,DX$6&gt;'Operating Assumptions'!$AA$8,'Operating Assumptions'!$G25="N/A"),0,IF('Operating Assumptions'!$G25="Fixed Amount",('Operating Assumptions'!$H25*DX$24)/12,IF('Operating Assumptions'!$G25="%/Rent Revenue",'Operating Assumptions'!$H25*$H41,IF('Operating Assumptions'!$G25="% of Total Revenue",'Operating Assumptions'!$H25*SUM($H41,$H50,$H57),IF('Operating Assumptions'!$G25="$/Unit/Annual",(('Operating Assumptions'!$H25*DX$24)*DX$36)/12,IF('Operating Assumptions'!$G25="$/Unit/Month",('Operating Assumptions'!$H25*DX$24)*DX$36))))))</f>
        <v>0</v>
      </c>
      <c r="DY60" s="427">
        <f>IF(OR(DY$9&lt;'Operating Assumptions'!$D$53,DY$6&gt;'Operating Assumptions'!$AA$8,'Operating Assumptions'!$G25="N/A"),0,IF('Operating Assumptions'!$G25="Fixed Amount",('Operating Assumptions'!$H25*DY$24)/12,IF('Operating Assumptions'!$G25="%/Rent Revenue",'Operating Assumptions'!$H25*$H41,IF('Operating Assumptions'!$G25="% of Total Revenue",'Operating Assumptions'!$H25*SUM($H41,$H50,$H57),IF('Operating Assumptions'!$G25="$/Unit/Annual",(('Operating Assumptions'!$H25*DY$24)*DY$36)/12,IF('Operating Assumptions'!$G25="$/Unit/Month",('Operating Assumptions'!$H25*DY$24)*DY$36))))))</f>
        <v>0</v>
      </c>
      <c r="DZ60" s="427">
        <f>IF(OR(DZ$9&lt;'Operating Assumptions'!$D$53,DZ$6&gt;'Operating Assumptions'!$AA$8,'Operating Assumptions'!$G25="N/A"),0,IF('Operating Assumptions'!$G25="Fixed Amount",('Operating Assumptions'!$H25*DZ$24)/12,IF('Operating Assumptions'!$G25="%/Rent Revenue",'Operating Assumptions'!$H25*$H41,IF('Operating Assumptions'!$G25="% of Total Revenue",'Operating Assumptions'!$H25*SUM($H41,$H50,$H57),IF('Operating Assumptions'!$G25="$/Unit/Annual",(('Operating Assumptions'!$H25*DZ$24)*DZ$36)/12,IF('Operating Assumptions'!$G25="$/Unit/Month",('Operating Assumptions'!$H25*DZ$24)*DZ$36))))))</f>
        <v>0</v>
      </c>
      <c r="EA60" s="427">
        <f>IF(OR(EA$9&lt;'Operating Assumptions'!$D$53,EA$6&gt;'Operating Assumptions'!$AA$8,'Operating Assumptions'!$G25="N/A"),0,IF('Operating Assumptions'!$G25="Fixed Amount",('Operating Assumptions'!$H25*EA$24)/12,IF('Operating Assumptions'!$G25="%/Rent Revenue",'Operating Assumptions'!$H25*$H41,IF('Operating Assumptions'!$G25="% of Total Revenue",'Operating Assumptions'!$H25*SUM($H41,$H50,$H57),IF('Operating Assumptions'!$G25="$/Unit/Annual",(('Operating Assumptions'!$H25*EA$24)*EA$36)/12,IF('Operating Assumptions'!$G25="$/Unit/Month",('Operating Assumptions'!$H25*EA$24)*EA$36))))))</f>
        <v>0</v>
      </c>
      <c r="EB60" s="427">
        <f>IF(OR(EB$9&lt;'Operating Assumptions'!$D$53,EB$6&gt;'Operating Assumptions'!$AA$8,'Operating Assumptions'!$G25="N/A"),0,IF('Operating Assumptions'!$G25="Fixed Amount",('Operating Assumptions'!$H25*EB$24)/12,IF('Operating Assumptions'!$G25="%/Rent Revenue",'Operating Assumptions'!$H25*$H41,IF('Operating Assumptions'!$G25="% of Total Revenue",'Operating Assumptions'!$H25*SUM($H41,$H50,$H57),IF('Operating Assumptions'!$G25="$/Unit/Annual",(('Operating Assumptions'!$H25*EB$24)*EB$36)/12,IF('Operating Assumptions'!$G25="$/Unit/Month",('Operating Assumptions'!$H25*EB$24)*EB$36))))))</f>
        <v>0</v>
      </c>
      <c r="EC60" s="427">
        <f>IF(OR(EC$9&lt;'Operating Assumptions'!$D$53,EC$6&gt;'Operating Assumptions'!$AA$8,'Operating Assumptions'!$G25="N/A"),0,IF('Operating Assumptions'!$G25="Fixed Amount",('Operating Assumptions'!$H25*EC$24)/12,IF('Operating Assumptions'!$G25="%/Rent Revenue",'Operating Assumptions'!$H25*$H41,IF('Operating Assumptions'!$G25="% of Total Revenue",'Operating Assumptions'!$H25*SUM($H41,$H50,$H57),IF('Operating Assumptions'!$G25="$/Unit/Annual",(('Operating Assumptions'!$H25*EC$24)*EC$36)/12,IF('Operating Assumptions'!$G25="$/Unit/Month",('Operating Assumptions'!$H25*EC$24)*EC$36))))))</f>
        <v>0</v>
      </c>
      <c r="ED60" s="427">
        <f>IF(OR(ED$9&lt;'Operating Assumptions'!$D$53,ED$6&gt;'Operating Assumptions'!$AA$8,'Operating Assumptions'!$G25="N/A"),0,IF('Operating Assumptions'!$G25="Fixed Amount",('Operating Assumptions'!$H25*ED$24)/12,IF('Operating Assumptions'!$G25="%/Rent Revenue",'Operating Assumptions'!$H25*$H41,IF('Operating Assumptions'!$G25="% of Total Revenue",'Operating Assumptions'!$H25*SUM($H41,$H50,$H57),IF('Operating Assumptions'!$G25="$/Unit/Annual",(('Operating Assumptions'!$H25*ED$24)*ED$36)/12,IF('Operating Assumptions'!$G25="$/Unit/Month",('Operating Assumptions'!$H25*ED$24)*ED$36))))))</f>
        <v>0</v>
      </c>
      <c r="EE60" s="427">
        <f>IF(OR(EE$9&lt;'Operating Assumptions'!$D$53,EE$6&gt;'Operating Assumptions'!$AA$8,'Operating Assumptions'!$G25="N/A"),0,IF('Operating Assumptions'!$G25="Fixed Amount",('Operating Assumptions'!$H25*EE$24)/12,IF('Operating Assumptions'!$G25="%/Rent Revenue",'Operating Assumptions'!$H25*$H41,IF('Operating Assumptions'!$G25="% of Total Revenue",'Operating Assumptions'!$H25*SUM($H41,$H50,$H57),IF('Operating Assumptions'!$G25="$/Unit/Annual",(('Operating Assumptions'!$H25*EE$24)*EE$36)/12,IF('Operating Assumptions'!$G25="$/Unit/Month",('Operating Assumptions'!$H25*EE$24)*EE$36))))))</f>
        <v>0</v>
      </c>
      <c r="EF60" s="427">
        <f>IF(OR(EF$9&lt;'Operating Assumptions'!$D$53,EF$6&gt;'Operating Assumptions'!$AA$8,'Operating Assumptions'!$G25="N/A"),0,IF('Operating Assumptions'!$G25="Fixed Amount",('Operating Assumptions'!$H25*EF$24)/12,IF('Operating Assumptions'!$G25="%/Rent Revenue",'Operating Assumptions'!$H25*$H41,IF('Operating Assumptions'!$G25="% of Total Revenue",'Operating Assumptions'!$H25*SUM($H41,$H50,$H57),IF('Operating Assumptions'!$G25="$/Unit/Annual",(('Operating Assumptions'!$H25*EF$24)*EF$36)/12,IF('Operating Assumptions'!$G25="$/Unit/Month",('Operating Assumptions'!$H25*EF$24)*EF$36))))))</f>
        <v>0</v>
      </c>
      <c r="EG60" s="427">
        <f>IF(OR(EG$9&lt;'Operating Assumptions'!$D$53,EG$6&gt;'Operating Assumptions'!$AA$8,'Operating Assumptions'!$G25="N/A"),0,IF('Operating Assumptions'!$G25="Fixed Amount",('Operating Assumptions'!$H25*EG$24)/12,IF('Operating Assumptions'!$G25="%/Rent Revenue",'Operating Assumptions'!$H25*$H41,IF('Operating Assumptions'!$G25="% of Total Revenue",'Operating Assumptions'!$H25*SUM($H41,$H50,$H57),IF('Operating Assumptions'!$G25="$/Unit/Annual",(('Operating Assumptions'!$H25*EG$24)*EG$36)/12,IF('Operating Assumptions'!$G25="$/Unit/Month",('Operating Assumptions'!$H25*EG$24)*EG$36))))))</f>
        <v>0</v>
      </c>
      <c r="EH60" s="427">
        <f>IF(OR(EH$9&lt;'Operating Assumptions'!$D$53,EH$6&gt;'Operating Assumptions'!$AA$8,'Operating Assumptions'!$G25="N/A"),0,IF('Operating Assumptions'!$G25="Fixed Amount",('Operating Assumptions'!$H25*EH$24)/12,IF('Operating Assumptions'!$G25="%/Rent Revenue",'Operating Assumptions'!$H25*$H41,IF('Operating Assumptions'!$G25="% of Total Revenue",'Operating Assumptions'!$H25*SUM($H41,$H50,$H57),IF('Operating Assumptions'!$G25="$/Unit/Annual",(('Operating Assumptions'!$H25*EH$24)*EH$36)/12,IF('Operating Assumptions'!$G25="$/Unit/Month",('Operating Assumptions'!$H25*EH$24)*EH$36))))))</f>
        <v>0</v>
      </c>
      <c r="EI60" s="427">
        <f>IF(OR(EI$9&lt;'Operating Assumptions'!$D$53,EI$6&gt;'Operating Assumptions'!$AA$8,'Operating Assumptions'!$G25="N/A"),0,IF('Operating Assumptions'!$G25="Fixed Amount",('Operating Assumptions'!$H25*EI$24)/12,IF('Operating Assumptions'!$G25="%/Rent Revenue",'Operating Assumptions'!$H25*$H41,IF('Operating Assumptions'!$G25="% of Total Revenue",'Operating Assumptions'!$H25*SUM($H41,$H50,$H57),IF('Operating Assumptions'!$G25="$/Unit/Annual",(('Operating Assumptions'!$H25*EI$24)*EI$36)/12,IF('Operating Assumptions'!$G25="$/Unit/Month",('Operating Assumptions'!$H25*EI$24)*EI$36))))))</f>
        <v>0</v>
      </c>
      <c r="EJ60" s="427">
        <f>IF(OR(EJ$9&lt;'Operating Assumptions'!$D$53,EJ$6&gt;'Operating Assumptions'!$AA$8,'Operating Assumptions'!$G25="N/A"),0,IF('Operating Assumptions'!$G25="Fixed Amount",('Operating Assumptions'!$H25*EJ$24)/12,IF('Operating Assumptions'!$G25="%/Rent Revenue",'Operating Assumptions'!$H25*$H41,IF('Operating Assumptions'!$G25="% of Total Revenue",'Operating Assumptions'!$H25*SUM($H41,$H50,$H57),IF('Operating Assumptions'!$G25="$/Unit/Annual",(('Operating Assumptions'!$H25*EJ$24)*EJ$36)/12,IF('Operating Assumptions'!$G25="$/Unit/Month",('Operating Assumptions'!$H25*EJ$24)*EJ$36))))))</f>
        <v>0</v>
      </c>
      <c r="EK60" s="427">
        <f>IF(OR(EK$9&lt;'Operating Assumptions'!$D$53,EK$6&gt;'Operating Assumptions'!$AA$8,'Operating Assumptions'!$G25="N/A"),0,IF('Operating Assumptions'!$G25="Fixed Amount",('Operating Assumptions'!$H25*EK$24)/12,IF('Operating Assumptions'!$G25="%/Rent Revenue",'Operating Assumptions'!$H25*$H41,IF('Operating Assumptions'!$G25="% of Total Revenue",'Operating Assumptions'!$H25*SUM($H41,$H50,$H57),IF('Operating Assumptions'!$G25="$/Unit/Annual",(('Operating Assumptions'!$H25*EK$24)*EK$36)/12,IF('Operating Assumptions'!$G25="$/Unit/Month",('Operating Assumptions'!$H25*EK$24)*EK$36))))))</f>
        <v>0</v>
      </c>
      <c r="EL60" s="427">
        <f>IF(OR(EL$9&lt;'Operating Assumptions'!$D$53,EL$6&gt;'Operating Assumptions'!$AA$8,'Operating Assumptions'!$G25="N/A"),0,IF('Operating Assumptions'!$G25="Fixed Amount",('Operating Assumptions'!$H25*EL$24)/12,IF('Operating Assumptions'!$G25="%/Rent Revenue",'Operating Assumptions'!$H25*$H41,IF('Operating Assumptions'!$G25="% of Total Revenue",'Operating Assumptions'!$H25*SUM($H41,$H50,$H57),IF('Operating Assumptions'!$G25="$/Unit/Annual",(('Operating Assumptions'!$H25*EL$24)*EL$36)/12,IF('Operating Assumptions'!$G25="$/Unit/Month",('Operating Assumptions'!$H25*EL$24)*EL$36))))))</f>
        <v>0</v>
      </c>
      <c r="EM60" s="427">
        <f>IF(OR(EM$9&lt;'Operating Assumptions'!$D$53,EM$6&gt;'Operating Assumptions'!$AA$8,'Operating Assumptions'!$G25="N/A"),0,IF('Operating Assumptions'!$G25="Fixed Amount",('Operating Assumptions'!$H25*EM$24)/12,IF('Operating Assumptions'!$G25="%/Rent Revenue",'Operating Assumptions'!$H25*$H41,IF('Operating Assumptions'!$G25="% of Total Revenue",'Operating Assumptions'!$H25*SUM($H41,$H50,$H57),IF('Operating Assumptions'!$G25="$/Unit/Annual",(('Operating Assumptions'!$H25*EM$24)*EM$36)/12,IF('Operating Assumptions'!$G25="$/Unit/Month",('Operating Assumptions'!$H25*EM$24)*EM$36))))))</f>
        <v>0</v>
      </c>
      <c r="EN60" s="427">
        <f>IF(OR(EN$9&lt;'Operating Assumptions'!$D$53,EN$6&gt;'Operating Assumptions'!$AA$8,'Operating Assumptions'!$G25="N/A"),0,IF('Operating Assumptions'!$G25="Fixed Amount",('Operating Assumptions'!$H25*EN$24)/12,IF('Operating Assumptions'!$G25="%/Rent Revenue",'Operating Assumptions'!$H25*$H41,IF('Operating Assumptions'!$G25="% of Total Revenue",'Operating Assumptions'!$H25*SUM($H41,$H50,$H57),IF('Operating Assumptions'!$G25="$/Unit/Annual",(('Operating Assumptions'!$H25*EN$24)*EN$36)/12,IF('Operating Assumptions'!$G25="$/Unit/Month",('Operating Assumptions'!$H25*EN$24)*EN$36))))))</f>
        <v>0</v>
      </c>
      <c r="EO60" s="427">
        <f>IF(OR(EO$9&lt;'Operating Assumptions'!$D$53,EO$6&gt;'Operating Assumptions'!$AA$8,'Operating Assumptions'!$G25="N/A"),0,IF('Operating Assumptions'!$G25="Fixed Amount",('Operating Assumptions'!$H25*EO$24)/12,IF('Operating Assumptions'!$G25="%/Rent Revenue",'Operating Assumptions'!$H25*$H41,IF('Operating Assumptions'!$G25="% of Total Revenue",'Operating Assumptions'!$H25*SUM($H41,$H50,$H57),IF('Operating Assumptions'!$G25="$/Unit/Annual",(('Operating Assumptions'!$H25*EO$24)*EO$36)/12,IF('Operating Assumptions'!$G25="$/Unit/Month",('Operating Assumptions'!$H25*EO$24)*EO$36))))))</f>
        <v>0</v>
      </c>
      <c r="EP60" s="427">
        <f>IF(OR(EP$9&lt;'Operating Assumptions'!$D$53,EP$6&gt;'Operating Assumptions'!$AA$8,'Operating Assumptions'!$G25="N/A"),0,IF('Operating Assumptions'!$G25="Fixed Amount",('Operating Assumptions'!$H25*EP$24)/12,IF('Operating Assumptions'!$G25="%/Rent Revenue",'Operating Assumptions'!$H25*$H41,IF('Operating Assumptions'!$G25="% of Total Revenue",'Operating Assumptions'!$H25*SUM($H41,$H50,$H57),IF('Operating Assumptions'!$G25="$/Unit/Annual",(('Operating Assumptions'!$H25*EP$24)*EP$36)/12,IF('Operating Assumptions'!$G25="$/Unit/Month",('Operating Assumptions'!$H25*EP$24)*EP$36))))))</f>
        <v>0</v>
      </c>
      <c r="EQ60" s="427">
        <f>IF(OR(EQ$9&lt;'Operating Assumptions'!$D$53,EQ$6&gt;'Operating Assumptions'!$AA$8,'Operating Assumptions'!$G25="N/A"),0,IF('Operating Assumptions'!$G25="Fixed Amount",('Operating Assumptions'!$H25*EQ$24)/12,IF('Operating Assumptions'!$G25="%/Rent Revenue",'Operating Assumptions'!$H25*$H41,IF('Operating Assumptions'!$G25="% of Total Revenue",'Operating Assumptions'!$H25*SUM($H41,$H50,$H57),IF('Operating Assumptions'!$G25="$/Unit/Annual",(('Operating Assumptions'!$H25*EQ$24)*EQ$36)/12,IF('Operating Assumptions'!$G25="$/Unit/Month",('Operating Assumptions'!$H25*EQ$24)*EQ$36))))))</f>
        <v>0</v>
      </c>
      <c r="ER60" s="427">
        <f>IF(OR(ER$9&lt;'Operating Assumptions'!$D$53,ER$6&gt;'Operating Assumptions'!$AA$8,'Operating Assumptions'!$G25="N/A"),0,IF('Operating Assumptions'!$G25="Fixed Amount",('Operating Assumptions'!$H25*ER$24)/12,IF('Operating Assumptions'!$G25="%/Rent Revenue",'Operating Assumptions'!$H25*$H41,IF('Operating Assumptions'!$G25="% of Total Revenue",'Operating Assumptions'!$H25*SUM($H41,$H50,$H57),IF('Operating Assumptions'!$G25="$/Unit/Annual",(('Operating Assumptions'!$H25*ER$24)*ER$36)/12,IF('Operating Assumptions'!$G25="$/Unit/Month",('Operating Assumptions'!$H25*ER$24)*ER$36))))))</f>
        <v>0</v>
      </c>
      <c r="ES60" s="427">
        <f>IF(OR(ES$9&lt;'Operating Assumptions'!$D$53,ES$6&gt;'Operating Assumptions'!$AA$8,'Operating Assumptions'!$G25="N/A"),0,IF('Operating Assumptions'!$G25="Fixed Amount",('Operating Assumptions'!$H25*ES$24)/12,IF('Operating Assumptions'!$G25="%/Rent Revenue",'Operating Assumptions'!$H25*$H41,IF('Operating Assumptions'!$G25="% of Total Revenue",'Operating Assumptions'!$H25*SUM($H41,$H50,$H57),IF('Operating Assumptions'!$G25="$/Unit/Annual",(('Operating Assumptions'!$H25*ES$24)*ES$36)/12,IF('Operating Assumptions'!$G25="$/Unit/Month",('Operating Assumptions'!$H25*ES$24)*ES$36))))))</f>
        <v>0</v>
      </c>
      <c r="ET60" s="427">
        <f>IF(OR(ET$9&lt;'Operating Assumptions'!$D$53,ET$6&gt;'Operating Assumptions'!$AA$8,'Operating Assumptions'!$G25="N/A"),0,IF('Operating Assumptions'!$G25="Fixed Amount",('Operating Assumptions'!$H25*ET$24)/12,IF('Operating Assumptions'!$G25="%/Rent Revenue",'Operating Assumptions'!$H25*$H41,IF('Operating Assumptions'!$G25="% of Total Revenue",'Operating Assumptions'!$H25*SUM($H41,$H50,$H57),IF('Operating Assumptions'!$G25="$/Unit/Annual",(('Operating Assumptions'!$H25*ET$24)*ET$36)/12,IF('Operating Assumptions'!$G25="$/Unit/Month",('Operating Assumptions'!$H25*ET$24)*ET$36))))))</f>
        <v>0</v>
      </c>
      <c r="EU60" s="427">
        <f>IF(OR(EU$9&lt;'Operating Assumptions'!$D$53,EU$6&gt;'Operating Assumptions'!$AA$8,'Operating Assumptions'!$G25="N/A"),0,IF('Operating Assumptions'!$G25="Fixed Amount",('Operating Assumptions'!$H25*EU$24)/12,IF('Operating Assumptions'!$G25="%/Rent Revenue",'Operating Assumptions'!$H25*$H41,IF('Operating Assumptions'!$G25="% of Total Revenue",'Operating Assumptions'!$H25*SUM($H41,$H50,$H57),IF('Operating Assumptions'!$G25="$/Unit/Annual",(('Operating Assumptions'!$H25*EU$24)*EU$36)/12,IF('Operating Assumptions'!$G25="$/Unit/Month",('Operating Assumptions'!$H25*EU$24)*EU$36))))))</f>
        <v>0</v>
      </c>
      <c r="EV60" s="427">
        <f>IF(OR(EV$9&lt;'Operating Assumptions'!$D$53,EV$6&gt;'Operating Assumptions'!$AA$8,'Operating Assumptions'!$G25="N/A"),0,IF('Operating Assumptions'!$G25="Fixed Amount",('Operating Assumptions'!$H25*EV$24)/12,IF('Operating Assumptions'!$G25="%/Rent Revenue",'Operating Assumptions'!$H25*$H41,IF('Operating Assumptions'!$G25="% of Total Revenue",'Operating Assumptions'!$H25*SUM($H41,$H50,$H57),IF('Operating Assumptions'!$G25="$/Unit/Annual",(('Operating Assumptions'!$H25*EV$24)*EV$36)/12,IF('Operating Assumptions'!$G25="$/Unit/Month",('Operating Assumptions'!$H25*EV$24)*EV$36))))))</f>
        <v>0</v>
      </c>
      <c r="EW60" s="427">
        <f>IF(OR(EW$9&lt;'Operating Assumptions'!$D$53,EW$6&gt;'Operating Assumptions'!$AA$8,'Operating Assumptions'!$G25="N/A"),0,IF('Operating Assumptions'!$G25="Fixed Amount",('Operating Assumptions'!$H25*EW$24)/12,IF('Operating Assumptions'!$G25="%/Rent Revenue",'Operating Assumptions'!$H25*$H41,IF('Operating Assumptions'!$G25="% of Total Revenue",'Operating Assumptions'!$H25*SUM($H41,$H50,$H57),IF('Operating Assumptions'!$G25="$/Unit/Annual",(('Operating Assumptions'!$H25*EW$24)*EW$36)/12,IF('Operating Assumptions'!$G25="$/Unit/Month",('Operating Assumptions'!$H25*EW$24)*EW$36))))))</f>
        <v>0</v>
      </c>
      <c r="EX60" s="427">
        <f>IF(OR(EX$9&lt;'Operating Assumptions'!$D$53,EX$6&gt;'Operating Assumptions'!$AA$8,'Operating Assumptions'!$G25="N/A"),0,IF('Operating Assumptions'!$G25="Fixed Amount",('Operating Assumptions'!$H25*EX$24)/12,IF('Operating Assumptions'!$G25="%/Rent Revenue",'Operating Assumptions'!$H25*$H41,IF('Operating Assumptions'!$G25="% of Total Revenue",'Operating Assumptions'!$H25*SUM($H41,$H50,$H57),IF('Operating Assumptions'!$G25="$/Unit/Annual",(('Operating Assumptions'!$H25*EX$24)*EX$36)/12,IF('Operating Assumptions'!$G25="$/Unit/Month",('Operating Assumptions'!$H25*EX$24)*EX$36))))))</f>
        <v>0</v>
      </c>
      <c r="EY60" s="427">
        <f>IF(OR(EY$9&lt;'Operating Assumptions'!$D$53,EY$6&gt;'Operating Assumptions'!$AA$8,'Operating Assumptions'!$G25="N/A"),0,IF('Operating Assumptions'!$G25="Fixed Amount",('Operating Assumptions'!$H25*EY$24)/12,IF('Operating Assumptions'!$G25="%/Rent Revenue",'Operating Assumptions'!$H25*$H41,IF('Operating Assumptions'!$G25="% of Total Revenue",'Operating Assumptions'!$H25*SUM($H41,$H50,$H57),IF('Operating Assumptions'!$G25="$/Unit/Annual",(('Operating Assumptions'!$H25*EY$24)*EY$36)/12,IF('Operating Assumptions'!$G25="$/Unit/Month",('Operating Assumptions'!$H25*EY$24)*EY$36))))))</f>
        <v>0</v>
      </c>
      <c r="EZ60" s="427">
        <f>IF(OR(EZ$9&lt;'Operating Assumptions'!$D$53,EZ$6&gt;'Operating Assumptions'!$AA$8,'Operating Assumptions'!$G25="N/A"),0,IF('Operating Assumptions'!$G25="Fixed Amount",('Operating Assumptions'!$H25*EZ$24)/12,IF('Operating Assumptions'!$G25="%/Rent Revenue",'Operating Assumptions'!$H25*$H41,IF('Operating Assumptions'!$G25="% of Total Revenue",'Operating Assumptions'!$H25*SUM($H41,$H50,$H57),IF('Operating Assumptions'!$G25="$/Unit/Annual",(('Operating Assumptions'!$H25*EZ$24)*EZ$36)/12,IF('Operating Assumptions'!$G25="$/Unit/Month",('Operating Assumptions'!$H25*EZ$24)*EZ$36))))))</f>
        <v>0</v>
      </c>
      <c r="FA60" s="427">
        <f>IF(OR(FA$9&lt;'Operating Assumptions'!$D$53,FA$6&gt;'Operating Assumptions'!$AA$8,'Operating Assumptions'!$G25="N/A"),0,IF('Operating Assumptions'!$G25="Fixed Amount",('Operating Assumptions'!$H25*FA$24)/12,IF('Operating Assumptions'!$G25="%/Rent Revenue",'Operating Assumptions'!$H25*$H41,IF('Operating Assumptions'!$G25="% of Total Revenue",'Operating Assumptions'!$H25*SUM($H41,$H50,$H57),IF('Operating Assumptions'!$G25="$/Unit/Annual",(('Operating Assumptions'!$H25*FA$24)*FA$36)/12,IF('Operating Assumptions'!$G25="$/Unit/Month",('Operating Assumptions'!$H25*FA$24)*FA$36))))))</f>
        <v>0</v>
      </c>
      <c r="FB60" s="427">
        <f>IF(OR(FB$9&lt;'Operating Assumptions'!$D$53,FB$6&gt;'Operating Assumptions'!$AA$8,'Operating Assumptions'!$G25="N/A"),0,IF('Operating Assumptions'!$G25="Fixed Amount",('Operating Assumptions'!$H25*FB$24)/12,IF('Operating Assumptions'!$G25="%/Rent Revenue",'Operating Assumptions'!$H25*$H41,IF('Operating Assumptions'!$G25="% of Total Revenue",'Operating Assumptions'!$H25*SUM($H41,$H50,$H57),IF('Operating Assumptions'!$G25="$/Unit/Annual",(('Operating Assumptions'!$H25*FB$24)*FB$36)/12,IF('Operating Assumptions'!$G25="$/Unit/Month",('Operating Assumptions'!$H25*FB$24)*FB$36))))))</f>
        <v>0</v>
      </c>
      <c r="FC60" s="427">
        <f>IF(OR(FC$9&lt;'Operating Assumptions'!$D$53,FC$6&gt;'Operating Assumptions'!$AA$8,'Operating Assumptions'!$G25="N/A"),0,IF('Operating Assumptions'!$G25="Fixed Amount",('Operating Assumptions'!$H25*FC$24)/12,IF('Operating Assumptions'!$G25="%/Rent Revenue",'Operating Assumptions'!$H25*$H41,IF('Operating Assumptions'!$G25="% of Total Revenue",'Operating Assumptions'!$H25*SUM($H41,$H50,$H57),IF('Operating Assumptions'!$G25="$/Unit/Annual",(('Operating Assumptions'!$H25*FC$24)*FC$36)/12,IF('Operating Assumptions'!$G25="$/Unit/Month",('Operating Assumptions'!$H25*FC$24)*FC$36))))))</f>
        <v>0</v>
      </c>
      <c r="FD60" s="427">
        <f>IF(OR(FD$9&lt;'Operating Assumptions'!$D$53,FD$6&gt;'Operating Assumptions'!$AA$8,'Operating Assumptions'!$G25="N/A"),0,IF('Operating Assumptions'!$G25="Fixed Amount",('Operating Assumptions'!$H25*FD$24)/12,IF('Operating Assumptions'!$G25="%/Rent Revenue",'Operating Assumptions'!$H25*$H41,IF('Operating Assumptions'!$G25="% of Total Revenue",'Operating Assumptions'!$H25*SUM($H41,$H50,$H57),IF('Operating Assumptions'!$G25="$/Unit/Annual",(('Operating Assumptions'!$H25*FD$24)*FD$36)/12,IF('Operating Assumptions'!$G25="$/Unit/Month",('Operating Assumptions'!$H25*FD$24)*FD$36))))))</f>
        <v>0</v>
      </c>
      <c r="FE60" s="427">
        <f>IF(OR(FE$9&lt;'Operating Assumptions'!$D$53,FE$6&gt;'Operating Assumptions'!$AA$8,'Operating Assumptions'!$G25="N/A"),0,IF('Operating Assumptions'!$G25="Fixed Amount",('Operating Assumptions'!$H25*FE$24)/12,IF('Operating Assumptions'!$G25="%/Rent Revenue",'Operating Assumptions'!$H25*$H41,IF('Operating Assumptions'!$G25="% of Total Revenue",'Operating Assumptions'!$H25*SUM($H41,$H50,$H57),IF('Operating Assumptions'!$G25="$/Unit/Annual",(('Operating Assumptions'!$H25*FE$24)*FE$36)/12,IF('Operating Assumptions'!$G25="$/Unit/Month",('Operating Assumptions'!$H25*FE$24)*FE$36))))))</f>
        <v>0</v>
      </c>
      <c r="FF60" s="427">
        <f>IF(OR(FF$9&lt;'Operating Assumptions'!$D$53,FF$6&gt;'Operating Assumptions'!$AA$8,'Operating Assumptions'!$G25="N/A"),0,IF('Operating Assumptions'!$G25="Fixed Amount",('Operating Assumptions'!$H25*FF$24)/12,IF('Operating Assumptions'!$G25="%/Rent Revenue",'Operating Assumptions'!$H25*$H41,IF('Operating Assumptions'!$G25="% of Total Revenue",'Operating Assumptions'!$H25*SUM($H41,$H50,$H57),IF('Operating Assumptions'!$G25="$/Unit/Annual",(('Operating Assumptions'!$H25*FF$24)*FF$36)/12,IF('Operating Assumptions'!$G25="$/Unit/Month",('Operating Assumptions'!$H25*FF$24)*FF$36))))))</f>
        <v>0</v>
      </c>
      <c r="FG60" s="427">
        <f>IF(OR(FG$9&lt;'Operating Assumptions'!$D$53,FG$6&gt;'Operating Assumptions'!$AA$8,'Operating Assumptions'!$G25="N/A"),0,IF('Operating Assumptions'!$G25="Fixed Amount",('Operating Assumptions'!$H25*FG$24)/12,IF('Operating Assumptions'!$G25="%/Rent Revenue",'Operating Assumptions'!$H25*$H41,IF('Operating Assumptions'!$G25="% of Total Revenue",'Operating Assumptions'!$H25*SUM($H41,$H50,$H57),IF('Operating Assumptions'!$G25="$/Unit/Annual",(('Operating Assumptions'!$H25*FG$24)*FG$36)/12,IF('Operating Assumptions'!$G25="$/Unit/Month",('Operating Assumptions'!$H25*FG$24)*FG$36))))))</f>
        <v>0</v>
      </c>
      <c r="FH60" s="427">
        <f>IF(OR(FH$9&lt;'Operating Assumptions'!$D$53,FH$6&gt;'Operating Assumptions'!$AA$8,'Operating Assumptions'!$G25="N/A"),0,IF('Operating Assumptions'!$G25="Fixed Amount",('Operating Assumptions'!$H25*FH$24)/12,IF('Operating Assumptions'!$G25="%/Rent Revenue",'Operating Assumptions'!$H25*$H41,IF('Operating Assumptions'!$G25="% of Total Revenue",'Operating Assumptions'!$H25*SUM($H41,$H50,$H57),IF('Operating Assumptions'!$G25="$/Unit/Annual",(('Operating Assumptions'!$H25*FH$24)*FH$36)/12,IF('Operating Assumptions'!$G25="$/Unit/Month",('Operating Assumptions'!$H25*FH$24)*FH$36))))))</f>
        <v>0</v>
      </c>
      <c r="FI60" s="427">
        <f>IF(OR(FI$9&lt;'Operating Assumptions'!$D$53,FI$6&gt;'Operating Assumptions'!$AA$8,'Operating Assumptions'!$G25="N/A"),0,IF('Operating Assumptions'!$G25="Fixed Amount",('Operating Assumptions'!$H25*FI$24)/12,IF('Operating Assumptions'!$G25="%/Rent Revenue",'Operating Assumptions'!$H25*$H41,IF('Operating Assumptions'!$G25="% of Total Revenue",'Operating Assumptions'!$H25*SUM($H41,$H50,$H57),IF('Operating Assumptions'!$G25="$/Unit/Annual",(('Operating Assumptions'!$H25*FI$24)*FI$36)/12,IF('Operating Assumptions'!$G25="$/Unit/Month",('Operating Assumptions'!$H25*FI$24)*FI$36))))))</f>
        <v>0</v>
      </c>
      <c r="FJ60" s="427">
        <f>IF(OR(FJ$9&lt;'Operating Assumptions'!$D$53,FJ$6&gt;'Operating Assumptions'!$AA$8,'Operating Assumptions'!$G25="N/A"),0,IF('Operating Assumptions'!$G25="Fixed Amount",('Operating Assumptions'!$H25*FJ$24)/12,IF('Operating Assumptions'!$G25="%/Rent Revenue",'Operating Assumptions'!$H25*$H41,IF('Operating Assumptions'!$G25="% of Total Revenue",'Operating Assumptions'!$H25*SUM($H41,$H50,$H57),IF('Operating Assumptions'!$G25="$/Unit/Annual",(('Operating Assumptions'!$H25*FJ$24)*FJ$36)/12,IF('Operating Assumptions'!$G25="$/Unit/Month",('Operating Assumptions'!$H25*FJ$24)*FJ$36))))))</f>
        <v>0</v>
      </c>
      <c r="FK60" s="427">
        <f>IF(OR(FK$9&lt;'Operating Assumptions'!$D$53,FK$6&gt;'Operating Assumptions'!$AA$8,'Operating Assumptions'!$G25="N/A"),0,IF('Operating Assumptions'!$G25="Fixed Amount",('Operating Assumptions'!$H25*FK$24)/12,IF('Operating Assumptions'!$G25="%/Rent Revenue",'Operating Assumptions'!$H25*$H41,IF('Operating Assumptions'!$G25="% of Total Revenue",'Operating Assumptions'!$H25*SUM($H41,$H50,$H57),IF('Operating Assumptions'!$G25="$/Unit/Annual",(('Operating Assumptions'!$H25*FK$24)*FK$36)/12,IF('Operating Assumptions'!$G25="$/Unit/Month",('Operating Assumptions'!$H25*FK$24)*FK$36))))))</f>
        <v>0</v>
      </c>
      <c r="FL60" s="427">
        <f>IF(OR(FL$9&lt;'Operating Assumptions'!$D$53,FL$6&gt;'Operating Assumptions'!$AA$8,'Operating Assumptions'!$G25="N/A"),0,IF('Operating Assumptions'!$G25="Fixed Amount",('Operating Assumptions'!$H25*FL$24)/12,IF('Operating Assumptions'!$G25="%/Rent Revenue",'Operating Assumptions'!$H25*$H41,IF('Operating Assumptions'!$G25="% of Total Revenue",'Operating Assumptions'!$H25*SUM($H41,$H50,$H57),IF('Operating Assumptions'!$G25="$/Unit/Annual",(('Operating Assumptions'!$H25*FL$24)*FL$36)/12,IF('Operating Assumptions'!$G25="$/Unit/Month",('Operating Assumptions'!$H25*FL$24)*FL$36))))))</f>
        <v>0</v>
      </c>
      <c r="FM60" s="427">
        <f>IF(OR(FM$9&lt;'Operating Assumptions'!$D$53,FM$6&gt;'Operating Assumptions'!$AA$8,'Operating Assumptions'!$G25="N/A"),0,IF('Operating Assumptions'!$G25="Fixed Amount",('Operating Assumptions'!$H25*FM$24)/12,IF('Operating Assumptions'!$G25="%/Rent Revenue",'Operating Assumptions'!$H25*$H41,IF('Operating Assumptions'!$G25="% of Total Revenue",'Operating Assumptions'!$H25*SUM($H41,$H50,$H57),IF('Operating Assumptions'!$G25="$/Unit/Annual",(('Operating Assumptions'!$H25*FM$24)*FM$36)/12,IF('Operating Assumptions'!$G25="$/Unit/Month",('Operating Assumptions'!$H25*FM$24)*FM$36))))))</f>
        <v>0</v>
      </c>
      <c r="FN60" s="427">
        <f>IF(OR(FN$9&lt;'Operating Assumptions'!$D$53,FN$6&gt;'Operating Assumptions'!$AA$8,'Operating Assumptions'!$G25="N/A"),0,IF('Operating Assumptions'!$G25="Fixed Amount",('Operating Assumptions'!$H25*FN$24)/12,IF('Operating Assumptions'!$G25="%/Rent Revenue",'Operating Assumptions'!$H25*$H41,IF('Operating Assumptions'!$G25="% of Total Revenue",'Operating Assumptions'!$H25*SUM($H41,$H50,$H57),IF('Operating Assumptions'!$G25="$/Unit/Annual",(('Operating Assumptions'!$H25*FN$24)*FN$36)/12,IF('Operating Assumptions'!$G25="$/Unit/Month",('Operating Assumptions'!$H25*FN$24)*FN$36))))))</f>
        <v>0</v>
      </c>
      <c r="FO60" s="427">
        <f>IF(OR(FO$9&lt;'Operating Assumptions'!$D$53,FO$6&gt;'Operating Assumptions'!$AA$8,'Operating Assumptions'!$G25="N/A"),0,IF('Operating Assumptions'!$G25="Fixed Amount",('Operating Assumptions'!$H25*FO$24)/12,IF('Operating Assumptions'!$G25="%/Rent Revenue",'Operating Assumptions'!$H25*$H41,IF('Operating Assumptions'!$G25="% of Total Revenue",'Operating Assumptions'!$H25*SUM($H41,$H50,$H57),IF('Operating Assumptions'!$G25="$/Unit/Annual",(('Operating Assumptions'!$H25*FO$24)*FO$36)/12,IF('Operating Assumptions'!$G25="$/Unit/Month",('Operating Assumptions'!$H25*FO$24)*FO$36))))))</f>
        <v>0</v>
      </c>
      <c r="FP60" s="427">
        <f>IF(OR(FP$9&lt;'Operating Assumptions'!$D$53,FP$6&gt;'Operating Assumptions'!$AA$8,'Operating Assumptions'!$G25="N/A"),0,IF('Operating Assumptions'!$G25="Fixed Amount",('Operating Assumptions'!$H25*FP$24)/12,IF('Operating Assumptions'!$G25="%/Rent Revenue",'Operating Assumptions'!$H25*$H41,IF('Operating Assumptions'!$G25="% of Total Revenue",'Operating Assumptions'!$H25*SUM($H41,$H50,$H57),IF('Operating Assumptions'!$G25="$/Unit/Annual",(('Operating Assumptions'!$H25*FP$24)*FP$36)/12,IF('Operating Assumptions'!$G25="$/Unit/Month",('Operating Assumptions'!$H25*FP$24)*FP$36))))))</f>
        <v>0</v>
      </c>
      <c r="FQ60" s="427">
        <f>IF(OR(FQ$9&lt;'Operating Assumptions'!$D$53,FQ$6&gt;'Operating Assumptions'!$AA$8,'Operating Assumptions'!$G25="N/A"),0,IF('Operating Assumptions'!$G25="Fixed Amount",('Operating Assumptions'!$H25*FQ$24)/12,IF('Operating Assumptions'!$G25="%/Rent Revenue",'Operating Assumptions'!$H25*$H41,IF('Operating Assumptions'!$G25="% of Total Revenue",'Operating Assumptions'!$H25*SUM($H41,$H50,$H57),IF('Operating Assumptions'!$G25="$/Unit/Annual",(('Operating Assumptions'!$H25*FQ$24)*FQ$36)/12,IF('Operating Assumptions'!$G25="$/Unit/Month",('Operating Assumptions'!$H25*FQ$24)*FQ$36))))))</f>
        <v>0</v>
      </c>
      <c r="FR60" s="427">
        <f>IF(OR(FR$9&lt;'Operating Assumptions'!$D$53,FR$6&gt;'Operating Assumptions'!$AA$8,'Operating Assumptions'!$G25="N/A"),0,IF('Operating Assumptions'!$G25="Fixed Amount",('Operating Assumptions'!$H25*FR$24)/12,IF('Operating Assumptions'!$G25="%/Rent Revenue",'Operating Assumptions'!$H25*$H41,IF('Operating Assumptions'!$G25="% of Total Revenue",'Operating Assumptions'!$H25*SUM($H41,$H50,$H57),IF('Operating Assumptions'!$G25="$/Unit/Annual",(('Operating Assumptions'!$H25*FR$24)*FR$36)/12,IF('Operating Assumptions'!$G25="$/Unit/Month",('Operating Assumptions'!$H25*FR$24)*FR$36))))))</f>
        <v>0</v>
      </c>
      <c r="FS60" s="427">
        <f>IF(OR(FS$9&lt;'Operating Assumptions'!$D$53,FS$6&gt;'Operating Assumptions'!$AA$8,'Operating Assumptions'!$G25="N/A"),0,IF('Operating Assumptions'!$G25="Fixed Amount",('Operating Assumptions'!$H25*FS$24)/12,IF('Operating Assumptions'!$G25="%/Rent Revenue",'Operating Assumptions'!$H25*$H41,IF('Operating Assumptions'!$G25="% of Total Revenue",'Operating Assumptions'!$H25*SUM($H41,$H50,$H57),IF('Operating Assumptions'!$G25="$/Unit/Annual",(('Operating Assumptions'!$H25*FS$24)*FS$36)/12,IF('Operating Assumptions'!$G25="$/Unit/Month",('Operating Assumptions'!$H25*FS$24)*FS$36))))))</f>
        <v>0</v>
      </c>
      <c r="FT60" s="427">
        <f>IF(OR(FT$9&lt;'Operating Assumptions'!$D$53,FT$6&gt;'Operating Assumptions'!$AA$8,'Operating Assumptions'!$G25="N/A"),0,IF('Operating Assumptions'!$G25="Fixed Amount",('Operating Assumptions'!$H25*FT$24)/12,IF('Operating Assumptions'!$G25="%/Rent Revenue",'Operating Assumptions'!$H25*$H41,IF('Operating Assumptions'!$G25="% of Total Revenue",'Operating Assumptions'!$H25*SUM($H41,$H50,$H57),IF('Operating Assumptions'!$G25="$/Unit/Annual",(('Operating Assumptions'!$H25*FT$24)*FT$36)/12,IF('Operating Assumptions'!$G25="$/Unit/Month",('Operating Assumptions'!$H25*FT$24)*FT$36))))))</f>
        <v>0</v>
      </c>
      <c r="FU60" s="43"/>
      <c r="FV60" s="34"/>
      <c r="FW60" s="34"/>
      <c r="FX60" s="34"/>
      <c r="FY60" s="34"/>
      <c r="FZ60" s="34"/>
    </row>
    <row r="61" spans="1:182" s="89" customFormat="1" ht="13.5" x14ac:dyDescent="0.25">
      <c r="A61" s="34"/>
      <c r="B61" s="128" t="str">
        <f>'Operating Assumptions'!F26</f>
        <v>Incentive Revenue:</v>
      </c>
      <c r="C61" s="34"/>
      <c r="D61" s="34"/>
      <c r="E61" s="34"/>
      <c r="F61" s="434">
        <f>SUM(H61:FT61)</f>
        <v>0</v>
      </c>
      <c r="G61" s="34"/>
      <c r="H61" s="427">
        <f>IF(OR(H$9&lt;'Operating Assumptions'!$D$53,H$6&gt;'Operating Assumptions'!$AA$8,'Operating Assumptions'!$G26="N/A"),0,IF('Operating Assumptions'!$G26="Fixed Amount",('Operating Assumptions'!$H26*H$24)/12,IF('Operating Assumptions'!$G26="%/Rent Revenue",'Operating Assumptions'!$H26*$H41,IF('Operating Assumptions'!$G26="% of Total Revenue",'Operating Assumptions'!$H26*SUM($H41,$H50,$H57),IF('Operating Assumptions'!$G26="$/Unit/Annual",(('Operating Assumptions'!$H26*H$24)*H$36)/12,IF('Operating Assumptions'!$G26="$/Unit/Month",('Operating Assumptions'!$H26*H$24)*H$36))))))</f>
        <v>0</v>
      </c>
      <c r="I61" s="427">
        <f>IF(OR(I$9&lt;'Operating Assumptions'!$D$53,I$6&gt;'Operating Assumptions'!$AA$8,'Operating Assumptions'!$G26="N/A"),0,IF('Operating Assumptions'!$G26="Fixed Amount",('Operating Assumptions'!$H26*I$24)/12,IF('Operating Assumptions'!$G26="%/Rent Revenue",'Operating Assumptions'!$H26*$H41,IF('Operating Assumptions'!$G26="% of Total Revenue",'Operating Assumptions'!$H26*SUM($H41,$H50,$H57),IF('Operating Assumptions'!$G26="$/Unit/Annual",(('Operating Assumptions'!$H26*I$24)*I$36)/12,IF('Operating Assumptions'!$G26="$/Unit/Month",('Operating Assumptions'!$H26*I$24)*I$36))))))</f>
        <v>0</v>
      </c>
      <c r="J61" s="427">
        <f>IF(OR(J$9&lt;'Operating Assumptions'!$D$53,J$6&gt;'Operating Assumptions'!$AA$8,'Operating Assumptions'!$G26="N/A"),0,IF('Operating Assumptions'!$G26="Fixed Amount",('Operating Assumptions'!$H26*J$24)/12,IF('Operating Assumptions'!$G26="%/Rent Revenue",'Operating Assumptions'!$H26*$H41,IF('Operating Assumptions'!$G26="% of Total Revenue",'Operating Assumptions'!$H26*SUM($H41,$H50,$H57),IF('Operating Assumptions'!$G26="$/Unit/Annual",(('Operating Assumptions'!$H26*J$24)*J$36)/12,IF('Operating Assumptions'!$G26="$/Unit/Month",('Operating Assumptions'!$H26*J$24)*J$36))))))</f>
        <v>0</v>
      </c>
      <c r="K61" s="427">
        <f>IF(OR(K$9&lt;'Operating Assumptions'!$D$53,K$6&gt;'Operating Assumptions'!$AA$8,'Operating Assumptions'!$G26="N/A"),0,IF('Operating Assumptions'!$G26="Fixed Amount",('Operating Assumptions'!$H26*K$24)/12,IF('Operating Assumptions'!$G26="%/Rent Revenue",'Operating Assumptions'!$H26*$H41,IF('Operating Assumptions'!$G26="% of Total Revenue",'Operating Assumptions'!$H26*SUM($H41,$H50,$H57),IF('Operating Assumptions'!$G26="$/Unit/Annual",(('Operating Assumptions'!$H26*K$24)*K$36)/12,IF('Operating Assumptions'!$G26="$/Unit/Month",('Operating Assumptions'!$H26*K$24)*K$36))))))</f>
        <v>0</v>
      </c>
      <c r="L61" s="427">
        <f>IF(OR(L$9&lt;'Operating Assumptions'!$D$53,L$6&gt;'Operating Assumptions'!$AA$8,'Operating Assumptions'!$G26="N/A"),0,IF('Operating Assumptions'!$G26="Fixed Amount",('Operating Assumptions'!$H26*L$24)/12,IF('Operating Assumptions'!$G26="%/Rent Revenue",'Operating Assumptions'!$H26*$H41,IF('Operating Assumptions'!$G26="% of Total Revenue",'Operating Assumptions'!$H26*SUM($H41,$H50,$H57),IF('Operating Assumptions'!$G26="$/Unit/Annual",(('Operating Assumptions'!$H26*L$24)*L$36)/12,IF('Operating Assumptions'!$G26="$/Unit/Month",('Operating Assumptions'!$H26*L$24)*L$36))))))</f>
        <v>0</v>
      </c>
      <c r="M61" s="427">
        <f>IF(OR(M$9&lt;'Operating Assumptions'!$D$53,M$6&gt;'Operating Assumptions'!$AA$8,'Operating Assumptions'!$G26="N/A"),0,IF('Operating Assumptions'!$G26="Fixed Amount",('Operating Assumptions'!$H26*M$24)/12,IF('Operating Assumptions'!$G26="%/Rent Revenue",'Operating Assumptions'!$H26*$H41,IF('Operating Assumptions'!$G26="% of Total Revenue",'Operating Assumptions'!$H26*SUM($H41,$H50,$H57),IF('Operating Assumptions'!$G26="$/Unit/Annual",(('Operating Assumptions'!$H26*M$24)*M$36)/12,IF('Operating Assumptions'!$G26="$/Unit/Month",('Operating Assumptions'!$H26*M$24)*M$36))))))</f>
        <v>0</v>
      </c>
      <c r="N61" s="427">
        <f>IF(OR(N$9&lt;'Operating Assumptions'!$D$53,N$6&gt;'Operating Assumptions'!$AA$8,'Operating Assumptions'!$G26="N/A"),0,IF('Operating Assumptions'!$G26="Fixed Amount",('Operating Assumptions'!$H26*N$24)/12,IF('Operating Assumptions'!$G26="%/Rent Revenue",'Operating Assumptions'!$H26*$H41,IF('Operating Assumptions'!$G26="% of Total Revenue",'Operating Assumptions'!$H26*SUM($H41,$H50,$H57),IF('Operating Assumptions'!$G26="$/Unit/Annual",(('Operating Assumptions'!$H26*N$24)*N$36)/12,IF('Operating Assumptions'!$G26="$/Unit/Month",('Operating Assumptions'!$H26*N$24)*N$36))))))</f>
        <v>0</v>
      </c>
      <c r="O61" s="427">
        <f>IF(OR(O$9&lt;'Operating Assumptions'!$D$53,O$6&gt;'Operating Assumptions'!$AA$8,'Operating Assumptions'!$G26="N/A"),0,IF('Operating Assumptions'!$G26="Fixed Amount",('Operating Assumptions'!$H26*O$24)/12,IF('Operating Assumptions'!$G26="%/Rent Revenue",'Operating Assumptions'!$H26*$H41,IF('Operating Assumptions'!$G26="% of Total Revenue",'Operating Assumptions'!$H26*SUM($H41,$H50,$H57),IF('Operating Assumptions'!$G26="$/Unit/Annual",(('Operating Assumptions'!$H26*O$24)*O$36)/12,IF('Operating Assumptions'!$G26="$/Unit/Month",('Operating Assumptions'!$H26*O$24)*O$36))))))</f>
        <v>0</v>
      </c>
      <c r="P61" s="427">
        <f>IF(OR(P$9&lt;'Operating Assumptions'!$D$53,P$6&gt;'Operating Assumptions'!$AA$8,'Operating Assumptions'!$G26="N/A"),0,IF('Operating Assumptions'!$G26="Fixed Amount",('Operating Assumptions'!$H26*P$24)/12,IF('Operating Assumptions'!$G26="%/Rent Revenue",'Operating Assumptions'!$H26*$H41,IF('Operating Assumptions'!$G26="% of Total Revenue",'Operating Assumptions'!$H26*SUM($H41,$H50,$H57),IF('Operating Assumptions'!$G26="$/Unit/Annual",(('Operating Assumptions'!$H26*P$24)*P$36)/12,IF('Operating Assumptions'!$G26="$/Unit/Month",('Operating Assumptions'!$H26*P$24)*P$36))))))</f>
        <v>0</v>
      </c>
      <c r="Q61" s="427">
        <f>IF(OR(Q$9&lt;'Operating Assumptions'!$D$53,Q$6&gt;'Operating Assumptions'!$AA$8,'Operating Assumptions'!$G26="N/A"),0,IF('Operating Assumptions'!$G26="Fixed Amount",('Operating Assumptions'!$H26*Q$24)/12,IF('Operating Assumptions'!$G26="%/Rent Revenue",'Operating Assumptions'!$H26*$H41,IF('Operating Assumptions'!$G26="% of Total Revenue",'Operating Assumptions'!$H26*SUM($H41,$H50,$H57),IF('Operating Assumptions'!$G26="$/Unit/Annual",(('Operating Assumptions'!$H26*Q$24)*Q$36)/12,IF('Operating Assumptions'!$G26="$/Unit/Month",('Operating Assumptions'!$H26*Q$24)*Q$36))))))</f>
        <v>0</v>
      </c>
      <c r="R61" s="427">
        <f>IF(OR(R$9&lt;'Operating Assumptions'!$D$53,R$6&gt;'Operating Assumptions'!$AA$8,'Operating Assumptions'!$G26="N/A"),0,IF('Operating Assumptions'!$G26="Fixed Amount",('Operating Assumptions'!$H26*R$24)/12,IF('Operating Assumptions'!$G26="%/Rent Revenue",'Operating Assumptions'!$H26*$H41,IF('Operating Assumptions'!$G26="% of Total Revenue",'Operating Assumptions'!$H26*SUM($H41,$H50,$H57),IF('Operating Assumptions'!$G26="$/Unit/Annual",(('Operating Assumptions'!$H26*R$24)*R$36)/12,IF('Operating Assumptions'!$G26="$/Unit/Month",('Operating Assumptions'!$H26*R$24)*R$36))))))</f>
        <v>0</v>
      </c>
      <c r="S61" s="427">
        <f>IF(OR(S$9&lt;'Operating Assumptions'!$D$53,S$6&gt;'Operating Assumptions'!$AA$8,'Operating Assumptions'!$G26="N/A"),0,IF('Operating Assumptions'!$G26="Fixed Amount",('Operating Assumptions'!$H26*S$24)/12,IF('Operating Assumptions'!$G26="%/Rent Revenue",'Operating Assumptions'!$H26*$H41,IF('Operating Assumptions'!$G26="% of Total Revenue",'Operating Assumptions'!$H26*SUM($H41,$H50,$H57),IF('Operating Assumptions'!$G26="$/Unit/Annual",(('Operating Assumptions'!$H26*S$24)*S$36)/12,IF('Operating Assumptions'!$G26="$/Unit/Month",('Operating Assumptions'!$H26*S$24)*S$36))))))</f>
        <v>0</v>
      </c>
      <c r="T61" s="427">
        <f>IF(OR(T$9&lt;'Operating Assumptions'!$D$53,T$6&gt;'Operating Assumptions'!$AA$8,'Operating Assumptions'!$G26="N/A"),0,IF('Operating Assumptions'!$G26="Fixed Amount",('Operating Assumptions'!$H26*T$24)/12,IF('Operating Assumptions'!$G26="%/Rent Revenue",'Operating Assumptions'!$H26*$H41,IF('Operating Assumptions'!$G26="% of Total Revenue",'Operating Assumptions'!$H26*SUM($H41,$H50,$H57),IF('Operating Assumptions'!$G26="$/Unit/Annual",(('Operating Assumptions'!$H26*T$24)*T$36)/12,IF('Operating Assumptions'!$G26="$/Unit/Month",('Operating Assumptions'!$H26*T$24)*T$36))))))</f>
        <v>0</v>
      </c>
      <c r="U61" s="427">
        <f>IF(OR(U$9&lt;'Operating Assumptions'!$D$53,U$6&gt;'Operating Assumptions'!$AA$8,'Operating Assumptions'!$G26="N/A"),0,IF('Operating Assumptions'!$G26="Fixed Amount",('Operating Assumptions'!$H26*U$24)/12,IF('Operating Assumptions'!$G26="%/Rent Revenue",'Operating Assumptions'!$H26*$H41,IF('Operating Assumptions'!$G26="% of Total Revenue",'Operating Assumptions'!$H26*SUM($H41,$H50,$H57),IF('Operating Assumptions'!$G26="$/Unit/Annual",(('Operating Assumptions'!$H26*U$24)*U$36)/12,IF('Operating Assumptions'!$G26="$/Unit/Month",('Operating Assumptions'!$H26*U$24)*U$36))))))</f>
        <v>0</v>
      </c>
      <c r="V61" s="427">
        <f>IF(OR(V$9&lt;'Operating Assumptions'!$D$53,V$6&gt;'Operating Assumptions'!$AA$8,'Operating Assumptions'!$G26="N/A"),0,IF('Operating Assumptions'!$G26="Fixed Amount",('Operating Assumptions'!$H26*V$24)/12,IF('Operating Assumptions'!$G26="%/Rent Revenue",'Operating Assumptions'!$H26*$H41,IF('Operating Assumptions'!$G26="% of Total Revenue",'Operating Assumptions'!$H26*SUM($H41,$H50,$H57),IF('Operating Assumptions'!$G26="$/Unit/Annual",(('Operating Assumptions'!$H26*V$24)*V$36)/12,IF('Operating Assumptions'!$G26="$/Unit/Month",('Operating Assumptions'!$H26*V$24)*V$36))))))</f>
        <v>0</v>
      </c>
      <c r="W61" s="427">
        <f>IF(OR(W$9&lt;'Operating Assumptions'!$D$53,W$6&gt;'Operating Assumptions'!$AA$8,'Operating Assumptions'!$G26="N/A"),0,IF('Operating Assumptions'!$G26="Fixed Amount",('Operating Assumptions'!$H26*W$24)/12,IF('Operating Assumptions'!$G26="%/Rent Revenue",'Operating Assumptions'!$H26*$H41,IF('Operating Assumptions'!$G26="% of Total Revenue",'Operating Assumptions'!$H26*SUM($H41,$H50,$H57),IF('Operating Assumptions'!$G26="$/Unit/Annual",(('Operating Assumptions'!$H26*W$24)*W$36)/12,IF('Operating Assumptions'!$G26="$/Unit/Month",('Operating Assumptions'!$H26*W$24)*W$36))))))</f>
        <v>0</v>
      </c>
      <c r="X61" s="427">
        <f>IF(OR(X$9&lt;'Operating Assumptions'!$D$53,X$6&gt;'Operating Assumptions'!$AA$8,'Operating Assumptions'!$G26="N/A"),0,IF('Operating Assumptions'!$G26="Fixed Amount",('Operating Assumptions'!$H26*X$24)/12,IF('Operating Assumptions'!$G26="%/Rent Revenue",'Operating Assumptions'!$H26*$H41,IF('Operating Assumptions'!$G26="% of Total Revenue",'Operating Assumptions'!$H26*SUM($H41,$H50,$H57),IF('Operating Assumptions'!$G26="$/Unit/Annual",(('Operating Assumptions'!$H26*X$24)*X$36)/12,IF('Operating Assumptions'!$G26="$/Unit/Month",('Operating Assumptions'!$H26*X$24)*X$36))))))</f>
        <v>0</v>
      </c>
      <c r="Y61" s="427">
        <f>IF(OR(Y$9&lt;'Operating Assumptions'!$D$53,Y$6&gt;'Operating Assumptions'!$AA$8,'Operating Assumptions'!$G26="N/A"),0,IF('Operating Assumptions'!$G26="Fixed Amount",('Operating Assumptions'!$H26*Y$24)/12,IF('Operating Assumptions'!$G26="%/Rent Revenue",'Operating Assumptions'!$H26*$H41,IF('Operating Assumptions'!$G26="% of Total Revenue",'Operating Assumptions'!$H26*SUM($H41,$H50,$H57),IF('Operating Assumptions'!$G26="$/Unit/Annual",(('Operating Assumptions'!$H26*Y$24)*Y$36)/12,IF('Operating Assumptions'!$G26="$/Unit/Month",('Operating Assumptions'!$H26*Y$24)*Y$36))))))</f>
        <v>0</v>
      </c>
      <c r="Z61" s="427">
        <f>IF(OR(Z$9&lt;'Operating Assumptions'!$D$53,Z$6&gt;'Operating Assumptions'!$AA$8,'Operating Assumptions'!$G26="N/A"),0,IF('Operating Assumptions'!$G26="Fixed Amount",('Operating Assumptions'!$H26*Z$24)/12,IF('Operating Assumptions'!$G26="%/Rent Revenue",'Operating Assumptions'!$H26*$H41,IF('Operating Assumptions'!$G26="% of Total Revenue",'Operating Assumptions'!$H26*SUM($H41,$H50,$H57),IF('Operating Assumptions'!$G26="$/Unit/Annual",(('Operating Assumptions'!$H26*Z$24)*Z$36)/12,IF('Operating Assumptions'!$G26="$/Unit/Month",('Operating Assumptions'!$H26*Z$24)*Z$36))))))</f>
        <v>0</v>
      </c>
      <c r="AA61" s="427">
        <f>IF(OR(AA$9&lt;'Operating Assumptions'!$D$53,AA$6&gt;'Operating Assumptions'!$AA$8,'Operating Assumptions'!$G26="N/A"),0,IF('Operating Assumptions'!$G26="Fixed Amount",('Operating Assumptions'!$H26*AA$24)/12,IF('Operating Assumptions'!$G26="%/Rent Revenue",'Operating Assumptions'!$H26*$H41,IF('Operating Assumptions'!$G26="% of Total Revenue",'Operating Assumptions'!$H26*SUM($H41,$H50,$H57),IF('Operating Assumptions'!$G26="$/Unit/Annual",(('Operating Assumptions'!$H26*AA$24)*AA$36)/12,IF('Operating Assumptions'!$G26="$/Unit/Month",('Operating Assumptions'!$H26*AA$24)*AA$36))))))</f>
        <v>0</v>
      </c>
      <c r="AB61" s="427">
        <f>IF(OR(AB$9&lt;'Operating Assumptions'!$D$53,AB$6&gt;'Operating Assumptions'!$AA$8,'Operating Assumptions'!$G26="N/A"),0,IF('Operating Assumptions'!$G26="Fixed Amount",('Operating Assumptions'!$H26*AB$24)/12,IF('Operating Assumptions'!$G26="%/Rent Revenue",'Operating Assumptions'!$H26*$H41,IF('Operating Assumptions'!$G26="% of Total Revenue",'Operating Assumptions'!$H26*SUM($H41,$H50,$H57),IF('Operating Assumptions'!$G26="$/Unit/Annual",(('Operating Assumptions'!$H26*AB$24)*AB$36)/12,IF('Operating Assumptions'!$G26="$/Unit/Month",('Operating Assumptions'!$H26*AB$24)*AB$36))))))</f>
        <v>0</v>
      </c>
      <c r="AC61" s="427">
        <f>IF(OR(AC$9&lt;'Operating Assumptions'!$D$53,AC$6&gt;'Operating Assumptions'!$AA$8,'Operating Assumptions'!$G26="N/A"),0,IF('Operating Assumptions'!$G26="Fixed Amount",('Operating Assumptions'!$H26*AC$24)/12,IF('Operating Assumptions'!$G26="%/Rent Revenue",'Operating Assumptions'!$H26*$H41,IF('Operating Assumptions'!$G26="% of Total Revenue",'Operating Assumptions'!$H26*SUM($H41,$H50,$H57),IF('Operating Assumptions'!$G26="$/Unit/Annual",(('Operating Assumptions'!$H26*AC$24)*AC$36)/12,IF('Operating Assumptions'!$G26="$/Unit/Month",('Operating Assumptions'!$H26*AC$24)*AC$36))))))</f>
        <v>0</v>
      </c>
      <c r="AD61" s="427">
        <f>IF(OR(AD$9&lt;'Operating Assumptions'!$D$53,AD$6&gt;'Operating Assumptions'!$AA$8,'Operating Assumptions'!$G26="N/A"),0,IF('Operating Assumptions'!$G26="Fixed Amount",('Operating Assumptions'!$H26*AD$24)/12,IF('Operating Assumptions'!$G26="%/Rent Revenue",'Operating Assumptions'!$H26*$H41,IF('Operating Assumptions'!$G26="% of Total Revenue",'Operating Assumptions'!$H26*SUM($H41,$H50,$H57),IF('Operating Assumptions'!$G26="$/Unit/Annual",(('Operating Assumptions'!$H26*AD$24)*AD$36)/12,IF('Operating Assumptions'!$G26="$/Unit/Month",('Operating Assumptions'!$H26*AD$24)*AD$36))))))</f>
        <v>0</v>
      </c>
      <c r="AE61" s="427">
        <f>IF(OR(AE$9&lt;'Operating Assumptions'!$D$53,AE$6&gt;'Operating Assumptions'!$AA$8,'Operating Assumptions'!$G26="N/A"),0,IF('Operating Assumptions'!$G26="Fixed Amount",('Operating Assumptions'!$H26*AE$24)/12,IF('Operating Assumptions'!$G26="%/Rent Revenue",'Operating Assumptions'!$H26*$H41,IF('Operating Assumptions'!$G26="% of Total Revenue",'Operating Assumptions'!$H26*SUM($H41,$H50,$H57),IF('Operating Assumptions'!$G26="$/Unit/Annual",(('Operating Assumptions'!$H26*AE$24)*AE$36)/12,IF('Operating Assumptions'!$G26="$/Unit/Month",('Operating Assumptions'!$H26*AE$24)*AE$36))))))</f>
        <v>0</v>
      </c>
      <c r="AF61" s="427">
        <f>IF(OR(AF$9&lt;'Operating Assumptions'!$D$53,AF$6&gt;'Operating Assumptions'!$AA$8,'Operating Assumptions'!$G26="N/A"),0,IF('Operating Assumptions'!$G26="Fixed Amount",('Operating Assumptions'!$H26*AF$24)/12,IF('Operating Assumptions'!$G26="%/Rent Revenue",'Operating Assumptions'!$H26*$H41,IF('Operating Assumptions'!$G26="% of Total Revenue",'Operating Assumptions'!$H26*SUM($H41,$H50,$H57),IF('Operating Assumptions'!$G26="$/Unit/Annual",(('Operating Assumptions'!$H26*AF$24)*AF$36)/12,IF('Operating Assumptions'!$G26="$/Unit/Month",('Operating Assumptions'!$H26*AF$24)*AF$36))))))</f>
        <v>0</v>
      </c>
      <c r="AG61" s="427">
        <f>IF(OR(AG$9&lt;'Operating Assumptions'!$D$53,AG$6&gt;'Operating Assumptions'!$AA$8,'Operating Assumptions'!$G26="N/A"),0,IF('Operating Assumptions'!$G26="Fixed Amount",('Operating Assumptions'!$H26*AG$24)/12,IF('Operating Assumptions'!$G26="%/Rent Revenue",'Operating Assumptions'!$H26*$H41,IF('Operating Assumptions'!$G26="% of Total Revenue",'Operating Assumptions'!$H26*SUM($H41,$H50,$H57),IF('Operating Assumptions'!$G26="$/Unit/Annual",(('Operating Assumptions'!$H26*AG$24)*AG$36)/12,IF('Operating Assumptions'!$G26="$/Unit/Month",('Operating Assumptions'!$H26*AG$24)*AG$36))))))</f>
        <v>0</v>
      </c>
      <c r="AH61" s="427">
        <f>IF(OR(AH$9&lt;'Operating Assumptions'!$D$53,AH$6&gt;'Operating Assumptions'!$AA$8,'Operating Assumptions'!$G26="N/A"),0,IF('Operating Assumptions'!$G26="Fixed Amount",('Operating Assumptions'!$H26*AH$24)/12,IF('Operating Assumptions'!$G26="%/Rent Revenue",'Operating Assumptions'!$H26*$H41,IF('Operating Assumptions'!$G26="% of Total Revenue",'Operating Assumptions'!$H26*SUM($H41,$H50,$H57),IF('Operating Assumptions'!$G26="$/Unit/Annual",(('Operating Assumptions'!$H26*AH$24)*AH$36)/12,IF('Operating Assumptions'!$G26="$/Unit/Month",('Operating Assumptions'!$H26*AH$24)*AH$36))))))</f>
        <v>0</v>
      </c>
      <c r="AI61" s="427">
        <f>IF(OR(AI$9&lt;'Operating Assumptions'!$D$53,AI$6&gt;'Operating Assumptions'!$AA$8,'Operating Assumptions'!$G26="N/A"),0,IF('Operating Assumptions'!$G26="Fixed Amount",('Operating Assumptions'!$H26*AI$24)/12,IF('Operating Assumptions'!$G26="%/Rent Revenue",'Operating Assumptions'!$H26*$H41,IF('Operating Assumptions'!$G26="% of Total Revenue",'Operating Assumptions'!$H26*SUM($H41,$H50,$H57),IF('Operating Assumptions'!$G26="$/Unit/Annual",(('Operating Assumptions'!$H26*AI$24)*AI$36)/12,IF('Operating Assumptions'!$G26="$/Unit/Month",('Operating Assumptions'!$H26*AI$24)*AI$36))))))</f>
        <v>0</v>
      </c>
      <c r="AJ61" s="427">
        <f>IF(OR(AJ$9&lt;'Operating Assumptions'!$D$53,AJ$6&gt;'Operating Assumptions'!$AA$8,'Operating Assumptions'!$G26="N/A"),0,IF('Operating Assumptions'!$G26="Fixed Amount",('Operating Assumptions'!$H26*AJ$24)/12,IF('Operating Assumptions'!$G26="%/Rent Revenue",'Operating Assumptions'!$H26*$H41,IF('Operating Assumptions'!$G26="% of Total Revenue",'Operating Assumptions'!$H26*SUM($H41,$H50,$H57),IF('Operating Assumptions'!$G26="$/Unit/Annual",(('Operating Assumptions'!$H26*AJ$24)*AJ$36)/12,IF('Operating Assumptions'!$G26="$/Unit/Month",('Operating Assumptions'!$H26*AJ$24)*AJ$36))))))</f>
        <v>0</v>
      </c>
      <c r="AK61" s="427">
        <f>IF(OR(AK$9&lt;'Operating Assumptions'!$D$53,AK$6&gt;'Operating Assumptions'!$AA$8,'Operating Assumptions'!$G26="N/A"),0,IF('Operating Assumptions'!$G26="Fixed Amount",('Operating Assumptions'!$H26*AK$24)/12,IF('Operating Assumptions'!$G26="%/Rent Revenue",'Operating Assumptions'!$H26*$H41,IF('Operating Assumptions'!$G26="% of Total Revenue",'Operating Assumptions'!$H26*SUM($H41,$H50,$H57),IF('Operating Assumptions'!$G26="$/Unit/Annual",(('Operating Assumptions'!$H26*AK$24)*AK$36)/12,IF('Operating Assumptions'!$G26="$/Unit/Month",('Operating Assumptions'!$H26*AK$24)*AK$36))))))</f>
        <v>0</v>
      </c>
      <c r="AL61" s="427">
        <f>IF(OR(AL$9&lt;'Operating Assumptions'!$D$53,AL$6&gt;'Operating Assumptions'!$AA$8,'Operating Assumptions'!$G26="N/A"),0,IF('Operating Assumptions'!$G26="Fixed Amount",('Operating Assumptions'!$H26*AL$24)/12,IF('Operating Assumptions'!$G26="%/Rent Revenue",'Operating Assumptions'!$H26*$H41,IF('Operating Assumptions'!$G26="% of Total Revenue",'Operating Assumptions'!$H26*SUM($H41,$H50,$H57),IF('Operating Assumptions'!$G26="$/Unit/Annual",(('Operating Assumptions'!$H26*AL$24)*AL$36)/12,IF('Operating Assumptions'!$G26="$/Unit/Month",('Operating Assumptions'!$H26*AL$24)*AL$36))))))</f>
        <v>0</v>
      </c>
      <c r="AM61" s="427">
        <f>IF(OR(AM$9&lt;'Operating Assumptions'!$D$53,AM$6&gt;'Operating Assumptions'!$AA$8,'Operating Assumptions'!$G26="N/A"),0,IF('Operating Assumptions'!$G26="Fixed Amount",('Operating Assumptions'!$H26*AM$24)/12,IF('Operating Assumptions'!$G26="%/Rent Revenue",'Operating Assumptions'!$H26*$H41,IF('Operating Assumptions'!$G26="% of Total Revenue",'Operating Assumptions'!$H26*SUM($H41,$H50,$H57),IF('Operating Assumptions'!$G26="$/Unit/Annual",(('Operating Assumptions'!$H26*AM$24)*AM$36)/12,IF('Operating Assumptions'!$G26="$/Unit/Month",('Operating Assumptions'!$H26*AM$24)*AM$36))))))</f>
        <v>0</v>
      </c>
      <c r="AN61" s="427">
        <f>IF(OR(AN$9&lt;'Operating Assumptions'!$D$53,AN$6&gt;'Operating Assumptions'!$AA$8,'Operating Assumptions'!$G26="N/A"),0,IF('Operating Assumptions'!$G26="Fixed Amount",('Operating Assumptions'!$H26*AN$24)/12,IF('Operating Assumptions'!$G26="%/Rent Revenue",'Operating Assumptions'!$H26*$H41,IF('Operating Assumptions'!$G26="% of Total Revenue",'Operating Assumptions'!$H26*SUM($H41,$H50,$H57),IF('Operating Assumptions'!$G26="$/Unit/Annual",(('Operating Assumptions'!$H26*AN$24)*AN$36)/12,IF('Operating Assumptions'!$G26="$/Unit/Month",('Operating Assumptions'!$H26*AN$24)*AN$36))))))</f>
        <v>0</v>
      </c>
      <c r="AO61" s="427">
        <f>IF(OR(AO$9&lt;'Operating Assumptions'!$D$53,AO$6&gt;'Operating Assumptions'!$AA$8,'Operating Assumptions'!$G26="N/A"),0,IF('Operating Assumptions'!$G26="Fixed Amount",('Operating Assumptions'!$H26*AO$24)/12,IF('Operating Assumptions'!$G26="%/Rent Revenue",'Operating Assumptions'!$H26*$H41,IF('Operating Assumptions'!$G26="% of Total Revenue",'Operating Assumptions'!$H26*SUM($H41,$H50,$H57),IF('Operating Assumptions'!$G26="$/Unit/Annual",(('Operating Assumptions'!$H26*AO$24)*AO$36)/12,IF('Operating Assumptions'!$G26="$/Unit/Month",('Operating Assumptions'!$H26*AO$24)*AO$36))))))</f>
        <v>0</v>
      </c>
      <c r="AP61" s="427">
        <f>IF(OR(AP$9&lt;'Operating Assumptions'!$D$53,AP$6&gt;'Operating Assumptions'!$AA$8,'Operating Assumptions'!$G26="N/A"),0,IF('Operating Assumptions'!$G26="Fixed Amount",('Operating Assumptions'!$H26*AP$24)/12,IF('Operating Assumptions'!$G26="%/Rent Revenue",'Operating Assumptions'!$H26*$H41,IF('Operating Assumptions'!$G26="% of Total Revenue",'Operating Assumptions'!$H26*SUM($H41,$H50,$H57),IF('Operating Assumptions'!$G26="$/Unit/Annual",(('Operating Assumptions'!$H26*AP$24)*AP$36)/12,IF('Operating Assumptions'!$G26="$/Unit/Month",('Operating Assumptions'!$H26*AP$24)*AP$36))))))</f>
        <v>0</v>
      </c>
      <c r="AQ61" s="427">
        <f>IF(OR(AQ$9&lt;'Operating Assumptions'!$D$53,AQ$6&gt;'Operating Assumptions'!$AA$8,'Operating Assumptions'!$G26="N/A"),0,IF('Operating Assumptions'!$G26="Fixed Amount",('Operating Assumptions'!$H26*AQ$24)/12,IF('Operating Assumptions'!$G26="%/Rent Revenue",'Operating Assumptions'!$H26*$H41,IF('Operating Assumptions'!$G26="% of Total Revenue",'Operating Assumptions'!$H26*SUM($H41,$H50,$H57),IF('Operating Assumptions'!$G26="$/Unit/Annual",(('Operating Assumptions'!$H26*AQ$24)*AQ$36)/12,IF('Operating Assumptions'!$G26="$/Unit/Month",('Operating Assumptions'!$H26*AQ$24)*AQ$36))))))</f>
        <v>0</v>
      </c>
      <c r="AR61" s="427">
        <f>IF(OR(AR$9&lt;'Operating Assumptions'!$D$53,AR$6&gt;'Operating Assumptions'!$AA$8,'Operating Assumptions'!$G26="N/A"),0,IF('Operating Assumptions'!$G26="Fixed Amount",('Operating Assumptions'!$H26*AR$24)/12,IF('Operating Assumptions'!$G26="%/Rent Revenue",'Operating Assumptions'!$H26*$H41,IF('Operating Assumptions'!$G26="% of Total Revenue",'Operating Assumptions'!$H26*SUM($H41,$H50,$H57),IF('Operating Assumptions'!$G26="$/Unit/Annual",(('Operating Assumptions'!$H26*AR$24)*AR$36)/12,IF('Operating Assumptions'!$G26="$/Unit/Month",('Operating Assumptions'!$H26*AR$24)*AR$36))))))</f>
        <v>0</v>
      </c>
      <c r="AS61" s="427">
        <f>IF(OR(AS$9&lt;'Operating Assumptions'!$D$53,AS$6&gt;'Operating Assumptions'!$AA$8,'Operating Assumptions'!$G26="N/A"),0,IF('Operating Assumptions'!$G26="Fixed Amount",('Operating Assumptions'!$H26*AS$24)/12,IF('Operating Assumptions'!$G26="%/Rent Revenue",'Operating Assumptions'!$H26*$H41,IF('Operating Assumptions'!$G26="% of Total Revenue",'Operating Assumptions'!$H26*SUM($H41,$H50,$H57),IF('Operating Assumptions'!$G26="$/Unit/Annual",(('Operating Assumptions'!$H26*AS$24)*AS$36)/12,IF('Operating Assumptions'!$G26="$/Unit/Month",('Operating Assumptions'!$H26*AS$24)*AS$36))))))</f>
        <v>0</v>
      </c>
      <c r="AT61" s="427">
        <f>IF(OR(AT$9&lt;'Operating Assumptions'!$D$53,AT$6&gt;'Operating Assumptions'!$AA$8,'Operating Assumptions'!$G26="N/A"),0,IF('Operating Assumptions'!$G26="Fixed Amount",('Operating Assumptions'!$H26*AT$24)/12,IF('Operating Assumptions'!$G26="%/Rent Revenue",'Operating Assumptions'!$H26*$H41,IF('Operating Assumptions'!$G26="% of Total Revenue",'Operating Assumptions'!$H26*SUM($H41,$H50,$H57),IF('Operating Assumptions'!$G26="$/Unit/Annual",(('Operating Assumptions'!$H26*AT$24)*AT$36)/12,IF('Operating Assumptions'!$G26="$/Unit/Month",('Operating Assumptions'!$H26*AT$24)*AT$36))))))</f>
        <v>0</v>
      </c>
      <c r="AU61" s="427">
        <f>IF(OR(AU$9&lt;'Operating Assumptions'!$D$53,AU$6&gt;'Operating Assumptions'!$AA$8,'Operating Assumptions'!$G26="N/A"),0,IF('Operating Assumptions'!$G26="Fixed Amount",('Operating Assumptions'!$H26*AU$24)/12,IF('Operating Assumptions'!$G26="%/Rent Revenue",'Operating Assumptions'!$H26*$H41,IF('Operating Assumptions'!$G26="% of Total Revenue",'Operating Assumptions'!$H26*SUM($H41,$H50,$H57),IF('Operating Assumptions'!$G26="$/Unit/Annual",(('Operating Assumptions'!$H26*AU$24)*AU$36)/12,IF('Operating Assumptions'!$G26="$/Unit/Month",('Operating Assumptions'!$H26*AU$24)*AU$36))))))</f>
        <v>0</v>
      </c>
      <c r="AV61" s="427">
        <f>IF(OR(AV$9&lt;'Operating Assumptions'!$D$53,AV$6&gt;'Operating Assumptions'!$AA$8,'Operating Assumptions'!$G26="N/A"),0,IF('Operating Assumptions'!$G26="Fixed Amount",('Operating Assumptions'!$H26*AV$24)/12,IF('Operating Assumptions'!$G26="%/Rent Revenue",'Operating Assumptions'!$H26*$H41,IF('Operating Assumptions'!$G26="% of Total Revenue",'Operating Assumptions'!$H26*SUM($H41,$H50,$H57),IF('Operating Assumptions'!$G26="$/Unit/Annual",(('Operating Assumptions'!$H26*AV$24)*AV$36)/12,IF('Operating Assumptions'!$G26="$/Unit/Month",('Operating Assumptions'!$H26*AV$24)*AV$36))))))</f>
        <v>0</v>
      </c>
      <c r="AW61" s="427">
        <f>IF(OR(AW$9&lt;'Operating Assumptions'!$D$53,AW$6&gt;'Operating Assumptions'!$AA$8,'Operating Assumptions'!$G26="N/A"),0,IF('Operating Assumptions'!$G26="Fixed Amount",('Operating Assumptions'!$H26*AW$24)/12,IF('Operating Assumptions'!$G26="%/Rent Revenue",'Operating Assumptions'!$H26*$H41,IF('Operating Assumptions'!$G26="% of Total Revenue",'Operating Assumptions'!$H26*SUM($H41,$H50,$H57),IF('Operating Assumptions'!$G26="$/Unit/Annual",(('Operating Assumptions'!$H26*AW$24)*AW$36)/12,IF('Operating Assumptions'!$G26="$/Unit/Month",('Operating Assumptions'!$H26*AW$24)*AW$36))))))</f>
        <v>0</v>
      </c>
      <c r="AX61" s="427">
        <f>IF(OR(AX$9&lt;'Operating Assumptions'!$D$53,AX$6&gt;'Operating Assumptions'!$AA$8,'Operating Assumptions'!$G26="N/A"),0,IF('Operating Assumptions'!$G26="Fixed Amount",('Operating Assumptions'!$H26*AX$24)/12,IF('Operating Assumptions'!$G26="%/Rent Revenue",'Operating Assumptions'!$H26*$H41,IF('Operating Assumptions'!$G26="% of Total Revenue",'Operating Assumptions'!$H26*SUM($H41,$H50,$H57),IF('Operating Assumptions'!$G26="$/Unit/Annual",(('Operating Assumptions'!$H26*AX$24)*AX$36)/12,IF('Operating Assumptions'!$G26="$/Unit/Month",('Operating Assumptions'!$H26*AX$24)*AX$36))))))</f>
        <v>0</v>
      </c>
      <c r="AY61" s="427">
        <f>IF(OR(AY$9&lt;'Operating Assumptions'!$D$53,AY$6&gt;'Operating Assumptions'!$AA$8,'Operating Assumptions'!$G26="N/A"),0,IF('Operating Assumptions'!$G26="Fixed Amount",('Operating Assumptions'!$H26*AY$24)/12,IF('Operating Assumptions'!$G26="%/Rent Revenue",'Operating Assumptions'!$H26*$H41,IF('Operating Assumptions'!$G26="% of Total Revenue",'Operating Assumptions'!$H26*SUM($H41,$H50,$H57),IF('Operating Assumptions'!$G26="$/Unit/Annual",(('Operating Assumptions'!$H26*AY$24)*AY$36)/12,IF('Operating Assumptions'!$G26="$/Unit/Month",('Operating Assumptions'!$H26*AY$24)*AY$36))))))</f>
        <v>0</v>
      </c>
      <c r="AZ61" s="427">
        <f>IF(OR(AZ$9&lt;'Operating Assumptions'!$D$53,AZ$6&gt;'Operating Assumptions'!$AA$8,'Operating Assumptions'!$G26="N/A"),0,IF('Operating Assumptions'!$G26="Fixed Amount",('Operating Assumptions'!$H26*AZ$24)/12,IF('Operating Assumptions'!$G26="%/Rent Revenue",'Operating Assumptions'!$H26*$H41,IF('Operating Assumptions'!$G26="% of Total Revenue",'Operating Assumptions'!$H26*SUM($H41,$H50,$H57),IF('Operating Assumptions'!$G26="$/Unit/Annual",(('Operating Assumptions'!$H26*AZ$24)*AZ$36)/12,IF('Operating Assumptions'!$G26="$/Unit/Month",('Operating Assumptions'!$H26*AZ$24)*AZ$36))))))</f>
        <v>0</v>
      </c>
      <c r="BA61" s="427">
        <f>IF(OR(BA$9&lt;'Operating Assumptions'!$D$53,BA$6&gt;'Operating Assumptions'!$AA$8,'Operating Assumptions'!$G26="N/A"),0,IF('Operating Assumptions'!$G26="Fixed Amount",('Operating Assumptions'!$H26*BA$24)/12,IF('Operating Assumptions'!$G26="%/Rent Revenue",'Operating Assumptions'!$H26*$H41,IF('Operating Assumptions'!$G26="% of Total Revenue",'Operating Assumptions'!$H26*SUM($H41,$H50,$H57),IF('Operating Assumptions'!$G26="$/Unit/Annual",(('Operating Assumptions'!$H26*BA$24)*BA$36)/12,IF('Operating Assumptions'!$G26="$/Unit/Month",('Operating Assumptions'!$H26*BA$24)*BA$36))))))</f>
        <v>0</v>
      </c>
      <c r="BB61" s="427">
        <f>IF(OR(BB$9&lt;'Operating Assumptions'!$D$53,BB$6&gt;'Operating Assumptions'!$AA$8,'Operating Assumptions'!$G26="N/A"),0,IF('Operating Assumptions'!$G26="Fixed Amount",('Operating Assumptions'!$H26*BB$24)/12,IF('Operating Assumptions'!$G26="%/Rent Revenue",'Operating Assumptions'!$H26*$H41,IF('Operating Assumptions'!$G26="% of Total Revenue",'Operating Assumptions'!$H26*SUM($H41,$H50,$H57),IF('Operating Assumptions'!$G26="$/Unit/Annual",(('Operating Assumptions'!$H26*BB$24)*BB$36)/12,IF('Operating Assumptions'!$G26="$/Unit/Month",('Operating Assumptions'!$H26*BB$24)*BB$36))))))</f>
        <v>0</v>
      </c>
      <c r="BC61" s="427">
        <f>IF(OR(BC$9&lt;'Operating Assumptions'!$D$53,BC$6&gt;'Operating Assumptions'!$AA$8,'Operating Assumptions'!$G26="N/A"),0,IF('Operating Assumptions'!$G26="Fixed Amount",('Operating Assumptions'!$H26*BC$24)/12,IF('Operating Assumptions'!$G26="%/Rent Revenue",'Operating Assumptions'!$H26*$H41,IF('Operating Assumptions'!$G26="% of Total Revenue",'Operating Assumptions'!$H26*SUM($H41,$H50,$H57),IF('Operating Assumptions'!$G26="$/Unit/Annual",(('Operating Assumptions'!$H26*BC$24)*BC$36)/12,IF('Operating Assumptions'!$G26="$/Unit/Month",('Operating Assumptions'!$H26*BC$24)*BC$36))))))</f>
        <v>0</v>
      </c>
      <c r="BD61" s="427">
        <f>IF(OR(BD$9&lt;'Operating Assumptions'!$D$53,BD$6&gt;'Operating Assumptions'!$AA$8,'Operating Assumptions'!$G26="N/A"),0,IF('Operating Assumptions'!$G26="Fixed Amount",('Operating Assumptions'!$H26*BD$24)/12,IF('Operating Assumptions'!$G26="%/Rent Revenue",'Operating Assumptions'!$H26*$H41,IF('Operating Assumptions'!$G26="% of Total Revenue",'Operating Assumptions'!$H26*SUM($H41,$H50,$H57),IF('Operating Assumptions'!$G26="$/Unit/Annual",(('Operating Assumptions'!$H26*BD$24)*BD$36)/12,IF('Operating Assumptions'!$G26="$/Unit/Month",('Operating Assumptions'!$H26*BD$24)*BD$36))))))</f>
        <v>0</v>
      </c>
      <c r="BE61" s="427">
        <f>IF(OR(BE$9&lt;'Operating Assumptions'!$D$53,BE$6&gt;'Operating Assumptions'!$AA$8,'Operating Assumptions'!$G26="N/A"),0,IF('Operating Assumptions'!$G26="Fixed Amount",('Operating Assumptions'!$H26*BE$24)/12,IF('Operating Assumptions'!$G26="%/Rent Revenue",'Operating Assumptions'!$H26*$H41,IF('Operating Assumptions'!$G26="% of Total Revenue",'Operating Assumptions'!$H26*SUM($H41,$H50,$H57),IF('Operating Assumptions'!$G26="$/Unit/Annual",(('Operating Assumptions'!$H26*BE$24)*BE$36)/12,IF('Operating Assumptions'!$G26="$/Unit/Month",('Operating Assumptions'!$H26*BE$24)*BE$36))))))</f>
        <v>0</v>
      </c>
      <c r="BF61" s="427">
        <f>IF(OR(BF$9&lt;'Operating Assumptions'!$D$53,BF$6&gt;'Operating Assumptions'!$AA$8,'Operating Assumptions'!$G26="N/A"),0,IF('Operating Assumptions'!$G26="Fixed Amount",('Operating Assumptions'!$H26*BF$24)/12,IF('Operating Assumptions'!$G26="%/Rent Revenue",'Operating Assumptions'!$H26*$H41,IF('Operating Assumptions'!$G26="% of Total Revenue",'Operating Assumptions'!$H26*SUM($H41,$H50,$H57),IF('Operating Assumptions'!$G26="$/Unit/Annual",(('Operating Assumptions'!$H26*BF$24)*BF$36)/12,IF('Operating Assumptions'!$G26="$/Unit/Month",('Operating Assumptions'!$H26*BF$24)*BF$36))))))</f>
        <v>0</v>
      </c>
      <c r="BG61" s="427">
        <f>IF(OR(BG$9&lt;'Operating Assumptions'!$D$53,BG$6&gt;'Operating Assumptions'!$AA$8,'Operating Assumptions'!$G26="N/A"),0,IF('Operating Assumptions'!$G26="Fixed Amount",('Operating Assumptions'!$H26*BG$24)/12,IF('Operating Assumptions'!$G26="%/Rent Revenue",'Operating Assumptions'!$H26*$H41,IF('Operating Assumptions'!$G26="% of Total Revenue",'Operating Assumptions'!$H26*SUM($H41,$H50,$H57),IF('Operating Assumptions'!$G26="$/Unit/Annual",(('Operating Assumptions'!$H26*BG$24)*BG$36)/12,IF('Operating Assumptions'!$G26="$/Unit/Month",('Operating Assumptions'!$H26*BG$24)*BG$36))))))</f>
        <v>0</v>
      </c>
      <c r="BH61" s="427">
        <f>IF(OR(BH$9&lt;'Operating Assumptions'!$D$53,BH$6&gt;'Operating Assumptions'!$AA$8,'Operating Assumptions'!$G26="N/A"),0,IF('Operating Assumptions'!$G26="Fixed Amount",('Operating Assumptions'!$H26*BH$24)/12,IF('Operating Assumptions'!$G26="%/Rent Revenue",'Operating Assumptions'!$H26*$H41,IF('Operating Assumptions'!$G26="% of Total Revenue",'Operating Assumptions'!$H26*SUM($H41,$H50,$H57),IF('Operating Assumptions'!$G26="$/Unit/Annual",(('Operating Assumptions'!$H26*BH$24)*BH$36)/12,IF('Operating Assumptions'!$G26="$/Unit/Month",('Operating Assumptions'!$H26*BH$24)*BH$36))))))</f>
        <v>0</v>
      </c>
      <c r="BI61" s="427">
        <f>IF(OR(BI$9&lt;'Operating Assumptions'!$D$53,BI$6&gt;'Operating Assumptions'!$AA$8,'Operating Assumptions'!$G26="N/A"),0,IF('Operating Assumptions'!$G26="Fixed Amount",('Operating Assumptions'!$H26*BI$24)/12,IF('Operating Assumptions'!$G26="%/Rent Revenue",'Operating Assumptions'!$H26*$H41,IF('Operating Assumptions'!$G26="% of Total Revenue",'Operating Assumptions'!$H26*SUM($H41,$H50,$H57),IF('Operating Assumptions'!$G26="$/Unit/Annual",(('Operating Assumptions'!$H26*BI$24)*BI$36)/12,IF('Operating Assumptions'!$G26="$/Unit/Month",('Operating Assumptions'!$H26*BI$24)*BI$36))))))</f>
        <v>0</v>
      </c>
      <c r="BJ61" s="427">
        <f>IF(OR(BJ$9&lt;'Operating Assumptions'!$D$53,BJ$6&gt;'Operating Assumptions'!$AA$8,'Operating Assumptions'!$G26="N/A"),0,IF('Operating Assumptions'!$G26="Fixed Amount",('Operating Assumptions'!$H26*BJ$24)/12,IF('Operating Assumptions'!$G26="%/Rent Revenue",'Operating Assumptions'!$H26*$H41,IF('Operating Assumptions'!$G26="% of Total Revenue",'Operating Assumptions'!$H26*SUM($H41,$H50,$H57),IF('Operating Assumptions'!$G26="$/Unit/Annual",(('Operating Assumptions'!$H26*BJ$24)*BJ$36)/12,IF('Operating Assumptions'!$G26="$/Unit/Month",('Operating Assumptions'!$H26*BJ$24)*BJ$36))))))</f>
        <v>0</v>
      </c>
      <c r="BK61" s="427">
        <f>IF(OR(BK$9&lt;'Operating Assumptions'!$D$53,BK$6&gt;'Operating Assumptions'!$AA$8,'Operating Assumptions'!$G26="N/A"),0,IF('Operating Assumptions'!$G26="Fixed Amount",('Operating Assumptions'!$H26*BK$24)/12,IF('Operating Assumptions'!$G26="%/Rent Revenue",'Operating Assumptions'!$H26*$H41,IF('Operating Assumptions'!$G26="% of Total Revenue",'Operating Assumptions'!$H26*SUM($H41,$H50,$H57),IF('Operating Assumptions'!$G26="$/Unit/Annual",(('Operating Assumptions'!$H26*BK$24)*BK$36)/12,IF('Operating Assumptions'!$G26="$/Unit/Month",('Operating Assumptions'!$H26*BK$24)*BK$36))))))</f>
        <v>0</v>
      </c>
      <c r="BL61" s="427">
        <f>IF(OR(BL$9&lt;'Operating Assumptions'!$D$53,BL$6&gt;'Operating Assumptions'!$AA$8,'Operating Assumptions'!$G26="N/A"),0,IF('Operating Assumptions'!$G26="Fixed Amount",('Operating Assumptions'!$H26*BL$24)/12,IF('Operating Assumptions'!$G26="%/Rent Revenue",'Operating Assumptions'!$H26*$H41,IF('Operating Assumptions'!$G26="% of Total Revenue",'Operating Assumptions'!$H26*SUM($H41,$H50,$H57),IF('Operating Assumptions'!$G26="$/Unit/Annual",(('Operating Assumptions'!$H26*BL$24)*BL$36)/12,IF('Operating Assumptions'!$G26="$/Unit/Month",('Operating Assumptions'!$H26*BL$24)*BL$36))))))</f>
        <v>0</v>
      </c>
      <c r="BM61" s="427">
        <f>IF(OR(BM$9&lt;'Operating Assumptions'!$D$53,BM$6&gt;'Operating Assumptions'!$AA$8,'Operating Assumptions'!$G26="N/A"),0,IF('Operating Assumptions'!$G26="Fixed Amount",('Operating Assumptions'!$H26*BM$24)/12,IF('Operating Assumptions'!$G26="%/Rent Revenue",'Operating Assumptions'!$H26*$H41,IF('Operating Assumptions'!$G26="% of Total Revenue",'Operating Assumptions'!$H26*SUM($H41,$H50,$H57),IF('Operating Assumptions'!$G26="$/Unit/Annual",(('Operating Assumptions'!$H26*BM$24)*BM$36)/12,IF('Operating Assumptions'!$G26="$/Unit/Month",('Operating Assumptions'!$H26*BM$24)*BM$36))))))</f>
        <v>0</v>
      </c>
      <c r="BN61" s="427">
        <f>IF(OR(BN$9&lt;'Operating Assumptions'!$D$53,BN$6&gt;'Operating Assumptions'!$AA$8,'Operating Assumptions'!$G26="N/A"),0,IF('Operating Assumptions'!$G26="Fixed Amount",('Operating Assumptions'!$H26*BN$24)/12,IF('Operating Assumptions'!$G26="%/Rent Revenue",'Operating Assumptions'!$H26*$H41,IF('Operating Assumptions'!$G26="% of Total Revenue",'Operating Assumptions'!$H26*SUM($H41,$H50,$H57),IF('Operating Assumptions'!$G26="$/Unit/Annual",(('Operating Assumptions'!$H26*BN$24)*BN$36)/12,IF('Operating Assumptions'!$G26="$/Unit/Month",('Operating Assumptions'!$H26*BN$24)*BN$36))))))</f>
        <v>0</v>
      </c>
      <c r="BO61" s="427">
        <f>IF(OR(BO$9&lt;'Operating Assumptions'!$D$53,BO$6&gt;'Operating Assumptions'!$AA$8,'Operating Assumptions'!$G26="N/A"),0,IF('Operating Assumptions'!$G26="Fixed Amount",('Operating Assumptions'!$H26*BO$24)/12,IF('Operating Assumptions'!$G26="%/Rent Revenue",'Operating Assumptions'!$H26*$H41,IF('Operating Assumptions'!$G26="% of Total Revenue",'Operating Assumptions'!$H26*SUM($H41,$H50,$H57),IF('Operating Assumptions'!$G26="$/Unit/Annual",(('Operating Assumptions'!$H26*BO$24)*BO$36)/12,IF('Operating Assumptions'!$G26="$/Unit/Month",('Operating Assumptions'!$H26*BO$24)*BO$36))))))</f>
        <v>0</v>
      </c>
      <c r="BP61" s="427">
        <f>IF(OR(BP$9&lt;'Operating Assumptions'!$D$53,BP$6&gt;'Operating Assumptions'!$AA$8,'Operating Assumptions'!$G26="N/A"),0,IF('Operating Assumptions'!$G26="Fixed Amount",('Operating Assumptions'!$H26*BP$24)/12,IF('Operating Assumptions'!$G26="%/Rent Revenue",'Operating Assumptions'!$H26*$H41,IF('Operating Assumptions'!$G26="% of Total Revenue",'Operating Assumptions'!$H26*SUM($H41,$H50,$H57),IF('Operating Assumptions'!$G26="$/Unit/Annual",(('Operating Assumptions'!$H26*BP$24)*BP$36)/12,IF('Operating Assumptions'!$G26="$/Unit/Month",('Operating Assumptions'!$H26*BP$24)*BP$36))))))</f>
        <v>0</v>
      </c>
      <c r="BQ61" s="427">
        <f>IF(OR(BQ$9&lt;'Operating Assumptions'!$D$53,BQ$6&gt;'Operating Assumptions'!$AA$8,'Operating Assumptions'!$G26="N/A"),0,IF('Operating Assumptions'!$G26="Fixed Amount",('Operating Assumptions'!$H26*BQ$24)/12,IF('Operating Assumptions'!$G26="%/Rent Revenue",'Operating Assumptions'!$H26*$H41,IF('Operating Assumptions'!$G26="% of Total Revenue",'Operating Assumptions'!$H26*SUM($H41,$H50,$H57),IF('Operating Assumptions'!$G26="$/Unit/Annual",(('Operating Assumptions'!$H26*BQ$24)*BQ$36)/12,IF('Operating Assumptions'!$G26="$/Unit/Month",('Operating Assumptions'!$H26*BQ$24)*BQ$36))))))</f>
        <v>0</v>
      </c>
      <c r="BR61" s="427">
        <f>IF(OR(BR$9&lt;'Operating Assumptions'!$D$53,BR$6&gt;'Operating Assumptions'!$AA$8,'Operating Assumptions'!$G26="N/A"),0,IF('Operating Assumptions'!$G26="Fixed Amount",('Operating Assumptions'!$H26*BR$24)/12,IF('Operating Assumptions'!$G26="%/Rent Revenue",'Operating Assumptions'!$H26*$H41,IF('Operating Assumptions'!$G26="% of Total Revenue",'Operating Assumptions'!$H26*SUM($H41,$H50,$H57),IF('Operating Assumptions'!$G26="$/Unit/Annual",(('Operating Assumptions'!$H26*BR$24)*BR$36)/12,IF('Operating Assumptions'!$G26="$/Unit/Month",('Operating Assumptions'!$H26*BR$24)*BR$36))))))</f>
        <v>0</v>
      </c>
      <c r="BS61" s="427">
        <f>IF(OR(BS$9&lt;'Operating Assumptions'!$D$53,BS$6&gt;'Operating Assumptions'!$AA$8,'Operating Assumptions'!$G26="N/A"),0,IF('Operating Assumptions'!$G26="Fixed Amount",('Operating Assumptions'!$H26*BS$24)/12,IF('Operating Assumptions'!$G26="%/Rent Revenue",'Operating Assumptions'!$H26*$H41,IF('Operating Assumptions'!$G26="% of Total Revenue",'Operating Assumptions'!$H26*SUM($H41,$H50,$H57),IF('Operating Assumptions'!$G26="$/Unit/Annual",(('Operating Assumptions'!$H26*BS$24)*BS$36)/12,IF('Operating Assumptions'!$G26="$/Unit/Month",('Operating Assumptions'!$H26*BS$24)*BS$36))))))</f>
        <v>0</v>
      </c>
      <c r="BT61" s="427">
        <f>IF(OR(BT$9&lt;'Operating Assumptions'!$D$53,BT$6&gt;'Operating Assumptions'!$AA$8,'Operating Assumptions'!$G26="N/A"),0,IF('Operating Assumptions'!$G26="Fixed Amount",('Operating Assumptions'!$H26*BT$24)/12,IF('Operating Assumptions'!$G26="%/Rent Revenue",'Operating Assumptions'!$H26*$H41,IF('Operating Assumptions'!$G26="% of Total Revenue",'Operating Assumptions'!$H26*SUM($H41,$H50,$H57),IF('Operating Assumptions'!$G26="$/Unit/Annual",(('Operating Assumptions'!$H26*BT$24)*BT$36)/12,IF('Operating Assumptions'!$G26="$/Unit/Month",('Operating Assumptions'!$H26*BT$24)*BT$36))))))</f>
        <v>0</v>
      </c>
      <c r="BU61" s="427">
        <f>IF(OR(BU$9&lt;'Operating Assumptions'!$D$53,BU$6&gt;'Operating Assumptions'!$AA$8,'Operating Assumptions'!$G26="N/A"),0,IF('Operating Assumptions'!$G26="Fixed Amount",('Operating Assumptions'!$H26*BU$24)/12,IF('Operating Assumptions'!$G26="%/Rent Revenue",'Operating Assumptions'!$H26*$H41,IF('Operating Assumptions'!$G26="% of Total Revenue",'Operating Assumptions'!$H26*SUM($H41,$H50,$H57),IF('Operating Assumptions'!$G26="$/Unit/Annual",(('Operating Assumptions'!$H26*BU$24)*BU$36)/12,IF('Operating Assumptions'!$G26="$/Unit/Month",('Operating Assumptions'!$H26*BU$24)*BU$36))))))</f>
        <v>0</v>
      </c>
      <c r="BV61" s="427">
        <f>IF(OR(BV$9&lt;'Operating Assumptions'!$D$53,BV$6&gt;'Operating Assumptions'!$AA$8,'Operating Assumptions'!$G26="N/A"),0,IF('Operating Assumptions'!$G26="Fixed Amount",('Operating Assumptions'!$H26*BV$24)/12,IF('Operating Assumptions'!$G26="%/Rent Revenue",'Operating Assumptions'!$H26*$H41,IF('Operating Assumptions'!$G26="% of Total Revenue",'Operating Assumptions'!$H26*SUM($H41,$H50,$H57),IF('Operating Assumptions'!$G26="$/Unit/Annual",(('Operating Assumptions'!$H26*BV$24)*BV$36)/12,IF('Operating Assumptions'!$G26="$/Unit/Month",('Operating Assumptions'!$H26*BV$24)*BV$36))))))</f>
        <v>0</v>
      </c>
      <c r="BW61" s="427">
        <f>IF(OR(BW$9&lt;'Operating Assumptions'!$D$53,BW$6&gt;'Operating Assumptions'!$AA$8,'Operating Assumptions'!$G26="N/A"),0,IF('Operating Assumptions'!$G26="Fixed Amount",('Operating Assumptions'!$H26*BW$24)/12,IF('Operating Assumptions'!$G26="%/Rent Revenue",'Operating Assumptions'!$H26*$H41,IF('Operating Assumptions'!$G26="% of Total Revenue",'Operating Assumptions'!$H26*SUM($H41,$H50,$H57),IF('Operating Assumptions'!$G26="$/Unit/Annual",(('Operating Assumptions'!$H26*BW$24)*BW$36)/12,IF('Operating Assumptions'!$G26="$/Unit/Month",('Operating Assumptions'!$H26*BW$24)*BW$36))))))</f>
        <v>0</v>
      </c>
      <c r="BX61" s="427">
        <f>IF(OR(BX$9&lt;'Operating Assumptions'!$D$53,BX$6&gt;'Operating Assumptions'!$AA$8,'Operating Assumptions'!$G26="N/A"),0,IF('Operating Assumptions'!$G26="Fixed Amount",('Operating Assumptions'!$H26*BX$24)/12,IF('Operating Assumptions'!$G26="%/Rent Revenue",'Operating Assumptions'!$H26*$H41,IF('Operating Assumptions'!$G26="% of Total Revenue",'Operating Assumptions'!$H26*SUM($H41,$H50,$H57),IF('Operating Assumptions'!$G26="$/Unit/Annual",(('Operating Assumptions'!$H26*BX$24)*BX$36)/12,IF('Operating Assumptions'!$G26="$/Unit/Month",('Operating Assumptions'!$H26*BX$24)*BX$36))))))</f>
        <v>0</v>
      </c>
      <c r="BY61" s="427">
        <f>IF(OR(BY$9&lt;'Operating Assumptions'!$D$53,BY$6&gt;'Operating Assumptions'!$AA$8,'Operating Assumptions'!$G26="N/A"),0,IF('Operating Assumptions'!$G26="Fixed Amount",('Operating Assumptions'!$H26*BY$24)/12,IF('Operating Assumptions'!$G26="%/Rent Revenue",'Operating Assumptions'!$H26*$H41,IF('Operating Assumptions'!$G26="% of Total Revenue",'Operating Assumptions'!$H26*SUM($H41,$H50,$H57),IF('Operating Assumptions'!$G26="$/Unit/Annual",(('Operating Assumptions'!$H26*BY$24)*BY$36)/12,IF('Operating Assumptions'!$G26="$/Unit/Month",('Operating Assumptions'!$H26*BY$24)*BY$36))))))</f>
        <v>0</v>
      </c>
      <c r="BZ61" s="427">
        <f>IF(OR(BZ$9&lt;'Operating Assumptions'!$D$53,BZ$6&gt;'Operating Assumptions'!$AA$8,'Operating Assumptions'!$G26="N/A"),0,IF('Operating Assumptions'!$G26="Fixed Amount",('Operating Assumptions'!$H26*BZ$24)/12,IF('Operating Assumptions'!$G26="%/Rent Revenue",'Operating Assumptions'!$H26*$H41,IF('Operating Assumptions'!$G26="% of Total Revenue",'Operating Assumptions'!$H26*SUM($H41,$H50,$H57),IF('Operating Assumptions'!$G26="$/Unit/Annual",(('Operating Assumptions'!$H26*BZ$24)*BZ$36)/12,IF('Operating Assumptions'!$G26="$/Unit/Month",('Operating Assumptions'!$H26*BZ$24)*BZ$36))))))</f>
        <v>0</v>
      </c>
      <c r="CA61" s="427">
        <f>IF(OR(CA$9&lt;'Operating Assumptions'!$D$53,CA$6&gt;'Operating Assumptions'!$AA$8,'Operating Assumptions'!$G26="N/A"),0,IF('Operating Assumptions'!$G26="Fixed Amount",('Operating Assumptions'!$H26*CA$24)/12,IF('Operating Assumptions'!$G26="%/Rent Revenue",'Operating Assumptions'!$H26*$H41,IF('Operating Assumptions'!$G26="% of Total Revenue",'Operating Assumptions'!$H26*SUM($H41,$H50,$H57),IF('Operating Assumptions'!$G26="$/Unit/Annual",(('Operating Assumptions'!$H26*CA$24)*CA$36)/12,IF('Operating Assumptions'!$G26="$/Unit/Month",('Operating Assumptions'!$H26*CA$24)*CA$36))))))</f>
        <v>0</v>
      </c>
      <c r="CB61" s="427">
        <f>IF(OR(CB$9&lt;'Operating Assumptions'!$D$53,CB$6&gt;'Operating Assumptions'!$AA$8,'Operating Assumptions'!$G26="N/A"),0,IF('Operating Assumptions'!$G26="Fixed Amount",('Operating Assumptions'!$H26*CB$24)/12,IF('Operating Assumptions'!$G26="%/Rent Revenue",'Operating Assumptions'!$H26*$H41,IF('Operating Assumptions'!$G26="% of Total Revenue",'Operating Assumptions'!$H26*SUM($H41,$H50,$H57),IF('Operating Assumptions'!$G26="$/Unit/Annual",(('Operating Assumptions'!$H26*CB$24)*CB$36)/12,IF('Operating Assumptions'!$G26="$/Unit/Month",('Operating Assumptions'!$H26*CB$24)*CB$36))))))</f>
        <v>0</v>
      </c>
      <c r="CC61" s="427">
        <f>IF(OR(CC$9&lt;'Operating Assumptions'!$D$53,CC$6&gt;'Operating Assumptions'!$AA$8,'Operating Assumptions'!$G26="N/A"),0,IF('Operating Assumptions'!$G26="Fixed Amount",('Operating Assumptions'!$H26*CC$24)/12,IF('Operating Assumptions'!$G26="%/Rent Revenue",'Operating Assumptions'!$H26*$H41,IF('Operating Assumptions'!$G26="% of Total Revenue",'Operating Assumptions'!$H26*SUM($H41,$H50,$H57),IF('Operating Assumptions'!$G26="$/Unit/Annual",(('Operating Assumptions'!$H26*CC$24)*CC$36)/12,IF('Operating Assumptions'!$G26="$/Unit/Month",('Operating Assumptions'!$H26*CC$24)*CC$36))))))</f>
        <v>0</v>
      </c>
      <c r="CD61" s="427">
        <f>IF(OR(CD$9&lt;'Operating Assumptions'!$D$53,CD$6&gt;'Operating Assumptions'!$AA$8,'Operating Assumptions'!$G26="N/A"),0,IF('Operating Assumptions'!$G26="Fixed Amount",('Operating Assumptions'!$H26*CD$24)/12,IF('Operating Assumptions'!$G26="%/Rent Revenue",'Operating Assumptions'!$H26*$H41,IF('Operating Assumptions'!$G26="% of Total Revenue",'Operating Assumptions'!$H26*SUM($H41,$H50,$H57),IF('Operating Assumptions'!$G26="$/Unit/Annual",(('Operating Assumptions'!$H26*CD$24)*CD$36)/12,IF('Operating Assumptions'!$G26="$/Unit/Month",('Operating Assumptions'!$H26*CD$24)*CD$36))))))</f>
        <v>0</v>
      </c>
      <c r="CE61" s="427">
        <f>IF(OR(CE$9&lt;'Operating Assumptions'!$D$53,CE$6&gt;'Operating Assumptions'!$AA$8,'Operating Assumptions'!$G26="N/A"),0,IF('Operating Assumptions'!$G26="Fixed Amount",('Operating Assumptions'!$H26*CE$24)/12,IF('Operating Assumptions'!$G26="%/Rent Revenue",'Operating Assumptions'!$H26*$H41,IF('Operating Assumptions'!$G26="% of Total Revenue",'Operating Assumptions'!$H26*SUM($H41,$H50,$H57),IF('Operating Assumptions'!$G26="$/Unit/Annual",(('Operating Assumptions'!$H26*CE$24)*CE$36)/12,IF('Operating Assumptions'!$G26="$/Unit/Month",('Operating Assumptions'!$H26*CE$24)*CE$36))))))</f>
        <v>0</v>
      </c>
      <c r="CF61" s="427">
        <f>IF(OR(CF$9&lt;'Operating Assumptions'!$D$53,CF$6&gt;'Operating Assumptions'!$AA$8,'Operating Assumptions'!$G26="N/A"),0,IF('Operating Assumptions'!$G26="Fixed Amount",('Operating Assumptions'!$H26*CF$24)/12,IF('Operating Assumptions'!$G26="%/Rent Revenue",'Operating Assumptions'!$H26*$H41,IF('Operating Assumptions'!$G26="% of Total Revenue",'Operating Assumptions'!$H26*SUM($H41,$H50,$H57),IF('Operating Assumptions'!$G26="$/Unit/Annual",(('Operating Assumptions'!$H26*CF$24)*CF$36)/12,IF('Operating Assumptions'!$G26="$/Unit/Month",('Operating Assumptions'!$H26*CF$24)*CF$36))))))</f>
        <v>0</v>
      </c>
      <c r="CG61" s="427">
        <f>IF(OR(CG$9&lt;'Operating Assumptions'!$D$53,CG$6&gt;'Operating Assumptions'!$AA$8,'Operating Assumptions'!$G26="N/A"),0,IF('Operating Assumptions'!$G26="Fixed Amount",('Operating Assumptions'!$H26*CG$24)/12,IF('Operating Assumptions'!$G26="%/Rent Revenue",'Operating Assumptions'!$H26*$H41,IF('Operating Assumptions'!$G26="% of Total Revenue",'Operating Assumptions'!$H26*SUM($H41,$H50,$H57),IF('Operating Assumptions'!$G26="$/Unit/Annual",(('Operating Assumptions'!$H26*CG$24)*CG$36)/12,IF('Operating Assumptions'!$G26="$/Unit/Month",('Operating Assumptions'!$H26*CG$24)*CG$36))))))</f>
        <v>0</v>
      </c>
      <c r="CH61" s="427">
        <f>IF(OR(CH$9&lt;'Operating Assumptions'!$D$53,CH$6&gt;'Operating Assumptions'!$AA$8,'Operating Assumptions'!$G26="N/A"),0,IF('Operating Assumptions'!$G26="Fixed Amount",('Operating Assumptions'!$H26*CH$24)/12,IF('Operating Assumptions'!$G26="%/Rent Revenue",'Operating Assumptions'!$H26*$H41,IF('Operating Assumptions'!$G26="% of Total Revenue",'Operating Assumptions'!$H26*SUM($H41,$H50,$H57),IF('Operating Assumptions'!$G26="$/Unit/Annual",(('Operating Assumptions'!$H26*CH$24)*CH$36)/12,IF('Operating Assumptions'!$G26="$/Unit/Month",('Operating Assumptions'!$H26*CH$24)*CH$36))))))</f>
        <v>0</v>
      </c>
      <c r="CI61" s="427">
        <f>IF(OR(CI$9&lt;'Operating Assumptions'!$D$53,CI$6&gt;'Operating Assumptions'!$AA$8,'Operating Assumptions'!$G26="N/A"),0,IF('Operating Assumptions'!$G26="Fixed Amount",('Operating Assumptions'!$H26*CI$24)/12,IF('Operating Assumptions'!$G26="%/Rent Revenue",'Operating Assumptions'!$H26*$H41,IF('Operating Assumptions'!$G26="% of Total Revenue",'Operating Assumptions'!$H26*SUM($H41,$H50,$H57),IF('Operating Assumptions'!$G26="$/Unit/Annual",(('Operating Assumptions'!$H26*CI$24)*CI$36)/12,IF('Operating Assumptions'!$G26="$/Unit/Month",('Operating Assumptions'!$H26*CI$24)*CI$36))))))</f>
        <v>0</v>
      </c>
      <c r="CJ61" s="427">
        <f>IF(OR(CJ$9&lt;'Operating Assumptions'!$D$53,CJ$6&gt;'Operating Assumptions'!$AA$8,'Operating Assumptions'!$G26="N/A"),0,IF('Operating Assumptions'!$G26="Fixed Amount",('Operating Assumptions'!$H26*CJ$24)/12,IF('Operating Assumptions'!$G26="%/Rent Revenue",'Operating Assumptions'!$H26*$H41,IF('Operating Assumptions'!$G26="% of Total Revenue",'Operating Assumptions'!$H26*SUM($H41,$H50,$H57),IF('Operating Assumptions'!$G26="$/Unit/Annual",(('Operating Assumptions'!$H26*CJ$24)*CJ$36)/12,IF('Operating Assumptions'!$G26="$/Unit/Month",('Operating Assumptions'!$H26*CJ$24)*CJ$36))))))</f>
        <v>0</v>
      </c>
      <c r="CK61" s="427">
        <f>IF(OR(CK$9&lt;'Operating Assumptions'!$D$53,CK$6&gt;'Operating Assumptions'!$AA$8,'Operating Assumptions'!$G26="N/A"),0,IF('Operating Assumptions'!$G26="Fixed Amount",('Operating Assumptions'!$H26*CK$24)/12,IF('Operating Assumptions'!$G26="%/Rent Revenue",'Operating Assumptions'!$H26*$H41,IF('Operating Assumptions'!$G26="% of Total Revenue",'Operating Assumptions'!$H26*SUM($H41,$H50,$H57),IF('Operating Assumptions'!$G26="$/Unit/Annual",(('Operating Assumptions'!$H26*CK$24)*CK$36)/12,IF('Operating Assumptions'!$G26="$/Unit/Month",('Operating Assumptions'!$H26*CK$24)*CK$36))))))</f>
        <v>0</v>
      </c>
      <c r="CL61" s="427">
        <f>IF(OR(CL$9&lt;'Operating Assumptions'!$D$53,CL$6&gt;'Operating Assumptions'!$AA$8,'Operating Assumptions'!$G26="N/A"),0,IF('Operating Assumptions'!$G26="Fixed Amount",('Operating Assumptions'!$H26*CL$24)/12,IF('Operating Assumptions'!$G26="%/Rent Revenue",'Operating Assumptions'!$H26*$H41,IF('Operating Assumptions'!$G26="% of Total Revenue",'Operating Assumptions'!$H26*SUM($H41,$H50,$H57),IF('Operating Assumptions'!$G26="$/Unit/Annual",(('Operating Assumptions'!$H26*CL$24)*CL$36)/12,IF('Operating Assumptions'!$G26="$/Unit/Month",('Operating Assumptions'!$H26*CL$24)*CL$36))))))</f>
        <v>0</v>
      </c>
      <c r="CM61" s="427">
        <f>IF(OR(CM$9&lt;'Operating Assumptions'!$D$53,CM$6&gt;'Operating Assumptions'!$AA$8,'Operating Assumptions'!$G26="N/A"),0,IF('Operating Assumptions'!$G26="Fixed Amount",('Operating Assumptions'!$H26*CM$24)/12,IF('Operating Assumptions'!$G26="%/Rent Revenue",'Operating Assumptions'!$H26*$H41,IF('Operating Assumptions'!$G26="% of Total Revenue",'Operating Assumptions'!$H26*SUM($H41,$H50,$H57),IF('Operating Assumptions'!$G26="$/Unit/Annual",(('Operating Assumptions'!$H26*CM$24)*CM$36)/12,IF('Operating Assumptions'!$G26="$/Unit/Month",('Operating Assumptions'!$H26*CM$24)*CM$36))))))</f>
        <v>0</v>
      </c>
      <c r="CN61" s="427">
        <f>IF(OR(CN$9&lt;'Operating Assumptions'!$D$53,CN$6&gt;'Operating Assumptions'!$AA$8,'Operating Assumptions'!$G26="N/A"),0,IF('Operating Assumptions'!$G26="Fixed Amount",('Operating Assumptions'!$H26*CN$24)/12,IF('Operating Assumptions'!$G26="%/Rent Revenue",'Operating Assumptions'!$H26*$H41,IF('Operating Assumptions'!$G26="% of Total Revenue",'Operating Assumptions'!$H26*SUM($H41,$H50,$H57),IF('Operating Assumptions'!$G26="$/Unit/Annual",(('Operating Assumptions'!$H26*CN$24)*CN$36)/12,IF('Operating Assumptions'!$G26="$/Unit/Month",('Operating Assumptions'!$H26*CN$24)*CN$36))))))</f>
        <v>0</v>
      </c>
      <c r="CO61" s="427">
        <f>IF(OR(CO$9&lt;'Operating Assumptions'!$D$53,CO$6&gt;'Operating Assumptions'!$AA$8,'Operating Assumptions'!$G26="N/A"),0,IF('Operating Assumptions'!$G26="Fixed Amount",('Operating Assumptions'!$H26*CO$24)/12,IF('Operating Assumptions'!$G26="%/Rent Revenue",'Operating Assumptions'!$H26*$H41,IF('Operating Assumptions'!$G26="% of Total Revenue",'Operating Assumptions'!$H26*SUM($H41,$H50,$H57),IF('Operating Assumptions'!$G26="$/Unit/Annual",(('Operating Assumptions'!$H26*CO$24)*CO$36)/12,IF('Operating Assumptions'!$G26="$/Unit/Month",('Operating Assumptions'!$H26*CO$24)*CO$36))))))</f>
        <v>0</v>
      </c>
      <c r="CP61" s="427">
        <f>IF(OR(CP$9&lt;'Operating Assumptions'!$D$53,CP$6&gt;'Operating Assumptions'!$AA$8,'Operating Assumptions'!$G26="N/A"),0,IF('Operating Assumptions'!$G26="Fixed Amount",('Operating Assumptions'!$H26*CP$24)/12,IF('Operating Assumptions'!$G26="%/Rent Revenue",'Operating Assumptions'!$H26*$H41,IF('Operating Assumptions'!$G26="% of Total Revenue",'Operating Assumptions'!$H26*SUM($H41,$H50,$H57),IF('Operating Assumptions'!$G26="$/Unit/Annual",(('Operating Assumptions'!$H26*CP$24)*CP$36)/12,IF('Operating Assumptions'!$G26="$/Unit/Month",('Operating Assumptions'!$H26*CP$24)*CP$36))))))</f>
        <v>0</v>
      </c>
      <c r="CQ61" s="427">
        <f>IF(OR(CQ$9&lt;'Operating Assumptions'!$D$53,CQ$6&gt;'Operating Assumptions'!$AA$8,'Operating Assumptions'!$G26="N/A"),0,IF('Operating Assumptions'!$G26="Fixed Amount",('Operating Assumptions'!$H26*CQ$24)/12,IF('Operating Assumptions'!$G26="%/Rent Revenue",'Operating Assumptions'!$H26*$H41,IF('Operating Assumptions'!$G26="% of Total Revenue",'Operating Assumptions'!$H26*SUM($H41,$H50,$H57),IF('Operating Assumptions'!$G26="$/Unit/Annual",(('Operating Assumptions'!$H26*CQ$24)*CQ$36)/12,IF('Operating Assumptions'!$G26="$/Unit/Month",('Operating Assumptions'!$H26*CQ$24)*CQ$36))))))</f>
        <v>0</v>
      </c>
      <c r="CR61" s="427">
        <f>IF(OR(CR$9&lt;'Operating Assumptions'!$D$53,CR$6&gt;'Operating Assumptions'!$AA$8,'Operating Assumptions'!$G26="N/A"),0,IF('Operating Assumptions'!$G26="Fixed Amount",('Operating Assumptions'!$H26*CR$24)/12,IF('Operating Assumptions'!$G26="%/Rent Revenue",'Operating Assumptions'!$H26*$H41,IF('Operating Assumptions'!$G26="% of Total Revenue",'Operating Assumptions'!$H26*SUM($H41,$H50,$H57),IF('Operating Assumptions'!$G26="$/Unit/Annual",(('Operating Assumptions'!$H26*CR$24)*CR$36)/12,IF('Operating Assumptions'!$G26="$/Unit/Month",('Operating Assumptions'!$H26*CR$24)*CR$36))))))</f>
        <v>0</v>
      </c>
      <c r="CS61" s="427">
        <f>IF(OR(CS$9&lt;'Operating Assumptions'!$D$53,CS$6&gt;'Operating Assumptions'!$AA$8,'Operating Assumptions'!$G26="N/A"),0,IF('Operating Assumptions'!$G26="Fixed Amount",('Operating Assumptions'!$H26*CS$24)/12,IF('Operating Assumptions'!$G26="%/Rent Revenue",'Operating Assumptions'!$H26*$H41,IF('Operating Assumptions'!$G26="% of Total Revenue",'Operating Assumptions'!$H26*SUM($H41,$H50,$H57),IF('Operating Assumptions'!$G26="$/Unit/Annual",(('Operating Assumptions'!$H26*CS$24)*CS$36)/12,IF('Operating Assumptions'!$G26="$/Unit/Month",('Operating Assumptions'!$H26*CS$24)*CS$36))))))</f>
        <v>0</v>
      </c>
      <c r="CT61" s="427">
        <f>IF(OR(CT$9&lt;'Operating Assumptions'!$D$53,CT$6&gt;'Operating Assumptions'!$AA$8,'Operating Assumptions'!$G26="N/A"),0,IF('Operating Assumptions'!$G26="Fixed Amount",('Operating Assumptions'!$H26*CT$24)/12,IF('Operating Assumptions'!$G26="%/Rent Revenue",'Operating Assumptions'!$H26*$H41,IF('Operating Assumptions'!$G26="% of Total Revenue",'Operating Assumptions'!$H26*SUM($H41,$H50,$H57),IF('Operating Assumptions'!$G26="$/Unit/Annual",(('Operating Assumptions'!$H26*CT$24)*CT$36)/12,IF('Operating Assumptions'!$G26="$/Unit/Month",('Operating Assumptions'!$H26*CT$24)*CT$36))))))</f>
        <v>0</v>
      </c>
      <c r="CU61" s="427">
        <f>IF(OR(CU$9&lt;'Operating Assumptions'!$D$53,CU$6&gt;'Operating Assumptions'!$AA$8,'Operating Assumptions'!$G26="N/A"),0,IF('Operating Assumptions'!$G26="Fixed Amount",('Operating Assumptions'!$H26*CU$24)/12,IF('Operating Assumptions'!$G26="%/Rent Revenue",'Operating Assumptions'!$H26*$H41,IF('Operating Assumptions'!$G26="% of Total Revenue",'Operating Assumptions'!$H26*SUM($H41,$H50,$H57),IF('Operating Assumptions'!$G26="$/Unit/Annual",(('Operating Assumptions'!$H26*CU$24)*CU$36)/12,IF('Operating Assumptions'!$G26="$/Unit/Month",('Operating Assumptions'!$H26*CU$24)*CU$36))))))</f>
        <v>0</v>
      </c>
      <c r="CV61" s="427">
        <f>IF(OR(CV$9&lt;'Operating Assumptions'!$D$53,CV$6&gt;'Operating Assumptions'!$AA$8,'Operating Assumptions'!$G26="N/A"),0,IF('Operating Assumptions'!$G26="Fixed Amount",('Operating Assumptions'!$H26*CV$24)/12,IF('Operating Assumptions'!$G26="%/Rent Revenue",'Operating Assumptions'!$H26*$H41,IF('Operating Assumptions'!$G26="% of Total Revenue",'Operating Assumptions'!$H26*SUM($H41,$H50,$H57),IF('Operating Assumptions'!$G26="$/Unit/Annual",(('Operating Assumptions'!$H26*CV$24)*CV$36)/12,IF('Operating Assumptions'!$G26="$/Unit/Month",('Operating Assumptions'!$H26*CV$24)*CV$36))))))</f>
        <v>0</v>
      </c>
      <c r="CW61" s="427">
        <f>IF(OR(CW$9&lt;'Operating Assumptions'!$D$53,CW$6&gt;'Operating Assumptions'!$AA$8,'Operating Assumptions'!$G26="N/A"),0,IF('Operating Assumptions'!$G26="Fixed Amount",('Operating Assumptions'!$H26*CW$24)/12,IF('Operating Assumptions'!$G26="%/Rent Revenue",'Operating Assumptions'!$H26*$H41,IF('Operating Assumptions'!$G26="% of Total Revenue",'Operating Assumptions'!$H26*SUM($H41,$H50,$H57),IF('Operating Assumptions'!$G26="$/Unit/Annual",(('Operating Assumptions'!$H26*CW$24)*CW$36)/12,IF('Operating Assumptions'!$G26="$/Unit/Month",('Operating Assumptions'!$H26*CW$24)*CW$36))))))</f>
        <v>0</v>
      </c>
      <c r="CX61" s="427">
        <f>IF(OR(CX$9&lt;'Operating Assumptions'!$D$53,CX$6&gt;'Operating Assumptions'!$AA$8,'Operating Assumptions'!$G26="N/A"),0,IF('Operating Assumptions'!$G26="Fixed Amount",('Operating Assumptions'!$H26*CX$24)/12,IF('Operating Assumptions'!$G26="%/Rent Revenue",'Operating Assumptions'!$H26*$H41,IF('Operating Assumptions'!$G26="% of Total Revenue",'Operating Assumptions'!$H26*SUM($H41,$H50,$H57),IF('Operating Assumptions'!$G26="$/Unit/Annual",(('Operating Assumptions'!$H26*CX$24)*CX$36)/12,IF('Operating Assumptions'!$G26="$/Unit/Month",('Operating Assumptions'!$H26*CX$24)*CX$36))))))</f>
        <v>0</v>
      </c>
      <c r="CY61" s="427">
        <f>IF(OR(CY$9&lt;'Operating Assumptions'!$D$53,CY$6&gt;'Operating Assumptions'!$AA$8,'Operating Assumptions'!$G26="N/A"),0,IF('Operating Assumptions'!$G26="Fixed Amount",('Operating Assumptions'!$H26*CY$24)/12,IF('Operating Assumptions'!$G26="%/Rent Revenue",'Operating Assumptions'!$H26*$H41,IF('Operating Assumptions'!$G26="% of Total Revenue",'Operating Assumptions'!$H26*SUM($H41,$H50,$H57),IF('Operating Assumptions'!$G26="$/Unit/Annual",(('Operating Assumptions'!$H26*CY$24)*CY$36)/12,IF('Operating Assumptions'!$G26="$/Unit/Month",('Operating Assumptions'!$H26*CY$24)*CY$36))))))</f>
        <v>0</v>
      </c>
      <c r="CZ61" s="427">
        <f>IF(OR(CZ$9&lt;'Operating Assumptions'!$D$53,CZ$6&gt;'Operating Assumptions'!$AA$8,'Operating Assumptions'!$G26="N/A"),0,IF('Operating Assumptions'!$G26="Fixed Amount",('Operating Assumptions'!$H26*CZ$24)/12,IF('Operating Assumptions'!$G26="%/Rent Revenue",'Operating Assumptions'!$H26*$H41,IF('Operating Assumptions'!$G26="% of Total Revenue",'Operating Assumptions'!$H26*SUM($H41,$H50,$H57),IF('Operating Assumptions'!$G26="$/Unit/Annual",(('Operating Assumptions'!$H26*CZ$24)*CZ$36)/12,IF('Operating Assumptions'!$G26="$/Unit/Month",('Operating Assumptions'!$H26*CZ$24)*CZ$36))))))</f>
        <v>0</v>
      </c>
      <c r="DA61" s="427">
        <f>IF(OR(DA$9&lt;'Operating Assumptions'!$D$53,DA$6&gt;'Operating Assumptions'!$AA$8,'Operating Assumptions'!$G26="N/A"),0,IF('Operating Assumptions'!$G26="Fixed Amount",('Operating Assumptions'!$H26*DA$24)/12,IF('Operating Assumptions'!$G26="%/Rent Revenue",'Operating Assumptions'!$H26*$H41,IF('Operating Assumptions'!$G26="% of Total Revenue",'Operating Assumptions'!$H26*SUM($H41,$H50,$H57),IF('Operating Assumptions'!$G26="$/Unit/Annual",(('Operating Assumptions'!$H26*DA$24)*DA$36)/12,IF('Operating Assumptions'!$G26="$/Unit/Month",('Operating Assumptions'!$H26*DA$24)*DA$36))))))</f>
        <v>0</v>
      </c>
      <c r="DB61" s="427">
        <f>IF(OR(DB$9&lt;'Operating Assumptions'!$D$53,DB$6&gt;'Operating Assumptions'!$AA$8,'Operating Assumptions'!$G26="N/A"),0,IF('Operating Assumptions'!$G26="Fixed Amount",('Operating Assumptions'!$H26*DB$24)/12,IF('Operating Assumptions'!$G26="%/Rent Revenue",'Operating Assumptions'!$H26*$H41,IF('Operating Assumptions'!$G26="% of Total Revenue",'Operating Assumptions'!$H26*SUM($H41,$H50,$H57),IF('Operating Assumptions'!$G26="$/Unit/Annual",(('Operating Assumptions'!$H26*DB$24)*DB$36)/12,IF('Operating Assumptions'!$G26="$/Unit/Month",('Operating Assumptions'!$H26*DB$24)*DB$36))))))</f>
        <v>0</v>
      </c>
      <c r="DC61" s="427">
        <f>IF(OR(DC$9&lt;'Operating Assumptions'!$D$53,DC$6&gt;'Operating Assumptions'!$AA$8,'Operating Assumptions'!$G26="N/A"),0,IF('Operating Assumptions'!$G26="Fixed Amount",('Operating Assumptions'!$H26*DC$24)/12,IF('Operating Assumptions'!$G26="%/Rent Revenue",'Operating Assumptions'!$H26*$H41,IF('Operating Assumptions'!$G26="% of Total Revenue",'Operating Assumptions'!$H26*SUM($H41,$H50,$H57),IF('Operating Assumptions'!$G26="$/Unit/Annual",(('Operating Assumptions'!$H26*DC$24)*DC$36)/12,IF('Operating Assumptions'!$G26="$/Unit/Month",('Operating Assumptions'!$H26*DC$24)*DC$36))))))</f>
        <v>0</v>
      </c>
      <c r="DD61" s="427">
        <f>IF(OR(DD$9&lt;'Operating Assumptions'!$D$53,DD$6&gt;'Operating Assumptions'!$AA$8,'Operating Assumptions'!$G26="N/A"),0,IF('Operating Assumptions'!$G26="Fixed Amount",('Operating Assumptions'!$H26*DD$24)/12,IF('Operating Assumptions'!$G26="%/Rent Revenue",'Operating Assumptions'!$H26*$H41,IF('Operating Assumptions'!$G26="% of Total Revenue",'Operating Assumptions'!$H26*SUM($H41,$H50,$H57),IF('Operating Assumptions'!$G26="$/Unit/Annual",(('Operating Assumptions'!$H26*DD$24)*DD$36)/12,IF('Operating Assumptions'!$G26="$/Unit/Month",('Operating Assumptions'!$H26*DD$24)*DD$36))))))</f>
        <v>0</v>
      </c>
      <c r="DE61" s="427">
        <f>IF(OR(DE$9&lt;'Operating Assumptions'!$D$53,DE$6&gt;'Operating Assumptions'!$AA$8,'Operating Assumptions'!$G26="N/A"),0,IF('Operating Assumptions'!$G26="Fixed Amount",('Operating Assumptions'!$H26*DE$24)/12,IF('Operating Assumptions'!$G26="%/Rent Revenue",'Operating Assumptions'!$H26*$H41,IF('Operating Assumptions'!$G26="% of Total Revenue",'Operating Assumptions'!$H26*SUM($H41,$H50,$H57),IF('Operating Assumptions'!$G26="$/Unit/Annual",(('Operating Assumptions'!$H26*DE$24)*DE$36)/12,IF('Operating Assumptions'!$G26="$/Unit/Month",('Operating Assumptions'!$H26*DE$24)*DE$36))))))</f>
        <v>0</v>
      </c>
      <c r="DF61" s="427">
        <f>IF(OR(DF$9&lt;'Operating Assumptions'!$D$53,DF$6&gt;'Operating Assumptions'!$AA$8,'Operating Assumptions'!$G26="N/A"),0,IF('Operating Assumptions'!$G26="Fixed Amount",('Operating Assumptions'!$H26*DF$24)/12,IF('Operating Assumptions'!$G26="%/Rent Revenue",'Operating Assumptions'!$H26*$H41,IF('Operating Assumptions'!$G26="% of Total Revenue",'Operating Assumptions'!$H26*SUM($H41,$H50,$H57),IF('Operating Assumptions'!$G26="$/Unit/Annual",(('Operating Assumptions'!$H26*DF$24)*DF$36)/12,IF('Operating Assumptions'!$G26="$/Unit/Month",('Operating Assumptions'!$H26*DF$24)*DF$36))))))</f>
        <v>0</v>
      </c>
      <c r="DG61" s="427">
        <f>IF(OR(DG$9&lt;'Operating Assumptions'!$D$53,DG$6&gt;'Operating Assumptions'!$AA$8,'Operating Assumptions'!$G26="N/A"),0,IF('Operating Assumptions'!$G26="Fixed Amount",('Operating Assumptions'!$H26*DG$24)/12,IF('Operating Assumptions'!$G26="%/Rent Revenue",'Operating Assumptions'!$H26*$H41,IF('Operating Assumptions'!$G26="% of Total Revenue",'Operating Assumptions'!$H26*SUM($H41,$H50,$H57),IF('Operating Assumptions'!$G26="$/Unit/Annual",(('Operating Assumptions'!$H26*DG$24)*DG$36)/12,IF('Operating Assumptions'!$G26="$/Unit/Month",('Operating Assumptions'!$H26*DG$24)*DG$36))))))</f>
        <v>0</v>
      </c>
      <c r="DH61" s="427">
        <f>IF(OR(DH$9&lt;'Operating Assumptions'!$D$53,DH$6&gt;'Operating Assumptions'!$AA$8,'Operating Assumptions'!$G26="N/A"),0,IF('Operating Assumptions'!$G26="Fixed Amount",('Operating Assumptions'!$H26*DH$24)/12,IF('Operating Assumptions'!$G26="%/Rent Revenue",'Operating Assumptions'!$H26*$H41,IF('Operating Assumptions'!$G26="% of Total Revenue",'Operating Assumptions'!$H26*SUM($H41,$H50,$H57),IF('Operating Assumptions'!$G26="$/Unit/Annual",(('Operating Assumptions'!$H26*DH$24)*DH$36)/12,IF('Operating Assumptions'!$G26="$/Unit/Month",('Operating Assumptions'!$H26*DH$24)*DH$36))))))</f>
        <v>0</v>
      </c>
      <c r="DI61" s="427">
        <f>IF(OR(DI$9&lt;'Operating Assumptions'!$D$53,DI$6&gt;'Operating Assumptions'!$AA$8,'Operating Assumptions'!$G26="N/A"),0,IF('Operating Assumptions'!$G26="Fixed Amount",('Operating Assumptions'!$H26*DI$24)/12,IF('Operating Assumptions'!$G26="%/Rent Revenue",'Operating Assumptions'!$H26*$H41,IF('Operating Assumptions'!$G26="% of Total Revenue",'Operating Assumptions'!$H26*SUM($H41,$H50,$H57),IF('Operating Assumptions'!$G26="$/Unit/Annual",(('Operating Assumptions'!$H26*DI$24)*DI$36)/12,IF('Operating Assumptions'!$G26="$/Unit/Month",('Operating Assumptions'!$H26*DI$24)*DI$36))))))</f>
        <v>0</v>
      </c>
      <c r="DJ61" s="427">
        <f>IF(OR(DJ$9&lt;'Operating Assumptions'!$D$53,DJ$6&gt;'Operating Assumptions'!$AA$8,'Operating Assumptions'!$G26="N/A"),0,IF('Operating Assumptions'!$G26="Fixed Amount",('Operating Assumptions'!$H26*DJ$24)/12,IF('Operating Assumptions'!$G26="%/Rent Revenue",'Operating Assumptions'!$H26*$H41,IF('Operating Assumptions'!$G26="% of Total Revenue",'Operating Assumptions'!$H26*SUM($H41,$H50,$H57),IF('Operating Assumptions'!$G26="$/Unit/Annual",(('Operating Assumptions'!$H26*DJ$24)*DJ$36)/12,IF('Operating Assumptions'!$G26="$/Unit/Month",('Operating Assumptions'!$H26*DJ$24)*DJ$36))))))</f>
        <v>0</v>
      </c>
      <c r="DK61" s="427">
        <f>IF(OR(DK$9&lt;'Operating Assumptions'!$D$53,DK$6&gt;'Operating Assumptions'!$AA$8,'Operating Assumptions'!$G26="N/A"),0,IF('Operating Assumptions'!$G26="Fixed Amount",('Operating Assumptions'!$H26*DK$24)/12,IF('Operating Assumptions'!$G26="%/Rent Revenue",'Operating Assumptions'!$H26*$H41,IF('Operating Assumptions'!$G26="% of Total Revenue",'Operating Assumptions'!$H26*SUM($H41,$H50,$H57),IF('Operating Assumptions'!$G26="$/Unit/Annual",(('Operating Assumptions'!$H26*DK$24)*DK$36)/12,IF('Operating Assumptions'!$G26="$/Unit/Month",('Operating Assumptions'!$H26*DK$24)*DK$36))))))</f>
        <v>0</v>
      </c>
      <c r="DL61" s="427">
        <f>IF(OR(DL$9&lt;'Operating Assumptions'!$D$53,DL$6&gt;'Operating Assumptions'!$AA$8,'Operating Assumptions'!$G26="N/A"),0,IF('Operating Assumptions'!$G26="Fixed Amount",('Operating Assumptions'!$H26*DL$24)/12,IF('Operating Assumptions'!$G26="%/Rent Revenue",'Operating Assumptions'!$H26*$H41,IF('Operating Assumptions'!$G26="% of Total Revenue",'Operating Assumptions'!$H26*SUM($H41,$H50,$H57),IF('Operating Assumptions'!$G26="$/Unit/Annual",(('Operating Assumptions'!$H26*DL$24)*DL$36)/12,IF('Operating Assumptions'!$G26="$/Unit/Month",('Operating Assumptions'!$H26*DL$24)*DL$36))))))</f>
        <v>0</v>
      </c>
      <c r="DM61" s="427">
        <f>IF(OR(DM$9&lt;'Operating Assumptions'!$D$53,DM$6&gt;'Operating Assumptions'!$AA$8,'Operating Assumptions'!$G26="N/A"),0,IF('Operating Assumptions'!$G26="Fixed Amount",('Operating Assumptions'!$H26*DM$24)/12,IF('Operating Assumptions'!$G26="%/Rent Revenue",'Operating Assumptions'!$H26*$H41,IF('Operating Assumptions'!$G26="% of Total Revenue",'Operating Assumptions'!$H26*SUM($H41,$H50,$H57),IF('Operating Assumptions'!$G26="$/Unit/Annual",(('Operating Assumptions'!$H26*DM$24)*DM$36)/12,IF('Operating Assumptions'!$G26="$/Unit/Month",('Operating Assumptions'!$H26*DM$24)*DM$36))))))</f>
        <v>0</v>
      </c>
      <c r="DN61" s="427">
        <f>IF(OR(DN$9&lt;'Operating Assumptions'!$D$53,DN$6&gt;'Operating Assumptions'!$AA$8,'Operating Assumptions'!$G26="N/A"),0,IF('Operating Assumptions'!$G26="Fixed Amount",('Operating Assumptions'!$H26*DN$24)/12,IF('Operating Assumptions'!$G26="%/Rent Revenue",'Operating Assumptions'!$H26*$H41,IF('Operating Assumptions'!$G26="% of Total Revenue",'Operating Assumptions'!$H26*SUM($H41,$H50,$H57),IF('Operating Assumptions'!$G26="$/Unit/Annual",(('Operating Assumptions'!$H26*DN$24)*DN$36)/12,IF('Operating Assumptions'!$G26="$/Unit/Month",('Operating Assumptions'!$H26*DN$24)*DN$36))))))</f>
        <v>0</v>
      </c>
      <c r="DO61" s="427">
        <f>IF(OR(DO$9&lt;'Operating Assumptions'!$D$53,DO$6&gt;'Operating Assumptions'!$AA$8,'Operating Assumptions'!$G26="N/A"),0,IF('Operating Assumptions'!$G26="Fixed Amount",('Operating Assumptions'!$H26*DO$24)/12,IF('Operating Assumptions'!$G26="%/Rent Revenue",'Operating Assumptions'!$H26*$H41,IF('Operating Assumptions'!$G26="% of Total Revenue",'Operating Assumptions'!$H26*SUM($H41,$H50,$H57),IF('Operating Assumptions'!$G26="$/Unit/Annual",(('Operating Assumptions'!$H26*DO$24)*DO$36)/12,IF('Operating Assumptions'!$G26="$/Unit/Month",('Operating Assumptions'!$H26*DO$24)*DO$36))))))</f>
        <v>0</v>
      </c>
      <c r="DP61" s="427">
        <f>IF(OR(DP$9&lt;'Operating Assumptions'!$D$53,DP$6&gt;'Operating Assumptions'!$AA$8,'Operating Assumptions'!$G26="N/A"),0,IF('Operating Assumptions'!$G26="Fixed Amount",('Operating Assumptions'!$H26*DP$24)/12,IF('Operating Assumptions'!$G26="%/Rent Revenue",'Operating Assumptions'!$H26*$H41,IF('Operating Assumptions'!$G26="% of Total Revenue",'Operating Assumptions'!$H26*SUM($H41,$H50,$H57),IF('Operating Assumptions'!$G26="$/Unit/Annual",(('Operating Assumptions'!$H26*DP$24)*DP$36)/12,IF('Operating Assumptions'!$G26="$/Unit/Month",('Operating Assumptions'!$H26*DP$24)*DP$36))))))</f>
        <v>0</v>
      </c>
      <c r="DQ61" s="427">
        <f>IF(OR(DQ$9&lt;'Operating Assumptions'!$D$53,DQ$6&gt;'Operating Assumptions'!$AA$8,'Operating Assumptions'!$G26="N/A"),0,IF('Operating Assumptions'!$G26="Fixed Amount",('Operating Assumptions'!$H26*DQ$24)/12,IF('Operating Assumptions'!$G26="%/Rent Revenue",'Operating Assumptions'!$H26*$H41,IF('Operating Assumptions'!$G26="% of Total Revenue",'Operating Assumptions'!$H26*SUM($H41,$H50,$H57),IF('Operating Assumptions'!$G26="$/Unit/Annual",(('Operating Assumptions'!$H26*DQ$24)*DQ$36)/12,IF('Operating Assumptions'!$G26="$/Unit/Month",('Operating Assumptions'!$H26*DQ$24)*DQ$36))))))</f>
        <v>0</v>
      </c>
      <c r="DR61" s="427">
        <f>IF(OR(DR$9&lt;'Operating Assumptions'!$D$53,DR$6&gt;'Operating Assumptions'!$AA$8,'Operating Assumptions'!$G26="N/A"),0,IF('Operating Assumptions'!$G26="Fixed Amount",('Operating Assumptions'!$H26*DR$24)/12,IF('Operating Assumptions'!$G26="%/Rent Revenue",'Operating Assumptions'!$H26*$H41,IF('Operating Assumptions'!$G26="% of Total Revenue",'Operating Assumptions'!$H26*SUM($H41,$H50,$H57),IF('Operating Assumptions'!$G26="$/Unit/Annual",(('Operating Assumptions'!$H26*DR$24)*DR$36)/12,IF('Operating Assumptions'!$G26="$/Unit/Month",('Operating Assumptions'!$H26*DR$24)*DR$36))))))</f>
        <v>0</v>
      </c>
      <c r="DS61" s="427">
        <f>IF(OR(DS$9&lt;'Operating Assumptions'!$D$53,DS$6&gt;'Operating Assumptions'!$AA$8,'Operating Assumptions'!$G26="N/A"),0,IF('Operating Assumptions'!$G26="Fixed Amount",('Operating Assumptions'!$H26*DS$24)/12,IF('Operating Assumptions'!$G26="%/Rent Revenue",'Operating Assumptions'!$H26*$H41,IF('Operating Assumptions'!$G26="% of Total Revenue",'Operating Assumptions'!$H26*SUM($H41,$H50,$H57),IF('Operating Assumptions'!$G26="$/Unit/Annual",(('Operating Assumptions'!$H26*DS$24)*DS$36)/12,IF('Operating Assumptions'!$G26="$/Unit/Month",('Operating Assumptions'!$H26*DS$24)*DS$36))))))</f>
        <v>0</v>
      </c>
      <c r="DT61" s="427">
        <f>IF(OR(DT$9&lt;'Operating Assumptions'!$D$53,DT$6&gt;'Operating Assumptions'!$AA$8,'Operating Assumptions'!$G26="N/A"),0,IF('Operating Assumptions'!$G26="Fixed Amount",('Operating Assumptions'!$H26*DT$24)/12,IF('Operating Assumptions'!$G26="%/Rent Revenue",'Operating Assumptions'!$H26*$H41,IF('Operating Assumptions'!$G26="% of Total Revenue",'Operating Assumptions'!$H26*SUM($H41,$H50,$H57),IF('Operating Assumptions'!$G26="$/Unit/Annual",(('Operating Assumptions'!$H26*DT$24)*DT$36)/12,IF('Operating Assumptions'!$G26="$/Unit/Month",('Operating Assumptions'!$H26*DT$24)*DT$36))))))</f>
        <v>0</v>
      </c>
      <c r="DU61" s="427">
        <f>IF(OR(DU$9&lt;'Operating Assumptions'!$D$53,DU$6&gt;'Operating Assumptions'!$AA$8,'Operating Assumptions'!$G26="N/A"),0,IF('Operating Assumptions'!$G26="Fixed Amount",('Operating Assumptions'!$H26*DU$24)/12,IF('Operating Assumptions'!$G26="%/Rent Revenue",'Operating Assumptions'!$H26*$H41,IF('Operating Assumptions'!$G26="% of Total Revenue",'Operating Assumptions'!$H26*SUM($H41,$H50,$H57),IF('Operating Assumptions'!$G26="$/Unit/Annual",(('Operating Assumptions'!$H26*DU$24)*DU$36)/12,IF('Operating Assumptions'!$G26="$/Unit/Month",('Operating Assumptions'!$H26*DU$24)*DU$36))))))</f>
        <v>0</v>
      </c>
      <c r="DV61" s="427">
        <f>IF(OR(DV$9&lt;'Operating Assumptions'!$D$53,DV$6&gt;'Operating Assumptions'!$AA$8,'Operating Assumptions'!$G26="N/A"),0,IF('Operating Assumptions'!$G26="Fixed Amount",('Operating Assumptions'!$H26*DV$24)/12,IF('Operating Assumptions'!$G26="%/Rent Revenue",'Operating Assumptions'!$H26*$H41,IF('Operating Assumptions'!$G26="% of Total Revenue",'Operating Assumptions'!$H26*SUM($H41,$H50,$H57),IF('Operating Assumptions'!$G26="$/Unit/Annual",(('Operating Assumptions'!$H26*DV$24)*DV$36)/12,IF('Operating Assumptions'!$G26="$/Unit/Month",('Operating Assumptions'!$H26*DV$24)*DV$36))))))</f>
        <v>0</v>
      </c>
      <c r="DW61" s="427">
        <f>IF(OR(DW$9&lt;'Operating Assumptions'!$D$53,DW$6&gt;'Operating Assumptions'!$AA$8,'Operating Assumptions'!$G26="N/A"),0,IF('Operating Assumptions'!$G26="Fixed Amount",('Operating Assumptions'!$H26*DW$24)/12,IF('Operating Assumptions'!$G26="%/Rent Revenue",'Operating Assumptions'!$H26*$H41,IF('Operating Assumptions'!$G26="% of Total Revenue",'Operating Assumptions'!$H26*SUM($H41,$H50,$H57),IF('Operating Assumptions'!$G26="$/Unit/Annual",(('Operating Assumptions'!$H26*DW$24)*DW$36)/12,IF('Operating Assumptions'!$G26="$/Unit/Month",('Operating Assumptions'!$H26*DW$24)*DW$36))))))</f>
        <v>0</v>
      </c>
      <c r="DX61" s="427">
        <f>IF(OR(DX$9&lt;'Operating Assumptions'!$D$53,DX$6&gt;'Operating Assumptions'!$AA$8,'Operating Assumptions'!$G26="N/A"),0,IF('Operating Assumptions'!$G26="Fixed Amount",('Operating Assumptions'!$H26*DX$24)/12,IF('Operating Assumptions'!$G26="%/Rent Revenue",'Operating Assumptions'!$H26*$H41,IF('Operating Assumptions'!$G26="% of Total Revenue",'Operating Assumptions'!$H26*SUM($H41,$H50,$H57),IF('Operating Assumptions'!$G26="$/Unit/Annual",(('Operating Assumptions'!$H26*DX$24)*DX$36)/12,IF('Operating Assumptions'!$G26="$/Unit/Month",('Operating Assumptions'!$H26*DX$24)*DX$36))))))</f>
        <v>0</v>
      </c>
      <c r="DY61" s="427">
        <f>IF(OR(DY$9&lt;'Operating Assumptions'!$D$53,DY$6&gt;'Operating Assumptions'!$AA$8,'Operating Assumptions'!$G26="N/A"),0,IF('Operating Assumptions'!$G26="Fixed Amount",('Operating Assumptions'!$H26*DY$24)/12,IF('Operating Assumptions'!$G26="%/Rent Revenue",'Operating Assumptions'!$H26*$H41,IF('Operating Assumptions'!$G26="% of Total Revenue",'Operating Assumptions'!$H26*SUM($H41,$H50,$H57),IF('Operating Assumptions'!$G26="$/Unit/Annual",(('Operating Assumptions'!$H26*DY$24)*DY$36)/12,IF('Operating Assumptions'!$G26="$/Unit/Month",('Operating Assumptions'!$H26*DY$24)*DY$36))))))</f>
        <v>0</v>
      </c>
      <c r="DZ61" s="427">
        <f>IF(OR(DZ$9&lt;'Operating Assumptions'!$D$53,DZ$6&gt;'Operating Assumptions'!$AA$8,'Operating Assumptions'!$G26="N/A"),0,IF('Operating Assumptions'!$G26="Fixed Amount",('Operating Assumptions'!$H26*DZ$24)/12,IF('Operating Assumptions'!$G26="%/Rent Revenue",'Operating Assumptions'!$H26*$H41,IF('Operating Assumptions'!$G26="% of Total Revenue",'Operating Assumptions'!$H26*SUM($H41,$H50,$H57),IF('Operating Assumptions'!$G26="$/Unit/Annual",(('Operating Assumptions'!$H26*DZ$24)*DZ$36)/12,IF('Operating Assumptions'!$G26="$/Unit/Month",('Operating Assumptions'!$H26*DZ$24)*DZ$36))))))</f>
        <v>0</v>
      </c>
      <c r="EA61" s="427">
        <f>IF(OR(EA$9&lt;'Operating Assumptions'!$D$53,EA$6&gt;'Operating Assumptions'!$AA$8,'Operating Assumptions'!$G26="N/A"),0,IF('Operating Assumptions'!$G26="Fixed Amount",('Operating Assumptions'!$H26*EA$24)/12,IF('Operating Assumptions'!$G26="%/Rent Revenue",'Operating Assumptions'!$H26*$H41,IF('Operating Assumptions'!$G26="% of Total Revenue",'Operating Assumptions'!$H26*SUM($H41,$H50,$H57),IF('Operating Assumptions'!$G26="$/Unit/Annual",(('Operating Assumptions'!$H26*EA$24)*EA$36)/12,IF('Operating Assumptions'!$G26="$/Unit/Month",('Operating Assumptions'!$H26*EA$24)*EA$36))))))</f>
        <v>0</v>
      </c>
      <c r="EB61" s="427">
        <f>IF(OR(EB$9&lt;'Operating Assumptions'!$D$53,EB$6&gt;'Operating Assumptions'!$AA$8,'Operating Assumptions'!$G26="N/A"),0,IF('Operating Assumptions'!$G26="Fixed Amount",('Operating Assumptions'!$H26*EB$24)/12,IF('Operating Assumptions'!$G26="%/Rent Revenue",'Operating Assumptions'!$H26*$H41,IF('Operating Assumptions'!$G26="% of Total Revenue",'Operating Assumptions'!$H26*SUM($H41,$H50,$H57),IF('Operating Assumptions'!$G26="$/Unit/Annual",(('Operating Assumptions'!$H26*EB$24)*EB$36)/12,IF('Operating Assumptions'!$G26="$/Unit/Month",('Operating Assumptions'!$H26*EB$24)*EB$36))))))</f>
        <v>0</v>
      </c>
      <c r="EC61" s="427">
        <f>IF(OR(EC$9&lt;'Operating Assumptions'!$D$53,EC$6&gt;'Operating Assumptions'!$AA$8,'Operating Assumptions'!$G26="N/A"),0,IF('Operating Assumptions'!$G26="Fixed Amount",('Operating Assumptions'!$H26*EC$24)/12,IF('Operating Assumptions'!$G26="%/Rent Revenue",'Operating Assumptions'!$H26*$H41,IF('Operating Assumptions'!$G26="% of Total Revenue",'Operating Assumptions'!$H26*SUM($H41,$H50,$H57),IF('Operating Assumptions'!$G26="$/Unit/Annual",(('Operating Assumptions'!$H26*EC$24)*EC$36)/12,IF('Operating Assumptions'!$G26="$/Unit/Month",('Operating Assumptions'!$H26*EC$24)*EC$36))))))</f>
        <v>0</v>
      </c>
      <c r="ED61" s="427">
        <f>IF(OR(ED$9&lt;'Operating Assumptions'!$D$53,ED$6&gt;'Operating Assumptions'!$AA$8,'Operating Assumptions'!$G26="N/A"),0,IF('Operating Assumptions'!$G26="Fixed Amount",('Operating Assumptions'!$H26*ED$24)/12,IF('Operating Assumptions'!$G26="%/Rent Revenue",'Operating Assumptions'!$H26*$H41,IF('Operating Assumptions'!$G26="% of Total Revenue",'Operating Assumptions'!$H26*SUM($H41,$H50,$H57),IF('Operating Assumptions'!$G26="$/Unit/Annual",(('Operating Assumptions'!$H26*ED$24)*ED$36)/12,IF('Operating Assumptions'!$G26="$/Unit/Month",('Operating Assumptions'!$H26*ED$24)*ED$36))))))</f>
        <v>0</v>
      </c>
      <c r="EE61" s="427">
        <f>IF(OR(EE$9&lt;'Operating Assumptions'!$D$53,EE$6&gt;'Operating Assumptions'!$AA$8,'Operating Assumptions'!$G26="N/A"),0,IF('Operating Assumptions'!$G26="Fixed Amount",('Operating Assumptions'!$H26*EE$24)/12,IF('Operating Assumptions'!$G26="%/Rent Revenue",'Operating Assumptions'!$H26*$H41,IF('Operating Assumptions'!$G26="% of Total Revenue",'Operating Assumptions'!$H26*SUM($H41,$H50,$H57),IF('Operating Assumptions'!$G26="$/Unit/Annual",(('Operating Assumptions'!$H26*EE$24)*EE$36)/12,IF('Operating Assumptions'!$G26="$/Unit/Month",('Operating Assumptions'!$H26*EE$24)*EE$36))))))</f>
        <v>0</v>
      </c>
      <c r="EF61" s="427">
        <f>IF(OR(EF$9&lt;'Operating Assumptions'!$D$53,EF$6&gt;'Operating Assumptions'!$AA$8,'Operating Assumptions'!$G26="N/A"),0,IF('Operating Assumptions'!$G26="Fixed Amount",('Operating Assumptions'!$H26*EF$24)/12,IF('Operating Assumptions'!$G26="%/Rent Revenue",'Operating Assumptions'!$H26*$H41,IF('Operating Assumptions'!$G26="% of Total Revenue",'Operating Assumptions'!$H26*SUM($H41,$H50,$H57),IF('Operating Assumptions'!$G26="$/Unit/Annual",(('Operating Assumptions'!$H26*EF$24)*EF$36)/12,IF('Operating Assumptions'!$G26="$/Unit/Month",('Operating Assumptions'!$H26*EF$24)*EF$36))))))</f>
        <v>0</v>
      </c>
      <c r="EG61" s="427">
        <f>IF(OR(EG$9&lt;'Operating Assumptions'!$D$53,EG$6&gt;'Operating Assumptions'!$AA$8,'Operating Assumptions'!$G26="N/A"),0,IF('Operating Assumptions'!$G26="Fixed Amount",('Operating Assumptions'!$H26*EG$24)/12,IF('Operating Assumptions'!$G26="%/Rent Revenue",'Operating Assumptions'!$H26*$H41,IF('Operating Assumptions'!$G26="% of Total Revenue",'Operating Assumptions'!$H26*SUM($H41,$H50,$H57),IF('Operating Assumptions'!$G26="$/Unit/Annual",(('Operating Assumptions'!$H26*EG$24)*EG$36)/12,IF('Operating Assumptions'!$G26="$/Unit/Month",('Operating Assumptions'!$H26*EG$24)*EG$36))))))</f>
        <v>0</v>
      </c>
      <c r="EH61" s="427">
        <f>IF(OR(EH$9&lt;'Operating Assumptions'!$D$53,EH$6&gt;'Operating Assumptions'!$AA$8,'Operating Assumptions'!$G26="N/A"),0,IF('Operating Assumptions'!$G26="Fixed Amount",('Operating Assumptions'!$H26*EH$24)/12,IF('Operating Assumptions'!$G26="%/Rent Revenue",'Operating Assumptions'!$H26*$H41,IF('Operating Assumptions'!$G26="% of Total Revenue",'Operating Assumptions'!$H26*SUM($H41,$H50,$H57),IF('Operating Assumptions'!$G26="$/Unit/Annual",(('Operating Assumptions'!$H26*EH$24)*EH$36)/12,IF('Operating Assumptions'!$G26="$/Unit/Month",('Operating Assumptions'!$H26*EH$24)*EH$36))))))</f>
        <v>0</v>
      </c>
      <c r="EI61" s="427">
        <f>IF(OR(EI$9&lt;'Operating Assumptions'!$D$53,EI$6&gt;'Operating Assumptions'!$AA$8,'Operating Assumptions'!$G26="N/A"),0,IF('Operating Assumptions'!$G26="Fixed Amount",('Operating Assumptions'!$H26*EI$24)/12,IF('Operating Assumptions'!$G26="%/Rent Revenue",'Operating Assumptions'!$H26*$H41,IF('Operating Assumptions'!$G26="% of Total Revenue",'Operating Assumptions'!$H26*SUM($H41,$H50,$H57),IF('Operating Assumptions'!$G26="$/Unit/Annual",(('Operating Assumptions'!$H26*EI$24)*EI$36)/12,IF('Operating Assumptions'!$G26="$/Unit/Month",('Operating Assumptions'!$H26*EI$24)*EI$36))))))</f>
        <v>0</v>
      </c>
      <c r="EJ61" s="427">
        <f>IF(OR(EJ$9&lt;'Operating Assumptions'!$D$53,EJ$6&gt;'Operating Assumptions'!$AA$8,'Operating Assumptions'!$G26="N/A"),0,IF('Operating Assumptions'!$G26="Fixed Amount",('Operating Assumptions'!$H26*EJ$24)/12,IF('Operating Assumptions'!$G26="%/Rent Revenue",'Operating Assumptions'!$H26*$H41,IF('Operating Assumptions'!$G26="% of Total Revenue",'Operating Assumptions'!$H26*SUM($H41,$H50,$H57),IF('Operating Assumptions'!$G26="$/Unit/Annual",(('Operating Assumptions'!$H26*EJ$24)*EJ$36)/12,IF('Operating Assumptions'!$G26="$/Unit/Month",('Operating Assumptions'!$H26*EJ$24)*EJ$36))))))</f>
        <v>0</v>
      </c>
      <c r="EK61" s="427">
        <f>IF(OR(EK$9&lt;'Operating Assumptions'!$D$53,EK$6&gt;'Operating Assumptions'!$AA$8,'Operating Assumptions'!$G26="N/A"),0,IF('Operating Assumptions'!$G26="Fixed Amount",('Operating Assumptions'!$H26*EK$24)/12,IF('Operating Assumptions'!$G26="%/Rent Revenue",'Operating Assumptions'!$H26*$H41,IF('Operating Assumptions'!$G26="% of Total Revenue",'Operating Assumptions'!$H26*SUM($H41,$H50,$H57),IF('Operating Assumptions'!$G26="$/Unit/Annual",(('Operating Assumptions'!$H26*EK$24)*EK$36)/12,IF('Operating Assumptions'!$G26="$/Unit/Month",('Operating Assumptions'!$H26*EK$24)*EK$36))))))</f>
        <v>0</v>
      </c>
      <c r="EL61" s="427">
        <f>IF(OR(EL$9&lt;'Operating Assumptions'!$D$53,EL$6&gt;'Operating Assumptions'!$AA$8,'Operating Assumptions'!$G26="N/A"),0,IF('Operating Assumptions'!$G26="Fixed Amount",('Operating Assumptions'!$H26*EL$24)/12,IF('Operating Assumptions'!$G26="%/Rent Revenue",'Operating Assumptions'!$H26*$H41,IF('Operating Assumptions'!$G26="% of Total Revenue",'Operating Assumptions'!$H26*SUM($H41,$H50,$H57),IF('Operating Assumptions'!$G26="$/Unit/Annual",(('Operating Assumptions'!$H26*EL$24)*EL$36)/12,IF('Operating Assumptions'!$G26="$/Unit/Month",('Operating Assumptions'!$H26*EL$24)*EL$36))))))</f>
        <v>0</v>
      </c>
      <c r="EM61" s="427">
        <f>IF(OR(EM$9&lt;'Operating Assumptions'!$D$53,EM$6&gt;'Operating Assumptions'!$AA$8,'Operating Assumptions'!$G26="N/A"),0,IF('Operating Assumptions'!$G26="Fixed Amount",('Operating Assumptions'!$H26*EM$24)/12,IF('Operating Assumptions'!$G26="%/Rent Revenue",'Operating Assumptions'!$H26*$H41,IF('Operating Assumptions'!$G26="% of Total Revenue",'Operating Assumptions'!$H26*SUM($H41,$H50,$H57),IF('Operating Assumptions'!$G26="$/Unit/Annual",(('Operating Assumptions'!$H26*EM$24)*EM$36)/12,IF('Operating Assumptions'!$G26="$/Unit/Month",('Operating Assumptions'!$H26*EM$24)*EM$36))))))</f>
        <v>0</v>
      </c>
      <c r="EN61" s="427">
        <f>IF(OR(EN$9&lt;'Operating Assumptions'!$D$53,EN$6&gt;'Operating Assumptions'!$AA$8,'Operating Assumptions'!$G26="N/A"),0,IF('Operating Assumptions'!$G26="Fixed Amount",('Operating Assumptions'!$H26*EN$24)/12,IF('Operating Assumptions'!$G26="%/Rent Revenue",'Operating Assumptions'!$H26*$H41,IF('Operating Assumptions'!$G26="% of Total Revenue",'Operating Assumptions'!$H26*SUM($H41,$H50,$H57),IF('Operating Assumptions'!$G26="$/Unit/Annual",(('Operating Assumptions'!$H26*EN$24)*EN$36)/12,IF('Operating Assumptions'!$G26="$/Unit/Month",('Operating Assumptions'!$H26*EN$24)*EN$36))))))</f>
        <v>0</v>
      </c>
      <c r="EO61" s="427">
        <f>IF(OR(EO$9&lt;'Operating Assumptions'!$D$53,EO$6&gt;'Operating Assumptions'!$AA$8,'Operating Assumptions'!$G26="N/A"),0,IF('Operating Assumptions'!$G26="Fixed Amount",('Operating Assumptions'!$H26*EO$24)/12,IF('Operating Assumptions'!$G26="%/Rent Revenue",'Operating Assumptions'!$H26*$H41,IF('Operating Assumptions'!$G26="% of Total Revenue",'Operating Assumptions'!$H26*SUM($H41,$H50,$H57),IF('Operating Assumptions'!$G26="$/Unit/Annual",(('Operating Assumptions'!$H26*EO$24)*EO$36)/12,IF('Operating Assumptions'!$G26="$/Unit/Month",('Operating Assumptions'!$H26*EO$24)*EO$36))))))</f>
        <v>0</v>
      </c>
      <c r="EP61" s="427">
        <f>IF(OR(EP$9&lt;'Operating Assumptions'!$D$53,EP$6&gt;'Operating Assumptions'!$AA$8,'Operating Assumptions'!$G26="N/A"),0,IF('Operating Assumptions'!$G26="Fixed Amount",('Operating Assumptions'!$H26*EP$24)/12,IF('Operating Assumptions'!$G26="%/Rent Revenue",'Operating Assumptions'!$H26*$H41,IF('Operating Assumptions'!$G26="% of Total Revenue",'Operating Assumptions'!$H26*SUM($H41,$H50,$H57),IF('Operating Assumptions'!$G26="$/Unit/Annual",(('Operating Assumptions'!$H26*EP$24)*EP$36)/12,IF('Operating Assumptions'!$G26="$/Unit/Month",('Operating Assumptions'!$H26*EP$24)*EP$36))))))</f>
        <v>0</v>
      </c>
      <c r="EQ61" s="427">
        <f>IF(OR(EQ$9&lt;'Operating Assumptions'!$D$53,EQ$6&gt;'Operating Assumptions'!$AA$8,'Operating Assumptions'!$G26="N/A"),0,IF('Operating Assumptions'!$G26="Fixed Amount",('Operating Assumptions'!$H26*EQ$24)/12,IF('Operating Assumptions'!$G26="%/Rent Revenue",'Operating Assumptions'!$H26*$H41,IF('Operating Assumptions'!$G26="% of Total Revenue",'Operating Assumptions'!$H26*SUM($H41,$H50,$H57),IF('Operating Assumptions'!$G26="$/Unit/Annual",(('Operating Assumptions'!$H26*EQ$24)*EQ$36)/12,IF('Operating Assumptions'!$G26="$/Unit/Month",('Operating Assumptions'!$H26*EQ$24)*EQ$36))))))</f>
        <v>0</v>
      </c>
      <c r="ER61" s="427">
        <f>IF(OR(ER$9&lt;'Operating Assumptions'!$D$53,ER$6&gt;'Operating Assumptions'!$AA$8,'Operating Assumptions'!$G26="N/A"),0,IF('Operating Assumptions'!$G26="Fixed Amount",('Operating Assumptions'!$H26*ER$24)/12,IF('Operating Assumptions'!$G26="%/Rent Revenue",'Operating Assumptions'!$H26*$H41,IF('Operating Assumptions'!$G26="% of Total Revenue",'Operating Assumptions'!$H26*SUM($H41,$H50,$H57),IF('Operating Assumptions'!$G26="$/Unit/Annual",(('Operating Assumptions'!$H26*ER$24)*ER$36)/12,IF('Operating Assumptions'!$G26="$/Unit/Month",('Operating Assumptions'!$H26*ER$24)*ER$36))))))</f>
        <v>0</v>
      </c>
      <c r="ES61" s="427">
        <f>IF(OR(ES$9&lt;'Operating Assumptions'!$D$53,ES$6&gt;'Operating Assumptions'!$AA$8,'Operating Assumptions'!$G26="N/A"),0,IF('Operating Assumptions'!$G26="Fixed Amount",('Operating Assumptions'!$H26*ES$24)/12,IF('Operating Assumptions'!$G26="%/Rent Revenue",'Operating Assumptions'!$H26*$H41,IF('Operating Assumptions'!$G26="% of Total Revenue",'Operating Assumptions'!$H26*SUM($H41,$H50,$H57),IF('Operating Assumptions'!$G26="$/Unit/Annual",(('Operating Assumptions'!$H26*ES$24)*ES$36)/12,IF('Operating Assumptions'!$G26="$/Unit/Month",('Operating Assumptions'!$H26*ES$24)*ES$36))))))</f>
        <v>0</v>
      </c>
      <c r="ET61" s="427">
        <f>IF(OR(ET$9&lt;'Operating Assumptions'!$D$53,ET$6&gt;'Operating Assumptions'!$AA$8,'Operating Assumptions'!$G26="N/A"),0,IF('Operating Assumptions'!$G26="Fixed Amount",('Operating Assumptions'!$H26*ET$24)/12,IF('Operating Assumptions'!$G26="%/Rent Revenue",'Operating Assumptions'!$H26*$H41,IF('Operating Assumptions'!$G26="% of Total Revenue",'Operating Assumptions'!$H26*SUM($H41,$H50,$H57),IF('Operating Assumptions'!$G26="$/Unit/Annual",(('Operating Assumptions'!$H26*ET$24)*ET$36)/12,IF('Operating Assumptions'!$G26="$/Unit/Month",('Operating Assumptions'!$H26*ET$24)*ET$36))))))</f>
        <v>0</v>
      </c>
      <c r="EU61" s="427">
        <f>IF(OR(EU$9&lt;'Operating Assumptions'!$D$53,EU$6&gt;'Operating Assumptions'!$AA$8,'Operating Assumptions'!$G26="N/A"),0,IF('Operating Assumptions'!$G26="Fixed Amount",('Operating Assumptions'!$H26*EU$24)/12,IF('Operating Assumptions'!$G26="%/Rent Revenue",'Operating Assumptions'!$H26*$H41,IF('Operating Assumptions'!$G26="% of Total Revenue",'Operating Assumptions'!$H26*SUM($H41,$H50,$H57),IF('Operating Assumptions'!$G26="$/Unit/Annual",(('Operating Assumptions'!$H26*EU$24)*EU$36)/12,IF('Operating Assumptions'!$G26="$/Unit/Month",('Operating Assumptions'!$H26*EU$24)*EU$36))))))</f>
        <v>0</v>
      </c>
      <c r="EV61" s="427">
        <f>IF(OR(EV$9&lt;'Operating Assumptions'!$D$53,EV$6&gt;'Operating Assumptions'!$AA$8,'Operating Assumptions'!$G26="N/A"),0,IF('Operating Assumptions'!$G26="Fixed Amount",('Operating Assumptions'!$H26*EV$24)/12,IF('Operating Assumptions'!$G26="%/Rent Revenue",'Operating Assumptions'!$H26*$H41,IF('Operating Assumptions'!$G26="% of Total Revenue",'Operating Assumptions'!$H26*SUM($H41,$H50,$H57),IF('Operating Assumptions'!$G26="$/Unit/Annual",(('Operating Assumptions'!$H26*EV$24)*EV$36)/12,IF('Operating Assumptions'!$G26="$/Unit/Month",('Operating Assumptions'!$H26*EV$24)*EV$36))))))</f>
        <v>0</v>
      </c>
      <c r="EW61" s="427">
        <f>IF(OR(EW$9&lt;'Operating Assumptions'!$D$53,EW$6&gt;'Operating Assumptions'!$AA$8,'Operating Assumptions'!$G26="N/A"),0,IF('Operating Assumptions'!$G26="Fixed Amount",('Operating Assumptions'!$H26*EW$24)/12,IF('Operating Assumptions'!$G26="%/Rent Revenue",'Operating Assumptions'!$H26*$H41,IF('Operating Assumptions'!$G26="% of Total Revenue",'Operating Assumptions'!$H26*SUM($H41,$H50,$H57),IF('Operating Assumptions'!$G26="$/Unit/Annual",(('Operating Assumptions'!$H26*EW$24)*EW$36)/12,IF('Operating Assumptions'!$G26="$/Unit/Month",('Operating Assumptions'!$H26*EW$24)*EW$36))))))</f>
        <v>0</v>
      </c>
      <c r="EX61" s="427">
        <f>IF(OR(EX$9&lt;'Operating Assumptions'!$D$53,EX$6&gt;'Operating Assumptions'!$AA$8,'Operating Assumptions'!$G26="N/A"),0,IF('Operating Assumptions'!$G26="Fixed Amount",('Operating Assumptions'!$H26*EX$24)/12,IF('Operating Assumptions'!$G26="%/Rent Revenue",'Operating Assumptions'!$H26*$H41,IF('Operating Assumptions'!$G26="% of Total Revenue",'Operating Assumptions'!$H26*SUM($H41,$H50,$H57),IF('Operating Assumptions'!$G26="$/Unit/Annual",(('Operating Assumptions'!$H26*EX$24)*EX$36)/12,IF('Operating Assumptions'!$G26="$/Unit/Month",('Operating Assumptions'!$H26*EX$24)*EX$36))))))</f>
        <v>0</v>
      </c>
      <c r="EY61" s="427">
        <f>IF(OR(EY$9&lt;'Operating Assumptions'!$D$53,EY$6&gt;'Operating Assumptions'!$AA$8,'Operating Assumptions'!$G26="N/A"),0,IF('Operating Assumptions'!$G26="Fixed Amount",('Operating Assumptions'!$H26*EY$24)/12,IF('Operating Assumptions'!$G26="%/Rent Revenue",'Operating Assumptions'!$H26*$H41,IF('Operating Assumptions'!$G26="% of Total Revenue",'Operating Assumptions'!$H26*SUM($H41,$H50,$H57),IF('Operating Assumptions'!$G26="$/Unit/Annual",(('Operating Assumptions'!$H26*EY$24)*EY$36)/12,IF('Operating Assumptions'!$G26="$/Unit/Month",('Operating Assumptions'!$H26*EY$24)*EY$36))))))</f>
        <v>0</v>
      </c>
      <c r="EZ61" s="427">
        <f>IF(OR(EZ$9&lt;'Operating Assumptions'!$D$53,EZ$6&gt;'Operating Assumptions'!$AA$8,'Operating Assumptions'!$G26="N/A"),0,IF('Operating Assumptions'!$G26="Fixed Amount",('Operating Assumptions'!$H26*EZ$24)/12,IF('Operating Assumptions'!$G26="%/Rent Revenue",'Operating Assumptions'!$H26*$H41,IF('Operating Assumptions'!$G26="% of Total Revenue",'Operating Assumptions'!$H26*SUM($H41,$H50,$H57),IF('Operating Assumptions'!$G26="$/Unit/Annual",(('Operating Assumptions'!$H26*EZ$24)*EZ$36)/12,IF('Operating Assumptions'!$G26="$/Unit/Month",('Operating Assumptions'!$H26*EZ$24)*EZ$36))))))</f>
        <v>0</v>
      </c>
      <c r="FA61" s="427">
        <f>IF(OR(FA$9&lt;'Operating Assumptions'!$D$53,FA$6&gt;'Operating Assumptions'!$AA$8,'Operating Assumptions'!$G26="N/A"),0,IF('Operating Assumptions'!$G26="Fixed Amount",('Operating Assumptions'!$H26*FA$24)/12,IF('Operating Assumptions'!$G26="%/Rent Revenue",'Operating Assumptions'!$H26*$H41,IF('Operating Assumptions'!$G26="% of Total Revenue",'Operating Assumptions'!$H26*SUM($H41,$H50,$H57),IF('Operating Assumptions'!$G26="$/Unit/Annual",(('Operating Assumptions'!$H26*FA$24)*FA$36)/12,IF('Operating Assumptions'!$G26="$/Unit/Month",('Operating Assumptions'!$H26*FA$24)*FA$36))))))</f>
        <v>0</v>
      </c>
      <c r="FB61" s="427">
        <f>IF(OR(FB$9&lt;'Operating Assumptions'!$D$53,FB$6&gt;'Operating Assumptions'!$AA$8,'Operating Assumptions'!$G26="N/A"),0,IF('Operating Assumptions'!$G26="Fixed Amount",('Operating Assumptions'!$H26*FB$24)/12,IF('Operating Assumptions'!$G26="%/Rent Revenue",'Operating Assumptions'!$H26*$H41,IF('Operating Assumptions'!$G26="% of Total Revenue",'Operating Assumptions'!$H26*SUM($H41,$H50,$H57),IF('Operating Assumptions'!$G26="$/Unit/Annual",(('Operating Assumptions'!$H26*FB$24)*FB$36)/12,IF('Operating Assumptions'!$G26="$/Unit/Month",('Operating Assumptions'!$H26*FB$24)*FB$36))))))</f>
        <v>0</v>
      </c>
      <c r="FC61" s="427">
        <f>IF(OR(FC$9&lt;'Operating Assumptions'!$D$53,FC$6&gt;'Operating Assumptions'!$AA$8,'Operating Assumptions'!$G26="N/A"),0,IF('Operating Assumptions'!$G26="Fixed Amount",('Operating Assumptions'!$H26*FC$24)/12,IF('Operating Assumptions'!$G26="%/Rent Revenue",'Operating Assumptions'!$H26*$H41,IF('Operating Assumptions'!$G26="% of Total Revenue",'Operating Assumptions'!$H26*SUM($H41,$H50,$H57),IF('Operating Assumptions'!$G26="$/Unit/Annual",(('Operating Assumptions'!$H26*FC$24)*FC$36)/12,IF('Operating Assumptions'!$G26="$/Unit/Month",('Operating Assumptions'!$H26*FC$24)*FC$36))))))</f>
        <v>0</v>
      </c>
      <c r="FD61" s="427">
        <f>IF(OR(FD$9&lt;'Operating Assumptions'!$D$53,FD$6&gt;'Operating Assumptions'!$AA$8,'Operating Assumptions'!$G26="N/A"),0,IF('Operating Assumptions'!$G26="Fixed Amount",('Operating Assumptions'!$H26*FD$24)/12,IF('Operating Assumptions'!$G26="%/Rent Revenue",'Operating Assumptions'!$H26*$H41,IF('Operating Assumptions'!$G26="% of Total Revenue",'Operating Assumptions'!$H26*SUM($H41,$H50,$H57),IF('Operating Assumptions'!$G26="$/Unit/Annual",(('Operating Assumptions'!$H26*FD$24)*FD$36)/12,IF('Operating Assumptions'!$G26="$/Unit/Month",('Operating Assumptions'!$H26*FD$24)*FD$36))))))</f>
        <v>0</v>
      </c>
      <c r="FE61" s="427">
        <f>IF(OR(FE$9&lt;'Operating Assumptions'!$D$53,FE$6&gt;'Operating Assumptions'!$AA$8,'Operating Assumptions'!$G26="N/A"),0,IF('Operating Assumptions'!$G26="Fixed Amount",('Operating Assumptions'!$H26*FE$24)/12,IF('Operating Assumptions'!$G26="%/Rent Revenue",'Operating Assumptions'!$H26*$H41,IF('Operating Assumptions'!$G26="% of Total Revenue",'Operating Assumptions'!$H26*SUM($H41,$H50,$H57),IF('Operating Assumptions'!$G26="$/Unit/Annual",(('Operating Assumptions'!$H26*FE$24)*FE$36)/12,IF('Operating Assumptions'!$G26="$/Unit/Month",('Operating Assumptions'!$H26*FE$24)*FE$36))))))</f>
        <v>0</v>
      </c>
      <c r="FF61" s="427">
        <f>IF(OR(FF$9&lt;'Operating Assumptions'!$D$53,FF$6&gt;'Operating Assumptions'!$AA$8,'Operating Assumptions'!$G26="N/A"),0,IF('Operating Assumptions'!$G26="Fixed Amount",('Operating Assumptions'!$H26*FF$24)/12,IF('Operating Assumptions'!$G26="%/Rent Revenue",'Operating Assumptions'!$H26*$H41,IF('Operating Assumptions'!$G26="% of Total Revenue",'Operating Assumptions'!$H26*SUM($H41,$H50,$H57),IF('Operating Assumptions'!$G26="$/Unit/Annual",(('Operating Assumptions'!$H26*FF$24)*FF$36)/12,IF('Operating Assumptions'!$G26="$/Unit/Month",('Operating Assumptions'!$H26*FF$24)*FF$36))))))</f>
        <v>0</v>
      </c>
      <c r="FG61" s="427">
        <f>IF(OR(FG$9&lt;'Operating Assumptions'!$D$53,FG$6&gt;'Operating Assumptions'!$AA$8,'Operating Assumptions'!$G26="N/A"),0,IF('Operating Assumptions'!$G26="Fixed Amount",('Operating Assumptions'!$H26*FG$24)/12,IF('Operating Assumptions'!$G26="%/Rent Revenue",'Operating Assumptions'!$H26*$H41,IF('Operating Assumptions'!$G26="% of Total Revenue",'Operating Assumptions'!$H26*SUM($H41,$H50,$H57),IF('Operating Assumptions'!$G26="$/Unit/Annual",(('Operating Assumptions'!$H26*FG$24)*FG$36)/12,IF('Operating Assumptions'!$G26="$/Unit/Month",('Operating Assumptions'!$H26*FG$24)*FG$36))))))</f>
        <v>0</v>
      </c>
      <c r="FH61" s="427">
        <f>IF(OR(FH$9&lt;'Operating Assumptions'!$D$53,FH$6&gt;'Operating Assumptions'!$AA$8,'Operating Assumptions'!$G26="N/A"),0,IF('Operating Assumptions'!$G26="Fixed Amount",('Operating Assumptions'!$H26*FH$24)/12,IF('Operating Assumptions'!$G26="%/Rent Revenue",'Operating Assumptions'!$H26*$H41,IF('Operating Assumptions'!$G26="% of Total Revenue",'Operating Assumptions'!$H26*SUM($H41,$H50,$H57),IF('Operating Assumptions'!$G26="$/Unit/Annual",(('Operating Assumptions'!$H26*FH$24)*FH$36)/12,IF('Operating Assumptions'!$G26="$/Unit/Month",('Operating Assumptions'!$H26*FH$24)*FH$36))))))</f>
        <v>0</v>
      </c>
      <c r="FI61" s="427">
        <f>IF(OR(FI$9&lt;'Operating Assumptions'!$D$53,FI$6&gt;'Operating Assumptions'!$AA$8,'Operating Assumptions'!$G26="N/A"),0,IF('Operating Assumptions'!$G26="Fixed Amount",('Operating Assumptions'!$H26*FI$24)/12,IF('Operating Assumptions'!$G26="%/Rent Revenue",'Operating Assumptions'!$H26*$H41,IF('Operating Assumptions'!$G26="% of Total Revenue",'Operating Assumptions'!$H26*SUM($H41,$H50,$H57),IF('Operating Assumptions'!$G26="$/Unit/Annual",(('Operating Assumptions'!$H26*FI$24)*FI$36)/12,IF('Operating Assumptions'!$G26="$/Unit/Month",('Operating Assumptions'!$H26*FI$24)*FI$36))))))</f>
        <v>0</v>
      </c>
      <c r="FJ61" s="427">
        <f>IF(OR(FJ$9&lt;'Operating Assumptions'!$D$53,FJ$6&gt;'Operating Assumptions'!$AA$8,'Operating Assumptions'!$G26="N/A"),0,IF('Operating Assumptions'!$G26="Fixed Amount",('Operating Assumptions'!$H26*FJ$24)/12,IF('Operating Assumptions'!$G26="%/Rent Revenue",'Operating Assumptions'!$H26*$H41,IF('Operating Assumptions'!$G26="% of Total Revenue",'Operating Assumptions'!$H26*SUM($H41,$H50,$H57),IF('Operating Assumptions'!$G26="$/Unit/Annual",(('Operating Assumptions'!$H26*FJ$24)*FJ$36)/12,IF('Operating Assumptions'!$G26="$/Unit/Month",('Operating Assumptions'!$H26*FJ$24)*FJ$36))))))</f>
        <v>0</v>
      </c>
      <c r="FK61" s="427">
        <f>IF(OR(FK$9&lt;'Operating Assumptions'!$D$53,FK$6&gt;'Operating Assumptions'!$AA$8,'Operating Assumptions'!$G26="N/A"),0,IF('Operating Assumptions'!$G26="Fixed Amount",('Operating Assumptions'!$H26*FK$24)/12,IF('Operating Assumptions'!$G26="%/Rent Revenue",'Operating Assumptions'!$H26*$H41,IF('Operating Assumptions'!$G26="% of Total Revenue",'Operating Assumptions'!$H26*SUM($H41,$H50,$H57),IF('Operating Assumptions'!$G26="$/Unit/Annual",(('Operating Assumptions'!$H26*FK$24)*FK$36)/12,IF('Operating Assumptions'!$G26="$/Unit/Month",('Operating Assumptions'!$H26*FK$24)*FK$36))))))</f>
        <v>0</v>
      </c>
      <c r="FL61" s="427">
        <f>IF(OR(FL$9&lt;'Operating Assumptions'!$D$53,FL$6&gt;'Operating Assumptions'!$AA$8,'Operating Assumptions'!$G26="N/A"),0,IF('Operating Assumptions'!$G26="Fixed Amount",('Operating Assumptions'!$H26*FL$24)/12,IF('Operating Assumptions'!$G26="%/Rent Revenue",'Operating Assumptions'!$H26*$H41,IF('Operating Assumptions'!$G26="% of Total Revenue",'Operating Assumptions'!$H26*SUM($H41,$H50,$H57),IF('Operating Assumptions'!$G26="$/Unit/Annual",(('Operating Assumptions'!$H26*FL$24)*FL$36)/12,IF('Operating Assumptions'!$G26="$/Unit/Month",('Operating Assumptions'!$H26*FL$24)*FL$36))))))</f>
        <v>0</v>
      </c>
      <c r="FM61" s="427">
        <f>IF(OR(FM$9&lt;'Operating Assumptions'!$D$53,FM$6&gt;'Operating Assumptions'!$AA$8,'Operating Assumptions'!$G26="N/A"),0,IF('Operating Assumptions'!$G26="Fixed Amount",('Operating Assumptions'!$H26*FM$24)/12,IF('Operating Assumptions'!$G26="%/Rent Revenue",'Operating Assumptions'!$H26*$H41,IF('Operating Assumptions'!$G26="% of Total Revenue",'Operating Assumptions'!$H26*SUM($H41,$H50,$H57),IF('Operating Assumptions'!$G26="$/Unit/Annual",(('Operating Assumptions'!$H26*FM$24)*FM$36)/12,IF('Operating Assumptions'!$G26="$/Unit/Month",('Operating Assumptions'!$H26*FM$24)*FM$36))))))</f>
        <v>0</v>
      </c>
      <c r="FN61" s="427">
        <f>IF(OR(FN$9&lt;'Operating Assumptions'!$D$53,FN$6&gt;'Operating Assumptions'!$AA$8,'Operating Assumptions'!$G26="N/A"),0,IF('Operating Assumptions'!$G26="Fixed Amount",('Operating Assumptions'!$H26*FN$24)/12,IF('Operating Assumptions'!$G26="%/Rent Revenue",'Operating Assumptions'!$H26*$H41,IF('Operating Assumptions'!$G26="% of Total Revenue",'Operating Assumptions'!$H26*SUM($H41,$H50,$H57),IF('Operating Assumptions'!$G26="$/Unit/Annual",(('Operating Assumptions'!$H26*FN$24)*FN$36)/12,IF('Operating Assumptions'!$G26="$/Unit/Month",('Operating Assumptions'!$H26*FN$24)*FN$36))))))</f>
        <v>0</v>
      </c>
      <c r="FO61" s="427">
        <f>IF(OR(FO$9&lt;'Operating Assumptions'!$D$53,FO$6&gt;'Operating Assumptions'!$AA$8,'Operating Assumptions'!$G26="N/A"),0,IF('Operating Assumptions'!$G26="Fixed Amount",('Operating Assumptions'!$H26*FO$24)/12,IF('Operating Assumptions'!$G26="%/Rent Revenue",'Operating Assumptions'!$H26*$H41,IF('Operating Assumptions'!$G26="% of Total Revenue",'Operating Assumptions'!$H26*SUM($H41,$H50,$H57),IF('Operating Assumptions'!$G26="$/Unit/Annual",(('Operating Assumptions'!$H26*FO$24)*FO$36)/12,IF('Operating Assumptions'!$G26="$/Unit/Month",('Operating Assumptions'!$H26*FO$24)*FO$36))))))</f>
        <v>0</v>
      </c>
      <c r="FP61" s="427">
        <f>IF(OR(FP$9&lt;'Operating Assumptions'!$D$53,FP$6&gt;'Operating Assumptions'!$AA$8,'Operating Assumptions'!$G26="N/A"),0,IF('Operating Assumptions'!$G26="Fixed Amount",('Operating Assumptions'!$H26*FP$24)/12,IF('Operating Assumptions'!$G26="%/Rent Revenue",'Operating Assumptions'!$H26*$H41,IF('Operating Assumptions'!$G26="% of Total Revenue",'Operating Assumptions'!$H26*SUM($H41,$H50,$H57),IF('Operating Assumptions'!$G26="$/Unit/Annual",(('Operating Assumptions'!$H26*FP$24)*FP$36)/12,IF('Operating Assumptions'!$G26="$/Unit/Month",('Operating Assumptions'!$H26*FP$24)*FP$36))))))</f>
        <v>0</v>
      </c>
      <c r="FQ61" s="427">
        <f>IF(OR(FQ$9&lt;'Operating Assumptions'!$D$53,FQ$6&gt;'Operating Assumptions'!$AA$8,'Operating Assumptions'!$G26="N/A"),0,IF('Operating Assumptions'!$G26="Fixed Amount",('Operating Assumptions'!$H26*FQ$24)/12,IF('Operating Assumptions'!$G26="%/Rent Revenue",'Operating Assumptions'!$H26*$H41,IF('Operating Assumptions'!$G26="% of Total Revenue",'Operating Assumptions'!$H26*SUM($H41,$H50,$H57),IF('Operating Assumptions'!$G26="$/Unit/Annual",(('Operating Assumptions'!$H26*FQ$24)*FQ$36)/12,IF('Operating Assumptions'!$G26="$/Unit/Month",('Operating Assumptions'!$H26*FQ$24)*FQ$36))))))</f>
        <v>0</v>
      </c>
      <c r="FR61" s="427">
        <f>IF(OR(FR$9&lt;'Operating Assumptions'!$D$53,FR$6&gt;'Operating Assumptions'!$AA$8,'Operating Assumptions'!$G26="N/A"),0,IF('Operating Assumptions'!$G26="Fixed Amount",('Operating Assumptions'!$H26*FR$24)/12,IF('Operating Assumptions'!$G26="%/Rent Revenue",'Operating Assumptions'!$H26*$H41,IF('Operating Assumptions'!$G26="% of Total Revenue",'Operating Assumptions'!$H26*SUM($H41,$H50,$H57),IF('Operating Assumptions'!$G26="$/Unit/Annual",(('Operating Assumptions'!$H26*FR$24)*FR$36)/12,IF('Operating Assumptions'!$G26="$/Unit/Month",('Operating Assumptions'!$H26*FR$24)*FR$36))))))</f>
        <v>0</v>
      </c>
      <c r="FS61" s="427">
        <f>IF(OR(FS$9&lt;'Operating Assumptions'!$D$53,FS$6&gt;'Operating Assumptions'!$AA$8,'Operating Assumptions'!$G26="N/A"),0,IF('Operating Assumptions'!$G26="Fixed Amount",('Operating Assumptions'!$H26*FS$24)/12,IF('Operating Assumptions'!$G26="%/Rent Revenue",'Operating Assumptions'!$H26*$H41,IF('Operating Assumptions'!$G26="% of Total Revenue",'Operating Assumptions'!$H26*SUM($H41,$H50,$H57),IF('Operating Assumptions'!$G26="$/Unit/Annual",(('Operating Assumptions'!$H26*FS$24)*FS$36)/12,IF('Operating Assumptions'!$G26="$/Unit/Month",('Operating Assumptions'!$H26*FS$24)*FS$36))))))</f>
        <v>0</v>
      </c>
      <c r="FT61" s="427">
        <f>IF(OR(FT$9&lt;'Operating Assumptions'!$D$53,FT$6&gt;'Operating Assumptions'!$AA$8,'Operating Assumptions'!$G26="N/A"),0,IF('Operating Assumptions'!$G26="Fixed Amount",('Operating Assumptions'!$H26*FT$24)/12,IF('Operating Assumptions'!$G26="%/Rent Revenue",'Operating Assumptions'!$H26*$H41,IF('Operating Assumptions'!$G26="% of Total Revenue",'Operating Assumptions'!$H26*SUM($H41,$H50,$H57),IF('Operating Assumptions'!$G26="$/Unit/Annual",(('Operating Assumptions'!$H26*FT$24)*FT$36)/12,IF('Operating Assumptions'!$G26="$/Unit/Month",('Operating Assumptions'!$H26*FT$24)*FT$36))))))</f>
        <v>0</v>
      </c>
      <c r="FU61" s="43"/>
      <c r="FV61" s="34"/>
      <c r="FW61" s="34"/>
      <c r="FX61" s="34"/>
      <c r="FY61" s="34"/>
      <c r="FZ61" s="34"/>
    </row>
    <row r="62" spans="1:182" s="89" customFormat="1" ht="13.5" x14ac:dyDescent="0.25">
      <c r="A62" s="34"/>
      <c r="B62" s="433" t="s">
        <v>354</v>
      </c>
      <c r="C62" s="34"/>
      <c r="D62" s="34"/>
      <c r="E62" s="34"/>
      <c r="F62" s="429">
        <f t="shared" si="155"/>
        <v>0</v>
      </c>
      <c r="G62" s="34"/>
      <c r="H62" s="431">
        <f>SUM(H60:H61)</f>
        <v>0</v>
      </c>
      <c r="I62" s="431">
        <f t="shared" ref="I62:BT62" si="156">SUM(I60:I61)</f>
        <v>0</v>
      </c>
      <c r="J62" s="431">
        <f t="shared" si="156"/>
        <v>0</v>
      </c>
      <c r="K62" s="431">
        <f t="shared" si="156"/>
        <v>0</v>
      </c>
      <c r="L62" s="431">
        <f t="shared" si="156"/>
        <v>0</v>
      </c>
      <c r="M62" s="431">
        <f t="shared" si="156"/>
        <v>0</v>
      </c>
      <c r="N62" s="431">
        <f t="shared" si="156"/>
        <v>0</v>
      </c>
      <c r="O62" s="431">
        <f t="shared" si="156"/>
        <v>0</v>
      </c>
      <c r="P62" s="431">
        <f t="shared" si="156"/>
        <v>0</v>
      </c>
      <c r="Q62" s="431">
        <f t="shared" si="156"/>
        <v>0</v>
      </c>
      <c r="R62" s="431">
        <f t="shared" si="156"/>
        <v>0</v>
      </c>
      <c r="S62" s="431">
        <f t="shared" si="156"/>
        <v>0</v>
      </c>
      <c r="T62" s="431">
        <f t="shared" si="156"/>
        <v>0</v>
      </c>
      <c r="U62" s="431">
        <f t="shared" si="156"/>
        <v>0</v>
      </c>
      <c r="V62" s="431">
        <f t="shared" si="156"/>
        <v>0</v>
      </c>
      <c r="W62" s="431">
        <f t="shared" si="156"/>
        <v>0</v>
      </c>
      <c r="X62" s="431">
        <f t="shared" si="156"/>
        <v>0</v>
      </c>
      <c r="Y62" s="431">
        <f t="shared" si="156"/>
        <v>0</v>
      </c>
      <c r="Z62" s="431">
        <f t="shared" si="156"/>
        <v>0</v>
      </c>
      <c r="AA62" s="431">
        <f t="shared" si="156"/>
        <v>0</v>
      </c>
      <c r="AB62" s="431">
        <f t="shared" si="156"/>
        <v>0</v>
      </c>
      <c r="AC62" s="431">
        <f t="shared" si="156"/>
        <v>0</v>
      </c>
      <c r="AD62" s="431">
        <f t="shared" si="156"/>
        <v>0</v>
      </c>
      <c r="AE62" s="431">
        <f t="shared" si="156"/>
        <v>0</v>
      </c>
      <c r="AF62" s="431">
        <f t="shared" si="156"/>
        <v>0</v>
      </c>
      <c r="AG62" s="431">
        <f t="shared" si="156"/>
        <v>0</v>
      </c>
      <c r="AH62" s="431">
        <f t="shared" si="156"/>
        <v>0</v>
      </c>
      <c r="AI62" s="431">
        <f t="shared" si="156"/>
        <v>0</v>
      </c>
      <c r="AJ62" s="431">
        <f t="shared" si="156"/>
        <v>0</v>
      </c>
      <c r="AK62" s="431">
        <f t="shared" si="156"/>
        <v>0</v>
      </c>
      <c r="AL62" s="431">
        <f t="shared" si="156"/>
        <v>0</v>
      </c>
      <c r="AM62" s="431">
        <f t="shared" si="156"/>
        <v>0</v>
      </c>
      <c r="AN62" s="431">
        <f t="shared" si="156"/>
        <v>0</v>
      </c>
      <c r="AO62" s="431">
        <f t="shared" si="156"/>
        <v>0</v>
      </c>
      <c r="AP62" s="431">
        <f t="shared" si="156"/>
        <v>0</v>
      </c>
      <c r="AQ62" s="431">
        <f t="shared" si="156"/>
        <v>0</v>
      </c>
      <c r="AR62" s="431">
        <f t="shared" si="156"/>
        <v>0</v>
      </c>
      <c r="AS62" s="431">
        <f t="shared" si="156"/>
        <v>0</v>
      </c>
      <c r="AT62" s="431">
        <f t="shared" si="156"/>
        <v>0</v>
      </c>
      <c r="AU62" s="431">
        <f t="shared" si="156"/>
        <v>0</v>
      </c>
      <c r="AV62" s="431">
        <f t="shared" si="156"/>
        <v>0</v>
      </c>
      <c r="AW62" s="431">
        <f t="shared" si="156"/>
        <v>0</v>
      </c>
      <c r="AX62" s="431">
        <f t="shared" si="156"/>
        <v>0</v>
      </c>
      <c r="AY62" s="431">
        <f t="shared" si="156"/>
        <v>0</v>
      </c>
      <c r="AZ62" s="431">
        <f t="shared" si="156"/>
        <v>0</v>
      </c>
      <c r="BA62" s="431">
        <f t="shared" si="156"/>
        <v>0</v>
      </c>
      <c r="BB62" s="431">
        <f t="shared" si="156"/>
        <v>0</v>
      </c>
      <c r="BC62" s="431">
        <f t="shared" si="156"/>
        <v>0</v>
      </c>
      <c r="BD62" s="431">
        <f t="shared" si="156"/>
        <v>0</v>
      </c>
      <c r="BE62" s="431">
        <f t="shared" si="156"/>
        <v>0</v>
      </c>
      <c r="BF62" s="431">
        <f t="shared" si="156"/>
        <v>0</v>
      </c>
      <c r="BG62" s="431">
        <f t="shared" si="156"/>
        <v>0</v>
      </c>
      <c r="BH62" s="431">
        <f t="shared" si="156"/>
        <v>0</v>
      </c>
      <c r="BI62" s="431">
        <f t="shared" si="156"/>
        <v>0</v>
      </c>
      <c r="BJ62" s="431">
        <f t="shared" si="156"/>
        <v>0</v>
      </c>
      <c r="BK62" s="431">
        <f t="shared" si="156"/>
        <v>0</v>
      </c>
      <c r="BL62" s="431">
        <f t="shared" si="156"/>
        <v>0</v>
      </c>
      <c r="BM62" s="431">
        <f t="shared" si="156"/>
        <v>0</v>
      </c>
      <c r="BN62" s="431">
        <f t="shared" si="156"/>
        <v>0</v>
      </c>
      <c r="BO62" s="431">
        <f t="shared" si="156"/>
        <v>0</v>
      </c>
      <c r="BP62" s="431">
        <f t="shared" si="156"/>
        <v>0</v>
      </c>
      <c r="BQ62" s="431">
        <f t="shared" si="156"/>
        <v>0</v>
      </c>
      <c r="BR62" s="431">
        <f t="shared" si="156"/>
        <v>0</v>
      </c>
      <c r="BS62" s="431">
        <f t="shared" si="156"/>
        <v>0</v>
      </c>
      <c r="BT62" s="431">
        <f t="shared" si="156"/>
        <v>0</v>
      </c>
      <c r="BU62" s="431">
        <f t="shared" ref="BU62:EF62" si="157">SUM(BU60:BU61)</f>
        <v>0</v>
      </c>
      <c r="BV62" s="431">
        <f t="shared" si="157"/>
        <v>0</v>
      </c>
      <c r="BW62" s="431">
        <f t="shared" si="157"/>
        <v>0</v>
      </c>
      <c r="BX62" s="431">
        <f t="shared" si="157"/>
        <v>0</v>
      </c>
      <c r="BY62" s="431">
        <f t="shared" si="157"/>
        <v>0</v>
      </c>
      <c r="BZ62" s="431">
        <f t="shared" si="157"/>
        <v>0</v>
      </c>
      <c r="CA62" s="431">
        <f t="shared" si="157"/>
        <v>0</v>
      </c>
      <c r="CB62" s="431">
        <f t="shared" si="157"/>
        <v>0</v>
      </c>
      <c r="CC62" s="431">
        <f t="shared" si="157"/>
        <v>0</v>
      </c>
      <c r="CD62" s="431">
        <f t="shared" si="157"/>
        <v>0</v>
      </c>
      <c r="CE62" s="431">
        <f t="shared" si="157"/>
        <v>0</v>
      </c>
      <c r="CF62" s="431">
        <f t="shared" si="157"/>
        <v>0</v>
      </c>
      <c r="CG62" s="431">
        <f t="shared" si="157"/>
        <v>0</v>
      </c>
      <c r="CH62" s="431">
        <f t="shared" si="157"/>
        <v>0</v>
      </c>
      <c r="CI62" s="431">
        <f t="shared" si="157"/>
        <v>0</v>
      </c>
      <c r="CJ62" s="431">
        <f t="shared" si="157"/>
        <v>0</v>
      </c>
      <c r="CK62" s="431">
        <f t="shared" si="157"/>
        <v>0</v>
      </c>
      <c r="CL62" s="431">
        <f t="shared" si="157"/>
        <v>0</v>
      </c>
      <c r="CM62" s="431">
        <f t="shared" si="157"/>
        <v>0</v>
      </c>
      <c r="CN62" s="431">
        <f t="shared" si="157"/>
        <v>0</v>
      </c>
      <c r="CO62" s="431">
        <f t="shared" si="157"/>
        <v>0</v>
      </c>
      <c r="CP62" s="431">
        <f t="shared" si="157"/>
        <v>0</v>
      </c>
      <c r="CQ62" s="431">
        <f t="shared" si="157"/>
        <v>0</v>
      </c>
      <c r="CR62" s="431">
        <f t="shared" si="157"/>
        <v>0</v>
      </c>
      <c r="CS62" s="431">
        <f t="shared" si="157"/>
        <v>0</v>
      </c>
      <c r="CT62" s="431">
        <f t="shared" si="157"/>
        <v>0</v>
      </c>
      <c r="CU62" s="431">
        <f t="shared" si="157"/>
        <v>0</v>
      </c>
      <c r="CV62" s="431">
        <f t="shared" si="157"/>
        <v>0</v>
      </c>
      <c r="CW62" s="431">
        <f t="shared" si="157"/>
        <v>0</v>
      </c>
      <c r="CX62" s="431">
        <f t="shared" si="157"/>
        <v>0</v>
      </c>
      <c r="CY62" s="431">
        <f t="shared" si="157"/>
        <v>0</v>
      </c>
      <c r="CZ62" s="431">
        <f t="shared" si="157"/>
        <v>0</v>
      </c>
      <c r="DA62" s="431">
        <f t="shared" si="157"/>
        <v>0</v>
      </c>
      <c r="DB62" s="431">
        <f t="shared" si="157"/>
        <v>0</v>
      </c>
      <c r="DC62" s="431">
        <f t="shared" si="157"/>
        <v>0</v>
      </c>
      <c r="DD62" s="431">
        <f t="shared" si="157"/>
        <v>0</v>
      </c>
      <c r="DE62" s="431">
        <f t="shared" si="157"/>
        <v>0</v>
      </c>
      <c r="DF62" s="431">
        <f t="shared" si="157"/>
        <v>0</v>
      </c>
      <c r="DG62" s="431">
        <f t="shared" si="157"/>
        <v>0</v>
      </c>
      <c r="DH62" s="431">
        <f t="shared" si="157"/>
        <v>0</v>
      </c>
      <c r="DI62" s="431">
        <f t="shared" si="157"/>
        <v>0</v>
      </c>
      <c r="DJ62" s="431">
        <f t="shared" si="157"/>
        <v>0</v>
      </c>
      <c r="DK62" s="431">
        <f t="shared" si="157"/>
        <v>0</v>
      </c>
      <c r="DL62" s="431">
        <f t="shared" si="157"/>
        <v>0</v>
      </c>
      <c r="DM62" s="431">
        <f t="shared" si="157"/>
        <v>0</v>
      </c>
      <c r="DN62" s="431">
        <f t="shared" si="157"/>
        <v>0</v>
      </c>
      <c r="DO62" s="431">
        <f t="shared" si="157"/>
        <v>0</v>
      </c>
      <c r="DP62" s="431">
        <f t="shared" si="157"/>
        <v>0</v>
      </c>
      <c r="DQ62" s="431">
        <f t="shared" si="157"/>
        <v>0</v>
      </c>
      <c r="DR62" s="431">
        <f t="shared" si="157"/>
        <v>0</v>
      </c>
      <c r="DS62" s="431">
        <f t="shared" si="157"/>
        <v>0</v>
      </c>
      <c r="DT62" s="431">
        <f t="shared" si="157"/>
        <v>0</v>
      </c>
      <c r="DU62" s="431">
        <f t="shared" si="157"/>
        <v>0</v>
      </c>
      <c r="DV62" s="431">
        <f t="shared" si="157"/>
        <v>0</v>
      </c>
      <c r="DW62" s="431">
        <f t="shared" si="157"/>
        <v>0</v>
      </c>
      <c r="DX62" s="431">
        <f t="shared" si="157"/>
        <v>0</v>
      </c>
      <c r="DY62" s="431">
        <f t="shared" si="157"/>
        <v>0</v>
      </c>
      <c r="DZ62" s="431">
        <f t="shared" si="157"/>
        <v>0</v>
      </c>
      <c r="EA62" s="431">
        <f t="shared" si="157"/>
        <v>0</v>
      </c>
      <c r="EB62" s="431">
        <f t="shared" si="157"/>
        <v>0</v>
      </c>
      <c r="EC62" s="431">
        <f t="shared" si="157"/>
        <v>0</v>
      </c>
      <c r="ED62" s="431">
        <f t="shared" si="157"/>
        <v>0</v>
      </c>
      <c r="EE62" s="431">
        <f t="shared" si="157"/>
        <v>0</v>
      </c>
      <c r="EF62" s="431">
        <f t="shared" si="157"/>
        <v>0</v>
      </c>
      <c r="EG62" s="431">
        <f t="shared" ref="EG62:FT62" si="158">SUM(EG60:EG61)</f>
        <v>0</v>
      </c>
      <c r="EH62" s="431">
        <f t="shared" si="158"/>
        <v>0</v>
      </c>
      <c r="EI62" s="431">
        <f t="shared" si="158"/>
        <v>0</v>
      </c>
      <c r="EJ62" s="431">
        <f t="shared" si="158"/>
        <v>0</v>
      </c>
      <c r="EK62" s="431">
        <f t="shared" si="158"/>
        <v>0</v>
      </c>
      <c r="EL62" s="431">
        <f t="shared" si="158"/>
        <v>0</v>
      </c>
      <c r="EM62" s="431">
        <f t="shared" si="158"/>
        <v>0</v>
      </c>
      <c r="EN62" s="431">
        <f t="shared" si="158"/>
        <v>0</v>
      </c>
      <c r="EO62" s="431">
        <f t="shared" si="158"/>
        <v>0</v>
      </c>
      <c r="EP62" s="431">
        <f t="shared" si="158"/>
        <v>0</v>
      </c>
      <c r="EQ62" s="431">
        <f t="shared" si="158"/>
        <v>0</v>
      </c>
      <c r="ER62" s="431">
        <f t="shared" si="158"/>
        <v>0</v>
      </c>
      <c r="ES62" s="431">
        <f t="shared" si="158"/>
        <v>0</v>
      </c>
      <c r="ET62" s="431">
        <f t="shared" si="158"/>
        <v>0</v>
      </c>
      <c r="EU62" s="431">
        <f t="shared" si="158"/>
        <v>0</v>
      </c>
      <c r="EV62" s="431">
        <f t="shared" si="158"/>
        <v>0</v>
      </c>
      <c r="EW62" s="431">
        <f t="shared" si="158"/>
        <v>0</v>
      </c>
      <c r="EX62" s="431">
        <f t="shared" si="158"/>
        <v>0</v>
      </c>
      <c r="EY62" s="431">
        <f t="shared" si="158"/>
        <v>0</v>
      </c>
      <c r="EZ62" s="431">
        <f t="shared" si="158"/>
        <v>0</v>
      </c>
      <c r="FA62" s="431">
        <f t="shared" si="158"/>
        <v>0</v>
      </c>
      <c r="FB62" s="431">
        <f t="shared" si="158"/>
        <v>0</v>
      </c>
      <c r="FC62" s="431">
        <f t="shared" si="158"/>
        <v>0</v>
      </c>
      <c r="FD62" s="431">
        <f t="shared" si="158"/>
        <v>0</v>
      </c>
      <c r="FE62" s="431">
        <f t="shared" si="158"/>
        <v>0</v>
      </c>
      <c r="FF62" s="431">
        <f t="shared" si="158"/>
        <v>0</v>
      </c>
      <c r="FG62" s="431">
        <f t="shared" si="158"/>
        <v>0</v>
      </c>
      <c r="FH62" s="431">
        <f t="shared" si="158"/>
        <v>0</v>
      </c>
      <c r="FI62" s="431">
        <f t="shared" si="158"/>
        <v>0</v>
      </c>
      <c r="FJ62" s="431">
        <f t="shared" si="158"/>
        <v>0</v>
      </c>
      <c r="FK62" s="431">
        <f t="shared" si="158"/>
        <v>0</v>
      </c>
      <c r="FL62" s="431">
        <f t="shared" si="158"/>
        <v>0</v>
      </c>
      <c r="FM62" s="431">
        <f t="shared" si="158"/>
        <v>0</v>
      </c>
      <c r="FN62" s="431">
        <f t="shared" si="158"/>
        <v>0</v>
      </c>
      <c r="FO62" s="431">
        <f t="shared" si="158"/>
        <v>0</v>
      </c>
      <c r="FP62" s="431">
        <f t="shared" si="158"/>
        <v>0</v>
      </c>
      <c r="FQ62" s="431">
        <f t="shared" si="158"/>
        <v>0</v>
      </c>
      <c r="FR62" s="431">
        <f t="shared" si="158"/>
        <v>0</v>
      </c>
      <c r="FS62" s="431">
        <f t="shared" si="158"/>
        <v>0</v>
      </c>
      <c r="FT62" s="431">
        <f t="shared" si="158"/>
        <v>0</v>
      </c>
      <c r="FU62" s="43"/>
      <c r="FV62" s="34"/>
      <c r="FW62" s="34"/>
      <c r="FX62" s="34"/>
      <c r="FY62" s="34"/>
      <c r="FZ62" s="34"/>
    </row>
    <row r="63" spans="1:182" s="89" customFormat="1" ht="13.5" x14ac:dyDescent="0.25">
      <c r="A63" s="34"/>
      <c r="B63" s="433"/>
      <c r="C63" s="34"/>
      <c r="D63" s="34"/>
      <c r="E63" s="34"/>
      <c r="F63" s="428"/>
      <c r="G63" s="34"/>
      <c r="H63" s="800"/>
      <c r="I63" s="800"/>
      <c r="J63" s="800"/>
      <c r="K63" s="800"/>
      <c r="L63" s="800"/>
      <c r="M63" s="800"/>
      <c r="N63" s="800"/>
      <c r="O63" s="800"/>
      <c r="P63" s="800"/>
      <c r="Q63" s="800"/>
      <c r="R63" s="800"/>
      <c r="S63" s="800"/>
      <c r="T63" s="800"/>
      <c r="U63" s="800"/>
      <c r="V63" s="800"/>
      <c r="W63" s="800"/>
      <c r="X63" s="800"/>
      <c r="Y63" s="800"/>
      <c r="Z63" s="800"/>
      <c r="AA63" s="800"/>
      <c r="AB63" s="800"/>
      <c r="AC63" s="800"/>
      <c r="AD63" s="800"/>
      <c r="AE63" s="800"/>
      <c r="AF63" s="800"/>
      <c r="AG63" s="800"/>
      <c r="AH63" s="800"/>
      <c r="AI63" s="800"/>
      <c r="AJ63" s="800"/>
      <c r="AK63" s="800"/>
      <c r="AL63" s="800"/>
      <c r="AM63" s="800"/>
      <c r="AN63" s="800"/>
      <c r="AO63" s="800"/>
      <c r="AP63" s="800"/>
      <c r="AQ63" s="800"/>
      <c r="AR63" s="800"/>
      <c r="AS63" s="800"/>
      <c r="AT63" s="800"/>
      <c r="AU63" s="800"/>
      <c r="AV63" s="800"/>
      <c r="AW63" s="800"/>
      <c r="AX63" s="800"/>
      <c r="AY63" s="800"/>
      <c r="AZ63" s="800"/>
      <c r="BA63" s="800"/>
      <c r="BB63" s="800"/>
      <c r="BC63" s="800"/>
      <c r="BD63" s="800"/>
      <c r="BE63" s="800"/>
      <c r="BF63" s="800"/>
      <c r="BG63" s="800"/>
      <c r="BH63" s="800"/>
      <c r="BI63" s="800"/>
      <c r="BJ63" s="800"/>
      <c r="BK63" s="800"/>
      <c r="BL63" s="800"/>
      <c r="BM63" s="800"/>
      <c r="BN63" s="800"/>
      <c r="BO63" s="800"/>
      <c r="BP63" s="800"/>
      <c r="BQ63" s="800"/>
      <c r="BR63" s="800"/>
      <c r="BS63" s="800"/>
      <c r="BT63" s="800"/>
      <c r="BU63" s="800"/>
      <c r="BV63" s="800"/>
      <c r="BW63" s="800"/>
      <c r="BX63" s="800"/>
      <c r="BY63" s="800"/>
      <c r="BZ63" s="800"/>
      <c r="CA63" s="800"/>
      <c r="CB63" s="800"/>
      <c r="CC63" s="800"/>
      <c r="CD63" s="800"/>
      <c r="CE63" s="800"/>
      <c r="CF63" s="800"/>
      <c r="CG63" s="800"/>
      <c r="CH63" s="800"/>
      <c r="CI63" s="800"/>
      <c r="CJ63" s="800"/>
      <c r="CK63" s="800"/>
      <c r="CL63" s="800"/>
      <c r="CM63" s="800"/>
      <c r="CN63" s="800"/>
      <c r="CO63" s="800"/>
      <c r="CP63" s="800"/>
      <c r="CQ63" s="800"/>
      <c r="CR63" s="800"/>
      <c r="CS63" s="800"/>
      <c r="CT63" s="800"/>
      <c r="CU63" s="800"/>
      <c r="CV63" s="800"/>
      <c r="CW63" s="800"/>
      <c r="CX63" s="800"/>
      <c r="CY63" s="800"/>
      <c r="CZ63" s="800"/>
      <c r="DA63" s="800"/>
      <c r="DB63" s="800"/>
      <c r="DC63" s="800"/>
      <c r="DD63" s="800"/>
      <c r="DE63" s="800"/>
      <c r="DF63" s="800"/>
      <c r="DG63" s="800"/>
      <c r="DH63" s="800"/>
      <c r="DI63" s="800"/>
      <c r="DJ63" s="800"/>
      <c r="DK63" s="800"/>
      <c r="DL63" s="800"/>
      <c r="DM63" s="800"/>
      <c r="DN63" s="800"/>
      <c r="DO63" s="800"/>
      <c r="DP63" s="800"/>
      <c r="DQ63" s="800"/>
      <c r="DR63" s="800"/>
      <c r="DS63" s="800"/>
      <c r="DT63" s="800"/>
      <c r="DU63" s="800"/>
      <c r="DV63" s="800"/>
      <c r="DW63" s="800"/>
      <c r="DX63" s="800"/>
      <c r="DY63" s="800"/>
      <c r="DZ63" s="800"/>
      <c r="EA63" s="800"/>
      <c r="EB63" s="800"/>
      <c r="EC63" s="800"/>
      <c r="ED63" s="800"/>
      <c r="EE63" s="800"/>
      <c r="EF63" s="800"/>
      <c r="EG63" s="800"/>
      <c r="EH63" s="800"/>
      <c r="EI63" s="800"/>
      <c r="EJ63" s="800"/>
      <c r="EK63" s="800"/>
      <c r="EL63" s="800"/>
      <c r="EM63" s="800"/>
      <c r="EN63" s="800"/>
      <c r="EO63" s="800"/>
      <c r="EP63" s="800"/>
      <c r="EQ63" s="800"/>
      <c r="ER63" s="800"/>
      <c r="ES63" s="800"/>
      <c r="ET63" s="800"/>
      <c r="EU63" s="800"/>
      <c r="EV63" s="800"/>
      <c r="EW63" s="800"/>
      <c r="EX63" s="800"/>
      <c r="EY63" s="800"/>
      <c r="EZ63" s="800"/>
      <c r="FA63" s="800"/>
      <c r="FB63" s="800"/>
      <c r="FC63" s="800"/>
      <c r="FD63" s="800"/>
      <c r="FE63" s="800"/>
      <c r="FF63" s="800"/>
      <c r="FG63" s="800"/>
      <c r="FH63" s="800"/>
      <c r="FI63" s="800"/>
      <c r="FJ63" s="800"/>
      <c r="FK63" s="800"/>
      <c r="FL63" s="800"/>
      <c r="FM63" s="800"/>
      <c r="FN63" s="800"/>
      <c r="FO63" s="800"/>
      <c r="FP63" s="800"/>
      <c r="FQ63" s="800"/>
      <c r="FR63" s="800"/>
      <c r="FS63" s="800"/>
      <c r="FT63" s="800"/>
      <c r="FU63" s="43"/>
      <c r="FV63" s="34"/>
      <c r="FW63" s="34"/>
      <c r="FX63" s="34"/>
      <c r="FY63" s="34"/>
      <c r="FZ63" s="34"/>
    </row>
    <row r="64" spans="1:182" s="89" customFormat="1" ht="13.5" x14ac:dyDescent="0.25">
      <c r="A64" s="34"/>
      <c r="B64" s="128"/>
      <c r="C64" s="34"/>
      <c r="D64" s="34"/>
      <c r="E64" s="34"/>
      <c r="F64" s="428"/>
      <c r="G64" s="34"/>
      <c r="H64" s="511"/>
      <c r="I64" s="427"/>
      <c r="J64" s="427"/>
      <c r="K64" s="427"/>
      <c r="L64" s="427"/>
      <c r="M64" s="427"/>
      <c r="N64" s="427"/>
      <c r="O64" s="427"/>
      <c r="P64" s="427"/>
      <c r="Q64" s="427"/>
      <c r="R64" s="427"/>
      <c r="S64" s="427"/>
      <c r="T64" s="427"/>
      <c r="U64" s="427"/>
      <c r="V64" s="427"/>
      <c r="W64" s="427"/>
      <c r="X64" s="427"/>
      <c r="Y64" s="427"/>
      <c r="Z64" s="427"/>
      <c r="AA64" s="427"/>
      <c r="AB64" s="427"/>
      <c r="AC64" s="427"/>
      <c r="AD64" s="427"/>
      <c r="AE64" s="427"/>
      <c r="AF64" s="427"/>
      <c r="AG64" s="427"/>
      <c r="AH64" s="427"/>
      <c r="AI64" s="427"/>
      <c r="AJ64" s="427"/>
      <c r="AK64" s="427"/>
      <c r="AL64" s="427"/>
      <c r="AM64" s="427"/>
      <c r="AN64" s="427"/>
      <c r="AO64" s="427"/>
      <c r="AP64" s="427"/>
      <c r="AQ64" s="427"/>
      <c r="AR64" s="427"/>
      <c r="AS64" s="427"/>
      <c r="AT64" s="427"/>
      <c r="AU64" s="427"/>
      <c r="AV64" s="427"/>
      <c r="AW64" s="427"/>
      <c r="AX64" s="427"/>
      <c r="AY64" s="427"/>
      <c r="AZ64" s="427"/>
      <c r="BA64" s="427"/>
      <c r="BB64" s="427"/>
      <c r="BC64" s="427"/>
      <c r="BD64" s="427"/>
      <c r="BE64" s="427"/>
      <c r="BF64" s="427"/>
      <c r="BG64" s="427"/>
      <c r="BH64" s="427"/>
      <c r="BI64" s="427"/>
      <c r="BJ64" s="427"/>
      <c r="BK64" s="427"/>
      <c r="BL64" s="427"/>
      <c r="BM64" s="427"/>
      <c r="BN64" s="427"/>
      <c r="BO64" s="427"/>
      <c r="BP64" s="427"/>
      <c r="BQ64" s="427"/>
      <c r="BR64" s="427"/>
      <c r="BS64" s="427"/>
      <c r="BT64" s="427"/>
      <c r="BU64" s="427"/>
      <c r="BV64" s="427"/>
      <c r="BW64" s="427"/>
      <c r="BX64" s="427"/>
      <c r="BY64" s="427"/>
      <c r="BZ64" s="427"/>
      <c r="CA64" s="427"/>
      <c r="CB64" s="427"/>
      <c r="CC64" s="427"/>
      <c r="CD64" s="427"/>
      <c r="CE64" s="427"/>
      <c r="CF64" s="427"/>
      <c r="CG64" s="427"/>
      <c r="CH64" s="427"/>
      <c r="CI64" s="427"/>
      <c r="CJ64" s="427"/>
      <c r="CK64" s="427"/>
      <c r="CL64" s="427"/>
      <c r="CM64" s="427"/>
      <c r="CN64" s="427"/>
      <c r="CO64" s="427"/>
      <c r="CP64" s="427"/>
      <c r="CQ64" s="427"/>
      <c r="CR64" s="427"/>
      <c r="CS64" s="427"/>
      <c r="CT64" s="427"/>
      <c r="CU64" s="427"/>
      <c r="CV64" s="427"/>
      <c r="CW64" s="427"/>
      <c r="CX64" s="427"/>
      <c r="CY64" s="427"/>
      <c r="CZ64" s="427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43"/>
      <c r="FV64" s="34"/>
      <c r="FW64" s="34"/>
      <c r="FX64" s="34"/>
      <c r="FY64" s="34"/>
      <c r="FZ64" s="34"/>
    </row>
    <row r="65" spans="1:182" s="89" customFormat="1" ht="13.5" x14ac:dyDescent="0.25">
      <c r="A65" s="34"/>
      <c r="B65" s="142" t="s">
        <v>413</v>
      </c>
      <c r="C65" s="34"/>
      <c r="D65" s="34"/>
      <c r="E65" s="34"/>
      <c r="F65" s="429">
        <f t="shared" si="155"/>
        <v>69163027.652274579</v>
      </c>
      <c r="G65" s="34"/>
      <c r="H65" s="431">
        <f>SUM(H41,H50,H57,H62)</f>
        <v>0</v>
      </c>
      <c r="I65" s="431">
        <f t="shared" ref="I65:BT65" si="159">SUM(I41,I50,I57,I62)</f>
        <v>0</v>
      </c>
      <c r="J65" s="431">
        <f t="shared" si="159"/>
        <v>0</v>
      </c>
      <c r="K65" s="431">
        <f t="shared" si="159"/>
        <v>0</v>
      </c>
      <c r="L65" s="431">
        <f t="shared" si="159"/>
        <v>0</v>
      </c>
      <c r="M65" s="431">
        <f t="shared" si="159"/>
        <v>0</v>
      </c>
      <c r="N65" s="431">
        <f t="shared" si="159"/>
        <v>0</v>
      </c>
      <c r="O65" s="431">
        <f t="shared" si="159"/>
        <v>0</v>
      </c>
      <c r="P65" s="431">
        <f t="shared" si="159"/>
        <v>0</v>
      </c>
      <c r="Q65" s="431">
        <f t="shared" si="159"/>
        <v>0</v>
      </c>
      <c r="R65" s="431">
        <f t="shared" si="159"/>
        <v>0</v>
      </c>
      <c r="S65" s="431">
        <f t="shared" si="159"/>
        <v>0</v>
      </c>
      <c r="T65" s="431">
        <f t="shared" si="159"/>
        <v>0</v>
      </c>
      <c r="U65" s="431">
        <f t="shared" si="159"/>
        <v>0</v>
      </c>
      <c r="V65" s="431">
        <f t="shared" si="159"/>
        <v>0</v>
      </c>
      <c r="W65" s="431">
        <f t="shared" si="159"/>
        <v>0</v>
      </c>
      <c r="X65" s="431">
        <f t="shared" si="159"/>
        <v>0</v>
      </c>
      <c r="Y65" s="431">
        <f t="shared" si="159"/>
        <v>45382.705879526147</v>
      </c>
      <c r="Z65" s="431">
        <f t="shared" si="159"/>
        <v>88604.330526693899</v>
      </c>
      <c r="AA65" s="431">
        <f t="shared" si="159"/>
        <v>131825.95517386164</v>
      </c>
      <c r="AB65" s="431">
        <f t="shared" si="159"/>
        <v>175047.57982102942</v>
      </c>
      <c r="AC65" s="431">
        <f t="shared" si="159"/>
        <v>218269.20446819716</v>
      </c>
      <c r="AD65" s="431">
        <f t="shared" si="159"/>
        <v>261490.82911536493</v>
      </c>
      <c r="AE65" s="431">
        <f t="shared" si="159"/>
        <v>270135.15404479846</v>
      </c>
      <c r="AF65" s="431">
        <f t="shared" si="159"/>
        <v>275537.85712569446</v>
      </c>
      <c r="AG65" s="431">
        <f t="shared" si="159"/>
        <v>275537.85712569446</v>
      </c>
      <c r="AH65" s="431">
        <f t="shared" si="159"/>
        <v>319623.91426580556</v>
      </c>
      <c r="AI65" s="431">
        <f t="shared" si="159"/>
        <v>363709.97140591667</v>
      </c>
      <c r="AJ65" s="431">
        <f t="shared" si="159"/>
        <v>407796.02854602778</v>
      </c>
      <c r="AK65" s="431">
        <f t="shared" si="159"/>
        <v>451882.08568613889</v>
      </c>
      <c r="AL65" s="431">
        <f t="shared" si="159"/>
        <v>495968.14282625</v>
      </c>
      <c r="AM65" s="431">
        <f t="shared" si="159"/>
        <v>529032.6856813333</v>
      </c>
      <c r="AN65" s="431">
        <f t="shared" si="159"/>
        <v>529032.6856813333</v>
      </c>
      <c r="AO65" s="431">
        <f t="shared" si="159"/>
        <v>529032.6856813333</v>
      </c>
      <c r="AP65" s="431">
        <f t="shared" si="159"/>
        <v>529032.6856813333</v>
      </c>
      <c r="AQ65" s="431">
        <f t="shared" si="159"/>
        <v>529032.6856813333</v>
      </c>
      <c r="AR65" s="431">
        <f t="shared" si="159"/>
        <v>539405.87559665367</v>
      </c>
      <c r="AS65" s="431">
        <f t="shared" si="159"/>
        <v>539405.87559665367</v>
      </c>
      <c r="AT65" s="431">
        <f t="shared" si="159"/>
        <v>539405.87559665367</v>
      </c>
      <c r="AU65" s="431">
        <f t="shared" si="159"/>
        <v>539405.87559665367</v>
      </c>
      <c r="AV65" s="431">
        <f t="shared" si="159"/>
        <v>539405.87559665367</v>
      </c>
      <c r="AW65" s="431">
        <f t="shared" si="159"/>
        <v>539405.87559665367</v>
      </c>
      <c r="AX65" s="431">
        <f t="shared" si="159"/>
        <v>539405.87559665367</v>
      </c>
      <c r="AY65" s="431">
        <f t="shared" si="159"/>
        <v>539405.87559665367</v>
      </c>
      <c r="AZ65" s="431">
        <f t="shared" si="159"/>
        <v>539405.87559665367</v>
      </c>
      <c r="BA65" s="431">
        <f t="shared" si="159"/>
        <v>539405.87559665367</v>
      </c>
      <c r="BB65" s="431">
        <f t="shared" si="159"/>
        <v>539405.87559665367</v>
      </c>
      <c r="BC65" s="431">
        <f t="shared" si="159"/>
        <v>539405.87559665367</v>
      </c>
      <c r="BD65" s="431">
        <f t="shared" si="159"/>
        <v>549779.06551197381</v>
      </c>
      <c r="BE65" s="431">
        <f t="shared" si="159"/>
        <v>549779.06551197381</v>
      </c>
      <c r="BF65" s="431">
        <f t="shared" si="159"/>
        <v>549779.06551197381</v>
      </c>
      <c r="BG65" s="431">
        <f t="shared" si="159"/>
        <v>549779.06551197381</v>
      </c>
      <c r="BH65" s="431">
        <f t="shared" si="159"/>
        <v>549779.06551197381</v>
      </c>
      <c r="BI65" s="431">
        <f t="shared" si="159"/>
        <v>549779.06551197381</v>
      </c>
      <c r="BJ65" s="431">
        <f t="shared" si="159"/>
        <v>549779.06551197381</v>
      </c>
      <c r="BK65" s="431">
        <f t="shared" si="159"/>
        <v>549779.06551197381</v>
      </c>
      <c r="BL65" s="431">
        <f t="shared" si="159"/>
        <v>549779.06551197381</v>
      </c>
      <c r="BM65" s="431">
        <f t="shared" si="159"/>
        <v>549779.06551197381</v>
      </c>
      <c r="BN65" s="431">
        <f t="shared" si="159"/>
        <v>549779.06551197381</v>
      </c>
      <c r="BO65" s="431">
        <f t="shared" si="159"/>
        <v>549779.06551197381</v>
      </c>
      <c r="BP65" s="431">
        <f t="shared" si="159"/>
        <v>560152.25542729418</v>
      </c>
      <c r="BQ65" s="431">
        <f t="shared" si="159"/>
        <v>560152.25542729418</v>
      </c>
      <c r="BR65" s="431">
        <f t="shared" si="159"/>
        <v>560152.25542729418</v>
      </c>
      <c r="BS65" s="431">
        <f t="shared" si="159"/>
        <v>560152.25542729418</v>
      </c>
      <c r="BT65" s="431">
        <f t="shared" si="159"/>
        <v>560152.25542729418</v>
      </c>
      <c r="BU65" s="431">
        <f t="shared" ref="BU65:EF65" si="160">SUM(BU41,BU50,BU57,BU62)</f>
        <v>560152.25542729418</v>
      </c>
      <c r="BV65" s="431">
        <f t="shared" si="160"/>
        <v>560152.25542729418</v>
      </c>
      <c r="BW65" s="431">
        <f t="shared" si="160"/>
        <v>560152.25542729418</v>
      </c>
      <c r="BX65" s="431">
        <f t="shared" si="160"/>
        <v>560152.25542729418</v>
      </c>
      <c r="BY65" s="431">
        <f t="shared" si="160"/>
        <v>560152.25542729418</v>
      </c>
      <c r="BZ65" s="431">
        <f t="shared" si="160"/>
        <v>560152.25542729418</v>
      </c>
      <c r="CA65" s="431">
        <f t="shared" si="160"/>
        <v>560152.25542729418</v>
      </c>
      <c r="CB65" s="431">
        <f t="shared" si="160"/>
        <v>570525.44534261443</v>
      </c>
      <c r="CC65" s="431">
        <f t="shared" si="160"/>
        <v>570525.44534261443</v>
      </c>
      <c r="CD65" s="431">
        <f t="shared" si="160"/>
        <v>570525.44534261443</v>
      </c>
      <c r="CE65" s="431">
        <f t="shared" si="160"/>
        <v>570525.44534261443</v>
      </c>
      <c r="CF65" s="431">
        <f t="shared" si="160"/>
        <v>570525.44534261443</v>
      </c>
      <c r="CG65" s="431">
        <f t="shared" si="160"/>
        <v>570525.44534261443</v>
      </c>
      <c r="CH65" s="431">
        <f t="shared" si="160"/>
        <v>570525.44534261443</v>
      </c>
      <c r="CI65" s="431">
        <f t="shared" si="160"/>
        <v>570525.44534261443</v>
      </c>
      <c r="CJ65" s="431">
        <f t="shared" si="160"/>
        <v>570525.44534261443</v>
      </c>
      <c r="CK65" s="431">
        <f t="shared" si="160"/>
        <v>570525.44534261443</v>
      </c>
      <c r="CL65" s="431">
        <f t="shared" si="160"/>
        <v>570525.44534261443</v>
      </c>
      <c r="CM65" s="431">
        <f t="shared" si="160"/>
        <v>570525.44534261443</v>
      </c>
      <c r="CN65" s="431">
        <f t="shared" si="160"/>
        <v>580898.63525793469</v>
      </c>
      <c r="CO65" s="431">
        <f t="shared" si="160"/>
        <v>580898.63525793469</v>
      </c>
      <c r="CP65" s="431">
        <f t="shared" si="160"/>
        <v>580898.63525793469</v>
      </c>
      <c r="CQ65" s="431">
        <f t="shared" si="160"/>
        <v>580898.63525793469</v>
      </c>
      <c r="CR65" s="431">
        <f t="shared" si="160"/>
        <v>580898.63525793469</v>
      </c>
      <c r="CS65" s="431">
        <f t="shared" si="160"/>
        <v>580898.63525793469</v>
      </c>
      <c r="CT65" s="431">
        <f t="shared" si="160"/>
        <v>580898.63525793469</v>
      </c>
      <c r="CU65" s="431">
        <f t="shared" si="160"/>
        <v>580898.63525793469</v>
      </c>
      <c r="CV65" s="431">
        <f t="shared" si="160"/>
        <v>580898.63525793469</v>
      </c>
      <c r="CW65" s="431">
        <f t="shared" si="160"/>
        <v>580898.63525793469</v>
      </c>
      <c r="CX65" s="431">
        <f t="shared" si="160"/>
        <v>580898.63525793469</v>
      </c>
      <c r="CY65" s="431">
        <f t="shared" si="160"/>
        <v>580898.63525793469</v>
      </c>
      <c r="CZ65" s="431">
        <f t="shared" si="160"/>
        <v>591271.82517325494</v>
      </c>
      <c r="DA65" s="431">
        <f t="shared" si="160"/>
        <v>591271.82517325494</v>
      </c>
      <c r="DB65" s="431">
        <f t="shared" si="160"/>
        <v>591271.82517325494</v>
      </c>
      <c r="DC65" s="431">
        <f t="shared" si="160"/>
        <v>591271.82517325494</v>
      </c>
      <c r="DD65" s="431">
        <f t="shared" si="160"/>
        <v>591271.82517325494</v>
      </c>
      <c r="DE65" s="431">
        <f t="shared" si="160"/>
        <v>591271.82517325494</v>
      </c>
      <c r="DF65" s="431">
        <f t="shared" si="160"/>
        <v>591271.82517325494</v>
      </c>
      <c r="DG65" s="431">
        <f t="shared" si="160"/>
        <v>591271.82517325494</v>
      </c>
      <c r="DH65" s="431">
        <f t="shared" si="160"/>
        <v>591271.82517325494</v>
      </c>
      <c r="DI65" s="431">
        <f t="shared" si="160"/>
        <v>591271.82517325494</v>
      </c>
      <c r="DJ65" s="431">
        <f t="shared" si="160"/>
        <v>591271.82517325494</v>
      </c>
      <c r="DK65" s="431">
        <f t="shared" si="160"/>
        <v>591271.82517325494</v>
      </c>
      <c r="DL65" s="431">
        <f t="shared" si="160"/>
        <v>601645.01508857519</v>
      </c>
      <c r="DM65" s="431">
        <f t="shared" si="160"/>
        <v>601645.01508857519</v>
      </c>
      <c r="DN65" s="431">
        <f t="shared" si="160"/>
        <v>601645.01508857519</v>
      </c>
      <c r="DO65" s="431">
        <f t="shared" si="160"/>
        <v>601645.01508857519</v>
      </c>
      <c r="DP65" s="431">
        <f t="shared" si="160"/>
        <v>601645.01508857519</v>
      </c>
      <c r="DQ65" s="431">
        <f t="shared" si="160"/>
        <v>601645.01508857519</v>
      </c>
      <c r="DR65" s="431">
        <f t="shared" si="160"/>
        <v>601645.01508857519</v>
      </c>
      <c r="DS65" s="431">
        <f t="shared" si="160"/>
        <v>601645.01508857519</v>
      </c>
      <c r="DT65" s="431">
        <f t="shared" si="160"/>
        <v>601645.01508857519</v>
      </c>
      <c r="DU65" s="431">
        <f t="shared" si="160"/>
        <v>601645.01508857519</v>
      </c>
      <c r="DV65" s="431">
        <f t="shared" si="160"/>
        <v>601645.01508857519</v>
      </c>
      <c r="DW65" s="431">
        <f t="shared" si="160"/>
        <v>601645.01508857519</v>
      </c>
      <c r="DX65" s="431">
        <f t="shared" si="160"/>
        <v>612018.20500389556</v>
      </c>
      <c r="DY65" s="431">
        <f t="shared" si="160"/>
        <v>612018.20500389556</v>
      </c>
      <c r="DZ65" s="431">
        <f t="shared" si="160"/>
        <v>612018.20500389556</v>
      </c>
      <c r="EA65" s="431">
        <f t="shared" si="160"/>
        <v>612018.20500389556</v>
      </c>
      <c r="EB65" s="431">
        <f t="shared" si="160"/>
        <v>612018.20500389556</v>
      </c>
      <c r="EC65" s="431">
        <f t="shared" si="160"/>
        <v>612018.20500389556</v>
      </c>
      <c r="ED65" s="431">
        <f t="shared" si="160"/>
        <v>612018.20500389556</v>
      </c>
      <c r="EE65" s="431">
        <f t="shared" si="160"/>
        <v>612018.20500389556</v>
      </c>
      <c r="EF65" s="431">
        <f t="shared" si="160"/>
        <v>612018.20500389556</v>
      </c>
      <c r="EG65" s="431">
        <f t="shared" ref="EG65:FT65" si="161">SUM(EG41,EG50,EG57,EG62)</f>
        <v>612018.20500389556</v>
      </c>
      <c r="EH65" s="431">
        <f t="shared" si="161"/>
        <v>612018.20500389556</v>
      </c>
      <c r="EI65" s="431">
        <f t="shared" si="161"/>
        <v>612018.20500389556</v>
      </c>
      <c r="EJ65" s="431">
        <f t="shared" si="161"/>
        <v>622391.39491921582</v>
      </c>
      <c r="EK65" s="431">
        <f t="shared" si="161"/>
        <v>622391.39491921582</v>
      </c>
      <c r="EL65" s="431">
        <f t="shared" si="161"/>
        <v>622391.39491921582</v>
      </c>
      <c r="EM65" s="431">
        <f t="shared" si="161"/>
        <v>622391.39491921582</v>
      </c>
      <c r="EN65" s="431">
        <f t="shared" si="161"/>
        <v>622391.39491921582</v>
      </c>
      <c r="EO65" s="431">
        <f t="shared" si="161"/>
        <v>622391.39491921582</v>
      </c>
      <c r="EP65" s="431">
        <f t="shared" si="161"/>
        <v>622391.39491921582</v>
      </c>
      <c r="EQ65" s="431">
        <f t="shared" si="161"/>
        <v>622391.39491921582</v>
      </c>
      <c r="ER65" s="431">
        <f t="shared" si="161"/>
        <v>622391.39491921582</v>
      </c>
      <c r="ES65" s="431">
        <f t="shared" si="161"/>
        <v>622391.39491921582</v>
      </c>
      <c r="ET65" s="431">
        <f t="shared" si="161"/>
        <v>622391.39491921582</v>
      </c>
      <c r="EU65" s="431">
        <f t="shared" si="161"/>
        <v>622391.39491921582</v>
      </c>
      <c r="EV65" s="431">
        <f t="shared" si="161"/>
        <v>0</v>
      </c>
      <c r="EW65" s="431">
        <f t="shared" si="161"/>
        <v>0</v>
      </c>
      <c r="EX65" s="431">
        <f t="shared" si="161"/>
        <v>0</v>
      </c>
      <c r="EY65" s="431">
        <f t="shared" si="161"/>
        <v>0</v>
      </c>
      <c r="EZ65" s="431">
        <f t="shared" si="161"/>
        <v>0</v>
      </c>
      <c r="FA65" s="431">
        <f t="shared" si="161"/>
        <v>0</v>
      </c>
      <c r="FB65" s="431">
        <f t="shared" si="161"/>
        <v>0</v>
      </c>
      <c r="FC65" s="431">
        <f t="shared" si="161"/>
        <v>0</v>
      </c>
      <c r="FD65" s="431">
        <f t="shared" si="161"/>
        <v>0</v>
      </c>
      <c r="FE65" s="431">
        <f t="shared" si="161"/>
        <v>0</v>
      </c>
      <c r="FF65" s="431">
        <f t="shared" si="161"/>
        <v>0</v>
      </c>
      <c r="FG65" s="431">
        <f t="shared" si="161"/>
        <v>0</v>
      </c>
      <c r="FH65" s="431">
        <f t="shared" si="161"/>
        <v>0</v>
      </c>
      <c r="FI65" s="431">
        <f t="shared" si="161"/>
        <v>0</v>
      </c>
      <c r="FJ65" s="431">
        <f t="shared" si="161"/>
        <v>0</v>
      </c>
      <c r="FK65" s="431">
        <f t="shared" si="161"/>
        <v>0</v>
      </c>
      <c r="FL65" s="431">
        <f t="shared" si="161"/>
        <v>0</v>
      </c>
      <c r="FM65" s="431">
        <f t="shared" si="161"/>
        <v>0</v>
      </c>
      <c r="FN65" s="431">
        <f t="shared" si="161"/>
        <v>0</v>
      </c>
      <c r="FO65" s="431">
        <f t="shared" si="161"/>
        <v>0</v>
      </c>
      <c r="FP65" s="431">
        <f t="shared" si="161"/>
        <v>0</v>
      </c>
      <c r="FQ65" s="431">
        <f t="shared" si="161"/>
        <v>0</v>
      </c>
      <c r="FR65" s="431">
        <f t="shared" si="161"/>
        <v>0</v>
      </c>
      <c r="FS65" s="431">
        <f t="shared" si="161"/>
        <v>0</v>
      </c>
      <c r="FT65" s="431">
        <f t="shared" si="161"/>
        <v>0</v>
      </c>
      <c r="FU65" s="43"/>
      <c r="FV65" s="34"/>
      <c r="FW65" s="34"/>
      <c r="FX65" s="34"/>
      <c r="FY65" s="34"/>
      <c r="FZ65" s="34"/>
    </row>
    <row r="66" spans="1:182" s="89" customFormat="1" ht="13.5" x14ac:dyDescent="0.25">
      <c r="A66" s="34"/>
      <c r="B66" s="128"/>
      <c r="C66" s="34"/>
      <c r="D66" s="34"/>
      <c r="E66" s="34"/>
      <c r="F66" s="428"/>
      <c r="G66" s="34"/>
      <c r="H66" s="511"/>
      <c r="I66" s="427"/>
      <c r="J66" s="427"/>
      <c r="K66" s="427"/>
      <c r="L66" s="427"/>
      <c r="M66" s="427"/>
      <c r="N66" s="427"/>
      <c r="O66" s="427"/>
      <c r="P66" s="427"/>
      <c r="Q66" s="427"/>
      <c r="R66" s="427"/>
      <c r="S66" s="427"/>
      <c r="T66" s="427"/>
      <c r="U66" s="427"/>
      <c r="V66" s="427"/>
      <c r="W66" s="427"/>
      <c r="X66" s="427"/>
      <c r="Y66" s="427"/>
      <c r="Z66" s="427"/>
      <c r="AA66" s="427"/>
      <c r="AB66" s="427"/>
      <c r="AC66" s="427"/>
      <c r="AD66" s="427"/>
      <c r="AE66" s="427"/>
      <c r="AF66" s="427"/>
      <c r="AG66" s="427"/>
      <c r="AH66" s="427"/>
      <c r="AI66" s="427"/>
      <c r="AJ66" s="427"/>
      <c r="AK66" s="427"/>
      <c r="AL66" s="427"/>
      <c r="AM66" s="427"/>
      <c r="AN66" s="427"/>
      <c r="AO66" s="427"/>
      <c r="AP66" s="427"/>
      <c r="AQ66" s="427"/>
      <c r="AR66" s="427"/>
      <c r="AS66" s="427"/>
      <c r="AT66" s="427"/>
      <c r="AU66" s="427"/>
      <c r="AV66" s="427"/>
      <c r="AW66" s="427"/>
      <c r="AX66" s="427"/>
      <c r="AY66" s="427"/>
      <c r="AZ66" s="427"/>
      <c r="BA66" s="427"/>
      <c r="BB66" s="427"/>
      <c r="BC66" s="427"/>
      <c r="BD66" s="427"/>
      <c r="BE66" s="427"/>
      <c r="BF66" s="427"/>
      <c r="BG66" s="427"/>
      <c r="BH66" s="427"/>
      <c r="BI66" s="427"/>
      <c r="BJ66" s="427"/>
      <c r="BK66" s="427"/>
      <c r="BL66" s="427"/>
      <c r="BM66" s="427"/>
      <c r="BN66" s="427"/>
      <c r="BO66" s="427"/>
      <c r="BP66" s="427"/>
      <c r="BQ66" s="427"/>
      <c r="BR66" s="427"/>
      <c r="BS66" s="427"/>
      <c r="BT66" s="427"/>
      <c r="BU66" s="427"/>
      <c r="BV66" s="427"/>
      <c r="BW66" s="427"/>
      <c r="BX66" s="427"/>
      <c r="BY66" s="427"/>
      <c r="BZ66" s="427"/>
      <c r="CA66" s="427"/>
      <c r="CB66" s="427"/>
      <c r="CC66" s="427"/>
      <c r="CD66" s="427"/>
      <c r="CE66" s="427"/>
      <c r="CF66" s="427"/>
      <c r="CG66" s="427"/>
      <c r="CH66" s="427"/>
      <c r="CI66" s="427"/>
      <c r="CJ66" s="427"/>
      <c r="CK66" s="427"/>
      <c r="CL66" s="427"/>
      <c r="CM66" s="427"/>
      <c r="CN66" s="427"/>
      <c r="CO66" s="427"/>
      <c r="CP66" s="427"/>
      <c r="CQ66" s="427"/>
      <c r="CR66" s="427"/>
      <c r="CS66" s="427"/>
      <c r="CT66" s="427"/>
      <c r="CU66" s="427"/>
      <c r="CV66" s="427"/>
      <c r="CW66" s="427"/>
      <c r="CX66" s="427"/>
      <c r="CY66" s="427"/>
      <c r="CZ66" s="427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43"/>
      <c r="FV66" s="34"/>
      <c r="FW66" s="34"/>
      <c r="FX66" s="34"/>
      <c r="FY66" s="34"/>
      <c r="FZ66" s="34"/>
    </row>
    <row r="67" spans="1:182" s="89" customFormat="1" ht="13.5" x14ac:dyDescent="0.25">
      <c r="A67" s="34"/>
      <c r="B67" s="73" t="str">
        <f>'Operating Assumptions'!F31</f>
        <v>General Vacancy:</v>
      </c>
      <c r="C67" s="34"/>
      <c r="D67" s="34"/>
      <c r="E67" s="34"/>
      <c r="F67" s="428"/>
      <c r="G67" s="34"/>
      <c r="H67" s="436"/>
      <c r="I67" s="436"/>
      <c r="J67" s="436"/>
      <c r="K67" s="436"/>
      <c r="L67" s="436"/>
      <c r="M67" s="436"/>
      <c r="N67" s="436"/>
      <c r="O67" s="436"/>
      <c r="P67" s="436"/>
      <c r="Q67" s="436"/>
      <c r="R67" s="436"/>
      <c r="S67" s="436"/>
      <c r="T67" s="436"/>
      <c r="U67" s="436"/>
      <c r="V67" s="436"/>
      <c r="W67" s="436"/>
      <c r="X67" s="436"/>
      <c r="Y67" s="436"/>
      <c r="Z67" s="436"/>
      <c r="AA67" s="436"/>
      <c r="AB67" s="436"/>
      <c r="AC67" s="436"/>
      <c r="AD67" s="436"/>
      <c r="AE67" s="436"/>
      <c r="AF67" s="436"/>
      <c r="AG67" s="436"/>
      <c r="AH67" s="436"/>
      <c r="AI67" s="436"/>
      <c r="AJ67" s="436"/>
      <c r="AK67" s="436"/>
      <c r="AL67" s="436"/>
      <c r="AM67" s="436"/>
      <c r="AN67" s="436"/>
      <c r="AO67" s="436"/>
      <c r="AP67" s="436"/>
      <c r="AQ67" s="436"/>
      <c r="AR67" s="436"/>
      <c r="AS67" s="436"/>
      <c r="AT67" s="436"/>
      <c r="AU67" s="436"/>
      <c r="AV67" s="436"/>
      <c r="AW67" s="436"/>
      <c r="AX67" s="436"/>
      <c r="AY67" s="436"/>
      <c r="AZ67" s="436"/>
      <c r="BA67" s="436"/>
      <c r="BB67" s="436"/>
      <c r="BC67" s="436"/>
      <c r="BD67" s="436"/>
      <c r="BE67" s="436"/>
      <c r="BF67" s="436"/>
      <c r="BG67" s="436"/>
      <c r="BH67" s="436"/>
      <c r="BI67" s="436"/>
      <c r="BJ67" s="436"/>
      <c r="BK67" s="436"/>
      <c r="BL67" s="436"/>
      <c r="BM67" s="436"/>
      <c r="BN67" s="436"/>
      <c r="BO67" s="436"/>
      <c r="BP67" s="436"/>
      <c r="BQ67" s="436"/>
      <c r="BR67" s="436"/>
      <c r="BS67" s="436"/>
      <c r="BT67" s="436"/>
      <c r="BU67" s="436"/>
      <c r="BV67" s="436"/>
      <c r="BW67" s="436"/>
      <c r="BX67" s="436"/>
      <c r="BY67" s="436"/>
      <c r="BZ67" s="436"/>
      <c r="CA67" s="436"/>
      <c r="CB67" s="436"/>
      <c r="CC67" s="436"/>
      <c r="CD67" s="436"/>
      <c r="CE67" s="436"/>
      <c r="CF67" s="436"/>
      <c r="CG67" s="436"/>
      <c r="CH67" s="436"/>
      <c r="CI67" s="436"/>
      <c r="CJ67" s="436"/>
      <c r="CK67" s="436"/>
      <c r="CL67" s="436"/>
      <c r="CM67" s="436"/>
      <c r="CN67" s="436"/>
      <c r="CO67" s="436"/>
      <c r="CP67" s="436"/>
      <c r="CQ67" s="436"/>
      <c r="CR67" s="436"/>
      <c r="CS67" s="436"/>
      <c r="CT67" s="436"/>
      <c r="CU67" s="436"/>
      <c r="CV67" s="436"/>
      <c r="CW67" s="436"/>
      <c r="CX67" s="436"/>
      <c r="CY67" s="436"/>
      <c r="CZ67" s="436"/>
      <c r="DA67" s="436"/>
      <c r="DB67" s="436"/>
      <c r="DC67" s="436"/>
      <c r="DD67" s="436"/>
      <c r="DE67" s="436"/>
      <c r="DF67" s="436"/>
      <c r="DG67" s="436"/>
      <c r="DH67" s="436"/>
      <c r="DI67" s="436"/>
      <c r="DJ67" s="436"/>
      <c r="DK67" s="436"/>
      <c r="DL67" s="436"/>
      <c r="DM67" s="436"/>
      <c r="DN67" s="436"/>
      <c r="DO67" s="436"/>
      <c r="DP67" s="436"/>
      <c r="DQ67" s="436"/>
      <c r="DR67" s="436"/>
      <c r="DS67" s="436"/>
      <c r="DT67" s="436"/>
      <c r="DU67" s="436"/>
      <c r="DV67" s="436"/>
      <c r="DW67" s="436"/>
      <c r="DX67" s="436"/>
      <c r="DY67" s="436"/>
      <c r="DZ67" s="436"/>
      <c r="EA67" s="436"/>
      <c r="EB67" s="436"/>
      <c r="EC67" s="436"/>
      <c r="ED67" s="436"/>
      <c r="EE67" s="436"/>
      <c r="EF67" s="436"/>
      <c r="EG67" s="436"/>
      <c r="EH67" s="436"/>
      <c r="EI67" s="436"/>
      <c r="EJ67" s="436"/>
      <c r="EK67" s="436"/>
      <c r="EL67" s="436"/>
      <c r="EM67" s="436"/>
      <c r="EN67" s="436"/>
      <c r="EO67" s="436"/>
      <c r="EP67" s="436"/>
      <c r="EQ67" s="436"/>
      <c r="ER67" s="436"/>
      <c r="ES67" s="436"/>
      <c r="ET67" s="436"/>
      <c r="EU67" s="436"/>
      <c r="EV67" s="436"/>
      <c r="EW67" s="436"/>
      <c r="EX67" s="436"/>
      <c r="EY67" s="436"/>
      <c r="EZ67" s="436"/>
      <c r="FA67" s="436"/>
      <c r="FB67" s="436"/>
      <c r="FC67" s="436"/>
      <c r="FD67" s="436"/>
      <c r="FE67" s="436"/>
      <c r="FF67" s="436"/>
      <c r="FG67" s="436"/>
      <c r="FH67" s="436"/>
      <c r="FI67" s="436"/>
      <c r="FJ67" s="436"/>
      <c r="FK67" s="436"/>
      <c r="FL67" s="436"/>
      <c r="FM67" s="436"/>
      <c r="FN67" s="436"/>
      <c r="FO67" s="436"/>
      <c r="FP67" s="436"/>
      <c r="FQ67" s="436"/>
      <c r="FR67" s="436"/>
      <c r="FS67" s="436"/>
      <c r="FT67" s="436"/>
      <c r="FU67" s="43"/>
      <c r="FV67" s="34"/>
      <c r="FW67" s="34"/>
      <c r="FX67" s="34"/>
      <c r="FY67" s="34"/>
      <c r="FZ67" s="34"/>
    </row>
    <row r="68" spans="1:182" s="89" customFormat="1" ht="13.5" x14ac:dyDescent="0.25">
      <c r="A68" s="34"/>
      <c r="B68" s="128" t="str">
        <f>'Operating Assumptions'!F32</f>
        <v xml:space="preserve">Residential Vacancy </v>
      </c>
      <c r="C68" s="34"/>
      <c r="D68" s="34"/>
      <c r="E68" s="34"/>
      <c r="F68" s="434">
        <f t="shared" ref="F68:F73" si="162">SUM(H68:FT68)</f>
        <v>-2965306.2018131786</v>
      </c>
      <c r="G68" s="34"/>
      <c r="H68" s="427">
        <f>-IF(H$37&lt;100%,0,IF(H$9&lt;'Operating Assumptions'!$D$53,0,IF(H$6&gt;'Operating Assumptions'!$AA$8,0,H41*INDEX('Operating Assumptions'!$P$8:$AA$19,MATCH($B68,'Operating Assumptions'!$P$8:$P$19,0),MATCH(H$6,'Operating Assumptions'!$P$8:$AA$8,0)))))</f>
        <v>0</v>
      </c>
      <c r="I68" s="427">
        <f>-IF(I$37&lt;100%,0,IF(I$9&lt;'Operating Assumptions'!$D$53,0,IF(I$6&gt;'Operating Assumptions'!$AA$8,0,I41*INDEX('Operating Assumptions'!$P$8:$AA$19,MATCH($B68,'Operating Assumptions'!$P$8:$P$19,0),MATCH(I$6,'Operating Assumptions'!$P$8:$AA$8,0)))))</f>
        <v>0</v>
      </c>
      <c r="J68" s="427">
        <f>-IF(J$37&lt;100%,0,IF(J$9&lt;'Operating Assumptions'!$D$53,0,IF(J$6&gt;'Operating Assumptions'!$AA$8,0,J41*INDEX('Operating Assumptions'!$P$8:$AA$19,MATCH($B68,'Operating Assumptions'!$P$8:$P$19,0),MATCH(J$6,'Operating Assumptions'!$P$8:$AA$8,0)))))</f>
        <v>0</v>
      </c>
      <c r="K68" s="427">
        <f>-IF(K$37&lt;100%,0,IF(K$9&lt;'Operating Assumptions'!$D$53,0,IF(K$6&gt;'Operating Assumptions'!$AA$8,0,K41*INDEX('Operating Assumptions'!$P$8:$AA$19,MATCH($B68,'Operating Assumptions'!$P$8:$P$19,0),MATCH(K$6,'Operating Assumptions'!$P$8:$AA$8,0)))))</f>
        <v>0</v>
      </c>
      <c r="L68" s="427">
        <f>-IF(L$37&lt;100%,0,IF(L$9&lt;'Operating Assumptions'!$D$53,0,IF(L$6&gt;'Operating Assumptions'!$AA$8,0,L41*INDEX('Operating Assumptions'!$P$8:$AA$19,MATCH($B68,'Operating Assumptions'!$P$8:$P$19,0),MATCH(L$6,'Operating Assumptions'!$P$8:$AA$8,0)))))</f>
        <v>0</v>
      </c>
      <c r="M68" s="427">
        <f>-IF(M$37&lt;100%,0,IF(M$9&lt;'Operating Assumptions'!$D$53,0,IF(M$6&gt;'Operating Assumptions'!$AA$8,0,M41*INDEX('Operating Assumptions'!$P$8:$AA$19,MATCH($B68,'Operating Assumptions'!$P$8:$P$19,0),MATCH(M$6,'Operating Assumptions'!$P$8:$AA$8,0)))))</f>
        <v>0</v>
      </c>
      <c r="N68" s="427">
        <f>-IF(N$37&lt;100%,0,IF(N$9&lt;'Operating Assumptions'!$D$53,0,IF(N$6&gt;'Operating Assumptions'!$AA$8,0,N41*INDEX('Operating Assumptions'!$P$8:$AA$19,MATCH($B68,'Operating Assumptions'!$P$8:$P$19,0),MATCH(N$6,'Operating Assumptions'!$P$8:$AA$8,0)))))</f>
        <v>0</v>
      </c>
      <c r="O68" s="427">
        <f>-IF(O$37&lt;100%,0,IF(O$9&lt;'Operating Assumptions'!$D$53,0,IF(O$6&gt;'Operating Assumptions'!$AA$8,0,O41*INDEX('Operating Assumptions'!$P$8:$AA$19,MATCH($B68,'Operating Assumptions'!$P$8:$P$19,0),MATCH(O$6,'Operating Assumptions'!$P$8:$AA$8,0)))))</f>
        <v>0</v>
      </c>
      <c r="P68" s="427">
        <f>-IF(P$37&lt;100%,0,IF(P$9&lt;'Operating Assumptions'!$D$53,0,IF(P$6&gt;'Operating Assumptions'!$AA$8,0,P41*INDEX('Operating Assumptions'!$P$8:$AA$19,MATCH($B68,'Operating Assumptions'!$P$8:$P$19,0),MATCH(P$6,'Operating Assumptions'!$P$8:$AA$8,0)))))</f>
        <v>0</v>
      </c>
      <c r="Q68" s="427">
        <f>-IF(Q$37&lt;100%,0,IF(Q$9&lt;'Operating Assumptions'!$D$53,0,IF(Q$6&gt;'Operating Assumptions'!$AA$8,0,Q41*INDEX('Operating Assumptions'!$P$8:$AA$19,MATCH($B68,'Operating Assumptions'!$P$8:$P$19,0),MATCH(Q$6,'Operating Assumptions'!$P$8:$AA$8,0)))))</f>
        <v>0</v>
      </c>
      <c r="R68" s="427">
        <f>-IF(R$37&lt;100%,0,IF(R$9&lt;'Operating Assumptions'!$D$53,0,IF(R$6&gt;'Operating Assumptions'!$AA$8,0,R41*INDEX('Operating Assumptions'!$P$8:$AA$19,MATCH($B68,'Operating Assumptions'!$P$8:$P$19,0),MATCH(R$6,'Operating Assumptions'!$P$8:$AA$8,0)))))</f>
        <v>0</v>
      </c>
      <c r="S68" s="427">
        <f>-IF(S$37&lt;100%,0,IF(S$9&lt;'Operating Assumptions'!$D$53,0,IF(S$6&gt;'Operating Assumptions'!$AA$8,0,S41*INDEX('Operating Assumptions'!$P$8:$AA$19,MATCH($B68,'Operating Assumptions'!$P$8:$P$19,0),MATCH(S$6,'Operating Assumptions'!$P$8:$AA$8,0)))))</f>
        <v>0</v>
      </c>
      <c r="T68" s="427">
        <f>-IF(T$37&lt;100%,0,IF(T$9&lt;'Operating Assumptions'!$D$53,0,IF(T$6&gt;'Operating Assumptions'!$AA$8,0,T41*INDEX('Operating Assumptions'!$P$8:$AA$19,MATCH($B68,'Operating Assumptions'!$P$8:$P$19,0),MATCH(T$6,'Operating Assumptions'!$P$8:$AA$8,0)))))</f>
        <v>0</v>
      </c>
      <c r="U68" s="427">
        <f>-IF(U$37&lt;100%,0,IF(U$9&lt;'Operating Assumptions'!$D$53,0,IF(U$6&gt;'Operating Assumptions'!$AA$8,0,U41*INDEX('Operating Assumptions'!$P$8:$AA$19,MATCH($B68,'Operating Assumptions'!$P$8:$P$19,0),MATCH(U$6,'Operating Assumptions'!$P$8:$AA$8,0)))))</f>
        <v>0</v>
      </c>
      <c r="V68" s="427">
        <f>-IF(V$37&lt;100%,0,IF(V$9&lt;'Operating Assumptions'!$D$53,0,IF(V$6&gt;'Operating Assumptions'!$AA$8,0,V41*INDEX('Operating Assumptions'!$P$8:$AA$19,MATCH($B68,'Operating Assumptions'!$P$8:$P$19,0),MATCH(V$6,'Operating Assumptions'!$P$8:$AA$8,0)))))</f>
        <v>0</v>
      </c>
      <c r="W68" s="427">
        <f>-IF(W$37&lt;100%,0,IF(W$9&lt;'Operating Assumptions'!$D$53,0,IF(W$6&gt;'Operating Assumptions'!$AA$8,0,W41*INDEX('Operating Assumptions'!$P$8:$AA$19,MATCH($B68,'Operating Assumptions'!$P$8:$P$19,0),MATCH(W$6,'Operating Assumptions'!$P$8:$AA$8,0)))))</f>
        <v>0</v>
      </c>
      <c r="X68" s="427">
        <f>-IF(X$37&lt;100%,0,IF(X$9&lt;'Operating Assumptions'!$D$53,0,IF(X$6&gt;'Operating Assumptions'!$AA$8,0,X41*INDEX('Operating Assumptions'!$P$8:$AA$19,MATCH($B68,'Operating Assumptions'!$P$8:$P$19,0),MATCH(X$6,'Operating Assumptions'!$P$8:$AA$8,0)))))</f>
        <v>0</v>
      </c>
      <c r="Y68" s="427">
        <f>-IF(Y$37&lt;100%,0,IF(Y$9&lt;'Operating Assumptions'!$D$53,0,IF(Y$6&gt;'Operating Assumptions'!$AA$8,0,Y41*INDEX('Operating Assumptions'!$P$8:$AA$19,MATCH($B68,'Operating Assumptions'!$P$8:$P$19,0),MATCH(Y$6,'Operating Assumptions'!$P$8:$AA$8,0)))))</f>
        <v>0</v>
      </c>
      <c r="Z68" s="427">
        <f>-IF(Z$37&lt;100%,0,IF(Z$9&lt;'Operating Assumptions'!$D$53,0,IF(Z$6&gt;'Operating Assumptions'!$AA$8,0,Z41*INDEX('Operating Assumptions'!$P$8:$AA$19,MATCH($B68,'Operating Assumptions'!$P$8:$P$19,0),MATCH(Z$6,'Operating Assumptions'!$P$8:$AA$8,0)))))</f>
        <v>0</v>
      </c>
      <c r="AA68" s="427">
        <f>-IF(AA$37&lt;100%,0,IF(AA$9&lt;'Operating Assumptions'!$D$53,0,IF(AA$6&gt;'Operating Assumptions'!$AA$8,0,AA41*INDEX('Operating Assumptions'!$P$8:$AA$19,MATCH($B68,'Operating Assumptions'!$P$8:$P$19,0),MATCH(AA$6,'Operating Assumptions'!$P$8:$AA$8,0)))))</f>
        <v>0</v>
      </c>
      <c r="AB68" s="427">
        <f>-IF(AB$37&lt;100%,0,IF(AB$9&lt;'Operating Assumptions'!$D$53,0,IF(AB$6&gt;'Operating Assumptions'!$AA$8,0,AB41*INDEX('Operating Assumptions'!$P$8:$AA$19,MATCH($B68,'Operating Assumptions'!$P$8:$P$19,0),MATCH(AB$6,'Operating Assumptions'!$P$8:$AA$8,0)))))</f>
        <v>0</v>
      </c>
      <c r="AC68" s="427">
        <f>-IF(AC$37&lt;100%,0,IF(AC$9&lt;'Operating Assumptions'!$D$53,0,IF(AC$6&gt;'Operating Assumptions'!$AA$8,0,AC41*INDEX('Operating Assumptions'!$P$8:$AA$19,MATCH($B68,'Operating Assumptions'!$P$8:$P$19,0),MATCH(AC$6,'Operating Assumptions'!$P$8:$AA$8,0)))))</f>
        <v>0</v>
      </c>
      <c r="AD68" s="427">
        <f>-IF(AD$37&lt;100%,0,IF(AD$9&lt;'Operating Assumptions'!$D$53,0,IF(AD$6&gt;'Operating Assumptions'!$AA$8,0,AD41*INDEX('Operating Assumptions'!$P$8:$AA$19,MATCH($B68,'Operating Assumptions'!$P$8:$P$19,0),MATCH(AD$6,'Operating Assumptions'!$P$8:$AA$8,0)))))</f>
        <v>0</v>
      </c>
      <c r="AE68" s="427">
        <f>-IF(AE$37&lt;100%,0,IF(AE$9&lt;'Operating Assumptions'!$D$53,0,IF(AE$6&gt;'Operating Assumptions'!$AA$8,0,AE41*INDEX('Operating Assumptions'!$P$8:$AA$19,MATCH($B68,'Operating Assumptions'!$P$8:$P$19,0),MATCH(AE$6,'Operating Assumptions'!$P$8:$AA$8,0)))))</f>
        <v>0</v>
      </c>
      <c r="AF68" s="427">
        <f>-IF(AF$37&lt;100%,0,IF(AF$9&lt;'Operating Assumptions'!$D$53,0,IF(AF$6&gt;'Operating Assumptions'!$AA$8,0,AF41*INDEX('Operating Assumptions'!$P$8:$AA$19,MATCH($B68,'Operating Assumptions'!$P$8:$P$19,0),MATCH(AF$6,'Operating Assumptions'!$P$8:$AA$8,0)))))</f>
        <v>0</v>
      </c>
      <c r="AG68" s="427">
        <f>-IF(AG$37&lt;100%,0,IF(AG$9&lt;'Operating Assumptions'!$D$53,0,IF(AG$6&gt;'Operating Assumptions'!$AA$8,0,AG41*INDEX('Operating Assumptions'!$P$8:$AA$19,MATCH($B68,'Operating Assumptions'!$P$8:$P$19,0),MATCH(AG$6,'Operating Assumptions'!$P$8:$AA$8,0)))))</f>
        <v>0</v>
      </c>
      <c r="AH68" s="427">
        <f>-IF(AH$37&lt;100%,0,IF(AH$9&lt;'Operating Assumptions'!$D$53,0,IF(AH$6&gt;'Operating Assumptions'!$AA$8,0,AH41*INDEX('Operating Assumptions'!$P$8:$AA$19,MATCH($B68,'Operating Assumptions'!$P$8:$P$19,0),MATCH(AH$6,'Operating Assumptions'!$P$8:$AA$8,0)))))</f>
        <v>0</v>
      </c>
      <c r="AI68" s="427">
        <f>-IF(AI$37&lt;100%,0,IF(AI$9&lt;'Operating Assumptions'!$D$53,0,IF(AI$6&gt;'Operating Assumptions'!$AA$8,0,AI41*INDEX('Operating Assumptions'!$P$8:$AA$19,MATCH($B68,'Operating Assumptions'!$P$8:$P$19,0),MATCH(AI$6,'Operating Assumptions'!$P$8:$AA$8,0)))))</f>
        <v>0</v>
      </c>
      <c r="AJ68" s="427">
        <f>-IF(AJ$37&lt;100%,0,IF(AJ$9&lt;'Operating Assumptions'!$D$53,0,IF(AJ$6&gt;'Operating Assumptions'!$AA$8,0,AJ41*INDEX('Operating Assumptions'!$P$8:$AA$19,MATCH($B68,'Operating Assumptions'!$P$8:$P$19,0),MATCH(AJ$6,'Operating Assumptions'!$P$8:$AA$8,0)))))</f>
        <v>0</v>
      </c>
      <c r="AK68" s="427">
        <f>-IF(AK$37&lt;100%,0,IF(AK$9&lt;'Operating Assumptions'!$D$53,0,IF(AK$6&gt;'Operating Assumptions'!$AA$8,0,AK41*INDEX('Operating Assumptions'!$P$8:$AA$19,MATCH($B68,'Operating Assumptions'!$P$8:$P$19,0),MATCH(AK$6,'Operating Assumptions'!$P$8:$AA$8,0)))))</f>
        <v>0</v>
      </c>
      <c r="AL68" s="427">
        <f>-IF(AL$37&lt;100%,0,IF(AL$9&lt;'Operating Assumptions'!$D$53,0,IF(AL$6&gt;'Operating Assumptions'!$AA$8,0,AL41*INDEX('Operating Assumptions'!$P$8:$AA$19,MATCH($B68,'Operating Assumptions'!$P$8:$P$19,0),MATCH(AL$6,'Operating Assumptions'!$P$8:$AA$8,0)))))</f>
        <v>0</v>
      </c>
      <c r="AM68" s="427">
        <f>-IF(AM$37&lt;100%,0,IF(AM$9&lt;'Operating Assumptions'!$D$53,0,IF(AM$6&gt;'Operating Assumptions'!$AA$8,0,AM41*INDEX('Operating Assumptions'!$P$8:$AA$19,MATCH($B68,'Operating Assumptions'!$P$8:$P$19,0),MATCH(AM$6,'Operating Assumptions'!$P$8:$AA$8,0)))))</f>
        <v>-23993.434284066669</v>
      </c>
      <c r="AN68" s="427">
        <f>-IF(AN$37&lt;100%,0,IF(AN$9&lt;'Operating Assumptions'!$D$53,0,IF(AN$6&gt;'Operating Assumptions'!$AA$8,0,AN41*INDEX('Operating Assumptions'!$P$8:$AA$19,MATCH($B68,'Operating Assumptions'!$P$8:$P$19,0),MATCH(AN$6,'Operating Assumptions'!$P$8:$AA$8,0)))))</f>
        <v>-23993.434284066669</v>
      </c>
      <c r="AO68" s="427">
        <f>-IF(AO$37&lt;100%,0,IF(AO$9&lt;'Operating Assumptions'!$D$53,0,IF(AO$6&gt;'Operating Assumptions'!$AA$8,0,AO41*INDEX('Operating Assumptions'!$P$8:$AA$19,MATCH($B68,'Operating Assumptions'!$P$8:$P$19,0),MATCH(AO$6,'Operating Assumptions'!$P$8:$AA$8,0)))))</f>
        <v>-23993.434284066669</v>
      </c>
      <c r="AP68" s="427">
        <f>-IF(AP$37&lt;100%,0,IF(AP$9&lt;'Operating Assumptions'!$D$53,0,IF(AP$6&gt;'Operating Assumptions'!$AA$8,0,AP41*INDEX('Operating Assumptions'!$P$8:$AA$19,MATCH($B68,'Operating Assumptions'!$P$8:$P$19,0),MATCH(AP$6,'Operating Assumptions'!$P$8:$AA$8,0)))))</f>
        <v>-23993.434284066669</v>
      </c>
      <c r="AQ68" s="427">
        <f>-IF(AQ$37&lt;100%,0,IF(AQ$9&lt;'Operating Assumptions'!$D$53,0,IF(AQ$6&gt;'Operating Assumptions'!$AA$8,0,AQ41*INDEX('Operating Assumptions'!$P$8:$AA$19,MATCH($B68,'Operating Assumptions'!$P$8:$P$19,0),MATCH(AQ$6,'Operating Assumptions'!$P$8:$AA$8,0)))))</f>
        <v>-23993.434284066669</v>
      </c>
      <c r="AR68" s="427">
        <f>-IF(AR$37&lt;100%,0,IF(AR$9&lt;'Operating Assumptions'!$D$53,0,IF(AR$6&gt;'Operating Assumptions'!$AA$8,0,AR41*INDEX('Operating Assumptions'!$P$8:$AA$19,MATCH($B68,'Operating Assumptions'!$P$8:$P$19,0),MATCH(AR$6,'Operating Assumptions'!$P$8:$AA$8,0)))))</f>
        <v>-24463.893779832681</v>
      </c>
      <c r="AS68" s="427">
        <f>-IF(AS$37&lt;100%,0,IF(AS$9&lt;'Operating Assumptions'!$D$53,0,IF(AS$6&gt;'Operating Assumptions'!$AA$8,0,AS41*INDEX('Operating Assumptions'!$P$8:$AA$19,MATCH($B68,'Operating Assumptions'!$P$8:$P$19,0),MATCH(AS$6,'Operating Assumptions'!$P$8:$AA$8,0)))))</f>
        <v>-24463.893779832681</v>
      </c>
      <c r="AT68" s="427">
        <f>-IF(AT$37&lt;100%,0,IF(AT$9&lt;'Operating Assumptions'!$D$53,0,IF(AT$6&gt;'Operating Assumptions'!$AA$8,0,AT41*INDEX('Operating Assumptions'!$P$8:$AA$19,MATCH($B68,'Operating Assumptions'!$P$8:$P$19,0),MATCH(AT$6,'Operating Assumptions'!$P$8:$AA$8,0)))))</f>
        <v>-24463.893779832681</v>
      </c>
      <c r="AU68" s="427">
        <f>-IF(AU$37&lt;100%,0,IF(AU$9&lt;'Operating Assumptions'!$D$53,0,IF(AU$6&gt;'Operating Assumptions'!$AA$8,0,AU41*INDEX('Operating Assumptions'!$P$8:$AA$19,MATCH($B68,'Operating Assumptions'!$P$8:$P$19,0),MATCH(AU$6,'Operating Assumptions'!$P$8:$AA$8,0)))))</f>
        <v>-24463.893779832681</v>
      </c>
      <c r="AV68" s="427">
        <f>-IF(AV$37&lt;100%,0,IF(AV$9&lt;'Operating Assumptions'!$D$53,0,IF(AV$6&gt;'Operating Assumptions'!$AA$8,0,AV41*INDEX('Operating Assumptions'!$P$8:$AA$19,MATCH($B68,'Operating Assumptions'!$P$8:$P$19,0),MATCH(AV$6,'Operating Assumptions'!$P$8:$AA$8,0)))))</f>
        <v>-24463.893779832681</v>
      </c>
      <c r="AW68" s="427">
        <f>-IF(AW$37&lt;100%,0,IF(AW$9&lt;'Operating Assumptions'!$D$53,0,IF(AW$6&gt;'Operating Assumptions'!$AA$8,0,AW41*INDEX('Operating Assumptions'!$P$8:$AA$19,MATCH($B68,'Operating Assumptions'!$P$8:$P$19,0),MATCH(AW$6,'Operating Assumptions'!$P$8:$AA$8,0)))))</f>
        <v>-24463.893779832681</v>
      </c>
      <c r="AX68" s="427">
        <f>-IF(AX$37&lt;100%,0,IF(AX$9&lt;'Operating Assumptions'!$D$53,0,IF(AX$6&gt;'Operating Assumptions'!$AA$8,0,AX41*INDEX('Operating Assumptions'!$P$8:$AA$19,MATCH($B68,'Operating Assumptions'!$P$8:$P$19,0),MATCH(AX$6,'Operating Assumptions'!$P$8:$AA$8,0)))))</f>
        <v>-24463.893779832681</v>
      </c>
      <c r="AY68" s="427">
        <f>-IF(AY$37&lt;100%,0,IF(AY$9&lt;'Operating Assumptions'!$D$53,0,IF(AY$6&gt;'Operating Assumptions'!$AA$8,0,AY41*INDEX('Operating Assumptions'!$P$8:$AA$19,MATCH($B68,'Operating Assumptions'!$P$8:$P$19,0),MATCH(AY$6,'Operating Assumptions'!$P$8:$AA$8,0)))))</f>
        <v>-24463.893779832681</v>
      </c>
      <c r="AZ68" s="427">
        <f>-IF(AZ$37&lt;100%,0,IF(AZ$9&lt;'Operating Assumptions'!$D$53,0,IF(AZ$6&gt;'Operating Assumptions'!$AA$8,0,AZ41*INDEX('Operating Assumptions'!$P$8:$AA$19,MATCH($B68,'Operating Assumptions'!$P$8:$P$19,0),MATCH(AZ$6,'Operating Assumptions'!$P$8:$AA$8,0)))))</f>
        <v>-24463.893779832681</v>
      </c>
      <c r="BA68" s="427">
        <f>-IF(BA$37&lt;100%,0,IF(BA$9&lt;'Operating Assumptions'!$D$53,0,IF(BA$6&gt;'Operating Assumptions'!$AA$8,0,BA41*INDEX('Operating Assumptions'!$P$8:$AA$19,MATCH($B68,'Operating Assumptions'!$P$8:$P$19,0),MATCH(BA$6,'Operating Assumptions'!$P$8:$AA$8,0)))))</f>
        <v>-24463.893779832681</v>
      </c>
      <c r="BB68" s="427">
        <f>-IF(BB$37&lt;100%,0,IF(BB$9&lt;'Operating Assumptions'!$D$53,0,IF(BB$6&gt;'Operating Assumptions'!$AA$8,0,BB41*INDEX('Operating Assumptions'!$P$8:$AA$19,MATCH($B68,'Operating Assumptions'!$P$8:$P$19,0),MATCH(BB$6,'Operating Assumptions'!$P$8:$AA$8,0)))))</f>
        <v>-24463.893779832681</v>
      </c>
      <c r="BC68" s="427">
        <f>-IF(BC$37&lt;100%,0,IF(BC$9&lt;'Operating Assumptions'!$D$53,0,IF(BC$6&gt;'Operating Assumptions'!$AA$8,0,BC41*INDEX('Operating Assumptions'!$P$8:$AA$19,MATCH($B68,'Operating Assumptions'!$P$8:$P$19,0),MATCH(BC$6,'Operating Assumptions'!$P$8:$AA$8,0)))))</f>
        <v>-24463.893779832681</v>
      </c>
      <c r="BD68" s="427">
        <f>-IF(BD$37&lt;100%,0,IF(BD$9&lt;'Operating Assumptions'!$D$53,0,IF(BD$6&gt;'Operating Assumptions'!$AA$8,0,BD41*INDEX('Operating Assumptions'!$P$8:$AA$19,MATCH($B68,'Operating Assumptions'!$P$8:$P$19,0),MATCH(BD$6,'Operating Assumptions'!$P$8:$AA$8,0)))))</f>
        <v>-24934.353275598696</v>
      </c>
      <c r="BE68" s="427">
        <f>-IF(BE$37&lt;100%,0,IF(BE$9&lt;'Operating Assumptions'!$D$53,0,IF(BE$6&gt;'Operating Assumptions'!$AA$8,0,BE41*INDEX('Operating Assumptions'!$P$8:$AA$19,MATCH($B68,'Operating Assumptions'!$P$8:$P$19,0),MATCH(BE$6,'Operating Assumptions'!$P$8:$AA$8,0)))))</f>
        <v>-24934.353275598696</v>
      </c>
      <c r="BF68" s="427">
        <f>-IF(BF$37&lt;100%,0,IF(BF$9&lt;'Operating Assumptions'!$D$53,0,IF(BF$6&gt;'Operating Assumptions'!$AA$8,0,BF41*INDEX('Operating Assumptions'!$P$8:$AA$19,MATCH($B68,'Operating Assumptions'!$P$8:$P$19,0),MATCH(BF$6,'Operating Assumptions'!$P$8:$AA$8,0)))))</f>
        <v>-24934.353275598696</v>
      </c>
      <c r="BG68" s="427">
        <f>-IF(BG$37&lt;100%,0,IF(BG$9&lt;'Operating Assumptions'!$D$53,0,IF(BG$6&gt;'Operating Assumptions'!$AA$8,0,BG41*INDEX('Operating Assumptions'!$P$8:$AA$19,MATCH($B68,'Operating Assumptions'!$P$8:$P$19,0),MATCH(BG$6,'Operating Assumptions'!$P$8:$AA$8,0)))))</f>
        <v>-24934.353275598696</v>
      </c>
      <c r="BH68" s="427">
        <f>-IF(BH$37&lt;100%,0,IF(BH$9&lt;'Operating Assumptions'!$D$53,0,IF(BH$6&gt;'Operating Assumptions'!$AA$8,0,BH41*INDEX('Operating Assumptions'!$P$8:$AA$19,MATCH($B68,'Operating Assumptions'!$P$8:$P$19,0),MATCH(BH$6,'Operating Assumptions'!$P$8:$AA$8,0)))))</f>
        <v>-24934.353275598696</v>
      </c>
      <c r="BI68" s="427">
        <f>-IF(BI$37&lt;100%,0,IF(BI$9&lt;'Operating Assumptions'!$D$53,0,IF(BI$6&gt;'Operating Assumptions'!$AA$8,0,BI41*INDEX('Operating Assumptions'!$P$8:$AA$19,MATCH($B68,'Operating Assumptions'!$P$8:$P$19,0),MATCH(BI$6,'Operating Assumptions'!$P$8:$AA$8,0)))))</f>
        <v>-24934.353275598696</v>
      </c>
      <c r="BJ68" s="427">
        <f>-IF(BJ$37&lt;100%,0,IF(BJ$9&lt;'Operating Assumptions'!$D$53,0,IF(BJ$6&gt;'Operating Assumptions'!$AA$8,0,BJ41*INDEX('Operating Assumptions'!$P$8:$AA$19,MATCH($B68,'Operating Assumptions'!$P$8:$P$19,0),MATCH(BJ$6,'Operating Assumptions'!$P$8:$AA$8,0)))))</f>
        <v>-24934.353275598696</v>
      </c>
      <c r="BK68" s="427">
        <f>-IF(BK$37&lt;100%,0,IF(BK$9&lt;'Operating Assumptions'!$D$53,0,IF(BK$6&gt;'Operating Assumptions'!$AA$8,0,BK41*INDEX('Operating Assumptions'!$P$8:$AA$19,MATCH($B68,'Operating Assumptions'!$P$8:$P$19,0),MATCH(BK$6,'Operating Assumptions'!$P$8:$AA$8,0)))))</f>
        <v>-24934.353275598696</v>
      </c>
      <c r="BL68" s="427">
        <f>-IF(BL$37&lt;100%,0,IF(BL$9&lt;'Operating Assumptions'!$D$53,0,IF(BL$6&gt;'Operating Assumptions'!$AA$8,0,BL41*INDEX('Operating Assumptions'!$P$8:$AA$19,MATCH($B68,'Operating Assumptions'!$P$8:$P$19,0),MATCH(BL$6,'Operating Assumptions'!$P$8:$AA$8,0)))))</f>
        <v>-24934.353275598696</v>
      </c>
      <c r="BM68" s="427">
        <f>-IF(BM$37&lt;100%,0,IF(BM$9&lt;'Operating Assumptions'!$D$53,0,IF(BM$6&gt;'Operating Assumptions'!$AA$8,0,BM41*INDEX('Operating Assumptions'!$P$8:$AA$19,MATCH($B68,'Operating Assumptions'!$P$8:$P$19,0),MATCH(BM$6,'Operating Assumptions'!$P$8:$AA$8,0)))))</f>
        <v>-24934.353275598696</v>
      </c>
      <c r="BN68" s="427">
        <f>-IF(BN$37&lt;100%,0,IF(BN$9&lt;'Operating Assumptions'!$D$53,0,IF(BN$6&gt;'Operating Assumptions'!$AA$8,0,BN41*INDEX('Operating Assumptions'!$P$8:$AA$19,MATCH($B68,'Operating Assumptions'!$P$8:$P$19,0),MATCH(BN$6,'Operating Assumptions'!$P$8:$AA$8,0)))))</f>
        <v>-24934.353275598696</v>
      </c>
      <c r="BO68" s="427">
        <f>-IF(BO$37&lt;100%,0,IF(BO$9&lt;'Operating Assumptions'!$D$53,0,IF(BO$6&gt;'Operating Assumptions'!$AA$8,0,BO41*INDEX('Operating Assumptions'!$P$8:$AA$19,MATCH($B68,'Operating Assumptions'!$P$8:$P$19,0),MATCH(BO$6,'Operating Assumptions'!$P$8:$AA$8,0)))))</f>
        <v>-24934.353275598696</v>
      </c>
      <c r="BP68" s="427">
        <f>-IF(BP$37&lt;100%,0,IF(BP$9&lt;'Operating Assumptions'!$D$53,0,IF(BP$6&gt;'Operating Assumptions'!$AA$8,0,BP41*INDEX('Operating Assumptions'!$P$8:$AA$19,MATCH($B68,'Operating Assumptions'!$P$8:$P$19,0),MATCH(BP$6,'Operating Assumptions'!$P$8:$AA$8,0)))))</f>
        <v>-25404.812771364708</v>
      </c>
      <c r="BQ68" s="427">
        <f>-IF(BQ$37&lt;100%,0,IF(BQ$9&lt;'Operating Assumptions'!$D$53,0,IF(BQ$6&gt;'Operating Assumptions'!$AA$8,0,BQ41*INDEX('Operating Assumptions'!$P$8:$AA$19,MATCH($B68,'Operating Assumptions'!$P$8:$P$19,0),MATCH(BQ$6,'Operating Assumptions'!$P$8:$AA$8,0)))))</f>
        <v>-25404.812771364708</v>
      </c>
      <c r="BR68" s="427">
        <f>-IF(BR$37&lt;100%,0,IF(BR$9&lt;'Operating Assumptions'!$D$53,0,IF(BR$6&gt;'Operating Assumptions'!$AA$8,0,BR41*INDEX('Operating Assumptions'!$P$8:$AA$19,MATCH($B68,'Operating Assumptions'!$P$8:$P$19,0),MATCH(BR$6,'Operating Assumptions'!$P$8:$AA$8,0)))))</f>
        <v>-25404.812771364708</v>
      </c>
      <c r="BS68" s="427">
        <f>-IF(BS$37&lt;100%,0,IF(BS$9&lt;'Operating Assumptions'!$D$53,0,IF(BS$6&gt;'Operating Assumptions'!$AA$8,0,BS41*INDEX('Operating Assumptions'!$P$8:$AA$19,MATCH($B68,'Operating Assumptions'!$P$8:$P$19,0),MATCH(BS$6,'Operating Assumptions'!$P$8:$AA$8,0)))))</f>
        <v>-25404.812771364708</v>
      </c>
      <c r="BT68" s="427">
        <f>-IF(BT$37&lt;100%,0,IF(BT$9&lt;'Operating Assumptions'!$D$53,0,IF(BT$6&gt;'Operating Assumptions'!$AA$8,0,BT41*INDEX('Operating Assumptions'!$P$8:$AA$19,MATCH($B68,'Operating Assumptions'!$P$8:$P$19,0),MATCH(BT$6,'Operating Assumptions'!$P$8:$AA$8,0)))))</f>
        <v>-25404.812771364708</v>
      </c>
      <c r="BU68" s="427">
        <f>-IF(BU$37&lt;100%,0,IF(BU$9&lt;'Operating Assumptions'!$D$53,0,IF(BU$6&gt;'Operating Assumptions'!$AA$8,0,BU41*INDEX('Operating Assumptions'!$P$8:$AA$19,MATCH($B68,'Operating Assumptions'!$P$8:$P$19,0),MATCH(BU$6,'Operating Assumptions'!$P$8:$AA$8,0)))))</f>
        <v>-25404.812771364708</v>
      </c>
      <c r="BV68" s="427">
        <f>-IF(BV$37&lt;100%,0,IF(BV$9&lt;'Operating Assumptions'!$D$53,0,IF(BV$6&gt;'Operating Assumptions'!$AA$8,0,BV41*INDEX('Operating Assumptions'!$P$8:$AA$19,MATCH($B68,'Operating Assumptions'!$P$8:$P$19,0),MATCH(BV$6,'Operating Assumptions'!$P$8:$AA$8,0)))))</f>
        <v>-25404.812771364708</v>
      </c>
      <c r="BW68" s="427">
        <f>-IF(BW$37&lt;100%,0,IF(BW$9&lt;'Operating Assumptions'!$D$53,0,IF(BW$6&gt;'Operating Assumptions'!$AA$8,0,BW41*INDEX('Operating Assumptions'!$P$8:$AA$19,MATCH($B68,'Operating Assumptions'!$P$8:$P$19,0),MATCH(BW$6,'Operating Assumptions'!$P$8:$AA$8,0)))))</f>
        <v>-25404.812771364708</v>
      </c>
      <c r="BX68" s="427">
        <f>-IF(BX$37&lt;100%,0,IF(BX$9&lt;'Operating Assumptions'!$D$53,0,IF(BX$6&gt;'Operating Assumptions'!$AA$8,0,BX41*INDEX('Operating Assumptions'!$P$8:$AA$19,MATCH($B68,'Operating Assumptions'!$P$8:$P$19,0),MATCH(BX$6,'Operating Assumptions'!$P$8:$AA$8,0)))))</f>
        <v>-25404.812771364708</v>
      </c>
      <c r="BY68" s="427">
        <f>-IF(BY$37&lt;100%,0,IF(BY$9&lt;'Operating Assumptions'!$D$53,0,IF(BY$6&gt;'Operating Assumptions'!$AA$8,0,BY41*INDEX('Operating Assumptions'!$P$8:$AA$19,MATCH($B68,'Operating Assumptions'!$P$8:$P$19,0),MATCH(BY$6,'Operating Assumptions'!$P$8:$AA$8,0)))))</f>
        <v>-25404.812771364708</v>
      </c>
      <c r="BZ68" s="427">
        <f>-IF(BZ$37&lt;100%,0,IF(BZ$9&lt;'Operating Assumptions'!$D$53,0,IF(BZ$6&gt;'Operating Assumptions'!$AA$8,0,BZ41*INDEX('Operating Assumptions'!$P$8:$AA$19,MATCH($B68,'Operating Assumptions'!$P$8:$P$19,0),MATCH(BZ$6,'Operating Assumptions'!$P$8:$AA$8,0)))))</f>
        <v>-25404.812771364708</v>
      </c>
      <c r="CA68" s="427">
        <f>-IF(CA$37&lt;100%,0,IF(CA$9&lt;'Operating Assumptions'!$D$53,0,IF(CA$6&gt;'Operating Assumptions'!$AA$8,0,CA41*INDEX('Operating Assumptions'!$P$8:$AA$19,MATCH($B68,'Operating Assumptions'!$P$8:$P$19,0),MATCH(CA$6,'Operating Assumptions'!$P$8:$AA$8,0)))))</f>
        <v>-25404.812771364708</v>
      </c>
      <c r="CB68" s="427">
        <f>-IF(CB$37&lt;100%,0,IF(CB$9&lt;'Operating Assumptions'!$D$53,0,IF(CB$6&gt;'Operating Assumptions'!$AA$8,0,CB41*INDEX('Operating Assumptions'!$P$8:$AA$19,MATCH($B68,'Operating Assumptions'!$P$8:$P$19,0),MATCH(CB$6,'Operating Assumptions'!$P$8:$AA$8,0)))))</f>
        <v>-25875.272267130724</v>
      </c>
      <c r="CC68" s="427">
        <f>-IF(CC$37&lt;100%,0,IF(CC$9&lt;'Operating Assumptions'!$D$53,0,IF(CC$6&gt;'Operating Assumptions'!$AA$8,0,CC41*INDEX('Operating Assumptions'!$P$8:$AA$19,MATCH($B68,'Operating Assumptions'!$P$8:$P$19,0),MATCH(CC$6,'Operating Assumptions'!$P$8:$AA$8,0)))))</f>
        <v>-25875.272267130724</v>
      </c>
      <c r="CD68" s="427">
        <f>-IF(CD$37&lt;100%,0,IF(CD$9&lt;'Operating Assumptions'!$D$53,0,IF(CD$6&gt;'Operating Assumptions'!$AA$8,0,CD41*INDEX('Operating Assumptions'!$P$8:$AA$19,MATCH($B68,'Operating Assumptions'!$P$8:$P$19,0),MATCH(CD$6,'Operating Assumptions'!$P$8:$AA$8,0)))))</f>
        <v>-25875.272267130724</v>
      </c>
      <c r="CE68" s="427">
        <f>-IF(CE$37&lt;100%,0,IF(CE$9&lt;'Operating Assumptions'!$D$53,0,IF(CE$6&gt;'Operating Assumptions'!$AA$8,0,CE41*INDEX('Operating Assumptions'!$P$8:$AA$19,MATCH($B68,'Operating Assumptions'!$P$8:$P$19,0),MATCH(CE$6,'Operating Assumptions'!$P$8:$AA$8,0)))))</f>
        <v>-25875.272267130724</v>
      </c>
      <c r="CF68" s="427">
        <f>-IF(CF$37&lt;100%,0,IF(CF$9&lt;'Operating Assumptions'!$D$53,0,IF(CF$6&gt;'Operating Assumptions'!$AA$8,0,CF41*INDEX('Operating Assumptions'!$P$8:$AA$19,MATCH($B68,'Operating Assumptions'!$P$8:$P$19,0),MATCH(CF$6,'Operating Assumptions'!$P$8:$AA$8,0)))))</f>
        <v>-25875.272267130724</v>
      </c>
      <c r="CG68" s="427">
        <f>-IF(CG$37&lt;100%,0,IF(CG$9&lt;'Operating Assumptions'!$D$53,0,IF(CG$6&gt;'Operating Assumptions'!$AA$8,0,CG41*INDEX('Operating Assumptions'!$P$8:$AA$19,MATCH($B68,'Operating Assumptions'!$P$8:$P$19,0),MATCH(CG$6,'Operating Assumptions'!$P$8:$AA$8,0)))))</f>
        <v>-25875.272267130724</v>
      </c>
      <c r="CH68" s="427">
        <f>-IF(CH$37&lt;100%,0,IF(CH$9&lt;'Operating Assumptions'!$D$53,0,IF(CH$6&gt;'Operating Assumptions'!$AA$8,0,CH41*INDEX('Operating Assumptions'!$P$8:$AA$19,MATCH($B68,'Operating Assumptions'!$P$8:$P$19,0),MATCH(CH$6,'Operating Assumptions'!$P$8:$AA$8,0)))))</f>
        <v>-25875.272267130724</v>
      </c>
      <c r="CI68" s="427">
        <f>-IF(CI$37&lt;100%,0,IF(CI$9&lt;'Operating Assumptions'!$D$53,0,IF(CI$6&gt;'Operating Assumptions'!$AA$8,0,CI41*INDEX('Operating Assumptions'!$P$8:$AA$19,MATCH($B68,'Operating Assumptions'!$P$8:$P$19,0),MATCH(CI$6,'Operating Assumptions'!$P$8:$AA$8,0)))))</f>
        <v>-25875.272267130724</v>
      </c>
      <c r="CJ68" s="427">
        <f>-IF(CJ$37&lt;100%,0,IF(CJ$9&lt;'Operating Assumptions'!$D$53,0,IF(CJ$6&gt;'Operating Assumptions'!$AA$8,0,CJ41*INDEX('Operating Assumptions'!$P$8:$AA$19,MATCH($B68,'Operating Assumptions'!$P$8:$P$19,0),MATCH(CJ$6,'Operating Assumptions'!$P$8:$AA$8,0)))))</f>
        <v>-25875.272267130724</v>
      </c>
      <c r="CK68" s="427">
        <f>-IF(CK$37&lt;100%,0,IF(CK$9&lt;'Operating Assumptions'!$D$53,0,IF(CK$6&gt;'Operating Assumptions'!$AA$8,0,CK41*INDEX('Operating Assumptions'!$P$8:$AA$19,MATCH($B68,'Operating Assumptions'!$P$8:$P$19,0),MATCH(CK$6,'Operating Assumptions'!$P$8:$AA$8,0)))))</f>
        <v>-25875.272267130724</v>
      </c>
      <c r="CL68" s="427">
        <f>-IF(CL$37&lt;100%,0,IF(CL$9&lt;'Operating Assumptions'!$D$53,0,IF(CL$6&gt;'Operating Assumptions'!$AA$8,0,CL41*INDEX('Operating Assumptions'!$P$8:$AA$19,MATCH($B68,'Operating Assumptions'!$P$8:$P$19,0),MATCH(CL$6,'Operating Assumptions'!$P$8:$AA$8,0)))))</f>
        <v>-25875.272267130724</v>
      </c>
      <c r="CM68" s="427">
        <f>-IF(CM$37&lt;100%,0,IF(CM$9&lt;'Operating Assumptions'!$D$53,0,IF(CM$6&gt;'Operating Assumptions'!$AA$8,0,CM41*INDEX('Operating Assumptions'!$P$8:$AA$19,MATCH($B68,'Operating Assumptions'!$P$8:$P$19,0),MATCH(CM$6,'Operating Assumptions'!$P$8:$AA$8,0)))))</f>
        <v>-25875.272267130724</v>
      </c>
      <c r="CN68" s="427">
        <f>-IF(CN$37&lt;100%,0,IF(CN$9&lt;'Operating Assumptions'!$D$53,0,IF(CN$6&gt;'Operating Assumptions'!$AA$8,0,CN41*INDEX('Operating Assumptions'!$P$8:$AA$19,MATCH($B68,'Operating Assumptions'!$P$8:$P$19,0),MATCH(CN$6,'Operating Assumptions'!$P$8:$AA$8,0)))))</f>
        <v>-26345.731762896736</v>
      </c>
      <c r="CO68" s="427">
        <f>-IF(CO$37&lt;100%,0,IF(CO$9&lt;'Operating Assumptions'!$D$53,0,IF(CO$6&gt;'Operating Assumptions'!$AA$8,0,CO41*INDEX('Operating Assumptions'!$P$8:$AA$19,MATCH($B68,'Operating Assumptions'!$P$8:$P$19,0),MATCH(CO$6,'Operating Assumptions'!$P$8:$AA$8,0)))))</f>
        <v>-26345.731762896736</v>
      </c>
      <c r="CP68" s="427">
        <f>-IF(CP$37&lt;100%,0,IF(CP$9&lt;'Operating Assumptions'!$D$53,0,IF(CP$6&gt;'Operating Assumptions'!$AA$8,0,CP41*INDEX('Operating Assumptions'!$P$8:$AA$19,MATCH($B68,'Operating Assumptions'!$P$8:$P$19,0),MATCH(CP$6,'Operating Assumptions'!$P$8:$AA$8,0)))))</f>
        <v>-26345.731762896736</v>
      </c>
      <c r="CQ68" s="427">
        <f>-IF(CQ$37&lt;100%,0,IF(CQ$9&lt;'Operating Assumptions'!$D$53,0,IF(CQ$6&gt;'Operating Assumptions'!$AA$8,0,CQ41*INDEX('Operating Assumptions'!$P$8:$AA$19,MATCH($B68,'Operating Assumptions'!$P$8:$P$19,0),MATCH(CQ$6,'Operating Assumptions'!$P$8:$AA$8,0)))))</f>
        <v>-26345.731762896736</v>
      </c>
      <c r="CR68" s="427">
        <f>-IF(CR$37&lt;100%,0,IF(CR$9&lt;'Operating Assumptions'!$D$53,0,IF(CR$6&gt;'Operating Assumptions'!$AA$8,0,CR41*INDEX('Operating Assumptions'!$P$8:$AA$19,MATCH($B68,'Operating Assumptions'!$P$8:$P$19,0),MATCH(CR$6,'Operating Assumptions'!$P$8:$AA$8,0)))))</f>
        <v>-26345.731762896736</v>
      </c>
      <c r="CS68" s="427">
        <f>-IF(CS$37&lt;100%,0,IF(CS$9&lt;'Operating Assumptions'!$D$53,0,IF(CS$6&gt;'Operating Assumptions'!$AA$8,0,CS41*INDEX('Operating Assumptions'!$P$8:$AA$19,MATCH($B68,'Operating Assumptions'!$P$8:$P$19,0),MATCH(CS$6,'Operating Assumptions'!$P$8:$AA$8,0)))))</f>
        <v>-26345.731762896736</v>
      </c>
      <c r="CT68" s="427">
        <f>-IF(CT$37&lt;100%,0,IF(CT$9&lt;'Operating Assumptions'!$D$53,0,IF(CT$6&gt;'Operating Assumptions'!$AA$8,0,CT41*INDEX('Operating Assumptions'!$P$8:$AA$19,MATCH($B68,'Operating Assumptions'!$P$8:$P$19,0),MATCH(CT$6,'Operating Assumptions'!$P$8:$AA$8,0)))))</f>
        <v>-26345.731762896736</v>
      </c>
      <c r="CU68" s="427">
        <f>-IF(CU$37&lt;100%,0,IF(CU$9&lt;'Operating Assumptions'!$D$53,0,IF(CU$6&gt;'Operating Assumptions'!$AA$8,0,CU41*INDEX('Operating Assumptions'!$P$8:$AA$19,MATCH($B68,'Operating Assumptions'!$P$8:$P$19,0),MATCH(CU$6,'Operating Assumptions'!$P$8:$AA$8,0)))))</f>
        <v>-26345.731762896736</v>
      </c>
      <c r="CV68" s="427">
        <f>-IF(CV$37&lt;100%,0,IF(CV$9&lt;'Operating Assumptions'!$D$53,0,IF(CV$6&gt;'Operating Assumptions'!$AA$8,0,CV41*INDEX('Operating Assumptions'!$P$8:$AA$19,MATCH($B68,'Operating Assumptions'!$P$8:$P$19,0),MATCH(CV$6,'Operating Assumptions'!$P$8:$AA$8,0)))))</f>
        <v>-26345.731762896736</v>
      </c>
      <c r="CW68" s="427">
        <f>-IF(CW$37&lt;100%,0,IF(CW$9&lt;'Operating Assumptions'!$D$53,0,IF(CW$6&gt;'Operating Assumptions'!$AA$8,0,CW41*INDEX('Operating Assumptions'!$P$8:$AA$19,MATCH($B68,'Operating Assumptions'!$P$8:$P$19,0),MATCH(CW$6,'Operating Assumptions'!$P$8:$AA$8,0)))))</f>
        <v>-26345.731762896736</v>
      </c>
      <c r="CX68" s="427">
        <f>-IF(CX$37&lt;100%,0,IF(CX$9&lt;'Operating Assumptions'!$D$53,0,IF(CX$6&gt;'Operating Assumptions'!$AA$8,0,CX41*INDEX('Operating Assumptions'!$P$8:$AA$19,MATCH($B68,'Operating Assumptions'!$P$8:$P$19,0),MATCH(CX$6,'Operating Assumptions'!$P$8:$AA$8,0)))))</f>
        <v>-26345.731762896736</v>
      </c>
      <c r="CY68" s="427">
        <f>-IF(CY$37&lt;100%,0,IF(CY$9&lt;'Operating Assumptions'!$D$53,0,IF(CY$6&gt;'Operating Assumptions'!$AA$8,0,CY41*INDEX('Operating Assumptions'!$P$8:$AA$19,MATCH($B68,'Operating Assumptions'!$P$8:$P$19,0),MATCH(CY$6,'Operating Assumptions'!$P$8:$AA$8,0)))))</f>
        <v>-26345.731762896736</v>
      </c>
      <c r="CZ68" s="427">
        <f>-IF(CZ$37&lt;100%,0,IF(CZ$9&lt;'Operating Assumptions'!$D$53,0,IF(CZ$6&gt;'Operating Assumptions'!$AA$8,0,CZ41*INDEX('Operating Assumptions'!$P$8:$AA$19,MATCH($B68,'Operating Assumptions'!$P$8:$P$19,0),MATCH(CZ$6,'Operating Assumptions'!$P$8:$AA$8,0)))))</f>
        <v>-26816.191258662748</v>
      </c>
      <c r="DA68" s="427">
        <f>-IF(DA$37&lt;100%,0,IF(DA$9&lt;'Operating Assumptions'!$D$53,0,IF(DA$6&gt;'Operating Assumptions'!$AA$8,0,DA41*INDEX('Operating Assumptions'!$P$8:$AA$19,MATCH($B68,'Operating Assumptions'!$P$8:$P$19,0),MATCH(DA$6,'Operating Assumptions'!$P$8:$AA$8,0)))))</f>
        <v>-26816.191258662748</v>
      </c>
      <c r="DB68" s="427">
        <f>-IF(DB$37&lt;100%,0,IF(DB$9&lt;'Operating Assumptions'!$D$53,0,IF(DB$6&gt;'Operating Assumptions'!$AA$8,0,DB41*INDEX('Operating Assumptions'!$P$8:$AA$19,MATCH($B68,'Operating Assumptions'!$P$8:$P$19,0),MATCH(DB$6,'Operating Assumptions'!$P$8:$AA$8,0)))))</f>
        <v>-26816.191258662748</v>
      </c>
      <c r="DC68" s="427">
        <f>-IF(DC$37&lt;100%,0,IF(DC$9&lt;'Operating Assumptions'!$D$53,0,IF(DC$6&gt;'Operating Assumptions'!$AA$8,0,DC41*INDEX('Operating Assumptions'!$P$8:$AA$19,MATCH($B68,'Operating Assumptions'!$P$8:$P$19,0),MATCH(DC$6,'Operating Assumptions'!$P$8:$AA$8,0)))))</f>
        <v>-26816.191258662748</v>
      </c>
      <c r="DD68" s="427">
        <f>-IF(DD$37&lt;100%,0,IF(DD$9&lt;'Operating Assumptions'!$D$53,0,IF(DD$6&gt;'Operating Assumptions'!$AA$8,0,DD41*INDEX('Operating Assumptions'!$P$8:$AA$19,MATCH($B68,'Operating Assumptions'!$P$8:$P$19,0),MATCH(DD$6,'Operating Assumptions'!$P$8:$AA$8,0)))))</f>
        <v>-26816.191258662748</v>
      </c>
      <c r="DE68" s="427">
        <f>-IF(DE$37&lt;100%,0,IF(DE$9&lt;'Operating Assumptions'!$D$53,0,IF(DE$6&gt;'Operating Assumptions'!$AA$8,0,DE41*INDEX('Operating Assumptions'!$P$8:$AA$19,MATCH($B68,'Operating Assumptions'!$P$8:$P$19,0),MATCH(DE$6,'Operating Assumptions'!$P$8:$AA$8,0)))))</f>
        <v>-26816.191258662748</v>
      </c>
      <c r="DF68" s="427">
        <f>-IF(DF$37&lt;100%,0,IF(DF$9&lt;'Operating Assumptions'!$D$53,0,IF(DF$6&gt;'Operating Assumptions'!$AA$8,0,DF41*INDEX('Operating Assumptions'!$P$8:$AA$19,MATCH($B68,'Operating Assumptions'!$P$8:$P$19,0),MATCH(DF$6,'Operating Assumptions'!$P$8:$AA$8,0)))))</f>
        <v>-26816.191258662748</v>
      </c>
      <c r="DG68" s="427">
        <f>-IF(DG$37&lt;100%,0,IF(DG$9&lt;'Operating Assumptions'!$D$53,0,IF(DG$6&gt;'Operating Assumptions'!$AA$8,0,DG41*INDEX('Operating Assumptions'!$P$8:$AA$19,MATCH($B68,'Operating Assumptions'!$P$8:$P$19,0),MATCH(DG$6,'Operating Assumptions'!$P$8:$AA$8,0)))))</f>
        <v>-26816.191258662748</v>
      </c>
      <c r="DH68" s="427">
        <f>-IF(DH$37&lt;100%,0,IF(DH$9&lt;'Operating Assumptions'!$D$53,0,IF(DH$6&gt;'Operating Assumptions'!$AA$8,0,DH41*INDEX('Operating Assumptions'!$P$8:$AA$19,MATCH($B68,'Operating Assumptions'!$P$8:$P$19,0),MATCH(DH$6,'Operating Assumptions'!$P$8:$AA$8,0)))))</f>
        <v>-26816.191258662748</v>
      </c>
      <c r="DI68" s="427">
        <f>-IF(DI$37&lt;100%,0,IF(DI$9&lt;'Operating Assumptions'!$D$53,0,IF(DI$6&gt;'Operating Assumptions'!$AA$8,0,DI41*INDEX('Operating Assumptions'!$P$8:$AA$19,MATCH($B68,'Operating Assumptions'!$P$8:$P$19,0),MATCH(DI$6,'Operating Assumptions'!$P$8:$AA$8,0)))))</f>
        <v>-26816.191258662748</v>
      </c>
      <c r="DJ68" s="427">
        <f>-IF(DJ$37&lt;100%,0,IF(DJ$9&lt;'Operating Assumptions'!$D$53,0,IF(DJ$6&gt;'Operating Assumptions'!$AA$8,0,DJ41*INDEX('Operating Assumptions'!$P$8:$AA$19,MATCH($B68,'Operating Assumptions'!$P$8:$P$19,0),MATCH(DJ$6,'Operating Assumptions'!$P$8:$AA$8,0)))))</f>
        <v>-26816.191258662748</v>
      </c>
      <c r="DK68" s="427">
        <f>-IF(DK$37&lt;100%,0,IF(DK$9&lt;'Operating Assumptions'!$D$53,0,IF(DK$6&gt;'Operating Assumptions'!$AA$8,0,DK41*INDEX('Operating Assumptions'!$P$8:$AA$19,MATCH($B68,'Operating Assumptions'!$P$8:$P$19,0),MATCH(DK$6,'Operating Assumptions'!$P$8:$AA$8,0)))))</f>
        <v>-26816.191258662748</v>
      </c>
      <c r="DL68" s="427">
        <f>-IF(DL$37&lt;100%,0,IF(DL$9&lt;'Operating Assumptions'!$D$53,0,IF(DL$6&gt;'Operating Assumptions'!$AA$8,0,DL41*INDEX('Operating Assumptions'!$P$8:$AA$19,MATCH($B68,'Operating Assumptions'!$P$8:$P$19,0),MATCH(DL$6,'Operating Assumptions'!$P$8:$AA$8,0)))))</f>
        <v>-27286.65075442876</v>
      </c>
      <c r="DM68" s="427">
        <f>-IF(DM$37&lt;100%,0,IF(DM$9&lt;'Operating Assumptions'!$D$53,0,IF(DM$6&gt;'Operating Assumptions'!$AA$8,0,DM41*INDEX('Operating Assumptions'!$P$8:$AA$19,MATCH($B68,'Operating Assumptions'!$P$8:$P$19,0),MATCH(DM$6,'Operating Assumptions'!$P$8:$AA$8,0)))))</f>
        <v>-27286.65075442876</v>
      </c>
      <c r="DN68" s="427">
        <f>-IF(DN$37&lt;100%,0,IF(DN$9&lt;'Operating Assumptions'!$D$53,0,IF(DN$6&gt;'Operating Assumptions'!$AA$8,0,DN41*INDEX('Operating Assumptions'!$P$8:$AA$19,MATCH($B68,'Operating Assumptions'!$P$8:$P$19,0),MATCH(DN$6,'Operating Assumptions'!$P$8:$AA$8,0)))))</f>
        <v>-27286.65075442876</v>
      </c>
      <c r="DO68" s="427">
        <f>-IF(DO$37&lt;100%,0,IF(DO$9&lt;'Operating Assumptions'!$D$53,0,IF(DO$6&gt;'Operating Assumptions'!$AA$8,0,DO41*INDEX('Operating Assumptions'!$P$8:$AA$19,MATCH($B68,'Operating Assumptions'!$P$8:$P$19,0),MATCH(DO$6,'Operating Assumptions'!$P$8:$AA$8,0)))))</f>
        <v>-27286.65075442876</v>
      </c>
      <c r="DP68" s="427">
        <f>-IF(DP$37&lt;100%,0,IF(DP$9&lt;'Operating Assumptions'!$D$53,0,IF(DP$6&gt;'Operating Assumptions'!$AA$8,0,DP41*INDEX('Operating Assumptions'!$P$8:$AA$19,MATCH($B68,'Operating Assumptions'!$P$8:$P$19,0),MATCH(DP$6,'Operating Assumptions'!$P$8:$AA$8,0)))))</f>
        <v>-27286.65075442876</v>
      </c>
      <c r="DQ68" s="427">
        <f>-IF(DQ$37&lt;100%,0,IF(DQ$9&lt;'Operating Assumptions'!$D$53,0,IF(DQ$6&gt;'Operating Assumptions'!$AA$8,0,DQ41*INDEX('Operating Assumptions'!$P$8:$AA$19,MATCH($B68,'Operating Assumptions'!$P$8:$P$19,0),MATCH(DQ$6,'Operating Assumptions'!$P$8:$AA$8,0)))))</f>
        <v>-27286.65075442876</v>
      </c>
      <c r="DR68" s="427">
        <f>-IF(DR$37&lt;100%,0,IF(DR$9&lt;'Operating Assumptions'!$D$53,0,IF(DR$6&gt;'Operating Assumptions'!$AA$8,0,DR41*INDEX('Operating Assumptions'!$P$8:$AA$19,MATCH($B68,'Operating Assumptions'!$P$8:$P$19,0),MATCH(DR$6,'Operating Assumptions'!$P$8:$AA$8,0)))))</f>
        <v>-27286.65075442876</v>
      </c>
      <c r="DS68" s="427">
        <f>-IF(DS$37&lt;100%,0,IF(DS$9&lt;'Operating Assumptions'!$D$53,0,IF(DS$6&gt;'Operating Assumptions'!$AA$8,0,DS41*INDEX('Operating Assumptions'!$P$8:$AA$19,MATCH($B68,'Operating Assumptions'!$P$8:$P$19,0),MATCH(DS$6,'Operating Assumptions'!$P$8:$AA$8,0)))))</f>
        <v>-27286.65075442876</v>
      </c>
      <c r="DT68" s="427">
        <f>-IF(DT$37&lt;100%,0,IF(DT$9&lt;'Operating Assumptions'!$D$53,0,IF(DT$6&gt;'Operating Assumptions'!$AA$8,0,DT41*INDEX('Operating Assumptions'!$P$8:$AA$19,MATCH($B68,'Operating Assumptions'!$P$8:$P$19,0),MATCH(DT$6,'Operating Assumptions'!$P$8:$AA$8,0)))))</f>
        <v>-27286.65075442876</v>
      </c>
      <c r="DU68" s="427">
        <f>-IF(DU$37&lt;100%,0,IF(DU$9&lt;'Operating Assumptions'!$D$53,0,IF(DU$6&gt;'Operating Assumptions'!$AA$8,0,DU41*INDEX('Operating Assumptions'!$P$8:$AA$19,MATCH($B68,'Operating Assumptions'!$P$8:$P$19,0),MATCH(DU$6,'Operating Assumptions'!$P$8:$AA$8,0)))))</f>
        <v>-27286.65075442876</v>
      </c>
      <c r="DV68" s="427">
        <f>-IF(DV$37&lt;100%,0,IF(DV$9&lt;'Operating Assumptions'!$D$53,0,IF(DV$6&gt;'Operating Assumptions'!$AA$8,0,DV41*INDEX('Operating Assumptions'!$P$8:$AA$19,MATCH($B68,'Operating Assumptions'!$P$8:$P$19,0),MATCH(DV$6,'Operating Assumptions'!$P$8:$AA$8,0)))))</f>
        <v>-27286.65075442876</v>
      </c>
      <c r="DW68" s="427">
        <f>-IF(DW$37&lt;100%,0,IF(DW$9&lt;'Operating Assumptions'!$D$53,0,IF(DW$6&gt;'Operating Assumptions'!$AA$8,0,DW41*INDEX('Operating Assumptions'!$P$8:$AA$19,MATCH($B68,'Operating Assumptions'!$P$8:$P$19,0),MATCH(DW$6,'Operating Assumptions'!$P$8:$AA$8,0)))))</f>
        <v>-27286.65075442876</v>
      </c>
      <c r="DX68" s="427">
        <f>-IF(DX$37&lt;100%,0,IF(DX$9&lt;'Operating Assumptions'!$D$53,0,IF(DX$6&gt;'Operating Assumptions'!$AA$8,0,DX41*INDEX('Operating Assumptions'!$P$8:$AA$19,MATCH($B68,'Operating Assumptions'!$P$8:$P$19,0),MATCH(DX$6,'Operating Assumptions'!$P$8:$AA$8,0)))))</f>
        <v>-27757.110250194779</v>
      </c>
      <c r="DY68" s="427">
        <f>-IF(DY$37&lt;100%,0,IF(DY$9&lt;'Operating Assumptions'!$D$53,0,IF(DY$6&gt;'Operating Assumptions'!$AA$8,0,DY41*INDEX('Operating Assumptions'!$P$8:$AA$19,MATCH($B68,'Operating Assumptions'!$P$8:$P$19,0),MATCH(DY$6,'Operating Assumptions'!$P$8:$AA$8,0)))))</f>
        <v>-27757.110250194779</v>
      </c>
      <c r="DZ68" s="427">
        <f>-IF(DZ$37&lt;100%,0,IF(DZ$9&lt;'Operating Assumptions'!$D$53,0,IF(DZ$6&gt;'Operating Assumptions'!$AA$8,0,DZ41*INDEX('Operating Assumptions'!$P$8:$AA$19,MATCH($B68,'Operating Assumptions'!$P$8:$P$19,0),MATCH(DZ$6,'Operating Assumptions'!$P$8:$AA$8,0)))))</f>
        <v>-27757.110250194779</v>
      </c>
      <c r="EA68" s="427">
        <f>-IF(EA$37&lt;100%,0,IF(EA$9&lt;'Operating Assumptions'!$D$53,0,IF(EA$6&gt;'Operating Assumptions'!$AA$8,0,EA41*INDEX('Operating Assumptions'!$P$8:$AA$19,MATCH($B68,'Operating Assumptions'!$P$8:$P$19,0),MATCH(EA$6,'Operating Assumptions'!$P$8:$AA$8,0)))))</f>
        <v>-27757.110250194779</v>
      </c>
      <c r="EB68" s="427">
        <f>-IF(EB$37&lt;100%,0,IF(EB$9&lt;'Operating Assumptions'!$D$53,0,IF(EB$6&gt;'Operating Assumptions'!$AA$8,0,EB41*INDEX('Operating Assumptions'!$P$8:$AA$19,MATCH($B68,'Operating Assumptions'!$P$8:$P$19,0),MATCH(EB$6,'Operating Assumptions'!$P$8:$AA$8,0)))))</f>
        <v>-27757.110250194779</v>
      </c>
      <c r="EC68" s="427">
        <f>-IF(EC$37&lt;100%,0,IF(EC$9&lt;'Operating Assumptions'!$D$53,0,IF(EC$6&gt;'Operating Assumptions'!$AA$8,0,EC41*INDEX('Operating Assumptions'!$P$8:$AA$19,MATCH($B68,'Operating Assumptions'!$P$8:$P$19,0),MATCH(EC$6,'Operating Assumptions'!$P$8:$AA$8,0)))))</f>
        <v>-27757.110250194779</v>
      </c>
      <c r="ED68" s="427">
        <f>-IF(ED$37&lt;100%,0,IF(ED$9&lt;'Operating Assumptions'!$D$53,0,IF(ED$6&gt;'Operating Assumptions'!$AA$8,0,ED41*INDEX('Operating Assumptions'!$P$8:$AA$19,MATCH($B68,'Operating Assumptions'!$P$8:$P$19,0),MATCH(ED$6,'Operating Assumptions'!$P$8:$AA$8,0)))))</f>
        <v>-27757.110250194779</v>
      </c>
      <c r="EE68" s="427">
        <f>-IF(EE$37&lt;100%,0,IF(EE$9&lt;'Operating Assumptions'!$D$53,0,IF(EE$6&gt;'Operating Assumptions'!$AA$8,0,EE41*INDEX('Operating Assumptions'!$P$8:$AA$19,MATCH($B68,'Operating Assumptions'!$P$8:$P$19,0),MATCH(EE$6,'Operating Assumptions'!$P$8:$AA$8,0)))))</f>
        <v>-27757.110250194779</v>
      </c>
      <c r="EF68" s="427">
        <f>-IF(EF$37&lt;100%,0,IF(EF$9&lt;'Operating Assumptions'!$D$53,0,IF(EF$6&gt;'Operating Assumptions'!$AA$8,0,EF41*INDEX('Operating Assumptions'!$P$8:$AA$19,MATCH($B68,'Operating Assumptions'!$P$8:$P$19,0),MATCH(EF$6,'Operating Assumptions'!$P$8:$AA$8,0)))))</f>
        <v>-27757.110250194779</v>
      </c>
      <c r="EG68" s="427">
        <f>-IF(EG$37&lt;100%,0,IF(EG$9&lt;'Operating Assumptions'!$D$53,0,IF(EG$6&gt;'Operating Assumptions'!$AA$8,0,EG41*INDEX('Operating Assumptions'!$P$8:$AA$19,MATCH($B68,'Operating Assumptions'!$P$8:$P$19,0),MATCH(EG$6,'Operating Assumptions'!$P$8:$AA$8,0)))))</f>
        <v>-27757.110250194779</v>
      </c>
      <c r="EH68" s="427">
        <f>-IF(EH$37&lt;100%,0,IF(EH$9&lt;'Operating Assumptions'!$D$53,0,IF(EH$6&gt;'Operating Assumptions'!$AA$8,0,EH41*INDEX('Operating Assumptions'!$P$8:$AA$19,MATCH($B68,'Operating Assumptions'!$P$8:$P$19,0),MATCH(EH$6,'Operating Assumptions'!$P$8:$AA$8,0)))))</f>
        <v>-27757.110250194779</v>
      </c>
      <c r="EI68" s="427">
        <f>-IF(EI$37&lt;100%,0,IF(EI$9&lt;'Operating Assumptions'!$D$53,0,IF(EI$6&gt;'Operating Assumptions'!$AA$8,0,EI41*INDEX('Operating Assumptions'!$P$8:$AA$19,MATCH($B68,'Operating Assumptions'!$P$8:$P$19,0),MATCH(EI$6,'Operating Assumptions'!$P$8:$AA$8,0)))))</f>
        <v>-27757.110250194779</v>
      </c>
      <c r="EJ68" s="427">
        <f>-IF(EJ$37&lt;100%,0,IF(EJ$9&lt;'Operating Assumptions'!$D$53,0,IF(EJ$6&gt;'Operating Assumptions'!$AA$8,0,EJ41*INDEX('Operating Assumptions'!$P$8:$AA$19,MATCH($B68,'Operating Assumptions'!$P$8:$P$19,0),MATCH(EJ$6,'Operating Assumptions'!$P$8:$AA$8,0)))))</f>
        <v>-28227.569745960791</v>
      </c>
      <c r="EK68" s="427">
        <f>-IF(EK$37&lt;100%,0,IF(EK$9&lt;'Operating Assumptions'!$D$53,0,IF(EK$6&gt;'Operating Assumptions'!$AA$8,0,EK41*INDEX('Operating Assumptions'!$P$8:$AA$19,MATCH($B68,'Operating Assumptions'!$P$8:$P$19,0),MATCH(EK$6,'Operating Assumptions'!$P$8:$AA$8,0)))))</f>
        <v>-28227.569745960791</v>
      </c>
      <c r="EL68" s="427">
        <f>-IF(EL$37&lt;100%,0,IF(EL$9&lt;'Operating Assumptions'!$D$53,0,IF(EL$6&gt;'Operating Assumptions'!$AA$8,0,EL41*INDEX('Operating Assumptions'!$P$8:$AA$19,MATCH($B68,'Operating Assumptions'!$P$8:$P$19,0),MATCH(EL$6,'Operating Assumptions'!$P$8:$AA$8,0)))))</f>
        <v>-28227.569745960791</v>
      </c>
      <c r="EM68" s="427">
        <f>-IF(EM$37&lt;100%,0,IF(EM$9&lt;'Operating Assumptions'!$D$53,0,IF(EM$6&gt;'Operating Assumptions'!$AA$8,0,EM41*INDEX('Operating Assumptions'!$P$8:$AA$19,MATCH($B68,'Operating Assumptions'!$P$8:$P$19,0),MATCH(EM$6,'Operating Assumptions'!$P$8:$AA$8,0)))))</f>
        <v>-28227.569745960791</v>
      </c>
      <c r="EN68" s="427">
        <f>-IF(EN$37&lt;100%,0,IF(EN$9&lt;'Operating Assumptions'!$D$53,0,IF(EN$6&gt;'Operating Assumptions'!$AA$8,0,EN41*INDEX('Operating Assumptions'!$P$8:$AA$19,MATCH($B68,'Operating Assumptions'!$P$8:$P$19,0),MATCH(EN$6,'Operating Assumptions'!$P$8:$AA$8,0)))))</f>
        <v>-28227.569745960791</v>
      </c>
      <c r="EO68" s="427">
        <f>-IF(EO$37&lt;100%,0,IF(EO$9&lt;'Operating Assumptions'!$D$53,0,IF(EO$6&gt;'Operating Assumptions'!$AA$8,0,EO41*INDEX('Operating Assumptions'!$P$8:$AA$19,MATCH($B68,'Operating Assumptions'!$P$8:$P$19,0),MATCH(EO$6,'Operating Assumptions'!$P$8:$AA$8,0)))))</f>
        <v>-28227.569745960791</v>
      </c>
      <c r="EP68" s="427">
        <f>-IF(EP$37&lt;100%,0,IF(EP$9&lt;'Operating Assumptions'!$D$53,0,IF(EP$6&gt;'Operating Assumptions'!$AA$8,0,EP41*INDEX('Operating Assumptions'!$P$8:$AA$19,MATCH($B68,'Operating Assumptions'!$P$8:$P$19,0),MATCH(EP$6,'Operating Assumptions'!$P$8:$AA$8,0)))))</f>
        <v>-28227.569745960791</v>
      </c>
      <c r="EQ68" s="427">
        <f>-IF(EQ$37&lt;100%,0,IF(EQ$9&lt;'Operating Assumptions'!$D$53,0,IF(EQ$6&gt;'Operating Assumptions'!$AA$8,0,EQ41*INDEX('Operating Assumptions'!$P$8:$AA$19,MATCH($B68,'Operating Assumptions'!$P$8:$P$19,0),MATCH(EQ$6,'Operating Assumptions'!$P$8:$AA$8,0)))))</f>
        <v>-28227.569745960791</v>
      </c>
      <c r="ER68" s="427">
        <f>-IF(ER$37&lt;100%,0,IF(ER$9&lt;'Operating Assumptions'!$D$53,0,IF(ER$6&gt;'Operating Assumptions'!$AA$8,0,ER41*INDEX('Operating Assumptions'!$P$8:$AA$19,MATCH($B68,'Operating Assumptions'!$P$8:$P$19,0),MATCH(ER$6,'Operating Assumptions'!$P$8:$AA$8,0)))))</f>
        <v>-28227.569745960791</v>
      </c>
      <c r="ES68" s="427">
        <f>-IF(ES$37&lt;100%,0,IF(ES$9&lt;'Operating Assumptions'!$D$53,0,IF(ES$6&gt;'Operating Assumptions'!$AA$8,0,ES41*INDEX('Operating Assumptions'!$P$8:$AA$19,MATCH($B68,'Operating Assumptions'!$P$8:$P$19,0),MATCH(ES$6,'Operating Assumptions'!$P$8:$AA$8,0)))))</f>
        <v>-28227.569745960791</v>
      </c>
      <c r="ET68" s="427">
        <f>-IF(ET$37&lt;100%,0,IF(ET$9&lt;'Operating Assumptions'!$D$53,0,IF(ET$6&gt;'Operating Assumptions'!$AA$8,0,ET41*INDEX('Operating Assumptions'!$P$8:$AA$19,MATCH($B68,'Operating Assumptions'!$P$8:$P$19,0),MATCH(ET$6,'Operating Assumptions'!$P$8:$AA$8,0)))))</f>
        <v>-28227.569745960791</v>
      </c>
      <c r="EU68" s="427">
        <f>-IF(EU$37&lt;100%,0,IF(EU$9&lt;'Operating Assumptions'!$D$53,0,IF(EU$6&gt;'Operating Assumptions'!$AA$8,0,EU41*INDEX('Operating Assumptions'!$P$8:$AA$19,MATCH($B68,'Operating Assumptions'!$P$8:$P$19,0),MATCH(EU$6,'Operating Assumptions'!$P$8:$AA$8,0)))))</f>
        <v>-28227.569745960791</v>
      </c>
      <c r="EV68" s="427">
        <f>-IF(EV$37&lt;100%,0,IF(EV$9&lt;'Operating Assumptions'!$D$53,0,IF(EV$6&gt;'Operating Assumptions'!$AA$8,0,EV41*INDEX('Operating Assumptions'!$P$8:$AA$19,MATCH($B68,'Operating Assumptions'!$P$8:$P$19,0),MATCH(EV$6,'Operating Assumptions'!$P$8:$AA$8,0)))))</f>
        <v>0</v>
      </c>
      <c r="EW68" s="427">
        <f>-IF(EW$37&lt;100%,0,IF(EW$9&lt;'Operating Assumptions'!$D$53,0,IF(EW$6&gt;'Operating Assumptions'!$AA$8,0,EW41*INDEX('Operating Assumptions'!$P$8:$AA$19,MATCH($B68,'Operating Assumptions'!$P$8:$P$19,0),MATCH(EW$6,'Operating Assumptions'!$P$8:$AA$8,0)))))</f>
        <v>0</v>
      </c>
      <c r="EX68" s="427">
        <f>-IF(EX$37&lt;100%,0,IF(EX$9&lt;'Operating Assumptions'!$D$53,0,IF(EX$6&gt;'Operating Assumptions'!$AA$8,0,EX41*INDEX('Operating Assumptions'!$P$8:$AA$19,MATCH($B68,'Operating Assumptions'!$P$8:$P$19,0),MATCH(EX$6,'Operating Assumptions'!$P$8:$AA$8,0)))))</f>
        <v>0</v>
      </c>
      <c r="EY68" s="427">
        <f>-IF(EY$37&lt;100%,0,IF(EY$9&lt;'Operating Assumptions'!$D$53,0,IF(EY$6&gt;'Operating Assumptions'!$AA$8,0,EY41*INDEX('Operating Assumptions'!$P$8:$AA$19,MATCH($B68,'Operating Assumptions'!$P$8:$P$19,0),MATCH(EY$6,'Operating Assumptions'!$P$8:$AA$8,0)))))</f>
        <v>0</v>
      </c>
      <c r="EZ68" s="427">
        <f>-IF(EZ$37&lt;100%,0,IF(EZ$9&lt;'Operating Assumptions'!$D$53,0,IF(EZ$6&gt;'Operating Assumptions'!$AA$8,0,EZ41*INDEX('Operating Assumptions'!$P$8:$AA$19,MATCH($B68,'Operating Assumptions'!$P$8:$P$19,0),MATCH(EZ$6,'Operating Assumptions'!$P$8:$AA$8,0)))))</f>
        <v>0</v>
      </c>
      <c r="FA68" s="427">
        <f>-IF(FA$37&lt;100%,0,IF(FA$9&lt;'Operating Assumptions'!$D$53,0,IF(FA$6&gt;'Operating Assumptions'!$AA$8,0,FA41*INDEX('Operating Assumptions'!$P$8:$AA$19,MATCH($B68,'Operating Assumptions'!$P$8:$P$19,0),MATCH(FA$6,'Operating Assumptions'!$P$8:$AA$8,0)))))</f>
        <v>0</v>
      </c>
      <c r="FB68" s="427">
        <f>-IF(FB$37&lt;100%,0,IF(FB$9&lt;'Operating Assumptions'!$D$53,0,IF(FB$6&gt;'Operating Assumptions'!$AA$8,0,FB41*INDEX('Operating Assumptions'!$P$8:$AA$19,MATCH($B68,'Operating Assumptions'!$P$8:$P$19,0),MATCH(FB$6,'Operating Assumptions'!$P$8:$AA$8,0)))))</f>
        <v>0</v>
      </c>
      <c r="FC68" s="427">
        <f>-IF(FC$37&lt;100%,0,IF(FC$9&lt;'Operating Assumptions'!$D$53,0,IF(FC$6&gt;'Operating Assumptions'!$AA$8,0,FC41*INDEX('Operating Assumptions'!$P$8:$AA$19,MATCH($B68,'Operating Assumptions'!$P$8:$P$19,0),MATCH(FC$6,'Operating Assumptions'!$P$8:$AA$8,0)))))</f>
        <v>0</v>
      </c>
      <c r="FD68" s="427">
        <f>-IF(FD$37&lt;100%,0,IF(FD$9&lt;'Operating Assumptions'!$D$53,0,IF(FD$6&gt;'Operating Assumptions'!$AA$8,0,FD41*INDEX('Operating Assumptions'!$P$8:$AA$19,MATCH($B68,'Operating Assumptions'!$P$8:$P$19,0),MATCH(FD$6,'Operating Assumptions'!$P$8:$AA$8,0)))))</f>
        <v>0</v>
      </c>
      <c r="FE68" s="427">
        <f>-IF(FE$37&lt;100%,0,IF(FE$9&lt;'Operating Assumptions'!$D$53,0,IF(FE$6&gt;'Operating Assumptions'!$AA$8,0,FE41*INDEX('Operating Assumptions'!$P$8:$AA$19,MATCH($B68,'Operating Assumptions'!$P$8:$P$19,0),MATCH(FE$6,'Operating Assumptions'!$P$8:$AA$8,0)))))</f>
        <v>0</v>
      </c>
      <c r="FF68" s="427">
        <f>-IF(FF$37&lt;100%,0,IF(FF$9&lt;'Operating Assumptions'!$D$53,0,IF(FF$6&gt;'Operating Assumptions'!$AA$8,0,FF41*INDEX('Operating Assumptions'!$P$8:$AA$19,MATCH($B68,'Operating Assumptions'!$P$8:$P$19,0),MATCH(FF$6,'Operating Assumptions'!$P$8:$AA$8,0)))))</f>
        <v>0</v>
      </c>
      <c r="FG68" s="427">
        <f>-IF(FG$37&lt;100%,0,IF(FG$9&lt;'Operating Assumptions'!$D$53,0,IF(FG$6&gt;'Operating Assumptions'!$AA$8,0,FG41*INDEX('Operating Assumptions'!$P$8:$AA$19,MATCH($B68,'Operating Assumptions'!$P$8:$P$19,0),MATCH(FG$6,'Operating Assumptions'!$P$8:$AA$8,0)))))</f>
        <v>0</v>
      </c>
      <c r="FH68" s="427">
        <f>-IF(FH$37&lt;100%,0,IF(FH$9&lt;'Operating Assumptions'!$D$53,0,IF(FH$6&gt;'Operating Assumptions'!$AA$8,0,FH41*INDEX('Operating Assumptions'!$P$8:$AA$19,MATCH($B68,'Operating Assumptions'!$P$8:$P$19,0),MATCH(FH$6,'Operating Assumptions'!$P$8:$AA$8,0)))))</f>
        <v>0</v>
      </c>
      <c r="FI68" s="427">
        <f>-IF(FI$37&lt;100%,0,IF(FI$9&lt;'Operating Assumptions'!$D$53,0,IF(FI$6&gt;'Operating Assumptions'!$AA$8,0,FI41*INDEX('Operating Assumptions'!$P$8:$AA$19,MATCH($B68,'Operating Assumptions'!$P$8:$P$19,0),MATCH(FI$6,'Operating Assumptions'!$P$8:$AA$8,0)))))</f>
        <v>0</v>
      </c>
      <c r="FJ68" s="427">
        <f>-IF(FJ$37&lt;100%,0,IF(FJ$9&lt;'Operating Assumptions'!$D$53,0,IF(FJ$6&gt;'Operating Assumptions'!$AA$8,0,FJ41*INDEX('Operating Assumptions'!$P$8:$AA$19,MATCH($B68,'Operating Assumptions'!$P$8:$P$19,0),MATCH(FJ$6,'Operating Assumptions'!$P$8:$AA$8,0)))))</f>
        <v>0</v>
      </c>
      <c r="FK68" s="427">
        <f>-IF(FK$37&lt;100%,0,IF(FK$9&lt;'Operating Assumptions'!$D$53,0,IF(FK$6&gt;'Operating Assumptions'!$AA$8,0,FK41*INDEX('Operating Assumptions'!$P$8:$AA$19,MATCH($B68,'Operating Assumptions'!$P$8:$P$19,0),MATCH(FK$6,'Operating Assumptions'!$P$8:$AA$8,0)))))</f>
        <v>0</v>
      </c>
      <c r="FL68" s="427">
        <f>-IF(FL$37&lt;100%,0,IF(FL$9&lt;'Operating Assumptions'!$D$53,0,IF(FL$6&gt;'Operating Assumptions'!$AA$8,0,FL41*INDEX('Operating Assumptions'!$P$8:$AA$19,MATCH($B68,'Operating Assumptions'!$P$8:$P$19,0),MATCH(FL$6,'Operating Assumptions'!$P$8:$AA$8,0)))))</f>
        <v>0</v>
      </c>
      <c r="FM68" s="427">
        <f>-IF(FM$37&lt;100%,0,IF(FM$9&lt;'Operating Assumptions'!$D$53,0,IF(FM$6&gt;'Operating Assumptions'!$AA$8,0,FM41*INDEX('Operating Assumptions'!$P$8:$AA$19,MATCH($B68,'Operating Assumptions'!$P$8:$P$19,0),MATCH(FM$6,'Operating Assumptions'!$P$8:$AA$8,0)))))</f>
        <v>0</v>
      </c>
      <c r="FN68" s="427">
        <f>-IF(FN$37&lt;100%,0,IF(FN$9&lt;'Operating Assumptions'!$D$53,0,IF(FN$6&gt;'Operating Assumptions'!$AA$8,0,FN41*INDEX('Operating Assumptions'!$P$8:$AA$19,MATCH($B68,'Operating Assumptions'!$P$8:$P$19,0),MATCH(FN$6,'Operating Assumptions'!$P$8:$AA$8,0)))))</f>
        <v>0</v>
      </c>
      <c r="FO68" s="427">
        <f>-IF(FO$37&lt;100%,0,IF(FO$9&lt;'Operating Assumptions'!$D$53,0,IF(FO$6&gt;'Operating Assumptions'!$AA$8,0,FO41*INDEX('Operating Assumptions'!$P$8:$AA$19,MATCH($B68,'Operating Assumptions'!$P$8:$P$19,0),MATCH(FO$6,'Operating Assumptions'!$P$8:$AA$8,0)))))</f>
        <v>0</v>
      </c>
      <c r="FP68" s="427">
        <f>-IF(FP$37&lt;100%,0,IF(FP$9&lt;'Operating Assumptions'!$D$53,0,IF(FP$6&gt;'Operating Assumptions'!$AA$8,0,FP41*INDEX('Operating Assumptions'!$P$8:$AA$19,MATCH($B68,'Operating Assumptions'!$P$8:$P$19,0),MATCH(FP$6,'Operating Assumptions'!$P$8:$AA$8,0)))))</f>
        <v>0</v>
      </c>
      <c r="FQ68" s="427">
        <f>-IF(FQ$37&lt;100%,0,IF(FQ$9&lt;'Operating Assumptions'!$D$53,0,IF(FQ$6&gt;'Operating Assumptions'!$AA$8,0,FQ41*INDEX('Operating Assumptions'!$P$8:$AA$19,MATCH($B68,'Operating Assumptions'!$P$8:$P$19,0),MATCH(FQ$6,'Operating Assumptions'!$P$8:$AA$8,0)))))</f>
        <v>0</v>
      </c>
      <c r="FR68" s="427">
        <f>-IF(FR$37&lt;100%,0,IF(FR$9&lt;'Operating Assumptions'!$D$53,0,IF(FR$6&gt;'Operating Assumptions'!$AA$8,0,FR41*INDEX('Operating Assumptions'!$P$8:$AA$19,MATCH($B68,'Operating Assumptions'!$P$8:$P$19,0),MATCH(FR$6,'Operating Assumptions'!$P$8:$AA$8,0)))))</f>
        <v>0</v>
      </c>
      <c r="FS68" s="427">
        <f>-IF(FS$37&lt;100%,0,IF(FS$9&lt;'Operating Assumptions'!$D$53,0,IF(FS$6&gt;'Operating Assumptions'!$AA$8,0,FS41*INDEX('Operating Assumptions'!$P$8:$AA$19,MATCH($B68,'Operating Assumptions'!$P$8:$P$19,0),MATCH(FS$6,'Operating Assumptions'!$P$8:$AA$8,0)))))</f>
        <v>0</v>
      </c>
      <c r="FT68" s="427">
        <f>-IF(FT$37&lt;100%,0,IF(FT$9&lt;'Operating Assumptions'!$D$53,0,IF(FT$6&gt;'Operating Assumptions'!$AA$8,0,FT41*INDEX('Operating Assumptions'!$P$8:$AA$19,MATCH($B68,'Operating Assumptions'!$P$8:$P$19,0),MATCH(FT$6,'Operating Assumptions'!$P$8:$AA$8,0)))))</f>
        <v>0</v>
      </c>
      <c r="FU68" s="43"/>
      <c r="FV68" s="34"/>
      <c r="FW68" s="34"/>
      <c r="FX68" s="34"/>
      <c r="FY68" s="34"/>
      <c r="FZ68" s="34"/>
    </row>
    <row r="69" spans="1:182" s="89" customFormat="1" ht="13.5" x14ac:dyDescent="0.25">
      <c r="A69" s="34"/>
      <c r="B69" s="128" t="str">
        <f>'Operating Assumptions'!F33</f>
        <v>One Time Rent Concessions</v>
      </c>
      <c r="C69" s="34"/>
      <c r="D69" s="34"/>
      <c r="E69" s="34"/>
      <c r="F69" s="434">
        <f t="shared" si="162"/>
        <v>0</v>
      </c>
      <c r="G69" s="34"/>
      <c r="H69" s="427">
        <f>-IF(OR(H$9&lt;'Operating Assumptions'!$D$53,H$6&gt;'Operating Assumptions'!$AA$8),0,H41*INDEX('Operating Assumptions'!$P$8:$AA$19,MATCH($B69,'Operating Assumptions'!$P$8:$P$19,0),MATCH(H$6,'Operating Assumptions'!$P$8:$AA$8,0)))</f>
        <v>0</v>
      </c>
      <c r="I69" s="427">
        <f>-IF(OR(I$9&lt;'Operating Assumptions'!$D$53,I$6&gt;'Operating Assumptions'!$AA$8),0,I41*INDEX('Operating Assumptions'!$P$8:$AA$19,MATCH($B69,'Operating Assumptions'!$P$8:$P$19,0),MATCH(I$6,'Operating Assumptions'!$P$8:$AA$8,0)))</f>
        <v>0</v>
      </c>
      <c r="J69" s="427">
        <f>-IF(OR(J$9&lt;'Operating Assumptions'!$D$53,J$6&gt;'Operating Assumptions'!$AA$8),0,J41*INDEX('Operating Assumptions'!$P$8:$AA$19,MATCH($B69,'Operating Assumptions'!$P$8:$P$19,0),MATCH(J$6,'Operating Assumptions'!$P$8:$AA$8,0)))</f>
        <v>0</v>
      </c>
      <c r="K69" s="427">
        <f>-IF(OR(K$9&lt;'Operating Assumptions'!$D$53,K$6&gt;'Operating Assumptions'!$AA$8),0,K41*INDEX('Operating Assumptions'!$P$8:$AA$19,MATCH($B69,'Operating Assumptions'!$P$8:$P$19,0),MATCH(K$6,'Operating Assumptions'!$P$8:$AA$8,0)))</f>
        <v>0</v>
      </c>
      <c r="L69" s="427">
        <f>-IF(OR(L$9&lt;'Operating Assumptions'!$D$53,L$6&gt;'Operating Assumptions'!$AA$8),0,L41*INDEX('Operating Assumptions'!$P$8:$AA$19,MATCH($B69,'Operating Assumptions'!$P$8:$P$19,0),MATCH(L$6,'Operating Assumptions'!$P$8:$AA$8,0)))</f>
        <v>0</v>
      </c>
      <c r="M69" s="427">
        <f>-IF(OR(M$9&lt;'Operating Assumptions'!$D$53,M$6&gt;'Operating Assumptions'!$AA$8),0,M41*INDEX('Operating Assumptions'!$P$8:$AA$19,MATCH($B69,'Operating Assumptions'!$P$8:$P$19,0),MATCH(M$6,'Operating Assumptions'!$P$8:$AA$8,0)))</f>
        <v>0</v>
      </c>
      <c r="N69" s="427">
        <f>-IF(OR(N$9&lt;'Operating Assumptions'!$D$53,N$6&gt;'Operating Assumptions'!$AA$8),0,N41*INDEX('Operating Assumptions'!$P$8:$AA$19,MATCH($B69,'Operating Assumptions'!$P$8:$P$19,0),MATCH(N$6,'Operating Assumptions'!$P$8:$AA$8,0)))</f>
        <v>0</v>
      </c>
      <c r="O69" s="427">
        <f>-IF(OR(O$9&lt;'Operating Assumptions'!$D$53,O$6&gt;'Operating Assumptions'!$AA$8),0,O41*INDEX('Operating Assumptions'!$P$8:$AA$19,MATCH($B69,'Operating Assumptions'!$P$8:$P$19,0),MATCH(O$6,'Operating Assumptions'!$P$8:$AA$8,0)))</f>
        <v>0</v>
      </c>
      <c r="P69" s="427">
        <f>-IF(OR(P$9&lt;'Operating Assumptions'!$D$53,P$6&gt;'Operating Assumptions'!$AA$8),0,P41*INDEX('Operating Assumptions'!$P$8:$AA$19,MATCH($B69,'Operating Assumptions'!$P$8:$P$19,0),MATCH(P$6,'Operating Assumptions'!$P$8:$AA$8,0)))</f>
        <v>0</v>
      </c>
      <c r="Q69" s="427">
        <f>-IF(OR(Q$9&lt;'Operating Assumptions'!$D$53,Q$6&gt;'Operating Assumptions'!$AA$8),0,Q41*INDEX('Operating Assumptions'!$P$8:$AA$19,MATCH($B69,'Operating Assumptions'!$P$8:$P$19,0),MATCH(Q$6,'Operating Assumptions'!$P$8:$AA$8,0)))</f>
        <v>0</v>
      </c>
      <c r="R69" s="427">
        <f>-IF(OR(R$9&lt;'Operating Assumptions'!$D$53,R$6&gt;'Operating Assumptions'!$AA$8),0,R41*INDEX('Operating Assumptions'!$P$8:$AA$19,MATCH($B69,'Operating Assumptions'!$P$8:$P$19,0),MATCH(R$6,'Operating Assumptions'!$P$8:$AA$8,0)))</f>
        <v>0</v>
      </c>
      <c r="S69" s="427">
        <f>-IF(OR(S$9&lt;'Operating Assumptions'!$D$53,S$6&gt;'Operating Assumptions'!$AA$8),0,S41*INDEX('Operating Assumptions'!$P$8:$AA$19,MATCH($B69,'Operating Assumptions'!$P$8:$P$19,0),MATCH(S$6,'Operating Assumptions'!$P$8:$AA$8,0)))</f>
        <v>0</v>
      </c>
      <c r="T69" s="427">
        <f>-IF(OR(T$9&lt;'Operating Assumptions'!$D$53,T$6&gt;'Operating Assumptions'!$AA$8),0,T41*INDEX('Operating Assumptions'!$P$8:$AA$19,MATCH($B69,'Operating Assumptions'!$P$8:$P$19,0),MATCH(T$6,'Operating Assumptions'!$P$8:$AA$8,0)))</f>
        <v>0</v>
      </c>
      <c r="U69" s="427">
        <f>-IF(OR(U$9&lt;'Operating Assumptions'!$D$53,U$6&gt;'Operating Assumptions'!$AA$8),0,U41*INDEX('Operating Assumptions'!$P$8:$AA$19,MATCH($B69,'Operating Assumptions'!$P$8:$P$19,0),MATCH(U$6,'Operating Assumptions'!$P$8:$AA$8,0)))</f>
        <v>0</v>
      </c>
      <c r="V69" s="427">
        <f>-IF(OR(V$9&lt;'Operating Assumptions'!$D$53,V$6&gt;'Operating Assumptions'!$AA$8),0,V41*INDEX('Operating Assumptions'!$P$8:$AA$19,MATCH($B69,'Operating Assumptions'!$P$8:$P$19,0),MATCH(V$6,'Operating Assumptions'!$P$8:$AA$8,0)))</f>
        <v>0</v>
      </c>
      <c r="W69" s="427">
        <f>-IF(OR(W$9&lt;'Operating Assumptions'!$D$53,W$6&gt;'Operating Assumptions'!$AA$8),0,W41*INDEX('Operating Assumptions'!$P$8:$AA$19,MATCH($B69,'Operating Assumptions'!$P$8:$P$19,0),MATCH(W$6,'Operating Assumptions'!$P$8:$AA$8,0)))</f>
        <v>0</v>
      </c>
      <c r="X69" s="427">
        <f>-IF(OR(X$9&lt;'Operating Assumptions'!$D$53,X$6&gt;'Operating Assumptions'!$AA$8),0,X41*INDEX('Operating Assumptions'!$P$8:$AA$19,MATCH($B69,'Operating Assumptions'!$P$8:$P$19,0),MATCH(X$6,'Operating Assumptions'!$P$8:$AA$8,0)))</f>
        <v>0</v>
      </c>
      <c r="Y69" s="427">
        <f>-IF(OR(Y$9&lt;'Operating Assumptions'!$D$53,Y$6&gt;'Operating Assumptions'!$AA$8),0,Y41*INDEX('Operating Assumptions'!$P$8:$AA$19,MATCH($B69,'Operating Assumptions'!$P$8:$P$19,0),MATCH(Y$6,'Operating Assumptions'!$P$8:$AA$8,0)))</f>
        <v>0</v>
      </c>
      <c r="Z69" s="427">
        <f>-IF(OR(Z$9&lt;'Operating Assumptions'!$D$53,Z$6&gt;'Operating Assumptions'!$AA$8),0,Z41*INDEX('Operating Assumptions'!$P$8:$AA$19,MATCH($B69,'Operating Assumptions'!$P$8:$P$19,0),MATCH(Z$6,'Operating Assumptions'!$P$8:$AA$8,0)))</f>
        <v>0</v>
      </c>
      <c r="AA69" s="427">
        <f>-IF(OR(AA$9&lt;'Operating Assumptions'!$D$53,AA$6&gt;'Operating Assumptions'!$AA$8),0,AA41*INDEX('Operating Assumptions'!$P$8:$AA$19,MATCH($B69,'Operating Assumptions'!$P$8:$P$19,0),MATCH(AA$6,'Operating Assumptions'!$P$8:$AA$8,0)))</f>
        <v>0</v>
      </c>
      <c r="AB69" s="427">
        <f>-IF(OR(AB$9&lt;'Operating Assumptions'!$D$53,AB$6&gt;'Operating Assumptions'!$AA$8),0,AB41*INDEX('Operating Assumptions'!$P$8:$AA$19,MATCH($B69,'Operating Assumptions'!$P$8:$P$19,0),MATCH(AB$6,'Operating Assumptions'!$P$8:$AA$8,0)))</f>
        <v>0</v>
      </c>
      <c r="AC69" s="427">
        <f>-IF(OR(AC$9&lt;'Operating Assumptions'!$D$53,AC$6&gt;'Operating Assumptions'!$AA$8),0,AC41*INDEX('Operating Assumptions'!$P$8:$AA$19,MATCH($B69,'Operating Assumptions'!$P$8:$P$19,0),MATCH(AC$6,'Operating Assumptions'!$P$8:$AA$8,0)))</f>
        <v>0</v>
      </c>
      <c r="AD69" s="427">
        <f>-IF(OR(AD$9&lt;'Operating Assumptions'!$D$53,AD$6&gt;'Operating Assumptions'!$AA$8),0,AD41*INDEX('Operating Assumptions'!$P$8:$AA$19,MATCH($B69,'Operating Assumptions'!$P$8:$P$19,0),MATCH(AD$6,'Operating Assumptions'!$P$8:$AA$8,0)))</f>
        <v>0</v>
      </c>
      <c r="AE69" s="427">
        <f>-IF(OR(AE$9&lt;'Operating Assumptions'!$D$53,AE$6&gt;'Operating Assumptions'!$AA$8),0,AE41*INDEX('Operating Assumptions'!$P$8:$AA$19,MATCH($B69,'Operating Assumptions'!$P$8:$P$19,0),MATCH(AE$6,'Operating Assumptions'!$P$8:$AA$8,0)))</f>
        <v>0</v>
      </c>
      <c r="AF69" s="427">
        <f>-IF(OR(AF$9&lt;'Operating Assumptions'!$D$53,AF$6&gt;'Operating Assumptions'!$AA$8),0,AF41*INDEX('Operating Assumptions'!$P$8:$AA$19,MATCH($B69,'Operating Assumptions'!$P$8:$P$19,0),MATCH(AF$6,'Operating Assumptions'!$P$8:$AA$8,0)))</f>
        <v>0</v>
      </c>
      <c r="AG69" s="427">
        <f>-IF(OR(AG$9&lt;'Operating Assumptions'!$D$53,AG$6&gt;'Operating Assumptions'!$AA$8),0,AG41*INDEX('Operating Assumptions'!$P$8:$AA$19,MATCH($B69,'Operating Assumptions'!$P$8:$P$19,0),MATCH(AG$6,'Operating Assumptions'!$P$8:$AA$8,0)))</f>
        <v>0</v>
      </c>
      <c r="AH69" s="427">
        <f>-IF(OR(AH$9&lt;'Operating Assumptions'!$D$53,AH$6&gt;'Operating Assumptions'!$AA$8),0,AH41*INDEX('Operating Assumptions'!$P$8:$AA$19,MATCH($B69,'Operating Assumptions'!$P$8:$P$19,0),MATCH(AH$6,'Operating Assumptions'!$P$8:$AA$8,0)))</f>
        <v>0</v>
      </c>
      <c r="AI69" s="427">
        <f>-IF(OR(AI$9&lt;'Operating Assumptions'!$D$53,AI$6&gt;'Operating Assumptions'!$AA$8),0,AI41*INDEX('Operating Assumptions'!$P$8:$AA$19,MATCH($B69,'Operating Assumptions'!$P$8:$P$19,0),MATCH(AI$6,'Operating Assumptions'!$P$8:$AA$8,0)))</f>
        <v>0</v>
      </c>
      <c r="AJ69" s="427">
        <f>-IF(OR(AJ$9&lt;'Operating Assumptions'!$D$53,AJ$6&gt;'Operating Assumptions'!$AA$8),0,AJ41*INDEX('Operating Assumptions'!$P$8:$AA$19,MATCH($B69,'Operating Assumptions'!$P$8:$P$19,0),MATCH(AJ$6,'Operating Assumptions'!$P$8:$AA$8,0)))</f>
        <v>0</v>
      </c>
      <c r="AK69" s="427">
        <f>-IF(OR(AK$9&lt;'Operating Assumptions'!$D$53,AK$6&gt;'Operating Assumptions'!$AA$8),0,AK41*INDEX('Operating Assumptions'!$P$8:$AA$19,MATCH($B69,'Operating Assumptions'!$P$8:$P$19,0),MATCH(AK$6,'Operating Assumptions'!$P$8:$AA$8,0)))</f>
        <v>0</v>
      </c>
      <c r="AL69" s="427">
        <f>-IF(OR(AL$9&lt;'Operating Assumptions'!$D$53,AL$6&gt;'Operating Assumptions'!$AA$8),0,AL41*INDEX('Operating Assumptions'!$P$8:$AA$19,MATCH($B69,'Operating Assumptions'!$P$8:$P$19,0),MATCH(AL$6,'Operating Assumptions'!$P$8:$AA$8,0)))</f>
        <v>0</v>
      </c>
      <c r="AM69" s="427">
        <f>-IF(OR(AM$9&lt;'Operating Assumptions'!$D$53,AM$6&gt;'Operating Assumptions'!$AA$8),0,AM41*INDEX('Operating Assumptions'!$P$8:$AA$19,MATCH($B69,'Operating Assumptions'!$P$8:$P$19,0),MATCH(AM$6,'Operating Assumptions'!$P$8:$AA$8,0)))</f>
        <v>0</v>
      </c>
      <c r="AN69" s="427">
        <f>-IF(OR(AN$9&lt;'Operating Assumptions'!$D$53,AN$6&gt;'Operating Assumptions'!$AA$8),0,AN41*INDEX('Operating Assumptions'!$P$8:$AA$19,MATCH($B69,'Operating Assumptions'!$P$8:$P$19,0),MATCH(AN$6,'Operating Assumptions'!$P$8:$AA$8,0)))</f>
        <v>0</v>
      </c>
      <c r="AO69" s="427">
        <f>-IF(OR(AO$9&lt;'Operating Assumptions'!$D$53,AO$6&gt;'Operating Assumptions'!$AA$8),0,AO41*INDEX('Operating Assumptions'!$P$8:$AA$19,MATCH($B69,'Operating Assumptions'!$P$8:$P$19,0),MATCH(AO$6,'Operating Assumptions'!$P$8:$AA$8,0)))</f>
        <v>0</v>
      </c>
      <c r="AP69" s="427">
        <f>-IF(OR(AP$9&lt;'Operating Assumptions'!$D$53,AP$6&gt;'Operating Assumptions'!$AA$8),0,AP41*INDEX('Operating Assumptions'!$P$8:$AA$19,MATCH($B69,'Operating Assumptions'!$P$8:$P$19,0),MATCH(AP$6,'Operating Assumptions'!$P$8:$AA$8,0)))</f>
        <v>0</v>
      </c>
      <c r="AQ69" s="427">
        <f>-IF(OR(AQ$9&lt;'Operating Assumptions'!$D$53,AQ$6&gt;'Operating Assumptions'!$AA$8),0,AQ41*INDEX('Operating Assumptions'!$P$8:$AA$19,MATCH($B69,'Operating Assumptions'!$P$8:$P$19,0),MATCH(AQ$6,'Operating Assumptions'!$P$8:$AA$8,0)))</f>
        <v>0</v>
      </c>
      <c r="AR69" s="427">
        <f>-IF(OR(AR$9&lt;'Operating Assumptions'!$D$53,AR$6&gt;'Operating Assumptions'!$AA$8),0,AR41*INDEX('Operating Assumptions'!$P$8:$AA$19,MATCH($B69,'Operating Assumptions'!$P$8:$P$19,0),MATCH(AR$6,'Operating Assumptions'!$P$8:$AA$8,0)))</f>
        <v>0</v>
      </c>
      <c r="AS69" s="427">
        <f>-IF(OR(AS$9&lt;'Operating Assumptions'!$D$53,AS$6&gt;'Operating Assumptions'!$AA$8),0,AS41*INDEX('Operating Assumptions'!$P$8:$AA$19,MATCH($B69,'Operating Assumptions'!$P$8:$P$19,0),MATCH(AS$6,'Operating Assumptions'!$P$8:$AA$8,0)))</f>
        <v>0</v>
      </c>
      <c r="AT69" s="427">
        <f>-IF(OR(AT$9&lt;'Operating Assumptions'!$D$53,AT$6&gt;'Operating Assumptions'!$AA$8),0,AT41*INDEX('Operating Assumptions'!$P$8:$AA$19,MATCH($B69,'Operating Assumptions'!$P$8:$P$19,0),MATCH(AT$6,'Operating Assumptions'!$P$8:$AA$8,0)))</f>
        <v>0</v>
      </c>
      <c r="AU69" s="427">
        <f>-IF(OR(AU$9&lt;'Operating Assumptions'!$D$53,AU$6&gt;'Operating Assumptions'!$AA$8),0,AU41*INDEX('Operating Assumptions'!$P$8:$AA$19,MATCH($B69,'Operating Assumptions'!$P$8:$P$19,0),MATCH(AU$6,'Operating Assumptions'!$P$8:$AA$8,0)))</f>
        <v>0</v>
      </c>
      <c r="AV69" s="427">
        <f>-IF(OR(AV$9&lt;'Operating Assumptions'!$D$53,AV$6&gt;'Operating Assumptions'!$AA$8),0,AV41*INDEX('Operating Assumptions'!$P$8:$AA$19,MATCH($B69,'Operating Assumptions'!$P$8:$P$19,0),MATCH(AV$6,'Operating Assumptions'!$P$8:$AA$8,0)))</f>
        <v>0</v>
      </c>
      <c r="AW69" s="427">
        <f>-IF(OR(AW$9&lt;'Operating Assumptions'!$D$53,AW$6&gt;'Operating Assumptions'!$AA$8),0,AW41*INDEX('Operating Assumptions'!$P$8:$AA$19,MATCH($B69,'Operating Assumptions'!$P$8:$P$19,0),MATCH(AW$6,'Operating Assumptions'!$P$8:$AA$8,0)))</f>
        <v>0</v>
      </c>
      <c r="AX69" s="427">
        <f>-IF(OR(AX$9&lt;'Operating Assumptions'!$D$53,AX$6&gt;'Operating Assumptions'!$AA$8),0,AX41*INDEX('Operating Assumptions'!$P$8:$AA$19,MATCH($B69,'Operating Assumptions'!$P$8:$P$19,0),MATCH(AX$6,'Operating Assumptions'!$P$8:$AA$8,0)))</f>
        <v>0</v>
      </c>
      <c r="AY69" s="427">
        <f>-IF(OR(AY$9&lt;'Operating Assumptions'!$D$53,AY$6&gt;'Operating Assumptions'!$AA$8),0,AY41*INDEX('Operating Assumptions'!$P$8:$AA$19,MATCH($B69,'Operating Assumptions'!$P$8:$P$19,0),MATCH(AY$6,'Operating Assumptions'!$P$8:$AA$8,0)))</f>
        <v>0</v>
      </c>
      <c r="AZ69" s="427">
        <f>-IF(OR(AZ$9&lt;'Operating Assumptions'!$D$53,AZ$6&gt;'Operating Assumptions'!$AA$8),0,AZ41*INDEX('Operating Assumptions'!$P$8:$AA$19,MATCH($B69,'Operating Assumptions'!$P$8:$P$19,0),MATCH(AZ$6,'Operating Assumptions'!$P$8:$AA$8,0)))</f>
        <v>0</v>
      </c>
      <c r="BA69" s="427">
        <f>-IF(OR(BA$9&lt;'Operating Assumptions'!$D$53,BA$6&gt;'Operating Assumptions'!$AA$8),0,BA41*INDEX('Operating Assumptions'!$P$8:$AA$19,MATCH($B69,'Operating Assumptions'!$P$8:$P$19,0),MATCH(BA$6,'Operating Assumptions'!$P$8:$AA$8,0)))</f>
        <v>0</v>
      </c>
      <c r="BB69" s="427">
        <f>-IF(OR(BB$9&lt;'Operating Assumptions'!$D$53,BB$6&gt;'Operating Assumptions'!$AA$8),0,BB41*INDEX('Operating Assumptions'!$P$8:$AA$19,MATCH($B69,'Operating Assumptions'!$P$8:$P$19,0),MATCH(BB$6,'Operating Assumptions'!$P$8:$AA$8,0)))</f>
        <v>0</v>
      </c>
      <c r="BC69" s="427">
        <f>-IF(OR(BC$9&lt;'Operating Assumptions'!$D$53,BC$6&gt;'Operating Assumptions'!$AA$8),0,BC41*INDEX('Operating Assumptions'!$P$8:$AA$19,MATCH($B69,'Operating Assumptions'!$P$8:$P$19,0),MATCH(BC$6,'Operating Assumptions'!$P$8:$AA$8,0)))</f>
        <v>0</v>
      </c>
      <c r="BD69" s="427">
        <f>-IF(OR(BD$9&lt;'Operating Assumptions'!$D$53,BD$6&gt;'Operating Assumptions'!$AA$8),0,BD41*INDEX('Operating Assumptions'!$P$8:$AA$19,MATCH($B69,'Operating Assumptions'!$P$8:$P$19,0),MATCH(BD$6,'Operating Assumptions'!$P$8:$AA$8,0)))</f>
        <v>0</v>
      </c>
      <c r="BE69" s="427">
        <f>-IF(OR(BE$9&lt;'Operating Assumptions'!$D$53,BE$6&gt;'Operating Assumptions'!$AA$8),0,BE41*INDEX('Operating Assumptions'!$P$8:$AA$19,MATCH($B69,'Operating Assumptions'!$P$8:$P$19,0),MATCH(BE$6,'Operating Assumptions'!$P$8:$AA$8,0)))</f>
        <v>0</v>
      </c>
      <c r="BF69" s="427">
        <f>-IF(OR(BF$9&lt;'Operating Assumptions'!$D$53,BF$6&gt;'Operating Assumptions'!$AA$8),0,BF41*INDEX('Operating Assumptions'!$P$8:$AA$19,MATCH($B69,'Operating Assumptions'!$P$8:$P$19,0),MATCH(BF$6,'Operating Assumptions'!$P$8:$AA$8,0)))</f>
        <v>0</v>
      </c>
      <c r="BG69" s="427">
        <f>-IF(OR(BG$9&lt;'Operating Assumptions'!$D$53,BG$6&gt;'Operating Assumptions'!$AA$8),0,BG41*INDEX('Operating Assumptions'!$P$8:$AA$19,MATCH($B69,'Operating Assumptions'!$P$8:$P$19,0),MATCH(BG$6,'Operating Assumptions'!$P$8:$AA$8,0)))</f>
        <v>0</v>
      </c>
      <c r="BH69" s="427">
        <f>-IF(OR(BH$9&lt;'Operating Assumptions'!$D$53,BH$6&gt;'Operating Assumptions'!$AA$8),0,BH41*INDEX('Operating Assumptions'!$P$8:$AA$19,MATCH($B69,'Operating Assumptions'!$P$8:$P$19,0),MATCH(BH$6,'Operating Assumptions'!$P$8:$AA$8,0)))</f>
        <v>0</v>
      </c>
      <c r="BI69" s="427">
        <f>-IF(OR(BI$9&lt;'Operating Assumptions'!$D$53,BI$6&gt;'Operating Assumptions'!$AA$8),0,BI41*INDEX('Operating Assumptions'!$P$8:$AA$19,MATCH($B69,'Operating Assumptions'!$P$8:$P$19,0),MATCH(BI$6,'Operating Assumptions'!$P$8:$AA$8,0)))</f>
        <v>0</v>
      </c>
      <c r="BJ69" s="427">
        <f>-IF(OR(BJ$9&lt;'Operating Assumptions'!$D$53,BJ$6&gt;'Operating Assumptions'!$AA$8),0,BJ41*INDEX('Operating Assumptions'!$P$8:$AA$19,MATCH($B69,'Operating Assumptions'!$P$8:$P$19,0),MATCH(BJ$6,'Operating Assumptions'!$P$8:$AA$8,0)))</f>
        <v>0</v>
      </c>
      <c r="BK69" s="427">
        <f>-IF(OR(BK$9&lt;'Operating Assumptions'!$D$53,BK$6&gt;'Operating Assumptions'!$AA$8),0,BK41*INDEX('Operating Assumptions'!$P$8:$AA$19,MATCH($B69,'Operating Assumptions'!$P$8:$P$19,0),MATCH(BK$6,'Operating Assumptions'!$P$8:$AA$8,0)))</f>
        <v>0</v>
      </c>
      <c r="BL69" s="427">
        <f>-IF(OR(BL$9&lt;'Operating Assumptions'!$D$53,BL$6&gt;'Operating Assumptions'!$AA$8),0,BL41*INDEX('Operating Assumptions'!$P$8:$AA$19,MATCH($B69,'Operating Assumptions'!$P$8:$P$19,0),MATCH(BL$6,'Operating Assumptions'!$P$8:$AA$8,0)))</f>
        <v>0</v>
      </c>
      <c r="BM69" s="427">
        <f>-IF(OR(BM$9&lt;'Operating Assumptions'!$D$53,BM$6&gt;'Operating Assumptions'!$AA$8),0,BM41*INDEX('Operating Assumptions'!$P$8:$AA$19,MATCH($B69,'Operating Assumptions'!$P$8:$P$19,0),MATCH(BM$6,'Operating Assumptions'!$P$8:$AA$8,0)))</f>
        <v>0</v>
      </c>
      <c r="BN69" s="427">
        <f>-IF(OR(BN$9&lt;'Operating Assumptions'!$D$53,BN$6&gt;'Operating Assumptions'!$AA$8),0,BN41*INDEX('Operating Assumptions'!$P$8:$AA$19,MATCH($B69,'Operating Assumptions'!$P$8:$P$19,0),MATCH(BN$6,'Operating Assumptions'!$P$8:$AA$8,0)))</f>
        <v>0</v>
      </c>
      <c r="BO69" s="427">
        <f>-IF(OR(BO$9&lt;'Operating Assumptions'!$D$53,BO$6&gt;'Operating Assumptions'!$AA$8),0,BO41*INDEX('Operating Assumptions'!$P$8:$AA$19,MATCH($B69,'Operating Assumptions'!$P$8:$P$19,0),MATCH(BO$6,'Operating Assumptions'!$P$8:$AA$8,0)))</f>
        <v>0</v>
      </c>
      <c r="BP69" s="427">
        <f>-IF(OR(BP$9&lt;'Operating Assumptions'!$D$53,BP$6&gt;'Operating Assumptions'!$AA$8),0,BP41*INDEX('Operating Assumptions'!$P$8:$AA$19,MATCH($B69,'Operating Assumptions'!$P$8:$P$19,0),MATCH(BP$6,'Operating Assumptions'!$P$8:$AA$8,0)))</f>
        <v>0</v>
      </c>
      <c r="BQ69" s="427">
        <f>-IF(OR(BQ$9&lt;'Operating Assumptions'!$D$53,BQ$6&gt;'Operating Assumptions'!$AA$8),0,BQ41*INDEX('Operating Assumptions'!$P$8:$AA$19,MATCH($B69,'Operating Assumptions'!$P$8:$P$19,0),MATCH(BQ$6,'Operating Assumptions'!$P$8:$AA$8,0)))</f>
        <v>0</v>
      </c>
      <c r="BR69" s="427">
        <f>-IF(OR(BR$9&lt;'Operating Assumptions'!$D$53,BR$6&gt;'Operating Assumptions'!$AA$8),0,BR41*INDEX('Operating Assumptions'!$P$8:$AA$19,MATCH($B69,'Operating Assumptions'!$P$8:$P$19,0),MATCH(BR$6,'Operating Assumptions'!$P$8:$AA$8,0)))</f>
        <v>0</v>
      </c>
      <c r="BS69" s="427">
        <f>-IF(OR(BS$9&lt;'Operating Assumptions'!$D$53,BS$6&gt;'Operating Assumptions'!$AA$8),0,BS41*INDEX('Operating Assumptions'!$P$8:$AA$19,MATCH($B69,'Operating Assumptions'!$P$8:$P$19,0),MATCH(BS$6,'Operating Assumptions'!$P$8:$AA$8,0)))</f>
        <v>0</v>
      </c>
      <c r="BT69" s="427">
        <f>-IF(OR(BT$9&lt;'Operating Assumptions'!$D$53,BT$6&gt;'Operating Assumptions'!$AA$8),0,BT41*INDEX('Operating Assumptions'!$P$8:$AA$19,MATCH($B69,'Operating Assumptions'!$P$8:$P$19,0),MATCH(BT$6,'Operating Assumptions'!$P$8:$AA$8,0)))</f>
        <v>0</v>
      </c>
      <c r="BU69" s="427">
        <f>-IF(OR(BU$9&lt;'Operating Assumptions'!$D$53,BU$6&gt;'Operating Assumptions'!$AA$8),0,BU41*INDEX('Operating Assumptions'!$P$8:$AA$19,MATCH($B69,'Operating Assumptions'!$P$8:$P$19,0),MATCH(BU$6,'Operating Assumptions'!$P$8:$AA$8,0)))</f>
        <v>0</v>
      </c>
      <c r="BV69" s="427">
        <f>-IF(OR(BV$9&lt;'Operating Assumptions'!$D$53,BV$6&gt;'Operating Assumptions'!$AA$8),0,BV41*INDEX('Operating Assumptions'!$P$8:$AA$19,MATCH($B69,'Operating Assumptions'!$P$8:$P$19,0),MATCH(BV$6,'Operating Assumptions'!$P$8:$AA$8,0)))</f>
        <v>0</v>
      </c>
      <c r="BW69" s="427">
        <f>-IF(OR(BW$9&lt;'Operating Assumptions'!$D$53,BW$6&gt;'Operating Assumptions'!$AA$8),0,BW41*INDEX('Operating Assumptions'!$P$8:$AA$19,MATCH($B69,'Operating Assumptions'!$P$8:$P$19,0),MATCH(BW$6,'Operating Assumptions'!$P$8:$AA$8,0)))</f>
        <v>0</v>
      </c>
      <c r="BX69" s="427">
        <f>-IF(OR(BX$9&lt;'Operating Assumptions'!$D$53,BX$6&gt;'Operating Assumptions'!$AA$8),0,BX41*INDEX('Operating Assumptions'!$P$8:$AA$19,MATCH($B69,'Operating Assumptions'!$P$8:$P$19,0),MATCH(BX$6,'Operating Assumptions'!$P$8:$AA$8,0)))</f>
        <v>0</v>
      </c>
      <c r="BY69" s="427">
        <f>-IF(OR(BY$9&lt;'Operating Assumptions'!$D$53,BY$6&gt;'Operating Assumptions'!$AA$8),0,BY41*INDEX('Operating Assumptions'!$P$8:$AA$19,MATCH($B69,'Operating Assumptions'!$P$8:$P$19,0),MATCH(BY$6,'Operating Assumptions'!$P$8:$AA$8,0)))</f>
        <v>0</v>
      </c>
      <c r="BZ69" s="427">
        <f>-IF(OR(BZ$9&lt;'Operating Assumptions'!$D$53,BZ$6&gt;'Operating Assumptions'!$AA$8),0,BZ41*INDEX('Operating Assumptions'!$P$8:$AA$19,MATCH($B69,'Operating Assumptions'!$P$8:$P$19,0),MATCH(BZ$6,'Operating Assumptions'!$P$8:$AA$8,0)))</f>
        <v>0</v>
      </c>
      <c r="CA69" s="427">
        <f>-IF(OR(CA$9&lt;'Operating Assumptions'!$D$53,CA$6&gt;'Operating Assumptions'!$AA$8),0,CA41*INDEX('Operating Assumptions'!$P$8:$AA$19,MATCH($B69,'Operating Assumptions'!$P$8:$P$19,0),MATCH(CA$6,'Operating Assumptions'!$P$8:$AA$8,0)))</f>
        <v>0</v>
      </c>
      <c r="CB69" s="427">
        <f>-IF(OR(CB$9&lt;'Operating Assumptions'!$D$53,CB$6&gt;'Operating Assumptions'!$AA$8),0,CB41*INDEX('Operating Assumptions'!$P$8:$AA$19,MATCH($B69,'Operating Assumptions'!$P$8:$P$19,0),MATCH(CB$6,'Operating Assumptions'!$P$8:$AA$8,0)))</f>
        <v>0</v>
      </c>
      <c r="CC69" s="427">
        <f>-IF(OR(CC$9&lt;'Operating Assumptions'!$D$53,CC$6&gt;'Operating Assumptions'!$AA$8),0,CC41*INDEX('Operating Assumptions'!$P$8:$AA$19,MATCH($B69,'Operating Assumptions'!$P$8:$P$19,0),MATCH(CC$6,'Operating Assumptions'!$P$8:$AA$8,0)))</f>
        <v>0</v>
      </c>
      <c r="CD69" s="427">
        <f>-IF(OR(CD$9&lt;'Operating Assumptions'!$D$53,CD$6&gt;'Operating Assumptions'!$AA$8),0,CD41*INDEX('Operating Assumptions'!$P$8:$AA$19,MATCH($B69,'Operating Assumptions'!$P$8:$P$19,0),MATCH(CD$6,'Operating Assumptions'!$P$8:$AA$8,0)))</f>
        <v>0</v>
      </c>
      <c r="CE69" s="427">
        <f>-IF(OR(CE$9&lt;'Operating Assumptions'!$D$53,CE$6&gt;'Operating Assumptions'!$AA$8),0,CE41*INDEX('Operating Assumptions'!$P$8:$AA$19,MATCH($B69,'Operating Assumptions'!$P$8:$P$19,0),MATCH(CE$6,'Operating Assumptions'!$P$8:$AA$8,0)))</f>
        <v>0</v>
      </c>
      <c r="CF69" s="427">
        <f>-IF(OR(CF$9&lt;'Operating Assumptions'!$D$53,CF$6&gt;'Operating Assumptions'!$AA$8),0,CF41*INDEX('Operating Assumptions'!$P$8:$AA$19,MATCH($B69,'Operating Assumptions'!$P$8:$P$19,0),MATCH(CF$6,'Operating Assumptions'!$P$8:$AA$8,0)))</f>
        <v>0</v>
      </c>
      <c r="CG69" s="427">
        <f>-IF(OR(CG$9&lt;'Operating Assumptions'!$D$53,CG$6&gt;'Operating Assumptions'!$AA$8),0,CG41*INDEX('Operating Assumptions'!$P$8:$AA$19,MATCH($B69,'Operating Assumptions'!$P$8:$P$19,0),MATCH(CG$6,'Operating Assumptions'!$P$8:$AA$8,0)))</f>
        <v>0</v>
      </c>
      <c r="CH69" s="427">
        <f>-IF(OR(CH$9&lt;'Operating Assumptions'!$D$53,CH$6&gt;'Operating Assumptions'!$AA$8),0,CH41*INDEX('Operating Assumptions'!$P$8:$AA$19,MATCH($B69,'Operating Assumptions'!$P$8:$P$19,0),MATCH(CH$6,'Operating Assumptions'!$P$8:$AA$8,0)))</f>
        <v>0</v>
      </c>
      <c r="CI69" s="427">
        <f>-IF(OR(CI$9&lt;'Operating Assumptions'!$D$53,CI$6&gt;'Operating Assumptions'!$AA$8),0,CI41*INDEX('Operating Assumptions'!$P$8:$AA$19,MATCH($B69,'Operating Assumptions'!$P$8:$P$19,0),MATCH(CI$6,'Operating Assumptions'!$P$8:$AA$8,0)))</f>
        <v>0</v>
      </c>
      <c r="CJ69" s="427">
        <f>-IF(OR(CJ$9&lt;'Operating Assumptions'!$D$53,CJ$6&gt;'Operating Assumptions'!$AA$8),0,CJ41*INDEX('Operating Assumptions'!$P$8:$AA$19,MATCH($B69,'Operating Assumptions'!$P$8:$P$19,0),MATCH(CJ$6,'Operating Assumptions'!$P$8:$AA$8,0)))</f>
        <v>0</v>
      </c>
      <c r="CK69" s="427">
        <f>-IF(OR(CK$9&lt;'Operating Assumptions'!$D$53,CK$6&gt;'Operating Assumptions'!$AA$8),0,CK41*INDEX('Operating Assumptions'!$P$8:$AA$19,MATCH($B69,'Operating Assumptions'!$P$8:$P$19,0),MATCH(CK$6,'Operating Assumptions'!$P$8:$AA$8,0)))</f>
        <v>0</v>
      </c>
      <c r="CL69" s="427">
        <f>-IF(OR(CL$9&lt;'Operating Assumptions'!$D$53,CL$6&gt;'Operating Assumptions'!$AA$8),0,CL41*INDEX('Operating Assumptions'!$P$8:$AA$19,MATCH($B69,'Operating Assumptions'!$P$8:$P$19,0),MATCH(CL$6,'Operating Assumptions'!$P$8:$AA$8,0)))</f>
        <v>0</v>
      </c>
      <c r="CM69" s="427">
        <f>-IF(OR(CM$9&lt;'Operating Assumptions'!$D$53,CM$6&gt;'Operating Assumptions'!$AA$8),0,CM41*INDEX('Operating Assumptions'!$P$8:$AA$19,MATCH($B69,'Operating Assumptions'!$P$8:$P$19,0),MATCH(CM$6,'Operating Assumptions'!$P$8:$AA$8,0)))</f>
        <v>0</v>
      </c>
      <c r="CN69" s="427">
        <f>-IF(OR(CN$9&lt;'Operating Assumptions'!$D$53,CN$6&gt;'Operating Assumptions'!$AA$8),0,CN41*INDEX('Operating Assumptions'!$P$8:$AA$19,MATCH($B69,'Operating Assumptions'!$P$8:$P$19,0),MATCH(CN$6,'Operating Assumptions'!$P$8:$AA$8,0)))</f>
        <v>0</v>
      </c>
      <c r="CO69" s="427">
        <f>-IF(OR(CO$9&lt;'Operating Assumptions'!$D$53,CO$6&gt;'Operating Assumptions'!$AA$8),0,CO41*INDEX('Operating Assumptions'!$P$8:$AA$19,MATCH($B69,'Operating Assumptions'!$P$8:$P$19,0),MATCH(CO$6,'Operating Assumptions'!$P$8:$AA$8,0)))</f>
        <v>0</v>
      </c>
      <c r="CP69" s="427">
        <f>-IF(OR(CP$9&lt;'Operating Assumptions'!$D$53,CP$6&gt;'Operating Assumptions'!$AA$8),0,CP41*INDEX('Operating Assumptions'!$P$8:$AA$19,MATCH($B69,'Operating Assumptions'!$P$8:$P$19,0),MATCH(CP$6,'Operating Assumptions'!$P$8:$AA$8,0)))</f>
        <v>0</v>
      </c>
      <c r="CQ69" s="427">
        <f>-IF(OR(CQ$9&lt;'Operating Assumptions'!$D$53,CQ$6&gt;'Operating Assumptions'!$AA$8),0,CQ41*INDEX('Operating Assumptions'!$P$8:$AA$19,MATCH($B69,'Operating Assumptions'!$P$8:$P$19,0),MATCH(CQ$6,'Operating Assumptions'!$P$8:$AA$8,0)))</f>
        <v>0</v>
      </c>
      <c r="CR69" s="427">
        <f>-IF(OR(CR$9&lt;'Operating Assumptions'!$D$53,CR$6&gt;'Operating Assumptions'!$AA$8),0,CR41*INDEX('Operating Assumptions'!$P$8:$AA$19,MATCH($B69,'Operating Assumptions'!$P$8:$P$19,0),MATCH(CR$6,'Operating Assumptions'!$P$8:$AA$8,0)))</f>
        <v>0</v>
      </c>
      <c r="CS69" s="427">
        <f>-IF(OR(CS$9&lt;'Operating Assumptions'!$D$53,CS$6&gt;'Operating Assumptions'!$AA$8),0,CS41*INDEX('Operating Assumptions'!$P$8:$AA$19,MATCH($B69,'Operating Assumptions'!$P$8:$P$19,0),MATCH(CS$6,'Operating Assumptions'!$P$8:$AA$8,0)))</f>
        <v>0</v>
      </c>
      <c r="CT69" s="427">
        <f>-IF(OR(CT$9&lt;'Operating Assumptions'!$D$53,CT$6&gt;'Operating Assumptions'!$AA$8),0,CT41*INDEX('Operating Assumptions'!$P$8:$AA$19,MATCH($B69,'Operating Assumptions'!$P$8:$P$19,0),MATCH(CT$6,'Operating Assumptions'!$P$8:$AA$8,0)))</f>
        <v>0</v>
      </c>
      <c r="CU69" s="427">
        <f>-IF(OR(CU$9&lt;'Operating Assumptions'!$D$53,CU$6&gt;'Operating Assumptions'!$AA$8),0,CU41*INDEX('Operating Assumptions'!$P$8:$AA$19,MATCH($B69,'Operating Assumptions'!$P$8:$P$19,0),MATCH(CU$6,'Operating Assumptions'!$P$8:$AA$8,0)))</f>
        <v>0</v>
      </c>
      <c r="CV69" s="427">
        <f>-IF(OR(CV$9&lt;'Operating Assumptions'!$D$53,CV$6&gt;'Operating Assumptions'!$AA$8),0,CV41*INDEX('Operating Assumptions'!$P$8:$AA$19,MATCH($B69,'Operating Assumptions'!$P$8:$P$19,0),MATCH(CV$6,'Operating Assumptions'!$P$8:$AA$8,0)))</f>
        <v>0</v>
      </c>
      <c r="CW69" s="427">
        <f>-IF(OR(CW$9&lt;'Operating Assumptions'!$D$53,CW$6&gt;'Operating Assumptions'!$AA$8),0,CW41*INDEX('Operating Assumptions'!$P$8:$AA$19,MATCH($B69,'Operating Assumptions'!$P$8:$P$19,0),MATCH(CW$6,'Operating Assumptions'!$P$8:$AA$8,0)))</f>
        <v>0</v>
      </c>
      <c r="CX69" s="427">
        <f>-IF(OR(CX$9&lt;'Operating Assumptions'!$D$53,CX$6&gt;'Operating Assumptions'!$AA$8),0,CX41*INDEX('Operating Assumptions'!$P$8:$AA$19,MATCH($B69,'Operating Assumptions'!$P$8:$P$19,0),MATCH(CX$6,'Operating Assumptions'!$P$8:$AA$8,0)))</f>
        <v>0</v>
      </c>
      <c r="CY69" s="427">
        <f>-IF(OR(CY$9&lt;'Operating Assumptions'!$D$53,CY$6&gt;'Operating Assumptions'!$AA$8),0,CY41*INDEX('Operating Assumptions'!$P$8:$AA$19,MATCH($B69,'Operating Assumptions'!$P$8:$P$19,0),MATCH(CY$6,'Operating Assumptions'!$P$8:$AA$8,0)))</f>
        <v>0</v>
      </c>
      <c r="CZ69" s="427">
        <f>-IF(OR(CZ$9&lt;'Operating Assumptions'!$D$53,CZ$6&gt;'Operating Assumptions'!$AA$8),0,CZ41*INDEX('Operating Assumptions'!$P$8:$AA$19,MATCH($B69,'Operating Assumptions'!$P$8:$P$19,0),MATCH(CZ$6,'Operating Assumptions'!$P$8:$AA$8,0)))</f>
        <v>0</v>
      </c>
      <c r="DA69" s="427">
        <f>-IF(OR(DA$9&lt;'Operating Assumptions'!$D$53,DA$6&gt;'Operating Assumptions'!$AA$8),0,DA41*INDEX('Operating Assumptions'!$P$8:$AA$19,MATCH($B69,'Operating Assumptions'!$P$8:$P$19,0),MATCH(DA$6,'Operating Assumptions'!$P$8:$AA$8,0)))</f>
        <v>0</v>
      </c>
      <c r="DB69" s="427">
        <f>-IF(OR(DB$9&lt;'Operating Assumptions'!$D$53,DB$6&gt;'Operating Assumptions'!$AA$8),0,DB41*INDEX('Operating Assumptions'!$P$8:$AA$19,MATCH($B69,'Operating Assumptions'!$P$8:$P$19,0),MATCH(DB$6,'Operating Assumptions'!$P$8:$AA$8,0)))</f>
        <v>0</v>
      </c>
      <c r="DC69" s="427">
        <f>-IF(OR(DC$9&lt;'Operating Assumptions'!$D$53,DC$6&gt;'Operating Assumptions'!$AA$8),0,DC41*INDEX('Operating Assumptions'!$P$8:$AA$19,MATCH($B69,'Operating Assumptions'!$P$8:$P$19,0),MATCH(DC$6,'Operating Assumptions'!$P$8:$AA$8,0)))</f>
        <v>0</v>
      </c>
      <c r="DD69" s="427">
        <f>-IF(OR(DD$9&lt;'Operating Assumptions'!$D$53,DD$6&gt;'Operating Assumptions'!$AA$8),0,DD41*INDEX('Operating Assumptions'!$P$8:$AA$19,MATCH($B69,'Operating Assumptions'!$P$8:$P$19,0),MATCH(DD$6,'Operating Assumptions'!$P$8:$AA$8,0)))</f>
        <v>0</v>
      </c>
      <c r="DE69" s="427">
        <f>-IF(OR(DE$9&lt;'Operating Assumptions'!$D$53,DE$6&gt;'Operating Assumptions'!$AA$8),0,DE41*INDEX('Operating Assumptions'!$P$8:$AA$19,MATCH($B69,'Operating Assumptions'!$P$8:$P$19,0),MATCH(DE$6,'Operating Assumptions'!$P$8:$AA$8,0)))</f>
        <v>0</v>
      </c>
      <c r="DF69" s="427">
        <f>-IF(OR(DF$9&lt;'Operating Assumptions'!$D$53,DF$6&gt;'Operating Assumptions'!$AA$8),0,DF41*INDEX('Operating Assumptions'!$P$8:$AA$19,MATCH($B69,'Operating Assumptions'!$P$8:$P$19,0),MATCH(DF$6,'Operating Assumptions'!$P$8:$AA$8,0)))</f>
        <v>0</v>
      </c>
      <c r="DG69" s="427">
        <f>-IF(OR(DG$9&lt;'Operating Assumptions'!$D$53,DG$6&gt;'Operating Assumptions'!$AA$8),0,DG41*INDEX('Operating Assumptions'!$P$8:$AA$19,MATCH($B69,'Operating Assumptions'!$P$8:$P$19,0),MATCH(DG$6,'Operating Assumptions'!$P$8:$AA$8,0)))</f>
        <v>0</v>
      </c>
      <c r="DH69" s="427">
        <f>-IF(OR(DH$9&lt;'Operating Assumptions'!$D$53,DH$6&gt;'Operating Assumptions'!$AA$8),0,DH41*INDEX('Operating Assumptions'!$P$8:$AA$19,MATCH($B69,'Operating Assumptions'!$P$8:$P$19,0),MATCH(DH$6,'Operating Assumptions'!$P$8:$AA$8,0)))</f>
        <v>0</v>
      </c>
      <c r="DI69" s="427">
        <f>-IF(OR(DI$9&lt;'Operating Assumptions'!$D$53,DI$6&gt;'Operating Assumptions'!$AA$8),0,DI41*INDEX('Operating Assumptions'!$P$8:$AA$19,MATCH($B69,'Operating Assumptions'!$P$8:$P$19,0),MATCH(DI$6,'Operating Assumptions'!$P$8:$AA$8,0)))</f>
        <v>0</v>
      </c>
      <c r="DJ69" s="427">
        <f>-IF(OR(DJ$9&lt;'Operating Assumptions'!$D$53,DJ$6&gt;'Operating Assumptions'!$AA$8),0,DJ41*INDEX('Operating Assumptions'!$P$8:$AA$19,MATCH($B69,'Operating Assumptions'!$P$8:$P$19,0),MATCH(DJ$6,'Operating Assumptions'!$P$8:$AA$8,0)))</f>
        <v>0</v>
      </c>
      <c r="DK69" s="427">
        <f>-IF(OR(DK$9&lt;'Operating Assumptions'!$D$53,DK$6&gt;'Operating Assumptions'!$AA$8),0,DK41*INDEX('Operating Assumptions'!$P$8:$AA$19,MATCH($B69,'Operating Assumptions'!$P$8:$P$19,0),MATCH(DK$6,'Operating Assumptions'!$P$8:$AA$8,0)))</f>
        <v>0</v>
      </c>
      <c r="DL69" s="427">
        <f>-IF(OR(DL$9&lt;'Operating Assumptions'!$D$53,DL$6&gt;'Operating Assumptions'!$AA$8),0,DL41*INDEX('Operating Assumptions'!$P$8:$AA$19,MATCH($B69,'Operating Assumptions'!$P$8:$P$19,0),MATCH(DL$6,'Operating Assumptions'!$P$8:$AA$8,0)))</f>
        <v>0</v>
      </c>
      <c r="DM69" s="427">
        <f>-IF(OR(DM$9&lt;'Operating Assumptions'!$D$53,DM$6&gt;'Operating Assumptions'!$AA$8),0,DM41*INDEX('Operating Assumptions'!$P$8:$AA$19,MATCH($B69,'Operating Assumptions'!$P$8:$P$19,0),MATCH(DM$6,'Operating Assumptions'!$P$8:$AA$8,0)))</f>
        <v>0</v>
      </c>
      <c r="DN69" s="427">
        <f>-IF(OR(DN$9&lt;'Operating Assumptions'!$D$53,DN$6&gt;'Operating Assumptions'!$AA$8),0,DN41*INDEX('Operating Assumptions'!$P$8:$AA$19,MATCH($B69,'Operating Assumptions'!$P$8:$P$19,0),MATCH(DN$6,'Operating Assumptions'!$P$8:$AA$8,0)))</f>
        <v>0</v>
      </c>
      <c r="DO69" s="427">
        <f>-IF(OR(DO$9&lt;'Operating Assumptions'!$D$53,DO$6&gt;'Operating Assumptions'!$AA$8),0,DO41*INDEX('Operating Assumptions'!$P$8:$AA$19,MATCH($B69,'Operating Assumptions'!$P$8:$P$19,0),MATCH(DO$6,'Operating Assumptions'!$P$8:$AA$8,0)))</f>
        <v>0</v>
      </c>
      <c r="DP69" s="427">
        <f>-IF(OR(DP$9&lt;'Operating Assumptions'!$D$53,DP$6&gt;'Operating Assumptions'!$AA$8),0,DP41*INDEX('Operating Assumptions'!$P$8:$AA$19,MATCH($B69,'Operating Assumptions'!$P$8:$P$19,0),MATCH(DP$6,'Operating Assumptions'!$P$8:$AA$8,0)))</f>
        <v>0</v>
      </c>
      <c r="DQ69" s="427">
        <f>-IF(OR(DQ$9&lt;'Operating Assumptions'!$D$53,DQ$6&gt;'Operating Assumptions'!$AA$8),0,DQ41*INDEX('Operating Assumptions'!$P$8:$AA$19,MATCH($B69,'Operating Assumptions'!$P$8:$P$19,0),MATCH(DQ$6,'Operating Assumptions'!$P$8:$AA$8,0)))</f>
        <v>0</v>
      </c>
      <c r="DR69" s="427">
        <f>-IF(OR(DR$9&lt;'Operating Assumptions'!$D$53,DR$6&gt;'Operating Assumptions'!$AA$8),0,DR41*INDEX('Operating Assumptions'!$P$8:$AA$19,MATCH($B69,'Operating Assumptions'!$P$8:$P$19,0),MATCH(DR$6,'Operating Assumptions'!$P$8:$AA$8,0)))</f>
        <v>0</v>
      </c>
      <c r="DS69" s="427">
        <f>-IF(OR(DS$9&lt;'Operating Assumptions'!$D$53,DS$6&gt;'Operating Assumptions'!$AA$8),0,DS41*INDEX('Operating Assumptions'!$P$8:$AA$19,MATCH($B69,'Operating Assumptions'!$P$8:$P$19,0),MATCH(DS$6,'Operating Assumptions'!$P$8:$AA$8,0)))</f>
        <v>0</v>
      </c>
      <c r="DT69" s="427">
        <f>-IF(OR(DT$9&lt;'Operating Assumptions'!$D$53,DT$6&gt;'Operating Assumptions'!$AA$8),0,DT41*INDEX('Operating Assumptions'!$P$8:$AA$19,MATCH($B69,'Operating Assumptions'!$P$8:$P$19,0),MATCH(DT$6,'Operating Assumptions'!$P$8:$AA$8,0)))</f>
        <v>0</v>
      </c>
      <c r="DU69" s="427">
        <f>-IF(OR(DU$9&lt;'Operating Assumptions'!$D$53,DU$6&gt;'Operating Assumptions'!$AA$8),0,DU41*INDEX('Operating Assumptions'!$P$8:$AA$19,MATCH($B69,'Operating Assumptions'!$P$8:$P$19,0),MATCH(DU$6,'Operating Assumptions'!$P$8:$AA$8,0)))</f>
        <v>0</v>
      </c>
      <c r="DV69" s="427">
        <f>-IF(OR(DV$9&lt;'Operating Assumptions'!$D$53,DV$6&gt;'Operating Assumptions'!$AA$8),0,DV41*INDEX('Operating Assumptions'!$P$8:$AA$19,MATCH($B69,'Operating Assumptions'!$P$8:$P$19,0),MATCH(DV$6,'Operating Assumptions'!$P$8:$AA$8,0)))</f>
        <v>0</v>
      </c>
      <c r="DW69" s="427">
        <f>-IF(OR(DW$9&lt;'Operating Assumptions'!$D$53,DW$6&gt;'Operating Assumptions'!$AA$8),0,DW41*INDEX('Operating Assumptions'!$P$8:$AA$19,MATCH($B69,'Operating Assumptions'!$P$8:$P$19,0),MATCH(DW$6,'Operating Assumptions'!$P$8:$AA$8,0)))</f>
        <v>0</v>
      </c>
      <c r="DX69" s="427">
        <f>-IF(OR(DX$9&lt;'Operating Assumptions'!$D$53,DX$6&gt;'Operating Assumptions'!$AA$8),0,DX41*INDEX('Operating Assumptions'!$P$8:$AA$19,MATCH($B69,'Operating Assumptions'!$P$8:$P$19,0),MATCH(DX$6,'Operating Assumptions'!$P$8:$AA$8,0)))</f>
        <v>0</v>
      </c>
      <c r="DY69" s="427">
        <f>-IF(OR(DY$9&lt;'Operating Assumptions'!$D$53,DY$6&gt;'Operating Assumptions'!$AA$8),0,DY41*INDEX('Operating Assumptions'!$P$8:$AA$19,MATCH($B69,'Operating Assumptions'!$P$8:$P$19,0),MATCH(DY$6,'Operating Assumptions'!$P$8:$AA$8,0)))</f>
        <v>0</v>
      </c>
      <c r="DZ69" s="427">
        <f>-IF(OR(DZ$9&lt;'Operating Assumptions'!$D$53,DZ$6&gt;'Operating Assumptions'!$AA$8),0,DZ41*INDEX('Operating Assumptions'!$P$8:$AA$19,MATCH($B69,'Operating Assumptions'!$P$8:$P$19,0),MATCH(DZ$6,'Operating Assumptions'!$P$8:$AA$8,0)))</f>
        <v>0</v>
      </c>
      <c r="EA69" s="427">
        <f>-IF(OR(EA$9&lt;'Operating Assumptions'!$D$53,EA$6&gt;'Operating Assumptions'!$AA$8),0,EA41*INDEX('Operating Assumptions'!$P$8:$AA$19,MATCH($B69,'Operating Assumptions'!$P$8:$P$19,0),MATCH(EA$6,'Operating Assumptions'!$P$8:$AA$8,0)))</f>
        <v>0</v>
      </c>
      <c r="EB69" s="427">
        <f>-IF(OR(EB$9&lt;'Operating Assumptions'!$D$53,EB$6&gt;'Operating Assumptions'!$AA$8),0,EB41*INDEX('Operating Assumptions'!$P$8:$AA$19,MATCH($B69,'Operating Assumptions'!$P$8:$P$19,0),MATCH(EB$6,'Operating Assumptions'!$P$8:$AA$8,0)))</f>
        <v>0</v>
      </c>
      <c r="EC69" s="427">
        <f>-IF(OR(EC$9&lt;'Operating Assumptions'!$D$53,EC$6&gt;'Operating Assumptions'!$AA$8),0,EC41*INDEX('Operating Assumptions'!$P$8:$AA$19,MATCH($B69,'Operating Assumptions'!$P$8:$P$19,0),MATCH(EC$6,'Operating Assumptions'!$P$8:$AA$8,0)))</f>
        <v>0</v>
      </c>
      <c r="ED69" s="427">
        <f>-IF(OR(ED$9&lt;'Operating Assumptions'!$D$53,ED$6&gt;'Operating Assumptions'!$AA$8),0,ED41*INDEX('Operating Assumptions'!$P$8:$AA$19,MATCH($B69,'Operating Assumptions'!$P$8:$P$19,0),MATCH(ED$6,'Operating Assumptions'!$P$8:$AA$8,0)))</f>
        <v>0</v>
      </c>
      <c r="EE69" s="427">
        <f>-IF(OR(EE$9&lt;'Operating Assumptions'!$D$53,EE$6&gt;'Operating Assumptions'!$AA$8),0,EE41*INDEX('Operating Assumptions'!$P$8:$AA$19,MATCH($B69,'Operating Assumptions'!$P$8:$P$19,0),MATCH(EE$6,'Operating Assumptions'!$P$8:$AA$8,0)))</f>
        <v>0</v>
      </c>
      <c r="EF69" s="427">
        <f>-IF(OR(EF$9&lt;'Operating Assumptions'!$D$53,EF$6&gt;'Operating Assumptions'!$AA$8),0,EF41*INDEX('Operating Assumptions'!$P$8:$AA$19,MATCH($B69,'Operating Assumptions'!$P$8:$P$19,0),MATCH(EF$6,'Operating Assumptions'!$P$8:$AA$8,0)))</f>
        <v>0</v>
      </c>
      <c r="EG69" s="427">
        <f>-IF(OR(EG$9&lt;'Operating Assumptions'!$D$53,EG$6&gt;'Operating Assumptions'!$AA$8),0,EG41*INDEX('Operating Assumptions'!$P$8:$AA$19,MATCH($B69,'Operating Assumptions'!$P$8:$P$19,0),MATCH(EG$6,'Operating Assumptions'!$P$8:$AA$8,0)))</f>
        <v>0</v>
      </c>
      <c r="EH69" s="427">
        <f>-IF(OR(EH$9&lt;'Operating Assumptions'!$D$53,EH$6&gt;'Operating Assumptions'!$AA$8),0,EH41*INDEX('Operating Assumptions'!$P$8:$AA$19,MATCH($B69,'Operating Assumptions'!$P$8:$P$19,0),MATCH(EH$6,'Operating Assumptions'!$P$8:$AA$8,0)))</f>
        <v>0</v>
      </c>
      <c r="EI69" s="427">
        <f>-IF(OR(EI$9&lt;'Operating Assumptions'!$D$53,EI$6&gt;'Operating Assumptions'!$AA$8),0,EI41*INDEX('Operating Assumptions'!$P$8:$AA$19,MATCH($B69,'Operating Assumptions'!$P$8:$P$19,0),MATCH(EI$6,'Operating Assumptions'!$P$8:$AA$8,0)))</f>
        <v>0</v>
      </c>
      <c r="EJ69" s="427">
        <f>-IF(OR(EJ$9&lt;'Operating Assumptions'!$D$53,EJ$6&gt;'Operating Assumptions'!$AA$8),0,EJ41*INDEX('Operating Assumptions'!$P$8:$AA$19,MATCH($B69,'Operating Assumptions'!$P$8:$P$19,0),MATCH(EJ$6,'Operating Assumptions'!$P$8:$AA$8,0)))</f>
        <v>0</v>
      </c>
      <c r="EK69" s="427">
        <f>-IF(OR(EK$9&lt;'Operating Assumptions'!$D$53,EK$6&gt;'Operating Assumptions'!$AA$8),0,EK41*INDEX('Operating Assumptions'!$P$8:$AA$19,MATCH($B69,'Operating Assumptions'!$P$8:$P$19,0),MATCH(EK$6,'Operating Assumptions'!$P$8:$AA$8,0)))</f>
        <v>0</v>
      </c>
      <c r="EL69" s="427">
        <f>-IF(OR(EL$9&lt;'Operating Assumptions'!$D$53,EL$6&gt;'Operating Assumptions'!$AA$8),0,EL41*INDEX('Operating Assumptions'!$P$8:$AA$19,MATCH($B69,'Operating Assumptions'!$P$8:$P$19,0),MATCH(EL$6,'Operating Assumptions'!$P$8:$AA$8,0)))</f>
        <v>0</v>
      </c>
      <c r="EM69" s="427">
        <f>-IF(OR(EM$9&lt;'Operating Assumptions'!$D$53,EM$6&gt;'Operating Assumptions'!$AA$8),0,EM41*INDEX('Operating Assumptions'!$P$8:$AA$19,MATCH($B69,'Operating Assumptions'!$P$8:$P$19,0),MATCH(EM$6,'Operating Assumptions'!$P$8:$AA$8,0)))</f>
        <v>0</v>
      </c>
      <c r="EN69" s="427">
        <f>-IF(OR(EN$9&lt;'Operating Assumptions'!$D$53,EN$6&gt;'Operating Assumptions'!$AA$8),0,EN41*INDEX('Operating Assumptions'!$P$8:$AA$19,MATCH($B69,'Operating Assumptions'!$P$8:$P$19,0),MATCH(EN$6,'Operating Assumptions'!$P$8:$AA$8,0)))</f>
        <v>0</v>
      </c>
      <c r="EO69" s="427">
        <f>-IF(OR(EO$9&lt;'Operating Assumptions'!$D$53,EO$6&gt;'Operating Assumptions'!$AA$8),0,EO41*INDEX('Operating Assumptions'!$P$8:$AA$19,MATCH($B69,'Operating Assumptions'!$P$8:$P$19,0),MATCH(EO$6,'Operating Assumptions'!$P$8:$AA$8,0)))</f>
        <v>0</v>
      </c>
      <c r="EP69" s="427">
        <f>-IF(OR(EP$9&lt;'Operating Assumptions'!$D$53,EP$6&gt;'Operating Assumptions'!$AA$8),0,EP41*INDEX('Operating Assumptions'!$P$8:$AA$19,MATCH($B69,'Operating Assumptions'!$P$8:$P$19,0),MATCH(EP$6,'Operating Assumptions'!$P$8:$AA$8,0)))</f>
        <v>0</v>
      </c>
      <c r="EQ69" s="427">
        <f>-IF(OR(EQ$9&lt;'Operating Assumptions'!$D$53,EQ$6&gt;'Operating Assumptions'!$AA$8),0,EQ41*INDEX('Operating Assumptions'!$P$8:$AA$19,MATCH($B69,'Operating Assumptions'!$P$8:$P$19,0),MATCH(EQ$6,'Operating Assumptions'!$P$8:$AA$8,0)))</f>
        <v>0</v>
      </c>
      <c r="ER69" s="427">
        <f>-IF(OR(ER$9&lt;'Operating Assumptions'!$D$53,ER$6&gt;'Operating Assumptions'!$AA$8),0,ER41*INDEX('Operating Assumptions'!$P$8:$AA$19,MATCH($B69,'Operating Assumptions'!$P$8:$P$19,0),MATCH(ER$6,'Operating Assumptions'!$P$8:$AA$8,0)))</f>
        <v>0</v>
      </c>
      <c r="ES69" s="427">
        <f>-IF(OR(ES$9&lt;'Operating Assumptions'!$D$53,ES$6&gt;'Operating Assumptions'!$AA$8),0,ES41*INDEX('Operating Assumptions'!$P$8:$AA$19,MATCH($B69,'Operating Assumptions'!$P$8:$P$19,0),MATCH(ES$6,'Operating Assumptions'!$P$8:$AA$8,0)))</f>
        <v>0</v>
      </c>
      <c r="ET69" s="427">
        <f>-IF(OR(ET$9&lt;'Operating Assumptions'!$D$53,ET$6&gt;'Operating Assumptions'!$AA$8),0,ET41*INDEX('Operating Assumptions'!$P$8:$AA$19,MATCH($B69,'Operating Assumptions'!$P$8:$P$19,0),MATCH(ET$6,'Operating Assumptions'!$P$8:$AA$8,0)))</f>
        <v>0</v>
      </c>
      <c r="EU69" s="427">
        <f>-IF(OR(EU$9&lt;'Operating Assumptions'!$D$53,EU$6&gt;'Operating Assumptions'!$AA$8),0,EU41*INDEX('Operating Assumptions'!$P$8:$AA$19,MATCH($B69,'Operating Assumptions'!$P$8:$P$19,0),MATCH(EU$6,'Operating Assumptions'!$P$8:$AA$8,0)))</f>
        <v>0</v>
      </c>
      <c r="EV69" s="427">
        <f>-IF(OR(EV$9&lt;'Operating Assumptions'!$D$53,EV$6&gt;'Operating Assumptions'!$AA$8),0,EV41*INDEX('Operating Assumptions'!$P$8:$AA$19,MATCH($B69,'Operating Assumptions'!$P$8:$P$19,0),MATCH(EV$6,'Operating Assumptions'!$P$8:$AA$8,0)))</f>
        <v>0</v>
      </c>
      <c r="EW69" s="427">
        <f>-IF(OR(EW$9&lt;'Operating Assumptions'!$D$53,EW$6&gt;'Operating Assumptions'!$AA$8),0,EW41*INDEX('Operating Assumptions'!$P$8:$AA$19,MATCH($B69,'Operating Assumptions'!$P$8:$P$19,0),MATCH(EW$6,'Operating Assumptions'!$P$8:$AA$8,0)))</f>
        <v>0</v>
      </c>
      <c r="EX69" s="427">
        <f>-IF(OR(EX$9&lt;'Operating Assumptions'!$D$53,EX$6&gt;'Operating Assumptions'!$AA$8),0,EX41*INDEX('Operating Assumptions'!$P$8:$AA$19,MATCH($B69,'Operating Assumptions'!$P$8:$P$19,0),MATCH(EX$6,'Operating Assumptions'!$P$8:$AA$8,0)))</f>
        <v>0</v>
      </c>
      <c r="EY69" s="427">
        <f>-IF(OR(EY$9&lt;'Operating Assumptions'!$D$53,EY$6&gt;'Operating Assumptions'!$AA$8),0,EY41*INDEX('Operating Assumptions'!$P$8:$AA$19,MATCH($B69,'Operating Assumptions'!$P$8:$P$19,0),MATCH(EY$6,'Operating Assumptions'!$P$8:$AA$8,0)))</f>
        <v>0</v>
      </c>
      <c r="EZ69" s="427">
        <f>-IF(OR(EZ$9&lt;'Operating Assumptions'!$D$53,EZ$6&gt;'Operating Assumptions'!$AA$8),0,EZ41*INDEX('Operating Assumptions'!$P$8:$AA$19,MATCH($B69,'Operating Assumptions'!$P$8:$P$19,0),MATCH(EZ$6,'Operating Assumptions'!$P$8:$AA$8,0)))</f>
        <v>0</v>
      </c>
      <c r="FA69" s="427">
        <f>-IF(OR(FA$9&lt;'Operating Assumptions'!$D$53,FA$6&gt;'Operating Assumptions'!$AA$8),0,FA41*INDEX('Operating Assumptions'!$P$8:$AA$19,MATCH($B69,'Operating Assumptions'!$P$8:$P$19,0),MATCH(FA$6,'Operating Assumptions'!$P$8:$AA$8,0)))</f>
        <v>0</v>
      </c>
      <c r="FB69" s="427">
        <f>-IF(OR(FB$9&lt;'Operating Assumptions'!$D$53,FB$6&gt;'Operating Assumptions'!$AA$8),0,FB41*INDEX('Operating Assumptions'!$P$8:$AA$19,MATCH($B69,'Operating Assumptions'!$P$8:$P$19,0),MATCH(FB$6,'Operating Assumptions'!$P$8:$AA$8,0)))</f>
        <v>0</v>
      </c>
      <c r="FC69" s="427">
        <f>-IF(OR(FC$9&lt;'Operating Assumptions'!$D$53,FC$6&gt;'Operating Assumptions'!$AA$8),0,FC41*INDEX('Operating Assumptions'!$P$8:$AA$19,MATCH($B69,'Operating Assumptions'!$P$8:$P$19,0),MATCH(FC$6,'Operating Assumptions'!$P$8:$AA$8,0)))</f>
        <v>0</v>
      </c>
      <c r="FD69" s="427">
        <f>-IF(OR(FD$9&lt;'Operating Assumptions'!$D$53,FD$6&gt;'Operating Assumptions'!$AA$8),0,FD41*INDEX('Operating Assumptions'!$P$8:$AA$19,MATCH($B69,'Operating Assumptions'!$P$8:$P$19,0),MATCH(FD$6,'Operating Assumptions'!$P$8:$AA$8,0)))</f>
        <v>0</v>
      </c>
      <c r="FE69" s="427">
        <f>-IF(OR(FE$9&lt;'Operating Assumptions'!$D$53,FE$6&gt;'Operating Assumptions'!$AA$8),0,FE41*INDEX('Operating Assumptions'!$P$8:$AA$19,MATCH($B69,'Operating Assumptions'!$P$8:$P$19,0),MATCH(FE$6,'Operating Assumptions'!$P$8:$AA$8,0)))</f>
        <v>0</v>
      </c>
      <c r="FF69" s="427">
        <f>-IF(OR(FF$9&lt;'Operating Assumptions'!$D$53,FF$6&gt;'Operating Assumptions'!$AA$8),0,FF41*INDEX('Operating Assumptions'!$P$8:$AA$19,MATCH($B69,'Operating Assumptions'!$P$8:$P$19,0),MATCH(FF$6,'Operating Assumptions'!$P$8:$AA$8,0)))</f>
        <v>0</v>
      </c>
      <c r="FG69" s="427">
        <f>-IF(OR(FG$9&lt;'Operating Assumptions'!$D$53,FG$6&gt;'Operating Assumptions'!$AA$8),0,FG41*INDEX('Operating Assumptions'!$P$8:$AA$19,MATCH($B69,'Operating Assumptions'!$P$8:$P$19,0),MATCH(FG$6,'Operating Assumptions'!$P$8:$AA$8,0)))</f>
        <v>0</v>
      </c>
      <c r="FH69" s="427">
        <f>-IF(OR(FH$9&lt;'Operating Assumptions'!$D$53,FH$6&gt;'Operating Assumptions'!$AA$8),0,FH41*INDEX('Operating Assumptions'!$P$8:$AA$19,MATCH($B69,'Operating Assumptions'!$P$8:$P$19,0),MATCH(FH$6,'Operating Assumptions'!$P$8:$AA$8,0)))</f>
        <v>0</v>
      </c>
      <c r="FI69" s="427">
        <f>-IF(OR(FI$9&lt;'Operating Assumptions'!$D$53,FI$6&gt;'Operating Assumptions'!$AA$8),0,FI41*INDEX('Operating Assumptions'!$P$8:$AA$19,MATCH($B69,'Operating Assumptions'!$P$8:$P$19,0),MATCH(FI$6,'Operating Assumptions'!$P$8:$AA$8,0)))</f>
        <v>0</v>
      </c>
      <c r="FJ69" s="427">
        <f>-IF(OR(FJ$9&lt;'Operating Assumptions'!$D$53,FJ$6&gt;'Operating Assumptions'!$AA$8),0,FJ41*INDEX('Operating Assumptions'!$P$8:$AA$19,MATCH($B69,'Operating Assumptions'!$P$8:$P$19,0),MATCH(FJ$6,'Operating Assumptions'!$P$8:$AA$8,0)))</f>
        <v>0</v>
      </c>
      <c r="FK69" s="427">
        <f>-IF(OR(FK$9&lt;'Operating Assumptions'!$D$53,FK$6&gt;'Operating Assumptions'!$AA$8),0,FK41*INDEX('Operating Assumptions'!$P$8:$AA$19,MATCH($B69,'Operating Assumptions'!$P$8:$P$19,0),MATCH(FK$6,'Operating Assumptions'!$P$8:$AA$8,0)))</f>
        <v>0</v>
      </c>
      <c r="FL69" s="427">
        <f>-IF(OR(FL$9&lt;'Operating Assumptions'!$D$53,FL$6&gt;'Operating Assumptions'!$AA$8),0,FL41*INDEX('Operating Assumptions'!$P$8:$AA$19,MATCH($B69,'Operating Assumptions'!$P$8:$P$19,0),MATCH(FL$6,'Operating Assumptions'!$P$8:$AA$8,0)))</f>
        <v>0</v>
      </c>
      <c r="FM69" s="427">
        <f>-IF(OR(FM$9&lt;'Operating Assumptions'!$D$53,FM$6&gt;'Operating Assumptions'!$AA$8),0,FM41*INDEX('Operating Assumptions'!$P$8:$AA$19,MATCH($B69,'Operating Assumptions'!$P$8:$P$19,0),MATCH(FM$6,'Operating Assumptions'!$P$8:$AA$8,0)))</f>
        <v>0</v>
      </c>
      <c r="FN69" s="427">
        <f>-IF(OR(FN$9&lt;'Operating Assumptions'!$D$53,FN$6&gt;'Operating Assumptions'!$AA$8),0,FN41*INDEX('Operating Assumptions'!$P$8:$AA$19,MATCH($B69,'Operating Assumptions'!$P$8:$P$19,0),MATCH(FN$6,'Operating Assumptions'!$P$8:$AA$8,0)))</f>
        <v>0</v>
      </c>
      <c r="FO69" s="427">
        <f>-IF(OR(FO$9&lt;'Operating Assumptions'!$D$53,FO$6&gt;'Operating Assumptions'!$AA$8),0,FO41*INDEX('Operating Assumptions'!$P$8:$AA$19,MATCH($B69,'Operating Assumptions'!$P$8:$P$19,0),MATCH(FO$6,'Operating Assumptions'!$P$8:$AA$8,0)))</f>
        <v>0</v>
      </c>
      <c r="FP69" s="427">
        <f>-IF(OR(FP$9&lt;'Operating Assumptions'!$D$53,FP$6&gt;'Operating Assumptions'!$AA$8),0,FP41*INDEX('Operating Assumptions'!$P$8:$AA$19,MATCH($B69,'Operating Assumptions'!$P$8:$P$19,0),MATCH(FP$6,'Operating Assumptions'!$P$8:$AA$8,0)))</f>
        <v>0</v>
      </c>
      <c r="FQ69" s="427">
        <f>-IF(OR(FQ$9&lt;'Operating Assumptions'!$D$53,FQ$6&gt;'Operating Assumptions'!$AA$8),0,FQ41*INDEX('Operating Assumptions'!$P$8:$AA$19,MATCH($B69,'Operating Assumptions'!$P$8:$P$19,0),MATCH(FQ$6,'Operating Assumptions'!$P$8:$AA$8,0)))</f>
        <v>0</v>
      </c>
      <c r="FR69" s="427">
        <f>-IF(OR(FR$9&lt;'Operating Assumptions'!$D$53,FR$6&gt;'Operating Assumptions'!$AA$8),0,FR41*INDEX('Operating Assumptions'!$P$8:$AA$19,MATCH($B69,'Operating Assumptions'!$P$8:$P$19,0),MATCH(FR$6,'Operating Assumptions'!$P$8:$AA$8,0)))</f>
        <v>0</v>
      </c>
      <c r="FS69" s="427">
        <f>-IF(OR(FS$9&lt;'Operating Assumptions'!$D$53,FS$6&gt;'Operating Assumptions'!$AA$8),0,FS41*INDEX('Operating Assumptions'!$P$8:$AA$19,MATCH($B69,'Operating Assumptions'!$P$8:$P$19,0),MATCH(FS$6,'Operating Assumptions'!$P$8:$AA$8,0)))</f>
        <v>0</v>
      </c>
      <c r="FT69" s="427">
        <f>-IF(OR(FT$9&lt;'Operating Assumptions'!$D$53,FT$6&gt;'Operating Assumptions'!$AA$8),0,FT41*INDEX('Operating Assumptions'!$P$8:$AA$19,MATCH($B69,'Operating Assumptions'!$P$8:$P$19,0),MATCH(FT$6,'Operating Assumptions'!$P$8:$AA$8,0)))</f>
        <v>0</v>
      </c>
      <c r="FU69" s="43"/>
      <c r="FV69" s="34"/>
      <c r="FW69" s="34"/>
      <c r="FX69" s="34"/>
      <c r="FY69" s="34"/>
      <c r="FZ69" s="34"/>
    </row>
    <row r="70" spans="1:182" s="89" customFormat="1" ht="13.5" x14ac:dyDescent="0.25">
      <c r="A70" s="34"/>
      <c r="B70" s="128" t="str">
        <f>'Operating Assumptions'!F34</f>
        <v>Bad Debt Rent Write Off</v>
      </c>
      <c r="C70" s="34"/>
      <c r="D70" s="34"/>
      <c r="E70" s="34"/>
      <c r="F70" s="434">
        <f t="shared" si="162"/>
        <v>0</v>
      </c>
      <c r="G70" s="34"/>
      <c r="H70" s="427">
        <f>-IF(OR(H$9&lt;'Operating Assumptions'!$D$53,H$6&gt;'Operating Assumptions'!$AA$8),0,H41*INDEX('Operating Assumptions'!$P$8:$AA$19,MATCH($B70,'Operating Assumptions'!$P$8:$P$19,0),MATCH(H$6,'Operating Assumptions'!$P$8:$AA$8,0)))</f>
        <v>0</v>
      </c>
      <c r="I70" s="427">
        <f>-IF(OR(I$9&lt;'Operating Assumptions'!$D$53,I$6&gt;'Operating Assumptions'!$AA$8),0,I41*INDEX('Operating Assumptions'!$P$8:$AA$19,MATCH($B70,'Operating Assumptions'!$P$8:$P$19,0),MATCH(I$6,'Operating Assumptions'!$P$8:$AA$8,0)))</f>
        <v>0</v>
      </c>
      <c r="J70" s="427">
        <f>-IF(OR(J$9&lt;'Operating Assumptions'!$D$53,J$6&gt;'Operating Assumptions'!$AA$8),0,J41*INDEX('Operating Assumptions'!$P$8:$AA$19,MATCH($B70,'Operating Assumptions'!$P$8:$P$19,0),MATCH(J$6,'Operating Assumptions'!$P$8:$AA$8,0)))</f>
        <v>0</v>
      </c>
      <c r="K70" s="427">
        <f>-IF(OR(K$9&lt;'Operating Assumptions'!$D$53,K$6&gt;'Operating Assumptions'!$AA$8),0,K41*INDEX('Operating Assumptions'!$P$8:$AA$19,MATCH($B70,'Operating Assumptions'!$P$8:$P$19,0),MATCH(K$6,'Operating Assumptions'!$P$8:$AA$8,0)))</f>
        <v>0</v>
      </c>
      <c r="L70" s="427">
        <f>-IF(OR(L$9&lt;'Operating Assumptions'!$D$53,L$6&gt;'Operating Assumptions'!$AA$8),0,L41*INDEX('Operating Assumptions'!$P$8:$AA$19,MATCH($B70,'Operating Assumptions'!$P$8:$P$19,0),MATCH(L$6,'Operating Assumptions'!$P$8:$AA$8,0)))</f>
        <v>0</v>
      </c>
      <c r="M70" s="427">
        <f>-IF(OR(M$9&lt;'Operating Assumptions'!$D$53,M$6&gt;'Operating Assumptions'!$AA$8),0,M41*INDEX('Operating Assumptions'!$P$8:$AA$19,MATCH($B70,'Operating Assumptions'!$P$8:$P$19,0),MATCH(M$6,'Operating Assumptions'!$P$8:$AA$8,0)))</f>
        <v>0</v>
      </c>
      <c r="N70" s="427">
        <f>-IF(OR(N$9&lt;'Operating Assumptions'!$D$53,N$6&gt;'Operating Assumptions'!$AA$8),0,N41*INDEX('Operating Assumptions'!$P$8:$AA$19,MATCH($B70,'Operating Assumptions'!$P$8:$P$19,0),MATCH(N$6,'Operating Assumptions'!$P$8:$AA$8,0)))</f>
        <v>0</v>
      </c>
      <c r="O70" s="427">
        <f>-IF(OR(O$9&lt;'Operating Assumptions'!$D$53,O$6&gt;'Operating Assumptions'!$AA$8),0,O41*INDEX('Operating Assumptions'!$P$8:$AA$19,MATCH($B70,'Operating Assumptions'!$P$8:$P$19,0),MATCH(O$6,'Operating Assumptions'!$P$8:$AA$8,0)))</f>
        <v>0</v>
      </c>
      <c r="P70" s="427">
        <f>-IF(OR(P$9&lt;'Operating Assumptions'!$D$53,P$6&gt;'Operating Assumptions'!$AA$8),0,P41*INDEX('Operating Assumptions'!$P$8:$AA$19,MATCH($B70,'Operating Assumptions'!$P$8:$P$19,0),MATCH(P$6,'Operating Assumptions'!$P$8:$AA$8,0)))</f>
        <v>0</v>
      </c>
      <c r="Q70" s="427">
        <f>-IF(OR(Q$9&lt;'Operating Assumptions'!$D$53,Q$6&gt;'Operating Assumptions'!$AA$8),0,Q41*INDEX('Operating Assumptions'!$P$8:$AA$19,MATCH($B70,'Operating Assumptions'!$P$8:$P$19,0),MATCH(Q$6,'Operating Assumptions'!$P$8:$AA$8,0)))</f>
        <v>0</v>
      </c>
      <c r="R70" s="427">
        <f>-IF(OR(R$9&lt;'Operating Assumptions'!$D$53,R$6&gt;'Operating Assumptions'!$AA$8),0,R41*INDEX('Operating Assumptions'!$P$8:$AA$19,MATCH($B70,'Operating Assumptions'!$P$8:$P$19,0),MATCH(R$6,'Operating Assumptions'!$P$8:$AA$8,0)))</f>
        <v>0</v>
      </c>
      <c r="S70" s="427">
        <f>-IF(OR(S$9&lt;'Operating Assumptions'!$D$53,S$6&gt;'Operating Assumptions'!$AA$8),0,S41*INDEX('Operating Assumptions'!$P$8:$AA$19,MATCH($B70,'Operating Assumptions'!$P$8:$P$19,0),MATCH(S$6,'Operating Assumptions'!$P$8:$AA$8,0)))</f>
        <v>0</v>
      </c>
      <c r="T70" s="427">
        <f>-IF(OR(T$9&lt;'Operating Assumptions'!$D$53,T$6&gt;'Operating Assumptions'!$AA$8),0,T41*INDEX('Operating Assumptions'!$P$8:$AA$19,MATCH($B70,'Operating Assumptions'!$P$8:$P$19,0),MATCH(T$6,'Operating Assumptions'!$P$8:$AA$8,0)))</f>
        <v>0</v>
      </c>
      <c r="U70" s="427">
        <f>-IF(OR(U$9&lt;'Operating Assumptions'!$D$53,U$6&gt;'Operating Assumptions'!$AA$8),0,U41*INDEX('Operating Assumptions'!$P$8:$AA$19,MATCH($B70,'Operating Assumptions'!$P$8:$P$19,0),MATCH(U$6,'Operating Assumptions'!$P$8:$AA$8,0)))</f>
        <v>0</v>
      </c>
      <c r="V70" s="427">
        <f>-IF(OR(V$9&lt;'Operating Assumptions'!$D$53,V$6&gt;'Operating Assumptions'!$AA$8),0,V41*INDEX('Operating Assumptions'!$P$8:$AA$19,MATCH($B70,'Operating Assumptions'!$P$8:$P$19,0),MATCH(V$6,'Operating Assumptions'!$P$8:$AA$8,0)))</f>
        <v>0</v>
      </c>
      <c r="W70" s="427">
        <f>-IF(OR(W$9&lt;'Operating Assumptions'!$D$53,W$6&gt;'Operating Assumptions'!$AA$8),0,W41*INDEX('Operating Assumptions'!$P$8:$AA$19,MATCH($B70,'Operating Assumptions'!$P$8:$P$19,0),MATCH(W$6,'Operating Assumptions'!$P$8:$AA$8,0)))</f>
        <v>0</v>
      </c>
      <c r="X70" s="427">
        <f>-IF(OR(X$9&lt;'Operating Assumptions'!$D$53,X$6&gt;'Operating Assumptions'!$AA$8),0,X41*INDEX('Operating Assumptions'!$P$8:$AA$19,MATCH($B70,'Operating Assumptions'!$P$8:$P$19,0),MATCH(X$6,'Operating Assumptions'!$P$8:$AA$8,0)))</f>
        <v>0</v>
      </c>
      <c r="Y70" s="427">
        <f>-IF(OR(Y$9&lt;'Operating Assumptions'!$D$53,Y$6&gt;'Operating Assumptions'!$AA$8),0,Y41*INDEX('Operating Assumptions'!$P$8:$AA$19,MATCH($B70,'Operating Assumptions'!$P$8:$P$19,0),MATCH(Y$6,'Operating Assumptions'!$P$8:$AA$8,0)))</f>
        <v>0</v>
      </c>
      <c r="Z70" s="427">
        <f>-IF(OR(Z$9&lt;'Operating Assumptions'!$D$53,Z$6&gt;'Operating Assumptions'!$AA$8),0,Z41*INDEX('Operating Assumptions'!$P$8:$AA$19,MATCH($B70,'Operating Assumptions'!$P$8:$P$19,0),MATCH(Z$6,'Operating Assumptions'!$P$8:$AA$8,0)))</f>
        <v>0</v>
      </c>
      <c r="AA70" s="427">
        <f>-IF(OR(AA$9&lt;'Operating Assumptions'!$D$53,AA$6&gt;'Operating Assumptions'!$AA$8),0,AA41*INDEX('Operating Assumptions'!$P$8:$AA$19,MATCH($B70,'Operating Assumptions'!$P$8:$P$19,0),MATCH(AA$6,'Operating Assumptions'!$P$8:$AA$8,0)))</f>
        <v>0</v>
      </c>
      <c r="AB70" s="427">
        <f>-IF(OR(AB$9&lt;'Operating Assumptions'!$D$53,AB$6&gt;'Operating Assumptions'!$AA$8),0,AB41*INDEX('Operating Assumptions'!$P$8:$AA$19,MATCH($B70,'Operating Assumptions'!$P$8:$P$19,0),MATCH(AB$6,'Operating Assumptions'!$P$8:$AA$8,0)))</f>
        <v>0</v>
      </c>
      <c r="AC70" s="427">
        <f>-IF(OR(AC$9&lt;'Operating Assumptions'!$D$53,AC$6&gt;'Operating Assumptions'!$AA$8),0,AC41*INDEX('Operating Assumptions'!$P$8:$AA$19,MATCH($B70,'Operating Assumptions'!$P$8:$P$19,0),MATCH(AC$6,'Operating Assumptions'!$P$8:$AA$8,0)))</f>
        <v>0</v>
      </c>
      <c r="AD70" s="427">
        <f>-IF(OR(AD$9&lt;'Operating Assumptions'!$D$53,AD$6&gt;'Operating Assumptions'!$AA$8),0,AD41*INDEX('Operating Assumptions'!$P$8:$AA$19,MATCH($B70,'Operating Assumptions'!$P$8:$P$19,0),MATCH(AD$6,'Operating Assumptions'!$P$8:$AA$8,0)))</f>
        <v>0</v>
      </c>
      <c r="AE70" s="427">
        <f>-IF(OR(AE$9&lt;'Operating Assumptions'!$D$53,AE$6&gt;'Operating Assumptions'!$AA$8),0,AE41*INDEX('Operating Assumptions'!$P$8:$AA$19,MATCH($B70,'Operating Assumptions'!$P$8:$P$19,0),MATCH(AE$6,'Operating Assumptions'!$P$8:$AA$8,0)))</f>
        <v>0</v>
      </c>
      <c r="AF70" s="427">
        <f>-IF(OR(AF$9&lt;'Operating Assumptions'!$D$53,AF$6&gt;'Operating Assumptions'!$AA$8),0,AF41*INDEX('Operating Assumptions'!$P$8:$AA$19,MATCH($B70,'Operating Assumptions'!$P$8:$P$19,0),MATCH(AF$6,'Operating Assumptions'!$P$8:$AA$8,0)))</f>
        <v>0</v>
      </c>
      <c r="AG70" s="427">
        <f>-IF(OR(AG$9&lt;'Operating Assumptions'!$D$53,AG$6&gt;'Operating Assumptions'!$AA$8),0,AG41*INDEX('Operating Assumptions'!$P$8:$AA$19,MATCH($B70,'Operating Assumptions'!$P$8:$P$19,0),MATCH(AG$6,'Operating Assumptions'!$P$8:$AA$8,0)))</f>
        <v>0</v>
      </c>
      <c r="AH70" s="427">
        <f>-IF(OR(AH$9&lt;'Operating Assumptions'!$D$53,AH$6&gt;'Operating Assumptions'!$AA$8),0,AH41*INDEX('Operating Assumptions'!$P$8:$AA$19,MATCH($B70,'Operating Assumptions'!$P$8:$P$19,0),MATCH(AH$6,'Operating Assumptions'!$P$8:$AA$8,0)))</f>
        <v>0</v>
      </c>
      <c r="AI70" s="427">
        <f>-IF(OR(AI$9&lt;'Operating Assumptions'!$D$53,AI$6&gt;'Operating Assumptions'!$AA$8),0,AI41*INDEX('Operating Assumptions'!$P$8:$AA$19,MATCH($B70,'Operating Assumptions'!$P$8:$P$19,0),MATCH(AI$6,'Operating Assumptions'!$P$8:$AA$8,0)))</f>
        <v>0</v>
      </c>
      <c r="AJ70" s="427">
        <f>-IF(OR(AJ$9&lt;'Operating Assumptions'!$D$53,AJ$6&gt;'Operating Assumptions'!$AA$8),0,AJ41*INDEX('Operating Assumptions'!$P$8:$AA$19,MATCH($B70,'Operating Assumptions'!$P$8:$P$19,0),MATCH(AJ$6,'Operating Assumptions'!$P$8:$AA$8,0)))</f>
        <v>0</v>
      </c>
      <c r="AK70" s="427">
        <f>-IF(OR(AK$9&lt;'Operating Assumptions'!$D$53,AK$6&gt;'Operating Assumptions'!$AA$8),0,AK41*INDEX('Operating Assumptions'!$P$8:$AA$19,MATCH($B70,'Operating Assumptions'!$P$8:$P$19,0),MATCH(AK$6,'Operating Assumptions'!$P$8:$AA$8,0)))</f>
        <v>0</v>
      </c>
      <c r="AL70" s="427">
        <f>-IF(OR(AL$9&lt;'Operating Assumptions'!$D$53,AL$6&gt;'Operating Assumptions'!$AA$8),0,AL41*INDEX('Operating Assumptions'!$P$8:$AA$19,MATCH($B70,'Operating Assumptions'!$P$8:$P$19,0),MATCH(AL$6,'Operating Assumptions'!$P$8:$AA$8,0)))</f>
        <v>0</v>
      </c>
      <c r="AM70" s="427">
        <f>-IF(OR(AM$9&lt;'Operating Assumptions'!$D$53,AM$6&gt;'Operating Assumptions'!$AA$8),0,AM41*INDEX('Operating Assumptions'!$P$8:$AA$19,MATCH($B70,'Operating Assumptions'!$P$8:$P$19,0),MATCH(AM$6,'Operating Assumptions'!$P$8:$AA$8,0)))</f>
        <v>0</v>
      </c>
      <c r="AN70" s="427">
        <f>-IF(OR(AN$9&lt;'Operating Assumptions'!$D$53,AN$6&gt;'Operating Assumptions'!$AA$8),0,AN41*INDEX('Operating Assumptions'!$P$8:$AA$19,MATCH($B70,'Operating Assumptions'!$P$8:$P$19,0),MATCH(AN$6,'Operating Assumptions'!$P$8:$AA$8,0)))</f>
        <v>0</v>
      </c>
      <c r="AO70" s="427">
        <f>-IF(OR(AO$9&lt;'Operating Assumptions'!$D$53,AO$6&gt;'Operating Assumptions'!$AA$8),0,AO41*INDEX('Operating Assumptions'!$P$8:$AA$19,MATCH($B70,'Operating Assumptions'!$P$8:$P$19,0),MATCH(AO$6,'Operating Assumptions'!$P$8:$AA$8,0)))</f>
        <v>0</v>
      </c>
      <c r="AP70" s="427">
        <f>-IF(OR(AP$9&lt;'Operating Assumptions'!$D$53,AP$6&gt;'Operating Assumptions'!$AA$8),0,AP41*INDEX('Operating Assumptions'!$P$8:$AA$19,MATCH($B70,'Operating Assumptions'!$P$8:$P$19,0),MATCH(AP$6,'Operating Assumptions'!$P$8:$AA$8,0)))</f>
        <v>0</v>
      </c>
      <c r="AQ70" s="427">
        <f>-IF(OR(AQ$9&lt;'Operating Assumptions'!$D$53,AQ$6&gt;'Operating Assumptions'!$AA$8),0,AQ41*INDEX('Operating Assumptions'!$P$8:$AA$19,MATCH($B70,'Operating Assumptions'!$P$8:$P$19,0),MATCH(AQ$6,'Operating Assumptions'!$P$8:$AA$8,0)))</f>
        <v>0</v>
      </c>
      <c r="AR70" s="427">
        <f>-IF(OR(AR$9&lt;'Operating Assumptions'!$D$53,AR$6&gt;'Operating Assumptions'!$AA$8),0,AR41*INDEX('Operating Assumptions'!$P$8:$AA$19,MATCH($B70,'Operating Assumptions'!$P$8:$P$19,0),MATCH(AR$6,'Operating Assumptions'!$P$8:$AA$8,0)))</f>
        <v>0</v>
      </c>
      <c r="AS70" s="427">
        <f>-IF(OR(AS$9&lt;'Operating Assumptions'!$D$53,AS$6&gt;'Operating Assumptions'!$AA$8),0,AS41*INDEX('Operating Assumptions'!$P$8:$AA$19,MATCH($B70,'Operating Assumptions'!$P$8:$P$19,0),MATCH(AS$6,'Operating Assumptions'!$P$8:$AA$8,0)))</f>
        <v>0</v>
      </c>
      <c r="AT70" s="427">
        <f>-IF(OR(AT$9&lt;'Operating Assumptions'!$D$53,AT$6&gt;'Operating Assumptions'!$AA$8),0,AT41*INDEX('Operating Assumptions'!$P$8:$AA$19,MATCH($B70,'Operating Assumptions'!$P$8:$P$19,0),MATCH(AT$6,'Operating Assumptions'!$P$8:$AA$8,0)))</f>
        <v>0</v>
      </c>
      <c r="AU70" s="427">
        <f>-IF(OR(AU$9&lt;'Operating Assumptions'!$D$53,AU$6&gt;'Operating Assumptions'!$AA$8),0,AU41*INDEX('Operating Assumptions'!$P$8:$AA$19,MATCH($B70,'Operating Assumptions'!$P$8:$P$19,0),MATCH(AU$6,'Operating Assumptions'!$P$8:$AA$8,0)))</f>
        <v>0</v>
      </c>
      <c r="AV70" s="427">
        <f>-IF(OR(AV$9&lt;'Operating Assumptions'!$D$53,AV$6&gt;'Operating Assumptions'!$AA$8),0,AV41*INDEX('Operating Assumptions'!$P$8:$AA$19,MATCH($B70,'Operating Assumptions'!$P$8:$P$19,0),MATCH(AV$6,'Operating Assumptions'!$P$8:$AA$8,0)))</f>
        <v>0</v>
      </c>
      <c r="AW70" s="427">
        <f>-IF(OR(AW$9&lt;'Operating Assumptions'!$D$53,AW$6&gt;'Operating Assumptions'!$AA$8),0,AW41*INDEX('Operating Assumptions'!$P$8:$AA$19,MATCH($B70,'Operating Assumptions'!$P$8:$P$19,0),MATCH(AW$6,'Operating Assumptions'!$P$8:$AA$8,0)))</f>
        <v>0</v>
      </c>
      <c r="AX70" s="427">
        <f>-IF(OR(AX$9&lt;'Operating Assumptions'!$D$53,AX$6&gt;'Operating Assumptions'!$AA$8),0,AX41*INDEX('Operating Assumptions'!$P$8:$AA$19,MATCH($B70,'Operating Assumptions'!$P$8:$P$19,0),MATCH(AX$6,'Operating Assumptions'!$P$8:$AA$8,0)))</f>
        <v>0</v>
      </c>
      <c r="AY70" s="427">
        <f>-IF(OR(AY$9&lt;'Operating Assumptions'!$D$53,AY$6&gt;'Operating Assumptions'!$AA$8),0,AY41*INDEX('Operating Assumptions'!$P$8:$AA$19,MATCH($B70,'Operating Assumptions'!$P$8:$P$19,0),MATCH(AY$6,'Operating Assumptions'!$P$8:$AA$8,0)))</f>
        <v>0</v>
      </c>
      <c r="AZ70" s="427">
        <f>-IF(OR(AZ$9&lt;'Operating Assumptions'!$D$53,AZ$6&gt;'Operating Assumptions'!$AA$8),0,AZ41*INDEX('Operating Assumptions'!$P$8:$AA$19,MATCH($B70,'Operating Assumptions'!$P$8:$P$19,0),MATCH(AZ$6,'Operating Assumptions'!$P$8:$AA$8,0)))</f>
        <v>0</v>
      </c>
      <c r="BA70" s="427">
        <f>-IF(OR(BA$9&lt;'Operating Assumptions'!$D$53,BA$6&gt;'Operating Assumptions'!$AA$8),0,BA41*INDEX('Operating Assumptions'!$P$8:$AA$19,MATCH($B70,'Operating Assumptions'!$P$8:$P$19,0),MATCH(BA$6,'Operating Assumptions'!$P$8:$AA$8,0)))</f>
        <v>0</v>
      </c>
      <c r="BB70" s="427">
        <f>-IF(OR(BB$9&lt;'Operating Assumptions'!$D$53,BB$6&gt;'Operating Assumptions'!$AA$8),0,BB41*INDEX('Operating Assumptions'!$P$8:$AA$19,MATCH($B70,'Operating Assumptions'!$P$8:$P$19,0),MATCH(BB$6,'Operating Assumptions'!$P$8:$AA$8,0)))</f>
        <v>0</v>
      </c>
      <c r="BC70" s="427">
        <f>-IF(OR(BC$9&lt;'Operating Assumptions'!$D$53,BC$6&gt;'Operating Assumptions'!$AA$8),0,BC41*INDEX('Operating Assumptions'!$P$8:$AA$19,MATCH($B70,'Operating Assumptions'!$P$8:$P$19,0),MATCH(BC$6,'Operating Assumptions'!$P$8:$AA$8,0)))</f>
        <v>0</v>
      </c>
      <c r="BD70" s="427">
        <f>-IF(OR(BD$9&lt;'Operating Assumptions'!$D$53,BD$6&gt;'Operating Assumptions'!$AA$8),0,BD41*INDEX('Operating Assumptions'!$P$8:$AA$19,MATCH($B70,'Operating Assumptions'!$P$8:$P$19,0),MATCH(BD$6,'Operating Assumptions'!$P$8:$AA$8,0)))</f>
        <v>0</v>
      </c>
      <c r="BE70" s="427">
        <f>-IF(OR(BE$9&lt;'Operating Assumptions'!$D$53,BE$6&gt;'Operating Assumptions'!$AA$8),0,BE41*INDEX('Operating Assumptions'!$P$8:$AA$19,MATCH($B70,'Operating Assumptions'!$P$8:$P$19,0),MATCH(BE$6,'Operating Assumptions'!$P$8:$AA$8,0)))</f>
        <v>0</v>
      </c>
      <c r="BF70" s="427">
        <f>-IF(OR(BF$9&lt;'Operating Assumptions'!$D$53,BF$6&gt;'Operating Assumptions'!$AA$8),0,BF41*INDEX('Operating Assumptions'!$P$8:$AA$19,MATCH($B70,'Operating Assumptions'!$P$8:$P$19,0),MATCH(BF$6,'Operating Assumptions'!$P$8:$AA$8,0)))</f>
        <v>0</v>
      </c>
      <c r="BG70" s="427">
        <f>-IF(OR(BG$9&lt;'Operating Assumptions'!$D$53,BG$6&gt;'Operating Assumptions'!$AA$8),0,BG41*INDEX('Operating Assumptions'!$P$8:$AA$19,MATCH($B70,'Operating Assumptions'!$P$8:$P$19,0),MATCH(BG$6,'Operating Assumptions'!$P$8:$AA$8,0)))</f>
        <v>0</v>
      </c>
      <c r="BH70" s="427">
        <f>-IF(OR(BH$9&lt;'Operating Assumptions'!$D$53,BH$6&gt;'Operating Assumptions'!$AA$8),0,BH41*INDEX('Operating Assumptions'!$P$8:$AA$19,MATCH($B70,'Operating Assumptions'!$P$8:$P$19,0),MATCH(BH$6,'Operating Assumptions'!$P$8:$AA$8,0)))</f>
        <v>0</v>
      </c>
      <c r="BI70" s="427">
        <f>-IF(OR(BI$9&lt;'Operating Assumptions'!$D$53,BI$6&gt;'Operating Assumptions'!$AA$8),0,BI41*INDEX('Operating Assumptions'!$P$8:$AA$19,MATCH($B70,'Operating Assumptions'!$P$8:$P$19,0),MATCH(BI$6,'Operating Assumptions'!$P$8:$AA$8,0)))</f>
        <v>0</v>
      </c>
      <c r="BJ70" s="427">
        <f>-IF(OR(BJ$9&lt;'Operating Assumptions'!$D$53,BJ$6&gt;'Operating Assumptions'!$AA$8),0,BJ41*INDEX('Operating Assumptions'!$P$8:$AA$19,MATCH($B70,'Operating Assumptions'!$P$8:$P$19,0),MATCH(BJ$6,'Operating Assumptions'!$P$8:$AA$8,0)))</f>
        <v>0</v>
      </c>
      <c r="BK70" s="427">
        <f>-IF(OR(BK$9&lt;'Operating Assumptions'!$D$53,BK$6&gt;'Operating Assumptions'!$AA$8),0,BK41*INDEX('Operating Assumptions'!$P$8:$AA$19,MATCH($B70,'Operating Assumptions'!$P$8:$P$19,0),MATCH(BK$6,'Operating Assumptions'!$P$8:$AA$8,0)))</f>
        <v>0</v>
      </c>
      <c r="BL70" s="427">
        <f>-IF(OR(BL$9&lt;'Operating Assumptions'!$D$53,BL$6&gt;'Operating Assumptions'!$AA$8),0,BL41*INDEX('Operating Assumptions'!$P$8:$AA$19,MATCH($B70,'Operating Assumptions'!$P$8:$P$19,0),MATCH(BL$6,'Operating Assumptions'!$P$8:$AA$8,0)))</f>
        <v>0</v>
      </c>
      <c r="BM70" s="427">
        <f>-IF(OR(BM$9&lt;'Operating Assumptions'!$D$53,BM$6&gt;'Operating Assumptions'!$AA$8),0,BM41*INDEX('Operating Assumptions'!$P$8:$AA$19,MATCH($B70,'Operating Assumptions'!$P$8:$P$19,0),MATCH(BM$6,'Operating Assumptions'!$P$8:$AA$8,0)))</f>
        <v>0</v>
      </c>
      <c r="BN70" s="427">
        <f>-IF(OR(BN$9&lt;'Operating Assumptions'!$D$53,BN$6&gt;'Operating Assumptions'!$AA$8),0,BN41*INDEX('Operating Assumptions'!$P$8:$AA$19,MATCH($B70,'Operating Assumptions'!$P$8:$P$19,0),MATCH(BN$6,'Operating Assumptions'!$P$8:$AA$8,0)))</f>
        <v>0</v>
      </c>
      <c r="BO70" s="427">
        <f>-IF(OR(BO$9&lt;'Operating Assumptions'!$D$53,BO$6&gt;'Operating Assumptions'!$AA$8),0,BO41*INDEX('Operating Assumptions'!$P$8:$AA$19,MATCH($B70,'Operating Assumptions'!$P$8:$P$19,0),MATCH(BO$6,'Operating Assumptions'!$P$8:$AA$8,0)))</f>
        <v>0</v>
      </c>
      <c r="BP70" s="427">
        <f>-IF(OR(BP$9&lt;'Operating Assumptions'!$D$53,BP$6&gt;'Operating Assumptions'!$AA$8),0,BP41*INDEX('Operating Assumptions'!$P$8:$AA$19,MATCH($B70,'Operating Assumptions'!$P$8:$P$19,0),MATCH(BP$6,'Operating Assumptions'!$P$8:$AA$8,0)))</f>
        <v>0</v>
      </c>
      <c r="BQ70" s="427">
        <f>-IF(OR(BQ$9&lt;'Operating Assumptions'!$D$53,BQ$6&gt;'Operating Assumptions'!$AA$8),0,BQ41*INDEX('Operating Assumptions'!$P$8:$AA$19,MATCH($B70,'Operating Assumptions'!$P$8:$P$19,0),MATCH(BQ$6,'Operating Assumptions'!$P$8:$AA$8,0)))</f>
        <v>0</v>
      </c>
      <c r="BR70" s="427">
        <f>-IF(OR(BR$9&lt;'Operating Assumptions'!$D$53,BR$6&gt;'Operating Assumptions'!$AA$8),0,BR41*INDEX('Operating Assumptions'!$P$8:$AA$19,MATCH($B70,'Operating Assumptions'!$P$8:$P$19,0),MATCH(BR$6,'Operating Assumptions'!$P$8:$AA$8,0)))</f>
        <v>0</v>
      </c>
      <c r="BS70" s="427">
        <f>-IF(OR(BS$9&lt;'Operating Assumptions'!$D$53,BS$6&gt;'Operating Assumptions'!$AA$8),0,BS41*INDEX('Operating Assumptions'!$P$8:$AA$19,MATCH($B70,'Operating Assumptions'!$P$8:$P$19,0),MATCH(BS$6,'Operating Assumptions'!$P$8:$AA$8,0)))</f>
        <v>0</v>
      </c>
      <c r="BT70" s="427">
        <f>-IF(OR(BT$9&lt;'Operating Assumptions'!$D$53,BT$6&gt;'Operating Assumptions'!$AA$8),0,BT41*INDEX('Operating Assumptions'!$P$8:$AA$19,MATCH($B70,'Operating Assumptions'!$P$8:$P$19,0),MATCH(BT$6,'Operating Assumptions'!$P$8:$AA$8,0)))</f>
        <v>0</v>
      </c>
      <c r="BU70" s="427">
        <f>-IF(OR(BU$9&lt;'Operating Assumptions'!$D$53,BU$6&gt;'Operating Assumptions'!$AA$8),0,BU41*INDEX('Operating Assumptions'!$P$8:$AA$19,MATCH($B70,'Operating Assumptions'!$P$8:$P$19,0),MATCH(BU$6,'Operating Assumptions'!$P$8:$AA$8,0)))</f>
        <v>0</v>
      </c>
      <c r="BV70" s="427">
        <f>-IF(OR(BV$9&lt;'Operating Assumptions'!$D$53,BV$6&gt;'Operating Assumptions'!$AA$8),0,BV41*INDEX('Operating Assumptions'!$P$8:$AA$19,MATCH($B70,'Operating Assumptions'!$P$8:$P$19,0),MATCH(BV$6,'Operating Assumptions'!$P$8:$AA$8,0)))</f>
        <v>0</v>
      </c>
      <c r="BW70" s="427">
        <f>-IF(OR(BW$9&lt;'Operating Assumptions'!$D$53,BW$6&gt;'Operating Assumptions'!$AA$8),0,BW41*INDEX('Operating Assumptions'!$P$8:$AA$19,MATCH($B70,'Operating Assumptions'!$P$8:$P$19,0),MATCH(BW$6,'Operating Assumptions'!$P$8:$AA$8,0)))</f>
        <v>0</v>
      </c>
      <c r="BX70" s="427">
        <f>-IF(OR(BX$9&lt;'Operating Assumptions'!$D$53,BX$6&gt;'Operating Assumptions'!$AA$8),0,BX41*INDEX('Operating Assumptions'!$P$8:$AA$19,MATCH($B70,'Operating Assumptions'!$P$8:$P$19,0),MATCH(BX$6,'Operating Assumptions'!$P$8:$AA$8,0)))</f>
        <v>0</v>
      </c>
      <c r="BY70" s="427">
        <f>-IF(OR(BY$9&lt;'Operating Assumptions'!$D$53,BY$6&gt;'Operating Assumptions'!$AA$8),0,BY41*INDEX('Operating Assumptions'!$P$8:$AA$19,MATCH($B70,'Operating Assumptions'!$P$8:$P$19,0),MATCH(BY$6,'Operating Assumptions'!$P$8:$AA$8,0)))</f>
        <v>0</v>
      </c>
      <c r="BZ70" s="427">
        <f>-IF(OR(BZ$9&lt;'Operating Assumptions'!$D$53,BZ$6&gt;'Operating Assumptions'!$AA$8),0,BZ41*INDEX('Operating Assumptions'!$P$8:$AA$19,MATCH($B70,'Operating Assumptions'!$P$8:$P$19,0),MATCH(BZ$6,'Operating Assumptions'!$P$8:$AA$8,0)))</f>
        <v>0</v>
      </c>
      <c r="CA70" s="427">
        <f>-IF(OR(CA$9&lt;'Operating Assumptions'!$D$53,CA$6&gt;'Operating Assumptions'!$AA$8),0,CA41*INDEX('Operating Assumptions'!$P$8:$AA$19,MATCH($B70,'Operating Assumptions'!$P$8:$P$19,0),MATCH(CA$6,'Operating Assumptions'!$P$8:$AA$8,0)))</f>
        <v>0</v>
      </c>
      <c r="CB70" s="427">
        <f>-IF(OR(CB$9&lt;'Operating Assumptions'!$D$53,CB$6&gt;'Operating Assumptions'!$AA$8),0,CB41*INDEX('Operating Assumptions'!$P$8:$AA$19,MATCH($B70,'Operating Assumptions'!$P$8:$P$19,0),MATCH(CB$6,'Operating Assumptions'!$P$8:$AA$8,0)))</f>
        <v>0</v>
      </c>
      <c r="CC70" s="427">
        <f>-IF(OR(CC$9&lt;'Operating Assumptions'!$D$53,CC$6&gt;'Operating Assumptions'!$AA$8),0,CC41*INDEX('Operating Assumptions'!$P$8:$AA$19,MATCH($B70,'Operating Assumptions'!$P$8:$P$19,0),MATCH(CC$6,'Operating Assumptions'!$P$8:$AA$8,0)))</f>
        <v>0</v>
      </c>
      <c r="CD70" s="427">
        <f>-IF(OR(CD$9&lt;'Operating Assumptions'!$D$53,CD$6&gt;'Operating Assumptions'!$AA$8),0,CD41*INDEX('Operating Assumptions'!$P$8:$AA$19,MATCH($B70,'Operating Assumptions'!$P$8:$P$19,0),MATCH(CD$6,'Operating Assumptions'!$P$8:$AA$8,0)))</f>
        <v>0</v>
      </c>
      <c r="CE70" s="427">
        <f>-IF(OR(CE$9&lt;'Operating Assumptions'!$D$53,CE$6&gt;'Operating Assumptions'!$AA$8),0,CE41*INDEX('Operating Assumptions'!$P$8:$AA$19,MATCH($B70,'Operating Assumptions'!$P$8:$P$19,0),MATCH(CE$6,'Operating Assumptions'!$P$8:$AA$8,0)))</f>
        <v>0</v>
      </c>
      <c r="CF70" s="427">
        <f>-IF(OR(CF$9&lt;'Operating Assumptions'!$D$53,CF$6&gt;'Operating Assumptions'!$AA$8),0,CF41*INDEX('Operating Assumptions'!$P$8:$AA$19,MATCH($B70,'Operating Assumptions'!$P$8:$P$19,0),MATCH(CF$6,'Operating Assumptions'!$P$8:$AA$8,0)))</f>
        <v>0</v>
      </c>
      <c r="CG70" s="427">
        <f>-IF(OR(CG$9&lt;'Operating Assumptions'!$D$53,CG$6&gt;'Operating Assumptions'!$AA$8),0,CG41*INDEX('Operating Assumptions'!$P$8:$AA$19,MATCH($B70,'Operating Assumptions'!$P$8:$P$19,0),MATCH(CG$6,'Operating Assumptions'!$P$8:$AA$8,0)))</f>
        <v>0</v>
      </c>
      <c r="CH70" s="427">
        <f>-IF(OR(CH$9&lt;'Operating Assumptions'!$D$53,CH$6&gt;'Operating Assumptions'!$AA$8),0,CH41*INDEX('Operating Assumptions'!$P$8:$AA$19,MATCH($B70,'Operating Assumptions'!$P$8:$P$19,0),MATCH(CH$6,'Operating Assumptions'!$P$8:$AA$8,0)))</f>
        <v>0</v>
      </c>
      <c r="CI70" s="427">
        <f>-IF(OR(CI$9&lt;'Operating Assumptions'!$D$53,CI$6&gt;'Operating Assumptions'!$AA$8),0,CI41*INDEX('Operating Assumptions'!$P$8:$AA$19,MATCH($B70,'Operating Assumptions'!$P$8:$P$19,0),MATCH(CI$6,'Operating Assumptions'!$P$8:$AA$8,0)))</f>
        <v>0</v>
      </c>
      <c r="CJ70" s="427">
        <f>-IF(OR(CJ$9&lt;'Operating Assumptions'!$D$53,CJ$6&gt;'Operating Assumptions'!$AA$8),0,CJ41*INDEX('Operating Assumptions'!$P$8:$AA$19,MATCH($B70,'Operating Assumptions'!$P$8:$P$19,0),MATCH(CJ$6,'Operating Assumptions'!$P$8:$AA$8,0)))</f>
        <v>0</v>
      </c>
      <c r="CK70" s="427">
        <f>-IF(OR(CK$9&lt;'Operating Assumptions'!$D$53,CK$6&gt;'Operating Assumptions'!$AA$8),0,CK41*INDEX('Operating Assumptions'!$P$8:$AA$19,MATCH($B70,'Operating Assumptions'!$P$8:$P$19,0),MATCH(CK$6,'Operating Assumptions'!$P$8:$AA$8,0)))</f>
        <v>0</v>
      </c>
      <c r="CL70" s="427">
        <f>-IF(OR(CL$9&lt;'Operating Assumptions'!$D$53,CL$6&gt;'Operating Assumptions'!$AA$8),0,CL41*INDEX('Operating Assumptions'!$P$8:$AA$19,MATCH($B70,'Operating Assumptions'!$P$8:$P$19,0),MATCH(CL$6,'Operating Assumptions'!$P$8:$AA$8,0)))</f>
        <v>0</v>
      </c>
      <c r="CM70" s="427">
        <f>-IF(OR(CM$9&lt;'Operating Assumptions'!$D$53,CM$6&gt;'Operating Assumptions'!$AA$8),0,CM41*INDEX('Operating Assumptions'!$P$8:$AA$19,MATCH($B70,'Operating Assumptions'!$P$8:$P$19,0),MATCH(CM$6,'Operating Assumptions'!$P$8:$AA$8,0)))</f>
        <v>0</v>
      </c>
      <c r="CN70" s="427">
        <f>-IF(OR(CN$9&lt;'Operating Assumptions'!$D$53,CN$6&gt;'Operating Assumptions'!$AA$8),0,CN41*INDEX('Operating Assumptions'!$P$8:$AA$19,MATCH($B70,'Operating Assumptions'!$P$8:$P$19,0),MATCH(CN$6,'Operating Assumptions'!$P$8:$AA$8,0)))</f>
        <v>0</v>
      </c>
      <c r="CO70" s="427">
        <f>-IF(OR(CO$9&lt;'Operating Assumptions'!$D$53,CO$6&gt;'Operating Assumptions'!$AA$8),0,CO41*INDEX('Operating Assumptions'!$P$8:$AA$19,MATCH($B70,'Operating Assumptions'!$P$8:$P$19,0),MATCH(CO$6,'Operating Assumptions'!$P$8:$AA$8,0)))</f>
        <v>0</v>
      </c>
      <c r="CP70" s="427">
        <f>-IF(OR(CP$9&lt;'Operating Assumptions'!$D$53,CP$6&gt;'Operating Assumptions'!$AA$8),0,CP41*INDEX('Operating Assumptions'!$P$8:$AA$19,MATCH($B70,'Operating Assumptions'!$P$8:$P$19,0),MATCH(CP$6,'Operating Assumptions'!$P$8:$AA$8,0)))</f>
        <v>0</v>
      </c>
      <c r="CQ70" s="427">
        <f>-IF(OR(CQ$9&lt;'Operating Assumptions'!$D$53,CQ$6&gt;'Operating Assumptions'!$AA$8),0,CQ41*INDEX('Operating Assumptions'!$P$8:$AA$19,MATCH($B70,'Operating Assumptions'!$P$8:$P$19,0),MATCH(CQ$6,'Operating Assumptions'!$P$8:$AA$8,0)))</f>
        <v>0</v>
      </c>
      <c r="CR70" s="427">
        <f>-IF(OR(CR$9&lt;'Operating Assumptions'!$D$53,CR$6&gt;'Operating Assumptions'!$AA$8),0,CR41*INDEX('Operating Assumptions'!$P$8:$AA$19,MATCH($B70,'Operating Assumptions'!$P$8:$P$19,0),MATCH(CR$6,'Operating Assumptions'!$P$8:$AA$8,0)))</f>
        <v>0</v>
      </c>
      <c r="CS70" s="427">
        <f>-IF(OR(CS$9&lt;'Operating Assumptions'!$D$53,CS$6&gt;'Operating Assumptions'!$AA$8),0,CS41*INDEX('Operating Assumptions'!$P$8:$AA$19,MATCH($B70,'Operating Assumptions'!$P$8:$P$19,0),MATCH(CS$6,'Operating Assumptions'!$P$8:$AA$8,0)))</f>
        <v>0</v>
      </c>
      <c r="CT70" s="427">
        <f>-IF(OR(CT$9&lt;'Operating Assumptions'!$D$53,CT$6&gt;'Operating Assumptions'!$AA$8),0,CT41*INDEX('Operating Assumptions'!$P$8:$AA$19,MATCH($B70,'Operating Assumptions'!$P$8:$P$19,0),MATCH(CT$6,'Operating Assumptions'!$P$8:$AA$8,0)))</f>
        <v>0</v>
      </c>
      <c r="CU70" s="427">
        <f>-IF(OR(CU$9&lt;'Operating Assumptions'!$D$53,CU$6&gt;'Operating Assumptions'!$AA$8),0,CU41*INDEX('Operating Assumptions'!$P$8:$AA$19,MATCH($B70,'Operating Assumptions'!$P$8:$P$19,0),MATCH(CU$6,'Operating Assumptions'!$P$8:$AA$8,0)))</f>
        <v>0</v>
      </c>
      <c r="CV70" s="427">
        <f>-IF(OR(CV$9&lt;'Operating Assumptions'!$D$53,CV$6&gt;'Operating Assumptions'!$AA$8),0,CV41*INDEX('Operating Assumptions'!$P$8:$AA$19,MATCH($B70,'Operating Assumptions'!$P$8:$P$19,0),MATCH(CV$6,'Operating Assumptions'!$P$8:$AA$8,0)))</f>
        <v>0</v>
      </c>
      <c r="CW70" s="427">
        <f>-IF(OR(CW$9&lt;'Operating Assumptions'!$D$53,CW$6&gt;'Operating Assumptions'!$AA$8),0,CW41*INDEX('Operating Assumptions'!$P$8:$AA$19,MATCH($B70,'Operating Assumptions'!$P$8:$P$19,0),MATCH(CW$6,'Operating Assumptions'!$P$8:$AA$8,0)))</f>
        <v>0</v>
      </c>
      <c r="CX70" s="427">
        <f>-IF(OR(CX$9&lt;'Operating Assumptions'!$D$53,CX$6&gt;'Operating Assumptions'!$AA$8),0,CX41*INDEX('Operating Assumptions'!$P$8:$AA$19,MATCH($B70,'Operating Assumptions'!$P$8:$P$19,0),MATCH(CX$6,'Operating Assumptions'!$P$8:$AA$8,0)))</f>
        <v>0</v>
      </c>
      <c r="CY70" s="427">
        <f>-IF(OR(CY$9&lt;'Operating Assumptions'!$D$53,CY$6&gt;'Operating Assumptions'!$AA$8),0,CY41*INDEX('Operating Assumptions'!$P$8:$AA$19,MATCH($B70,'Operating Assumptions'!$P$8:$P$19,0),MATCH(CY$6,'Operating Assumptions'!$P$8:$AA$8,0)))</f>
        <v>0</v>
      </c>
      <c r="CZ70" s="427">
        <f>-IF(OR(CZ$9&lt;'Operating Assumptions'!$D$53,CZ$6&gt;'Operating Assumptions'!$AA$8),0,CZ41*INDEX('Operating Assumptions'!$P$8:$AA$19,MATCH($B70,'Operating Assumptions'!$P$8:$P$19,0),MATCH(CZ$6,'Operating Assumptions'!$P$8:$AA$8,0)))</f>
        <v>0</v>
      </c>
      <c r="DA70" s="427">
        <f>-IF(OR(DA$9&lt;'Operating Assumptions'!$D$53,DA$6&gt;'Operating Assumptions'!$AA$8),0,DA41*INDEX('Operating Assumptions'!$P$8:$AA$19,MATCH($B70,'Operating Assumptions'!$P$8:$P$19,0),MATCH(DA$6,'Operating Assumptions'!$P$8:$AA$8,0)))</f>
        <v>0</v>
      </c>
      <c r="DB70" s="427">
        <f>-IF(OR(DB$9&lt;'Operating Assumptions'!$D$53,DB$6&gt;'Operating Assumptions'!$AA$8),0,DB41*INDEX('Operating Assumptions'!$P$8:$AA$19,MATCH($B70,'Operating Assumptions'!$P$8:$P$19,0),MATCH(DB$6,'Operating Assumptions'!$P$8:$AA$8,0)))</f>
        <v>0</v>
      </c>
      <c r="DC70" s="427">
        <f>-IF(OR(DC$9&lt;'Operating Assumptions'!$D$53,DC$6&gt;'Operating Assumptions'!$AA$8),0,DC41*INDEX('Operating Assumptions'!$P$8:$AA$19,MATCH($B70,'Operating Assumptions'!$P$8:$P$19,0),MATCH(DC$6,'Operating Assumptions'!$P$8:$AA$8,0)))</f>
        <v>0</v>
      </c>
      <c r="DD70" s="427">
        <f>-IF(OR(DD$9&lt;'Operating Assumptions'!$D$53,DD$6&gt;'Operating Assumptions'!$AA$8),0,DD41*INDEX('Operating Assumptions'!$P$8:$AA$19,MATCH($B70,'Operating Assumptions'!$P$8:$P$19,0),MATCH(DD$6,'Operating Assumptions'!$P$8:$AA$8,0)))</f>
        <v>0</v>
      </c>
      <c r="DE70" s="427">
        <f>-IF(OR(DE$9&lt;'Operating Assumptions'!$D$53,DE$6&gt;'Operating Assumptions'!$AA$8),0,DE41*INDEX('Operating Assumptions'!$P$8:$AA$19,MATCH($B70,'Operating Assumptions'!$P$8:$P$19,0),MATCH(DE$6,'Operating Assumptions'!$P$8:$AA$8,0)))</f>
        <v>0</v>
      </c>
      <c r="DF70" s="427">
        <f>-IF(OR(DF$9&lt;'Operating Assumptions'!$D$53,DF$6&gt;'Operating Assumptions'!$AA$8),0,DF41*INDEX('Operating Assumptions'!$P$8:$AA$19,MATCH($B70,'Operating Assumptions'!$P$8:$P$19,0),MATCH(DF$6,'Operating Assumptions'!$P$8:$AA$8,0)))</f>
        <v>0</v>
      </c>
      <c r="DG70" s="427">
        <f>-IF(OR(DG$9&lt;'Operating Assumptions'!$D$53,DG$6&gt;'Operating Assumptions'!$AA$8),0,DG41*INDEX('Operating Assumptions'!$P$8:$AA$19,MATCH($B70,'Operating Assumptions'!$P$8:$P$19,0),MATCH(DG$6,'Operating Assumptions'!$P$8:$AA$8,0)))</f>
        <v>0</v>
      </c>
      <c r="DH70" s="427">
        <f>-IF(OR(DH$9&lt;'Operating Assumptions'!$D$53,DH$6&gt;'Operating Assumptions'!$AA$8),0,DH41*INDEX('Operating Assumptions'!$P$8:$AA$19,MATCH($B70,'Operating Assumptions'!$P$8:$P$19,0),MATCH(DH$6,'Operating Assumptions'!$P$8:$AA$8,0)))</f>
        <v>0</v>
      </c>
      <c r="DI70" s="427">
        <f>-IF(OR(DI$9&lt;'Operating Assumptions'!$D$53,DI$6&gt;'Operating Assumptions'!$AA$8),0,DI41*INDEX('Operating Assumptions'!$P$8:$AA$19,MATCH($B70,'Operating Assumptions'!$P$8:$P$19,0),MATCH(DI$6,'Operating Assumptions'!$P$8:$AA$8,0)))</f>
        <v>0</v>
      </c>
      <c r="DJ70" s="427">
        <f>-IF(OR(DJ$9&lt;'Operating Assumptions'!$D$53,DJ$6&gt;'Operating Assumptions'!$AA$8),0,DJ41*INDEX('Operating Assumptions'!$P$8:$AA$19,MATCH($B70,'Operating Assumptions'!$P$8:$P$19,0),MATCH(DJ$6,'Operating Assumptions'!$P$8:$AA$8,0)))</f>
        <v>0</v>
      </c>
      <c r="DK70" s="427">
        <f>-IF(OR(DK$9&lt;'Operating Assumptions'!$D$53,DK$6&gt;'Operating Assumptions'!$AA$8),0,DK41*INDEX('Operating Assumptions'!$P$8:$AA$19,MATCH($B70,'Operating Assumptions'!$P$8:$P$19,0),MATCH(DK$6,'Operating Assumptions'!$P$8:$AA$8,0)))</f>
        <v>0</v>
      </c>
      <c r="DL70" s="427">
        <f>-IF(OR(DL$9&lt;'Operating Assumptions'!$D$53,DL$6&gt;'Operating Assumptions'!$AA$8),0,DL41*INDEX('Operating Assumptions'!$P$8:$AA$19,MATCH($B70,'Operating Assumptions'!$P$8:$P$19,0),MATCH(DL$6,'Operating Assumptions'!$P$8:$AA$8,0)))</f>
        <v>0</v>
      </c>
      <c r="DM70" s="427">
        <f>-IF(OR(DM$9&lt;'Operating Assumptions'!$D$53,DM$6&gt;'Operating Assumptions'!$AA$8),0,DM41*INDEX('Operating Assumptions'!$P$8:$AA$19,MATCH($B70,'Operating Assumptions'!$P$8:$P$19,0),MATCH(DM$6,'Operating Assumptions'!$P$8:$AA$8,0)))</f>
        <v>0</v>
      </c>
      <c r="DN70" s="427">
        <f>-IF(OR(DN$9&lt;'Operating Assumptions'!$D$53,DN$6&gt;'Operating Assumptions'!$AA$8),0,DN41*INDEX('Operating Assumptions'!$P$8:$AA$19,MATCH($B70,'Operating Assumptions'!$P$8:$P$19,0),MATCH(DN$6,'Operating Assumptions'!$P$8:$AA$8,0)))</f>
        <v>0</v>
      </c>
      <c r="DO70" s="427">
        <f>-IF(OR(DO$9&lt;'Operating Assumptions'!$D$53,DO$6&gt;'Operating Assumptions'!$AA$8),0,DO41*INDEX('Operating Assumptions'!$P$8:$AA$19,MATCH($B70,'Operating Assumptions'!$P$8:$P$19,0),MATCH(DO$6,'Operating Assumptions'!$P$8:$AA$8,0)))</f>
        <v>0</v>
      </c>
      <c r="DP70" s="427">
        <f>-IF(OR(DP$9&lt;'Operating Assumptions'!$D$53,DP$6&gt;'Operating Assumptions'!$AA$8),0,DP41*INDEX('Operating Assumptions'!$P$8:$AA$19,MATCH($B70,'Operating Assumptions'!$P$8:$P$19,0),MATCH(DP$6,'Operating Assumptions'!$P$8:$AA$8,0)))</f>
        <v>0</v>
      </c>
      <c r="DQ70" s="427">
        <f>-IF(OR(DQ$9&lt;'Operating Assumptions'!$D$53,DQ$6&gt;'Operating Assumptions'!$AA$8),0,DQ41*INDEX('Operating Assumptions'!$P$8:$AA$19,MATCH($B70,'Operating Assumptions'!$P$8:$P$19,0),MATCH(DQ$6,'Operating Assumptions'!$P$8:$AA$8,0)))</f>
        <v>0</v>
      </c>
      <c r="DR70" s="427">
        <f>-IF(OR(DR$9&lt;'Operating Assumptions'!$D$53,DR$6&gt;'Operating Assumptions'!$AA$8),0,DR41*INDEX('Operating Assumptions'!$P$8:$AA$19,MATCH($B70,'Operating Assumptions'!$P$8:$P$19,0),MATCH(DR$6,'Operating Assumptions'!$P$8:$AA$8,0)))</f>
        <v>0</v>
      </c>
      <c r="DS70" s="427">
        <f>-IF(OR(DS$9&lt;'Operating Assumptions'!$D$53,DS$6&gt;'Operating Assumptions'!$AA$8),0,DS41*INDEX('Operating Assumptions'!$P$8:$AA$19,MATCH($B70,'Operating Assumptions'!$P$8:$P$19,0),MATCH(DS$6,'Operating Assumptions'!$P$8:$AA$8,0)))</f>
        <v>0</v>
      </c>
      <c r="DT70" s="427">
        <f>-IF(OR(DT$9&lt;'Operating Assumptions'!$D$53,DT$6&gt;'Operating Assumptions'!$AA$8),0,DT41*INDEX('Operating Assumptions'!$P$8:$AA$19,MATCH($B70,'Operating Assumptions'!$P$8:$P$19,0),MATCH(DT$6,'Operating Assumptions'!$P$8:$AA$8,0)))</f>
        <v>0</v>
      </c>
      <c r="DU70" s="427">
        <f>-IF(OR(DU$9&lt;'Operating Assumptions'!$D$53,DU$6&gt;'Operating Assumptions'!$AA$8),0,DU41*INDEX('Operating Assumptions'!$P$8:$AA$19,MATCH($B70,'Operating Assumptions'!$P$8:$P$19,0),MATCH(DU$6,'Operating Assumptions'!$P$8:$AA$8,0)))</f>
        <v>0</v>
      </c>
      <c r="DV70" s="427">
        <f>-IF(OR(DV$9&lt;'Operating Assumptions'!$D$53,DV$6&gt;'Operating Assumptions'!$AA$8),0,DV41*INDEX('Operating Assumptions'!$P$8:$AA$19,MATCH($B70,'Operating Assumptions'!$P$8:$P$19,0),MATCH(DV$6,'Operating Assumptions'!$P$8:$AA$8,0)))</f>
        <v>0</v>
      </c>
      <c r="DW70" s="427">
        <f>-IF(OR(DW$9&lt;'Operating Assumptions'!$D$53,DW$6&gt;'Operating Assumptions'!$AA$8),0,DW41*INDEX('Operating Assumptions'!$P$8:$AA$19,MATCH($B70,'Operating Assumptions'!$P$8:$P$19,0),MATCH(DW$6,'Operating Assumptions'!$P$8:$AA$8,0)))</f>
        <v>0</v>
      </c>
      <c r="DX70" s="427">
        <f>-IF(OR(DX$9&lt;'Operating Assumptions'!$D$53,DX$6&gt;'Operating Assumptions'!$AA$8),0,DX41*INDEX('Operating Assumptions'!$P$8:$AA$19,MATCH($B70,'Operating Assumptions'!$P$8:$P$19,0),MATCH(DX$6,'Operating Assumptions'!$P$8:$AA$8,0)))</f>
        <v>0</v>
      </c>
      <c r="DY70" s="427">
        <f>-IF(OR(DY$9&lt;'Operating Assumptions'!$D$53,DY$6&gt;'Operating Assumptions'!$AA$8),0,DY41*INDEX('Operating Assumptions'!$P$8:$AA$19,MATCH($B70,'Operating Assumptions'!$P$8:$P$19,0),MATCH(DY$6,'Operating Assumptions'!$P$8:$AA$8,0)))</f>
        <v>0</v>
      </c>
      <c r="DZ70" s="427">
        <f>-IF(OR(DZ$9&lt;'Operating Assumptions'!$D$53,DZ$6&gt;'Operating Assumptions'!$AA$8),0,DZ41*INDEX('Operating Assumptions'!$P$8:$AA$19,MATCH($B70,'Operating Assumptions'!$P$8:$P$19,0),MATCH(DZ$6,'Operating Assumptions'!$P$8:$AA$8,0)))</f>
        <v>0</v>
      </c>
      <c r="EA70" s="427">
        <f>-IF(OR(EA$9&lt;'Operating Assumptions'!$D$53,EA$6&gt;'Operating Assumptions'!$AA$8),0,EA41*INDEX('Operating Assumptions'!$P$8:$AA$19,MATCH($B70,'Operating Assumptions'!$P$8:$P$19,0),MATCH(EA$6,'Operating Assumptions'!$P$8:$AA$8,0)))</f>
        <v>0</v>
      </c>
      <c r="EB70" s="427">
        <f>-IF(OR(EB$9&lt;'Operating Assumptions'!$D$53,EB$6&gt;'Operating Assumptions'!$AA$8),0,EB41*INDEX('Operating Assumptions'!$P$8:$AA$19,MATCH($B70,'Operating Assumptions'!$P$8:$P$19,0),MATCH(EB$6,'Operating Assumptions'!$P$8:$AA$8,0)))</f>
        <v>0</v>
      </c>
      <c r="EC70" s="427">
        <f>-IF(OR(EC$9&lt;'Operating Assumptions'!$D$53,EC$6&gt;'Operating Assumptions'!$AA$8),0,EC41*INDEX('Operating Assumptions'!$P$8:$AA$19,MATCH($B70,'Operating Assumptions'!$P$8:$P$19,0),MATCH(EC$6,'Operating Assumptions'!$P$8:$AA$8,0)))</f>
        <v>0</v>
      </c>
      <c r="ED70" s="427">
        <f>-IF(OR(ED$9&lt;'Operating Assumptions'!$D$53,ED$6&gt;'Operating Assumptions'!$AA$8),0,ED41*INDEX('Operating Assumptions'!$P$8:$AA$19,MATCH($B70,'Operating Assumptions'!$P$8:$P$19,0),MATCH(ED$6,'Operating Assumptions'!$P$8:$AA$8,0)))</f>
        <v>0</v>
      </c>
      <c r="EE70" s="427">
        <f>-IF(OR(EE$9&lt;'Operating Assumptions'!$D$53,EE$6&gt;'Operating Assumptions'!$AA$8),0,EE41*INDEX('Operating Assumptions'!$P$8:$AA$19,MATCH($B70,'Operating Assumptions'!$P$8:$P$19,0),MATCH(EE$6,'Operating Assumptions'!$P$8:$AA$8,0)))</f>
        <v>0</v>
      </c>
      <c r="EF70" s="427">
        <f>-IF(OR(EF$9&lt;'Operating Assumptions'!$D$53,EF$6&gt;'Operating Assumptions'!$AA$8),0,EF41*INDEX('Operating Assumptions'!$P$8:$AA$19,MATCH($B70,'Operating Assumptions'!$P$8:$P$19,0),MATCH(EF$6,'Operating Assumptions'!$P$8:$AA$8,0)))</f>
        <v>0</v>
      </c>
      <c r="EG70" s="427">
        <f>-IF(OR(EG$9&lt;'Operating Assumptions'!$D$53,EG$6&gt;'Operating Assumptions'!$AA$8),0,EG41*INDEX('Operating Assumptions'!$P$8:$AA$19,MATCH($B70,'Operating Assumptions'!$P$8:$P$19,0),MATCH(EG$6,'Operating Assumptions'!$P$8:$AA$8,0)))</f>
        <v>0</v>
      </c>
      <c r="EH70" s="427">
        <f>-IF(OR(EH$9&lt;'Operating Assumptions'!$D$53,EH$6&gt;'Operating Assumptions'!$AA$8),0,EH41*INDEX('Operating Assumptions'!$P$8:$AA$19,MATCH($B70,'Operating Assumptions'!$P$8:$P$19,0),MATCH(EH$6,'Operating Assumptions'!$P$8:$AA$8,0)))</f>
        <v>0</v>
      </c>
      <c r="EI70" s="427">
        <f>-IF(OR(EI$9&lt;'Operating Assumptions'!$D$53,EI$6&gt;'Operating Assumptions'!$AA$8),0,EI41*INDEX('Operating Assumptions'!$P$8:$AA$19,MATCH($B70,'Operating Assumptions'!$P$8:$P$19,0),MATCH(EI$6,'Operating Assumptions'!$P$8:$AA$8,0)))</f>
        <v>0</v>
      </c>
      <c r="EJ70" s="427">
        <f>-IF(OR(EJ$9&lt;'Operating Assumptions'!$D$53,EJ$6&gt;'Operating Assumptions'!$AA$8),0,EJ41*INDEX('Operating Assumptions'!$P$8:$AA$19,MATCH($B70,'Operating Assumptions'!$P$8:$P$19,0),MATCH(EJ$6,'Operating Assumptions'!$P$8:$AA$8,0)))</f>
        <v>0</v>
      </c>
      <c r="EK70" s="427">
        <f>-IF(OR(EK$9&lt;'Operating Assumptions'!$D$53,EK$6&gt;'Operating Assumptions'!$AA$8),0,EK41*INDEX('Operating Assumptions'!$P$8:$AA$19,MATCH($B70,'Operating Assumptions'!$P$8:$P$19,0),MATCH(EK$6,'Operating Assumptions'!$P$8:$AA$8,0)))</f>
        <v>0</v>
      </c>
      <c r="EL70" s="427">
        <f>-IF(OR(EL$9&lt;'Operating Assumptions'!$D$53,EL$6&gt;'Operating Assumptions'!$AA$8),0,EL41*INDEX('Operating Assumptions'!$P$8:$AA$19,MATCH($B70,'Operating Assumptions'!$P$8:$P$19,0),MATCH(EL$6,'Operating Assumptions'!$P$8:$AA$8,0)))</f>
        <v>0</v>
      </c>
      <c r="EM70" s="427">
        <f>-IF(OR(EM$9&lt;'Operating Assumptions'!$D$53,EM$6&gt;'Operating Assumptions'!$AA$8),0,EM41*INDEX('Operating Assumptions'!$P$8:$AA$19,MATCH($B70,'Operating Assumptions'!$P$8:$P$19,0),MATCH(EM$6,'Operating Assumptions'!$P$8:$AA$8,0)))</f>
        <v>0</v>
      </c>
      <c r="EN70" s="427">
        <f>-IF(OR(EN$9&lt;'Operating Assumptions'!$D$53,EN$6&gt;'Operating Assumptions'!$AA$8),0,EN41*INDEX('Operating Assumptions'!$P$8:$AA$19,MATCH($B70,'Operating Assumptions'!$P$8:$P$19,0),MATCH(EN$6,'Operating Assumptions'!$P$8:$AA$8,0)))</f>
        <v>0</v>
      </c>
      <c r="EO70" s="427">
        <f>-IF(OR(EO$9&lt;'Operating Assumptions'!$D$53,EO$6&gt;'Operating Assumptions'!$AA$8),0,EO41*INDEX('Operating Assumptions'!$P$8:$AA$19,MATCH($B70,'Operating Assumptions'!$P$8:$P$19,0),MATCH(EO$6,'Operating Assumptions'!$P$8:$AA$8,0)))</f>
        <v>0</v>
      </c>
      <c r="EP70" s="427">
        <f>-IF(OR(EP$9&lt;'Operating Assumptions'!$D$53,EP$6&gt;'Operating Assumptions'!$AA$8),0,EP41*INDEX('Operating Assumptions'!$P$8:$AA$19,MATCH($B70,'Operating Assumptions'!$P$8:$P$19,0),MATCH(EP$6,'Operating Assumptions'!$P$8:$AA$8,0)))</f>
        <v>0</v>
      </c>
      <c r="EQ70" s="427">
        <f>-IF(OR(EQ$9&lt;'Operating Assumptions'!$D$53,EQ$6&gt;'Operating Assumptions'!$AA$8),0,EQ41*INDEX('Operating Assumptions'!$P$8:$AA$19,MATCH($B70,'Operating Assumptions'!$P$8:$P$19,0),MATCH(EQ$6,'Operating Assumptions'!$P$8:$AA$8,0)))</f>
        <v>0</v>
      </c>
      <c r="ER70" s="427">
        <f>-IF(OR(ER$9&lt;'Operating Assumptions'!$D$53,ER$6&gt;'Operating Assumptions'!$AA$8),0,ER41*INDEX('Operating Assumptions'!$P$8:$AA$19,MATCH($B70,'Operating Assumptions'!$P$8:$P$19,0),MATCH(ER$6,'Operating Assumptions'!$P$8:$AA$8,0)))</f>
        <v>0</v>
      </c>
      <c r="ES70" s="427">
        <f>-IF(OR(ES$9&lt;'Operating Assumptions'!$D$53,ES$6&gt;'Operating Assumptions'!$AA$8),0,ES41*INDEX('Operating Assumptions'!$P$8:$AA$19,MATCH($B70,'Operating Assumptions'!$P$8:$P$19,0),MATCH(ES$6,'Operating Assumptions'!$P$8:$AA$8,0)))</f>
        <v>0</v>
      </c>
      <c r="ET70" s="427">
        <f>-IF(OR(ET$9&lt;'Operating Assumptions'!$D$53,ET$6&gt;'Operating Assumptions'!$AA$8),0,ET41*INDEX('Operating Assumptions'!$P$8:$AA$19,MATCH($B70,'Operating Assumptions'!$P$8:$P$19,0),MATCH(ET$6,'Operating Assumptions'!$P$8:$AA$8,0)))</f>
        <v>0</v>
      </c>
      <c r="EU70" s="427">
        <f>-IF(OR(EU$9&lt;'Operating Assumptions'!$D$53,EU$6&gt;'Operating Assumptions'!$AA$8),0,EU41*INDEX('Operating Assumptions'!$P$8:$AA$19,MATCH($B70,'Operating Assumptions'!$P$8:$P$19,0),MATCH(EU$6,'Operating Assumptions'!$P$8:$AA$8,0)))</f>
        <v>0</v>
      </c>
      <c r="EV70" s="427">
        <f>-IF(OR(EV$9&lt;'Operating Assumptions'!$D$53,EV$6&gt;'Operating Assumptions'!$AA$8),0,EV41*INDEX('Operating Assumptions'!$P$8:$AA$19,MATCH($B70,'Operating Assumptions'!$P$8:$P$19,0),MATCH(EV$6,'Operating Assumptions'!$P$8:$AA$8,0)))</f>
        <v>0</v>
      </c>
      <c r="EW70" s="427">
        <f>-IF(OR(EW$9&lt;'Operating Assumptions'!$D$53,EW$6&gt;'Operating Assumptions'!$AA$8),0,EW41*INDEX('Operating Assumptions'!$P$8:$AA$19,MATCH($B70,'Operating Assumptions'!$P$8:$P$19,0),MATCH(EW$6,'Operating Assumptions'!$P$8:$AA$8,0)))</f>
        <v>0</v>
      </c>
      <c r="EX70" s="427">
        <f>-IF(OR(EX$9&lt;'Operating Assumptions'!$D$53,EX$6&gt;'Operating Assumptions'!$AA$8),0,EX41*INDEX('Operating Assumptions'!$P$8:$AA$19,MATCH($B70,'Operating Assumptions'!$P$8:$P$19,0),MATCH(EX$6,'Operating Assumptions'!$P$8:$AA$8,0)))</f>
        <v>0</v>
      </c>
      <c r="EY70" s="427">
        <f>-IF(OR(EY$9&lt;'Operating Assumptions'!$D$53,EY$6&gt;'Operating Assumptions'!$AA$8),0,EY41*INDEX('Operating Assumptions'!$P$8:$AA$19,MATCH($B70,'Operating Assumptions'!$P$8:$P$19,0),MATCH(EY$6,'Operating Assumptions'!$P$8:$AA$8,0)))</f>
        <v>0</v>
      </c>
      <c r="EZ70" s="427">
        <f>-IF(OR(EZ$9&lt;'Operating Assumptions'!$D$53,EZ$6&gt;'Operating Assumptions'!$AA$8),0,EZ41*INDEX('Operating Assumptions'!$P$8:$AA$19,MATCH($B70,'Operating Assumptions'!$P$8:$P$19,0),MATCH(EZ$6,'Operating Assumptions'!$P$8:$AA$8,0)))</f>
        <v>0</v>
      </c>
      <c r="FA70" s="427">
        <f>-IF(OR(FA$9&lt;'Operating Assumptions'!$D$53,FA$6&gt;'Operating Assumptions'!$AA$8),0,FA41*INDEX('Operating Assumptions'!$P$8:$AA$19,MATCH($B70,'Operating Assumptions'!$P$8:$P$19,0),MATCH(FA$6,'Operating Assumptions'!$P$8:$AA$8,0)))</f>
        <v>0</v>
      </c>
      <c r="FB70" s="427">
        <f>-IF(OR(FB$9&lt;'Operating Assumptions'!$D$53,FB$6&gt;'Operating Assumptions'!$AA$8),0,FB41*INDEX('Operating Assumptions'!$P$8:$AA$19,MATCH($B70,'Operating Assumptions'!$P$8:$P$19,0),MATCH(FB$6,'Operating Assumptions'!$P$8:$AA$8,0)))</f>
        <v>0</v>
      </c>
      <c r="FC70" s="427">
        <f>-IF(OR(FC$9&lt;'Operating Assumptions'!$D$53,FC$6&gt;'Operating Assumptions'!$AA$8),0,FC41*INDEX('Operating Assumptions'!$P$8:$AA$19,MATCH($B70,'Operating Assumptions'!$P$8:$P$19,0),MATCH(FC$6,'Operating Assumptions'!$P$8:$AA$8,0)))</f>
        <v>0</v>
      </c>
      <c r="FD70" s="427">
        <f>-IF(OR(FD$9&lt;'Operating Assumptions'!$D$53,FD$6&gt;'Operating Assumptions'!$AA$8),0,FD41*INDEX('Operating Assumptions'!$P$8:$AA$19,MATCH($B70,'Operating Assumptions'!$P$8:$P$19,0),MATCH(FD$6,'Operating Assumptions'!$P$8:$AA$8,0)))</f>
        <v>0</v>
      </c>
      <c r="FE70" s="427">
        <f>-IF(OR(FE$9&lt;'Operating Assumptions'!$D$53,FE$6&gt;'Operating Assumptions'!$AA$8),0,FE41*INDEX('Operating Assumptions'!$P$8:$AA$19,MATCH($B70,'Operating Assumptions'!$P$8:$P$19,0),MATCH(FE$6,'Operating Assumptions'!$P$8:$AA$8,0)))</f>
        <v>0</v>
      </c>
      <c r="FF70" s="427">
        <f>-IF(OR(FF$9&lt;'Operating Assumptions'!$D$53,FF$6&gt;'Operating Assumptions'!$AA$8),0,FF41*INDEX('Operating Assumptions'!$P$8:$AA$19,MATCH($B70,'Operating Assumptions'!$P$8:$P$19,0),MATCH(FF$6,'Operating Assumptions'!$P$8:$AA$8,0)))</f>
        <v>0</v>
      </c>
      <c r="FG70" s="427">
        <f>-IF(OR(FG$9&lt;'Operating Assumptions'!$D$53,FG$6&gt;'Operating Assumptions'!$AA$8),0,FG41*INDEX('Operating Assumptions'!$P$8:$AA$19,MATCH($B70,'Operating Assumptions'!$P$8:$P$19,0),MATCH(FG$6,'Operating Assumptions'!$P$8:$AA$8,0)))</f>
        <v>0</v>
      </c>
      <c r="FH70" s="427">
        <f>-IF(OR(FH$9&lt;'Operating Assumptions'!$D$53,FH$6&gt;'Operating Assumptions'!$AA$8),0,FH41*INDEX('Operating Assumptions'!$P$8:$AA$19,MATCH($B70,'Operating Assumptions'!$P$8:$P$19,0),MATCH(FH$6,'Operating Assumptions'!$P$8:$AA$8,0)))</f>
        <v>0</v>
      </c>
      <c r="FI70" s="427">
        <f>-IF(OR(FI$9&lt;'Operating Assumptions'!$D$53,FI$6&gt;'Operating Assumptions'!$AA$8),0,FI41*INDEX('Operating Assumptions'!$P$8:$AA$19,MATCH($B70,'Operating Assumptions'!$P$8:$P$19,0),MATCH(FI$6,'Operating Assumptions'!$P$8:$AA$8,0)))</f>
        <v>0</v>
      </c>
      <c r="FJ70" s="427">
        <f>-IF(OR(FJ$9&lt;'Operating Assumptions'!$D$53,FJ$6&gt;'Operating Assumptions'!$AA$8),0,FJ41*INDEX('Operating Assumptions'!$P$8:$AA$19,MATCH($B70,'Operating Assumptions'!$P$8:$P$19,0),MATCH(FJ$6,'Operating Assumptions'!$P$8:$AA$8,0)))</f>
        <v>0</v>
      </c>
      <c r="FK70" s="427">
        <f>-IF(OR(FK$9&lt;'Operating Assumptions'!$D$53,FK$6&gt;'Operating Assumptions'!$AA$8),0,FK41*INDEX('Operating Assumptions'!$P$8:$AA$19,MATCH($B70,'Operating Assumptions'!$P$8:$P$19,0),MATCH(FK$6,'Operating Assumptions'!$P$8:$AA$8,0)))</f>
        <v>0</v>
      </c>
      <c r="FL70" s="427">
        <f>-IF(OR(FL$9&lt;'Operating Assumptions'!$D$53,FL$6&gt;'Operating Assumptions'!$AA$8),0,FL41*INDEX('Operating Assumptions'!$P$8:$AA$19,MATCH($B70,'Operating Assumptions'!$P$8:$P$19,0),MATCH(FL$6,'Operating Assumptions'!$P$8:$AA$8,0)))</f>
        <v>0</v>
      </c>
      <c r="FM70" s="427">
        <f>-IF(OR(FM$9&lt;'Operating Assumptions'!$D$53,FM$6&gt;'Operating Assumptions'!$AA$8),0,FM41*INDEX('Operating Assumptions'!$P$8:$AA$19,MATCH($B70,'Operating Assumptions'!$P$8:$P$19,0),MATCH(FM$6,'Operating Assumptions'!$P$8:$AA$8,0)))</f>
        <v>0</v>
      </c>
      <c r="FN70" s="427">
        <f>-IF(OR(FN$9&lt;'Operating Assumptions'!$D$53,FN$6&gt;'Operating Assumptions'!$AA$8),0,FN41*INDEX('Operating Assumptions'!$P$8:$AA$19,MATCH($B70,'Operating Assumptions'!$P$8:$P$19,0),MATCH(FN$6,'Operating Assumptions'!$P$8:$AA$8,0)))</f>
        <v>0</v>
      </c>
      <c r="FO70" s="427">
        <f>-IF(OR(FO$9&lt;'Operating Assumptions'!$D$53,FO$6&gt;'Operating Assumptions'!$AA$8),0,FO41*INDEX('Operating Assumptions'!$P$8:$AA$19,MATCH($B70,'Operating Assumptions'!$P$8:$P$19,0),MATCH(FO$6,'Operating Assumptions'!$P$8:$AA$8,0)))</f>
        <v>0</v>
      </c>
      <c r="FP70" s="427">
        <f>-IF(OR(FP$9&lt;'Operating Assumptions'!$D$53,FP$6&gt;'Operating Assumptions'!$AA$8),0,FP41*INDEX('Operating Assumptions'!$P$8:$AA$19,MATCH($B70,'Operating Assumptions'!$P$8:$P$19,0),MATCH(FP$6,'Operating Assumptions'!$P$8:$AA$8,0)))</f>
        <v>0</v>
      </c>
      <c r="FQ70" s="427">
        <f>-IF(OR(FQ$9&lt;'Operating Assumptions'!$D$53,FQ$6&gt;'Operating Assumptions'!$AA$8),0,FQ41*INDEX('Operating Assumptions'!$P$8:$AA$19,MATCH($B70,'Operating Assumptions'!$P$8:$P$19,0),MATCH(FQ$6,'Operating Assumptions'!$P$8:$AA$8,0)))</f>
        <v>0</v>
      </c>
      <c r="FR70" s="427">
        <f>-IF(OR(FR$9&lt;'Operating Assumptions'!$D$53,FR$6&gt;'Operating Assumptions'!$AA$8),0,FR41*INDEX('Operating Assumptions'!$P$8:$AA$19,MATCH($B70,'Operating Assumptions'!$P$8:$P$19,0),MATCH(FR$6,'Operating Assumptions'!$P$8:$AA$8,0)))</f>
        <v>0</v>
      </c>
      <c r="FS70" s="427">
        <f>-IF(OR(FS$9&lt;'Operating Assumptions'!$D$53,FS$6&gt;'Operating Assumptions'!$AA$8),0,FS41*INDEX('Operating Assumptions'!$P$8:$AA$19,MATCH($B70,'Operating Assumptions'!$P$8:$P$19,0),MATCH(FS$6,'Operating Assumptions'!$P$8:$AA$8,0)))</f>
        <v>0</v>
      </c>
      <c r="FT70" s="427">
        <f>-IF(OR(FT$9&lt;'Operating Assumptions'!$D$53,FT$6&gt;'Operating Assumptions'!$AA$8),0,FT41*INDEX('Operating Assumptions'!$P$8:$AA$19,MATCH($B70,'Operating Assumptions'!$P$8:$P$19,0),MATCH(FT$6,'Operating Assumptions'!$P$8:$AA$8,0)))</f>
        <v>0</v>
      </c>
      <c r="FU70" s="43"/>
      <c r="FV70" s="34"/>
      <c r="FW70" s="34"/>
      <c r="FX70" s="34"/>
      <c r="FY70" s="34"/>
      <c r="FZ70" s="34"/>
    </row>
    <row r="71" spans="1:182" s="89" customFormat="1" ht="13.5" x14ac:dyDescent="0.25">
      <c r="A71" s="34"/>
      <c r="B71" s="128" t="str">
        <f>'Operating Assumptions'!F35</f>
        <v>Change in Delinquency</v>
      </c>
      <c r="C71" s="34"/>
      <c r="D71" s="34"/>
      <c r="E71" s="34"/>
      <c r="F71" s="434">
        <f t="shared" si="162"/>
        <v>0</v>
      </c>
      <c r="G71" s="34"/>
      <c r="H71" s="427">
        <f>-IF(OR(H$9&lt;'Operating Assumptions'!$D$53,H$6&gt;'Operating Assumptions'!$AA$8),0,H41*INDEX('Operating Assumptions'!$P$8:$AA$19,MATCH($B71,'Operating Assumptions'!$P$8:$P$19,0),MATCH(H$6,'Operating Assumptions'!$P$8:$AA$8,0)))</f>
        <v>0</v>
      </c>
      <c r="I71" s="427">
        <f>-IF(OR(I$9&lt;'Operating Assumptions'!$D$53,I$6&gt;'Operating Assumptions'!$AA$8),0,I41*INDEX('Operating Assumptions'!$P$8:$AA$19,MATCH($B71,'Operating Assumptions'!$P$8:$P$19,0),MATCH(I$6,'Operating Assumptions'!$P$8:$AA$8,0)))</f>
        <v>0</v>
      </c>
      <c r="J71" s="427">
        <f>-IF(OR(J$9&lt;'Operating Assumptions'!$D$53,J$6&gt;'Operating Assumptions'!$AA$8),0,J41*INDEX('Operating Assumptions'!$P$8:$AA$19,MATCH($B71,'Operating Assumptions'!$P$8:$P$19,0),MATCH(J$6,'Operating Assumptions'!$P$8:$AA$8,0)))</f>
        <v>0</v>
      </c>
      <c r="K71" s="427">
        <f>-IF(OR(K$9&lt;'Operating Assumptions'!$D$53,K$6&gt;'Operating Assumptions'!$AA$8),0,K41*INDEX('Operating Assumptions'!$P$8:$AA$19,MATCH($B71,'Operating Assumptions'!$P$8:$P$19,0),MATCH(K$6,'Operating Assumptions'!$P$8:$AA$8,0)))</f>
        <v>0</v>
      </c>
      <c r="L71" s="427">
        <f>-IF(OR(L$9&lt;'Operating Assumptions'!$D$53,L$6&gt;'Operating Assumptions'!$AA$8),0,L41*INDEX('Operating Assumptions'!$P$8:$AA$19,MATCH($B71,'Operating Assumptions'!$P$8:$P$19,0),MATCH(L$6,'Operating Assumptions'!$P$8:$AA$8,0)))</f>
        <v>0</v>
      </c>
      <c r="M71" s="427">
        <f>-IF(OR(M$9&lt;'Operating Assumptions'!$D$53,M$6&gt;'Operating Assumptions'!$AA$8),0,M41*INDEX('Operating Assumptions'!$P$8:$AA$19,MATCH($B71,'Operating Assumptions'!$P$8:$P$19,0),MATCH(M$6,'Operating Assumptions'!$P$8:$AA$8,0)))</f>
        <v>0</v>
      </c>
      <c r="N71" s="427">
        <f>-IF(OR(N$9&lt;'Operating Assumptions'!$D$53,N$6&gt;'Operating Assumptions'!$AA$8),0,N41*INDEX('Operating Assumptions'!$P$8:$AA$19,MATCH($B71,'Operating Assumptions'!$P$8:$P$19,0),MATCH(N$6,'Operating Assumptions'!$P$8:$AA$8,0)))</f>
        <v>0</v>
      </c>
      <c r="O71" s="427">
        <f>-IF(OR(O$9&lt;'Operating Assumptions'!$D$53,O$6&gt;'Operating Assumptions'!$AA$8),0,O41*INDEX('Operating Assumptions'!$P$8:$AA$19,MATCH($B71,'Operating Assumptions'!$P$8:$P$19,0),MATCH(O$6,'Operating Assumptions'!$P$8:$AA$8,0)))</f>
        <v>0</v>
      </c>
      <c r="P71" s="427">
        <f>-IF(OR(P$9&lt;'Operating Assumptions'!$D$53,P$6&gt;'Operating Assumptions'!$AA$8),0,P41*INDEX('Operating Assumptions'!$P$8:$AA$19,MATCH($B71,'Operating Assumptions'!$P$8:$P$19,0),MATCH(P$6,'Operating Assumptions'!$P$8:$AA$8,0)))</f>
        <v>0</v>
      </c>
      <c r="Q71" s="427">
        <f>-IF(OR(Q$9&lt;'Operating Assumptions'!$D$53,Q$6&gt;'Operating Assumptions'!$AA$8),0,Q41*INDEX('Operating Assumptions'!$P$8:$AA$19,MATCH($B71,'Operating Assumptions'!$P$8:$P$19,0),MATCH(Q$6,'Operating Assumptions'!$P$8:$AA$8,0)))</f>
        <v>0</v>
      </c>
      <c r="R71" s="427">
        <f>-IF(OR(R$9&lt;'Operating Assumptions'!$D$53,R$6&gt;'Operating Assumptions'!$AA$8),0,R41*INDEX('Operating Assumptions'!$P$8:$AA$19,MATCH($B71,'Operating Assumptions'!$P$8:$P$19,0),MATCH(R$6,'Operating Assumptions'!$P$8:$AA$8,0)))</f>
        <v>0</v>
      </c>
      <c r="S71" s="427">
        <f>-IF(OR(S$9&lt;'Operating Assumptions'!$D$53,S$6&gt;'Operating Assumptions'!$AA$8),0,S41*INDEX('Operating Assumptions'!$P$8:$AA$19,MATCH($B71,'Operating Assumptions'!$P$8:$P$19,0),MATCH(S$6,'Operating Assumptions'!$P$8:$AA$8,0)))</f>
        <v>0</v>
      </c>
      <c r="T71" s="427">
        <f>-IF(OR(T$9&lt;'Operating Assumptions'!$D$53,T$6&gt;'Operating Assumptions'!$AA$8),0,T41*INDEX('Operating Assumptions'!$P$8:$AA$19,MATCH($B71,'Operating Assumptions'!$P$8:$P$19,0),MATCH(T$6,'Operating Assumptions'!$P$8:$AA$8,0)))</f>
        <v>0</v>
      </c>
      <c r="U71" s="427">
        <f>-IF(OR(U$9&lt;'Operating Assumptions'!$D$53,U$6&gt;'Operating Assumptions'!$AA$8),0,U41*INDEX('Operating Assumptions'!$P$8:$AA$19,MATCH($B71,'Operating Assumptions'!$P$8:$P$19,0),MATCH(U$6,'Operating Assumptions'!$P$8:$AA$8,0)))</f>
        <v>0</v>
      </c>
      <c r="V71" s="427">
        <f>-IF(OR(V$9&lt;'Operating Assumptions'!$D$53,V$6&gt;'Operating Assumptions'!$AA$8),0,V41*INDEX('Operating Assumptions'!$P$8:$AA$19,MATCH($B71,'Operating Assumptions'!$P$8:$P$19,0),MATCH(V$6,'Operating Assumptions'!$P$8:$AA$8,0)))</f>
        <v>0</v>
      </c>
      <c r="W71" s="427">
        <f>-IF(OR(W$9&lt;'Operating Assumptions'!$D$53,W$6&gt;'Operating Assumptions'!$AA$8),0,W41*INDEX('Operating Assumptions'!$P$8:$AA$19,MATCH($B71,'Operating Assumptions'!$P$8:$P$19,0),MATCH(W$6,'Operating Assumptions'!$P$8:$AA$8,0)))</f>
        <v>0</v>
      </c>
      <c r="X71" s="427">
        <f>-IF(OR(X$9&lt;'Operating Assumptions'!$D$53,X$6&gt;'Operating Assumptions'!$AA$8),0,X41*INDEX('Operating Assumptions'!$P$8:$AA$19,MATCH($B71,'Operating Assumptions'!$P$8:$P$19,0),MATCH(X$6,'Operating Assumptions'!$P$8:$AA$8,0)))</f>
        <v>0</v>
      </c>
      <c r="Y71" s="427">
        <f>-IF(OR(Y$9&lt;'Operating Assumptions'!$D$53,Y$6&gt;'Operating Assumptions'!$AA$8),0,Y41*INDEX('Operating Assumptions'!$P$8:$AA$19,MATCH($B71,'Operating Assumptions'!$P$8:$P$19,0),MATCH(Y$6,'Operating Assumptions'!$P$8:$AA$8,0)))</f>
        <v>0</v>
      </c>
      <c r="Z71" s="427">
        <f>-IF(OR(Z$9&lt;'Operating Assumptions'!$D$53,Z$6&gt;'Operating Assumptions'!$AA$8),0,Z41*INDEX('Operating Assumptions'!$P$8:$AA$19,MATCH($B71,'Operating Assumptions'!$P$8:$P$19,0),MATCH(Z$6,'Operating Assumptions'!$P$8:$AA$8,0)))</f>
        <v>0</v>
      </c>
      <c r="AA71" s="427">
        <f>-IF(OR(AA$9&lt;'Operating Assumptions'!$D$53,AA$6&gt;'Operating Assumptions'!$AA$8),0,AA41*INDEX('Operating Assumptions'!$P$8:$AA$19,MATCH($B71,'Operating Assumptions'!$P$8:$P$19,0),MATCH(AA$6,'Operating Assumptions'!$P$8:$AA$8,0)))</f>
        <v>0</v>
      </c>
      <c r="AB71" s="427">
        <f>-IF(OR(AB$9&lt;'Operating Assumptions'!$D$53,AB$6&gt;'Operating Assumptions'!$AA$8),0,AB41*INDEX('Operating Assumptions'!$P$8:$AA$19,MATCH($B71,'Operating Assumptions'!$P$8:$P$19,0),MATCH(AB$6,'Operating Assumptions'!$P$8:$AA$8,0)))</f>
        <v>0</v>
      </c>
      <c r="AC71" s="427">
        <f>-IF(OR(AC$9&lt;'Operating Assumptions'!$D$53,AC$6&gt;'Operating Assumptions'!$AA$8),0,AC41*INDEX('Operating Assumptions'!$P$8:$AA$19,MATCH($B71,'Operating Assumptions'!$P$8:$P$19,0),MATCH(AC$6,'Operating Assumptions'!$P$8:$AA$8,0)))</f>
        <v>0</v>
      </c>
      <c r="AD71" s="427">
        <f>-IF(OR(AD$9&lt;'Operating Assumptions'!$D$53,AD$6&gt;'Operating Assumptions'!$AA$8),0,AD41*INDEX('Operating Assumptions'!$P$8:$AA$19,MATCH($B71,'Operating Assumptions'!$P$8:$P$19,0),MATCH(AD$6,'Operating Assumptions'!$P$8:$AA$8,0)))</f>
        <v>0</v>
      </c>
      <c r="AE71" s="427">
        <f>-IF(OR(AE$9&lt;'Operating Assumptions'!$D$53,AE$6&gt;'Operating Assumptions'!$AA$8),0,AE41*INDEX('Operating Assumptions'!$P$8:$AA$19,MATCH($B71,'Operating Assumptions'!$P$8:$P$19,0),MATCH(AE$6,'Operating Assumptions'!$P$8:$AA$8,0)))</f>
        <v>0</v>
      </c>
      <c r="AF71" s="427">
        <f>-IF(OR(AF$9&lt;'Operating Assumptions'!$D$53,AF$6&gt;'Operating Assumptions'!$AA$8),0,AF41*INDEX('Operating Assumptions'!$P$8:$AA$19,MATCH($B71,'Operating Assumptions'!$P$8:$P$19,0),MATCH(AF$6,'Operating Assumptions'!$P$8:$AA$8,0)))</f>
        <v>0</v>
      </c>
      <c r="AG71" s="427">
        <f>-IF(OR(AG$9&lt;'Operating Assumptions'!$D$53,AG$6&gt;'Operating Assumptions'!$AA$8),0,AG41*INDEX('Operating Assumptions'!$P$8:$AA$19,MATCH($B71,'Operating Assumptions'!$P$8:$P$19,0),MATCH(AG$6,'Operating Assumptions'!$P$8:$AA$8,0)))</f>
        <v>0</v>
      </c>
      <c r="AH71" s="427">
        <f>-IF(OR(AH$9&lt;'Operating Assumptions'!$D$53,AH$6&gt;'Operating Assumptions'!$AA$8),0,AH41*INDEX('Operating Assumptions'!$P$8:$AA$19,MATCH($B71,'Operating Assumptions'!$P$8:$P$19,0),MATCH(AH$6,'Operating Assumptions'!$P$8:$AA$8,0)))</f>
        <v>0</v>
      </c>
      <c r="AI71" s="427">
        <f>-IF(OR(AI$9&lt;'Operating Assumptions'!$D$53,AI$6&gt;'Operating Assumptions'!$AA$8),0,AI41*INDEX('Operating Assumptions'!$P$8:$AA$19,MATCH($B71,'Operating Assumptions'!$P$8:$P$19,0),MATCH(AI$6,'Operating Assumptions'!$P$8:$AA$8,0)))</f>
        <v>0</v>
      </c>
      <c r="AJ71" s="427">
        <f>-IF(OR(AJ$9&lt;'Operating Assumptions'!$D$53,AJ$6&gt;'Operating Assumptions'!$AA$8),0,AJ41*INDEX('Operating Assumptions'!$P$8:$AA$19,MATCH($B71,'Operating Assumptions'!$P$8:$P$19,0),MATCH(AJ$6,'Operating Assumptions'!$P$8:$AA$8,0)))</f>
        <v>0</v>
      </c>
      <c r="AK71" s="427">
        <f>-IF(OR(AK$9&lt;'Operating Assumptions'!$D$53,AK$6&gt;'Operating Assumptions'!$AA$8),0,AK41*INDEX('Operating Assumptions'!$P$8:$AA$19,MATCH($B71,'Operating Assumptions'!$P$8:$P$19,0),MATCH(AK$6,'Operating Assumptions'!$P$8:$AA$8,0)))</f>
        <v>0</v>
      </c>
      <c r="AL71" s="427">
        <f>-IF(OR(AL$9&lt;'Operating Assumptions'!$D$53,AL$6&gt;'Operating Assumptions'!$AA$8),0,AL41*INDEX('Operating Assumptions'!$P$8:$AA$19,MATCH($B71,'Operating Assumptions'!$P$8:$P$19,0),MATCH(AL$6,'Operating Assumptions'!$P$8:$AA$8,0)))</f>
        <v>0</v>
      </c>
      <c r="AM71" s="427">
        <f>-IF(OR(AM$9&lt;'Operating Assumptions'!$D$53,AM$6&gt;'Operating Assumptions'!$AA$8),0,AM41*INDEX('Operating Assumptions'!$P$8:$AA$19,MATCH($B71,'Operating Assumptions'!$P$8:$P$19,0),MATCH(AM$6,'Operating Assumptions'!$P$8:$AA$8,0)))</f>
        <v>0</v>
      </c>
      <c r="AN71" s="427">
        <f>-IF(OR(AN$9&lt;'Operating Assumptions'!$D$53,AN$6&gt;'Operating Assumptions'!$AA$8),0,AN41*INDEX('Operating Assumptions'!$P$8:$AA$19,MATCH($B71,'Operating Assumptions'!$P$8:$P$19,0),MATCH(AN$6,'Operating Assumptions'!$P$8:$AA$8,0)))</f>
        <v>0</v>
      </c>
      <c r="AO71" s="427">
        <f>-IF(OR(AO$9&lt;'Operating Assumptions'!$D$53,AO$6&gt;'Operating Assumptions'!$AA$8),0,AO41*INDEX('Operating Assumptions'!$P$8:$AA$19,MATCH($B71,'Operating Assumptions'!$P$8:$P$19,0),MATCH(AO$6,'Operating Assumptions'!$P$8:$AA$8,0)))</f>
        <v>0</v>
      </c>
      <c r="AP71" s="427">
        <f>-IF(OR(AP$9&lt;'Operating Assumptions'!$D$53,AP$6&gt;'Operating Assumptions'!$AA$8),0,AP41*INDEX('Operating Assumptions'!$P$8:$AA$19,MATCH($B71,'Operating Assumptions'!$P$8:$P$19,0),MATCH(AP$6,'Operating Assumptions'!$P$8:$AA$8,0)))</f>
        <v>0</v>
      </c>
      <c r="AQ71" s="427">
        <f>-IF(OR(AQ$9&lt;'Operating Assumptions'!$D$53,AQ$6&gt;'Operating Assumptions'!$AA$8),0,AQ41*INDEX('Operating Assumptions'!$P$8:$AA$19,MATCH($B71,'Operating Assumptions'!$P$8:$P$19,0),MATCH(AQ$6,'Operating Assumptions'!$P$8:$AA$8,0)))</f>
        <v>0</v>
      </c>
      <c r="AR71" s="427">
        <f>-IF(OR(AR$9&lt;'Operating Assumptions'!$D$53,AR$6&gt;'Operating Assumptions'!$AA$8),0,AR41*INDEX('Operating Assumptions'!$P$8:$AA$19,MATCH($B71,'Operating Assumptions'!$P$8:$P$19,0),MATCH(AR$6,'Operating Assumptions'!$P$8:$AA$8,0)))</f>
        <v>0</v>
      </c>
      <c r="AS71" s="427">
        <f>-IF(OR(AS$9&lt;'Operating Assumptions'!$D$53,AS$6&gt;'Operating Assumptions'!$AA$8),0,AS41*INDEX('Operating Assumptions'!$P$8:$AA$19,MATCH($B71,'Operating Assumptions'!$P$8:$P$19,0),MATCH(AS$6,'Operating Assumptions'!$P$8:$AA$8,0)))</f>
        <v>0</v>
      </c>
      <c r="AT71" s="427">
        <f>-IF(OR(AT$9&lt;'Operating Assumptions'!$D$53,AT$6&gt;'Operating Assumptions'!$AA$8),0,AT41*INDEX('Operating Assumptions'!$P$8:$AA$19,MATCH($B71,'Operating Assumptions'!$P$8:$P$19,0),MATCH(AT$6,'Operating Assumptions'!$P$8:$AA$8,0)))</f>
        <v>0</v>
      </c>
      <c r="AU71" s="427">
        <f>-IF(OR(AU$9&lt;'Operating Assumptions'!$D$53,AU$6&gt;'Operating Assumptions'!$AA$8),0,AU41*INDEX('Operating Assumptions'!$P$8:$AA$19,MATCH($B71,'Operating Assumptions'!$P$8:$P$19,0),MATCH(AU$6,'Operating Assumptions'!$P$8:$AA$8,0)))</f>
        <v>0</v>
      </c>
      <c r="AV71" s="427">
        <f>-IF(OR(AV$9&lt;'Operating Assumptions'!$D$53,AV$6&gt;'Operating Assumptions'!$AA$8),0,AV41*INDEX('Operating Assumptions'!$P$8:$AA$19,MATCH($B71,'Operating Assumptions'!$P$8:$P$19,0),MATCH(AV$6,'Operating Assumptions'!$P$8:$AA$8,0)))</f>
        <v>0</v>
      </c>
      <c r="AW71" s="427">
        <f>-IF(OR(AW$9&lt;'Operating Assumptions'!$D$53,AW$6&gt;'Operating Assumptions'!$AA$8),0,AW41*INDEX('Operating Assumptions'!$P$8:$AA$19,MATCH($B71,'Operating Assumptions'!$P$8:$P$19,0),MATCH(AW$6,'Operating Assumptions'!$P$8:$AA$8,0)))</f>
        <v>0</v>
      </c>
      <c r="AX71" s="427">
        <f>-IF(OR(AX$9&lt;'Operating Assumptions'!$D$53,AX$6&gt;'Operating Assumptions'!$AA$8),0,AX41*INDEX('Operating Assumptions'!$P$8:$AA$19,MATCH($B71,'Operating Assumptions'!$P$8:$P$19,0),MATCH(AX$6,'Operating Assumptions'!$P$8:$AA$8,0)))</f>
        <v>0</v>
      </c>
      <c r="AY71" s="427">
        <f>-IF(OR(AY$9&lt;'Operating Assumptions'!$D$53,AY$6&gt;'Operating Assumptions'!$AA$8),0,AY41*INDEX('Operating Assumptions'!$P$8:$AA$19,MATCH($B71,'Operating Assumptions'!$P$8:$P$19,0),MATCH(AY$6,'Operating Assumptions'!$P$8:$AA$8,0)))</f>
        <v>0</v>
      </c>
      <c r="AZ71" s="427">
        <f>-IF(OR(AZ$9&lt;'Operating Assumptions'!$D$53,AZ$6&gt;'Operating Assumptions'!$AA$8),0,AZ41*INDEX('Operating Assumptions'!$P$8:$AA$19,MATCH($B71,'Operating Assumptions'!$P$8:$P$19,0),MATCH(AZ$6,'Operating Assumptions'!$P$8:$AA$8,0)))</f>
        <v>0</v>
      </c>
      <c r="BA71" s="427">
        <f>-IF(OR(BA$9&lt;'Operating Assumptions'!$D$53,BA$6&gt;'Operating Assumptions'!$AA$8),0,BA41*INDEX('Operating Assumptions'!$P$8:$AA$19,MATCH($B71,'Operating Assumptions'!$P$8:$P$19,0),MATCH(BA$6,'Operating Assumptions'!$P$8:$AA$8,0)))</f>
        <v>0</v>
      </c>
      <c r="BB71" s="427">
        <f>-IF(OR(BB$9&lt;'Operating Assumptions'!$D$53,BB$6&gt;'Operating Assumptions'!$AA$8),0,BB41*INDEX('Operating Assumptions'!$P$8:$AA$19,MATCH($B71,'Operating Assumptions'!$P$8:$P$19,0),MATCH(BB$6,'Operating Assumptions'!$P$8:$AA$8,0)))</f>
        <v>0</v>
      </c>
      <c r="BC71" s="427">
        <f>-IF(OR(BC$9&lt;'Operating Assumptions'!$D$53,BC$6&gt;'Operating Assumptions'!$AA$8),0,BC41*INDEX('Operating Assumptions'!$P$8:$AA$19,MATCH($B71,'Operating Assumptions'!$P$8:$P$19,0),MATCH(BC$6,'Operating Assumptions'!$P$8:$AA$8,0)))</f>
        <v>0</v>
      </c>
      <c r="BD71" s="427">
        <f>-IF(OR(BD$9&lt;'Operating Assumptions'!$D$53,BD$6&gt;'Operating Assumptions'!$AA$8),0,BD41*INDEX('Operating Assumptions'!$P$8:$AA$19,MATCH($B71,'Operating Assumptions'!$P$8:$P$19,0),MATCH(BD$6,'Operating Assumptions'!$P$8:$AA$8,0)))</f>
        <v>0</v>
      </c>
      <c r="BE71" s="427">
        <f>-IF(OR(BE$9&lt;'Operating Assumptions'!$D$53,BE$6&gt;'Operating Assumptions'!$AA$8),0,BE41*INDEX('Operating Assumptions'!$P$8:$AA$19,MATCH($B71,'Operating Assumptions'!$P$8:$P$19,0),MATCH(BE$6,'Operating Assumptions'!$P$8:$AA$8,0)))</f>
        <v>0</v>
      </c>
      <c r="BF71" s="427">
        <f>-IF(OR(BF$9&lt;'Operating Assumptions'!$D$53,BF$6&gt;'Operating Assumptions'!$AA$8),0,BF41*INDEX('Operating Assumptions'!$P$8:$AA$19,MATCH($B71,'Operating Assumptions'!$P$8:$P$19,0),MATCH(BF$6,'Operating Assumptions'!$P$8:$AA$8,0)))</f>
        <v>0</v>
      </c>
      <c r="BG71" s="427">
        <f>-IF(OR(BG$9&lt;'Operating Assumptions'!$D$53,BG$6&gt;'Operating Assumptions'!$AA$8),0,BG41*INDEX('Operating Assumptions'!$P$8:$AA$19,MATCH($B71,'Operating Assumptions'!$P$8:$P$19,0),MATCH(BG$6,'Operating Assumptions'!$P$8:$AA$8,0)))</f>
        <v>0</v>
      </c>
      <c r="BH71" s="427">
        <f>-IF(OR(BH$9&lt;'Operating Assumptions'!$D$53,BH$6&gt;'Operating Assumptions'!$AA$8),0,BH41*INDEX('Operating Assumptions'!$P$8:$AA$19,MATCH($B71,'Operating Assumptions'!$P$8:$P$19,0),MATCH(BH$6,'Operating Assumptions'!$P$8:$AA$8,0)))</f>
        <v>0</v>
      </c>
      <c r="BI71" s="427">
        <f>-IF(OR(BI$9&lt;'Operating Assumptions'!$D$53,BI$6&gt;'Operating Assumptions'!$AA$8),0,BI41*INDEX('Operating Assumptions'!$P$8:$AA$19,MATCH($B71,'Operating Assumptions'!$P$8:$P$19,0),MATCH(BI$6,'Operating Assumptions'!$P$8:$AA$8,0)))</f>
        <v>0</v>
      </c>
      <c r="BJ71" s="427">
        <f>-IF(OR(BJ$9&lt;'Operating Assumptions'!$D$53,BJ$6&gt;'Operating Assumptions'!$AA$8),0,BJ41*INDEX('Operating Assumptions'!$P$8:$AA$19,MATCH($B71,'Operating Assumptions'!$P$8:$P$19,0),MATCH(BJ$6,'Operating Assumptions'!$P$8:$AA$8,0)))</f>
        <v>0</v>
      </c>
      <c r="BK71" s="427">
        <f>-IF(OR(BK$9&lt;'Operating Assumptions'!$D$53,BK$6&gt;'Operating Assumptions'!$AA$8),0,BK41*INDEX('Operating Assumptions'!$P$8:$AA$19,MATCH($B71,'Operating Assumptions'!$P$8:$P$19,0),MATCH(BK$6,'Operating Assumptions'!$P$8:$AA$8,0)))</f>
        <v>0</v>
      </c>
      <c r="BL71" s="427">
        <f>-IF(OR(BL$9&lt;'Operating Assumptions'!$D$53,BL$6&gt;'Operating Assumptions'!$AA$8),0,BL41*INDEX('Operating Assumptions'!$P$8:$AA$19,MATCH($B71,'Operating Assumptions'!$P$8:$P$19,0),MATCH(BL$6,'Operating Assumptions'!$P$8:$AA$8,0)))</f>
        <v>0</v>
      </c>
      <c r="BM71" s="427">
        <f>-IF(OR(BM$9&lt;'Operating Assumptions'!$D$53,BM$6&gt;'Operating Assumptions'!$AA$8),0,BM41*INDEX('Operating Assumptions'!$P$8:$AA$19,MATCH($B71,'Operating Assumptions'!$P$8:$P$19,0),MATCH(BM$6,'Operating Assumptions'!$P$8:$AA$8,0)))</f>
        <v>0</v>
      </c>
      <c r="BN71" s="427">
        <f>-IF(OR(BN$9&lt;'Operating Assumptions'!$D$53,BN$6&gt;'Operating Assumptions'!$AA$8),0,BN41*INDEX('Operating Assumptions'!$P$8:$AA$19,MATCH($B71,'Operating Assumptions'!$P$8:$P$19,0),MATCH(BN$6,'Operating Assumptions'!$P$8:$AA$8,0)))</f>
        <v>0</v>
      </c>
      <c r="BO71" s="427">
        <f>-IF(OR(BO$9&lt;'Operating Assumptions'!$D$53,BO$6&gt;'Operating Assumptions'!$AA$8),0,BO41*INDEX('Operating Assumptions'!$P$8:$AA$19,MATCH($B71,'Operating Assumptions'!$P$8:$P$19,0),MATCH(BO$6,'Operating Assumptions'!$P$8:$AA$8,0)))</f>
        <v>0</v>
      </c>
      <c r="BP71" s="427">
        <f>-IF(OR(BP$9&lt;'Operating Assumptions'!$D$53,BP$6&gt;'Operating Assumptions'!$AA$8),0,BP41*INDEX('Operating Assumptions'!$P$8:$AA$19,MATCH($B71,'Operating Assumptions'!$P$8:$P$19,0),MATCH(BP$6,'Operating Assumptions'!$P$8:$AA$8,0)))</f>
        <v>0</v>
      </c>
      <c r="BQ71" s="427">
        <f>-IF(OR(BQ$9&lt;'Operating Assumptions'!$D$53,BQ$6&gt;'Operating Assumptions'!$AA$8),0,BQ41*INDEX('Operating Assumptions'!$P$8:$AA$19,MATCH($B71,'Operating Assumptions'!$P$8:$P$19,0),MATCH(BQ$6,'Operating Assumptions'!$P$8:$AA$8,0)))</f>
        <v>0</v>
      </c>
      <c r="BR71" s="427">
        <f>-IF(OR(BR$9&lt;'Operating Assumptions'!$D$53,BR$6&gt;'Operating Assumptions'!$AA$8),0,BR41*INDEX('Operating Assumptions'!$P$8:$AA$19,MATCH($B71,'Operating Assumptions'!$P$8:$P$19,0),MATCH(BR$6,'Operating Assumptions'!$P$8:$AA$8,0)))</f>
        <v>0</v>
      </c>
      <c r="BS71" s="427">
        <f>-IF(OR(BS$9&lt;'Operating Assumptions'!$D$53,BS$6&gt;'Operating Assumptions'!$AA$8),0,BS41*INDEX('Operating Assumptions'!$P$8:$AA$19,MATCH($B71,'Operating Assumptions'!$P$8:$P$19,0),MATCH(BS$6,'Operating Assumptions'!$P$8:$AA$8,0)))</f>
        <v>0</v>
      </c>
      <c r="BT71" s="427">
        <f>-IF(OR(BT$9&lt;'Operating Assumptions'!$D$53,BT$6&gt;'Operating Assumptions'!$AA$8),0,BT41*INDEX('Operating Assumptions'!$P$8:$AA$19,MATCH($B71,'Operating Assumptions'!$P$8:$P$19,0),MATCH(BT$6,'Operating Assumptions'!$P$8:$AA$8,0)))</f>
        <v>0</v>
      </c>
      <c r="BU71" s="427">
        <f>-IF(OR(BU$9&lt;'Operating Assumptions'!$D$53,BU$6&gt;'Operating Assumptions'!$AA$8),0,BU41*INDEX('Operating Assumptions'!$P$8:$AA$19,MATCH($B71,'Operating Assumptions'!$P$8:$P$19,0),MATCH(BU$6,'Operating Assumptions'!$P$8:$AA$8,0)))</f>
        <v>0</v>
      </c>
      <c r="BV71" s="427">
        <f>-IF(OR(BV$9&lt;'Operating Assumptions'!$D$53,BV$6&gt;'Operating Assumptions'!$AA$8),0,BV41*INDEX('Operating Assumptions'!$P$8:$AA$19,MATCH($B71,'Operating Assumptions'!$P$8:$P$19,0),MATCH(BV$6,'Operating Assumptions'!$P$8:$AA$8,0)))</f>
        <v>0</v>
      </c>
      <c r="BW71" s="427">
        <f>-IF(OR(BW$9&lt;'Operating Assumptions'!$D$53,BW$6&gt;'Operating Assumptions'!$AA$8),0,BW41*INDEX('Operating Assumptions'!$P$8:$AA$19,MATCH($B71,'Operating Assumptions'!$P$8:$P$19,0),MATCH(BW$6,'Operating Assumptions'!$P$8:$AA$8,0)))</f>
        <v>0</v>
      </c>
      <c r="BX71" s="427">
        <f>-IF(OR(BX$9&lt;'Operating Assumptions'!$D$53,BX$6&gt;'Operating Assumptions'!$AA$8),0,BX41*INDEX('Operating Assumptions'!$P$8:$AA$19,MATCH($B71,'Operating Assumptions'!$P$8:$P$19,0),MATCH(BX$6,'Operating Assumptions'!$P$8:$AA$8,0)))</f>
        <v>0</v>
      </c>
      <c r="BY71" s="427">
        <f>-IF(OR(BY$9&lt;'Operating Assumptions'!$D$53,BY$6&gt;'Operating Assumptions'!$AA$8),0,BY41*INDEX('Operating Assumptions'!$P$8:$AA$19,MATCH($B71,'Operating Assumptions'!$P$8:$P$19,0),MATCH(BY$6,'Operating Assumptions'!$P$8:$AA$8,0)))</f>
        <v>0</v>
      </c>
      <c r="BZ71" s="427">
        <f>-IF(OR(BZ$9&lt;'Operating Assumptions'!$D$53,BZ$6&gt;'Operating Assumptions'!$AA$8),0,BZ41*INDEX('Operating Assumptions'!$P$8:$AA$19,MATCH($B71,'Operating Assumptions'!$P$8:$P$19,0),MATCH(BZ$6,'Operating Assumptions'!$P$8:$AA$8,0)))</f>
        <v>0</v>
      </c>
      <c r="CA71" s="427">
        <f>-IF(OR(CA$9&lt;'Operating Assumptions'!$D$53,CA$6&gt;'Operating Assumptions'!$AA$8),0,CA41*INDEX('Operating Assumptions'!$P$8:$AA$19,MATCH($B71,'Operating Assumptions'!$P$8:$P$19,0),MATCH(CA$6,'Operating Assumptions'!$P$8:$AA$8,0)))</f>
        <v>0</v>
      </c>
      <c r="CB71" s="427">
        <f>-IF(OR(CB$9&lt;'Operating Assumptions'!$D$53,CB$6&gt;'Operating Assumptions'!$AA$8),0,CB41*INDEX('Operating Assumptions'!$P$8:$AA$19,MATCH($B71,'Operating Assumptions'!$P$8:$P$19,0),MATCH(CB$6,'Operating Assumptions'!$P$8:$AA$8,0)))</f>
        <v>0</v>
      </c>
      <c r="CC71" s="427">
        <f>-IF(OR(CC$9&lt;'Operating Assumptions'!$D$53,CC$6&gt;'Operating Assumptions'!$AA$8),0,CC41*INDEX('Operating Assumptions'!$P$8:$AA$19,MATCH($B71,'Operating Assumptions'!$P$8:$P$19,0),MATCH(CC$6,'Operating Assumptions'!$P$8:$AA$8,0)))</f>
        <v>0</v>
      </c>
      <c r="CD71" s="427">
        <f>-IF(OR(CD$9&lt;'Operating Assumptions'!$D$53,CD$6&gt;'Operating Assumptions'!$AA$8),0,CD41*INDEX('Operating Assumptions'!$P$8:$AA$19,MATCH($B71,'Operating Assumptions'!$P$8:$P$19,0),MATCH(CD$6,'Operating Assumptions'!$P$8:$AA$8,0)))</f>
        <v>0</v>
      </c>
      <c r="CE71" s="427">
        <f>-IF(OR(CE$9&lt;'Operating Assumptions'!$D$53,CE$6&gt;'Operating Assumptions'!$AA$8),0,CE41*INDEX('Operating Assumptions'!$P$8:$AA$19,MATCH($B71,'Operating Assumptions'!$P$8:$P$19,0),MATCH(CE$6,'Operating Assumptions'!$P$8:$AA$8,0)))</f>
        <v>0</v>
      </c>
      <c r="CF71" s="427">
        <f>-IF(OR(CF$9&lt;'Operating Assumptions'!$D$53,CF$6&gt;'Operating Assumptions'!$AA$8),0,CF41*INDEX('Operating Assumptions'!$P$8:$AA$19,MATCH($B71,'Operating Assumptions'!$P$8:$P$19,0),MATCH(CF$6,'Operating Assumptions'!$P$8:$AA$8,0)))</f>
        <v>0</v>
      </c>
      <c r="CG71" s="427">
        <f>-IF(OR(CG$9&lt;'Operating Assumptions'!$D$53,CG$6&gt;'Operating Assumptions'!$AA$8),0,CG41*INDEX('Operating Assumptions'!$P$8:$AA$19,MATCH($B71,'Operating Assumptions'!$P$8:$P$19,0),MATCH(CG$6,'Operating Assumptions'!$P$8:$AA$8,0)))</f>
        <v>0</v>
      </c>
      <c r="CH71" s="427">
        <f>-IF(OR(CH$9&lt;'Operating Assumptions'!$D$53,CH$6&gt;'Operating Assumptions'!$AA$8),0,CH41*INDEX('Operating Assumptions'!$P$8:$AA$19,MATCH($B71,'Operating Assumptions'!$P$8:$P$19,0),MATCH(CH$6,'Operating Assumptions'!$P$8:$AA$8,0)))</f>
        <v>0</v>
      </c>
      <c r="CI71" s="427">
        <f>-IF(OR(CI$9&lt;'Operating Assumptions'!$D$53,CI$6&gt;'Operating Assumptions'!$AA$8),0,CI41*INDEX('Operating Assumptions'!$P$8:$AA$19,MATCH($B71,'Operating Assumptions'!$P$8:$P$19,0),MATCH(CI$6,'Operating Assumptions'!$P$8:$AA$8,0)))</f>
        <v>0</v>
      </c>
      <c r="CJ71" s="427">
        <f>-IF(OR(CJ$9&lt;'Operating Assumptions'!$D$53,CJ$6&gt;'Operating Assumptions'!$AA$8),0,CJ41*INDEX('Operating Assumptions'!$P$8:$AA$19,MATCH($B71,'Operating Assumptions'!$P$8:$P$19,0),MATCH(CJ$6,'Operating Assumptions'!$P$8:$AA$8,0)))</f>
        <v>0</v>
      </c>
      <c r="CK71" s="427">
        <f>-IF(OR(CK$9&lt;'Operating Assumptions'!$D$53,CK$6&gt;'Operating Assumptions'!$AA$8),0,CK41*INDEX('Operating Assumptions'!$P$8:$AA$19,MATCH($B71,'Operating Assumptions'!$P$8:$P$19,0),MATCH(CK$6,'Operating Assumptions'!$P$8:$AA$8,0)))</f>
        <v>0</v>
      </c>
      <c r="CL71" s="427">
        <f>-IF(OR(CL$9&lt;'Operating Assumptions'!$D$53,CL$6&gt;'Operating Assumptions'!$AA$8),0,CL41*INDEX('Operating Assumptions'!$P$8:$AA$19,MATCH($B71,'Operating Assumptions'!$P$8:$P$19,0),MATCH(CL$6,'Operating Assumptions'!$P$8:$AA$8,0)))</f>
        <v>0</v>
      </c>
      <c r="CM71" s="427">
        <f>-IF(OR(CM$9&lt;'Operating Assumptions'!$D$53,CM$6&gt;'Operating Assumptions'!$AA$8),0,CM41*INDEX('Operating Assumptions'!$P$8:$AA$19,MATCH($B71,'Operating Assumptions'!$P$8:$P$19,0),MATCH(CM$6,'Operating Assumptions'!$P$8:$AA$8,0)))</f>
        <v>0</v>
      </c>
      <c r="CN71" s="427">
        <f>-IF(OR(CN$9&lt;'Operating Assumptions'!$D$53,CN$6&gt;'Operating Assumptions'!$AA$8),0,CN41*INDEX('Operating Assumptions'!$P$8:$AA$19,MATCH($B71,'Operating Assumptions'!$P$8:$P$19,0),MATCH(CN$6,'Operating Assumptions'!$P$8:$AA$8,0)))</f>
        <v>0</v>
      </c>
      <c r="CO71" s="427">
        <f>-IF(OR(CO$9&lt;'Operating Assumptions'!$D$53,CO$6&gt;'Operating Assumptions'!$AA$8),0,CO41*INDEX('Operating Assumptions'!$P$8:$AA$19,MATCH($B71,'Operating Assumptions'!$P$8:$P$19,0),MATCH(CO$6,'Operating Assumptions'!$P$8:$AA$8,0)))</f>
        <v>0</v>
      </c>
      <c r="CP71" s="427">
        <f>-IF(OR(CP$9&lt;'Operating Assumptions'!$D$53,CP$6&gt;'Operating Assumptions'!$AA$8),0,CP41*INDEX('Operating Assumptions'!$P$8:$AA$19,MATCH($B71,'Operating Assumptions'!$P$8:$P$19,0),MATCH(CP$6,'Operating Assumptions'!$P$8:$AA$8,0)))</f>
        <v>0</v>
      </c>
      <c r="CQ71" s="427">
        <f>-IF(OR(CQ$9&lt;'Operating Assumptions'!$D$53,CQ$6&gt;'Operating Assumptions'!$AA$8),0,CQ41*INDEX('Operating Assumptions'!$P$8:$AA$19,MATCH($B71,'Operating Assumptions'!$P$8:$P$19,0),MATCH(CQ$6,'Operating Assumptions'!$P$8:$AA$8,0)))</f>
        <v>0</v>
      </c>
      <c r="CR71" s="427">
        <f>-IF(OR(CR$9&lt;'Operating Assumptions'!$D$53,CR$6&gt;'Operating Assumptions'!$AA$8),0,CR41*INDEX('Operating Assumptions'!$P$8:$AA$19,MATCH($B71,'Operating Assumptions'!$P$8:$P$19,0),MATCH(CR$6,'Operating Assumptions'!$P$8:$AA$8,0)))</f>
        <v>0</v>
      </c>
      <c r="CS71" s="427">
        <f>-IF(OR(CS$9&lt;'Operating Assumptions'!$D$53,CS$6&gt;'Operating Assumptions'!$AA$8),0,CS41*INDEX('Operating Assumptions'!$P$8:$AA$19,MATCH($B71,'Operating Assumptions'!$P$8:$P$19,0),MATCH(CS$6,'Operating Assumptions'!$P$8:$AA$8,0)))</f>
        <v>0</v>
      </c>
      <c r="CT71" s="427">
        <f>-IF(OR(CT$9&lt;'Operating Assumptions'!$D$53,CT$6&gt;'Operating Assumptions'!$AA$8),0,CT41*INDEX('Operating Assumptions'!$P$8:$AA$19,MATCH($B71,'Operating Assumptions'!$P$8:$P$19,0),MATCH(CT$6,'Operating Assumptions'!$P$8:$AA$8,0)))</f>
        <v>0</v>
      </c>
      <c r="CU71" s="427">
        <f>-IF(OR(CU$9&lt;'Operating Assumptions'!$D$53,CU$6&gt;'Operating Assumptions'!$AA$8),0,CU41*INDEX('Operating Assumptions'!$P$8:$AA$19,MATCH($B71,'Operating Assumptions'!$P$8:$P$19,0),MATCH(CU$6,'Operating Assumptions'!$P$8:$AA$8,0)))</f>
        <v>0</v>
      </c>
      <c r="CV71" s="427">
        <f>-IF(OR(CV$9&lt;'Operating Assumptions'!$D$53,CV$6&gt;'Operating Assumptions'!$AA$8),0,CV41*INDEX('Operating Assumptions'!$P$8:$AA$19,MATCH($B71,'Operating Assumptions'!$P$8:$P$19,0),MATCH(CV$6,'Operating Assumptions'!$P$8:$AA$8,0)))</f>
        <v>0</v>
      </c>
      <c r="CW71" s="427">
        <f>-IF(OR(CW$9&lt;'Operating Assumptions'!$D$53,CW$6&gt;'Operating Assumptions'!$AA$8),0,CW41*INDEX('Operating Assumptions'!$P$8:$AA$19,MATCH($B71,'Operating Assumptions'!$P$8:$P$19,0),MATCH(CW$6,'Operating Assumptions'!$P$8:$AA$8,0)))</f>
        <v>0</v>
      </c>
      <c r="CX71" s="427">
        <f>-IF(OR(CX$9&lt;'Operating Assumptions'!$D$53,CX$6&gt;'Operating Assumptions'!$AA$8),0,CX41*INDEX('Operating Assumptions'!$P$8:$AA$19,MATCH($B71,'Operating Assumptions'!$P$8:$P$19,0),MATCH(CX$6,'Operating Assumptions'!$P$8:$AA$8,0)))</f>
        <v>0</v>
      </c>
      <c r="CY71" s="427">
        <f>-IF(OR(CY$9&lt;'Operating Assumptions'!$D$53,CY$6&gt;'Operating Assumptions'!$AA$8),0,CY41*INDEX('Operating Assumptions'!$P$8:$AA$19,MATCH($B71,'Operating Assumptions'!$P$8:$P$19,0),MATCH(CY$6,'Operating Assumptions'!$P$8:$AA$8,0)))</f>
        <v>0</v>
      </c>
      <c r="CZ71" s="427">
        <f>-IF(OR(CZ$9&lt;'Operating Assumptions'!$D$53,CZ$6&gt;'Operating Assumptions'!$AA$8),0,CZ41*INDEX('Operating Assumptions'!$P$8:$AA$19,MATCH($B71,'Operating Assumptions'!$P$8:$P$19,0),MATCH(CZ$6,'Operating Assumptions'!$P$8:$AA$8,0)))</f>
        <v>0</v>
      </c>
      <c r="DA71" s="427">
        <f>-IF(OR(DA$9&lt;'Operating Assumptions'!$D$53,DA$6&gt;'Operating Assumptions'!$AA$8),0,DA41*INDEX('Operating Assumptions'!$P$8:$AA$19,MATCH($B71,'Operating Assumptions'!$P$8:$P$19,0),MATCH(DA$6,'Operating Assumptions'!$P$8:$AA$8,0)))</f>
        <v>0</v>
      </c>
      <c r="DB71" s="427">
        <f>-IF(OR(DB$9&lt;'Operating Assumptions'!$D$53,DB$6&gt;'Operating Assumptions'!$AA$8),0,DB41*INDEX('Operating Assumptions'!$P$8:$AA$19,MATCH($B71,'Operating Assumptions'!$P$8:$P$19,0),MATCH(DB$6,'Operating Assumptions'!$P$8:$AA$8,0)))</f>
        <v>0</v>
      </c>
      <c r="DC71" s="427">
        <f>-IF(OR(DC$9&lt;'Operating Assumptions'!$D$53,DC$6&gt;'Operating Assumptions'!$AA$8),0,DC41*INDEX('Operating Assumptions'!$P$8:$AA$19,MATCH($B71,'Operating Assumptions'!$P$8:$P$19,0),MATCH(DC$6,'Operating Assumptions'!$P$8:$AA$8,0)))</f>
        <v>0</v>
      </c>
      <c r="DD71" s="427">
        <f>-IF(OR(DD$9&lt;'Operating Assumptions'!$D$53,DD$6&gt;'Operating Assumptions'!$AA$8),0,DD41*INDEX('Operating Assumptions'!$P$8:$AA$19,MATCH($B71,'Operating Assumptions'!$P$8:$P$19,0),MATCH(DD$6,'Operating Assumptions'!$P$8:$AA$8,0)))</f>
        <v>0</v>
      </c>
      <c r="DE71" s="427">
        <f>-IF(OR(DE$9&lt;'Operating Assumptions'!$D$53,DE$6&gt;'Operating Assumptions'!$AA$8),0,DE41*INDEX('Operating Assumptions'!$P$8:$AA$19,MATCH($B71,'Operating Assumptions'!$P$8:$P$19,0),MATCH(DE$6,'Operating Assumptions'!$P$8:$AA$8,0)))</f>
        <v>0</v>
      </c>
      <c r="DF71" s="427">
        <f>-IF(OR(DF$9&lt;'Operating Assumptions'!$D$53,DF$6&gt;'Operating Assumptions'!$AA$8),0,DF41*INDEX('Operating Assumptions'!$P$8:$AA$19,MATCH($B71,'Operating Assumptions'!$P$8:$P$19,0),MATCH(DF$6,'Operating Assumptions'!$P$8:$AA$8,0)))</f>
        <v>0</v>
      </c>
      <c r="DG71" s="427">
        <f>-IF(OR(DG$9&lt;'Operating Assumptions'!$D$53,DG$6&gt;'Operating Assumptions'!$AA$8),0,DG41*INDEX('Operating Assumptions'!$P$8:$AA$19,MATCH($B71,'Operating Assumptions'!$P$8:$P$19,0),MATCH(DG$6,'Operating Assumptions'!$P$8:$AA$8,0)))</f>
        <v>0</v>
      </c>
      <c r="DH71" s="427">
        <f>-IF(OR(DH$9&lt;'Operating Assumptions'!$D$53,DH$6&gt;'Operating Assumptions'!$AA$8),0,DH41*INDEX('Operating Assumptions'!$P$8:$AA$19,MATCH($B71,'Operating Assumptions'!$P$8:$P$19,0),MATCH(DH$6,'Operating Assumptions'!$P$8:$AA$8,0)))</f>
        <v>0</v>
      </c>
      <c r="DI71" s="427">
        <f>-IF(OR(DI$9&lt;'Operating Assumptions'!$D$53,DI$6&gt;'Operating Assumptions'!$AA$8),0,DI41*INDEX('Operating Assumptions'!$P$8:$AA$19,MATCH($B71,'Operating Assumptions'!$P$8:$P$19,0),MATCH(DI$6,'Operating Assumptions'!$P$8:$AA$8,0)))</f>
        <v>0</v>
      </c>
      <c r="DJ71" s="427">
        <f>-IF(OR(DJ$9&lt;'Operating Assumptions'!$D$53,DJ$6&gt;'Operating Assumptions'!$AA$8),0,DJ41*INDEX('Operating Assumptions'!$P$8:$AA$19,MATCH($B71,'Operating Assumptions'!$P$8:$P$19,0),MATCH(DJ$6,'Operating Assumptions'!$P$8:$AA$8,0)))</f>
        <v>0</v>
      </c>
      <c r="DK71" s="427">
        <f>-IF(OR(DK$9&lt;'Operating Assumptions'!$D$53,DK$6&gt;'Operating Assumptions'!$AA$8),0,DK41*INDEX('Operating Assumptions'!$P$8:$AA$19,MATCH($B71,'Operating Assumptions'!$P$8:$P$19,0),MATCH(DK$6,'Operating Assumptions'!$P$8:$AA$8,0)))</f>
        <v>0</v>
      </c>
      <c r="DL71" s="427">
        <f>-IF(OR(DL$9&lt;'Operating Assumptions'!$D$53,DL$6&gt;'Operating Assumptions'!$AA$8),0,DL41*INDEX('Operating Assumptions'!$P$8:$AA$19,MATCH($B71,'Operating Assumptions'!$P$8:$P$19,0),MATCH(DL$6,'Operating Assumptions'!$P$8:$AA$8,0)))</f>
        <v>0</v>
      </c>
      <c r="DM71" s="427">
        <f>-IF(OR(DM$9&lt;'Operating Assumptions'!$D$53,DM$6&gt;'Operating Assumptions'!$AA$8),0,DM41*INDEX('Operating Assumptions'!$P$8:$AA$19,MATCH($B71,'Operating Assumptions'!$P$8:$P$19,0),MATCH(DM$6,'Operating Assumptions'!$P$8:$AA$8,0)))</f>
        <v>0</v>
      </c>
      <c r="DN71" s="427">
        <f>-IF(OR(DN$9&lt;'Operating Assumptions'!$D$53,DN$6&gt;'Operating Assumptions'!$AA$8),0,DN41*INDEX('Operating Assumptions'!$P$8:$AA$19,MATCH($B71,'Operating Assumptions'!$P$8:$P$19,0),MATCH(DN$6,'Operating Assumptions'!$P$8:$AA$8,0)))</f>
        <v>0</v>
      </c>
      <c r="DO71" s="427">
        <f>-IF(OR(DO$9&lt;'Operating Assumptions'!$D$53,DO$6&gt;'Operating Assumptions'!$AA$8),0,DO41*INDEX('Operating Assumptions'!$P$8:$AA$19,MATCH($B71,'Operating Assumptions'!$P$8:$P$19,0),MATCH(DO$6,'Operating Assumptions'!$P$8:$AA$8,0)))</f>
        <v>0</v>
      </c>
      <c r="DP71" s="427">
        <f>-IF(OR(DP$9&lt;'Operating Assumptions'!$D$53,DP$6&gt;'Operating Assumptions'!$AA$8),0,DP41*INDEX('Operating Assumptions'!$P$8:$AA$19,MATCH($B71,'Operating Assumptions'!$P$8:$P$19,0),MATCH(DP$6,'Operating Assumptions'!$P$8:$AA$8,0)))</f>
        <v>0</v>
      </c>
      <c r="DQ71" s="427">
        <f>-IF(OR(DQ$9&lt;'Operating Assumptions'!$D$53,DQ$6&gt;'Operating Assumptions'!$AA$8),0,DQ41*INDEX('Operating Assumptions'!$P$8:$AA$19,MATCH($B71,'Operating Assumptions'!$P$8:$P$19,0),MATCH(DQ$6,'Operating Assumptions'!$P$8:$AA$8,0)))</f>
        <v>0</v>
      </c>
      <c r="DR71" s="427">
        <f>-IF(OR(DR$9&lt;'Operating Assumptions'!$D$53,DR$6&gt;'Operating Assumptions'!$AA$8),0,DR41*INDEX('Operating Assumptions'!$P$8:$AA$19,MATCH($B71,'Operating Assumptions'!$P$8:$P$19,0),MATCH(DR$6,'Operating Assumptions'!$P$8:$AA$8,0)))</f>
        <v>0</v>
      </c>
      <c r="DS71" s="427">
        <f>-IF(OR(DS$9&lt;'Operating Assumptions'!$D$53,DS$6&gt;'Operating Assumptions'!$AA$8),0,DS41*INDEX('Operating Assumptions'!$P$8:$AA$19,MATCH($B71,'Operating Assumptions'!$P$8:$P$19,0),MATCH(DS$6,'Operating Assumptions'!$P$8:$AA$8,0)))</f>
        <v>0</v>
      </c>
      <c r="DT71" s="427">
        <f>-IF(OR(DT$9&lt;'Operating Assumptions'!$D$53,DT$6&gt;'Operating Assumptions'!$AA$8),0,DT41*INDEX('Operating Assumptions'!$P$8:$AA$19,MATCH($B71,'Operating Assumptions'!$P$8:$P$19,0),MATCH(DT$6,'Operating Assumptions'!$P$8:$AA$8,0)))</f>
        <v>0</v>
      </c>
      <c r="DU71" s="427">
        <f>-IF(OR(DU$9&lt;'Operating Assumptions'!$D$53,DU$6&gt;'Operating Assumptions'!$AA$8),0,DU41*INDEX('Operating Assumptions'!$P$8:$AA$19,MATCH($B71,'Operating Assumptions'!$P$8:$P$19,0),MATCH(DU$6,'Operating Assumptions'!$P$8:$AA$8,0)))</f>
        <v>0</v>
      </c>
      <c r="DV71" s="427">
        <f>-IF(OR(DV$9&lt;'Operating Assumptions'!$D$53,DV$6&gt;'Operating Assumptions'!$AA$8),0,DV41*INDEX('Operating Assumptions'!$P$8:$AA$19,MATCH($B71,'Operating Assumptions'!$P$8:$P$19,0),MATCH(DV$6,'Operating Assumptions'!$P$8:$AA$8,0)))</f>
        <v>0</v>
      </c>
      <c r="DW71" s="427">
        <f>-IF(OR(DW$9&lt;'Operating Assumptions'!$D$53,DW$6&gt;'Operating Assumptions'!$AA$8),0,DW41*INDEX('Operating Assumptions'!$P$8:$AA$19,MATCH($B71,'Operating Assumptions'!$P$8:$P$19,0),MATCH(DW$6,'Operating Assumptions'!$P$8:$AA$8,0)))</f>
        <v>0</v>
      </c>
      <c r="DX71" s="427">
        <f>-IF(OR(DX$9&lt;'Operating Assumptions'!$D$53,DX$6&gt;'Operating Assumptions'!$AA$8),0,DX41*INDEX('Operating Assumptions'!$P$8:$AA$19,MATCH($B71,'Operating Assumptions'!$P$8:$P$19,0),MATCH(DX$6,'Operating Assumptions'!$P$8:$AA$8,0)))</f>
        <v>0</v>
      </c>
      <c r="DY71" s="427">
        <f>-IF(OR(DY$9&lt;'Operating Assumptions'!$D$53,DY$6&gt;'Operating Assumptions'!$AA$8),0,DY41*INDEX('Operating Assumptions'!$P$8:$AA$19,MATCH($B71,'Operating Assumptions'!$P$8:$P$19,0),MATCH(DY$6,'Operating Assumptions'!$P$8:$AA$8,0)))</f>
        <v>0</v>
      </c>
      <c r="DZ71" s="427">
        <f>-IF(OR(DZ$9&lt;'Operating Assumptions'!$D$53,DZ$6&gt;'Operating Assumptions'!$AA$8),0,DZ41*INDEX('Operating Assumptions'!$P$8:$AA$19,MATCH($B71,'Operating Assumptions'!$P$8:$P$19,0),MATCH(DZ$6,'Operating Assumptions'!$P$8:$AA$8,0)))</f>
        <v>0</v>
      </c>
      <c r="EA71" s="427">
        <f>-IF(OR(EA$9&lt;'Operating Assumptions'!$D$53,EA$6&gt;'Operating Assumptions'!$AA$8),0,EA41*INDEX('Operating Assumptions'!$P$8:$AA$19,MATCH($B71,'Operating Assumptions'!$P$8:$P$19,0),MATCH(EA$6,'Operating Assumptions'!$P$8:$AA$8,0)))</f>
        <v>0</v>
      </c>
      <c r="EB71" s="427">
        <f>-IF(OR(EB$9&lt;'Operating Assumptions'!$D$53,EB$6&gt;'Operating Assumptions'!$AA$8),0,EB41*INDEX('Operating Assumptions'!$P$8:$AA$19,MATCH($B71,'Operating Assumptions'!$P$8:$P$19,0),MATCH(EB$6,'Operating Assumptions'!$P$8:$AA$8,0)))</f>
        <v>0</v>
      </c>
      <c r="EC71" s="427">
        <f>-IF(OR(EC$9&lt;'Operating Assumptions'!$D$53,EC$6&gt;'Operating Assumptions'!$AA$8),0,EC41*INDEX('Operating Assumptions'!$P$8:$AA$19,MATCH($B71,'Operating Assumptions'!$P$8:$P$19,0),MATCH(EC$6,'Operating Assumptions'!$P$8:$AA$8,0)))</f>
        <v>0</v>
      </c>
      <c r="ED71" s="427">
        <f>-IF(OR(ED$9&lt;'Operating Assumptions'!$D$53,ED$6&gt;'Operating Assumptions'!$AA$8),0,ED41*INDEX('Operating Assumptions'!$P$8:$AA$19,MATCH($B71,'Operating Assumptions'!$P$8:$P$19,0),MATCH(ED$6,'Operating Assumptions'!$P$8:$AA$8,0)))</f>
        <v>0</v>
      </c>
      <c r="EE71" s="427">
        <f>-IF(OR(EE$9&lt;'Operating Assumptions'!$D$53,EE$6&gt;'Operating Assumptions'!$AA$8),0,EE41*INDEX('Operating Assumptions'!$P$8:$AA$19,MATCH($B71,'Operating Assumptions'!$P$8:$P$19,0),MATCH(EE$6,'Operating Assumptions'!$P$8:$AA$8,0)))</f>
        <v>0</v>
      </c>
      <c r="EF71" s="427">
        <f>-IF(OR(EF$9&lt;'Operating Assumptions'!$D$53,EF$6&gt;'Operating Assumptions'!$AA$8),0,EF41*INDEX('Operating Assumptions'!$P$8:$AA$19,MATCH($B71,'Operating Assumptions'!$P$8:$P$19,0),MATCH(EF$6,'Operating Assumptions'!$P$8:$AA$8,0)))</f>
        <v>0</v>
      </c>
      <c r="EG71" s="427">
        <f>-IF(OR(EG$9&lt;'Operating Assumptions'!$D$53,EG$6&gt;'Operating Assumptions'!$AA$8),0,EG41*INDEX('Operating Assumptions'!$P$8:$AA$19,MATCH($B71,'Operating Assumptions'!$P$8:$P$19,0),MATCH(EG$6,'Operating Assumptions'!$P$8:$AA$8,0)))</f>
        <v>0</v>
      </c>
      <c r="EH71" s="427">
        <f>-IF(OR(EH$9&lt;'Operating Assumptions'!$D$53,EH$6&gt;'Operating Assumptions'!$AA$8),0,EH41*INDEX('Operating Assumptions'!$P$8:$AA$19,MATCH($B71,'Operating Assumptions'!$P$8:$P$19,0),MATCH(EH$6,'Operating Assumptions'!$P$8:$AA$8,0)))</f>
        <v>0</v>
      </c>
      <c r="EI71" s="427">
        <f>-IF(OR(EI$9&lt;'Operating Assumptions'!$D$53,EI$6&gt;'Operating Assumptions'!$AA$8),0,EI41*INDEX('Operating Assumptions'!$P$8:$AA$19,MATCH($B71,'Operating Assumptions'!$P$8:$P$19,0),MATCH(EI$6,'Operating Assumptions'!$P$8:$AA$8,0)))</f>
        <v>0</v>
      </c>
      <c r="EJ71" s="427">
        <f>-IF(OR(EJ$9&lt;'Operating Assumptions'!$D$53,EJ$6&gt;'Operating Assumptions'!$AA$8),0,EJ41*INDEX('Operating Assumptions'!$P$8:$AA$19,MATCH($B71,'Operating Assumptions'!$P$8:$P$19,0),MATCH(EJ$6,'Operating Assumptions'!$P$8:$AA$8,0)))</f>
        <v>0</v>
      </c>
      <c r="EK71" s="427">
        <f>-IF(OR(EK$9&lt;'Operating Assumptions'!$D$53,EK$6&gt;'Operating Assumptions'!$AA$8),0,EK41*INDEX('Operating Assumptions'!$P$8:$AA$19,MATCH($B71,'Operating Assumptions'!$P$8:$P$19,0),MATCH(EK$6,'Operating Assumptions'!$P$8:$AA$8,0)))</f>
        <v>0</v>
      </c>
      <c r="EL71" s="427">
        <f>-IF(OR(EL$9&lt;'Operating Assumptions'!$D$53,EL$6&gt;'Operating Assumptions'!$AA$8),0,EL41*INDEX('Operating Assumptions'!$P$8:$AA$19,MATCH($B71,'Operating Assumptions'!$P$8:$P$19,0),MATCH(EL$6,'Operating Assumptions'!$P$8:$AA$8,0)))</f>
        <v>0</v>
      </c>
      <c r="EM71" s="427">
        <f>-IF(OR(EM$9&lt;'Operating Assumptions'!$D$53,EM$6&gt;'Operating Assumptions'!$AA$8),0,EM41*INDEX('Operating Assumptions'!$P$8:$AA$19,MATCH($B71,'Operating Assumptions'!$P$8:$P$19,0),MATCH(EM$6,'Operating Assumptions'!$P$8:$AA$8,0)))</f>
        <v>0</v>
      </c>
      <c r="EN71" s="427">
        <f>-IF(OR(EN$9&lt;'Operating Assumptions'!$D$53,EN$6&gt;'Operating Assumptions'!$AA$8),0,EN41*INDEX('Operating Assumptions'!$P$8:$AA$19,MATCH($B71,'Operating Assumptions'!$P$8:$P$19,0),MATCH(EN$6,'Operating Assumptions'!$P$8:$AA$8,0)))</f>
        <v>0</v>
      </c>
      <c r="EO71" s="427">
        <f>-IF(OR(EO$9&lt;'Operating Assumptions'!$D$53,EO$6&gt;'Operating Assumptions'!$AA$8),0,EO41*INDEX('Operating Assumptions'!$P$8:$AA$19,MATCH($B71,'Operating Assumptions'!$P$8:$P$19,0),MATCH(EO$6,'Operating Assumptions'!$P$8:$AA$8,0)))</f>
        <v>0</v>
      </c>
      <c r="EP71" s="427">
        <f>-IF(OR(EP$9&lt;'Operating Assumptions'!$D$53,EP$6&gt;'Operating Assumptions'!$AA$8),0,EP41*INDEX('Operating Assumptions'!$P$8:$AA$19,MATCH($B71,'Operating Assumptions'!$P$8:$P$19,0),MATCH(EP$6,'Operating Assumptions'!$P$8:$AA$8,0)))</f>
        <v>0</v>
      </c>
      <c r="EQ71" s="427">
        <f>-IF(OR(EQ$9&lt;'Operating Assumptions'!$D$53,EQ$6&gt;'Operating Assumptions'!$AA$8),0,EQ41*INDEX('Operating Assumptions'!$P$8:$AA$19,MATCH($B71,'Operating Assumptions'!$P$8:$P$19,0),MATCH(EQ$6,'Operating Assumptions'!$P$8:$AA$8,0)))</f>
        <v>0</v>
      </c>
      <c r="ER71" s="427">
        <f>-IF(OR(ER$9&lt;'Operating Assumptions'!$D$53,ER$6&gt;'Operating Assumptions'!$AA$8),0,ER41*INDEX('Operating Assumptions'!$P$8:$AA$19,MATCH($B71,'Operating Assumptions'!$P$8:$P$19,0),MATCH(ER$6,'Operating Assumptions'!$P$8:$AA$8,0)))</f>
        <v>0</v>
      </c>
      <c r="ES71" s="427">
        <f>-IF(OR(ES$9&lt;'Operating Assumptions'!$D$53,ES$6&gt;'Operating Assumptions'!$AA$8),0,ES41*INDEX('Operating Assumptions'!$P$8:$AA$19,MATCH($B71,'Operating Assumptions'!$P$8:$P$19,0),MATCH(ES$6,'Operating Assumptions'!$P$8:$AA$8,0)))</f>
        <v>0</v>
      </c>
      <c r="ET71" s="427">
        <f>-IF(OR(ET$9&lt;'Operating Assumptions'!$D$53,ET$6&gt;'Operating Assumptions'!$AA$8),0,ET41*INDEX('Operating Assumptions'!$P$8:$AA$19,MATCH($B71,'Operating Assumptions'!$P$8:$P$19,0),MATCH(ET$6,'Operating Assumptions'!$P$8:$AA$8,0)))</f>
        <v>0</v>
      </c>
      <c r="EU71" s="427">
        <f>-IF(OR(EU$9&lt;'Operating Assumptions'!$D$53,EU$6&gt;'Operating Assumptions'!$AA$8),0,EU41*INDEX('Operating Assumptions'!$P$8:$AA$19,MATCH($B71,'Operating Assumptions'!$P$8:$P$19,0),MATCH(EU$6,'Operating Assumptions'!$P$8:$AA$8,0)))</f>
        <v>0</v>
      </c>
      <c r="EV71" s="427">
        <f>-IF(OR(EV$9&lt;'Operating Assumptions'!$D$53,EV$6&gt;'Operating Assumptions'!$AA$8),0,EV41*INDEX('Operating Assumptions'!$P$8:$AA$19,MATCH($B71,'Operating Assumptions'!$P$8:$P$19,0),MATCH(EV$6,'Operating Assumptions'!$P$8:$AA$8,0)))</f>
        <v>0</v>
      </c>
      <c r="EW71" s="427">
        <f>-IF(OR(EW$9&lt;'Operating Assumptions'!$D$53,EW$6&gt;'Operating Assumptions'!$AA$8),0,EW41*INDEX('Operating Assumptions'!$P$8:$AA$19,MATCH($B71,'Operating Assumptions'!$P$8:$P$19,0),MATCH(EW$6,'Operating Assumptions'!$P$8:$AA$8,0)))</f>
        <v>0</v>
      </c>
      <c r="EX71" s="427">
        <f>-IF(OR(EX$9&lt;'Operating Assumptions'!$D$53,EX$6&gt;'Operating Assumptions'!$AA$8),0,EX41*INDEX('Operating Assumptions'!$P$8:$AA$19,MATCH($B71,'Operating Assumptions'!$P$8:$P$19,0),MATCH(EX$6,'Operating Assumptions'!$P$8:$AA$8,0)))</f>
        <v>0</v>
      </c>
      <c r="EY71" s="427">
        <f>-IF(OR(EY$9&lt;'Operating Assumptions'!$D$53,EY$6&gt;'Operating Assumptions'!$AA$8),0,EY41*INDEX('Operating Assumptions'!$P$8:$AA$19,MATCH($B71,'Operating Assumptions'!$P$8:$P$19,0),MATCH(EY$6,'Operating Assumptions'!$P$8:$AA$8,0)))</f>
        <v>0</v>
      </c>
      <c r="EZ71" s="427">
        <f>-IF(OR(EZ$9&lt;'Operating Assumptions'!$D$53,EZ$6&gt;'Operating Assumptions'!$AA$8),0,EZ41*INDEX('Operating Assumptions'!$P$8:$AA$19,MATCH($B71,'Operating Assumptions'!$P$8:$P$19,0),MATCH(EZ$6,'Operating Assumptions'!$P$8:$AA$8,0)))</f>
        <v>0</v>
      </c>
      <c r="FA71" s="427">
        <f>-IF(OR(FA$9&lt;'Operating Assumptions'!$D$53,FA$6&gt;'Operating Assumptions'!$AA$8),0,FA41*INDEX('Operating Assumptions'!$P$8:$AA$19,MATCH($B71,'Operating Assumptions'!$P$8:$P$19,0),MATCH(FA$6,'Operating Assumptions'!$P$8:$AA$8,0)))</f>
        <v>0</v>
      </c>
      <c r="FB71" s="427">
        <f>-IF(OR(FB$9&lt;'Operating Assumptions'!$D$53,FB$6&gt;'Operating Assumptions'!$AA$8),0,FB41*INDEX('Operating Assumptions'!$P$8:$AA$19,MATCH($B71,'Operating Assumptions'!$P$8:$P$19,0),MATCH(FB$6,'Operating Assumptions'!$P$8:$AA$8,0)))</f>
        <v>0</v>
      </c>
      <c r="FC71" s="427">
        <f>-IF(OR(FC$9&lt;'Operating Assumptions'!$D$53,FC$6&gt;'Operating Assumptions'!$AA$8),0,FC41*INDEX('Operating Assumptions'!$P$8:$AA$19,MATCH($B71,'Operating Assumptions'!$P$8:$P$19,0),MATCH(FC$6,'Operating Assumptions'!$P$8:$AA$8,0)))</f>
        <v>0</v>
      </c>
      <c r="FD71" s="427">
        <f>-IF(OR(FD$9&lt;'Operating Assumptions'!$D$53,FD$6&gt;'Operating Assumptions'!$AA$8),0,FD41*INDEX('Operating Assumptions'!$P$8:$AA$19,MATCH($B71,'Operating Assumptions'!$P$8:$P$19,0),MATCH(FD$6,'Operating Assumptions'!$P$8:$AA$8,0)))</f>
        <v>0</v>
      </c>
      <c r="FE71" s="427">
        <f>-IF(OR(FE$9&lt;'Operating Assumptions'!$D$53,FE$6&gt;'Operating Assumptions'!$AA$8),0,FE41*INDEX('Operating Assumptions'!$P$8:$AA$19,MATCH($B71,'Operating Assumptions'!$P$8:$P$19,0),MATCH(FE$6,'Operating Assumptions'!$P$8:$AA$8,0)))</f>
        <v>0</v>
      </c>
      <c r="FF71" s="427">
        <f>-IF(OR(FF$9&lt;'Operating Assumptions'!$D$53,FF$6&gt;'Operating Assumptions'!$AA$8),0,FF41*INDEX('Operating Assumptions'!$P$8:$AA$19,MATCH($B71,'Operating Assumptions'!$P$8:$P$19,0),MATCH(FF$6,'Operating Assumptions'!$P$8:$AA$8,0)))</f>
        <v>0</v>
      </c>
      <c r="FG71" s="427">
        <f>-IF(OR(FG$9&lt;'Operating Assumptions'!$D$53,FG$6&gt;'Operating Assumptions'!$AA$8),0,FG41*INDEX('Operating Assumptions'!$P$8:$AA$19,MATCH($B71,'Operating Assumptions'!$P$8:$P$19,0),MATCH(FG$6,'Operating Assumptions'!$P$8:$AA$8,0)))</f>
        <v>0</v>
      </c>
      <c r="FH71" s="427">
        <f>-IF(OR(FH$9&lt;'Operating Assumptions'!$D$53,FH$6&gt;'Operating Assumptions'!$AA$8),0,FH41*INDEX('Operating Assumptions'!$P$8:$AA$19,MATCH($B71,'Operating Assumptions'!$P$8:$P$19,0),MATCH(FH$6,'Operating Assumptions'!$P$8:$AA$8,0)))</f>
        <v>0</v>
      </c>
      <c r="FI71" s="427">
        <f>-IF(OR(FI$9&lt;'Operating Assumptions'!$D$53,FI$6&gt;'Operating Assumptions'!$AA$8),0,FI41*INDEX('Operating Assumptions'!$P$8:$AA$19,MATCH($B71,'Operating Assumptions'!$P$8:$P$19,0),MATCH(FI$6,'Operating Assumptions'!$P$8:$AA$8,0)))</f>
        <v>0</v>
      </c>
      <c r="FJ71" s="427">
        <f>-IF(OR(FJ$9&lt;'Operating Assumptions'!$D$53,FJ$6&gt;'Operating Assumptions'!$AA$8),0,FJ41*INDEX('Operating Assumptions'!$P$8:$AA$19,MATCH($B71,'Operating Assumptions'!$P$8:$P$19,0),MATCH(FJ$6,'Operating Assumptions'!$P$8:$AA$8,0)))</f>
        <v>0</v>
      </c>
      <c r="FK71" s="427">
        <f>-IF(OR(FK$9&lt;'Operating Assumptions'!$D$53,FK$6&gt;'Operating Assumptions'!$AA$8),0,FK41*INDEX('Operating Assumptions'!$P$8:$AA$19,MATCH($B71,'Operating Assumptions'!$P$8:$P$19,0),MATCH(FK$6,'Operating Assumptions'!$P$8:$AA$8,0)))</f>
        <v>0</v>
      </c>
      <c r="FL71" s="427">
        <f>-IF(OR(FL$9&lt;'Operating Assumptions'!$D$53,FL$6&gt;'Operating Assumptions'!$AA$8),0,FL41*INDEX('Operating Assumptions'!$P$8:$AA$19,MATCH($B71,'Operating Assumptions'!$P$8:$P$19,0),MATCH(FL$6,'Operating Assumptions'!$P$8:$AA$8,0)))</f>
        <v>0</v>
      </c>
      <c r="FM71" s="427">
        <f>-IF(OR(FM$9&lt;'Operating Assumptions'!$D$53,FM$6&gt;'Operating Assumptions'!$AA$8),0,FM41*INDEX('Operating Assumptions'!$P$8:$AA$19,MATCH($B71,'Operating Assumptions'!$P$8:$P$19,0),MATCH(FM$6,'Operating Assumptions'!$P$8:$AA$8,0)))</f>
        <v>0</v>
      </c>
      <c r="FN71" s="427">
        <f>-IF(OR(FN$9&lt;'Operating Assumptions'!$D$53,FN$6&gt;'Operating Assumptions'!$AA$8),0,FN41*INDEX('Operating Assumptions'!$P$8:$AA$19,MATCH($B71,'Operating Assumptions'!$P$8:$P$19,0),MATCH(FN$6,'Operating Assumptions'!$P$8:$AA$8,0)))</f>
        <v>0</v>
      </c>
      <c r="FO71" s="427">
        <f>-IF(OR(FO$9&lt;'Operating Assumptions'!$D$53,FO$6&gt;'Operating Assumptions'!$AA$8),0,FO41*INDEX('Operating Assumptions'!$P$8:$AA$19,MATCH($B71,'Operating Assumptions'!$P$8:$P$19,0),MATCH(FO$6,'Operating Assumptions'!$P$8:$AA$8,0)))</f>
        <v>0</v>
      </c>
      <c r="FP71" s="427">
        <f>-IF(OR(FP$9&lt;'Operating Assumptions'!$D$53,FP$6&gt;'Operating Assumptions'!$AA$8),0,FP41*INDEX('Operating Assumptions'!$P$8:$AA$19,MATCH($B71,'Operating Assumptions'!$P$8:$P$19,0),MATCH(FP$6,'Operating Assumptions'!$P$8:$AA$8,0)))</f>
        <v>0</v>
      </c>
      <c r="FQ71" s="427">
        <f>-IF(OR(FQ$9&lt;'Operating Assumptions'!$D$53,FQ$6&gt;'Operating Assumptions'!$AA$8),0,FQ41*INDEX('Operating Assumptions'!$P$8:$AA$19,MATCH($B71,'Operating Assumptions'!$P$8:$P$19,0),MATCH(FQ$6,'Operating Assumptions'!$P$8:$AA$8,0)))</f>
        <v>0</v>
      </c>
      <c r="FR71" s="427">
        <f>-IF(OR(FR$9&lt;'Operating Assumptions'!$D$53,FR$6&gt;'Operating Assumptions'!$AA$8),0,FR41*INDEX('Operating Assumptions'!$P$8:$AA$19,MATCH($B71,'Operating Assumptions'!$P$8:$P$19,0),MATCH(FR$6,'Operating Assumptions'!$P$8:$AA$8,0)))</f>
        <v>0</v>
      </c>
      <c r="FS71" s="427">
        <f>-IF(OR(FS$9&lt;'Operating Assumptions'!$D$53,FS$6&gt;'Operating Assumptions'!$AA$8),0,FS41*INDEX('Operating Assumptions'!$P$8:$AA$19,MATCH($B71,'Operating Assumptions'!$P$8:$P$19,0),MATCH(FS$6,'Operating Assumptions'!$P$8:$AA$8,0)))</f>
        <v>0</v>
      </c>
      <c r="FT71" s="427">
        <f>-IF(OR(FT$9&lt;'Operating Assumptions'!$D$53,FT$6&gt;'Operating Assumptions'!$AA$8),0,FT41*INDEX('Operating Assumptions'!$P$8:$AA$19,MATCH($B71,'Operating Assumptions'!$P$8:$P$19,0),MATCH(FT$6,'Operating Assumptions'!$P$8:$AA$8,0)))</f>
        <v>0</v>
      </c>
      <c r="FU71" s="43"/>
      <c r="FV71" s="34"/>
      <c r="FW71" s="34"/>
      <c r="FX71" s="34"/>
      <c r="FY71" s="34"/>
      <c r="FZ71" s="34"/>
    </row>
    <row r="72" spans="1:182" s="89" customFormat="1" ht="13.5" x14ac:dyDescent="0.25">
      <c r="A72" s="34"/>
      <c r="B72" s="128" t="str">
        <f>'Operating Assumptions'!F36</f>
        <v>Change in Prepaids</v>
      </c>
      <c r="C72" s="34"/>
      <c r="D72" s="34"/>
      <c r="E72" s="34"/>
      <c r="F72" s="434">
        <f t="shared" si="162"/>
        <v>0</v>
      </c>
      <c r="G72" s="34"/>
      <c r="H72" s="427">
        <f>-IF(OR(H$9&lt;'Operating Assumptions'!$D$53,H$6&gt;'Operating Assumptions'!$AA$8),0,H41*INDEX('Operating Assumptions'!$P$8:$AA$19,MATCH($B72,'Operating Assumptions'!$P$8:$P$19,0),MATCH(H$6,'Operating Assumptions'!$P$8:$AA$8,0)))</f>
        <v>0</v>
      </c>
      <c r="I72" s="427">
        <f>-IF(OR(I$9&lt;'Operating Assumptions'!$D$53,I$6&gt;'Operating Assumptions'!$AA$8),0,I41*INDEX('Operating Assumptions'!$P$8:$AA$19,MATCH($B72,'Operating Assumptions'!$P$8:$P$19,0),MATCH(I$6,'Operating Assumptions'!$P$8:$AA$8,0)))</f>
        <v>0</v>
      </c>
      <c r="J72" s="427">
        <f>-IF(OR(J$9&lt;'Operating Assumptions'!$D$53,J$6&gt;'Operating Assumptions'!$AA$8),0,J41*INDEX('Operating Assumptions'!$P$8:$AA$19,MATCH($B72,'Operating Assumptions'!$P$8:$P$19,0),MATCH(J$6,'Operating Assumptions'!$P$8:$AA$8,0)))</f>
        <v>0</v>
      </c>
      <c r="K72" s="427">
        <f>-IF(OR(K$9&lt;'Operating Assumptions'!$D$53,K$6&gt;'Operating Assumptions'!$AA$8),0,K41*INDEX('Operating Assumptions'!$P$8:$AA$19,MATCH($B72,'Operating Assumptions'!$P$8:$P$19,0),MATCH(K$6,'Operating Assumptions'!$P$8:$AA$8,0)))</f>
        <v>0</v>
      </c>
      <c r="L72" s="427">
        <f>-IF(OR(L$9&lt;'Operating Assumptions'!$D$53,L$6&gt;'Operating Assumptions'!$AA$8),0,L41*INDEX('Operating Assumptions'!$P$8:$AA$19,MATCH($B72,'Operating Assumptions'!$P$8:$P$19,0),MATCH(L$6,'Operating Assumptions'!$P$8:$AA$8,0)))</f>
        <v>0</v>
      </c>
      <c r="M72" s="427">
        <f>-IF(OR(M$9&lt;'Operating Assumptions'!$D$53,M$6&gt;'Operating Assumptions'!$AA$8),0,M41*INDEX('Operating Assumptions'!$P$8:$AA$19,MATCH($B72,'Operating Assumptions'!$P$8:$P$19,0),MATCH(M$6,'Operating Assumptions'!$P$8:$AA$8,0)))</f>
        <v>0</v>
      </c>
      <c r="N72" s="427">
        <f>-IF(OR(N$9&lt;'Operating Assumptions'!$D$53,N$6&gt;'Operating Assumptions'!$AA$8),0,N41*INDEX('Operating Assumptions'!$P$8:$AA$19,MATCH($B72,'Operating Assumptions'!$P$8:$P$19,0),MATCH(N$6,'Operating Assumptions'!$P$8:$AA$8,0)))</f>
        <v>0</v>
      </c>
      <c r="O72" s="427">
        <f>-IF(OR(O$9&lt;'Operating Assumptions'!$D$53,O$6&gt;'Operating Assumptions'!$AA$8),0,O41*INDEX('Operating Assumptions'!$P$8:$AA$19,MATCH($B72,'Operating Assumptions'!$P$8:$P$19,0),MATCH(O$6,'Operating Assumptions'!$P$8:$AA$8,0)))</f>
        <v>0</v>
      </c>
      <c r="P72" s="427">
        <f>-IF(OR(P$9&lt;'Operating Assumptions'!$D$53,P$6&gt;'Operating Assumptions'!$AA$8),0,P41*INDEX('Operating Assumptions'!$P$8:$AA$19,MATCH($B72,'Operating Assumptions'!$P$8:$P$19,0),MATCH(P$6,'Operating Assumptions'!$P$8:$AA$8,0)))</f>
        <v>0</v>
      </c>
      <c r="Q72" s="427">
        <f>-IF(OR(Q$9&lt;'Operating Assumptions'!$D$53,Q$6&gt;'Operating Assumptions'!$AA$8),0,Q41*INDEX('Operating Assumptions'!$P$8:$AA$19,MATCH($B72,'Operating Assumptions'!$P$8:$P$19,0),MATCH(Q$6,'Operating Assumptions'!$P$8:$AA$8,0)))</f>
        <v>0</v>
      </c>
      <c r="R72" s="427">
        <f>-IF(OR(R$9&lt;'Operating Assumptions'!$D$53,R$6&gt;'Operating Assumptions'!$AA$8),0,R41*INDEX('Operating Assumptions'!$P$8:$AA$19,MATCH($B72,'Operating Assumptions'!$P$8:$P$19,0),MATCH(R$6,'Operating Assumptions'!$P$8:$AA$8,0)))</f>
        <v>0</v>
      </c>
      <c r="S72" s="427">
        <f>-IF(OR(S$9&lt;'Operating Assumptions'!$D$53,S$6&gt;'Operating Assumptions'!$AA$8),0,S41*INDEX('Operating Assumptions'!$P$8:$AA$19,MATCH($B72,'Operating Assumptions'!$P$8:$P$19,0),MATCH(S$6,'Operating Assumptions'!$P$8:$AA$8,0)))</f>
        <v>0</v>
      </c>
      <c r="T72" s="427">
        <f>-IF(OR(T$9&lt;'Operating Assumptions'!$D$53,T$6&gt;'Operating Assumptions'!$AA$8),0,T41*INDEX('Operating Assumptions'!$P$8:$AA$19,MATCH($B72,'Operating Assumptions'!$P$8:$P$19,0),MATCH(T$6,'Operating Assumptions'!$P$8:$AA$8,0)))</f>
        <v>0</v>
      </c>
      <c r="U72" s="427">
        <f>-IF(OR(U$9&lt;'Operating Assumptions'!$D$53,U$6&gt;'Operating Assumptions'!$AA$8),0,U41*INDEX('Operating Assumptions'!$P$8:$AA$19,MATCH($B72,'Operating Assumptions'!$P$8:$P$19,0),MATCH(U$6,'Operating Assumptions'!$P$8:$AA$8,0)))</f>
        <v>0</v>
      </c>
      <c r="V72" s="427">
        <f>-IF(OR(V$9&lt;'Operating Assumptions'!$D$53,V$6&gt;'Operating Assumptions'!$AA$8),0,V41*INDEX('Operating Assumptions'!$P$8:$AA$19,MATCH($B72,'Operating Assumptions'!$P$8:$P$19,0),MATCH(V$6,'Operating Assumptions'!$P$8:$AA$8,0)))</f>
        <v>0</v>
      </c>
      <c r="W72" s="427">
        <f>-IF(OR(W$9&lt;'Operating Assumptions'!$D$53,W$6&gt;'Operating Assumptions'!$AA$8),0,W41*INDEX('Operating Assumptions'!$P$8:$AA$19,MATCH($B72,'Operating Assumptions'!$P$8:$P$19,0),MATCH(W$6,'Operating Assumptions'!$P$8:$AA$8,0)))</f>
        <v>0</v>
      </c>
      <c r="X72" s="427">
        <f>-IF(OR(X$9&lt;'Operating Assumptions'!$D$53,X$6&gt;'Operating Assumptions'!$AA$8),0,X41*INDEX('Operating Assumptions'!$P$8:$AA$19,MATCH($B72,'Operating Assumptions'!$P$8:$P$19,0),MATCH(X$6,'Operating Assumptions'!$P$8:$AA$8,0)))</f>
        <v>0</v>
      </c>
      <c r="Y72" s="427">
        <f>-IF(OR(Y$9&lt;'Operating Assumptions'!$D$53,Y$6&gt;'Operating Assumptions'!$AA$8),0,Y41*INDEX('Operating Assumptions'!$P$8:$AA$19,MATCH($B72,'Operating Assumptions'!$P$8:$P$19,0),MATCH(Y$6,'Operating Assumptions'!$P$8:$AA$8,0)))</f>
        <v>0</v>
      </c>
      <c r="Z72" s="427">
        <f>-IF(OR(Z$9&lt;'Operating Assumptions'!$D$53,Z$6&gt;'Operating Assumptions'!$AA$8),0,Z41*INDEX('Operating Assumptions'!$P$8:$AA$19,MATCH($B72,'Operating Assumptions'!$P$8:$P$19,0),MATCH(Z$6,'Operating Assumptions'!$P$8:$AA$8,0)))</f>
        <v>0</v>
      </c>
      <c r="AA72" s="427">
        <f>-IF(OR(AA$9&lt;'Operating Assumptions'!$D$53,AA$6&gt;'Operating Assumptions'!$AA$8),0,AA41*INDEX('Operating Assumptions'!$P$8:$AA$19,MATCH($B72,'Operating Assumptions'!$P$8:$P$19,0),MATCH(AA$6,'Operating Assumptions'!$P$8:$AA$8,0)))</f>
        <v>0</v>
      </c>
      <c r="AB72" s="427">
        <f>-IF(OR(AB$9&lt;'Operating Assumptions'!$D$53,AB$6&gt;'Operating Assumptions'!$AA$8),0,AB41*INDEX('Operating Assumptions'!$P$8:$AA$19,MATCH($B72,'Operating Assumptions'!$P$8:$P$19,0),MATCH(AB$6,'Operating Assumptions'!$P$8:$AA$8,0)))</f>
        <v>0</v>
      </c>
      <c r="AC72" s="427">
        <f>-IF(OR(AC$9&lt;'Operating Assumptions'!$D$53,AC$6&gt;'Operating Assumptions'!$AA$8),0,AC41*INDEX('Operating Assumptions'!$P$8:$AA$19,MATCH($B72,'Operating Assumptions'!$P$8:$P$19,0),MATCH(AC$6,'Operating Assumptions'!$P$8:$AA$8,0)))</f>
        <v>0</v>
      </c>
      <c r="AD72" s="427">
        <f>-IF(OR(AD$9&lt;'Operating Assumptions'!$D$53,AD$6&gt;'Operating Assumptions'!$AA$8),0,AD41*INDEX('Operating Assumptions'!$P$8:$AA$19,MATCH($B72,'Operating Assumptions'!$P$8:$P$19,0),MATCH(AD$6,'Operating Assumptions'!$P$8:$AA$8,0)))</f>
        <v>0</v>
      </c>
      <c r="AE72" s="427">
        <f>-IF(OR(AE$9&lt;'Operating Assumptions'!$D$53,AE$6&gt;'Operating Assumptions'!$AA$8),0,AE41*INDEX('Operating Assumptions'!$P$8:$AA$19,MATCH($B72,'Operating Assumptions'!$P$8:$P$19,0),MATCH(AE$6,'Operating Assumptions'!$P$8:$AA$8,0)))</f>
        <v>0</v>
      </c>
      <c r="AF72" s="427">
        <f>-IF(OR(AF$9&lt;'Operating Assumptions'!$D$53,AF$6&gt;'Operating Assumptions'!$AA$8),0,AF41*INDEX('Operating Assumptions'!$P$8:$AA$19,MATCH($B72,'Operating Assumptions'!$P$8:$P$19,0),MATCH(AF$6,'Operating Assumptions'!$P$8:$AA$8,0)))</f>
        <v>0</v>
      </c>
      <c r="AG72" s="427">
        <f>-IF(OR(AG$9&lt;'Operating Assumptions'!$D$53,AG$6&gt;'Operating Assumptions'!$AA$8),0,AG41*INDEX('Operating Assumptions'!$P$8:$AA$19,MATCH($B72,'Operating Assumptions'!$P$8:$P$19,0),MATCH(AG$6,'Operating Assumptions'!$P$8:$AA$8,0)))</f>
        <v>0</v>
      </c>
      <c r="AH72" s="427">
        <f>-IF(OR(AH$9&lt;'Operating Assumptions'!$D$53,AH$6&gt;'Operating Assumptions'!$AA$8),0,AH41*INDEX('Operating Assumptions'!$P$8:$AA$19,MATCH($B72,'Operating Assumptions'!$P$8:$P$19,0),MATCH(AH$6,'Operating Assumptions'!$P$8:$AA$8,0)))</f>
        <v>0</v>
      </c>
      <c r="AI72" s="427">
        <f>-IF(OR(AI$9&lt;'Operating Assumptions'!$D$53,AI$6&gt;'Operating Assumptions'!$AA$8),0,AI41*INDEX('Operating Assumptions'!$P$8:$AA$19,MATCH($B72,'Operating Assumptions'!$P$8:$P$19,0),MATCH(AI$6,'Operating Assumptions'!$P$8:$AA$8,0)))</f>
        <v>0</v>
      </c>
      <c r="AJ72" s="427">
        <f>-IF(OR(AJ$9&lt;'Operating Assumptions'!$D$53,AJ$6&gt;'Operating Assumptions'!$AA$8),0,AJ41*INDEX('Operating Assumptions'!$P$8:$AA$19,MATCH($B72,'Operating Assumptions'!$P$8:$P$19,0),MATCH(AJ$6,'Operating Assumptions'!$P$8:$AA$8,0)))</f>
        <v>0</v>
      </c>
      <c r="AK72" s="427">
        <f>-IF(OR(AK$9&lt;'Operating Assumptions'!$D$53,AK$6&gt;'Operating Assumptions'!$AA$8),0,AK41*INDEX('Operating Assumptions'!$P$8:$AA$19,MATCH($B72,'Operating Assumptions'!$P$8:$P$19,0),MATCH(AK$6,'Operating Assumptions'!$P$8:$AA$8,0)))</f>
        <v>0</v>
      </c>
      <c r="AL72" s="427">
        <f>-IF(OR(AL$9&lt;'Operating Assumptions'!$D$53,AL$6&gt;'Operating Assumptions'!$AA$8),0,AL41*INDEX('Operating Assumptions'!$P$8:$AA$19,MATCH($B72,'Operating Assumptions'!$P$8:$P$19,0),MATCH(AL$6,'Operating Assumptions'!$P$8:$AA$8,0)))</f>
        <v>0</v>
      </c>
      <c r="AM72" s="427">
        <f>-IF(OR(AM$9&lt;'Operating Assumptions'!$D$53,AM$6&gt;'Operating Assumptions'!$AA$8),0,AM41*INDEX('Operating Assumptions'!$P$8:$AA$19,MATCH($B72,'Operating Assumptions'!$P$8:$P$19,0),MATCH(AM$6,'Operating Assumptions'!$P$8:$AA$8,0)))</f>
        <v>0</v>
      </c>
      <c r="AN72" s="427">
        <f>-IF(OR(AN$9&lt;'Operating Assumptions'!$D$53,AN$6&gt;'Operating Assumptions'!$AA$8),0,AN41*INDEX('Operating Assumptions'!$P$8:$AA$19,MATCH($B72,'Operating Assumptions'!$P$8:$P$19,0),MATCH(AN$6,'Operating Assumptions'!$P$8:$AA$8,0)))</f>
        <v>0</v>
      </c>
      <c r="AO72" s="427">
        <f>-IF(OR(AO$9&lt;'Operating Assumptions'!$D$53,AO$6&gt;'Operating Assumptions'!$AA$8),0,AO41*INDEX('Operating Assumptions'!$P$8:$AA$19,MATCH($B72,'Operating Assumptions'!$P$8:$P$19,0),MATCH(AO$6,'Operating Assumptions'!$P$8:$AA$8,0)))</f>
        <v>0</v>
      </c>
      <c r="AP72" s="427">
        <f>-IF(OR(AP$9&lt;'Operating Assumptions'!$D$53,AP$6&gt;'Operating Assumptions'!$AA$8),0,AP41*INDEX('Operating Assumptions'!$P$8:$AA$19,MATCH($B72,'Operating Assumptions'!$P$8:$P$19,0),MATCH(AP$6,'Operating Assumptions'!$P$8:$AA$8,0)))</f>
        <v>0</v>
      </c>
      <c r="AQ72" s="427">
        <f>-IF(OR(AQ$9&lt;'Operating Assumptions'!$D$53,AQ$6&gt;'Operating Assumptions'!$AA$8),0,AQ41*INDEX('Operating Assumptions'!$P$8:$AA$19,MATCH($B72,'Operating Assumptions'!$P$8:$P$19,0),MATCH(AQ$6,'Operating Assumptions'!$P$8:$AA$8,0)))</f>
        <v>0</v>
      </c>
      <c r="AR72" s="427">
        <f>-IF(OR(AR$9&lt;'Operating Assumptions'!$D$53,AR$6&gt;'Operating Assumptions'!$AA$8),0,AR41*INDEX('Operating Assumptions'!$P$8:$AA$19,MATCH($B72,'Operating Assumptions'!$P$8:$P$19,0),MATCH(AR$6,'Operating Assumptions'!$P$8:$AA$8,0)))</f>
        <v>0</v>
      </c>
      <c r="AS72" s="427">
        <f>-IF(OR(AS$9&lt;'Operating Assumptions'!$D$53,AS$6&gt;'Operating Assumptions'!$AA$8),0,AS41*INDEX('Operating Assumptions'!$P$8:$AA$19,MATCH($B72,'Operating Assumptions'!$P$8:$P$19,0),MATCH(AS$6,'Operating Assumptions'!$P$8:$AA$8,0)))</f>
        <v>0</v>
      </c>
      <c r="AT72" s="427">
        <f>-IF(OR(AT$9&lt;'Operating Assumptions'!$D$53,AT$6&gt;'Operating Assumptions'!$AA$8),0,AT41*INDEX('Operating Assumptions'!$P$8:$AA$19,MATCH($B72,'Operating Assumptions'!$P$8:$P$19,0),MATCH(AT$6,'Operating Assumptions'!$P$8:$AA$8,0)))</f>
        <v>0</v>
      </c>
      <c r="AU72" s="427">
        <f>-IF(OR(AU$9&lt;'Operating Assumptions'!$D$53,AU$6&gt;'Operating Assumptions'!$AA$8),0,AU41*INDEX('Operating Assumptions'!$P$8:$AA$19,MATCH($B72,'Operating Assumptions'!$P$8:$P$19,0),MATCH(AU$6,'Operating Assumptions'!$P$8:$AA$8,0)))</f>
        <v>0</v>
      </c>
      <c r="AV72" s="427">
        <f>-IF(OR(AV$9&lt;'Operating Assumptions'!$D$53,AV$6&gt;'Operating Assumptions'!$AA$8),0,AV41*INDEX('Operating Assumptions'!$P$8:$AA$19,MATCH($B72,'Operating Assumptions'!$P$8:$P$19,0),MATCH(AV$6,'Operating Assumptions'!$P$8:$AA$8,0)))</f>
        <v>0</v>
      </c>
      <c r="AW72" s="427">
        <f>-IF(OR(AW$9&lt;'Operating Assumptions'!$D$53,AW$6&gt;'Operating Assumptions'!$AA$8),0,AW41*INDEX('Operating Assumptions'!$P$8:$AA$19,MATCH($B72,'Operating Assumptions'!$P$8:$P$19,0),MATCH(AW$6,'Operating Assumptions'!$P$8:$AA$8,0)))</f>
        <v>0</v>
      </c>
      <c r="AX72" s="427">
        <f>-IF(OR(AX$9&lt;'Operating Assumptions'!$D$53,AX$6&gt;'Operating Assumptions'!$AA$8),0,AX41*INDEX('Operating Assumptions'!$P$8:$AA$19,MATCH($B72,'Operating Assumptions'!$P$8:$P$19,0),MATCH(AX$6,'Operating Assumptions'!$P$8:$AA$8,0)))</f>
        <v>0</v>
      </c>
      <c r="AY72" s="427">
        <f>-IF(OR(AY$9&lt;'Operating Assumptions'!$D$53,AY$6&gt;'Operating Assumptions'!$AA$8),0,AY41*INDEX('Operating Assumptions'!$P$8:$AA$19,MATCH($B72,'Operating Assumptions'!$P$8:$P$19,0),MATCH(AY$6,'Operating Assumptions'!$P$8:$AA$8,0)))</f>
        <v>0</v>
      </c>
      <c r="AZ72" s="427">
        <f>-IF(OR(AZ$9&lt;'Operating Assumptions'!$D$53,AZ$6&gt;'Operating Assumptions'!$AA$8),0,AZ41*INDEX('Operating Assumptions'!$P$8:$AA$19,MATCH($B72,'Operating Assumptions'!$P$8:$P$19,0),MATCH(AZ$6,'Operating Assumptions'!$P$8:$AA$8,0)))</f>
        <v>0</v>
      </c>
      <c r="BA72" s="427">
        <f>-IF(OR(BA$9&lt;'Operating Assumptions'!$D$53,BA$6&gt;'Operating Assumptions'!$AA$8),0,BA41*INDEX('Operating Assumptions'!$P$8:$AA$19,MATCH($B72,'Operating Assumptions'!$P$8:$P$19,0),MATCH(BA$6,'Operating Assumptions'!$P$8:$AA$8,0)))</f>
        <v>0</v>
      </c>
      <c r="BB72" s="427">
        <f>-IF(OR(BB$9&lt;'Operating Assumptions'!$D$53,BB$6&gt;'Operating Assumptions'!$AA$8),0,BB41*INDEX('Operating Assumptions'!$P$8:$AA$19,MATCH($B72,'Operating Assumptions'!$P$8:$P$19,0),MATCH(BB$6,'Operating Assumptions'!$P$8:$AA$8,0)))</f>
        <v>0</v>
      </c>
      <c r="BC72" s="427">
        <f>-IF(OR(BC$9&lt;'Operating Assumptions'!$D$53,BC$6&gt;'Operating Assumptions'!$AA$8),0,BC41*INDEX('Operating Assumptions'!$P$8:$AA$19,MATCH($B72,'Operating Assumptions'!$P$8:$P$19,0),MATCH(BC$6,'Operating Assumptions'!$P$8:$AA$8,0)))</f>
        <v>0</v>
      </c>
      <c r="BD72" s="427">
        <f>-IF(OR(BD$9&lt;'Operating Assumptions'!$D$53,BD$6&gt;'Operating Assumptions'!$AA$8),0,BD41*INDEX('Operating Assumptions'!$P$8:$AA$19,MATCH($B72,'Operating Assumptions'!$P$8:$P$19,0),MATCH(BD$6,'Operating Assumptions'!$P$8:$AA$8,0)))</f>
        <v>0</v>
      </c>
      <c r="BE72" s="427">
        <f>-IF(OR(BE$9&lt;'Operating Assumptions'!$D$53,BE$6&gt;'Operating Assumptions'!$AA$8),0,BE41*INDEX('Operating Assumptions'!$P$8:$AA$19,MATCH($B72,'Operating Assumptions'!$P$8:$P$19,0),MATCH(BE$6,'Operating Assumptions'!$P$8:$AA$8,0)))</f>
        <v>0</v>
      </c>
      <c r="BF72" s="427">
        <f>-IF(OR(BF$9&lt;'Operating Assumptions'!$D$53,BF$6&gt;'Operating Assumptions'!$AA$8),0,BF41*INDEX('Operating Assumptions'!$P$8:$AA$19,MATCH($B72,'Operating Assumptions'!$P$8:$P$19,0),MATCH(BF$6,'Operating Assumptions'!$P$8:$AA$8,0)))</f>
        <v>0</v>
      </c>
      <c r="BG72" s="427">
        <f>-IF(OR(BG$9&lt;'Operating Assumptions'!$D$53,BG$6&gt;'Operating Assumptions'!$AA$8),0,BG41*INDEX('Operating Assumptions'!$P$8:$AA$19,MATCH($B72,'Operating Assumptions'!$P$8:$P$19,0),MATCH(BG$6,'Operating Assumptions'!$P$8:$AA$8,0)))</f>
        <v>0</v>
      </c>
      <c r="BH72" s="427">
        <f>-IF(OR(BH$9&lt;'Operating Assumptions'!$D$53,BH$6&gt;'Operating Assumptions'!$AA$8),0,BH41*INDEX('Operating Assumptions'!$P$8:$AA$19,MATCH($B72,'Operating Assumptions'!$P$8:$P$19,0),MATCH(BH$6,'Operating Assumptions'!$P$8:$AA$8,0)))</f>
        <v>0</v>
      </c>
      <c r="BI72" s="427">
        <f>-IF(OR(BI$9&lt;'Operating Assumptions'!$D$53,BI$6&gt;'Operating Assumptions'!$AA$8),0,BI41*INDEX('Operating Assumptions'!$P$8:$AA$19,MATCH($B72,'Operating Assumptions'!$P$8:$P$19,0),MATCH(BI$6,'Operating Assumptions'!$P$8:$AA$8,0)))</f>
        <v>0</v>
      </c>
      <c r="BJ72" s="427">
        <f>-IF(OR(BJ$9&lt;'Operating Assumptions'!$D$53,BJ$6&gt;'Operating Assumptions'!$AA$8),0,BJ41*INDEX('Operating Assumptions'!$P$8:$AA$19,MATCH($B72,'Operating Assumptions'!$P$8:$P$19,0),MATCH(BJ$6,'Operating Assumptions'!$P$8:$AA$8,0)))</f>
        <v>0</v>
      </c>
      <c r="BK72" s="427">
        <f>-IF(OR(BK$9&lt;'Operating Assumptions'!$D$53,BK$6&gt;'Operating Assumptions'!$AA$8),0,BK41*INDEX('Operating Assumptions'!$P$8:$AA$19,MATCH($B72,'Operating Assumptions'!$P$8:$P$19,0),MATCH(BK$6,'Operating Assumptions'!$P$8:$AA$8,0)))</f>
        <v>0</v>
      </c>
      <c r="BL72" s="427">
        <f>-IF(OR(BL$9&lt;'Operating Assumptions'!$D$53,BL$6&gt;'Operating Assumptions'!$AA$8),0,BL41*INDEX('Operating Assumptions'!$P$8:$AA$19,MATCH($B72,'Operating Assumptions'!$P$8:$P$19,0),MATCH(BL$6,'Operating Assumptions'!$P$8:$AA$8,0)))</f>
        <v>0</v>
      </c>
      <c r="BM72" s="427">
        <f>-IF(OR(BM$9&lt;'Operating Assumptions'!$D$53,BM$6&gt;'Operating Assumptions'!$AA$8),0,BM41*INDEX('Operating Assumptions'!$P$8:$AA$19,MATCH($B72,'Operating Assumptions'!$P$8:$P$19,0),MATCH(BM$6,'Operating Assumptions'!$P$8:$AA$8,0)))</f>
        <v>0</v>
      </c>
      <c r="BN72" s="427">
        <f>-IF(OR(BN$9&lt;'Operating Assumptions'!$D$53,BN$6&gt;'Operating Assumptions'!$AA$8),0,BN41*INDEX('Operating Assumptions'!$P$8:$AA$19,MATCH($B72,'Operating Assumptions'!$P$8:$P$19,0),MATCH(BN$6,'Operating Assumptions'!$P$8:$AA$8,0)))</f>
        <v>0</v>
      </c>
      <c r="BO72" s="427">
        <f>-IF(OR(BO$9&lt;'Operating Assumptions'!$D$53,BO$6&gt;'Operating Assumptions'!$AA$8),0,BO41*INDEX('Operating Assumptions'!$P$8:$AA$19,MATCH($B72,'Operating Assumptions'!$P$8:$P$19,0),MATCH(BO$6,'Operating Assumptions'!$P$8:$AA$8,0)))</f>
        <v>0</v>
      </c>
      <c r="BP72" s="427">
        <f>-IF(OR(BP$9&lt;'Operating Assumptions'!$D$53,BP$6&gt;'Operating Assumptions'!$AA$8),0,BP41*INDEX('Operating Assumptions'!$P$8:$AA$19,MATCH($B72,'Operating Assumptions'!$P$8:$P$19,0),MATCH(BP$6,'Operating Assumptions'!$P$8:$AA$8,0)))</f>
        <v>0</v>
      </c>
      <c r="BQ72" s="427">
        <f>-IF(OR(BQ$9&lt;'Operating Assumptions'!$D$53,BQ$6&gt;'Operating Assumptions'!$AA$8),0,BQ41*INDEX('Operating Assumptions'!$P$8:$AA$19,MATCH($B72,'Operating Assumptions'!$P$8:$P$19,0),MATCH(BQ$6,'Operating Assumptions'!$P$8:$AA$8,0)))</f>
        <v>0</v>
      </c>
      <c r="BR72" s="427">
        <f>-IF(OR(BR$9&lt;'Operating Assumptions'!$D$53,BR$6&gt;'Operating Assumptions'!$AA$8),0,BR41*INDEX('Operating Assumptions'!$P$8:$AA$19,MATCH($B72,'Operating Assumptions'!$P$8:$P$19,0),MATCH(BR$6,'Operating Assumptions'!$P$8:$AA$8,0)))</f>
        <v>0</v>
      </c>
      <c r="BS72" s="427">
        <f>-IF(OR(BS$9&lt;'Operating Assumptions'!$D$53,BS$6&gt;'Operating Assumptions'!$AA$8),0,BS41*INDEX('Operating Assumptions'!$P$8:$AA$19,MATCH($B72,'Operating Assumptions'!$P$8:$P$19,0),MATCH(BS$6,'Operating Assumptions'!$P$8:$AA$8,0)))</f>
        <v>0</v>
      </c>
      <c r="BT72" s="427">
        <f>-IF(OR(BT$9&lt;'Operating Assumptions'!$D$53,BT$6&gt;'Operating Assumptions'!$AA$8),0,BT41*INDEX('Operating Assumptions'!$P$8:$AA$19,MATCH($B72,'Operating Assumptions'!$P$8:$P$19,0),MATCH(BT$6,'Operating Assumptions'!$P$8:$AA$8,0)))</f>
        <v>0</v>
      </c>
      <c r="BU72" s="427">
        <f>-IF(OR(BU$9&lt;'Operating Assumptions'!$D$53,BU$6&gt;'Operating Assumptions'!$AA$8),0,BU41*INDEX('Operating Assumptions'!$P$8:$AA$19,MATCH($B72,'Operating Assumptions'!$P$8:$P$19,0),MATCH(BU$6,'Operating Assumptions'!$P$8:$AA$8,0)))</f>
        <v>0</v>
      </c>
      <c r="BV72" s="427">
        <f>-IF(OR(BV$9&lt;'Operating Assumptions'!$D$53,BV$6&gt;'Operating Assumptions'!$AA$8),0,BV41*INDEX('Operating Assumptions'!$P$8:$AA$19,MATCH($B72,'Operating Assumptions'!$P$8:$P$19,0),MATCH(BV$6,'Operating Assumptions'!$P$8:$AA$8,0)))</f>
        <v>0</v>
      </c>
      <c r="BW72" s="427">
        <f>-IF(OR(BW$9&lt;'Operating Assumptions'!$D$53,BW$6&gt;'Operating Assumptions'!$AA$8),0,BW41*INDEX('Operating Assumptions'!$P$8:$AA$19,MATCH($B72,'Operating Assumptions'!$P$8:$P$19,0),MATCH(BW$6,'Operating Assumptions'!$P$8:$AA$8,0)))</f>
        <v>0</v>
      </c>
      <c r="BX72" s="427">
        <f>-IF(OR(BX$9&lt;'Operating Assumptions'!$D$53,BX$6&gt;'Operating Assumptions'!$AA$8),0,BX41*INDEX('Operating Assumptions'!$P$8:$AA$19,MATCH($B72,'Operating Assumptions'!$P$8:$P$19,0),MATCH(BX$6,'Operating Assumptions'!$P$8:$AA$8,0)))</f>
        <v>0</v>
      </c>
      <c r="BY72" s="427">
        <f>-IF(OR(BY$9&lt;'Operating Assumptions'!$D$53,BY$6&gt;'Operating Assumptions'!$AA$8),0,BY41*INDEX('Operating Assumptions'!$P$8:$AA$19,MATCH($B72,'Operating Assumptions'!$P$8:$P$19,0),MATCH(BY$6,'Operating Assumptions'!$P$8:$AA$8,0)))</f>
        <v>0</v>
      </c>
      <c r="BZ72" s="427">
        <f>-IF(OR(BZ$9&lt;'Operating Assumptions'!$D$53,BZ$6&gt;'Operating Assumptions'!$AA$8),0,BZ41*INDEX('Operating Assumptions'!$P$8:$AA$19,MATCH($B72,'Operating Assumptions'!$P$8:$P$19,0),MATCH(BZ$6,'Operating Assumptions'!$P$8:$AA$8,0)))</f>
        <v>0</v>
      </c>
      <c r="CA72" s="427">
        <f>-IF(OR(CA$9&lt;'Operating Assumptions'!$D$53,CA$6&gt;'Operating Assumptions'!$AA$8),0,CA41*INDEX('Operating Assumptions'!$P$8:$AA$19,MATCH($B72,'Operating Assumptions'!$P$8:$P$19,0),MATCH(CA$6,'Operating Assumptions'!$P$8:$AA$8,0)))</f>
        <v>0</v>
      </c>
      <c r="CB72" s="427">
        <f>-IF(OR(CB$9&lt;'Operating Assumptions'!$D$53,CB$6&gt;'Operating Assumptions'!$AA$8),0,CB41*INDEX('Operating Assumptions'!$P$8:$AA$19,MATCH($B72,'Operating Assumptions'!$P$8:$P$19,0),MATCH(CB$6,'Operating Assumptions'!$P$8:$AA$8,0)))</f>
        <v>0</v>
      </c>
      <c r="CC72" s="427">
        <f>-IF(OR(CC$9&lt;'Operating Assumptions'!$D$53,CC$6&gt;'Operating Assumptions'!$AA$8),0,CC41*INDEX('Operating Assumptions'!$P$8:$AA$19,MATCH($B72,'Operating Assumptions'!$P$8:$P$19,0),MATCH(CC$6,'Operating Assumptions'!$P$8:$AA$8,0)))</f>
        <v>0</v>
      </c>
      <c r="CD72" s="427">
        <f>-IF(OR(CD$9&lt;'Operating Assumptions'!$D$53,CD$6&gt;'Operating Assumptions'!$AA$8),0,CD41*INDEX('Operating Assumptions'!$P$8:$AA$19,MATCH($B72,'Operating Assumptions'!$P$8:$P$19,0),MATCH(CD$6,'Operating Assumptions'!$P$8:$AA$8,0)))</f>
        <v>0</v>
      </c>
      <c r="CE72" s="427">
        <f>-IF(OR(CE$9&lt;'Operating Assumptions'!$D$53,CE$6&gt;'Operating Assumptions'!$AA$8),0,CE41*INDEX('Operating Assumptions'!$P$8:$AA$19,MATCH($B72,'Operating Assumptions'!$P$8:$P$19,0),MATCH(CE$6,'Operating Assumptions'!$P$8:$AA$8,0)))</f>
        <v>0</v>
      </c>
      <c r="CF72" s="427">
        <f>-IF(OR(CF$9&lt;'Operating Assumptions'!$D$53,CF$6&gt;'Operating Assumptions'!$AA$8),0,CF41*INDEX('Operating Assumptions'!$P$8:$AA$19,MATCH($B72,'Operating Assumptions'!$P$8:$P$19,0),MATCH(CF$6,'Operating Assumptions'!$P$8:$AA$8,0)))</f>
        <v>0</v>
      </c>
      <c r="CG72" s="427">
        <f>-IF(OR(CG$9&lt;'Operating Assumptions'!$D$53,CG$6&gt;'Operating Assumptions'!$AA$8),0,CG41*INDEX('Operating Assumptions'!$P$8:$AA$19,MATCH($B72,'Operating Assumptions'!$P$8:$P$19,0),MATCH(CG$6,'Operating Assumptions'!$P$8:$AA$8,0)))</f>
        <v>0</v>
      </c>
      <c r="CH72" s="427">
        <f>-IF(OR(CH$9&lt;'Operating Assumptions'!$D$53,CH$6&gt;'Operating Assumptions'!$AA$8),0,CH41*INDEX('Operating Assumptions'!$P$8:$AA$19,MATCH($B72,'Operating Assumptions'!$P$8:$P$19,0),MATCH(CH$6,'Operating Assumptions'!$P$8:$AA$8,0)))</f>
        <v>0</v>
      </c>
      <c r="CI72" s="427">
        <f>-IF(OR(CI$9&lt;'Operating Assumptions'!$D$53,CI$6&gt;'Operating Assumptions'!$AA$8),0,CI41*INDEX('Operating Assumptions'!$P$8:$AA$19,MATCH($B72,'Operating Assumptions'!$P$8:$P$19,0),MATCH(CI$6,'Operating Assumptions'!$P$8:$AA$8,0)))</f>
        <v>0</v>
      </c>
      <c r="CJ72" s="427">
        <f>-IF(OR(CJ$9&lt;'Operating Assumptions'!$D$53,CJ$6&gt;'Operating Assumptions'!$AA$8),0,CJ41*INDEX('Operating Assumptions'!$P$8:$AA$19,MATCH($B72,'Operating Assumptions'!$P$8:$P$19,0),MATCH(CJ$6,'Operating Assumptions'!$P$8:$AA$8,0)))</f>
        <v>0</v>
      </c>
      <c r="CK72" s="427">
        <f>-IF(OR(CK$9&lt;'Operating Assumptions'!$D$53,CK$6&gt;'Operating Assumptions'!$AA$8),0,CK41*INDEX('Operating Assumptions'!$P$8:$AA$19,MATCH($B72,'Operating Assumptions'!$P$8:$P$19,0),MATCH(CK$6,'Operating Assumptions'!$P$8:$AA$8,0)))</f>
        <v>0</v>
      </c>
      <c r="CL72" s="427">
        <f>-IF(OR(CL$9&lt;'Operating Assumptions'!$D$53,CL$6&gt;'Operating Assumptions'!$AA$8),0,CL41*INDEX('Operating Assumptions'!$P$8:$AA$19,MATCH($B72,'Operating Assumptions'!$P$8:$P$19,0),MATCH(CL$6,'Operating Assumptions'!$P$8:$AA$8,0)))</f>
        <v>0</v>
      </c>
      <c r="CM72" s="427">
        <f>-IF(OR(CM$9&lt;'Operating Assumptions'!$D$53,CM$6&gt;'Operating Assumptions'!$AA$8),0,CM41*INDEX('Operating Assumptions'!$P$8:$AA$19,MATCH($B72,'Operating Assumptions'!$P$8:$P$19,0),MATCH(CM$6,'Operating Assumptions'!$P$8:$AA$8,0)))</f>
        <v>0</v>
      </c>
      <c r="CN72" s="427">
        <f>-IF(OR(CN$9&lt;'Operating Assumptions'!$D$53,CN$6&gt;'Operating Assumptions'!$AA$8),0,CN41*INDEX('Operating Assumptions'!$P$8:$AA$19,MATCH($B72,'Operating Assumptions'!$P$8:$P$19,0),MATCH(CN$6,'Operating Assumptions'!$P$8:$AA$8,0)))</f>
        <v>0</v>
      </c>
      <c r="CO72" s="427">
        <f>-IF(OR(CO$9&lt;'Operating Assumptions'!$D$53,CO$6&gt;'Operating Assumptions'!$AA$8),0,CO41*INDEX('Operating Assumptions'!$P$8:$AA$19,MATCH($B72,'Operating Assumptions'!$P$8:$P$19,0),MATCH(CO$6,'Operating Assumptions'!$P$8:$AA$8,0)))</f>
        <v>0</v>
      </c>
      <c r="CP72" s="427">
        <f>-IF(OR(CP$9&lt;'Operating Assumptions'!$D$53,CP$6&gt;'Operating Assumptions'!$AA$8),0,CP41*INDEX('Operating Assumptions'!$P$8:$AA$19,MATCH($B72,'Operating Assumptions'!$P$8:$P$19,0),MATCH(CP$6,'Operating Assumptions'!$P$8:$AA$8,0)))</f>
        <v>0</v>
      </c>
      <c r="CQ72" s="427">
        <f>-IF(OR(CQ$9&lt;'Operating Assumptions'!$D$53,CQ$6&gt;'Operating Assumptions'!$AA$8),0,CQ41*INDEX('Operating Assumptions'!$P$8:$AA$19,MATCH($B72,'Operating Assumptions'!$P$8:$P$19,0),MATCH(CQ$6,'Operating Assumptions'!$P$8:$AA$8,0)))</f>
        <v>0</v>
      </c>
      <c r="CR72" s="427">
        <f>-IF(OR(CR$9&lt;'Operating Assumptions'!$D$53,CR$6&gt;'Operating Assumptions'!$AA$8),0,CR41*INDEX('Operating Assumptions'!$P$8:$AA$19,MATCH($B72,'Operating Assumptions'!$P$8:$P$19,0),MATCH(CR$6,'Operating Assumptions'!$P$8:$AA$8,0)))</f>
        <v>0</v>
      </c>
      <c r="CS72" s="427">
        <f>-IF(OR(CS$9&lt;'Operating Assumptions'!$D$53,CS$6&gt;'Operating Assumptions'!$AA$8),0,CS41*INDEX('Operating Assumptions'!$P$8:$AA$19,MATCH($B72,'Operating Assumptions'!$P$8:$P$19,0),MATCH(CS$6,'Operating Assumptions'!$P$8:$AA$8,0)))</f>
        <v>0</v>
      </c>
      <c r="CT72" s="427">
        <f>-IF(OR(CT$9&lt;'Operating Assumptions'!$D$53,CT$6&gt;'Operating Assumptions'!$AA$8),0,CT41*INDEX('Operating Assumptions'!$P$8:$AA$19,MATCH($B72,'Operating Assumptions'!$P$8:$P$19,0),MATCH(CT$6,'Operating Assumptions'!$P$8:$AA$8,0)))</f>
        <v>0</v>
      </c>
      <c r="CU72" s="427">
        <f>-IF(OR(CU$9&lt;'Operating Assumptions'!$D$53,CU$6&gt;'Operating Assumptions'!$AA$8),0,CU41*INDEX('Operating Assumptions'!$P$8:$AA$19,MATCH($B72,'Operating Assumptions'!$P$8:$P$19,0),MATCH(CU$6,'Operating Assumptions'!$P$8:$AA$8,0)))</f>
        <v>0</v>
      </c>
      <c r="CV72" s="427">
        <f>-IF(OR(CV$9&lt;'Operating Assumptions'!$D$53,CV$6&gt;'Operating Assumptions'!$AA$8),0,CV41*INDEX('Operating Assumptions'!$P$8:$AA$19,MATCH($B72,'Operating Assumptions'!$P$8:$P$19,0),MATCH(CV$6,'Operating Assumptions'!$P$8:$AA$8,0)))</f>
        <v>0</v>
      </c>
      <c r="CW72" s="427">
        <f>-IF(OR(CW$9&lt;'Operating Assumptions'!$D$53,CW$6&gt;'Operating Assumptions'!$AA$8),0,CW41*INDEX('Operating Assumptions'!$P$8:$AA$19,MATCH($B72,'Operating Assumptions'!$P$8:$P$19,0),MATCH(CW$6,'Operating Assumptions'!$P$8:$AA$8,0)))</f>
        <v>0</v>
      </c>
      <c r="CX72" s="427">
        <f>-IF(OR(CX$9&lt;'Operating Assumptions'!$D$53,CX$6&gt;'Operating Assumptions'!$AA$8),0,CX41*INDEX('Operating Assumptions'!$P$8:$AA$19,MATCH($B72,'Operating Assumptions'!$P$8:$P$19,0),MATCH(CX$6,'Operating Assumptions'!$P$8:$AA$8,0)))</f>
        <v>0</v>
      </c>
      <c r="CY72" s="427">
        <f>-IF(OR(CY$9&lt;'Operating Assumptions'!$D$53,CY$6&gt;'Operating Assumptions'!$AA$8),0,CY41*INDEX('Operating Assumptions'!$P$8:$AA$19,MATCH($B72,'Operating Assumptions'!$P$8:$P$19,0),MATCH(CY$6,'Operating Assumptions'!$P$8:$AA$8,0)))</f>
        <v>0</v>
      </c>
      <c r="CZ72" s="427">
        <f>-IF(OR(CZ$9&lt;'Operating Assumptions'!$D$53,CZ$6&gt;'Operating Assumptions'!$AA$8),0,CZ41*INDEX('Operating Assumptions'!$P$8:$AA$19,MATCH($B72,'Operating Assumptions'!$P$8:$P$19,0),MATCH(CZ$6,'Operating Assumptions'!$P$8:$AA$8,0)))</f>
        <v>0</v>
      </c>
      <c r="DA72" s="427">
        <f>-IF(OR(DA$9&lt;'Operating Assumptions'!$D$53,DA$6&gt;'Operating Assumptions'!$AA$8),0,DA41*INDEX('Operating Assumptions'!$P$8:$AA$19,MATCH($B72,'Operating Assumptions'!$P$8:$P$19,0),MATCH(DA$6,'Operating Assumptions'!$P$8:$AA$8,0)))</f>
        <v>0</v>
      </c>
      <c r="DB72" s="427">
        <f>-IF(OR(DB$9&lt;'Operating Assumptions'!$D$53,DB$6&gt;'Operating Assumptions'!$AA$8),0,DB41*INDEX('Operating Assumptions'!$P$8:$AA$19,MATCH($B72,'Operating Assumptions'!$P$8:$P$19,0),MATCH(DB$6,'Operating Assumptions'!$P$8:$AA$8,0)))</f>
        <v>0</v>
      </c>
      <c r="DC72" s="427">
        <f>-IF(OR(DC$9&lt;'Operating Assumptions'!$D$53,DC$6&gt;'Operating Assumptions'!$AA$8),0,DC41*INDEX('Operating Assumptions'!$P$8:$AA$19,MATCH($B72,'Operating Assumptions'!$P$8:$P$19,0),MATCH(DC$6,'Operating Assumptions'!$P$8:$AA$8,0)))</f>
        <v>0</v>
      </c>
      <c r="DD72" s="427">
        <f>-IF(OR(DD$9&lt;'Operating Assumptions'!$D$53,DD$6&gt;'Operating Assumptions'!$AA$8),0,DD41*INDEX('Operating Assumptions'!$P$8:$AA$19,MATCH($B72,'Operating Assumptions'!$P$8:$P$19,0),MATCH(DD$6,'Operating Assumptions'!$P$8:$AA$8,0)))</f>
        <v>0</v>
      </c>
      <c r="DE72" s="427">
        <f>-IF(OR(DE$9&lt;'Operating Assumptions'!$D$53,DE$6&gt;'Operating Assumptions'!$AA$8),0,DE41*INDEX('Operating Assumptions'!$P$8:$AA$19,MATCH($B72,'Operating Assumptions'!$P$8:$P$19,0),MATCH(DE$6,'Operating Assumptions'!$P$8:$AA$8,0)))</f>
        <v>0</v>
      </c>
      <c r="DF72" s="427">
        <f>-IF(OR(DF$9&lt;'Operating Assumptions'!$D$53,DF$6&gt;'Operating Assumptions'!$AA$8),0,DF41*INDEX('Operating Assumptions'!$P$8:$AA$19,MATCH($B72,'Operating Assumptions'!$P$8:$P$19,0),MATCH(DF$6,'Operating Assumptions'!$P$8:$AA$8,0)))</f>
        <v>0</v>
      </c>
      <c r="DG72" s="427">
        <f>-IF(OR(DG$9&lt;'Operating Assumptions'!$D$53,DG$6&gt;'Operating Assumptions'!$AA$8),0,DG41*INDEX('Operating Assumptions'!$P$8:$AA$19,MATCH($B72,'Operating Assumptions'!$P$8:$P$19,0),MATCH(DG$6,'Operating Assumptions'!$P$8:$AA$8,0)))</f>
        <v>0</v>
      </c>
      <c r="DH72" s="427">
        <f>-IF(OR(DH$9&lt;'Operating Assumptions'!$D$53,DH$6&gt;'Operating Assumptions'!$AA$8),0,DH41*INDEX('Operating Assumptions'!$P$8:$AA$19,MATCH($B72,'Operating Assumptions'!$P$8:$P$19,0),MATCH(DH$6,'Operating Assumptions'!$P$8:$AA$8,0)))</f>
        <v>0</v>
      </c>
      <c r="DI72" s="427">
        <f>-IF(OR(DI$9&lt;'Operating Assumptions'!$D$53,DI$6&gt;'Operating Assumptions'!$AA$8),0,DI41*INDEX('Operating Assumptions'!$P$8:$AA$19,MATCH($B72,'Operating Assumptions'!$P$8:$P$19,0),MATCH(DI$6,'Operating Assumptions'!$P$8:$AA$8,0)))</f>
        <v>0</v>
      </c>
      <c r="DJ72" s="427">
        <f>-IF(OR(DJ$9&lt;'Operating Assumptions'!$D$53,DJ$6&gt;'Operating Assumptions'!$AA$8),0,DJ41*INDEX('Operating Assumptions'!$P$8:$AA$19,MATCH($B72,'Operating Assumptions'!$P$8:$P$19,0),MATCH(DJ$6,'Operating Assumptions'!$P$8:$AA$8,0)))</f>
        <v>0</v>
      </c>
      <c r="DK72" s="427">
        <f>-IF(OR(DK$9&lt;'Operating Assumptions'!$D$53,DK$6&gt;'Operating Assumptions'!$AA$8),0,DK41*INDEX('Operating Assumptions'!$P$8:$AA$19,MATCH($B72,'Operating Assumptions'!$P$8:$P$19,0),MATCH(DK$6,'Operating Assumptions'!$P$8:$AA$8,0)))</f>
        <v>0</v>
      </c>
      <c r="DL72" s="427">
        <f>-IF(OR(DL$9&lt;'Operating Assumptions'!$D$53,DL$6&gt;'Operating Assumptions'!$AA$8),0,DL41*INDEX('Operating Assumptions'!$P$8:$AA$19,MATCH($B72,'Operating Assumptions'!$P$8:$P$19,0),MATCH(DL$6,'Operating Assumptions'!$P$8:$AA$8,0)))</f>
        <v>0</v>
      </c>
      <c r="DM72" s="427">
        <f>-IF(OR(DM$9&lt;'Operating Assumptions'!$D$53,DM$6&gt;'Operating Assumptions'!$AA$8),0,DM41*INDEX('Operating Assumptions'!$P$8:$AA$19,MATCH($B72,'Operating Assumptions'!$P$8:$P$19,0),MATCH(DM$6,'Operating Assumptions'!$P$8:$AA$8,0)))</f>
        <v>0</v>
      </c>
      <c r="DN72" s="427">
        <f>-IF(OR(DN$9&lt;'Operating Assumptions'!$D$53,DN$6&gt;'Operating Assumptions'!$AA$8),0,DN41*INDEX('Operating Assumptions'!$P$8:$AA$19,MATCH($B72,'Operating Assumptions'!$P$8:$P$19,0),MATCH(DN$6,'Operating Assumptions'!$P$8:$AA$8,0)))</f>
        <v>0</v>
      </c>
      <c r="DO72" s="427">
        <f>-IF(OR(DO$9&lt;'Operating Assumptions'!$D$53,DO$6&gt;'Operating Assumptions'!$AA$8),0,DO41*INDEX('Operating Assumptions'!$P$8:$AA$19,MATCH($B72,'Operating Assumptions'!$P$8:$P$19,0),MATCH(DO$6,'Operating Assumptions'!$P$8:$AA$8,0)))</f>
        <v>0</v>
      </c>
      <c r="DP72" s="427">
        <f>-IF(OR(DP$9&lt;'Operating Assumptions'!$D$53,DP$6&gt;'Operating Assumptions'!$AA$8),0,DP41*INDEX('Operating Assumptions'!$P$8:$AA$19,MATCH($B72,'Operating Assumptions'!$P$8:$P$19,0),MATCH(DP$6,'Operating Assumptions'!$P$8:$AA$8,0)))</f>
        <v>0</v>
      </c>
      <c r="DQ72" s="427">
        <f>-IF(OR(DQ$9&lt;'Operating Assumptions'!$D$53,DQ$6&gt;'Operating Assumptions'!$AA$8),0,DQ41*INDEX('Operating Assumptions'!$P$8:$AA$19,MATCH($B72,'Operating Assumptions'!$P$8:$P$19,0),MATCH(DQ$6,'Operating Assumptions'!$P$8:$AA$8,0)))</f>
        <v>0</v>
      </c>
      <c r="DR72" s="427">
        <f>-IF(OR(DR$9&lt;'Operating Assumptions'!$D$53,DR$6&gt;'Operating Assumptions'!$AA$8),0,DR41*INDEX('Operating Assumptions'!$P$8:$AA$19,MATCH($B72,'Operating Assumptions'!$P$8:$P$19,0),MATCH(DR$6,'Operating Assumptions'!$P$8:$AA$8,0)))</f>
        <v>0</v>
      </c>
      <c r="DS72" s="427">
        <f>-IF(OR(DS$9&lt;'Operating Assumptions'!$D$53,DS$6&gt;'Operating Assumptions'!$AA$8),0,DS41*INDEX('Operating Assumptions'!$P$8:$AA$19,MATCH($B72,'Operating Assumptions'!$P$8:$P$19,0),MATCH(DS$6,'Operating Assumptions'!$P$8:$AA$8,0)))</f>
        <v>0</v>
      </c>
      <c r="DT72" s="427">
        <f>-IF(OR(DT$9&lt;'Operating Assumptions'!$D$53,DT$6&gt;'Operating Assumptions'!$AA$8),0,DT41*INDEX('Operating Assumptions'!$P$8:$AA$19,MATCH($B72,'Operating Assumptions'!$P$8:$P$19,0),MATCH(DT$6,'Operating Assumptions'!$P$8:$AA$8,0)))</f>
        <v>0</v>
      </c>
      <c r="DU72" s="427">
        <f>-IF(OR(DU$9&lt;'Operating Assumptions'!$D$53,DU$6&gt;'Operating Assumptions'!$AA$8),0,DU41*INDEX('Operating Assumptions'!$P$8:$AA$19,MATCH($B72,'Operating Assumptions'!$P$8:$P$19,0),MATCH(DU$6,'Operating Assumptions'!$P$8:$AA$8,0)))</f>
        <v>0</v>
      </c>
      <c r="DV72" s="427">
        <f>-IF(OR(DV$9&lt;'Operating Assumptions'!$D$53,DV$6&gt;'Operating Assumptions'!$AA$8),0,DV41*INDEX('Operating Assumptions'!$P$8:$AA$19,MATCH($B72,'Operating Assumptions'!$P$8:$P$19,0),MATCH(DV$6,'Operating Assumptions'!$P$8:$AA$8,0)))</f>
        <v>0</v>
      </c>
      <c r="DW72" s="427">
        <f>-IF(OR(DW$9&lt;'Operating Assumptions'!$D$53,DW$6&gt;'Operating Assumptions'!$AA$8),0,DW41*INDEX('Operating Assumptions'!$P$8:$AA$19,MATCH($B72,'Operating Assumptions'!$P$8:$P$19,0),MATCH(DW$6,'Operating Assumptions'!$P$8:$AA$8,0)))</f>
        <v>0</v>
      </c>
      <c r="DX72" s="427">
        <f>-IF(OR(DX$9&lt;'Operating Assumptions'!$D$53,DX$6&gt;'Operating Assumptions'!$AA$8),0,DX41*INDEX('Operating Assumptions'!$P$8:$AA$19,MATCH($B72,'Operating Assumptions'!$P$8:$P$19,0),MATCH(DX$6,'Operating Assumptions'!$P$8:$AA$8,0)))</f>
        <v>0</v>
      </c>
      <c r="DY72" s="427">
        <f>-IF(OR(DY$9&lt;'Operating Assumptions'!$D$53,DY$6&gt;'Operating Assumptions'!$AA$8),0,DY41*INDEX('Operating Assumptions'!$P$8:$AA$19,MATCH($B72,'Operating Assumptions'!$P$8:$P$19,0),MATCH(DY$6,'Operating Assumptions'!$P$8:$AA$8,0)))</f>
        <v>0</v>
      </c>
      <c r="DZ72" s="427">
        <f>-IF(OR(DZ$9&lt;'Operating Assumptions'!$D$53,DZ$6&gt;'Operating Assumptions'!$AA$8),0,DZ41*INDEX('Operating Assumptions'!$P$8:$AA$19,MATCH($B72,'Operating Assumptions'!$P$8:$P$19,0),MATCH(DZ$6,'Operating Assumptions'!$P$8:$AA$8,0)))</f>
        <v>0</v>
      </c>
      <c r="EA72" s="427">
        <f>-IF(OR(EA$9&lt;'Operating Assumptions'!$D$53,EA$6&gt;'Operating Assumptions'!$AA$8),0,EA41*INDEX('Operating Assumptions'!$P$8:$AA$19,MATCH($B72,'Operating Assumptions'!$P$8:$P$19,0),MATCH(EA$6,'Operating Assumptions'!$P$8:$AA$8,0)))</f>
        <v>0</v>
      </c>
      <c r="EB72" s="427">
        <f>-IF(OR(EB$9&lt;'Operating Assumptions'!$D$53,EB$6&gt;'Operating Assumptions'!$AA$8),0,EB41*INDEX('Operating Assumptions'!$P$8:$AA$19,MATCH($B72,'Operating Assumptions'!$P$8:$P$19,0),MATCH(EB$6,'Operating Assumptions'!$P$8:$AA$8,0)))</f>
        <v>0</v>
      </c>
      <c r="EC72" s="427">
        <f>-IF(OR(EC$9&lt;'Operating Assumptions'!$D$53,EC$6&gt;'Operating Assumptions'!$AA$8),0,EC41*INDEX('Operating Assumptions'!$P$8:$AA$19,MATCH($B72,'Operating Assumptions'!$P$8:$P$19,0),MATCH(EC$6,'Operating Assumptions'!$P$8:$AA$8,0)))</f>
        <v>0</v>
      </c>
      <c r="ED72" s="427">
        <f>-IF(OR(ED$9&lt;'Operating Assumptions'!$D$53,ED$6&gt;'Operating Assumptions'!$AA$8),0,ED41*INDEX('Operating Assumptions'!$P$8:$AA$19,MATCH($B72,'Operating Assumptions'!$P$8:$P$19,0),MATCH(ED$6,'Operating Assumptions'!$P$8:$AA$8,0)))</f>
        <v>0</v>
      </c>
      <c r="EE72" s="427">
        <f>-IF(OR(EE$9&lt;'Operating Assumptions'!$D$53,EE$6&gt;'Operating Assumptions'!$AA$8),0,EE41*INDEX('Operating Assumptions'!$P$8:$AA$19,MATCH($B72,'Operating Assumptions'!$P$8:$P$19,0),MATCH(EE$6,'Operating Assumptions'!$P$8:$AA$8,0)))</f>
        <v>0</v>
      </c>
      <c r="EF72" s="427">
        <f>-IF(OR(EF$9&lt;'Operating Assumptions'!$D$53,EF$6&gt;'Operating Assumptions'!$AA$8),0,EF41*INDEX('Operating Assumptions'!$P$8:$AA$19,MATCH($B72,'Operating Assumptions'!$P$8:$P$19,0),MATCH(EF$6,'Operating Assumptions'!$P$8:$AA$8,0)))</f>
        <v>0</v>
      </c>
      <c r="EG72" s="427">
        <f>-IF(OR(EG$9&lt;'Operating Assumptions'!$D$53,EG$6&gt;'Operating Assumptions'!$AA$8),0,EG41*INDEX('Operating Assumptions'!$P$8:$AA$19,MATCH($B72,'Operating Assumptions'!$P$8:$P$19,0),MATCH(EG$6,'Operating Assumptions'!$P$8:$AA$8,0)))</f>
        <v>0</v>
      </c>
      <c r="EH72" s="427">
        <f>-IF(OR(EH$9&lt;'Operating Assumptions'!$D$53,EH$6&gt;'Operating Assumptions'!$AA$8),0,EH41*INDEX('Operating Assumptions'!$P$8:$AA$19,MATCH($B72,'Operating Assumptions'!$P$8:$P$19,0),MATCH(EH$6,'Operating Assumptions'!$P$8:$AA$8,0)))</f>
        <v>0</v>
      </c>
      <c r="EI72" s="427">
        <f>-IF(OR(EI$9&lt;'Operating Assumptions'!$D$53,EI$6&gt;'Operating Assumptions'!$AA$8),0,EI41*INDEX('Operating Assumptions'!$P$8:$AA$19,MATCH($B72,'Operating Assumptions'!$P$8:$P$19,0),MATCH(EI$6,'Operating Assumptions'!$P$8:$AA$8,0)))</f>
        <v>0</v>
      </c>
      <c r="EJ72" s="427">
        <f>-IF(OR(EJ$9&lt;'Operating Assumptions'!$D$53,EJ$6&gt;'Operating Assumptions'!$AA$8),0,EJ41*INDEX('Operating Assumptions'!$P$8:$AA$19,MATCH($B72,'Operating Assumptions'!$P$8:$P$19,0),MATCH(EJ$6,'Operating Assumptions'!$P$8:$AA$8,0)))</f>
        <v>0</v>
      </c>
      <c r="EK72" s="427">
        <f>-IF(OR(EK$9&lt;'Operating Assumptions'!$D$53,EK$6&gt;'Operating Assumptions'!$AA$8),0,EK41*INDEX('Operating Assumptions'!$P$8:$AA$19,MATCH($B72,'Operating Assumptions'!$P$8:$P$19,0),MATCH(EK$6,'Operating Assumptions'!$P$8:$AA$8,0)))</f>
        <v>0</v>
      </c>
      <c r="EL72" s="427">
        <f>-IF(OR(EL$9&lt;'Operating Assumptions'!$D$53,EL$6&gt;'Operating Assumptions'!$AA$8),0,EL41*INDEX('Operating Assumptions'!$P$8:$AA$19,MATCH($B72,'Operating Assumptions'!$P$8:$P$19,0),MATCH(EL$6,'Operating Assumptions'!$P$8:$AA$8,0)))</f>
        <v>0</v>
      </c>
      <c r="EM72" s="427">
        <f>-IF(OR(EM$9&lt;'Operating Assumptions'!$D$53,EM$6&gt;'Operating Assumptions'!$AA$8),0,EM41*INDEX('Operating Assumptions'!$P$8:$AA$19,MATCH($B72,'Operating Assumptions'!$P$8:$P$19,0),MATCH(EM$6,'Operating Assumptions'!$P$8:$AA$8,0)))</f>
        <v>0</v>
      </c>
      <c r="EN72" s="427">
        <f>-IF(OR(EN$9&lt;'Operating Assumptions'!$D$53,EN$6&gt;'Operating Assumptions'!$AA$8),0,EN41*INDEX('Operating Assumptions'!$P$8:$AA$19,MATCH($B72,'Operating Assumptions'!$P$8:$P$19,0),MATCH(EN$6,'Operating Assumptions'!$P$8:$AA$8,0)))</f>
        <v>0</v>
      </c>
      <c r="EO72" s="427">
        <f>-IF(OR(EO$9&lt;'Operating Assumptions'!$D$53,EO$6&gt;'Operating Assumptions'!$AA$8),0,EO41*INDEX('Operating Assumptions'!$P$8:$AA$19,MATCH($B72,'Operating Assumptions'!$P$8:$P$19,0),MATCH(EO$6,'Operating Assumptions'!$P$8:$AA$8,0)))</f>
        <v>0</v>
      </c>
      <c r="EP72" s="427">
        <f>-IF(OR(EP$9&lt;'Operating Assumptions'!$D$53,EP$6&gt;'Operating Assumptions'!$AA$8),0,EP41*INDEX('Operating Assumptions'!$P$8:$AA$19,MATCH($B72,'Operating Assumptions'!$P$8:$P$19,0),MATCH(EP$6,'Operating Assumptions'!$P$8:$AA$8,0)))</f>
        <v>0</v>
      </c>
      <c r="EQ72" s="427">
        <f>-IF(OR(EQ$9&lt;'Operating Assumptions'!$D$53,EQ$6&gt;'Operating Assumptions'!$AA$8),0,EQ41*INDEX('Operating Assumptions'!$P$8:$AA$19,MATCH($B72,'Operating Assumptions'!$P$8:$P$19,0),MATCH(EQ$6,'Operating Assumptions'!$P$8:$AA$8,0)))</f>
        <v>0</v>
      </c>
      <c r="ER72" s="427">
        <f>-IF(OR(ER$9&lt;'Operating Assumptions'!$D$53,ER$6&gt;'Operating Assumptions'!$AA$8),0,ER41*INDEX('Operating Assumptions'!$P$8:$AA$19,MATCH($B72,'Operating Assumptions'!$P$8:$P$19,0),MATCH(ER$6,'Operating Assumptions'!$P$8:$AA$8,0)))</f>
        <v>0</v>
      </c>
      <c r="ES72" s="427">
        <f>-IF(OR(ES$9&lt;'Operating Assumptions'!$D$53,ES$6&gt;'Operating Assumptions'!$AA$8),0,ES41*INDEX('Operating Assumptions'!$P$8:$AA$19,MATCH($B72,'Operating Assumptions'!$P$8:$P$19,0),MATCH(ES$6,'Operating Assumptions'!$P$8:$AA$8,0)))</f>
        <v>0</v>
      </c>
      <c r="ET72" s="427">
        <f>-IF(OR(ET$9&lt;'Operating Assumptions'!$D$53,ET$6&gt;'Operating Assumptions'!$AA$8),0,ET41*INDEX('Operating Assumptions'!$P$8:$AA$19,MATCH($B72,'Operating Assumptions'!$P$8:$P$19,0),MATCH(ET$6,'Operating Assumptions'!$P$8:$AA$8,0)))</f>
        <v>0</v>
      </c>
      <c r="EU72" s="427">
        <f>-IF(OR(EU$9&lt;'Operating Assumptions'!$D$53,EU$6&gt;'Operating Assumptions'!$AA$8),0,EU41*INDEX('Operating Assumptions'!$P$8:$AA$19,MATCH($B72,'Operating Assumptions'!$P$8:$P$19,0),MATCH(EU$6,'Operating Assumptions'!$P$8:$AA$8,0)))</f>
        <v>0</v>
      </c>
      <c r="EV72" s="427">
        <f>-IF(OR(EV$9&lt;'Operating Assumptions'!$D$53,EV$6&gt;'Operating Assumptions'!$AA$8),0,EV41*INDEX('Operating Assumptions'!$P$8:$AA$19,MATCH($B72,'Operating Assumptions'!$P$8:$P$19,0),MATCH(EV$6,'Operating Assumptions'!$P$8:$AA$8,0)))</f>
        <v>0</v>
      </c>
      <c r="EW72" s="427">
        <f>-IF(OR(EW$9&lt;'Operating Assumptions'!$D$53,EW$6&gt;'Operating Assumptions'!$AA$8),0,EW41*INDEX('Operating Assumptions'!$P$8:$AA$19,MATCH($B72,'Operating Assumptions'!$P$8:$P$19,0),MATCH(EW$6,'Operating Assumptions'!$P$8:$AA$8,0)))</f>
        <v>0</v>
      </c>
      <c r="EX72" s="427">
        <f>-IF(OR(EX$9&lt;'Operating Assumptions'!$D$53,EX$6&gt;'Operating Assumptions'!$AA$8),0,EX41*INDEX('Operating Assumptions'!$P$8:$AA$19,MATCH($B72,'Operating Assumptions'!$P$8:$P$19,0),MATCH(EX$6,'Operating Assumptions'!$P$8:$AA$8,0)))</f>
        <v>0</v>
      </c>
      <c r="EY72" s="427">
        <f>-IF(OR(EY$9&lt;'Operating Assumptions'!$D$53,EY$6&gt;'Operating Assumptions'!$AA$8),0,EY41*INDEX('Operating Assumptions'!$P$8:$AA$19,MATCH($B72,'Operating Assumptions'!$P$8:$P$19,0),MATCH(EY$6,'Operating Assumptions'!$P$8:$AA$8,0)))</f>
        <v>0</v>
      </c>
      <c r="EZ72" s="427">
        <f>-IF(OR(EZ$9&lt;'Operating Assumptions'!$D$53,EZ$6&gt;'Operating Assumptions'!$AA$8),0,EZ41*INDEX('Operating Assumptions'!$P$8:$AA$19,MATCH($B72,'Operating Assumptions'!$P$8:$P$19,0),MATCH(EZ$6,'Operating Assumptions'!$P$8:$AA$8,0)))</f>
        <v>0</v>
      </c>
      <c r="FA72" s="427">
        <f>-IF(OR(FA$9&lt;'Operating Assumptions'!$D$53,FA$6&gt;'Operating Assumptions'!$AA$8),0,FA41*INDEX('Operating Assumptions'!$P$8:$AA$19,MATCH($B72,'Operating Assumptions'!$P$8:$P$19,0),MATCH(FA$6,'Operating Assumptions'!$P$8:$AA$8,0)))</f>
        <v>0</v>
      </c>
      <c r="FB72" s="427">
        <f>-IF(OR(FB$9&lt;'Operating Assumptions'!$D$53,FB$6&gt;'Operating Assumptions'!$AA$8),0,FB41*INDEX('Operating Assumptions'!$P$8:$AA$19,MATCH($B72,'Operating Assumptions'!$P$8:$P$19,0),MATCH(FB$6,'Operating Assumptions'!$P$8:$AA$8,0)))</f>
        <v>0</v>
      </c>
      <c r="FC72" s="427">
        <f>-IF(OR(FC$9&lt;'Operating Assumptions'!$D$53,FC$6&gt;'Operating Assumptions'!$AA$8),0,FC41*INDEX('Operating Assumptions'!$P$8:$AA$19,MATCH($B72,'Operating Assumptions'!$P$8:$P$19,0),MATCH(FC$6,'Operating Assumptions'!$P$8:$AA$8,0)))</f>
        <v>0</v>
      </c>
      <c r="FD72" s="427">
        <f>-IF(OR(FD$9&lt;'Operating Assumptions'!$D$53,FD$6&gt;'Operating Assumptions'!$AA$8),0,FD41*INDEX('Operating Assumptions'!$P$8:$AA$19,MATCH($B72,'Operating Assumptions'!$P$8:$P$19,0),MATCH(FD$6,'Operating Assumptions'!$P$8:$AA$8,0)))</f>
        <v>0</v>
      </c>
      <c r="FE72" s="427">
        <f>-IF(OR(FE$9&lt;'Operating Assumptions'!$D$53,FE$6&gt;'Operating Assumptions'!$AA$8),0,FE41*INDEX('Operating Assumptions'!$P$8:$AA$19,MATCH($B72,'Operating Assumptions'!$P$8:$P$19,0),MATCH(FE$6,'Operating Assumptions'!$P$8:$AA$8,0)))</f>
        <v>0</v>
      </c>
      <c r="FF72" s="427">
        <f>-IF(OR(FF$9&lt;'Operating Assumptions'!$D$53,FF$6&gt;'Operating Assumptions'!$AA$8),0,FF41*INDEX('Operating Assumptions'!$P$8:$AA$19,MATCH($B72,'Operating Assumptions'!$P$8:$P$19,0),MATCH(FF$6,'Operating Assumptions'!$P$8:$AA$8,0)))</f>
        <v>0</v>
      </c>
      <c r="FG72" s="427">
        <f>-IF(OR(FG$9&lt;'Operating Assumptions'!$D$53,FG$6&gt;'Operating Assumptions'!$AA$8),0,FG41*INDEX('Operating Assumptions'!$P$8:$AA$19,MATCH($B72,'Operating Assumptions'!$P$8:$P$19,0),MATCH(FG$6,'Operating Assumptions'!$P$8:$AA$8,0)))</f>
        <v>0</v>
      </c>
      <c r="FH72" s="427">
        <f>-IF(OR(FH$9&lt;'Operating Assumptions'!$D$53,FH$6&gt;'Operating Assumptions'!$AA$8),0,FH41*INDEX('Operating Assumptions'!$P$8:$AA$19,MATCH($B72,'Operating Assumptions'!$P$8:$P$19,0),MATCH(FH$6,'Operating Assumptions'!$P$8:$AA$8,0)))</f>
        <v>0</v>
      </c>
      <c r="FI72" s="427">
        <f>-IF(OR(FI$9&lt;'Operating Assumptions'!$D$53,FI$6&gt;'Operating Assumptions'!$AA$8),0,FI41*INDEX('Operating Assumptions'!$P$8:$AA$19,MATCH($B72,'Operating Assumptions'!$P$8:$P$19,0),MATCH(FI$6,'Operating Assumptions'!$P$8:$AA$8,0)))</f>
        <v>0</v>
      </c>
      <c r="FJ72" s="427">
        <f>-IF(OR(FJ$9&lt;'Operating Assumptions'!$D$53,FJ$6&gt;'Operating Assumptions'!$AA$8),0,FJ41*INDEX('Operating Assumptions'!$P$8:$AA$19,MATCH($B72,'Operating Assumptions'!$P$8:$P$19,0),MATCH(FJ$6,'Operating Assumptions'!$P$8:$AA$8,0)))</f>
        <v>0</v>
      </c>
      <c r="FK72" s="427">
        <f>-IF(OR(FK$9&lt;'Operating Assumptions'!$D$53,FK$6&gt;'Operating Assumptions'!$AA$8),0,FK41*INDEX('Operating Assumptions'!$P$8:$AA$19,MATCH($B72,'Operating Assumptions'!$P$8:$P$19,0),MATCH(FK$6,'Operating Assumptions'!$P$8:$AA$8,0)))</f>
        <v>0</v>
      </c>
      <c r="FL72" s="427">
        <f>-IF(OR(FL$9&lt;'Operating Assumptions'!$D$53,FL$6&gt;'Operating Assumptions'!$AA$8),0,FL41*INDEX('Operating Assumptions'!$P$8:$AA$19,MATCH($B72,'Operating Assumptions'!$P$8:$P$19,0),MATCH(FL$6,'Operating Assumptions'!$P$8:$AA$8,0)))</f>
        <v>0</v>
      </c>
      <c r="FM72" s="427">
        <f>-IF(OR(FM$9&lt;'Operating Assumptions'!$D$53,FM$6&gt;'Operating Assumptions'!$AA$8),0,FM41*INDEX('Operating Assumptions'!$P$8:$AA$19,MATCH($B72,'Operating Assumptions'!$P$8:$P$19,0),MATCH(FM$6,'Operating Assumptions'!$P$8:$AA$8,0)))</f>
        <v>0</v>
      </c>
      <c r="FN72" s="427">
        <f>-IF(OR(FN$9&lt;'Operating Assumptions'!$D$53,FN$6&gt;'Operating Assumptions'!$AA$8),0,FN41*INDEX('Operating Assumptions'!$P$8:$AA$19,MATCH($B72,'Operating Assumptions'!$P$8:$P$19,0),MATCH(FN$6,'Operating Assumptions'!$P$8:$AA$8,0)))</f>
        <v>0</v>
      </c>
      <c r="FO72" s="427">
        <f>-IF(OR(FO$9&lt;'Operating Assumptions'!$D$53,FO$6&gt;'Operating Assumptions'!$AA$8),0,FO41*INDEX('Operating Assumptions'!$P$8:$AA$19,MATCH($B72,'Operating Assumptions'!$P$8:$P$19,0),MATCH(FO$6,'Operating Assumptions'!$P$8:$AA$8,0)))</f>
        <v>0</v>
      </c>
      <c r="FP72" s="427">
        <f>-IF(OR(FP$9&lt;'Operating Assumptions'!$D$53,FP$6&gt;'Operating Assumptions'!$AA$8),0,FP41*INDEX('Operating Assumptions'!$P$8:$AA$19,MATCH($B72,'Operating Assumptions'!$P$8:$P$19,0),MATCH(FP$6,'Operating Assumptions'!$P$8:$AA$8,0)))</f>
        <v>0</v>
      </c>
      <c r="FQ72" s="427">
        <f>-IF(OR(FQ$9&lt;'Operating Assumptions'!$D$53,FQ$6&gt;'Operating Assumptions'!$AA$8),0,FQ41*INDEX('Operating Assumptions'!$P$8:$AA$19,MATCH($B72,'Operating Assumptions'!$P$8:$P$19,0),MATCH(FQ$6,'Operating Assumptions'!$P$8:$AA$8,0)))</f>
        <v>0</v>
      </c>
      <c r="FR72" s="427">
        <f>-IF(OR(FR$9&lt;'Operating Assumptions'!$D$53,FR$6&gt;'Operating Assumptions'!$AA$8),0,FR41*INDEX('Operating Assumptions'!$P$8:$AA$19,MATCH($B72,'Operating Assumptions'!$P$8:$P$19,0),MATCH(FR$6,'Operating Assumptions'!$P$8:$AA$8,0)))</f>
        <v>0</v>
      </c>
      <c r="FS72" s="427">
        <f>-IF(OR(FS$9&lt;'Operating Assumptions'!$D$53,FS$6&gt;'Operating Assumptions'!$AA$8),0,FS41*INDEX('Operating Assumptions'!$P$8:$AA$19,MATCH($B72,'Operating Assumptions'!$P$8:$P$19,0),MATCH(FS$6,'Operating Assumptions'!$P$8:$AA$8,0)))</f>
        <v>0</v>
      </c>
      <c r="FT72" s="427">
        <f>-IF(OR(FT$9&lt;'Operating Assumptions'!$D$53,FT$6&gt;'Operating Assumptions'!$AA$8),0,FT41*INDEX('Operating Assumptions'!$P$8:$AA$19,MATCH($B72,'Operating Assumptions'!$P$8:$P$19,0),MATCH(FT$6,'Operating Assumptions'!$P$8:$AA$8,0)))</f>
        <v>0</v>
      </c>
      <c r="FU72" s="43"/>
      <c r="FV72" s="34"/>
      <c r="FW72" s="34"/>
      <c r="FX72" s="34"/>
      <c r="FY72" s="34"/>
      <c r="FZ72" s="34"/>
    </row>
    <row r="73" spans="1:182" s="89" customFormat="1" ht="13.5" x14ac:dyDescent="0.25">
      <c r="A73" s="34"/>
      <c r="B73" s="433" t="s">
        <v>355</v>
      </c>
      <c r="C73" s="34"/>
      <c r="D73" s="34"/>
      <c r="E73" s="34"/>
      <c r="F73" s="429">
        <f t="shared" si="162"/>
        <v>-2965306.2018131786</v>
      </c>
      <c r="G73" s="34"/>
      <c r="H73" s="512">
        <f>SUM(H68:H72)</f>
        <v>0</v>
      </c>
      <c r="I73" s="512">
        <f t="shared" ref="I73:AM73" si="163">SUM(I68:I72)</f>
        <v>0</v>
      </c>
      <c r="J73" s="512">
        <f t="shared" si="163"/>
        <v>0</v>
      </c>
      <c r="K73" s="512">
        <f t="shared" si="163"/>
        <v>0</v>
      </c>
      <c r="L73" s="512">
        <f t="shared" si="163"/>
        <v>0</v>
      </c>
      <c r="M73" s="512">
        <f t="shared" si="163"/>
        <v>0</v>
      </c>
      <c r="N73" s="512">
        <f t="shared" si="163"/>
        <v>0</v>
      </c>
      <c r="O73" s="512">
        <f t="shared" si="163"/>
        <v>0</v>
      </c>
      <c r="P73" s="512">
        <f t="shared" si="163"/>
        <v>0</v>
      </c>
      <c r="Q73" s="512">
        <f t="shared" si="163"/>
        <v>0</v>
      </c>
      <c r="R73" s="512">
        <f t="shared" si="163"/>
        <v>0</v>
      </c>
      <c r="S73" s="512">
        <f t="shared" si="163"/>
        <v>0</v>
      </c>
      <c r="T73" s="512">
        <f t="shared" si="163"/>
        <v>0</v>
      </c>
      <c r="U73" s="512">
        <f t="shared" si="163"/>
        <v>0</v>
      </c>
      <c r="V73" s="512">
        <f t="shared" si="163"/>
        <v>0</v>
      </c>
      <c r="W73" s="512">
        <f t="shared" si="163"/>
        <v>0</v>
      </c>
      <c r="X73" s="512">
        <f t="shared" si="163"/>
        <v>0</v>
      </c>
      <c r="Y73" s="512">
        <f t="shared" si="163"/>
        <v>0</v>
      </c>
      <c r="Z73" s="512">
        <f t="shared" si="163"/>
        <v>0</v>
      </c>
      <c r="AA73" s="512">
        <f t="shared" si="163"/>
        <v>0</v>
      </c>
      <c r="AB73" s="512">
        <f t="shared" si="163"/>
        <v>0</v>
      </c>
      <c r="AC73" s="512">
        <f t="shared" si="163"/>
        <v>0</v>
      </c>
      <c r="AD73" s="512">
        <f t="shared" si="163"/>
        <v>0</v>
      </c>
      <c r="AE73" s="512">
        <f t="shared" si="163"/>
        <v>0</v>
      </c>
      <c r="AF73" s="512">
        <f t="shared" si="163"/>
        <v>0</v>
      </c>
      <c r="AG73" s="512">
        <f t="shared" si="163"/>
        <v>0</v>
      </c>
      <c r="AH73" s="512">
        <f t="shared" si="163"/>
        <v>0</v>
      </c>
      <c r="AI73" s="512">
        <f t="shared" si="163"/>
        <v>0</v>
      </c>
      <c r="AJ73" s="512">
        <f t="shared" si="163"/>
        <v>0</v>
      </c>
      <c r="AK73" s="512">
        <f t="shared" si="163"/>
        <v>0</v>
      </c>
      <c r="AL73" s="512">
        <f t="shared" si="163"/>
        <v>0</v>
      </c>
      <c r="AM73" s="512">
        <f t="shared" si="163"/>
        <v>-23993.434284066669</v>
      </c>
      <c r="AN73" s="512">
        <f t="shared" ref="AN73:BS73" si="164">SUM(AN68:AN72)</f>
        <v>-23993.434284066669</v>
      </c>
      <c r="AO73" s="512">
        <f t="shared" si="164"/>
        <v>-23993.434284066669</v>
      </c>
      <c r="AP73" s="512">
        <f t="shared" si="164"/>
        <v>-23993.434284066669</v>
      </c>
      <c r="AQ73" s="512">
        <f t="shared" si="164"/>
        <v>-23993.434284066669</v>
      </c>
      <c r="AR73" s="512">
        <f t="shared" si="164"/>
        <v>-24463.893779832681</v>
      </c>
      <c r="AS73" s="512">
        <f t="shared" si="164"/>
        <v>-24463.893779832681</v>
      </c>
      <c r="AT73" s="512">
        <f t="shared" si="164"/>
        <v>-24463.893779832681</v>
      </c>
      <c r="AU73" s="512">
        <f t="shared" si="164"/>
        <v>-24463.893779832681</v>
      </c>
      <c r="AV73" s="512">
        <f t="shared" si="164"/>
        <v>-24463.893779832681</v>
      </c>
      <c r="AW73" s="512">
        <f t="shared" si="164"/>
        <v>-24463.893779832681</v>
      </c>
      <c r="AX73" s="512">
        <f t="shared" si="164"/>
        <v>-24463.893779832681</v>
      </c>
      <c r="AY73" s="512">
        <f t="shared" si="164"/>
        <v>-24463.893779832681</v>
      </c>
      <c r="AZ73" s="512">
        <f t="shared" si="164"/>
        <v>-24463.893779832681</v>
      </c>
      <c r="BA73" s="512">
        <f t="shared" si="164"/>
        <v>-24463.893779832681</v>
      </c>
      <c r="BB73" s="512">
        <f t="shared" si="164"/>
        <v>-24463.893779832681</v>
      </c>
      <c r="BC73" s="512">
        <f t="shared" si="164"/>
        <v>-24463.893779832681</v>
      </c>
      <c r="BD73" s="512">
        <f t="shared" si="164"/>
        <v>-24934.353275598696</v>
      </c>
      <c r="BE73" s="512">
        <f t="shared" si="164"/>
        <v>-24934.353275598696</v>
      </c>
      <c r="BF73" s="512">
        <f t="shared" si="164"/>
        <v>-24934.353275598696</v>
      </c>
      <c r="BG73" s="512">
        <f t="shared" si="164"/>
        <v>-24934.353275598696</v>
      </c>
      <c r="BH73" s="512">
        <f t="shared" si="164"/>
        <v>-24934.353275598696</v>
      </c>
      <c r="BI73" s="512">
        <f t="shared" si="164"/>
        <v>-24934.353275598696</v>
      </c>
      <c r="BJ73" s="512">
        <f t="shared" si="164"/>
        <v>-24934.353275598696</v>
      </c>
      <c r="BK73" s="512">
        <f t="shared" si="164"/>
        <v>-24934.353275598696</v>
      </c>
      <c r="BL73" s="512">
        <f t="shared" si="164"/>
        <v>-24934.353275598696</v>
      </c>
      <c r="BM73" s="512">
        <f t="shared" si="164"/>
        <v>-24934.353275598696</v>
      </c>
      <c r="BN73" s="512">
        <f t="shared" si="164"/>
        <v>-24934.353275598696</v>
      </c>
      <c r="BO73" s="512">
        <f t="shared" si="164"/>
        <v>-24934.353275598696</v>
      </c>
      <c r="BP73" s="512">
        <f t="shared" si="164"/>
        <v>-25404.812771364708</v>
      </c>
      <c r="BQ73" s="512">
        <f t="shared" si="164"/>
        <v>-25404.812771364708</v>
      </c>
      <c r="BR73" s="512">
        <f t="shared" si="164"/>
        <v>-25404.812771364708</v>
      </c>
      <c r="BS73" s="512">
        <f t="shared" si="164"/>
        <v>-25404.812771364708</v>
      </c>
      <c r="BT73" s="512">
        <f t="shared" ref="BT73:CY73" si="165">SUM(BT68:BT72)</f>
        <v>-25404.812771364708</v>
      </c>
      <c r="BU73" s="512">
        <f t="shared" si="165"/>
        <v>-25404.812771364708</v>
      </c>
      <c r="BV73" s="512">
        <f t="shared" si="165"/>
        <v>-25404.812771364708</v>
      </c>
      <c r="BW73" s="512">
        <f t="shared" si="165"/>
        <v>-25404.812771364708</v>
      </c>
      <c r="BX73" s="512">
        <f t="shared" si="165"/>
        <v>-25404.812771364708</v>
      </c>
      <c r="BY73" s="512">
        <f t="shared" si="165"/>
        <v>-25404.812771364708</v>
      </c>
      <c r="BZ73" s="512">
        <f t="shared" si="165"/>
        <v>-25404.812771364708</v>
      </c>
      <c r="CA73" s="512">
        <f t="shared" si="165"/>
        <v>-25404.812771364708</v>
      </c>
      <c r="CB73" s="512">
        <f t="shared" si="165"/>
        <v>-25875.272267130724</v>
      </c>
      <c r="CC73" s="512">
        <f t="shared" si="165"/>
        <v>-25875.272267130724</v>
      </c>
      <c r="CD73" s="512">
        <f t="shared" si="165"/>
        <v>-25875.272267130724</v>
      </c>
      <c r="CE73" s="512">
        <f t="shared" si="165"/>
        <v>-25875.272267130724</v>
      </c>
      <c r="CF73" s="512">
        <f t="shared" si="165"/>
        <v>-25875.272267130724</v>
      </c>
      <c r="CG73" s="512">
        <f t="shared" si="165"/>
        <v>-25875.272267130724</v>
      </c>
      <c r="CH73" s="512">
        <f t="shared" si="165"/>
        <v>-25875.272267130724</v>
      </c>
      <c r="CI73" s="512">
        <f t="shared" si="165"/>
        <v>-25875.272267130724</v>
      </c>
      <c r="CJ73" s="512">
        <f t="shared" si="165"/>
        <v>-25875.272267130724</v>
      </c>
      <c r="CK73" s="512">
        <f t="shared" si="165"/>
        <v>-25875.272267130724</v>
      </c>
      <c r="CL73" s="512">
        <f t="shared" si="165"/>
        <v>-25875.272267130724</v>
      </c>
      <c r="CM73" s="512">
        <f t="shared" si="165"/>
        <v>-25875.272267130724</v>
      </c>
      <c r="CN73" s="512">
        <f t="shared" si="165"/>
        <v>-26345.731762896736</v>
      </c>
      <c r="CO73" s="512">
        <f t="shared" si="165"/>
        <v>-26345.731762896736</v>
      </c>
      <c r="CP73" s="512">
        <f t="shared" si="165"/>
        <v>-26345.731762896736</v>
      </c>
      <c r="CQ73" s="512">
        <f t="shared" si="165"/>
        <v>-26345.731762896736</v>
      </c>
      <c r="CR73" s="512">
        <f t="shared" si="165"/>
        <v>-26345.731762896736</v>
      </c>
      <c r="CS73" s="512">
        <f t="shared" si="165"/>
        <v>-26345.731762896736</v>
      </c>
      <c r="CT73" s="512">
        <f t="shared" si="165"/>
        <v>-26345.731762896736</v>
      </c>
      <c r="CU73" s="512">
        <f t="shared" si="165"/>
        <v>-26345.731762896736</v>
      </c>
      <c r="CV73" s="512">
        <f t="shared" si="165"/>
        <v>-26345.731762896736</v>
      </c>
      <c r="CW73" s="512">
        <f t="shared" si="165"/>
        <v>-26345.731762896736</v>
      </c>
      <c r="CX73" s="512">
        <f t="shared" si="165"/>
        <v>-26345.731762896736</v>
      </c>
      <c r="CY73" s="512">
        <f t="shared" si="165"/>
        <v>-26345.731762896736</v>
      </c>
      <c r="CZ73" s="512">
        <f t="shared" ref="CZ73:EE73" si="166">SUM(CZ68:CZ72)</f>
        <v>-26816.191258662748</v>
      </c>
      <c r="DA73" s="512">
        <f t="shared" si="166"/>
        <v>-26816.191258662748</v>
      </c>
      <c r="DB73" s="512">
        <f t="shared" si="166"/>
        <v>-26816.191258662748</v>
      </c>
      <c r="DC73" s="512">
        <f t="shared" si="166"/>
        <v>-26816.191258662748</v>
      </c>
      <c r="DD73" s="512">
        <f t="shared" si="166"/>
        <v>-26816.191258662748</v>
      </c>
      <c r="DE73" s="512">
        <f t="shared" si="166"/>
        <v>-26816.191258662748</v>
      </c>
      <c r="DF73" s="512">
        <f t="shared" si="166"/>
        <v>-26816.191258662748</v>
      </c>
      <c r="DG73" s="512">
        <f t="shared" si="166"/>
        <v>-26816.191258662748</v>
      </c>
      <c r="DH73" s="512">
        <f t="shared" si="166"/>
        <v>-26816.191258662748</v>
      </c>
      <c r="DI73" s="512">
        <f t="shared" si="166"/>
        <v>-26816.191258662748</v>
      </c>
      <c r="DJ73" s="512">
        <f t="shared" si="166"/>
        <v>-26816.191258662748</v>
      </c>
      <c r="DK73" s="512">
        <f t="shared" si="166"/>
        <v>-26816.191258662748</v>
      </c>
      <c r="DL73" s="512">
        <f t="shared" si="166"/>
        <v>-27286.65075442876</v>
      </c>
      <c r="DM73" s="512">
        <f t="shared" si="166"/>
        <v>-27286.65075442876</v>
      </c>
      <c r="DN73" s="512">
        <f t="shared" si="166"/>
        <v>-27286.65075442876</v>
      </c>
      <c r="DO73" s="512">
        <f t="shared" si="166"/>
        <v>-27286.65075442876</v>
      </c>
      <c r="DP73" s="512">
        <f t="shared" si="166"/>
        <v>-27286.65075442876</v>
      </c>
      <c r="DQ73" s="512">
        <f t="shared" si="166"/>
        <v>-27286.65075442876</v>
      </c>
      <c r="DR73" s="512">
        <f t="shared" si="166"/>
        <v>-27286.65075442876</v>
      </c>
      <c r="DS73" s="512">
        <f t="shared" si="166"/>
        <v>-27286.65075442876</v>
      </c>
      <c r="DT73" s="512">
        <f t="shared" si="166"/>
        <v>-27286.65075442876</v>
      </c>
      <c r="DU73" s="512">
        <f t="shared" si="166"/>
        <v>-27286.65075442876</v>
      </c>
      <c r="DV73" s="512">
        <f t="shared" si="166"/>
        <v>-27286.65075442876</v>
      </c>
      <c r="DW73" s="512">
        <f t="shared" si="166"/>
        <v>-27286.65075442876</v>
      </c>
      <c r="DX73" s="512">
        <f t="shared" si="166"/>
        <v>-27757.110250194779</v>
      </c>
      <c r="DY73" s="512">
        <f t="shared" si="166"/>
        <v>-27757.110250194779</v>
      </c>
      <c r="DZ73" s="512">
        <f t="shared" si="166"/>
        <v>-27757.110250194779</v>
      </c>
      <c r="EA73" s="512">
        <f t="shared" si="166"/>
        <v>-27757.110250194779</v>
      </c>
      <c r="EB73" s="512">
        <f t="shared" si="166"/>
        <v>-27757.110250194779</v>
      </c>
      <c r="EC73" s="512">
        <f t="shared" si="166"/>
        <v>-27757.110250194779</v>
      </c>
      <c r="ED73" s="512">
        <f t="shared" si="166"/>
        <v>-27757.110250194779</v>
      </c>
      <c r="EE73" s="512">
        <f t="shared" si="166"/>
        <v>-27757.110250194779</v>
      </c>
      <c r="EF73" s="512">
        <f t="shared" ref="EF73:FK73" si="167">SUM(EF68:EF72)</f>
        <v>-27757.110250194779</v>
      </c>
      <c r="EG73" s="512">
        <f t="shared" si="167"/>
        <v>-27757.110250194779</v>
      </c>
      <c r="EH73" s="512">
        <f t="shared" si="167"/>
        <v>-27757.110250194779</v>
      </c>
      <c r="EI73" s="512">
        <f t="shared" si="167"/>
        <v>-27757.110250194779</v>
      </c>
      <c r="EJ73" s="512">
        <f t="shared" si="167"/>
        <v>-28227.569745960791</v>
      </c>
      <c r="EK73" s="512">
        <f t="shared" si="167"/>
        <v>-28227.569745960791</v>
      </c>
      <c r="EL73" s="512">
        <f t="shared" si="167"/>
        <v>-28227.569745960791</v>
      </c>
      <c r="EM73" s="512">
        <f t="shared" si="167"/>
        <v>-28227.569745960791</v>
      </c>
      <c r="EN73" s="512">
        <f t="shared" si="167"/>
        <v>-28227.569745960791</v>
      </c>
      <c r="EO73" s="512">
        <f t="shared" si="167"/>
        <v>-28227.569745960791</v>
      </c>
      <c r="EP73" s="512">
        <f t="shared" si="167"/>
        <v>-28227.569745960791</v>
      </c>
      <c r="EQ73" s="512">
        <f t="shared" si="167"/>
        <v>-28227.569745960791</v>
      </c>
      <c r="ER73" s="512">
        <f t="shared" si="167"/>
        <v>-28227.569745960791</v>
      </c>
      <c r="ES73" s="512">
        <f t="shared" si="167"/>
        <v>-28227.569745960791</v>
      </c>
      <c r="ET73" s="512">
        <f t="shared" si="167"/>
        <v>-28227.569745960791</v>
      </c>
      <c r="EU73" s="512">
        <f t="shared" si="167"/>
        <v>-28227.569745960791</v>
      </c>
      <c r="EV73" s="512">
        <f t="shared" si="167"/>
        <v>0</v>
      </c>
      <c r="EW73" s="512">
        <f t="shared" si="167"/>
        <v>0</v>
      </c>
      <c r="EX73" s="512">
        <f t="shared" si="167"/>
        <v>0</v>
      </c>
      <c r="EY73" s="512">
        <f t="shared" si="167"/>
        <v>0</v>
      </c>
      <c r="EZ73" s="512">
        <f t="shared" si="167"/>
        <v>0</v>
      </c>
      <c r="FA73" s="512">
        <f t="shared" si="167"/>
        <v>0</v>
      </c>
      <c r="FB73" s="512">
        <f t="shared" si="167"/>
        <v>0</v>
      </c>
      <c r="FC73" s="512">
        <f t="shared" si="167"/>
        <v>0</v>
      </c>
      <c r="FD73" s="512">
        <f t="shared" si="167"/>
        <v>0</v>
      </c>
      <c r="FE73" s="512">
        <f t="shared" si="167"/>
        <v>0</v>
      </c>
      <c r="FF73" s="512">
        <f t="shared" si="167"/>
        <v>0</v>
      </c>
      <c r="FG73" s="512">
        <f t="shared" si="167"/>
        <v>0</v>
      </c>
      <c r="FH73" s="512">
        <f t="shared" si="167"/>
        <v>0</v>
      </c>
      <c r="FI73" s="512">
        <f t="shared" si="167"/>
        <v>0</v>
      </c>
      <c r="FJ73" s="512">
        <f t="shared" si="167"/>
        <v>0</v>
      </c>
      <c r="FK73" s="512">
        <f t="shared" si="167"/>
        <v>0</v>
      </c>
      <c r="FL73" s="512">
        <f t="shared" ref="FL73:FT73" si="168">SUM(FL68:FL72)</f>
        <v>0</v>
      </c>
      <c r="FM73" s="512">
        <f t="shared" si="168"/>
        <v>0</v>
      </c>
      <c r="FN73" s="512">
        <f t="shared" si="168"/>
        <v>0</v>
      </c>
      <c r="FO73" s="512">
        <f t="shared" si="168"/>
        <v>0</v>
      </c>
      <c r="FP73" s="512">
        <f t="shared" si="168"/>
        <v>0</v>
      </c>
      <c r="FQ73" s="512">
        <f t="shared" si="168"/>
        <v>0</v>
      </c>
      <c r="FR73" s="512">
        <f t="shared" si="168"/>
        <v>0</v>
      </c>
      <c r="FS73" s="512">
        <f t="shared" si="168"/>
        <v>0</v>
      </c>
      <c r="FT73" s="512">
        <f t="shared" si="168"/>
        <v>0</v>
      </c>
      <c r="FU73" s="43"/>
      <c r="FV73" s="34"/>
      <c r="FW73" s="34"/>
      <c r="FX73" s="34"/>
      <c r="FY73" s="34"/>
      <c r="FZ73" s="34"/>
    </row>
    <row r="74" spans="1:182" s="89" customFormat="1" ht="13.5" x14ac:dyDescent="0.25">
      <c r="A74" s="34"/>
      <c r="B74" s="128"/>
      <c r="C74" s="34"/>
      <c r="D74" s="34"/>
      <c r="E74" s="34"/>
      <c r="F74" s="428"/>
      <c r="G74" s="34"/>
      <c r="H74" s="436"/>
      <c r="I74" s="427"/>
      <c r="J74" s="427"/>
      <c r="K74" s="427"/>
      <c r="L74" s="427"/>
      <c r="M74" s="427"/>
      <c r="N74" s="427"/>
      <c r="O74" s="427"/>
      <c r="P74" s="427"/>
      <c r="Q74" s="427"/>
      <c r="R74" s="427"/>
      <c r="S74" s="427"/>
      <c r="T74" s="427"/>
      <c r="U74" s="427"/>
      <c r="V74" s="427"/>
      <c r="W74" s="427"/>
      <c r="X74" s="427"/>
      <c r="Y74" s="427"/>
      <c r="Z74" s="427"/>
      <c r="AA74" s="427"/>
      <c r="AB74" s="427"/>
      <c r="AC74" s="427"/>
      <c r="AD74" s="427"/>
      <c r="AE74" s="427"/>
      <c r="AF74" s="427"/>
      <c r="AG74" s="427"/>
      <c r="AH74" s="427"/>
      <c r="AI74" s="427"/>
      <c r="AJ74" s="427"/>
      <c r="AK74" s="427"/>
      <c r="AL74" s="427"/>
      <c r="AM74" s="427"/>
      <c r="AN74" s="427"/>
      <c r="AO74" s="427"/>
      <c r="AP74" s="427"/>
      <c r="AQ74" s="427"/>
      <c r="AR74" s="427"/>
      <c r="AS74" s="427"/>
      <c r="AT74" s="427"/>
      <c r="AU74" s="427"/>
      <c r="AV74" s="427"/>
      <c r="AW74" s="427"/>
      <c r="AX74" s="427"/>
      <c r="AY74" s="427"/>
      <c r="AZ74" s="427"/>
      <c r="BA74" s="427"/>
      <c r="BB74" s="427"/>
      <c r="BC74" s="427"/>
      <c r="BD74" s="427"/>
      <c r="BE74" s="427"/>
      <c r="BF74" s="427"/>
      <c r="BG74" s="427"/>
      <c r="BH74" s="427"/>
      <c r="BI74" s="427"/>
      <c r="BJ74" s="427"/>
      <c r="BK74" s="427"/>
      <c r="BL74" s="427"/>
      <c r="BM74" s="427"/>
      <c r="BN74" s="427"/>
      <c r="BO74" s="427"/>
      <c r="BP74" s="427"/>
      <c r="BQ74" s="427"/>
      <c r="BR74" s="427"/>
      <c r="BS74" s="427"/>
      <c r="BT74" s="427"/>
      <c r="BU74" s="427"/>
      <c r="BV74" s="427"/>
      <c r="BW74" s="427"/>
      <c r="BX74" s="427"/>
      <c r="BY74" s="427"/>
      <c r="BZ74" s="427"/>
      <c r="CA74" s="427"/>
      <c r="CB74" s="427"/>
      <c r="CC74" s="427"/>
      <c r="CD74" s="427"/>
      <c r="CE74" s="427"/>
      <c r="CF74" s="427"/>
      <c r="CG74" s="427"/>
      <c r="CH74" s="427"/>
      <c r="CI74" s="427"/>
      <c r="CJ74" s="427"/>
      <c r="CK74" s="427"/>
      <c r="CL74" s="427"/>
      <c r="CM74" s="427"/>
      <c r="CN74" s="427"/>
      <c r="CO74" s="427"/>
      <c r="CP74" s="427"/>
      <c r="CQ74" s="427"/>
      <c r="CR74" s="427"/>
      <c r="CS74" s="427"/>
      <c r="CT74" s="427"/>
      <c r="CU74" s="427"/>
      <c r="CV74" s="427"/>
      <c r="CW74" s="427"/>
      <c r="CX74" s="427"/>
      <c r="CY74" s="427"/>
      <c r="CZ74" s="427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43"/>
      <c r="FV74" s="34"/>
      <c r="FW74" s="34"/>
      <c r="FX74" s="34"/>
      <c r="FY74" s="34"/>
      <c r="FZ74" s="34"/>
    </row>
    <row r="75" spans="1:182" s="89" customFormat="1" ht="13.5" x14ac:dyDescent="0.25">
      <c r="A75" s="34"/>
      <c r="B75" s="128"/>
      <c r="C75" s="34"/>
      <c r="D75" s="34"/>
      <c r="E75" s="34"/>
      <c r="F75" s="428"/>
      <c r="G75" s="34"/>
      <c r="H75" s="436"/>
      <c r="I75" s="427"/>
      <c r="J75" s="427"/>
      <c r="K75" s="427"/>
      <c r="L75" s="427"/>
      <c r="M75" s="427"/>
      <c r="N75" s="427"/>
      <c r="O75" s="427"/>
      <c r="P75" s="427"/>
      <c r="Q75" s="427"/>
      <c r="R75" s="427"/>
      <c r="S75" s="427"/>
      <c r="T75" s="427"/>
      <c r="U75" s="427"/>
      <c r="V75" s="427"/>
      <c r="W75" s="427"/>
      <c r="X75" s="427"/>
      <c r="Y75" s="427"/>
      <c r="Z75" s="427"/>
      <c r="AA75" s="427"/>
      <c r="AB75" s="427"/>
      <c r="AC75" s="427"/>
      <c r="AD75" s="427"/>
      <c r="AE75" s="427"/>
      <c r="AF75" s="427"/>
      <c r="AG75" s="427"/>
      <c r="AH75" s="427"/>
      <c r="AI75" s="427"/>
      <c r="AJ75" s="427"/>
      <c r="AK75" s="427"/>
      <c r="AL75" s="427"/>
      <c r="AM75" s="427"/>
      <c r="AN75" s="427"/>
      <c r="AO75" s="427"/>
      <c r="AP75" s="427"/>
      <c r="AQ75" s="427"/>
      <c r="AR75" s="427"/>
      <c r="AS75" s="427"/>
      <c r="AT75" s="427"/>
      <c r="AU75" s="427"/>
      <c r="AV75" s="427"/>
      <c r="AW75" s="427"/>
      <c r="AX75" s="427"/>
      <c r="AY75" s="427"/>
      <c r="AZ75" s="427"/>
      <c r="BA75" s="427"/>
      <c r="BB75" s="427"/>
      <c r="BC75" s="427"/>
      <c r="BD75" s="427"/>
      <c r="BE75" s="427"/>
      <c r="BF75" s="427"/>
      <c r="BG75" s="427"/>
      <c r="BH75" s="427"/>
      <c r="BI75" s="427"/>
      <c r="BJ75" s="427"/>
      <c r="BK75" s="427"/>
      <c r="BL75" s="427"/>
      <c r="BM75" s="427"/>
      <c r="BN75" s="427"/>
      <c r="BO75" s="427"/>
      <c r="BP75" s="427"/>
      <c r="BQ75" s="427"/>
      <c r="BR75" s="427"/>
      <c r="BS75" s="427"/>
      <c r="BT75" s="427"/>
      <c r="BU75" s="427"/>
      <c r="BV75" s="427"/>
      <c r="BW75" s="427"/>
      <c r="BX75" s="427"/>
      <c r="BY75" s="427"/>
      <c r="BZ75" s="427"/>
      <c r="CA75" s="427"/>
      <c r="CB75" s="427"/>
      <c r="CC75" s="427"/>
      <c r="CD75" s="427"/>
      <c r="CE75" s="427"/>
      <c r="CF75" s="427"/>
      <c r="CG75" s="427"/>
      <c r="CH75" s="427"/>
      <c r="CI75" s="427"/>
      <c r="CJ75" s="427"/>
      <c r="CK75" s="427"/>
      <c r="CL75" s="427"/>
      <c r="CM75" s="427"/>
      <c r="CN75" s="427"/>
      <c r="CO75" s="427"/>
      <c r="CP75" s="427"/>
      <c r="CQ75" s="427"/>
      <c r="CR75" s="427"/>
      <c r="CS75" s="427"/>
      <c r="CT75" s="427"/>
      <c r="CU75" s="427"/>
      <c r="CV75" s="427"/>
      <c r="CW75" s="427"/>
      <c r="CX75" s="427"/>
      <c r="CY75" s="427"/>
      <c r="CZ75" s="427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43"/>
      <c r="FV75" s="34"/>
      <c r="FW75" s="34"/>
      <c r="FX75" s="34"/>
      <c r="FY75" s="34"/>
      <c r="FZ75" s="34"/>
    </row>
    <row r="76" spans="1:182" s="89" customFormat="1" ht="13.5" x14ac:dyDescent="0.25">
      <c r="A76" s="34"/>
      <c r="B76" s="142" t="s">
        <v>367</v>
      </c>
      <c r="C76" s="34"/>
      <c r="D76" s="34"/>
      <c r="E76" s="34"/>
      <c r="F76" s="429">
        <f>SUM(H76:FT76)</f>
        <v>66197721.450461313</v>
      </c>
      <c r="G76" s="34"/>
      <c r="H76" s="431">
        <f>SUM(H65,H73)</f>
        <v>0</v>
      </c>
      <c r="I76" s="431">
        <f t="shared" ref="I76:BT76" si="169">SUM(I65,I73)</f>
        <v>0</v>
      </c>
      <c r="J76" s="431">
        <f t="shared" si="169"/>
        <v>0</v>
      </c>
      <c r="K76" s="431">
        <f t="shared" si="169"/>
        <v>0</v>
      </c>
      <c r="L76" s="431">
        <f t="shared" si="169"/>
        <v>0</v>
      </c>
      <c r="M76" s="431">
        <f t="shared" si="169"/>
        <v>0</v>
      </c>
      <c r="N76" s="431">
        <f t="shared" si="169"/>
        <v>0</v>
      </c>
      <c r="O76" s="431">
        <f t="shared" si="169"/>
        <v>0</v>
      </c>
      <c r="P76" s="431">
        <f t="shared" si="169"/>
        <v>0</v>
      </c>
      <c r="Q76" s="431">
        <f t="shared" si="169"/>
        <v>0</v>
      </c>
      <c r="R76" s="431">
        <f t="shared" si="169"/>
        <v>0</v>
      </c>
      <c r="S76" s="431">
        <f t="shared" si="169"/>
        <v>0</v>
      </c>
      <c r="T76" s="431">
        <f t="shared" si="169"/>
        <v>0</v>
      </c>
      <c r="U76" s="431">
        <f t="shared" si="169"/>
        <v>0</v>
      </c>
      <c r="V76" s="431">
        <f t="shared" si="169"/>
        <v>0</v>
      </c>
      <c r="W76" s="431">
        <f t="shared" si="169"/>
        <v>0</v>
      </c>
      <c r="X76" s="431">
        <f t="shared" si="169"/>
        <v>0</v>
      </c>
      <c r="Y76" s="431">
        <f t="shared" si="169"/>
        <v>45382.705879526147</v>
      </c>
      <c r="Z76" s="431">
        <f t="shared" si="169"/>
        <v>88604.330526693899</v>
      </c>
      <c r="AA76" s="431">
        <f t="shared" si="169"/>
        <v>131825.95517386164</v>
      </c>
      <c r="AB76" s="431">
        <f t="shared" si="169"/>
        <v>175047.57982102942</v>
      </c>
      <c r="AC76" s="431">
        <f t="shared" si="169"/>
        <v>218269.20446819716</v>
      </c>
      <c r="AD76" s="431">
        <f t="shared" si="169"/>
        <v>261490.82911536493</v>
      </c>
      <c r="AE76" s="431">
        <f t="shared" si="169"/>
        <v>270135.15404479846</v>
      </c>
      <c r="AF76" s="431">
        <f t="shared" si="169"/>
        <v>275537.85712569446</v>
      </c>
      <c r="AG76" s="431">
        <f t="shared" si="169"/>
        <v>275537.85712569446</v>
      </c>
      <c r="AH76" s="431">
        <f t="shared" si="169"/>
        <v>319623.91426580556</v>
      </c>
      <c r="AI76" s="431">
        <f t="shared" si="169"/>
        <v>363709.97140591667</v>
      </c>
      <c r="AJ76" s="431">
        <f t="shared" si="169"/>
        <v>407796.02854602778</v>
      </c>
      <c r="AK76" s="431">
        <f t="shared" si="169"/>
        <v>451882.08568613889</v>
      </c>
      <c r="AL76" s="431">
        <f t="shared" si="169"/>
        <v>495968.14282625</v>
      </c>
      <c r="AM76" s="431">
        <f t="shared" si="169"/>
        <v>505039.25139726663</v>
      </c>
      <c r="AN76" s="431">
        <f t="shared" si="169"/>
        <v>505039.25139726663</v>
      </c>
      <c r="AO76" s="431">
        <f t="shared" si="169"/>
        <v>505039.25139726663</v>
      </c>
      <c r="AP76" s="431">
        <f t="shared" si="169"/>
        <v>505039.25139726663</v>
      </c>
      <c r="AQ76" s="431">
        <f t="shared" si="169"/>
        <v>505039.25139726663</v>
      </c>
      <c r="AR76" s="431">
        <f t="shared" si="169"/>
        <v>514941.98181682097</v>
      </c>
      <c r="AS76" s="431">
        <f t="shared" si="169"/>
        <v>514941.98181682097</v>
      </c>
      <c r="AT76" s="431">
        <f t="shared" si="169"/>
        <v>514941.98181682097</v>
      </c>
      <c r="AU76" s="431">
        <f t="shared" si="169"/>
        <v>514941.98181682097</v>
      </c>
      <c r="AV76" s="431">
        <f t="shared" si="169"/>
        <v>514941.98181682097</v>
      </c>
      <c r="AW76" s="431">
        <f t="shared" si="169"/>
        <v>514941.98181682097</v>
      </c>
      <c r="AX76" s="431">
        <f t="shared" si="169"/>
        <v>514941.98181682097</v>
      </c>
      <c r="AY76" s="431">
        <f t="shared" si="169"/>
        <v>514941.98181682097</v>
      </c>
      <c r="AZ76" s="431">
        <f t="shared" si="169"/>
        <v>514941.98181682097</v>
      </c>
      <c r="BA76" s="431">
        <f t="shared" si="169"/>
        <v>514941.98181682097</v>
      </c>
      <c r="BB76" s="431">
        <f t="shared" si="169"/>
        <v>514941.98181682097</v>
      </c>
      <c r="BC76" s="431">
        <f t="shared" si="169"/>
        <v>514941.98181682097</v>
      </c>
      <c r="BD76" s="431">
        <f t="shared" si="169"/>
        <v>524844.71223637508</v>
      </c>
      <c r="BE76" s="431">
        <f t="shared" si="169"/>
        <v>524844.71223637508</v>
      </c>
      <c r="BF76" s="431">
        <f t="shared" si="169"/>
        <v>524844.71223637508</v>
      </c>
      <c r="BG76" s="431">
        <f t="shared" si="169"/>
        <v>524844.71223637508</v>
      </c>
      <c r="BH76" s="431">
        <f t="shared" si="169"/>
        <v>524844.71223637508</v>
      </c>
      <c r="BI76" s="431">
        <f t="shared" si="169"/>
        <v>524844.71223637508</v>
      </c>
      <c r="BJ76" s="431">
        <f t="shared" si="169"/>
        <v>524844.71223637508</v>
      </c>
      <c r="BK76" s="431">
        <f t="shared" si="169"/>
        <v>524844.71223637508</v>
      </c>
      <c r="BL76" s="431">
        <f t="shared" si="169"/>
        <v>524844.71223637508</v>
      </c>
      <c r="BM76" s="431">
        <f t="shared" si="169"/>
        <v>524844.71223637508</v>
      </c>
      <c r="BN76" s="431">
        <f t="shared" si="169"/>
        <v>524844.71223637508</v>
      </c>
      <c r="BO76" s="431">
        <f t="shared" si="169"/>
        <v>524844.71223637508</v>
      </c>
      <c r="BP76" s="431">
        <f t="shared" si="169"/>
        <v>534747.44265592948</v>
      </c>
      <c r="BQ76" s="431">
        <f t="shared" si="169"/>
        <v>534747.44265592948</v>
      </c>
      <c r="BR76" s="431">
        <f t="shared" si="169"/>
        <v>534747.44265592948</v>
      </c>
      <c r="BS76" s="431">
        <f t="shared" si="169"/>
        <v>534747.44265592948</v>
      </c>
      <c r="BT76" s="431">
        <f t="shared" si="169"/>
        <v>534747.44265592948</v>
      </c>
      <c r="BU76" s="431">
        <f t="shared" ref="BU76:EF76" si="170">SUM(BU65,BU73)</f>
        <v>534747.44265592948</v>
      </c>
      <c r="BV76" s="431">
        <f t="shared" si="170"/>
        <v>534747.44265592948</v>
      </c>
      <c r="BW76" s="431">
        <f t="shared" si="170"/>
        <v>534747.44265592948</v>
      </c>
      <c r="BX76" s="431">
        <f t="shared" si="170"/>
        <v>534747.44265592948</v>
      </c>
      <c r="BY76" s="431">
        <f t="shared" si="170"/>
        <v>534747.44265592948</v>
      </c>
      <c r="BZ76" s="431">
        <f t="shared" si="170"/>
        <v>534747.44265592948</v>
      </c>
      <c r="CA76" s="431">
        <f t="shared" si="170"/>
        <v>534747.44265592948</v>
      </c>
      <c r="CB76" s="431">
        <f t="shared" si="170"/>
        <v>544650.17307548376</v>
      </c>
      <c r="CC76" s="431">
        <f t="shared" si="170"/>
        <v>544650.17307548376</v>
      </c>
      <c r="CD76" s="431">
        <f t="shared" si="170"/>
        <v>544650.17307548376</v>
      </c>
      <c r="CE76" s="431">
        <f t="shared" si="170"/>
        <v>544650.17307548376</v>
      </c>
      <c r="CF76" s="431">
        <f t="shared" si="170"/>
        <v>544650.17307548376</v>
      </c>
      <c r="CG76" s="431">
        <f t="shared" si="170"/>
        <v>544650.17307548376</v>
      </c>
      <c r="CH76" s="431">
        <f t="shared" si="170"/>
        <v>544650.17307548376</v>
      </c>
      <c r="CI76" s="431">
        <f t="shared" si="170"/>
        <v>544650.17307548376</v>
      </c>
      <c r="CJ76" s="431">
        <f t="shared" si="170"/>
        <v>544650.17307548376</v>
      </c>
      <c r="CK76" s="431">
        <f t="shared" si="170"/>
        <v>544650.17307548376</v>
      </c>
      <c r="CL76" s="431">
        <f t="shared" si="170"/>
        <v>544650.17307548376</v>
      </c>
      <c r="CM76" s="431">
        <f t="shared" si="170"/>
        <v>544650.17307548376</v>
      </c>
      <c r="CN76" s="431">
        <f t="shared" si="170"/>
        <v>554552.90349503793</v>
      </c>
      <c r="CO76" s="431">
        <f t="shared" si="170"/>
        <v>554552.90349503793</v>
      </c>
      <c r="CP76" s="431">
        <f t="shared" si="170"/>
        <v>554552.90349503793</v>
      </c>
      <c r="CQ76" s="431">
        <f t="shared" si="170"/>
        <v>554552.90349503793</v>
      </c>
      <c r="CR76" s="431">
        <f t="shared" si="170"/>
        <v>554552.90349503793</v>
      </c>
      <c r="CS76" s="431">
        <f t="shared" si="170"/>
        <v>554552.90349503793</v>
      </c>
      <c r="CT76" s="431">
        <f t="shared" si="170"/>
        <v>554552.90349503793</v>
      </c>
      <c r="CU76" s="431">
        <f t="shared" si="170"/>
        <v>554552.90349503793</v>
      </c>
      <c r="CV76" s="431">
        <f t="shared" si="170"/>
        <v>554552.90349503793</v>
      </c>
      <c r="CW76" s="431">
        <f t="shared" si="170"/>
        <v>554552.90349503793</v>
      </c>
      <c r="CX76" s="431">
        <f t="shared" si="170"/>
        <v>554552.90349503793</v>
      </c>
      <c r="CY76" s="431">
        <f t="shared" si="170"/>
        <v>554552.90349503793</v>
      </c>
      <c r="CZ76" s="431">
        <f t="shared" si="170"/>
        <v>564455.63391459221</v>
      </c>
      <c r="DA76" s="431">
        <f t="shared" si="170"/>
        <v>564455.63391459221</v>
      </c>
      <c r="DB76" s="431">
        <f t="shared" si="170"/>
        <v>564455.63391459221</v>
      </c>
      <c r="DC76" s="431">
        <f t="shared" si="170"/>
        <v>564455.63391459221</v>
      </c>
      <c r="DD76" s="431">
        <f t="shared" si="170"/>
        <v>564455.63391459221</v>
      </c>
      <c r="DE76" s="431">
        <f t="shared" si="170"/>
        <v>564455.63391459221</v>
      </c>
      <c r="DF76" s="431">
        <f t="shared" si="170"/>
        <v>564455.63391459221</v>
      </c>
      <c r="DG76" s="431">
        <f t="shared" si="170"/>
        <v>564455.63391459221</v>
      </c>
      <c r="DH76" s="431">
        <f t="shared" si="170"/>
        <v>564455.63391459221</v>
      </c>
      <c r="DI76" s="431">
        <f t="shared" si="170"/>
        <v>564455.63391459221</v>
      </c>
      <c r="DJ76" s="431">
        <f t="shared" si="170"/>
        <v>564455.63391459221</v>
      </c>
      <c r="DK76" s="431">
        <f t="shared" si="170"/>
        <v>564455.63391459221</v>
      </c>
      <c r="DL76" s="431">
        <f t="shared" si="170"/>
        <v>574358.36433414649</v>
      </c>
      <c r="DM76" s="431">
        <f t="shared" si="170"/>
        <v>574358.36433414649</v>
      </c>
      <c r="DN76" s="431">
        <f t="shared" si="170"/>
        <v>574358.36433414649</v>
      </c>
      <c r="DO76" s="431">
        <f t="shared" si="170"/>
        <v>574358.36433414649</v>
      </c>
      <c r="DP76" s="431">
        <f t="shared" si="170"/>
        <v>574358.36433414649</v>
      </c>
      <c r="DQ76" s="431">
        <f t="shared" si="170"/>
        <v>574358.36433414649</v>
      </c>
      <c r="DR76" s="431">
        <f t="shared" si="170"/>
        <v>574358.36433414649</v>
      </c>
      <c r="DS76" s="431">
        <f t="shared" si="170"/>
        <v>574358.36433414649</v>
      </c>
      <c r="DT76" s="431">
        <f t="shared" si="170"/>
        <v>574358.36433414649</v>
      </c>
      <c r="DU76" s="431">
        <f t="shared" si="170"/>
        <v>574358.36433414649</v>
      </c>
      <c r="DV76" s="431">
        <f t="shared" si="170"/>
        <v>574358.36433414649</v>
      </c>
      <c r="DW76" s="431">
        <f t="shared" si="170"/>
        <v>574358.36433414649</v>
      </c>
      <c r="DX76" s="431">
        <f t="shared" si="170"/>
        <v>584261.09475370077</v>
      </c>
      <c r="DY76" s="431">
        <f t="shared" si="170"/>
        <v>584261.09475370077</v>
      </c>
      <c r="DZ76" s="431">
        <f t="shared" si="170"/>
        <v>584261.09475370077</v>
      </c>
      <c r="EA76" s="431">
        <f t="shared" si="170"/>
        <v>584261.09475370077</v>
      </c>
      <c r="EB76" s="431">
        <f t="shared" si="170"/>
        <v>584261.09475370077</v>
      </c>
      <c r="EC76" s="431">
        <f t="shared" si="170"/>
        <v>584261.09475370077</v>
      </c>
      <c r="ED76" s="431">
        <f t="shared" si="170"/>
        <v>584261.09475370077</v>
      </c>
      <c r="EE76" s="431">
        <f t="shared" si="170"/>
        <v>584261.09475370077</v>
      </c>
      <c r="EF76" s="431">
        <f t="shared" si="170"/>
        <v>584261.09475370077</v>
      </c>
      <c r="EG76" s="431">
        <f t="shared" ref="EG76:FT76" si="171">SUM(EG65,EG73)</f>
        <v>584261.09475370077</v>
      </c>
      <c r="EH76" s="431">
        <f t="shared" si="171"/>
        <v>584261.09475370077</v>
      </c>
      <c r="EI76" s="431">
        <f t="shared" si="171"/>
        <v>584261.09475370077</v>
      </c>
      <c r="EJ76" s="431">
        <f t="shared" si="171"/>
        <v>594163.82517325506</v>
      </c>
      <c r="EK76" s="431">
        <f t="shared" si="171"/>
        <v>594163.82517325506</v>
      </c>
      <c r="EL76" s="431">
        <f t="shared" si="171"/>
        <v>594163.82517325506</v>
      </c>
      <c r="EM76" s="431">
        <f t="shared" si="171"/>
        <v>594163.82517325506</v>
      </c>
      <c r="EN76" s="431">
        <f t="shared" si="171"/>
        <v>594163.82517325506</v>
      </c>
      <c r="EO76" s="431">
        <f t="shared" si="171"/>
        <v>594163.82517325506</v>
      </c>
      <c r="EP76" s="431">
        <f t="shared" si="171"/>
        <v>594163.82517325506</v>
      </c>
      <c r="EQ76" s="431">
        <f t="shared" si="171"/>
        <v>594163.82517325506</v>
      </c>
      <c r="ER76" s="431">
        <f t="shared" si="171"/>
        <v>594163.82517325506</v>
      </c>
      <c r="ES76" s="431">
        <f t="shared" si="171"/>
        <v>594163.82517325506</v>
      </c>
      <c r="ET76" s="431">
        <f t="shared" si="171"/>
        <v>594163.82517325506</v>
      </c>
      <c r="EU76" s="431">
        <f t="shared" si="171"/>
        <v>594163.82517325506</v>
      </c>
      <c r="EV76" s="431">
        <f t="shared" si="171"/>
        <v>0</v>
      </c>
      <c r="EW76" s="431">
        <f t="shared" si="171"/>
        <v>0</v>
      </c>
      <c r="EX76" s="431">
        <f t="shared" si="171"/>
        <v>0</v>
      </c>
      <c r="EY76" s="431">
        <f t="shared" si="171"/>
        <v>0</v>
      </c>
      <c r="EZ76" s="431">
        <f t="shared" si="171"/>
        <v>0</v>
      </c>
      <c r="FA76" s="431">
        <f t="shared" si="171"/>
        <v>0</v>
      </c>
      <c r="FB76" s="431">
        <f t="shared" si="171"/>
        <v>0</v>
      </c>
      <c r="FC76" s="431">
        <f t="shared" si="171"/>
        <v>0</v>
      </c>
      <c r="FD76" s="431">
        <f t="shared" si="171"/>
        <v>0</v>
      </c>
      <c r="FE76" s="431">
        <f t="shared" si="171"/>
        <v>0</v>
      </c>
      <c r="FF76" s="431">
        <f t="shared" si="171"/>
        <v>0</v>
      </c>
      <c r="FG76" s="431">
        <f t="shared" si="171"/>
        <v>0</v>
      </c>
      <c r="FH76" s="431">
        <f t="shared" si="171"/>
        <v>0</v>
      </c>
      <c r="FI76" s="431">
        <f t="shared" si="171"/>
        <v>0</v>
      </c>
      <c r="FJ76" s="431">
        <f t="shared" si="171"/>
        <v>0</v>
      </c>
      <c r="FK76" s="431">
        <f t="shared" si="171"/>
        <v>0</v>
      </c>
      <c r="FL76" s="431">
        <f t="shared" si="171"/>
        <v>0</v>
      </c>
      <c r="FM76" s="431">
        <f t="shared" si="171"/>
        <v>0</v>
      </c>
      <c r="FN76" s="431">
        <f t="shared" si="171"/>
        <v>0</v>
      </c>
      <c r="FO76" s="431">
        <f t="shared" si="171"/>
        <v>0</v>
      </c>
      <c r="FP76" s="431">
        <f t="shared" si="171"/>
        <v>0</v>
      </c>
      <c r="FQ76" s="431">
        <f t="shared" si="171"/>
        <v>0</v>
      </c>
      <c r="FR76" s="431">
        <f t="shared" si="171"/>
        <v>0</v>
      </c>
      <c r="FS76" s="431">
        <f t="shared" si="171"/>
        <v>0</v>
      </c>
      <c r="FT76" s="431">
        <f t="shared" si="171"/>
        <v>0</v>
      </c>
      <c r="FU76" s="43"/>
      <c r="FV76" s="34"/>
      <c r="FW76" s="34"/>
      <c r="FX76" s="34"/>
      <c r="FY76" s="34"/>
      <c r="FZ76" s="34"/>
    </row>
    <row r="77" spans="1:182" s="89" customFormat="1" ht="13.5" x14ac:dyDescent="0.25">
      <c r="A77" s="34"/>
      <c r="B77" s="43"/>
      <c r="C77" s="34"/>
      <c r="D77" s="34"/>
      <c r="E77" s="34"/>
      <c r="F77" s="5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43"/>
      <c r="FV77" s="34"/>
      <c r="FW77" s="34"/>
      <c r="FX77" s="34"/>
      <c r="FY77" s="34"/>
      <c r="FZ77" s="34"/>
    </row>
    <row r="78" spans="1:182" s="89" customFormat="1" ht="13.5" x14ac:dyDescent="0.25">
      <c r="A78" s="34"/>
      <c r="B78" s="43"/>
      <c r="C78" s="34"/>
      <c r="D78" s="34"/>
      <c r="E78" s="34"/>
      <c r="F78" s="5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  <c r="FJ78" s="34"/>
      <c r="FK78" s="34"/>
      <c r="FL78" s="34"/>
      <c r="FM78" s="34"/>
      <c r="FN78" s="34"/>
      <c r="FO78" s="34"/>
      <c r="FP78" s="34"/>
      <c r="FQ78" s="34"/>
      <c r="FR78" s="34"/>
      <c r="FS78" s="34"/>
      <c r="FT78" s="34"/>
      <c r="FU78" s="43"/>
      <c r="FV78" s="34"/>
      <c r="FW78" s="34"/>
      <c r="FX78" s="34"/>
      <c r="FY78" s="34"/>
      <c r="FZ78" s="34"/>
    </row>
    <row r="79" spans="1:182" s="89" customFormat="1" ht="13.5" x14ac:dyDescent="0.25">
      <c r="A79" s="34"/>
      <c r="B79" s="73" t="s">
        <v>194</v>
      </c>
      <c r="C79" s="34"/>
      <c r="D79" s="34"/>
      <c r="E79" s="34"/>
      <c r="F79" s="5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43"/>
      <c r="FV79" s="34"/>
      <c r="FW79" s="34"/>
      <c r="FX79" s="34"/>
      <c r="FY79" s="34"/>
      <c r="FZ79" s="34"/>
    </row>
    <row r="80" spans="1:182" s="89" customFormat="1" ht="13.5" x14ac:dyDescent="0.25">
      <c r="A80" s="34"/>
      <c r="B80" s="128" t="str">
        <f>'Operating Assumptions'!K8</f>
        <v>Payroll and Related</v>
      </c>
      <c r="C80" s="34"/>
      <c r="D80" s="34"/>
      <c r="E80" s="34"/>
      <c r="F80" s="434">
        <f t="shared" ref="F80:F92" si="172">SUM(H80:FT80)</f>
        <v>-3296036.25</v>
      </c>
      <c r="G80" s="34"/>
      <c r="H80" s="427">
        <f>-IF(H$9&lt;'Operating Assumptions'!$D$53,0,IF(H$6&gt;'Operating Assumptions'!$AA$8,0,IF('Operating Assumptions'!$L8="N/A",0,IF('Operating Assumptions'!$L8="$/Unit/Annual",(('Operating Assumptions'!$M8*H$25)*H$36)/12,IF('Operating Assumptions'!$L8="$/Unit/Month",('Operating Assumptions'!$M8*H$25)*H$36,IF('Operating Assumptions'!$L8="Fixed Amount",('Operating Assumptions'!$M8*H$25)/12,IF('Operating Assumptions'!$L8="$/GSF",(('Operating Assumptions'!$M8*H$25)*'Operating Assumptions'!$D$11)/12,IF('Operating Assumptions'!$L8="$/NSF",(('Operating Assumptions'!$M8*H$25)*'Operating Assumptions'!$D$12)/12))))))))</f>
        <v>0</v>
      </c>
      <c r="I80" s="427">
        <f>-IF(I$9&lt;'Operating Assumptions'!$D$53,0,IF(I$6&gt;'Operating Assumptions'!$AA$8,0,IF('Operating Assumptions'!$L8="N/A",0,IF('Operating Assumptions'!$L8="$/Unit/Annual",(('Operating Assumptions'!$M8*I$25)*I$36)/12,IF('Operating Assumptions'!$L8="$/Unit/Month",('Operating Assumptions'!$M8*I$25)*I$36,IF('Operating Assumptions'!$L8="Fixed Amount",('Operating Assumptions'!$M8*I$25)/12,IF('Operating Assumptions'!$L8="$/GSF",(('Operating Assumptions'!$M8*I$25)*'Operating Assumptions'!$D$11)/12,IF('Operating Assumptions'!$L8="$/NSF",(('Operating Assumptions'!$M8*I$25)*'Operating Assumptions'!$D$12)/12))))))))</f>
        <v>0</v>
      </c>
      <c r="J80" s="427">
        <f>-IF(J$9&lt;'Operating Assumptions'!$D$53,0,IF(J$6&gt;'Operating Assumptions'!$AA$8,0,IF('Operating Assumptions'!$L8="N/A",0,IF('Operating Assumptions'!$L8="$/Unit/Annual",(('Operating Assumptions'!$M8*J$25)*J$36)/12,IF('Operating Assumptions'!$L8="$/Unit/Month",('Operating Assumptions'!$M8*J$25)*J$36,IF('Operating Assumptions'!$L8="Fixed Amount",('Operating Assumptions'!$M8*J$25)/12,IF('Operating Assumptions'!$L8="$/GSF",(('Operating Assumptions'!$M8*J$25)*'Operating Assumptions'!$D$11)/12,IF('Operating Assumptions'!$L8="$/NSF",(('Operating Assumptions'!$M8*J$25)*'Operating Assumptions'!$D$12)/12))))))))</f>
        <v>0</v>
      </c>
      <c r="K80" s="427">
        <f>-IF(K$9&lt;'Operating Assumptions'!$D$53,0,IF(K$6&gt;'Operating Assumptions'!$AA$8,0,IF('Operating Assumptions'!$L8="N/A",0,IF('Operating Assumptions'!$L8="$/Unit/Annual",(('Operating Assumptions'!$M8*K$25)*K$36)/12,IF('Operating Assumptions'!$L8="$/Unit/Month",('Operating Assumptions'!$M8*K$25)*K$36,IF('Operating Assumptions'!$L8="Fixed Amount",('Operating Assumptions'!$M8*K$25)/12,IF('Operating Assumptions'!$L8="$/GSF",(('Operating Assumptions'!$M8*K$25)*'Operating Assumptions'!$D$11)/12,IF('Operating Assumptions'!$L8="$/NSF",(('Operating Assumptions'!$M8*K$25)*'Operating Assumptions'!$D$12)/12))))))))</f>
        <v>0</v>
      </c>
      <c r="L80" s="427">
        <f>-IF(L$9&lt;'Operating Assumptions'!$D$53,0,IF(L$6&gt;'Operating Assumptions'!$AA$8,0,IF('Operating Assumptions'!$L8="N/A",0,IF('Operating Assumptions'!$L8="$/Unit/Annual",(('Operating Assumptions'!$M8*L$25)*L$36)/12,IF('Operating Assumptions'!$L8="$/Unit/Month",('Operating Assumptions'!$M8*L$25)*L$36,IF('Operating Assumptions'!$L8="Fixed Amount",('Operating Assumptions'!$M8*L$25)/12,IF('Operating Assumptions'!$L8="$/GSF",(('Operating Assumptions'!$M8*L$25)*'Operating Assumptions'!$D$11)/12,IF('Operating Assumptions'!$L8="$/NSF",(('Operating Assumptions'!$M8*L$25)*'Operating Assumptions'!$D$12)/12))))))))</f>
        <v>0</v>
      </c>
      <c r="M80" s="427">
        <f>-IF(M$9&lt;'Operating Assumptions'!$D$53,0,IF(M$6&gt;'Operating Assumptions'!$AA$8,0,IF('Operating Assumptions'!$L8="N/A",0,IF('Operating Assumptions'!$L8="$/Unit/Annual",(('Operating Assumptions'!$M8*M$25)*M$36)/12,IF('Operating Assumptions'!$L8="$/Unit/Month",('Operating Assumptions'!$M8*M$25)*M$36,IF('Operating Assumptions'!$L8="Fixed Amount",('Operating Assumptions'!$M8*M$25)/12,IF('Operating Assumptions'!$L8="$/GSF",(('Operating Assumptions'!$M8*M$25)*'Operating Assumptions'!$D$11)/12,IF('Operating Assumptions'!$L8="$/NSF",(('Operating Assumptions'!$M8*M$25)*'Operating Assumptions'!$D$12)/12))))))))</f>
        <v>0</v>
      </c>
      <c r="N80" s="427">
        <f>-IF(N$9&lt;'Operating Assumptions'!$D$53,0,IF(N$6&gt;'Operating Assumptions'!$AA$8,0,IF('Operating Assumptions'!$L8="N/A",0,IF('Operating Assumptions'!$L8="$/Unit/Annual",(('Operating Assumptions'!$M8*N$25)*N$36)/12,IF('Operating Assumptions'!$L8="$/Unit/Month",('Operating Assumptions'!$M8*N$25)*N$36,IF('Operating Assumptions'!$L8="Fixed Amount",('Operating Assumptions'!$M8*N$25)/12,IF('Operating Assumptions'!$L8="$/GSF",(('Operating Assumptions'!$M8*N$25)*'Operating Assumptions'!$D$11)/12,IF('Operating Assumptions'!$L8="$/NSF",(('Operating Assumptions'!$M8*N$25)*'Operating Assumptions'!$D$12)/12))))))))</f>
        <v>0</v>
      </c>
      <c r="O80" s="427">
        <f>-IF(O$9&lt;'Operating Assumptions'!$D$53,0,IF(O$6&gt;'Operating Assumptions'!$AA$8,0,IF('Operating Assumptions'!$L8="N/A",0,IF('Operating Assumptions'!$L8="$/Unit/Annual",(('Operating Assumptions'!$M8*O$25)*O$36)/12,IF('Operating Assumptions'!$L8="$/Unit/Month",('Operating Assumptions'!$M8*O$25)*O$36,IF('Operating Assumptions'!$L8="Fixed Amount",('Operating Assumptions'!$M8*O$25)/12,IF('Operating Assumptions'!$L8="$/GSF",(('Operating Assumptions'!$M8*O$25)*'Operating Assumptions'!$D$11)/12,IF('Operating Assumptions'!$L8="$/NSF",(('Operating Assumptions'!$M8*O$25)*'Operating Assumptions'!$D$12)/12))))))))</f>
        <v>0</v>
      </c>
      <c r="P80" s="427">
        <f>-IF(P$9&lt;'Operating Assumptions'!$D$53,0,IF(P$6&gt;'Operating Assumptions'!$AA$8,0,IF('Operating Assumptions'!$L8="N/A",0,IF('Operating Assumptions'!$L8="$/Unit/Annual",(('Operating Assumptions'!$M8*P$25)*P$36)/12,IF('Operating Assumptions'!$L8="$/Unit/Month",('Operating Assumptions'!$M8*P$25)*P$36,IF('Operating Assumptions'!$L8="Fixed Amount",('Operating Assumptions'!$M8*P$25)/12,IF('Operating Assumptions'!$L8="$/GSF",(('Operating Assumptions'!$M8*P$25)*'Operating Assumptions'!$D$11)/12,IF('Operating Assumptions'!$L8="$/NSF",(('Operating Assumptions'!$M8*P$25)*'Operating Assumptions'!$D$12)/12))))))))</f>
        <v>0</v>
      </c>
      <c r="Q80" s="427">
        <f>-IF(Q$9&lt;'Operating Assumptions'!$D$53,0,IF(Q$6&gt;'Operating Assumptions'!$AA$8,0,IF('Operating Assumptions'!$L8="N/A",0,IF('Operating Assumptions'!$L8="$/Unit/Annual",(('Operating Assumptions'!$M8*Q$25)*Q$36)/12,IF('Operating Assumptions'!$L8="$/Unit/Month",('Operating Assumptions'!$M8*Q$25)*Q$36,IF('Operating Assumptions'!$L8="Fixed Amount",('Operating Assumptions'!$M8*Q$25)/12,IF('Operating Assumptions'!$L8="$/GSF",(('Operating Assumptions'!$M8*Q$25)*'Operating Assumptions'!$D$11)/12,IF('Operating Assumptions'!$L8="$/NSF",(('Operating Assumptions'!$M8*Q$25)*'Operating Assumptions'!$D$12)/12))))))))</f>
        <v>0</v>
      </c>
      <c r="R80" s="427">
        <f>-IF(R$9&lt;'Operating Assumptions'!$D$53,0,IF(R$6&gt;'Operating Assumptions'!$AA$8,0,IF('Operating Assumptions'!$L8="N/A",0,IF('Operating Assumptions'!$L8="$/Unit/Annual",(('Operating Assumptions'!$M8*R$25)*R$36)/12,IF('Operating Assumptions'!$L8="$/Unit/Month",('Operating Assumptions'!$M8*R$25)*R$36,IF('Operating Assumptions'!$L8="Fixed Amount",('Operating Assumptions'!$M8*R$25)/12,IF('Operating Assumptions'!$L8="$/GSF",(('Operating Assumptions'!$M8*R$25)*'Operating Assumptions'!$D$11)/12,IF('Operating Assumptions'!$L8="$/NSF",(('Operating Assumptions'!$M8*R$25)*'Operating Assumptions'!$D$12)/12))))))))</f>
        <v>0</v>
      </c>
      <c r="S80" s="427">
        <f>-IF(S$9&lt;'Operating Assumptions'!$D$53,0,IF(S$6&gt;'Operating Assumptions'!$AA$8,0,IF('Operating Assumptions'!$L8="N/A",0,IF('Operating Assumptions'!$L8="$/Unit/Annual",(('Operating Assumptions'!$M8*S$25)*S$36)/12,IF('Operating Assumptions'!$L8="$/Unit/Month",('Operating Assumptions'!$M8*S$25)*S$36,IF('Operating Assumptions'!$L8="Fixed Amount",('Operating Assumptions'!$M8*S$25)/12,IF('Operating Assumptions'!$L8="$/GSF",(('Operating Assumptions'!$M8*S$25)*'Operating Assumptions'!$D$11)/12,IF('Operating Assumptions'!$L8="$/NSF",(('Operating Assumptions'!$M8*S$25)*'Operating Assumptions'!$D$12)/12))))))))</f>
        <v>0</v>
      </c>
      <c r="T80" s="427">
        <f>-IF(T$9&lt;'Operating Assumptions'!$D$53,0,IF(T$6&gt;'Operating Assumptions'!$AA$8,0,IF('Operating Assumptions'!$L8="N/A",0,IF('Operating Assumptions'!$L8="$/Unit/Annual",(('Operating Assumptions'!$M8*T$25)*T$36)/12,IF('Operating Assumptions'!$L8="$/Unit/Month",('Operating Assumptions'!$M8*T$25)*T$36,IF('Operating Assumptions'!$L8="Fixed Amount",('Operating Assumptions'!$M8*T$25)/12,IF('Operating Assumptions'!$L8="$/GSF",(('Operating Assumptions'!$M8*T$25)*'Operating Assumptions'!$D$11)/12,IF('Operating Assumptions'!$L8="$/NSF",(('Operating Assumptions'!$M8*T$25)*'Operating Assumptions'!$D$12)/12))))))))</f>
        <v>0</v>
      </c>
      <c r="U80" s="427">
        <f>-IF(U$9&lt;'Operating Assumptions'!$D$53,0,IF(U$6&gt;'Operating Assumptions'!$AA$8,0,IF('Operating Assumptions'!$L8="N/A",0,IF('Operating Assumptions'!$L8="$/Unit/Annual",(('Operating Assumptions'!$M8*U$25)*U$36)/12,IF('Operating Assumptions'!$L8="$/Unit/Month",('Operating Assumptions'!$M8*U$25)*U$36,IF('Operating Assumptions'!$L8="Fixed Amount",('Operating Assumptions'!$M8*U$25)/12,IF('Operating Assumptions'!$L8="$/GSF",(('Operating Assumptions'!$M8*U$25)*'Operating Assumptions'!$D$11)/12,IF('Operating Assumptions'!$L8="$/NSF",(('Operating Assumptions'!$M8*U$25)*'Operating Assumptions'!$D$12)/12))))))))</f>
        <v>0</v>
      </c>
      <c r="V80" s="427">
        <f>-IF(V$9&lt;'Operating Assumptions'!$D$53,0,IF(V$6&gt;'Operating Assumptions'!$AA$8,0,IF('Operating Assumptions'!$L8="N/A",0,IF('Operating Assumptions'!$L8="$/Unit/Annual",(('Operating Assumptions'!$M8*V$25)*V$36)/12,IF('Operating Assumptions'!$L8="$/Unit/Month",('Operating Assumptions'!$M8*V$25)*V$36,IF('Operating Assumptions'!$L8="Fixed Amount",('Operating Assumptions'!$M8*V$25)/12,IF('Operating Assumptions'!$L8="$/GSF",(('Operating Assumptions'!$M8*V$25)*'Operating Assumptions'!$D$11)/12,IF('Operating Assumptions'!$L8="$/NSF",(('Operating Assumptions'!$M8*V$25)*'Operating Assumptions'!$D$12)/12))))))))</f>
        <v>0</v>
      </c>
      <c r="W80" s="427">
        <f>-IF(W$9&lt;'Operating Assumptions'!$D$53,0,IF(W$6&gt;'Operating Assumptions'!$AA$8,0,IF('Operating Assumptions'!$L8="N/A",0,IF('Operating Assumptions'!$L8="$/Unit/Annual",(('Operating Assumptions'!$M8*W$25)*W$36)/12,IF('Operating Assumptions'!$L8="$/Unit/Month",('Operating Assumptions'!$M8*W$25)*W$36,IF('Operating Assumptions'!$L8="Fixed Amount",('Operating Assumptions'!$M8*W$25)/12,IF('Operating Assumptions'!$L8="$/GSF",(('Operating Assumptions'!$M8*W$25)*'Operating Assumptions'!$D$11)/12,IF('Operating Assumptions'!$L8="$/NSF",(('Operating Assumptions'!$M8*W$25)*'Operating Assumptions'!$D$12)/12))))))))</f>
        <v>0</v>
      </c>
      <c r="X80" s="427">
        <f>-IF(X$9&lt;'Operating Assumptions'!$D$53,0,IF(X$6&gt;'Operating Assumptions'!$AA$8,0,IF('Operating Assumptions'!$L8="N/A",0,IF('Operating Assumptions'!$L8="$/Unit/Annual",(('Operating Assumptions'!$M8*X$25)*X$36)/12,IF('Operating Assumptions'!$L8="$/Unit/Month",('Operating Assumptions'!$M8*X$25)*X$36,IF('Operating Assumptions'!$L8="Fixed Amount",('Operating Assumptions'!$M8*X$25)/12,IF('Operating Assumptions'!$L8="$/GSF",(('Operating Assumptions'!$M8*X$25)*'Operating Assumptions'!$D$11)/12,IF('Operating Assumptions'!$L8="$/NSF",(('Operating Assumptions'!$M8*X$25)*'Operating Assumptions'!$D$12)/12))))))))</f>
        <v>0</v>
      </c>
      <c r="Y80" s="427">
        <f>-IF(Y$9&lt;'Operating Assumptions'!$D$53,0,IF(Y$6&gt;'Operating Assumptions'!$AA$8,0,IF('Operating Assumptions'!$L8="N/A",0,IF('Operating Assumptions'!$L8="$/Unit/Annual",(('Operating Assumptions'!$M8*Y$25)*Y$36)/12,IF('Operating Assumptions'!$L8="$/Unit/Month",('Operating Assumptions'!$M8*Y$25)*Y$36,IF('Operating Assumptions'!$L8="Fixed Amount",('Operating Assumptions'!$M8*Y$25)/12,IF('Operating Assumptions'!$L8="$/GSF",(('Operating Assumptions'!$M8*Y$25)*'Operating Assumptions'!$D$11)/12,IF('Operating Assumptions'!$L8="$/NSF",(('Operating Assumptions'!$M8*Y$25)*'Operating Assumptions'!$D$12)/12))))))))</f>
        <v>-2275</v>
      </c>
      <c r="Z80" s="427">
        <f>-IF(Z$9&lt;'Operating Assumptions'!$D$53,0,IF(Z$6&gt;'Operating Assumptions'!$AA$8,0,IF('Operating Assumptions'!$L8="N/A",0,IF('Operating Assumptions'!$L8="$/Unit/Annual",(('Operating Assumptions'!$M8*Z$25)*Z$36)/12,IF('Operating Assumptions'!$L8="$/Unit/Month",('Operating Assumptions'!$M8*Z$25)*Z$36,IF('Operating Assumptions'!$L8="Fixed Amount",('Operating Assumptions'!$M8*Z$25)/12,IF('Operating Assumptions'!$L8="$/GSF",(('Operating Assumptions'!$M8*Z$25)*'Operating Assumptions'!$D$11)/12,IF('Operating Assumptions'!$L8="$/NSF",(('Operating Assumptions'!$M8*Z$25)*'Operating Assumptions'!$D$12)/12))))))))</f>
        <v>-4441.666666666667</v>
      </c>
      <c r="AA80" s="427">
        <f>-IF(AA$9&lt;'Operating Assumptions'!$D$53,0,IF(AA$6&gt;'Operating Assumptions'!$AA$8,0,IF('Operating Assumptions'!$L8="N/A",0,IF('Operating Assumptions'!$L8="$/Unit/Annual",(('Operating Assumptions'!$M8*AA$25)*AA$36)/12,IF('Operating Assumptions'!$L8="$/Unit/Month",('Operating Assumptions'!$M8*AA$25)*AA$36,IF('Operating Assumptions'!$L8="Fixed Amount",('Operating Assumptions'!$M8*AA$25)/12,IF('Operating Assumptions'!$L8="$/GSF",(('Operating Assumptions'!$M8*AA$25)*'Operating Assumptions'!$D$11)/12,IF('Operating Assumptions'!$L8="$/NSF",(('Operating Assumptions'!$M8*AA$25)*'Operating Assumptions'!$D$12)/12))))))))</f>
        <v>-6608.333333333333</v>
      </c>
      <c r="AB80" s="427">
        <f>-IF(AB$9&lt;'Operating Assumptions'!$D$53,0,IF(AB$6&gt;'Operating Assumptions'!$AA$8,0,IF('Operating Assumptions'!$L8="N/A",0,IF('Operating Assumptions'!$L8="$/Unit/Annual",(('Operating Assumptions'!$M8*AB$25)*AB$36)/12,IF('Operating Assumptions'!$L8="$/Unit/Month",('Operating Assumptions'!$M8*AB$25)*AB$36,IF('Operating Assumptions'!$L8="Fixed Amount",('Operating Assumptions'!$M8*AB$25)/12,IF('Operating Assumptions'!$L8="$/GSF",(('Operating Assumptions'!$M8*AB$25)*'Operating Assumptions'!$D$11)/12,IF('Operating Assumptions'!$L8="$/NSF",(('Operating Assumptions'!$M8*AB$25)*'Operating Assumptions'!$D$12)/12))))))))</f>
        <v>-8775</v>
      </c>
      <c r="AC80" s="427">
        <f>-IF(AC$9&lt;'Operating Assumptions'!$D$53,0,IF(AC$6&gt;'Operating Assumptions'!$AA$8,0,IF('Operating Assumptions'!$L8="N/A",0,IF('Operating Assumptions'!$L8="$/Unit/Annual",(('Operating Assumptions'!$M8*AC$25)*AC$36)/12,IF('Operating Assumptions'!$L8="$/Unit/Month",('Operating Assumptions'!$M8*AC$25)*AC$36,IF('Operating Assumptions'!$L8="Fixed Amount",('Operating Assumptions'!$M8*AC$25)/12,IF('Operating Assumptions'!$L8="$/GSF",(('Operating Assumptions'!$M8*AC$25)*'Operating Assumptions'!$D$11)/12,IF('Operating Assumptions'!$L8="$/NSF",(('Operating Assumptions'!$M8*AC$25)*'Operating Assumptions'!$D$12)/12))))))))</f>
        <v>-10941.666666666666</v>
      </c>
      <c r="AD80" s="427">
        <f>-IF(AD$9&lt;'Operating Assumptions'!$D$53,0,IF(AD$6&gt;'Operating Assumptions'!$AA$8,0,IF('Operating Assumptions'!$L8="N/A",0,IF('Operating Assumptions'!$L8="$/Unit/Annual",(('Operating Assumptions'!$M8*AD$25)*AD$36)/12,IF('Operating Assumptions'!$L8="$/Unit/Month",('Operating Assumptions'!$M8*AD$25)*AD$36,IF('Operating Assumptions'!$L8="Fixed Amount",('Operating Assumptions'!$M8*AD$25)/12,IF('Operating Assumptions'!$L8="$/GSF",(('Operating Assumptions'!$M8*AD$25)*'Operating Assumptions'!$D$11)/12,IF('Operating Assumptions'!$L8="$/NSF",(('Operating Assumptions'!$M8*AD$25)*'Operating Assumptions'!$D$12)/12))))))))</f>
        <v>-13108.333333333334</v>
      </c>
      <c r="AE80" s="427">
        <f>-IF(AE$9&lt;'Operating Assumptions'!$D$53,0,IF(AE$6&gt;'Operating Assumptions'!$AA$8,0,IF('Operating Assumptions'!$L8="N/A",0,IF('Operating Assumptions'!$L8="$/Unit/Annual",(('Operating Assumptions'!$M8*AE$25)*AE$36)/12,IF('Operating Assumptions'!$L8="$/Unit/Month",('Operating Assumptions'!$M8*AE$25)*AE$36,IF('Operating Assumptions'!$L8="Fixed Amount",('Operating Assumptions'!$M8*AE$25)/12,IF('Operating Assumptions'!$L8="$/GSF",(('Operating Assumptions'!$M8*AE$25)*'Operating Assumptions'!$D$11)/12,IF('Operating Assumptions'!$L8="$/NSF",(('Operating Assumptions'!$M8*AE$25)*'Operating Assumptions'!$D$12)/12))))))))</f>
        <v>-13541.666666666666</v>
      </c>
      <c r="AF80" s="427">
        <f>-IF(AF$9&lt;'Operating Assumptions'!$D$53,0,IF(AF$6&gt;'Operating Assumptions'!$AA$8,0,IF('Operating Assumptions'!$L8="N/A",0,IF('Operating Assumptions'!$L8="$/Unit/Annual",(('Operating Assumptions'!$M8*AF$25)*AF$36)/12,IF('Operating Assumptions'!$L8="$/Unit/Month",('Operating Assumptions'!$M8*AF$25)*AF$36,IF('Operating Assumptions'!$L8="Fixed Amount",('Operating Assumptions'!$M8*AF$25)/12,IF('Operating Assumptions'!$L8="$/GSF",(('Operating Assumptions'!$M8*AF$25)*'Operating Assumptions'!$D$11)/12,IF('Operating Assumptions'!$L8="$/NSF",(('Operating Assumptions'!$M8*AF$25)*'Operating Assumptions'!$D$12)/12))))))))</f>
        <v>-13677.083333333334</v>
      </c>
      <c r="AG80" s="427">
        <f>-IF(AG$9&lt;'Operating Assumptions'!$D$53,0,IF(AG$6&gt;'Operating Assumptions'!$AA$8,0,IF('Operating Assumptions'!$L8="N/A",0,IF('Operating Assumptions'!$L8="$/Unit/Annual",(('Operating Assumptions'!$M8*AG$25)*AG$36)/12,IF('Operating Assumptions'!$L8="$/Unit/Month",('Operating Assumptions'!$M8*AG$25)*AG$36,IF('Operating Assumptions'!$L8="Fixed Amount",('Operating Assumptions'!$M8*AG$25)/12,IF('Operating Assumptions'!$L8="$/GSF",(('Operating Assumptions'!$M8*AG$25)*'Operating Assumptions'!$D$11)/12,IF('Operating Assumptions'!$L8="$/NSF",(('Operating Assumptions'!$M8*AG$25)*'Operating Assumptions'!$D$12)/12))))))))</f>
        <v>-13677.083333333334</v>
      </c>
      <c r="AH80" s="427">
        <f>-IF(AH$9&lt;'Operating Assumptions'!$D$53,0,IF(AH$6&gt;'Operating Assumptions'!$AA$8,0,IF('Operating Assumptions'!$L8="N/A",0,IF('Operating Assumptions'!$L8="$/Unit/Annual",(('Operating Assumptions'!$M8*AH$25)*AH$36)/12,IF('Operating Assumptions'!$L8="$/Unit/Month",('Operating Assumptions'!$M8*AH$25)*AH$36,IF('Operating Assumptions'!$L8="Fixed Amount",('Operating Assumptions'!$M8*AH$25)/12,IF('Operating Assumptions'!$L8="$/GSF",(('Operating Assumptions'!$M8*AH$25)*'Operating Assumptions'!$D$11)/12,IF('Operating Assumptions'!$L8="$/NSF",(('Operating Assumptions'!$M8*AH$25)*'Operating Assumptions'!$D$12)/12))))))))</f>
        <v>-15865.416666666666</v>
      </c>
      <c r="AI80" s="427">
        <f>-IF(AI$9&lt;'Operating Assumptions'!$D$53,0,IF(AI$6&gt;'Operating Assumptions'!$AA$8,0,IF('Operating Assumptions'!$L8="N/A",0,IF('Operating Assumptions'!$L8="$/Unit/Annual",(('Operating Assumptions'!$M8*AI$25)*AI$36)/12,IF('Operating Assumptions'!$L8="$/Unit/Month",('Operating Assumptions'!$M8*AI$25)*AI$36,IF('Operating Assumptions'!$L8="Fixed Amount",('Operating Assumptions'!$M8*AI$25)/12,IF('Operating Assumptions'!$L8="$/GSF",(('Operating Assumptions'!$M8*AI$25)*'Operating Assumptions'!$D$11)/12,IF('Operating Assumptions'!$L8="$/NSF",(('Operating Assumptions'!$M8*AI$25)*'Operating Assumptions'!$D$12)/12))))))))</f>
        <v>-18053.75</v>
      </c>
      <c r="AJ80" s="427">
        <f>-IF(AJ$9&lt;'Operating Assumptions'!$D$53,0,IF(AJ$6&gt;'Operating Assumptions'!$AA$8,0,IF('Operating Assumptions'!$L8="N/A",0,IF('Operating Assumptions'!$L8="$/Unit/Annual",(('Operating Assumptions'!$M8*AJ$25)*AJ$36)/12,IF('Operating Assumptions'!$L8="$/Unit/Month",('Operating Assumptions'!$M8*AJ$25)*AJ$36,IF('Operating Assumptions'!$L8="Fixed Amount",('Operating Assumptions'!$M8*AJ$25)/12,IF('Operating Assumptions'!$L8="$/GSF",(('Operating Assumptions'!$M8*AJ$25)*'Operating Assumptions'!$D$11)/12,IF('Operating Assumptions'!$L8="$/NSF",(('Operating Assumptions'!$M8*AJ$25)*'Operating Assumptions'!$D$12)/12))))))))</f>
        <v>-20242.083333333332</v>
      </c>
      <c r="AK80" s="427">
        <f>-IF(AK$9&lt;'Operating Assumptions'!$D$53,0,IF(AK$6&gt;'Operating Assumptions'!$AA$8,0,IF('Operating Assumptions'!$L8="N/A",0,IF('Operating Assumptions'!$L8="$/Unit/Annual",(('Operating Assumptions'!$M8*AK$25)*AK$36)/12,IF('Operating Assumptions'!$L8="$/Unit/Month",('Operating Assumptions'!$M8*AK$25)*AK$36,IF('Operating Assumptions'!$L8="Fixed Amount",('Operating Assumptions'!$M8*AK$25)/12,IF('Operating Assumptions'!$L8="$/GSF",(('Operating Assumptions'!$M8*AK$25)*'Operating Assumptions'!$D$11)/12,IF('Operating Assumptions'!$L8="$/NSF",(('Operating Assumptions'!$M8*AK$25)*'Operating Assumptions'!$D$12)/12))))))))</f>
        <v>-22430.416666666668</v>
      </c>
      <c r="AL80" s="427">
        <f>-IF(AL$9&lt;'Operating Assumptions'!$D$53,0,IF(AL$6&gt;'Operating Assumptions'!$AA$8,0,IF('Operating Assumptions'!$L8="N/A",0,IF('Operating Assumptions'!$L8="$/Unit/Annual",(('Operating Assumptions'!$M8*AL$25)*AL$36)/12,IF('Operating Assumptions'!$L8="$/Unit/Month",('Operating Assumptions'!$M8*AL$25)*AL$36,IF('Operating Assumptions'!$L8="Fixed Amount",('Operating Assumptions'!$M8*AL$25)/12,IF('Operating Assumptions'!$L8="$/GSF",(('Operating Assumptions'!$M8*AL$25)*'Operating Assumptions'!$D$11)/12,IF('Operating Assumptions'!$L8="$/NSF",(('Operating Assumptions'!$M8*AL$25)*'Operating Assumptions'!$D$12)/12))))))))</f>
        <v>-24618.75</v>
      </c>
      <c r="AM80" s="427">
        <f>-IF(AM$9&lt;'Operating Assumptions'!$D$53,0,IF(AM$6&gt;'Operating Assumptions'!$AA$8,0,IF('Operating Assumptions'!$L8="N/A",0,IF('Operating Assumptions'!$L8="$/Unit/Annual",(('Operating Assumptions'!$M8*AM$25)*AM$36)/12,IF('Operating Assumptions'!$L8="$/Unit/Month",('Operating Assumptions'!$M8*AM$25)*AM$36,IF('Operating Assumptions'!$L8="Fixed Amount",('Operating Assumptions'!$M8*AM$25)/12,IF('Operating Assumptions'!$L8="$/GSF",(('Operating Assumptions'!$M8*AM$25)*'Operating Assumptions'!$D$11)/12,IF('Operating Assumptions'!$L8="$/NSF",(('Operating Assumptions'!$M8*AM$25)*'Operating Assumptions'!$D$12)/12))))))))</f>
        <v>-26260</v>
      </c>
      <c r="AN80" s="427">
        <f>-IF(AN$9&lt;'Operating Assumptions'!$D$53,0,IF(AN$6&gt;'Operating Assumptions'!$AA$8,0,IF('Operating Assumptions'!$L8="N/A",0,IF('Operating Assumptions'!$L8="$/Unit/Annual",(('Operating Assumptions'!$M8*AN$25)*AN$36)/12,IF('Operating Assumptions'!$L8="$/Unit/Month",('Operating Assumptions'!$M8*AN$25)*AN$36,IF('Operating Assumptions'!$L8="Fixed Amount",('Operating Assumptions'!$M8*AN$25)/12,IF('Operating Assumptions'!$L8="$/GSF",(('Operating Assumptions'!$M8*AN$25)*'Operating Assumptions'!$D$11)/12,IF('Operating Assumptions'!$L8="$/NSF",(('Operating Assumptions'!$M8*AN$25)*'Operating Assumptions'!$D$12)/12))))))))</f>
        <v>-26260</v>
      </c>
      <c r="AO80" s="427">
        <f>-IF(AO$9&lt;'Operating Assumptions'!$D$53,0,IF(AO$6&gt;'Operating Assumptions'!$AA$8,0,IF('Operating Assumptions'!$L8="N/A",0,IF('Operating Assumptions'!$L8="$/Unit/Annual",(('Operating Assumptions'!$M8*AO$25)*AO$36)/12,IF('Operating Assumptions'!$L8="$/Unit/Month",('Operating Assumptions'!$M8*AO$25)*AO$36,IF('Operating Assumptions'!$L8="Fixed Amount",('Operating Assumptions'!$M8*AO$25)/12,IF('Operating Assumptions'!$L8="$/GSF",(('Operating Assumptions'!$M8*AO$25)*'Operating Assumptions'!$D$11)/12,IF('Operating Assumptions'!$L8="$/NSF",(('Operating Assumptions'!$M8*AO$25)*'Operating Assumptions'!$D$12)/12))))))))</f>
        <v>-26260</v>
      </c>
      <c r="AP80" s="427">
        <f>-IF(AP$9&lt;'Operating Assumptions'!$D$53,0,IF(AP$6&gt;'Operating Assumptions'!$AA$8,0,IF('Operating Assumptions'!$L8="N/A",0,IF('Operating Assumptions'!$L8="$/Unit/Annual",(('Operating Assumptions'!$M8*AP$25)*AP$36)/12,IF('Operating Assumptions'!$L8="$/Unit/Month",('Operating Assumptions'!$M8*AP$25)*AP$36,IF('Operating Assumptions'!$L8="Fixed Amount",('Operating Assumptions'!$M8*AP$25)/12,IF('Operating Assumptions'!$L8="$/GSF",(('Operating Assumptions'!$M8*AP$25)*'Operating Assumptions'!$D$11)/12,IF('Operating Assumptions'!$L8="$/NSF",(('Operating Assumptions'!$M8*AP$25)*'Operating Assumptions'!$D$12)/12))))))))</f>
        <v>-26260</v>
      </c>
      <c r="AQ80" s="427">
        <f>-IF(AQ$9&lt;'Operating Assumptions'!$D$53,0,IF(AQ$6&gt;'Operating Assumptions'!$AA$8,0,IF('Operating Assumptions'!$L8="N/A",0,IF('Operating Assumptions'!$L8="$/Unit/Annual",(('Operating Assumptions'!$M8*AQ$25)*AQ$36)/12,IF('Operating Assumptions'!$L8="$/Unit/Month",('Operating Assumptions'!$M8*AQ$25)*AQ$36,IF('Operating Assumptions'!$L8="Fixed Amount",('Operating Assumptions'!$M8*AQ$25)/12,IF('Operating Assumptions'!$L8="$/GSF",(('Operating Assumptions'!$M8*AQ$25)*'Operating Assumptions'!$D$11)/12,IF('Operating Assumptions'!$L8="$/NSF",(('Operating Assumptions'!$M8*AQ$25)*'Operating Assumptions'!$D$12)/12))))))))</f>
        <v>-26260</v>
      </c>
      <c r="AR80" s="427">
        <f>-IF(AR$9&lt;'Operating Assumptions'!$D$53,0,IF(AR$6&gt;'Operating Assumptions'!$AA$8,0,IF('Operating Assumptions'!$L8="N/A",0,IF('Operating Assumptions'!$L8="$/Unit/Annual",(('Operating Assumptions'!$M8*AR$25)*AR$36)/12,IF('Operating Assumptions'!$L8="$/Unit/Month",('Operating Assumptions'!$M8*AR$25)*AR$36,IF('Operating Assumptions'!$L8="Fixed Amount",('Operating Assumptions'!$M8*AR$25)/12,IF('Operating Assumptions'!$L8="$/GSF",(('Operating Assumptions'!$M8*AR$25)*'Operating Assumptions'!$D$11)/12,IF('Operating Assumptions'!$L8="$/NSF",(('Operating Assumptions'!$M8*AR$25)*'Operating Assumptions'!$D$12)/12))))))))</f>
        <v>-26520</v>
      </c>
      <c r="AS80" s="427">
        <f>-IF(AS$9&lt;'Operating Assumptions'!$D$53,0,IF(AS$6&gt;'Operating Assumptions'!$AA$8,0,IF('Operating Assumptions'!$L8="N/A",0,IF('Operating Assumptions'!$L8="$/Unit/Annual",(('Operating Assumptions'!$M8*AS$25)*AS$36)/12,IF('Operating Assumptions'!$L8="$/Unit/Month",('Operating Assumptions'!$M8*AS$25)*AS$36,IF('Operating Assumptions'!$L8="Fixed Amount",('Operating Assumptions'!$M8*AS$25)/12,IF('Operating Assumptions'!$L8="$/GSF",(('Operating Assumptions'!$M8*AS$25)*'Operating Assumptions'!$D$11)/12,IF('Operating Assumptions'!$L8="$/NSF",(('Operating Assumptions'!$M8*AS$25)*'Operating Assumptions'!$D$12)/12))))))))</f>
        <v>-26520</v>
      </c>
      <c r="AT80" s="427">
        <f>-IF(AT$9&lt;'Operating Assumptions'!$D$53,0,IF(AT$6&gt;'Operating Assumptions'!$AA$8,0,IF('Operating Assumptions'!$L8="N/A",0,IF('Operating Assumptions'!$L8="$/Unit/Annual",(('Operating Assumptions'!$M8*AT$25)*AT$36)/12,IF('Operating Assumptions'!$L8="$/Unit/Month",('Operating Assumptions'!$M8*AT$25)*AT$36,IF('Operating Assumptions'!$L8="Fixed Amount",('Operating Assumptions'!$M8*AT$25)/12,IF('Operating Assumptions'!$L8="$/GSF",(('Operating Assumptions'!$M8*AT$25)*'Operating Assumptions'!$D$11)/12,IF('Operating Assumptions'!$L8="$/NSF",(('Operating Assumptions'!$M8*AT$25)*'Operating Assumptions'!$D$12)/12))))))))</f>
        <v>-26520</v>
      </c>
      <c r="AU80" s="427">
        <f>-IF(AU$9&lt;'Operating Assumptions'!$D$53,0,IF(AU$6&gt;'Operating Assumptions'!$AA$8,0,IF('Operating Assumptions'!$L8="N/A",0,IF('Operating Assumptions'!$L8="$/Unit/Annual",(('Operating Assumptions'!$M8*AU$25)*AU$36)/12,IF('Operating Assumptions'!$L8="$/Unit/Month",('Operating Assumptions'!$M8*AU$25)*AU$36,IF('Operating Assumptions'!$L8="Fixed Amount",('Operating Assumptions'!$M8*AU$25)/12,IF('Operating Assumptions'!$L8="$/GSF",(('Operating Assumptions'!$M8*AU$25)*'Operating Assumptions'!$D$11)/12,IF('Operating Assumptions'!$L8="$/NSF",(('Operating Assumptions'!$M8*AU$25)*'Operating Assumptions'!$D$12)/12))))))))</f>
        <v>-26520</v>
      </c>
      <c r="AV80" s="427">
        <f>-IF(AV$9&lt;'Operating Assumptions'!$D$53,0,IF(AV$6&gt;'Operating Assumptions'!$AA$8,0,IF('Operating Assumptions'!$L8="N/A",0,IF('Operating Assumptions'!$L8="$/Unit/Annual",(('Operating Assumptions'!$M8*AV$25)*AV$36)/12,IF('Operating Assumptions'!$L8="$/Unit/Month",('Operating Assumptions'!$M8*AV$25)*AV$36,IF('Operating Assumptions'!$L8="Fixed Amount",('Operating Assumptions'!$M8*AV$25)/12,IF('Operating Assumptions'!$L8="$/GSF",(('Operating Assumptions'!$M8*AV$25)*'Operating Assumptions'!$D$11)/12,IF('Operating Assumptions'!$L8="$/NSF",(('Operating Assumptions'!$M8*AV$25)*'Operating Assumptions'!$D$12)/12))))))))</f>
        <v>-26520</v>
      </c>
      <c r="AW80" s="427">
        <f>-IF(AW$9&lt;'Operating Assumptions'!$D$53,0,IF(AW$6&gt;'Operating Assumptions'!$AA$8,0,IF('Operating Assumptions'!$L8="N/A",0,IF('Operating Assumptions'!$L8="$/Unit/Annual",(('Operating Assumptions'!$M8*AW$25)*AW$36)/12,IF('Operating Assumptions'!$L8="$/Unit/Month",('Operating Assumptions'!$M8*AW$25)*AW$36,IF('Operating Assumptions'!$L8="Fixed Amount",('Operating Assumptions'!$M8*AW$25)/12,IF('Operating Assumptions'!$L8="$/GSF",(('Operating Assumptions'!$M8*AW$25)*'Operating Assumptions'!$D$11)/12,IF('Operating Assumptions'!$L8="$/NSF",(('Operating Assumptions'!$M8*AW$25)*'Operating Assumptions'!$D$12)/12))))))))</f>
        <v>-26520</v>
      </c>
      <c r="AX80" s="427">
        <f>-IF(AX$9&lt;'Operating Assumptions'!$D$53,0,IF(AX$6&gt;'Operating Assumptions'!$AA$8,0,IF('Operating Assumptions'!$L8="N/A",0,IF('Operating Assumptions'!$L8="$/Unit/Annual",(('Operating Assumptions'!$M8*AX$25)*AX$36)/12,IF('Operating Assumptions'!$L8="$/Unit/Month",('Operating Assumptions'!$M8*AX$25)*AX$36,IF('Operating Assumptions'!$L8="Fixed Amount",('Operating Assumptions'!$M8*AX$25)/12,IF('Operating Assumptions'!$L8="$/GSF",(('Operating Assumptions'!$M8*AX$25)*'Operating Assumptions'!$D$11)/12,IF('Operating Assumptions'!$L8="$/NSF",(('Operating Assumptions'!$M8*AX$25)*'Operating Assumptions'!$D$12)/12))))))))</f>
        <v>-26520</v>
      </c>
      <c r="AY80" s="427">
        <f>-IF(AY$9&lt;'Operating Assumptions'!$D$53,0,IF(AY$6&gt;'Operating Assumptions'!$AA$8,0,IF('Operating Assumptions'!$L8="N/A",0,IF('Operating Assumptions'!$L8="$/Unit/Annual",(('Operating Assumptions'!$M8*AY$25)*AY$36)/12,IF('Operating Assumptions'!$L8="$/Unit/Month",('Operating Assumptions'!$M8*AY$25)*AY$36,IF('Operating Assumptions'!$L8="Fixed Amount",('Operating Assumptions'!$M8*AY$25)/12,IF('Operating Assumptions'!$L8="$/GSF",(('Operating Assumptions'!$M8*AY$25)*'Operating Assumptions'!$D$11)/12,IF('Operating Assumptions'!$L8="$/NSF",(('Operating Assumptions'!$M8*AY$25)*'Operating Assumptions'!$D$12)/12))))))))</f>
        <v>-26520</v>
      </c>
      <c r="AZ80" s="427">
        <f>-IF(AZ$9&lt;'Operating Assumptions'!$D$53,0,IF(AZ$6&gt;'Operating Assumptions'!$AA$8,0,IF('Operating Assumptions'!$L8="N/A",0,IF('Operating Assumptions'!$L8="$/Unit/Annual",(('Operating Assumptions'!$M8*AZ$25)*AZ$36)/12,IF('Operating Assumptions'!$L8="$/Unit/Month",('Operating Assumptions'!$M8*AZ$25)*AZ$36,IF('Operating Assumptions'!$L8="Fixed Amount",('Operating Assumptions'!$M8*AZ$25)/12,IF('Operating Assumptions'!$L8="$/GSF",(('Operating Assumptions'!$M8*AZ$25)*'Operating Assumptions'!$D$11)/12,IF('Operating Assumptions'!$L8="$/NSF",(('Operating Assumptions'!$M8*AZ$25)*'Operating Assumptions'!$D$12)/12))))))))</f>
        <v>-26520</v>
      </c>
      <c r="BA80" s="427">
        <f>-IF(BA$9&lt;'Operating Assumptions'!$D$53,0,IF(BA$6&gt;'Operating Assumptions'!$AA$8,0,IF('Operating Assumptions'!$L8="N/A",0,IF('Operating Assumptions'!$L8="$/Unit/Annual",(('Operating Assumptions'!$M8*BA$25)*BA$36)/12,IF('Operating Assumptions'!$L8="$/Unit/Month",('Operating Assumptions'!$M8*BA$25)*BA$36,IF('Operating Assumptions'!$L8="Fixed Amount",('Operating Assumptions'!$M8*BA$25)/12,IF('Operating Assumptions'!$L8="$/GSF",(('Operating Assumptions'!$M8*BA$25)*'Operating Assumptions'!$D$11)/12,IF('Operating Assumptions'!$L8="$/NSF",(('Operating Assumptions'!$M8*BA$25)*'Operating Assumptions'!$D$12)/12))))))))</f>
        <v>-26520</v>
      </c>
      <c r="BB80" s="427">
        <f>-IF(BB$9&lt;'Operating Assumptions'!$D$53,0,IF(BB$6&gt;'Operating Assumptions'!$AA$8,0,IF('Operating Assumptions'!$L8="N/A",0,IF('Operating Assumptions'!$L8="$/Unit/Annual",(('Operating Assumptions'!$M8*BB$25)*BB$36)/12,IF('Operating Assumptions'!$L8="$/Unit/Month",('Operating Assumptions'!$M8*BB$25)*BB$36,IF('Operating Assumptions'!$L8="Fixed Amount",('Operating Assumptions'!$M8*BB$25)/12,IF('Operating Assumptions'!$L8="$/GSF",(('Operating Assumptions'!$M8*BB$25)*'Operating Assumptions'!$D$11)/12,IF('Operating Assumptions'!$L8="$/NSF",(('Operating Assumptions'!$M8*BB$25)*'Operating Assumptions'!$D$12)/12))))))))</f>
        <v>-26520</v>
      </c>
      <c r="BC80" s="427">
        <f>-IF(BC$9&lt;'Operating Assumptions'!$D$53,0,IF(BC$6&gt;'Operating Assumptions'!$AA$8,0,IF('Operating Assumptions'!$L8="N/A",0,IF('Operating Assumptions'!$L8="$/Unit/Annual",(('Operating Assumptions'!$M8*BC$25)*BC$36)/12,IF('Operating Assumptions'!$L8="$/Unit/Month",('Operating Assumptions'!$M8*BC$25)*BC$36,IF('Operating Assumptions'!$L8="Fixed Amount",('Operating Assumptions'!$M8*BC$25)/12,IF('Operating Assumptions'!$L8="$/GSF",(('Operating Assumptions'!$M8*BC$25)*'Operating Assumptions'!$D$11)/12,IF('Operating Assumptions'!$L8="$/NSF",(('Operating Assumptions'!$M8*BC$25)*'Operating Assumptions'!$D$12)/12))))))))</f>
        <v>-26520</v>
      </c>
      <c r="BD80" s="427">
        <f>-IF(BD$9&lt;'Operating Assumptions'!$D$53,0,IF(BD$6&gt;'Operating Assumptions'!$AA$8,0,IF('Operating Assumptions'!$L8="N/A",0,IF('Operating Assumptions'!$L8="$/Unit/Annual",(('Operating Assumptions'!$M8*BD$25)*BD$36)/12,IF('Operating Assumptions'!$L8="$/Unit/Month",('Operating Assumptions'!$M8*BD$25)*BD$36,IF('Operating Assumptions'!$L8="Fixed Amount",('Operating Assumptions'!$M8*BD$25)/12,IF('Operating Assumptions'!$L8="$/GSF",(('Operating Assumptions'!$M8*BD$25)*'Operating Assumptions'!$D$11)/12,IF('Operating Assumptions'!$L8="$/NSF",(('Operating Assumptions'!$M8*BD$25)*'Operating Assumptions'!$D$12)/12))))))))</f>
        <v>-26780</v>
      </c>
      <c r="BE80" s="427">
        <f>-IF(BE$9&lt;'Operating Assumptions'!$D$53,0,IF(BE$6&gt;'Operating Assumptions'!$AA$8,0,IF('Operating Assumptions'!$L8="N/A",0,IF('Operating Assumptions'!$L8="$/Unit/Annual",(('Operating Assumptions'!$M8*BE$25)*BE$36)/12,IF('Operating Assumptions'!$L8="$/Unit/Month",('Operating Assumptions'!$M8*BE$25)*BE$36,IF('Operating Assumptions'!$L8="Fixed Amount",('Operating Assumptions'!$M8*BE$25)/12,IF('Operating Assumptions'!$L8="$/GSF",(('Operating Assumptions'!$M8*BE$25)*'Operating Assumptions'!$D$11)/12,IF('Operating Assumptions'!$L8="$/NSF",(('Operating Assumptions'!$M8*BE$25)*'Operating Assumptions'!$D$12)/12))))))))</f>
        <v>-26780</v>
      </c>
      <c r="BF80" s="427">
        <f>-IF(BF$9&lt;'Operating Assumptions'!$D$53,0,IF(BF$6&gt;'Operating Assumptions'!$AA$8,0,IF('Operating Assumptions'!$L8="N/A",0,IF('Operating Assumptions'!$L8="$/Unit/Annual",(('Operating Assumptions'!$M8*BF$25)*BF$36)/12,IF('Operating Assumptions'!$L8="$/Unit/Month",('Operating Assumptions'!$M8*BF$25)*BF$36,IF('Operating Assumptions'!$L8="Fixed Amount",('Operating Assumptions'!$M8*BF$25)/12,IF('Operating Assumptions'!$L8="$/GSF",(('Operating Assumptions'!$M8*BF$25)*'Operating Assumptions'!$D$11)/12,IF('Operating Assumptions'!$L8="$/NSF",(('Operating Assumptions'!$M8*BF$25)*'Operating Assumptions'!$D$12)/12))))))))</f>
        <v>-26780</v>
      </c>
      <c r="BG80" s="427">
        <f>-IF(BG$9&lt;'Operating Assumptions'!$D$53,0,IF(BG$6&gt;'Operating Assumptions'!$AA$8,0,IF('Operating Assumptions'!$L8="N/A",0,IF('Operating Assumptions'!$L8="$/Unit/Annual",(('Operating Assumptions'!$M8*BG$25)*BG$36)/12,IF('Operating Assumptions'!$L8="$/Unit/Month",('Operating Assumptions'!$M8*BG$25)*BG$36,IF('Operating Assumptions'!$L8="Fixed Amount",('Operating Assumptions'!$M8*BG$25)/12,IF('Operating Assumptions'!$L8="$/GSF",(('Operating Assumptions'!$M8*BG$25)*'Operating Assumptions'!$D$11)/12,IF('Operating Assumptions'!$L8="$/NSF",(('Operating Assumptions'!$M8*BG$25)*'Operating Assumptions'!$D$12)/12))))))))</f>
        <v>-26780</v>
      </c>
      <c r="BH80" s="427">
        <f>-IF(BH$9&lt;'Operating Assumptions'!$D$53,0,IF(BH$6&gt;'Operating Assumptions'!$AA$8,0,IF('Operating Assumptions'!$L8="N/A",0,IF('Operating Assumptions'!$L8="$/Unit/Annual",(('Operating Assumptions'!$M8*BH$25)*BH$36)/12,IF('Operating Assumptions'!$L8="$/Unit/Month",('Operating Assumptions'!$M8*BH$25)*BH$36,IF('Operating Assumptions'!$L8="Fixed Amount",('Operating Assumptions'!$M8*BH$25)/12,IF('Operating Assumptions'!$L8="$/GSF",(('Operating Assumptions'!$M8*BH$25)*'Operating Assumptions'!$D$11)/12,IF('Operating Assumptions'!$L8="$/NSF",(('Operating Assumptions'!$M8*BH$25)*'Operating Assumptions'!$D$12)/12))))))))</f>
        <v>-26780</v>
      </c>
      <c r="BI80" s="427">
        <f>-IF(BI$9&lt;'Operating Assumptions'!$D$53,0,IF(BI$6&gt;'Operating Assumptions'!$AA$8,0,IF('Operating Assumptions'!$L8="N/A",0,IF('Operating Assumptions'!$L8="$/Unit/Annual",(('Operating Assumptions'!$M8*BI$25)*BI$36)/12,IF('Operating Assumptions'!$L8="$/Unit/Month",('Operating Assumptions'!$M8*BI$25)*BI$36,IF('Operating Assumptions'!$L8="Fixed Amount",('Operating Assumptions'!$M8*BI$25)/12,IF('Operating Assumptions'!$L8="$/GSF",(('Operating Assumptions'!$M8*BI$25)*'Operating Assumptions'!$D$11)/12,IF('Operating Assumptions'!$L8="$/NSF",(('Operating Assumptions'!$M8*BI$25)*'Operating Assumptions'!$D$12)/12))))))))</f>
        <v>-26780</v>
      </c>
      <c r="BJ80" s="427">
        <f>-IF(BJ$9&lt;'Operating Assumptions'!$D$53,0,IF(BJ$6&gt;'Operating Assumptions'!$AA$8,0,IF('Operating Assumptions'!$L8="N/A",0,IF('Operating Assumptions'!$L8="$/Unit/Annual",(('Operating Assumptions'!$M8*BJ$25)*BJ$36)/12,IF('Operating Assumptions'!$L8="$/Unit/Month",('Operating Assumptions'!$M8*BJ$25)*BJ$36,IF('Operating Assumptions'!$L8="Fixed Amount",('Operating Assumptions'!$M8*BJ$25)/12,IF('Operating Assumptions'!$L8="$/GSF",(('Operating Assumptions'!$M8*BJ$25)*'Operating Assumptions'!$D$11)/12,IF('Operating Assumptions'!$L8="$/NSF",(('Operating Assumptions'!$M8*BJ$25)*'Operating Assumptions'!$D$12)/12))))))))</f>
        <v>-26780</v>
      </c>
      <c r="BK80" s="427">
        <f>-IF(BK$9&lt;'Operating Assumptions'!$D$53,0,IF(BK$6&gt;'Operating Assumptions'!$AA$8,0,IF('Operating Assumptions'!$L8="N/A",0,IF('Operating Assumptions'!$L8="$/Unit/Annual",(('Operating Assumptions'!$M8*BK$25)*BK$36)/12,IF('Operating Assumptions'!$L8="$/Unit/Month",('Operating Assumptions'!$M8*BK$25)*BK$36,IF('Operating Assumptions'!$L8="Fixed Amount",('Operating Assumptions'!$M8*BK$25)/12,IF('Operating Assumptions'!$L8="$/GSF",(('Operating Assumptions'!$M8*BK$25)*'Operating Assumptions'!$D$11)/12,IF('Operating Assumptions'!$L8="$/NSF",(('Operating Assumptions'!$M8*BK$25)*'Operating Assumptions'!$D$12)/12))))))))</f>
        <v>-26780</v>
      </c>
      <c r="BL80" s="427">
        <f>-IF(BL$9&lt;'Operating Assumptions'!$D$53,0,IF(BL$6&gt;'Operating Assumptions'!$AA$8,0,IF('Operating Assumptions'!$L8="N/A",0,IF('Operating Assumptions'!$L8="$/Unit/Annual",(('Operating Assumptions'!$M8*BL$25)*BL$36)/12,IF('Operating Assumptions'!$L8="$/Unit/Month",('Operating Assumptions'!$M8*BL$25)*BL$36,IF('Operating Assumptions'!$L8="Fixed Amount",('Operating Assumptions'!$M8*BL$25)/12,IF('Operating Assumptions'!$L8="$/GSF",(('Operating Assumptions'!$M8*BL$25)*'Operating Assumptions'!$D$11)/12,IF('Operating Assumptions'!$L8="$/NSF",(('Operating Assumptions'!$M8*BL$25)*'Operating Assumptions'!$D$12)/12))))))))</f>
        <v>-26780</v>
      </c>
      <c r="BM80" s="427">
        <f>-IF(BM$9&lt;'Operating Assumptions'!$D$53,0,IF(BM$6&gt;'Operating Assumptions'!$AA$8,0,IF('Operating Assumptions'!$L8="N/A",0,IF('Operating Assumptions'!$L8="$/Unit/Annual",(('Operating Assumptions'!$M8*BM$25)*BM$36)/12,IF('Operating Assumptions'!$L8="$/Unit/Month",('Operating Assumptions'!$M8*BM$25)*BM$36,IF('Operating Assumptions'!$L8="Fixed Amount",('Operating Assumptions'!$M8*BM$25)/12,IF('Operating Assumptions'!$L8="$/GSF",(('Operating Assumptions'!$M8*BM$25)*'Operating Assumptions'!$D$11)/12,IF('Operating Assumptions'!$L8="$/NSF",(('Operating Assumptions'!$M8*BM$25)*'Operating Assumptions'!$D$12)/12))))))))</f>
        <v>-26780</v>
      </c>
      <c r="BN80" s="427">
        <f>-IF(BN$9&lt;'Operating Assumptions'!$D$53,0,IF(BN$6&gt;'Operating Assumptions'!$AA$8,0,IF('Operating Assumptions'!$L8="N/A",0,IF('Operating Assumptions'!$L8="$/Unit/Annual",(('Operating Assumptions'!$M8*BN$25)*BN$36)/12,IF('Operating Assumptions'!$L8="$/Unit/Month",('Operating Assumptions'!$M8*BN$25)*BN$36,IF('Operating Assumptions'!$L8="Fixed Amount",('Operating Assumptions'!$M8*BN$25)/12,IF('Operating Assumptions'!$L8="$/GSF",(('Operating Assumptions'!$M8*BN$25)*'Operating Assumptions'!$D$11)/12,IF('Operating Assumptions'!$L8="$/NSF",(('Operating Assumptions'!$M8*BN$25)*'Operating Assumptions'!$D$12)/12))))))))</f>
        <v>-26780</v>
      </c>
      <c r="BO80" s="427">
        <f>-IF(BO$9&lt;'Operating Assumptions'!$D$53,0,IF(BO$6&gt;'Operating Assumptions'!$AA$8,0,IF('Operating Assumptions'!$L8="N/A",0,IF('Operating Assumptions'!$L8="$/Unit/Annual",(('Operating Assumptions'!$M8*BO$25)*BO$36)/12,IF('Operating Assumptions'!$L8="$/Unit/Month",('Operating Assumptions'!$M8*BO$25)*BO$36,IF('Operating Assumptions'!$L8="Fixed Amount",('Operating Assumptions'!$M8*BO$25)/12,IF('Operating Assumptions'!$L8="$/GSF",(('Operating Assumptions'!$M8*BO$25)*'Operating Assumptions'!$D$11)/12,IF('Operating Assumptions'!$L8="$/NSF",(('Operating Assumptions'!$M8*BO$25)*'Operating Assumptions'!$D$12)/12))))))))</f>
        <v>-26780</v>
      </c>
      <c r="BP80" s="427">
        <f>-IF(BP$9&lt;'Operating Assumptions'!$D$53,0,IF(BP$6&gt;'Operating Assumptions'!$AA$8,0,IF('Operating Assumptions'!$L8="N/A",0,IF('Operating Assumptions'!$L8="$/Unit/Annual",(('Operating Assumptions'!$M8*BP$25)*BP$36)/12,IF('Operating Assumptions'!$L8="$/Unit/Month",('Operating Assumptions'!$M8*BP$25)*BP$36,IF('Operating Assumptions'!$L8="Fixed Amount",('Operating Assumptions'!$M8*BP$25)/12,IF('Operating Assumptions'!$L8="$/GSF",(('Operating Assumptions'!$M8*BP$25)*'Operating Assumptions'!$D$11)/12,IF('Operating Assumptions'!$L8="$/NSF",(('Operating Assumptions'!$M8*BP$25)*'Operating Assumptions'!$D$12)/12))))))))</f>
        <v>-27040</v>
      </c>
      <c r="BQ80" s="427">
        <f>-IF(BQ$9&lt;'Operating Assumptions'!$D$53,0,IF(BQ$6&gt;'Operating Assumptions'!$AA$8,0,IF('Operating Assumptions'!$L8="N/A",0,IF('Operating Assumptions'!$L8="$/Unit/Annual",(('Operating Assumptions'!$M8*BQ$25)*BQ$36)/12,IF('Operating Assumptions'!$L8="$/Unit/Month",('Operating Assumptions'!$M8*BQ$25)*BQ$36,IF('Operating Assumptions'!$L8="Fixed Amount",('Operating Assumptions'!$M8*BQ$25)/12,IF('Operating Assumptions'!$L8="$/GSF",(('Operating Assumptions'!$M8*BQ$25)*'Operating Assumptions'!$D$11)/12,IF('Operating Assumptions'!$L8="$/NSF",(('Operating Assumptions'!$M8*BQ$25)*'Operating Assumptions'!$D$12)/12))))))))</f>
        <v>-27040</v>
      </c>
      <c r="BR80" s="427">
        <f>-IF(BR$9&lt;'Operating Assumptions'!$D$53,0,IF(BR$6&gt;'Operating Assumptions'!$AA$8,0,IF('Operating Assumptions'!$L8="N/A",0,IF('Operating Assumptions'!$L8="$/Unit/Annual",(('Operating Assumptions'!$M8*BR$25)*BR$36)/12,IF('Operating Assumptions'!$L8="$/Unit/Month",('Operating Assumptions'!$M8*BR$25)*BR$36,IF('Operating Assumptions'!$L8="Fixed Amount",('Operating Assumptions'!$M8*BR$25)/12,IF('Operating Assumptions'!$L8="$/GSF",(('Operating Assumptions'!$M8*BR$25)*'Operating Assumptions'!$D$11)/12,IF('Operating Assumptions'!$L8="$/NSF",(('Operating Assumptions'!$M8*BR$25)*'Operating Assumptions'!$D$12)/12))))))))</f>
        <v>-27040</v>
      </c>
      <c r="BS80" s="427">
        <f>-IF(BS$9&lt;'Operating Assumptions'!$D$53,0,IF(BS$6&gt;'Operating Assumptions'!$AA$8,0,IF('Operating Assumptions'!$L8="N/A",0,IF('Operating Assumptions'!$L8="$/Unit/Annual",(('Operating Assumptions'!$M8*BS$25)*BS$36)/12,IF('Operating Assumptions'!$L8="$/Unit/Month",('Operating Assumptions'!$M8*BS$25)*BS$36,IF('Operating Assumptions'!$L8="Fixed Amount",('Operating Assumptions'!$M8*BS$25)/12,IF('Operating Assumptions'!$L8="$/GSF",(('Operating Assumptions'!$M8*BS$25)*'Operating Assumptions'!$D$11)/12,IF('Operating Assumptions'!$L8="$/NSF",(('Operating Assumptions'!$M8*BS$25)*'Operating Assumptions'!$D$12)/12))))))))</f>
        <v>-27040</v>
      </c>
      <c r="BT80" s="427">
        <f>-IF(BT$9&lt;'Operating Assumptions'!$D$53,0,IF(BT$6&gt;'Operating Assumptions'!$AA$8,0,IF('Operating Assumptions'!$L8="N/A",0,IF('Operating Assumptions'!$L8="$/Unit/Annual",(('Operating Assumptions'!$M8*BT$25)*BT$36)/12,IF('Operating Assumptions'!$L8="$/Unit/Month",('Operating Assumptions'!$M8*BT$25)*BT$36,IF('Operating Assumptions'!$L8="Fixed Amount",('Operating Assumptions'!$M8*BT$25)/12,IF('Operating Assumptions'!$L8="$/GSF",(('Operating Assumptions'!$M8*BT$25)*'Operating Assumptions'!$D$11)/12,IF('Operating Assumptions'!$L8="$/NSF",(('Operating Assumptions'!$M8*BT$25)*'Operating Assumptions'!$D$12)/12))))))))</f>
        <v>-27040</v>
      </c>
      <c r="BU80" s="427">
        <f>-IF(BU$9&lt;'Operating Assumptions'!$D$53,0,IF(BU$6&gt;'Operating Assumptions'!$AA$8,0,IF('Operating Assumptions'!$L8="N/A",0,IF('Operating Assumptions'!$L8="$/Unit/Annual",(('Operating Assumptions'!$M8*BU$25)*BU$36)/12,IF('Operating Assumptions'!$L8="$/Unit/Month",('Operating Assumptions'!$M8*BU$25)*BU$36,IF('Operating Assumptions'!$L8="Fixed Amount",('Operating Assumptions'!$M8*BU$25)/12,IF('Operating Assumptions'!$L8="$/GSF",(('Operating Assumptions'!$M8*BU$25)*'Operating Assumptions'!$D$11)/12,IF('Operating Assumptions'!$L8="$/NSF",(('Operating Assumptions'!$M8*BU$25)*'Operating Assumptions'!$D$12)/12))))))))</f>
        <v>-27040</v>
      </c>
      <c r="BV80" s="427">
        <f>-IF(BV$9&lt;'Operating Assumptions'!$D$53,0,IF(BV$6&gt;'Operating Assumptions'!$AA$8,0,IF('Operating Assumptions'!$L8="N/A",0,IF('Operating Assumptions'!$L8="$/Unit/Annual",(('Operating Assumptions'!$M8*BV$25)*BV$36)/12,IF('Operating Assumptions'!$L8="$/Unit/Month",('Operating Assumptions'!$M8*BV$25)*BV$36,IF('Operating Assumptions'!$L8="Fixed Amount",('Operating Assumptions'!$M8*BV$25)/12,IF('Operating Assumptions'!$L8="$/GSF",(('Operating Assumptions'!$M8*BV$25)*'Operating Assumptions'!$D$11)/12,IF('Operating Assumptions'!$L8="$/NSF",(('Operating Assumptions'!$M8*BV$25)*'Operating Assumptions'!$D$12)/12))))))))</f>
        <v>-27040</v>
      </c>
      <c r="BW80" s="427">
        <f>-IF(BW$9&lt;'Operating Assumptions'!$D$53,0,IF(BW$6&gt;'Operating Assumptions'!$AA$8,0,IF('Operating Assumptions'!$L8="N/A",0,IF('Operating Assumptions'!$L8="$/Unit/Annual",(('Operating Assumptions'!$M8*BW$25)*BW$36)/12,IF('Operating Assumptions'!$L8="$/Unit/Month",('Operating Assumptions'!$M8*BW$25)*BW$36,IF('Operating Assumptions'!$L8="Fixed Amount",('Operating Assumptions'!$M8*BW$25)/12,IF('Operating Assumptions'!$L8="$/GSF",(('Operating Assumptions'!$M8*BW$25)*'Operating Assumptions'!$D$11)/12,IF('Operating Assumptions'!$L8="$/NSF",(('Operating Assumptions'!$M8*BW$25)*'Operating Assumptions'!$D$12)/12))))))))</f>
        <v>-27040</v>
      </c>
      <c r="BX80" s="427">
        <f>-IF(BX$9&lt;'Operating Assumptions'!$D$53,0,IF(BX$6&gt;'Operating Assumptions'!$AA$8,0,IF('Operating Assumptions'!$L8="N/A",0,IF('Operating Assumptions'!$L8="$/Unit/Annual",(('Operating Assumptions'!$M8*BX$25)*BX$36)/12,IF('Operating Assumptions'!$L8="$/Unit/Month",('Operating Assumptions'!$M8*BX$25)*BX$36,IF('Operating Assumptions'!$L8="Fixed Amount",('Operating Assumptions'!$M8*BX$25)/12,IF('Operating Assumptions'!$L8="$/GSF",(('Operating Assumptions'!$M8*BX$25)*'Operating Assumptions'!$D$11)/12,IF('Operating Assumptions'!$L8="$/NSF",(('Operating Assumptions'!$M8*BX$25)*'Operating Assumptions'!$D$12)/12))))))))</f>
        <v>-27040</v>
      </c>
      <c r="BY80" s="427">
        <f>-IF(BY$9&lt;'Operating Assumptions'!$D$53,0,IF(BY$6&gt;'Operating Assumptions'!$AA$8,0,IF('Operating Assumptions'!$L8="N/A",0,IF('Operating Assumptions'!$L8="$/Unit/Annual",(('Operating Assumptions'!$M8*BY$25)*BY$36)/12,IF('Operating Assumptions'!$L8="$/Unit/Month",('Operating Assumptions'!$M8*BY$25)*BY$36,IF('Operating Assumptions'!$L8="Fixed Amount",('Operating Assumptions'!$M8*BY$25)/12,IF('Operating Assumptions'!$L8="$/GSF",(('Operating Assumptions'!$M8*BY$25)*'Operating Assumptions'!$D$11)/12,IF('Operating Assumptions'!$L8="$/NSF",(('Operating Assumptions'!$M8*BY$25)*'Operating Assumptions'!$D$12)/12))))))))</f>
        <v>-27040</v>
      </c>
      <c r="BZ80" s="427">
        <f>-IF(BZ$9&lt;'Operating Assumptions'!$D$53,0,IF(BZ$6&gt;'Operating Assumptions'!$AA$8,0,IF('Operating Assumptions'!$L8="N/A",0,IF('Operating Assumptions'!$L8="$/Unit/Annual",(('Operating Assumptions'!$M8*BZ$25)*BZ$36)/12,IF('Operating Assumptions'!$L8="$/Unit/Month",('Operating Assumptions'!$M8*BZ$25)*BZ$36,IF('Operating Assumptions'!$L8="Fixed Amount",('Operating Assumptions'!$M8*BZ$25)/12,IF('Operating Assumptions'!$L8="$/GSF",(('Operating Assumptions'!$M8*BZ$25)*'Operating Assumptions'!$D$11)/12,IF('Operating Assumptions'!$L8="$/NSF",(('Operating Assumptions'!$M8*BZ$25)*'Operating Assumptions'!$D$12)/12))))))))</f>
        <v>-27040</v>
      </c>
      <c r="CA80" s="427">
        <f>-IF(CA$9&lt;'Operating Assumptions'!$D$53,0,IF(CA$6&gt;'Operating Assumptions'!$AA$8,0,IF('Operating Assumptions'!$L8="N/A",0,IF('Operating Assumptions'!$L8="$/Unit/Annual",(('Operating Assumptions'!$M8*CA$25)*CA$36)/12,IF('Operating Assumptions'!$L8="$/Unit/Month",('Operating Assumptions'!$M8*CA$25)*CA$36,IF('Operating Assumptions'!$L8="Fixed Amount",('Operating Assumptions'!$M8*CA$25)/12,IF('Operating Assumptions'!$L8="$/GSF",(('Operating Assumptions'!$M8*CA$25)*'Operating Assumptions'!$D$11)/12,IF('Operating Assumptions'!$L8="$/NSF",(('Operating Assumptions'!$M8*CA$25)*'Operating Assumptions'!$D$12)/12))))))))</f>
        <v>-27040</v>
      </c>
      <c r="CB80" s="427">
        <f>-IF(CB$9&lt;'Operating Assumptions'!$D$53,0,IF(CB$6&gt;'Operating Assumptions'!$AA$8,0,IF('Operating Assumptions'!$L8="N/A",0,IF('Operating Assumptions'!$L8="$/Unit/Annual",(('Operating Assumptions'!$M8*CB$25)*CB$36)/12,IF('Operating Assumptions'!$L8="$/Unit/Month",('Operating Assumptions'!$M8*CB$25)*CB$36,IF('Operating Assumptions'!$L8="Fixed Amount",('Operating Assumptions'!$M8*CB$25)/12,IF('Operating Assumptions'!$L8="$/GSF",(('Operating Assumptions'!$M8*CB$25)*'Operating Assumptions'!$D$11)/12,IF('Operating Assumptions'!$L8="$/NSF",(('Operating Assumptions'!$M8*CB$25)*'Operating Assumptions'!$D$12)/12))))))))</f>
        <v>-27300</v>
      </c>
      <c r="CC80" s="427">
        <f>-IF(CC$9&lt;'Operating Assumptions'!$D$53,0,IF(CC$6&gt;'Operating Assumptions'!$AA$8,0,IF('Operating Assumptions'!$L8="N/A",0,IF('Operating Assumptions'!$L8="$/Unit/Annual",(('Operating Assumptions'!$M8*CC$25)*CC$36)/12,IF('Operating Assumptions'!$L8="$/Unit/Month",('Operating Assumptions'!$M8*CC$25)*CC$36,IF('Operating Assumptions'!$L8="Fixed Amount",('Operating Assumptions'!$M8*CC$25)/12,IF('Operating Assumptions'!$L8="$/GSF",(('Operating Assumptions'!$M8*CC$25)*'Operating Assumptions'!$D$11)/12,IF('Operating Assumptions'!$L8="$/NSF",(('Operating Assumptions'!$M8*CC$25)*'Operating Assumptions'!$D$12)/12))))))))</f>
        <v>-27300</v>
      </c>
      <c r="CD80" s="427">
        <f>-IF(CD$9&lt;'Operating Assumptions'!$D$53,0,IF(CD$6&gt;'Operating Assumptions'!$AA$8,0,IF('Operating Assumptions'!$L8="N/A",0,IF('Operating Assumptions'!$L8="$/Unit/Annual",(('Operating Assumptions'!$M8*CD$25)*CD$36)/12,IF('Operating Assumptions'!$L8="$/Unit/Month",('Operating Assumptions'!$M8*CD$25)*CD$36,IF('Operating Assumptions'!$L8="Fixed Amount",('Operating Assumptions'!$M8*CD$25)/12,IF('Operating Assumptions'!$L8="$/GSF",(('Operating Assumptions'!$M8*CD$25)*'Operating Assumptions'!$D$11)/12,IF('Operating Assumptions'!$L8="$/NSF",(('Operating Assumptions'!$M8*CD$25)*'Operating Assumptions'!$D$12)/12))))))))</f>
        <v>-27300</v>
      </c>
      <c r="CE80" s="427">
        <f>-IF(CE$9&lt;'Operating Assumptions'!$D$53,0,IF(CE$6&gt;'Operating Assumptions'!$AA$8,0,IF('Operating Assumptions'!$L8="N/A",0,IF('Operating Assumptions'!$L8="$/Unit/Annual",(('Operating Assumptions'!$M8*CE$25)*CE$36)/12,IF('Operating Assumptions'!$L8="$/Unit/Month",('Operating Assumptions'!$M8*CE$25)*CE$36,IF('Operating Assumptions'!$L8="Fixed Amount",('Operating Assumptions'!$M8*CE$25)/12,IF('Operating Assumptions'!$L8="$/GSF",(('Operating Assumptions'!$M8*CE$25)*'Operating Assumptions'!$D$11)/12,IF('Operating Assumptions'!$L8="$/NSF",(('Operating Assumptions'!$M8*CE$25)*'Operating Assumptions'!$D$12)/12))))))))</f>
        <v>-27300</v>
      </c>
      <c r="CF80" s="427">
        <f>-IF(CF$9&lt;'Operating Assumptions'!$D$53,0,IF(CF$6&gt;'Operating Assumptions'!$AA$8,0,IF('Operating Assumptions'!$L8="N/A",0,IF('Operating Assumptions'!$L8="$/Unit/Annual",(('Operating Assumptions'!$M8*CF$25)*CF$36)/12,IF('Operating Assumptions'!$L8="$/Unit/Month",('Operating Assumptions'!$M8*CF$25)*CF$36,IF('Operating Assumptions'!$L8="Fixed Amount",('Operating Assumptions'!$M8*CF$25)/12,IF('Operating Assumptions'!$L8="$/GSF",(('Operating Assumptions'!$M8*CF$25)*'Operating Assumptions'!$D$11)/12,IF('Operating Assumptions'!$L8="$/NSF",(('Operating Assumptions'!$M8*CF$25)*'Operating Assumptions'!$D$12)/12))))))))</f>
        <v>-27300</v>
      </c>
      <c r="CG80" s="427">
        <f>-IF(CG$9&lt;'Operating Assumptions'!$D$53,0,IF(CG$6&gt;'Operating Assumptions'!$AA$8,0,IF('Operating Assumptions'!$L8="N/A",0,IF('Operating Assumptions'!$L8="$/Unit/Annual",(('Operating Assumptions'!$M8*CG$25)*CG$36)/12,IF('Operating Assumptions'!$L8="$/Unit/Month",('Operating Assumptions'!$M8*CG$25)*CG$36,IF('Operating Assumptions'!$L8="Fixed Amount",('Operating Assumptions'!$M8*CG$25)/12,IF('Operating Assumptions'!$L8="$/GSF",(('Operating Assumptions'!$M8*CG$25)*'Operating Assumptions'!$D$11)/12,IF('Operating Assumptions'!$L8="$/NSF",(('Operating Assumptions'!$M8*CG$25)*'Operating Assumptions'!$D$12)/12))))))))</f>
        <v>-27300</v>
      </c>
      <c r="CH80" s="427">
        <f>-IF(CH$9&lt;'Operating Assumptions'!$D$53,0,IF(CH$6&gt;'Operating Assumptions'!$AA$8,0,IF('Operating Assumptions'!$L8="N/A",0,IF('Operating Assumptions'!$L8="$/Unit/Annual",(('Operating Assumptions'!$M8*CH$25)*CH$36)/12,IF('Operating Assumptions'!$L8="$/Unit/Month",('Operating Assumptions'!$M8*CH$25)*CH$36,IF('Operating Assumptions'!$L8="Fixed Amount",('Operating Assumptions'!$M8*CH$25)/12,IF('Operating Assumptions'!$L8="$/GSF",(('Operating Assumptions'!$M8*CH$25)*'Operating Assumptions'!$D$11)/12,IF('Operating Assumptions'!$L8="$/NSF",(('Operating Assumptions'!$M8*CH$25)*'Operating Assumptions'!$D$12)/12))))))))</f>
        <v>-27300</v>
      </c>
      <c r="CI80" s="427">
        <f>-IF(CI$9&lt;'Operating Assumptions'!$D$53,0,IF(CI$6&gt;'Operating Assumptions'!$AA$8,0,IF('Operating Assumptions'!$L8="N/A",0,IF('Operating Assumptions'!$L8="$/Unit/Annual",(('Operating Assumptions'!$M8*CI$25)*CI$36)/12,IF('Operating Assumptions'!$L8="$/Unit/Month",('Operating Assumptions'!$M8*CI$25)*CI$36,IF('Operating Assumptions'!$L8="Fixed Amount",('Operating Assumptions'!$M8*CI$25)/12,IF('Operating Assumptions'!$L8="$/GSF",(('Operating Assumptions'!$M8*CI$25)*'Operating Assumptions'!$D$11)/12,IF('Operating Assumptions'!$L8="$/NSF",(('Operating Assumptions'!$M8*CI$25)*'Operating Assumptions'!$D$12)/12))))))))</f>
        <v>-27300</v>
      </c>
      <c r="CJ80" s="427">
        <f>-IF(CJ$9&lt;'Operating Assumptions'!$D$53,0,IF(CJ$6&gt;'Operating Assumptions'!$AA$8,0,IF('Operating Assumptions'!$L8="N/A",0,IF('Operating Assumptions'!$L8="$/Unit/Annual",(('Operating Assumptions'!$M8*CJ$25)*CJ$36)/12,IF('Operating Assumptions'!$L8="$/Unit/Month",('Operating Assumptions'!$M8*CJ$25)*CJ$36,IF('Operating Assumptions'!$L8="Fixed Amount",('Operating Assumptions'!$M8*CJ$25)/12,IF('Operating Assumptions'!$L8="$/GSF",(('Operating Assumptions'!$M8*CJ$25)*'Operating Assumptions'!$D$11)/12,IF('Operating Assumptions'!$L8="$/NSF",(('Operating Assumptions'!$M8*CJ$25)*'Operating Assumptions'!$D$12)/12))))))))</f>
        <v>-27300</v>
      </c>
      <c r="CK80" s="427">
        <f>-IF(CK$9&lt;'Operating Assumptions'!$D$53,0,IF(CK$6&gt;'Operating Assumptions'!$AA$8,0,IF('Operating Assumptions'!$L8="N/A",0,IF('Operating Assumptions'!$L8="$/Unit/Annual",(('Operating Assumptions'!$M8*CK$25)*CK$36)/12,IF('Operating Assumptions'!$L8="$/Unit/Month",('Operating Assumptions'!$M8*CK$25)*CK$36,IF('Operating Assumptions'!$L8="Fixed Amount",('Operating Assumptions'!$M8*CK$25)/12,IF('Operating Assumptions'!$L8="$/GSF",(('Operating Assumptions'!$M8*CK$25)*'Operating Assumptions'!$D$11)/12,IF('Operating Assumptions'!$L8="$/NSF",(('Operating Assumptions'!$M8*CK$25)*'Operating Assumptions'!$D$12)/12))))))))</f>
        <v>-27300</v>
      </c>
      <c r="CL80" s="427">
        <f>-IF(CL$9&lt;'Operating Assumptions'!$D$53,0,IF(CL$6&gt;'Operating Assumptions'!$AA$8,0,IF('Operating Assumptions'!$L8="N/A",0,IF('Operating Assumptions'!$L8="$/Unit/Annual",(('Operating Assumptions'!$M8*CL$25)*CL$36)/12,IF('Operating Assumptions'!$L8="$/Unit/Month",('Operating Assumptions'!$M8*CL$25)*CL$36,IF('Operating Assumptions'!$L8="Fixed Amount",('Operating Assumptions'!$M8*CL$25)/12,IF('Operating Assumptions'!$L8="$/GSF",(('Operating Assumptions'!$M8*CL$25)*'Operating Assumptions'!$D$11)/12,IF('Operating Assumptions'!$L8="$/NSF",(('Operating Assumptions'!$M8*CL$25)*'Operating Assumptions'!$D$12)/12))))))))</f>
        <v>-27300</v>
      </c>
      <c r="CM80" s="427">
        <f>-IF(CM$9&lt;'Operating Assumptions'!$D$53,0,IF(CM$6&gt;'Operating Assumptions'!$AA$8,0,IF('Operating Assumptions'!$L8="N/A",0,IF('Operating Assumptions'!$L8="$/Unit/Annual",(('Operating Assumptions'!$M8*CM$25)*CM$36)/12,IF('Operating Assumptions'!$L8="$/Unit/Month",('Operating Assumptions'!$M8*CM$25)*CM$36,IF('Operating Assumptions'!$L8="Fixed Amount",('Operating Assumptions'!$M8*CM$25)/12,IF('Operating Assumptions'!$L8="$/GSF",(('Operating Assumptions'!$M8*CM$25)*'Operating Assumptions'!$D$11)/12,IF('Operating Assumptions'!$L8="$/NSF",(('Operating Assumptions'!$M8*CM$25)*'Operating Assumptions'!$D$12)/12))))))))</f>
        <v>-27300</v>
      </c>
      <c r="CN80" s="427">
        <f>-IF(CN$9&lt;'Operating Assumptions'!$D$53,0,IF(CN$6&gt;'Operating Assumptions'!$AA$8,0,IF('Operating Assumptions'!$L8="N/A",0,IF('Operating Assumptions'!$L8="$/Unit/Annual",(('Operating Assumptions'!$M8*CN$25)*CN$36)/12,IF('Operating Assumptions'!$L8="$/Unit/Month",('Operating Assumptions'!$M8*CN$25)*CN$36,IF('Operating Assumptions'!$L8="Fixed Amount",('Operating Assumptions'!$M8*CN$25)/12,IF('Operating Assumptions'!$L8="$/GSF",(('Operating Assumptions'!$M8*CN$25)*'Operating Assumptions'!$D$11)/12,IF('Operating Assumptions'!$L8="$/NSF",(('Operating Assumptions'!$M8*CN$25)*'Operating Assumptions'!$D$12)/12))))))))</f>
        <v>-27560</v>
      </c>
      <c r="CO80" s="427">
        <f>-IF(CO$9&lt;'Operating Assumptions'!$D$53,0,IF(CO$6&gt;'Operating Assumptions'!$AA$8,0,IF('Operating Assumptions'!$L8="N/A",0,IF('Operating Assumptions'!$L8="$/Unit/Annual",(('Operating Assumptions'!$M8*CO$25)*CO$36)/12,IF('Operating Assumptions'!$L8="$/Unit/Month",('Operating Assumptions'!$M8*CO$25)*CO$36,IF('Operating Assumptions'!$L8="Fixed Amount",('Operating Assumptions'!$M8*CO$25)/12,IF('Operating Assumptions'!$L8="$/GSF",(('Operating Assumptions'!$M8*CO$25)*'Operating Assumptions'!$D$11)/12,IF('Operating Assumptions'!$L8="$/NSF",(('Operating Assumptions'!$M8*CO$25)*'Operating Assumptions'!$D$12)/12))))))))</f>
        <v>-27560</v>
      </c>
      <c r="CP80" s="427">
        <f>-IF(CP$9&lt;'Operating Assumptions'!$D$53,0,IF(CP$6&gt;'Operating Assumptions'!$AA$8,0,IF('Operating Assumptions'!$L8="N/A",0,IF('Operating Assumptions'!$L8="$/Unit/Annual",(('Operating Assumptions'!$M8*CP$25)*CP$36)/12,IF('Operating Assumptions'!$L8="$/Unit/Month",('Operating Assumptions'!$M8*CP$25)*CP$36,IF('Operating Assumptions'!$L8="Fixed Amount",('Operating Assumptions'!$M8*CP$25)/12,IF('Operating Assumptions'!$L8="$/GSF",(('Operating Assumptions'!$M8*CP$25)*'Operating Assumptions'!$D$11)/12,IF('Operating Assumptions'!$L8="$/NSF",(('Operating Assumptions'!$M8*CP$25)*'Operating Assumptions'!$D$12)/12))))))))</f>
        <v>-27560</v>
      </c>
      <c r="CQ80" s="427">
        <f>-IF(CQ$9&lt;'Operating Assumptions'!$D$53,0,IF(CQ$6&gt;'Operating Assumptions'!$AA$8,0,IF('Operating Assumptions'!$L8="N/A",0,IF('Operating Assumptions'!$L8="$/Unit/Annual",(('Operating Assumptions'!$M8*CQ$25)*CQ$36)/12,IF('Operating Assumptions'!$L8="$/Unit/Month",('Operating Assumptions'!$M8*CQ$25)*CQ$36,IF('Operating Assumptions'!$L8="Fixed Amount",('Operating Assumptions'!$M8*CQ$25)/12,IF('Operating Assumptions'!$L8="$/GSF",(('Operating Assumptions'!$M8*CQ$25)*'Operating Assumptions'!$D$11)/12,IF('Operating Assumptions'!$L8="$/NSF",(('Operating Assumptions'!$M8*CQ$25)*'Operating Assumptions'!$D$12)/12))))))))</f>
        <v>-27560</v>
      </c>
      <c r="CR80" s="427">
        <f>-IF(CR$9&lt;'Operating Assumptions'!$D$53,0,IF(CR$6&gt;'Operating Assumptions'!$AA$8,0,IF('Operating Assumptions'!$L8="N/A",0,IF('Operating Assumptions'!$L8="$/Unit/Annual",(('Operating Assumptions'!$M8*CR$25)*CR$36)/12,IF('Operating Assumptions'!$L8="$/Unit/Month",('Operating Assumptions'!$M8*CR$25)*CR$36,IF('Operating Assumptions'!$L8="Fixed Amount",('Operating Assumptions'!$M8*CR$25)/12,IF('Operating Assumptions'!$L8="$/GSF",(('Operating Assumptions'!$M8*CR$25)*'Operating Assumptions'!$D$11)/12,IF('Operating Assumptions'!$L8="$/NSF",(('Operating Assumptions'!$M8*CR$25)*'Operating Assumptions'!$D$12)/12))))))))</f>
        <v>-27560</v>
      </c>
      <c r="CS80" s="427">
        <f>-IF(CS$9&lt;'Operating Assumptions'!$D$53,0,IF(CS$6&gt;'Operating Assumptions'!$AA$8,0,IF('Operating Assumptions'!$L8="N/A",0,IF('Operating Assumptions'!$L8="$/Unit/Annual",(('Operating Assumptions'!$M8*CS$25)*CS$36)/12,IF('Operating Assumptions'!$L8="$/Unit/Month",('Operating Assumptions'!$M8*CS$25)*CS$36,IF('Operating Assumptions'!$L8="Fixed Amount",('Operating Assumptions'!$M8*CS$25)/12,IF('Operating Assumptions'!$L8="$/GSF",(('Operating Assumptions'!$M8*CS$25)*'Operating Assumptions'!$D$11)/12,IF('Operating Assumptions'!$L8="$/NSF",(('Operating Assumptions'!$M8*CS$25)*'Operating Assumptions'!$D$12)/12))))))))</f>
        <v>-27560</v>
      </c>
      <c r="CT80" s="427">
        <f>-IF(CT$9&lt;'Operating Assumptions'!$D$53,0,IF(CT$6&gt;'Operating Assumptions'!$AA$8,0,IF('Operating Assumptions'!$L8="N/A",0,IF('Operating Assumptions'!$L8="$/Unit/Annual",(('Operating Assumptions'!$M8*CT$25)*CT$36)/12,IF('Operating Assumptions'!$L8="$/Unit/Month",('Operating Assumptions'!$M8*CT$25)*CT$36,IF('Operating Assumptions'!$L8="Fixed Amount",('Operating Assumptions'!$M8*CT$25)/12,IF('Operating Assumptions'!$L8="$/GSF",(('Operating Assumptions'!$M8*CT$25)*'Operating Assumptions'!$D$11)/12,IF('Operating Assumptions'!$L8="$/NSF",(('Operating Assumptions'!$M8*CT$25)*'Operating Assumptions'!$D$12)/12))))))))</f>
        <v>-27560</v>
      </c>
      <c r="CU80" s="427">
        <f>-IF(CU$9&lt;'Operating Assumptions'!$D$53,0,IF(CU$6&gt;'Operating Assumptions'!$AA$8,0,IF('Operating Assumptions'!$L8="N/A",0,IF('Operating Assumptions'!$L8="$/Unit/Annual",(('Operating Assumptions'!$M8*CU$25)*CU$36)/12,IF('Operating Assumptions'!$L8="$/Unit/Month",('Operating Assumptions'!$M8*CU$25)*CU$36,IF('Operating Assumptions'!$L8="Fixed Amount",('Operating Assumptions'!$M8*CU$25)/12,IF('Operating Assumptions'!$L8="$/GSF",(('Operating Assumptions'!$M8*CU$25)*'Operating Assumptions'!$D$11)/12,IF('Operating Assumptions'!$L8="$/NSF",(('Operating Assumptions'!$M8*CU$25)*'Operating Assumptions'!$D$12)/12))))))))</f>
        <v>-27560</v>
      </c>
      <c r="CV80" s="427">
        <f>-IF(CV$9&lt;'Operating Assumptions'!$D$53,0,IF(CV$6&gt;'Operating Assumptions'!$AA$8,0,IF('Operating Assumptions'!$L8="N/A",0,IF('Operating Assumptions'!$L8="$/Unit/Annual",(('Operating Assumptions'!$M8*CV$25)*CV$36)/12,IF('Operating Assumptions'!$L8="$/Unit/Month",('Operating Assumptions'!$M8*CV$25)*CV$36,IF('Operating Assumptions'!$L8="Fixed Amount",('Operating Assumptions'!$M8*CV$25)/12,IF('Operating Assumptions'!$L8="$/GSF",(('Operating Assumptions'!$M8*CV$25)*'Operating Assumptions'!$D$11)/12,IF('Operating Assumptions'!$L8="$/NSF",(('Operating Assumptions'!$M8*CV$25)*'Operating Assumptions'!$D$12)/12))))))))</f>
        <v>-27560</v>
      </c>
      <c r="CW80" s="427">
        <f>-IF(CW$9&lt;'Operating Assumptions'!$D$53,0,IF(CW$6&gt;'Operating Assumptions'!$AA$8,0,IF('Operating Assumptions'!$L8="N/A",0,IF('Operating Assumptions'!$L8="$/Unit/Annual",(('Operating Assumptions'!$M8*CW$25)*CW$36)/12,IF('Operating Assumptions'!$L8="$/Unit/Month",('Operating Assumptions'!$M8*CW$25)*CW$36,IF('Operating Assumptions'!$L8="Fixed Amount",('Operating Assumptions'!$M8*CW$25)/12,IF('Operating Assumptions'!$L8="$/GSF",(('Operating Assumptions'!$M8*CW$25)*'Operating Assumptions'!$D$11)/12,IF('Operating Assumptions'!$L8="$/NSF",(('Operating Assumptions'!$M8*CW$25)*'Operating Assumptions'!$D$12)/12))))))))</f>
        <v>-27560</v>
      </c>
      <c r="CX80" s="427">
        <f>-IF(CX$9&lt;'Operating Assumptions'!$D$53,0,IF(CX$6&gt;'Operating Assumptions'!$AA$8,0,IF('Operating Assumptions'!$L8="N/A",0,IF('Operating Assumptions'!$L8="$/Unit/Annual",(('Operating Assumptions'!$M8*CX$25)*CX$36)/12,IF('Operating Assumptions'!$L8="$/Unit/Month",('Operating Assumptions'!$M8*CX$25)*CX$36,IF('Operating Assumptions'!$L8="Fixed Amount",('Operating Assumptions'!$M8*CX$25)/12,IF('Operating Assumptions'!$L8="$/GSF",(('Operating Assumptions'!$M8*CX$25)*'Operating Assumptions'!$D$11)/12,IF('Operating Assumptions'!$L8="$/NSF",(('Operating Assumptions'!$M8*CX$25)*'Operating Assumptions'!$D$12)/12))))))))</f>
        <v>-27560</v>
      </c>
      <c r="CY80" s="427">
        <f>-IF(CY$9&lt;'Operating Assumptions'!$D$53,0,IF(CY$6&gt;'Operating Assumptions'!$AA$8,0,IF('Operating Assumptions'!$L8="N/A",0,IF('Operating Assumptions'!$L8="$/Unit/Annual",(('Operating Assumptions'!$M8*CY$25)*CY$36)/12,IF('Operating Assumptions'!$L8="$/Unit/Month",('Operating Assumptions'!$M8*CY$25)*CY$36,IF('Operating Assumptions'!$L8="Fixed Amount",('Operating Assumptions'!$M8*CY$25)/12,IF('Operating Assumptions'!$L8="$/GSF",(('Operating Assumptions'!$M8*CY$25)*'Operating Assumptions'!$D$11)/12,IF('Operating Assumptions'!$L8="$/NSF",(('Operating Assumptions'!$M8*CY$25)*'Operating Assumptions'!$D$12)/12))))))))</f>
        <v>-27560</v>
      </c>
      <c r="CZ80" s="427">
        <f>-IF(CZ$9&lt;'Operating Assumptions'!$D$53,0,IF(CZ$6&gt;'Operating Assumptions'!$AA$8,0,IF('Operating Assumptions'!$L8="N/A",0,IF('Operating Assumptions'!$L8="$/Unit/Annual",(('Operating Assumptions'!$M8*CZ$25)*CZ$36)/12,IF('Operating Assumptions'!$L8="$/Unit/Month",('Operating Assumptions'!$M8*CZ$25)*CZ$36,IF('Operating Assumptions'!$L8="Fixed Amount",('Operating Assumptions'!$M8*CZ$25)/12,IF('Operating Assumptions'!$L8="$/GSF",(('Operating Assumptions'!$M8*CZ$25)*'Operating Assumptions'!$D$11)/12,IF('Operating Assumptions'!$L8="$/NSF",(('Operating Assumptions'!$M8*CZ$25)*'Operating Assumptions'!$D$12)/12))))))))</f>
        <v>-27820</v>
      </c>
      <c r="DA80" s="427">
        <f>-IF(DA$9&lt;'Operating Assumptions'!$D$53,0,IF(DA$6&gt;'Operating Assumptions'!$AA$8,0,IF('Operating Assumptions'!$L8="N/A",0,IF('Operating Assumptions'!$L8="$/Unit/Annual",(('Operating Assumptions'!$M8*DA$25)*DA$36)/12,IF('Operating Assumptions'!$L8="$/Unit/Month",('Operating Assumptions'!$M8*DA$25)*DA$36,IF('Operating Assumptions'!$L8="Fixed Amount",('Operating Assumptions'!$M8*DA$25)/12,IF('Operating Assumptions'!$L8="$/GSF",(('Operating Assumptions'!$M8*DA$25)*'Operating Assumptions'!$D$11)/12,IF('Operating Assumptions'!$L8="$/NSF",(('Operating Assumptions'!$M8*DA$25)*'Operating Assumptions'!$D$12)/12))))))))</f>
        <v>-27820</v>
      </c>
      <c r="DB80" s="427">
        <f>-IF(DB$9&lt;'Operating Assumptions'!$D$53,0,IF(DB$6&gt;'Operating Assumptions'!$AA$8,0,IF('Operating Assumptions'!$L8="N/A",0,IF('Operating Assumptions'!$L8="$/Unit/Annual",(('Operating Assumptions'!$M8*DB$25)*DB$36)/12,IF('Operating Assumptions'!$L8="$/Unit/Month",('Operating Assumptions'!$M8*DB$25)*DB$36,IF('Operating Assumptions'!$L8="Fixed Amount",('Operating Assumptions'!$M8*DB$25)/12,IF('Operating Assumptions'!$L8="$/GSF",(('Operating Assumptions'!$M8*DB$25)*'Operating Assumptions'!$D$11)/12,IF('Operating Assumptions'!$L8="$/NSF",(('Operating Assumptions'!$M8*DB$25)*'Operating Assumptions'!$D$12)/12))))))))</f>
        <v>-27820</v>
      </c>
      <c r="DC80" s="427">
        <f>-IF(DC$9&lt;'Operating Assumptions'!$D$53,0,IF(DC$6&gt;'Operating Assumptions'!$AA$8,0,IF('Operating Assumptions'!$L8="N/A",0,IF('Operating Assumptions'!$L8="$/Unit/Annual",(('Operating Assumptions'!$M8*DC$25)*DC$36)/12,IF('Operating Assumptions'!$L8="$/Unit/Month",('Operating Assumptions'!$M8*DC$25)*DC$36,IF('Operating Assumptions'!$L8="Fixed Amount",('Operating Assumptions'!$M8*DC$25)/12,IF('Operating Assumptions'!$L8="$/GSF",(('Operating Assumptions'!$M8*DC$25)*'Operating Assumptions'!$D$11)/12,IF('Operating Assumptions'!$L8="$/NSF",(('Operating Assumptions'!$M8*DC$25)*'Operating Assumptions'!$D$12)/12))))))))</f>
        <v>-27820</v>
      </c>
      <c r="DD80" s="427">
        <f>-IF(DD$9&lt;'Operating Assumptions'!$D$53,0,IF(DD$6&gt;'Operating Assumptions'!$AA$8,0,IF('Operating Assumptions'!$L8="N/A",0,IF('Operating Assumptions'!$L8="$/Unit/Annual",(('Operating Assumptions'!$M8*DD$25)*DD$36)/12,IF('Operating Assumptions'!$L8="$/Unit/Month",('Operating Assumptions'!$M8*DD$25)*DD$36,IF('Operating Assumptions'!$L8="Fixed Amount",('Operating Assumptions'!$M8*DD$25)/12,IF('Operating Assumptions'!$L8="$/GSF",(('Operating Assumptions'!$M8*DD$25)*'Operating Assumptions'!$D$11)/12,IF('Operating Assumptions'!$L8="$/NSF",(('Operating Assumptions'!$M8*DD$25)*'Operating Assumptions'!$D$12)/12))))))))</f>
        <v>-27820</v>
      </c>
      <c r="DE80" s="427">
        <f>-IF(DE$9&lt;'Operating Assumptions'!$D$53,0,IF(DE$6&gt;'Operating Assumptions'!$AA$8,0,IF('Operating Assumptions'!$L8="N/A",0,IF('Operating Assumptions'!$L8="$/Unit/Annual",(('Operating Assumptions'!$M8*DE$25)*DE$36)/12,IF('Operating Assumptions'!$L8="$/Unit/Month",('Operating Assumptions'!$M8*DE$25)*DE$36,IF('Operating Assumptions'!$L8="Fixed Amount",('Operating Assumptions'!$M8*DE$25)/12,IF('Operating Assumptions'!$L8="$/GSF",(('Operating Assumptions'!$M8*DE$25)*'Operating Assumptions'!$D$11)/12,IF('Operating Assumptions'!$L8="$/NSF",(('Operating Assumptions'!$M8*DE$25)*'Operating Assumptions'!$D$12)/12))))))))</f>
        <v>-27820</v>
      </c>
      <c r="DF80" s="427">
        <f>-IF(DF$9&lt;'Operating Assumptions'!$D$53,0,IF(DF$6&gt;'Operating Assumptions'!$AA$8,0,IF('Operating Assumptions'!$L8="N/A",0,IF('Operating Assumptions'!$L8="$/Unit/Annual",(('Operating Assumptions'!$M8*DF$25)*DF$36)/12,IF('Operating Assumptions'!$L8="$/Unit/Month",('Operating Assumptions'!$M8*DF$25)*DF$36,IF('Operating Assumptions'!$L8="Fixed Amount",('Operating Assumptions'!$M8*DF$25)/12,IF('Operating Assumptions'!$L8="$/GSF",(('Operating Assumptions'!$M8*DF$25)*'Operating Assumptions'!$D$11)/12,IF('Operating Assumptions'!$L8="$/NSF",(('Operating Assumptions'!$M8*DF$25)*'Operating Assumptions'!$D$12)/12))))))))</f>
        <v>-27820</v>
      </c>
      <c r="DG80" s="427">
        <f>-IF(DG$9&lt;'Operating Assumptions'!$D$53,0,IF(DG$6&gt;'Operating Assumptions'!$AA$8,0,IF('Operating Assumptions'!$L8="N/A",0,IF('Operating Assumptions'!$L8="$/Unit/Annual",(('Operating Assumptions'!$M8*DG$25)*DG$36)/12,IF('Operating Assumptions'!$L8="$/Unit/Month",('Operating Assumptions'!$M8*DG$25)*DG$36,IF('Operating Assumptions'!$L8="Fixed Amount",('Operating Assumptions'!$M8*DG$25)/12,IF('Operating Assumptions'!$L8="$/GSF",(('Operating Assumptions'!$M8*DG$25)*'Operating Assumptions'!$D$11)/12,IF('Operating Assumptions'!$L8="$/NSF",(('Operating Assumptions'!$M8*DG$25)*'Operating Assumptions'!$D$12)/12))))))))</f>
        <v>-27820</v>
      </c>
      <c r="DH80" s="427">
        <f>-IF(DH$9&lt;'Operating Assumptions'!$D$53,0,IF(DH$6&gt;'Operating Assumptions'!$AA$8,0,IF('Operating Assumptions'!$L8="N/A",0,IF('Operating Assumptions'!$L8="$/Unit/Annual",(('Operating Assumptions'!$M8*DH$25)*DH$36)/12,IF('Operating Assumptions'!$L8="$/Unit/Month",('Operating Assumptions'!$M8*DH$25)*DH$36,IF('Operating Assumptions'!$L8="Fixed Amount",('Operating Assumptions'!$M8*DH$25)/12,IF('Operating Assumptions'!$L8="$/GSF",(('Operating Assumptions'!$M8*DH$25)*'Operating Assumptions'!$D$11)/12,IF('Operating Assumptions'!$L8="$/NSF",(('Operating Assumptions'!$M8*DH$25)*'Operating Assumptions'!$D$12)/12))))))))</f>
        <v>-27820</v>
      </c>
      <c r="DI80" s="427">
        <f>-IF(DI$9&lt;'Operating Assumptions'!$D$53,0,IF(DI$6&gt;'Operating Assumptions'!$AA$8,0,IF('Operating Assumptions'!$L8="N/A",0,IF('Operating Assumptions'!$L8="$/Unit/Annual",(('Operating Assumptions'!$M8*DI$25)*DI$36)/12,IF('Operating Assumptions'!$L8="$/Unit/Month",('Operating Assumptions'!$M8*DI$25)*DI$36,IF('Operating Assumptions'!$L8="Fixed Amount",('Operating Assumptions'!$M8*DI$25)/12,IF('Operating Assumptions'!$L8="$/GSF",(('Operating Assumptions'!$M8*DI$25)*'Operating Assumptions'!$D$11)/12,IF('Operating Assumptions'!$L8="$/NSF",(('Operating Assumptions'!$M8*DI$25)*'Operating Assumptions'!$D$12)/12))))))))</f>
        <v>-27820</v>
      </c>
      <c r="DJ80" s="427">
        <f>-IF(DJ$9&lt;'Operating Assumptions'!$D$53,0,IF(DJ$6&gt;'Operating Assumptions'!$AA$8,0,IF('Operating Assumptions'!$L8="N/A",0,IF('Operating Assumptions'!$L8="$/Unit/Annual",(('Operating Assumptions'!$M8*DJ$25)*DJ$36)/12,IF('Operating Assumptions'!$L8="$/Unit/Month",('Operating Assumptions'!$M8*DJ$25)*DJ$36,IF('Operating Assumptions'!$L8="Fixed Amount",('Operating Assumptions'!$M8*DJ$25)/12,IF('Operating Assumptions'!$L8="$/GSF",(('Operating Assumptions'!$M8*DJ$25)*'Operating Assumptions'!$D$11)/12,IF('Operating Assumptions'!$L8="$/NSF",(('Operating Assumptions'!$M8*DJ$25)*'Operating Assumptions'!$D$12)/12))))))))</f>
        <v>-27820</v>
      </c>
      <c r="DK80" s="427">
        <f>-IF(DK$9&lt;'Operating Assumptions'!$D$53,0,IF(DK$6&gt;'Operating Assumptions'!$AA$8,0,IF('Operating Assumptions'!$L8="N/A",0,IF('Operating Assumptions'!$L8="$/Unit/Annual",(('Operating Assumptions'!$M8*DK$25)*DK$36)/12,IF('Operating Assumptions'!$L8="$/Unit/Month",('Operating Assumptions'!$M8*DK$25)*DK$36,IF('Operating Assumptions'!$L8="Fixed Amount",('Operating Assumptions'!$M8*DK$25)/12,IF('Operating Assumptions'!$L8="$/GSF",(('Operating Assumptions'!$M8*DK$25)*'Operating Assumptions'!$D$11)/12,IF('Operating Assumptions'!$L8="$/NSF",(('Operating Assumptions'!$M8*DK$25)*'Operating Assumptions'!$D$12)/12))))))))</f>
        <v>-27820</v>
      </c>
      <c r="DL80" s="427">
        <f>-IF(DL$9&lt;'Operating Assumptions'!$D$53,0,IF(DL$6&gt;'Operating Assumptions'!$AA$8,0,IF('Operating Assumptions'!$L8="N/A",0,IF('Operating Assumptions'!$L8="$/Unit/Annual",(('Operating Assumptions'!$M8*DL$25)*DL$36)/12,IF('Operating Assumptions'!$L8="$/Unit/Month",('Operating Assumptions'!$M8*DL$25)*DL$36,IF('Operating Assumptions'!$L8="Fixed Amount",('Operating Assumptions'!$M8*DL$25)/12,IF('Operating Assumptions'!$L8="$/GSF",(('Operating Assumptions'!$M8*DL$25)*'Operating Assumptions'!$D$11)/12,IF('Operating Assumptions'!$L8="$/NSF",(('Operating Assumptions'!$M8*DL$25)*'Operating Assumptions'!$D$12)/12))))))))</f>
        <v>-28080</v>
      </c>
      <c r="DM80" s="427">
        <f>-IF(DM$9&lt;'Operating Assumptions'!$D$53,0,IF(DM$6&gt;'Operating Assumptions'!$AA$8,0,IF('Operating Assumptions'!$L8="N/A",0,IF('Operating Assumptions'!$L8="$/Unit/Annual",(('Operating Assumptions'!$M8*DM$25)*DM$36)/12,IF('Operating Assumptions'!$L8="$/Unit/Month",('Operating Assumptions'!$M8*DM$25)*DM$36,IF('Operating Assumptions'!$L8="Fixed Amount",('Operating Assumptions'!$M8*DM$25)/12,IF('Operating Assumptions'!$L8="$/GSF",(('Operating Assumptions'!$M8*DM$25)*'Operating Assumptions'!$D$11)/12,IF('Operating Assumptions'!$L8="$/NSF",(('Operating Assumptions'!$M8*DM$25)*'Operating Assumptions'!$D$12)/12))))))))</f>
        <v>-28080</v>
      </c>
      <c r="DN80" s="427">
        <f>-IF(DN$9&lt;'Operating Assumptions'!$D$53,0,IF(DN$6&gt;'Operating Assumptions'!$AA$8,0,IF('Operating Assumptions'!$L8="N/A",0,IF('Operating Assumptions'!$L8="$/Unit/Annual",(('Operating Assumptions'!$M8*DN$25)*DN$36)/12,IF('Operating Assumptions'!$L8="$/Unit/Month",('Operating Assumptions'!$M8*DN$25)*DN$36,IF('Operating Assumptions'!$L8="Fixed Amount",('Operating Assumptions'!$M8*DN$25)/12,IF('Operating Assumptions'!$L8="$/GSF",(('Operating Assumptions'!$M8*DN$25)*'Operating Assumptions'!$D$11)/12,IF('Operating Assumptions'!$L8="$/NSF",(('Operating Assumptions'!$M8*DN$25)*'Operating Assumptions'!$D$12)/12))))))))</f>
        <v>-28080</v>
      </c>
      <c r="DO80" s="427">
        <f>-IF(DO$9&lt;'Operating Assumptions'!$D$53,0,IF(DO$6&gt;'Operating Assumptions'!$AA$8,0,IF('Operating Assumptions'!$L8="N/A",0,IF('Operating Assumptions'!$L8="$/Unit/Annual",(('Operating Assumptions'!$M8*DO$25)*DO$36)/12,IF('Operating Assumptions'!$L8="$/Unit/Month",('Operating Assumptions'!$M8*DO$25)*DO$36,IF('Operating Assumptions'!$L8="Fixed Amount",('Operating Assumptions'!$M8*DO$25)/12,IF('Operating Assumptions'!$L8="$/GSF",(('Operating Assumptions'!$M8*DO$25)*'Operating Assumptions'!$D$11)/12,IF('Operating Assumptions'!$L8="$/NSF",(('Operating Assumptions'!$M8*DO$25)*'Operating Assumptions'!$D$12)/12))))))))</f>
        <v>-28080</v>
      </c>
      <c r="DP80" s="427">
        <f>-IF(DP$9&lt;'Operating Assumptions'!$D$53,0,IF(DP$6&gt;'Operating Assumptions'!$AA$8,0,IF('Operating Assumptions'!$L8="N/A",0,IF('Operating Assumptions'!$L8="$/Unit/Annual",(('Operating Assumptions'!$M8*DP$25)*DP$36)/12,IF('Operating Assumptions'!$L8="$/Unit/Month",('Operating Assumptions'!$M8*DP$25)*DP$36,IF('Operating Assumptions'!$L8="Fixed Amount",('Operating Assumptions'!$M8*DP$25)/12,IF('Operating Assumptions'!$L8="$/GSF",(('Operating Assumptions'!$M8*DP$25)*'Operating Assumptions'!$D$11)/12,IF('Operating Assumptions'!$L8="$/NSF",(('Operating Assumptions'!$M8*DP$25)*'Operating Assumptions'!$D$12)/12))))))))</f>
        <v>-28080</v>
      </c>
      <c r="DQ80" s="427">
        <f>-IF(DQ$9&lt;'Operating Assumptions'!$D$53,0,IF(DQ$6&gt;'Operating Assumptions'!$AA$8,0,IF('Operating Assumptions'!$L8="N/A",0,IF('Operating Assumptions'!$L8="$/Unit/Annual",(('Operating Assumptions'!$M8*DQ$25)*DQ$36)/12,IF('Operating Assumptions'!$L8="$/Unit/Month",('Operating Assumptions'!$M8*DQ$25)*DQ$36,IF('Operating Assumptions'!$L8="Fixed Amount",('Operating Assumptions'!$M8*DQ$25)/12,IF('Operating Assumptions'!$L8="$/GSF",(('Operating Assumptions'!$M8*DQ$25)*'Operating Assumptions'!$D$11)/12,IF('Operating Assumptions'!$L8="$/NSF",(('Operating Assumptions'!$M8*DQ$25)*'Operating Assumptions'!$D$12)/12))))))))</f>
        <v>-28080</v>
      </c>
      <c r="DR80" s="427">
        <f>-IF(DR$9&lt;'Operating Assumptions'!$D$53,0,IF(DR$6&gt;'Operating Assumptions'!$AA$8,0,IF('Operating Assumptions'!$L8="N/A",0,IF('Operating Assumptions'!$L8="$/Unit/Annual",(('Operating Assumptions'!$M8*DR$25)*DR$36)/12,IF('Operating Assumptions'!$L8="$/Unit/Month",('Operating Assumptions'!$M8*DR$25)*DR$36,IF('Operating Assumptions'!$L8="Fixed Amount",('Operating Assumptions'!$M8*DR$25)/12,IF('Operating Assumptions'!$L8="$/GSF",(('Operating Assumptions'!$M8*DR$25)*'Operating Assumptions'!$D$11)/12,IF('Operating Assumptions'!$L8="$/NSF",(('Operating Assumptions'!$M8*DR$25)*'Operating Assumptions'!$D$12)/12))))))))</f>
        <v>-28080</v>
      </c>
      <c r="DS80" s="427">
        <f>-IF(DS$9&lt;'Operating Assumptions'!$D$53,0,IF(DS$6&gt;'Operating Assumptions'!$AA$8,0,IF('Operating Assumptions'!$L8="N/A",0,IF('Operating Assumptions'!$L8="$/Unit/Annual",(('Operating Assumptions'!$M8*DS$25)*DS$36)/12,IF('Operating Assumptions'!$L8="$/Unit/Month",('Operating Assumptions'!$M8*DS$25)*DS$36,IF('Operating Assumptions'!$L8="Fixed Amount",('Operating Assumptions'!$M8*DS$25)/12,IF('Operating Assumptions'!$L8="$/GSF",(('Operating Assumptions'!$M8*DS$25)*'Operating Assumptions'!$D$11)/12,IF('Operating Assumptions'!$L8="$/NSF",(('Operating Assumptions'!$M8*DS$25)*'Operating Assumptions'!$D$12)/12))))))))</f>
        <v>-28080</v>
      </c>
      <c r="DT80" s="427">
        <f>-IF(DT$9&lt;'Operating Assumptions'!$D$53,0,IF(DT$6&gt;'Operating Assumptions'!$AA$8,0,IF('Operating Assumptions'!$L8="N/A",0,IF('Operating Assumptions'!$L8="$/Unit/Annual",(('Operating Assumptions'!$M8*DT$25)*DT$36)/12,IF('Operating Assumptions'!$L8="$/Unit/Month",('Operating Assumptions'!$M8*DT$25)*DT$36,IF('Operating Assumptions'!$L8="Fixed Amount",('Operating Assumptions'!$M8*DT$25)/12,IF('Operating Assumptions'!$L8="$/GSF",(('Operating Assumptions'!$M8*DT$25)*'Operating Assumptions'!$D$11)/12,IF('Operating Assumptions'!$L8="$/NSF",(('Operating Assumptions'!$M8*DT$25)*'Operating Assumptions'!$D$12)/12))))))))</f>
        <v>-28080</v>
      </c>
      <c r="DU80" s="427">
        <f>-IF(DU$9&lt;'Operating Assumptions'!$D$53,0,IF(DU$6&gt;'Operating Assumptions'!$AA$8,0,IF('Operating Assumptions'!$L8="N/A",0,IF('Operating Assumptions'!$L8="$/Unit/Annual",(('Operating Assumptions'!$M8*DU$25)*DU$36)/12,IF('Operating Assumptions'!$L8="$/Unit/Month",('Operating Assumptions'!$M8*DU$25)*DU$36,IF('Operating Assumptions'!$L8="Fixed Amount",('Operating Assumptions'!$M8*DU$25)/12,IF('Operating Assumptions'!$L8="$/GSF",(('Operating Assumptions'!$M8*DU$25)*'Operating Assumptions'!$D$11)/12,IF('Operating Assumptions'!$L8="$/NSF",(('Operating Assumptions'!$M8*DU$25)*'Operating Assumptions'!$D$12)/12))))))))</f>
        <v>-28080</v>
      </c>
      <c r="DV80" s="427">
        <f>-IF(DV$9&lt;'Operating Assumptions'!$D$53,0,IF(DV$6&gt;'Operating Assumptions'!$AA$8,0,IF('Operating Assumptions'!$L8="N/A",0,IF('Operating Assumptions'!$L8="$/Unit/Annual",(('Operating Assumptions'!$M8*DV$25)*DV$36)/12,IF('Operating Assumptions'!$L8="$/Unit/Month",('Operating Assumptions'!$M8*DV$25)*DV$36,IF('Operating Assumptions'!$L8="Fixed Amount",('Operating Assumptions'!$M8*DV$25)/12,IF('Operating Assumptions'!$L8="$/GSF",(('Operating Assumptions'!$M8*DV$25)*'Operating Assumptions'!$D$11)/12,IF('Operating Assumptions'!$L8="$/NSF",(('Operating Assumptions'!$M8*DV$25)*'Operating Assumptions'!$D$12)/12))))))))</f>
        <v>-28080</v>
      </c>
      <c r="DW80" s="427">
        <f>-IF(DW$9&lt;'Operating Assumptions'!$D$53,0,IF(DW$6&gt;'Operating Assumptions'!$AA$8,0,IF('Operating Assumptions'!$L8="N/A",0,IF('Operating Assumptions'!$L8="$/Unit/Annual",(('Operating Assumptions'!$M8*DW$25)*DW$36)/12,IF('Operating Assumptions'!$L8="$/Unit/Month",('Operating Assumptions'!$M8*DW$25)*DW$36,IF('Operating Assumptions'!$L8="Fixed Amount",('Operating Assumptions'!$M8*DW$25)/12,IF('Operating Assumptions'!$L8="$/GSF",(('Operating Assumptions'!$M8*DW$25)*'Operating Assumptions'!$D$11)/12,IF('Operating Assumptions'!$L8="$/NSF",(('Operating Assumptions'!$M8*DW$25)*'Operating Assumptions'!$D$12)/12))))))))</f>
        <v>-28080</v>
      </c>
      <c r="DX80" s="427">
        <f>-IF(DX$9&lt;'Operating Assumptions'!$D$53,0,IF(DX$6&gt;'Operating Assumptions'!$AA$8,0,IF('Operating Assumptions'!$L8="N/A",0,IF('Operating Assumptions'!$L8="$/Unit/Annual",(('Operating Assumptions'!$M8*DX$25)*DX$36)/12,IF('Operating Assumptions'!$L8="$/Unit/Month",('Operating Assumptions'!$M8*DX$25)*DX$36,IF('Operating Assumptions'!$L8="Fixed Amount",('Operating Assumptions'!$M8*DX$25)/12,IF('Operating Assumptions'!$L8="$/GSF",(('Operating Assumptions'!$M8*DX$25)*'Operating Assumptions'!$D$11)/12,IF('Operating Assumptions'!$L8="$/NSF",(('Operating Assumptions'!$M8*DX$25)*'Operating Assumptions'!$D$12)/12))))))))</f>
        <v>-28340</v>
      </c>
      <c r="DY80" s="427">
        <f>-IF(DY$9&lt;'Operating Assumptions'!$D$53,0,IF(DY$6&gt;'Operating Assumptions'!$AA$8,0,IF('Operating Assumptions'!$L8="N/A",0,IF('Operating Assumptions'!$L8="$/Unit/Annual",(('Operating Assumptions'!$M8*DY$25)*DY$36)/12,IF('Operating Assumptions'!$L8="$/Unit/Month",('Operating Assumptions'!$M8*DY$25)*DY$36,IF('Operating Assumptions'!$L8="Fixed Amount",('Operating Assumptions'!$M8*DY$25)/12,IF('Operating Assumptions'!$L8="$/GSF",(('Operating Assumptions'!$M8*DY$25)*'Operating Assumptions'!$D$11)/12,IF('Operating Assumptions'!$L8="$/NSF",(('Operating Assumptions'!$M8*DY$25)*'Operating Assumptions'!$D$12)/12))))))))</f>
        <v>-28340</v>
      </c>
      <c r="DZ80" s="427">
        <f>-IF(DZ$9&lt;'Operating Assumptions'!$D$53,0,IF(DZ$6&gt;'Operating Assumptions'!$AA$8,0,IF('Operating Assumptions'!$L8="N/A",0,IF('Operating Assumptions'!$L8="$/Unit/Annual",(('Operating Assumptions'!$M8*DZ$25)*DZ$36)/12,IF('Operating Assumptions'!$L8="$/Unit/Month",('Operating Assumptions'!$M8*DZ$25)*DZ$36,IF('Operating Assumptions'!$L8="Fixed Amount",('Operating Assumptions'!$M8*DZ$25)/12,IF('Operating Assumptions'!$L8="$/GSF",(('Operating Assumptions'!$M8*DZ$25)*'Operating Assumptions'!$D$11)/12,IF('Operating Assumptions'!$L8="$/NSF",(('Operating Assumptions'!$M8*DZ$25)*'Operating Assumptions'!$D$12)/12))))))))</f>
        <v>-28340</v>
      </c>
      <c r="EA80" s="427">
        <f>-IF(EA$9&lt;'Operating Assumptions'!$D$53,0,IF(EA$6&gt;'Operating Assumptions'!$AA$8,0,IF('Operating Assumptions'!$L8="N/A",0,IF('Operating Assumptions'!$L8="$/Unit/Annual",(('Operating Assumptions'!$M8*EA$25)*EA$36)/12,IF('Operating Assumptions'!$L8="$/Unit/Month",('Operating Assumptions'!$M8*EA$25)*EA$36,IF('Operating Assumptions'!$L8="Fixed Amount",('Operating Assumptions'!$M8*EA$25)/12,IF('Operating Assumptions'!$L8="$/GSF",(('Operating Assumptions'!$M8*EA$25)*'Operating Assumptions'!$D$11)/12,IF('Operating Assumptions'!$L8="$/NSF",(('Operating Assumptions'!$M8*EA$25)*'Operating Assumptions'!$D$12)/12))))))))</f>
        <v>-28340</v>
      </c>
      <c r="EB80" s="427">
        <f>-IF(EB$9&lt;'Operating Assumptions'!$D$53,0,IF(EB$6&gt;'Operating Assumptions'!$AA$8,0,IF('Operating Assumptions'!$L8="N/A",0,IF('Operating Assumptions'!$L8="$/Unit/Annual",(('Operating Assumptions'!$M8*EB$25)*EB$36)/12,IF('Operating Assumptions'!$L8="$/Unit/Month",('Operating Assumptions'!$M8*EB$25)*EB$36,IF('Operating Assumptions'!$L8="Fixed Amount",('Operating Assumptions'!$M8*EB$25)/12,IF('Operating Assumptions'!$L8="$/GSF",(('Operating Assumptions'!$M8*EB$25)*'Operating Assumptions'!$D$11)/12,IF('Operating Assumptions'!$L8="$/NSF",(('Operating Assumptions'!$M8*EB$25)*'Operating Assumptions'!$D$12)/12))))))))</f>
        <v>-28340</v>
      </c>
      <c r="EC80" s="427">
        <f>-IF(EC$9&lt;'Operating Assumptions'!$D$53,0,IF(EC$6&gt;'Operating Assumptions'!$AA$8,0,IF('Operating Assumptions'!$L8="N/A",0,IF('Operating Assumptions'!$L8="$/Unit/Annual",(('Operating Assumptions'!$M8*EC$25)*EC$36)/12,IF('Operating Assumptions'!$L8="$/Unit/Month",('Operating Assumptions'!$M8*EC$25)*EC$36,IF('Operating Assumptions'!$L8="Fixed Amount",('Operating Assumptions'!$M8*EC$25)/12,IF('Operating Assumptions'!$L8="$/GSF",(('Operating Assumptions'!$M8*EC$25)*'Operating Assumptions'!$D$11)/12,IF('Operating Assumptions'!$L8="$/NSF",(('Operating Assumptions'!$M8*EC$25)*'Operating Assumptions'!$D$12)/12))))))))</f>
        <v>-28340</v>
      </c>
      <c r="ED80" s="427">
        <f>-IF(ED$9&lt;'Operating Assumptions'!$D$53,0,IF(ED$6&gt;'Operating Assumptions'!$AA$8,0,IF('Operating Assumptions'!$L8="N/A",0,IF('Operating Assumptions'!$L8="$/Unit/Annual",(('Operating Assumptions'!$M8*ED$25)*ED$36)/12,IF('Operating Assumptions'!$L8="$/Unit/Month",('Operating Assumptions'!$M8*ED$25)*ED$36,IF('Operating Assumptions'!$L8="Fixed Amount",('Operating Assumptions'!$M8*ED$25)/12,IF('Operating Assumptions'!$L8="$/GSF",(('Operating Assumptions'!$M8*ED$25)*'Operating Assumptions'!$D$11)/12,IF('Operating Assumptions'!$L8="$/NSF",(('Operating Assumptions'!$M8*ED$25)*'Operating Assumptions'!$D$12)/12))))))))</f>
        <v>-28340</v>
      </c>
      <c r="EE80" s="427">
        <f>-IF(EE$9&lt;'Operating Assumptions'!$D$53,0,IF(EE$6&gt;'Operating Assumptions'!$AA$8,0,IF('Operating Assumptions'!$L8="N/A",0,IF('Operating Assumptions'!$L8="$/Unit/Annual",(('Operating Assumptions'!$M8*EE$25)*EE$36)/12,IF('Operating Assumptions'!$L8="$/Unit/Month",('Operating Assumptions'!$M8*EE$25)*EE$36,IF('Operating Assumptions'!$L8="Fixed Amount",('Operating Assumptions'!$M8*EE$25)/12,IF('Operating Assumptions'!$L8="$/GSF",(('Operating Assumptions'!$M8*EE$25)*'Operating Assumptions'!$D$11)/12,IF('Operating Assumptions'!$L8="$/NSF",(('Operating Assumptions'!$M8*EE$25)*'Operating Assumptions'!$D$12)/12))))))))</f>
        <v>-28340</v>
      </c>
      <c r="EF80" s="427">
        <f>-IF(EF$9&lt;'Operating Assumptions'!$D$53,0,IF(EF$6&gt;'Operating Assumptions'!$AA$8,0,IF('Operating Assumptions'!$L8="N/A",0,IF('Operating Assumptions'!$L8="$/Unit/Annual",(('Operating Assumptions'!$M8*EF$25)*EF$36)/12,IF('Operating Assumptions'!$L8="$/Unit/Month",('Operating Assumptions'!$M8*EF$25)*EF$36,IF('Operating Assumptions'!$L8="Fixed Amount",('Operating Assumptions'!$M8*EF$25)/12,IF('Operating Assumptions'!$L8="$/GSF",(('Operating Assumptions'!$M8*EF$25)*'Operating Assumptions'!$D$11)/12,IF('Operating Assumptions'!$L8="$/NSF",(('Operating Assumptions'!$M8*EF$25)*'Operating Assumptions'!$D$12)/12))))))))</f>
        <v>-28340</v>
      </c>
      <c r="EG80" s="427">
        <f>-IF(EG$9&lt;'Operating Assumptions'!$D$53,0,IF(EG$6&gt;'Operating Assumptions'!$AA$8,0,IF('Operating Assumptions'!$L8="N/A",0,IF('Operating Assumptions'!$L8="$/Unit/Annual",(('Operating Assumptions'!$M8*EG$25)*EG$36)/12,IF('Operating Assumptions'!$L8="$/Unit/Month",('Operating Assumptions'!$M8*EG$25)*EG$36,IF('Operating Assumptions'!$L8="Fixed Amount",('Operating Assumptions'!$M8*EG$25)/12,IF('Operating Assumptions'!$L8="$/GSF",(('Operating Assumptions'!$M8*EG$25)*'Operating Assumptions'!$D$11)/12,IF('Operating Assumptions'!$L8="$/NSF",(('Operating Assumptions'!$M8*EG$25)*'Operating Assumptions'!$D$12)/12))))))))</f>
        <v>-28340</v>
      </c>
      <c r="EH80" s="427">
        <f>-IF(EH$9&lt;'Operating Assumptions'!$D$53,0,IF(EH$6&gt;'Operating Assumptions'!$AA$8,0,IF('Operating Assumptions'!$L8="N/A",0,IF('Operating Assumptions'!$L8="$/Unit/Annual",(('Operating Assumptions'!$M8*EH$25)*EH$36)/12,IF('Operating Assumptions'!$L8="$/Unit/Month",('Operating Assumptions'!$M8*EH$25)*EH$36,IF('Operating Assumptions'!$L8="Fixed Amount",('Operating Assumptions'!$M8*EH$25)/12,IF('Operating Assumptions'!$L8="$/GSF",(('Operating Assumptions'!$M8*EH$25)*'Operating Assumptions'!$D$11)/12,IF('Operating Assumptions'!$L8="$/NSF",(('Operating Assumptions'!$M8*EH$25)*'Operating Assumptions'!$D$12)/12))))))))</f>
        <v>-28340</v>
      </c>
      <c r="EI80" s="427">
        <f>-IF(EI$9&lt;'Operating Assumptions'!$D$53,0,IF(EI$6&gt;'Operating Assumptions'!$AA$8,0,IF('Operating Assumptions'!$L8="N/A",0,IF('Operating Assumptions'!$L8="$/Unit/Annual",(('Operating Assumptions'!$M8*EI$25)*EI$36)/12,IF('Operating Assumptions'!$L8="$/Unit/Month",('Operating Assumptions'!$M8*EI$25)*EI$36,IF('Operating Assumptions'!$L8="Fixed Amount",('Operating Assumptions'!$M8*EI$25)/12,IF('Operating Assumptions'!$L8="$/GSF",(('Operating Assumptions'!$M8*EI$25)*'Operating Assumptions'!$D$11)/12,IF('Operating Assumptions'!$L8="$/NSF",(('Operating Assumptions'!$M8*EI$25)*'Operating Assumptions'!$D$12)/12))))))))</f>
        <v>-28340</v>
      </c>
      <c r="EJ80" s="427">
        <f>-IF(EJ$9&lt;'Operating Assumptions'!$D$53,0,IF(EJ$6&gt;'Operating Assumptions'!$AA$8,0,IF('Operating Assumptions'!$L8="N/A",0,IF('Operating Assumptions'!$L8="$/Unit/Annual",(('Operating Assumptions'!$M8*EJ$25)*EJ$36)/12,IF('Operating Assumptions'!$L8="$/Unit/Month",('Operating Assumptions'!$M8*EJ$25)*EJ$36,IF('Operating Assumptions'!$L8="Fixed Amount",('Operating Assumptions'!$M8*EJ$25)/12,IF('Operating Assumptions'!$L8="$/GSF",(('Operating Assumptions'!$M8*EJ$25)*'Operating Assumptions'!$D$11)/12,IF('Operating Assumptions'!$L8="$/NSF",(('Operating Assumptions'!$M8*EJ$25)*'Operating Assumptions'!$D$12)/12))))))))</f>
        <v>-28600.000000000004</v>
      </c>
      <c r="EK80" s="427">
        <f>-IF(EK$9&lt;'Operating Assumptions'!$D$53,0,IF(EK$6&gt;'Operating Assumptions'!$AA$8,0,IF('Operating Assumptions'!$L8="N/A",0,IF('Operating Assumptions'!$L8="$/Unit/Annual",(('Operating Assumptions'!$M8*EK$25)*EK$36)/12,IF('Operating Assumptions'!$L8="$/Unit/Month",('Operating Assumptions'!$M8*EK$25)*EK$36,IF('Operating Assumptions'!$L8="Fixed Amount",('Operating Assumptions'!$M8*EK$25)/12,IF('Operating Assumptions'!$L8="$/GSF",(('Operating Assumptions'!$M8*EK$25)*'Operating Assumptions'!$D$11)/12,IF('Operating Assumptions'!$L8="$/NSF",(('Operating Assumptions'!$M8*EK$25)*'Operating Assumptions'!$D$12)/12))))))))</f>
        <v>-28600.000000000004</v>
      </c>
      <c r="EL80" s="427">
        <f>-IF(EL$9&lt;'Operating Assumptions'!$D$53,0,IF(EL$6&gt;'Operating Assumptions'!$AA$8,0,IF('Operating Assumptions'!$L8="N/A",0,IF('Operating Assumptions'!$L8="$/Unit/Annual",(('Operating Assumptions'!$M8*EL$25)*EL$36)/12,IF('Operating Assumptions'!$L8="$/Unit/Month",('Operating Assumptions'!$M8*EL$25)*EL$36,IF('Operating Assumptions'!$L8="Fixed Amount",('Operating Assumptions'!$M8*EL$25)/12,IF('Operating Assumptions'!$L8="$/GSF",(('Operating Assumptions'!$M8*EL$25)*'Operating Assumptions'!$D$11)/12,IF('Operating Assumptions'!$L8="$/NSF",(('Operating Assumptions'!$M8*EL$25)*'Operating Assumptions'!$D$12)/12))))))))</f>
        <v>-28600.000000000004</v>
      </c>
      <c r="EM80" s="427">
        <f>-IF(EM$9&lt;'Operating Assumptions'!$D$53,0,IF(EM$6&gt;'Operating Assumptions'!$AA$8,0,IF('Operating Assumptions'!$L8="N/A",0,IF('Operating Assumptions'!$L8="$/Unit/Annual",(('Operating Assumptions'!$M8*EM$25)*EM$36)/12,IF('Operating Assumptions'!$L8="$/Unit/Month",('Operating Assumptions'!$M8*EM$25)*EM$36,IF('Operating Assumptions'!$L8="Fixed Amount",('Operating Assumptions'!$M8*EM$25)/12,IF('Operating Assumptions'!$L8="$/GSF",(('Operating Assumptions'!$M8*EM$25)*'Operating Assumptions'!$D$11)/12,IF('Operating Assumptions'!$L8="$/NSF",(('Operating Assumptions'!$M8*EM$25)*'Operating Assumptions'!$D$12)/12))))))))</f>
        <v>-28600.000000000004</v>
      </c>
      <c r="EN80" s="427">
        <f>-IF(EN$9&lt;'Operating Assumptions'!$D$53,0,IF(EN$6&gt;'Operating Assumptions'!$AA$8,0,IF('Operating Assumptions'!$L8="N/A",0,IF('Operating Assumptions'!$L8="$/Unit/Annual",(('Operating Assumptions'!$M8*EN$25)*EN$36)/12,IF('Operating Assumptions'!$L8="$/Unit/Month",('Operating Assumptions'!$M8*EN$25)*EN$36,IF('Operating Assumptions'!$L8="Fixed Amount",('Operating Assumptions'!$M8*EN$25)/12,IF('Operating Assumptions'!$L8="$/GSF",(('Operating Assumptions'!$M8*EN$25)*'Operating Assumptions'!$D$11)/12,IF('Operating Assumptions'!$L8="$/NSF",(('Operating Assumptions'!$M8*EN$25)*'Operating Assumptions'!$D$12)/12))))))))</f>
        <v>-28600.000000000004</v>
      </c>
      <c r="EO80" s="427">
        <f>-IF(EO$9&lt;'Operating Assumptions'!$D$53,0,IF(EO$6&gt;'Operating Assumptions'!$AA$8,0,IF('Operating Assumptions'!$L8="N/A",0,IF('Operating Assumptions'!$L8="$/Unit/Annual",(('Operating Assumptions'!$M8*EO$25)*EO$36)/12,IF('Operating Assumptions'!$L8="$/Unit/Month",('Operating Assumptions'!$M8*EO$25)*EO$36,IF('Operating Assumptions'!$L8="Fixed Amount",('Operating Assumptions'!$M8*EO$25)/12,IF('Operating Assumptions'!$L8="$/GSF",(('Operating Assumptions'!$M8*EO$25)*'Operating Assumptions'!$D$11)/12,IF('Operating Assumptions'!$L8="$/NSF",(('Operating Assumptions'!$M8*EO$25)*'Operating Assumptions'!$D$12)/12))))))))</f>
        <v>-28600.000000000004</v>
      </c>
      <c r="EP80" s="427">
        <f>-IF(EP$9&lt;'Operating Assumptions'!$D$53,0,IF(EP$6&gt;'Operating Assumptions'!$AA$8,0,IF('Operating Assumptions'!$L8="N/A",0,IF('Operating Assumptions'!$L8="$/Unit/Annual",(('Operating Assumptions'!$M8*EP$25)*EP$36)/12,IF('Operating Assumptions'!$L8="$/Unit/Month",('Operating Assumptions'!$M8*EP$25)*EP$36,IF('Operating Assumptions'!$L8="Fixed Amount",('Operating Assumptions'!$M8*EP$25)/12,IF('Operating Assumptions'!$L8="$/GSF",(('Operating Assumptions'!$M8*EP$25)*'Operating Assumptions'!$D$11)/12,IF('Operating Assumptions'!$L8="$/NSF",(('Operating Assumptions'!$M8*EP$25)*'Operating Assumptions'!$D$12)/12))))))))</f>
        <v>-28600.000000000004</v>
      </c>
      <c r="EQ80" s="427">
        <f>-IF(EQ$9&lt;'Operating Assumptions'!$D$53,0,IF(EQ$6&gt;'Operating Assumptions'!$AA$8,0,IF('Operating Assumptions'!$L8="N/A",0,IF('Operating Assumptions'!$L8="$/Unit/Annual",(('Operating Assumptions'!$M8*EQ$25)*EQ$36)/12,IF('Operating Assumptions'!$L8="$/Unit/Month",('Operating Assumptions'!$M8*EQ$25)*EQ$36,IF('Operating Assumptions'!$L8="Fixed Amount",('Operating Assumptions'!$M8*EQ$25)/12,IF('Operating Assumptions'!$L8="$/GSF",(('Operating Assumptions'!$M8*EQ$25)*'Operating Assumptions'!$D$11)/12,IF('Operating Assumptions'!$L8="$/NSF",(('Operating Assumptions'!$M8*EQ$25)*'Operating Assumptions'!$D$12)/12))))))))</f>
        <v>-28600.000000000004</v>
      </c>
      <c r="ER80" s="427">
        <f>-IF(ER$9&lt;'Operating Assumptions'!$D$53,0,IF(ER$6&gt;'Operating Assumptions'!$AA$8,0,IF('Operating Assumptions'!$L8="N/A",0,IF('Operating Assumptions'!$L8="$/Unit/Annual",(('Operating Assumptions'!$M8*ER$25)*ER$36)/12,IF('Operating Assumptions'!$L8="$/Unit/Month",('Operating Assumptions'!$M8*ER$25)*ER$36,IF('Operating Assumptions'!$L8="Fixed Amount",('Operating Assumptions'!$M8*ER$25)/12,IF('Operating Assumptions'!$L8="$/GSF",(('Operating Assumptions'!$M8*ER$25)*'Operating Assumptions'!$D$11)/12,IF('Operating Assumptions'!$L8="$/NSF",(('Operating Assumptions'!$M8*ER$25)*'Operating Assumptions'!$D$12)/12))))))))</f>
        <v>-28600.000000000004</v>
      </c>
      <c r="ES80" s="427">
        <f>-IF(ES$9&lt;'Operating Assumptions'!$D$53,0,IF(ES$6&gt;'Operating Assumptions'!$AA$8,0,IF('Operating Assumptions'!$L8="N/A",0,IF('Operating Assumptions'!$L8="$/Unit/Annual",(('Operating Assumptions'!$M8*ES$25)*ES$36)/12,IF('Operating Assumptions'!$L8="$/Unit/Month",('Operating Assumptions'!$M8*ES$25)*ES$36,IF('Operating Assumptions'!$L8="Fixed Amount",('Operating Assumptions'!$M8*ES$25)/12,IF('Operating Assumptions'!$L8="$/GSF",(('Operating Assumptions'!$M8*ES$25)*'Operating Assumptions'!$D$11)/12,IF('Operating Assumptions'!$L8="$/NSF",(('Operating Assumptions'!$M8*ES$25)*'Operating Assumptions'!$D$12)/12))))))))</f>
        <v>-28600.000000000004</v>
      </c>
      <c r="ET80" s="427">
        <f>-IF(ET$9&lt;'Operating Assumptions'!$D$53,0,IF(ET$6&gt;'Operating Assumptions'!$AA$8,0,IF('Operating Assumptions'!$L8="N/A",0,IF('Operating Assumptions'!$L8="$/Unit/Annual",(('Operating Assumptions'!$M8*ET$25)*ET$36)/12,IF('Operating Assumptions'!$L8="$/Unit/Month",('Operating Assumptions'!$M8*ET$25)*ET$36,IF('Operating Assumptions'!$L8="Fixed Amount",('Operating Assumptions'!$M8*ET$25)/12,IF('Operating Assumptions'!$L8="$/GSF",(('Operating Assumptions'!$M8*ET$25)*'Operating Assumptions'!$D$11)/12,IF('Operating Assumptions'!$L8="$/NSF",(('Operating Assumptions'!$M8*ET$25)*'Operating Assumptions'!$D$12)/12))))))))</f>
        <v>-28600.000000000004</v>
      </c>
      <c r="EU80" s="427">
        <f>-IF(EU$9&lt;'Operating Assumptions'!$D$53,0,IF(EU$6&gt;'Operating Assumptions'!$AA$8,0,IF('Operating Assumptions'!$L8="N/A",0,IF('Operating Assumptions'!$L8="$/Unit/Annual",(('Operating Assumptions'!$M8*EU$25)*EU$36)/12,IF('Operating Assumptions'!$L8="$/Unit/Month",('Operating Assumptions'!$M8*EU$25)*EU$36,IF('Operating Assumptions'!$L8="Fixed Amount",('Operating Assumptions'!$M8*EU$25)/12,IF('Operating Assumptions'!$L8="$/GSF",(('Operating Assumptions'!$M8*EU$25)*'Operating Assumptions'!$D$11)/12,IF('Operating Assumptions'!$L8="$/NSF",(('Operating Assumptions'!$M8*EU$25)*'Operating Assumptions'!$D$12)/12))))))))</f>
        <v>-28600.000000000004</v>
      </c>
      <c r="EV80" s="427">
        <f>-IF(EV$9&lt;'Operating Assumptions'!$D$53,0,IF(EV$6&gt;'Operating Assumptions'!$AA$8,0,IF('Operating Assumptions'!$L8="N/A",0,IF('Operating Assumptions'!$L8="$/Unit/Annual",(('Operating Assumptions'!$M8*EV$25)*EV$36)/12,IF('Operating Assumptions'!$L8="$/Unit/Month",('Operating Assumptions'!$M8*EV$25)*EV$36,IF('Operating Assumptions'!$L8="Fixed Amount",('Operating Assumptions'!$M8*EV$25)/12,IF('Operating Assumptions'!$L8="$/GSF",(('Operating Assumptions'!$M8*EV$25)*'Operating Assumptions'!$D$11)/12,IF('Operating Assumptions'!$L8="$/NSF",(('Operating Assumptions'!$M8*EV$25)*'Operating Assumptions'!$D$12)/12))))))))</f>
        <v>0</v>
      </c>
      <c r="EW80" s="427">
        <f>-IF(EW$9&lt;'Operating Assumptions'!$D$53,0,IF(EW$6&gt;'Operating Assumptions'!$AA$8,0,IF('Operating Assumptions'!$L8="N/A",0,IF('Operating Assumptions'!$L8="$/Unit/Annual",(('Operating Assumptions'!$M8*EW$25)*EW$36)/12,IF('Operating Assumptions'!$L8="$/Unit/Month",('Operating Assumptions'!$M8*EW$25)*EW$36,IF('Operating Assumptions'!$L8="Fixed Amount",('Operating Assumptions'!$M8*EW$25)/12,IF('Operating Assumptions'!$L8="$/GSF",(('Operating Assumptions'!$M8*EW$25)*'Operating Assumptions'!$D$11)/12,IF('Operating Assumptions'!$L8="$/NSF",(('Operating Assumptions'!$M8*EW$25)*'Operating Assumptions'!$D$12)/12))))))))</f>
        <v>0</v>
      </c>
      <c r="EX80" s="427">
        <f>-IF(EX$9&lt;'Operating Assumptions'!$D$53,0,IF(EX$6&gt;'Operating Assumptions'!$AA$8,0,IF('Operating Assumptions'!$L8="N/A",0,IF('Operating Assumptions'!$L8="$/Unit/Annual",(('Operating Assumptions'!$M8*EX$25)*EX$36)/12,IF('Operating Assumptions'!$L8="$/Unit/Month",('Operating Assumptions'!$M8*EX$25)*EX$36,IF('Operating Assumptions'!$L8="Fixed Amount",('Operating Assumptions'!$M8*EX$25)/12,IF('Operating Assumptions'!$L8="$/GSF",(('Operating Assumptions'!$M8*EX$25)*'Operating Assumptions'!$D$11)/12,IF('Operating Assumptions'!$L8="$/NSF",(('Operating Assumptions'!$M8*EX$25)*'Operating Assumptions'!$D$12)/12))))))))</f>
        <v>0</v>
      </c>
      <c r="EY80" s="427">
        <f>-IF(EY$9&lt;'Operating Assumptions'!$D$53,0,IF(EY$6&gt;'Operating Assumptions'!$AA$8,0,IF('Operating Assumptions'!$L8="N/A",0,IF('Operating Assumptions'!$L8="$/Unit/Annual",(('Operating Assumptions'!$M8*EY$25)*EY$36)/12,IF('Operating Assumptions'!$L8="$/Unit/Month",('Operating Assumptions'!$M8*EY$25)*EY$36,IF('Operating Assumptions'!$L8="Fixed Amount",('Operating Assumptions'!$M8*EY$25)/12,IF('Operating Assumptions'!$L8="$/GSF",(('Operating Assumptions'!$M8*EY$25)*'Operating Assumptions'!$D$11)/12,IF('Operating Assumptions'!$L8="$/NSF",(('Operating Assumptions'!$M8*EY$25)*'Operating Assumptions'!$D$12)/12))))))))</f>
        <v>0</v>
      </c>
      <c r="EZ80" s="427">
        <f>-IF(EZ$9&lt;'Operating Assumptions'!$D$53,0,IF(EZ$6&gt;'Operating Assumptions'!$AA$8,0,IF('Operating Assumptions'!$L8="N/A",0,IF('Operating Assumptions'!$L8="$/Unit/Annual",(('Operating Assumptions'!$M8*EZ$25)*EZ$36)/12,IF('Operating Assumptions'!$L8="$/Unit/Month",('Operating Assumptions'!$M8*EZ$25)*EZ$36,IF('Operating Assumptions'!$L8="Fixed Amount",('Operating Assumptions'!$M8*EZ$25)/12,IF('Operating Assumptions'!$L8="$/GSF",(('Operating Assumptions'!$M8*EZ$25)*'Operating Assumptions'!$D$11)/12,IF('Operating Assumptions'!$L8="$/NSF",(('Operating Assumptions'!$M8*EZ$25)*'Operating Assumptions'!$D$12)/12))))))))</f>
        <v>0</v>
      </c>
      <c r="FA80" s="427">
        <f>-IF(FA$9&lt;'Operating Assumptions'!$D$53,0,IF(FA$6&gt;'Operating Assumptions'!$AA$8,0,IF('Operating Assumptions'!$L8="N/A",0,IF('Operating Assumptions'!$L8="$/Unit/Annual",(('Operating Assumptions'!$M8*FA$25)*FA$36)/12,IF('Operating Assumptions'!$L8="$/Unit/Month",('Operating Assumptions'!$M8*FA$25)*FA$36,IF('Operating Assumptions'!$L8="Fixed Amount",('Operating Assumptions'!$M8*FA$25)/12,IF('Operating Assumptions'!$L8="$/GSF",(('Operating Assumptions'!$M8*FA$25)*'Operating Assumptions'!$D$11)/12,IF('Operating Assumptions'!$L8="$/NSF",(('Operating Assumptions'!$M8*FA$25)*'Operating Assumptions'!$D$12)/12))))))))</f>
        <v>0</v>
      </c>
      <c r="FB80" s="427">
        <f>-IF(FB$9&lt;'Operating Assumptions'!$D$53,0,IF(FB$6&gt;'Operating Assumptions'!$AA$8,0,IF('Operating Assumptions'!$L8="N/A",0,IF('Operating Assumptions'!$L8="$/Unit/Annual",(('Operating Assumptions'!$M8*FB$25)*FB$36)/12,IF('Operating Assumptions'!$L8="$/Unit/Month",('Operating Assumptions'!$M8*FB$25)*FB$36,IF('Operating Assumptions'!$L8="Fixed Amount",('Operating Assumptions'!$M8*FB$25)/12,IF('Operating Assumptions'!$L8="$/GSF",(('Operating Assumptions'!$M8*FB$25)*'Operating Assumptions'!$D$11)/12,IF('Operating Assumptions'!$L8="$/NSF",(('Operating Assumptions'!$M8*FB$25)*'Operating Assumptions'!$D$12)/12))))))))</f>
        <v>0</v>
      </c>
      <c r="FC80" s="427">
        <f>-IF(FC$9&lt;'Operating Assumptions'!$D$53,0,IF(FC$6&gt;'Operating Assumptions'!$AA$8,0,IF('Operating Assumptions'!$L8="N/A",0,IF('Operating Assumptions'!$L8="$/Unit/Annual",(('Operating Assumptions'!$M8*FC$25)*FC$36)/12,IF('Operating Assumptions'!$L8="$/Unit/Month",('Operating Assumptions'!$M8*FC$25)*FC$36,IF('Operating Assumptions'!$L8="Fixed Amount",('Operating Assumptions'!$M8*FC$25)/12,IF('Operating Assumptions'!$L8="$/GSF",(('Operating Assumptions'!$M8*FC$25)*'Operating Assumptions'!$D$11)/12,IF('Operating Assumptions'!$L8="$/NSF",(('Operating Assumptions'!$M8*FC$25)*'Operating Assumptions'!$D$12)/12))))))))</f>
        <v>0</v>
      </c>
      <c r="FD80" s="427">
        <f>-IF(FD$9&lt;'Operating Assumptions'!$D$53,0,IF(FD$6&gt;'Operating Assumptions'!$AA$8,0,IF('Operating Assumptions'!$L8="N/A",0,IF('Operating Assumptions'!$L8="$/Unit/Annual",(('Operating Assumptions'!$M8*FD$25)*FD$36)/12,IF('Operating Assumptions'!$L8="$/Unit/Month",('Operating Assumptions'!$M8*FD$25)*FD$36,IF('Operating Assumptions'!$L8="Fixed Amount",('Operating Assumptions'!$M8*FD$25)/12,IF('Operating Assumptions'!$L8="$/GSF",(('Operating Assumptions'!$M8*FD$25)*'Operating Assumptions'!$D$11)/12,IF('Operating Assumptions'!$L8="$/NSF",(('Operating Assumptions'!$M8*FD$25)*'Operating Assumptions'!$D$12)/12))))))))</f>
        <v>0</v>
      </c>
      <c r="FE80" s="427">
        <f>-IF(FE$9&lt;'Operating Assumptions'!$D$53,0,IF(FE$6&gt;'Operating Assumptions'!$AA$8,0,IF('Operating Assumptions'!$L8="N/A",0,IF('Operating Assumptions'!$L8="$/Unit/Annual",(('Operating Assumptions'!$M8*FE$25)*FE$36)/12,IF('Operating Assumptions'!$L8="$/Unit/Month",('Operating Assumptions'!$M8*FE$25)*FE$36,IF('Operating Assumptions'!$L8="Fixed Amount",('Operating Assumptions'!$M8*FE$25)/12,IF('Operating Assumptions'!$L8="$/GSF",(('Operating Assumptions'!$M8*FE$25)*'Operating Assumptions'!$D$11)/12,IF('Operating Assumptions'!$L8="$/NSF",(('Operating Assumptions'!$M8*FE$25)*'Operating Assumptions'!$D$12)/12))))))))</f>
        <v>0</v>
      </c>
      <c r="FF80" s="427">
        <f>-IF(FF$9&lt;'Operating Assumptions'!$D$53,0,IF(FF$6&gt;'Operating Assumptions'!$AA$8,0,IF('Operating Assumptions'!$L8="N/A",0,IF('Operating Assumptions'!$L8="$/Unit/Annual",(('Operating Assumptions'!$M8*FF$25)*FF$36)/12,IF('Operating Assumptions'!$L8="$/Unit/Month",('Operating Assumptions'!$M8*FF$25)*FF$36,IF('Operating Assumptions'!$L8="Fixed Amount",('Operating Assumptions'!$M8*FF$25)/12,IF('Operating Assumptions'!$L8="$/GSF",(('Operating Assumptions'!$M8*FF$25)*'Operating Assumptions'!$D$11)/12,IF('Operating Assumptions'!$L8="$/NSF",(('Operating Assumptions'!$M8*FF$25)*'Operating Assumptions'!$D$12)/12))))))))</f>
        <v>0</v>
      </c>
      <c r="FG80" s="427">
        <f>-IF(FG$9&lt;'Operating Assumptions'!$D$53,0,IF(FG$6&gt;'Operating Assumptions'!$AA$8,0,IF('Operating Assumptions'!$L8="N/A",0,IF('Operating Assumptions'!$L8="$/Unit/Annual",(('Operating Assumptions'!$M8*FG$25)*FG$36)/12,IF('Operating Assumptions'!$L8="$/Unit/Month",('Operating Assumptions'!$M8*FG$25)*FG$36,IF('Operating Assumptions'!$L8="Fixed Amount",('Operating Assumptions'!$M8*FG$25)/12,IF('Operating Assumptions'!$L8="$/GSF",(('Operating Assumptions'!$M8*FG$25)*'Operating Assumptions'!$D$11)/12,IF('Operating Assumptions'!$L8="$/NSF",(('Operating Assumptions'!$M8*FG$25)*'Operating Assumptions'!$D$12)/12))))))))</f>
        <v>0</v>
      </c>
      <c r="FH80" s="427">
        <f>-IF(FH$9&lt;'Operating Assumptions'!$D$53,0,IF(FH$6&gt;'Operating Assumptions'!$AA$8,0,IF('Operating Assumptions'!$L8="N/A",0,IF('Operating Assumptions'!$L8="$/Unit/Annual",(('Operating Assumptions'!$M8*FH$25)*FH$36)/12,IF('Operating Assumptions'!$L8="$/Unit/Month",('Operating Assumptions'!$M8*FH$25)*FH$36,IF('Operating Assumptions'!$L8="Fixed Amount",('Operating Assumptions'!$M8*FH$25)/12,IF('Operating Assumptions'!$L8="$/GSF",(('Operating Assumptions'!$M8*FH$25)*'Operating Assumptions'!$D$11)/12,IF('Operating Assumptions'!$L8="$/NSF",(('Operating Assumptions'!$M8*FH$25)*'Operating Assumptions'!$D$12)/12))))))))</f>
        <v>0</v>
      </c>
      <c r="FI80" s="427">
        <f>-IF(FI$9&lt;'Operating Assumptions'!$D$53,0,IF(FI$6&gt;'Operating Assumptions'!$AA$8,0,IF('Operating Assumptions'!$L8="N/A",0,IF('Operating Assumptions'!$L8="$/Unit/Annual",(('Operating Assumptions'!$M8*FI$25)*FI$36)/12,IF('Operating Assumptions'!$L8="$/Unit/Month",('Operating Assumptions'!$M8*FI$25)*FI$36,IF('Operating Assumptions'!$L8="Fixed Amount",('Operating Assumptions'!$M8*FI$25)/12,IF('Operating Assumptions'!$L8="$/GSF",(('Operating Assumptions'!$M8*FI$25)*'Operating Assumptions'!$D$11)/12,IF('Operating Assumptions'!$L8="$/NSF",(('Operating Assumptions'!$M8*FI$25)*'Operating Assumptions'!$D$12)/12))))))))</f>
        <v>0</v>
      </c>
      <c r="FJ80" s="427">
        <f>-IF(FJ$9&lt;'Operating Assumptions'!$D$53,0,IF(FJ$6&gt;'Operating Assumptions'!$AA$8,0,IF('Operating Assumptions'!$L8="N/A",0,IF('Operating Assumptions'!$L8="$/Unit/Annual",(('Operating Assumptions'!$M8*FJ$25)*FJ$36)/12,IF('Operating Assumptions'!$L8="$/Unit/Month",('Operating Assumptions'!$M8*FJ$25)*FJ$36,IF('Operating Assumptions'!$L8="Fixed Amount",('Operating Assumptions'!$M8*FJ$25)/12,IF('Operating Assumptions'!$L8="$/GSF",(('Operating Assumptions'!$M8*FJ$25)*'Operating Assumptions'!$D$11)/12,IF('Operating Assumptions'!$L8="$/NSF",(('Operating Assumptions'!$M8*FJ$25)*'Operating Assumptions'!$D$12)/12))))))))</f>
        <v>0</v>
      </c>
      <c r="FK80" s="427">
        <f>-IF(FK$9&lt;'Operating Assumptions'!$D$53,0,IF(FK$6&gt;'Operating Assumptions'!$AA$8,0,IF('Operating Assumptions'!$L8="N/A",0,IF('Operating Assumptions'!$L8="$/Unit/Annual",(('Operating Assumptions'!$M8*FK$25)*FK$36)/12,IF('Operating Assumptions'!$L8="$/Unit/Month",('Operating Assumptions'!$M8*FK$25)*FK$36,IF('Operating Assumptions'!$L8="Fixed Amount",('Operating Assumptions'!$M8*FK$25)/12,IF('Operating Assumptions'!$L8="$/GSF",(('Operating Assumptions'!$M8*FK$25)*'Operating Assumptions'!$D$11)/12,IF('Operating Assumptions'!$L8="$/NSF",(('Operating Assumptions'!$M8*FK$25)*'Operating Assumptions'!$D$12)/12))))))))</f>
        <v>0</v>
      </c>
      <c r="FL80" s="427">
        <f>-IF(FL$9&lt;'Operating Assumptions'!$D$53,0,IF(FL$6&gt;'Operating Assumptions'!$AA$8,0,IF('Operating Assumptions'!$L8="N/A",0,IF('Operating Assumptions'!$L8="$/Unit/Annual",(('Operating Assumptions'!$M8*FL$25)*FL$36)/12,IF('Operating Assumptions'!$L8="$/Unit/Month",('Operating Assumptions'!$M8*FL$25)*FL$36,IF('Operating Assumptions'!$L8="Fixed Amount",('Operating Assumptions'!$M8*FL$25)/12,IF('Operating Assumptions'!$L8="$/GSF",(('Operating Assumptions'!$M8*FL$25)*'Operating Assumptions'!$D$11)/12,IF('Operating Assumptions'!$L8="$/NSF",(('Operating Assumptions'!$M8*FL$25)*'Operating Assumptions'!$D$12)/12))))))))</f>
        <v>0</v>
      </c>
      <c r="FM80" s="427">
        <f>-IF(FM$9&lt;'Operating Assumptions'!$D$53,0,IF(FM$6&gt;'Operating Assumptions'!$AA$8,0,IF('Operating Assumptions'!$L8="N/A",0,IF('Operating Assumptions'!$L8="$/Unit/Annual",(('Operating Assumptions'!$M8*FM$25)*FM$36)/12,IF('Operating Assumptions'!$L8="$/Unit/Month",('Operating Assumptions'!$M8*FM$25)*FM$36,IF('Operating Assumptions'!$L8="Fixed Amount",('Operating Assumptions'!$M8*FM$25)/12,IF('Operating Assumptions'!$L8="$/GSF",(('Operating Assumptions'!$M8*FM$25)*'Operating Assumptions'!$D$11)/12,IF('Operating Assumptions'!$L8="$/NSF",(('Operating Assumptions'!$M8*FM$25)*'Operating Assumptions'!$D$12)/12))))))))</f>
        <v>0</v>
      </c>
      <c r="FN80" s="427">
        <f>-IF(FN$9&lt;'Operating Assumptions'!$D$53,0,IF(FN$6&gt;'Operating Assumptions'!$AA$8,0,IF('Operating Assumptions'!$L8="N/A",0,IF('Operating Assumptions'!$L8="$/Unit/Annual",(('Operating Assumptions'!$M8*FN$25)*FN$36)/12,IF('Operating Assumptions'!$L8="$/Unit/Month",('Operating Assumptions'!$M8*FN$25)*FN$36,IF('Operating Assumptions'!$L8="Fixed Amount",('Operating Assumptions'!$M8*FN$25)/12,IF('Operating Assumptions'!$L8="$/GSF",(('Operating Assumptions'!$M8*FN$25)*'Operating Assumptions'!$D$11)/12,IF('Operating Assumptions'!$L8="$/NSF",(('Operating Assumptions'!$M8*FN$25)*'Operating Assumptions'!$D$12)/12))))))))</f>
        <v>0</v>
      </c>
      <c r="FO80" s="427">
        <f>-IF(FO$9&lt;'Operating Assumptions'!$D$53,0,IF(FO$6&gt;'Operating Assumptions'!$AA$8,0,IF('Operating Assumptions'!$L8="N/A",0,IF('Operating Assumptions'!$L8="$/Unit/Annual",(('Operating Assumptions'!$M8*FO$25)*FO$36)/12,IF('Operating Assumptions'!$L8="$/Unit/Month",('Operating Assumptions'!$M8*FO$25)*FO$36,IF('Operating Assumptions'!$L8="Fixed Amount",('Operating Assumptions'!$M8*FO$25)/12,IF('Operating Assumptions'!$L8="$/GSF",(('Operating Assumptions'!$M8*FO$25)*'Operating Assumptions'!$D$11)/12,IF('Operating Assumptions'!$L8="$/NSF",(('Operating Assumptions'!$M8*FO$25)*'Operating Assumptions'!$D$12)/12))))))))</f>
        <v>0</v>
      </c>
      <c r="FP80" s="427">
        <f>-IF(FP$9&lt;'Operating Assumptions'!$D$53,0,IF(FP$6&gt;'Operating Assumptions'!$AA$8,0,IF('Operating Assumptions'!$L8="N/A",0,IF('Operating Assumptions'!$L8="$/Unit/Annual",(('Operating Assumptions'!$M8*FP$25)*FP$36)/12,IF('Operating Assumptions'!$L8="$/Unit/Month",('Operating Assumptions'!$M8*FP$25)*FP$36,IF('Operating Assumptions'!$L8="Fixed Amount",('Operating Assumptions'!$M8*FP$25)/12,IF('Operating Assumptions'!$L8="$/GSF",(('Operating Assumptions'!$M8*FP$25)*'Operating Assumptions'!$D$11)/12,IF('Operating Assumptions'!$L8="$/NSF",(('Operating Assumptions'!$M8*FP$25)*'Operating Assumptions'!$D$12)/12))))))))</f>
        <v>0</v>
      </c>
      <c r="FQ80" s="427">
        <f>-IF(FQ$9&lt;'Operating Assumptions'!$D$53,0,IF(FQ$6&gt;'Operating Assumptions'!$AA$8,0,IF('Operating Assumptions'!$L8="N/A",0,IF('Operating Assumptions'!$L8="$/Unit/Annual",(('Operating Assumptions'!$M8*FQ$25)*FQ$36)/12,IF('Operating Assumptions'!$L8="$/Unit/Month",('Operating Assumptions'!$M8*FQ$25)*FQ$36,IF('Operating Assumptions'!$L8="Fixed Amount",('Operating Assumptions'!$M8*FQ$25)/12,IF('Operating Assumptions'!$L8="$/GSF",(('Operating Assumptions'!$M8*FQ$25)*'Operating Assumptions'!$D$11)/12,IF('Operating Assumptions'!$L8="$/NSF",(('Operating Assumptions'!$M8*FQ$25)*'Operating Assumptions'!$D$12)/12))))))))</f>
        <v>0</v>
      </c>
      <c r="FR80" s="427">
        <f>-IF(FR$9&lt;'Operating Assumptions'!$D$53,0,IF(FR$6&gt;'Operating Assumptions'!$AA$8,0,IF('Operating Assumptions'!$L8="N/A",0,IF('Operating Assumptions'!$L8="$/Unit/Annual",(('Operating Assumptions'!$M8*FR$25)*FR$36)/12,IF('Operating Assumptions'!$L8="$/Unit/Month",('Operating Assumptions'!$M8*FR$25)*FR$36,IF('Operating Assumptions'!$L8="Fixed Amount",('Operating Assumptions'!$M8*FR$25)/12,IF('Operating Assumptions'!$L8="$/GSF",(('Operating Assumptions'!$M8*FR$25)*'Operating Assumptions'!$D$11)/12,IF('Operating Assumptions'!$L8="$/NSF",(('Operating Assumptions'!$M8*FR$25)*'Operating Assumptions'!$D$12)/12))))))))</f>
        <v>0</v>
      </c>
      <c r="FS80" s="427">
        <f>-IF(FS$9&lt;'Operating Assumptions'!$D$53,0,IF(FS$6&gt;'Operating Assumptions'!$AA$8,0,IF('Operating Assumptions'!$L8="N/A",0,IF('Operating Assumptions'!$L8="$/Unit/Annual",(('Operating Assumptions'!$M8*FS$25)*FS$36)/12,IF('Operating Assumptions'!$L8="$/Unit/Month",('Operating Assumptions'!$M8*FS$25)*FS$36,IF('Operating Assumptions'!$L8="Fixed Amount",('Operating Assumptions'!$M8*FS$25)/12,IF('Operating Assumptions'!$L8="$/GSF",(('Operating Assumptions'!$M8*FS$25)*'Operating Assumptions'!$D$11)/12,IF('Operating Assumptions'!$L8="$/NSF",(('Operating Assumptions'!$M8*FS$25)*'Operating Assumptions'!$D$12)/12))))))))</f>
        <v>0</v>
      </c>
      <c r="FT80" s="427">
        <f>-IF(FT$9&lt;'Operating Assumptions'!$D$53,0,IF(FT$6&gt;'Operating Assumptions'!$AA$8,0,IF('Operating Assumptions'!$L8="N/A",0,IF('Operating Assumptions'!$L8="$/Unit/Annual",(('Operating Assumptions'!$M8*FT$25)*FT$36)/12,IF('Operating Assumptions'!$L8="$/Unit/Month",('Operating Assumptions'!$M8*FT$25)*FT$36,IF('Operating Assumptions'!$L8="Fixed Amount",('Operating Assumptions'!$M8*FT$25)/12,IF('Operating Assumptions'!$L8="$/GSF",(('Operating Assumptions'!$M8*FT$25)*'Operating Assumptions'!$D$11)/12,IF('Operating Assumptions'!$L8="$/NSF",(('Operating Assumptions'!$M8*FT$25)*'Operating Assumptions'!$D$12)/12))))))))</f>
        <v>0</v>
      </c>
      <c r="FU80" s="43"/>
      <c r="FV80" s="34"/>
      <c r="FW80" s="34"/>
      <c r="FX80" s="34"/>
      <c r="FY80" s="34"/>
      <c r="FZ80" s="34"/>
    </row>
    <row r="81" spans="1:182" s="89" customFormat="1" ht="13.5" x14ac:dyDescent="0.25">
      <c r="A81" s="34"/>
      <c r="B81" s="128" t="str">
        <f>'Operating Assumptions'!K9</f>
        <v xml:space="preserve">Utilities </v>
      </c>
      <c r="C81" s="34"/>
      <c r="D81" s="34"/>
      <c r="E81" s="34"/>
      <c r="F81" s="434">
        <f t="shared" si="172"/>
        <v>-1521247.5</v>
      </c>
      <c r="G81" s="34"/>
      <c r="H81" s="427">
        <f>-IF(H$9&lt;'Operating Assumptions'!$D$53,0,IF(H$6&gt;'Operating Assumptions'!$AA$8,0,IF('Operating Assumptions'!$L9="N/A",0,IF('Operating Assumptions'!$L9="$/Unit/Annual",(('Operating Assumptions'!$M9*H$25)*H$36)/12,IF('Operating Assumptions'!$L9="$/Unit/Month",('Operating Assumptions'!$M9*H$25)*H$36,IF('Operating Assumptions'!$L9="Fixed Amount",('Operating Assumptions'!$M9*H$25)/12,IF('Operating Assumptions'!$L9="$/GSF",(('Operating Assumptions'!$M9*H$25)*'Operating Assumptions'!$D$11)/12,IF('Operating Assumptions'!$L9="$/NSF",(('Operating Assumptions'!$M9*H$25)*'Operating Assumptions'!$D$12)/12))))))))</f>
        <v>0</v>
      </c>
      <c r="I81" s="427">
        <f>-IF(I$9&lt;'Operating Assumptions'!$D$53,0,IF(I$6&gt;'Operating Assumptions'!$AA$8,0,IF('Operating Assumptions'!$L9="N/A",0,IF('Operating Assumptions'!$L9="$/Unit/Annual",(('Operating Assumptions'!$M9*I$25)*I$36)/12,IF('Operating Assumptions'!$L9="$/Unit/Month",('Operating Assumptions'!$M9*I$25)*I$36,IF('Operating Assumptions'!$L9="Fixed Amount",('Operating Assumptions'!$M9*I$25)/12,IF('Operating Assumptions'!$L9="$/GSF",(('Operating Assumptions'!$M9*I$25)*'Operating Assumptions'!$D$11)/12,IF('Operating Assumptions'!$L9="$/NSF",(('Operating Assumptions'!$M9*I$25)*'Operating Assumptions'!$D$12)/12))))))))</f>
        <v>0</v>
      </c>
      <c r="J81" s="427">
        <f>-IF(J$9&lt;'Operating Assumptions'!$D$53,0,IF(J$6&gt;'Operating Assumptions'!$AA$8,0,IF('Operating Assumptions'!$L9="N/A",0,IF('Operating Assumptions'!$L9="$/Unit/Annual",(('Operating Assumptions'!$M9*J$25)*J$36)/12,IF('Operating Assumptions'!$L9="$/Unit/Month",('Operating Assumptions'!$M9*J$25)*J$36,IF('Operating Assumptions'!$L9="Fixed Amount",('Operating Assumptions'!$M9*J$25)/12,IF('Operating Assumptions'!$L9="$/GSF",(('Operating Assumptions'!$M9*J$25)*'Operating Assumptions'!$D$11)/12,IF('Operating Assumptions'!$L9="$/NSF",(('Operating Assumptions'!$M9*J$25)*'Operating Assumptions'!$D$12)/12))))))))</f>
        <v>0</v>
      </c>
      <c r="K81" s="427">
        <f>-IF(K$9&lt;'Operating Assumptions'!$D$53,0,IF(K$6&gt;'Operating Assumptions'!$AA$8,0,IF('Operating Assumptions'!$L9="N/A",0,IF('Operating Assumptions'!$L9="$/Unit/Annual",(('Operating Assumptions'!$M9*K$25)*K$36)/12,IF('Operating Assumptions'!$L9="$/Unit/Month",('Operating Assumptions'!$M9*K$25)*K$36,IF('Operating Assumptions'!$L9="Fixed Amount",('Operating Assumptions'!$M9*K$25)/12,IF('Operating Assumptions'!$L9="$/GSF",(('Operating Assumptions'!$M9*K$25)*'Operating Assumptions'!$D$11)/12,IF('Operating Assumptions'!$L9="$/NSF",(('Operating Assumptions'!$M9*K$25)*'Operating Assumptions'!$D$12)/12))))))))</f>
        <v>0</v>
      </c>
      <c r="L81" s="427">
        <f>-IF(L$9&lt;'Operating Assumptions'!$D$53,0,IF(L$6&gt;'Operating Assumptions'!$AA$8,0,IF('Operating Assumptions'!$L9="N/A",0,IF('Operating Assumptions'!$L9="$/Unit/Annual",(('Operating Assumptions'!$M9*L$25)*L$36)/12,IF('Operating Assumptions'!$L9="$/Unit/Month",('Operating Assumptions'!$M9*L$25)*L$36,IF('Operating Assumptions'!$L9="Fixed Amount",('Operating Assumptions'!$M9*L$25)/12,IF('Operating Assumptions'!$L9="$/GSF",(('Operating Assumptions'!$M9*L$25)*'Operating Assumptions'!$D$11)/12,IF('Operating Assumptions'!$L9="$/NSF",(('Operating Assumptions'!$M9*L$25)*'Operating Assumptions'!$D$12)/12))))))))</f>
        <v>0</v>
      </c>
      <c r="M81" s="427">
        <f>-IF(M$9&lt;'Operating Assumptions'!$D$53,0,IF(M$6&gt;'Operating Assumptions'!$AA$8,0,IF('Operating Assumptions'!$L9="N/A",0,IF('Operating Assumptions'!$L9="$/Unit/Annual",(('Operating Assumptions'!$M9*M$25)*M$36)/12,IF('Operating Assumptions'!$L9="$/Unit/Month",('Operating Assumptions'!$M9*M$25)*M$36,IF('Operating Assumptions'!$L9="Fixed Amount",('Operating Assumptions'!$M9*M$25)/12,IF('Operating Assumptions'!$L9="$/GSF",(('Operating Assumptions'!$M9*M$25)*'Operating Assumptions'!$D$11)/12,IF('Operating Assumptions'!$L9="$/NSF",(('Operating Assumptions'!$M9*M$25)*'Operating Assumptions'!$D$12)/12))))))))</f>
        <v>0</v>
      </c>
      <c r="N81" s="427">
        <f>-IF(N$9&lt;'Operating Assumptions'!$D$53,0,IF(N$6&gt;'Operating Assumptions'!$AA$8,0,IF('Operating Assumptions'!$L9="N/A",0,IF('Operating Assumptions'!$L9="$/Unit/Annual",(('Operating Assumptions'!$M9*N$25)*N$36)/12,IF('Operating Assumptions'!$L9="$/Unit/Month",('Operating Assumptions'!$M9*N$25)*N$36,IF('Operating Assumptions'!$L9="Fixed Amount",('Operating Assumptions'!$M9*N$25)/12,IF('Operating Assumptions'!$L9="$/GSF",(('Operating Assumptions'!$M9*N$25)*'Operating Assumptions'!$D$11)/12,IF('Operating Assumptions'!$L9="$/NSF",(('Operating Assumptions'!$M9*N$25)*'Operating Assumptions'!$D$12)/12))))))))</f>
        <v>0</v>
      </c>
      <c r="O81" s="427">
        <f>-IF(O$9&lt;'Operating Assumptions'!$D$53,0,IF(O$6&gt;'Operating Assumptions'!$AA$8,0,IF('Operating Assumptions'!$L9="N/A",0,IF('Operating Assumptions'!$L9="$/Unit/Annual",(('Operating Assumptions'!$M9*O$25)*O$36)/12,IF('Operating Assumptions'!$L9="$/Unit/Month",('Operating Assumptions'!$M9*O$25)*O$36,IF('Operating Assumptions'!$L9="Fixed Amount",('Operating Assumptions'!$M9*O$25)/12,IF('Operating Assumptions'!$L9="$/GSF",(('Operating Assumptions'!$M9*O$25)*'Operating Assumptions'!$D$11)/12,IF('Operating Assumptions'!$L9="$/NSF",(('Operating Assumptions'!$M9*O$25)*'Operating Assumptions'!$D$12)/12))))))))</f>
        <v>0</v>
      </c>
      <c r="P81" s="427">
        <f>-IF(P$9&lt;'Operating Assumptions'!$D$53,0,IF(P$6&gt;'Operating Assumptions'!$AA$8,0,IF('Operating Assumptions'!$L9="N/A",0,IF('Operating Assumptions'!$L9="$/Unit/Annual",(('Operating Assumptions'!$M9*P$25)*P$36)/12,IF('Operating Assumptions'!$L9="$/Unit/Month",('Operating Assumptions'!$M9*P$25)*P$36,IF('Operating Assumptions'!$L9="Fixed Amount",('Operating Assumptions'!$M9*P$25)/12,IF('Operating Assumptions'!$L9="$/GSF",(('Operating Assumptions'!$M9*P$25)*'Operating Assumptions'!$D$11)/12,IF('Operating Assumptions'!$L9="$/NSF",(('Operating Assumptions'!$M9*P$25)*'Operating Assumptions'!$D$12)/12))))))))</f>
        <v>0</v>
      </c>
      <c r="Q81" s="427">
        <f>-IF(Q$9&lt;'Operating Assumptions'!$D$53,0,IF(Q$6&gt;'Operating Assumptions'!$AA$8,0,IF('Operating Assumptions'!$L9="N/A",0,IF('Operating Assumptions'!$L9="$/Unit/Annual",(('Operating Assumptions'!$M9*Q$25)*Q$36)/12,IF('Operating Assumptions'!$L9="$/Unit/Month",('Operating Assumptions'!$M9*Q$25)*Q$36,IF('Operating Assumptions'!$L9="Fixed Amount",('Operating Assumptions'!$M9*Q$25)/12,IF('Operating Assumptions'!$L9="$/GSF",(('Operating Assumptions'!$M9*Q$25)*'Operating Assumptions'!$D$11)/12,IF('Operating Assumptions'!$L9="$/NSF",(('Operating Assumptions'!$M9*Q$25)*'Operating Assumptions'!$D$12)/12))))))))</f>
        <v>0</v>
      </c>
      <c r="R81" s="427">
        <f>-IF(R$9&lt;'Operating Assumptions'!$D$53,0,IF(R$6&gt;'Operating Assumptions'!$AA$8,0,IF('Operating Assumptions'!$L9="N/A",0,IF('Operating Assumptions'!$L9="$/Unit/Annual",(('Operating Assumptions'!$M9*R$25)*R$36)/12,IF('Operating Assumptions'!$L9="$/Unit/Month",('Operating Assumptions'!$M9*R$25)*R$36,IF('Operating Assumptions'!$L9="Fixed Amount",('Operating Assumptions'!$M9*R$25)/12,IF('Operating Assumptions'!$L9="$/GSF",(('Operating Assumptions'!$M9*R$25)*'Operating Assumptions'!$D$11)/12,IF('Operating Assumptions'!$L9="$/NSF",(('Operating Assumptions'!$M9*R$25)*'Operating Assumptions'!$D$12)/12))))))))</f>
        <v>0</v>
      </c>
      <c r="S81" s="427">
        <f>-IF(S$9&lt;'Operating Assumptions'!$D$53,0,IF(S$6&gt;'Operating Assumptions'!$AA$8,0,IF('Operating Assumptions'!$L9="N/A",0,IF('Operating Assumptions'!$L9="$/Unit/Annual",(('Operating Assumptions'!$M9*S$25)*S$36)/12,IF('Operating Assumptions'!$L9="$/Unit/Month",('Operating Assumptions'!$M9*S$25)*S$36,IF('Operating Assumptions'!$L9="Fixed Amount",('Operating Assumptions'!$M9*S$25)/12,IF('Operating Assumptions'!$L9="$/GSF",(('Operating Assumptions'!$M9*S$25)*'Operating Assumptions'!$D$11)/12,IF('Operating Assumptions'!$L9="$/NSF",(('Operating Assumptions'!$M9*S$25)*'Operating Assumptions'!$D$12)/12))))))))</f>
        <v>0</v>
      </c>
      <c r="T81" s="427">
        <f>-IF(T$9&lt;'Operating Assumptions'!$D$53,0,IF(T$6&gt;'Operating Assumptions'!$AA$8,0,IF('Operating Assumptions'!$L9="N/A",0,IF('Operating Assumptions'!$L9="$/Unit/Annual",(('Operating Assumptions'!$M9*T$25)*T$36)/12,IF('Operating Assumptions'!$L9="$/Unit/Month",('Operating Assumptions'!$M9*T$25)*T$36,IF('Operating Assumptions'!$L9="Fixed Amount",('Operating Assumptions'!$M9*T$25)/12,IF('Operating Assumptions'!$L9="$/GSF",(('Operating Assumptions'!$M9*T$25)*'Operating Assumptions'!$D$11)/12,IF('Operating Assumptions'!$L9="$/NSF",(('Operating Assumptions'!$M9*T$25)*'Operating Assumptions'!$D$12)/12))))))))</f>
        <v>0</v>
      </c>
      <c r="U81" s="427">
        <f>-IF(U$9&lt;'Operating Assumptions'!$D$53,0,IF(U$6&gt;'Operating Assumptions'!$AA$8,0,IF('Operating Assumptions'!$L9="N/A",0,IF('Operating Assumptions'!$L9="$/Unit/Annual",(('Operating Assumptions'!$M9*U$25)*U$36)/12,IF('Operating Assumptions'!$L9="$/Unit/Month",('Operating Assumptions'!$M9*U$25)*U$36,IF('Operating Assumptions'!$L9="Fixed Amount",('Operating Assumptions'!$M9*U$25)/12,IF('Operating Assumptions'!$L9="$/GSF",(('Operating Assumptions'!$M9*U$25)*'Operating Assumptions'!$D$11)/12,IF('Operating Assumptions'!$L9="$/NSF",(('Operating Assumptions'!$M9*U$25)*'Operating Assumptions'!$D$12)/12))))))))</f>
        <v>0</v>
      </c>
      <c r="V81" s="427">
        <f>-IF(V$9&lt;'Operating Assumptions'!$D$53,0,IF(V$6&gt;'Operating Assumptions'!$AA$8,0,IF('Operating Assumptions'!$L9="N/A",0,IF('Operating Assumptions'!$L9="$/Unit/Annual",(('Operating Assumptions'!$M9*V$25)*V$36)/12,IF('Operating Assumptions'!$L9="$/Unit/Month",('Operating Assumptions'!$M9*V$25)*V$36,IF('Operating Assumptions'!$L9="Fixed Amount",('Operating Assumptions'!$M9*V$25)/12,IF('Operating Assumptions'!$L9="$/GSF",(('Operating Assumptions'!$M9*V$25)*'Operating Assumptions'!$D$11)/12,IF('Operating Assumptions'!$L9="$/NSF",(('Operating Assumptions'!$M9*V$25)*'Operating Assumptions'!$D$12)/12))))))))</f>
        <v>0</v>
      </c>
      <c r="W81" s="427">
        <f>-IF(W$9&lt;'Operating Assumptions'!$D$53,0,IF(W$6&gt;'Operating Assumptions'!$AA$8,0,IF('Operating Assumptions'!$L9="N/A",0,IF('Operating Assumptions'!$L9="$/Unit/Annual",(('Operating Assumptions'!$M9*W$25)*W$36)/12,IF('Operating Assumptions'!$L9="$/Unit/Month",('Operating Assumptions'!$M9*W$25)*W$36,IF('Operating Assumptions'!$L9="Fixed Amount",('Operating Assumptions'!$M9*W$25)/12,IF('Operating Assumptions'!$L9="$/GSF",(('Operating Assumptions'!$M9*W$25)*'Operating Assumptions'!$D$11)/12,IF('Operating Assumptions'!$L9="$/NSF",(('Operating Assumptions'!$M9*W$25)*'Operating Assumptions'!$D$12)/12))))))))</f>
        <v>0</v>
      </c>
      <c r="X81" s="427">
        <f>-IF(X$9&lt;'Operating Assumptions'!$D$53,0,IF(X$6&gt;'Operating Assumptions'!$AA$8,0,IF('Operating Assumptions'!$L9="N/A",0,IF('Operating Assumptions'!$L9="$/Unit/Annual",(('Operating Assumptions'!$M9*X$25)*X$36)/12,IF('Operating Assumptions'!$L9="$/Unit/Month",('Operating Assumptions'!$M9*X$25)*X$36,IF('Operating Assumptions'!$L9="Fixed Amount",('Operating Assumptions'!$M9*X$25)/12,IF('Operating Assumptions'!$L9="$/GSF",(('Operating Assumptions'!$M9*X$25)*'Operating Assumptions'!$D$11)/12,IF('Operating Assumptions'!$L9="$/NSF",(('Operating Assumptions'!$M9*X$25)*'Operating Assumptions'!$D$12)/12))))))))</f>
        <v>0</v>
      </c>
      <c r="Y81" s="427">
        <f>-IF(Y$9&lt;'Operating Assumptions'!$D$53,0,IF(Y$6&gt;'Operating Assumptions'!$AA$8,0,IF('Operating Assumptions'!$L9="N/A",0,IF('Operating Assumptions'!$L9="$/Unit/Annual",(('Operating Assumptions'!$M9*Y$25)*Y$36)/12,IF('Operating Assumptions'!$L9="$/Unit/Month",('Operating Assumptions'!$M9*Y$25)*Y$36,IF('Operating Assumptions'!$L9="Fixed Amount",('Operating Assumptions'!$M9*Y$25)/12,IF('Operating Assumptions'!$L9="$/GSF",(('Operating Assumptions'!$M9*Y$25)*'Operating Assumptions'!$D$11)/12,IF('Operating Assumptions'!$L9="$/NSF",(('Operating Assumptions'!$M9*Y$25)*'Operating Assumptions'!$D$12)/12))))))))</f>
        <v>-1050</v>
      </c>
      <c r="Z81" s="427">
        <f>-IF(Z$9&lt;'Operating Assumptions'!$D$53,0,IF(Z$6&gt;'Operating Assumptions'!$AA$8,0,IF('Operating Assumptions'!$L9="N/A",0,IF('Operating Assumptions'!$L9="$/Unit/Annual",(('Operating Assumptions'!$M9*Z$25)*Z$36)/12,IF('Operating Assumptions'!$L9="$/Unit/Month",('Operating Assumptions'!$M9*Z$25)*Z$36,IF('Operating Assumptions'!$L9="Fixed Amount",('Operating Assumptions'!$M9*Z$25)/12,IF('Operating Assumptions'!$L9="$/GSF",(('Operating Assumptions'!$M9*Z$25)*'Operating Assumptions'!$D$11)/12,IF('Operating Assumptions'!$L9="$/NSF",(('Operating Assumptions'!$M9*Z$25)*'Operating Assumptions'!$D$12)/12))))))))</f>
        <v>-2050</v>
      </c>
      <c r="AA81" s="427">
        <f>-IF(AA$9&lt;'Operating Assumptions'!$D$53,0,IF(AA$6&gt;'Operating Assumptions'!$AA$8,0,IF('Operating Assumptions'!$L9="N/A",0,IF('Operating Assumptions'!$L9="$/Unit/Annual",(('Operating Assumptions'!$M9*AA$25)*AA$36)/12,IF('Operating Assumptions'!$L9="$/Unit/Month",('Operating Assumptions'!$M9*AA$25)*AA$36,IF('Operating Assumptions'!$L9="Fixed Amount",('Operating Assumptions'!$M9*AA$25)/12,IF('Operating Assumptions'!$L9="$/GSF",(('Operating Assumptions'!$M9*AA$25)*'Operating Assumptions'!$D$11)/12,IF('Operating Assumptions'!$L9="$/NSF",(('Operating Assumptions'!$M9*AA$25)*'Operating Assumptions'!$D$12)/12))))))))</f>
        <v>-3050</v>
      </c>
      <c r="AB81" s="427">
        <f>-IF(AB$9&lt;'Operating Assumptions'!$D$53,0,IF(AB$6&gt;'Operating Assumptions'!$AA$8,0,IF('Operating Assumptions'!$L9="N/A",0,IF('Operating Assumptions'!$L9="$/Unit/Annual",(('Operating Assumptions'!$M9*AB$25)*AB$36)/12,IF('Operating Assumptions'!$L9="$/Unit/Month",('Operating Assumptions'!$M9*AB$25)*AB$36,IF('Operating Assumptions'!$L9="Fixed Amount",('Operating Assumptions'!$M9*AB$25)/12,IF('Operating Assumptions'!$L9="$/GSF",(('Operating Assumptions'!$M9*AB$25)*'Operating Assumptions'!$D$11)/12,IF('Operating Assumptions'!$L9="$/NSF",(('Operating Assumptions'!$M9*AB$25)*'Operating Assumptions'!$D$12)/12))))))))</f>
        <v>-4050</v>
      </c>
      <c r="AC81" s="427">
        <f>-IF(AC$9&lt;'Operating Assumptions'!$D$53,0,IF(AC$6&gt;'Operating Assumptions'!$AA$8,0,IF('Operating Assumptions'!$L9="N/A",0,IF('Operating Assumptions'!$L9="$/Unit/Annual",(('Operating Assumptions'!$M9*AC$25)*AC$36)/12,IF('Operating Assumptions'!$L9="$/Unit/Month",('Operating Assumptions'!$M9*AC$25)*AC$36,IF('Operating Assumptions'!$L9="Fixed Amount",('Operating Assumptions'!$M9*AC$25)/12,IF('Operating Assumptions'!$L9="$/GSF",(('Operating Assumptions'!$M9*AC$25)*'Operating Assumptions'!$D$11)/12,IF('Operating Assumptions'!$L9="$/NSF",(('Operating Assumptions'!$M9*AC$25)*'Operating Assumptions'!$D$12)/12))))))))</f>
        <v>-5050</v>
      </c>
      <c r="AD81" s="427">
        <f>-IF(AD$9&lt;'Operating Assumptions'!$D$53,0,IF(AD$6&gt;'Operating Assumptions'!$AA$8,0,IF('Operating Assumptions'!$L9="N/A",0,IF('Operating Assumptions'!$L9="$/Unit/Annual",(('Operating Assumptions'!$M9*AD$25)*AD$36)/12,IF('Operating Assumptions'!$L9="$/Unit/Month",('Operating Assumptions'!$M9*AD$25)*AD$36,IF('Operating Assumptions'!$L9="Fixed Amount",('Operating Assumptions'!$M9*AD$25)/12,IF('Operating Assumptions'!$L9="$/GSF",(('Operating Assumptions'!$M9*AD$25)*'Operating Assumptions'!$D$11)/12,IF('Operating Assumptions'!$L9="$/NSF",(('Operating Assumptions'!$M9*AD$25)*'Operating Assumptions'!$D$12)/12))))))))</f>
        <v>-6050</v>
      </c>
      <c r="AE81" s="427">
        <f>-IF(AE$9&lt;'Operating Assumptions'!$D$53,0,IF(AE$6&gt;'Operating Assumptions'!$AA$8,0,IF('Operating Assumptions'!$L9="N/A",0,IF('Operating Assumptions'!$L9="$/Unit/Annual",(('Operating Assumptions'!$M9*AE$25)*AE$36)/12,IF('Operating Assumptions'!$L9="$/Unit/Month",('Operating Assumptions'!$M9*AE$25)*AE$36,IF('Operating Assumptions'!$L9="Fixed Amount",('Operating Assumptions'!$M9*AE$25)/12,IF('Operating Assumptions'!$L9="$/GSF",(('Operating Assumptions'!$M9*AE$25)*'Operating Assumptions'!$D$11)/12,IF('Operating Assumptions'!$L9="$/NSF",(('Operating Assumptions'!$M9*AE$25)*'Operating Assumptions'!$D$12)/12))))))))</f>
        <v>-6250</v>
      </c>
      <c r="AF81" s="427">
        <f>-IF(AF$9&lt;'Operating Assumptions'!$D$53,0,IF(AF$6&gt;'Operating Assumptions'!$AA$8,0,IF('Operating Assumptions'!$L9="N/A",0,IF('Operating Assumptions'!$L9="$/Unit/Annual",(('Operating Assumptions'!$M9*AF$25)*AF$36)/12,IF('Operating Assumptions'!$L9="$/Unit/Month",('Operating Assumptions'!$M9*AF$25)*AF$36,IF('Operating Assumptions'!$L9="Fixed Amount",('Operating Assumptions'!$M9*AF$25)/12,IF('Operating Assumptions'!$L9="$/GSF",(('Operating Assumptions'!$M9*AF$25)*'Operating Assumptions'!$D$11)/12,IF('Operating Assumptions'!$L9="$/NSF",(('Operating Assumptions'!$M9*AF$25)*'Operating Assumptions'!$D$12)/12))))))))</f>
        <v>-6312.5</v>
      </c>
      <c r="AG81" s="427">
        <f>-IF(AG$9&lt;'Operating Assumptions'!$D$53,0,IF(AG$6&gt;'Operating Assumptions'!$AA$8,0,IF('Operating Assumptions'!$L9="N/A",0,IF('Operating Assumptions'!$L9="$/Unit/Annual",(('Operating Assumptions'!$M9*AG$25)*AG$36)/12,IF('Operating Assumptions'!$L9="$/Unit/Month",('Operating Assumptions'!$M9*AG$25)*AG$36,IF('Operating Assumptions'!$L9="Fixed Amount",('Operating Assumptions'!$M9*AG$25)/12,IF('Operating Assumptions'!$L9="$/GSF",(('Operating Assumptions'!$M9*AG$25)*'Operating Assumptions'!$D$11)/12,IF('Operating Assumptions'!$L9="$/NSF",(('Operating Assumptions'!$M9*AG$25)*'Operating Assumptions'!$D$12)/12))))))))</f>
        <v>-6312.5</v>
      </c>
      <c r="AH81" s="427">
        <f>-IF(AH$9&lt;'Operating Assumptions'!$D$53,0,IF(AH$6&gt;'Operating Assumptions'!$AA$8,0,IF('Operating Assumptions'!$L9="N/A",0,IF('Operating Assumptions'!$L9="$/Unit/Annual",(('Operating Assumptions'!$M9*AH$25)*AH$36)/12,IF('Operating Assumptions'!$L9="$/Unit/Month",('Operating Assumptions'!$M9*AH$25)*AH$36,IF('Operating Assumptions'!$L9="Fixed Amount",('Operating Assumptions'!$M9*AH$25)/12,IF('Operating Assumptions'!$L9="$/GSF",(('Operating Assumptions'!$M9*AH$25)*'Operating Assumptions'!$D$11)/12,IF('Operating Assumptions'!$L9="$/NSF",(('Operating Assumptions'!$M9*AH$25)*'Operating Assumptions'!$D$12)/12))))))))</f>
        <v>-7322.5</v>
      </c>
      <c r="AI81" s="427">
        <f>-IF(AI$9&lt;'Operating Assumptions'!$D$53,0,IF(AI$6&gt;'Operating Assumptions'!$AA$8,0,IF('Operating Assumptions'!$L9="N/A",0,IF('Operating Assumptions'!$L9="$/Unit/Annual",(('Operating Assumptions'!$M9*AI$25)*AI$36)/12,IF('Operating Assumptions'!$L9="$/Unit/Month",('Operating Assumptions'!$M9*AI$25)*AI$36,IF('Operating Assumptions'!$L9="Fixed Amount",('Operating Assumptions'!$M9*AI$25)/12,IF('Operating Assumptions'!$L9="$/GSF",(('Operating Assumptions'!$M9*AI$25)*'Operating Assumptions'!$D$11)/12,IF('Operating Assumptions'!$L9="$/NSF",(('Operating Assumptions'!$M9*AI$25)*'Operating Assumptions'!$D$12)/12))))))))</f>
        <v>-8332.5</v>
      </c>
      <c r="AJ81" s="427">
        <f>-IF(AJ$9&lt;'Operating Assumptions'!$D$53,0,IF(AJ$6&gt;'Operating Assumptions'!$AA$8,0,IF('Operating Assumptions'!$L9="N/A",0,IF('Operating Assumptions'!$L9="$/Unit/Annual",(('Operating Assumptions'!$M9*AJ$25)*AJ$36)/12,IF('Operating Assumptions'!$L9="$/Unit/Month",('Operating Assumptions'!$M9*AJ$25)*AJ$36,IF('Operating Assumptions'!$L9="Fixed Amount",('Operating Assumptions'!$M9*AJ$25)/12,IF('Operating Assumptions'!$L9="$/GSF",(('Operating Assumptions'!$M9*AJ$25)*'Operating Assumptions'!$D$11)/12,IF('Operating Assumptions'!$L9="$/NSF",(('Operating Assumptions'!$M9*AJ$25)*'Operating Assumptions'!$D$12)/12))))))))</f>
        <v>-9342.5</v>
      </c>
      <c r="AK81" s="427">
        <f>-IF(AK$9&lt;'Operating Assumptions'!$D$53,0,IF(AK$6&gt;'Operating Assumptions'!$AA$8,0,IF('Operating Assumptions'!$L9="N/A",0,IF('Operating Assumptions'!$L9="$/Unit/Annual",(('Operating Assumptions'!$M9*AK$25)*AK$36)/12,IF('Operating Assumptions'!$L9="$/Unit/Month",('Operating Assumptions'!$M9*AK$25)*AK$36,IF('Operating Assumptions'!$L9="Fixed Amount",('Operating Assumptions'!$M9*AK$25)/12,IF('Operating Assumptions'!$L9="$/GSF",(('Operating Assumptions'!$M9*AK$25)*'Operating Assumptions'!$D$11)/12,IF('Operating Assumptions'!$L9="$/NSF",(('Operating Assumptions'!$M9*AK$25)*'Operating Assumptions'!$D$12)/12))))))))</f>
        <v>-10352.5</v>
      </c>
      <c r="AL81" s="427">
        <f>-IF(AL$9&lt;'Operating Assumptions'!$D$53,0,IF(AL$6&gt;'Operating Assumptions'!$AA$8,0,IF('Operating Assumptions'!$L9="N/A",0,IF('Operating Assumptions'!$L9="$/Unit/Annual",(('Operating Assumptions'!$M9*AL$25)*AL$36)/12,IF('Operating Assumptions'!$L9="$/Unit/Month",('Operating Assumptions'!$M9*AL$25)*AL$36,IF('Operating Assumptions'!$L9="Fixed Amount",('Operating Assumptions'!$M9*AL$25)/12,IF('Operating Assumptions'!$L9="$/GSF",(('Operating Assumptions'!$M9*AL$25)*'Operating Assumptions'!$D$11)/12,IF('Operating Assumptions'!$L9="$/NSF",(('Operating Assumptions'!$M9*AL$25)*'Operating Assumptions'!$D$12)/12))))))))</f>
        <v>-11362.5</v>
      </c>
      <c r="AM81" s="427">
        <f>-IF(AM$9&lt;'Operating Assumptions'!$D$53,0,IF(AM$6&gt;'Operating Assumptions'!$AA$8,0,IF('Operating Assumptions'!$L9="N/A",0,IF('Operating Assumptions'!$L9="$/Unit/Annual",(('Operating Assumptions'!$M9*AM$25)*AM$36)/12,IF('Operating Assumptions'!$L9="$/Unit/Month",('Operating Assumptions'!$M9*AM$25)*AM$36,IF('Operating Assumptions'!$L9="Fixed Amount",('Operating Assumptions'!$M9*AM$25)/12,IF('Operating Assumptions'!$L9="$/GSF",(('Operating Assumptions'!$M9*AM$25)*'Operating Assumptions'!$D$11)/12,IF('Operating Assumptions'!$L9="$/NSF",(('Operating Assumptions'!$M9*AM$25)*'Operating Assumptions'!$D$12)/12))))))))</f>
        <v>-12120</v>
      </c>
      <c r="AN81" s="427">
        <f>-IF(AN$9&lt;'Operating Assumptions'!$D$53,0,IF(AN$6&gt;'Operating Assumptions'!$AA$8,0,IF('Operating Assumptions'!$L9="N/A",0,IF('Operating Assumptions'!$L9="$/Unit/Annual",(('Operating Assumptions'!$M9*AN$25)*AN$36)/12,IF('Operating Assumptions'!$L9="$/Unit/Month",('Operating Assumptions'!$M9*AN$25)*AN$36,IF('Operating Assumptions'!$L9="Fixed Amount",('Operating Assumptions'!$M9*AN$25)/12,IF('Operating Assumptions'!$L9="$/GSF",(('Operating Assumptions'!$M9*AN$25)*'Operating Assumptions'!$D$11)/12,IF('Operating Assumptions'!$L9="$/NSF",(('Operating Assumptions'!$M9*AN$25)*'Operating Assumptions'!$D$12)/12))))))))</f>
        <v>-12120</v>
      </c>
      <c r="AO81" s="427">
        <f>-IF(AO$9&lt;'Operating Assumptions'!$D$53,0,IF(AO$6&gt;'Operating Assumptions'!$AA$8,0,IF('Operating Assumptions'!$L9="N/A",0,IF('Operating Assumptions'!$L9="$/Unit/Annual",(('Operating Assumptions'!$M9*AO$25)*AO$36)/12,IF('Operating Assumptions'!$L9="$/Unit/Month",('Operating Assumptions'!$M9*AO$25)*AO$36,IF('Operating Assumptions'!$L9="Fixed Amount",('Operating Assumptions'!$M9*AO$25)/12,IF('Operating Assumptions'!$L9="$/GSF",(('Operating Assumptions'!$M9*AO$25)*'Operating Assumptions'!$D$11)/12,IF('Operating Assumptions'!$L9="$/NSF",(('Operating Assumptions'!$M9*AO$25)*'Operating Assumptions'!$D$12)/12))))))))</f>
        <v>-12120</v>
      </c>
      <c r="AP81" s="427">
        <f>-IF(AP$9&lt;'Operating Assumptions'!$D$53,0,IF(AP$6&gt;'Operating Assumptions'!$AA$8,0,IF('Operating Assumptions'!$L9="N/A",0,IF('Operating Assumptions'!$L9="$/Unit/Annual",(('Operating Assumptions'!$M9*AP$25)*AP$36)/12,IF('Operating Assumptions'!$L9="$/Unit/Month",('Operating Assumptions'!$M9*AP$25)*AP$36,IF('Operating Assumptions'!$L9="Fixed Amount",('Operating Assumptions'!$M9*AP$25)/12,IF('Operating Assumptions'!$L9="$/GSF",(('Operating Assumptions'!$M9*AP$25)*'Operating Assumptions'!$D$11)/12,IF('Operating Assumptions'!$L9="$/NSF",(('Operating Assumptions'!$M9*AP$25)*'Operating Assumptions'!$D$12)/12))))))))</f>
        <v>-12120</v>
      </c>
      <c r="AQ81" s="427">
        <f>-IF(AQ$9&lt;'Operating Assumptions'!$D$53,0,IF(AQ$6&gt;'Operating Assumptions'!$AA$8,0,IF('Operating Assumptions'!$L9="N/A",0,IF('Operating Assumptions'!$L9="$/Unit/Annual",(('Operating Assumptions'!$M9*AQ$25)*AQ$36)/12,IF('Operating Assumptions'!$L9="$/Unit/Month",('Operating Assumptions'!$M9*AQ$25)*AQ$36,IF('Operating Assumptions'!$L9="Fixed Amount",('Operating Assumptions'!$M9*AQ$25)/12,IF('Operating Assumptions'!$L9="$/GSF",(('Operating Assumptions'!$M9*AQ$25)*'Operating Assumptions'!$D$11)/12,IF('Operating Assumptions'!$L9="$/NSF",(('Operating Assumptions'!$M9*AQ$25)*'Operating Assumptions'!$D$12)/12))))))))</f>
        <v>-12120</v>
      </c>
      <c r="AR81" s="427">
        <f>-IF(AR$9&lt;'Operating Assumptions'!$D$53,0,IF(AR$6&gt;'Operating Assumptions'!$AA$8,0,IF('Operating Assumptions'!$L9="N/A",0,IF('Operating Assumptions'!$L9="$/Unit/Annual",(('Operating Assumptions'!$M9*AR$25)*AR$36)/12,IF('Operating Assumptions'!$L9="$/Unit/Month",('Operating Assumptions'!$M9*AR$25)*AR$36,IF('Operating Assumptions'!$L9="Fixed Amount",('Operating Assumptions'!$M9*AR$25)/12,IF('Operating Assumptions'!$L9="$/GSF",(('Operating Assumptions'!$M9*AR$25)*'Operating Assumptions'!$D$11)/12,IF('Operating Assumptions'!$L9="$/NSF",(('Operating Assumptions'!$M9*AR$25)*'Operating Assumptions'!$D$12)/12))))))))</f>
        <v>-12240</v>
      </c>
      <c r="AS81" s="427">
        <f>-IF(AS$9&lt;'Operating Assumptions'!$D$53,0,IF(AS$6&gt;'Operating Assumptions'!$AA$8,0,IF('Operating Assumptions'!$L9="N/A",0,IF('Operating Assumptions'!$L9="$/Unit/Annual",(('Operating Assumptions'!$M9*AS$25)*AS$36)/12,IF('Operating Assumptions'!$L9="$/Unit/Month",('Operating Assumptions'!$M9*AS$25)*AS$36,IF('Operating Assumptions'!$L9="Fixed Amount",('Operating Assumptions'!$M9*AS$25)/12,IF('Operating Assumptions'!$L9="$/GSF",(('Operating Assumptions'!$M9*AS$25)*'Operating Assumptions'!$D$11)/12,IF('Operating Assumptions'!$L9="$/NSF",(('Operating Assumptions'!$M9*AS$25)*'Operating Assumptions'!$D$12)/12))))))))</f>
        <v>-12240</v>
      </c>
      <c r="AT81" s="427">
        <f>-IF(AT$9&lt;'Operating Assumptions'!$D$53,0,IF(AT$6&gt;'Operating Assumptions'!$AA$8,0,IF('Operating Assumptions'!$L9="N/A",0,IF('Operating Assumptions'!$L9="$/Unit/Annual",(('Operating Assumptions'!$M9*AT$25)*AT$36)/12,IF('Operating Assumptions'!$L9="$/Unit/Month",('Operating Assumptions'!$M9*AT$25)*AT$36,IF('Operating Assumptions'!$L9="Fixed Amount",('Operating Assumptions'!$M9*AT$25)/12,IF('Operating Assumptions'!$L9="$/GSF",(('Operating Assumptions'!$M9*AT$25)*'Operating Assumptions'!$D$11)/12,IF('Operating Assumptions'!$L9="$/NSF",(('Operating Assumptions'!$M9*AT$25)*'Operating Assumptions'!$D$12)/12))))))))</f>
        <v>-12240</v>
      </c>
      <c r="AU81" s="427">
        <f>-IF(AU$9&lt;'Operating Assumptions'!$D$53,0,IF(AU$6&gt;'Operating Assumptions'!$AA$8,0,IF('Operating Assumptions'!$L9="N/A",0,IF('Operating Assumptions'!$L9="$/Unit/Annual",(('Operating Assumptions'!$M9*AU$25)*AU$36)/12,IF('Operating Assumptions'!$L9="$/Unit/Month",('Operating Assumptions'!$M9*AU$25)*AU$36,IF('Operating Assumptions'!$L9="Fixed Amount",('Operating Assumptions'!$M9*AU$25)/12,IF('Operating Assumptions'!$L9="$/GSF",(('Operating Assumptions'!$M9*AU$25)*'Operating Assumptions'!$D$11)/12,IF('Operating Assumptions'!$L9="$/NSF",(('Operating Assumptions'!$M9*AU$25)*'Operating Assumptions'!$D$12)/12))))))))</f>
        <v>-12240</v>
      </c>
      <c r="AV81" s="427">
        <f>-IF(AV$9&lt;'Operating Assumptions'!$D$53,0,IF(AV$6&gt;'Operating Assumptions'!$AA$8,0,IF('Operating Assumptions'!$L9="N/A",0,IF('Operating Assumptions'!$L9="$/Unit/Annual",(('Operating Assumptions'!$M9*AV$25)*AV$36)/12,IF('Operating Assumptions'!$L9="$/Unit/Month",('Operating Assumptions'!$M9*AV$25)*AV$36,IF('Operating Assumptions'!$L9="Fixed Amount",('Operating Assumptions'!$M9*AV$25)/12,IF('Operating Assumptions'!$L9="$/GSF",(('Operating Assumptions'!$M9*AV$25)*'Operating Assumptions'!$D$11)/12,IF('Operating Assumptions'!$L9="$/NSF",(('Operating Assumptions'!$M9*AV$25)*'Operating Assumptions'!$D$12)/12))))))))</f>
        <v>-12240</v>
      </c>
      <c r="AW81" s="427">
        <f>-IF(AW$9&lt;'Operating Assumptions'!$D$53,0,IF(AW$6&gt;'Operating Assumptions'!$AA$8,0,IF('Operating Assumptions'!$L9="N/A",0,IF('Operating Assumptions'!$L9="$/Unit/Annual",(('Operating Assumptions'!$M9*AW$25)*AW$36)/12,IF('Operating Assumptions'!$L9="$/Unit/Month",('Operating Assumptions'!$M9*AW$25)*AW$36,IF('Operating Assumptions'!$L9="Fixed Amount",('Operating Assumptions'!$M9*AW$25)/12,IF('Operating Assumptions'!$L9="$/GSF",(('Operating Assumptions'!$M9*AW$25)*'Operating Assumptions'!$D$11)/12,IF('Operating Assumptions'!$L9="$/NSF",(('Operating Assumptions'!$M9*AW$25)*'Operating Assumptions'!$D$12)/12))))))))</f>
        <v>-12240</v>
      </c>
      <c r="AX81" s="427">
        <f>-IF(AX$9&lt;'Operating Assumptions'!$D$53,0,IF(AX$6&gt;'Operating Assumptions'!$AA$8,0,IF('Operating Assumptions'!$L9="N/A",0,IF('Operating Assumptions'!$L9="$/Unit/Annual",(('Operating Assumptions'!$M9*AX$25)*AX$36)/12,IF('Operating Assumptions'!$L9="$/Unit/Month",('Operating Assumptions'!$M9*AX$25)*AX$36,IF('Operating Assumptions'!$L9="Fixed Amount",('Operating Assumptions'!$M9*AX$25)/12,IF('Operating Assumptions'!$L9="$/GSF",(('Operating Assumptions'!$M9*AX$25)*'Operating Assumptions'!$D$11)/12,IF('Operating Assumptions'!$L9="$/NSF",(('Operating Assumptions'!$M9*AX$25)*'Operating Assumptions'!$D$12)/12))))))))</f>
        <v>-12240</v>
      </c>
      <c r="AY81" s="427">
        <f>-IF(AY$9&lt;'Operating Assumptions'!$D$53,0,IF(AY$6&gt;'Operating Assumptions'!$AA$8,0,IF('Operating Assumptions'!$L9="N/A",0,IF('Operating Assumptions'!$L9="$/Unit/Annual",(('Operating Assumptions'!$M9*AY$25)*AY$36)/12,IF('Operating Assumptions'!$L9="$/Unit/Month",('Operating Assumptions'!$M9*AY$25)*AY$36,IF('Operating Assumptions'!$L9="Fixed Amount",('Operating Assumptions'!$M9*AY$25)/12,IF('Operating Assumptions'!$L9="$/GSF",(('Operating Assumptions'!$M9*AY$25)*'Operating Assumptions'!$D$11)/12,IF('Operating Assumptions'!$L9="$/NSF",(('Operating Assumptions'!$M9*AY$25)*'Operating Assumptions'!$D$12)/12))))))))</f>
        <v>-12240</v>
      </c>
      <c r="AZ81" s="427">
        <f>-IF(AZ$9&lt;'Operating Assumptions'!$D$53,0,IF(AZ$6&gt;'Operating Assumptions'!$AA$8,0,IF('Operating Assumptions'!$L9="N/A",0,IF('Operating Assumptions'!$L9="$/Unit/Annual",(('Operating Assumptions'!$M9*AZ$25)*AZ$36)/12,IF('Operating Assumptions'!$L9="$/Unit/Month",('Operating Assumptions'!$M9*AZ$25)*AZ$36,IF('Operating Assumptions'!$L9="Fixed Amount",('Operating Assumptions'!$M9*AZ$25)/12,IF('Operating Assumptions'!$L9="$/GSF",(('Operating Assumptions'!$M9*AZ$25)*'Operating Assumptions'!$D$11)/12,IF('Operating Assumptions'!$L9="$/NSF",(('Operating Assumptions'!$M9*AZ$25)*'Operating Assumptions'!$D$12)/12))))))))</f>
        <v>-12240</v>
      </c>
      <c r="BA81" s="427">
        <f>-IF(BA$9&lt;'Operating Assumptions'!$D$53,0,IF(BA$6&gt;'Operating Assumptions'!$AA$8,0,IF('Operating Assumptions'!$L9="N/A",0,IF('Operating Assumptions'!$L9="$/Unit/Annual",(('Operating Assumptions'!$M9*BA$25)*BA$36)/12,IF('Operating Assumptions'!$L9="$/Unit/Month",('Operating Assumptions'!$M9*BA$25)*BA$36,IF('Operating Assumptions'!$L9="Fixed Amount",('Operating Assumptions'!$M9*BA$25)/12,IF('Operating Assumptions'!$L9="$/GSF",(('Operating Assumptions'!$M9*BA$25)*'Operating Assumptions'!$D$11)/12,IF('Operating Assumptions'!$L9="$/NSF",(('Operating Assumptions'!$M9*BA$25)*'Operating Assumptions'!$D$12)/12))))))))</f>
        <v>-12240</v>
      </c>
      <c r="BB81" s="427">
        <f>-IF(BB$9&lt;'Operating Assumptions'!$D$53,0,IF(BB$6&gt;'Operating Assumptions'!$AA$8,0,IF('Operating Assumptions'!$L9="N/A",0,IF('Operating Assumptions'!$L9="$/Unit/Annual",(('Operating Assumptions'!$M9*BB$25)*BB$36)/12,IF('Operating Assumptions'!$L9="$/Unit/Month",('Operating Assumptions'!$M9*BB$25)*BB$36,IF('Operating Assumptions'!$L9="Fixed Amount",('Operating Assumptions'!$M9*BB$25)/12,IF('Operating Assumptions'!$L9="$/GSF",(('Operating Assumptions'!$M9*BB$25)*'Operating Assumptions'!$D$11)/12,IF('Operating Assumptions'!$L9="$/NSF",(('Operating Assumptions'!$M9*BB$25)*'Operating Assumptions'!$D$12)/12))))))))</f>
        <v>-12240</v>
      </c>
      <c r="BC81" s="427">
        <f>-IF(BC$9&lt;'Operating Assumptions'!$D$53,0,IF(BC$6&gt;'Operating Assumptions'!$AA$8,0,IF('Operating Assumptions'!$L9="N/A",0,IF('Operating Assumptions'!$L9="$/Unit/Annual",(('Operating Assumptions'!$M9*BC$25)*BC$36)/12,IF('Operating Assumptions'!$L9="$/Unit/Month",('Operating Assumptions'!$M9*BC$25)*BC$36,IF('Operating Assumptions'!$L9="Fixed Amount",('Operating Assumptions'!$M9*BC$25)/12,IF('Operating Assumptions'!$L9="$/GSF",(('Operating Assumptions'!$M9*BC$25)*'Operating Assumptions'!$D$11)/12,IF('Operating Assumptions'!$L9="$/NSF",(('Operating Assumptions'!$M9*BC$25)*'Operating Assumptions'!$D$12)/12))))))))</f>
        <v>-12240</v>
      </c>
      <c r="BD81" s="427">
        <f>-IF(BD$9&lt;'Operating Assumptions'!$D$53,0,IF(BD$6&gt;'Operating Assumptions'!$AA$8,0,IF('Operating Assumptions'!$L9="N/A",0,IF('Operating Assumptions'!$L9="$/Unit/Annual",(('Operating Assumptions'!$M9*BD$25)*BD$36)/12,IF('Operating Assumptions'!$L9="$/Unit/Month",('Operating Assumptions'!$M9*BD$25)*BD$36,IF('Operating Assumptions'!$L9="Fixed Amount",('Operating Assumptions'!$M9*BD$25)/12,IF('Operating Assumptions'!$L9="$/GSF",(('Operating Assumptions'!$M9*BD$25)*'Operating Assumptions'!$D$11)/12,IF('Operating Assumptions'!$L9="$/NSF",(('Operating Assumptions'!$M9*BD$25)*'Operating Assumptions'!$D$12)/12))))))))</f>
        <v>-12360</v>
      </c>
      <c r="BE81" s="427">
        <f>-IF(BE$9&lt;'Operating Assumptions'!$D$53,0,IF(BE$6&gt;'Operating Assumptions'!$AA$8,0,IF('Operating Assumptions'!$L9="N/A",0,IF('Operating Assumptions'!$L9="$/Unit/Annual",(('Operating Assumptions'!$M9*BE$25)*BE$36)/12,IF('Operating Assumptions'!$L9="$/Unit/Month",('Operating Assumptions'!$M9*BE$25)*BE$36,IF('Operating Assumptions'!$L9="Fixed Amount",('Operating Assumptions'!$M9*BE$25)/12,IF('Operating Assumptions'!$L9="$/GSF",(('Operating Assumptions'!$M9*BE$25)*'Operating Assumptions'!$D$11)/12,IF('Operating Assumptions'!$L9="$/NSF",(('Operating Assumptions'!$M9*BE$25)*'Operating Assumptions'!$D$12)/12))))))))</f>
        <v>-12360</v>
      </c>
      <c r="BF81" s="427">
        <f>-IF(BF$9&lt;'Operating Assumptions'!$D$53,0,IF(BF$6&gt;'Operating Assumptions'!$AA$8,0,IF('Operating Assumptions'!$L9="N/A",0,IF('Operating Assumptions'!$L9="$/Unit/Annual",(('Operating Assumptions'!$M9*BF$25)*BF$36)/12,IF('Operating Assumptions'!$L9="$/Unit/Month",('Operating Assumptions'!$M9*BF$25)*BF$36,IF('Operating Assumptions'!$L9="Fixed Amount",('Operating Assumptions'!$M9*BF$25)/12,IF('Operating Assumptions'!$L9="$/GSF",(('Operating Assumptions'!$M9*BF$25)*'Operating Assumptions'!$D$11)/12,IF('Operating Assumptions'!$L9="$/NSF",(('Operating Assumptions'!$M9*BF$25)*'Operating Assumptions'!$D$12)/12))))))))</f>
        <v>-12360</v>
      </c>
      <c r="BG81" s="427">
        <f>-IF(BG$9&lt;'Operating Assumptions'!$D$53,0,IF(BG$6&gt;'Operating Assumptions'!$AA$8,0,IF('Operating Assumptions'!$L9="N/A",0,IF('Operating Assumptions'!$L9="$/Unit/Annual",(('Operating Assumptions'!$M9*BG$25)*BG$36)/12,IF('Operating Assumptions'!$L9="$/Unit/Month",('Operating Assumptions'!$M9*BG$25)*BG$36,IF('Operating Assumptions'!$L9="Fixed Amount",('Operating Assumptions'!$M9*BG$25)/12,IF('Operating Assumptions'!$L9="$/GSF",(('Operating Assumptions'!$M9*BG$25)*'Operating Assumptions'!$D$11)/12,IF('Operating Assumptions'!$L9="$/NSF",(('Operating Assumptions'!$M9*BG$25)*'Operating Assumptions'!$D$12)/12))))))))</f>
        <v>-12360</v>
      </c>
      <c r="BH81" s="427">
        <f>-IF(BH$9&lt;'Operating Assumptions'!$D$53,0,IF(BH$6&gt;'Operating Assumptions'!$AA$8,0,IF('Operating Assumptions'!$L9="N/A",0,IF('Operating Assumptions'!$L9="$/Unit/Annual",(('Operating Assumptions'!$M9*BH$25)*BH$36)/12,IF('Operating Assumptions'!$L9="$/Unit/Month",('Operating Assumptions'!$M9*BH$25)*BH$36,IF('Operating Assumptions'!$L9="Fixed Amount",('Operating Assumptions'!$M9*BH$25)/12,IF('Operating Assumptions'!$L9="$/GSF",(('Operating Assumptions'!$M9*BH$25)*'Operating Assumptions'!$D$11)/12,IF('Operating Assumptions'!$L9="$/NSF",(('Operating Assumptions'!$M9*BH$25)*'Operating Assumptions'!$D$12)/12))))))))</f>
        <v>-12360</v>
      </c>
      <c r="BI81" s="427">
        <f>-IF(BI$9&lt;'Operating Assumptions'!$D$53,0,IF(BI$6&gt;'Operating Assumptions'!$AA$8,0,IF('Operating Assumptions'!$L9="N/A",0,IF('Operating Assumptions'!$L9="$/Unit/Annual",(('Operating Assumptions'!$M9*BI$25)*BI$36)/12,IF('Operating Assumptions'!$L9="$/Unit/Month",('Operating Assumptions'!$M9*BI$25)*BI$36,IF('Operating Assumptions'!$L9="Fixed Amount",('Operating Assumptions'!$M9*BI$25)/12,IF('Operating Assumptions'!$L9="$/GSF",(('Operating Assumptions'!$M9*BI$25)*'Operating Assumptions'!$D$11)/12,IF('Operating Assumptions'!$L9="$/NSF",(('Operating Assumptions'!$M9*BI$25)*'Operating Assumptions'!$D$12)/12))))))))</f>
        <v>-12360</v>
      </c>
      <c r="BJ81" s="427">
        <f>-IF(BJ$9&lt;'Operating Assumptions'!$D$53,0,IF(BJ$6&gt;'Operating Assumptions'!$AA$8,0,IF('Operating Assumptions'!$L9="N/A",0,IF('Operating Assumptions'!$L9="$/Unit/Annual",(('Operating Assumptions'!$M9*BJ$25)*BJ$36)/12,IF('Operating Assumptions'!$L9="$/Unit/Month",('Operating Assumptions'!$M9*BJ$25)*BJ$36,IF('Operating Assumptions'!$L9="Fixed Amount",('Operating Assumptions'!$M9*BJ$25)/12,IF('Operating Assumptions'!$L9="$/GSF",(('Operating Assumptions'!$M9*BJ$25)*'Operating Assumptions'!$D$11)/12,IF('Operating Assumptions'!$L9="$/NSF",(('Operating Assumptions'!$M9*BJ$25)*'Operating Assumptions'!$D$12)/12))))))))</f>
        <v>-12360</v>
      </c>
      <c r="BK81" s="427">
        <f>-IF(BK$9&lt;'Operating Assumptions'!$D$53,0,IF(BK$6&gt;'Operating Assumptions'!$AA$8,0,IF('Operating Assumptions'!$L9="N/A",0,IF('Operating Assumptions'!$L9="$/Unit/Annual",(('Operating Assumptions'!$M9*BK$25)*BK$36)/12,IF('Operating Assumptions'!$L9="$/Unit/Month",('Operating Assumptions'!$M9*BK$25)*BK$36,IF('Operating Assumptions'!$L9="Fixed Amount",('Operating Assumptions'!$M9*BK$25)/12,IF('Operating Assumptions'!$L9="$/GSF",(('Operating Assumptions'!$M9*BK$25)*'Operating Assumptions'!$D$11)/12,IF('Operating Assumptions'!$L9="$/NSF",(('Operating Assumptions'!$M9*BK$25)*'Operating Assumptions'!$D$12)/12))))))))</f>
        <v>-12360</v>
      </c>
      <c r="BL81" s="427">
        <f>-IF(BL$9&lt;'Operating Assumptions'!$D$53,0,IF(BL$6&gt;'Operating Assumptions'!$AA$8,0,IF('Operating Assumptions'!$L9="N/A",0,IF('Operating Assumptions'!$L9="$/Unit/Annual",(('Operating Assumptions'!$M9*BL$25)*BL$36)/12,IF('Operating Assumptions'!$L9="$/Unit/Month",('Operating Assumptions'!$M9*BL$25)*BL$36,IF('Operating Assumptions'!$L9="Fixed Amount",('Operating Assumptions'!$M9*BL$25)/12,IF('Operating Assumptions'!$L9="$/GSF",(('Operating Assumptions'!$M9*BL$25)*'Operating Assumptions'!$D$11)/12,IF('Operating Assumptions'!$L9="$/NSF",(('Operating Assumptions'!$M9*BL$25)*'Operating Assumptions'!$D$12)/12))))))))</f>
        <v>-12360</v>
      </c>
      <c r="BM81" s="427">
        <f>-IF(BM$9&lt;'Operating Assumptions'!$D$53,0,IF(BM$6&gt;'Operating Assumptions'!$AA$8,0,IF('Operating Assumptions'!$L9="N/A",0,IF('Operating Assumptions'!$L9="$/Unit/Annual",(('Operating Assumptions'!$M9*BM$25)*BM$36)/12,IF('Operating Assumptions'!$L9="$/Unit/Month",('Operating Assumptions'!$M9*BM$25)*BM$36,IF('Operating Assumptions'!$L9="Fixed Amount",('Operating Assumptions'!$M9*BM$25)/12,IF('Operating Assumptions'!$L9="$/GSF",(('Operating Assumptions'!$M9*BM$25)*'Operating Assumptions'!$D$11)/12,IF('Operating Assumptions'!$L9="$/NSF",(('Operating Assumptions'!$M9*BM$25)*'Operating Assumptions'!$D$12)/12))))))))</f>
        <v>-12360</v>
      </c>
      <c r="BN81" s="427">
        <f>-IF(BN$9&lt;'Operating Assumptions'!$D$53,0,IF(BN$6&gt;'Operating Assumptions'!$AA$8,0,IF('Operating Assumptions'!$L9="N/A",0,IF('Operating Assumptions'!$L9="$/Unit/Annual",(('Operating Assumptions'!$M9*BN$25)*BN$36)/12,IF('Operating Assumptions'!$L9="$/Unit/Month",('Operating Assumptions'!$M9*BN$25)*BN$36,IF('Operating Assumptions'!$L9="Fixed Amount",('Operating Assumptions'!$M9*BN$25)/12,IF('Operating Assumptions'!$L9="$/GSF",(('Operating Assumptions'!$M9*BN$25)*'Operating Assumptions'!$D$11)/12,IF('Operating Assumptions'!$L9="$/NSF",(('Operating Assumptions'!$M9*BN$25)*'Operating Assumptions'!$D$12)/12))))))))</f>
        <v>-12360</v>
      </c>
      <c r="BO81" s="427">
        <f>-IF(BO$9&lt;'Operating Assumptions'!$D$53,0,IF(BO$6&gt;'Operating Assumptions'!$AA$8,0,IF('Operating Assumptions'!$L9="N/A",0,IF('Operating Assumptions'!$L9="$/Unit/Annual",(('Operating Assumptions'!$M9*BO$25)*BO$36)/12,IF('Operating Assumptions'!$L9="$/Unit/Month",('Operating Assumptions'!$M9*BO$25)*BO$36,IF('Operating Assumptions'!$L9="Fixed Amount",('Operating Assumptions'!$M9*BO$25)/12,IF('Operating Assumptions'!$L9="$/GSF",(('Operating Assumptions'!$M9*BO$25)*'Operating Assumptions'!$D$11)/12,IF('Operating Assumptions'!$L9="$/NSF",(('Operating Assumptions'!$M9*BO$25)*'Operating Assumptions'!$D$12)/12))))))))</f>
        <v>-12360</v>
      </c>
      <c r="BP81" s="427">
        <f>-IF(BP$9&lt;'Operating Assumptions'!$D$53,0,IF(BP$6&gt;'Operating Assumptions'!$AA$8,0,IF('Operating Assumptions'!$L9="N/A",0,IF('Operating Assumptions'!$L9="$/Unit/Annual",(('Operating Assumptions'!$M9*BP$25)*BP$36)/12,IF('Operating Assumptions'!$L9="$/Unit/Month",('Operating Assumptions'!$M9*BP$25)*BP$36,IF('Operating Assumptions'!$L9="Fixed Amount",('Operating Assumptions'!$M9*BP$25)/12,IF('Operating Assumptions'!$L9="$/GSF",(('Operating Assumptions'!$M9*BP$25)*'Operating Assumptions'!$D$11)/12,IF('Operating Assumptions'!$L9="$/NSF",(('Operating Assumptions'!$M9*BP$25)*'Operating Assumptions'!$D$12)/12))))))))</f>
        <v>-12480</v>
      </c>
      <c r="BQ81" s="427">
        <f>-IF(BQ$9&lt;'Operating Assumptions'!$D$53,0,IF(BQ$6&gt;'Operating Assumptions'!$AA$8,0,IF('Operating Assumptions'!$L9="N/A",0,IF('Operating Assumptions'!$L9="$/Unit/Annual",(('Operating Assumptions'!$M9*BQ$25)*BQ$36)/12,IF('Operating Assumptions'!$L9="$/Unit/Month",('Operating Assumptions'!$M9*BQ$25)*BQ$36,IF('Operating Assumptions'!$L9="Fixed Amount",('Operating Assumptions'!$M9*BQ$25)/12,IF('Operating Assumptions'!$L9="$/GSF",(('Operating Assumptions'!$M9*BQ$25)*'Operating Assumptions'!$D$11)/12,IF('Operating Assumptions'!$L9="$/NSF",(('Operating Assumptions'!$M9*BQ$25)*'Operating Assumptions'!$D$12)/12))))))))</f>
        <v>-12480</v>
      </c>
      <c r="BR81" s="427">
        <f>-IF(BR$9&lt;'Operating Assumptions'!$D$53,0,IF(BR$6&gt;'Operating Assumptions'!$AA$8,0,IF('Operating Assumptions'!$L9="N/A",0,IF('Operating Assumptions'!$L9="$/Unit/Annual",(('Operating Assumptions'!$M9*BR$25)*BR$36)/12,IF('Operating Assumptions'!$L9="$/Unit/Month",('Operating Assumptions'!$M9*BR$25)*BR$36,IF('Operating Assumptions'!$L9="Fixed Amount",('Operating Assumptions'!$M9*BR$25)/12,IF('Operating Assumptions'!$L9="$/GSF",(('Operating Assumptions'!$M9*BR$25)*'Operating Assumptions'!$D$11)/12,IF('Operating Assumptions'!$L9="$/NSF",(('Operating Assumptions'!$M9*BR$25)*'Operating Assumptions'!$D$12)/12))))))))</f>
        <v>-12480</v>
      </c>
      <c r="BS81" s="427">
        <f>-IF(BS$9&lt;'Operating Assumptions'!$D$53,0,IF(BS$6&gt;'Operating Assumptions'!$AA$8,0,IF('Operating Assumptions'!$L9="N/A",0,IF('Operating Assumptions'!$L9="$/Unit/Annual",(('Operating Assumptions'!$M9*BS$25)*BS$36)/12,IF('Operating Assumptions'!$L9="$/Unit/Month",('Operating Assumptions'!$M9*BS$25)*BS$36,IF('Operating Assumptions'!$L9="Fixed Amount",('Operating Assumptions'!$M9*BS$25)/12,IF('Operating Assumptions'!$L9="$/GSF",(('Operating Assumptions'!$M9*BS$25)*'Operating Assumptions'!$D$11)/12,IF('Operating Assumptions'!$L9="$/NSF",(('Operating Assumptions'!$M9*BS$25)*'Operating Assumptions'!$D$12)/12))))))))</f>
        <v>-12480</v>
      </c>
      <c r="BT81" s="427">
        <f>-IF(BT$9&lt;'Operating Assumptions'!$D$53,0,IF(BT$6&gt;'Operating Assumptions'!$AA$8,0,IF('Operating Assumptions'!$L9="N/A",0,IF('Operating Assumptions'!$L9="$/Unit/Annual",(('Operating Assumptions'!$M9*BT$25)*BT$36)/12,IF('Operating Assumptions'!$L9="$/Unit/Month",('Operating Assumptions'!$M9*BT$25)*BT$36,IF('Operating Assumptions'!$L9="Fixed Amount",('Operating Assumptions'!$M9*BT$25)/12,IF('Operating Assumptions'!$L9="$/GSF",(('Operating Assumptions'!$M9*BT$25)*'Operating Assumptions'!$D$11)/12,IF('Operating Assumptions'!$L9="$/NSF",(('Operating Assumptions'!$M9*BT$25)*'Operating Assumptions'!$D$12)/12))))))))</f>
        <v>-12480</v>
      </c>
      <c r="BU81" s="427">
        <f>-IF(BU$9&lt;'Operating Assumptions'!$D$53,0,IF(BU$6&gt;'Operating Assumptions'!$AA$8,0,IF('Operating Assumptions'!$L9="N/A",0,IF('Operating Assumptions'!$L9="$/Unit/Annual",(('Operating Assumptions'!$M9*BU$25)*BU$36)/12,IF('Operating Assumptions'!$L9="$/Unit/Month",('Operating Assumptions'!$M9*BU$25)*BU$36,IF('Operating Assumptions'!$L9="Fixed Amount",('Operating Assumptions'!$M9*BU$25)/12,IF('Operating Assumptions'!$L9="$/GSF",(('Operating Assumptions'!$M9*BU$25)*'Operating Assumptions'!$D$11)/12,IF('Operating Assumptions'!$L9="$/NSF",(('Operating Assumptions'!$M9*BU$25)*'Operating Assumptions'!$D$12)/12))))))))</f>
        <v>-12480</v>
      </c>
      <c r="BV81" s="427">
        <f>-IF(BV$9&lt;'Operating Assumptions'!$D$53,0,IF(BV$6&gt;'Operating Assumptions'!$AA$8,0,IF('Operating Assumptions'!$L9="N/A",0,IF('Operating Assumptions'!$L9="$/Unit/Annual",(('Operating Assumptions'!$M9*BV$25)*BV$36)/12,IF('Operating Assumptions'!$L9="$/Unit/Month",('Operating Assumptions'!$M9*BV$25)*BV$36,IF('Operating Assumptions'!$L9="Fixed Amount",('Operating Assumptions'!$M9*BV$25)/12,IF('Operating Assumptions'!$L9="$/GSF",(('Operating Assumptions'!$M9*BV$25)*'Operating Assumptions'!$D$11)/12,IF('Operating Assumptions'!$L9="$/NSF",(('Operating Assumptions'!$M9*BV$25)*'Operating Assumptions'!$D$12)/12))))))))</f>
        <v>-12480</v>
      </c>
      <c r="BW81" s="427">
        <f>-IF(BW$9&lt;'Operating Assumptions'!$D$53,0,IF(BW$6&gt;'Operating Assumptions'!$AA$8,0,IF('Operating Assumptions'!$L9="N/A",0,IF('Operating Assumptions'!$L9="$/Unit/Annual",(('Operating Assumptions'!$M9*BW$25)*BW$36)/12,IF('Operating Assumptions'!$L9="$/Unit/Month",('Operating Assumptions'!$M9*BW$25)*BW$36,IF('Operating Assumptions'!$L9="Fixed Amount",('Operating Assumptions'!$M9*BW$25)/12,IF('Operating Assumptions'!$L9="$/GSF",(('Operating Assumptions'!$M9*BW$25)*'Operating Assumptions'!$D$11)/12,IF('Operating Assumptions'!$L9="$/NSF",(('Operating Assumptions'!$M9*BW$25)*'Operating Assumptions'!$D$12)/12))))))))</f>
        <v>-12480</v>
      </c>
      <c r="BX81" s="427">
        <f>-IF(BX$9&lt;'Operating Assumptions'!$D$53,0,IF(BX$6&gt;'Operating Assumptions'!$AA$8,0,IF('Operating Assumptions'!$L9="N/A",0,IF('Operating Assumptions'!$L9="$/Unit/Annual",(('Operating Assumptions'!$M9*BX$25)*BX$36)/12,IF('Operating Assumptions'!$L9="$/Unit/Month",('Operating Assumptions'!$M9*BX$25)*BX$36,IF('Operating Assumptions'!$L9="Fixed Amount",('Operating Assumptions'!$M9*BX$25)/12,IF('Operating Assumptions'!$L9="$/GSF",(('Operating Assumptions'!$M9*BX$25)*'Operating Assumptions'!$D$11)/12,IF('Operating Assumptions'!$L9="$/NSF",(('Operating Assumptions'!$M9*BX$25)*'Operating Assumptions'!$D$12)/12))))))))</f>
        <v>-12480</v>
      </c>
      <c r="BY81" s="427">
        <f>-IF(BY$9&lt;'Operating Assumptions'!$D$53,0,IF(BY$6&gt;'Operating Assumptions'!$AA$8,0,IF('Operating Assumptions'!$L9="N/A",0,IF('Operating Assumptions'!$L9="$/Unit/Annual",(('Operating Assumptions'!$M9*BY$25)*BY$36)/12,IF('Operating Assumptions'!$L9="$/Unit/Month",('Operating Assumptions'!$M9*BY$25)*BY$36,IF('Operating Assumptions'!$L9="Fixed Amount",('Operating Assumptions'!$M9*BY$25)/12,IF('Operating Assumptions'!$L9="$/GSF",(('Operating Assumptions'!$M9*BY$25)*'Operating Assumptions'!$D$11)/12,IF('Operating Assumptions'!$L9="$/NSF",(('Operating Assumptions'!$M9*BY$25)*'Operating Assumptions'!$D$12)/12))))))))</f>
        <v>-12480</v>
      </c>
      <c r="BZ81" s="427">
        <f>-IF(BZ$9&lt;'Operating Assumptions'!$D$53,0,IF(BZ$6&gt;'Operating Assumptions'!$AA$8,0,IF('Operating Assumptions'!$L9="N/A",0,IF('Operating Assumptions'!$L9="$/Unit/Annual",(('Operating Assumptions'!$M9*BZ$25)*BZ$36)/12,IF('Operating Assumptions'!$L9="$/Unit/Month",('Operating Assumptions'!$M9*BZ$25)*BZ$36,IF('Operating Assumptions'!$L9="Fixed Amount",('Operating Assumptions'!$M9*BZ$25)/12,IF('Operating Assumptions'!$L9="$/GSF",(('Operating Assumptions'!$M9*BZ$25)*'Operating Assumptions'!$D$11)/12,IF('Operating Assumptions'!$L9="$/NSF",(('Operating Assumptions'!$M9*BZ$25)*'Operating Assumptions'!$D$12)/12))))))))</f>
        <v>-12480</v>
      </c>
      <c r="CA81" s="427">
        <f>-IF(CA$9&lt;'Operating Assumptions'!$D$53,0,IF(CA$6&gt;'Operating Assumptions'!$AA$8,0,IF('Operating Assumptions'!$L9="N/A",0,IF('Operating Assumptions'!$L9="$/Unit/Annual",(('Operating Assumptions'!$M9*CA$25)*CA$36)/12,IF('Operating Assumptions'!$L9="$/Unit/Month",('Operating Assumptions'!$M9*CA$25)*CA$36,IF('Operating Assumptions'!$L9="Fixed Amount",('Operating Assumptions'!$M9*CA$25)/12,IF('Operating Assumptions'!$L9="$/GSF",(('Operating Assumptions'!$M9*CA$25)*'Operating Assumptions'!$D$11)/12,IF('Operating Assumptions'!$L9="$/NSF",(('Operating Assumptions'!$M9*CA$25)*'Operating Assumptions'!$D$12)/12))))))))</f>
        <v>-12480</v>
      </c>
      <c r="CB81" s="427">
        <f>-IF(CB$9&lt;'Operating Assumptions'!$D$53,0,IF(CB$6&gt;'Operating Assumptions'!$AA$8,0,IF('Operating Assumptions'!$L9="N/A",0,IF('Operating Assumptions'!$L9="$/Unit/Annual",(('Operating Assumptions'!$M9*CB$25)*CB$36)/12,IF('Operating Assumptions'!$L9="$/Unit/Month",('Operating Assumptions'!$M9*CB$25)*CB$36,IF('Operating Assumptions'!$L9="Fixed Amount",('Operating Assumptions'!$M9*CB$25)/12,IF('Operating Assumptions'!$L9="$/GSF",(('Operating Assumptions'!$M9*CB$25)*'Operating Assumptions'!$D$11)/12,IF('Operating Assumptions'!$L9="$/NSF",(('Operating Assumptions'!$M9*CB$25)*'Operating Assumptions'!$D$12)/12))))))))</f>
        <v>-12600</v>
      </c>
      <c r="CC81" s="427">
        <f>-IF(CC$9&lt;'Operating Assumptions'!$D$53,0,IF(CC$6&gt;'Operating Assumptions'!$AA$8,0,IF('Operating Assumptions'!$L9="N/A",0,IF('Operating Assumptions'!$L9="$/Unit/Annual",(('Operating Assumptions'!$M9*CC$25)*CC$36)/12,IF('Operating Assumptions'!$L9="$/Unit/Month",('Operating Assumptions'!$M9*CC$25)*CC$36,IF('Operating Assumptions'!$L9="Fixed Amount",('Operating Assumptions'!$M9*CC$25)/12,IF('Operating Assumptions'!$L9="$/GSF",(('Operating Assumptions'!$M9*CC$25)*'Operating Assumptions'!$D$11)/12,IF('Operating Assumptions'!$L9="$/NSF",(('Operating Assumptions'!$M9*CC$25)*'Operating Assumptions'!$D$12)/12))))))))</f>
        <v>-12600</v>
      </c>
      <c r="CD81" s="427">
        <f>-IF(CD$9&lt;'Operating Assumptions'!$D$53,0,IF(CD$6&gt;'Operating Assumptions'!$AA$8,0,IF('Operating Assumptions'!$L9="N/A",0,IF('Operating Assumptions'!$L9="$/Unit/Annual",(('Operating Assumptions'!$M9*CD$25)*CD$36)/12,IF('Operating Assumptions'!$L9="$/Unit/Month",('Operating Assumptions'!$M9*CD$25)*CD$36,IF('Operating Assumptions'!$L9="Fixed Amount",('Operating Assumptions'!$M9*CD$25)/12,IF('Operating Assumptions'!$L9="$/GSF",(('Operating Assumptions'!$M9*CD$25)*'Operating Assumptions'!$D$11)/12,IF('Operating Assumptions'!$L9="$/NSF",(('Operating Assumptions'!$M9*CD$25)*'Operating Assumptions'!$D$12)/12))))))))</f>
        <v>-12600</v>
      </c>
      <c r="CE81" s="427">
        <f>-IF(CE$9&lt;'Operating Assumptions'!$D$53,0,IF(CE$6&gt;'Operating Assumptions'!$AA$8,0,IF('Operating Assumptions'!$L9="N/A",0,IF('Operating Assumptions'!$L9="$/Unit/Annual",(('Operating Assumptions'!$M9*CE$25)*CE$36)/12,IF('Operating Assumptions'!$L9="$/Unit/Month",('Operating Assumptions'!$M9*CE$25)*CE$36,IF('Operating Assumptions'!$L9="Fixed Amount",('Operating Assumptions'!$M9*CE$25)/12,IF('Operating Assumptions'!$L9="$/GSF",(('Operating Assumptions'!$M9*CE$25)*'Operating Assumptions'!$D$11)/12,IF('Operating Assumptions'!$L9="$/NSF",(('Operating Assumptions'!$M9*CE$25)*'Operating Assumptions'!$D$12)/12))))))))</f>
        <v>-12600</v>
      </c>
      <c r="CF81" s="427">
        <f>-IF(CF$9&lt;'Operating Assumptions'!$D$53,0,IF(CF$6&gt;'Operating Assumptions'!$AA$8,0,IF('Operating Assumptions'!$L9="N/A",0,IF('Operating Assumptions'!$L9="$/Unit/Annual",(('Operating Assumptions'!$M9*CF$25)*CF$36)/12,IF('Operating Assumptions'!$L9="$/Unit/Month",('Operating Assumptions'!$M9*CF$25)*CF$36,IF('Operating Assumptions'!$L9="Fixed Amount",('Operating Assumptions'!$M9*CF$25)/12,IF('Operating Assumptions'!$L9="$/GSF",(('Operating Assumptions'!$M9*CF$25)*'Operating Assumptions'!$D$11)/12,IF('Operating Assumptions'!$L9="$/NSF",(('Operating Assumptions'!$M9*CF$25)*'Operating Assumptions'!$D$12)/12))))))))</f>
        <v>-12600</v>
      </c>
      <c r="CG81" s="427">
        <f>-IF(CG$9&lt;'Operating Assumptions'!$D$53,0,IF(CG$6&gt;'Operating Assumptions'!$AA$8,0,IF('Operating Assumptions'!$L9="N/A",0,IF('Operating Assumptions'!$L9="$/Unit/Annual",(('Operating Assumptions'!$M9*CG$25)*CG$36)/12,IF('Operating Assumptions'!$L9="$/Unit/Month",('Operating Assumptions'!$M9*CG$25)*CG$36,IF('Operating Assumptions'!$L9="Fixed Amount",('Operating Assumptions'!$M9*CG$25)/12,IF('Operating Assumptions'!$L9="$/GSF",(('Operating Assumptions'!$M9*CG$25)*'Operating Assumptions'!$D$11)/12,IF('Operating Assumptions'!$L9="$/NSF",(('Operating Assumptions'!$M9*CG$25)*'Operating Assumptions'!$D$12)/12))))))))</f>
        <v>-12600</v>
      </c>
      <c r="CH81" s="427">
        <f>-IF(CH$9&lt;'Operating Assumptions'!$D$53,0,IF(CH$6&gt;'Operating Assumptions'!$AA$8,0,IF('Operating Assumptions'!$L9="N/A",0,IF('Operating Assumptions'!$L9="$/Unit/Annual",(('Operating Assumptions'!$M9*CH$25)*CH$36)/12,IF('Operating Assumptions'!$L9="$/Unit/Month",('Operating Assumptions'!$M9*CH$25)*CH$36,IF('Operating Assumptions'!$L9="Fixed Amount",('Operating Assumptions'!$M9*CH$25)/12,IF('Operating Assumptions'!$L9="$/GSF",(('Operating Assumptions'!$M9*CH$25)*'Operating Assumptions'!$D$11)/12,IF('Operating Assumptions'!$L9="$/NSF",(('Operating Assumptions'!$M9*CH$25)*'Operating Assumptions'!$D$12)/12))))))))</f>
        <v>-12600</v>
      </c>
      <c r="CI81" s="427">
        <f>-IF(CI$9&lt;'Operating Assumptions'!$D$53,0,IF(CI$6&gt;'Operating Assumptions'!$AA$8,0,IF('Operating Assumptions'!$L9="N/A",0,IF('Operating Assumptions'!$L9="$/Unit/Annual",(('Operating Assumptions'!$M9*CI$25)*CI$36)/12,IF('Operating Assumptions'!$L9="$/Unit/Month",('Operating Assumptions'!$M9*CI$25)*CI$36,IF('Operating Assumptions'!$L9="Fixed Amount",('Operating Assumptions'!$M9*CI$25)/12,IF('Operating Assumptions'!$L9="$/GSF",(('Operating Assumptions'!$M9*CI$25)*'Operating Assumptions'!$D$11)/12,IF('Operating Assumptions'!$L9="$/NSF",(('Operating Assumptions'!$M9*CI$25)*'Operating Assumptions'!$D$12)/12))))))))</f>
        <v>-12600</v>
      </c>
      <c r="CJ81" s="427">
        <f>-IF(CJ$9&lt;'Operating Assumptions'!$D$53,0,IF(CJ$6&gt;'Operating Assumptions'!$AA$8,0,IF('Operating Assumptions'!$L9="N/A",0,IF('Operating Assumptions'!$L9="$/Unit/Annual",(('Operating Assumptions'!$M9*CJ$25)*CJ$36)/12,IF('Operating Assumptions'!$L9="$/Unit/Month",('Operating Assumptions'!$M9*CJ$25)*CJ$36,IF('Operating Assumptions'!$L9="Fixed Amount",('Operating Assumptions'!$M9*CJ$25)/12,IF('Operating Assumptions'!$L9="$/GSF",(('Operating Assumptions'!$M9*CJ$25)*'Operating Assumptions'!$D$11)/12,IF('Operating Assumptions'!$L9="$/NSF",(('Operating Assumptions'!$M9*CJ$25)*'Operating Assumptions'!$D$12)/12))))))))</f>
        <v>-12600</v>
      </c>
      <c r="CK81" s="427">
        <f>-IF(CK$9&lt;'Operating Assumptions'!$D$53,0,IF(CK$6&gt;'Operating Assumptions'!$AA$8,0,IF('Operating Assumptions'!$L9="N/A",0,IF('Operating Assumptions'!$L9="$/Unit/Annual",(('Operating Assumptions'!$M9*CK$25)*CK$36)/12,IF('Operating Assumptions'!$L9="$/Unit/Month",('Operating Assumptions'!$M9*CK$25)*CK$36,IF('Operating Assumptions'!$L9="Fixed Amount",('Operating Assumptions'!$M9*CK$25)/12,IF('Operating Assumptions'!$L9="$/GSF",(('Operating Assumptions'!$M9*CK$25)*'Operating Assumptions'!$D$11)/12,IF('Operating Assumptions'!$L9="$/NSF",(('Operating Assumptions'!$M9*CK$25)*'Operating Assumptions'!$D$12)/12))))))))</f>
        <v>-12600</v>
      </c>
      <c r="CL81" s="427">
        <f>-IF(CL$9&lt;'Operating Assumptions'!$D$53,0,IF(CL$6&gt;'Operating Assumptions'!$AA$8,0,IF('Operating Assumptions'!$L9="N/A",0,IF('Operating Assumptions'!$L9="$/Unit/Annual",(('Operating Assumptions'!$M9*CL$25)*CL$36)/12,IF('Operating Assumptions'!$L9="$/Unit/Month",('Operating Assumptions'!$M9*CL$25)*CL$36,IF('Operating Assumptions'!$L9="Fixed Amount",('Operating Assumptions'!$M9*CL$25)/12,IF('Operating Assumptions'!$L9="$/GSF",(('Operating Assumptions'!$M9*CL$25)*'Operating Assumptions'!$D$11)/12,IF('Operating Assumptions'!$L9="$/NSF",(('Operating Assumptions'!$M9*CL$25)*'Operating Assumptions'!$D$12)/12))))))))</f>
        <v>-12600</v>
      </c>
      <c r="CM81" s="427">
        <f>-IF(CM$9&lt;'Operating Assumptions'!$D$53,0,IF(CM$6&gt;'Operating Assumptions'!$AA$8,0,IF('Operating Assumptions'!$L9="N/A",0,IF('Operating Assumptions'!$L9="$/Unit/Annual",(('Operating Assumptions'!$M9*CM$25)*CM$36)/12,IF('Operating Assumptions'!$L9="$/Unit/Month",('Operating Assumptions'!$M9*CM$25)*CM$36,IF('Operating Assumptions'!$L9="Fixed Amount",('Operating Assumptions'!$M9*CM$25)/12,IF('Operating Assumptions'!$L9="$/GSF",(('Operating Assumptions'!$M9*CM$25)*'Operating Assumptions'!$D$11)/12,IF('Operating Assumptions'!$L9="$/NSF",(('Operating Assumptions'!$M9*CM$25)*'Operating Assumptions'!$D$12)/12))))))))</f>
        <v>-12600</v>
      </c>
      <c r="CN81" s="427">
        <f>-IF(CN$9&lt;'Operating Assumptions'!$D$53,0,IF(CN$6&gt;'Operating Assumptions'!$AA$8,0,IF('Operating Assumptions'!$L9="N/A",0,IF('Operating Assumptions'!$L9="$/Unit/Annual",(('Operating Assumptions'!$M9*CN$25)*CN$36)/12,IF('Operating Assumptions'!$L9="$/Unit/Month",('Operating Assumptions'!$M9*CN$25)*CN$36,IF('Operating Assumptions'!$L9="Fixed Amount",('Operating Assumptions'!$M9*CN$25)/12,IF('Operating Assumptions'!$L9="$/GSF",(('Operating Assumptions'!$M9*CN$25)*'Operating Assumptions'!$D$11)/12,IF('Operating Assumptions'!$L9="$/NSF",(('Operating Assumptions'!$M9*CN$25)*'Operating Assumptions'!$D$12)/12))))))))</f>
        <v>-12720</v>
      </c>
      <c r="CO81" s="427">
        <f>-IF(CO$9&lt;'Operating Assumptions'!$D$53,0,IF(CO$6&gt;'Operating Assumptions'!$AA$8,0,IF('Operating Assumptions'!$L9="N/A",0,IF('Operating Assumptions'!$L9="$/Unit/Annual",(('Operating Assumptions'!$M9*CO$25)*CO$36)/12,IF('Operating Assumptions'!$L9="$/Unit/Month",('Operating Assumptions'!$M9*CO$25)*CO$36,IF('Operating Assumptions'!$L9="Fixed Amount",('Operating Assumptions'!$M9*CO$25)/12,IF('Operating Assumptions'!$L9="$/GSF",(('Operating Assumptions'!$M9*CO$25)*'Operating Assumptions'!$D$11)/12,IF('Operating Assumptions'!$L9="$/NSF",(('Operating Assumptions'!$M9*CO$25)*'Operating Assumptions'!$D$12)/12))))))))</f>
        <v>-12720</v>
      </c>
      <c r="CP81" s="427">
        <f>-IF(CP$9&lt;'Operating Assumptions'!$D$53,0,IF(CP$6&gt;'Operating Assumptions'!$AA$8,0,IF('Operating Assumptions'!$L9="N/A",0,IF('Operating Assumptions'!$L9="$/Unit/Annual",(('Operating Assumptions'!$M9*CP$25)*CP$36)/12,IF('Operating Assumptions'!$L9="$/Unit/Month",('Operating Assumptions'!$M9*CP$25)*CP$36,IF('Operating Assumptions'!$L9="Fixed Amount",('Operating Assumptions'!$M9*CP$25)/12,IF('Operating Assumptions'!$L9="$/GSF",(('Operating Assumptions'!$M9*CP$25)*'Operating Assumptions'!$D$11)/12,IF('Operating Assumptions'!$L9="$/NSF",(('Operating Assumptions'!$M9*CP$25)*'Operating Assumptions'!$D$12)/12))))))))</f>
        <v>-12720</v>
      </c>
      <c r="CQ81" s="427">
        <f>-IF(CQ$9&lt;'Operating Assumptions'!$D$53,0,IF(CQ$6&gt;'Operating Assumptions'!$AA$8,0,IF('Operating Assumptions'!$L9="N/A",0,IF('Operating Assumptions'!$L9="$/Unit/Annual",(('Operating Assumptions'!$M9*CQ$25)*CQ$36)/12,IF('Operating Assumptions'!$L9="$/Unit/Month",('Operating Assumptions'!$M9*CQ$25)*CQ$36,IF('Operating Assumptions'!$L9="Fixed Amount",('Operating Assumptions'!$M9*CQ$25)/12,IF('Operating Assumptions'!$L9="$/GSF",(('Operating Assumptions'!$M9*CQ$25)*'Operating Assumptions'!$D$11)/12,IF('Operating Assumptions'!$L9="$/NSF",(('Operating Assumptions'!$M9*CQ$25)*'Operating Assumptions'!$D$12)/12))))))))</f>
        <v>-12720</v>
      </c>
      <c r="CR81" s="427">
        <f>-IF(CR$9&lt;'Operating Assumptions'!$D$53,0,IF(CR$6&gt;'Operating Assumptions'!$AA$8,0,IF('Operating Assumptions'!$L9="N/A",0,IF('Operating Assumptions'!$L9="$/Unit/Annual",(('Operating Assumptions'!$M9*CR$25)*CR$36)/12,IF('Operating Assumptions'!$L9="$/Unit/Month",('Operating Assumptions'!$M9*CR$25)*CR$36,IF('Operating Assumptions'!$L9="Fixed Amount",('Operating Assumptions'!$M9*CR$25)/12,IF('Operating Assumptions'!$L9="$/GSF",(('Operating Assumptions'!$M9*CR$25)*'Operating Assumptions'!$D$11)/12,IF('Operating Assumptions'!$L9="$/NSF",(('Operating Assumptions'!$M9*CR$25)*'Operating Assumptions'!$D$12)/12))))))))</f>
        <v>-12720</v>
      </c>
      <c r="CS81" s="427">
        <f>-IF(CS$9&lt;'Operating Assumptions'!$D$53,0,IF(CS$6&gt;'Operating Assumptions'!$AA$8,0,IF('Operating Assumptions'!$L9="N/A",0,IF('Operating Assumptions'!$L9="$/Unit/Annual",(('Operating Assumptions'!$M9*CS$25)*CS$36)/12,IF('Operating Assumptions'!$L9="$/Unit/Month",('Operating Assumptions'!$M9*CS$25)*CS$36,IF('Operating Assumptions'!$L9="Fixed Amount",('Operating Assumptions'!$M9*CS$25)/12,IF('Operating Assumptions'!$L9="$/GSF",(('Operating Assumptions'!$M9*CS$25)*'Operating Assumptions'!$D$11)/12,IF('Operating Assumptions'!$L9="$/NSF",(('Operating Assumptions'!$M9*CS$25)*'Operating Assumptions'!$D$12)/12))))))))</f>
        <v>-12720</v>
      </c>
      <c r="CT81" s="427">
        <f>-IF(CT$9&lt;'Operating Assumptions'!$D$53,0,IF(CT$6&gt;'Operating Assumptions'!$AA$8,0,IF('Operating Assumptions'!$L9="N/A",0,IF('Operating Assumptions'!$L9="$/Unit/Annual",(('Operating Assumptions'!$M9*CT$25)*CT$36)/12,IF('Operating Assumptions'!$L9="$/Unit/Month",('Operating Assumptions'!$M9*CT$25)*CT$36,IF('Operating Assumptions'!$L9="Fixed Amount",('Operating Assumptions'!$M9*CT$25)/12,IF('Operating Assumptions'!$L9="$/GSF",(('Operating Assumptions'!$M9*CT$25)*'Operating Assumptions'!$D$11)/12,IF('Operating Assumptions'!$L9="$/NSF",(('Operating Assumptions'!$M9*CT$25)*'Operating Assumptions'!$D$12)/12))))))))</f>
        <v>-12720</v>
      </c>
      <c r="CU81" s="427">
        <f>-IF(CU$9&lt;'Operating Assumptions'!$D$53,0,IF(CU$6&gt;'Operating Assumptions'!$AA$8,0,IF('Operating Assumptions'!$L9="N/A",0,IF('Operating Assumptions'!$L9="$/Unit/Annual",(('Operating Assumptions'!$M9*CU$25)*CU$36)/12,IF('Operating Assumptions'!$L9="$/Unit/Month",('Operating Assumptions'!$M9*CU$25)*CU$36,IF('Operating Assumptions'!$L9="Fixed Amount",('Operating Assumptions'!$M9*CU$25)/12,IF('Operating Assumptions'!$L9="$/GSF",(('Operating Assumptions'!$M9*CU$25)*'Operating Assumptions'!$D$11)/12,IF('Operating Assumptions'!$L9="$/NSF",(('Operating Assumptions'!$M9*CU$25)*'Operating Assumptions'!$D$12)/12))))))))</f>
        <v>-12720</v>
      </c>
      <c r="CV81" s="427">
        <f>-IF(CV$9&lt;'Operating Assumptions'!$D$53,0,IF(CV$6&gt;'Operating Assumptions'!$AA$8,0,IF('Operating Assumptions'!$L9="N/A",0,IF('Operating Assumptions'!$L9="$/Unit/Annual",(('Operating Assumptions'!$M9*CV$25)*CV$36)/12,IF('Operating Assumptions'!$L9="$/Unit/Month",('Operating Assumptions'!$M9*CV$25)*CV$36,IF('Operating Assumptions'!$L9="Fixed Amount",('Operating Assumptions'!$M9*CV$25)/12,IF('Operating Assumptions'!$L9="$/GSF",(('Operating Assumptions'!$M9*CV$25)*'Operating Assumptions'!$D$11)/12,IF('Operating Assumptions'!$L9="$/NSF",(('Operating Assumptions'!$M9*CV$25)*'Operating Assumptions'!$D$12)/12))))))))</f>
        <v>-12720</v>
      </c>
      <c r="CW81" s="427">
        <f>-IF(CW$9&lt;'Operating Assumptions'!$D$53,0,IF(CW$6&gt;'Operating Assumptions'!$AA$8,0,IF('Operating Assumptions'!$L9="N/A",0,IF('Operating Assumptions'!$L9="$/Unit/Annual",(('Operating Assumptions'!$M9*CW$25)*CW$36)/12,IF('Operating Assumptions'!$L9="$/Unit/Month",('Operating Assumptions'!$M9*CW$25)*CW$36,IF('Operating Assumptions'!$L9="Fixed Amount",('Operating Assumptions'!$M9*CW$25)/12,IF('Operating Assumptions'!$L9="$/GSF",(('Operating Assumptions'!$M9*CW$25)*'Operating Assumptions'!$D$11)/12,IF('Operating Assumptions'!$L9="$/NSF",(('Operating Assumptions'!$M9*CW$25)*'Operating Assumptions'!$D$12)/12))))))))</f>
        <v>-12720</v>
      </c>
      <c r="CX81" s="427">
        <f>-IF(CX$9&lt;'Operating Assumptions'!$D$53,0,IF(CX$6&gt;'Operating Assumptions'!$AA$8,0,IF('Operating Assumptions'!$L9="N/A",0,IF('Operating Assumptions'!$L9="$/Unit/Annual",(('Operating Assumptions'!$M9*CX$25)*CX$36)/12,IF('Operating Assumptions'!$L9="$/Unit/Month",('Operating Assumptions'!$M9*CX$25)*CX$36,IF('Operating Assumptions'!$L9="Fixed Amount",('Operating Assumptions'!$M9*CX$25)/12,IF('Operating Assumptions'!$L9="$/GSF",(('Operating Assumptions'!$M9*CX$25)*'Operating Assumptions'!$D$11)/12,IF('Operating Assumptions'!$L9="$/NSF",(('Operating Assumptions'!$M9*CX$25)*'Operating Assumptions'!$D$12)/12))))))))</f>
        <v>-12720</v>
      </c>
      <c r="CY81" s="427">
        <f>-IF(CY$9&lt;'Operating Assumptions'!$D$53,0,IF(CY$6&gt;'Operating Assumptions'!$AA$8,0,IF('Operating Assumptions'!$L9="N/A",0,IF('Operating Assumptions'!$L9="$/Unit/Annual",(('Operating Assumptions'!$M9*CY$25)*CY$36)/12,IF('Operating Assumptions'!$L9="$/Unit/Month",('Operating Assumptions'!$M9*CY$25)*CY$36,IF('Operating Assumptions'!$L9="Fixed Amount",('Operating Assumptions'!$M9*CY$25)/12,IF('Operating Assumptions'!$L9="$/GSF",(('Operating Assumptions'!$M9*CY$25)*'Operating Assumptions'!$D$11)/12,IF('Operating Assumptions'!$L9="$/NSF",(('Operating Assumptions'!$M9*CY$25)*'Operating Assumptions'!$D$12)/12))))))))</f>
        <v>-12720</v>
      </c>
      <c r="CZ81" s="427">
        <f>-IF(CZ$9&lt;'Operating Assumptions'!$D$53,0,IF(CZ$6&gt;'Operating Assumptions'!$AA$8,0,IF('Operating Assumptions'!$L9="N/A",0,IF('Operating Assumptions'!$L9="$/Unit/Annual",(('Operating Assumptions'!$M9*CZ$25)*CZ$36)/12,IF('Operating Assumptions'!$L9="$/Unit/Month",('Operating Assumptions'!$M9*CZ$25)*CZ$36,IF('Operating Assumptions'!$L9="Fixed Amount",('Operating Assumptions'!$M9*CZ$25)/12,IF('Operating Assumptions'!$L9="$/GSF",(('Operating Assumptions'!$M9*CZ$25)*'Operating Assumptions'!$D$11)/12,IF('Operating Assumptions'!$L9="$/NSF",(('Operating Assumptions'!$M9*CZ$25)*'Operating Assumptions'!$D$12)/12))))))))</f>
        <v>-12840</v>
      </c>
      <c r="DA81" s="427">
        <f>-IF(DA$9&lt;'Operating Assumptions'!$D$53,0,IF(DA$6&gt;'Operating Assumptions'!$AA$8,0,IF('Operating Assumptions'!$L9="N/A",0,IF('Operating Assumptions'!$L9="$/Unit/Annual",(('Operating Assumptions'!$M9*DA$25)*DA$36)/12,IF('Operating Assumptions'!$L9="$/Unit/Month",('Operating Assumptions'!$M9*DA$25)*DA$36,IF('Operating Assumptions'!$L9="Fixed Amount",('Operating Assumptions'!$M9*DA$25)/12,IF('Operating Assumptions'!$L9="$/GSF",(('Operating Assumptions'!$M9*DA$25)*'Operating Assumptions'!$D$11)/12,IF('Operating Assumptions'!$L9="$/NSF",(('Operating Assumptions'!$M9*DA$25)*'Operating Assumptions'!$D$12)/12))))))))</f>
        <v>-12840</v>
      </c>
      <c r="DB81" s="427">
        <f>-IF(DB$9&lt;'Operating Assumptions'!$D$53,0,IF(DB$6&gt;'Operating Assumptions'!$AA$8,0,IF('Operating Assumptions'!$L9="N/A",0,IF('Operating Assumptions'!$L9="$/Unit/Annual",(('Operating Assumptions'!$M9*DB$25)*DB$36)/12,IF('Operating Assumptions'!$L9="$/Unit/Month",('Operating Assumptions'!$M9*DB$25)*DB$36,IF('Operating Assumptions'!$L9="Fixed Amount",('Operating Assumptions'!$M9*DB$25)/12,IF('Operating Assumptions'!$L9="$/GSF",(('Operating Assumptions'!$M9*DB$25)*'Operating Assumptions'!$D$11)/12,IF('Operating Assumptions'!$L9="$/NSF",(('Operating Assumptions'!$M9*DB$25)*'Operating Assumptions'!$D$12)/12))))))))</f>
        <v>-12840</v>
      </c>
      <c r="DC81" s="427">
        <f>-IF(DC$9&lt;'Operating Assumptions'!$D$53,0,IF(DC$6&gt;'Operating Assumptions'!$AA$8,0,IF('Operating Assumptions'!$L9="N/A",0,IF('Operating Assumptions'!$L9="$/Unit/Annual",(('Operating Assumptions'!$M9*DC$25)*DC$36)/12,IF('Operating Assumptions'!$L9="$/Unit/Month",('Operating Assumptions'!$M9*DC$25)*DC$36,IF('Operating Assumptions'!$L9="Fixed Amount",('Operating Assumptions'!$M9*DC$25)/12,IF('Operating Assumptions'!$L9="$/GSF",(('Operating Assumptions'!$M9*DC$25)*'Operating Assumptions'!$D$11)/12,IF('Operating Assumptions'!$L9="$/NSF",(('Operating Assumptions'!$M9*DC$25)*'Operating Assumptions'!$D$12)/12))))))))</f>
        <v>-12840</v>
      </c>
      <c r="DD81" s="427">
        <f>-IF(DD$9&lt;'Operating Assumptions'!$D$53,0,IF(DD$6&gt;'Operating Assumptions'!$AA$8,0,IF('Operating Assumptions'!$L9="N/A",0,IF('Operating Assumptions'!$L9="$/Unit/Annual",(('Operating Assumptions'!$M9*DD$25)*DD$36)/12,IF('Operating Assumptions'!$L9="$/Unit/Month",('Operating Assumptions'!$M9*DD$25)*DD$36,IF('Operating Assumptions'!$L9="Fixed Amount",('Operating Assumptions'!$M9*DD$25)/12,IF('Operating Assumptions'!$L9="$/GSF",(('Operating Assumptions'!$M9*DD$25)*'Operating Assumptions'!$D$11)/12,IF('Operating Assumptions'!$L9="$/NSF",(('Operating Assumptions'!$M9*DD$25)*'Operating Assumptions'!$D$12)/12))))))))</f>
        <v>-12840</v>
      </c>
      <c r="DE81" s="427">
        <f>-IF(DE$9&lt;'Operating Assumptions'!$D$53,0,IF(DE$6&gt;'Operating Assumptions'!$AA$8,0,IF('Operating Assumptions'!$L9="N/A",0,IF('Operating Assumptions'!$L9="$/Unit/Annual",(('Operating Assumptions'!$M9*DE$25)*DE$36)/12,IF('Operating Assumptions'!$L9="$/Unit/Month",('Operating Assumptions'!$M9*DE$25)*DE$36,IF('Operating Assumptions'!$L9="Fixed Amount",('Operating Assumptions'!$M9*DE$25)/12,IF('Operating Assumptions'!$L9="$/GSF",(('Operating Assumptions'!$M9*DE$25)*'Operating Assumptions'!$D$11)/12,IF('Operating Assumptions'!$L9="$/NSF",(('Operating Assumptions'!$M9*DE$25)*'Operating Assumptions'!$D$12)/12))))))))</f>
        <v>-12840</v>
      </c>
      <c r="DF81" s="427">
        <f>-IF(DF$9&lt;'Operating Assumptions'!$D$53,0,IF(DF$6&gt;'Operating Assumptions'!$AA$8,0,IF('Operating Assumptions'!$L9="N/A",0,IF('Operating Assumptions'!$L9="$/Unit/Annual",(('Operating Assumptions'!$M9*DF$25)*DF$36)/12,IF('Operating Assumptions'!$L9="$/Unit/Month",('Operating Assumptions'!$M9*DF$25)*DF$36,IF('Operating Assumptions'!$L9="Fixed Amount",('Operating Assumptions'!$M9*DF$25)/12,IF('Operating Assumptions'!$L9="$/GSF",(('Operating Assumptions'!$M9*DF$25)*'Operating Assumptions'!$D$11)/12,IF('Operating Assumptions'!$L9="$/NSF",(('Operating Assumptions'!$M9*DF$25)*'Operating Assumptions'!$D$12)/12))))))))</f>
        <v>-12840</v>
      </c>
      <c r="DG81" s="427">
        <f>-IF(DG$9&lt;'Operating Assumptions'!$D$53,0,IF(DG$6&gt;'Operating Assumptions'!$AA$8,0,IF('Operating Assumptions'!$L9="N/A",0,IF('Operating Assumptions'!$L9="$/Unit/Annual",(('Operating Assumptions'!$M9*DG$25)*DG$36)/12,IF('Operating Assumptions'!$L9="$/Unit/Month",('Operating Assumptions'!$M9*DG$25)*DG$36,IF('Operating Assumptions'!$L9="Fixed Amount",('Operating Assumptions'!$M9*DG$25)/12,IF('Operating Assumptions'!$L9="$/GSF",(('Operating Assumptions'!$M9*DG$25)*'Operating Assumptions'!$D$11)/12,IF('Operating Assumptions'!$L9="$/NSF",(('Operating Assumptions'!$M9*DG$25)*'Operating Assumptions'!$D$12)/12))))))))</f>
        <v>-12840</v>
      </c>
      <c r="DH81" s="427">
        <f>-IF(DH$9&lt;'Operating Assumptions'!$D$53,0,IF(DH$6&gt;'Operating Assumptions'!$AA$8,0,IF('Operating Assumptions'!$L9="N/A",0,IF('Operating Assumptions'!$L9="$/Unit/Annual",(('Operating Assumptions'!$M9*DH$25)*DH$36)/12,IF('Operating Assumptions'!$L9="$/Unit/Month",('Operating Assumptions'!$M9*DH$25)*DH$36,IF('Operating Assumptions'!$L9="Fixed Amount",('Operating Assumptions'!$M9*DH$25)/12,IF('Operating Assumptions'!$L9="$/GSF",(('Operating Assumptions'!$M9*DH$25)*'Operating Assumptions'!$D$11)/12,IF('Operating Assumptions'!$L9="$/NSF",(('Operating Assumptions'!$M9*DH$25)*'Operating Assumptions'!$D$12)/12))))))))</f>
        <v>-12840</v>
      </c>
      <c r="DI81" s="427">
        <f>-IF(DI$9&lt;'Operating Assumptions'!$D$53,0,IF(DI$6&gt;'Operating Assumptions'!$AA$8,0,IF('Operating Assumptions'!$L9="N/A",0,IF('Operating Assumptions'!$L9="$/Unit/Annual",(('Operating Assumptions'!$M9*DI$25)*DI$36)/12,IF('Operating Assumptions'!$L9="$/Unit/Month",('Operating Assumptions'!$M9*DI$25)*DI$36,IF('Operating Assumptions'!$L9="Fixed Amount",('Operating Assumptions'!$M9*DI$25)/12,IF('Operating Assumptions'!$L9="$/GSF",(('Operating Assumptions'!$M9*DI$25)*'Operating Assumptions'!$D$11)/12,IF('Operating Assumptions'!$L9="$/NSF",(('Operating Assumptions'!$M9*DI$25)*'Operating Assumptions'!$D$12)/12))))))))</f>
        <v>-12840</v>
      </c>
      <c r="DJ81" s="427">
        <f>-IF(DJ$9&lt;'Operating Assumptions'!$D$53,0,IF(DJ$6&gt;'Operating Assumptions'!$AA$8,0,IF('Operating Assumptions'!$L9="N/A",0,IF('Operating Assumptions'!$L9="$/Unit/Annual",(('Operating Assumptions'!$M9*DJ$25)*DJ$36)/12,IF('Operating Assumptions'!$L9="$/Unit/Month",('Operating Assumptions'!$M9*DJ$25)*DJ$36,IF('Operating Assumptions'!$L9="Fixed Amount",('Operating Assumptions'!$M9*DJ$25)/12,IF('Operating Assumptions'!$L9="$/GSF",(('Operating Assumptions'!$M9*DJ$25)*'Operating Assumptions'!$D$11)/12,IF('Operating Assumptions'!$L9="$/NSF",(('Operating Assumptions'!$M9*DJ$25)*'Operating Assumptions'!$D$12)/12))))))))</f>
        <v>-12840</v>
      </c>
      <c r="DK81" s="427">
        <f>-IF(DK$9&lt;'Operating Assumptions'!$D$53,0,IF(DK$6&gt;'Operating Assumptions'!$AA$8,0,IF('Operating Assumptions'!$L9="N/A",0,IF('Operating Assumptions'!$L9="$/Unit/Annual",(('Operating Assumptions'!$M9*DK$25)*DK$36)/12,IF('Operating Assumptions'!$L9="$/Unit/Month",('Operating Assumptions'!$M9*DK$25)*DK$36,IF('Operating Assumptions'!$L9="Fixed Amount",('Operating Assumptions'!$M9*DK$25)/12,IF('Operating Assumptions'!$L9="$/GSF",(('Operating Assumptions'!$M9*DK$25)*'Operating Assumptions'!$D$11)/12,IF('Operating Assumptions'!$L9="$/NSF",(('Operating Assumptions'!$M9*DK$25)*'Operating Assumptions'!$D$12)/12))))))))</f>
        <v>-12840</v>
      </c>
      <c r="DL81" s="427">
        <f>-IF(DL$9&lt;'Operating Assumptions'!$D$53,0,IF(DL$6&gt;'Operating Assumptions'!$AA$8,0,IF('Operating Assumptions'!$L9="N/A",0,IF('Operating Assumptions'!$L9="$/Unit/Annual",(('Operating Assumptions'!$M9*DL$25)*DL$36)/12,IF('Operating Assumptions'!$L9="$/Unit/Month",('Operating Assumptions'!$M9*DL$25)*DL$36,IF('Operating Assumptions'!$L9="Fixed Amount",('Operating Assumptions'!$M9*DL$25)/12,IF('Operating Assumptions'!$L9="$/GSF",(('Operating Assumptions'!$M9*DL$25)*'Operating Assumptions'!$D$11)/12,IF('Operating Assumptions'!$L9="$/NSF",(('Operating Assumptions'!$M9*DL$25)*'Operating Assumptions'!$D$12)/12))))))))</f>
        <v>-12960</v>
      </c>
      <c r="DM81" s="427">
        <f>-IF(DM$9&lt;'Operating Assumptions'!$D$53,0,IF(DM$6&gt;'Operating Assumptions'!$AA$8,0,IF('Operating Assumptions'!$L9="N/A",0,IF('Operating Assumptions'!$L9="$/Unit/Annual",(('Operating Assumptions'!$M9*DM$25)*DM$36)/12,IF('Operating Assumptions'!$L9="$/Unit/Month",('Operating Assumptions'!$M9*DM$25)*DM$36,IF('Operating Assumptions'!$L9="Fixed Amount",('Operating Assumptions'!$M9*DM$25)/12,IF('Operating Assumptions'!$L9="$/GSF",(('Operating Assumptions'!$M9*DM$25)*'Operating Assumptions'!$D$11)/12,IF('Operating Assumptions'!$L9="$/NSF",(('Operating Assumptions'!$M9*DM$25)*'Operating Assumptions'!$D$12)/12))))))))</f>
        <v>-12960</v>
      </c>
      <c r="DN81" s="427">
        <f>-IF(DN$9&lt;'Operating Assumptions'!$D$53,0,IF(DN$6&gt;'Operating Assumptions'!$AA$8,0,IF('Operating Assumptions'!$L9="N/A",0,IF('Operating Assumptions'!$L9="$/Unit/Annual",(('Operating Assumptions'!$M9*DN$25)*DN$36)/12,IF('Operating Assumptions'!$L9="$/Unit/Month",('Operating Assumptions'!$M9*DN$25)*DN$36,IF('Operating Assumptions'!$L9="Fixed Amount",('Operating Assumptions'!$M9*DN$25)/12,IF('Operating Assumptions'!$L9="$/GSF",(('Operating Assumptions'!$M9*DN$25)*'Operating Assumptions'!$D$11)/12,IF('Operating Assumptions'!$L9="$/NSF",(('Operating Assumptions'!$M9*DN$25)*'Operating Assumptions'!$D$12)/12))))))))</f>
        <v>-12960</v>
      </c>
      <c r="DO81" s="427">
        <f>-IF(DO$9&lt;'Operating Assumptions'!$D$53,0,IF(DO$6&gt;'Operating Assumptions'!$AA$8,0,IF('Operating Assumptions'!$L9="N/A",0,IF('Operating Assumptions'!$L9="$/Unit/Annual",(('Operating Assumptions'!$M9*DO$25)*DO$36)/12,IF('Operating Assumptions'!$L9="$/Unit/Month",('Operating Assumptions'!$M9*DO$25)*DO$36,IF('Operating Assumptions'!$L9="Fixed Amount",('Operating Assumptions'!$M9*DO$25)/12,IF('Operating Assumptions'!$L9="$/GSF",(('Operating Assumptions'!$M9*DO$25)*'Operating Assumptions'!$D$11)/12,IF('Operating Assumptions'!$L9="$/NSF",(('Operating Assumptions'!$M9*DO$25)*'Operating Assumptions'!$D$12)/12))))))))</f>
        <v>-12960</v>
      </c>
      <c r="DP81" s="427">
        <f>-IF(DP$9&lt;'Operating Assumptions'!$D$53,0,IF(DP$6&gt;'Operating Assumptions'!$AA$8,0,IF('Operating Assumptions'!$L9="N/A",0,IF('Operating Assumptions'!$L9="$/Unit/Annual",(('Operating Assumptions'!$M9*DP$25)*DP$36)/12,IF('Operating Assumptions'!$L9="$/Unit/Month",('Operating Assumptions'!$M9*DP$25)*DP$36,IF('Operating Assumptions'!$L9="Fixed Amount",('Operating Assumptions'!$M9*DP$25)/12,IF('Operating Assumptions'!$L9="$/GSF",(('Operating Assumptions'!$M9*DP$25)*'Operating Assumptions'!$D$11)/12,IF('Operating Assumptions'!$L9="$/NSF",(('Operating Assumptions'!$M9*DP$25)*'Operating Assumptions'!$D$12)/12))))))))</f>
        <v>-12960</v>
      </c>
      <c r="DQ81" s="427">
        <f>-IF(DQ$9&lt;'Operating Assumptions'!$D$53,0,IF(DQ$6&gt;'Operating Assumptions'!$AA$8,0,IF('Operating Assumptions'!$L9="N/A",0,IF('Operating Assumptions'!$L9="$/Unit/Annual",(('Operating Assumptions'!$M9*DQ$25)*DQ$36)/12,IF('Operating Assumptions'!$L9="$/Unit/Month",('Operating Assumptions'!$M9*DQ$25)*DQ$36,IF('Operating Assumptions'!$L9="Fixed Amount",('Operating Assumptions'!$M9*DQ$25)/12,IF('Operating Assumptions'!$L9="$/GSF",(('Operating Assumptions'!$M9*DQ$25)*'Operating Assumptions'!$D$11)/12,IF('Operating Assumptions'!$L9="$/NSF",(('Operating Assumptions'!$M9*DQ$25)*'Operating Assumptions'!$D$12)/12))))))))</f>
        <v>-12960</v>
      </c>
      <c r="DR81" s="427">
        <f>-IF(DR$9&lt;'Operating Assumptions'!$D$53,0,IF(DR$6&gt;'Operating Assumptions'!$AA$8,0,IF('Operating Assumptions'!$L9="N/A",0,IF('Operating Assumptions'!$L9="$/Unit/Annual",(('Operating Assumptions'!$M9*DR$25)*DR$36)/12,IF('Operating Assumptions'!$L9="$/Unit/Month",('Operating Assumptions'!$M9*DR$25)*DR$36,IF('Operating Assumptions'!$L9="Fixed Amount",('Operating Assumptions'!$M9*DR$25)/12,IF('Operating Assumptions'!$L9="$/GSF",(('Operating Assumptions'!$M9*DR$25)*'Operating Assumptions'!$D$11)/12,IF('Operating Assumptions'!$L9="$/NSF",(('Operating Assumptions'!$M9*DR$25)*'Operating Assumptions'!$D$12)/12))))))))</f>
        <v>-12960</v>
      </c>
      <c r="DS81" s="427">
        <f>-IF(DS$9&lt;'Operating Assumptions'!$D$53,0,IF(DS$6&gt;'Operating Assumptions'!$AA$8,0,IF('Operating Assumptions'!$L9="N/A",0,IF('Operating Assumptions'!$L9="$/Unit/Annual",(('Operating Assumptions'!$M9*DS$25)*DS$36)/12,IF('Operating Assumptions'!$L9="$/Unit/Month",('Operating Assumptions'!$M9*DS$25)*DS$36,IF('Operating Assumptions'!$L9="Fixed Amount",('Operating Assumptions'!$M9*DS$25)/12,IF('Operating Assumptions'!$L9="$/GSF",(('Operating Assumptions'!$M9*DS$25)*'Operating Assumptions'!$D$11)/12,IF('Operating Assumptions'!$L9="$/NSF",(('Operating Assumptions'!$M9*DS$25)*'Operating Assumptions'!$D$12)/12))))))))</f>
        <v>-12960</v>
      </c>
      <c r="DT81" s="427">
        <f>-IF(DT$9&lt;'Operating Assumptions'!$D$53,0,IF(DT$6&gt;'Operating Assumptions'!$AA$8,0,IF('Operating Assumptions'!$L9="N/A",0,IF('Operating Assumptions'!$L9="$/Unit/Annual",(('Operating Assumptions'!$M9*DT$25)*DT$36)/12,IF('Operating Assumptions'!$L9="$/Unit/Month",('Operating Assumptions'!$M9*DT$25)*DT$36,IF('Operating Assumptions'!$L9="Fixed Amount",('Operating Assumptions'!$M9*DT$25)/12,IF('Operating Assumptions'!$L9="$/GSF",(('Operating Assumptions'!$M9*DT$25)*'Operating Assumptions'!$D$11)/12,IF('Operating Assumptions'!$L9="$/NSF",(('Operating Assumptions'!$M9*DT$25)*'Operating Assumptions'!$D$12)/12))))))))</f>
        <v>-12960</v>
      </c>
      <c r="DU81" s="427">
        <f>-IF(DU$9&lt;'Operating Assumptions'!$D$53,0,IF(DU$6&gt;'Operating Assumptions'!$AA$8,0,IF('Operating Assumptions'!$L9="N/A",0,IF('Operating Assumptions'!$L9="$/Unit/Annual",(('Operating Assumptions'!$M9*DU$25)*DU$36)/12,IF('Operating Assumptions'!$L9="$/Unit/Month",('Operating Assumptions'!$M9*DU$25)*DU$36,IF('Operating Assumptions'!$L9="Fixed Amount",('Operating Assumptions'!$M9*DU$25)/12,IF('Operating Assumptions'!$L9="$/GSF",(('Operating Assumptions'!$M9*DU$25)*'Operating Assumptions'!$D$11)/12,IF('Operating Assumptions'!$L9="$/NSF",(('Operating Assumptions'!$M9*DU$25)*'Operating Assumptions'!$D$12)/12))))))))</f>
        <v>-12960</v>
      </c>
      <c r="DV81" s="427">
        <f>-IF(DV$9&lt;'Operating Assumptions'!$D$53,0,IF(DV$6&gt;'Operating Assumptions'!$AA$8,0,IF('Operating Assumptions'!$L9="N/A",0,IF('Operating Assumptions'!$L9="$/Unit/Annual",(('Operating Assumptions'!$M9*DV$25)*DV$36)/12,IF('Operating Assumptions'!$L9="$/Unit/Month",('Operating Assumptions'!$M9*DV$25)*DV$36,IF('Operating Assumptions'!$L9="Fixed Amount",('Operating Assumptions'!$M9*DV$25)/12,IF('Operating Assumptions'!$L9="$/GSF",(('Operating Assumptions'!$M9*DV$25)*'Operating Assumptions'!$D$11)/12,IF('Operating Assumptions'!$L9="$/NSF",(('Operating Assumptions'!$M9*DV$25)*'Operating Assumptions'!$D$12)/12))))))))</f>
        <v>-12960</v>
      </c>
      <c r="DW81" s="427">
        <f>-IF(DW$9&lt;'Operating Assumptions'!$D$53,0,IF(DW$6&gt;'Operating Assumptions'!$AA$8,0,IF('Operating Assumptions'!$L9="N/A",0,IF('Operating Assumptions'!$L9="$/Unit/Annual",(('Operating Assumptions'!$M9*DW$25)*DW$36)/12,IF('Operating Assumptions'!$L9="$/Unit/Month",('Operating Assumptions'!$M9*DW$25)*DW$36,IF('Operating Assumptions'!$L9="Fixed Amount",('Operating Assumptions'!$M9*DW$25)/12,IF('Operating Assumptions'!$L9="$/GSF",(('Operating Assumptions'!$M9*DW$25)*'Operating Assumptions'!$D$11)/12,IF('Operating Assumptions'!$L9="$/NSF",(('Operating Assumptions'!$M9*DW$25)*'Operating Assumptions'!$D$12)/12))))))))</f>
        <v>-12960</v>
      </c>
      <c r="DX81" s="427">
        <f>-IF(DX$9&lt;'Operating Assumptions'!$D$53,0,IF(DX$6&gt;'Operating Assumptions'!$AA$8,0,IF('Operating Assumptions'!$L9="N/A",0,IF('Operating Assumptions'!$L9="$/Unit/Annual",(('Operating Assumptions'!$M9*DX$25)*DX$36)/12,IF('Operating Assumptions'!$L9="$/Unit/Month",('Operating Assumptions'!$M9*DX$25)*DX$36,IF('Operating Assumptions'!$L9="Fixed Amount",('Operating Assumptions'!$M9*DX$25)/12,IF('Operating Assumptions'!$L9="$/GSF",(('Operating Assumptions'!$M9*DX$25)*'Operating Assumptions'!$D$11)/12,IF('Operating Assumptions'!$L9="$/NSF",(('Operating Assumptions'!$M9*DX$25)*'Operating Assumptions'!$D$12)/12))))))))</f>
        <v>-13080</v>
      </c>
      <c r="DY81" s="427">
        <f>-IF(DY$9&lt;'Operating Assumptions'!$D$53,0,IF(DY$6&gt;'Operating Assumptions'!$AA$8,0,IF('Operating Assumptions'!$L9="N/A",0,IF('Operating Assumptions'!$L9="$/Unit/Annual",(('Operating Assumptions'!$M9*DY$25)*DY$36)/12,IF('Operating Assumptions'!$L9="$/Unit/Month",('Operating Assumptions'!$M9*DY$25)*DY$36,IF('Operating Assumptions'!$L9="Fixed Amount",('Operating Assumptions'!$M9*DY$25)/12,IF('Operating Assumptions'!$L9="$/GSF",(('Operating Assumptions'!$M9*DY$25)*'Operating Assumptions'!$D$11)/12,IF('Operating Assumptions'!$L9="$/NSF",(('Operating Assumptions'!$M9*DY$25)*'Operating Assumptions'!$D$12)/12))))))))</f>
        <v>-13080</v>
      </c>
      <c r="DZ81" s="427">
        <f>-IF(DZ$9&lt;'Operating Assumptions'!$D$53,0,IF(DZ$6&gt;'Operating Assumptions'!$AA$8,0,IF('Operating Assumptions'!$L9="N/A",0,IF('Operating Assumptions'!$L9="$/Unit/Annual",(('Operating Assumptions'!$M9*DZ$25)*DZ$36)/12,IF('Operating Assumptions'!$L9="$/Unit/Month",('Operating Assumptions'!$M9*DZ$25)*DZ$36,IF('Operating Assumptions'!$L9="Fixed Amount",('Operating Assumptions'!$M9*DZ$25)/12,IF('Operating Assumptions'!$L9="$/GSF",(('Operating Assumptions'!$M9*DZ$25)*'Operating Assumptions'!$D$11)/12,IF('Operating Assumptions'!$L9="$/NSF",(('Operating Assumptions'!$M9*DZ$25)*'Operating Assumptions'!$D$12)/12))))))))</f>
        <v>-13080</v>
      </c>
      <c r="EA81" s="427">
        <f>-IF(EA$9&lt;'Operating Assumptions'!$D$53,0,IF(EA$6&gt;'Operating Assumptions'!$AA$8,0,IF('Operating Assumptions'!$L9="N/A",0,IF('Operating Assumptions'!$L9="$/Unit/Annual",(('Operating Assumptions'!$M9*EA$25)*EA$36)/12,IF('Operating Assumptions'!$L9="$/Unit/Month",('Operating Assumptions'!$M9*EA$25)*EA$36,IF('Operating Assumptions'!$L9="Fixed Amount",('Operating Assumptions'!$M9*EA$25)/12,IF('Operating Assumptions'!$L9="$/GSF",(('Operating Assumptions'!$M9*EA$25)*'Operating Assumptions'!$D$11)/12,IF('Operating Assumptions'!$L9="$/NSF",(('Operating Assumptions'!$M9*EA$25)*'Operating Assumptions'!$D$12)/12))))))))</f>
        <v>-13080</v>
      </c>
      <c r="EB81" s="427">
        <f>-IF(EB$9&lt;'Operating Assumptions'!$D$53,0,IF(EB$6&gt;'Operating Assumptions'!$AA$8,0,IF('Operating Assumptions'!$L9="N/A",0,IF('Operating Assumptions'!$L9="$/Unit/Annual",(('Operating Assumptions'!$M9*EB$25)*EB$36)/12,IF('Operating Assumptions'!$L9="$/Unit/Month",('Operating Assumptions'!$M9*EB$25)*EB$36,IF('Operating Assumptions'!$L9="Fixed Amount",('Operating Assumptions'!$M9*EB$25)/12,IF('Operating Assumptions'!$L9="$/GSF",(('Operating Assumptions'!$M9*EB$25)*'Operating Assumptions'!$D$11)/12,IF('Operating Assumptions'!$L9="$/NSF",(('Operating Assumptions'!$M9*EB$25)*'Operating Assumptions'!$D$12)/12))))))))</f>
        <v>-13080</v>
      </c>
      <c r="EC81" s="427">
        <f>-IF(EC$9&lt;'Operating Assumptions'!$D$53,0,IF(EC$6&gt;'Operating Assumptions'!$AA$8,0,IF('Operating Assumptions'!$L9="N/A",0,IF('Operating Assumptions'!$L9="$/Unit/Annual",(('Operating Assumptions'!$M9*EC$25)*EC$36)/12,IF('Operating Assumptions'!$L9="$/Unit/Month",('Operating Assumptions'!$M9*EC$25)*EC$36,IF('Operating Assumptions'!$L9="Fixed Amount",('Operating Assumptions'!$M9*EC$25)/12,IF('Operating Assumptions'!$L9="$/GSF",(('Operating Assumptions'!$M9*EC$25)*'Operating Assumptions'!$D$11)/12,IF('Operating Assumptions'!$L9="$/NSF",(('Operating Assumptions'!$M9*EC$25)*'Operating Assumptions'!$D$12)/12))))))))</f>
        <v>-13080</v>
      </c>
      <c r="ED81" s="427">
        <f>-IF(ED$9&lt;'Operating Assumptions'!$D$53,0,IF(ED$6&gt;'Operating Assumptions'!$AA$8,0,IF('Operating Assumptions'!$L9="N/A",0,IF('Operating Assumptions'!$L9="$/Unit/Annual",(('Operating Assumptions'!$M9*ED$25)*ED$36)/12,IF('Operating Assumptions'!$L9="$/Unit/Month",('Operating Assumptions'!$M9*ED$25)*ED$36,IF('Operating Assumptions'!$L9="Fixed Amount",('Operating Assumptions'!$M9*ED$25)/12,IF('Operating Assumptions'!$L9="$/GSF",(('Operating Assumptions'!$M9*ED$25)*'Operating Assumptions'!$D$11)/12,IF('Operating Assumptions'!$L9="$/NSF",(('Operating Assumptions'!$M9*ED$25)*'Operating Assumptions'!$D$12)/12))))))))</f>
        <v>-13080</v>
      </c>
      <c r="EE81" s="427">
        <f>-IF(EE$9&lt;'Operating Assumptions'!$D$53,0,IF(EE$6&gt;'Operating Assumptions'!$AA$8,0,IF('Operating Assumptions'!$L9="N/A",0,IF('Operating Assumptions'!$L9="$/Unit/Annual",(('Operating Assumptions'!$M9*EE$25)*EE$36)/12,IF('Operating Assumptions'!$L9="$/Unit/Month",('Operating Assumptions'!$M9*EE$25)*EE$36,IF('Operating Assumptions'!$L9="Fixed Amount",('Operating Assumptions'!$M9*EE$25)/12,IF('Operating Assumptions'!$L9="$/GSF",(('Operating Assumptions'!$M9*EE$25)*'Operating Assumptions'!$D$11)/12,IF('Operating Assumptions'!$L9="$/NSF",(('Operating Assumptions'!$M9*EE$25)*'Operating Assumptions'!$D$12)/12))))))))</f>
        <v>-13080</v>
      </c>
      <c r="EF81" s="427">
        <f>-IF(EF$9&lt;'Operating Assumptions'!$D$53,0,IF(EF$6&gt;'Operating Assumptions'!$AA$8,0,IF('Operating Assumptions'!$L9="N/A",0,IF('Operating Assumptions'!$L9="$/Unit/Annual",(('Operating Assumptions'!$M9*EF$25)*EF$36)/12,IF('Operating Assumptions'!$L9="$/Unit/Month",('Operating Assumptions'!$M9*EF$25)*EF$36,IF('Operating Assumptions'!$L9="Fixed Amount",('Operating Assumptions'!$M9*EF$25)/12,IF('Operating Assumptions'!$L9="$/GSF",(('Operating Assumptions'!$M9*EF$25)*'Operating Assumptions'!$D$11)/12,IF('Operating Assumptions'!$L9="$/NSF",(('Operating Assumptions'!$M9*EF$25)*'Operating Assumptions'!$D$12)/12))))))))</f>
        <v>-13080</v>
      </c>
      <c r="EG81" s="427">
        <f>-IF(EG$9&lt;'Operating Assumptions'!$D$53,0,IF(EG$6&gt;'Operating Assumptions'!$AA$8,0,IF('Operating Assumptions'!$L9="N/A",0,IF('Operating Assumptions'!$L9="$/Unit/Annual",(('Operating Assumptions'!$M9*EG$25)*EG$36)/12,IF('Operating Assumptions'!$L9="$/Unit/Month",('Operating Assumptions'!$M9*EG$25)*EG$36,IF('Operating Assumptions'!$L9="Fixed Amount",('Operating Assumptions'!$M9*EG$25)/12,IF('Operating Assumptions'!$L9="$/GSF",(('Operating Assumptions'!$M9*EG$25)*'Operating Assumptions'!$D$11)/12,IF('Operating Assumptions'!$L9="$/NSF",(('Operating Assumptions'!$M9*EG$25)*'Operating Assumptions'!$D$12)/12))))))))</f>
        <v>-13080</v>
      </c>
      <c r="EH81" s="427">
        <f>-IF(EH$9&lt;'Operating Assumptions'!$D$53,0,IF(EH$6&gt;'Operating Assumptions'!$AA$8,0,IF('Operating Assumptions'!$L9="N/A",0,IF('Operating Assumptions'!$L9="$/Unit/Annual",(('Operating Assumptions'!$M9*EH$25)*EH$36)/12,IF('Operating Assumptions'!$L9="$/Unit/Month",('Operating Assumptions'!$M9*EH$25)*EH$36,IF('Operating Assumptions'!$L9="Fixed Amount",('Operating Assumptions'!$M9*EH$25)/12,IF('Operating Assumptions'!$L9="$/GSF",(('Operating Assumptions'!$M9*EH$25)*'Operating Assumptions'!$D$11)/12,IF('Operating Assumptions'!$L9="$/NSF",(('Operating Assumptions'!$M9*EH$25)*'Operating Assumptions'!$D$12)/12))))))))</f>
        <v>-13080</v>
      </c>
      <c r="EI81" s="427">
        <f>-IF(EI$9&lt;'Operating Assumptions'!$D$53,0,IF(EI$6&gt;'Operating Assumptions'!$AA$8,0,IF('Operating Assumptions'!$L9="N/A",0,IF('Operating Assumptions'!$L9="$/Unit/Annual",(('Operating Assumptions'!$M9*EI$25)*EI$36)/12,IF('Operating Assumptions'!$L9="$/Unit/Month",('Operating Assumptions'!$M9*EI$25)*EI$36,IF('Operating Assumptions'!$L9="Fixed Amount",('Operating Assumptions'!$M9*EI$25)/12,IF('Operating Assumptions'!$L9="$/GSF",(('Operating Assumptions'!$M9*EI$25)*'Operating Assumptions'!$D$11)/12,IF('Operating Assumptions'!$L9="$/NSF",(('Operating Assumptions'!$M9*EI$25)*'Operating Assumptions'!$D$12)/12))))))))</f>
        <v>-13080</v>
      </c>
      <c r="EJ81" s="427">
        <f>-IF(EJ$9&lt;'Operating Assumptions'!$D$53,0,IF(EJ$6&gt;'Operating Assumptions'!$AA$8,0,IF('Operating Assumptions'!$L9="N/A",0,IF('Operating Assumptions'!$L9="$/Unit/Annual",(('Operating Assumptions'!$M9*EJ$25)*EJ$36)/12,IF('Operating Assumptions'!$L9="$/Unit/Month",('Operating Assumptions'!$M9*EJ$25)*EJ$36,IF('Operating Assumptions'!$L9="Fixed Amount",('Operating Assumptions'!$M9*EJ$25)/12,IF('Operating Assumptions'!$L9="$/GSF",(('Operating Assumptions'!$M9*EJ$25)*'Operating Assumptions'!$D$11)/12,IF('Operating Assumptions'!$L9="$/NSF",(('Operating Assumptions'!$M9*EJ$25)*'Operating Assumptions'!$D$12)/12))))))))</f>
        <v>-13200</v>
      </c>
      <c r="EK81" s="427">
        <f>-IF(EK$9&lt;'Operating Assumptions'!$D$53,0,IF(EK$6&gt;'Operating Assumptions'!$AA$8,0,IF('Operating Assumptions'!$L9="N/A",0,IF('Operating Assumptions'!$L9="$/Unit/Annual",(('Operating Assumptions'!$M9*EK$25)*EK$36)/12,IF('Operating Assumptions'!$L9="$/Unit/Month",('Operating Assumptions'!$M9*EK$25)*EK$36,IF('Operating Assumptions'!$L9="Fixed Amount",('Operating Assumptions'!$M9*EK$25)/12,IF('Operating Assumptions'!$L9="$/GSF",(('Operating Assumptions'!$M9*EK$25)*'Operating Assumptions'!$D$11)/12,IF('Operating Assumptions'!$L9="$/NSF",(('Operating Assumptions'!$M9*EK$25)*'Operating Assumptions'!$D$12)/12))))))))</f>
        <v>-13200</v>
      </c>
      <c r="EL81" s="427">
        <f>-IF(EL$9&lt;'Operating Assumptions'!$D$53,0,IF(EL$6&gt;'Operating Assumptions'!$AA$8,0,IF('Operating Assumptions'!$L9="N/A",0,IF('Operating Assumptions'!$L9="$/Unit/Annual",(('Operating Assumptions'!$M9*EL$25)*EL$36)/12,IF('Operating Assumptions'!$L9="$/Unit/Month",('Operating Assumptions'!$M9*EL$25)*EL$36,IF('Operating Assumptions'!$L9="Fixed Amount",('Operating Assumptions'!$M9*EL$25)/12,IF('Operating Assumptions'!$L9="$/GSF",(('Operating Assumptions'!$M9*EL$25)*'Operating Assumptions'!$D$11)/12,IF('Operating Assumptions'!$L9="$/NSF",(('Operating Assumptions'!$M9*EL$25)*'Operating Assumptions'!$D$12)/12))))))))</f>
        <v>-13200</v>
      </c>
      <c r="EM81" s="427">
        <f>-IF(EM$9&lt;'Operating Assumptions'!$D$53,0,IF(EM$6&gt;'Operating Assumptions'!$AA$8,0,IF('Operating Assumptions'!$L9="N/A",0,IF('Operating Assumptions'!$L9="$/Unit/Annual",(('Operating Assumptions'!$M9*EM$25)*EM$36)/12,IF('Operating Assumptions'!$L9="$/Unit/Month",('Operating Assumptions'!$M9*EM$25)*EM$36,IF('Operating Assumptions'!$L9="Fixed Amount",('Operating Assumptions'!$M9*EM$25)/12,IF('Operating Assumptions'!$L9="$/GSF",(('Operating Assumptions'!$M9*EM$25)*'Operating Assumptions'!$D$11)/12,IF('Operating Assumptions'!$L9="$/NSF",(('Operating Assumptions'!$M9*EM$25)*'Operating Assumptions'!$D$12)/12))))))))</f>
        <v>-13200</v>
      </c>
      <c r="EN81" s="427">
        <f>-IF(EN$9&lt;'Operating Assumptions'!$D$53,0,IF(EN$6&gt;'Operating Assumptions'!$AA$8,0,IF('Operating Assumptions'!$L9="N/A",0,IF('Operating Assumptions'!$L9="$/Unit/Annual",(('Operating Assumptions'!$M9*EN$25)*EN$36)/12,IF('Operating Assumptions'!$L9="$/Unit/Month",('Operating Assumptions'!$M9*EN$25)*EN$36,IF('Operating Assumptions'!$L9="Fixed Amount",('Operating Assumptions'!$M9*EN$25)/12,IF('Operating Assumptions'!$L9="$/GSF",(('Operating Assumptions'!$M9*EN$25)*'Operating Assumptions'!$D$11)/12,IF('Operating Assumptions'!$L9="$/NSF",(('Operating Assumptions'!$M9*EN$25)*'Operating Assumptions'!$D$12)/12))))))))</f>
        <v>-13200</v>
      </c>
      <c r="EO81" s="427">
        <f>-IF(EO$9&lt;'Operating Assumptions'!$D$53,0,IF(EO$6&gt;'Operating Assumptions'!$AA$8,0,IF('Operating Assumptions'!$L9="N/A",0,IF('Operating Assumptions'!$L9="$/Unit/Annual",(('Operating Assumptions'!$M9*EO$25)*EO$36)/12,IF('Operating Assumptions'!$L9="$/Unit/Month",('Operating Assumptions'!$M9*EO$25)*EO$36,IF('Operating Assumptions'!$L9="Fixed Amount",('Operating Assumptions'!$M9*EO$25)/12,IF('Operating Assumptions'!$L9="$/GSF",(('Operating Assumptions'!$M9*EO$25)*'Operating Assumptions'!$D$11)/12,IF('Operating Assumptions'!$L9="$/NSF",(('Operating Assumptions'!$M9*EO$25)*'Operating Assumptions'!$D$12)/12))))))))</f>
        <v>-13200</v>
      </c>
      <c r="EP81" s="427">
        <f>-IF(EP$9&lt;'Operating Assumptions'!$D$53,0,IF(EP$6&gt;'Operating Assumptions'!$AA$8,0,IF('Operating Assumptions'!$L9="N/A",0,IF('Operating Assumptions'!$L9="$/Unit/Annual",(('Operating Assumptions'!$M9*EP$25)*EP$36)/12,IF('Operating Assumptions'!$L9="$/Unit/Month",('Operating Assumptions'!$M9*EP$25)*EP$36,IF('Operating Assumptions'!$L9="Fixed Amount",('Operating Assumptions'!$M9*EP$25)/12,IF('Operating Assumptions'!$L9="$/GSF",(('Operating Assumptions'!$M9*EP$25)*'Operating Assumptions'!$D$11)/12,IF('Operating Assumptions'!$L9="$/NSF",(('Operating Assumptions'!$M9*EP$25)*'Operating Assumptions'!$D$12)/12))))))))</f>
        <v>-13200</v>
      </c>
      <c r="EQ81" s="427">
        <f>-IF(EQ$9&lt;'Operating Assumptions'!$D$53,0,IF(EQ$6&gt;'Operating Assumptions'!$AA$8,0,IF('Operating Assumptions'!$L9="N/A",0,IF('Operating Assumptions'!$L9="$/Unit/Annual",(('Operating Assumptions'!$M9*EQ$25)*EQ$36)/12,IF('Operating Assumptions'!$L9="$/Unit/Month",('Operating Assumptions'!$M9*EQ$25)*EQ$36,IF('Operating Assumptions'!$L9="Fixed Amount",('Operating Assumptions'!$M9*EQ$25)/12,IF('Operating Assumptions'!$L9="$/GSF",(('Operating Assumptions'!$M9*EQ$25)*'Operating Assumptions'!$D$11)/12,IF('Operating Assumptions'!$L9="$/NSF",(('Operating Assumptions'!$M9*EQ$25)*'Operating Assumptions'!$D$12)/12))))))))</f>
        <v>-13200</v>
      </c>
      <c r="ER81" s="427">
        <f>-IF(ER$9&lt;'Operating Assumptions'!$D$53,0,IF(ER$6&gt;'Operating Assumptions'!$AA$8,0,IF('Operating Assumptions'!$L9="N/A",0,IF('Operating Assumptions'!$L9="$/Unit/Annual",(('Operating Assumptions'!$M9*ER$25)*ER$36)/12,IF('Operating Assumptions'!$L9="$/Unit/Month",('Operating Assumptions'!$M9*ER$25)*ER$36,IF('Operating Assumptions'!$L9="Fixed Amount",('Operating Assumptions'!$M9*ER$25)/12,IF('Operating Assumptions'!$L9="$/GSF",(('Operating Assumptions'!$M9*ER$25)*'Operating Assumptions'!$D$11)/12,IF('Operating Assumptions'!$L9="$/NSF",(('Operating Assumptions'!$M9*ER$25)*'Operating Assumptions'!$D$12)/12))))))))</f>
        <v>-13200</v>
      </c>
      <c r="ES81" s="427">
        <f>-IF(ES$9&lt;'Operating Assumptions'!$D$53,0,IF(ES$6&gt;'Operating Assumptions'!$AA$8,0,IF('Operating Assumptions'!$L9="N/A",0,IF('Operating Assumptions'!$L9="$/Unit/Annual",(('Operating Assumptions'!$M9*ES$25)*ES$36)/12,IF('Operating Assumptions'!$L9="$/Unit/Month",('Operating Assumptions'!$M9*ES$25)*ES$36,IF('Operating Assumptions'!$L9="Fixed Amount",('Operating Assumptions'!$M9*ES$25)/12,IF('Operating Assumptions'!$L9="$/GSF",(('Operating Assumptions'!$M9*ES$25)*'Operating Assumptions'!$D$11)/12,IF('Operating Assumptions'!$L9="$/NSF",(('Operating Assumptions'!$M9*ES$25)*'Operating Assumptions'!$D$12)/12))))))))</f>
        <v>-13200</v>
      </c>
      <c r="ET81" s="427">
        <f>-IF(ET$9&lt;'Operating Assumptions'!$D$53,0,IF(ET$6&gt;'Operating Assumptions'!$AA$8,0,IF('Operating Assumptions'!$L9="N/A",0,IF('Operating Assumptions'!$L9="$/Unit/Annual",(('Operating Assumptions'!$M9*ET$25)*ET$36)/12,IF('Operating Assumptions'!$L9="$/Unit/Month",('Operating Assumptions'!$M9*ET$25)*ET$36,IF('Operating Assumptions'!$L9="Fixed Amount",('Operating Assumptions'!$M9*ET$25)/12,IF('Operating Assumptions'!$L9="$/GSF",(('Operating Assumptions'!$M9*ET$25)*'Operating Assumptions'!$D$11)/12,IF('Operating Assumptions'!$L9="$/NSF",(('Operating Assumptions'!$M9*ET$25)*'Operating Assumptions'!$D$12)/12))))))))</f>
        <v>-13200</v>
      </c>
      <c r="EU81" s="427">
        <f>-IF(EU$9&lt;'Operating Assumptions'!$D$53,0,IF(EU$6&gt;'Operating Assumptions'!$AA$8,0,IF('Operating Assumptions'!$L9="N/A",0,IF('Operating Assumptions'!$L9="$/Unit/Annual",(('Operating Assumptions'!$M9*EU$25)*EU$36)/12,IF('Operating Assumptions'!$L9="$/Unit/Month",('Operating Assumptions'!$M9*EU$25)*EU$36,IF('Operating Assumptions'!$L9="Fixed Amount",('Operating Assumptions'!$M9*EU$25)/12,IF('Operating Assumptions'!$L9="$/GSF",(('Operating Assumptions'!$M9*EU$25)*'Operating Assumptions'!$D$11)/12,IF('Operating Assumptions'!$L9="$/NSF",(('Operating Assumptions'!$M9*EU$25)*'Operating Assumptions'!$D$12)/12))))))))</f>
        <v>-13200</v>
      </c>
      <c r="EV81" s="427">
        <f>-IF(EV$9&lt;'Operating Assumptions'!$D$53,0,IF(EV$6&gt;'Operating Assumptions'!$AA$8,0,IF('Operating Assumptions'!$L9="N/A",0,IF('Operating Assumptions'!$L9="$/Unit/Annual",(('Operating Assumptions'!$M9*EV$25)*EV$36)/12,IF('Operating Assumptions'!$L9="$/Unit/Month",('Operating Assumptions'!$M9*EV$25)*EV$36,IF('Operating Assumptions'!$L9="Fixed Amount",('Operating Assumptions'!$M9*EV$25)/12,IF('Operating Assumptions'!$L9="$/GSF",(('Operating Assumptions'!$M9*EV$25)*'Operating Assumptions'!$D$11)/12,IF('Operating Assumptions'!$L9="$/NSF",(('Operating Assumptions'!$M9*EV$25)*'Operating Assumptions'!$D$12)/12))))))))</f>
        <v>0</v>
      </c>
      <c r="EW81" s="427">
        <f>-IF(EW$9&lt;'Operating Assumptions'!$D$53,0,IF(EW$6&gt;'Operating Assumptions'!$AA$8,0,IF('Operating Assumptions'!$L9="N/A",0,IF('Operating Assumptions'!$L9="$/Unit/Annual",(('Operating Assumptions'!$M9*EW$25)*EW$36)/12,IF('Operating Assumptions'!$L9="$/Unit/Month",('Operating Assumptions'!$M9*EW$25)*EW$36,IF('Operating Assumptions'!$L9="Fixed Amount",('Operating Assumptions'!$M9*EW$25)/12,IF('Operating Assumptions'!$L9="$/GSF",(('Operating Assumptions'!$M9*EW$25)*'Operating Assumptions'!$D$11)/12,IF('Operating Assumptions'!$L9="$/NSF",(('Operating Assumptions'!$M9*EW$25)*'Operating Assumptions'!$D$12)/12))))))))</f>
        <v>0</v>
      </c>
      <c r="EX81" s="427">
        <f>-IF(EX$9&lt;'Operating Assumptions'!$D$53,0,IF(EX$6&gt;'Operating Assumptions'!$AA$8,0,IF('Operating Assumptions'!$L9="N/A",0,IF('Operating Assumptions'!$L9="$/Unit/Annual",(('Operating Assumptions'!$M9*EX$25)*EX$36)/12,IF('Operating Assumptions'!$L9="$/Unit/Month",('Operating Assumptions'!$M9*EX$25)*EX$36,IF('Operating Assumptions'!$L9="Fixed Amount",('Operating Assumptions'!$M9*EX$25)/12,IF('Operating Assumptions'!$L9="$/GSF",(('Operating Assumptions'!$M9*EX$25)*'Operating Assumptions'!$D$11)/12,IF('Operating Assumptions'!$L9="$/NSF",(('Operating Assumptions'!$M9*EX$25)*'Operating Assumptions'!$D$12)/12))))))))</f>
        <v>0</v>
      </c>
      <c r="EY81" s="427">
        <f>-IF(EY$9&lt;'Operating Assumptions'!$D$53,0,IF(EY$6&gt;'Operating Assumptions'!$AA$8,0,IF('Operating Assumptions'!$L9="N/A",0,IF('Operating Assumptions'!$L9="$/Unit/Annual",(('Operating Assumptions'!$M9*EY$25)*EY$36)/12,IF('Operating Assumptions'!$L9="$/Unit/Month",('Operating Assumptions'!$M9*EY$25)*EY$36,IF('Operating Assumptions'!$L9="Fixed Amount",('Operating Assumptions'!$M9*EY$25)/12,IF('Operating Assumptions'!$L9="$/GSF",(('Operating Assumptions'!$M9*EY$25)*'Operating Assumptions'!$D$11)/12,IF('Operating Assumptions'!$L9="$/NSF",(('Operating Assumptions'!$M9*EY$25)*'Operating Assumptions'!$D$12)/12))))))))</f>
        <v>0</v>
      </c>
      <c r="EZ81" s="427">
        <f>-IF(EZ$9&lt;'Operating Assumptions'!$D$53,0,IF(EZ$6&gt;'Operating Assumptions'!$AA$8,0,IF('Operating Assumptions'!$L9="N/A",0,IF('Operating Assumptions'!$L9="$/Unit/Annual",(('Operating Assumptions'!$M9*EZ$25)*EZ$36)/12,IF('Operating Assumptions'!$L9="$/Unit/Month",('Operating Assumptions'!$M9*EZ$25)*EZ$36,IF('Operating Assumptions'!$L9="Fixed Amount",('Operating Assumptions'!$M9*EZ$25)/12,IF('Operating Assumptions'!$L9="$/GSF",(('Operating Assumptions'!$M9*EZ$25)*'Operating Assumptions'!$D$11)/12,IF('Operating Assumptions'!$L9="$/NSF",(('Operating Assumptions'!$M9*EZ$25)*'Operating Assumptions'!$D$12)/12))))))))</f>
        <v>0</v>
      </c>
      <c r="FA81" s="427">
        <f>-IF(FA$9&lt;'Operating Assumptions'!$D$53,0,IF(FA$6&gt;'Operating Assumptions'!$AA$8,0,IF('Operating Assumptions'!$L9="N/A",0,IF('Operating Assumptions'!$L9="$/Unit/Annual",(('Operating Assumptions'!$M9*FA$25)*FA$36)/12,IF('Operating Assumptions'!$L9="$/Unit/Month",('Operating Assumptions'!$M9*FA$25)*FA$36,IF('Operating Assumptions'!$L9="Fixed Amount",('Operating Assumptions'!$M9*FA$25)/12,IF('Operating Assumptions'!$L9="$/GSF",(('Operating Assumptions'!$M9*FA$25)*'Operating Assumptions'!$D$11)/12,IF('Operating Assumptions'!$L9="$/NSF",(('Operating Assumptions'!$M9*FA$25)*'Operating Assumptions'!$D$12)/12))))))))</f>
        <v>0</v>
      </c>
      <c r="FB81" s="427">
        <f>-IF(FB$9&lt;'Operating Assumptions'!$D$53,0,IF(FB$6&gt;'Operating Assumptions'!$AA$8,0,IF('Operating Assumptions'!$L9="N/A",0,IF('Operating Assumptions'!$L9="$/Unit/Annual",(('Operating Assumptions'!$M9*FB$25)*FB$36)/12,IF('Operating Assumptions'!$L9="$/Unit/Month",('Operating Assumptions'!$M9*FB$25)*FB$36,IF('Operating Assumptions'!$L9="Fixed Amount",('Operating Assumptions'!$M9*FB$25)/12,IF('Operating Assumptions'!$L9="$/GSF",(('Operating Assumptions'!$M9*FB$25)*'Operating Assumptions'!$D$11)/12,IF('Operating Assumptions'!$L9="$/NSF",(('Operating Assumptions'!$M9*FB$25)*'Operating Assumptions'!$D$12)/12))))))))</f>
        <v>0</v>
      </c>
      <c r="FC81" s="427">
        <f>-IF(FC$9&lt;'Operating Assumptions'!$D$53,0,IF(FC$6&gt;'Operating Assumptions'!$AA$8,0,IF('Operating Assumptions'!$L9="N/A",0,IF('Operating Assumptions'!$L9="$/Unit/Annual",(('Operating Assumptions'!$M9*FC$25)*FC$36)/12,IF('Operating Assumptions'!$L9="$/Unit/Month",('Operating Assumptions'!$M9*FC$25)*FC$36,IF('Operating Assumptions'!$L9="Fixed Amount",('Operating Assumptions'!$M9*FC$25)/12,IF('Operating Assumptions'!$L9="$/GSF",(('Operating Assumptions'!$M9*FC$25)*'Operating Assumptions'!$D$11)/12,IF('Operating Assumptions'!$L9="$/NSF",(('Operating Assumptions'!$M9*FC$25)*'Operating Assumptions'!$D$12)/12))))))))</f>
        <v>0</v>
      </c>
      <c r="FD81" s="427">
        <f>-IF(FD$9&lt;'Operating Assumptions'!$D$53,0,IF(FD$6&gt;'Operating Assumptions'!$AA$8,0,IF('Operating Assumptions'!$L9="N/A",0,IF('Operating Assumptions'!$L9="$/Unit/Annual",(('Operating Assumptions'!$M9*FD$25)*FD$36)/12,IF('Operating Assumptions'!$L9="$/Unit/Month",('Operating Assumptions'!$M9*FD$25)*FD$36,IF('Operating Assumptions'!$L9="Fixed Amount",('Operating Assumptions'!$M9*FD$25)/12,IF('Operating Assumptions'!$L9="$/GSF",(('Operating Assumptions'!$M9*FD$25)*'Operating Assumptions'!$D$11)/12,IF('Operating Assumptions'!$L9="$/NSF",(('Operating Assumptions'!$M9*FD$25)*'Operating Assumptions'!$D$12)/12))))))))</f>
        <v>0</v>
      </c>
      <c r="FE81" s="427">
        <f>-IF(FE$9&lt;'Operating Assumptions'!$D$53,0,IF(FE$6&gt;'Operating Assumptions'!$AA$8,0,IF('Operating Assumptions'!$L9="N/A",0,IF('Operating Assumptions'!$L9="$/Unit/Annual",(('Operating Assumptions'!$M9*FE$25)*FE$36)/12,IF('Operating Assumptions'!$L9="$/Unit/Month",('Operating Assumptions'!$M9*FE$25)*FE$36,IF('Operating Assumptions'!$L9="Fixed Amount",('Operating Assumptions'!$M9*FE$25)/12,IF('Operating Assumptions'!$L9="$/GSF",(('Operating Assumptions'!$M9*FE$25)*'Operating Assumptions'!$D$11)/12,IF('Operating Assumptions'!$L9="$/NSF",(('Operating Assumptions'!$M9*FE$25)*'Operating Assumptions'!$D$12)/12))))))))</f>
        <v>0</v>
      </c>
      <c r="FF81" s="427">
        <f>-IF(FF$9&lt;'Operating Assumptions'!$D$53,0,IF(FF$6&gt;'Operating Assumptions'!$AA$8,0,IF('Operating Assumptions'!$L9="N/A",0,IF('Operating Assumptions'!$L9="$/Unit/Annual",(('Operating Assumptions'!$M9*FF$25)*FF$36)/12,IF('Operating Assumptions'!$L9="$/Unit/Month",('Operating Assumptions'!$M9*FF$25)*FF$36,IF('Operating Assumptions'!$L9="Fixed Amount",('Operating Assumptions'!$M9*FF$25)/12,IF('Operating Assumptions'!$L9="$/GSF",(('Operating Assumptions'!$M9*FF$25)*'Operating Assumptions'!$D$11)/12,IF('Operating Assumptions'!$L9="$/NSF",(('Operating Assumptions'!$M9*FF$25)*'Operating Assumptions'!$D$12)/12))))))))</f>
        <v>0</v>
      </c>
      <c r="FG81" s="427">
        <f>-IF(FG$9&lt;'Operating Assumptions'!$D$53,0,IF(FG$6&gt;'Operating Assumptions'!$AA$8,0,IF('Operating Assumptions'!$L9="N/A",0,IF('Operating Assumptions'!$L9="$/Unit/Annual",(('Operating Assumptions'!$M9*FG$25)*FG$36)/12,IF('Operating Assumptions'!$L9="$/Unit/Month",('Operating Assumptions'!$M9*FG$25)*FG$36,IF('Operating Assumptions'!$L9="Fixed Amount",('Operating Assumptions'!$M9*FG$25)/12,IF('Operating Assumptions'!$L9="$/GSF",(('Operating Assumptions'!$M9*FG$25)*'Operating Assumptions'!$D$11)/12,IF('Operating Assumptions'!$L9="$/NSF",(('Operating Assumptions'!$M9*FG$25)*'Operating Assumptions'!$D$12)/12))))))))</f>
        <v>0</v>
      </c>
      <c r="FH81" s="427">
        <f>-IF(FH$9&lt;'Operating Assumptions'!$D$53,0,IF(FH$6&gt;'Operating Assumptions'!$AA$8,0,IF('Operating Assumptions'!$L9="N/A",0,IF('Operating Assumptions'!$L9="$/Unit/Annual",(('Operating Assumptions'!$M9*FH$25)*FH$36)/12,IF('Operating Assumptions'!$L9="$/Unit/Month",('Operating Assumptions'!$M9*FH$25)*FH$36,IF('Operating Assumptions'!$L9="Fixed Amount",('Operating Assumptions'!$M9*FH$25)/12,IF('Operating Assumptions'!$L9="$/GSF",(('Operating Assumptions'!$M9*FH$25)*'Operating Assumptions'!$D$11)/12,IF('Operating Assumptions'!$L9="$/NSF",(('Operating Assumptions'!$M9*FH$25)*'Operating Assumptions'!$D$12)/12))))))))</f>
        <v>0</v>
      </c>
      <c r="FI81" s="427">
        <f>-IF(FI$9&lt;'Operating Assumptions'!$D$53,0,IF(FI$6&gt;'Operating Assumptions'!$AA$8,0,IF('Operating Assumptions'!$L9="N/A",0,IF('Operating Assumptions'!$L9="$/Unit/Annual",(('Operating Assumptions'!$M9*FI$25)*FI$36)/12,IF('Operating Assumptions'!$L9="$/Unit/Month",('Operating Assumptions'!$M9*FI$25)*FI$36,IF('Operating Assumptions'!$L9="Fixed Amount",('Operating Assumptions'!$M9*FI$25)/12,IF('Operating Assumptions'!$L9="$/GSF",(('Operating Assumptions'!$M9*FI$25)*'Operating Assumptions'!$D$11)/12,IF('Operating Assumptions'!$L9="$/NSF",(('Operating Assumptions'!$M9*FI$25)*'Operating Assumptions'!$D$12)/12))))))))</f>
        <v>0</v>
      </c>
      <c r="FJ81" s="427">
        <f>-IF(FJ$9&lt;'Operating Assumptions'!$D$53,0,IF(FJ$6&gt;'Operating Assumptions'!$AA$8,0,IF('Operating Assumptions'!$L9="N/A",0,IF('Operating Assumptions'!$L9="$/Unit/Annual",(('Operating Assumptions'!$M9*FJ$25)*FJ$36)/12,IF('Operating Assumptions'!$L9="$/Unit/Month",('Operating Assumptions'!$M9*FJ$25)*FJ$36,IF('Operating Assumptions'!$L9="Fixed Amount",('Operating Assumptions'!$M9*FJ$25)/12,IF('Operating Assumptions'!$L9="$/GSF",(('Operating Assumptions'!$M9*FJ$25)*'Operating Assumptions'!$D$11)/12,IF('Operating Assumptions'!$L9="$/NSF",(('Operating Assumptions'!$M9*FJ$25)*'Operating Assumptions'!$D$12)/12))))))))</f>
        <v>0</v>
      </c>
      <c r="FK81" s="427">
        <f>-IF(FK$9&lt;'Operating Assumptions'!$D$53,0,IF(FK$6&gt;'Operating Assumptions'!$AA$8,0,IF('Operating Assumptions'!$L9="N/A",0,IF('Operating Assumptions'!$L9="$/Unit/Annual",(('Operating Assumptions'!$M9*FK$25)*FK$36)/12,IF('Operating Assumptions'!$L9="$/Unit/Month",('Operating Assumptions'!$M9*FK$25)*FK$36,IF('Operating Assumptions'!$L9="Fixed Amount",('Operating Assumptions'!$M9*FK$25)/12,IF('Operating Assumptions'!$L9="$/GSF",(('Operating Assumptions'!$M9*FK$25)*'Operating Assumptions'!$D$11)/12,IF('Operating Assumptions'!$L9="$/NSF",(('Operating Assumptions'!$M9*FK$25)*'Operating Assumptions'!$D$12)/12))))))))</f>
        <v>0</v>
      </c>
      <c r="FL81" s="427">
        <f>-IF(FL$9&lt;'Operating Assumptions'!$D$53,0,IF(FL$6&gt;'Operating Assumptions'!$AA$8,0,IF('Operating Assumptions'!$L9="N/A",0,IF('Operating Assumptions'!$L9="$/Unit/Annual",(('Operating Assumptions'!$M9*FL$25)*FL$36)/12,IF('Operating Assumptions'!$L9="$/Unit/Month",('Operating Assumptions'!$M9*FL$25)*FL$36,IF('Operating Assumptions'!$L9="Fixed Amount",('Operating Assumptions'!$M9*FL$25)/12,IF('Operating Assumptions'!$L9="$/GSF",(('Operating Assumptions'!$M9*FL$25)*'Operating Assumptions'!$D$11)/12,IF('Operating Assumptions'!$L9="$/NSF",(('Operating Assumptions'!$M9*FL$25)*'Operating Assumptions'!$D$12)/12))))))))</f>
        <v>0</v>
      </c>
      <c r="FM81" s="427">
        <f>-IF(FM$9&lt;'Operating Assumptions'!$D$53,0,IF(FM$6&gt;'Operating Assumptions'!$AA$8,0,IF('Operating Assumptions'!$L9="N/A",0,IF('Operating Assumptions'!$L9="$/Unit/Annual",(('Operating Assumptions'!$M9*FM$25)*FM$36)/12,IF('Operating Assumptions'!$L9="$/Unit/Month",('Operating Assumptions'!$M9*FM$25)*FM$36,IF('Operating Assumptions'!$L9="Fixed Amount",('Operating Assumptions'!$M9*FM$25)/12,IF('Operating Assumptions'!$L9="$/GSF",(('Operating Assumptions'!$M9*FM$25)*'Operating Assumptions'!$D$11)/12,IF('Operating Assumptions'!$L9="$/NSF",(('Operating Assumptions'!$M9*FM$25)*'Operating Assumptions'!$D$12)/12))))))))</f>
        <v>0</v>
      </c>
      <c r="FN81" s="427">
        <f>-IF(FN$9&lt;'Operating Assumptions'!$D$53,0,IF(FN$6&gt;'Operating Assumptions'!$AA$8,0,IF('Operating Assumptions'!$L9="N/A",0,IF('Operating Assumptions'!$L9="$/Unit/Annual",(('Operating Assumptions'!$M9*FN$25)*FN$36)/12,IF('Operating Assumptions'!$L9="$/Unit/Month",('Operating Assumptions'!$M9*FN$25)*FN$36,IF('Operating Assumptions'!$L9="Fixed Amount",('Operating Assumptions'!$M9*FN$25)/12,IF('Operating Assumptions'!$L9="$/GSF",(('Operating Assumptions'!$M9*FN$25)*'Operating Assumptions'!$D$11)/12,IF('Operating Assumptions'!$L9="$/NSF",(('Operating Assumptions'!$M9*FN$25)*'Operating Assumptions'!$D$12)/12))))))))</f>
        <v>0</v>
      </c>
      <c r="FO81" s="427">
        <f>-IF(FO$9&lt;'Operating Assumptions'!$D$53,0,IF(FO$6&gt;'Operating Assumptions'!$AA$8,0,IF('Operating Assumptions'!$L9="N/A",0,IF('Operating Assumptions'!$L9="$/Unit/Annual",(('Operating Assumptions'!$M9*FO$25)*FO$36)/12,IF('Operating Assumptions'!$L9="$/Unit/Month",('Operating Assumptions'!$M9*FO$25)*FO$36,IF('Operating Assumptions'!$L9="Fixed Amount",('Operating Assumptions'!$M9*FO$25)/12,IF('Operating Assumptions'!$L9="$/GSF",(('Operating Assumptions'!$M9*FO$25)*'Operating Assumptions'!$D$11)/12,IF('Operating Assumptions'!$L9="$/NSF",(('Operating Assumptions'!$M9*FO$25)*'Operating Assumptions'!$D$12)/12))))))))</f>
        <v>0</v>
      </c>
      <c r="FP81" s="427">
        <f>-IF(FP$9&lt;'Operating Assumptions'!$D$53,0,IF(FP$6&gt;'Operating Assumptions'!$AA$8,0,IF('Operating Assumptions'!$L9="N/A",0,IF('Operating Assumptions'!$L9="$/Unit/Annual",(('Operating Assumptions'!$M9*FP$25)*FP$36)/12,IF('Operating Assumptions'!$L9="$/Unit/Month",('Operating Assumptions'!$M9*FP$25)*FP$36,IF('Operating Assumptions'!$L9="Fixed Amount",('Operating Assumptions'!$M9*FP$25)/12,IF('Operating Assumptions'!$L9="$/GSF",(('Operating Assumptions'!$M9*FP$25)*'Operating Assumptions'!$D$11)/12,IF('Operating Assumptions'!$L9="$/NSF",(('Operating Assumptions'!$M9*FP$25)*'Operating Assumptions'!$D$12)/12))))))))</f>
        <v>0</v>
      </c>
      <c r="FQ81" s="427">
        <f>-IF(FQ$9&lt;'Operating Assumptions'!$D$53,0,IF(FQ$6&gt;'Operating Assumptions'!$AA$8,0,IF('Operating Assumptions'!$L9="N/A",0,IF('Operating Assumptions'!$L9="$/Unit/Annual",(('Operating Assumptions'!$M9*FQ$25)*FQ$36)/12,IF('Operating Assumptions'!$L9="$/Unit/Month",('Operating Assumptions'!$M9*FQ$25)*FQ$36,IF('Operating Assumptions'!$L9="Fixed Amount",('Operating Assumptions'!$M9*FQ$25)/12,IF('Operating Assumptions'!$L9="$/GSF",(('Operating Assumptions'!$M9*FQ$25)*'Operating Assumptions'!$D$11)/12,IF('Operating Assumptions'!$L9="$/NSF",(('Operating Assumptions'!$M9*FQ$25)*'Operating Assumptions'!$D$12)/12))))))))</f>
        <v>0</v>
      </c>
      <c r="FR81" s="427">
        <f>-IF(FR$9&lt;'Operating Assumptions'!$D$53,0,IF(FR$6&gt;'Operating Assumptions'!$AA$8,0,IF('Operating Assumptions'!$L9="N/A",0,IF('Operating Assumptions'!$L9="$/Unit/Annual",(('Operating Assumptions'!$M9*FR$25)*FR$36)/12,IF('Operating Assumptions'!$L9="$/Unit/Month",('Operating Assumptions'!$M9*FR$25)*FR$36,IF('Operating Assumptions'!$L9="Fixed Amount",('Operating Assumptions'!$M9*FR$25)/12,IF('Operating Assumptions'!$L9="$/GSF",(('Operating Assumptions'!$M9*FR$25)*'Operating Assumptions'!$D$11)/12,IF('Operating Assumptions'!$L9="$/NSF",(('Operating Assumptions'!$M9*FR$25)*'Operating Assumptions'!$D$12)/12))))))))</f>
        <v>0</v>
      </c>
      <c r="FS81" s="427">
        <f>-IF(FS$9&lt;'Operating Assumptions'!$D$53,0,IF(FS$6&gt;'Operating Assumptions'!$AA$8,0,IF('Operating Assumptions'!$L9="N/A",0,IF('Operating Assumptions'!$L9="$/Unit/Annual",(('Operating Assumptions'!$M9*FS$25)*FS$36)/12,IF('Operating Assumptions'!$L9="$/Unit/Month",('Operating Assumptions'!$M9*FS$25)*FS$36,IF('Operating Assumptions'!$L9="Fixed Amount",('Operating Assumptions'!$M9*FS$25)/12,IF('Operating Assumptions'!$L9="$/GSF",(('Operating Assumptions'!$M9*FS$25)*'Operating Assumptions'!$D$11)/12,IF('Operating Assumptions'!$L9="$/NSF",(('Operating Assumptions'!$M9*FS$25)*'Operating Assumptions'!$D$12)/12))))))))</f>
        <v>0</v>
      </c>
      <c r="FT81" s="427">
        <f>-IF(FT$9&lt;'Operating Assumptions'!$D$53,0,IF(FT$6&gt;'Operating Assumptions'!$AA$8,0,IF('Operating Assumptions'!$L9="N/A",0,IF('Operating Assumptions'!$L9="$/Unit/Annual",(('Operating Assumptions'!$M9*FT$25)*FT$36)/12,IF('Operating Assumptions'!$L9="$/Unit/Month",('Operating Assumptions'!$M9*FT$25)*FT$36,IF('Operating Assumptions'!$L9="Fixed Amount",('Operating Assumptions'!$M9*FT$25)/12,IF('Operating Assumptions'!$L9="$/GSF",(('Operating Assumptions'!$M9*FT$25)*'Operating Assumptions'!$D$11)/12,IF('Operating Assumptions'!$L9="$/NSF",(('Operating Assumptions'!$M9*FT$25)*'Operating Assumptions'!$D$12)/12))))))))</f>
        <v>0</v>
      </c>
      <c r="FU81" s="43"/>
      <c r="FV81" s="34"/>
      <c r="FW81" s="34"/>
      <c r="FX81" s="34"/>
      <c r="FY81" s="34"/>
      <c r="FZ81" s="34"/>
    </row>
    <row r="82" spans="1:182" s="89" customFormat="1" ht="13.5" x14ac:dyDescent="0.25">
      <c r="A82" s="34"/>
      <c r="B82" s="128" t="str">
        <f>'Operating Assumptions'!K10</f>
        <v>Landscaping / Contracted Services</v>
      </c>
      <c r="C82" s="34"/>
      <c r="D82" s="34"/>
      <c r="E82" s="34"/>
      <c r="F82" s="434">
        <f t="shared" si="172"/>
        <v>-469051.3125</v>
      </c>
      <c r="G82" s="34"/>
      <c r="H82" s="427">
        <f>-IF(H$9&lt;'Operating Assumptions'!$D$53,0,IF(H$6&gt;'Operating Assumptions'!$AA$8,0,IF('Operating Assumptions'!$L10="N/A",0,IF('Operating Assumptions'!$L10="$/Unit/Annual",(('Operating Assumptions'!$M10*H$25)*H$36)/12,IF('Operating Assumptions'!$L10="$/Unit/Month",('Operating Assumptions'!$M10*H$25)*H$36,IF('Operating Assumptions'!$L10="Fixed Amount",('Operating Assumptions'!$M10*H$25)/12,IF('Operating Assumptions'!$L10="$/GSF",(('Operating Assumptions'!$M10*H$25)*'Operating Assumptions'!$D$11)/12,IF('Operating Assumptions'!$L10="$/NSF",(('Operating Assumptions'!$M10*H$25)*'Operating Assumptions'!$D$12)/12))))))))</f>
        <v>0</v>
      </c>
      <c r="I82" s="427">
        <f>-IF(I$9&lt;'Operating Assumptions'!$D$53,0,IF(I$6&gt;'Operating Assumptions'!$AA$8,0,IF('Operating Assumptions'!$L10="N/A",0,IF('Operating Assumptions'!$L10="$/Unit/Annual",(('Operating Assumptions'!$M10*I$25)*I$36)/12,IF('Operating Assumptions'!$L10="$/Unit/Month",('Operating Assumptions'!$M10*I$25)*I$36,IF('Operating Assumptions'!$L10="Fixed Amount",('Operating Assumptions'!$M10*I$25)/12,IF('Operating Assumptions'!$L10="$/GSF",(('Operating Assumptions'!$M10*I$25)*'Operating Assumptions'!$D$11)/12,IF('Operating Assumptions'!$L10="$/NSF",(('Operating Assumptions'!$M10*I$25)*'Operating Assumptions'!$D$12)/12))))))))</f>
        <v>0</v>
      </c>
      <c r="J82" s="427">
        <f>-IF(J$9&lt;'Operating Assumptions'!$D$53,0,IF(J$6&gt;'Operating Assumptions'!$AA$8,0,IF('Operating Assumptions'!$L10="N/A",0,IF('Operating Assumptions'!$L10="$/Unit/Annual",(('Operating Assumptions'!$M10*J$25)*J$36)/12,IF('Operating Assumptions'!$L10="$/Unit/Month",('Operating Assumptions'!$M10*J$25)*J$36,IF('Operating Assumptions'!$L10="Fixed Amount",('Operating Assumptions'!$M10*J$25)/12,IF('Operating Assumptions'!$L10="$/GSF",(('Operating Assumptions'!$M10*J$25)*'Operating Assumptions'!$D$11)/12,IF('Operating Assumptions'!$L10="$/NSF",(('Operating Assumptions'!$M10*J$25)*'Operating Assumptions'!$D$12)/12))))))))</f>
        <v>0</v>
      </c>
      <c r="K82" s="427">
        <f>-IF(K$9&lt;'Operating Assumptions'!$D$53,0,IF(K$6&gt;'Operating Assumptions'!$AA$8,0,IF('Operating Assumptions'!$L10="N/A",0,IF('Operating Assumptions'!$L10="$/Unit/Annual",(('Operating Assumptions'!$M10*K$25)*K$36)/12,IF('Operating Assumptions'!$L10="$/Unit/Month",('Operating Assumptions'!$M10*K$25)*K$36,IF('Operating Assumptions'!$L10="Fixed Amount",('Operating Assumptions'!$M10*K$25)/12,IF('Operating Assumptions'!$L10="$/GSF",(('Operating Assumptions'!$M10*K$25)*'Operating Assumptions'!$D$11)/12,IF('Operating Assumptions'!$L10="$/NSF",(('Operating Assumptions'!$M10*K$25)*'Operating Assumptions'!$D$12)/12))))))))</f>
        <v>0</v>
      </c>
      <c r="L82" s="427">
        <f>-IF(L$9&lt;'Operating Assumptions'!$D$53,0,IF(L$6&gt;'Operating Assumptions'!$AA$8,0,IF('Operating Assumptions'!$L10="N/A",0,IF('Operating Assumptions'!$L10="$/Unit/Annual",(('Operating Assumptions'!$M10*L$25)*L$36)/12,IF('Operating Assumptions'!$L10="$/Unit/Month",('Operating Assumptions'!$M10*L$25)*L$36,IF('Operating Assumptions'!$L10="Fixed Amount",('Operating Assumptions'!$M10*L$25)/12,IF('Operating Assumptions'!$L10="$/GSF",(('Operating Assumptions'!$M10*L$25)*'Operating Assumptions'!$D$11)/12,IF('Operating Assumptions'!$L10="$/NSF",(('Operating Assumptions'!$M10*L$25)*'Operating Assumptions'!$D$12)/12))))))))</f>
        <v>0</v>
      </c>
      <c r="M82" s="427">
        <f>-IF(M$9&lt;'Operating Assumptions'!$D$53,0,IF(M$6&gt;'Operating Assumptions'!$AA$8,0,IF('Operating Assumptions'!$L10="N/A",0,IF('Operating Assumptions'!$L10="$/Unit/Annual",(('Operating Assumptions'!$M10*M$25)*M$36)/12,IF('Operating Assumptions'!$L10="$/Unit/Month",('Operating Assumptions'!$M10*M$25)*M$36,IF('Operating Assumptions'!$L10="Fixed Amount",('Operating Assumptions'!$M10*M$25)/12,IF('Operating Assumptions'!$L10="$/GSF",(('Operating Assumptions'!$M10*M$25)*'Operating Assumptions'!$D$11)/12,IF('Operating Assumptions'!$L10="$/NSF",(('Operating Assumptions'!$M10*M$25)*'Operating Assumptions'!$D$12)/12))))))))</f>
        <v>0</v>
      </c>
      <c r="N82" s="427">
        <f>-IF(N$9&lt;'Operating Assumptions'!$D$53,0,IF(N$6&gt;'Operating Assumptions'!$AA$8,0,IF('Operating Assumptions'!$L10="N/A",0,IF('Operating Assumptions'!$L10="$/Unit/Annual",(('Operating Assumptions'!$M10*N$25)*N$36)/12,IF('Operating Assumptions'!$L10="$/Unit/Month",('Operating Assumptions'!$M10*N$25)*N$36,IF('Operating Assumptions'!$L10="Fixed Amount",('Operating Assumptions'!$M10*N$25)/12,IF('Operating Assumptions'!$L10="$/GSF",(('Operating Assumptions'!$M10*N$25)*'Operating Assumptions'!$D$11)/12,IF('Operating Assumptions'!$L10="$/NSF",(('Operating Assumptions'!$M10*N$25)*'Operating Assumptions'!$D$12)/12))))))))</f>
        <v>0</v>
      </c>
      <c r="O82" s="427">
        <f>-IF(O$9&lt;'Operating Assumptions'!$D$53,0,IF(O$6&gt;'Operating Assumptions'!$AA$8,0,IF('Operating Assumptions'!$L10="N/A",0,IF('Operating Assumptions'!$L10="$/Unit/Annual",(('Operating Assumptions'!$M10*O$25)*O$36)/12,IF('Operating Assumptions'!$L10="$/Unit/Month",('Operating Assumptions'!$M10*O$25)*O$36,IF('Operating Assumptions'!$L10="Fixed Amount",('Operating Assumptions'!$M10*O$25)/12,IF('Operating Assumptions'!$L10="$/GSF",(('Operating Assumptions'!$M10*O$25)*'Operating Assumptions'!$D$11)/12,IF('Operating Assumptions'!$L10="$/NSF",(('Operating Assumptions'!$M10*O$25)*'Operating Assumptions'!$D$12)/12))))))))</f>
        <v>0</v>
      </c>
      <c r="P82" s="427">
        <f>-IF(P$9&lt;'Operating Assumptions'!$D$53,0,IF(P$6&gt;'Operating Assumptions'!$AA$8,0,IF('Operating Assumptions'!$L10="N/A",0,IF('Operating Assumptions'!$L10="$/Unit/Annual",(('Operating Assumptions'!$M10*P$25)*P$36)/12,IF('Operating Assumptions'!$L10="$/Unit/Month",('Operating Assumptions'!$M10*P$25)*P$36,IF('Operating Assumptions'!$L10="Fixed Amount",('Operating Assumptions'!$M10*P$25)/12,IF('Operating Assumptions'!$L10="$/GSF",(('Operating Assumptions'!$M10*P$25)*'Operating Assumptions'!$D$11)/12,IF('Operating Assumptions'!$L10="$/NSF",(('Operating Assumptions'!$M10*P$25)*'Operating Assumptions'!$D$12)/12))))))))</f>
        <v>0</v>
      </c>
      <c r="Q82" s="427">
        <f>-IF(Q$9&lt;'Operating Assumptions'!$D$53,0,IF(Q$6&gt;'Operating Assumptions'!$AA$8,0,IF('Operating Assumptions'!$L10="N/A",0,IF('Operating Assumptions'!$L10="$/Unit/Annual",(('Operating Assumptions'!$M10*Q$25)*Q$36)/12,IF('Operating Assumptions'!$L10="$/Unit/Month",('Operating Assumptions'!$M10*Q$25)*Q$36,IF('Operating Assumptions'!$L10="Fixed Amount",('Operating Assumptions'!$M10*Q$25)/12,IF('Operating Assumptions'!$L10="$/GSF",(('Operating Assumptions'!$M10*Q$25)*'Operating Assumptions'!$D$11)/12,IF('Operating Assumptions'!$L10="$/NSF",(('Operating Assumptions'!$M10*Q$25)*'Operating Assumptions'!$D$12)/12))))))))</f>
        <v>0</v>
      </c>
      <c r="R82" s="427">
        <f>-IF(R$9&lt;'Operating Assumptions'!$D$53,0,IF(R$6&gt;'Operating Assumptions'!$AA$8,0,IF('Operating Assumptions'!$L10="N/A",0,IF('Operating Assumptions'!$L10="$/Unit/Annual",(('Operating Assumptions'!$M10*R$25)*R$36)/12,IF('Operating Assumptions'!$L10="$/Unit/Month",('Operating Assumptions'!$M10*R$25)*R$36,IF('Operating Assumptions'!$L10="Fixed Amount",('Operating Assumptions'!$M10*R$25)/12,IF('Operating Assumptions'!$L10="$/GSF",(('Operating Assumptions'!$M10*R$25)*'Operating Assumptions'!$D$11)/12,IF('Operating Assumptions'!$L10="$/NSF",(('Operating Assumptions'!$M10*R$25)*'Operating Assumptions'!$D$12)/12))))))))</f>
        <v>0</v>
      </c>
      <c r="S82" s="427">
        <f>-IF(S$9&lt;'Operating Assumptions'!$D$53,0,IF(S$6&gt;'Operating Assumptions'!$AA$8,0,IF('Operating Assumptions'!$L10="N/A",0,IF('Operating Assumptions'!$L10="$/Unit/Annual",(('Operating Assumptions'!$M10*S$25)*S$36)/12,IF('Operating Assumptions'!$L10="$/Unit/Month",('Operating Assumptions'!$M10*S$25)*S$36,IF('Operating Assumptions'!$L10="Fixed Amount",('Operating Assumptions'!$M10*S$25)/12,IF('Operating Assumptions'!$L10="$/GSF",(('Operating Assumptions'!$M10*S$25)*'Operating Assumptions'!$D$11)/12,IF('Operating Assumptions'!$L10="$/NSF",(('Operating Assumptions'!$M10*S$25)*'Operating Assumptions'!$D$12)/12))))))))</f>
        <v>0</v>
      </c>
      <c r="T82" s="427">
        <f>-IF(T$9&lt;'Operating Assumptions'!$D$53,0,IF(T$6&gt;'Operating Assumptions'!$AA$8,0,IF('Operating Assumptions'!$L10="N/A",0,IF('Operating Assumptions'!$L10="$/Unit/Annual",(('Operating Assumptions'!$M10*T$25)*T$36)/12,IF('Operating Assumptions'!$L10="$/Unit/Month",('Operating Assumptions'!$M10*T$25)*T$36,IF('Operating Assumptions'!$L10="Fixed Amount",('Operating Assumptions'!$M10*T$25)/12,IF('Operating Assumptions'!$L10="$/GSF",(('Operating Assumptions'!$M10*T$25)*'Operating Assumptions'!$D$11)/12,IF('Operating Assumptions'!$L10="$/NSF",(('Operating Assumptions'!$M10*T$25)*'Operating Assumptions'!$D$12)/12))))))))</f>
        <v>0</v>
      </c>
      <c r="U82" s="427">
        <f>-IF(U$9&lt;'Operating Assumptions'!$D$53,0,IF(U$6&gt;'Operating Assumptions'!$AA$8,0,IF('Operating Assumptions'!$L10="N/A",0,IF('Operating Assumptions'!$L10="$/Unit/Annual",(('Operating Assumptions'!$M10*U$25)*U$36)/12,IF('Operating Assumptions'!$L10="$/Unit/Month",('Operating Assumptions'!$M10*U$25)*U$36,IF('Operating Assumptions'!$L10="Fixed Amount",('Operating Assumptions'!$M10*U$25)/12,IF('Operating Assumptions'!$L10="$/GSF",(('Operating Assumptions'!$M10*U$25)*'Operating Assumptions'!$D$11)/12,IF('Operating Assumptions'!$L10="$/NSF",(('Operating Assumptions'!$M10*U$25)*'Operating Assumptions'!$D$12)/12))))))))</f>
        <v>0</v>
      </c>
      <c r="V82" s="427">
        <f>-IF(V$9&lt;'Operating Assumptions'!$D$53,0,IF(V$6&gt;'Operating Assumptions'!$AA$8,0,IF('Operating Assumptions'!$L10="N/A",0,IF('Operating Assumptions'!$L10="$/Unit/Annual",(('Operating Assumptions'!$M10*V$25)*V$36)/12,IF('Operating Assumptions'!$L10="$/Unit/Month",('Operating Assumptions'!$M10*V$25)*V$36,IF('Operating Assumptions'!$L10="Fixed Amount",('Operating Assumptions'!$M10*V$25)/12,IF('Operating Assumptions'!$L10="$/GSF",(('Operating Assumptions'!$M10*V$25)*'Operating Assumptions'!$D$11)/12,IF('Operating Assumptions'!$L10="$/NSF",(('Operating Assumptions'!$M10*V$25)*'Operating Assumptions'!$D$12)/12))))))))</f>
        <v>0</v>
      </c>
      <c r="W82" s="427">
        <f>-IF(W$9&lt;'Operating Assumptions'!$D$53,0,IF(W$6&gt;'Operating Assumptions'!$AA$8,0,IF('Operating Assumptions'!$L10="N/A",0,IF('Operating Assumptions'!$L10="$/Unit/Annual",(('Operating Assumptions'!$M10*W$25)*W$36)/12,IF('Operating Assumptions'!$L10="$/Unit/Month",('Operating Assumptions'!$M10*W$25)*W$36,IF('Operating Assumptions'!$L10="Fixed Amount",('Operating Assumptions'!$M10*W$25)/12,IF('Operating Assumptions'!$L10="$/GSF",(('Operating Assumptions'!$M10*W$25)*'Operating Assumptions'!$D$11)/12,IF('Operating Assumptions'!$L10="$/NSF",(('Operating Assumptions'!$M10*W$25)*'Operating Assumptions'!$D$12)/12))))))))</f>
        <v>0</v>
      </c>
      <c r="X82" s="427">
        <f>-IF(X$9&lt;'Operating Assumptions'!$D$53,0,IF(X$6&gt;'Operating Assumptions'!$AA$8,0,IF('Operating Assumptions'!$L10="N/A",0,IF('Operating Assumptions'!$L10="$/Unit/Annual",(('Operating Assumptions'!$M10*X$25)*X$36)/12,IF('Operating Assumptions'!$L10="$/Unit/Month",('Operating Assumptions'!$M10*X$25)*X$36,IF('Operating Assumptions'!$L10="Fixed Amount",('Operating Assumptions'!$M10*X$25)/12,IF('Operating Assumptions'!$L10="$/GSF",(('Operating Assumptions'!$M10*X$25)*'Operating Assumptions'!$D$11)/12,IF('Operating Assumptions'!$L10="$/NSF",(('Operating Assumptions'!$M10*X$25)*'Operating Assumptions'!$D$12)/12))))))))</f>
        <v>0</v>
      </c>
      <c r="Y82" s="427">
        <f>-IF(Y$9&lt;'Operating Assumptions'!$D$53,0,IF(Y$6&gt;'Operating Assumptions'!$AA$8,0,IF('Operating Assumptions'!$L10="N/A",0,IF('Operating Assumptions'!$L10="$/Unit/Annual",(('Operating Assumptions'!$M10*Y$25)*Y$36)/12,IF('Operating Assumptions'!$L10="$/Unit/Month",('Operating Assumptions'!$M10*Y$25)*Y$36,IF('Operating Assumptions'!$L10="Fixed Amount",('Operating Assumptions'!$M10*Y$25)/12,IF('Operating Assumptions'!$L10="$/GSF",(('Operating Assumptions'!$M10*Y$25)*'Operating Assumptions'!$D$11)/12,IF('Operating Assumptions'!$L10="$/NSF",(('Operating Assumptions'!$M10*Y$25)*'Operating Assumptions'!$D$12)/12))))))))</f>
        <v>-323.75</v>
      </c>
      <c r="Z82" s="427">
        <f>-IF(Z$9&lt;'Operating Assumptions'!$D$53,0,IF(Z$6&gt;'Operating Assumptions'!$AA$8,0,IF('Operating Assumptions'!$L10="N/A",0,IF('Operating Assumptions'!$L10="$/Unit/Annual",(('Operating Assumptions'!$M10*Z$25)*Z$36)/12,IF('Operating Assumptions'!$L10="$/Unit/Month",('Operating Assumptions'!$M10*Z$25)*Z$36,IF('Operating Assumptions'!$L10="Fixed Amount",('Operating Assumptions'!$M10*Z$25)/12,IF('Operating Assumptions'!$L10="$/GSF",(('Operating Assumptions'!$M10*Z$25)*'Operating Assumptions'!$D$11)/12,IF('Operating Assumptions'!$L10="$/NSF",(('Operating Assumptions'!$M10*Z$25)*'Operating Assumptions'!$D$12)/12))))))))</f>
        <v>-632.08333333333337</v>
      </c>
      <c r="AA82" s="427">
        <f>-IF(AA$9&lt;'Operating Assumptions'!$D$53,0,IF(AA$6&gt;'Operating Assumptions'!$AA$8,0,IF('Operating Assumptions'!$L10="N/A",0,IF('Operating Assumptions'!$L10="$/Unit/Annual",(('Operating Assumptions'!$M10*AA$25)*AA$36)/12,IF('Operating Assumptions'!$L10="$/Unit/Month",('Operating Assumptions'!$M10*AA$25)*AA$36,IF('Operating Assumptions'!$L10="Fixed Amount",('Operating Assumptions'!$M10*AA$25)/12,IF('Operating Assumptions'!$L10="$/GSF",(('Operating Assumptions'!$M10*AA$25)*'Operating Assumptions'!$D$11)/12,IF('Operating Assumptions'!$L10="$/NSF",(('Operating Assumptions'!$M10*AA$25)*'Operating Assumptions'!$D$12)/12))))))))</f>
        <v>-940.41666666666663</v>
      </c>
      <c r="AB82" s="427">
        <f>-IF(AB$9&lt;'Operating Assumptions'!$D$53,0,IF(AB$6&gt;'Operating Assumptions'!$AA$8,0,IF('Operating Assumptions'!$L10="N/A",0,IF('Operating Assumptions'!$L10="$/Unit/Annual",(('Operating Assumptions'!$M10*AB$25)*AB$36)/12,IF('Operating Assumptions'!$L10="$/Unit/Month",('Operating Assumptions'!$M10*AB$25)*AB$36,IF('Operating Assumptions'!$L10="Fixed Amount",('Operating Assumptions'!$M10*AB$25)/12,IF('Operating Assumptions'!$L10="$/GSF",(('Operating Assumptions'!$M10*AB$25)*'Operating Assumptions'!$D$11)/12,IF('Operating Assumptions'!$L10="$/NSF",(('Operating Assumptions'!$M10*AB$25)*'Operating Assumptions'!$D$12)/12))))))))</f>
        <v>-1248.75</v>
      </c>
      <c r="AC82" s="427">
        <f>-IF(AC$9&lt;'Operating Assumptions'!$D$53,0,IF(AC$6&gt;'Operating Assumptions'!$AA$8,0,IF('Operating Assumptions'!$L10="N/A",0,IF('Operating Assumptions'!$L10="$/Unit/Annual",(('Operating Assumptions'!$M10*AC$25)*AC$36)/12,IF('Operating Assumptions'!$L10="$/Unit/Month",('Operating Assumptions'!$M10*AC$25)*AC$36,IF('Operating Assumptions'!$L10="Fixed Amount",('Operating Assumptions'!$M10*AC$25)/12,IF('Operating Assumptions'!$L10="$/GSF",(('Operating Assumptions'!$M10*AC$25)*'Operating Assumptions'!$D$11)/12,IF('Operating Assumptions'!$L10="$/NSF",(('Operating Assumptions'!$M10*AC$25)*'Operating Assumptions'!$D$12)/12))))))))</f>
        <v>-1557.0833333333333</v>
      </c>
      <c r="AD82" s="427">
        <f>-IF(AD$9&lt;'Operating Assumptions'!$D$53,0,IF(AD$6&gt;'Operating Assumptions'!$AA$8,0,IF('Operating Assumptions'!$L10="N/A",0,IF('Operating Assumptions'!$L10="$/Unit/Annual",(('Operating Assumptions'!$M10*AD$25)*AD$36)/12,IF('Operating Assumptions'!$L10="$/Unit/Month",('Operating Assumptions'!$M10*AD$25)*AD$36,IF('Operating Assumptions'!$L10="Fixed Amount",('Operating Assumptions'!$M10*AD$25)/12,IF('Operating Assumptions'!$L10="$/GSF",(('Operating Assumptions'!$M10*AD$25)*'Operating Assumptions'!$D$11)/12,IF('Operating Assumptions'!$L10="$/NSF",(('Operating Assumptions'!$M10*AD$25)*'Operating Assumptions'!$D$12)/12))))))))</f>
        <v>-1865.4166666666667</v>
      </c>
      <c r="AE82" s="427">
        <f>-IF(AE$9&lt;'Operating Assumptions'!$D$53,0,IF(AE$6&gt;'Operating Assumptions'!$AA$8,0,IF('Operating Assumptions'!$L10="N/A",0,IF('Operating Assumptions'!$L10="$/Unit/Annual",(('Operating Assumptions'!$M10*AE$25)*AE$36)/12,IF('Operating Assumptions'!$L10="$/Unit/Month",('Operating Assumptions'!$M10*AE$25)*AE$36,IF('Operating Assumptions'!$L10="Fixed Amount",('Operating Assumptions'!$M10*AE$25)/12,IF('Operating Assumptions'!$L10="$/GSF",(('Operating Assumptions'!$M10*AE$25)*'Operating Assumptions'!$D$11)/12,IF('Operating Assumptions'!$L10="$/NSF",(('Operating Assumptions'!$M10*AE$25)*'Operating Assumptions'!$D$12)/12))))))))</f>
        <v>-1927.0833333333333</v>
      </c>
      <c r="AF82" s="427">
        <f>-IF(AF$9&lt;'Operating Assumptions'!$D$53,0,IF(AF$6&gt;'Operating Assumptions'!$AA$8,0,IF('Operating Assumptions'!$L10="N/A",0,IF('Operating Assumptions'!$L10="$/Unit/Annual",(('Operating Assumptions'!$M10*AF$25)*AF$36)/12,IF('Operating Assumptions'!$L10="$/Unit/Month",('Operating Assumptions'!$M10*AF$25)*AF$36,IF('Operating Assumptions'!$L10="Fixed Amount",('Operating Assumptions'!$M10*AF$25)/12,IF('Operating Assumptions'!$L10="$/GSF",(('Operating Assumptions'!$M10*AF$25)*'Operating Assumptions'!$D$11)/12,IF('Operating Assumptions'!$L10="$/NSF",(('Operating Assumptions'!$M10*AF$25)*'Operating Assumptions'!$D$12)/12))))))))</f>
        <v>-1946.3541666666667</v>
      </c>
      <c r="AG82" s="427">
        <f>-IF(AG$9&lt;'Operating Assumptions'!$D$53,0,IF(AG$6&gt;'Operating Assumptions'!$AA$8,0,IF('Operating Assumptions'!$L10="N/A",0,IF('Operating Assumptions'!$L10="$/Unit/Annual",(('Operating Assumptions'!$M10*AG$25)*AG$36)/12,IF('Operating Assumptions'!$L10="$/Unit/Month",('Operating Assumptions'!$M10*AG$25)*AG$36,IF('Operating Assumptions'!$L10="Fixed Amount",('Operating Assumptions'!$M10*AG$25)/12,IF('Operating Assumptions'!$L10="$/GSF",(('Operating Assumptions'!$M10*AG$25)*'Operating Assumptions'!$D$11)/12,IF('Operating Assumptions'!$L10="$/NSF",(('Operating Assumptions'!$M10*AG$25)*'Operating Assumptions'!$D$12)/12))))))))</f>
        <v>-1946.3541666666667</v>
      </c>
      <c r="AH82" s="427">
        <f>-IF(AH$9&lt;'Operating Assumptions'!$D$53,0,IF(AH$6&gt;'Operating Assumptions'!$AA$8,0,IF('Operating Assumptions'!$L10="N/A",0,IF('Operating Assumptions'!$L10="$/Unit/Annual",(('Operating Assumptions'!$M10*AH$25)*AH$36)/12,IF('Operating Assumptions'!$L10="$/Unit/Month",('Operating Assumptions'!$M10*AH$25)*AH$36,IF('Operating Assumptions'!$L10="Fixed Amount",('Operating Assumptions'!$M10*AH$25)/12,IF('Operating Assumptions'!$L10="$/GSF",(('Operating Assumptions'!$M10*AH$25)*'Operating Assumptions'!$D$11)/12,IF('Operating Assumptions'!$L10="$/NSF",(('Operating Assumptions'!$M10*AH$25)*'Operating Assumptions'!$D$12)/12))))))))</f>
        <v>-2257.7708333333335</v>
      </c>
      <c r="AI82" s="427">
        <f>-IF(AI$9&lt;'Operating Assumptions'!$D$53,0,IF(AI$6&gt;'Operating Assumptions'!$AA$8,0,IF('Operating Assumptions'!$L10="N/A",0,IF('Operating Assumptions'!$L10="$/Unit/Annual",(('Operating Assumptions'!$M10*AI$25)*AI$36)/12,IF('Operating Assumptions'!$L10="$/Unit/Month",('Operating Assumptions'!$M10*AI$25)*AI$36,IF('Operating Assumptions'!$L10="Fixed Amount",('Operating Assumptions'!$M10*AI$25)/12,IF('Operating Assumptions'!$L10="$/GSF",(('Operating Assumptions'!$M10*AI$25)*'Operating Assumptions'!$D$11)/12,IF('Operating Assumptions'!$L10="$/NSF",(('Operating Assumptions'!$M10*AI$25)*'Operating Assumptions'!$D$12)/12))))))))</f>
        <v>-2569.1875</v>
      </c>
      <c r="AJ82" s="427">
        <f>-IF(AJ$9&lt;'Operating Assumptions'!$D$53,0,IF(AJ$6&gt;'Operating Assumptions'!$AA$8,0,IF('Operating Assumptions'!$L10="N/A",0,IF('Operating Assumptions'!$L10="$/Unit/Annual",(('Operating Assumptions'!$M10*AJ$25)*AJ$36)/12,IF('Operating Assumptions'!$L10="$/Unit/Month",('Operating Assumptions'!$M10*AJ$25)*AJ$36,IF('Operating Assumptions'!$L10="Fixed Amount",('Operating Assumptions'!$M10*AJ$25)/12,IF('Operating Assumptions'!$L10="$/GSF",(('Operating Assumptions'!$M10*AJ$25)*'Operating Assumptions'!$D$11)/12,IF('Operating Assumptions'!$L10="$/NSF",(('Operating Assumptions'!$M10*AJ$25)*'Operating Assumptions'!$D$12)/12))))))))</f>
        <v>-2880.6041666666665</v>
      </c>
      <c r="AK82" s="427">
        <f>-IF(AK$9&lt;'Operating Assumptions'!$D$53,0,IF(AK$6&gt;'Operating Assumptions'!$AA$8,0,IF('Operating Assumptions'!$L10="N/A",0,IF('Operating Assumptions'!$L10="$/Unit/Annual",(('Operating Assumptions'!$M10*AK$25)*AK$36)/12,IF('Operating Assumptions'!$L10="$/Unit/Month",('Operating Assumptions'!$M10*AK$25)*AK$36,IF('Operating Assumptions'!$L10="Fixed Amount",('Operating Assumptions'!$M10*AK$25)/12,IF('Operating Assumptions'!$L10="$/GSF",(('Operating Assumptions'!$M10*AK$25)*'Operating Assumptions'!$D$11)/12,IF('Operating Assumptions'!$L10="$/NSF",(('Operating Assumptions'!$M10*AK$25)*'Operating Assumptions'!$D$12)/12))))))))</f>
        <v>-3192.0208333333335</v>
      </c>
      <c r="AL82" s="427">
        <f>-IF(AL$9&lt;'Operating Assumptions'!$D$53,0,IF(AL$6&gt;'Operating Assumptions'!$AA$8,0,IF('Operating Assumptions'!$L10="N/A",0,IF('Operating Assumptions'!$L10="$/Unit/Annual",(('Operating Assumptions'!$M10*AL$25)*AL$36)/12,IF('Operating Assumptions'!$L10="$/Unit/Month",('Operating Assumptions'!$M10*AL$25)*AL$36,IF('Operating Assumptions'!$L10="Fixed Amount",('Operating Assumptions'!$M10*AL$25)/12,IF('Operating Assumptions'!$L10="$/GSF",(('Operating Assumptions'!$M10*AL$25)*'Operating Assumptions'!$D$11)/12,IF('Operating Assumptions'!$L10="$/NSF",(('Operating Assumptions'!$M10*AL$25)*'Operating Assumptions'!$D$12)/12))))))))</f>
        <v>-3503.4375</v>
      </c>
      <c r="AM82" s="427">
        <f>-IF(AM$9&lt;'Operating Assumptions'!$D$53,0,IF(AM$6&gt;'Operating Assumptions'!$AA$8,0,IF('Operating Assumptions'!$L10="N/A",0,IF('Operating Assumptions'!$L10="$/Unit/Annual",(('Operating Assumptions'!$M10*AM$25)*AM$36)/12,IF('Operating Assumptions'!$L10="$/Unit/Month",('Operating Assumptions'!$M10*AM$25)*AM$36,IF('Operating Assumptions'!$L10="Fixed Amount",('Operating Assumptions'!$M10*AM$25)/12,IF('Operating Assumptions'!$L10="$/GSF",(('Operating Assumptions'!$M10*AM$25)*'Operating Assumptions'!$D$11)/12,IF('Operating Assumptions'!$L10="$/NSF",(('Operating Assumptions'!$M10*AM$25)*'Operating Assumptions'!$D$12)/12))))))))</f>
        <v>-3737</v>
      </c>
      <c r="AN82" s="427">
        <f>-IF(AN$9&lt;'Operating Assumptions'!$D$53,0,IF(AN$6&gt;'Operating Assumptions'!$AA$8,0,IF('Operating Assumptions'!$L10="N/A",0,IF('Operating Assumptions'!$L10="$/Unit/Annual",(('Operating Assumptions'!$M10*AN$25)*AN$36)/12,IF('Operating Assumptions'!$L10="$/Unit/Month",('Operating Assumptions'!$M10*AN$25)*AN$36,IF('Operating Assumptions'!$L10="Fixed Amount",('Operating Assumptions'!$M10*AN$25)/12,IF('Operating Assumptions'!$L10="$/GSF",(('Operating Assumptions'!$M10*AN$25)*'Operating Assumptions'!$D$11)/12,IF('Operating Assumptions'!$L10="$/NSF",(('Operating Assumptions'!$M10*AN$25)*'Operating Assumptions'!$D$12)/12))))))))</f>
        <v>-3737</v>
      </c>
      <c r="AO82" s="427">
        <f>-IF(AO$9&lt;'Operating Assumptions'!$D$53,0,IF(AO$6&gt;'Operating Assumptions'!$AA$8,0,IF('Operating Assumptions'!$L10="N/A",0,IF('Operating Assumptions'!$L10="$/Unit/Annual",(('Operating Assumptions'!$M10*AO$25)*AO$36)/12,IF('Operating Assumptions'!$L10="$/Unit/Month",('Operating Assumptions'!$M10*AO$25)*AO$36,IF('Operating Assumptions'!$L10="Fixed Amount",('Operating Assumptions'!$M10*AO$25)/12,IF('Operating Assumptions'!$L10="$/GSF",(('Operating Assumptions'!$M10*AO$25)*'Operating Assumptions'!$D$11)/12,IF('Operating Assumptions'!$L10="$/NSF",(('Operating Assumptions'!$M10*AO$25)*'Operating Assumptions'!$D$12)/12))))))))</f>
        <v>-3737</v>
      </c>
      <c r="AP82" s="427">
        <f>-IF(AP$9&lt;'Operating Assumptions'!$D$53,0,IF(AP$6&gt;'Operating Assumptions'!$AA$8,0,IF('Operating Assumptions'!$L10="N/A",0,IF('Operating Assumptions'!$L10="$/Unit/Annual",(('Operating Assumptions'!$M10*AP$25)*AP$36)/12,IF('Operating Assumptions'!$L10="$/Unit/Month",('Operating Assumptions'!$M10*AP$25)*AP$36,IF('Operating Assumptions'!$L10="Fixed Amount",('Operating Assumptions'!$M10*AP$25)/12,IF('Operating Assumptions'!$L10="$/GSF",(('Operating Assumptions'!$M10*AP$25)*'Operating Assumptions'!$D$11)/12,IF('Operating Assumptions'!$L10="$/NSF",(('Operating Assumptions'!$M10*AP$25)*'Operating Assumptions'!$D$12)/12))))))))</f>
        <v>-3737</v>
      </c>
      <c r="AQ82" s="427">
        <f>-IF(AQ$9&lt;'Operating Assumptions'!$D$53,0,IF(AQ$6&gt;'Operating Assumptions'!$AA$8,0,IF('Operating Assumptions'!$L10="N/A",0,IF('Operating Assumptions'!$L10="$/Unit/Annual",(('Operating Assumptions'!$M10*AQ$25)*AQ$36)/12,IF('Operating Assumptions'!$L10="$/Unit/Month",('Operating Assumptions'!$M10*AQ$25)*AQ$36,IF('Operating Assumptions'!$L10="Fixed Amount",('Operating Assumptions'!$M10*AQ$25)/12,IF('Operating Assumptions'!$L10="$/GSF",(('Operating Assumptions'!$M10*AQ$25)*'Operating Assumptions'!$D$11)/12,IF('Operating Assumptions'!$L10="$/NSF",(('Operating Assumptions'!$M10*AQ$25)*'Operating Assumptions'!$D$12)/12))))))))</f>
        <v>-3737</v>
      </c>
      <c r="AR82" s="427">
        <f>-IF(AR$9&lt;'Operating Assumptions'!$D$53,0,IF(AR$6&gt;'Operating Assumptions'!$AA$8,0,IF('Operating Assumptions'!$L10="N/A",0,IF('Operating Assumptions'!$L10="$/Unit/Annual",(('Operating Assumptions'!$M10*AR$25)*AR$36)/12,IF('Operating Assumptions'!$L10="$/Unit/Month",('Operating Assumptions'!$M10*AR$25)*AR$36,IF('Operating Assumptions'!$L10="Fixed Amount",('Operating Assumptions'!$M10*AR$25)/12,IF('Operating Assumptions'!$L10="$/GSF",(('Operating Assumptions'!$M10*AR$25)*'Operating Assumptions'!$D$11)/12,IF('Operating Assumptions'!$L10="$/NSF",(('Operating Assumptions'!$M10*AR$25)*'Operating Assumptions'!$D$12)/12))))))))</f>
        <v>-3774.0000000000005</v>
      </c>
      <c r="AS82" s="427">
        <f>-IF(AS$9&lt;'Operating Assumptions'!$D$53,0,IF(AS$6&gt;'Operating Assumptions'!$AA$8,0,IF('Operating Assumptions'!$L10="N/A",0,IF('Operating Assumptions'!$L10="$/Unit/Annual",(('Operating Assumptions'!$M10*AS$25)*AS$36)/12,IF('Operating Assumptions'!$L10="$/Unit/Month",('Operating Assumptions'!$M10*AS$25)*AS$36,IF('Operating Assumptions'!$L10="Fixed Amount",('Operating Assumptions'!$M10*AS$25)/12,IF('Operating Assumptions'!$L10="$/GSF",(('Operating Assumptions'!$M10*AS$25)*'Operating Assumptions'!$D$11)/12,IF('Operating Assumptions'!$L10="$/NSF",(('Operating Assumptions'!$M10*AS$25)*'Operating Assumptions'!$D$12)/12))))))))</f>
        <v>-3774.0000000000005</v>
      </c>
      <c r="AT82" s="427">
        <f>-IF(AT$9&lt;'Operating Assumptions'!$D$53,0,IF(AT$6&gt;'Operating Assumptions'!$AA$8,0,IF('Operating Assumptions'!$L10="N/A",0,IF('Operating Assumptions'!$L10="$/Unit/Annual",(('Operating Assumptions'!$M10*AT$25)*AT$36)/12,IF('Operating Assumptions'!$L10="$/Unit/Month",('Operating Assumptions'!$M10*AT$25)*AT$36,IF('Operating Assumptions'!$L10="Fixed Amount",('Operating Assumptions'!$M10*AT$25)/12,IF('Operating Assumptions'!$L10="$/GSF",(('Operating Assumptions'!$M10*AT$25)*'Operating Assumptions'!$D$11)/12,IF('Operating Assumptions'!$L10="$/NSF",(('Operating Assumptions'!$M10*AT$25)*'Operating Assumptions'!$D$12)/12))))))))</f>
        <v>-3774.0000000000005</v>
      </c>
      <c r="AU82" s="427">
        <f>-IF(AU$9&lt;'Operating Assumptions'!$D$53,0,IF(AU$6&gt;'Operating Assumptions'!$AA$8,0,IF('Operating Assumptions'!$L10="N/A",0,IF('Operating Assumptions'!$L10="$/Unit/Annual",(('Operating Assumptions'!$M10*AU$25)*AU$36)/12,IF('Operating Assumptions'!$L10="$/Unit/Month",('Operating Assumptions'!$M10*AU$25)*AU$36,IF('Operating Assumptions'!$L10="Fixed Amount",('Operating Assumptions'!$M10*AU$25)/12,IF('Operating Assumptions'!$L10="$/GSF",(('Operating Assumptions'!$M10*AU$25)*'Operating Assumptions'!$D$11)/12,IF('Operating Assumptions'!$L10="$/NSF",(('Operating Assumptions'!$M10*AU$25)*'Operating Assumptions'!$D$12)/12))))))))</f>
        <v>-3774.0000000000005</v>
      </c>
      <c r="AV82" s="427">
        <f>-IF(AV$9&lt;'Operating Assumptions'!$D$53,0,IF(AV$6&gt;'Operating Assumptions'!$AA$8,0,IF('Operating Assumptions'!$L10="N/A",0,IF('Operating Assumptions'!$L10="$/Unit/Annual",(('Operating Assumptions'!$M10*AV$25)*AV$36)/12,IF('Operating Assumptions'!$L10="$/Unit/Month",('Operating Assumptions'!$M10*AV$25)*AV$36,IF('Operating Assumptions'!$L10="Fixed Amount",('Operating Assumptions'!$M10*AV$25)/12,IF('Operating Assumptions'!$L10="$/GSF",(('Operating Assumptions'!$M10*AV$25)*'Operating Assumptions'!$D$11)/12,IF('Operating Assumptions'!$L10="$/NSF",(('Operating Assumptions'!$M10*AV$25)*'Operating Assumptions'!$D$12)/12))))))))</f>
        <v>-3774.0000000000005</v>
      </c>
      <c r="AW82" s="427">
        <f>-IF(AW$9&lt;'Operating Assumptions'!$D$53,0,IF(AW$6&gt;'Operating Assumptions'!$AA$8,0,IF('Operating Assumptions'!$L10="N/A",0,IF('Operating Assumptions'!$L10="$/Unit/Annual",(('Operating Assumptions'!$M10*AW$25)*AW$36)/12,IF('Operating Assumptions'!$L10="$/Unit/Month",('Operating Assumptions'!$M10*AW$25)*AW$36,IF('Operating Assumptions'!$L10="Fixed Amount",('Operating Assumptions'!$M10*AW$25)/12,IF('Operating Assumptions'!$L10="$/GSF",(('Operating Assumptions'!$M10*AW$25)*'Operating Assumptions'!$D$11)/12,IF('Operating Assumptions'!$L10="$/NSF",(('Operating Assumptions'!$M10*AW$25)*'Operating Assumptions'!$D$12)/12))))))))</f>
        <v>-3774.0000000000005</v>
      </c>
      <c r="AX82" s="427">
        <f>-IF(AX$9&lt;'Operating Assumptions'!$D$53,0,IF(AX$6&gt;'Operating Assumptions'!$AA$8,0,IF('Operating Assumptions'!$L10="N/A",0,IF('Operating Assumptions'!$L10="$/Unit/Annual",(('Operating Assumptions'!$M10*AX$25)*AX$36)/12,IF('Operating Assumptions'!$L10="$/Unit/Month",('Operating Assumptions'!$M10*AX$25)*AX$36,IF('Operating Assumptions'!$L10="Fixed Amount",('Operating Assumptions'!$M10*AX$25)/12,IF('Operating Assumptions'!$L10="$/GSF",(('Operating Assumptions'!$M10*AX$25)*'Operating Assumptions'!$D$11)/12,IF('Operating Assumptions'!$L10="$/NSF",(('Operating Assumptions'!$M10*AX$25)*'Operating Assumptions'!$D$12)/12))))))))</f>
        <v>-3774.0000000000005</v>
      </c>
      <c r="AY82" s="427">
        <f>-IF(AY$9&lt;'Operating Assumptions'!$D$53,0,IF(AY$6&gt;'Operating Assumptions'!$AA$8,0,IF('Operating Assumptions'!$L10="N/A",0,IF('Operating Assumptions'!$L10="$/Unit/Annual",(('Operating Assumptions'!$M10*AY$25)*AY$36)/12,IF('Operating Assumptions'!$L10="$/Unit/Month",('Operating Assumptions'!$M10*AY$25)*AY$36,IF('Operating Assumptions'!$L10="Fixed Amount",('Operating Assumptions'!$M10*AY$25)/12,IF('Operating Assumptions'!$L10="$/GSF",(('Operating Assumptions'!$M10*AY$25)*'Operating Assumptions'!$D$11)/12,IF('Operating Assumptions'!$L10="$/NSF",(('Operating Assumptions'!$M10*AY$25)*'Operating Assumptions'!$D$12)/12))))))))</f>
        <v>-3774.0000000000005</v>
      </c>
      <c r="AZ82" s="427">
        <f>-IF(AZ$9&lt;'Operating Assumptions'!$D$53,0,IF(AZ$6&gt;'Operating Assumptions'!$AA$8,0,IF('Operating Assumptions'!$L10="N/A",0,IF('Operating Assumptions'!$L10="$/Unit/Annual",(('Operating Assumptions'!$M10*AZ$25)*AZ$36)/12,IF('Operating Assumptions'!$L10="$/Unit/Month",('Operating Assumptions'!$M10*AZ$25)*AZ$36,IF('Operating Assumptions'!$L10="Fixed Amount",('Operating Assumptions'!$M10*AZ$25)/12,IF('Operating Assumptions'!$L10="$/GSF",(('Operating Assumptions'!$M10*AZ$25)*'Operating Assumptions'!$D$11)/12,IF('Operating Assumptions'!$L10="$/NSF",(('Operating Assumptions'!$M10*AZ$25)*'Operating Assumptions'!$D$12)/12))))))))</f>
        <v>-3774.0000000000005</v>
      </c>
      <c r="BA82" s="427">
        <f>-IF(BA$9&lt;'Operating Assumptions'!$D$53,0,IF(BA$6&gt;'Operating Assumptions'!$AA$8,0,IF('Operating Assumptions'!$L10="N/A",0,IF('Operating Assumptions'!$L10="$/Unit/Annual",(('Operating Assumptions'!$M10*BA$25)*BA$36)/12,IF('Operating Assumptions'!$L10="$/Unit/Month",('Operating Assumptions'!$M10*BA$25)*BA$36,IF('Operating Assumptions'!$L10="Fixed Amount",('Operating Assumptions'!$M10*BA$25)/12,IF('Operating Assumptions'!$L10="$/GSF",(('Operating Assumptions'!$M10*BA$25)*'Operating Assumptions'!$D$11)/12,IF('Operating Assumptions'!$L10="$/NSF",(('Operating Assumptions'!$M10*BA$25)*'Operating Assumptions'!$D$12)/12))))))))</f>
        <v>-3774.0000000000005</v>
      </c>
      <c r="BB82" s="427">
        <f>-IF(BB$9&lt;'Operating Assumptions'!$D$53,0,IF(BB$6&gt;'Operating Assumptions'!$AA$8,0,IF('Operating Assumptions'!$L10="N/A",0,IF('Operating Assumptions'!$L10="$/Unit/Annual",(('Operating Assumptions'!$M10*BB$25)*BB$36)/12,IF('Operating Assumptions'!$L10="$/Unit/Month",('Operating Assumptions'!$M10*BB$25)*BB$36,IF('Operating Assumptions'!$L10="Fixed Amount",('Operating Assumptions'!$M10*BB$25)/12,IF('Operating Assumptions'!$L10="$/GSF",(('Operating Assumptions'!$M10*BB$25)*'Operating Assumptions'!$D$11)/12,IF('Operating Assumptions'!$L10="$/NSF",(('Operating Assumptions'!$M10*BB$25)*'Operating Assumptions'!$D$12)/12))))))))</f>
        <v>-3774.0000000000005</v>
      </c>
      <c r="BC82" s="427">
        <f>-IF(BC$9&lt;'Operating Assumptions'!$D$53,0,IF(BC$6&gt;'Operating Assumptions'!$AA$8,0,IF('Operating Assumptions'!$L10="N/A",0,IF('Operating Assumptions'!$L10="$/Unit/Annual",(('Operating Assumptions'!$M10*BC$25)*BC$36)/12,IF('Operating Assumptions'!$L10="$/Unit/Month",('Operating Assumptions'!$M10*BC$25)*BC$36,IF('Operating Assumptions'!$L10="Fixed Amount",('Operating Assumptions'!$M10*BC$25)/12,IF('Operating Assumptions'!$L10="$/GSF",(('Operating Assumptions'!$M10*BC$25)*'Operating Assumptions'!$D$11)/12,IF('Operating Assumptions'!$L10="$/NSF",(('Operating Assumptions'!$M10*BC$25)*'Operating Assumptions'!$D$12)/12))))))))</f>
        <v>-3774.0000000000005</v>
      </c>
      <c r="BD82" s="427">
        <f>-IF(BD$9&lt;'Operating Assumptions'!$D$53,0,IF(BD$6&gt;'Operating Assumptions'!$AA$8,0,IF('Operating Assumptions'!$L10="N/A",0,IF('Operating Assumptions'!$L10="$/Unit/Annual",(('Operating Assumptions'!$M10*BD$25)*BD$36)/12,IF('Operating Assumptions'!$L10="$/Unit/Month",('Operating Assumptions'!$M10*BD$25)*BD$36,IF('Operating Assumptions'!$L10="Fixed Amount",('Operating Assumptions'!$M10*BD$25)/12,IF('Operating Assumptions'!$L10="$/GSF",(('Operating Assumptions'!$M10*BD$25)*'Operating Assumptions'!$D$11)/12,IF('Operating Assumptions'!$L10="$/NSF",(('Operating Assumptions'!$M10*BD$25)*'Operating Assumptions'!$D$12)/12))))))))</f>
        <v>-3811</v>
      </c>
      <c r="BE82" s="427">
        <f>-IF(BE$9&lt;'Operating Assumptions'!$D$53,0,IF(BE$6&gt;'Operating Assumptions'!$AA$8,0,IF('Operating Assumptions'!$L10="N/A",0,IF('Operating Assumptions'!$L10="$/Unit/Annual",(('Operating Assumptions'!$M10*BE$25)*BE$36)/12,IF('Operating Assumptions'!$L10="$/Unit/Month",('Operating Assumptions'!$M10*BE$25)*BE$36,IF('Operating Assumptions'!$L10="Fixed Amount",('Operating Assumptions'!$M10*BE$25)/12,IF('Operating Assumptions'!$L10="$/GSF",(('Operating Assumptions'!$M10*BE$25)*'Operating Assumptions'!$D$11)/12,IF('Operating Assumptions'!$L10="$/NSF",(('Operating Assumptions'!$M10*BE$25)*'Operating Assumptions'!$D$12)/12))))))))</f>
        <v>-3811</v>
      </c>
      <c r="BF82" s="427">
        <f>-IF(BF$9&lt;'Operating Assumptions'!$D$53,0,IF(BF$6&gt;'Operating Assumptions'!$AA$8,0,IF('Operating Assumptions'!$L10="N/A",0,IF('Operating Assumptions'!$L10="$/Unit/Annual",(('Operating Assumptions'!$M10*BF$25)*BF$36)/12,IF('Operating Assumptions'!$L10="$/Unit/Month",('Operating Assumptions'!$M10*BF$25)*BF$36,IF('Operating Assumptions'!$L10="Fixed Amount",('Operating Assumptions'!$M10*BF$25)/12,IF('Operating Assumptions'!$L10="$/GSF",(('Operating Assumptions'!$M10*BF$25)*'Operating Assumptions'!$D$11)/12,IF('Operating Assumptions'!$L10="$/NSF",(('Operating Assumptions'!$M10*BF$25)*'Operating Assumptions'!$D$12)/12))))))))</f>
        <v>-3811</v>
      </c>
      <c r="BG82" s="427">
        <f>-IF(BG$9&lt;'Operating Assumptions'!$D$53,0,IF(BG$6&gt;'Operating Assumptions'!$AA$8,0,IF('Operating Assumptions'!$L10="N/A",0,IF('Operating Assumptions'!$L10="$/Unit/Annual",(('Operating Assumptions'!$M10*BG$25)*BG$36)/12,IF('Operating Assumptions'!$L10="$/Unit/Month",('Operating Assumptions'!$M10*BG$25)*BG$36,IF('Operating Assumptions'!$L10="Fixed Amount",('Operating Assumptions'!$M10*BG$25)/12,IF('Operating Assumptions'!$L10="$/GSF",(('Operating Assumptions'!$M10*BG$25)*'Operating Assumptions'!$D$11)/12,IF('Operating Assumptions'!$L10="$/NSF",(('Operating Assumptions'!$M10*BG$25)*'Operating Assumptions'!$D$12)/12))))))))</f>
        <v>-3811</v>
      </c>
      <c r="BH82" s="427">
        <f>-IF(BH$9&lt;'Operating Assumptions'!$D$53,0,IF(BH$6&gt;'Operating Assumptions'!$AA$8,0,IF('Operating Assumptions'!$L10="N/A",0,IF('Operating Assumptions'!$L10="$/Unit/Annual",(('Operating Assumptions'!$M10*BH$25)*BH$36)/12,IF('Operating Assumptions'!$L10="$/Unit/Month",('Operating Assumptions'!$M10*BH$25)*BH$36,IF('Operating Assumptions'!$L10="Fixed Amount",('Operating Assumptions'!$M10*BH$25)/12,IF('Operating Assumptions'!$L10="$/GSF",(('Operating Assumptions'!$M10*BH$25)*'Operating Assumptions'!$D$11)/12,IF('Operating Assumptions'!$L10="$/NSF",(('Operating Assumptions'!$M10*BH$25)*'Operating Assumptions'!$D$12)/12))))))))</f>
        <v>-3811</v>
      </c>
      <c r="BI82" s="427">
        <f>-IF(BI$9&lt;'Operating Assumptions'!$D$53,0,IF(BI$6&gt;'Operating Assumptions'!$AA$8,0,IF('Operating Assumptions'!$L10="N/A",0,IF('Operating Assumptions'!$L10="$/Unit/Annual",(('Operating Assumptions'!$M10*BI$25)*BI$36)/12,IF('Operating Assumptions'!$L10="$/Unit/Month",('Operating Assumptions'!$M10*BI$25)*BI$36,IF('Operating Assumptions'!$L10="Fixed Amount",('Operating Assumptions'!$M10*BI$25)/12,IF('Operating Assumptions'!$L10="$/GSF",(('Operating Assumptions'!$M10*BI$25)*'Operating Assumptions'!$D$11)/12,IF('Operating Assumptions'!$L10="$/NSF",(('Operating Assumptions'!$M10*BI$25)*'Operating Assumptions'!$D$12)/12))))))))</f>
        <v>-3811</v>
      </c>
      <c r="BJ82" s="427">
        <f>-IF(BJ$9&lt;'Operating Assumptions'!$D$53,0,IF(BJ$6&gt;'Operating Assumptions'!$AA$8,0,IF('Operating Assumptions'!$L10="N/A",0,IF('Operating Assumptions'!$L10="$/Unit/Annual",(('Operating Assumptions'!$M10*BJ$25)*BJ$36)/12,IF('Operating Assumptions'!$L10="$/Unit/Month",('Operating Assumptions'!$M10*BJ$25)*BJ$36,IF('Operating Assumptions'!$L10="Fixed Amount",('Operating Assumptions'!$M10*BJ$25)/12,IF('Operating Assumptions'!$L10="$/GSF",(('Operating Assumptions'!$M10*BJ$25)*'Operating Assumptions'!$D$11)/12,IF('Operating Assumptions'!$L10="$/NSF",(('Operating Assumptions'!$M10*BJ$25)*'Operating Assumptions'!$D$12)/12))))))))</f>
        <v>-3811</v>
      </c>
      <c r="BK82" s="427">
        <f>-IF(BK$9&lt;'Operating Assumptions'!$D$53,0,IF(BK$6&gt;'Operating Assumptions'!$AA$8,0,IF('Operating Assumptions'!$L10="N/A",0,IF('Operating Assumptions'!$L10="$/Unit/Annual",(('Operating Assumptions'!$M10*BK$25)*BK$36)/12,IF('Operating Assumptions'!$L10="$/Unit/Month",('Operating Assumptions'!$M10*BK$25)*BK$36,IF('Operating Assumptions'!$L10="Fixed Amount",('Operating Assumptions'!$M10*BK$25)/12,IF('Operating Assumptions'!$L10="$/GSF",(('Operating Assumptions'!$M10*BK$25)*'Operating Assumptions'!$D$11)/12,IF('Operating Assumptions'!$L10="$/NSF",(('Operating Assumptions'!$M10*BK$25)*'Operating Assumptions'!$D$12)/12))))))))</f>
        <v>-3811</v>
      </c>
      <c r="BL82" s="427">
        <f>-IF(BL$9&lt;'Operating Assumptions'!$D$53,0,IF(BL$6&gt;'Operating Assumptions'!$AA$8,0,IF('Operating Assumptions'!$L10="N/A",0,IF('Operating Assumptions'!$L10="$/Unit/Annual",(('Operating Assumptions'!$M10*BL$25)*BL$36)/12,IF('Operating Assumptions'!$L10="$/Unit/Month",('Operating Assumptions'!$M10*BL$25)*BL$36,IF('Operating Assumptions'!$L10="Fixed Amount",('Operating Assumptions'!$M10*BL$25)/12,IF('Operating Assumptions'!$L10="$/GSF",(('Operating Assumptions'!$M10*BL$25)*'Operating Assumptions'!$D$11)/12,IF('Operating Assumptions'!$L10="$/NSF",(('Operating Assumptions'!$M10*BL$25)*'Operating Assumptions'!$D$12)/12))))))))</f>
        <v>-3811</v>
      </c>
      <c r="BM82" s="427">
        <f>-IF(BM$9&lt;'Operating Assumptions'!$D$53,0,IF(BM$6&gt;'Operating Assumptions'!$AA$8,0,IF('Operating Assumptions'!$L10="N/A",0,IF('Operating Assumptions'!$L10="$/Unit/Annual",(('Operating Assumptions'!$M10*BM$25)*BM$36)/12,IF('Operating Assumptions'!$L10="$/Unit/Month",('Operating Assumptions'!$M10*BM$25)*BM$36,IF('Operating Assumptions'!$L10="Fixed Amount",('Operating Assumptions'!$M10*BM$25)/12,IF('Operating Assumptions'!$L10="$/GSF",(('Operating Assumptions'!$M10*BM$25)*'Operating Assumptions'!$D$11)/12,IF('Operating Assumptions'!$L10="$/NSF",(('Operating Assumptions'!$M10*BM$25)*'Operating Assumptions'!$D$12)/12))))))))</f>
        <v>-3811</v>
      </c>
      <c r="BN82" s="427">
        <f>-IF(BN$9&lt;'Operating Assumptions'!$D$53,0,IF(BN$6&gt;'Operating Assumptions'!$AA$8,0,IF('Operating Assumptions'!$L10="N/A",0,IF('Operating Assumptions'!$L10="$/Unit/Annual",(('Operating Assumptions'!$M10*BN$25)*BN$36)/12,IF('Operating Assumptions'!$L10="$/Unit/Month",('Operating Assumptions'!$M10*BN$25)*BN$36,IF('Operating Assumptions'!$L10="Fixed Amount",('Operating Assumptions'!$M10*BN$25)/12,IF('Operating Assumptions'!$L10="$/GSF",(('Operating Assumptions'!$M10*BN$25)*'Operating Assumptions'!$D$11)/12,IF('Operating Assumptions'!$L10="$/NSF",(('Operating Assumptions'!$M10*BN$25)*'Operating Assumptions'!$D$12)/12))))))))</f>
        <v>-3811</v>
      </c>
      <c r="BO82" s="427">
        <f>-IF(BO$9&lt;'Operating Assumptions'!$D$53,0,IF(BO$6&gt;'Operating Assumptions'!$AA$8,0,IF('Operating Assumptions'!$L10="N/A",0,IF('Operating Assumptions'!$L10="$/Unit/Annual",(('Operating Assumptions'!$M10*BO$25)*BO$36)/12,IF('Operating Assumptions'!$L10="$/Unit/Month",('Operating Assumptions'!$M10*BO$25)*BO$36,IF('Operating Assumptions'!$L10="Fixed Amount",('Operating Assumptions'!$M10*BO$25)/12,IF('Operating Assumptions'!$L10="$/GSF",(('Operating Assumptions'!$M10*BO$25)*'Operating Assumptions'!$D$11)/12,IF('Operating Assumptions'!$L10="$/NSF",(('Operating Assumptions'!$M10*BO$25)*'Operating Assumptions'!$D$12)/12))))))))</f>
        <v>-3811</v>
      </c>
      <c r="BP82" s="427">
        <f>-IF(BP$9&lt;'Operating Assumptions'!$D$53,0,IF(BP$6&gt;'Operating Assumptions'!$AA$8,0,IF('Operating Assumptions'!$L10="N/A",0,IF('Operating Assumptions'!$L10="$/Unit/Annual",(('Operating Assumptions'!$M10*BP$25)*BP$36)/12,IF('Operating Assumptions'!$L10="$/Unit/Month",('Operating Assumptions'!$M10*BP$25)*BP$36,IF('Operating Assumptions'!$L10="Fixed Amount",('Operating Assumptions'!$M10*BP$25)/12,IF('Operating Assumptions'!$L10="$/GSF",(('Operating Assumptions'!$M10*BP$25)*'Operating Assumptions'!$D$11)/12,IF('Operating Assumptions'!$L10="$/NSF",(('Operating Assumptions'!$M10*BP$25)*'Operating Assumptions'!$D$12)/12))))))))</f>
        <v>-3848</v>
      </c>
      <c r="BQ82" s="427">
        <f>-IF(BQ$9&lt;'Operating Assumptions'!$D$53,0,IF(BQ$6&gt;'Operating Assumptions'!$AA$8,0,IF('Operating Assumptions'!$L10="N/A",0,IF('Operating Assumptions'!$L10="$/Unit/Annual",(('Operating Assumptions'!$M10*BQ$25)*BQ$36)/12,IF('Operating Assumptions'!$L10="$/Unit/Month",('Operating Assumptions'!$M10*BQ$25)*BQ$36,IF('Operating Assumptions'!$L10="Fixed Amount",('Operating Assumptions'!$M10*BQ$25)/12,IF('Operating Assumptions'!$L10="$/GSF",(('Operating Assumptions'!$M10*BQ$25)*'Operating Assumptions'!$D$11)/12,IF('Operating Assumptions'!$L10="$/NSF",(('Operating Assumptions'!$M10*BQ$25)*'Operating Assumptions'!$D$12)/12))))))))</f>
        <v>-3848</v>
      </c>
      <c r="BR82" s="427">
        <f>-IF(BR$9&lt;'Operating Assumptions'!$D$53,0,IF(BR$6&gt;'Operating Assumptions'!$AA$8,0,IF('Operating Assumptions'!$L10="N/A",0,IF('Operating Assumptions'!$L10="$/Unit/Annual",(('Operating Assumptions'!$M10*BR$25)*BR$36)/12,IF('Operating Assumptions'!$L10="$/Unit/Month",('Operating Assumptions'!$M10*BR$25)*BR$36,IF('Operating Assumptions'!$L10="Fixed Amount",('Operating Assumptions'!$M10*BR$25)/12,IF('Operating Assumptions'!$L10="$/GSF",(('Operating Assumptions'!$M10*BR$25)*'Operating Assumptions'!$D$11)/12,IF('Operating Assumptions'!$L10="$/NSF",(('Operating Assumptions'!$M10*BR$25)*'Operating Assumptions'!$D$12)/12))))))))</f>
        <v>-3848</v>
      </c>
      <c r="BS82" s="427">
        <f>-IF(BS$9&lt;'Operating Assumptions'!$D$53,0,IF(BS$6&gt;'Operating Assumptions'!$AA$8,0,IF('Operating Assumptions'!$L10="N/A",0,IF('Operating Assumptions'!$L10="$/Unit/Annual",(('Operating Assumptions'!$M10*BS$25)*BS$36)/12,IF('Operating Assumptions'!$L10="$/Unit/Month",('Operating Assumptions'!$M10*BS$25)*BS$36,IF('Operating Assumptions'!$L10="Fixed Amount",('Operating Assumptions'!$M10*BS$25)/12,IF('Operating Assumptions'!$L10="$/GSF",(('Operating Assumptions'!$M10*BS$25)*'Operating Assumptions'!$D$11)/12,IF('Operating Assumptions'!$L10="$/NSF",(('Operating Assumptions'!$M10*BS$25)*'Operating Assumptions'!$D$12)/12))))))))</f>
        <v>-3848</v>
      </c>
      <c r="BT82" s="427">
        <f>-IF(BT$9&lt;'Operating Assumptions'!$D$53,0,IF(BT$6&gt;'Operating Assumptions'!$AA$8,0,IF('Operating Assumptions'!$L10="N/A",0,IF('Operating Assumptions'!$L10="$/Unit/Annual",(('Operating Assumptions'!$M10*BT$25)*BT$36)/12,IF('Operating Assumptions'!$L10="$/Unit/Month",('Operating Assumptions'!$M10*BT$25)*BT$36,IF('Operating Assumptions'!$L10="Fixed Amount",('Operating Assumptions'!$M10*BT$25)/12,IF('Operating Assumptions'!$L10="$/GSF",(('Operating Assumptions'!$M10*BT$25)*'Operating Assumptions'!$D$11)/12,IF('Operating Assumptions'!$L10="$/NSF",(('Operating Assumptions'!$M10*BT$25)*'Operating Assumptions'!$D$12)/12))))))))</f>
        <v>-3848</v>
      </c>
      <c r="BU82" s="427">
        <f>-IF(BU$9&lt;'Operating Assumptions'!$D$53,0,IF(BU$6&gt;'Operating Assumptions'!$AA$8,0,IF('Operating Assumptions'!$L10="N/A",0,IF('Operating Assumptions'!$L10="$/Unit/Annual",(('Operating Assumptions'!$M10*BU$25)*BU$36)/12,IF('Operating Assumptions'!$L10="$/Unit/Month",('Operating Assumptions'!$M10*BU$25)*BU$36,IF('Operating Assumptions'!$L10="Fixed Amount",('Operating Assumptions'!$M10*BU$25)/12,IF('Operating Assumptions'!$L10="$/GSF",(('Operating Assumptions'!$M10*BU$25)*'Operating Assumptions'!$D$11)/12,IF('Operating Assumptions'!$L10="$/NSF",(('Operating Assumptions'!$M10*BU$25)*'Operating Assumptions'!$D$12)/12))))))))</f>
        <v>-3848</v>
      </c>
      <c r="BV82" s="427">
        <f>-IF(BV$9&lt;'Operating Assumptions'!$D$53,0,IF(BV$6&gt;'Operating Assumptions'!$AA$8,0,IF('Operating Assumptions'!$L10="N/A",0,IF('Operating Assumptions'!$L10="$/Unit/Annual",(('Operating Assumptions'!$M10*BV$25)*BV$36)/12,IF('Operating Assumptions'!$L10="$/Unit/Month",('Operating Assumptions'!$M10*BV$25)*BV$36,IF('Operating Assumptions'!$L10="Fixed Amount",('Operating Assumptions'!$M10*BV$25)/12,IF('Operating Assumptions'!$L10="$/GSF",(('Operating Assumptions'!$M10*BV$25)*'Operating Assumptions'!$D$11)/12,IF('Operating Assumptions'!$L10="$/NSF",(('Operating Assumptions'!$M10*BV$25)*'Operating Assumptions'!$D$12)/12))))))))</f>
        <v>-3848</v>
      </c>
      <c r="BW82" s="427">
        <f>-IF(BW$9&lt;'Operating Assumptions'!$D$53,0,IF(BW$6&gt;'Operating Assumptions'!$AA$8,0,IF('Operating Assumptions'!$L10="N/A",0,IF('Operating Assumptions'!$L10="$/Unit/Annual",(('Operating Assumptions'!$M10*BW$25)*BW$36)/12,IF('Operating Assumptions'!$L10="$/Unit/Month",('Operating Assumptions'!$M10*BW$25)*BW$36,IF('Operating Assumptions'!$L10="Fixed Amount",('Operating Assumptions'!$M10*BW$25)/12,IF('Operating Assumptions'!$L10="$/GSF",(('Operating Assumptions'!$M10*BW$25)*'Operating Assumptions'!$D$11)/12,IF('Operating Assumptions'!$L10="$/NSF",(('Operating Assumptions'!$M10*BW$25)*'Operating Assumptions'!$D$12)/12))))))))</f>
        <v>-3848</v>
      </c>
      <c r="BX82" s="427">
        <f>-IF(BX$9&lt;'Operating Assumptions'!$D$53,0,IF(BX$6&gt;'Operating Assumptions'!$AA$8,0,IF('Operating Assumptions'!$L10="N/A",0,IF('Operating Assumptions'!$L10="$/Unit/Annual",(('Operating Assumptions'!$M10*BX$25)*BX$36)/12,IF('Operating Assumptions'!$L10="$/Unit/Month",('Operating Assumptions'!$M10*BX$25)*BX$36,IF('Operating Assumptions'!$L10="Fixed Amount",('Operating Assumptions'!$M10*BX$25)/12,IF('Operating Assumptions'!$L10="$/GSF",(('Operating Assumptions'!$M10*BX$25)*'Operating Assumptions'!$D$11)/12,IF('Operating Assumptions'!$L10="$/NSF",(('Operating Assumptions'!$M10*BX$25)*'Operating Assumptions'!$D$12)/12))))))))</f>
        <v>-3848</v>
      </c>
      <c r="BY82" s="427">
        <f>-IF(BY$9&lt;'Operating Assumptions'!$D$53,0,IF(BY$6&gt;'Operating Assumptions'!$AA$8,0,IF('Operating Assumptions'!$L10="N/A",0,IF('Operating Assumptions'!$L10="$/Unit/Annual",(('Operating Assumptions'!$M10*BY$25)*BY$36)/12,IF('Operating Assumptions'!$L10="$/Unit/Month",('Operating Assumptions'!$M10*BY$25)*BY$36,IF('Operating Assumptions'!$L10="Fixed Amount",('Operating Assumptions'!$M10*BY$25)/12,IF('Operating Assumptions'!$L10="$/GSF",(('Operating Assumptions'!$M10*BY$25)*'Operating Assumptions'!$D$11)/12,IF('Operating Assumptions'!$L10="$/NSF",(('Operating Assumptions'!$M10*BY$25)*'Operating Assumptions'!$D$12)/12))))))))</f>
        <v>-3848</v>
      </c>
      <c r="BZ82" s="427">
        <f>-IF(BZ$9&lt;'Operating Assumptions'!$D$53,0,IF(BZ$6&gt;'Operating Assumptions'!$AA$8,0,IF('Operating Assumptions'!$L10="N/A",0,IF('Operating Assumptions'!$L10="$/Unit/Annual",(('Operating Assumptions'!$M10*BZ$25)*BZ$36)/12,IF('Operating Assumptions'!$L10="$/Unit/Month",('Operating Assumptions'!$M10*BZ$25)*BZ$36,IF('Operating Assumptions'!$L10="Fixed Amount",('Operating Assumptions'!$M10*BZ$25)/12,IF('Operating Assumptions'!$L10="$/GSF",(('Operating Assumptions'!$M10*BZ$25)*'Operating Assumptions'!$D$11)/12,IF('Operating Assumptions'!$L10="$/NSF",(('Operating Assumptions'!$M10*BZ$25)*'Operating Assumptions'!$D$12)/12))))))))</f>
        <v>-3848</v>
      </c>
      <c r="CA82" s="427">
        <f>-IF(CA$9&lt;'Operating Assumptions'!$D$53,0,IF(CA$6&gt;'Operating Assumptions'!$AA$8,0,IF('Operating Assumptions'!$L10="N/A",0,IF('Operating Assumptions'!$L10="$/Unit/Annual",(('Operating Assumptions'!$M10*CA$25)*CA$36)/12,IF('Operating Assumptions'!$L10="$/Unit/Month",('Operating Assumptions'!$M10*CA$25)*CA$36,IF('Operating Assumptions'!$L10="Fixed Amount",('Operating Assumptions'!$M10*CA$25)/12,IF('Operating Assumptions'!$L10="$/GSF",(('Operating Assumptions'!$M10*CA$25)*'Operating Assumptions'!$D$11)/12,IF('Operating Assumptions'!$L10="$/NSF",(('Operating Assumptions'!$M10*CA$25)*'Operating Assumptions'!$D$12)/12))))))))</f>
        <v>-3848</v>
      </c>
      <c r="CB82" s="427">
        <f>-IF(CB$9&lt;'Operating Assumptions'!$D$53,0,IF(CB$6&gt;'Operating Assumptions'!$AA$8,0,IF('Operating Assumptions'!$L10="N/A",0,IF('Operating Assumptions'!$L10="$/Unit/Annual",(('Operating Assumptions'!$M10*CB$25)*CB$36)/12,IF('Operating Assumptions'!$L10="$/Unit/Month",('Operating Assumptions'!$M10*CB$25)*CB$36,IF('Operating Assumptions'!$L10="Fixed Amount",('Operating Assumptions'!$M10*CB$25)/12,IF('Operating Assumptions'!$L10="$/GSF",(('Operating Assumptions'!$M10*CB$25)*'Operating Assumptions'!$D$11)/12,IF('Operating Assumptions'!$L10="$/NSF",(('Operating Assumptions'!$M10*CB$25)*'Operating Assumptions'!$D$12)/12))))))))</f>
        <v>-3885</v>
      </c>
      <c r="CC82" s="427">
        <f>-IF(CC$9&lt;'Operating Assumptions'!$D$53,0,IF(CC$6&gt;'Operating Assumptions'!$AA$8,0,IF('Operating Assumptions'!$L10="N/A",0,IF('Operating Assumptions'!$L10="$/Unit/Annual",(('Operating Assumptions'!$M10*CC$25)*CC$36)/12,IF('Operating Assumptions'!$L10="$/Unit/Month",('Operating Assumptions'!$M10*CC$25)*CC$36,IF('Operating Assumptions'!$L10="Fixed Amount",('Operating Assumptions'!$M10*CC$25)/12,IF('Operating Assumptions'!$L10="$/GSF",(('Operating Assumptions'!$M10*CC$25)*'Operating Assumptions'!$D$11)/12,IF('Operating Assumptions'!$L10="$/NSF",(('Operating Assumptions'!$M10*CC$25)*'Operating Assumptions'!$D$12)/12))))))))</f>
        <v>-3885</v>
      </c>
      <c r="CD82" s="427">
        <f>-IF(CD$9&lt;'Operating Assumptions'!$D$53,0,IF(CD$6&gt;'Operating Assumptions'!$AA$8,0,IF('Operating Assumptions'!$L10="N/A",0,IF('Operating Assumptions'!$L10="$/Unit/Annual",(('Operating Assumptions'!$M10*CD$25)*CD$36)/12,IF('Operating Assumptions'!$L10="$/Unit/Month",('Operating Assumptions'!$M10*CD$25)*CD$36,IF('Operating Assumptions'!$L10="Fixed Amount",('Operating Assumptions'!$M10*CD$25)/12,IF('Operating Assumptions'!$L10="$/GSF",(('Operating Assumptions'!$M10*CD$25)*'Operating Assumptions'!$D$11)/12,IF('Operating Assumptions'!$L10="$/NSF",(('Operating Assumptions'!$M10*CD$25)*'Operating Assumptions'!$D$12)/12))))))))</f>
        <v>-3885</v>
      </c>
      <c r="CE82" s="427">
        <f>-IF(CE$9&lt;'Operating Assumptions'!$D$53,0,IF(CE$6&gt;'Operating Assumptions'!$AA$8,0,IF('Operating Assumptions'!$L10="N/A",0,IF('Operating Assumptions'!$L10="$/Unit/Annual",(('Operating Assumptions'!$M10*CE$25)*CE$36)/12,IF('Operating Assumptions'!$L10="$/Unit/Month",('Operating Assumptions'!$M10*CE$25)*CE$36,IF('Operating Assumptions'!$L10="Fixed Amount",('Operating Assumptions'!$M10*CE$25)/12,IF('Operating Assumptions'!$L10="$/GSF",(('Operating Assumptions'!$M10*CE$25)*'Operating Assumptions'!$D$11)/12,IF('Operating Assumptions'!$L10="$/NSF",(('Operating Assumptions'!$M10*CE$25)*'Operating Assumptions'!$D$12)/12))))))))</f>
        <v>-3885</v>
      </c>
      <c r="CF82" s="427">
        <f>-IF(CF$9&lt;'Operating Assumptions'!$D$53,0,IF(CF$6&gt;'Operating Assumptions'!$AA$8,0,IF('Operating Assumptions'!$L10="N/A",0,IF('Operating Assumptions'!$L10="$/Unit/Annual",(('Operating Assumptions'!$M10*CF$25)*CF$36)/12,IF('Operating Assumptions'!$L10="$/Unit/Month",('Operating Assumptions'!$M10*CF$25)*CF$36,IF('Operating Assumptions'!$L10="Fixed Amount",('Operating Assumptions'!$M10*CF$25)/12,IF('Operating Assumptions'!$L10="$/GSF",(('Operating Assumptions'!$M10*CF$25)*'Operating Assumptions'!$D$11)/12,IF('Operating Assumptions'!$L10="$/NSF",(('Operating Assumptions'!$M10*CF$25)*'Operating Assumptions'!$D$12)/12))))))))</f>
        <v>-3885</v>
      </c>
      <c r="CG82" s="427">
        <f>-IF(CG$9&lt;'Operating Assumptions'!$D$53,0,IF(CG$6&gt;'Operating Assumptions'!$AA$8,0,IF('Operating Assumptions'!$L10="N/A",0,IF('Operating Assumptions'!$L10="$/Unit/Annual",(('Operating Assumptions'!$M10*CG$25)*CG$36)/12,IF('Operating Assumptions'!$L10="$/Unit/Month",('Operating Assumptions'!$M10*CG$25)*CG$36,IF('Operating Assumptions'!$L10="Fixed Amount",('Operating Assumptions'!$M10*CG$25)/12,IF('Operating Assumptions'!$L10="$/GSF",(('Operating Assumptions'!$M10*CG$25)*'Operating Assumptions'!$D$11)/12,IF('Operating Assumptions'!$L10="$/NSF",(('Operating Assumptions'!$M10*CG$25)*'Operating Assumptions'!$D$12)/12))))))))</f>
        <v>-3885</v>
      </c>
      <c r="CH82" s="427">
        <f>-IF(CH$9&lt;'Operating Assumptions'!$D$53,0,IF(CH$6&gt;'Operating Assumptions'!$AA$8,0,IF('Operating Assumptions'!$L10="N/A",0,IF('Operating Assumptions'!$L10="$/Unit/Annual",(('Operating Assumptions'!$M10*CH$25)*CH$36)/12,IF('Operating Assumptions'!$L10="$/Unit/Month",('Operating Assumptions'!$M10*CH$25)*CH$36,IF('Operating Assumptions'!$L10="Fixed Amount",('Operating Assumptions'!$M10*CH$25)/12,IF('Operating Assumptions'!$L10="$/GSF",(('Operating Assumptions'!$M10*CH$25)*'Operating Assumptions'!$D$11)/12,IF('Operating Assumptions'!$L10="$/NSF",(('Operating Assumptions'!$M10*CH$25)*'Operating Assumptions'!$D$12)/12))))))))</f>
        <v>-3885</v>
      </c>
      <c r="CI82" s="427">
        <f>-IF(CI$9&lt;'Operating Assumptions'!$D$53,0,IF(CI$6&gt;'Operating Assumptions'!$AA$8,0,IF('Operating Assumptions'!$L10="N/A",0,IF('Operating Assumptions'!$L10="$/Unit/Annual",(('Operating Assumptions'!$M10*CI$25)*CI$36)/12,IF('Operating Assumptions'!$L10="$/Unit/Month",('Operating Assumptions'!$M10*CI$25)*CI$36,IF('Operating Assumptions'!$L10="Fixed Amount",('Operating Assumptions'!$M10*CI$25)/12,IF('Operating Assumptions'!$L10="$/GSF",(('Operating Assumptions'!$M10*CI$25)*'Operating Assumptions'!$D$11)/12,IF('Operating Assumptions'!$L10="$/NSF",(('Operating Assumptions'!$M10*CI$25)*'Operating Assumptions'!$D$12)/12))))))))</f>
        <v>-3885</v>
      </c>
      <c r="CJ82" s="427">
        <f>-IF(CJ$9&lt;'Operating Assumptions'!$D$53,0,IF(CJ$6&gt;'Operating Assumptions'!$AA$8,0,IF('Operating Assumptions'!$L10="N/A",0,IF('Operating Assumptions'!$L10="$/Unit/Annual",(('Operating Assumptions'!$M10*CJ$25)*CJ$36)/12,IF('Operating Assumptions'!$L10="$/Unit/Month",('Operating Assumptions'!$M10*CJ$25)*CJ$36,IF('Operating Assumptions'!$L10="Fixed Amount",('Operating Assumptions'!$M10*CJ$25)/12,IF('Operating Assumptions'!$L10="$/GSF",(('Operating Assumptions'!$M10*CJ$25)*'Operating Assumptions'!$D$11)/12,IF('Operating Assumptions'!$L10="$/NSF",(('Operating Assumptions'!$M10*CJ$25)*'Operating Assumptions'!$D$12)/12))))))))</f>
        <v>-3885</v>
      </c>
      <c r="CK82" s="427">
        <f>-IF(CK$9&lt;'Operating Assumptions'!$D$53,0,IF(CK$6&gt;'Operating Assumptions'!$AA$8,0,IF('Operating Assumptions'!$L10="N/A",0,IF('Operating Assumptions'!$L10="$/Unit/Annual",(('Operating Assumptions'!$M10*CK$25)*CK$36)/12,IF('Operating Assumptions'!$L10="$/Unit/Month",('Operating Assumptions'!$M10*CK$25)*CK$36,IF('Operating Assumptions'!$L10="Fixed Amount",('Operating Assumptions'!$M10*CK$25)/12,IF('Operating Assumptions'!$L10="$/GSF",(('Operating Assumptions'!$M10*CK$25)*'Operating Assumptions'!$D$11)/12,IF('Operating Assumptions'!$L10="$/NSF",(('Operating Assumptions'!$M10*CK$25)*'Operating Assumptions'!$D$12)/12))))))))</f>
        <v>-3885</v>
      </c>
      <c r="CL82" s="427">
        <f>-IF(CL$9&lt;'Operating Assumptions'!$D$53,0,IF(CL$6&gt;'Operating Assumptions'!$AA$8,0,IF('Operating Assumptions'!$L10="N/A",0,IF('Operating Assumptions'!$L10="$/Unit/Annual",(('Operating Assumptions'!$M10*CL$25)*CL$36)/12,IF('Operating Assumptions'!$L10="$/Unit/Month",('Operating Assumptions'!$M10*CL$25)*CL$36,IF('Operating Assumptions'!$L10="Fixed Amount",('Operating Assumptions'!$M10*CL$25)/12,IF('Operating Assumptions'!$L10="$/GSF",(('Operating Assumptions'!$M10*CL$25)*'Operating Assumptions'!$D$11)/12,IF('Operating Assumptions'!$L10="$/NSF",(('Operating Assumptions'!$M10*CL$25)*'Operating Assumptions'!$D$12)/12))))))))</f>
        <v>-3885</v>
      </c>
      <c r="CM82" s="427">
        <f>-IF(CM$9&lt;'Operating Assumptions'!$D$53,0,IF(CM$6&gt;'Operating Assumptions'!$AA$8,0,IF('Operating Assumptions'!$L10="N/A",0,IF('Operating Assumptions'!$L10="$/Unit/Annual",(('Operating Assumptions'!$M10*CM$25)*CM$36)/12,IF('Operating Assumptions'!$L10="$/Unit/Month",('Operating Assumptions'!$M10*CM$25)*CM$36,IF('Operating Assumptions'!$L10="Fixed Amount",('Operating Assumptions'!$M10*CM$25)/12,IF('Operating Assumptions'!$L10="$/GSF",(('Operating Assumptions'!$M10*CM$25)*'Operating Assumptions'!$D$11)/12,IF('Operating Assumptions'!$L10="$/NSF",(('Operating Assumptions'!$M10*CM$25)*'Operating Assumptions'!$D$12)/12))))))))</f>
        <v>-3885</v>
      </c>
      <c r="CN82" s="427">
        <f>-IF(CN$9&lt;'Operating Assumptions'!$D$53,0,IF(CN$6&gt;'Operating Assumptions'!$AA$8,0,IF('Operating Assumptions'!$L10="N/A",0,IF('Operating Assumptions'!$L10="$/Unit/Annual",(('Operating Assumptions'!$M10*CN$25)*CN$36)/12,IF('Operating Assumptions'!$L10="$/Unit/Month",('Operating Assumptions'!$M10*CN$25)*CN$36,IF('Operating Assumptions'!$L10="Fixed Amount",('Operating Assumptions'!$M10*CN$25)/12,IF('Operating Assumptions'!$L10="$/GSF",(('Operating Assumptions'!$M10*CN$25)*'Operating Assumptions'!$D$11)/12,IF('Operating Assumptions'!$L10="$/NSF",(('Operating Assumptions'!$M10*CN$25)*'Operating Assumptions'!$D$12)/12))))))))</f>
        <v>-3922.0000000000005</v>
      </c>
      <c r="CO82" s="427">
        <f>-IF(CO$9&lt;'Operating Assumptions'!$D$53,0,IF(CO$6&gt;'Operating Assumptions'!$AA$8,0,IF('Operating Assumptions'!$L10="N/A",0,IF('Operating Assumptions'!$L10="$/Unit/Annual",(('Operating Assumptions'!$M10*CO$25)*CO$36)/12,IF('Operating Assumptions'!$L10="$/Unit/Month",('Operating Assumptions'!$M10*CO$25)*CO$36,IF('Operating Assumptions'!$L10="Fixed Amount",('Operating Assumptions'!$M10*CO$25)/12,IF('Operating Assumptions'!$L10="$/GSF",(('Operating Assumptions'!$M10*CO$25)*'Operating Assumptions'!$D$11)/12,IF('Operating Assumptions'!$L10="$/NSF",(('Operating Assumptions'!$M10*CO$25)*'Operating Assumptions'!$D$12)/12))))))))</f>
        <v>-3922.0000000000005</v>
      </c>
      <c r="CP82" s="427">
        <f>-IF(CP$9&lt;'Operating Assumptions'!$D$53,0,IF(CP$6&gt;'Operating Assumptions'!$AA$8,0,IF('Operating Assumptions'!$L10="N/A",0,IF('Operating Assumptions'!$L10="$/Unit/Annual",(('Operating Assumptions'!$M10*CP$25)*CP$36)/12,IF('Operating Assumptions'!$L10="$/Unit/Month",('Operating Assumptions'!$M10*CP$25)*CP$36,IF('Operating Assumptions'!$L10="Fixed Amount",('Operating Assumptions'!$M10*CP$25)/12,IF('Operating Assumptions'!$L10="$/GSF",(('Operating Assumptions'!$M10*CP$25)*'Operating Assumptions'!$D$11)/12,IF('Operating Assumptions'!$L10="$/NSF",(('Operating Assumptions'!$M10*CP$25)*'Operating Assumptions'!$D$12)/12))))))))</f>
        <v>-3922.0000000000005</v>
      </c>
      <c r="CQ82" s="427">
        <f>-IF(CQ$9&lt;'Operating Assumptions'!$D$53,0,IF(CQ$6&gt;'Operating Assumptions'!$AA$8,0,IF('Operating Assumptions'!$L10="N/A",0,IF('Operating Assumptions'!$L10="$/Unit/Annual",(('Operating Assumptions'!$M10*CQ$25)*CQ$36)/12,IF('Operating Assumptions'!$L10="$/Unit/Month",('Operating Assumptions'!$M10*CQ$25)*CQ$36,IF('Operating Assumptions'!$L10="Fixed Amount",('Operating Assumptions'!$M10*CQ$25)/12,IF('Operating Assumptions'!$L10="$/GSF",(('Operating Assumptions'!$M10*CQ$25)*'Operating Assumptions'!$D$11)/12,IF('Operating Assumptions'!$L10="$/NSF",(('Operating Assumptions'!$M10*CQ$25)*'Operating Assumptions'!$D$12)/12))))))))</f>
        <v>-3922.0000000000005</v>
      </c>
      <c r="CR82" s="427">
        <f>-IF(CR$9&lt;'Operating Assumptions'!$D$53,0,IF(CR$6&gt;'Operating Assumptions'!$AA$8,0,IF('Operating Assumptions'!$L10="N/A",0,IF('Operating Assumptions'!$L10="$/Unit/Annual",(('Operating Assumptions'!$M10*CR$25)*CR$36)/12,IF('Operating Assumptions'!$L10="$/Unit/Month",('Operating Assumptions'!$M10*CR$25)*CR$36,IF('Operating Assumptions'!$L10="Fixed Amount",('Operating Assumptions'!$M10*CR$25)/12,IF('Operating Assumptions'!$L10="$/GSF",(('Operating Assumptions'!$M10*CR$25)*'Operating Assumptions'!$D$11)/12,IF('Operating Assumptions'!$L10="$/NSF",(('Operating Assumptions'!$M10*CR$25)*'Operating Assumptions'!$D$12)/12))))))))</f>
        <v>-3922.0000000000005</v>
      </c>
      <c r="CS82" s="427">
        <f>-IF(CS$9&lt;'Operating Assumptions'!$D$53,0,IF(CS$6&gt;'Operating Assumptions'!$AA$8,0,IF('Operating Assumptions'!$L10="N/A",0,IF('Operating Assumptions'!$L10="$/Unit/Annual",(('Operating Assumptions'!$M10*CS$25)*CS$36)/12,IF('Operating Assumptions'!$L10="$/Unit/Month",('Operating Assumptions'!$M10*CS$25)*CS$36,IF('Operating Assumptions'!$L10="Fixed Amount",('Operating Assumptions'!$M10*CS$25)/12,IF('Operating Assumptions'!$L10="$/GSF",(('Operating Assumptions'!$M10*CS$25)*'Operating Assumptions'!$D$11)/12,IF('Operating Assumptions'!$L10="$/NSF",(('Operating Assumptions'!$M10*CS$25)*'Operating Assumptions'!$D$12)/12))))))))</f>
        <v>-3922.0000000000005</v>
      </c>
      <c r="CT82" s="427">
        <f>-IF(CT$9&lt;'Operating Assumptions'!$D$53,0,IF(CT$6&gt;'Operating Assumptions'!$AA$8,0,IF('Operating Assumptions'!$L10="N/A",0,IF('Operating Assumptions'!$L10="$/Unit/Annual",(('Operating Assumptions'!$M10*CT$25)*CT$36)/12,IF('Operating Assumptions'!$L10="$/Unit/Month",('Operating Assumptions'!$M10*CT$25)*CT$36,IF('Operating Assumptions'!$L10="Fixed Amount",('Operating Assumptions'!$M10*CT$25)/12,IF('Operating Assumptions'!$L10="$/GSF",(('Operating Assumptions'!$M10*CT$25)*'Operating Assumptions'!$D$11)/12,IF('Operating Assumptions'!$L10="$/NSF",(('Operating Assumptions'!$M10*CT$25)*'Operating Assumptions'!$D$12)/12))))))))</f>
        <v>-3922.0000000000005</v>
      </c>
      <c r="CU82" s="427">
        <f>-IF(CU$9&lt;'Operating Assumptions'!$D$53,0,IF(CU$6&gt;'Operating Assumptions'!$AA$8,0,IF('Operating Assumptions'!$L10="N/A",0,IF('Operating Assumptions'!$L10="$/Unit/Annual",(('Operating Assumptions'!$M10*CU$25)*CU$36)/12,IF('Operating Assumptions'!$L10="$/Unit/Month",('Operating Assumptions'!$M10*CU$25)*CU$36,IF('Operating Assumptions'!$L10="Fixed Amount",('Operating Assumptions'!$M10*CU$25)/12,IF('Operating Assumptions'!$L10="$/GSF",(('Operating Assumptions'!$M10*CU$25)*'Operating Assumptions'!$D$11)/12,IF('Operating Assumptions'!$L10="$/NSF",(('Operating Assumptions'!$M10*CU$25)*'Operating Assumptions'!$D$12)/12))))))))</f>
        <v>-3922.0000000000005</v>
      </c>
      <c r="CV82" s="427">
        <f>-IF(CV$9&lt;'Operating Assumptions'!$D$53,0,IF(CV$6&gt;'Operating Assumptions'!$AA$8,0,IF('Operating Assumptions'!$L10="N/A",0,IF('Operating Assumptions'!$L10="$/Unit/Annual",(('Operating Assumptions'!$M10*CV$25)*CV$36)/12,IF('Operating Assumptions'!$L10="$/Unit/Month",('Operating Assumptions'!$M10*CV$25)*CV$36,IF('Operating Assumptions'!$L10="Fixed Amount",('Operating Assumptions'!$M10*CV$25)/12,IF('Operating Assumptions'!$L10="$/GSF",(('Operating Assumptions'!$M10*CV$25)*'Operating Assumptions'!$D$11)/12,IF('Operating Assumptions'!$L10="$/NSF",(('Operating Assumptions'!$M10*CV$25)*'Operating Assumptions'!$D$12)/12))))))))</f>
        <v>-3922.0000000000005</v>
      </c>
      <c r="CW82" s="427">
        <f>-IF(CW$9&lt;'Operating Assumptions'!$D$53,0,IF(CW$6&gt;'Operating Assumptions'!$AA$8,0,IF('Operating Assumptions'!$L10="N/A",0,IF('Operating Assumptions'!$L10="$/Unit/Annual",(('Operating Assumptions'!$M10*CW$25)*CW$36)/12,IF('Operating Assumptions'!$L10="$/Unit/Month",('Operating Assumptions'!$M10*CW$25)*CW$36,IF('Operating Assumptions'!$L10="Fixed Amount",('Operating Assumptions'!$M10*CW$25)/12,IF('Operating Assumptions'!$L10="$/GSF",(('Operating Assumptions'!$M10*CW$25)*'Operating Assumptions'!$D$11)/12,IF('Operating Assumptions'!$L10="$/NSF",(('Operating Assumptions'!$M10*CW$25)*'Operating Assumptions'!$D$12)/12))))))))</f>
        <v>-3922.0000000000005</v>
      </c>
      <c r="CX82" s="427">
        <f>-IF(CX$9&lt;'Operating Assumptions'!$D$53,0,IF(CX$6&gt;'Operating Assumptions'!$AA$8,0,IF('Operating Assumptions'!$L10="N/A",0,IF('Operating Assumptions'!$L10="$/Unit/Annual",(('Operating Assumptions'!$M10*CX$25)*CX$36)/12,IF('Operating Assumptions'!$L10="$/Unit/Month",('Operating Assumptions'!$M10*CX$25)*CX$36,IF('Operating Assumptions'!$L10="Fixed Amount",('Operating Assumptions'!$M10*CX$25)/12,IF('Operating Assumptions'!$L10="$/GSF",(('Operating Assumptions'!$M10*CX$25)*'Operating Assumptions'!$D$11)/12,IF('Operating Assumptions'!$L10="$/NSF",(('Operating Assumptions'!$M10*CX$25)*'Operating Assumptions'!$D$12)/12))))))))</f>
        <v>-3922.0000000000005</v>
      </c>
      <c r="CY82" s="427">
        <f>-IF(CY$9&lt;'Operating Assumptions'!$D$53,0,IF(CY$6&gt;'Operating Assumptions'!$AA$8,0,IF('Operating Assumptions'!$L10="N/A",0,IF('Operating Assumptions'!$L10="$/Unit/Annual",(('Operating Assumptions'!$M10*CY$25)*CY$36)/12,IF('Operating Assumptions'!$L10="$/Unit/Month",('Operating Assumptions'!$M10*CY$25)*CY$36,IF('Operating Assumptions'!$L10="Fixed Amount",('Operating Assumptions'!$M10*CY$25)/12,IF('Operating Assumptions'!$L10="$/GSF",(('Operating Assumptions'!$M10*CY$25)*'Operating Assumptions'!$D$11)/12,IF('Operating Assumptions'!$L10="$/NSF",(('Operating Assumptions'!$M10*CY$25)*'Operating Assumptions'!$D$12)/12))))))))</f>
        <v>-3922.0000000000005</v>
      </c>
      <c r="CZ82" s="427">
        <f>-IF(CZ$9&lt;'Operating Assumptions'!$D$53,0,IF(CZ$6&gt;'Operating Assumptions'!$AA$8,0,IF('Operating Assumptions'!$L10="N/A",0,IF('Operating Assumptions'!$L10="$/Unit/Annual",(('Operating Assumptions'!$M10*CZ$25)*CZ$36)/12,IF('Operating Assumptions'!$L10="$/Unit/Month",('Operating Assumptions'!$M10*CZ$25)*CZ$36,IF('Operating Assumptions'!$L10="Fixed Amount",('Operating Assumptions'!$M10*CZ$25)/12,IF('Operating Assumptions'!$L10="$/GSF",(('Operating Assumptions'!$M10*CZ$25)*'Operating Assumptions'!$D$11)/12,IF('Operating Assumptions'!$L10="$/NSF",(('Operating Assumptions'!$M10*CZ$25)*'Operating Assumptions'!$D$12)/12))))))))</f>
        <v>-3959.0000000000005</v>
      </c>
      <c r="DA82" s="427">
        <f>-IF(DA$9&lt;'Operating Assumptions'!$D$53,0,IF(DA$6&gt;'Operating Assumptions'!$AA$8,0,IF('Operating Assumptions'!$L10="N/A",0,IF('Operating Assumptions'!$L10="$/Unit/Annual",(('Operating Assumptions'!$M10*DA$25)*DA$36)/12,IF('Operating Assumptions'!$L10="$/Unit/Month",('Operating Assumptions'!$M10*DA$25)*DA$36,IF('Operating Assumptions'!$L10="Fixed Amount",('Operating Assumptions'!$M10*DA$25)/12,IF('Operating Assumptions'!$L10="$/GSF",(('Operating Assumptions'!$M10*DA$25)*'Operating Assumptions'!$D$11)/12,IF('Operating Assumptions'!$L10="$/NSF",(('Operating Assumptions'!$M10*DA$25)*'Operating Assumptions'!$D$12)/12))))))))</f>
        <v>-3959.0000000000005</v>
      </c>
      <c r="DB82" s="427">
        <f>-IF(DB$9&lt;'Operating Assumptions'!$D$53,0,IF(DB$6&gt;'Operating Assumptions'!$AA$8,0,IF('Operating Assumptions'!$L10="N/A",0,IF('Operating Assumptions'!$L10="$/Unit/Annual",(('Operating Assumptions'!$M10*DB$25)*DB$36)/12,IF('Operating Assumptions'!$L10="$/Unit/Month",('Operating Assumptions'!$M10*DB$25)*DB$36,IF('Operating Assumptions'!$L10="Fixed Amount",('Operating Assumptions'!$M10*DB$25)/12,IF('Operating Assumptions'!$L10="$/GSF",(('Operating Assumptions'!$M10*DB$25)*'Operating Assumptions'!$D$11)/12,IF('Operating Assumptions'!$L10="$/NSF",(('Operating Assumptions'!$M10*DB$25)*'Operating Assumptions'!$D$12)/12))))))))</f>
        <v>-3959.0000000000005</v>
      </c>
      <c r="DC82" s="427">
        <f>-IF(DC$9&lt;'Operating Assumptions'!$D$53,0,IF(DC$6&gt;'Operating Assumptions'!$AA$8,0,IF('Operating Assumptions'!$L10="N/A",0,IF('Operating Assumptions'!$L10="$/Unit/Annual",(('Operating Assumptions'!$M10*DC$25)*DC$36)/12,IF('Operating Assumptions'!$L10="$/Unit/Month",('Operating Assumptions'!$M10*DC$25)*DC$36,IF('Operating Assumptions'!$L10="Fixed Amount",('Operating Assumptions'!$M10*DC$25)/12,IF('Operating Assumptions'!$L10="$/GSF",(('Operating Assumptions'!$M10*DC$25)*'Operating Assumptions'!$D$11)/12,IF('Operating Assumptions'!$L10="$/NSF",(('Operating Assumptions'!$M10*DC$25)*'Operating Assumptions'!$D$12)/12))))))))</f>
        <v>-3959.0000000000005</v>
      </c>
      <c r="DD82" s="427">
        <f>-IF(DD$9&lt;'Operating Assumptions'!$D$53,0,IF(DD$6&gt;'Operating Assumptions'!$AA$8,0,IF('Operating Assumptions'!$L10="N/A",0,IF('Operating Assumptions'!$L10="$/Unit/Annual",(('Operating Assumptions'!$M10*DD$25)*DD$36)/12,IF('Operating Assumptions'!$L10="$/Unit/Month",('Operating Assumptions'!$M10*DD$25)*DD$36,IF('Operating Assumptions'!$L10="Fixed Amount",('Operating Assumptions'!$M10*DD$25)/12,IF('Operating Assumptions'!$L10="$/GSF",(('Operating Assumptions'!$M10*DD$25)*'Operating Assumptions'!$D$11)/12,IF('Operating Assumptions'!$L10="$/NSF",(('Operating Assumptions'!$M10*DD$25)*'Operating Assumptions'!$D$12)/12))))))))</f>
        <v>-3959.0000000000005</v>
      </c>
      <c r="DE82" s="427">
        <f>-IF(DE$9&lt;'Operating Assumptions'!$D$53,0,IF(DE$6&gt;'Operating Assumptions'!$AA$8,0,IF('Operating Assumptions'!$L10="N/A",0,IF('Operating Assumptions'!$L10="$/Unit/Annual",(('Operating Assumptions'!$M10*DE$25)*DE$36)/12,IF('Operating Assumptions'!$L10="$/Unit/Month",('Operating Assumptions'!$M10*DE$25)*DE$36,IF('Operating Assumptions'!$L10="Fixed Amount",('Operating Assumptions'!$M10*DE$25)/12,IF('Operating Assumptions'!$L10="$/GSF",(('Operating Assumptions'!$M10*DE$25)*'Operating Assumptions'!$D$11)/12,IF('Operating Assumptions'!$L10="$/NSF",(('Operating Assumptions'!$M10*DE$25)*'Operating Assumptions'!$D$12)/12))))))))</f>
        <v>-3959.0000000000005</v>
      </c>
      <c r="DF82" s="427">
        <f>-IF(DF$9&lt;'Operating Assumptions'!$D$53,0,IF(DF$6&gt;'Operating Assumptions'!$AA$8,0,IF('Operating Assumptions'!$L10="N/A",0,IF('Operating Assumptions'!$L10="$/Unit/Annual",(('Operating Assumptions'!$M10*DF$25)*DF$36)/12,IF('Operating Assumptions'!$L10="$/Unit/Month",('Operating Assumptions'!$M10*DF$25)*DF$36,IF('Operating Assumptions'!$L10="Fixed Amount",('Operating Assumptions'!$M10*DF$25)/12,IF('Operating Assumptions'!$L10="$/GSF",(('Operating Assumptions'!$M10*DF$25)*'Operating Assumptions'!$D$11)/12,IF('Operating Assumptions'!$L10="$/NSF",(('Operating Assumptions'!$M10*DF$25)*'Operating Assumptions'!$D$12)/12))))))))</f>
        <v>-3959.0000000000005</v>
      </c>
      <c r="DG82" s="427">
        <f>-IF(DG$9&lt;'Operating Assumptions'!$D$53,0,IF(DG$6&gt;'Operating Assumptions'!$AA$8,0,IF('Operating Assumptions'!$L10="N/A",0,IF('Operating Assumptions'!$L10="$/Unit/Annual",(('Operating Assumptions'!$M10*DG$25)*DG$36)/12,IF('Operating Assumptions'!$L10="$/Unit/Month",('Operating Assumptions'!$M10*DG$25)*DG$36,IF('Operating Assumptions'!$L10="Fixed Amount",('Operating Assumptions'!$M10*DG$25)/12,IF('Operating Assumptions'!$L10="$/GSF",(('Operating Assumptions'!$M10*DG$25)*'Operating Assumptions'!$D$11)/12,IF('Operating Assumptions'!$L10="$/NSF",(('Operating Assumptions'!$M10*DG$25)*'Operating Assumptions'!$D$12)/12))))))))</f>
        <v>-3959.0000000000005</v>
      </c>
      <c r="DH82" s="427">
        <f>-IF(DH$9&lt;'Operating Assumptions'!$D$53,0,IF(DH$6&gt;'Operating Assumptions'!$AA$8,0,IF('Operating Assumptions'!$L10="N/A",0,IF('Operating Assumptions'!$L10="$/Unit/Annual",(('Operating Assumptions'!$M10*DH$25)*DH$36)/12,IF('Operating Assumptions'!$L10="$/Unit/Month",('Operating Assumptions'!$M10*DH$25)*DH$36,IF('Operating Assumptions'!$L10="Fixed Amount",('Operating Assumptions'!$M10*DH$25)/12,IF('Operating Assumptions'!$L10="$/GSF",(('Operating Assumptions'!$M10*DH$25)*'Operating Assumptions'!$D$11)/12,IF('Operating Assumptions'!$L10="$/NSF",(('Operating Assumptions'!$M10*DH$25)*'Operating Assumptions'!$D$12)/12))))))))</f>
        <v>-3959.0000000000005</v>
      </c>
      <c r="DI82" s="427">
        <f>-IF(DI$9&lt;'Operating Assumptions'!$D$53,0,IF(DI$6&gt;'Operating Assumptions'!$AA$8,0,IF('Operating Assumptions'!$L10="N/A",0,IF('Operating Assumptions'!$L10="$/Unit/Annual",(('Operating Assumptions'!$M10*DI$25)*DI$36)/12,IF('Operating Assumptions'!$L10="$/Unit/Month",('Operating Assumptions'!$M10*DI$25)*DI$36,IF('Operating Assumptions'!$L10="Fixed Amount",('Operating Assumptions'!$M10*DI$25)/12,IF('Operating Assumptions'!$L10="$/GSF",(('Operating Assumptions'!$M10*DI$25)*'Operating Assumptions'!$D$11)/12,IF('Operating Assumptions'!$L10="$/NSF",(('Operating Assumptions'!$M10*DI$25)*'Operating Assumptions'!$D$12)/12))))))))</f>
        <v>-3959.0000000000005</v>
      </c>
      <c r="DJ82" s="427">
        <f>-IF(DJ$9&lt;'Operating Assumptions'!$D$53,0,IF(DJ$6&gt;'Operating Assumptions'!$AA$8,0,IF('Operating Assumptions'!$L10="N/A",0,IF('Operating Assumptions'!$L10="$/Unit/Annual",(('Operating Assumptions'!$M10*DJ$25)*DJ$36)/12,IF('Operating Assumptions'!$L10="$/Unit/Month",('Operating Assumptions'!$M10*DJ$25)*DJ$36,IF('Operating Assumptions'!$L10="Fixed Amount",('Operating Assumptions'!$M10*DJ$25)/12,IF('Operating Assumptions'!$L10="$/GSF",(('Operating Assumptions'!$M10*DJ$25)*'Operating Assumptions'!$D$11)/12,IF('Operating Assumptions'!$L10="$/NSF",(('Operating Assumptions'!$M10*DJ$25)*'Operating Assumptions'!$D$12)/12))))))))</f>
        <v>-3959.0000000000005</v>
      </c>
      <c r="DK82" s="427">
        <f>-IF(DK$9&lt;'Operating Assumptions'!$D$53,0,IF(DK$6&gt;'Operating Assumptions'!$AA$8,0,IF('Operating Assumptions'!$L10="N/A",0,IF('Operating Assumptions'!$L10="$/Unit/Annual",(('Operating Assumptions'!$M10*DK$25)*DK$36)/12,IF('Operating Assumptions'!$L10="$/Unit/Month",('Operating Assumptions'!$M10*DK$25)*DK$36,IF('Operating Assumptions'!$L10="Fixed Amount",('Operating Assumptions'!$M10*DK$25)/12,IF('Operating Assumptions'!$L10="$/GSF",(('Operating Assumptions'!$M10*DK$25)*'Operating Assumptions'!$D$11)/12,IF('Operating Assumptions'!$L10="$/NSF",(('Operating Assumptions'!$M10*DK$25)*'Operating Assumptions'!$D$12)/12))))))))</f>
        <v>-3959.0000000000005</v>
      </c>
      <c r="DL82" s="427">
        <f>-IF(DL$9&lt;'Operating Assumptions'!$D$53,0,IF(DL$6&gt;'Operating Assumptions'!$AA$8,0,IF('Operating Assumptions'!$L10="N/A",0,IF('Operating Assumptions'!$L10="$/Unit/Annual",(('Operating Assumptions'!$M10*DL$25)*DL$36)/12,IF('Operating Assumptions'!$L10="$/Unit/Month",('Operating Assumptions'!$M10*DL$25)*DL$36,IF('Operating Assumptions'!$L10="Fixed Amount",('Operating Assumptions'!$M10*DL$25)/12,IF('Operating Assumptions'!$L10="$/GSF",(('Operating Assumptions'!$M10*DL$25)*'Operating Assumptions'!$D$11)/12,IF('Operating Assumptions'!$L10="$/NSF",(('Operating Assumptions'!$M10*DL$25)*'Operating Assumptions'!$D$12)/12))))))))</f>
        <v>-3996</v>
      </c>
      <c r="DM82" s="427">
        <f>-IF(DM$9&lt;'Operating Assumptions'!$D$53,0,IF(DM$6&gt;'Operating Assumptions'!$AA$8,0,IF('Operating Assumptions'!$L10="N/A",0,IF('Operating Assumptions'!$L10="$/Unit/Annual",(('Operating Assumptions'!$M10*DM$25)*DM$36)/12,IF('Operating Assumptions'!$L10="$/Unit/Month",('Operating Assumptions'!$M10*DM$25)*DM$36,IF('Operating Assumptions'!$L10="Fixed Amount",('Operating Assumptions'!$M10*DM$25)/12,IF('Operating Assumptions'!$L10="$/GSF",(('Operating Assumptions'!$M10*DM$25)*'Operating Assumptions'!$D$11)/12,IF('Operating Assumptions'!$L10="$/NSF",(('Operating Assumptions'!$M10*DM$25)*'Operating Assumptions'!$D$12)/12))))))))</f>
        <v>-3996</v>
      </c>
      <c r="DN82" s="427">
        <f>-IF(DN$9&lt;'Operating Assumptions'!$D$53,0,IF(DN$6&gt;'Operating Assumptions'!$AA$8,0,IF('Operating Assumptions'!$L10="N/A",0,IF('Operating Assumptions'!$L10="$/Unit/Annual",(('Operating Assumptions'!$M10*DN$25)*DN$36)/12,IF('Operating Assumptions'!$L10="$/Unit/Month",('Operating Assumptions'!$M10*DN$25)*DN$36,IF('Operating Assumptions'!$L10="Fixed Amount",('Operating Assumptions'!$M10*DN$25)/12,IF('Operating Assumptions'!$L10="$/GSF",(('Operating Assumptions'!$M10*DN$25)*'Operating Assumptions'!$D$11)/12,IF('Operating Assumptions'!$L10="$/NSF",(('Operating Assumptions'!$M10*DN$25)*'Operating Assumptions'!$D$12)/12))))))))</f>
        <v>-3996</v>
      </c>
      <c r="DO82" s="427">
        <f>-IF(DO$9&lt;'Operating Assumptions'!$D$53,0,IF(DO$6&gt;'Operating Assumptions'!$AA$8,0,IF('Operating Assumptions'!$L10="N/A",0,IF('Operating Assumptions'!$L10="$/Unit/Annual",(('Operating Assumptions'!$M10*DO$25)*DO$36)/12,IF('Operating Assumptions'!$L10="$/Unit/Month",('Operating Assumptions'!$M10*DO$25)*DO$36,IF('Operating Assumptions'!$L10="Fixed Amount",('Operating Assumptions'!$M10*DO$25)/12,IF('Operating Assumptions'!$L10="$/GSF",(('Operating Assumptions'!$M10*DO$25)*'Operating Assumptions'!$D$11)/12,IF('Operating Assumptions'!$L10="$/NSF",(('Operating Assumptions'!$M10*DO$25)*'Operating Assumptions'!$D$12)/12))))))))</f>
        <v>-3996</v>
      </c>
      <c r="DP82" s="427">
        <f>-IF(DP$9&lt;'Operating Assumptions'!$D$53,0,IF(DP$6&gt;'Operating Assumptions'!$AA$8,0,IF('Operating Assumptions'!$L10="N/A",0,IF('Operating Assumptions'!$L10="$/Unit/Annual",(('Operating Assumptions'!$M10*DP$25)*DP$36)/12,IF('Operating Assumptions'!$L10="$/Unit/Month",('Operating Assumptions'!$M10*DP$25)*DP$36,IF('Operating Assumptions'!$L10="Fixed Amount",('Operating Assumptions'!$M10*DP$25)/12,IF('Operating Assumptions'!$L10="$/GSF",(('Operating Assumptions'!$M10*DP$25)*'Operating Assumptions'!$D$11)/12,IF('Operating Assumptions'!$L10="$/NSF",(('Operating Assumptions'!$M10*DP$25)*'Operating Assumptions'!$D$12)/12))))))))</f>
        <v>-3996</v>
      </c>
      <c r="DQ82" s="427">
        <f>-IF(DQ$9&lt;'Operating Assumptions'!$D$53,0,IF(DQ$6&gt;'Operating Assumptions'!$AA$8,0,IF('Operating Assumptions'!$L10="N/A",0,IF('Operating Assumptions'!$L10="$/Unit/Annual",(('Operating Assumptions'!$M10*DQ$25)*DQ$36)/12,IF('Operating Assumptions'!$L10="$/Unit/Month",('Operating Assumptions'!$M10*DQ$25)*DQ$36,IF('Operating Assumptions'!$L10="Fixed Amount",('Operating Assumptions'!$M10*DQ$25)/12,IF('Operating Assumptions'!$L10="$/GSF",(('Operating Assumptions'!$M10*DQ$25)*'Operating Assumptions'!$D$11)/12,IF('Operating Assumptions'!$L10="$/NSF",(('Operating Assumptions'!$M10*DQ$25)*'Operating Assumptions'!$D$12)/12))))))))</f>
        <v>-3996</v>
      </c>
      <c r="DR82" s="427">
        <f>-IF(DR$9&lt;'Operating Assumptions'!$D$53,0,IF(DR$6&gt;'Operating Assumptions'!$AA$8,0,IF('Operating Assumptions'!$L10="N/A",0,IF('Operating Assumptions'!$L10="$/Unit/Annual",(('Operating Assumptions'!$M10*DR$25)*DR$36)/12,IF('Operating Assumptions'!$L10="$/Unit/Month",('Operating Assumptions'!$M10*DR$25)*DR$36,IF('Operating Assumptions'!$L10="Fixed Amount",('Operating Assumptions'!$M10*DR$25)/12,IF('Operating Assumptions'!$L10="$/GSF",(('Operating Assumptions'!$M10*DR$25)*'Operating Assumptions'!$D$11)/12,IF('Operating Assumptions'!$L10="$/NSF",(('Operating Assumptions'!$M10*DR$25)*'Operating Assumptions'!$D$12)/12))))))))</f>
        <v>-3996</v>
      </c>
      <c r="DS82" s="427">
        <f>-IF(DS$9&lt;'Operating Assumptions'!$D$53,0,IF(DS$6&gt;'Operating Assumptions'!$AA$8,0,IF('Operating Assumptions'!$L10="N/A",0,IF('Operating Assumptions'!$L10="$/Unit/Annual",(('Operating Assumptions'!$M10*DS$25)*DS$36)/12,IF('Operating Assumptions'!$L10="$/Unit/Month",('Operating Assumptions'!$M10*DS$25)*DS$36,IF('Operating Assumptions'!$L10="Fixed Amount",('Operating Assumptions'!$M10*DS$25)/12,IF('Operating Assumptions'!$L10="$/GSF",(('Operating Assumptions'!$M10*DS$25)*'Operating Assumptions'!$D$11)/12,IF('Operating Assumptions'!$L10="$/NSF",(('Operating Assumptions'!$M10*DS$25)*'Operating Assumptions'!$D$12)/12))))))))</f>
        <v>-3996</v>
      </c>
      <c r="DT82" s="427">
        <f>-IF(DT$9&lt;'Operating Assumptions'!$D$53,0,IF(DT$6&gt;'Operating Assumptions'!$AA$8,0,IF('Operating Assumptions'!$L10="N/A",0,IF('Operating Assumptions'!$L10="$/Unit/Annual",(('Operating Assumptions'!$M10*DT$25)*DT$36)/12,IF('Operating Assumptions'!$L10="$/Unit/Month",('Operating Assumptions'!$M10*DT$25)*DT$36,IF('Operating Assumptions'!$L10="Fixed Amount",('Operating Assumptions'!$M10*DT$25)/12,IF('Operating Assumptions'!$L10="$/GSF",(('Operating Assumptions'!$M10*DT$25)*'Operating Assumptions'!$D$11)/12,IF('Operating Assumptions'!$L10="$/NSF",(('Operating Assumptions'!$M10*DT$25)*'Operating Assumptions'!$D$12)/12))))))))</f>
        <v>-3996</v>
      </c>
      <c r="DU82" s="427">
        <f>-IF(DU$9&lt;'Operating Assumptions'!$D$53,0,IF(DU$6&gt;'Operating Assumptions'!$AA$8,0,IF('Operating Assumptions'!$L10="N/A",0,IF('Operating Assumptions'!$L10="$/Unit/Annual",(('Operating Assumptions'!$M10*DU$25)*DU$36)/12,IF('Operating Assumptions'!$L10="$/Unit/Month",('Operating Assumptions'!$M10*DU$25)*DU$36,IF('Operating Assumptions'!$L10="Fixed Amount",('Operating Assumptions'!$M10*DU$25)/12,IF('Operating Assumptions'!$L10="$/GSF",(('Operating Assumptions'!$M10*DU$25)*'Operating Assumptions'!$D$11)/12,IF('Operating Assumptions'!$L10="$/NSF",(('Operating Assumptions'!$M10*DU$25)*'Operating Assumptions'!$D$12)/12))))))))</f>
        <v>-3996</v>
      </c>
      <c r="DV82" s="427">
        <f>-IF(DV$9&lt;'Operating Assumptions'!$D$53,0,IF(DV$6&gt;'Operating Assumptions'!$AA$8,0,IF('Operating Assumptions'!$L10="N/A",0,IF('Operating Assumptions'!$L10="$/Unit/Annual",(('Operating Assumptions'!$M10*DV$25)*DV$36)/12,IF('Operating Assumptions'!$L10="$/Unit/Month",('Operating Assumptions'!$M10*DV$25)*DV$36,IF('Operating Assumptions'!$L10="Fixed Amount",('Operating Assumptions'!$M10*DV$25)/12,IF('Operating Assumptions'!$L10="$/GSF",(('Operating Assumptions'!$M10*DV$25)*'Operating Assumptions'!$D$11)/12,IF('Operating Assumptions'!$L10="$/NSF",(('Operating Assumptions'!$M10*DV$25)*'Operating Assumptions'!$D$12)/12))))))))</f>
        <v>-3996</v>
      </c>
      <c r="DW82" s="427">
        <f>-IF(DW$9&lt;'Operating Assumptions'!$D$53,0,IF(DW$6&gt;'Operating Assumptions'!$AA$8,0,IF('Operating Assumptions'!$L10="N/A",0,IF('Operating Assumptions'!$L10="$/Unit/Annual",(('Operating Assumptions'!$M10*DW$25)*DW$36)/12,IF('Operating Assumptions'!$L10="$/Unit/Month",('Operating Assumptions'!$M10*DW$25)*DW$36,IF('Operating Assumptions'!$L10="Fixed Amount",('Operating Assumptions'!$M10*DW$25)/12,IF('Operating Assumptions'!$L10="$/GSF",(('Operating Assumptions'!$M10*DW$25)*'Operating Assumptions'!$D$11)/12,IF('Operating Assumptions'!$L10="$/NSF",(('Operating Assumptions'!$M10*DW$25)*'Operating Assumptions'!$D$12)/12))))))))</f>
        <v>-3996</v>
      </c>
      <c r="DX82" s="427">
        <f>-IF(DX$9&lt;'Operating Assumptions'!$D$53,0,IF(DX$6&gt;'Operating Assumptions'!$AA$8,0,IF('Operating Assumptions'!$L10="N/A",0,IF('Operating Assumptions'!$L10="$/Unit/Annual",(('Operating Assumptions'!$M10*DX$25)*DX$36)/12,IF('Operating Assumptions'!$L10="$/Unit/Month",('Operating Assumptions'!$M10*DX$25)*DX$36,IF('Operating Assumptions'!$L10="Fixed Amount",('Operating Assumptions'!$M10*DX$25)/12,IF('Operating Assumptions'!$L10="$/GSF",(('Operating Assumptions'!$M10*DX$25)*'Operating Assumptions'!$D$11)/12,IF('Operating Assumptions'!$L10="$/NSF",(('Operating Assumptions'!$M10*DX$25)*'Operating Assumptions'!$D$12)/12))))))))</f>
        <v>-4033</v>
      </c>
      <c r="DY82" s="427">
        <f>-IF(DY$9&lt;'Operating Assumptions'!$D$53,0,IF(DY$6&gt;'Operating Assumptions'!$AA$8,0,IF('Operating Assumptions'!$L10="N/A",0,IF('Operating Assumptions'!$L10="$/Unit/Annual",(('Operating Assumptions'!$M10*DY$25)*DY$36)/12,IF('Operating Assumptions'!$L10="$/Unit/Month",('Operating Assumptions'!$M10*DY$25)*DY$36,IF('Operating Assumptions'!$L10="Fixed Amount",('Operating Assumptions'!$M10*DY$25)/12,IF('Operating Assumptions'!$L10="$/GSF",(('Operating Assumptions'!$M10*DY$25)*'Operating Assumptions'!$D$11)/12,IF('Operating Assumptions'!$L10="$/NSF",(('Operating Assumptions'!$M10*DY$25)*'Operating Assumptions'!$D$12)/12))))))))</f>
        <v>-4033</v>
      </c>
      <c r="DZ82" s="427">
        <f>-IF(DZ$9&lt;'Operating Assumptions'!$D$53,0,IF(DZ$6&gt;'Operating Assumptions'!$AA$8,0,IF('Operating Assumptions'!$L10="N/A",0,IF('Operating Assumptions'!$L10="$/Unit/Annual",(('Operating Assumptions'!$M10*DZ$25)*DZ$36)/12,IF('Operating Assumptions'!$L10="$/Unit/Month",('Operating Assumptions'!$M10*DZ$25)*DZ$36,IF('Operating Assumptions'!$L10="Fixed Amount",('Operating Assumptions'!$M10*DZ$25)/12,IF('Operating Assumptions'!$L10="$/GSF",(('Operating Assumptions'!$M10*DZ$25)*'Operating Assumptions'!$D$11)/12,IF('Operating Assumptions'!$L10="$/NSF",(('Operating Assumptions'!$M10*DZ$25)*'Operating Assumptions'!$D$12)/12))))))))</f>
        <v>-4033</v>
      </c>
      <c r="EA82" s="427">
        <f>-IF(EA$9&lt;'Operating Assumptions'!$D$53,0,IF(EA$6&gt;'Operating Assumptions'!$AA$8,0,IF('Operating Assumptions'!$L10="N/A",0,IF('Operating Assumptions'!$L10="$/Unit/Annual",(('Operating Assumptions'!$M10*EA$25)*EA$36)/12,IF('Operating Assumptions'!$L10="$/Unit/Month",('Operating Assumptions'!$M10*EA$25)*EA$36,IF('Operating Assumptions'!$L10="Fixed Amount",('Operating Assumptions'!$M10*EA$25)/12,IF('Operating Assumptions'!$L10="$/GSF",(('Operating Assumptions'!$M10*EA$25)*'Operating Assumptions'!$D$11)/12,IF('Operating Assumptions'!$L10="$/NSF",(('Operating Assumptions'!$M10*EA$25)*'Operating Assumptions'!$D$12)/12))))))))</f>
        <v>-4033</v>
      </c>
      <c r="EB82" s="427">
        <f>-IF(EB$9&lt;'Operating Assumptions'!$D$53,0,IF(EB$6&gt;'Operating Assumptions'!$AA$8,0,IF('Operating Assumptions'!$L10="N/A",0,IF('Operating Assumptions'!$L10="$/Unit/Annual",(('Operating Assumptions'!$M10*EB$25)*EB$36)/12,IF('Operating Assumptions'!$L10="$/Unit/Month",('Operating Assumptions'!$M10*EB$25)*EB$36,IF('Operating Assumptions'!$L10="Fixed Amount",('Operating Assumptions'!$M10*EB$25)/12,IF('Operating Assumptions'!$L10="$/GSF",(('Operating Assumptions'!$M10*EB$25)*'Operating Assumptions'!$D$11)/12,IF('Operating Assumptions'!$L10="$/NSF",(('Operating Assumptions'!$M10*EB$25)*'Operating Assumptions'!$D$12)/12))))))))</f>
        <v>-4033</v>
      </c>
      <c r="EC82" s="427">
        <f>-IF(EC$9&lt;'Operating Assumptions'!$D$53,0,IF(EC$6&gt;'Operating Assumptions'!$AA$8,0,IF('Operating Assumptions'!$L10="N/A",0,IF('Operating Assumptions'!$L10="$/Unit/Annual",(('Operating Assumptions'!$M10*EC$25)*EC$36)/12,IF('Operating Assumptions'!$L10="$/Unit/Month",('Operating Assumptions'!$M10*EC$25)*EC$36,IF('Operating Assumptions'!$L10="Fixed Amount",('Operating Assumptions'!$M10*EC$25)/12,IF('Operating Assumptions'!$L10="$/GSF",(('Operating Assumptions'!$M10*EC$25)*'Operating Assumptions'!$D$11)/12,IF('Operating Assumptions'!$L10="$/NSF",(('Operating Assumptions'!$M10*EC$25)*'Operating Assumptions'!$D$12)/12))))))))</f>
        <v>-4033</v>
      </c>
      <c r="ED82" s="427">
        <f>-IF(ED$9&lt;'Operating Assumptions'!$D$53,0,IF(ED$6&gt;'Operating Assumptions'!$AA$8,0,IF('Operating Assumptions'!$L10="N/A",0,IF('Operating Assumptions'!$L10="$/Unit/Annual",(('Operating Assumptions'!$M10*ED$25)*ED$36)/12,IF('Operating Assumptions'!$L10="$/Unit/Month",('Operating Assumptions'!$M10*ED$25)*ED$36,IF('Operating Assumptions'!$L10="Fixed Amount",('Operating Assumptions'!$M10*ED$25)/12,IF('Operating Assumptions'!$L10="$/GSF",(('Operating Assumptions'!$M10*ED$25)*'Operating Assumptions'!$D$11)/12,IF('Operating Assumptions'!$L10="$/NSF",(('Operating Assumptions'!$M10*ED$25)*'Operating Assumptions'!$D$12)/12))))))))</f>
        <v>-4033</v>
      </c>
      <c r="EE82" s="427">
        <f>-IF(EE$9&lt;'Operating Assumptions'!$D$53,0,IF(EE$6&gt;'Operating Assumptions'!$AA$8,0,IF('Operating Assumptions'!$L10="N/A",0,IF('Operating Assumptions'!$L10="$/Unit/Annual",(('Operating Assumptions'!$M10*EE$25)*EE$36)/12,IF('Operating Assumptions'!$L10="$/Unit/Month",('Operating Assumptions'!$M10*EE$25)*EE$36,IF('Operating Assumptions'!$L10="Fixed Amount",('Operating Assumptions'!$M10*EE$25)/12,IF('Operating Assumptions'!$L10="$/GSF",(('Operating Assumptions'!$M10*EE$25)*'Operating Assumptions'!$D$11)/12,IF('Operating Assumptions'!$L10="$/NSF",(('Operating Assumptions'!$M10*EE$25)*'Operating Assumptions'!$D$12)/12))))))))</f>
        <v>-4033</v>
      </c>
      <c r="EF82" s="427">
        <f>-IF(EF$9&lt;'Operating Assumptions'!$D$53,0,IF(EF$6&gt;'Operating Assumptions'!$AA$8,0,IF('Operating Assumptions'!$L10="N/A",0,IF('Operating Assumptions'!$L10="$/Unit/Annual",(('Operating Assumptions'!$M10*EF$25)*EF$36)/12,IF('Operating Assumptions'!$L10="$/Unit/Month",('Operating Assumptions'!$M10*EF$25)*EF$36,IF('Operating Assumptions'!$L10="Fixed Amount",('Operating Assumptions'!$M10*EF$25)/12,IF('Operating Assumptions'!$L10="$/GSF",(('Operating Assumptions'!$M10*EF$25)*'Operating Assumptions'!$D$11)/12,IF('Operating Assumptions'!$L10="$/NSF",(('Operating Assumptions'!$M10*EF$25)*'Operating Assumptions'!$D$12)/12))))))))</f>
        <v>-4033</v>
      </c>
      <c r="EG82" s="427">
        <f>-IF(EG$9&lt;'Operating Assumptions'!$D$53,0,IF(EG$6&gt;'Operating Assumptions'!$AA$8,0,IF('Operating Assumptions'!$L10="N/A",0,IF('Operating Assumptions'!$L10="$/Unit/Annual",(('Operating Assumptions'!$M10*EG$25)*EG$36)/12,IF('Operating Assumptions'!$L10="$/Unit/Month",('Operating Assumptions'!$M10*EG$25)*EG$36,IF('Operating Assumptions'!$L10="Fixed Amount",('Operating Assumptions'!$M10*EG$25)/12,IF('Operating Assumptions'!$L10="$/GSF",(('Operating Assumptions'!$M10*EG$25)*'Operating Assumptions'!$D$11)/12,IF('Operating Assumptions'!$L10="$/NSF",(('Operating Assumptions'!$M10*EG$25)*'Operating Assumptions'!$D$12)/12))))))))</f>
        <v>-4033</v>
      </c>
      <c r="EH82" s="427">
        <f>-IF(EH$9&lt;'Operating Assumptions'!$D$53,0,IF(EH$6&gt;'Operating Assumptions'!$AA$8,0,IF('Operating Assumptions'!$L10="N/A",0,IF('Operating Assumptions'!$L10="$/Unit/Annual",(('Operating Assumptions'!$M10*EH$25)*EH$36)/12,IF('Operating Assumptions'!$L10="$/Unit/Month",('Operating Assumptions'!$M10*EH$25)*EH$36,IF('Operating Assumptions'!$L10="Fixed Amount",('Operating Assumptions'!$M10*EH$25)/12,IF('Operating Assumptions'!$L10="$/GSF",(('Operating Assumptions'!$M10*EH$25)*'Operating Assumptions'!$D$11)/12,IF('Operating Assumptions'!$L10="$/NSF",(('Operating Assumptions'!$M10*EH$25)*'Operating Assumptions'!$D$12)/12))))))))</f>
        <v>-4033</v>
      </c>
      <c r="EI82" s="427">
        <f>-IF(EI$9&lt;'Operating Assumptions'!$D$53,0,IF(EI$6&gt;'Operating Assumptions'!$AA$8,0,IF('Operating Assumptions'!$L10="N/A",0,IF('Operating Assumptions'!$L10="$/Unit/Annual",(('Operating Assumptions'!$M10*EI$25)*EI$36)/12,IF('Operating Assumptions'!$L10="$/Unit/Month",('Operating Assumptions'!$M10*EI$25)*EI$36,IF('Operating Assumptions'!$L10="Fixed Amount",('Operating Assumptions'!$M10*EI$25)/12,IF('Operating Assumptions'!$L10="$/GSF",(('Operating Assumptions'!$M10*EI$25)*'Operating Assumptions'!$D$11)/12,IF('Operating Assumptions'!$L10="$/NSF",(('Operating Assumptions'!$M10*EI$25)*'Operating Assumptions'!$D$12)/12))))))))</f>
        <v>-4033</v>
      </c>
      <c r="EJ82" s="427">
        <f>-IF(EJ$9&lt;'Operating Assumptions'!$D$53,0,IF(EJ$6&gt;'Operating Assumptions'!$AA$8,0,IF('Operating Assumptions'!$L10="N/A",0,IF('Operating Assumptions'!$L10="$/Unit/Annual",(('Operating Assumptions'!$M10*EJ$25)*EJ$36)/12,IF('Operating Assumptions'!$L10="$/Unit/Month",('Operating Assumptions'!$M10*EJ$25)*EJ$36,IF('Operating Assumptions'!$L10="Fixed Amount",('Operating Assumptions'!$M10*EJ$25)/12,IF('Operating Assumptions'!$L10="$/GSF",(('Operating Assumptions'!$M10*EJ$25)*'Operating Assumptions'!$D$11)/12,IF('Operating Assumptions'!$L10="$/NSF",(('Operating Assumptions'!$M10*EJ$25)*'Operating Assumptions'!$D$12)/12))))))))</f>
        <v>-4070.0000000000005</v>
      </c>
      <c r="EK82" s="427">
        <f>-IF(EK$9&lt;'Operating Assumptions'!$D$53,0,IF(EK$6&gt;'Operating Assumptions'!$AA$8,0,IF('Operating Assumptions'!$L10="N/A",0,IF('Operating Assumptions'!$L10="$/Unit/Annual",(('Operating Assumptions'!$M10*EK$25)*EK$36)/12,IF('Operating Assumptions'!$L10="$/Unit/Month",('Operating Assumptions'!$M10*EK$25)*EK$36,IF('Operating Assumptions'!$L10="Fixed Amount",('Operating Assumptions'!$M10*EK$25)/12,IF('Operating Assumptions'!$L10="$/GSF",(('Operating Assumptions'!$M10*EK$25)*'Operating Assumptions'!$D$11)/12,IF('Operating Assumptions'!$L10="$/NSF",(('Operating Assumptions'!$M10*EK$25)*'Operating Assumptions'!$D$12)/12))))))))</f>
        <v>-4070.0000000000005</v>
      </c>
      <c r="EL82" s="427">
        <f>-IF(EL$9&lt;'Operating Assumptions'!$D$53,0,IF(EL$6&gt;'Operating Assumptions'!$AA$8,0,IF('Operating Assumptions'!$L10="N/A",0,IF('Operating Assumptions'!$L10="$/Unit/Annual",(('Operating Assumptions'!$M10*EL$25)*EL$36)/12,IF('Operating Assumptions'!$L10="$/Unit/Month",('Operating Assumptions'!$M10*EL$25)*EL$36,IF('Operating Assumptions'!$L10="Fixed Amount",('Operating Assumptions'!$M10*EL$25)/12,IF('Operating Assumptions'!$L10="$/GSF",(('Operating Assumptions'!$M10*EL$25)*'Operating Assumptions'!$D$11)/12,IF('Operating Assumptions'!$L10="$/NSF",(('Operating Assumptions'!$M10*EL$25)*'Operating Assumptions'!$D$12)/12))))))))</f>
        <v>-4070.0000000000005</v>
      </c>
      <c r="EM82" s="427">
        <f>-IF(EM$9&lt;'Operating Assumptions'!$D$53,0,IF(EM$6&gt;'Operating Assumptions'!$AA$8,0,IF('Operating Assumptions'!$L10="N/A",0,IF('Operating Assumptions'!$L10="$/Unit/Annual",(('Operating Assumptions'!$M10*EM$25)*EM$36)/12,IF('Operating Assumptions'!$L10="$/Unit/Month",('Operating Assumptions'!$M10*EM$25)*EM$36,IF('Operating Assumptions'!$L10="Fixed Amount",('Operating Assumptions'!$M10*EM$25)/12,IF('Operating Assumptions'!$L10="$/GSF",(('Operating Assumptions'!$M10*EM$25)*'Operating Assumptions'!$D$11)/12,IF('Operating Assumptions'!$L10="$/NSF",(('Operating Assumptions'!$M10*EM$25)*'Operating Assumptions'!$D$12)/12))))))))</f>
        <v>-4070.0000000000005</v>
      </c>
      <c r="EN82" s="427">
        <f>-IF(EN$9&lt;'Operating Assumptions'!$D$53,0,IF(EN$6&gt;'Operating Assumptions'!$AA$8,0,IF('Operating Assumptions'!$L10="N/A",0,IF('Operating Assumptions'!$L10="$/Unit/Annual",(('Operating Assumptions'!$M10*EN$25)*EN$36)/12,IF('Operating Assumptions'!$L10="$/Unit/Month",('Operating Assumptions'!$M10*EN$25)*EN$36,IF('Operating Assumptions'!$L10="Fixed Amount",('Operating Assumptions'!$M10*EN$25)/12,IF('Operating Assumptions'!$L10="$/GSF",(('Operating Assumptions'!$M10*EN$25)*'Operating Assumptions'!$D$11)/12,IF('Operating Assumptions'!$L10="$/NSF",(('Operating Assumptions'!$M10*EN$25)*'Operating Assumptions'!$D$12)/12))))))))</f>
        <v>-4070.0000000000005</v>
      </c>
      <c r="EO82" s="427">
        <f>-IF(EO$9&lt;'Operating Assumptions'!$D$53,0,IF(EO$6&gt;'Operating Assumptions'!$AA$8,0,IF('Operating Assumptions'!$L10="N/A",0,IF('Operating Assumptions'!$L10="$/Unit/Annual",(('Operating Assumptions'!$M10*EO$25)*EO$36)/12,IF('Operating Assumptions'!$L10="$/Unit/Month",('Operating Assumptions'!$M10*EO$25)*EO$36,IF('Operating Assumptions'!$L10="Fixed Amount",('Operating Assumptions'!$M10*EO$25)/12,IF('Operating Assumptions'!$L10="$/GSF",(('Operating Assumptions'!$M10*EO$25)*'Operating Assumptions'!$D$11)/12,IF('Operating Assumptions'!$L10="$/NSF",(('Operating Assumptions'!$M10*EO$25)*'Operating Assumptions'!$D$12)/12))))))))</f>
        <v>-4070.0000000000005</v>
      </c>
      <c r="EP82" s="427">
        <f>-IF(EP$9&lt;'Operating Assumptions'!$D$53,0,IF(EP$6&gt;'Operating Assumptions'!$AA$8,0,IF('Operating Assumptions'!$L10="N/A",0,IF('Operating Assumptions'!$L10="$/Unit/Annual",(('Operating Assumptions'!$M10*EP$25)*EP$36)/12,IF('Operating Assumptions'!$L10="$/Unit/Month",('Operating Assumptions'!$M10*EP$25)*EP$36,IF('Operating Assumptions'!$L10="Fixed Amount",('Operating Assumptions'!$M10*EP$25)/12,IF('Operating Assumptions'!$L10="$/GSF",(('Operating Assumptions'!$M10*EP$25)*'Operating Assumptions'!$D$11)/12,IF('Operating Assumptions'!$L10="$/NSF",(('Operating Assumptions'!$M10*EP$25)*'Operating Assumptions'!$D$12)/12))))))))</f>
        <v>-4070.0000000000005</v>
      </c>
      <c r="EQ82" s="427">
        <f>-IF(EQ$9&lt;'Operating Assumptions'!$D$53,0,IF(EQ$6&gt;'Operating Assumptions'!$AA$8,0,IF('Operating Assumptions'!$L10="N/A",0,IF('Operating Assumptions'!$L10="$/Unit/Annual",(('Operating Assumptions'!$M10*EQ$25)*EQ$36)/12,IF('Operating Assumptions'!$L10="$/Unit/Month",('Operating Assumptions'!$M10*EQ$25)*EQ$36,IF('Operating Assumptions'!$L10="Fixed Amount",('Operating Assumptions'!$M10*EQ$25)/12,IF('Operating Assumptions'!$L10="$/GSF",(('Operating Assumptions'!$M10*EQ$25)*'Operating Assumptions'!$D$11)/12,IF('Operating Assumptions'!$L10="$/NSF",(('Operating Assumptions'!$M10*EQ$25)*'Operating Assumptions'!$D$12)/12))))))))</f>
        <v>-4070.0000000000005</v>
      </c>
      <c r="ER82" s="427">
        <f>-IF(ER$9&lt;'Operating Assumptions'!$D$53,0,IF(ER$6&gt;'Operating Assumptions'!$AA$8,0,IF('Operating Assumptions'!$L10="N/A",0,IF('Operating Assumptions'!$L10="$/Unit/Annual",(('Operating Assumptions'!$M10*ER$25)*ER$36)/12,IF('Operating Assumptions'!$L10="$/Unit/Month",('Operating Assumptions'!$M10*ER$25)*ER$36,IF('Operating Assumptions'!$L10="Fixed Amount",('Operating Assumptions'!$M10*ER$25)/12,IF('Operating Assumptions'!$L10="$/GSF",(('Operating Assumptions'!$M10*ER$25)*'Operating Assumptions'!$D$11)/12,IF('Operating Assumptions'!$L10="$/NSF",(('Operating Assumptions'!$M10*ER$25)*'Operating Assumptions'!$D$12)/12))))))))</f>
        <v>-4070.0000000000005</v>
      </c>
      <c r="ES82" s="427">
        <f>-IF(ES$9&lt;'Operating Assumptions'!$D$53,0,IF(ES$6&gt;'Operating Assumptions'!$AA$8,0,IF('Operating Assumptions'!$L10="N/A",0,IF('Operating Assumptions'!$L10="$/Unit/Annual",(('Operating Assumptions'!$M10*ES$25)*ES$36)/12,IF('Operating Assumptions'!$L10="$/Unit/Month",('Operating Assumptions'!$M10*ES$25)*ES$36,IF('Operating Assumptions'!$L10="Fixed Amount",('Operating Assumptions'!$M10*ES$25)/12,IF('Operating Assumptions'!$L10="$/GSF",(('Operating Assumptions'!$M10*ES$25)*'Operating Assumptions'!$D$11)/12,IF('Operating Assumptions'!$L10="$/NSF",(('Operating Assumptions'!$M10*ES$25)*'Operating Assumptions'!$D$12)/12))))))))</f>
        <v>-4070.0000000000005</v>
      </c>
      <c r="ET82" s="427">
        <f>-IF(ET$9&lt;'Operating Assumptions'!$D$53,0,IF(ET$6&gt;'Operating Assumptions'!$AA$8,0,IF('Operating Assumptions'!$L10="N/A",0,IF('Operating Assumptions'!$L10="$/Unit/Annual",(('Operating Assumptions'!$M10*ET$25)*ET$36)/12,IF('Operating Assumptions'!$L10="$/Unit/Month",('Operating Assumptions'!$M10*ET$25)*ET$36,IF('Operating Assumptions'!$L10="Fixed Amount",('Operating Assumptions'!$M10*ET$25)/12,IF('Operating Assumptions'!$L10="$/GSF",(('Operating Assumptions'!$M10*ET$25)*'Operating Assumptions'!$D$11)/12,IF('Operating Assumptions'!$L10="$/NSF",(('Operating Assumptions'!$M10*ET$25)*'Operating Assumptions'!$D$12)/12))))))))</f>
        <v>-4070.0000000000005</v>
      </c>
      <c r="EU82" s="427">
        <f>-IF(EU$9&lt;'Operating Assumptions'!$D$53,0,IF(EU$6&gt;'Operating Assumptions'!$AA$8,0,IF('Operating Assumptions'!$L10="N/A",0,IF('Operating Assumptions'!$L10="$/Unit/Annual",(('Operating Assumptions'!$M10*EU$25)*EU$36)/12,IF('Operating Assumptions'!$L10="$/Unit/Month",('Operating Assumptions'!$M10*EU$25)*EU$36,IF('Operating Assumptions'!$L10="Fixed Amount",('Operating Assumptions'!$M10*EU$25)/12,IF('Operating Assumptions'!$L10="$/GSF",(('Operating Assumptions'!$M10*EU$25)*'Operating Assumptions'!$D$11)/12,IF('Operating Assumptions'!$L10="$/NSF",(('Operating Assumptions'!$M10*EU$25)*'Operating Assumptions'!$D$12)/12))))))))</f>
        <v>-4070.0000000000005</v>
      </c>
      <c r="EV82" s="427">
        <f>-IF(EV$9&lt;'Operating Assumptions'!$D$53,0,IF(EV$6&gt;'Operating Assumptions'!$AA$8,0,IF('Operating Assumptions'!$L10="N/A",0,IF('Operating Assumptions'!$L10="$/Unit/Annual",(('Operating Assumptions'!$M10*EV$25)*EV$36)/12,IF('Operating Assumptions'!$L10="$/Unit/Month",('Operating Assumptions'!$M10*EV$25)*EV$36,IF('Operating Assumptions'!$L10="Fixed Amount",('Operating Assumptions'!$M10*EV$25)/12,IF('Operating Assumptions'!$L10="$/GSF",(('Operating Assumptions'!$M10*EV$25)*'Operating Assumptions'!$D$11)/12,IF('Operating Assumptions'!$L10="$/NSF",(('Operating Assumptions'!$M10*EV$25)*'Operating Assumptions'!$D$12)/12))))))))</f>
        <v>0</v>
      </c>
      <c r="EW82" s="427">
        <f>-IF(EW$9&lt;'Operating Assumptions'!$D$53,0,IF(EW$6&gt;'Operating Assumptions'!$AA$8,0,IF('Operating Assumptions'!$L10="N/A",0,IF('Operating Assumptions'!$L10="$/Unit/Annual",(('Operating Assumptions'!$M10*EW$25)*EW$36)/12,IF('Operating Assumptions'!$L10="$/Unit/Month",('Operating Assumptions'!$M10*EW$25)*EW$36,IF('Operating Assumptions'!$L10="Fixed Amount",('Operating Assumptions'!$M10*EW$25)/12,IF('Operating Assumptions'!$L10="$/GSF",(('Operating Assumptions'!$M10*EW$25)*'Operating Assumptions'!$D$11)/12,IF('Operating Assumptions'!$L10="$/NSF",(('Operating Assumptions'!$M10*EW$25)*'Operating Assumptions'!$D$12)/12))))))))</f>
        <v>0</v>
      </c>
      <c r="EX82" s="427">
        <f>-IF(EX$9&lt;'Operating Assumptions'!$D$53,0,IF(EX$6&gt;'Operating Assumptions'!$AA$8,0,IF('Operating Assumptions'!$L10="N/A",0,IF('Operating Assumptions'!$L10="$/Unit/Annual",(('Operating Assumptions'!$M10*EX$25)*EX$36)/12,IF('Operating Assumptions'!$L10="$/Unit/Month",('Operating Assumptions'!$M10*EX$25)*EX$36,IF('Operating Assumptions'!$L10="Fixed Amount",('Operating Assumptions'!$M10*EX$25)/12,IF('Operating Assumptions'!$L10="$/GSF",(('Operating Assumptions'!$M10*EX$25)*'Operating Assumptions'!$D$11)/12,IF('Operating Assumptions'!$L10="$/NSF",(('Operating Assumptions'!$M10*EX$25)*'Operating Assumptions'!$D$12)/12))))))))</f>
        <v>0</v>
      </c>
      <c r="EY82" s="427">
        <f>-IF(EY$9&lt;'Operating Assumptions'!$D$53,0,IF(EY$6&gt;'Operating Assumptions'!$AA$8,0,IF('Operating Assumptions'!$L10="N/A",0,IF('Operating Assumptions'!$L10="$/Unit/Annual",(('Operating Assumptions'!$M10*EY$25)*EY$36)/12,IF('Operating Assumptions'!$L10="$/Unit/Month",('Operating Assumptions'!$M10*EY$25)*EY$36,IF('Operating Assumptions'!$L10="Fixed Amount",('Operating Assumptions'!$M10*EY$25)/12,IF('Operating Assumptions'!$L10="$/GSF",(('Operating Assumptions'!$M10*EY$25)*'Operating Assumptions'!$D$11)/12,IF('Operating Assumptions'!$L10="$/NSF",(('Operating Assumptions'!$M10*EY$25)*'Operating Assumptions'!$D$12)/12))))))))</f>
        <v>0</v>
      </c>
      <c r="EZ82" s="427">
        <f>-IF(EZ$9&lt;'Operating Assumptions'!$D$53,0,IF(EZ$6&gt;'Operating Assumptions'!$AA$8,0,IF('Operating Assumptions'!$L10="N/A",0,IF('Operating Assumptions'!$L10="$/Unit/Annual",(('Operating Assumptions'!$M10*EZ$25)*EZ$36)/12,IF('Operating Assumptions'!$L10="$/Unit/Month",('Operating Assumptions'!$M10*EZ$25)*EZ$36,IF('Operating Assumptions'!$L10="Fixed Amount",('Operating Assumptions'!$M10*EZ$25)/12,IF('Operating Assumptions'!$L10="$/GSF",(('Operating Assumptions'!$M10*EZ$25)*'Operating Assumptions'!$D$11)/12,IF('Operating Assumptions'!$L10="$/NSF",(('Operating Assumptions'!$M10*EZ$25)*'Operating Assumptions'!$D$12)/12))))))))</f>
        <v>0</v>
      </c>
      <c r="FA82" s="427">
        <f>-IF(FA$9&lt;'Operating Assumptions'!$D$53,0,IF(FA$6&gt;'Operating Assumptions'!$AA$8,0,IF('Operating Assumptions'!$L10="N/A",0,IF('Operating Assumptions'!$L10="$/Unit/Annual",(('Operating Assumptions'!$M10*FA$25)*FA$36)/12,IF('Operating Assumptions'!$L10="$/Unit/Month",('Operating Assumptions'!$M10*FA$25)*FA$36,IF('Operating Assumptions'!$L10="Fixed Amount",('Operating Assumptions'!$M10*FA$25)/12,IF('Operating Assumptions'!$L10="$/GSF",(('Operating Assumptions'!$M10*FA$25)*'Operating Assumptions'!$D$11)/12,IF('Operating Assumptions'!$L10="$/NSF",(('Operating Assumptions'!$M10*FA$25)*'Operating Assumptions'!$D$12)/12))))))))</f>
        <v>0</v>
      </c>
      <c r="FB82" s="427">
        <f>-IF(FB$9&lt;'Operating Assumptions'!$D$53,0,IF(FB$6&gt;'Operating Assumptions'!$AA$8,0,IF('Operating Assumptions'!$L10="N/A",0,IF('Operating Assumptions'!$L10="$/Unit/Annual",(('Operating Assumptions'!$M10*FB$25)*FB$36)/12,IF('Operating Assumptions'!$L10="$/Unit/Month",('Operating Assumptions'!$M10*FB$25)*FB$36,IF('Operating Assumptions'!$L10="Fixed Amount",('Operating Assumptions'!$M10*FB$25)/12,IF('Operating Assumptions'!$L10="$/GSF",(('Operating Assumptions'!$M10*FB$25)*'Operating Assumptions'!$D$11)/12,IF('Operating Assumptions'!$L10="$/NSF",(('Operating Assumptions'!$M10*FB$25)*'Operating Assumptions'!$D$12)/12))))))))</f>
        <v>0</v>
      </c>
      <c r="FC82" s="427">
        <f>-IF(FC$9&lt;'Operating Assumptions'!$D$53,0,IF(FC$6&gt;'Operating Assumptions'!$AA$8,0,IF('Operating Assumptions'!$L10="N/A",0,IF('Operating Assumptions'!$L10="$/Unit/Annual",(('Operating Assumptions'!$M10*FC$25)*FC$36)/12,IF('Operating Assumptions'!$L10="$/Unit/Month",('Operating Assumptions'!$M10*FC$25)*FC$36,IF('Operating Assumptions'!$L10="Fixed Amount",('Operating Assumptions'!$M10*FC$25)/12,IF('Operating Assumptions'!$L10="$/GSF",(('Operating Assumptions'!$M10*FC$25)*'Operating Assumptions'!$D$11)/12,IF('Operating Assumptions'!$L10="$/NSF",(('Operating Assumptions'!$M10*FC$25)*'Operating Assumptions'!$D$12)/12))))))))</f>
        <v>0</v>
      </c>
      <c r="FD82" s="427">
        <f>-IF(FD$9&lt;'Operating Assumptions'!$D$53,0,IF(FD$6&gt;'Operating Assumptions'!$AA$8,0,IF('Operating Assumptions'!$L10="N/A",0,IF('Operating Assumptions'!$L10="$/Unit/Annual",(('Operating Assumptions'!$M10*FD$25)*FD$36)/12,IF('Operating Assumptions'!$L10="$/Unit/Month",('Operating Assumptions'!$M10*FD$25)*FD$36,IF('Operating Assumptions'!$L10="Fixed Amount",('Operating Assumptions'!$M10*FD$25)/12,IF('Operating Assumptions'!$L10="$/GSF",(('Operating Assumptions'!$M10*FD$25)*'Operating Assumptions'!$D$11)/12,IF('Operating Assumptions'!$L10="$/NSF",(('Operating Assumptions'!$M10*FD$25)*'Operating Assumptions'!$D$12)/12))))))))</f>
        <v>0</v>
      </c>
      <c r="FE82" s="427">
        <f>-IF(FE$9&lt;'Operating Assumptions'!$D$53,0,IF(FE$6&gt;'Operating Assumptions'!$AA$8,0,IF('Operating Assumptions'!$L10="N/A",0,IF('Operating Assumptions'!$L10="$/Unit/Annual",(('Operating Assumptions'!$M10*FE$25)*FE$36)/12,IF('Operating Assumptions'!$L10="$/Unit/Month",('Operating Assumptions'!$M10*FE$25)*FE$36,IF('Operating Assumptions'!$L10="Fixed Amount",('Operating Assumptions'!$M10*FE$25)/12,IF('Operating Assumptions'!$L10="$/GSF",(('Operating Assumptions'!$M10*FE$25)*'Operating Assumptions'!$D$11)/12,IF('Operating Assumptions'!$L10="$/NSF",(('Operating Assumptions'!$M10*FE$25)*'Operating Assumptions'!$D$12)/12))))))))</f>
        <v>0</v>
      </c>
      <c r="FF82" s="427">
        <f>-IF(FF$9&lt;'Operating Assumptions'!$D$53,0,IF(FF$6&gt;'Operating Assumptions'!$AA$8,0,IF('Operating Assumptions'!$L10="N/A",0,IF('Operating Assumptions'!$L10="$/Unit/Annual",(('Operating Assumptions'!$M10*FF$25)*FF$36)/12,IF('Operating Assumptions'!$L10="$/Unit/Month",('Operating Assumptions'!$M10*FF$25)*FF$36,IF('Operating Assumptions'!$L10="Fixed Amount",('Operating Assumptions'!$M10*FF$25)/12,IF('Operating Assumptions'!$L10="$/GSF",(('Operating Assumptions'!$M10*FF$25)*'Operating Assumptions'!$D$11)/12,IF('Operating Assumptions'!$L10="$/NSF",(('Operating Assumptions'!$M10*FF$25)*'Operating Assumptions'!$D$12)/12))))))))</f>
        <v>0</v>
      </c>
      <c r="FG82" s="427">
        <f>-IF(FG$9&lt;'Operating Assumptions'!$D$53,0,IF(FG$6&gt;'Operating Assumptions'!$AA$8,0,IF('Operating Assumptions'!$L10="N/A",0,IF('Operating Assumptions'!$L10="$/Unit/Annual",(('Operating Assumptions'!$M10*FG$25)*FG$36)/12,IF('Operating Assumptions'!$L10="$/Unit/Month",('Operating Assumptions'!$M10*FG$25)*FG$36,IF('Operating Assumptions'!$L10="Fixed Amount",('Operating Assumptions'!$M10*FG$25)/12,IF('Operating Assumptions'!$L10="$/GSF",(('Operating Assumptions'!$M10*FG$25)*'Operating Assumptions'!$D$11)/12,IF('Operating Assumptions'!$L10="$/NSF",(('Operating Assumptions'!$M10*FG$25)*'Operating Assumptions'!$D$12)/12))))))))</f>
        <v>0</v>
      </c>
      <c r="FH82" s="427">
        <f>-IF(FH$9&lt;'Operating Assumptions'!$D$53,0,IF(FH$6&gt;'Operating Assumptions'!$AA$8,0,IF('Operating Assumptions'!$L10="N/A",0,IF('Operating Assumptions'!$L10="$/Unit/Annual",(('Operating Assumptions'!$M10*FH$25)*FH$36)/12,IF('Operating Assumptions'!$L10="$/Unit/Month",('Operating Assumptions'!$M10*FH$25)*FH$36,IF('Operating Assumptions'!$L10="Fixed Amount",('Operating Assumptions'!$M10*FH$25)/12,IF('Operating Assumptions'!$L10="$/GSF",(('Operating Assumptions'!$M10*FH$25)*'Operating Assumptions'!$D$11)/12,IF('Operating Assumptions'!$L10="$/NSF",(('Operating Assumptions'!$M10*FH$25)*'Operating Assumptions'!$D$12)/12))))))))</f>
        <v>0</v>
      </c>
      <c r="FI82" s="427">
        <f>-IF(FI$9&lt;'Operating Assumptions'!$D$53,0,IF(FI$6&gt;'Operating Assumptions'!$AA$8,0,IF('Operating Assumptions'!$L10="N/A",0,IF('Operating Assumptions'!$L10="$/Unit/Annual",(('Operating Assumptions'!$M10*FI$25)*FI$36)/12,IF('Operating Assumptions'!$L10="$/Unit/Month",('Operating Assumptions'!$M10*FI$25)*FI$36,IF('Operating Assumptions'!$L10="Fixed Amount",('Operating Assumptions'!$M10*FI$25)/12,IF('Operating Assumptions'!$L10="$/GSF",(('Operating Assumptions'!$M10*FI$25)*'Operating Assumptions'!$D$11)/12,IF('Operating Assumptions'!$L10="$/NSF",(('Operating Assumptions'!$M10*FI$25)*'Operating Assumptions'!$D$12)/12))))))))</f>
        <v>0</v>
      </c>
      <c r="FJ82" s="427">
        <f>-IF(FJ$9&lt;'Operating Assumptions'!$D$53,0,IF(FJ$6&gt;'Operating Assumptions'!$AA$8,0,IF('Operating Assumptions'!$L10="N/A",0,IF('Operating Assumptions'!$L10="$/Unit/Annual",(('Operating Assumptions'!$M10*FJ$25)*FJ$36)/12,IF('Operating Assumptions'!$L10="$/Unit/Month",('Operating Assumptions'!$M10*FJ$25)*FJ$36,IF('Operating Assumptions'!$L10="Fixed Amount",('Operating Assumptions'!$M10*FJ$25)/12,IF('Operating Assumptions'!$L10="$/GSF",(('Operating Assumptions'!$M10*FJ$25)*'Operating Assumptions'!$D$11)/12,IF('Operating Assumptions'!$L10="$/NSF",(('Operating Assumptions'!$M10*FJ$25)*'Operating Assumptions'!$D$12)/12))))))))</f>
        <v>0</v>
      </c>
      <c r="FK82" s="427">
        <f>-IF(FK$9&lt;'Operating Assumptions'!$D$53,0,IF(FK$6&gt;'Operating Assumptions'!$AA$8,0,IF('Operating Assumptions'!$L10="N/A",0,IF('Operating Assumptions'!$L10="$/Unit/Annual",(('Operating Assumptions'!$M10*FK$25)*FK$36)/12,IF('Operating Assumptions'!$L10="$/Unit/Month",('Operating Assumptions'!$M10*FK$25)*FK$36,IF('Operating Assumptions'!$L10="Fixed Amount",('Operating Assumptions'!$M10*FK$25)/12,IF('Operating Assumptions'!$L10="$/GSF",(('Operating Assumptions'!$M10*FK$25)*'Operating Assumptions'!$D$11)/12,IF('Operating Assumptions'!$L10="$/NSF",(('Operating Assumptions'!$M10*FK$25)*'Operating Assumptions'!$D$12)/12))))))))</f>
        <v>0</v>
      </c>
      <c r="FL82" s="427">
        <f>-IF(FL$9&lt;'Operating Assumptions'!$D$53,0,IF(FL$6&gt;'Operating Assumptions'!$AA$8,0,IF('Operating Assumptions'!$L10="N/A",0,IF('Operating Assumptions'!$L10="$/Unit/Annual",(('Operating Assumptions'!$M10*FL$25)*FL$36)/12,IF('Operating Assumptions'!$L10="$/Unit/Month",('Operating Assumptions'!$M10*FL$25)*FL$36,IF('Operating Assumptions'!$L10="Fixed Amount",('Operating Assumptions'!$M10*FL$25)/12,IF('Operating Assumptions'!$L10="$/GSF",(('Operating Assumptions'!$M10*FL$25)*'Operating Assumptions'!$D$11)/12,IF('Operating Assumptions'!$L10="$/NSF",(('Operating Assumptions'!$M10*FL$25)*'Operating Assumptions'!$D$12)/12))))))))</f>
        <v>0</v>
      </c>
      <c r="FM82" s="427">
        <f>-IF(FM$9&lt;'Operating Assumptions'!$D$53,0,IF(FM$6&gt;'Operating Assumptions'!$AA$8,0,IF('Operating Assumptions'!$L10="N/A",0,IF('Operating Assumptions'!$L10="$/Unit/Annual",(('Operating Assumptions'!$M10*FM$25)*FM$36)/12,IF('Operating Assumptions'!$L10="$/Unit/Month",('Operating Assumptions'!$M10*FM$25)*FM$36,IF('Operating Assumptions'!$L10="Fixed Amount",('Operating Assumptions'!$M10*FM$25)/12,IF('Operating Assumptions'!$L10="$/GSF",(('Operating Assumptions'!$M10*FM$25)*'Operating Assumptions'!$D$11)/12,IF('Operating Assumptions'!$L10="$/NSF",(('Operating Assumptions'!$M10*FM$25)*'Operating Assumptions'!$D$12)/12))))))))</f>
        <v>0</v>
      </c>
      <c r="FN82" s="427">
        <f>-IF(FN$9&lt;'Operating Assumptions'!$D$53,0,IF(FN$6&gt;'Operating Assumptions'!$AA$8,0,IF('Operating Assumptions'!$L10="N/A",0,IF('Operating Assumptions'!$L10="$/Unit/Annual",(('Operating Assumptions'!$M10*FN$25)*FN$36)/12,IF('Operating Assumptions'!$L10="$/Unit/Month",('Operating Assumptions'!$M10*FN$25)*FN$36,IF('Operating Assumptions'!$L10="Fixed Amount",('Operating Assumptions'!$M10*FN$25)/12,IF('Operating Assumptions'!$L10="$/GSF",(('Operating Assumptions'!$M10*FN$25)*'Operating Assumptions'!$D$11)/12,IF('Operating Assumptions'!$L10="$/NSF",(('Operating Assumptions'!$M10*FN$25)*'Operating Assumptions'!$D$12)/12))))))))</f>
        <v>0</v>
      </c>
      <c r="FO82" s="427">
        <f>-IF(FO$9&lt;'Operating Assumptions'!$D$53,0,IF(FO$6&gt;'Operating Assumptions'!$AA$8,0,IF('Operating Assumptions'!$L10="N/A",0,IF('Operating Assumptions'!$L10="$/Unit/Annual",(('Operating Assumptions'!$M10*FO$25)*FO$36)/12,IF('Operating Assumptions'!$L10="$/Unit/Month",('Operating Assumptions'!$M10*FO$25)*FO$36,IF('Operating Assumptions'!$L10="Fixed Amount",('Operating Assumptions'!$M10*FO$25)/12,IF('Operating Assumptions'!$L10="$/GSF",(('Operating Assumptions'!$M10*FO$25)*'Operating Assumptions'!$D$11)/12,IF('Operating Assumptions'!$L10="$/NSF",(('Operating Assumptions'!$M10*FO$25)*'Operating Assumptions'!$D$12)/12))))))))</f>
        <v>0</v>
      </c>
      <c r="FP82" s="427">
        <f>-IF(FP$9&lt;'Operating Assumptions'!$D$53,0,IF(FP$6&gt;'Operating Assumptions'!$AA$8,0,IF('Operating Assumptions'!$L10="N/A",0,IF('Operating Assumptions'!$L10="$/Unit/Annual",(('Operating Assumptions'!$M10*FP$25)*FP$36)/12,IF('Operating Assumptions'!$L10="$/Unit/Month",('Operating Assumptions'!$M10*FP$25)*FP$36,IF('Operating Assumptions'!$L10="Fixed Amount",('Operating Assumptions'!$M10*FP$25)/12,IF('Operating Assumptions'!$L10="$/GSF",(('Operating Assumptions'!$M10*FP$25)*'Operating Assumptions'!$D$11)/12,IF('Operating Assumptions'!$L10="$/NSF",(('Operating Assumptions'!$M10*FP$25)*'Operating Assumptions'!$D$12)/12))))))))</f>
        <v>0</v>
      </c>
      <c r="FQ82" s="427">
        <f>-IF(FQ$9&lt;'Operating Assumptions'!$D$53,0,IF(FQ$6&gt;'Operating Assumptions'!$AA$8,0,IF('Operating Assumptions'!$L10="N/A",0,IF('Operating Assumptions'!$L10="$/Unit/Annual",(('Operating Assumptions'!$M10*FQ$25)*FQ$36)/12,IF('Operating Assumptions'!$L10="$/Unit/Month",('Operating Assumptions'!$M10*FQ$25)*FQ$36,IF('Operating Assumptions'!$L10="Fixed Amount",('Operating Assumptions'!$M10*FQ$25)/12,IF('Operating Assumptions'!$L10="$/GSF",(('Operating Assumptions'!$M10*FQ$25)*'Operating Assumptions'!$D$11)/12,IF('Operating Assumptions'!$L10="$/NSF",(('Operating Assumptions'!$M10*FQ$25)*'Operating Assumptions'!$D$12)/12))))))))</f>
        <v>0</v>
      </c>
      <c r="FR82" s="427">
        <f>-IF(FR$9&lt;'Operating Assumptions'!$D$53,0,IF(FR$6&gt;'Operating Assumptions'!$AA$8,0,IF('Operating Assumptions'!$L10="N/A",0,IF('Operating Assumptions'!$L10="$/Unit/Annual",(('Operating Assumptions'!$M10*FR$25)*FR$36)/12,IF('Operating Assumptions'!$L10="$/Unit/Month",('Operating Assumptions'!$M10*FR$25)*FR$36,IF('Operating Assumptions'!$L10="Fixed Amount",('Operating Assumptions'!$M10*FR$25)/12,IF('Operating Assumptions'!$L10="$/GSF",(('Operating Assumptions'!$M10*FR$25)*'Operating Assumptions'!$D$11)/12,IF('Operating Assumptions'!$L10="$/NSF",(('Operating Assumptions'!$M10*FR$25)*'Operating Assumptions'!$D$12)/12))))))))</f>
        <v>0</v>
      </c>
      <c r="FS82" s="427">
        <f>-IF(FS$9&lt;'Operating Assumptions'!$D$53,0,IF(FS$6&gt;'Operating Assumptions'!$AA$8,0,IF('Operating Assumptions'!$L10="N/A",0,IF('Operating Assumptions'!$L10="$/Unit/Annual",(('Operating Assumptions'!$M10*FS$25)*FS$36)/12,IF('Operating Assumptions'!$L10="$/Unit/Month",('Operating Assumptions'!$M10*FS$25)*FS$36,IF('Operating Assumptions'!$L10="Fixed Amount",('Operating Assumptions'!$M10*FS$25)/12,IF('Operating Assumptions'!$L10="$/GSF",(('Operating Assumptions'!$M10*FS$25)*'Operating Assumptions'!$D$11)/12,IF('Operating Assumptions'!$L10="$/NSF",(('Operating Assumptions'!$M10*FS$25)*'Operating Assumptions'!$D$12)/12))))))))</f>
        <v>0</v>
      </c>
      <c r="FT82" s="427">
        <f>-IF(FT$9&lt;'Operating Assumptions'!$D$53,0,IF(FT$6&gt;'Operating Assumptions'!$AA$8,0,IF('Operating Assumptions'!$L10="N/A",0,IF('Operating Assumptions'!$L10="$/Unit/Annual",(('Operating Assumptions'!$M10*FT$25)*FT$36)/12,IF('Operating Assumptions'!$L10="$/Unit/Month",('Operating Assumptions'!$M10*FT$25)*FT$36,IF('Operating Assumptions'!$L10="Fixed Amount",('Operating Assumptions'!$M10*FT$25)/12,IF('Operating Assumptions'!$L10="$/GSF",(('Operating Assumptions'!$M10*FT$25)*'Operating Assumptions'!$D$11)/12,IF('Operating Assumptions'!$L10="$/NSF",(('Operating Assumptions'!$M10*FT$25)*'Operating Assumptions'!$D$12)/12))))))))</f>
        <v>0</v>
      </c>
      <c r="FU82" s="43"/>
      <c r="FV82" s="34"/>
      <c r="FW82" s="34"/>
      <c r="FX82" s="34"/>
      <c r="FY82" s="34"/>
      <c r="FZ82" s="34"/>
    </row>
    <row r="83" spans="1:182" s="89" customFormat="1" ht="13.5" x14ac:dyDescent="0.25">
      <c r="A83" s="34"/>
      <c r="B83" s="128" t="str">
        <f>'Operating Assumptions'!K11</f>
        <v>Repairs &amp; Maintenance</v>
      </c>
      <c r="C83" s="34"/>
      <c r="D83" s="34"/>
      <c r="E83" s="34"/>
      <c r="F83" s="434">
        <f t="shared" si="172"/>
        <v>-380311.875</v>
      </c>
      <c r="G83" s="34"/>
      <c r="H83" s="427">
        <f>-IF(H$9&lt;'Operating Assumptions'!$D$53,0,IF(H$6&gt;'Operating Assumptions'!$AA$8,0,IF('Operating Assumptions'!$L11="N/A",0,IF('Operating Assumptions'!$L11="$/Unit/Annual",(('Operating Assumptions'!$M11*H$25)*H$36)/12,IF('Operating Assumptions'!$L11="$/Unit/Month",('Operating Assumptions'!$M11*H$25)*H$36,IF('Operating Assumptions'!$L11="Fixed Amount",('Operating Assumptions'!$M11*H$25)/12,IF('Operating Assumptions'!$L11="$/GSF",(('Operating Assumptions'!$M11*H$25)*'Operating Assumptions'!$D$11)/12,IF('Operating Assumptions'!$L11="$/NSF",(('Operating Assumptions'!$M11*H$25)*'Operating Assumptions'!$D$12)/12))))))))</f>
        <v>0</v>
      </c>
      <c r="I83" s="427">
        <f>-IF(I$9&lt;'Operating Assumptions'!$D$53,0,IF(I$6&gt;'Operating Assumptions'!$AA$8,0,IF('Operating Assumptions'!$L11="N/A",0,IF('Operating Assumptions'!$L11="$/Unit/Annual",(('Operating Assumptions'!$M11*I$25)*I$36)/12,IF('Operating Assumptions'!$L11="$/Unit/Month",('Operating Assumptions'!$M11*I$25)*I$36,IF('Operating Assumptions'!$L11="Fixed Amount",('Operating Assumptions'!$M11*I$25)/12,IF('Operating Assumptions'!$L11="$/GSF",(('Operating Assumptions'!$M11*I$25)*'Operating Assumptions'!$D$11)/12,IF('Operating Assumptions'!$L11="$/NSF",(('Operating Assumptions'!$M11*I$25)*'Operating Assumptions'!$D$12)/12))))))))</f>
        <v>0</v>
      </c>
      <c r="J83" s="427">
        <f>-IF(J$9&lt;'Operating Assumptions'!$D$53,0,IF(J$6&gt;'Operating Assumptions'!$AA$8,0,IF('Operating Assumptions'!$L11="N/A",0,IF('Operating Assumptions'!$L11="$/Unit/Annual",(('Operating Assumptions'!$M11*J$25)*J$36)/12,IF('Operating Assumptions'!$L11="$/Unit/Month",('Operating Assumptions'!$M11*J$25)*J$36,IF('Operating Assumptions'!$L11="Fixed Amount",('Operating Assumptions'!$M11*J$25)/12,IF('Operating Assumptions'!$L11="$/GSF",(('Operating Assumptions'!$M11*J$25)*'Operating Assumptions'!$D$11)/12,IF('Operating Assumptions'!$L11="$/NSF",(('Operating Assumptions'!$M11*J$25)*'Operating Assumptions'!$D$12)/12))))))))</f>
        <v>0</v>
      </c>
      <c r="K83" s="427">
        <f>-IF(K$9&lt;'Operating Assumptions'!$D$53,0,IF(K$6&gt;'Operating Assumptions'!$AA$8,0,IF('Operating Assumptions'!$L11="N/A",0,IF('Operating Assumptions'!$L11="$/Unit/Annual",(('Operating Assumptions'!$M11*K$25)*K$36)/12,IF('Operating Assumptions'!$L11="$/Unit/Month",('Operating Assumptions'!$M11*K$25)*K$36,IF('Operating Assumptions'!$L11="Fixed Amount",('Operating Assumptions'!$M11*K$25)/12,IF('Operating Assumptions'!$L11="$/GSF",(('Operating Assumptions'!$M11*K$25)*'Operating Assumptions'!$D$11)/12,IF('Operating Assumptions'!$L11="$/NSF",(('Operating Assumptions'!$M11*K$25)*'Operating Assumptions'!$D$12)/12))))))))</f>
        <v>0</v>
      </c>
      <c r="L83" s="427">
        <f>-IF(L$9&lt;'Operating Assumptions'!$D$53,0,IF(L$6&gt;'Operating Assumptions'!$AA$8,0,IF('Operating Assumptions'!$L11="N/A",0,IF('Operating Assumptions'!$L11="$/Unit/Annual",(('Operating Assumptions'!$M11*L$25)*L$36)/12,IF('Operating Assumptions'!$L11="$/Unit/Month",('Operating Assumptions'!$M11*L$25)*L$36,IF('Operating Assumptions'!$L11="Fixed Amount",('Operating Assumptions'!$M11*L$25)/12,IF('Operating Assumptions'!$L11="$/GSF",(('Operating Assumptions'!$M11*L$25)*'Operating Assumptions'!$D$11)/12,IF('Operating Assumptions'!$L11="$/NSF",(('Operating Assumptions'!$M11*L$25)*'Operating Assumptions'!$D$12)/12))))))))</f>
        <v>0</v>
      </c>
      <c r="M83" s="427">
        <f>-IF(M$9&lt;'Operating Assumptions'!$D$53,0,IF(M$6&gt;'Operating Assumptions'!$AA$8,0,IF('Operating Assumptions'!$L11="N/A",0,IF('Operating Assumptions'!$L11="$/Unit/Annual",(('Operating Assumptions'!$M11*M$25)*M$36)/12,IF('Operating Assumptions'!$L11="$/Unit/Month",('Operating Assumptions'!$M11*M$25)*M$36,IF('Operating Assumptions'!$L11="Fixed Amount",('Operating Assumptions'!$M11*M$25)/12,IF('Operating Assumptions'!$L11="$/GSF",(('Operating Assumptions'!$M11*M$25)*'Operating Assumptions'!$D$11)/12,IF('Operating Assumptions'!$L11="$/NSF",(('Operating Assumptions'!$M11*M$25)*'Operating Assumptions'!$D$12)/12))))))))</f>
        <v>0</v>
      </c>
      <c r="N83" s="427">
        <f>-IF(N$9&lt;'Operating Assumptions'!$D$53,0,IF(N$6&gt;'Operating Assumptions'!$AA$8,0,IF('Operating Assumptions'!$L11="N/A",0,IF('Operating Assumptions'!$L11="$/Unit/Annual",(('Operating Assumptions'!$M11*N$25)*N$36)/12,IF('Operating Assumptions'!$L11="$/Unit/Month",('Operating Assumptions'!$M11*N$25)*N$36,IF('Operating Assumptions'!$L11="Fixed Amount",('Operating Assumptions'!$M11*N$25)/12,IF('Operating Assumptions'!$L11="$/GSF",(('Operating Assumptions'!$M11*N$25)*'Operating Assumptions'!$D$11)/12,IF('Operating Assumptions'!$L11="$/NSF",(('Operating Assumptions'!$M11*N$25)*'Operating Assumptions'!$D$12)/12))))))))</f>
        <v>0</v>
      </c>
      <c r="O83" s="427">
        <f>-IF(O$9&lt;'Operating Assumptions'!$D$53,0,IF(O$6&gt;'Operating Assumptions'!$AA$8,0,IF('Operating Assumptions'!$L11="N/A",0,IF('Operating Assumptions'!$L11="$/Unit/Annual",(('Operating Assumptions'!$M11*O$25)*O$36)/12,IF('Operating Assumptions'!$L11="$/Unit/Month",('Operating Assumptions'!$M11*O$25)*O$36,IF('Operating Assumptions'!$L11="Fixed Amount",('Operating Assumptions'!$M11*O$25)/12,IF('Operating Assumptions'!$L11="$/GSF",(('Operating Assumptions'!$M11*O$25)*'Operating Assumptions'!$D$11)/12,IF('Operating Assumptions'!$L11="$/NSF",(('Operating Assumptions'!$M11*O$25)*'Operating Assumptions'!$D$12)/12))))))))</f>
        <v>0</v>
      </c>
      <c r="P83" s="427">
        <f>-IF(P$9&lt;'Operating Assumptions'!$D$53,0,IF(P$6&gt;'Operating Assumptions'!$AA$8,0,IF('Operating Assumptions'!$L11="N/A",0,IF('Operating Assumptions'!$L11="$/Unit/Annual",(('Operating Assumptions'!$M11*P$25)*P$36)/12,IF('Operating Assumptions'!$L11="$/Unit/Month",('Operating Assumptions'!$M11*P$25)*P$36,IF('Operating Assumptions'!$L11="Fixed Amount",('Operating Assumptions'!$M11*P$25)/12,IF('Operating Assumptions'!$L11="$/GSF",(('Operating Assumptions'!$M11*P$25)*'Operating Assumptions'!$D$11)/12,IF('Operating Assumptions'!$L11="$/NSF",(('Operating Assumptions'!$M11*P$25)*'Operating Assumptions'!$D$12)/12))))))))</f>
        <v>0</v>
      </c>
      <c r="Q83" s="427">
        <f>-IF(Q$9&lt;'Operating Assumptions'!$D$53,0,IF(Q$6&gt;'Operating Assumptions'!$AA$8,0,IF('Operating Assumptions'!$L11="N/A",0,IF('Operating Assumptions'!$L11="$/Unit/Annual",(('Operating Assumptions'!$M11*Q$25)*Q$36)/12,IF('Operating Assumptions'!$L11="$/Unit/Month",('Operating Assumptions'!$M11*Q$25)*Q$36,IF('Operating Assumptions'!$L11="Fixed Amount",('Operating Assumptions'!$M11*Q$25)/12,IF('Operating Assumptions'!$L11="$/GSF",(('Operating Assumptions'!$M11*Q$25)*'Operating Assumptions'!$D$11)/12,IF('Operating Assumptions'!$L11="$/NSF",(('Operating Assumptions'!$M11*Q$25)*'Operating Assumptions'!$D$12)/12))))))))</f>
        <v>0</v>
      </c>
      <c r="R83" s="427">
        <f>-IF(R$9&lt;'Operating Assumptions'!$D$53,0,IF(R$6&gt;'Operating Assumptions'!$AA$8,0,IF('Operating Assumptions'!$L11="N/A",0,IF('Operating Assumptions'!$L11="$/Unit/Annual",(('Operating Assumptions'!$M11*R$25)*R$36)/12,IF('Operating Assumptions'!$L11="$/Unit/Month",('Operating Assumptions'!$M11*R$25)*R$36,IF('Operating Assumptions'!$L11="Fixed Amount",('Operating Assumptions'!$M11*R$25)/12,IF('Operating Assumptions'!$L11="$/GSF",(('Operating Assumptions'!$M11*R$25)*'Operating Assumptions'!$D$11)/12,IF('Operating Assumptions'!$L11="$/NSF",(('Operating Assumptions'!$M11*R$25)*'Operating Assumptions'!$D$12)/12))))))))</f>
        <v>0</v>
      </c>
      <c r="S83" s="427">
        <f>-IF(S$9&lt;'Operating Assumptions'!$D$53,0,IF(S$6&gt;'Operating Assumptions'!$AA$8,0,IF('Operating Assumptions'!$L11="N/A",0,IF('Operating Assumptions'!$L11="$/Unit/Annual",(('Operating Assumptions'!$M11*S$25)*S$36)/12,IF('Operating Assumptions'!$L11="$/Unit/Month",('Operating Assumptions'!$M11*S$25)*S$36,IF('Operating Assumptions'!$L11="Fixed Amount",('Operating Assumptions'!$M11*S$25)/12,IF('Operating Assumptions'!$L11="$/GSF",(('Operating Assumptions'!$M11*S$25)*'Operating Assumptions'!$D$11)/12,IF('Operating Assumptions'!$L11="$/NSF",(('Operating Assumptions'!$M11*S$25)*'Operating Assumptions'!$D$12)/12))))))))</f>
        <v>0</v>
      </c>
      <c r="T83" s="427">
        <f>-IF(T$9&lt;'Operating Assumptions'!$D$53,0,IF(T$6&gt;'Operating Assumptions'!$AA$8,0,IF('Operating Assumptions'!$L11="N/A",0,IF('Operating Assumptions'!$L11="$/Unit/Annual",(('Operating Assumptions'!$M11*T$25)*T$36)/12,IF('Operating Assumptions'!$L11="$/Unit/Month",('Operating Assumptions'!$M11*T$25)*T$36,IF('Operating Assumptions'!$L11="Fixed Amount",('Operating Assumptions'!$M11*T$25)/12,IF('Operating Assumptions'!$L11="$/GSF",(('Operating Assumptions'!$M11*T$25)*'Operating Assumptions'!$D$11)/12,IF('Operating Assumptions'!$L11="$/NSF",(('Operating Assumptions'!$M11*T$25)*'Operating Assumptions'!$D$12)/12))))))))</f>
        <v>0</v>
      </c>
      <c r="U83" s="427">
        <f>-IF(U$9&lt;'Operating Assumptions'!$D$53,0,IF(U$6&gt;'Operating Assumptions'!$AA$8,0,IF('Operating Assumptions'!$L11="N/A",0,IF('Operating Assumptions'!$L11="$/Unit/Annual",(('Operating Assumptions'!$M11*U$25)*U$36)/12,IF('Operating Assumptions'!$L11="$/Unit/Month",('Operating Assumptions'!$M11*U$25)*U$36,IF('Operating Assumptions'!$L11="Fixed Amount",('Operating Assumptions'!$M11*U$25)/12,IF('Operating Assumptions'!$L11="$/GSF",(('Operating Assumptions'!$M11*U$25)*'Operating Assumptions'!$D$11)/12,IF('Operating Assumptions'!$L11="$/NSF",(('Operating Assumptions'!$M11*U$25)*'Operating Assumptions'!$D$12)/12))))))))</f>
        <v>0</v>
      </c>
      <c r="V83" s="427">
        <f>-IF(V$9&lt;'Operating Assumptions'!$D$53,0,IF(V$6&gt;'Operating Assumptions'!$AA$8,0,IF('Operating Assumptions'!$L11="N/A",0,IF('Operating Assumptions'!$L11="$/Unit/Annual",(('Operating Assumptions'!$M11*V$25)*V$36)/12,IF('Operating Assumptions'!$L11="$/Unit/Month",('Operating Assumptions'!$M11*V$25)*V$36,IF('Operating Assumptions'!$L11="Fixed Amount",('Operating Assumptions'!$M11*V$25)/12,IF('Operating Assumptions'!$L11="$/GSF",(('Operating Assumptions'!$M11*V$25)*'Operating Assumptions'!$D$11)/12,IF('Operating Assumptions'!$L11="$/NSF",(('Operating Assumptions'!$M11*V$25)*'Operating Assumptions'!$D$12)/12))))))))</f>
        <v>0</v>
      </c>
      <c r="W83" s="427">
        <f>-IF(W$9&lt;'Operating Assumptions'!$D$53,0,IF(W$6&gt;'Operating Assumptions'!$AA$8,0,IF('Operating Assumptions'!$L11="N/A",0,IF('Operating Assumptions'!$L11="$/Unit/Annual",(('Operating Assumptions'!$M11*W$25)*W$36)/12,IF('Operating Assumptions'!$L11="$/Unit/Month",('Operating Assumptions'!$M11*W$25)*W$36,IF('Operating Assumptions'!$L11="Fixed Amount",('Operating Assumptions'!$M11*W$25)/12,IF('Operating Assumptions'!$L11="$/GSF",(('Operating Assumptions'!$M11*W$25)*'Operating Assumptions'!$D$11)/12,IF('Operating Assumptions'!$L11="$/NSF",(('Operating Assumptions'!$M11*W$25)*'Operating Assumptions'!$D$12)/12))))))))</f>
        <v>0</v>
      </c>
      <c r="X83" s="427">
        <f>-IF(X$9&lt;'Operating Assumptions'!$D$53,0,IF(X$6&gt;'Operating Assumptions'!$AA$8,0,IF('Operating Assumptions'!$L11="N/A",0,IF('Operating Assumptions'!$L11="$/Unit/Annual",(('Operating Assumptions'!$M11*X$25)*X$36)/12,IF('Operating Assumptions'!$L11="$/Unit/Month",('Operating Assumptions'!$M11*X$25)*X$36,IF('Operating Assumptions'!$L11="Fixed Amount",('Operating Assumptions'!$M11*X$25)/12,IF('Operating Assumptions'!$L11="$/GSF",(('Operating Assumptions'!$M11*X$25)*'Operating Assumptions'!$D$11)/12,IF('Operating Assumptions'!$L11="$/NSF",(('Operating Assumptions'!$M11*X$25)*'Operating Assumptions'!$D$12)/12))))))))</f>
        <v>0</v>
      </c>
      <c r="Y83" s="427">
        <f>-IF(Y$9&lt;'Operating Assumptions'!$D$53,0,IF(Y$6&gt;'Operating Assumptions'!$AA$8,0,IF('Operating Assumptions'!$L11="N/A",0,IF('Operating Assumptions'!$L11="$/Unit/Annual",(('Operating Assumptions'!$M11*Y$25)*Y$36)/12,IF('Operating Assumptions'!$L11="$/Unit/Month",('Operating Assumptions'!$M11*Y$25)*Y$36,IF('Operating Assumptions'!$L11="Fixed Amount",('Operating Assumptions'!$M11*Y$25)/12,IF('Operating Assumptions'!$L11="$/GSF",(('Operating Assumptions'!$M11*Y$25)*'Operating Assumptions'!$D$11)/12,IF('Operating Assumptions'!$L11="$/NSF",(('Operating Assumptions'!$M11*Y$25)*'Operating Assumptions'!$D$12)/12))))))))</f>
        <v>-262.5</v>
      </c>
      <c r="Z83" s="427">
        <f>-IF(Z$9&lt;'Operating Assumptions'!$D$53,0,IF(Z$6&gt;'Operating Assumptions'!$AA$8,0,IF('Operating Assumptions'!$L11="N/A",0,IF('Operating Assumptions'!$L11="$/Unit/Annual",(('Operating Assumptions'!$M11*Z$25)*Z$36)/12,IF('Operating Assumptions'!$L11="$/Unit/Month",('Operating Assumptions'!$M11*Z$25)*Z$36,IF('Operating Assumptions'!$L11="Fixed Amount",('Operating Assumptions'!$M11*Z$25)/12,IF('Operating Assumptions'!$L11="$/GSF",(('Operating Assumptions'!$M11*Z$25)*'Operating Assumptions'!$D$11)/12,IF('Operating Assumptions'!$L11="$/NSF",(('Operating Assumptions'!$M11*Z$25)*'Operating Assumptions'!$D$12)/12))))))))</f>
        <v>-512.5</v>
      </c>
      <c r="AA83" s="427">
        <f>-IF(AA$9&lt;'Operating Assumptions'!$D$53,0,IF(AA$6&gt;'Operating Assumptions'!$AA$8,0,IF('Operating Assumptions'!$L11="N/A",0,IF('Operating Assumptions'!$L11="$/Unit/Annual",(('Operating Assumptions'!$M11*AA$25)*AA$36)/12,IF('Operating Assumptions'!$L11="$/Unit/Month",('Operating Assumptions'!$M11*AA$25)*AA$36,IF('Operating Assumptions'!$L11="Fixed Amount",('Operating Assumptions'!$M11*AA$25)/12,IF('Operating Assumptions'!$L11="$/GSF",(('Operating Assumptions'!$M11*AA$25)*'Operating Assumptions'!$D$11)/12,IF('Operating Assumptions'!$L11="$/NSF",(('Operating Assumptions'!$M11*AA$25)*'Operating Assumptions'!$D$12)/12))))))))</f>
        <v>-762.5</v>
      </c>
      <c r="AB83" s="427">
        <f>-IF(AB$9&lt;'Operating Assumptions'!$D$53,0,IF(AB$6&gt;'Operating Assumptions'!$AA$8,0,IF('Operating Assumptions'!$L11="N/A",0,IF('Operating Assumptions'!$L11="$/Unit/Annual",(('Operating Assumptions'!$M11*AB$25)*AB$36)/12,IF('Operating Assumptions'!$L11="$/Unit/Month",('Operating Assumptions'!$M11*AB$25)*AB$36,IF('Operating Assumptions'!$L11="Fixed Amount",('Operating Assumptions'!$M11*AB$25)/12,IF('Operating Assumptions'!$L11="$/GSF",(('Operating Assumptions'!$M11*AB$25)*'Operating Assumptions'!$D$11)/12,IF('Operating Assumptions'!$L11="$/NSF",(('Operating Assumptions'!$M11*AB$25)*'Operating Assumptions'!$D$12)/12))))))))</f>
        <v>-1012.5</v>
      </c>
      <c r="AC83" s="427">
        <f>-IF(AC$9&lt;'Operating Assumptions'!$D$53,0,IF(AC$6&gt;'Operating Assumptions'!$AA$8,0,IF('Operating Assumptions'!$L11="N/A",0,IF('Operating Assumptions'!$L11="$/Unit/Annual",(('Operating Assumptions'!$M11*AC$25)*AC$36)/12,IF('Operating Assumptions'!$L11="$/Unit/Month",('Operating Assumptions'!$M11*AC$25)*AC$36,IF('Operating Assumptions'!$L11="Fixed Amount",('Operating Assumptions'!$M11*AC$25)/12,IF('Operating Assumptions'!$L11="$/GSF",(('Operating Assumptions'!$M11*AC$25)*'Operating Assumptions'!$D$11)/12,IF('Operating Assumptions'!$L11="$/NSF",(('Operating Assumptions'!$M11*AC$25)*'Operating Assumptions'!$D$12)/12))))))))</f>
        <v>-1262.5</v>
      </c>
      <c r="AD83" s="427">
        <f>-IF(AD$9&lt;'Operating Assumptions'!$D$53,0,IF(AD$6&gt;'Operating Assumptions'!$AA$8,0,IF('Operating Assumptions'!$L11="N/A",0,IF('Operating Assumptions'!$L11="$/Unit/Annual",(('Operating Assumptions'!$M11*AD$25)*AD$36)/12,IF('Operating Assumptions'!$L11="$/Unit/Month",('Operating Assumptions'!$M11*AD$25)*AD$36,IF('Operating Assumptions'!$L11="Fixed Amount",('Operating Assumptions'!$M11*AD$25)/12,IF('Operating Assumptions'!$L11="$/GSF",(('Operating Assumptions'!$M11*AD$25)*'Operating Assumptions'!$D$11)/12,IF('Operating Assumptions'!$L11="$/NSF",(('Operating Assumptions'!$M11*AD$25)*'Operating Assumptions'!$D$12)/12))))))))</f>
        <v>-1512.5</v>
      </c>
      <c r="AE83" s="427">
        <f>-IF(AE$9&lt;'Operating Assumptions'!$D$53,0,IF(AE$6&gt;'Operating Assumptions'!$AA$8,0,IF('Operating Assumptions'!$L11="N/A",0,IF('Operating Assumptions'!$L11="$/Unit/Annual",(('Operating Assumptions'!$M11*AE$25)*AE$36)/12,IF('Operating Assumptions'!$L11="$/Unit/Month",('Operating Assumptions'!$M11*AE$25)*AE$36,IF('Operating Assumptions'!$L11="Fixed Amount",('Operating Assumptions'!$M11*AE$25)/12,IF('Operating Assumptions'!$L11="$/GSF",(('Operating Assumptions'!$M11*AE$25)*'Operating Assumptions'!$D$11)/12,IF('Operating Assumptions'!$L11="$/NSF",(('Operating Assumptions'!$M11*AE$25)*'Operating Assumptions'!$D$12)/12))))))))</f>
        <v>-1562.5</v>
      </c>
      <c r="AF83" s="427">
        <f>-IF(AF$9&lt;'Operating Assumptions'!$D$53,0,IF(AF$6&gt;'Operating Assumptions'!$AA$8,0,IF('Operating Assumptions'!$L11="N/A",0,IF('Operating Assumptions'!$L11="$/Unit/Annual",(('Operating Assumptions'!$M11*AF$25)*AF$36)/12,IF('Operating Assumptions'!$L11="$/Unit/Month",('Operating Assumptions'!$M11*AF$25)*AF$36,IF('Operating Assumptions'!$L11="Fixed Amount",('Operating Assumptions'!$M11*AF$25)/12,IF('Operating Assumptions'!$L11="$/GSF",(('Operating Assumptions'!$M11*AF$25)*'Operating Assumptions'!$D$11)/12,IF('Operating Assumptions'!$L11="$/NSF",(('Operating Assumptions'!$M11*AF$25)*'Operating Assumptions'!$D$12)/12))))))))</f>
        <v>-1578.125</v>
      </c>
      <c r="AG83" s="427">
        <f>-IF(AG$9&lt;'Operating Assumptions'!$D$53,0,IF(AG$6&gt;'Operating Assumptions'!$AA$8,0,IF('Operating Assumptions'!$L11="N/A",0,IF('Operating Assumptions'!$L11="$/Unit/Annual",(('Operating Assumptions'!$M11*AG$25)*AG$36)/12,IF('Operating Assumptions'!$L11="$/Unit/Month",('Operating Assumptions'!$M11*AG$25)*AG$36,IF('Operating Assumptions'!$L11="Fixed Amount",('Operating Assumptions'!$M11*AG$25)/12,IF('Operating Assumptions'!$L11="$/GSF",(('Operating Assumptions'!$M11*AG$25)*'Operating Assumptions'!$D$11)/12,IF('Operating Assumptions'!$L11="$/NSF",(('Operating Assumptions'!$M11*AG$25)*'Operating Assumptions'!$D$12)/12))))))))</f>
        <v>-1578.125</v>
      </c>
      <c r="AH83" s="427">
        <f>-IF(AH$9&lt;'Operating Assumptions'!$D$53,0,IF(AH$6&gt;'Operating Assumptions'!$AA$8,0,IF('Operating Assumptions'!$L11="N/A",0,IF('Operating Assumptions'!$L11="$/Unit/Annual",(('Operating Assumptions'!$M11*AH$25)*AH$36)/12,IF('Operating Assumptions'!$L11="$/Unit/Month",('Operating Assumptions'!$M11*AH$25)*AH$36,IF('Operating Assumptions'!$L11="Fixed Amount",('Operating Assumptions'!$M11*AH$25)/12,IF('Operating Assumptions'!$L11="$/GSF",(('Operating Assumptions'!$M11*AH$25)*'Operating Assumptions'!$D$11)/12,IF('Operating Assumptions'!$L11="$/NSF",(('Operating Assumptions'!$M11*AH$25)*'Operating Assumptions'!$D$12)/12))))))))</f>
        <v>-1830.625</v>
      </c>
      <c r="AI83" s="427">
        <f>-IF(AI$9&lt;'Operating Assumptions'!$D$53,0,IF(AI$6&gt;'Operating Assumptions'!$AA$8,0,IF('Operating Assumptions'!$L11="N/A",0,IF('Operating Assumptions'!$L11="$/Unit/Annual",(('Operating Assumptions'!$M11*AI$25)*AI$36)/12,IF('Operating Assumptions'!$L11="$/Unit/Month",('Operating Assumptions'!$M11*AI$25)*AI$36,IF('Operating Assumptions'!$L11="Fixed Amount",('Operating Assumptions'!$M11*AI$25)/12,IF('Operating Assumptions'!$L11="$/GSF",(('Operating Assumptions'!$M11*AI$25)*'Operating Assumptions'!$D$11)/12,IF('Operating Assumptions'!$L11="$/NSF",(('Operating Assumptions'!$M11*AI$25)*'Operating Assumptions'!$D$12)/12))))))))</f>
        <v>-2083.125</v>
      </c>
      <c r="AJ83" s="427">
        <f>-IF(AJ$9&lt;'Operating Assumptions'!$D$53,0,IF(AJ$6&gt;'Operating Assumptions'!$AA$8,0,IF('Operating Assumptions'!$L11="N/A",0,IF('Operating Assumptions'!$L11="$/Unit/Annual",(('Operating Assumptions'!$M11*AJ$25)*AJ$36)/12,IF('Operating Assumptions'!$L11="$/Unit/Month",('Operating Assumptions'!$M11*AJ$25)*AJ$36,IF('Operating Assumptions'!$L11="Fixed Amount",('Operating Assumptions'!$M11*AJ$25)/12,IF('Operating Assumptions'!$L11="$/GSF",(('Operating Assumptions'!$M11*AJ$25)*'Operating Assumptions'!$D$11)/12,IF('Operating Assumptions'!$L11="$/NSF",(('Operating Assumptions'!$M11*AJ$25)*'Operating Assumptions'!$D$12)/12))))))))</f>
        <v>-2335.625</v>
      </c>
      <c r="AK83" s="427">
        <f>-IF(AK$9&lt;'Operating Assumptions'!$D$53,0,IF(AK$6&gt;'Operating Assumptions'!$AA$8,0,IF('Operating Assumptions'!$L11="N/A",0,IF('Operating Assumptions'!$L11="$/Unit/Annual",(('Operating Assumptions'!$M11*AK$25)*AK$36)/12,IF('Operating Assumptions'!$L11="$/Unit/Month",('Operating Assumptions'!$M11*AK$25)*AK$36,IF('Operating Assumptions'!$L11="Fixed Amount",('Operating Assumptions'!$M11*AK$25)/12,IF('Operating Assumptions'!$L11="$/GSF",(('Operating Assumptions'!$M11*AK$25)*'Operating Assumptions'!$D$11)/12,IF('Operating Assumptions'!$L11="$/NSF",(('Operating Assumptions'!$M11*AK$25)*'Operating Assumptions'!$D$12)/12))))))))</f>
        <v>-2588.125</v>
      </c>
      <c r="AL83" s="427">
        <f>-IF(AL$9&lt;'Operating Assumptions'!$D$53,0,IF(AL$6&gt;'Operating Assumptions'!$AA$8,0,IF('Operating Assumptions'!$L11="N/A",0,IF('Operating Assumptions'!$L11="$/Unit/Annual",(('Operating Assumptions'!$M11*AL$25)*AL$36)/12,IF('Operating Assumptions'!$L11="$/Unit/Month",('Operating Assumptions'!$M11*AL$25)*AL$36,IF('Operating Assumptions'!$L11="Fixed Amount",('Operating Assumptions'!$M11*AL$25)/12,IF('Operating Assumptions'!$L11="$/GSF",(('Operating Assumptions'!$M11*AL$25)*'Operating Assumptions'!$D$11)/12,IF('Operating Assumptions'!$L11="$/NSF",(('Operating Assumptions'!$M11*AL$25)*'Operating Assumptions'!$D$12)/12))))))))</f>
        <v>-2840.625</v>
      </c>
      <c r="AM83" s="427">
        <f>-IF(AM$9&lt;'Operating Assumptions'!$D$53,0,IF(AM$6&gt;'Operating Assumptions'!$AA$8,0,IF('Operating Assumptions'!$L11="N/A",0,IF('Operating Assumptions'!$L11="$/Unit/Annual",(('Operating Assumptions'!$M11*AM$25)*AM$36)/12,IF('Operating Assumptions'!$L11="$/Unit/Month",('Operating Assumptions'!$M11*AM$25)*AM$36,IF('Operating Assumptions'!$L11="Fixed Amount",('Operating Assumptions'!$M11*AM$25)/12,IF('Operating Assumptions'!$L11="$/GSF",(('Operating Assumptions'!$M11*AM$25)*'Operating Assumptions'!$D$11)/12,IF('Operating Assumptions'!$L11="$/NSF",(('Operating Assumptions'!$M11*AM$25)*'Operating Assumptions'!$D$12)/12))))))))</f>
        <v>-3030</v>
      </c>
      <c r="AN83" s="427">
        <f>-IF(AN$9&lt;'Operating Assumptions'!$D$53,0,IF(AN$6&gt;'Operating Assumptions'!$AA$8,0,IF('Operating Assumptions'!$L11="N/A",0,IF('Operating Assumptions'!$L11="$/Unit/Annual",(('Operating Assumptions'!$M11*AN$25)*AN$36)/12,IF('Operating Assumptions'!$L11="$/Unit/Month",('Operating Assumptions'!$M11*AN$25)*AN$36,IF('Operating Assumptions'!$L11="Fixed Amount",('Operating Assumptions'!$M11*AN$25)/12,IF('Operating Assumptions'!$L11="$/GSF",(('Operating Assumptions'!$M11*AN$25)*'Operating Assumptions'!$D$11)/12,IF('Operating Assumptions'!$L11="$/NSF",(('Operating Assumptions'!$M11*AN$25)*'Operating Assumptions'!$D$12)/12))))))))</f>
        <v>-3030</v>
      </c>
      <c r="AO83" s="427">
        <f>-IF(AO$9&lt;'Operating Assumptions'!$D$53,0,IF(AO$6&gt;'Operating Assumptions'!$AA$8,0,IF('Operating Assumptions'!$L11="N/A",0,IF('Operating Assumptions'!$L11="$/Unit/Annual",(('Operating Assumptions'!$M11*AO$25)*AO$36)/12,IF('Operating Assumptions'!$L11="$/Unit/Month",('Operating Assumptions'!$M11*AO$25)*AO$36,IF('Operating Assumptions'!$L11="Fixed Amount",('Operating Assumptions'!$M11*AO$25)/12,IF('Operating Assumptions'!$L11="$/GSF",(('Operating Assumptions'!$M11*AO$25)*'Operating Assumptions'!$D$11)/12,IF('Operating Assumptions'!$L11="$/NSF",(('Operating Assumptions'!$M11*AO$25)*'Operating Assumptions'!$D$12)/12))))))))</f>
        <v>-3030</v>
      </c>
      <c r="AP83" s="427">
        <f>-IF(AP$9&lt;'Operating Assumptions'!$D$53,0,IF(AP$6&gt;'Operating Assumptions'!$AA$8,0,IF('Operating Assumptions'!$L11="N/A",0,IF('Operating Assumptions'!$L11="$/Unit/Annual",(('Operating Assumptions'!$M11*AP$25)*AP$36)/12,IF('Operating Assumptions'!$L11="$/Unit/Month",('Operating Assumptions'!$M11*AP$25)*AP$36,IF('Operating Assumptions'!$L11="Fixed Amount",('Operating Assumptions'!$M11*AP$25)/12,IF('Operating Assumptions'!$L11="$/GSF",(('Operating Assumptions'!$M11*AP$25)*'Operating Assumptions'!$D$11)/12,IF('Operating Assumptions'!$L11="$/NSF",(('Operating Assumptions'!$M11*AP$25)*'Operating Assumptions'!$D$12)/12))))))))</f>
        <v>-3030</v>
      </c>
      <c r="AQ83" s="427">
        <f>-IF(AQ$9&lt;'Operating Assumptions'!$D$53,0,IF(AQ$6&gt;'Operating Assumptions'!$AA$8,0,IF('Operating Assumptions'!$L11="N/A",0,IF('Operating Assumptions'!$L11="$/Unit/Annual",(('Operating Assumptions'!$M11*AQ$25)*AQ$36)/12,IF('Operating Assumptions'!$L11="$/Unit/Month",('Operating Assumptions'!$M11*AQ$25)*AQ$36,IF('Operating Assumptions'!$L11="Fixed Amount",('Operating Assumptions'!$M11*AQ$25)/12,IF('Operating Assumptions'!$L11="$/GSF",(('Operating Assumptions'!$M11*AQ$25)*'Operating Assumptions'!$D$11)/12,IF('Operating Assumptions'!$L11="$/NSF",(('Operating Assumptions'!$M11*AQ$25)*'Operating Assumptions'!$D$12)/12))))))))</f>
        <v>-3030</v>
      </c>
      <c r="AR83" s="427">
        <f>-IF(AR$9&lt;'Operating Assumptions'!$D$53,0,IF(AR$6&gt;'Operating Assumptions'!$AA$8,0,IF('Operating Assumptions'!$L11="N/A",0,IF('Operating Assumptions'!$L11="$/Unit/Annual",(('Operating Assumptions'!$M11*AR$25)*AR$36)/12,IF('Operating Assumptions'!$L11="$/Unit/Month",('Operating Assumptions'!$M11*AR$25)*AR$36,IF('Operating Assumptions'!$L11="Fixed Amount",('Operating Assumptions'!$M11*AR$25)/12,IF('Operating Assumptions'!$L11="$/GSF",(('Operating Assumptions'!$M11*AR$25)*'Operating Assumptions'!$D$11)/12,IF('Operating Assumptions'!$L11="$/NSF",(('Operating Assumptions'!$M11*AR$25)*'Operating Assumptions'!$D$12)/12))))))))</f>
        <v>-3060</v>
      </c>
      <c r="AS83" s="427">
        <f>-IF(AS$9&lt;'Operating Assumptions'!$D$53,0,IF(AS$6&gt;'Operating Assumptions'!$AA$8,0,IF('Operating Assumptions'!$L11="N/A",0,IF('Operating Assumptions'!$L11="$/Unit/Annual",(('Operating Assumptions'!$M11*AS$25)*AS$36)/12,IF('Operating Assumptions'!$L11="$/Unit/Month",('Operating Assumptions'!$M11*AS$25)*AS$36,IF('Operating Assumptions'!$L11="Fixed Amount",('Operating Assumptions'!$M11*AS$25)/12,IF('Operating Assumptions'!$L11="$/GSF",(('Operating Assumptions'!$M11*AS$25)*'Operating Assumptions'!$D$11)/12,IF('Operating Assumptions'!$L11="$/NSF",(('Operating Assumptions'!$M11*AS$25)*'Operating Assumptions'!$D$12)/12))))))))</f>
        <v>-3060</v>
      </c>
      <c r="AT83" s="427">
        <f>-IF(AT$9&lt;'Operating Assumptions'!$D$53,0,IF(AT$6&gt;'Operating Assumptions'!$AA$8,0,IF('Operating Assumptions'!$L11="N/A",0,IF('Operating Assumptions'!$L11="$/Unit/Annual",(('Operating Assumptions'!$M11*AT$25)*AT$36)/12,IF('Operating Assumptions'!$L11="$/Unit/Month",('Operating Assumptions'!$M11*AT$25)*AT$36,IF('Operating Assumptions'!$L11="Fixed Amount",('Operating Assumptions'!$M11*AT$25)/12,IF('Operating Assumptions'!$L11="$/GSF",(('Operating Assumptions'!$M11*AT$25)*'Operating Assumptions'!$D$11)/12,IF('Operating Assumptions'!$L11="$/NSF",(('Operating Assumptions'!$M11*AT$25)*'Operating Assumptions'!$D$12)/12))))))))</f>
        <v>-3060</v>
      </c>
      <c r="AU83" s="427">
        <f>-IF(AU$9&lt;'Operating Assumptions'!$D$53,0,IF(AU$6&gt;'Operating Assumptions'!$AA$8,0,IF('Operating Assumptions'!$L11="N/A",0,IF('Operating Assumptions'!$L11="$/Unit/Annual",(('Operating Assumptions'!$M11*AU$25)*AU$36)/12,IF('Operating Assumptions'!$L11="$/Unit/Month",('Operating Assumptions'!$M11*AU$25)*AU$36,IF('Operating Assumptions'!$L11="Fixed Amount",('Operating Assumptions'!$M11*AU$25)/12,IF('Operating Assumptions'!$L11="$/GSF",(('Operating Assumptions'!$M11*AU$25)*'Operating Assumptions'!$D$11)/12,IF('Operating Assumptions'!$L11="$/NSF",(('Operating Assumptions'!$M11*AU$25)*'Operating Assumptions'!$D$12)/12))))))))</f>
        <v>-3060</v>
      </c>
      <c r="AV83" s="427">
        <f>-IF(AV$9&lt;'Operating Assumptions'!$D$53,0,IF(AV$6&gt;'Operating Assumptions'!$AA$8,0,IF('Operating Assumptions'!$L11="N/A",0,IF('Operating Assumptions'!$L11="$/Unit/Annual",(('Operating Assumptions'!$M11*AV$25)*AV$36)/12,IF('Operating Assumptions'!$L11="$/Unit/Month",('Operating Assumptions'!$M11*AV$25)*AV$36,IF('Operating Assumptions'!$L11="Fixed Amount",('Operating Assumptions'!$M11*AV$25)/12,IF('Operating Assumptions'!$L11="$/GSF",(('Operating Assumptions'!$M11*AV$25)*'Operating Assumptions'!$D$11)/12,IF('Operating Assumptions'!$L11="$/NSF",(('Operating Assumptions'!$M11*AV$25)*'Operating Assumptions'!$D$12)/12))))))))</f>
        <v>-3060</v>
      </c>
      <c r="AW83" s="427">
        <f>-IF(AW$9&lt;'Operating Assumptions'!$D$53,0,IF(AW$6&gt;'Operating Assumptions'!$AA$8,0,IF('Operating Assumptions'!$L11="N/A",0,IF('Operating Assumptions'!$L11="$/Unit/Annual",(('Operating Assumptions'!$M11*AW$25)*AW$36)/12,IF('Operating Assumptions'!$L11="$/Unit/Month",('Operating Assumptions'!$M11*AW$25)*AW$36,IF('Operating Assumptions'!$L11="Fixed Amount",('Operating Assumptions'!$M11*AW$25)/12,IF('Operating Assumptions'!$L11="$/GSF",(('Operating Assumptions'!$M11*AW$25)*'Operating Assumptions'!$D$11)/12,IF('Operating Assumptions'!$L11="$/NSF",(('Operating Assumptions'!$M11*AW$25)*'Operating Assumptions'!$D$12)/12))))))))</f>
        <v>-3060</v>
      </c>
      <c r="AX83" s="427">
        <f>-IF(AX$9&lt;'Operating Assumptions'!$D$53,0,IF(AX$6&gt;'Operating Assumptions'!$AA$8,0,IF('Operating Assumptions'!$L11="N/A",0,IF('Operating Assumptions'!$L11="$/Unit/Annual",(('Operating Assumptions'!$M11*AX$25)*AX$36)/12,IF('Operating Assumptions'!$L11="$/Unit/Month",('Operating Assumptions'!$M11*AX$25)*AX$36,IF('Operating Assumptions'!$L11="Fixed Amount",('Operating Assumptions'!$M11*AX$25)/12,IF('Operating Assumptions'!$L11="$/GSF",(('Operating Assumptions'!$M11*AX$25)*'Operating Assumptions'!$D$11)/12,IF('Operating Assumptions'!$L11="$/NSF",(('Operating Assumptions'!$M11*AX$25)*'Operating Assumptions'!$D$12)/12))))))))</f>
        <v>-3060</v>
      </c>
      <c r="AY83" s="427">
        <f>-IF(AY$9&lt;'Operating Assumptions'!$D$53,0,IF(AY$6&gt;'Operating Assumptions'!$AA$8,0,IF('Operating Assumptions'!$L11="N/A",0,IF('Operating Assumptions'!$L11="$/Unit/Annual",(('Operating Assumptions'!$M11*AY$25)*AY$36)/12,IF('Operating Assumptions'!$L11="$/Unit/Month",('Operating Assumptions'!$M11*AY$25)*AY$36,IF('Operating Assumptions'!$L11="Fixed Amount",('Operating Assumptions'!$M11*AY$25)/12,IF('Operating Assumptions'!$L11="$/GSF",(('Operating Assumptions'!$M11*AY$25)*'Operating Assumptions'!$D$11)/12,IF('Operating Assumptions'!$L11="$/NSF",(('Operating Assumptions'!$M11*AY$25)*'Operating Assumptions'!$D$12)/12))))))))</f>
        <v>-3060</v>
      </c>
      <c r="AZ83" s="427">
        <f>-IF(AZ$9&lt;'Operating Assumptions'!$D$53,0,IF(AZ$6&gt;'Operating Assumptions'!$AA$8,0,IF('Operating Assumptions'!$L11="N/A",0,IF('Operating Assumptions'!$L11="$/Unit/Annual",(('Operating Assumptions'!$M11*AZ$25)*AZ$36)/12,IF('Operating Assumptions'!$L11="$/Unit/Month",('Operating Assumptions'!$M11*AZ$25)*AZ$36,IF('Operating Assumptions'!$L11="Fixed Amount",('Operating Assumptions'!$M11*AZ$25)/12,IF('Operating Assumptions'!$L11="$/GSF",(('Operating Assumptions'!$M11*AZ$25)*'Operating Assumptions'!$D$11)/12,IF('Operating Assumptions'!$L11="$/NSF",(('Operating Assumptions'!$M11*AZ$25)*'Operating Assumptions'!$D$12)/12))))))))</f>
        <v>-3060</v>
      </c>
      <c r="BA83" s="427">
        <f>-IF(BA$9&lt;'Operating Assumptions'!$D$53,0,IF(BA$6&gt;'Operating Assumptions'!$AA$8,0,IF('Operating Assumptions'!$L11="N/A",0,IF('Operating Assumptions'!$L11="$/Unit/Annual",(('Operating Assumptions'!$M11*BA$25)*BA$36)/12,IF('Operating Assumptions'!$L11="$/Unit/Month",('Operating Assumptions'!$M11*BA$25)*BA$36,IF('Operating Assumptions'!$L11="Fixed Amount",('Operating Assumptions'!$M11*BA$25)/12,IF('Operating Assumptions'!$L11="$/GSF",(('Operating Assumptions'!$M11*BA$25)*'Operating Assumptions'!$D$11)/12,IF('Operating Assumptions'!$L11="$/NSF",(('Operating Assumptions'!$M11*BA$25)*'Operating Assumptions'!$D$12)/12))))))))</f>
        <v>-3060</v>
      </c>
      <c r="BB83" s="427">
        <f>-IF(BB$9&lt;'Operating Assumptions'!$D$53,0,IF(BB$6&gt;'Operating Assumptions'!$AA$8,0,IF('Operating Assumptions'!$L11="N/A",0,IF('Operating Assumptions'!$L11="$/Unit/Annual",(('Operating Assumptions'!$M11*BB$25)*BB$36)/12,IF('Operating Assumptions'!$L11="$/Unit/Month",('Operating Assumptions'!$M11*BB$25)*BB$36,IF('Operating Assumptions'!$L11="Fixed Amount",('Operating Assumptions'!$M11*BB$25)/12,IF('Operating Assumptions'!$L11="$/GSF",(('Operating Assumptions'!$M11*BB$25)*'Operating Assumptions'!$D$11)/12,IF('Operating Assumptions'!$L11="$/NSF",(('Operating Assumptions'!$M11*BB$25)*'Operating Assumptions'!$D$12)/12))))))))</f>
        <v>-3060</v>
      </c>
      <c r="BC83" s="427">
        <f>-IF(BC$9&lt;'Operating Assumptions'!$D$53,0,IF(BC$6&gt;'Operating Assumptions'!$AA$8,0,IF('Operating Assumptions'!$L11="N/A",0,IF('Operating Assumptions'!$L11="$/Unit/Annual",(('Operating Assumptions'!$M11*BC$25)*BC$36)/12,IF('Operating Assumptions'!$L11="$/Unit/Month",('Operating Assumptions'!$M11*BC$25)*BC$36,IF('Operating Assumptions'!$L11="Fixed Amount",('Operating Assumptions'!$M11*BC$25)/12,IF('Operating Assumptions'!$L11="$/GSF",(('Operating Assumptions'!$M11*BC$25)*'Operating Assumptions'!$D$11)/12,IF('Operating Assumptions'!$L11="$/NSF",(('Operating Assumptions'!$M11*BC$25)*'Operating Assumptions'!$D$12)/12))))))))</f>
        <v>-3060</v>
      </c>
      <c r="BD83" s="427">
        <f>-IF(BD$9&lt;'Operating Assumptions'!$D$53,0,IF(BD$6&gt;'Operating Assumptions'!$AA$8,0,IF('Operating Assumptions'!$L11="N/A",0,IF('Operating Assumptions'!$L11="$/Unit/Annual",(('Operating Assumptions'!$M11*BD$25)*BD$36)/12,IF('Operating Assumptions'!$L11="$/Unit/Month",('Operating Assumptions'!$M11*BD$25)*BD$36,IF('Operating Assumptions'!$L11="Fixed Amount",('Operating Assumptions'!$M11*BD$25)/12,IF('Operating Assumptions'!$L11="$/GSF",(('Operating Assumptions'!$M11*BD$25)*'Operating Assumptions'!$D$11)/12,IF('Operating Assumptions'!$L11="$/NSF",(('Operating Assumptions'!$M11*BD$25)*'Operating Assumptions'!$D$12)/12))))))))</f>
        <v>-3090</v>
      </c>
      <c r="BE83" s="427">
        <f>-IF(BE$9&lt;'Operating Assumptions'!$D$53,0,IF(BE$6&gt;'Operating Assumptions'!$AA$8,0,IF('Operating Assumptions'!$L11="N/A",0,IF('Operating Assumptions'!$L11="$/Unit/Annual",(('Operating Assumptions'!$M11*BE$25)*BE$36)/12,IF('Operating Assumptions'!$L11="$/Unit/Month",('Operating Assumptions'!$M11*BE$25)*BE$36,IF('Operating Assumptions'!$L11="Fixed Amount",('Operating Assumptions'!$M11*BE$25)/12,IF('Operating Assumptions'!$L11="$/GSF",(('Operating Assumptions'!$M11*BE$25)*'Operating Assumptions'!$D$11)/12,IF('Operating Assumptions'!$L11="$/NSF",(('Operating Assumptions'!$M11*BE$25)*'Operating Assumptions'!$D$12)/12))))))))</f>
        <v>-3090</v>
      </c>
      <c r="BF83" s="427">
        <f>-IF(BF$9&lt;'Operating Assumptions'!$D$53,0,IF(BF$6&gt;'Operating Assumptions'!$AA$8,0,IF('Operating Assumptions'!$L11="N/A",0,IF('Operating Assumptions'!$L11="$/Unit/Annual",(('Operating Assumptions'!$M11*BF$25)*BF$36)/12,IF('Operating Assumptions'!$L11="$/Unit/Month",('Operating Assumptions'!$M11*BF$25)*BF$36,IF('Operating Assumptions'!$L11="Fixed Amount",('Operating Assumptions'!$M11*BF$25)/12,IF('Operating Assumptions'!$L11="$/GSF",(('Operating Assumptions'!$M11*BF$25)*'Operating Assumptions'!$D$11)/12,IF('Operating Assumptions'!$L11="$/NSF",(('Operating Assumptions'!$M11*BF$25)*'Operating Assumptions'!$D$12)/12))))))))</f>
        <v>-3090</v>
      </c>
      <c r="BG83" s="427">
        <f>-IF(BG$9&lt;'Operating Assumptions'!$D$53,0,IF(BG$6&gt;'Operating Assumptions'!$AA$8,0,IF('Operating Assumptions'!$L11="N/A",0,IF('Operating Assumptions'!$L11="$/Unit/Annual",(('Operating Assumptions'!$M11*BG$25)*BG$36)/12,IF('Operating Assumptions'!$L11="$/Unit/Month",('Operating Assumptions'!$M11*BG$25)*BG$36,IF('Operating Assumptions'!$L11="Fixed Amount",('Operating Assumptions'!$M11*BG$25)/12,IF('Operating Assumptions'!$L11="$/GSF",(('Operating Assumptions'!$M11*BG$25)*'Operating Assumptions'!$D$11)/12,IF('Operating Assumptions'!$L11="$/NSF",(('Operating Assumptions'!$M11*BG$25)*'Operating Assumptions'!$D$12)/12))))))))</f>
        <v>-3090</v>
      </c>
      <c r="BH83" s="427">
        <f>-IF(BH$9&lt;'Operating Assumptions'!$D$53,0,IF(BH$6&gt;'Operating Assumptions'!$AA$8,0,IF('Operating Assumptions'!$L11="N/A",0,IF('Operating Assumptions'!$L11="$/Unit/Annual",(('Operating Assumptions'!$M11*BH$25)*BH$36)/12,IF('Operating Assumptions'!$L11="$/Unit/Month",('Operating Assumptions'!$M11*BH$25)*BH$36,IF('Operating Assumptions'!$L11="Fixed Amount",('Operating Assumptions'!$M11*BH$25)/12,IF('Operating Assumptions'!$L11="$/GSF",(('Operating Assumptions'!$M11*BH$25)*'Operating Assumptions'!$D$11)/12,IF('Operating Assumptions'!$L11="$/NSF",(('Operating Assumptions'!$M11*BH$25)*'Operating Assumptions'!$D$12)/12))))))))</f>
        <v>-3090</v>
      </c>
      <c r="BI83" s="427">
        <f>-IF(BI$9&lt;'Operating Assumptions'!$D$53,0,IF(BI$6&gt;'Operating Assumptions'!$AA$8,0,IF('Operating Assumptions'!$L11="N/A",0,IF('Operating Assumptions'!$L11="$/Unit/Annual",(('Operating Assumptions'!$M11*BI$25)*BI$36)/12,IF('Operating Assumptions'!$L11="$/Unit/Month",('Operating Assumptions'!$M11*BI$25)*BI$36,IF('Operating Assumptions'!$L11="Fixed Amount",('Operating Assumptions'!$M11*BI$25)/12,IF('Operating Assumptions'!$L11="$/GSF",(('Operating Assumptions'!$M11*BI$25)*'Operating Assumptions'!$D$11)/12,IF('Operating Assumptions'!$L11="$/NSF",(('Operating Assumptions'!$M11*BI$25)*'Operating Assumptions'!$D$12)/12))))))))</f>
        <v>-3090</v>
      </c>
      <c r="BJ83" s="427">
        <f>-IF(BJ$9&lt;'Operating Assumptions'!$D$53,0,IF(BJ$6&gt;'Operating Assumptions'!$AA$8,0,IF('Operating Assumptions'!$L11="N/A",0,IF('Operating Assumptions'!$L11="$/Unit/Annual",(('Operating Assumptions'!$M11*BJ$25)*BJ$36)/12,IF('Operating Assumptions'!$L11="$/Unit/Month",('Operating Assumptions'!$M11*BJ$25)*BJ$36,IF('Operating Assumptions'!$L11="Fixed Amount",('Operating Assumptions'!$M11*BJ$25)/12,IF('Operating Assumptions'!$L11="$/GSF",(('Operating Assumptions'!$M11*BJ$25)*'Operating Assumptions'!$D$11)/12,IF('Operating Assumptions'!$L11="$/NSF",(('Operating Assumptions'!$M11*BJ$25)*'Operating Assumptions'!$D$12)/12))))))))</f>
        <v>-3090</v>
      </c>
      <c r="BK83" s="427">
        <f>-IF(BK$9&lt;'Operating Assumptions'!$D$53,0,IF(BK$6&gt;'Operating Assumptions'!$AA$8,0,IF('Operating Assumptions'!$L11="N/A",0,IF('Operating Assumptions'!$L11="$/Unit/Annual",(('Operating Assumptions'!$M11*BK$25)*BK$36)/12,IF('Operating Assumptions'!$L11="$/Unit/Month",('Operating Assumptions'!$M11*BK$25)*BK$36,IF('Operating Assumptions'!$L11="Fixed Amount",('Operating Assumptions'!$M11*BK$25)/12,IF('Operating Assumptions'!$L11="$/GSF",(('Operating Assumptions'!$M11*BK$25)*'Operating Assumptions'!$D$11)/12,IF('Operating Assumptions'!$L11="$/NSF",(('Operating Assumptions'!$M11*BK$25)*'Operating Assumptions'!$D$12)/12))))))))</f>
        <v>-3090</v>
      </c>
      <c r="BL83" s="427">
        <f>-IF(BL$9&lt;'Operating Assumptions'!$D$53,0,IF(BL$6&gt;'Operating Assumptions'!$AA$8,0,IF('Operating Assumptions'!$L11="N/A",0,IF('Operating Assumptions'!$L11="$/Unit/Annual",(('Operating Assumptions'!$M11*BL$25)*BL$36)/12,IF('Operating Assumptions'!$L11="$/Unit/Month",('Operating Assumptions'!$M11*BL$25)*BL$36,IF('Operating Assumptions'!$L11="Fixed Amount",('Operating Assumptions'!$M11*BL$25)/12,IF('Operating Assumptions'!$L11="$/GSF",(('Operating Assumptions'!$M11*BL$25)*'Operating Assumptions'!$D$11)/12,IF('Operating Assumptions'!$L11="$/NSF",(('Operating Assumptions'!$M11*BL$25)*'Operating Assumptions'!$D$12)/12))))))))</f>
        <v>-3090</v>
      </c>
      <c r="BM83" s="427">
        <f>-IF(BM$9&lt;'Operating Assumptions'!$D$53,0,IF(BM$6&gt;'Operating Assumptions'!$AA$8,0,IF('Operating Assumptions'!$L11="N/A",0,IF('Operating Assumptions'!$L11="$/Unit/Annual",(('Operating Assumptions'!$M11*BM$25)*BM$36)/12,IF('Operating Assumptions'!$L11="$/Unit/Month",('Operating Assumptions'!$M11*BM$25)*BM$36,IF('Operating Assumptions'!$L11="Fixed Amount",('Operating Assumptions'!$M11*BM$25)/12,IF('Operating Assumptions'!$L11="$/GSF",(('Operating Assumptions'!$M11*BM$25)*'Operating Assumptions'!$D$11)/12,IF('Operating Assumptions'!$L11="$/NSF",(('Operating Assumptions'!$M11*BM$25)*'Operating Assumptions'!$D$12)/12))))))))</f>
        <v>-3090</v>
      </c>
      <c r="BN83" s="427">
        <f>-IF(BN$9&lt;'Operating Assumptions'!$D$53,0,IF(BN$6&gt;'Operating Assumptions'!$AA$8,0,IF('Operating Assumptions'!$L11="N/A",0,IF('Operating Assumptions'!$L11="$/Unit/Annual",(('Operating Assumptions'!$M11*BN$25)*BN$36)/12,IF('Operating Assumptions'!$L11="$/Unit/Month",('Operating Assumptions'!$M11*BN$25)*BN$36,IF('Operating Assumptions'!$L11="Fixed Amount",('Operating Assumptions'!$M11*BN$25)/12,IF('Operating Assumptions'!$L11="$/GSF",(('Operating Assumptions'!$M11*BN$25)*'Operating Assumptions'!$D$11)/12,IF('Operating Assumptions'!$L11="$/NSF",(('Operating Assumptions'!$M11*BN$25)*'Operating Assumptions'!$D$12)/12))))))))</f>
        <v>-3090</v>
      </c>
      <c r="BO83" s="427">
        <f>-IF(BO$9&lt;'Operating Assumptions'!$D$53,0,IF(BO$6&gt;'Operating Assumptions'!$AA$8,0,IF('Operating Assumptions'!$L11="N/A",0,IF('Operating Assumptions'!$L11="$/Unit/Annual",(('Operating Assumptions'!$M11*BO$25)*BO$36)/12,IF('Operating Assumptions'!$L11="$/Unit/Month",('Operating Assumptions'!$M11*BO$25)*BO$36,IF('Operating Assumptions'!$L11="Fixed Amount",('Operating Assumptions'!$M11*BO$25)/12,IF('Operating Assumptions'!$L11="$/GSF",(('Operating Assumptions'!$M11*BO$25)*'Operating Assumptions'!$D$11)/12,IF('Operating Assumptions'!$L11="$/NSF",(('Operating Assumptions'!$M11*BO$25)*'Operating Assumptions'!$D$12)/12))))))))</f>
        <v>-3090</v>
      </c>
      <c r="BP83" s="427">
        <f>-IF(BP$9&lt;'Operating Assumptions'!$D$53,0,IF(BP$6&gt;'Operating Assumptions'!$AA$8,0,IF('Operating Assumptions'!$L11="N/A",0,IF('Operating Assumptions'!$L11="$/Unit/Annual",(('Operating Assumptions'!$M11*BP$25)*BP$36)/12,IF('Operating Assumptions'!$L11="$/Unit/Month",('Operating Assumptions'!$M11*BP$25)*BP$36,IF('Operating Assumptions'!$L11="Fixed Amount",('Operating Assumptions'!$M11*BP$25)/12,IF('Operating Assumptions'!$L11="$/GSF",(('Operating Assumptions'!$M11*BP$25)*'Operating Assumptions'!$D$11)/12,IF('Operating Assumptions'!$L11="$/NSF",(('Operating Assumptions'!$M11*BP$25)*'Operating Assumptions'!$D$12)/12))))))))</f>
        <v>-3120</v>
      </c>
      <c r="BQ83" s="427">
        <f>-IF(BQ$9&lt;'Operating Assumptions'!$D$53,0,IF(BQ$6&gt;'Operating Assumptions'!$AA$8,0,IF('Operating Assumptions'!$L11="N/A",0,IF('Operating Assumptions'!$L11="$/Unit/Annual",(('Operating Assumptions'!$M11*BQ$25)*BQ$36)/12,IF('Operating Assumptions'!$L11="$/Unit/Month",('Operating Assumptions'!$M11*BQ$25)*BQ$36,IF('Operating Assumptions'!$L11="Fixed Amount",('Operating Assumptions'!$M11*BQ$25)/12,IF('Operating Assumptions'!$L11="$/GSF",(('Operating Assumptions'!$M11*BQ$25)*'Operating Assumptions'!$D$11)/12,IF('Operating Assumptions'!$L11="$/NSF",(('Operating Assumptions'!$M11*BQ$25)*'Operating Assumptions'!$D$12)/12))))))))</f>
        <v>-3120</v>
      </c>
      <c r="BR83" s="427">
        <f>-IF(BR$9&lt;'Operating Assumptions'!$D$53,0,IF(BR$6&gt;'Operating Assumptions'!$AA$8,0,IF('Operating Assumptions'!$L11="N/A",0,IF('Operating Assumptions'!$L11="$/Unit/Annual",(('Operating Assumptions'!$M11*BR$25)*BR$36)/12,IF('Operating Assumptions'!$L11="$/Unit/Month",('Operating Assumptions'!$M11*BR$25)*BR$36,IF('Operating Assumptions'!$L11="Fixed Amount",('Operating Assumptions'!$M11*BR$25)/12,IF('Operating Assumptions'!$L11="$/GSF",(('Operating Assumptions'!$M11*BR$25)*'Operating Assumptions'!$D$11)/12,IF('Operating Assumptions'!$L11="$/NSF",(('Operating Assumptions'!$M11*BR$25)*'Operating Assumptions'!$D$12)/12))))))))</f>
        <v>-3120</v>
      </c>
      <c r="BS83" s="427">
        <f>-IF(BS$9&lt;'Operating Assumptions'!$D$53,0,IF(BS$6&gt;'Operating Assumptions'!$AA$8,0,IF('Operating Assumptions'!$L11="N/A",0,IF('Operating Assumptions'!$L11="$/Unit/Annual",(('Operating Assumptions'!$M11*BS$25)*BS$36)/12,IF('Operating Assumptions'!$L11="$/Unit/Month",('Operating Assumptions'!$M11*BS$25)*BS$36,IF('Operating Assumptions'!$L11="Fixed Amount",('Operating Assumptions'!$M11*BS$25)/12,IF('Operating Assumptions'!$L11="$/GSF",(('Operating Assumptions'!$M11*BS$25)*'Operating Assumptions'!$D$11)/12,IF('Operating Assumptions'!$L11="$/NSF",(('Operating Assumptions'!$M11*BS$25)*'Operating Assumptions'!$D$12)/12))))))))</f>
        <v>-3120</v>
      </c>
      <c r="BT83" s="427">
        <f>-IF(BT$9&lt;'Operating Assumptions'!$D$53,0,IF(BT$6&gt;'Operating Assumptions'!$AA$8,0,IF('Operating Assumptions'!$L11="N/A",0,IF('Operating Assumptions'!$L11="$/Unit/Annual",(('Operating Assumptions'!$M11*BT$25)*BT$36)/12,IF('Operating Assumptions'!$L11="$/Unit/Month",('Operating Assumptions'!$M11*BT$25)*BT$36,IF('Operating Assumptions'!$L11="Fixed Amount",('Operating Assumptions'!$M11*BT$25)/12,IF('Operating Assumptions'!$L11="$/GSF",(('Operating Assumptions'!$M11*BT$25)*'Operating Assumptions'!$D$11)/12,IF('Operating Assumptions'!$L11="$/NSF",(('Operating Assumptions'!$M11*BT$25)*'Operating Assumptions'!$D$12)/12))))))))</f>
        <v>-3120</v>
      </c>
      <c r="BU83" s="427">
        <f>-IF(BU$9&lt;'Operating Assumptions'!$D$53,0,IF(BU$6&gt;'Operating Assumptions'!$AA$8,0,IF('Operating Assumptions'!$L11="N/A",0,IF('Operating Assumptions'!$L11="$/Unit/Annual",(('Operating Assumptions'!$M11*BU$25)*BU$36)/12,IF('Operating Assumptions'!$L11="$/Unit/Month",('Operating Assumptions'!$M11*BU$25)*BU$36,IF('Operating Assumptions'!$L11="Fixed Amount",('Operating Assumptions'!$M11*BU$25)/12,IF('Operating Assumptions'!$L11="$/GSF",(('Operating Assumptions'!$M11*BU$25)*'Operating Assumptions'!$D$11)/12,IF('Operating Assumptions'!$L11="$/NSF",(('Operating Assumptions'!$M11*BU$25)*'Operating Assumptions'!$D$12)/12))))))))</f>
        <v>-3120</v>
      </c>
      <c r="BV83" s="427">
        <f>-IF(BV$9&lt;'Operating Assumptions'!$D$53,0,IF(BV$6&gt;'Operating Assumptions'!$AA$8,0,IF('Operating Assumptions'!$L11="N/A",0,IF('Operating Assumptions'!$L11="$/Unit/Annual",(('Operating Assumptions'!$M11*BV$25)*BV$36)/12,IF('Operating Assumptions'!$L11="$/Unit/Month",('Operating Assumptions'!$M11*BV$25)*BV$36,IF('Operating Assumptions'!$L11="Fixed Amount",('Operating Assumptions'!$M11*BV$25)/12,IF('Operating Assumptions'!$L11="$/GSF",(('Operating Assumptions'!$M11*BV$25)*'Operating Assumptions'!$D$11)/12,IF('Operating Assumptions'!$L11="$/NSF",(('Operating Assumptions'!$M11*BV$25)*'Operating Assumptions'!$D$12)/12))))))))</f>
        <v>-3120</v>
      </c>
      <c r="BW83" s="427">
        <f>-IF(BW$9&lt;'Operating Assumptions'!$D$53,0,IF(BW$6&gt;'Operating Assumptions'!$AA$8,0,IF('Operating Assumptions'!$L11="N/A",0,IF('Operating Assumptions'!$L11="$/Unit/Annual",(('Operating Assumptions'!$M11*BW$25)*BW$36)/12,IF('Operating Assumptions'!$L11="$/Unit/Month",('Operating Assumptions'!$M11*BW$25)*BW$36,IF('Operating Assumptions'!$L11="Fixed Amount",('Operating Assumptions'!$M11*BW$25)/12,IF('Operating Assumptions'!$L11="$/GSF",(('Operating Assumptions'!$M11*BW$25)*'Operating Assumptions'!$D$11)/12,IF('Operating Assumptions'!$L11="$/NSF",(('Operating Assumptions'!$M11*BW$25)*'Operating Assumptions'!$D$12)/12))))))))</f>
        <v>-3120</v>
      </c>
      <c r="BX83" s="427">
        <f>-IF(BX$9&lt;'Operating Assumptions'!$D$53,0,IF(BX$6&gt;'Operating Assumptions'!$AA$8,0,IF('Operating Assumptions'!$L11="N/A",0,IF('Operating Assumptions'!$L11="$/Unit/Annual",(('Operating Assumptions'!$M11*BX$25)*BX$36)/12,IF('Operating Assumptions'!$L11="$/Unit/Month",('Operating Assumptions'!$M11*BX$25)*BX$36,IF('Operating Assumptions'!$L11="Fixed Amount",('Operating Assumptions'!$M11*BX$25)/12,IF('Operating Assumptions'!$L11="$/GSF",(('Operating Assumptions'!$M11*BX$25)*'Operating Assumptions'!$D$11)/12,IF('Operating Assumptions'!$L11="$/NSF",(('Operating Assumptions'!$M11*BX$25)*'Operating Assumptions'!$D$12)/12))))))))</f>
        <v>-3120</v>
      </c>
      <c r="BY83" s="427">
        <f>-IF(BY$9&lt;'Operating Assumptions'!$D$53,0,IF(BY$6&gt;'Operating Assumptions'!$AA$8,0,IF('Operating Assumptions'!$L11="N/A",0,IF('Operating Assumptions'!$L11="$/Unit/Annual",(('Operating Assumptions'!$M11*BY$25)*BY$36)/12,IF('Operating Assumptions'!$L11="$/Unit/Month",('Operating Assumptions'!$M11*BY$25)*BY$36,IF('Operating Assumptions'!$L11="Fixed Amount",('Operating Assumptions'!$M11*BY$25)/12,IF('Operating Assumptions'!$L11="$/GSF",(('Operating Assumptions'!$M11*BY$25)*'Operating Assumptions'!$D$11)/12,IF('Operating Assumptions'!$L11="$/NSF",(('Operating Assumptions'!$M11*BY$25)*'Operating Assumptions'!$D$12)/12))))))))</f>
        <v>-3120</v>
      </c>
      <c r="BZ83" s="427">
        <f>-IF(BZ$9&lt;'Operating Assumptions'!$D$53,0,IF(BZ$6&gt;'Operating Assumptions'!$AA$8,0,IF('Operating Assumptions'!$L11="N/A",0,IF('Operating Assumptions'!$L11="$/Unit/Annual",(('Operating Assumptions'!$M11*BZ$25)*BZ$36)/12,IF('Operating Assumptions'!$L11="$/Unit/Month",('Operating Assumptions'!$M11*BZ$25)*BZ$36,IF('Operating Assumptions'!$L11="Fixed Amount",('Operating Assumptions'!$M11*BZ$25)/12,IF('Operating Assumptions'!$L11="$/GSF",(('Operating Assumptions'!$M11*BZ$25)*'Operating Assumptions'!$D$11)/12,IF('Operating Assumptions'!$L11="$/NSF",(('Operating Assumptions'!$M11*BZ$25)*'Operating Assumptions'!$D$12)/12))))))))</f>
        <v>-3120</v>
      </c>
      <c r="CA83" s="427">
        <f>-IF(CA$9&lt;'Operating Assumptions'!$D$53,0,IF(CA$6&gt;'Operating Assumptions'!$AA$8,0,IF('Operating Assumptions'!$L11="N/A",0,IF('Operating Assumptions'!$L11="$/Unit/Annual",(('Operating Assumptions'!$M11*CA$25)*CA$36)/12,IF('Operating Assumptions'!$L11="$/Unit/Month",('Operating Assumptions'!$M11*CA$25)*CA$36,IF('Operating Assumptions'!$L11="Fixed Amount",('Operating Assumptions'!$M11*CA$25)/12,IF('Operating Assumptions'!$L11="$/GSF",(('Operating Assumptions'!$M11*CA$25)*'Operating Assumptions'!$D$11)/12,IF('Operating Assumptions'!$L11="$/NSF",(('Operating Assumptions'!$M11*CA$25)*'Operating Assumptions'!$D$12)/12))))))))</f>
        <v>-3120</v>
      </c>
      <c r="CB83" s="427">
        <f>-IF(CB$9&lt;'Operating Assumptions'!$D$53,0,IF(CB$6&gt;'Operating Assumptions'!$AA$8,0,IF('Operating Assumptions'!$L11="N/A",0,IF('Operating Assumptions'!$L11="$/Unit/Annual",(('Operating Assumptions'!$M11*CB$25)*CB$36)/12,IF('Operating Assumptions'!$L11="$/Unit/Month",('Operating Assumptions'!$M11*CB$25)*CB$36,IF('Operating Assumptions'!$L11="Fixed Amount",('Operating Assumptions'!$M11*CB$25)/12,IF('Operating Assumptions'!$L11="$/GSF",(('Operating Assumptions'!$M11*CB$25)*'Operating Assumptions'!$D$11)/12,IF('Operating Assumptions'!$L11="$/NSF",(('Operating Assumptions'!$M11*CB$25)*'Operating Assumptions'!$D$12)/12))))))))</f>
        <v>-3150</v>
      </c>
      <c r="CC83" s="427">
        <f>-IF(CC$9&lt;'Operating Assumptions'!$D$53,0,IF(CC$6&gt;'Operating Assumptions'!$AA$8,0,IF('Operating Assumptions'!$L11="N/A",0,IF('Operating Assumptions'!$L11="$/Unit/Annual",(('Operating Assumptions'!$M11*CC$25)*CC$36)/12,IF('Operating Assumptions'!$L11="$/Unit/Month",('Operating Assumptions'!$M11*CC$25)*CC$36,IF('Operating Assumptions'!$L11="Fixed Amount",('Operating Assumptions'!$M11*CC$25)/12,IF('Operating Assumptions'!$L11="$/GSF",(('Operating Assumptions'!$M11*CC$25)*'Operating Assumptions'!$D$11)/12,IF('Operating Assumptions'!$L11="$/NSF",(('Operating Assumptions'!$M11*CC$25)*'Operating Assumptions'!$D$12)/12))))))))</f>
        <v>-3150</v>
      </c>
      <c r="CD83" s="427">
        <f>-IF(CD$9&lt;'Operating Assumptions'!$D$53,0,IF(CD$6&gt;'Operating Assumptions'!$AA$8,0,IF('Operating Assumptions'!$L11="N/A",0,IF('Operating Assumptions'!$L11="$/Unit/Annual",(('Operating Assumptions'!$M11*CD$25)*CD$36)/12,IF('Operating Assumptions'!$L11="$/Unit/Month",('Operating Assumptions'!$M11*CD$25)*CD$36,IF('Operating Assumptions'!$L11="Fixed Amount",('Operating Assumptions'!$M11*CD$25)/12,IF('Operating Assumptions'!$L11="$/GSF",(('Operating Assumptions'!$M11*CD$25)*'Operating Assumptions'!$D$11)/12,IF('Operating Assumptions'!$L11="$/NSF",(('Operating Assumptions'!$M11*CD$25)*'Operating Assumptions'!$D$12)/12))))))))</f>
        <v>-3150</v>
      </c>
      <c r="CE83" s="427">
        <f>-IF(CE$9&lt;'Operating Assumptions'!$D$53,0,IF(CE$6&gt;'Operating Assumptions'!$AA$8,0,IF('Operating Assumptions'!$L11="N/A",0,IF('Operating Assumptions'!$L11="$/Unit/Annual",(('Operating Assumptions'!$M11*CE$25)*CE$36)/12,IF('Operating Assumptions'!$L11="$/Unit/Month",('Operating Assumptions'!$M11*CE$25)*CE$36,IF('Operating Assumptions'!$L11="Fixed Amount",('Operating Assumptions'!$M11*CE$25)/12,IF('Operating Assumptions'!$L11="$/GSF",(('Operating Assumptions'!$M11*CE$25)*'Operating Assumptions'!$D$11)/12,IF('Operating Assumptions'!$L11="$/NSF",(('Operating Assumptions'!$M11*CE$25)*'Operating Assumptions'!$D$12)/12))))))))</f>
        <v>-3150</v>
      </c>
      <c r="CF83" s="427">
        <f>-IF(CF$9&lt;'Operating Assumptions'!$D$53,0,IF(CF$6&gt;'Operating Assumptions'!$AA$8,0,IF('Operating Assumptions'!$L11="N/A",0,IF('Operating Assumptions'!$L11="$/Unit/Annual",(('Operating Assumptions'!$M11*CF$25)*CF$36)/12,IF('Operating Assumptions'!$L11="$/Unit/Month",('Operating Assumptions'!$M11*CF$25)*CF$36,IF('Operating Assumptions'!$L11="Fixed Amount",('Operating Assumptions'!$M11*CF$25)/12,IF('Operating Assumptions'!$L11="$/GSF",(('Operating Assumptions'!$M11*CF$25)*'Operating Assumptions'!$D$11)/12,IF('Operating Assumptions'!$L11="$/NSF",(('Operating Assumptions'!$M11*CF$25)*'Operating Assumptions'!$D$12)/12))))))))</f>
        <v>-3150</v>
      </c>
      <c r="CG83" s="427">
        <f>-IF(CG$9&lt;'Operating Assumptions'!$D$53,0,IF(CG$6&gt;'Operating Assumptions'!$AA$8,0,IF('Operating Assumptions'!$L11="N/A",0,IF('Operating Assumptions'!$L11="$/Unit/Annual",(('Operating Assumptions'!$M11*CG$25)*CG$36)/12,IF('Operating Assumptions'!$L11="$/Unit/Month",('Operating Assumptions'!$M11*CG$25)*CG$36,IF('Operating Assumptions'!$L11="Fixed Amount",('Operating Assumptions'!$M11*CG$25)/12,IF('Operating Assumptions'!$L11="$/GSF",(('Operating Assumptions'!$M11*CG$25)*'Operating Assumptions'!$D$11)/12,IF('Operating Assumptions'!$L11="$/NSF",(('Operating Assumptions'!$M11*CG$25)*'Operating Assumptions'!$D$12)/12))))))))</f>
        <v>-3150</v>
      </c>
      <c r="CH83" s="427">
        <f>-IF(CH$9&lt;'Operating Assumptions'!$D$53,0,IF(CH$6&gt;'Operating Assumptions'!$AA$8,0,IF('Operating Assumptions'!$L11="N/A",0,IF('Operating Assumptions'!$L11="$/Unit/Annual",(('Operating Assumptions'!$M11*CH$25)*CH$36)/12,IF('Operating Assumptions'!$L11="$/Unit/Month",('Operating Assumptions'!$M11*CH$25)*CH$36,IF('Operating Assumptions'!$L11="Fixed Amount",('Operating Assumptions'!$M11*CH$25)/12,IF('Operating Assumptions'!$L11="$/GSF",(('Operating Assumptions'!$M11*CH$25)*'Operating Assumptions'!$D$11)/12,IF('Operating Assumptions'!$L11="$/NSF",(('Operating Assumptions'!$M11*CH$25)*'Operating Assumptions'!$D$12)/12))))))))</f>
        <v>-3150</v>
      </c>
      <c r="CI83" s="427">
        <f>-IF(CI$9&lt;'Operating Assumptions'!$D$53,0,IF(CI$6&gt;'Operating Assumptions'!$AA$8,0,IF('Operating Assumptions'!$L11="N/A",0,IF('Operating Assumptions'!$L11="$/Unit/Annual",(('Operating Assumptions'!$M11*CI$25)*CI$36)/12,IF('Operating Assumptions'!$L11="$/Unit/Month",('Operating Assumptions'!$M11*CI$25)*CI$36,IF('Operating Assumptions'!$L11="Fixed Amount",('Operating Assumptions'!$M11*CI$25)/12,IF('Operating Assumptions'!$L11="$/GSF",(('Operating Assumptions'!$M11*CI$25)*'Operating Assumptions'!$D$11)/12,IF('Operating Assumptions'!$L11="$/NSF",(('Operating Assumptions'!$M11*CI$25)*'Operating Assumptions'!$D$12)/12))))))))</f>
        <v>-3150</v>
      </c>
      <c r="CJ83" s="427">
        <f>-IF(CJ$9&lt;'Operating Assumptions'!$D$53,0,IF(CJ$6&gt;'Operating Assumptions'!$AA$8,0,IF('Operating Assumptions'!$L11="N/A",0,IF('Operating Assumptions'!$L11="$/Unit/Annual",(('Operating Assumptions'!$M11*CJ$25)*CJ$36)/12,IF('Operating Assumptions'!$L11="$/Unit/Month",('Operating Assumptions'!$M11*CJ$25)*CJ$36,IF('Operating Assumptions'!$L11="Fixed Amount",('Operating Assumptions'!$M11*CJ$25)/12,IF('Operating Assumptions'!$L11="$/GSF",(('Operating Assumptions'!$M11*CJ$25)*'Operating Assumptions'!$D$11)/12,IF('Operating Assumptions'!$L11="$/NSF",(('Operating Assumptions'!$M11*CJ$25)*'Operating Assumptions'!$D$12)/12))))))))</f>
        <v>-3150</v>
      </c>
      <c r="CK83" s="427">
        <f>-IF(CK$9&lt;'Operating Assumptions'!$D$53,0,IF(CK$6&gt;'Operating Assumptions'!$AA$8,0,IF('Operating Assumptions'!$L11="N/A",0,IF('Operating Assumptions'!$L11="$/Unit/Annual",(('Operating Assumptions'!$M11*CK$25)*CK$36)/12,IF('Operating Assumptions'!$L11="$/Unit/Month",('Operating Assumptions'!$M11*CK$25)*CK$36,IF('Operating Assumptions'!$L11="Fixed Amount",('Operating Assumptions'!$M11*CK$25)/12,IF('Operating Assumptions'!$L11="$/GSF",(('Operating Assumptions'!$M11*CK$25)*'Operating Assumptions'!$D$11)/12,IF('Operating Assumptions'!$L11="$/NSF",(('Operating Assumptions'!$M11*CK$25)*'Operating Assumptions'!$D$12)/12))))))))</f>
        <v>-3150</v>
      </c>
      <c r="CL83" s="427">
        <f>-IF(CL$9&lt;'Operating Assumptions'!$D$53,0,IF(CL$6&gt;'Operating Assumptions'!$AA$8,0,IF('Operating Assumptions'!$L11="N/A",0,IF('Operating Assumptions'!$L11="$/Unit/Annual",(('Operating Assumptions'!$M11*CL$25)*CL$36)/12,IF('Operating Assumptions'!$L11="$/Unit/Month",('Operating Assumptions'!$M11*CL$25)*CL$36,IF('Operating Assumptions'!$L11="Fixed Amount",('Operating Assumptions'!$M11*CL$25)/12,IF('Operating Assumptions'!$L11="$/GSF",(('Operating Assumptions'!$M11*CL$25)*'Operating Assumptions'!$D$11)/12,IF('Operating Assumptions'!$L11="$/NSF",(('Operating Assumptions'!$M11*CL$25)*'Operating Assumptions'!$D$12)/12))))))))</f>
        <v>-3150</v>
      </c>
      <c r="CM83" s="427">
        <f>-IF(CM$9&lt;'Operating Assumptions'!$D$53,0,IF(CM$6&gt;'Operating Assumptions'!$AA$8,0,IF('Operating Assumptions'!$L11="N/A",0,IF('Operating Assumptions'!$L11="$/Unit/Annual",(('Operating Assumptions'!$M11*CM$25)*CM$36)/12,IF('Operating Assumptions'!$L11="$/Unit/Month",('Operating Assumptions'!$M11*CM$25)*CM$36,IF('Operating Assumptions'!$L11="Fixed Amount",('Operating Assumptions'!$M11*CM$25)/12,IF('Operating Assumptions'!$L11="$/GSF",(('Operating Assumptions'!$M11*CM$25)*'Operating Assumptions'!$D$11)/12,IF('Operating Assumptions'!$L11="$/NSF",(('Operating Assumptions'!$M11*CM$25)*'Operating Assumptions'!$D$12)/12))))))))</f>
        <v>-3150</v>
      </c>
      <c r="CN83" s="427">
        <f>-IF(CN$9&lt;'Operating Assumptions'!$D$53,0,IF(CN$6&gt;'Operating Assumptions'!$AA$8,0,IF('Operating Assumptions'!$L11="N/A",0,IF('Operating Assumptions'!$L11="$/Unit/Annual",(('Operating Assumptions'!$M11*CN$25)*CN$36)/12,IF('Operating Assumptions'!$L11="$/Unit/Month",('Operating Assumptions'!$M11*CN$25)*CN$36,IF('Operating Assumptions'!$L11="Fixed Amount",('Operating Assumptions'!$M11*CN$25)/12,IF('Operating Assumptions'!$L11="$/GSF",(('Operating Assumptions'!$M11*CN$25)*'Operating Assumptions'!$D$11)/12,IF('Operating Assumptions'!$L11="$/NSF",(('Operating Assumptions'!$M11*CN$25)*'Operating Assumptions'!$D$12)/12))))))))</f>
        <v>-3180</v>
      </c>
      <c r="CO83" s="427">
        <f>-IF(CO$9&lt;'Operating Assumptions'!$D$53,0,IF(CO$6&gt;'Operating Assumptions'!$AA$8,0,IF('Operating Assumptions'!$L11="N/A",0,IF('Operating Assumptions'!$L11="$/Unit/Annual",(('Operating Assumptions'!$M11*CO$25)*CO$36)/12,IF('Operating Assumptions'!$L11="$/Unit/Month",('Operating Assumptions'!$M11*CO$25)*CO$36,IF('Operating Assumptions'!$L11="Fixed Amount",('Operating Assumptions'!$M11*CO$25)/12,IF('Operating Assumptions'!$L11="$/GSF",(('Operating Assumptions'!$M11*CO$25)*'Operating Assumptions'!$D$11)/12,IF('Operating Assumptions'!$L11="$/NSF",(('Operating Assumptions'!$M11*CO$25)*'Operating Assumptions'!$D$12)/12))))))))</f>
        <v>-3180</v>
      </c>
      <c r="CP83" s="427">
        <f>-IF(CP$9&lt;'Operating Assumptions'!$D$53,0,IF(CP$6&gt;'Operating Assumptions'!$AA$8,0,IF('Operating Assumptions'!$L11="N/A",0,IF('Operating Assumptions'!$L11="$/Unit/Annual",(('Operating Assumptions'!$M11*CP$25)*CP$36)/12,IF('Operating Assumptions'!$L11="$/Unit/Month",('Operating Assumptions'!$M11*CP$25)*CP$36,IF('Operating Assumptions'!$L11="Fixed Amount",('Operating Assumptions'!$M11*CP$25)/12,IF('Operating Assumptions'!$L11="$/GSF",(('Operating Assumptions'!$M11*CP$25)*'Operating Assumptions'!$D$11)/12,IF('Operating Assumptions'!$L11="$/NSF",(('Operating Assumptions'!$M11*CP$25)*'Operating Assumptions'!$D$12)/12))))))))</f>
        <v>-3180</v>
      </c>
      <c r="CQ83" s="427">
        <f>-IF(CQ$9&lt;'Operating Assumptions'!$D$53,0,IF(CQ$6&gt;'Operating Assumptions'!$AA$8,0,IF('Operating Assumptions'!$L11="N/A",0,IF('Operating Assumptions'!$L11="$/Unit/Annual",(('Operating Assumptions'!$M11*CQ$25)*CQ$36)/12,IF('Operating Assumptions'!$L11="$/Unit/Month",('Operating Assumptions'!$M11*CQ$25)*CQ$36,IF('Operating Assumptions'!$L11="Fixed Amount",('Operating Assumptions'!$M11*CQ$25)/12,IF('Operating Assumptions'!$L11="$/GSF",(('Operating Assumptions'!$M11*CQ$25)*'Operating Assumptions'!$D$11)/12,IF('Operating Assumptions'!$L11="$/NSF",(('Operating Assumptions'!$M11*CQ$25)*'Operating Assumptions'!$D$12)/12))))))))</f>
        <v>-3180</v>
      </c>
      <c r="CR83" s="427">
        <f>-IF(CR$9&lt;'Operating Assumptions'!$D$53,0,IF(CR$6&gt;'Operating Assumptions'!$AA$8,0,IF('Operating Assumptions'!$L11="N/A",0,IF('Operating Assumptions'!$L11="$/Unit/Annual",(('Operating Assumptions'!$M11*CR$25)*CR$36)/12,IF('Operating Assumptions'!$L11="$/Unit/Month",('Operating Assumptions'!$M11*CR$25)*CR$36,IF('Operating Assumptions'!$L11="Fixed Amount",('Operating Assumptions'!$M11*CR$25)/12,IF('Operating Assumptions'!$L11="$/GSF",(('Operating Assumptions'!$M11*CR$25)*'Operating Assumptions'!$D$11)/12,IF('Operating Assumptions'!$L11="$/NSF",(('Operating Assumptions'!$M11*CR$25)*'Operating Assumptions'!$D$12)/12))))))))</f>
        <v>-3180</v>
      </c>
      <c r="CS83" s="427">
        <f>-IF(CS$9&lt;'Operating Assumptions'!$D$53,0,IF(CS$6&gt;'Operating Assumptions'!$AA$8,0,IF('Operating Assumptions'!$L11="N/A",0,IF('Operating Assumptions'!$L11="$/Unit/Annual",(('Operating Assumptions'!$M11*CS$25)*CS$36)/12,IF('Operating Assumptions'!$L11="$/Unit/Month",('Operating Assumptions'!$M11*CS$25)*CS$36,IF('Operating Assumptions'!$L11="Fixed Amount",('Operating Assumptions'!$M11*CS$25)/12,IF('Operating Assumptions'!$L11="$/GSF",(('Operating Assumptions'!$M11*CS$25)*'Operating Assumptions'!$D$11)/12,IF('Operating Assumptions'!$L11="$/NSF",(('Operating Assumptions'!$M11*CS$25)*'Operating Assumptions'!$D$12)/12))))))))</f>
        <v>-3180</v>
      </c>
      <c r="CT83" s="427">
        <f>-IF(CT$9&lt;'Operating Assumptions'!$D$53,0,IF(CT$6&gt;'Operating Assumptions'!$AA$8,0,IF('Operating Assumptions'!$L11="N/A",0,IF('Operating Assumptions'!$L11="$/Unit/Annual",(('Operating Assumptions'!$M11*CT$25)*CT$36)/12,IF('Operating Assumptions'!$L11="$/Unit/Month",('Operating Assumptions'!$M11*CT$25)*CT$36,IF('Operating Assumptions'!$L11="Fixed Amount",('Operating Assumptions'!$M11*CT$25)/12,IF('Operating Assumptions'!$L11="$/GSF",(('Operating Assumptions'!$M11*CT$25)*'Operating Assumptions'!$D$11)/12,IF('Operating Assumptions'!$L11="$/NSF",(('Operating Assumptions'!$M11*CT$25)*'Operating Assumptions'!$D$12)/12))))))))</f>
        <v>-3180</v>
      </c>
      <c r="CU83" s="427">
        <f>-IF(CU$9&lt;'Operating Assumptions'!$D$53,0,IF(CU$6&gt;'Operating Assumptions'!$AA$8,0,IF('Operating Assumptions'!$L11="N/A",0,IF('Operating Assumptions'!$L11="$/Unit/Annual",(('Operating Assumptions'!$M11*CU$25)*CU$36)/12,IF('Operating Assumptions'!$L11="$/Unit/Month",('Operating Assumptions'!$M11*CU$25)*CU$36,IF('Operating Assumptions'!$L11="Fixed Amount",('Operating Assumptions'!$M11*CU$25)/12,IF('Operating Assumptions'!$L11="$/GSF",(('Operating Assumptions'!$M11*CU$25)*'Operating Assumptions'!$D$11)/12,IF('Operating Assumptions'!$L11="$/NSF",(('Operating Assumptions'!$M11*CU$25)*'Operating Assumptions'!$D$12)/12))))))))</f>
        <v>-3180</v>
      </c>
      <c r="CV83" s="427">
        <f>-IF(CV$9&lt;'Operating Assumptions'!$D$53,0,IF(CV$6&gt;'Operating Assumptions'!$AA$8,0,IF('Operating Assumptions'!$L11="N/A",0,IF('Operating Assumptions'!$L11="$/Unit/Annual",(('Operating Assumptions'!$M11*CV$25)*CV$36)/12,IF('Operating Assumptions'!$L11="$/Unit/Month",('Operating Assumptions'!$M11*CV$25)*CV$36,IF('Operating Assumptions'!$L11="Fixed Amount",('Operating Assumptions'!$M11*CV$25)/12,IF('Operating Assumptions'!$L11="$/GSF",(('Operating Assumptions'!$M11*CV$25)*'Operating Assumptions'!$D$11)/12,IF('Operating Assumptions'!$L11="$/NSF",(('Operating Assumptions'!$M11*CV$25)*'Operating Assumptions'!$D$12)/12))))))))</f>
        <v>-3180</v>
      </c>
      <c r="CW83" s="427">
        <f>-IF(CW$9&lt;'Operating Assumptions'!$D$53,0,IF(CW$6&gt;'Operating Assumptions'!$AA$8,0,IF('Operating Assumptions'!$L11="N/A",0,IF('Operating Assumptions'!$L11="$/Unit/Annual",(('Operating Assumptions'!$M11*CW$25)*CW$36)/12,IF('Operating Assumptions'!$L11="$/Unit/Month",('Operating Assumptions'!$M11*CW$25)*CW$36,IF('Operating Assumptions'!$L11="Fixed Amount",('Operating Assumptions'!$M11*CW$25)/12,IF('Operating Assumptions'!$L11="$/GSF",(('Operating Assumptions'!$M11*CW$25)*'Operating Assumptions'!$D$11)/12,IF('Operating Assumptions'!$L11="$/NSF",(('Operating Assumptions'!$M11*CW$25)*'Operating Assumptions'!$D$12)/12))))))))</f>
        <v>-3180</v>
      </c>
      <c r="CX83" s="427">
        <f>-IF(CX$9&lt;'Operating Assumptions'!$D$53,0,IF(CX$6&gt;'Operating Assumptions'!$AA$8,0,IF('Operating Assumptions'!$L11="N/A",0,IF('Operating Assumptions'!$L11="$/Unit/Annual",(('Operating Assumptions'!$M11*CX$25)*CX$36)/12,IF('Operating Assumptions'!$L11="$/Unit/Month",('Operating Assumptions'!$M11*CX$25)*CX$36,IF('Operating Assumptions'!$L11="Fixed Amount",('Operating Assumptions'!$M11*CX$25)/12,IF('Operating Assumptions'!$L11="$/GSF",(('Operating Assumptions'!$M11*CX$25)*'Operating Assumptions'!$D$11)/12,IF('Operating Assumptions'!$L11="$/NSF",(('Operating Assumptions'!$M11*CX$25)*'Operating Assumptions'!$D$12)/12))))))))</f>
        <v>-3180</v>
      </c>
      <c r="CY83" s="427">
        <f>-IF(CY$9&lt;'Operating Assumptions'!$D$53,0,IF(CY$6&gt;'Operating Assumptions'!$AA$8,0,IF('Operating Assumptions'!$L11="N/A",0,IF('Operating Assumptions'!$L11="$/Unit/Annual",(('Operating Assumptions'!$M11*CY$25)*CY$36)/12,IF('Operating Assumptions'!$L11="$/Unit/Month",('Operating Assumptions'!$M11*CY$25)*CY$36,IF('Operating Assumptions'!$L11="Fixed Amount",('Operating Assumptions'!$M11*CY$25)/12,IF('Operating Assumptions'!$L11="$/GSF",(('Operating Assumptions'!$M11*CY$25)*'Operating Assumptions'!$D$11)/12,IF('Operating Assumptions'!$L11="$/NSF",(('Operating Assumptions'!$M11*CY$25)*'Operating Assumptions'!$D$12)/12))))))))</f>
        <v>-3180</v>
      </c>
      <c r="CZ83" s="427">
        <f>-IF(CZ$9&lt;'Operating Assumptions'!$D$53,0,IF(CZ$6&gt;'Operating Assumptions'!$AA$8,0,IF('Operating Assumptions'!$L11="N/A",0,IF('Operating Assumptions'!$L11="$/Unit/Annual",(('Operating Assumptions'!$M11*CZ$25)*CZ$36)/12,IF('Operating Assumptions'!$L11="$/Unit/Month",('Operating Assumptions'!$M11*CZ$25)*CZ$36,IF('Operating Assumptions'!$L11="Fixed Amount",('Operating Assumptions'!$M11*CZ$25)/12,IF('Operating Assumptions'!$L11="$/GSF",(('Operating Assumptions'!$M11*CZ$25)*'Operating Assumptions'!$D$11)/12,IF('Operating Assumptions'!$L11="$/NSF",(('Operating Assumptions'!$M11*CZ$25)*'Operating Assumptions'!$D$12)/12))))))))</f>
        <v>-3210</v>
      </c>
      <c r="DA83" s="427">
        <f>-IF(DA$9&lt;'Operating Assumptions'!$D$53,0,IF(DA$6&gt;'Operating Assumptions'!$AA$8,0,IF('Operating Assumptions'!$L11="N/A",0,IF('Operating Assumptions'!$L11="$/Unit/Annual",(('Operating Assumptions'!$M11*DA$25)*DA$36)/12,IF('Operating Assumptions'!$L11="$/Unit/Month",('Operating Assumptions'!$M11*DA$25)*DA$36,IF('Operating Assumptions'!$L11="Fixed Amount",('Operating Assumptions'!$M11*DA$25)/12,IF('Operating Assumptions'!$L11="$/GSF",(('Operating Assumptions'!$M11*DA$25)*'Operating Assumptions'!$D$11)/12,IF('Operating Assumptions'!$L11="$/NSF",(('Operating Assumptions'!$M11*DA$25)*'Operating Assumptions'!$D$12)/12))))))))</f>
        <v>-3210</v>
      </c>
      <c r="DB83" s="427">
        <f>-IF(DB$9&lt;'Operating Assumptions'!$D$53,0,IF(DB$6&gt;'Operating Assumptions'!$AA$8,0,IF('Operating Assumptions'!$L11="N/A",0,IF('Operating Assumptions'!$L11="$/Unit/Annual",(('Operating Assumptions'!$M11*DB$25)*DB$36)/12,IF('Operating Assumptions'!$L11="$/Unit/Month",('Operating Assumptions'!$M11*DB$25)*DB$36,IF('Operating Assumptions'!$L11="Fixed Amount",('Operating Assumptions'!$M11*DB$25)/12,IF('Operating Assumptions'!$L11="$/GSF",(('Operating Assumptions'!$M11*DB$25)*'Operating Assumptions'!$D$11)/12,IF('Operating Assumptions'!$L11="$/NSF",(('Operating Assumptions'!$M11*DB$25)*'Operating Assumptions'!$D$12)/12))))))))</f>
        <v>-3210</v>
      </c>
      <c r="DC83" s="427">
        <f>-IF(DC$9&lt;'Operating Assumptions'!$D$53,0,IF(DC$6&gt;'Operating Assumptions'!$AA$8,0,IF('Operating Assumptions'!$L11="N/A",0,IF('Operating Assumptions'!$L11="$/Unit/Annual",(('Operating Assumptions'!$M11*DC$25)*DC$36)/12,IF('Operating Assumptions'!$L11="$/Unit/Month",('Operating Assumptions'!$M11*DC$25)*DC$36,IF('Operating Assumptions'!$L11="Fixed Amount",('Operating Assumptions'!$M11*DC$25)/12,IF('Operating Assumptions'!$L11="$/GSF",(('Operating Assumptions'!$M11*DC$25)*'Operating Assumptions'!$D$11)/12,IF('Operating Assumptions'!$L11="$/NSF",(('Operating Assumptions'!$M11*DC$25)*'Operating Assumptions'!$D$12)/12))))))))</f>
        <v>-3210</v>
      </c>
      <c r="DD83" s="427">
        <f>-IF(DD$9&lt;'Operating Assumptions'!$D$53,0,IF(DD$6&gt;'Operating Assumptions'!$AA$8,0,IF('Operating Assumptions'!$L11="N/A",0,IF('Operating Assumptions'!$L11="$/Unit/Annual",(('Operating Assumptions'!$M11*DD$25)*DD$36)/12,IF('Operating Assumptions'!$L11="$/Unit/Month",('Operating Assumptions'!$M11*DD$25)*DD$36,IF('Operating Assumptions'!$L11="Fixed Amount",('Operating Assumptions'!$M11*DD$25)/12,IF('Operating Assumptions'!$L11="$/GSF",(('Operating Assumptions'!$M11*DD$25)*'Operating Assumptions'!$D$11)/12,IF('Operating Assumptions'!$L11="$/NSF",(('Operating Assumptions'!$M11*DD$25)*'Operating Assumptions'!$D$12)/12))))))))</f>
        <v>-3210</v>
      </c>
      <c r="DE83" s="427">
        <f>-IF(DE$9&lt;'Operating Assumptions'!$D$53,0,IF(DE$6&gt;'Operating Assumptions'!$AA$8,0,IF('Operating Assumptions'!$L11="N/A",0,IF('Operating Assumptions'!$L11="$/Unit/Annual",(('Operating Assumptions'!$M11*DE$25)*DE$36)/12,IF('Operating Assumptions'!$L11="$/Unit/Month",('Operating Assumptions'!$M11*DE$25)*DE$36,IF('Operating Assumptions'!$L11="Fixed Amount",('Operating Assumptions'!$M11*DE$25)/12,IF('Operating Assumptions'!$L11="$/GSF",(('Operating Assumptions'!$M11*DE$25)*'Operating Assumptions'!$D$11)/12,IF('Operating Assumptions'!$L11="$/NSF",(('Operating Assumptions'!$M11*DE$25)*'Operating Assumptions'!$D$12)/12))))))))</f>
        <v>-3210</v>
      </c>
      <c r="DF83" s="427">
        <f>-IF(DF$9&lt;'Operating Assumptions'!$D$53,0,IF(DF$6&gt;'Operating Assumptions'!$AA$8,0,IF('Operating Assumptions'!$L11="N/A",0,IF('Operating Assumptions'!$L11="$/Unit/Annual",(('Operating Assumptions'!$M11*DF$25)*DF$36)/12,IF('Operating Assumptions'!$L11="$/Unit/Month",('Operating Assumptions'!$M11*DF$25)*DF$36,IF('Operating Assumptions'!$L11="Fixed Amount",('Operating Assumptions'!$M11*DF$25)/12,IF('Operating Assumptions'!$L11="$/GSF",(('Operating Assumptions'!$M11*DF$25)*'Operating Assumptions'!$D$11)/12,IF('Operating Assumptions'!$L11="$/NSF",(('Operating Assumptions'!$M11*DF$25)*'Operating Assumptions'!$D$12)/12))))))))</f>
        <v>-3210</v>
      </c>
      <c r="DG83" s="427">
        <f>-IF(DG$9&lt;'Operating Assumptions'!$D$53,0,IF(DG$6&gt;'Operating Assumptions'!$AA$8,0,IF('Operating Assumptions'!$L11="N/A",0,IF('Operating Assumptions'!$L11="$/Unit/Annual",(('Operating Assumptions'!$M11*DG$25)*DG$36)/12,IF('Operating Assumptions'!$L11="$/Unit/Month",('Operating Assumptions'!$M11*DG$25)*DG$36,IF('Operating Assumptions'!$L11="Fixed Amount",('Operating Assumptions'!$M11*DG$25)/12,IF('Operating Assumptions'!$L11="$/GSF",(('Operating Assumptions'!$M11*DG$25)*'Operating Assumptions'!$D$11)/12,IF('Operating Assumptions'!$L11="$/NSF",(('Operating Assumptions'!$M11*DG$25)*'Operating Assumptions'!$D$12)/12))))))))</f>
        <v>-3210</v>
      </c>
      <c r="DH83" s="427">
        <f>-IF(DH$9&lt;'Operating Assumptions'!$D$53,0,IF(DH$6&gt;'Operating Assumptions'!$AA$8,0,IF('Operating Assumptions'!$L11="N/A",0,IF('Operating Assumptions'!$L11="$/Unit/Annual",(('Operating Assumptions'!$M11*DH$25)*DH$36)/12,IF('Operating Assumptions'!$L11="$/Unit/Month",('Operating Assumptions'!$M11*DH$25)*DH$36,IF('Operating Assumptions'!$L11="Fixed Amount",('Operating Assumptions'!$M11*DH$25)/12,IF('Operating Assumptions'!$L11="$/GSF",(('Operating Assumptions'!$M11*DH$25)*'Operating Assumptions'!$D$11)/12,IF('Operating Assumptions'!$L11="$/NSF",(('Operating Assumptions'!$M11*DH$25)*'Operating Assumptions'!$D$12)/12))))))))</f>
        <v>-3210</v>
      </c>
      <c r="DI83" s="427">
        <f>-IF(DI$9&lt;'Operating Assumptions'!$D$53,0,IF(DI$6&gt;'Operating Assumptions'!$AA$8,0,IF('Operating Assumptions'!$L11="N/A",0,IF('Operating Assumptions'!$L11="$/Unit/Annual",(('Operating Assumptions'!$M11*DI$25)*DI$36)/12,IF('Operating Assumptions'!$L11="$/Unit/Month",('Operating Assumptions'!$M11*DI$25)*DI$36,IF('Operating Assumptions'!$L11="Fixed Amount",('Operating Assumptions'!$M11*DI$25)/12,IF('Operating Assumptions'!$L11="$/GSF",(('Operating Assumptions'!$M11*DI$25)*'Operating Assumptions'!$D$11)/12,IF('Operating Assumptions'!$L11="$/NSF",(('Operating Assumptions'!$M11*DI$25)*'Operating Assumptions'!$D$12)/12))))))))</f>
        <v>-3210</v>
      </c>
      <c r="DJ83" s="427">
        <f>-IF(DJ$9&lt;'Operating Assumptions'!$D$53,0,IF(DJ$6&gt;'Operating Assumptions'!$AA$8,0,IF('Operating Assumptions'!$L11="N/A",0,IF('Operating Assumptions'!$L11="$/Unit/Annual",(('Operating Assumptions'!$M11*DJ$25)*DJ$36)/12,IF('Operating Assumptions'!$L11="$/Unit/Month",('Operating Assumptions'!$M11*DJ$25)*DJ$36,IF('Operating Assumptions'!$L11="Fixed Amount",('Operating Assumptions'!$M11*DJ$25)/12,IF('Operating Assumptions'!$L11="$/GSF",(('Operating Assumptions'!$M11*DJ$25)*'Operating Assumptions'!$D$11)/12,IF('Operating Assumptions'!$L11="$/NSF",(('Operating Assumptions'!$M11*DJ$25)*'Operating Assumptions'!$D$12)/12))))))))</f>
        <v>-3210</v>
      </c>
      <c r="DK83" s="427">
        <f>-IF(DK$9&lt;'Operating Assumptions'!$D$53,0,IF(DK$6&gt;'Operating Assumptions'!$AA$8,0,IF('Operating Assumptions'!$L11="N/A",0,IF('Operating Assumptions'!$L11="$/Unit/Annual",(('Operating Assumptions'!$M11*DK$25)*DK$36)/12,IF('Operating Assumptions'!$L11="$/Unit/Month",('Operating Assumptions'!$M11*DK$25)*DK$36,IF('Operating Assumptions'!$L11="Fixed Amount",('Operating Assumptions'!$M11*DK$25)/12,IF('Operating Assumptions'!$L11="$/GSF",(('Operating Assumptions'!$M11*DK$25)*'Operating Assumptions'!$D$11)/12,IF('Operating Assumptions'!$L11="$/NSF",(('Operating Assumptions'!$M11*DK$25)*'Operating Assumptions'!$D$12)/12))))))))</f>
        <v>-3210</v>
      </c>
      <c r="DL83" s="427">
        <f>-IF(DL$9&lt;'Operating Assumptions'!$D$53,0,IF(DL$6&gt;'Operating Assumptions'!$AA$8,0,IF('Operating Assumptions'!$L11="N/A",0,IF('Operating Assumptions'!$L11="$/Unit/Annual",(('Operating Assumptions'!$M11*DL$25)*DL$36)/12,IF('Operating Assumptions'!$L11="$/Unit/Month",('Operating Assumptions'!$M11*DL$25)*DL$36,IF('Operating Assumptions'!$L11="Fixed Amount",('Operating Assumptions'!$M11*DL$25)/12,IF('Operating Assumptions'!$L11="$/GSF",(('Operating Assumptions'!$M11*DL$25)*'Operating Assumptions'!$D$11)/12,IF('Operating Assumptions'!$L11="$/NSF",(('Operating Assumptions'!$M11*DL$25)*'Operating Assumptions'!$D$12)/12))))))))</f>
        <v>-3240</v>
      </c>
      <c r="DM83" s="427">
        <f>-IF(DM$9&lt;'Operating Assumptions'!$D$53,0,IF(DM$6&gt;'Operating Assumptions'!$AA$8,0,IF('Operating Assumptions'!$L11="N/A",0,IF('Operating Assumptions'!$L11="$/Unit/Annual",(('Operating Assumptions'!$M11*DM$25)*DM$36)/12,IF('Operating Assumptions'!$L11="$/Unit/Month",('Operating Assumptions'!$M11*DM$25)*DM$36,IF('Operating Assumptions'!$L11="Fixed Amount",('Operating Assumptions'!$M11*DM$25)/12,IF('Operating Assumptions'!$L11="$/GSF",(('Operating Assumptions'!$M11*DM$25)*'Operating Assumptions'!$D$11)/12,IF('Operating Assumptions'!$L11="$/NSF",(('Operating Assumptions'!$M11*DM$25)*'Operating Assumptions'!$D$12)/12))))))))</f>
        <v>-3240</v>
      </c>
      <c r="DN83" s="427">
        <f>-IF(DN$9&lt;'Operating Assumptions'!$D$53,0,IF(DN$6&gt;'Operating Assumptions'!$AA$8,0,IF('Operating Assumptions'!$L11="N/A",0,IF('Operating Assumptions'!$L11="$/Unit/Annual",(('Operating Assumptions'!$M11*DN$25)*DN$36)/12,IF('Operating Assumptions'!$L11="$/Unit/Month",('Operating Assumptions'!$M11*DN$25)*DN$36,IF('Operating Assumptions'!$L11="Fixed Amount",('Operating Assumptions'!$M11*DN$25)/12,IF('Operating Assumptions'!$L11="$/GSF",(('Operating Assumptions'!$M11*DN$25)*'Operating Assumptions'!$D$11)/12,IF('Operating Assumptions'!$L11="$/NSF",(('Operating Assumptions'!$M11*DN$25)*'Operating Assumptions'!$D$12)/12))))))))</f>
        <v>-3240</v>
      </c>
      <c r="DO83" s="427">
        <f>-IF(DO$9&lt;'Operating Assumptions'!$D$53,0,IF(DO$6&gt;'Operating Assumptions'!$AA$8,0,IF('Operating Assumptions'!$L11="N/A",0,IF('Operating Assumptions'!$L11="$/Unit/Annual",(('Operating Assumptions'!$M11*DO$25)*DO$36)/12,IF('Operating Assumptions'!$L11="$/Unit/Month",('Operating Assumptions'!$M11*DO$25)*DO$36,IF('Operating Assumptions'!$L11="Fixed Amount",('Operating Assumptions'!$M11*DO$25)/12,IF('Operating Assumptions'!$L11="$/GSF",(('Operating Assumptions'!$M11*DO$25)*'Operating Assumptions'!$D$11)/12,IF('Operating Assumptions'!$L11="$/NSF",(('Operating Assumptions'!$M11*DO$25)*'Operating Assumptions'!$D$12)/12))))))))</f>
        <v>-3240</v>
      </c>
      <c r="DP83" s="427">
        <f>-IF(DP$9&lt;'Operating Assumptions'!$D$53,0,IF(DP$6&gt;'Operating Assumptions'!$AA$8,0,IF('Operating Assumptions'!$L11="N/A",0,IF('Operating Assumptions'!$L11="$/Unit/Annual",(('Operating Assumptions'!$M11*DP$25)*DP$36)/12,IF('Operating Assumptions'!$L11="$/Unit/Month",('Operating Assumptions'!$M11*DP$25)*DP$36,IF('Operating Assumptions'!$L11="Fixed Amount",('Operating Assumptions'!$M11*DP$25)/12,IF('Operating Assumptions'!$L11="$/GSF",(('Operating Assumptions'!$M11*DP$25)*'Operating Assumptions'!$D$11)/12,IF('Operating Assumptions'!$L11="$/NSF",(('Operating Assumptions'!$M11*DP$25)*'Operating Assumptions'!$D$12)/12))))))))</f>
        <v>-3240</v>
      </c>
      <c r="DQ83" s="427">
        <f>-IF(DQ$9&lt;'Operating Assumptions'!$D$53,0,IF(DQ$6&gt;'Operating Assumptions'!$AA$8,0,IF('Operating Assumptions'!$L11="N/A",0,IF('Operating Assumptions'!$L11="$/Unit/Annual",(('Operating Assumptions'!$M11*DQ$25)*DQ$36)/12,IF('Operating Assumptions'!$L11="$/Unit/Month",('Operating Assumptions'!$M11*DQ$25)*DQ$36,IF('Operating Assumptions'!$L11="Fixed Amount",('Operating Assumptions'!$M11*DQ$25)/12,IF('Operating Assumptions'!$L11="$/GSF",(('Operating Assumptions'!$M11*DQ$25)*'Operating Assumptions'!$D$11)/12,IF('Operating Assumptions'!$L11="$/NSF",(('Operating Assumptions'!$M11*DQ$25)*'Operating Assumptions'!$D$12)/12))))))))</f>
        <v>-3240</v>
      </c>
      <c r="DR83" s="427">
        <f>-IF(DR$9&lt;'Operating Assumptions'!$D$53,0,IF(DR$6&gt;'Operating Assumptions'!$AA$8,0,IF('Operating Assumptions'!$L11="N/A",0,IF('Operating Assumptions'!$L11="$/Unit/Annual",(('Operating Assumptions'!$M11*DR$25)*DR$36)/12,IF('Operating Assumptions'!$L11="$/Unit/Month",('Operating Assumptions'!$M11*DR$25)*DR$36,IF('Operating Assumptions'!$L11="Fixed Amount",('Operating Assumptions'!$M11*DR$25)/12,IF('Operating Assumptions'!$L11="$/GSF",(('Operating Assumptions'!$M11*DR$25)*'Operating Assumptions'!$D$11)/12,IF('Operating Assumptions'!$L11="$/NSF",(('Operating Assumptions'!$M11*DR$25)*'Operating Assumptions'!$D$12)/12))))))))</f>
        <v>-3240</v>
      </c>
      <c r="DS83" s="427">
        <f>-IF(DS$9&lt;'Operating Assumptions'!$D$53,0,IF(DS$6&gt;'Operating Assumptions'!$AA$8,0,IF('Operating Assumptions'!$L11="N/A",0,IF('Operating Assumptions'!$L11="$/Unit/Annual",(('Operating Assumptions'!$M11*DS$25)*DS$36)/12,IF('Operating Assumptions'!$L11="$/Unit/Month",('Operating Assumptions'!$M11*DS$25)*DS$36,IF('Operating Assumptions'!$L11="Fixed Amount",('Operating Assumptions'!$M11*DS$25)/12,IF('Operating Assumptions'!$L11="$/GSF",(('Operating Assumptions'!$M11*DS$25)*'Operating Assumptions'!$D$11)/12,IF('Operating Assumptions'!$L11="$/NSF",(('Operating Assumptions'!$M11*DS$25)*'Operating Assumptions'!$D$12)/12))))))))</f>
        <v>-3240</v>
      </c>
      <c r="DT83" s="427">
        <f>-IF(DT$9&lt;'Operating Assumptions'!$D$53,0,IF(DT$6&gt;'Operating Assumptions'!$AA$8,0,IF('Operating Assumptions'!$L11="N/A",0,IF('Operating Assumptions'!$L11="$/Unit/Annual",(('Operating Assumptions'!$M11*DT$25)*DT$36)/12,IF('Operating Assumptions'!$L11="$/Unit/Month",('Operating Assumptions'!$M11*DT$25)*DT$36,IF('Operating Assumptions'!$L11="Fixed Amount",('Operating Assumptions'!$M11*DT$25)/12,IF('Operating Assumptions'!$L11="$/GSF",(('Operating Assumptions'!$M11*DT$25)*'Operating Assumptions'!$D$11)/12,IF('Operating Assumptions'!$L11="$/NSF",(('Operating Assumptions'!$M11*DT$25)*'Operating Assumptions'!$D$12)/12))))))))</f>
        <v>-3240</v>
      </c>
      <c r="DU83" s="427">
        <f>-IF(DU$9&lt;'Operating Assumptions'!$D$53,0,IF(DU$6&gt;'Operating Assumptions'!$AA$8,0,IF('Operating Assumptions'!$L11="N/A",0,IF('Operating Assumptions'!$L11="$/Unit/Annual",(('Operating Assumptions'!$M11*DU$25)*DU$36)/12,IF('Operating Assumptions'!$L11="$/Unit/Month",('Operating Assumptions'!$M11*DU$25)*DU$36,IF('Operating Assumptions'!$L11="Fixed Amount",('Operating Assumptions'!$M11*DU$25)/12,IF('Operating Assumptions'!$L11="$/GSF",(('Operating Assumptions'!$M11*DU$25)*'Operating Assumptions'!$D$11)/12,IF('Operating Assumptions'!$L11="$/NSF",(('Operating Assumptions'!$M11*DU$25)*'Operating Assumptions'!$D$12)/12))))))))</f>
        <v>-3240</v>
      </c>
      <c r="DV83" s="427">
        <f>-IF(DV$9&lt;'Operating Assumptions'!$D$53,0,IF(DV$6&gt;'Operating Assumptions'!$AA$8,0,IF('Operating Assumptions'!$L11="N/A",0,IF('Operating Assumptions'!$L11="$/Unit/Annual",(('Operating Assumptions'!$M11*DV$25)*DV$36)/12,IF('Operating Assumptions'!$L11="$/Unit/Month",('Operating Assumptions'!$M11*DV$25)*DV$36,IF('Operating Assumptions'!$L11="Fixed Amount",('Operating Assumptions'!$M11*DV$25)/12,IF('Operating Assumptions'!$L11="$/GSF",(('Operating Assumptions'!$M11*DV$25)*'Operating Assumptions'!$D$11)/12,IF('Operating Assumptions'!$L11="$/NSF",(('Operating Assumptions'!$M11*DV$25)*'Operating Assumptions'!$D$12)/12))))))))</f>
        <v>-3240</v>
      </c>
      <c r="DW83" s="427">
        <f>-IF(DW$9&lt;'Operating Assumptions'!$D$53,0,IF(DW$6&gt;'Operating Assumptions'!$AA$8,0,IF('Operating Assumptions'!$L11="N/A",0,IF('Operating Assumptions'!$L11="$/Unit/Annual",(('Operating Assumptions'!$M11*DW$25)*DW$36)/12,IF('Operating Assumptions'!$L11="$/Unit/Month",('Operating Assumptions'!$M11*DW$25)*DW$36,IF('Operating Assumptions'!$L11="Fixed Amount",('Operating Assumptions'!$M11*DW$25)/12,IF('Operating Assumptions'!$L11="$/GSF",(('Operating Assumptions'!$M11*DW$25)*'Operating Assumptions'!$D$11)/12,IF('Operating Assumptions'!$L11="$/NSF",(('Operating Assumptions'!$M11*DW$25)*'Operating Assumptions'!$D$12)/12))))))))</f>
        <v>-3240</v>
      </c>
      <c r="DX83" s="427">
        <f>-IF(DX$9&lt;'Operating Assumptions'!$D$53,0,IF(DX$6&gt;'Operating Assumptions'!$AA$8,0,IF('Operating Assumptions'!$L11="N/A",0,IF('Operating Assumptions'!$L11="$/Unit/Annual",(('Operating Assumptions'!$M11*DX$25)*DX$36)/12,IF('Operating Assumptions'!$L11="$/Unit/Month",('Operating Assumptions'!$M11*DX$25)*DX$36,IF('Operating Assumptions'!$L11="Fixed Amount",('Operating Assumptions'!$M11*DX$25)/12,IF('Operating Assumptions'!$L11="$/GSF",(('Operating Assumptions'!$M11*DX$25)*'Operating Assumptions'!$D$11)/12,IF('Operating Assumptions'!$L11="$/NSF",(('Operating Assumptions'!$M11*DX$25)*'Operating Assumptions'!$D$12)/12))))))))</f>
        <v>-3270</v>
      </c>
      <c r="DY83" s="427">
        <f>-IF(DY$9&lt;'Operating Assumptions'!$D$53,0,IF(DY$6&gt;'Operating Assumptions'!$AA$8,0,IF('Operating Assumptions'!$L11="N/A",0,IF('Operating Assumptions'!$L11="$/Unit/Annual",(('Operating Assumptions'!$M11*DY$25)*DY$36)/12,IF('Operating Assumptions'!$L11="$/Unit/Month",('Operating Assumptions'!$M11*DY$25)*DY$36,IF('Operating Assumptions'!$L11="Fixed Amount",('Operating Assumptions'!$M11*DY$25)/12,IF('Operating Assumptions'!$L11="$/GSF",(('Operating Assumptions'!$M11*DY$25)*'Operating Assumptions'!$D$11)/12,IF('Operating Assumptions'!$L11="$/NSF",(('Operating Assumptions'!$M11*DY$25)*'Operating Assumptions'!$D$12)/12))))))))</f>
        <v>-3270</v>
      </c>
      <c r="DZ83" s="427">
        <f>-IF(DZ$9&lt;'Operating Assumptions'!$D$53,0,IF(DZ$6&gt;'Operating Assumptions'!$AA$8,0,IF('Operating Assumptions'!$L11="N/A",0,IF('Operating Assumptions'!$L11="$/Unit/Annual",(('Operating Assumptions'!$M11*DZ$25)*DZ$36)/12,IF('Operating Assumptions'!$L11="$/Unit/Month",('Operating Assumptions'!$M11*DZ$25)*DZ$36,IF('Operating Assumptions'!$L11="Fixed Amount",('Operating Assumptions'!$M11*DZ$25)/12,IF('Operating Assumptions'!$L11="$/GSF",(('Operating Assumptions'!$M11*DZ$25)*'Operating Assumptions'!$D$11)/12,IF('Operating Assumptions'!$L11="$/NSF",(('Operating Assumptions'!$M11*DZ$25)*'Operating Assumptions'!$D$12)/12))))))))</f>
        <v>-3270</v>
      </c>
      <c r="EA83" s="427">
        <f>-IF(EA$9&lt;'Operating Assumptions'!$D$53,0,IF(EA$6&gt;'Operating Assumptions'!$AA$8,0,IF('Operating Assumptions'!$L11="N/A",0,IF('Operating Assumptions'!$L11="$/Unit/Annual",(('Operating Assumptions'!$M11*EA$25)*EA$36)/12,IF('Operating Assumptions'!$L11="$/Unit/Month",('Operating Assumptions'!$M11*EA$25)*EA$36,IF('Operating Assumptions'!$L11="Fixed Amount",('Operating Assumptions'!$M11*EA$25)/12,IF('Operating Assumptions'!$L11="$/GSF",(('Operating Assumptions'!$M11*EA$25)*'Operating Assumptions'!$D$11)/12,IF('Operating Assumptions'!$L11="$/NSF",(('Operating Assumptions'!$M11*EA$25)*'Operating Assumptions'!$D$12)/12))))))))</f>
        <v>-3270</v>
      </c>
      <c r="EB83" s="427">
        <f>-IF(EB$9&lt;'Operating Assumptions'!$D$53,0,IF(EB$6&gt;'Operating Assumptions'!$AA$8,0,IF('Operating Assumptions'!$L11="N/A",0,IF('Operating Assumptions'!$L11="$/Unit/Annual",(('Operating Assumptions'!$M11*EB$25)*EB$36)/12,IF('Operating Assumptions'!$L11="$/Unit/Month",('Operating Assumptions'!$M11*EB$25)*EB$36,IF('Operating Assumptions'!$L11="Fixed Amount",('Operating Assumptions'!$M11*EB$25)/12,IF('Operating Assumptions'!$L11="$/GSF",(('Operating Assumptions'!$M11*EB$25)*'Operating Assumptions'!$D$11)/12,IF('Operating Assumptions'!$L11="$/NSF",(('Operating Assumptions'!$M11*EB$25)*'Operating Assumptions'!$D$12)/12))))))))</f>
        <v>-3270</v>
      </c>
      <c r="EC83" s="427">
        <f>-IF(EC$9&lt;'Operating Assumptions'!$D$53,0,IF(EC$6&gt;'Operating Assumptions'!$AA$8,0,IF('Operating Assumptions'!$L11="N/A",0,IF('Operating Assumptions'!$L11="$/Unit/Annual",(('Operating Assumptions'!$M11*EC$25)*EC$36)/12,IF('Operating Assumptions'!$L11="$/Unit/Month",('Operating Assumptions'!$M11*EC$25)*EC$36,IF('Operating Assumptions'!$L11="Fixed Amount",('Operating Assumptions'!$M11*EC$25)/12,IF('Operating Assumptions'!$L11="$/GSF",(('Operating Assumptions'!$M11*EC$25)*'Operating Assumptions'!$D$11)/12,IF('Operating Assumptions'!$L11="$/NSF",(('Operating Assumptions'!$M11*EC$25)*'Operating Assumptions'!$D$12)/12))))))))</f>
        <v>-3270</v>
      </c>
      <c r="ED83" s="427">
        <f>-IF(ED$9&lt;'Operating Assumptions'!$D$53,0,IF(ED$6&gt;'Operating Assumptions'!$AA$8,0,IF('Operating Assumptions'!$L11="N/A",0,IF('Operating Assumptions'!$L11="$/Unit/Annual",(('Operating Assumptions'!$M11*ED$25)*ED$36)/12,IF('Operating Assumptions'!$L11="$/Unit/Month",('Operating Assumptions'!$M11*ED$25)*ED$36,IF('Operating Assumptions'!$L11="Fixed Amount",('Operating Assumptions'!$M11*ED$25)/12,IF('Operating Assumptions'!$L11="$/GSF",(('Operating Assumptions'!$M11*ED$25)*'Operating Assumptions'!$D$11)/12,IF('Operating Assumptions'!$L11="$/NSF",(('Operating Assumptions'!$M11*ED$25)*'Operating Assumptions'!$D$12)/12))))))))</f>
        <v>-3270</v>
      </c>
      <c r="EE83" s="427">
        <f>-IF(EE$9&lt;'Operating Assumptions'!$D$53,0,IF(EE$6&gt;'Operating Assumptions'!$AA$8,0,IF('Operating Assumptions'!$L11="N/A",0,IF('Operating Assumptions'!$L11="$/Unit/Annual",(('Operating Assumptions'!$M11*EE$25)*EE$36)/12,IF('Operating Assumptions'!$L11="$/Unit/Month",('Operating Assumptions'!$M11*EE$25)*EE$36,IF('Operating Assumptions'!$L11="Fixed Amount",('Operating Assumptions'!$M11*EE$25)/12,IF('Operating Assumptions'!$L11="$/GSF",(('Operating Assumptions'!$M11*EE$25)*'Operating Assumptions'!$D$11)/12,IF('Operating Assumptions'!$L11="$/NSF",(('Operating Assumptions'!$M11*EE$25)*'Operating Assumptions'!$D$12)/12))))))))</f>
        <v>-3270</v>
      </c>
      <c r="EF83" s="427">
        <f>-IF(EF$9&lt;'Operating Assumptions'!$D$53,0,IF(EF$6&gt;'Operating Assumptions'!$AA$8,0,IF('Operating Assumptions'!$L11="N/A",0,IF('Operating Assumptions'!$L11="$/Unit/Annual",(('Operating Assumptions'!$M11*EF$25)*EF$36)/12,IF('Operating Assumptions'!$L11="$/Unit/Month",('Operating Assumptions'!$M11*EF$25)*EF$36,IF('Operating Assumptions'!$L11="Fixed Amount",('Operating Assumptions'!$M11*EF$25)/12,IF('Operating Assumptions'!$L11="$/GSF",(('Operating Assumptions'!$M11*EF$25)*'Operating Assumptions'!$D$11)/12,IF('Operating Assumptions'!$L11="$/NSF",(('Operating Assumptions'!$M11*EF$25)*'Operating Assumptions'!$D$12)/12))))))))</f>
        <v>-3270</v>
      </c>
      <c r="EG83" s="427">
        <f>-IF(EG$9&lt;'Operating Assumptions'!$D$53,0,IF(EG$6&gt;'Operating Assumptions'!$AA$8,0,IF('Operating Assumptions'!$L11="N/A",0,IF('Operating Assumptions'!$L11="$/Unit/Annual",(('Operating Assumptions'!$M11*EG$25)*EG$36)/12,IF('Operating Assumptions'!$L11="$/Unit/Month",('Operating Assumptions'!$M11*EG$25)*EG$36,IF('Operating Assumptions'!$L11="Fixed Amount",('Operating Assumptions'!$M11*EG$25)/12,IF('Operating Assumptions'!$L11="$/GSF",(('Operating Assumptions'!$M11*EG$25)*'Operating Assumptions'!$D$11)/12,IF('Operating Assumptions'!$L11="$/NSF",(('Operating Assumptions'!$M11*EG$25)*'Operating Assumptions'!$D$12)/12))))))))</f>
        <v>-3270</v>
      </c>
      <c r="EH83" s="427">
        <f>-IF(EH$9&lt;'Operating Assumptions'!$D$53,0,IF(EH$6&gt;'Operating Assumptions'!$AA$8,0,IF('Operating Assumptions'!$L11="N/A",0,IF('Operating Assumptions'!$L11="$/Unit/Annual",(('Operating Assumptions'!$M11*EH$25)*EH$36)/12,IF('Operating Assumptions'!$L11="$/Unit/Month",('Operating Assumptions'!$M11*EH$25)*EH$36,IF('Operating Assumptions'!$L11="Fixed Amount",('Operating Assumptions'!$M11*EH$25)/12,IF('Operating Assumptions'!$L11="$/GSF",(('Operating Assumptions'!$M11*EH$25)*'Operating Assumptions'!$D$11)/12,IF('Operating Assumptions'!$L11="$/NSF",(('Operating Assumptions'!$M11*EH$25)*'Operating Assumptions'!$D$12)/12))))))))</f>
        <v>-3270</v>
      </c>
      <c r="EI83" s="427">
        <f>-IF(EI$9&lt;'Operating Assumptions'!$D$53,0,IF(EI$6&gt;'Operating Assumptions'!$AA$8,0,IF('Operating Assumptions'!$L11="N/A",0,IF('Operating Assumptions'!$L11="$/Unit/Annual",(('Operating Assumptions'!$M11*EI$25)*EI$36)/12,IF('Operating Assumptions'!$L11="$/Unit/Month",('Operating Assumptions'!$M11*EI$25)*EI$36,IF('Operating Assumptions'!$L11="Fixed Amount",('Operating Assumptions'!$M11*EI$25)/12,IF('Operating Assumptions'!$L11="$/GSF",(('Operating Assumptions'!$M11*EI$25)*'Operating Assumptions'!$D$11)/12,IF('Operating Assumptions'!$L11="$/NSF",(('Operating Assumptions'!$M11*EI$25)*'Operating Assumptions'!$D$12)/12))))))))</f>
        <v>-3270</v>
      </c>
      <c r="EJ83" s="427">
        <f>-IF(EJ$9&lt;'Operating Assumptions'!$D$53,0,IF(EJ$6&gt;'Operating Assumptions'!$AA$8,0,IF('Operating Assumptions'!$L11="N/A",0,IF('Operating Assumptions'!$L11="$/Unit/Annual",(('Operating Assumptions'!$M11*EJ$25)*EJ$36)/12,IF('Operating Assumptions'!$L11="$/Unit/Month",('Operating Assumptions'!$M11*EJ$25)*EJ$36,IF('Operating Assumptions'!$L11="Fixed Amount",('Operating Assumptions'!$M11*EJ$25)/12,IF('Operating Assumptions'!$L11="$/GSF",(('Operating Assumptions'!$M11*EJ$25)*'Operating Assumptions'!$D$11)/12,IF('Operating Assumptions'!$L11="$/NSF",(('Operating Assumptions'!$M11*EJ$25)*'Operating Assumptions'!$D$12)/12))))))))</f>
        <v>-3300</v>
      </c>
      <c r="EK83" s="427">
        <f>-IF(EK$9&lt;'Operating Assumptions'!$D$53,0,IF(EK$6&gt;'Operating Assumptions'!$AA$8,0,IF('Operating Assumptions'!$L11="N/A",0,IF('Operating Assumptions'!$L11="$/Unit/Annual",(('Operating Assumptions'!$M11*EK$25)*EK$36)/12,IF('Operating Assumptions'!$L11="$/Unit/Month",('Operating Assumptions'!$M11*EK$25)*EK$36,IF('Operating Assumptions'!$L11="Fixed Amount",('Operating Assumptions'!$M11*EK$25)/12,IF('Operating Assumptions'!$L11="$/GSF",(('Operating Assumptions'!$M11*EK$25)*'Operating Assumptions'!$D$11)/12,IF('Operating Assumptions'!$L11="$/NSF",(('Operating Assumptions'!$M11*EK$25)*'Operating Assumptions'!$D$12)/12))))))))</f>
        <v>-3300</v>
      </c>
      <c r="EL83" s="427">
        <f>-IF(EL$9&lt;'Operating Assumptions'!$D$53,0,IF(EL$6&gt;'Operating Assumptions'!$AA$8,0,IF('Operating Assumptions'!$L11="N/A",0,IF('Operating Assumptions'!$L11="$/Unit/Annual",(('Operating Assumptions'!$M11*EL$25)*EL$36)/12,IF('Operating Assumptions'!$L11="$/Unit/Month",('Operating Assumptions'!$M11*EL$25)*EL$36,IF('Operating Assumptions'!$L11="Fixed Amount",('Operating Assumptions'!$M11*EL$25)/12,IF('Operating Assumptions'!$L11="$/GSF",(('Operating Assumptions'!$M11*EL$25)*'Operating Assumptions'!$D$11)/12,IF('Operating Assumptions'!$L11="$/NSF",(('Operating Assumptions'!$M11*EL$25)*'Operating Assumptions'!$D$12)/12))))))))</f>
        <v>-3300</v>
      </c>
      <c r="EM83" s="427">
        <f>-IF(EM$9&lt;'Operating Assumptions'!$D$53,0,IF(EM$6&gt;'Operating Assumptions'!$AA$8,0,IF('Operating Assumptions'!$L11="N/A",0,IF('Operating Assumptions'!$L11="$/Unit/Annual",(('Operating Assumptions'!$M11*EM$25)*EM$36)/12,IF('Operating Assumptions'!$L11="$/Unit/Month",('Operating Assumptions'!$M11*EM$25)*EM$36,IF('Operating Assumptions'!$L11="Fixed Amount",('Operating Assumptions'!$M11*EM$25)/12,IF('Operating Assumptions'!$L11="$/GSF",(('Operating Assumptions'!$M11*EM$25)*'Operating Assumptions'!$D$11)/12,IF('Operating Assumptions'!$L11="$/NSF",(('Operating Assumptions'!$M11*EM$25)*'Operating Assumptions'!$D$12)/12))))))))</f>
        <v>-3300</v>
      </c>
      <c r="EN83" s="427">
        <f>-IF(EN$9&lt;'Operating Assumptions'!$D$53,0,IF(EN$6&gt;'Operating Assumptions'!$AA$8,0,IF('Operating Assumptions'!$L11="N/A",0,IF('Operating Assumptions'!$L11="$/Unit/Annual",(('Operating Assumptions'!$M11*EN$25)*EN$36)/12,IF('Operating Assumptions'!$L11="$/Unit/Month",('Operating Assumptions'!$M11*EN$25)*EN$36,IF('Operating Assumptions'!$L11="Fixed Amount",('Operating Assumptions'!$M11*EN$25)/12,IF('Operating Assumptions'!$L11="$/GSF",(('Operating Assumptions'!$M11*EN$25)*'Operating Assumptions'!$D$11)/12,IF('Operating Assumptions'!$L11="$/NSF",(('Operating Assumptions'!$M11*EN$25)*'Operating Assumptions'!$D$12)/12))))))))</f>
        <v>-3300</v>
      </c>
      <c r="EO83" s="427">
        <f>-IF(EO$9&lt;'Operating Assumptions'!$D$53,0,IF(EO$6&gt;'Operating Assumptions'!$AA$8,0,IF('Operating Assumptions'!$L11="N/A",0,IF('Operating Assumptions'!$L11="$/Unit/Annual",(('Operating Assumptions'!$M11*EO$25)*EO$36)/12,IF('Operating Assumptions'!$L11="$/Unit/Month",('Operating Assumptions'!$M11*EO$25)*EO$36,IF('Operating Assumptions'!$L11="Fixed Amount",('Operating Assumptions'!$M11*EO$25)/12,IF('Operating Assumptions'!$L11="$/GSF",(('Operating Assumptions'!$M11*EO$25)*'Operating Assumptions'!$D$11)/12,IF('Operating Assumptions'!$L11="$/NSF",(('Operating Assumptions'!$M11*EO$25)*'Operating Assumptions'!$D$12)/12))))))))</f>
        <v>-3300</v>
      </c>
      <c r="EP83" s="427">
        <f>-IF(EP$9&lt;'Operating Assumptions'!$D$53,0,IF(EP$6&gt;'Operating Assumptions'!$AA$8,0,IF('Operating Assumptions'!$L11="N/A",0,IF('Operating Assumptions'!$L11="$/Unit/Annual",(('Operating Assumptions'!$M11*EP$25)*EP$36)/12,IF('Operating Assumptions'!$L11="$/Unit/Month",('Operating Assumptions'!$M11*EP$25)*EP$36,IF('Operating Assumptions'!$L11="Fixed Amount",('Operating Assumptions'!$M11*EP$25)/12,IF('Operating Assumptions'!$L11="$/GSF",(('Operating Assumptions'!$M11*EP$25)*'Operating Assumptions'!$D$11)/12,IF('Operating Assumptions'!$L11="$/NSF",(('Operating Assumptions'!$M11*EP$25)*'Operating Assumptions'!$D$12)/12))))))))</f>
        <v>-3300</v>
      </c>
      <c r="EQ83" s="427">
        <f>-IF(EQ$9&lt;'Operating Assumptions'!$D$53,0,IF(EQ$6&gt;'Operating Assumptions'!$AA$8,0,IF('Operating Assumptions'!$L11="N/A",0,IF('Operating Assumptions'!$L11="$/Unit/Annual",(('Operating Assumptions'!$M11*EQ$25)*EQ$36)/12,IF('Operating Assumptions'!$L11="$/Unit/Month",('Operating Assumptions'!$M11*EQ$25)*EQ$36,IF('Operating Assumptions'!$L11="Fixed Amount",('Operating Assumptions'!$M11*EQ$25)/12,IF('Operating Assumptions'!$L11="$/GSF",(('Operating Assumptions'!$M11*EQ$25)*'Operating Assumptions'!$D$11)/12,IF('Operating Assumptions'!$L11="$/NSF",(('Operating Assumptions'!$M11*EQ$25)*'Operating Assumptions'!$D$12)/12))))))))</f>
        <v>-3300</v>
      </c>
      <c r="ER83" s="427">
        <f>-IF(ER$9&lt;'Operating Assumptions'!$D$53,0,IF(ER$6&gt;'Operating Assumptions'!$AA$8,0,IF('Operating Assumptions'!$L11="N/A",0,IF('Operating Assumptions'!$L11="$/Unit/Annual",(('Operating Assumptions'!$M11*ER$25)*ER$36)/12,IF('Operating Assumptions'!$L11="$/Unit/Month",('Operating Assumptions'!$M11*ER$25)*ER$36,IF('Operating Assumptions'!$L11="Fixed Amount",('Operating Assumptions'!$M11*ER$25)/12,IF('Operating Assumptions'!$L11="$/GSF",(('Operating Assumptions'!$M11*ER$25)*'Operating Assumptions'!$D$11)/12,IF('Operating Assumptions'!$L11="$/NSF",(('Operating Assumptions'!$M11*ER$25)*'Operating Assumptions'!$D$12)/12))))))))</f>
        <v>-3300</v>
      </c>
      <c r="ES83" s="427">
        <f>-IF(ES$9&lt;'Operating Assumptions'!$D$53,0,IF(ES$6&gt;'Operating Assumptions'!$AA$8,0,IF('Operating Assumptions'!$L11="N/A",0,IF('Operating Assumptions'!$L11="$/Unit/Annual",(('Operating Assumptions'!$M11*ES$25)*ES$36)/12,IF('Operating Assumptions'!$L11="$/Unit/Month",('Operating Assumptions'!$M11*ES$25)*ES$36,IF('Operating Assumptions'!$L11="Fixed Amount",('Operating Assumptions'!$M11*ES$25)/12,IF('Operating Assumptions'!$L11="$/GSF",(('Operating Assumptions'!$M11*ES$25)*'Operating Assumptions'!$D$11)/12,IF('Operating Assumptions'!$L11="$/NSF",(('Operating Assumptions'!$M11*ES$25)*'Operating Assumptions'!$D$12)/12))))))))</f>
        <v>-3300</v>
      </c>
      <c r="ET83" s="427">
        <f>-IF(ET$9&lt;'Operating Assumptions'!$D$53,0,IF(ET$6&gt;'Operating Assumptions'!$AA$8,0,IF('Operating Assumptions'!$L11="N/A",0,IF('Operating Assumptions'!$L11="$/Unit/Annual",(('Operating Assumptions'!$M11*ET$25)*ET$36)/12,IF('Operating Assumptions'!$L11="$/Unit/Month",('Operating Assumptions'!$M11*ET$25)*ET$36,IF('Operating Assumptions'!$L11="Fixed Amount",('Operating Assumptions'!$M11*ET$25)/12,IF('Operating Assumptions'!$L11="$/GSF",(('Operating Assumptions'!$M11*ET$25)*'Operating Assumptions'!$D$11)/12,IF('Operating Assumptions'!$L11="$/NSF",(('Operating Assumptions'!$M11*ET$25)*'Operating Assumptions'!$D$12)/12))))))))</f>
        <v>-3300</v>
      </c>
      <c r="EU83" s="427">
        <f>-IF(EU$9&lt;'Operating Assumptions'!$D$53,0,IF(EU$6&gt;'Operating Assumptions'!$AA$8,0,IF('Operating Assumptions'!$L11="N/A",0,IF('Operating Assumptions'!$L11="$/Unit/Annual",(('Operating Assumptions'!$M11*EU$25)*EU$36)/12,IF('Operating Assumptions'!$L11="$/Unit/Month",('Operating Assumptions'!$M11*EU$25)*EU$36,IF('Operating Assumptions'!$L11="Fixed Amount",('Operating Assumptions'!$M11*EU$25)/12,IF('Operating Assumptions'!$L11="$/GSF",(('Operating Assumptions'!$M11*EU$25)*'Operating Assumptions'!$D$11)/12,IF('Operating Assumptions'!$L11="$/NSF",(('Operating Assumptions'!$M11*EU$25)*'Operating Assumptions'!$D$12)/12))))))))</f>
        <v>-3300</v>
      </c>
      <c r="EV83" s="427">
        <f>-IF(EV$9&lt;'Operating Assumptions'!$D$53,0,IF(EV$6&gt;'Operating Assumptions'!$AA$8,0,IF('Operating Assumptions'!$L11="N/A",0,IF('Operating Assumptions'!$L11="$/Unit/Annual",(('Operating Assumptions'!$M11*EV$25)*EV$36)/12,IF('Operating Assumptions'!$L11="$/Unit/Month",('Operating Assumptions'!$M11*EV$25)*EV$36,IF('Operating Assumptions'!$L11="Fixed Amount",('Operating Assumptions'!$M11*EV$25)/12,IF('Operating Assumptions'!$L11="$/GSF",(('Operating Assumptions'!$M11*EV$25)*'Operating Assumptions'!$D$11)/12,IF('Operating Assumptions'!$L11="$/NSF",(('Operating Assumptions'!$M11*EV$25)*'Operating Assumptions'!$D$12)/12))))))))</f>
        <v>0</v>
      </c>
      <c r="EW83" s="427">
        <f>-IF(EW$9&lt;'Operating Assumptions'!$D$53,0,IF(EW$6&gt;'Operating Assumptions'!$AA$8,0,IF('Operating Assumptions'!$L11="N/A",0,IF('Operating Assumptions'!$L11="$/Unit/Annual",(('Operating Assumptions'!$M11*EW$25)*EW$36)/12,IF('Operating Assumptions'!$L11="$/Unit/Month",('Operating Assumptions'!$M11*EW$25)*EW$36,IF('Operating Assumptions'!$L11="Fixed Amount",('Operating Assumptions'!$M11*EW$25)/12,IF('Operating Assumptions'!$L11="$/GSF",(('Operating Assumptions'!$M11*EW$25)*'Operating Assumptions'!$D$11)/12,IF('Operating Assumptions'!$L11="$/NSF",(('Operating Assumptions'!$M11*EW$25)*'Operating Assumptions'!$D$12)/12))))))))</f>
        <v>0</v>
      </c>
      <c r="EX83" s="427">
        <f>-IF(EX$9&lt;'Operating Assumptions'!$D$53,0,IF(EX$6&gt;'Operating Assumptions'!$AA$8,0,IF('Operating Assumptions'!$L11="N/A",0,IF('Operating Assumptions'!$L11="$/Unit/Annual",(('Operating Assumptions'!$M11*EX$25)*EX$36)/12,IF('Operating Assumptions'!$L11="$/Unit/Month",('Operating Assumptions'!$M11*EX$25)*EX$36,IF('Operating Assumptions'!$L11="Fixed Amount",('Operating Assumptions'!$M11*EX$25)/12,IF('Operating Assumptions'!$L11="$/GSF",(('Operating Assumptions'!$M11*EX$25)*'Operating Assumptions'!$D$11)/12,IF('Operating Assumptions'!$L11="$/NSF",(('Operating Assumptions'!$M11*EX$25)*'Operating Assumptions'!$D$12)/12))))))))</f>
        <v>0</v>
      </c>
      <c r="EY83" s="427">
        <f>-IF(EY$9&lt;'Operating Assumptions'!$D$53,0,IF(EY$6&gt;'Operating Assumptions'!$AA$8,0,IF('Operating Assumptions'!$L11="N/A",0,IF('Operating Assumptions'!$L11="$/Unit/Annual",(('Operating Assumptions'!$M11*EY$25)*EY$36)/12,IF('Operating Assumptions'!$L11="$/Unit/Month",('Operating Assumptions'!$M11*EY$25)*EY$36,IF('Operating Assumptions'!$L11="Fixed Amount",('Operating Assumptions'!$M11*EY$25)/12,IF('Operating Assumptions'!$L11="$/GSF",(('Operating Assumptions'!$M11*EY$25)*'Operating Assumptions'!$D$11)/12,IF('Operating Assumptions'!$L11="$/NSF",(('Operating Assumptions'!$M11*EY$25)*'Operating Assumptions'!$D$12)/12))))))))</f>
        <v>0</v>
      </c>
      <c r="EZ83" s="427">
        <f>-IF(EZ$9&lt;'Operating Assumptions'!$D$53,0,IF(EZ$6&gt;'Operating Assumptions'!$AA$8,0,IF('Operating Assumptions'!$L11="N/A",0,IF('Operating Assumptions'!$L11="$/Unit/Annual",(('Operating Assumptions'!$M11*EZ$25)*EZ$36)/12,IF('Operating Assumptions'!$L11="$/Unit/Month",('Operating Assumptions'!$M11*EZ$25)*EZ$36,IF('Operating Assumptions'!$L11="Fixed Amount",('Operating Assumptions'!$M11*EZ$25)/12,IF('Operating Assumptions'!$L11="$/GSF",(('Operating Assumptions'!$M11*EZ$25)*'Operating Assumptions'!$D$11)/12,IF('Operating Assumptions'!$L11="$/NSF",(('Operating Assumptions'!$M11*EZ$25)*'Operating Assumptions'!$D$12)/12))))))))</f>
        <v>0</v>
      </c>
      <c r="FA83" s="427">
        <f>-IF(FA$9&lt;'Operating Assumptions'!$D$53,0,IF(FA$6&gt;'Operating Assumptions'!$AA$8,0,IF('Operating Assumptions'!$L11="N/A",0,IF('Operating Assumptions'!$L11="$/Unit/Annual",(('Operating Assumptions'!$M11*FA$25)*FA$36)/12,IF('Operating Assumptions'!$L11="$/Unit/Month",('Operating Assumptions'!$M11*FA$25)*FA$36,IF('Operating Assumptions'!$L11="Fixed Amount",('Operating Assumptions'!$M11*FA$25)/12,IF('Operating Assumptions'!$L11="$/GSF",(('Operating Assumptions'!$M11*FA$25)*'Operating Assumptions'!$D$11)/12,IF('Operating Assumptions'!$L11="$/NSF",(('Operating Assumptions'!$M11*FA$25)*'Operating Assumptions'!$D$12)/12))))))))</f>
        <v>0</v>
      </c>
      <c r="FB83" s="427">
        <f>-IF(FB$9&lt;'Operating Assumptions'!$D$53,0,IF(FB$6&gt;'Operating Assumptions'!$AA$8,0,IF('Operating Assumptions'!$L11="N/A",0,IF('Operating Assumptions'!$L11="$/Unit/Annual",(('Operating Assumptions'!$M11*FB$25)*FB$36)/12,IF('Operating Assumptions'!$L11="$/Unit/Month",('Operating Assumptions'!$M11*FB$25)*FB$36,IF('Operating Assumptions'!$L11="Fixed Amount",('Operating Assumptions'!$M11*FB$25)/12,IF('Operating Assumptions'!$L11="$/GSF",(('Operating Assumptions'!$M11*FB$25)*'Operating Assumptions'!$D$11)/12,IF('Operating Assumptions'!$L11="$/NSF",(('Operating Assumptions'!$M11*FB$25)*'Operating Assumptions'!$D$12)/12))))))))</f>
        <v>0</v>
      </c>
      <c r="FC83" s="427">
        <f>-IF(FC$9&lt;'Operating Assumptions'!$D$53,0,IF(FC$6&gt;'Operating Assumptions'!$AA$8,0,IF('Operating Assumptions'!$L11="N/A",0,IF('Operating Assumptions'!$L11="$/Unit/Annual",(('Operating Assumptions'!$M11*FC$25)*FC$36)/12,IF('Operating Assumptions'!$L11="$/Unit/Month",('Operating Assumptions'!$M11*FC$25)*FC$36,IF('Operating Assumptions'!$L11="Fixed Amount",('Operating Assumptions'!$M11*FC$25)/12,IF('Operating Assumptions'!$L11="$/GSF",(('Operating Assumptions'!$M11*FC$25)*'Operating Assumptions'!$D$11)/12,IF('Operating Assumptions'!$L11="$/NSF",(('Operating Assumptions'!$M11*FC$25)*'Operating Assumptions'!$D$12)/12))))))))</f>
        <v>0</v>
      </c>
      <c r="FD83" s="427">
        <f>-IF(FD$9&lt;'Operating Assumptions'!$D$53,0,IF(FD$6&gt;'Operating Assumptions'!$AA$8,0,IF('Operating Assumptions'!$L11="N/A",0,IF('Operating Assumptions'!$L11="$/Unit/Annual",(('Operating Assumptions'!$M11*FD$25)*FD$36)/12,IF('Operating Assumptions'!$L11="$/Unit/Month",('Operating Assumptions'!$M11*FD$25)*FD$36,IF('Operating Assumptions'!$L11="Fixed Amount",('Operating Assumptions'!$M11*FD$25)/12,IF('Operating Assumptions'!$L11="$/GSF",(('Operating Assumptions'!$M11*FD$25)*'Operating Assumptions'!$D$11)/12,IF('Operating Assumptions'!$L11="$/NSF",(('Operating Assumptions'!$M11*FD$25)*'Operating Assumptions'!$D$12)/12))))))))</f>
        <v>0</v>
      </c>
      <c r="FE83" s="427">
        <f>-IF(FE$9&lt;'Operating Assumptions'!$D$53,0,IF(FE$6&gt;'Operating Assumptions'!$AA$8,0,IF('Operating Assumptions'!$L11="N/A",0,IF('Operating Assumptions'!$L11="$/Unit/Annual",(('Operating Assumptions'!$M11*FE$25)*FE$36)/12,IF('Operating Assumptions'!$L11="$/Unit/Month",('Operating Assumptions'!$M11*FE$25)*FE$36,IF('Operating Assumptions'!$L11="Fixed Amount",('Operating Assumptions'!$M11*FE$25)/12,IF('Operating Assumptions'!$L11="$/GSF",(('Operating Assumptions'!$M11*FE$25)*'Operating Assumptions'!$D$11)/12,IF('Operating Assumptions'!$L11="$/NSF",(('Operating Assumptions'!$M11*FE$25)*'Operating Assumptions'!$D$12)/12))))))))</f>
        <v>0</v>
      </c>
      <c r="FF83" s="427">
        <f>-IF(FF$9&lt;'Operating Assumptions'!$D$53,0,IF(FF$6&gt;'Operating Assumptions'!$AA$8,0,IF('Operating Assumptions'!$L11="N/A",0,IF('Operating Assumptions'!$L11="$/Unit/Annual",(('Operating Assumptions'!$M11*FF$25)*FF$36)/12,IF('Operating Assumptions'!$L11="$/Unit/Month",('Operating Assumptions'!$M11*FF$25)*FF$36,IF('Operating Assumptions'!$L11="Fixed Amount",('Operating Assumptions'!$M11*FF$25)/12,IF('Operating Assumptions'!$L11="$/GSF",(('Operating Assumptions'!$M11*FF$25)*'Operating Assumptions'!$D$11)/12,IF('Operating Assumptions'!$L11="$/NSF",(('Operating Assumptions'!$M11*FF$25)*'Operating Assumptions'!$D$12)/12))))))))</f>
        <v>0</v>
      </c>
      <c r="FG83" s="427">
        <f>-IF(FG$9&lt;'Operating Assumptions'!$D$53,0,IF(FG$6&gt;'Operating Assumptions'!$AA$8,0,IF('Operating Assumptions'!$L11="N/A",0,IF('Operating Assumptions'!$L11="$/Unit/Annual",(('Operating Assumptions'!$M11*FG$25)*FG$36)/12,IF('Operating Assumptions'!$L11="$/Unit/Month",('Operating Assumptions'!$M11*FG$25)*FG$36,IF('Operating Assumptions'!$L11="Fixed Amount",('Operating Assumptions'!$M11*FG$25)/12,IF('Operating Assumptions'!$L11="$/GSF",(('Operating Assumptions'!$M11*FG$25)*'Operating Assumptions'!$D$11)/12,IF('Operating Assumptions'!$L11="$/NSF",(('Operating Assumptions'!$M11*FG$25)*'Operating Assumptions'!$D$12)/12))))))))</f>
        <v>0</v>
      </c>
      <c r="FH83" s="427">
        <f>-IF(FH$9&lt;'Operating Assumptions'!$D$53,0,IF(FH$6&gt;'Operating Assumptions'!$AA$8,0,IF('Operating Assumptions'!$L11="N/A",0,IF('Operating Assumptions'!$L11="$/Unit/Annual",(('Operating Assumptions'!$M11*FH$25)*FH$36)/12,IF('Operating Assumptions'!$L11="$/Unit/Month",('Operating Assumptions'!$M11*FH$25)*FH$36,IF('Operating Assumptions'!$L11="Fixed Amount",('Operating Assumptions'!$M11*FH$25)/12,IF('Operating Assumptions'!$L11="$/GSF",(('Operating Assumptions'!$M11*FH$25)*'Operating Assumptions'!$D$11)/12,IF('Operating Assumptions'!$L11="$/NSF",(('Operating Assumptions'!$M11*FH$25)*'Operating Assumptions'!$D$12)/12))))))))</f>
        <v>0</v>
      </c>
      <c r="FI83" s="427">
        <f>-IF(FI$9&lt;'Operating Assumptions'!$D$53,0,IF(FI$6&gt;'Operating Assumptions'!$AA$8,0,IF('Operating Assumptions'!$L11="N/A",0,IF('Operating Assumptions'!$L11="$/Unit/Annual",(('Operating Assumptions'!$M11*FI$25)*FI$36)/12,IF('Operating Assumptions'!$L11="$/Unit/Month",('Operating Assumptions'!$M11*FI$25)*FI$36,IF('Operating Assumptions'!$L11="Fixed Amount",('Operating Assumptions'!$M11*FI$25)/12,IF('Operating Assumptions'!$L11="$/GSF",(('Operating Assumptions'!$M11*FI$25)*'Operating Assumptions'!$D$11)/12,IF('Operating Assumptions'!$L11="$/NSF",(('Operating Assumptions'!$M11*FI$25)*'Operating Assumptions'!$D$12)/12))))))))</f>
        <v>0</v>
      </c>
      <c r="FJ83" s="427">
        <f>-IF(FJ$9&lt;'Operating Assumptions'!$D$53,0,IF(FJ$6&gt;'Operating Assumptions'!$AA$8,0,IF('Operating Assumptions'!$L11="N/A",0,IF('Operating Assumptions'!$L11="$/Unit/Annual",(('Operating Assumptions'!$M11*FJ$25)*FJ$36)/12,IF('Operating Assumptions'!$L11="$/Unit/Month",('Operating Assumptions'!$M11*FJ$25)*FJ$36,IF('Operating Assumptions'!$L11="Fixed Amount",('Operating Assumptions'!$M11*FJ$25)/12,IF('Operating Assumptions'!$L11="$/GSF",(('Operating Assumptions'!$M11*FJ$25)*'Operating Assumptions'!$D$11)/12,IF('Operating Assumptions'!$L11="$/NSF",(('Operating Assumptions'!$M11*FJ$25)*'Operating Assumptions'!$D$12)/12))))))))</f>
        <v>0</v>
      </c>
      <c r="FK83" s="427">
        <f>-IF(FK$9&lt;'Operating Assumptions'!$D$53,0,IF(FK$6&gt;'Operating Assumptions'!$AA$8,0,IF('Operating Assumptions'!$L11="N/A",0,IF('Operating Assumptions'!$L11="$/Unit/Annual",(('Operating Assumptions'!$M11*FK$25)*FK$36)/12,IF('Operating Assumptions'!$L11="$/Unit/Month",('Operating Assumptions'!$M11*FK$25)*FK$36,IF('Operating Assumptions'!$L11="Fixed Amount",('Operating Assumptions'!$M11*FK$25)/12,IF('Operating Assumptions'!$L11="$/GSF",(('Operating Assumptions'!$M11*FK$25)*'Operating Assumptions'!$D$11)/12,IF('Operating Assumptions'!$L11="$/NSF",(('Operating Assumptions'!$M11*FK$25)*'Operating Assumptions'!$D$12)/12))))))))</f>
        <v>0</v>
      </c>
      <c r="FL83" s="427">
        <f>-IF(FL$9&lt;'Operating Assumptions'!$D$53,0,IF(FL$6&gt;'Operating Assumptions'!$AA$8,0,IF('Operating Assumptions'!$L11="N/A",0,IF('Operating Assumptions'!$L11="$/Unit/Annual",(('Operating Assumptions'!$M11*FL$25)*FL$36)/12,IF('Operating Assumptions'!$L11="$/Unit/Month",('Operating Assumptions'!$M11*FL$25)*FL$36,IF('Operating Assumptions'!$L11="Fixed Amount",('Operating Assumptions'!$M11*FL$25)/12,IF('Operating Assumptions'!$L11="$/GSF",(('Operating Assumptions'!$M11*FL$25)*'Operating Assumptions'!$D$11)/12,IF('Operating Assumptions'!$L11="$/NSF",(('Operating Assumptions'!$M11*FL$25)*'Operating Assumptions'!$D$12)/12))))))))</f>
        <v>0</v>
      </c>
      <c r="FM83" s="427">
        <f>-IF(FM$9&lt;'Operating Assumptions'!$D$53,0,IF(FM$6&gt;'Operating Assumptions'!$AA$8,0,IF('Operating Assumptions'!$L11="N/A",0,IF('Operating Assumptions'!$L11="$/Unit/Annual",(('Operating Assumptions'!$M11*FM$25)*FM$36)/12,IF('Operating Assumptions'!$L11="$/Unit/Month",('Operating Assumptions'!$M11*FM$25)*FM$36,IF('Operating Assumptions'!$L11="Fixed Amount",('Operating Assumptions'!$M11*FM$25)/12,IF('Operating Assumptions'!$L11="$/GSF",(('Operating Assumptions'!$M11*FM$25)*'Operating Assumptions'!$D$11)/12,IF('Operating Assumptions'!$L11="$/NSF",(('Operating Assumptions'!$M11*FM$25)*'Operating Assumptions'!$D$12)/12))))))))</f>
        <v>0</v>
      </c>
      <c r="FN83" s="427">
        <f>-IF(FN$9&lt;'Operating Assumptions'!$D$53,0,IF(FN$6&gt;'Operating Assumptions'!$AA$8,0,IF('Operating Assumptions'!$L11="N/A",0,IF('Operating Assumptions'!$L11="$/Unit/Annual",(('Operating Assumptions'!$M11*FN$25)*FN$36)/12,IF('Operating Assumptions'!$L11="$/Unit/Month",('Operating Assumptions'!$M11*FN$25)*FN$36,IF('Operating Assumptions'!$L11="Fixed Amount",('Operating Assumptions'!$M11*FN$25)/12,IF('Operating Assumptions'!$L11="$/GSF",(('Operating Assumptions'!$M11*FN$25)*'Operating Assumptions'!$D$11)/12,IF('Operating Assumptions'!$L11="$/NSF",(('Operating Assumptions'!$M11*FN$25)*'Operating Assumptions'!$D$12)/12))))))))</f>
        <v>0</v>
      </c>
      <c r="FO83" s="427">
        <f>-IF(FO$9&lt;'Operating Assumptions'!$D$53,0,IF(FO$6&gt;'Operating Assumptions'!$AA$8,0,IF('Operating Assumptions'!$L11="N/A",0,IF('Operating Assumptions'!$L11="$/Unit/Annual",(('Operating Assumptions'!$M11*FO$25)*FO$36)/12,IF('Operating Assumptions'!$L11="$/Unit/Month",('Operating Assumptions'!$M11*FO$25)*FO$36,IF('Operating Assumptions'!$L11="Fixed Amount",('Operating Assumptions'!$M11*FO$25)/12,IF('Operating Assumptions'!$L11="$/GSF",(('Operating Assumptions'!$M11*FO$25)*'Operating Assumptions'!$D$11)/12,IF('Operating Assumptions'!$L11="$/NSF",(('Operating Assumptions'!$M11*FO$25)*'Operating Assumptions'!$D$12)/12))))))))</f>
        <v>0</v>
      </c>
      <c r="FP83" s="427">
        <f>-IF(FP$9&lt;'Operating Assumptions'!$D$53,0,IF(FP$6&gt;'Operating Assumptions'!$AA$8,0,IF('Operating Assumptions'!$L11="N/A",0,IF('Operating Assumptions'!$L11="$/Unit/Annual",(('Operating Assumptions'!$M11*FP$25)*FP$36)/12,IF('Operating Assumptions'!$L11="$/Unit/Month",('Operating Assumptions'!$M11*FP$25)*FP$36,IF('Operating Assumptions'!$L11="Fixed Amount",('Operating Assumptions'!$M11*FP$25)/12,IF('Operating Assumptions'!$L11="$/GSF",(('Operating Assumptions'!$M11*FP$25)*'Operating Assumptions'!$D$11)/12,IF('Operating Assumptions'!$L11="$/NSF",(('Operating Assumptions'!$M11*FP$25)*'Operating Assumptions'!$D$12)/12))))))))</f>
        <v>0</v>
      </c>
      <c r="FQ83" s="427">
        <f>-IF(FQ$9&lt;'Operating Assumptions'!$D$53,0,IF(FQ$6&gt;'Operating Assumptions'!$AA$8,0,IF('Operating Assumptions'!$L11="N/A",0,IF('Operating Assumptions'!$L11="$/Unit/Annual",(('Operating Assumptions'!$M11*FQ$25)*FQ$36)/12,IF('Operating Assumptions'!$L11="$/Unit/Month",('Operating Assumptions'!$M11*FQ$25)*FQ$36,IF('Operating Assumptions'!$L11="Fixed Amount",('Operating Assumptions'!$M11*FQ$25)/12,IF('Operating Assumptions'!$L11="$/GSF",(('Operating Assumptions'!$M11*FQ$25)*'Operating Assumptions'!$D$11)/12,IF('Operating Assumptions'!$L11="$/NSF",(('Operating Assumptions'!$M11*FQ$25)*'Operating Assumptions'!$D$12)/12))))))))</f>
        <v>0</v>
      </c>
      <c r="FR83" s="427">
        <f>-IF(FR$9&lt;'Operating Assumptions'!$D$53,0,IF(FR$6&gt;'Operating Assumptions'!$AA$8,0,IF('Operating Assumptions'!$L11="N/A",0,IF('Operating Assumptions'!$L11="$/Unit/Annual",(('Operating Assumptions'!$M11*FR$25)*FR$36)/12,IF('Operating Assumptions'!$L11="$/Unit/Month",('Operating Assumptions'!$M11*FR$25)*FR$36,IF('Operating Assumptions'!$L11="Fixed Amount",('Operating Assumptions'!$M11*FR$25)/12,IF('Operating Assumptions'!$L11="$/GSF",(('Operating Assumptions'!$M11*FR$25)*'Operating Assumptions'!$D$11)/12,IF('Operating Assumptions'!$L11="$/NSF",(('Operating Assumptions'!$M11*FR$25)*'Operating Assumptions'!$D$12)/12))))))))</f>
        <v>0</v>
      </c>
      <c r="FS83" s="427">
        <f>-IF(FS$9&lt;'Operating Assumptions'!$D$53,0,IF(FS$6&gt;'Operating Assumptions'!$AA$8,0,IF('Operating Assumptions'!$L11="N/A",0,IF('Operating Assumptions'!$L11="$/Unit/Annual",(('Operating Assumptions'!$M11*FS$25)*FS$36)/12,IF('Operating Assumptions'!$L11="$/Unit/Month",('Operating Assumptions'!$M11*FS$25)*FS$36,IF('Operating Assumptions'!$L11="Fixed Amount",('Operating Assumptions'!$M11*FS$25)/12,IF('Operating Assumptions'!$L11="$/GSF",(('Operating Assumptions'!$M11*FS$25)*'Operating Assumptions'!$D$11)/12,IF('Operating Assumptions'!$L11="$/NSF",(('Operating Assumptions'!$M11*FS$25)*'Operating Assumptions'!$D$12)/12))))))))</f>
        <v>0</v>
      </c>
      <c r="FT83" s="427">
        <f>-IF(FT$9&lt;'Operating Assumptions'!$D$53,0,IF(FT$6&gt;'Operating Assumptions'!$AA$8,0,IF('Operating Assumptions'!$L11="N/A",0,IF('Operating Assumptions'!$L11="$/Unit/Annual",(('Operating Assumptions'!$M11*FT$25)*FT$36)/12,IF('Operating Assumptions'!$L11="$/Unit/Month",('Operating Assumptions'!$M11*FT$25)*FT$36,IF('Operating Assumptions'!$L11="Fixed Amount",('Operating Assumptions'!$M11*FT$25)/12,IF('Operating Assumptions'!$L11="$/GSF",(('Operating Assumptions'!$M11*FT$25)*'Operating Assumptions'!$D$11)/12,IF('Operating Assumptions'!$L11="$/NSF",(('Operating Assumptions'!$M11*FT$25)*'Operating Assumptions'!$D$12)/12))))))))</f>
        <v>0</v>
      </c>
      <c r="FU83" s="43"/>
      <c r="FV83" s="34"/>
      <c r="FW83" s="34"/>
      <c r="FX83" s="34"/>
      <c r="FY83" s="34"/>
      <c r="FZ83" s="34"/>
    </row>
    <row r="84" spans="1:182" s="89" customFormat="1" ht="13.5" x14ac:dyDescent="0.25">
      <c r="A84" s="34"/>
      <c r="B84" s="128" t="str">
        <f>'Operating Assumptions'!K12</f>
        <v>Leasing &amp; Marketing</v>
      </c>
      <c r="C84" s="34"/>
      <c r="D84" s="34"/>
      <c r="E84" s="34"/>
      <c r="F84" s="434">
        <f t="shared" si="172"/>
        <v>-507082.5</v>
      </c>
      <c r="G84" s="34"/>
      <c r="H84" s="427">
        <f>-IF(H$9&lt;'Operating Assumptions'!$D$53,0,IF(H$6&gt;'Operating Assumptions'!$AA$8,0,IF('Operating Assumptions'!$L12="N/A",0,IF('Operating Assumptions'!$L12="$/Unit/Annual",(('Operating Assumptions'!$M12*H$25)*H$36)/12,IF('Operating Assumptions'!$L12="$/Unit/Month",('Operating Assumptions'!$M12*H$25)*H$36,IF('Operating Assumptions'!$L12="Fixed Amount",('Operating Assumptions'!$M12*H$25)/12,IF('Operating Assumptions'!$L12="$/GSF",(('Operating Assumptions'!$M12*H$25)*'Operating Assumptions'!$D$11)/12,IF('Operating Assumptions'!$L12="$/NSF",(('Operating Assumptions'!$M12*H$25)*'Operating Assumptions'!$D$12)/12))))))))</f>
        <v>0</v>
      </c>
      <c r="I84" s="427">
        <f>-IF(I$9&lt;'Operating Assumptions'!$D$53,0,IF(I$6&gt;'Operating Assumptions'!$AA$8,0,IF('Operating Assumptions'!$L12="N/A",0,IF('Operating Assumptions'!$L12="$/Unit/Annual",(('Operating Assumptions'!$M12*I$25)*I$36)/12,IF('Operating Assumptions'!$L12="$/Unit/Month",('Operating Assumptions'!$M12*I$25)*I$36,IF('Operating Assumptions'!$L12="Fixed Amount",('Operating Assumptions'!$M12*I$25)/12,IF('Operating Assumptions'!$L12="$/GSF",(('Operating Assumptions'!$M12*I$25)*'Operating Assumptions'!$D$11)/12,IF('Operating Assumptions'!$L12="$/NSF",(('Operating Assumptions'!$M12*I$25)*'Operating Assumptions'!$D$12)/12))))))))</f>
        <v>0</v>
      </c>
      <c r="J84" s="427">
        <f>-IF(J$9&lt;'Operating Assumptions'!$D$53,0,IF(J$6&gt;'Operating Assumptions'!$AA$8,0,IF('Operating Assumptions'!$L12="N/A",0,IF('Operating Assumptions'!$L12="$/Unit/Annual",(('Operating Assumptions'!$M12*J$25)*J$36)/12,IF('Operating Assumptions'!$L12="$/Unit/Month",('Operating Assumptions'!$M12*J$25)*J$36,IF('Operating Assumptions'!$L12="Fixed Amount",('Operating Assumptions'!$M12*J$25)/12,IF('Operating Assumptions'!$L12="$/GSF",(('Operating Assumptions'!$M12*J$25)*'Operating Assumptions'!$D$11)/12,IF('Operating Assumptions'!$L12="$/NSF",(('Operating Assumptions'!$M12*J$25)*'Operating Assumptions'!$D$12)/12))))))))</f>
        <v>0</v>
      </c>
      <c r="K84" s="427">
        <f>-IF(K$9&lt;'Operating Assumptions'!$D$53,0,IF(K$6&gt;'Operating Assumptions'!$AA$8,0,IF('Operating Assumptions'!$L12="N/A",0,IF('Operating Assumptions'!$L12="$/Unit/Annual",(('Operating Assumptions'!$M12*K$25)*K$36)/12,IF('Operating Assumptions'!$L12="$/Unit/Month",('Operating Assumptions'!$M12*K$25)*K$36,IF('Operating Assumptions'!$L12="Fixed Amount",('Operating Assumptions'!$M12*K$25)/12,IF('Operating Assumptions'!$L12="$/GSF",(('Operating Assumptions'!$M12*K$25)*'Operating Assumptions'!$D$11)/12,IF('Operating Assumptions'!$L12="$/NSF",(('Operating Assumptions'!$M12*K$25)*'Operating Assumptions'!$D$12)/12))))))))</f>
        <v>0</v>
      </c>
      <c r="L84" s="427">
        <f>-IF(L$9&lt;'Operating Assumptions'!$D$53,0,IF(L$6&gt;'Operating Assumptions'!$AA$8,0,IF('Operating Assumptions'!$L12="N/A",0,IF('Operating Assumptions'!$L12="$/Unit/Annual",(('Operating Assumptions'!$M12*L$25)*L$36)/12,IF('Operating Assumptions'!$L12="$/Unit/Month",('Operating Assumptions'!$M12*L$25)*L$36,IF('Operating Assumptions'!$L12="Fixed Amount",('Operating Assumptions'!$M12*L$25)/12,IF('Operating Assumptions'!$L12="$/GSF",(('Operating Assumptions'!$M12*L$25)*'Operating Assumptions'!$D$11)/12,IF('Operating Assumptions'!$L12="$/NSF",(('Operating Assumptions'!$M12*L$25)*'Operating Assumptions'!$D$12)/12))))))))</f>
        <v>0</v>
      </c>
      <c r="M84" s="427">
        <f>-IF(M$9&lt;'Operating Assumptions'!$D$53,0,IF(M$6&gt;'Operating Assumptions'!$AA$8,0,IF('Operating Assumptions'!$L12="N/A",0,IF('Operating Assumptions'!$L12="$/Unit/Annual",(('Operating Assumptions'!$M12*M$25)*M$36)/12,IF('Operating Assumptions'!$L12="$/Unit/Month",('Operating Assumptions'!$M12*M$25)*M$36,IF('Operating Assumptions'!$L12="Fixed Amount",('Operating Assumptions'!$M12*M$25)/12,IF('Operating Assumptions'!$L12="$/GSF",(('Operating Assumptions'!$M12*M$25)*'Operating Assumptions'!$D$11)/12,IF('Operating Assumptions'!$L12="$/NSF",(('Operating Assumptions'!$M12*M$25)*'Operating Assumptions'!$D$12)/12))))))))</f>
        <v>0</v>
      </c>
      <c r="N84" s="427">
        <f>-IF(N$9&lt;'Operating Assumptions'!$D$53,0,IF(N$6&gt;'Operating Assumptions'!$AA$8,0,IF('Operating Assumptions'!$L12="N/A",0,IF('Operating Assumptions'!$L12="$/Unit/Annual",(('Operating Assumptions'!$M12*N$25)*N$36)/12,IF('Operating Assumptions'!$L12="$/Unit/Month",('Operating Assumptions'!$M12*N$25)*N$36,IF('Operating Assumptions'!$L12="Fixed Amount",('Operating Assumptions'!$M12*N$25)/12,IF('Operating Assumptions'!$L12="$/GSF",(('Operating Assumptions'!$M12*N$25)*'Operating Assumptions'!$D$11)/12,IF('Operating Assumptions'!$L12="$/NSF",(('Operating Assumptions'!$M12*N$25)*'Operating Assumptions'!$D$12)/12))))))))</f>
        <v>0</v>
      </c>
      <c r="O84" s="427">
        <f>-IF(O$9&lt;'Operating Assumptions'!$D$53,0,IF(O$6&gt;'Operating Assumptions'!$AA$8,0,IF('Operating Assumptions'!$L12="N/A",0,IF('Operating Assumptions'!$L12="$/Unit/Annual",(('Operating Assumptions'!$M12*O$25)*O$36)/12,IF('Operating Assumptions'!$L12="$/Unit/Month",('Operating Assumptions'!$M12*O$25)*O$36,IF('Operating Assumptions'!$L12="Fixed Amount",('Operating Assumptions'!$M12*O$25)/12,IF('Operating Assumptions'!$L12="$/GSF",(('Operating Assumptions'!$M12*O$25)*'Operating Assumptions'!$D$11)/12,IF('Operating Assumptions'!$L12="$/NSF",(('Operating Assumptions'!$M12*O$25)*'Operating Assumptions'!$D$12)/12))))))))</f>
        <v>0</v>
      </c>
      <c r="P84" s="427">
        <f>-IF(P$9&lt;'Operating Assumptions'!$D$53,0,IF(P$6&gt;'Operating Assumptions'!$AA$8,0,IF('Operating Assumptions'!$L12="N/A",0,IF('Operating Assumptions'!$L12="$/Unit/Annual",(('Operating Assumptions'!$M12*P$25)*P$36)/12,IF('Operating Assumptions'!$L12="$/Unit/Month",('Operating Assumptions'!$M12*P$25)*P$36,IF('Operating Assumptions'!$L12="Fixed Amount",('Operating Assumptions'!$M12*P$25)/12,IF('Operating Assumptions'!$L12="$/GSF",(('Operating Assumptions'!$M12*P$25)*'Operating Assumptions'!$D$11)/12,IF('Operating Assumptions'!$L12="$/NSF",(('Operating Assumptions'!$M12*P$25)*'Operating Assumptions'!$D$12)/12))))))))</f>
        <v>0</v>
      </c>
      <c r="Q84" s="427">
        <f>-IF(Q$9&lt;'Operating Assumptions'!$D$53,0,IF(Q$6&gt;'Operating Assumptions'!$AA$8,0,IF('Operating Assumptions'!$L12="N/A",0,IF('Operating Assumptions'!$L12="$/Unit/Annual",(('Operating Assumptions'!$M12*Q$25)*Q$36)/12,IF('Operating Assumptions'!$L12="$/Unit/Month",('Operating Assumptions'!$M12*Q$25)*Q$36,IF('Operating Assumptions'!$L12="Fixed Amount",('Operating Assumptions'!$M12*Q$25)/12,IF('Operating Assumptions'!$L12="$/GSF",(('Operating Assumptions'!$M12*Q$25)*'Operating Assumptions'!$D$11)/12,IF('Operating Assumptions'!$L12="$/NSF",(('Operating Assumptions'!$M12*Q$25)*'Operating Assumptions'!$D$12)/12))))))))</f>
        <v>0</v>
      </c>
      <c r="R84" s="427">
        <f>-IF(R$9&lt;'Operating Assumptions'!$D$53,0,IF(R$6&gt;'Operating Assumptions'!$AA$8,0,IF('Operating Assumptions'!$L12="N/A",0,IF('Operating Assumptions'!$L12="$/Unit/Annual",(('Operating Assumptions'!$M12*R$25)*R$36)/12,IF('Operating Assumptions'!$L12="$/Unit/Month",('Operating Assumptions'!$M12*R$25)*R$36,IF('Operating Assumptions'!$L12="Fixed Amount",('Operating Assumptions'!$M12*R$25)/12,IF('Operating Assumptions'!$L12="$/GSF",(('Operating Assumptions'!$M12*R$25)*'Operating Assumptions'!$D$11)/12,IF('Operating Assumptions'!$L12="$/NSF",(('Operating Assumptions'!$M12*R$25)*'Operating Assumptions'!$D$12)/12))))))))</f>
        <v>0</v>
      </c>
      <c r="S84" s="427">
        <f>-IF(S$9&lt;'Operating Assumptions'!$D$53,0,IF(S$6&gt;'Operating Assumptions'!$AA$8,0,IF('Operating Assumptions'!$L12="N/A",0,IF('Operating Assumptions'!$L12="$/Unit/Annual",(('Operating Assumptions'!$M12*S$25)*S$36)/12,IF('Operating Assumptions'!$L12="$/Unit/Month",('Operating Assumptions'!$M12*S$25)*S$36,IF('Operating Assumptions'!$L12="Fixed Amount",('Operating Assumptions'!$M12*S$25)/12,IF('Operating Assumptions'!$L12="$/GSF",(('Operating Assumptions'!$M12*S$25)*'Operating Assumptions'!$D$11)/12,IF('Operating Assumptions'!$L12="$/NSF",(('Operating Assumptions'!$M12*S$25)*'Operating Assumptions'!$D$12)/12))))))))</f>
        <v>0</v>
      </c>
      <c r="T84" s="427">
        <f>-IF(T$9&lt;'Operating Assumptions'!$D$53,0,IF(T$6&gt;'Operating Assumptions'!$AA$8,0,IF('Operating Assumptions'!$L12="N/A",0,IF('Operating Assumptions'!$L12="$/Unit/Annual",(('Operating Assumptions'!$M12*T$25)*T$36)/12,IF('Operating Assumptions'!$L12="$/Unit/Month",('Operating Assumptions'!$M12*T$25)*T$36,IF('Operating Assumptions'!$L12="Fixed Amount",('Operating Assumptions'!$M12*T$25)/12,IF('Operating Assumptions'!$L12="$/GSF",(('Operating Assumptions'!$M12*T$25)*'Operating Assumptions'!$D$11)/12,IF('Operating Assumptions'!$L12="$/NSF",(('Operating Assumptions'!$M12*T$25)*'Operating Assumptions'!$D$12)/12))))))))</f>
        <v>0</v>
      </c>
      <c r="U84" s="427">
        <f>-IF(U$9&lt;'Operating Assumptions'!$D$53,0,IF(U$6&gt;'Operating Assumptions'!$AA$8,0,IF('Operating Assumptions'!$L12="N/A",0,IF('Operating Assumptions'!$L12="$/Unit/Annual",(('Operating Assumptions'!$M12*U$25)*U$36)/12,IF('Operating Assumptions'!$L12="$/Unit/Month",('Operating Assumptions'!$M12*U$25)*U$36,IF('Operating Assumptions'!$L12="Fixed Amount",('Operating Assumptions'!$M12*U$25)/12,IF('Operating Assumptions'!$L12="$/GSF",(('Operating Assumptions'!$M12*U$25)*'Operating Assumptions'!$D$11)/12,IF('Operating Assumptions'!$L12="$/NSF",(('Operating Assumptions'!$M12*U$25)*'Operating Assumptions'!$D$12)/12))))))))</f>
        <v>0</v>
      </c>
      <c r="V84" s="427">
        <f>-IF(V$9&lt;'Operating Assumptions'!$D$53,0,IF(V$6&gt;'Operating Assumptions'!$AA$8,0,IF('Operating Assumptions'!$L12="N/A",0,IF('Operating Assumptions'!$L12="$/Unit/Annual",(('Operating Assumptions'!$M12*V$25)*V$36)/12,IF('Operating Assumptions'!$L12="$/Unit/Month",('Operating Assumptions'!$M12*V$25)*V$36,IF('Operating Assumptions'!$L12="Fixed Amount",('Operating Assumptions'!$M12*V$25)/12,IF('Operating Assumptions'!$L12="$/GSF",(('Operating Assumptions'!$M12*V$25)*'Operating Assumptions'!$D$11)/12,IF('Operating Assumptions'!$L12="$/NSF",(('Operating Assumptions'!$M12*V$25)*'Operating Assumptions'!$D$12)/12))))))))</f>
        <v>0</v>
      </c>
      <c r="W84" s="427">
        <f>-IF(W$9&lt;'Operating Assumptions'!$D$53,0,IF(W$6&gt;'Operating Assumptions'!$AA$8,0,IF('Operating Assumptions'!$L12="N/A",0,IF('Operating Assumptions'!$L12="$/Unit/Annual",(('Operating Assumptions'!$M12*W$25)*W$36)/12,IF('Operating Assumptions'!$L12="$/Unit/Month",('Operating Assumptions'!$M12*W$25)*W$36,IF('Operating Assumptions'!$L12="Fixed Amount",('Operating Assumptions'!$M12*W$25)/12,IF('Operating Assumptions'!$L12="$/GSF",(('Operating Assumptions'!$M12*W$25)*'Operating Assumptions'!$D$11)/12,IF('Operating Assumptions'!$L12="$/NSF",(('Operating Assumptions'!$M12*W$25)*'Operating Assumptions'!$D$12)/12))))))))</f>
        <v>0</v>
      </c>
      <c r="X84" s="427">
        <f>-IF(X$9&lt;'Operating Assumptions'!$D$53,0,IF(X$6&gt;'Operating Assumptions'!$AA$8,0,IF('Operating Assumptions'!$L12="N/A",0,IF('Operating Assumptions'!$L12="$/Unit/Annual",(('Operating Assumptions'!$M12*X$25)*X$36)/12,IF('Operating Assumptions'!$L12="$/Unit/Month",('Operating Assumptions'!$M12*X$25)*X$36,IF('Operating Assumptions'!$L12="Fixed Amount",('Operating Assumptions'!$M12*X$25)/12,IF('Operating Assumptions'!$L12="$/GSF",(('Operating Assumptions'!$M12*X$25)*'Operating Assumptions'!$D$11)/12,IF('Operating Assumptions'!$L12="$/NSF",(('Operating Assumptions'!$M12*X$25)*'Operating Assumptions'!$D$12)/12))))))))</f>
        <v>0</v>
      </c>
      <c r="Y84" s="427">
        <f>-IF(Y$9&lt;'Operating Assumptions'!$D$53,0,IF(Y$6&gt;'Operating Assumptions'!$AA$8,0,IF('Operating Assumptions'!$L12="N/A",0,IF('Operating Assumptions'!$L12="$/Unit/Annual",(('Operating Assumptions'!$M12*Y$25)*Y$36)/12,IF('Operating Assumptions'!$L12="$/Unit/Month",('Operating Assumptions'!$M12*Y$25)*Y$36,IF('Operating Assumptions'!$L12="Fixed Amount",('Operating Assumptions'!$M12*Y$25)/12,IF('Operating Assumptions'!$L12="$/GSF",(('Operating Assumptions'!$M12*Y$25)*'Operating Assumptions'!$D$11)/12,IF('Operating Assumptions'!$L12="$/NSF",(('Operating Assumptions'!$M12*Y$25)*'Operating Assumptions'!$D$12)/12))))))))</f>
        <v>-350</v>
      </c>
      <c r="Z84" s="427">
        <f>-IF(Z$9&lt;'Operating Assumptions'!$D$53,0,IF(Z$6&gt;'Operating Assumptions'!$AA$8,0,IF('Operating Assumptions'!$L12="N/A",0,IF('Operating Assumptions'!$L12="$/Unit/Annual",(('Operating Assumptions'!$M12*Z$25)*Z$36)/12,IF('Operating Assumptions'!$L12="$/Unit/Month",('Operating Assumptions'!$M12*Z$25)*Z$36,IF('Operating Assumptions'!$L12="Fixed Amount",('Operating Assumptions'!$M12*Z$25)/12,IF('Operating Assumptions'!$L12="$/GSF",(('Operating Assumptions'!$M12*Z$25)*'Operating Assumptions'!$D$11)/12,IF('Operating Assumptions'!$L12="$/NSF",(('Operating Assumptions'!$M12*Z$25)*'Operating Assumptions'!$D$12)/12))))))))</f>
        <v>-683.33333333333337</v>
      </c>
      <c r="AA84" s="427">
        <f>-IF(AA$9&lt;'Operating Assumptions'!$D$53,0,IF(AA$6&gt;'Operating Assumptions'!$AA$8,0,IF('Operating Assumptions'!$L12="N/A",0,IF('Operating Assumptions'!$L12="$/Unit/Annual",(('Operating Assumptions'!$M12*AA$25)*AA$36)/12,IF('Operating Assumptions'!$L12="$/Unit/Month",('Operating Assumptions'!$M12*AA$25)*AA$36,IF('Operating Assumptions'!$L12="Fixed Amount",('Operating Assumptions'!$M12*AA$25)/12,IF('Operating Assumptions'!$L12="$/GSF",(('Operating Assumptions'!$M12*AA$25)*'Operating Assumptions'!$D$11)/12,IF('Operating Assumptions'!$L12="$/NSF",(('Operating Assumptions'!$M12*AA$25)*'Operating Assumptions'!$D$12)/12))))))))</f>
        <v>-1016.6666666666666</v>
      </c>
      <c r="AB84" s="427">
        <f>-IF(AB$9&lt;'Operating Assumptions'!$D$53,0,IF(AB$6&gt;'Operating Assumptions'!$AA$8,0,IF('Operating Assumptions'!$L12="N/A",0,IF('Operating Assumptions'!$L12="$/Unit/Annual",(('Operating Assumptions'!$M12*AB$25)*AB$36)/12,IF('Operating Assumptions'!$L12="$/Unit/Month",('Operating Assumptions'!$M12*AB$25)*AB$36,IF('Operating Assumptions'!$L12="Fixed Amount",('Operating Assumptions'!$M12*AB$25)/12,IF('Operating Assumptions'!$L12="$/GSF",(('Operating Assumptions'!$M12*AB$25)*'Operating Assumptions'!$D$11)/12,IF('Operating Assumptions'!$L12="$/NSF",(('Operating Assumptions'!$M12*AB$25)*'Operating Assumptions'!$D$12)/12))))))))</f>
        <v>-1350</v>
      </c>
      <c r="AC84" s="427">
        <f>-IF(AC$9&lt;'Operating Assumptions'!$D$53,0,IF(AC$6&gt;'Operating Assumptions'!$AA$8,0,IF('Operating Assumptions'!$L12="N/A",0,IF('Operating Assumptions'!$L12="$/Unit/Annual",(('Operating Assumptions'!$M12*AC$25)*AC$36)/12,IF('Operating Assumptions'!$L12="$/Unit/Month",('Operating Assumptions'!$M12*AC$25)*AC$36,IF('Operating Assumptions'!$L12="Fixed Amount",('Operating Assumptions'!$M12*AC$25)/12,IF('Operating Assumptions'!$L12="$/GSF",(('Operating Assumptions'!$M12*AC$25)*'Operating Assumptions'!$D$11)/12,IF('Operating Assumptions'!$L12="$/NSF",(('Operating Assumptions'!$M12*AC$25)*'Operating Assumptions'!$D$12)/12))))))))</f>
        <v>-1683.3333333333333</v>
      </c>
      <c r="AD84" s="427">
        <f>-IF(AD$9&lt;'Operating Assumptions'!$D$53,0,IF(AD$6&gt;'Operating Assumptions'!$AA$8,0,IF('Operating Assumptions'!$L12="N/A",0,IF('Operating Assumptions'!$L12="$/Unit/Annual",(('Operating Assumptions'!$M12*AD$25)*AD$36)/12,IF('Operating Assumptions'!$L12="$/Unit/Month",('Operating Assumptions'!$M12*AD$25)*AD$36,IF('Operating Assumptions'!$L12="Fixed Amount",('Operating Assumptions'!$M12*AD$25)/12,IF('Operating Assumptions'!$L12="$/GSF",(('Operating Assumptions'!$M12*AD$25)*'Operating Assumptions'!$D$11)/12,IF('Operating Assumptions'!$L12="$/NSF",(('Operating Assumptions'!$M12*AD$25)*'Operating Assumptions'!$D$12)/12))))))))</f>
        <v>-2016.6666666666667</v>
      </c>
      <c r="AE84" s="427">
        <f>-IF(AE$9&lt;'Operating Assumptions'!$D$53,0,IF(AE$6&gt;'Operating Assumptions'!$AA$8,0,IF('Operating Assumptions'!$L12="N/A",0,IF('Operating Assumptions'!$L12="$/Unit/Annual",(('Operating Assumptions'!$M12*AE$25)*AE$36)/12,IF('Operating Assumptions'!$L12="$/Unit/Month",('Operating Assumptions'!$M12*AE$25)*AE$36,IF('Operating Assumptions'!$L12="Fixed Amount",('Operating Assumptions'!$M12*AE$25)/12,IF('Operating Assumptions'!$L12="$/GSF",(('Operating Assumptions'!$M12*AE$25)*'Operating Assumptions'!$D$11)/12,IF('Operating Assumptions'!$L12="$/NSF",(('Operating Assumptions'!$M12*AE$25)*'Operating Assumptions'!$D$12)/12))))))))</f>
        <v>-2083.3333333333335</v>
      </c>
      <c r="AF84" s="427">
        <f>-IF(AF$9&lt;'Operating Assumptions'!$D$53,0,IF(AF$6&gt;'Operating Assumptions'!$AA$8,0,IF('Operating Assumptions'!$L12="N/A",0,IF('Operating Assumptions'!$L12="$/Unit/Annual",(('Operating Assumptions'!$M12*AF$25)*AF$36)/12,IF('Operating Assumptions'!$L12="$/Unit/Month",('Operating Assumptions'!$M12*AF$25)*AF$36,IF('Operating Assumptions'!$L12="Fixed Amount",('Operating Assumptions'!$M12*AF$25)/12,IF('Operating Assumptions'!$L12="$/GSF",(('Operating Assumptions'!$M12*AF$25)*'Operating Assumptions'!$D$11)/12,IF('Operating Assumptions'!$L12="$/NSF",(('Operating Assumptions'!$M12*AF$25)*'Operating Assumptions'!$D$12)/12))))))))</f>
        <v>-2104.1666666666665</v>
      </c>
      <c r="AG84" s="427">
        <f>-IF(AG$9&lt;'Operating Assumptions'!$D$53,0,IF(AG$6&gt;'Operating Assumptions'!$AA$8,0,IF('Operating Assumptions'!$L12="N/A",0,IF('Operating Assumptions'!$L12="$/Unit/Annual",(('Operating Assumptions'!$M12*AG$25)*AG$36)/12,IF('Operating Assumptions'!$L12="$/Unit/Month",('Operating Assumptions'!$M12*AG$25)*AG$36,IF('Operating Assumptions'!$L12="Fixed Amount",('Operating Assumptions'!$M12*AG$25)/12,IF('Operating Assumptions'!$L12="$/GSF",(('Operating Assumptions'!$M12*AG$25)*'Operating Assumptions'!$D$11)/12,IF('Operating Assumptions'!$L12="$/NSF",(('Operating Assumptions'!$M12*AG$25)*'Operating Assumptions'!$D$12)/12))))))))</f>
        <v>-2104.1666666666665</v>
      </c>
      <c r="AH84" s="427">
        <f>-IF(AH$9&lt;'Operating Assumptions'!$D$53,0,IF(AH$6&gt;'Operating Assumptions'!$AA$8,0,IF('Operating Assumptions'!$L12="N/A",0,IF('Operating Assumptions'!$L12="$/Unit/Annual",(('Operating Assumptions'!$M12*AH$25)*AH$36)/12,IF('Operating Assumptions'!$L12="$/Unit/Month",('Operating Assumptions'!$M12*AH$25)*AH$36,IF('Operating Assumptions'!$L12="Fixed Amount",('Operating Assumptions'!$M12*AH$25)/12,IF('Operating Assumptions'!$L12="$/GSF",(('Operating Assumptions'!$M12*AH$25)*'Operating Assumptions'!$D$11)/12,IF('Operating Assumptions'!$L12="$/NSF",(('Operating Assumptions'!$M12*AH$25)*'Operating Assumptions'!$D$12)/12))))))))</f>
        <v>-2440.8333333333335</v>
      </c>
      <c r="AI84" s="427">
        <f>-IF(AI$9&lt;'Operating Assumptions'!$D$53,0,IF(AI$6&gt;'Operating Assumptions'!$AA$8,0,IF('Operating Assumptions'!$L12="N/A",0,IF('Operating Assumptions'!$L12="$/Unit/Annual",(('Operating Assumptions'!$M12*AI$25)*AI$36)/12,IF('Operating Assumptions'!$L12="$/Unit/Month",('Operating Assumptions'!$M12*AI$25)*AI$36,IF('Operating Assumptions'!$L12="Fixed Amount",('Operating Assumptions'!$M12*AI$25)/12,IF('Operating Assumptions'!$L12="$/GSF",(('Operating Assumptions'!$M12*AI$25)*'Operating Assumptions'!$D$11)/12,IF('Operating Assumptions'!$L12="$/NSF",(('Operating Assumptions'!$M12*AI$25)*'Operating Assumptions'!$D$12)/12))))))))</f>
        <v>-2777.5</v>
      </c>
      <c r="AJ84" s="427">
        <f>-IF(AJ$9&lt;'Operating Assumptions'!$D$53,0,IF(AJ$6&gt;'Operating Assumptions'!$AA$8,0,IF('Operating Assumptions'!$L12="N/A",0,IF('Operating Assumptions'!$L12="$/Unit/Annual",(('Operating Assumptions'!$M12*AJ$25)*AJ$36)/12,IF('Operating Assumptions'!$L12="$/Unit/Month",('Operating Assumptions'!$M12*AJ$25)*AJ$36,IF('Operating Assumptions'!$L12="Fixed Amount",('Operating Assumptions'!$M12*AJ$25)/12,IF('Operating Assumptions'!$L12="$/GSF",(('Operating Assumptions'!$M12*AJ$25)*'Operating Assumptions'!$D$11)/12,IF('Operating Assumptions'!$L12="$/NSF",(('Operating Assumptions'!$M12*AJ$25)*'Operating Assumptions'!$D$12)/12))))))))</f>
        <v>-3114.1666666666665</v>
      </c>
      <c r="AK84" s="427">
        <f>-IF(AK$9&lt;'Operating Assumptions'!$D$53,0,IF(AK$6&gt;'Operating Assumptions'!$AA$8,0,IF('Operating Assumptions'!$L12="N/A",0,IF('Operating Assumptions'!$L12="$/Unit/Annual",(('Operating Assumptions'!$M12*AK$25)*AK$36)/12,IF('Operating Assumptions'!$L12="$/Unit/Month",('Operating Assumptions'!$M12*AK$25)*AK$36,IF('Operating Assumptions'!$L12="Fixed Amount",('Operating Assumptions'!$M12*AK$25)/12,IF('Operating Assumptions'!$L12="$/GSF",(('Operating Assumptions'!$M12*AK$25)*'Operating Assumptions'!$D$11)/12,IF('Operating Assumptions'!$L12="$/NSF",(('Operating Assumptions'!$M12*AK$25)*'Operating Assumptions'!$D$12)/12))))))))</f>
        <v>-3450.8333333333335</v>
      </c>
      <c r="AL84" s="427">
        <f>-IF(AL$9&lt;'Operating Assumptions'!$D$53,0,IF(AL$6&gt;'Operating Assumptions'!$AA$8,0,IF('Operating Assumptions'!$L12="N/A",0,IF('Operating Assumptions'!$L12="$/Unit/Annual",(('Operating Assumptions'!$M12*AL$25)*AL$36)/12,IF('Operating Assumptions'!$L12="$/Unit/Month",('Operating Assumptions'!$M12*AL$25)*AL$36,IF('Operating Assumptions'!$L12="Fixed Amount",('Operating Assumptions'!$M12*AL$25)/12,IF('Operating Assumptions'!$L12="$/GSF",(('Operating Assumptions'!$M12*AL$25)*'Operating Assumptions'!$D$11)/12,IF('Operating Assumptions'!$L12="$/NSF",(('Operating Assumptions'!$M12*AL$25)*'Operating Assumptions'!$D$12)/12))))))))</f>
        <v>-3787.5</v>
      </c>
      <c r="AM84" s="427">
        <f>-IF(AM$9&lt;'Operating Assumptions'!$D$53,0,IF(AM$6&gt;'Operating Assumptions'!$AA$8,0,IF('Operating Assumptions'!$L12="N/A",0,IF('Operating Assumptions'!$L12="$/Unit/Annual",(('Operating Assumptions'!$M12*AM$25)*AM$36)/12,IF('Operating Assumptions'!$L12="$/Unit/Month",('Operating Assumptions'!$M12*AM$25)*AM$36,IF('Operating Assumptions'!$L12="Fixed Amount",('Operating Assumptions'!$M12*AM$25)/12,IF('Operating Assumptions'!$L12="$/GSF",(('Operating Assumptions'!$M12*AM$25)*'Operating Assumptions'!$D$11)/12,IF('Operating Assumptions'!$L12="$/NSF",(('Operating Assumptions'!$M12*AM$25)*'Operating Assumptions'!$D$12)/12))))))))</f>
        <v>-4040</v>
      </c>
      <c r="AN84" s="427">
        <f>-IF(AN$9&lt;'Operating Assumptions'!$D$53,0,IF(AN$6&gt;'Operating Assumptions'!$AA$8,0,IF('Operating Assumptions'!$L12="N/A",0,IF('Operating Assumptions'!$L12="$/Unit/Annual",(('Operating Assumptions'!$M12*AN$25)*AN$36)/12,IF('Operating Assumptions'!$L12="$/Unit/Month",('Operating Assumptions'!$M12*AN$25)*AN$36,IF('Operating Assumptions'!$L12="Fixed Amount",('Operating Assumptions'!$M12*AN$25)/12,IF('Operating Assumptions'!$L12="$/GSF",(('Operating Assumptions'!$M12*AN$25)*'Operating Assumptions'!$D$11)/12,IF('Operating Assumptions'!$L12="$/NSF",(('Operating Assumptions'!$M12*AN$25)*'Operating Assumptions'!$D$12)/12))))))))</f>
        <v>-4040</v>
      </c>
      <c r="AO84" s="427">
        <f>-IF(AO$9&lt;'Operating Assumptions'!$D$53,0,IF(AO$6&gt;'Operating Assumptions'!$AA$8,0,IF('Operating Assumptions'!$L12="N/A",0,IF('Operating Assumptions'!$L12="$/Unit/Annual",(('Operating Assumptions'!$M12*AO$25)*AO$36)/12,IF('Operating Assumptions'!$L12="$/Unit/Month",('Operating Assumptions'!$M12*AO$25)*AO$36,IF('Operating Assumptions'!$L12="Fixed Amount",('Operating Assumptions'!$M12*AO$25)/12,IF('Operating Assumptions'!$L12="$/GSF",(('Operating Assumptions'!$M12*AO$25)*'Operating Assumptions'!$D$11)/12,IF('Operating Assumptions'!$L12="$/NSF",(('Operating Assumptions'!$M12*AO$25)*'Operating Assumptions'!$D$12)/12))))))))</f>
        <v>-4040</v>
      </c>
      <c r="AP84" s="427">
        <f>-IF(AP$9&lt;'Operating Assumptions'!$D$53,0,IF(AP$6&gt;'Operating Assumptions'!$AA$8,0,IF('Operating Assumptions'!$L12="N/A",0,IF('Operating Assumptions'!$L12="$/Unit/Annual",(('Operating Assumptions'!$M12*AP$25)*AP$36)/12,IF('Operating Assumptions'!$L12="$/Unit/Month",('Operating Assumptions'!$M12*AP$25)*AP$36,IF('Operating Assumptions'!$L12="Fixed Amount",('Operating Assumptions'!$M12*AP$25)/12,IF('Operating Assumptions'!$L12="$/GSF",(('Operating Assumptions'!$M12*AP$25)*'Operating Assumptions'!$D$11)/12,IF('Operating Assumptions'!$L12="$/NSF",(('Operating Assumptions'!$M12*AP$25)*'Operating Assumptions'!$D$12)/12))))))))</f>
        <v>-4040</v>
      </c>
      <c r="AQ84" s="427">
        <f>-IF(AQ$9&lt;'Operating Assumptions'!$D$53,0,IF(AQ$6&gt;'Operating Assumptions'!$AA$8,0,IF('Operating Assumptions'!$L12="N/A",0,IF('Operating Assumptions'!$L12="$/Unit/Annual",(('Operating Assumptions'!$M12*AQ$25)*AQ$36)/12,IF('Operating Assumptions'!$L12="$/Unit/Month",('Operating Assumptions'!$M12*AQ$25)*AQ$36,IF('Operating Assumptions'!$L12="Fixed Amount",('Operating Assumptions'!$M12*AQ$25)/12,IF('Operating Assumptions'!$L12="$/GSF",(('Operating Assumptions'!$M12*AQ$25)*'Operating Assumptions'!$D$11)/12,IF('Operating Assumptions'!$L12="$/NSF",(('Operating Assumptions'!$M12*AQ$25)*'Operating Assumptions'!$D$12)/12))))))))</f>
        <v>-4040</v>
      </c>
      <c r="AR84" s="427">
        <f>-IF(AR$9&lt;'Operating Assumptions'!$D$53,0,IF(AR$6&gt;'Operating Assumptions'!$AA$8,0,IF('Operating Assumptions'!$L12="N/A",0,IF('Operating Assumptions'!$L12="$/Unit/Annual",(('Operating Assumptions'!$M12*AR$25)*AR$36)/12,IF('Operating Assumptions'!$L12="$/Unit/Month",('Operating Assumptions'!$M12*AR$25)*AR$36,IF('Operating Assumptions'!$L12="Fixed Amount",('Operating Assumptions'!$M12*AR$25)/12,IF('Operating Assumptions'!$L12="$/GSF",(('Operating Assumptions'!$M12*AR$25)*'Operating Assumptions'!$D$11)/12,IF('Operating Assumptions'!$L12="$/NSF",(('Operating Assumptions'!$M12*AR$25)*'Operating Assumptions'!$D$12)/12))))))))</f>
        <v>-4080</v>
      </c>
      <c r="AS84" s="427">
        <f>-IF(AS$9&lt;'Operating Assumptions'!$D$53,0,IF(AS$6&gt;'Operating Assumptions'!$AA$8,0,IF('Operating Assumptions'!$L12="N/A",0,IF('Operating Assumptions'!$L12="$/Unit/Annual",(('Operating Assumptions'!$M12*AS$25)*AS$36)/12,IF('Operating Assumptions'!$L12="$/Unit/Month",('Operating Assumptions'!$M12*AS$25)*AS$36,IF('Operating Assumptions'!$L12="Fixed Amount",('Operating Assumptions'!$M12*AS$25)/12,IF('Operating Assumptions'!$L12="$/GSF",(('Operating Assumptions'!$M12*AS$25)*'Operating Assumptions'!$D$11)/12,IF('Operating Assumptions'!$L12="$/NSF",(('Operating Assumptions'!$M12*AS$25)*'Operating Assumptions'!$D$12)/12))))))))</f>
        <v>-4080</v>
      </c>
      <c r="AT84" s="427">
        <f>-IF(AT$9&lt;'Operating Assumptions'!$D$53,0,IF(AT$6&gt;'Operating Assumptions'!$AA$8,0,IF('Operating Assumptions'!$L12="N/A",0,IF('Operating Assumptions'!$L12="$/Unit/Annual",(('Operating Assumptions'!$M12*AT$25)*AT$36)/12,IF('Operating Assumptions'!$L12="$/Unit/Month",('Operating Assumptions'!$M12*AT$25)*AT$36,IF('Operating Assumptions'!$L12="Fixed Amount",('Operating Assumptions'!$M12*AT$25)/12,IF('Operating Assumptions'!$L12="$/GSF",(('Operating Assumptions'!$M12*AT$25)*'Operating Assumptions'!$D$11)/12,IF('Operating Assumptions'!$L12="$/NSF",(('Operating Assumptions'!$M12*AT$25)*'Operating Assumptions'!$D$12)/12))))))))</f>
        <v>-4080</v>
      </c>
      <c r="AU84" s="427">
        <f>-IF(AU$9&lt;'Operating Assumptions'!$D$53,0,IF(AU$6&gt;'Operating Assumptions'!$AA$8,0,IF('Operating Assumptions'!$L12="N/A",0,IF('Operating Assumptions'!$L12="$/Unit/Annual",(('Operating Assumptions'!$M12*AU$25)*AU$36)/12,IF('Operating Assumptions'!$L12="$/Unit/Month",('Operating Assumptions'!$M12*AU$25)*AU$36,IF('Operating Assumptions'!$L12="Fixed Amount",('Operating Assumptions'!$M12*AU$25)/12,IF('Operating Assumptions'!$L12="$/GSF",(('Operating Assumptions'!$M12*AU$25)*'Operating Assumptions'!$D$11)/12,IF('Operating Assumptions'!$L12="$/NSF",(('Operating Assumptions'!$M12*AU$25)*'Operating Assumptions'!$D$12)/12))))))))</f>
        <v>-4080</v>
      </c>
      <c r="AV84" s="427">
        <f>-IF(AV$9&lt;'Operating Assumptions'!$D$53,0,IF(AV$6&gt;'Operating Assumptions'!$AA$8,0,IF('Operating Assumptions'!$L12="N/A",0,IF('Operating Assumptions'!$L12="$/Unit/Annual",(('Operating Assumptions'!$M12*AV$25)*AV$36)/12,IF('Operating Assumptions'!$L12="$/Unit/Month",('Operating Assumptions'!$M12*AV$25)*AV$36,IF('Operating Assumptions'!$L12="Fixed Amount",('Operating Assumptions'!$M12*AV$25)/12,IF('Operating Assumptions'!$L12="$/GSF",(('Operating Assumptions'!$M12*AV$25)*'Operating Assumptions'!$D$11)/12,IF('Operating Assumptions'!$L12="$/NSF",(('Operating Assumptions'!$M12*AV$25)*'Operating Assumptions'!$D$12)/12))))))))</f>
        <v>-4080</v>
      </c>
      <c r="AW84" s="427">
        <f>-IF(AW$9&lt;'Operating Assumptions'!$D$53,0,IF(AW$6&gt;'Operating Assumptions'!$AA$8,0,IF('Operating Assumptions'!$L12="N/A",0,IF('Operating Assumptions'!$L12="$/Unit/Annual",(('Operating Assumptions'!$M12*AW$25)*AW$36)/12,IF('Operating Assumptions'!$L12="$/Unit/Month",('Operating Assumptions'!$M12*AW$25)*AW$36,IF('Operating Assumptions'!$L12="Fixed Amount",('Operating Assumptions'!$M12*AW$25)/12,IF('Operating Assumptions'!$L12="$/GSF",(('Operating Assumptions'!$M12*AW$25)*'Operating Assumptions'!$D$11)/12,IF('Operating Assumptions'!$L12="$/NSF",(('Operating Assumptions'!$M12*AW$25)*'Operating Assumptions'!$D$12)/12))))))))</f>
        <v>-4080</v>
      </c>
      <c r="AX84" s="427">
        <f>-IF(AX$9&lt;'Operating Assumptions'!$D$53,0,IF(AX$6&gt;'Operating Assumptions'!$AA$8,0,IF('Operating Assumptions'!$L12="N/A",0,IF('Operating Assumptions'!$L12="$/Unit/Annual",(('Operating Assumptions'!$M12*AX$25)*AX$36)/12,IF('Operating Assumptions'!$L12="$/Unit/Month",('Operating Assumptions'!$M12*AX$25)*AX$36,IF('Operating Assumptions'!$L12="Fixed Amount",('Operating Assumptions'!$M12*AX$25)/12,IF('Operating Assumptions'!$L12="$/GSF",(('Operating Assumptions'!$M12*AX$25)*'Operating Assumptions'!$D$11)/12,IF('Operating Assumptions'!$L12="$/NSF",(('Operating Assumptions'!$M12*AX$25)*'Operating Assumptions'!$D$12)/12))))))))</f>
        <v>-4080</v>
      </c>
      <c r="AY84" s="427">
        <f>-IF(AY$9&lt;'Operating Assumptions'!$D$53,0,IF(AY$6&gt;'Operating Assumptions'!$AA$8,0,IF('Operating Assumptions'!$L12="N/A",0,IF('Operating Assumptions'!$L12="$/Unit/Annual",(('Operating Assumptions'!$M12*AY$25)*AY$36)/12,IF('Operating Assumptions'!$L12="$/Unit/Month",('Operating Assumptions'!$M12*AY$25)*AY$36,IF('Operating Assumptions'!$L12="Fixed Amount",('Operating Assumptions'!$M12*AY$25)/12,IF('Operating Assumptions'!$L12="$/GSF",(('Operating Assumptions'!$M12*AY$25)*'Operating Assumptions'!$D$11)/12,IF('Operating Assumptions'!$L12="$/NSF",(('Operating Assumptions'!$M12*AY$25)*'Operating Assumptions'!$D$12)/12))))))))</f>
        <v>-4080</v>
      </c>
      <c r="AZ84" s="427">
        <f>-IF(AZ$9&lt;'Operating Assumptions'!$D$53,0,IF(AZ$6&gt;'Operating Assumptions'!$AA$8,0,IF('Operating Assumptions'!$L12="N/A",0,IF('Operating Assumptions'!$L12="$/Unit/Annual",(('Operating Assumptions'!$M12*AZ$25)*AZ$36)/12,IF('Operating Assumptions'!$L12="$/Unit/Month",('Operating Assumptions'!$M12*AZ$25)*AZ$36,IF('Operating Assumptions'!$L12="Fixed Amount",('Operating Assumptions'!$M12*AZ$25)/12,IF('Operating Assumptions'!$L12="$/GSF",(('Operating Assumptions'!$M12*AZ$25)*'Operating Assumptions'!$D$11)/12,IF('Operating Assumptions'!$L12="$/NSF",(('Operating Assumptions'!$M12*AZ$25)*'Operating Assumptions'!$D$12)/12))))))))</f>
        <v>-4080</v>
      </c>
      <c r="BA84" s="427">
        <f>-IF(BA$9&lt;'Operating Assumptions'!$D$53,0,IF(BA$6&gt;'Operating Assumptions'!$AA$8,0,IF('Operating Assumptions'!$L12="N/A",0,IF('Operating Assumptions'!$L12="$/Unit/Annual",(('Operating Assumptions'!$M12*BA$25)*BA$36)/12,IF('Operating Assumptions'!$L12="$/Unit/Month",('Operating Assumptions'!$M12*BA$25)*BA$36,IF('Operating Assumptions'!$L12="Fixed Amount",('Operating Assumptions'!$M12*BA$25)/12,IF('Operating Assumptions'!$L12="$/GSF",(('Operating Assumptions'!$M12*BA$25)*'Operating Assumptions'!$D$11)/12,IF('Operating Assumptions'!$L12="$/NSF",(('Operating Assumptions'!$M12*BA$25)*'Operating Assumptions'!$D$12)/12))))))))</f>
        <v>-4080</v>
      </c>
      <c r="BB84" s="427">
        <f>-IF(BB$9&lt;'Operating Assumptions'!$D$53,0,IF(BB$6&gt;'Operating Assumptions'!$AA$8,0,IF('Operating Assumptions'!$L12="N/A",0,IF('Operating Assumptions'!$L12="$/Unit/Annual",(('Operating Assumptions'!$M12*BB$25)*BB$36)/12,IF('Operating Assumptions'!$L12="$/Unit/Month",('Operating Assumptions'!$M12*BB$25)*BB$36,IF('Operating Assumptions'!$L12="Fixed Amount",('Operating Assumptions'!$M12*BB$25)/12,IF('Operating Assumptions'!$L12="$/GSF",(('Operating Assumptions'!$M12*BB$25)*'Operating Assumptions'!$D$11)/12,IF('Operating Assumptions'!$L12="$/NSF",(('Operating Assumptions'!$M12*BB$25)*'Operating Assumptions'!$D$12)/12))))))))</f>
        <v>-4080</v>
      </c>
      <c r="BC84" s="427">
        <f>-IF(BC$9&lt;'Operating Assumptions'!$D$53,0,IF(BC$6&gt;'Operating Assumptions'!$AA$8,0,IF('Operating Assumptions'!$L12="N/A",0,IF('Operating Assumptions'!$L12="$/Unit/Annual",(('Operating Assumptions'!$M12*BC$25)*BC$36)/12,IF('Operating Assumptions'!$L12="$/Unit/Month",('Operating Assumptions'!$M12*BC$25)*BC$36,IF('Operating Assumptions'!$L12="Fixed Amount",('Operating Assumptions'!$M12*BC$25)/12,IF('Operating Assumptions'!$L12="$/GSF",(('Operating Assumptions'!$M12*BC$25)*'Operating Assumptions'!$D$11)/12,IF('Operating Assumptions'!$L12="$/NSF",(('Operating Assumptions'!$M12*BC$25)*'Operating Assumptions'!$D$12)/12))))))))</f>
        <v>-4080</v>
      </c>
      <c r="BD84" s="427">
        <f>-IF(BD$9&lt;'Operating Assumptions'!$D$53,0,IF(BD$6&gt;'Operating Assumptions'!$AA$8,0,IF('Operating Assumptions'!$L12="N/A",0,IF('Operating Assumptions'!$L12="$/Unit/Annual",(('Operating Assumptions'!$M12*BD$25)*BD$36)/12,IF('Operating Assumptions'!$L12="$/Unit/Month",('Operating Assumptions'!$M12*BD$25)*BD$36,IF('Operating Assumptions'!$L12="Fixed Amount",('Operating Assumptions'!$M12*BD$25)/12,IF('Operating Assumptions'!$L12="$/GSF",(('Operating Assumptions'!$M12*BD$25)*'Operating Assumptions'!$D$11)/12,IF('Operating Assumptions'!$L12="$/NSF",(('Operating Assumptions'!$M12*BD$25)*'Operating Assumptions'!$D$12)/12))))))))</f>
        <v>-4120</v>
      </c>
      <c r="BE84" s="427">
        <f>-IF(BE$9&lt;'Operating Assumptions'!$D$53,0,IF(BE$6&gt;'Operating Assumptions'!$AA$8,0,IF('Operating Assumptions'!$L12="N/A",0,IF('Operating Assumptions'!$L12="$/Unit/Annual",(('Operating Assumptions'!$M12*BE$25)*BE$36)/12,IF('Operating Assumptions'!$L12="$/Unit/Month",('Operating Assumptions'!$M12*BE$25)*BE$36,IF('Operating Assumptions'!$L12="Fixed Amount",('Operating Assumptions'!$M12*BE$25)/12,IF('Operating Assumptions'!$L12="$/GSF",(('Operating Assumptions'!$M12*BE$25)*'Operating Assumptions'!$D$11)/12,IF('Operating Assumptions'!$L12="$/NSF",(('Operating Assumptions'!$M12*BE$25)*'Operating Assumptions'!$D$12)/12))))))))</f>
        <v>-4120</v>
      </c>
      <c r="BF84" s="427">
        <f>-IF(BF$9&lt;'Operating Assumptions'!$D$53,0,IF(BF$6&gt;'Operating Assumptions'!$AA$8,0,IF('Operating Assumptions'!$L12="N/A",0,IF('Operating Assumptions'!$L12="$/Unit/Annual",(('Operating Assumptions'!$M12*BF$25)*BF$36)/12,IF('Operating Assumptions'!$L12="$/Unit/Month",('Operating Assumptions'!$M12*BF$25)*BF$36,IF('Operating Assumptions'!$L12="Fixed Amount",('Operating Assumptions'!$M12*BF$25)/12,IF('Operating Assumptions'!$L12="$/GSF",(('Operating Assumptions'!$M12*BF$25)*'Operating Assumptions'!$D$11)/12,IF('Operating Assumptions'!$L12="$/NSF",(('Operating Assumptions'!$M12*BF$25)*'Operating Assumptions'!$D$12)/12))))))))</f>
        <v>-4120</v>
      </c>
      <c r="BG84" s="427">
        <f>-IF(BG$9&lt;'Operating Assumptions'!$D$53,0,IF(BG$6&gt;'Operating Assumptions'!$AA$8,0,IF('Operating Assumptions'!$L12="N/A",0,IF('Operating Assumptions'!$L12="$/Unit/Annual",(('Operating Assumptions'!$M12*BG$25)*BG$36)/12,IF('Operating Assumptions'!$L12="$/Unit/Month",('Operating Assumptions'!$M12*BG$25)*BG$36,IF('Operating Assumptions'!$L12="Fixed Amount",('Operating Assumptions'!$M12*BG$25)/12,IF('Operating Assumptions'!$L12="$/GSF",(('Operating Assumptions'!$M12*BG$25)*'Operating Assumptions'!$D$11)/12,IF('Operating Assumptions'!$L12="$/NSF",(('Operating Assumptions'!$M12*BG$25)*'Operating Assumptions'!$D$12)/12))))))))</f>
        <v>-4120</v>
      </c>
      <c r="BH84" s="427">
        <f>-IF(BH$9&lt;'Operating Assumptions'!$D$53,0,IF(BH$6&gt;'Operating Assumptions'!$AA$8,0,IF('Operating Assumptions'!$L12="N/A",0,IF('Operating Assumptions'!$L12="$/Unit/Annual",(('Operating Assumptions'!$M12*BH$25)*BH$36)/12,IF('Operating Assumptions'!$L12="$/Unit/Month",('Operating Assumptions'!$M12*BH$25)*BH$36,IF('Operating Assumptions'!$L12="Fixed Amount",('Operating Assumptions'!$M12*BH$25)/12,IF('Operating Assumptions'!$L12="$/GSF",(('Operating Assumptions'!$M12*BH$25)*'Operating Assumptions'!$D$11)/12,IF('Operating Assumptions'!$L12="$/NSF",(('Operating Assumptions'!$M12*BH$25)*'Operating Assumptions'!$D$12)/12))))))))</f>
        <v>-4120</v>
      </c>
      <c r="BI84" s="427">
        <f>-IF(BI$9&lt;'Operating Assumptions'!$D$53,0,IF(BI$6&gt;'Operating Assumptions'!$AA$8,0,IF('Operating Assumptions'!$L12="N/A",0,IF('Operating Assumptions'!$L12="$/Unit/Annual",(('Operating Assumptions'!$M12*BI$25)*BI$36)/12,IF('Operating Assumptions'!$L12="$/Unit/Month",('Operating Assumptions'!$M12*BI$25)*BI$36,IF('Operating Assumptions'!$L12="Fixed Amount",('Operating Assumptions'!$M12*BI$25)/12,IF('Operating Assumptions'!$L12="$/GSF",(('Operating Assumptions'!$M12*BI$25)*'Operating Assumptions'!$D$11)/12,IF('Operating Assumptions'!$L12="$/NSF",(('Operating Assumptions'!$M12*BI$25)*'Operating Assumptions'!$D$12)/12))))))))</f>
        <v>-4120</v>
      </c>
      <c r="BJ84" s="427">
        <f>-IF(BJ$9&lt;'Operating Assumptions'!$D$53,0,IF(BJ$6&gt;'Operating Assumptions'!$AA$8,0,IF('Operating Assumptions'!$L12="N/A",0,IF('Operating Assumptions'!$L12="$/Unit/Annual",(('Operating Assumptions'!$M12*BJ$25)*BJ$36)/12,IF('Operating Assumptions'!$L12="$/Unit/Month",('Operating Assumptions'!$M12*BJ$25)*BJ$36,IF('Operating Assumptions'!$L12="Fixed Amount",('Operating Assumptions'!$M12*BJ$25)/12,IF('Operating Assumptions'!$L12="$/GSF",(('Operating Assumptions'!$M12*BJ$25)*'Operating Assumptions'!$D$11)/12,IF('Operating Assumptions'!$L12="$/NSF",(('Operating Assumptions'!$M12*BJ$25)*'Operating Assumptions'!$D$12)/12))))))))</f>
        <v>-4120</v>
      </c>
      <c r="BK84" s="427">
        <f>-IF(BK$9&lt;'Operating Assumptions'!$D$53,0,IF(BK$6&gt;'Operating Assumptions'!$AA$8,0,IF('Operating Assumptions'!$L12="N/A",0,IF('Operating Assumptions'!$L12="$/Unit/Annual",(('Operating Assumptions'!$M12*BK$25)*BK$36)/12,IF('Operating Assumptions'!$L12="$/Unit/Month",('Operating Assumptions'!$M12*BK$25)*BK$36,IF('Operating Assumptions'!$L12="Fixed Amount",('Operating Assumptions'!$M12*BK$25)/12,IF('Operating Assumptions'!$L12="$/GSF",(('Operating Assumptions'!$M12*BK$25)*'Operating Assumptions'!$D$11)/12,IF('Operating Assumptions'!$L12="$/NSF",(('Operating Assumptions'!$M12*BK$25)*'Operating Assumptions'!$D$12)/12))))))))</f>
        <v>-4120</v>
      </c>
      <c r="BL84" s="427">
        <f>-IF(BL$9&lt;'Operating Assumptions'!$D$53,0,IF(BL$6&gt;'Operating Assumptions'!$AA$8,0,IF('Operating Assumptions'!$L12="N/A",0,IF('Operating Assumptions'!$L12="$/Unit/Annual",(('Operating Assumptions'!$M12*BL$25)*BL$36)/12,IF('Operating Assumptions'!$L12="$/Unit/Month",('Operating Assumptions'!$M12*BL$25)*BL$36,IF('Operating Assumptions'!$L12="Fixed Amount",('Operating Assumptions'!$M12*BL$25)/12,IF('Operating Assumptions'!$L12="$/GSF",(('Operating Assumptions'!$M12*BL$25)*'Operating Assumptions'!$D$11)/12,IF('Operating Assumptions'!$L12="$/NSF",(('Operating Assumptions'!$M12*BL$25)*'Operating Assumptions'!$D$12)/12))))))))</f>
        <v>-4120</v>
      </c>
      <c r="BM84" s="427">
        <f>-IF(BM$9&lt;'Operating Assumptions'!$D$53,0,IF(BM$6&gt;'Operating Assumptions'!$AA$8,0,IF('Operating Assumptions'!$L12="N/A",0,IF('Operating Assumptions'!$L12="$/Unit/Annual",(('Operating Assumptions'!$M12*BM$25)*BM$36)/12,IF('Operating Assumptions'!$L12="$/Unit/Month",('Operating Assumptions'!$M12*BM$25)*BM$36,IF('Operating Assumptions'!$L12="Fixed Amount",('Operating Assumptions'!$M12*BM$25)/12,IF('Operating Assumptions'!$L12="$/GSF",(('Operating Assumptions'!$M12*BM$25)*'Operating Assumptions'!$D$11)/12,IF('Operating Assumptions'!$L12="$/NSF",(('Operating Assumptions'!$M12*BM$25)*'Operating Assumptions'!$D$12)/12))))))))</f>
        <v>-4120</v>
      </c>
      <c r="BN84" s="427">
        <f>-IF(BN$9&lt;'Operating Assumptions'!$D$53,0,IF(BN$6&gt;'Operating Assumptions'!$AA$8,0,IF('Operating Assumptions'!$L12="N/A",0,IF('Operating Assumptions'!$L12="$/Unit/Annual",(('Operating Assumptions'!$M12*BN$25)*BN$36)/12,IF('Operating Assumptions'!$L12="$/Unit/Month",('Operating Assumptions'!$M12*BN$25)*BN$36,IF('Operating Assumptions'!$L12="Fixed Amount",('Operating Assumptions'!$M12*BN$25)/12,IF('Operating Assumptions'!$L12="$/GSF",(('Operating Assumptions'!$M12*BN$25)*'Operating Assumptions'!$D$11)/12,IF('Operating Assumptions'!$L12="$/NSF",(('Operating Assumptions'!$M12*BN$25)*'Operating Assumptions'!$D$12)/12))))))))</f>
        <v>-4120</v>
      </c>
      <c r="BO84" s="427">
        <f>-IF(BO$9&lt;'Operating Assumptions'!$D$53,0,IF(BO$6&gt;'Operating Assumptions'!$AA$8,0,IF('Operating Assumptions'!$L12="N/A",0,IF('Operating Assumptions'!$L12="$/Unit/Annual",(('Operating Assumptions'!$M12*BO$25)*BO$36)/12,IF('Operating Assumptions'!$L12="$/Unit/Month",('Operating Assumptions'!$M12*BO$25)*BO$36,IF('Operating Assumptions'!$L12="Fixed Amount",('Operating Assumptions'!$M12*BO$25)/12,IF('Operating Assumptions'!$L12="$/GSF",(('Operating Assumptions'!$M12*BO$25)*'Operating Assumptions'!$D$11)/12,IF('Operating Assumptions'!$L12="$/NSF",(('Operating Assumptions'!$M12*BO$25)*'Operating Assumptions'!$D$12)/12))))))))</f>
        <v>-4120</v>
      </c>
      <c r="BP84" s="427">
        <f>-IF(BP$9&lt;'Operating Assumptions'!$D$53,0,IF(BP$6&gt;'Operating Assumptions'!$AA$8,0,IF('Operating Assumptions'!$L12="N/A",0,IF('Operating Assumptions'!$L12="$/Unit/Annual",(('Operating Assumptions'!$M12*BP$25)*BP$36)/12,IF('Operating Assumptions'!$L12="$/Unit/Month",('Operating Assumptions'!$M12*BP$25)*BP$36,IF('Operating Assumptions'!$L12="Fixed Amount",('Operating Assumptions'!$M12*BP$25)/12,IF('Operating Assumptions'!$L12="$/GSF",(('Operating Assumptions'!$M12*BP$25)*'Operating Assumptions'!$D$11)/12,IF('Operating Assumptions'!$L12="$/NSF",(('Operating Assumptions'!$M12*BP$25)*'Operating Assumptions'!$D$12)/12))))))))</f>
        <v>-4160</v>
      </c>
      <c r="BQ84" s="427">
        <f>-IF(BQ$9&lt;'Operating Assumptions'!$D$53,0,IF(BQ$6&gt;'Operating Assumptions'!$AA$8,0,IF('Operating Assumptions'!$L12="N/A",0,IF('Operating Assumptions'!$L12="$/Unit/Annual",(('Operating Assumptions'!$M12*BQ$25)*BQ$36)/12,IF('Operating Assumptions'!$L12="$/Unit/Month",('Operating Assumptions'!$M12*BQ$25)*BQ$36,IF('Operating Assumptions'!$L12="Fixed Amount",('Operating Assumptions'!$M12*BQ$25)/12,IF('Operating Assumptions'!$L12="$/GSF",(('Operating Assumptions'!$M12*BQ$25)*'Operating Assumptions'!$D$11)/12,IF('Operating Assumptions'!$L12="$/NSF",(('Operating Assumptions'!$M12*BQ$25)*'Operating Assumptions'!$D$12)/12))))))))</f>
        <v>-4160</v>
      </c>
      <c r="BR84" s="427">
        <f>-IF(BR$9&lt;'Operating Assumptions'!$D$53,0,IF(BR$6&gt;'Operating Assumptions'!$AA$8,0,IF('Operating Assumptions'!$L12="N/A",0,IF('Operating Assumptions'!$L12="$/Unit/Annual",(('Operating Assumptions'!$M12*BR$25)*BR$36)/12,IF('Operating Assumptions'!$L12="$/Unit/Month",('Operating Assumptions'!$M12*BR$25)*BR$36,IF('Operating Assumptions'!$L12="Fixed Amount",('Operating Assumptions'!$M12*BR$25)/12,IF('Operating Assumptions'!$L12="$/GSF",(('Operating Assumptions'!$M12*BR$25)*'Operating Assumptions'!$D$11)/12,IF('Operating Assumptions'!$L12="$/NSF",(('Operating Assumptions'!$M12*BR$25)*'Operating Assumptions'!$D$12)/12))))))))</f>
        <v>-4160</v>
      </c>
      <c r="BS84" s="427">
        <f>-IF(BS$9&lt;'Operating Assumptions'!$D$53,0,IF(BS$6&gt;'Operating Assumptions'!$AA$8,0,IF('Operating Assumptions'!$L12="N/A",0,IF('Operating Assumptions'!$L12="$/Unit/Annual",(('Operating Assumptions'!$M12*BS$25)*BS$36)/12,IF('Operating Assumptions'!$L12="$/Unit/Month",('Operating Assumptions'!$M12*BS$25)*BS$36,IF('Operating Assumptions'!$L12="Fixed Amount",('Operating Assumptions'!$M12*BS$25)/12,IF('Operating Assumptions'!$L12="$/GSF",(('Operating Assumptions'!$M12*BS$25)*'Operating Assumptions'!$D$11)/12,IF('Operating Assumptions'!$L12="$/NSF",(('Operating Assumptions'!$M12*BS$25)*'Operating Assumptions'!$D$12)/12))))))))</f>
        <v>-4160</v>
      </c>
      <c r="BT84" s="427">
        <f>-IF(BT$9&lt;'Operating Assumptions'!$D$53,0,IF(BT$6&gt;'Operating Assumptions'!$AA$8,0,IF('Operating Assumptions'!$L12="N/A",0,IF('Operating Assumptions'!$L12="$/Unit/Annual",(('Operating Assumptions'!$M12*BT$25)*BT$36)/12,IF('Operating Assumptions'!$L12="$/Unit/Month",('Operating Assumptions'!$M12*BT$25)*BT$36,IF('Operating Assumptions'!$L12="Fixed Amount",('Operating Assumptions'!$M12*BT$25)/12,IF('Operating Assumptions'!$L12="$/GSF",(('Operating Assumptions'!$M12*BT$25)*'Operating Assumptions'!$D$11)/12,IF('Operating Assumptions'!$L12="$/NSF",(('Operating Assumptions'!$M12*BT$25)*'Operating Assumptions'!$D$12)/12))))))))</f>
        <v>-4160</v>
      </c>
      <c r="BU84" s="427">
        <f>-IF(BU$9&lt;'Operating Assumptions'!$D$53,0,IF(BU$6&gt;'Operating Assumptions'!$AA$8,0,IF('Operating Assumptions'!$L12="N/A",0,IF('Operating Assumptions'!$L12="$/Unit/Annual",(('Operating Assumptions'!$M12*BU$25)*BU$36)/12,IF('Operating Assumptions'!$L12="$/Unit/Month",('Operating Assumptions'!$M12*BU$25)*BU$36,IF('Operating Assumptions'!$L12="Fixed Amount",('Operating Assumptions'!$M12*BU$25)/12,IF('Operating Assumptions'!$L12="$/GSF",(('Operating Assumptions'!$M12*BU$25)*'Operating Assumptions'!$D$11)/12,IF('Operating Assumptions'!$L12="$/NSF",(('Operating Assumptions'!$M12*BU$25)*'Operating Assumptions'!$D$12)/12))))))))</f>
        <v>-4160</v>
      </c>
      <c r="BV84" s="427">
        <f>-IF(BV$9&lt;'Operating Assumptions'!$D$53,0,IF(BV$6&gt;'Operating Assumptions'!$AA$8,0,IF('Operating Assumptions'!$L12="N/A",0,IF('Operating Assumptions'!$L12="$/Unit/Annual",(('Operating Assumptions'!$M12*BV$25)*BV$36)/12,IF('Operating Assumptions'!$L12="$/Unit/Month",('Operating Assumptions'!$M12*BV$25)*BV$36,IF('Operating Assumptions'!$L12="Fixed Amount",('Operating Assumptions'!$M12*BV$25)/12,IF('Operating Assumptions'!$L12="$/GSF",(('Operating Assumptions'!$M12*BV$25)*'Operating Assumptions'!$D$11)/12,IF('Operating Assumptions'!$L12="$/NSF",(('Operating Assumptions'!$M12*BV$25)*'Operating Assumptions'!$D$12)/12))))))))</f>
        <v>-4160</v>
      </c>
      <c r="BW84" s="427">
        <f>-IF(BW$9&lt;'Operating Assumptions'!$D$53,0,IF(BW$6&gt;'Operating Assumptions'!$AA$8,0,IF('Operating Assumptions'!$L12="N/A",0,IF('Operating Assumptions'!$L12="$/Unit/Annual",(('Operating Assumptions'!$M12*BW$25)*BW$36)/12,IF('Operating Assumptions'!$L12="$/Unit/Month",('Operating Assumptions'!$M12*BW$25)*BW$36,IF('Operating Assumptions'!$L12="Fixed Amount",('Operating Assumptions'!$M12*BW$25)/12,IF('Operating Assumptions'!$L12="$/GSF",(('Operating Assumptions'!$M12*BW$25)*'Operating Assumptions'!$D$11)/12,IF('Operating Assumptions'!$L12="$/NSF",(('Operating Assumptions'!$M12*BW$25)*'Operating Assumptions'!$D$12)/12))))))))</f>
        <v>-4160</v>
      </c>
      <c r="BX84" s="427">
        <f>-IF(BX$9&lt;'Operating Assumptions'!$D$53,0,IF(BX$6&gt;'Operating Assumptions'!$AA$8,0,IF('Operating Assumptions'!$L12="N/A",0,IF('Operating Assumptions'!$L12="$/Unit/Annual",(('Operating Assumptions'!$M12*BX$25)*BX$36)/12,IF('Operating Assumptions'!$L12="$/Unit/Month",('Operating Assumptions'!$M12*BX$25)*BX$36,IF('Operating Assumptions'!$L12="Fixed Amount",('Operating Assumptions'!$M12*BX$25)/12,IF('Operating Assumptions'!$L12="$/GSF",(('Operating Assumptions'!$M12*BX$25)*'Operating Assumptions'!$D$11)/12,IF('Operating Assumptions'!$L12="$/NSF",(('Operating Assumptions'!$M12*BX$25)*'Operating Assumptions'!$D$12)/12))))))))</f>
        <v>-4160</v>
      </c>
      <c r="BY84" s="427">
        <f>-IF(BY$9&lt;'Operating Assumptions'!$D$53,0,IF(BY$6&gt;'Operating Assumptions'!$AA$8,0,IF('Operating Assumptions'!$L12="N/A",0,IF('Operating Assumptions'!$L12="$/Unit/Annual",(('Operating Assumptions'!$M12*BY$25)*BY$36)/12,IF('Operating Assumptions'!$L12="$/Unit/Month",('Operating Assumptions'!$M12*BY$25)*BY$36,IF('Operating Assumptions'!$L12="Fixed Amount",('Operating Assumptions'!$M12*BY$25)/12,IF('Operating Assumptions'!$L12="$/GSF",(('Operating Assumptions'!$M12*BY$25)*'Operating Assumptions'!$D$11)/12,IF('Operating Assumptions'!$L12="$/NSF",(('Operating Assumptions'!$M12*BY$25)*'Operating Assumptions'!$D$12)/12))))))))</f>
        <v>-4160</v>
      </c>
      <c r="BZ84" s="427">
        <f>-IF(BZ$9&lt;'Operating Assumptions'!$D$53,0,IF(BZ$6&gt;'Operating Assumptions'!$AA$8,0,IF('Operating Assumptions'!$L12="N/A",0,IF('Operating Assumptions'!$L12="$/Unit/Annual",(('Operating Assumptions'!$M12*BZ$25)*BZ$36)/12,IF('Operating Assumptions'!$L12="$/Unit/Month",('Operating Assumptions'!$M12*BZ$25)*BZ$36,IF('Operating Assumptions'!$L12="Fixed Amount",('Operating Assumptions'!$M12*BZ$25)/12,IF('Operating Assumptions'!$L12="$/GSF",(('Operating Assumptions'!$M12*BZ$25)*'Operating Assumptions'!$D$11)/12,IF('Operating Assumptions'!$L12="$/NSF",(('Operating Assumptions'!$M12*BZ$25)*'Operating Assumptions'!$D$12)/12))))))))</f>
        <v>-4160</v>
      </c>
      <c r="CA84" s="427">
        <f>-IF(CA$9&lt;'Operating Assumptions'!$D$53,0,IF(CA$6&gt;'Operating Assumptions'!$AA$8,0,IF('Operating Assumptions'!$L12="N/A",0,IF('Operating Assumptions'!$L12="$/Unit/Annual",(('Operating Assumptions'!$M12*CA$25)*CA$36)/12,IF('Operating Assumptions'!$L12="$/Unit/Month",('Operating Assumptions'!$M12*CA$25)*CA$36,IF('Operating Assumptions'!$L12="Fixed Amount",('Operating Assumptions'!$M12*CA$25)/12,IF('Operating Assumptions'!$L12="$/GSF",(('Operating Assumptions'!$M12*CA$25)*'Operating Assumptions'!$D$11)/12,IF('Operating Assumptions'!$L12="$/NSF",(('Operating Assumptions'!$M12*CA$25)*'Operating Assumptions'!$D$12)/12))))))))</f>
        <v>-4160</v>
      </c>
      <c r="CB84" s="427">
        <f>-IF(CB$9&lt;'Operating Assumptions'!$D$53,0,IF(CB$6&gt;'Operating Assumptions'!$AA$8,0,IF('Operating Assumptions'!$L12="N/A",0,IF('Operating Assumptions'!$L12="$/Unit/Annual",(('Operating Assumptions'!$M12*CB$25)*CB$36)/12,IF('Operating Assumptions'!$L12="$/Unit/Month",('Operating Assumptions'!$M12*CB$25)*CB$36,IF('Operating Assumptions'!$L12="Fixed Amount",('Operating Assumptions'!$M12*CB$25)/12,IF('Operating Assumptions'!$L12="$/GSF",(('Operating Assumptions'!$M12*CB$25)*'Operating Assumptions'!$D$11)/12,IF('Operating Assumptions'!$L12="$/NSF",(('Operating Assumptions'!$M12*CB$25)*'Operating Assumptions'!$D$12)/12))))))))</f>
        <v>-4200</v>
      </c>
      <c r="CC84" s="427">
        <f>-IF(CC$9&lt;'Operating Assumptions'!$D$53,0,IF(CC$6&gt;'Operating Assumptions'!$AA$8,0,IF('Operating Assumptions'!$L12="N/A",0,IF('Operating Assumptions'!$L12="$/Unit/Annual",(('Operating Assumptions'!$M12*CC$25)*CC$36)/12,IF('Operating Assumptions'!$L12="$/Unit/Month",('Operating Assumptions'!$M12*CC$25)*CC$36,IF('Operating Assumptions'!$L12="Fixed Amount",('Operating Assumptions'!$M12*CC$25)/12,IF('Operating Assumptions'!$L12="$/GSF",(('Operating Assumptions'!$M12*CC$25)*'Operating Assumptions'!$D$11)/12,IF('Operating Assumptions'!$L12="$/NSF",(('Operating Assumptions'!$M12*CC$25)*'Operating Assumptions'!$D$12)/12))))))))</f>
        <v>-4200</v>
      </c>
      <c r="CD84" s="427">
        <f>-IF(CD$9&lt;'Operating Assumptions'!$D$53,0,IF(CD$6&gt;'Operating Assumptions'!$AA$8,0,IF('Operating Assumptions'!$L12="N/A",0,IF('Operating Assumptions'!$L12="$/Unit/Annual",(('Operating Assumptions'!$M12*CD$25)*CD$36)/12,IF('Operating Assumptions'!$L12="$/Unit/Month",('Operating Assumptions'!$M12*CD$25)*CD$36,IF('Operating Assumptions'!$L12="Fixed Amount",('Operating Assumptions'!$M12*CD$25)/12,IF('Operating Assumptions'!$L12="$/GSF",(('Operating Assumptions'!$M12*CD$25)*'Operating Assumptions'!$D$11)/12,IF('Operating Assumptions'!$L12="$/NSF",(('Operating Assumptions'!$M12*CD$25)*'Operating Assumptions'!$D$12)/12))))))))</f>
        <v>-4200</v>
      </c>
      <c r="CE84" s="427">
        <f>-IF(CE$9&lt;'Operating Assumptions'!$D$53,0,IF(CE$6&gt;'Operating Assumptions'!$AA$8,0,IF('Operating Assumptions'!$L12="N/A",0,IF('Operating Assumptions'!$L12="$/Unit/Annual",(('Operating Assumptions'!$M12*CE$25)*CE$36)/12,IF('Operating Assumptions'!$L12="$/Unit/Month",('Operating Assumptions'!$M12*CE$25)*CE$36,IF('Operating Assumptions'!$L12="Fixed Amount",('Operating Assumptions'!$M12*CE$25)/12,IF('Operating Assumptions'!$L12="$/GSF",(('Operating Assumptions'!$M12*CE$25)*'Operating Assumptions'!$D$11)/12,IF('Operating Assumptions'!$L12="$/NSF",(('Operating Assumptions'!$M12*CE$25)*'Operating Assumptions'!$D$12)/12))))))))</f>
        <v>-4200</v>
      </c>
      <c r="CF84" s="427">
        <f>-IF(CF$9&lt;'Operating Assumptions'!$D$53,0,IF(CF$6&gt;'Operating Assumptions'!$AA$8,0,IF('Operating Assumptions'!$L12="N/A",0,IF('Operating Assumptions'!$L12="$/Unit/Annual",(('Operating Assumptions'!$M12*CF$25)*CF$36)/12,IF('Operating Assumptions'!$L12="$/Unit/Month",('Operating Assumptions'!$M12*CF$25)*CF$36,IF('Operating Assumptions'!$L12="Fixed Amount",('Operating Assumptions'!$M12*CF$25)/12,IF('Operating Assumptions'!$L12="$/GSF",(('Operating Assumptions'!$M12*CF$25)*'Operating Assumptions'!$D$11)/12,IF('Operating Assumptions'!$L12="$/NSF",(('Operating Assumptions'!$M12*CF$25)*'Operating Assumptions'!$D$12)/12))))))))</f>
        <v>-4200</v>
      </c>
      <c r="CG84" s="427">
        <f>-IF(CG$9&lt;'Operating Assumptions'!$D$53,0,IF(CG$6&gt;'Operating Assumptions'!$AA$8,0,IF('Operating Assumptions'!$L12="N/A",0,IF('Operating Assumptions'!$L12="$/Unit/Annual",(('Operating Assumptions'!$M12*CG$25)*CG$36)/12,IF('Operating Assumptions'!$L12="$/Unit/Month",('Operating Assumptions'!$M12*CG$25)*CG$36,IF('Operating Assumptions'!$L12="Fixed Amount",('Operating Assumptions'!$M12*CG$25)/12,IF('Operating Assumptions'!$L12="$/GSF",(('Operating Assumptions'!$M12*CG$25)*'Operating Assumptions'!$D$11)/12,IF('Operating Assumptions'!$L12="$/NSF",(('Operating Assumptions'!$M12*CG$25)*'Operating Assumptions'!$D$12)/12))))))))</f>
        <v>-4200</v>
      </c>
      <c r="CH84" s="427">
        <f>-IF(CH$9&lt;'Operating Assumptions'!$D$53,0,IF(CH$6&gt;'Operating Assumptions'!$AA$8,0,IF('Operating Assumptions'!$L12="N/A",0,IF('Operating Assumptions'!$L12="$/Unit/Annual",(('Operating Assumptions'!$M12*CH$25)*CH$36)/12,IF('Operating Assumptions'!$L12="$/Unit/Month",('Operating Assumptions'!$M12*CH$25)*CH$36,IF('Operating Assumptions'!$L12="Fixed Amount",('Operating Assumptions'!$M12*CH$25)/12,IF('Operating Assumptions'!$L12="$/GSF",(('Operating Assumptions'!$M12*CH$25)*'Operating Assumptions'!$D$11)/12,IF('Operating Assumptions'!$L12="$/NSF",(('Operating Assumptions'!$M12*CH$25)*'Operating Assumptions'!$D$12)/12))))))))</f>
        <v>-4200</v>
      </c>
      <c r="CI84" s="427">
        <f>-IF(CI$9&lt;'Operating Assumptions'!$D$53,0,IF(CI$6&gt;'Operating Assumptions'!$AA$8,0,IF('Operating Assumptions'!$L12="N/A",0,IF('Operating Assumptions'!$L12="$/Unit/Annual",(('Operating Assumptions'!$M12*CI$25)*CI$36)/12,IF('Operating Assumptions'!$L12="$/Unit/Month",('Operating Assumptions'!$M12*CI$25)*CI$36,IF('Operating Assumptions'!$L12="Fixed Amount",('Operating Assumptions'!$M12*CI$25)/12,IF('Operating Assumptions'!$L12="$/GSF",(('Operating Assumptions'!$M12*CI$25)*'Operating Assumptions'!$D$11)/12,IF('Operating Assumptions'!$L12="$/NSF",(('Operating Assumptions'!$M12*CI$25)*'Operating Assumptions'!$D$12)/12))))))))</f>
        <v>-4200</v>
      </c>
      <c r="CJ84" s="427">
        <f>-IF(CJ$9&lt;'Operating Assumptions'!$D$53,0,IF(CJ$6&gt;'Operating Assumptions'!$AA$8,0,IF('Operating Assumptions'!$L12="N/A",0,IF('Operating Assumptions'!$L12="$/Unit/Annual",(('Operating Assumptions'!$M12*CJ$25)*CJ$36)/12,IF('Operating Assumptions'!$L12="$/Unit/Month",('Operating Assumptions'!$M12*CJ$25)*CJ$36,IF('Operating Assumptions'!$L12="Fixed Amount",('Operating Assumptions'!$M12*CJ$25)/12,IF('Operating Assumptions'!$L12="$/GSF",(('Operating Assumptions'!$M12*CJ$25)*'Operating Assumptions'!$D$11)/12,IF('Operating Assumptions'!$L12="$/NSF",(('Operating Assumptions'!$M12*CJ$25)*'Operating Assumptions'!$D$12)/12))))))))</f>
        <v>-4200</v>
      </c>
      <c r="CK84" s="427">
        <f>-IF(CK$9&lt;'Operating Assumptions'!$D$53,0,IF(CK$6&gt;'Operating Assumptions'!$AA$8,0,IF('Operating Assumptions'!$L12="N/A",0,IF('Operating Assumptions'!$L12="$/Unit/Annual",(('Operating Assumptions'!$M12*CK$25)*CK$36)/12,IF('Operating Assumptions'!$L12="$/Unit/Month",('Operating Assumptions'!$M12*CK$25)*CK$36,IF('Operating Assumptions'!$L12="Fixed Amount",('Operating Assumptions'!$M12*CK$25)/12,IF('Operating Assumptions'!$L12="$/GSF",(('Operating Assumptions'!$M12*CK$25)*'Operating Assumptions'!$D$11)/12,IF('Operating Assumptions'!$L12="$/NSF",(('Operating Assumptions'!$M12*CK$25)*'Operating Assumptions'!$D$12)/12))))))))</f>
        <v>-4200</v>
      </c>
      <c r="CL84" s="427">
        <f>-IF(CL$9&lt;'Operating Assumptions'!$D$53,0,IF(CL$6&gt;'Operating Assumptions'!$AA$8,0,IF('Operating Assumptions'!$L12="N/A",0,IF('Operating Assumptions'!$L12="$/Unit/Annual",(('Operating Assumptions'!$M12*CL$25)*CL$36)/12,IF('Operating Assumptions'!$L12="$/Unit/Month",('Operating Assumptions'!$M12*CL$25)*CL$36,IF('Operating Assumptions'!$L12="Fixed Amount",('Operating Assumptions'!$M12*CL$25)/12,IF('Operating Assumptions'!$L12="$/GSF",(('Operating Assumptions'!$M12*CL$25)*'Operating Assumptions'!$D$11)/12,IF('Operating Assumptions'!$L12="$/NSF",(('Operating Assumptions'!$M12*CL$25)*'Operating Assumptions'!$D$12)/12))))))))</f>
        <v>-4200</v>
      </c>
      <c r="CM84" s="427">
        <f>-IF(CM$9&lt;'Operating Assumptions'!$D$53,0,IF(CM$6&gt;'Operating Assumptions'!$AA$8,0,IF('Operating Assumptions'!$L12="N/A",0,IF('Operating Assumptions'!$L12="$/Unit/Annual",(('Operating Assumptions'!$M12*CM$25)*CM$36)/12,IF('Operating Assumptions'!$L12="$/Unit/Month",('Operating Assumptions'!$M12*CM$25)*CM$36,IF('Operating Assumptions'!$L12="Fixed Amount",('Operating Assumptions'!$M12*CM$25)/12,IF('Operating Assumptions'!$L12="$/GSF",(('Operating Assumptions'!$M12*CM$25)*'Operating Assumptions'!$D$11)/12,IF('Operating Assumptions'!$L12="$/NSF",(('Operating Assumptions'!$M12*CM$25)*'Operating Assumptions'!$D$12)/12))))))))</f>
        <v>-4200</v>
      </c>
      <c r="CN84" s="427">
        <f>-IF(CN$9&lt;'Operating Assumptions'!$D$53,0,IF(CN$6&gt;'Operating Assumptions'!$AA$8,0,IF('Operating Assumptions'!$L12="N/A",0,IF('Operating Assumptions'!$L12="$/Unit/Annual",(('Operating Assumptions'!$M12*CN$25)*CN$36)/12,IF('Operating Assumptions'!$L12="$/Unit/Month",('Operating Assumptions'!$M12*CN$25)*CN$36,IF('Operating Assumptions'!$L12="Fixed Amount",('Operating Assumptions'!$M12*CN$25)/12,IF('Operating Assumptions'!$L12="$/GSF",(('Operating Assumptions'!$M12*CN$25)*'Operating Assumptions'!$D$11)/12,IF('Operating Assumptions'!$L12="$/NSF",(('Operating Assumptions'!$M12*CN$25)*'Operating Assumptions'!$D$12)/12))))))))</f>
        <v>-4240</v>
      </c>
      <c r="CO84" s="427">
        <f>-IF(CO$9&lt;'Operating Assumptions'!$D$53,0,IF(CO$6&gt;'Operating Assumptions'!$AA$8,0,IF('Operating Assumptions'!$L12="N/A",0,IF('Operating Assumptions'!$L12="$/Unit/Annual",(('Operating Assumptions'!$M12*CO$25)*CO$36)/12,IF('Operating Assumptions'!$L12="$/Unit/Month",('Operating Assumptions'!$M12*CO$25)*CO$36,IF('Operating Assumptions'!$L12="Fixed Amount",('Operating Assumptions'!$M12*CO$25)/12,IF('Operating Assumptions'!$L12="$/GSF",(('Operating Assumptions'!$M12*CO$25)*'Operating Assumptions'!$D$11)/12,IF('Operating Assumptions'!$L12="$/NSF",(('Operating Assumptions'!$M12*CO$25)*'Operating Assumptions'!$D$12)/12))))))))</f>
        <v>-4240</v>
      </c>
      <c r="CP84" s="427">
        <f>-IF(CP$9&lt;'Operating Assumptions'!$D$53,0,IF(CP$6&gt;'Operating Assumptions'!$AA$8,0,IF('Operating Assumptions'!$L12="N/A",0,IF('Operating Assumptions'!$L12="$/Unit/Annual",(('Operating Assumptions'!$M12*CP$25)*CP$36)/12,IF('Operating Assumptions'!$L12="$/Unit/Month",('Operating Assumptions'!$M12*CP$25)*CP$36,IF('Operating Assumptions'!$L12="Fixed Amount",('Operating Assumptions'!$M12*CP$25)/12,IF('Operating Assumptions'!$L12="$/GSF",(('Operating Assumptions'!$M12*CP$25)*'Operating Assumptions'!$D$11)/12,IF('Operating Assumptions'!$L12="$/NSF",(('Operating Assumptions'!$M12*CP$25)*'Operating Assumptions'!$D$12)/12))))))))</f>
        <v>-4240</v>
      </c>
      <c r="CQ84" s="427">
        <f>-IF(CQ$9&lt;'Operating Assumptions'!$D$53,0,IF(CQ$6&gt;'Operating Assumptions'!$AA$8,0,IF('Operating Assumptions'!$L12="N/A",0,IF('Operating Assumptions'!$L12="$/Unit/Annual",(('Operating Assumptions'!$M12*CQ$25)*CQ$36)/12,IF('Operating Assumptions'!$L12="$/Unit/Month",('Operating Assumptions'!$M12*CQ$25)*CQ$36,IF('Operating Assumptions'!$L12="Fixed Amount",('Operating Assumptions'!$M12*CQ$25)/12,IF('Operating Assumptions'!$L12="$/GSF",(('Operating Assumptions'!$M12*CQ$25)*'Operating Assumptions'!$D$11)/12,IF('Operating Assumptions'!$L12="$/NSF",(('Operating Assumptions'!$M12*CQ$25)*'Operating Assumptions'!$D$12)/12))))))))</f>
        <v>-4240</v>
      </c>
      <c r="CR84" s="427">
        <f>-IF(CR$9&lt;'Operating Assumptions'!$D$53,0,IF(CR$6&gt;'Operating Assumptions'!$AA$8,0,IF('Operating Assumptions'!$L12="N/A",0,IF('Operating Assumptions'!$L12="$/Unit/Annual",(('Operating Assumptions'!$M12*CR$25)*CR$36)/12,IF('Operating Assumptions'!$L12="$/Unit/Month",('Operating Assumptions'!$M12*CR$25)*CR$36,IF('Operating Assumptions'!$L12="Fixed Amount",('Operating Assumptions'!$M12*CR$25)/12,IF('Operating Assumptions'!$L12="$/GSF",(('Operating Assumptions'!$M12*CR$25)*'Operating Assumptions'!$D$11)/12,IF('Operating Assumptions'!$L12="$/NSF",(('Operating Assumptions'!$M12*CR$25)*'Operating Assumptions'!$D$12)/12))))))))</f>
        <v>-4240</v>
      </c>
      <c r="CS84" s="427">
        <f>-IF(CS$9&lt;'Operating Assumptions'!$D$53,0,IF(CS$6&gt;'Operating Assumptions'!$AA$8,0,IF('Operating Assumptions'!$L12="N/A",0,IF('Operating Assumptions'!$L12="$/Unit/Annual",(('Operating Assumptions'!$M12*CS$25)*CS$36)/12,IF('Operating Assumptions'!$L12="$/Unit/Month",('Operating Assumptions'!$M12*CS$25)*CS$36,IF('Operating Assumptions'!$L12="Fixed Amount",('Operating Assumptions'!$M12*CS$25)/12,IF('Operating Assumptions'!$L12="$/GSF",(('Operating Assumptions'!$M12*CS$25)*'Operating Assumptions'!$D$11)/12,IF('Operating Assumptions'!$L12="$/NSF",(('Operating Assumptions'!$M12*CS$25)*'Operating Assumptions'!$D$12)/12))))))))</f>
        <v>-4240</v>
      </c>
      <c r="CT84" s="427">
        <f>-IF(CT$9&lt;'Operating Assumptions'!$D$53,0,IF(CT$6&gt;'Operating Assumptions'!$AA$8,0,IF('Operating Assumptions'!$L12="N/A",0,IF('Operating Assumptions'!$L12="$/Unit/Annual",(('Operating Assumptions'!$M12*CT$25)*CT$36)/12,IF('Operating Assumptions'!$L12="$/Unit/Month",('Operating Assumptions'!$M12*CT$25)*CT$36,IF('Operating Assumptions'!$L12="Fixed Amount",('Operating Assumptions'!$M12*CT$25)/12,IF('Operating Assumptions'!$L12="$/GSF",(('Operating Assumptions'!$M12*CT$25)*'Operating Assumptions'!$D$11)/12,IF('Operating Assumptions'!$L12="$/NSF",(('Operating Assumptions'!$M12*CT$25)*'Operating Assumptions'!$D$12)/12))))))))</f>
        <v>-4240</v>
      </c>
      <c r="CU84" s="427">
        <f>-IF(CU$9&lt;'Operating Assumptions'!$D$53,0,IF(CU$6&gt;'Operating Assumptions'!$AA$8,0,IF('Operating Assumptions'!$L12="N/A",0,IF('Operating Assumptions'!$L12="$/Unit/Annual",(('Operating Assumptions'!$M12*CU$25)*CU$36)/12,IF('Operating Assumptions'!$L12="$/Unit/Month",('Operating Assumptions'!$M12*CU$25)*CU$36,IF('Operating Assumptions'!$L12="Fixed Amount",('Operating Assumptions'!$M12*CU$25)/12,IF('Operating Assumptions'!$L12="$/GSF",(('Operating Assumptions'!$M12*CU$25)*'Operating Assumptions'!$D$11)/12,IF('Operating Assumptions'!$L12="$/NSF",(('Operating Assumptions'!$M12*CU$25)*'Operating Assumptions'!$D$12)/12))))))))</f>
        <v>-4240</v>
      </c>
      <c r="CV84" s="427">
        <f>-IF(CV$9&lt;'Operating Assumptions'!$D$53,0,IF(CV$6&gt;'Operating Assumptions'!$AA$8,0,IF('Operating Assumptions'!$L12="N/A",0,IF('Operating Assumptions'!$L12="$/Unit/Annual",(('Operating Assumptions'!$M12*CV$25)*CV$36)/12,IF('Operating Assumptions'!$L12="$/Unit/Month",('Operating Assumptions'!$M12*CV$25)*CV$36,IF('Operating Assumptions'!$L12="Fixed Amount",('Operating Assumptions'!$M12*CV$25)/12,IF('Operating Assumptions'!$L12="$/GSF",(('Operating Assumptions'!$M12*CV$25)*'Operating Assumptions'!$D$11)/12,IF('Operating Assumptions'!$L12="$/NSF",(('Operating Assumptions'!$M12*CV$25)*'Operating Assumptions'!$D$12)/12))))))))</f>
        <v>-4240</v>
      </c>
      <c r="CW84" s="427">
        <f>-IF(CW$9&lt;'Operating Assumptions'!$D$53,0,IF(CW$6&gt;'Operating Assumptions'!$AA$8,0,IF('Operating Assumptions'!$L12="N/A",0,IF('Operating Assumptions'!$L12="$/Unit/Annual",(('Operating Assumptions'!$M12*CW$25)*CW$36)/12,IF('Operating Assumptions'!$L12="$/Unit/Month",('Operating Assumptions'!$M12*CW$25)*CW$36,IF('Operating Assumptions'!$L12="Fixed Amount",('Operating Assumptions'!$M12*CW$25)/12,IF('Operating Assumptions'!$L12="$/GSF",(('Operating Assumptions'!$M12*CW$25)*'Operating Assumptions'!$D$11)/12,IF('Operating Assumptions'!$L12="$/NSF",(('Operating Assumptions'!$M12*CW$25)*'Operating Assumptions'!$D$12)/12))))))))</f>
        <v>-4240</v>
      </c>
      <c r="CX84" s="427">
        <f>-IF(CX$9&lt;'Operating Assumptions'!$D$53,0,IF(CX$6&gt;'Operating Assumptions'!$AA$8,0,IF('Operating Assumptions'!$L12="N/A",0,IF('Operating Assumptions'!$L12="$/Unit/Annual",(('Operating Assumptions'!$M12*CX$25)*CX$36)/12,IF('Operating Assumptions'!$L12="$/Unit/Month",('Operating Assumptions'!$M12*CX$25)*CX$36,IF('Operating Assumptions'!$L12="Fixed Amount",('Operating Assumptions'!$M12*CX$25)/12,IF('Operating Assumptions'!$L12="$/GSF",(('Operating Assumptions'!$M12*CX$25)*'Operating Assumptions'!$D$11)/12,IF('Operating Assumptions'!$L12="$/NSF",(('Operating Assumptions'!$M12*CX$25)*'Operating Assumptions'!$D$12)/12))))))))</f>
        <v>-4240</v>
      </c>
      <c r="CY84" s="427">
        <f>-IF(CY$9&lt;'Operating Assumptions'!$D$53,0,IF(CY$6&gt;'Operating Assumptions'!$AA$8,0,IF('Operating Assumptions'!$L12="N/A",0,IF('Operating Assumptions'!$L12="$/Unit/Annual",(('Operating Assumptions'!$M12*CY$25)*CY$36)/12,IF('Operating Assumptions'!$L12="$/Unit/Month",('Operating Assumptions'!$M12*CY$25)*CY$36,IF('Operating Assumptions'!$L12="Fixed Amount",('Operating Assumptions'!$M12*CY$25)/12,IF('Operating Assumptions'!$L12="$/GSF",(('Operating Assumptions'!$M12*CY$25)*'Operating Assumptions'!$D$11)/12,IF('Operating Assumptions'!$L12="$/NSF",(('Operating Assumptions'!$M12*CY$25)*'Operating Assumptions'!$D$12)/12))))))))</f>
        <v>-4240</v>
      </c>
      <c r="CZ84" s="427">
        <f>-IF(CZ$9&lt;'Operating Assumptions'!$D$53,0,IF(CZ$6&gt;'Operating Assumptions'!$AA$8,0,IF('Operating Assumptions'!$L12="N/A",0,IF('Operating Assumptions'!$L12="$/Unit/Annual",(('Operating Assumptions'!$M12*CZ$25)*CZ$36)/12,IF('Operating Assumptions'!$L12="$/Unit/Month",('Operating Assumptions'!$M12*CZ$25)*CZ$36,IF('Operating Assumptions'!$L12="Fixed Amount",('Operating Assumptions'!$M12*CZ$25)/12,IF('Operating Assumptions'!$L12="$/GSF",(('Operating Assumptions'!$M12*CZ$25)*'Operating Assumptions'!$D$11)/12,IF('Operating Assumptions'!$L12="$/NSF",(('Operating Assumptions'!$M12*CZ$25)*'Operating Assumptions'!$D$12)/12))))))))</f>
        <v>-4280</v>
      </c>
      <c r="DA84" s="427">
        <f>-IF(DA$9&lt;'Operating Assumptions'!$D$53,0,IF(DA$6&gt;'Operating Assumptions'!$AA$8,0,IF('Operating Assumptions'!$L12="N/A",0,IF('Operating Assumptions'!$L12="$/Unit/Annual",(('Operating Assumptions'!$M12*DA$25)*DA$36)/12,IF('Operating Assumptions'!$L12="$/Unit/Month",('Operating Assumptions'!$M12*DA$25)*DA$36,IF('Operating Assumptions'!$L12="Fixed Amount",('Operating Assumptions'!$M12*DA$25)/12,IF('Operating Assumptions'!$L12="$/GSF",(('Operating Assumptions'!$M12*DA$25)*'Operating Assumptions'!$D$11)/12,IF('Operating Assumptions'!$L12="$/NSF",(('Operating Assumptions'!$M12*DA$25)*'Operating Assumptions'!$D$12)/12))))))))</f>
        <v>-4280</v>
      </c>
      <c r="DB84" s="427">
        <f>-IF(DB$9&lt;'Operating Assumptions'!$D$53,0,IF(DB$6&gt;'Operating Assumptions'!$AA$8,0,IF('Operating Assumptions'!$L12="N/A",0,IF('Operating Assumptions'!$L12="$/Unit/Annual",(('Operating Assumptions'!$M12*DB$25)*DB$36)/12,IF('Operating Assumptions'!$L12="$/Unit/Month",('Operating Assumptions'!$M12*DB$25)*DB$36,IF('Operating Assumptions'!$L12="Fixed Amount",('Operating Assumptions'!$M12*DB$25)/12,IF('Operating Assumptions'!$L12="$/GSF",(('Operating Assumptions'!$M12*DB$25)*'Operating Assumptions'!$D$11)/12,IF('Operating Assumptions'!$L12="$/NSF",(('Operating Assumptions'!$M12*DB$25)*'Operating Assumptions'!$D$12)/12))))))))</f>
        <v>-4280</v>
      </c>
      <c r="DC84" s="427">
        <f>-IF(DC$9&lt;'Operating Assumptions'!$D$53,0,IF(DC$6&gt;'Operating Assumptions'!$AA$8,0,IF('Operating Assumptions'!$L12="N/A",0,IF('Operating Assumptions'!$L12="$/Unit/Annual",(('Operating Assumptions'!$M12*DC$25)*DC$36)/12,IF('Operating Assumptions'!$L12="$/Unit/Month",('Operating Assumptions'!$M12*DC$25)*DC$36,IF('Operating Assumptions'!$L12="Fixed Amount",('Operating Assumptions'!$M12*DC$25)/12,IF('Operating Assumptions'!$L12="$/GSF",(('Operating Assumptions'!$M12*DC$25)*'Operating Assumptions'!$D$11)/12,IF('Operating Assumptions'!$L12="$/NSF",(('Operating Assumptions'!$M12*DC$25)*'Operating Assumptions'!$D$12)/12))))))))</f>
        <v>-4280</v>
      </c>
      <c r="DD84" s="427">
        <f>-IF(DD$9&lt;'Operating Assumptions'!$D$53,0,IF(DD$6&gt;'Operating Assumptions'!$AA$8,0,IF('Operating Assumptions'!$L12="N/A",0,IF('Operating Assumptions'!$L12="$/Unit/Annual",(('Operating Assumptions'!$M12*DD$25)*DD$36)/12,IF('Operating Assumptions'!$L12="$/Unit/Month",('Operating Assumptions'!$M12*DD$25)*DD$36,IF('Operating Assumptions'!$L12="Fixed Amount",('Operating Assumptions'!$M12*DD$25)/12,IF('Operating Assumptions'!$L12="$/GSF",(('Operating Assumptions'!$M12*DD$25)*'Operating Assumptions'!$D$11)/12,IF('Operating Assumptions'!$L12="$/NSF",(('Operating Assumptions'!$M12*DD$25)*'Operating Assumptions'!$D$12)/12))))))))</f>
        <v>-4280</v>
      </c>
      <c r="DE84" s="427">
        <f>-IF(DE$9&lt;'Operating Assumptions'!$D$53,0,IF(DE$6&gt;'Operating Assumptions'!$AA$8,0,IF('Operating Assumptions'!$L12="N/A",0,IF('Operating Assumptions'!$L12="$/Unit/Annual",(('Operating Assumptions'!$M12*DE$25)*DE$36)/12,IF('Operating Assumptions'!$L12="$/Unit/Month",('Operating Assumptions'!$M12*DE$25)*DE$36,IF('Operating Assumptions'!$L12="Fixed Amount",('Operating Assumptions'!$M12*DE$25)/12,IF('Operating Assumptions'!$L12="$/GSF",(('Operating Assumptions'!$M12*DE$25)*'Operating Assumptions'!$D$11)/12,IF('Operating Assumptions'!$L12="$/NSF",(('Operating Assumptions'!$M12*DE$25)*'Operating Assumptions'!$D$12)/12))))))))</f>
        <v>-4280</v>
      </c>
      <c r="DF84" s="427">
        <f>-IF(DF$9&lt;'Operating Assumptions'!$D$53,0,IF(DF$6&gt;'Operating Assumptions'!$AA$8,0,IF('Operating Assumptions'!$L12="N/A",0,IF('Operating Assumptions'!$L12="$/Unit/Annual",(('Operating Assumptions'!$M12*DF$25)*DF$36)/12,IF('Operating Assumptions'!$L12="$/Unit/Month",('Operating Assumptions'!$M12*DF$25)*DF$36,IF('Operating Assumptions'!$L12="Fixed Amount",('Operating Assumptions'!$M12*DF$25)/12,IF('Operating Assumptions'!$L12="$/GSF",(('Operating Assumptions'!$M12*DF$25)*'Operating Assumptions'!$D$11)/12,IF('Operating Assumptions'!$L12="$/NSF",(('Operating Assumptions'!$M12*DF$25)*'Operating Assumptions'!$D$12)/12))))))))</f>
        <v>-4280</v>
      </c>
      <c r="DG84" s="427">
        <f>-IF(DG$9&lt;'Operating Assumptions'!$D$53,0,IF(DG$6&gt;'Operating Assumptions'!$AA$8,0,IF('Operating Assumptions'!$L12="N/A",0,IF('Operating Assumptions'!$L12="$/Unit/Annual",(('Operating Assumptions'!$M12*DG$25)*DG$36)/12,IF('Operating Assumptions'!$L12="$/Unit/Month",('Operating Assumptions'!$M12*DG$25)*DG$36,IF('Operating Assumptions'!$L12="Fixed Amount",('Operating Assumptions'!$M12*DG$25)/12,IF('Operating Assumptions'!$L12="$/GSF",(('Operating Assumptions'!$M12*DG$25)*'Operating Assumptions'!$D$11)/12,IF('Operating Assumptions'!$L12="$/NSF",(('Operating Assumptions'!$M12*DG$25)*'Operating Assumptions'!$D$12)/12))))))))</f>
        <v>-4280</v>
      </c>
      <c r="DH84" s="427">
        <f>-IF(DH$9&lt;'Operating Assumptions'!$D$53,0,IF(DH$6&gt;'Operating Assumptions'!$AA$8,0,IF('Operating Assumptions'!$L12="N/A",0,IF('Operating Assumptions'!$L12="$/Unit/Annual",(('Operating Assumptions'!$M12*DH$25)*DH$36)/12,IF('Operating Assumptions'!$L12="$/Unit/Month",('Operating Assumptions'!$M12*DH$25)*DH$36,IF('Operating Assumptions'!$L12="Fixed Amount",('Operating Assumptions'!$M12*DH$25)/12,IF('Operating Assumptions'!$L12="$/GSF",(('Operating Assumptions'!$M12*DH$25)*'Operating Assumptions'!$D$11)/12,IF('Operating Assumptions'!$L12="$/NSF",(('Operating Assumptions'!$M12*DH$25)*'Operating Assumptions'!$D$12)/12))))))))</f>
        <v>-4280</v>
      </c>
      <c r="DI84" s="427">
        <f>-IF(DI$9&lt;'Operating Assumptions'!$D$53,0,IF(DI$6&gt;'Operating Assumptions'!$AA$8,0,IF('Operating Assumptions'!$L12="N/A",0,IF('Operating Assumptions'!$L12="$/Unit/Annual",(('Operating Assumptions'!$M12*DI$25)*DI$36)/12,IF('Operating Assumptions'!$L12="$/Unit/Month",('Operating Assumptions'!$M12*DI$25)*DI$36,IF('Operating Assumptions'!$L12="Fixed Amount",('Operating Assumptions'!$M12*DI$25)/12,IF('Operating Assumptions'!$L12="$/GSF",(('Operating Assumptions'!$M12*DI$25)*'Operating Assumptions'!$D$11)/12,IF('Operating Assumptions'!$L12="$/NSF",(('Operating Assumptions'!$M12*DI$25)*'Operating Assumptions'!$D$12)/12))))))))</f>
        <v>-4280</v>
      </c>
      <c r="DJ84" s="427">
        <f>-IF(DJ$9&lt;'Operating Assumptions'!$D$53,0,IF(DJ$6&gt;'Operating Assumptions'!$AA$8,0,IF('Operating Assumptions'!$L12="N/A",0,IF('Operating Assumptions'!$L12="$/Unit/Annual",(('Operating Assumptions'!$M12*DJ$25)*DJ$36)/12,IF('Operating Assumptions'!$L12="$/Unit/Month",('Operating Assumptions'!$M12*DJ$25)*DJ$36,IF('Operating Assumptions'!$L12="Fixed Amount",('Operating Assumptions'!$M12*DJ$25)/12,IF('Operating Assumptions'!$L12="$/GSF",(('Operating Assumptions'!$M12*DJ$25)*'Operating Assumptions'!$D$11)/12,IF('Operating Assumptions'!$L12="$/NSF",(('Operating Assumptions'!$M12*DJ$25)*'Operating Assumptions'!$D$12)/12))))))))</f>
        <v>-4280</v>
      </c>
      <c r="DK84" s="427">
        <f>-IF(DK$9&lt;'Operating Assumptions'!$D$53,0,IF(DK$6&gt;'Operating Assumptions'!$AA$8,0,IF('Operating Assumptions'!$L12="N/A",0,IF('Operating Assumptions'!$L12="$/Unit/Annual",(('Operating Assumptions'!$M12*DK$25)*DK$36)/12,IF('Operating Assumptions'!$L12="$/Unit/Month",('Operating Assumptions'!$M12*DK$25)*DK$36,IF('Operating Assumptions'!$L12="Fixed Amount",('Operating Assumptions'!$M12*DK$25)/12,IF('Operating Assumptions'!$L12="$/GSF",(('Operating Assumptions'!$M12*DK$25)*'Operating Assumptions'!$D$11)/12,IF('Operating Assumptions'!$L12="$/NSF",(('Operating Assumptions'!$M12*DK$25)*'Operating Assumptions'!$D$12)/12))))))))</f>
        <v>-4280</v>
      </c>
      <c r="DL84" s="427">
        <f>-IF(DL$9&lt;'Operating Assumptions'!$D$53,0,IF(DL$6&gt;'Operating Assumptions'!$AA$8,0,IF('Operating Assumptions'!$L12="N/A",0,IF('Operating Assumptions'!$L12="$/Unit/Annual",(('Operating Assumptions'!$M12*DL$25)*DL$36)/12,IF('Operating Assumptions'!$L12="$/Unit/Month",('Operating Assumptions'!$M12*DL$25)*DL$36,IF('Operating Assumptions'!$L12="Fixed Amount",('Operating Assumptions'!$M12*DL$25)/12,IF('Operating Assumptions'!$L12="$/GSF",(('Operating Assumptions'!$M12*DL$25)*'Operating Assumptions'!$D$11)/12,IF('Operating Assumptions'!$L12="$/NSF",(('Operating Assumptions'!$M12*DL$25)*'Operating Assumptions'!$D$12)/12))))))))</f>
        <v>-4320</v>
      </c>
      <c r="DM84" s="427">
        <f>-IF(DM$9&lt;'Operating Assumptions'!$D$53,0,IF(DM$6&gt;'Operating Assumptions'!$AA$8,0,IF('Operating Assumptions'!$L12="N/A",0,IF('Operating Assumptions'!$L12="$/Unit/Annual",(('Operating Assumptions'!$M12*DM$25)*DM$36)/12,IF('Operating Assumptions'!$L12="$/Unit/Month",('Operating Assumptions'!$M12*DM$25)*DM$36,IF('Operating Assumptions'!$L12="Fixed Amount",('Operating Assumptions'!$M12*DM$25)/12,IF('Operating Assumptions'!$L12="$/GSF",(('Operating Assumptions'!$M12*DM$25)*'Operating Assumptions'!$D$11)/12,IF('Operating Assumptions'!$L12="$/NSF",(('Operating Assumptions'!$M12*DM$25)*'Operating Assumptions'!$D$12)/12))))))))</f>
        <v>-4320</v>
      </c>
      <c r="DN84" s="427">
        <f>-IF(DN$9&lt;'Operating Assumptions'!$D$53,0,IF(DN$6&gt;'Operating Assumptions'!$AA$8,0,IF('Operating Assumptions'!$L12="N/A",0,IF('Operating Assumptions'!$L12="$/Unit/Annual",(('Operating Assumptions'!$M12*DN$25)*DN$36)/12,IF('Operating Assumptions'!$L12="$/Unit/Month",('Operating Assumptions'!$M12*DN$25)*DN$36,IF('Operating Assumptions'!$L12="Fixed Amount",('Operating Assumptions'!$M12*DN$25)/12,IF('Operating Assumptions'!$L12="$/GSF",(('Operating Assumptions'!$M12*DN$25)*'Operating Assumptions'!$D$11)/12,IF('Operating Assumptions'!$L12="$/NSF",(('Operating Assumptions'!$M12*DN$25)*'Operating Assumptions'!$D$12)/12))))))))</f>
        <v>-4320</v>
      </c>
      <c r="DO84" s="427">
        <f>-IF(DO$9&lt;'Operating Assumptions'!$D$53,0,IF(DO$6&gt;'Operating Assumptions'!$AA$8,0,IF('Operating Assumptions'!$L12="N/A",0,IF('Operating Assumptions'!$L12="$/Unit/Annual",(('Operating Assumptions'!$M12*DO$25)*DO$36)/12,IF('Operating Assumptions'!$L12="$/Unit/Month",('Operating Assumptions'!$M12*DO$25)*DO$36,IF('Operating Assumptions'!$L12="Fixed Amount",('Operating Assumptions'!$M12*DO$25)/12,IF('Operating Assumptions'!$L12="$/GSF",(('Operating Assumptions'!$M12*DO$25)*'Operating Assumptions'!$D$11)/12,IF('Operating Assumptions'!$L12="$/NSF",(('Operating Assumptions'!$M12*DO$25)*'Operating Assumptions'!$D$12)/12))))))))</f>
        <v>-4320</v>
      </c>
      <c r="DP84" s="427">
        <f>-IF(DP$9&lt;'Operating Assumptions'!$D$53,0,IF(DP$6&gt;'Operating Assumptions'!$AA$8,0,IF('Operating Assumptions'!$L12="N/A",0,IF('Operating Assumptions'!$L12="$/Unit/Annual",(('Operating Assumptions'!$M12*DP$25)*DP$36)/12,IF('Operating Assumptions'!$L12="$/Unit/Month",('Operating Assumptions'!$M12*DP$25)*DP$36,IF('Operating Assumptions'!$L12="Fixed Amount",('Operating Assumptions'!$M12*DP$25)/12,IF('Operating Assumptions'!$L12="$/GSF",(('Operating Assumptions'!$M12*DP$25)*'Operating Assumptions'!$D$11)/12,IF('Operating Assumptions'!$L12="$/NSF",(('Operating Assumptions'!$M12*DP$25)*'Operating Assumptions'!$D$12)/12))))))))</f>
        <v>-4320</v>
      </c>
      <c r="DQ84" s="427">
        <f>-IF(DQ$9&lt;'Operating Assumptions'!$D$53,0,IF(DQ$6&gt;'Operating Assumptions'!$AA$8,0,IF('Operating Assumptions'!$L12="N/A",0,IF('Operating Assumptions'!$L12="$/Unit/Annual",(('Operating Assumptions'!$M12*DQ$25)*DQ$36)/12,IF('Operating Assumptions'!$L12="$/Unit/Month",('Operating Assumptions'!$M12*DQ$25)*DQ$36,IF('Operating Assumptions'!$L12="Fixed Amount",('Operating Assumptions'!$M12*DQ$25)/12,IF('Operating Assumptions'!$L12="$/GSF",(('Operating Assumptions'!$M12*DQ$25)*'Operating Assumptions'!$D$11)/12,IF('Operating Assumptions'!$L12="$/NSF",(('Operating Assumptions'!$M12*DQ$25)*'Operating Assumptions'!$D$12)/12))))))))</f>
        <v>-4320</v>
      </c>
      <c r="DR84" s="427">
        <f>-IF(DR$9&lt;'Operating Assumptions'!$D$53,0,IF(DR$6&gt;'Operating Assumptions'!$AA$8,0,IF('Operating Assumptions'!$L12="N/A",0,IF('Operating Assumptions'!$L12="$/Unit/Annual",(('Operating Assumptions'!$M12*DR$25)*DR$36)/12,IF('Operating Assumptions'!$L12="$/Unit/Month",('Operating Assumptions'!$M12*DR$25)*DR$36,IF('Operating Assumptions'!$L12="Fixed Amount",('Operating Assumptions'!$M12*DR$25)/12,IF('Operating Assumptions'!$L12="$/GSF",(('Operating Assumptions'!$M12*DR$25)*'Operating Assumptions'!$D$11)/12,IF('Operating Assumptions'!$L12="$/NSF",(('Operating Assumptions'!$M12*DR$25)*'Operating Assumptions'!$D$12)/12))))))))</f>
        <v>-4320</v>
      </c>
      <c r="DS84" s="427">
        <f>-IF(DS$9&lt;'Operating Assumptions'!$D$53,0,IF(DS$6&gt;'Operating Assumptions'!$AA$8,0,IF('Operating Assumptions'!$L12="N/A",0,IF('Operating Assumptions'!$L12="$/Unit/Annual",(('Operating Assumptions'!$M12*DS$25)*DS$36)/12,IF('Operating Assumptions'!$L12="$/Unit/Month",('Operating Assumptions'!$M12*DS$25)*DS$36,IF('Operating Assumptions'!$L12="Fixed Amount",('Operating Assumptions'!$M12*DS$25)/12,IF('Operating Assumptions'!$L12="$/GSF",(('Operating Assumptions'!$M12*DS$25)*'Operating Assumptions'!$D$11)/12,IF('Operating Assumptions'!$L12="$/NSF",(('Operating Assumptions'!$M12*DS$25)*'Operating Assumptions'!$D$12)/12))))))))</f>
        <v>-4320</v>
      </c>
      <c r="DT84" s="427">
        <f>-IF(DT$9&lt;'Operating Assumptions'!$D$53,0,IF(DT$6&gt;'Operating Assumptions'!$AA$8,0,IF('Operating Assumptions'!$L12="N/A",0,IF('Operating Assumptions'!$L12="$/Unit/Annual",(('Operating Assumptions'!$M12*DT$25)*DT$36)/12,IF('Operating Assumptions'!$L12="$/Unit/Month",('Operating Assumptions'!$M12*DT$25)*DT$36,IF('Operating Assumptions'!$L12="Fixed Amount",('Operating Assumptions'!$M12*DT$25)/12,IF('Operating Assumptions'!$L12="$/GSF",(('Operating Assumptions'!$M12*DT$25)*'Operating Assumptions'!$D$11)/12,IF('Operating Assumptions'!$L12="$/NSF",(('Operating Assumptions'!$M12*DT$25)*'Operating Assumptions'!$D$12)/12))))))))</f>
        <v>-4320</v>
      </c>
      <c r="DU84" s="427">
        <f>-IF(DU$9&lt;'Operating Assumptions'!$D$53,0,IF(DU$6&gt;'Operating Assumptions'!$AA$8,0,IF('Operating Assumptions'!$L12="N/A",0,IF('Operating Assumptions'!$L12="$/Unit/Annual",(('Operating Assumptions'!$M12*DU$25)*DU$36)/12,IF('Operating Assumptions'!$L12="$/Unit/Month",('Operating Assumptions'!$M12*DU$25)*DU$36,IF('Operating Assumptions'!$L12="Fixed Amount",('Operating Assumptions'!$M12*DU$25)/12,IF('Operating Assumptions'!$L12="$/GSF",(('Operating Assumptions'!$M12*DU$25)*'Operating Assumptions'!$D$11)/12,IF('Operating Assumptions'!$L12="$/NSF",(('Operating Assumptions'!$M12*DU$25)*'Operating Assumptions'!$D$12)/12))))))))</f>
        <v>-4320</v>
      </c>
      <c r="DV84" s="427">
        <f>-IF(DV$9&lt;'Operating Assumptions'!$D$53,0,IF(DV$6&gt;'Operating Assumptions'!$AA$8,0,IF('Operating Assumptions'!$L12="N/A",0,IF('Operating Assumptions'!$L12="$/Unit/Annual",(('Operating Assumptions'!$M12*DV$25)*DV$36)/12,IF('Operating Assumptions'!$L12="$/Unit/Month",('Operating Assumptions'!$M12*DV$25)*DV$36,IF('Operating Assumptions'!$L12="Fixed Amount",('Operating Assumptions'!$M12*DV$25)/12,IF('Operating Assumptions'!$L12="$/GSF",(('Operating Assumptions'!$M12*DV$25)*'Operating Assumptions'!$D$11)/12,IF('Operating Assumptions'!$L12="$/NSF",(('Operating Assumptions'!$M12*DV$25)*'Operating Assumptions'!$D$12)/12))))))))</f>
        <v>-4320</v>
      </c>
      <c r="DW84" s="427">
        <f>-IF(DW$9&lt;'Operating Assumptions'!$D$53,0,IF(DW$6&gt;'Operating Assumptions'!$AA$8,0,IF('Operating Assumptions'!$L12="N/A",0,IF('Operating Assumptions'!$L12="$/Unit/Annual",(('Operating Assumptions'!$M12*DW$25)*DW$36)/12,IF('Operating Assumptions'!$L12="$/Unit/Month",('Operating Assumptions'!$M12*DW$25)*DW$36,IF('Operating Assumptions'!$L12="Fixed Amount",('Operating Assumptions'!$M12*DW$25)/12,IF('Operating Assumptions'!$L12="$/GSF",(('Operating Assumptions'!$M12*DW$25)*'Operating Assumptions'!$D$11)/12,IF('Operating Assumptions'!$L12="$/NSF",(('Operating Assumptions'!$M12*DW$25)*'Operating Assumptions'!$D$12)/12))))))))</f>
        <v>-4320</v>
      </c>
      <c r="DX84" s="427">
        <f>-IF(DX$9&lt;'Operating Assumptions'!$D$53,0,IF(DX$6&gt;'Operating Assumptions'!$AA$8,0,IF('Operating Assumptions'!$L12="N/A",0,IF('Operating Assumptions'!$L12="$/Unit/Annual",(('Operating Assumptions'!$M12*DX$25)*DX$36)/12,IF('Operating Assumptions'!$L12="$/Unit/Month",('Operating Assumptions'!$M12*DX$25)*DX$36,IF('Operating Assumptions'!$L12="Fixed Amount",('Operating Assumptions'!$M12*DX$25)/12,IF('Operating Assumptions'!$L12="$/GSF",(('Operating Assumptions'!$M12*DX$25)*'Operating Assumptions'!$D$11)/12,IF('Operating Assumptions'!$L12="$/NSF",(('Operating Assumptions'!$M12*DX$25)*'Operating Assumptions'!$D$12)/12))))))))</f>
        <v>-4360.0000000000009</v>
      </c>
      <c r="DY84" s="427">
        <f>-IF(DY$9&lt;'Operating Assumptions'!$D$53,0,IF(DY$6&gt;'Operating Assumptions'!$AA$8,0,IF('Operating Assumptions'!$L12="N/A",0,IF('Operating Assumptions'!$L12="$/Unit/Annual",(('Operating Assumptions'!$M12*DY$25)*DY$36)/12,IF('Operating Assumptions'!$L12="$/Unit/Month",('Operating Assumptions'!$M12*DY$25)*DY$36,IF('Operating Assumptions'!$L12="Fixed Amount",('Operating Assumptions'!$M12*DY$25)/12,IF('Operating Assumptions'!$L12="$/GSF",(('Operating Assumptions'!$M12*DY$25)*'Operating Assumptions'!$D$11)/12,IF('Operating Assumptions'!$L12="$/NSF",(('Operating Assumptions'!$M12*DY$25)*'Operating Assumptions'!$D$12)/12))))))))</f>
        <v>-4360.0000000000009</v>
      </c>
      <c r="DZ84" s="427">
        <f>-IF(DZ$9&lt;'Operating Assumptions'!$D$53,0,IF(DZ$6&gt;'Operating Assumptions'!$AA$8,0,IF('Operating Assumptions'!$L12="N/A",0,IF('Operating Assumptions'!$L12="$/Unit/Annual",(('Operating Assumptions'!$M12*DZ$25)*DZ$36)/12,IF('Operating Assumptions'!$L12="$/Unit/Month",('Operating Assumptions'!$M12*DZ$25)*DZ$36,IF('Operating Assumptions'!$L12="Fixed Amount",('Operating Assumptions'!$M12*DZ$25)/12,IF('Operating Assumptions'!$L12="$/GSF",(('Operating Assumptions'!$M12*DZ$25)*'Operating Assumptions'!$D$11)/12,IF('Operating Assumptions'!$L12="$/NSF",(('Operating Assumptions'!$M12*DZ$25)*'Operating Assumptions'!$D$12)/12))))))))</f>
        <v>-4360.0000000000009</v>
      </c>
      <c r="EA84" s="427">
        <f>-IF(EA$9&lt;'Operating Assumptions'!$D$53,0,IF(EA$6&gt;'Operating Assumptions'!$AA$8,0,IF('Operating Assumptions'!$L12="N/A",0,IF('Operating Assumptions'!$L12="$/Unit/Annual",(('Operating Assumptions'!$M12*EA$25)*EA$36)/12,IF('Operating Assumptions'!$L12="$/Unit/Month",('Operating Assumptions'!$M12*EA$25)*EA$36,IF('Operating Assumptions'!$L12="Fixed Amount",('Operating Assumptions'!$M12*EA$25)/12,IF('Operating Assumptions'!$L12="$/GSF",(('Operating Assumptions'!$M12*EA$25)*'Operating Assumptions'!$D$11)/12,IF('Operating Assumptions'!$L12="$/NSF",(('Operating Assumptions'!$M12*EA$25)*'Operating Assumptions'!$D$12)/12))))))))</f>
        <v>-4360.0000000000009</v>
      </c>
      <c r="EB84" s="427">
        <f>-IF(EB$9&lt;'Operating Assumptions'!$D$53,0,IF(EB$6&gt;'Operating Assumptions'!$AA$8,0,IF('Operating Assumptions'!$L12="N/A",0,IF('Operating Assumptions'!$L12="$/Unit/Annual",(('Operating Assumptions'!$M12*EB$25)*EB$36)/12,IF('Operating Assumptions'!$L12="$/Unit/Month",('Operating Assumptions'!$M12*EB$25)*EB$36,IF('Operating Assumptions'!$L12="Fixed Amount",('Operating Assumptions'!$M12*EB$25)/12,IF('Operating Assumptions'!$L12="$/GSF",(('Operating Assumptions'!$M12*EB$25)*'Operating Assumptions'!$D$11)/12,IF('Operating Assumptions'!$L12="$/NSF",(('Operating Assumptions'!$M12*EB$25)*'Operating Assumptions'!$D$12)/12))))))))</f>
        <v>-4360.0000000000009</v>
      </c>
      <c r="EC84" s="427">
        <f>-IF(EC$9&lt;'Operating Assumptions'!$D$53,0,IF(EC$6&gt;'Operating Assumptions'!$AA$8,0,IF('Operating Assumptions'!$L12="N/A",0,IF('Operating Assumptions'!$L12="$/Unit/Annual",(('Operating Assumptions'!$M12*EC$25)*EC$36)/12,IF('Operating Assumptions'!$L12="$/Unit/Month",('Operating Assumptions'!$M12*EC$25)*EC$36,IF('Operating Assumptions'!$L12="Fixed Amount",('Operating Assumptions'!$M12*EC$25)/12,IF('Operating Assumptions'!$L12="$/GSF",(('Operating Assumptions'!$M12*EC$25)*'Operating Assumptions'!$D$11)/12,IF('Operating Assumptions'!$L12="$/NSF",(('Operating Assumptions'!$M12*EC$25)*'Operating Assumptions'!$D$12)/12))))))))</f>
        <v>-4360.0000000000009</v>
      </c>
      <c r="ED84" s="427">
        <f>-IF(ED$9&lt;'Operating Assumptions'!$D$53,0,IF(ED$6&gt;'Operating Assumptions'!$AA$8,0,IF('Operating Assumptions'!$L12="N/A",0,IF('Operating Assumptions'!$L12="$/Unit/Annual",(('Operating Assumptions'!$M12*ED$25)*ED$36)/12,IF('Operating Assumptions'!$L12="$/Unit/Month",('Operating Assumptions'!$M12*ED$25)*ED$36,IF('Operating Assumptions'!$L12="Fixed Amount",('Operating Assumptions'!$M12*ED$25)/12,IF('Operating Assumptions'!$L12="$/GSF",(('Operating Assumptions'!$M12*ED$25)*'Operating Assumptions'!$D$11)/12,IF('Operating Assumptions'!$L12="$/NSF",(('Operating Assumptions'!$M12*ED$25)*'Operating Assumptions'!$D$12)/12))))))))</f>
        <v>-4360.0000000000009</v>
      </c>
      <c r="EE84" s="427">
        <f>-IF(EE$9&lt;'Operating Assumptions'!$D$53,0,IF(EE$6&gt;'Operating Assumptions'!$AA$8,0,IF('Operating Assumptions'!$L12="N/A",0,IF('Operating Assumptions'!$L12="$/Unit/Annual",(('Operating Assumptions'!$M12*EE$25)*EE$36)/12,IF('Operating Assumptions'!$L12="$/Unit/Month",('Operating Assumptions'!$M12*EE$25)*EE$36,IF('Operating Assumptions'!$L12="Fixed Amount",('Operating Assumptions'!$M12*EE$25)/12,IF('Operating Assumptions'!$L12="$/GSF",(('Operating Assumptions'!$M12*EE$25)*'Operating Assumptions'!$D$11)/12,IF('Operating Assumptions'!$L12="$/NSF",(('Operating Assumptions'!$M12*EE$25)*'Operating Assumptions'!$D$12)/12))))))))</f>
        <v>-4360.0000000000009</v>
      </c>
      <c r="EF84" s="427">
        <f>-IF(EF$9&lt;'Operating Assumptions'!$D$53,0,IF(EF$6&gt;'Operating Assumptions'!$AA$8,0,IF('Operating Assumptions'!$L12="N/A",0,IF('Operating Assumptions'!$L12="$/Unit/Annual",(('Operating Assumptions'!$M12*EF$25)*EF$36)/12,IF('Operating Assumptions'!$L12="$/Unit/Month",('Operating Assumptions'!$M12*EF$25)*EF$36,IF('Operating Assumptions'!$L12="Fixed Amount",('Operating Assumptions'!$M12*EF$25)/12,IF('Operating Assumptions'!$L12="$/GSF",(('Operating Assumptions'!$M12*EF$25)*'Operating Assumptions'!$D$11)/12,IF('Operating Assumptions'!$L12="$/NSF",(('Operating Assumptions'!$M12*EF$25)*'Operating Assumptions'!$D$12)/12))))))))</f>
        <v>-4360.0000000000009</v>
      </c>
      <c r="EG84" s="427">
        <f>-IF(EG$9&lt;'Operating Assumptions'!$D$53,0,IF(EG$6&gt;'Operating Assumptions'!$AA$8,0,IF('Operating Assumptions'!$L12="N/A",0,IF('Operating Assumptions'!$L12="$/Unit/Annual",(('Operating Assumptions'!$M12*EG$25)*EG$36)/12,IF('Operating Assumptions'!$L12="$/Unit/Month",('Operating Assumptions'!$M12*EG$25)*EG$36,IF('Operating Assumptions'!$L12="Fixed Amount",('Operating Assumptions'!$M12*EG$25)/12,IF('Operating Assumptions'!$L12="$/GSF",(('Operating Assumptions'!$M12*EG$25)*'Operating Assumptions'!$D$11)/12,IF('Operating Assumptions'!$L12="$/NSF",(('Operating Assumptions'!$M12*EG$25)*'Operating Assumptions'!$D$12)/12))))))))</f>
        <v>-4360.0000000000009</v>
      </c>
      <c r="EH84" s="427">
        <f>-IF(EH$9&lt;'Operating Assumptions'!$D$53,0,IF(EH$6&gt;'Operating Assumptions'!$AA$8,0,IF('Operating Assumptions'!$L12="N/A",0,IF('Operating Assumptions'!$L12="$/Unit/Annual",(('Operating Assumptions'!$M12*EH$25)*EH$36)/12,IF('Operating Assumptions'!$L12="$/Unit/Month",('Operating Assumptions'!$M12*EH$25)*EH$36,IF('Operating Assumptions'!$L12="Fixed Amount",('Operating Assumptions'!$M12*EH$25)/12,IF('Operating Assumptions'!$L12="$/GSF",(('Operating Assumptions'!$M12*EH$25)*'Operating Assumptions'!$D$11)/12,IF('Operating Assumptions'!$L12="$/NSF",(('Operating Assumptions'!$M12*EH$25)*'Operating Assumptions'!$D$12)/12))))))))</f>
        <v>-4360.0000000000009</v>
      </c>
      <c r="EI84" s="427">
        <f>-IF(EI$9&lt;'Operating Assumptions'!$D$53,0,IF(EI$6&gt;'Operating Assumptions'!$AA$8,0,IF('Operating Assumptions'!$L12="N/A",0,IF('Operating Assumptions'!$L12="$/Unit/Annual",(('Operating Assumptions'!$M12*EI$25)*EI$36)/12,IF('Operating Assumptions'!$L12="$/Unit/Month",('Operating Assumptions'!$M12*EI$25)*EI$36,IF('Operating Assumptions'!$L12="Fixed Amount",('Operating Assumptions'!$M12*EI$25)/12,IF('Operating Assumptions'!$L12="$/GSF",(('Operating Assumptions'!$M12*EI$25)*'Operating Assumptions'!$D$11)/12,IF('Operating Assumptions'!$L12="$/NSF",(('Operating Assumptions'!$M12*EI$25)*'Operating Assumptions'!$D$12)/12))))))))</f>
        <v>-4360.0000000000009</v>
      </c>
      <c r="EJ84" s="427">
        <f>-IF(EJ$9&lt;'Operating Assumptions'!$D$53,0,IF(EJ$6&gt;'Operating Assumptions'!$AA$8,0,IF('Operating Assumptions'!$L12="N/A",0,IF('Operating Assumptions'!$L12="$/Unit/Annual",(('Operating Assumptions'!$M12*EJ$25)*EJ$36)/12,IF('Operating Assumptions'!$L12="$/Unit/Month",('Operating Assumptions'!$M12*EJ$25)*EJ$36,IF('Operating Assumptions'!$L12="Fixed Amount",('Operating Assumptions'!$M12*EJ$25)/12,IF('Operating Assumptions'!$L12="$/GSF",(('Operating Assumptions'!$M12*EJ$25)*'Operating Assumptions'!$D$11)/12,IF('Operating Assumptions'!$L12="$/NSF",(('Operating Assumptions'!$M12*EJ$25)*'Operating Assumptions'!$D$12)/12))))))))</f>
        <v>-4400.0000000000009</v>
      </c>
      <c r="EK84" s="427">
        <f>-IF(EK$9&lt;'Operating Assumptions'!$D$53,0,IF(EK$6&gt;'Operating Assumptions'!$AA$8,0,IF('Operating Assumptions'!$L12="N/A",0,IF('Operating Assumptions'!$L12="$/Unit/Annual",(('Operating Assumptions'!$M12*EK$25)*EK$36)/12,IF('Operating Assumptions'!$L12="$/Unit/Month",('Operating Assumptions'!$M12*EK$25)*EK$36,IF('Operating Assumptions'!$L12="Fixed Amount",('Operating Assumptions'!$M12*EK$25)/12,IF('Operating Assumptions'!$L12="$/GSF",(('Operating Assumptions'!$M12*EK$25)*'Operating Assumptions'!$D$11)/12,IF('Operating Assumptions'!$L12="$/NSF",(('Operating Assumptions'!$M12*EK$25)*'Operating Assumptions'!$D$12)/12))))))))</f>
        <v>-4400.0000000000009</v>
      </c>
      <c r="EL84" s="427">
        <f>-IF(EL$9&lt;'Operating Assumptions'!$D$53,0,IF(EL$6&gt;'Operating Assumptions'!$AA$8,0,IF('Operating Assumptions'!$L12="N/A",0,IF('Operating Assumptions'!$L12="$/Unit/Annual",(('Operating Assumptions'!$M12*EL$25)*EL$36)/12,IF('Operating Assumptions'!$L12="$/Unit/Month",('Operating Assumptions'!$M12*EL$25)*EL$36,IF('Operating Assumptions'!$L12="Fixed Amount",('Operating Assumptions'!$M12*EL$25)/12,IF('Operating Assumptions'!$L12="$/GSF",(('Operating Assumptions'!$M12*EL$25)*'Operating Assumptions'!$D$11)/12,IF('Operating Assumptions'!$L12="$/NSF",(('Operating Assumptions'!$M12*EL$25)*'Operating Assumptions'!$D$12)/12))))))))</f>
        <v>-4400.0000000000009</v>
      </c>
      <c r="EM84" s="427">
        <f>-IF(EM$9&lt;'Operating Assumptions'!$D$53,0,IF(EM$6&gt;'Operating Assumptions'!$AA$8,0,IF('Operating Assumptions'!$L12="N/A",0,IF('Operating Assumptions'!$L12="$/Unit/Annual",(('Operating Assumptions'!$M12*EM$25)*EM$36)/12,IF('Operating Assumptions'!$L12="$/Unit/Month",('Operating Assumptions'!$M12*EM$25)*EM$36,IF('Operating Assumptions'!$L12="Fixed Amount",('Operating Assumptions'!$M12*EM$25)/12,IF('Operating Assumptions'!$L12="$/GSF",(('Operating Assumptions'!$M12*EM$25)*'Operating Assumptions'!$D$11)/12,IF('Operating Assumptions'!$L12="$/NSF",(('Operating Assumptions'!$M12*EM$25)*'Operating Assumptions'!$D$12)/12))))))))</f>
        <v>-4400.0000000000009</v>
      </c>
      <c r="EN84" s="427">
        <f>-IF(EN$9&lt;'Operating Assumptions'!$D$53,0,IF(EN$6&gt;'Operating Assumptions'!$AA$8,0,IF('Operating Assumptions'!$L12="N/A",0,IF('Operating Assumptions'!$L12="$/Unit/Annual",(('Operating Assumptions'!$M12*EN$25)*EN$36)/12,IF('Operating Assumptions'!$L12="$/Unit/Month",('Operating Assumptions'!$M12*EN$25)*EN$36,IF('Operating Assumptions'!$L12="Fixed Amount",('Operating Assumptions'!$M12*EN$25)/12,IF('Operating Assumptions'!$L12="$/GSF",(('Operating Assumptions'!$M12*EN$25)*'Operating Assumptions'!$D$11)/12,IF('Operating Assumptions'!$L12="$/NSF",(('Operating Assumptions'!$M12*EN$25)*'Operating Assumptions'!$D$12)/12))))))))</f>
        <v>-4400.0000000000009</v>
      </c>
      <c r="EO84" s="427">
        <f>-IF(EO$9&lt;'Operating Assumptions'!$D$53,0,IF(EO$6&gt;'Operating Assumptions'!$AA$8,0,IF('Operating Assumptions'!$L12="N/A",0,IF('Operating Assumptions'!$L12="$/Unit/Annual",(('Operating Assumptions'!$M12*EO$25)*EO$36)/12,IF('Operating Assumptions'!$L12="$/Unit/Month",('Operating Assumptions'!$M12*EO$25)*EO$36,IF('Operating Assumptions'!$L12="Fixed Amount",('Operating Assumptions'!$M12*EO$25)/12,IF('Operating Assumptions'!$L12="$/GSF",(('Operating Assumptions'!$M12*EO$25)*'Operating Assumptions'!$D$11)/12,IF('Operating Assumptions'!$L12="$/NSF",(('Operating Assumptions'!$M12*EO$25)*'Operating Assumptions'!$D$12)/12))))))))</f>
        <v>-4400.0000000000009</v>
      </c>
      <c r="EP84" s="427">
        <f>-IF(EP$9&lt;'Operating Assumptions'!$D$53,0,IF(EP$6&gt;'Operating Assumptions'!$AA$8,0,IF('Operating Assumptions'!$L12="N/A",0,IF('Operating Assumptions'!$L12="$/Unit/Annual",(('Operating Assumptions'!$M12*EP$25)*EP$36)/12,IF('Operating Assumptions'!$L12="$/Unit/Month",('Operating Assumptions'!$M12*EP$25)*EP$36,IF('Operating Assumptions'!$L12="Fixed Amount",('Operating Assumptions'!$M12*EP$25)/12,IF('Operating Assumptions'!$L12="$/GSF",(('Operating Assumptions'!$M12*EP$25)*'Operating Assumptions'!$D$11)/12,IF('Operating Assumptions'!$L12="$/NSF",(('Operating Assumptions'!$M12*EP$25)*'Operating Assumptions'!$D$12)/12))))))))</f>
        <v>-4400.0000000000009</v>
      </c>
      <c r="EQ84" s="427">
        <f>-IF(EQ$9&lt;'Operating Assumptions'!$D$53,0,IF(EQ$6&gt;'Operating Assumptions'!$AA$8,0,IF('Operating Assumptions'!$L12="N/A",0,IF('Operating Assumptions'!$L12="$/Unit/Annual",(('Operating Assumptions'!$M12*EQ$25)*EQ$36)/12,IF('Operating Assumptions'!$L12="$/Unit/Month",('Operating Assumptions'!$M12*EQ$25)*EQ$36,IF('Operating Assumptions'!$L12="Fixed Amount",('Operating Assumptions'!$M12*EQ$25)/12,IF('Operating Assumptions'!$L12="$/GSF",(('Operating Assumptions'!$M12*EQ$25)*'Operating Assumptions'!$D$11)/12,IF('Operating Assumptions'!$L12="$/NSF",(('Operating Assumptions'!$M12*EQ$25)*'Operating Assumptions'!$D$12)/12))))))))</f>
        <v>-4400.0000000000009</v>
      </c>
      <c r="ER84" s="427">
        <f>-IF(ER$9&lt;'Operating Assumptions'!$D$53,0,IF(ER$6&gt;'Operating Assumptions'!$AA$8,0,IF('Operating Assumptions'!$L12="N/A",0,IF('Operating Assumptions'!$L12="$/Unit/Annual",(('Operating Assumptions'!$M12*ER$25)*ER$36)/12,IF('Operating Assumptions'!$L12="$/Unit/Month",('Operating Assumptions'!$M12*ER$25)*ER$36,IF('Operating Assumptions'!$L12="Fixed Amount",('Operating Assumptions'!$M12*ER$25)/12,IF('Operating Assumptions'!$L12="$/GSF",(('Operating Assumptions'!$M12*ER$25)*'Operating Assumptions'!$D$11)/12,IF('Operating Assumptions'!$L12="$/NSF",(('Operating Assumptions'!$M12*ER$25)*'Operating Assumptions'!$D$12)/12))))))))</f>
        <v>-4400.0000000000009</v>
      </c>
      <c r="ES84" s="427">
        <f>-IF(ES$9&lt;'Operating Assumptions'!$D$53,0,IF(ES$6&gt;'Operating Assumptions'!$AA$8,0,IF('Operating Assumptions'!$L12="N/A",0,IF('Operating Assumptions'!$L12="$/Unit/Annual",(('Operating Assumptions'!$M12*ES$25)*ES$36)/12,IF('Operating Assumptions'!$L12="$/Unit/Month",('Operating Assumptions'!$M12*ES$25)*ES$36,IF('Operating Assumptions'!$L12="Fixed Amount",('Operating Assumptions'!$M12*ES$25)/12,IF('Operating Assumptions'!$L12="$/GSF",(('Operating Assumptions'!$M12*ES$25)*'Operating Assumptions'!$D$11)/12,IF('Operating Assumptions'!$L12="$/NSF",(('Operating Assumptions'!$M12*ES$25)*'Operating Assumptions'!$D$12)/12))))))))</f>
        <v>-4400.0000000000009</v>
      </c>
      <c r="ET84" s="427">
        <f>-IF(ET$9&lt;'Operating Assumptions'!$D$53,0,IF(ET$6&gt;'Operating Assumptions'!$AA$8,0,IF('Operating Assumptions'!$L12="N/A",0,IF('Operating Assumptions'!$L12="$/Unit/Annual",(('Operating Assumptions'!$M12*ET$25)*ET$36)/12,IF('Operating Assumptions'!$L12="$/Unit/Month",('Operating Assumptions'!$M12*ET$25)*ET$36,IF('Operating Assumptions'!$L12="Fixed Amount",('Operating Assumptions'!$M12*ET$25)/12,IF('Operating Assumptions'!$L12="$/GSF",(('Operating Assumptions'!$M12*ET$25)*'Operating Assumptions'!$D$11)/12,IF('Operating Assumptions'!$L12="$/NSF",(('Operating Assumptions'!$M12*ET$25)*'Operating Assumptions'!$D$12)/12))))))))</f>
        <v>-4400.0000000000009</v>
      </c>
      <c r="EU84" s="427">
        <f>-IF(EU$9&lt;'Operating Assumptions'!$D$53,0,IF(EU$6&gt;'Operating Assumptions'!$AA$8,0,IF('Operating Assumptions'!$L12="N/A",0,IF('Operating Assumptions'!$L12="$/Unit/Annual",(('Operating Assumptions'!$M12*EU$25)*EU$36)/12,IF('Operating Assumptions'!$L12="$/Unit/Month",('Operating Assumptions'!$M12*EU$25)*EU$36,IF('Operating Assumptions'!$L12="Fixed Amount",('Operating Assumptions'!$M12*EU$25)/12,IF('Operating Assumptions'!$L12="$/GSF",(('Operating Assumptions'!$M12*EU$25)*'Operating Assumptions'!$D$11)/12,IF('Operating Assumptions'!$L12="$/NSF",(('Operating Assumptions'!$M12*EU$25)*'Operating Assumptions'!$D$12)/12))))))))</f>
        <v>-4400.0000000000009</v>
      </c>
      <c r="EV84" s="427">
        <f>-IF(EV$9&lt;'Operating Assumptions'!$D$53,0,IF(EV$6&gt;'Operating Assumptions'!$AA$8,0,IF('Operating Assumptions'!$L12="N/A",0,IF('Operating Assumptions'!$L12="$/Unit/Annual",(('Operating Assumptions'!$M12*EV$25)*EV$36)/12,IF('Operating Assumptions'!$L12="$/Unit/Month",('Operating Assumptions'!$M12*EV$25)*EV$36,IF('Operating Assumptions'!$L12="Fixed Amount",('Operating Assumptions'!$M12*EV$25)/12,IF('Operating Assumptions'!$L12="$/GSF",(('Operating Assumptions'!$M12*EV$25)*'Operating Assumptions'!$D$11)/12,IF('Operating Assumptions'!$L12="$/NSF",(('Operating Assumptions'!$M12*EV$25)*'Operating Assumptions'!$D$12)/12))))))))</f>
        <v>0</v>
      </c>
      <c r="EW84" s="427">
        <f>-IF(EW$9&lt;'Operating Assumptions'!$D$53,0,IF(EW$6&gt;'Operating Assumptions'!$AA$8,0,IF('Operating Assumptions'!$L12="N/A",0,IF('Operating Assumptions'!$L12="$/Unit/Annual",(('Operating Assumptions'!$M12*EW$25)*EW$36)/12,IF('Operating Assumptions'!$L12="$/Unit/Month",('Operating Assumptions'!$M12*EW$25)*EW$36,IF('Operating Assumptions'!$L12="Fixed Amount",('Operating Assumptions'!$M12*EW$25)/12,IF('Operating Assumptions'!$L12="$/GSF",(('Operating Assumptions'!$M12*EW$25)*'Operating Assumptions'!$D$11)/12,IF('Operating Assumptions'!$L12="$/NSF",(('Operating Assumptions'!$M12*EW$25)*'Operating Assumptions'!$D$12)/12))))))))</f>
        <v>0</v>
      </c>
      <c r="EX84" s="427">
        <f>-IF(EX$9&lt;'Operating Assumptions'!$D$53,0,IF(EX$6&gt;'Operating Assumptions'!$AA$8,0,IF('Operating Assumptions'!$L12="N/A",0,IF('Operating Assumptions'!$L12="$/Unit/Annual",(('Operating Assumptions'!$M12*EX$25)*EX$36)/12,IF('Operating Assumptions'!$L12="$/Unit/Month",('Operating Assumptions'!$M12*EX$25)*EX$36,IF('Operating Assumptions'!$L12="Fixed Amount",('Operating Assumptions'!$M12*EX$25)/12,IF('Operating Assumptions'!$L12="$/GSF",(('Operating Assumptions'!$M12*EX$25)*'Operating Assumptions'!$D$11)/12,IF('Operating Assumptions'!$L12="$/NSF",(('Operating Assumptions'!$M12*EX$25)*'Operating Assumptions'!$D$12)/12))))))))</f>
        <v>0</v>
      </c>
      <c r="EY84" s="427">
        <f>-IF(EY$9&lt;'Operating Assumptions'!$D$53,0,IF(EY$6&gt;'Operating Assumptions'!$AA$8,0,IF('Operating Assumptions'!$L12="N/A",0,IF('Operating Assumptions'!$L12="$/Unit/Annual",(('Operating Assumptions'!$M12*EY$25)*EY$36)/12,IF('Operating Assumptions'!$L12="$/Unit/Month",('Operating Assumptions'!$M12*EY$25)*EY$36,IF('Operating Assumptions'!$L12="Fixed Amount",('Operating Assumptions'!$M12*EY$25)/12,IF('Operating Assumptions'!$L12="$/GSF",(('Operating Assumptions'!$M12*EY$25)*'Operating Assumptions'!$D$11)/12,IF('Operating Assumptions'!$L12="$/NSF",(('Operating Assumptions'!$M12*EY$25)*'Operating Assumptions'!$D$12)/12))))))))</f>
        <v>0</v>
      </c>
      <c r="EZ84" s="427">
        <f>-IF(EZ$9&lt;'Operating Assumptions'!$D$53,0,IF(EZ$6&gt;'Operating Assumptions'!$AA$8,0,IF('Operating Assumptions'!$L12="N/A",0,IF('Operating Assumptions'!$L12="$/Unit/Annual",(('Operating Assumptions'!$M12*EZ$25)*EZ$36)/12,IF('Operating Assumptions'!$L12="$/Unit/Month",('Operating Assumptions'!$M12*EZ$25)*EZ$36,IF('Operating Assumptions'!$L12="Fixed Amount",('Operating Assumptions'!$M12*EZ$25)/12,IF('Operating Assumptions'!$L12="$/GSF",(('Operating Assumptions'!$M12*EZ$25)*'Operating Assumptions'!$D$11)/12,IF('Operating Assumptions'!$L12="$/NSF",(('Operating Assumptions'!$M12*EZ$25)*'Operating Assumptions'!$D$12)/12))))))))</f>
        <v>0</v>
      </c>
      <c r="FA84" s="427">
        <f>-IF(FA$9&lt;'Operating Assumptions'!$D$53,0,IF(FA$6&gt;'Operating Assumptions'!$AA$8,0,IF('Operating Assumptions'!$L12="N/A",0,IF('Operating Assumptions'!$L12="$/Unit/Annual",(('Operating Assumptions'!$M12*FA$25)*FA$36)/12,IF('Operating Assumptions'!$L12="$/Unit/Month",('Operating Assumptions'!$M12*FA$25)*FA$36,IF('Operating Assumptions'!$L12="Fixed Amount",('Operating Assumptions'!$M12*FA$25)/12,IF('Operating Assumptions'!$L12="$/GSF",(('Operating Assumptions'!$M12*FA$25)*'Operating Assumptions'!$D$11)/12,IF('Operating Assumptions'!$L12="$/NSF",(('Operating Assumptions'!$M12*FA$25)*'Operating Assumptions'!$D$12)/12))))))))</f>
        <v>0</v>
      </c>
      <c r="FB84" s="427">
        <f>-IF(FB$9&lt;'Operating Assumptions'!$D$53,0,IF(FB$6&gt;'Operating Assumptions'!$AA$8,0,IF('Operating Assumptions'!$L12="N/A",0,IF('Operating Assumptions'!$L12="$/Unit/Annual",(('Operating Assumptions'!$M12*FB$25)*FB$36)/12,IF('Operating Assumptions'!$L12="$/Unit/Month",('Operating Assumptions'!$M12*FB$25)*FB$36,IF('Operating Assumptions'!$L12="Fixed Amount",('Operating Assumptions'!$M12*FB$25)/12,IF('Operating Assumptions'!$L12="$/GSF",(('Operating Assumptions'!$M12*FB$25)*'Operating Assumptions'!$D$11)/12,IF('Operating Assumptions'!$L12="$/NSF",(('Operating Assumptions'!$M12*FB$25)*'Operating Assumptions'!$D$12)/12))))))))</f>
        <v>0</v>
      </c>
      <c r="FC84" s="427">
        <f>-IF(FC$9&lt;'Operating Assumptions'!$D$53,0,IF(FC$6&gt;'Operating Assumptions'!$AA$8,0,IF('Operating Assumptions'!$L12="N/A",0,IF('Operating Assumptions'!$L12="$/Unit/Annual",(('Operating Assumptions'!$M12*FC$25)*FC$36)/12,IF('Operating Assumptions'!$L12="$/Unit/Month",('Operating Assumptions'!$M12*FC$25)*FC$36,IF('Operating Assumptions'!$L12="Fixed Amount",('Operating Assumptions'!$M12*FC$25)/12,IF('Operating Assumptions'!$L12="$/GSF",(('Operating Assumptions'!$M12*FC$25)*'Operating Assumptions'!$D$11)/12,IF('Operating Assumptions'!$L12="$/NSF",(('Operating Assumptions'!$M12*FC$25)*'Operating Assumptions'!$D$12)/12))))))))</f>
        <v>0</v>
      </c>
      <c r="FD84" s="427">
        <f>-IF(FD$9&lt;'Operating Assumptions'!$D$53,0,IF(FD$6&gt;'Operating Assumptions'!$AA$8,0,IF('Operating Assumptions'!$L12="N/A",0,IF('Operating Assumptions'!$L12="$/Unit/Annual",(('Operating Assumptions'!$M12*FD$25)*FD$36)/12,IF('Operating Assumptions'!$L12="$/Unit/Month",('Operating Assumptions'!$M12*FD$25)*FD$36,IF('Operating Assumptions'!$L12="Fixed Amount",('Operating Assumptions'!$M12*FD$25)/12,IF('Operating Assumptions'!$L12="$/GSF",(('Operating Assumptions'!$M12*FD$25)*'Operating Assumptions'!$D$11)/12,IF('Operating Assumptions'!$L12="$/NSF",(('Operating Assumptions'!$M12*FD$25)*'Operating Assumptions'!$D$12)/12))))))))</f>
        <v>0</v>
      </c>
      <c r="FE84" s="427">
        <f>-IF(FE$9&lt;'Operating Assumptions'!$D$53,0,IF(FE$6&gt;'Operating Assumptions'!$AA$8,0,IF('Operating Assumptions'!$L12="N/A",0,IF('Operating Assumptions'!$L12="$/Unit/Annual",(('Operating Assumptions'!$M12*FE$25)*FE$36)/12,IF('Operating Assumptions'!$L12="$/Unit/Month",('Operating Assumptions'!$M12*FE$25)*FE$36,IF('Operating Assumptions'!$L12="Fixed Amount",('Operating Assumptions'!$M12*FE$25)/12,IF('Operating Assumptions'!$L12="$/GSF",(('Operating Assumptions'!$M12*FE$25)*'Operating Assumptions'!$D$11)/12,IF('Operating Assumptions'!$L12="$/NSF",(('Operating Assumptions'!$M12*FE$25)*'Operating Assumptions'!$D$12)/12))))))))</f>
        <v>0</v>
      </c>
      <c r="FF84" s="427">
        <f>-IF(FF$9&lt;'Operating Assumptions'!$D$53,0,IF(FF$6&gt;'Operating Assumptions'!$AA$8,0,IF('Operating Assumptions'!$L12="N/A",0,IF('Operating Assumptions'!$L12="$/Unit/Annual",(('Operating Assumptions'!$M12*FF$25)*FF$36)/12,IF('Operating Assumptions'!$L12="$/Unit/Month",('Operating Assumptions'!$M12*FF$25)*FF$36,IF('Operating Assumptions'!$L12="Fixed Amount",('Operating Assumptions'!$M12*FF$25)/12,IF('Operating Assumptions'!$L12="$/GSF",(('Operating Assumptions'!$M12*FF$25)*'Operating Assumptions'!$D$11)/12,IF('Operating Assumptions'!$L12="$/NSF",(('Operating Assumptions'!$M12*FF$25)*'Operating Assumptions'!$D$12)/12))))))))</f>
        <v>0</v>
      </c>
      <c r="FG84" s="427">
        <f>-IF(FG$9&lt;'Operating Assumptions'!$D$53,0,IF(FG$6&gt;'Operating Assumptions'!$AA$8,0,IF('Operating Assumptions'!$L12="N/A",0,IF('Operating Assumptions'!$L12="$/Unit/Annual",(('Operating Assumptions'!$M12*FG$25)*FG$36)/12,IF('Operating Assumptions'!$L12="$/Unit/Month",('Operating Assumptions'!$M12*FG$25)*FG$36,IF('Operating Assumptions'!$L12="Fixed Amount",('Operating Assumptions'!$M12*FG$25)/12,IF('Operating Assumptions'!$L12="$/GSF",(('Operating Assumptions'!$M12*FG$25)*'Operating Assumptions'!$D$11)/12,IF('Operating Assumptions'!$L12="$/NSF",(('Operating Assumptions'!$M12*FG$25)*'Operating Assumptions'!$D$12)/12))))))))</f>
        <v>0</v>
      </c>
      <c r="FH84" s="427">
        <f>-IF(FH$9&lt;'Operating Assumptions'!$D$53,0,IF(FH$6&gt;'Operating Assumptions'!$AA$8,0,IF('Operating Assumptions'!$L12="N/A",0,IF('Operating Assumptions'!$L12="$/Unit/Annual",(('Operating Assumptions'!$M12*FH$25)*FH$36)/12,IF('Operating Assumptions'!$L12="$/Unit/Month",('Operating Assumptions'!$M12*FH$25)*FH$36,IF('Operating Assumptions'!$L12="Fixed Amount",('Operating Assumptions'!$M12*FH$25)/12,IF('Operating Assumptions'!$L12="$/GSF",(('Operating Assumptions'!$M12*FH$25)*'Operating Assumptions'!$D$11)/12,IF('Operating Assumptions'!$L12="$/NSF",(('Operating Assumptions'!$M12*FH$25)*'Operating Assumptions'!$D$12)/12))))))))</f>
        <v>0</v>
      </c>
      <c r="FI84" s="427">
        <f>-IF(FI$9&lt;'Operating Assumptions'!$D$53,0,IF(FI$6&gt;'Operating Assumptions'!$AA$8,0,IF('Operating Assumptions'!$L12="N/A",0,IF('Operating Assumptions'!$L12="$/Unit/Annual",(('Operating Assumptions'!$M12*FI$25)*FI$36)/12,IF('Operating Assumptions'!$L12="$/Unit/Month",('Operating Assumptions'!$M12*FI$25)*FI$36,IF('Operating Assumptions'!$L12="Fixed Amount",('Operating Assumptions'!$M12*FI$25)/12,IF('Operating Assumptions'!$L12="$/GSF",(('Operating Assumptions'!$M12*FI$25)*'Operating Assumptions'!$D$11)/12,IF('Operating Assumptions'!$L12="$/NSF",(('Operating Assumptions'!$M12*FI$25)*'Operating Assumptions'!$D$12)/12))))))))</f>
        <v>0</v>
      </c>
      <c r="FJ84" s="427">
        <f>-IF(FJ$9&lt;'Operating Assumptions'!$D$53,0,IF(FJ$6&gt;'Operating Assumptions'!$AA$8,0,IF('Operating Assumptions'!$L12="N/A",0,IF('Operating Assumptions'!$L12="$/Unit/Annual",(('Operating Assumptions'!$M12*FJ$25)*FJ$36)/12,IF('Operating Assumptions'!$L12="$/Unit/Month",('Operating Assumptions'!$M12*FJ$25)*FJ$36,IF('Operating Assumptions'!$L12="Fixed Amount",('Operating Assumptions'!$M12*FJ$25)/12,IF('Operating Assumptions'!$L12="$/GSF",(('Operating Assumptions'!$M12*FJ$25)*'Operating Assumptions'!$D$11)/12,IF('Operating Assumptions'!$L12="$/NSF",(('Operating Assumptions'!$M12*FJ$25)*'Operating Assumptions'!$D$12)/12))))))))</f>
        <v>0</v>
      </c>
      <c r="FK84" s="427">
        <f>-IF(FK$9&lt;'Operating Assumptions'!$D$53,0,IF(FK$6&gt;'Operating Assumptions'!$AA$8,0,IF('Operating Assumptions'!$L12="N/A",0,IF('Operating Assumptions'!$L12="$/Unit/Annual",(('Operating Assumptions'!$M12*FK$25)*FK$36)/12,IF('Operating Assumptions'!$L12="$/Unit/Month",('Operating Assumptions'!$M12*FK$25)*FK$36,IF('Operating Assumptions'!$L12="Fixed Amount",('Operating Assumptions'!$M12*FK$25)/12,IF('Operating Assumptions'!$L12="$/GSF",(('Operating Assumptions'!$M12*FK$25)*'Operating Assumptions'!$D$11)/12,IF('Operating Assumptions'!$L12="$/NSF",(('Operating Assumptions'!$M12*FK$25)*'Operating Assumptions'!$D$12)/12))))))))</f>
        <v>0</v>
      </c>
      <c r="FL84" s="427">
        <f>-IF(FL$9&lt;'Operating Assumptions'!$D$53,0,IF(FL$6&gt;'Operating Assumptions'!$AA$8,0,IF('Operating Assumptions'!$L12="N/A",0,IF('Operating Assumptions'!$L12="$/Unit/Annual",(('Operating Assumptions'!$M12*FL$25)*FL$36)/12,IF('Operating Assumptions'!$L12="$/Unit/Month",('Operating Assumptions'!$M12*FL$25)*FL$36,IF('Operating Assumptions'!$L12="Fixed Amount",('Operating Assumptions'!$M12*FL$25)/12,IF('Operating Assumptions'!$L12="$/GSF",(('Operating Assumptions'!$M12*FL$25)*'Operating Assumptions'!$D$11)/12,IF('Operating Assumptions'!$L12="$/NSF",(('Operating Assumptions'!$M12*FL$25)*'Operating Assumptions'!$D$12)/12))))))))</f>
        <v>0</v>
      </c>
      <c r="FM84" s="427">
        <f>-IF(FM$9&lt;'Operating Assumptions'!$D$53,0,IF(FM$6&gt;'Operating Assumptions'!$AA$8,0,IF('Operating Assumptions'!$L12="N/A",0,IF('Operating Assumptions'!$L12="$/Unit/Annual",(('Operating Assumptions'!$M12*FM$25)*FM$36)/12,IF('Operating Assumptions'!$L12="$/Unit/Month",('Operating Assumptions'!$M12*FM$25)*FM$36,IF('Operating Assumptions'!$L12="Fixed Amount",('Operating Assumptions'!$M12*FM$25)/12,IF('Operating Assumptions'!$L12="$/GSF",(('Operating Assumptions'!$M12*FM$25)*'Operating Assumptions'!$D$11)/12,IF('Operating Assumptions'!$L12="$/NSF",(('Operating Assumptions'!$M12*FM$25)*'Operating Assumptions'!$D$12)/12))))))))</f>
        <v>0</v>
      </c>
      <c r="FN84" s="427">
        <f>-IF(FN$9&lt;'Operating Assumptions'!$D$53,0,IF(FN$6&gt;'Operating Assumptions'!$AA$8,0,IF('Operating Assumptions'!$L12="N/A",0,IF('Operating Assumptions'!$L12="$/Unit/Annual",(('Operating Assumptions'!$M12*FN$25)*FN$36)/12,IF('Operating Assumptions'!$L12="$/Unit/Month",('Operating Assumptions'!$M12*FN$25)*FN$36,IF('Operating Assumptions'!$L12="Fixed Amount",('Operating Assumptions'!$M12*FN$25)/12,IF('Operating Assumptions'!$L12="$/GSF",(('Operating Assumptions'!$M12*FN$25)*'Operating Assumptions'!$D$11)/12,IF('Operating Assumptions'!$L12="$/NSF",(('Operating Assumptions'!$M12*FN$25)*'Operating Assumptions'!$D$12)/12))))))))</f>
        <v>0</v>
      </c>
      <c r="FO84" s="427">
        <f>-IF(FO$9&lt;'Operating Assumptions'!$D$53,0,IF(FO$6&gt;'Operating Assumptions'!$AA$8,0,IF('Operating Assumptions'!$L12="N/A",0,IF('Operating Assumptions'!$L12="$/Unit/Annual",(('Operating Assumptions'!$M12*FO$25)*FO$36)/12,IF('Operating Assumptions'!$L12="$/Unit/Month",('Operating Assumptions'!$M12*FO$25)*FO$36,IF('Operating Assumptions'!$L12="Fixed Amount",('Operating Assumptions'!$M12*FO$25)/12,IF('Operating Assumptions'!$L12="$/GSF",(('Operating Assumptions'!$M12*FO$25)*'Operating Assumptions'!$D$11)/12,IF('Operating Assumptions'!$L12="$/NSF",(('Operating Assumptions'!$M12*FO$25)*'Operating Assumptions'!$D$12)/12))))))))</f>
        <v>0</v>
      </c>
      <c r="FP84" s="427">
        <f>-IF(FP$9&lt;'Operating Assumptions'!$D$53,0,IF(FP$6&gt;'Operating Assumptions'!$AA$8,0,IF('Operating Assumptions'!$L12="N/A",0,IF('Operating Assumptions'!$L12="$/Unit/Annual",(('Operating Assumptions'!$M12*FP$25)*FP$36)/12,IF('Operating Assumptions'!$L12="$/Unit/Month",('Operating Assumptions'!$M12*FP$25)*FP$36,IF('Operating Assumptions'!$L12="Fixed Amount",('Operating Assumptions'!$M12*FP$25)/12,IF('Operating Assumptions'!$L12="$/GSF",(('Operating Assumptions'!$M12*FP$25)*'Operating Assumptions'!$D$11)/12,IF('Operating Assumptions'!$L12="$/NSF",(('Operating Assumptions'!$M12*FP$25)*'Operating Assumptions'!$D$12)/12))))))))</f>
        <v>0</v>
      </c>
      <c r="FQ84" s="427">
        <f>-IF(FQ$9&lt;'Operating Assumptions'!$D$53,0,IF(FQ$6&gt;'Operating Assumptions'!$AA$8,0,IF('Operating Assumptions'!$L12="N/A",0,IF('Operating Assumptions'!$L12="$/Unit/Annual",(('Operating Assumptions'!$M12*FQ$25)*FQ$36)/12,IF('Operating Assumptions'!$L12="$/Unit/Month",('Operating Assumptions'!$M12*FQ$25)*FQ$36,IF('Operating Assumptions'!$L12="Fixed Amount",('Operating Assumptions'!$M12*FQ$25)/12,IF('Operating Assumptions'!$L12="$/GSF",(('Operating Assumptions'!$M12*FQ$25)*'Operating Assumptions'!$D$11)/12,IF('Operating Assumptions'!$L12="$/NSF",(('Operating Assumptions'!$M12*FQ$25)*'Operating Assumptions'!$D$12)/12))))))))</f>
        <v>0</v>
      </c>
      <c r="FR84" s="427">
        <f>-IF(FR$9&lt;'Operating Assumptions'!$D$53,0,IF(FR$6&gt;'Operating Assumptions'!$AA$8,0,IF('Operating Assumptions'!$L12="N/A",0,IF('Operating Assumptions'!$L12="$/Unit/Annual",(('Operating Assumptions'!$M12*FR$25)*FR$36)/12,IF('Operating Assumptions'!$L12="$/Unit/Month",('Operating Assumptions'!$M12*FR$25)*FR$36,IF('Operating Assumptions'!$L12="Fixed Amount",('Operating Assumptions'!$M12*FR$25)/12,IF('Operating Assumptions'!$L12="$/GSF",(('Operating Assumptions'!$M12*FR$25)*'Operating Assumptions'!$D$11)/12,IF('Operating Assumptions'!$L12="$/NSF",(('Operating Assumptions'!$M12*FR$25)*'Operating Assumptions'!$D$12)/12))))))))</f>
        <v>0</v>
      </c>
      <c r="FS84" s="427">
        <f>-IF(FS$9&lt;'Operating Assumptions'!$D$53,0,IF(FS$6&gt;'Operating Assumptions'!$AA$8,0,IF('Operating Assumptions'!$L12="N/A",0,IF('Operating Assumptions'!$L12="$/Unit/Annual",(('Operating Assumptions'!$M12*FS$25)*FS$36)/12,IF('Operating Assumptions'!$L12="$/Unit/Month",('Operating Assumptions'!$M12*FS$25)*FS$36,IF('Operating Assumptions'!$L12="Fixed Amount",('Operating Assumptions'!$M12*FS$25)/12,IF('Operating Assumptions'!$L12="$/GSF",(('Operating Assumptions'!$M12*FS$25)*'Operating Assumptions'!$D$11)/12,IF('Operating Assumptions'!$L12="$/NSF",(('Operating Assumptions'!$M12*FS$25)*'Operating Assumptions'!$D$12)/12))))))))</f>
        <v>0</v>
      </c>
      <c r="FT84" s="427">
        <f>-IF(FT$9&lt;'Operating Assumptions'!$D$53,0,IF(FT$6&gt;'Operating Assumptions'!$AA$8,0,IF('Operating Assumptions'!$L12="N/A",0,IF('Operating Assumptions'!$L12="$/Unit/Annual",(('Operating Assumptions'!$M12*FT$25)*FT$36)/12,IF('Operating Assumptions'!$L12="$/Unit/Month",('Operating Assumptions'!$M12*FT$25)*FT$36,IF('Operating Assumptions'!$L12="Fixed Amount",('Operating Assumptions'!$M12*FT$25)/12,IF('Operating Assumptions'!$L12="$/GSF",(('Operating Assumptions'!$M12*FT$25)*'Operating Assumptions'!$D$11)/12,IF('Operating Assumptions'!$L12="$/NSF",(('Operating Assumptions'!$M12*FT$25)*'Operating Assumptions'!$D$12)/12))))))))</f>
        <v>0</v>
      </c>
      <c r="FU84" s="43"/>
      <c r="FV84" s="34"/>
      <c r="FW84" s="34"/>
      <c r="FX84" s="34"/>
      <c r="FY84" s="34"/>
      <c r="FZ84" s="34"/>
    </row>
    <row r="85" spans="1:182" s="89" customFormat="1" ht="13.5" x14ac:dyDescent="0.25">
      <c r="A85" s="34"/>
      <c r="B85" s="128" t="str">
        <f>'Operating Assumptions'!K13</f>
        <v xml:space="preserve">General &amp; Administrative </v>
      </c>
      <c r="C85" s="34"/>
      <c r="D85" s="34"/>
      <c r="E85" s="34"/>
      <c r="F85" s="434">
        <f t="shared" si="172"/>
        <v>-507082.5</v>
      </c>
      <c r="G85" s="34"/>
      <c r="H85" s="427">
        <f>-IF(H$9&lt;'Operating Assumptions'!$D$53,0,IF(H$6&gt;'Operating Assumptions'!$AA$8,0,IF('Operating Assumptions'!$L13="N/A",0,IF('Operating Assumptions'!$L13="$/Unit/Annual",(('Operating Assumptions'!$M13*H$25)*H$36)/12,IF('Operating Assumptions'!$L13="$/Unit/Month",('Operating Assumptions'!$M13*H$25)*H$36,IF('Operating Assumptions'!$L13="Fixed Amount",('Operating Assumptions'!$M13*H$25)/12,IF('Operating Assumptions'!$L13="$/GSF",(('Operating Assumptions'!$M13*H$25)*'Operating Assumptions'!$D$11)/12,IF('Operating Assumptions'!$L13="$/NSF",(('Operating Assumptions'!$M13*H$25)*'Operating Assumptions'!$D$12)/12))))))))</f>
        <v>0</v>
      </c>
      <c r="I85" s="427">
        <f>-IF(I$9&lt;'Operating Assumptions'!$D$53,0,IF(I$6&gt;'Operating Assumptions'!$AA$8,0,IF('Operating Assumptions'!$L13="N/A",0,IF('Operating Assumptions'!$L13="$/Unit/Annual",(('Operating Assumptions'!$M13*I$25)*I$36)/12,IF('Operating Assumptions'!$L13="$/Unit/Month",('Operating Assumptions'!$M13*I$25)*I$36,IF('Operating Assumptions'!$L13="Fixed Amount",('Operating Assumptions'!$M13*I$25)/12,IF('Operating Assumptions'!$L13="$/GSF",(('Operating Assumptions'!$M13*I$25)*'Operating Assumptions'!$D$11)/12,IF('Operating Assumptions'!$L13="$/NSF",(('Operating Assumptions'!$M13*I$25)*'Operating Assumptions'!$D$12)/12))))))))</f>
        <v>0</v>
      </c>
      <c r="J85" s="427">
        <f>-IF(J$9&lt;'Operating Assumptions'!$D$53,0,IF(J$6&gt;'Operating Assumptions'!$AA$8,0,IF('Operating Assumptions'!$L13="N/A",0,IF('Operating Assumptions'!$L13="$/Unit/Annual",(('Operating Assumptions'!$M13*J$25)*J$36)/12,IF('Operating Assumptions'!$L13="$/Unit/Month",('Operating Assumptions'!$M13*J$25)*J$36,IF('Operating Assumptions'!$L13="Fixed Amount",('Operating Assumptions'!$M13*J$25)/12,IF('Operating Assumptions'!$L13="$/GSF",(('Operating Assumptions'!$M13*J$25)*'Operating Assumptions'!$D$11)/12,IF('Operating Assumptions'!$L13="$/NSF",(('Operating Assumptions'!$M13*J$25)*'Operating Assumptions'!$D$12)/12))))))))</f>
        <v>0</v>
      </c>
      <c r="K85" s="427">
        <f>-IF(K$9&lt;'Operating Assumptions'!$D$53,0,IF(K$6&gt;'Operating Assumptions'!$AA$8,0,IF('Operating Assumptions'!$L13="N/A",0,IF('Operating Assumptions'!$L13="$/Unit/Annual",(('Operating Assumptions'!$M13*K$25)*K$36)/12,IF('Operating Assumptions'!$L13="$/Unit/Month",('Operating Assumptions'!$M13*K$25)*K$36,IF('Operating Assumptions'!$L13="Fixed Amount",('Operating Assumptions'!$M13*K$25)/12,IF('Operating Assumptions'!$L13="$/GSF",(('Operating Assumptions'!$M13*K$25)*'Operating Assumptions'!$D$11)/12,IF('Operating Assumptions'!$L13="$/NSF",(('Operating Assumptions'!$M13*K$25)*'Operating Assumptions'!$D$12)/12))))))))</f>
        <v>0</v>
      </c>
      <c r="L85" s="427">
        <f>-IF(L$9&lt;'Operating Assumptions'!$D$53,0,IF(L$6&gt;'Operating Assumptions'!$AA$8,0,IF('Operating Assumptions'!$L13="N/A",0,IF('Operating Assumptions'!$L13="$/Unit/Annual",(('Operating Assumptions'!$M13*L$25)*L$36)/12,IF('Operating Assumptions'!$L13="$/Unit/Month",('Operating Assumptions'!$M13*L$25)*L$36,IF('Operating Assumptions'!$L13="Fixed Amount",('Operating Assumptions'!$M13*L$25)/12,IF('Operating Assumptions'!$L13="$/GSF",(('Operating Assumptions'!$M13*L$25)*'Operating Assumptions'!$D$11)/12,IF('Operating Assumptions'!$L13="$/NSF",(('Operating Assumptions'!$M13*L$25)*'Operating Assumptions'!$D$12)/12))))))))</f>
        <v>0</v>
      </c>
      <c r="M85" s="427">
        <f>-IF(M$9&lt;'Operating Assumptions'!$D$53,0,IF(M$6&gt;'Operating Assumptions'!$AA$8,0,IF('Operating Assumptions'!$L13="N/A",0,IF('Operating Assumptions'!$L13="$/Unit/Annual",(('Operating Assumptions'!$M13*M$25)*M$36)/12,IF('Operating Assumptions'!$L13="$/Unit/Month",('Operating Assumptions'!$M13*M$25)*M$36,IF('Operating Assumptions'!$L13="Fixed Amount",('Operating Assumptions'!$M13*M$25)/12,IF('Operating Assumptions'!$L13="$/GSF",(('Operating Assumptions'!$M13*M$25)*'Operating Assumptions'!$D$11)/12,IF('Operating Assumptions'!$L13="$/NSF",(('Operating Assumptions'!$M13*M$25)*'Operating Assumptions'!$D$12)/12))))))))</f>
        <v>0</v>
      </c>
      <c r="N85" s="427">
        <f>-IF(N$9&lt;'Operating Assumptions'!$D$53,0,IF(N$6&gt;'Operating Assumptions'!$AA$8,0,IF('Operating Assumptions'!$L13="N/A",0,IF('Operating Assumptions'!$L13="$/Unit/Annual",(('Operating Assumptions'!$M13*N$25)*N$36)/12,IF('Operating Assumptions'!$L13="$/Unit/Month",('Operating Assumptions'!$M13*N$25)*N$36,IF('Operating Assumptions'!$L13="Fixed Amount",('Operating Assumptions'!$M13*N$25)/12,IF('Operating Assumptions'!$L13="$/GSF",(('Operating Assumptions'!$M13*N$25)*'Operating Assumptions'!$D$11)/12,IF('Operating Assumptions'!$L13="$/NSF",(('Operating Assumptions'!$M13*N$25)*'Operating Assumptions'!$D$12)/12))))))))</f>
        <v>0</v>
      </c>
      <c r="O85" s="427">
        <f>-IF(O$9&lt;'Operating Assumptions'!$D$53,0,IF(O$6&gt;'Operating Assumptions'!$AA$8,0,IF('Operating Assumptions'!$L13="N/A",0,IF('Operating Assumptions'!$L13="$/Unit/Annual",(('Operating Assumptions'!$M13*O$25)*O$36)/12,IF('Operating Assumptions'!$L13="$/Unit/Month",('Operating Assumptions'!$M13*O$25)*O$36,IF('Operating Assumptions'!$L13="Fixed Amount",('Operating Assumptions'!$M13*O$25)/12,IF('Operating Assumptions'!$L13="$/GSF",(('Operating Assumptions'!$M13*O$25)*'Operating Assumptions'!$D$11)/12,IF('Operating Assumptions'!$L13="$/NSF",(('Operating Assumptions'!$M13*O$25)*'Operating Assumptions'!$D$12)/12))))))))</f>
        <v>0</v>
      </c>
      <c r="P85" s="427">
        <f>-IF(P$9&lt;'Operating Assumptions'!$D$53,0,IF(P$6&gt;'Operating Assumptions'!$AA$8,0,IF('Operating Assumptions'!$L13="N/A",0,IF('Operating Assumptions'!$L13="$/Unit/Annual",(('Operating Assumptions'!$M13*P$25)*P$36)/12,IF('Operating Assumptions'!$L13="$/Unit/Month",('Operating Assumptions'!$M13*P$25)*P$36,IF('Operating Assumptions'!$L13="Fixed Amount",('Operating Assumptions'!$M13*P$25)/12,IF('Operating Assumptions'!$L13="$/GSF",(('Operating Assumptions'!$M13*P$25)*'Operating Assumptions'!$D$11)/12,IF('Operating Assumptions'!$L13="$/NSF",(('Operating Assumptions'!$M13*P$25)*'Operating Assumptions'!$D$12)/12))))))))</f>
        <v>0</v>
      </c>
      <c r="Q85" s="427">
        <f>-IF(Q$9&lt;'Operating Assumptions'!$D$53,0,IF(Q$6&gt;'Operating Assumptions'!$AA$8,0,IF('Operating Assumptions'!$L13="N/A",0,IF('Operating Assumptions'!$L13="$/Unit/Annual",(('Operating Assumptions'!$M13*Q$25)*Q$36)/12,IF('Operating Assumptions'!$L13="$/Unit/Month",('Operating Assumptions'!$M13*Q$25)*Q$36,IF('Operating Assumptions'!$L13="Fixed Amount",('Operating Assumptions'!$M13*Q$25)/12,IF('Operating Assumptions'!$L13="$/GSF",(('Operating Assumptions'!$M13*Q$25)*'Operating Assumptions'!$D$11)/12,IF('Operating Assumptions'!$L13="$/NSF",(('Operating Assumptions'!$M13*Q$25)*'Operating Assumptions'!$D$12)/12))))))))</f>
        <v>0</v>
      </c>
      <c r="R85" s="427">
        <f>-IF(R$9&lt;'Operating Assumptions'!$D$53,0,IF(R$6&gt;'Operating Assumptions'!$AA$8,0,IF('Operating Assumptions'!$L13="N/A",0,IF('Operating Assumptions'!$L13="$/Unit/Annual",(('Operating Assumptions'!$M13*R$25)*R$36)/12,IF('Operating Assumptions'!$L13="$/Unit/Month",('Operating Assumptions'!$M13*R$25)*R$36,IF('Operating Assumptions'!$L13="Fixed Amount",('Operating Assumptions'!$M13*R$25)/12,IF('Operating Assumptions'!$L13="$/GSF",(('Operating Assumptions'!$M13*R$25)*'Operating Assumptions'!$D$11)/12,IF('Operating Assumptions'!$L13="$/NSF",(('Operating Assumptions'!$M13*R$25)*'Operating Assumptions'!$D$12)/12))))))))</f>
        <v>0</v>
      </c>
      <c r="S85" s="427">
        <f>-IF(S$9&lt;'Operating Assumptions'!$D$53,0,IF(S$6&gt;'Operating Assumptions'!$AA$8,0,IF('Operating Assumptions'!$L13="N/A",0,IF('Operating Assumptions'!$L13="$/Unit/Annual",(('Operating Assumptions'!$M13*S$25)*S$36)/12,IF('Operating Assumptions'!$L13="$/Unit/Month",('Operating Assumptions'!$M13*S$25)*S$36,IF('Operating Assumptions'!$L13="Fixed Amount",('Operating Assumptions'!$M13*S$25)/12,IF('Operating Assumptions'!$L13="$/GSF",(('Operating Assumptions'!$M13*S$25)*'Operating Assumptions'!$D$11)/12,IF('Operating Assumptions'!$L13="$/NSF",(('Operating Assumptions'!$M13*S$25)*'Operating Assumptions'!$D$12)/12))))))))</f>
        <v>0</v>
      </c>
      <c r="T85" s="427">
        <f>-IF(T$9&lt;'Operating Assumptions'!$D$53,0,IF(T$6&gt;'Operating Assumptions'!$AA$8,0,IF('Operating Assumptions'!$L13="N/A",0,IF('Operating Assumptions'!$L13="$/Unit/Annual",(('Operating Assumptions'!$M13*T$25)*T$36)/12,IF('Operating Assumptions'!$L13="$/Unit/Month",('Operating Assumptions'!$M13*T$25)*T$36,IF('Operating Assumptions'!$L13="Fixed Amount",('Operating Assumptions'!$M13*T$25)/12,IF('Operating Assumptions'!$L13="$/GSF",(('Operating Assumptions'!$M13*T$25)*'Operating Assumptions'!$D$11)/12,IF('Operating Assumptions'!$L13="$/NSF",(('Operating Assumptions'!$M13*T$25)*'Operating Assumptions'!$D$12)/12))))))))</f>
        <v>0</v>
      </c>
      <c r="U85" s="427">
        <f>-IF(U$9&lt;'Operating Assumptions'!$D$53,0,IF(U$6&gt;'Operating Assumptions'!$AA$8,0,IF('Operating Assumptions'!$L13="N/A",0,IF('Operating Assumptions'!$L13="$/Unit/Annual",(('Operating Assumptions'!$M13*U$25)*U$36)/12,IF('Operating Assumptions'!$L13="$/Unit/Month",('Operating Assumptions'!$M13*U$25)*U$36,IF('Operating Assumptions'!$L13="Fixed Amount",('Operating Assumptions'!$M13*U$25)/12,IF('Operating Assumptions'!$L13="$/GSF",(('Operating Assumptions'!$M13*U$25)*'Operating Assumptions'!$D$11)/12,IF('Operating Assumptions'!$L13="$/NSF",(('Operating Assumptions'!$M13*U$25)*'Operating Assumptions'!$D$12)/12))))))))</f>
        <v>0</v>
      </c>
      <c r="V85" s="427">
        <f>-IF(V$9&lt;'Operating Assumptions'!$D$53,0,IF(V$6&gt;'Operating Assumptions'!$AA$8,0,IF('Operating Assumptions'!$L13="N/A",0,IF('Operating Assumptions'!$L13="$/Unit/Annual",(('Operating Assumptions'!$M13*V$25)*V$36)/12,IF('Operating Assumptions'!$L13="$/Unit/Month",('Operating Assumptions'!$M13*V$25)*V$36,IF('Operating Assumptions'!$L13="Fixed Amount",('Operating Assumptions'!$M13*V$25)/12,IF('Operating Assumptions'!$L13="$/GSF",(('Operating Assumptions'!$M13*V$25)*'Operating Assumptions'!$D$11)/12,IF('Operating Assumptions'!$L13="$/NSF",(('Operating Assumptions'!$M13*V$25)*'Operating Assumptions'!$D$12)/12))))))))</f>
        <v>0</v>
      </c>
      <c r="W85" s="427">
        <f>-IF(W$9&lt;'Operating Assumptions'!$D$53,0,IF(W$6&gt;'Operating Assumptions'!$AA$8,0,IF('Operating Assumptions'!$L13="N/A",0,IF('Operating Assumptions'!$L13="$/Unit/Annual",(('Operating Assumptions'!$M13*W$25)*W$36)/12,IF('Operating Assumptions'!$L13="$/Unit/Month",('Operating Assumptions'!$M13*W$25)*W$36,IF('Operating Assumptions'!$L13="Fixed Amount",('Operating Assumptions'!$M13*W$25)/12,IF('Operating Assumptions'!$L13="$/GSF",(('Operating Assumptions'!$M13*W$25)*'Operating Assumptions'!$D$11)/12,IF('Operating Assumptions'!$L13="$/NSF",(('Operating Assumptions'!$M13*W$25)*'Operating Assumptions'!$D$12)/12))))))))</f>
        <v>0</v>
      </c>
      <c r="X85" s="427">
        <f>-IF(X$9&lt;'Operating Assumptions'!$D$53,0,IF(X$6&gt;'Operating Assumptions'!$AA$8,0,IF('Operating Assumptions'!$L13="N/A",0,IF('Operating Assumptions'!$L13="$/Unit/Annual",(('Operating Assumptions'!$M13*X$25)*X$36)/12,IF('Operating Assumptions'!$L13="$/Unit/Month",('Operating Assumptions'!$M13*X$25)*X$36,IF('Operating Assumptions'!$L13="Fixed Amount",('Operating Assumptions'!$M13*X$25)/12,IF('Operating Assumptions'!$L13="$/GSF",(('Operating Assumptions'!$M13*X$25)*'Operating Assumptions'!$D$11)/12,IF('Operating Assumptions'!$L13="$/NSF",(('Operating Assumptions'!$M13*X$25)*'Operating Assumptions'!$D$12)/12))))))))</f>
        <v>0</v>
      </c>
      <c r="Y85" s="427">
        <f>-IF(Y$9&lt;'Operating Assumptions'!$D$53,0,IF(Y$6&gt;'Operating Assumptions'!$AA$8,0,IF('Operating Assumptions'!$L13="N/A",0,IF('Operating Assumptions'!$L13="$/Unit/Annual",(('Operating Assumptions'!$M13*Y$25)*Y$36)/12,IF('Operating Assumptions'!$L13="$/Unit/Month",('Operating Assumptions'!$M13*Y$25)*Y$36,IF('Operating Assumptions'!$L13="Fixed Amount",('Operating Assumptions'!$M13*Y$25)/12,IF('Operating Assumptions'!$L13="$/GSF",(('Operating Assumptions'!$M13*Y$25)*'Operating Assumptions'!$D$11)/12,IF('Operating Assumptions'!$L13="$/NSF",(('Operating Assumptions'!$M13*Y$25)*'Operating Assumptions'!$D$12)/12))))))))</f>
        <v>-350</v>
      </c>
      <c r="Z85" s="427">
        <f>-IF(Z$9&lt;'Operating Assumptions'!$D$53,0,IF(Z$6&gt;'Operating Assumptions'!$AA$8,0,IF('Operating Assumptions'!$L13="N/A",0,IF('Operating Assumptions'!$L13="$/Unit/Annual",(('Operating Assumptions'!$M13*Z$25)*Z$36)/12,IF('Operating Assumptions'!$L13="$/Unit/Month",('Operating Assumptions'!$M13*Z$25)*Z$36,IF('Operating Assumptions'!$L13="Fixed Amount",('Operating Assumptions'!$M13*Z$25)/12,IF('Operating Assumptions'!$L13="$/GSF",(('Operating Assumptions'!$M13*Z$25)*'Operating Assumptions'!$D$11)/12,IF('Operating Assumptions'!$L13="$/NSF",(('Operating Assumptions'!$M13*Z$25)*'Operating Assumptions'!$D$12)/12))))))))</f>
        <v>-683.33333333333337</v>
      </c>
      <c r="AA85" s="427">
        <f>-IF(AA$9&lt;'Operating Assumptions'!$D$53,0,IF(AA$6&gt;'Operating Assumptions'!$AA$8,0,IF('Operating Assumptions'!$L13="N/A",0,IF('Operating Assumptions'!$L13="$/Unit/Annual",(('Operating Assumptions'!$M13*AA$25)*AA$36)/12,IF('Operating Assumptions'!$L13="$/Unit/Month",('Operating Assumptions'!$M13*AA$25)*AA$36,IF('Operating Assumptions'!$L13="Fixed Amount",('Operating Assumptions'!$M13*AA$25)/12,IF('Operating Assumptions'!$L13="$/GSF",(('Operating Assumptions'!$M13*AA$25)*'Operating Assumptions'!$D$11)/12,IF('Operating Assumptions'!$L13="$/NSF",(('Operating Assumptions'!$M13*AA$25)*'Operating Assumptions'!$D$12)/12))))))))</f>
        <v>-1016.6666666666666</v>
      </c>
      <c r="AB85" s="427">
        <f>-IF(AB$9&lt;'Operating Assumptions'!$D$53,0,IF(AB$6&gt;'Operating Assumptions'!$AA$8,0,IF('Operating Assumptions'!$L13="N/A",0,IF('Operating Assumptions'!$L13="$/Unit/Annual",(('Operating Assumptions'!$M13*AB$25)*AB$36)/12,IF('Operating Assumptions'!$L13="$/Unit/Month",('Operating Assumptions'!$M13*AB$25)*AB$36,IF('Operating Assumptions'!$L13="Fixed Amount",('Operating Assumptions'!$M13*AB$25)/12,IF('Operating Assumptions'!$L13="$/GSF",(('Operating Assumptions'!$M13*AB$25)*'Operating Assumptions'!$D$11)/12,IF('Operating Assumptions'!$L13="$/NSF",(('Operating Assumptions'!$M13*AB$25)*'Operating Assumptions'!$D$12)/12))))))))</f>
        <v>-1350</v>
      </c>
      <c r="AC85" s="427">
        <f>-IF(AC$9&lt;'Operating Assumptions'!$D$53,0,IF(AC$6&gt;'Operating Assumptions'!$AA$8,0,IF('Operating Assumptions'!$L13="N/A",0,IF('Operating Assumptions'!$L13="$/Unit/Annual",(('Operating Assumptions'!$M13*AC$25)*AC$36)/12,IF('Operating Assumptions'!$L13="$/Unit/Month",('Operating Assumptions'!$M13*AC$25)*AC$36,IF('Operating Assumptions'!$L13="Fixed Amount",('Operating Assumptions'!$M13*AC$25)/12,IF('Operating Assumptions'!$L13="$/GSF",(('Operating Assumptions'!$M13*AC$25)*'Operating Assumptions'!$D$11)/12,IF('Operating Assumptions'!$L13="$/NSF",(('Operating Assumptions'!$M13*AC$25)*'Operating Assumptions'!$D$12)/12))))))))</f>
        <v>-1683.3333333333333</v>
      </c>
      <c r="AD85" s="427">
        <f>-IF(AD$9&lt;'Operating Assumptions'!$D$53,0,IF(AD$6&gt;'Operating Assumptions'!$AA$8,0,IF('Operating Assumptions'!$L13="N/A",0,IF('Operating Assumptions'!$L13="$/Unit/Annual",(('Operating Assumptions'!$M13*AD$25)*AD$36)/12,IF('Operating Assumptions'!$L13="$/Unit/Month",('Operating Assumptions'!$M13*AD$25)*AD$36,IF('Operating Assumptions'!$L13="Fixed Amount",('Operating Assumptions'!$M13*AD$25)/12,IF('Operating Assumptions'!$L13="$/GSF",(('Operating Assumptions'!$M13*AD$25)*'Operating Assumptions'!$D$11)/12,IF('Operating Assumptions'!$L13="$/NSF",(('Operating Assumptions'!$M13*AD$25)*'Operating Assumptions'!$D$12)/12))))))))</f>
        <v>-2016.6666666666667</v>
      </c>
      <c r="AE85" s="427">
        <f>-IF(AE$9&lt;'Operating Assumptions'!$D$53,0,IF(AE$6&gt;'Operating Assumptions'!$AA$8,0,IF('Operating Assumptions'!$L13="N/A",0,IF('Operating Assumptions'!$L13="$/Unit/Annual",(('Operating Assumptions'!$M13*AE$25)*AE$36)/12,IF('Operating Assumptions'!$L13="$/Unit/Month",('Operating Assumptions'!$M13*AE$25)*AE$36,IF('Operating Assumptions'!$L13="Fixed Amount",('Operating Assumptions'!$M13*AE$25)/12,IF('Operating Assumptions'!$L13="$/GSF",(('Operating Assumptions'!$M13*AE$25)*'Operating Assumptions'!$D$11)/12,IF('Operating Assumptions'!$L13="$/NSF",(('Operating Assumptions'!$M13*AE$25)*'Operating Assumptions'!$D$12)/12))))))))</f>
        <v>-2083.3333333333335</v>
      </c>
      <c r="AF85" s="427">
        <f>-IF(AF$9&lt;'Operating Assumptions'!$D$53,0,IF(AF$6&gt;'Operating Assumptions'!$AA$8,0,IF('Operating Assumptions'!$L13="N/A",0,IF('Operating Assumptions'!$L13="$/Unit/Annual",(('Operating Assumptions'!$M13*AF$25)*AF$36)/12,IF('Operating Assumptions'!$L13="$/Unit/Month",('Operating Assumptions'!$M13*AF$25)*AF$36,IF('Operating Assumptions'!$L13="Fixed Amount",('Operating Assumptions'!$M13*AF$25)/12,IF('Operating Assumptions'!$L13="$/GSF",(('Operating Assumptions'!$M13*AF$25)*'Operating Assumptions'!$D$11)/12,IF('Operating Assumptions'!$L13="$/NSF",(('Operating Assumptions'!$M13*AF$25)*'Operating Assumptions'!$D$12)/12))))))))</f>
        <v>-2104.1666666666665</v>
      </c>
      <c r="AG85" s="427">
        <f>-IF(AG$9&lt;'Operating Assumptions'!$D$53,0,IF(AG$6&gt;'Operating Assumptions'!$AA$8,0,IF('Operating Assumptions'!$L13="N/A",0,IF('Operating Assumptions'!$L13="$/Unit/Annual",(('Operating Assumptions'!$M13*AG$25)*AG$36)/12,IF('Operating Assumptions'!$L13="$/Unit/Month",('Operating Assumptions'!$M13*AG$25)*AG$36,IF('Operating Assumptions'!$L13="Fixed Amount",('Operating Assumptions'!$M13*AG$25)/12,IF('Operating Assumptions'!$L13="$/GSF",(('Operating Assumptions'!$M13*AG$25)*'Operating Assumptions'!$D$11)/12,IF('Operating Assumptions'!$L13="$/NSF",(('Operating Assumptions'!$M13*AG$25)*'Operating Assumptions'!$D$12)/12))))))))</f>
        <v>-2104.1666666666665</v>
      </c>
      <c r="AH85" s="427">
        <f>-IF(AH$9&lt;'Operating Assumptions'!$D$53,0,IF(AH$6&gt;'Operating Assumptions'!$AA$8,0,IF('Operating Assumptions'!$L13="N/A",0,IF('Operating Assumptions'!$L13="$/Unit/Annual",(('Operating Assumptions'!$M13*AH$25)*AH$36)/12,IF('Operating Assumptions'!$L13="$/Unit/Month",('Operating Assumptions'!$M13*AH$25)*AH$36,IF('Operating Assumptions'!$L13="Fixed Amount",('Operating Assumptions'!$M13*AH$25)/12,IF('Operating Assumptions'!$L13="$/GSF",(('Operating Assumptions'!$M13*AH$25)*'Operating Assumptions'!$D$11)/12,IF('Operating Assumptions'!$L13="$/NSF",(('Operating Assumptions'!$M13*AH$25)*'Operating Assumptions'!$D$12)/12))))))))</f>
        <v>-2440.8333333333335</v>
      </c>
      <c r="AI85" s="427">
        <f>-IF(AI$9&lt;'Operating Assumptions'!$D$53,0,IF(AI$6&gt;'Operating Assumptions'!$AA$8,0,IF('Operating Assumptions'!$L13="N/A",0,IF('Operating Assumptions'!$L13="$/Unit/Annual",(('Operating Assumptions'!$M13*AI$25)*AI$36)/12,IF('Operating Assumptions'!$L13="$/Unit/Month",('Operating Assumptions'!$M13*AI$25)*AI$36,IF('Operating Assumptions'!$L13="Fixed Amount",('Operating Assumptions'!$M13*AI$25)/12,IF('Operating Assumptions'!$L13="$/GSF",(('Operating Assumptions'!$M13*AI$25)*'Operating Assumptions'!$D$11)/12,IF('Operating Assumptions'!$L13="$/NSF",(('Operating Assumptions'!$M13*AI$25)*'Operating Assumptions'!$D$12)/12))))))))</f>
        <v>-2777.5</v>
      </c>
      <c r="AJ85" s="427">
        <f>-IF(AJ$9&lt;'Operating Assumptions'!$D$53,0,IF(AJ$6&gt;'Operating Assumptions'!$AA$8,0,IF('Operating Assumptions'!$L13="N/A",0,IF('Operating Assumptions'!$L13="$/Unit/Annual",(('Operating Assumptions'!$M13*AJ$25)*AJ$36)/12,IF('Operating Assumptions'!$L13="$/Unit/Month",('Operating Assumptions'!$M13*AJ$25)*AJ$36,IF('Operating Assumptions'!$L13="Fixed Amount",('Operating Assumptions'!$M13*AJ$25)/12,IF('Operating Assumptions'!$L13="$/GSF",(('Operating Assumptions'!$M13*AJ$25)*'Operating Assumptions'!$D$11)/12,IF('Operating Assumptions'!$L13="$/NSF",(('Operating Assumptions'!$M13*AJ$25)*'Operating Assumptions'!$D$12)/12))))))))</f>
        <v>-3114.1666666666665</v>
      </c>
      <c r="AK85" s="427">
        <f>-IF(AK$9&lt;'Operating Assumptions'!$D$53,0,IF(AK$6&gt;'Operating Assumptions'!$AA$8,0,IF('Operating Assumptions'!$L13="N/A",0,IF('Operating Assumptions'!$L13="$/Unit/Annual",(('Operating Assumptions'!$M13*AK$25)*AK$36)/12,IF('Operating Assumptions'!$L13="$/Unit/Month",('Operating Assumptions'!$M13*AK$25)*AK$36,IF('Operating Assumptions'!$L13="Fixed Amount",('Operating Assumptions'!$M13*AK$25)/12,IF('Operating Assumptions'!$L13="$/GSF",(('Operating Assumptions'!$M13*AK$25)*'Operating Assumptions'!$D$11)/12,IF('Operating Assumptions'!$L13="$/NSF",(('Operating Assumptions'!$M13*AK$25)*'Operating Assumptions'!$D$12)/12))))))))</f>
        <v>-3450.8333333333335</v>
      </c>
      <c r="AL85" s="427">
        <f>-IF(AL$9&lt;'Operating Assumptions'!$D$53,0,IF(AL$6&gt;'Operating Assumptions'!$AA$8,0,IF('Operating Assumptions'!$L13="N/A",0,IF('Operating Assumptions'!$L13="$/Unit/Annual",(('Operating Assumptions'!$M13*AL$25)*AL$36)/12,IF('Operating Assumptions'!$L13="$/Unit/Month",('Operating Assumptions'!$M13*AL$25)*AL$36,IF('Operating Assumptions'!$L13="Fixed Amount",('Operating Assumptions'!$M13*AL$25)/12,IF('Operating Assumptions'!$L13="$/GSF",(('Operating Assumptions'!$M13*AL$25)*'Operating Assumptions'!$D$11)/12,IF('Operating Assumptions'!$L13="$/NSF",(('Operating Assumptions'!$M13*AL$25)*'Operating Assumptions'!$D$12)/12))))))))</f>
        <v>-3787.5</v>
      </c>
      <c r="AM85" s="427">
        <f>-IF(AM$9&lt;'Operating Assumptions'!$D$53,0,IF(AM$6&gt;'Operating Assumptions'!$AA$8,0,IF('Operating Assumptions'!$L13="N/A",0,IF('Operating Assumptions'!$L13="$/Unit/Annual",(('Operating Assumptions'!$M13*AM$25)*AM$36)/12,IF('Operating Assumptions'!$L13="$/Unit/Month",('Operating Assumptions'!$M13*AM$25)*AM$36,IF('Operating Assumptions'!$L13="Fixed Amount",('Operating Assumptions'!$M13*AM$25)/12,IF('Operating Assumptions'!$L13="$/GSF",(('Operating Assumptions'!$M13*AM$25)*'Operating Assumptions'!$D$11)/12,IF('Operating Assumptions'!$L13="$/NSF",(('Operating Assumptions'!$M13*AM$25)*'Operating Assumptions'!$D$12)/12))))))))</f>
        <v>-4040</v>
      </c>
      <c r="AN85" s="427">
        <f>-IF(AN$9&lt;'Operating Assumptions'!$D$53,0,IF(AN$6&gt;'Operating Assumptions'!$AA$8,0,IF('Operating Assumptions'!$L13="N/A",0,IF('Operating Assumptions'!$L13="$/Unit/Annual",(('Operating Assumptions'!$M13*AN$25)*AN$36)/12,IF('Operating Assumptions'!$L13="$/Unit/Month",('Operating Assumptions'!$M13*AN$25)*AN$36,IF('Operating Assumptions'!$L13="Fixed Amount",('Operating Assumptions'!$M13*AN$25)/12,IF('Operating Assumptions'!$L13="$/GSF",(('Operating Assumptions'!$M13*AN$25)*'Operating Assumptions'!$D$11)/12,IF('Operating Assumptions'!$L13="$/NSF",(('Operating Assumptions'!$M13*AN$25)*'Operating Assumptions'!$D$12)/12))))))))</f>
        <v>-4040</v>
      </c>
      <c r="AO85" s="427">
        <f>-IF(AO$9&lt;'Operating Assumptions'!$D$53,0,IF(AO$6&gt;'Operating Assumptions'!$AA$8,0,IF('Operating Assumptions'!$L13="N/A",0,IF('Operating Assumptions'!$L13="$/Unit/Annual",(('Operating Assumptions'!$M13*AO$25)*AO$36)/12,IF('Operating Assumptions'!$L13="$/Unit/Month",('Operating Assumptions'!$M13*AO$25)*AO$36,IF('Operating Assumptions'!$L13="Fixed Amount",('Operating Assumptions'!$M13*AO$25)/12,IF('Operating Assumptions'!$L13="$/GSF",(('Operating Assumptions'!$M13*AO$25)*'Operating Assumptions'!$D$11)/12,IF('Operating Assumptions'!$L13="$/NSF",(('Operating Assumptions'!$M13*AO$25)*'Operating Assumptions'!$D$12)/12))))))))</f>
        <v>-4040</v>
      </c>
      <c r="AP85" s="427">
        <f>-IF(AP$9&lt;'Operating Assumptions'!$D$53,0,IF(AP$6&gt;'Operating Assumptions'!$AA$8,0,IF('Operating Assumptions'!$L13="N/A",0,IF('Operating Assumptions'!$L13="$/Unit/Annual",(('Operating Assumptions'!$M13*AP$25)*AP$36)/12,IF('Operating Assumptions'!$L13="$/Unit/Month",('Operating Assumptions'!$M13*AP$25)*AP$36,IF('Operating Assumptions'!$L13="Fixed Amount",('Operating Assumptions'!$M13*AP$25)/12,IF('Operating Assumptions'!$L13="$/GSF",(('Operating Assumptions'!$M13*AP$25)*'Operating Assumptions'!$D$11)/12,IF('Operating Assumptions'!$L13="$/NSF",(('Operating Assumptions'!$M13*AP$25)*'Operating Assumptions'!$D$12)/12))))))))</f>
        <v>-4040</v>
      </c>
      <c r="AQ85" s="427">
        <f>-IF(AQ$9&lt;'Operating Assumptions'!$D$53,0,IF(AQ$6&gt;'Operating Assumptions'!$AA$8,0,IF('Operating Assumptions'!$L13="N/A",0,IF('Operating Assumptions'!$L13="$/Unit/Annual",(('Operating Assumptions'!$M13*AQ$25)*AQ$36)/12,IF('Operating Assumptions'!$L13="$/Unit/Month",('Operating Assumptions'!$M13*AQ$25)*AQ$36,IF('Operating Assumptions'!$L13="Fixed Amount",('Operating Assumptions'!$M13*AQ$25)/12,IF('Operating Assumptions'!$L13="$/GSF",(('Operating Assumptions'!$M13*AQ$25)*'Operating Assumptions'!$D$11)/12,IF('Operating Assumptions'!$L13="$/NSF",(('Operating Assumptions'!$M13*AQ$25)*'Operating Assumptions'!$D$12)/12))))))))</f>
        <v>-4040</v>
      </c>
      <c r="AR85" s="427">
        <f>-IF(AR$9&lt;'Operating Assumptions'!$D$53,0,IF(AR$6&gt;'Operating Assumptions'!$AA$8,0,IF('Operating Assumptions'!$L13="N/A",0,IF('Operating Assumptions'!$L13="$/Unit/Annual",(('Operating Assumptions'!$M13*AR$25)*AR$36)/12,IF('Operating Assumptions'!$L13="$/Unit/Month",('Operating Assumptions'!$M13*AR$25)*AR$36,IF('Operating Assumptions'!$L13="Fixed Amount",('Operating Assumptions'!$M13*AR$25)/12,IF('Operating Assumptions'!$L13="$/GSF",(('Operating Assumptions'!$M13*AR$25)*'Operating Assumptions'!$D$11)/12,IF('Operating Assumptions'!$L13="$/NSF",(('Operating Assumptions'!$M13*AR$25)*'Operating Assumptions'!$D$12)/12))))))))</f>
        <v>-4080</v>
      </c>
      <c r="AS85" s="427">
        <f>-IF(AS$9&lt;'Operating Assumptions'!$D$53,0,IF(AS$6&gt;'Operating Assumptions'!$AA$8,0,IF('Operating Assumptions'!$L13="N/A",0,IF('Operating Assumptions'!$L13="$/Unit/Annual",(('Operating Assumptions'!$M13*AS$25)*AS$36)/12,IF('Operating Assumptions'!$L13="$/Unit/Month",('Operating Assumptions'!$M13*AS$25)*AS$36,IF('Operating Assumptions'!$L13="Fixed Amount",('Operating Assumptions'!$M13*AS$25)/12,IF('Operating Assumptions'!$L13="$/GSF",(('Operating Assumptions'!$M13*AS$25)*'Operating Assumptions'!$D$11)/12,IF('Operating Assumptions'!$L13="$/NSF",(('Operating Assumptions'!$M13*AS$25)*'Operating Assumptions'!$D$12)/12))))))))</f>
        <v>-4080</v>
      </c>
      <c r="AT85" s="427">
        <f>-IF(AT$9&lt;'Operating Assumptions'!$D$53,0,IF(AT$6&gt;'Operating Assumptions'!$AA$8,0,IF('Operating Assumptions'!$L13="N/A",0,IF('Operating Assumptions'!$L13="$/Unit/Annual",(('Operating Assumptions'!$M13*AT$25)*AT$36)/12,IF('Operating Assumptions'!$L13="$/Unit/Month",('Operating Assumptions'!$M13*AT$25)*AT$36,IF('Operating Assumptions'!$L13="Fixed Amount",('Operating Assumptions'!$M13*AT$25)/12,IF('Operating Assumptions'!$L13="$/GSF",(('Operating Assumptions'!$M13*AT$25)*'Operating Assumptions'!$D$11)/12,IF('Operating Assumptions'!$L13="$/NSF",(('Operating Assumptions'!$M13*AT$25)*'Operating Assumptions'!$D$12)/12))))))))</f>
        <v>-4080</v>
      </c>
      <c r="AU85" s="427">
        <f>-IF(AU$9&lt;'Operating Assumptions'!$D$53,0,IF(AU$6&gt;'Operating Assumptions'!$AA$8,0,IF('Operating Assumptions'!$L13="N/A",0,IF('Operating Assumptions'!$L13="$/Unit/Annual",(('Operating Assumptions'!$M13*AU$25)*AU$36)/12,IF('Operating Assumptions'!$L13="$/Unit/Month",('Operating Assumptions'!$M13*AU$25)*AU$36,IF('Operating Assumptions'!$L13="Fixed Amount",('Operating Assumptions'!$M13*AU$25)/12,IF('Operating Assumptions'!$L13="$/GSF",(('Operating Assumptions'!$M13*AU$25)*'Operating Assumptions'!$D$11)/12,IF('Operating Assumptions'!$L13="$/NSF",(('Operating Assumptions'!$M13*AU$25)*'Operating Assumptions'!$D$12)/12))))))))</f>
        <v>-4080</v>
      </c>
      <c r="AV85" s="427">
        <f>-IF(AV$9&lt;'Operating Assumptions'!$D$53,0,IF(AV$6&gt;'Operating Assumptions'!$AA$8,0,IF('Operating Assumptions'!$L13="N/A",0,IF('Operating Assumptions'!$L13="$/Unit/Annual",(('Operating Assumptions'!$M13*AV$25)*AV$36)/12,IF('Operating Assumptions'!$L13="$/Unit/Month",('Operating Assumptions'!$M13*AV$25)*AV$36,IF('Operating Assumptions'!$L13="Fixed Amount",('Operating Assumptions'!$M13*AV$25)/12,IF('Operating Assumptions'!$L13="$/GSF",(('Operating Assumptions'!$M13*AV$25)*'Operating Assumptions'!$D$11)/12,IF('Operating Assumptions'!$L13="$/NSF",(('Operating Assumptions'!$M13*AV$25)*'Operating Assumptions'!$D$12)/12))))))))</f>
        <v>-4080</v>
      </c>
      <c r="AW85" s="427">
        <f>-IF(AW$9&lt;'Operating Assumptions'!$D$53,0,IF(AW$6&gt;'Operating Assumptions'!$AA$8,0,IF('Operating Assumptions'!$L13="N/A",0,IF('Operating Assumptions'!$L13="$/Unit/Annual",(('Operating Assumptions'!$M13*AW$25)*AW$36)/12,IF('Operating Assumptions'!$L13="$/Unit/Month",('Operating Assumptions'!$M13*AW$25)*AW$36,IF('Operating Assumptions'!$L13="Fixed Amount",('Operating Assumptions'!$M13*AW$25)/12,IF('Operating Assumptions'!$L13="$/GSF",(('Operating Assumptions'!$M13*AW$25)*'Operating Assumptions'!$D$11)/12,IF('Operating Assumptions'!$L13="$/NSF",(('Operating Assumptions'!$M13*AW$25)*'Operating Assumptions'!$D$12)/12))))))))</f>
        <v>-4080</v>
      </c>
      <c r="AX85" s="427">
        <f>-IF(AX$9&lt;'Operating Assumptions'!$D$53,0,IF(AX$6&gt;'Operating Assumptions'!$AA$8,0,IF('Operating Assumptions'!$L13="N/A",0,IF('Operating Assumptions'!$L13="$/Unit/Annual",(('Operating Assumptions'!$M13*AX$25)*AX$36)/12,IF('Operating Assumptions'!$L13="$/Unit/Month",('Operating Assumptions'!$M13*AX$25)*AX$36,IF('Operating Assumptions'!$L13="Fixed Amount",('Operating Assumptions'!$M13*AX$25)/12,IF('Operating Assumptions'!$L13="$/GSF",(('Operating Assumptions'!$M13*AX$25)*'Operating Assumptions'!$D$11)/12,IF('Operating Assumptions'!$L13="$/NSF",(('Operating Assumptions'!$M13*AX$25)*'Operating Assumptions'!$D$12)/12))))))))</f>
        <v>-4080</v>
      </c>
      <c r="AY85" s="427">
        <f>-IF(AY$9&lt;'Operating Assumptions'!$D$53,0,IF(AY$6&gt;'Operating Assumptions'!$AA$8,0,IF('Operating Assumptions'!$L13="N/A",0,IF('Operating Assumptions'!$L13="$/Unit/Annual",(('Operating Assumptions'!$M13*AY$25)*AY$36)/12,IF('Operating Assumptions'!$L13="$/Unit/Month",('Operating Assumptions'!$M13*AY$25)*AY$36,IF('Operating Assumptions'!$L13="Fixed Amount",('Operating Assumptions'!$M13*AY$25)/12,IF('Operating Assumptions'!$L13="$/GSF",(('Operating Assumptions'!$M13*AY$25)*'Operating Assumptions'!$D$11)/12,IF('Operating Assumptions'!$L13="$/NSF",(('Operating Assumptions'!$M13*AY$25)*'Operating Assumptions'!$D$12)/12))))))))</f>
        <v>-4080</v>
      </c>
      <c r="AZ85" s="427">
        <f>-IF(AZ$9&lt;'Operating Assumptions'!$D$53,0,IF(AZ$6&gt;'Operating Assumptions'!$AA$8,0,IF('Operating Assumptions'!$L13="N/A",0,IF('Operating Assumptions'!$L13="$/Unit/Annual",(('Operating Assumptions'!$M13*AZ$25)*AZ$36)/12,IF('Operating Assumptions'!$L13="$/Unit/Month",('Operating Assumptions'!$M13*AZ$25)*AZ$36,IF('Operating Assumptions'!$L13="Fixed Amount",('Operating Assumptions'!$M13*AZ$25)/12,IF('Operating Assumptions'!$L13="$/GSF",(('Operating Assumptions'!$M13*AZ$25)*'Operating Assumptions'!$D$11)/12,IF('Operating Assumptions'!$L13="$/NSF",(('Operating Assumptions'!$M13*AZ$25)*'Operating Assumptions'!$D$12)/12))))))))</f>
        <v>-4080</v>
      </c>
      <c r="BA85" s="427">
        <f>-IF(BA$9&lt;'Operating Assumptions'!$D$53,0,IF(BA$6&gt;'Operating Assumptions'!$AA$8,0,IF('Operating Assumptions'!$L13="N/A",0,IF('Operating Assumptions'!$L13="$/Unit/Annual",(('Operating Assumptions'!$M13*BA$25)*BA$36)/12,IF('Operating Assumptions'!$L13="$/Unit/Month",('Operating Assumptions'!$M13*BA$25)*BA$36,IF('Operating Assumptions'!$L13="Fixed Amount",('Operating Assumptions'!$M13*BA$25)/12,IF('Operating Assumptions'!$L13="$/GSF",(('Operating Assumptions'!$M13*BA$25)*'Operating Assumptions'!$D$11)/12,IF('Operating Assumptions'!$L13="$/NSF",(('Operating Assumptions'!$M13*BA$25)*'Operating Assumptions'!$D$12)/12))))))))</f>
        <v>-4080</v>
      </c>
      <c r="BB85" s="427">
        <f>-IF(BB$9&lt;'Operating Assumptions'!$D$53,0,IF(BB$6&gt;'Operating Assumptions'!$AA$8,0,IF('Operating Assumptions'!$L13="N/A",0,IF('Operating Assumptions'!$L13="$/Unit/Annual",(('Operating Assumptions'!$M13*BB$25)*BB$36)/12,IF('Operating Assumptions'!$L13="$/Unit/Month",('Operating Assumptions'!$M13*BB$25)*BB$36,IF('Operating Assumptions'!$L13="Fixed Amount",('Operating Assumptions'!$M13*BB$25)/12,IF('Operating Assumptions'!$L13="$/GSF",(('Operating Assumptions'!$M13*BB$25)*'Operating Assumptions'!$D$11)/12,IF('Operating Assumptions'!$L13="$/NSF",(('Operating Assumptions'!$M13*BB$25)*'Operating Assumptions'!$D$12)/12))))))))</f>
        <v>-4080</v>
      </c>
      <c r="BC85" s="427">
        <f>-IF(BC$9&lt;'Operating Assumptions'!$D$53,0,IF(BC$6&gt;'Operating Assumptions'!$AA$8,0,IF('Operating Assumptions'!$L13="N/A",0,IF('Operating Assumptions'!$L13="$/Unit/Annual",(('Operating Assumptions'!$M13*BC$25)*BC$36)/12,IF('Operating Assumptions'!$L13="$/Unit/Month",('Operating Assumptions'!$M13*BC$25)*BC$36,IF('Operating Assumptions'!$L13="Fixed Amount",('Operating Assumptions'!$M13*BC$25)/12,IF('Operating Assumptions'!$L13="$/GSF",(('Operating Assumptions'!$M13*BC$25)*'Operating Assumptions'!$D$11)/12,IF('Operating Assumptions'!$L13="$/NSF",(('Operating Assumptions'!$M13*BC$25)*'Operating Assumptions'!$D$12)/12))))))))</f>
        <v>-4080</v>
      </c>
      <c r="BD85" s="427">
        <f>-IF(BD$9&lt;'Operating Assumptions'!$D$53,0,IF(BD$6&gt;'Operating Assumptions'!$AA$8,0,IF('Operating Assumptions'!$L13="N/A",0,IF('Operating Assumptions'!$L13="$/Unit/Annual",(('Operating Assumptions'!$M13*BD$25)*BD$36)/12,IF('Operating Assumptions'!$L13="$/Unit/Month",('Operating Assumptions'!$M13*BD$25)*BD$36,IF('Operating Assumptions'!$L13="Fixed Amount",('Operating Assumptions'!$M13*BD$25)/12,IF('Operating Assumptions'!$L13="$/GSF",(('Operating Assumptions'!$M13*BD$25)*'Operating Assumptions'!$D$11)/12,IF('Operating Assumptions'!$L13="$/NSF",(('Operating Assumptions'!$M13*BD$25)*'Operating Assumptions'!$D$12)/12))))))))</f>
        <v>-4120</v>
      </c>
      <c r="BE85" s="427">
        <f>-IF(BE$9&lt;'Operating Assumptions'!$D$53,0,IF(BE$6&gt;'Operating Assumptions'!$AA$8,0,IF('Operating Assumptions'!$L13="N/A",0,IF('Operating Assumptions'!$L13="$/Unit/Annual",(('Operating Assumptions'!$M13*BE$25)*BE$36)/12,IF('Operating Assumptions'!$L13="$/Unit/Month",('Operating Assumptions'!$M13*BE$25)*BE$36,IF('Operating Assumptions'!$L13="Fixed Amount",('Operating Assumptions'!$M13*BE$25)/12,IF('Operating Assumptions'!$L13="$/GSF",(('Operating Assumptions'!$M13*BE$25)*'Operating Assumptions'!$D$11)/12,IF('Operating Assumptions'!$L13="$/NSF",(('Operating Assumptions'!$M13*BE$25)*'Operating Assumptions'!$D$12)/12))))))))</f>
        <v>-4120</v>
      </c>
      <c r="BF85" s="427">
        <f>-IF(BF$9&lt;'Operating Assumptions'!$D$53,0,IF(BF$6&gt;'Operating Assumptions'!$AA$8,0,IF('Operating Assumptions'!$L13="N/A",0,IF('Operating Assumptions'!$L13="$/Unit/Annual",(('Operating Assumptions'!$M13*BF$25)*BF$36)/12,IF('Operating Assumptions'!$L13="$/Unit/Month",('Operating Assumptions'!$M13*BF$25)*BF$36,IF('Operating Assumptions'!$L13="Fixed Amount",('Operating Assumptions'!$M13*BF$25)/12,IF('Operating Assumptions'!$L13="$/GSF",(('Operating Assumptions'!$M13*BF$25)*'Operating Assumptions'!$D$11)/12,IF('Operating Assumptions'!$L13="$/NSF",(('Operating Assumptions'!$M13*BF$25)*'Operating Assumptions'!$D$12)/12))))))))</f>
        <v>-4120</v>
      </c>
      <c r="BG85" s="427">
        <f>-IF(BG$9&lt;'Operating Assumptions'!$D$53,0,IF(BG$6&gt;'Operating Assumptions'!$AA$8,0,IF('Operating Assumptions'!$L13="N/A",0,IF('Operating Assumptions'!$L13="$/Unit/Annual",(('Operating Assumptions'!$M13*BG$25)*BG$36)/12,IF('Operating Assumptions'!$L13="$/Unit/Month",('Operating Assumptions'!$M13*BG$25)*BG$36,IF('Operating Assumptions'!$L13="Fixed Amount",('Operating Assumptions'!$M13*BG$25)/12,IF('Operating Assumptions'!$L13="$/GSF",(('Operating Assumptions'!$M13*BG$25)*'Operating Assumptions'!$D$11)/12,IF('Operating Assumptions'!$L13="$/NSF",(('Operating Assumptions'!$M13*BG$25)*'Operating Assumptions'!$D$12)/12))))))))</f>
        <v>-4120</v>
      </c>
      <c r="BH85" s="427">
        <f>-IF(BH$9&lt;'Operating Assumptions'!$D$53,0,IF(BH$6&gt;'Operating Assumptions'!$AA$8,0,IF('Operating Assumptions'!$L13="N/A",0,IF('Operating Assumptions'!$L13="$/Unit/Annual",(('Operating Assumptions'!$M13*BH$25)*BH$36)/12,IF('Operating Assumptions'!$L13="$/Unit/Month",('Operating Assumptions'!$M13*BH$25)*BH$36,IF('Operating Assumptions'!$L13="Fixed Amount",('Operating Assumptions'!$M13*BH$25)/12,IF('Operating Assumptions'!$L13="$/GSF",(('Operating Assumptions'!$M13*BH$25)*'Operating Assumptions'!$D$11)/12,IF('Operating Assumptions'!$L13="$/NSF",(('Operating Assumptions'!$M13*BH$25)*'Operating Assumptions'!$D$12)/12))))))))</f>
        <v>-4120</v>
      </c>
      <c r="BI85" s="427">
        <f>-IF(BI$9&lt;'Operating Assumptions'!$D$53,0,IF(BI$6&gt;'Operating Assumptions'!$AA$8,0,IF('Operating Assumptions'!$L13="N/A",0,IF('Operating Assumptions'!$L13="$/Unit/Annual",(('Operating Assumptions'!$M13*BI$25)*BI$36)/12,IF('Operating Assumptions'!$L13="$/Unit/Month",('Operating Assumptions'!$M13*BI$25)*BI$36,IF('Operating Assumptions'!$L13="Fixed Amount",('Operating Assumptions'!$M13*BI$25)/12,IF('Operating Assumptions'!$L13="$/GSF",(('Operating Assumptions'!$M13*BI$25)*'Operating Assumptions'!$D$11)/12,IF('Operating Assumptions'!$L13="$/NSF",(('Operating Assumptions'!$M13*BI$25)*'Operating Assumptions'!$D$12)/12))))))))</f>
        <v>-4120</v>
      </c>
      <c r="BJ85" s="427">
        <f>-IF(BJ$9&lt;'Operating Assumptions'!$D$53,0,IF(BJ$6&gt;'Operating Assumptions'!$AA$8,0,IF('Operating Assumptions'!$L13="N/A",0,IF('Operating Assumptions'!$L13="$/Unit/Annual",(('Operating Assumptions'!$M13*BJ$25)*BJ$36)/12,IF('Operating Assumptions'!$L13="$/Unit/Month",('Operating Assumptions'!$M13*BJ$25)*BJ$36,IF('Operating Assumptions'!$L13="Fixed Amount",('Operating Assumptions'!$M13*BJ$25)/12,IF('Operating Assumptions'!$L13="$/GSF",(('Operating Assumptions'!$M13*BJ$25)*'Operating Assumptions'!$D$11)/12,IF('Operating Assumptions'!$L13="$/NSF",(('Operating Assumptions'!$M13*BJ$25)*'Operating Assumptions'!$D$12)/12))))))))</f>
        <v>-4120</v>
      </c>
      <c r="BK85" s="427">
        <f>-IF(BK$9&lt;'Operating Assumptions'!$D$53,0,IF(BK$6&gt;'Operating Assumptions'!$AA$8,0,IF('Operating Assumptions'!$L13="N/A",0,IF('Operating Assumptions'!$L13="$/Unit/Annual",(('Operating Assumptions'!$M13*BK$25)*BK$36)/12,IF('Operating Assumptions'!$L13="$/Unit/Month",('Operating Assumptions'!$M13*BK$25)*BK$36,IF('Operating Assumptions'!$L13="Fixed Amount",('Operating Assumptions'!$M13*BK$25)/12,IF('Operating Assumptions'!$L13="$/GSF",(('Operating Assumptions'!$M13*BK$25)*'Operating Assumptions'!$D$11)/12,IF('Operating Assumptions'!$L13="$/NSF",(('Operating Assumptions'!$M13*BK$25)*'Operating Assumptions'!$D$12)/12))))))))</f>
        <v>-4120</v>
      </c>
      <c r="BL85" s="427">
        <f>-IF(BL$9&lt;'Operating Assumptions'!$D$53,0,IF(BL$6&gt;'Operating Assumptions'!$AA$8,0,IF('Operating Assumptions'!$L13="N/A",0,IF('Operating Assumptions'!$L13="$/Unit/Annual",(('Operating Assumptions'!$M13*BL$25)*BL$36)/12,IF('Operating Assumptions'!$L13="$/Unit/Month",('Operating Assumptions'!$M13*BL$25)*BL$36,IF('Operating Assumptions'!$L13="Fixed Amount",('Operating Assumptions'!$M13*BL$25)/12,IF('Operating Assumptions'!$L13="$/GSF",(('Operating Assumptions'!$M13*BL$25)*'Operating Assumptions'!$D$11)/12,IF('Operating Assumptions'!$L13="$/NSF",(('Operating Assumptions'!$M13*BL$25)*'Operating Assumptions'!$D$12)/12))))))))</f>
        <v>-4120</v>
      </c>
      <c r="BM85" s="427">
        <f>-IF(BM$9&lt;'Operating Assumptions'!$D$53,0,IF(BM$6&gt;'Operating Assumptions'!$AA$8,0,IF('Operating Assumptions'!$L13="N/A",0,IF('Operating Assumptions'!$L13="$/Unit/Annual",(('Operating Assumptions'!$M13*BM$25)*BM$36)/12,IF('Operating Assumptions'!$L13="$/Unit/Month",('Operating Assumptions'!$M13*BM$25)*BM$36,IF('Operating Assumptions'!$L13="Fixed Amount",('Operating Assumptions'!$M13*BM$25)/12,IF('Operating Assumptions'!$L13="$/GSF",(('Operating Assumptions'!$M13*BM$25)*'Operating Assumptions'!$D$11)/12,IF('Operating Assumptions'!$L13="$/NSF",(('Operating Assumptions'!$M13*BM$25)*'Operating Assumptions'!$D$12)/12))))))))</f>
        <v>-4120</v>
      </c>
      <c r="BN85" s="427">
        <f>-IF(BN$9&lt;'Operating Assumptions'!$D$53,0,IF(BN$6&gt;'Operating Assumptions'!$AA$8,0,IF('Operating Assumptions'!$L13="N/A",0,IF('Operating Assumptions'!$L13="$/Unit/Annual",(('Operating Assumptions'!$M13*BN$25)*BN$36)/12,IF('Operating Assumptions'!$L13="$/Unit/Month",('Operating Assumptions'!$M13*BN$25)*BN$36,IF('Operating Assumptions'!$L13="Fixed Amount",('Operating Assumptions'!$M13*BN$25)/12,IF('Operating Assumptions'!$L13="$/GSF",(('Operating Assumptions'!$M13*BN$25)*'Operating Assumptions'!$D$11)/12,IF('Operating Assumptions'!$L13="$/NSF",(('Operating Assumptions'!$M13*BN$25)*'Operating Assumptions'!$D$12)/12))))))))</f>
        <v>-4120</v>
      </c>
      <c r="BO85" s="427">
        <f>-IF(BO$9&lt;'Operating Assumptions'!$D$53,0,IF(BO$6&gt;'Operating Assumptions'!$AA$8,0,IF('Operating Assumptions'!$L13="N/A",0,IF('Operating Assumptions'!$L13="$/Unit/Annual",(('Operating Assumptions'!$M13*BO$25)*BO$36)/12,IF('Operating Assumptions'!$L13="$/Unit/Month",('Operating Assumptions'!$M13*BO$25)*BO$36,IF('Operating Assumptions'!$L13="Fixed Amount",('Operating Assumptions'!$M13*BO$25)/12,IF('Operating Assumptions'!$L13="$/GSF",(('Operating Assumptions'!$M13*BO$25)*'Operating Assumptions'!$D$11)/12,IF('Operating Assumptions'!$L13="$/NSF",(('Operating Assumptions'!$M13*BO$25)*'Operating Assumptions'!$D$12)/12))))))))</f>
        <v>-4120</v>
      </c>
      <c r="BP85" s="427">
        <f>-IF(BP$9&lt;'Operating Assumptions'!$D$53,0,IF(BP$6&gt;'Operating Assumptions'!$AA$8,0,IF('Operating Assumptions'!$L13="N/A",0,IF('Operating Assumptions'!$L13="$/Unit/Annual",(('Operating Assumptions'!$M13*BP$25)*BP$36)/12,IF('Operating Assumptions'!$L13="$/Unit/Month",('Operating Assumptions'!$M13*BP$25)*BP$36,IF('Operating Assumptions'!$L13="Fixed Amount",('Operating Assumptions'!$M13*BP$25)/12,IF('Operating Assumptions'!$L13="$/GSF",(('Operating Assumptions'!$M13*BP$25)*'Operating Assumptions'!$D$11)/12,IF('Operating Assumptions'!$L13="$/NSF",(('Operating Assumptions'!$M13*BP$25)*'Operating Assumptions'!$D$12)/12))))))))</f>
        <v>-4160</v>
      </c>
      <c r="BQ85" s="427">
        <f>-IF(BQ$9&lt;'Operating Assumptions'!$D$53,0,IF(BQ$6&gt;'Operating Assumptions'!$AA$8,0,IF('Operating Assumptions'!$L13="N/A",0,IF('Operating Assumptions'!$L13="$/Unit/Annual",(('Operating Assumptions'!$M13*BQ$25)*BQ$36)/12,IF('Operating Assumptions'!$L13="$/Unit/Month",('Operating Assumptions'!$M13*BQ$25)*BQ$36,IF('Operating Assumptions'!$L13="Fixed Amount",('Operating Assumptions'!$M13*BQ$25)/12,IF('Operating Assumptions'!$L13="$/GSF",(('Operating Assumptions'!$M13*BQ$25)*'Operating Assumptions'!$D$11)/12,IF('Operating Assumptions'!$L13="$/NSF",(('Operating Assumptions'!$M13*BQ$25)*'Operating Assumptions'!$D$12)/12))))))))</f>
        <v>-4160</v>
      </c>
      <c r="BR85" s="427">
        <f>-IF(BR$9&lt;'Operating Assumptions'!$D$53,0,IF(BR$6&gt;'Operating Assumptions'!$AA$8,0,IF('Operating Assumptions'!$L13="N/A",0,IF('Operating Assumptions'!$L13="$/Unit/Annual",(('Operating Assumptions'!$M13*BR$25)*BR$36)/12,IF('Operating Assumptions'!$L13="$/Unit/Month",('Operating Assumptions'!$M13*BR$25)*BR$36,IF('Operating Assumptions'!$L13="Fixed Amount",('Operating Assumptions'!$M13*BR$25)/12,IF('Operating Assumptions'!$L13="$/GSF",(('Operating Assumptions'!$M13*BR$25)*'Operating Assumptions'!$D$11)/12,IF('Operating Assumptions'!$L13="$/NSF",(('Operating Assumptions'!$M13*BR$25)*'Operating Assumptions'!$D$12)/12))))))))</f>
        <v>-4160</v>
      </c>
      <c r="BS85" s="427">
        <f>-IF(BS$9&lt;'Operating Assumptions'!$D$53,0,IF(BS$6&gt;'Operating Assumptions'!$AA$8,0,IF('Operating Assumptions'!$L13="N/A",0,IF('Operating Assumptions'!$L13="$/Unit/Annual",(('Operating Assumptions'!$M13*BS$25)*BS$36)/12,IF('Operating Assumptions'!$L13="$/Unit/Month",('Operating Assumptions'!$M13*BS$25)*BS$36,IF('Operating Assumptions'!$L13="Fixed Amount",('Operating Assumptions'!$M13*BS$25)/12,IF('Operating Assumptions'!$L13="$/GSF",(('Operating Assumptions'!$M13*BS$25)*'Operating Assumptions'!$D$11)/12,IF('Operating Assumptions'!$L13="$/NSF",(('Operating Assumptions'!$M13*BS$25)*'Operating Assumptions'!$D$12)/12))))))))</f>
        <v>-4160</v>
      </c>
      <c r="BT85" s="427">
        <f>-IF(BT$9&lt;'Operating Assumptions'!$D$53,0,IF(BT$6&gt;'Operating Assumptions'!$AA$8,0,IF('Operating Assumptions'!$L13="N/A",0,IF('Operating Assumptions'!$L13="$/Unit/Annual",(('Operating Assumptions'!$M13*BT$25)*BT$36)/12,IF('Operating Assumptions'!$L13="$/Unit/Month",('Operating Assumptions'!$M13*BT$25)*BT$36,IF('Operating Assumptions'!$L13="Fixed Amount",('Operating Assumptions'!$M13*BT$25)/12,IF('Operating Assumptions'!$L13="$/GSF",(('Operating Assumptions'!$M13*BT$25)*'Operating Assumptions'!$D$11)/12,IF('Operating Assumptions'!$L13="$/NSF",(('Operating Assumptions'!$M13*BT$25)*'Operating Assumptions'!$D$12)/12))))))))</f>
        <v>-4160</v>
      </c>
      <c r="BU85" s="427">
        <f>-IF(BU$9&lt;'Operating Assumptions'!$D$53,0,IF(BU$6&gt;'Operating Assumptions'!$AA$8,0,IF('Operating Assumptions'!$L13="N/A",0,IF('Operating Assumptions'!$L13="$/Unit/Annual",(('Operating Assumptions'!$M13*BU$25)*BU$36)/12,IF('Operating Assumptions'!$L13="$/Unit/Month",('Operating Assumptions'!$M13*BU$25)*BU$36,IF('Operating Assumptions'!$L13="Fixed Amount",('Operating Assumptions'!$M13*BU$25)/12,IF('Operating Assumptions'!$L13="$/GSF",(('Operating Assumptions'!$M13*BU$25)*'Operating Assumptions'!$D$11)/12,IF('Operating Assumptions'!$L13="$/NSF",(('Operating Assumptions'!$M13*BU$25)*'Operating Assumptions'!$D$12)/12))))))))</f>
        <v>-4160</v>
      </c>
      <c r="BV85" s="427">
        <f>-IF(BV$9&lt;'Operating Assumptions'!$D$53,0,IF(BV$6&gt;'Operating Assumptions'!$AA$8,0,IF('Operating Assumptions'!$L13="N/A",0,IF('Operating Assumptions'!$L13="$/Unit/Annual",(('Operating Assumptions'!$M13*BV$25)*BV$36)/12,IF('Operating Assumptions'!$L13="$/Unit/Month",('Operating Assumptions'!$M13*BV$25)*BV$36,IF('Operating Assumptions'!$L13="Fixed Amount",('Operating Assumptions'!$M13*BV$25)/12,IF('Operating Assumptions'!$L13="$/GSF",(('Operating Assumptions'!$M13*BV$25)*'Operating Assumptions'!$D$11)/12,IF('Operating Assumptions'!$L13="$/NSF",(('Operating Assumptions'!$M13*BV$25)*'Operating Assumptions'!$D$12)/12))))))))</f>
        <v>-4160</v>
      </c>
      <c r="BW85" s="427">
        <f>-IF(BW$9&lt;'Operating Assumptions'!$D$53,0,IF(BW$6&gt;'Operating Assumptions'!$AA$8,0,IF('Operating Assumptions'!$L13="N/A",0,IF('Operating Assumptions'!$L13="$/Unit/Annual",(('Operating Assumptions'!$M13*BW$25)*BW$36)/12,IF('Operating Assumptions'!$L13="$/Unit/Month",('Operating Assumptions'!$M13*BW$25)*BW$36,IF('Operating Assumptions'!$L13="Fixed Amount",('Operating Assumptions'!$M13*BW$25)/12,IF('Operating Assumptions'!$L13="$/GSF",(('Operating Assumptions'!$M13*BW$25)*'Operating Assumptions'!$D$11)/12,IF('Operating Assumptions'!$L13="$/NSF",(('Operating Assumptions'!$M13*BW$25)*'Operating Assumptions'!$D$12)/12))))))))</f>
        <v>-4160</v>
      </c>
      <c r="BX85" s="427">
        <f>-IF(BX$9&lt;'Operating Assumptions'!$D$53,0,IF(BX$6&gt;'Operating Assumptions'!$AA$8,0,IF('Operating Assumptions'!$L13="N/A",0,IF('Operating Assumptions'!$L13="$/Unit/Annual",(('Operating Assumptions'!$M13*BX$25)*BX$36)/12,IF('Operating Assumptions'!$L13="$/Unit/Month",('Operating Assumptions'!$M13*BX$25)*BX$36,IF('Operating Assumptions'!$L13="Fixed Amount",('Operating Assumptions'!$M13*BX$25)/12,IF('Operating Assumptions'!$L13="$/GSF",(('Operating Assumptions'!$M13*BX$25)*'Operating Assumptions'!$D$11)/12,IF('Operating Assumptions'!$L13="$/NSF",(('Operating Assumptions'!$M13*BX$25)*'Operating Assumptions'!$D$12)/12))))))))</f>
        <v>-4160</v>
      </c>
      <c r="BY85" s="427">
        <f>-IF(BY$9&lt;'Operating Assumptions'!$D$53,0,IF(BY$6&gt;'Operating Assumptions'!$AA$8,0,IF('Operating Assumptions'!$L13="N/A",0,IF('Operating Assumptions'!$L13="$/Unit/Annual",(('Operating Assumptions'!$M13*BY$25)*BY$36)/12,IF('Operating Assumptions'!$L13="$/Unit/Month",('Operating Assumptions'!$M13*BY$25)*BY$36,IF('Operating Assumptions'!$L13="Fixed Amount",('Operating Assumptions'!$M13*BY$25)/12,IF('Operating Assumptions'!$L13="$/GSF",(('Operating Assumptions'!$M13*BY$25)*'Operating Assumptions'!$D$11)/12,IF('Operating Assumptions'!$L13="$/NSF",(('Operating Assumptions'!$M13*BY$25)*'Operating Assumptions'!$D$12)/12))))))))</f>
        <v>-4160</v>
      </c>
      <c r="BZ85" s="427">
        <f>-IF(BZ$9&lt;'Operating Assumptions'!$D$53,0,IF(BZ$6&gt;'Operating Assumptions'!$AA$8,0,IF('Operating Assumptions'!$L13="N/A",0,IF('Operating Assumptions'!$L13="$/Unit/Annual",(('Operating Assumptions'!$M13*BZ$25)*BZ$36)/12,IF('Operating Assumptions'!$L13="$/Unit/Month",('Operating Assumptions'!$M13*BZ$25)*BZ$36,IF('Operating Assumptions'!$L13="Fixed Amount",('Operating Assumptions'!$M13*BZ$25)/12,IF('Operating Assumptions'!$L13="$/GSF",(('Operating Assumptions'!$M13*BZ$25)*'Operating Assumptions'!$D$11)/12,IF('Operating Assumptions'!$L13="$/NSF",(('Operating Assumptions'!$M13*BZ$25)*'Operating Assumptions'!$D$12)/12))))))))</f>
        <v>-4160</v>
      </c>
      <c r="CA85" s="427">
        <f>-IF(CA$9&lt;'Operating Assumptions'!$D$53,0,IF(CA$6&gt;'Operating Assumptions'!$AA$8,0,IF('Operating Assumptions'!$L13="N/A",0,IF('Operating Assumptions'!$L13="$/Unit/Annual",(('Operating Assumptions'!$M13*CA$25)*CA$36)/12,IF('Operating Assumptions'!$L13="$/Unit/Month",('Operating Assumptions'!$M13*CA$25)*CA$36,IF('Operating Assumptions'!$L13="Fixed Amount",('Operating Assumptions'!$M13*CA$25)/12,IF('Operating Assumptions'!$L13="$/GSF",(('Operating Assumptions'!$M13*CA$25)*'Operating Assumptions'!$D$11)/12,IF('Operating Assumptions'!$L13="$/NSF",(('Operating Assumptions'!$M13*CA$25)*'Operating Assumptions'!$D$12)/12))))))))</f>
        <v>-4160</v>
      </c>
      <c r="CB85" s="427">
        <f>-IF(CB$9&lt;'Operating Assumptions'!$D$53,0,IF(CB$6&gt;'Operating Assumptions'!$AA$8,0,IF('Operating Assumptions'!$L13="N/A",0,IF('Operating Assumptions'!$L13="$/Unit/Annual",(('Operating Assumptions'!$M13*CB$25)*CB$36)/12,IF('Operating Assumptions'!$L13="$/Unit/Month",('Operating Assumptions'!$M13*CB$25)*CB$36,IF('Operating Assumptions'!$L13="Fixed Amount",('Operating Assumptions'!$M13*CB$25)/12,IF('Operating Assumptions'!$L13="$/GSF",(('Operating Assumptions'!$M13*CB$25)*'Operating Assumptions'!$D$11)/12,IF('Operating Assumptions'!$L13="$/NSF",(('Operating Assumptions'!$M13*CB$25)*'Operating Assumptions'!$D$12)/12))))))))</f>
        <v>-4200</v>
      </c>
      <c r="CC85" s="427">
        <f>-IF(CC$9&lt;'Operating Assumptions'!$D$53,0,IF(CC$6&gt;'Operating Assumptions'!$AA$8,0,IF('Operating Assumptions'!$L13="N/A",0,IF('Operating Assumptions'!$L13="$/Unit/Annual",(('Operating Assumptions'!$M13*CC$25)*CC$36)/12,IF('Operating Assumptions'!$L13="$/Unit/Month",('Operating Assumptions'!$M13*CC$25)*CC$36,IF('Operating Assumptions'!$L13="Fixed Amount",('Operating Assumptions'!$M13*CC$25)/12,IF('Operating Assumptions'!$L13="$/GSF",(('Operating Assumptions'!$M13*CC$25)*'Operating Assumptions'!$D$11)/12,IF('Operating Assumptions'!$L13="$/NSF",(('Operating Assumptions'!$M13*CC$25)*'Operating Assumptions'!$D$12)/12))))))))</f>
        <v>-4200</v>
      </c>
      <c r="CD85" s="427">
        <f>-IF(CD$9&lt;'Operating Assumptions'!$D$53,0,IF(CD$6&gt;'Operating Assumptions'!$AA$8,0,IF('Operating Assumptions'!$L13="N/A",0,IF('Operating Assumptions'!$L13="$/Unit/Annual",(('Operating Assumptions'!$M13*CD$25)*CD$36)/12,IF('Operating Assumptions'!$L13="$/Unit/Month",('Operating Assumptions'!$M13*CD$25)*CD$36,IF('Operating Assumptions'!$L13="Fixed Amount",('Operating Assumptions'!$M13*CD$25)/12,IF('Operating Assumptions'!$L13="$/GSF",(('Operating Assumptions'!$M13*CD$25)*'Operating Assumptions'!$D$11)/12,IF('Operating Assumptions'!$L13="$/NSF",(('Operating Assumptions'!$M13*CD$25)*'Operating Assumptions'!$D$12)/12))))))))</f>
        <v>-4200</v>
      </c>
      <c r="CE85" s="427">
        <f>-IF(CE$9&lt;'Operating Assumptions'!$D$53,0,IF(CE$6&gt;'Operating Assumptions'!$AA$8,0,IF('Operating Assumptions'!$L13="N/A",0,IF('Operating Assumptions'!$L13="$/Unit/Annual",(('Operating Assumptions'!$M13*CE$25)*CE$36)/12,IF('Operating Assumptions'!$L13="$/Unit/Month",('Operating Assumptions'!$M13*CE$25)*CE$36,IF('Operating Assumptions'!$L13="Fixed Amount",('Operating Assumptions'!$M13*CE$25)/12,IF('Operating Assumptions'!$L13="$/GSF",(('Operating Assumptions'!$M13*CE$25)*'Operating Assumptions'!$D$11)/12,IF('Operating Assumptions'!$L13="$/NSF",(('Operating Assumptions'!$M13*CE$25)*'Operating Assumptions'!$D$12)/12))))))))</f>
        <v>-4200</v>
      </c>
      <c r="CF85" s="427">
        <f>-IF(CF$9&lt;'Operating Assumptions'!$D$53,0,IF(CF$6&gt;'Operating Assumptions'!$AA$8,0,IF('Operating Assumptions'!$L13="N/A",0,IF('Operating Assumptions'!$L13="$/Unit/Annual",(('Operating Assumptions'!$M13*CF$25)*CF$36)/12,IF('Operating Assumptions'!$L13="$/Unit/Month",('Operating Assumptions'!$M13*CF$25)*CF$36,IF('Operating Assumptions'!$L13="Fixed Amount",('Operating Assumptions'!$M13*CF$25)/12,IF('Operating Assumptions'!$L13="$/GSF",(('Operating Assumptions'!$M13*CF$25)*'Operating Assumptions'!$D$11)/12,IF('Operating Assumptions'!$L13="$/NSF",(('Operating Assumptions'!$M13*CF$25)*'Operating Assumptions'!$D$12)/12))))))))</f>
        <v>-4200</v>
      </c>
      <c r="CG85" s="427">
        <f>-IF(CG$9&lt;'Operating Assumptions'!$D$53,0,IF(CG$6&gt;'Operating Assumptions'!$AA$8,0,IF('Operating Assumptions'!$L13="N/A",0,IF('Operating Assumptions'!$L13="$/Unit/Annual",(('Operating Assumptions'!$M13*CG$25)*CG$36)/12,IF('Operating Assumptions'!$L13="$/Unit/Month",('Operating Assumptions'!$M13*CG$25)*CG$36,IF('Operating Assumptions'!$L13="Fixed Amount",('Operating Assumptions'!$M13*CG$25)/12,IF('Operating Assumptions'!$L13="$/GSF",(('Operating Assumptions'!$M13*CG$25)*'Operating Assumptions'!$D$11)/12,IF('Operating Assumptions'!$L13="$/NSF",(('Operating Assumptions'!$M13*CG$25)*'Operating Assumptions'!$D$12)/12))))))))</f>
        <v>-4200</v>
      </c>
      <c r="CH85" s="427">
        <f>-IF(CH$9&lt;'Operating Assumptions'!$D$53,0,IF(CH$6&gt;'Operating Assumptions'!$AA$8,0,IF('Operating Assumptions'!$L13="N/A",0,IF('Operating Assumptions'!$L13="$/Unit/Annual",(('Operating Assumptions'!$M13*CH$25)*CH$36)/12,IF('Operating Assumptions'!$L13="$/Unit/Month",('Operating Assumptions'!$M13*CH$25)*CH$36,IF('Operating Assumptions'!$L13="Fixed Amount",('Operating Assumptions'!$M13*CH$25)/12,IF('Operating Assumptions'!$L13="$/GSF",(('Operating Assumptions'!$M13*CH$25)*'Operating Assumptions'!$D$11)/12,IF('Operating Assumptions'!$L13="$/NSF",(('Operating Assumptions'!$M13*CH$25)*'Operating Assumptions'!$D$12)/12))))))))</f>
        <v>-4200</v>
      </c>
      <c r="CI85" s="427">
        <f>-IF(CI$9&lt;'Operating Assumptions'!$D$53,0,IF(CI$6&gt;'Operating Assumptions'!$AA$8,0,IF('Operating Assumptions'!$L13="N/A",0,IF('Operating Assumptions'!$L13="$/Unit/Annual",(('Operating Assumptions'!$M13*CI$25)*CI$36)/12,IF('Operating Assumptions'!$L13="$/Unit/Month",('Operating Assumptions'!$M13*CI$25)*CI$36,IF('Operating Assumptions'!$L13="Fixed Amount",('Operating Assumptions'!$M13*CI$25)/12,IF('Operating Assumptions'!$L13="$/GSF",(('Operating Assumptions'!$M13*CI$25)*'Operating Assumptions'!$D$11)/12,IF('Operating Assumptions'!$L13="$/NSF",(('Operating Assumptions'!$M13*CI$25)*'Operating Assumptions'!$D$12)/12))))))))</f>
        <v>-4200</v>
      </c>
      <c r="CJ85" s="427">
        <f>-IF(CJ$9&lt;'Operating Assumptions'!$D$53,0,IF(CJ$6&gt;'Operating Assumptions'!$AA$8,0,IF('Operating Assumptions'!$L13="N/A",0,IF('Operating Assumptions'!$L13="$/Unit/Annual",(('Operating Assumptions'!$M13*CJ$25)*CJ$36)/12,IF('Operating Assumptions'!$L13="$/Unit/Month",('Operating Assumptions'!$M13*CJ$25)*CJ$36,IF('Operating Assumptions'!$L13="Fixed Amount",('Operating Assumptions'!$M13*CJ$25)/12,IF('Operating Assumptions'!$L13="$/GSF",(('Operating Assumptions'!$M13*CJ$25)*'Operating Assumptions'!$D$11)/12,IF('Operating Assumptions'!$L13="$/NSF",(('Operating Assumptions'!$M13*CJ$25)*'Operating Assumptions'!$D$12)/12))))))))</f>
        <v>-4200</v>
      </c>
      <c r="CK85" s="427">
        <f>-IF(CK$9&lt;'Operating Assumptions'!$D$53,0,IF(CK$6&gt;'Operating Assumptions'!$AA$8,0,IF('Operating Assumptions'!$L13="N/A",0,IF('Operating Assumptions'!$L13="$/Unit/Annual",(('Operating Assumptions'!$M13*CK$25)*CK$36)/12,IF('Operating Assumptions'!$L13="$/Unit/Month",('Operating Assumptions'!$M13*CK$25)*CK$36,IF('Operating Assumptions'!$L13="Fixed Amount",('Operating Assumptions'!$M13*CK$25)/12,IF('Operating Assumptions'!$L13="$/GSF",(('Operating Assumptions'!$M13*CK$25)*'Operating Assumptions'!$D$11)/12,IF('Operating Assumptions'!$L13="$/NSF",(('Operating Assumptions'!$M13*CK$25)*'Operating Assumptions'!$D$12)/12))))))))</f>
        <v>-4200</v>
      </c>
      <c r="CL85" s="427">
        <f>-IF(CL$9&lt;'Operating Assumptions'!$D$53,0,IF(CL$6&gt;'Operating Assumptions'!$AA$8,0,IF('Operating Assumptions'!$L13="N/A",0,IF('Operating Assumptions'!$L13="$/Unit/Annual",(('Operating Assumptions'!$M13*CL$25)*CL$36)/12,IF('Operating Assumptions'!$L13="$/Unit/Month",('Operating Assumptions'!$M13*CL$25)*CL$36,IF('Operating Assumptions'!$L13="Fixed Amount",('Operating Assumptions'!$M13*CL$25)/12,IF('Operating Assumptions'!$L13="$/GSF",(('Operating Assumptions'!$M13*CL$25)*'Operating Assumptions'!$D$11)/12,IF('Operating Assumptions'!$L13="$/NSF",(('Operating Assumptions'!$M13*CL$25)*'Operating Assumptions'!$D$12)/12))))))))</f>
        <v>-4200</v>
      </c>
      <c r="CM85" s="427">
        <f>-IF(CM$9&lt;'Operating Assumptions'!$D$53,0,IF(CM$6&gt;'Operating Assumptions'!$AA$8,0,IF('Operating Assumptions'!$L13="N/A",0,IF('Operating Assumptions'!$L13="$/Unit/Annual",(('Operating Assumptions'!$M13*CM$25)*CM$36)/12,IF('Operating Assumptions'!$L13="$/Unit/Month",('Operating Assumptions'!$M13*CM$25)*CM$36,IF('Operating Assumptions'!$L13="Fixed Amount",('Operating Assumptions'!$M13*CM$25)/12,IF('Operating Assumptions'!$L13="$/GSF",(('Operating Assumptions'!$M13*CM$25)*'Operating Assumptions'!$D$11)/12,IF('Operating Assumptions'!$L13="$/NSF",(('Operating Assumptions'!$M13*CM$25)*'Operating Assumptions'!$D$12)/12))))))))</f>
        <v>-4200</v>
      </c>
      <c r="CN85" s="427">
        <f>-IF(CN$9&lt;'Operating Assumptions'!$D$53,0,IF(CN$6&gt;'Operating Assumptions'!$AA$8,0,IF('Operating Assumptions'!$L13="N/A",0,IF('Operating Assumptions'!$L13="$/Unit/Annual",(('Operating Assumptions'!$M13*CN$25)*CN$36)/12,IF('Operating Assumptions'!$L13="$/Unit/Month",('Operating Assumptions'!$M13*CN$25)*CN$36,IF('Operating Assumptions'!$L13="Fixed Amount",('Operating Assumptions'!$M13*CN$25)/12,IF('Operating Assumptions'!$L13="$/GSF",(('Operating Assumptions'!$M13*CN$25)*'Operating Assumptions'!$D$11)/12,IF('Operating Assumptions'!$L13="$/NSF",(('Operating Assumptions'!$M13*CN$25)*'Operating Assumptions'!$D$12)/12))))))))</f>
        <v>-4240</v>
      </c>
      <c r="CO85" s="427">
        <f>-IF(CO$9&lt;'Operating Assumptions'!$D$53,0,IF(CO$6&gt;'Operating Assumptions'!$AA$8,0,IF('Operating Assumptions'!$L13="N/A",0,IF('Operating Assumptions'!$L13="$/Unit/Annual",(('Operating Assumptions'!$M13*CO$25)*CO$36)/12,IF('Operating Assumptions'!$L13="$/Unit/Month",('Operating Assumptions'!$M13*CO$25)*CO$36,IF('Operating Assumptions'!$L13="Fixed Amount",('Operating Assumptions'!$M13*CO$25)/12,IF('Operating Assumptions'!$L13="$/GSF",(('Operating Assumptions'!$M13*CO$25)*'Operating Assumptions'!$D$11)/12,IF('Operating Assumptions'!$L13="$/NSF",(('Operating Assumptions'!$M13*CO$25)*'Operating Assumptions'!$D$12)/12))))))))</f>
        <v>-4240</v>
      </c>
      <c r="CP85" s="427">
        <f>-IF(CP$9&lt;'Operating Assumptions'!$D$53,0,IF(CP$6&gt;'Operating Assumptions'!$AA$8,0,IF('Operating Assumptions'!$L13="N/A",0,IF('Operating Assumptions'!$L13="$/Unit/Annual",(('Operating Assumptions'!$M13*CP$25)*CP$36)/12,IF('Operating Assumptions'!$L13="$/Unit/Month",('Operating Assumptions'!$M13*CP$25)*CP$36,IF('Operating Assumptions'!$L13="Fixed Amount",('Operating Assumptions'!$M13*CP$25)/12,IF('Operating Assumptions'!$L13="$/GSF",(('Operating Assumptions'!$M13*CP$25)*'Operating Assumptions'!$D$11)/12,IF('Operating Assumptions'!$L13="$/NSF",(('Operating Assumptions'!$M13*CP$25)*'Operating Assumptions'!$D$12)/12))))))))</f>
        <v>-4240</v>
      </c>
      <c r="CQ85" s="427">
        <f>-IF(CQ$9&lt;'Operating Assumptions'!$D$53,0,IF(CQ$6&gt;'Operating Assumptions'!$AA$8,0,IF('Operating Assumptions'!$L13="N/A",0,IF('Operating Assumptions'!$L13="$/Unit/Annual",(('Operating Assumptions'!$M13*CQ$25)*CQ$36)/12,IF('Operating Assumptions'!$L13="$/Unit/Month",('Operating Assumptions'!$M13*CQ$25)*CQ$36,IF('Operating Assumptions'!$L13="Fixed Amount",('Operating Assumptions'!$M13*CQ$25)/12,IF('Operating Assumptions'!$L13="$/GSF",(('Operating Assumptions'!$M13*CQ$25)*'Operating Assumptions'!$D$11)/12,IF('Operating Assumptions'!$L13="$/NSF",(('Operating Assumptions'!$M13*CQ$25)*'Operating Assumptions'!$D$12)/12))))))))</f>
        <v>-4240</v>
      </c>
      <c r="CR85" s="427">
        <f>-IF(CR$9&lt;'Operating Assumptions'!$D$53,0,IF(CR$6&gt;'Operating Assumptions'!$AA$8,0,IF('Operating Assumptions'!$L13="N/A",0,IF('Operating Assumptions'!$L13="$/Unit/Annual",(('Operating Assumptions'!$M13*CR$25)*CR$36)/12,IF('Operating Assumptions'!$L13="$/Unit/Month",('Operating Assumptions'!$M13*CR$25)*CR$36,IF('Operating Assumptions'!$L13="Fixed Amount",('Operating Assumptions'!$M13*CR$25)/12,IF('Operating Assumptions'!$L13="$/GSF",(('Operating Assumptions'!$M13*CR$25)*'Operating Assumptions'!$D$11)/12,IF('Operating Assumptions'!$L13="$/NSF",(('Operating Assumptions'!$M13*CR$25)*'Operating Assumptions'!$D$12)/12))))))))</f>
        <v>-4240</v>
      </c>
      <c r="CS85" s="427">
        <f>-IF(CS$9&lt;'Operating Assumptions'!$D$53,0,IF(CS$6&gt;'Operating Assumptions'!$AA$8,0,IF('Operating Assumptions'!$L13="N/A",0,IF('Operating Assumptions'!$L13="$/Unit/Annual",(('Operating Assumptions'!$M13*CS$25)*CS$36)/12,IF('Operating Assumptions'!$L13="$/Unit/Month",('Operating Assumptions'!$M13*CS$25)*CS$36,IF('Operating Assumptions'!$L13="Fixed Amount",('Operating Assumptions'!$M13*CS$25)/12,IF('Operating Assumptions'!$L13="$/GSF",(('Operating Assumptions'!$M13*CS$25)*'Operating Assumptions'!$D$11)/12,IF('Operating Assumptions'!$L13="$/NSF",(('Operating Assumptions'!$M13*CS$25)*'Operating Assumptions'!$D$12)/12))))))))</f>
        <v>-4240</v>
      </c>
      <c r="CT85" s="427">
        <f>-IF(CT$9&lt;'Operating Assumptions'!$D$53,0,IF(CT$6&gt;'Operating Assumptions'!$AA$8,0,IF('Operating Assumptions'!$L13="N/A",0,IF('Operating Assumptions'!$L13="$/Unit/Annual",(('Operating Assumptions'!$M13*CT$25)*CT$36)/12,IF('Operating Assumptions'!$L13="$/Unit/Month",('Operating Assumptions'!$M13*CT$25)*CT$36,IF('Operating Assumptions'!$L13="Fixed Amount",('Operating Assumptions'!$M13*CT$25)/12,IF('Operating Assumptions'!$L13="$/GSF",(('Operating Assumptions'!$M13*CT$25)*'Operating Assumptions'!$D$11)/12,IF('Operating Assumptions'!$L13="$/NSF",(('Operating Assumptions'!$M13*CT$25)*'Operating Assumptions'!$D$12)/12))))))))</f>
        <v>-4240</v>
      </c>
      <c r="CU85" s="427">
        <f>-IF(CU$9&lt;'Operating Assumptions'!$D$53,0,IF(CU$6&gt;'Operating Assumptions'!$AA$8,0,IF('Operating Assumptions'!$L13="N/A",0,IF('Operating Assumptions'!$L13="$/Unit/Annual",(('Operating Assumptions'!$M13*CU$25)*CU$36)/12,IF('Operating Assumptions'!$L13="$/Unit/Month",('Operating Assumptions'!$M13*CU$25)*CU$36,IF('Operating Assumptions'!$L13="Fixed Amount",('Operating Assumptions'!$M13*CU$25)/12,IF('Operating Assumptions'!$L13="$/GSF",(('Operating Assumptions'!$M13*CU$25)*'Operating Assumptions'!$D$11)/12,IF('Operating Assumptions'!$L13="$/NSF",(('Operating Assumptions'!$M13*CU$25)*'Operating Assumptions'!$D$12)/12))))))))</f>
        <v>-4240</v>
      </c>
      <c r="CV85" s="427">
        <f>-IF(CV$9&lt;'Operating Assumptions'!$D$53,0,IF(CV$6&gt;'Operating Assumptions'!$AA$8,0,IF('Operating Assumptions'!$L13="N/A",0,IF('Operating Assumptions'!$L13="$/Unit/Annual",(('Operating Assumptions'!$M13*CV$25)*CV$36)/12,IF('Operating Assumptions'!$L13="$/Unit/Month",('Operating Assumptions'!$M13*CV$25)*CV$36,IF('Operating Assumptions'!$L13="Fixed Amount",('Operating Assumptions'!$M13*CV$25)/12,IF('Operating Assumptions'!$L13="$/GSF",(('Operating Assumptions'!$M13*CV$25)*'Operating Assumptions'!$D$11)/12,IF('Operating Assumptions'!$L13="$/NSF",(('Operating Assumptions'!$M13*CV$25)*'Operating Assumptions'!$D$12)/12))))))))</f>
        <v>-4240</v>
      </c>
      <c r="CW85" s="427">
        <f>-IF(CW$9&lt;'Operating Assumptions'!$D$53,0,IF(CW$6&gt;'Operating Assumptions'!$AA$8,0,IF('Operating Assumptions'!$L13="N/A",0,IF('Operating Assumptions'!$L13="$/Unit/Annual",(('Operating Assumptions'!$M13*CW$25)*CW$36)/12,IF('Operating Assumptions'!$L13="$/Unit/Month",('Operating Assumptions'!$M13*CW$25)*CW$36,IF('Operating Assumptions'!$L13="Fixed Amount",('Operating Assumptions'!$M13*CW$25)/12,IF('Operating Assumptions'!$L13="$/GSF",(('Operating Assumptions'!$M13*CW$25)*'Operating Assumptions'!$D$11)/12,IF('Operating Assumptions'!$L13="$/NSF",(('Operating Assumptions'!$M13*CW$25)*'Operating Assumptions'!$D$12)/12))))))))</f>
        <v>-4240</v>
      </c>
      <c r="CX85" s="427">
        <f>-IF(CX$9&lt;'Operating Assumptions'!$D$53,0,IF(CX$6&gt;'Operating Assumptions'!$AA$8,0,IF('Operating Assumptions'!$L13="N/A",0,IF('Operating Assumptions'!$L13="$/Unit/Annual",(('Operating Assumptions'!$M13*CX$25)*CX$36)/12,IF('Operating Assumptions'!$L13="$/Unit/Month",('Operating Assumptions'!$M13*CX$25)*CX$36,IF('Operating Assumptions'!$L13="Fixed Amount",('Operating Assumptions'!$M13*CX$25)/12,IF('Operating Assumptions'!$L13="$/GSF",(('Operating Assumptions'!$M13*CX$25)*'Operating Assumptions'!$D$11)/12,IF('Operating Assumptions'!$L13="$/NSF",(('Operating Assumptions'!$M13*CX$25)*'Operating Assumptions'!$D$12)/12))))))))</f>
        <v>-4240</v>
      </c>
      <c r="CY85" s="427">
        <f>-IF(CY$9&lt;'Operating Assumptions'!$D$53,0,IF(CY$6&gt;'Operating Assumptions'!$AA$8,0,IF('Operating Assumptions'!$L13="N/A",0,IF('Operating Assumptions'!$L13="$/Unit/Annual",(('Operating Assumptions'!$M13*CY$25)*CY$36)/12,IF('Operating Assumptions'!$L13="$/Unit/Month",('Operating Assumptions'!$M13*CY$25)*CY$36,IF('Operating Assumptions'!$L13="Fixed Amount",('Operating Assumptions'!$M13*CY$25)/12,IF('Operating Assumptions'!$L13="$/GSF",(('Operating Assumptions'!$M13*CY$25)*'Operating Assumptions'!$D$11)/12,IF('Operating Assumptions'!$L13="$/NSF",(('Operating Assumptions'!$M13*CY$25)*'Operating Assumptions'!$D$12)/12))))))))</f>
        <v>-4240</v>
      </c>
      <c r="CZ85" s="427">
        <f>-IF(CZ$9&lt;'Operating Assumptions'!$D$53,0,IF(CZ$6&gt;'Operating Assumptions'!$AA$8,0,IF('Operating Assumptions'!$L13="N/A",0,IF('Operating Assumptions'!$L13="$/Unit/Annual",(('Operating Assumptions'!$M13*CZ$25)*CZ$36)/12,IF('Operating Assumptions'!$L13="$/Unit/Month",('Operating Assumptions'!$M13*CZ$25)*CZ$36,IF('Operating Assumptions'!$L13="Fixed Amount",('Operating Assumptions'!$M13*CZ$25)/12,IF('Operating Assumptions'!$L13="$/GSF",(('Operating Assumptions'!$M13*CZ$25)*'Operating Assumptions'!$D$11)/12,IF('Operating Assumptions'!$L13="$/NSF",(('Operating Assumptions'!$M13*CZ$25)*'Operating Assumptions'!$D$12)/12))))))))</f>
        <v>-4280</v>
      </c>
      <c r="DA85" s="427">
        <f>-IF(DA$9&lt;'Operating Assumptions'!$D$53,0,IF(DA$6&gt;'Operating Assumptions'!$AA$8,0,IF('Operating Assumptions'!$L13="N/A",0,IF('Operating Assumptions'!$L13="$/Unit/Annual",(('Operating Assumptions'!$M13*DA$25)*DA$36)/12,IF('Operating Assumptions'!$L13="$/Unit/Month",('Operating Assumptions'!$M13*DA$25)*DA$36,IF('Operating Assumptions'!$L13="Fixed Amount",('Operating Assumptions'!$M13*DA$25)/12,IF('Operating Assumptions'!$L13="$/GSF",(('Operating Assumptions'!$M13*DA$25)*'Operating Assumptions'!$D$11)/12,IF('Operating Assumptions'!$L13="$/NSF",(('Operating Assumptions'!$M13*DA$25)*'Operating Assumptions'!$D$12)/12))))))))</f>
        <v>-4280</v>
      </c>
      <c r="DB85" s="427">
        <f>-IF(DB$9&lt;'Operating Assumptions'!$D$53,0,IF(DB$6&gt;'Operating Assumptions'!$AA$8,0,IF('Operating Assumptions'!$L13="N/A",0,IF('Operating Assumptions'!$L13="$/Unit/Annual",(('Operating Assumptions'!$M13*DB$25)*DB$36)/12,IF('Operating Assumptions'!$L13="$/Unit/Month",('Operating Assumptions'!$M13*DB$25)*DB$36,IF('Operating Assumptions'!$L13="Fixed Amount",('Operating Assumptions'!$M13*DB$25)/12,IF('Operating Assumptions'!$L13="$/GSF",(('Operating Assumptions'!$M13*DB$25)*'Operating Assumptions'!$D$11)/12,IF('Operating Assumptions'!$L13="$/NSF",(('Operating Assumptions'!$M13*DB$25)*'Operating Assumptions'!$D$12)/12))))))))</f>
        <v>-4280</v>
      </c>
      <c r="DC85" s="427">
        <f>-IF(DC$9&lt;'Operating Assumptions'!$D$53,0,IF(DC$6&gt;'Operating Assumptions'!$AA$8,0,IF('Operating Assumptions'!$L13="N/A",0,IF('Operating Assumptions'!$L13="$/Unit/Annual",(('Operating Assumptions'!$M13*DC$25)*DC$36)/12,IF('Operating Assumptions'!$L13="$/Unit/Month",('Operating Assumptions'!$M13*DC$25)*DC$36,IF('Operating Assumptions'!$L13="Fixed Amount",('Operating Assumptions'!$M13*DC$25)/12,IF('Operating Assumptions'!$L13="$/GSF",(('Operating Assumptions'!$M13*DC$25)*'Operating Assumptions'!$D$11)/12,IF('Operating Assumptions'!$L13="$/NSF",(('Operating Assumptions'!$M13*DC$25)*'Operating Assumptions'!$D$12)/12))))))))</f>
        <v>-4280</v>
      </c>
      <c r="DD85" s="427">
        <f>-IF(DD$9&lt;'Operating Assumptions'!$D$53,0,IF(DD$6&gt;'Operating Assumptions'!$AA$8,0,IF('Operating Assumptions'!$L13="N/A",0,IF('Operating Assumptions'!$L13="$/Unit/Annual",(('Operating Assumptions'!$M13*DD$25)*DD$36)/12,IF('Operating Assumptions'!$L13="$/Unit/Month",('Operating Assumptions'!$M13*DD$25)*DD$36,IF('Operating Assumptions'!$L13="Fixed Amount",('Operating Assumptions'!$M13*DD$25)/12,IF('Operating Assumptions'!$L13="$/GSF",(('Operating Assumptions'!$M13*DD$25)*'Operating Assumptions'!$D$11)/12,IF('Operating Assumptions'!$L13="$/NSF",(('Operating Assumptions'!$M13*DD$25)*'Operating Assumptions'!$D$12)/12))))))))</f>
        <v>-4280</v>
      </c>
      <c r="DE85" s="427">
        <f>-IF(DE$9&lt;'Operating Assumptions'!$D$53,0,IF(DE$6&gt;'Operating Assumptions'!$AA$8,0,IF('Operating Assumptions'!$L13="N/A",0,IF('Operating Assumptions'!$L13="$/Unit/Annual",(('Operating Assumptions'!$M13*DE$25)*DE$36)/12,IF('Operating Assumptions'!$L13="$/Unit/Month",('Operating Assumptions'!$M13*DE$25)*DE$36,IF('Operating Assumptions'!$L13="Fixed Amount",('Operating Assumptions'!$M13*DE$25)/12,IF('Operating Assumptions'!$L13="$/GSF",(('Operating Assumptions'!$M13*DE$25)*'Operating Assumptions'!$D$11)/12,IF('Operating Assumptions'!$L13="$/NSF",(('Operating Assumptions'!$M13*DE$25)*'Operating Assumptions'!$D$12)/12))))))))</f>
        <v>-4280</v>
      </c>
      <c r="DF85" s="427">
        <f>-IF(DF$9&lt;'Operating Assumptions'!$D$53,0,IF(DF$6&gt;'Operating Assumptions'!$AA$8,0,IF('Operating Assumptions'!$L13="N/A",0,IF('Operating Assumptions'!$L13="$/Unit/Annual",(('Operating Assumptions'!$M13*DF$25)*DF$36)/12,IF('Operating Assumptions'!$L13="$/Unit/Month",('Operating Assumptions'!$M13*DF$25)*DF$36,IF('Operating Assumptions'!$L13="Fixed Amount",('Operating Assumptions'!$M13*DF$25)/12,IF('Operating Assumptions'!$L13="$/GSF",(('Operating Assumptions'!$M13*DF$25)*'Operating Assumptions'!$D$11)/12,IF('Operating Assumptions'!$L13="$/NSF",(('Operating Assumptions'!$M13*DF$25)*'Operating Assumptions'!$D$12)/12))))))))</f>
        <v>-4280</v>
      </c>
      <c r="DG85" s="427">
        <f>-IF(DG$9&lt;'Operating Assumptions'!$D$53,0,IF(DG$6&gt;'Operating Assumptions'!$AA$8,0,IF('Operating Assumptions'!$L13="N/A",0,IF('Operating Assumptions'!$L13="$/Unit/Annual",(('Operating Assumptions'!$M13*DG$25)*DG$36)/12,IF('Operating Assumptions'!$L13="$/Unit/Month",('Operating Assumptions'!$M13*DG$25)*DG$36,IF('Operating Assumptions'!$L13="Fixed Amount",('Operating Assumptions'!$M13*DG$25)/12,IF('Operating Assumptions'!$L13="$/GSF",(('Operating Assumptions'!$M13*DG$25)*'Operating Assumptions'!$D$11)/12,IF('Operating Assumptions'!$L13="$/NSF",(('Operating Assumptions'!$M13*DG$25)*'Operating Assumptions'!$D$12)/12))))))))</f>
        <v>-4280</v>
      </c>
      <c r="DH85" s="427">
        <f>-IF(DH$9&lt;'Operating Assumptions'!$D$53,0,IF(DH$6&gt;'Operating Assumptions'!$AA$8,0,IF('Operating Assumptions'!$L13="N/A",0,IF('Operating Assumptions'!$L13="$/Unit/Annual",(('Operating Assumptions'!$M13*DH$25)*DH$36)/12,IF('Operating Assumptions'!$L13="$/Unit/Month",('Operating Assumptions'!$M13*DH$25)*DH$36,IF('Operating Assumptions'!$L13="Fixed Amount",('Operating Assumptions'!$M13*DH$25)/12,IF('Operating Assumptions'!$L13="$/GSF",(('Operating Assumptions'!$M13*DH$25)*'Operating Assumptions'!$D$11)/12,IF('Operating Assumptions'!$L13="$/NSF",(('Operating Assumptions'!$M13*DH$25)*'Operating Assumptions'!$D$12)/12))))))))</f>
        <v>-4280</v>
      </c>
      <c r="DI85" s="427">
        <f>-IF(DI$9&lt;'Operating Assumptions'!$D$53,0,IF(DI$6&gt;'Operating Assumptions'!$AA$8,0,IF('Operating Assumptions'!$L13="N/A",0,IF('Operating Assumptions'!$L13="$/Unit/Annual",(('Operating Assumptions'!$M13*DI$25)*DI$36)/12,IF('Operating Assumptions'!$L13="$/Unit/Month",('Operating Assumptions'!$M13*DI$25)*DI$36,IF('Operating Assumptions'!$L13="Fixed Amount",('Operating Assumptions'!$M13*DI$25)/12,IF('Operating Assumptions'!$L13="$/GSF",(('Operating Assumptions'!$M13*DI$25)*'Operating Assumptions'!$D$11)/12,IF('Operating Assumptions'!$L13="$/NSF",(('Operating Assumptions'!$M13*DI$25)*'Operating Assumptions'!$D$12)/12))))))))</f>
        <v>-4280</v>
      </c>
      <c r="DJ85" s="427">
        <f>-IF(DJ$9&lt;'Operating Assumptions'!$D$53,0,IF(DJ$6&gt;'Operating Assumptions'!$AA$8,0,IF('Operating Assumptions'!$L13="N/A",0,IF('Operating Assumptions'!$L13="$/Unit/Annual",(('Operating Assumptions'!$M13*DJ$25)*DJ$36)/12,IF('Operating Assumptions'!$L13="$/Unit/Month",('Operating Assumptions'!$M13*DJ$25)*DJ$36,IF('Operating Assumptions'!$L13="Fixed Amount",('Operating Assumptions'!$M13*DJ$25)/12,IF('Operating Assumptions'!$L13="$/GSF",(('Operating Assumptions'!$M13*DJ$25)*'Operating Assumptions'!$D$11)/12,IF('Operating Assumptions'!$L13="$/NSF",(('Operating Assumptions'!$M13*DJ$25)*'Operating Assumptions'!$D$12)/12))))))))</f>
        <v>-4280</v>
      </c>
      <c r="DK85" s="427">
        <f>-IF(DK$9&lt;'Operating Assumptions'!$D$53,0,IF(DK$6&gt;'Operating Assumptions'!$AA$8,0,IF('Operating Assumptions'!$L13="N/A",0,IF('Operating Assumptions'!$L13="$/Unit/Annual",(('Operating Assumptions'!$M13*DK$25)*DK$36)/12,IF('Operating Assumptions'!$L13="$/Unit/Month",('Operating Assumptions'!$M13*DK$25)*DK$36,IF('Operating Assumptions'!$L13="Fixed Amount",('Operating Assumptions'!$M13*DK$25)/12,IF('Operating Assumptions'!$L13="$/GSF",(('Operating Assumptions'!$M13*DK$25)*'Operating Assumptions'!$D$11)/12,IF('Operating Assumptions'!$L13="$/NSF",(('Operating Assumptions'!$M13*DK$25)*'Operating Assumptions'!$D$12)/12))))))))</f>
        <v>-4280</v>
      </c>
      <c r="DL85" s="427">
        <f>-IF(DL$9&lt;'Operating Assumptions'!$D$53,0,IF(DL$6&gt;'Operating Assumptions'!$AA$8,0,IF('Operating Assumptions'!$L13="N/A",0,IF('Operating Assumptions'!$L13="$/Unit/Annual",(('Operating Assumptions'!$M13*DL$25)*DL$36)/12,IF('Operating Assumptions'!$L13="$/Unit/Month",('Operating Assumptions'!$M13*DL$25)*DL$36,IF('Operating Assumptions'!$L13="Fixed Amount",('Operating Assumptions'!$M13*DL$25)/12,IF('Operating Assumptions'!$L13="$/GSF",(('Operating Assumptions'!$M13*DL$25)*'Operating Assumptions'!$D$11)/12,IF('Operating Assumptions'!$L13="$/NSF",(('Operating Assumptions'!$M13*DL$25)*'Operating Assumptions'!$D$12)/12))))))))</f>
        <v>-4320</v>
      </c>
      <c r="DM85" s="427">
        <f>-IF(DM$9&lt;'Operating Assumptions'!$D$53,0,IF(DM$6&gt;'Operating Assumptions'!$AA$8,0,IF('Operating Assumptions'!$L13="N/A",0,IF('Operating Assumptions'!$L13="$/Unit/Annual",(('Operating Assumptions'!$M13*DM$25)*DM$36)/12,IF('Operating Assumptions'!$L13="$/Unit/Month",('Operating Assumptions'!$M13*DM$25)*DM$36,IF('Operating Assumptions'!$L13="Fixed Amount",('Operating Assumptions'!$M13*DM$25)/12,IF('Operating Assumptions'!$L13="$/GSF",(('Operating Assumptions'!$M13*DM$25)*'Operating Assumptions'!$D$11)/12,IF('Operating Assumptions'!$L13="$/NSF",(('Operating Assumptions'!$M13*DM$25)*'Operating Assumptions'!$D$12)/12))))))))</f>
        <v>-4320</v>
      </c>
      <c r="DN85" s="427">
        <f>-IF(DN$9&lt;'Operating Assumptions'!$D$53,0,IF(DN$6&gt;'Operating Assumptions'!$AA$8,0,IF('Operating Assumptions'!$L13="N/A",0,IF('Operating Assumptions'!$L13="$/Unit/Annual",(('Operating Assumptions'!$M13*DN$25)*DN$36)/12,IF('Operating Assumptions'!$L13="$/Unit/Month",('Operating Assumptions'!$M13*DN$25)*DN$36,IF('Operating Assumptions'!$L13="Fixed Amount",('Operating Assumptions'!$M13*DN$25)/12,IF('Operating Assumptions'!$L13="$/GSF",(('Operating Assumptions'!$M13*DN$25)*'Operating Assumptions'!$D$11)/12,IF('Operating Assumptions'!$L13="$/NSF",(('Operating Assumptions'!$M13*DN$25)*'Operating Assumptions'!$D$12)/12))))))))</f>
        <v>-4320</v>
      </c>
      <c r="DO85" s="427">
        <f>-IF(DO$9&lt;'Operating Assumptions'!$D$53,0,IF(DO$6&gt;'Operating Assumptions'!$AA$8,0,IF('Operating Assumptions'!$L13="N/A",0,IF('Operating Assumptions'!$L13="$/Unit/Annual",(('Operating Assumptions'!$M13*DO$25)*DO$36)/12,IF('Operating Assumptions'!$L13="$/Unit/Month",('Operating Assumptions'!$M13*DO$25)*DO$36,IF('Operating Assumptions'!$L13="Fixed Amount",('Operating Assumptions'!$M13*DO$25)/12,IF('Operating Assumptions'!$L13="$/GSF",(('Operating Assumptions'!$M13*DO$25)*'Operating Assumptions'!$D$11)/12,IF('Operating Assumptions'!$L13="$/NSF",(('Operating Assumptions'!$M13*DO$25)*'Operating Assumptions'!$D$12)/12))))))))</f>
        <v>-4320</v>
      </c>
      <c r="DP85" s="427">
        <f>-IF(DP$9&lt;'Operating Assumptions'!$D$53,0,IF(DP$6&gt;'Operating Assumptions'!$AA$8,0,IF('Operating Assumptions'!$L13="N/A",0,IF('Operating Assumptions'!$L13="$/Unit/Annual",(('Operating Assumptions'!$M13*DP$25)*DP$36)/12,IF('Operating Assumptions'!$L13="$/Unit/Month",('Operating Assumptions'!$M13*DP$25)*DP$36,IF('Operating Assumptions'!$L13="Fixed Amount",('Operating Assumptions'!$M13*DP$25)/12,IF('Operating Assumptions'!$L13="$/GSF",(('Operating Assumptions'!$M13*DP$25)*'Operating Assumptions'!$D$11)/12,IF('Operating Assumptions'!$L13="$/NSF",(('Operating Assumptions'!$M13*DP$25)*'Operating Assumptions'!$D$12)/12))))))))</f>
        <v>-4320</v>
      </c>
      <c r="DQ85" s="427">
        <f>-IF(DQ$9&lt;'Operating Assumptions'!$D$53,0,IF(DQ$6&gt;'Operating Assumptions'!$AA$8,0,IF('Operating Assumptions'!$L13="N/A",0,IF('Operating Assumptions'!$L13="$/Unit/Annual",(('Operating Assumptions'!$M13*DQ$25)*DQ$36)/12,IF('Operating Assumptions'!$L13="$/Unit/Month",('Operating Assumptions'!$M13*DQ$25)*DQ$36,IF('Operating Assumptions'!$L13="Fixed Amount",('Operating Assumptions'!$M13*DQ$25)/12,IF('Operating Assumptions'!$L13="$/GSF",(('Operating Assumptions'!$M13*DQ$25)*'Operating Assumptions'!$D$11)/12,IF('Operating Assumptions'!$L13="$/NSF",(('Operating Assumptions'!$M13*DQ$25)*'Operating Assumptions'!$D$12)/12))))))))</f>
        <v>-4320</v>
      </c>
      <c r="DR85" s="427">
        <f>-IF(DR$9&lt;'Operating Assumptions'!$D$53,0,IF(DR$6&gt;'Operating Assumptions'!$AA$8,0,IF('Operating Assumptions'!$L13="N/A",0,IF('Operating Assumptions'!$L13="$/Unit/Annual",(('Operating Assumptions'!$M13*DR$25)*DR$36)/12,IF('Operating Assumptions'!$L13="$/Unit/Month",('Operating Assumptions'!$M13*DR$25)*DR$36,IF('Operating Assumptions'!$L13="Fixed Amount",('Operating Assumptions'!$M13*DR$25)/12,IF('Operating Assumptions'!$L13="$/GSF",(('Operating Assumptions'!$M13*DR$25)*'Operating Assumptions'!$D$11)/12,IF('Operating Assumptions'!$L13="$/NSF",(('Operating Assumptions'!$M13*DR$25)*'Operating Assumptions'!$D$12)/12))))))))</f>
        <v>-4320</v>
      </c>
      <c r="DS85" s="427">
        <f>-IF(DS$9&lt;'Operating Assumptions'!$D$53,0,IF(DS$6&gt;'Operating Assumptions'!$AA$8,0,IF('Operating Assumptions'!$L13="N/A",0,IF('Operating Assumptions'!$L13="$/Unit/Annual",(('Operating Assumptions'!$M13*DS$25)*DS$36)/12,IF('Operating Assumptions'!$L13="$/Unit/Month",('Operating Assumptions'!$M13*DS$25)*DS$36,IF('Operating Assumptions'!$L13="Fixed Amount",('Operating Assumptions'!$M13*DS$25)/12,IF('Operating Assumptions'!$L13="$/GSF",(('Operating Assumptions'!$M13*DS$25)*'Operating Assumptions'!$D$11)/12,IF('Operating Assumptions'!$L13="$/NSF",(('Operating Assumptions'!$M13*DS$25)*'Operating Assumptions'!$D$12)/12))))))))</f>
        <v>-4320</v>
      </c>
      <c r="DT85" s="427">
        <f>-IF(DT$9&lt;'Operating Assumptions'!$D$53,0,IF(DT$6&gt;'Operating Assumptions'!$AA$8,0,IF('Operating Assumptions'!$L13="N/A",0,IF('Operating Assumptions'!$L13="$/Unit/Annual",(('Operating Assumptions'!$M13*DT$25)*DT$36)/12,IF('Operating Assumptions'!$L13="$/Unit/Month",('Operating Assumptions'!$M13*DT$25)*DT$36,IF('Operating Assumptions'!$L13="Fixed Amount",('Operating Assumptions'!$M13*DT$25)/12,IF('Operating Assumptions'!$L13="$/GSF",(('Operating Assumptions'!$M13*DT$25)*'Operating Assumptions'!$D$11)/12,IF('Operating Assumptions'!$L13="$/NSF",(('Operating Assumptions'!$M13*DT$25)*'Operating Assumptions'!$D$12)/12))))))))</f>
        <v>-4320</v>
      </c>
      <c r="DU85" s="427">
        <f>-IF(DU$9&lt;'Operating Assumptions'!$D$53,0,IF(DU$6&gt;'Operating Assumptions'!$AA$8,0,IF('Operating Assumptions'!$L13="N/A",0,IF('Operating Assumptions'!$L13="$/Unit/Annual",(('Operating Assumptions'!$M13*DU$25)*DU$36)/12,IF('Operating Assumptions'!$L13="$/Unit/Month",('Operating Assumptions'!$M13*DU$25)*DU$36,IF('Operating Assumptions'!$L13="Fixed Amount",('Operating Assumptions'!$M13*DU$25)/12,IF('Operating Assumptions'!$L13="$/GSF",(('Operating Assumptions'!$M13*DU$25)*'Operating Assumptions'!$D$11)/12,IF('Operating Assumptions'!$L13="$/NSF",(('Operating Assumptions'!$M13*DU$25)*'Operating Assumptions'!$D$12)/12))))))))</f>
        <v>-4320</v>
      </c>
      <c r="DV85" s="427">
        <f>-IF(DV$9&lt;'Operating Assumptions'!$D$53,0,IF(DV$6&gt;'Operating Assumptions'!$AA$8,0,IF('Operating Assumptions'!$L13="N/A",0,IF('Operating Assumptions'!$L13="$/Unit/Annual",(('Operating Assumptions'!$M13*DV$25)*DV$36)/12,IF('Operating Assumptions'!$L13="$/Unit/Month",('Operating Assumptions'!$M13*DV$25)*DV$36,IF('Operating Assumptions'!$L13="Fixed Amount",('Operating Assumptions'!$M13*DV$25)/12,IF('Operating Assumptions'!$L13="$/GSF",(('Operating Assumptions'!$M13*DV$25)*'Operating Assumptions'!$D$11)/12,IF('Operating Assumptions'!$L13="$/NSF",(('Operating Assumptions'!$M13*DV$25)*'Operating Assumptions'!$D$12)/12))))))))</f>
        <v>-4320</v>
      </c>
      <c r="DW85" s="427">
        <f>-IF(DW$9&lt;'Operating Assumptions'!$D$53,0,IF(DW$6&gt;'Operating Assumptions'!$AA$8,0,IF('Operating Assumptions'!$L13="N/A",0,IF('Operating Assumptions'!$L13="$/Unit/Annual",(('Operating Assumptions'!$M13*DW$25)*DW$36)/12,IF('Operating Assumptions'!$L13="$/Unit/Month",('Operating Assumptions'!$M13*DW$25)*DW$36,IF('Operating Assumptions'!$L13="Fixed Amount",('Operating Assumptions'!$M13*DW$25)/12,IF('Operating Assumptions'!$L13="$/GSF",(('Operating Assumptions'!$M13*DW$25)*'Operating Assumptions'!$D$11)/12,IF('Operating Assumptions'!$L13="$/NSF",(('Operating Assumptions'!$M13*DW$25)*'Operating Assumptions'!$D$12)/12))))))))</f>
        <v>-4320</v>
      </c>
      <c r="DX85" s="427">
        <f>-IF(DX$9&lt;'Operating Assumptions'!$D$53,0,IF(DX$6&gt;'Operating Assumptions'!$AA$8,0,IF('Operating Assumptions'!$L13="N/A",0,IF('Operating Assumptions'!$L13="$/Unit/Annual",(('Operating Assumptions'!$M13*DX$25)*DX$36)/12,IF('Operating Assumptions'!$L13="$/Unit/Month",('Operating Assumptions'!$M13*DX$25)*DX$36,IF('Operating Assumptions'!$L13="Fixed Amount",('Operating Assumptions'!$M13*DX$25)/12,IF('Operating Assumptions'!$L13="$/GSF",(('Operating Assumptions'!$M13*DX$25)*'Operating Assumptions'!$D$11)/12,IF('Operating Assumptions'!$L13="$/NSF",(('Operating Assumptions'!$M13*DX$25)*'Operating Assumptions'!$D$12)/12))))))))</f>
        <v>-4360.0000000000009</v>
      </c>
      <c r="DY85" s="427">
        <f>-IF(DY$9&lt;'Operating Assumptions'!$D$53,0,IF(DY$6&gt;'Operating Assumptions'!$AA$8,0,IF('Operating Assumptions'!$L13="N/A",0,IF('Operating Assumptions'!$L13="$/Unit/Annual",(('Operating Assumptions'!$M13*DY$25)*DY$36)/12,IF('Operating Assumptions'!$L13="$/Unit/Month",('Operating Assumptions'!$M13*DY$25)*DY$36,IF('Operating Assumptions'!$L13="Fixed Amount",('Operating Assumptions'!$M13*DY$25)/12,IF('Operating Assumptions'!$L13="$/GSF",(('Operating Assumptions'!$M13*DY$25)*'Operating Assumptions'!$D$11)/12,IF('Operating Assumptions'!$L13="$/NSF",(('Operating Assumptions'!$M13*DY$25)*'Operating Assumptions'!$D$12)/12))))))))</f>
        <v>-4360.0000000000009</v>
      </c>
      <c r="DZ85" s="427">
        <f>-IF(DZ$9&lt;'Operating Assumptions'!$D$53,0,IF(DZ$6&gt;'Operating Assumptions'!$AA$8,0,IF('Operating Assumptions'!$L13="N/A",0,IF('Operating Assumptions'!$L13="$/Unit/Annual",(('Operating Assumptions'!$M13*DZ$25)*DZ$36)/12,IF('Operating Assumptions'!$L13="$/Unit/Month",('Operating Assumptions'!$M13*DZ$25)*DZ$36,IF('Operating Assumptions'!$L13="Fixed Amount",('Operating Assumptions'!$M13*DZ$25)/12,IF('Operating Assumptions'!$L13="$/GSF",(('Operating Assumptions'!$M13*DZ$25)*'Operating Assumptions'!$D$11)/12,IF('Operating Assumptions'!$L13="$/NSF",(('Operating Assumptions'!$M13*DZ$25)*'Operating Assumptions'!$D$12)/12))))))))</f>
        <v>-4360.0000000000009</v>
      </c>
      <c r="EA85" s="427">
        <f>-IF(EA$9&lt;'Operating Assumptions'!$D$53,0,IF(EA$6&gt;'Operating Assumptions'!$AA$8,0,IF('Operating Assumptions'!$L13="N/A",0,IF('Operating Assumptions'!$L13="$/Unit/Annual",(('Operating Assumptions'!$M13*EA$25)*EA$36)/12,IF('Operating Assumptions'!$L13="$/Unit/Month",('Operating Assumptions'!$M13*EA$25)*EA$36,IF('Operating Assumptions'!$L13="Fixed Amount",('Operating Assumptions'!$M13*EA$25)/12,IF('Operating Assumptions'!$L13="$/GSF",(('Operating Assumptions'!$M13*EA$25)*'Operating Assumptions'!$D$11)/12,IF('Operating Assumptions'!$L13="$/NSF",(('Operating Assumptions'!$M13*EA$25)*'Operating Assumptions'!$D$12)/12))))))))</f>
        <v>-4360.0000000000009</v>
      </c>
      <c r="EB85" s="427">
        <f>-IF(EB$9&lt;'Operating Assumptions'!$D$53,0,IF(EB$6&gt;'Operating Assumptions'!$AA$8,0,IF('Operating Assumptions'!$L13="N/A",0,IF('Operating Assumptions'!$L13="$/Unit/Annual",(('Operating Assumptions'!$M13*EB$25)*EB$36)/12,IF('Operating Assumptions'!$L13="$/Unit/Month",('Operating Assumptions'!$M13*EB$25)*EB$36,IF('Operating Assumptions'!$L13="Fixed Amount",('Operating Assumptions'!$M13*EB$25)/12,IF('Operating Assumptions'!$L13="$/GSF",(('Operating Assumptions'!$M13*EB$25)*'Operating Assumptions'!$D$11)/12,IF('Operating Assumptions'!$L13="$/NSF",(('Operating Assumptions'!$M13*EB$25)*'Operating Assumptions'!$D$12)/12))))))))</f>
        <v>-4360.0000000000009</v>
      </c>
      <c r="EC85" s="427">
        <f>-IF(EC$9&lt;'Operating Assumptions'!$D$53,0,IF(EC$6&gt;'Operating Assumptions'!$AA$8,0,IF('Operating Assumptions'!$L13="N/A",0,IF('Operating Assumptions'!$L13="$/Unit/Annual",(('Operating Assumptions'!$M13*EC$25)*EC$36)/12,IF('Operating Assumptions'!$L13="$/Unit/Month",('Operating Assumptions'!$M13*EC$25)*EC$36,IF('Operating Assumptions'!$L13="Fixed Amount",('Operating Assumptions'!$M13*EC$25)/12,IF('Operating Assumptions'!$L13="$/GSF",(('Operating Assumptions'!$M13*EC$25)*'Operating Assumptions'!$D$11)/12,IF('Operating Assumptions'!$L13="$/NSF",(('Operating Assumptions'!$M13*EC$25)*'Operating Assumptions'!$D$12)/12))))))))</f>
        <v>-4360.0000000000009</v>
      </c>
      <c r="ED85" s="427">
        <f>-IF(ED$9&lt;'Operating Assumptions'!$D$53,0,IF(ED$6&gt;'Operating Assumptions'!$AA$8,0,IF('Operating Assumptions'!$L13="N/A",0,IF('Operating Assumptions'!$L13="$/Unit/Annual",(('Operating Assumptions'!$M13*ED$25)*ED$36)/12,IF('Operating Assumptions'!$L13="$/Unit/Month",('Operating Assumptions'!$M13*ED$25)*ED$36,IF('Operating Assumptions'!$L13="Fixed Amount",('Operating Assumptions'!$M13*ED$25)/12,IF('Operating Assumptions'!$L13="$/GSF",(('Operating Assumptions'!$M13*ED$25)*'Operating Assumptions'!$D$11)/12,IF('Operating Assumptions'!$L13="$/NSF",(('Operating Assumptions'!$M13*ED$25)*'Operating Assumptions'!$D$12)/12))))))))</f>
        <v>-4360.0000000000009</v>
      </c>
      <c r="EE85" s="427">
        <f>-IF(EE$9&lt;'Operating Assumptions'!$D$53,0,IF(EE$6&gt;'Operating Assumptions'!$AA$8,0,IF('Operating Assumptions'!$L13="N/A",0,IF('Operating Assumptions'!$L13="$/Unit/Annual",(('Operating Assumptions'!$M13*EE$25)*EE$36)/12,IF('Operating Assumptions'!$L13="$/Unit/Month",('Operating Assumptions'!$M13*EE$25)*EE$36,IF('Operating Assumptions'!$L13="Fixed Amount",('Operating Assumptions'!$M13*EE$25)/12,IF('Operating Assumptions'!$L13="$/GSF",(('Operating Assumptions'!$M13*EE$25)*'Operating Assumptions'!$D$11)/12,IF('Operating Assumptions'!$L13="$/NSF",(('Operating Assumptions'!$M13*EE$25)*'Operating Assumptions'!$D$12)/12))))))))</f>
        <v>-4360.0000000000009</v>
      </c>
      <c r="EF85" s="427">
        <f>-IF(EF$9&lt;'Operating Assumptions'!$D$53,0,IF(EF$6&gt;'Operating Assumptions'!$AA$8,0,IF('Operating Assumptions'!$L13="N/A",0,IF('Operating Assumptions'!$L13="$/Unit/Annual",(('Operating Assumptions'!$M13*EF$25)*EF$36)/12,IF('Operating Assumptions'!$L13="$/Unit/Month",('Operating Assumptions'!$M13*EF$25)*EF$36,IF('Operating Assumptions'!$L13="Fixed Amount",('Operating Assumptions'!$M13*EF$25)/12,IF('Operating Assumptions'!$L13="$/GSF",(('Operating Assumptions'!$M13*EF$25)*'Operating Assumptions'!$D$11)/12,IF('Operating Assumptions'!$L13="$/NSF",(('Operating Assumptions'!$M13*EF$25)*'Operating Assumptions'!$D$12)/12))))))))</f>
        <v>-4360.0000000000009</v>
      </c>
      <c r="EG85" s="427">
        <f>-IF(EG$9&lt;'Operating Assumptions'!$D$53,0,IF(EG$6&gt;'Operating Assumptions'!$AA$8,0,IF('Operating Assumptions'!$L13="N/A",0,IF('Operating Assumptions'!$L13="$/Unit/Annual",(('Operating Assumptions'!$M13*EG$25)*EG$36)/12,IF('Operating Assumptions'!$L13="$/Unit/Month",('Operating Assumptions'!$M13*EG$25)*EG$36,IF('Operating Assumptions'!$L13="Fixed Amount",('Operating Assumptions'!$M13*EG$25)/12,IF('Operating Assumptions'!$L13="$/GSF",(('Operating Assumptions'!$M13*EG$25)*'Operating Assumptions'!$D$11)/12,IF('Operating Assumptions'!$L13="$/NSF",(('Operating Assumptions'!$M13*EG$25)*'Operating Assumptions'!$D$12)/12))))))))</f>
        <v>-4360.0000000000009</v>
      </c>
      <c r="EH85" s="427">
        <f>-IF(EH$9&lt;'Operating Assumptions'!$D$53,0,IF(EH$6&gt;'Operating Assumptions'!$AA$8,0,IF('Operating Assumptions'!$L13="N/A",0,IF('Operating Assumptions'!$L13="$/Unit/Annual",(('Operating Assumptions'!$M13*EH$25)*EH$36)/12,IF('Operating Assumptions'!$L13="$/Unit/Month",('Operating Assumptions'!$M13*EH$25)*EH$36,IF('Operating Assumptions'!$L13="Fixed Amount",('Operating Assumptions'!$M13*EH$25)/12,IF('Operating Assumptions'!$L13="$/GSF",(('Operating Assumptions'!$M13*EH$25)*'Operating Assumptions'!$D$11)/12,IF('Operating Assumptions'!$L13="$/NSF",(('Operating Assumptions'!$M13*EH$25)*'Operating Assumptions'!$D$12)/12))))))))</f>
        <v>-4360.0000000000009</v>
      </c>
      <c r="EI85" s="427">
        <f>-IF(EI$9&lt;'Operating Assumptions'!$D$53,0,IF(EI$6&gt;'Operating Assumptions'!$AA$8,0,IF('Operating Assumptions'!$L13="N/A",0,IF('Operating Assumptions'!$L13="$/Unit/Annual",(('Operating Assumptions'!$M13*EI$25)*EI$36)/12,IF('Operating Assumptions'!$L13="$/Unit/Month",('Operating Assumptions'!$M13*EI$25)*EI$36,IF('Operating Assumptions'!$L13="Fixed Amount",('Operating Assumptions'!$M13*EI$25)/12,IF('Operating Assumptions'!$L13="$/GSF",(('Operating Assumptions'!$M13*EI$25)*'Operating Assumptions'!$D$11)/12,IF('Operating Assumptions'!$L13="$/NSF",(('Operating Assumptions'!$M13*EI$25)*'Operating Assumptions'!$D$12)/12))))))))</f>
        <v>-4360.0000000000009</v>
      </c>
      <c r="EJ85" s="427">
        <f>-IF(EJ$9&lt;'Operating Assumptions'!$D$53,0,IF(EJ$6&gt;'Operating Assumptions'!$AA$8,0,IF('Operating Assumptions'!$L13="N/A",0,IF('Operating Assumptions'!$L13="$/Unit/Annual",(('Operating Assumptions'!$M13*EJ$25)*EJ$36)/12,IF('Operating Assumptions'!$L13="$/Unit/Month",('Operating Assumptions'!$M13*EJ$25)*EJ$36,IF('Operating Assumptions'!$L13="Fixed Amount",('Operating Assumptions'!$M13*EJ$25)/12,IF('Operating Assumptions'!$L13="$/GSF",(('Operating Assumptions'!$M13*EJ$25)*'Operating Assumptions'!$D$11)/12,IF('Operating Assumptions'!$L13="$/NSF",(('Operating Assumptions'!$M13*EJ$25)*'Operating Assumptions'!$D$12)/12))))))))</f>
        <v>-4400.0000000000009</v>
      </c>
      <c r="EK85" s="427">
        <f>-IF(EK$9&lt;'Operating Assumptions'!$D$53,0,IF(EK$6&gt;'Operating Assumptions'!$AA$8,0,IF('Operating Assumptions'!$L13="N/A",0,IF('Operating Assumptions'!$L13="$/Unit/Annual",(('Operating Assumptions'!$M13*EK$25)*EK$36)/12,IF('Operating Assumptions'!$L13="$/Unit/Month",('Operating Assumptions'!$M13*EK$25)*EK$36,IF('Operating Assumptions'!$L13="Fixed Amount",('Operating Assumptions'!$M13*EK$25)/12,IF('Operating Assumptions'!$L13="$/GSF",(('Operating Assumptions'!$M13*EK$25)*'Operating Assumptions'!$D$11)/12,IF('Operating Assumptions'!$L13="$/NSF",(('Operating Assumptions'!$M13*EK$25)*'Operating Assumptions'!$D$12)/12))))))))</f>
        <v>-4400.0000000000009</v>
      </c>
      <c r="EL85" s="427">
        <f>-IF(EL$9&lt;'Operating Assumptions'!$D$53,0,IF(EL$6&gt;'Operating Assumptions'!$AA$8,0,IF('Operating Assumptions'!$L13="N/A",0,IF('Operating Assumptions'!$L13="$/Unit/Annual",(('Operating Assumptions'!$M13*EL$25)*EL$36)/12,IF('Operating Assumptions'!$L13="$/Unit/Month",('Operating Assumptions'!$M13*EL$25)*EL$36,IF('Operating Assumptions'!$L13="Fixed Amount",('Operating Assumptions'!$M13*EL$25)/12,IF('Operating Assumptions'!$L13="$/GSF",(('Operating Assumptions'!$M13*EL$25)*'Operating Assumptions'!$D$11)/12,IF('Operating Assumptions'!$L13="$/NSF",(('Operating Assumptions'!$M13*EL$25)*'Operating Assumptions'!$D$12)/12))))))))</f>
        <v>-4400.0000000000009</v>
      </c>
      <c r="EM85" s="427">
        <f>-IF(EM$9&lt;'Operating Assumptions'!$D$53,0,IF(EM$6&gt;'Operating Assumptions'!$AA$8,0,IF('Operating Assumptions'!$L13="N/A",0,IF('Operating Assumptions'!$L13="$/Unit/Annual",(('Operating Assumptions'!$M13*EM$25)*EM$36)/12,IF('Operating Assumptions'!$L13="$/Unit/Month",('Operating Assumptions'!$M13*EM$25)*EM$36,IF('Operating Assumptions'!$L13="Fixed Amount",('Operating Assumptions'!$M13*EM$25)/12,IF('Operating Assumptions'!$L13="$/GSF",(('Operating Assumptions'!$M13*EM$25)*'Operating Assumptions'!$D$11)/12,IF('Operating Assumptions'!$L13="$/NSF",(('Operating Assumptions'!$M13*EM$25)*'Operating Assumptions'!$D$12)/12))))))))</f>
        <v>-4400.0000000000009</v>
      </c>
      <c r="EN85" s="427">
        <f>-IF(EN$9&lt;'Operating Assumptions'!$D$53,0,IF(EN$6&gt;'Operating Assumptions'!$AA$8,0,IF('Operating Assumptions'!$L13="N/A",0,IF('Operating Assumptions'!$L13="$/Unit/Annual",(('Operating Assumptions'!$M13*EN$25)*EN$36)/12,IF('Operating Assumptions'!$L13="$/Unit/Month",('Operating Assumptions'!$M13*EN$25)*EN$36,IF('Operating Assumptions'!$L13="Fixed Amount",('Operating Assumptions'!$M13*EN$25)/12,IF('Operating Assumptions'!$L13="$/GSF",(('Operating Assumptions'!$M13*EN$25)*'Operating Assumptions'!$D$11)/12,IF('Operating Assumptions'!$L13="$/NSF",(('Operating Assumptions'!$M13*EN$25)*'Operating Assumptions'!$D$12)/12))))))))</f>
        <v>-4400.0000000000009</v>
      </c>
      <c r="EO85" s="427">
        <f>-IF(EO$9&lt;'Operating Assumptions'!$D$53,0,IF(EO$6&gt;'Operating Assumptions'!$AA$8,0,IF('Operating Assumptions'!$L13="N/A",0,IF('Operating Assumptions'!$L13="$/Unit/Annual",(('Operating Assumptions'!$M13*EO$25)*EO$36)/12,IF('Operating Assumptions'!$L13="$/Unit/Month",('Operating Assumptions'!$M13*EO$25)*EO$36,IF('Operating Assumptions'!$L13="Fixed Amount",('Operating Assumptions'!$M13*EO$25)/12,IF('Operating Assumptions'!$L13="$/GSF",(('Operating Assumptions'!$M13*EO$25)*'Operating Assumptions'!$D$11)/12,IF('Operating Assumptions'!$L13="$/NSF",(('Operating Assumptions'!$M13*EO$25)*'Operating Assumptions'!$D$12)/12))))))))</f>
        <v>-4400.0000000000009</v>
      </c>
      <c r="EP85" s="427">
        <f>-IF(EP$9&lt;'Operating Assumptions'!$D$53,0,IF(EP$6&gt;'Operating Assumptions'!$AA$8,0,IF('Operating Assumptions'!$L13="N/A",0,IF('Operating Assumptions'!$L13="$/Unit/Annual",(('Operating Assumptions'!$M13*EP$25)*EP$36)/12,IF('Operating Assumptions'!$L13="$/Unit/Month",('Operating Assumptions'!$M13*EP$25)*EP$36,IF('Operating Assumptions'!$L13="Fixed Amount",('Operating Assumptions'!$M13*EP$25)/12,IF('Operating Assumptions'!$L13="$/GSF",(('Operating Assumptions'!$M13*EP$25)*'Operating Assumptions'!$D$11)/12,IF('Operating Assumptions'!$L13="$/NSF",(('Operating Assumptions'!$M13*EP$25)*'Operating Assumptions'!$D$12)/12))))))))</f>
        <v>-4400.0000000000009</v>
      </c>
      <c r="EQ85" s="427">
        <f>-IF(EQ$9&lt;'Operating Assumptions'!$D$53,0,IF(EQ$6&gt;'Operating Assumptions'!$AA$8,0,IF('Operating Assumptions'!$L13="N/A",0,IF('Operating Assumptions'!$L13="$/Unit/Annual",(('Operating Assumptions'!$M13*EQ$25)*EQ$36)/12,IF('Operating Assumptions'!$L13="$/Unit/Month",('Operating Assumptions'!$M13*EQ$25)*EQ$36,IF('Operating Assumptions'!$L13="Fixed Amount",('Operating Assumptions'!$M13*EQ$25)/12,IF('Operating Assumptions'!$L13="$/GSF",(('Operating Assumptions'!$M13*EQ$25)*'Operating Assumptions'!$D$11)/12,IF('Operating Assumptions'!$L13="$/NSF",(('Operating Assumptions'!$M13*EQ$25)*'Operating Assumptions'!$D$12)/12))))))))</f>
        <v>-4400.0000000000009</v>
      </c>
      <c r="ER85" s="427">
        <f>-IF(ER$9&lt;'Operating Assumptions'!$D$53,0,IF(ER$6&gt;'Operating Assumptions'!$AA$8,0,IF('Operating Assumptions'!$L13="N/A",0,IF('Operating Assumptions'!$L13="$/Unit/Annual",(('Operating Assumptions'!$M13*ER$25)*ER$36)/12,IF('Operating Assumptions'!$L13="$/Unit/Month",('Operating Assumptions'!$M13*ER$25)*ER$36,IF('Operating Assumptions'!$L13="Fixed Amount",('Operating Assumptions'!$M13*ER$25)/12,IF('Operating Assumptions'!$L13="$/GSF",(('Operating Assumptions'!$M13*ER$25)*'Operating Assumptions'!$D$11)/12,IF('Operating Assumptions'!$L13="$/NSF",(('Operating Assumptions'!$M13*ER$25)*'Operating Assumptions'!$D$12)/12))))))))</f>
        <v>-4400.0000000000009</v>
      </c>
      <c r="ES85" s="427">
        <f>-IF(ES$9&lt;'Operating Assumptions'!$D$53,0,IF(ES$6&gt;'Operating Assumptions'!$AA$8,0,IF('Operating Assumptions'!$L13="N/A",0,IF('Operating Assumptions'!$L13="$/Unit/Annual",(('Operating Assumptions'!$M13*ES$25)*ES$36)/12,IF('Operating Assumptions'!$L13="$/Unit/Month",('Operating Assumptions'!$M13*ES$25)*ES$36,IF('Operating Assumptions'!$L13="Fixed Amount",('Operating Assumptions'!$M13*ES$25)/12,IF('Operating Assumptions'!$L13="$/GSF",(('Operating Assumptions'!$M13*ES$25)*'Operating Assumptions'!$D$11)/12,IF('Operating Assumptions'!$L13="$/NSF",(('Operating Assumptions'!$M13*ES$25)*'Operating Assumptions'!$D$12)/12))))))))</f>
        <v>-4400.0000000000009</v>
      </c>
      <c r="ET85" s="427">
        <f>-IF(ET$9&lt;'Operating Assumptions'!$D$53,0,IF(ET$6&gt;'Operating Assumptions'!$AA$8,0,IF('Operating Assumptions'!$L13="N/A",0,IF('Operating Assumptions'!$L13="$/Unit/Annual",(('Operating Assumptions'!$M13*ET$25)*ET$36)/12,IF('Operating Assumptions'!$L13="$/Unit/Month",('Operating Assumptions'!$M13*ET$25)*ET$36,IF('Operating Assumptions'!$L13="Fixed Amount",('Operating Assumptions'!$M13*ET$25)/12,IF('Operating Assumptions'!$L13="$/GSF",(('Operating Assumptions'!$M13*ET$25)*'Operating Assumptions'!$D$11)/12,IF('Operating Assumptions'!$L13="$/NSF",(('Operating Assumptions'!$M13*ET$25)*'Operating Assumptions'!$D$12)/12))))))))</f>
        <v>-4400.0000000000009</v>
      </c>
      <c r="EU85" s="427">
        <f>-IF(EU$9&lt;'Operating Assumptions'!$D$53,0,IF(EU$6&gt;'Operating Assumptions'!$AA$8,0,IF('Operating Assumptions'!$L13="N/A",0,IF('Operating Assumptions'!$L13="$/Unit/Annual",(('Operating Assumptions'!$M13*EU$25)*EU$36)/12,IF('Operating Assumptions'!$L13="$/Unit/Month",('Operating Assumptions'!$M13*EU$25)*EU$36,IF('Operating Assumptions'!$L13="Fixed Amount",('Operating Assumptions'!$M13*EU$25)/12,IF('Operating Assumptions'!$L13="$/GSF",(('Operating Assumptions'!$M13*EU$25)*'Operating Assumptions'!$D$11)/12,IF('Operating Assumptions'!$L13="$/NSF",(('Operating Assumptions'!$M13*EU$25)*'Operating Assumptions'!$D$12)/12))))))))</f>
        <v>-4400.0000000000009</v>
      </c>
      <c r="EV85" s="427">
        <f>-IF(EV$9&lt;'Operating Assumptions'!$D$53,0,IF(EV$6&gt;'Operating Assumptions'!$AA$8,0,IF('Operating Assumptions'!$L13="N/A",0,IF('Operating Assumptions'!$L13="$/Unit/Annual",(('Operating Assumptions'!$M13*EV$25)*EV$36)/12,IF('Operating Assumptions'!$L13="$/Unit/Month",('Operating Assumptions'!$M13*EV$25)*EV$36,IF('Operating Assumptions'!$L13="Fixed Amount",('Operating Assumptions'!$M13*EV$25)/12,IF('Operating Assumptions'!$L13="$/GSF",(('Operating Assumptions'!$M13*EV$25)*'Operating Assumptions'!$D$11)/12,IF('Operating Assumptions'!$L13="$/NSF",(('Operating Assumptions'!$M13*EV$25)*'Operating Assumptions'!$D$12)/12))))))))</f>
        <v>0</v>
      </c>
      <c r="EW85" s="427">
        <f>-IF(EW$9&lt;'Operating Assumptions'!$D$53,0,IF(EW$6&gt;'Operating Assumptions'!$AA$8,0,IF('Operating Assumptions'!$L13="N/A",0,IF('Operating Assumptions'!$L13="$/Unit/Annual",(('Operating Assumptions'!$M13*EW$25)*EW$36)/12,IF('Operating Assumptions'!$L13="$/Unit/Month",('Operating Assumptions'!$M13*EW$25)*EW$36,IF('Operating Assumptions'!$L13="Fixed Amount",('Operating Assumptions'!$M13*EW$25)/12,IF('Operating Assumptions'!$L13="$/GSF",(('Operating Assumptions'!$M13*EW$25)*'Operating Assumptions'!$D$11)/12,IF('Operating Assumptions'!$L13="$/NSF",(('Operating Assumptions'!$M13*EW$25)*'Operating Assumptions'!$D$12)/12))))))))</f>
        <v>0</v>
      </c>
      <c r="EX85" s="427">
        <f>-IF(EX$9&lt;'Operating Assumptions'!$D$53,0,IF(EX$6&gt;'Operating Assumptions'!$AA$8,0,IF('Operating Assumptions'!$L13="N/A",0,IF('Operating Assumptions'!$L13="$/Unit/Annual",(('Operating Assumptions'!$M13*EX$25)*EX$36)/12,IF('Operating Assumptions'!$L13="$/Unit/Month",('Operating Assumptions'!$M13*EX$25)*EX$36,IF('Operating Assumptions'!$L13="Fixed Amount",('Operating Assumptions'!$M13*EX$25)/12,IF('Operating Assumptions'!$L13="$/GSF",(('Operating Assumptions'!$M13*EX$25)*'Operating Assumptions'!$D$11)/12,IF('Operating Assumptions'!$L13="$/NSF",(('Operating Assumptions'!$M13*EX$25)*'Operating Assumptions'!$D$12)/12))))))))</f>
        <v>0</v>
      </c>
      <c r="EY85" s="427">
        <f>-IF(EY$9&lt;'Operating Assumptions'!$D$53,0,IF(EY$6&gt;'Operating Assumptions'!$AA$8,0,IF('Operating Assumptions'!$L13="N/A",0,IF('Operating Assumptions'!$L13="$/Unit/Annual",(('Operating Assumptions'!$M13*EY$25)*EY$36)/12,IF('Operating Assumptions'!$L13="$/Unit/Month",('Operating Assumptions'!$M13*EY$25)*EY$36,IF('Operating Assumptions'!$L13="Fixed Amount",('Operating Assumptions'!$M13*EY$25)/12,IF('Operating Assumptions'!$L13="$/GSF",(('Operating Assumptions'!$M13*EY$25)*'Operating Assumptions'!$D$11)/12,IF('Operating Assumptions'!$L13="$/NSF",(('Operating Assumptions'!$M13*EY$25)*'Operating Assumptions'!$D$12)/12))))))))</f>
        <v>0</v>
      </c>
      <c r="EZ85" s="427">
        <f>-IF(EZ$9&lt;'Operating Assumptions'!$D$53,0,IF(EZ$6&gt;'Operating Assumptions'!$AA$8,0,IF('Operating Assumptions'!$L13="N/A",0,IF('Operating Assumptions'!$L13="$/Unit/Annual",(('Operating Assumptions'!$M13*EZ$25)*EZ$36)/12,IF('Operating Assumptions'!$L13="$/Unit/Month",('Operating Assumptions'!$M13*EZ$25)*EZ$36,IF('Operating Assumptions'!$L13="Fixed Amount",('Operating Assumptions'!$M13*EZ$25)/12,IF('Operating Assumptions'!$L13="$/GSF",(('Operating Assumptions'!$M13*EZ$25)*'Operating Assumptions'!$D$11)/12,IF('Operating Assumptions'!$L13="$/NSF",(('Operating Assumptions'!$M13*EZ$25)*'Operating Assumptions'!$D$12)/12))))))))</f>
        <v>0</v>
      </c>
      <c r="FA85" s="427">
        <f>-IF(FA$9&lt;'Operating Assumptions'!$D$53,0,IF(FA$6&gt;'Operating Assumptions'!$AA$8,0,IF('Operating Assumptions'!$L13="N/A",0,IF('Operating Assumptions'!$L13="$/Unit/Annual",(('Operating Assumptions'!$M13*FA$25)*FA$36)/12,IF('Operating Assumptions'!$L13="$/Unit/Month",('Operating Assumptions'!$M13*FA$25)*FA$36,IF('Operating Assumptions'!$L13="Fixed Amount",('Operating Assumptions'!$M13*FA$25)/12,IF('Operating Assumptions'!$L13="$/GSF",(('Operating Assumptions'!$M13*FA$25)*'Operating Assumptions'!$D$11)/12,IF('Operating Assumptions'!$L13="$/NSF",(('Operating Assumptions'!$M13*FA$25)*'Operating Assumptions'!$D$12)/12))))))))</f>
        <v>0</v>
      </c>
      <c r="FB85" s="427">
        <f>-IF(FB$9&lt;'Operating Assumptions'!$D$53,0,IF(FB$6&gt;'Operating Assumptions'!$AA$8,0,IF('Operating Assumptions'!$L13="N/A",0,IF('Operating Assumptions'!$L13="$/Unit/Annual",(('Operating Assumptions'!$M13*FB$25)*FB$36)/12,IF('Operating Assumptions'!$L13="$/Unit/Month",('Operating Assumptions'!$M13*FB$25)*FB$36,IF('Operating Assumptions'!$L13="Fixed Amount",('Operating Assumptions'!$M13*FB$25)/12,IF('Operating Assumptions'!$L13="$/GSF",(('Operating Assumptions'!$M13*FB$25)*'Operating Assumptions'!$D$11)/12,IF('Operating Assumptions'!$L13="$/NSF",(('Operating Assumptions'!$M13*FB$25)*'Operating Assumptions'!$D$12)/12))))))))</f>
        <v>0</v>
      </c>
      <c r="FC85" s="427">
        <f>-IF(FC$9&lt;'Operating Assumptions'!$D$53,0,IF(FC$6&gt;'Operating Assumptions'!$AA$8,0,IF('Operating Assumptions'!$L13="N/A",0,IF('Operating Assumptions'!$L13="$/Unit/Annual",(('Operating Assumptions'!$M13*FC$25)*FC$36)/12,IF('Operating Assumptions'!$L13="$/Unit/Month",('Operating Assumptions'!$M13*FC$25)*FC$36,IF('Operating Assumptions'!$L13="Fixed Amount",('Operating Assumptions'!$M13*FC$25)/12,IF('Operating Assumptions'!$L13="$/GSF",(('Operating Assumptions'!$M13*FC$25)*'Operating Assumptions'!$D$11)/12,IF('Operating Assumptions'!$L13="$/NSF",(('Operating Assumptions'!$M13*FC$25)*'Operating Assumptions'!$D$12)/12))))))))</f>
        <v>0</v>
      </c>
      <c r="FD85" s="427">
        <f>-IF(FD$9&lt;'Operating Assumptions'!$D$53,0,IF(FD$6&gt;'Operating Assumptions'!$AA$8,0,IF('Operating Assumptions'!$L13="N/A",0,IF('Operating Assumptions'!$L13="$/Unit/Annual",(('Operating Assumptions'!$M13*FD$25)*FD$36)/12,IF('Operating Assumptions'!$L13="$/Unit/Month",('Operating Assumptions'!$M13*FD$25)*FD$36,IF('Operating Assumptions'!$L13="Fixed Amount",('Operating Assumptions'!$M13*FD$25)/12,IF('Operating Assumptions'!$L13="$/GSF",(('Operating Assumptions'!$M13*FD$25)*'Operating Assumptions'!$D$11)/12,IF('Operating Assumptions'!$L13="$/NSF",(('Operating Assumptions'!$M13*FD$25)*'Operating Assumptions'!$D$12)/12))))))))</f>
        <v>0</v>
      </c>
      <c r="FE85" s="427">
        <f>-IF(FE$9&lt;'Operating Assumptions'!$D$53,0,IF(FE$6&gt;'Operating Assumptions'!$AA$8,0,IF('Operating Assumptions'!$L13="N/A",0,IF('Operating Assumptions'!$L13="$/Unit/Annual",(('Operating Assumptions'!$M13*FE$25)*FE$36)/12,IF('Operating Assumptions'!$L13="$/Unit/Month",('Operating Assumptions'!$M13*FE$25)*FE$36,IF('Operating Assumptions'!$L13="Fixed Amount",('Operating Assumptions'!$M13*FE$25)/12,IF('Operating Assumptions'!$L13="$/GSF",(('Operating Assumptions'!$M13*FE$25)*'Operating Assumptions'!$D$11)/12,IF('Operating Assumptions'!$L13="$/NSF",(('Operating Assumptions'!$M13*FE$25)*'Operating Assumptions'!$D$12)/12))))))))</f>
        <v>0</v>
      </c>
      <c r="FF85" s="427">
        <f>-IF(FF$9&lt;'Operating Assumptions'!$D$53,0,IF(FF$6&gt;'Operating Assumptions'!$AA$8,0,IF('Operating Assumptions'!$L13="N/A",0,IF('Operating Assumptions'!$L13="$/Unit/Annual",(('Operating Assumptions'!$M13*FF$25)*FF$36)/12,IF('Operating Assumptions'!$L13="$/Unit/Month",('Operating Assumptions'!$M13*FF$25)*FF$36,IF('Operating Assumptions'!$L13="Fixed Amount",('Operating Assumptions'!$M13*FF$25)/12,IF('Operating Assumptions'!$L13="$/GSF",(('Operating Assumptions'!$M13*FF$25)*'Operating Assumptions'!$D$11)/12,IF('Operating Assumptions'!$L13="$/NSF",(('Operating Assumptions'!$M13*FF$25)*'Operating Assumptions'!$D$12)/12))))))))</f>
        <v>0</v>
      </c>
      <c r="FG85" s="427">
        <f>-IF(FG$9&lt;'Operating Assumptions'!$D$53,0,IF(FG$6&gt;'Operating Assumptions'!$AA$8,0,IF('Operating Assumptions'!$L13="N/A",0,IF('Operating Assumptions'!$L13="$/Unit/Annual",(('Operating Assumptions'!$M13*FG$25)*FG$36)/12,IF('Operating Assumptions'!$L13="$/Unit/Month",('Operating Assumptions'!$M13*FG$25)*FG$36,IF('Operating Assumptions'!$L13="Fixed Amount",('Operating Assumptions'!$M13*FG$25)/12,IF('Operating Assumptions'!$L13="$/GSF",(('Operating Assumptions'!$M13*FG$25)*'Operating Assumptions'!$D$11)/12,IF('Operating Assumptions'!$L13="$/NSF",(('Operating Assumptions'!$M13*FG$25)*'Operating Assumptions'!$D$12)/12))))))))</f>
        <v>0</v>
      </c>
      <c r="FH85" s="427">
        <f>-IF(FH$9&lt;'Operating Assumptions'!$D$53,0,IF(FH$6&gt;'Operating Assumptions'!$AA$8,0,IF('Operating Assumptions'!$L13="N/A",0,IF('Operating Assumptions'!$L13="$/Unit/Annual",(('Operating Assumptions'!$M13*FH$25)*FH$36)/12,IF('Operating Assumptions'!$L13="$/Unit/Month",('Operating Assumptions'!$M13*FH$25)*FH$36,IF('Operating Assumptions'!$L13="Fixed Amount",('Operating Assumptions'!$M13*FH$25)/12,IF('Operating Assumptions'!$L13="$/GSF",(('Operating Assumptions'!$M13*FH$25)*'Operating Assumptions'!$D$11)/12,IF('Operating Assumptions'!$L13="$/NSF",(('Operating Assumptions'!$M13*FH$25)*'Operating Assumptions'!$D$12)/12))))))))</f>
        <v>0</v>
      </c>
      <c r="FI85" s="427">
        <f>-IF(FI$9&lt;'Operating Assumptions'!$D$53,0,IF(FI$6&gt;'Operating Assumptions'!$AA$8,0,IF('Operating Assumptions'!$L13="N/A",0,IF('Operating Assumptions'!$L13="$/Unit/Annual",(('Operating Assumptions'!$M13*FI$25)*FI$36)/12,IF('Operating Assumptions'!$L13="$/Unit/Month",('Operating Assumptions'!$M13*FI$25)*FI$36,IF('Operating Assumptions'!$L13="Fixed Amount",('Operating Assumptions'!$M13*FI$25)/12,IF('Operating Assumptions'!$L13="$/GSF",(('Operating Assumptions'!$M13*FI$25)*'Operating Assumptions'!$D$11)/12,IF('Operating Assumptions'!$L13="$/NSF",(('Operating Assumptions'!$M13*FI$25)*'Operating Assumptions'!$D$12)/12))))))))</f>
        <v>0</v>
      </c>
      <c r="FJ85" s="427">
        <f>-IF(FJ$9&lt;'Operating Assumptions'!$D$53,0,IF(FJ$6&gt;'Operating Assumptions'!$AA$8,0,IF('Operating Assumptions'!$L13="N/A",0,IF('Operating Assumptions'!$L13="$/Unit/Annual",(('Operating Assumptions'!$M13*FJ$25)*FJ$36)/12,IF('Operating Assumptions'!$L13="$/Unit/Month",('Operating Assumptions'!$M13*FJ$25)*FJ$36,IF('Operating Assumptions'!$L13="Fixed Amount",('Operating Assumptions'!$M13*FJ$25)/12,IF('Operating Assumptions'!$L13="$/GSF",(('Operating Assumptions'!$M13*FJ$25)*'Operating Assumptions'!$D$11)/12,IF('Operating Assumptions'!$L13="$/NSF",(('Operating Assumptions'!$M13*FJ$25)*'Operating Assumptions'!$D$12)/12))))))))</f>
        <v>0</v>
      </c>
      <c r="FK85" s="427">
        <f>-IF(FK$9&lt;'Operating Assumptions'!$D$53,0,IF(FK$6&gt;'Operating Assumptions'!$AA$8,0,IF('Operating Assumptions'!$L13="N/A",0,IF('Operating Assumptions'!$L13="$/Unit/Annual",(('Operating Assumptions'!$M13*FK$25)*FK$36)/12,IF('Operating Assumptions'!$L13="$/Unit/Month",('Operating Assumptions'!$M13*FK$25)*FK$36,IF('Operating Assumptions'!$L13="Fixed Amount",('Operating Assumptions'!$M13*FK$25)/12,IF('Operating Assumptions'!$L13="$/GSF",(('Operating Assumptions'!$M13*FK$25)*'Operating Assumptions'!$D$11)/12,IF('Operating Assumptions'!$L13="$/NSF",(('Operating Assumptions'!$M13*FK$25)*'Operating Assumptions'!$D$12)/12))))))))</f>
        <v>0</v>
      </c>
      <c r="FL85" s="427">
        <f>-IF(FL$9&lt;'Operating Assumptions'!$D$53,0,IF(FL$6&gt;'Operating Assumptions'!$AA$8,0,IF('Operating Assumptions'!$L13="N/A",0,IF('Operating Assumptions'!$L13="$/Unit/Annual",(('Operating Assumptions'!$M13*FL$25)*FL$36)/12,IF('Operating Assumptions'!$L13="$/Unit/Month",('Operating Assumptions'!$M13*FL$25)*FL$36,IF('Operating Assumptions'!$L13="Fixed Amount",('Operating Assumptions'!$M13*FL$25)/12,IF('Operating Assumptions'!$L13="$/GSF",(('Operating Assumptions'!$M13*FL$25)*'Operating Assumptions'!$D$11)/12,IF('Operating Assumptions'!$L13="$/NSF",(('Operating Assumptions'!$M13*FL$25)*'Operating Assumptions'!$D$12)/12))))))))</f>
        <v>0</v>
      </c>
      <c r="FM85" s="427">
        <f>-IF(FM$9&lt;'Operating Assumptions'!$D$53,0,IF(FM$6&gt;'Operating Assumptions'!$AA$8,0,IF('Operating Assumptions'!$L13="N/A",0,IF('Operating Assumptions'!$L13="$/Unit/Annual",(('Operating Assumptions'!$M13*FM$25)*FM$36)/12,IF('Operating Assumptions'!$L13="$/Unit/Month",('Operating Assumptions'!$M13*FM$25)*FM$36,IF('Operating Assumptions'!$L13="Fixed Amount",('Operating Assumptions'!$M13*FM$25)/12,IF('Operating Assumptions'!$L13="$/GSF",(('Operating Assumptions'!$M13*FM$25)*'Operating Assumptions'!$D$11)/12,IF('Operating Assumptions'!$L13="$/NSF",(('Operating Assumptions'!$M13*FM$25)*'Operating Assumptions'!$D$12)/12))))))))</f>
        <v>0</v>
      </c>
      <c r="FN85" s="427">
        <f>-IF(FN$9&lt;'Operating Assumptions'!$D$53,0,IF(FN$6&gt;'Operating Assumptions'!$AA$8,0,IF('Operating Assumptions'!$L13="N/A",0,IF('Operating Assumptions'!$L13="$/Unit/Annual",(('Operating Assumptions'!$M13*FN$25)*FN$36)/12,IF('Operating Assumptions'!$L13="$/Unit/Month",('Operating Assumptions'!$M13*FN$25)*FN$36,IF('Operating Assumptions'!$L13="Fixed Amount",('Operating Assumptions'!$M13*FN$25)/12,IF('Operating Assumptions'!$L13="$/GSF",(('Operating Assumptions'!$M13*FN$25)*'Operating Assumptions'!$D$11)/12,IF('Operating Assumptions'!$L13="$/NSF",(('Operating Assumptions'!$M13*FN$25)*'Operating Assumptions'!$D$12)/12))))))))</f>
        <v>0</v>
      </c>
      <c r="FO85" s="427">
        <f>-IF(FO$9&lt;'Operating Assumptions'!$D$53,0,IF(FO$6&gt;'Operating Assumptions'!$AA$8,0,IF('Operating Assumptions'!$L13="N/A",0,IF('Operating Assumptions'!$L13="$/Unit/Annual",(('Operating Assumptions'!$M13*FO$25)*FO$36)/12,IF('Operating Assumptions'!$L13="$/Unit/Month",('Operating Assumptions'!$M13*FO$25)*FO$36,IF('Operating Assumptions'!$L13="Fixed Amount",('Operating Assumptions'!$M13*FO$25)/12,IF('Operating Assumptions'!$L13="$/GSF",(('Operating Assumptions'!$M13*FO$25)*'Operating Assumptions'!$D$11)/12,IF('Operating Assumptions'!$L13="$/NSF",(('Operating Assumptions'!$M13*FO$25)*'Operating Assumptions'!$D$12)/12))))))))</f>
        <v>0</v>
      </c>
      <c r="FP85" s="427">
        <f>-IF(FP$9&lt;'Operating Assumptions'!$D$53,0,IF(FP$6&gt;'Operating Assumptions'!$AA$8,0,IF('Operating Assumptions'!$L13="N/A",0,IF('Operating Assumptions'!$L13="$/Unit/Annual",(('Operating Assumptions'!$M13*FP$25)*FP$36)/12,IF('Operating Assumptions'!$L13="$/Unit/Month",('Operating Assumptions'!$M13*FP$25)*FP$36,IF('Operating Assumptions'!$L13="Fixed Amount",('Operating Assumptions'!$M13*FP$25)/12,IF('Operating Assumptions'!$L13="$/GSF",(('Operating Assumptions'!$M13*FP$25)*'Operating Assumptions'!$D$11)/12,IF('Operating Assumptions'!$L13="$/NSF",(('Operating Assumptions'!$M13*FP$25)*'Operating Assumptions'!$D$12)/12))))))))</f>
        <v>0</v>
      </c>
      <c r="FQ85" s="427">
        <f>-IF(FQ$9&lt;'Operating Assumptions'!$D$53,0,IF(FQ$6&gt;'Operating Assumptions'!$AA$8,0,IF('Operating Assumptions'!$L13="N/A",0,IF('Operating Assumptions'!$L13="$/Unit/Annual",(('Operating Assumptions'!$M13*FQ$25)*FQ$36)/12,IF('Operating Assumptions'!$L13="$/Unit/Month",('Operating Assumptions'!$M13*FQ$25)*FQ$36,IF('Operating Assumptions'!$L13="Fixed Amount",('Operating Assumptions'!$M13*FQ$25)/12,IF('Operating Assumptions'!$L13="$/GSF",(('Operating Assumptions'!$M13*FQ$25)*'Operating Assumptions'!$D$11)/12,IF('Operating Assumptions'!$L13="$/NSF",(('Operating Assumptions'!$M13*FQ$25)*'Operating Assumptions'!$D$12)/12))))))))</f>
        <v>0</v>
      </c>
      <c r="FR85" s="427">
        <f>-IF(FR$9&lt;'Operating Assumptions'!$D$53,0,IF(FR$6&gt;'Operating Assumptions'!$AA$8,0,IF('Operating Assumptions'!$L13="N/A",0,IF('Operating Assumptions'!$L13="$/Unit/Annual",(('Operating Assumptions'!$M13*FR$25)*FR$36)/12,IF('Operating Assumptions'!$L13="$/Unit/Month",('Operating Assumptions'!$M13*FR$25)*FR$36,IF('Operating Assumptions'!$L13="Fixed Amount",('Operating Assumptions'!$M13*FR$25)/12,IF('Operating Assumptions'!$L13="$/GSF",(('Operating Assumptions'!$M13*FR$25)*'Operating Assumptions'!$D$11)/12,IF('Operating Assumptions'!$L13="$/NSF",(('Operating Assumptions'!$M13*FR$25)*'Operating Assumptions'!$D$12)/12))))))))</f>
        <v>0</v>
      </c>
      <c r="FS85" s="427">
        <f>-IF(FS$9&lt;'Operating Assumptions'!$D$53,0,IF(FS$6&gt;'Operating Assumptions'!$AA$8,0,IF('Operating Assumptions'!$L13="N/A",0,IF('Operating Assumptions'!$L13="$/Unit/Annual",(('Operating Assumptions'!$M13*FS$25)*FS$36)/12,IF('Operating Assumptions'!$L13="$/Unit/Month",('Operating Assumptions'!$M13*FS$25)*FS$36,IF('Operating Assumptions'!$L13="Fixed Amount",('Operating Assumptions'!$M13*FS$25)/12,IF('Operating Assumptions'!$L13="$/GSF",(('Operating Assumptions'!$M13*FS$25)*'Operating Assumptions'!$D$11)/12,IF('Operating Assumptions'!$L13="$/NSF",(('Operating Assumptions'!$M13*FS$25)*'Operating Assumptions'!$D$12)/12))))))))</f>
        <v>0</v>
      </c>
      <c r="FT85" s="427">
        <f>-IF(FT$9&lt;'Operating Assumptions'!$D$53,0,IF(FT$6&gt;'Operating Assumptions'!$AA$8,0,IF('Operating Assumptions'!$L13="N/A",0,IF('Operating Assumptions'!$L13="$/Unit/Annual",(('Operating Assumptions'!$M13*FT$25)*FT$36)/12,IF('Operating Assumptions'!$L13="$/Unit/Month",('Operating Assumptions'!$M13*FT$25)*FT$36,IF('Operating Assumptions'!$L13="Fixed Amount",('Operating Assumptions'!$M13*FT$25)/12,IF('Operating Assumptions'!$L13="$/GSF",(('Operating Assumptions'!$M13*FT$25)*'Operating Assumptions'!$D$11)/12,IF('Operating Assumptions'!$L13="$/NSF",(('Operating Assumptions'!$M13*FT$25)*'Operating Assumptions'!$D$12)/12))))))))</f>
        <v>0</v>
      </c>
      <c r="FU85" s="43"/>
      <c r="FV85" s="34"/>
      <c r="FW85" s="34"/>
      <c r="FX85" s="34"/>
      <c r="FY85" s="34"/>
      <c r="FZ85" s="34"/>
    </row>
    <row r="86" spans="1:182" s="89" customFormat="1" ht="13.5" x14ac:dyDescent="0.25">
      <c r="A86" s="34"/>
      <c r="B86" s="128" t="str">
        <f>'Operating Assumptions'!K14</f>
        <v>Blank</v>
      </c>
      <c r="C86" s="34"/>
      <c r="D86" s="34"/>
      <c r="E86" s="34"/>
      <c r="F86" s="434">
        <f t="shared" si="172"/>
        <v>0</v>
      </c>
      <c r="G86" s="34"/>
      <c r="H86" s="427">
        <f>-IF(H$9&lt;'Operating Assumptions'!$D$53,0,IF(H$6&gt;'Operating Assumptions'!$AA$8,0,IF('Operating Assumptions'!$L14="N/A",0,IF('Operating Assumptions'!$L14="$/Unit/Annual",(('Operating Assumptions'!$M14*H$25)*H$36)/12,IF('Operating Assumptions'!$L14="$/Unit/Month",('Operating Assumptions'!$M14*H$25)*H$36,IF('Operating Assumptions'!$L14="Fixed Amount",('Operating Assumptions'!$M14*H$25)/12,IF('Operating Assumptions'!$L14="$/GSF",(('Operating Assumptions'!$M14*H$25)*'Operating Assumptions'!$D$11)/12,IF('Operating Assumptions'!$L14="$/NSF",(('Operating Assumptions'!$M14*H$25)*'Operating Assumptions'!$D$12)/12))))))))</f>
        <v>0</v>
      </c>
      <c r="I86" s="427">
        <f>-IF(I$9&lt;'Operating Assumptions'!$D$53,0,IF(I$6&gt;'Operating Assumptions'!$AA$8,0,IF('Operating Assumptions'!$L14="N/A",0,IF('Operating Assumptions'!$L14="$/Unit/Annual",(('Operating Assumptions'!$M14*I$25)*I$36)/12,IF('Operating Assumptions'!$L14="$/Unit/Month",('Operating Assumptions'!$M14*I$25)*I$36,IF('Operating Assumptions'!$L14="Fixed Amount",('Operating Assumptions'!$M14*I$25)/12,IF('Operating Assumptions'!$L14="$/GSF",(('Operating Assumptions'!$M14*I$25)*'Operating Assumptions'!$D$11)/12,IF('Operating Assumptions'!$L14="$/NSF",(('Operating Assumptions'!$M14*I$25)*'Operating Assumptions'!$D$12)/12))))))))</f>
        <v>0</v>
      </c>
      <c r="J86" s="427">
        <f>-IF(J$9&lt;'Operating Assumptions'!$D$53,0,IF(J$6&gt;'Operating Assumptions'!$AA$8,0,IF('Operating Assumptions'!$L14="N/A",0,IF('Operating Assumptions'!$L14="$/Unit/Annual",(('Operating Assumptions'!$M14*J$25)*J$36)/12,IF('Operating Assumptions'!$L14="$/Unit/Month",('Operating Assumptions'!$M14*J$25)*J$36,IF('Operating Assumptions'!$L14="Fixed Amount",('Operating Assumptions'!$M14*J$25)/12,IF('Operating Assumptions'!$L14="$/GSF",(('Operating Assumptions'!$M14*J$25)*'Operating Assumptions'!$D$11)/12,IF('Operating Assumptions'!$L14="$/NSF",(('Operating Assumptions'!$M14*J$25)*'Operating Assumptions'!$D$12)/12))))))))</f>
        <v>0</v>
      </c>
      <c r="K86" s="427">
        <f>-IF(K$9&lt;'Operating Assumptions'!$D$53,0,IF(K$6&gt;'Operating Assumptions'!$AA$8,0,IF('Operating Assumptions'!$L14="N/A",0,IF('Operating Assumptions'!$L14="$/Unit/Annual",(('Operating Assumptions'!$M14*K$25)*K$36)/12,IF('Operating Assumptions'!$L14="$/Unit/Month",('Operating Assumptions'!$M14*K$25)*K$36,IF('Operating Assumptions'!$L14="Fixed Amount",('Operating Assumptions'!$M14*K$25)/12,IF('Operating Assumptions'!$L14="$/GSF",(('Operating Assumptions'!$M14*K$25)*'Operating Assumptions'!$D$11)/12,IF('Operating Assumptions'!$L14="$/NSF",(('Operating Assumptions'!$M14*K$25)*'Operating Assumptions'!$D$12)/12))))))))</f>
        <v>0</v>
      </c>
      <c r="L86" s="427">
        <f>-IF(L$9&lt;'Operating Assumptions'!$D$53,0,IF(L$6&gt;'Operating Assumptions'!$AA$8,0,IF('Operating Assumptions'!$L14="N/A",0,IF('Operating Assumptions'!$L14="$/Unit/Annual",(('Operating Assumptions'!$M14*L$25)*L$36)/12,IF('Operating Assumptions'!$L14="$/Unit/Month",('Operating Assumptions'!$M14*L$25)*L$36,IF('Operating Assumptions'!$L14="Fixed Amount",('Operating Assumptions'!$M14*L$25)/12,IF('Operating Assumptions'!$L14="$/GSF",(('Operating Assumptions'!$M14*L$25)*'Operating Assumptions'!$D$11)/12,IF('Operating Assumptions'!$L14="$/NSF",(('Operating Assumptions'!$M14*L$25)*'Operating Assumptions'!$D$12)/12))))))))</f>
        <v>0</v>
      </c>
      <c r="M86" s="427">
        <f>-IF(M$9&lt;'Operating Assumptions'!$D$53,0,IF(M$6&gt;'Operating Assumptions'!$AA$8,0,IF('Operating Assumptions'!$L14="N/A",0,IF('Operating Assumptions'!$L14="$/Unit/Annual",(('Operating Assumptions'!$M14*M$25)*M$36)/12,IF('Operating Assumptions'!$L14="$/Unit/Month",('Operating Assumptions'!$M14*M$25)*M$36,IF('Operating Assumptions'!$L14="Fixed Amount",('Operating Assumptions'!$M14*M$25)/12,IF('Operating Assumptions'!$L14="$/GSF",(('Operating Assumptions'!$M14*M$25)*'Operating Assumptions'!$D$11)/12,IF('Operating Assumptions'!$L14="$/NSF",(('Operating Assumptions'!$M14*M$25)*'Operating Assumptions'!$D$12)/12))))))))</f>
        <v>0</v>
      </c>
      <c r="N86" s="427">
        <f>-IF(N$9&lt;'Operating Assumptions'!$D$53,0,IF(N$6&gt;'Operating Assumptions'!$AA$8,0,IF('Operating Assumptions'!$L14="N/A",0,IF('Operating Assumptions'!$L14="$/Unit/Annual",(('Operating Assumptions'!$M14*N$25)*N$36)/12,IF('Operating Assumptions'!$L14="$/Unit/Month",('Operating Assumptions'!$M14*N$25)*N$36,IF('Operating Assumptions'!$L14="Fixed Amount",('Operating Assumptions'!$M14*N$25)/12,IF('Operating Assumptions'!$L14="$/GSF",(('Operating Assumptions'!$M14*N$25)*'Operating Assumptions'!$D$11)/12,IF('Operating Assumptions'!$L14="$/NSF",(('Operating Assumptions'!$M14*N$25)*'Operating Assumptions'!$D$12)/12))))))))</f>
        <v>0</v>
      </c>
      <c r="O86" s="427">
        <f>-IF(O$9&lt;'Operating Assumptions'!$D$53,0,IF(O$6&gt;'Operating Assumptions'!$AA$8,0,IF('Operating Assumptions'!$L14="N/A",0,IF('Operating Assumptions'!$L14="$/Unit/Annual",(('Operating Assumptions'!$M14*O$25)*O$36)/12,IF('Operating Assumptions'!$L14="$/Unit/Month",('Operating Assumptions'!$M14*O$25)*O$36,IF('Operating Assumptions'!$L14="Fixed Amount",('Operating Assumptions'!$M14*O$25)/12,IF('Operating Assumptions'!$L14="$/GSF",(('Operating Assumptions'!$M14*O$25)*'Operating Assumptions'!$D$11)/12,IF('Operating Assumptions'!$L14="$/NSF",(('Operating Assumptions'!$M14*O$25)*'Operating Assumptions'!$D$12)/12))))))))</f>
        <v>0</v>
      </c>
      <c r="P86" s="427">
        <f>-IF(P$9&lt;'Operating Assumptions'!$D$53,0,IF(P$6&gt;'Operating Assumptions'!$AA$8,0,IF('Operating Assumptions'!$L14="N/A",0,IF('Operating Assumptions'!$L14="$/Unit/Annual",(('Operating Assumptions'!$M14*P$25)*P$36)/12,IF('Operating Assumptions'!$L14="$/Unit/Month",('Operating Assumptions'!$M14*P$25)*P$36,IF('Operating Assumptions'!$L14="Fixed Amount",('Operating Assumptions'!$M14*P$25)/12,IF('Operating Assumptions'!$L14="$/GSF",(('Operating Assumptions'!$M14*P$25)*'Operating Assumptions'!$D$11)/12,IF('Operating Assumptions'!$L14="$/NSF",(('Operating Assumptions'!$M14*P$25)*'Operating Assumptions'!$D$12)/12))))))))</f>
        <v>0</v>
      </c>
      <c r="Q86" s="427">
        <f>-IF(Q$9&lt;'Operating Assumptions'!$D$53,0,IF(Q$6&gt;'Operating Assumptions'!$AA$8,0,IF('Operating Assumptions'!$L14="N/A",0,IF('Operating Assumptions'!$L14="$/Unit/Annual",(('Operating Assumptions'!$M14*Q$25)*Q$36)/12,IF('Operating Assumptions'!$L14="$/Unit/Month",('Operating Assumptions'!$M14*Q$25)*Q$36,IF('Operating Assumptions'!$L14="Fixed Amount",('Operating Assumptions'!$M14*Q$25)/12,IF('Operating Assumptions'!$L14="$/GSF",(('Operating Assumptions'!$M14*Q$25)*'Operating Assumptions'!$D$11)/12,IF('Operating Assumptions'!$L14="$/NSF",(('Operating Assumptions'!$M14*Q$25)*'Operating Assumptions'!$D$12)/12))))))))</f>
        <v>0</v>
      </c>
      <c r="R86" s="427">
        <f>-IF(R$9&lt;'Operating Assumptions'!$D$53,0,IF(R$6&gt;'Operating Assumptions'!$AA$8,0,IF('Operating Assumptions'!$L14="N/A",0,IF('Operating Assumptions'!$L14="$/Unit/Annual",(('Operating Assumptions'!$M14*R$25)*R$36)/12,IF('Operating Assumptions'!$L14="$/Unit/Month",('Operating Assumptions'!$M14*R$25)*R$36,IF('Operating Assumptions'!$L14="Fixed Amount",('Operating Assumptions'!$M14*R$25)/12,IF('Operating Assumptions'!$L14="$/GSF",(('Operating Assumptions'!$M14*R$25)*'Operating Assumptions'!$D$11)/12,IF('Operating Assumptions'!$L14="$/NSF",(('Operating Assumptions'!$M14*R$25)*'Operating Assumptions'!$D$12)/12))))))))</f>
        <v>0</v>
      </c>
      <c r="S86" s="427">
        <f>-IF(S$9&lt;'Operating Assumptions'!$D$53,0,IF(S$6&gt;'Operating Assumptions'!$AA$8,0,IF('Operating Assumptions'!$L14="N/A",0,IF('Operating Assumptions'!$L14="$/Unit/Annual",(('Operating Assumptions'!$M14*S$25)*S$36)/12,IF('Operating Assumptions'!$L14="$/Unit/Month",('Operating Assumptions'!$M14*S$25)*S$36,IF('Operating Assumptions'!$L14="Fixed Amount",('Operating Assumptions'!$M14*S$25)/12,IF('Operating Assumptions'!$L14="$/GSF",(('Operating Assumptions'!$M14*S$25)*'Operating Assumptions'!$D$11)/12,IF('Operating Assumptions'!$L14="$/NSF",(('Operating Assumptions'!$M14*S$25)*'Operating Assumptions'!$D$12)/12))))))))</f>
        <v>0</v>
      </c>
      <c r="T86" s="427">
        <f>-IF(T$9&lt;'Operating Assumptions'!$D$53,0,IF(T$6&gt;'Operating Assumptions'!$AA$8,0,IF('Operating Assumptions'!$L14="N/A",0,IF('Operating Assumptions'!$L14="$/Unit/Annual",(('Operating Assumptions'!$M14*T$25)*T$36)/12,IF('Operating Assumptions'!$L14="$/Unit/Month",('Operating Assumptions'!$M14*T$25)*T$36,IF('Operating Assumptions'!$L14="Fixed Amount",('Operating Assumptions'!$M14*T$25)/12,IF('Operating Assumptions'!$L14="$/GSF",(('Operating Assumptions'!$M14*T$25)*'Operating Assumptions'!$D$11)/12,IF('Operating Assumptions'!$L14="$/NSF",(('Operating Assumptions'!$M14*T$25)*'Operating Assumptions'!$D$12)/12))))))))</f>
        <v>0</v>
      </c>
      <c r="U86" s="427">
        <f>-IF(U$9&lt;'Operating Assumptions'!$D$53,0,IF(U$6&gt;'Operating Assumptions'!$AA$8,0,IF('Operating Assumptions'!$L14="N/A",0,IF('Operating Assumptions'!$L14="$/Unit/Annual",(('Operating Assumptions'!$M14*U$25)*U$36)/12,IF('Operating Assumptions'!$L14="$/Unit/Month",('Operating Assumptions'!$M14*U$25)*U$36,IF('Operating Assumptions'!$L14="Fixed Amount",('Operating Assumptions'!$M14*U$25)/12,IF('Operating Assumptions'!$L14="$/GSF",(('Operating Assumptions'!$M14*U$25)*'Operating Assumptions'!$D$11)/12,IF('Operating Assumptions'!$L14="$/NSF",(('Operating Assumptions'!$M14*U$25)*'Operating Assumptions'!$D$12)/12))))))))</f>
        <v>0</v>
      </c>
      <c r="V86" s="427">
        <f>-IF(V$9&lt;'Operating Assumptions'!$D$53,0,IF(V$6&gt;'Operating Assumptions'!$AA$8,0,IF('Operating Assumptions'!$L14="N/A",0,IF('Operating Assumptions'!$L14="$/Unit/Annual",(('Operating Assumptions'!$M14*V$25)*V$36)/12,IF('Operating Assumptions'!$L14="$/Unit/Month",('Operating Assumptions'!$M14*V$25)*V$36,IF('Operating Assumptions'!$L14="Fixed Amount",('Operating Assumptions'!$M14*V$25)/12,IF('Operating Assumptions'!$L14="$/GSF",(('Operating Assumptions'!$M14*V$25)*'Operating Assumptions'!$D$11)/12,IF('Operating Assumptions'!$L14="$/NSF",(('Operating Assumptions'!$M14*V$25)*'Operating Assumptions'!$D$12)/12))))))))</f>
        <v>0</v>
      </c>
      <c r="W86" s="427">
        <f>-IF(W$9&lt;'Operating Assumptions'!$D$53,0,IF(W$6&gt;'Operating Assumptions'!$AA$8,0,IF('Operating Assumptions'!$L14="N/A",0,IF('Operating Assumptions'!$L14="$/Unit/Annual",(('Operating Assumptions'!$M14*W$25)*W$36)/12,IF('Operating Assumptions'!$L14="$/Unit/Month",('Operating Assumptions'!$M14*W$25)*W$36,IF('Operating Assumptions'!$L14="Fixed Amount",('Operating Assumptions'!$M14*W$25)/12,IF('Operating Assumptions'!$L14="$/GSF",(('Operating Assumptions'!$M14*W$25)*'Operating Assumptions'!$D$11)/12,IF('Operating Assumptions'!$L14="$/NSF",(('Operating Assumptions'!$M14*W$25)*'Operating Assumptions'!$D$12)/12))))))))</f>
        <v>0</v>
      </c>
      <c r="X86" s="427">
        <f>-IF(X$9&lt;'Operating Assumptions'!$D$53,0,IF(X$6&gt;'Operating Assumptions'!$AA$8,0,IF('Operating Assumptions'!$L14="N/A",0,IF('Operating Assumptions'!$L14="$/Unit/Annual",(('Operating Assumptions'!$M14*X$25)*X$36)/12,IF('Operating Assumptions'!$L14="$/Unit/Month",('Operating Assumptions'!$M14*X$25)*X$36,IF('Operating Assumptions'!$L14="Fixed Amount",('Operating Assumptions'!$M14*X$25)/12,IF('Operating Assumptions'!$L14="$/GSF",(('Operating Assumptions'!$M14*X$25)*'Operating Assumptions'!$D$11)/12,IF('Operating Assumptions'!$L14="$/NSF",(('Operating Assumptions'!$M14*X$25)*'Operating Assumptions'!$D$12)/12))))))))</f>
        <v>0</v>
      </c>
      <c r="Y86" s="427">
        <f>-IF(Y$9&lt;'Operating Assumptions'!$D$53,0,IF(Y$6&gt;'Operating Assumptions'!$AA$8,0,IF('Operating Assumptions'!$L14="N/A",0,IF('Operating Assumptions'!$L14="$/Unit/Annual",(('Operating Assumptions'!$M14*Y$25)*Y$36)/12,IF('Operating Assumptions'!$L14="$/Unit/Month",('Operating Assumptions'!$M14*Y$25)*Y$36,IF('Operating Assumptions'!$L14="Fixed Amount",('Operating Assumptions'!$M14*Y$25)/12,IF('Operating Assumptions'!$L14="$/GSF",(('Operating Assumptions'!$M14*Y$25)*'Operating Assumptions'!$D$11)/12,IF('Operating Assumptions'!$L14="$/NSF",(('Operating Assumptions'!$M14*Y$25)*'Operating Assumptions'!$D$12)/12))))))))</f>
        <v>0</v>
      </c>
      <c r="Z86" s="427">
        <f>-IF(Z$9&lt;'Operating Assumptions'!$D$53,0,IF(Z$6&gt;'Operating Assumptions'!$AA$8,0,IF('Operating Assumptions'!$L14="N/A",0,IF('Operating Assumptions'!$L14="$/Unit/Annual",(('Operating Assumptions'!$M14*Z$25)*Z$36)/12,IF('Operating Assumptions'!$L14="$/Unit/Month",('Operating Assumptions'!$M14*Z$25)*Z$36,IF('Operating Assumptions'!$L14="Fixed Amount",('Operating Assumptions'!$M14*Z$25)/12,IF('Operating Assumptions'!$L14="$/GSF",(('Operating Assumptions'!$M14*Z$25)*'Operating Assumptions'!$D$11)/12,IF('Operating Assumptions'!$L14="$/NSF",(('Operating Assumptions'!$M14*Z$25)*'Operating Assumptions'!$D$12)/12))))))))</f>
        <v>0</v>
      </c>
      <c r="AA86" s="427">
        <f>-IF(AA$9&lt;'Operating Assumptions'!$D$53,0,IF(AA$6&gt;'Operating Assumptions'!$AA$8,0,IF('Operating Assumptions'!$L14="N/A",0,IF('Operating Assumptions'!$L14="$/Unit/Annual",(('Operating Assumptions'!$M14*AA$25)*AA$36)/12,IF('Operating Assumptions'!$L14="$/Unit/Month",('Operating Assumptions'!$M14*AA$25)*AA$36,IF('Operating Assumptions'!$L14="Fixed Amount",('Operating Assumptions'!$M14*AA$25)/12,IF('Operating Assumptions'!$L14="$/GSF",(('Operating Assumptions'!$M14*AA$25)*'Operating Assumptions'!$D$11)/12,IF('Operating Assumptions'!$L14="$/NSF",(('Operating Assumptions'!$M14*AA$25)*'Operating Assumptions'!$D$12)/12))))))))</f>
        <v>0</v>
      </c>
      <c r="AB86" s="427">
        <f>-IF(AB$9&lt;'Operating Assumptions'!$D$53,0,IF(AB$6&gt;'Operating Assumptions'!$AA$8,0,IF('Operating Assumptions'!$L14="N/A",0,IF('Operating Assumptions'!$L14="$/Unit/Annual",(('Operating Assumptions'!$M14*AB$25)*AB$36)/12,IF('Operating Assumptions'!$L14="$/Unit/Month",('Operating Assumptions'!$M14*AB$25)*AB$36,IF('Operating Assumptions'!$L14="Fixed Amount",('Operating Assumptions'!$M14*AB$25)/12,IF('Operating Assumptions'!$L14="$/GSF",(('Operating Assumptions'!$M14*AB$25)*'Operating Assumptions'!$D$11)/12,IF('Operating Assumptions'!$L14="$/NSF",(('Operating Assumptions'!$M14*AB$25)*'Operating Assumptions'!$D$12)/12))))))))</f>
        <v>0</v>
      </c>
      <c r="AC86" s="427">
        <f>-IF(AC$9&lt;'Operating Assumptions'!$D$53,0,IF(AC$6&gt;'Operating Assumptions'!$AA$8,0,IF('Operating Assumptions'!$L14="N/A",0,IF('Operating Assumptions'!$L14="$/Unit/Annual",(('Operating Assumptions'!$M14*AC$25)*AC$36)/12,IF('Operating Assumptions'!$L14="$/Unit/Month",('Operating Assumptions'!$M14*AC$25)*AC$36,IF('Operating Assumptions'!$L14="Fixed Amount",('Operating Assumptions'!$M14*AC$25)/12,IF('Operating Assumptions'!$L14="$/GSF",(('Operating Assumptions'!$M14*AC$25)*'Operating Assumptions'!$D$11)/12,IF('Operating Assumptions'!$L14="$/NSF",(('Operating Assumptions'!$M14*AC$25)*'Operating Assumptions'!$D$12)/12))))))))</f>
        <v>0</v>
      </c>
      <c r="AD86" s="427">
        <f>-IF(AD$9&lt;'Operating Assumptions'!$D$53,0,IF(AD$6&gt;'Operating Assumptions'!$AA$8,0,IF('Operating Assumptions'!$L14="N/A",0,IF('Operating Assumptions'!$L14="$/Unit/Annual",(('Operating Assumptions'!$M14*AD$25)*AD$36)/12,IF('Operating Assumptions'!$L14="$/Unit/Month",('Operating Assumptions'!$M14*AD$25)*AD$36,IF('Operating Assumptions'!$L14="Fixed Amount",('Operating Assumptions'!$M14*AD$25)/12,IF('Operating Assumptions'!$L14="$/GSF",(('Operating Assumptions'!$M14*AD$25)*'Operating Assumptions'!$D$11)/12,IF('Operating Assumptions'!$L14="$/NSF",(('Operating Assumptions'!$M14*AD$25)*'Operating Assumptions'!$D$12)/12))))))))</f>
        <v>0</v>
      </c>
      <c r="AE86" s="427">
        <f>-IF(AE$9&lt;'Operating Assumptions'!$D$53,0,IF(AE$6&gt;'Operating Assumptions'!$AA$8,0,IF('Operating Assumptions'!$L14="N/A",0,IF('Operating Assumptions'!$L14="$/Unit/Annual",(('Operating Assumptions'!$M14*AE$25)*AE$36)/12,IF('Operating Assumptions'!$L14="$/Unit/Month",('Operating Assumptions'!$M14*AE$25)*AE$36,IF('Operating Assumptions'!$L14="Fixed Amount",('Operating Assumptions'!$M14*AE$25)/12,IF('Operating Assumptions'!$L14="$/GSF",(('Operating Assumptions'!$M14*AE$25)*'Operating Assumptions'!$D$11)/12,IF('Operating Assumptions'!$L14="$/NSF",(('Operating Assumptions'!$M14*AE$25)*'Operating Assumptions'!$D$12)/12))))))))</f>
        <v>0</v>
      </c>
      <c r="AF86" s="427">
        <f>-IF(AF$9&lt;'Operating Assumptions'!$D$53,0,IF(AF$6&gt;'Operating Assumptions'!$AA$8,0,IF('Operating Assumptions'!$L14="N/A",0,IF('Operating Assumptions'!$L14="$/Unit/Annual",(('Operating Assumptions'!$M14*AF$25)*AF$36)/12,IF('Operating Assumptions'!$L14="$/Unit/Month",('Operating Assumptions'!$M14*AF$25)*AF$36,IF('Operating Assumptions'!$L14="Fixed Amount",('Operating Assumptions'!$M14*AF$25)/12,IF('Operating Assumptions'!$L14="$/GSF",(('Operating Assumptions'!$M14*AF$25)*'Operating Assumptions'!$D$11)/12,IF('Operating Assumptions'!$L14="$/NSF",(('Operating Assumptions'!$M14*AF$25)*'Operating Assumptions'!$D$12)/12))))))))</f>
        <v>0</v>
      </c>
      <c r="AG86" s="427">
        <f>-IF(AG$9&lt;'Operating Assumptions'!$D$53,0,IF(AG$6&gt;'Operating Assumptions'!$AA$8,0,IF('Operating Assumptions'!$L14="N/A",0,IF('Operating Assumptions'!$L14="$/Unit/Annual",(('Operating Assumptions'!$M14*AG$25)*AG$36)/12,IF('Operating Assumptions'!$L14="$/Unit/Month",('Operating Assumptions'!$M14*AG$25)*AG$36,IF('Operating Assumptions'!$L14="Fixed Amount",('Operating Assumptions'!$M14*AG$25)/12,IF('Operating Assumptions'!$L14="$/GSF",(('Operating Assumptions'!$M14*AG$25)*'Operating Assumptions'!$D$11)/12,IF('Operating Assumptions'!$L14="$/NSF",(('Operating Assumptions'!$M14*AG$25)*'Operating Assumptions'!$D$12)/12))))))))</f>
        <v>0</v>
      </c>
      <c r="AH86" s="427">
        <f>-IF(AH$9&lt;'Operating Assumptions'!$D$53,0,IF(AH$6&gt;'Operating Assumptions'!$AA$8,0,IF('Operating Assumptions'!$L14="N/A",0,IF('Operating Assumptions'!$L14="$/Unit/Annual",(('Operating Assumptions'!$M14*AH$25)*AH$36)/12,IF('Operating Assumptions'!$L14="$/Unit/Month",('Operating Assumptions'!$M14*AH$25)*AH$36,IF('Operating Assumptions'!$L14="Fixed Amount",('Operating Assumptions'!$M14*AH$25)/12,IF('Operating Assumptions'!$L14="$/GSF",(('Operating Assumptions'!$M14*AH$25)*'Operating Assumptions'!$D$11)/12,IF('Operating Assumptions'!$L14="$/NSF",(('Operating Assumptions'!$M14*AH$25)*'Operating Assumptions'!$D$12)/12))))))))</f>
        <v>0</v>
      </c>
      <c r="AI86" s="427">
        <f>-IF(AI$9&lt;'Operating Assumptions'!$D$53,0,IF(AI$6&gt;'Operating Assumptions'!$AA$8,0,IF('Operating Assumptions'!$L14="N/A",0,IF('Operating Assumptions'!$L14="$/Unit/Annual",(('Operating Assumptions'!$M14*AI$25)*AI$36)/12,IF('Operating Assumptions'!$L14="$/Unit/Month",('Operating Assumptions'!$M14*AI$25)*AI$36,IF('Operating Assumptions'!$L14="Fixed Amount",('Operating Assumptions'!$M14*AI$25)/12,IF('Operating Assumptions'!$L14="$/GSF",(('Operating Assumptions'!$M14*AI$25)*'Operating Assumptions'!$D$11)/12,IF('Operating Assumptions'!$L14="$/NSF",(('Operating Assumptions'!$M14*AI$25)*'Operating Assumptions'!$D$12)/12))))))))</f>
        <v>0</v>
      </c>
      <c r="AJ86" s="427">
        <f>-IF(AJ$9&lt;'Operating Assumptions'!$D$53,0,IF(AJ$6&gt;'Operating Assumptions'!$AA$8,0,IF('Operating Assumptions'!$L14="N/A",0,IF('Operating Assumptions'!$L14="$/Unit/Annual",(('Operating Assumptions'!$M14*AJ$25)*AJ$36)/12,IF('Operating Assumptions'!$L14="$/Unit/Month",('Operating Assumptions'!$M14*AJ$25)*AJ$36,IF('Operating Assumptions'!$L14="Fixed Amount",('Operating Assumptions'!$M14*AJ$25)/12,IF('Operating Assumptions'!$L14="$/GSF",(('Operating Assumptions'!$M14*AJ$25)*'Operating Assumptions'!$D$11)/12,IF('Operating Assumptions'!$L14="$/NSF",(('Operating Assumptions'!$M14*AJ$25)*'Operating Assumptions'!$D$12)/12))))))))</f>
        <v>0</v>
      </c>
      <c r="AK86" s="427">
        <f>-IF(AK$9&lt;'Operating Assumptions'!$D$53,0,IF(AK$6&gt;'Operating Assumptions'!$AA$8,0,IF('Operating Assumptions'!$L14="N/A",0,IF('Operating Assumptions'!$L14="$/Unit/Annual",(('Operating Assumptions'!$M14*AK$25)*AK$36)/12,IF('Operating Assumptions'!$L14="$/Unit/Month",('Operating Assumptions'!$M14*AK$25)*AK$36,IF('Operating Assumptions'!$L14="Fixed Amount",('Operating Assumptions'!$M14*AK$25)/12,IF('Operating Assumptions'!$L14="$/GSF",(('Operating Assumptions'!$M14*AK$25)*'Operating Assumptions'!$D$11)/12,IF('Operating Assumptions'!$L14="$/NSF",(('Operating Assumptions'!$M14*AK$25)*'Operating Assumptions'!$D$12)/12))))))))</f>
        <v>0</v>
      </c>
      <c r="AL86" s="427">
        <f>-IF(AL$9&lt;'Operating Assumptions'!$D$53,0,IF(AL$6&gt;'Operating Assumptions'!$AA$8,0,IF('Operating Assumptions'!$L14="N/A",0,IF('Operating Assumptions'!$L14="$/Unit/Annual",(('Operating Assumptions'!$M14*AL$25)*AL$36)/12,IF('Operating Assumptions'!$L14="$/Unit/Month",('Operating Assumptions'!$M14*AL$25)*AL$36,IF('Operating Assumptions'!$L14="Fixed Amount",('Operating Assumptions'!$M14*AL$25)/12,IF('Operating Assumptions'!$L14="$/GSF",(('Operating Assumptions'!$M14*AL$25)*'Operating Assumptions'!$D$11)/12,IF('Operating Assumptions'!$L14="$/NSF",(('Operating Assumptions'!$M14*AL$25)*'Operating Assumptions'!$D$12)/12))))))))</f>
        <v>0</v>
      </c>
      <c r="AM86" s="427">
        <f>-IF(AM$9&lt;'Operating Assumptions'!$D$53,0,IF(AM$6&gt;'Operating Assumptions'!$AA$8,0,IF('Operating Assumptions'!$L14="N/A",0,IF('Operating Assumptions'!$L14="$/Unit/Annual",(('Operating Assumptions'!$M14*AM$25)*AM$36)/12,IF('Operating Assumptions'!$L14="$/Unit/Month",('Operating Assumptions'!$M14*AM$25)*AM$36,IF('Operating Assumptions'!$L14="Fixed Amount",('Operating Assumptions'!$M14*AM$25)/12,IF('Operating Assumptions'!$L14="$/GSF",(('Operating Assumptions'!$M14*AM$25)*'Operating Assumptions'!$D$11)/12,IF('Operating Assumptions'!$L14="$/NSF",(('Operating Assumptions'!$M14*AM$25)*'Operating Assumptions'!$D$12)/12))))))))</f>
        <v>0</v>
      </c>
      <c r="AN86" s="427">
        <f>-IF(AN$9&lt;'Operating Assumptions'!$D$53,0,IF(AN$6&gt;'Operating Assumptions'!$AA$8,0,IF('Operating Assumptions'!$L14="N/A",0,IF('Operating Assumptions'!$L14="$/Unit/Annual",(('Operating Assumptions'!$M14*AN$25)*AN$36)/12,IF('Operating Assumptions'!$L14="$/Unit/Month",('Operating Assumptions'!$M14*AN$25)*AN$36,IF('Operating Assumptions'!$L14="Fixed Amount",('Operating Assumptions'!$M14*AN$25)/12,IF('Operating Assumptions'!$L14="$/GSF",(('Operating Assumptions'!$M14*AN$25)*'Operating Assumptions'!$D$11)/12,IF('Operating Assumptions'!$L14="$/NSF",(('Operating Assumptions'!$M14*AN$25)*'Operating Assumptions'!$D$12)/12))))))))</f>
        <v>0</v>
      </c>
      <c r="AO86" s="427">
        <f>-IF(AO$9&lt;'Operating Assumptions'!$D$53,0,IF(AO$6&gt;'Operating Assumptions'!$AA$8,0,IF('Operating Assumptions'!$L14="N/A",0,IF('Operating Assumptions'!$L14="$/Unit/Annual",(('Operating Assumptions'!$M14*AO$25)*AO$36)/12,IF('Operating Assumptions'!$L14="$/Unit/Month",('Operating Assumptions'!$M14*AO$25)*AO$36,IF('Operating Assumptions'!$L14="Fixed Amount",('Operating Assumptions'!$M14*AO$25)/12,IF('Operating Assumptions'!$L14="$/GSF",(('Operating Assumptions'!$M14*AO$25)*'Operating Assumptions'!$D$11)/12,IF('Operating Assumptions'!$L14="$/NSF",(('Operating Assumptions'!$M14*AO$25)*'Operating Assumptions'!$D$12)/12))))))))</f>
        <v>0</v>
      </c>
      <c r="AP86" s="427">
        <f>-IF(AP$9&lt;'Operating Assumptions'!$D$53,0,IF(AP$6&gt;'Operating Assumptions'!$AA$8,0,IF('Operating Assumptions'!$L14="N/A",0,IF('Operating Assumptions'!$L14="$/Unit/Annual",(('Operating Assumptions'!$M14*AP$25)*AP$36)/12,IF('Operating Assumptions'!$L14="$/Unit/Month",('Operating Assumptions'!$M14*AP$25)*AP$36,IF('Operating Assumptions'!$L14="Fixed Amount",('Operating Assumptions'!$M14*AP$25)/12,IF('Operating Assumptions'!$L14="$/GSF",(('Operating Assumptions'!$M14*AP$25)*'Operating Assumptions'!$D$11)/12,IF('Operating Assumptions'!$L14="$/NSF",(('Operating Assumptions'!$M14*AP$25)*'Operating Assumptions'!$D$12)/12))))))))</f>
        <v>0</v>
      </c>
      <c r="AQ86" s="427">
        <f>-IF(AQ$9&lt;'Operating Assumptions'!$D$53,0,IF(AQ$6&gt;'Operating Assumptions'!$AA$8,0,IF('Operating Assumptions'!$L14="N/A",0,IF('Operating Assumptions'!$L14="$/Unit/Annual",(('Operating Assumptions'!$M14*AQ$25)*AQ$36)/12,IF('Operating Assumptions'!$L14="$/Unit/Month",('Operating Assumptions'!$M14*AQ$25)*AQ$36,IF('Operating Assumptions'!$L14="Fixed Amount",('Operating Assumptions'!$M14*AQ$25)/12,IF('Operating Assumptions'!$L14="$/GSF",(('Operating Assumptions'!$M14*AQ$25)*'Operating Assumptions'!$D$11)/12,IF('Operating Assumptions'!$L14="$/NSF",(('Operating Assumptions'!$M14*AQ$25)*'Operating Assumptions'!$D$12)/12))))))))</f>
        <v>0</v>
      </c>
      <c r="AR86" s="427">
        <f>-IF(AR$9&lt;'Operating Assumptions'!$D$53,0,IF(AR$6&gt;'Operating Assumptions'!$AA$8,0,IF('Operating Assumptions'!$L14="N/A",0,IF('Operating Assumptions'!$L14="$/Unit/Annual",(('Operating Assumptions'!$M14*AR$25)*AR$36)/12,IF('Operating Assumptions'!$L14="$/Unit/Month",('Operating Assumptions'!$M14*AR$25)*AR$36,IF('Operating Assumptions'!$L14="Fixed Amount",('Operating Assumptions'!$M14*AR$25)/12,IF('Operating Assumptions'!$L14="$/GSF",(('Operating Assumptions'!$M14*AR$25)*'Operating Assumptions'!$D$11)/12,IF('Operating Assumptions'!$L14="$/NSF",(('Operating Assumptions'!$M14*AR$25)*'Operating Assumptions'!$D$12)/12))))))))</f>
        <v>0</v>
      </c>
      <c r="AS86" s="427">
        <f>-IF(AS$9&lt;'Operating Assumptions'!$D$53,0,IF(AS$6&gt;'Operating Assumptions'!$AA$8,0,IF('Operating Assumptions'!$L14="N/A",0,IF('Operating Assumptions'!$L14="$/Unit/Annual",(('Operating Assumptions'!$M14*AS$25)*AS$36)/12,IF('Operating Assumptions'!$L14="$/Unit/Month",('Operating Assumptions'!$M14*AS$25)*AS$36,IF('Operating Assumptions'!$L14="Fixed Amount",('Operating Assumptions'!$M14*AS$25)/12,IF('Operating Assumptions'!$L14="$/GSF",(('Operating Assumptions'!$M14*AS$25)*'Operating Assumptions'!$D$11)/12,IF('Operating Assumptions'!$L14="$/NSF",(('Operating Assumptions'!$M14*AS$25)*'Operating Assumptions'!$D$12)/12))))))))</f>
        <v>0</v>
      </c>
      <c r="AT86" s="427">
        <f>-IF(AT$9&lt;'Operating Assumptions'!$D$53,0,IF(AT$6&gt;'Operating Assumptions'!$AA$8,0,IF('Operating Assumptions'!$L14="N/A",0,IF('Operating Assumptions'!$L14="$/Unit/Annual",(('Operating Assumptions'!$M14*AT$25)*AT$36)/12,IF('Operating Assumptions'!$L14="$/Unit/Month",('Operating Assumptions'!$M14*AT$25)*AT$36,IF('Operating Assumptions'!$L14="Fixed Amount",('Operating Assumptions'!$M14*AT$25)/12,IF('Operating Assumptions'!$L14="$/GSF",(('Operating Assumptions'!$M14*AT$25)*'Operating Assumptions'!$D$11)/12,IF('Operating Assumptions'!$L14="$/NSF",(('Operating Assumptions'!$M14*AT$25)*'Operating Assumptions'!$D$12)/12))))))))</f>
        <v>0</v>
      </c>
      <c r="AU86" s="427">
        <f>-IF(AU$9&lt;'Operating Assumptions'!$D$53,0,IF(AU$6&gt;'Operating Assumptions'!$AA$8,0,IF('Operating Assumptions'!$L14="N/A",0,IF('Operating Assumptions'!$L14="$/Unit/Annual",(('Operating Assumptions'!$M14*AU$25)*AU$36)/12,IF('Operating Assumptions'!$L14="$/Unit/Month",('Operating Assumptions'!$M14*AU$25)*AU$36,IF('Operating Assumptions'!$L14="Fixed Amount",('Operating Assumptions'!$M14*AU$25)/12,IF('Operating Assumptions'!$L14="$/GSF",(('Operating Assumptions'!$M14*AU$25)*'Operating Assumptions'!$D$11)/12,IF('Operating Assumptions'!$L14="$/NSF",(('Operating Assumptions'!$M14*AU$25)*'Operating Assumptions'!$D$12)/12))))))))</f>
        <v>0</v>
      </c>
      <c r="AV86" s="427">
        <f>-IF(AV$9&lt;'Operating Assumptions'!$D$53,0,IF(AV$6&gt;'Operating Assumptions'!$AA$8,0,IF('Operating Assumptions'!$L14="N/A",0,IF('Operating Assumptions'!$L14="$/Unit/Annual",(('Operating Assumptions'!$M14*AV$25)*AV$36)/12,IF('Operating Assumptions'!$L14="$/Unit/Month",('Operating Assumptions'!$M14*AV$25)*AV$36,IF('Operating Assumptions'!$L14="Fixed Amount",('Operating Assumptions'!$M14*AV$25)/12,IF('Operating Assumptions'!$L14="$/GSF",(('Operating Assumptions'!$M14*AV$25)*'Operating Assumptions'!$D$11)/12,IF('Operating Assumptions'!$L14="$/NSF",(('Operating Assumptions'!$M14*AV$25)*'Operating Assumptions'!$D$12)/12))))))))</f>
        <v>0</v>
      </c>
      <c r="AW86" s="427">
        <f>-IF(AW$9&lt;'Operating Assumptions'!$D$53,0,IF(AW$6&gt;'Operating Assumptions'!$AA$8,0,IF('Operating Assumptions'!$L14="N/A",0,IF('Operating Assumptions'!$L14="$/Unit/Annual",(('Operating Assumptions'!$M14*AW$25)*AW$36)/12,IF('Operating Assumptions'!$L14="$/Unit/Month",('Operating Assumptions'!$M14*AW$25)*AW$36,IF('Operating Assumptions'!$L14="Fixed Amount",('Operating Assumptions'!$M14*AW$25)/12,IF('Operating Assumptions'!$L14="$/GSF",(('Operating Assumptions'!$M14*AW$25)*'Operating Assumptions'!$D$11)/12,IF('Operating Assumptions'!$L14="$/NSF",(('Operating Assumptions'!$M14*AW$25)*'Operating Assumptions'!$D$12)/12))))))))</f>
        <v>0</v>
      </c>
      <c r="AX86" s="427">
        <f>-IF(AX$9&lt;'Operating Assumptions'!$D$53,0,IF(AX$6&gt;'Operating Assumptions'!$AA$8,0,IF('Operating Assumptions'!$L14="N/A",0,IF('Operating Assumptions'!$L14="$/Unit/Annual",(('Operating Assumptions'!$M14*AX$25)*AX$36)/12,IF('Operating Assumptions'!$L14="$/Unit/Month",('Operating Assumptions'!$M14*AX$25)*AX$36,IF('Operating Assumptions'!$L14="Fixed Amount",('Operating Assumptions'!$M14*AX$25)/12,IF('Operating Assumptions'!$L14="$/GSF",(('Operating Assumptions'!$M14*AX$25)*'Operating Assumptions'!$D$11)/12,IF('Operating Assumptions'!$L14="$/NSF",(('Operating Assumptions'!$M14*AX$25)*'Operating Assumptions'!$D$12)/12))))))))</f>
        <v>0</v>
      </c>
      <c r="AY86" s="427">
        <f>-IF(AY$9&lt;'Operating Assumptions'!$D$53,0,IF(AY$6&gt;'Operating Assumptions'!$AA$8,0,IF('Operating Assumptions'!$L14="N/A",0,IF('Operating Assumptions'!$L14="$/Unit/Annual",(('Operating Assumptions'!$M14*AY$25)*AY$36)/12,IF('Operating Assumptions'!$L14="$/Unit/Month",('Operating Assumptions'!$M14*AY$25)*AY$36,IF('Operating Assumptions'!$L14="Fixed Amount",('Operating Assumptions'!$M14*AY$25)/12,IF('Operating Assumptions'!$L14="$/GSF",(('Operating Assumptions'!$M14*AY$25)*'Operating Assumptions'!$D$11)/12,IF('Operating Assumptions'!$L14="$/NSF",(('Operating Assumptions'!$M14*AY$25)*'Operating Assumptions'!$D$12)/12))))))))</f>
        <v>0</v>
      </c>
      <c r="AZ86" s="427">
        <f>-IF(AZ$9&lt;'Operating Assumptions'!$D$53,0,IF(AZ$6&gt;'Operating Assumptions'!$AA$8,0,IF('Operating Assumptions'!$L14="N/A",0,IF('Operating Assumptions'!$L14="$/Unit/Annual",(('Operating Assumptions'!$M14*AZ$25)*AZ$36)/12,IF('Operating Assumptions'!$L14="$/Unit/Month",('Operating Assumptions'!$M14*AZ$25)*AZ$36,IF('Operating Assumptions'!$L14="Fixed Amount",('Operating Assumptions'!$M14*AZ$25)/12,IF('Operating Assumptions'!$L14="$/GSF",(('Operating Assumptions'!$M14*AZ$25)*'Operating Assumptions'!$D$11)/12,IF('Operating Assumptions'!$L14="$/NSF",(('Operating Assumptions'!$M14*AZ$25)*'Operating Assumptions'!$D$12)/12))))))))</f>
        <v>0</v>
      </c>
      <c r="BA86" s="427">
        <f>-IF(BA$9&lt;'Operating Assumptions'!$D$53,0,IF(BA$6&gt;'Operating Assumptions'!$AA$8,0,IF('Operating Assumptions'!$L14="N/A",0,IF('Operating Assumptions'!$L14="$/Unit/Annual",(('Operating Assumptions'!$M14*BA$25)*BA$36)/12,IF('Operating Assumptions'!$L14="$/Unit/Month",('Operating Assumptions'!$M14*BA$25)*BA$36,IF('Operating Assumptions'!$L14="Fixed Amount",('Operating Assumptions'!$M14*BA$25)/12,IF('Operating Assumptions'!$L14="$/GSF",(('Operating Assumptions'!$M14*BA$25)*'Operating Assumptions'!$D$11)/12,IF('Operating Assumptions'!$L14="$/NSF",(('Operating Assumptions'!$M14*BA$25)*'Operating Assumptions'!$D$12)/12))))))))</f>
        <v>0</v>
      </c>
      <c r="BB86" s="427">
        <f>-IF(BB$9&lt;'Operating Assumptions'!$D$53,0,IF(BB$6&gt;'Operating Assumptions'!$AA$8,0,IF('Operating Assumptions'!$L14="N/A",0,IF('Operating Assumptions'!$L14="$/Unit/Annual",(('Operating Assumptions'!$M14*BB$25)*BB$36)/12,IF('Operating Assumptions'!$L14="$/Unit/Month",('Operating Assumptions'!$M14*BB$25)*BB$36,IF('Operating Assumptions'!$L14="Fixed Amount",('Operating Assumptions'!$M14*BB$25)/12,IF('Operating Assumptions'!$L14="$/GSF",(('Operating Assumptions'!$M14*BB$25)*'Operating Assumptions'!$D$11)/12,IF('Operating Assumptions'!$L14="$/NSF",(('Operating Assumptions'!$M14*BB$25)*'Operating Assumptions'!$D$12)/12))))))))</f>
        <v>0</v>
      </c>
      <c r="BC86" s="427">
        <f>-IF(BC$9&lt;'Operating Assumptions'!$D$53,0,IF(BC$6&gt;'Operating Assumptions'!$AA$8,0,IF('Operating Assumptions'!$L14="N/A",0,IF('Operating Assumptions'!$L14="$/Unit/Annual",(('Operating Assumptions'!$M14*BC$25)*BC$36)/12,IF('Operating Assumptions'!$L14="$/Unit/Month",('Operating Assumptions'!$M14*BC$25)*BC$36,IF('Operating Assumptions'!$L14="Fixed Amount",('Operating Assumptions'!$M14*BC$25)/12,IF('Operating Assumptions'!$L14="$/GSF",(('Operating Assumptions'!$M14*BC$25)*'Operating Assumptions'!$D$11)/12,IF('Operating Assumptions'!$L14="$/NSF",(('Operating Assumptions'!$M14*BC$25)*'Operating Assumptions'!$D$12)/12))))))))</f>
        <v>0</v>
      </c>
      <c r="BD86" s="427">
        <f>-IF(BD$9&lt;'Operating Assumptions'!$D$53,0,IF(BD$6&gt;'Operating Assumptions'!$AA$8,0,IF('Operating Assumptions'!$L14="N/A",0,IF('Operating Assumptions'!$L14="$/Unit/Annual",(('Operating Assumptions'!$M14*BD$25)*BD$36)/12,IF('Operating Assumptions'!$L14="$/Unit/Month",('Operating Assumptions'!$M14*BD$25)*BD$36,IF('Operating Assumptions'!$L14="Fixed Amount",('Operating Assumptions'!$M14*BD$25)/12,IF('Operating Assumptions'!$L14="$/GSF",(('Operating Assumptions'!$M14*BD$25)*'Operating Assumptions'!$D$11)/12,IF('Operating Assumptions'!$L14="$/NSF",(('Operating Assumptions'!$M14*BD$25)*'Operating Assumptions'!$D$12)/12))))))))</f>
        <v>0</v>
      </c>
      <c r="BE86" s="427">
        <f>-IF(BE$9&lt;'Operating Assumptions'!$D$53,0,IF(BE$6&gt;'Operating Assumptions'!$AA$8,0,IF('Operating Assumptions'!$L14="N/A",0,IF('Operating Assumptions'!$L14="$/Unit/Annual",(('Operating Assumptions'!$M14*BE$25)*BE$36)/12,IF('Operating Assumptions'!$L14="$/Unit/Month",('Operating Assumptions'!$M14*BE$25)*BE$36,IF('Operating Assumptions'!$L14="Fixed Amount",('Operating Assumptions'!$M14*BE$25)/12,IF('Operating Assumptions'!$L14="$/GSF",(('Operating Assumptions'!$M14*BE$25)*'Operating Assumptions'!$D$11)/12,IF('Operating Assumptions'!$L14="$/NSF",(('Operating Assumptions'!$M14*BE$25)*'Operating Assumptions'!$D$12)/12))))))))</f>
        <v>0</v>
      </c>
      <c r="BF86" s="427">
        <f>-IF(BF$9&lt;'Operating Assumptions'!$D$53,0,IF(BF$6&gt;'Operating Assumptions'!$AA$8,0,IF('Operating Assumptions'!$L14="N/A",0,IF('Operating Assumptions'!$L14="$/Unit/Annual",(('Operating Assumptions'!$M14*BF$25)*BF$36)/12,IF('Operating Assumptions'!$L14="$/Unit/Month",('Operating Assumptions'!$M14*BF$25)*BF$36,IF('Operating Assumptions'!$L14="Fixed Amount",('Operating Assumptions'!$M14*BF$25)/12,IF('Operating Assumptions'!$L14="$/GSF",(('Operating Assumptions'!$M14*BF$25)*'Operating Assumptions'!$D$11)/12,IF('Operating Assumptions'!$L14="$/NSF",(('Operating Assumptions'!$M14*BF$25)*'Operating Assumptions'!$D$12)/12))))))))</f>
        <v>0</v>
      </c>
      <c r="BG86" s="427">
        <f>-IF(BG$9&lt;'Operating Assumptions'!$D$53,0,IF(BG$6&gt;'Operating Assumptions'!$AA$8,0,IF('Operating Assumptions'!$L14="N/A",0,IF('Operating Assumptions'!$L14="$/Unit/Annual",(('Operating Assumptions'!$M14*BG$25)*BG$36)/12,IF('Operating Assumptions'!$L14="$/Unit/Month",('Operating Assumptions'!$M14*BG$25)*BG$36,IF('Operating Assumptions'!$L14="Fixed Amount",('Operating Assumptions'!$M14*BG$25)/12,IF('Operating Assumptions'!$L14="$/GSF",(('Operating Assumptions'!$M14*BG$25)*'Operating Assumptions'!$D$11)/12,IF('Operating Assumptions'!$L14="$/NSF",(('Operating Assumptions'!$M14*BG$25)*'Operating Assumptions'!$D$12)/12))))))))</f>
        <v>0</v>
      </c>
      <c r="BH86" s="427">
        <f>-IF(BH$9&lt;'Operating Assumptions'!$D$53,0,IF(BH$6&gt;'Operating Assumptions'!$AA$8,0,IF('Operating Assumptions'!$L14="N/A",0,IF('Operating Assumptions'!$L14="$/Unit/Annual",(('Operating Assumptions'!$M14*BH$25)*BH$36)/12,IF('Operating Assumptions'!$L14="$/Unit/Month",('Operating Assumptions'!$M14*BH$25)*BH$36,IF('Operating Assumptions'!$L14="Fixed Amount",('Operating Assumptions'!$M14*BH$25)/12,IF('Operating Assumptions'!$L14="$/GSF",(('Operating Assumptions'!$M14*BH$25)*'Operating Assumptions'!$D$11)/12,IF('Operating Assumptions'!$L14="$/NSF",(('Operating Assumptions'!$M14*BH$25)*'Operating Assumptions'!$D$12)/12))))))))</f>
        <v>0</v>
      </c>
      <c r="BI86" s="427">
        <f>-IF(BI$9&lt;'Operating Assumptions'!$D$53,0,IF(BI$6&gt;'Operating Assumptions'!$AA$8,0,IF('Operating Assumptions'!$L14="N/A",0,IF('Operating Assumptions'!$L14="$/Unit/Annual",(('Operating Assumptions'!$M14*BI$25)*BI$36)/12,IF('Operating Assumptions'!$L14="$/Unit/Month",('Operating Assumptions'!$M14*BI$25)*BI$36,IF('Operating Assumptions'!$L14="Fixed Amount",('Operating Assumptions'!$M14*BI$25)/12,IF('Operating Assumptions'!$L14="$/GSF",(('Operating Assumptions'!$M14*BI$25)*'Operating Assumptions'!$D$11)/12,IF('Operating Assumptions'!$L14="$/NSF",(('Operating Assumptions'!$M14*BI$25)*'Operating Assumptions'!$D$12)/12))))))))</f>
        <v>0</v>
      </c>
      <c r="BJ86" s="427">
        <f>-IF(BJ$9&lt;'Operating Assumptions'!$D$53,0,IF(BJ$6&gt;'Operating Assumptions'!$AA$8,0,IF('Operating Assumptions'!$L14="N/A",0,IF('Operating Assumptions'!$L14="$/Unit/Annual",(('Operating Assumptions'!$M14*BJ$25)*BJ$36)/12,IF('Operating Assumptions'!$L14="$/Unit/Month",('Operating Assumptions'!$M14*BJ$25)*BJ$36,IF('Operating Assumptions'!$L14="Fixed Amount",('Operating Assumptions'!$M14*BJ$25)/12,IF('Operating Assumptions'!$L14="$/GSF",(('Operating Assumptions'!$M14*BJ$25)*'Operating Assumptions'!$D$11)/12,IF('Operating Assumptions'!$L14="$/NSF",(('Operating Assumptions'!$M14*BJ$25)*'Operating Assumptions'!$D$12)/12))))))))</f>
        <v>0</v>
      </c>
      <c r="BK86" s="427">
        <f>-IF(BK$9&lt;'Operating Assumptions'!$D$53,0,IF(BK$6&gt;'Operating Assumptions'!$AA$8,0,IF('Operating Assumptions'!$L14="N/A",0,IF('Operating Assumptions'!$L14="$/Unit/Annual",(('Operating Assumptions'!$M14*BK$25)*BK$36)/12,IF('Operating Assumptions'!$L14="$/Unit/Month",('Operating Assumptions'!$M14*BK$25)*BK$36,IF('Operating Assumptions'!$L14="Fixed Amount",('Operating Assumptions'!$M14*BK$25)/12,IF('Operating Assumptions'!$L14="$/GSF",(('Operating Assumptions'!$M14*BK$25)*'Operating Assumptions'!$D$11)/12,IF('Operating Assumptions'!$L14="$/NSF",(('Operating Assumptions'!$M14*BK$25)*'Operating Assumptions'!$D$12)/12))))))))</f>
        <v>0</v>
      </c>
      <c r="BL86" s="427">
        <f>-IF(BL$9&lt;'Operating Assumptions'!$D$53,0,IF(BL$6&gt;'Operating Assumptions'!$AA$8,0,IF('Operating Assumptions'!$L14="N/A",0,IF('Operating Assumptions'!$L14="$/Unit/Annual",(('Operating Assumptions'!$M14*BL$25)*BL$36)/12,IF('Operating Assumptions'!$L14="$/Unit/Month",('Operating Assumptions'!$M14*BL$25)*BL$36,IF('Operating Assumptions'!$L14="Fixed Amount",('Operating Assumptions'!$M14*BL$25)/12,IF('Operating Assumptions'!$L14="$/GSF",(('Operating Assumptions'!$M14*BL$25)*'Operating Assumptions'!$D$11)/12,IF('Operating Assumptions'!$L14="$/NSF",(('Operating Assumptions'!$M14*BL$25)*'Operating Assumptions'!$D$12)/12))))))))</f>
        <v>0</v>
      </c>
      <c r="BM86" s="427">
        <f>-IF(BM$9&lt;'Operating Assumptions'!$D$53,0,IF(BM$6&gt;'Operating Assumptions'!$AA$8,0,IF('Operating Assumptions'!$L14="N/A",0,IF('Operating Assumptions'!$L14="$/Unit/Annual",(('Operating Assumptions'!$M14*BM$25)*BM$36)/12,IF('Operating Assumptions'!$L14="$/Unit/Month",('Operating Assumptions'!$M14*BM$25)*BM$36,IF('Operating Assumptions'!$L14="Fixed Amount",('Operating Assumptions'!$M14*BM$25)/12,IF('Operating Assumptions'!$L14="$/GSF",(('Operating Assumptions'!$M14*BM$25)*'Operating Assumptions'!$D$11)/12,IF('Operating Assumptions'!$L14="$/NSF",(('Operating Assumptions'!$M14*BM$25)*'Operating Assumptions'!$D$12)/12))))))))</f>
        <v>0</v>
      </c>
      <c r="BN86" s="427">
        <f>-IF(BN$9&lt;'Operating Assumptions'!$D$53,0,IF(BN$6&gt;'Operating Assumptions'!$AA$8,0,IF('Operating Assumptions'!$L14="N/A",0,IF('Operating Assumptions'!$L14="$/Unit/Annual",(('Operating Assumptions'!$M14*BN$25)*BN$36)/12,IF('Operating Assumptions'!$L14="$/Unit/Month",('Operating Assumptions'!$M14*BN$25)*BN$36,IF('Operating Assumptions'!$L14="Fixed Amount",('Operating Assumptions'!$M14*BN$25)/12,IF('Operating Assumptions'!$L14="$/GSF",(('Operating Assumptions'!$M14*BN$25)*'Operating Assumptions'!$D$11)/12,IF('Operating Assumptions'!$L14="$/NSF",(('Operating Assumptions'!$M14*BN$25)*'Operating Assumptions'!$D$12)/12))))))))</f>
        <v>0</v>
      </c>
      <c r="BO86" s="427">
        <f>-IF(BO$9&lt;'Operating Assumptions'!$D$53,0,IF(BO$6&gt;'Operating Assumptions'!$AA$8,0,IF('Operating Assumptions'!$L14="N/A",0,IF('Operating Assumptions'!$L14="$/Unit/Annual",(('Operating Assumptions'!$M14*BO$25)*BO$36)/12,IF('Operating Assumptions'!$L14="$/Unit/Month",('Operating Assumptions'!$M14*BO$25)*BO$36,IF('Operating Assumptions'!$L14="Fixed Amount",('Operating Assumptions'!$M14*BO$25)/12,IF('Operating Assumptions'!$L14="$/GSF",(('Operating Assumptions'!$M14*BO$25)*'Operating Assumptions'!$D$11)/12,IF('Operating Assumptions'!$L14="$/NSF",(('Operating Assumptions'!$M14*BO$25)*'Operating Assumptions'!$D$12)/12))))))))</f>
        <v>0</v>
      </c>
      <c r="BP86" s="427">
        <f>-IF(BP$9&lt;'Operating Assumptions'!$D$53,0,IF(BP$6&gt;'Operating Assumptions'!$AA$8,0,IF('Operating Assumptions'!$L14="N/A",0,IF('Operating Assumptions'!$L14="$/Unit/Annual",(('Operating Assumptions'!$M14*BP$25)*BP$36)/12,IF('Operating Assumptions'!$L14="$/Unit/Month",('Operating Assumptions'!$M14*BP$25)*BP$36,IF('Operating Assumptions'!$L14="Fixed Amount",('Operating Assumptions'!$M14*BP$25)/12,IF('Operating Assumptions'!$L14="$/GSF",(('Operating Assumptions'!$M14*BP$25)*'Operating Assumptions'!$D$11)/12,IF('Operating Assumptions'!$L14="$/NSF",(('Operating Assumptions'!$M14*BP$25)*'Operating Assumptions'!$D$12)/12))))))))</f>
        <v>0</v>
      </c>
      <c r="BQ86" s="427">
        <f>-IF(BQ$9&lt;'Operating Assumptions'!$D$53,0,IF(BQ$6&gt;'Operating Assumptions'!$AA$8,0,IF('Operating Assumptions'!$L14="N/A",0,IF('Operating Assumptions'!$L14="$/Unit/Annual",(('Operating Assumptions'!$M14*BQ$25)*BQ$36)/12,IF('Operating Assumptions'!$L14="$/Unit/Month",('Operating Assumptions'!$M14*BQ$25)*BQ$36,IF('Operating Assumptions'!$L14="Fixed Amount",('Operating Assumptions'!$M14*BQ$25)/12,IF('Operating Assumptions'!$L14="$/GSF",(('Operating Assumptions'!$M14*BQ$25)*'Operating Assumptions'!$D$11)/12,IF('Operating Assumptions'!$L14="$/NSF",(('Operating Assumptions'!$M14*BQ$25)*'Operating Assumptions'!$D$12)/12))))))))</f>
        <v>0</v>
      </c>
      <c r="BR86" s="427">
        <f>-IF(BR$9&lt;'Operating Assumptions'!$D$53,0,IF(BR$6&gt;'Operating Assumptions'!$AA$8,0,IF('Operating Assumptions'!$L14="N/A",0,IF('Operating Assumptions'!$L14="$/Unit/Annual",(('Operating Assumptions'!$M14*BR$25)*BR$36)/12,IF('Operating Assumptions'!$L14="$/Unit/Month",('Operating Assumptions'!$M14*BR$25)*BR$36,IF('Operating Assumptions'!$L14="Fixed Amount",('Operating Assumptions'!$M14*BR$25)/12,IF('Operating Assumptions'!$L14="$/GSF",(('Operating Assumptions'!$M14*BR$25)*'Operating Assumptions'!$D$11)/12,IF('Operating Assumptions'!$L14="$/NSF",(('Operating Assumptions'!$M14*BR$25)*'Operating Assumptions'!$D$12)/12))))))))</f>
        <v>0</v>
      </c>
      <c r="BS86" s="427">
        <f>-IF(BS$9&lt;'Operating Assumptions'!$D$53,0,IF(BS$6&gt;'Operating Assumptions'!$AA$8,0,IF('Operating Assumptions'!$L14="N/A",0,IF('Operating Assumptions'!$L14="$/Unit/Annual",(('Operating Assumptions'!$M14*BS$25)*BS$36)/12,IF('Operating Assumptions'!$L14="$/Unit/Month",('Operating Assumptions'!$M14*BS$25)*BS$36,IF('Operating Assumptions'!$L14="Fixed Amount",('Operating Assumptions'!$M14*BS$25)/12,IF('Operating Assumptions'!$L14="$/GSF",(('Operating Assumptions'!$M14*BS$25)*'Operating Assumptions'!$D$11)/12,IF('Operating Assumptions'!$L14="$/NSF",(('Operating Assumptions'!$M14*BS$25)*'Operating Assumptions'!$D$12)/12))))))))</f>
        <v>0</v>
      </c>
      <c r="BT86" s="427">
        <f>-IF(BT$9&lt;'Operating Assumptions'!$D$53,0,IF(BT$6&gt;'Operating Assumptions'!$AA$8,0,IF('Operating Assumptions'!$L14="N/A",0,IF('Operating Assumptions'!$L14="$/Unit/Annual",(('Operating Assumptions'!$M14*BT$25)*BT$36)/12,IF('Operating Assumptions'!$L14="$/Unit/Month",('Operating Assumptions'!$M14*BT$25)*BT$36,IF('Operating Assumptions'!$L14="Fixed Amount",('Operating Assumptions'!$M14*BT$25)/12,IF('Operating Assumptions'!$L14="$/GSF",(('Operating Assumptions'!$M14*BT$25)*'Operating Assumptions'!$D$11)/12,IF('Operating Assumptions'!$L14="$/NSF",(('Operating Assumptions'!$M14*BT$25)*'Operating Assumptions'!$D$12)/12))))))))</f>
        <v>0</v>
      </c>
      <c r="BU86" s="427">
        <f>-IF(BU$9&lt;'Operating Assumptions'!$D$53,0,IF(BU$6&gt;'Operating Assumptions'!$AA$8,0,IF('Operating Assumptions'!$L14="N/A",0,IF('Operating Assumptions'!$L14="$/Unit/Annual",(('Operating Assumptions'!$M14*BU$25)*BU$36)/12,IF('Operating Assumptions'!$L14="$/Unit/Month",('Operating Assumptions'!$M14*BU$25)*BU$36,IF('Operating Assumptions'!$L14="Fixed Amount",('Operating Assumptions'!$M14*BU$25)/12,IF('Operating Assumptions'!$L14="$/GSF",(('Operating Assumptions'!$M14*BU$25)*'Operating Assumptions'!$D$11)/12,IF('Operating Assumptions'!$L14="$/NSF",(('Operating Assumptions'!$M14*BU$25)*'Operating Assumptions'!$D$12)/12))))))))</f>
        <v>0</v>
      </c>
      <c r="BV86" s="427">
        <f>-IF(BV$9&lt;'Operating Assumptions'!$D$53,0,IF(BV$6&gt;'Operating Assumptions'!$AA$8,0,IF('Operating Assumptions'!$L14="N/A",0,IF('Operating Assumptions'!$L14="$/Unit/Annual",(('Operating Assumptions'!$M14*BV$25)*BV$36)/12,IF('Operating Assumptions'!$L14="$/Unit/Month",('Operating Assumptions'!$M14*BV$25)*BV$36,IF('Operating Assumptions'!$L14="Fixed Amount",('Operating Assumptions'!$M14*BV$25)/12,IF('Operating Assumptions'!$L14="$/GSF",(('Operating Assumptions'!$M14*BV$25)*'Operating Assumptions'!$D$11)/12,IF('Operating Assumptions'!$L14="$/NSF",(('Operating Assumptions'!$M14*BV$25)*'Operating Assumptions'!$D$12)/12))))))))</f>
        <v>0</v>
      </c>
      <c r="BW86" s="427">
        <f>-IF(BW$9&lt;'Operating Assumptions'!$D$53,0,IF(BW$6&gt;'Operating Assumptions'!$AA$8,0,IF('Operating Assumptions'!$L14="N/A",0,IF('Operating Assumptions'!$L14="$/Unit/Annual",(('Operating Assumptions'!$M14*BW$25)*BW$36)/12,IF('Operating Assumptions'!$L14="$/Unit/Month",('Operating Assumptions'!$M14*BW$25)*BW$36,IF('Operating Assumptions'!$L14="Fixed Amount",('Operating Assumptions'!$M14*BW$25)/12,IF('Operating Assumptions'!$L14="$/GSF",(('Operating Assumptions'!$M14*BW$25)*'Operating Assumptions'!$D$11)/12,IF('Operating Assumptions'!$L14="$/NSF",(('Operating Assumptions'!$M14*BW$25)*'Operating Assumptions'!$D$12)/12))))))))</f>
        <v>0</v>
      </c>
      <c r="BX86" s="427">
        <f>-IF(BX$9&lt;'Operating Assumptions'!$D$53,0,IF(BX$6&gt;'Operating Assumptions'!$AA$8,0,IF('Operating Assumptions'!$L14="N/A",0,IF('Operating Assumptions'!$L14="$/Unit/Annual",(('Operating Assumptions'!$M14*BX$25)*BX$36)/12,IF('Operating Assumptions'!$L14="$/Unit/Month",('Operating Assumptions'!$M14*BX$25)*BX$36,IF('Operating Assumptions'!$L14="Fixed Amount",('Operating Assumptions'!$M14*BX$25)/12,IF('Operating Assumptions'!$L14="$/GSF",(('Operating Assumptions'!$M14*BX$25)*'Operating Assumptions'!$D$11)/12,IF('Operating Assumptions'!$L14="$/NSF",(('Operating Assumptions'!$M14*BX$25)*'Operating Assumptions'!$D$12)/12))))))))</f>
        <v>0</v>
      </c>
      <c r="BY86" s="427">
        <f>-IF(BY$9&lt;'Operating Assumptions'!$D$53,0,IF(BY$6&gt;'Operating Assumptions'!$AA$8,0,IF('Operating Assumptions'!$L14="N/A",0,IF('Operating Assumptions'!$L14="$/Unit/Annual",(('Operating Assumptions'!$M14*BY$25)*BY$36)/12,IF('Operating Assumptions'!$L14="$/Unit/Month",('Operating Assumptions'!$M14*BY$25)*BY$36,IF('Operating Assumptions'!$L14="Fixed Amount",('Operating Assumptions'!$M14*BY$25)/12,IF('Operating Assumptions'!$L14="$/GSF",(('Operating Assumptions'!$M14*BY$25)*'Operating Assumptions'!$D$11)/12,IF('Operating Assumptions'!$L14="$/NSF",(('Operating Assumptions'!$M14*BY$25)*'Operating Assumptions'!$D$12)/12))))))))</f>
        <v>0</v>
      </c>
      <c r="BZ86" s="427">
        <f>-IF(BZ$9&lt;'Operating Assumptions'!$D$53,0,IF(BZ$6&gt;'Operating Assumptions'!$AA$8,0,IF('Operating Assumptions'!$L14="N/A",0,IF('Operating Assumptions'!$L14="$/Unit/Annual",(('Operating Assumptions'!$M14*BZ$25)*BZ$36)/12,IF('Operating Assumptions'!$L14="$/Unit/Month",('Operating Assumptions'!$M14*BZ$25)*BZ$36,IF('Operating Assumptions'!$L14="Fixed Amount",('Operating Assumptions'!$M14*BZ$25)/12,IF('Operating Assumptions'!$L14="$/GSF",(('Operating Assumptions'!$M14*BZ$25)*'Operating Assumptions'!$D$11)/12,IF('Operating Assumptions'!$L14="$/NSF",(('Operating Assumptions'!$M14*BZ$25)*'Operating Assumptions'!$D$12)/12))))))))</f>
        <v>0</v>
      </c>
      <c r="CA86" s="427">
        <f>-IF(CA$9&lt;'Operating Assumptions'!$D$53,0,IF(CA$6&gt;'Operating Assumptions'!$AA$8,0,IF('Operating Assumptions'!$L14="N/A",0,IF('Operating Assumptions'!$L14="$/Unit/Annual",(('Operating Assumptions'!$M14*CA$25)*CA$36)/12,IF('Operating Assumptions'!$L14="$/Unit/Month",('Operating Assumptions'!$M14*CA$25)*CA$36,IF('Operating Assumptions'!$L14="Fixed Amount",('Operating Assumptions'!$M14*CA$25)/12,IF('Operating Assumptions'!$L14="$/GSF",(('Operating Assumptions'!$M14*CA$25)*'Operating Assumptions'!$D$11)/12,IF('Operating Assumptions'!$L14="$/NSF",(('Operating Assumptions'!$M14*CA$25)*'Operating Assumptions'!$D$12)/12))))))))</f>
        <v>0</v>
      </c>
      <c r="CB86" s="427">
        <f>-IF(CB$9&lt;'Operating Assumptions'!$D$53,0,IF(CB$6&gt;'Operating Assumptions'!$AA$8,0,IF('Operating Assumptions'!$L14="N/A",0,IF('Operating Assumptions'!$L14="$/Unit/Annual",(('Operating Assumptions'!$M14*CB$25)*CB$36)/12,IF('Operating Assumptions'!$L14="$/Unit/Month",('Operating Assumptions'!$M14*CB$25)*CB$36,IF('Operating Assumptions'!$L14="Fixed Amount",('Operating Assumptions'!$M14*CB$25)/12,IF('Operating Assumptions'!$L14="$/GSF",(('Operating Assumptions'!$M14*CB$25)*'Operating Assumptions'!$D$11)/12,IF('Operating Assumptions'!$L14="$/NSF",(('Operating Assumptions'!$M14*CB$25)*'Operating Assumptions'!$D$12)/12))))))))</f>
        <v>0</v>
      </c>
      <c r="CC86" s="427">
        <f>-IF(CC$9&lt;'Operating Assumptions'!$D$53,0,IF(CC$6&gt;'Operating Assumptions'!$AA$8,0,IF('Operating Assumptions'!$L14="N/A",0,IF('Operating Assumptions'!$L14="$/Unit/Annual",(('Operating Assumptions'!$M14*CC$25)*CC$36)/12,IF('Operating Assumptions'!$L14="$/Unit/Month",('Operating Assumptions'!$M14*CC$25)*CC$36,IF('Operating Assumptions'!$L14="Fixed Amount",('Operating Assumptions'!$M14*CC$25)/12,IF('Operating Assumptions'!$L14="$/GSF",(('Operating Assumptions'!$M14*CC$25)*'Operating Assumptions'!$D$11)/12,IF('Operating Assumptions'!$L14="$/NSF",(('Operating Assumptions'!$M14*CC$25)*'Operating Assumptions'!$D$12)/12))))))))</f>
        <v>0</v>
      </c>
      <c r="CD86" s="427">
        <f>-IF(CD$9&lt;'Operating Assumptions'!$D$53,0,IF(CD$6&gt;'Operating Assumptions'!$AA$8,0,IF('Operating Assumptions'!$L14="N/A",0,IF('Operating Assumptions'!$L14="$/Unit/Annual",(('Operating Assumptions'!$M14*CD$25)*CD$36)/12,IF('Operating Assumptions'!$L14="$/Unit/Month",('Operating Assumptions'!$M14*CD$25)*CD$36,IF('Operating Assumptions'!$L14="Fixed Amount",('Operating Assumptions'!$M14*CD$25)/12,IF('Operating Assumptions'!$L14="$/GSF",(('Operating Assumptions'!$M14*CD$25)*'Operating Assumptions'!$D$11)/12,IF('Operating Assumptions'!$L14="$/NSF",(('Operating Assumptions'!$M14*CD$25)*'Operating Assumptions'!$D$12)/12))))))))</f>
        <v>0</v>
      </c>
      <c r="CE86" s="427">
        <f>-IF(CE$9&lt;'Operating Assumptions'!$D$53,0,IF(CE$6&gt;'Operating Assumptions'!$AA$8,0,IF('Operating Assumptions'!$L14="N/A",0,IF('Operating Assumptions'!$L14="$/Unit/Annual",(('Operating Assumptions'!$M14*CE$25)*CE$36)/12,IF('Operating Assumptions'!$L14="$/Unit/Month",('Operating Assumptions'!$M14*CE$25)*CE$36,IF('Operating Assumptions'!$L14="Fixed Amount",('Operating Assumptions'!$M14*CE$25)/12,IF('Operating Assumptions'!$L14="$/GSF",(('Operating Assumptions'!$M14*CE$25)*'Operating Assumptions'!$D$11)/12,IF('Operating Assumptions'!$L14="$/NSF",(('Operating Assumptions'!$M14*CE$25)*'Operating Assumptions'!$D$12)/12))))))))</f>
        <v>0</v>
      </c>
      <c r="CF86" s="427">
        <f>-IF(CF$9&lt;'Operating Assumptions'!$D$53,0,IF(CF$6&gt;'Operating Assumptions'!$AA$8,0,IF('Operating Assumptions'!$L14="N/A",0,IF('Operating Assumptions'!$L14="$/Unit/Annual",(('Operating Assumptions'!$M14*CF$25)*CF$36)/12,IF('Operating Assumptions'!$L14="$/Unit/Month",('Operating Assumptions'!$M14*CF$25)*CF$36,IF('Operating Assumptions'!$L14="Fixed Amount",('Operating Assumptions'!$M14*CF$25)/12,IF('Operating Assumptions'!$L14="$/GSF",(('Operating Assumptions'!$M14*CF$25)*'Operating Assumptions'!$D$11)/12,IF('Operating Assumptions'!$L14="$/NSF",(('Operating Assumptions'!$M14*CF$25)*'Operating Assumptions'!$D$12)/12))))))))</f>
        <v>0</v>
      </c>
      <c r="CG86" s="427">
        <f>-IF(CG$9&lt;'Operating Assumptions'!$D$53,0,IF(CG$6&gt;'Operating Assumptions'!$AA$8,0,IF('Operating Assumptions'!$L14="N/A",0,IF('Operating Assumptions'!$L14="$/Unit/Annual",(('Operating Assumptions'!$M14*CG$25)*CG$36)/12,IF('Operating Assumptions'!$L14="$/Unit/Month",('Operating Assumptions'!$M14*CG$25)*CG$36,IF('Operating Assumptions'!$L14="Fixed Amount",('Operating Assumptions'!$M14*CG$25)/12,IF('Operating Assumptions'!$L14="$/GSF",(('Operating Assumptions'!$M14*CG$25)*'Operating Assumptions'!$D$11)/12,IF('Operating Assumptions'!$L14="$/NSF",(('Operating Assumptions'!$M14*CG$25)*'Operating Assumptions'!$D$12)/12))))))))</f>
        <v>0</v>
      </c>
      <c r="CH86" s="427">
        <f>-IF(CH$9&lt;'Operating Assumptions'!$D$53,0,IF(CH$6&gt;'Operating Assumptions'!$AA$8,0,IF('Operating Assumptions'!$L14="N/A",0,IF('Operating Assumptions'!$L14="$/Unit/Annual",(('Operating Assumptions'!$M14*CH$25)*CH$36)/12,IF('Operating Assumptions'!$L14="$/Unit/Month",('Operating Assumptions'!$M14*CH$25)*CH$36,IF('Operating Assumptions'!$L14="Fixed Amount",('Operating Assumptions'!$M14*CH$25)/12,IF('Operating Assumptions'!$L14="$/GSF",(('Operating Assumptions'!$M14*CH$25)*'Operating Assumptions'!$D$11)/12,IF('Operating Assumptions'!$L14="$/NSF",(('Operating Assumptions'!$M14*CH$25)*'Operating Assumptions'!$D$12)/12))))))))</f>
        <v>0</v>
      </c>
      <c r="CI86" s="427">
        <f>-IF(CI$9&lt;'Operating Assumptions'!$D$53,0,IF(CI$6&gt;'Operating Assumptions'!$AA$8,0,IF('Operating Assumptions'!$L14="N/A",0,IF('Operating Assumptions'!$L14="$/Unit/Annual",(('Operating Assumptions'!$M14*CI$25)*CI$36)/12,IF('Operating Assumptions'!$L14="$/Unit/Month",('Operating Assumptions'!$M14*CI$25)*CI$36,IF('Operating Assumptions'!$L14="Fixed Amount",('Operating Assumptions'!$M14*CI$25)/12,IF('Operating Assumptions'!$L14="$/GSF",(('Operating Assumptions'!$M14*CI$25)*'Operating Assumptions'!$D$11)/12,IF('Operating Assumptions'!$L14="$/NSF",(('Operating Assumptions'!$M14*CI$25)*'Operating Assumptions'!$D$12)/12))))))))</f>
        <v>0</v>
      </c>
      <c r="CJ86" s="427">
        <f>-IF(CJ$9&lt;'Operating Assumptions'!$D$53,0,IF(CJ$6&gt;'Operating Assumptions'!$AA$8,0,IF('Operating Assumptions'!$L14="N/A",0,IF('Operating Assumptions'!$L14="$/Unit/Annual",(('Operating Assumptions'!$M14*CJ$25)*CJ$36)/12,IF('Operating Assumptions'!$L14="$/Unit/Month",('Operating Assumptions'!$M14*CJ$25)*CJ$36,IF('Operating Assumptions'!$L14="Fixed Amount",('Operating Assumptions'!$M14*CJ$25)/12,IF('Operating Assumptions'!$L14="$/GSF",(('Operating Assumptions'!$M14*CJ$25)*'Operating Assumptions'!$D$11)/12,IF('Operating Assumptions'!$L14="$/NSF",(('Operating Assumptions'!$M14*CJ$25)*'Operating Assumptions'!$D$12)/12))))))))</f>
        <v>0</v>
      </c>
      <c r="CK86" s="427">
        <f>-IF(CK$9&lt;'Operating Assumptions'!$D$53,0,IF(CK$6&gt;'Operating Assumptions'!$AA$8,0,IF('Operating Assumptions'!$L14="N/A",0,IF('Operating Assumptions'!$L14="$/Unit/Annual",(('Operating Assumptions'!$M14*CK$25)*CK$36)/12,IF('Operating Assumptions'!$L14="$/Unit/Month",('Operating Assumptions'!$M14*CK$25)*CK$36,IF('Operating Assumptions'!$L14="Fixed Amount",('Operating Assumptions'!$M14*CK$25)/12,IF('Operating Assumptions'!$L14="$/GSF",(('Operating Assumptions'!$M14*CK$25)*'Operating Assumptions'!$D$11)/12,IF('Operating Assumptions'!$L14="$/NSF",(('Operating Assumptions'!$M14*CK$25)*'Operating Assumptions'!$D$12)/12))))))))</f>
        <v>0</v>
      </c>
      <c r="CL86" s="427">
        <f>-IF(CL$9&lt;'Operating Assumptions'!$D$53,0,IF(CL$6&gt;'Operating Assumptions'!$AA$8,0,IF('Operating Assumptions'!$L14="N/A",0,IF('Operating Assumptions'!$L14="$/Unit/Annual",(('Operating Assumptions'!$M14*CL$25)*CL$36)/12,IF('Operating Assumptions'!$L14="$/Unit/Month",('Operating Assumptions'!$M14*CL$25)*CL$36,IF('Operating Assumptions'!$L14="Fixed Amount",('Operating Assumptions'!$M14*CL$25)/12,IF('Operating Assumptions'!$L14="$/GSF",(('Operating Assumptions'!$M14*CL$25)*'Operating Assumptions'!$D$11)/12,IF('Operating Assumptions'!$L14="$/NSF",(('Operating Assumptions'!$M14*CL$25)*'Operating Assumptions'!$D$12)/12))))))))</f>
        <v>0</v>
      </c>
      <c r="CM86" s="427">
        <f>-IF(CM$9&lt;'Operating Assumptions'!$D$53,0,IF(CM$6&gt;'Operating Assumptions'!$AA$8,0,IF('Operating Assumptions'!$L14="N/A",0,IF('Operating Assumptions'!$L14="$/Unit/Annual",(('Operating Assumptions'!$M14*CM$25)*CM$36)/12,IF('Operating Assumptions'!$L14="$/Unit/Month",('Operating Assumptions'!$M14*CM$25)*CM$36,IF('Operating Assumptions'!$L14="Fixed Amount",('Operating Assumptions'!$M14*CM$25)/12,IF('Operating Assumptions'!$L14="$/GSF",(('Operating Assumptions'!$M14*CM$25)*'Operating Assumptions'!$D$11)/12,IF('Operating Assumptions'!$L14="$/NSF",(('Operating Assumptions'!$M14*CM$25)*'Operating Assumptions'!$D$12)/12))))))))</f>
        <v>0</v>
      </c>
      <c r="CN86" s="427">
        <f>-IF(CN$9&lt;'Operating Assumptions'!$D$53,0,IF(CN$6&gt;'Operating Assumptions'!$AA$8,0,IF('Operating Assumptions'!$L14="N/A",0,IF('Operating Assumptions'!$L14="$/Unit/Annual",(('Operating Assumptions'!$M14*CN$25)*CN$36)/12,IF('Operating Assumptions'!$L14="$/Unit/Month",('Operating Assumptions'!$M14*CN$25)*CN$36,IF('Operating Assumptions'!$L14="Fixed Amount",('Operating Assumptions'!$M14*CN$25)/12,IF('Operating Assumptions'!$L14="$/GSF",(('Operating Assumptions'!$M14*CN$25)*'Operating Assumptions'!$D$11)/12,IF('Operating Assumptions'!$L14="$/NSF",(('Operating Assumptions'!$M14*CN$25)*'Operating Assumptions'!$D$12)/12))))))))</f>
        <v>0</v>
      </c>
      <c r="CO86" s="427">
        <f>-IF(CO$9&lt;'Operating Assumptions'!$D$53,0,IF(CO$6&gt;'Operating Assumptions'!$AA$8,0,IF('Operating Assumptions'!$L14="N/A",0,IF('Operating Assumptions'!$L14="$/Unit/Annual",(('Operating Assumptions'!$M14*CO$25)*CO$36)/12,IF('Operating Assumptions'!$L14="$/Unit/Month",('Operating Assumptions'!$M14*CO$25)*CO$36,IF('Operating Assumptions'!$L14="Fixed Amount",('Operating Assumptions'!$M14*CO$25)/12,IF('Operating Assumptions'!$L14="$/GSF",(('Operating Assumptions'!$M14*CO$25)*'Operating Assumptions'!$D$11)/12,IF('Operating Assumptions'!$L14="$/NSF",(('Operating Assumptions'!$M14*CO$25)*'Operating Assumptions'!$D$12)/12))))))))</f>
        <v>0</v>
      </c>
      <c r="CP86" s="427">
        <f>-IF(CP$9&lt;'Operating Assumptions'!$D$53,0,IF(CP$6&gt;'Operating Assumptions'!$AA$8,0,IF('Operating Assumptions'!$L14="N/A",0,IF('Operating Assumptions'!$L14="$/Unit/Annual",(('Operating Assumptions'!$M14*CP$25)*CP$36)/12,IF('Operating Assumptions'!$L14="$/Unit/Month",('Operating Assumptions'!$M14*CP$25)*CP$36,IF('Operating Assumptions'!$L14="Fixed Amount",('Operating Assumptions'!$M14*CP$25)/12,IF('Operating Assumptions'!$L14="$/GSF",(('Operating Assumptions'!$M14*CP$25)*'Operating Assumptions'!$D$11)/12,IF('Operating Assumptions'!$L14="$/NSF",(('Operating Assumptions'!$M14*CP$25)*'Operating Assumptions'!$D$12)/12))))))))</f>
        <v>0</v>
      </c>
      <c r="CQ86" s="427">
        <f>-IF(CQ$9&lt;'Operating Assumptions'!$D$53,0,IF(CQ$6&gt;'Operating Assumptions'!$AA$8,0,IF('Operating Assumptions'!$L14="N/A",0,IF('Operating Assumptions'!$L14="$/Unit/Annual",(('Operating Assumptions'!$M14*CQ$25)*CQ$36)/12,IF('Operating Assumptions'!$L14="$/Unit/Month",('Operating Assumptions'!$M14*CQ$25)*CQ$36,IF('Operating Assumptions'!$L14="Fixed Amount",('Operating Assumptions'!$M14*CQ$25)/12,IF('Operating Assumptions'!$L14="$/GSF",(('Operating Assumptions'!$M14*CQ$25)*'Operating Assumptions'!$D$11)/12,IF('Operating Assumptions'!$L14="$/NSF",(('Operating Assumptions'!$M14*CQ$25)*'Operating Assumptions'!$D$12)/12))))))))</f>
        <v>0</v>
      </c>
      <c r="CR86" s="427">
        <f>-IF(CR$9&lt;'Operating Assumptions'!$D$53,0,IF(CR$6&gt;'Operating Assumptions'!$AA$8,0,IF('Operating Assumptions'!$L14="N/A",0,IF('Operating Assumptions'!$L14="$/Unit/Annual",(('Operating Assumptions'!$M14*CR$25)*CR$36)/12,IF('Operating Assumptions'!$L14="$/Unit/Month",('Operating Assumptions'!$M14*CR$25)*CR$36,IF('Operating Assumptions'!$L14="Fixed Amount",('Operating Assumptions'!$M14*CR$25)/12,IF('Operating Assumptions'!$L14="$/GSF",(('Operating Assumptions'!$M14*CR$25)*'Operating Assumptions'!$D$11)/12,IF('Operating Assumptions'!$L14="$/NSF",(('Operating Assumptions'!$M14*CR$25)*'Operating Assumptions'!$D$12)/12))))))))</f>
        <v>0</v>
      </c>
      <c r="CS86" s="427">
        <f>-IF(CS$9&lt;'Operating Assumptions'!$D$53,0,IF(CS$6&gt;'Operating Assumptions'!$AA$8,0,IF('Operating Assumptions'!$L14="N/A",0,IF('Operating Assumptions'!$L14="$/Unit/Annual",(('Operating Assumptions'!$M14*CS$25)*CS$36)/12,IF('Operating Assumptions'!$L14="$/Unit/Month",('Operating Assumptions'!$M14*CS$25)*CS$36,IF('Operating Assumptions'!$L14="Fixed Amount",('Operating Assumptions'!$M14*CS$25)/12,IF('Operating Assumptions'!$L14="$/GSF",(('Operating Assumptions'!$M14*CS$25)*'Operating Assumptions'!$D$11)/12,IF('Operating Assumptions'!$L14="$/NSF",(('Operating Assumptions'!$M14*CS$25)*'Operating Assumptions'!$D$12)/12))))))))</f>
        <v>0</v>
      </c>
      <c r="CT86" s="427">
        <f>-IF(CT$9&lt;'Operating Assumptions'!$D$53,0,IF(CT$6&gt;'Operating Assumptions'!$AA$8,0,IF('Operating Assumptions'!$L14="N/A",0,IF('Operating Assumptions'!$L14="$/Unit/Annual",(('Operating Assumptions'!$M14*CT$25)*CT$36)/12,IF('Operating Assumptions'!$L14="$/Unit/Month",('Operating Assumptions'!$M14*CT$25)*CT$36,IF('Operating Assumptions'!$L14="Fixed Amount",('Operating Assumptions'!$M14*CT$25)/12,IF('Operating Assumptions'!$L14="$/GSF",(('Operating Assumptions'!$M14*CT$25)*'Operating Assumptions'!$D$11)/12,IF('Operating Assumptions'!$L14="$/NSF",(('Operating Assumptions'!$M14*CT$25)*'Operating Assumptions'!$D$12)/12))))))))</f>
        <v>0</v>
      </c>
      <c r="CU86" s="427">
        <f>-IF(CU$9&lt;'Operating Assumptions'!$D$53,0,IF(CU$6&gt;'Operating Assumptions'!$AA$8,0,IF('Operating Assumptions'!$L14="N/A",0,IF('Operating Assumptions'!$L14="$/Unit/Annual",(('Operating Assumptions'!$M14*CU$25)*CU$36)/12,IF('Operating Assumptions'!$L14="$/Unit/Month",('Operating Assumptions'!$M14*CU$25)*CU$36,IF('Operating Assumptions'!$L14="Fixed Amount",('Operating Assumptions'!$M14*CU$25)/12,IF('Operating Assumptions'!$L14="$/GSF",(('Operating Assumptions'!$M14*CU$25)*'Operating Assumptions'!$D$11)/12,IF('Operating Assumptions'!$L14="$/NSF",(('Operating Assumptions'!$M14*CU$25)*'Operating Assumptions'!$D$12)/12))))))))</f>
        <v>0</v>
      </c>
      <c r="CV86" s="427">
        <f>-IF(CV$9&lt;'Operating Assumptions'!$D$53,0,IF(CV$6&gt;'Operating Assumptions'!$AA$8,0,IF('Operating Assumptions'!$L14="N/A",0,IF('Operating Assumptions'!$L14="$/Unit/Annual",(('Operating Assumptions'!$M14*CV$25)*CV$36)/12,IF('Operating Assumptions'!$L14="$/Unit/Month",('Operating Assumptions'!$M14*CV$25)*CV$36,IF('Operating Assumptions'!$L14="Fixed Amount",('Operating Assumptions'!$M14*CV$25)/12,IF('Operating Assumptions'!$L14="$/GSF",(('Operating Assumptions'!$M14*CV$25)*'Operating Assumptions'!$D$11)/12,IF('Operating Assumptions'!$L14="$/NSF",(('Operating Assumptions'!$M14*CV$25)*'Operating Assumptions'!$D$12)/12))))))))</f>
        <v>0</v>
      </c>
      <c r="CW86" s="427">
        <f>-IF(CW$9&lt;'Operating Assumptions'!$D$53,0,IF(CW$6&gt;'Operating Assumptions'!$AA$8,0,IF('Operating Assumptions'!$L14="N/A",0,IF('Operating Assumptions'!$L14="$/Unit/Annual",(('Operating Assumptions'!$M14*CW$25)*CW$36)/12,IF('Operating Assumptions'!$L14="$/Unit/Month",('Operating Assumptions'!$M14*CW$25)*CW$36,IF('Operating Assumptions'!$L14="Fixed Amount",('Operating Assumptions'!$M14*CW$25)/12,IF('Operating Assumptions'!$L14="$/GSF",(('Operating Assumptions'!$M14*CW$25)*'Operating Assumptions'!$D$11)/12,IF('Operating Assumptions'!$L14="$/NSF",(('Operating Assumptions'!$M14*CW$25)*'Operating Assumptions'!$D$12)/12))))))))</f>
        <v>0</v>
      </c>
      <c r="CX86" s="427">
        <f>-IF(CX$9&lt;'Operating Assumptions'!$D$53,0,IF(CX$6&gt;'Operating Assumptions'!$AA$8,0,IF('Operating Assumptions'!$L14="N/A",0,IF('Operating Assumptions'!$L14="$/Unit/Annual",(('Operating Assumptions'!$M14*CX$25)*CX$36)/12,IF('Operating Assumptions'!$L14="$/Unit/Month",('Operating Assumptions'!$M14*CX$25)*CX$36,IF('Operating Assumptions'!$L14="Fixed Amount",('Operating Assumptions'!$M14*CX$25)/12,IF('Operating Assumptions'!$L14="$/GSF",(('Operating Assumptions'!$M14*CX$25)*'Operating Assumptions'!$D$11)/12,IF('Operating Assumptions'!$L14="$/NSF",(('Operating Assumptions'!$M14*CX$25)*'Operating Assumptions'!$D$12)/12))))))))</f>
        <v>0</v>
      </c>
      <c r="CY86" s="427">
        <f>-IF(CY$9&lt;'Operating Assumptions'!$D$53,0,IF(CY$6&gt;'Operating Assumptions'!$AA$8,0,IF('Operating Assumptions'!$L14="N/A",0,IF('Operating Assumptions'!$L14="$/Unit/Annual",(('Operating Assumptions'!$M14*CY$25)*CY$36)/12,IF('Operating Assumptions'!$L14="$/Unit/Month",('Operating Assumptions'!$M14*CY$25)*CY$36,IF('Operating Assumptions'!$L14="Fixed Amount",('Operating Assumptions'!$M14*CY$25)/12,IF('Operating Assumptions'!$L14="$/GSF",(('Operating Assumptions'!$M14*CY$25)*'Operating Assumptions'!$D$11)/12,IF('Operating Assumptions'!$L14="$/NSF",(('Operating Assumptions'!$M14*CY$25)*'Operating Assumptions'!$D$12)/12))))))))</f>
        <v>0</v>
      </c>
      <c r="CZ86" s="427">
        <f>-IF(CZ$9&lt;'Operating Assumptions'!$D$53,0,IF(CZ$6&gt;'Operating Assumptions'!$AA$8,0,IF('Operating Assumptions'!$L14="N/A",0,IF('Operating Assumptions'!$L14="$/Unit/Annual",(('Operating Assumptions'!$M14*CZ$25)*CZ$36)/12,IF('Operating Assumptions'!$L14="$/Unit/Month",('Operating Assumptions'!$M14*CZ$25)*CZ$36,IF('Operating Assumptions'!$L14="Fixed Amount",('Operating Assumptions'!$M14*CZ$25)/12,IF('Operating Assumptions'!$L14="$/GSF",(('Operating Assumptions'!$M14*CZ$25)*'Operating Assumptions'!$D$11)/12,IF('Operating Assumptions'!$L14="$/NSF",(('Operating Assumptions'!$M14*CZ$25)*'Operating Assumptions'!$D$12)/12))))))))</f>
        <v>0</v>
      </c>
      <c r="DA86" s="427">
        <f>-IF(DA$9&lt;'Operating Assumptions'!$D$53,0,IF(DA$6&gt;'Operating Assumptions'!$AA$8,0,IF('Operating Assumptions'!$L14="N/A",0,IF('Operating Assumptions'!$L14="$/Unit/Annual",(('Operating Assumptions'!$M14*DA$25)*DA$36)/12,IF('Operating Assumptions'!$L14="$/Unit/Month",('Operating Assumptions'!$M14*DA$25)*DA$36,IF('Operating Assumptions'!$L14="Fixed Amount",('Operating Assumptions'!$M14*DA$25)/12,IF('Operating Assumptions'!$L14="$/GSF",(('Operating Assumptions'!$M14*DA$25)*'Operating Assumptions'!$D$11)/12,IF('Operating Assumptions'!$L14="$/NSF",(('Operating Assumptions'!$M14*DA$25)*'Operating Assumptions'!$D$12)/12))))))))</f>
        <v>0</v>
      </c>
      <c r="DB86" s="427">
        <f>-IF(DB$9&lt;'Operating Assumptions'!$D$53,0,IF(DB$6&gt;'Operating Assumptions'!$AA$8,0,IF('Operating Assumptions'!$L14="N/A",0,IF('Operating Assumptions'!$L14="$/Unit/Annual",(('Operating Assumptions'!$M14*DB$25)*DB$36)/12,IF('Operating Assumptions'!$L14="$/Unit/Month",('Operating Assumptions'!$M14*DB$25)*DB$36,IF('Operating Assumptions'!$L14="Fixed Amount",('Operating Assumptions'!$M14*DB$25)/12,IF('Operating Assumptions'!$L14="$/GSF",(('Operating Assumptions'!$M14*DB$25)*'Operating Assumptions'!$D$11)/12,IF('Operating Assumptions'!$L14="$/NSF",(('Operating Assumptions'!$M14*DB$25)*'Operating Assumptions'!$D$12)/12))))))))</f>
        <v>0</v>
      </c>
      <c r="DC86" s="427">
        <f>-IF(DC$9&lt;'Operating Assumptions'!$D$53,0,IF(DC$6&gt;'Operating Assumptions'!$AA$8,0,IF('Operating Assumptions'!$L14="N/A",0,IF('Operating Assumptions'!$L14="$/Unit/Annual",(('Operating Assumptions'!$M14*DC$25)*DC$36)/12,IF('Operating Assumptions'!$L14="$/Unit/Month",('Operating Assumptions'!$M14*DC$25)*DC$36,IF('Operating Assumptions'!$L14="Fixed Amount",('Operating Assumptions'!$M14*DC$25)/12,IF('Operating Assumptions'!$L14="$/GSF",(('Operating Assumptions'!$M14*DC$25)*'Operating Assumptions'!$D$11)/12,IF('Operating Assumptions'!$L14="$/NSF",(('Operating Assumptions'!$M14*DC$25)*'Operating Assumptions'!$D$12)/12))))))))</f>
        <v>0</v>
      </c>
      <c r="DD86" s="427">
        <f>-IF(DD$9&lt;'Operating Assumptions'!$D$53,0,IF(DD$6&gt;'Operating Assumptions'!$AA$8,0,IF('Operating Assumptions'!$L14="N/A",0,IF('Operating Assumptions'!$L14="$/Unit/Annual",(('Operating Assumptions'!$M14*DD$25)*DD$36)/12,IF('Operating Assumptions'!$L14="$/Unit/Month",('Operating Assumptions'!$M14*DD$25)*DD$36,IF('Operating Assumptions'!$L14="Fixed Amount",('Operating Assumptions'!$M14*DD$25)/12,IF('Operating Assumptions'!$L14="$/GSF",(('Operating Assumptions'!$M14*DD$25)*'Operating Assumptions'!$D$11)/12,IF('Operating Assumptions'!$L14="$/NSF",(('Operating Assumptions'!$M14*DD$25)*'Operating Assumptions'!$D$12)/12))))))))</f>
        <v>0</v>
      </c>
      <c r="DE86" s="427">
        <f>-IF(DE$9&lt;'Operating Assumptions'!$D$53,0,IF(DE$6&gt;'Operating Assumptions'!$AA$8,0,IF('Operating Assumptions'!$L14="N/A",0,IF('Operating Assumptions'!$L14="$/Unit/Annual",(('Operating Assumptions'!$M14*DE$25)*DE$36)/12,IF('Operating Assumptions'!$L14="$/Unit/Month",('Operating Assumptions'!$M14*DE$25)*DE$36,IF('Operating Assumptions'!$L14="Fixed Amount",('Operating Assumptions'!$M14*DE$25)/12,IF('Operating Assumptions'!$L14="$/GSF",(('Operating Assumptions'!$M14*DE$25)*'Operating Assumptions'!$D$11)/12,IF('Operating Assumptions'!$L14="$/NSF",(('Operating Assumptions'!$M14*DE$25)*'Operating Assumptions'!$D$12)/12))))))))</f>
        <v>0</v>
      </c>
      <c r="DF86" s="427">
        <f>-IF(DF$9&lt;'Operating Assumptions'!$D$53,0,IF(DF$6&gt;'Operating Assumptions'!$AA$8,0,IF('Operating Assumptions'!$L14="N/A",0,IF('Operating Assumptions'!$L14="$/Unit/Annual",(('Operating Assumptions'!$M14*DF$25)*DF$36)/12,IF('Operating Assumptions'!$L14="$/Unit/Month",('Operating Assumptions'!$M14*DF$25)*DF$36,IF('Operating Assumptions'!$L14="Fixed Amount",('Operating Assumptions'!$M14*DF$25)/12,IF('Operating Assumptions'!$L14="$/GSF",(('Operating Assumptions'!$M14*DF$25)*'Operating Assumptions'!$D$11)/12,IF('Operating Assumptions'!$L14="$/NSF",(('Operating Assumptions'!$M14*DF$25)*'Operating Assumptions'!$D$12)/12))))))))</f>
        <v>0</v>
      </c>
      <c r="DG86" s="427">
        <f>-IF(DG$9&lt;'Operating Assumptions'!$D$53,0,IF(DG$6&gt;'Operating Assumptions'!$AA$8,0,IF('Operating Assumptions'!$L14="N/A",0,IF('Operating Assumptions'!$L14="$/Unit/Annual",(('Operating Assumptions'!$M14*DG$25)*DG$36)/12,IF('Operating Assumptions'!$L14="$/Unit/Month",('Operating Assumptions'!$M14*DG$25)*DG$36,IF('Operating Assumptions'!$L14="Fixed Amount",('Operating Assumptions'!$M14*DG$25)/12,IF('Operating Assumptions'!$L14="$/GSF",(('Operating Assumptions'!$M14*DG$25)*'Operating Assumptions'!$D$11)/12,IF('Operating Assumptions'!$L14="$/NSF",(('Operating Assumptions'!$M14*DG$25)*'Operating Assumptions'!$D$12)/12))))))))</f>
        <v>0</v>
      </c>
      <c r="DH86" s="427">
        <f>-IF(DH$9&lt;'Operating Assumptions'!$D$53,0,IF(DH$6&gt;'Operating Assumptions'!$AA$8,0,IF('Operating Assumptions'!$L14="N/A",0,IF('Operating Assumptions'!$L14="$/Unit/Annual",(('Operating Assumptions'!$M14*DH$25)*DH$36)/12,IF('Operating Assumptions'!$L14="$/Unit/Month",('Operating Assumptions'!$M14*DH$25)*DH$36,IF('Operating Assumptions'!$L14="Fixed Amount",('Operating Assumptions'!$M14*DH$25)/12,IF('Operating Assumptions'!$L14="$/GSF",(('Operating Assumptions'!$M14*DH$25)*'Operating Assumptions'!$D$11)/12,IF('Operating Assumptions'!$L14="$/NSF",(('Operating Assumptions'!$M14*DH$25)*'Operating Assumptions'!$D$12)/12))))))))</f>
        <v>0</v>
      </c>
      <c r="DI86" s="427">
        <f>-IF(DI$9&lt;'Operating Assumptions'!$D$53,0,IF(DI$6&gt;'Operating Assumptions'!$AA$8,0,IF('Operating Assumptions'!$L14="N/A",0,IF('Operating Assumptions'!$L14="$/Unit/Annual",(('Operating Assumptions'!$M14*DI$25)*DI$36)/12,IF('Operating Assumptions'!$L14="$/Unit/Month",('Operating Assumptions'!$M14*DI$25)*DI$36,IF('Operating Assumptions'!$L14="Fixed Amount",('Operating Assumptions'!$M14*DI$25)/12,IF('Operating Assumptions'!$L14="$/GSF",(('Operating Assumptions'!$M14*DI$25)*'Operating Assumptions'!$D$11)/12,IF('Operating Assumptions'!$L14="$/NSF",(('Operating Assumptions'!$M14*DI$25)*'Operating Assumptions'!$D$12)/12))))))))</f>
        <v>0</v>
      </c>
      <c r="DJ86" s="427">
        <f>-IF(DJ$9&lt;'Operating Assumptions'!$D$53,0,IF(DJ$6&gt;'Operating Assumptions'!$AA$8,0,IF('Operating Assumptions'!$L14="N/A",0,IF('Operating Assumptions'!$L14="$/Unit/Annual",(('Operating Assumptions'!$M14*DJ$25)*DJ$36)/12,IF('Operating Assumptions'!$L14="$/Unit/Month",('Operating Assumptions'!$M14*DJ$25)*DJ$36,IF('Operating Assumptions'!$L14="Fixed Amount",('Operating Assumptions'!$M14*DJ$25)/12,IF('Operating Assumptions'!$L14="$/GSF",(('Operating Assumptions'!$M14*DJ$25)*'Operating Assumptions'!$D$11)/12,IF('Operating Assumptions'!$L14="$/NSF",(('Operating Assumptions'!$M14*DJ$25)*'Operating Assumptions'!$D$12)/12))))))))</f>
        <v>0</v>
      </c>
      <c r="DK86" s="427">
        <f>-IF(DK$9&lt;'Operating Assumptions'!$D$53,0,IF(DK$6&gt;'Operating Assumptions'!$AA$8,0,IF('Operating Assumptions'!$L14="N/A",0,IF('Operating Assumptions'!$L14="$/Unit/Annual",(('Operating Assumptions'!$M14*DK$25)*DK$36)/12,IF('Operating Assumptions'!$L14="$/Unit/Month",('Operating Assumptions'!$M14*DK$25)*DK$36,IF('Operating Assumptions'!$L14="Fixed Amount",('Operating Assumptions'!$M14*DK$25)/12,IF('Operating Assumptions'!$L14="$/GSF",(('Operating Assumptions'!$M14*DK$25)*'Operating Assumptions'!$D$11)/12,IF('Operating Assumptions'!$L14="$/NSF",(('Operating Assumptions'!$M14*DK$25)*'Operating Assumptions'!$D$12)/12))))))))</f>
        <v>0</v>
      </c>
      <c r="DL86" s="427">
        <f>-IF(DL$9&lt;'Operating Assumptions'!$D$53,0,IF(DL$6&gt;'Operating Assumptions'!$AA$8,0,IF('Operating Assumptions'!$L14="N/A",0,IF('Operating Assumptions'!$L14="$/Unit/Annual",(('Operating Assumptions'!$M14*DL$25)*DL$36)/12,IF('Operating Assumptions'!$L14="$/Unit/Month",('Operating Assumptions'!$M14*DL$25)*DL$36,IF('Operating Assumptions'!$L14="Fixed Amount",('Operating Assumptions'!$M14*DL$25)/12,IF('Operating Assumptions'!$L14="$/GSF",(('Operating Assumptions'!$M14*DL$25)*'Operating Assumptions'!$D$11)/12,IF('Operating Assumptions'!$L14="$/NSF",(('Operating Assumptions'!$M14*DL$25)*'Operating Assumptions'!$D$12)/12))))))))</f>
        <v>0</v>
      </c>
      <c r="DM86" s="427">
        <f>-IF(DM$9&lt;'Operating Assumptions'!$D$53,0,IF(DM$6&gt;'Operating Assumptions'!$AA$8,0,IF('Operating Assumptions'!$L14="N/A",0,IF('Operating Assumptions'!$L14="$/Unit/Annual",(('Operating Assumptions'!$M14*DM$25)*DM$36)/12,IF('Operating Assumptions'!$L14="$/Unit/Month",('Operating Assumptions'!$M14*DM$25)*DM$36,IF('Operating Assumptions'!$L14="Fixed Amount",('Operating Assumptions'!$M14*DM$25)/12,IF('Operating Assumptions'!$L14="$/GSF",(('Operating Assumptions'!$M14*DM$25)*'Operating Assumptions'!$D$11)/12,IF('Operating Assumptions'!$L14="$/NSF",(('Operating Assumptions'!$M14*DM$25)*'Operating Assumptions'!$D$12)/12))))))))</f>
        <v>0</v>
      </c>
      <c r="DN86" s="427">
        <f>-IF(DN$9&lt;'Operating Assumptions'!$D$53,0,IF(DN$6&gt;'Operating Assumptions'!$AA$8,0,IF('Operating Assumptions'!$L14="N/A",0,IF('Operating Assumptions'!$L14="$/Unit/Annual",(('Operating Assumptions'!$M14*DN$25)*DN$36)/12,IF('Operating Assumptions'!$L14="$/Unit/Month",('Operating Assumptions'!$M14*DN$25)*DN$36,IF('Operating Assumptions'!$L14="Fixed Amount",('Operating Assumptions'!$M14*DN$25)/12,IF('Operating Assumptions'!$L14="$/GSF",(('Operating Assumptions'!$M14*DN$25)*'Operating Assumptions'!$D$11)/12,IF('Operating Assumptions'!$L14="$/NSF",(('Operating Assumptions'!$M14*DN$25)*'Operating Assumptions'!$D$12)/12))))))))</f>
        <v>0</v>
      </c>
      <c r="DO86" s="427">
        <f>-IF(DO$9&lt;'Operating Assumptions'!$D$53,0,IF(DO$6&gt;'Operating Assumptions'!$AA$8,0,IF('Operating Assumptions'!$L14="N/A",0,IF('Operating Assumptions'!$L14="$/Unit/Annual",(('Operating Assumptions'!$M14*DO$25)*DO$36)/12,IF('Operating Assumptions'!$L14="$/Unit/Month",('Operating Assumptions'!$M14*DO$25)*DO$36,IF('Operating Assumptions'!$L14="Fixed Amount",('Operating Assumptions'!$M14*DO$25)/12,IF('Operating Assumptions'!$L14="$/GSF",(('Operating Assumptions'!$M14*DO$25)*'Operating Assumptions'!$D$11)/12,IF('Operating Assumptions'!$L14="$/NSF",(('Operating Assumptions'!$M14*DO$25)*'Operating Assumptions'!$D$12)/12))))))))</f>
        <v>0</v>
      </c>
      <c r="DP86" s="427">
        <f>-IF(DP$9&lt;'Operating Assumptions'!$D$53,0,IF(DP$6&gt;'Operating Assumptions'!$AA$8,0,IF('Operating Assumptions'!$L14="N/A",0,IF('Operating Assumptions'!$L14="$/Unit/Annual",(('Operating Assumptions'!$M14*DP$25)*DP$36)/12,IF('Operating Assumptions'!$L14="$/Unit/Month",('Operating Assumptions'!$M14*DP$25)*DP$36,IF('Operating Assumptions'!$L14="Fixed Amount",('Operating Assumptions'!$M14*DP$25)/12,IF('Operating Assumptions'!$L14="$/GSF",(('Operating Assumptions'!$M14*DP$25)*'Operating Assumptions'!$D$11)/12,IF('Operating Assumptions'!$L14="$/NSF",(('Operating Assumptions'!$M14*DP$25)*'Operating Assumptions'!$D$12)/12))))))))</f>
        <v>0</v>
      </c>
      <c r="DQ86" s="427">
        <f>-IF(DQ$9&lt;'Operating Assumptions'!$D$53,0,IF(DQ$6&gt;'Operating Assumptions'!$AA$8,0,IF('Operating Assumptions'!$L14="N/A",0,IF('Operating Assumptions'!$L14="$/Unit/Annual",(('Operating Assumptions'!$M14*DQ$25)*DQ$36)/12,IF('Operating Assumptions'!$L14="$/Unit/Month",('Operating Assumptions'!$M14*DQ$25)*DQ$36,IF('Operating Assumptions'!$L14="Fixed Amount",('Operating Assumptions'!$M14*DQ$25)/12,IF('Operating Assumptions'!$L14="$/GSF",(('Operating Assumptions'!$M14*DQ$25)*'Operating Assumptions'!$D$11)/12,IF('Operating Assumptions'!$L14="$/NSF",(('Operating Assumptions'!$M14*DQ$25)*'Operating Assumptions'!$D$12)/12))))))))</f>
        <v>0</v>
      </c>
      <c r="DR86" s="427">
        <f>-IF(DR$9&lt;'Operating Assumptions'!$D$53,0,IF(DR$6&gt;'Operating Assumptions'!$AA$8,0,IF('Operating Assumptions'!$L14="N/A",0,IF('Operating Assumptions'!$L14="$/Unit/Annual",(('Operating Assumptions'!$M14*DR$25)*DR$36)/12,IF('Operating Assumptions'!$L14="$/Unit/Month",('Operating Assumptions'!$M14*DR$25)*DR$36,IF('Operating Assumptions'!$L14="Fixed Amount",('Operating Assumptions'!$M14*DR$25)/12,IF('Operating Assumptions'!$L14="$/GSF",(('Operating Assumptions'!$M14*DR$25)*'Operating Assumptions'!$D$11)/12,IF('Operating Assumptions'!$L14="$/NSF",(('Operating Assumptions'!$M14*DR$25)*'Operating Assumptions'!$D$12)/12))))))))</f>
        <v>0</v>
      </c>
      <c r="DS86" s="427">
        <f>-IF(DS$9&lt;'Operating Assumptions'!$D$53,0,IF(DS$6&gt;'Operating Assumptions'!$AA$8,0,IF('Operating Assumptions'!$L14="N/A",0,IF('Operating Assumptions'!$L14="$/Unit/Annual",(('Operating Assumptions'!$M14*DS$25)*DS$36)/12,IF('Operating Assumptions'!$L14="$/Unit/Month",('Operating Assumptions'!$M14*DS$25)*DS$36,IF('Operating Assumptions'!$L14="Fixed Amount",('Operating Assumptions'!$M14*DS$25)/12,IF('Operating Assumptions'!$L14="$/GSF",(('Operating Assumptions'!$M14*DS$25)*'Operating Assumptions'!$D$11)/12,IF('Operating Assumptions'!$L14="$/NSF",(('Operating Assumptions'!$M14*DS$25)*'Operating Assumptions'!$D$12)/12))))))))</f>
        <v>0</v>
      </c>
      <c r="DT86" s="427">
        <f>-IF(DT$9&lt;'Operating Assumptions'!$D$53,0,IF(DT$6&gt;'Operating Assumptions'!$AA$8,0,IF('Operating Assumptions'!$L14="N/A",0,IF('Operating Assumptions'!$L14="$/Unit/Annual",(('Operating Assumptions'!$M14*DT$25)*DT$36)/12,IF('Operating Assumptions'!$L14="$/Unit/Month",('Operating Assumptions'!$M14*DT$25)*DT$36,IF('Operating Assumptions'!$L14="Fixed Amount",('Operating Assumptions'!$M14*DT$25)/12,IF('Operating Assumptions'!$L14="$/GSF",(('Operating Assumptions'!$M14*DT$25)*'Operating Assumptions'!$D$11)/12,IF('Operating Assumptions'!$L14="$/NSF",(('Operating Assumptions'!$M14*DT$25)*'Operating Assumptions'!$D$12)/12))))))))</f>
        <v>0</v>
      </c>
      <c r="DU86" s="427">
        <f>-IF(DU$9&lt;'Operating Assumptions'!$D$53,0,IF(DU$6&gt;'Operating Assumptions'!$AA$8,0,IF('Operating Assumptions'!$L14="N/A",0,IF('Operating Assumptions'!$L14="$/Unit/Annual",(('Operating Assumptions'!$M14*DU$25)*DU$36)/12,IF('Operating Assumptions'!$L14="$/Unit/Month",('Operating Assumptions'!$M14*DU$25)*DU$36,IF('Operating Assumptions'!$L14="Fixed Amount",('Operating Assumptions'!$M14*DU$25)/12,IF('Operating Assumptions'!$L14="$/GSF",(('Operating Assumptions'!$M14*DU$25)*'Operating Assumptions'!$D$11)/12,IF('Operating Assumptions'!$L14="$/NSF",(('Operating Assumptions'!$M14*DU$25)*'Operating Assumptions'!$D$12)/12))))))))</f>
        <v>0</v>
      </c>
      <c r="DV86" s="427">
        <f>-IF(DV$9&lt;'Operating Assumptions'!$D$53,0,IF(DV$6&gt;'Operating Assumptions'!$AA$8,0,IF('Operating Assumptions'!$L14="N/A",0,IF('Operating Assumptions'!$L14="$/Unit/Annual",(('Operating Assumptions'!$M14*DV$25)*DV$36)/12,IF('Operating Assumptions'!$L14="$/Unit/Month",('Operating Assumptions'!$M14*DV$25)*DV$36,IF('Operating Assumptions'!$L14="Fixed Amount",('Operating Assumptions'!$M14*DV$25)/12,IF('Operating Assumptions'!$L14="$/GSF",(('Operating Assumptions'!$M14*DV$25)*'Operating Assumptions'!$D$11)/12,IF('Operating Assumptions'!$L14="$/NSF",(('Operating Assumptions'!$M14*DV$25)*'Operating Assumptions'!$D$12)/12))))))))</f>
        <v>0</v>
      </c>
      <c r="DW86" s="427">
        <f>-IF(DW$9&lt;'Operating Assumptions'!$D$53,0,IF(DW$6&gt;'Operating Assumptions'!$AA$8,0,IF('Operating Assumptions'!$L14="N/A",0,IF('Operating Assumptions'!$L14="$/Unit/Annual",(('Operating Assumptions'!$M14*DW$25)*DW$36)/12,IF('Operating Assumptions'!$L14="$/Unit/Month",('Operating Assumptions'!$M14*DW$25)*DW$36,IF('Operating Assumptions'!$L14="Fixed Amount",('Operating Assumptions'!$M14*DW$25)/12,IF('Operating Assumptions'!$L14="$/GSF",(('Operating Assumptions'!$M14*DW$25)*'Operating Assumptions'!$D$11)/12,IF('Operating Assumptions'!$L14="$/NSF",(('Operating Assumptions'!$M14*DW$25)*'Operating Assumptions'!$D$12)/12))))))))</f>
        <v>0</v>
      </c>
      <c r="DX86" s="427">
        <f>-IF(DX$9&lt;'Operating Assumptions'!$D$53,0,IF(DX$6&gt;'Operating Assumptions'!$AA$8,0,IF('Operating Assumptions'!$L14="N/A",0,IF('Operating Assumptions'!$L14="$/Unit/Annual",(('Operating Assumptions'!$M14*DX$25)*DX$36)/12,IF('Operating Assumptions'!$L14="$/Unit/Month",('Operating Assumptions'!$M14*DX$25)*DX$36,IF('Operating Assumptions'!$L14="Fixed Amount",('Operating Assumptions'!$M14*DX$25)/12,IF('Operating Assumptions'!$L14="$/GSF",(('Operating Assumptions'!$M14*DX$25)*'Operating Assumptions'!$D$11)/12,IF('Operating Assumptions'!$L14="$/NSF",(('Operating Assumptions'!$M14*DX$25)*'Operating Assumptions'!$D$12)/12))))))))</f>
        <v>0</v>
      </c>
      <c r="DY86" s="427">
        <f>-IF(DY$9&lt;'Operating Assumptions'!$D$53,0,IF(DY$6&gt;'Operating Assumptions'!$AA$8,0,IF('Operating Assumptions'!$L14="N/A",0,IF('Operating Assumptions'!$L14="$/Unit/Annual",(('Operating Assumptions'!$M14*DY$25)*DY$36)/12,IF('Operating Assumptions'!$L14="$/Unit/Month",('Operating Assumptions'!$M14*DY$25)*DY$36,IF('Operating Assumptions'!$L14="Fixed Amount",('Operating Assumptions'!$M14*DY$25)/12,IF('Operating Assumptions'!$L14="$/GSF",(('Operating Assumptions'!$M14*DY$25)*'Operating Assumptions'!$D$11)/12,IF('Operating Assumptions'!$L14="$/NSF",(('Operating Assumptions'!$M14*DY$25)*'Operating Assumptions'!$D$12)/12))))))))</f>
        <v>0</v>
      </c>
      <c r="DZ86" s="427">
        <f>-IF(DZ$9&lt;'Operating Assumptions'!$D$53,0,IF(DZ$6&gt;'Operating Assumptions'!$AA$8,0,IF('Operating Assumptions'!$L14="N/A",0,IF('Operating Assumptions'!$L14="$/Unit/Annual",(('Operating Assumptions'!$M14*DZ$25)*DZ$36)/12,IF('Operating Assumptions'!$L14="$/Unit/Month",('Operating Assumptions'!$M14*DZ$25)*DZ$36,IF('Operating Assumptions'!$L14="Fixed Amount",('Operating Assumptions'!$M14*DZ$25)/12,IF('Operating Assumptions'!$L14="$/GSF",(('Operating Assumptions'!$M14*DZ$25)*'Operating Assumptions'!$D$11)/12,IF('Operating Assumptions'!$L14="$/NSF",(('Operating Assumptions'!$M14*DZ$25)*'Operating Assumptions'!$D$12)/12))))))))</f>
        <v>0</v>
      </c>
      <c r="EA86" s="427">
        <f>-IF(EA$9&lt;'Operating Assumptions'!$D$53,0,IF(EA$6&gt;'Operating Assumptions'!$AA$8,0,IF('Operating Assumptions'!$L14="N/A",0,IF('Operating Assumptions'!$L14="$/Unit/Annual",(('Operating Assumptions'!$M14*EA$25)*EA$36)/12,IF('Operating Assumptions'!$L14="$/Unit/Month",('Operating Assumptions'!$M14*EA$25)*EA$36,IF('Operating Assumptions'!$L14="Fixed Amount",('Operating Assumptions'!$M14*EA$25)/12,IF('Operating Assumptions'!$L14="$/GSF",(('Operating Assumptions'!$M14*EA$25)*'Operating Assumptions'!$D$11)/12,IF('Operating Assumptions'!$L14="$/NSF",(('Operating Assumptions'!$M14*EA$25)*'Operating Assumptions'!$D$12)/12))))))))</f>
        <v>0</v>
      </c>
      <c r="EB86" s="427">
        <f>-IF(EB$9&lt;'Operating Assumptions'!$D$53,0,IF(EB$6&gt;'Operating Assumptions'!$AA$8,0,IF('Operating Assumptions'!$L14="N/A",0,IF('Operating Assumptions'!$L14="$/Unit/Annual",(('Operating Assumptions'!$M14*EB$25)*EB$36)/12,IF('Operating Assumptions'!$L14="$/Unit/Month",('Operating Assumptions'!$M14*EB$25)*EB$36,IF('Operating Assumptions'!$L14="Fixed Amount",('Operating Assumptions'!$M14*EB$25)/12,IF('Operating Assumptions'!$L14="$/GSF",(('Operating Assumptions'!$M14*EB$25)*'Operating Assumptions'!$D$11)/12,IF('Operating Assumptions'!$L14="$/NSF",(('Operating Assumptions'!$M14*EB$25)*'Operating Assumptions'!$D$12)/12))))))))</f>
        <v>0</v>
      </c>
      <c r="EC86" s="427">
        <f>-IF(EC$9&lt;'Operating Assumptions'!$D$53,0,IF(EC$6&gt;'Operating Assumptions'!$AA$8,0,IF('Operating Assumptions'!$L14="N/A",0,IF('Operating Assumptions'!$L14="$/Unit/Annual",(('Operating Assumptions'!$M14*EC$25)*EC$36)/12,IF('Operating Assumptions'!$L14="$/Unit/Month",('Operating Assumptions'!$M14*EC$25)*EC$36,IF('Operating Assumptions'!$L14="Fixed Amount",('Operating Assumptions'!$M14*EC$25)/12,IF('Operating Assumptions'!$L14="$/GSF",(('Operating Assumptions'!$M14*EC$25)*'Operating Assumptions'!$D$11)/12,IF('Operating Assumptions'!$L14="$/NSF",(('Operating Assumptions'!$M14*EC$25)*'Operating Assumptions'!$D$12)/12))))))))</f>
        <v>0</v>
      </c>
      <c r="ED86" s="427">
        <f>-IF(ED$9&lt;'Operating Assumptions'!$D$53,0,IF(ED$6&gt;'Operating Assumptions'!$AA$8,0,IF('Operating Assumptions'!$L14="N/A",0,IF('Operating Assumptions'!$L14="$/Unit/Annual",(('Operating Assumptions'!$M14*ED$25)*ED$36)/12,IF('Operating Assumptions'!$L14="$/Unit/Month",('Operating Assumptions'!$M14*ED$25)*ED$36,IF('Operating Assumptions'!$L14="Fixed Amount",('Operating Assumptions'!$M14*ED$25)/12,IF('Operating Assumptions'!$L14="$/GSF",(('Operating Assumptions'!$M14*ED$25)*'Operating Assumptions'!$D$11)/12,IF('Operating Assumptions'!$L14="$/NSF",(('Operating Assumptions'!$M14*ED$25)*'Operating Assumptions'!$D$12)/12))))))))</f>
        <v>0</v>
      </c>
      <c r="EE86" s="427">
        <f>-IF(EE$9&lt;'Operating Assumptions'!$D$53,0,IF(EE$6&gt;'Operating Assumptions'!$AA$8,0,IF('Operating Assumptions'!$L14="N/A",0,IF('Operating Assumptions'!$L14="$/Unit/Annual",(('Operating Assumptions'!$M14*EE$25)*EE$36)/12,IF('Operating Assumptions'!$L14="$/Unit/Month",('Operating Assumptions'!$M14*EE$25)*EE$36,IF('Operating Assumptions'!$L14="Fixed Amount",('Operating Assumptions'!$M14*EE$25)/12,IF('Operating Assumptions'!$L14="$/GSF",(('Operating Assumptions'!$M14*EE$25)*'Operating Assumptions'!$D$11)/12,IF('Operating Assumptions'!$L14="$/NSF",(('Operating Assumptions'!$M14*EE$25)*'Operating Assumptions'!$D$12)/12))))))))</f>
        <v>0</v>
      </c>
      <c r="EF86" s="427">
        <f>-IF(EF$9&lt;'Operating Assumptions'!$D$53,0,IF(EF$6&gt;'Operating Assumptions'!$AA$8,0,IF('Operating Assumptions'!$L14="N/A",0,IF('Operating Assumptions'!$L14="$/Unit/Annual",(('Operating Assumptions'!$M14*EF$25)*EF$36)/12,IF('Operating Assumptions'!$L14="$/Unit/Month",('Operating Assumptions'!$M14*EF$25)*EF$36,IF('Operating Assumptions'!$L14="Fixed Amount",('Operating Assumptions'!$M14*EF$25)/12,IF('Operating Assumptions'!$L14="$/GSF",(('Operating Assumptions'!$M14*EF$25)*'Operating Assumptions'!$D$11)/12,IF('Operating Assumptions'!$L14="$/NSF",(('Operating Assumptions'!$M14*EF$25)*'Operating Assumptions'!$D$12)/12))))))))</f>
        <v>0</v>
      </c>
      <c r="EG86" s="427">
        <f>-IF(EG$9&lt;'Operating Assumptions'!$D$53,0,IF(EG$6&gt;'Operating Assumptions'!$AA$8,0,IF('Operating Assumptions'!$L14="N/A",0,IF('Operating Assumptions'!$L14="$/Unit/Annual",(('Operating Assumptions'!$M14*EG$25)*EG$36)/12,IF('Operating Assumptions'!$L14="$/Unit/Month",('Operating Assumptions'!$M14*EG$25)*EG$36,IF('Operating Assumptions'!$L14="Fixed Amount",('Operating Assumptions'!$M14*EG$25)/12,IF('Operating Assumptions'!$L14="$/GSF",(('Operating Assumptions'!$M14*EG$25)*'Operating Assumptions'!$D$11)/12,IF('Operating Assumptions'!$L14="$/NSF",(('Operating Assumptions'!$M14*EG$25)*'Operating Assumptions'!$D$12)/12))))))))</f>
        <v>0</v>
      </c>
      <c r="EH86" s="427">
        <f>-IF(EH$9&lt;'Operating Assumptions'!$D$53,0,IF(EH$6&gt;'Operating Assumptions'!$AA$8,0,IF('Operating Assumptions'!$L14="N/A",0,IF('Operating Assumptions'!$L14="$/Unit/Annual",(('Operating Assumptions'!$M14*EH$25)*EH$36)/12,IF('Operating Assumptions'!$L14="$/Unit/Month",('Operating Assumptions'!$M14*EH$25)*EH$36,IF('Operating Assumptions'!$L14="Fixed Amount",('Operating Assumptions'!$M14*EH$25)/12,IF('Operating Assumptions'!$L14="$/GSF",(('Operating Assumptions'!$M14*EH$25)*'Operating Assumptions'!$D$11)/12,IF('Operating Assumptions'!$L14="$/NSF",(('Operating Assumptions'!$M14*EH$25)*'Operating Assumptions'!$D$12)/12))))))))</f>
        <v>0</v>
      </c>
      <c r="EI86" s="427">
        <f>-IF(EI$9&lt;'Operating Assumptions'!$D$53,0,IF(EI$6&gt;'Operating Assumptions'!$AA$8,0,IF('Operating Assumptions'!$L14="N/A",0,IF('Operating Assumptions'!$L14="$/Unit/Annual",(('Operating Assumptions'!$M14*EI$25)*EI$36)/12,IF('Operating Assumptions'!$L14="$/Unit/Month",('Operating Assumptions'!$M14*EI$25)*EI$36,IF('Operating Assumptions'!$L14="Fixed Amount",('Operating Assumptions'!$M14*EI$25)/12,IF('Operating Assumptions'!$L14="$/GSF",(('Operating Assumptions'!$M14*EI$25)*'Operating Assumptions'!$D$11)/12,IF('Operating Assumptions'!$L14="$/NSF",(('Operating Assumptions'!$M14*EI$25)*'Operating Assumptions'!$D$12)/12))))))))</f>
        <v>0</v>
      </c>
      <c r="EJ86" s="427">
        <f>-IF(EJ$9&lt;'Operating Assumptions'!$D$53,0,IF(EJ$6&gt;'Operating Assumptions'!$AA$8,0,IF('Operating Assumptions'!$L14="N/A",0,IF('Operating Assumptions'!$L14="$/Unit/Annual",(('Operating Assumptions'!$M14*EJ$25)*EJ$36)/12,IF('Operating Assumptions'!$L14="$/Unit/Month",('Operating Assumptions'!$M14*EJ$25)*EJ$36,IF('Operating Assumptions'!$L14="Fixed Amount",('Operating Assumptions'!$M14*EJ$25)/12,IF('Operating Assumptions'!$L14="$/GSF",(('Operating Assumptions'!$M14*EJ$25)*'Operating Assumptions'!$D$11)/12,IF('Operating Assumptions'!$L14="$/NSF",(('Operating Assumptions'!$M14*EJ$25)*'Operating Assumptions'!$D$12)/12))))))))</f>
        <v>0</v>
      </c>
      <c r="EK86" s="427">
        <f>-IF(EK$9&lt;'Operating Assumptions'!$D$53,0,IF(EK$6&gt;'Operating Assumptions'!$AA$8,0,IF('Operating Assumptions'!$L14="N/A",0,IF('Operating Assumptions'!$L14="$/Unit/Annual",(('Operating Assumptions'!$M14*EK$25)*EK$36)/12,IF('Operating Assumptions'!$L14="$/Unit/Month",('Operating Assumptions'!$M14*EK$25)*EK$36,IF('Operating Assumptions'!$L14="Fixed Amount",('Operating Assumptions'!$M14*EK$25)/12,IF('Operating Assumptions'!$L14="$/GSF",(('Operating Assumptions'!$M14*EK$25)*'Operating Assumptions'!$D$11)/12,IF('Operating Assumptions'!$L14="$/NSF",(('Operating Assumptions'!$M14*EK$25)*'Operating Assumptions'!$D$12)/12))))))))</f>
        <v>0</v>
      </c>
      <c r="EL86" s="427">
        <f>-IF(EL$9&lt;'Operating Assumptions'!$D$53,0,IF(EL$6&gt;'Operating Assumptions'!$AA$8,0,IF('Operating Assumptions'!$L14="N/A",0,IF('Operating Assumptions'!$L14="$/Unit/Annual",(('Operating Assumptions'!$M14*EL$25)*EL$36)/12,IF('Operating Assumptions'!$L14="$/Unit/Month",('Operating Assumptions'!$M14*EL$25)*EL$36,IF('Operating Assumptions'!$L14="Fixed Amount",('Operating Assumptions'!$M14*EL$25)/12,IF('Operating Assumptions'!$L14="$/GSF",(('Operating Assumptions'!$M14*EL$25)*'Operating Assumptions'!$D$11)/12,IF('Operating Assumptions'!$L14="$/NSF",(('Operating Assumptions'!$M14*EL$25)*'Operating Assumptions'!$D$12)/12))))))))</f>
        <v>0</v>
      </c>
      <c r="EM86" s="427">
        <f>-IF(EM$9&lt;'Operating Assumptions'!$D$53,0,IF(EM$6&gt;'Operating Assumptions'!$AA$8,0,IF('Operating Assumptions'!$L14="N/A",0,IF('Operating Assumptions'!$L14="$/Unit/Annual",(('Operating Assumptions'!$M14*EM$25)*EM$36)/12,IF('Operating Assumptions'!$L14="$/Unit/Month",('Operating Assumptions'!$M14*EM$25)*EM$36,IF('Operating Assumptions'!$L14="Fixed Amount",('Operating Assumptions'!$M14*EM$25)/12,IF('Operating Assumptions'!$L14="$/GSF",(('Operating Assumptions'!$M14*EM$25)*'Operating Assumptions'!$D$11)/12,IF('Operating Assumptions'!$L14="$/NSF",(('Operating Assumptions'!$M14*EM$25)*'Operating Assumptions'!$D$12)/12))))))))</f>
        <v>0</v>
      </c>
      <c r="EN86" s="427">
        <f>-IF(EN$9&lt;'Operating Assumptions'!$D$53,0,IF(EN$6&gt;'Operating Assumptions'!$AA$8,0,IF('Operating Assumptions'!$L14="N/A",0,IF('Operating Assumptions'!$L14="$/Unit/Annual",(('Operating Assumptions'!$M14*EN$25)*EN$36)/12,IF('Operating Assumptions'!$L14="$/Unit/Month",('Operating Assumptions'!$M14*EN$25)*EN$36,IF('Operating Assumptions'!$L14="Fixed Amount",('Operating Assumptions'!$M14*EN$25)/12,IF('Operating Assumptions'!$L14="$/GSF",(('Operating Assumptions'!$M14*EN$25)*'Operating Assumptions'!$D$11)/12,IF('Operating Assumptions'!$L14="$/NSF",(('Operating Assumptions'!$M14*EN$25)*'Operating Assumptions'!$D$12)/12))))))))</f>
        <v>0</v>
      </c>
      <c r="EO86" s="427">
        <f>-IF(EO$9&lt;'Operating Assumptions'!$D$53,0,IF(EO$6&gt;'Operating Assumptions'!$AA$8,0,IF('Operating Assumptions'!$L14="N/A",0,IF('Operating Assumptions'!$L14="$/Unit/Annual",(('Operating Assumptions'!$M14*EO$25)*EO$36)/12,IF('Operating Assumptions'!$L14="$/Unit/Month",('Operating Assumptions'!$M14*EO$25)*EO$36,IF('Operating Assumptions'!$L14="Fixed Amount",('Operating Assumptions'!$M14*EO$25)/12,IF('Operating Assumptions'!$L14="$/GSF",(('Operating Assumptions'!$M14*EO$25)*'Operating Assumptions'!$D$11)/12,IF('Operating Assumptions'!$L14="$/NSF",(('Operating Assumptions'!$M14*EO$25)*'Operating Assumptions'!$D$12)/12))))))))</f>
        <v>0</v>
      </c>
      <c r="EP86" s="427">
        <f>-IF(EP$9&lt;'Operating Assumptions'!$D$53,0,IF(EP$6&gt;'Operating Assumptions'!$AA$8,0,IF('Operating Assumptions'!$L14="N/A",0,IF('Operating Assumptions'!$L14="$/Unit/Annual",(('Operating Assumptions'!$M14*EP$25)*EP$36)/12,IF('Operating Assumptions'!$L14="$/Unit/Month",('Operating Assumptions'!$M14*EP$25)*EP$36,IF('Operating Assumptions'!$L14="Fixed Amount",('Operating Assumptions'!$M14*EP$25)/12,IF('Operating Assumptions'!$L14="$/GSF",(('Operating Assumptions'!$M14*EP$25)*'Operating Assumptions'!$D$11)/12,IF('Operating Assumptions'!$L14="$/NSF",(('Operating Assumptions'!$M14*EP$25)*'Operating Assumptions'!$D$12)/12))))))))</f>
        <v>0</v>
      </c>
      <c r="EQ86" s="427">
        <f>-IF(EQ$9&lt;'Operating Assumptions'!$D$53,0,IF(EQ$6&gt;'Operating Assumptions'!$AA$8,0,IF('Operating Assumptions'!$L14="N/A",0,IF('Operating Assumptions'!$L14="$/Unit/Annual",(('Operating Assumptions'!$M14*EQ$25)*EQ$36)/12,IF('Operating Assumptions'!$L14="$/Unit/Month",('Operating Assumptions'!$M14*EQ$25)*EQ$36,IF('Operating Assumptions'!$L14="Fixed Amount",('Operating Assumptions'!$M14*EQ$25)/12,IF('Operating Assumptions'!$L14="$/GSF",(('Operating Assumptions'!$M14*EQ$25)*'Operating Assumptions'!$D$11)/12,IF('Operating Assumptions'!$L14="$/NSF",(('Operating Assumptions'!$M14*EQ$25)*'Operating Assumptions'!$D$12)/12))))))))</f>
        <v>0</v>
      </c>
      <c r="ER86" s="427">
        <f>-IF(ER$9&lt;'Operating Assumptions'!$D$53,0,IF(ER$6&gt;'Operating Assumptions'!$AA$8,0,IF('Operating Assumptions'!$L14="N/A",0,IF('Operating Assumptions'!$L14="$/Unit/Annual",(('Operating Assumptions'!$M14*ER$25)*ER$36)/12,IF('Operating Assumptions'!$L14="$/Unit/Month",('Operating Assumptions'!$M14*ER$25)*ER$36,IF('Operating Assumptions'!$L14="Fixed Amount",('Operating Assumptions'!$M14*ER$25)/12,IF('Operating Assumptions'!$L14="$/GSF",(('Operating Assumptions'!$M14*ER$25)*'Operating Assumptions'!$D$11)/12,IF('Operating Assumptions'!$L14="$/NSF",(('Operating Assumptions'!$M14*ER$25)*'Operating Assumptions'!$D$12)/12))))))))</f>
        <v>0</v>
      </c>
      <c r="ES86" s="427">
        <f>-IF(ES$9&lt;'Operating Assumptions'!$D$53,0,IF(ES$6&gt;'Operating Assumptions'!$AA$8,0,IF('Operating Assumptions'!$L14="N/A",0,IF('Operating Assumptions'!$L14="$/Unit/Annual",(('Operating Assumptions'!$M14*ES$25)*ES$36)/12,IF('Operating Assumptions'!$L14="$/Unit/Month",('Operating Assumptions'!$M14*ES$25)*ES$36,IF('Operating Assumptions'!$L14="Fixed Amount",('Operating Assumptions'!$M14*ES$25)/12,IF('Operating Assumptions'!$L14="$/GSF",(('Operating Assumptions'!$M14*ES$25)*'Operating Assumptions'!$D$11)/12,IF('Operating Assumptions'!$L14="$/NSF",(('Operating Assumptions'!$M14*ES$25)*'Operating Assumptions'!$D$12)/12))))))))</f>
        <v>0</v>
      </c>
      <c r="ET86" s="427">
        <f>-IF(ET$9&lt;'Operating Assumptions'!$D$53,0,IF(ET$6&gt;'Operating Assumptions'!$AA$8,0,IF('Operating Assumptions'!$L14="N/A",0,IF('Operating Assumptions'!$L14="$/Unit/Annual",(('Operating Assumptions'!$M14*ET$25)*ET$36)/12,IF('Operating Assumptions'!$L14="$/Unit/Month",('Operating Assumptions'!$M14*ET$25)*ET$36,IF('Operating Assumptions'!$L14="Fixed Amount",('Operating Assumptions'!$M14*ET$25)/12,IF('Operating Assumptions'!$L14="$/GSF",(('Operating Assumptions'!$M14*ET$25)*'Operating Assumptions'!$D$11)/12,IF('Operating Assumptions'!$L14="$/NSF",(('Operating Assumptions'!$M14*ET$25)*'Operating Assumptions'!$D$12)/12))))))))</f>
        <v>0</v>
      </c>
      <c r="EU86" s="427">
        <f>-IF(EU$9&lt;'Operating Assumptions'!$D$53,0,IF(EU$6&gt;'Operating Assumptions'!$AA$8,0,IF('Operating Assumptions'!$L14="N/A",0,IF('Operating Assumptions'!$L14="$/Unit/Annual",(('Operating Assumptions'!$M14*EU$25)*EU$36)/12,IF('Operating Assumptions'!$L14="$/Unit/Month",('Operating Assumptions'!$M14*EU$25)*EU$36,IF('Operating Assumptions'!$L14="Fixed Amount",('Operating Assumptions'!$M14*EU$25)/12,IF('Operating Assumptions'!$L14="$/GSF",(('Operating Assumptions'!$M14*EU$25)*'Operating Assumptions'!$D$11)/12,IF('Operating Assumptions'!$L14="$/NSF",(('Operating Assumptions'!$M14*EU$25)*'Operating Assumptions'!$D$12)/12))))))))</f>
        <v>0</v>
      </c>
      <c r="EV86" s="427">
        <f>-IF(EV$9&lt;'Operating Assumptions'!$D$53,0,IF(EV$6&gt;'Operating Assumptions'!$AA$8,0,IF('Operating Assumptions'!$L14="N/A",0,IF('Operating Assumptions'!$L14="$/Unit/Annual",(('Operating Assumptions'!$M14*EV$25)*EV$36)/12,IF('Operating Assumptions'!$L14="$/Unit/Month",('Operating Assumptions'!$M14*EV$25)*EV$36,IF('Operating Assumptions'!$L14="Fixed Amount",('Operating Assumptions'!$M14*EV$25)/12,IF('Operating Assumptions'!$L14="$/GSF",(('Operating Assumptions'!$M14*EV$25)*'Operating Assumptions'!$D$11)/12,IF('Operating Assumptions'!$L14="$/NSF",(('Operating Assumptions'!$M14*EV$25)*'Operating Assumptions'!$D$12)/12))))))))</f>
        <v>0</v>
      </c>
      <c r="EW86" s="427">
        <f>-IF(EW$9&lt;'Operating Assumptions'!$D$53,0,IF(EW$6&gt;'Operating Assumptions'!$AA$8,0,IF('Operating Assumptions'!$L14="N/A",0,IF('Operating Assumptions'!$L14="$/Unit/Annual",(('Operating Assumptions'!$M14*EW$25)*EW$36)/12,IF('Operating Assumptions'!$L14="$/Unit/Month",('Operating Assumptions'!$M14*EW$25)*EW$36,IF('Operating Assumptions'!$L14="Fixed Amount",('Operating Assumptions'!$M14*EW$25)/12,IF('Operating Assumptions'!$L14="$/GSF",(('Operating Assumptions'!$M14*EW$25)*'Operating Assumptions'!$D$11)/12,IF('Operating Assumptions'!$L14="$/NSF",(('Operating Assumptions'!$M14*EW$25)*'Operating Assumptions'!$D$12)/12))))))))</f>
        <v>0</v>
      </c>
      <c r="EX86" s="427">
        <f>-IF(EX$9&lt;'Operating Assumptions'!$D$53,0,IF(EX$6&gt;'Operating Assumptions'!$AA$8,0,IF('Operating Assumptions'!$L14="N/A",0,IF('Operating Assumptions'!$L14="$/Unit/Annual",(('Operating Assumptions'!$M14*EX$25)*EX$36)/12,IF('Operating Assumptions'!$L14="$/Unit/Month",('Operating Assumptions'!$M14*EX$25)*EX$36,IF('Operating Assumptions'!$L14="Fixed Amount",('Operating Assumptions'!$M14*EX$25)/12,IF('Operating Assumptions'!$L14="$/GSF",(('Operating Assumptions'!$M14*EX$25)*'Operating Assumptions'!$D$11)/12,IF('Operating Assumptions'!$L14="$/NSF",(('Operating Assumptions'!$M14*EX$25)*'Operating Assumptions'!$D$12)/12))))))))</f>
        <v>0</v>
      </c>
      <c r="EY86" s="427">
        <f>-IF(EY$9&lt;'Operating Assumptions'!$D$53,0,IF(EY$6&gt;'Operating Assumptions'!$AA$8,0,IF('Operating Assumptions'!$L14="N/A",0,IF('Operating Assumptions'!$L14="$/Unit/Annual",(('Operating Assumptions'!$M14*EY$25)*EY$36)/12,IF('Operating Assumptions'!$L14="$/Unit/Month",('Operating Assumptions'!$M14*EY$25)*EY$36,IF('Operating Assumptions'!$L14="Fixed Amount",('Operating Assumptions'!$M14*EY$25)/12,IF('Operating Assumptions'!$L14="$/GSF",(('Operating Assumptions'!$M14*EY$25)*'Operating Assumptions'!$D$11)/12,IF('Operating Assumptions'!$L14="$/NSF",(('Operating Assumptions'!$M14*EY$25)*'Operating Assumptions'!$D$12)/12))))))))</f>
        <v>0</v>
      </c>
      <c r="EZ86" s="427">
        <f>-IF(EZ$9&lt;'Operating Assumptions'!$D$53,0,IF(EZ$6&gt;'Operating Assumptions'!$AA$8,0,IF('Operating Assumptions'!$L14="N/A",0,IF('Operating Assumptions'!$L14="$/Unit/Annual",(('Operating Assumptions'!$M14*EZ$25)*EZ$36)/12,IF('Operating Assumptions'!$L14="$/Unit/Month",('Operating Assumptions'!$M14*EZ$25)*EZ$36,IF('Operating Assumptions'!$L14="Fixed Amount",('Operating Assumptions'!$M14*EZ$25)/12,IF('Operating Assumptions'!$L14="$/GSF",(('Operating Assumptions'!$M14*EZ$25)*'Operating Assumptions'!$D$11)/12,IF('Operating Assumptions'!$L14="$/NSF",(('Operating Assumptions'!$M14*EZ$25)*'Operating Assumptions'!$D$12)/12))))))))</f>
        <v>0</v>
      </c>
      <c r="FA86" s="427">
        <f>-IF(FA$9&lt;'Operating Assumptions'!$D$53,0,IF(FA$6&gt;'Operating Assumptions'!$AA$8,0,IF('Operating Assumptions'!$L14="N/A",0,IF('Operating Assumptions'!$L14="$/Unit/Annual",(('Operating Assumptions'!$M14*FA$25)*FA$36)/12,IF('Operating Assumptions'!$L14="$/Unit/Month",('Operating Assumptions'!$M14*FA$25)*FA$36,IF('Operating Assumptions'!$L14="Fixed Amount",('Operating Assumptions'!$M14*FA$25)/12,IF('Operating Assumptions'!$L14="$/GSF",(('Operating Assumptions'!$M14*FA$25)*'Operating Assumptions'!$D$11)/12,IF('Operating Assumptions'!$L14="$/NSF",(('Operating Assumptions'!$M14*FA$25)*'Operating Assumptions'!$D$12)/12))))))))</f>
        <v>0</v>
      </c>
      <c r="FB86" s="427">
        <f>-IF(FB$9&lt;'Operating Assumptions'!$D$53,0,IF(FB$6&gt;'Operating Assumptions'!$AA$8,0,IF('Operating Assumptions'!$L14="N/A",0,IF('Operating Assumptions'!$L14="$/Unit/Annual",(('Operating Assumptions'!$M14*FB$25)*FB$36)/12,IF('Operating Assumptions'!$L14="$/Unit/Month",('Operating Assumptions'!$M14*FB$25)*FB$36,IF('Operating Assumptions'!$L14="Fixed Amount",('Operating Assumptions'!$M14*FB$25)/12,IF('Operating Assumptions'!$L14="$/GSF",(('Operating Assumptions'!$M14*FB$25)*'Operating Assumptions'!$D$11)/12,IF('Operating Assumptions'!$L14="$/NSF",(('Operating Assumptions'!$M14*FB$25)*'Operating Assumptions'!$D$12)/12))))))))</f>
        <v>0</v>
      </c>
      <c r="FC86" s="427">
        <f>-IF(FC$9&lt;'Operating Assumptions'!$D$53,0,IF(FC$6&gt;'Operating Assumptions'!$AA$8,0,IF('Operating Assumptions'!$L14="N/A",0,IF('Operating Assumptions'!$L14="$/Unit/Annual",(('Operating Assumptions'!$M14*FC$25)*FC$36)/12,IF('Operating Assumptions'!$L14="$/Unit/Month",('Operating Assumptions'!$M14*FC$25)*FC$36,IF('Operating Assumptions'!$L14="Fixed Amount",('Operating Assumptions'!$M14*FC$25)/12,IF('Operating Assumptions'!$L14="$/GSF",(('Operating Assumptions'!$M14*FC$25)*'Operating Assumptions'!$D$11)/12,IF('Operating Assumptions'!$L14="$/NSF",(('Operating Assumptions'!$M14*FC$25)*'Operating Assumptions'!$D$12)/12))))))))</f>
        <v>0</v>
      </c>
      <c r="FD86" s="427">
        <f>-IF(FD$9&lt;'Operating Assumptions'!$D$53,0,IF(FD$6&gt;'Operating Assumptions'!$AA$8,0,IF('Operating Assumptions'!$L14="N/A",0,IF('Operating Assumptions'!$L14="$/Unit/Annual",(('Operating Assumptions'!$M14*FD$25)*FD$36)/12,IF('Operating Assumptions'!$L14="$/Unit/Month",('Operating Assumptions'!$M14*FD$25)*FD$36,IF('Operating Assumptions'!$L14="Fixed Amount",('Operating Assumptions'!$M14*FD$25)/12,IF('Operating Assumptions'!$L14="$/GSF",(('Operating Assumptions'!$M14*FD$25)*'Operating Assumptions'!$D$11)/12,IF('Operating Assumptions'!$L14="$/NSF",(('Operating Assumptions'!$M14*FD$25)*'Operating Assumptions'!$D$12)/12))))))))</f>
        <v>0</v>
      </c>
      <c r="FE86" s="427">
        <f>-IF(FE$9&lt;'Operating Assumptions'!$D$53,0,IF(FE$6&gt;'Operating Assumptions'!$AA$8,0,IF('Operating Assumptions'!$L14="N/A",0,IF('Operating Assumptions'!$L14="$/Unit/Annual",(('Operating Assumptions'!$M14*FE$25)*FE$36)/12,IF('Operating Assumptions'!$L14="$/Unit/Month",('Operating Assumptions'!$M14*FE$25)*FE$36,IF('Operating Assumptions'!$L14="Fixed Amount",('Operating Assumptions'!$M14*FE$25)/12,IF('Operating Assumptions'!$L14="$/GSF",(('Operating Assumptions'!$M14*FE$25)*'Operating Assumptions'!$D$11)/12,IF('Operating Assumptions'!$L14="$/NSF",(('Operating Assumptions'!$M14*FE$25)*'Operating Assumptions'!$D$12)/12))))))))</f>
        <v>0</v>
      </c>
      <c r="FF86" s="427">
        <f>-IF(FF$9&lt;'Operating Assumptions'!$D$53,0,IF(FF$6&gt;'Operating Assumptions'!$AA$8,0,IF('Operating Assumptions'!$L14="N/A",0,IF('Operating Assumptions'!$L14="$/Unit/Annual",(('Operating Assumptions'!$M14*FF$25)*FF$36)/12,IF('Operating Assumptions'!$L14="$/Unit/Month",('Operating Assumptions'!$M14*FF$25)*FF$36,IF('Operating Assumptions'!$L14="Fixed Amount",('Operating Assumptions'!$M14*FF$25)/12,IF('Operating Assumptions'!$L14="$/GSF",(('Operating Assumptions'!$M14*FF$25)*'Operating Assumptions'!$D$11)/12,IF('Operating Assumptions'!$L14="$/NSF",(('Operating Assumptions'!$M14*FF$25)*'Operating Assumptions'!$D$12)/12))))))))</f>
        <v>0</v>
      </c>
      <c r="FG86" s="427">
        <f>-IF(FG$9&lt;'Operating Assumptions'!$D$53,0,IF(FG$6&gt;'Operating Assumptions'!$AA$8,0,IF('Operating Assumptions'!$L14="N/A",0,IF('Operating Assumptions'!$L14="$/Unit/Annual",(('Operating Assumptions'!$M14*FG$25)*FG$36)/12,IF('Operating Assumptions'!$L14="$/Unit/Month",('Operating Assumptions'!$M14*FG$25)*FG$36,IF('Operating Assumptions'!$L14="Fixed Amount",('Operating Assumptions'!$M14*FG$25)/12,IF('Operating Assumptions'!$L14="$/GSF",(('Operating Assumptions'!$M14*FG$25)*'Operating Assumptions'!$D$11)/12,IF('Operating Assumptions'!$L14="$/NSF",(('Operating Assumptions'!$M14*FG$25)*'Operating Assumptions'!$D$12)/12))))))))</f>
        <v>0</v>
      </c>
      <c r="FH86" s="427">
        <f>-IF(FH$9&lt;'Operating Assumptions'!$D$53,0,IF(FH$6&gt;'Operating Assumptions'!$AA$8,0,IF('Operating Assumptions'!$L14="N/A",0,IF('Operating Assumptions'!$L14="$/Unit/Annual",(('Operating Assumptions'!$M14*FH$25)*FH$36)/12,IF('Operating Assumptions'!$L14="$/Unit/Month",('Operating Assumptions'!$M14*FH$25)*FH$36,IF('Operating Assumptions'!$L14="Fixed Amount",('Operating Assumptions'!$M14*FH$25)/12,IF('Operating Assumptions'!$L14="$/GSF",(('Operating Assumptions'!$M14*FH$25)*'Operating Assumptions'!$D$11)/12,IF('Operating Assumptions'!$L14="$/NSF",(('Operating Assumptions'!$M14*FH$25)*'Operating Assumptions'!$D$12)/12))))))))</f>
        <v>0</v>
      </c>
      <c r="FI86" s="427">
        <f>-IF(FI$9&lt;'Operating Assumptions'!$D$53,0,IF(FI$6&gt;'Operating Assumptions'!$AA$8,0,IF('Operating Assumptions'!$L14="N/A",0,IF('Operating Assumptions'!$L14="$/Unit/Annual",(('Operating Assumptions'!$M14*FI$25)*FI$36)/12,IF('Operating Assumptions'!$L14="$/Unit/Month",('Operating Assumptions'!$M14*FI$25)*FI$36,IF('Operating Assumptions'!$L14="Fixed Amount",('Operating Assumptions'!$M14*FI$25)/12,IF('Operating Assumptions'!$L14="$/GSF",(('Operating Assumptions'!$M14*FI$25)*'Operating Assumptions'!$D$11)/12,IF('Operating Assumptions'!$L14="$/NSF",(('Operating Assumptions'!$M14*FI$25)*'Operating Assumptions'!$D$12)/12))))))))</f>
        <v>0</v>
      </c>
      <c r="FJ86" s="427">
        <f>-IF(FJ$9&lt;'Operating Assumptions'!$D$53,0,IF(FJ$6&gt;'Operating Assumptions'!$AA$8,0,IF('Operating Assumptions'!$L14="N/A",0,IF('Operating Assumptions'!$L14="$/Unit/Annual",(('Operating Assumptions'!$M14*FJ$25)*FJ$36)/12,IF('Operating Assumptions'!$L14="$/Unit/Month",('Operating Assumptions'!$M14*FJ$25)*FJ$36,IF('Operating Assumptions'!$L14="Fixed Amount",('Operating Assumptions'!$M14*FJ$25)/12,IF('Operating Assumptions'!$L14="$/GSF",(('Operating Assumptions'!$M14*FJ$25)*'Operating Assumptions'!$D$11)/12,IF('Operating Assumptions'!$L14="$/NSF",(('Operating Assumptions'!$M14*FJ$25)*'Operating Assumptions'!$D$12)/12))))))))</f>
        <v>0</v>
      </c>
      <c r="FK86" s="427">
        <f>-IF(FK$9&lt;'Operating Assumptions'!$D$53,0,IF(FK$6&gt;'Operating Assumptions'!$AA$8,0,IF('Operating Assumptions'!$L14="N/A",0,IF('Operating Assumptions'!$L14="$/Unit/Annual",(('Operating Assumptions'!$M14*FK$25)*FK$36)/12,IF('Operating Assumptions'!$L14="$/Unit/Month",('Operating Assumptions'!$M14*FK$25)*FK$36,IF('Operating Assumptions'!$L14="Fixed Amount",('Operating Assumptions'!$M14*FK$25)/12,IF('Operating Assumptions'!$L14="$/GSF",(('Operating Assumptions'!$M14*FK$25)*'Operating Assumptions'!$D$11)/12,IF('Operating Assumptions'!$L14="$/NSF",(('Operating Assumptions'!$M14*FK$25)*'Operating Assumptions'!$D$12)/12))))))))</f>
        <v>0</v>
      </c>
      <c r="FL86" s="427">
        <f>-IF(FL$9&lt;'Operating Assumptions'!$D$53,0,IF(FL$6&gt;'Operating Assumptions'!$AA$8,0,IF('Operating Assumptions'!$L14="N/A",0,IF('Operating Assumptions'!$L14="$/Unit/Annual",(('Operating Assumptions'!$M14*FL$25)*FL$36)/12,IF('Operating Assumptions'!$L14="$/Unit/Month",('Operating Assumptions'!$M14*FL$25)*FL$36,IF('Operating Assumptions'!$L14="Fixed Amount",('Operating Assumptions'!$M14*FL$25)/12,IF('Operating Assumptions'!$L14="$/GSF",(('Operating Assumptions'!$M14*FL$25)*'Operating Assumptions'!$D$11)/12,IF('Operating Assumptions'!$L14="$/NSF",(('Operating Assumptions'!$M14*FL$25)*'Operating Assumptions'!$D$12)/12))))))))</f>
        <v>0</v>
      </c>
      <c r="FM86" s="427">
        <f>-IF(FM$9&lt;'Operating Assumptions'!$D$53,0,IF(FM$6&gt;'Operating Assumptions'!$AA$8,0,IF('Operating Assumptions'!$L14="N/A",0,IF('Operating Assumptions'!$L14="$/Unit/Annual",(('Operating Assumptions'!$M14*FM$25)*FM$36)/12,IF('Operating Assumptions'!$L14="$/Unit/Month",('Operating Assumptions'!$M14*FM$25)*FM$36,IF('Operating Assumptions'!$L14="Fixed Amount",('Operating Assumptions'!$M14*FM$25)/12,IF('Operating Assumptions'!$L14="$/GSF",(('Operating Assumptions'!$M14*FM$25)*'Operating Assumptions'!$D$11)/12,IF('Operating Assumptions'!$L14="$/NSF",(('Operating Assumptions'!$M14*FM$25)*'Operating Assumptions'!$D$12)/12))))))))</f>
        <v>0</v>
      </c>
      <c r="FN86" s="427">
        <f>-IF(FN$9&lt;'Operating Assumptions'!$D$53,0,IF(FN$6&gt;'Operating Assumptions'!$AA$8,0,IF('Operating Assumptions'!$L14="N/A",0,IF('Operating Assumptions'!$L14="$/Unit/Annual",(('Operating Assumptions'!$M14*FN$25)*FN$36)/12,IF('Operating Assumptions'!$L14="$/Unit/Month",('Operating Assumptions'!$M14*FN$25)*FN$36,IF('Operating Assumptions'!$L14="Fixed Amount",('Operating Assumptions'!$M14*FN$25)/12,IF('Operating Assumptions'!$L14="$/GSF",(('Operating Assumptions'!$M14*FN$25)*'Operating Assumptions'!$D$11)/12,IF('Operating Assumptions'!$L14="$/NSF",(('Operating Assumptions'!$M14*FN$25)*'Operating Assumptions'!$D$12)/12))))))))</f>
        <v>0</v>
      </c>
      <c r="FO86" s="427">
        <f>-IF(FO$9&lt;'Operating Assumptions'!$D$53,0,IF(FO$6&gt;'Operating Assumptions'!$AA$8,0,IF('Operating Assumptions'!$L14="N/A",0,IF('Operating Assumptions'!$L14="$/Unit/Annual",(('Operating Assumptions'!$M14*FO$25)*FO$36)/12,IF('Operating Assumptions'!$L14="$/Unit/Month",('Operating Assumptions'!$M14*FO$25)*FO$36,IF('Operating Assumptions'!$L14="Fixed Amount",('Operating Assumptions'!$M14*FO$25)/12,IF('Operating Assumptions'!$L14="$/GSF",(('Operating Assumptions'!$M14*FO$25)*'Operating Assumptions'!$D$11)/12,IF('Operating Assumptions'!$L14="$/NSF",(('Operating Assumptions'!$M14*FO$25)*'Operating Assumptions'!$D$12)/12))))))))</f>
        <v>0</v>
      </c>
      <c r="FP86" s="427">
        <f>-IF(FP$9&lt;'Operating Assumptions'!$D$53,0,IF(FP$6&gt;'Operating Assumptions'!$AA$8,0,IF('Operating Assumptions'!$L14="N/A",0,IF('Operating Assumptions'!$L14="$/Unit/Annual",(('Operating Assumptions'!$M14*FP$25)*FP$36)/12,IF('Operating Assumptions'!$L14="$/Unit/Month",('Operating Assumptions'!$M14*FP$25)*FP$36,IF('Operating Assumptions'!$L14="Fixed Amount",('Operating Assumptions'!$M14*FP$25)/12,IF('Operating Assumptions'!$L14="$/GSF",(('Operating Assumptions'!$M14*FP$25)*'Operating Assumptions'!$D$11)/12,IF('Operating Assumptions'!$L14="$/NSF",(('Operating Assumptions'!$M14*FP$25)*'Operating Assumptions'!$D$12)/12))))))))</f>
        <v>0</v>
      </c>
      <c r="FQ86" s="427">
        <f>-IF(FQ$9&lt;'Operating Assumptions'!$D$53,0,IF(FQ$6&gt;'Operating Assumptions'!$AA$8,0,IF('Operating Assumptions'!$L14="N/A",0,IF('Operating Assumptions'!$L14="$/Unit/Annual",(('Operating Assumptions'!$M14*FQ$25)*FQ$36)/12,IF('Operating Assumptions'!$L14="$/Unit/Month",('Operating Assumptions'!$M14*FQ$25)*FQ$36,IF('Operating Assumptions'!$L14="Fixed Amount",('Operating Assumptions'!$M14*FQ$25)/12,IF('Operating Assumptions'!$L14="$/GSF",(('Operating Assumptions'!$M14*FQ$25)*'Operating Assumptions'!$D$11)/12,IF('Operating Assumptions'!$L14="$/NSF",(('Operating Assumptions'!$M14*FQ$25)*'Operating Assumptions'!$D$12)/12))))))))</f>
        <v>0</v>
      </c>
      <c r="FR86" s="427">
        <f>-IF(FR$9&lt;'Operating Assumptions'!$D$53,0,IF(FR$6&gt;'Operating Assumptions'!$AA$8,0,IF('Operating Assumptions'!$L14="N/A",0,IF('Operating Assumptions'!$L14="$/Unit/Annual",(('Operating Assumptions'!$M14*FR$25)*FR$36)/12,IF('Operating Assumptions'!$L14="$/Unit/Month",('Operating Assumptions'!$M14*FR$25)*FR$36,IF('Operating Assumptions'!$L14="Fixed Amount",('Operating Assumptions'!$M14*FR$25)/12,IF('Operating Assumptions'!$L14="$/GSF",(('Operating Assumptions'!$M14*FR$25)*'Operating Assumptions'!$D$11)/12,IF('Operating Assumptions'!$L14="$/NSF",(('Operating Assumptions'!$M14*FR$25)*'Operating Assumptions'!$D$12)/12))))))))</f>
        <v>0</v>
      </c>
      <c r="FS86" s="427">
        <f>-IF(FS$9&lt;'Operating Assumptions'!$D$53,0,IF(FS$6&gt;'Operating Assumptions'!$AA$8,0,IF('Operating Assumptions'!$L14="N/A",0,IF('Operating Assumptions'!$L14="$/Unit/Annual",(('Operating Assumptions'!$M14*FS$25)*FS$36)/12,IF('Operating Assumptions'!$L14="$/Unit/Month",('Operating Assumptions'!$M14*FS$25)*FS$36,IF('Operating Assumptions'!$L14="Fixed Amount",('Operating Assumptions'!$M14*FS$25)/12,IF('Operating Assumptions'!$L14="$/GSF",(('Operating Assumptions'!$M14*FS$25)*'Operating Assumptions'!$D$11)/12,IF('Operating Assumptions'!$L14="$/NSF",(('Operating Assumptions'!$M14*FS$25)*'Operating Assumptions'!$D$12)/12))))))))</f>
        <v>0</v>
      </c>
      <c r="FT86" s="427">
        <f>-IF(FT$9&lt;'Operating Assumptions'!$D$53,0,IF(FT$6&gt;'Operating Assumptions'!$AA$8,0,IF('Operating Assumptions'!$L14="N/A",0,IF('Operating Assumptions'!$L14="$/Unit/Annual",(('Operating Assumptions'!$M14*FT$25)*FT$36)/12,IF('Operating Assumptions'!$L14="$/Unit/Month",('Operating Assumptions'!$M14*FT$25)*FT$36,IF('Operating Assumptions'!$L14="Fixed Amount",('Operating Assumptions'!$M14*FT$25)/12,IF('Operating Assumptions'!$L14="$/GSF",(('Operating Assumptions'!$M14*FT$25)*'Operating Assumptions'!$D$11)/12,IF('Operating Assumptions'!$L14="$/NSF",(('Operating Assumptions'!$M14*FT$25)*'Operating Assumptions'!$D$12)/12))))))))</f>
        <v>0</v>
      </c>
      <c r="FU86" s="43"/>
      <c r="FV86" s="34"/>
      <c r="FW86" s="34"/>
      <c r="FX86" s="34"/>
      <c r="FY86" s="34"/>
      <c r="FZ86" s="34"/>
    </row>
    <row r="87" spans="1:182" s="89" customFormat="1" ht="13.5" x14ac:dyDescent="0.25">
      <c r="A87" s="34"/>
      <c r="B87" s="128" t="str">
        <f>'Operating Assumptions'!K15</f>
        <v>Blank</v>
      </c>
      <c r="C87" s="34"/>
      <c r="D87" s="34"/>
      <c r="E87" s="34"/>
      <c r="F87" s="434">
        <f t="shared" si="172"/>
        <v>0</v>
      </c>
      <c r="G87" s="34"/>
      <c r="H87" s="427">
        <f>-IF(H$9&lt;'Operating Assumptions'!$D$53,0,IF(H$6&gt;'Operating Assumptions'!$AA$8,0,IF('Operating Assumptions'!$L15="N/A",0,IF('Operating Assumptions'!$L15="$/Unit/Annual",(('Operating Assumptions'!$M15*H$25)*H$36)/12,IF('Operating Assumptions'!$L15="$/Unit/Month",('Operating Assumptions'!$M15*H$25)*H$36,IF('Operating Assumptions'!$L15="Fixed Amount",('Operating Assumptions'!$M15*H$25)/12,IF('Operating Assumptions'!$L15="$/GSF",(('Operating Assumptions'!$M15*H$25)*'Operating Assumptions'!$D$11)/12,IF('Operating Assumptions'!$L15="$/NSF",(('Operating Assumptions'!$M15*H$25)*'Operating Assumptions'!$D$12)/12))))))))</f>
        <v>0</v>
      </c>
      <c r="I87" s="427">
        <f>-IF(I$9&lt;'Operating Assumptions'!$D$53,0,IF(I$6&gt;'Operating Assumptions'!$AA$8,0,IF('Operating Assumptions'!$L15="N/A",0,IF('Operating Assumptions'!$L15="$/Unit/Annual",(('Operating Assumptions'!$M15*I$25)*I$36)/12,IF('Operating Assumptions'!$L15="$/Unit/Month",('Operating Assumptions'!$M15*I$25)*I$36,IF('Operating Assumptions'!$L15="Fixed Amount",('Operating Assumptions'!$M15*I$25)/12,IF('Operating Assumptions'!$L15="$/GSF",(('Operating Assumptions'!$M15*I$25)*'Operating Assumptions'!$D$11)/12,IF('Operating Assumptions'!$L15="$/NSF",(('Operating Assumptions'!$M15*I$25)*'Operating Assumptions'!$D$12)/12))))))))</f>
        <v>0</v>
      </c>
      <c r="J87" s="427">
        <f>-IF(J$9&lt;'Operating Assumptions'!$D$53,0,IF(J$6&gt;'Operating Assumptions'!$AA$8,0,IF('Operating Assumptions'!$L15="N/A",0,IF('Operating Assumptions'!$L15="$/Unit/Annual",(('Operating Assumptions'!$M15*J$25)*J$36)/12,IF('Operating Assumptions'!$L15="$/Unit/Month",('Operating Assumptions'!$M15*J$25)*J$36,IF('Operating Assumptions'!$L15="Fixed Amount",('Operating Assumptions'!$M15*J$25)/12,IF('Operating Assumptions'!$L15="$/GSF",(('Operating Assumptions'!$M15*J$25)*'Operating Assumptions'!$D$11)/12,IF('Operating Assumptions'!$L15="$/NSF",(('Operating Assumptions'!$M15*J$25)*'Operating Assumptions'!$D$12)/12))))))))</f>
        <v>0</v>
      </c>
      <c r="K87" s="427">
        <f>-IF(K$9&lt;'Operating Assumptions'!$D$53,0,IF(K$6&gt;'Operating Assumptions'!$AA$8,0,IF('Operating Assumptions'!$L15="N/A",0,IF('Operating Assumptions'!$L15="$/Unit/Annual",(('Operating Assumptions'!$M15*K$25)*K$36)/12,IF('Operating Assumptions'!$L15="$/Unit/Month",('Operating Assumptions'!$M15*K$25)*K$36,IF('Operating Assumptions'!$L15="Fixed Amount",('Operating Assumptions'!$M15*K$25)/12,IF('Operating Assumptions'!$L15="$/GSF",(('Operating Assumptions'!$M15*K$25)*'Operating Assumptions'!$D$11)/12,IF('Operating Assumptions'!$L15="$/NSF",(('Operating Assumptions'!$M15*K$25)*'Operating Assumptions'!$D$12)/12))))))))</f>
        <v>0</v>
      </c>
      <c r="L87" s="427">
        <f>-IF(L$9&lt;'Operating Assumptions'!$D$53,0,IF(L$6&gt;'Operating Assumptions'!$AA$8,0,IF('Operating Assumptions'!$L15="N/A",0,IF('Operating Assumptions'!$L15="$/Unit/Annual",(('Operating Assumptions'!$M15*L$25)*L$36)/12,IF('Operating Assumptions'!$L15="$/Unit/Month",('Operating Assumptions'!$M15*L$25)*L$36,IF('Operating Assumptions'!$L15="Fixed Amount",('Operating Assumptions'!$M15*L$25)/12,IF('Operating Assumptions'!$L15="$/GSF",(('Operating Assumptions'!$M15*L$25)*'Operating Assumptions'!$D$11)/12,IF('Operating Assumptions'!$L15="$/NSF",(('Operating Assumptions'!$M15*L$25)*'Operating Assumptions'!$D$12)/12))))))))</f>
        <v>0</v>
      </c>
      <c r="M87" s="427">
        <f>-IF(M$9&lt;'Operating Assumptions'!$D$53,0,IF(M$6&gt;'Operating Assumptions'!$AA$8,0,IF('Operating Assumptions'!$L15="N/A",0,IF('Operating Assumptions'!$L15="$/Unit/Annual",(('Operating Assumptions'!$M15*M$25)*M$36)/12,IF('Operating Assumptions'!$L15="$/Unit/Month",('Operating Assumptions'!$M15*M$25)*M$36,IF('Operating Assumptions'!$L15="Fixed Amount",('Operating Assumptions'!$M15*M$25)/12,IF('Operating Assumptions'!$L15="$/GSF",(('Operating Assumptions'!$M15*M$25)*'Operating Assumptions'!$D$11)/12,IF('Operating Assumptions'!$L15="$/NSF",(('Operating Assumptions'!$M15*M$25)*'Operating Assumptions'!$D$12)/12))))))))</f>
        <v>0</v>
      </c>
      <c r="N87" s="427">
        <f>-IF(N$9&lt;'Operating Assumptions'!$D$53,0,IF(N$6&gt;'Operating Assumptions'!$AA$8,0,IF('Operating Assumptions'!$L15="N/A",0,IF('Operating Assumptions'!$L15="$/Unit/Annual",(('Operating Assumptions'!$M15*N$25)*N$36)/12,IF('Operating Assumptions'!$L15="$/Unit/Month",('Operating Assumptions'!$M15*N$25)*N$36,IF('Operating Assumptions'!$L15="Fixed Amount",('Operating Assumptions'!$M15*N$25)/12,IF('Operating Assumptions'!$L15="$/GSF",(('Operating Assumptions'!$M15*N$25)*'Operating Assumptions'!$D$11)/12,IF('Operating Assumptions'!$L15="$/NSF",(('Operating Assumptions'!$M15*N$25)*'Operating Assumptions'!$D$12)/12))))))))</f>
        <v>0</v>
      </c>
      <c r="O87" s="427">
        <f>-IF(O$9&lt;'Operating Assumptions'!$D$53,0,IF(O$6&gt;'Operating Assumptions'!$AA$8,0,IF('Operating Assumptions'!$L15="N/A",0,IF('Operating Assumptions'!$L15="$/Unit/Annual",(('Operating Assumptions'!$M15*O$25)*O$36)/12,IF('Operating Assumptions'!$L15="$/Unit/Month",('Operating Assumptions'!$M15*O$25)*O$36,IF('Operating Assumptions'!$L15="Fixed Amount",('Operating Assumptions'!$M15*O$25)/12,IF('Operating Assumptions'!$L15="$/GSF",(('Operating Assumptions'!$M15*O$25)*'Operating Assumptions'!$D$11)/12,IF('Operating Assumptions'!$L15="$/NSF",(('Operating Assumptions'!$M15*O$25)*'Operating Assumptions'!$D$12)/12))))))))</f>
        <v>0</v>
      </c>
      <c r="P87" s="427">
        <f>-IF(P$9&lt;'Operating Assumptions'!$D$53,0,IF(P$6&gt;'Operating Assumptions'!$AA$8,0,IF('Operating Assumptions'!$L15="N/A",0,IF('Operating Assumptions'!$L15="$/Unit/Annual",(('Operating Assumptions'!$M15*P$25)*P$36)/12,IF('Operating Assumptions'!$L15="$/Unit/Month",('Operating Assumptions'!$M15*P$25)*P$36,IF('Operating Assumptions'!$L15="Fixed Amount",('Operating Assumptions'!$M15*P$25)/12,IF('Operating Assumptions'!$L15="$/GSF",(('Operating Assumptions'!$M15*P$25)*'Operating Assumptions'!$D$11)/12,IF('Operating Assumptions'!$L15="$/NSF",(('Operating Assumptions'!$M15*P$25)*'Operating Assumptions'!$D$12)/12))))))))</f>
        <v>0</v>
      </c>
      <c r="Q87" s="427">
        <f>-IF(Q$9&lt;'Operating Assumptions'!$D$53,0,IF(Q$6&gt;'Operating Assumptions'!$AA$8,0,IF('Operating Assumptions'!$L15="N/A",0,IF('Operating Assumptions'!$L15="$/Unit/Annual",(('Operating Assumptions'!$M15*Q$25)*Q$36)/12,IF('Operating Assumptions'!$L15="$/Unit/Month",('Operating Assumptions'!$M15*Q$25)*Q$36,IF('Operating Assumptions'!$L15="Fixed Amount",('Operating Assumptions'!$M15*Q$25)/12,IF('Operating Assumptions'!$L15="$/GSF",(('Operating Assumptions'!$M15*Q$25)*'Operating Assumptions'!$D$11)/12,IF('Operating Assumptions'!$L15="$/NSF",(('Operating Assumptions'!$M15*Q$25)*'Operating Assumptions'!$D$12)/12))))))))</f>
        <v>0</v>
      </c>
      <c r="R87" s="427">
        <f>-IF(R$9&lt;'Operating Assumptions'!$D$53,0,IF(R$6&gt;'Operating Assumptions'!$AA$8,0,IF('Operating Assumptions'!$L15="N/A",0,IF('Operating Assumptions'!$L15="$/Unit/Annual",(('Operating Assumptions'!$M15*R$25)*R$36)/12,IF('Operating Assumptions'!$L15="$/Unit/Month",('Operating Assumptions'!$M15*R$25)*R$36,IF('Operating Assumptions'!$L15="Fixed Amount",('Operating Assumptions'!$M15*R$25)/12,IF('Operating Assumptions'!$L15="$/GSF",(('Operating Assumptions'!$M15*R$25)*'Operating Assumptions'!$D$11)/12,IF('Operating Assumptions'!$L15="$/NSF",(('Operating Assumptions'!$M15*R$25)*'Operating Assumptions'!$D$12)/12))))))))</f>
        <v>0</v>
      </c>
      <c r="S87" s="427">
        <f>-IF(S$9&lt;'Operating Assumptions'!$D$53,0,IF(S$6&gt;'Operating Assumptions'!$AA$8,0,IF('Operating Assumptions'!$L15="N/A",0,IF('Operating Assumptions'!$L15="$/Unit/Annual",(('Operating Assumptions'!$M15*S$25)*S$36)/12,IF('Operating Assumptions'!$L15="$/Unit/Month",('Operating Assumptions'!$M15*S$25)*S$36,IF('Operating Assumptions'!$L15="Fixed Amount",('Operating Assumptions'!$M15*S$25)/12,IF('Operating Assumptions'!$L15="$/GSF",(('Operating Assumptions'!$M15*S$25)*'Operating Assumptions'!$D$11)/12,IF('Operating Assumptions'!$L15="$/NSF",(('Operating Assumptions'!$M15*S$25)*'Operating Assumptions'!$D$12)/12))))))))</f>
        <v>0</v>
      </c>
      <c r="T87" s="427">
        <f>-IF(T$9&lt;'Operating Assumptions'!$D$53,0,IF(T$6&gt;'Operating Assumptions'!$AA$8,0,IF('Operating Assumptions'!$L15="N/A",0,IF('Operating Assumptions'!$L15="$/Unit/Annual",(('Operating Assumptions'!$M15*T$25)*T$36)/12,IF('Operating Assumptions'!$L15="$/Unit/Month",('Operating Assumptions'!$M15*T$25)*T$36,IF('Operating Assumptions'!$L15="Fixed Amount",('Operating Assumptions'!$M15*T$25)/12,IF('Operating Assumptions'!$L15="$/GSF",(('Operating Assumptions'!$M15*T$25)*'Operating Assumptions'!$D$11)/12,IF('Operating Assumptions'!$L15="$/NSF",(('Operating Assumptions'!$M15*T$25)*'Operating Assumptions'!$D$12)/12))))))))</f>
        <v>0</v>
      </c>
      <c r="U87" s="427">
        <f>-IF(U$9&lt;'Operating Assumptions'!$D$53,0,IF(U$6&gt;'Operating Assumptions'!$AA$8,0,IF('Operating Assumptions'!$L15="N/A",0,IF('Operating Assumptions'!$L15="$/Unit/Annual",(('Operating Assumptions'!$M15*U$25)*U$36)/12,IF('Operating Assumptions'!$L15="$/Unit/Month",('Operating Assumptions'!$M15*U$25)*U$36,IF('Operating Assumptions'!$L15="Fixed Amount",('Operating Assumptions'!$M15*U$25)/12,IF('Operating Assumptions'!$L15="$/GSF",(('Operating Assumptions'!$M15*U$25)*'Operating Assumptions'!$D$11)/12,IF('Operating Assumptions'!$L15="$/NSF",(('Operating Assumptions'!$M15*U$25)*'Operating Assumptions'!$D$12)/12))))))))</f>
        <v>0</v>
      </c>
      <c r="V87" s="427">
        <f>-IF(V$9&lt;'Operating Assumptions'!$D$53,0,IF(V$6&gt;'Operating Assumptions'!$AA$8,0,IF('Operating Assumptions'!$L15="N/A",0,IF('Operating Assumptions'!$L15="$/Unit/Annual",(('Operating Assumptions'!$M15*V$25)*V$36)/12,IF('Operating Assumptions'!$L15="$/Unit/Month",('Operating Assumptions'!$M15*V$25)*V$36,IF('Operating Assumptions'!$L15="Fixed Amount",('Operating Assumptions'!$M15*V$25)/12,IF('Operating Assumptions'!$L15="$/GSF",(('Operating Assumptions'!$M15*V$25)*'Operating Assumptions'!$D$11)/12,IF('Operating Assumptions'!$L15="$/NSF",(('Operating Assumptions'!$M15*V$25)*'Operating Assumptions'!$D$12)/12))))))))</f>
        <v>0</v>
      </c>
      <c r="W87" s="427">
        <f>-IF(W$9&lt;'Operating Assumptions'!$D$53,0,IF(W$6&gt;'Operating Assumptions'!$AA$8,0,IF('Operating Assumptions'!$L15="N/A",0,IF('Operating Assumptions'!$L15="$/Unit/Annual",(('Operating Assumptions'!$M15*W$25)*W$36)/12,IF('Operating Assumptions'!$L15="$/Unit/Month",('Operating Assumptions'!$M15*W$25)*W$36,IF('Operating Assumptions'!$L15="Fixed Amount",('Operating Assumptions'!$M15*W$25)/12,IF('Operating Assumptions'!$L15="$/GSF",(('Operating Assumptions'!$M15*W$25)*'Operating Assumptions'!$D$11)/12,IF('Operating Assumptions'!$L15="$/NSF",(('Operating Assumptions'!$M15*W$25)*'Operating Assumptions'!$D$12)/12))))))))</f>
        <v>0</v>
      </c>
      <c r="X87" s="427">
        <f>-IF(X$9&lt;'Operating Assumptions'!$D$53,0,IF(X$6&gt;'Operating Assumptions'!$AA$8,0,IF('Operating Assumptions'!$L15="N/A",0,IF('Operating Assumptions'!$L15="$/Unit/Annual",(('Operating Assumptions'!$M15*X$25)*X$36)/12,IF('Operating Assumptions'!$L15="$/Unit/Month",('Operating Assumptions'!$M15*X$25)*X$36,IF('Operating Assumptions'!$L15="Fixed Amount",('Operating Assumptions'!$M15*X$25)/12,IF('Operating Assumptions'!$L15="$/GSF",(('Operating Assumptions'!$M15*X$25)*'Operating Assumptions'!$D$11)/12,IF('Operating Assumptions'!$L15="$/NSF",(('Operating Assumptions'!$M15*X$25)*'Operating Assumptions'!$D$12)/12))))))))</f>
        <v>0</v>
      </c>
      <c r="Y87" s="427">
        <f>-IF(Y$9&lt;'Operating Assumptions'!$D$53,0,IF(Y$6&gt;'Operating Assumptions'!$AA$8,0,IF('Operating Assumptions'!$L15="N/A",0,IF('Operating Assumptions'!$L15="$/Unit/Annual",(('Operating Assumptions'!$M15*Y$25)*Y$36)/12,IF('Operating Assumptions'!$L15="$/Unit/Month",('Operating Assumptions'!$M15*Y$25)*Y$36,IF('Operating Assumptions'!$L15="Fixed Amount",('Operating Assumptions'!$M15*Y$25)/12,IF('Operating Assumptions'!$L15="$/GSF",(('Operating Assumptions'!$M15*Y$25)*'Operating Assumptions'!$D$11)/12,IF('Operating Assumptions'!$L15="$/NSF",(('Operating Assumptions'!$M15*Y$25)*'Operating Assumptions'!$D$12)/12))))))))</f>
        <v>0</v>
      </c>
      <c r="Z87" s="427">
        <f>-IF(Z$9&lt;'Operating Assumptions'!$D$53,0,IF(Z$6&gt;'Operating Assumptions'!$AA$8,0,IF('Operating Assumptions'!$L15="N/A",0,IF('Operating Assumptions'!$L15="$/Unit/Annual",(('Operating Assumptions'!$M15*Z$25)*Z$36)/12,IF('Operating Assumptions'!$L15="$/Unit/Month",('Operating Assumptions'!$M15*Z$25)*Z$36,IF('Operating Assumptions'!$L15="Fixed Amount",('Operating Assumptions'!$M15*Z$25)/12,IF('Operating Assumptions'!$L15="$/GSF",(('Operating Assumptions'!$M15*Z$25)*'Operating Assumptions'!$D$11)/12,IF('Operating Assumptions'!$L15="$/NSF",(('Operating Assumptions'!$M15*Z$25)*'Operating Assumptions'!$D$12)/12))))))))</f>
        <v>0</v>
      </c>
      <c r="AA87" s="427">
        <f>-IF(AA$9&lt;'Operating Assumptions'!$D$53,0,IF(AA$6&gt;'Operating Assumptions'!$AA$8,0,IF('Operating Assumptions'!$L15="N/A",0,IF('Operating Assumptions'!$L15="$/Unit/Annual",(('Operating Assumptions'!$M15*AA$25)*AA$36)/12,IF('Operating Assumptions'!$L15="$/Unit/Month",('Operating Assumptions'!$M15*AA$25)*AA$36,IF('Operating Assumptions'!$L15="Fixed Amount",('Operating Assumptions'!$M15*AA$25)/12,IF('Operating Assumptions'!$L15="$/GSF",(('Operating Assumptions'!$M15*AA$25)*'Operating Assumptions'!$D$11)/12,IF('Operating Assumptions'!$L15="$/NSF",(('Operating Assumptions'!$M15*AA$25)*'Operating Assumptions'!$D$12)/12))))))))</f>
        <v>0</v>
      </c>
      <c r="AB87" s="427">
        <f>-IF(AB$9&lt;'Operating Assumptions'!$D$53,0,IF(AB$6&gt;'Operating Assumptions'!$AA$8,0,IF('Operating Assumptions'!$L15="N/A",0,IF('Operating Assumptions'!$L15="$/Unit/Annual",(('Operating Assumptions'!$M15*AB$25)*AB$36)/12,IF('Operating Assumptions'!$L15="$/Unit/Month",('Operating Assumptions'!$M15*AB$25)*AB$36,IF('Operating Assumptions'!$L15="Fixed Amount",('Operating Assumptions'!$M15*AB$25)/12,IF('Operating Assumptions'!$L15="$/GSF",(('Operating Assumptions'!$M15*AB$25)*'Operating Assumptions'!$D$11)/12,IF('Operating Assumptions'!$L15="$/NSF",(('Operating Assumptions'!$M15*AB$25)*'Operating Assumptions'!$D$12)/12))))))))</f>
        <v>0</v>
      </c>
      <c r="AC87" s="427">
        <f>-IF(AC$9&lt;'Operating Assumptions'!$D$53,0,IF(AC$6&gt;'Operating Assumptions'!$AA$8,0,IF('Operating Assumptions'!$L15="N/A",0,IF('Operating Assumptions'!$L15="$/Unit/Annual",(('Operating Assumptions'!$M15*AC$25)*AC$36)/12,IF('Operating Assumptions'!$L15="$/Unit/Month",('Operating Assumptions'!$M15*AC$25)*AC$36,IF('Operating Assumptions'!$L15="Fixed Amount",('Operating Assumptions'!$M15*AC$25)/12,IF('Operating Assumptions'!$L15="$/GSF",(('Operating Assumptions'!$M15*AC$25)*'Operating Assumptions'!$D$11)/12,IF('Operating Assumptions'!$L15="$/NSF",(('Operating Assumptions'!$M15*AC$25)*'Operating Assumptions'!$D$12)/12))))))))</f>
        <v>0</v>
      </c>
      <c r="AD87" s="427">
        <f>-IF(AD$9&lt;'Operating Assumptions'!$D$53,0,IF(AD$6&gt;'Operating Assumptions'!$AA$8,0,IF('Operating Assumptions'!$L15="N/A",0,IF('Operating Assumptions'!$L15="$/Unit/Annual",(('Operating Assumptions'!$M15*AD$25)*AD$36)/12,IF('Operating Assumptions'!$L15="$/Unit/Month",('Operating Assumptions'!$M15*AD$25)*AD$36,IF('Operating Assumptions'!$L15="Fixed Amount",('Operating Assumptions'!$M15*AD$25)/12,IF('Operating Assumptions'!$L15="$/GSF",(('Operating Assumptions'!$M15*AD$25)*'Operating Assumptions'!$D$11)/12,IF('Operating Assumptions'!$L15="$/NSF",(('Operating Assumptions'!$M15*AD$25)*'Operating Assumptions'!$D$12)/12))))))))</f>
        <v>0</v>
      </c>
      <c r="AE87" s="427">
        <f>-IF(AE$9&lt;'Operating Assumptions'!$D$53,0,IF(AE$6&gt;'Operating Assumptions'!$AA$8,0,IF('Operating Assumptions'!$L15="N/A",0,IF('Operating Assumptions'!$L15="$/Unit/Annual",(('Operating Assumptions'!$M15*AE$25)*AE$36)/12,IF('Operating Assumptions'!$L15="$/Unit/Month",('Operating Assumptions'!$M15*AE$25)*AE$36,IF('Operating Assumptions'!$L15="Fixed Amount",('Operating Assumptions'!$M15*AE$25)/12,IF('Operating Assumptions'!$L15="$/GSF",(('Operating Assumptions'!$M15*AE$25)*'Operating Assumptions'!$D$11)/12,IF('Operating Assumptions'!$L15="$/NSF",(('Operating Assumptions'!$M15*AE$25)*'Operating Assumptions'!$D$12)/12))))))))</f>
        <v>0</v>
      </c>
      <c r="AF87" s="427">
        <f>-IF(AF$9&lt;'Operating Assumptions'!$D$53,0,IF(AF$6&gt;'Operating Assumptions'!$AA$8,0,IF('Operating Assumptions'!$L15="N/A",0,IF('Operating Assumptions'!$L15="$/Unit/Annual",(('Operating Assumptions'!$M15*AF$25)*AF$36)/12,IF('Operating Assumptions'!$L15="$/Unit/Month",('Operating Assumptions'!$M15*AF$25)*AF$36,IF('Operating Assumptions'!$L15="Fixed Amount",('Operating Assumptions'!$M15*AF$25)/12,IF('Operating Assumptions'!$L15="$/GSF",(('Operating Assumptions'!$M15*AF$25)*'Operating Assumptions'!$D$11)/12,IF('Operating Assumptions'!$L15="$/NSF",(('Operating Assumptions'!$M15*AF$25)*'Operating Assumptions'!$D$12)/12))))))))</f>
        <v>0</v>
      </c>
      <c r="AG87" s="427">
        <f>-IF(AG$9&lt;'Operating Assumptions'!$D$53,0,IF(AG$6&gt;'Operating Assumptions'!$AA$8,0,IF('Operating Assumptions'!$L15="N/A",0,IF('Operating Assumptions'!$L15="$/Unit/Annual",(('Operating Assumptions'!$M15*AG$25)*AG$36)/12,IF('Operating Assumptions'!$L15="$/Unit/Month",('Operating Assumptions'!$M15*AG$25)*AG$36,IF('Operating Assumptions'!$L15="Fixed Amount",('Operating Assumptions'!$M15*AG$25)/12,IF('Operating Assumptions'!$L15="$/GSF",(('Operating Assumptions'!$M15*AG$25)*'Operating Assumptions'!$D$11)/12,IF('Operating Assumptions'!$L15="$/NSF",(('Operating Assumptions'!$M15*AG$25)*'Operating Assumptions'!$D$12)/12))))))))</f>
        <v>0</v>
      </c>
      <c r="AH87" s="427">
        <f>-IF(AH$9&lt;'Operating Assumptions'!$D$53,0,IF(AH$6&gt;'Operating Assumptions'!$AA$8,0,IF('Operating Assumptions'!$L15="N/A",0,IF('Operating Assumptions'!$L15="$/Unit/Annual",(('Operating Assumptions'!$M15*AH$25)*AH$36)/12,IF('Operating Assumptions'!$L15="$/Unit/Month",('Operating Assumptions'!$M15*AH$25)*AH$36,IF('Operating Assumptions'!$L15="Fixed Amount",('Operating Assumptions'!$M15*AH$25)/12,IF('Operating Assumptions'!$L15="$/GSF",(('Operating Assumptions'!$M15*AH$25)*'Operating Assumptions'!$D$11)/12,IF('Operating Assumptions'!$L15="$/NSF",(('Operating Assumptions'!$M15*AH$25)*'Operating Assumptions'!$D$12)/12))))))))</f>
        <v>0</v>
      </c>
      <c r="AI87" s="427">
        <f>-IF(AI$9&lt;'Operating Assumptions'!$D$53,0,IF(AI$6&gt;'Operating Assumptions'!$AA$8,0,IF('Operating Assumptions'!$L15="N/A",0,IF('Operating Assumptions'!$L15="$/Unit/Annual",(('Operating Assumptions'!$M15*AI$25)*AI$36)/12,IF('Operating Assumptions'!$L15="$/Unit/Month",('Operating Assumptions'!$M15*AI$25)*AI$36,IF('Operating Assumptions'!$L15="Fixed Amount",('Operating Assumptions'!$M15*AI$25)/12,IF('Operating Assumptions'!$L15="$/GSF",(('Operating Assumptions'!$M15*AI$25)*'Operating Assumptions'!$D$11)/12,IF('Operating Assumptions'!$L15="$/NSF",(('Operating Assumptions'!$M15*AI$25)*'Operating Assumptions'!$D$12)/12))))))))</f>
        <v>0</v>
      </c>
      <c r="AJ87" s="427">
        <f>-IF(AJ$9&lt;'Operating Assumptions'!$D$53,0,IF(AJ$6&gt;'Operating Assumptions'!$AA$8,0,IF('Operating Assumptions'!$L15="N/A",0,IF('Operating Assumptions'!$L15="$/Unit/Annual",(('Operating Assumptions'!$M15*AJ$25)*AJ$36)/12,IF('Operating Assumptions'!$L15="$/Unit/Month",('Operating Assumptions'!$M15*AJ$25)*AJ$36,IF('Operating Assumptions'!$L15="Fixed Amount",('Operating Assumptions'!$M15*AJ$25)/12,IF('Operating Assumptions'!$L15="$/GSF",(('Operating Assumptions'!$M15*AJ$25)*'Operating Assumptions'!$D$11)/12,IF('Operating Assumptions'!$L15="$/NSF",(('Operating Assumptions'!$M15*AJ$25)*'Operating Assumptions'!$D$12)/12))))))))</f>
        <v>0</v>
      </c>
      <c r="AK87" s="427">
        <f>-IF(AK$9&lt;'Operating Assumptions'!$D$53,0,IF(AK$6&gt;'Operating Assumptions'!$AA$8,0,IF('Operating Assumptions'!$L15="N/A",0,IF('Operating Assumptions'!$L15="$/Unit/Annual",(('Operating Assumptions'!$M15*AK$25)*AK$36)/12,IF('Operating Assumptions'!$L15="$/Unit/Month",('Operating Assumptions'!$M15*AK$25)*AK$36,IF('Operating Assumptions'!$L15="Fixed Amount",('Operating Assumptions'!$M15*AK$25)/12,IF('Operating Assumptions'!$L15="$/GSF",(('Operating Assumptions'!$M15*AK$25)*'Operating Assumptions'!$D$11)/12,IF('Operating Assumptions'!$L15="$/NSF",(('Operating Assumptions'!$M15*AK$25)*'Operating Assumptions'!$D$12)/12))))))))</f>
        <v>0</v>
      </c>
      <c r="AL87" s="427">
        <f>-IF(AL$9&lt;'Operating Assumptions'!$D$53,0,IF(AL$6&gt;'Operating Assumptions'!$AA$8,0,IF('Operating Assumptions'!$L15="N/A",0,IF('Operating Assumptions'!$L15="$/Unit/Annual",(('Operating Assumptions'!$M15*AL$25)*AL$36)/12,IF('Operating Assumptions'!$L15="$/Unit/Month",('Operating Assumptions'!$M15*AL$25)*AL$36,IF('Operating Assumptions'!$L15="Fixed Amount",('Operating Assumptions'!$M15*AL$25)/12,IF('Operating Assumptions'!$L15="$/GSF",(('Operating Assumptions'!$M15*AL$25)*'Operating Assumptions'!$D$11)/12,IF('Operating Assumptions'!$L15="$/NSF",(('Operating Assumptions'!$M15*AL$25)*'Operating Assumptions'!$D$12)/12))))))))</f>
        <v>0</v>
      </c>
      <c r="AM87" s="427">
        <f>-IF(AM$9&lt;'Operating Assumptions'!$D$53,0,IF(AM$6&gt;'Operating Assumptions'!$AA$8,0,IF('Operating Assumptions'!$L15="N/A",0,IF('Operating Assumptions'!$L15="$/Unit/Annual",(('Operating Assumptions'!$M15*AM$25)*AM$36)/12,IF('Operating Assumptions'!$L15="$/Unit/Month",('Operating Assumptions'!$M15*AM$25)*AM$36,IF('Operating Assumptions'!$L15="Fixed Amount",('Operating Assumptions'!$M15*AM$25)/12,IF('Operating Assumptions'!$L15="$/GSF",(('Operating Assumptions'!$M15*AM$25)*'Operating Assumptions'!$D$11)/12,IF('Operating Assumptions'!$L15="$/NSF",(('Operating Assumptions'!$M15*AM$25)*'Operating Assumptions'!$D$12)/12))))))))</f>
        <v>0</v>
      </c>
      <c r="AN87" s="427">
        <f>-IF(AN$9&lt;'Operating Assumptions'!$D$53,0,IF(AN$6&gt;'Operating Assumptions'!$AA$8,0,IF('Operating Assumptions'!$L15="N/A",0,IF('Operating Assumptions'!$L15="$/Unit/Annual",(('Operating Assumptions'!$M15*AN$25)*AN$36)/12,IF('Operating Assumptions'!$L15="$/Unit/Month",('Operating Assumptions'!$M15*AN$25)*AN$36,IF('Operating Assumptions'!$L15="Fixed Amount",('Operating Assumptions'!$M15*AN$25)/12,IF('Operating Assumptions'!$L15="$/GSF",(('Operating Assumptions'!$M15*AN$25)*'Operating Assumptions'!$D$11)/12,IF('Operating Assumptions'!$L15="$/NSF",(('Operating Assumptions'!$M15*AN$25)*'Operating Assumptions'!$D$12)/12))))))))</f>
        <v>0</v>
      </c>
      <c r="AO87" s="427">
        <f>-IF(AO$9&lt;'Operating Assumptions'!$D$53,0,IF(AO$6&gt;'Operating Assumptions'!$AA$8,0,IF('Operating Assumptions'!$L15="N/A",0,IF('Operating Assumptions'!$L15="$/Unit/Annual",(('Operating Assumptions'!$M15*AO$25)*AO$36)/12,IF('Operating Assumptions'!$L15="$/Unit/Month",('Operating Assumptions'!$M15*AO$25)*AO$36,IF('Operating Assumptions'!$L15="Fixed Amount",('Operating Assumptions'!$M15*AO$25)/12,IF('Operating Assumptions'!$L15="$/GSF",(('Operating Assumptions'!$M15*AO$25)*'Operating Assumptions'!$D$11)/12,IF('Operating Assumptions'!$L15="$/NSF",(('Operating Assumptions'!$M15*AO$25)*'Operating Assumptions'!$D$12)/12))))))))</f>
        <v>0</v>
      </c>
      <c r="AP87" s="427">
        <f>-IF(AP$9&lt;'Operating Assumptions'!$D$53,0,IF(AP$6&gt;'Operating Assumptions'!$AA$8,0,IF('Operating Assumptions'!$L15="N/A",0,IF('Operating Assumptions'!$L15="$/Unit/Annual",(('Operating Assumptions'!$M15*AP$25)*AP$36)/12,IF('Operating Assumptions'!$L15="$/Unit/Month",('Operating Assumptions'!$M15*AP$25)*AP$36,IF('Operating Assumptions'!$L15="Fixed Amount",('Operating Assumptions'!$M15*AP$25)/12,IF('Operating Assumptions'!$L15="$/GSF",(('Operating Assumptions'!$M15*AP$25)*'Operating Assumptions'!$D$11)/12,IF('Operating Assumptions'!$L15="$/NSF",(('Operating Assumptions'!$M15*AP$25)*'Operating Assumptions'!$D$12)/12))))))))</f>
        <v>0</v>
      </c>
      <c r="AQ87" s="427">
        <f>-IF(AQ$9&lt;'Operating Assumptions'!$D$53,0,IF(AQ$6&gt;'Operating Assumptions'!$AA$8,0,IF('Operating Assumptions'!$L15="N/A",0,IF('Operating Assumptions'!$L15="$/Unit/Annual",(('Operating Assumptions'!$M15*AQ$25)*AQ$36)/12,IF('Operating Assumptions'!$L15="$/Unit/Month",('Operating Assumptions'!$M15*AQ$25)*AQ$36,IF('Operating Assumptions'!$L15="Fixed Amount",('Operating Assumptions'!$M15*AQ$25)/12,IF('Operating Assumptions'!$L15="$/GSF",(('Operating Assumptions'!$M15*AQ$25)*'Operating Assumptions'!$D$11)/12,IF('Operating Assumptions'!$L15="$/NSF",(('Operating Assumptions'!$M15*AQ$25)*'Operating Assumptions'!$D$12)/12))))))))</f>
        <v>0</v>
      </c>
      <c r="AR87" s="427">
        <f>-IF(AR$9&lt;'Operating Assumptions'!$D$53,0,IF(AR$6&gt;'Operating Assumptions'!$AA$8,0,IF('Operating Assumptions'!$L15="N/A",0,IF('Operating Assumptions'!$L15="$/Unit/Annual",(('Operating Assumptions'!$M15*AR$25)*AR$36)/12,IF('Operating Assumptions'!$L15="$/Unit/Month",('Operating Assumptions'!$M15*AR$25)*AR$36,IF('Operating Assumptions'!$L15="Fixed Amount",('Operating Assumptions'!$M15*AR$25)/12,IF('Operating Assumptions'!$L15="$/GSF",(('Operating Assumptions'!$M15*AR$25)*'Operating Assumptions'!$D$11)/12,IF('Operating Assumptions'!$L15="$/NSF",(('Operating Assumptions'!$M15*AR$25)*'Operating Assumptions'!$D$12)/12))))))))</f>
        <v>0</v>
      </c>
      <c r="AS87" s="427">
        <f>-IF(AS$9&lt;'Operating Assumptions'!$D$53,0,IF(AS$6&gt;'Operating Assumptions'!$AA$8,0,IF('Operating Assumptions'!$L15="N/A",0,IF('Operating Assumptions'!$L15="$/Unit/Annual",(('Operating Assumptions'!$M15*AS$25)*AS$36)/12,IF('Operating Assumptions'!$L15="$/Unit/Month",('Operating Assumptions'!$M15*AS$25)*AS$36,IF('Operating Assumptions'!$L15="Fixed Amount",('Operating Assumptions'!$M15*AS$25)/12,IF('Operating Assumptions'!$L15="$/GSF",(('Operating Assumptions'!$M15*AS$25)*'Operating Assumptions'!$D$11)/12,IF('Operating Assumptions'!$L15="$/NSF",(('Operating Assumptions'!$M15*AS$25)*'Operating Assumptions'!$D$12)/12))))))))</f>
        <v>0</v>
      </c>
      <c r="AT87" s="427">
        <f>-IF(AT$9&lt;'Operating Assumptions'!$D$53,0,IF(AT$6&gt;'Operating Assumptions'!$AA$8,0,IF('Operating Assumptions'!$L15="N/A",0,IF('Operating Assumptions'!$L15="$/Unit/Annual",(('Operating Assumptions'!$M15*AT$25)*AT$36)/12,IF('Operating Assumptions'!$L15="$/Unit/Month",('Operating Assumptions'!$M15*AT$25)*AT$36,IF('Operating Assumptions'!$L15="Fixed Amount",('Operating Assumptions'!$M15*AT$25)/12,IF('Operating Assumptions'!$L15="$/GSF",(('Operating Assumptions'!$M15*AT$25)*'Operating Assumptions'!$D$11)/12,IF('Operating Assumptions'!$L15="$/NSF",(('Operating Assumptions'!$M15*AT$25)*'Operating Assumptions'!$D$12)/12))))))))</f>
        <v>0</v>
      </c>
      <c r="AU87" s="427">
        <f>-IF(AU$9&lt;'Operating Assumptions'!$D$53,0,IF(AU$6&gt;'Operating Assumptions'!$AA$8,0,IF('Operating Assumptions'!$L15="N/A",0,IF('Operating Assumptions'!$L15="$/Unit/Annual",(('Operating Assumptions'!$M15*AU$25)*AU$36)/12,IF('Operating Assumptions'!$L15="$/Unit/Month",('Operating Assumptions'!$M15*AU$25)*AU$36,IF('Operating Assumptions'!$L15="Fixed Amount",('Operating Assumptions'!$M15*AU$25)/12,IF('Operating Assumptions'!$L15="$/GSF",(('Operating Assumptions'!$M15*AU$25)*'Operating Assumptions'!$D$11)/12,IF('Operating Assumptions'!$L15="$/NSF",(('Operating Assumptions'!$M15*AU$25)*'Operating Assumptions'!$D$12)/12))))))))</f>
        <v>0</v>
      </c>
      <c r="AV87" s="427">
        <f>-IF(AV$9&lt;'Operating Assumptions'!$D$53,0,IF(AV$6&gt;'Operating Assumptions'!$AA$8,0,IF('Operating Assumptions'!$L15="N/A",0,IF('Operating Assumptions'!$L15="$/Unit/Annual",(('Operating Assumptions'!$M15*AV$25)*AV$36)/12,IF('Operating Assumptions'!$L15="$/Unit/Month",('Operating Assumptions'!$M15*AV$25)*AV$36,IF('Operating Assumptions'!$L15="Fixed Amount",('Operating Assumptions'!$M15*AV$25)/12,IF('Operating Assumptions'!$L15="$/GSF",(('Operating Assumptions'!$M15*AV$25)*'Operating Assumptions'!$D$11)/12,IF('Operating Assumptions'!$L15="$/NSF",(('Operating Assumptions'!$M15*AV$25)*'Operating Assumptions'!$D$12)/12))))))))</f>
        <v>0</v>
      </c>
      <c r="AW87" s="427">
        <f>-IF(AW$9&lt;'Operating Assumptions'!$D$53,0,IF(AW$6&gt;'Operating Assumptions'!$AA$8,0,IF('Operating Assumptions'!$L15="N/A",0,IF('Operating Assumptions'!$L15="$/Unit/Annual",(('Operating Assumptions'!$M15*AW$25)*AW$36)/12,IF('Operating Assumptions'!$L15="$/Unit/Month",('Operating Assumptions'!$M15*AW$25)*AW$36,IF('Operating Assumptions'!$L15="Fixed Amount",('Operating Assumptions'!$M15*AW$25)/12,IF('Operating Assumptions'!$L15="$/GSF",(('Operating Assumptions'!$M15*AW$25)*'Operating Assumptions'!$D$11)/12,IF('Operating Assumptions'!$L15="$/NSF",(('Operating Assumptions'!$M15*AW$25)*'Operating Assumptions'!$D$12)/12))))))))</f>
        <v>0</v>
      </c>
      <c r="AX87" s="427">
        <f>-IF(AX$9&lt;'Operating Assumptions'!$D$53,0,IF(AX$6&gt;'Operating Assumptions'!$AA$8,0,IF('Operating Assumptions'!$L15="N/A",0,IF('Operating Assumptions'!$L15="$/Unit/Annual",(('Operating Assumptions'!$M15*AX$25)*AX$36)/12,IF('Operating Assumptions'!$L15="$/Unit/Month",('Operating Assumptions'!$M15*AX$25)*AX$36,IF('Operating Assumptions'!$L15="Fixed Amount",('Operating Assumptions'!$M15*AX$25)/12,IF('Operating Assumptions'!$L15="$/GSF",(('Operating Assumptions'!$M15*AX$25)*'Operating Assumptions'!$D$11)/12,IF('Operating Assumptions'!$L15="$/NSF",(('Operating Assumptions'!$M15*AX$25)*'Operating Assumptions'!$D$12)/12))))))))</f>
        <v>0</v>
      </c>
      <c r="AY87" s="427">
        <f>-IF(AY$9&lt;'Operating Assumptions'!$D$53,0,IF(AY$6&gt;'Operating Assumptions'!$AA$8,0,IF('Operating Assumptions'!$L15="N/A",0,IF('Operating Assumptions'!$L15="$/Unit/Annual",(('Operating Assumptions'!$M15*AY$25)*AY$36)/12,IF('Operating Assumptions'!$L15="$/Unit/Month",('Operating Assumptions'!$M15*AY$25)*AY$36,IF('Operating Assumptions'!$L15="Fixed Amount",('Operating Assumptions'!$M15*AY$25)/12,IF('Operating Assumptions'!$L15="$/GSF",(('Operating Assumptions'!$M15*AY$25)*'Operating Assumptions'!$D$11)/12,IF('Operating Assumptions'!$L15="$/NSF",(('Operating Assumptions'!$M15*AY$25)*'Operating Assumptions'!$D$12)/12))))))))</f>
        <v>0</v>
      </c>
      <c r="AZ87" s="427">
        <f>-IF(AZ$9&lt;'Operating Assumptions'!$D$53,0,IF(AZ$6&gt;'Operating Assumptions'!$AA$8,0,IF('Operating Assumptions'!$L15="N/A",0,IF('Operating Assumptions'!$L15="$/Unit/Annual",(('Operating Assumptions'!$M15*AZ$25)*AZ$36)/12,IF('Operating Assumptions'!$L15="$/Unit/Month",('Operating Assumptions'!$M15*AZ$25)*AZ$36,IF('Operating Assumptions'!$L15="Fixed Amount",('Operating Assumptions'!$M15*AZ$25)/12,IF('Operating Assumptions'!$L15="$/GSF",(('Operating Assumptions'!$M15*AZ$25)*'Operating Assumptions'!$D$11)/12,IF('Operating Assumptions'!$L15="$/NSF",(('Operating Assumptions'!$M15*AZ$25)*'Operating Assumptions'!$D$12)/12))))))))</f>
        <v>0</v>
      </c>
      <c r="BA87" s="427">
        <f>-IF(BA$9&lt;'Operating Assumptions'!$D$53,0,IF(BA$6&gt;'Operating Assumptions'!$AA$8,0,IF('Operating Assumptions'!$L15="N/A",0,IF('Operating Assumptions'!$L15="$/Unit/Annual",(('Operating Assumptions'!$M15*BA$25)*BA$36)/12,IF('Operating Assumptions'!$L15="$/Unit/Month",('Operating Assumptions'!$M15*BA$25)*BA$36,IF('Operating Assumptions'!$L15="Fixed Amount",('Operating Assumptions'!$M15*BA$25)/12,IF('Operating Assumptions'!$L15="$/GSF",(('Operating Assumptions'!$M15*BA$25)*'Operating Assumptions'!$D$11)/12,IF('Operating Assumptions'!$L15="$/NSF",(('Operating Assumptions'!$M15*BA$25)*'Operating Assumptions'!$D$12)/12))))))))</f>
        <v>0</v>
      </c>
      <c r="BB87" s="427">
        <f>-IF(BB$9&lt;'Operating Assumptions'!$D$53,0,IF(BB$6&gt;'Operating Assumptions'!$AA$8,0,IF('Operating Assumptions'!$L15="N/A",0,IF('Operating Assumptions'!$L15="$/Unit/Annual",(('Operating Assumptions'!$M15*BB$25)*BB$36)/12,IF('Operating Assumptions'!$L15="$/Unit/Month",('Operating Assumptions'!$M15*BB$25)*BB$36,IF('Operating Assumptions'!$L15="Fixed Amount",('Operating Assumptions'!$M15*BB$25)/12,IF('Operating Assumptions'!$L15="$/GSF",(('Operating Assumptions'!$M15*BB$25)*'Operating Assumptions'!$D$11)/12,IF('Operating Assumptions'!$L15="$/NSF",(('Operating Assumptions'!$M15*BB$25)*'Operating Assumptions'!$D$12)/12))))))))</f>
        <v>0</v>
      </c>
      <c r="BC87" s="427">
        <f>-IF(BC$9&lt;'Operating Assumptions'!$D$53,0,IF(BC$6&gt;'Operating Assumptions'!$AA$8,0,IF('Operating Assumptions'!$L15="N/A",0,IF('Operating Assumptions'!$L15="$/Unit/Annual",(('Operating Assumptions'!$M15*BC$25)*BC$36)/12,IF('Operating Assumptions'!$L15="$/Unit/Month",('Operating Assumptions'!$M15*BC$25)*BC$36,IF('Operating Assumptions'!$L15="Fixed Amount",('Operating Assumptions'!$M15*BC$25)/12,IF('Operating Assumptions'!$L15="$/GSF",(('Operating Assumptions'!$M15*BC$25)*'Operating Assumptions'!$D$11)/12,IF('Operating Assumptions'!$L15="$/NSF",(('Operating Assumptions'!$M15*BC$25)*'Operating Assumptions'!$D$12)/12))))))))</f>
        <v>0</v>
      </c>
      <c r="BD87" s="427">
        <f>-IF(BD$9&lt;'Operating Assumptions'!$D$53,0,IF(BD$6&gt;'Operating Assumptions'!$AA$8,0,IF('Operating Assumptions'!$L15="N/A",0,IF('Operating Assumptions'!$L15="$/Unit/Annual",(('Operating Assumptions'!$M15*BD$25)*BD$36)/12,IF('Operating Assumptions'!$L15="$/Unit/Month",('Operating Assumptions'!$M15*BD$25)*BD$36,IF('Operating Assumptions'!$L15="Fixed Amount",('Operating Assumptions'!$M15*BD$25)/12,IF('Operating Assumptions'!$L15="$/GSF",(('Operating Assumptions'!$M15*BD$25)*'Operating Assumptions'!$D$11)/12,IF('Operating Assumptions'!$L15="$/NSF",(('Operating Assumptions'!$M15*BD$25)*'Operating Assumptions'!$D$12)/12))))))))</f>
        <v>0</v>
      </c>
      <c r="BE87" s="427">
        <f>-IF(BE$9&lt;'Operating Assumptions'!$D$53,0,IF(BE$6&gt;'Operating Assumptions'!$AA$8,0,IF('Operating Assumptions'!$L15="N/A",0,IF('Operating Assumptions'!$L15="$/Unit/Annual",(('Operating Assumptions'!$M15*BE$25)*BE$36)/12,IF('Operating Assumptions'!$L15="$/Unit/Month",('Operating Assumptions'!$M15*BE$25)*BE$36,IF('Operating Assumptions'!$L15="Fixed Amount",('Operating Assumptions'!$M15*BE$25)/12,IF('Operating Assumptions'!$L15="$/GSF",(('Operating Assumptions'!$M15*BE$25)*'Operating Assumptions'!$D$11)/12,IF('Operating Assumptions'!$L15="$/NSF",(('Operating Assumptions'!$M15*BE$25)*'Operating Assumptions'!$D$12)/12))))))))</f>
        <v>0</v>
      </c>
      <c r="BF87" s="427">
        <f>-IF(BF$9&lt;'Operating Assumptions'!$D$53,0,IF(BF$6&gt;'Operating Assumptions'!$AA$8,0,IF('Operating Assumptions'!$L15="N/A",0,IF('Operating Assumptions'!$L15="$/Unit/Annual",(('Operating Assumptions'!$M15*BF$25)*BF$36)/12,IF('Operating Assumptions'!$L15="$/Unit/Month",('Operating Assumptions'!$M15*BF$25)*BF$36,IF('Operating Assumptions'!$L15="Fixed Amount",('Operating Assumptions'!$M15*BF$25)/12,IF('Operating Assumptions'!$L15="$/GSF",(('Operating Assumptions'!$M15*BF$25)*'Operating Assumptions'!$D$11)/12,IF('Operating Assumptions'!$L15="$/NSF",(('Operating Assumptions'!$M15*BF$25)*'Operating Assumptions'!$D$12)/12))))))))</f>
        <v>0</v>
      </c>
      <c r="BG87" s="427">
        <f>-IF(BG$9&lt;'Operating Assumptions'!$D$53,0,IF(BG$6&gt;'Operating Assumptions'!$AA$8,0,IF('Operating Assumptions'!$L15="N/A",0,IF('Operating Assumptions'!$L15="$/Unit/Annual",(('Operating Assumptions'!$M15*BG$25)*BG$36)/12,IF('Operating Assumptions'!$L15="$/Unit/Month",('Operating Assumptions'!$M15*BG$25)*BG$36,IF('Operating Assumptions'!$L15="Fixed Amount",('Operating Assumptions'!$M15*BG$25)/12,IF('Operating Assumptions'!$L15="$/GSF",(('Operating Assumptions'!$M15*BG$25)*'Operating Assumptions'!$D$11)/12,IF('Operating Assumptions'!$L15="$/NSF",(('Operating Assumptions'!$M15*BG$25)*'Operating Assumptions'!$D$12)/12))))))))</f>
        <v>0</v>
      </c>
      <c r="BH87" s="427">
        <f>-IF(BH$9&lt;'Operating Assumptions'!$D$53,0,IF(BH$6&gt;'Operating Assumptions'!$AA$8,0,IF('Operating Assumptions'!$L15="N/A",0,IF('Operating Assumptions'!$L15="$/Unit/Annual",(('Operating Assumptions'!$M15*BH$25)*BH$36)/12,IF('Operating Assumptions'!$L15="$/Unit/Month",('Operating Assumptions'!$M15*BH$25)*BH$36,IF('Operating Assumptions'!$L15="Fixed Amount",('Operating Assumptions'!$M15*BH$25)/12,IF('Operating Assumptions'!$L15="$/GSF",(('Operating Assumptions'!$M15*BH$25)*'Operating Assumptions'!$D$11)/12,IF('Operating Assumptions'!$L15="$/NSF",(('Operating Assumptions'!$M15*BH$25)*'Operating Assumptions'!$D$12)/12))))))))</f>
        <v>0</v>
      </c>
      <c r="BI87" s="427">
        <f>-IF(BI$9&lt;'Operating Assumptions'!$D$53,0,IF(BI$6&gt;'Operating Assumptions'!$AA$8,0,IF('Operating Assumptions'!$L15="N/A",0,IF('Operating Assumptions'!$L15="$/Unit/Annual",(('Operating Assumptions'!$M15*BI$25)*BI$36)/12,IF('Operating Assumptions'!$L15="$/Unit/Month",('Operating Assumptions'!$M15*BI$25)*BI$36,IF('Operating Assumptions'!$L15="Fixed Amount",('Operating Assumptions'!$M15*BI$25)/12,IF('Operating Assumptions'!$L15="$/GSF",(('Operating Assumptions'!$M15*BI$25)*'Operating Assumptions'!$D$11)/12,IF('Operating Assumptions'!$L15="$/NSF",(('Operating Assumptions'!$M15*BI$25)*'Operating Assumptions'!$D$12)/12))))))))</f>
        <v>0</v>
      </c>
      <c r="BJ87" s="427">
        <f>-IF(BJ$9&lt;'Operating Assumptions'!$D$53,0,IF(BJ$6&gt;'Operating Assumptions'!$AA$8,0,IF('Operating Assumptions'!$L15="N/A",0,IF('Operating Assumptions'!$L15="$/Unit/Annual",(('Operating Assumptions'!$M15*BJ$25)*BJ$36)/12,IF('Operating Assumptions'!$L15="$/Unit/Month",('Operating Assumptions'!$M15*BJ$25)*BJ$36,IF('Operating Assumptions'!$L15="Fixed Amount",('Operating Assumptions'!$M15*BJ$25)/12,IF('Operating Assumptions'!$L15="$/GSF",(('Operating Assumptions'!$M15*BJ$25)*'Operating Assumptions'!$D$11)/12,IF('Operating Assumptions'!$L15="$/NSF",(('Operating Assumptions'!$M15*BJ$25)*'Operating Assumptions'!$D$12)/12))))))))</f>
        <v>0</v>
      </c>
      <c r="BK87" s="427">
        <f>-IF(BK$9&lt;'Operating Assumptions'!$D$53,0,IF(BK$6&gt;'Operating Assumptions'!$AA$8,0,IF('Operating Assumptions'!$L15="N/A",0,IF('Operating Assumptions'!$L15="$/Unit/Annual",(('Operating Assumptions'!$M15*BK$25)*BK$36)/12,IF('Operating Assumptions'!$L15="$/Unit/Month",('Operating Assumptions'!$M15*BK$25)*BK$36,IF('Operating Assumptions'!$L15="Fixed Amount",('Operating Assumptions'!$M15*BK$25)/12,IF('Operating Assumptions'!$L15="$/GSF",(('Operating Assumptions'!$M15*BK$25)*'Operating Assumptions'!$D$11)/12,IF('Operating Assumptions'!$L15="$/NSF",(('Operating Assumptions'!$M15*BK$25)*'Operating Assumptions'!$D$12)/12))))))))</f>
        <v>0</v>
      </c>
      <c r="BL87" s="427">
        <f>-IF(BL$9&lt;'Operating Assumptions'!$D$53,0,IF(BL$6&gt;'Operating Assumptions'!$AA$8,0,IF('Operating Assumptions'!$L15="N/A",0,IF('Operating Assumptions'!$L15="$/Unit/Annual",(('Operating Assumptions'!$M15*BL$25)*BL$36)/12,IF('Operating Assumptions'!$L15="$/Unit/Month",('Operating Assumptions'!$M15*BL$25)*BL$36,IF('Operating Assumptions'!$L15="Fixed Amount",('Operating Assumptions'!$M15*BL$25)/12,IF('Operating Assumptions'!$L15="$/GSF",(('Operating Assumptions'!$M15*BL$25)*'Operating Assumptions'!$D$11)/12,IF('Operating Assumptions'!$L15="$/NSF",(('Operating Assumptions'!$M15*BL$25)*'Operating Assumptions'!$D$12)/12))))))))</f>
        <v>0</v>
      </c>
      <c r="BM87" s="427">
        <f>-IF(BM$9&lt;'Operating Assumptions'!$D$53,0,IF(BM$6&gt;'Operating Assumptions'!$AA$8,0,IF('Operating Assumptions'!$L15="N/A",0,IF('Operating Assumptions'!$L15="$/Unit/Annual",(('Operating Assumptions'!$M15*BM$25)*BM$36)/12,IF('Operating Assumptions'!$L15="$/Unit/Month",('Operating Assumptions'!$M15*BM$25)*BM$36,IF('Operating Assumptions'!$L15="Fixed Amount",('Operating Assumptions'!$M15*BM$25)/12,IF('Operating Assumptions'!$L15="$/GSF",(('Operating Assumptions'!$M15*BM$25)*'Operating Assumptions'!$D$11)/12,IF('Operating Assumptions'!$L15="$/NSF",(('Operating Assumptions'!$M15*BM$25)*'Operating Assumptions'!$D$12)/12))))))))</f>
        <v>0</v>
      </c>
      <c r="BN87" s="427">
        <f>-IF(BN$9&lt;'Operating Assumptions'!$D$53,0,IF(BN$6&gt;'Operating Assumptions'!$AA$8,0,IF('Operating Assumptions'!$L15="N/A",0,IF('Operating Assumptions'!$L15="$/Unit/Annual",(('Operating Assumptions'!$M15*BN$25)*BN$36)/12,IF('Operating Assumptions'!$L15="$/Unit/Month",('Operating Assumptions'!$M15*BN$25)*BN$36,IF('Operating Assumptions'!$L15="Fixed Amount",('Operating Assumptions'!$M15*BN$25)/12,IF('Operating Assumptions'!$L15="$/GSF",(('Operating Assumptions'!$M15*BN$25)*'Operating Assumptions'!$D$11)/12,IF('Operating Assumptions'!$L15="$/NSF",(('Operating Assumptions'!$M15*BN$25)*'Operating Assumptions'!$D$12)/12))))))))</f>
        <v>0</v>
      </c>
      <c r="BO87" s="427">
        <f>-IF(BO$9&lt;'Operating Assumptions'!$D$53,0,IF(BO$6&gt;'Operating Assumptions'!$AA$8,0,IF('Operating Assumptions'!$L15="N/A",0,IF('Operating Assumptions'!$L15="$/Unit/Annual",(('Operating Assumptions'!$M15*BO$25)*BO$36)/12,IF('Operating Assumptions'!$L15="$/Unit/Month",('Operating Assumptions'!$M15*BO$25)*BO$36,IF('Operating Assumptions'!$L15="Fixed Amount",('Operating Assumptions'!$M15*BO$25)/12,IF('Operating Assumptions'!$L15="$/GSF",(('Operating Assumptions'!$M15*BO$25)*'Operating Assumptions'!$D$11)/12,IF('Operating Assumptions'!$L15="$/NSF",(('Operating Assumptions'!$M15*BO$25)*'Operating Assumptions'!$D$12)/12))))))))</f>
        <v>0</v>
      </c>
      <c r="BP87" s="427">
        <f>-IF(BP$9&lt;'Operating Assumptions'!$D$53,0,IF(BP$6&gt;'Operating Assumptions'!$AA$8,0,IF('Operating Assumptions'!$L15="N/A",0,IF('Operating Assumptions'!$L15="$/Unit/Annual",(('Operating Assumptions'!$M15*BP$25)*BP$36)/12,IF('Operating Assumptions'!$L15="$/Unit/Month",('Operating Assumptions'!$M15*BP$25)*BP$36,IF('Operating Assumptions'!$L15="Fixed Amount",('Operating Assumptions'!$M15*BP$25)/12,IF('Operating Assumptions'!$L15="$/GSF",(('Operating Assumptions'!$M15*BP$25)*'Operating Assumptions'!$D$11)/12,IF('Operating Assumptions'!$L15="$/NSF",(('Operating Assumptions'!$M15*BP$25)*'Operating Assumptions'!$D$12)/12))))))))</f>
        <v>0</v>
      </c>
      <c r="BQ87" s="427">
        <f>-IF(BQ$9&lt;'Operating Assumptions'!$D$53,0,IF(BQ$6&gt;'Operating Assumptions'!$AA$8,0,IF('Operating Assumptions'!$L15="N/A",0,IF('Operating Assumptions'!$L15="$/Unit/Annual",(('Operating Assumptions'!$M15*BQ$25)*BQ$36)/12,IF('Operating Assumptions'!$L15="$/Unit/Month",('Operating Assumptions'!$M15*BQ$25)*BQ$36,IF('Operating Assumptions'!$L15="Fixed Amount",('Operating Assumptions'!$M15*BQ$25)/12,IF('Operating Assumptions'!$L15="$/GSF",(('Operating Assumptions'!$M15*BQ$25)*'Operating Assumptions'!$D$11)/12,IF('Operating Assumptions'!$L15="$/NSF",(('Operating Assumptions'!$M15*BQ$25)*'Operating Assumptions'!$D$12)/12))))))))</f>
        <v>0</v>
      </c>
      <c r="BR87" s="427">
        <f>-IF(BR$9&lt;'Operating Assumptions'!$D$53,0,IF(BR$6&gt;'Operating Assumptions'!$AA$8,0,IF('Operating Assumptions'!$L15="N/A",0,IF('Operating Assumptions'!$L15="$/Unit/Annual",(('Operating Assumptions'!$M15*BR$25)*BR$36)/12,IF('Operating Assumptions'!$L15="$/Unit/Month",('Operating Assumptions'!$M15*BR$25)*BR$36,IF('Operating Assumptions'!$L15="Fixed Amount",('Operating Assumptions'!$M15*BR$25)/12,IF('Operating Assumptions'!$L15="$/GSF",(('Operating Assumptions'!$M15*BR$25)*'Operating Assumptions'!$D$11)/12,IF('Operating Assumptions'!$L15="$/NSF",(('Operating Assumptions'!$M15*BR$25)*'Operating Assumptions'!$D$12)/12))))))))</f>
        <v>0</v>
      </c>
      <c r="BS87" s="427">
        <f>-IF(BS$9&lt;'Operating Assumptions'!$D$53,0,IF(BS$6&gt;'Operating Assumptions'!$AA$8,0,IF('Operating Assumptions'!$L15="N/A",0,IF('Operating Assumptions'!$L15="$/Unit/Annual",(('Operating Assumptions'!$M15*BS$25)*BS$36)/12,IF('Operating Assumptions'!$L15="$/Unit/Month",('Operating Assumptions'!$M15*BS$25)*BS$36,IF('Operating Assumptions'!$L15="Fixed Amount",('Operating Assumptions'!$M15*BS$25)/12,IF('Operating Assumptions'!$L15="$/GSF",(('Operating Assumptions'!$M15*BS$25)*'Operating Assumptions'!$D$11)/12,IF('Operating Assumptions'!$L15="$/NSF",(('Operating Assumptions'!$M15*BS$25)*'Operating Assumptions'!$D$12)/12))))))))</f>
        <v>0</v>
      </c>
      <c r="BT87" s="427">
        <f>-IF(BT$9&lt;'Operating Assumptions'!$D$53,0,IF(BT$6&gt;'Operating Assumptions'!$AA$8,0,IF('Operating Assumptions'!$L15="N/A",0,IF('Operating Assumptions'!$L15="$/Unit/Annual",(('Operating Assumptions'!$M15*BT$25)*BT$36)/12,IF('Operating Assumptions'!$L15="$/Unit/Month",('Operating Assumptions'!$M15*BT$25)*BT$36,IF('Operating Assumptions'!$L15="Fixed Amount",('Operating Assumptions'!$M15*BT$25)/12,IF('Operating Assumptions'!$L15="$/GSF",(('Operating Assumptions'!$M15*BT$25)*'Operating Assumptions'!$D$11)/12,IF('Operating Assumptions'!$L15="$/NSF",(('Operating Assumptions'!$M15*BT$25)*'Operating Assumptions'!$D$12)/12))))))))</f>
        <v>0</v>
      </c>
      <c r="BU87" s="427">
        <f>-IF(BU$9&lt;'Operating Assumptions'!$D$53,0,IF(BU$6&gt;'Operating Assumptions'!$AA$8,0,IF('Operating Assumptions'!$L15="N/A",0,IF('Operating Assumptions'!$L15="$/Unit/Annual",(('Operating Assumptions'!$M15*BU$25)*BU$36)/12,IF('Operating Assumptions'!$L15="$/Unit/Month",('Operating Assumptions'!$M15*BU$25)*BU$36,IF('Operating Assumptions'!$L15="Fixed Amount",('Operating Assumptions'!$M15*BU$25)/12,IF('Operating Assumptions'!$L15="$/GSF",(('Operating Assumptions'!$M15*BU$25)*'Operating Assumptions'!$D$11)/12,IF('Operating Assumptions'!$L15="$/NSF",(('Operating Assumptions'!$M15*BU$25)*'Operating Assumptions'!$D$12)/12))))))))</f>
        <v>0</v>
      </c>
      <c r="BV87" s="427">
        <f>-IF(BV$9&lt;'Operating Assumptions'!$D$53,0,IF(BV$6&gt;'Operating Assumptions'!$AA$8,0,IF('Operating Assumptions'!$L15="N/A",0,IF('Operating Assumptions'!$L15="$/Unit/Annual",(('Operating Assumptions'!$M15*BV$25)*BV$36)/12,IF('Operating Assumptions'!$L15="$/Unit/Month",('Operating Assumptions'!$M15*BV$25)*BV$36,IF('Operating Assumptions'!$L15="Fixed Amount",('Operating Assumptions'!$M15*BV$25)/12,IF('Operating Assumptions'!$L15="$/GSF",(('Operating Assumptions'!$M15*BV$25)*'Operating Assumptions'!$D$11)/12,IF('Operating Assumptions'!$L15="$/NSF",(('Operating Assumptions'!$M15*BV$25)*'Operating Assumptions'!$D$12)/12))))))))</f>
        <v>0</v>
      </c>
      <c r="BW87" s="427">
        <f>-IF(BW$9&lt;'Operating Assumptions'!$D$53,0,IF(BW$6&gt;'Operating Assumptions'!$AA$8,0,IF('Operating Assumptions'!$L15="N/A",0,IF('Operating Assumptions'!$L15="$/Unit/Annual",(('Operating Assumptions'!$M15*BW$25)*BW$36)/12,IF('Operating Assumptions'!$L15="$/Unit/Month",('Operating Assumptions'!$M15*BW$25)*BW$36,IF('Operating Assumptions'!$L15="Fixed Amount",('Operating Assumptions'!$M15*BW$25)/12,IF('Operating Assumptions'!$L15="$/GSF",(('Operating Assumptions'!$M15*BW$25)*'Operating Assumptions'!$D$11)/12,IF('Operating Assumptions'!$L15="$/NSF",(('Operating Assumptions'!$M15*BW$25)*'Operating Assumptions'!$D$12)/12))))))))</f>
        <v>0</v>
      </c>
      <c r="BX87" s="427">
        <f>-IF(BX$9&lt;'Operating Assumptions'!$D$53,0,IF(BX$6&gt;'Operating Assumptions'!$AA$8,0,IF('Operating Assumptions'!$L15="N/A",0,IF('Operating Assumptions'!$L15="$/Unit/Annual",(('Operating Assumptions'!$M15*BX$25)*BX$36)/12,IF('Operating Assumptions'!$L15="$/Unit/Month",('Operating Assumptions'!$M15*BX$25)*BX$36,IF('Operating Assumptions'!$L15="Fixed Amount",('Operating Assumptions'!$M15*BX$25)/12,IF('Operating Assumptions'!$L15="$/GSF",(('Operating Assumptions'!$M15*BX$25)*'Operating Assumptions'!$D$11)/12,IF('Operating Assumptions'!$L15="$/NSF",(('Operating Assumptions'!$M15*BX$25)*'Operating Assumptions'!$D$12)/12))))))))</f>
        <v>0</v>
      </c>
      <c r="BY87" s="427">
        <f>-IF(BY$9&lt;'Operating Assumptions'!$D$53,0,IF(BY$6&gt;'Operating Assumptions'!$AA$8,0,IF('Operating Assumptions'!$L15="N/A",0,IF('Operating Assumptions'!$L15="$/Unit/Annual",(('Operating Assumptions'!$M15*BY$25)*BY$36)/12,IF('Operating Assumptions'!$L15="$/Unit/Month",('Operating Assumptions'!$M15*BY$25)*BY$36,IF('Operating Assumptions'!$L15="Fixed Amount",('Operating Assumptions'!$M15*BY$25)/12,IF('Operating Assumptions'!$L15="$/GSF",(('Operating Assumptions'!$M15*BY$25)*'Operating Assumptions'!$D$11)/12,IF('Operating Assumptions'!$L15="$/NSF",(('Operating Assumptions'!$M15*BY$25)*'Operating Assumptions'!$D$12)/12))))))))</f>
        <v>0</v>
      </c>
      <c r="BZ87" s="427">
        <f>-IF(BZ$9&lt;'Operating Assumptions'!$D$53,0,IF(BZ$6&gt;'Operating Assumptions'!$AA$8,0,IF('Operating Assumptions'!$L15="N/A",0,IF('Operating Assumptions'!$L15="$/Unit/Annual",(('Operating Assumptions'!$M15*BZ$25)*BZ$36)/12,IF('Operating Assumptions'!$L15="$/Unit/Month",('Operating Assumptions'!$M15*BZ$25)*BZ$36,IF('Operating Assumptions'!$L15="Fixed Amount",('Operating Assumptions'!$M15*BZ$25)/12,IF('Operating Assumptions'!$L15="$/GSF",(('Operating Assumptions'!$M15*BZ$25)*'Operating Assumptions'!$D$11)/12,IF('Operating Assumptions'!$L15="$/NSF",(('Operating Assumptions'!$M15*BZ$25)*'Operating Assumptions'!$D$12)/12))))))))</f>
        <v>0</v>
      </c>
      <c r="CA87" s="427">
        <f>-IF(CA$9&lt;'Operating Assumptions'!$D$53,0,IF(CA$6&gt;'Operating Assumptions'!$AA$8,0,IF('Operating Assumptions'!$L15="N/A",0,IF('Operating Assumptions'!$L15="$/Unit/Annual",(('Operating Assumptions'!$M15*CA$25)*CA$36)/12,IF('Operating Assumptions'!$L15="$/Unit/Month",('Operating Assumptions'!$M15*CA$25)*CA$36,IF('Operating Assumptions'!$L15="Fixed Amount",('Operating Assumptions'!$M15*CA$25)/12,IF('Operating Assumptions'!$L15="$/GSF",(('Operating Assumptions'!$M15*CA$25)*'Operating Assumptions'!$D$11)/12,IF('Operating Assumptions'!$L15="$/NSF",(('Operating Assumptions'!$M15*CA$25)*'Operating Assumptions'!$D$12)/12))))))))</f>
        <v>0</v>
      </c>
      <c r="CB87" s="427">
        <f>-IF(CB$9&lt;'Operating Assumptions'!$D$53,0,IF(CB$6&gt;'Operating Assumptions'!$AA$8,0,IF('Operating Assumptions'!$L15="N/A",0,IF('Operating Assumptions'!$L15="$/Unit/Annual",(('Operating Assumptions'!$M15*CB$25)*CB$36)/12,IF('Operating Assumptions'!$L15="$/Unit/Month",('Operating Assumptions'!$M15*CB$25)*CB$36,IF('Operating Assumptions'!$L15="Fixed Amount",('Operating Assumptions'!$M15*CB$25)/12,IF('Operating Assumptions'!$L15="$/GSF",(('Operating Assumptions'!$M15*CB$25)*'Operating Assumptions'!$D$11)/12,IF('Operating Assumptions'!$L15="$/NSF",(('Operating Assumptions'!$M15*CB$25)*'Operating Assumptions'!$D$12)/12))))))))</f>
        <v>0</v>
      </c>
      <c r="CC87" s="427">
        <f>-IF(CC$9&lt;'Operating Assumptions'!$D$53,0,IF(CC$6&gt;'Operating Assumptions'!$AA$8,0,IF('Operating Assumptions'!$L15="N/A",0,IF('Operating Assumptions'!$L15="$/Unit/Annual",(('Operating Assumptions'!$M15*CC$25)*CC$36)/12,IF('Operating Assumptions'!$L15="$/Unit/Month",('Operating Assumptions'!$M15*CC$25)*CC$36,IF('Operating Assumptions'!$L15="Fixed Amount",('Operating Assumptions'!$M15*CC$25)/12,IF('Operating Assumptions'!$L15="$/GSF",(('Operating Assumptions'!$M15*CC$25)*'Operating Assumptions'!$D$11)/12,IF('Operating Assumptions'!$L15="$/NSF",(('Operating Assumptions'!$M15*CC$25)*'Operating Assumptions'!$D$12)/12))))))))</f>
        <v>0</v>
      </c>
      <c r="CD87" s="427">
        <f>-IF(CD$9&lt;'Operating Assumptions'!$D$53,0,IF(CD$6&gt;'Operating Assumptions'!$AA$8,0,IF('Operating Assumptions'!$L15="N/A",0,IF('Operating Assumptions'!$L15="$/Unit/Annual",(('Operating Assumptions'!$M15*CD$25)*CD$36)/12,IF('Operating Assumptions'!$L15="$/Unit/Month",('Operating Assumptions'!$M15*CD$25)*CD$36,IF('Operating Assumptions'!$L15="Fixed Amount",('Operating Assumptions'!$M15*CD$25)/12,IF('Operating Assumptions'!$L15="$/GSF",(('Operating Assumptions'!$M15*CD$25)*'Operating Assumptions'!$D$11)/12,IF('Operating Assumptions'!$L15="$/NSF",(('Operating Assumptions'!$M15*CD$25)*'Operating Assumptions'!$D$12)/12))))))))</f>
        <v>0</v>
      </c>
      <c r="CE87" s="427">
        <f>-IF(CE$9&lt;'Operating Assumptions'!$D$53,0,IF(CE$6&gt;'Operating Assumptions'!$AA$8,0,IF('Operating Assumptions'!$L15="N/A",0,IF('Operating Assumptions'!$L15="$/Unit/Annual",(('Operating Assumptions'!$M15*CE$25)*CE$36)/12,IF('Operating Assumptions'!$L15="$/Unit/Month",('Operating Assumptions'!$M15*CE$25)*CE$36,IF('Operating Assumptions'!$L15="Fixed Amount",('Operating Assumptions'!$M15*CE$25)/12,IF('Operating Assumptions'!$L15="$/GSF",(('Operating Assumptions'!$M15*CE$25)*'Operating Assumptions'!$D$11)/12,IF('Operating Assumptions'!$L15="$/NSF",(('Operating Assumptions'!$M15*CE$25)*'Operating Assumptions'!$D$12)/12))))))))</f>
        <v>0</v>
      </c>
      <c r="CF87" s="427">
        <f>-IF(CF$9&lt;'Operating Assumptions'!$D$53,0,IF(CF$6&gt;'Operating Assumptions'!$AA$8,0,IF('Operating Assumptions'!$L15="N/A",0,IF('Operating Assumptions'!$L15="$/Unit/Annual",(('Operating Assumptions'!$M15*CF$25)*CF$36)/12,IF('Operating Assumptions'!$L15="$/Unit/Month",('Operating Assumptions'!$M15*CF$25)*CF$36,IF('Operating Assumptions'!$L15="Fixed Amount",('Operating Assumptions'!$M15*CF$25)/12,IF('Operating Assumptions'!$L15="$/GSF",(('Operating Assumptions'!$M15*CF$25)*'Operating Assumptions'!$D$11)/12,IF('Operating Assumptions'!$L15="$/NSF",(('Operating Assumptions'!$M15*CF$25)*'Operating Assumptions'!$D$12)/12))))))))</f>
        <v>0</v>
      </c>
      <c r="CG87" s="427">
        <f>-IF(CG$9&lt;'Operating Assumptions'!$D$53,0,IF(CG$6&gt;'Operating Assumptions'!$AA$8,0,IF('Operating Assumptions'!$L15="N/A",0,IF('Operating Assumptions'!$L15="$/Unit/Annual",(('Operating Assumptions'!$M15*CG$25)*CG$36)/12,IF('Operating Assumptions'!$L15="$/Unit/Month",('Operating Assumptions'!$M15*CG$25)*CG$36,IF('Operating Assumptions'!$L15="Fixed Amount",('Operating Assumptions'!$M15*CG$25)/12,IF('Operating Assumptions'!$L15="$/GSF",(('Operating Assumptions'!$M15*CG$25)*'Operating Assumptions'!$D$11)/12,IF('Operating Assumptions'!$L15="$/NSF",(('Operating Assumptions'!$M15*CG$25)*'Operating Assumptions'!$D$12)/12))))))))</f>
        <v>0</v>
      </c>
      <c r="CH87" s="427">
        <f>-IF(CH$9&lt;'Operating Assumptions'!$D$53,0,IF(CH$6&gt;'Operating Assumptions'!$AA$8,0,IF('Operating Assumptions'!$L15="N/A",0,IF('Operating Assumptions'!$L15="$/Unit/Annual",(('Operating Assumptions'!$M15*CH$25)*CH$36)/12,IF('Operating Assumptions'!$L15="$/Unit/Month",('Operating Assumptions'!$M15*CH$25)*CH$36,IF('Operating Assumptions'!$L15="Fixed Amount",('Operating Assumptions'!$M15*CH$25)/12,IF('Operating Assumptions'!$L15="$/GSF",(('Operating Assumptions'!$M15*CH$25)*'Operating Assumptions'!$D$11)/12,IF('Operating Assumptions'!$L15="$/NSF",(('Operating Assumptions'!$M15*CH$25)*'Operating Assumptions'!$D$12)/12))))))))</f>
        <v>0</v>
      </c>
      <c r="CI87" s="427">
        <f>-IF(CI$9&lt;'Operating Assumptions'!$D$53,0,IF(CI$6&gt;'Operating Assumptions'!$AA$8,0,IF('Operating Assumptions'!$L15="N/A",0,IF('Operating Assumptions'!$L15="$/Unit/Annual",(('Operating Assumptions'!$M15*CI$25)*CI$36)/12,IF('Operating Assumptions'!$L15="$/Unit/Month",('Operating Assumptions'!$M15*CI$25)*CI$36,IF('Operating Assumptions'!$L15="Fixed Amount",('Operating Assumptions'!$M15*CI$25)/12,IF('Operating Assumptions'!$L15="$/GSF",(('Operating Assumptions'!$M15*CI$25)*'Operating Assumptions'!$D$11)/12,IF('Operating Assumptions'!$L15="$/NSF",(('Operating Assumptions'!$M15*CI$25)*'Operating Assumptions'!$D$12)/12))))))))</f>
        <v>0</v>
      </c>
      <c r="CJ87" s="427">
        <f>-IF(CJ$9&lt;'Operating Assumptions'!$D$53,0,IF(CJ$6&gt;'Operating Assumptions'!$AA$8,0,IF('Operating Assumptions'!$L15="N/A",0,IF('Operating Assumptions'!$L15="$/Unit/Annual",(('Operating Assumptions'!$M15*CJ$25)*CJ$36)/12,IF('Operating Assumptions'!$L15="$/Unit/Month",('Operating Assumptions'!$M15*CJ$25)*CJ$36,IF('Operating Assumptions'!$L15="Fixed Amount",('Operating Assumptions'!$M15*CJ$25)/12,IF('Operating Assumptions'!$L15="$/GSF",(('Operating Assumptions'!$M15*CJ$25)*'Operating Assumptions'!$D$11)/12,IF('Operating Assumptions'!$L15="$/NSF",(('Operating Assumptions'!$M15*CJ$25)*'Operating Assumptions'!$D$12)/12))))))))</f>
        <v>0</v>
      </c>
      <c r="CK87" s="427">
        <f>-IF(CK$9&lt;'Operating Assumptions'!$D$53,0,IF(CK$6&gt;'Operating Assumptions'!$AA$8,0,IF('Operating Assumptions'!$L15="N/A",0,IF('Operating Assumptions'!$L15="$/Unit/Annual",(('Operating Assumptions'!$M15*CK$25)*CK$36)/12,IF('Operating Assumptions'!$L15="$/Unit/Month",('Operating Assumptions'!$M15*CK$25)*CK$36,IF('Operating Assumptions'!$L15="Fixed Amount",('Operating Assumptions'!$M15*CK$25)/12,IF('Operating Assumptions'!$L15="$/GSF",(('Operating Assumptions'!$M15*CK$25)*'Operating Assumptions'!$D$11)/12,IF('Operating Assumptions'!$L15="$/NSF",(('Operating Assumptions'!$M15*CK$25)*'Operating Assumptions'!$D$12)/12))))))))</f>
        <v>0</v>
      </c>
      <c r="CL87" s="427">
        <f>-IF(CL$9&lt;'Operating Assumptions'!$D$53,0,IF(CL$6&gt;'Operating Assumptions'!$AA$8,0,IF('Operating Assumptions'!$L15="N/A",0,IF('Operating Assumptions'!$L15="$/Unit/Annual",(('Operating Assumptions'!$M15*CL$25)*CL$36)/12,IF('Operating Assumptions'!$L15="$/Unit/Month",('Operating Assumptions'!$M15*CL$25)*CL$36,IF('Operating Assumptions'!$L15="Fixed Amount",('Operating Assumptions'!$M15*CL$25)/12,IF('Operating Assumptions'!$L15="$/GSF",(('Operating Assumptions'!$M15*CL$25)*'Operating Assumptions'!$D$11)/12,IF('Operating Assumptions'!$L15="$/NSF",(('Operating Assumptions'!$M15*CL$25)*'Operating Assumptions'!$D$12)/12))))))))</f>
        <v>0</v>
      </c>
      <c r="CM87" s="427">
        <f>-IF(CM$9&lt;'Operating Assumptions'!$D$53,0,IF(CM$6&gt;'Operating Assumptions'!$AA$8,0,IF('Operating Assumptions'!$L15="N/A",0,IF('Operating Assumptions'!$L15="$/Unit/Annual",(('Operating Assumptions'!$M15*CM$25)*CM$36)/12,IF('Operating Assumptions'!$L15="$/Unit/Month",('Operating Assumptions'!$M15*CM$25)*CM$36,IF('Operating Assumptions'!$L15="Fixed Amount",('Operating Assumptions'!$M15*CM$25)/12,IF('Operating Assumptions'!$L15="$/GSF",(('Operating Assumptions'!$M15*CM$25)*'Operating Assumptions'!$D$11)/12,IF('Operating Assumptions'!$L15="$/NSF",(('Operating Assumptions'!$M15*CM$25)*'Operating Assumptions'!$D$12)/12))))))))</f>
        <v>0</v>
      </c>
      <c r="CN87" s="427">
        <f>-IF(CN$9&lt;'Operating Assumptions'!$D$53,0,IF(CN$6&gt;'Operating Assumptions'!$AA$8,0,IF('Operating Assumptions'!$L15="N/A",0,IF('Operating Assumptions'!$L15="$/Unit/Annual",(('Operating Assumptions'!$M15*CN$25)*CN$36)/12,IF('Operating Assumptions'!$L15="$/Unit/Month",('Operating Assumptions'!$M15*CN$25)*CN$36,IF('Operating Assumptions'!$L15="Fixed Amount",('Operating Assumptions'!$M15*CN$25)/12,IF('Operating Assumptions'!$L15="$/GSF",(('Operating Assumptions'!$M15*CN$25)*'Operating Assumptions'!$D$11)/12,IF('Operating Assumptions'!$L15="$/NSF",(('Operating Assumptions'!$M15*CN$25)*'Operating Assumptions'!$D$12)/12))))))))</f>
        <v>0</v>
      </c>
      <c r="CO87" s="427">
        <f>-IF(CO$9&lt;'Operating Assumptions'!$D$53,0,IF(CO$6&gt;'Operating Assumptions'!$AA$8,0,IF('Operating Assumptions'!$L15="N/A",0,IF('Operating Assumptions'!$L15="$/Unit/Annual",(('Operating Assumptions'!$M15*CO$25)*CO$36)/12,IF('Operating Assumptions'!$L15="$/Unit/Month",('Operating Assumptions'!$M15*CO$25)*CO$36,IF('Operating Assumptions'!$L15="Fixed Amount",('Operating Assumptions'!$M15*CO$25)/12,IF('Operating Assumptions'!$L15="$/GSF",(('Operating Assumptions'!$M15*CO$25)*'Operating Assumptions'!$D$11)/12,IF('Operating Assumptions'!$L15="$/NSF",(('Operating Assumptions'!$M15*CO$25)*'Operating Assumptions'!$D$12)/12))))))))</f>
        <v>0</v>
      </c>
      <c r="CP87" s="427">
        <f>-IF(CP$9&lt;'Operating Assumptions'!$D$53,0,IF(CP$6&gt;'Operating Assumptions'!$AA$8,0,IF('Operating Assumptions'!$L15="N/A",0,IF('Operating Assumptions'!$L15="$/Unit/Annual",(('Operating Assumptions'!$M15*CP$25)*CP$36)/12,IF('Operating Assumptions'!$L15="$/Unit/Month",('Operating Assumptions'!$M15*CP$25)*CP$36,IF('Operating Assumptions'!$L15="Fixed Amount",('Operating Assumptions'!$M15*CP$25)/12,IF('Operating Assumptions'!$L15="$/GSF",(('Operating Assumptions'!$M15*CP$25)*'Operating Assumptions'!$D$11)/12,IF('Operating Assumptions'!$L15="$/NSF",(('Operating Assumptions'!$M15*CP$25)*'Operating Assumptions'!$D$12)/12))))))))</f>
        <v>0</v>
      </c>
      <c r="CQ87" s="427">
        <f>-IF(CQ$9&lt;'Operating Assumptions'!$D$53,0,IF(CQ$6&gt;'Operating Assumptions'!$AA$8,0,IF('Operating Assumptions'!$L15="N/A",0,IF('Operating Assumptions'!$L15="$/Unit/Annual",(('Operating Assumptions'!$M15*CQ$25)*CQ$36)/12,IF('Operating Assumptions'!$L15="$/Unit/Month",('Operating Assumptions'!$M15*CQ$25)*CQ$36,IF('Operating Assumptions'!$L15="Fixed Amount",('Operating Assumptions'!$M15*CQ$25)/12,IF('Operating Assumptions'!$L15="$/GSF",(('Operating Assumptions'!$M15*CQ$25)*'Operating Assumptions'!$D$11)/12,IF('Operating Assumptions'!$L15="$/NSF",(('Operating Assumptions'!$M15*CQ$25)*'Operating Assumptions'!$D$12)/12))))))))</f>
        <v>0</v>
      </c>
      <c r="CR87" s="427">
        <f>-IF(CR$9&lt;'Operating Assumptions'!$D$53,0,IF(CR$6&gt;'Operating Assumptions'!$AA$8,0,IF('Operating Assumptions'!$L15="N/A",0,IF('Operating Assumptions'!$L15="$/Unit/Annual",(('Operating Assumptions'!$M15*CR$25)*CR$36)/12,IF('Operating Assumptions'!$L15="$/Unit/Month",('Operating Assumptions'!$M15*CR$25)*CR$36,IF('Operating Assumptions'!$L15="Fixed Amount",('Operating Assumptions'!$M15*CR$25)/12,IF('Operating Assumptions'!$L15="$/GSF",(('Operating Assumptions'!$M15*CR$25)*'Operating Assumptions'!$D$11)/12,IF('Operating Assumptions'!$L15="$/NSF",(('Operating Assumptions'!$M15*CR$25)*'Operating Assumptions'!$D$12)/12))))))))</f>
        <v>0</v>
      </c>
      <c r="CS87" s="427">
        <f>-IF(CS$9&lt;'Operating Assumptions'!$D$53,0,IF(CS$6&gt;'Operating Assumptions'!$AA$8,0,IF('Operating Assumptions'!$L15="N/A",0,IF('Operating Assumptions'!$L15="$/Unit/Annual",(('Operating Assumptions'!$M15*CS$25)*CS$36)/12,IF('Operating Assumptions'!$L15="$/Unit/Month",('Operating Assumptions'!$M15*CS$25)*CS$36,IF('Operating Assumptions'!$L15="Fixed Amount",('Operating Assumptions'!$M15*CS$25)/12,IF('Operating Assumptions'!$L15="$/GSF",(('Operating Assumptions'!$M15*CS$25)*'Operating Assumptions'!$D$11)/12,IF('Operating Assumptions'!$L15="$/NSF",(('Operating Assumptions'!$M15*CS$25)*'Operating Assumptions'!$D$12)/12))))))))</f>
        <v>0</v>
      </c>
      <c r="CT87" s="427">
        <f>-IF(CT$9&lt;'Operating Assumptions'!$D$53,0,IF(CT$6&gt;'Operating Assumptions'!$AA$8,0,IF('Operating Assumptions'!$L15="N/A",0,IF('Operating Assumptions'!$L15="$/Unit/Annual",(('Operating Assumptions'!$M15*CT$25)*CT$36)/12,IF('Operating Assumptions'!$L15="$/Unit/Month",('Operating Assumptions'!$M15*CT$25)*CT$36,IF('Operating Assumptions'!$L15="Fixed Amount",('Operating Assumptions'!$M15*CT$25)/12,IF('Operating Assumptions'!$L15="$/GSF",(('Operating Assumptions'!$M15*CT$25)*'Operating Assumptions'!$D$11)/12,IF('Operating Assumptions'!$L15="$/NSF",(('Operating Assumptions'!$M15*CT$25)*'Operating Assumptions'!$D$12)/12))))))))</f>
        <v>0</v>
      </c>
      <c r="CU87" s="427">
        <f>-IF(CU$9&lt;'Operating Assumptions'!$D$53,0,IF(CU$6&gt;'Operating Assumptions'!$AA$8,0,IF('Operating Assumptions'!$L15="N/A",0,IF('Operating Assumptions'!$L15="$/Unit/Annual",(('Operating Assumptions'!$M15*CU$25)*CU$36)/12,IF('Operating Assumptions'!$L15="$/Unit/Month",('Operating Assumptions'!$M15*CU$25)*CU$36,IF('Operating Assumptions'!$L15="Fixed Amount",('Operating Assumptions'!$M15*CU$25)/12,IF('Operating Assumptions'!$L15="$/GSF",(('Operating Assumptions'!$M15*CU$25)*'Operating Assumptions'!$D$11)/12,IF('Operating Assumptions'!$L15="$/NSF",(('Operating Assumptions'!$M15*CU$25)*'Operating Assumptions'!$D$12)/12))))))))</f>
        <v>0</v>
      </c>
      <c r="CV87" s="427">
        <f>-IF(CV$9&lt;'Operating Assumptions'!$D$53,0,IF(CV$6&gt;'Operating Assumptions'!$AA$8,0,IF('Operating Assumptions'!$L15="N/A",0,IF('Operating Assumptions'!$L15="$/Unit/Annual",(('Operating Assumptions'!$M15*CV$25)*CV$36)/12,IF('Operating Assumptions'!$L15="$/Unit/Month",('Operating Assumptions'!$M15*CV$25)*CV$36,IF('Operating Assumptions'!$L15="Fixed Amount",('Operating Assumptions'!$M15*CV$25)/12,IF('Operating Assumptions'!$L15="$/GSF",(('Operating Assumptions'!$M15*CV$25)*'Operating Assumptions'!$D$11)/12,IF('Operating Assumptions'!$L15="$/NSF",(('Operating Assumptions'!$M15*CV$25)*'Operating Assumptions'!$D$12)/12))))))))</f>
        <v>0</v>
      </c>
      <c r="CW87" s="427">
        <f>-IF(CW$9&lt;'Operating Assumptions'!$D$53,0,IF(CW$6&gt;'Operating Assumptions'!$AA$8,0,IF('Operating Assumptions'!$L15="N/A",0,IF('Operating Assumptions'!$L15="$/Unit/Annual",(('Operating Assumptions'!$M15*CW$25)*CW$36)/12,IF('Operating Assumptions'!$L15="$/Unit/Month",('Operating Assumptions'!$M15*CW$25)*CW$36,IF('Operating Assumptions'!$L15="Fixed Amount",('Operating Assumptions'!$M15*CW$25)/12,IF('Operating Assumptions'!$L15="$/GSF",(('Operating Assumptions'!$M15*CW$25)*'Operating Assumptions'!$D$11)/12,IF('Operating Assumptions'!$L15="$/NSF",(('Operating Assumptions'!$M15*CW$25)*'Operating Assumptions'!$D$12)/12))))))))</f>
        <v>0</v>
      </c>
      <c r="CX87" s="427">
        <f>-IF(CX$9&lt;'Operating Assumptions'!$D$53,0,IF(CX$6&gt;'Operating Assumptions'!$AA$8,0,IF('Operating Assumptions'!$L15="N/A",0,IF('Operating Assumptions'!$L15="$/Unit/Annual",(('Operating Assumptions'!$M15*CX$25)*CX$36)/12,IF('Operating Assumptions'!$L15="$/Unit/Month",('Operating Assumptions'!$M15*CX$25)*CX$36,IF('Operating Assumptions'!$L15="Fixed Amount",('Operating Assumptions'!$M15*CX$25)/12,IF('Operating Assumptions'!$L15="$/GSF",(('Operating Assumptions'!$M15*CX$25)*'Operating Assumptions'!$D$11)/12,IF('Operating Assumptions'!$L15="$/NSF",(('Operating Assumptions'!$M15*CX$25)*'Operating Assumptions'!$D$12)/12))))))))</f>
        <v>0</v>
      </c>
      <c r="CY87" s="427">
        <f>-IF(CY$9&lt;'Operating Assumptions'!$D$53,0,IF(CY$6&gt;'Operating Assumptions'!$AA$8,0,IF('Operating Assumptions'!$L15="N/A",0,IF('Operating Assumptions'!$L15="$/Unit/Annual",(('Operating Assumptions'!$M15*CY$25)*CY$36)/12,IF('Operating Assumptions'!$L15="$/Unit/Month",('Operating Assumptions'!$M15*CY$25)*CY$36,IF('Operating Assumptions'!$L15="Fixed Amount",('Operating Assumptions'!$M15*CY$25)/12,IF('Operating Assumptions'!$L15="$/GSF",(('Operating Assumptions'!$M15*CY$25)*'Operating Assumptions'!$D$11)/12,IF('Operating Assumptions'!$L15="$/NSF",(('Operating Assumptions'!$M15*CY$25)*'Operating Assumptions'!$D$12)/12))))))))</f>
        <v>0</v>
      </c>
      <c r="CZ87" s="427">
        <f>-IF(CZ$9&lt;'Operating Assumptions'!$D$53,0,IF(CZ$6&gt;'Operating Assumptions'!$AA$8,0,IF('Operating Assumptions'!$L15="N/A",0,IF('Operating Assumptions'!$L15="$/Unit/Annual",(('Operating Assumptions'!$M15*CZ$25)*CZ$36)/12,IF('Operating Assumptions'!$L15="$/Unit/Month",('Operating Assumptions'!$M15*CZ$25)*CZ$36,IF('Operating Assumptions'!$L15="Fixed Amount",('Operating Assumptions'!$M15*CZ$25)/12,IF('Operating Assumptions'!$L15="$/GSF",(('Operating Assumptions'!$M15*CZ$25)*'Operating Assumptions'!$D$11)/12,IF('Operating Assumptions'!$L15="$/NSF",(('Operating Assumptions'!$M15*CZ$25)*'Operating Assumptions'!$D$12)/12))))))))</f>
        <v>0</v>
      </c>
      <c r="DA87" s="427">
        <f>-IF(DA$9&lt;'Operating Assumptions'!$D$53,0,IF(DA$6&gt;'Operating Assumptions'!$AA$8,0,IF('Operating Assumptions'!$L15="N/A",0,IF('Operating Assumptions'!$L15="$/Unit/Annual",(('Operating Assumptions'!$M15*DA$25)*DA$36)/12,IF('Operating Assumptions'!$L15="$/Unit/Month",('Operating Assumptions'!$M15*DA$25)*DA$36,IF('Operating Assumptions'!$L15="Fixed Amount",('Operating Assumptions'!$M15*DA$25)/12,IF('Operating Assumptions'!$L15="$/GSF",(('Operating Assumptions'!$M15*DA$25)*'Operating Assumptions'!$D$11)/12,IF('Operating Assumptions'!$L15="$/NSF",(('Operating Assumptions'!$M15*DA$25)*'Operating Assumptions'!$D$12)/12))))))))</f>
        <v>0</v>
      </c>
      <c r="DB87" s="427">
        <f>-IF(DB$9&lt;'Operating Assumptions'!$D$53,0,IF(DB$6&gt;'Operating Assumptions'!$AA$8,0,IF('Operating Assumptions'!$L15="N/A",0,IF('Operating Assumptions'!$L15="$/Unit/Annual",(('Operating Assumptions'!$M15*DB$25)*DB$36)/12,IF('Operating Assumptions'!$L15="$/Unit/Month",('Operating Assumptions'!$M15*DB$25)*DB$36,IF('Operating Assumptions'!$L15="Fixed Amount",('Operating Assumptions'!$M15*DB$25)/12,IF('Operating Assumptions'!$L15="$/GSF",(('Operating Assumptions'!$M15*DB$25)*'Operating Assumptions'!$D$11)/12,IF('Operating Assumptions'!$L15="$/NSF",(('Operating Assumptions'!$M15*DB$25)*'Operating Assumptions'!$D$12)/12))))))))</f>
        <v>0</v>
      </c>
      <c r="DC87" s="427">
        <f>-IF(DC$9&lt;'Operating Assumptions'!$D$53,0,IF(DC$6&gt;'Operating Assumptions'!$AA$8,0,IF('Operating Assumptions'!$L15="N/A",0,IF('Operating Assumptions'!$L15="$/Unit/Annual",(('Operating Assumptions'!$M15*DC$25)*DC$36)/12,IF('Operating Assumptions'!$L15="$/Unit/Month",('Operating Assumptions'!$M15*DC$25)*DC$36,IF('Operating Assumptions'!$L15="Fixed Amount",('Operating Assumptions'!$M15*DC$25)/12,IF('Operating Assumptions'!$L15="$/GSF",(('Operating Assumptions'!$M15*DC$25)*'Operating Assumptions'!$D$11)/12,IF('Operating Assumptions'!$L15="$/NSF",(('Operating Assumptions'!$M15*DC$25)*'Operating Assumptions'!$D$12)/12))))))))</f>
        <v>0</v>
      </c>
      <c r="DD87" s="427">
        <f>-IF(DD$9&lt;'Operating Assumptions'!$D$53,0,IF(DD$6&gt;'Operating Assumptions'!$AA$8,0,IF('Operating Assumptions'!$L15="N/A",0,IF('Operating Assumptions'!$L15="$/Unit/Annual",(('Operating Assumptions'!$M15*DD$25)*DD$36)/12,IF('Operating Assumptions'!$L15="$/Unit/Month",('Operating Assumptions'!$M15*DD$25)*DD$36,IF('Operating Assumptions'!$L15="Fixed Amount",('Operating Assumptions'!$M15*DD$25)/12,IF('Operating Assumptions'!$L15="$/GSF",(('Operating Assumptions'!$M15*DD$25)*'Operating Assumptions'!$D$11)/12,IF('Operating Assumptions'!$L15="$/NSF",(('Operating Assumptions'!$M15*DD$25)*'Operating Assumptions'!$D$12)/12))))))))</f>
        <v>0</v>
      </c>
      <c r="DE87" s="427">
        <f>-IF(DE$9&lt;'Operating Assumptions'!$D$53,0,IF(DE$6&gt;'Operating Assumptions'!$AA$8,0,IF('Operating Assumptions'!$L15="N/A",0,IF('Operating Assumptions'!$L15="$/Unit/Annual",(('Operating Assumptions'!$M15*DE$25)*DE$36)/12,IF('Operating Assumptions'!$L15="$/Unit/Month",('Operating Assumptions'!$M15*DE$25)*DE$36,IF('Operating Assumptions'!$L15="Fixed Amount",('Operating Assumptions'!$M15*DE$25)/12,IF('Operating Assumptions'!$L15="$/GSF",(('Operating Assumptions'!$M15*DE$25)*'Operating Assumptions'!$D$11)/12,IF('Operating Assumptions'!$L15="$/NSF",(('Operating Assumptions'!$M15*DE$25)*'Operating Assumptions'!$D$12)/12))))))))</f>
        <v>0</v>
      </c>
      <c r="DF87" s="427">
        <f>-IF(DF$9&lt;'Operating Assumptions'!$D$53,0,IF(DF$6&gt;'Operating Assumptions'!$AA$8,0,IF('Operating Assumptions'!$L15="N/A",0,IF('Operating Assumptions'!$L15="$/Unit/Annual",(('Operating Assumptions'!$M15*DF$25)*DF$36)/12,IF('Operating Assumptions'!$L15="$/Unit/Month",('Operating Assumptions'!$M15*DF$25)*DF$36,IF('Operating Assumptions'!$L15="Fixed Amount",('Operating Assumptions'!$M15*DF$25)/12,IF('Operating Assumptions'!$L15="$/GSF",(('Operating Assumptions'!$M15*DF$25)*'Operating Assumptions'!$D$11)/12,IF('Operating Assumptions'!$L15="$/NSF",(('Operating Assumptions'!$M15*DF$25)*'Operating Assumptions'!$D$12)/12))))))))</f>
        <v>0</v>
      </c>
      <c r="DG87" s="427">
        <f>-IF(DG$9&lt;'Operating Assumptions'!$D$53,0,IF(DG$6&gt;'Operating Assumptions'!$AA$8,0,IF('Operating Assumptions'!$L15="N/A",0,IF('Operating Assumptions'!$L15="$/Unit/Annual",(('Operating Assumptions'!$M15*DG$25)*DG$36)/12,IF('Operating Assumptions'!$L15="$/Unit/Month",('Operating Assumptions'!$M15*DG$25)*DG$36,IF('Operating Assumptions'!$L15="Fixed Amount",('Operating Assumptions'!$M15*DG$25)/12,IF('Operating Assumptions'!$L15="$/GSF",(('Operating Assumptions'!$M15*DG$25)*'Operating Assumptions'!$D$11)/12,IF('Operating Assumptions'!$L15="$/NSF",(('Operating Assumptions'!$M15*DG$25)*'Operating Assumptions'!$D$12)/12))))))))</f>
        <v>0</v>
      </c>
      <c r="DH87" s="427">
        <f>-IF(DH$9&lt;'Operating Assumptions'!$D$53,0,IF(DH$6&gt;'Operating Assumptions'!$AA$8,0,IF('Operating Assumptions'!$L15="N/A",0,IF('Operating Assumptions'!$L15="$/Unit/Annual",(('Operating Assumptions'!$M15*DH$25)*DH$36)/12,IF('Operating Assumptions'!$L15="$/Unit/Month",('Operating Assumptions'!$M15*DH$25)*DH$36,IF('Operating Assumptions'!$L15="Fixed Amount",('Operating Assumptions'!$M15*DH$25)/12,IF('Operating Assumptions'!$L15="$/GSF",(('Operating Assumptions'!$M15*DH$25)*'Operating Assumptions'!$D$11)/12,IF('Operating Assumptions'!$L15="$/NSF",(('Operating Assumptions'!$M15*DH$25)*'Operating Assumptions'!$D$12)/12))))))))</f>
        <v>0</v>
      </c>
      <c r="DI87" s="427">
        <f>-IF(DI$9&lt;'Operating Assumptions'!$D$53,0,IF(DI$6&gt;'Operating Assumptions'!$AA$8,0,IF('Operating Assumptions'!$L15="N/A",0,IF('Operating Assumptions'!$L15="$/Unit/Annual",(('Operating Assumptions'!$M15*DI$25)*DI$36)/12,IF('Operating Assumptions'!$L15="$/Unit/Month",('Operating Assumptions'!$M15*DI$25)*DI$36,IF('Operating Assumptions'!$L15="Fixed Amount",('Operating Assumptions'!$M15*DI$25)/12,IF('Operating Assumptions'!$L15="$/GSF",(('Operating Assumptions'!$M15*DI$25)*'Operating Assumptions'!$D$11)/12,IF('Operating Assumptions'!$L15="$/NSF",(('Operating Assumptions'!$M15*DI$25)*'Operating Assumptions'!$D$12)/12))))))))</f>
        <v>0</v>
      </c>
      <c r="DJ87" s="427">
        <f>-IF(DJ$9&lt;'Operating Assumptions'!$D$53,0,IF(DJ$6&gt;'Operating Assumptions'!$AA$8,0,IF('Operating Assumptions'!$L15="N/A",0,IF('Operating Assumptions'!$L15="$/Unit/Annual",(('Operating Assumptions'!$M15*DJ$25)*DJ$36)/12,IF('Operating Assumptions'!$L15="$/Unit/Month",('Operating Assumptions'!$M15*DJ$25)*DJ$36,IF('Operating Assumptions'!$L15="Fixed Amount",('Operating Assumptions'!$M15*DJ$25)/12,IF('Operating Assumptions'!$L15="$/GSF",(('Operating Assumptions'!$M15*DJ$25)*'Operating Assumptions'!$D$11)/12,IF('Operating Assumptions'!$L15="$/NSF",(('Operating Assumptions'!$M15*DJ$25)*'Operating Assumptions'!$D$12)/12))))))))</f>
        <v>0</v>
      </c>
      <c r="DK87" s="427">
        <f>-IF(DK$9&lt;'Operating Assumptions'!$D$53,0,IF(DK$6&gt;'Operating Assumptions'!$AA$8,0,IF('Operating Assumptions'!$L15="N/A",0,IF('Operating Assumptions'!$L15="$/Unit/Annual",(('Operating Assumptions'!$M15*DK$25)*DK$36)/12,IF('Operating Assumptions'!$L15="$/Unit/Month",('Operating Assumptions'!$M15*DK$25)*DK$36,IF('Operating Assumptions'!$L15="Fixed Amount",('Operating Assumptions'!$M15*DK$25)/12,IF('Operating Assumptions'!$L15="$/GSF",(('Operating Assumptions'!$M15*DK$25)*'Operating Assumptions'!$D$11)/12,IF('Operating Assumptions'!$L15="$/NSF",(('Operating Assumptions'!$M15*DK$25)*'Operating Assumptions'!$D$12)/12))))))))</f>
        <v>0</v>
      </c>
      <c r="DL87" s="427">
        <f>-IF(DL$9&lt;'Operating Assumptions'!$D$53,0,IF(DL$6&gt;'Operating Assumptions'!$AA$8,0,IF('Operating Assumptions'!$L15="N/A",0,IF('Operating Assumptions'!$L15="$/Unit/Annual",(('Operating Assumptions'!$M15*DL$25)*DL$36)/12,IF('Operating Assumptions'!$L15="$/Unit/Month",('Operating Assumptions'!$M15*DL$25)*DL$36,IF('Operating Assumptions'!$L15="Fixed Amount",('Operating Assumptions'!$M15*DL$25)/12,IF('Operating Assumptions'!$L15="$/GSF",(('Operating Assumptions'!$M15*DL$25)*'Operating Assumptions'!$D$11)/12,IF('Operating Assumptions'!$L15="$/NSF",(('Operating Assumptions'!$M15*DL$25)*'Operating Assumptions'!$D$12)/12))))))))</f>
        <v>0</v>
      </c>
      <c r="DM87" s="427">
        <f>-IF(DM$9&lt;'Operating Assumptions'!$D$53,0,IF(DM$6&gt;'Operating Assumptions'!$AA$8,0,IF('Operating Assumptions'!$L15="N/A",0,IF('Operating Assumptions'!$L15="$/Unit/Annual",(('Operating Assumptions'!$M15*DM$25)*DM$36)/12,IF('Operating Assumptions'!$L15="$/Unit/Month",('Operating Assumptions'!$M15*DM$25)*DM$36,IF('Operating Assumptions'!$L15="Fixed Amount",('Operating Assumptions'!$M15*DM$25)/12,IF('Operating Assumptions'!$L15="$/GSF",(('Operating Assumptions'!$M15*DM$25)*'Operating Assumptions'!$D$11)/12,IF('Operating Assumptions'!$L15="$/NSF",(('Operating Assumptions'!$M15*DM$25)*'Operating Assumptions'!$D$12)/12))))))))</f>
        <v>0</v>
      </c>
      <c r="DN87" s="427">
        <f>-IF(DN$9&lt;'Operating Assumptions'!$D$53,0,IF(DN$6&gt;'Operating Assumptions'!$AA$8,0,IF('Operating Assumptions'!$L15="N/A",0,IF('Operating Assumptions'!$L15="$/Unit/Annual",(('Operating Assumptions'!$M15*DN$25)*DN$36)/12,IF('Operating Assumptions'!$L15="$/Unit/Month",('Operating Assumptions'!$M15*DN$25)*DN$36,IF('Operating Assumptions'!$L15="Fixed Amount",('Operating Assumptions'!$M15*DN$25)/12,IF('Operating Assumptions'!$L15="$/GSF",(('Operating Assumptions'!$M15*DN$25)*'Operating Assumptions'!$D$11)/12,IF('Operating Assumptions'!$L15="$/NSF",(('Operating Assumptions'!$M15*DN$25)*'Operating Assumptions'!$D$12)/12))))))))</f>
        <v>0</v>
      </c>
      <c r="DO87" s="427">
        <f>-IF(DO$9&lt;'Operating Assumptions'!$D$53,0,IF(DO$6&gt;'Operating Assumptions'!$AA$8,0,IF('Operating Assumptions'!$L15="N/A",0,IF('Operating Assumptions'!$L15="$/Unit/Annual",(('Operating Assumptions'!$M15*DO$25)*DO$36)/12,IF('Operating Assumptions'!$L15="$/Unit/Month",('Operating Assumptions'!$M15*DO$25)*DO$36,IF('Operating Assumptions'!$L15="Fixed Amount",('Operating Assumptions'!$M15*DO$25)/12,IF('Operating Assumptions'!$L15="$/GSF",(('Operating Assumptions'!$M15*DO$25)*'Operating Assumptions'!$D$11)/12,IF('Operating Assumptions'!$L15="$/NSF",(('Operating Assumptions'!$M15*DO$25)*'Operating Assumptions'!$D$12)/12))))))))</f>
        <v>0</v>
      </c>
      <c r="DP87" s="427">
        <f>-IF(DP$9&lt;'Operating Assumptions'!$D$53,0,IF(DP$6&gt;'Operating Assumptions'!$AA$8,0,IF('Operating Assumptions'!$L15="N/A",0,IF('Operating Assumptions'!$L15="$/Unit/Annual",(('Operating Assumptions'!$M15*DP$25)*DP$36)/12,IF('Operating Assumptions'!$L15="$/Unit/Month",('Operating Assumptions'!$M15*DP$25)*DP$36,IF('Operating Assumptions'!$L15="Fixed Amount",('Operating Assumptions'!$M15*DP$25)/12,IF('Operating Assumptions'!$L15="$/GSF",(('Operating Assumptions'!$M15*DP$25)*'Operating Assumptions'!$D$11)/12,IF('Operating Assumptions'!$L15="$/NSF",(('Operating Assumptions'!$M15*DP$25)*'Operating Assumptions'!$D$12)/12))))))))</f>
        <v>0</v>
      </c>
      <c r="DQ87" s="427">
        <f>-IF(DQ$9&lt;'Operating Assumptions'!$D$53,0,IF(DQ$6&gt;'Operating Assumptions'!$AA$8,0,IF('Operating Assumptions'!$L15="N/A",0,IF('Operating Assumptions'!$L15="$/Unit/Annual",(('Operating Assumptions'!$M15*DQ$25)*DQ$36)/12,IF('Operating Assumptions'!$L15="$/Unit/Month",('Operating Assumptions'!$M15*DQ$25)*DQ$36,IF('Operating Assumptions'!$L15="Fixed Amount",('Operating Assumptions'!$M15*DQ$25)/12,IF('Operating Assumptions'!$L15="$/GSF",(('Operating Assumptions'!$M15*DQ$25)*'Operating Assumptions'!$D$11)/12,IF('Operating Assumptions'!$L15="$/NSF",(('Operating Assumptions'!$M15*DQ$25)*'Operating Assumptions'!$D$12)/12))))))))</f>
        <v>0</v>
      </c>
      <c r="DR87" s="427">
        <f>-IF(DR$9&lt;'Operating Assumptions'!$D$53,0,IF(DR$6&gt;'Operating Assumptions'!$AA$8,0,IF('Operating Assumptions'!$L15="N/A",0,IF('Operating Assumptions'!$L15="$/Unit/Annual",(('Operating Assumptions'!$M15*DR$25)*DR$36)/12,IF('Operating Assumptions'!$L15="$/Unit/Month",('Operating Assumptions'!$M15*DR$25)*DR$36,IF('Operating Assumptions'!$L15="Fixed Amount",('Operating Assumptions'!$M15*DR$25)/12,IF('Operating Assumptions'!$L15="$/GSF",(('Operating Assumptions'!$M15*DR$25)*'Operating Assumptions'!$D$11)/12,IF('Operating Assumptions'!$L15="$/NSF",(('Operating Assumptions'!$M15*DR$25)*'Operating Assumptions'!$D$12)/12))))))))</f>
        <v>0</v>
      </c>
      <c r="DS87" s="427">
        <f>-IF(DS$9&lt;'Operating Assumptions'!$D$53,0,IF(DS$6&gt;'Operating Assumptions'!$AA$8,0,IF('Operating Assumptions'!$L15="N/A",0,IF('Operating Assumptions'!$L15="$/Unit/Annual",(('Operating Assumptions'!$M15*DS$25)*DS$36)/12,IF('Operating Assumptions'!$L15="$/Unit/Month",('Operating Assumptions'!$M15*DS$25)*DS$36,IF('Operating Assumptions'!$L15="Fixed Amount",('Operating Assumptions'!$M15*DS$25)/12,IF('Operating Assumptions'!$L15="$/GSF",(('Operating Assumptions'!$M15*DS$25)*'Operating Assumptions'!$D$11)/12,IF('Operating Assumptions'!$L15="$/NSF",(('Operating Assumptions'!$M15*DS$25)*'Operating Assumptions'!$D$12)/12))))))))</f>
        <v>0</v>
      </c>
      <c r="DT87" s="427">
        <f>-IF(DT$9&lt;'Operating Assumptions'!$D$53,0,IF(DT$6&gt;'Operating Assumptions'!$AA$8,0,IF('Operating Assumptions'!$L15="N/A",0,IF('Operating Assumptions'!$L15="$/Unit/Annual",(('Operating Assumptions'!$M15*DT$25)*DT$36)/12,IF('Operating Assumptions'!$L15="$/Unit/Month",('Operating Assumptions'!$M15*DT$25)*DT$36,IF('Operating Assumptions'!$L15="Fixed Amount",('Operating Assumptions'!$M15*DT$25)/12,IF('Operating Assumptions'!$L15="$/GSF",(('Operating Assumptions'!$M15*DT$25)*'Operating Assumptions'!$D$11)/12,IF('Operating Assumptions'!$L15="$/NSF",(('Operating Assumptions'!$M15*DT$25)*'Operating Assumptions'!$D$12)/12))))))))</f>
        <v>0</v>
      </c>
      <c r="DU87" s="427">
        <f>-IF(DU$9&lt;'Operating Assumptions'!$D$53,0,IF(DU$6&gt;'Operating Assumptions'!$AA$8,0,IF('Operating Assumptions'!$L15="N/A",0,IF('Operating Assumptions'!$L15="$/Unit/Annual",(('Operating Assumptions'!$M15*DU$25)*DU$36)/12,IF('Operating Assumptions'!$L15="$/Unit/Month",('Operating Assumptions'!$M15*DU$25)*DU$36,IF('Operating Assumptions'!$L15="Fixed Amount",('Operating Assumptions'!$M15*DU$25)/12,IF('Operating Assumptions'!$L15="$/GSF",(('Operating Assumptions'!$M15*DU$25)*'Operating Assumptions'!$D$11)/12,IF('Operating Assumptions'!$L15="$/NSF",(('Operating Assumptions'!$M15*DU$25)*'Operating Assumptions'!$D$12)/12))))))))</f>
        <v>0</v>
      </c>
      <c r="DV87" s="427">
        <f>-IF(DV$9&lt;'Operating Assumptions'!$D$53,0,IF(DV$6&gt;'Operating Assumptions'!$AA$8,0,IF('Operating Assumptions'!$L15="N/A",0,IF('Operating Assumptions'!$L15="$/Unit/Annual",(('Operating Assumptions'!$M15*DV$25)*DV$36)/12,IF('Operating Assumptions'!$L15="$/Unit/Month",('Operating Assumptions'!$M15*DV$25)*DV$36,IF('Operating Assumptions'!$L15="Fixed Amount",('Operating Assumptions'!$M15*DV$25)/12,IF('Operating Assumptions'!$L15="$/GSF",(('Operating Assumptions'!$M15*DV$25)*'Operating Assumptions'!$D$11)/12,IF('Operating Assumptions'!$L15="$/NSF",(('Operating Assumptions'!$M15*DV$25)*'Operating Assumptions'!$D$12)/12))))))))</f>
        <v>0</v>
      </c>
      <c r="DW87" s="427">
        <f>-IF(DW$9&lt;'Operating Assumptions'!$D$53,0,IF(DW$6&gt;'Operating Assumptions'!$AA$8,0,IF('Operating Assumptions'!$L15="N/A",0,IF('Operating Assumptions'!$L15="$/Unit/Annual",(('Operating Assumptions'!$M15*DW$25)*DW$36)/12,IF('Operating Assumptions'!$L15="$/Unit/Month",('Operating Assumptions'!$M15*DW$25)*DW$36,IF('Operating Assumptions'!$L15="Fixed Amount",('Operating Assumptions'!$M15*DW$25)/12,IF('Operating Assumptions'!$L15="$/GSF",(('Operating Assumptions'!$M15*DW$25)*'Operating Assumptions'!$D$11)/12,IF('Operating Assumptions'!$L15="$/NSF",(('Operating Assumptions'!$M15*DW$25)*'Operating Assumptions'!$D$12)/12))))))))</f>
        <v>0</v>
      </c>
      <c r="DX87" s="427">
        <f>-IF(DX$9&lt;'Operating Assumptions'!$D$53,0,IF(DX$6&gt;'Operating Assumptions'!$AA$8,0,IF('Operating Assumptions'!$L15="N/A",0,IF('Operating Assumptions'!$L15="$/Unit/Annual",(('Operating Assumptions'!$M15*DX$25)*DX$36)/12,IF('Operating Assumptions'!$L15="$/Unit/Month",('Operating Assumptions'!$M15*DX$25)*DX$36,IF('Operating Assumptions'!$L15="Fixed Amount",('Operating Assumptions'!$M15*DX$25)/12,IF('Operating Assumptions'!$L15="$/GSF",(('Operating Assumptions'!$M15*DX$25)*'Operating Assumptions'!$D$11)/12,IF('Operating Assumptions'!$L15="$/NSF",(('Operating Assumptions'!$M15*DX$25)*'Operating Assumptions'!$D$12)/12))))))))</f>
        <v>0</v>
      </c>
      <c r="DY87" s="427">
        <f>-IF(DY$9&lt;'Operating Assumptions'!$D$53,0,IF(DY$6&gt;'Operating Assumptions'!$AA$8,0,IF('Operating Assumptions'!$L15="N/A",0,IF('Operating Assumptions'!$L15="$/Unit/Annual",(('Operating Assumptions'!$M15*DY$25)*DY$36)/12,IF('Operating Assumptions'!$L15="$/Unit/Month",('Operating Assumptions'!$M15*DY$25)*DY$36,IF('Operating Assumptions'!$L15="Fixed Amount",('Operating Assumptions'!$M15*DY$25)/12,IF('Operating Assumptions'!$L15="$/GSF",(('Operating Assumptions'!$M15*DY$25)*'Operating Assumptions'!$D$11)/12,IF('Operating Assumptions'!$L15="$/NSF",(('Operating Assumptions'!$M15*DY$25)*'Operating Assumptions'!$D$12)/12))))))))</f>
        <v>0</v>
      </c>
      <c r="DZ87" s="427">
        <f>-IF(DZ$9&lt;'Operating Assumptions'!$D$53,0,IF(DZ$6&gt;'Operating Assumptions'!$AA$8,0,IF('Operating Assumptions'!$L15="N/A",0,IF('Operating Assumptions'!$L15="$/Unit/Annual",(('Operating Assumptions'!$M15*DZ$25)*DZ$36)/12,IF('Operating Assumptions'!$L15="$/Unit/Month",('Operating Assumptions'!$M15*DZ$25)*DZ$36,IF('Operating Assumptions'!$L15="Fixed Amount",('Operating Assumptions'!$M15*DZ$25)/12,IF('Operating Assumptions'!$L15="$/GSF",(('Operating Assumptions'!$M15*DZ$25)*'Operating Assumptions'!$D$11)/12,IF('Operating Assumptions'!$L15="$/NSF",(('Operating Assumptions'!$M15*DZ$25)*'Operating Assumptions'!$D$12)/12))))))))</f>
        <v>0</v>
      </c>
      <c r="EA87" s="427">
        <f>-IF(EA$9&lt;'Operating Assumptions'!$D$53,0,IF(EA$6&gt;'Operating Assumptions'!$AA$8,0,IF('Operating Assumptions'!$L15="N/A",0,IF('Operating Assumptions'!$L15="$/Unit/Annual",(('Operating Assumptions'!$M15*EA$25)*EA$36)/12,IF('Operating Assumptions'!$L15="$/Unit/Month",('Operating Assumptions'!$M15*EA$25)*EA$36,IF('Operating Assumptions'!$L15="Fixed Amount",('Operating Assumptions'!$M15*EA$25)/12,IF('Operating Assumptions'!$L15="$/GSF",(('Operating Assumptions'!$M15*EA$25)*'Operating Assumptions'!$D$11)/12,IF('Operating Assumptions'!$L15="$/NSF",(('Operating Assumptions'!$M15*EA$25)*'Operating Assumptions'!$D$12)/12))))))))</f>
        <v>0</v>
      </c>
      <c r="EB87" s="427">
        <f>-IF(EB$9&lt;'Operating Assumptions'!$D$53,0,IF(EB$6&gt;'Operating Assumptions'!$AA$8,0,IF('Operating Assumptions'!$L15="N/A",0,IF('Operating Assumptions'!$L15="$/Unit/Annual",(('Operating Assumptions'!$M15*EB$25)*EB$36)/12,IF('Operating Assumptions'!$L15="$/Unit/Month",('Operating Assumptions'!$M15*EB$25)*EB$36,IF('Operating Assumptions'!$L15="Fixed Amount",('Operating Assumptions'!$M15*EB$25)/12,IF('Operating Assumptions'!$L15="$/GSF",(('Operating Assumptions'!$M15*EB$25)*'Operating Assumptions'!$D$11)/12,IF('Operating Assumptions'!$L15="$/NSF",(('Operating Assumptions'!$M15*EB$25)*'Operating Assumptions'!$D$12)/12))))))))</f>
        <v>0</v>
      </c>
      <c r="EC87" s="427">
        <f>-IF(EC$9&lt;'Operating Assumptions'!$D$53,0,IF(EC$6&gt;'Operating Assumptions'!$AA$8,0,IF('Operating Assumptions'!$L15="N/A",0,IF('Operating Assumptions'!$L15="$/Unit/Annual",(('Operating Assumptions'!$M15*EC$25)*EC$36)/12,IF('Operating Assumptions'!$L15="$/Unit/Month",('Operating Assumptions'!$M15*EC$25)*EC$36,IF('Operating Assumptions'!$L15="Fixed Amount",('Operating Assumptions'!$M15*EC$25)/12,IF('Operating Assumptions'!$L15="$/GSF",(('Operating Assumptions'!$M15*EC$25)*'Operating Assumptions'!$D$11)/12,IF('Operating Assumptions'!$L15="$/NSF",(('Operating Assumptions'!$M15*EC$25)*'Operating Assumptions'!$D$12)/12))))))))</f>
        <v>0</v>
      </c>
      <c r="ED87" s="427">
        <f>-IF(ED$9&lt;'Operating Assumptions'!$D$53,0,IF(ED$6&gt;'Operating Assumptions'!$AA$8,0,IF('Operating Assumptions'!$L15="N/A",0,IF('Operating Assumptions'!$L15="$/Unit/Annual",(('Operating Assumptions'!$M15*ED$25)*ED$36)/12,IF('Operating Assumptions'!$L15="$/Unit/Month",('Operating Assumptions'!$M15*ED$25)*ED$36,IF('Operating Assumptions'!$L15="Fixed Amount",('Operating Assumptions'!$M15*ED$25)/12,IF('Operating Assumptions'!$L15="$/GSF",(('Operating Assumptions'!$M15*ED$25)*'Operating Assumptions'!$D$11)/12,IF('Operating Assumptions'!$L15="$/NSF",(('Operating Assumptions'!$M15*ED$25)*'Operating Assumptions'!$D$12)/12))))))))</f>
        <v>0</v>
      </c>
      <c r="EE87" s="427">
        <f>-IF(EE$9&lt;'Operating Assumptions'!$D$53,0,IF(EE$6&gt;'Operating Assumptions'!$AA$8,0,IF('Operating Assumptions'!$L15="N/A",0,IF('Operating Assumptions'!$L15="$/Unit/Annual",(('Operating Assumptions'!$M15*EE$25)*EE$36)/12,IF('Operating Assumptions'!$L15="$/Unit/Month",('Operating Assumptions'!$M15*EE$25)*EE$36,IF('Operating Assumptions'!$L15="Fixed Amount",('Operating Assumptions'!$M15*EE$25)/12,IF('Operating Assumptions'!$L15="$/GSF",(('Operating Assumptions'!$M15*EE$25)*'Operating Assumptions'!$D$11)/12,IF('Operating Assumptions'!$L15="$/NSF",(('Operating Assumptions'!$M15*EE$25)*'Operating Assumptions'!$D$12)/12))))))))</f>
        <v>0</v>
      </c>
      <c r="EF87" s="427">
        <f>-IF(EF$9&lt;'Operating Assumptions'!$D$53,0,IF(EF$6&gt;'Operating Assumptions'!$AA$8,0,IF('Operating Assumptions'!$L15="N/A",0,IF('Operating Assumptions'!$L15="$/Unit/Annual",(('Operating Assumptions'!$M15*EF$25)*EF$36)/12,IF('Operating Assumptions'!$L15="$/Unit/Month",('Operating Assumptions'!$M15*EF$25)*EF$36,IF('Operating Assumptions'!$L15="Fixed Amount",('Operating Assumptions'!$M15*EF$25)/12,IF('Operating Assumptions'!$L15="$/GSF",(('Operating Assumptions'!$M15*EF$25)*'Operating Assumptions'!$D$11)/12,IF('Operating Assumptions'!$L15="$/NSF",(('Operating Assumptions'!$M15*EF$25)*'Operating Assumptions'!$D$12)/12))))))))</f>
        <v>0</v>
      </c>
      <c r="EG87" s="427">
        <f>-IF(EG$9&lt;'Operating Assumptions'!$D$53,0,IF(EG$6&gt;'Operating Assumptions'!$AA$8,0,IF('Operating Assumptions'!$L15="N/A",0,IF('Operating Assumptions'!$L15="$/Unit/Annual",(('Operating Assumptions'!$M15*EG$25)*EG$36)/12,IF('Operating Assumptions'!$L15="$/Unit/Month",('Operating Assumptions'!$M15*EG$25)*EG$36,IF('Operating Assumptions'!$L15="Fixed Amount",('Operating Assumptions'!$M15*EG$25)/12,IF('Operating Assumptions'!$L15="$/GSF",(('Operating Assumptions'!$M15*EG$25)*'Operating Assumptions'!$D$11)/12,IF('Operating Assumptions'!$L15="$/NSF",(('Operating Assumptions'!$M15*EG$25)*'Operating Assumptions'!$D$12)/12))))))))</f>
        <v>0</v>
      </c>
      <c r="EH87" s="427">
        <f>-IF(EH$9&lt;'Operating Assumptions'!$D$53,0,IF(EH$6&gt;'Operating Assumptions'!$AA$8,0,IF('Operating Assumptions'!$L15="N/A",0,IF('Operating Assumptions'!$L15="$/Unit/Annual",(('Operating Assumptions'!$M15*EH$25)*EH$36)/12,IF('Operating Assumptions'!$L15="$/Unit/Month",('Operating Assumptions'!$M15*EH$25)*EH$36,IF('Operating Assumptions'!$L15="Fixed Amount",('Operating Assumptions'!$M15*EH$25)/12,IF('Operating Assumptions'!$L15="$/GSF",(('Operating Assumptions'!$M15*EH$25)*'Operating Assumptions'!$D$11)/12,IF('Operating Assumptions'!$L15="$/NSF",(('Operating Assumptions'!$M15*EH$25)*'Operating Assumptions'!$D$12)/12))))))))</f>
        <v>0</v>
      </c>
      <c r="EI87" s="427">
        <f>-IF(EI$9&lt;'Operating Assumptions'!$D$53,0,IF(EI$6&gt;'Operating Assumptions'!$AA$8,0,IF('Operating Assumptions'!$L15="N/A",0,IF('Operating Assumptions'!$L15="$/Unit/Annual",(('Operating Assumptions'!$M15*EI$25)*EI$36)/12,IF('Operating Assumptions'!$L15="$/Unit/Month",('Operating Assumptions'!$M15*EI$25)*EI$36,IF('Operating Assumptions'!$L15="Fixed Amount",('Operating Assumptions'!$M15*EI$25)/12,IF('Operating Assumptions'!$L15="$/GSF",(('Operating Assumptions'!$M15*EI$25)*'Operating Assumptions'!$D$11)/12,IF('Operating Assumptions'!$L15="$/NSF",(('Operating Assumptions'!$M15*EI$25)*'Operating Assumptions'!$D$12)/12))))))))</f>
        <v>0</v>
      </c>
      <c r="EJ87" s="427">
        <f>-IF(EJ$9&lt;'Operating Assumptions'!$D$53,0,IF(EJ$6&gt;'Operating Assumptions'!$AA$8,0,IF('Operating Assumptions'!$L15="N/A",0,IF('Operating Assumptions'!$L15="$/Unit/Annual",(('Operating Assumptions'!$M15*EJ$25)*EJ$36)/12,IF('Operating Assumptions'!$L15="$/Unit/Month",('Operating Assumptions'!$M15*EJ$25)*EJ$36,IF('Operating Assumptions'!$L15="Fixed Amount",('Operating Assumptions'!$M15*EJ$25)/12,IF('Operating Assumptions'!$L15="$/GSF",(('Operating Assumptions'!$M15*EJ$25)*'Operating Assumptions'!$D$11)/12,IF('Operating Assumptions'!$L15="$/NSF",(('Operating Assumptions'!$M15*EJ$25)*'Operating Assumptions'!$D$12)/12))))))))</f>
        <v>0</v>
      </c>
      <c r="EK87" s="427">
        <f>-IF(EK$9&lt;'Operating Assumptions'!$D$53,0,IF(EK$6&gt;'Operating Assumptions'!$AA$8,0,IF('Operating Assumptions'!$L15="N/A",0,IF('Operating Assumptions'!$L15="$/Unit/Annual",(('Operating Assumptions'!$M15*EK$25)*EK$36)/12,IF('Operating Assumptions'!$L15="$/Unit/Month",('Operating Assumptions'!$M15*EK$25)*EK$36,IF('Operating Assumptions'!$L15="Fixed Amount",('Operating Assumptions'!$M15*EK$25)/12,IF('Operating Assumptions'!$L15="$/GSF",(('Operating Assumptions'!$M15*EK$25)*'Operating Assumptions'!$D$11)/12,IF('Operating Assumptions'!$L15="$/NSF",(('Operating Assumptions'!$M15*EK$25)*'Operating Assumptions'!$D$12)/12))))))))</f>
        <v>0</v>
      </c>
      <c r="EL87" s="427">
        <f>-IF(EL$9&lt;'Operating Assumptions'!$D$53,0,IF(EL$6&gt;'Operating Assumptions'!$AA$8,0,IF('Operating Assumptions'!$L15="N/A",0,IF('Operating Assumptions'!$L15="$/Unit/Annual",(('Operating Assumptions'!$M15*EL$25)*EL$36)/12,IF('Operating Assumptions'!$L15="$/Unit/Month",('Operating Assumptions'!$M15*EL$25)*EL$36,IF('Operating Assumptions'!$L15="Fixed Amount",('Operating Assumptions'!$M15*EL$25)/12,IF('Operating Assumptions'!$L15="$/GSF",(('Operating Assumptions'!$M15*EL$25)*'Operating Assumptions'!$D$11)/12,IF('Operating Assumptions'!$L15="$/NSF",(('Operating Assumptions'!$M15*EL$25)*'Operating Assumptions'!$D$12)/12))))))))</f>
        <v>0</v>
      </c>
      <c r="EM87" s="427">
        <f>-IF(EM$9&lt;'Operating Assumptions'!$D$53,0,IF(EM$6&gt;'Operating Assumptions'!$AA$8,0,IF('Operating Assumptions'!$L15="N/A",0,IF('Operating Assumptions'!$L15="$/Unit/Annual",(('Operating Assumptions'!$M15*EM$25)*EM$36)/12,IF('Operating Assumptions'!$L15="$/Unit/Month",('Operating Assumptions'!$M15*EM$25)*EM$36,IF('Operating Assumptions'!$L15="Fixed Amount",('Operating Assumptions'!$M15*EM$25)/12,IF('Operating Assumptions'!$L15="$/GSF",(('Operating Assumptions'!$M15*EM$25)*'Operating Assumptions'!$D$11)/12,IF('Operating Assumptions'!$L15="$/NSF",(('Operating Assumptions'!$M15*EM$25)*'Operating Assumptions'!$D$12)/12))))))))</f>
        <v>0</v>
      </c>
      <c r="EN87" s="427">
        <f>-IF(EN$9&lt;'Operating Assumptions'!$D$53,0,IF(EN$6&gt;'Operating Assumptions'!$AA$8,0,IF('Operating Assumptions'!$L15="N/A",0,IF('Operating Assumptions'!$L15="$/Unit/Annual",(('Operating Assumptions'!$M15*EN$25)*EN$36)/12,IF('Operating Assumptions'!$L15="$/Unit/Month",('Operating Assumptions'!$M15*EN$25)*EN$36,IF('Operating Assumptions'!$L15="Fixed Amount",('Operating Assumptions'!$M15*EN$25)/12,IF('Operating Assumptions'!$L15="$/GSF",(('Operating Assumptions'!$M15*EN$25)*'Operating Assumptions'!$D$11)/12,IF('Operating Assumptions'!$L15="$/NSF",(('Operating Assumptions'!$M15*EN$25)*'Operating Assumptions'!$D$12)/12))))))))</f>
        <v>0</v>
      </c>
      <c r="EO87" s="427">
        <f>-IF(EO$9&lt;'Operating Assumptions'!$D$53,0,IF(EO$6&gt;'Operating Assumptions'!$AA$8,0,IF('Operating Assumptions'!$L15="N/A",0,IF('Operating Assumptions'!$L15="$/Unit/Annual",(('Operating Assumptions'!$M15*EO$25)*EO$36)/12,IF('Operating Assumptions'!$L15="$/Unit/Month",('Operating Assumptions'!$M15*EO$25)*EO$36,IF('Operating Assumptions'!$L15="Fixed Amount",('Operating Assumptions'!$M15*EO$25)/12,IF('Operating Assumptions'!$L15="$/GSF",(('Operating Assumptions'!$M15*EO$25)*'Operating Assumptions'!$D$11)/12,IF('Operating Assumptions'!$L15="$/NSF",(('Operating Assumptions'!$M15*EO$25)*'Operating Assumptions'!$D$12)/12))))))))</f>
        <v>0</v>
      </c>
      <c r="EP87" s="427">
        <f>-IF(EP$9&lt;'Operating Assumptions'!$D$53,0,IF(EP$6&gt;'Operating Assumptions'!$AA$8,0,IF('Operating Assumptions'!$L15="N/A",0,IF('Operating Assumptions'!$L15="$/Unit/Annual",(('Operating Assumptions'!$M15*EP$25)*EP$36)/12,IF('Operating Assumptions'!$L15="$/Unit/Month",('Operating Assumptions'!$M15*EP$25)*EP$36,IF('Operating Assumptions'!$L15="Fixed Amount",('Operating Assumptions'!$M15*EP$25)/12,IF('Operating Assumptions'!$L15="$/GSF",(('Operating Assumptions'!$M15*EP$25)*'Operating Assumptions'!$D$11)/12,IF('Operating Assumptions'!$L15="$/NSF",(('Operating Assumptions'!$M15*EP$25)*'Operating Assumptions'!$D$12)/12))))))))</f>
        <v>0</v>
      </c>
      <c r="EQ87" s="427">
        <f>-IF(EQ$9&lt;'Operating Assumptions'!$D$53,0,IF(EQ$6&gt;'Operating Assumptions'!$AA$8,0,IF('Operating Assumptions'!$L15="N/A",0,IF('Operating Assumptions'!$L15="$/Unit/Annual",(('Operating Assumptions'!$M15*EQ$25)*EQ$36)/12,IF('Operating Assumptions'!$L15="$/Unit/Month",('Operating Assumptions'!$M15*EQ$25)*EQ$36,IF('Operating Assumptions'!$L15="Fixed Amount",('Operating Assumptions'!$M15*EQ$25)/12,IF('Operating Assumptions'!$L15="$/GSF",(('Operating Assumptions'!$M15*EQ$25)*'Operating Assumptions'!$D$11)/12,IF('Operating Assumptions'!$L15="$/NSF",(('Operating Assumptions'!$M15*EQ$25)*'Operating Assumptions'!$D$12)/12))))))))</f>
        <v>0</v>
      </c>
      <c r="ER87" s="427">
        <f>-IF(ER$9&lt;'Operating Assumptions'!$D$53,0,IF(ER$6&gt;'Operating Assumptions'!$AA$8,0,IF('Operating Assumptions'!$L15="N/A",0,IF('Operating Assumptions'!$L15="$/Unit/Annual",(('Operating Assumptions'!$M15*ER$25)*ER$36)/12,IF('Operating Assumptions'!$L15="$/Unit/Month",('Operating Assumptions'!$M15*ER$25)*ER$36,IF('Operating Assumptions'!$L15="Fixed Amount",('Operating Assumptions'!$M15*ER$25)/12,IF('Operating Assumptions'!$L15="$/GSF",(('Operating Assumptions'!$M15*ER$25)*'Operating Assumptions'!$D$11)/12,IF('Operating Assumptions'!$L15="$/NSF",(('Operating Assumptions'!$M15*ER$25)*'Operating Assumptions'!$D$12)/12))))))))</f>
        <v>0</v>
      </c>
      <c r="ES87" s="427">
        <f>-IF(ES$9&lt;'Operating Assumptions'!$D$53,0,IF(ES$6&gt;'Operating Assumptions'!$AA$8,0,IF('Operating Assumptions'!$L15="N/A",0,IF('Operating Assumptions'!$L15="$/Unit/Annual",(('Operating Assumptions'!$M15*ES$25)*ES$36)/12,IF('Operating Assumptions'!$L15="$/Unit/Month",('Operating Assumptions'!$M15*ES$25)*ES$36,IF('Operating Assumptions'!$L15="Fixed Amount",('Operating Assumptions'!$M15*ES$25)/12,IF('Operating Assumptions'!$L15="$/GSF",(('Operating Assumptions'!$M15*ES$25)*'Operating Assumptions'!$D$11)/12,IF('Operating Assumptions'!$L15="$/NSF",(('Operating Assumptions'!$M15*ES$25)*'Operating Assumptions'!$D$12)/12))))))))</f>
        <v>0</v>
      </c>
      <c r="ET87" s="427">
        <f>-IF(ET$9&lt;'Operating Assumptions'!$D$53,0,IF(ET$6&gt;'Operating Assumptions'!$AA$8,0,IF('Operating Assumptions'!$L15="N/A",0,IF('Operating Assumptions'!$L15="$/Unit/Annual",(('Operating Assumptions'!$M15*ET$25)*ET$36)/12,IF('Operating Assumptions'!$L15="$/Unit/Month",('Operating Assumptions'!$M15*ET$25)*ET$36,IF('Operating Assumptions'!$L15="Fixed Amount",('Operating Assumptions'!$M15*ET$25)/12,IF('Operating Assumptions'!$L15="$/GSF",(('Operating Assumptions'!$M15*ET$25)*'Operating Assumptions'!$D$11)/12,IF('Operating Assumptions'!$L15="$/NSF",(('Operating Assumptions'!$M15*ET$25)*'Operating Assumptions'!$D$12)/12))))))))</f>
        <v>0</v>
      </c>
      <c r="EU87" s="427">
        <f>-IF(EU$9&lt;'Operating Assumptions'!$D$53,0,IF(EU$6&gt;'Operating Assumptions'!$AA$8,0,IF('Operating Assumptions'!$L15="N/A",0,IF('Operating Assumptions'!$L15="$/Unit/Annual",(('Operating Assumptions'!$M15*EU$25)*EU$36)/12,IF('Operating Assumptions'!$L15="$/Unit/Month",('Operating Assumptions'!$M15*EU$25)*EU$36,IF('Operating Assumptions'!$L15="Fixed Amount",('Operating Assumptions'!$M15*EU$25)/12,IF('Operating Assumptions'!$L15="$/GSF",(('Operating Assumptions'!$M15*EU$25)*'Operating Assumptions'!$D$11)/12,IF('Operating Assumptions'!$L15="$/NSF",(('Operating Assumptions'!$M15*EU$25)*'Operating Assumptions'!$D$12)/12))))))))</f>
        <v>0</v>
      </c>
      <c r="EV87" s="427">
        <f>-IF(EV$9&lt;'Operating Assumptions'!$D$53,0,IF(EV$6&gt;'Operating Assumptions'!$AA$8,0,IF('Operating Assumptions'!$L15="N/A",0,IF('Operating Assumptions'!$L15="$/Unit/Annual",(('Operating Assumptions'!$M15*EV$25)*EV$36)/12,IF('Operating Assumptions'!$L15="$/Unit/Month",('Operating Assumptions'!$M15*EV$25)*EV$36,IF('Operating Assumptions'!$L15="Fixed Amount",('Operating Assumptions'!$M15*EV$25)/12,IF('Operating Assumptions'!$L15="$/GSF",(('Operating Assumptions'!$M15*EV$25)*'Operating Assumptions'!$D$11)/12,IF('Operating Assumptions'!$L15="$/NSF",(('Operating Assumptions'!$M15*EV$25)*'Operating Assumptions'!$D$12)/12))))))))</f>
        <v>0</v>
      </c>
      <c r="EW87" s="427">
        <f>-IF(EW$9&lt;'Operating Assumptions'!$D$53,0,IF(EW$6&gt;'Operating Assumptions'!$AA$8,0,IF('Operating Assumptions'!$L15="N/A",0,IF('Operating Assumptions'!$L15="$/Unit/Annual",(('Operating Assumptions'!$M15*EW$25)*EW$36)/12,IF('Operating Assumptions'!$L15="$/Unit/Month",('Operating Assumptions'!$M15*EW$25)*EW$36,IF('Operating Assumptions'!$L15="Fixed Amount",('Operating Assumptions'!$M15*EW$25)/12,IF('Operating Assumptions'!$L15="$/GSF",(('Operating Assumptions'!$M15*EW$25)*'Operating Assumptions'!$D$11)/12,IF('Operating Assumptions'!$L15="$/NSF",(('Operating Assumptions'!$M15*EW$25)*'Operating Assumptions'!$D$12)/12))))))))</f>
        <v>0</v>
      </c>
      <c r="EX87" s="427">
        <f>-IF(EX$9&lt;'Operating Assumptions'!$D$53,0,IF(EX$6&gt;'Operating Assumptions'!$AA$8,0,IF('Operating Assumptions'!$L15="N/A",0,IF('Operating Assumptions'!$L15="$/Unit/Annual",(('Operating Assumptions'!$M15*EX$25)*EX$36)/12,IF('Operating Assumptions'!$L15="$/Unit/Month",('Operating Assumptions'!$M15*EX$25)*EX$36,IF('Operating Assumptions'!$L15="Fixed Amount",('Operating Assumptions'!$M15*EX$25)/12,IF('Operating Assumptions'!$L15="$/GSF",(('Operating Assumptions'!$M15*EX$25)*'Operating Assumptions'!$D$11)/12,IF('Operating Assumptions'!$L15="$/NSF",(('Operating Assumptions'!$M15*EX$25)*'Operating Assumptions'!$D$12)/12))))))))</f>
        <v>0</v>
      </c>
      <c r="EY87" s="427">
        <f>-IF(EY$9&lt;'Operating Assumptions'!$D$53,0,IF(EY$6&gt;'Operating Assumptions'!$AA$8,0,IF('Operating Assumptions'!$L15="N/A",0,IF('Operating Assumptions'!$L15="$/Unit/Annual",(('Operating Assumptions'!$M15*EY$25)*EY$36)/12,IF('Operating Assumptions'!$L15="$/Unit/Month",('Operating Assumptions'!$M15*EY$25)*EY$36,IF('Operating Assumptions'!$L15="Fixed Amount",('Operating Assumptions'!$M15*EY$25)/12,IF('Operating Assumptions'!$L15="$/GSF",(('Operating Assumptions'!$M15*EY$25)*'Operating Assumptions'!$D$11)/12,IF('Operating Assumptions'!$L15="$/NSF",(('Operating Assumptions'!$M15*EY$25)*'Operating Assumptions'!$D$12)/12))))))))</f>
        <v>0</v>
      </c>
      <c r="EZ87" s="427">
        <f>-IF(EZ$9&lt;'Operating Assumptions'!$D$53,0,IF(EZ$6&gt;'Operating Assumptions'!$AA$8,0,IF('Operating Assumptions'!$L15="N/A",0,IF('Operating Assumptions'!$L15="$/Unit/Annual",(('Operating Assumptions'!$M15*EZ$25)*EZ$36)/12,IF('Operating Assumptions'!$L15="$/Unit/Month",('Operating Assumptions'!$M15*EZ$25)*EZ$36,IF('Operating Assumptions'!$L15="Fixed Amount",('Operating Assumptions'!$M15*EZ$25)/12,IF('Operating Assumptions'!$L15="$/GSF",(('Operating Assumptions'!$M15*EZ$25)*'Operating Assumptions'!$D$11)/12,IF('Operating Assumptions'!$L15="$/NSF",(('Operating Assumptions'!$M15*EZ$25)*'Operating Assumptions'!$D$12)/12))))))))</f>
        <v>0</v>
      </c>
      <c r="FA87" s="427">
        <f>-IF(FA$9&lt;'Operating Assumptions'!$D$53,0,IF(FA$6&gt;'Operating Assumptions'!$AA$8,0,IF('Operating Assumptions'!$L15="N/A",0,IF('Operating Assumptions'!$L15="$/Unit/Annual",(('Operating Assumptions'!$M15*FA$25)*FA$36)/12,IF('Operating Assumptions'!$L15="$/Unit/Month",('Operating Assumptions'!$M15*FA$25)*FA$36,IF('Operating Assumptions'!$L15="Fixed Amount",('Operating Assumptions'!$M15*FA$25)/12,IF('Operating Assumptions'!$L15="$/GSF",(('Operating Assumptions'!$M15*FA$25)*'Operating Assumptions'!$D$11)/12,IF('Operating Assumptions'!$L15="$/NSF",(('Operating Assumptions'!$M15*FA$25)*'Operating Assumptions'!$D$12)/12))))))))</f>
        <v>0</v>
      </c>
      <c r="FB87" s="427">
        <f>-IF(FB$9&lt;'Operating Assumptions'!$D$53,0,IF(FB$6&gt;'Operating Assumptions'!$AA$8,0,IF('Operating Assumptions'!$L15="N/A",0,IF('Operating Assumptions'!$L15="$/Unit/Annual",(('Operating Assumptions'!$M15*FB$25)*FB$36)/12,IF('Operating Assumptions'!$L15="$/Unit/Month",('Operating Assumptions'!$M15*FB$25)*FB$36,IF('Operating Assumptions'!$L15="Fixed Amount",('Operating Assumptions'!$M15*FB$25)/12,IF('Operating Assumptions'!$L15="$/GSF",(('Operating Assumptions'!$M15*FB$25)*'Operating Assumptions'!$D$11)/12,IF('Operating Assumptions'!$L15="$/NSF",(('Operating Assumptions'!$M15*FB$25)*'Operating Assumptions'!$D$12)/12))))))))</f>
        <v>0</v>
      </c>
      <c r="FC87" s="427">
        <f>-IF(FC$9&lt;'Operating Assumptions'!$D$53,0,IF(FC$6&gt;'Operating Assumptions'!$AA$8,0,IF('Operating Assumptions'!$L15="N/A",0,IF('Operating Assumptions'!$L15="$/Unit/Annual",(('Operating Assumptions'!$M15*FC$25)*FC$36)/12,IF('Operating Assumptions'!$L15="$/Unit/Month",('Operating Assumptions'!$M15*FC$25)*FC$36,IF('Operating Assumptions'!$L15="Fixed Amount",('Operating Assumptions'!$M15*FC$25)/12,IF('Operating Assumptions'!$L15="$/GSF",(('Operating Assumptions'!$M15*FC$25)*'Operating Assumptions'!$D$11)/12,IF('Operating Assumptions'!$L15="$/NSF",(('Operating Assumptions'!$M15*FC$25)*'Operating Assumptions'!$D$12)/12))))))))</f>
        <v>0</v>
      </c>
      <c r="FD87" s="427">
        <f>-IF(FD$9&lt;'Operating Assumptions'!$D$53,0,IF(FD$6&gt;'Operating Assumptions'!$AA$8,0,IF('Operating Assumptions'!$L15="N/A",0,IF('Operating Assumptions'!$L15="$/Unit/Annual",(('Operating Assumptions'!$M15*FD$25)*FD$36)/12,IF('Operating Assumptions'!$L15="$/Unit/Month",('Operating Assumptions'!$M15*FD$25)*FD$36,IF('Operating Assumptions'!$L15="Fixed Amount",('Operating Assumptions'!$M15*FD$25)/12,IF('Operating Assumptions'!$L15="$/GSF",(('Operating Assumptions'!$M15*FD$25)*'Operating Assumptions'!$D$11)/12,IF('Operating Assumptions'!$L15="$/NSF",(('Operating Assumptions'!$M15*FD$25)*'Operating Assumptions'!$D$12)/12))))))))</f>
        <v>0</v>
      </c>
      <c r="FE87" s="427">
        <f>-IF(FE$9&lt;'Operating Assumptions'!$D$53,0,IF(FE$6&gt;'Operating Assumptions'!$AA$8,0,IF('Operating Assumptions'!$L15="N/A",0,IF('Operating Assumptions'!$L15="$/Unit/Annual",(('Operating Assumptions'!$M15*FE$25)*FE$36)/12,IF('Operating Assumptions'!$L15="$/Unit/Month",('Operating Assumptions'!$M15*FE$25)*FE$36,IF('Operating Assumptions'!$L15="Fixed Amount",('Operating Assumptions'!$M15*FE$25)/12,IF('Operating Assumptions'!$L15="$/GSF",(('Operating Assumptions'!$M15*FE$25)*'Operating Assumptions'!$D$11)/12,IF('Operating Assumptions'!$L15="$/NSF",(('Operating Assumptions'!$M15*FE$25)*'Operating Assumptions'!$D$12)/12))))))))</f>
        <v>0</v>
      </c>
      <c r="FF87" s="427">
        <f>-IF(FF$9&lt;'Operating Assumptions'!$D$53,0,IF(FF$6&gt;'Operating Assumptions'!$AA$8,0,IF('Operating Assumptions'!$L15="N/A",0,IF('Operating Assumptions'!$L15="$/Unit/Annual",(('Operating Assumptions'!$M15*FF$25)*FF$36)/12,IF('Operating Assumptions'!$L15="$/Unit/Month",('Operating Assumptions'!$M15*FF$25)*FF$36,IF('Operating Assumptions'!$L15="Fixed Amount",('Operating Assumptions'!$M15*FF$25)/12,IF('Operating Assumptions'!$L15="$/GSF",(('Operating Assumptions'!$M15*FF$25)*'Operating Assumptions'!$D$11)/12,IF('Operating Assumptions'!$L15="$/NSF",(('Operating Assumptions'!$M15*FF$25)*'Operating Assumptions'!$D$12)/12))))))))</f>
        <v>0</v>
      </c>
      <c r="FG87" s="427">
        <f>-IF(FG$9&lt;'Operating Assumptions'!$D$53,0,IF(FG$6&gt;'Operating Assumptions'!$AA$8,0,IF('Operating Assumptions'!$L15="N/A",0,IF('Operating Assumptions'!$L15="$/Unit/Annual",(('Operating Assumptions'!$M15*FG$25)*FG$36)/12,IF('Operating Assumptions'!$L15="$/Unit/Month",('Operating Assumptions'!$M15*FG$25)*FG$36,IF('Operating Assumptions'!$L15="Fixed Amount",('Operating Assumptions'!$M15*FG$25)/12,IF('Operating Assumptions'!$L15="$/GSF",(('Operating Assumptions'!$M15*FG$25)*'Operating Assumptions'!$D$11)/12,IF('Operating Assumptions'!$L15="$/NSF",(('Operating Assumptions'!$M15*FG$25)*'Operating Assumptions'!$D$12)/12))))))))</f>
        <v>0</v>
      </c>
      <c r="FH87" s="427">
        <f>-IF(FH$9&lt;'Operating Assumptions'!$D$53,0,IF(FH$6&gt;'Operating Assumptions'!$AA$8,0,IF('Operating Assumptions'!$L15="N/A",0,IF('Operating Assumptions'!$L15="$/Unit/Annual",(('Operating Assumptions'!$M15*FH$25)*FH$36)/12,IF('Operating Assumptions'!$L15="$/Unit/Month",('Operating Assumptions'!$M15*FH$25)*FH$36,IF('Operating Assumptions'!$L15="Fixed Amount",('Operating Assumptions'!$M15*FH$25)/12,IF('Operating Assumptions'!$L15="$/GSF",(('Operating Assumptions'!$M15*FH$25)*'Operating Assumptions'!$D$11)/12,IF('Operating Assumptions'!$L15="$/NSF",(('Operating Assumptions'!$M15*FH$25)*'Operating Assumptions'!$D$12)/12))))))))</f>
        <v>0</v>
      </c>
      <c r="FI87" s="427">
        <f>-IF(FI$9&lt;'Operating Assumptions'!$D$53,0,IF(FI$6&gt;'Operating Assumptions'!$AA$8,0,IF('Operating Assumptions'!$L15="N/A",0,IF('Operating Assumptions'!$L15="$/Unit/Annual",(('Operating Assumptions'!$M15*FI$25)*FI$36)/12,IF('Operating Assumptions'!$L15="$/Unit/Month",('Operating Assumptions'!$M15*FI$25)*FI$36,IF('Operating Assumptions'!$L15="Fixed Amount",('Operating Assumptions'!$M15*FI$25)/12,IF('Operating Assumptions'!$L15="$/GSF",(('Operating Assumptions'!$M15*FI$25)*'Operating Assumptions'!$D$11)/12,IF('Operating Assumptions'!$L15="$/NSF",(('Operating Assumptions'!$M15*FI$25)*'Operating Assumptions'!$D$12)/12))))))))</f>
        <v>0</v>
      </c>
      <c r="FJ87" s="427">
        <f>-IF(FJ$9&lt;'Operating Assumptions'!$D$53,0,IF(FJ$6&gt;'Operating Assumptions'!$AA$8,0,IF('Operating Assumptions'!$L15="N/A",0,IF('Operating Assumptions'!$L15="$/Unit/Annual",(('Operating Assumptions'!$M15*FJ$25)*FJ$36)/12,IF('Operating Assumptions'!$L15="$/Unit/Month",('Operating Assumptions'!$M15*FJ$25)*FJ$36,IF('Operating Assumptions'!$L15="Fixed Amount",('Operating Assumptions'!$M15*FJ$25)/12,IF('Operating Assumptions'!$L15="$/GSF",(('Operating Assumptions'!$M15*FJ$25)*'Operating Assumptions'!$D$11)/12,IF('Operating Assumptions'!$L15="$/NSF",(('Operating Assumptions'!$M15*FJ$25)*'Operating Assumptions'!$D$12)/12))))))))</f>
        <v>0</v>
      </c>
      <c r="FK87" s="427">
        <f>-IF(FK$9&lt;'Operating Assumptions'!$D$53,0,IF(FK$6&gt;'Operating Assumptions'!$AA$8,0,IF('Operating Assumptions'!$L15="N/A",0,IF('Operating Assumptions'!$L15="$/Unit/Annual",(('Operating Assumptions'!$M15*FK$25)*FK$36)/12,IF('Operating Assumptions'!$L15="$/Unit/Month",('Operating Assumptions'!$M15*FK$25)*FK$36,IF('Operating Assumptions'!$L15="Fixed Amount",('Operating Assumptions'!$M15*FK$25)/12,IF('Operating Assumptions'!$L15="$/GSF",(('Operating Assumptions'!$M15*FK$25)*'Operating Assumptions'!$D$11)/12,IF('Operating Assumptions'!$L15="$/NSF",(('Operating Assumptions'!$M15*FK$25)*'Operating Assumptions'!$D$12)/12))))))))</f>
        <v>0</v>
      </c>
      <c r="FL87" s="427">
        <f>-IF(FL$9&lt;'Operating Assumptions'!$D$53,0,IF(FL$6&gt;'Operating Assumptions'!$AA$8,0,IF('Operating Assumptions'!$L15="N/A",0,IF('Operating Assumptions'!$L15="$/Unit/Annual",(('Operating Assumptions'!$M15*FL$25)*FL$36)/12,IF('Operating Assumptions'!$L15="$/Unit/Month",('Operating Assumptions'!$M15*FL$25)*FL$36,IF('Operating Assumptions'!$L15="Fixed Amount",('Operating Assumptions'!$M15*FL$25)/12,IF('Operating Assumptions'!$L15="$/GSF",(('Operating Assumptions'!$M15*FL$25)*'Operating Assumptions'!$D$11)/12,IF('Operating Assumptions'!$L15="$/NSF",(('Operating Assumptions'!$M15*FL$25)*'Operating Assumptions'!$D$12)/12))))))))</f>
        <v>0</v>
      </c>
      <c r="FM87" s="427">
        <f>-IF(FM$9&lt;'Operating Assumptions'!$D$53,0,IF(FM$6&gt;'Operating Assumptions'!$AA$8,0,IF('Operating Assumptions'!$L15="N/A",0,IF('Operating Assumptions'!$L15="$/Unit/Annual",(('Operating Assumptions'!$M15*FM$25)*FM$36)/12,IF('Operating Assumptions'!$L15="$/Unit/Month",('Operating Assumptions'!$M15*FM$25)*FM$36,IF('Operating Assumptions'!$L15="Fixed Amount",('Operating Assumptions'!$M15*FM$25)/12,IF('Operating Assumptions'!$L15="$/GSF",(('Operating Assumptions'!$M15*FM$25)*'Operating Assumptions'!$D$11)/12,IF('Operating Assumptions'!$L15="$/NSF",(('Operating Assumptions'!$M15*FM$25)*'Operating Assumptions'!$D$12)/12))))))))</f>
        <v>0</v>
      </c>
      <c r="FN87" s="427">
        <f>-IF(FN$9&lt;'Operating Assumptions'!$D$53,0,IF(FN$6&gt;'Operating Assumptions'!$AA$8,0,IF('Operating Assumptions'!$L15="N/A",0,IF('Operating Assumptions'!$L15="$/Unit/Annual",(('Operating Assumptions'!$M15*FN$25)*FN$36)/12,IF('Operating Assumptions'!$L15="$/Unit/Month",('Operating Assumptions'!$M15*FN$25)*FN$36,IF('Operating Assumptions'!$L15="Fixed Amount",('Operating Assumptions'!$M15*FN$25)/12,IF('Operating Assumptions'!$L15="$/GSF",(('Operating Assumptions'!$M15*FN$25)*'Operating Assumptions'!$D$11)/12,IF('Operating Assumptions'!$L15="$/NSF",(('Operating Assumptions'!$M15*FN$25)*'Operating Assumptions'!$D$12)/12))))))))</f>
        <v>0</v>
      </c>
      <c r="FO87" s="427">
        <f>-IF(FO$9&lt;'Operating Assumptions'!$D$53,0,IF(FO$6&gt;'Operating Assumptions'!$AA$8,0,IF('Operating Assumptions'!$L15="N/A",0,IF('Operating Assumptions'!$L15="$/Unit/Annual",(('Operating Assumptions'!$M15*FO$25)*FO$36)/12,IF('Operating Assumptions'!$L15="$/Unit/Month",('Operating Assumptions'!$M15*FO$25)*FO$36,IF('Operating Assumptions'!$L15="Fixed Amount",('Operating Assumptions'!$M15*FO$25)/12,IF('Operating Assumptions'!$L15="$/GSF",(('Operating Assumptions'!$M15*FO$25)*'Operating Assumptions'!$D$11)/12,IF('Operating Assumptions'!$L15="$/NSF",(('Operating Assumptions'!$M15*FO$25)*'Operating Assumptions'!$D$12)/12))))))))</f>
        <v>0</v>
      </c>
      <c r="FP87" s="427">
        <f>-IF(FP$9&lt;'Operating Assumptions'!$D$53,0,IF(FP$6&gt;'Operating Assumptions'!$AA$8,0,IF('Operating Assumptions'!$L15="N/A",0,IF('Operating Assumptions'!$L15="$/Unit/Annual",(('Operating Assumptions'!$M15*FP$25)*FP$36)/12,IF('Operating Assumptions'!$L15="$/Unit/Month",('Operating Assumptions'!$M15*FP$25)*FP$36,IF('Operating Assumptions'!$L15="Fixed Amount",('Operating Assumptions'!$M15*FP$25)/12,IF('Operating Assumptions'!$L15="$/GSF",(('Operating Assumptions'!$M15*FP$25)*'Operating Assumptions'!$D$11)/12,IF('Operating Assumptions'!$L15="$/NSF",(('Operating Assumptions'!$M15*FP$25)*'Operating Assumptions'!$D$12)/12))))))))</f>
        <v>0</v>
      </c>
      <c r="FQ87" s="427">
        <f>-IF(FQ$9&lt;'Operating Assumptions'!$D$53,0,IF(FQ$6&gt;'Operating Assumptions'!$AA$8,0,IF('Operating Assumptions'!$L15="N/A",0,IF('Operating Assumptions'!$L15="$/Unit/Annual",(('Operating Assumptions'!$M15*FQ$25)*FQ$36)/12,IF('Operating Assumptions'!$L15="$/Unit/Month",('Operating Assumptions'!$M15*FQ$25)*FQ$36,IF('Operating Assumptions'!$L15="Fixed Amount",('Operating Assumptions'!$M15*FQ$25)/12,IF('Operating Assumptions'!$L15="$/GSF",(('Operating Assumptions'!$M15*FQ$25)*'Operating Assumptions'!$D$11)/12,IF('Operating Assumptions'!$L15="$/NSF",(('Operating Assumptions'!$M15*FQ$25)*'Operating Assumptions'!$D$12)/12))))))))</f>
        <v>0</v>
      </c>
      <c r="FR87" s="427">
        <f>-IF(FR$9&lt;'Operating Assumptions'!$D$53,0,IF(FR$6&gt;'Operating Assumptions'!$AA$8,0,IF('Operating Assumptions'!$L15="N/A",0,IF('Operating Assumptions'!$L15="$/Unit/Annual",(('Operating Assumptions'!$M15*FR$25)*FR$36)/12,IF('Operating Assumptions'!$L15="$/Unit/Month",('Operating Assumptions'!$M15*FR$25)*FR$36,IF('Operating Assumptions'!$L15="Fixed Amount",('Operating Assumptions'!$M15*FR$25)/12,IF('Operating Assumptions'!$L15="$/GSF",(('Operating Assumptions'!$M15*FR$25)*'Operating Assumptions'!$D$11)/12,IF('Operating Assumptions'!$L15="$/NSF",(('Operating Assumptions'!$M15*FR$25)*'Operating Assumptions'!$D$12)/12))))))))</f>
        <v>0</v>
      </c>
      <c r="FS87" s="427">
        <f>-IF(FS$9&lt;'Operating Assumptions'!$D$53,0,IF(FS$6&gt;'Operating Assumptions'!$AA$8,0,IF('Operating Assumptions'!$L15="N/A",0,IF('Operating Assumptions'!$L15="$/Unit/Annual",(('Operating Assumptions'!$M15*FS$25)*FS$36)/12,IF('Operating Assumptions'!$L15="$/Unit/Month",('Operating Assumptions'!$M15*FS$25)*FS$36,IF('Operating Assumptions'!$L15="Fixed Amount",('Operating Assumptions'!$M15*FS$25)/12,IF('Operating Assumptions'!$L15="$/GSF",(('Operating Assumptions'!$M15*FS$25)*'Operating Assumptions'!$D$11)/12,IF('Operating Assumptions'!$L15="$/NSF",(('Operating Assumptions'!$M15*FS$25)*'Operating Assumptions'!$D$12)/12))))))))</f>
        <v>0</v>
      </c>
      <c r="FT87" s="427">
        <f>-IF(FT$9&lt;'Operating Assumptions'!$D$53,0,IF(FT$6&gt;'Operating Assumptions'!$AA$8,0,IF('Operating Assumptions'!$L15="N/A",0,IF('Operating Assumptions'!$L15="$/Unit/Annual",(('Operating Assumptions'!$M15*FT$25)*FT$36)/12,IF('Operating Assumptions'!$L15="$/Unit/Month",('Operating Assumptions'!$M15*FT$25)*FT$36,IF('Operating Assumptions'!$L15="Fixed Amount",('Operating Assumptions'!$M15*FT$25)/12,IF('Operating Assumptions'!$L15="$/GSF",(('Operating Assumptions'!$M15*FT$25)*'Operating Assumptions'!$D$11)/12,IF('Operating Assumptions'!$L15="$/NSF",(('Operating Assumptions'!$M15*FT$25)*'Operating Assumptions'!$D$12)/12))))))))</f>
        <v>0</v>
      </c>
      <c r="FU87" s="43"/>
      <c r="FV87" s="34"/>
      <c r="FW87" s="34"/>
      <c r="FX87" s="34"/>
      <c r="FY87" s="34"/>
      <c r="FZ87" s="34"/>
    </row>
    <row r="88" spans="1:182" s="89" customFormat="1" ht="13.5" x14ac:dyDescent="0.25">
      <c r="A88" s="34"/>
      <c r="B88" s="128" t="str">
        <f>'Operating Assumptions'!K16</f>
        <v>Blank</v>
      </c>
      <c r="C88" s="34"/>
      <c r="D88" s="34"/>
      <c r="E88" s="34"/>
      <c r="F88" s="434">
        <f t="shared" si="172"/>
        <v>0</v>
      </c>
      <c r="G88" s="34"/>
      <c r="H88" s="427">
        <f>-IF(H$9&lt;'Operating Assumptions'!$D$53,0,IF(H$6&gt;'Operating Assumptions'!$AA$8,0,IF('Operating Assumptions'!$L16="N/A",0,IF('Operating Assumptions'!$L16="$/Unit/Annual",(('Operating Assumptions'!$M16*H$25)*H$36)/12,IF('Operating Assumptions'!$L16="$/Unit/Month",('Operating Assumptions'!$M16*H$25)*H$36,IF('Operating Assumptions'!$L16="Fixed Amount",('Operating Assumptions'!$M16*H$25)/12,IF('Operating Assumptions'!$L16="$/GSF",(('Operating Assumptions'!$M16*H$25)*'Operating Assumptions'!$D$11)/12,IF('Operating Assumptions'!$L16="$/NSF",(('Operating Assumptions'!$M16*H$25)*'Operating Assumptions'!$D$12)/12))))))))</f>
        <v>0</v>
      </c>
      <c r="I88" s="427">
        <f>-IF(I$9&lt;'Operating Assumptions'!$D$53,0,IF(I$6&gt;'Operating Assumptions'!$AA$8,0,IF('Operating Assumptions'!$L16="N/A",0,IF('Operating Assumptions'!$L16="$/Unit/Annual",(('Operating Assumptions'!$M16*I$25)*I$36)/12,IF('Operating Assumptions'!$L16="$/Unit/Month",('Operating Assumptions'!$M16*I$25)*I$36,IF('Operating Assumptions'!$L16="Fixed Amount",('Operating Assumptions'!$M16*I$25)/12,IF('Operating Assumptions'!$L16="$/GSF",(('Operating Assumptions'!$M16*I$25)*'Operating Assumptions'!$D$11)/12,IF('Operating Assumptions'!$L16="$/NSF",(('Operating Assumptions'!$M16*I$25)*'Operating Assumptions'!$D$12)/12))))))))</f>
        <v>0</v>
      </c>
      <c r="J88" s="427">
        <f>-IF(J$9&lt;'Operating Assumptions'!$D$53,0,IF(J$6&gt;'Operating Assumptions'!$AA$8,0,IF('Operating Assumptions'!$L16="N/A",0,IF('Operating Assumptions'!$L16="$/Unit/Annual",(('Operating Assumptions'!$M16*J$25)*J$36)/12,IF('Operating Assumptions'!$L16="$/Unit/Month",('Operating Assumptions'!$M16*J$25)*J$36,IF('Operating Assumptions'!$L16="Fixed Amount",('Operating Assumptions'!$M16*J$25)/12,IF('Operating Assumptions'!$L16="$/GSF",(('Operating Assumptions'!$M16*J$25)*'Operating Assumptions'!$D$11)/12,IF('Operating Assumptions'!$L16="$/NSF",(('Operating Assumptions'!$M16*J$25)*'Operating Assumptions'!$D$12)/12))))))))</f>
        <v>0</v>
      </c>
      <c r="K88" s="427">
        <f>-IF(K$9&lt;'Operating Assumptions'!$D$53,0,IF(K$6&gt;'Operating Assumptions'!$AA$8,0,IF('Operating Assumptions'!$L16="N/A",0,IF('Operating Assumptions'!$L16="$/Unit/Annual",(('Operating Assumptions'!$M16*K$25)*K$36)/12,IF('Operating Assumptions'!$L16="$/Unit/Month",('Operating Assumptions'!$M16*K$25)*K$36,IF('Operating Assumptions'!$L16="Fixed Amount",('Operating Assumptions'!$M16*K$25)/12,IF('Operating Assumptions'!$L16="$/GSF",(('Operating Assumptions'!$M16*K$25)*'Operating Assumptions'!$D$11)/12,IF('Operating Assumptions'!$L16="$/NSF",(('Operating Assumptions'!$M16*K$25)*'Operating Assumptions'!$D$12)/12))))))))</f>
        <v>0</v>
      </c>
      <c r="L88" s="427">
        <f>-IF(L$9&lt;'Operating Assumptions'!$D$53,0,IF(L$6&gt;'Operating Assumptions'!$AA$8,0,IF('Operating Assumptions'!$L16="N/A",0,IF('Operating Assumptions'!$L16="$/Unit/Annual",(('Operating Assumptions'!$M16*L$25)*L$36)/12,IF('Operating Assumptions'!$L16="$/Unit/Month",('Operating Assumptions'!$M16*L$25)*L$36,IF('Operating Assumptions'!$L16="Fixed Amount",('Operating Assumptions'!$M16*L$25)/12,IF('Operating Assumptions'!$L16="$/GSF",(('Operating Assumptions'!$M16*L$25)*'Operating Assumptions'!$D$11)/12,IF('Operating Assumptions'!$L16="$/NSF",(('Operating Assumptions'!$M16*L$25)*'Operating Assumptions'!$D$12)/12))))))))</f>
        <v>0</v>
      </c>
      <c r="M88" s="427">
        <f>-IF(M$9&lt;'Operating Assumptions'!$D$53,0,IF(M$6&gt;'Operating Assumptions'!$AA$8,0,IF('Operating Assumptions'!$L16="N/A",0,IF('Operating Assumptions'!$L16="$/Unit/Annual",(('Operating Assumptions'!$M16*M$25)*M$36)/12,IF('Operating Assumptions'!$L16="$/Unit/Month",('Operating Assumptions'!$M16*M$25)*M$36,IF('Operating Assumptions'!$L16="Fixed Amount",('Operating Assumptions'!$M16*M$25)/12,IF('Operating Assumptions'!$L16="$/GSF",(('Operating Assumptions'!$M16*M$25)*'Operating Assumptions'!$D$11)/12,IF('Operating Assumptions'!$L16="$/NSF",(('Operating Assumptions'!$M16*M$25)*'Operating Assumptions'!$D$12)/12))))))))</f>
        <v>0</v>
      </c>
      <c r="N88" s="427">
        <f>-IF(N$9&lt;'Operating Assumptions'!$D$53,0,IF(N$6&gt;'Operating Assumptions'!$AA$8,0,IF('Operating Assumptions'!$L16="N/A",0,IF('Operating Assumptions'!$L16="$/Unit/Annual",(('Operating Assumptions'!$M16*N$25)*N$36)/12,IF('Operating Assumptions'!$L16="$/Unit/Month",('Operating Assumptions'!$M16*N$25)*N$36,IF('Operating Assumptions'!$L16="Fixed Amount",('Operating Assumptions'!$M16*N$25)/12,IF('Operating Assumptions'!$L16="$/GSF",(('Operating Assumptions'!$M16*N$25)*'Operating Assumptions'!$D$11)/12,IF('Operating Assumptions'!$L16="$/NSF",(('Operating Assumptions'!$M16*N$25)*'Operating Assumptions'!$D$12)/12))))))))</f>
        <v>0</v>
      </c>
      <c r="O88" s="427">
        <f>-IF(O$9&lt;'Operating Assumptions'!$D$53,0,IF(O$6&gt;'Operating Assumptions'!$AA$8,0,IF('Operating Assumptions'!$L16="N/A",0,IF('Operating Assumptions'!$L16="$/Unit/Annual",(('Operating Assumptions'!$M16*O$25)*O$36)/12,IF('Operating Assumptions'!$L16="$/Unit/Month",('Operating Assumptions'!$M16*O$25)*O$36,IF('Operating Assumptions'!$L16="Fixed Amount",('Operating Assumptions'!$M16*O$25)/12,IF('Operating Assumptions'!$L16="$/GSF",(('Operating Assumptions'!$M16*O$25)*'Operating Assumptions'!$D$11)/12,IF('Operating Assumptions'!$L16="$/NSF",(('Operating Assumptions'!$M16*O$25)*'Operating Assumptions'!$D$12)/12))))))))</f>
        <v>0</v>
      </c>
      <c r="P88" s="427">
        <f>-IF(P$9&lt;'Operating Assumptions'!$D$53,0,IF(P$6&gt;'Operating Assumptions'!$AA$8,0,IF('Operating Assumptions'!$L16="N/A",0,IF('Operating Assumptions'!$L16="$/Unit/Annual",(('Operating Assumptions'!$M16*P$25)*P$36)/12,IF('Operating Assumptions'!$L16="$/Unit/Month",('Operating Assumptions'!$M16*P$25)*P$36,IF('Operating Assumptions'!$L16="Fixed Amount",('Operating Assumptions'!$M16*P$25)/12,IF('Operating Assumptions'!$L16="$/GSF",(('Operating Assumptions'!$M16*P$25)*'Operating Assumptions'!$D$11)/12,IF('Operating Assumptions'!$L16="$/NSF",(('Operating Assumptions'!$M16*P$25)*'Operating Assumptions'!$D$12)/12))))))))</f>
        <v>0</v>
      </c>
      <c r="Q88" s="427">
        <f>-IF(Q$9&lt;'Operating Assumptions'!$D$53,0,IF(Q$6&gt;'Operating Assumptions'!$AA$8,0,IF('Operating Assumptions'!$L16="N/A",0,IF('Operating Assumptions'!$L16="$/Unit/Annual",(('Operating Assumptions'!$M16*Q$25)*Q$36)/12,IF('Operating Assumptions'!$L16="$/Unit/Month",('Operating Assumptions'!$M16*Q$25)*Q$36,IF('Operating Assumptions'!$L16="Fixed Amount",('Operating Assumptions'!$M16*Q$25)/12,IF('Operating Assumptions'!$L16="$/GSF",(('Operating Assumptions'!$M16*Q$25)*'Operating Assumptions'!$D$11)/12,IF('Operating Assumptions'!$L16="$/NSF",(('Operating Assumptions'!$M16*Q$25)*'Operating Assumptions'!$D$12)/12))))))))</f>
        <v>0</v>
      </c>
      <c r="R88" s="427">
        <f>-IF(R$9&lt;'Operating Assumptions'!$D$53,0,IF(R$6&gt;'Operating Assumptions'!$AA$8,0,IF('Operating Assumptions'!$L16="N/A",0,IF('Operating Assumptions'!$L16="$/Unit/Annual",(('Operating Assumptions'!$M16*R$25)*R$36)/12,IF('Operating Assumptions'!$L16="$/Unit/Month",('Operating Assumptions'!$M16*R$25)*R$36,IF('Operating Assumptions'!$L16="Fixed Amount",('Operating Assumptions'!$M16*R$25)/12,IF('Operating Assumptions'!$L16="$/GSF",(('Operating Assumptions'!$M16*R$25)*'Operating Assumptions'!$D$11)/12,IF('Operating Assumptions'!$L16="$/NSF",(('Operating Assumptions'!$M16*R$25)*'Operating Assumptions'!$D$12)/12))))))))</f>
        <v>0</v>
      </c>
      <c r="S88" s="427">
        <f>-IF(S$9&lt;'Operating Assumptions'!$D$53,0,IF(S$6&gt;'Operating Assumptions'!$AA$8,0,IF('Operating Assumptions'!$L16="N/A",0,IF('Operating Assumptions'!$L16="$/Unit/Annual",(('Operating Assumptions'!$M16*S$25)*S$36)/12,IF('Operating Assumptions'!$L16="$/Unit/Month",('Operating Assumptions'!$M16*S$25)*S$36,IF('Operating Assumptions'!$L16="Fixed Amount",('Operating Assumptions'!$M16*S$25)/12,IF('Operating Assumptions'!$L16="$/GSF",(('Operating Assumptions'!$M16*S$25)*'Operating Assumptions'!$D$11)/12,IF('Operating Assumptions'!$L16="$/NSF",(('Operating Assumptions'!$M16*S$25)*'Operating Assumptions'!$D$12)/12))))))))</f>
        <v>0</v>
      </c>
      <c r="T88" s="427">
        <f>-IF(T$9&lt;'Operating Assumptions'!$D$53,0,IF(T$6&gt;'Operating Assumptions'!$AA$8,0,IF('Operating Assumptions'!$L16="N/A",0,IF('Operating Assumptions'!$L16="$/Unit/Annual",(('Operating Assumptions'!$M16*T$25)*T$36)/12,IF('Operating Assumptions'!$L16="$/Unit/Month",('Operating Assumptions'!$M16*T$25)*T$36,IF('Operating Assumptions'!$L16="Fixed Amount",('Operating Assumptions'!$M16*T$25)/12,IF('Operating Assumptions'!$L16="$/GSF",(('Operating Assumptions'!$M16*T$25)*'Operating Assumptions'!$D$11)/12,IF('Operating Assumptions'!$L16="$/NSF",(('Operating Assumptions'!$M16*T$25)*'Operating Assumptions'!$D$12)/12))))))))</f>
        <v>0</v>
      </c>
      <c r="U88" s="427">
        <f>-IF(U$9&lt;'Operating Assumptions'!$D$53,0,IF(U$6&gt;'Operating Assumptions'!$AA$8,0,IF('Operating Assumptions'!$L16="N/A",0,IF('Operating Assumptions'!$L16="$/Unit/Annual",(('Operating Assumptions'!$M16*U$25)*U$36)/12,IF('Operating Assumptions'!$L16="$/Unit/Month",('Operating Assumptions'!$M16*U$25)*U$36,IF('Operating Assumptions'!$L16="Fixed Amount",('Operating Assumptions'!$M16*U$25)/12,IF('Operating Assumptions'!$L16="$/GSF",(('Operating Assumptions'!$M16*U$25)*'Operating Assumptions'!$D$11)/12,IF('Operating Assumptions'!$L16="$/NSF",(('Operating Assumptions'!$M16*U$25)*'Operating Assumptions'!$D$12)/12))))))))</f>
        <v>0</v>
      </c>
      <c r="V88" s="427">
        <f>-IF(V$9&lt;'Operating Assumptions'!$D$53,0,IF(V$6&gt;'Operating Assumptions'!$AA$8,0,IF('Operating Assumptions'!$L16="N/A",0,IF('Operating Assumptions'!$L16="$/Unit/Annual",(('Operating Assumptions'!$M16*V$25)*V$36)/12,IF('Operating Assumptions'!$L16="$/Unit/Month",('Operating Assumptions'!$M16*V$25)*V$36,IF('Operating Assumptions'!$L16="Fixed Amount",('Operating Assumptions'!$M16*V$25)/12,IF('Operating Assumptions'!$L16="$/GSF",(('Operating Assumptions'!$M16*V$25)*'Operating Assumptions'!$D$11)/12,IF('Operating Assumptions'!$L16="$/NSF",(('Operating Assumptions'!$M16*V$25)*'Operating Assumptions'!$D$12)/12))))))))</f>
        <v>0</v>
      </c>
      <c r="W88" s="427">
        <f>-IF(W$9&lt;'Operating Assumptions'!$D$53,0,IF(W$6&gt;'Operating Assumptions'!$AA$8,0,IF('Operating Assumptions'!$L16="N/A",0,IF('Operating Assumptions'!$L16="$/Unit/Annual",(('Operating Assumptions'!$M16*W$25)*W$36)/12,IF('Operating Assumptions'!$L16="$/Unit/Month",('Operating Assumptions'!$M16*W$25)*W$36,IF('Operating Assumptions'!$L16="Fixed Amount",('Operating Assumptions'!$M16*W$25)/12,IF('Operating Assumptions'!$L16="$/GSF",(('Operating Assumptions'!$M16*W$25)*'Operating Assumptions'!$D$11)/12,IF('Operating Assumptions'!$L16="$/NSF",(('Operating Assumptions'!$M16*W$25)*'Operating Assumptions'!$D$12)/12))))))))</f>
        <v>0</v>
      </c>
      <c r="X88" s="427">
        <f>-IF(X$9&lt;'Operating Assumptions'!$D$53,0,IF(X$6&gt;'Operating Assumptions'!$AA$8,0,IF('Operating Assumptions'!$L16="N/A",0,IF('Operating Assumptions'!$L16="$/Unit/Annual",(('Operating Assumptions'!$M16*X$25)*X$36)/12,IF('Operating Assumptions'!$L16="$/Unit/Month",('Operating Assumptions'!$M16*X$25)*X$36,IF('Operating Assumptions'!$L16="Fixed Amount",('Operating Assumptions'!$M16*X$25)/12,IF('Operating Assumptions'!$L16="$/GSF",(('Operating Assumptions'!$M16*X$25)*'Operating Assumptions'!$D$11)/12,IF('Operating Assumptions'!$L16="$/NSF",(('Operating Assumptions'!$M16*X$25)*'Operating Assumptions'!$D$12)/12))))))))</f>
        <v>0</v>
      </c>
      <c r="Y88" s="427">
        <f>-IF(Y$9&lt;'Operating Assumptions'!$D$53,0,IF(Y$6&gt;'Operating Assumptions'!$AA$8,0,IF('Operating Assumptions'!$L16="N/A",0,IF('Operating Assumptions'!$L16="$/Unit/Annual",(('Operating Assumptions'!$M16*Y$25)*Y$36)/12,IF('Operating Assumptions'!$L16="$/Unit/Month",('Operating Assumptions'!$M16*Y$25)*Y$36,IF('Operating Assumptions'!$L16="Fixed Amount",('Operating Assumptions'!$M16*Y$25)/12,IF('Operating Assumptions'!$L16="$/GSF",(('Operating Assumptions'!$M16*Y$25)*'Operating Assumptions'!$D$11)/12,IF('Operating Assumptions'!$L16="$/NSF",(('Operating Assumptions'!$M16*Y$25)*'Operating Assumptions'!$D$12)/12))))))))</f>
        <v>0</v>
      </c>
      <c r="Z88" s="427">
        <f>-IF(Z$9&lt;'Operating Assumptions'!$D$53,0,IF(Z$6&gt;'Operating Assumptions'!$AA$8,0,IF('Operating Assumptions'!$L16="N/A",0,IF('Operating Assumptions'!$L16="$/Unit/Annual",(('Operating Assumptions'!$M16*Z$25)*Z$36)/12,IF('Operating Assumptions'!$L16="$/Unit/Month",('Operating Assumptions'!$M16*Z$25)*Z$36,IF('Operating Assumptions'!$L16="Fixed Amount",('Operating Assumptions'!$M16*Z$25)/12,IF('Operating Assumptions'!$L16="$/GSF",(('Operating Assumptions'!$M16*Z$25)*'Operating Assumptions'!$D$11)/12,IF('Operating Assumptions'!$L16="$/NSF",(('Operating Assumptions'!$M16*Z$25)*'Operating Assumptions'!$D$12)/12))))))))</f>
        <v>0</v>
      </c>
      <c r="AA88" s="427">
        <f>-IF(AA$9&lt;'Operating Assumptions'!$D$53,0,IF(AA$6&gt;'Operating Assumptions'!$AA$8,0,IF('Operating Assumptions'!$L16="N/A",0,IF('Operating Assumptions'!$L16="$/Unit/Annual",(('Operating Assumptions'!$M16*AA$25)*AA$36)/12,IF('Operating Assumptions'!$L16="$/Unit/Month",('Operating Assumptions'!$M16*AA$25)*AA$36,IF('Operating Assumptions'!$L16="Fixed Amount",('Operating Assumptions'!$M16*AA$25)/12,IF('Operating Assumptions'!$L16="$/GSF",(('Operating Assumptions'!$M16*AA$25)*'Operating Assumptions'!$D$11)/12,IF('Operating Assumptions'!$L16="$/NSF",(('Operating Assumptions'!$M16*AA$25)*'Operating Assumptions'!$D$12)/12))))))))</f>
        <v>0</v>
      </c>
      <c r="AB88" s="427">
        <f>-IF(AB$9&lt;'Operating Assumptions'!$D$53,0,IF(AB$6&gt;'Operating Assumptions'!$AA$8,0,IF('Operating Assumptions'!$L16="N/A",0,IF('Operating Assumptions'!$L16="$/Unit/Annual",(('Operating Assumptions'!$M16*AB$25)*AB$36)/12,IF('Operating Assumptions'!$L16="$/Unit/Month",('Operating Assumptions'!$M16*AB$25)*AB$36,IF('Operating Assumptions'!$L16="Fixed Amount",('Operating Assumptions'!$M16*AB$25)/12,IF('Operating Assumptions'!$L16="$/GSF",(('Operating Assumptions'!$M16*AB$25)*'Operating Assumptions'!$D$11)/12,IF('Operating Assumptions'!$L16="$/NSF",(('Operating Assumptions'!$M16*AB$25)*'Operating Assumptions'!$D$12)/12))))))))</f>
        <v>0</v>
      </c>
      <c r="AC88" s="427">
        <f>-IF(AC$9&lt;'Operating Assumptions'!$D$53,0,IF(AC$6&gt;'Operating Assumptions'!$AA$8,0,IF('Operating Assumptions'!$L16="N/A",0,IF('Operating Assumptions'!$L16="$/Unit/Annual",(('Operating Assumptions'!$M16*AC$25)*AC$36)/12,IF('Operating Assumptions'!$L16="$/Unit/Month",('Operating Assumptions'!$M16*AC$25)*AC$36,IF('Operating Assumptions'!$L16="Fixed Amount",('Operating Assumptions'!$M16*AC$25)/12,IF('Operating Assumptions'!$L16="$/GSF",(('Operating Assumptions'!$M16*AC$25)*'Operating Assumptions'!$D$11)/12,IF('Operating Assumptions'!$L16="$/NSF",(('Operating Assumptions'!$M16*AC$25)*'Operating Assumptions'!$D$12)/12))))))))</f>
        <v>0</v>
      </c>
      <c r="AD88" s="427">
        <f>-IF(AD$9&lt;'Operating Assumptions'!$D$53,0,IF(AD$6&gt;'Operating Assumptions'!$AA$8,0,IF('Operating Assumptions'!$L16="N/A",0,IF('Operating Assumptions'!$L16="$/Unit/Annual",(('Operating Assumptions'!$M16*AD$25)*AD$36)/12,IF('Operating Assumptions'!$L16="$/Unit/Month",('Operating Assumptions'!$M16*AD$25)*AD$36,IF('Operating Assumptions'!$L16="Fixed Amount",('Operating Assumptions'!$M16*AD$25)/12,IF('Operating Assumptions'!$L16="$/GSF",(('Operating Assumptions'!$M16*AD$25)*'Operating Assumptions'!$D$11)/12,IF('Operating Assumptions'!$L16="$/NSF",(('Operating Assumptions'!$M16*AD$25)*'Operating Assumptions'!$D$12)/12))))))))</f>
        <v>0</v>
      </c>
      <c r="AE88" s="427">
        <f>-IF(AE$9&lt;'Operating Assumptions'!$D$53,0,IF(AE$6&gt;'Operating Assumptions'!$AA$8,0,IF('Operating Assumptions'!$L16="N/A",0,IF('Operating Assumptions'!$L16="$/Unit/Annual",(('Operating Assumptions'!$M16*AE$25)*AE$36)/12,IF('Operating Assumptions'!$L16="$/Unit/Month",('Operating Assumptions'!$M16*AE$25)*AE$36,IF('Operating Assumptions'!$L16="Fixed Amount",('Operating Assumptions'!$M16*AE$25)/12,IF('Operating Assumptions'!$L16="$/GSF",(('Operating Assumptions'!$M16*AE$25)*'Operating Assumptions'!$D$11)/12,IF('Operating Assumptions'!$L16="$/NSF",(('Operating Assumptions'!$M16*AE$25)*'Operating Assumptions'!$D$12)/12))))))))</f>
        <v>0</v>
      </c>
      <c r="AF88" s="427">
        <f>-IF(AF$9&lt;'Operating Assumptions'!$D$53,0,IF(AF$6&gt;'Operating Assumptions'!$AA$8,0,IF('Operating Assumptions'!$L16="N/A",0,IF('Operating Assumptions'!$L16="$/Unit/Annual",(('Operating Assumptions'!$M16*AF$25)*AF$36)/12,IF('Operating Assumptions'!$L16="$/Unit/Month",('Operating Assumptions'!$M16*AF$25)*AF$36,IF('Operating Assumptions'!$L16="Fixed Amount",('Operating Assumptions'!$M16*AF$25)/12,IF('Operating Assumptions'!$L16="$/GSF",(('Operating Assumptions'!$M16*AF$25)*'Operating Assumptions'!$D$11)/12,IF('Operating Assumptions'!$L16="$/NSF",(('Operating Assumptions'!$M16*AF$25)*'Operating Assumptions'!$D$12)/12))))))))</f>
        <v>0</v>
      </c>
      <c r="AG88" s="427">
        <f>-IF(AG$9&lt;'Operating Assumptions'!$D$53,0,IF(AG$6&gt;'Operating Assumptions'!$AA$8,0,IF('Operating Assumptions'!$L16="N/A",0,IF('Operating Assumptions'!$L16="$/Unit/Annual",(('Operating Assumptions'!$M16*AG$25)*AG$36)/12,IF('Operating Assumptions'!$L16="$/Unit/Month",('Operating Assumptions'!$M16*AG$25)*AG$36,IF('Operating Assumptions'!$L16="Fixed Amount",('Operating Assumptions'!$M16*AG$25)/12,IF('Operating Assumptions'!$L16="$/GSF",(('Operating Assumptions'!$M16*AG$25)*'Operating Assumptions'!$D$11)/12,IF('Operating Assumptions'!$L16="$/NSF",(('Operating Assumptions'!$M16*AG$25)*'Operating Assumptions'!$D$12)/12))))))))</f>
        <v>0</v>
      </c>
      <c r="AH88" s="427">
        <f>-IF(AH$9&lt;'Operating Assumptions'!$D$53,0,IF(AH$6&gt;'Operating Assumptions'!$AA$8,0,IF('Operating Assumptions'!$L16="N/A",0,IF('Operating Assumptions'!$L16="$/Unit/Annual",(('Operating Assumptions'!$M16*AH$25)*AH$36)/12,IF('Operating Assumptions'!$L16="$/Unit/Month",('Operating Assumptions'!$M16*AH$25)*AH$36,IF('Operating Assumptions'!$L16="Fixed Amount",('Operating Assumptions'!$M16*AH$25)/12,IF('Operating Assumptions'!$L16="$/GSF",(('Operating Assumptions'!$M16*AH$25)*'Operating Assumptions'!$D$11)/12,IF('Operating Assumptions'!$L16="$/NSF",(('Operating Assumptions'!$M16*AH$25)*'Operating Assumptions'!$D$12)/12))))))))</f>
        <v>0</v>
      </c>
      <c r="AI88" s="427">
        <f>-IF(AI$9&lt;'Operating Assumptions'!$D$53,0,IF(AI$6&gt;'Operating Assumptions'!$AA$8,0,IF('Operating Assumptions'!$L16="N/A",0,IF('Operating Assumptions'!$L16="$/Unit/Annual",(('Operating Assumptions'!$M16*AI$25)*AI$36)/12,IF('Operating Assumptions'!$L16="$/Unit/Month",('Operating Assumptions'!$M16*AI$25)*AI$36,IF('Operating Assumptions'!$L16="Fixed Amount",('Operating Assumptions'!$M16*AI$25)/12,IF('Operating Assumptions'!$L16="$/GSF",(('Operating Assumptions'!$M16*AI$25)*'Operating Assumptions'!$D$11)/12,IF('Operating Assumptions'!$L16="$/NSF",(('Operating Assumptions'!$M16*AI$25)*'Operating Assumptions'!$D$12)/12))))))))</f>
        <v>0</v>
      </c>
      <c r="AJ88" s="427">
        <f>-IF(AJ$9&lt;'Operating Assumptions'!$D$53,0,IF(AJ$6&gt;'Operating Assumptions'!$AA$8,0,IF('Operating Assumptions'!$L16="N/A",0,IF('Operating Assumptions'!$L16="$/Unit/Annual",(('Operating Assumptions'!$M16*AJ$25)*AJ$36)/12,IF('Operating Assumptions'!$L16="$/Unit/Month",('Operating Assumptions'!$M16*AJ$25)*AJ$36,IF('Operating Assumptions'!$L16="Fixed Amount",('Operating Assumptions'!$M16*AJ$25)/12,IF('Operating Assumptions'!$L16="$/GSF",(('Operating Assumptions'!$M16*AJ$25)*'Operating Assumptions'!$D$11)/12,IF('Operating Assumptions'!$L16="$/NSF",(('Operating Assumptions'!$M16*AJ$25)*'Operating Assumptions'!$D$12)/12))))))))</f>
        <v>0</v>
      </c>
      <c r="AK88" s="427">
        <f>-IF(AK$9&lt;'Operating Assumptions'!$D$53,0,IF(AK$6&gt;'Operating Assumptions'!$AA$8,0,IF('Operating Assumptions'!$L16="N/A",0,IF('Operating Assumptions'!$L16="$/Unit/Annual",(('Operating Assumptions'!$M16*AK$25)*AK$36)/12,IF('Operating Assumptions'!$L16="$/Unit/Month",('Operating Assumptions'!$M16*AK$25)*AK$36,IF('Operating Assumptions'!$L16="Fixed Amount",('Operating Assumptions'!$M16*AK$25)/12,IF('Operating Assumptions'!$L16="$/GSF",(('Operating Assumptions'!$M16*AK$25)*'Operating Assumptions'!$D$11)/12,IF('Operating Assumptions'!$L16="$/NSF",(('Operating Assumptions'!$M16*AK$25)*'Operating Assumptions'!$D$12)/12))))))))</f>
        <v>0</v>
      </c>
      <c r="AL88" s="427">
        <f>-IF(AL$9&lt;'Operating Assumptions'!$D$53,0,IF(AL$6&gt;'Operating Assumptions'!$AA$8,0,IF('Operating Assumptions'!$L16="N/A",0,IF('Operating Assumptions'!$L16="$/Unit/Annual",(('Operating Assumptions'!$M16*AL$25)*AL$36)/12,IF('Operating Assumptions'!$L16="$/Unit/Month",('Operating Assumptions'!$M16*AL$25)*AL$36,IF('Operating Assumptions'!$L16="Fixed Amount",('Operating Assumptions'!$M16*AL$25)/12,IF('Operating Assumptions'!$L16="$/GSF",(('Operating Assumptions'!$M16*AL$25)*'Operating Assumptions'!$D$11)/12,IF('Operating Assumptions'!$L16="$/NSF",(('Operating Assumptions'!$M16*AL$25)*'Operating Assumptions'!$D$12)/12))))))))</f>
        <v>0</v>
      </c>
      <c r="AM88" s="427">
        <f>-IF(AM$9&lt;'Operating Assumptions'!$D$53,0,IF(AM$6&gt;'Operating Assumptions'!$AA$8,0,IF('Operating Assumptions'!$L16="N/A",0,IF('Operating Assumptions'!$L16="$/Unit/Annual",(('Operating Assumptions'!$M16*AM$25)*AM$36)/12,IF('Operating Assumptions'!$L16="$/Unit/Month",('Operating Assumptions'!$M16*AM$25)*AM$36,IF('Operating Assumptions'!$L16="Fixed Amount",('Operating Assumptions'!$M16*AM$25)/12,IF('Operating Assumptions'!$L16="$/GSF",(('Operating Assumptions'!$M16*AM$25)*'Operating Assumptions'!$D$11)/12,IF('Operating Assumptions'!$L16="$/NSF",(('Operating Assumptions'!$M16*AM$25)*'Operating Assumptions'!$D$12)/12))))))))</f>
        <v>0</v>
      </c>
      <c r="AN88" s="427">
        <f>-IF(AN$9&lt;'Operating Assumptions'!$D$53,0,IF(AN$6&gt;'Operating Assumptions'!$AA$8,0,IF('Operating Assumptions'!$L16="N/A",0,IF('Operating Assumptions'!$L16="$/Unit/Annual",(('Operating Assumptions'!$M16*AN$25)*AN$36)/12,IF('Operating Assumptions'!$L16="$/Unit/Month",('Operating Assumptions'!$M16*AN$25)*AN$36,IF('Operating Assumptions'!$L16="Fixed Amount",('Operating Assumptions'!$M16*AN$25)/12,IF('Operating Assumptions'!$L16="$/GSF",(('Operating Assumptions'!$M16*AN$25)*'Operating Assumptions'!$D$11)/12,IF('Operating Assumptions'!$L16="$/NSF",(('Operating Assumptions'!$M16*AN$25)*'Operating Assumptions'!$D$12)/12))))))))</f>
        <v>0</v>
      </c>
      <c r="AO88" s="427">
        <f>-IF(AO$9&lt;'Operating Assumptions'!$D$53,0,IF(AO$6&gt;'Operating Assumptions'!$AA$8,0,IF('Operating Assumptions'!$L16="N/A",0,IF('Operating Assumptions'!$L16="$/Unit/Annual",(('Operating Assumptions'!$M16*AO$25)*AO$36)/12,IF('Operating Assumptions'!$L16="$/Unit/Month",('Operating Assumptions'!$M16*AO$25)*AO$36,IF('Operating Assumptions'!$L16="Fixed Amount",('Operating Assumptions'!$M16*AO$25)/12,IF('Operating Assumptions'!$L16="$/GSF",(('Operating Assumptions'!$M16*AO$25)*'Operating Assumptions'!$D$11)/12,IF('Operating Assumptions'!$L16="$/NSF",(('Operating Assumptions'!$M16*AO$25)*'Operating Assumptions'!$D$12)/12))))))))</f>
        <v>0</v>
      </c>
      <c r="AP88" s="427">
        <f>-IF(AP$9&lt;'Operating Assumptions'!$D$53,0,IF(AP$6&gt;'Operating Assumptions'!$AA$8,0,IF('Operating Assumptions'!$L16="N/A",0,IF('Operating Assumptions'!$L16="$/Unit/Annual",(('Operating Assumptions'!$M16*AP$25)*AP$36)/12,IF('Operating Assumptions'!$L16="$/Unit/Month",('Operating Assumptions'!$M16*AP$25)*AP$36,IF('Operating Assumptions'!$L16="Fixed Amount",('Operating Assumptions'!$M16*AP$25)/12,IF('Operating Assumptions'!$L16="$/GSF",(('Operating Assumptions'!$M16*AP$25)*'Operating Assumptions'!$D$11)/12,IF('Operating Assumptions'!$L16="$/NSF",(('Operating Assumptions'!$M16*AP$25)*'Operating Assumptions'!$D$12)/12))))))))</f>
        <v>0</v>
      </c>
      <c r="AQ88" s="427">
        <f>-IF(AQ$9&lt;'Operating Assumptions'!$D$53,0,IF(AQ$6&gt;'Operating Assumptions'!$AA$8,0,IF('Operating Assumptions'!$L16="N/A",0,IF('Operating Assumptions'!$L16="$/Unit/Annual",(('Operating Assumptions'!$M16*AQ$25)*AQ$36)/12,IF('Operating Assumptions'!$L16="$/Unit/Month",('Operating Assumptions'!$M16*AQ$25)*AQ$36,IF('Operating Assumptions'!$L16="Fixed Amount",('Operating Assumptions'!$M16*AQ$25)/12,IF('Operating Assumptions'!$L16="$/GSF",(('Operating Assumptions'!$M16*AQ$25)*'Operating Assumptions'!$D$11)/12,IF('Operating Assumptions'!$L16="$/NSF",(('Operating Assumptions'!$M16*AQ$25)*'Operating Assumptions'!$D$12)/12))))))))</f>
        <v>0</v>
      </c>
      <c r="AR88" s="427">
        <f>-IF(AR$9&lt;'Operating Assumptions'!$D$53,0,IF(AR$6&gt;'Operating Assumptions'!$AA$8,0,IF('Operating Assumptions'!$L16="N/A",0,IF('Operating Assumptions'!$L16="$/Unit/Annual",(('Operating Assumptions'!$M16*AR$25)*AR$36)/12,IF('Operating Assumptions'!$L16="$/Unit/Month",('Operating Assumptions'!$M16*AR$25)*AR$36,IF('Operating Assumptions'!$L16="Fixed Amount",('Operating Assumptions'!$M16*AR$25)/12,IF('Operating Assumptions'!$L16="$/GSF",(('Operating Assumptions'!$M16*AR$25)*'Operating Assumptions'!$D$11)/12,IF('Operating Assumptions'!$L16="$/NSF",(('Operating Assumptions'!$M16*AR$25)*'Operating Assumptions'!$D$12)/12))))))))</f>
        <v>0</v>
      </c>
      <c r="AS88" s="427">
        <f>-IF(AS$9&lt;'Operating Assumptions'!$D$53,0,IF(AS$6&gt;'Operating Assumptions'!$AA$8,0,IF('Operating Assumptions'!$L16="N/A",0,IF('Operating Assumptions'!$L16="$/Unit/Annual",(('Operating Assumptions'!$M16*AS$25)*AS$36)/12,IF('Operating Assumptions'!$L16="$/Unit/Month",('Operating Assumptions'!$M16*AS$25)*AS$36,IF('Operating Assumptions'!$L16="Fixed Amount",('Operating Assumptions'!$M16*AS$25)/12,IF('Operating Assumptions'!$L16="$/GSF",(('Operating Assumptions'!$M16*AS$25)*'Operating Assumptions'!$D$11)/12,IF('Operating Assumptions'!$L16="$/NSF",(('Operating Assumptions'!$M16*AS$25)*'Operating Assumptions'!$D$12)/12))))))))</f>
        <v>0</v>
      </c>
      <c r="AT88" s="427">
        <f>-IF(AT$9&lt;'Operating Assumptions'!$D$53,0,IF(AT$6&gt;'Operating Assumptions'!$AA$8,0,IF('Operating Assumptions'!$L16="N/A",0,IF('Operating Assumptions'!$L16="$/Unit/Annual",(('Operating Assumptions'!$M16*AT$25)*AT$36)/12,IF('Operating Assumptions'!$L16="$/Unit/Month",('Operating Assumptions'!$M16*AT$25)*AT$36,IF('Operating Assumptions'!$L16="Fixed Amount",('Operating Assumptions'!$M16*AT$25)/12,IF('Operating Assumptions'!$L16="$/GSF",(('Operating Assumptions'!$M16*AT$25)*'Operating Assumptions'!$D$11)/12,IF('Operating Assumptions'!$L16="$/NSF",(('Operating Assumptions'!$M16*AT$25)*'Operating Assumptions'!$D$12)/12))))))))</f>
        <v>0</v>
      </c>
      <c r="AU88" s="427">
        <f>-IF(AU$9&lt;'Operating Assumptions'!$D$53,0,IF(AU$6&gt;'Operating Assumptions'!$AA$8,0,IF('Operating Assumptions'!$L16="N/A",0,IF('Operating Assumptions'!$L16="$/Unit/Annual",(('Operating Assumptions'!$M16*AU$25)*AU$36)/12,IF('Operating Assumptions'!$L16="$/Unit/Month",('Operating Assumptions'!$M16*AU$25)*AU$36,IF('Operating Assumptions'!$L16="Fixed Amount",('Operating Assumptions'!$M16*AU$25)/12,IF('Operating Assumptions'!$L16="$/GSF",(('Operating Assumptions'!$M16*AU$25)*'Operating Assumptions'!$D$11)/12,IF('Operating Assumptions'!$L16="$/NSF",(('Operating Assumptions'!$M16*AU$25)*'Operating Assumptions'!$D$12)/12))))))))</f>
        <v>0</v>
      </c>
      <c r="AV88" s="427">
        <f>-IF(AV$9&lt;'Operating Assumptions'!$D$53,0,IF(AV$6&gt;'Operating Assumptions'!$AA$8,0,IF('Operating Assumptions'!$L16="N/A",0,IF('Operating Assumptions'!$L16="$/Unit/Annual",(('Operating Assumptions'!$M16*AV$25)*AV$36)/12,IF('Operating Assumptions'!$L16="$/Unit/Month",('Operating Assumptions'!$M16*AV$25)*AV$36,IF('Operating Assumptions'!$L16="Fixed Amount",('Operating Assumptions'!$M16*AV$25)/12,IF('Operating Assumptions'!$L16="$/GSF",(('Operating Assumptions'!$M16*AV$25)*'Operating Assumptions'!$D$11)/12,IF('Operating Assumptions'!$L16="$/NSF",(('Operating Assumptions'!$M16*AV$25)*'Operating Assumptions'!$D$12)/12))))))))</f>
        <v>0</v>
      </c>
      <c r="AW88" s="427">
        <f>-IF(AW$9&lt;'Operating Assumptions'!$D$53,0,IF(AW$6&gt;'Operating Assumptions'!$AA$8,0,IF('Operating Assumptions'!$L16="N/A",0,IF('Operating Assumptions'!$L16="$/Unit/Annual",(('Operating Assumptions'!$M16*AW$25)*AW$36)/12,IF('Operating Assumptions'!$L16="$/Unit/Month",('Operating Assumptions'!$M16*AW$25)*AW$36,IF('Operating Assumptions'!$L16="Fixed Amount",('Operating Assumptions'!$M16*AW$25)/12,IF('Operating Assumptions'!$L16="$/GSF",(('Operating Assumptions'!$M16*AW$25)*'Operating Assumptions'!$D$11)/12,IF('Operating Assumptions'!$L16="$/NSF",(('Operating Assumptions'!$M16*AW$25)*'Operating Assumptions'!$D$12)/12))))))))</f>
        <v>0</v>
      </c>
      <c r="AX88" s="427">
        <f>-IF(AX$9&lt;'Operating Assumptions'!$D$53,0,IF(AX$6&gt;'Operating Assumptions'!$AA$8,0,IF('Operating Assumptions'!$L16="N/A",0,IF('Operating Assumptions'!$L16="$/Unit/Annual",(('Operating Assumptions'!$M16*AX$25)*AX$36)/12,IF('Operating Assumptions'!$L16="$/Unit/Month",('Operating Assumptions'!$M16*AX$25)*AX$36,IF('Operating Assumptions'!$L16="Fixed Amount",('Operating Assumptions'!$M16*AX$25)/12,IF('Operating Assumptions'!$L16="$/GSF",(('Operating Assumptions'!$M16*AX$25)*'Operating Assumptions'!$D$11)/12,IF('Operating Assumptions'!$L16="$/NSF",(('Operating Assumptions'!$M16*AX$25)*'Operating Assumptions'!$D$12)/12))))))))</f>
        <v>0</v>
      </c>
      <c r="AY88" s="427">
        <f>-IF(AY$9&lt;'Operating Assumptions'!$D$53,0,IF(AY$6&gt;'Operating Assumptions'!$AA$8,0,IF('Operating Assumptions'!$L16="N/A",0,IF('Operating Assumptions'!$L16="$/Unit/Annual",(('Operating Assumptions'!$M16*AY$25)*AY$36)/12,IF('Operating Assumptions'!$L16="$/Unit/Month",('Operating Assumptions'!$M16*AY$25)*AY$36,IF('Operating Assumptions'!$L16="Fixed Amount",('Operating Assumptions'!$M16*AY$25)/12,IF('Operating Assumptions'!$L16="$/GSF",(('Operating Assumptions'!$M16*AY$25)*'Operating Assumptions'!$D$11)/12,IF('Operating Assumptions'!$L16="$/NSF",(('Operating Assumptions'!$M16*AY$25)*'Operating Assumptions'!$D$12)/12))))))))</f>
        <v>0</v>
      </c>
      <c r="AZ88" s="427">
        <f>-IF(AZ$9&lt;'Operating Assumptions'!$D$53,0,IF(AZ$6&gt;'Operating Assumptions'!$AA$8,0,IF('Operating Assumptions'!$L16="N/A",0,IF('Operating Assumptions'!$L16="$/Unit/Annual",(('Operating Assumptions'!$M16*AZ$25)*AZ$36)/12,IF('Operating Assumptions'!$L16="$/Unit/Month",('Operating Assumptions'!$M16*AZ$25)*AZ$36,IF('Operating Assumptions'!$L16="Fixed Amount",('Operating Assumptions'!$M16*AZ$25)/12,IF('Operating Assumptions'!$L16="$/GSF",(('Operating Assumptions'!$M16*AZ$25)*'Operating Assumptions'!$D$11)/12,IF('Operating Assumptions'!$L16="$/NSF",(('Operating Assumptions'!$M16*AZ$25)*'Operating Assumptions'!$D$12)/12))))))))</f>
        <v>0</v>
      </c>
      <c r="BA88" s="427">
        <f>-IF(BA$9&lt;'Operating Assumptions'!$D$53,0,IF(BA$6&gt;'Operating Assumptions'!$AA$8,0,IF('Operating Assumptions'!$L16="N/A",0,IF('Operating Assumptions'!$L16="$/Unit/Annual",(('Operating Assumptions'!$M16*BA$25)*BA$36)/12,IF('Operating Assumptions'!$L16="$/Unit/Month",('Operating Assumptions'!$M16*BA$25)*BA$36,IF('Operating Assumptions'!$L16="Fixed Amount",('Operating Assumptions'!$M16*BA$25)/12,IF('Operating Assumptions'!$L16="$/GSF",(('Operating Assumptions'!$M16*BA$25)*'Operating Assumptions'!$D$11)/12,IF('Operating Assumptions'!$L16="$/NSF",(('Operating Assumptions'!$M16*BA$25)*'Operating Assumptions'!$D$12)/12))))))))</f>
        <v>0</v>
      </c>
      <c r="BB88" s="427">
        <f>-IF(BB$9&lt;'Operating Assumptions'!$D$53,0,IF(BB$6&gt;'Operating Assumptions'!$AA$8,0,IF('Operating Assumptions'!$L16="N/A",0,IF('Operating Assumptions'!$L16="$/Unit/Annual",(('Operating Assumptions'!$M16*BB$25)*BB$36)/12,IF('Operating Assumptions'!$L16="$/Unit/Month",('Operating Assumptions'!$M16*BB$25)*BB$36,IF('Operating Assumptions'!$L16="Fixed Amount",('Operating Assumptions'!$M16*BB$25)/12,IF('Operating Assumptions'!$L16="$/GSF",(('Operating Assumptions'!$M16*BB$25)*'Operating Assumptions'!$D$11)/12,IF('Operating Assumptions'!$L16="$/NSF",(('Operating Assumptions'!$M16*BB$25)*'Operating Assumptions'!$D$12)/12))))))))</f>
        <v>0</v>
      </c>
      <c r="BC88" s="427">
        <f>-IF(BC$9&lt;'Operating Assumptions'!$D$53,0,IF(BC$6&gt;'Operating Assumptions'!$AA$8,0,IF('Operating Assumptions'!$L16="N/A",0,IF('Operating Assumptions'!$L16="$/Unit/Annual",(('Operating Assumptions'!$M16*BC$25)*BC$36)/12,IF('Operating Assumptions'!$L16="$/Unit/Month",('Operating Assumptions'!$M16*BC$25)*BC$36,IF('Operating Assumptions'!$L16="Fixed Amount",('Operating Assumptions'!$M16*BC$25)/12,IF('Operating Assumptions'!$L16="$/GSF",(('Operating Assumptions'!$M16*BC$25)*'Operating Assumptions'!$D$11)/12,IF('Operating Assumptions'!$L16="$/NSF",(('Operating Assumptions'!$M16*BC$25)*'Operating Assumptions'!$D$12)/12))))))))</f>
        <v>0</v>
      </c>
      <c r="BD88" s="427">
        <f>-IF(BD$9&lt;'Operating Assumptions'!$D$53,0,IF(BD$6&gt;'Operating Assumptions'!$AA$8,0,IF('Operating Assumptions'!$L16="N/A",0,IF('Operating Assumptions'!$L16="$/Unit/Annual",(('Operating Assumptions'!$M16*BD$25)*BD$36)/12,IF('Operating Assumptions'!$L16="$/Unit/Month",('Operating Assumptions'!$M16*BD$25)*BD$36,IF('Operating Assumptions'!$L16="Fixed Amount",('Operating Assumptions'!$M16*BD$25)/12,IF('Operating Assumptions'!$L16="$/GSF",(('Operating Assumptions'!$M16*BD$25)*'Operating Assumptions'!$D$11)/12,IF('Operating Assumptions'!$L16="$/NSF",(('Operating Assumptions'!$M16*BD$25)*'Operating Assumptions'!$D$12)/12))))))))</f>
        <v>0</v>
      </c>
      <c r="BE88" s="427">
        <f>-IF(BE$9&lt;'Operating Assumptions'!$D$53,0,IF(BE$6&gt;'Operating Assumptions'!$AA$8,0,IF('Operating Assumptions'!$L16="N/A",0,IF('Operating Assumptions'!$L16="$/Unit/Annual",(('Operating Assumptions'!$M16*BE$25)*BE$36)/12,IF('Operating Assumptions'!$L16="$/Unit/Month",('Operating Assumptions'!$M16*BE$25)*BE$36,IF('Operating Assumptions'!$L16="Fixed Amount",('Operating Assumptions'!$M16*BE$25)/12,IF('Operating Assumptions'!$L16="$/GSF",(('Operating Assumptions'!$M16*BE$25)*'Operating Assumptions'!$D$11)/12,IF('Operating Assumptions'!$L16="$/NSF",(('Operating Assumptions'!$M16*BE$25)*'Operating Assumptions'!$D$12)/12))))))))</f>
        <v>0</v>
      </c>
      <c r="BF88" s="427">
        <f>-IF(BF$9&lt;'Operating Assumptions'!$D$53,0,IF(BF$6&gt;'Operating Assumptions'!$AA$8,0,IF('Operating Assumptions'!$L16="N/A",0,IF('Operating Assumptions'!$L16="$/Unit/Annual",(('Operating Assumptions'!$M16*BF$25)*BF$36)/12,IF('Operating Assumptions'!$L16="$/Unit/Month",('Operating Assumptions'!$M16*BF$25)*BF$36,IF('Operating Assumptions'!$L16="Fixed Amount",('Operating Assumptions'!$M16*BF$25)/12,IF('Operating Assumptions'!$L16="$/GSF",(('Operating Assumptions'!$M16*BF$25)*'Operating Assumptions'!$D$11)/12,IF('Operating Assumptions'!$L16="$/NSF",(('Operating Assumptions'!$M16*BF$25)*'Operating Assumptions'!$D$12)/12))))))))</f>
        <v>0</v>
      </c>
      <c r="BG88" s="427">
        <f>-IF(BG$9&lt;'Operating Assumptions'!$D$53,0,IF(BG$6&gt;'Operating Assumptions'!$AA$8,0,IF('Operating Assumptions'!$L16="N/A",0,IF('Operating Assumptions'!$L16="$/Unit/Annual",(('Operating Assumptions'!$M16*BG$25)*BG$36)/12,IF('Operating Assumptions'!$L16="$/Unit/Month",('Operating Assumptions'!$M16*BG$25)*BG$36,IF('Operating Assumptions'!$L16="Fixed Amount",('Operating Assumptions'!$M16*BG$25)/12,IF('Operating Assumptions'!$L16="$/GSF",(('Operating Assumptions'!$M16*BG$25)*'Operating Assumptions'!$D$11)/12,IF('Operating Assumptions'!$L16="$/NSF",(('Operating Assumptions'!$M16*BG$25)*'Operating Assumptions'!$D$12)/12))))))))</f>
        <v>0</v>
      </c>
      <c r="BH88" s="427">
        <f>-IF(BH$9&lt;'Operating Assumptions'!$D$53,0,IF(BH$6&gt;'Operating Assumptions'!$AA$8,0,IF('Operating Assumptions'!$L16="N/A",0,IF('Operating Assumptions'!$L16="$/Unit/Annual",(('Operating Assumptions'!$M16*BH$25)*BH$36)/12,IF('Operating Assumptions'!$L16="$/Unit/Month",('Operating Assumptions'!$M16*BH$25)*BH$36,IF('Operating Assumptions'!$L16="Fixed Amount",('Operating Assumptions'!$M16*BH$25)/12,IF('Operating Assumptions'!$L16="$/GSF",(('Operating Assumptions'!$M16*BH$25)*'Operating Assumptions'!$D$11)/12,IF('Operating Assumptions'!$L16="$/NSF",(('Operating Assumptions'!$M16*BH$25)*'Operating Assumptions'!$D$12)/12))))))))</f>
        <v>0</v>
      </c>
      <c r="BI88" s="427">
        <f>-IF(BI$9&lt;'Operating Assumptions'!$D$53,0,IF(BI$6&gt;'Operating Assumptions'!$AA$8,0,IF('Operating Assumptions'!$L16="N/A",0,IF('Operating Assumptions'!$L16="$/Unit/Annual",(('Operating Assumptions'!$M16*BI$25)*BI$36)/12,IF('Operating Assumptions'!$L16="$/Unit/Month",('Operating Assumptions'!$M16*BI$25)*BI$36,IF('Operating Assumptions'!$L16="Fixed Amount",('Operating Assumptions'!$M16*BI$25)/12,IF('Operating Assumptions'!$L16="$/GSF",(('Operating Assumptions'!$M16*BI$25)*'Operating Assumptions'!$D$11)/12,IF('Operating Assumptions'!$L16="$/NSF",(('Operating Assumptions'!$M16*BI$25)*'Operating Assumptions'!$D$12)/12))))))))</f>
        <v>0</v>
      </c>
      <c r="BJ88" s="427">
        <f>-IF(BJ$9&lt;'Operating Assumptions'!$D$53,0,IF(BJ$6&gt;'Operating Assumptions'!$AA$8,0,IF('Operating Assumptions'!$L16="N/A",0,IF('Operating Assumptions'!$L16="$/Unit/Annual",(('Operating Assumptions'!$M16*BJ$25)*BJ$36)/12,IF('Operating Assumptions'!$L16="$/Unit/Month",('Operating Assumptions'!$M16*BJ$25)*BJ$36,IF('Operating Assumptions'!$L16="Fixed Amount",('Operating Assumptions'!$M16*BJ$25)/12,IF('Operating Assumptions'!$L16="$/GSF",(('Operating Assumptions'!$M16*BJ$25)*'Operating Assumptions'!$D$11)/12,IF('Operating Assumptions'!$L16="$/NSF",(('Operating Assumptions'!$M16*BJ$25)*'Operating Assumptions'!$D$12)/12))))))))</f>
        <v>0</v>
      </c>
      <c r="BK88" s="427">
        <f>-IF(BK$9&lt;'Operating Assumptions'!$D$53,0,IF(BK$6&gt;'Operating Assumptions'!$AA$8,0,IF('Operating Assumptions'!$L16="N/A",0,IF('Operating Assumptions'!$L16="$/Unit/Annual",(('Operating Assumptions'!$M16*BK$25)*BK$36)/12,IF('Operating Assumptions'!$L16="$/Unit/Month",('Operating Assumptions'!$M16*BK$25)*BK$36,IF('Operating Assumptions'!$L16="Fixed Amount",('Operating Assumptions'!$M16*BK$25)/12,IF('Operating Assumptions'!$L16="$/GSF",(('Operating Assumptions'!$M16*BK$25)*'Operating Assumptions'!$D$11)/12,IF('Operating Assumptions'!$L16="$/NSF",(('Operating Assumptions'!$M16*BK$25)*'Operating Assumptions'!$D$12)/12))))))))</f>
        <v>0</v>
      </c>
      <c r="BL88" s="427">
        <f>-IF(BL$9&lt;'Operating Assumptions'!$D$53,0,IF(BL$6&gt;'Operating Assumptions'!$AA$8,0,IF('Operating Assumptions'!$L16="N/A",0,IF('Operating Assumptions'!$L16="$/Unit/Annual",(('Operating Assumptions'!$M16*BL$25)*BL$36)/12,IF('Operating Assumptions'!$L16="$/Unit/Month",('Operating Assumptions'!$M16*BL$25)*BL$36,IF('Operating Assumptions'!$L16="Fixed Amount",('Operating Assumptions'!$M16*BL$25)/12,IF('Operating Assumptions'!$L16="$/GSF",(('Operating Assumptions'!$M16*BL$25)*'Operating Assumptions'!$D$11)/12,IF('Operating Assumptions'!$L16="$/NSF",(('Operating Assumptions'!$M16*BL$25)*'Operating Assumptions'!$D$12)/12))))))))</f>
        <v>0</v>
      </c>
      <c r="BM88" s="427">
        <f>-IF(BM$9&lt;'Operating Assumptions'!$D$53,0,IF(BM$6&gt;'Operating Assumptions'!$AA$8,0,IF('Operating Assumptions'!$L16="N/A",0,IF('Operating Assumptions'!$L16="$/Unit/Annual",(('Operating Assumptions'!$M16*BM$25)*BM$36)/12,IF('Operating Assumptions'!$L16="$/Unit/Month",('Operating Assumptions'!$M16*BM$25)*BM$36,IF('Operating Assumptions'!$L16="Fixed Amount",('Operating Assumptions'!$M16*BM$25)/12,IF('Operating Assumptions'!$L16="$/GSF",(('Operating Assumptions'!$M16*BM$25)*'Operating Assumptions'!$D$11)/12,IF('Operating Assumptions'!$L16="$/NSF",(('Operating Assumptions'!$M16*BM$25)*'Operating Assumptions'!$D$12)/12))))))))</f>
        <v>0</v>
      </c>
      <c r="BN88" s="427">
        <f>-IF(BN$9&lt;'Operating Assumptions'!$D$53,0,IF(BN$6&gt;'Operating Assumptions'!$AA$8,0,IF('Operating Assumptions'!$L16="N/A",0,IF('Operating Assumptions'!$L16="$/Unit/Annual",(('Operating Assumptions'!$M16*BN$25)*BN$36)/12,IF('Operating Assumptions'!$L16="$/Unit/Month",('Operating Assumptions'!$M16*BN$25)*BN$36,IF('Operating Assumptions'!$L16="Fixed Amount",('Operating Assumptions'!$M16*BN$25)/12,IF('Operating Assumptions'!$L16="$/GSF",(('Operating Assumptions'!$M16*BN$25)*'Operating Assumptions'!$D$11)/12,IF('Operating Assumptions'!$L16="$/NSF",(('Operating Assumptions'!$M16*BN$25)*'Operating Assumptions'!$D$12)/12))))))))</f>
        <v>0</v>
      </c>
      <c r="BO88" s="427">
        <f>-IF(BO$9&lt;'Operating Assumptions'!$D$53,0,IF(BO$6&gt;'Operating Assumptions'!$AA$8,0,IF('Operating Assumptions'!$L16="N/A",0,IF('Operating Assumptions'!$L16="$/Unit/Annual",(('Operating Assumptions'!$M16*BO$25)*BO$36)/12,IF('Operating Assumptions'!$L16="$/Unit/Month",('Operating Assumptions'!$M16*BO$25)*BO$36,IF('Operating Assumptions'!$L16="Fixed Amount",('Operating Assumptions'!$M16*BO$25)/12,IF('Operating Assumptions'!$L16="$/GSF",(('Operating Assumptions'!$M16*BO$25)*'Operating Assumptions'!$D$11)/12,IF('Operating Assumptions'!$L16="$/NSF",(('Operating Assumptions'!$M16*BO$25)*'Operating Assumptions'!$D$12)/12))))))))</f>
        <v>0</v>
      </c>
      <c r="BP88" s="427">
        <f>-IF(BP$9&lt;'Operating Assumptions'!$D$53,0,IF(BP$6&gt;'Operating Assumptions'!$AA$8,0,IF('Operating Assumptions'!$L16="N/A",0,IF('Operating Assumptions'!$L16="$/Unit/Annual",(('Operating Assumptions'!$M16*BP$25)*BP$36)/12,IF('Operating Assumptions'!$L16="$/Unit/Month",('Operating Assumptions'!$M16*BP$25)*BP$36,IF('Operating Assumptions'!$L16="Fixed Amount",('Operating Assumptions'!$M16*BP$25)/12,IF('Operating Assumptions'!$L16="$/GSF",(('Operating Assumptions'!$M16*BP$25)*'Operating Assumptions'!$D$11)/12,IF('Operating Assumptions'!$L16="$/NSF",(('Operating Assumptions'!$M16*BP$25)*'Operating Assumptions'!$D$12)/12))))))))</f>
        <v>0</v>
      </c>
      <c r="BQ88" s="427">
        <f>-IF(BQ$9&lt;'Operating Assumptions'!$D$53,0,IF(BQ$6&gt;'Operating Assumptions'!$AA$8,0,IF('Operating Assumptions'!$L16="N/A",0,IF('Operating Assumptions'!$L16="$/Unit/Annual",(('Operating Assumptions'!$M16*BQ$25)*BQ$36)/12,IF('Operating Assumptions'!$L16="$/Unit/Month",('Operating Assumptions'!$M16*BQ$25)*BQ$36,IF('Operating Assumptions'!$L16="Fixed Amount",('Operating Assumptions'!$M16*BQ$25)/12,IF('Operating Assumptions'!$L16="$/GSF",(('Operating Assumptions'!$M16*BQ$25)*'Operating Assumptions'!$D$11)/12,IF('Operating Assumptions'!$L16="$/NSF",(('Operating Assumptions'!$M16*BQ$25)*'Operating Assumptions'!$D$12)/12))))))))</f>
        <v>0</v>
      </c>
      <c r="BR88" s="427">
        <f>-IF(BR$9&lt;'Operating Assumptions'!$D$53,0,IF(BR$6&gt;'Operating Assumptions'!$AA$8,0,IF('Operating Assumptions'!$L16="N/A",0,IF('Operating Assumptions'!$L16="$/Unit/Annual",(('Operating Assumptions'!$M16*BR$25)*BR$36)/12,IF('Operating Assumptions'!$L16="$/Unit/Month",('Operating Assumptions'!$M16*BR$25)*BR$36,IF('Operating Assumptions'!$L16="Fixed Amount",('Operating Assumptions'!$M16*BR$25)/12,IF('Operating Assumptions'!$L16="$/GSF",(('Operating Assumptions'!$M16*BR$25)*'Operating Assumptions'!$D$11)/12,IF('Operating Assumptions'!$L16="$/NSF",(('Operating Assumptions'!$M16*BR$25)*'Operating Assumptions'!$D$12)/12))))))))</f>
        <v>0</v>
      </c>
      <c r="BS88" s="427">
        <f>-IF(BS$9&lt;'Operating Assumptions'!$D$53,0,IF(BS$6&gt;'Operating Assumptions'!$AA$8,0,IF('Operating Assumptions'!$L16="N/A",0,IF('Operating Assumptions'!$L16="$/Unit/Annual",(('Operating Assumptions'!$M16*BS$25)*BS$36)/12,IF('Operating Assumptions'!$L16="$/Unit/Month",('Operating Assumptions'!$M16*BS$25)*BS$36,IF('Operating Assumptions'!$L16="Fixed Amount",('Operating Assumptions'!$M16*BS$25)/12,IF('Operating Assumptions'!$L16="$/GSF",(('Operating Assumptions'!$M16*BS$25)*'Operating Assumptions'!$D$11)/12,IF('Operating Assumptions'!$L16="$/NSF",(('Operating Assumptions'!$M16*BS$25)*'Operating Assumptions'!$D$12)/12))))))))</f>
        <v>0</v>
      </c>
      <c r="BT88" s="427">
        <f>-IF(BT$9&lt;'Operating Assumptions'!$D$53,0,IF(BT$6&gt;'Operating Assumptions'!$AA$8,0,IF('Operating Assumptions'!$L16="N/A",0,IF('Operating Assumptions'!$L16="$/Unit/Annual",(('Operating Assumptions'!$M16*BT$25)*BT$36)/12,IF('Operating Assumptions'!$L16="$/Unit/Month",('Operating Assumptions'!$M16*BT$25)*BT$36,IF('Operating Assumptions'!$L16="Fixed Amount",('Operating Assumptions'!$M16*BT$25)/12,IF('Operating Assumptions'!$L16="$/GSF",(('Operating Assumptions'!$M16*BT$25)*'Operating Assumptions'!$D$11)/12,IF('Operating Assumptions'!$L16="$/NSF",(('Operating Assumptions'!$M16*BT$25)*'Operating Assumptions'!$D$12)/12))))))))</f>
        <v>0</v>
      </c>
      <c r="BU88" s="427">
        <f>-IF(BU$9&lt;'Operating Assumptions'!$D$53,0,IF(BU$6&gt;'Operating Assumptions'!$AA$8,0,IF('Operating Assumptions'!$L16="N/A",0,IF('Operating Assumptions'!$L16="$/Unit/Annual",(('Operating Assumptions'!$M16*BU$25)*BU$36)/12,IF('Operating Assumptions'!$L16="$/Unit/Month",('Operating Assumptions'!$M16*BU$25)*BU$36,IF('Operating Assumptions'!$L16="Fixed Amount",('Operating Assumptions'!$M16*BU$25)/12,IF('Operating Assumptions'!$L16="$/GSF",(('Operating Assumptions'!$M16*BU$25)*'Operating Assumptions'!$D$11)/12,IF('Operating Assumptions'!$L16="$/NSF",(('Operating Assumptions'!$M16*BU$25)*'Operating Assumptions'!$D$12)/12))))))))</f>
        <v>0</v>
      </c>
      <c r="BV88" s="427">
        <f>-IF(BV$9&lt;'Operating Assumptions'!$D$53,0,IF(BV$6&gt;'Operating Assumptions'!$AA$8,0,IF('Operating Assumptions'!$L16="N/A",0,IF('Operating Assumptions'!$L16="$/Unit/Annual",(('Operating Assumptions'!$M16*BV$25)*BV$36)/12,IF('Operating Assumptions'!$L16="$/Unit/Month",('Operating Assumptions'!$M16*BV$25)*BV$36,IF('Operating Assumptions'!$L16="Fixed Amount",('Operating Assumptions'!$M16*BV$25)/12,IF('Operating Assumptions'!$L16="$/GSF",(('Operating Assumptions'!$M16*BV$25)*'Operating Assumptions'!$D$11)/12,IF('Operating Assumptions'!$L16="$/NSF",(('Operating Assumptions'!$M16*BV$25)*'Operating Assumptions'!$D$12)/12))))))))</f>
        <v>0</v>
      </c>
      <c r="BW88" s="427">
        <f>-IF(BW$9&lt;'Operating Assumptions'!$D$53,0,IF(BW$6&gt;'Operating Assumptions'!$AA$8,0,IF('Operating Assumptions'!$L16="N/A",0,IF('Operating Assumptions'!$L16="$/Unit/Annual",(('Operating Assumptions'!$M16*BW$25)*BW$36)/12,IF('Operating Assumptions'!$L16="$/Unit/Month",('Operating Assumptions'!$M16*BW$25)*BW$36,IF('Operating Assumptions'!$L16="Fixed Amount",('Operating Assumptions'!$M16*BW$25)/12,IF('Operating Assumptions'!$L16="$/GSF",(('Operating Assumptions'!$M16*BW$25)*'Operating Assumptions'!$D$11)/12,IF('Operating Assumptions'!$L16="$/NSF",(('Operating Assumptions'!$M16*BW$25)*'Operating Assumptions'!$D$12)/12))))))))</f>
        <v>0</v>
      </c>
      <c r="BX88" s="427">
        <f>-IF(BX$9&lt;'Operating Assumptions'!$D$53,0,IF(BX$6&gt;'Operating Assumptions'!$AA$8,0,IF('Operating Assumptions'!$L16="N/A",0,IF('Operating Assumptions'!$L16="$/Unit/Annual",(('Operating Assumptions'!$M16*BX$25)*BX$36)/12,IF('Operating Assumptions'!$L16="$/Unit/Month",('Operating Assumptions'!$M16*BX$25)*BX$36,IF('Operating Assumptions'!$L16="Fixed Amount",('Operating Assumptions'!$M16*BX$25)/12,IF('Operating Assumptions'!$L16="$/GSF",(('Operating Assumptions'!$M16*BX$25)*'Operating Assumptions'!$D$11)/12,IF('Operating Assumptions'!$L16="$/NSF",(('Operating Assumptions'!$M16*BX$25)*'Operating Assumptions'!$D$12)/12))))))))</f>
        <v>0</v>
      </c>
      <c r="BY88" s="427">
        <f>-IF(BY$9&lt;'Operating Assumptions'!$D$53,0,IF(BY$6&gt;'Operating Assumptions'!$AA$8,0,IF('Operating Assumptions'!$L16="N/A",0,IF('Operating Assumptions'!$L16="$/Unit/Annual",(('Operating Assumptions'!$M16*BY$25)*BY$36)/12,IF('Operating Assumptions'!$L16="$/Unit/Month",('Operating Assumptions'!$M16*BY$25)*BY$36,IF('Operating Assumptions'!$L16="Fixed Amount",('Operating Assumptions'!$M16*BY$25)/12,IF('Operating Assumptions'!$L16="$/GSF",(('Operating Assumptions'!$M16*BY$25)*'Operating Assumptions'!$D$11)/12,IF('Operating Assumptions'!$L16="$/NSF",(('Operating Assumptions'!$M16*BY$25)*'Operating Assumptions'!$D$12)/12))))))))</f>
        <v>0</v>
      </c>
      <c r="BZ88" s="427">
        <f>-IF(BZ$9&lt;'Operating Assumptions'!$D$53,0,IF(BZ$6&gt;'Operating Assumptions'!$AA$8,0,IF('Operating Assumptions'!$L16="N/A",0,IF('Operating Assumptions'!$L16="$/Unit/Annual",(('Operating Assumptions'!$M16*BZ$25)*BZ$36)/12,IF('Operating Assumptions'!$L16="$/Unit/Month",('Operating Assumptions'!$M16*BZ$25)*BZ$36,IF('Operating Assumptions'!$L16="Fixed Amount",('Operating Assumptions'!$M16*BZ$25)/12,IF('Operating Assumptions'!$L16="$/GSF",(('Operating Assumptions'!$M16*BZ$25)*'Operating Assumptions'!$D$11)/12,IF('Operating Assumptions'!$L16="$/NSF",(('Operating Assumptions'!$M16*BZ$25)*'Operating Assumptions'!$D$12)/12))))))))</f>
        <v>0</v>
      </c>
      <c r="CA88" s="427">
        <f>-IF(CA$9&lt;'Operating Assumptions'!$D$53,0,IF(CA$6&gt;'Operating Assumptions'!$AA$8,0,IF('Operating Assumptions'!$L16="N/A",0,IF('Operating Assumptions'!$L16="$/Unit/Annual",(('Operating Assumptions'!$M16*CA$25)*CA$36)/12,IF('Operating Assumptions'!$L16="$/Unit/Month",('Operating Assumptions'!$M16*CA$25)*CA$36,IF('Operating Assumptions'!$L16="Fixed Amount",('Operating Assumptions'!$M16*CA$25)/12,IF('Operating Assumptions'!$L16="$/GSF",(('Operating Assumptions'!$M16*CA$25)*'Operating Assumptions'!$D$11)/12,IF('Operating Assumptions'!$L16="$/NSF",(('Operating Assumptions'!$M16*CA$25)*'Operating Assumptions'!$D$12)/12))))))))</f>
        <v>0</v>
      </c>
      <c r="CB88" s="427">
        <f>-IF(CB$9&lt;'Operating Assumptions'!$D$53,0,IF(CB$6&gt;'Operating Assumptions'!$AA$8,0,IF('Operating Assumptions'!$L16="N/A",0,IF('Operating Assumptions'!$L16="$/Unit/Annual",(('Operating Assumptions'!$M16*CB$25)*CB$36)/12,IF('Operating Assumptions'!$L16="$/Unit/Month",('Operating Assumptions'!$M16*CB$25)*CB$36,IF('Operating Assumptions'!$L16="Fixed Amount",('Operating Assumptions'!$M16*CB$25)/12,IF('Operating Assumptions'!$L16="$/GSF",(('Operating Assumptions'!$M16*CB$25)*'Operating Assumptions'!$D$11)/12,IF('Operating Assumptions'!$L16="$/NSF",(('Operating Assumptions'!$M16*CB$25)*'Operating Assumptions'!$D$12)/12))))))))</f>
        <v>0</v>
      </c>
      <c r="CC88" s="427">
        <f>-IF(CC$9&lt;'Operating Assumptions'!$D$53,0,IF(CC$6&gt;'Operating Assumptions'!$AA$8,0,IF('Operating Assumptions'!$L16="N/A",0,IF('Operating Assumptions'!$L16="$/Unit/Annual",(('Operating Assumptions'!$M16*CC$25)*CC$36)/12,IF('Operating Assumptions'!$L16="$/Unit/Month",('Operating Assumptions'!$M16*CC$25)*CC$36,IF('Operating Assumptions'!$L16="Fixed Amount",('Operating Assumptions'!$M16*CC$25)/12,IF('Operating Assumptions'!$L16="$/GSF",(('Operating Assumptions'!$M16*CC$25)*'Operating Assumptions'!$D$11)/12,IF('Operating Assumptions'!$L16="$/NSF",(('Operating Assumptions'!$M16*CC$25)*'Operating Assumptions'!$D$12)/12))))))))</f>
        <v>0</v>
      </c>
      <c r="CD88" s="427">
        <f>-IF(CD$9&lt;'Operating Assumptions'!$D$53,0,IF(CD$6&gt;'Operating Assumptions'!$AA$8,0,IF('Operating Assumptions'!$L16="N/A",0,IF('Operating Assumptions'!$L16="$/Unit/Annual",(('Operating Assumptions'!$M16*CD$25)*CD$36)/12,IF('Operating Assumptions'!$L16="$/Unit/Month",('Operating Assumptions'!$M16*CD$25)*CD$36,IF('Operating Assumptions'!$L16="Fixed Amount",('Operating Assumptions'!$M16*CD$25)/12,IF('Operating Assumptions'!$L16="$/GSF",(('Operating Assumptions'!$M16*CD$25)*'Operating Assumptions'!$D$11)/12,IF('Operating Assumptions'!$L16="$/NSF",(('Operating Assumptions'!$M16*CD$25)*'Operating Assumptions'!$D$12)/12))))))))</f>
        <v>0</v>
      </c>
      <c r="CE88" s="427">
        <f>-IF(CE$9&lt;'Operating Assumptions'!$D$53,0,IF(CE$6&gt;'Operating Assumptions'!$AA$8,0,IF('Operating Assumptions'!$L16="N/A",0,IF('Operating Assumptions'!$L16="$/Unit/Annual",(('Operating Assumptions'!$M16*CE$25)*CE$36)/12,IF('Operating Assumptions'!$L16="$/Unit/Month",('Operating Assumptions'!$M16*CE$25)*CE$36,IF('Operating Assumptions'!$L16="Fixed Amount",('Operating Assumptions'!$M16*CE$25)/12,IF('Operating Assumptions'!$L16="$/GSF",(('Operating Assumptions'!$M16*CE$25)*'Operating Assumptions'!$D$11)/12,IF('Operating Assumptions'!$L16="$/NSF",(('Operating Assumptions'!$M16*CE$25)*'Operating Assumptions'!$D$12)/12))))))))</f>
        <v>0</v>
      </c>
      <c r="CF88" s="427">
        <f>-IF(CF$9&lt;'Operating Assumptions'!$D$53,0,IF(CF$6&gt;'Operating Assumptions'!$AA$8,0,IF('Operating Assumptions'!$L16="N/A",0,IF('Operating Assumptions'!$L16="$/Unit/Annual",(('Operating Assumptions'!$M16*CF$25)*CF$36)/12,IF('Operating Assumptions'!$L16="$/Unit/Month",('Operating Assumptions'!$M16*CF$25)*CF$36,IF('Operating Assumptions'!$L16="Fixed Amount",('Operating Assumptions'!$M16*CF$25)/12,IF('Operating Assumptions'!$L16="$/GSF",(('Operating Assumptions'!$M16*CF$25)*'Operating Assumptions'!$D$11)/12,IF('Operating Assumptions'!$L16="$/NSF",(('Operating Assumptions'!$M16*CF$25)*'Operating Assumptions'!$D$12)/12))))))))</f>
        <v>0</v>
      </c>
      <c r="CG88" s="427">
        <f>-IF(CG$9&lt;'Operating Assumptions'!$D$53,0,IF(CG$6&gt;'Operating Assumptions'!$AA$8,0,IF('Operating Assumptions'!$L16="N/A",0,IF('Operating Assumptions'!$L16="$/Unit/Annual",(('Operating Assumptions'!$M16*CG$25)*CG$36)/12,IF('Operating Assumptions'!$L16="$/Unit/Month",('Operating Assumptions'!$M16*CG$25)*CG$36,IF('Operating Assumptions'!$L16="Fixed Amount",('Operating Assumptions'!$M16*CG$25)/12,IF('Operating Assumptions'!$L16="$/GSF",(('Operating Assumptions'!$M16*CG$25)*'Operating Assumptions'!$D$11)/12,IF('Operating Assumptions'!$L16="$/NSF",(('Operating Assumptions'!$M16*CG$25)*'Operating Assumptions'!$D$12)/12))))))))</f>
        <v>0</v>
      </c>
      <c r="CH88" s="427">
        <f>-IF(CH$9&lt;'Operating Assumptions'!$D$53,0,IF(CH$6&gt;'Operating Assumptions'!$AA$8,0,IF('Operating Assumptions'!$L16="N/A",0,IF('Operating Assumptions'!$L16="$/Unit/Annual",(('Operating Assumptions'!$M16*CH$25)*CH$36)/12,IF('Operating Assumptions'!$L16="$/Unit/Month",('Operating Assumptions'!$M16*CH$25)*CH$36,IF('Operating Assumptions'!$L16="Fixed Amount",('Operating Assumptions'!$M16*CH$25)/12,IF('Operating Assumptions'!$L16="$/GSF",(('Operating Assumptions'!$M16*CH$25)*'Operating Assumptions'!$D$11)/12,IF('Operating Assumptions'!$L16="$/NSF",(('Operating Assumptions'!$M16*CH$25)*'Operating Assumptions'!$D$12)/12))))))))</f>
        <v>0</v>
      </c>
      <c r="CI88" s="427">
        <f>-IF(CI$9&lt;'Operating Assumptions'!$D$53,0,IF(CI$6&gt;'Operating Assumptions'!$AA$8,0,IF('Operating Assumptions'!$L16="N/A",0,IF('Operating Assumptions'!$L16="$/Unit/Annual",(('Operating Assumptions'!$M16*CI$25)*CI$36)/12,IF('Operating Assumptions'!$L16="$/Unit/Month",('Operating Assumptions'!$M16*CI$25)*CI$36,IF('Operating Assumptions'!$L16="Fixed Amount",('Operating Assumptions'!$M16*CI$25)/12,IF('Operating Assumptions'!$L16="$/GSF",(('Operating Assumptions'!$M16*CI$25)*'Operating Assumptions'!$D$11)/12,IF('Operating Assumptions'!$L16="$/NSF",(('Operating Assumptions'!$M16*CI$25)*'Operating Assumptions'!$D$12)/12))))))))</f>
        <v>0</v>
      </c>
      <c r="CJ88" s="427">
        <f>-IF(CJ$9&lt;'Operating Assumptions'!$D$53,0,IF(CJ$6&gt;'Operating Assumptions'!$AA$8,0,IF('Operating Assumptions'!$L16="N/A",0,IF('Operating Assumptions'!$L16="$/Unit/Annual",(('Operating Assumptions'!$M16*CJ$25)*CJ$36)/12,IF('Operating Assumptions'!$L16="$/Unit/Month",('Operating Assumptions'!$M16*CJ$25)*CJ$36,IF('Operating Assumptions'!$L16="Fixed Amount",('Operating Assumptions'!$M16*CJ$25)/12,IF('Operating Assumptions'!$L16="$/GSF",(('Operating Assumptions'!$M16*CJ$25)*'Operating Assumptions'!$D$11)/12,IF('Operating Assumptions'!$L16="$/NSF",(('Operating Assumptions'!$M16*CJ$25)*'Operating Assumptions'!$D$12)/12))))))))</f>
        <v>0</v>
      </c>
      <c r="CK88" s="427">
        <f>-IF(CK$9&lt;'Operating Assumptions'!$D$53,0,IF(CK$6&gt;'Operating Assumptions'!$AA$8,0,IF('Operating Assumptions'!$L16="N/A",0,IF('Operating Assumptions'!$L16="$/Unit/Annual",(('Operating Assumptions'!$M16*CK$25)*CK$36)/12,IF('Operating Assumptions'!$L16="$/Unit/Month",('Operating Assumptions'!$M16*CK$25)*CK$36,IF('Operating Assumptions'!$L16="Fixed Amount",('Operating Assumptions'!$M16*CK$25)/12,IF('Operating Assumptions'!$L16="$/GSF",(('Operating Assumptions'!$M16*CK$25)*'Operating Assumptions'!$D$11)/12,IF('Operating Assumptions'!$L16="$/NSF",(('Operating Assumptions'!$M16*CK$25)*'Operating Assumptions'!$D$12)/12))))))))</f>
        <v>0</v>
      </c>
      <c r="CL88" s="427">
        <f>-IF(CL$9&lt;'Operating Assumptions'!$D$53,0,IF(CL$6&gt;'Operating Assumptions'!$AA$8,0,IF('Operating Assumptions'!$L16="N/A",0,IF('Operating Assumptions'!$L16="$/Unit/Annual",(('Operating Assumptions'!$M16*CL$25)*CL$36)/12,IF('Operating Assumptions'!$L16="$/Unit/Month",('Operating Assumptions'!$M16*CL$25)*CL$36,IF('Operating Assumptions'!$L16="Fixed Amount",('Operating Assumptions'!$M16*CL$25)/12,IF('Operating Assumptions'!$L16="$/GSF",(('Operating Assumptions'!$M16*CL$25)*'Operating Assumptions'!$D$11)/12,IF('Operating Assumptions'!$L16="$/NSF",(('Operating Assumptions'!$M16*CL$25)*'Operating Assumptions'!$D$12)/12))))))))</f>
        <v>0</v>
      </c>
      <c r="CM88" s="427">
        <f>-IF(CM$9&lt;'Operating Assumptions'!$D$53,0,IF(CM$6&gt;'Operating Assumptions'!$AA$8,0,IF('Operating Assumptions'!$L16="N/A",0,IF('Operating Assumptions'!$L16="$/Unit/Annual",(('Operating Assumptions'!$M16*CM$25)*CM$36)/12,IF('Operating Assumptions'!$L16="$/Unit/Month",('Operating Assumptions'!$M16*CM$25)*CM$36,IF('Operating Assumptions'!$L16="Fixed Amount",('Operating Assumptions'!$M16*CM$25)/12,IF('Operating Assumptions'!$L16="$/GSF",(('Operating Assumptions'!$M16*CM$25)*'Operating Assumptions'!$D$11)/12,IF('Operating Assumptions'!$L16="$/NSF",(('Operating Assumptions'!$M16*CM$25)*'Operating Assumptions'!$D$12)/12))))))))</f>
        <v>0</v>
      </c>
      <c r="CN88" s="427">
        <f>-IF(CN$9&lt;'Operating Assumptions'!$D$53,0,IF(CN$6&gt;'Operating Assumptions'!$AA$8,0,IF('Operating Assumptions'!$L16="N/A",0,IF('Operating Assumptions'!$L16="$/Unit/Annual",(('Operating Assumptions'!$M16*CN$25)*CN$36)/12,IF('Operating Assumptions'!$L16="$/Unit/Month",('Operating Assumptions'!$M16*CN$25)*CN$36,IF('Operating Assumptions'!$L16="Fixed Amount",('Operating Assumptions'!$M16*CN$25)/12,IF('Operating Assumptions'!$L16="$/GSF",(('Operating Assumptions'!$M16*CN$25)*'Operating Assumptions'!$D$11)/12,IF('Operating Assumptions'!$L16="$/NSF",(('Operating Assumptions'!$M16*CN$25)*'Operating Assumptions'!$D$12)/12))))))))</f>
        <v>0</v>
      </c>
      <c r="CO88" s="427">
        <f>-IF(CO$9&lt;'Operating Assumptions'!$D$53,0,IF(CO$6&gt;'Operating Assumptions'!$AA$8,0,IF('Operating Assumptions'!$L16="N/A",0,IF('Operating Assumptions'!$L16="$/Unit/Annual",(('Operating Assumptions'!$M16*CO$25)*CO$36)/12,IF('Operating Assumptions'!$L16="$/Unit/Month",('Operating Assumptions'!$M16*CO$25)*CO$36,IF('Operating Assumptions'!$L16="Fixed Amount",('Operating Assumptions'!$M16*CO$25)/12,IF('Operating Assumptions'!$L16="$/GSF",(('Operating Assumptions'!$M16*CO$25)*'Operating Assumptions'!$D$11)/12,IF('Operating Assumptions'!$L16="$/NSF",(('Operating Assumptions'!$M16*CO$25)*'Operating Assumptions'!$D$12)/12))))))))</f>
        <v>0</v>
      </c>
      <c r="CP88" s="427">
        <f>-IF(CP$9&lt;'Operating Assumptions'!$D$53,0,IF(CP$6&gt;'Operating Assumptions'!$AA$8,0,IF('Operating Assumptions'!$L16="N/A",0,IF('Operating Assumptions'!$L16="$/Unit/Annual",(('Operating Assumptions'!$M16*CP$25)*CP$36)/12,IF('Operating Assumptions'!$L16="$/Unit/Month",('Operating Assumptions'!$M16*CP$25)*CP$36,IF('Operating Assumptions'!$L16="Fixed Amount",('Operating Assumptions'!$M16*CP$25)/12,IF('Operating Assumptions'!$L16="$/GSF",(('Operating Assumptions'!$M16*CP$25)*'Operating Assumptions'!$D$11)/12,IF('Operating Assumptions'!$L16="$/NSF",(('Operating Assumptions'!$M16*CP$25)*'Operating Assumptions'!$D$12)/12))))))))</f>
        <v>0</v>
      </c>
      <c r="CQ88" s="427">
        <f>-IF(CQ$9&lt;'Operating Assumptions'!$D$53,0,IF(CQ$6&gt;'Operating Assumptions'!$AA$8,0,IF('Operating Assumptions'!$L16="N/A",0,IF('Operating Assumptions'!$L16="$/Unit/Annual",(('Operating Assumptions'!$M16*CQ$25)*CQ$36)/12,IF('Operating Assumptions'!$L16="$/Unit/Month",('Operating Assumptions'!$M16*CQ$25)*CQ$36,IF('Operating Assumptions'!$L16="Fixed Amount",('Operating Assumptions'!$M16*CQ$25)/12,IF('Operating Assumptions'!$L16="$/GSF",(('Operating Assumptions'!$M16*CQ$25)*'Operating Assumptions'!$D$11)/12,IF('Operating Assumptions'!$L16="$/NSF",(('Operating Assumptions'!$M16*CQ$25)*'Operating Assumptions'!$D$12)/12))))))))</f>
        <v>0</v>
      </c>
      <c r="CR88" s="427">
        <f>-IF(CR$9&lt;'Operating Assumptions'!$D$53,0,IF(CR$6&gt;'Operating Assumptions'!$AA$8,0,IF('Operating Assumptions'!$L16="N/A",0,IF('Operating Assumptions'!$L16="$/Unit/Annual",(('Operating Assumptions'!$M16*CR$25)*CR$36)/12,IF('Operating Assumptions'!$L16="$/Unit/Month",('Operating Assumptions'!$M16*CR$25)*CR$36,IF('Operating Assumptions'!$L16="Fixed Amount",('Operating Assumptions'!$M16*CR$25)/12,IF('Operating Assumptions'!$L16="$/GSF",(('Operating Assumptions'!$M16*CR$25)*'Operating Assumptions'!$D$11)/12,IF('Operating Assumptions'!$L16="$/NSF",(('Operating Assumptions'!$M16*CR$25)*'Operating Assumptions'!$D$12)/12))))))))</f>
        <v>0</v>
      </c>
      <c r="CS88" s="427">
        <f>-IF(CS$9&lt;'Operating Assumptions'!$D$53,0,IF(CS$6&gt;'Operating Assumptions'!$AA$8,0,IF('Operating Assumptions'!$L16="N/A",0,IF('Operating Assumptions'!$L16="$/Unit/Annual",(('Operating Assumptions'!$M16*CS$25)*CS$36)/12,IF('Operating Assumptions'!$L16="$/Unit/Month",('Operating Assumptions'!$M16*CS$25)*CS$36,IF('Operating Assumptions'!$L16="Fixed Amount",('Operating Assumptions'!$M16*CS$25)/12,IF('Operating Assumptions'!$L16="$/GSF",(('Operating Assumptions'!$M16*CS$25)*'Operating Assumptions'!$D$11)/12,IF('Operating Assumptions'!$L16="$/NSF",(('Operating Assumptions'!$M16*CS$25)*'Operating Assumptions'!$D$12)/12))))))))</f>
        <v>0</v>
      </c>
      <c r="CT88" s="427">
        <f>-IF(CT$9&lt;'Operating Assumptions'!$D$53,0,IF(CT$6&gt;'Operating Assumptions'!$AA$8,0,IF('Operating Assumptions'!$L16="N/A",0,IF('Operating Assumptions'!$L16="$/Unit/Annual",(('Operating Assumptions'!$M16*CT$25)*CT$36)/12,IF('Operating Assumptions'!$L16="$/Unit/Month",('Operating Assumptions'!$M16*CT$25)*CT$36,IF('Operating Assumptions'!$L16="Fixed Amount",('Operating Assumptions'!$M16*CT$25)/12,IF('Operating Assumptions'!$L16="$/GSF",(('Operating Assumptions'!$M16*CT$25)*'Operating Assumptions'!$D$11)/12,IF('Operating Assumptions'!$L16="$/NSF",(('Operating Assumptions'!$M16*CT$25)*'Operating Assumptions'!$D$12)/12))))))))</f>
        <v>0</v>
      </c>
      <c r="CU88" s="427">
        <f>-IF(CU$9&lt;'Operating Assumptions'!$D$53,0,IF(CU$6&gt;'Operating Assumptions'!$AA$8,0,IF('Operating Assumptions'!$L16="N/A",0,IF('Operating Assumptions'!$L16="$/Unit/Annual",(('Operating Assumptions'!$M16*CU$25)*CU$36)/12,IF('Operating Assumptions'!$L16="$/Unit/Month",('Operating Assumptions'!$M16*CU$25)*CU$36,IF('Operating Assumptions'!$L16="Fixed Amount",('Operating Assumptions'!$M16*CU$25)/12,IF('Operating Assumptions'!$L16="$/GSF",(('Operating Assumptions'!$M16*CU$25)*'Operating Assumptions'!$D$11)/12,IF('Operating Assumptions'!$L16="$/NSF",(('Operating Assumptions'!$M16*CU$25)*'Operating Assumptions'!$D$12)/12))))))))</f>
        <v>0</v>
      </c>
      <c r="CV88" s="427">
        <f>-IF(CV$9&lt;'Operating Assumptions'!$D$53,0,IF(CV$6&gt;'Operating Assumptions'!$AA$8,0,IF('Operating Assumptions'!$L16="N/A",0,IF('Operating Assumptions'!$L16="$/Unit/Annual",(('Operating Assumptions'!$M16*CV$25)*CV$36)/12,IF('Operating Assumptions'!$L16="$/Unit/Month",('Operating Assumptions'!$M16*CV$25)*CV$36,IF('Operating Assumptions'!$L16="Fixed Amount",('Operating Assumptions'!$M16*CV$25)/12,IF('Operating Assumptions'!$L16="$/GSF",(('Operating Assumptions'!$M16*CV$25)*'Operating Assumptions'!$D$11)/12,IF('Operating Assumptions'!$L16="$/NSF",(('Operating Assumptions'!$M16*CV$25)*'Operating Assumptions'!$D$12)/12))))))))</f>
        <v>0</v>
      </c>
      <c r="CW88" s="427">
        <f>-IF(CW$9&lt;'Operating Assumptions'!$D$53,0,IF(CW$6&gt;'Operating Assumptions'!$AA$8,0,IF('Operating Assumptions'!$L16="N/A",0,IF('Operating Assumptions'!$L16="$/Unit/Annual",(('Operating Assumptions'!$M16*CW$25)*CW$36)/12,IF('Operating Assumptions'!$L16="$/Unit/Month",('Operating Assumptions'!$M16*CW$25)*CW$36,IF('Operating Assumptions'!$L16="Fixed Amount",('Operating Assumptions'!$M16*CW$25)/12,IF('Operating Assumptions'!$L16="$/GSF",(('Operating Assumptions'!$M16*CW$25)*'Operating Assumptions'!$D$11)/12,IF('Operating Assumptions'!$L16="$/NSF",(('Operating Assumptions'!$M16*CW$25)*'Operating Assumptions'!$D$12)/12))))))))</f>
        <v>0</v>
      </c>
      <c r="CX88" s="427">
        <f>-IF(CX$9&lt;'Operating Assumptions'!$D$53,0,IF(CX$6&gt;'Operating Assumptions'!$AA$8,0,IF('Operating Assumptions'!$L16="N/A",0,IF('Operating Assumptions'!$L16="$/Unit/Annual",(('Operating Assumptions'!$M16*CX$25)*CX$36)/12,IF('Operating Assumptions'!$L16="$/Unit/Month",('Operating Assumptions'!$M16*CX$25)*CX$36,IF('Operating Assumptions'!$L16="Fixed Amount",('Operating Assumptions'!$M16*CX$25)/12,IF('Operating Assumptions'!$L16="$/GSF",(('Operating Assumptions'!$M16*CX$25)*'Operating Assumptions'!$D$11)/12,IF('Operating Assumptions'!$L16="$/NSF",(('Operating Assumptions'!$M16*CX$25)*'Operating Assumptions'!$D$12)/12))))))))</f>
        <v>0</v>
      </c>
      <c r="CY88" s="427">
        <f>-IF(CY$9&lt;'Operating Assumptions'!$D$53,0,IF(CY$6&gt;'Operating Assumptions'!$AA$8,0,IF('Operating Assumptions'!$L16="N/A",0,IF('Operating Assumptions'!$L16="$/Unit/Annual",(('Operating Assumptions'!$M16*CY$25)*CY$36)/12,IF('Operating Assumptions'!$L16="$/Unit/Month",('Operating Assumptions'!$M16*CY$25)*CY$36,IF('Operating Assumptions'!$L16="Fixed Amount",('Operating Assumptions'!$M16*CY$25)/12,IF('Operating Assumptions'!$L16="$/GSF",(('Operating Assumptions'!$M16*CY$25)*'Operating Assumptions'!$D$11)/12,IF('Operating Assumptions'!$L16="$/NSF",(('Operating Assumptions'!$M16*CY$25)*'Operating Assumptions'!$D$12)/12))))))))</f>
        <v>0</v>
      </c>
      <c r="CZ88" s="427">
        <f>-IF(CZ$9&lt;'Operating Assumptions'!$D$53,0,IF(CZ$6&gt;'Operating Assumptions'!$AA$8,0,IF('Operating Assumptions'!$L16="N/A",0,IF('Operating Assumptions'!$L16="$/Unit/Annual",(('Operating Assumptions'!$M16*CZ$25)*CZ$36)/12,IF('Operating Assumptions'!$L16="$/Unit/Month",('Operating Assumptions'!$M16*CZ$25)*CZ$36,IF('Operating Assumptions'!$L16="Fixed Amount",('Operating Assumptions'!$M16*CZ$25)/12,IF('Operating Assumptions'!$L16="$/GSF",(('Operating Assumptions'!$M16*CZ$25)*'Operating Assumptions'!$D$11)/12,IF('Operating Assumptions'!$L16="$/NSF",(('Operating Assumptions'!$M16*CZ$25)*'Operating Assumptions'!$D$12)/12))))))))</f>
        <v>0</v>
      </c>
      <c r="DA88" s="427">
        <f>-IF(DA$9&lt;'Operating Assumptions'!$D$53,0,IF(DA$6&gt;'Operating Assumptions'!$AA$8,0,IF('Operating Assumptions'!$L16="N/A",0,IF('Operating Assumptions'!$L16="$/Unit/Annual",(('Operating Assumptions'!$M16*DA$25)*DA$36)/12,IF('Operating Assumptions'!$L16="$/Unit/Month",('Operating Assumptions'!$M16*DA$25)*DA$36,IF('Operating Assumptions'!$L16="Fixed Amount",('Operating Assumptions'!$M16*DA$25)/12,IF('Operating Assumptions'!$L16="$/GSF",(('Operating Assumptions'!$M16*DA$25)*'Operating Assumptions'!$D$11)/12,IF('Operating Assumptions'!$L16="$/NSF",(('Operating Assumptions'!$M16*DA$25)*'Operating Assumptions'!$D$12)/12))))))))</f>
        <v>0</v>
      </c>
      <c r="DB88" s="427">
        <f>-IF(DB$9&lt;'Operating Assumptions'!$D$53,0,IF(DB$6&gt;'Operating Assumptions'!$AA$8,0,IF('Operating Assumptions'!$L16="N/A",0,IF('Operating Assumptions'!$L16="$/Unit/Annual",(('Operating Assumptions'!$M16*DB$25)*DB$36)/12,IF('Operating Assumptions'!$L16="$/Unit/Month",('Operating Assumptions'!$M16*DB$25)*DB$36,IF('Operating Assumptions'!$L16="Fixed Amount",('Operating Assumptions'!$M16*DB$25)/12,IF('Operating Assumptions'!$L16="$/GSF",(('Operating Assumptions'!$M16*DB$25)*'Operating Assumptions'!$D$11)/12,IF('Operating Assumptions'!$L16="$/NSF",(('Operating Assumptions'!$M16*DB$25)*'Operating Assumptions'!$D$12)/12))))))))</f>
        <v>0</v>
      </c>
      <c r="DC88" s="427">
        <f>-IF(DC$9&lt;'Operating Assumptions'!$D$53,0,IF(DC$6&gt;'Operating Assumptions'!$AA$8,0,IF('Operating Assumptions'!$L16="N/A",0,IF('Operating Assumptions'!$L16="$/Unit/Annual",(('Operating Assumptions'!$M16*DC$25)*DC$36)/12,IF('Operating Assumptions'!$L16="$/Unit/Month",('Operating Assumptions'!$M16*DC$25)*DC$36,IF('Operating Assumptions'!$L16="Fixed Amount",('Operating Assumptions'!$M16*DC$25)/12,IF('Operating Assumptions'!$L16="$/GSF",(('Operating Assumptions'!$M16*DC$25)*'Operating Assumptions'!$D$11)/12,IF('Operating Assumptions'!$L16="$/NSF",(('Operating Assumptions'!$M16*DC$25)*'Operating Assumptions'!$D$12)/12))))))))</f>
        <v>0</v>
      </c>
      <c r="DD88" s="427">
        <f>-IF(DD$9&lt;'Operating Assumptions'!$D$53,0,IF(DD$6&gt;'Operating Assumptions'!$AA$8,0,IF('Operating Assumptions'!$L16="N/A",0,IF('Operating Assumptions'!$L16="$/Unit/Annual",(('Operating Assumptions'!$M16*DD$25)*DD$36)/12,IF('Operating Assumptions'!$L16="$/Unit/Month",('Operating Assumptions'!$M16*DD$25)*DD$36,IF('Operating Assumptions'!$L16="Fixed Amount",('Operating Assumptions'!$M16*DD$25)/12,IF('Operating Assumptions'!$L16="$/GSF",(('Operating Assumptions'!$M16*DD$25)*'Operating Assumptions'!$D$11)/12,IF('Operating Assumptions'!$L16="$/NSF",(('Operating Assumptions'!$M16*DD$25)*'Operating Assumptions'!$D$12)/12))))))))</f>
        <v>0</v>
      </c>
      <c r="DE88" s="427">
        <f>-IF(DE$9&lt;'Operating Assumptions'!$D$53,0,IF(DE$6&gt;'Operating Assumptions'!$AA$8,0,IF('Operating Assumptions'!$L16="N/A",0,IF('Operating Assumptions'!$L16="$/Unit/Annual",(('Operating Assumptions'!$M16*DE$25)*DE$36)/12,IF('Operating Assumptions'!$L16="$/Unit/Month",('Operating Assumptions'!$M16*DE$25)*DE$36,IF('Operating Assumptions'!$L16="Fixed Amount",('Operating Assumptions'!$M16*DE$25)/12,IF('Operating Assumptions'!$L16="$/GSF",(('Operating Assumptions'!$M16*DE$25)*'Operating Assumptions'!$D$11)/12,IF('Operating Assumptions'!$L16="$/NSF",(('Operating Assumptions'!$M16*DE$25)*'Operating Assumptions'!$D$12)/12))))))))</f>
        <v>0</v>
      </c>
      <c r="DF88" s="427">
        <f>-IF(DF$9&lt;'Operating Assumptions'!$D$53,0,IF(DF$6&gt;'Operating Assumptions'!$AA$8,0,IF('Operating Assumptions'!$L16="N/A",0,IF('Operating Assumptions'!$L16="$/Unit/Annual",(('Operating Assumptions'!$M16*DF$25)*DF$36)/12,IF('Operating Assumptions'!$L16="$/Unit/Month",('Operating Assumptions'!$M16*DF$25)*DF$36,IF('Operating Assumptions'!$L16="Fixed Amount",('Operating Assumptions'!$M16*DF$25)/12,IF('Operating Assumptions'!$L16="$/GSF",(('Operating Assumptions'!$M16*DF$25)*'Operating Assumptions'!$D$11)/12,IF('Operating Assumptions'!$L16="$/NSF",(('Operating Assumptions'!$M16*DF$25)*'Operating Assumptions'!$D$12)/12))))))))</f>
        <v>0</v>
      </c>
      <c r="DG88" s="427">
        <f>-IF(DG$9&lt;'Operating Assumptions'!$D$53,0,IF(DG$6&gt;'Operating Assumptions'!$AA$8,0,IF('Operating Assumptions'!$L16="N/A",0,IF('Operating Assumptions'!$L16="$/Unit/Annual",(('Operating Assumptions'!$M16*DG$25)*DG$36)/12,IF('Operating Assumptions'!$L16="$/Unit/Month",('Operating Assumptions'!$M16*DG$25)*DG$36,IF('Operating Assumptions'!$L16="Fixed Amount",('Operating Assumptions'!$M16*DG$25)/12,IF('Operating Assumptions'!$L16="$/GSF",(('Operating Assumptions'!$M16*DG$25)*'Operating Assumptions'!$D$11)/12,IF('Operating Assumptions'!$L16="$/NSF",(('Operating Assumptions'!$M16*DG$25)*'Operating Assumptions'!$D$12)/12))))))))</f>
        <v>0</v>
      </c>
      <c r="DH88" s="427">
        <f>-IF(DH$9&lt;'Operating Assumptions'!$D$53,0,IF(DH$6&gt;'Operating Assumptions'!$AA$8,0,IF('Operating Assumptions'!$L16="N/A",0,IF('Operating Assumptions'!$L16="$/Unit/Annual",(('Operating Assumptions'!$M16*DH$25)*DH$36)/12,IF('Operating Assumptions'!$L16="$/Unit/Month",('Operating Assumptions'!$M16*DH$25)*DH$36,IF('Operating Assumptions'!$L16="Fixed Amount",('Operating Assumptions'!$M16*DH$25)/12,IF('Operating Assumptions'!$L16="$/GSF",(('Operating Assumptions'!$M16*DH$25)*'Operating Assumptions'!$D$11)/12,IF('Operating Assumptions'!$L16="$/NSF",(('Operating Assumptions'!$M16*DH$25)*'Operating Assumptions'!$D$12)/12))))))))</f>
        <v>0</v>
      </c>
      <c r="DI88" s="427">
        <f>-IF(DI$9&lt;'Operating Assumptions'!$D$53,0,IF(DI$6&gt;'Operating Assumptions'!$AA$8,0,IF('Operating Assumptions'!$L16="N/A",0,IF('Operating Assumptions'!$L16="$/Unit/Annual",(('Operating Assumptions'!$M16*DI$25)*DI$36)/12,IF('Operating Assumptions'!$L16="$/Unit/Month",('Operating Assumptions'!$M16*DI$25)*DI$36,IF('Operating Assumptions'!$L16="Fixed Amount",('Operating Assumptions'!$M16*DI$25)/12,IF('Operating Assumptions'!$L16="$/GSF",(('Operating Assumptions'!$M16*DI$25)*'Operating Assumptions'!$D$11)/12,IF('Operating Assumptions'!$L16="$/NSF",(('Operating Assumptions'!$M16*DI$25)*'Operating Assumptions'!$D$12)/12))))))))</f>
        <v>0</v>
      </c>
      <c r="DJ88" s="427">
        <f>-IF(DJ$9&lt;'Operating Assumptions'!$D$53,0,IF(DJ$6&gt;'Operating Assumptions'!$AA$8,0,IF('Operating Assumptions'!$L16="N/A",0,IF('Operating Assumptions'!$L16="$/Unit/Annual",(('Operating Assumptions'!$M16*DJ$25)*DJ$36)/12,IF('Operating Assumptions'!$L16="$/Unit/Month",('Operating Assumptions'!$M16*DJ$25)*DJ$36,IF('Operating Assumptions'!$L16="Fixed Amount",('Operating Assumptions'!$M16*DJ$25)/12,IF('Operating Assumptions'!$L16="$/GSF",(('Operating Assumptions'!$M16*DJ$25)*'Operating Assumptions'!$D$11)/12,IF('Operating Assumptions'!$L16="$/NSF",(('Operating Assumptions'!$M16*DJ$25)*'Operating Assumptions'!$D$12)/12))))))))</f>
        <v>0</v>
      </c>
      <c r="DK88" s="427">
        <f>-IF(DK$9&lt;'Operating Assumptions'!$D$53,0,IF(DK$6&gt;'Operating Assumptions'!$AA$8,0,IF('Operating Assumptions'!$L16="N/A",0,IF('Operating Assumptions'!$L16="$/Unit/Annual",(('Operating Assumptions'!$M16*DK$25)*DK$36)/12,IF('Operating Assumptions'!$L16="$/Unit/Month",('Operating Assumptions'!$M16*DK$25)*DK$36,IF('Operating Assumptions'!$L16="Fixed Amount",('Operating Assumptions'!$M16*DK$25)/12,IF('Operating Assumptions'!$L16="$/GSF",(('Operating Assumptions'!$M16*DK$25)*'Operating Assumptions'!$D$11)/12,IF('Operating Assumptions'!$L16="$/NSF",(('Operating Assumptions'!$M16*DK$25)*'Operating Assumptions'!$D$12)/12))))))))</f>
        <v>0</v>
      </c>
      <c r="DL88" s="427">
        <f>-IF(DL$9&lt;'Operating Assumptions'!$D$53,0,IF(DL$6&gt;'Operating Assumptions'!$AA$8,0,IF('Operating Assumptions'!$L16="N/A",0,IF('Operating Assumptions'!$L16="$/Unit/Annual",(('Operating Assumptions'!$M16*DL$25)*DL$36)/12,IF('Operating Assumptions'!$L16="$/Unit/Month",('Operating Assumptions'!$M16*DL$25)*DL$36,IF('Operating Assumptions'!$L16="Fixed Amount",('Operating Assumptions'!$M16*DL$25)/12,IF('Operating Assumptions'!$L16="$/GSF",(('Operating Assumptions'!$M16*DL$25)*'Operating Assumptions'!$D$11)/12,IF('Operating Assumptions'!$L16="$/NSF",(('Operating Assumptions'!$M16*DL$25)*'Operating Assumptions'!$D$12)/12))))))))</f>
        <v>0</v>
      </c>
      <c r="DM88" s="427">
        <f>-IF(DM$9&lt;'Operating Assumptions'!$D$53,0,IF(DM$6&gt;'Operating Assumptions'!$AA$8,0,IF('Operating Assumptions'!$L16="N/A",0,IF('Operating Assumptions'!$L16="$/Unit/Annual",(('Operating Assumptions'!$M16*DM$25)*DM$36)/12,IF('Operating Assumptions'!$L16="$/Unit/Month",('Operating Assumptions'!$M16*DM$25)*DM$36,IF('Operating Assumptions'!$L16="Fixed Amount",('Operating Assumptions'!$M16*DM$25)/12,IF('Operating Assumptions'!$L16="$/GSF",(('Operating Assumptions'!$M16*DM$25)*'Operating Assumptions'!$D$11)/12,IF('Operating Assumptions'!$L16="$/NSF",(('Operating Assumptions'!$M16*DM$25)*'Operating Assumptions'!$D$12)/12))))))))</f>
        <v>0</v>
      </c>
      <c r="DN88" s="427">
        <f>-IF(DN$9&lt;'Operating Assumptions'!$D$53,0,IF(DN$6&gt;'Operating Assumptions'!$AA$8,0,IF('Operating Assumptions'!$L16="N/A",0,IF('Operating Assumptions'!$L16="$/Unit/Annual",(('Operating Assumptions'!$M16*DN$25)*DN$36)/12,IF('Operating Assumptions'!$L16="$/Unit/Month",('Operating Assumptions'!$M16*DN$25)*DN$36,IF('Operating Assumptions'!$L16="Fixed Amount",('Operating Assumptions'!$M16*DN$25)/12,IF('Operating Assumptions'!$L16="$/GSF",(('Operating Assumptions'!$M16*DN$25)*'Operating Assumptions'!$D$11)/12,IF('Operating Assumptions'!$L16="$/NSF",(('Operating Assumptions'!$M16*DN$25)*'Operating Assumptions'!$D$12)/12))))))))</f>
        <v>0</v>
      </c>
      <c r="DO88" s="427">
        <f>-IF(DO$9&lt;'Operating Assumptions'!$D$53,0,IF(DO$6&gt;'Operating Assumptions'!$AA$8,0,IF('Operating Assumptions'!$L16="N/A",0,IF('Operating Assumptions'!$L16="$/Unit/Annual",(('Operating Assumptions'!$M16*DO$25)*DO$36)/12,IF('Operating Assumptions'!$L16="$/Unit/Month",('Operating Assumptions'!$M16*DO$25)*DO$36,IF('Operating Assumptions'!$L16="Fixed Amount",('Operating Assumptions'!$M16*DO$25)/12,IF('Operating Assumptions'!$L16="$/GSF",(('Operating Assumptions'!$M16*DO$25)*'Operating Assumptions'!$D$11)/12,IF('Operating Assumptions'!$L16="$/NSF",(('Operating Assumptions'!$M16*DO$25)*'Operating Assumptions'!$D$12)/12))))))))</f>
        <v>0</v>
      </c>
      <c r="DP88" s="427">
        <f>-IF(DP$9&lt;'Operating Assumptions'!$D$53,0,IF(DP$6&gt;'Operating Assumptions'!$AA$8,0,IF('Operating Assumptions'!$L16="N/A",0,IF('Operating Assumptions'!$L16="$/Unit/Annual",(('Operating Assumptions'!$M16*DP$25)*DP$36)/12,IF('Operating Assumptions'!$L16="$/Unit/Month",('Operating Assumptions'!$M16*DP$25)*DP$36,IF('Operating Assumptions'!$L16="Fixed Amount",('Operating Assumptions'!$M16*DP$25)/12,IF('Operating Assumptions'!$L16="$/GSF",(('Operating Assumptions'!$M16*DP$25)*'Operating Assumptions'!$D$11)/12,IF('Operating Assumptions'!$L16="$/NSF",(('Operating Assumptions'!$M16*DP$25)*'Operating Assumptions'!$D$12)/12))))))))</f>
        <v>0</v>
      </c>
      <c r="DQ88" s="427">
        <f>-IF(DQ$9&lt;'Operating Assumptions'!$D$53,0,IF(DQ$6&gt;'Operating Assumptions'!$AA$8,0,IF('Operating Assumptions'!$L16="N/A",0,IF('Operating Assumptions'!$L16="$/Unit/Annual",(('Operating Assumptions'!$M16*DQ$25)*DQ$36)/12,IF('Operating Assumptions'!$L16="$/Unit/Month",('Operating Assumptions'!$M16*DQ$25)*DQ$36,IF('Operating Assumptions'!$L16="Fixed Amount",('Operating Assumptions'!$M16*DQ$25)/12,IF('Operating Assumptions'!$L16="$/GSF",(('Operating Assumptions'!$M16*DQ$25)*'Operating Assumptions'!$D$11)/12,IF('Operating Assumptions'!$L16="$/NSF",(('Operating Assumptions'!$M16*DQ$25)*'Operating Assumptions'!$D$12)/12))))))))</f>
        <v>0</v>
      </c>
      <c r="DR88" s="427">
        <f>-IF(DR$9&lt;'Operating Assumptions'!$D$53,0,IF(DR$6&gt;'Operating Assumptions'!$AA$8,0,IF('Operating Assumptions'!$L16="N/A",0,IF('Operating Assumptions'!$L16="$/Unit/Annual",(('Operating Assumptions'!$M16*DR$25)*DR$36)/12,IF('Operating Assumptions'!$L16="$/Unit/Month",('Operating Assumptions'!$M16*DR$25)*DR$36,IF('Operating Assumptions'!$L16="Fixed Amount",('Operating Assumptions'!$M16*DR$25)/12,IF('Operating Assumptions'!$L16="$/GSF",(('Operating Assumptions'!$M16*DR$25)*'Operating Assumptions'!$D$11)/12,IF('Operating Assumptions'!$L16="$/NSF",(('Operating Assumptions'!$M16*DR$25)*'Operating Assumptions'!$D$12)/12))))))))</f>
        <v>0</v>
      </c>
      <c r="DS88" s="427">
        <f>-IF(DS$9&lt;'Operating Assumptions'!$D$53,0,IF(DS$6&gt;'Operating Assumptions'!$AA$8,0,IF('Operating Assumptions'!$L16="N/A",0,IF('Operating Assumptions'!$L16="$/Unit/Annual",(('Operating Assumptions'!$M16*DS$25)*DS$36)/12,IF('Operating Assumptions'!$L16="$/Unit/Month",('Operating Assumptions'!$M16*DS$25)*DS$36,IF('Operating Assumptions'!$L16="Fixed Amount",('Operating Assumptions'!$M16*DS$25)/12,IF('Operating Assumptions'!$L16="$/GSF",(('Operating Assumptions'!$M16*DS$25)*'Operating Assumptions'!$D$11)/12,IF('Operating Assumptions'!$L16="$/NSF",(('Operating Assumptions'!$M16*DS$25)*'Operating Assumptions'!$D$12)/12))))))))</f>
        <v>0</v>
      </c>
      <c r="DT88" s="427">
        <f>-IF(DT$9&lt;'Operating Assumptions'!$D$53,0,IF(DT$6&gt;'Operating Assumptions'!$AA$8,0,IF('Operating Assumptions'!$L16="N/A",0,IF('Operating Assumptions'!$L16="$/Unit/Annual",(('Operating Assumptions'!$M16*DT$25)*DT$36)/12,IF('Operating Assumptions'!$L16="$/Unit/Month",('Operating Assumptions'!$M16*DT$25)*DT$36,IF('Operating Assumptions'!$L16="Fixed Amount",('Operating Assumptions'!$M16*DT$25)/12,IF('Operating Assumptions'!$L16="$/GSF",(('Operating Assumptions'!$M16*DT$25)*'Operating Assumptions'!$D$11)/12,IF('Operating Assumptions'!$L16="$/NSF",(('Operating Assumptions'!$M16*DT$25)*'Operating Assumptions'!$D$12)/12))))))))</f>
        <v>0</v>
      </c>
      <c r="DU88" s="427">
        <f>-IF(DU$9&lt;'Operating Assumptions'!$D$53,0,IF(DU$6&gt;'Operating Assumptions'!$AA$8,0,IF('Operating Assumptions'!$L16="N/A",0,IF('Operating Assumptions'!$L16="$/Unit/Annual",(('Operating Assumptions'!$M16*DU$25)*DU$36)/12,IF('Operating Assumptions'!$L16="$/Unit/Month",('Operating Assumptions'!$M16*DU$25)*DU$36,IF('Operating Assumptions'!$L16="Fixed Amount",('Operating Assumptions'!$M16*DU$25)/12,IF('Operating Assumptions'!$L16="$/GSF",(('Operating Assumptions'!$M16*DU$25)*'Operating Assumptions'!$D$11)/12,IF('Operating Assumptions'!$L16="$/NSF",(('Operating Assumptions'!$M16*DU$25)*'Operating Assumptions'!$D$12)/12))))))))</f>
        <v>0</v>
      </c>
      <c r="DV88" s="427">
        <f>-IF(DV$9&lt;'Operating Assumptions'!$D$53,0,IF(DV$6&gt;'Operating Assumptions'!$AA$8,0,IF('Operating Assumptions'!$L16="N/A",0,IF('Operating Assumptions'!$L16="$/Unit/Annual",(('Operating Assumptions'!$M16*DV$25)*DV$36)/12,IF('Operating Assumptions'!$L16="$/Unit/Month",('Operating Assumptions'!$M16*DV$25)*DV$36,IF('Operating Assumptions'!$L16="Fixed Amount",('Operating Assumptions'!$M16*DV$25)/12,IF('Operating Assumptions'!$L16="$/GSF",(('Operating Assumptions'!$M16*DV$25)*'Operating Assumptions'!$D$11)/12,IF('Operating Assumptions'!$L16="$/NSF",(('Operating Assumptions'!$M16*DV$25)*'Operating Assumptions'!$D$12)/12))))))))</f>
        <v>0</v>
      </c>
      <c r="DW88" s="427">
        <f>-IF(DW$9&lt;'Operating Assumptions'!$D$53,0,IF(DW$6&gt;'Operating Assumptions'!$AA$8,0,IF('Operating Assumptions'!$L16="N/A",0,IF('Operating Assumptions'!$L16="$/Unit/Annual",(('Operating Assumptions'!$M16*DW$25)*DW$36)/12,IF('Operating Assumptions'!$L16="$/Unit/Month",('Operating Assumptions'!$M16*DW$25)*DW$36,IF('Operating Assumptions'!$L16="Fixed Amount",('Operating Assumptions'!$M16*DW$25)/12,IF('Operating Assumptions'!$L16="$/GSF",(('Operating Assumptions'!$M16*DW$25)*'Operating Assumptions'!$D$11)/12,IF('Operating Assumptions'!$L16="$/NSF",(('Operating Assumptions'!$M16*DW$25)*'Operating Assumptions'!$D$12)/12))))))))</f>
        <v>0</v>
      </c>
      <c r="DX88" s="427">
        <f>-IF(DX$9&lt;'Operating Assumptions'!$D$53,0,IF(DX$6&gt;'Operating Assumptions'!$AA$8,0,IF('Operating Assumptions'!$L16="N/A",0,IF('Operating Assumptions'!$L16="$/Unit/Annual",(('Operating Assumptions'!$M16*DX$25)*DX$36)/12,IF('Operating Assumptions'!$L16="$/Unit/Month",('Operating Assumptions'!$M16*DX$25)*DX$36,IF('Operating Assumptions'!$L16="Fixed Amount",('Operating Assumptions'!$M16*DX$25)/12,IF('Operating Assumptions'!$L16="$/GSF",(('Operating Assumptions'!$M16*DX$25)*'Operating Assumptions'!$D$11)/12,IF('Operating Assumptions'!$L16="$/NSF",(('Operating Assumptions'!$M16*DX$25)*'Operating Assumptions'!$D$12)/12))))))))</f>
        <v>0</v>
      </c>
      <c r="DY88" s="427">
        <f>-IF(DY$9&lt;'Operating Assumptions'!$D$53,0,IF(DY$6&gt;'Operating Assumptions'!$AA$8,0,IF('Operating Assumptions'!$L16="N/A",0,IF('Operating Assumptions'!$L16="$/Unit/Annual",(('Operating Assumptions'!$M16*DY$25)*DY$36)/12,IF('Operating Assumptions'!$L16="$/Unit/Month",('Operating Assumptions'!$M16*DY$25)*DY$36,IF('Operating Assumptions'!$L16="Fixed Amount",('Operating Assumptions'!$M16*DY$25)/12,IF('Operating Assumptions'!$L16="$/GSF",(('Operating Assumptions'!$M16*DY$25)*'Operating Assumptions'!$D$11)/12,IF('Operating Assumptions'!$L16="$/NSF",(('Operating Assumptions'!$M16*DY$25)*'Operating Assumptions'!$D$12)/12))))))))</f>
        <v>0</v>
      </c>
      <c r="DZ88" s="427">
        <f>-IF(DZ$9&lt;'Operating Assumptions'!$D$53,0,IF(DZ$6&gt;'Operating Assumptions'!$AA$8,0,IF('Operating Assumptions'!$L16="N/A",0,IF('Operating Assumptions'!$L16="$/Unit/Annual",(('Operating Assumptions'!$M16*DZ$25)*DZ$36)/12,IF('Operating Assumptions'!$L16="$/Unit/Month",('Operating Assumptions'!$M16*DZ$25)*DZ$36,IF('Operating Assumptions'!$L16="Fixed Amount",('Operating Assumptions'!$M16*DZ$25)/12,IF('Operating Assumptions'!$L16="$/GSF",(('Operating Assumptions'!$M16*DZ$25)*'Operating Assumptions'!$D$11)/12,IF('Operating Assumptions'!$L16="$/NSF",(('Operating Assumptions'!$M16*DZ$25)*'Operating Assumptions'!$D$12)/12))))))))</f>
        <v>0</v>
      </c>
      <c r="EA88" s="427">
        <f>-IF(EA$9&lt;'Operating Assumptions'!$D$53,0,IF(EA$6&gt;'Operating Assumptions'!$AA$8,0,IF('Operating Assumptions'!$L16="N/A",0,IF('Operating Assumptions'!$L16="$/Unit/Annual",(('Operating Assumptions'!$M16*EA$25)*EA$36)/12,IF('Operating Assumptions'!$L16="$/Unit/Month",('Operating Assumptions'!$M16*EA$25)*EA$36,IF('Operating Assumptions'!$L16="Fixed Amount",('Operating Assumptions'!$M16*EA$25)/12,IF('Operating Assumptions'!$L16="$/GSF",(('Operating Assumptions'!$M16*EA$25)*'Operating Assumptions'!$D$11)/12,IF('Operating Assumptions'!$L16="$/NSF",(('Operating Assumptions'!$M16*EA$25)*'Operating Assumptions'!$D$12)/12))))))))</f>
        <v>0</v>
      </c>
      <c r="EB88" s="427">
        <f>-IF(EB$9&lt;'Operating Assumptions'!$D$53,0,IF(EB$6&gt;'Operating Assumptions'!$AA$8,0,IF('Operating Assumptions'!$L16="N/A",0,IF('Operating Assumptions'!$L16="$/Unit/Annual",(('Operating Assumptions'!$M16*EB$25)*EB$36)/12,IF('Operating Assumptions'!$L16="$/Unit/Month",('Operating Assumptions'!$M16*EB$25)*EB$36,IF('Operating Assumptions'!$L16="Fixed Amount",('Operating Assumptions'!$M16*EB$25)/12,IF('Operating Assumptions'!$L16="$/GSF",(('Operating Assumptions'!$M16*EB$25)*'Operating Assumptions'!$D$11)/12,IF('Operating Assumptions'!$L16="$/NSF",(('Operating Assumptions'!$M16*EB$25)*'Operating Assumptions'!$D$12)/12))))))))</f>
        <v>0</v>
      </c>
      <c r="EC88" s="427">
        <f>-IF(EC$9&lt;'Operating Assumptions'!$D$53,0,IF(EC$6&gt;'Operating Assumptions'!$AA$8,0,IF('Operating Assumptions'!$L16="N/A",0,IF('Operating Assumptions'!$L16="$/Unit/Annual",(('Operating Assumptions'!$M16*EC$25)*EC$36)/12,IF('Operating Assumptions'!$L16="$/Unit/Month",('Operating Assumptions'!$M16*EC$25)*EC$36,IF('Operating Assumptions'!$L16="Fixed Amount",('Operating Assumptions'!$M16*EC$25)/12,IF('Operating Assumptions'!$L16="$/GSF",(('Operating Assumptions'!$M16*EC$25)*'Operating Assumptions'!$D$11)/12,IF('Operating Assumptions'!$L16="$/NSF",(('Operating Assumptions'!$M16*EC$25)*'Operating Assumptions'!$D$12)/12))))))))</f>
        <v>0</v>
      </c>
      <c r="ED88" s="427">
        <f>-IF(ED$9&lt;'Operating Assumptions'!$D$53,0,IF(ED$6&gt;'Operating Assumptions'!$AA$8,0,IF('Operating Assumptions'!$L16="N/A",0,IF('Operating Assumptions'!$L16="$/Unit/Annual",(('Operating Assumptions'!$M16*ED$25)*ED$36)/12,IF('Operating Assumptions'!$L16="$/Unit/Month",('Operating Assumptions'!$M16*ED$25)*ED$36,IF('Operating Assumptions'!$L16="Fixed Amount",('Operating Assumptions'!$M16*ED$25)/12,IF('Operating Assumptions'!$L16="$/GSF",(('Operating Assumptions'!$M16*ED$25)*'Operating Assumptions'!$D$11)/12,IF('Operating Assumptions'!$L16="$/NSF",(('Operating Assumptions'!$M16*ED$25)*'Operating Assumptions'!$D$12)/12))))))))</f>
        <v>0</v>
      </c>
      <c r="EE88" s="427">
        <f>-IF(EE$9&lt;'Operating Assumptions'!$D$53,0,IF(EE$6&gt;'Operating Assumptions'!$AA$8,0,IF('Operating Assumptions'!$L16="N/A",0,IF('Operating Assumptions'!$L16="$/Unit/Annual",(('Operating Assumptions'!$M16*EE$25)*EE$36)/12,IF('Operating Assumptions'!$L16="$/Unit/Month",('Operating Assumptions'!$M16*EE$25)*EE$36,IF('Operating Assumptions'!$L16="Fixed Amount",('Operating Assumptions'!$M16*EE$25)/12,IF('Operating Assumptions'!$L16="$/GSF",(('Operating Assumptions'!$M16*EE$25)*'Operating Assumptions'!$D$11)/12,IF('Operating Assumptions'!$L16="$/NSF",(('Operating Assumptions'!$M16*EE$25)*'Operating Assumptions'!$D$12)/12))))))))</f>
        <v>0</v>
      </c>
      <c r="EF88" s="427">
        <f>-IF(EF$9&lt;'Operating Assumptions'!$D$53,0,IF(EF$6&gt;'Operating Assumptions'!$AA$8,0,IF('Operating Assumptions'!$L16="N/A",0,IF('Operating Assumptions'!$L16="$/Unit/Annual",(('Operating Assumptions'!$M16*EF$25)*EF$36)/12,IF('Operating Assumptions'!$L16="$/Unit/Month",('Operating Assumptions'!$M16*EF$25)*EF$36,IF('Operating Assumptions'!$L16="Fixed Amount",('Operating Assumptions'!$M16*EF$25)/12,IF('Operating Assumptions'!$L16="$/GSF",(('Operating Assumptions'!$M16*EF$25)*'Operating Assumptions'!$D$11)/12,IF('Operating Assumptions'!$L16="$/NSF",(('Operating Assumptions'!$M16*EF$25)*'Operating Assumptions'!$D$12)/12))))))))</f>
        <v>0</v>
      </c>
      <c r="EG88" s="427">
        <f>-IF(EG$9&lt;'Operating Assumptions'!$D$53,0,IF(EG$6&gt;'Operating Assumptions'!$AA$8,0,IF('Operating Assumptions'!$L16="N/A",0,IF('Operating Assumptions'!$L16="$/Unit/Annual",(('Operating Assumptions'!$M16*EG$25)*EG$36)/12,IF('Operating Assumptions'!$L16="$/Unit/Month",('Operating Assumptions'!$M16*EG$25)*EG$36,IF('Operating Assumptions'!$L16="Fixed Amount",('Operating Assumptions'!$M16*EG$25)/12,IF('Operating Assumptions'!$L16="$/GSF",(('Operating Assumptions'!$M16*EG$25)*'Operating Assumptions'!$D$11)/12,IF('Operating Assumptions'!$L16="$/NSF",(('Operating Assumptions'!$M16*EG$25)*'Operating Assumptions'!$D$12)/12))))))))</f>
        <v>0</v>
      </c>
      <c r="EH88" s="427">
        <f>-IF(EH$9&lt;'Operating Assumptions'!$D$53,0,IF(EH$6&gt;'Operating Assumptions'!$AA$8,0,IF('Operating Assumptions'!$L16="N/A",0,IF('Operating Assumptions'!$L16="$/Unit/Annual",(('Operating Assumptions'!$M16*EH$25)*EH$36)/12,IF('Operating Assumptions'!$L16="$/Unit/Month",('Operating Assumptions'!$M16*EH$25)*EH$36,IF('Operating Assumptions'!$L16="Fixed Amount",('Operating Assumptions'!$M16*EH$25)/12,IF('Operating Assumptions'!$L16="$/GSF",(('Operating Assumptions'!$M16*EH$25)*'Operating Assumptions'!$D$11)/12,IF('Operating Assumptions'!$L16="$/NSF",(('Operating Assumptions'!$M16*EH$25)*'Operating Assumptions'!$D$12)/12))))))))</f>
        <v>0</v>
      </c>
      <c r="EI88" s="427">
        <f>-IF(EI$9&lt;'Operating Assumptions'!$D$53,0,IF(EI$6&gt;'Operating Assumptions'!$AA$8,0,IF('Operating Assumptions'!$L16="N/A",0,IF('Operating Assumptions'!$L16="$/Unit/Annual",(('Operating Assumptions'!$M16*EI$25)*EI$36)/12,IF('Operating Assumptions'!$L16="$/Unit/Month",('Operating Assumptions'!$M16*EI$25)*EI$36,IF('Operating Assumptions'!$L16="Fixed Amount",('Operating Assumptions'!$M16*EI$25)/12,IF('Operating Assumptions'!$L16="$/GSF",(('Operating Assumptions'!$M16*EI$25)*'Operating Assumptions'!$D$11)/12,IF('Operating Assumptions'!$L16="$/NSF",(('Operating Assumptions'!$M16*EI$25)*'Operating Assumptions'!$D$12)/12))))))))</f>
        <v>0</v>
      </c>
      <c r="EJ88" s="427">
        <f>-IF(EJ$9&lt;'Operating Assumptions'!$D$53,0,IF(EJ$6&gt;'Operating Assumptions'!$AA$8,0,IF('Operating Assumptions'!$L16="N/A",0,IF('Operating Assumptions'!$L16="$/Unit/Annual",(('Operating Assumptions'!$M16*EJ$25)*EJ$36)/12,IF('Operating Assumptions'!$L16="$/Unit/Month",('Operating Assumptions'!$M16*EJ$25)*EJ$36,IF('Operating Assumptions'!$L16="Fixed Amount",('Operating Assumptions'!$M16*EJ$25)/12,IF('Operating Assumptions'!$L16="$/GSF",(('Operating Assumptions'!$M16*EJ$25)*'Operating Assumptions'!$D$11)/12,IF('Operating Assumptions'!$L16="$/NSF",(('Operating Assumptions'!$M16*EJ$25)*'Operating Assumptions'!$D$12)/12))))))))</f>
        <v>0</v>
      </c>
      <c r="EK88" s="427">
        <f>-IF(EK$9&lt;'Operating Assumptions'!$D$53,0,IF(EK$6&gt;'Operating Assumptions'!$AA$8,0,IF('Operating Assumptions'!$L16="N/A",0,IF('Operating Assumptions'!$L16="$/Unit/Annual",(('Operating Assumptions'!$M16*EK$25)*EK$36)/12,IF('Operating Assumptions'!$L16="$/Unit/Month",('Operating Assumptions'!$M16*EK$25)*EK$36,IF('Operating Assumptions'!$L16="Fixed Amount",('Operating Assumptions'!$M16*EK$25)/12,IF('Operating Assumptions'!$L16="$/GSF",(('Operating Assumptions'!$M16*EK$25)*'Operating Assumptions'!$D$11)/12,IF('Operating Assumptions'!$L16="$/NSF",(('Operating Assumptions'!$M16*EK$25)*'Operating Assumptions'!$D$12)/12))))))))</f>
        <v>0</v>
      </c>
      <c r="EL88" s="427">
        <f>-IF(EL$9&lt;'Operating Assumptions'!$D$53,0,IF(EL$6&gt;'Operating Assumptions'!$AA$8,0,IF('Operating Assumptions'!$L16="N/A",0,IF('Operating Assumptions'!$L16="$/Unit/Annual",(('Operating Assumptions'!$M16*EL$25)*EL$36)/12,IF('Operating Assumptions'!$L16="$/Unit/Month",('Operating Assumptions'!$M16*EL$25)*EL$36,IF('Operating Assumptions'!$L16="Fixed Amount",('Operating Assumptions'!$M16*EL$25)/12,IF('Operating Assumptions'!$L16="$/GSF",(('Operating Assumptions'!$M16*EL$25)*'Operating Assumptions'!$D$11)/12,IF('Operating Assumptions'!$L16="$/NSF",(('Operating Assumptions'!$M16*EL$25)*'Operating Assumptions'!$D$12)/12))))))))</f>
        <v>0</v>
      </c>
      <c r="EM88" s="427">
        <f>-IF(EM$9&lt;'Operating Assumptions'!$D$53,0,IF(EM$6&gt;'Operating Assumptions'!$AA$8,0,IF('Operating Assumptions'!$L16="N/A",0,IF('Operating Assumptions'!$L16="$/Unit/Annual",(('Operating Assumptions'!$M16*EM$25)*EM$36)/12,IF('Operating Assumptions'!$L16="$/Unit/Month",('Operating Assumptions'!$M16*EM$25)*EM$36,IF('Operating Assumptions'!$L16="Fixed Amount",('Operating Assumptions'!$M16*EM$25)/12,IF('Operating Assumptions'!$L16="$/GSF",(('Operating Assumptions'!$M16*EM$25)*'Operating Assumptions'!$D$11)/12,IF('Operating Assumptions'!$L16="$/NSF",(('Operating Assumptions'!$M16*EM$25)*'Operating Assumptions'!$D$12)/12))))))))</f>
        <v>0</v>
      </c>
      <c r="EN88" s="427">
        <f>-IF(EN$9&lt;'Operating Assumptions'!$D$53,0,IF(EN$6&gt;'Operating Assumptions'!$AA$8,0,IF('Operating Assumptions'!$L16="N/A",0,IF('Operating Assumptions'!$L16="$/Unit/Annual",(('Operating Assumptions'!$M16*EN$25)*EN$36)/12,IF('Operating Assumptions'!$L16="$/Unit/Month",('Operating Assumptions'!$M16*EN$25)*EN$36,IF('Operating Assumptions'!$L16="Fixed Amount",('Operating Assumptions'!$M16*EN$25)/12,IF('Operating Assumptions'!$L16="$/GSF",(('Operating Assumptions'!$M16*EN$25)*'Operating Assumptions'!$D$11)/12,IF('Operating Assumptions'!$L16="$/NSF",(('Operating Assumptions'!$M16*EN$25)*'Operating Assumptions'!$D$12)/12))))))))</f>
        <v>0</v>
      </c>
      <c r="EO88" s="427">
        <f>-IF(EO$9&lt;'Operating Assumptions'!$D$53,0,IF(EO$6&gt;'Operating Assumptions'!$AA$8,0,IF('Operating Assumptions'!$L16="N/A",0,IF('Operating Assumptions'!$L16="$/Unit/Annual",(('Operating Assumptions'!$M16*EO$25)*EO$36)/12,IF('Operating Assumptions'!$L16="$/Unit/Month",('Operating Assumptions'!$M16*EO$25)*EO$36,IF('Operating Assumptions'!$L16="Fixed Amount",('Operating Assumptions'!$M16*EO$25)/12,IF('Operating Assumptions'!$L16="$/GSF",(('Operating Assumptions'!$M16*EO$25)*'Operating Assumptions'!$D$11)/12,IF('Operating Assumptions'!$L16="$/NSF",(('Operating Assumptions'!$M16*EO$25)*'Operating Assumptions'!$D$12)/12))))))))</f>
        <v>0</v>
      </c>
      <c r="EP88" s="427">
        <f>-IF(EP$9&lt;'Operating Assumptions'!$D$53,0,IF(EP$6&gt;'Operating Assumptions'!$AA$8,0,IF('Operating Assumptions'!$L16="N/A",0,IF('Operating Assumptions'!$L16="$/Unit/Annual",(('Operating Assumptions'!$M16*EP$25)*EP$36)/12,IF('Operating Assumptions'!$L16="$/Unit/Month",('Operating Assumptions'!$M16*EP$25)*EP$36,IF('Operating Assumptions'!$L16="Fixed Amount",('Operating Assumptions'!$M16*EP$25)/12,IF('Operating Assumptions'!$L16="$/GSF",(('Operating Assumptions'!$M16*EP$25)*'Operating Assumptions'!$D$11)/12,IF('Operating Assumptions'!$L16="$/NSF",(('Operating Assumptions'!$M16*EP$25)*'Operating Assumptions'!$D$12)/12))))))))</f>
        <v>0</v>
      </c>
      <c r="EQ88" s="427">
        <f>-IF(EQ$9&lt;'Operating Assumptions'!$D$53,0,IF(EQ$6&gt;'Operating Assumptions'!$AA$8,0,IF('Operating Assumptions'!$L16="N/A",0,IF('Operating Assumptions'!$L16="$/Unit/Annual",(('Operating Assumptions'!$M16*EQ$25)*EQ$36)/12,IF('Operating Assumptions'!$L16="$/Unit/Month",('Operating Assumptions'!$M16*EQ$25)*EQ$36,IF('Operating Assumptions'!$L16="Fixed Amount",('Operating Assumptions'!$M16*EQ$25)/12,IF('Operating Assumptions'!$L16="$/GSF",(('Operating Assumptions'!$M16*EQ$25)*'Operating Assumptions'!$D$11)/12,IF('Operating Assumptions'!$L16="$/NSF",(('Operating Assumptions'!$M16*EQ$25)*'Operating Assumptions'!$D$12)/12))))))))</f>
        <v>0</v>
      </c>
      <c r="ER88" s="427">
        <f>-IF(ER$9&lt;'Operating Assumptions'!$D$53,0,IF(ER$6&gt;'Operating Assumptions'!$AA$8,0,IF('Operating Assumptions'!$L16="N/A",0,IF('Operating Assumptions'!$L16="$/Unit/Annual",(('Operating Assumptions'!$M16*ER$25)*ER$36)/12,IF('Operating Assumptions'!$L16="$/Unit/Month",('Operating Assumptions'!$M16*ER$25)*ER$36,IF('Operating Assumptions'!$L16="Fixed Amount",('Operating Assumptions'!$M16*ER$25)/12,IF('Operating Assumptions'!$L16="$/GSF",(('Operating Assumptions'!$M16*ER$25)*'Operating Assumptions'!$D$11)/12,IF('Operating Assumptions'!$L16="$/NSF",(('Operating Assumptions'!$M16*ER$25)*'Operating Assumptions'!$D$12)/12))))))))</f>
        <v>0</v>
      </c>
      <c r="ES88" s="427">
        <f>-IF(ES$9&lt;'Operating Assumptions'!$D$53,0,IF(ES$6&gt;'Operating Assumptions'!$AA$8,0,IF('Operating Assumptions'!$L16="N/A",0,IF('Operating Assumptions'!$L16="$/Unit/Annual",(('Operating Assumptions'!$M16*ES$25)*ES$36)/12,IF('Operating Assumptions'!$L16="$/Unit/Month",('Operating Assumptions'!$M16*ES$25)*ES$36,IF('Operating Assumptions'!$L16="Fixed Amount",('Operating Assumptions'!$M16*ES$25)/12,IF('Operating Assumptions'!$L16="$/GSF",(('Operating Assumptions'!$M16*ES$25)*'Operating Assumptions'!$D$11)/12,IF('Operating Assumptions'!$L16="$/NSF",(('Operating Assumptions'!$M16*ES$25)*'Operating Assumptions'!$D$12)/12))))))))</f>
        <v>0</v>
      </c>
      <c r="ET88" s="427">
        <f>-IF(ET$9&lt;'Operating Assumptions'!$D$53,0,IF(ET$6&gt;'Operating Assumptions'!$AA$8,0,IF('Operating Assumptions'!$L16="N/A",0,IF('Operating Assumptions'!$L16="$/Unit/Annual",(('Operating Assumptions'!$M16*ET$25)*ET$36)/12,IF('Operating Assumptions'!$L16="$/Unit/Month",('Operating Assumptions'!$M16*ET$25)*ET$36,IF('Operating Assumptions'!$L16="Fixed Amount",('Operating Assumptions'!$M16*ET$25)/12,IF('Operating Assumptions'!$L16="$/GSF",(('Operating Assumptions'!$M16*ET$25)*'Operating Assumptions'!$D$11)/12,IF('Operating Assumptions'!$L16="$/NSF",(('Operating Assumptions'!$M16*ET$25)*'Operating Assumptions'!$D$12)/12))))))))</f>
        <v>0</v>
      </c>
      <c r="EU88" s="427">
        <f>-IF(EU$9&lt;'Operating Assumptions'!$D$53,0,IF(EU$6&gt;'Operating Assumptions'!$AA$8,0,IF('Operating Assumptions'!$L16="N/A",0,IF('Operating Assumptions'!$L16="$/Unit/Annual",(('Operating Assumptions'!$M16*EU$25)*EU$36)/12,IF('Operating Assumptions'!$L16="$/Unit/Month",('Operating Assumptions'!$M16*EU$25)*EU$36,IF('Operating Assumptions'!$L16="Fixed Amount",('Operating Assumptions'!$M16*EU$25)/12,IF('Operating Assumptions'!$L16="$/GSF",(('Operating Assumptions'!$M16*EU$25)*'Operating Assumptions'!$D$11)/12,IF('Operating Assumptions'!$L16="$/NSF",(('Operating Assumptions'!$M16*EU$25)*'Operating Assumptions'!$D$12)/12))))))))</f>
        <v>0</v>
      </c>
      <c r="EV88" s="427">
        <f>-IF(EV$9&lt;'Operating Assumptions'!$D$53,0,IF(EV$6&gt;'Operating Assumptions'!$AA$8,0,IF('Operating Assumptions'!$L16="N/A",0,IF('Operating Assumptions'!$L16="$/Unit/Annual",(('Operating Assumptions'!$M16*EV$25)*EV$36)/12,IF('Operating Assumptions'!$L16="$/Unit/Month",('Operating Assumptions'!$M16*EV$25)*EV$36,IF('Operating Assumptions'!$L16="Fixed Amount",('Operating Assumptions'!$M16*EV$25)/12,IF('Operating Assumptions'!$L16="$/GSF",(('Operating Assumptions'!$M16*EV$25)*'Operating Assumptions'!$D$11)/12,IF('Operating Assumptions'!$L16="$/NSF",(('Operating Assumptions'!$M16*EV$25)*'Operating Assumptions'!$D$12)/12))))))))</f>
        <v>0</v>
      </c>
      <c r="EW88" s="427">
        <f>-IF(EW$9&lt;'Operating Assumptions'!$D$53,0,IF(EW$6&gt;'Operating Assumptions'!$AA$8,0,IF('Operating Assumptions'!$L16="N/A",0,IF('Operating Assumptions'!$L16="$/Unit/Annual",(('Operating Assumptions'!$M16*EW$25)*EW$36)/12,IF('Operating Assumptions'!$L16="$/Unit/Month",('Operating Assumptions'!$M16*EW$25)*EW$36,IF('Operating Assumptions'!$L16="Fixed Amount",('Operating Assumptions'!$M16*EW$25)/12,IF('Operating Assumptions'!$L16="$/GSF",(('Operating Assumptions'!$M16*EW$25)*'Operating Assumptions'!$D$11)/12,IF('Operating Assumptions'!$L16="$/NSF",(('Operating Assumptions'!$M16*EW$25)*'Operating Assumptions'!$D$12)/12))))))))</f>
        <v>0</v>
      </c>
      <c r="EX88" s="427">
        <f>-IF(EX$9&lt;'Operating Assumptions'!$D$53,0,IF(EX$6&gt;'Operating Assumptions'!$AA$8,0,IF('Operating Assumptions'!$L16="N/A",0,IF('Operating Assumptions'!$L16="$/Unit/Annual",(('Operating Assumptions'!$M16*EX$25)*EX$36)/12,IF('Operating Assumptions'!$L16="$/Unit/Month",('Operating Assumptions'!$M16*EX$25)*EX$36,IF('Operating Assumptions'!$L16="Fixed Amount",('Operating Assumptions'!$M16*EX$25)/12,IF('Operating Assumptions'!$L16="$/GSF",(('Operating Assumptions'!$M16*EX$25)*'Operating Assumptions'!$D$11)/12,IF('Operating Assumptions'!$L16="$/NSF",(('Operating Assumptions'!$M16*EX$25)*'Operating Assumptions'!$D$12)/12))))))))</f>
        <v>0</v>
      </c>
      <c r="EY88" s="427">
        <f>-IF(EY$9&lt;'Operating Assumptions'!$D$53,0,IF(EY$6&gt;'Operating Assumptions'!$AA$8,0,IF('Operating Assumptions'!$L16="N/A",0,IF('Operating Assumptions'!$L16="$/Unit/Annual",(('Operating Assumptions'!$M16*EY$25)*EY$36)/12,IF('Operating Assumptions'!$L16="$/Unit/Month",('Operating Assumptions'!$M16*EY$25)*EY$36,IF('Operating Assumptions'!$L16="Fixed Amount",('Operating Assumptions'!$M16*EY$25)/12,IF('Operating Assumptions'!$L16="$/GSF",(('Operating Assumptions'!$M16*EY$25)*'Operating Assumptions'!$D$11)/12,IF('Operating Assumptions'!$L16="$/NSF",(('Operating Assumptions'!$M16*EY$25)*'Operating Assumptions'!$D$12)/12))))))))</f>
        <v>0</v>
      </c>
      <c r="EZ88" s="427">
        <f>-IF(EZ$9&lt;'Operating Assumptions'!$D$53,0,IF(EZ$6&gt;'Operating Assumptions'!$AA$8,0,IF('Operating Assumptions'!$L16="N/A",0,IF('Operating Assumptions'!$L16="$/Unit/Annual",(('Operating Assumptions'!$M16*EZ$25)*EZ$36)/12,IF('Operating Assumptions'!$L16="$/Unit/Month",('Operating Assumptions'!$M16*EZ$25)*EZ$36,IF('Operating Assumptions'!$L16="Fixed Amount",('Operating Assumptions'!$M16*EZ$25)/12,IF('Operating Assumptions'!$L16="$/GSF",(('Operating Assumptions'!$M16*EZ$25)*'Operating Assumptions'!$D$11)/12,IF('Operating Assumptions'!$L16="$/NSF",(('Operating Assumptions'!$M16*EZ$25)*'Operating Assumptions'!$D$12)/12))))))))</f>
        <v>0</v>
      </c>
      <c r="FA88" s="427">
        <f>-IF(FA$9&lt;'Operating Assumptions'!$D$53,0,IF(FA$6&gt;'Operating Assumptions'!$AA$8,0,IF('Operating Assumptions'!$L16="N/A",0,IF('Operating Assumptions'!$L16="$/Unit/Annual",(('Operating Assumptions'!$M16*FA$25)*FA$36)/12,IF('Operating Assumptions'!$L16="$/Unit/Month",('Operating Assumptions'!$M16*FA$25)*FA$36,IF('Operating Assumptions'!$L16="Fixed Amount",('Operating Assumptions'!$M16*FA$25)/12,IF('Operating Assumptions'!$L16="$/GSF",(('Operating Assumptions'!$M16*FA$25)*'Operating Assumptions'!$D$11)/12,IF('Operating Assumptions'!$L16="$/NSF",(('Operating Assumptions'!$M16*FA$25)*'Operating Assumptions'!$D$12)/12))))))))</f>
        <v>0</v>
      </c>
      <c r="FB88" s="427">
        <f>-IF(FB$9&lt;'Operating Assumptions'!$D$53,0,IF(FB$6&gt;'Operating Assumptions'!$AA$8,0,IF('Operating Assumptions'!$L16="N/A",0,IF('Operating Assumptions'!$L16="$/Unit/Annual",(('Operating Assumptions'!$M16*FB$25)*FB$36)/12,IF('Operating Assumptions'!$L16="$/Unit/Month",('Operating Assumptions'!$M16*FB$25)*FB$36,IF('Operating Assumptions'!$L16="Fixed Amount",('Operating Assumptions'!$M16*FB$25)/12,IF('Operating Assumptions'!$L16="$/GSF",(('Operating Assumptions'!$M16*FB$25)*'Operating Assumptions'!$D$11)/12,IF('Operating Assumptions'!$L16="$/NSF",(('Operating Assumptions'!$M16*FB$25)*'Operating Assumptions'!$D$12)/12))))))))</f>
        <v>0</v>
      </c>
      <c r="FC88" s="427">
        <f>-IF(FC$9&lt;'Operating Assumptions'!$D$53,0,IF(FC$6&gt;'Operating Assumptions'!$AA$8,0,IF('Operating Assumptions'!$L16="N/A",0,IF('Operating Assumptions'!$L16="$/Unit/Annual",(('Operating Assumptions'!$M16*FC$25)*FC$36)/12,IF('Operating Assumptions'!$L16="$/Unit/Month",('Operating Assumptions'!$M16*FC$25)*FC$36,IF('Operating Assumptions'!$L16="Fixed Amount",('Operating Assumptions'!$M16*FC$25)/12,IF('Operating Assumptions'!$L16="$/GSF",(('Operating Assumptions'!$M16*FC$25)*'Operating Assumptions'!$D$11)/12,IF('Operating Assumptions'!$L16="$/NSF",(('Operating Assumptions'!$M16*FC$25)*'Operating Assumptions'!$D$12)/12))))))))</f>
        <v>0</v>
      </c>
      <c r="FD88" s="427">
        <f>-IF(FD$9&lt;'Operating Assumptions'!$D$53,0,IF(FD$6&gt;'Operating Assumptions'!$AA$8,0,IF('Operating Assumptions'!$L16="N/A",0,IF('Operating Assumptions'!$L16="$/Unit/Annual",(('Operating Assumptions'!$M16*FD$25)*FD$36)/12,IF('Operating Assumptions'!$L16="$/Unit/Month",('Operating Assumptions'!$M16*FD$25)*FD$36,IF('Operating Assumptions'!$L16="Fixed Amount",('Operating Assumptions'!$M16*FD$25)/12,IF('Operating Assumptions'!$L16="$/GSF",(('Operating Assumptions'!$M16*FD$25)*'Operating Assumptions'!$D$11)/12,IF('Operating Assumptions'!$L16="$/NSF",(('Operating Assumptions'!$M16*FD$25)*'Operating Assumptions'!$D$12)/12))))))))</f>
        <v>0</v>
      </c>
      <c r="FE88" s="427">
        <f>-IF(FE$9&lt;'Operating Assumptions'!$D$53,0,IF(FE$6&gt;'Operating Assumptions'!$AA$8,0,IF('Operating Assumptions'!$L16="N/A",0,IF('Operating Assumptions'!$L16="$/Unit/Annual",(('Operating Assumptions'!$M16*FE$25)*FE$36)/12,IF('Operating Assumptions'!$L16="$/Unit/Month",('Operating Assumptions'!$M16*FE$25)*FE$36,IF('Operating Assumptions'!$L16="Fixed Amount",('Operating Assumptions'!$M16*FE$25)/12,IF('Operating Assumptions'!$L16="$/GSF",(('Operating Assumptions'!$M16*FE$25)*'Operating Assumptions'!$D$11)/12,IF('Operating Assumptions'!$L16="$/NSF",(('Operating Assumptions'!$M16*FE$25)*'Operating Assumptions'!$D$12)/12))))))))</f>
        <v>0</v>
      </c>
      <c r="FF88" s="427">
        <f>-IF(FF$9&lt;'Operating Assumptions'!$D$53,0,IF(FF$6&gt;'Operating Assumptions'!$AA$8,0,IF('Operating Assumptions'!$L16="N/A",0,IF('Operating Assumptions'!$L16="$/Unit/Annual",(('Operating Assumptions'!$M16*FF$25)*FF$36)/12,IF('Operating Assumptions'!$L16="$/Unit/Month",('Operating Assumptions'!$M16*FF$25)*FF$36,IF('Operating Assumptions'!$L16="Fixed Amount",('Operating Assumptions'!$M16*FF$25)/12,IF('Operating Assumptions'!$L16="$/GSF",(('Operating Assumptions'!$M16*FF$25)*'Operating Assumptions'!$D$11)/12,IF('Operating Assumptions'!$L16="$/NSF",(('Operating Assumptions'!$M16*FF$25)*'Operating Assumptions'!$D$12)/12))))))))</f>
        <v>0</v>
      </c>
      <c r="FG88" s="427">
        <f>-IF(FG$9&lt;'Operating Assumptions'!$D$53,0,IF(FG$6&gt;'Operating Assumptions'!$AA$8,0,IF('Operating Assumptions'!$L16="N/A",0,IF('Operating Assumptions'!$L16="$/Unit/Annual",(('Operating Assumptions'!$M16*FG$25)*FG$36)/12,IF('Operating Assumptions'!$L16="$/Unit/Month",('Operating Assumptions'!$M16*FG$25)*FG$36,IF('Operating Assumptions'!$L16="Fixed Amount",('Operating Assumptions'!$M16*FG$25)/12,IF('Operating Assumptions'!$L16="$/GSF",(('Operating Assumptions'!$M16*FG$25)*'Operating Assumptions'!$D$11)/12,IF('Operating Assumptions'!$L16="$/NSF",(('Operating Assumptions'!$M16*FG$25)*'Operating Assumptions'!$D$12)/12))))))))</f>
        <v>0</v>
      </c>
      <c r="FH88" s="427">
        <f>-IF(FH$9&lt;'Operating Assumptions'!$D$53,0,IF(FH$6&gt;'Operating Assumptions'!$AA$8,0,IF('Operating Assumptions'!$L16="N/A",0,IF('Operating Assumptions'!$L16="$/Unit/Annual",(('Operating Assumptions'!$M16*FH$25)*FH$36)/12,IF('Operating Assumptions'!$L16="$/Unit/Month",('Operating Assumptions'!$M16*FH$25)*FH$36,IF('Operating Assumptions'!$L16="Fixed Amount",('Operating Assumptions'!$M16*FH$25)/12,IF('Operating Assumptions'!$L16="$/GSF",(('Operating Assumptions'!$M16*FH$25)*'Operating Assumptions'!$D$11)/12,IF('Operating Assumptions'!$L16="$/NSF",(('Operating Assumptions'!$M16*FH$25)*'Operating Assumptions'!$D$12)/12))))))))</f>
        <v>0</v>
      </c>
      <c r="FI88" s="427">
        <f>-IF(FI$9&lt;'Operating Assumptions'!$D$53,0,IF(FI$6&gt;'Operating Assumptions'!$AA$8,0,IF('Operating Assumptions'!$L16="N/A",0,IF('Operating Assumptions'!$L16="$/Unit/Annual",(('Operating Assumptions'!$M16*FI$25)*FI$36)/12,IF('Operating Assumptions'!$L16="$/Unit/Month",('Operating Assumptions'!$M16*FI$25)*FI$36,IF('Operating Assumptions'!$L16="Fixed Amount",('Operating Assumptions'!$M16*FI$25)/12,IF('Operating Assumptions'!$L16="$/GSF",(('Operating Assumptions'!$M16*FI$25)*'Operating Assumptions'!$D$11)/12,IF('Operating Assumptions'!$L16="$/NSF",(('Operating Assumptions'!$M16*FI$25)*'Operating Assumptions'!$D$12)/12))))))))</f>
        <v>0</v>
      </c>
      <c r="FJ88" s="427">
        <f>-IF(FJ$9&lt;'Operating Assumptions'!$D$53,0,IF(FJ$6&gt;'Operating Assumptions'!$AA$8,0,IF('Operating Assumptions'!$L16="N/A",0,IF('Operating Assumptions'!$L16="$/Unit/Annual",(('Operating Assumptions'!$M16*FJ$25)*FJ$36)/12,IF('Operating Assumptions'!$L16="$/Unit/Month",('Operating Assumptions'!$M16*FJ$25)*FJ$36,IF('Operating Assumptions'!$L16="Fixed Amount",('Operating Assumptions'!$M16*FJ$25)/12,IF('Operating Assumptions'!$L16="$/GSF",(('Operating Assumptions'!$M16*FJ$25)*'Operating Assumptions'!$D$11)/12,IF('Operating Assumptions'!$L16="$/NSF",(('Operating Assumptions'!$M16*FJ$25)*'Operating Assumptions'!$D$12)/12))))))))</f>
        <v>0</v>
      </c>
      <c r="FK88" s="427">
        <f>-IF(FK$9&lt;'Operating Assumptions'!$D$53,0,IF(FK$6&gt;'Operating Assumptions'!$AA$8,0,IF('Operating Assumptions'!$L16="N/A",0,IF('Operating Assumptions'!$L16="$/Unit/Annual",(('Operating Assumptions'!$M16*FK$25)*FK$36)/12,IF('Operating Assumptions'!$L16="$/Unit/Month",('Operating Assumptions'!$M16*FK$25)*FK$36,IF('Operating Assumptions'!$L16="Fixed Amount",('Operating Assumptions'!$M16*FK$25)/12,IF('Operating Assumptions'!$L16="$/GSF",(('Operating Assumptions'!$M16*FK$25)*'Operating Assumptions'!$D$11)/12,IF('Operating Assumptions'!$L16="$/NSF",(('Operating Assumptions'!$M16*FK$25)*'Operating Assumptions'!$D$12)/12))))))))</f>
        <v>0</v>
      </c>
      <c r="FL88" s="427">
        <f>-IF(FL$9&lt;'Operating Assumptions'!$D$53,0,IF(FL$6&gt;'Operating Assumptions'!$AA$8,0,IF('Operating Assumptions'!$L16="N/A",0,IF('Operating Assumptions'!$L16="$/Unit/Annual",(('Operating Assumptions'!$M16*FL$25)*FL$36)/12,IF('Operating Assumptions'!$L16="$/Unit/Month",('Operating Assumptions'!$M16*FL$25)*FL$36,IF('Operating Assumptions'!$L16="Fixed Amount",('Operating Assumptions'!$M16*FL$25)/12,IF('Operating Assumptions'!$L16="$/GSF",(('Operating Assumptions'!$M16*FL$25)*'Operating Assumptions'!$D$11)/12,IF('Operating Assumptions'!$L16="$/NSF",(('Operating Assumptions'!$M16*FL$25)*'Operating Assumptions'!$D$12)/12))))))))</f>
        <v>0</v>
      </c>
      <c r="FM88" s="427">
        <f>-IF(FM$9&lt;'Operating Assumptions'!$D$53,0,IF(FM$6&gt;'Operating Assumptions'!$AA$8,0,IF('Operating Assumptions'!$L16="N/A",0,IF('Operating Assumptions'!$L16="$/Unit/Annual",(('Operating Assumptions'!$M16*FM$25)*FM$36)/12,IF('Operating Assumptions'!$L16="$/Unit/Month",('Operating Assumptions'!$M16*FM$25)*FM$36,IF('Operating Assumptions'!$L16="Fixed Amount",('Operating Assumptions'!$M16*FM$25)/12,IF('Operating Assumptions'!$L16="$/GSF",(('Operating Assumptions'!$M16*FM$25)*'Operating Assumptions'!$D$11)/12,IF('Operating Assumptions'!$L16="$/NSF",(('Operating Assumptions'!$M16*FM$25)*'Operating Assumptions'!$D$12)/12))))))))</f>
        <v>0</v>
      </c>
      <c r="FN88" s="427">
        <f>-IF(FN$9&lt;'Operating Assumptions'!$D$53,0,IF(FN$6&gt;'Operating Assumptions'!$AA$8,0,IF('Operating Assumptions'!$L16="N/A",0,IF('Operating Assumptions'!$L16="$/Unit/Annual",(('Operating Assumptions'!$M16*FN$25)*FN$36)/12,IF('Operating Assumptions'!$L16="$/Unit/Month",('Operating Assumptions'!$M16*FN$25)*FN$36,IF('Operating Assumptions'!$L16="Fixed Amount",('Operating Assumptions'!$M16*FN$25)/12,IF('Operating Assumptions'!$L16="$/GSF",(('Operating Assumptions'!$M16*FN$25)*'Operating Assumptions'!$D$11)/12,IF('Operating Assumptions'!$L16="$/NSF",(('Operating Assumptions'!$M16*FN$25)*'Operating Assumptions'!$D$12)/12))))))))</f>
        <v>0</v>
      </c>
      <c r="FO88" s="427">
        <f>-IF(FO$9&lt;'Operating Assumptions'!$D$53,0,IF(FO$6&gt;'Operating Assumptions'!$AA$8,0,IF('Operating Assumptions'!$L16="N/A",0,IF('Operating Assumptions'!$L16="$/Unit/Annual",(('Operating Assumptions'!$M16*FO$25)*FO$36)/12,IF('Operating Assumptions'!$L16="$/Unit/Month",('Operating Assumptions'!$M16*FO$25)*FO$36,IF('Operating Assumptions'!$L16="Fixed Amount",('Operating Assumptions'!$M16*FO$25)/12,IF('Operating Assumptions'!$L16="$/GSF",(('Operating Assumptions'!$M16*FO$25)*'Operating Assumptions'!$D$11)/12,IF('Operating Assumptions'!$L16="$/NSF",(('Operating Assumptions'!$M16*FO$25)*'Operating Assumptions'!$D$12)/12))))))))</f>
        <v>0</v>
      </c>
      <c r="FP88" s="427">
        <f>-IF(FP$9&lt;'Operating Assumptions'!$D$53,0,IF(FP$6&gt;'Operating Assumptions'!$AA$8,0,IF('Operating Assumptions'!$L16="N/A",0,IF('Operating Assumptions'!$L16="$/Unit/Annual",(('Operating Assumptions'!$M16*FP$25)*FP$36)/12,IF('Operating Assumptions'!$L16="$/Unit/Month",('Operating Assumptions'!$M16*FP$25)*FP$36,IF('Operating Assumptions'!$L16="Fixed Amount",('Operating Assumptions'!$M16*FP$25)/12,IF('Operating Assumptions'!$L16="$/GSF",(('Operating Assumptions'!$M16*FP$25)*'Operating Assumptions'!$D$11)/12,IF('Operating Assumptions'!$L16="$/NSF",(('Operating Assumptions'!$M16*FP$25)*'Operating Assumptions'!$D$12)/12))))))))</f>
        <v>0</v>
      </c>
      <c r="FQ88" s="427">
        <f>-IF(FQ$9&lt;'Operating Assumptions'!$D$53,0,IF(FQ$6&gt;'Operating Assumptions'!$AA$8,0,IF('Operating Assumptions'!$L16="N/A",0,IF('Operating Assumptions'!$L16="$/Unit/Annual",(('Operating Assumptions'!$M16*FQ$25)*FQ$36)/12,IF('Operating Assumptions'!$L16="$/Unit/Month",('Operating Assumptions'!$M16*FQ$25)*FQ$36,IF('Operating Assumptions'!$L16="Fixed Amount",('Operating Assumptions'!$M16*FQ$25)/12,IF('Operating Assumptions'!$L16="$/GSF",(('Operating Assumptions'!$M16*FQ$25)*'Operating Assumptions'!$D$11)/12,IF('Operating Assumptions'!$L16="$/NSF",(('Operating Assumptions'!$M16*FQ$25)*'Operating Assumptions'!$D$12)/12))))))))</f>
        <v>0</v>
      </c>
      <c r="FR88" s="427">
        <f>-IF(FR$9&lt;'Operating Assumptions'!$D$53,0,IF(FR$6&gt;'Operating Assumptions'!$AA$8,0,IF('Operating Assumptions'!$L16="N/A",0,IF('Operating Assumptions'!$L16="$/Unit/Annual",(('Operating Assumptions'!$M16*FR$25)*FR$36)/12,IF('Operating Assumptions'!$L16="$/Unit/Month",('Operating Assumptions'!$M16*FR$25)*FR$36,IF('Operating Assumptions'!$L16="Fixed Amount",('Operating Assumptions'!$M16*FR$25)/12,IF('Operating Assumptions'!$L16="$/GSF",(('Operating Assumptions'!$M16*FR$25)*'Operating Assumptions'!$D$11)/12,IF('Operating Assumptions'!$L16="$/NSF",(('Operating Assumptions'!$M16*FR$25)*'Operating Assumptions'!$D$12)/12))))))))</f>
        <v>0</v>
      </c>
      <c r="FS88" s="427">
        <f>-IF(FS$9&lt;'Operating Assumptions'!$D$53,0,IF(FS$6&gt;'Operating Assumptions'!$AA$8,0,IF('Operating Assumptions'!$L16="N/A",0,IF('Operating Assumptions'!$L16="$/Unit/Annual",(('Operating Assumptions'!$M16*FS$25)*FS$36)/12,IF('Operating Assumptions'!$L16="$/Unit/Month",('Operating Assumptions'!$M16*FS$25)*FS$36,IF('Operating Assumptions'!$L16="Fixed Amount",('Operating Assumptions'!$M16*FS$25)/12,IF('Operating Assumptions'!$L16="$/GSF",(('Operating Assumptions'!$M16*FS$25)*'Operating Assumptions'!$D$11)/12,IF('Operating Assumptions'!$L16="$/NSF",(('Operating Assumptions'!$M16*FS$25)*'Operating Assumptions'!$D$12)/12))))))))</f>
        <v>0</v>
      </c>
      <c r="FT88" s="427">
        <f>-IF(FT$9&lt;'Operating Assumptions'!$D$53,0,IF(FT$6&gt;'Operating Assumptions'!$AA$8,0,IF('Operating Assumptions'!$L16="N/A",0,IF('Operating Assumptions'!$L16="$/Unit/Annual",(('Operating Assumptions'!$M16*FT$25)*FT$36)/12,IF('Operating Assumptions'!$L16="$/Unit/Month",('Operating Assumptions'!$M16*FT$25)*FT$36,IF('Operating Assumptions'!$L16="Fixed Amount",('Operating Assumptions'!$M16*FT$25)/12,IF('Operating Assumptions'!$L16="$/GSF",(('Operating Assumptions'!$M16*FT$25)*'Operating Assumptions'!$D$11)/12,IF('Operating Assumptions'!$L16="$/NSF",(('Operating Assumptions'!$M16*FT$25)*'Operating Assumptions'!$D$12)/12))))))))</f>
        <v>0</v>
      </c>
      <c r="FU88" s="43"/>
      <c r="FV88" s="34"/>
      <c r="FW88" s="34"/>
      <c r="FX88" s="34"/>
      <c r="FY88" s="34"/>
      <c r="FZ88" s="34"/>
    </row>
    <row r="89" spans="1:182" s="89" customFormat="1" ht="13.5" x14ac:dyDescent="0.25">
      <c r="A89" s="34"/>
      <c r="B89" s="128" t="str">
        <f>'Operating Assumptions'!K17</f>
        <v>Blank</v>
      </c>
      <c r="C89" s="34"/>
      <c r="D89" s="34"/>
      <c r="E89" s="34"/>
      <c r="F89" s="434">
        <f t="shared" si="172"/>
        <v>0</v>
      </c>
      <c r="G89" s="34"/>
      <c r="H89" s="427">
        <f>-IF(H$9&lt;'Operating Assumptions'!$D$53,0,IF(H$6&gt;'Operating Assumptions'!$AA$8,0,IF('Operating Assumptions'!$L17="N/A",0,IF('Operating Assumptions'!$L17="$/Unit/Annual",(('Operating Assumptions'!$M17*H$25)*H$36)/12,IF('Operating Assumptions'!$L17="$/Unit/Month",('Operating Assumptions'!$M17*H$25)*H$36,IF('Operating Assumptions'!$L17="Fixed Amount",('Operating Assumptions'!$M17*H$25)/12,IF('Operating Assumptions'!$L17="$/GSF",(('Operating Assumptions'!$M17*H$25)*'Operating Assumptions'!$D$11)/12,IF('Operating Assumptions'!$L17="$/NSF",(('Operating Assumptions'!$M17*H$25)*'Operating Assumptions'!$D$12)/12))))))))</f>
        <v>0</v>
      </c>
      <c r="I89" s="427">
        <f>-IF(I$9&lt;'Operating Assumptions'!$D$53,0,IF(I$6&gt;'Operating Assumptions'!$AA$8,0,IF('Operating Assumptions'!$L17="N/A",0,IF('Operating Assumptions'!$L17="$/Unit/Annual",(('Operating Assumptions'!$M17*I$25)*I$36)/12,IF('Operating Assumptions'!$L17="$/Unit/Month",('Operating Assumptions'!$M17*I$25)*I$36,IF('Operating Assumptions'!$L17="Fixed Amount",('Operating Assumptions'!$M17*I$25)/12,IF('Operating Assumptions'!$L17="$/GSF",(('Operating Assumptions'!$M17*I$25)*'Operating Assumptions'!$D$11)/12,IF('Operating Assumptions'!$L17="$/NSF",(('Operating Assumptions'!$M17*I$25)*'Operating Assumptions'!$D$12)/12))))))))</f>
        <v>0</v>
      </c>
      <c r="J89" s="427">
        <f>-IF(J$9&lt;'Operating Assumptions'!$D$53,0,IF(J$6&gt;'Operating Assumptions'!$AA$8,0,IF('Operating Assumptions'!$L17="N/A",0,IF('Operating Assumptions'!$L17="$/Unit/Annual",(('Operating Assumptions'!$M17*J$25)*J$36)/12,IF('Operating Assumptions'!$L17="$/Unit/Month",('Operating Assumptions'!$M17*J$25)*J$36,IF('Operating Assumptions'!$L17="Fixed Amount",('Operating Assumptions'!$M17*J$25)/12,IF('Operating Assumptions'!$L17="$/GSF",(('Operating Assumptions'!$M17*J$25)*'Operating Assumptions'!$D$11)/12,IF('Operating Assumptions'!$L17="$/NSF",(('Operating Assumptions'!$M17*J$25)*'Operating Assumptions'!$D$12)/12))))))))</f>
        <v>0</v>
      </c>
      <c r="K89" s="427">
        <f>-IF(K$9&lt;'Operating Assumptions'!$D$53,0,IF(K$6&gt;'Operating Assumptions'!$AA$8,0,IF('Operating Assumptions'!$L17="N/A",0,IF('Operating Assumptions'!$L17="$/Unit/Annual",(('Operating Assumptions'!$M17*K$25)*K$36)/12,IF('Operating Assumptions'!$L17="$/Unit/Month",('Operating Assumptions'!$M17*K$25)*K$36,IF('Operating Assumptions'!$L17="Fixed Amount",('Operating Assumptions'!$M17*K$25)/12,IF('Operating Assumptions'!$L17="$/GSF",(('Operating Assumptions'!$M17*K$25)*'Operating Assumptions'!$D$11)/12,IF('Operating Assumptions'!$L17="$/NSF",(('Operating Assumptions'!$M17*K$25)*'Operating Assumptions'!$D$12)/12))))))))</f>
        <v>0</v>
      </c>
      <c r="L89" s="427">
        <f>-IF(L$9&lt;'Operating Assumptions'!$D$53,0,IF(L$6&gt;'Operating Assumptions'!$AA$8,0,IF('Operating Assumptions'!$L17="N/A",0,IF('Operating Assumptions'!$L17="$/Unit/Annual",(('Operating Assumptions'!$M17*L$25)*L$36)/12,IF('Operating Assumptions'!$L17="$/Unit/Month",('Operating Assumptions'!$M17*L$25)*L$36,IF('Operating Assumptions'!$L17="Fixed Amount",('Operating Assumptions'!$M17*L$25)/12,IF('Operating Assumptions'!$L17="$/GSF",(('Operating Assumptions'!$M17*L$25)*'Operating Assumptions'!$D$11)/12,IF('Operating Assumptions'!$L17="$/NSF",(('Operating Assumptions'!$M17*L$25)*'Operating Assumptions'!$D$12)/12))))))))</f>
        <v>0</v>
      </c>
      <c r="M89" s="427">
        <f>-IF(M$9&lt;'Operating Assumptions'!$D$53,0,IF(M$6&gt;'Operating Assumptions'!$AA$8,0,IF('Operating Assumptions'!$L17="N/A",0,IF('Operating Assumptions'!$L17="$/Unit/Annual",(('Operating Assumptions'!$M17*M$25)*M$36)/12,IF('Operating Assumptions'!$L17="$/Unit/Month",('Operating Assumptions'!$M17*M$25)*M$36,IF('Operating Assumptions'!$L17="Fixed Amount",('Operating Assumptions'!$M17*M$25)/12,IF('Operating Assumptions'!$L17="$/GSF",(('Operating Assumptions'!$M17*M$25)*'Operating Assumptions'!$D$11)/12,IF('Operating Assumptions'!$L17="$/NSF",(('Operating Assumptions'!$M17*M$25)*'Operating Assumptions'!$D$12)/12))))))))</f>
        <v>0</v>
      </c>
      <c r="N89" s="427">
        <f>-IF(N$9&lt;'Operating Assumptions'!$D$53,0,IF(N$6&gt;'Operating Assumptions'!$AA$8,0,IF('Operating Assumptions'!$L17="N/A",0,IF('Operating Assumptions'!$L17="$/Unit/Annual",(('Operating Assumptions'!$M17*N$25)*N$36)/12,IF('Operating Assumptions'!$L17="$/Unit/Month",('Operating Assumptions'!$M17*N$25)*N$36,IF('Operating Assumptions'!$L17="Fixed Amount",('Operating Assumptions'!$M17*N$25)/12,IF('Operating Assumptions'!$L17="$/GSF",(('Operating Assumptions'!$M17*N$25)*'Operating Assumptions'!$D$11)/12,IF('Operating Assumptions'!$L17="$/NSF",(('Operating Assumptions'!$M17*N$25)*'Operating Assumptions'!$D$12)/12))))))))</f>
        <v>0</v>
      </c>
      <c r="O89" s="427">
        <f>-IF(O$9&lt;'Operating Assumptions'!$D$53,0,IF(O$6&gt;'Operating Assumptions'!$AA$8,0,IF('Operating Assumptions'!$L17="N/A",0,IF('Operating Assumptions'!$L17="$/Unit/Annual",(('Operating Assumptions'!$M17*O$25)*O$36)/12,IF('Operating Assumptions'!$L17="$/Unit/Month",('Operating Assumptions'!$M17*O$25)*O$36,IF('Operating Assumptions'!$L17="Fixed Amount",('Operating Assumptions'!$M17*O$25)/12,IF('Operating Assumptions'!$L17="$/GSF",(('Operating Assumptions'!$M17*O$25)*'Operating Assumptions'!$D$11)/12,IF('Operating Assumptions'!$L17="$/NSF",(('Operating Assumptions'!$M17*O$25)*'Operating Assumptions'!$D$12)/12))))))))</f>
        <v>0</v>
      </c>
      <c r="P89" s="427">
        <f>-IF(P$9&lt;'Operating Assumptions'!$D$53,0,IF(P$6&gt;'Operating Assumptions'!$AA$8,0,IF('Operating Assumptions'!$L17="N/A",0,IF('Operating Assumptions'!$L17="$/Unit/Annual",(('Operating Assumptions'!$M17*P$25)*P$36)/12,IF('Operating Assumptions'!$L17="$/Unit/Month",('Operating Assumptions'!$M17*P$25)*P$36,IF('Operating Assumptions'!$L17="Fixed Amount",('Operating Assumptions'!$M17*P$25)/12,IF('Operating Assumptions'!$L17="$/GSF",(('Operating Assumptions'!$M17*P$25)*'Operating Assumptions'!$D$11)/12,IF('Operating Assumptions'!$L17="$/NSF",(('Operating Assumptions'!$M17*P$25)*'Operating Assumptions'!$D$12)/12))))))))</f>
        <v>0</v>
      </c>
      <c r="Q89" s="427">
        <f>-IF(Q$9&lt;'Operating Assumptions'!$D$53,0,IF(Q$6&gt;'Operating Assumptions'!$AA$8,0,IF('Operating Assumptions'!$L17="N/A",0,IF('Operating Assumptions'!$L17="$/Unit/Annual",(('Operating Assumptions'!$M17*Q$25)*Q$36)/12,IF('Operating Assumptions'!$L17="$/Unit/Month",('Operating Assumptions'!$M17*Q$25)*Q$36,IF('Operating Assumptions'!$L17="Fixed Amount",('Operating Assumptions'!$M17*Q$25)/12,IF('Operating Assumptions'!$L17="$/GSF",(('Operating Assumptions'!$M17*Q$25)*'Operating Assumptions'!$D$11)/12,IF('Operating Assumptions'!$L17="$/NSF",(('Operating Assumptions'!$M17*Q$25)*'Operating Assumptions'!$D$12)/12))))))))</f>
        <v>0</v>
      </c>
      <c r="R89" s="427">
        <f>-IF(R$9&lt;'Operating Assumptions'!$D$53,0,IF(R$6&gt;'Operating Assumptions'!$AA$8,0,IF('Operating Assumptions'!$L17="N/A",0,IF('Operating Assumptions'!$L17="$/Unit/Annual",(('Operating Assumptions'!$M17*R$25)*R$36)/12,IF('Operating Assumptions'!$L17="$/Unit/Month",('Operating Assumptions'!$M17*R$25)*R$36,IF('Operating Assumptions'!$L17="Fixed Amount",('Operating Assumptions'!$M17*R$25)/12,IF('Operating Assumptions'!$L17="$/GSF",(('Operating Assumptions'!$M17*R$25)*'Operating Assumptions'!$D$11)/12,IF('Operating Assumptions'!$L17="$/NSF",(('Operating Assumptions'!$M17*R$25)*'Operating Assumptions'!$D$12)/12))))))))</f>
        <v>0</v>
      </c>
      <c r="S89" s="427">
        <f>-IF(S$9&lt;'Operating Assumptions'!$D$53,0,IF(S$6&gt;'Operating Assumptions'!$AA$8,0,IF('Operating Assumptions'!$L17="N/A",0,IF('Operating Assumptions'!$L17="$/Unit/Annual",(('Operating Assumptions'!$M17*S$25)*S$36)/12,IF('Operating Assumptions'!$L17="$/Unit/Month",('Operating Assumptions'!$M17*S$25)*S$36,IF('Operating Assumptions'!$L17="Fixed Amount",('Operating Assumptions'!$M17*S$25)/12,IF('Operating Assumptions'!$L17="$/GSF",(('Operating Assumptions'!$M17*S$25)*'Operating Assumptions'!$D$11)/12,IF('Operating Assumptions'!$L17="$/NSF",(('Operating Assumptions'!$M17*S$25)*'Operating Assumptions'!$D$12)/12))))))))</f>
        <v>0</v>
      </c>
      <c r="T89" s="427">
        <f>-IF(T$9&lt;'Operating Assumptions'!$D$53,0,IF(T$6&gt;'Operating Assumptions'!$AA$8,0,IF('Operating Assumptions'!$L17="N/A",0,IF('Operating Assumptions'!$L17="$/Unit/Annual",(('Operating Assumptions'!$M17*T$25)*T$36)/12,IF('Operating Assumptions'!$L17="$/Unit/Month",('Operating Assumptions'!$M17*T$25)*T$36,IF('Operating Assumptions'!$L17="Fixed Amount",('Operating Assumptions'!$M17*T$25)/12,IF('Operating Assumptions'!$L17="$/GSF",(('Operating Assumptions'!$M17*T$25)*'Operating Assumptions'!$D$11)/12,IF('Operating Assumptions'!$L17="$/NSF",(('Operating Assumptions'!$M17*T$25)*'Operating Assumptions'!$D$12)/12))))))))</f>
        <v>0</v>
      </c>
      <c r="U89" s="427">
        <f>-IF(U$9&lt;'Operating Assumptions'!$D$53,0,IF(U$6&gt;'Operating Assumptions'!$AA$8,0,IF('Operating Assumptions'!$L17="N/A",0,IF('Operating Assumptions'!$L17="$/Unit/Annual",(('Operating Assumptions'!$M17*U$25)*U$36)/12,IF('Operating Assumptions'!$L17="$/Unit/Month",('Operating Assumptions'!$M17*U$25)*U$36,IF('Operating Assumptions'!$L17="Fixed Amount",('Operating Assumptions'!$M17*U$25)/12,IF('Operating Assumptions'!$L17="$/GSF",(('Operating Assumptions'!$M17*U$25)*'Operating Assumptions'!$D$11)/12,IF('Operating Assumptions'!$L17="$/NSF",(('Operating Assumptions'!$M17*U$25)*'Operating Assumptions'!$D$12)/12))))))))</f>
        <v>0</v>
      </c>
      <c r="V89" s="427">
        <f>-IF(V$9&lt;'Operating Assumptions'!$D$53,0,IF(V$6&gt;'Operating Assumptions'!$AA$8,0,IF('Operating Assumptions'!$L17="N/A",0,IF('Operating Assumptions'!$L17="$/Unit/Annual",(('Operating Assumptions'!$M17*V$25)*V$36)/12,IF('Operating Assumptions'!$L17="$/Unit/Month",('Operating Assumptions'!$M17*V$25)*V$36,IF('Operating Assumptions'!$L17="Fixed Amount",('Operating Assumptions'!$M17*V$25)/12,IF('Operating Assumptions'!$L17="$/GSF",(('Operating Assumptions'!$M17*V$25)*'Operating Assumptions'!$D$11)/12,IF('Operating Assumptions'!$L17="$/NSF",(('Operating Assumptions'!$M17*V$25)*'Operating Assumptions'!$D$12)/12))))))))</f>
        <v>0</v>
      </c>
      <c r="W89" s="427">
        <f>-IF(W$9&lt;'Operating Assumptions'!$D$53,0,IF(W$6&gt;'Operating Assumptions'!$AA$8,0,IF('Operating Assumptions'!$L17="N/A",0,IF('Operating Assumptions'!$L17="$/Unit/Annual",(('Operating Assumptions'!$M17*W$25)*W$36)/12,IF('Operating Assumptions'!$L17="$/Unit/Month",('Operating Assumptions'!$M17*W$25)*W$36,IF('Operating Assumptions'!$L17="Fixed Amount",('Operating Assumptions'!$M17*W$25)/12,IF('Operating Assumptions'!$L17="$/GSF",(('Operating Assumptions'!$M17*W$25)*'Operating Assumptions'!$D$11)/12,IF('Operating Assumptions'!$L17="$/NSF",(('Operating Assumptions'!$M17*W$25)*'Operating Assumptions'!$D$12)/12))))))))</f>
        <v>0</v>
      </c>
      <c r="X89" s="427">
        <f>-IF(X$9&lt;'Operating Assumptions'!$D$53,0,IF(X$6&gt;'Operating Assumptions'!$AA$8,0,IF('Operating Assumptions'!$L17="N/A",0,IF('Operating Assumptions'!$L17="$/Unit/Annual",(('Operating Assumptions'!$M17*X$25)*X$36)/12,IF('Operating Assumptions'!$L17="$/Unit/Month",('Operating Assumptions'!$M17*X$25)*X$36,IF('Operating Assumptions'!$L17="Fixed Amount",('Operating Assumptions'!$M17*X$25)/12,IF('Operating Assumptions'!$L17="$/GSF",(('Operating Assumptions'!$M17*X$25)*'Operating Assumptions'!$D$11)/12,IF('Operating Assumptions'!$L17="$/NSF",(('Operating Assumptions'!$M17*X$25)*'Operating Assumptions'!$D$12)/12))))))))</f>
        <v>0</v>
      </c>
      <c r="Y89" s="427">
        <f>-IF(Y$9&lt;'Operating Assumptions'!$D$53,0,IF(Y$6&gt;'Operating Assumptions'!$AA$8,0,IF('Operating Assumptions'!$L17="N/A",0,IF('Operating Assumptions'!$L17="$/Unit/Annual",(('Operating Assumptions'!$M17*Y$25)*Y$36)/12,IF('Operating Assumptions'!$L17="$/Unit/Month",('Operating Assumptions'!$M17*Y$25)*Y$36,IF('Operating Assumptions'!$L17="Fixed Amount",('Operating Assumptions'!$M17*Y$25)/12,IF('Operating Assumptions'!$L17="$/GSF",(('Operating Assumptions'!$M17*Y$25)*'Operating Assumptions'!$D$11)/12,IF('Operating Assumptions'!$L17="$/NSF",(('Operating Assumptions'!$M17*Y$25)*'Operating Assumptions'!$D$12)/12))))))))</f>
        <v>0</v>
      </c>
      <c r="Z89" s="427">
        <f>-IF(Z$9&lt;'Operating Assumptions'!$D$53,0,IF(Z$6&gt;'Operating Assumptions'!$AA$8,0,IF('Operating Assumptions'!$L17="N/A",0,IF('Operating Assumptions'!$L17="$/Unit/Annual",(('Operating Assumptions'!$M17*Z$25)*Z$36)/12,IF('Operating Assumptions'!$L17="$/Unit/Month",('Operating Assumptions'!$M17*Z$25)*Z$36,IF('Operating Assumptions'!$L17="Fixed Amount",('Operating Assumptions'!$M17*Z$25)/12,IF('Operating Assumptions'!$L17="$/GSF",(('Operating Assumptions'!$M17*Z$25)*'Operating Assumptions'!$D$11)/12,IF('Operating Assumptions'!$L17="$/NSF",(('Operating Assumptions'!$M17*Z$25)*'Operating Assumptions'!$D$12)/12))))))))</f>
        <v>0</v>
      </c>
      <c r="AA89" s="427">
        <f>-IF(AA$9&lt;'Operating Assumptions'!$D$53,0,IF(AA$6&gt;'Operating Assumptions'!$AA$8,0,IF('Operating Assumptions'!$L17="N/A",0,IF('Operating Assumptions'!$L17="$/Unit/Annual",(('Operating Assumptions'!$M17*AA$25)*AA$36)/12,IF('Operating Assumptions'!$L17="$/Unit/Month",('Operating Assumptions'!$M17*AA$25)*AA$36,IF('Operating Assumptions'!$L17="Fixed Amount",('Operating Assumptions'!$M17*AA$25)/12,IF('Operating Assumptions'!$L17="$/GSF",(('Operating Assumptions'!$M17*AA$25)*'Operating Assumptions'!$D$11)/12,IF('Operating Assumptions'!$L17="$/NSF",(('Operating Assumptions'!$M17*AA$25)*'Operating Assumptions'!$D$12)/12))))))))</f>
        <v>0</v>
      </c>
      <c r="AB89" s="427">
        <f>-IF(AB$9&lt;'Operating Assumptions'!$D$53,0,IF(AB$6&gt;'Operating Assumptions'!$AA$8,0,IF('Operating Assumptions'!$L17="N/A",0,IF('Operating Assumptions'!$L17="$/Unit/Annual",(('Operating Assumptions'!$M17*AB$25)*AB$36)/12,IF('Operating Assumptions'!$L17="$/Unit/Month",('Operating Assumptions'!$M17*AB$25)*AB$36,IF('Operating Assumptions'!$L17="Fixed Amount",('Operating Assumptions'!$M17*AB$25)/12,IF('Operating Assumptions'!$L17="$/GSF",(('Operating Assumptions'!$M17*AB$25)*'Operating Assumptions'!$D$11)/12,IF('Operating Assumptions'!$L17="$/NSF",(('Operating Assumptions'!$M17*AB$25)*'Operating Assumptions'!$D$12)/12))))))))</f>
        <v>0</v>
      </c>
      <c r="AC89" s="427">
        <f>-IF(AC$9&lt;'Operating Assumptions'!$D$53,0,IF(AC$6&gt;'Operating Assumptions'!$AA$8,0,IF('Operating Assumptions'!$L17="N/A",0,IF('Operating Assumptions'!$L17="$/Unit/Annual",(('Operating Assumptions'!$M17*AC$25)*AC$36)/12,IF('Operating Assumptions'!$L17="$/Unit/Month",('Operating Assumptions'!$M17*AC$25)*AC$36,IF('Operating Assumptions'!$L17="Fixed Amount",('Operating Assumptions'!$M17*AC$25)/12,IF('Operating Assumptions'!$L17="$/GSF",(('Operating Assumptions'!$M17*AC$25)*'Operating Assumptions'!$D$11)/12,IF('Operating Assumptions'!$L17="$/NSF",(('Operating Assumptions'!$M17*AC$25)*'Operating Assumptions'!$D$12)/12))))))))</f>
        <v>0</v>
      </c>
      <c r="AD89" s="427">
        <f>-IF(AD$9&lt;'Operating Assumptions'!$D$53,0,IF(AD$6&gt;'Operating Assumptions'!$AA$8,0,IF('Operating Assumptions'!$L17="N/A",0,IF('Operating Assumptions'!$L17="$/Unit/Annual",(('Operating Assumptions'!$M17*AD$25)*AD$36)/12,IF('Operating Assumptions'!$L17="$/Unit/Month",('Operating Assumptions'!$M17*AD$25)*AD$36,IF('Operating Assumptions'!$L17="Fixed Amount",('Operating Assumptions'!$M17*AD$25)/12,IF('Operating Assumptions'!$L17="$/GSF",(('Operating Assumptions'!$M17*AD$25)*'Operating Assumptions'!$D$11)/12,IF('Operating Assumptions'!$L17="$/NSF",(('Operating Assumptions'!$M17*AD$25)*'Operating Assumptions'!$D$12)/12))))))))</f>
        <v>0</v>
      </c>
      <c r="AE89" s="427">
        <f>-IF(AE$9&lt;'Operating Assumptions'!$D$53,0,IF(AE$6&gt;'Operating Assumptions'!$AA$8,0,IF('Operating Assumptions'!$L17="N/A",0,IF('Operating Assumptions'!$L17="$/Unit/Annual",(('Operating Assumptions'!$M17*AE$25)*AE$36)/12,IF('Operating Assumptions'!$L17="$/Unit/Month",('Operating Assumptions'!$M17*AE$25)*AE$36,IF('Operating Assumptions'!$L17="Fixed Amount",('Operating Assumptions'!$M17*AE$25)/12,IF('Operating Assumptions'!$L17="$/GSF",(('Operating Assumptions'!$M17*AE$25)*'Operating Assumptions'!$D$11)/12,IF('Operating Assumptions'!$L17="$/NSF",(('Operating Assumptions'!$M17*AE$25)*'Operating Assumptions'!$D$12)/12))))))))</f>
        <v>0</v>
      </c>
      <c r="AF89" s="427">
        <f>-IF(AF$9&lt;'Operating Assumptions'!$D$53,0,IF(AF$6&gt;'Operating Assumptions'!$AA$8,0,IF('Operating Assumptions'!$L17="N/A",0,IF('Operating Assumptions'!$L17="$/Unit/Annual",(('Operating Assumptions'!$M17*AF$25)*AF$36)/12,IF('Operating Assumptions'!$L17="$/Unit/Month",('Operating Assumptions'!$M17*AF$25)*AF$36,IF('Operating Assumptions'!$L17="Fixed Amount",('Operating Assumptions'!$M17*AF$25)/12,IF('Operating Assumptions'!$L17="$/GSF",(('Operating Assumptions'!$M17*AF$25)*'Operating Assumptions'!$D$11)/12,IF('Operating Assumptions'!$L17="$/NSF",(('Operating Assumptions'!$M17*AF$25)*'Operating Assumptions'!$D$12)/12))))))))</f>
        <v>0</v>
      </c>
      <c r="AG89" s="427">
        <f>-IF(AG$9&lt;'Operating Assumptions'!$D$53,0,IF(AG$6&gt;'Operating Assumptions'!$AA$8,0,IF('Operating Assumptions'!$L17="N/A",0,IF('Operating Assumptions'!$L17="$/Unit/Annual",(('Operating Assumptions'!$M17*AG$25)*AG$36)/12,IF('Operating Assumptions'!$L17="$/Unit/Month",('Operating Assumptions'!$M17*AG$25)*AG$36,IF('Operating Assumptions'!$L17="Fixed Amount",('Operating Assumptions'!$M17*AG$25)/12,IF('Operating Assumptions'!$L17="$/GSF",(('Operating Assumptions'!$M17*AG$25)*'Operating Assumptions'!$D$11)/12,IF('Operating Assumptions'!$L17="$/NSF",(('Operating Assumptions'!$M17*AG$25)*'Operating Assumptions'!$D$12)/12))))))))</f>
        <v>0</v>
      </c>
      <c r="AH89" s="427">
        <f>-IF(AH$9&lt;'Operating Assumptions'!$D$53,0,IF(AH$6&gt;'Operating Assumptions'!$AA$8,0,IF('Operating Assumptions'!$L17="N/A",0,IF('Operating Assumptions'!$L17="$/Unit/Annual",(('Operating Assumptions'!$M17*AH$25)*AH$36)/12,IF('Operating Assumptions'!$L17="$/Unit/Month",('Operating Assumptions'!$M17*AH$25)*AH$36,IF('Operating Assumptions'!$L17="Fixed Amount",('Operating Assumptions'!$M17*AH$25)/12,IF('Operating Assumptions'!$L17="$/GSF",(('Operating Assumptions'!$M17*AH$25)*'Operating Assumptions'!$D$11)/12,IF('Operating Assumptions'!$L17="$/NSF",(('Operating Assumptions'!$M17*AH$25)*'Operating Assumptions'!$D$12)/12))))))))</f>
        <v>0</v>
      </c>
      <c r="AI89" s="427">
        <f>-IF(AI$9&lt;'Operating Assumptions'!$D$53,0,IF(AI$6&gt;'Operating Assumptions'!$AA$8,0,IF('Operating Assumptions'!$L17="N/A",0,IF('Operating Assumptions'!$L17="$/Unit/Annual",(('Operating Assumptions'!$M17*AI$25)*AI$36)/12,IF('Operating Assumptions'!$L17="$/Unit/Month",('Operating Assumptions'!$M17*AI$25)*AI$36,IF('Operating Assumptions'!$L17="Fixed Amount",('Operating Assumptions'!$M17*AI$25)/12,IF('Operating Assumptions'!$L17="$/GSF",(('Operating Assumptions'!$M17*AI$25)*'Operating Assumptions'!$D$11)/12,IF('Operating Assumptions'!$L17="$/NSF",(('Operating Assumptions'!$M17*AI$25)*'Operating Assumptions'!$D$12)/12))))))))</f>
        <v>0</v>
      </c>
      <c r="AJ89" s="427">
        <f>-IF(AJ$9&lt;'Operating Assumptions'!$D$53,0,IF(AJ$6&gt;'Operating Assumptions'!$AA$8,0,IF('Operating Assumptions'!$L17="N/A",0,IF('Operating Assumptions'!$L17="$/Unit/Annual",(('Operating Assumptions'!$M17*AJ$25)*AJ$36)/12,IF('Operating Assumptions'!$L17="$/Unit/Month",('Operating Assumptions'!$M17*AJ$25)*AJ$36,IF('Operating Assumptions'!$L17="Fixed Amount",('Operating Assumptions'!$M17*AJ$25)/12,IF('Operating Assumptions'!$L17="$/GSF",(('Operating Assumptions'!$M17*AJ$25)*'Operating Assumptions'!$D$11)/12,IF('Operating Assumptions'!$L17="$/NSF",(('Operating Assumptions'!$M17*AJ$25)*'Operating Assumptions'!$D$12)/12))))))))</f>
        <v>0</v>
      </c>
      <c r="AK89" s="427">
        <f>-IF(AK$9&lt;'Operating Assumptions'!$D$53,0,IF(AK$6&gt;'Operating Assumptions'!$AA$8,0,IF('Operating Assumptions'!$L17="N/A",0,IF('Operating Assumptions'!$L17="$/Unit/Annual",(('Operating Assumptions'!$M17*AK$25)*AK$36)/12,IF('Operating Assumptions'!$L17="$/Unit/Month",('Operating Assumptions'!$M17*AK$25)*AK$36,IF('Operating Assumptions'!$L17="Fixed Amount",('Operating Assumptions'!$M17*AK$25)/12,IF('Operating Assumptions'!$L17="$/GSF",(('Operating Assumptions'!$M17*AK$25)*'Operating Assumptions'!$D$11)/12,IF('Operating Assumptions'!$L17="$/NSF",(('Operating Assumptions'!$M17*AK$25)*'Operating Assumptions'!$D$12)/12))))))))</f>
        <v>0</v>
      </c>
      <c r="AL89" s="427">
        <f>-IF(AL$9&lt;'Operating Assumptions'!$D$53,0,IF(AL$6&gt;'Operating Assumptions'!$AA$8,0,IF('Operating Assumptions'!$L17="N/A",0,IF('Operating Assumptions'!$L17="$/Unit/Annual",(('Operating Assumptions'!$M17*AL$25)*AL$36)/12,IF('Operating Assumptions'!$L17="$/Unit/Month",('Operating Assumptions'!$M17*AL$25)*AL$36,IF('Operating Assumptions'!$L17="Fixed Amount",('Operating Assumptions'!$M17*AL$25)/12,IF('Operating Assumptions'!$L17="$/GSF",(('Operating Assumptions'!$M17*AL$25)*'Operating Assumptions'!$D$11)/12,IF('Operating Assumptions'!$L17="$/NSF",(('Operating Assumptions'!$M17*AL$25)*'Operating Assumptions'!$D$12)/12))))))))</f>
        <v>0</v>
      </c>
      <c r="AM89" s="427">
        <f>-IF(AM$9&lt;'Operating Assumptions'!$D$53,0,IF(AM$6&gt;'Operating Assumptions'!$AA$8,0,IF('Operating Assumptions'!$L17="N/A",0,IF('Operating Assumptions'!$L17="$/Unit/Annual",(('Operating Assumptions'!$M17*AM$25)*AM$36)/12,IF('Operating Assumptions'!$L17="$/Unit/Month",('Operating Assumptions'!$M17*AM$25)*AM$36,IF('Operating Assumptions'!$L17="Fixed Amount",('Operating Assumptions'!$M17*AM$25)/12,IF('Operating Assumptions'!$L17="$/GSF",(('Operating Assumptions'!$M17*AM$25)*'Operating Assumptions'!$D$11)/12,IF('Operating Assumptions'!$L17="$/NSF",(('Operating Assumptions'!$M17*AM$25)*'Operating Assumptions'!$D$12)/12))))))))</f>
        <v>0</v>
      </c>
      <c r="AN89" s="427">
        <f>-IF(AN$9&lt;'Operating Assumptions'!$D$53,0,IF(AN$6&gt;'Operating Assumptions'!$AA$8,0,IF('Operating Assumptions'!$L17="N/A",0,IF('Operating Assumptions'!$L17="$/Unit/Annual",(('Operating Assumptions'!$M17*AN$25)*AN$36)/12,IF('Operating Assumptions'!$L17="$/Unit/Month",('Operating Assumptions'!$M17*AN$25)*AN$36,IF('Operating Assumptions'!$L17="Fixed Amount",('Operating Assumptions'!$M17*AN$25)/12,IF('Operating Assumptions'!$L17="$/GSF",(('Operating Assumptions'!$M17*AN$25)*'Operating Assumptions'!$D$11)/12,IF('Operating Assumptions'!$L17="$/NSF",(('Operating Assumptions'!$M17*AN$25)*'Operating Assumptions'!$D$12)/12))))))))</f>
        <v>0</v>
      </c>
      <c r="AO89" s="427">
        <f>-IF(AO$9&lt;'Operating Assumptions'!$D$53,0,IF(AO$6&gt;'Operating Assumptions'!$AA$8,0,IF('Operating Assumptions'!$L17="N/A",0,IF('Operating Assumptions'!$L17="$/Unit/Annual",(('Operating Assumptions'!$M17*AO$25)*AO$36)/12,IF('Operating Assumptions'!$L17="$/Unit/Month",('Operating Assumptions'!$M17*AO$25)*AO$36,IF('Operating Assumptions'!$L17="Fixed Amount",('Operating Assumptions'!$M17*AO$25)/12,IF('Operating Assumptions'!$L17="$/GSF",(('Operating Assumptions'!$M17*AO$25)*'Operating Assumptions'!$D$11)/12,IF('Operating Assumptions'!$L17="$/NSF",(('Operating Assumptions'!$M17*AO$25)*'Operating Assumptions'!$D$12)/12))))))))</f>
        <v>0</v>
      </c>
      <c r="AP89" s="427">
        <f>-IF(AP$9&lt;'Operating Assumptions'!$D$53,0,IF(AP$6&gt;'Operating Assumptions'!$AA$8,0,IF('Operating Assumptions'!$L17="N/A",0,IF('Operating Assumptions'!$L17="$/Unit/Annual",(('Operating Assumptions'!$M17*AP$25)*AP$36)/12,IF('Operating Assumptions'!$L17="$/Unit/Month",('Operating Assumptions'!$M17*AP$25)*AP$36,IF('Operating Assumptions'!$L17="Fixed Amount",('Operating Assumptions'!$M17*AP$25)/12,IF('Operating Assumptions'!$L17="$/GSF",(('Operating Assumptions'!$M17*AP$25)*'Operating Assumptions'!$D$11)/12,IF('Operating Assumptions'!$L17="$/NSF",(('Operating Assumptions'!$M17*AP$25)*'Operating Assumptions'!$D$12)/12))))))))</f>
        <v>0</v>
      </c>
      <c r="AQ89" s="427">
        <f>-IF(AQ$9&lt;'Operating Assumptions'!$D$53,0,IF(AQ$6&gt;'Operating Assumptions'!$AA$8,0,IF('Operating Assumptions'!$L17="N/A",0,IF('Operating Assumptions'!$L17="$/Unit/Annual",(('Operating Assumptions'!$M17*AQ$25)*AQ$36)/12,IF('Operating Assumptions'!$L17="$/Unit/Month",('Operating Assumptions'!$M17*AQ$25)*AQ$36,IF('Operating Assumptions'!$L17="Fixed Amount",('Operating Assumptions'!$M17*AQ$25)/12,IF('Operating Assumptions'!$L17="$/GSF",(('Operating Assumptions'!$M17*AQ$25)*'Operating Assumptions'!$D$11)/12,IF('Operating Assumptions'!$L17="$/NSF",(('Operating Assumptions'!$M17*AQ$25)*'Operating Assumptions'!$D$12)/12))))))))</f>
        <v>0</v>
      </c>
      <c r="AR89" s="427">
        <f>-IF(AR$9&lt;'Operating Assumptions'!$D$53,0,IF(AR$6&gt;'Operating Assumptions'!$AA$8,0,IF('Operating Assumptions'!$L17="N/A",0,IF('Operating Assumptions'!$L17="$/Unit/Annual",(('Operating Assumptions'!$M17*AR$25)*AR$36)/12,IF('Operating Assumptions'!$L17="$/Unit/Month",('Operating Assumptions'!$M17*AR$25)*AR$36,IF('Operating Assumptions'!$L17="Fixed Amount",('Operating Assumptions'!$M17*AR$25)/12,IF('Operating Assumptions'!$L17="$/GSF",(('Operating Assumptions'!$M17*AR$25)*'Operating Assumptions'!$D$11)/12,IF('Operating Assumptions'!$L17="$/NSF",(('Operating Assumptions'!$M17*AR$25)*'Operating Assumptions'!$D$12)/12))))))))</f>
        <v>0</v>
      </c>
      <c r="AS89" s="427">
        <f>-IF(AS$9&lt;'Operating Assumptions'!$D$53,0,IF(AS$6&gt;'Operating Assumptions'!$AA$8,0,IF('Operating Assumptions'!$L17="N/A",0,IF('Operating Assumptions'!$L17="$/Unit/Annual",(('Operating Assumptions'!$M17*AS$25)*AS$36)/12,IF('Operating Assumptions'!$L17="$/Unit/Month",('Operating Assumptions'!$M17*AS$25)*AS$36,IF('Operating Assumptions'!$L17="Fixed Amount",('Operating Assumptions'!$M17*AS$25)/12,IF('Operating Assumptions'!$L17="$/GSF",(('Operating Assumptions'!$M17*AS$25)*'Operating Assumptions'!$D$11)/12,IF('Operating Assumptions'!$L17="$/NSF",(('Operating Assumptions'!$M17*AS$25)*'Operating Assumptions'!$D$12)/12))))))))</f>
        <v>0</v>
      </c>
      <c r="AT89" s="427">
        <f>-IF(AT$9&lt;'Operating Assumptions'!$D$53,0,IF(AT$6&gt;'Operating Assumptions'!$AA$8,0,IF('Operating Assumptions'!$L17="N/A",0,IF('Operating Assumptions'!$L17="$/Unit/Annual",(('Operating Assumptions'!$M17*AT$25)*AT$36)/12,IF('Operating Assumptions'!$L17="$/Unit/Month",('Operating Assumptions'!$M17*AT$25)*AT$36,IF('Operating Assumptions'!$L17="Fixed Amount",('Operating Assumptions'!$M17*AT$25)/12,IF('Operating Assumptions'!$L17="$/GSF",(('Operating Assumptions'!$M17*AT$25)*'Operating Assumptions'!$D$11)/12,IF('Operating Assumptions'!$L17="$/NSF",(('Operating Assumptions'!$M17*AT$25)*'Operating Assumptions'!$D$12)/12))))))))</f>
        <v>0</v>
      </c>
      <c r="AU89" s="427">
        <f>-IF(AU$9&lt;'Operating Assumptions'!$D$53,0,IF(AU$6&gt;'Operating Assumptions'!$AA$8,0,IF('Operating Assumptions'!$L17="N/A",0,IF('Operating Assumptions'!$L17="$/Unit/Annual",(('Operating Assumptions'!$M17*AU$25)*AU$36)/12,IF('Operating Assumptions'!$L17="$/Unit/Month",('Operating Assumptions'!$M17*AU$25)*AU$36,IF('Operating Assumptions'!$L17="Fixed Amount",('Operating Assumptions'!$M17*AU$25)/12,IF('Operating Assumptions'!$L17="$/GSF",(('Operating Assumptions'!$M17*AU$25)*'Operating Assumptions'!$D$11)/12,IF('Operating Assumptions'!$L17="$/NSF",(('Operating Assumptions'!$M17*AU$25)*'Operating Assumptions'!$D$12)/12))))))))</f>
        <v>0</v>
      </c>
      <c r="AV89" s="427">
        <f>-IF(AV$9&lt;'Operating Assumptions'!$D$53,0,IF(AV$6&gt;'Operating Assumptions'!$AA$8,0,IF('Operating Assumptions'!$L17="N/A",0,IF('Operating Assumptions'!$L17="$/Unit/Annual",(('Operating Assumptions'!$M17*AV$25)*AV$36)/12,IF('Operating Assumptions'!$L17="$/Unit/Month",('Operating Assumptions'!$M17*AV$25)*AV$36,IF('Operating Assumptions'!$L17="Fixed Amount",('Operating Assumptions'!$M17*AV$25)/12,IF('Operating Assumptions'!$L17="$/GSF",(('Operating Assumptions'!$M17*AV$25)*'Operating Assumptions'!$D$11)/12,IF('Operating Assumptions'!$L17="$/NSF",(('Operating Assumptions'!$M17*AV$25)*'Operating Assumptions'!$D$12)/12))))))))</f>
        <v>0</v>
      </c>
      <c r="AW89" s="427">
        <f>-IF(AW$9&lt;'Operating Assumptions'!$D$53,0,IF(AW$6&gt;'Operating Assumptions'!$AA$8,0,IF('Operating Assumptions'!$L17="N/A",0,IF('Operating Assumptions'!$L17="$/Unit/Annual",(('Operating Assumptions'!$M17*AW$25)*AW$36)/12,IF('Operating Assumptions'!$L17="$/Unit/Month",('Operating Assumptions'!$M17*AW$25)*AW$36,IF('Operating Assumptions'!$L17="Fixed Amount",('Operating Assumptions'!$M17*AW$25)/12,IF('Operating Assumptions'!$L17="$/GSF",(('Operating Assumptions'!$M17*AW$25)*'Operating Assumptions'!$D$11)/12,IF('Operating Assumptions'!$L17="$/NSF",(('Operating Assumptions'!$M17*AW$25)*'Operating Assumptions'!$D$12)/12))))))))</f>
        <v>0</v>
      </c>
      <c r="AX89" s="427">
        <f>-IF(AX$9&lt;'Operating Assumptions'!$D$53,0,IF(AX$6&gt;'Operating Assumptions'!$AA$8,0,IF('Operating Assumptions'!$L17="N/A",0,IF('Operating Assumptions'!$L17="$/Unit/Annual",(('Operating Assumptions'!$M17*AX$25)*AX$36)/12,IF('Operating Assumptions'!$L17="$/Unit/Month",('Operating Assumptions'!$M17*AX$25)*AX$36,IF('Operating Assumptions'!$L17="Fixed Amount",('Operating Assumptions'!$M17*AX$25)/12,IF('Operating Assumptions'!$L17="$/GSF",(('Operating Assumptions'!$M17*AX$25)*'Operating Assumptions'!$D$11)/12,IF('Operating Assumptions'!$L17="$/NSF",(('Operating Assumptions'!$M17*AX$25)*'Operating Assumptions'!$D$12)/12))))))))</f>
        <v>0</v>
      </c>
      <c r="AY89" s="427">
        <f>-IF(AY$9&lt;'Operating Assumptions'!$D$53,0,IF(AY$6&gt;'Operating Assumptions'!$AA$8,0,IF('Operating Assumptions'!$L17="N/A",0,IF('Operating Assumptions'!$L17="$/Unit/Annual",(('Operating Assumptions'!$M17*AY$25)*AY$36)/12,IF('Operating Assumptions'!$L17="$/Unit/Month",('Operating Assumptions'!$M17*AY$25)*AY$36,IF('Operating Assumptions'!$L17="Fixed Amount",('Operating Assumptions'!$M17*AY$25)/12,IF('Operating Assumptions'!$L17="$/GSF",(('Operating Assumptions'!$M17*AY$25)*'Operating Assumptions'!$D$11)/12,IF('Operating Assumptions'!$L17="$/NSF",(('Operating Assumptions'!$M17*AY$25)*'Operating Assumptions'!$D$12)/12))))))))</f>
        <v>0</v>
      </c>
      <c r="AZ89" s="427">
        <f>-IF(AZ$9&lt;'Operating Assumptions'!$D$53,0,IF(AZ$6&gt;'Operating Assumptions'!$AA$8,0,IF('Operating Assumptions'!$L17="N/A",0,IF('Operating Assumptions'!$L17="$/Unit/Annual",(('Operating Assumptions'!$M17*AZ$25)*AZ$36)/12,IF('Operating Assumptions'!$L17="$/Unit/Month",('Operating Assumptions'!$M17*AZ$25)*AZ$36,IF('Operating Assumptions'!$L17="Fixed Amount",('Operating Assumptions'!$M17*AZ$25)/12,IF('Operating Assumptions'!$L17="$/GSF",(('Operating Assumptions'!$M17*AZ$25)*'Operating Assumptions'!$D$11)/12,IF('Operating Assumptions'!$L17="$/NSF",(('Operating Assumptions'!$M17*AZ$25)*'Operating Assumptions'!$D$12)/12))))))))</f>
        <v>0</v>
      </c>
      <c r="BA89" s="427">
        <f>-IF(BA$9&lt;'Operating Assumptions'!$D$53,0,IF(BA$6&gt;'Operating Assumptions'!$AA$8,0,IF('Operating Assumptions'!$L17="N/A",0,IF('Operating Assumptions'!$L17="$/Unit/Annual",(('Operating Assumptions'!$M17*BA$25)*BA$36)/12,IF('Operating Assumptions'!$L17="$/Unit/Month",('Operating Assumptions'!$M17*BA$25)*BA$36,IF('Operating Assumptions'!$L17="Fixed Amount",('Operating Assumptions'!$M17*BA$25)/12,IF('Operating Assumptions'!$L17="$/GSF",(('Operating Assumptions'!$M17*BA$25)*'Operating Assumptions'!$D$11)/12,IF('Operating Assumptions'!$L17="$/NSF",(('Operating Assumptions'!$M17*BA$25)*'Operating Assumptions'!$D$12)/12))))))))</f>
        <v>0</v>
      </c>
      <c r="BB89" s="427">
        <f>-IF(BB$9&lt;'Operating Assumptions'!$D$53,0,IF(BB$6&gt;'Operating Assumptions'!$AA$8,0,IF('Operating Assumptions'!$L17="N/A",0,IF('Operating Assumptions'!$L17="$/Unit/Annual",(('Operating Assumptions'!$M17*BB$25)*BB$36)/12,IF('Operating Assumptions'!$L17="$/Unit/Month",('Operating Assumptions'!$M17*BB$25)*BB$36,IF('Operating Assumptions'!$L17="Fixed Amount",('Operating Assumptions'!$M17*BB$25)/12,IF('Operating Assumptions'!$L17="$/GSF",(('Operating Assumptions'!$M17*BB$25)*'Operating Assumptions'!$D$11)/12,IF('Operating Assumptions'!$L17="$/NSF",(('Operating Assumptions'!$M17*BB$25)*'Operating Assumptions'!$D$12)/12))))))))</f>
        <v>0</v>
      </c>
      <c r="BC89" s="427">
        <f>-IF(BC$9&lt;'Operating Assumptions'!$D$53,0,IF(BC$6&gt;'Operating Assumptions'!$AA$8,0,IF('Operating Assumptions'!$L17="N/A",0,IF('Operating Assumptions'!$L17="$/Unit/Annual",(('Operating Assumptions'!$M17*BC$25)*BC$36)/12,IF('Operating Assumptions'!$L17="$/Unit/Month",('Operating Assumptions'!$M17*BC$25)*BC$36,IF('Operating Assumptions'!$L17="Fixed Amount",('Operating Assumptions'!$M17*BC$25)/12,IF('Operating Assumptions'!$L17="$/GSF",(('Operating Assumptions'!$M17*BC$25)*'Operating Assumptions'!$D$11)/12,IF('Operating Assumptions'!$L17="$/NSF",(('Operating Assumptions'!$M17*BC$25)*'Operating Assumptions'!$D$12)/12))))))))</f>
        <v>0</v>
      </c>
      <c r="BD89" s="427">
        <f>-IF(BD$9&lt;'Operating Assumptions'!$D$53,0,IF(BD$6&gt;'Operating Assumptions'!$AA$8,0,IF('Operating Assumptions'!$L17="N/A",0,IF('Operating Assumptions'!$L17="$/Unit/Annual",(('Operating Assumptions'!$M17*BD$25)*BD$36)/12,IF('Operating Assumptions'!$L17="$/Unit/Month",('Operating Assumptions'!$M17*BD$25)*BD$36,IF('Operating Assumptions'!$L17="Fixed Amount",('Operating Assumptions'!$M17*BD$25)/12,IF('Operating Assumptions'!$L17="$/GSF",(('Operating Assumptions'!$M17*BD$25)*'Operating Assumptions'!$D$11)/12,IF('Operating Assumptions'!$L17="$/NSF",(('Operating Assumptions'!$M17*BD$25)*'Operating Assumptions'!$D$12)/12))))))))</f>
        <v>0</v>
      </c>
      <c r="BE89" s="427">
        <f>-IF(BE$9&lt;'Operating Assumptions'!$D$53,0,IF(BE$6&gt;'Operating Assumptions'!$AA$8,0,IF('Operating Assumptions'!$L17="N/A",0,IF('Operating Assumptions'!$L17="$/Unit/Annual",(('Operating Assumptions'!$M17*BE$25)*BE$36)/12,IF('Operating Assumptions'!$L17="$/Unit/Month",('Operating Assumptions'!$M17*BE$25)*BE$36,IF('Operating Assumptions'!$L17="Fixed Amount",('Operating Assumptions'!$M17*BE$25)/12,IF('Operating Assumptions'!$L17="$/GSF",(('Operating Assumptions'!$M17*BE$25)*'Operating Assumptions'!$D$11)/12,IF('Operating Assumptions'!$L17="$/NSF",(('Operating Assumptions'!$M17*BE$25)*'Operating Assumptions'!$D$12)/12))))))))</f>
        <v>0</v>
      </c>
      <c r="BF89" s="427">
        <f>-IF(BF$9&lt;'Operating Assumptions'!$D$53,0,IF(BF$6&gt;'Operating Assumptions'!$AA$8,0,IF('Operating Assumptions'!$L17="N/A",0,IF('Operating Assumptions'!$L17="$/Unit/Annual",(('Operating Assumptions'!$M17*BF$25)*BF$36)/12,IF('Operating Assumptions'!$L17="$/Unit/Month",('Operating Assumptions'!$M17*BF$25)*BF$36,IF('Operating Assumptions'!$L17="Fixed Amount",('Operating Assumptions'!$M17*BF$25)/12,IF('Operating Assumptions'!$L17="$/GSF",(('Operating Assumptions'!$M17*BF$25)*'Operating Assumptions'!$D$11)/12,IF('Operating Assumptions'!$L17="$/NSF",(('Operating Assumptions'!$M17*BF$25)*'Operating Assumptions'!$D$12)/12))))))))</f>
        <v>0</v>
      </c>
      <c r="BG89" s="427">
        <f>-IF(BG$9&lt;'Operating Assumptions'!$D$53,0,IF(BG$6&gt;'Operating Assumptions'!$AA$8,0,IF('Operating Assumptions'!$L17="N/A",0,IF('Operating Assumptions'!$L17="$/Unit/Annual",(('Operating Assumptions'!$M17*BG$25)*BG$36)/12,IF('Operating Assumptions'!$L17="$/Unit/Month",('Operating Assumptions'!$M17*BG$25)*BG$36,IF('Operating Assumptions'!$L17="Fixed Amount",('Operating Assumptions'!$M17*BG$25)/12,IF('Operating Assumptions'!$L17="$/GSF",(('Operating Assumptions'!$M17*BG$25)*'Operating Assumptions'!$D$11)/12,IF('Operating Assumptions'!$L17="$/NSF",(('Operating Assumptions'!$M17*BG$25)*'Operating Assumptions'!$D$12)/12))))))))</f>
        <v>0</v>
      </c>
      <c r="BH89" s="427">
        <f>-IF(BH$9&lt;'Operating Assumptions'!$D$53,0,IF(BH$6&gt;'Operating Assumptions'!$AA$8,0,IF('Operating Assumptions'!$L17="N/A",0,IF('Operating Assumptions'!$L17="$/Unit/Annual",(('Operating Assumptions'!$M17*BH$25)*BH$36)/12,IF('Operating Assumptions'!$L17="$/Unit/Month",('Operating Assumptions'!$M17*BH$25)*BH$36,IF('Operating Assumptions'!$L17="Fixed Amount",('Operating Assumptions'!$M17*BH$25)/12,IF('Operating Assumptions'!$L17="$/GSF",(('Operating Assumptions'!$M17*BH$25)*'Operating Assumptions'!$D$11)/12,IF('Operating Assumptions'!$L17="$/NSF",(('Operating Assumptions'!$M17*BH$25)*'Operating Assumptions'!$D$12)/12))))))))</f>
        <v>0</v>
      </c>
      <c r="BI89" s="427">
        <f>-IF(BI$9&lt;'Operating Assumptions'!$D$53,0,IF(BI$6&gt;'Operating Assumptions'!$AA$8,0,IF('Operating Assumptions'!$L17="N/A",0,IF('Operating Assumptions'!$L17="$/Unit/Annual",(('Operating Assumptions'!$M17*BI$25)*BI$36)/12,IF('Operating Assumptions'!$L17="$/Unit/Month",('Operating Assumptions'!$M17*BI$25)*BI$36,IF('Operating Assumptions'!$L17="Fixed Amount",('Operating Assumptions'!$M17*BI$25)/12,IF('Operating Assumptions'!$L17="$/GSF",(('Operating Assumptions'!$M17*BI$25)*'Operating Assumptions'!$D$11)/12,IF('Operating Assumptions'!$L17="$/NSF",(('Operating Assumptions'!$M17*BI$25)*'Operating Assumptions'!$D$12)/12))))))))</f>
        <v>0</v>
      </c>
      <c r="BJ89" s="427">
        <f>-IF(BJ$9&lt;'Operating Assumptions'!$D$53,0,IF(BJ$6&gt;'Operating Assumptions'!$AA$8,0,IF('Operating Assumptions'!$L17="N/A",0,IF('Operating Assumptions'!$L17="$/Unit/Annual",(('Operating Assumptions'!$M17*BJ$25)*BJ$36)/12,IF('Operating Assumptions'!$L17="$/Unit/Month",('Operating Assumptions'!$M17*BJ$25)*BJ$36,IF('Operating Assumptions'!$L17="Fixed Amount",('Operating Assumptions'!$M17*BJ$25)/12,IF('Operating Assumptions'!$L17="$/GSF",(('Operating Assumptions'!$M17*BJ$25)*'Operating Assumptions'!$D$11)/12,IF('Operating Assumptions'!$L17="$/NSF",(('Operating Assumptions'!$M17*BJ$25)*'Operating Assumptions'!$D$12)/12))))))))</f>
        <v>0</v>
      </c>
      <c r="BK89" s="427">
        <f>-IF(BK$9&lt;'Operating Assumptions'!$D$53,0,IF(BK$6&gt;'Operating Assumptions'!$AA$8,0,IF('Operating Assumptions'!$L17="N/A",0,IF('Operating Assumptions'!$L17="$/Unit/Annual",(('Operating Assumptions'!$M17*BK$25)*BK$36)/12,IF('Operating Assumptions'!$L17="$/Unit/Month",('Operating Assumptions'!$M17*BK$25)*BK$36,IF('Operating Assumptions'!$L17="Fixed Amount",('Operating Assumptions'!$M17*BK$25)/12,IF('Operating Assumptions'!$L17="$/GSF",(('Operating Assumptions'!$M17*BK$25)*'Operating Assumptions'!$D$11)/12,IF('Operating Assumptions'!$L17="$/NSF",(('Operating Assumptions'!$M17*BK$25)*'Operating Assumptions'!$D$12)/12))))))))</f>
        <v>0</v>
      </c>
      <c r="BL89" s="427">
        <f>-IF(BL$9&lt;'Operating Assumptions'!$D$53,0,IF(BL$6&gt;'Operating Assumptions'!$AA$8,0,IF('Operating Assumptions'!$L17="N/A",0,IF('Operating Assumptions'!$L17="$/Unit/Annual",(('Operating Assumptions'!$M17*BL$25)*BL$36)/12,IF('Operating Assumptions'!$L17="$/Unit/Month",('Operating Assumptions'!$M17*BL$25)*BL$36,IF('Operating Assumptions'!$L17="Fixed Amount",('Operating Assumptions'!$M17*BL$25)/12,IF('Operating Assumptions'!$L17="$/GSF",(('Operating Assumptions'!$M17*BL$25)*'Operating Assumptions'!$D$11)/12,IF('Operating Assumptions'!$L17="$/NSF",(('Operating Assumptions'!$M17*BL$25)*'Operating Assumptions'!$D$12)/12))))))))</f>
        <v>0</v>
      </c>
      <c r="BM89" s="427">
        <f>-IF(BM$9&lt;'Operating Assumptions'!$D$53,0,IF(BM$6&gt;'Operating Assumptions'!$AA$8,0,IF('Operating Assumptions'!$L17="N/A",0,IF('Operating Assumptions'!$L17="$/Unit/Annual",(('Operating Assumptions'!$M17*BM$25)*BM$36)/12,IF('Operating Assumptions'!$L17="$/Unit/Month",('Operating Assumptions'!$M17*BM$25)*BM$36,IF('Operating Assumptions'!$L17="Fixed Amount",('Operating Assumptions'!$M17*BM$25)/12,IF('Operating Assumptions'!$L17="$/GSF",(('Operating Assumptions'!$M17*BM$25)*'Operating Assumptions'!$D$11)/12,IF('Operating Assumptions'!$L17="$/NSF",(('Operating Assumptions'!$M17*BM$25)*'Operating Assumptions'!$D$12)/12))))))))</f>
        <v>0</v>
      </c>
      <c r="BN89" s="427">
        <f>-IF(BN$9&lt;'Operating Assumptions'!$D$53,0,IF(BN$6&gt;'Operating Assumptions'!$AA$8,0,IF('Operating Assumptions'!$L17="N/A",0,IF('Operating Assumptions'!$L17="$/Unit/Annual",(('Operating Assumptions'!$M17*BN$25)*BN$36)/12,IF('Operating Assumptions'!$L17="$/Unit/Month",('Operating Assumptions'!$M17*BN$25)*BN$36,IF('Operating Assumptions'!$L17="Fixed Amount",('Operating Assumptions'!$M17*BN$25)/12,IF('Operating Assumptions'!$L17="$/GSF",(('Operating Assumptions'!$M17*BN$25)*'Operating Assumptions'!$D$11)/12,IF('Operating Assumptions'!$L17="$/NSF",(('Operating Assumptions'!$M17*BN$25)*'Operating Assumptions'!$D$12)/12))))))))</f>
        <v>0</v>
      </c>
      <c r="BO89" s="427">
        <f>-IF(BO$9&lt;'Operating Assumptions'!$D$53,0,IF(BO$6&gt;'Operating Assumptions'!$AA$8,0,IF('Operating Assumptions'!$L17="N/A",0,IF('Operating Assumptions'!$L17="$/Unit/Annual",(('Operating Assumptions'!$M17*BO$25)*BO$36)/12,IF('Operating Assumptions'!$L17="$/Unit/Month",('Operating Assumptions'!$M17*BO$25)*BO$36,IF('Operating Assumptions'!$L17="Fixed Amount",('Operating Assumptions'!$M17*BO$25)/12,IF('Operating Assumptions'!$L17="$/GSF",(('Operating Assumptions'!$M17*BO$25)*'Operating Assumptions'!$D$11)/12,IF('Operating Assumptions'!$L17="$/NSF",(('Operating Assumptions'!$M17*BO$25)*'Operating Assumptions'!$D$12)/12))))))))</f>
        <v>0</v>
      </c>
      <c r="BP89" s="427">
        <f>-IF(BP$9&lt;'Operating Assumptions'!$D$53,0,IF(BP$6&gt;'Operating Assumptions'!$AA$8,0,IF('Operating Assumptions'!$L17="N/A",0,IF('Operating Assumptions'!$L17="$/Unit/Annual",(('Operating Assumptions'!$M17*BP$25)*BP$36)/12,IF('Operating Assumptions'!$L17="$/Unit/Month",('Operating Assumptions'!$M17*BP$25)*BP$36,IF('Operating Assumptions'!$L17="Fixed Amount",('Operating Assumptions'!$M17*BP$25)/12,IF('Operating Assumptions'!$L17="$/GSF",(('Operating Assumptions'!$M17*BP$25)*'Operating Assumptions'!$D$11)/12,IF('Operating Assumptions'!$L17="$/NSF",(('Operating Assumptions'!$M17*BP$25)*'Operating Assumptions'!$D$12)/12))))))))</f>
        <v>0</v>
      </c>
      <c r="BQ89" s="427">
        <f>-IF(BQ$9&lt;'Operating Assumptions'!$D$53,0,IF(BQ$6&gt;'Operating Assumptions'!$AA$8,0,IF('Operating Assumptions'!$L17="N/A",0,IF('Operating Assumptions'!$L17="$/Unit/Annual",(('Operating Assumptions'!$M17*BQ$25)*BQ$36)/12,IF('Operating Assumptions'!$L17="$/Unit/Month",('Operating Assumptions'!$M17*BQ$25)*BQ$36,IF('Operating Assumptions'!$L17="Fixed Amount",('Operating Assumptions'!$M17*BQ$25)/12,IF('Operating Assumptions'!$L17="$/GSF",(('Operating Assumptions'!$M17*BQ$25)*'Operating Assumptions'!$D$11)/12,IF('Operating Assumptions'!$L17="$/NSF",(('Operating Assumptions'!$M17*BQ$25)*'Operating Assumptions'!$D$12)/12))))))))</f>
        <v>0</v>
      </c>
      <c r="BR89" s="427">
        <f>-IF(BR$9&lt;'Operating Assumptions'!$D$53,0,IF(BR$6&gt;'Operating Assumptions'!$AA$8,0,IF('Operating Assumptions'!$L17="N/A",0,IF('Operating Assumptions'!$L17="$/Unit/Annual",(('Operating Assumptions'!$M17*BR$25)*BR$36)/12,IF('Operating Assumptions'!$L17="$/Unit/Month",('Operating Assumptions'!$M17*BR$25)*BR$36,IF('Operating Assumptions'!$L17="Fixed Amount",('Operating Assumptions'!$M17*BR$25)/12,IF('Operating Assumptions'!$L17="$/GSF",(('Operating Assumptions'!$M17*BR$25)*'Operating Assumptions'!$D$11)/12,IF('Operating Assumptions'!$L17="$/NSF",(('Operating Assumptions'!$M17*BR$25)*'Operating Assumptions'!$D$12)/12))))))))</f>
        <v>0</v>
      </c>
      <c r="BS89" s="427">
        <f>-IF(BS$9&lt;'Operating Assumptions'!$D$53,0,IF(BS$6&gt;'Operating Assumptions'!$AA$8,0,IF('Operating Assumptions'!$L17="N/A",0,IF('Operating Assumptions'!$L17="$/Unit/Annual",(('Operating Assumptions'!$M17*BS$25)*BS$36)/12,IF('Operating Assumptions'!$L17="$/Unit/Month",('Operating Assumptions'!$M17*BS$25)*BS$36,IF('Operating Assumptions'!$L17="Fixed Amount",('Operating Assumptions'!$M17*BS$25)/12,IF('Operating Assumptions'!$L17="$/GSF",(('Operating Assumptions'!$M17*BS$25)*'Operating Assumptions'!$D$11)/12,IF('Operating Assumptions'!$L17="$/NSF",(('Operating Assumptions'!$M17*BS$25)*'Operating Assumptions'!$D$12)/12))))))))</f>
        <v>0</v>
      </c>
      <c r="BT89" s="427">
        <f>-IF(BT$9&lt;'Operating Assumptions'!$D$53,0,IF(BT$6&gt;'Operating Assumptions'!$AA$8,0,IF('Operating Assumptions'!$L17="N/A",0,IF('Operating Assumptions'!$L17="$/Unit/Annual",(('Operating Assumptions'!$M17*BT$25)*BT$36)/12,IF('Operating Assumptions'!$L17="$/Unit/Month",('Operating Assumptions'!$M17*BT$25)*BT$36,IF('Operating Assumptions'!$L17="Fixed Amount",('Operating Assumptions'!$M17*BT$25)/12,IF('Operating Assumptions'!$L17="$/GSF",(('Operating Assumptions'!$M17*BT$25)*'Operating Assumptions'!$D$11)/12,IF('Operating Assumptions'!$L17="$/NSF",(('Operating Assumptions'!$M17*BT$25)*'Operating Assumptions'!$D$12)/12))))))))</f>
        <v>0</v>
      </c>
      <c r="BU89" s="427">
        <f>-IF(BU$9&lt;'Operating Assumptions'!$D$53,0,IF(BU$6&gt;'Operating Assumptions'!$AA$8,0,IF('Operating Assumptions'!$L17="N/A",0,IF('Operating Assumptions'!$L17="$/Unit/Annual",(('Operating Assumptions'!$M17*BU$25)*BU$36)/12,IF('Operating Assumptions'!$L17="$/Unit/Month",('Operating Assumptions'!$M17*BU$25)*BU$36,IF('Operating Assumptions'!$L17="Fixed Amount",('Operating Assumptions'!$M17*BU$25)/12,IF('Operating Assumptions'!$L17="$/GSF",(('Operating Assumptions'!$M17*BU$25)*'Operating Assumptions'!$D$11)/12,IF('Operating Assumptions'!$L17="$/NSF",(('Operating Assumptions'!$M17*BU$25)*'Operating Assumptions'!$D$12)/12))))))))</f>
        <v>0</v>
      </c>
      <c r="BV89" s="427">
        <f>-IF(BV$9&lt;'Operating Assumptions'!$D$53,0,IF(BV$6&gt;'Operating Assumptions'!$AA$8,0,IF('Operating Assumptions'!$L17="N/A",0,IF('Operating Assumptions'!$L17="$/Unit/Annual",(('Operating Assumptions'!$M17*BV$25)*BV$36)/12,IF('Operating Assumptions'!$L17="$/Unit/Month",('Operating Assumptions'!$M17*BV$25)*BV$36,IF('Operating Assumptions'!$L17="Fixed Amount",('Operating Assumptions'!$M17*BV$25)/12,IF('Operating Assumptions'!$L17="$/GSF",(('Operating Assumptions'!$M17*BV$25)*'Operating Assumptions'!$D$11)/12,IF('Operating Assumptions'!$L17="$/NSF",(('Operating Assumptions'!$M17*BV$25)*'Operating Assumptions'!$D$12)/12))))))))</f>
        <v>0</v>
      </c>
      <c r="BW89" s="427">
        <f>-IF(BW$9&lt;'Operating Assumptions'!$D$53,0,IF(BW$6&gt;'Operating Assumptions'!$AA$8,0,IF('Operating Assumptions'!$L17="N/A",0,IF('Operating Assumptions'!$L17="$/Unit/Annual",(('Operating Assumptions'!$M17*BW$25)*BW$36)/12,IF('Operating Assumptions'!$L17="$/Unit/Month",('Operating Assumptions'!$M17*BW$25)*BW$36,IF('Operating Assumptions'!$L17="Fixed Amount",('Operating Assumptions'!$M17*BW$25)/12,IF('Operating Assumptions'!$L17="$/GSF",(('Operating Assumptions'!$M17*BW$25)*'Operating Assumptions'!$D$11)/12,IF('Operating Assumptions'!$L17="$/NSF",(('Operating Assumptions'!$M17*BW$25)*'Operating Assumptions'!$D$12)/12))))))))</f>
        <v>0</v>
      </c>
      <c r="BX89" s="427">
        <f>-IF(BX$9&lt;'Operating Assumptions'!$D$53,0,IF(BX$6&gt;'Operating Assumptions'!$AA$8,0,IF('Operating Assumptions'!$L17="N/A",0,IF('Operating Assumptions'!$L17="$/Unit/Annual",(('Operating Assumptions'!$M17*BX$25)*BX$36)/12,IF('Operating Assumptions'!$L17="$/Unit/Month",('Operating Assumptions'!$M17*BX$25)*BX$36,IF('Operating Assumptions'!$L17="Fixed Amount",('Operating Assumptions'!$M17*BX$25)/12,IF('Operating Assumptions'!$L17="$/GSF",(('Operating Assumptions'!$M17*BX$25)*'Operating Assumptions'!$D$11)/12,IF('Operating Assumptions'!$L17="$/NSF",(('Operating Assumptions'!$M17*BX$25)*'Operating Assumptions'!$D$12)/12))))))))</f>
        <v>0</v>
      </c>
      <c r="BY89" s="427">
        <f>-IF(BY$9&lt;'Operating Assumptions'!$D$53,0,IF(BY$6&gt;'Operating Assumptions'!$AA$8,0,IF('Operating Assumptions'!$L17="N/A",0,IF('Operating Assumptions'!$L17="$/Unit/Annual",(('Operating Assumptions'!$M17*BY$25)*BY$36)/12,IF('Operating Assumptions'!$L17="$/Unit/Month",('Operating Assumptions'!$M17*BY$25)*BY$36,IF('Operating Assumptions'!$L17="Fixed Amount",('Operating Assumptions'!$M17*BY$25)/12,IF('Operating Assumptions'!$L17="$/GSF",(('Operating Assumptions'!$M17*BY$25)*'Operating Assumptions'!$D$11)/12,IF('Operating Assumptions'!$L17="$/NSF",(('Operating Assumptions'!$M17*BY$25)*'Operating Assumptions'!$D$12)/12))))))))</f>
        <v>0</v>
      </c>
      <c r="BZ89" s="427">
        <f>-IF(BZ$9&lt;'Operating Assumptions'!$D$53,0,IF(BZ$6&gt;'Operating Assumptions'!$AA$8,0,IF('Operating Assumptions'!$L17="N/A",0,IF('Operating Assumptions'!$L17="$/Unit/Annual",(('Operating Assumptions'!$M17*BZ$25)*BZ$36)/12,IF('Operating Assumptions'!$L17="$/Unit/Month",('Operating Assumptions'!$M17*BZ$25)*BZ$36,IF('Operating Assumptions'!$L17="Fixed Amount",('Operating Assumptions'!$M17*BZ$25)/12,IF('Operating Assumptions'!$L17="$/GSF",(('Operating Assumptions'!$M17*BZ$25)*'Operating Assumptions'!$D$11)/12,IF('Operating Assumptions'!$L17="$/NSF",(('Operating Assumptions'!$M17*BZ$25)*'Operating Assumptions'!$D$12)/12))))))))</f>
        <v>0</v>
      </c>
      <c r="CA89" s="427">
        <f>-IF(CA$9&lt;'Operating Assumptions'!$D$53,0,IF(CA$6&gt;'Operating Assumptions'!$AA$8,0,IF('Operating Assumptions'!$L17="N/A",0,IF('Operating Assumptions'!$L17="$/Unit/Annual",(('Operating Assumptions'!$M17*CA$25)*CA$36)/12,IF('Operating Assumptions'!$L17="$/Unit/Month",('Operating Assumptions'!$M17*CA$25)*CA$36,IF('Operating Assumptions'!$L17="Fixed Amount",('Operating Assumptions'!$M17*CA$25)/12,IF('Operating Assumptions'!$L17="$/GSF",(('Operating Assumptions'!$M17*CA$25)*'Operating Assumptions'!$D$11)/12,IF('Operating Assumptions'!$L17="$/NSF",(('Operating Assumptions'!$M17*CA$25)*'Operating Assumptions'!$D$12)/12))))))))</f>
        <v>0</v>
      </c>
      <c r="CB89" s="427">
        <f>-IF(CB$9&lt;'Operating Assumptions'!$D$53,0,IF(CB$6&gt;'Operating Assumptions'!$AA$8,0,IF('Operating Assumptions'!$L17="N/A",0,IF('Operating Assumptions'!$L17="$/Unit/Annual",(('Operating Assumptions'!$M17*CB$25)*CB$36)/12,IF('Operating Assumptions'!$L17="$/Unit/Month",('Operating Assumptions'!$M17*CB$25)*CB$36,IF('Operating Assumptions'!$L17="Fixed Amount",('Operating Assumptions'!$M17*CB$25)/12,IF('Operating Assumptions'!$L17="$/GSF",(('Operating Assumptions'!$M17*CB$25)*'Operating Assumptions'!$D$11)/12,IF('Operating Assumptions'!$L17="$/NSF",(('Operating Assumptions'!$M17*CB$25)*'Operating Assumptions'!$D$12)/12))))))))</f>
        <v>0</v>
      </c>
      <c r="CC89" s="427">
        <f>-IF(CC$9&lt;'Operating Assumptions'!$D$53,0,IF(CC$6&gt;'Operating Assumptions'!$AA$8,0,IF('Operating Assumptions'!$L17="N/A",0,IF('Operating Assumptions'!$L17="$/Unit/Annual",(('Operating Assumptions'!$M17*CC$25)*CC$36)/12,IF('Operating Assumptions'!$L17="$/Unit/Month",('Operating Assumptions'!$M17*CC$25)*CC$36,IF('Operating Assumptions'!$L17="Fixed Amount",('Operating Assumptions'!$M17*CC$25)/12,IF('Operating Assumptions'!$L17="$/GSF",(('Operating Assumptions'!$M17*CC$25)*'Operating Assumptions'!$D$11)/12,IF('Operating Assumptions'!$L17="$/NSF",(('Operating Assumptions'!$M17*CC$25)*'Operating Assumptions'!$D$12)/12))))))))</f>
        <v>0</v>
      </c>
      <c r="CD89" s="427">
        <f>-IF(CD$9&lt;'Operating Assumptions'!$D$53,0,IF(CD$6&gt;'Operating Assumptions'!$AA$8,0,IF('Operating Assumptions'!$L17="N/A",0,IF('Operating Assumptions'!$L17="$/Unit/Annual",(('Operating Assumptions'!$M17*CD$25)*CD$36)/12,IF('Operating Assumptions'!$L17="$/Unit/Month",('Operating Assumptions'!$M17*CD$25)*CD$36,IF('Operating Assumptions'!$L17="Fixed Amount",('Operating Assumptions'!$M17*CD$25)/12,IF('Operating Assumptions'!$L17="$/GSF",(('Operating Assumptions'!$M17*CD$25)*'Operating Assumptions'!$D$11)/12,IF('Operating Assumptions'!$L17="$/NSF",(('Operating Assumptions'!$M17*CD$25)*'Operating Assumptions'!$D$12)/12))))))))</f>
        <v>0</v>
      </c>
      <c r="CE89" s="427">
        <f>-IF(CE$9&lt;'Operating Assumptions'!$D$53,0,IF(CE$6&gt;'Operating Assumptions'!$AA$8,0,IF('Operating Assumptions'!$L17="N/A",0,IF('Operating Assumptions'!$L17="$/Unit/Annual",(('Operating Assumptions'!$M17*CE$25)*CE$36)/12,IF('Operating Assumptions'!$L17="$/Unit/Month",('Operating Assumptions'!$M17*CE$25)*CE$36,IF('Operating Assumptions'!$L17="Fixed Amount",('Operating Assumptions'!$M17*CE$25)/12,IF('Operating Assumptions'!$L17="$/GSF",(('Operating Assumptions'!$M17*CE$25)*'Operating Assumptions'!$D$11)/12,IF('Operating Assumptions'!$L17="$/NSF",(('Operating Assumptions'!$M17*CE$25)*'Operating Assumptions'!$D$12)/12))))))))</f>
        <v>0</v>
      </c>
      <c r="CF89" s="427">
        <f>-IF(CF$9&lt;'Operating Assumptions'!$D$53,0,IF(CF$6&gt;'Operating Assumptions'!$AA$8,0,IF('Operating Assumptions'!$L17="N/A",0,IF('Operating Assumptions'!$L17="$/Unit/Annual",(('Operating Assumptions'!$M17*CF$25)*CF$36)/12,IF('Operating Assumptions'!$L17="$/Unit/Month",('Operating Assumptions'!$M17*CF$25)*CF$36,IF('Operating Assumptions'!$L17="Fixed Amount",('Operating Assumptions'!$M17*CF$25)/12,IF('Operating Assumptions'!$L17="$/GSF",(('Operating Assumptions'!$M17*CF$25)*'Operating Assumptions'!$D$11)/12,IF('Operating Assumptions'!$L17="$/NSF",(('Operating Assumptions'!$M17*CF$25)*'Operating Assumptions'!$D$12)/12))))))))</f>
        <v>0</v>
      </c>
      <c r="CG89" s="427">
        <f>-IF(CG$9&lt;'Operating Assumptions'!$D$53,0,IF(CG$6&gt;'Operating Assumptions'!$AA$8,0,IF('Operating Assumptions'!$L17="N/A",0,IF('Operating Assumptions'!$L17="$/Unit/Annual",(('Operating Assumptions'!$M17*CG$25)*CG$36)/12,IF('Operating Assumptions'!$L17="$/Unit/Month",('Operating Assumptions'!$M17*CG$25)*CG$36,IF('Operating Assumptions'!$L17="Fixed Amount",('Operating Assumptions'!$M17*CG$25)/12,IF('Operating Assumptions'!$L17="$/GSF",(('Operating Assumptions'!$M17*CG$25)*'Operating Assumptions'!$D$11)/12,IF('Operating Assumptions'!$L17="$/NSF",(('Operating Assumptions'!$M17*CG$25)*'Operating Assumptions'!$D$12)/12))))))))</f>
        <v>0</v>
      </c>
      <c r="CH89" s="427">
        <f>-IF(CH$9&lt;'Operating Assumptions'!$D$53,0,IF(CH$6&gt;'Operating Assumptions'!$AA$8,0,IF('Operating Assumptions'!$L17="N/A",0,IF('Operating Assumptions'!$L17="$/Unit/Annual",(('Operating Assumptions'!$M17*CH$25)*CH$36)/12,IF('Operating Assumptions'!$L17="$/Unit/Month",('Operating Assumptions'!$M17*CH$25)*CH$36,IF('Operating Assumptions'!$L17="Fixed Amount",('Operating Assumptions'!$M17*CH$25)/12,IF('Operating Assumptions'!$L17="$/GSF",(('Operating Assumptions'!$M17*CH$25)*'Operating Assumptions'!$D$11)/12,IF('Operating Assumptions'!$L17="$/NSF",(('Operating Assumptions'!$M17*CH$25)*'Operating Assumptions'!$D$12)/12))))))))</f>
        <v>0</v>
      </c>
      <c r="CI89" s="427">
        <f>-IF(CI$9&lt;'Operating Assumptions'!$D$53,0,IF(CI$6&gt;'Operating Assumptions'!$AA$8,0,IF('Operating Assumptions'!$L17="N/A",0,IF('Operating Assumptions'!$L17="$/Unit/Annual",(('Operating Assumptions'!$M17*CI$25)*CI$36)/12,IF('Operating Assumptions'!$L17="$/Unit/Month",('Operating Assumptions'!$M17*CI$25)*CI$36,IF('Operating Assumptions'!$L17="Fixed Amount",('Operating Assumptions'!$M17*CI$25)/12,IF('Operating Assumptions'!$L17="$/GSF",(('Operating Assumptions'!$M17*CI$25)*'Operating Assumptions'!$D$11)/12,IF('Operating Assumptions'!$L17="$/NSF",(('Operating Assumptions'!$M17*CI$25)*'Operating Assumptions'!$D$12)/12))))))))</f>
        <v>0</v>
      </c>
      <c r="CJ89" s="427">
        <f>-IF(CJ$9&lt;'Operating Assumptions'!$D$53,0,IF(CJ$6&gt;'Operating Assumptions'!$AA$8,0,IF('Operating Assumptions'!$L17="N/A",0,IF('Operating Assumptions'!$L17="$/Unit/Annual",(('Operating Assumptions'!$M17*CJ$25)*CJ$36)/12,IF('Operating Assumptions'!$L17="$/Unit/Month",('Operating Assumptions'!$M17*CJ$25)*CJ$36,IF('Operating Assumptions'!$L17="Fixed Amount",('Operating Assumptions'!$M17*CJ$25)/12,IF('Operating Assumptions'!$L17="$/GSF",(('Operating Assumptions'!$M17*CJ$25)*'Operating Assumptions'!$D$11)/12,IF('Operating Assumptions'!$L17="$/NSF",(('Operating Assumptions'!$M17*CJ$25)*'Operating Assumptions'!$D$12)/12))))))))</f>
        <v>0</v>
      </c>
      <c r="CK89" s="427">
        <f>-IF(CK$9&lt;'Operating Assumptions'!$D$53,0,IF(CK$6&gt;'Operating Assumptions'!$AA$8,0,IF('Operating Assumptions'!$L17="N/A",0,IF('Operating Assumptions'!$L17="$/Unit/Annual",(('Operating Assumptions'!$M17*CK$25)*CK$36)/12,IF('Operating Assumptions'!$L17="$/Unit/Month",('Operating Assumptions'!$M17*CK$25)*CK$36,IF('Operating Assumptions'!$L17="Fixed Amount",('Operating Assumptions'!$M17*CK$25)/12,IF('Operating Assumptions'!$L17="$/GSF",(('Operating Assumptions'!$M17*CK$25)*'Operating Assumptions'!$D$11)/12,IF('Operating Assumptions'!$L17="$/NSF",(('Operating Assumptions'!$M17*CK$25)*'Operating Assumptions'!$D$12)/12))))))))</f>
        <v>0</v>
      </c>
      <c r="CL89" s="427">
        <f>-IF(CL$9&lt;'Operating Assumptions'!$D$53,0,IF(CL$6&gt;'Operating Assumptions'!$AA$8,0,IF('Operating Assumptions'!$L17="N/A",0,IF('Operating Assumptions'!$L17="$/Unit/Annual",(('Operating Assumptions'!$M17*CL$25)*CL$36)/12,IF('Operating Assumptions'!$L17="$/Unit/Month",('Operating Assumptions'!$M17*CL$25)*CL$36,IF('Operating Assumptions'!$L17="Fixed Amount",('Operating Assumptions'!$M17*CL$25)/12,IF('Operating Assumptions'!$L17="$/GSF",(('Operating Assumptions'!$M17*CL$25)*'Operating Assumptions'!$D$11)/12,IF('Operating Assumptions'!$L17="$/NSF",(('Operating Assumptions'!$M17*CL$25)*'Operating Assumptions'!$D$12)/12))))))))</f>
        <v>0</v>
      </c>
      <c r="CM89" s="427">
        <f>-IF(CM$9&lt;'Operating Assumptions'!$D$53,0,IF(CM$6&gt;'Operating Assumptions'!$AA$8,0,IF('Operating Assumptions'!$L17="N/A",0,IF('Operating Assumptions'!$L17="$/Unit/Annual",(('Operating Assumptions'!$M17*CM$25)*CM$36)/12,IF('Operating Assumptions'!$L17="$/Unit/Month",('Operating Assumptions'!$M17*CM$25)*CM$36,IF('Operating Assumptions'!$L17="Fixed Amount",('Operating Assumptions'!$M17*CM$25)/12,IF('Operating Assumptions'!$L17="$/GSF",(('Operating Assumptions'!$M17*CM$25)*'Operating Assumptions'!$D$11)/12,IF('Operating Assumptions'!$L17="$/NSF",(('Operating Assumptions'!$M17*CM$25)*'Operating Assumptions'!$D$12)/12))))))))</f>
        <v>0</v>
      </c>
      <c r="CN89" s="427">
        <f>-IF(CN$9&lt;'Operating Assumptions'!$D$53,0,IF(CN$6&gt;'Operating Assumptions'!$AA$8,0,IF('Operating Assumptions'!$L17="N/A",0,IF('Operating Assumptions'!$L17="$/Unit/Annual",(('Operating Assumptions'!$M17*CN$25)*CN$36)/12,IF('Operating Assumptions'!$L17="$/Unit/Month",('Operating Assumptions'!$M17*CN$25)*CN$36,IF('Operating Assumptions'!$L17="Fixed Amount",('Operating Assumptions'!$M17*CN$25)/12,IF('Operating Assumptions'!$L17="$/GSF",(('Operating Assumptions'!$M17*CN$25)*'Operating Assumptions'!$D$11)/12,IF('Operating Assumptions'!$L17="$/NSF",(('Operating Assumptions'!$M17*CN$25)*'Operating Assumptions'!$D$12)/12))))))))</f>
        <v>0</v>
      </c>
      <c r="CO89" s="427">
        <f>-IF(CO$9&lt;'Operating Assumptions'!$D$53,0,IF(CO$6&gt;'Operating Assumptions'!$AA$8,0,IF('Operating Assumptions'!$L17="N/A",0,IF('Operating Assumptions'!$L17="$/Unit/Annual",(('Operating Assumptions'!$M17*CO$25)*CO$36)/12,IF('Operating Assumptions'!$L17="$/Unit/Month",('Operating Assumptions'!$M17*CO$25)*CO$36,IF('Operating Assumptions'!$L17="Fixed Amount",('Operating Assumptions'!$M17*CO$25)/12,IF('Operating Assumptions'!$L17="$/GSF",(('Operating Assumptions'!$M17*CO$25)*'Operating Assumptions'!$D$11)/12,IF('Operating Assumptions'!$L17="$/NSF",(('Operating Assumptions'!$M17*CO$25)*'Operating Assumptions'!$D$12)/12))))))))</f>
        <v>0</v>
      </c>
      <c r="CP89" s="427">
        <f>-IF(CP$9&lt;'Operating Assumptions'!$D$53,0,IF(CP$6&gt;'Operating Assumptions'!$AA$8,0,IF('Operating Assumptions'!$L17="N/A",0,IF('Operating Assumptions'!$L17="$/Unit/Annual",(('Operating Assumptions'!$M17*CP$25)*CP$36)/12,IF('Operating Assumptions'!$L17="$/Unit/Month",('Operating Assumptions'!$M17*CP$25)*CP$36,IF('Operating Assumptions'!$L17="Fixed Amount",('Operating Assumptions'!$M17*CP$25)/12,IF('Operating Assumptions'!$L17="$/GSF",(('Operating Assumptions'!$M17*CP$25)*'Operating Assumptions'!$D$11)/12,IF('Operating Assumptions'!$L17="$/NSF",(('Operating Assumptions'!$M17*CP$25)*'Operating Assumptions'!$D$12)/12))))))))</f>
        <v>0</v>
      </c>
      <c r="CQ89" s="427">
        <f>-IF(CQ$9&lt;'Operating Assumptions'!$D$53,0,IF(CQ$6&gt;'Operating Assumptions'!$AA$8,0,IF('Operating Assumptions'!$L17="N/A",0,IF('Operating Assumptions'!$L17="$/Unit/Annual",(('Operating Assumptions'!$M17*CQ$25)*CQ$36)/12,IF('Operating Assumptions'!$L17="$/Unit/Month",('Operating Assumptions'!$M17*CQ$25)*CQ$36,IF('Operating Assumptions'!$L17="Fixed Amount",('Operating Assumptions'!$M17*CQ$25)/12,IF('Operating Assumptions'!$L17="$/GSF",(('Operating Assumptions'!$M17*CQ$25)*'Operating Assumptions'!$D$11)/12,IF('Operating Assumptions'!$L17="$/NSF",(('Operating Assumptions'!$M17*CQ$25)*'Operating Assumptions'!$D$12)/12))))))))</f>
        <v>0</v>
      </c>
      <c r="CR89" s="427">
        <f>-IF(CR$9&lt;'Operating Assumptions'!$D$53,0,IF(CR$6&gt;'Operating Assumptions'!$AA$8,0,IF('Operating Assumptions'!$L17="N/A",0,IF('Operating Assumptions'!$L17="$/Unit/Annual",(('Operating Assumptions'!$M17*CR$25)*CR$36)/12,IF('Operating Assumptions'!$L17="$/Unit/Month",('Operating Assumptions'!$M17*CR$25)*CR$36,IF('Operating Assumptions'!$L17="Fixed Amount",('Operating Assumptions'!$M17*CR$25)/12,IF('Operating Assumptions'!$L17="$/GSF",(('Operating Assumptions'!$M17*CR$25)*'Operating Assumptions'!$D$11)/12,IF('Operating Assumptions'!$L17="$/NSF",(('Operating Assumptions'!$M17*CR$25)*'Operating Assumptions'!$D$12)/12))))))))</f>
        <v>0</v>
      </c>
      <c r="CS89" s="427">
        <f>-IF(CS$9&lt;'Operating Assumptions'!$D$53,0,IF(CS$6&gt;'Operating Assumptions'!$AA$8,0,IF('Operating Assumptions'!$L17="N/A",0,IF('Operating Assumptions'!$L17="$/Unit/Annual",(('Operating Assumptions'!$M17*CS$25)*CS$36)/12,IF('Operating Assumptions'!$L17="$/Unit/Month",('Operating Assumptions'!$M17*CS$25)*CS$36,IF('Operating Assumptions'!$L17="Fixed Amount",('Operating Assumptions'!$M17*CS$25)/12,IF('Operating Assumptions'!$L17="$/GSF",(('Operating Assumptions'!$M17*CS$25)*'Operating Assumptions'!$D$11)/12,IF('Operating Assumptions'!$L17="$/NSF",(('Operating Assumptions'!$M17*CS$25)*'Operating Assumptions'!$D$12)/12))))))))</f>
        <v>0</v>
      </c>
      <c r="CT89" s="427">
        <f>-IF(CT$9&lt;'Operating Assumptions'!$D$53,0,IF(CT$6&gt;'Operating Assumptions'!$AA$8,0,IF('Operating Assumptions'!$L17="N/A",0,IF('Operating Assumptions'!$L17="$/Unit/Annual",(('Operating Assumptions'!$M17*CT$25)*CT$36)/12,IF('Operating Assumptions'!$L17="$/Unit/Month",('Operating Assumptions'!$M17*CT$25)*CT$36,IF('Operating Assumptions'!$L17="Fixed Amount",('Operating Assumptions'!$M17*CT$25)/12,IF('Operating Assumptions'!$L17="$/GSF",(('Operating Assumptions'!$M17*CT$25)*'Operating Assumptions'!$D$11)/12,IF('Operating Assumptions'!$L17="$/NSF",(('Operating Assumptions'!$M17*CT$25)*'Operating Assumptions'!$D$12)/12))))))))</f>
        <v>0</v>
      </c>
      <c r="CU89" s="427">
        <f>-IF(CU$9&lt;'Operating Assumptions'!$D$53,0,IF(CU$6&gt;'Operating Assumptions'!$AA$8,0,IF('Operating Assumptions'!$L17="N/A",0,IF('Operating Assumptions'!$L17="$/Unit/Annual",(('Operating Assumptions'!$M17*CU$25)*CU$36)/12,IF('Operating Assumptions'!$L17="$/Unit/Month",('Operating Assumptions'!$M17*CU$25)*CU$36,IF('Operating Assumptions'!$L17="Fixed Amount",('Operating Assumptions'!$M17*CU$25)/12,IF('Operating Assumptions'!$L17="$/GSF",(('Operating Assumptions'!$M17*CU$25)*'Operating Assumptions'!$D$11)/12,IF('Operating Assumptions'!$L17="$/NSF",(('Operating Assumptions'!$M17*CU$25)*'Operating Assumptions'!$D$12)/12))))))))</f>
        <v>0</v>
      </c>
      <c r="CV89" s="427">
        <f>-IF(CV$9&lt;'Operating Assumptions'!$D$53,0,IF(CV$6&gt;'Operating Assumptions'!$AA$8,0,IF('Operating Assumptions'!$L17="N/A",0,IF('Operating Assumptions'!$L17="$/Unit/Annual",(('Operating Assumptions'!$M17*CV$25)*CV$36)/12,IF('Operating Assumptions'!$L17="$/Unit/Month",('Operating Assumptions'!$M17*CV$25)*CV$36,IF('Operating Assumptions'!$L17="Fixed Amount",('Operating Assumptions'!$M17*CV$25)/12,IF('Operating Assumptions'!$L17="$/GSF",(('Operating Assumptions'!$M17*CV$25)*'Operating Assumptions'!$D$11)/12,IF('Operating Assumptions'!$L17="$/NSF",(('Operating Assumptions'!$M17*CV$25)*'Operating Assumptions'!$D$12)/12))))))))</f>
        <v>0</v>
      </c>
      <c r="CW89" s="427">
        <f>-IF(CW$9&lt;'Operating Assumptions'!$D$53,0,IF(CW$6&gt;'Operating Assumptions'!$AA$8,0,IF('Operating Assumptions'!$L17="N/A",0,IF('Operating Assumptions'!$L17="$/Unit/Annual",(('Operating Assumptions'!$M17*CW$25)*CW$36)/12,IF('Operating Assumptions'!$L17="$/Unit/Month",('Operating Assumptions'!$M17*CW$25)*CW$36,IF('Operating Assumptions'!$L17="Fixed Amount",('Operating Assumptions'!$M17*CW$25)/12,IF('Operating Assumptions'!$L17="$/GSF",(('Operating Assumptions'!$M17*CW$25)*'Operating Assumptions'!$D$11)/12,IF('Operating Assumptions'!$L17="$/NSF",(('Operating Assumptions'!$M17*CW$25)*'Operating Assumptions'!$D$12)/12))))))))</f>
        <v>0</v>
      </c>
      <c r="CX89" s="427">
        <f>-IF(CX$9&lt;'Operating Assumptions'!$D$53,0,IF(CX$6&gt;'Operating Assumptions'!$AA$8,0,IF('Operating Assumptions'!$L17="N/A",0,IF('Operating Assumptions'!$L17="$/Unit/Annual",(('Operating Assumptions'!$M17*CX$25)*CX$36)/12,IF('Operating Assumptions'!$L17="$/Unit/Month",('Operating Assumptions'!$M17*CX$25)*CX$36,IF('Operating Assumptions'!$L17="Fixed Amount",('Operating Assumptions'!$M17*CX$25)/12,IF('Operating Assumptions'!$L17="$/GSF",(('Operating Assumptions'!$M17*CX$25)*'Operating Assumptions'!$D$11)/12,IF('Operating Assumptions'!$L17="$/NSF",(('Operating Assumptions'!$M17*CX$25)*'Operating Assumptions'!$D$12)/12))))))))</f>
        <v>0</v>
      </c>
      <c r="CY89" s="427">
        <f>-IF(CY$9&lt;'Operating Assumptions'!$D$53,0,IF(CY$6&gt;'Operating Assumptions'!$AA$8,0,IF('Operating Assumptions'!$L17="N/A",0,IF('Operating Assumptions'!$L17="$/Unit/Annual",(('Operating Assumptions'!$M17*CY$25)*CY$36)/12,IF('Operating Assumptions'!$L17="$/Unit/Month",('Operating Assumptions'!$M17*CY$25)*CY$36,IF('Operating Assumptions'!$L17="Fixed Amount",('Operating Assumptions'!$M17*CY$25)/12,IF('Operating Assumptions'!$L17="$/GSF",(('Operating Assumptions'!$M17*CY$25)*'Operating Assumptions'!$D$11)/12,IF('Operating Assumptions'!$L17="$/NSF",(('Operating Assumptions'!$M17*CY$25)*'Operating Assumptions'!$D$12)/12))))))))</f>
        <v>0</v>
      </c>
      <c r="CZ89" s="427">
        <f>-IF(CZ$9&lt;'Operating Assumptions'!$D$53,0,IF(CZ$6&gt;'Operating Assumptions'!$AA$8,0,IF('Operating Assumptions'!$L17="N/A",0,IF('Operating Assumptions'!$L17="$/Unit/Annual",(('Operating Assumptions'!$M17*CZ$25)*CZ$36)/12,IF('Operating Assumptions'!$L17="$/Unit/Month",('Operating Assumptions'!$M17*CZ$25)*CZ$36,IF('Operating Assumptions'!$L17="Fixed Amount",('Operating Assumptions'!$M17*CZ$25)/12,IF('Operating Assumptions'!$L17="$/GSF",(('Operating Assumptions'!$M17*CZ$25)*'Operating Assumptions'!$D$11)/12,IF('Operating Assumptions'!$L17="$/NSF",(('Operating Assumptions'!$M17*CZ$25)*'Operating Assumptions'!$D$12)/12))))))))</f>
        <v>0</v>
      </c>
      <c r="DA89" s="427">
        <f>-IF(DA$9&lt;'Operating Assumptions'!$D$53,0,IF(DA$6&gt;'Operating Assumptions'!$AA$8,0,IF('Operating Assumptions'!$L17="N/A",0,IF('Operating Assumptions'!$L17="$/Unit/Annual",(('Operating Assumptions'!$M17*DA$25)*DA$36)/12,IF('Operating Assumptions'!$L17="$/Unit/Month",('Operating Assumptions'!$M17*DA$25)*DA$36,IF('Operating Assumptions'!$L17="Fixed Amount",('Operating Assumptions'!$M17*DA$25)/12,IF('Operating Assumptions'!$L17="$/GSF",(('Operating Assumptions'!$M17*DA$25)*'Operating Assumptions'!$D$11)/12,IF('Operating Assumptions'!$L17="$/NSF",(('Operating Assumptions'!$M17*DA$25)*'Operating Assumptions'!$D$12)/12))))))))</f>
        <v>0</v>
      </c>
      <c r="DB89" s="427">
        <f>-IF(DB$9&lt;'Operating Assumptions'!$D$53,0,IF(DB$6&gt;'Operating Assumptions'!$AA$8,0,IF('Operating Assumptions'!$L17="N/A",0,IF('Operating Assumptions'!$L17="$/Unit/Annual",(('Operating Assumptions'!$M17*DB$25)*DB$36)/12,IF('Operating Assumptions'!$L17="$/Unit/Month",('Operating Assumptions'!$M17*DB$25)*DB$36,IF('Operating Assumptions'!$L17="Fixed Amount",('Operating Assumptions'!$M17*DB$25)/12,IF('Operating Assumptions'!$L17="$/GSF",(('Operating Assumptions'!$M17*DB$25)*'Operating Assumptions'!$D$11)/12,IF('Operating Assumptions'!$L17="$/NSF",(('Operating Assumptions'!$M17*DB$25)*'Operating Assumptions'!$D$12)/12))))))))</f>
        <v>0</v>
      </c>
      <c r="DC89" s="427">
        <f>-IF(DC$9&lt;'Operating Assumptions'!$D$53,0,IF(DC$6&gt;'Operating Assumptions'!$AA$8,0,IF('Operating Assumptions'!$L17="N/A",0,IF('Operating Assumptions'!$L17="$/Unit/Annual",(('Operating Assumptions'!$M17*DC$25)*DC$36)/12,IF('Operating Assumptions'!$L17="$/Unit/Month",('Operating Assumptions'!$M17*DC$25)*DC$36,IF('Operating Assumptions'!$L17="Fixed Amount",('Operating Assumptions'!$M17*DC$25)/12,IF('Operating Assumptions'!$L17="$/GSF",(('Operating Assumptions'!$M17*DC$25)*'Operating Assumptions'!$D$11)/12,IF('Operating Assumptions'!$L17="$/NSF",(('Operating Assumptions'!$M17*DC$25)*'Operating Assumptions'!$D$12)/12))))))))</f>
        <v>0</v>
      </c>
      <c r="DD89" s="427">
        <f>-IF(DD$9&lt;'Operating Assumptions'!$D$53,0,IF(DD$6&gt;'Operating Assumptions'!$AA$8,0,IF('Operating Assumptions'!$L17="N/A",0,IF('Operating Assumptions'!$L17="$/Unit/Annual",(('Operating Assumptions'!$M17*DD$25)*DD$36)/12,IF('Operating Assumptions'!$L17="$/Unit/Month",('Operating Assumptions'!$M17*DD$25)*DD$36,IF('Operating Assumptions'!$L17="Fixed Amount",('Operating Assumptions'!$M17*DD$25)/12,IF('Operating Assumptions'!$L17="$/GSF",(('Operating Assumptions'!$M17*DD$25)*'Operating Assumptions'!$D$11)/12,IF('Operating Assumptions'!$L17="$/NSF",(('Operating Assumptions'!$M17*DD$25)*'Operating Assumptions'!$D$12)/12))))))))</f>
        <v>0</v>
      </c>
      <c r="DE89" s="427">
        <f>-IF(DE$9&lt;'Operating Assumptions'!$D$53,0,IF(DE$6&gt;'Operating Assumptions'!$AA$8,0,IF('Operating Assumptions'!$L17="N/A",0,IF('Operating Assumptions'!$L17="$/Unit/Annual",(('Operating Assumptions'!$M17*DE$25)*DE$36)/12,IF('Operating Assumptions'!$L17="$/Unit/Month",('Operating Assumptions'!$M17*DE$25)*DE$36,IF('Operating Assumptions'!$L17="Fixed Amount",('Operating Assumptions'!$M17*DE$25)/12,IF('Operating Assumptions'!$L17="$/GSF",(('Operating Assumptions'!$M17*DE$25)*'Operating Assumptions'!$D$11)/12,IF('Operating Assumptions'!$L17="$/NSF",(('Operating Assumptions'!$M17*DE$25)*'Operating Assumptions'!$D$12)/12))))))))</f>
        <v>0</v>
      </c>
      <c r="DF89" s="427">
        <f>-IF(DF$9&lt;'Operating Assumptions'!$D$53,0,IF(DF$6&gt;'Operating Assumptions'!$AA$8,0,IF('Operating Assumptions'!$L17="N/A",0,IF('Operating Assumptions'!$L17="$/Unit/Annual",(('Operating Assumptions'!$M17*DF$25)*DF$36)/12,IF('Operating Assumptions'!$L17="$/Unit/Month",('Operating Assumptions'!$M17*DF$25)*DF$36,IF('Operating Assumptions'!$L17="Fixed Amount",('Operating Assumptions'!$M17*DF$25)/12,IF('Operating Assumptions'!$L17="$/GSF",(('Operating Assumptions'!$M17*DF$25)*'Operating Assumptions'!$D$11)/12,IF('Operating Assumptions'!$L17="$/NSF",(('Operating Assumptions'!$M17*DF$25)*'Operating Assumptions'!$D$12)/12))))))))</f>
        <v>0</v>
      </c>
      <c r="DG89" s="427">
        <f>-IF(DG$9&lt;'Operating Assumptions'!$D$53,0,IF(DG$6&gt;'Operating Assumptions'!$AA$8,0,IF('Operating Assumptions'!$L17="N/A",0,IF('Operating Assumptions'!$L17="$/Unit/Annual",(('Operating Assumptions'!$M17*DG$25)*DG$36)/12,IF('Operating Assumptions'!$L17="$/Unit/Month",('Operating Assumptions'!$M17*DG$25)*DG$36,IF('Operating Assumptions'!$L17="Fixed Amount",('Operating Assumptions'!$M17*DG$25)/12,IF('Operating Assumptions'!$L17="$/GSF",(('Operating Assumptions'!$M17*DG$25)*'Operating Assumptions'!$D$11)/12,IF('Operating Assumptions'!$L17="$/NSF",(('Operating Assumptions'!$M17*DG$25)*'Operating Assumptions'!$D$12)/12))))))))</f>
        <v>0</v>
      </c>
      <c r="DH89" s="427">
        <f>-IF(DH$9&lt;'Operating Assumptions'!$D$53,0,IF(DH$6&gt;'Operating Assumptions'!$AA$8,0,IF('Operating Assumptions'!$L17="N/A",0,IF('Operating Assumptions'!$L17="$/Unit/Annual",(('Operating Assumptions'!$M17*DH$25)*DH$36)/12,IF('Operating Assumptions'!$L17="$/Unit/Month",('Operating Assumptions'!$M17*DH$25)*DH$36,IF('Operating Assumptions'!$L17="Fixed Amount",('Operating Assumptions'!$M17*DH$25)/12,IF('Operating Assumptions'!$L17="$/GSF",(('Operating Assumptions'!$M17*DH$25)*'Operating Assumptions'!$D$11)/12,IF('Operating Assumptions'!$L17="$/NSF",(('Operating Assumptions'!$M17*DH$25)*'Operating Assumptions'!$D$12)/12))))))))</f>
        <v>0</v>
      </c>
      <c r="DI89" s="427">
        <f>-IF(DI$9&lt;'Operating Assumptions'!$D$53,0,IF(DI$6&gt;'Operating Assumptions'!$AA$8,0,IF('Operating Assumptions'!$L17="N/A",0,IF('Operating Assumptions'!$L17="$/Unit/Annual",(('Operating Assumptions'!$M17*DI$25)*DI$36)/12,IF('Operating Assumptions'!$L17="$/Unit/Month",('Operating Assumptions'!$M17*DI$25)*DI$36,IF('Operating Assumptions'!$L17="Fixed Amount",('Operating Assumptions'!$M17*DI$25)/12,IF('Operating Assumptions'!$L17="$/GSF",(('Operating Assumptions'!$M17*DI$25)*'Operating Assumptions'!$D$11)/12,IF('Operating Assumptions'!$L17="$/NSF",(('Operating Assumptions'!$M17*DI$25)*'Operating Assumptions'!$D$12)/12))))))))</f>
        <v>0</v>
      </c>
      <c r="DJ89" s="427">
        <f>-IF(DJ$9&lt;'Operating Assumptions'!$D$53,0,IF(DJ$6&gt;'Operating Assumptions'!$AA$8,0,IF('Operating Assumptions'!$L17="N/A",0,IF('Operating Assumptions'!$L17="$/Unit/Annual",(('Operating Assumptions'!$M17*DJ$25)*DJ$36)/12,IF('Operating Assumptions'!$L17="$/Unit/Month",('Operating Assumptions'!$M17*DJ$25)*DJ$36,IF('Operating Assumptions'!$L17="Fixed Amount",('Operating Assumptions'!$M17*DJ$25)/12,IF('Operating Assumptions'!$L17="$/GSF",(('Operating Assumptions'!$M17*DJ$25)*'Operating Assumptions'!$D$11)/12,IF('Operating Assumptions'!$L17="$/NSF",(('Operating Assumptions'!$M17*DJ$25)*'Operating Assumptions'!$D$12)/12))))))))</f>
        <v>0</v>
      </c>
      <c r="DK89" s="427">
        <f>-IF(DK$9&lt;'Operating Assumptions'!$D$53,0,IF(DK$6&gt;'Operating Assumptions'!$AA$8,0,IF('Operating Assumptions'!$L17="N/A",0,IF('Operating Assumptions'!$L17="$/Unit/Annual",(('Operating Assumptions'!$M17*DK$25)*DK$36)/12,IF('Operating Assumptions'!$L17="$/Unit/Month",('Operating Assumptions'!$M17*DK$25)*DK$36,IF('Operating Assumptions'!$L17="Fixed Amount",('Operating Assumptions'!$M17*DK$25)/12,IF('Operating Assumptions'!$L17="$/GSF",(('Operating Assumptions'!$M17*DK$25)*'Operating Assumptions'!$D$11)/12,IF('Operating Assumptions'!$L17="$/NSF",(('Operating Assumptions'!$M17*DK$25)*'Operating Assumptions'!$D$12)/12))))))))</f>
        <v>0</v>
      </c>
      <c r="DL89" s="427">
        <f>-IF(DL$9&lt;'Operating Assumptions'!$D$53,0,IF(DL$6&gt;'Operating Assumptions'!$AA$8,0,IF('Operating Assumptions'!$L17="N/A",0,IF('Operating Assumptions'!$L17="$/Unit/Annual",(('Operating Assumptions'!$M17*DL$25)*DL$36)/12,IF('Operating Assumptions'!$L17="$/Unit/Month",('Operating Assumptions'!$M17*DL$25)*DL$36,IF('Operating Assumptions'!$L17="Fixed Amount",('Operating Assumptions'!$M17*DL$25)/12,IF('Operating Assumptions'!$L17="$/GSF",(('Operating Assumptions'!$M17*DL$25)*'Operating Assumptions'!$D$11)/12,IF('Operating Assumptions'!$L17="$/NSF",(('Operating Assumptions'!$M17*DL$25)*'Operating Assumptions'!$D$12)/12))))))))</f>
        <v>0</v>
      </c>
      <c r="DM89" s="427">
        <f>-IF(DM$9&lt;'Operating Assumptions'!$D$53,0,IF(DM$6&gt;'Operating Assumptions'!$AA$8,0,IF('Operating Assumptions'!$L17="N/A",0,IF('Operating Assumptions'!$L17="$/Unit/Annual",(('Operating Assumptions'!$M17*DM$25)*DM$36)/12,IF('Operating Assumptions'!$L17="$/Unit/Month",('Operating Assumptions'!$M17*DM$25)*DM$36,IF('Operating Assumptions'!$L17="Fixed Amount",('Operating Assumptions'!$M17*DM$25)/12,IF('Operating Assumptions'!$L17="$/GSF",(('Operating Assumptions'!$M17*DM$25)*'Operating Assumptions'!$D$11)/12,IF('Operating Assumptions'!$L17="$/NSF",(('Operating Assumptions'!$M17*DM$25)*'Operating Assumptions'!$D$12)/12))))))))</f>
        <v>0</v>
      </c>
      <c r="DN89" s="427">
        <f>-IF(DN$9&lt;'Operating Assumptions'!$D$53,0,IF(DN$6&gt;'Operating Assumptions'!$AA$8,0,IF('Operating Assumptions'!$L17="N/A",0,IF('Operating Assumptions'!$L17="$/Unit/Annual",(('Operating Assumptions'!$M17*DN$25)*DN$36)/12,IF('Operating Assumptions'!$L17="$/Unit/Month",('Operating Assumptions'!$M17*DN$25)*DN$36,IF('Operating Assumptions'!$L17="Fixed Amount",('Operating Assumptions'!$M17*DN$25)/12,IF('Operating Assumptions'!$L17="$/GSF",(('Operating Assumptions'!$M17*DN$25)*'Operating Assumptions'!$D$11)/12,IF('Operating Assumptions'!$L17="$/NSF",(('Operating Assumptions'!$M17*DN$25)*'Operating Assumptions'!$D$12)/12))))))))</f>
        <v>0</v>
      </c>
      <c r="DO89" s="427">
        <f>-IF(DO$9&lt;'Operating Assumptions'!$D$53,0,IF(DO$6&gt;'Operating Assumptions'!$AA$8,0,IF('Operating Assumptions'!$L17="N/A",0,IF('Operating Assumptions'!$L17="$/Unit/Annual",(('Operating Assumptions'!$M17*DO$25)*DO$36)/12,IF('Operating Assumptions'!$L17="$/Unit/Month",('Operating Assumptions'!$M17*DO$25)*DO$36,IF('Operating Assumptions'!$L17="Fixed Amount",('Operating Assumptions'!$M17*DO$25)/12,IF('Operating Assumptions'!$L17="$/GSF",(('Operating Assumptions'!$M17*DO$25)*'Operating Assumptions'!$D$11)/12,IF('Operating Assumptions'!$L17="$/NSF",(('Operating Assumptions'!$M17*DO$25)*'Operating Assumptions'!$D$12)/12))))))))</f>
        <v>0</v>
      </c>
      <c r="DP89" s="427">
        <f>-IF(DP$9&lt;'Operating Assumptions'!$D$53,0,IF(DP$6&gt;'Operating Assumptions'!$AA$8,0,IF('Operating Assumptions'!$L17="N/A",0,IF('Operating Assumptions'!$L17="$/Unit/Annual",(('Operating Assumptions'!$M17*DP$25)*DP$36)/12,IF('Operating Assumptions'!$L17="$/Unit/Month",('Operating Assumptions'!$M17*DP$25)*DP$36,IF('Operating Assumptions'!$L17="Fixed Amount",('Operating Assumptions'!$M17*DP$25)/12,IF('Operating Assumptions'!$L17="$/GSF",(('Operating Assumptions'!$M17*DP$25)*'Operating Assumptions'!$D$11)/12,IF('Operating Assumptions'!$L17="$/NSF",(('Operating Assumptions'!$M17*DP$25)*'Operating Assumptions'!$D$12)/12))))))))</f>
        <v>0</v>
      </c>
      <c r="DQ89" s="427">
        <f>-IF(DQ$9&lt;'Operating Assumptions'!$D$53,0,IF(DQ$6&gt;'Operating Assumptions'!$AA$8,0,IF('Operating Assumptions'!$L17="N/A",0,IF('Operating Assumptions'!$L17="$/Unit/Annual",(('Operating Assumptions'!$M17*DQ$25)*DQ$36)/12,IF('Operating Assumptions'!$L17="$/Unit/Month",('Operating Assumptions'!$M17*DQ$25)*DQ$36,IF('Operating Assumptions'!$L17="Fixed Amount",('Operating Assumptions'!$M17*DQ$25)/12,IF('Operating Assumptions'!$L17="$/GSF",(('Operating Assumptions'!$M17*DQ$25)*'Operating Assumptions'!$D$11)/12,IF('Operating Assumptions'!$L17="$/NSF",(('Operating Assumptions'!$M17*DQ$25)*'Operating Assumptions'!$D$12)/12))))))))</f>
        <v>0</v>
      </c>
      <c r="DR89" s="427">
        <f>-IF(DR$9&lt;'Operating Assumptions'!$D$53,0,IF(DR$6&gt;'Operating Assumptions'!$AA$8,0,IF('Operating Assumptions'!$L17="N/A",0,IF('Operating Assumptions'!$L17="$/Unit/Annual",(('Operating Assumptions'!$M17*DR$25)*DR$36)/12,IF('Operating Assumptions'!$L17="$/Unit/Month",('Operating Assumptions'!$M17*DR$25)*DR$36,IF('Operating Assumptions'!$L17="Fixed Amount",('Operating Assumptions'!$M17*DR$25)/12,IF('Operating Assumptions'!$L17="$/GSF",(('Operating Assumptions'!$M17*DR$25)*'Operating Assumptions'!$D$11)/12,IF('Operating Assumptions'!$L17="$/NSF",(('Operating Assumptions'!$M17*DR$25)*'Operating Assumptions'!$D$12)/12))))))))</f>
        <v>0</v>
      </c>
      <c r="DS89" s="427">
        <f>-IF(DS$9&lt;'Operating Assumptions'!$D$53,0,IF(DS$6&gt;'Operating Assumptions'!$AA$8,0,IF('Operating Assumptions'!$L17="N/A",0,IF('Operating Assumptions'!$L17="$/Unit/Annual",(('Operating Assumptions'!$M17*DS$25)*DS$36)/12,IF('Operating Assumptions'!$L17="$/Unit/Month",('Operating Assumptions'!$M17*DS$25)*DS$36,IF('Operating Assumptions'!$L17="Fixed Amount",('Operating Assumptions'!$M17*DS$25)/12,IF('Operating Assumptions'!$L17="$/GSF",(('Operating Assumptions'!$M17*DS$25)*'Operating Assumptions'!$D$11)/12,IF('Operating Assumptions'!$L17="$/NSF",(('Operating Assumptions'!$M17*DS$25)*'Operating Assumptions'!$D$12)/12))))))))</f>
        <v>0</v>
      </c>
      <c r="DT89" s="427">
        <f>-IF(DT$9&lt;'Operating Assumptions'!$D$53,0,IF(DT$6&gt;'Operating Assumptions'!$AA$8,0,IF('Operating Assumptions'!$L17="N/A",0,IF('Operating Assumptions'!$L17="$/Unit/Annual",(('Operating Assumptions'!$M17*DT$25)*DT$36)/12,IF('Operating Assumptions'!$L17="$/Unit/Month",('Operating Assumptions'!$M17*DT$25)*DT$36,IF('Operating Assumptions'!$L17="Fixed Amount",('Operating Assumptions'!$M17*DT$25)/12,IF('Operating Assumptions'!$L17="$/GSF",(('Operating Assumptions'!$M17*DT$25)*'Operating Assumptions'!$D$11)/12,IF('Operating Assumptions'!$L17="$/NSF",(('Operating Assumptions'!$M17*DT$25)*'Operating Assumptions'!$D$12)/12))))))))</f>
        <v>0</v>
      </c>
      <c r="DU89" s="427">
        <f>-IF(DU$9&lt;'Operating Assumptions'!$D$53,0,IF(DU$6&gt;'Operating Assumptions'!$AA$8,0,IF('Operating Assumptions'!$L17="N/A",0,IF('Operating Assumptions'!$L17="$/Unit/Annual",(('Operating Assumptions'!$M17*DU$25)*DU$36)/12,IF('Operating Assumptions'!$L17="$/Unit/Month",('Operating Assumptions'!$M17*DU$25)*DU$36,IF('Operating Assumptions'!$L17="Fixed Amount",('Operating Assumptions'!$M17*DU$25)/12,IF('Operating Assumptions'!$L17="$/GSF",(('Operating Assumptions'!$M17*DU$25)*'Operating Assumptions'!$D$11)/12,IF('Operating Assumptions'!$L17="$/NSF",(('Operating Assumptions'!$M17*DU$25)*'Operating Assumptions'!$D$12)/12))))))))</f>
        <v>0</v>
      </c>
      <c r="DV89" s="427">
        <f>-IF(DV$9&lt;'Operating Assumptions'!$D$53,0,IF(DV$6&gt;'Operating Assumptions'!$AA$8,0,IF('Operating Assumptions'!$L17="N/A",0,IF('Operating Assumptions'!$L17="$/Unit/Annual",(('Operating Assumptions'!$M17*DV$25)*DV$36)/12,IF('Operating Assumptions'!$L17="$/Unit/Month",('Operating Assumptions'!$M17*DV$25)*DV$36,IF('Operating Assumptions'!$L17="Fixed Amount",('Operating Assumptions'!$M17*DV$25)/12,IF('Operating Assumptions'!$L17="$/GSF",(('Operating Assumptions'!$M17*DV$25)*'Operating Assumptions'!$D$11)/12,IF('Operating Assumptions'!$L17="$/NSF",(('Operating Assumptions'!$M17*DV$25)*'Operating Assumptions'!$D$12)/12))))))))</f>
        <v>0</v>
      </c>
      <c r="DW89" s="427">
        <f>-IF(DW$9&lt;'Operating Assumptions'!$D$53,0,IF(DW$6&gt;'Operating Assumptions'!$AA$8,0,IF('Operating Assumptions'!$L17="N/A",0,IF('Operating Assumptions'!$L17="$/Unit/Annual",(('Operating Assumptions'!$M17*DW$25)*DW$36)/12,IF('Operating Assumptions'!$L17="$/Unit/Month",('Operating Assumptions'!$M17*DW$25)*DW$36,IF('Operating Assumptions'!$L17="Fixed Amount",('Operating Assumptions'!$M17*DW$25)/12,IF('Operating Assumptions'!$L17="$/GSF",(('Operating Assumptions'!$M17*DW$25)*'Operating Assumptions'!$D$11)/12,IF('Operating Assumptions'!$L17="$/NSF",(('Operating Assumptions'!$M17*DW$25)*'Operating Assumptions'!$D$12)/12))))))))</f>
        <v>0</v>
      </c>
      <c r="DX89" s="427">
        <f>-IF(DX$9&lt;'Operating Assumptions'!$D$53,0,IF(DX$6&gt;'Operating Assumptions'!$AA$8,0,IF('Operating Assumptions'!$L17="N/A",0,IF('Operating Assumptions'!$L17="$/Unit/Annual",(('Operating Assumptions'!$M17*DX$25)*DX$36)/12,IF('Operating Assumptions'!$L17="$/Unit/Month",('Operating Assumptions'!$M17*DX$25)*DX$36,IF('Operating Assumptions'!$L17="Fixed Amount",('Operating Assumptions'!$M17*DX$25)/12,IF('Operating Assumptions'!$L17="$/GSF",(('Operating Assumptions'!$M17*DX$25)*'Operating Assumptions'!$D$11)/12,IF('Operating Assumptions'!$L17="$/NSF",(('Operating Assumptions'!$M17*DX$25)*'Operating Assumptions'!$D$12)/12))))))))</f>
        <v>0</v>
      </c>
      <c r="DY89" s="427">
        <f>-IF(DY$9&lt;'Operating Assumptions'!$D$53,0,IF(DY$6&gt;'Operating Assumptions'!$AA$8,0,IF('Operating Assumptions'!$L17="N/A",0,IF('Operating Assumptions'!$L17="$/Unit/Annual",(('Operating Assumptions'!$M17*DY$25)*DY$36)/12,IF('Operating Assumptions'!$L17="$/Unit/Month",('Operating Assumptions'!$M17*DY$25)*DY$36,IF('Operating Assumptions'!$L17="Fixed Amount",('Operating Assumptions'!$M17*DY$25)/12,IF('Operating Assumptions'!$L17="$/GSF",(('Operating Assumptions'!$M17*DY$25)*'Operating Assumptions'!$D$11)/12,IF('Operating Assumptions'!$L17="$/NSF",(('Operating Assumptions'!$M17*DY$25)*'Operating Assumptions'!$D$12)/12))))))))</f>
        <v>0</v>
      </c>
      <c r="DZ89" s="427">
        <f>-IF(DZ$9&lt;'Operating Assumptions'!$D$53,0,IF(DZ$6&gt;'Operating Assumptions'!$AA$8,0,IF('Operating Assumptions'!$L17="N/A",0,IF('Operating Assumptions'!$L17="$/Unit/Annual",(('Operating Assumptions'!$M17*DZ$25)*DZ$36)/12,IF('Operating Assumptions'!$L17="$/Unit/Month",('Operating Assumptions'!$M17*DZ$25)*DZ$36,IF('Operating Assumptions'!$L17="Fixed Amount",('Operating Assumptions'!$M17*DZ$25)/12,IF('Operating Assumptions'!$L17="$/GSF",(('Operating Assumptions'!$M17*DZ$25)*'Operating Assumptions'!$D$11)/12,IF('Operating Assumptions'!$L17="$/NSF",(('Operating Assumptions'!$M17*DZ$25)*'Operating Assumptions'!$D$12)/12))))))))</f>
        <v>0</v>
      </c>
      <c r="EA89" s="427">
        <f>-IF(EA$9&lt;'Operating Assumptions'!$D$53,0,IF(EA$6&gt;'Operating Assumptions'!$AA$8,0,IF('Operating Assumptions'!$L17="N/A",0,IF('Operating Assumptions'!$L17="$/Unit/Annual",(('Operating Assumptions'!$M17*EA$25)*EA$36)/12,IF('Operating Assumptions'!$L17="$/Unit/Month",('Operating Assumptions'!$M17*EA$25)*EA$36,IF('Operating Assumptions'!$L17="Fixed Amount",('Operating Assumptions'!$M17*EA$25)/12,IF('Operating Assumptions'!$L17="$/GSF",(('Operating Assumptions'!$M17*EA$25)*'Operating Assumptions'!$D$11)/12,IF('Operating Assumptions'!$L17="$/NSF",(('Operating Assumptions'!$M17*EA$25)*'Operating Assumptions'!$D$12)/12))))))))</f>
        <v>0</v>
      </c>
      <c r="EB89" s="427">
        <f>-IF(EB$9&lt;'Operating Assumptions'!$D$53,0,IF(EB$6&gt;'Operating Assumptions'!$AA$8,0,IF('Operating Assumptions'!$L17="N/A",0,IF('Operating Assumptions'!$L17="$/Unit/Annual",(('Operating Assumptions'!$M17*EB$25)*EB$36)/12,IF('Operating Assumptions'!$L17="$/Unit/Month",('Operating Assumptions'!$M17*EB$25)*EB$36,IF('Operating Assumptions'!$L17="Fixed Amount",('Operating Assumptions'!$M17*EB$25)/12,IF('Operating Assumptions'!$L17="$/GSF",(('Operating Assumptions'!$M17*EB$25)*'Operating Assumptions'!$D$11)/12,IF('Operating Assumptions'!$L17="$/NSF",(('Operating Assumptions'!$M17*EB$25)*'Operating Assumptions'!$D$12)/12))))))))</f>
        <v>0</v>
      </c>
      <c r="EC89" s="427">
        <f>-IF(EC$9&lt;'Operating Assumptions'!$D$53,0,IF(EC$6&gt;'Operating Assumptions'!$AA$8,0,IF('Operating Assumptions'!$L17="N/A",0,IF('Operating Assumptions'!$L17="$/Unit/Annual",(('Operating Assumptions'!$M17*EC$25)*EC$36)/12,IF('Operating Assumptions'!$L17="$/Unit/Month",('Operating Assumptions'!$M17*EC$25)*EC$36,IF('Operating Assumptions'!$L17="Fixed Amount",('Operating Assumptions'!$M17*EC$25)/12,IF('Operating Assumptions'!$L17="$/GSF",(('Operating Assumptions'!$M17*EC$25)*'Operating Assumptions'!$D$11)/12,IF('Operating Assumptions'!$L17="$/NSF",(('Operating Assumptions'!$M17*EC$25)*'Operating Assumptions'!$D$12)/12))))))))</f>
        <v>0</v>
      </c>
      <c r="ED89" s="427">
        <f>-IF(ED$9&lt;'Operating Assumptions'!$D$53,0,IF(ED$6&gt;'Operating Assumptions'!$AA$8,0,IF('Operating Assumptions'!$L17="N/A",0,IF('Operating Assumptions'!$L17="$/Unit/Annual",(('Operating Assumptions'!$M17*ED$25)*ED$36)/12,IF('Operating Assumptions'!$L17="$/Unit/Month",('Operating Assumptions'!$M17*ED$25)*ED$36,IF('Operating Assumptions'!$L17="Fixed Amount",('Operating Assumptions'!$M17*ED$25)/12,IF('Operating Assumptions'!$L17="$/GSF",(('Operating Assumptions'!$M17*ED$25)*'Operating Assumptions'!$D$11)/12,IF('Operating Assumptions'!$L17="$/NSF",(('Operating Assumptions'!$M17*ED$25)*'Operating Assumptions'!$D$12)/12))))))))</f>
        <v>0</v>
      </c>
      <c r="EE89" s="427">
        <f>-IF(EE$9&lt;'Operating Assumptions'!$D$53,0,IF(EE$6&gt;'Operating Assumptions'!$AA$8,0,IF('Operating Assumptions'!$L17="N/A",0,IF('Operating Assumptions'!$L17="$/Unit/Annual",(('Operating Assumptions'!$M17*EE$25)*EE$36)/12,IF('Operating Assumptions'!$L17="$/Unit/Month",('Operating Assumptions'!$M17*EE$25)*EE$36,IF('Operating Assumptions'!$L17="Fixed Amount",('Operating Assumptions'!$M17*EE$25)/12,IF('Operating Assumptions'!$L17="$/GSF",(('Operating Assumptions'!$M17*EE$25)*'Operating Assumptions'!$D$11)/12,IF('Operating Assumptions'!$L17="$/NSF",(('Operating Assumptions'!$M17*EE$25)*'Operating Assumptions'!$D$12)/12))))))))</f>
        <v>0</v>
      </c>
      <c r="EF89" s="427">
        <f>-IF(EF$9&lt;'Operating Assumptions'!$D$53,0,IF(EF$6&gt;'Operating Assumptions'!$AA$8,0,IF('Operating Assumptions'!$L17="N/A",0,IF('Operating Assumptions'!$L17="$/Unit/Annual",(('Operating Assumptions'!$M17*EF$25)*EF$36)/12,IF('Operating Assumptions'!$L17="$/Unit/Month",('Operating Assumptions'!$M17*EF$25)*EF$36,IF('Operating Assumptions'!$L17="Fixed Amount",('Operating Assumptions'!$M17*EF$25)/12,IF('Operating Assumptions'!$L17="$/GSF",(('Operating Assumptions'!$M17*EF$25)*'Operating Assumptions'!$D$11)/12,IF('Operating Assumptions'!$L17="$/NSF",(('Operating Assumptions'!$M17*EF$25)*'Operating Assumptions'!$D$12)/12))))))))</f>
        <v>0</v>
      </c>
      <c r="EG89" s="427">
        <f>-IF(EG$9&lt;'Operating Assumptions'!$D$53,0,IF(EG$6&gt;'Operating Assumptions'!$AA$8,0,IF('Operating Assumptions'!$L17="N/A",0,IF('Operating Assumptions'!$L17="$/Unit/Annual",(('Operating Assumptions'!$M17*EG$25)*EG$36)/12,IF('Operating Assumptions'!$L17="$/Unit/Month",('Operating Assumptions'!$M17*EG$25)*EG$36,IF('Operating Assumptions'!$L17="Fixed Amount",('Operating Assumptions'!$M17*EG$25)/12,IF('Operating Assumptions'!$L17="$/GSF",(('Operating Assumptions'!$M17*EG$25)*'Operating Assumptions'!$D$11)/12,IF('Operating Assumptions'!$L17="$/NSF",(('Operating Assumptions'!$M17*EG$25)*'Operating Assumptions'!$D$12)/12))))))))</f>
        <v>0</v>
      </c>
      <c r="EH89" s="427">
        <f>-IF(EH$9&lt;'Operating Assumptions'!$D$53,0,IF(EH$6&gt;'Operating Assumptions'!$AA$8,0,IF('Operating Assumptions'!$L17="N/A",0,IF('Operating Assumptions'!$L17="$/Unit/Annual",(('Operating Assumptions'!$M17*EH$25)*EH$36)/12,IF('Operating Assumptions'!$L17="$/Unit/Month",('Operating Assumptions'!$M17*EH$25)*EH$36,IF('Operating Assumptions'!$L17="Fixed Amount",('Operating Assumptions'!$M17*EH$25)/12,IF('Operating Assumptions'!$L17="$/GSF",(('Operating Assumptions'!$M17*EH$25)*'Operating Assumptions'!$D$11)/12,IF('Operating Assumptions'!$L17="$/NSF",(('Operating Assumptions'!$M17*EH$25)*'Operating Assumptions'!$D$12)/12))))))))</f>
        <v>0</v>
      </c>
      <c r="EI89" s="427">
        <f>-IF(EI$9&lt;'Operating Assumptions'!$D$53,0,IF(EI$6&gt;'Operating Assumptions'!$AA$8,0,IF('Operating Assumptions'!$L17="N/A",0,IF('Operating Assumptions'!$L17="$/Unit/Annual",(('Operating Assumptions'!$M17*EI$25)*EI$36)/12,IF('Operating Assumptions'!$L17="$/Unit/Month",('Operating Assumptions'!$M17*EI$25)*EI$36,IF('Operating Assumptions'!$L17="Fixed Amount",('Operating Assumptions'!$M17*EI$25)/12,IF('Operating Assumptions'!$L17="$/GSF",(('Operating Assumptions'!$M17*EI$25)*'Operating Assumptions'!$D$11)/12,IF('Operating Assumptions'!$L17="$/NSF",(('Operating Assumptions'!$M17*EI$25)*'Operating Assumptions'!$D$12)/12))))))))</f>
        <v>0</v>
      </c>
      <c r="EJ89" s="427">
        <f>-IF(EJ$9&lt;'Operating Assumptions'!$D$53,0,IF(EJ$6&gt;'Operating Assumptions'!$AA$8,0,IF('Operating Assumptions'!$L17="N/A",0,IF('Operating Assumptions'!$L17="$/Unit/Annual",(('Operating Assumptions'!$M17*EJ$25)*EJ$36)/12,IF('Operating Assumptions'!$L17="$/Unit/Month",('Operating Assumptions'!$M17*EJ$25)*EJ$36,IF('Operating Assumptions'!$L17="Fixed Amount",('Operating Assumptions'!$M17*EJ$25)/12,IF('Operating Assumptions'!$L17="$/GSF",(('Operating Assumptions'!$M17*EJ$25)*'Operating Assumptions'!$D$11)/12,IF('Operating Assumptions'!$L17="$/NSF",(('Operating Assumptions'!$M17*EJ$25)*'Operating Assumptions'!$D$12)/12))))))))</f>
        <v>0</v>
      </c>
      <c r="EK89" s="427">
        <f>-IF(EK$9&lt;'Operating Assumptions'!$D$53,0,IF(EK$6&gt;'Operating Assumptions'!$AA$8,0,IF('Operating Assumptions'!$L17="N/A",0,IF('Operating Assumptions'!$L17="$/Unit/Annual",(('Operating Assumptions'!$M17*EK$25)*EK$36)/12,IF('Operating Assumptions'!$L17="$/Unit/Month",('Operating Assumptions'!$M17*EK$25)*EK$36,IF('Operating Assumptions'!$L17="Fixed Amount",('Operating Assumptions'!$M17*EK$25)/12,IF('Operating Assumptions'!$L17="$/GSF",(('Operating Assumptions'!$M17*EK$25)*'Operating Assumptions'!$D$11)/12,IF('Operating Assumptions'!$L17="$/NSF",(('Operating Assumptions'!$M17*EK$25)*'Operating Assumptions'!$D$12)/12))))))))</f>
        <v>0</v>
      </c>
      <c r="EL89" s="427">
        <f>-IF(EL$9&lt;'Operating Assumptions'!$D$53,0,IF(EL$6&gt;'Operating Assumptions'!$AA$8,0,IF('Operating Assumptions'!$L17="N/A",0,IF('Operating Assumptions'!$L17="$/Unit/Annual",(('Operating Assumptions'!$M17*EL$25)*EL$36)/12,IF('Operating Assumptions'!$L17="$/Unit/Month",('Operating Assumptions'!$M17*EL$25)*EL$36,IF('Operating Assumptions'!$L17="Fixed Amount",('Operating Assumptions'!$M17*EL$25)/12,IF('Operating Assumptions'!$L17="$/GSF",(('Operating Assumptions'!$M17*EL$25)*'Operating Assumptions'!$D$11)/12,IF('Operating Assumptions'!$L17="$/NSF",(('Operating Assumptions'!$M17*EL$25)*'Operating Assumptions'!$D$12)/12))))))))</f>
        <v>0</v>
      </c>
      <c r="EM89" s="427">
        <f>-IF(EM$9&lt;'Operating Assumptions'!$D$53,0,IF(EM$6&gt;'Operating Assumptions'!$AA$8,0,IF('Operating Assumptions'!$L17="N/A",0,IF('Operating Assumptions'!$L17="$/Unit/Annual",(('Operating Assumptions'!$M17*EM$25)*EM$36)/12,IF('Operating Assumptions'!$L17="$/Unit/Month",('Operating Assumptions'!$M17*EM$25)*EM$36,IF('Operating Assumptions'!$L17="Fixed Amount",('Operating Assumptions'!$M17*EM$25)/12,IF('Operating Assumptions'!$L17="$/GSF",(('Operating Assumptions'!$M17*EM$25)*'Operating Assumptions'!$D$11)/12,IF('Operating Assumptions'!$L17="$/NSF",(('Operating Assumptions'!$M17*EM$25)*'Operating Assumptions'!$D$12)/12))))))))</f>
        <v>0</v>
      </c>
      <c r="EN89" s="427">
        <f>-IF(EN$9&lt;'Operating Assumptions'!$D$53,0,IF(EN$6&gt;'Operating Assumptions'!$AA$8,0,IF('Operating Assumptions'!$L17="N/A",0,IF('Operating Assumptions'!$L17="$/Unit/Annual",(('Operating Assumptions'!$M17*EN$25)*EN$36)/12,IF('Operating Assumptions'!$L17="$/Unit/Month",('Operating Assumptions'!$M17*EN$25)*EN$36,IF('Operating Assumptions'!$L17="Fixed Amount",('Operating Assumptions'!$M17*EN$25)/12,IF('Operating Assumptions'!$L17="$/GSF",(('Operating Assumptions'!$M17*EN$25)*'Operating Assumptions'!$D$11)/12,IF('Operating Assumptions'!$L17="$/NSF",(('Operating Assumptions'!$M17*EN$25)*'Operating Assumptions'!$D$12)/12))))))))</f>
        <v>0</v>
      </c>
      <c r="EO89" s="427">
        <f>-IF(EO$9&lt;'Operating Assumptions'!$D$53,0,IF(EO$6&gt;'Operating Assumptions'!$AA$8,0,IF('Operating Assumptions'!$L17="N/A",0,IF('Operating Assumptions'!$L17="$/Unit/Annual",(('Operating Assumptions'!$M17*EO$25)*EO$36)/12,IF('Operating Assumptions'!$L17="$/Unit/Month",('Operating Assumptions'!$M17*EO$25)*EO$36,IF('Operating Assumptions'!$L17="Fixed Amount",('Operating Assumptions'!$M17*EO$25)/12,IF('Operating Assumptions'!$L17="$/GSF",(('Operating Assumptions'!$M17*EO$25)*'Operating Assumptions'!$D$11)/12,IF('Operating Assumptions'!$L17="$/NSF",(('Operating Assumptions'!$M17*EO$25)*'Operating Assumptions'!$D$12)/12))))))))</f>
        <v>0</v>
      </c>
      <c r="EP89" s="427">
        <f>-IF(EP$9&lt;'Operating Assumptions'!$D$53,0,IF(EP$6&gt;'Operating Assumptions'!$AA$8,0,IF('Operating Assumptions'!$L17="N/A",0,IF('Operating Assumptions'!$L17="$/Unit/Annual",(('Operating Assumptions'!$M17*EP$25)*EP$36)/12,IF('Operating Assumptions'!$L17="$/Unit/Month",('Operating Assumptions'!$M17*EP$25)*EP$36,IF('Operating Assumptions'!$L17="Fixed Amount",('Operating Assumptions'!$M17*EP$25)/12,IF('Operating Assumptions'!$L17="$/GSF",(('Operating Assumptions'!$M17*EP$25)*'Operating Assumptions'!$D$11)/12,IF('Operating Assumptions'!$L17="$/NSF",(('Operating Assumptions'!$M17*EP$25)*'Operating Assumptions'!$D$12)/12))))))))</f>
        <v>0</v>
      </c>
      <c r="EQ89" s="427">
        <f>-IF(EQ$9&lt;'Operating Assumptions'!$D$53,0,IF(EQ$6&gt;'Operating Assumptions'!$AA$8,0,IF('Operating Assumptions'!$L17="N/A",0,IF('Operating Assumptions'!$L17="$/Unit/Annual",(('Operating Assumptions'!$M17*EQ$25)*EQ$36)/12,IF('Operating Assumptions'!$L17="$/Unit/Month",('Operating Assumptions'!$M17*EQ$25)*EQ$36,IF('Operating Assumptions'!$L17="Fixed Amount",('Operating Assumptions'!$M17*EQ$25)/12,IF('Operating Assumptions'!$L17="$/GSF",(('Operating Assumptions'!$M17*EQ$25)*'Operating Assumptions'!$D$11)/12,IF('Operating Assumptions'!$L17="$/NSF",(('Operating Assumptions'!$M17*EQ$25)*'Operating Assumptions'!$D$12)/12))))))))</f>
        <v>0</v>
      </c>
      <c r="ER89" s="427">
        <f>-IF(ER$9&lt;'Operating Assumptions'!$D$53,0,IF(ER$6&gt;'Operating Assumptions'!$AA$8,0,IF('Operating Assumptions'!$L17="N/A",0,IF('Operating Assumptions'!$L17="$/Unit/Annual",(('Operating Assumptions'!$M17*ER$25)*ER$36)/12,IF('Operating Assumptions'!$L17="$/Unit/Month",('Operating Assumptions'!$M17*ER$25)*ER$36,IF('Operating Assumptions'!$L17="Fixed Amount",('Operating Assumptions'!$M17*ER$25)/12,IF('Operating Assumptions'!$L17="$/GSF",(('Operating Assumptions'!$M17*ER$25)*'Operating Assumptions'!$D$11)/12,IF('Operating Assumptions'!$L17="$/NSF",(('Operating Assumptions'!$M17*ER$25)*'Operating Assumptions'!$D$12)/12))))))))</f>
        <v>0</v>
      </c>
      <c r="ES89" s="427">
        <f>-IF(ES$9&lt;'Operating Assumptions'!$D$53,0,IF(ES$6&gt;'Operating Assumptions'!$AA$8,0,IF('Operating Assumptions'!$L17="N/A",0,IF('Operating Assumptions'!$L17="$/Unit/Annual",(('Operating Assumptions'!$M17*ES$25)*ES$36)/12,IF('Operating Assumptions'!$L17="$/Unit/Month",('Operating Assumptions'!$M17*ES$25)*ES$36,IF('Operating Assumptions'!$L17="Fixed Amount",('Operating Assumptions'!$M17*ES$25)/12,IF('Operating Assumptions'!$L17="$/GSF",(('Operating Assumptions'!$M17*ES$25)*'Operating Assumptions'!$D$11)/12,IF('Operating Assumptions'!$L17="$/NSF",(('Operating Assumptions'!$M17*ES$25)*'Operating Assumptions'!$D$12)/12))))))))</f>
        <v>0</v>
      </c>
      <c r="ET89" s="427">
        <f>-IF(ET$9&lt;'Operating Assumptions'!$D$53,0,IF(ET$6&gt;'Operating Assumptions'!$AA$8,0,IF('Operating Assumptions'!$L17="N/A",0,IF('Operating Assumptions'!$L17="$/Unit/Annual",(('Operating Assumptions'!$M17*ET$25)*ET$36)/12,IF('Operating Assumptions'!$L17="$/Unit/Month",('Operating Assumptions'!$M17*ET$25)*ET$36,IF('Operating Assumptions'!$L17="Fixed Amount",('Operating Assumptions'!$M17*ET$25)/12,IF('Operating Assumptions'!$L17="$/GSF",(('Operating Assumptions'!$M17*ET$25)*'Operating Assumptions'!$D$11)/12,IF('Operating Assumptions'!$L17="$/NSF",(('Operating Assumptions'!$M17*ET$25)*'Operating Assumptions'!$D$12)/12))))))))</f>
        <v>0</v>
      </c>
      <c r="EU89" s="427">
        <f>-IF(EU$9&lt;'Operating Assumptions'!$D$53,0,IF(EU$6&gt;'Operating Assumptions'!$AA$8,0,IF('Operating Assumptions'!$L17="N/A",0,IF('Operating Assumptions'!$L17="$/Unit/Annual",(('Operating Assumptions'!$M17*EU$25)*EU$36)/12,IF('Operating Assumptions'!$L17="$/Unit/Month",('Operating Assumptions'!$M17*EU$25)*EU$36,IF('Operating Assumptions'!$L17="Fixed Amount",('Operating Assumptions'!$M17*EU$25)/12,IF('Operating Assumptions'!$L17="$/GSF",(('Operating Assumptions'!$M17*EU$25)*'Operating Assumptions'!$D$11)/12,IF('Operating Assumptions'!$L17="$/NSF",(('Operating Assumptions'!$M17*EU$25)*'Operating Assumptions'!$D$12)/12))))))))</f>
        <v>0</v>
      </c>
      <c r="EV89" s="427">
        <f>-IF(EV$9&lt;'Operating Assumptions'!$D$53,0,IF(EV$6&gt;'Operating Assumptions'!$AA$8,0,IF('Operating Assumptions'!$L17="N/A",0,IF('Operating Assumptions'!$L17="$/Unit/Annual",(('Operating Assumptions'!$M17*EV$25)*EV$36)/12,IF('Operating Assumptions'!$L17="$/Unit/Month",('Operating Assumptions'!$M17*EV$25)*EV$36,IF('Operating Assumptions'!$L17="Fixed Amount",('Operating Assumptions'!$M17*EV$25)/12,IF('Operating Assumptions'!$L17="$/GSF",(('Operating Assumptions'!$M17*EV$25)*'Operating Assumptions'!$D$11)/12,IF('Operating Assumptions'!$L17="$/NSF",(('Operating Assumptions'!$M17*EV$25)*'Operating Assumptions'!$D$12)/12))))))))</f>
        <v>0</v>
      </c>
      <c r="EW89" s="427">
        <f>-IF(EW$9&lt;'Operating Assumptions'!$D$53,0,IF(EW$6&gt;'Operating Assumptions'!$AA$8,0,IF('Operating Assumptions'!$L17="N/A",0,IF('Operating Assumptions'!$L17="$/Unit/Annual",(('Operating Assumptions'!$M17*EW$25)*EW$36)/12,IF('Operating Assumptions'!$L17="$/Unit/Month",('Operating Assumptions'!$M17*EW$25)*EW$36,IF('Operating Assumptions'!$L17="Fixed Amount",('Operating Assumptions'!$M17*EW$25)/12,IF('Operating Assumptions'!$L17="$/GSF",(('Operating Assumptions'!$M17*EW$25)*'Operating Assumptions'!$D$11)/12,IF('Operating Assumptions'!$L17="$/NSF",(('Operating Assumptions'!$M17*EW$25)*'Operating Assumptions'!$D$12)/12))))))))</f>
        <v>0</v>
      </c>
      <c r="EX89" s="427">
        <f>-IF(EX$9&lt;'Operating Assumptions'!$D$53,0,IF(EX$6&gt;'Operating Assumptions'!$AA$8,0,IF('Operating Assumptions'!$L17="N/A",0,IF('Operating Assumptions'!$L17="$/Unit/Annual",(('Operating Assumptions'!$M17*EX$25)*EX$36)/12,IF('Operating Assumptions'!$L17="$/Unit/Month",('Operating Assumptions'!$M17*EX$25)*EX$36,IF('Operating Assumptions'!$L17="Fixed Amount",('Operating Assumptions'!$M17*EX$25)/12,IF('Operating Assumptions'!$L17="$/GSF",(('Operating Assumptions'!$M17*EX$25)*'Operating Assumptions'!$D$11)/12,IF('Operating Assumptions'!$L17="$/NSF",(('Operating Assumptions'!$M17*EX$25)*'Operating Assumptions'!$D$12)/12))))))))</f>
        <v>0</v>
      </c>
      <c r="EY89" s="427">
        <f>-IF(EY$9&lt;'Operating Assumptions'!$D$53,0,IF(EY$6&gt;'Operating Assumptions'!$AA$8,0,IF('Operating Assumptions'!$L17="N/A",0,IF('Operating Assumptions'!$L17="$/Unit/Annual",(('Operating Assumptions'!$M17*EY$25)*EY$36)/12,IF('Operating Assumptions'!$L17="$/Unit/Month",('Operating Assumptions'!$M17*EY$25)*EY$36,IF('Operating Assumptions'!$L17="Fixed Amount",('Operating Assumptions'!$M17*EY$25)/12,IF('Operating Assumptions'!$L17="$/GSF",(('Operating Assumptions'!$M17*EY$25)*'Operating Assumptions'!$D$11)/12,IF('Operating Assumptions'!$L17="$/NSF",(('Operating Assumptions'!$M17*EY$25)*'Operating Assumptions'!$D$12)/12))))))))</f>
        <v>0</v>
      </c>
      <c r="EZ89" s="427">
        <f>-IF(EZ$9&lt;'Operating Assumptions'!$D$53,0,IF(EZ$6&gt;'Operating Assumptions'!$AA$8,0,IF('Operating Assumptions'!$L17="N/A",0,IF('Operating Assumptions'!$L17="$/Unit/Annual",(('Operating Assumptions'!$M17*EZ$25)*EZ$36)/12,IF('Operating Assumptions'!$L17="$/Unit/Month",('Operating Assumptions'!$M17*EZ$25)*EZ$36,IF('Operating Assumptions'!$L17="Fixed Amount",('Operating Assumptions'!$M17*EZ$25)/12,IF('Operating Assumptions'!$L17="$/GSF",(('Operating Assumptions'!$M17*EZ$25)*'Operating Assumptions'!$D$11)/12,IF('Operating Assumptions'!$L17="$/NSF",(('Operating Assumptions'!$M17*EZ$25)*'Operating Assumptions'!$D$12)/12))))))))</f>
        <v>0</v>
      </c>
      <c r="FA89" s="427">
        <f>-IF(FA$9&lt;'Operating Assumptions'!$D$53,0,IF(FA$6&gt;'Operating Assumptions'!$AA$8,0,IF('Operating Assumptions'!$L17="N/A",0,IF('Operating Assumptions'!$L17="$/Unit/Annual",(('Operating Assumptions'!$M17*FA$25)*FA$36)/12,IF('Operating Assumptions'!$L17="$/Unit/Month",('Operating Assumptions'!$M17*FA$25)*FA$36,IF('Operating Assumptions'!$L17="Fixed Amount",('Operating Assumptions'!$M17*FA$25)/12,IF('Operating Assumptions'!$L17="$/GSF",(('Operating Assumptions'!$M17*FA$25)*'Operating Assumptions'!$D$11)/12,IF('Operating Assumptions'!$L17="$/NSF",(('Operating Assumptions'!$M17*FA$25)*'Operating Assumptions'!$D$12)/12))))))))</f>
        <v>0</v>
      </c>
      <c r="FB89" s="427">
        <f>-IF(FB$9&lt;'Operating Assumptions'!$D$53,0,IF(FB$6&gt;'Operating Assumptions'!$AA$8,0,IF('Operating Assumptions'!$L17="N/A",0,IF('Operating Assumptions'!$L17="$/Unit/Annual",(('Operating Assumptions'!$M17*FB$25)*FB$36)/12,IF('Operating Assumptions'!$L17="$/Unit/Month",('Operating Assumptions'!$M17*FB$25)*FB$36,IF('Operating Assumptions'!$L17="Fixed Amount",('Operating Assumptions'!$M17*FB$25)/12,IF('Operating Assumptions'!$L17="$/GSF",(('Operating Assumptions'!$M17*FB$25)*'Operating Assumptions'!$D$11)/12,IF('Operating Assumptions'!$L17="$/NSF",(('Operating Assumptions'!$M17*FB$25)*'Operating Assumptions'!$D$12)/12))))))))</f>
        <v>0</v>
      </c>
      <c r="FC89" s="427">
        <f>-IF(FC$9&lt;'Operating Assumptions'!$D$53,0,IF(FC$6&gt;'Operating Assumptions'!$AA$8,0,IF('Operating Assumptions'!$L17="N/A",0,IF('Operating Assumptions'!$L17="$/Unit/Annual",(('Operating Assumptions'!$M17*FC$25)*FC$36)/12,IF('Operating Assumptions'!$L17="$/Unit/Month",('Operating Assumptions'!$M17*FC$25)*FC$36,IF('Operating Assumptions'!$L17="Fixed Amount",('Operating Assumptions'!$M17*FC$25)/12,IF('Operating Assumptions'!$L17="$/GSF",(('Operating Assumptions'!$M17*FC$25)*'Operating Assumptions'!$D$11)/12,IF('Operating Assumptions'!$L17="$/NSF",(('Operating Assumptions'!$M17*FC$25)*'Operating Assumptions'!$D$12)/12))))))))</f>
        <v>0</v>
      </c>
      <c r="FD89" s="427">
        <f>-IF(FD$9&lt;'Operating Assumptions'!$D$53,0,IF(FD$6&gt;'Operating Assumptions'!$AA$8,0,IF('Operating Assumptions'!$L17="N/A",0,IF('Operating Assumptions'!$L17="$/Unit/Annual",(('Operating Assumptions'!$M17*FD$25)*FD$36)/12,IF('Operating Assumptions'!$L17="$/Unit/Month",('Operating Assumptions'!$M17*FD$25)*FD$36,IF('Operating Assumptions'!$L17="Fixed Amount",('Operating Assumptions'!$M17*FD$25)/12,IF('Operating Assumptions'!$L17="$/GSF",(('Operating Assumptions'!$M17*FD$25)*'Operating Assumptions'!$D$11)/12,IF('Operating Assumptions'!$L17="$/NSF",(('Operating Assumptions'!$M17*FD$25)*'Operating Assumptions'!$D$12)/12))))))))</f>
        <v>0</v>
      </c>
      <c r="FE89" s="427">
        <f>-IF(FE$9&lt;'Operating Assumptions'!$D$53,0,IF(FE$6&gt;'Operating Assumptions'!$AA$8,0,IF('Operating Assumptions'!$L17="N/A",0,IF('Operating Assumptions'!$L17="$/Unit/Annual",(('Operating Assumptions'!$M17*FE$25)*FE$36)/12,IF('Operating Assumptions'!$L17="$/Unit/Month",('Operating Assumptions'!$M17*FE$25)*FE$36,IF('Operating Assumptions'!$L17="Fixed Amount",('Operating Assumptions'!$M17*FE$25)/12,IF('Operating Assumptions'!$L17="$/GSF",(('Operating Assumptions'!$M17*FE$25)*'Operating Assumptions'!$D$11)/12,IF('Operating Assumptions'!$L17="$/NSF",(('Operating Assumptions'!$M17*FE$25)*'Operating Assumptions'!$D$12)/12))))))))</f>
        <v>0</v>
      </c>
      <c r="FF89" s="427">
        <f>-IF(FF$9&lt;'Operating Assumptions'!$D$53,0,IF(FF$6&gt;'Operating Assumptions'!$AA$8,0,IF('Operating Assumptions'!$L17="N/A",0,IF('Operating Assumptions'!$L17="$/Unit/Annual",(('Operating Assumptions'!$M17*FF$25)*FF$36)/12,IF('Operating Assumptions'!$L17="$/Unit/Month",('Operating Assumptions'!$M17*FF$25)*FF$36,IF('Operating Assumptions'!$L17="Fixed Amount",('Operating Assumptions'!$M17*FF$25)/12,IF('Operating Assumptions'!$L17="$/GSF",(('Operating Assumptions'!$M17*FF$25)*'Operating Assumptions'!$D$11)/12,IF('Operating Assumptions'!$L17="$/NSF",(('Operating Assumptions'!$M17*FF$25)*'Operating Assumptions'!$D$12)/12))))))))</f>
        <v>0</v>
      </c>
      <c r="FG89" s="427">
        <f>-IF(FG$9&lt;'Operating Assumptions'!$D$53,0,IF(FG$6&gt;'Operating Assumptions'!$AA$8,0,IF('Operating Assumptions'!$L17="N/A",0,IF('Operating Assumptions'!$L17="$/Unit/Annual",(('Operating Assumptions'!$M17*FG$25)*FG$36)/12,IF('Operating Assumptions'!$L17="$/Unit/Month",('Operating Assumptions'!$M17*FG$25)*FG$36,IF('Operating Assumptions'!$L17="Fixed Amount",('Operating Assumptions'!$M17*FG$25)/12,IF('Operating Assumptions'!$L17="$/GSF",(('Operating Assumptions'!$M17*FG$25)*'Operating Assumptions'!$D$11)/12,IF('Operating Assumptions'!$L17="$/NSF",(('Operating Assumptions'!$M17*FG$25)*'Operating Assumptions'!$D$12)/12))))))))</f>
        <v>0</v>
      </c>
      <c r="FH89" s="427">
        <f>-IF(FH$9&lt;'Operating Assumptions'!$D$53,0,IF(FH$6&gt;'Operating Assumptions'!$AA$8,0,IF('Operating Assumptions'!$L17="N/A",0,IF('Operating Assumptions'!$L17="$/Unit/Annual",(('Operating Assumptions'!$M17*FH$25)*FH$36)/12,IF('Operating Assumptions'!$L17="$/Unit/Month",('Operating Assumptions'!$M17*FH$25)*FH$36,IF('Operating Assumptions'!$L17="Fixed Amount",('Operating Assumptions'!$M17*FH$25)/12,IF('Operating Assumptions'!$L17="$/GSF",(('Operating Assumptions'!$M17*FH$25)*'Operating Assumptions'!$D$11)/12,IF('Operating Assumptions'!$L17="$/NSF",(('Operating Assumptions'!$M17*FH$25)*'Operating Assumptions'!$D$12)/12))))))))</f>
        <v>0</v>
      </c>
      <c r="FI89" s="427">
        <f>-IF(FI$9&lt;'Operating Assumptions'!$D$53,0,IF(FI$6&gt;'Operating Assumptions'!$AA$8,0,IF('Operating Assumptions'!$L17="N/A",0,IF('Operating Assumptions'!$L17="$/Unit/Annual",(('Operating Assumptions'!$M17*FI$25)*FI$36)/12,IF('Operating Assumptions'!$L17="$/Unit/Month",('Operating Assumptions'!$M17*FI$25)*FI$36,IF('Operating Assumptions'!$L17="Fixed Amount",('Operating Assumptions'!$M17*FI$25)/12,IF('Operating Assumptions'!$L17="$/GSF",(('Operating Assumptions'!$M17*FI$25)*'Operating Assumptions'!$D$11)/12,IF('Operating Assumptions'!$L17="$/NSF",(('Operating Assumptions'!$M17*FI$25)*'Operating Assumptions'!$D$12)/12))))))))</f>
        <v>0</v>
      </c>
      <c r="FJ89" s="427">
        <f>-IF(FJ$9&lt;'Operating Assumptions'!$D$53,0,IF(FJ$6&gt;'Operating Assumptions'!$AA$8,0,IF('Operating Assumptions'!$L17="N/A",0,IF('Operating Assumptions'!$L17="$/Unit/Annual",(('Operating Assumptions'!$M17*FJ$25)*FJ$36)/12,IF('Operating Assumptions'!$L17="$/Unit/Month",('Operating Assumptions'!$M17*FJ$25)*FJ$36,IF('Operating Assumptions'!$L17="Fixed Amount",('Operating Assumptions'!$M17*FJ$25)/12,IF('Operating Assumptions'!$L17="$/GSF",(('Operating Assumptions'!$M17*FJ$25)*'Operating Assumptions'!$D$11)/12,IF('Operating Assumptions'!$L17="$/NSF",(('Operating Assumptions'!$M17*FJ$25)*'Operating Assumptions'!$D$12)/12))))))))</f>
        <v>0</v>
      </c>
      <c r="FK89" s="427">
        <f>-IF(FK$9&lt;'Operating Assumptions'!$D$53,0,IF(FK$6&gt;'Operating Assumptions'!$AA$8,0,IF('Operating Assumptions'!$L17="N/A",0,IF('Operating Assumptions'!$L17="$/Unit/Annual",(('Operating Assumptions'!$M17*FK$25)*FK$36)/12,IF('Operating Assumptions'!$L17="$/Unit/Month",('Operating Assumptions'!$M17*FK$25)*FK$36,IF('Operating Assumptions'!$L17="Fixed Amount",('Operating Assumptions'!$M17*FK$25)/12,IF('Operating Assumptions'!$L17="$/GSF",(('Operating Assumptions'!$M17*FK$25)*'Operating Assumptions'!$D$11)/12,IF('Operating Assumptions'!$L17="$/NSF",(('Operating Assumptions'!$M17*FK$25)*'Operating Assumptions'!$D$12)/12))))))))</f>
        <v>0</v>
      </c>
      <c r="FL89" s="427">
        <f>-IF(FL$9&lt;'Operating Assumptions'!$D$53,0,IF(FL$6&gt;'Operating Assumptions'!$AA$8,0,IF('Operating Assumptions'!$L17="N/A",0,IF('Operating Assumptions'!$L17="$/Unit/Annual",(('Operating Assumptions'!$M17*FL$25)*FL$36)/12,IF('Operating Assumptions'!$L17="$/Unit/Month",('Operating Assumptions'!$M17*FL$25)*FL$36,IF('Operating Assumptions'!$L17="Fixed Amount",('Operating Assumptions'!$M17*FL$25)/12,IF('Operating Assumptions'!$L17="$/GSF",(('Operating Assumptions'!$M17*FL$25)*'Operating Assumptions'!$D$11)/12,IF('Operating Assumptions'!$L17="$/NSF",(('Operating Assumptions'!$M17*FL$25)*'Operating Assumptions'!$D$12)/12))))))))</f>
        <v>0</v>
      </c>
      <c r="FM89" s="427">
        <f>-IF(FM$9&lt;'Operating Assumptions'!$D$53,0,IF(FM$6&gt;'Operating Assumptions'!$AA$8,0,IF('Operating Assumptions'!$L17="N/A",0,IF('Operating Assumptions'!$L17="$/Unit/Annual",(('Operating Assumptions'!$M17*FM$25)*FM$36)/12,IF('Operating Assumptions'!$L17="$/Unit/Month",('Operating Assumptions'!$M17*FM$25)*FM$36,IF('Operating Assumptions'!$L17="Fixed Amount",('Operating Assumptions'!$M17*FM$25)/12,IF('Operating Assumptions'!$L17="$/GSF",(('Operating Assumptions'!$M17*FM$25)*'Operating Assumptions'!$D$11)/12,IF('Operating Assumptions'!$L17="$/NSF",(('Operating Assumptions'!$M17*FM$25)*'Operating Assumptions'!$D$12)/12))))))))</f>
        <v>0</v>
      </c>
      <c r="FN89" s="427">
        <f>-IF(FN$9&lt;'Operating Assumptions'!$D$53,0,IF(FN$6&gt;'Operating Assumptions'!$AA$8,0,IF('Operating Assumptions'!$L17="N/A",0,IF('Operating Assumptions'!$L17="$/Unit/Annual",(('Operating Assumptions'!$M17*FN$25)*FN$36)/12,IF('Operating Assumptions'!$L17="$/Unit/Month",('Operating Assumptions'!$M17*FN$25)*FN$36,IF('Operating Assumptions'!$L17="Fixed Amount",('Operating Assumptions'!$M17*FN$25)/12,IF('Operating Assumptions'!$L17="$/GSF",(('Operating Assumptions'!$M17*FN$25)*'Operating Assumptions'!$D$11)/12,IF('Operating Assumptions'!$L17="$/NSF",(('Operating Assumptions'!$M17*FN$25)*'Operating Assumptions'!$D$12)/12))))))))</f>
        <v>0</v>
      </c>
      <c r="FO89" s="427">
        <f>-IF(FO$9&lt;'Operating Assumptions'!$D$53,0,IF(FO$6&gt;'Operating Assumptions'!$AA$8,0,IF('Operating Assumptions'!$L17="N/A",0,IF('Operating Assumptions'!$L17="$/Unit/Annual",(('Operating Assumptions'!$M17*FO$25)*FO$36)/12,IF('Operating Assumptions'!$L17="$/Unit/Month",('Operating Assumptions'!$M17*FO$25)*FO$36,IF('Operating Assumptions'!$L17="Fixed Amount",('Operating Assumptions'!$M17*FO$25)/12,IF('Operating Assumptions'!$L17="$/GSF",(('Operating Assumptions'!$M17*FO$25)*'Operating Assumptions'!$D$11)/12,IF('Operating Assumptions'!$L17="$/NSF",(('Operating Assumptions'!$M17*FO$25)*'Operating Assumptions'!$D$12)/12))))))))</f>
        <v>0</v>
      </c>
      <c r="FP89" s="427">
        <f>-IF(FP$9&lt;'Operating Assumptions'!$D$53,0,IF(FP$6&gt;'Operating Assumptions'!$AA$8,0,IF('Operating Assumptions'!$L17="N/A",0,IF('Operating Assumptions'!$L17="$/Unit/Annual",(('Operating Assumptions'!$M17*FP$25)*FP$36)/12,IF('Operating Assumptions'!$L17="$/Unit/Month",('Operating Assumptions'!$M17*FP$25)*FP$36,IF('Operating Assumptions'!$L17="Fixed Amount",('Operating Assumptions'!$M17*FP$25)/12,IF('Operating Assumptions'!$L17="$/GSF",(('Operating Assumptions'!$M17*FP$25)*'Operating Assumptions'!$D$11)/12,IF('Operating Assumptions'!$L17="$/NSF",(('Operating Assumptions'!$M17*FP$25)*'Operating Assumptions'!$D$12)/12))))))))</f>
        <v>0</v>
      </c>
      <c r="FQ89" s="427">
        <f>-IF(FQ$9&lt;'Operating Assumptions'!$D$53,0,IF(FQ$6&gt;'Operating Assumptions'!$AA$8,0,IF('Operating Assumptions'!$L17="N/A",0,IF('Operating Assumptions'!$L17="$/Unit/Annual",(('Operating Assumptions'!$M17*FQ$25)*FQ$36)/12,IF('Operating Assumptions'!$L17="$/Unit/Month",('Operating Assumptions'!$M17*FQ$25)*FQ$36,IF('Operating Assumptions'!$L17="Fixed Amount",('Operating Assumptions'!$M17*FQ$25)/12,IF('Operating Assumptions'!$L17="$/GSF",(('Operating Assumptions'!$M17*FQ$25)*'Operating Assumptions'!$D$11)/12,IF('Operating Assumptions'!$L17="$/NSF",(('Operating Assumptions'!$M17*FQ$25)*'Operating Assumptions'!$D$12)/12))))))))</f>
        <v>0</v>
      </c>
      <c r="FR89" s="427">
        <f>-IF(FR$9&lt;'Operating Assumptions'!$D$53,0,IF(FR$6&gt;'Operating Assumptions'!$AA$8,0,IF('Operating Assumptions'!$L17="N/A",0,IF('Operating Assumptions'!$L17="$/Unit/Annual",(('Operating Assumptions'!$M17*FR$25)*FR$36)/12,IF('Operating Assumptions'!$L17="$/Unit/Month",('Operating Assumptions'!$M17*FR$25)*FR$36,IF('Operating Assumptions'!$L17="Fixed Amount",('Operating Assumptions'!$M17*FR$25)/12,IF('Operating Assumptions'!$L17="$/GSF",(('Operating Assumptions'!$M17*FR$25)*'Operating Assumptions'!$D$11)/12,IF('Operating Assumptions'!$L17="$/NSF",(('Operating Assumptions'!$M17*FR$25)*'Operating Assumptions'!$D$12)/12))))))))</f>
        <v>0</v>
      </c>
      <c r="FS89" s="427">
        <f>-IF(FS$9&lt;'Operating Assumptions'!$D$53,0,IF(FS$6&gt;'Operating Assumptions'!$AA$8,0,IF('Operating Assumptions'!$L17="N/A",0,IF('Operating Assumptions'!$L17="$/Unit/Annual",(('Operating Assumptions'!$M17*FS$25)*FS$36)/12,IF('Operating Assumptions'!$L17="$/Unit/Month",('Operating Assumptions'!$M17*FS$25)*FS$36,IF('Operating Assumptions'!$L17="Fixed Amount",('Operating Assumptions'!$M17*FS$25)/12,IF('Operating Assumptions'!$L17="$/GSF",(('Operating Assumptions'!$M17*FS$25)*'Operating Assumptions'!$D$11)/12,IF('Operating Assumptions'!$L17="$/NSF",(('Operating Assumptions'!$M17*FS$25)*'Operating Assumptions'!$D$12)/12))))))))</f>
        <v>0</v>
      </c>
      <c r="FT89" s="427">
        <f>-IF(FT$9&lt;'Operating Assumptions'!$D$53,0,IF(FT$6&gt;'Operating Assumptions'!$AA$8,0,IF('Operating Assumptions'!$L17="N/A",0,IF('Operating Assumptions'!$L17="$/Unit/Annual",(('Operating Assumptions'!$M17*FT$25)*FT$36)/12,IF('Operating Assumptions'!$L17="$/Unit/Month",('Operating Assumptions'!$M17*FT$25)*FT$36,IF('Operating Assumptions'!$L17="Fixed Amount",('Operating Assumptions'!$M17*FT$25)/12,IF('Operating Assumptions'!$L17="$/GSF",(('Operating Assumptions'!$M17*FT$25)*'Operating Assumptions'!$D$11)/12,IF('Operating Assumptions'!$L17="$/NSF",(('Operating Assumptions'!$M17*FT$25)*'Operating Assumptions'!$D$12)/12))))))))</f>
        <v>0</v>
      </c>
      <c r="FU89" s="43"/>
      <c r="FV89" s="34"/>
      <c r="FW89" s="34"/>
      <c r="FX89" s="34"/>
      <c r="FY89" s="34"/>
      <c r="FZ89" s="34"/>
    </row>
    <row r="90" spans="1:182" s="89" customFormat="1" ht="13.5" x14ac:dyDescent="0.25">
      <c r="A90" s="34"/>
      <c r="B90" s="128" t="str">
        <f>'Operating Assumptions'!K18</f>
        <v>Blank</v>
      </c>
      <c r="C90" s="34"/>
      <c r="D90" s="34"/>
      <c r="E90" s="34"/>
      <c r="F90" s="434">
        <f t="shared" si="172"/>
        <v>0</v>
      </c>
      <c r="G90" s="34"/>
      <c r="H90" s="427">
        <f>-IF(H$9&lt;'Operating Assumptions'!$D$53,0,IF(H$6&gt;'Operating Assumptions'!$AA$8,0,IF('Operating Assumptions'!$L18="N/A",0,IF('Operating Assumptions'!$L18="$/Unit/Annual",(('Operating Assumptions'!$M18*H$25)*H$36)/12,IF('Operating Assumptions'!$L18="$/Unit/Month",('Operating Assumptions'!$M18*H$25)*H$36,IF('Operating Assumptions'!$L18="Fixed Amount",('Operating Assumptions'!$M18*H$25)/12,IF('Operating Assumptions'!$L18="$/GSF",(('Operating Assumptions'!$M18*H$25)*'Operating Assumptions'!$D$11)/12,IF('Operating Assumptions'!$L18="$/NSF",(('Operating Assumptions'!$M18*H$25)*'Operating Assumptions'!$D$12)/12))))))))</f>
        <v>0</v>
      </c>
      <c r="I90" s="427">
        <f>-IF(I$9&lt;'Operating Assumptions'!$D$53,0,IF(I$6&gt;'Operating Assumptions'!$AA$8,0,IF('Operating Assumptions'!$L18="N/A",0,IF('Operating Assumptions'!$L18="$/Unit/Annual",(('Operating Assumptions'!$M18*I$25)*I$36)/12,IF('Operating Assumptions'!$L18="$/Unit/Month",('Operating Assumptions'!$M18*I$25)*I$36,IF('Operating Assumptions'!$L18="Fixed Amount",('Operating Assumptions'!$M18*I$25)/12,IF('Operating Assumptions'!$L18="$/GSF",(('Operating Assumptions'!$M18*I$25)*'Operating Assumptions'!$D$11)/12,IF('Operating Assumptions'!$L18="$/NSF",(('Operating Assumptions'!$M18*I$25)*'Operating Assumptions'!$D$12)/12))))))))</f>
        <v>0</v>
      </c>
      <c r="J90" s="427">
        <f>-IF(J$9&lt;'Operating Assumptions'!$D$53,0,IF(J$6&gt;'Operating Assumptions'!$AA$8,0,IF('Operating Assumptions'!$L18="N/A",0,IF('Operating Assumptions'!$L18="$/Unit/Annual",(('Operating Assumptions'!$M18*J$25)*J$36)/12,IF('Operating Assumptions'!$L18="$/Unit/Month",('Operating Assumptions'!$M18*J$25)*J$36,IF('Operating Assumptions'!$L18="Fixed Amount",('Operating Assumptions'!$M18*J$25)/12,IF('Operating Assumptions'!$L18="$/GSF",(('Operating Assumptions'!$M18*J$25)*'Operating Assumptions'!$D$11)/12,IF('Operating Assumptions'!$L18="$/NSF",(('Operating Assumptions'!$M18*J$25)*'Operating Assumptions'!$D$12)/12))))))))</f>
        <v>0</v>
      </c>
      <c r="K90" s="427">
        <f>-IF(K$9&lt;'Operating Assumptions'!$D$53,0,IF(K$6&gt;'Operating Assumptions'!$AA$8,0,IF('Operating Assumptions'!$L18="N/A",0,IF('Operating Assumptions'!$L18="$/Unit/Annual",(('Operating Assumptions'!$M18*K$25)*K$36)/12,IF('Operating Assumptions'!$L18="$/Unit/Month",('Operating Assumptions'!$M18*K$25)*K$36,IF('Operating Assumptions'!$L18="Fixed Amount",('Operating Assumptions'!$M18*K$25)/12,IF('Operating Assumptions'!$L18="$/GSF",(('Operating Assumptions'!$M18*K$25)*'Operating Assumptions'!$D$11)/12,IF('Operating Assumptions'!$L18="$/NSF",(('Operating Assumptions'!$M18*K$25)*'Operating Assumptions'!$D$12)/12))))))))</f>
        <v>0</v>
      </c>
      <c r="L90" s="427">
        <f>-IF(L$9&lt;'Operating Assumptions'!$D$53,0,IF(L$6&gt;'Operating Assumptions'!$AA$8,0,IF('Operating Assumptions'!$L18="N/A",0,IF('Operating Assumptions'!$L18="$/Unit/Annual",(('Operating Assumptions'!$M18*L$25)*L$36)/12,IF('Operating Assumptions'!$L18="$/Unit/Month",('Operating Assumptions'!$M18*L$25)*L$36,IF('Operating Assumptions'!$L18="Fixed Amount",('Operating Assumptions'!$M18*L$25)/12,IF('Operating Assumptions'!$L18="$/GSF",(('Operating Assumptions'!$M18*L$25)*'Operating Assumptions'!$D$11)/12,IF('Operating Assumptions'!$L18="$/NSF",(('Operating Assumptions'!$M18*L$25)*'Operating Assumptions'!$D$12)/12))))))))</f>
        <v>0</v>
      </c>
      <c r="M90" s="427">
        <f>-IF(M$9&lt;'Operating Assumptions'!$D$53,0,IF(M$6&gt;'Operating Assumptions'!$AA$8,0,IF('Operating Assumptions'!$L18="N/A",0,IF('Operating Assumptions'!$L18="$/Unit/Annual",(('Operating Assumptions'!$M18*M$25)*M$36)/12,IF('Operating Assumptions'!$L18="$/Unit/Month",('Operating Assumptions'!$M18*M$25)*M$36,IF('Operating Assumptions'!$L18="Fixed Amount",('Operating Assumptions'!$M18*M$25)/12,IF('Operating Assumptions'!$L18="$/GSF",(('Operating Assumptions'!$M18*M$25)*'Operating Assumptions'!$D$11)/12,IF('Operating Assumptions'!$L18="$/NSF",(('Operating Assumptions'!$M18*M$25)*'Operating Assumptions'!$D$12)/12))))))))</f>
        <v>0</v>
      </c>
      <c r="N90" s="427">
        <f>-IF(N$9&lt;'Operating Assumptions'!$D$53,0,IF(N$6&gt;'Operating Assumptions'!$AA$8,0,IF('Operating Assumptions'!$L18="N/A",0,IF('Operating Assumptions'!$L18="$/Unit/Annual",(('Operating Assumptions'!$M18*N$25)*N$36)/12,IF('Operating Assumptions'!$L18="$/Unit/Month",('Operating Assumptions'!$M18*N$25)*N$36,IF('Operating Assumptions'!$L18="Fixed Amount",('Operating Assumptions'!$M18*N$25)/12,IF('Operating Assumptions'!$L18="$/GSF",(('Operating Assumptions'!$M18*N$25)*'Operating Assumptions'!$D$11)/12,IF('Operating Assumptions'!$L18="$/NSF",(('Operating Assumptions'!$M18*N$25)*'Operating Assumptions'!$D$12)/12))))))))</f>
        <v>0</v>
      </c>
      <c r="O90" s="427">
        <f>-IF(O$9&lt;'Operating Assumptions'!$D$53,0,IF(O$6&gt;'Operating Assumptions'!$AA$8,0,IF('Operating Assumptions'!$L18="N/A",0,IF('Operating Assumptions'!$L18="$/Unit/Annual",(('Operating Assumptions'!$M18*O$25)*O$36)/12,IF('Operating Assumptions'!$L18="$/Unit/Month",('Operating Assumptions'!$M18*O$25)*O$36,IF('Operating Assumptions'!$L18="Fixed Amount",('Operating Assumptions'!$M18*O$25)/12,IF('Operating Assumptions'!$L18="$/GSF",(('Operating Assumptions'!$M18*O$25)*'Operating Assumptions'!$D$11)/12,IF('Operating Assumptions'!$L18="$/NSF",(('Operating Assumptions'!$M18*O$25)*'Operating Assumptions'!$D$12)/12))))))))</f>
        <v>0</v>
      </c>
      <c r="P90" s="427">
        <f>-IF(P$9&lt;'Operating Assumptions'!$D$53,0,IF(P$6&gt;'Operating Assumptions'!$AA$8,0,IF('Operating Assumptions'!$L18="N/A",0,IF('Operating Assumptions'!$L18="$/Unit/Annual",(('Operating Assumptions'!$M18*P$25)*P$36)/12,IF('Operating Assumptions'!$L18="$/Unit/Month",('Operating Assumptions'!$M18*P$25)*P$36,IF('Operating Assumptions'!$L18="Fixed Amount",('Operating Assumptions'!$M18*P$25)/12,IF('Operating Assumptions'!$L18="$/GSF",(('Operating Assumptions'!$M18*P$25)*'Operating Assumptions'!$D$11)/12,IF('Operating Assumptions'!$L18="$/NSF",(('Operating Assumptions'!$M18*P$25)*'Operating Assumptions'!$D$12)/12))))))))</f>
        <v>0</v>
      </c>
      <c r="Q90" s="427">
        <f>-IF(Q$9&lt;'Operating Assumptions'!$D$53,0,IF(Q$6&gt;'Operating Assumptions'!$AA$8,0,IF('Operating Assumptions'!$L18="N/A",0,IF('Operating Assumptions'!$L18="$/Unit/Annual",(('Operating Assumptions'!$M18*Q$25)*Q$36)/12,IF('Operating Assumptions'!$L18="$/Unit/Month",('Operating Assumptions'!$M18*Q$25)*Q$36,IF('Operating Assumptions'!$L18="Fixed Amount",('Operating Assumptions'!$M18*Q$25)/12,IF('Operating Assumptions'!$L18="$/GSF",(('Operating Assumptions'!$M18*Q$25)*'Operating Assumptions'!$D$11)/12,IF('Operating Assumptions'!$L18="$/NSF",(('Operating Assumptions'!$M18*Q$25)*'Operating Assumptions'!$D$12)/12))))))))</f>
        <v>0</v>
      </c>
      <c r="R90" s="427">
        <f>-IF(R$9&lt;'Operating Assumptions'!$D$53,0,IF(R$6&gt;'Operating Assumptions'!$AA$8,0,IF('Operating Assumptions'!$L18="N/A",0,IF('Operating Assumptions'!$L18="$/Unit/Annual",(('Operating Assumptions'!$M18*R$25)*R$36)/12,IF('Operating Assumptions'!$L18="$/Unit/Month",('Operating Assumptions'!$M18*R$25)*R$36,IF('Operating Assumptions'!$L18="Fixed Amount",('Operating Assumptions'!$M18*R$25)/12,IF('Operating Assumptions'!$L18="$/GSF",(('Operating Assumptions'!$M18*R$25)*'Operating Assumptions'!$D$11)/12,IF('Operating Assumptions'!$L18="$/NSF",(('Operating Assumptions'!$M18*R$25)*'Operating Assumptions'!$D$12)/12))))))))</f>
        <v>0</v>
      </c>
      <c r="S90" s="427">
        <f>-IF(S$9&lt;'Operating Assumptions'!$D$53,0,IF(S$6&gt;'Operating Assumptions'!$AA$8,0,IF('Operating Assumptions'!$L18="N/A",0,IF('Operating Assumptions'!$L18="$/Unit/Annual",(('Operating Assumptions'!$M18*S$25)*S$36)/12,IF('Operating Assumptions'!$L18="$/Unit/Month",('Operating Assumptions'!$M18*S$25)*S$36,IF('Operating Assumptions'!$L18="Fixed Amount",('Operating Assumptions'!$M18*S$25)/12,IF('Operating Assumptions'!$L18="$/GSF",(('Operating Assumptions'!$M18*S$25)*'Operating Assumptions'!$D$11)/12,IF('Operating Assumptions'!$L18="$/NSF",(('Operating Assumptions'!$M18*S$25)*'Operating Assumptions'!$D$12)/12))))))))</f>
        <v>0</v>
      </c>
      <c r="T90" s="427">
        <f>-IF(T$9&lt;'Operating Assumptions'!$D$53,0,IF(T$6&gt;'Operating Assumptions'!$AA$8,0,IF('Operating Assumptions'!$L18="N/A",0,IF('Operating Assumptions'!$L18="$/Unit/Annual",(('Operating Assumptions'!$M18*T$25)*T$36)/12,IF('Operating Assumptions'!$L18="$/Unit/Month",('Operating Assumptions'!$M18*T$25)*T$36,IF('Operating Assumptions'!$L18="Fixed Amount",('Operating Assumptions'!$M18*T$25)/12,IF('Operating Assumptions'!$L18="$/GSF",(('Operating Assumptions'!$M18*T$25)*'Operating Assumptions'!$D$11)/12,IF('Operating Assumptions'!$L18="$/NSF",(('Operating Assumptions'!$M18*T$25)*'Operating Assumptions'!$D$12)/12))))))))</f>
        <v>0</v>
      </c>
      <c r="U90" s="427">
        <f>-IF(U$9&lt;'Operating Assumptions'!$D$53,0,IF(U$6&gt;'Operating Assumptions'!$AA$8,0,IF('Operating Assumptions'!$L18="N/A",0,IF('Operating Assumptions'!$L18="$/Unit/Annual",(('Operating Assumptions'!$M18*U$25)*U$36)/12,IF('Operating Assumptions'!$L18="$/Unit/Month",('Operating Assumptions'!$M18*U$25)*U$36,IF('Operating Assumptions'!$L18="Fixed Amount",('Operating Assumptions'!$M18*U$25)/12,IF('Operating Assumptions'!$L18="$/GSF",(('Operating Assumptions'!$M18*U$25)*'Operating Assumptions'!$D$11)/12,IF('Operating Assumptions'!$L18="$/NSF",(('Operating Assumptions'!$M18*U$25)*'Operating Assumptions'!$D$12)/12))))))))</f>
        <v>0</v>
      </c>
      <c r="V90" s="427">
        <f>-IF(V$9&lt;'Operating Assumptions'!$D$53,0,IF(V$6&gt;'Operating Assumptions'!$AA$8,0,IF('Operating Assumptions'!$L18="N/A",0,IF('Operating Assumptions'!$L18="$/Unit/Annual",(('Operating Assumptions'!$M18*V$25)*V$36)/12,IF('Operating Assumptions'!$L18="$/Unit/Month",('Operating Assumptions'!$M18*V$25)*V$36,IF('Operating Assumptions'!$L18="Fixed Amount",('Operating Assumptions'!$M18*V$25)/12,IF('Operating Assumptions'!$L18="$/GSF",(('Operating Assumptions'!$M18*V$25)*'Operating Assumptions'!$D$11)/12,IF('Operating Assumptions'!$L18="$/NSF",(('Operating Assumptions'!$M18*V$25)*'Operating Assumptions'!$D$12)/12))))))))</f>
        <v>0</v>
      </c>
      <c r="W90" s="427">
        <f>-IF(W$9&lt;'Operating Assumptions'!$D$53,0,IF(W$6&gt;'Operating Assumptions'!$AA$8,0,IF('Operating Assumptions'!$L18="N/A",0,IF('Operating Assumptions'!$L18="$/Unit/Annual",(('Operating Assumptions'!$M18*W$25)*W$36)/12,IF('Operating Assumptions'!$L18="$/Unit/Month",('Operating Assumptions'!$M18*W$25)*W$36,IF('Operating Assumptions'!$L18="Fixed Amount",('Operating Assumptions'!$M18*W$25)/12,IF('Operating Assumptions'!$L18="$/GSF",(('Operating Assumptions'!$M18*W$25)*'Operating Assumptions'!$D$11)/12,IF('Operating Assumptions'!$L18="$/NSF",(('Operating Assumptions'!$M18*W$25)*'Operating Assumptions'!$D$12)/12))))))))</f>
        <v>0</v>
      </c>
      <c r="X90" s="427">
        <f>-IF(X$9&lt;'Operating Assumptions'!$D$53,0,IF(X$6&gt;'Operating Assumptions'!$AA$8,0,IF('Operating Assumptions'!$L18="N/A",0,IF('Operating Assumptions'!$L18="$/Unit/Annual",(('Operating Assumptions'!$M18*X$25)*X$36)/12,IF('Operating Assumptions'!$L18="$/Unit/Month",('Operating Assumptions'!$M18*X$25)*X$36,IF('Operating Assumptions'!$L18="Fixed Amount",('Operating Assumptions'!$M18*X$25)/12,IF('Operating Assumptions'!$L18="$/GSF",(('Operating Assumptions'!$M18*X$25)*'Operating Assumptions'!$D$11)/12,IF('Operating Assumptions'!$L18="$/NSF",(('Operating Assumptions'!$M18*X$25)*'Operating Assumptions'!$D$12)/12))))))))</f>
        <v>0</v>
      </c>
      <c r="Y90" s="427">
        <f>-IF(Y$9&lt;'Operating Assumptions'!$D$53,0,IF(Y$6&gt;'Operating Assumptions'!$AA$8,0,IF('Operating Assumptions'!$L18="N/A",0,IF('Operating Assumptions'!$L18="$/Unit/Annual",(('Operating Assumptions'!$M18*Y$25)*Y$36)/12,IF('Operating Assumptions'!$L18="$/Unit/Month",('Operating Assumptions'!$M18*Y$25)*Y$36,IF('Operating Assumptions'!$L18="Fixed Amount",('Operating Assumptions'!$M18*Y$25)/12,IF('Operating Assumptions'!$L18="$/GSF",(('Operating Assumptions'!$M18*Y$25)*'Operating Assumptions'!$D$11)/12,IF('Operating Assumptions'!$L18="$/NSF",(('Operating Assumptions'!$M18*Y$25)*'Operating Assumptions'!$D$12)/12))))))))</f>
        <v>0</v>
      </c>
      <c r="Z90" s="427">
        <f>-IF(Z$9&lt;'Operating Assumptions'!$D$53,0,IF(Z$6&gt;'Operating Assumptions'!$AA$8,0,IF('Operating Assumptions'!$L18="N/A",0,IF('Operating Assumptions'!$L18="$/Unit/Annual",(('Operating Assumptions'!$M18*Z$25)*Z$36)/12,IF('Operating Assumptions'!$L18="$/Unit/Month",('Operating Assumptions'!$M18*Z$25)*Z$36,IF('Operating Assumptions'!$L18="Fixed Amount",('Operating Assumptions'!$M18*Z$25)/12,IF('Operating Assumptions'!$L18="$/GSF",(('Operating Assumptions'!$M18*Z$25)*'Operating Assumptions'!$D$11)/12,IF('Operating Assumptions'!$L18="$/NSF",(('Operating Assumptions'!$M18*Z$25)*'Operating Assumptions'!$D$12)/12))))))))</f>
        <v>0</v>
      </c>
      <c r="AA90" s="427">
        <f>-IF(AA$9&lt;'Operating Assumptions'!$D$53,0,IF(AA$6&gt;'Operating Assumptions'!$AA$8,0,IF('Operating Assumptions'!$L18="N/A",0,IF('Operating Assumptions'!$L18="$/Unit/Annual",(('Operating Assumptions'!$M18*AA$25)*AA$36)/12,IF('Operating Assumptions'!$L18="$/Unit/Month",('Operating Assumptions'!$M18*AA$25)*AA$36,IF('Operating Assumptions'!$L18="Fixed Amount",('Operating Assumptions'!$M18*AA$25)/12,IF('Operating Assumptions'!$L18="$/GSF",(('Operating Assumptions'!$M18*AA$25)*'Operating Assumptions'!$D$11)/12,IF('Operating Assumptions'!$L18="$/NSF",(('Operating Assumptions'!$M18*AA$25)*'Operating Assumptions'!$D$12)/12))))))))</f>
        <v>0</v>
      </c>
      <c r="AB90" s="427">
        <f>-IF(AB$9&lt;'Operating Assumptions'!$D$53,0,IF(AB$6&gt;'Operating Assumptions'!$AA$8,0,IF('Operating Assumptions'!$L18="N/A",0,IF('Operating Assumptions'!$L18="$/Unit/Annual",(('Operating Assumptions'!$M18*AB$25)*AB$36)/12,IF('Operating Assumptions'!$L18="$/Unit/Month",('Operating Assumptions'!$M18*AB$25)*AB$36,IF('Operating Assumptions'!$L18="Fixed Amount",('Operating Assumptions'!$M18*AB$25)/12,IF('Operating Assumptions'!$L18="$/GSF",(('Operating Assumptions'!$M18*AB$25)*'Operating Assumptions'!$D$11)/12,IF('Operating Assumptions'!$L18="$/NSF",(('Operating Assumptions'!$M18*AB$25)*'Operating Assumptions'!$D$12)/12))))))))</f>
        <v>0</v>
      </c>
      <c r="AC90" s="427">
        <f>-IF(AC$9&lt;'Operating Assumptions'!$D$53,0,IF(AC$6&gt;'Operating Assumptions'!$AA$8,0,IF('Operating Assumptions'!$L18="N/A",0,IF('Operating Assumptions'!$L18="$/Unit/Annual",(('Operating Assumptions'!$M18*AC$25)*AC$36)/12,IF('Operating Assumptions'!$L18="$/Unit/Month",('Operating Assumptions'!$M18*AC$25)*AC$36,IF('Operating Assumptions'!$L18="Fixed Amount",('Operating Assumptions'!$M18*AC$25)/12,IF('Operating Assumptions'!$L18="$/GSF",(('Operating Assumptions'!$M18*AC$25)*'Operating Assumptions'!$D$11)/12,IF('Operating Assumptions'!$L18="$/NSF",(('Operating Assumptions'!$M18*AC$25)*'Operating Assumptions'!$D$12)/12))))))))</f>
        <v>0</v>
      </c>
      <c r="AD90" s="427">
        <f>-IF(AD$9&lt;'Operating Assumptions'!$D$53,0,IF(AD$6&gt;'Operating Assumptions'!$AA$8,0,IF('Operating Assumptions'!$L18="N/A",0,IF('Operating Assumptions'!$L18="$/Unit/Annual",(('Operating Assumptions'!$M18*AD$25)*AD$36)/12,IF('Operating Assumptions'!$L18="$/Unit/Month",('Operating Assumptions'!$M18*AD$25)*AD$36,IF('Operating Assumptions'!$L18="Fixed Amount",('Operating Assumptions'!$M18*AD$25)/12,IF('Operating Assumptions'!$L18="$/GSF",(('Operating Assumptions'!$M18*AD$25)*'Operating Assumptions'!$D$11)/12,IF('Operating Assumptions'!$L18="$/NSF",(('Operating Assumptions'!$M18*AD$25)*'Operating Assumptions'!$D$12)/12))))))))</f>
        <v>0</v>
      </c>
      <c r="AE90" s="427">
        <f>-IF(AE$9&lt;'Operating Assumptions'!$D$53,0,IF(AE$6&gt;'Operating Assumptions'!$AA$8,0,IF('Operating Assumptions'!$L18="N/A",0,IF('Operating Assumptions'!$L18="$/Unit/Annual",(('Operating Assumptions'!$M18*AE$25)*AE$36)/12,IF('Operating Assumptions'!$L18="$/Unit/Month",('Operating Assumptions'!$M18*AE$25)*AE$36,IF('Operating Assumptions'!$L18="Fixed Amount",('Operating Assumptions'!$M18*AE$25)/12,IF('Operating Assumptions'!$L18="$/GSF",(('Operating Assumptions'!$M18*AE$25)*'Operating Assumptions'!$D$11)/12,IF('Operating Assumptions'!$L18="$/NSF",(('Operating Assumptions'!$M18*AE$25)*'Operating Assumptions'!$D$12)/12))))))))</f>
        <v>0</v>
      </c>
      <c r="AF90" s="427">
        <f>-IF(AF$9&lt;'Operating Assumptions'!$D$53,0,IF(AF$6&gt;'Operating Assumptions'!$AA$8,0,IF('Operating Assumptions'!$L18="N/A",0,IF('Operating Assumptions'!$L18="$/Unit/Annual",(('Operating Assumptions'!$M18*AF$25)*AF$36)/12,IF('Operating Assumptions'!$L18="$/Unit/Month",('Operating Assumptions'!$M18*AF$25)*AF$36,IF('Operating Assumptions'!$L18="Fixed Amount",('Operating Assumptions'!$M18*AF$25)/12,IF('Operating Assumptions'!$L18="$/GSF",(('Operating Assumptions'!$M18*AF$25)*'Operating Assumptions'!$D$11)/12,IF('Operating Assumptions'!$L18="$/NSF",(('Operating Assumptions'!$M18*AF$25)*'Operating Assumptions'!$D$12)/12))))))))</f>
        <v>0</v>
      </c>
      <c r="AG90" s="427">
        <f>-IF(AG$9&lt;'Operating Assumptions'!$D$53,0,IF(AG$6&gt;'Operating Assumptions'!$AA$8,0,IF('Operating Assumptions'!$L18="N/A",0,IF('Operating Assumptions'!$L18="$/Unit/Annual",(('Operating Assumptions'!$M18*AG$25)*AG$36)/12,IF('Operating Assumptions'!$L18="$/Unit/Month",('Operating Assumptions'!$M18*AG$25)*AG$36,IF('Operating Assumptions'!$L18="Fixed Amount",('Operating Assumptions'!$M18*AG$25)/12,IF('Operating Assumptions'!$L18="$/GSF",(('Operating Assumptions'!$M18*AG$25)*'Operating Assumptions'!$D$11)/12,IF('Operating Assumptions'!$L18="$/NSF",(('Operating Assumptions'!$M18*AG$25)*'Operating Assumptions'!$D$12)/12))))))))</f>
        <v>0</v>
      </c>
      <c r="AH90" s="427">
        <f>-IF(AH$9&lt;'Operating Assumptions'!$D$53,0,IF(AH$6&gt;'Operating Assumptions'!$AA$8,0,IF('Operating Assumptions'!$L18="N/A",0,IF('Operating Assumptions'!$L18="$/Unit/Annual",(('Operating Assumptions'!$M18*AH$25)*AH$36)/12,IF('Operating Assumptions'!$L18="$/Unit/Month",('Operating Assumptions'!$M18*AH$25)*AH$36,IF('Operating Assumptions'!$L18="Fixed Amount",('Operating Assumptions'!$M18*AH$25)/12,IF('Operating Assumptions'!$L18="$/GSF",(('Operating Assumptions'!$M18*AH$25)*'Operating Assumptions'!$D$11)/12,IF('Operating Assumptions'!$L18="$/NSF",(('Operating Assumptions'!$M18*AH$25)*'Operating Assumptions'!$D$12)/12))))))))</f>
        <v>0</v>
      </c>
      <c r="AI90" s="427">
        <f>-IF(AI$9&lt;'Operating Assumptions'!$D$53,0,IF(AI$6&gt;'Operating Assumptions'!$AA$8,0,IF('Operating Assumptions'!$L18="N/A",0,IF('Operating Assumptions'!$L18="$/Unit/Annual",(('Operating Assumptions'!$M18*AI$25)*AI$36)/12,IF('Operating Assumptions'!$L18="$/Unit/Month",('Operating Assumptions'!$M18*AI$25)*AI$36,IF('Operating Assumptions'!$L18="Fixed Amount",('Operating Assumptions'!$M18*AI$25)/12,IF('Operating Assumptions'!$L18="$/GSF",(('Operating Assumptions'!$M18*AI$25)*'Operating Assumptions'!$D$11)/12,IF('Operating Assumptions'!$L18="$/NSF",(('Operating Assumptions'!$M18*AI$25)*'Operating Assumptions'!$D$12)/12))))))))</f>
        <v>0</v>
      </c>
      <c r="AJ90" s="427">
        <f>-IF(AJ$9&lt;'Operating Assumptions'!$D$53,0,IF(AJ$6&gt;'Operating Assumptions'!$AA$8,0,IF('Operating Assumptions'!$L18="N/A",0,IF('Operating Assumptions'!$L18="$/Unit/Annual",(('Operating Assumptions'!$M18*AJ$25)*AJ$36)/12,IF('Operating Assumptions'!$L18="$/Unit/Month",('Operating Assumptions'!$M18*AJ$25)*AJ$36,IF('Operating Assumptions'!$L18="Fixed Amount",('Operating Assumptions'!$M18*AJ$25)/12,IF('Operating Assumptions'!$L18="$/GSF",(('Operating Assumptions'!$M18*AJ$25)*'Operating Assumptions'!$D$11)/12,IF('Operating Assumptions'!$L18="$/NSF",(('Operating Assumptions'!$M18*AJ$25)*'Operating Assumptions'!$D$12)/12))))))))</f>
        <v>0</v>
      </c>
      <c r="AK90" s="427">
        <f>-IF(AK$9&lt;'Operating Assumptions'!$D$53,0,IF(AK$6&gt;'Operating Assumptions'!$AA$8,0,IF('Operating Assumptions'!$L18="N/A",0,IF('Operating Assumptions'!$L18="$/Unit/Annual",(('Operating Assumptions'!$M18*AK$25)*AK$36)/12,IF('Operating Assumptions'!$L18="$/Unit/Month",('Operating Assumptions'!$M18*AK$25)*AK$36,IF('Operating Assumptions'!$L18="Fixed Amount",('Operating Assumptions'!$M18*AK$25)/12,IF('Operating Assumptions'!$L18="$/GSF",(('Operating Assumptions'!$M18*AK$25)*'Operating Assumptions'!$D$11)/12,IF('Operating Assumptions'!$L18="$/NSF",(('Operating Assumptions'!$M18*AK$25)*'Operating Assumptions'!$D$12)/12))))))))</f>
        <v>0</v>
      </c>
      <c r="AL90" s="427">
        <f>-IF(AL$9&lt;'Operating Assumptions'!$D$53,0,IF(AL$6&gt;'Operating Assumptions'!$AA$8,0,IF('Operating Assumptions'!$L18="N/A",0,IF('Operating Assumptions'!$L18="$/Unit/Annual",(('Operating Assumptions'!$M18*AL$25)*AL$36)/12,IF('Operating Assumptions'!$L18="$/Unit/Month",('Operating Assumptions'!$M18*AL$25)*AL$36,IF('Operating Assumptions'!$L18="Fixed Amount",('Operating Assumptions'!$M18*AL$25)/12,IF('Operating Assumptions'!$L18="$/GSF",(('Operating Assumptions'!$M18*AL$25)*'Operating Assumptions'!$D$11)/12,IF('Operating Assumptions'!$L18="$/NSF",(('Operating Assumptions'!$M18*AL$25)*'Operating Assumptions'!$D$12)/12))))))))</f>
        <v>0</v>
      </c>
      <c r="AM90" s="427">
        <f>-IF(AM$9&lt;'Operating Assumptions'!$D$53,0,IF(AM$6&gt;'Operating Assumptions'!$AA$8,0,IF('Operating Assumptions'!$L18="N/A",0,IF('Operating Assumptions'!$L18="$/Unit/Annual",(('Operating Assumptions'!$M18*AM$25)*AM$36)/12,IF('Operating Assumptions'!$L18="$/Unit/Month",('Operating Assumptions'!$M18*AM$25)*AM$36,IF('Operating Assumptions'!$L18="Fixed Amount",('Operating Assumptions'!$M18*AM$25)/12,IF('Operating Assumptions'!$L18="$/GSF",(('Operating Assumptions'!$M18*AM$25)*'Operating Assumptions'!$D$11)/12,IF('Operating Assumptions'!$L18="$/NSF",(('Operating Assumptions'!$M18*AM$25)*'Operating Assumptions'!$D$12)/12))))))))</f>
        <v>0</v>
      </c>
      <c r="AN90" s="427">
        <f>-IF(AN$9&lt;'Operating Assumptions'!$D$53,0,IF(AN$6&gt;'Operating Assumptions'!$AA$8,0,IF('Operating Assumptions'!$L18="N/A",0,IF('Operating Assumptions'!$L18="$/Unit/Annual",(('Operating Assumptions'!$M18*AN$25)*AN$36)/12,IF('Operating Assumptions'!$L18="$/Unit/Month",('Operating Assumptions'!$M18*AN$25)*AN$36,IF('Operating Assumptions'!$L18="Fixed Amount",('Operating Assumptions'!$M18*AN$25)/12,IF('Operating Assumptions'!$L18="$/GSF",(('Operating Assumptions'!$M18*AN$25)*'Operating Assumptions'!$D$11)/12,IF('Operating Assumptions'!$L18="$/NSF",(('Operating Assumptions'!$M18*AN$25)*'Operating Assumptions'!$D$12)/12))))))))</f>
        <v>0</v>
      </c>
      <c r="AO90" s="427">
        <f>-IF(AO$9&lt;'Operating Assumptions'!$D$53,0,IF(AO$6&gt;'Operating Assumptions'!$AA$8,0,IF('Operating Assumptions'!$L18="N/A",0,IF('Operating Assumptions'!$L18="$/Unit/Annual",(('Operating Assumptions'!$M18*AO$25)*AO$36)/12,IF('Operating Assumptions'!$L18="$/Unit/Month",('Operating Assumptions'!$M18*AO$25)*AO$36,IF('Operating Assumptions'!$L18="Fixed Amount",('Operating Assumptions'!$M18*AO$25)/12,IF('Operating Assumptions'!$L18="$/GSF",(('Operating Assumptions'!$M18*AO$25)*'Operating Assumptions'!$D$11)/12,IF('Operating Assumptions'!$L18="$/NSF",(('Operating Assumptions'!$M18*AO$25)*'Operating Assumptions'!$D$12)/12))))))))</f>
        <v>0</v>
      </c>
      <c r="AP90" s="427">
        <f>-IF(AP$9&lt;'Operating Assumptions'!$D$53,0,IF(AP$6&gt;'Operating Assumptions'!$AA$8,0,IF('Operating Assumptions'!$L18="N/A",0,IF('Operating Assumptions'!$L18="$/Unit/Annual",(('Operating Assumptions'!$M18*AP$25)*AP$36)/12,IF('Operating Assumptions'!$L18="$/Unit/Month",('Operating Assumptions'!$M18*AP$25)*AP$36,IF('Operating Assumptions'!$L18="Fixed Amount",('Operating Assumptions'!$M18*AP$25)/12,IF('Operating Assumptions'!$L18="$/GSF",(('Operating Assumptions'!$M18*AP$25)*'Operating Assumptions'!$D$11)/12,IF('Operating Assumptions'!$L18="$/NSF",(('Operating Assumptions'!$M18*AP$25)*'Operating Assumptions'!$D$12)/12))))))))</f>
        <v>0</v>
      </c>
      <c r="AQ90" s="427">
        <f>-IF(AQ$9&lt;'Operating Assumptions'!$D$53,0,IF(AQ$6&gt;'Operating Assumptions'!$AA$8,0,IF('Operating Assumptions'!$L18="N/A",0,IF('Operating Assumptions'!$L18="$/Unit/Annual",(('Operating Assumptions'!$M18*AQ$25)*AQ$36)/12,IF('Operating Assumptions'!$L18="$/Unit/Month",('Operating Assumptions'!$M18*AQ$25)*AQ$36,IF('Operating Assumptions'!$L18="Fixed Amount",('Operating Assumptions'!$M18*AQ$25)/12,IF('Operating Assumptions'!$L18="$/GSF",(('Operating Assumptions'!$M18*AQ$25)*'Operating Assumptions'!$D$11)/12,IF('Operating Assumptions'!$L18="$/NSF",(('Operating Assumptions'!$M18*AQ$25)*'Operating Assumptions'!$D$12)/12))))))))</f>
        <v>0</v>
      </c>
      <c r="AR90" s="427">
        <f>-IF(AR$9&lt;'Operating Assumptions'!$D$53,0,IF(AR$6&gt;'Operating Assumptions'!$AA$8,0,IF('Operating Assumptions'!$L18="N/A",0,IF('Operating Assumptions'!$L18="$/Unit/Annual",(('Operating Assumptions'!$M18*AR$25)*AR$36)/12,IF('Operating Assumptions'!$L18="$/Unit/Month",('Operating Assumptions'!$M18*AR$25)*AR$36,IF('Operating Assumptions'!$L18="Fixed Amount",('Operating Assumptions'!$M18*AR$25)/12,IF('Operating Assumptions'!$L18="$/GSF",(('Operating Assumptions'!$M18*AR$25)*'Operating Assumptions'!$D$11)/12,IF('Operating Assumptions'!$L18="$/NSF",(('Operating Assumptions'!$M18*AR$25)*'Operating Assumptions'!$D$12)/12))))))))</f>
        <v>0</v>
      </c>
      <c r="AS90" s="427">
        <f>-IF(AS$9&lt;'Operating Assumptions'!$D$53,0,IF(AS$6&gt;'Operating Assumptions'!$AA$8,0,IF('Operating Assumptions'!$L18="N/A",0,IF('Operating Assumptions'!$L18="$/Unit/Annual",(('Operating Assumptions'!$M18*AS$25)*AS$36)/12,IF('Operating Assumptions'!$L18="$/Unit/Month",('Operating Assumptions'!$M18*AS$25)*AS$36,IF('Operating Assumptions'!$L18="Fixed Amount",('Operating Assumptions'!$M18*AS$25)/12,IF('Operating Assumptions'!$L18="$/GSF",(('Operating Assumptions'!$M18*AS$25)*'Operating Assumptions'!$D$11)/12,IF('Operating Assumptions'!$L18="$/NSF",(('Operating Assumptions'!$M18*AS$25)*'Operating Assumptions'!$D$12)/12))))))))</f>
        <v>0</v>
      </c>
      <c r="AT90" s="427">
        <f>-IF(AT$9&lt;'Operating Assumptions'!$D$53,0,IF(AT$6&gt;'Operating Assumptions'!$AA$8,0,IF('Operating Assumptions'!$L18="N/A",0,IF('Operating Assumptions'!$L18="$/Unit/Annual",(('Operating Assumptions'!$M18*AT$25)*AT$36)/12,IF('Operating Assumptions'!$L18="$/Unit/Month",('Operating Assumptions'!$M18*AT$25)*AT$36,IF('Operating Assumptions'!$L18="Fixed Amount",('Operating Assumptions'!$M18*AT$25)/12,IF('Operating Assumptions'!$L18="$/GSF",(('Operating Assumptions'!$M18*AT$25)*'Operating Assumptions'!$D$11)/12,IF('Operating Assumptions'!$L18="$/NSF",(('Operating Assumptions'!$M18*AT$25)*'Operating Assumptions'!$D$12)/12))))))))</f>
        <v>0</v>
      </c>
      <c r="AU90" s="427">
        <f>-IF(AU$9&lt;'Operating Assumptions'!$D$53,0,IF(AU$6&gt;'Operating Assumptions'!$AA$8,0,IF('Operating Assumptions'!$L18="N/A",0,IF('Operating Assumptions'!$L18="$/Unit/Annual",(('Operating Assumptions'!$M18*AU$25)*AU$36)/12,IF('Operating Assumptions'!$L18="$/Unit/Month",('Operating Assumptions'!$M18*AU$25)*AU$36,IF('Operating Assumptions'!$L18="Fixed Amount",('Operating Assumptions'!$M18*AU$25)/12,IF('Operating Assumptions'!$L18="$/GSF",(('Operating Assumptions'!$M18*AU$25)*'Operating Assumptions'!$D$11)/12,IF('Operating Assumptions'!$L18="$/NSF",(('Operating Assumptions'!$M18*AU$25)*'Operating Assumptions'!$D$12)/12))))))))</f>
        <v>0</v>
      </c>
      <c r="AV90" s="427">
        <f>-IF(AV$9&lt;'Operating Assumptions'!$D$53,0,IF(AV$6&gt;'Operating Assumptions'!$AA$8,0,IF('Operating Assumptions'!$L18="N/A",0,IF('Operating Assumptions'!$L18="$/Unit/Annual",(('Operating Assumptions'!$M18*AV$25)*AV$36)/12,IF('Operating Assumptions'!$L18="$/Unit/Month",('Operating Assumptions'!$M18*AV$25)*AV$36,IF('Operating Assumptions'!$L18="Fixed Amount",('Operating Assumptions'!$M18*AV$25)/12,IF('Operating Assumptions'!$L18="$/GSF",(('Operating Assumptions'!$M18*AV$25)*'Operating Assumptions'!$D$11)/12,IF('Operating Assumptions'!$L18="$/NSF",(('Operating Assumptions'!$M18*AV$25)*'Operating Assumptions'!$D$12)/12))))))))</f>
        <v>0</v>
      </c>
      <c r="AW90" s="427">
        <f>-IF(AW$9&lt;'Operating Assumptions'!$D$53,0,IF(AW$6&gt;'Operating Assumptions'!$AA$8,0,IF('Operating Assumptions'!$L18="N/A",0,IF('Operating Assumptions'!$L18="$/Unit/Annual",(('Operating Assumptions'!$M18*AW$25)*AW$36)/12,IF('Operating Assumptions'!$L18="$/Unit/Month",('Operating Assumptions'!$M18*AW$25)*AW$36,IF('Operating Assumptions'!$L18="Fixed Amount",('Operating Assumptions'!$M18*AW$25)/12,IF('Operating Assumptions'!$L18="$/GSF",(('Operating Assumptions'!$M18*AW$25)*'Operating Assumptions'!$D$11)/12,IF('Operating Assumptions'!$L18="$/NSF",(('Operating Assumptions'!$M18*AW$25)*'Operating Assumptions'!$D$12)/12))))))))</f>
        <v>0</v>
      </c>
      <c r="AX90" s="427">
        <f>-IF(AX$9&lt;'Operating Assumptions'!$D$53,0,IF(AX$6&gt;'Operating Assumptions'!$AA$8,0,IF('Operating Assumptions'!$L18="N/A",0,IF('Operating Assumptions'!$L18="$/Unit/Annual",(('Operating Assumptions'!$M18*AX$25)*AX$36)/12,IF('Operating Assumptions'!$L18="$/Unit/Month",('Operating Assumptions'!$M18*AX$25)*AX$36,IF('Operating Assumptions'!$L18="Fixed Amount",('Operating Assumptions'!$M18*AX$25)/12,IF('Operating Assumptions'!$L18="$/GSF",(('Operating Assumptions'!$M18*AX$25)*'Operating Assumptions'!$D$11)/12,IF('Operating Assumptions'!$L18="$/NSF",(('Operating Assumptions'!$M18*AX$25)*'Operating Assumptions'!$D$12)/12))))))))</f>
        <v>0</v>
      </c>
      <c r="AY90" s="427">
        <f>-IF(AY$9&lt;'Operating Assumptions'!$D$53,0,IF(AY$6&gt;'Operating Assumptions'!$AA$8,0,IF('Operating Assumptions'!$L18="N/A",0,IF('Operating Assumptions'!$L18="$/Unit/Annual",(('Operating Assumptions'!$M18*AY$25)*AY$36)/12,IF('Operating Assumptions'!$L18="$/Unit/Month",('Operating Assumptions'!$M18*AY$25)*AY$36,IF('Operating Assumptions'!$L18="Fixed Amount",('Operating Assumptions'!$M18*AY$25)/12,IF('Operating Assumptions'!$L18="$/GSF",(('Operating Assumptions'!$M18*AY$25)*'Operating Assumptions'!$D$11)/12,IF('Operating Assumptions'!$L18="$/NSF",(('Operating Assumptions'!$M18*AY$25)*'Operating Assumptions'!$D$12)/12))))))))</f>
        <v>0</v>
      </c>
      <c r="AZ90" s="427">
        <f>-IF(AZ$9&lt;'Operating Assumptions'!$D$53,0,IF(AZ$6&gt;'Operating Assumptions'!$AA$8,0,IF('Operating Assumptions'!$L18="N/A",0,IF('Operating Assumptions'!$L18="$/Unit/Annual",(('Operating Assumptions'!$M18*AZ$25)*AZ$36)/12,IF('Operating Assumptions'!$L18="$/Unit/Month",('Operating Assumptions'!$M18*AZ$25)*AZ$36,IF('Operating Assumptions'!$L18="Fixed Amount",('Operating Assumptions'!$M18*AZ$25)/12,IF('Operating Assumptions'!$L18="$/GSF",(('Operating Assumptions'!$M18*AZ$25)*'Operating Assumptions'!$D$11)/12,IF('Operating Assumptions'!$L18="$/NSF",(('Operating Assumptions'!$M18*AZ$25)*'Operating Assumptions'!$D$12)/12))))))))</f>
        <v>0</v>
      </c>
      <c r="BA90" s="427">
        <f>-IF(BA$9&lt;'Operating Assumptions'!$D$53,0,IF(BA$6&gt;'Operating Assumptions'!$AA$8,0,IF('Operating Assumptions'!$L18="N/A",0,IF('Operating Assumptions'!$L18="$/Unit/Annual",(('Operating Assumptions'!$M18*BA$25)*BA$36)/12,IF('Operating Assumptions'!$L18="$/Unit/Month",('Operating Assumptions'!$M18*BA$25)*BA$36,IF('Operating Assumptions'!$L18="Fixed Amount",('Operating Assumptions'!$M18*BA$25)/12,IF('Operating Assumptions'!$L18="$/GSF",(('Operating Assumptions'!$M18*BA$25)*'Operating Assumptions'!$D$11)/12,IF('Operating Assumptions'!$L18="$/NSF",(('Operating Assumptions'!$M18*BA$25)*'Operating Assumptions'!$D$12)/12))))))))</f>
        <v>0</v>
      </c>
      <c r="BB90" s="427">
        <f>-IF(BB$9&lt;'Operating Assumptions'!$D$53,0,IF(BB$6&gt;'Operating Assumptions'!$AA$8,0,IF('Operating Assumptions'!$L18="N/A",0,IF('Operating Assumptions'!$L18="$/Unit/Annual",(('Operating Assumptions'!$M18*BB$25)*BB$36)/12,IF('Operating Assumptions'!$L18="$/Unit/Month",('Operating Assumptions'!$M18*BB$25)*BB$36,IF('Operating Assumptions'!$L18="Fixed Amount",('Operating Assumptions'!$M18*BB$25)/12,IF('Operating Assumptions'!$L18="$/GSF",(('Operating Assumptions'!$M18*BB$25)*'Operating Assumptions'!$D$11)/12,IF('Operating Assumptions'!$L18="$/NSF",(('Operating Assumptions'!$M18*BB$25)*'Operating Assumptions'!$D$12)/12))))))))</f>
        <v>0</v>
      </c>
      <c r="BC90" s="427">
        <f>-IF(BC$9&lt;'Operating Assumptions'!$D$53,0,IF(BC$6&gt;'Operating Assumptions'!$AA$8,0,IF('Operating Assumptions'!$L18="N/A",0,IF('Operating Assumptions'!$L18="$/Unit/Annual",(('Operating Assumptions'!$M18*BC$25)*BC$36)/12,IF('Operating Assumptions'!$L18="$/Unit/Month",('Operating Assumptions'!$M18*BC$25)*BC$36,IF('Operating Assumptions'!$L18="Fixed Amount",('Operating Assumptions'!$M18*BC$25)/12,IF('Operating Assumptions'!$L18="$/GSF",(('Operating Assumptions'!$M18*BC$25)*'Operating Assumptions'!$D$11)/12,IF('Operating Assumptions'!$L18="$/NSF",(('Operating Assumptions'!$M18*BC$25)*'Operating Assumptions'!$D$12)/12))))))))</f>
        <v>0</v>
      </c>
      <c r="BD90" s="427">
        <f>-IF(BD$9&lt;'Operating Assumptions'!$D$53,0,IF(BD$6&gt;'Operating Assumptions'!$AA$8,0,IF('Operating Assumptions'!$L18="N/A",0,IF('Operating Assumptions'!$L18="$/Unit/Annual",(('Operating Assumptions'!$M18*BD$25)*BD$36)/12,IF('Operating Assumptions'!$L18="$/Unit/Month",('Operating Assumptions'!$M18*BD$25)*BD$36,IF('Operating Assumptions'!$L18="Fixed Amount",('Operating Assumptions'!$M18*BD$25)/12,IF('Operating Assumptions'!$L18="$/GSF",(('Operating Assumptions'!$M18*BD$25)*'Operating Assumptions'!$D$11)/12,IF('Operating Assumptions'!$L18="$/NSF",(('Operating Assumptions'!$M18*BD$25)*'Operating Assumptions'!$D$12)/12))))))))</f>
        <v>0</v>
      </c>
      <c r="BE90" s="427">
        <f>-IF(BE$9&lt;'Operating Assumptions'!$D$53,0,IF(BE$6&gt;'Operating Assumptions'!$AA$8,0,IF('Operating Assumptions'!$L18="N/A",0,IF('Operating Assumptions'!$L18="$/Unit/Annual",(('Operating Assumptions'!$M18*BE$25)*BE$36)/12,IF('Operating Assumptions'!$L18="$/Unit/Month",('Operating Assumptions'!$M18*BE$25)*BE$36,IF('Operating Assumptions'!$L18="Fixed Amount",('Operating Assumptions'!$M18*BE$25)/12,IF('Operating Assumptions'!$L18="$/GSF",(('Operating Assumptions'!$M18*BE$25)*'Operating Assumptions'!$D$11)/12,IF('Operating Assumptions'!$L18="$/NSF",(('Operating Assumptions'!$M18*BE$25)*'Operating Assumptions'!$D$12)/12))))))))</f>
        <v>0</v>
      </c>
      <c r="BF90" s="427">
        <f>-IF(BF$9&lt;'Operating Assumptions'!$D$53,0,IF(BF$6&gt;'Operating Assumptions'!$AA$8,0,IF('Operating Assumptions'!$L18="N/A",0,IF('Operating Assumptions'!$L18="$/Unit/Annual",(('Operating Assumptions'!$M18*BF$25)*BF$36)/12,IF('Operating Assumptions'!$L18="$/Unit/Month",('Operating Assumptions'!$M18*BF$25)*BF$36,IF('Operating Assumptions'!$L18="Fixed Amount",('Operating Assumptions'!$M18*BF$25)/12,IF('Operating Assumptions'!$L18="$/GSF",(('Operating Assumptions'!$M18*BF$25)*'Operating Assumptions'!$D$11)/12,IF('Operating Assumptions'!$L18="$/NSF",(('Operating Assumptions'!$M18*BF$25)*'Operating Assumptions'!$D$12)/12))))))))</f>
        <v>0</v>
      </c>
      <c r="BG90" s="427">
        <f>-IF(BG$9&lt;'Operating Assumptions'!$D$53,0,IF(BG$6&gt;'Operating Assumptions'!$AA$8,0,IF('Operating Assumptions'!$L18="N/A",0,IF('Operating Assumptions'!$L18="$/Unit/Annual",(('Operating Assumptions'!$M18*BG$25)*BG$36)/12,IF('Operating Assumptions'!$L18="$/Unit/Month",('Operating Assumptions'!$M18*BG$25)*BG$36,IF('Operating Assumptions'!$L18="Fixed Amount",('Operating Assumptions'!$M18*BG$25)/12,IF('Operating Assumptions'!$L18="$/GSF",(('Operating Assumptions'!$M18*BG$25)*'Operating Assumptions'!$D$11)/12,IF('Operating Assumptions'!$L18="$/NSF",(('Operating Assumptions'!$M18*BG$25)*'Operating Assumptions'!$D$12)/12))))))))</f>
        <v>0</v>
      </c>
      <c r="BH90" s="427">
        <f>-IF(BH$9&lt;'Operating Assumptions'!$D$53,0,IF(BH$6&gt;'Operating Assumptions'!$AA$8,0,IF('Operating Assumptions'!$L18="N/A",0,IF('Operating Assumptions'!$L18="$/Unit/Annual",(('Operating Assumptions'!$M18*BH$25)*BH$36)/12,IF('Operating Assumptions'!$L18="$/Unit/Month",('Operating Assumptions'!$M18*BH$25)*BH$36,IF('Operating Assumptions'!$L18="Fixed Amount",('Operating Assumptions'!$M18*BH$25)/12,IF('Operating Assumptions'!$L18="$/GSF",(('Operating Assumptions'!$M18*BH$25)*'Operating Assumptions'!$D$11)/12,IF('Operating Assumptions'!$L18="$/NSF",(('Operating Assumptions'!$M18*BH$25)*'Operating Assumptions'!$D$12)/12))))))))</f>
        <v>0</v>
      </c>
      <c r="BI90" s="427">
        <f>-IF(BI$9&lt;'Operating Assumptions'!$D$53,0,IF(BI$6&gt;'Operating Assumptions'!$AA$8,0,IF('Operating Assumptions'!$L18="N/A",0,IF('Operating Assumptions'!$L18="$/Unit/Annual",(('Operating Assumptions'!$M18*BI$25)*BI$36)/12,IF('Operating Assumptions'!$L18="$/Unit/Month",('Operating Assumptions'!$M18*BI$25)*BI$36,IF('Operating Assumptions'!$L18="Fixed Amount",('Operating Assumptions'!$M18*BI$25)/12,IF('Operating Assumptions'!$L18="$/GSF",(('Operating Assumptions'!$M18*BI$25)*'Operating Assumptions'!$D$11)/12,IF('Operating Assumptions'!$L18="$/NSF",(('Operating Assumptions'!$M18*BI$25)*'Operating Assumptions'!$D$12)/12))))))))</f>
        <v>0</v>
      </c>
      <c r="BJ90" s="427">
        <f>-IF(BJ$9&lt;'Operating Assumptions'!$D$53,0,IF(BJ$6&gt;'Operating Assumptions'!$AA$8,0,IF('Operating Assumptions'!$L18="N/A",0,IF('Operating Assumptions'!$L18="$/Unit/Annual",(('Operating Assumptions'!$M18*BJ$25)*BJ$36)/12,IF('Operating Assumptions'!$L18="$/Unit/Month",('Operating Assumptions'!$M18*BJ$25)*BJ$36,IF('Operating Assumptions'!$L18="Fixed Amount",('Operating Assumptions'!$M18*BJ$25)/12,IF('Operating Assumptions'!$L18="$/GSF",(('Operating Assumptions'!$M18*BJ$25)*'Operating Assumptions'!$D$11)/12,IF('Operating Assumptions'!$L18="$/NSF",(('Operating Assumptions'!$M18*BJ$25)*'Operating Assumptions'!$D$12)/12))))))))</f>
        <v>0</v>
      </c>
      <c r="BK90" s="427">
        <f>-IF(BK$9&lt;'Operating Assumptions'!$D$53,0,IF(BK$6&gt;'Operating Assumptions'!$AA$8,0,IF('Operating Assumptions'!$L18="N/A",0,IF('Operating Assumptions'!$L18="$/Unit/Annual",(('Operating Assumptions'!$M18*BK$25)*BK$36)/12,IF('Operating Assumptions'!$L18="$/Unit/Month",('Operating Assumptions'!$M18*BK$25)*BK$36,IF('Operating Assumptions'!$L18="Fixed Amount",('Operating Assumptions'!$M18*BK$25)/12,IF('Operating Assumptions'!$L18="$/GSF",(('Operating Assumptions'!$M18*BK$25)*'Operating Assumptions'!$D$11)/12,IF('Operating Assumptions'!$L18="$/NSF",(('Operating Assumptions'!$M18*BK$25)*'Operating Assumptions'!$D$12)/12))))))))</f>
        <v>0</v>
      </c>
      <c r="BL90" s="427">
        <f>-IF(BL$9&lt;'Operating Assumptions'!$D$53,0,IF(BL$6&gt;'Operating Assumptions'!$AA$8,0,IF('Operating Assumptions'!$L18="N/A",0,IF('Operating Assumptions'!$L18="$/Unit/Annual",(('Operating Assumptions'!$M18*BL$25)*BL$36)/12,IF('Operating Assumptions'!$L18="$/Unit/Month",('Operating Assumptions'!$M18*BL$25)*BL$36,IF('Operating Assumptions'!$L18="Fixed Amount",('Operating Assumptions'!$M18*BL$25)/12,IF('Operating Assumptions'!$L18="$/GSF",(('Operating Assumptions'!$M18*BL$25)*'Operating Assumptions'!$D$11)/12,IF('Operating Assumptions'!$L18="$/NSF",(('Operating Assumptions'!$M18*BL$25)*'Operating Assumptions'!$D$12)/12))))))))</f>
        <v>0</v>
      </c>
      <c r="BM90" s="427">
        <f>-IF(BM$9&lt;'Operating Assumptions'!$D$53,0,IF(BM$6&gt;'Operating Assumptions'!$AA$8,0,IF('Operating Assumptions'!$L18="N/A",0,IF('Operating Assumptions'!$L18="$/Unit/Annual",(('Operating Assumptions'!$M18*BM$25)*BM$36)/12,IF('Operating Assumptions'!$L18="$/Unit/Month",('Operating Assumptions'!$M18*BM$25)*BM$36,IF('Operating Assumptions'!$L18="Fixed Amount",('Operating Assumptions'!$M18*BM$25)/12,IF('Operating Assumptions'!$L18="$/GSF",(('Operating Assumptions'!$M18*BM$25)*'Operating Assumptions'!$D$11)/12,IF('Operating Assumptions'!$L18="$/NSF",(('Operating Assumptions'!$M18*BM$25)*'Operating Assumptions'!$D$12)/12))))))))</f>
        <v>0</v>
      </c>
      <c r="BN90" s="427">
        <f>-IF(BN$9&lt;'Operating Assumptions'!$D$53,0,IF(BN$6&gt;'Operating Assumptions'!$AA$8,0,IF('Operating Assumptions'!$L18="N/A",0,IF('Operating Assumptions'!$L18="$/Unit/Annual",(('Operating Assumptions'!$M18*BN$25)*BN$36)/12,IF('Operating Assumptions'!$L18="$/Unit/Month",('Operating Assumptions'!$M18*BN$25)*BN$36,IF('Operating Assumptions'!$L18="Fixed Amount",('Operating Assumptions'!$M18*BN$25)/12,IF('Operating Assumptions'!$L18="$/GSF",(('Operating Assumptions'!$M18*BN$25)*'Operating Assumptions'!$D$11)/12,IF('Operating Assumptions'!$L18="$/NSF",(('Operating Assumptions'!$M18*BN$25)*'Operating Assumptions'!$D$12)/12))))))))</f>
        <v>0</v>
      </c>
      <c r="BO90" s="427">
        <f>-IF(BO$9&lt;'Operating Assumptions'!$D$53,0,IF(BO$6&gt;'Operating Assumptions'!$AA$8,0,IF('Operating Assumptions'!$L18="N/A",0,IF('Operating Assumptions'!$L18="$/Unit/Annual",(('Operating Assumptions'!$M18*BO$25)*BO$36)/12,IF('Operating Assumptions'!$L18="$/Unit/Month",('Operating Assumptions'!$M18*BO$25)*BO$36,IF('Operating Assumptions'!$L18="Fixed Amount",('Operating Assumptions'!$M18*BO$25)/12,IF('Operating Assumptions'!$L18="$/GSF",(('Operating Assumptions'!$M18*BO$25)*'Operating Assumptions'!$D$11)/12,IF('Operating Assumptions'!$L18="$/NSF",(('Operating Assumptions'!$M18*BO$25)*'Operating Assumptions'!$D$12)/12))))))))</f>
        <v>0</v>
      </c>
      <c r="BP90" s="427">
        <f>-IF(BP$9&lt;'Operating Assumptions'!$D$53,0,IF(BP$6&gt;'Operating Assumptions'!$AA$8,0,IF('Operating Assumptions'!$L18="N/A",0,IF('Operating Assumptions'!$L18="$/Unit/Annual",(('Operating Assumptions'!$M18*BP$25)*BP$36)/12,IF('Operating Assumptions'!$L18="$/Unit/Month",('Operating Assumptions'!$M18*BP$25)*BP$36,IF('Operating Assumptions'!$L18="Fixed Amount",('Operating Assumptions'!$M18*BP$25)/12,IF('Operating Assumptions'!$L18="$/GSF",(('Operating Assumptions'!$M18*BP$25)*'Operating Assumptions'!$D$11)/12,IF('Operating Assumptions'!$L18="$/NSF",(('Operating Assumptions'!$M18*BP$25)*'Operating Assumptions'!$D$12)/12))))))))</f>
        <v>0</v>
      </c>
      <c r="BQ90" s="427">
        <f>-IF(BQ$9&lt;'Operating Assumptions'!$D$53,0,IF(BQ$6&gt;'Operating Assumptions'!$AA$8,0,IF('Operating Assumptions'!$L18="N/A",0,IF('Operating Assumptions'!$L18="$/Unit/Annual",(('Operating Assumptions'!$M18*BQ$25)*BQ$36)/12,IF('Operating Assumptions'!$L18="$/Unit/Month",('Operating Assumptions'!$M18*BQ$25)*BQ$36,IF('Operating Assumptions'!$L18="Fixed Amount",('Operating Assumptions'!$M18*BQ$25)/12,IF('Operating Assumptions'!$L18="$/GSF",(('Operating Assumptions'!$M18*BQ$25)*'Operating Assumptions'!$D$11)/12,IF('Operating Assumptions'!$L18="$/NSF",(('Operating Assumptions'!$M18*BQ$25)*'Operating Assumptions'!$D$12)/12))))))))</f>
        <v>0</v>
      </c>
      <c r="BR90" s="427">
        <f>-IF(BR$9&lt;'Operating Assumptions'!$D$53,0,IF(BR$6&gt;'Operating Assumptions'!$AA$8,0,IF('Operating Assumptions'!$L18="N/A",0,IF('Operating Assumptions'!$L18="$/Unit/Annual",(('Operating Assumptions'!$M18*BR$25)*BR$36)/12,IF('Operating Assumptions'!$L18="$/Unit/Month",('Operating Assumptions'!$M18*BR$25)*BR$36,IF('Operating Assumptions'!$L18="Fixed Amount",('Operating Assumptions'!$M18*BR$25)/12,IF('Operating Assumptions'!$L18="$/GSF",(('Operating Assumptions'!$M18*BR$25)*'Operating Assumptions'!$D$11)/12,IF('Operating Assumptions'!$L18="$/NSF",(('Operating Assumptions'!$M18*BR$25)*'Operating Assumptions'!$D$12)/12))))))))</f>
        <v>0</v>
      </c>
      <c r="BS90" s="427">
        <f>-IF(BS$9&lt;'Operating Assumptions'!$D$53,0,IF(BS$6&gt;'Operating Assumptions'!$AA$8,0,IF('Operating Assumptions'!$L18="N/A",0,IF('Operating Assumptions'!$L18="$/Unit/Annual",(('Operating Assumptions'!$M18*BS$25)*BS$36)/12,IF('Operating Assumptions'!$L18="$/Unit/Month",('Operating Assumptions'!$M18*BS$25)*BS$36,IF('Operating Assumptions'!$L18="Fixed Amount",('Operating Assumptions'!$M18*BS$25)/12,IF('Operating Assumptions'!$L18="$/GSF",(('Operating Assumptions'!$M18*BS$25)*'Operating Assumptions'!$D$11)/12,IF('Operating Assumptions'!$L18="$/NSF",(('Operating Assumptions'!$M18*BS$25)*'Operating Assumptions'!$D$12)/12))))))))</f>
        <v>0</v>
      </c>
      <c r="BT90" s="427">
        <f>-IF(BT$9&lt;'Operating Assumptions'!$D$53,0,IF(BT$6&gt;'Operating Assumptions'!$AA$8,0,IF('Operating Assumptions'!$L18="N/A",0,IF('Operating Assumptions'!$L18="$/Unit/Annual",(('Operating Assumptions'!$M18*BT$25)*BT$36)/12,IF('Operating Assumptions'!$L18="$/Unit/Month",('Operating Assumptions'!$M18*BT$25)*BT$36,IF('Operating Assumptions'!$L18="Fixed Amount",('Operating Assumptions'!$M18*BT$25)/12,IF('Operating Assumptions'!$L18="$/GSF",(('Operating Assumptions'!$M18*BT$25)*'Operating Assumptions'!$D$11)/12,IF('Operating Assumptions'!$L18="$/NSF",(('Operating Assumptions'!$M18*BT$25)*'Operating Assumptions'!$D$12)/12))))))))</f>
        <v>0</v>
      </c>
      <c r="BU90" s="427">
        <f>-IF(BU$9&lt;'Operating Assumptions'!$D$53,0,IF(BU$6&gt;'Operating Assumptions'!$AA$8,0,IF('Operating Assumptions'!$L18="N/A",0,IF('Operating Assumptions'!$L18="$/Unit/Annual",(('Operating Assumptions'!$M18*BU$25)*BU$36)/12,IF('Operating Assumptions'!$L18="$/Unit/Month",('Operating Assumptions'!$M18*BU$25)*BU$36,IF('Operating Assumptions'!$L18="Fixed Amount",('Operating Assumptions'!$M18*BU$25)/12,IF('Operating Assumptions'!$L18="$/GSF",(('Operating Assumptions'!$M18*BU$25)*'Operating Assumptions'!$D$11)/12,IF('Operating Assumptions'!$L18="$/NSF",(('Operating Assumptions'!$M18*BU$25)*'Operating Assumptions'!$D$12)/12))))))))</f>
        <v>0</v>
      </c>
      <c r="BV90" s="427">
        <f>-IF(BV$9&lt;'Operating Assumptions'!$D$53,0,IF(BV$6&gt;'Operating Assumptions'!$AA$8,0,IF('Operating Assumptions'!$L18="N/A",0,IF('Operating Assumptions'!$L18="$/Unit/Annual",(('Operating Assumptions'!$M18*BV$25)*BV$36)/12,IF('Operating Assumptions'!$L18="$/Unit/Month",('Operating Assumptions'!$M18*BV$25)*BV$36,IF('Operating Assumptions'!$L18="Fixed Amount",('Operating Assumptions'!$M18*BV$25)/12,IF('Operating Assumptions'!$L18="$/GSF",(('Operating Assumptions'!$M18*BV$25)*'Operating Assumptions'!$D$11)/12,IF('Operating Assumptions'!$L18="$/NSF",(('Operating Assumptions'!$M18*BV$25)*'Operating Assumptions'!$D$12)/12))))))))</f>
        <v>0</v>
      </c>
      <c r="BW90" s="427">
        <f>-IF(BW$9&lt;'Operating Assumptions'!$D$53,0,IF(BW$6&gt;'Operating Assumptions'!$AA$8,0,IF('Operating Assumptions'!$L18="N/A",0,IF('Operating Assumptions'!$L18="$/Unit/Annual",(('Operating Assumptions'!$M18*BW$25)*BW$36)/12,IF('Operating Assumptions'!$L18="$/Unit/Month",('Operating Assumptions'!$M18*BW$25)*BW$36,IF('Operating Assumptions'!$L18="Fixed Amount",('Operating Assumptions'!$M18*BW$25)/12,IF('Operating Assumptions'!$L18="$/GSF",(('Operating Assumptions'!$M18*BW$25)*'Operating Assumptions'!$D$11)/12,IF('Operating Assumptions'!$L18="$/NSF",(('Operating Assumptions'!$M18*BW$25)*'Operating Assumptions'!$D$12)/12))))))))</f>
        <v>0</v>
      </c>
      <c r="BX90" s="427">
        <f>-IF(BX$9&lt;'Operating Assumptions'!$D$53,0,IF(BX$6&gt;'Operating Assumptions'!$AA$8,0,IF('Operating Assumptions'!$L18="N/A",0,IF('Operating Assumptions'!$L18="$/Unit/Annual",(('Operating Assumptions'!$M18*BX$25)*BX$36)/12,IF('Operating Assumptions'!$L18="$/Unit/Month",('Operating Assumptions'!$M18*BX$25)*BX$36,IF('Operating Assumptions'!$L18="Fixed Amount",('Operating Assumptions'!$M18*BX$25)/12,IF('Operating Assumptions'!$L18="$/GSF",(('Operating Assumptions'!$M18*BX$25)*'Operating Assumptions'!$D$11)/12,IF('Operating Assumptions'!$L18="$/NSF",(('Operating Assumptions'!$M18*BX$25)*'Operating Assumptions'!$D$12)/12))))))))</f>
        <v>0</v>
      </c>
      <c r="BY90" s="427">
        <f>-IF(BY$9&lt;'Operating Assumptions'!$D$53,0,IF(BY$6&gt;'Operating Assumptions'!$AA$8,0,IF('Operating Assumptions'!$L18="N/A",0,IF('Operating Assumptions'!$L18="$/Unit/Annual",(('Operating Assumptions'!$M18*BY$25)*BY$36)/12,IF('Operating Assumptions'!$L18="$/Unit/Month",('Operating Assumptions'!$M18*BY$25)*BY$36,IF('Operating Assumptions'!$L18="Fixed Amount",('Operating Assumptions'!$M18*BY$25)/12,IF('Operating Assumptions'!$L18="$/GSF",(('Operating Assumptions'!$M18*BY$25)*'Operating Assumptions'!$D$11)/12,IF('Operating Assumptions'!$L18="$/NSF",(('Operating Assumptions'!$M18*BY$25)*'Operating Assumptions'!$D$12)/12))))))))</f>
        <v>0</v>
      </c>
      <c r="BZ90" s="427">
        <f>-IF(BZ$9&lt;'Operating Assumptions'!$D$53,0,IF(BZ$6&gt;'Operating Assumptions'!$AA$8,0,IF('Operating Assumptions'!$L18="N/A",0,IF('Operating Assumptions'!$L18="$/Unit/Annual",(('Operating Assumptions'!$M18*BZ$25)*BZ$36)/12,IF('Operating Assumptions'!$L18="$/Unit/Month",('Operating Assumptions'!$M18*BZ$25)*BZ$36,IF('Operating Assumptions'!$L18="Fixed Amount",('Operating Assumptions'!$M18*BZ$25)/12,IF('Operating Assumptions'!$L18="$/GSF",(('Operating Assumptions'!$M18*BZ$25)*'Operating Assumptions'!$D$11)/12,IF('Operating Assumptions'!$L18="$/NSF",(('Operating Assumptions'!$M18*BZ$25)*'Operating Assumptions'!$D$12)/12))))))))</f>
        <v>0</v>
      </c>
      <c r="CA90" s="427">
        <f>-IF(CA$9&lt;'Operating Assumptions'!$D$53,0,IF(CA$6&gt;'Operating Assumptions'!$AA$8,0,IF('Operating Assumptions'!$L18="N/A",0,IF('Operating Assumptions'!$L18="$/Unit/Annual",(('Operating Assumptions'!$M18*CA$25)*CA$36)/12,IF('Operating Assumptions'!$L18="$/Unit/Month",('Operating Assumptions'!$M18*CA$25)*CA$36,IF('Operating Assumptions'!$L18="Fixed Amount",('Operating Assumptions'!$M18*CA$25)/12,IF('Operating Assumptions'!$L18="$/GSF",(('Operating Assumptions'!$M18*CA$25)*'Operating Assumptions'!$D$11)/12,IF('Operating Assumptions'!$L18="$/NSF",(('Operating Assumptions'!$M18*CA$25)*'Operating Assumptions'!$D$12)/12))))))))</f>
        <v>0</v>
      </c>
      <c r="CB90" s="427">
        <f>-IF(CB$9&lt;'Operating Assumptions'!$D$53,0,IF(CB$6&gt;'Operating Assumptions'!$AA$8,0,IF('Operating Assumptions'!$L18="N/A",0,IF('Operating Assumptions'!$L18="$/Unit/Annual",(('Operating Assumptions'!$M18*CB$25)*CB$36)/12,IF('Operating Assumptions'!$L18="$/Unit/Month",('Operating Assumptions'!$M18*CB$25)*CB$36,IF('Operating Assumptions'!$L18="Fixed Amount",('Operating Assumptions'!$M18*CB$25)/12,IF('Operating Assumptions'!$L18="$/GSF",(('Operating Assumptions'!$M18*CB$25)*'Operating Assumptions'!$D$11)/12,IF('Operating Assumptions'!$L18="$/NSF",(('Operating Assumptions'!$M18*CB$25)*'Operating Assumptions'!$D$12)/12))))))))</f>
        <v>0</v>
      </c>
      <c r="CC90" s="427">
        <f>-IF(CC$9&lt;'Operating Assumptions'!$D$53,0,IF(CC$6&gt;'Operating Assumptions'!$AA$8,0,IF('Operating Assumptions'!$L18="N/A",0,IF('Operating Assumptions'!$L18="$/Unit/Annual",(('Operating Assumptions'!$M18*CC$25)*CC$36)/12,IF('Operating Assumptions'!$L18="$/Unit/Month",('Operating Assumptions'!$M18*CC$25)*CC$36,IF('Operating Assumptions'!$L18="Fixed Amount",('Operating Assumptions'!$M18*CC$25)/12,IF('Operating Assumptions'!$L18="$/GSF",(('Operating Assumptions'!$M18*CC$25)*'Operating Assumptions'!$D$11)/12,IF('Operating Assumptions'!$L18="$/NSF",(('Operating Assumptions'!$M18*CC$25)*'Operating Assumptions'!$D$12)/12))))))))</f>
        <v>0</v>
      </c>
      <c r="CD90" s="427">
        <f>-IF(CD$9&lt;'Operating Assumptions'!$D$53,0,IF(CD$6&gt;'Operating Assumptions'!$AA$8,0,IF('Operating Assumptions'!$L18="N/A",0,IF('Operating Assumptions'!$L18="$/Unit/Annual",(('Operating Assumptions'!$M18*CD$25)*CD$36)/12,IF('Operating Assumptions'!$L18="$/Unit/Month",('Operating Assumptions'!$M18*CD$25)*CD$36,IF('Operating Assumptions'!$L18="Fixed Amount",('Operating Assumptions'!$M18*CD$25)/12,IF('Operating Assumptions'!$L18="$/GSF",(('Operating Assumptions'!$M18*CD$25)*'Operating Assumptions'!$D$11)/12,IF('Operating Assumptions'!$L18="$/NSF",(('Operating Assumptions'!$M18*CD$25)*'Operating Assumptions'!$D$12)/12))))))))</f>
        <v>0</v>
      </c>
      <c r="CE90" s="427">
        <f>-IF(CE$9&lt;'Operating Assumptions'!$D$53,0,IF(CE$6&gt;'Operating Assumptions'!$AA$8,0,IF('Operating Assumptions'!$L18="N/A",0,IF('Operating Assumptions'!$L18="$/Unit/Annual",(('Operating Assumptions'!$M18*CE$25)*CE$36)/12,IF('Operating Assumptions'!$L18="$/Unit/Month",('Operating Assumptions'!$M18*CE$25)*CE$36,IF('Operating Assumptions'!$L18="Fixed Amount",('Operating Assumptions'!$M18*CE$25)/12,IF('Operating Assumptions'!$L18="$/GSF",(('Operating Assumptions'!$M18*CE$25)*'Operating Assumptions'!$D$11)/12,IF('Operating Assumptions'!$L18="$/NSF",(('Operating Assumptions'!$M18*CE$25)*'Operating Assumptions'!$D$12)/12))))))))</f>
        <v>0</v>
      </c>
      <c r="CF90" s="427">
        <f>-IF(CF$9&lt;'Operating Assumptions'!$D$53,0,IF(CF$6&gt;'Operating Assumptions'!$AA$8,0,IF('Operating Assumptions'!$L18="N/A",0,IF('Operating Assumptions'!$L18="$/Unit/Annual",(('Operating Assumptions'!$M18*CF$25)*CF$36)/12,IF('Operating Assumptions'!$L18="$/Unit/Month",('Operating Assumptions'!$M18*CF$25)*CF$36,IF('Operating Assumptions'!$L18="Fixed Amount",('Operating Assumptions'!$M18*CF$25)/12,IF('Operating Assumptions'!$L18="$/GSF",(('Operating Assumptions'!$M18*CF$25)*'Operating Assumptions'!$D$11)/12,IF('Operating Assumptions'!$L18="$/NSF",(('Operating Assumptions'!$M18*CF$25)*'Operating Assumptions'!$D$12)/12))))))))</f>
        <v>0</v>
      </c>
      <c r="CG90" s="427">
        <f>-IF(CG$9&lt;'Operating Assumptions'!$D$53,0,IF(CG$6&gt;'Operating Assumptions'!$AA$8,0,IF('Operating Assumptions'!$L18="N/A",0,IF('Operating Assumptions'!$L18="$/Unit/Annual",(('Operating Assumptions'!$M18*CG$25)*CG$36)/12,IF('Operating Assumptions'!$L18="$/Unit/Month",('Operating Assumptions'!$M18*CG$25)*CG$36,IF('Operating Assumptions'!$L18="Fixed Amount",('Operating Assumptions'!$M18*CG$25)/12,IF('Operating Assumptions'!$L18="$/GSF",(('Operating Assumptions'!$M18*CG$25)*'Operating Assumptions'!$D$11)/12,IF('Operating Assumptions'!$L18="$/NSF",(('Operating Assumptions'!$M18*CG$25)*'Operating Assumptions'!$D$12)/12))))))))</f>
        <v>0</v>
      </c>
      <c r="CH90" s="427">
        <f>-IF(CH$9&lt;'Operating Assumptions'!$D$53,0,IF(CH$6&gt;'Operating Assumptions'!$AA$8,0,IF('Operating Assumptions'!$L18="N/A",0,IF('Operating Assumptions'!$L18="$/Unit/Annual",(('Operating Assumptions'!$M18*CH$25)*CH$36)/12,IF('Operating Assumptions'!$L18="$/Unit/Month",('Operating Assumptions'!$M18*CH$25)*CH$36,IF('Operating Assumptions'!$L18="Fixed Amount",('Operating Assumptions'!$M18*CH$25)/12,IF('Operating Assumptions'!$L18="$/GSF",(('Operating Assumptions'!$M18*CH$25)*'Operating Assumptions'!$D$11)/12,IF('Operating Assumptions'!$L18="$/NSF",(('Operating Assumptions'!$M18*CH$25)*'Operating Assumptions'!$D$12)/12))))))))</f>
        <v>0</v>
      </c>
      <c r="CI90" s="427">
        <f>-IF(CI$9&lt;'Operating Assumptions'!$D$53,0,IF(CI$6&gt;'Operating Assumptions'!$AA$8,0,IF('Operating Assumptions'!$L18="N/A",0,IF('Operating Assumptions'!$L18="$/Unit/Annual",(('Operating Assumptions'!$M18*CI$25)*CI$36)/12,IF('Operating Assumptions'!$L18="$/Unit/Month",('Operating Assumptions'!$M18*CI$25)*CI$36,IF('Operating Assumptions'!$L18="Fixed Amount",('Operating Assumptions'!$M18*CI$25)/12,IF('Operating Assumptions'!$L18="$/GSF",(('Operating Assumptions'!$M18*CI$25)*'Operating Assumptions'!$D$11)/12,IF('Operating Assumptions'!$L18="$/NSF",(('Operating Assumptions'!$M18*CI$25)*'Operating Assumptions'!$D$12)/12))))))))</f>
        <v>0</v>
      </c>
      <c r="CJ90" s="427">
        <f>-IF(CJ$9&lt;'Operating Assumptions'!$D$53,0,IF(CJ$6&gt;'Operating Assumptions'!$AA$8,0,IF('Operating Assumptions'!$L18="N/A",0,IF('Operating Assumptions'!$L18="$/Unit/Annual",(('Operating Assumptions'!$M18*CJ$25)*CJ$36)/12,IF('Operating Assumptions'!$L18="$/Unit/Month",('Operating Assumptions'!$M18*CJ$25)*CJ$36,IF('Operating Assumptions'!$L18="Fixed Amount",('Operating Assumptions'!$M18*CJ$25)/12,IF('Operating Assumptions'!$L18="$/GSF",(('Operating Assumptions'!$M18*CJ$25)*'Operating Assumptions'!$D$11)/12,IF('Operating Assumptions'!$L18="$/NSF",(('Operating Assumptions'!$M18*CJ$25)*'Operating Assumptions'!$D$12)/12))))))))</f>
        <v>0</v>
      </c>
      <c r="CK90" s="427">
        <f>-IF(CK$9&lt;'Operating Assumptions'!$D$53,0,IF(CK$6&gt;'Operating Assumptions'!$AA$8,0,IF('Operating Assumptions'!$L18="N/A",0,IF('Operating Assumptions'!$L18="$/Unit/Annual",(('Operating Assumptions'!$M18*CK$25)*CK$36)/12,IF('Operating Assumptions'!$L18="$/Unit/Month",('Operating Assumptions'!$M18*CK$25)*CK$36,IF('Operating Assumptions'!$L18="Fixed Amount",('Operating Assumptions'!$M18*CK$25)/12,IF('Operating Assumptions'!$L18="$/GSF",(('Operating Assumptions'!$M18*CK$25)*'Operating Assumptions'!$D$11)/12,IF('Operating Assumptions'!$L18="$/NSF",(('Operating Assumptions'!$M18*CK$25)*'Operating Assumptions'!$D$12)/12))))))))</f>
        <v>0</v>
      </c>
      <c r="CL90" s="427">
        <f>-IF(CL$9&lt;'Operating Assumptions'!$D$53,0,IF(CL$6&gt;'Operating Assumptions'!$AA$8,0,IF('Operating Assumptions'!$L18="N/A",0,IF('Operating Assumptions'!$L18="$/Unit/Annual",(('Operating Assumptions'!$M18*CL$25)*CL$36)/12,IF('Operating Assumptions'!$L18="$/Unit/Month",('Operating Assumptions'!$M18*CL$25)*CL$36,IF('Operating Assumptions'!$L18="Fixed Amount",('Operating Assumptions'!$M18*CL$25)/12,IF('Operating Assumptions'!$L18="$/GSF",(('Operating Assumptions'!$M18*CL$25)*'Operating Assumptions'!$D$11)/12,IF('Operating Assumptions'!$L18="$/NSF",(('Operating Assumptions'!$M18*CL$25)*'Operating Assumptions'!$D$12)/12))))))))</f>
        <v>0</v>
      </c>
      <c r="CM90" s="427">
        <f>-IF(CM$9&lt;'Operating Assumptions'!$D$53,0,IF(CM$6&gt;'Operating Assumptions'!$AA$8,0,IF('Operating Assumptions'!$L18="N/A",0,IF('Operating Assumptions'!$L18="$/Unit/Annual",(('Operating Assumptions'!$M18*CM$25)*CM$36)/12,IF('Operating Assumptions'!$L18="$/Unit/Month",('Operating Assumptions'!$M18*CM$25)*CM$36,IF('Operating Assumptions'!$L18="Fixed Amount",('Operating Assumptions'!$M18*CM$25)/12,IF('Operating Assumptions'!$L18="$/GSF",(('Operating Assumptions'!$M18*CM$25)*'Operating Assumptions'!$D$11)/12,IF('Operating Assumptions'!$L18="$/NSF",(('Operating Assumptions'!$M18*CM$25)*'Operating Assumptions'!$D$12)/12))))))))</f>
        <v>0</v>
      </c>
      <c r="CN90" s="427">
        <f>-IF(CN$9&lt;'Operating Assumptions'!$D$53,0,IF(CN$6&gt;'Operating Assumptions'!$AA$8,0,IF('Operating Assumptions'!$L18="N/A",0,IF('Operating Assumptions'!$L18="$/Unit/Annual",(('Operating Assumptions'!$M18*CN$25)*CN$36)/12,IF('Operating Assumptions'!$L18="$/Unit/Month",('Operating Assumptions'!$M18*CN$25)*CN$36,IF('Operating Assumptions'!$L18="Fixed Amount",('Operating Assumptions'!$M18*CN$25)/12,IF('Operating Assumptions'!$L18="$/GSF",(('Operating Assumptions'!$M18*CN$25)*'Operating Assumptions'!$D$11)/12,IF('Operating Assumptions'!$L18="$/NSF",(('Operating Assumptions'!$M18*CN$25)*'Operating Assumptions'!$D$12)/12))))))))</f>
        <v>0</v>
      </c>
      <c r="CO90" s="427">
        <f>-IF(CO$9&lt;'Operating Assumptions'!$D$53,0,IF(CO$6&gt;'Operating Assumptions'!$AA$8,0,IF('Operating Assumptions'!$L18="N/A",0,IF('Operating Assumptions'!$L18="$/Unit/Annual",(('Operating Assumptions'!$M18*CO$25)*CO$36)/12,IF('Operating Assumptions'!$L18="$/Unit/Month",('Operating Assumptions'!$M18*CO$25)*CO$36,IF('Operating Assumptions'!$L18="Fixed Amount",('Operating Assumptions'!$M18*CO$25)/12,IF('Operating Assumptions'!$L18="$/GSF",(('Operating Assumptions'!$M18*CO$25)*'Operating Assumptions'!$D$11)/12,IF('Operating Assumptions'!$L18="$/NSF",(('Operating Assumptions'!$M18*CO$25)*'Operating Assumptions'!$D$12)/12))))))))</f>
        <v>0</v>
      </c>
      <c r="CP90" s="427">
        <f>-IF(CP$9&lt;'Operating Assumptions'!$D$53,0,IF(CP$6&gt;'Operating Assumptions'!$AA$8,0,IF('Operating Assumptions'!$L18="N/A",0,IF('Operating Assumptions'!$L18="$/Unit/Annual",(('Operating Assumptions'!$M18*CP$25)*CP$36)/12,IF('Operating Assumptions'!$L18="$/Unit/Month",('Operating Assumptions'!$M18*CP$25)*CP$36,IF('Operating Assumptions'!$L18="Fixed Amount",('Operating Assumptions'!$M18*CP$25)/12,IF('Operating Assumptions'!$L18="$/GSF",(('Operating Assumptions'!$M18*CP$25)*'Operating Assumptions'!$D$11)/12,IF('Operating Assumptions'!$L18="$/NSF",(('Operating Assumptions'!$M18*CP$25)*'Operating Assumptions'!$D$12)/12))))))))</f>
        <v>0</v>
      </c>
      <c r="CQ90" s="427">
        <f>-IF(CQ$9&lt;'Operating Assumptions'!$D$53,0,IF(CQ$6&gt;'Operating Assumptions'!$AA$8,0,IF('Operating Assumptions'!$L18="N/A",0,IF('Operating Assumptions'!$L18="$/Unit/Annual",(('Operating Assumptions'!$M18*CQ$25)*CQ$36)/12,IF('Operating Assumptions'!$L18="$/Unit/Month",('Operating Assumptions'!$M18*CQ$25)*CQ$36,IF('Operating Assumptions'!$L18="Fixed Amount",('Operating Assumptions'!$M18*CQ$25)/12,IF('Operating Assumptions'!$L18="$/GSF",(('Operating Assumptions'!$M18*CQ$25)*'Operating Assumptions'!$D$11)/12,IF('Operating Assumptions'!$L18="$/NSF",(('Operating Assumptions'!$M18*CQ$25)*'Operating Assumptions'!$D$12)/12))))))))</f>
        <v>0</v>
      </c>
      <c r="CR90" s="427">
        <f>-IF(CR$9&lt;'Operating Assumptions'!$D$53,0,IF(CR$6&gt;'Operating Assumptions'!$AA$8,0,IF('Operating Assumptions'!$L18="N/A",0,IF('Operating Assumptions'!$L18="$/Unit/Annual",(('Operating Assumptions'!$M18*CR$25)*CR$36)/12,IF('Operating Assumptions'!$L18="$/Unit/Month",('Operating Assumptions'!$M18*CR$25)*CR$36,IF('Operating Assumptions'!$L18="Fixed Amount",('Operating Assumptions'!$M18*CR$25)/12,IF('Operating Assumptions'!$L18="$/GSF",(('Operating Assumptions'!$M18*CR$25)*'Operating Assumptions'!$D$11)/12,IF('Operating Assumptions'!$L18="$/NSF",(('Operating Assumptions'!$M18*CR$25)*'Operating Assumptions'!$D$12)/12))))))))</f>
        <v>0</v>
      </c>
      <c r="CS90" s="427">
        <f>-IF(CS$9&lt;'Operating Assumptions'!$D$53,0,IF(CS$6&gt;'Operating Assumptions'!$AA$8,0,IF('Operating Assumptions'!$L18="N/A",0,IF('Operating Assumptions'!$L18="$/Unit/Annual",(('Operating Assumptions'!$M18*CS$25)*CS$36)/12,IF('Operating Assumptions'!$L18="$/Unit/Month",('Operating Assumptions'!$M18*CS$25)*CS$36,IF('Operating Assumptions'!$L18="Fixed Amount",('Operating Assumptions'!$M18*CS$25)/12,IF('Operating Assumptions'!$L18="$/GSF",(('Operating Assumptions'!$M18*CS$25)*'Operating Assumptions'!$D$11)/12,IF('Operating Assumptions'!$L18="$/NSF",(('Operating Assumptions'!$M18*CS$25)*'Operating Assumptions'!$D$12)/12))))))))</f>
        <v>0</v>
      </c>
      <c r="CT90" s="427">
        <f>-IF(CT$9&lt;'Operating Assumptions'!$D$53,0,IF(CT$6&gt;'Operating Assumptions'!$AA$8,0,IF('Operating Assumptions'!$L18="N/A",0,IF('Operating Assumptions'!$L18="$/Unit/Annual",(('Operating Assumptions'!$M18*CT$25)*CT$36)/12,IF('Operating Assumptions'!$L18="$/Unit/Month",('Operating Assumptions'!$M18*CT$25)*CT$36,IF('Operating Assumptions'!$L18="Fixed Amount",('Operating Assumptions'!$M18*CT$25)/12,IF('Operating Assumptions'!$L18="$/GSF",(('Operating Assumptions'!$M18*CT$25)*'Operating Assumptions'!$D$11)/12,IF('Operating Assumptions'!$L18="$/NSF",(('Operating Assumptions'!$M18*CT$25)*'Operating Assumptions'!$D$12)/12))))))))</f>
        <v>0</v>
      </c>
      <c r="CU90" s="427">
        <f>-IF(CU$9&lt;'Operating Assumptions'!$D$53,0,IF(CU$6&gt;'Operating Assumptions'!$AA$8,0,IF('Operating Assumptions'!$L18="N/A",0,IF('Operating Assumptions'!$L18="$/Unit/Annual",(('Operating Assumptions'!$M18*CU$25)*CU$36)/12,IF('Operating Assumptions'!$L18="$/Unit/Month",('Operating Assumptions'!$M18*CU$25)*CU$36,IF('Operating Assumptions'!$L18="Fixed Amount",('Operating Assumptions'!$M18*CU$25)/12,IF('Operating Assumptions'!$L18="$/GSF",(('Operating Assumptions'!$M18*CU$25)*'Operating Assumptions'!$D$11)/12,IF('Operating Assumptions'!$L18="$/NSF",(('Operating Assumptions'!$M18*CU$25)*'Operating Assumptions'!$D$12)/12))))))))</f>
        <v>0</v>
      </c>
      <c r="CV90" s="427">
        <f>-IF(CV$9&lt;'Operating Assumptions'!$D$53,0,IF(CV$6&gt;'Operating Assumptions'!$AA$8,0,IF('Operating Assumptions'!$L18="N/A",0,IF('Operating Assumptions'!$L18="$/Unit/Annual",(('Operating Assumptions'!$M18*CV$25)*CV$36)/12,IF('Operating Assumptions'!$L18="$/Unit/Month",('Operating Assumptions'!$M18*CV$25)*CV$36,IF('Operating Assumptions'!$L18="Fixed Amount",('Operating Assumptions'!$M18*CV$25)/12,IF('Operating Assumptions'!$L18="$/GSF",(('Operating Assumptions'!$M18*CV$25)*'Operating Assumptions'!$D$11)/12,IF('Operating Assumptions'!$L18="$/NSF",(('Operating Assumptions'!$M18*CV$25)*'Operating Assumptions'!$D$12)/12))))))))</f>
        <v>0</v>
      </c>
      <c r="CW90" s="427">
        <f>-IF(CW$9&lt;'Operating Assumptions'!$D$53,0,IF(CW$6&gt;'Operating Assumptions'!$AA$8,0,IF('Operating Assumptions'!$L18="N/A",0,IF('Operating Assumptions'!$L18="$/Unit/Annual",(('Operating Assumptions'!$M18*CW$25)*CW$36)/12,IF('Operating Assumptions'!$L18="$/Unit/Month",('Operating Assumptions'!$M18*CW$25)*CW$36,IF('Operating Assumptions'!$L18="Fixed Amount",('Operating Assumptions'!$M18*CW$25)/12,IF('Operating Assumptions'!$L18="$/GSF",(('Operating Assumptions'!$M18*CW$25)*'Operating Assumptions'!$D$11)/12,IF('Operating Assumptions'!$L18="$/NSF",(('Operating Assumptions'!$M18*CW$25)*'Operating Assumptions'!$D$12)/12))))))))</f>
        <v>0</v>
      </c>
      <c r="CX90" s="427">
        <f>-IF(CX$9&lt;'Operating Assumptions'!$D$53,0,IF(CX$6&gt;'Operating Assumptions'!$AA$8,0,IF('Operating Assumptions'!$L18="N/A",0,IF('Operating Assumptions'!$L18="$/Unit/Annual",(('Operating Assumptions'!$M18*CX$25)*CX$36)/12,IF('Operating Assumptions'!$L18="$/Unit/Month",('Operating Assumptions'!$M18*CX$25)*CX$36,IF('Operating Assumptions'!$L18="Fixed Amount",('Operating Assumptions'!$M18*CX$25)/12,IF('Operating Assumptions'!$L18="$/GSF",(('Operating Assumptions'!$M18*CX$25)*'Operating Assumptions'!$D$11)/12,IF('Operating Assumptions'!$L18="$/NSF",(('Operating Assumptions'!$M18*CX$25)*'Operating Assumptions'!$D$12)/12))))))))</f>
        <v>0</v>
      </c>
      <c r="CY90" s="427">
        <f>-IF(CY$9&lt;'Operating Assumptions'!$D$53,0,IF(CY$6&gt;'Operating Assumptions'!$AA$8,0,IF('Operating Assumptions'!$L18="N/A",0,IF('Operating Assumptions'!$L18="$/Unit/Annual",(('Operating Assumptions'!$M18*CY$25)*CY$36)/12,IF('Operating Assumptions'!$L18="$/Unit/Month",('Operating Assumptions'!$M18*CY$25)*CY$36,IF('Operating Assumptions'!$L18="Fixed Amount",('Operating Assumptions'!$M18*CY$25)/12,IF('Operating Assumptions'!$L18="$/GSF",(('Operating Assumptions'!$M18*CY$25)*'Operating Assumptions'!$D$11)/12,IF('Operating Assumptions'!$L18="$/NSF",(('Operating Assumptions'!$M18*CY$25)*'Operating Assumptions'!$D$12)/12))))))))</f>
        <v>0</v>
      </c>
      <c r="CZ90" s="427">
        <f>-IF(CZ$9&lt;'Operating Assumptions'!$D$53,0,IF(CZ$6&gt;'Operating Assumptions'!$AA$8,0,IF('Operating Assumptions'!$L18="N/A",0,IF('Operating Assumptions'!$L18="$/Unit/Annual",(('Operating Assumptions'!$M18*CZ$25)*CZ$36)/12,IF('Operating Assumptions'!$L18="$/Unit/Month",('Operating Assumptions'!$M18*CZ$25)*CZ$36,IF('Operating Assumptions'!$L18="Fixed Amount",('Operating Assumptions'!$M18*CZ$25)/12,IF('Operating Assumptions'!$L18="$/GSF",(('Operating Assumptions'!$M18*CZ$25)*'Operating Assumptions'!$D$11)/12,IF('Operating Assumptions'!$L18="$/NSF",(('Operating Assumptions'!$M18*CZ$25)*'Operating Assumptions'!$D$12)/12))))))))</f>
        <v>0</v>
      </c>
      <c r="DA90" s="427">
        <f>-IF(DA$9&lt;'Operating Assumptions'!$D$53,0,IF(DA$6&gt;'Operating Assumptions'!$AA$8,0,IF('Operating Assumptions'!$L18="N/A",0,IF('Operating Assumptions'!$L18="$/Unit/Annual",(('Operating Assumptions'!$M18*DA$25)*DA$36)/12,IF('Operating Assumptions'!$L18="$/Unit/Month",('Operating Assumptions'!$M18*DA$25)*DA$36,IF('Operating Assumptions'!$L18="Fixed Amount",('Operating Assumptions'!$M18*DA$25)/12,IF('Operating Assumptions'!$L18="$/GSF",(('Operating Assumptions'!$M18*DA$25)*'Operating Assumptions'!$D$11)/12,IF('Operating Assumptions'!$L18="$/NSF",(('Operating Assumptions'!$M18*DA$25)*'Operating Assumptions'!$D$12)/12))))))))</f>
        <v>0</v>
      </c>
      <c r="DB90" s="427">
        <f>-IF(DB$9&lt;'Operating Assumptions'!$D$53,0,IF(DB$6&gt;'Operating Assumptions'!$AA$8,0,IF('Operating Assumptions'!$L18="N/A",0,IF('Operating Assumptions'!$L18="$/Unit/Annual",(('Operating Assumptions'!$M18*DB$25)*DB$36)/12,IF('Operating Assumptions'!$L18="$/Unit/Month",('Operating Assumptions'!$M18*DB$25)*DB$36,IF('Operating Assumptions'!$L18="Fixed Amount",('Operating Assumptions'!$M18*DB$25)/12,IF('Operating Assumptions'!$L18="$/GSF",(('Operating Assumptions'!$M18*DB$25)*'Operating Assumptions'!$D$11)/12,IF('Operating Assumptions'!$L18="$/NSF",(('Operating Assumptions'!$M18*DB$25)*'Operating Assumptions'!$D$12)/12))))))))</f>
        <v>0</v>
      </c>
      <c r="DC90" s="427">
        <f>-IF(DC$9&lt;'Operating Assumptions'!$D$53,0,IF(DC$6&gt;'Operating Assumptions'!$AA$8,0,IF('Operating Assumptions'!$L18="N/A",0,IF('Operating Assumptions'!$L18="$/Unit/Annual",(('Operating Assumptions'!$M18*DC$25)*DC$36)/12,IF('Operating Assumptions'!$L18="$/Unit/Month",('Operating Assumptions'!$M18*DC$25)*DC$36,IF('Operating Assumptions'!$L18="Fixed Amount",('Operating Assumptions'!$M18*DC$25)/12,IF('Operating Assumptions'!$L18="$/GSF",(('Operating Assumptions'!$M18*DC$25)*'Operating Assumptions'!$D$11)/12,IF('Operating Assumptions'!$L18="$/NSF",(('Operating Assumptions'!$M18*DC$25)*'Operating Assumptions'!$D$12)/12))))))))</f>
        <v>0</v>
      </c>
      <c r="DD90" s="427">
        <f>-IF(DD$9&lt;'Operating Assumptions'!$D$53,0,IF(DD$6&gt;'Operating Assumptions'!$AA$8,0,IF('Operating Assumptions'!$L18="N/A",0,IF('Operating Assumptions'!$L18="$/Unit/Annual",(('Operating Assumptions'!$M18*DD$25)*DD$36)/12,IF('Operating Assumptions'!$L18="$/Unit/Month",('Operating Assumptions'!$M18*DD$25)*DD$36,IF('Operating Assumptions'!$L18="Fixed Amount",('Operating Assumptions'!$M18*DD$25)/12,IF('Operating Assumptions'!$L18="$/GSF",(('Operating Assumptions'!$M18*DD$25)*'Operating Assumptions'!$D$11)/12,IF('Operating Assumptions'!$L18="$/NSF",(('Operating Assumptions'!$M18*DD$25)*'Operating Assumptions'!$D$12)/12))))))))</f>
        <v>0</v>
      </c>
      <c r="DE90" s="427">
        <f>-IF(DE$9&lt;'Operating Assumptions'!$D$53,0,IF(DE$6&gt;'Operating Assumptions'!$AA$8,0,IF('Operating Assumptions'!$L18="N/A",0,IF('Operating Assumptions'!$L18="$/Unit/Annual",(('Operating Assumptions'!$M18*DE$25)*DE$36)/12,IF('Operating Assumptions'!$L18="$/Unit/Month",('Operating Assumptions'!$M18*DE$25)*DE$36,IF('Operating Assumptions'!$L18="Fixed Amount",('Operating Assumptions'!$M18*DE$25)/12,IF('Operating Assumptions'!$L18="$/GSF",(('Operating Assumptions'!$M18*DE$25)*'Operating Assumptions'!$D$11)/12,IF('Operating Assumptions'!$L18="$/NSF",(('Operating Assumptions'!$M18*DE$25)*'Operating Assumptions'!$D$12)/12))))))))</f>
        <v>0</v>
      </c>
      <c r="DF90" s="427">
        <f>-IF(DF$9&lt;'Operating Assumptions'!$D$53,0,IF(DF$6&gt;'Operating Assumptions'!$AA$8,0,IF('Operating Assumptions'!$L18="N/A",0,IF('Operating Assumptions'!$L18="$/Unit/Annual",(('Operating Assumptions'!$M18*DF$25)*DF$36)/12,IF('Operating Assumptions'!$L18="$/Unit/Month",('Operating Assumptions'!$M18*DF$25)*DF$36,IF('Operating Assumptions'!$L18="Fixed Amount",('Operating Assumptions'!$M18*DF$25)/12,IF('Operating Assumptions'!$L18="$/GSF",(('Operating Assumptions'!$M18*DF$25)*'Operating Assumptions'!$D$11)/12,IF('Operating Assumptions'!$L18="$/NSF",(('Operating Assumptions'!$M18*DF$25)*'Operating Assumptions'!$D$12)/12))))))))</f>
        <v>0</v>
      </c>
      <c r="DG90" s="427">
        <f>-IF(DG$9&lt;'Operating Assumptions'!$D$53,0,IF(DG$6&gt;'Operating Assumptions'!$AA$8,0,IF('Operating Assumptions'!$L18="N/A",0,IF('Operating Assumptions'!$L18="$/Unit/Annual",(('Operating Assumptions'!$M18*DG$25)*DG$36)/12,IF('Operating Assumptions'!$L18="$/Unit/Month",('Operating Assumptions'!$M18*DG$25)*DG$36,IF('Operating Assumptions'!$L18="Fixed Amount",('Operating Assumptions'!$M18*DG$25)/12,IF('Operating Assumptions'!$L18="$/GSF",(('Operating Assumptions'!$M18*DG$25)*'Operating Assumptions'!$D$11)/12,IF('Operating Assumptions'!$L18="$/NSF",(('Operating Assumptions'!$M18*DG$25)*'Operating Assumptions'!$D$12)/12))))))))</f>
        <v>0</v>
      </c>
      <c r="DH90" s="427">
        <f>-IF(DH$9&lt;'Operating Assumptions'!$D$53,0,IF(DH$6&gt;'Operating Assumptions'!$AA$8,0,IF('Operating Assumptions'!$L18="N/A",0,IF('Operating Assumptions'!$L18="$/Unit/Annual",(('Operating Assumptions'!$M18*DH$25)*DH$36)/12,IF('Operating Assumptions'!$L18="$/Unit/Month",('Operating Assumptions'!$M18*DH$25)*DH$36,IF('Operating Assumptions'!$L18="Fixed Amount",('Operating Assumptions'!$M18*DH$25)/12,IF('Operating Assumptions'!$L18="$/GSF",(('Operating Assumptions'!$M18*DH$25)*'Operating Assumptions'!$D$11)/12,IF('Operating Assumptions'!$L18="$/NSF",(('Operating Assumptions'!$M18*DH$25)*'Operating Assumptions'!$D$12)/12))))))))</f>
        <v>0</v>
      </c>
      <c r="DI90" s="427">
        <f>-IF(DI$9&lt;'Operating Assumptions'!$D$53,0,IF(DI$6&gt;'Operating Assumptions'!$AA$8,0,IF('Operating Assumptions'!$L18="N/A",0,IF('Operating Assumptions'!$L18="$/Unit/Annual",(('Operating Assumptions'!$M18*DI$25)*DI$36)/12,IF('Operating Assumptions'!$L18="$/Unit/Month",('Operating Assumptions'!$M18*DI$25)*DI$36,IF('Operating Assumptions'!$L18="Fixed Amount",('Operating Assumptions'!$M18*DI$25)/12,IF('Operating Assumptions'!$L18="$/GSF",(('Operating Assumptions'!$M18*DI$25)*'Operating Assumptions'!$D$11)/12,IF('Operating Assumptions'!$L18="$/NSF",(('Operating Assumptions'!$M18*DI$25)*'Operating Assumptions'!$D$12)/12))))))))</f>
        <v>0</v>
      </c>
      <c r="DJ90" s="427">
        <f>-IF(DJ$9&lt;'Operating Assumptions'!$D$53,0,IF(DJ$6&gt;'Operating Assumptions'!$AA$8,0,IF('Operating Assumptions'!$L18="N/A",0,IF('Operating Assumptions'!$L18="$/Unit/Annual",(('Operating Assumptions'!$M18*DJ$25)*DJ$36)/12,IF('Operating Assumptions'!$L18="$/Unit/Month",('Operating Assumptions'!$M18*DJ$25)*DJ$36,IF('Operating Assumptions'!$L18="Fixed Amount",('Operating Assumptions'!$M18*DJ$25)/12,IF('Operating Assumptions'!$L18="$/GSF",(('Operating Assumptions'!$M18*DJ$25)*'Operating Assumptions'!$D$11)/12,IF('Operating Assumptions'!$L18="$/NSF",(('Operating Assumptions'!$M18*DJ$25)*'Operating Assumptions'!$D$12)/12))))))))</f>
        <v>0</v>
      </c>
      <c r="DK90" s="427">
        <f>-IF(DK$9&lt;'Operating Assumptions'!$D$53,0,IF(DK$6&gt;'Operating Assumptions'!$AA$8,0,IF('Operating Assumptions'!$L18="N/A",0,IF('Operating Assumptions'!$L18="$/Unit/Annual",(('Operating Assumptions'!$M18*DK$25)*DK$36)/12,IF('Operating Assumptions'!$L18="$/Unit/Month",('Operating Assumptions'!$M18*DK$25)*DK$36,IF('Operating Assumptions'!$L18="Fixed Amount",('Operating Assumptions'!$M18*DK$25)/12,IF('Operating Assumptions'!$L18="$/GSF",(('Operating Assumptions'!$M18*DK$25)*'Operating Assumptions'!$D$11)/12,IF('Operating Assumptions'!$L18="$/NSF",(('Operating Assumptions'!$M18*DK$25)*'Operating Assumptions'!$D$12)/12))))))))</f>
        <v>0</v>
      </c>
      <c r="DL90" s="427">
        <f>-IF(DL$9&lt;'Operating Assumptions'!$D$53,0,IF(DL$6&gt;'Operating Assumptions'!$AA$8,0,IF('Operating Assumptions'!$L18="N/A",0,IF('Operating Assumptions'!$L18="$/Unit/Annual",(('Operating Assumptions'!$M18*DL$25)*DL$36)/12,IF('Operating Assumptions'!$L18="$/Unit/Month",('Operating Assumptions'!$M18*DL$25)*DL$36,IF('Operating Assumptions'!$L18="Fixed Amount",('Operating Assumptions'!$M18*DL$25)/12,IF('Operating Assumptions'!$L18="$/GSF",(('Operating Assumptions'!$M18*DL$25)*'Operating Assumptions'!$D$11)/12,IF('Operating Assumptions'!$L18="$/NSF",(('Operating Assumptions'!$M18*DL$25)*'Operating Assumptions'!$D$12)/12))))))))</f>
        <v>0</v>
      </c>
      <c r="DM90" s="427">
        <f>-IF(DM$9&lt;'Operating Assumptions'!$D$53,0,IF(DM$6&gt;'Operating Assumptions'!$AA$8,0,IF('Operating Assumptions'!$L18="N/A",0,IF('Operating Assumptions'!$L18="$/Unit/Annual",(('Operating Assumptions'!$M18*DM$25)*DM$36)/12,IF('Operating Assumptions'!$L18="$/Unit/Month",('Operating Assumptions'!$M18*DM$25)*DM$36,IF('Operating Assumptions'!$L18="Fixed Amount",('Operating Assumptions'!$M18*DM$25)/12,IF('Operating Assumptions'!$L18="$/GSF",(('Operating Assumptions'!$M18*DM$25)*'Operating Assumptions'!$D$11)/12,IF('Operating Assumptions'!$L18="$/NSF",(('Operating Assumptions'!$M18*DM$25)*'Operating Assumptions'!$D$12)/12))))))))</f>
        <v>0</v>
      </c>
      <c r="DN90" s="427">
        <f>-IF(DN$9&lt;'Operating Assumptions'!$D$53,0,IF(DN$6&gt;'Operating Assumptions'!$AA$8,0,IF('Operating Assumptions'!$L18="N/A",0,IF('Operating Assumptions'!$L18="$/Unit/Annual",(('Operating Assumptions'!$M18*DN$25)*DN$36)/12,IF('Operating Assumptions'!$L18="$/Unit/Month",('Operating Assumptions'!$M18*DN$25)*DN$36,IF('Operating Assumptions'!$L18="Fixed Amount",('Operating Assumptions'!$M18*DN$25)/12,IF('Operating Assumptions'!$L18="$/GSF",(('Operating Assumptions'!$M18*DN$25)*'Operating Assumptions'!$D$11)/12,IF('Operating Assumptions'!$L18="$/NSF",(('Operating Assumptions'!$M18*DN$25)*'Operating Assumptions'!$D$12)/12))))))))</f>
        <v>0</v>
      </c>
      <c r="DO90" s="427">
        <f>-IF(DO$9&lt;'Operating Assumptions'!$D$53,0,IF(DO$6&gt;'Operating Assumptions'!$AA$8,0,IF('Operating Assumptions'!$L18="N/A",0,IF('Operating Assumptions'!$L18="$/Unit/Annual",(('Operating Assumptions'!$M18*DO$25)*DO$36)/12,IF('Operating Assumptions'!$L18="$/Unit/Month",('Operating Assumptions'!$M18*DO$25)*DO$36,IF('Operating Assumptions'!$L18="Fixed Amount",('Operating Assumptions'!$M18*DO$25)/12,IF('Operating Assumptions'!$L18="$/GSF",(('Operating Assumptions'!$M18*DO$25)*'Operating Assumptions'!$D$11)/12,IF('Operating Assumptions'!$L18="$/NSF",(('Operating Assumptions'!$M18*DO$25)*'Operating Assumptions'!$D$12)/12))))))))</f>
        <v>0</v>
      </c>
      <c r="DP90" s="427">
        <f>-IF(DP$9&lt;'Operating Assumptions'!$D$53,0,IF(DP$6&gt;'Operating Assumptions'!$AA$8,0,IF('Operating Assumptions'!$L18="N/A",0,IF('Operating Assumptions'!$L18="$/Unit/Annual",(('Operating Assumptions'!$M18*DP$25)*DP$36)/12,IF('Operating Assumptions'!$L18="$/Unit/Month",('Operating Assumptions'!$M18*DP$25)*DP$36,IF('Operating Assumptions'!$L18="Fixed Amount",('Operating Assumptions'!$M18*DP$25)/12,IF('Operating Assumptions'!$L18="$/GSF",(('Operating Assumptions'!$M18*DP$25)*'Operating Assumptions'!$D$11)/12,IF('Operating Assumptions'!$L18="$/NSF",(('Operating Assumptions'!$M18*DP$25)*'Operating Assumptions'!$D$12)/12))))))))</f>
        <v>0</v>
      </c>
      <c r="DQ90" s="427">
        <f>-IF(DQ$9&lt;'Operating Assumptions'!$D$53,0,IF(DQ$6&gt;'Operating Assumptions'!$AA$8,0,IF('Operating Assumptions'!$L18="N/A",0,IF('Operating Assumptions'!$L18="$/Unit/Annual",(('Operating Assumptions'!$M18*DQ$25)*DQ$36)/12,IF('Operating Assumptions'!$L18="$/Unit/Month",('Operating Assumptions'!$M18*DQ$25)*DQ$36,IF('Operating Assumptions'!$L18="Fixed Amount",('Operating Assumptions'!$M18*DQ$25)/12,IF('Operating Assumptions'!$L18="$/GSF",(('Operating Assumptions'!$M18*DQ$25)*'Operating Assumptions'!$D$11)/12,IF('Operating Assumptions'!$L18="$/NSF",(('Operating Assumptions'!$M18*DQ$25)*'Operating Assumptions'!$D$12)/12))))))))</f>
        <v>0</v>
      </c>
      <c r="DR90" s="427">
        <f>-IF(DR$9&lt;'Operating Assumptions'!$D$53,0,IF(DR$6&gt;'Operating Assumptions'!$AA$8,0,IF('Operating Assumptions'!$L18="N/A",0,IF('Operating Assumptions'!$L18="$/Unit/Annual",(('Operating Assumptions'!$M18*DR$25)*DR$36)/12,IF('Operating Assumptions'!$L18="$/Unit/Month",('Operating Assumptions'!$M18*DR$25)*DR$36,IF('Operating Assumptions'!$L18="Fixed Amount",('Operating Assumptions'!$M18*DR$25)/12,IF('Operating Assumptions'!$L18="$/GSF",(('Operating Assumptions'!$M18*DR$25)*'Operating Assumptions'!$D$11)/12,IF('Operating Assumptions'!$L18="$/NSF",(('Operating Assumptions'!$M18*DR$25)*'Operating Assumptions'!$D$12)/12))))))))</f>
        <v>0</v>
      </c>
      <c r="DS90" s="427">
        <f>-IF(DS$9&lt;'Operating Assumptions'!$D$53,0,IF(DS$6&gt;'Operating Assumptions'!$AA$8,0,IF('Operating Assumptions'!$L18="N/A",0,IF('Operating Assumptions'!$L18="$/Unit/Annual",(('Operating Assumptions'!$M18*DS$25)*DS$36)/12,IF('Operating Assumptions'!$L18="$/Unit/Month",('Operating Assumptions'!$M18*DS$25)*DS$36,IF('Operating Assumptions'!$L18="Fixed Amount",('Operating Assumptions'!$M18*DS$25)/12,IF('Operating Assumptions'!$L18="$/GSF",(('Operating Assumptions'!$M18*DS$25)*'Operating Assumptions'!$D$11)/12,IF('Operating Assumptions'!$L18="$/NSF",(('Operating Assumptions'!$M18*DS$25)*'Operating Assumptions'!$D$12)/12))))))))</f>
        <v>0</v>
      </c>
      <c r="DT90" s="427">
        <f>-IF(DT$9&lt;'Operating Assumptions'!$D$53,0,IF(DT$6&gt;'Operating Assumptions'!$AA$8,0,IF('Operating Assumptions'!$L18="N/A",0,IF('Operating Assumptions'!$L18="$/Unit/Annual",(('Operating Assumptions'!$M18*DT$25)*DT$36)/12,IF('Operating Assumptions'!$L18="$/Unit/Month",('Operating Assumptions'!$M18*DT$25)*DT$36,IF('Operating Assumptions'!$L18="Fixed Amount",('Operating Assumptions'!$M18*DT$25)/12,IF('Operating Assumptions'!$L18="$/GSF",(('Operating Assumptions'!$M18*DT$25)*'Operating Assumptions'!$D$11)/12,IF('Operating Assumptions'!$L18="$/NSF",(('Operating Assumptions'!$M18*DT$25)*'Operating Assumptions'!$D$12)/12))))))))</f>
        <v>0</v>
      </c>
      <c r="DU90" s="427">
        <f>-IF(DU$9&lt;'Operating Assumptions'!$D$53,0,IF(DU$6&gt;'Operating Assumptions'!$AA$8,0,IF('Operating Assumptions'!$L18="N/A",0,IF('Operating Assumptions'!$L18="$/Unit/Annual",(('Operating Assumptions'!$M18*DU$25)*DU$36)/12,IF('Operating Assumptions'!$L18="$/Unit/Month",('Operating Assumptions'!$M18*DU$25)*DU$36,IF('Operating Assumptions'!$L18="Fixed Amount",('Operating Assumptions'!$M18*DU$25)/12,IF('Operating Assumptions'!$L18="$/GSF",(('Operating Assumptions'!$M18*DU$25)*'Operating Assumptions'!$D$11)/12,IF('Operating Assumptions'!$L18="$/NSF",(('Operating Assumptions'!$M18*DU$25)*'Operating Assumptions'!$D$12)/12))))))))</f>
        <v>0</v>
      </c>
      <c r="DV90" s="427">
        <f>-IF(DV$9&lt;'Operating Assumptions'!$D$53,0,IF(DV$6&gt;'Operating Assumptions'!$AA$8,0,IF('Operating Assumptions'!$L18="N/A",0,IF('Operating Assumptions'!$L18="$/Unit/Annual",(('Operating Assumptions'!$M18*DV$25)*DV$36)/12,IF('Operating Assumptions'!$L18="$/Unit/Month",('Operating Assumptions'!$M18*DV$25)*DV$36,IF('Operating Assumptions'!$L18="Fixed Amount",('Operating Assumptions'!$M18*DV$25)/12,IF('Operating Assumptions'!$L18="$/GSF",(('Operating Assumptions'!$M18*DV$25)*'Operating Assumptions'!$D$11)/12,IF('Operating Assumptions'!$L18="$/NSF",(('Operating Assumptions'!$M18*DV$25)*'Operating Assumptions'!$D$12)/12))))))))</f>
        <v>0</v>
      </c>
      <c r="DW90" s="427">
        <f>-IF(DW$9&lt;'Operating Assumptions'!$D$53,0,IF(DW$6&gt;'Operating Assumptions'!$AA$8,0,IF('Operating Assumptions'!$L18="N/A",0,IF('Operating Assumptions'!$L18="$/Unit/Annual",(('Operating Assumptions'!$M18*DW$25)*DW$36)/12,IF('Operating Assumptions'!$L18="$/Unit/Month",('Operating Assumptions'!$M18*DW$25)*DW$36,IF('Operating Assumptions'!$L18="Fixed Amount",('Operating Assumptions'!$M18*DW$25)/12,IF('Operating Assumptions'!$L18="$/GSF",(('Operating Assumptions'!$M18*DW$25)*'Operating Assumptions'!$D$11)/12,IF('Operating Assumptions'!$L18="$/NSF",(('Operating Assumptions'!$M18*DW$25)*'Operating Assumptions'!$D$12)/12))))))))</f>
        <v>0</v>
      </c>
      <c r="DX90" s="427">
        <f>-IF(DX$9&lt;'Operating Assumptions'!$D$53,0,IF(DX$6&gt;'Operating Assumptions'!$AA$8,0,IF('Operating Assumptions'!$L18="N/A",0,IF('Operating Assumptions'!$L18="$/Unit/Annual",(('Operating Assumptions'!$M18*DX$25)*DX$36)/12,IF('Operating Assumptions'!$L18="$/Unit/Month",('Operating Assumptions'!$M18*DX$25)*DX$36,IF('Operating Assumptions'!$L18="Fixed Amount",('Operating Assumptions'!$M18*DX$25)/12,IF('Operating Assumptions'!$L18="$/GSF",(('Operating Assumptions'!$M18*DX$25)*'Operating Assumptions'!$D$11)/12,IF('Operating Assumptions'!$L18="$/NSF",(('Operating Assumptions'!$M18*DX$25)*'Operating Assumptions'!$D$12)/12))))))))</f>
        <v>0</v>
      </c>
      <c r="DY90" s="427">
        <f>-IF(DY$9&lt;'Operating Assumptions'!$D$53,0,IF(DY$6&gt;'Operating Assumptions'!$AA$8,0,IF('Operating Assumptions'!$L18="N/A",0,IF('Operating Assumptions'!$L18="$/Unit/Annual",(('Operating Assumptions'!$M18*DY$25)*DY$36)/12,IF('Operating Assumptions'!$L18="$/Unit/Month",('Operating Assumptions'!$M18*DY$25)*DY$36,IF('Operating Assumptions'!$L18="Fixed Amount",('Operating Assumptions'!$M18*DY$25)/12,IF('Operating Assumptions'!$L18="$/GSF",(('Operating Assumptions'!$M18*DY$25)*'Operating Assumptions'!$D$11)/12,IF('Operating Assumptions'!$L18="$/NSF",(('Operating Assumptions'!$M18*DY$25)*'Operating Assumptions'!$D$12)/12))))))))</f>
        <v>0</v>
      </c>
      <c r="DZ90" s="427">
        <f>-IF(DZ$9&lt;'Operating Assumptions'!$D$53,0,IF(DZ$6&gt;'Operating Assumptions'!$AA$8,0,IF('Operating Assumptions'!$L18="N/A",0,IF('Operating Assumptions'!$L18="$/Unit/Annual",(('Operating Assumptions'!$M18*DZ$25)*DZ$36)/12,IF('Operating Assumptions'!$L18="$/Unit/Month",('Operating Assumptions'!$M18*DZ$25)*DZ$36,IF('Operating Assumptions'!$L18="Fixed Amount",('Operating Assumptions'!$M18*DZ$25)/12,IF('Operating Assumptions'!$L18="$/GSF",(('Operating Assumptions'!$M18*DZ$25)*'Operating Assumptions'!$D$11)/12,IF('Operating Assumptions'!$L18="$/NSF",(('Operating Assumptions'!$M18*DZ$25)*'Operating Assumptions'!$D$12)/12))))))))</f>
        <v>0</v>
      </c>
      <c r="EA90" s="427">
        <f>-IF(EA$9&lt;'Operating Assumptions'!$D$53,0,IF(EA$6&gt;'Operating Assumptions'!$AA$8,0,IF('Operating Assumptions'!$L18="N/A",0,IF('Operating Assumptions'!$L18="$/Unit/Annual",(('Operating Assumptions'!$M18*EA$25)*EA$36)/12,IF('Operating Assumptions'!$L18="$/Unit/Month",('Operating Assumptions'!$M18*EA$25)*EA$36,IF('Operating Assumptions'!$L18="Fixed Amount",('Operating Assumptions'!$M18*EA$25)/12,IF('Operating Assumptions'!$L18="$/GSF",(('Operating Assumptions'!$M18*EA$25)*'Operating Assumptions'!$D$11)/12,IF('Operating Assumptions'!$L18="$/NSF",(('Operating Assumptions'!$M18*EA$25)*'Operating Assumptions'!$D$12)/12))))))))</f>
        <v>0</v>
      </c>
      <c r="EB90" s="427">
        <f>-IF(EB$9&lt;'Operating Assumptions'!$D$53,0,IF(EB$6&gt;'Operating Assumptions'!$AA$8,0,IF('Operating Assumptions'!$L18="N/A",0,IF('Operating Assumptions'!$L18="$/Unit/Annual",(('Operating Assumptions'!$M18*EB$25)*EB$36)/12,IF('Operating Assumptions'!$L18="$/Unit/Month",('Operating Assumptions'!$M18*EB$25)*EB$36,IF('Operating Assumptions'!$L18="Fixed Amount",('Operating Assumptions'!$M18*EB$25)/12,IF('Operating Assumptions'!$L18="$/GSF",(('Operating Assumptions'!$M18*EB$25)*'Operating Assumptions'!$D$11)/12,IF('Operating Assumptions'!$L18="$/NSF",(('Operating Assumptions'!$M18*EB$25)*'Operating Assumptions'!$D$12)/12))))))))</f>
        <v>0</v>
      </c>
      <c r="EC90" s="427">
        <f>-IF(EC$9&lt;'Operating Assumptions'!$D$53,0,IF(EC$6&gt;'Operating Assumptions'!$AA$8,0,IF('Operating Assumptions'!$L18="N/A",0,IF('Operating Assumptions'!$L18="$/Unit/Annual",(('Operating Assumptions'!$M18*EC$25)*EC$36)/12,IF('Operating Assumptions'!$L18="$/Unit/Month",('Operating Assumptions'!$M18*EC$25)*EC$36,IF('Operating Assumptions'!$L18="Fixed Amount",('Operating Assumptions'!$M18*EC$25)/12,IF('Operating Assumptions'!$L18="$/GSF",(('Operating Assumptions'!$M18*EC$25)*'Operating Assumptions'!$D$11)/12,IF('Operating Assumptions'!$L18="$/NSF",(('Operating Assumptions'!$M18*EC$25)*'Operating Assumptions'!$D$12)/12))))))))</f>
        <v>0</v>
      </c>
      <c r="ED90" s="427">
        <f>-IF(ED$9&lt;'Operating Assumptions'!$D$53,0,IF(ED$6&gt;'Operating Assumptions'!$AA$8,0,IF('Operating Assumptions'!$L18="N/A",0,IF('Operating Assumptions'!$L18="$/Unit/Annual",(('Operating Assumptions'!$M18*ED$25)*ED$36)/12,IF('Operating Assumptions'!$L18="$/Unit/Month",('Operating Assumptions'!$M18*ED$25)*ED$36,IF('Operating Assumptions'!$L18="Fixed Amount",('Operating Assumptions'!$M18*ED$25)/12,IF('Operating Assumptions'!$L18="$/GSF",(('Operating Assumptions'!$M18*ED$25)*'Operating Assumptions'!$D$11)/12,IF('Operating Assumptions'!$L18="$/NSF",(('Operating Assumptions'!$M18*ED$25)*'Operating Assumptions'!$D$12)/12))))))))</f>
        <v>0</v>
      </c>
      <c r="EE90" s="427">
        <f>-IF(EE$9&lt;'Operating Assumptions'!$D$53,0,IF(EE$6&gt;'Operating Assumptions'!$AA$8,0,IF('Operating Assumptions'!$L18="N/A",0,IF('Operating Assumptions'!$L18="$/Unit/Annual",(('Operating Assumptions'!$M18*EE$25)*EE$36)/12,IF('Operating Assumptions'!$L18="$/Unit/Month",('Operating Assumptions'!$M18*EE$25)*EE$36,IF('Operating Assumptions'!$L18="Fixed Amount",('Operating Assumptions'!$M18*EE$25)/12,IF('Operating Assumptions'!$L18="$/GSF",(('Operating Assumptions'!$M18*EE$25)*'Operating Assumptions'!$D$11)/12,IF('Operating Assumptions'!$L18="$/NSF",(('Operating Assumptions'!$M18*EE$25)*'Operating Assumptions'!$D$12)/12))))))))</f>
        <v>0</v>
      </c>
      <c r="EF90" s="427">
        <f>-IF(EF$9&lt;'Operating Assumptions'!$D$53,0,IF(EF$6&gt;'Operating Assumptions'!$AA$8,0,IF('Operating Assumptions'!$L18="N/A",0,IF('Operating Assumptions'!$L18="$/Unit/Annual",(('Operating Assumptions'!$M18*EF$25)*EF$36)/12,IF('Operating Assumptions'!$L18="$/Unit/Month",('Operating Assumptions'!$M18*EF$25)*EF$36,IF('Operating Assumptions'!$L18="Fixed Amount",('Operating Assumptions'!$M18*EF$25)/12,IF('Operating Assumptions'!$L18="$/GSF",(('Operating Assumptions'!$M18*EF$25)*'Operating Assumptions'!$D$11)/12,IF('Operating Assumptions'!$L18="$/NSF",(('Operating Assumptions'!$M18*EF$25)*'Operating Assumptions'!$D$12)/12))))))))</f>
        <v>0</v>
      </c>
      <c r="EG90" s="427">
        <f>-IF(EG$9&lt;'Operating Assumptions'!$D$53,0,IF(EG$6&gt;'Operating Assumptions'!$AA$8,0,IF('Operating Assumptions'!$L18="N/A",0,IF('Operating Assumptions'!$L18="$/Unit/Annual",(('Operating Assumptions'!$M18*EG$25)*EG$36)/12,IF('Operating Assumptions'!$L18="$/Unit/Month",('Operating Assumptions'!$M18*EG$25)*EG$36,IF('Operating Assumptions'!$L18="Fixed Amount",('Operating Assumptions'!$M18*EG$25)/12,IF('Operating Assumptions'!$L18="$/GSF",(('Operating Assumptions'!$M18*EG$25)*'Operating Assumptions'!$D$11)/12,IF('Operating Assumptions'!$L18="$/NSF",(('Operating Assumptions'!$M18*EG$25)*'Operating Assumptions'!$D$12)/12))))))))</f>
        <v>0</v>
      </c>
      <c r="EH90" s="427">
        <f>-IF(EH$9&lt;'Operating Assumptions'!$D$53,0,IF(EH$6&gt;'Operating Assumptions'!$AA$8,0,IF('Operating Assumptions'!$L18="N/A",0,IF('Operating Assumptions'!$L18="$/Unit/Annual",(('Operating Assumptions'!$M18*EH$25)*EH$36)/12,IF('Operating Assumptions'!$L18="$/Unit/Month",('Operating Assumptions'!$M18*EH$25)*EH$36,IF('Operating Assumptions'!$L18="Fixed Amount",('Operating Assumptions'!$M18*EH$25)/12,IF('Operating Assumptions'!$L18="$/GSF",(('Operating Assumptions'!$M18*EH$25)*'Operating Assumptions'!$D$11)/12,IF('Operating Assumptions'!$L18="$/NSF",(('Operating Assumptions'!$M18*EH$25)*'Operating Assumptions'!$D$12)/12))))))))</f>
        <v>0</v>
      </c>
      <c r="EI90" s="427">
        <f>-IF(EI$9&lt;'Operating Assumptions'!$D$53,0,IF(EI$6&gt;'Operating Assumptions'!$AA$8,0,IF('Operating Assumptions'!$L18="N/A",0,IF('Operating Assumptions'!$L18="$/Unit/Annual",(('Operating Assumptions'!$M18*EI$25)*EI$36)/12,IF('Operating Assumptions'!$L18="$/Unit/Month",('Operating Assumptions'!$M18*EI$25)*EI$36,IF('Operating Assumptions'!$L18="Fixed Amount",('Operating Assumptions'!$M18*EI$25)/12,IF('Operating Assumptions'!$L18="$/GSF",(('Operating Assumptions'!$M18*EI$25)*'Operating Assumptions'!$D$11)/12,IF('Operating Assumptions'!$L18="$/NSF",(('Operating Assumptions'!$M18*EI$25)*'Operating Assumptions'!$D$12)/12))))))))</f>
        <v>0</v>
      </c>
      <c r="EJ90" s="427">
        <f>-IF(EJ$9&lt;'Operating Assumptions'!$D$53,0,IF(EJ$6&gt;'Operating Assumptions'!$AA$8,0,IF('Operating Assumptions'!$L18="N/A",0,IF('Operating Assumptions'!$L18="$/Unit/Annual",(('Operating Assumptions'!$M18*EJ$25)*EJ$36)/12,IF('Operating Assumptions'!$L18="$/Unit/Month",('Operating Assumptions'!$M18*EJ$25)*EJ$36,IF('Operating Assumptions'!$L18="Fixed Amount",('Operating Assumptions'!$M18*EJ$25)/12,IF('Operating Assumptions'!$L18="$/GSF",(('Operating Assumptions'!$M18*EJ$25)*'Operating Assumptions'!$D$11)/12,IF('Operating Assumptions'!$L18="$/NSF",(('Operating Assumptions'!$M18*EJ$25)*'Operating Assumptions'!$D$12)/12))))))))</f>
        <v>0</v>
      </c>
      <c r="EK90" s="427">
        <f>-IF(EK$9&lt;'Operating Assumptions'!$D$53,0,IF(EK$6&gt;'Operating Assumptions'!$AA$8,0,IF('Operating Assumptions'!$L18="N/A",0,IF('Operating Assumptions'!$L18="$/Unit/Annual",(('Operating Assumptions'!$M18*EK$25)*EK$36)/12,IF('Operating Assumptions'!$L18="$/Unit/Month",('Operating Assumptions'!$M18*EK$25)*EK$36,IF('Operating Assumptions'!$L18="Fixed Amount",('Operating Assumptions'!$M18*EK$25)/12,IF('Operating Assumptions'!$L18="$/GSF",(('Operating Assumptions'!$M18*EK$25)*'Operating Assumptions'!$D$11)/12,IF('Operating Assumptions'!$L18="$/NSF",(('Operating Assumptions'!$M18*EK$25)*'Operating Assumptions'!$D$12)/12))))))))</f>
        <v>0</v>
      </c>
      <c r="EL90" s="427">
        <f>-IF(EL$9&lt;'Operating Assumptions'!$D$53,0,IF(EL$6&gt;'Operating Assumptions'!$AA$8,0,IF('Operating Assumptions'!$L18="N/A",0,IF('Operating Assumptions'!$L18="$/Unit/Annual",(('Operating Assumptions'!$M18*EL$25)*EL$36)/12,IF('Operating Assumptions'!$L18="$/Unit/Month",('Operating Assumptions'!$M18*EL$25)*EL$36,IF('Operating Assumptions'!$L18="Fixed Amount",('Operating Assumptions'!$M18*EL$25)/12,IF('Operating Assumptions'!$L18="$/GSF",(('Operating Assumptions'!$M18*EL$25)*'Operating Assumptions'!$D$11)/12,IF('Operating Assumptions'!$L18="$/NSF",(('Operating Assumptions'!$M18*EL$25)*'Operating Assumptions'!$D$12)/12))))))))</f>
        <v>0</v>
      </c>
      <c r="EM90" s="427">
        <f>-IF(EM$9&lt;'Operating Assumptions'!$D$53,0,IF(EM$6&gt;'Operating Assumptions'!$AA$8,0,IF('Operating Assumptions'!$L18="N/A",0,IF('Operating Assumptions'!$L18="$/Unit/Annual",(('Operating Assumptions'!$M18*EM$25)*EM$36)/12,IF('Operating Assumptions'!$L18="$/Unit/Month",('Operating Assumptions'!$M18*EM$25)*EM$36,IF('Operating Assumptions'!$L18="Fixed Amount",('Operating Assumptions'!$M18*EM$25)/12,IF('Operating Assumptions'!$L18="$/GSF",(('Operating Assumptions'!$M18*EM$25)*'Operating Assumptions'!$D$11)/12,IF('Operating Assumptions'!$L18="$/NSF",(('Operating Assumptions'!$M18*EM$25)*'Operating Assumptions'!$D$12)/12))))))))</f>
        <v>0</v>
      </c>
      <c r="EN90" s="427">
        <f>-IF(EN$9&lt;'Operating Assumptions'!$D$53,0,IF(EN$6&gt;'Operating Assumptions'!$AA$8,0,IF('Operating Assumptions'!$L18="N/A",0,IF('Operating Assumptions'!$L18="$/Unit/Annual",(('Operating Assumptions'!$M18*EN$25)*EN$36)/12,IF('Operating Assumptions'!$L18="$/Unit/Month",('Operating Assumptions'!$M18*EN$25)*EN$36,IF('Operating Assumptions'!$L18="Fixed Amount",('Operating Assumptions'!$M18*EN$25)/12,IF('Operating Assumptions'!$L18="$/GSF",(('Operating Assumptions'!$M18*EN$25)*'Operating Assumptions'!$D$11)/12,IF('Operating Assumptions'!$L18="$/NSF",(('Operating Assumptions'!$M18*EN$25)*'Operating Assumptions'!$D$12)/12))))))))</f>
        <v>0</v>
      </c>
      <c r="EO90" s="427">
        <f>-IF(EO$9&lt;'Operating Assumptions'!$D$53,0,IF(EO$6&gt;'Operating Assumptions'!$AA$8,0,IF('Operating Assumptions'!$L18="N/A",0,IF('Operating Assumptions'!$L18="$/Unit/Annual",(('Operating Assumptions'!$M18*EO$25)*EO$36)/12,IF('Operating Assumptions'!$L18="$/Unit/Month",('Operating Assumptions'!$M18*EO$25)*EO$36,IF('Operating Assumptions'!$L18="Fixed Amount",('Operating Assumptions'!$M18*EO$25)/12,IF('Operating Assumptions'!$L18="$/GSF",(('Operating Assumptions'!$M18*EO$25)*'Operating Assumptions'!$D$11)/12,IF('Operating Assumptions'!$L18="$/NSF",(('Operating Assumptions'!$M18*EO$25)*'Operating Assumptions'!$D$12)/12))))))))</f>
        <v>0</v>
      </c>
      <c r="EP90" s="427">
        <f>-IF(EP$9&lt;'Operating Assumptions'!$D$53,0,IF(EP$6&gt;'Operating Assumptions'!$AA$8,0,IF('Operating Assumptions'!$L18="N/A",0,IF('Operating Assumptions'!$L18="$/Unit/Annual",(('Operating Assumptions'!$M18*EP$25)*EP$36)/12,IF('Operating Assumptions'!$L18="$/Unit/Month",('Operating Assumptions'!$M18*EP$25)*EP$36,IF('Operating Assumptions'!$L18="Fixed Amount",('Operating Assumptions'!$M18*EP$25)/12,IF('Operating Assumptions'!$L18="$/GSF",(('Operating Assumptions'!$M18*EP$25)*'Operating Assumptions'!$D$11)/12,IF('Operating Assumptions'!$L18="$/NSF",(('Operating Assumptions'!$M18*EP$25)*'Operating Assumptions'!$D$12)/12))))))))</f>
        <v>0</v>
      </c>
      <c r="EQ90" s="427">
        <f>-IF(EQ$9&lt;'Operating Assumptions'!$D$53,0,IF(EQ$6&gt;'Operating Assumptions'!$AA$8,0,IF('Operating Assumptions'!$L18="N/A",0,IF('Operating Assumptions'!$L18="$/Unit/Annual",(('Operating Assumptions'!$M18*EQ$25)*EQ$36)/12,IF('Operating Assumptions'!$L18="$/Unit/Month",('Operating Assumptions'!$M18*EQ$25)*EQ$36,IF('Operating Assumptions'!$L18="Fixed Amount",('Operating Assumptions'!$M18*EQ$25)/12,IF('Operating Assumptions'!$L18="$/GSF",(('Operating Assumptions'!$M18*EQ$25)*'Operating Assumptions'!$D$11)/12,IF('Operating Assumptions'!$L18="$/NSF",(('Operating Assumptions'!$M18*EQ$25)*'Operating Assumptions'!$D$12)/12))))))))</f>
        <v>0</v>
      </c>
      <c r="ER90" s="427">
        <f>-IF(ER$9&lt;'Operating Assumptions'!$D$53,0,IF(ER$6&gt;'Operating Assumptions'!$AA$8,0,IF('Operating Assumptions'!$L18="N/A",0,IF('Operating Assumptions'!$L18="$/Unit/Annual",(('Operating Assumptions'!$M18*ER$25)*ER$36)/12,IF('Operating Assumptions'!$L18="$/Unit/Month",('Operating Assumptions'!$M18*ER$25)*ER$36,IF('Operating Assumptions'!$L18="Fixed Amount",('Operating Assumptions'!$M18*ER$25)/12,IF('Operating Assumptions'!$L18="$/GSF",(('Operating Assumptions'!$M18*ER$25)*'Operating Assumptions'!$D$11)/12,IF('Operating Assumptions'!$L18="$/NSF",(('Operating Assumptions'!$M18*ER$25)*'Operating Assumptions'!$D$12)/12))))))))</f>
        <v>0</v>
      </c>
      <c r="ES90" s="427">
        <f>-IF(ES$9&lt;'Operating Assumptions'!$D$53,0,IF(ES$6&gt;'Operating Assumptions'!$AA$8,0,IF('Operating Assumptions'!$L18="N/A",0,IF('Operating Assumptions'!$L18="$/Unit/Annual",(('Operating Assumptions'!$M18*ES$25)*ES$36)/12,IF('Operating Assumptions'!$L18="$/Unit/Month",('Operating Assumptions'!$M18*ES$25)*ES$36,IF('Operating Assumptions'!$L18="Fixed Amount",('Operating Assumptions'!$M18*ES$25)/12,IF('Operating Assumptions'!$L18="$/GSF",(('Operating Assumptions'!$M18*ES$25)*'Operating Assumptions'!$D$11)/12,IF('Operating Assumptions'!$L18="$/NSF",(('Operating Assumptions'!$M18*ES$25)*'Operating Assumptions'!$D$12)/12))))))))</f>
        <v>0</v>
      </c>
      <c r="ET90" s="427">
        <f>-IF(ET$9&lt;'Operating Assumptions'!$D$53,0,IF(ET$6&gt;'Operating Assumptions'!$AA$8,0,IF('Operating Assumptions'!$L18="N/A",0,IF('Operating Assumptions'!$L18="$/Unit/Annual",(('Operating Assumptions'!$M18*ET$25)*ET$36)/12,IF('Operating Assumptions'!$L18="$/Unit/Month",('Operating Assumptions'!$M18*ET$25)*ET$36,IF('Operating Assumptions'!$L18="Fixed Amount",('Operating Assumptions'!$M18*ET$25)/12,IF('Operating Assumptions'!$L18="$/GSF",(('Operating Assumptions'!$M18*ET$25)*'Operating Assumptions'!$D$11)/12,IF('Operating Assumptions'!$L18="$/NSF",(('Operating Assumptions'!$M18*ET$25)*'Operating Assumptions'!$D$12)/12))))))))</f>
        <v>0</v>
      </c>
      <c r="EU90" s="427">
        <f>-IF(EU$9&lt;'Operating Assumptions'!$D$53,0,IF(EU$6&gt;'Operating Assumptions'!$AA$8,0,IF('Operating Assumptions'!$L18="N/A",0,IF('Operating Assumptions'!$L18="$/Unit/Annual",(('Operating Assumptions'!$M18*EU$25)*EU$36)/12,IF('Operating Assumptions'!$L18="$/Unit/Month",('Operating Assumptions'!$M18*EU$25)*EU$36,IF('Operating Assumptions'!$L18="Fixed Amount",('Operating Assumptions'!$M18*EU$25)/12,IF('Operating Assumptions'!$L18="$/GSF",(('Operating Assumptions'!$M18*EU$25)*'Operating Assumptions'!$D$11)/12,IF('Operating Assumptions'!$L18="$/NSF",(('Operating Assumptions'!$M18*EU$25)*'Operating Assumptions'!$D$12)/12))))))))</f>
        <v>0</v>
      </c>
      <c r="EV90" s="427">
        <f>-IF(EV$9&lt;'Operating Assumptions'!$D$53,0,IF(EV$6&gt;'Operating Assumptions'!$AA$8,0,IF('Operating Assumptions'!$L18="N/A",0,IF('Operating Assumptions'!$L18="$/Unit/Annual",(('Operating Assumptions'!$M18*EV$25)*EV$36)/12,IF('Operating Assumptions'!$L18="$/Unit/Month",('Operating Assumptions'!$M18*EV$25)*EV$36,IF('Operating Assumptions'!$L18="Fixed Amount",('Operating Assumptions'!$M18*EV$25)/12,IF('Operating Assumptions'!$L18="$/GSF",(('Operating Assumptions'!$M18*EV$25)*'Operating Assumptions'!$D$11)/12,IF('Operating Assumptions'!$L18="$/NSF",(('Operating Assumptions'!$M18*EV$25)*'Operating Assumptions'!$D$12)/12))))))))</f>
        <v>0</v>
      </c>
      <c r="EW90" s="427">
        <f>-IF(EW$9&lt;'Operating Assumptions'!$D$53,0,IF(EW$6&gt;'Operating Assumptions'!$AA$8,0,IF('Operating Assumptions'!$L18="N/A",0,IF('Operating Assumptions'!$L18="$/Unit/Annual",(('Operating Assumptions'!$M18*EW$25)*EW$36)/12,IF('Operating Assumptions'!$L18="$/Unit/Month",('Operating Assumptions'!$M18*EW$25)*EW$36,IF('Operating Assumptions'!$L18="Fixed Amount",('Operating Assumptions'!$M18*EW$25)/12,IF('Operating Assumptions'!$L18="$/GSF",(('Operating Assumptions'!$M18*EW$25)*'Operating Assumptions'!$D$11)/12,IF('Operating Assumptions'!$L18="$/NSF",(('Operating Assumptions'!$M18*EW$25)*'Operating Assumptions'!$D$12)/12))))))))</f>
        <v>0</v>
      </c>
      <c r="EX90" s="427">
        <f>-IF(EX$9&lt;'Operating Assumptions'!$D$53,0,IF(EX$6&gt;'Operating Assumptions'!$AA$8,0,IF('Operating Assumptions'!$L18="N/A",0,IF('Operating Assumptions'!$L18="$/Unit/Annual",(('Operating Assumptions'!$M18*EX$25)*EX$36)/12,IF('Operating Assumptions'!$L18="$/Unit/Month",('Operating Assumptions'!$M18*EX$25)*EX$36,IF('Operating Assumptions'!$L18="Fixed Amount",('Operating Assumptions'!$M18*EX$25)/12,IF('Operating Assumptions'!$L18="$/GSF",(('Operating Assumptions'!$M18*EX$25)*'Operating Assumptions'!$D$11)/12,IF('Operating Assumptions'!$L18="$/NSF",(('Operating Assumptions'!$M18*EX$25)*'Operating Assumptions'!$D$12)/12))))))))</f>
        <v>0</v>
      </c>
      <c r="EY90" s="427">
        <f>-IF(EY$9&lt;'Operating Assumptions'!$D$53,0,IF(EY$6&gt;'Operating Assumptions'!$AA$8,0,IF('Operating Assumptions'!$L18="N/A",0,IF('Operating Assumptions'!$L18="$/Unit/Annual",(('Operating Assumptions'!$M18*EY$25)*EY$36)/12,IF('Operating Assumptions'!$L18="$/Unit/Month",('Operating Assumptions'!$M18*EY$25)*EY$36,IF('Operating Assumptions'!$L18="Fixed Amount",('Operating Assumptions'!$M18*EY$25)/12,IF('Operating Assumptions'!$L18="$/GSF",(('Operating Assumptions'!$M18*EY$25)*'Operating Assumptions'!$D$11)/12,IF('Operating Assumptions'!$L18="$/NSF",(('Operating Assumptions'!$M18*EY$25)*'Operating Assumptions'!$D$12)/12))))))))</f>
        <v>0</v>
      </c>
      <c r="EZ90" s="427">
        <f>-IF(EZ$9&lt;'Operating Assumptions'!$D$53,0,IF(EZ$6&gt;'Operating Assumptions'!$AA$8,0,IF('Operating Assumptions'!$L18="N/A",0,IF('Operating Assumptions'!$L18="$/Unit/Annual",(('Operating Assumptions'!$M18*EZ$25)*EZ$36)/12,IF('Operating Assumptions'!$L18="$/Unit/Month",('Operating Assumptions'!$M18*EZ$25)*EZ$36,IF('Operating Assumptions'!$L18="Fixed Amount",('Operating Assumptions'!$M18*EZ$25)/12,IF('Operating Assumptions'!$L18="$/GSF",(('Operating Assumptions'!$M18*EZ$25)*'Operating Assumptions'!$D$11)/12,IF('Operating Assumptions'!$L18="$/NSF",(('Operating Assumptions'!$M18*EZ$25)*'Operating Assumptions'!$D$12)/12))))))))</f>
        <v>0</v>
      </c>
      <c r="FA90" s="427">
        <f>-IF(FA$9&lt;'Operating Assumptions'!$D$53,0,IF(FA$6&gt;'Operating Assumptions'!$AA$8,0,IF('Operating Assumptions'!$L18="N/A",0,IF('Operating Assumptions'!$L18="$/Unit/Annual",(('Operating Assumptions'!$M18*FA$25)*FA$36)/12,IF('Operating Assumptions'!$L18="$/Unit/Month",('Operating Assumptions'!$M18*FA$25)*FA$36,IF('Operating Assumptions'!$L18="Fixed Amount",('Operating Assumptions'!$M18*FA$25)/12,IF('Operating Assumptions'!$L18="$/GSF",(('Operating Assumptions'!$M18*FA$25)*'Operating Assumptions'!$D$11)/12,IF('Operating Assumptions'!$L18="$/NSF",(('Operating Assumptions'!$M18*FA$25)*'Operating Assumptions'!$D$12)/12))))))))</f>
        <v>0</v>
      </c>
      <c r="FB90" s="427">
        <f>-IF(FB$9&lt;'Operating Assumptions'!$D$53,0,IF(FB$6&gt;'Operating Assumptions'!$AA$8,0,IF('Operating Assumptions'!$L18="N/A",0,IF('Operating Assumptions'!$L18="$/Unit/Annual",(('Operating Assumptions'!$M18*FB$25)*FB$36)/12,IF('Operating Assumptions'!$L18="$/Unit/Month",('Operating Assumptions'!$M18*FB$25)*FB$36,IF('Operating Assumptions'!$L18="Fixed Amount",('Operating Assumptions'!$M18*FB$25)/12,IF('Operating Assumptions'!$L18="$/GSF",(('Operating Assumptions'!$M18*FB$25)*'Operating Assumptions'!$D$11)/12,IF('Operating Assumptions'!$L18="$/NSF",(('Operating Assumptions'!$M18*FB$25)*'Operating Assumptions'!$D$12)/12))))))))</f>
        <v>0</v>
      </c>
      <c r="FC90" s="427">
        <f>-IF(FC$9&lt;'Operating Assumptions'!$D$53,0,IF(FC$6&gt;'Operating Assumptions'!$AA$8,0,IF('Operating Assumptions'!$L18="N/A",0,IF('Operating Assumptions'!$L18="$/Unit/Annual",(('Operating Assumptions'!$M18*FC$25)*FC$36)/12,IF('Operating Assumptions'!$L18="$/Unit/Month",('Operating Assumptions'!$M18*FC$25)*FC$36,IF('Operating Assumptions'!$L18="Fixed Amount",('Operating Assumptions'!$M18*FC$25)/12,IF('Operating Assumptions'!$L18="$/GSF",(('Operating Assumptions'!$M18*FC$25)*'Operating Assumptions'!$D$11)/12,IF('Operating Assumptions'!$L18="$/NSF",(('Operating Assumptions'!$M18*FC$25)*'Operating Assumptions'!$D$12)/12))))))))</f>
        <v>0</v>
      </c>
      <c r="FD90" s="427">
        <f>-IF(FD$9&lt;'Operating Assumptions'!$D$53,0,IF(FD$6&gt;'Operating Assumptions'!$AA$8,0,IF('Operating Assumptions'!$L18="N/A",0,IF('Operating Assumptions'!$L18="$/Unit/Annual",(('Operating Assumptions'!$M18*FD$25)*FD$36)/12,IF('Operating Assumptions'!$L18="$/Unit/Month",('Operating Assumptions'!$M18*FD$25)*FD$36,IF('Operating Assumptions'!$L18="Fixed Amount",('Operating Assumptions'!$M18*FD$25)/12,IF('Operating Assumptions'!$L18="$/GSF",(('Operating Assumptions'!$M18*FD$25)*'Operating Assumptions'!$D$11)/12,IF('Operating Assumptions'!$L18="$/NSF",(('Operating Assumptions'!$M18*FD$25)*'Operating Assumptions'!$D$12)/12))))))))</f>
        <v>0</v>
      </c>
      <c r="FE90" s="427">
        <f>-IF(FE$9&lt;'Operating Assumptions'!$D$53,0,IF(FE$6&gt;'Operating Assumptions'!$AA$8,0,IF('Operating Assumptions'!$L18="N/A",0,IF('Operating Assumptions'!$L18="$/Unit/Annual",(('Operating Assumptions'!$M18*FE$25)*FE$36)/12,IF('Operating Assumptions'!$L18="$/Unit/Month",('Operating Assumptions'!$M18*FE$25)*FE$36,IF('Operating Assumptions'!$L18="Fixed Amount",('Operating Assumptions'!$M18*FE$25)/12,IF('Operating Assumptions'!$L18="$/GSF",(('Operating Assumptions'!$M18*FE$25)*'Operating Assumptions'!$D$11)/12,IF('Operating Assumptions'!$L18="$/NSF",(('Operating Assumptions'!$M18*FE$25)*'Operating Assumptions'!$D$12)/12))))))))</f>
        <v>0</v>
      </c>
      <c r="FF90" s="427">
        <f>-IF(FF$9&lt;'Operating Assumptions'!$D$53,0,IF(FF$6&gt;'Operating Assumptions'!$AA$8,0,IF('Operating Assumptions'!$L18="N/A",0,IF('Operating Assumptions'!$L18="$/Unit/Annual",(('Operating Assumptions'!$M18*FF$25)*FF$36)/12,IF('Operating Assumptions'!$L18="$/Unit/Month",('Operating Assumptions'!$M18*FF$25)*FF$36,IF('Operating Assumptions'!$L18="Fixed Amount",('Operating Assumptions'!$M18*FF$25)/12,IF('Operating Assumptions'!$L18="$/GSF",(('Operating Assumptions'!$M18*FF$25)*'Operating Assumptions'!$D$11)/12,IF('Operating Assumptions'!$L18="$/NSF",(('Operating Assumptions'!$M18*FF$25)*'Operating Assumptions'!$D$12)/12))))))))</f>
        <v>0</v>
      </c>
      <c r="FG90" s="427">
        <f>-IF(FG$9&lt;'Operating Assumptions'!$D$53,0,IF(FG$6&gt;'Operating Assumptions'!$AA$8,0,IF('Operating Assumptions'!$L18="N/A",0,IF('Operating Assumptions'!$L18="$/Unit/Annual",(('Operating Assumptions'!$M18*FG$25)*FG$36)/12,IF('Operating Assumptions'!$L18="$/Unit/Month",('Operating Assumptions'!$M18*FG$25)*FG$36,IF('Operating Assumptions'!$L18="Fixed Amount",('Operating Assumptions'!$M18*FG$25)/12,IF('Operating Assumptions'!$L18="$/GSF",(('Operating Assumptions'!$M18*FG$25)*'Operating Assumptions'!$D$11)/12,IF('Operating Assumptions'!$L18="$/NSF",(('Operating Assumptions'!$M18*FG$25)*'Operating Assumptions'!$D$12)/12))))))))</f>
        <v>0</v>
      </c>
      <c r="FH90" s="427">
        <f>-IF(FH$9&lt;'Operating Assumptions'!$D$53,0,IF(FH$6&gt;'Operating Assumptions'!$AA$8,0,IF('Operating Assumptions'!$L18="N/A",0,IF('Operating Assumptions'!$L18="$/Unit/Annual",(('Operating Assumptions'!$M18*FH$25)*FH$36)/12,IF('Operating Assumptions'!$L18="$/Unit/Month",('Operating Assumptions'!$M18*FH$25)*FH$36,IF('Operating Assumptions'!$L18="Fixed Amount",('Operating Assumptions'!$M18*FH$25)/12,IF('Operating Assumptions'!$L18="$/GSF",(('Operating Assumptions'!$M18*FH$25)*'Operating Assumptions'!$D$11)/12,IF('Operating Assumptions'!$L18="$/NSF",(('Operating Assumptions'!$M18*FH$25)*'Operating Assumptions'!$D$12)/12))))))))</f>
        <v>0</v>
      </c>
      <c r="FI90" s="427">
        <f>-IF(FI$9&lt;'Operating Assumptions'!$D$53,0,IF(FI$6&gt;'Operating Assumptions'!$AA$8,0,IF('Operating Assumptions'!$L18="N/A",0,IF('Operating Assumptions'!$L18="$/Unit/Annual",(('Operating Assumptions'!$M18*FI$25)*FI$36)/12,IF('Operating Assumptions'!$L18="$/Unit/Month",('Operating Assumptions'!$M18*FI$25)*FI$36,IF('Operating Assumptions'!$L18="Fixed Amount",('Operating Assumptions'!$M18*FI$25)/12,IF('Operating Assumptions'!$L18="$/GSF",(('Operating Assumptions'!$M18*FI$25)*'Operating Assumptions'!$D$11)/12,IF('Operating Assumptions'!$L18="$/NSF",(('Operating Assumptions'!$M18*FI$25)*'Operating Assumptions'!$D$12)/12))))))))</f>
        <v>0</v>
      </c>
      <c r="FJ90" s="427">
        <f>-IF(FJ$9&lt;'Operating Assumptions'!$D$53,0,IF(FJ$6&gt;'Operating Assumptions'!$AA$8,0,IF('Operating Assumptions'!$L18="N/A",0,IF('Operating Assumptions'!$L18="$/Unit/Annual",(('Operating Assumptions'!$M18*FJ$25)*FJ$36)/12,IF('Operating Assumptions'!$L18="$/Unit/Month",('Operating Assumptions'!$M18*FJ$25)*FJ$36,IF('Operating Assumptions'!$L18="Fixed Amount",('Operating Assumptions'!$M18*FJ$25)/12,IF('Operating Assumptions'!$L18="$/GSF",(('Operating Assumptions'!$M18*FJ$25)*'Operating Assumptions'!$D$11)/12,IF('Operating Assumptions'!$L18="$/NSF",(('Operating Assumptions'!$M18*FJ$25)*'Operating Assumptions'!$D$12)/12))))))))</f>
        <v>0</v>
      </c>
      <c r="FK90" s="427">
        <f>-IF(FK$9&lt;'Operating Assumptions'!$D$53,0,IF(FK$6&gt;'Operating Assumptions'!$AA$8,0,IF('Operating Assumptions'!$L18="N/A",0,IF('Operating Assumptions'!$L18="$/Unit/Annual",(('Operating Assumptions'!$M18*FK$25)*FK$36)/12,IF('Operating Assumptions'!$L18="$/Unit/Month",('Operating Assumptions'!$M18*FK$25)*FK$36,IF('Operating Assumptions'!$L18="Fixed Amount",('Operating Assumptions'!$M18*FK$25)/12,IF('Operating Assumptions'!$L18="$/GSF",(('Operating Assumptions'!$M18*FK$25)*'Operating Assumptions'!$D$11)/12,IF('Operating Assumptions'!$L18="$/NSF",(('Operating Assumptions'!$M18*FK$25)*'Operating Assumptions'!$D$12)/12))))))))</f>
        <v>0</v>
      </c>
      <c r="FL90" s="427">
        <f>-IF(FL$9&lt;'Operating Assumptions'!$D$53,0,IF(FL$6&gt;'Operating Assumptions'!$AA$8,0,IF('Operating Assumptions'!$L18="N/A",0,IF('Operating Assumptions'!$L18="$/Unit/Annual",(('Operating Assumptions'!$M18*FL$25)*FL$36)/12,IF('Operating Assumptions'!$L18="$/Unit/Month",('Operating Assumptions'!$M18*FL$25)*FL$36,IF('Operating Assumptions'!$L18="Fixed Amount",('Operating Assumptions'!$M18*FL$25)/12,IF('Operating Assumptions'!$L18="$/GSF",(('Operating Assumptions'!$M18*FL$25)*'Operating Assumptions'!$D$11)/12,IF('Operating Assumptions'!$L18="$/NSF",(('Operating Assumptions'!$M18*FL$25)*'Operating Assumptions'!$D$12)/12))))))))</f>
        <v>0</v>
      </c>
      <c r="FM90" s="427">
        <f>-IF(FM$9&lt;'Operating Assumptions'!$D$53,0,IF(FM$6&gt;'Operating Assumptions'!$AA$8,0,IF('Operating Assumptions'!$L18="N/A",0,IF('Operating Assumptions'!$L18="$/Unit/Annual",(('Operating Assumptions'!$M18*FM$25)*FM$36)/12,IF('Operating Assumptions'!$L18="$/Unit/Month",('Operating Assumptions'!$M18*FM$25)*FM$36,IF('Operating Assumptions'!$L18="Fixed Amount",('Operating Assumptions'!$M18*FM$25)/12,IF('Operating Assumptions'!$L18="$/GSF",(('Operating Assumptions'!$M18*FM$25)*'Operating Assumptions'!$D$11)/12,IF('Operating Assumptions'!$L18="$/NSF",(('Operating Assumptions'!$M18*FM$25)*'Operating Assumptions'!$D$12)/12))))))))</f>
        <v>0</v>
      </c>
      <c r="FN90" s="427">
        <f>-IF(FN$9&lt;'Operating Assumptions'!$D$53,0,IF(FN$6&gt;'Operating Assumptions'!$AA$8,0,IF('Operating Assumptions'!$L18="N/A",0,IF('Operating Assumptions'!$L18="$/Unit/Annual",(('Operating Assumptions'!$M18*FN$25)*FN$36)/12,IF('Operating Assumptions'!$L18="$/Unit/Month",('Operating Assumptions'!$M18*FN$25)*FN$36,IF('Operating Assumptions'!$L18="Fixed Amount",('Operating Assumptions'!$M18*FN$25)/12,IF('Operating Assumptions'!$L18="$/GSF",(('Operating Assumptions'!$M18*FN$25)*'Operating Assumptions'!$D$11)/12,IF('Operating Assumptions'!$L18="$/NSF",(('Operating Assumptions'!$M18*FN$25)*'Operating Assumptions'!$D$12)/12))))))))</f>
        <v>0</v>
      </c>
      <c r="FO90" s="427">
        <f>-IF(FO$9&lt;'Operating Assumptions'!$D$53,0,IF(FO$6&gt;'Operating Assumptions'!$AA$8,0,IF('Operating Assumptions'!$L18="N/A",0,IF('Operating Assumptions'!$L18="$/Unit/Annual",(('Operating Assumptions'!$M18*FO$25)*FO$36)/12,IF('Operating Assumptions'!$L18="$/Unit/Month",('Operating Assumptions'!$M18*FO$25)*FO$36,IF('Operating Assumptions'!$L18="Fixed Amount",('Operating Assumptions'!$M18*FO$25)/12,IF('Operating Assumptions'!$L18="$/GSF",(('Operating Assumptions'!$M18*FO$25)*'Operating Assumptions'!$D$11)/12,IF('Operating Assumptions'!$L18="$/NSF",(('Operating Assumptions'!$M18*FO$25)*'Operating Assumptions'!$D$12)/12))))))))</f>
        <v>0</v>
      </c>
      <c r="FP90" s="427">
        <f>-IF(FP$9&lt;'Operating Assumptions'!$D$53,0,IF(FP$6&gt;'Operating Assumptions'!$AA$8,0,IF('Operating Assumptions'!$L18="N/A",0,IF('Operating Assumptions'!$L18="$/Unit/Annual",(('Operating Assumptions'!$M18*FP$25)*FP$36)/12,IF('Operating Assumptions'!$L18="$/Unit/Month",('Operating Assumptions'!$M18*FP$25)*FP$36,IF('Operating Assumptions'!$L18="Fixed Amount",('Operating Assumptions'!$M18*FP$25)/12,IF('Operating Assumptions'!$L18="$/GSF",(('Operating Assumptions'!$M18*FP$25)*'Operating Assumptions'!$D$11)/12,IF('Operating Assumptions'!$L18="$/NSF",(('Operating Assumptions'!$M18*FP$25)*'Operating Assumptions'!$D$12)/12))))))))</f>
        <v>0</v>
      </c>
      <c r="FQ90" s="427">
        <f>-IF(FQ$9&lt;'Operating Assumptions'!$D$53,0,IF(FQ$6&gt;'Operating Assumptions'!$AA$8,0,IF('Operating Assumptions'!$L18="N/A",0,IF('Operating Assumptions'!$L18="$/Unit/Annual",(('Operating Assumptions'!$M18*FQ$25)*FQ$36)/12,IF('Operating Assumptions'!$L18="$/Unit/Month",('Operating Assumptions'!$M18*FQ$25)*FQ$36,IF('Operating Assumptions'!$L18="Fixed Amount",('Operating Assumptions'!$M18*FQ$25)/12,IF('Operating Assumptions'!$L18="$/GSF",(('Operating Assumptions'!$M18*FQ$25)*'Operating Assumptions'!$D$11)/12,IF('Operating Assumptions'!$L18="$/NSF",(('Operating Assumptions'!$M18*FQ$25)*'Operating Assumptions'!$D$12)/12))))))))</f>
        <v>0</v>
      </c>
      <c r="FR90" s="427">
        <f>-IF(FR$9&lt;'Operating Assumptions'!$D$53,0,IF(FR$6&gt;'Operating Assumptions'!$AA$8,0,IF('Operating Assumptions'!$L18="N/A",0,IF('Operating Assumptions'!$L18="$/Unit/Annual",(('Operating Assumptions'!$M18*FR$25)*FR$36)/12,IF('Operating Assumptions'!$L18="$/Unit/Month",('Operating Assumptions'!$M18*FR$25)*FR$36,IF('Operating Assumptions'!$L18="Fixed Amount",('Operating Assumptions'!$M18*FR$25)/12,IF('Operating Assumptions'!$L18="$/GSF",(('Operating Assumptions'!$M18*FR$25)*'Operating Assumptions'!$D$11)/12,IF('Operating Assumptions'!$L18="$/NSF",(('Operating Assumptions'!$M18*FR$25)*'Operating Assumptions'!$D$12)/12))))))))</f>
        <v>0</v>
      </c>
      <c r="FS90" s="427">
        <f>-IF(FS$9&lt;'Operating Assumptions'!$D$53,0,IF(FS$6&gt;'Operating Assumptions'!$AA$8,0,IF('Operating Assumptions'!$L18="N/A",0,IF('Operating Assumptions'!$L18="$/Unit/Annual",(('Operating Assumptions'!$M18*FS$25)*FS$36)/12,IF('Operating Assumptions'!$L18="$/Unit/Month",('Operating Assumptions'!$M18*FS$25)*FS$36,IF('Operating Assumptions'!$L18="Fixed Amount",('Operating Assumptions'!$M18*FS$25)/12,IF('Operating Assumptions'!$L18="$/GSF",(('Operating Assumptions'!$M18*FS$25)*'Operating Assumptions'!$D$11)/12,IF('Operating Assumptions'!$L18="$/NSF",(('Operating Assumptions'!$M18*FS$25)*'Operating Assumptions'!$D$12)/12))))))))</f>
        <v>0</v>
      </c>
      <c r="FT90" s="427">
        <f>-IF(FT$9&lt;'Operating Assumptions'!$D$53,0,IF(FT$6&gt;'Operating Assumptions'!$AA$8,0,IF('Operating Assumptions'!$L18="N/A",0,IF('Operating Assumptions'!$L18="$/Unit/Annual",(('Operating Assumptions'!$M18*FT$25)*FT$36)/12,IF('Operating Assumptions'!$L18="$/Unit/Month",('Operating Assumptions'!$M18*FT$25)*FT$36,IF('Operating Assumptions'!$L18="Fixed Amount",('Operating Assumptions'!$M18*FT$25)/12,IF('Operating Assumptions'!$L18="$/GSF",(('Operating Assumptions'!$M18*FT$25)*'Operating Assumptions'!$D$11)/12,IF('Operating Assumptions'!$L18="$/NSF",(('Operating Assumptions'!$M18*FT$25)*'Operating Assumptions'!$D$12)/12))))))))</f>
        <v>0</v>
      </c>
      <c r="FU90" s="43"/>
      <c r="FV90" s="34"/>
      <c r="FW90" s="34"/>
      <c r="FX90" s="34"/>
      <c r="FY90" s="34"/>
      <c r="FZ90" s="34"/>
    </row>
    <row r="91" spans="1:182" s="89" customFormat="1" ht="13.5" x14ac:dyDescent="0.25">
      <c r="A91" s="34"/>
      <c r="B91" s="128" t="str">
        <f>'Operating Assumptions'!K19</f>
        <v>Blank</v>
      </c>
      <c r="C91" s="34"/>
      <c r="D91" s="34"/>
      <c r="E91" s="34"/>
      <c r="F91" s="434">
        <f t="shared" si="172"/>
        <v>0</v>
      </c>
      <c r="G91" s="34"/>
      <c r="H91" s="427">
        <f>-IF(H$9&lt;'Operating Assumptions'!$D$53,0,IF(H$6&gt;'Operating Assumptions'!$AA$8,0,IF('Operating Assumptions'!$L19="N/A",0,IF('Operating Assumptions'!$L19="$/Unit/Annual",(('Operating Assumptions'!$M19*H$25)*H$36)/12,IF('Operating Assumptions'!$L19="$/Unit/Month",('Operating Assumptions'!$M19*H$25)*H$36,IF('Operating Assumptions'!$L19="Fixed Amount",('Operating Assumptions'!$M19*H$25)/12,IF('Operating Assumptions'!$L19="$/GSF",(('Operating Assumptions'!$M19*H$25)*'Operating Assumptions'!$D$11)/12,IF('Operating Assumptions'!$L19="$/NSF",(('Operating Assumptions'!$M19*H$25)*'Operating Assumptions'!$D$12)/12))))))))</f>
        <v>0</v>
      </c>
      <c r="I91" s="427">
        <f>-IF(I$9&lt;'Operating Assumptions'!$D$53,0,IF(I$6&gt;'Operating Assumptions'!$AA$8,0,IF('Operating Assumptions'!$L19="N/A",0,IF('Operating Assumptions'!$L19="$/Unit/Annual",(('Operating Assumptions'!$M19*I$25)*I$36)/12,IF('Operating Assumptions'!$L19="$/Unit/Month",('Operating Assumptions'!$M19*I$25)*I$36,IF('Operating Assumptions'!$L19="Fixed Amount",('Operating Assumptions'!$M19*I$25)/12,IF('Operating Assumptions'!$L19="$/GSF",(('Operating Assumptions'!$M19*I$25)*'Operating Assumptions'!$D$11)/12,IF('Operating Assumptions'!$L19="$/NSF",(('Operating Assumptions'!$M19*I$25)*'Operating Assumptions'!$D$12)/12))))))))</f>
        <v>0</v>
      </c>
      <c r="J91" s="427">
        <f>-IF(J$9&lt;'Operating Assumptions'!$D$53,0,IF(J$6&gt;'Operating Assumptions'!$AA$8,0,IF('Operating Assumptions'!$L19="N/A",0,IF('Operating Assumptions'!$L19="$/Unit/Annual",(('Operating Assumptions'!$M19*J$25)*J$36)/12,IF('Operating Assumptions'!$L19="$/Unit/Month",('Operating Assumptions'!$M19*J$25)*J$36,IF('Operating Assumptions'!$L19="Fixed Amount",('Operating Assumptions'!$M19*J$25)/12,IF('Operating Assumptions'!$L19="$/GSF",(('Operating Assumptions'!$M19*J$25)*'Operating Assumptions'!$D$11)/12,IF('Operating Assumptions'!$L19="$/NSF",(('Operating Assumptions'!$M19*J$25)*'Operating Assumptions'!$D$12)/12))))))))</f>
        <v>0</v>
      </c>
      <c r="K91" s="427">
        <f>-IF(K$9&lt;'Operating Assumptions'!$D$53,0,IF(K$6&gt;'Operating Assumptions'!$AA$8,0,IF('Operating Assumptions'!$L19="N/A",0,IF('Operating Assumptions'!$L19="$/Unit/Annual",(('Operating Assumptions'!$M19*K$25)*K$36)/12,IF('Operating Assumptions'!$L19="$/Unit/Month",('Operating Assumptions'!$M19*K$25)*K$36,IF('Operating Assumptions'!$L19="Fixed Amount",('Operating Assumptions'!$M19*K$25)/12,IF('Operating Assumptions'!$L19="$/GSF",(('Operating Assumptions'!$M19*K$25)*'Operating Assumptions'!$D$11)/12,IF('Operating Assumptions'!$L19="$/NSF",(('Operating Assumptions'!$M19*K$25)*'Operating Assumptions'!$D$12)/12))))))))</f>
        <v>0</v>
      </c>
      <c r="L91" s="427">
        <f>-IF(L$9&lt;'Operating Assumptions'!$D$53,0,IF(L$6&gt;'Operating Assumptions'!$AA$8,0,IF('Operating Assumptions'!$L19="N/A",0,IF('Operating Assumptions'!$L19="$/Unit/Annual",(('Operating Assumptions'!$M19*L$25)*L$36)/12,IF('Operating Assumptions'!$L19="$/Unit/Month",('Operating Assumptions'!$M19*L$25)*L$36,IF('Operating Assumptions'!$L19="Fixed Amount",('Operating Assumptions'!$M19*L$25)/12,IF('Operating Assumptions'!$L19="$/GSF",(('Operating Assumptions'!$M19*L$25)*'Operating Assumptions'!$D$11)/12,IF('Operating Assumptions'!$L19="$/NSF",(('Operating Assumptions'!$M19*L$25)*'Operating Assumptions'!$D$12)/12))))))))</f>
        <v>0</v>
      </c>
      <c r="M91" s="427">
        <f>-IF(M$9&lt;'Operating Assumptions'!$D$53,0,IF(M$6&gt;'Operating Assumptions'!$AA$8,0,IF('Operating Assumptions'!$L19="N/A",0,IF('Operating Assumptions'!$L19="$/Unit/Annual",(('Operating Assumptions'!$M19*M$25)*M$36)/12,IF('Operating Assumptions'!$L19="$/Unit/Month",('Operating Assumptions'!$M19*M$25)*M$36,IF('Operating Assumptions'!$L19="Fixed Amount",('Operating Assumptions'!$M19*M$25)/12,IF('Operating Assumptions'!$L19="$/GSF",(('Operating Assumptions'!$M19*M$25)*'Operating Assumptions'!$D$11)/12,IF('Operating Assumptions'!$L19="$/NSF",(('Operating Assumptions'!$M19*M$25)*'Operating Assumptions'!$D$12)/12))))))))</f>
        <v>0</v>
      </c>
      <c r="N91" s="427">
        <f>-IF(N$9&lt;'Operating Assumptions'!$D$53,0,IF(N$6&gt;'Operating Assumptions'!$AA$8,0,IF('Operating Assumptions'!$L19="N/A",0,IF('Operating Assumptions'!$L19="$/Unit/Annual",(('Operating Assumptions'!$M19*N$25)*N$36)/12,IF('Operating Assumptions'!$L19="$/Unit/Month",('Operating Assumptions'!$M19*N$25)*N$36,IF('Operating Assumptions'!$L19="Fixed Amount",('Operating Assumptions'!$M19*N$25)/12,IF('Operating Assumptions'!$L19="$/GSF",(('Operating Assumptions'!$M19*N$25)*'Operating Assumptions'!$D$11)/12,IF('Operating Assumptions'!$L19="$/NSF",(('Operating Assumptions'!$M19*N$25)*'Operating Assumptions'!$D$12)/12))))))))</f>
        <v>0</v>
      </c>
      <c r="O91" s="427">
        <f>-IF(O$9&lt;'Operating Assumptions'!$D$53,0,IF(O$6&gt;'Operating Assumptions'!$AA$8,0,IF('Operating Assumptions'!$L19="N/A",0,IF('Operating Assumptions'!$L19="$/Unit/Annual",(('Operating Assumptions'!$M19*O$25)*O$36)/12,IF('Operating Assumptions'!$L19="$/Unit/Month",('Operating Assumptions'!$M19*O$25)*O$36,IF('Operating Assumptions'!$L19="Fixed Amount",('Operating Assumptions'!$M19*O$25)/12,IF('Operating Assumptions'!$L19="$/GSF",(('Operating Assumptions'!$M19*O$25)*'Operating Assumptions'!$D$11)/12,IF('Operating Assumptions'!$L19="$/NSF",(('Operating Assumptions'!$M19*O$25)*'Operating Assumptions'!$D$12)/12))))))))</f>
        <v>0</v>
      </c>
      <c r="P91" s="427">
        <f>-IF(P$9&lt;'Operating Assumptions'!$D$53,0,IF(P$6&gt;'Operating Assumptions'!$AA$8,0,IF('Operating Assumptions'!$L19="N/A",0,IF('Operating Assumptions'!$L19="$/Unit/Annual",(('Operating Assumptions'!$M19*P$25)*P$36)/12,IF('Operating Assumptions'!$L19="$/Unit/Month",('Operating Assumptions'!$M19*P$25)*P$36,IF('Operating Assumptions'!$L19="Fixed Amount",('Operating Assumptions'!$M19*P$25)/12,IF('Operating Assumptions'!$L19="$/GSF",(('Operating Assumptions'!$M19*P$25)*'Operating Assumptions'!$D$11)/12,IF('Operating Assumptions'!$L19="$/NSF",(('Operating Assumptions'!$M19*P$25)*'Operating Assumptions'!$D$12)/12))))))))</f>
        <v>0</v>
      </c>
      <c r="Q91" s="427">
        <f>-IF(Q$9&lt;'Operating Assumptions'!$D$53,0,IF(Q$6&gt;'Operating Assumptions'!$AA$8,0,IF('Operating Assumptions'!$L19="N/A",0,IF('Operating Assumptions'!$L19="$/Unit/Annual",(('Operating Assumptions'!$M19*Q$25)*Q$36)/12,IF('Operating Assumptions'!$L19="$/Unit/Month",('Operating Assumptions'!$M19*Q$25)*Q$36,IF('Operating Assumptions'!$L19="Fixed Amount",('Operating Assumptions'!$M19*Q$25)/12,IF('Operating Assumptions'!$L19="$/GSF",(('Operating Assumptions'!$M19*Q$25)*'Operating Assumptions'!$D$11)/12,IF('Operating Assumptions'!$L19="$/NSF",(('Operating Assumptions'!$M19*Q$25)*'Operating Assumptions'!$D$12)/12))))))))</f>
        <v>0</v>
      </c>
      <c r="R91" s="427">
        <f>-IF(R$9&lt;'Operating Assumptions'!$D$53,0,IF(R$6&gt;'Operating Assumptions'!$AA$8,0,IF('Operating Assumptions'!$L19="N/A",0,IF('Operating Assumptions'!$L19="$/Unit/Annual",(('Operating Assumptions'!$M19*R$25)*R$36)/12,IF('Operating Assumptions'!$L19="$/Unit/Month",('Operating Assumptions'!$M19*R$25)*R$36,IF('Operating Assumptions'!$L19="Fixed Amount",('Operating Assumptions'!$M19*R$25)/12,IF('Operating Assumptions'!$L19="$/GSF",(('Operating Assumptions'!$M19*R$25)*'Operating Assumptions'!$D$11)/12,IF('Operating Assumptions'!$L19="$/NSF",(('Operating Assumptions'!$M19*R$25)*'Operating Assumptions'!$D$12)/12))))))))</f>
        <v>0</v>
      </c>
      <c r="S91" s="427">
        <f>-IF(S$9&lt;'Operating Assumptions'!$D$53,0,IF(S$6&gt;'Operating Assumptions'!$AA$8,0,IF('Operating Assumptions'!$L19="N/A",0,IF('Operating Assumptions'!$L19="$/Unit/Annual",(('Operating Assumptions'!$M19*S$25)*S$36)/12,IF('Operating Assumptions'!$L19="$/Unit/Month",('Operating Assumptions'!$M19*S$25)*S$36,IF('Operating Assumptions'!$L19="Fixed Amount",('Operating Assumptions'!$M19*S$25)/12,IF('Operating Assumptions'!$L19="$/GSF",(('Operating Assumptions'!$M19*S$25)*'Operating Assumptions'!$D$11)/12,IF('Operating Assumptions'!$L19="$/NSF",(('Operating Assumptions'!$M19*S$25)*'Operating Assumptions'!$D$12)/12))))))))</f>
        <v>0</v>
      </c>
      <c r="T91" s="427">
        <f>-IF(T$9&lt;'Operating Assumptions'!$D$53,0,IF(T$6&gt;'Operating Assumptions'!$AA$8,0,IF('Operating Assumptions'!$L19="N/A",0,IF('Operating Assumptions'!$L19="$/Unit/Annual",(('Operating Assumptions'!$M19*T$25)*T$36)/12,IF('Operating Assumptions'!$L19="$/Unit/Month",('Operating Assumptions'!$M19*T$25)*T$36,IF('Operating Assumptions'!$L19="Fixed Amount",('Operating Assumptions'!$M19*T$25)/12,IF('Operating Assumptions'!$L19="$/GSF",(('Operating Assumptions'!$M19*T$25)*'Operating Assumptions'!$D$11)/12,IF('Operating Assumptions'!$L19="$/NSF",(('Operating Assumptions'!$M19*T$25)*'Operating Assumptions'!$D$12)/12))))))))</f>
        <v>0</v>
      </c>
      <c r="U91" s="427">
        <f>-IF(U$9&lt;'Operating Assumptions'!$D$53,0,IF(U$6&gt;'Operating Assumptions'!$AA$8,0,IF('Operating Assumptions'!$L19="N/A",0,IF('Operating Assumptions'!$L19="$/Unit/Annual",(('Operating Assumptions'!$M19*U$25)*U$36)/12,IF('Operating Assumptions'!$L19="$/Unit/Month",('Operating Assumptions'!$M19*U$25)*U$36,IF('Operating Assumptions'!$L19="Fixed Amount",('Operating Assumptions'!$M19*U$25)/12,IF('Operating Assumptions'!$L19="$/GSF",(('Operating Assumptions'!$M19*U$25)*'Operating Assumptions'!$D$11)/12,IF('Operating Assumptions'!$L19="$/NSF",(('Operating Assumptions'!$M19*U$25)*'Operating Assumptions'!$D$12)/12))))))))</f>
        <v>0</v>
      </c>
      <c r="V91" s="427">
        <f>-IF(V$9&lt;'Operating Assumptions'!$D$53,0,IF(V$6&gt;'Operating Assumptions'!$AA$8,0,IF('Operating Assumptions'!$L19="N/A",0,IF('Operating Assumptions'!$L19="$/Unit/Annual",(('Operating Assumptions'!$M19*V$25)*V$36)/12,IF('Operating Assumptions'!$L19="$/Unit/Month",('Operating Assumptions'!$M19*V$25)*V$36,IF('Operating Assumptions'!$L19="Fixed Amount",('Operating Assumptions'!$M19*V$25)/12,IF('Operating Assumptions'!$L19="$/GSF",(('Operating Assumptions'!$M19*V$25)*'Operating Assumptions'!$D$11)/12,IF('Operating Assumptions'!$L19="$/NSF",(('Operating Assumptions'!$M19*V$25)*'Operating Assumptions'!$D$12)/12))))))))</f>
        <v>0</v>
      </c>
      <c r="W91" s="427">
        <f>-IF(W$9&lt;'Operating Assumptions'!$D$53,0,IF(W$6&gt;'Operating Assumptions'!$AA$8,0,IF('Operating Assumptions'!$L19="N/A",0,IF('Operating Assumptions'!$L19="$/Unit/Annual",(('Operating Assumptions'!$M19*W$25)*W$36)/12,IF('Operating Assumptions'!$L19="$/Unit/Month",('Operating Assumptions'!$M19*W$25)*W$36,IF('Operating Assumptions'!$L19="Fixed Amount",('Operating Assumptions'!$M19*W$25)/12,IF('Operating Assumptions'!$L19="$/GSF",(('Operating Assumptions'!$M19*W$25)*'Operating Assumptions'!$D$11)/12,IF('Operating Assumptions'!$L19="$/NSF",(('Operating Assumptions'!$M19*W$25)*'Operating Assumptions'!$D$12)/12))))))))</f>
        <v>0</v>
      </c>
      <c r="X91" s="427">
        <f>-IF(X$9&lt;'Operating Assumptions'!$D$53,0,IF(X$6&gt;'Operating Assumptions'!$AA$8,0,IF('Operating Assumptions'!$L19="N/A",0,IF('Operating Assumptions'!$L19="$/Unit/Annual",(('Operating Assumptions'!$M19*X$25)*X$36)/12,IF('Operating Assumptions'!$L19="$/Unit/Month",('Operating Assumptions'!$M19*X$25)*X$36,IF('Operating Assumptions'!$L19="Fixed Amount",('Operating Assumptions'!$M19*X$25)/12,IF('Operating Assumptions'!$L19="$/GSF",(('Operating Assumptions'!$M19*X$25)*'Operating Assumptions'!$D$11)/12,IF('Operating Assumptions'!$L19="$/NSF",(('Operating Assumptions'!$M19*X$25)*'Operating Assumptions'!$D$12)/12))))))))</f>
        <v>0</v>
      </c>
      <c r="Y91" s="427">
        <f>-IF(Y$9&lt;'Operating Assumptions'!$D$53,0,IF(Y$6&gt;'Operating Assumptions'!$AA$8,0,IF('Operating Assumptions'!$L19="N/A",0,IF('Operating Assumptions'!$L19="$/Unit/Annual",(('Operating Assumptions'!$M19*Y$25)*Y$36)/12,IF('Operating Assumptions'!$L19="$/Unit/Month",('Operating Assumptions'!$M19*Y$25)*Y$36,IF('Operating Assumptions'!$L19="Fixed Amount",('Operating Assumptions'!$M19*Y$25)/12,IF('Operating Assumptions'!$L19="$/GSF",(('Operating Assumptions'!$M19*Y$25)*'Operating Assumptions'!$D$11)/12,IF('Operating Assumptions'!$L19="$/NSF",(('Operating Assumptions'!$M19*Y$25)*'Operating Assumptions'!$D$12)/12))))))))</f>
        <v>0</v>
      </c>
      <c r="Z91" s="427">
        <f>-IF(Z$9&lt;'Operating Assumptions'!$D$53,0,IF(Z$6&gt;'Operating Assumptions'!$AA$8,0,IF('Operating Assumptions'!$L19="N/A",0,IF('Operating Assumptions'!$L19="$/Unit/Annual",(('Operating Assumptions'!$M19*Z$25)*Z$36)/12,IF('Operating Assumptions'!$L19="$/Unit/Month",('Operating Assumptions'!$M19*Z$25)*Z$36,IF('Operating Assumptions'!$L19="Fixed Amount",('Operating Assumptions'!$M19*Z$25)/12,IF('Operating Assumptions'!$L19="$/GSF",(('Operating Assumptions'!$M19*Z$25)*'Operating Assumptions'!$D$11)/12,IF('Operating Assumptions'!$L19="$/NSF",(('Operating Assumptions'!$M19*Z$25)*'Operating Assumptions'!$D$12)/12))))))))</f>
        <v>0</v>
      </c>
      <c r="AA91" s="427">
        <f>-IF(AA$9&lt;'Operating Assumptions'!$D$53,0,IF(AA$6&gt;'Operating Assumptions'!$AA$8,0,IF('Operating Assumptions'!$L19="N/A",0,IF('Operating Assumptions'!$L19="$/Unit/Annual",(('Operating Assumptions'!$M19*AA$25)*AA$36)/12,IF('Operating Assumptions'!$L19="$/Unit/Month",('Operating Assumptions'!$M19*AA$25)*AA$36,IF('Operating Assumptions'!$L19="Fixed Amount",('Operating Assumptions'!$M19*AA$25)/12,IF('Operating Assumptions'!$L19="$/GSF",(('Operating Assumptions'!$M19*AA$25)*'Operating Assumptions'!$D$11)/12,IF('Operating Assumptions'!$L19="$/NSF",(('Operating Assumptions'!$M19*AA$25)*'Operating Assumptions'!$D$12)/12))))))))</f>
        <v>0</v>
      </c>
      <c r="AB91" s="427">
        <f>-IF(AB$9&lt;'Operating Assumptions'!$D$53,0,IF(AB$6&gt;'Operating Assumptions'!$AA$8,0,IF('Operating Assumptions'!$L19="N/A",0,IF('Operating Assumptions'!$L19="$/Unit/Annual",(('Operating Assumptions'!$M19*AB$25)*AB$36)/12,IF('Operating Assumptions'!$L19="$/Unit/Month",('Operating Assumptions'!$M19*AB$25)*AB$36,IF('Operating Assumptions'!$L19="Fixed Amount",('Operating Assumptions'!$M19*AB$25)/12,IF('Operating Assumptions'!$L19="$/GSF",(('Operating Assumptions'!$M19*AB$25)*'Operating Assumptions'!$D$11)/12,IF('Operating Assumptions'!$L19="$/NSF",(('Operating Assumptions'!$M19*AB$25)*'Operating Assumptions'!$D$12)/12))))))))</f>
        <v>0</v>
      </c>
      <c r="AC91" s="427">
        <f>-IF(AC$9&lt;'Operating Assumptions'!$D$53,0,IF(AC$6&gt;'Operating Assumptions'!$AA$8,0,IF('Operating Assumptions'!$L19="N/A",0,IF('Operating Assumptions'!$L19="$/Unit/Annual",(('Operating Assumptions'!$M19*AC$25)*AC$36)/12,IF('Operating Assumptions'!$L19="$/Unit/Month",('Operating Assumptions'!$M19*AC$25)*AC$36,IF('Operating Assumptions'!$L19="Fixed Amount",('Operating Assumptions'!$M19*AC$25)/12,IF('Operating Assumptions'!$L19="$/GSF",(('Operating Assumptions'!$M19*AC$25)*'Operating Assumptions'!$D$11)/12,IF('Operating Assumptions'!$L19="$/NSF",(('Operating Assumptions'!$M19*AC$25)*'Operating Assumptions'!$D$12)/12))))))))</f>
        <v>0</v>
      </c>
      <c r="AD91" s="427">
        <f>-IF(AD$9&lt;'Operating Assumptions'!$D$53,0,IF(AD$6&gt;'Operating Assumptions'!$AA$8,0,IF('Operating Assumptions'!$L19="N/A",0,IF('Operating Assumptions'!$L19="$/Unit/Annual",(('Operating Assumptions'!$M19*AD$25)*AD$36)/12,IF('Operating Assumptions'!$L19="$/Unit/Month",('Operating Assumptions'!$M19*AD$25)*AD$36,IF('Operating Assumptions'!$L19="Fixed Amount",('Operating Assumptions'!$M19*AD$25)/12,IF('Operating Assumptions'!$L19="$/GSF",(('Operating Assumptions'!$M19*AD$25)*'Operating Assumptions'!$D$11)/12,IF('Operating Assumptions'!$L19="$/NSF",(('Operating Assumptions'!$M19*AD$25)*'Operating Assumptions'!$D$12)/12))))))))</f>
        <v>0</v>
      </c>
      <c r="AE91" s="427">
        <f>-IF(AE$9&lt;'Operating Assumptions'!$D$53,0,IF(AE$6&gt;'Operating Assumptions'!$AA$8,0,IF('Operating Assumptions'!$L19="N/A",0,IF('Operating Assumptions'!$L19="$/Unit/Annual",(('Operating Assumptions'!$M19*AE$25)*AE$36)/12,IF('Operating Assumptions'!$L19="$/Unit/Month",('Operating Assumptions'!$M19*AE$25)*AE$36,IF('Operating Assumptions'!$L19="Fixed Amount",('Operating Assumptions'!$M19*AE$25)/12,IF('Operating Assumptions'!$L19="$/GSF",(('Operating Assumptions'!$M19*AE$25)*'Operating Assumptions'!$D$11)/12,IF('Operating Assumptions'!$L19="$/NSF",(('Operating Assumptions'!$M19*AE$25)*'Operating Assumptions'!$D$12)/12))))))))</f>
        <v>0</v>
      </c>
      <c r="AF91" s="427">
        <f>-IF(AF$9&lt;'Operating Assumptions'!$D$53,0,IF(AF$6&gt;'Operating Assumptions'!$AA$8,0,IF('Operating Assumptions'!$L19="N/A",0,IF('Operating Assumptions'!$L19="$/Unit/Annual",(('Operating Assumptions'!$M19*AF$25)*AF$36)/12,IF('Operating Assumptions'!$L19="$/Unit/Month",('Operating Assumptions'!$M19*AF$25)*AF$36,IF('Operating Assumptions'!$L19="Fixed Amount",('Operating Assumptions'!$M19*AF$25)/12,IF('Operating Assumptions'!$L19="$/GSF",(('Operating Assumptions'!$M19*AF$25)*'Operating Assumptions'!$D$11)/12,IF('Operating Assumptions'!$L19="$/NSF",(('Operating Assumptions'!$M19*AF$25)*'Operating Assumptions'!$D$12)/12))))))))</f>
        <v>0</v>
      </c>
      <c r="AG91" s="427">
        <f>-IF(AG$9&lt;'Operating Assumptions'!$D$53,0,IF(AG$6&gt;'Operating Assumptions'!$AA$8,0,IF('Operating Assumptions'!$L19="N/A",0,IF('Operating Assumptions'!$L19="$/Unit/Annual",(('Operating Assumptions'!$M19*AG$25)*AG$36)/12,IF('Operating Assumptions'!$L19="$/Unit/Month",('Operating Assumptions'!$M19*AG$25)*AG$36,IF('Operating Assumptions'!$L19="Fixed Amount",('Operating Assumptions'!$M19*AG$25)/12,IF('Operating Assumptions'!$L19="$/GSF",(('Operating Assumptions'!$M19*AG$25)*'Operating Assumptions'!$D$11)/12,IF('Operating Assumptions'!$L19="$/NSF",(('Operating Assumptions'!$M19*AG$25)*'Operating Assumptions'!$D$12)/12))))))))</f>
        <v>0</v>
      </c>
      <c r="AH91" s="427">
        <f>-IF(AH$9&lt;'Operating Assumptions'!$D$53,0,IF(AH$6&gt;'Operating Assumptions'!$AA$8,0,IF('Operating Assumptions'!$L19="N/A",0,IF('Operating Assumptions'!$L19="$/Unit/Annual",(('Operating Assumptions'!$M19*AH$25)*AH$36)/12,IF('Operating Assumptions'!$L19="$/Unit/Month",('Operating Assumptions'!$M19*AH$25)*AH$36,IF('Operating Assumptions'!$L19="Fixed Amount",('Operating Assumptions'!$M19*AH$25)/12,IF('Operating Assumptions'!$L19="$/GSF",(('Operating Assumptions'!$M19*AH$25)*'Operating Assumptions'!$D$11)/12,IF('Operating Assumptions'!$L19="$/NSF",(('Operating Assumptions'!$M19*AH$25)*'Operating Assumptions'!$D$12)/12))))))))</f>
        <v>0</v>
      </c>
      <c r="AI91" s="427">
        <f>-IF(AI$9&lt;'Operating Assumptions'!$D$53,0,IF(AI$6&gt;'Operating Assumptions'!$AA$8,0,IF('Operating Assumptions'!$L19="N/A",0,IF('Operating Assumptions'!$L19="$/Unit/Annual",(('Operating Assumptions'!$M19*AI$25)*AI$36)/12,IF('Operating Assumptions'!$L19="$/Unit/Month",('Operating Assumptions'!$M19*AI$25)*AI$36,IF('Operating Assumptions'!$L19="Fixed Amount",('Operating Assumptions'!$M19*AI$25)/12,IF('Operating Assumptions'!$L19="$/GSF",(('Operating Assumptions'!$M19*AI$25)*'Operating Assumptions'!$D$11)/12,IF('Operating Assumptions'!$L19="$/NSF",(('Operating Assumptions'!$M19*AI$25)*'Operating Assumptions'!$D$12)/12))))))))</f>
        <v>0</v>
      </c>
      <c r="AJ91" s="427">
        <f>-IF(AJ$9&lt;'Operating Assumptions'!$D$53,0,IF(AJ$6&gt;'Operating Assumptions'!$AA$8,0,IF('Operating Assumptions'!$L19="N/A",0,IF('Operating Assumptions'!$L19="$/Unit/Annual",(('Operating Assumptions'!$M19*AJ$25)*AJ$36)/12,IF('Operating Assumptions'!$L19="$/Unit/Month",('Operating Assumptions'!$M19*AJ$25)*AJ$36,IF('Operating Assumptions'!$L19="Fixed Amount",('Operating Assumptions'!$M19*AJ$25)/12,IF('Operating Assumptions'!$L19="$/GSF",(('Operating Assumptions'!$M19*AJ$25)*'Operating Assumptions'!$D$11)/12,IF('Operating Assumptions'!$L19="$/NSF",(('Operating Assumptions'!$M19*AJ$25)*'Operating Assumptions'!$D$12)/12))))))))</f>
        <v>0</v>
      </c>
      <c r="AK91" s="427">
        <f>-IF(AK$9&lt;'Operating Assumptions'!$D$53,0,IF(AK$6&gt;'Operating Assumptions'!$AA$8,0,IF('Operating Assumptions'!$L19="N/A",0,IF('Operating Assumptions'!$L19="$/Unit/Annual",(('Operating Assumptions'!$M19*AK$25)*AK$36)/12,IF('Operating Assumptions'!$L19="$/Unit/Month",('Operating Assumptions'!$M19*AK$25)*AK$36,IF('Operating Assumptions'!$L19="Fixed Amount",('Operating Assumptions'!$M19*AK$25)/12,IF('Operating Assumptions'!$L19="$/GSF",(('Operating Assumptions'!$M19*AK$25)*'Operating Assumptions'!$D$11)/12,IF('Operating Assumptions'!$L19="$/NSF",(('Operating Assumptions'!$M19*AK$25)*'Operating Assumptions'!$D$12)/12))))))))</f>
        <v>0</v>
      </c>
      <c r="AL91" s="427">
        <f>-IF(AL$9&lt;'Operating Assumptions'!$D$53,0,IF(AL$6&gt;'Operating Assumptions'!$AA$8,0,IF('Operating Assumptions'!$L19="N/A",0,IF('Operating Assumptions'!$L19="$/Unit/Annual",(('Operating Assumptions'!$M19*AL$25)*AL$36)/12,IF('Operating Assumptions'!$L19="$/Unit/Month",('Operating Assumptions'!$M19*AL$25)*AL$36,IF('Operating Assumptions'!$L19="Fixed Amount",('Operating Assumptions'!$M19*AL$25)/12,IF('Operating Assumptions'!$L19="$/GSF",(('Operating Assumptions'!$M19*AL$25)*'Operating Assumptions'!$D$11)/12,IF('Operating Assumptions'!$L19="$/NSF",(('Operating Assumptions'!$M19*AL$25)*'Operating Assumptions'!$D$12)/12))))))))</f>
        <v>0</v>
      </c>
      <c r="AM91" s="427">
        <f>-IF(AM$9&lt;'Operating Assumptions'!$D$53,0,IF(AM$6&gt;'Operating Assumptions'!$AA$8,0,IF('Operating Assumptions'!$L19="N/A",0,IF('Operating Assumptions'!$L19="$/Unit/Annual",(('Operating Assumptions'!$M19*AM$25)*AM$36)/12,IF('Operating Assumptions'!$L19="$/Unit/Month",('Operating Assumptions'!$M19*AM$25)*AM$36,IF('Operating Assumptions'!$L19="Fixed Amount",('Operating Assumptions'!$M19*AM$25)/12,IF('Operating Assumptions'!$L19="$/GSF",(('Operating Assumptions'!$M19*AM$25)*'Operating Assumptions'!$D$11)/12,IF('Operating Assumptions'!$L19="$/NSF",(('Operating Assumptions'!$M19*AM$25)*'Operating Assumptions'!$D$12)/12))))))))</f>
        <v>0</v>
      </c>
      <c r="AN91" s="427">
        <f>-IF(AN$9&lt;'Operating Assumptions'!$D$53,0,IF(AN$6&gt;'Operating Assumptions'!$AA$8,0,IF('Operating Assumptions'!$L19="N/A",0,IF('Operating Assumptions'!$L19="$/Unit/Annual",(('Operating Assumptions'!$M19*AN$25)*AN$36)/12,IF('Operating Assumptions'!$L19="$/Unit/Month",('Operating Assumptions'!$M19*AN$25)*AN$36,IF('Operating Assumptions'!$L19="Fixed Amount",('Operating Assumptions'!$M19*AN$25)/12,IF('Operating Assumptions'!$L19="$/GSF",(('Operating Assumptions'!$M19*AN$25)*'Operating Assumptions'!$D$11)/12,IF('Operating Assumptions'!$L19="$/NSF",(('Operating Assumptions'!$M19*AN$25)*'Operating Assumptions'!$D$12)/12))))))))</f>
        <v>0</v>
      </c>
      <c r="AO91" s="427">
        <f>-IF(AO$9&lt;'Operating Assumptions'!$D$53,0,IF(AO$6&gt;'Operating Assumptions'!$AA$8,0,IF('Operating Assumptions'!$L19="N/A",0,IF('Operating Assumptions'!$L19="$/Unit/Annual",(('Operating Assumptions'!$M19*AO$25)*AO$36)/12,IF('Operating Assumptions'!$L19="$/Unit/Month",('Operating Assumptions'!$M19*AO$25)*AO$36,IF('Operating Assumptions'!$L19="Fixed Amount",('Operating Assumptions'!$M19*AO$25)/12,IF('Operating Assumptions'!$L19="$/GSF",(('Operating Assumptions'!$M19*AO$25)*'Operating Assumptions'!$D$11)/12,IF('Operating Assumptions'!$L19="$/NSF",(('Operating Assumptions'!$M19*AO$25)*'Operating Assumptions'!$D$12)/12))))))))</f>
        <v>0</v>
      </c>
      <c r="AP91" s="427">
        <f>-IF(AP$9&lt;'Operating Assumptions'!$D$53,0,IF(AP$6&gt;'Operating Assumptions'!$AA$8,0,IF('Operating Assumptions'!$L19="N/A",0,IF('Operating Assumptions'!$L19="$/Unit/Annual",(('Operating Assumptions'!$M19*AP$25)*AP$36)/12,IF('Operating Assumptions'!$L19="$/Unit/Month",('Operating Assumptions'!$M19*AP$25)*AP$36,IF('Operating Assumptions'!$L19="Fixed Amount",('Operating Assumptions'!$M19*AP$25)/12,IF('Operating Assumptions'!$L19="$/GSF",(('Operating Assumptions'!$M19*AP$25)*'Operating Assumptions'!$D$11)/12,IF('Operating Assumptions'!$L19="$/NSF",(('Operating Assumptions'!$M19*AP$25)*'Operating Assumptions'!$D$12)/12))))))))</f>
        <v>0</v>
      </c>
      <c r="AQ91" s="427">
        <f>-IF(AQ$9&lt;'Operating Assumptions'!$D$53,0,IF(AQ$6&gt;'Operating Assumptions'!$AA$8,0,IF('Operating Assumptions'!$L19="N/A",0,IF('Operating Assumptions'!$L19="$/Unit/Annual",(('Operating Assumptions'!$M19*AQ$25)*AQ$36)/12,IF('Operating Assumptions'!$L19="$/Unit/Month",('Operating Assumptions'!$M19*AQ$25)*AQ$36,IF('Operating Assumptions'!$L19="Fixed Amount",('Operating Assumptions'!$M19*AQ$25)/12,IF('Operating Assumptions'!$L19="$/GSF",(('Operating Assumptions'!$M19*AQ$25)*'Operating Assumptions'!$D$11)/12,IF('Operating Assumptions'!$L19="$/NSF",(('Operating Assumptions'!$M19*AQ$25)*'Operating Assumptions'!$D$12)/12))))))))</f>
        <v>0</v>
      </c>
      <c r="AR91" s="427">
        <f>-IF(AR$9&lt;'Operating Assumptions'!$D$53,0,IF(AR$6&gt;'Operating Assumptions'!$AA$8,0,IF('Operating Assumptions'!$L19="N/A",0,IF('Operating Assumptions'!$L19="$/Unit/Annual",(('Operating Assumptions'!$M19*AR$25)*AR$36)/12,IF('Operating Assumptions'!$L19="$/Unit/Month",('Operating Assumptions'!$M19*AR$25)*AR$36,IF('Operating Assumptions'!$L19="Fixed Amount",('Operating Assumptions'!$M19*AR$25)/12,IF('Operating Assumptions'!$L19="$/GSF",(('Operating Assumptions'!$M19*AR$25)*'Operating Assumptions'!$D$11)/12,IF('Operating Assumptions'!$L19="$/NSF",(('Operating Assumptions'!$M19*AR$25)*'Operating Assumptions'!$D$12)/12))))))))</f>
        <v>0</v>
      </c>
      <c r="AS91" s="427">
        <f>-IF(AS$9&lt;'Operating Assumptions'!$D$53,0,IF(AS$6&gt;'Operating Assumptions'!$AA$8,0,IF('Operating Assumptions'!$L19="N/A",0,IF('Operating Assumptions'!$L19="$/Unit/Annual",(('Operating Assumptions'!$M19*AS$25)*AS$36)/12,IF('Operating Assumptions'!$L19="$/Unit/Month",('Operating Assumptions'!$M19*AS$25)*AS$36,IF('Operating Assumptions'!$L19="Fixed Amount",('Operating Assumptions'!$M19*AS$25)/12,IF('Operating Assumptions'!$L19="$/GSF",(('Operating Assumptions'!$M19*AS$25)*'Operating Assumptions'!$D$11)/12,IF('Operating Assumptions'!$L19="$/NSF",(('Operating Assumptions'!$M19*AS$25)*'Operating Assumptions'!$D$12)/12))))))))</f>
        <v>0</v>
      </c>
      <c r="AT91" s="427">
        <f>-IF(AT$9&lt;'Operating Assumptions'!$D$53,0,IF(AT$6&gt;'Operating Assumptions'!$AA$8,0,IF('Operating Assumptions'!$L19="N/A",0,IF('Operating Assumptions'!$L19="$/Unit/Annual",(('Operating Assumptions'!$M19*AT$25)*AT$36)/12,IF('Operating Assumptions'!$L19="$/Unit/Month",('Operating Assumptions'!$M19*AT$25)*AT$36,IF('Operating Assumptions'!$L19="Fixed Amount",('Operating Assumptions'!$M19*AT$25)/12,IF('Operating Assumptions'!$L19="$/GSF",(('Operating Assumptions'!$M19*AT$25)*'Operating Assumptions'!$D$11)/12,IF('Operating Assumptions'!$L19="$/NSF",(('Operating Assumptions'!$M19*AT$25)*'Operating Assumptions'!$D$12)/12))))))))</f>
        <v>0</v>
      </c>
      <c r="AU91" s="427">
        <f>-IF(AU$9&lt;'Operating Assumptions'!$D$53,0,IF(AU$6&gt;'Operating Assumptions'!$AA$8,0,IF('Operating Assumptions'!$L19="N/A",0,IF('Operating Assumptions'!$L19="$/Unit/Annual",(('Operating Assumptions'!$M19*AU$25)*AU$36)/12,IF('Operating Assumptions'!$L19="$/Unit/Month",('Operating Assumptions'!$M19*AU$25)*AU$36,IF('Operating Assumptions'!$L19="Fixed Amount",('Operating Assumptions'!$M19*AU$25)/12,IF('Operating Assumptions'!$L19="$/GSF",(('Operating Assumptions'!$M19*AU$25)*'Operating Assumptions'!$D$11)/12,IF('Operating Assumptions'!$L19="$/NSF",(('Operating Assumptions'!$M19*AU$25)*'Operating Assumptions'!$D$12)/12))))))))</f>
        <v>0</v>
      </c>
      <c r="AV91" s="427">
        <f>-IF(AV$9&lt;'Operating Assumptions'!$D$53,0,IF(AV$6&gt;'Operating Assumptions'!$AA$8,0,IF('Operating Assumptions'!$L19="N/A",0,IF('Operating Assumptions'!$L19="$/Unit/Annual",(('Operating Assumptions'!$M19*AV$25)*AV$36)/12,IF('Operating Assumptions'!$L19="$/Unit/Month",('Operating Assumptions'!$M19*AV$25)*AV$36,IF('Operating Assumptions'!$L19="Fixed Amount",('Operating Assumptions'!$M19*AV$25)/12,IF('Operating Assumptions'!$L19="$/GSF",(('Operating Assumptions'!$M19*AV$25)*'Operating Assumptions'!$D$11)/12,IF('Operating Assumptions'!$L19="$/NSF",(('Operating Assumptions'!$M19*AV$25)*'Operating Assumptions'!$D$12)/12))))))))</f>
        <v>0</v>
      </c>
      <c r="AW91" s="427">
        <f>-IF(AW$9&lt;'Operating Assumptions'!$D$53,0,IF(AW$6&gt;'Operating Assumptions'!$AA$8,0,IF('Operating Assumptions'!$L19="N/A",0,IF('Operating Assumptions'!$L19="$/Unit/Annual",(('Operating Assumptions'!$M19*AW$25)*AW$36)/12,IF('Operating Assumptions'!$L19="$/Unit/Month",('Operating Assumptions'!$M19*AW$25)*AW$36,IF('Operating Assumptions'!$L19="Fixed Amount",('Operating Assumptions'!$M19*AW$25)/12,IF('Operating Assumptions'!$L19="$/GSF",(('Operating Assumptions'!$M19*AW$25)*'Operating Assumptions'!$D$11)/12,IF('Operating Assumptions'!$L19="$/NSF",(('Operating Assumptions'!$M19*AW$25)*'Operating Assumptions'!$D$12)/12))))))))</f>
        <v>0</v>
      </c>
      <c r="AX91" s="427">
        <f>-IF(AX$9&lt;'Operating Assumptions'!$D$53,0,IF(AX$6&gt;'Operating Assumptions'!$AA$8,0,IF('Operating Assumptions'!$L19="N/A",0,IF('Operating Assumptions'!$L19="$/Unit/Annual",(('Operating Assumptions'!$M19*AX$25)*AX$36)/12,IF('Operating Assumptions'!$L19="$/Unit/Month",('Operating Assumptions'!$M19*AX$25)*AX$36,IF('Operating Assumptions'!$L19="Fixed Amount",('Operating Assumptions'!$M19*AX$25)/12,IF('Operating Assumptions'!$L19="$/GSF",(('Operating Assumptions'!$M19*AX$25)*'Operating Assumptions'!$D$11)/12,IF('Operating Assumptions'!$L19="$/NSF",(('Operating Assumptions'!$M19*AX$25)*'Operating Assumptions'!$D$12)/12))))))))</f>
        <v>0</v>
      </c>
      <c r="AY91" s="427">
        <f>-IF(AY$9&lt;'Operating Assumptions'!$D$53,0,IF(AY$6&gt;'Operating Assumptions'!$AA$8,0,IF('Operating Assumptions'!$L19="N/A",0,IF('Operating Assumptions'!$L19="$/Unit/Annual",(('Operating Assumptions'!$M19*AY$25)*AY$36)/12,IF('Operating Assumptions'!$L19="$/Unit/Month",('Operating Assumptions'!$M19*AY$25)*AY$36,IF('Operating Assumptions'!$L19="Fixed Amount",('Operating Assumptions'!$M19*AY$25)/12,IF('Operating Assumptions'!$L19="$/GSF",(('Operating Assumptions'!$M19*AY$25)*'Operating Assumptions'!$D$11)/12,IF('Operating Assumptions'!$L19="$/NSF",(('Operating Assumptions'!$M19*AY$25)*'Operating Assumptions'!$D$12)/12))))))))</f>
        <v>0</v>
      </c>
      <c r="AZ91" s="427">
        <f>-IF(AZ$9&lt;'Operating Assumptions'!$D$53,0,IF(AZ$6&gt;'Operating Assumptions'!$AA$8,0,IF('Operating Assumptions'!$L19="N/A",0,IF('Operating Assumptions'!$L19="$/Unit/Annual",(('Operating Assumptions'!$M19*AZ$25)*AZ$36)/12,IF('Operating Assumptions'!$L19="$/Unit/Month",('Operating Assumptions'!$M19*AZ$25)*AZ$36,IF('Operating Assumptions'!$L19="Fixed Amount",('Operating Assumptions'!$M19*AZ$25)/12,IF('Operating Assumptions'!$L19="$/GSF",(('Operating Assumptions'!$M19*AZ$25)*'Operating Assumptions'!$D$11)/12,IF('Operating Assumptions'!$L19="$/NSF",(('Operating Assumptions'!$M19*AZ$25)*'Operating Assumptions'!$D$12)/12))))))))</f>
        <v>0</v>
      </c>
      <c r="BA91" s="427">
        <f>-IF(BA$9&lt;'Operating Assumptions'!$D$53,0,IF(BA$6&gt;'Operating Assumptions'!$AA$8,0,IF('Operating Assumptions'!$L19="N/A",0,IF('Operating Assumptions'!$L19="$/Unit/Annual",(('Operating Assumptions'!$M19*BA$25)*BA$36)/12,IF('Operating Assumptions'!$L19="$/Unit/Month",('Operating Assumptions'!$M19*BA$25)*BA$36,IF('Operating Assumptions'!$L19="Fixed Amount",('Operating Assumptions'!$M19*BA$25)/12,IF('Operating Assumptions'!$L19="$/GSF",(('Operating Assumptions'!$M19*BA$25)*'Operating Assumptions'!$D$11)/12,IF('Operating Assumptions'!$L19="$/NSF",(('Operating Assumptions'!$M19*BA$25)*'Operating Assumptions'!$D$12)/12))))))))</f>
        <v>0</v>
      </c>
      <c r="BB91" s="427">
        <f>-IF(BB$9&lt;'Operating Assumptions'!$D$53,0,IF(BB$6&gt;'Operating Assumptions'!$AA$8,0,IF('Operating Assumptions'!$L19="N/A",0,IF('Operating Assumptions'!$L19="$/Unit/Annual",(('Operating Assumptions'!$M19*BB$25)*BB$36)/12,IF('Operating Assumptions'!$L19="$/Unit/Month",('Operating Assumptions'!$M19*BB$25)*BB$36,IF('Operating Assumptions'!$L19="Fixed Amount",('Operating Assumptions'!$M19*BB$25)/12,IF('Operating Assumptions'!$L19="$/GSF",(('Operating Assumptions'!$M19*BB$25)*'Operating Assumptions'!$D$11)/12,IF('Operating Assumptions'!$L19="$/NSF",(('Operating Assumptions'!$M19*BB$25)*'Operating Assumptions'!$D$12)/12))))))))</f>
        <v>0</v>
      </c>
      <c r="BC91" s="427">
        <f>-IF(BC$9&lt;'Operating Assumptions'!$D$53,0,IF(BC$6&gt;'Operating Assumptions'!$AA$8,0,IF('Operating Assumptions'!$L19="N/A",0,IF('Operating Assumptions'!$L19="$/Unit/Annual",(('Operating Assumptions'!$M19*BC$25)*BC$36)/12,IF('Operating Assumptions'!$L19="$/Unit/Month",('Operating Assumptions'!$M19*BC$25)*BC$36,IF('Operating Assumptions'!$L19="Fixed Amount",('Operating Assumptions'!$M19*BC$25)/12,IF('Operating Assumptions'!$L19="$/GSF",(('Operating Assumptions'!$M19*BC$25)*'Operating Assumptions'!$D$11)/12,IF('Operating Assumptions'!$L19="$/NSF",(('Operating Assumptions'!$M19*BC$25)*'Operating Assumptions'!$D$12)/12))))))))</f>
        <v>0</v>
      </c>
      <c r="BD91" s="427">
        <f>-IF(BD$9&lt;'Operating Assumptions'!$D$53,0,IF(BD$6&gt;'Operating Assumptions'!$AA$8,0,IF('Operating Assumptions'!$L19="N/A",0,IF('Operating Assumptions'!$L19="$/Unit/Annual",(('Operating Assumptions'!$M19*BD$25)*BD$36)/12,IF('Operating Assumptions'!$L19="$/Unit/Month",('Operating Assumptions'!$M19*BD$25)*BD$36,IF('Operating Assumptions'!$L19="Fixed Amount",('Operating Assumptions'!$M19*BD$25)/12,IF('Operating Assumptions'!$L19="$/GSF",(('Operating Assumptions'!$M19*BD$25)*'Operating Assumptions'!$D$11)/12,IF('Operating Assumptions'!$L19="$/NSF",(('Operating Assumptions'!$M19*BD$25)*'Operating Assumptions'!$D$12)/12))))))))</f>
        <v>0</v>
      </c>
      <c r="BE91" s="427">
        <f>-IF(BE$9&lt;'Operating Assumptions'!$D$53,0,IF(BE$6&gt;'Operating Assumptions'!$AA$8,0,IF('Operating Assumptions'!$L19="N/A",0,IF('Operating Assumptions'!$L19="$/Unit/Annual",(('Operating Assumptions'!$M19*BE$25)*BE$36)/12,IF('Operating Assumptions'!$L19="$/Unit/Month",('Operating Assumptions'!$M19*BE$25)*BE$36,IF('Operating Assumptions'!$L19="Fixed Amount",('Operating Assumptions'!$M19*BE$25)/12,IF('Operating Assumptions'!$L19="$/GSF",(('Operating Assumptions'!$M19*BE$25)*'Operating Assumptions'!$D$11)/12,IF('Operating Assumptions'!$L19="$/NSF",(('Operating Assumptions'!$M19*BE$25)*'Operating Assumptions'!$D$12)/12))))))))</f>
        <v>0</v>
      </c>
      <c r="BF91" s="427">
        <f>-IF(BF$9&lt;'Operating Assumptions'!$D$53,0,IF(BF$6&gt;'Operating Assumptions'!$AA$8,0,IF('Operating Assumptions'!$L19="N/A",0,IF('Operating Assumptions'!$L19="$/Unit/Annual",(('Operating Assumptions'!$M19*BF$25)*BF$36)/12,IF('Operating Assumptions'!$L19="$/Unit/Month",('Operating Assumptions'!$M19*BF$25)*BF$36,IF('Operating Assumptions'!$L19="Fixed Amount",('Operating Assumptions'!$M19*BF$25)/12,IF('Operating Assumptions'!$L19="$/GSF",(('Operating Assumptions'!$M19*BF$25)*'Operating Assumptions'!$D$11)/12,IF('Operating Assumptions'!$L19="$/NSF",(('Operating Assumptions'!$M19*BF$25)*'Operating Assumptions'!$D$12)/12))))))))</f>
        <v>0</v>
      </c>
      <c r="BG91" s="427">
        <f>-IF(BG$9&lt;'Operating Assumptions'!$D$53,0,IF(BG$6&gt;'Operating Assumptions'!$AA$8,0,IF('Operating Assumptions'!$L19="N/A",0,IF('Operating Assumptions'!$L19="$/Unit/Annual",(('Operating Assumptions'!$M19*BG$25)*BG$36)/12,IF('Operating Assumptions'!$L19="$/Unit/Month",('Operating Assumptions'!$M19*BG$25)*BG$36,IF('Operating Assumptions'!$L19="Fixed Amount",('Operating Assumptions'!$M19*BG$25)/12,IF('Operating Assumptions'!$L19="$/GSF",(('Operating Assumptions'!$M19*BG$25)*'Operating Assumptions'!$D$11)/12,IF('Operating Assumptions'!$L19="$/NSF",(('Operating Assumptions'!$M19*BG$25)*'Operating Assumptions'!$D$12)/12))))))))</f>
        <v>0</v>
      </c>
      <c r="BH91" s="427">
        <f>-IF(BH$9&lt;'Operating Assumptions'!$D$53,0,IF(BH$6&gt;'Operating Assumptions'!$AA$8,0,IF('Operating Assumptions'!$L19="N/A",0,IF('Operating Assumptions'!$L19="$/Unit/Annual",(('Operating Assumptions'!$M19*BH$25)*BH$36)/12,IF('Operating Assumptions'!$L19="$/Unit/Month",('Operating Assumptions'!$M19*BH$25)*BH$36,IF('Operating Assumptions'!$L19="Fixed Amount",('Operating Assumptions'!$M19*BH$25)/12,IF('Operating Assumptions'!$L19="$/GSF",(('Operating Assumptions'!$M19*BH$25)*'Operating Assumptions'!$D$11)/12,IF('Operating Assumptions'!$L19="$/NSF",(('Operating Assumptions'!$M19*BH$25)*'Operating Assumptions'!$D$12)/12))))))))</f>
        <v>0</v>
      </c>
      <c r="BI91" s="427">
        <f>-IF(BI$9&lt;'Operating Assumptions'!$D$53,0,IF(BI$6&gt;'Operating Assumptions'!$AA$8,0,IF('Operating Assumptions'!$L19="N/A",0,IF('Operating Assumptions'!$L19="$/Unit/Annual",(('Operating Assumptions'!$M19*BI$25)*BI$36)/12,IF('Operating Assumptions'!$L19="$/Unit/Month",('Operating Assumptions'!$M19*BI$25)*BI$36,IF('Operating Assumptions'!$L19="Fixed Amount",('Operating Assumptions'!$M19*BI$25)/12,IF('Operating Assumptions'!$L19="$/GSF",(('Operating Assumptions'!$M19*BI$25)*'Operating Assumptions'!$D$11)/12,IF('Operating Assumptions'!$L19="$/NSF",(('Operating Assumptions'!$M19*BI$25)*'Operating Assumptions'!$D$12)/12))))))))</f>
        <v>0</v>
      </c>
      <c r="BJ91" s="427">
        <f>-IF(BJ$9&lt;'Operating Assumptions'!$D$53,0,IF(BJ$6&gt;'Operating Assumptions'!$AA$8,0,IF('Operating Assumptions'!$L19="N/A",0,IF('Operating Assumptions'!$L19="$/Unit/Annual",(('Operating Assumptions'!$M19*BJ$25)*BJ$36)/12,IF('Operating Assumptions'!$L19="$/Unit/Month",('Operating Assumptions'!$M19*BJ$25)*BJ$36,IF('Operating Assumptions'!$L19="Fixed Amount",('Operating Assumptions'!$M19*BJ$25)/12,IF('Operating Assumptions'!$L19="$/GSF",(('Operating Assumptions'!$M19*BJ$25)*'Operating Assumptions'!$D$11)/12,IF('Operating Assumptions'!$L19="$/NSF",(('Operating Assumptions'!$M19*BJ$25)*'Operating Assumptions'!$D$12)/12))))))))</f>
        <v>0</v>
      </c>
      <c r="BK91" s="427">
        <f>-IF(BK$9&lt;'Operating Assumptions'!$D$53,0,IF(BK$6&gt;'Operating Assumptions'!$AA$8,0,IF('Operating Assumptions'!$L19="N/A",0,IF('Operating Assumptions'!$L19="$/Unit/Annual",(('Operating Assumptions'!$M19*BK$25)*BK$36)/12,IF('Operating Assumptions'!$L19="$/Unit/Month",('Operating Assumptions'!$M19*BK$25)*BK$36,IF('Operating Assumptions'!$L19="Fixed Amount",('Operating Assumptions'!$M19*BK$25)/12,IF('Operating Assumptions'!$L19="$/GSF",(('Operating Assumptions'!$M19*BK$25)*'Operating Assumptions'!$D$11)/12,IF('Operating Assumptions'!$L19="$/NSF",(('Operating Assumptions'!$M19*BK$25)*'Operating Assumptions'!$D$12)/12))))))))</f>
        <v>0</v>
      </c>
      <c r="BL91" s="427">
        <f>-IF(BL$9&lt;'Operating Assumptions'!$D$53,0,IF(BL$6&gt;'Operating Assumptions'!$AA$8,0,IF('Operating Assumptions'!$L19="N/A",0,IF('Operating Assumptions'!$L19="$/Unit/Annual",(('Operating Assumptions'!$M19*BL$25)*BL$36)/12,IF('Operating Assumptions'!$L19="$/Unit/Month",('Operating Assumptions'!$M19*BL$25)*BL$36,IF('Operating Assumptions'!$L19="Fixed Amount",('Operating Assumptions'!$M19*BL$25)/12,IF('Operating Assumptions'!$L19="$/GSF",(('Operating Assumptions'!$M19*BL$25)*'Operating Assumptions'!$D$11)/12,IF('Operating Assumptions'!$L19="$/NSF",(('Operating Assumptions'!$M19*BL$25)*'Operating Assumptions'!$D$12)/12))))))))</f>
        <v>0</v>
      </c>
      <c r="BM91" s="427">
        <f>-IF(BM$9&lt;'Operating Assumptions'!$D$53,0,IF(BM$6&gt;'Operating Assumptions'!$AA$8,0,IF('Operating Assumptions'!$L19="N/A",0,IF('Operating Assumptions'!$L19="$/Unit/Annual",(('Operating Assumptions'!$M19*BM$25)*BM$36)/12,IF('Operating Assumptions'!$L19="$/Unit/Month",('Operating Assumptions'!$M19*BM$25)*BM$36,IF('Operating Assumptions'!$L19="Fixed Amount",('Operating Assumptions'!$M19*BM$25)/12,IF('Operating Assumptions'!$L19="$/GSF",(('Operating Assumptions'!$M19*BM$25)*'Operating Assumptions'!$D$11)/12,IF('Operating Assumptions'!$L19="$/NSF",(('Operating Assumptions'!$M19*BM$25)*'Operating Assumptions'!$D$12)/12))))))))</f>
        <v>0</v>
      </c>
      <c r="BN91" s="427">
        <f>-IF(BN$9&lt;'Operating Assumptions'!$D$53,0,IF(BN$6&gt;'Operating Assumptions'!$AA$8,0,IF('Operating Assumptions'!$L19="N/A",0,IF('Operating Assumptions'!$L19="$/Unit/Annual",(('Operating Assumptions'!$M19*BN$25)*BN$36)/12,IF('Operating Assumptions'!$L19="$/Unit/Month",('Operating Assumptions'!$M19*BN$25)*BN$36,IF('Operating Assumptions'!$L19="Fixed Amount",('Operating Assumptions'!$M19*BN$25)/12,IF('Operating Assumptions'!$L19="$/GSF",(('Operating Assumptions'!$M19*BN$25)*'Operating Assumptions'!$D$11)/12,IF('Operating Assumptions'!$L19="$/NSF",(('Operating Assumptions'!$M19*BN$25)*'Operating Assumptions'!$D$12)/12))))))))</f>
        <v>0</v>
      </c>
      <c r="BO91" s="427">
        <f>-IF(BO$9&lt;'Operating Assumptions'!$D$53,0,IF(BO$6&gt;'Operating Assumptions'!$AA$8,0,IF('Operating Assumptions'!$L19="N/A",0,IF('Operating Assumptions'!$L19="$/Unit/Annual",(('Operating Assumptions'!$M19*BO$25)*BO$36)/12,IF('Operating Assumptions'!$L19="$/Unit/Month",('Operating Assumptions'!$M19*BO$25)*BO$36,IF('Operating Assumptions'!$L19="Fixed Amount",('Operating Assumptions'!$M19*BO$25)/12,IF('Operating Assumptions'!$L19="$/GSF",(('Operating Assumptions'!$M19*BO$25)*'Operating Assumptions'!$D$11)/12,IF('Operating Assumptions'!$L19="$/NSF",(('Operating Assumptions'!$M19*BO$25)*'Operating Assumptions'!$D$12)/12))))))))</f>
        <v>0</v>
      </c>
      <c r="BP91" s="427">
        <f>-IF(BP$9&lt;'Operating Assumptions'!$D$53,0,IF(BP$6&gt;'Operating Assumptions'!$AA$8,0,IF('Operating Assumptions'!$L19="N/A",0,IF('Operating Assumptions'!$L19="$/Unit/Annual",(('Operating Assumptions'!$M19*BP$25)*BP$36)/12,IF('Operating Assumptions'!$L19="$/Unit/Month",('Operating Assumptions'!$M19*BP$25)*BP$36,IF('Operating Assumptions'!$L19="Fixed Amount",('Operating Assumptions'!$M19*BP$25)/12,IF('Operating Assumptions'!$L19="$/GSF",(('Operating Assumptions'!$M19*BP$25)*'Operating Assumptions'!$D$11)/12,IF('Operating Assumptions'!$L19="$/NSF",(('Operating Assumptions'!$M19*BP$25)*'Operating Assumptions'!$D$12)/12))))))))</f>
        <v>0</v>
      </c>
      <c r="BQ91" s="427">
        <f>-IF(BQ$9&lt;'Operating Assumptions'!$D$53,0,IF(BQ$6&gt;'Operating Assumptions'!$AA$8,0,IF('Operating Assumptions'!$L19="N/A",0,IF('Operating Assumptions'!$L19="$/Unit/Annual",(('Operating Assumptions'!$M19*BQ$25)*BQ$36)/12,IF('Operating Assumptions'!$L19="$/Unit/Month",('Operating Assumptions'!$M19*BQ$25)*BQ$36,IF('Operating Assumptions'!$L19="Fixed Amount",('Operating Assumptions'!$M19*BQ$25)/12,IF('Operating Assumptions'!$L19="$/GSF",(('Operating Assumptions'!$M19*BQ$25)*'Operating Assumptions'!$D$11)/12,IF('Operating Assumptions'!$L19="$/NSF",(('Operating Assumptions'!$M19*BQ$25)*'Operating Assumptions'!$D$12)/12))))))))</f>
        <v>0</v>
      </c>
      <c r="BR91" s="427">
        <f>-IF(BR$9&lt;'Operating Assumptions'!$D$53,0,IF(BR$6&gt;'Operating Assumptions'!$AA$8,0,IF('Operating Assumptions'!$L19="N/A",0,IF('Operating Assumptions'!$L19="$/Unit/Annual",(('Operating Assumptions'!$M19*BR$25)*BR$36)/12,IF('Operating Assumptions'!$L19="$/Unit/Month",('Operating Assumptions'!$M19*BR$25)*BR$36,IF('Operating Assumptions'!$L19="Fixed Amount",('Operating Assumptions'!$M19*BR$25)/12,IF('Operating Assumptions'!$L19="$/GSF",(('Operating Assumptions'!$M19*BR$25)*'Operating Assumptions'!$D$11)/12,IF('Operating Assumptions'!$L19="$/NSF",(('Operating Assumptions'!$M19*BR$25)*'Operating Assumptions'!$D$12)/12))))))))</f>
        <v>0</v>
      </c>
      <c r="BS91" s="427">
        <f>-IF(BS$9&lt;'Operating Assumptions'!$D$53,0,IF(BS$6&gt;'Operating Assumptions'!$AA$8,0,IF('Operating Assumptions'!$L19="N/A",0,IF('Operating Assumptions'!$L19="$/Unit/Annual",(('Operating Assumptions'!$M19*BS$25)*BS$36)/12,IF('Operating Assumptions'!$L19="$/Unit/Month",('Operating Assumptions'!$M19*BS$25)*BS$36,IF('Operating Assumptions'!$L19="Fixed Amount",('Operating Assumptions'!$M19*BS$25)/12,IF('Operating Assumptions'!$L19="$/GSF",(('Operating Assumptions'!$M19*BS$25)*'Operating Assumptions'!$D$11)/12,IF('Operating Assumptions'!$L19="$/NSF",(('Operating Assumptions'!$M19*BS$25)*'Operating Assumptions'!$D$12)/12))))))))</f>
        <v>0</v>
      </c>
      <c r="BT91" s="427">
        <f>-IF(BT$9&lt;'Operating Assumptions'!$D$53,0,IF(BT$6&gt;'Operating Assumptions'!$AA$8,0,IF('Operating Assumptions'!$L19="N/A",0,IF('Operating Assumptions'!$L19="$/Unit/Annual",(('Operating Assumptions'!$M19*BT$25)*BT$36)/12,IF('Operating Assumptions'!$L19="$/Unit/Month",('Operating Assumptions'!$M19*BT$25)*BT$36,IF('Operating Assumptions'!$L19="Fixed Amount",('Operating Assumptions'!$M19*BT$25)/12,IF('Operating Assumptions'!$L19="$/GSF",(('Operating Assumptions'!$M19*BT$25)*'Operating Assumptions'!$D$11)/12,IF('Operating Assumptions'!$L19="$/NSF",(('Operating Assumptions'!$M19*BT$25)*'Operating Assumptions'!$D$12)/12))))))))</f>
        <v>0</v>
      </c>
      <c r="BU91" s="427">
        <f>-IF(BU$9&lt;'Operating Assumptions'!$D$53,0,IF(BU$6&gt;'Operating Assumptions'!$AA$8,0,IF('Operating Assumptions'!$L19="N/A",0,IF('Operating Assumptions'!$L19="$/Unit/Annual",(('Operating Assumptions'!$M19*BU$25)*BU$36)/12,IF('Operating Assumptions'!$L19="$/Unit/Month",('Operating Assumptions'!$M19*BU$25)*BU$36,IF('Operating Assumptions'!$L19="Fixed Amount",('Operating Assumptions'!$M19*BU$25)/12,IF('Operating Assumptions'!$L19="$/GSF",(('Operating Assumptions'!$M19*BU$25)*'Operating Assumptions'!$D$11)/12,IF('Operating Assumptions'!$L19="$/NSF",(('Operating Assumptions'!$M19*BU$25)*'Operating Assumptions'!$D$12)/12))))))))</f>
        <v>0</v>
      </c>
      <c r="BV91" s="427">
        <f>-IF(BV$9&lt;'Operating Assumptions'!$D$53,0,IF(BV$6&gt;'Operating Assumptions'!$AA$8,0,IF('Operating Assumptions'!$L19="N/A",0,IF('Operating Assumptions'!$L19="$/Unit/Annual",(('Operating Assumptions'!$M19*BV$25)*BV$36)/12,IF('Operating Assumptions'!$L19="$/Unit/Month",('Operating Assumptions'!$M19*BV$25)*BV$36,IF('Operating Assumptions'!$L19="Fixed Amount",('Operating Assumptions'!$M19*BV$25)/12,IF('Operating Assumptions'!$L19="$/GSF",(('Operating Assumptions'!$M19*BV$25)*'Operating Assumptions'!$D$11)/12,IF('Operating Assumptions'!$L19="$/NSF",(('Operating Assumptions'!$M19*BV$25)*'Operating Assumptions'!$D$12)/12))))))))</f>
        <v>0</v>
      </c>
      <c r="BW91" s="427">
        <f>-IF(BW$9&lt;'Operating Assumptions'!$D$53,0,IF(BW$6&gt;'Operating Assumptions'!$AA$8,0,IF('Operating Assumptions'!$L19="N/A",0,IF('Operating Assumptions'!$L19="$/Unit/Annual",(('Operating Assumptions'!$M19*BW$25)*BW$36)/12,IF('Operating Assumptions'!$L19="$/Unit/Month",('Operating Assumptions'!$M19*BW$25)*BW$36,IF('Operating Assumptions'!$L19="Fixed Amount",('Operating Assumptions'!$M19*BW$25)/12,IF('Operating Assumptions'!$L19="$/GSF",(('Operating Assumptions'!$M19*BW$25)*'Operating Assumptions'!$D$11)/12,IF('Operating Assumptions'!$L19="$/NSF",(('Operating Assumptions'!$M19*BW$25)*'Operating Assumptions'!$D$12)/12))))))))</f>
        <v>0</v>
      </c>
      <c r="BX91" s="427">
        <f>-IF(BX$9&lt;'Operating Assumptions'!$D$53,0,IF(BX$6&gt;'Operating Assumptions'!$AA$8,0,IF('Operating Assumptions'!$L19="N/A",0,IF('Operating Assumptions'!$L19="$/Unit/Annual",(('Operating Assumptions'!$M19*BX$25)*BX$36)/12,IF('Operating Assumptions'!$L19="$/Unit/Month",('Operating Assumptions'!$M19*BX$25)*BX$36,IF('Operating Assumptions'!$L19="Fixed Amount",('Operating Assumptions'!$M19*BX$25)/12,IF('Operating Assumptions'!$L19="$/GSF",(('Operating Assumptions'!$M19*BX$25)*'Operating Assumptions'!$D$11)/12,IF('Operating Assumptions'!$L19="$/NSF",(('Operating Assumptions'!$M19*BX$25)*'Operating Assumptions'!$D$12)/12))))))))</f>
        <v>0</v>
      </c>
      <c r="BY91" s="427">
        <f>-IF(BY$9&lt;'Operating Assumptions'!$D$53,0,IF(BY$6&gt;'Operating Assumptions'!$AA$8,0,IF('Operating Assumptions'!$L19="N/A",0,IF('Operating Assumptions'!$L19="$/Unit/Annual",(('Operating Assumptions'!$M19*BY$25)*BY$36)/12,IF('Operating Assumptions'!$L19="$/Unit/Month",('Operating Assumptions'!$M19*BY$25)*BY$36,IF('Operating Assumptions'!$L19="Fixed Amount",('Operating Assumptions'!$M19*BY$25)/12,IF('Operating Assumptions'!$L19="$/GSF",(('Operating Assumptions'!$M19*BY$25)*'Operating Assumptions'!$D$11)/12,IF('Operating Assumptions'!$L19="$/NSF",(('Operating Assumptions'!$M19*BY$25)*'Operating Assumptions'!$D$12)/12))))))))</f>
        <v>0</v>
      </c>
      <c r="BZ91" s="427">
        <f>-IF(BZ$9&lt;'Operating Assumptions'!$D$53,0,IF(BZ$6&gt;'Operating Assumptions'!$AA$8,0,IF('Operating Assumptions'!$L19="N/A",0,IF('Operating Assumptions'!$L19="$/Unit/Annual",(('Operating Assumptions'!$M19*BZ$25)*BZ$36)/12,IF('Operating Assumptions'!$L19="$/Unit/Month",('Operating Assumptions'!$M19*BZ$25)*BZ$36,IF('Operating Assumptions'!$L19="Fixed Amount",('Operating Assumptions'!$M19*BZ$25)/12,IF('Operating Assumptions'!$L19="$/GSF",(('Operating Assumptions'!$M19*BZ$25)*'Operating Assumptions'!$D$11)/12,IF('Operating Assumptions'!$L19="$/NSF",(('Operating Assumptions'!$M19*BZ$25)*'Operating Assumptions'!$D$12)/12))))))))</f>
        <v>0</v>
      </c>
      <c r="CA91" s="427">
        <f>-IF(CA$9&lt;'Operating Assumptions'!$D$53,0,IF(CA$6&gt;'Operating Assumptions'!$AA$8,0,IF('Operating Assumptions'!$L19="N/A",0,IF('Operating Assumptions'!$L19="$/Unit/Annual",(('Operating Assumptions'!$M19*CA$25)*CA$36)/12,IF('Operating Assumptions'!$L19="$/Unit/Month",('Operating Assumptions'!$M19*CA$25)*CA$36,IF('Operating Assumptions'!$L19="Fixed Amount",('Operating Assumptions'!$M19*CA$25)/12,IF('Operating Assumptions'!$L19="$/GSF",(('Operating Assumptions'!$M19*CA$25)*'Operating Assumptions'!$D$11)/12,IF('Operating Assumptions'!$L19="$/NSF",(('Operating Assumptions'!$M19*CA$25)*'Operating Assumptions'!$D$12)/12))))))))</f>
        <v>0</v>
      </c>
      <c r="CB91" s="427">
        <f>-IF(CB$9&lt;'Operating Assumptions'!$D$53,0,IF(CB$6&gt;'Operating Assumptions'!$AA$8,0,IF('Operating Assumptions'!$L19="N/A",0,IF('Operating Assumptions'!$L19="$/Unit/Annual",(('Operating Assumptions'!$M19*CB$25)*CB$36)/12,IF('Operating Assumptions'!$L19="$/Unit/Month",('Operating Assumptions'!$M19*CB$25)*CB$36,IF('Operating Assumptions'!$L19="Fixed Amount",('Operating Assumptions'!$M19*CB$25)/12,IF('Operating Assumptions'!$L19="$/GSF",(('Operating Assumptions'!$M19*CB$25)*'Operating Assumptions'!$D$11)/12,IF('Operating Assumptions'!$L19="$/NSF",(('Operating Assumptions'!$M19*CB$25)*'Operating Assumptions'!$D$12)/12))))))))</f>
        <v>0</v>
      </c>
      <c r="CC91" s="427">
        <f>-IF(CC$9&lt;'Operating Assumptions'!$D$53,0,IF(CC$6&gt;'Operating Assumptions'!$AA$8,0,IF('Operating Assumptions'!$L19="N/A",0,IF('Operating Assumptions'!$L19="$/Unit/Annual",(('Operating Assumptions'!$M19*CC$25)*CC$36)/12,IF('Operating Assumptions'!$L19="$/Unit/Month",('Operating Assumptions'!$M19*CC$25)*CC$36,IF('Operating Assumptions'!$L19="Fixed Amount",('Operating Assumptions'!$M19*CC$25)/12,IF('Operating Assumptions'!$L19="$/GSF",(('Operating Assumptions'!$M19*CC$25)*'Operating Assumptions'!$D$11)/12,IF('Operating Assumptions'!$L19="$/NSF",(('Operating Assumptions'!$M19*CC$25)*'Operating Assumptions'!$D$12)/12))))))))</f>
        <v>0</v>
      </c>
      <c r="CD91" s="427">
        <f>-IF(CD$9&lt;'Operating Assumptions'!$D$53,0,IF(CD$6&gt;'Operating Assumptions'!$AA$8,0,IF('Operating Assumptions'!$L19="N/A",0,IF('Operating Assumptions'!$L19="$/Unit/Annual",(('Operating Assumptions'!$M19*CD$25)*CD$36)/12,IF('Operating Assumptions'!$L19="$/Unit/Month",('Operating Assumptions'!$M19*CD$25)*CD$36,IF('Operating Assumptions'!$L19="Fixed Amount",('Operating Assumptions'!$M19*CD$25)/12,IF('Operating Assumptions'!$L19="$/GSF",(('Operating Assumptions'!$M19*CD$25)*'Operating Assumptions'!$D$11)/12,IF('Operating Assumptions'!$L19="$/NSF",(('Operating Assumptions'!$M19*CD$25)*'Operating Assumptions'!$D$12)/12))))))))</f>
        <v>0</v>
      </c>
      <c r="CE91" s="427">
        <f>-IF(CE$9&lt;'Operating Assumptions'!$D$53,0,IF(CE$6&gt;'Operating Assumptions'!$AA$8,0,IF('Operating Assumptions'!$L19="N/A",0,IF('Operating Assumptions'!$L19="$/Unit/Annual",(('Operating Assumptions'!$M19*CE$25)*CE$36)/12,IF('Operating Assumptions'!$L19="$/Unit/Month",('Operating Assumptions'!$M19*CE$25)*CE$36,IF('Operating Assumptions'!$L19="Fixed Amount",('Operating Assumptions'!$M19*CE$25)/12,IF('Operating Assumptions'!$L19="$/GSF",(('Operating Assumptions'!$M19*CE$25)*'Operating Assumptions'!$D$11)/12,IF('Operating Assumptions'!$L19="$/NSF",(('Operating Assumptions'!$M19*CE$25)*'Operating Assumptions'!$D$12)/12))))))))</f>
        <v>0</v>
      </c>
      <c r="CF91" s="427">
        <f>-IF(CF$9&lt;'Operating Assumptions'!$D$53,0,IF(CF$6&gt;'Operating Assumptions'!$AA$8,0,IF('Operating Assumptions'!$L19="N/A",0,IF('Operating Assumptions'!$L19="$/Unit/Annual",(('Operating Assumptions'!$M19*CF$25)*CF$36)/12,IF('Operating Assumptions'!$L19="$/Unit/Month",('Operating Assumptions'!$M19*CF$25)*CF$36,IF('Operating Assumptions'!$L19="Fixed Amount",('Operating Assumptions'!$M19*CF$25)/12,IF('Operating Assumptions'!$L19="$/GSF",(('Operating Assumptions'!$M19*CF$25)*'Operating Assumptions'!$D$11)/12,IF('Operating Assumptions'!$L19="$/NSF",(('Operating Assumptions'!$M19*CF$25)*'Operating Assumptions'!$D$12)/12))))))))</f>
        <v>0</v>
      </c>
      <c r="CG91" s="427">
        <f>-IF(CG$9&lt;'Operating Assumptions'!$D$53,0,IF(CG$6&gt;'Operating Assumptions'!$AA$8,0,IF('Operating Assumptions'!$L19="N/A",0,IF('Operating Assumptions'!$L19="$/Unit/Annual",(('Operating Assumptions'!$M19*CG$25)*CG$36)/12,IF('Operating Assumptions'!$L19="$/Unit/Month",('Operating Assumptions'!$M19*CG$25)*CG$36,IF('Operating Assumptions'!$L19="Fixed Amount",('Operating Assumptions'!$M19*CG$25)/12,IF('Operating Assumptions'!$L19="$/GSF",(('Operating Assumptions'!$M19*CG$25)*'Operating Assumptions'!$D$11)/12,IF('Operating Assumptions'!$L19="$/NSF",(('Operating Assumptions'!$M19*CG$25)*'Operating Assumptions'!$D$12)/12))))))))</f>
        <v>0</v>
      </c>
      <c r="CH91" s="427">
        <f>-IF(CH$9&lt;'Operating Assumptions'!$D$53,0,IF(CH$6&gt;'Operating Assumptions'!$AA$8,0,IF('Operating Assumptions'!$L19="N/A",0,IF('Operating Assumptions'!$L19="$/Unit/Annual",(('Operating Assumptions'!$M19*CH$25)*CH$36)/12,IF('Operating Assumptions'!$L19="$/Unit/Month",('Operating Assumptions'!$M19*CH$25)*CH$36,IF('Operating Assumptions'!$L19="Fixed Amount",('Operating Assumptions'!$M19*CH$25)/12,IF('Operating Assumptions'!$L19="$/GSF",(('Operating Assumptions'!$M19*CH$25)*'Operating Assumptions'!$D$11)/12,IF('Operating Assumptions'!$L19="$/NSF",(('Operating Assumptions'!$M19*CH$25)*'Operating Assumptions'!$D$12)/12))))))))</f>
        <v>0</v>
      </c>
      <c r="CI91" s="427">
        <f>-IF(CI$9&lt;'Operating Assumptions'!$D$53,0,IF(CI$6&gt;'Operating Assumptions'!$AA$8,0,IF('Operating Assumptions'!$L19="N/A",0,IF('Operating Assumptions'!$L19="$/Unit/Annual",(('Operating Assumptions'!$M19*CI$25)*CI$36)/12,IF('Operating Assumptions'!$L19="$/Unit/Month",('Operating Assumptions'!$M19*CI$25)*CI$36,IF('Operating Assumptions'!$L19="Fixed Amount",('Operating Assumptions'!$M19*CI$25)/12,IF('Operating Assumptions'!$L19="$/GSF",(('Operating Assumptions'!$M19*CI$25)*'Operating Assumptions'!$D$11)/12,IF('Operating Assumptions'!$L19="$/NSF",(('Operating Assumptions'!$M19*CI$25)*'Operating Assumptions'!$D$12)/12))))))))</f>
        <v>0</v>
      </c>
      <c r="CJ91" s="427">
        <f>-IF(CJ$9&lt;'Operating Assumptions'!$D$53,0,IF(CJ$6&gt;'Operating Assumptions'!$AA$8,0,IF('Operating Assumptions'!$L19="N/A",0,IF('Operating Assumptions'!$L19="$/Unit/Annual",(('Operating Assumptions'!$M19*CJ$25)*CJ$36)/12,IF('Operating Assumptions'!$L19="$/Unit/Month",('Operating Assumptions'!$M19*CJ$25)*CJ$36,IF('Operating Assumptions'!$L19="Fixed Amount",('Operating Assumptions'!$M19*CJ$25)/12,IF('Operating Assumptions'!$L19="$/GSF",(('Operating Assumptions'!$M19*CJ$25)*'Operating Assumptions'!$D$11)/12,IF('Operating Assumptions'!$L19="$/NSF",(('Operating Assumptions'!$M19*CJ$25)*'Operating Assumptions'!$D$12)/12))))))))</f>
        <v>0</v>
      </c>
      <c r="CK91" s="427">
        <f>-IF(CK$9&lt;'Operating Assumptions'!$D$53,0,IF(CK$6&gt;'Operating Assumptions'!$AA$8,0,IF('Operating Assumptions'!$L19="N/A",0,IF('Operating Assumptions'!$L19="$/Unit/Annual",(('Operating Assumptions'!$M19*CK$25)*CK$36)/12,IF('Operating Assumptions'!$L19="$/Unit/Month",('Operating Assumptions'!$M19*CK$25)*CK$36,IF('Operating Assumptions'!$L19="Fixed Amount",('Operating Assumptions'!$M19*CK$25)/12,IF('Operating Assumptions'!$L19="$/GSF",(('Operating Assumptions'!$M19*CK$25)*'Operating Assumptions'!$D$11)/12,IF('Operating Assumptions'!$L19="$/NSF",(('Operating Assumptions'!$M19*CK$25)*'Operating Assumptions'!$D$12)/12))))))))</f>
        <v>0</v>
      </c>
      <c r="CL91" s="427">
        <f>-IF(CL$9&lt;'Operating Assumptions'!$D$53,0,IF(CL$6&gt;'Operating Assumptions'!$AA$8,0,IF('Operating Assumptions'!$L19="N/A",0,IF('Operating Assumptions'!$L19="$/Unit/Annual",(('Operating Assumptions'!$M19*CL$25)*CL$36)/12,IF('Operating Assumptions'!$L19="$/Unit/Month",('Operating Assumptions'!$M19*CL$25)*CL$36,IF('Operating Assumptions'!$L19="Fixed Amount",('Operating Assumptions'!$M19*CL$25)/12,IF('Operating Assumptions'!$L19="$/GSF",(('Operating Assumptions'!$M19*CL$25)*'Operating Assumptions'!$D$11)/12,IF('Operating Assumptions'!$L19="$/NSF",(('Operating Assumptions'!$M19*CL$25)*'Operating Assumptions'!$D$12)/12))))))))</f>
        <v>0</v>
      </c>
      <c r="CM91" s="427">
        <f>-IF(CM$9&lt;'Operating Assumptions'!$D$53,0,IF(CM$6&gt;'Operating Assumptions'!$AA$8,0,IF('Operating Assumptions'!$L19="N/A",0,IF('Operating Assumptions'!$L19="$/Unit/Annual",(('Operating Assumptions'!$M19*CM$25)*CM$36)/12,IF('Operating Assumptions'!$L19="$/Unit/Month",('Operating Assumptions'!$M19*CM$25)*CM$36,IF('Operating Assumptions'!$L19="Fixed Amount",('Operating Assumptions'!$M19*CM$25)/12,IF('Operating Assumptions'!$L19="$/GSF",(('Operating Assumptions'!$M19*CM$25)*'Operating Assumptions'!$D$11)/12,IF('Operating Assumptions'!$L19="$/NSF",(('Operating Assumptions'!$M19*CM$25)*'Operating Assumptions'!$D$12)/12))))))))</f>
        <v>0</v>
      </c>
      <c r="CN91" s="427">
        <f>-IF(CN$9&lt;'Operating Assumptions'!$D$53,0,IF(CN$6&gt;'Operating Assumptions'!$AA$8,0,IF('Operating Assumptions'!$L19="N/A",0,IF('Operating Assumptions'!$L19="$/Unit/Annual",(('Operating Assumptions'!$M19*CN$25)*CN$36)/12,IF('Operating Assumptions'!$L19="$/Unit/Month",('Operating Assumptions'!$M19*CN$25)*CN$36,IF('Operating Assumptions'!$L19="Fixed Amount",('Operating Assumptions'!$M19*CN$25)/12,IF('Operating Assumptions'!$L19="$/GSF",(('Operating Assumptions'!$M19*CN$25)*'Operating Assumptions'!$D$11)/12,IF('Operating Assumptions'!$L19="$/NSF",(('Operating Assumptions'!$M19*CN$25)*'Operating Assumptions'!$D$12)/12))))))))</f>
        <v>0</v>
      </c>
      <c r="CO91" s="427">
        <f>-IF(CO$9&lt;'Operating Assumptions'!$D$53,0,IF(CO$6&gt;'Operating Assumptions'!$AA$8,0,IF('Operating Assumptions'!$L19="N/A",0,IF('Operating Assumptions'!$L19="$/Unit/Annual",(('Operating Assumptions'!$M19*CO$25)*CO$36)/12,IF('Operating Assumptions'!$L19="$/Unit/Month",('Operating Assumptions'!$M19*CO$25)*CO$36,IF('Operating Assumptions'!$L19="Fixed Amount",('Operating Assumptions'!$M19*CO$25)/12,IF('Operating Assumptions'!$L19="$/GSF",(('Operating Assumptions'!$M19*CO$25)*'Operating Assumptions'!$D$11)/12,IF('Operating Assumptions'!$L19="$/NSF",(('Operating Assumptions'!$M19*CO$25)*'Operating Assumptions'!$D$12)/12))))))))</f>
        <v>0</v>
      </c>
      <c r="CP91" s="427">
        <f>-IF(CP$9&lt;'Operating Assumptions'!$D$53,0,IF(CP$6&gt;'Operating Assumptions'!$AA$8,0,IF('Operating Assumptions'!$L19="N/A",0,IF('Operating Assumptions'!$L19="$/Unit/Annual",(('Operating Assumptions'!$M19*CP$25)*CP$36)/12,IF('Operating Assumptions'!$L19="$/Unit/Month",('Operating Assumptions'!$M19*CP$25)*CP$36,IF('Operating Assumptions'!$L19="Fixed Amount",('Operating Assumptions'!$M19*CP$25)/12,IF('Operating Assumptions'!$L19="$/GSF",(('Operating Assumptions'!$M19*CP$25)*'Operating Assumptions'!$D$11)/12,IF('Operating Assumptions'!$L19="$/NSF",(('Operating Assumptions'!$M19*CP$25)*'Operating Assumptions'!$D$12)/12))))))))</f>
        <v>0</v>
      </c>
      <c r="CQ91" s="427">
        <f>-IF(CQ$9&lt;'Operating Assumptions'!$D$53,0,IF(CQ$6&gt;'Operating Assumptions'!$AA$8,0,IF('Operating Assumptions'!$L19="N/A",0,IF('Operating Assumptions'!$L19="$/Unit/Annual",(('Operating Assumptions'!$M19*CQ$25)*CQ$36)/12,IF('Operating Assumptions'!$L19="$/Unit/Month",('Operating Assumptions'!$M19*CQ$25)*CQ$36,IF('Operating Assumptions'!$L19="Fixed Amount",('Operating Assumptions'!$M19*CQ$25)/12,IF('Operating Assumptions'!$L19="$/GSF",(('Operating Assumptions'!$M19*CQ$25)*'Operating Assumptions'!$D$11)/12,IF('Operating Assumptions'!$L19="$/NSF",(('Operating Assumptions'!$M19*CQ$25)*'Operating Assumptions'!$D$12)/12))))))))</f>
        <v>0</v>
      </c>
      <c r="CR91" s="427">
        <f>-IF(CR$9&lt;'Operating Assumptions'!$D$53,0,IF(CR$6&gt;'Operating Assumptions'!$AA$8,0,IF('Operating Assumptions'!$L19="N/A",0,IF('Operating Assumptions'!$L19="$/Unit/Annual",(('Operating Assumptions'!$M19*CR$25)*CR$36)/12,IF('Operating Assumptions'!$L19="$/Unit/Month",('Operating Assumptions'!$M19*CR$25)*CR$36,IF('Operating Assumptions'!$L19="Fixed Amount",('Operating Assumptions'!$M19*CR$25)/12,IF('Operating Assumptions'!$L19="$/GSF",(('Operating Assumptions'!$M19*CR$25)*'Operating Assumptions'!$D$11)/12,IF('Operating Assumptions'!$L19="$/NSF",(('Operating Assumptions'!$M19*CR$25)*'Operating Assumptions'!$D$12)/12))))))))</f>
        <v>0</v>
      </c>
      <c r="CS91" s="427">
        <f>-IF(CS$9&lt;'Operating Assumptions'!$D$53,0,IF(CS$6&gt;'Operating Assumptions'!$AA$8,0,IF('Operating Assumptions'!$L19="N/A",0,IF('Operating Assumptions'!$L19="$/Unit/Annual",(('Operating Assumptions'!$M19*CS$25)*CS$36)/12,IF('Operating Assumptions'!$L19="$/Unit/Month",('Operating Assumptions'!$M19*CS$25)*CS$36,IF('Operating Assumptions'!$L19="Fixed Amount",('Operating Assumptions'!$M19*CS$25)/12,IF('Operating Assumptions'!$L19="$/GSF",(('Operating Assumptions'!$M19*CS$25)*'Operating Assumptions'!$D$11)/12,IF('Operating Assumptions'!$L19="$/NSF",(('Operating Assumptions'!$M19*CS$25)*'Operating Assumptions'!$D$12)/12))))))))</f>
        <v>0</v>
      </c>
      <c r="CT91" s="427">
        <f>-IF(CT$9&lt;'Operating Assumptions'!$D$53,0,IF(CT$6&gt;'Operating Assumptions'!$AA$8,0,IF('Operating Assumptions'!$L19="N/A",0,IF('Operating Assumptions'!$L19="$/Unit/Annual",(('Operating Assumptions'!$M19*CT$25)*CT$36)/12,IF('Operating Assumptions'!$L19="$/Unit/Month",('Operating Assumptions'!$M19*CT$25)*CT$36,IF('Operating Assumptions'!$L19="Fixed Amount",('Operating Assumptions'!$M19*CT$25)/12,IF('Operating Assumptions'!$L19="$/GSF",(('Operating Assumptions'!$M19*CT$25)*'Operating Assumptions'!$D$11)/12,IF('Operating Assumptions'!$L19="$/NSF",(('Operating Assumptions'!$M19*CT$25)*'Operating Assumptions'!$D$12)/12))))))))</f>
        <v>0</v>
      </c>
      <c r="CU91" s="427">
        <f>-IF(CU$9&lt;'Operating Assumptions'!$D$53,0,IF(CU$6&gt;'Operating Assumptions'!$AA$8,0,IF('Operating Assumptions'!$L19="N/A",0,IF('Operating Assumptions'!$L19="$/Unit/Annual",(('Operating Assumptions'!$M19*CU$25)*CU$36)/12,IF('Operating Assumptions'!$L19="$/Unit/Month",('Operating Assumptions'!$M19*CU$25)*CU$36,IF('Operating Assumptions'!$L19="Fixed Amount",('Operating Assumptions'!$M19*CU$25)/12,IF('Operating Assumptions'!$L19="$/GSF",(('Operating Assumptions'!$M19*CU$25)*'Operating Assumptions'!$D$11)/12,IF('Operating Assumptions'!$L19="$/NSF",(('Operating Assumptions'!$M19*CU$25)*'Operating Assumptions'!$D$12)/12))))))))</f>
        <v>0</v>
      </c>
      <c r="CV91" s="427">
        <f>-IF(CV$9&lt;'Operating Assumptions'!$D$53,0,IF(CV$6&gt;'Operating Assumptions'!$AA$8,0,IF('Operating Assumptions'!$L19="N/A",0,IF('Operating Assumptions'!$L19="$/Unit/Annual",(('Operating Assumptions'!$M19*CV$25)*CV$36)/12,IF('Operating Assumptions'!$L19="$/Unit/Month",('Operating Assumptions'!$M19*CV$25)*CV$36,IF('Operating Assumptions'!$L19="Fixed Amount",('Operating Assumptions'!$M19*CV$25)/12,IF('Operating Assumptions'!$L19="$/GSF",(('Operating Assumptions'!$M19*CV$25)*'Operating Assumptions'!$D$11)/12,IF('Operating Assumptions'!$L19="$/NSF",(('Operating Assumptions'!$M19*CV$25)*'Operating Assumptions'!$D$12)/12))))))))</f>
        <v>0</v>
      </c>
      <c r="CW91" s="427">
        <f>-IF(CW$9&lt;'Operating Assumptions'!$D$53,0,IF(CW$6&gt;'Operating Assumptions'!$AA$8,0,IF('Operating Assumptions'!$L19="N/A",0,IF('Operating Assumptions'!$L19="$/Unit/Annual",(('Operating Assumptions'!$M19*CW$25)*CW$36)/12,IF('Operating Assumptions'!$L19="$/Unit/Month",('Operating Assumptions'!$M19*CW$25)*CW$36,IF('Operating Assumptions'!$L19="Fixed Amount",('Operating Assumptions'!$M19*CW$25)/12,IF('Operating Assumptions'!$L19="$/GSF",(('Operating Assumptions'!$M19*CW$25)*'Operating Assumptions'!$D$11)/12,IF('Operating Assumptions'!$L19="$/NSF",(('Operating Assumptions'!$M19*CW$25)*'Operating Assumptions'!$D$12)/12))))))))</f>
        <v>0</v>
      </c>
      <c r="CX91" s="427">
        <f>-IF(CX$9&lt;'Operating Assumptions'!$D$53,0,IF(CX$6&gt;'Operating Assumptions'!$AA$8,0,IF('Operating Assumptions'!$L19="N/A",0,IF('Operating Assumptions'!$L19="$/Unit/Annual",(('Operating Assumptions'!$M19*CX$25)*CX$36)/12,IF('Operating Assumptions'!$L19="$/Unit/Month",('Operating Assumptions'!$M19*CX$25)*CX$36,IF('Operating Assumptions'!$L19="Fixed Amount",('Operating Assumptions'!$M19*CX$25)/12,IF('Operating Assumptions'!$L19="$/GSF",(('Operating Assumptions'!$M19*CX$25)*'Operating Assumptions'!$D$11)/12,IF('Operating Assumptions'!$L19="$/NSF",(('Operating Assumptions'!$M19*CX$25)*'Operating Assumptions'!$D$12)/12))))))))</f>
        <v>0</v>
      </c>
      <c r="CY91" s="427">
        <f>-IF(CY$9&lt;'Operating Assumptions'!$D$53,0,IF(CY$6&gt;'Operating Assumptions'!$AA$8,0,IF('Operating Assumptions'!$L19="N/A",0,IF('Operating Assumptions'!$L19="$/Unit/Annual",(('Operating Assumptions'!$M19*CY$25)*CY$36)/12,IF('Operating Assumptions'!$L19="$/Unit/Month",('Operating Assumptions'!$M19*CY$25)*CY$36,IF('Operating Assumptions'!$L19="Fixed Amount",('Operating Assumptions'!$M19*CY$25)/12,IF('Operating Assumptions'!$L19="$/GSF",(('Operating Assumptions'!$M19*CY$25)*'Operating Assumptions'!$D$11)/12,IF('Operating Assumptions'!$L19="$/NSF",(('Operating Assumptions'!$M19*CY$25)*'Operating Assumptions'!$D$12)/12))))))))</f>
        <v>0</v>
      </c>
      <c r="CZ91" s="427">
        <f>-IF(CZ$9&lt;'Operating Assumptions'!$D$53,0,IF(CZ$6&gt;'Operating Assumptions'!$AA$8,0,IF('Operating Assumptions'!$L19="N/A",0,IF('Operating Assumptions'!$L19="$/Unit/Annual",(('Operating Assumptions'!$M19*CZ$25)*CZ$36)/12,IF('Operating Assumptions'!$L19="$/Unit/Month",('Operating Assumptions'!$M19*CZ$25)*CZ$36,IF('Operating Assumptions'!$L19="Fixed Amount",('Operating Assumptions'!$M19*CZ$25)/12,IF('Operating Assumptions'!$L19="$/GSF",(('Operating Assumptions'!$M19*CZ$25)*'Operating Assumptions'!$D$11)/12,IF('Operating Assumptions'!$L19="$/NSF",(('Operating Assumptions'!$M19*CZ$25)*'Operating Assumptions'!$D$12)/12))))))))</f>
        <v>0</v>
      </c>
      <c r="DA91" s="427">
        <f>-IF(DA$9&lt;'Operating Assumptions'!$D$53,0,IF(DA$6&gt;'Operating Assumptions'!$AA$8,0,IF('Operating Assumptions'!$L19="N/A",0,IF('Operating Assumptions'!$L19="$/Unit/Annual",(('Operating Assumptions'!$M19*DA$25)*DA$36)/12,IF('Operating Assumptions'!$L19="$/Unit/Month",('Operating Assumptions'!$M19*DA$25)*DA$36,IF('Operating Assumptions'!$L19="Fixed Amount",('Operating Assumptions'!$M19*DA$25)/12,IF('Operating Assumptions'!$L19="$/GSF",(('Operating Assumptions'!$M19*DA$25)*'Operating Assumptions'!$D$11)/12,IF('Operating Assumptions'!$L19="$/NSF",(('Operating Assumptions'!$M19*DA$25)*'Operating Assumptions'!$D$12)/12))))))))</f>
        <v>0</v>
      </c>
      <c r="DB91" s="427">
        <f>-IF(DB$9&lt;'Operating Assumptions'!$D$53,0,IF(DB$6&gt;'Operating Assumptions'!$AA$8,0,IF('Operating Assumptions'!$L19="N/A",0,IF('Operating Assumptions'!$L19="$/Unit/Annual",(('Operating Assumptions'!$M19*DB$25)*DB$36)/12,IF('Operating Assumptions'!$L19="$/Unit/Month",('Operating Assumptions'!$M19*DB$25)*DB$36,IF('Operating Assumptions'!$L19="Fixed Amount",('Operating Assumptions'!$M19*DB$25)/12,IF('Operating Assumptions'!$L19="$/GSF",(('Operating Assumptions'!$M19*DB$25)*'Operating Assumptions'!$D$11)/12,IF('Operating Assumptions'!$L19="$/NSF",(('Operating Assumptions'!$M19*DB$25)*'Operating Assumptions'!$D$12)/12))))))))</f>
        <v>0</v>
      </c>
      <c r="DC91" s="427">
        <f>-IF(DC$9&lt;'Operating Assumptions'!$D$53,0,IF(DC$6&gt;'Operating Assumptions'!$AA$8,0,IF('Operating Assumptions'!$L19="N/A",0,IF('Operating Assumptions'!$L19="$/Unit/Annual",(('Operating Assumptions'!$M19*DC$25)*DC$36)/12,IF('Operating Assumptions'!$L19="$/Unit/Month",('Operating Assumptions'!$M19*DC$25)*DC$36,IF('Operating Assumptions'!$L19="Fixed Amount",('Operating Assumptions'!$M19*DC$25)/12,IF('Operating Assumptions'!$L19="$/GSF",(('Operating Assumptions'!$M19*DC$25)*'Operating Assumptions'!$D$11)/12,IF('Operating Assumptions'!$L19="$/NSF",(('Operating Assumptions'!$M19*DC$25)*'Operating Assumptions'!$D$12)/12))))))))</f>
        <v>0</v>
      </c>
      <c r="DD91" s="427">
        <f>-IF(DD$9&lt;'Operating Assumptions'!$D$53,0,IF(DD$6&gt;'Operating Assumptions'!$AA$8,0,IF('Operating Assumptions'!$L19="N/A",0,IF('Operating Assumptions'!$L19="$/Unit/Annual",(('Operating Assumptions'!$M19*DD$25)*DD$36)/12,IF('Operating Assumptions'!$L19="$/Unit/Month",('Operating Assumptions'!$M19*DD$25)*DD$36,IF('Operating Assumptions'!$L19="Fixed Amount",('Operating Assumptions'!$M19*DD$25)/12,IF('Operating Assumptions'!$L19="$/GSF",(('Operating Assumptions'!$M19*DD$25)*'Operating Assumptions'!$D$11)/12,IF('Operating Assumptions'!$L19="$/NSF",(('Operating Assumptions'!$M19*DD$25)*'Operating Assumptions'!$D$12)/12))))))))</f>
        <v>0</v>
      </c>
      <c r="DE91" s="427">
        <f>-IF(DE$9&lt;'Operating Assumptions'!$D$53,0,IF(DE$6&gt;'Operating Assumptions'!$AA$8,0,IF('Operating Assumptions'!$L19="N/A",0,IF('Operating Assumptions'!$L19="$/Unit/Annual",(('Operating Assumptions'!$M19*DE$25)*DE$36)/12,IF('Operating Assumptions'!$L19="$/Unit/Month",('Operating Assumptions'!$M19*DE$25)*DE$36,IF('Operating Assumptions'!$L19="Fixed Amount",('Operating Assumptions'!$M19*DE$25)/12,IF('Operating Assumptions'!$L19="$/GSF",(('Operating Assumptions'!$M19*DE$25)*'Operating Assumptions'!$D$11)/12,IF('Operating Assumptions'!$L19="$/NSF",(('Operating Assumptions'!$M19*DE$25)*'Operating Assumptions'!$D$12)/12))))))))</f>
        <v>0</v>
      </c>
      <c r="DF91" s="427">
        <f>-IF(DF$9&lt;'Operating Assumptions'!$D$53,0,IF(DF$6&gt;'Operating Assumptions'!$AA$8,0,IF('Operating Assumptions'!$L19="N/A",0,IF('Operating Assumptions'!$L19="$/Unit/Annual",(('Operating Assumptions'!$M19*DF$25)*DF$36)/12,IF('Operating Assumptions'!$L19="$/Unit/Month",('Operating Assumptions'!$M19*DF$25)*DF$36,IF('Operating Assumptions'!$L19="Fixed Amount",('Operating Assumptions'!$M19*DF$25)/12,IF('Operating Assumptions'!$L19="$/GSF",(('Operating Assumptions'!$M19*DF$25)*'Operating Assumptions'!$D$11)/12,IF('Operating Assumptions'!$L19="$/NSF",(('Operating Assumptions'!$M19*DF$25)*'Operating Assumptions'!$D$12)/12))))))))</f>
        <v>0</v>
      </c>
      <c r="DG91" s="427">
        <f>-IF(DG$9&lt;'Operating Assumptions'!$D$53,0,IF(DG$6&gt;'Operating Assumptions'!$AA$8,0,IF('Operating Assumptions'!$L19="N/A",0,IF('Operating Assumptions'!$L19="$/Unit/Annual",(('Operating Assumptions'!$M19*DG$25)*DG$36)/12,IF('Operating Assumptions'!$L19="$/Unit/Month",('Operating Assumptions'!$M19*DG$25)*DG$36,IF('Operating Assumptions'!$L19="Fixed Amount",('Operating Assumptions'!$M19*DG$25)/12,IF('Operating Assumptions'!$L19="$/GSF",(('Operating Assumptions'!$M19*DG$25)*'Operating Assumptions'!$D$11)/12,IF('Operating Assumptions'!$L19="$/NSF",(('Operating Assumptions'!$M19*DG$25)*'Operating Assumptions'!$D$12)/12))))))))</f>
        <v>0</v>
      </c>
      <c r="DH91" s="427">
        <f>-IF(DH$9&lt;'Operating Assumptions'!$D$53,0,IF(DH$6&gt;'Operating Assumptions'!$AA$8,0,IF('Operating Assumptions'!$L19="N/A",0,IF('Operating Assumptions'!$L19="$/Unit/Annual",(('Operating Assumptions'!$M19*DH$25)*DH$36)/12,IF('Operating Assumptions'!$L19="$/Unit/Month",('Operating Assumptions'!$M19*DH$25)*DH$36,IF('Operating Assumptions'!$L19="Fixed Amount",('Operating Assumptions'!$M19*DH$25)/12,IF('Operating Assumptions'!$L19="$/GSF",(('Operating Assumptions'!$M19*DH$25)*'Operating Assumptions'!$D$11)/12,IF('Operating Assumptions'!$L19="$/NSF",(('Operating Assumptions'!$M19*DH$25)*'Operating Assumptions'!$D$12)/12))))))))</f>
        <v>0</v>
      </c>
      <c r="DI91" s="427">
        <f>-IF(DI$9&lt;'Operating Assumptions'!$D$53,0,IF(DI$6&gt;'Operating Assumptions'!$AA$8,0,IF('Operating Assumptions'!$L19="N/A",0,IF('Operating Assumptions'!$L19="$/Unit/Annual",(('Operating Assumptions'!$M19*DI$25)*DI$36)/12,IF('Operating Assumptions'!$L19="$/Unit/Month",('Operating Assumptions'!$M19*DI$25)*DI$36,IF('Operating Assumptions'!$L19="Fixed Amount",('Operating Assumptions'!$M19*DI$25)/12,IF('Operating Assumptions'!$L19="$/GSF",(('Operating Assumptions'!$M19*DI$25)*'Operating Assumptions'!$D$11)/12,IF('Operating Assumptions'!$L19="$/NSF",(('Operating Assumptions'!$M19*DI$25)*'Operating Assumptions'!$D$12)/12))))))))</f>
        <v>0</v>
      </c>
      <c r="DJ91" s="427">
        <f>-IF(DJ$9&lt;'Operating Assumptions'!$D$53,0,IF(DJ$6&gt;'Operating Assumptions'!$AA$8,0,IF('Operating Assumptions'!$L19="N/A",0,IF('Operating Assumptions'!$L19="$/Unit/Annual",(('Operating Assumptions'!$M19*DJ$25)*DJ$36)/12,IF('Operating Assumptions'!$L19="$/Unit/Month",('Operating Assumptions'!$M19*DJ$25)*DJ$36,IF('Operating Assumptions'!$L19="Fixed Amount",('Operating Assumptions'!$M19*DJ$25)/12,IF('Operating Assumptions'!$L19="$/GSF",(('Operating Assumptions'!$M19*DJ$25)*'Operating Assumptions'!$D$11)/12,IF('Operating Assumptions'!$L19="$/NSF",(('Operating Assumptions'!$M19*DJ$25)*'Operating Assumptions'!$D$12)/12))))))))</f>
        <v>0</v>
      </c>
      <c r="DK91" s="427">
        <f>-IF(DK$9&lt;'Operating Assumptions'!$D$53,0,IF(DK$6&gt;'Operating Assumptions'!$AA$8,0,IF('Operating Assumptions'!$L19="N/A",0,IF('Operating Assumptions'!$L19="$/Unit/Annual",(('Operating Assumptions'!$M19*DK$25)*DK$36)/12,IF('Operating Assumptions'!$L19="$/Unit/Month",('Operating Assumptions'!$M19*DK$25)*DK$36,IF('Operating Assumptions'!$L19="Fixed Amount",('Operating Assumptions'!$M19*DK$25)/12,IF('Operating Assumptions'!$L19="$/GSF",(('Operating Assumptions'!$M19*DK$25)*'Operating Assumptions'!$D$11)/12,IF('Operating Assumptions'!$L19="$/NSF",(('Operating Assumptions'!$M19*DK$25)*'Operating Assumptions'!$D$12)/12))))))))</f>
        <v>0</v>
      </c>
      <c r="DL91" s="427">
        <f>-IF(DL$9&lt;'Operating Assumptions'!$D$53,0,IF(DL$6&gt;'Operating Assumptions'!$AA$8,0,IF('Operating Assumptions'!$L19="N/A",0,IF('Operating Assumptions'!$L19="$/Unit/Annual",(('Operating Assumptions'!$M19*DL$25)*DL$36)/12,IF('Operating Assumptions'!$L19="$/Unit/Month",('Operating Assumptions'!$M19*DL$25)*DL$36,IF('Operating Assumptions'!$L19="Fixed Amount",('Operating Assumptions'!$M19*DL$25)/12,IF('Operating Assumptions'!$L19="$/GSF",(('Operating Assumptions'!$M19*DL$25)*'Operating Assumptions'!$D$11)/12,IF('Operating Assumptions'!$L19="$/NSF",(('Operating Assumptions'!$M19*DL$25)*'Operating Assumptions'!$D$12)/12))))))))</f>
        <v>0</v>
      </c>
      <c r="DM91" s="427">
        <f>-IF(DM$9&lt;'Operating Assumptions'!$D$53,0,IF(DM$6&gt;'Operating Assumptions'!$AA$8,0,IF('Operating Assumptions'!$L19="N/A",0,IF('Operating Assumptions'!$L19="$/Unit/Annual",(('Operating Assumptions'!$M19*DM$25)*DM$36)/12,IF('Operating Assumptions'!$L19="$/Unit/Month",('Operating Assumptions'!$M19*DM$25)*DM$36,IF('Operating Assumptions'!$L19="Fixed Amount",('Operating Assumptions'!$M19*DM$25)/12,IF('Operating Assumptions'!$L19="$/GSF",(('Operating Assumptions'!$M19*DM$25)*'Operating Assumptions'!$D$11)/12,IF('Operating Assumptions'!$L19="$/NSF",(('Operating Assumptions'!$M19*DM$25)*'Operating Assumptions'!$D$12)/12))))))))</f>
        <v>0</v>
      </c>
      <c r="DN91" s="427">
        <f>-IF(DN$9&lt;'Operating Assumptions'!$D$53,0,IF(DN$6&gt;'Operating Assumptions'!$AA$8,0,IF('Operating Assumptions'!$L19="N/A",0,IF('Operating Assumptions'!$L19="$/Unit/Annual",(('Operating Assumptions'!$M19*DN$25)*DN$36)/12,IF('Operating Assumptions'!$L19="$/Unit/Month",('Operating Assumptions'!$M19*DN$25)*DN$36,IF('Operating Assumptions'!$L19="Fixed Amount",('Operating Assumptions'!$M19*DN$25)/12,IF('Operating Assumptions'!$L19="$/GSF",(('Operating Assumptions'!$M19*DN$25)*'Operating Assumptions'!$D$11)/12,IF('Operating Assumptions'!$L19="$/NSF",(('Operating Assumptions'!$M19*DN$25)*'Operating Assumptions'!$D$12)/12))))))))</f>
        <v>0</v>
      </c>
      <c r="DO91" s="427">
        <f>-IF(DO$9&lt;'Operating Assumptions'!$D$53,0,IF(DO$6&gt;'Operating Assumptions'!$AA$8,0,IF('Operating Assumptions'!$L19="N/A",0,IF('Operating Assumptions'!$L19="$/Unit/Annual",(('Operating Assumptions'!$M19*DO$25)*DO$36)/12,IF('Operating Assumptions'!$L19="$/Unit/Month",('Operating Assumptions'!$M19*DO$25)*DO$36,IF('Operating Assumptions'!$L19="Fixed Amount",('Operating Assumptions'!$M19*DO$25)/12,IF('Operating Assumptions'!$L19="$/GSF",(('Operating Assumptions'!$M19*DO$25)*'Operating Assumptions'!$D$11)/12,IF('Operating Assumptions'!$L19="$/NSF",(('Operating Assumptions'!$M19*DO$25)*'Operating Assumptions'!$D$12)/12))))))))</f>
        <v>0</v>
      </c>
      <c r="DP91" s="427">
        <f>-IF(DP$9&lt;'Operating Assumptions'!$D$53,0,IF(DP$6&gt;'Operating Assumptions'!$AA$8,0,IF('Operating Assumptions'!$L19="N/A",0,IF('Operating Assumptions'!$L19="$/Unit/Annual",(('Operating Assumptions'!$M19*DP$25)*DP$36)/12,IF('Operating Assumptions'!$L19="$/Unit/Month",('Operating Assumptions'!$M19*DP$25)*DP$36,IF('Operating Assumptions'!$L19="Fixed Amount",('Operating Assumptions'!$M19*DP$25)/12,IF('Operating Assumptions'!$L19="$/GSF",(('Operating Assumptions'!$M19*DP$25)*'Operating Assumptions'!$D$11)/12,IF('Operating Assumptions'!$L19="$/NSF",(('Operating Assumptions'!$M19*DP$25)*'Operating Assumptions'!$D$12)/12))))))))</f>
        <v>0</v>
      </c>
      <c r="DQ91" s="427">
        <f>-IF(DQ$9&lt;'Operating Assumptions'!$D$53,0,IF(DQ$6&gt;'Operating Assumptions'!$AA$8,0,IF('Operating Assumptions'!$L19="N/A",0,IF('Operating Assumptions'!$L19="$/Unit/Annual",(('Operating Assumptions'!$M19*DQ$25)*DQ$36)/12,IF('Operating Assumptions'!$L19="$/Unit/Month",('Operating Assumptions'!$M19*DQ$25)*DQ$36,IF('Operating Assumptions'!$L19="Fixed Amount",('Operating Assumptions'!$M19*DQ$25)/12,IF('Operating Assumptions'!$L19="$/GSF",(('Operating Assumptions'!$M19*DQ$25)*'Operating Assumptions'!$D$11)/12,IF('Operating Assumptions'!$L19="$/NSF",(('Operating Assumptions'!$M19*DQ$25)*'Operating Assumptions'!$D$12)/12))))))))</f>
        <v>0</v>
      </c>
      <c r="DR91" s="427">
        <f>-IF(DR$9&lt;'Operating Assumptions'!$D$53,0,IF(DR$6&gt;'Operating Assumptions'!$AA$8,0,IF('Operating Assumptions'!$L19="N/A",0,IF('Operating Assumptions'!$L19="$/Unit/Annual",(('Operating Assumptions'!$M19*DR$25)*DR$36)/12,IF('Operating Assumptions'!$L19="$/Unit/Month",('Operating Assumptions'!$M19*DR$25)*DR$36,IF('Operating Assumptions'!$L19="Fixed Amount",('Operating Assumptions'!$M19*DR$25)/12,IF('Operating Assumptions'!$L19="$/GSF",(('Operating Assumptions'!$M19*DR$25)*'Operating Assumptions'!$D$11)/12,IF('Operating Assumptions'!$L19="$/NSF",(('Operating Assumptions'!$M19*DR$25)*'Operating Assumptions'!$D$12)/12))))))))</f>
        <v>0</v>
      </c>
      <c r="DS91" s="427">
        <f>-IF(DS$9&lt;'Operating Assumptions'!$D$53,0,IF(DS$6&gt;'Operating Assumptions'!$AA$8,0,IF('Operating Assumptions'!$L19="N/A",0,IF('Operating Assumptions'!$L19="$/Unit/Annual",(('Operating Assumptions'!$M19*DS$25)*DS$36)/12,IF('Operating Assumptions'!$L19="$/Unit/Month",('Operating Assumptions'!$M19*DS$25)*DS$36,IF('Operating Assumptions'!$L19="Fixed Amount",('Operating Assumptions'!$M19*DS$25)/12,IF('Operating Assumptions'!$L19="$/GSF",(('Operating Assumptions'!$M19*DS$25)*'Operating Assumptions'!$D$11)/12,IF('Operating Assumptions'!$L19="$/NSF",(('Operating Assumptions'!$M19*DS$25)*'Operating Assumptions'!$D$12)/12))))))))</f>
        <v>0</v>
      </c>
      <c r="DT91" s="427">
        <f>-IF(DT$9&lt;'Operating Assumptions'!$D$53,0,IF(DT$6&gt;'Operating Assumptions'!$AA$8,0,IF('Operating Assumptions'!$L19="N/A",0,IF('Operating Assumptions'!$L19="$/Unit/Annual",(('Operating Assumptions'!$M19*DT$25)*DT$36)/12,IF('Operating Assumptions'!$L19="$/Unit/Month",('Operating Assumptions'!$M19*DT$25)*DT$36,IF('Operating Assumptions'!$L19="Fixed Amount",('Operating Assumptions'!$M19*DT$25)/12,IF('Operating Assumptions'!$L19="$/GSF",(('Operating Assumptions'!$M19*DT$25)*'Operating Assumptions'!$D$11)/12,IF('Operating Assumptions'!$L19="$/NSF",(('Operating Assumptions'!$M19*DT$25)*'Operating Assumptions'!$D$12)/12))))))))</f>
        <v>0</v>
      </c>
      <c r="DU91" s="427">
        <f>-IF(DU$9&lt;'Operating Assumptions'!$D$53,0,IF(DU$6&gt;'Operating Assumptions'!$AA$8,0,IF('Operating Assumptions'!$L19="N/A",0,IF('Operating Assumptions'!$L19="$/Unit/Annual",(('Operating Assumptions'!$M19*DU$25)*DU$36)/12,IF('Operating Assumptions'!$L19="$/Unit/Month",('Operating Assumptions'!$M19*DU$25)*DU$36,IF('Operating Assumptions'!$L19="Fixed Amount",('Operating Assumptions'!$M19*DU$25)/12,IF('Operating Assumptions'!$L19="$/GSF",(('Operating Assumptions'!$M19*DU$25)*'Operating Assumptions'!$D$11)/12,IF('Operating Assumptions'!$L19="$/NSF",(('Operating Assumptions'!$M19*DU$25)*'Operating Assumptions'!$D$12)/12))))))))</f>
        <v>0</v>
      </c>
      <c r="DV91" s="427">
        <f>-IF(DV$9&lt;'Operating Assumptions'!$D$53,0,IF(DV$6&gt;'Operating Assumptions'!$AA$8,0,IF('Operating Assumptions'!$L19="N/A",0,IF('Operating Assumptions'!$L19="$/Unit/Annual",(('Operating Assumptions'!$M19*DV$25)*DV$36)/12,IF('Operating Assumptions'!$L19="$/Unit/Month",('Operating Assumptions'!$M19*DV$25)*DV$36,IF('Operating Assumptions'!$L19="Fixed Amount",('Operating Assumptions'!$M19*DV$25)/12,IF('Operating Assumptions'!$L19="$/GSF",(('Operating Assumptions'!$M19*DV$25)*'Operating Assumptions'!$D$11)/12,IF('Operating Assumptions'!$L19="$/NSF",(('Operating Assumptions'!$M19*DV$25)*'Operating Assumptions'!$D$12)/12))))))))</f>
        <v>0</v>
      </c>
      <c r="DW91" s="427">
        <f>-IF(DW$9&lt;'Operating Assumptions'!$D$53,0,IF(DW$6&gt;'Operating Assumptions'!$AA$8,0,IF('Operating Assumptions'!$L19="N/A",0,IF('Operating Assumptions'!$L19="$/Unit/Annual",(('Operating Assumptions'!$M19*DW$25)*DW$36)/12,IF('Operating Assumptions'!$L19="$/Unit/Month",('Operating Assumptions'!$M19*DW$25)*DW$36,IF('Operating Assumptions'!$L19="Fixed Amount",('Operating Assumptions'!$M19*DW$25)/12,IF('Operating Assumptions'!$L19="$/GSF",(('Operating Assumptions'!$M19*DW$25)*'Operating Assumptions'!$D$11)/12,IF('Operating Assumptions'!$L19="$/NSF",(('Operating Assumptions'!$M19*DW$25)*'Operating Assumptions'!$D$12)/12))))))))</f>
        <v>0</v>
      </c>
      <c r="DX91" s="427">
        <f>-IF(DX$9&lt;'Operating Assumptions'!$D$53,0,IF(DX$6&gt;'Operating Assumptions'!$AA$8,0,IF('Operating Assumptions'!$L19="N/A",0,IF('Operating Assumptions'!$L19="$/Unit/Annual",(('Operating Assumptions'!$M19*DX$25)*DX$36)/12,IF('Operating Assumptions'!$L19="$/Unit/Month",('Operating Assumptions'!$M19*DX$25)*DX$36,IF('Operating Assumptions'!$L19="Fixed Amount",('Operating Assumptions'!$M19*DX$25)/12,IF('Operating Assumptions'!$L19="$/GSF",(('Operating Assumptions'!$M19*DX$25)*'Operating Assumptions'!$D$11)/12,IF('Operating Assumptions'!$L19="$/NSF",(('Operating Assumptions'!$M19*DX$25)*'Operating Assumptions'!$D$12)/12))))))))</f>
        <v>0</v>
      </c>
      <c r="DY91" s="427">
        <f>-IF(DY$9&lt;'Operating Assumptions'!$D$53,0,IF(DY$6&gt;'Operating Assumptions'!$AA$8,0,IF('Operating Assumptions'!$L19="N/A",0,IF('Operating Assumptions'!$L19="$/Unit/Annual",(('Operating Assumptions'!$M19*DY$25)*DY$36)/12,IF('Operating Assumptions'!$L19="$/Unit/Month",('Operating Assumptions'!$M19*DY$25)*DY$36,IF('Operating Assumptions'!$L19="Fixed Amount",('Operating Assumptions'!$M19*DY$25)/12,IF('Operating Assumptions'!$L19="$/GSF",(('Operating Assumptions'!$M19*DY$25)*'Operating Assumptions'!$D$11)/12,IF('Operating Assumptions'!$L19="$/NSF",(('Operating Assumptions'!$M19*DY$25)*'Operating Assumptions'!$D$12)/12))))))))</f>
        <v>0</v>
      </c>
      <c r="DZ91" s="427">
        <f>-IF(DZ$9&lt;'Operating Assumptions'!$D$53,0,IF(DZ$6&gt;'Operating Assumptions'!$AA$8,0,IF('Operating Assumptions'!$L19="N/A",0,IF('Operating Assumptions'!$L19="$/Unit/Annual",(('Operating Assumptions'!$M19*DZ$25)*DZ$36)/12,IF('Operating Assumptions'!$L19="$/Unit/Month",('Operating Assumptions'!$M19*DZ$25)*DZ$36,IF('Operating Assumptions'!$L19="Fixed Amount",('Operating Assumptions'!$M19*DZ$25)/12,IF('Operating Assumptions'!$L19="$/GSF",(('Operating Assumptions'!$M19*DZ$25)*'Operating Assumptions'!$D$11)/12,IF('Operating Assumptions'!$L19="$/NSF",(('Operating Assumptions'!$M19*DZ$25)*'Operating Assumptions'!$D$12)/12))))))))</f>
        <v>0</v>
      </c>
      <c r="EA91" s="427">
        <f>-IF(EA$9&lt;'Operating Assumptions'!$D$53,0,IF(EA$6&gt;'Operating Assumptions'!$AA$8,0,IF('Operating Assumptions'!$L19="N/A",0,IF('Operating Assumptions'!$L19="$/Unit/Annual",(('Operating Assumptions'!$M19*EA$25)*EA$36)/12,IF('Operating Assumptions'!$L19="$/Unit/Month",('Operating Assumptions'!$M19*EA$25)*EA$36,IF('Operating Assumptions'!$L19="Fixed Amount",('Operating Assumptions'!$M19*EA$25)/12,IF('Operating Assumptions'!$L19="$/GSF",(('Operating Assumptions'!$M19*EA$25)*'Operating Assumptions'!$D$11)/12,IF('Operating Assumptions'!$L19="$/NSF",(('Operating Assumptions'!$M19*EA$25)*'Operating Assumptions'!$D$12)/12))))))))</f>
        <v>0</v>
      </c>
      <c r="EB91" s="427">
        <f>-IF(EB$9&lt;'Operating Assumptions'!$D$53,0,IF(EB$6&gt;'Operating Assumptions'!$AA$8,0,IF('Operating Assumptions'!$L19="N/A",0,IF('Operating Assumptions'!$L19="$/Unit/Annual",(('Operating Assumptions'!$M19*EB$25)*EB$36)/12,IF('Operating Assumptions'!$L19="$/Unit/Month",('Operating Assumptions'!$M19*EB$25)*EB$36,IF('Operating Assumptions'!$L19="Fixed Amount",('Operating Assumptions'!$M19*EB$25)/12,IF('Operating Assumptions'!$L19="$/GSF",(('Operating Assumptions'!$M19*EB$25)*'Operating Assumptions'!$D$11)/12,IF('Operating Assumptions'!$L19="$/NSF",(('Operating Assumptions'!$M19*EB$25)*'Operating Assumptions'!$D$12)/12))))))))</f>
        <v>0</v>
      </c>
      <c r="EC91" s="427">
        <f>-IF(EC$9&lt;'Operating Assumptions'!$D$53,0,IF(EC$6&gt;'Operating Assumptions'!$AA$8,0,IF('Operating Assumptions'!$L19="N/A",0,IF('Operating Assumptions'!$L19="$/Unit/Annual",(('Operating Assumptions'!$M19*EC$25)*EC$36)/12,IF('Operating Assumptions'!$L19="$/Unit/Month",('Operating Assumptions'!$M19*EC$25)*EC$36,IF('Operating Assumptions'!$L19="Fixed Amount",('Operating Assumptions'!$M19*EC$25)/12,IF('Operating Assumptions'!$L19="$/GSF",(('Operating Assumptions'!$M19*EC$25)*'Operating Assumptions'!$D$11)/12,IF('Operating Assumptions'!$L19="$/NSF",(('Operating Assumptions'!$M19*EC$25)*'Operating Assumptions'!$D$12)/12))))))))</f>
        <v>0</v>
      </c>
      <c r="ED91" s="427">
        <f>-IF(ED$9&lt;'Operating Assumptions'!$D$53,0,IF(ED$6&gt;'Operating Assumptions'!$AA$8,0,IF('Operating Assumptions'!$L19="N/A",0,IF('Operating Assumptions'!$L19="$/Unit/Annual",(('Operating Assumptions'!$M19*ED$25)*ED$36)/12,IF('Operating Assumptions'!$L19="$/Unit/Month",('Operating Assumptions'!$M19*ED$25)*ED$36,IF('Operating Assumptions'!$L19="Fixed Amount",('Operating Assumptions'!$M19*ED$25)/12,IF('Operating Assumptions'!$L19="$/GSF",(('Operating Assumptions'!$M19*ED$25)*'Operating Assumptions'!$D$11)/12,IF('Operating Assumptions'!$L19="$/NSF",(('Operating Assumptions'!$M19*ED$25)*'Operating Assumptions'!$D$12)/12))))))))</f>
        <v>0</v>
      </c>
      <c r="EE91" s="427">
        <f>-IF(EE$9&lt;'Operating Assumptions'!$D$53,0,IF(EE$6&gt;'Operating Assumptions'!$AA$8,0,IF('Operating Assumptions'!$L19="N/A",0,IF('Operating Assumptions'!$L19="$/Unit/Annual",(('Operating Assumptions'!$M19*EE$25)*EE$36)/12,IF('Operating Assumptions'!$L19="$/Unit/Month",('Operating Assumptions'!$M19*EE$25)*EE$36,IF('Operating Assumptions'!$L19="Fixed Amount",('Operating Assumptions'!$M19*EE$25)/12,IF('Operating Assumptions'!$L19="$/GSF",(('Operating Assumptions'!$M19*EE$25)*'Operating Assumptions'!$D$11)/12,IF('Operating Assumptions'!$L19="$/NSF",(('Operating Assumptions'!$M19*EE$25)*'Operating Assumptions'!$D$12)/12))))))))</f>
        <v>0</v>
      </c>
      <c r="EF91" s="427">
        <f>-IF(EF$9&lt;'Operating Assumptions'!$D$53,0,IF(EF$6&gt;'Operating Assumptions'!$AA$8,0,IF('Operating Assumptions'!$L19="N/A",0,IF('Operating Assumptions'!$L19="$/Unit/Annual",(('Operating Assumptions'!$M19*EF$25)*EF$36)/12,IF('Operating Assumptions'!$L19="$/Unit/Month",('Operating Assumptions'!$M19*EF$25)*EF$36,IF('Operating Assumptions'!$L19="Fixed Amount",('Operating Assumptions'!$M19*EF$25)/12,IF('Operating Assumptions'!$L19="$/GSF",(('Operating Assumptions'!$M19*EF$25)*'Operating Assumptions'!$D$11)/12,IF('Operating Assumptions'!$L19="$/NSF",(('Operating Assumptions'!$M19*EF$25)*'Operating Assumptions'!$D$12)/12))))))))</f>
        <v>0</v>
      </c>
      <c r="EG91" s="427">
        <f>-IF(EG$9&lt;'Operating Assumptions'!$D$53,0,IF(EG$6&gt;'Operating Assumptions'!$AA$8,0,IF('Operating Assumptions'!$L19="N/A",0,IF('Operating Assumptions'!$L19="$/Unit/Annual",(('Operating Assumptions'!$M19*EG$25)*EG$36)/12,IF('Operating Assumptions'!$L19="$/Unit/Month",('Operating Assumptions'!$M19*EG$25)*EG$36,IF('Operating Assumptions'!$L19="Fixed Amount",('Operating Assumptions'!$M19*EG$25)/12,IF('Operating Assumptions'!$L19="$/GSF",(('Operating Assumptions'!$M19*EG$25)*'Operating Assumptions'!$D$11)/12,IF('Operating Assumptions'!$L19="$/NSF",(('Operating Assumptions'!$M19*EG$25)*'Operating Assumptions'!$D$12)/12))))))))</f>
        <v>0</v>
      </c>
      <c r="EH91" s="427">
        <f>-IF(EH$9&lt;'Operating Assumptions'!$D$53,0,IF(EH$6&gt;'Operating Assumptions'!$AA$8,0,IF('Operating Assumptions'!$L19="N/A",0,IF('Operating Assumptions'!$L19="$/Unit/Annual",(('Operating Assumptions'!$M19*EH$25)*EH$36)/12,IF('Operating Assumptions'!$L19="$/Unit/Month",('Operating Assumptions'!$M19*EH$25)*EH$36,IF('Operating Assumptions'!$L19="Fixed Amount",('Operating Assumptions'!$M19*EH$25)/12,IF('Operating Assumptions'!$L19="$/GSF",(('Operating Assumptions'!$M19*EH$25)*'Operating Assumptions'!$D$11)/12,IF('Operating Assumptions'!$L19="$/NSF",(('Operating Assumptions'!$M19*EH$25)*'Operating Assumptions'!$D$12)/12))))))))</f>
        <v>0</v>
      </c>
      <c r="EI91" s="427">
        <f>-IF(EI$9&lt;'Operating Assumptions'!$D$53,0,IF(EI$6&gt;'Operating Assumptions'!$AA$8,0,IF('Operating Assumptions'!$L19="N/A",0,IF('Operating Assumptions'!$L19="$/Unit/Annual",(('Operating Assumptions'!$M19*EI$25)*EI$36)/12,IF('Operating Assumptions'!$L19="$/Unit/Month",('Operating Assumptions'!$M19*EI$25)*EI$36,IF('Operating Assumptions'!$L19="Fixed Amount",('Operating Assumptions'!$M19*EI$25)/12,IF('Operating Assumptions'!$L19="$/GSF",(('Operating Assumptions'!$M19*EI$25)*'Operating Assumptions'!$D$11)/12,IF('Operating Assumptions'!$L19="$/NSF",(('Operating Assumptions'!$M19*EI$25)*'Operating Assumptions'!$D$12)/12))))))))</f>
        <v>0</v>
      </c>
      <c r="EJ91" s="427">
        <f>-IF(EJ$9&lt;'Operating Assumptions'!$D$53,0,IF(EJ$6&gt;'Operating Assumptions'!$AA$8,0,IF('Operating Assumptions'!$L19="N/A",0,IF('Operating Assumptions'!$L19="$/Unit/Annual",(('Operating Assumptions'!$M19*EJ$25)*EJ$36)/12,IF('Operating Assumptions'!$L19="$/Unit/Month",('Operating Assumptions'!$M19*EJ$25)*EJ$36,IF('Operating Assumptions'!$L19="Fixed Amount",('Operating Assumptions'!$M19*EJ$25)/12,IF('Operating Assumptions'!$L19="$/GSF",(('Operating Assumptions'!$M19*EJ$25)*'Operating Assumptions'!$D$11)/12,IF('Operating Assumptions'!$L19="$/NSF",(('Operating Assumptions'!$M19*EJ$25)*'Operating Assumptions'!$D$12)/12))))))))</f>
        <v>0</v>
      </c>
      <c r="EK91" s="427">
        <f>-IF(EK$9&lt;'Operating Assumptions'!$D$53,0,IF(EK$6&gt;'Operating Assumptions'!$AA$8,0,IF('Operating Assumptions'!$L19="N/A",0,IF('Operating Assumptions'!$L19="$/Unit/Annual",(('Operating Assumptions'!$M19*EK$25)*EK$36)/12,IF('Operating Assumptions'!$L19="$/Unit/Month",('Operating Assumptions'!$M19*EK$25)*EK$36,IF('Operating Assumptions'!$L19="Fixed Amount",('Operating Assumptions'!$M19*EK$25)/12,IF('Operating Assumptions'!$L19="$/GSF",(('Operating Assumptions'!$M19*EK$25)*'Operating Assumptions'!$D$11)/12,IF('Operating Assumptions'!$L19="$/NSF",(('Operating Assumptions'!$M19*EK$25)*'Operating Assumptions'!$D$12)/12))))))))</f>
        <v>0</v>
      </c>
      <c r="EL91" s="427">
        <f>-IF(EL$9&lt;'Operating Assumptions'!$D$53,0,IF(EL$6&gt;'Operating Assumptions'!$AA$8,0,IF('Operating Assumptions'!$L19="N/A",0,IF('Operating Assumptions'!$L19="$/Unit/Annual",(('Operating Assumptions'!$M19*EL$25)*EL$36)/12,IF('Operating Assumptions'!$L19="$/Unit/Month",('Operating Assumptions'!$M19*EL$25)*EL$36,IF('Operating Assumptions'!$L19="Fixed Amount",('Operating Assumptions'!$M19*EL$25)/12,IF('Operating Assumptions'!$L19="$/GSF",(('Operating Assumptions'!$M19*EL$25)*'Operating Assumptions'!$D$11)/12,IF('Operating Assumptions'!$L19="$/NSF",(('Operating Assumptions'!$M19*EL$25)*'Operating Assumptions'!$D$12)/12))))))))</f>
        <v>0</v>
      </c>
      <c r="EM91" s="427">
        <f>-IF(EM$9&lt;'Operating Assumptions'!$D$53,0,IF(EM$6&gt;'Operating Assumptions'!$AA$8,0,IF('Operating Assumptions'!$L19="N/A",0,IF('Operating Assumptions'!$L19="$/Unit/Annual",(('Operating Assumptions'!$M19*EM$25)*EM$36)/12,IF('Operating Assumptions'!$L19="$/Unit/Month",('Operating Assumptions'!$M19*EM$25)*EM$36,IF('Operating Assumptions'!$L19="Fixed Amount",('Operating Assumptions'!$M19*EM$25)/12,IF('Operating Assumptions'!$L19="$/GSF",(('Operating Assumptions'!$M19*EM$25)*'Operating Assumptions'!$D$11)/12,IF('Operating Assumptions'!$L19="$/NSF",(('Operating Assumptions'!$M19*EM$25)*'Operating Assumptions'!$D$12)/12))))))))</f>
        <v>0</v>
      </c>
      <c r="EN91" s="427">
        <f>-IF(EN$9&lt;'Operating Assumptions'!$D$53,0,IF(EN$6&gt;'Operating Assumptions'!$AA$8,0,IF('Operating Assumptions'!$L19="N/A",0,IF('Operating Assumptions'!$L19="$/Unit/Annual",(('Operating Assumptions'!$M19*EN$25)*EN$36)/12,IF('Operating Assumptions'!$L19="$/Unit/Month",('Operating Assumptions'!$M19*EN$25)*EN$36,IF('Operating Assumptions'!$L19="Fixed Amount",('Operating Assumptions'!$M19*EN$25)/12,IF('Operating Assumptions'!$L19="$/GSF",(('Operating Assumptions'!$M19*EN$25)*'Operating Assumptions'!$D$11)/12,IF('Operating Assumptions'!$L19="$/NSF",(('Operating Assumptions'!$M19*EN$25)*'Operating Assumptions'!$D$12)/12))))))))</f>
        <v>0</v>
      </c>
      <c r="EO91" s="427">
        <f>-IF(EO$9&lt;'Operating Assumptions'!$D$53,0,IF(EO$6&gt;'Operating Assumptions'!$AA$8,0,IF('Operating Assumptions'!$L19="N/A",0,IF('Operating Assumptions'!$L19="$/Unit/Annual",(('Operating Assumptions'!$M19*EO$25)*EO$36)/12,IF('Operating Assumptions'!$L19="$/Unit/Month",('Operating Assumptions'!$M19*EO$25)*EO$36,IF('Operating Assumptions'!$L19="Fixed Amount",('Operating Assumptions'!$M19*EO$25)/12,IF('Operating Assumptions'!$L19="$/GSF",(('Operating Assumptions'!$M19*EO$25)*'Operating Assumptions'!$D$11)/12,IF('Operating Assumptions'!$L19="$/NSF",(('Operating Assumptions'!$M19*EO$25)*'Operating Assumptions'!$D$12)/12))))))))</f>
        <v>0</v>
      </c>
      <c r="EP91" s="427">
        <f>-IF(EP$9&lt;'Operating Assumptions'!$D$53,0,IF(EP$6&gt;'Operating Assumptions'!$AA$8,0,IF('Operating Assumptions'!$L19="N/A",0,IF('Operating Assumptions'!$L19="$/Unit/Annual",(('Operating Assumptions'!$M19*EP$25)*EP$36)/12,IF('Operating Assumptions'!$L19="$/Unit/Month",('Operating Assumptions'!$M19*EP$25)*EP$36,IF('Operating Assumptions'!$L19="Fixed Amount",('Operating Assumptions'!$M19*EP$25)/12,IF('Operating Assumptions'!$L19="$/GSF",(('Operating Assumptions'!$M19*EP$25)*'Operating Assumptions'!$D$11)/12,IF('Operating Assumptions'!$L19="$/NSF",(('Operating Assumptions'!$M19*EP$25)*'Operating Assumptions'!$D$12)/12))))))))</f>
        <v>0</v>
      </c>
      <c r="EQ91" s="427">
        <f>-IF(EQ$9&lt;'Operating Assumptions'!$D$53,0,IF(EQ$6&gt;'Operating Assumptions'!$AA$8,0,IF('Operating Assumptions'!$L19="N/A",0,IF('Operating Assumptions'!$L19="$/Unit/Annual",(('Operating Assumptions'!$M19*EQ$25)*EQ$36)/12,IF('Operating Assumptions'!$L19="$/Unit/Month",('Operating Assumptions'!$M19*EQ$25)*EQ$36,IF('Operating Assumptions'!$L19="Fixed Amount",('Operating Assumptions'!$M19*EQ$25)/12,IF('Operating Assumptions'!$L19="$/GSF",(('Operating Assumptions'!$M19*EQ$25)*'Operating Assumptions'!$D$11)/12,IF('Operating Assumptions'!$L19="$/NSF",(('Operating Assumptions'!$M19*EQ$25)*'Operating Assumptions'!$D$12)/12))))))))</f>
        <v>0</v>
      </c>
      <c r="ER91" s="427">
        <f>-IF(ER$9&lt;'Operating Assumptions'!$D$53,0,IF(ER$6&gt;'Operating Assumptions'!$AA$8,0,IF('Operating Assumptions'!$L19="N/A",0,IF('Operating Assumptions'!$L19="$/Unit/Annual",(('Operating Assumptions'!$M19*ER$25)*ER$36)/12,IF('Operating Assumptions'!$L19="$/Unit/Month",('Operating Assumptions'!$M19*ER$25)*ER$36,IF('Operating Assumptions'!$L19="Fixed Amount",('Operating Assumptions'!$M19*ER$25)/12,IF('Operating Assumptions'!$L19="$/GSF",(('Operating Assumptions'!$M19*ER$25)*'Operating Assumptions'!$D$11)/12,IF('Operating Assumptions'!$L19="$/NSF",(('Operating Assumptions'!$M19*ER$25)*'Operating Assumptions'!$D$12)/12))))))))</f>
        <v>0</v>
      </c>
      <c r="ES91" s="427">
        <f>-IF(ES$9&lt;'Operating Assumptions'!$D$53,0,IF(ES$6&gt;'Operating Assumptions'!$AA$8,0,IF('Operating Assumptions'!$L19="N/A",0,IF('Operating Assumptions'!$L19="$/Unit/Annual",(('Operating Assumptions'!$M19*ES$25)*ES$36)/12,IF('Operating Assumptions'!$L19="$/Unit/Month",('Operating Assumptions'!$M19*ES$25)*ES$36,IF('Operating Assumptions'!$L19="Fixed Amount",('Operating Assumptions'!$M19*ES$25)/12,IF('Operating Assumptions'!$L19="$/GSF",(('Operating Assumptions'!$M19*ES$25)*'Operating Assumptions'!$D$11)/12,IF('Operating Assumptions'!$L19="$/NSF",(('Operating Assumptions'!$M19*ES$25)*'Operating Assumptions'!$D$12)/12))))))))</f>
        <v>0</v>
      </c>
      <c r="ET91" s="427">
        <f>-IF(ET$9&lt;'Operating Assumptions'!$D$53,0,IF(ET$6&gt;'Operating Assumptions'!$AA$8,0,IF('Operating Assumptions'!$L19="N/A",0,IF('Operating Assumptions'!$L19="$/Unit/Annual",(('Operating Assumptions'!$M19*ET$25)*ET$36)/12,IF('Operating Assumptions'!$L19="$/Unit/Month",('Operating Assumptions'!$M19*ET$25)*ET$36,IF('Operating Assumptions'!$L19="Fixed Amount",('Operating Assumptions'!$M19*ET$25)/12,IF('Operating Assumptions'!$L19="$/GSF",(('Operating Assumptions'!$M19*ET$25)*'Operating Assumptions'!$D$11)/12,IF('Operating Assumptions'!$L19="$/NSF",(('Operating Assumptions'!$M19*ET$25)*'Operating Assumptions'!$D$12)/12))))))))</f>
        <v>0</v>
      </c>
      <c r="EU91" s="427">
        <f>-IF(EU$9&lt;'Operating Assumptions'!$D$53,0,IF(EU$6&gt;'Operating Assumptions'!$AA$8,0,IF('Operating Assumptions'!$L19="N/A",0,IF('Operating Assumptions'!$L19="$/Unit/Annual",(('Operating Assumptions'!$M19*EU$25)*EU$36)/12,IF('Operating Assumptions'!$L19="$/Unit/Month",('Operating Assumptions'!$M19*EU$25)*EU$36,IF('Operating Assumptions'!$L19="Fixed Amount",('Operating Assumptions'!$M19*EU$25)/12,IF('Operating Assumptions'!$L19="$/GSF",(('Operating Assumptions'!$M19*EU$25)*'Operating Assumptions'!$D$11)/12,IF('Operating Assumptions'!$L19="$/NSF",(('Operating Assumptions'!$M19*EU$25)*'Operating Assumptions'!$D$12)/12))))))))</f>
        <v>0</v>
      </c>
      <c r="EV91" s="427">
        <f>-IF(EV$9&lt;'Operating Assumptions'!$D$53,0,IF(EV$6&gt;'Operating Assumptions'!$AA$8,0,IF('Operating Assumptions'!$L19="N/A",0,IF('Operating Assumptions'!$L19="$/Unit/Annual",(('Operating Assumptions'!$M19*EV$25)*EV$36)/12,IF('Operating Assumptions'!$L19="$/Unit/Month",('Operating Assumptions'!$M19*EV$25)*EV$36,IF('Operating Assumptions'!$L19="Fixed Amount",('Operating Assumptions'!$M19*EV$25)/12,IF('Operating Assumptions'!$L19="$/GSF",(('Operating Assumptions'!$M19*EV$25)*'Operating Assumptions'!$D$11)/12,IF('Operating Assumptions'!$L19="$/NSF",(('Operating Assumptions'!$M19*EV$25)*'Operating Assumptions'!$D$12)/12))))))))</f>
        <v>0</v>
      </c>
      <c r="EW91" s="427">
        <f>-IF(EW$9&lt;'Operating Assumptions'!$D$53,0,IF(EW$6&gt;'Operating Assumptions'!$AA$8,0,IF('Operating Assumptions'!$L19="N/A",0,IF('Operating Assumptions'!$L19="$/Unit/Annual",(('Operating Assumptions'!$M19*EW$25)*EW$36)/12,IF('Operating Assumptions'!$L19="$/Unit/Month",('Operating Assumptions'!$M19*EW$25)*EW$36,IF('Operating Assumptions'!$L19="Fixed Amount",('Operating Assumptions'!$M19*EW$25)/12,IF('Operating Assumptions'!$L19="$/GSF",(('Operating Assumptions'!$M19*EW$25)*'Operating Assumptions'!$D$11)/12,IF('Operating Assumptions'!$L19="$/NSF",(('Operating Assumptions'!$M19*EW$25)*'Operating Assumptions'!$D$12)/12))))))))</f>
        <v>0</v>
      </c>
      <c r="EX91" s="427">
        <f>-IF(EX$9&lt;'Operating Assumptions'!$D$53,0,IF(EX$6&gt;'Operating Assumptions'!$AA$8,0,IF('Operating Assumptions'!$L19="N/A",0,IF('Operating Assumptions'!$L19="$/Unit/Annual",(('Operating Assumptions'!$M19*EX$25)*EX$36)/12,IF('Operating Assumptions'!$L19="$/Unit/Month",('Operating Assumptions'!$M19*EX$25)*EX$36,IF('Operating Assumptions'!$L19="Fixed Amount",('Operating Assumptions'!$M19*EX$25)/12,IF('Operating Assumptions'!$L19="$/GSF",(('Operating Assumptions'!$M19*EX$25)*'Operating Assumptions'!$D$11)/12,IF('Operating Assumptions'!$L19="$/NSF",(('Operating Assumptions'!$M19*EX$25)*'Operating Assumptions'!$D$12)/12))))))))</f>
        <v>0</v>
      </c>
      <c r="EY91" s="427">
        <f>-IF(EY$9&lt;'Operating Assumptions'!$D$53,0,IF(EY$6&gt;'Operating Assumptions'!$AA$8,0,IF('Operating Assumptions'!$L19="N/A",0,IF('Operating Assumptions'!$L19="$/Unit/Annual",(('Operating Assumptions'!$M19*EY$25)*EY$36)/12,IF('Operating Assumptions'!$L19="$/Unit/Month",('Operating Assumptions'!$M19*EY$25)*EY$36,IF('Operating Assumptions'!$L19="Fixed Amount",('Operating Assumptions'!$M19*EY$25)/12,IF('Operating Assumptions'!$L19="$/GSF",(('Operating Assumptions'!$M19*EY$25)*'Operating Assumptions'!$D$11)/12,IF('Operating Assumptions'!$L19="$/NSF",(('Operating Assumptions'!$M19*EY$25)*'Operating Assumptions'!$D$12)/12))))))))</f>
        <v>0</v>
      </c>
      <c r="EZ91" s="427">
        <f>-IF(EZ$9&lt;'Operating Assumptions'!$D$53,0,IF(EZ$6&gt;'Operating Assumptions'!$AA$8,0,IF('Operating Assumptions'!$L19="N/A",0,IF('Operating Assumptions'!$L19="$/Unit/Annual",(('Operating Assumptions'!$M19*EZ$25)*EZ$36)/12,IF('Operating Assumptions'!$L19="$/Unit/Month",('Operating Assumptions'!$M19*EZ$25)*EZ$36,IF('Operating Assumptions'!$L19="Fixed Amount",('Operating Assumptions'!$M19*EZ$25)/12,IF('Operating Assumptions'!$L19="$/GSF",(('Operating Assumptions'!$M19*EZ$25)*'Operating Assumptions'!$D$11)/12,IF('Operating Assumptions'!$L19="$/NSF",(('Operating Assumptions'!$M19*EZ$25)*'Operating Assumptions'!$D$12)/12))))))))</f>
        <v>0</v>
      </c>
      <c r="FA91" s="427">
        <f>-IF(FA$9&lt;'Operating Assumptions'!$D$53,0,IF(FA$6&gt;'Operating Assumptions'!$AA$8,0,IF('Operating Assumptions'!$L19="N/A",0,IF('Operating Assumptions'!$L19="$/Unit/Annual",(('Operating Assumptions'!$M19*FA$25)*FA$36)/12,IF('Operating Assumptions'!$L19="$/Unit/Month",('Operating Assumptions'!$M19*FA$25)*FA$36,IF('Operating Assumptions'!$L19="Fixed Amount",('Operating Assumptions'!$M19*FA$25)/12,IF('Operating Assumptions'!$L19="$/GSF",(('Operating Assumptions'!$M19*FA$25)*'Operating Assumptions'!$D$11)/12,IF('Operating Assumptions'!$L19="$/NSF",(('Operating Assumptions'!$M19*FA$25)*'Operating Assumptions'!$D$12)/12))))))))</f>
        <v>0</v>
      </c>
      <c r="FB91" s="427">
        <f>-IF(FB$9&lt;'Operating Assumptions'!$D$53,0,IF(FB$6&gt;'Operating Assumptions'!$AA$8,0,IF('Operating Assumptions'!$L19="N/A",0,IF('Operating Assumptions'!$L19="$/Unit/Annual",(('Operating Assumptions'!$M19*FB$25)*FB$36)/12,IF('Operating Assumptions'!$L19="$/Unit/Month",('Operating Assumptions'!$M19*FB$25)*FB$36,IF('Operating Assumptions'!$L19="Fixed Amount",('Operating Assumptions'!$M19*FB$25)/12,IF('Operating Assumptions'!$L19="$/GSF",(('Operating Assumptions'!$M19*FB$25)*'Operating Assumptions'!$D$11)/12,IF('Operating Assumptions'!$L19="$/NSF",(('Operating Assumptions'!$M19*FB$25)*'Operating Assumptions'!$D$12)/12))))))))</f>
        <v>0</v>
      </c>
      <c r="FC91" s="427">
        <f>-IF(FC$9&lt;'Operating Assumptions'!$D$53,0,IF(FC$6&gt;'Operating Assumptions'!$AA$8,0,IF('Operating Assumptions'!$L19="N/A",0,IF('Operating Assumptions'!$L19="$/Unit/Annual",(('Operating Assumptions'!$M19*FC$25)*FC$36)/12,IF('Operating Assumptions'!$L19="$/Unit/Month",('Operating Assumptions'!$M19*FC$25)*FC$36,IF('Operating Assumptions'!$L19="Fixed Amount",('Operating Assumptions'!$M19*FC$25)/12,IF('Operating Assumptions'!$L19="$/GSF",(('Operating Assumptions'!$M19*FC$25)*'Operating Assumptions'!$D$11)/12,IF('Operating Assumptions'!$L19="$/NSF",(('Operating Assumptions'!$M19*FC$25)*'Operating Assumptions'!$D$12)/12))))))))</f>
        <v>0</v>
      </c>
      <c r="FD91" s="427">
        <f>-IF(FD$9&lt;'Operating Assumptions'!$D$53,0,IF(FD$6&gt;'Operating Assumptions'!$AA$8,0,IF('Operating Assumptions'!$L19="N/A",0,IF('Operating Assumptions'!$L19="$/Unit/Annual",(('Operating Assumptions'!$M19*FD$25)*FD$36)/12,IF('Operating Assumptions'!$L19="$/Unit/Month",('Operating Assumptions'!$M19*FD$25)*FD$36,IF('Operating Assumptions'!$L19="Fixed Amount",('Operating Assumptions'!$M19*FD$25)/12,IF('Operating Assumptions'!$L19="$/GSF",(('Operating Assumptions'!$M19*FD$25)*'Operating Assumptions'!$D$11)/12,IF('Operating Assumptions'!$L19="$/NSF",(('Operating Assumptions'!$M19*FD$25)*'Operating Assumptions'!$D$12)/12))))))))</f>
        <v>0</v>
      </c>
      <c r="FE91" s="427">
        <f>-IF(FE$9&lt;'Operating Assumptions'!$D$53,0,IF(FE$6&gt;'Operating Assumptions'!$AA$8,0,IF('Operating Assumptions'!$L19="N/A",0,IF('Operating Assumptions'!$L19="$/Unit/Annual",(('Operating Assumptions'!$M19*FE$25)*FE$36)/12,IF('Operating Assumptions'!$L19="$/Unit/Month",('Operating Assumptions'!$M19*FE$25)*FE$36,IF('Operating Assumptions'!$L19="Fixed Amount",('Operating Assumptions'!$M19*FE$25)/12,IF('Operating Assumptions'!$L19="$/GSF",(('Operating Assumptions'!$M19*FE$25)*'Operating Assumptions'!$D$11)/12,IF('Operating Assumptions'!$L19="$/NSF",(('Operating Assumptions'!$M19*FE$25)*'Operating Assumptions'!$D$12)/12))))))))</f>
        <v>0</v>
      </c>
      <c r="FF91" s="427">
        <f>-IF(FF$9&lt;'Operating Assumptions'!$D$53,0,IF(FF$6&gt;'Operating Assumptions'!$AA$8,0,IF('Operating Assumptions'!$L19="N/A",0,IF('Operating Assumptions'!$L19="$/Unit/Annual",(('Operating Assumptions'!$M19*FF$25)*FF$36)/12,IF('Operating Assumptions'!$L19="$/Unit/Month",('Operating Assumptions'!$M19*FF$25)*FF$36,IF('Operating Assumptions'!$L19="Fixed Amount",('Operating Assumptions'!$M19*FF$25)/12,IF('Operating Assumptions'!$L19="$/GSF",(('Operating Assumptions'!$M19*FF$25)*'Operating Assumptions'!$D$11)/12,IF('Operating Assumptions'!$L19="$/NSF",(('Operating Assumptions'!$M19*FF$25)*'Operating Assumptions'!$D$12)/12))))))))</f>
        <v>0</v>
      </c>
      <c r="FG91" s="427">
        <f>-IF(FG$9&lt;'Operating Assumptions'!$D$53,0,IF(FG$6&gt;'Operating Assumptions'!$AA$8,0,IF('Operating Assumptions'!$L19="N/A",0,IF('Operating Assumptions'!$L19="$/Unit/Annual",(('Operating Assumptions'!$M19*FG$25)*FG$36)/12,IF('Operating Assumptions'!$L19="$/Unit/Month",('Operating Assumptions'!$M19*FG$25)*FG$36,IF('Operating Assumptions'!$L19="Fixed Amount",('Operating Assumptions'!$M19*FG$25)/12,IF('Operating Assumptions'!$L19="$/GSF",(('Operating Assumptions'!$M19*FG$25)*'Operating Assumptions'!$D$11)/12,IF('Operating Assumptions'!$L19="$/NSF",(('Operating Assumptions'!$M19*FG$25)*'Operating Assumptions'!$D$12)/12))))))))</f>
        <v>0</v>
      </c>
      <c r="FH91" s="427">
        <f>-IF(FH$9&lt;'Operating Assumptions'!$D$53,0,IF(FH$6&gt;'Operating Assumptions'!$AA$8,0,IF('Operating Assumptions'!$L19="N/A",0,IF('Operating Assumptions'!$L19="$/Unit/Annual",(('Operating Assumptions'!$M19*FH$25)*FH$36)/12,IF('Operating Assumptions'!$L19="$/Unit/Month",('Operating Assumptions'!$M19*FH$25)*FH$36,IF('Operating Assumptions'!$L19="Fixed Amount",('Operating Assumptions'!$M19*FH$25)/12,IF('Operating Assumptions'!$L19="$/GSF",(('Operating Assumptions'!$M19*FH$25)*'Operating Assumptions'!$D$11)/12,IF('Operating Assumptions'!$L19="$/NSF",(('Operating Assumptions'!$M19*FH$25)*'Operating Assumptions'!$D$12)/12))))))))</f>
        <v>0</v>
      </c>
      <c r="FI91" s="427">
        <f>-IF(FI$9&lt;'Operating Assumptions'!$D$53,0,IF(FI$6&gt;'Operating Assumptions'!$AA$8,0,IF('Operating Assumptions'!$L19="N/A",0,IF('Operating Assumptions'!$L19="$/Unit/Annual",(('Operating Assumptions'!$M19*FI$25)*FI$36)/12,IF('Operating Assumptions'!$L19="$/Unit/Month",('Operating Assumptions'!$M19*FI$25)*FI$36,IF('Operating Assumptions'!$L19="Fixed Amount",('Operating Assumptions'!$M19*FI$25)/12,IF('Operating Assumptions'!$L19="$/GSF",(('Operating Assumptions'!$M19*FI$25)*'Operating Assumptions'!$D$11)/12,IF('Operating Assumptions'!$L19="$/NSF",(('Operating Assumptions'!$M19*FI$25)*'Operating Assumptions'!$D$12)/12))))))))</f>
        <v>0</v>
      </c>
      <c r="FJ91" s="427">
        <f>-IF(FJ$9&lt;'Operating Assumptions'!$D$53,0,IF(FJ$6&gt;'Operating Assumptions'!$AA$8,0,IF('Operating Assumptions'!$L19="N/A",0,IF('Operating Assumptions'!$L19="$/Unit/Annual",(('Operating Assumptions'!$M19*FJ$25)*FJ$36)/12,IF('Operating Assumptions'!$L19="$/Unit/Month",('Operating Assumptions'!$M19*FJ$25)*FJ$36,IF('Operating Assumptions'!$L19="Fixed Amount",('Operating Assumptions'!$M19*FJ$25)/12,IF('Operating Assumptions'!$L19="$/GSF",(('Operating Assumptions'!$M19*FJ$25)*'Operating Assumptions'!$D$11)/12,IF('Operating Assumptions'!$L19="$/NSF",(('Operating Assumptions'!$M19*FJ$25)*'Operating Assumptions'!$D$12)/12))))))))</f>
        <v>0</v>
      </c>
      <c r="FK91" s="427">
        <f>-IF(FK$9&lt;'Operating Assumptions'!$D$53,0,IF(FK$6&gt;'Operating Assumptions'!$AA$8,0,IF('Operating Assumptions'!$L19="N/A",0,IF('Operating Assumptions'!$L19="$/Unit/Annual",(('Operating Assumptions'!$M19*FK$25)*FK$36)/12,IF('Operating Assumptions'!$L19="$/Unit/Month",('Operating Assumptions'!$M19*FK$25)*FK$36,IF('Operating Assumptions'!$L19="Fixed Amount",('Operating Assumptions'!$M19*FK$25)/12,IF('Operating Assumptions'!$L19="$/GSF",(('Operating Assumptions'!$M19*FK$25)*'Operating Assumptions'!$D$11)/12,IF('Operating Assumptions'!$L19="$/NSF",(('Operating Assumptions'!$M19*FK$25)*'Operating Assumptions'!$D$12)/12))))))))</f>
        <v>0</v>
      </c>
      <c r="FL91" s="427">
        <f>-IF(FL$9&lt;'Operating Assumptions'!$D$53,0,IF(FL$6&gt;'Operating Assumptions'!$AA$8,0,IF('Operating Assumptions'!$L19="N/A",0,IF('Operating Assumptions'!$L19="$/Unit/Annual",(('Operating Assumptions'!$M19*FL$25)*FL$36)/12,IF('Operating Assumptions'!$L19="$/Unit/Month",('Operating Assumptions'!$M19*FL$25)*FL$36,IF('Operating Assumptions'!$L19="Fixed Amount",('Operating Assumptions'!$M19*FL$25)/12,IF('Operating Assumptions'!$L19="$/GSF",(('Operating Assumptions'!$M19*FL$25)*'Operating Assumptions'!$D$11)/12,IF('Operating Assumptions'!$L19="$/NSF",(('Operating Assumptions'!$M19*FL$25)*'Operating Assumptions'!$D$12)/12))))))))</f>
        <v>0</v>
      </c>
      <c r="FM91" s="427">
        <f>-IF(FM$9&lt;'Operating Assumptions'!$D$53,0,IF(FM$6&gt;'Operating Assumptions'!$AA$8,0,IF('Operating Assumptions'!$L19="N/A",0,IF('Operating Assumptions'!$L19="$/Unit/Annual",(('Operating Assumptions'!$M19*FM$25)*FM$36)/12,IF('Operating Assumptions'!$L19="$/Unit/Month",('Operating Assumptions'!$M19*FM$25)*FM$36,IF('Operating Assumptions'!$L19="Fixed Amount",('Operating Assumptions'!$M19*FM$25)/12,IF('Operating Assumptions'!$L19="$/GSF",(('Operating Assumptions'!$M19*FM$25)*'Operating Assumptions'!$D$11)/12,IF('Operating Assumptions'!$L19="$/NSF",(('Operating Assumptions'!$M19*FM$25)*'Operating Assumptions'!$D$12)/12))))))))</f>
        <v>0</v>
      </c>
      <c r="FN91" s="427">
        <f>-IF(FN$9&lt;'Operating Assumptions'!$D$53,0,IF(FN$6&gt;'Operating Assumptions'!$AA$8,0,IF('Operating Assumptions'!$L19="N/A",0,IF('Operating Assumptions'!$L19="$/Unit/Annual",(('Operating Assumptions'!$M19*FN$25)*FN$36)/12,IF('Operating Assumptions'!$L19="$/Unit/Month",('Operating Assumptions'!$M19*FN$25)*FN$36,IF('Operating Assumptions'!$L19="Fixed Amount",('Operating Assumptions'!$M19*FN$25)/12,IF('Operating Assumptions'!$L19="$/GSF",(('Operating Assumptions'!$M19*FN$25)*'Operating Assumptions'!$D$11)/12,IF('Operating Assumptions'!$L19="$/NSF",(('Operating Assumptions'!$M19*FN$25)*'Operating Assumptions'!$D$12)/12))))))))</f>
        <v>0</v>
      </c>
      <c r="FO91" s="427">
        <f>-IF(FO$9&lt;'Operating Assumptions'!$D$53,0,IF(FO$6&gt;'Operating Assumptions'!$AA$8,0,IF('Operating Assumptions'!$L19="N/A",0,IF('Operating Assumptions'!$L19="$/Unit/Annual",(('Operating Assumptions'!$M19*FO$25)*FO$36)/12,IF('Operating Assumptions'!$L19="$/Unit/Month",('Operating Assumptions'!$M19*FO$25)*FO$36,IF('Operating Assumptions'!$L19="Fixed Amount",('Operating Assumptions'!$M19*FO$25)/12,IF('Operating Assumptions'!$L19="$/GSF",(('Operating Assumptions'!$M19*FO$25)*'Operating Assumptions'!$D$11)/12,IF('Operating Assumptions'!$L19="$/NSF",(('Operating Assumptions'!$M19*FO$25)*'Operating Assumptions'!$D$12)/12))))))))</f>
        <v>0</v>
      </c>
      <c r="FP91" s="427">
        <f>-IF(FP$9&lt;'Operating Assumptions'!$D$53,0,IF(FP$6&gt;'Operating Assumptions'!$AA$8,0,IF('Operating Assumptions'!$L19="N/A",0,IF('Operating Assumptions'!$L19="$/Unit/Annual",(('Operating Assumptions'!$M19*FP$25)*FP$36)/12,IF('Operating Assumptions'!$L19="$/Unit/Month",('Operating Assumptions'!$M19*FP$25)*FP$36,IF('Operating Assumptions'!$L19="Fixed Amount",('Operating Assumptions'!$M19*FP$25)/12,IF('Operating Assumptions'!$L19="$/GSF",(('Operating Assumptions'!$M19*FP$25)*'Operating Assumptions'!$D$11)/12,IF('Operating Assumptions'!$L19="$/NSF",(('Operating Assumptions'!$M19*FP$25)*'Operating Assumptions'!$D$12)/12))))))))</f>
        <v>0</v>
      </c>
      <c r="FQ91" s="427">
        <f>-IF(FQ$9&lt;'Operating Assumptions'!$D$53,0,IF(FQ$6&gt;'Operating Assumptions'!$AA$8,0,IF('Operating Assumptions'!$L19="N/A",0,IF('Operating Assumptions'!$L19="$/Unit/Annual",(('Operating Assumptions'!$M19*FQ$25)*FQ$36)/12,IF('Operating Assumptions'!$L19="$/Unit/Month",('Operating Assumptions'!$M19*FQ$25)*FQ$36,IF('Operating Assumptions'!$L19="Fixed Amount",('Operating Assumptions'!$M19*FQ$25)/12,IF('Operating Assumptions'!$L19="$/GSF",(('Operating Assumptions'!$M19*FQ$25)*'Operating Assumptions'!$D$11)/12,IF('Operating Assumptions'!$L19="$/NSF",(('Operating Assumptions'!$M19*FQ$25)*'Operating Assumptions'!$D$12)/12))))))))</f>
        <v>0</v>
      </c>
      <c r="FR91" s="427">
        <f>-IF(FR$9&lt;'Operating Assumptions'!$D$53,0,IF(FR$6&gt;'Operating Assumptions'!$AA$8,0,IF('Operating Assumptions'!$L19="N/A",0,IF('Operating Assumptions'!$L19="$/Unit/Annual",(('Operating Assumptions'!$M19*FR$25)*FR$36)/12,IF('Operating Assumptions'!$L19="$/Unit/Month",('Operating Assumptions'!$M19*FR$25)*FR$36,IF('Operating Assumptions'!$L19="Fixed Amount",('Operating Assumptions'!$M19*FR$25)/12,IF('Operating Assumptions'!$L19="$/GSF",(('Operating Assumptions'!$M19*FR$25)*'Operating Assumptions'!$D$11)/12,IF('Operating Assumptions'!$L19="$/NSF",(('Operating Assumptions'!$M19*FR$25)*'Operating Assumptions'!$D$12)/12))))))))</f>
        <v>0</v>
      </c>
      <c r="FS91" s="427">
        <f>-IF(FS$9&lt;'Operating Assumptions'!$D$53,0,IF(FS$6&gt;'Operating Assumptions'!$AA$8,0,IF('Operating Assumptions'!$L19="N/A",0,IF('Operating Assumptions'!$L19="$/Unit/Annual",(('Operating Assumptions'!$M19*FS$25)*FS$36)/12,IF('Operating Assumptions'!$L19="$/Unit/Month",('Operating Assumptions'!$M19*FS$25)*FS$36,IF('Operating Assumptions'!$L19="Fixed Amount",('Operating Assumptions'!$M19*FS$25)/12,IF('Operating Assumptions'!$L19="$/GSF",(('Operating Assumptions'!$M19*FS$25)*'Operating Assumptions'!$D$11)/12,IF('Operating Assumptions'!$L19="$/NSF",(('Operating Assumptions'!$M19*FS$25)*'Operating Assumptions'!$D$12)/12))))))))</f>
        <v>0</v>
      </c>
      <c r="FT91" s="427">
        <f>-IF(FT$9&lt;'Operating Assumptions'!$D$53,0,IF(FT$6&gt;'Operating Assumptions'!$AA$8,0,IF('Operating Assumptions'!$L19="N/A",0,IF('Operating Assumptions'!$L19="$/Unit/Annual",(('Operating Assumptions'!$M19*FT$25)*FT$36)/12,IF('Operating Assumptions'!$L19="$/Unit/Month",('Operating Assumptions'!$M19*FT$25)*FT$36,IF('Operating Assumptions'!$L19="Fixed Amount",('Operating Assumptions'!$M19*FT$25)/12,IF('Operating Assumptions'!$L19="$/GSF",(('Operating Assumptions'!$M19*FT$25)*'Operating Assumptions'!$D$11)/12,IF('Operating Assumptions'!$L19="$/NSF",(('Operating Assumptions'!$M19*FT$25)*'Operating Assumptions'!$D$12)/12))))))))</f>
        <v>0</v>
      </c>
      <c r="FU91" s="43"/>
      <c r="FV91" s="34"/>
      <c r="FW91" s="34"/>
      <c r="FX91" s="34"/>
      <c r="FY91" s="34"/>
      <c r="FZ91" s="34"/>
    </row>
    <row r="92" spans="1:182" x14ac:dyDescent="0.25">
      <c r="A92" s="2"/>
      <c r="B92" s="433" t="s">
        <v>179</v>
      </c>
      <c r="C92" s="34"/>
      <c r="D92" s="34"/>
      <c r="E92" s="34"/>
      <c r="F92" s="429">
        <f t="shared" si="172"/>
        <v>-6680811.9375</v>
      </c>
      <c r="G92" s="34"/>
      <c r="H92" s="431">
        <f>SUM(H80:H91)</f>
        <v>0</v>
      </c>
      <c r="I92" s="431">
        <f t="shared" ref="I92:BT92" si="173">SUM(I80:I91)</f>
        <v>0</v>
      </c>
      <c r="J92" s="431">
        <f t="shared" si="173"/>
        <v>0</v>
      </c>
      <c r="K92" s="431">
        <f t="shared" si="173"/>
        <v>0</v>
      </c>
      <c r="L92" s="431">
        <f t="shared" si="173"/>
        <v>0</v>
      </c>
      <c r="M92" s="431">
        <f t="shared" si="173"/>
        <v>0</v>
      </c>
      <c r="N92" s="431">
        <f t="shared" si="173"/>
        <v>0</v>
      </c>
      <c r="O92" s="431">
        <f t="shared" si="173"/>
        <v>0</v>
      </c>
      <c r="P92" s="431">
        <f t="shared" si="173"/>
        <v>0</v>
      </c>
      <c r="Q92" s="431">
        <f t="shared" si="173"/>
        <v>0</v>
      </c>
      <c r="R92" s="431">
        <f t="shared" si="173"/>
        <v>0</v>
      </c>
      <c r="S92" s="431">
        <f t="shared" si="173"/>
        <v>0</v>
      </c>
      <c r="T92" s="431">
        <f t="shared" si="173"/>
        <v>0</v>
      </c>
      <c r="U92" s="431">
        <f t="shared" si="173"/>
        <v>0</v>
      </c>
      <c r="V92" s="431">
        <f t="shared" si="173"/>
        <v>0</v>
      </c>
      <c r="W92" s="431">
        <f t="shared" si="173"/>
        <v>0</v>
      </c>
      <c r="X92" s="431">
        <f t="shared" si="173"/>
        <v>0</v>
      </c>
      <c r="Y92" s="431">
        <f t="shared" si="173"/>
        <v>-4611.25</v>
      </c>
      <c r="Z92" s="431">
        <f t="shared" si="173"/>
        <v>-9002.9166666666679</v>
      </c>
      <c r="AA92" s="431">
        <f t="shared" si="173"/>
        <v>-13394.58333333333</v>
      </c>
      <c r="AB92" s="431">
        <f t="shared" si="173"/>
        <v>-17786.25</v>
      </c>
      <c r="AC92" s="431">
        <f t="shared" si="173"/>
        <v>-22177.916666666664</v>
      </c>
      <c r="AD92" s="431">
        <f t="shared" si="173"/>
        <v>-26569.583333333339</v>
      </c>
      <c r="AE92" s="431">
        <f t="shared" si="173"/>
        <v>-27447.916666666661</v>
      </c>
      <c r="AF92" s="431">
        <f t="shared" si="173"/>
        <v>-27722.395833333339</v>
      </c>
      <c r="AG92" s="431">
        <f t="shared" si="173"/>
        <v>-27722.395833333339</v>
      </c>
      <c r="AH92" s="431">
        <f t="shared" si="173"/>
        <v>-32157.979166666661</v>
      </c>
      <c r="AI92" s="431">
        <f t="shared" si="173"/>
        <v>-36593.5625</v>
      </c>
      <c r="AJ92" s="431">
        <f t="shared" si="173"/>
        <v>-41029.145833333328</v>
      </c>
      <c r="AK92" s="431">
        <f t="shared" si="173"/>
        <v>-45464.729166666679</v>
      </c>
      <c r="AL92" s="431">
        <f t="shared" si="173"/>
        <v>-49900.3125</v>
      </c>
      <c r="AM92" s="431">
        <f t="shared" si="173"/>
        <v>-53227</v>
      </c>
      <c r="AN92" s="431">
        <f t="shared" si="173"/>
        <v>-53227</v>
      </c>
      <c r="AO92" s="431">
        <f t="shared" si="173"/>
        <v>-53227</v>
      </c>
      <c r="AP92" s="431">
        <f t="shared" si="173"/>
        <v>-53227</v>
      </c>
      <c r="AQ92" s="431">
        <f t="shared" si="173"/>
        <v>-53227</v>
      </c>
      <c r="AR92" s="431">
        <f t="shared" si="173"/>
        <v>-53754</v>
      </c>
      <c r="AS92" s="431">
        <f t="shared" si="173"/>
        <v>-53754</v>
      </c>
      <c r="AT92" s="431">
        <f t="shared" si="173"/>
        <v>-53754</v>
      </c>
      <c r="AU92" s="431">
        <f t="shared" si="173"/>
        <v>-53754</v>
      </c>
      <c r="AV92" s="431">
        <f t="shared" si="173"/>
        <v>-53754</v>
      </c>
      <c r="AW92" s="431">
        <f t="shared" si="173"/>
        <v>-53754</v>
      </c>
      <c r="AX92" s="431">
        <f t="shared" si="173"/>
        <v>-53754</v>
      </c>
      <c r="AY92" s="431">
        <f t="shared" si="173"/>
        <v>-53754</v>
      </c>
      <c r="AZ92" s="431">
        <f t="shared" si="173"/>
        <v>-53754</v>
      </c>
      <c r="BA92" s="431">
        <f t="shared" si="173"/>
        <v>-53754</v>
      </c>
      <c r="BB92" s="431">
        <f t="shared" si="173"/>
        <v>-53754</v>
      </c>
      <c r="BC92" s="431">
        <f t="shared" si="173"/>
        <v>-53754</v>
      </c>
      <c r="BD92" s="431">
        <f t="shared" si="173"/>
        <v>-54281</v>
      </c>
      <c r="BE92" s="431">
        <f t="shared" si="173"/>
        <v>-54281</v>
      </c>
      <c r="BF92" s="431">
        <f t="shared" si="173"/>
        <v>-54281</v>
      </c>
      <c r="BG92" s="431">
        <f t="shared" si="173"/>
        <v>-54281</v>
      </c>
      <c r="BH92" s="431">
        <f t="shared" si="173"/>
        <v>-54281</v>
      </c>
      <c r="BI92" s="431">
        <f t="shared" si="173"/>
        <v>-54281</v>
      </c>
      <c r="BJ92" s="431">
        <f t="shared" si="173"/>
        <v>-54281</v>
      </c>
      <c r="BK92" s="431">
        <f t="shared" si="173"/>
        <v>-54281</v>
      </c>
      <c r="BL92" s="431">
        <f t="shared" si="173"/>
        <v>-54281</v>
      </c>
      <c r="BM92" s="431">
        <f t="shared" si="173"/>
        <v>-54281</v>
      </c>
      <c r="BN92" s="431">
        <f t="shared" si="173"/>
        <v>-54281</v>
      </c>
      <c r="BO92" s="431">
        <f t="shared" si="173"/>
        <v>-54281</v>
      </c>
      <c r="BP92" s="431">
        <f t="shared" si="173"/>
        <v>-54808</v>
      </c>
      <c r="BQ92" s="431">
        <f t="shared" si="173"/>
        <v>-54808</v>
      </c>
      <c r="BR92" s="431">
        <f t="shared" si="173"/>
        <v>-54808</v>
      </c>
      <c r="BS92" s="431">
        <f t="shared" si="173"/>
        <v>-54808</v>
      </c>
      <c r="BT92" s="431">
        <f t="shared" si="173"/>
        <v>-54808</v>
      </c>
      <c r="BU92" s="431">
        <f t="shared" ref="BU92:EF92" si="174">SUM(BU80:BU91)</f>
        <v>-54808</v>
      </c>
      <c r="BV92" s="431">
        <f t="shared" si="174"/>
        <v>-54808</v>
      </c>
      <c r="BW92" s="431">
        <f t="shared" si="174"/>
        <v>-54808</v>
      </c>
      <c r="BX92" s="431">
        <f t="shared" si="174"/>
        <v>-54808</v>
      </c>
      <c r="BY92" s="431">
        <f t="shared" si="174"/>
        <v>-54808</v>
      </c>
      <c r="BZ92" s="431">
        <f t="shared" si="174"/>
        <v>-54808</v>
      </c>
      <c r="CA92" s="431">
        <f t="shared" si="174"/>
        <v>-54808</v>
      </c>
      <c r="CB92" s="431">
        <f t="shared" si="174"/>
        <v>-55335</v>
      </c>
      <c r="CC92" s="431">
        <f t="shared" si="174"/>
        <v>-55335</v>
      </c>
      <c r="CD92" s="431">
        <f t="shared" si="174"/>
        <v>-55335</v>
      </c>
      <c r="CE92" s="431">
        <f t="shared" si="174"/>
        <v>-55335</v>
      </c>
      <c r="CF92" s="431">
        <f t="shared" si="174"/>
        <v>-55335</v>
      </c>
      <c r="CG92" s="431">
        <f t="shared" si="174"/>
        <v>-55335</v>
      </c>
      <c r="CH92" s="431">
        <f t="shared" si="174"/>
        <v>-55335</v>
      </c>
      <c r="CI92" s="431">
        <f t="shared" si="174"/>
        <v>-55335</v>
      </c>
      <c r="CJ92" s="431">
        <f t="shared" si="174"/>
        <v>-55335</v>
      </c>
      <c r="CK92" s="431">
        <f t="shared" si="174"/>
        <v>-55335</v>
      </c>
      <c r="CL92" s="431">
        <f t="shared" si="174"/>
        <v>-55335</v>
      </c>
      <c r="CM92" s="431">
        <f t="shared" si="174"/>
        <v>-55335</v>
      </c>
      <c r="CN92" s="431">
        <f t="shared" si="174"/>
        <v>-55862</v>
      </c>
      <c r="CO92" s="431">
        <f t="shared" si="174"/>
        <v>-55862</v>
      </c>
      <c r="CP92" s="431">
        <f t="shared" si="174"/>
        <v>-55862</v>
      </c>
      <c r="CQ92" s="431">
        <f t="shared" si="174"/>
        <v>-55862</v>
      </c>
      <c r="CR92" s="431">
        <f t="shared" si="174"/>
        <v>-55862</v>
      </c>
      <c r="CS92" s="431">
        <f t="shared" si="174"/>
        <v>-55862</v>
      </c>
      <c r="CT92" s="431">
        <f t="shared" si="174"/>
        <v>-55862</v>
      </c>
      <c r="CU92" s="431">
        <f t="shared" si="174"/>
        <v>-55862</v>
      </c>
      <c r="CV92" s="431">
        <f t="shared" si="174"/>
        <v>-55862</v>
      </c>
      <c r="CW92" s="431">
        <f t="shared" si="174"/>
        <v>-55862</v>
      </c>
      <c r="CX92" s="431">
        <f t="shared" si="174"/>
        <v>-55862</v>
      </c>
      <c r="CY92" s="431">
        <f t="shared" si="174"/>
        <v>-55862</v>
      </c>
      <c r="CZ92" s="431">
        <f t="shared" si="174"/>
        <v>-56389</v>
      </c>
      <c r="DA92" s="431">
        <f t="shared" si="174"/>
        <v>-56389</v>
      </c>
      <c r="DB92" s="431">
        <f t="shared" si="174"/>
        <v>-56389</v>
      </c>
      <c r="DC92" s="431">
        <f t="shared" si="174"/>
        <v>-56389</v>
      </c>
      <c r="DD92" s="431">
        <f t="shared" si="174"/>
        <v>-56389</v>
      </c>
      <c r="DE92" s="431">
        <f t="shared" si="174"/>
        <v>-56389</v>
      </c>
      <c r="DF92" s="431">
        <f t="shared" si="174"/>
        <v>-56389</v>
      </c>
      <c r="DG92" s="431">
        <f t="shared" si="174"/>
        <v>-56389</v>
      </c>
      <c r="DH92" s="431">
        <f t="shared" si="174"/>
        <v>-56389</v>
      </c>
      <c r="DI92" s="431">
        <f t="shared" si="174"/>
        <v>-56389</v>
      </c>
      <c r="DJ92" s="431">
        <f t="shared" si="174"/>
        <v>-56389</v>
      </c>
      <c r="DK92" s="431">
        <f t="shared" si="174"/>
        <v>-56389</v>
      </c>
      <c r="DL92" s="431">
        <f t="shared" si="174"/>
        <v>-56916</v>
      </c>
      <c r="DM92" s="431">
        <f t="shared" si="174"/>
        <v>-56916</v>
      </c>
      <c r="DN92" s="431">
        <f t="shared" si="174"/>
        <v>-56916</v>
      </c>
      <c r="DO92" s="431">
        <f t="shared" si="174"/>
        <v>-56916</v>
      </c>
      <c r="DP92" s="431">
        <f t="shared" si="174"/>
        <v>-56916</v>
      </c>
      <c r="DQ92" s="431">
        <f t="shared" si="174"/>
        <v>-56916</v>
      </c>
      <c r="DR92" s="431">
        <f t="shared" si="174"/>
        <v>-56916</v>
      </c>
      <c r="DS92" s="431">
        <f t="shared" si="174"/>
        <v>-56916</v>
      </c>
      <c r="DT92" s="431">
        <f t="shared" si="174"/>
        <v>-56916</v>
      </c>
      <c r="DU92" s="431">
        <f t="shared" si="174"/>
        <v>-56916</v>
      </c>
      <c r="DV92" s="431">
        <f t="shared" si="174"/>
        <v>-56916</v>
      </c>
      <c r="DW92" s="431">
        <f t="shared" si="174"/>
        <v>-56916</v>
      </c>
      <c r="DX92" s="431">
        <f t="shared" si="174"/>
        <v>-57443</v>
      </c>
      <c r="DY92" s="431">
        <f t="shared" si="174"/>
        <v>-57443</v>
      </c>
      <c r="DZ92" s="431">
        <f t="shared" si="174"/>
        <v>-57443</v>
      </c>
      <c r="EA92" s="431">
        <f t="shared" si="174"/>
        <v>-57443</v>
      </c>
      <c r="EB92" s="431">
        <f t="shared" si="174"/>
        <v>-57443</v>
      </c>
      <c r="EC92" s="431">
        <f t="shared" si="174"/>
        <v>-57443</v>
      </c>
      <c r="ED92" s="431">
        <f t="shared" si="174"/>
        <v>-57443</v>
      </c>
      <c r="EE92" s="431">
        <f t="shared" si="174"/>
        <v>-57443</v>
      </c>
      <c r="EF92" s="431">
        <f t="shared" si="174"/>
        <v>-57443</v>
      </c>
      <c r="EG92" s="431">
        <f t="shared" ref="EG92:FT92" si="175">SUM(EG80:EG91)</f>
        <v>-57443</v>
      </c>
      <c r="EH92" s="431">
        <f t="shared" si="175"/>
        <v>-57443</v>
      </c>
      <c r="EI92" s="431">
        <f t="shared" si="175"/>
        <v>-57443</v>
      </c>
      <c r="EJ92" s="431">
        <f t="shared" si="175"/>
        <v>-57970</v>
      </c>
      <c r="EK92" s="431">
        <f t="shared" si="175"/>
        <v>-57970</v>
      </c>
      <c r="EL92" s="431">
        <f t="shared" si="175"/>
        <v>-57970</v>
      </c>
      <c r="EM92" s="431">
        <f t="shared" si="175"/>
        <v>-57970</v>
      </c>
      <c r="EN92" s="431">
        <f t="shared" si="175"/>
        <v>-57970</v>
      </c>
      <c r="EO92" s="431">
        <f t="shared" si="175"/>
        <v>-57970</v>
      </c>
      <c r="EP92" s="431">
        <f t="shared" si="175"/>
        <v>-57970</v>
      </c>
      <c r="EQ92" s="431">
        <f t="shared" si="175"/>
        <v>-57970</v>
      </c>
      <c r="ER92" s="431">
        <f t="shared" si="175"/>
        <v>-57970</v>
      </c>
      <c r="ES92" s="431">
        <f t="shared" si="175"/>
        <v>-57970</v>
      </c>
      <c r="ET92" s="431">
        <f t="shared" si="175"/>
        <v>-57970</v>
      </c>
      <c r="EU92" s="431">
        <f t="shared" si="175"/>
        <v>-57970</v>
      </c>
      <c r="EV92" s="431">
        <f t="shared" si="175"/>
        <v>0</v>
      </c>
      <c r="EW92" s="431">
        <f t="shared" si="175"/>
        <v>0</v>
      </c>
      <c r="EX92" s="431">
        <f t="shared" si="175"/>
        <v>0</v>
      </c>
      <c r="EY92" s="431">
        <f t="shared" si="175"/>
        <v>0</v>
      </c>
      <c r="EZ92" s="431">
        <f t="shared" si="175"/>
        <v>0</v>
      </c>
      <c r="FA92" s="431">
        <f t="shared" si="175"/>
        <v>0</v>
      </c>
      <c r="FB92" s="431">
        <f t="shared" si="175"/>
        <v>0</v>
      </c>
      <c r="FC92" s="431">
        <f t="shared" si="175"/>
        <v>0</v>
      </c>
      <c r="FD92" s="431">
        <f t="shared" si="175"/>
        <v>0</v>
      </c>
      <c r="FE92" s="431">
        <f t="shared" si="175"/>
        <v>0</v>
      </c>
      <c r="FF92" s="431">
        <f t="shared" si="175"/>
        <v>0</v>
      </c>
      <c r="FG92" s="431">
        <f t="shared" si="175"/>
        <v>0</v>
      </c>
      <c r="FH92" s="431">
        <f t="shared" si="175"/>
        <v>0</v>
      </c>
      <c r="FI92" s="431">
        <f t="shared" si="175"/>
        <v>0</v>
      </c>
      <c r="FJ92" s="431">
        <f t="shared" si="175"/>
        <v>0</v>
      </c>
      <c r="FK92" s="431">
        <f t="shared" si="175"/>
        <v>0</v>
      </c>
      <c r="FL92" s="431">
        <f t="shared" si="175"/>
        <v>0</v>
      </c>
      <c r="FM92" s="431">
        <f t="shared" si="175"/>
        <v>0</v>
      </c>
      <c r="FN92" s="431">
        <f t="shared" si="175"/>
        <v>0</v>
      </c>
      <c r="FO92" s="431">
        <f t="shared" si="175"/>
        <v>0</v>
      </c>
      <c r="FP92" s="431">
        <f t="shared" si="175"/>
        <v>0</v>
      </c>
      <c r="FQ92" s="431">
        <f t="shared" si="175"/>
        <v>0</v>
      </c>
      <c r="FR92" s="431">
        <f t="shared" si="175"/>
        <v>0</v>
      </c>
      <c r="FS92" s="431">
        <f t="shared" si="175"/>
        <v>0</v>
      </c>
      <c r="FT92" s="431">
        <f t="shared" si="175"/>
        <v>0</v>
      </c>
      <c r="FU92" s="3"/>
    </row>
    <row r="93" spans="1:182" x14ac:dyDescent="0.25">
      <c r="A93" s="2"/>
      <c r="B93" s="128"/>
      <c r="C93" s="34"/>
      <c r="D93" s="34"/>
      <c r="E93" s="34"/>
      <c r="F93" s="434"/>
      <c r="G93" s="34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  <c r="S93" s="427"/>
      <c r="T93" s="427"/>
      <c r="U93" s="427"/>
      <c r="V93" s="427"/>
      <c r="W93" s="427"/>
      <c r="X93" s="427"/>
      <c r="Y93" s="427"/>
      <c r="Z93" s="427"/>
      <c r="AA93" s="427"/>
      <c r="AB93" s="427"/>
      <c r="AC93" s="427"/>
      <c r="AD93" s="427"/>
      <c r="AE93" s="427"/>
      <c r="AF93" s="427"/>
      <c r="AG93" s="427"/>
      <c r="AH93" s="427"/>
      <c r="AI93" s="427"/>
      <c r="AJ93" s="427"/>
      <c r="AK93" s="427"/>
      <c r="AL93" s="427"/>
      <c r="AM93" s="427"/>
      <c r="AN93" s="427"/>
      <c r="AO93" s="427"/>
      <c r="AP93" s="427"/>
      <c r="AQ93" s="427"/>
      <c r="AR93" s="427"/>
      <c r="AS93" s="427"/>
      <c r="AT93" s="427"/>
      <c r="AU93" s="427"/>
      <c r="AV93" s="427"/>
      <c r="AW93" s="427"/>
      <c r="AX93" s="427"/>
      <c r="AY93" s="427"/>
      <c r="AZ93" s="427"/>
      <c r="BA93" s="427"/>
      <c r="BB93" s="427"/>
      <c r="BC93" s="427"/>
      <c r="BD93" s="427"/>
      <c r="BE93" s="427"/>
      <c r="BF93" s="427"/>
      <c r="BG93" s="427"/>
      <c r="BH93" s="427"/>
      <c r="BI93" s="427"/>
      <c r="BJ93" s="427"/>
      <c r="BK93" s="427"/>
      <c r="BL93" s="427"/>
      <c r="BM93" s="427"/>
      <c r="BN93" s="427"/>
      <c r="BO93" s="427"/>
      <c r="BP93" s="427"/>
      <c r="BQ93" s="427"/>
      <c r="BR93" s="427"/>
      <c r="BS93" s="427"/>
      <c r="BT93" s="427"/>
      <c r="BU93" s="427"/>
      <c r="BV93" s="427"/>
      <c r="BW93" s="427"/>
      <c r="BX93" s="427"/>
      <c r="BY93" s="427"/>
      <c r="BZ93" s="427"/>
      <c r="CA93" s="427"/>
      <c r="CB93" s="427"/>
      <c r="CC93" s="427"/>
      <c r="CD93" s="427"/>
      <c r="CE93" s="427"/>
      <c r="CF93" s="427"/>
      <c r="CG93" s="427"/>
      <c r="CH93" s="427"/>
      <c r="CI93" s="427"/>
      <c r="CJ93" s="427"/>
      <c r="CK93" s="427"/>
      <c r="CL93" s="427"/>
      <c r="CM93" s="427"/>
      <c r="CN93" s="427"/>
      <c r="CO93" s="427"/>
      <c r="CP93" s="427"/>
      <c r="CQ93" s="427"/>
      <c r="CR93" s="427"/>
      <c r="CS93" s="427"/>
      <c r="CT93" s="427"/>
      <c r="CU93" s="427"/>
      <c r="CV93" s="427"/>
      <c r="CW93" s="427"/>
      <c r="CX93" s="427"/>
      <c r="CY93" s="427"/>
      <c r="CZ93" s="427"/>
      <c r="DA93" s="427"/>
      <c r="DB93" s="427"/>
      <c r="DC93" s="427"/>
      <c r="DD93" s="427"/>
      <c r="DE93" s="427"/>
      <c r="DF93" s="427"/>
      <c r="DG93" s="427"/>
      <c r="DH93" s="427"/>
      <c r="DI93" s="427"/>
      <c r="DJ93" s="427"/>
      <c r="DK93" s="427"/>
      <c r="DL93" s="427"/>
      <c r="DM93" s="427"/>
      <c r="DN93" s="427"/>
      <c r="DO93" s="427"/>
      <c r="DP93" s="427"/>
      <c r="DQ93" s="427"/>
      <c r="DR93" s="427"/>
      <c r="DS93" s="427"/>
      <c r="DT93" s="427"/>
      <c r="DU93" s="427"/>
      <c r="DV93" s="427"/>
      <c r="DW93" s="427"/>
      <c r="DX93" s="427"/>
      <c r="DY93" s="427"/>
      <c r="DZ93" s="427"/>
      <c r="EA93" s="427"/>
      <c r="EB93" s="427"/>
      <c r="EC93" s="427"/>
      <c r="ED93" s="427"/>
      <c r="EE93" s="427"/>
      <c r="EF93" s="427"/>
      <c r="EG93" s="427"/>
      <c r="EH93" s="427"/>
      <c r="EI93" s="427"/>
      <c r="EJ93" s="427"/>
      <c r="EK93" s="427"/>
      <c r="EL93" s="427"/>
      <c r="EM93" s="427"/>
      <c r="EN93" s="427"/>
      <c r="EO93" s="427"/>
      <c r="EP93" s="427"/>
      <c r="EQ93" s="427"/>
      <c r="ER93" s="427"/>
      <c r="ES93" s="427"/>
      <c r="ET93" s="427"/>
      <c r="EU93" s="427"/>
      <c r="EV93" s="427"/>
      <c r="EW93" s="427"/>
      <c r="EX93" s="427"/>
      <c r="EY93" s="427"/>
      <c r="EZ93" s="427"/>
      <c r="FA93" s="427"/>
      <c r="FB93" s="427"/>
      <c r="FC93" s="427"/>
      <c r="FD93" s="427"/>
      <c r="FE93" s="427"/>
      <c r="FF93" s="427"/>
      <c r="FG93" s="427"/>
      <c r="FH93" s="427"/>
      <c r="FI93" s="427"/>
      <c r="FJ93" s="427"/>
      <c r="FK93" s="427"/>
      <c r="FL93" s="427"/>
      <c r="FM93" s="427"/>
      <c r="FN93" s="427"/>
      <c r="FO93" s="427"/>
      <c r="FP93" s="427"/>
      <c r="FQ93" s="427"/>
      <c r="FR93" s="427"/>
      <c r="FS93" s="427"/>
      <c r="FT93" s="427"/>
      <c r="FU93" s="3"/>
    </row>
    <row r="94" spans="1:182" x14ac:dyDescent="0.25">
      <c r="A94" s="2"/>
      <c r="B94" s="73" t="s">
        <v>497</v>
      </c>
      <c r="C94" s="34"/>
      <c r="D94" s="34"/>
      <c r="E94" s="34"/>
      <c r="F94" s="434"/>
      <c r="G94" s="34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  <c r="S94" s="427"/>
      <c r="T94" s="427"/>
      <c r="U94" s="427"/>
      <c r="V94" s="427"/>
      <c r="W94" s="427"/>
      <c r="X94" s="427"/>
      <c r="Y94" s="427"/>
      <c r="Z94" s="427"/>
      <c r="AA94" s="427"/>
      <c r="AB94" s="427"/>
      <c r="AC94" s="427"/>
      <c r="AD94" s="427"/>
      <c r="AE94" s="427"/>
      <c r="AF94" s="427"/>
      <c r="AG94" s="427"/>
      <c r="AH94" s="427"/>
      <c r="AI94" s="427"/>
      <c r="AJ94" s="427"/>
      <c r="AK94" s="427"/>
      <c r="AL94" s="427"/>
      <c r="AM94" s="427"/>
      <c r="AN94" s="427"/>
      <c r="AO94" s="427"/>
      <c r="AP94" s="427"/>
      <c r="AQ94" s="427"/>
      <c r="AR94" s="427"/>
      <c r="AS94" s="427"/>
      <c r="AT94" s="427"/>
      <c r="AU94" s="427"/>
      <c r="AV94" s="427"/>
      <c r="AW94" s="427"/>
      <c r="AX94" s="427"/>
      <c r="AY94" s="427"/>
      <c r="AZ94" s="427"/>
      <c r="BA94" s="427"/>
      <c r="BB94" s="427"/>
      <c r="BC94" s="427"/>
      <c r="BD94" s="427"/>
      <c r="BE94" s="427"/>
      <c r="BF94" s="427"/>
      <c r="BG94" s="427"/>
      <c r="BH94" s="427"/>
      <c r="BI94" s="427"/>
      <c r="BJ94" s="427"/>
      <c r="BK94" s="427"/>
      <c r="BL94" s="427"/>
      <c r="BM94" s="427"/>
      <c r="BN94" s="427"/>
      <c r="BO94" s="427"/>
      <c r="BP94" s="427"/>
      <c r="BQ94" s="427"/>
      <c r="BR94" s="427"/>
      <c r="BS94" s="427"/>
      <c r="BT94" s="427"/>
      <c r="BU94" s="427"/>
      <c r="BV94" s="427"/>
      <c r="BW94" s="427"/>
      <c r="BX94" s="427"/>
      <c r="BY94" s="427"/>
      <c r="BZ94" s="427"/>
      <c r="CA94" s="427"/>
      <c r="CB94" s="427"/>
      <c r="CC94" s="427"/>
      <c r="CD94" s="427"/>
      <c r="CE94" s="427"/>
      <c r="CF94" s="427"/>
      <c r="CG94" s="427"/>
      <c r="CH94" s="427"/>
      <c r="CI94" s="427"/>
      <c r="CJ94" s="427"/>
      <c r="CK94" s="427"/>
      <c r="CL94" s="427"/>
      <c r="CM94" s="427"/>
      <c r="CN94" s="427"/>
      <c r="CO94" s="427"/>
      <c r="CP94" s="427"/>
      <c r="CQ94" s="427"/>
      <c r="CR94" s="427"/>
      <c r="CS94" s="427"/>
      <c r="CT94" s="427"/>
      <c r="CU94" s="427"/>
      <c r="CV94" s="427"/>
      <c r="CW94" s="427"/>
      <c r="CX94" s="427"/>
      <c r="CY94" s="427"/>
      <c r="CZ94" s="427"/>
      <c r="DA94" s="427"/>
      <c r="DB94" s="427"/>
      <c r="DC94" s="427"/>
      <c r="DD94" s="427"/>
      <c r="DE94" s="427"/>
      <c r="DF94" s="427"/>
      <c r="DG94" s="427"/>
      <c r="DH94" s="427"/>
      <c r="DI94" s="427"/>
      <c r="DJ94" s="427"/>
      <c r="DK94" s="427"/>
      <c r="DL94" s="427"/>
      <c r="DM94" s="427"/>
      <c r="DN94" s="427"/>
      <c r="DO94" s="427"/>
      <c r="DP94" s="427"/>
      <c r="DQ94" s="427"/>
      <c r="DR94" s="427"/>
      <c r="DS94" s="427"/>
      <c r="DT94" s="427"/>
      <c r="DU94" s="427"/>
      <c r="DV94" s="427"/>
      <c r="DW94" s="427"/>
      <c r="DX94" s="427"/>
      <c r="DY94" s="427"/>
      <c r="DZ94" s="427"/>
      <c r="EA94" s="427"/>
      <c r="EB94" s="427"/>
      <c r="EC94" s="427"/>
      <c r="ED94" s="427"/>
      <c r="EE94" s="427"/>
      <c r="EF94" s="427"/>
      <c r="EG94" s="427"/>
      <c r="EH94" s="427"/>
      <c r="EI94" s="427"/>
      <c r="EJ94" s="427"/>
      <c r="EK94" s="427"/>
      <c r="EL94" s="427"/>
      <c r="EM94" s="427"/>
      <c r="EN94" s="427"/>
      <c r="EO94" s="427"/>
      <c r="EP94" s="427"/>
      <c r="EQ94" s="427"/>
      <c r="ER94" s="427"/>
      <c r="ES94" s="427"/>
      <c r="ET94" s="427"/>
      <c r="EU94" s="427"/>
      <c r="EV94" s="427"/>
      <c r="EW94" s="427"/>
      <c r="EX94" s="427"/>
      <c r="EY94" s="427"/>
      <c r="EZ94" s="427"/>
      <c r="FA94" s="427"/>
      <c r="FB94" s="427"/>
      <c r="FC94" s="427"/>
      <c r="FD94" s="427"/>
      <c r="FE94" s="427"/>
      <c r="FF94" s="427"/>
      <c r="FG94" s="427"/>
      <c r="FH94" s="427"/>
      <c r="FI94" s="427"/>
      <c r="FJ94" s="427"/>
      <c r="FK94" s="427"/>
      <c r="FL94" s="427"/>
      <c r="FM94" s="427"/>
      <c r="FN94" s="427"/>
      <c r="FO94" s="427"/>
      <c r="FP94" s="427"/>
      <c r="FQ94" s="427"/>
      <c r="FR94" s="427"/>
      <c r="FS94" s="427"/>
      <c r="FT94" s="427"/>
      <c r="FU94" s="3"/>
    </row>
    <row r="95" spans="1:182" s="89" customFormat="1" ht="13.5" x14ac:dyDescent="0.25">
      <c r="A95" s="34"/>
      <c r="B95" s="128" t="str">
        <f>'Operating Assumptions'!K23</f>
        <v>Management Fee</v>
      </c>
      <c r="C95" s="34"/>
      <c r="D95" s="34"/>
      <c r="E95" s="34"/>
      <c r="F95" s="434">
        <f>SUM(H95:FT95)</f>
        <v>-1729075.6913068627</v>
      </c>
      <c r="G95" s="34"/>
      <c r="H95" s="427">
        <f>-IF(OR(H$9&lt;'Operating Assumptions'!$D$53,H$6&gt;'Operating Assumptions'!$AA$8,'Operating Assumptions'!$L23="N/A"),0,IF('Operating Assumptions'!$L23="% of Total Revenue",'Operating Assumptions'!$M23*H$65,IF('Operating Assumptions'!$L23="%/EGI",'Operating Assumptions'!$M23*H$76,IF('Operating Assumptions'!$L23="$/Unit/Annual",(('Operating Assumptions'!$M23*H$25)*H$36)/12,IF('Operating Assumptions'!$L23="$/Unit/Month",('Operating Assumptions'!$M23*H$25)*H$36,IF('Operating Assumptions'!$L23="Fixed Amount",('Operating Assumptions'!$M23*H$25)/12))))))</f>
        <v>0</v>
      </c>
      <c r="I95" s="427">
        <f>-IF(OR(I$9&lt;'Operating Assumptions'!$D$53,I$6&gt;'Operating Assumptions'!$AA$8,'Operating Assumptions'!$L23="N/A"),0,IF('Operating Assumptions'!$L23="% of Total Revenue",'Operating Assumptions'!$M23*I$65,IF('Operating Assumptions'!$L23="%/EGI",'Operating Assumptions'!$M23*I$76,IF('Operating Assumptions'!$L23="$/Unit/Annual",(('Operating Assumptions'!$M23*I$25)*I$36)/12,IF('Operating Assumptions'!$L23="$/Unit/Month",('Operating Assumptions'!$M23*I$25)*I$36,IF('Operating Assumptions'!$L23="Fixed Amount",('Operating Assumptions'!$M23*I$25)/12))))))</f>
        <v>0</v>
      </c>
      <c r="J95" s="427">
        <f>-IF(OR(J$9&lt;'Operating Assumptions'!$D$53,J$6&gt;'Operating Assumptions'!$AA$8,'Operating Assumptions'!$L23="N/A"),0,IF('Operating Assumptions'!$L23="% of Total Revenue",'Operating Assumptions'!$M23*J$65,IF('Operating Assumptions'!$L23="%/EGI",'Operating Assumptions'!$M23*J$76,IF('Operating Assumptions'!$L23="$/Unit/Annual",(('Operating Assumptions'!$M23*J$25)*J$36)/12,IF('Operating Assumptions'!$L23="$/Unit/Month",('Operating Assumptions'!$M23*J$25)*J$36,IF('Operating Assumptions'!$L23="Fixed Amount",('Operating Assumptions'!$M23*J$25)/12))))))</f>
        <v>0</v>
      </c>
      <c r="K95" s="427">
        <f>-IF(OR(K$9&lt;'Operating Assumptions'!$D$53,K$6&gt;'Operating Assumptions'!$AA$8,'Operating Assumptions'!$L23="N/A"),0,IF('Operating Assumptions'!$L23="% of Total Revenue",'Operating Assumptions'!$M23*K$65,IF('Operating Assumptions'!$L23="%/EGI",'Operating Assumptions'!$M23*K$76,IF('Operating Assumptions'!$L23="$/Unit/Annual",(('Operating Assumptions'!$M23*K$25)*K$36)/12,IF('Operating Assumptions'!$L23="$/Unit/Month",('Operating Assumptions'!$M23*K$25)*K$36,IF('Operating Assumptions'!$L23="Fixed Amount",('Operating Assumptions'!$M23*K$25)/12))))))</f>
        <v>0</v>
      </c>
      <c r="L95" s="427">
        <f>-IF(OR(L$9&lt;'Operating Assumptions'!$D$53,L$6&gt;'Operating Assumptions'!$AA$8,'Operating Assumptions'!$L23="N/A"),0,IF('Operating Assumptions'!$L23="% of Total Revenue",'Operating Assumptions'!$M23*L$65,IF('Operating Assumptions'!$L23="%/EGI",'Operating Assumptions'!$M23*L$76,IF('Operating Assumptions'!$L23="$/Unit/Annual",(('Operating Assumptions'!$M23*L$25)*L$36)/12,IF('Operating Assumptions'!$L23="$/Unit/Month",('Operating Assumptions'!$M23*L$25)*L$36,IF('Operating Assumptions'!$L23="Fixed Amount",('Operating Assumptions'!$M23*L$25)/12))))))</f>
        <v>0</v>
      </c>
      <c r="M95" s="427">
        <f>-IF(OR(M$9&lt;'Operating Assumptions'!$D$53,M$6&gt;'Operating Assumptions'!$AA$8,'Operating Assumptions'!$L23="N/A"),0,IF('Operating Assumptions'!$L23="% of Total Revenue",'Operating Assumptions'!$M23*M$65,IF('Operating Assumptions'!$L23="%/EGI",'Operating Assumptions'!$M23*M$76,IF('Operating Assumptions'!$L23="$/Unit/Annual",(('Operating Assumptions'!$M23*M$25)*M$36)/12,IF('Operating Assumptions'!$L23="$/Unit/Month",('Operating Assumptions'!$M23*M$25)*M$36,IF('Operating Assumptions'!$L23="Fixed Amount",('Operating Assumptions'!$M23*M$25)/12))))))</f>
        <v>0</v>
      </c>
      <c r="N95" s="427">
        <f>-IF(OR(N$9&lt;'Operating Assumptions'!$D$53,N$6&gt;'Operating Assumptions'!$AA$8,'Operating Assumptions'!$L23="N/A"),0,IF('Operating Assumptions'!$L23="% of Total Revenue",'Operating Assumptions'!$M23*N$65,IF('Operating Assumptions'!$L23="%/EGI",'Operating Assumptions'!$M23*N$76,IF('Operating Assumptions'!$L23="$/Unit/Annual",(('Operating Assumptions'!$M23*N$25)*N$36)/12,IF('Operating Assumptions'!$L23="$/Unit/Month",('Operating Assumptions'!$M23*N$25)*N$36,IF('Operating Assumptions'!$L23="Fixed Amount",('Operating Assumptions'!$M23*N$25)/12))))))</f>
        <v>0</v>
      </c>
      <c r="O95" s="427">
        <f>-IF(OR(O$9&lt;'Operating Assumptions'!$D$53,O$6&gt;'Operating Assumptions'!$AA$8,'Operating Assumptions'!$L23="N/A"),0,IF('Operating Assumptions'!$L23="% of Total Revenue",'Operating Assumptions'!$M23*O$65,IF('Operating Assumptions'!$L23="%/EGI",'Operating Assumptions'!$M23*O$76,IF('Operating Assumptions'!$L23="$/Unit/Annual",(('Operating Assumptions'!$M23*O$25)*O$36)/12,IF('Operating Assumptions'!$L23="$/Unit/Month",('Operating Assumptions'!$M23*O$25)*O$36,IF('Operating Assumptions'!$L23="Fixed Amount",('Operating Assumptions'!$M23*O$25)/12))))))</f>
        <v>0</v>
      </c>
      <c r="P95" s="427">
        <f>-IF(OR(P$9&lt;'Operating Assumptions'!$D$53,P$6&gt;'Operating Assumptions'!$AA$8,'Operating Assumptions'!$L23="N/A"),0,IF('Operating Assumptions'!$L23="% of Total Revenue",'Operating Assumptions'!$M23*P$65,IF('Operating Assumptions'!$L23="%/EGI",'Operating Assumptions'!$M23*P$76,IF('Operating Assumptions'!$L23="$/Unit/Annual",(('Operating Assumptions'!$M23*P$25)*P$36)/12,IF('Operating Assumptions'!$L23="$/Unit/Month",('Operating Assumptions'!$M23*P$25)*P$36,IF('Operating Assumptions'!$L23="Fixed Amount",('Operating Assumptions'!$M23*P$25)/12))))))</f>
        <v>0</v>
      </c>
      <c r="Q95" s="427">
        <f>-IF(OR(Q$9&lt;'Operating Assumptions'!$D$53,Q$6&gt;'Operating Assumptions'!$AA$8,'Operating Assumptions'!$L23="N/A"),0,IF('Operating Assumptions'!$L23="% of Total Revenue",'Operating Assumptions'!$M23*Q$65,IF('Operating Assumptions'!$L23="%/EGI",'Operating Assumptions'!$M23*Q$76,IF('Operating Assumptions'!$L23="$/Unit/Annual",(('Operating Assumptions'!$M23*Q$25)*Q$36)/12,IF('Operating Assumptions'!$L23="$/Unit/Month",('Operating Assumptions'!$M23*Q$25)*Q$36,IF('Operating Assumptions'!$L23="Fixed Amount",('Operating Assumptions'!$M23*Q$25)/12))))))</f>
        <v>0</v>
      </c>
      <c r="R95" s="427">
        <f>-IF(OR(R$9&lt;'Operating Assumptions'!$D$53,R$6&gt;'Operating Assumptions'!$AA$8,'Operating Assumptions'!$L23="N/A"),0,IF('Operating Assumptions'!$L23="% of Total Revenue",'Operating Assumptions'!$M23*R$65,IF('Operating Assumptions'!$L23="%/EGI",'Operating Assumptions'!$M23*R$76,IF('Operating Assumptions'!$L23="$/Unit/Annual",(('Operating Assumptions'!$M23*R$25)*R$36)/12,IF('Operating Assumptions'!$L23="$/Unit/Month",('Operating Assumptions'!$M23*R$25)*R$36,IF('Operating Assumptions'!$L23="Fixed Amount",('Operating Assumptions'!$M23*R$25)/12))))))</f>
        <v>0</v>
      </c>
      <c r="S95" s="427">
        <f>-IF(OR(S$9&lt;'Operating Assumptions'!$D$53,S$6&gt;'Operating Assumptions'!$AA$8,'Operating Assumptions'!$L23="N/A"),0,IF('Operating Assumptions'!$L23="% of Total Revenue",'Operating Assumptions'!$M23*S$65,IF('Operating Assumptions'!$L23="%/EGI",'Operating Assumptions'!$M23*S$76,IF('Operating Assumptions'!$L23="$/Unit/Annual",(('Operating Assumptions'!$M23*S$25)*S$36)/12,IF('Operating Assumptions'!$L23="$/Unit/Month",('Operating Assumptions'!$M23*S$25)*S$36,IF('Operating Assumptions'!$L23="Fixed Amount",('Operating Assumptions'!$M23*S$25)/12))))))</f>
        <v>0</v>
      </c>
      <c r="T95" s="427">
        <f>-IF(OR(T$9&lt;'Operating Assumptions'!$D$53,T$6&gt;'Operating Assumptions'!$AA$8,'Operating Assumptions'!$L23="N/A"),0,IF('Operating Assumptions'!$L23="% of Total Revenue",'Operating Assumptions'!$M23*T$65,IF('Operating Assumptions'!$L23="%/EGI",'Operating Assumptions'!$M23*T$76,IF('Operating Assumptions'!$L23="$/Unit/Annual",(('Operating Assumptions'!$M23*T$25)*T$36)/12,IF('Operating Assumptions'!$L23="$/Unit/Month",('Operating Assumptions'!$M23*T$25)*T$36,IF('Operating Assumptions'!$L23="Fixed Amount",('Operating Assumptions'!$M23*T$25)/12))))))</f>
        <v>0</v>
      </c>
      <c r="U95" s="427">
        <f>-IF(OR(U$9&lt;'Operating Assumptions'!$D$53,U$6&gt;'Operating Assumptions'!$AA$8,'Operating Assumptions'!$L23="N/A"),0,IF('Operating Assumptions'!$L23="% of Total Revenue",'Operating Assumptions'!$M23*U$65,IF('Operating Assumptions'!$L23="%/EGI",'Operating Assumptions'!$M23*U$76,IF('Operating Assumptions'!$L23="$/Unit/Annual",(('Operating Assumptions'!$M23*U$25)*U$36)/12,IF('Operating Assumptions'!$L23="$/Unit/Month",('Operating Assumptions'!$M23*U$25)*U$36,IF('Operating Assumptions'!$L23="Fixed Amount",('Operating Assumptions'!$M23*U$25)/12))))))</f>
        <v>0</v>
      </c>
      <c r="V95" s="427">
        <f>-IF(OR(V$9&lt;'Operating Assumptions'!$D$53,V$6&gt;'Operating Assumptions'!$AA$8,'Operating Assumptions'!$L23="N/A"),0,IF('Operating Assumptions'!$L23="% of Total Revenue",'Operating Assumptions'!$M23*V$65,IF('Operating Assumptions'!$L23="%/EGI",'Operating Assumptions'!$M23*V$76,IF('Operating Assumptions'!$L23="$/Unit/Annual",(('Operating Assumptions'!$M23*V$25)*V$36)/12,IF('Operating Assumptions'!$L23="$/Unit/Month",('Operating Assumptions'!$M23*V$25)*V$36,IF('Operating Assumptions'!$L23="Fixed Amount",('Operating Assumptions'!$M23*V$25)/12))))))</f>
        <v>0</v>
      </c>
      <c r="W95" s="427">
        <f>-IF(OR(W$9&lt;'Operating Assumptions'!$D$53,W$6&gt;'Operating Assumptions'!$AA$8,'Operating Assumptions'!$L23="N/A"),0,IF('Operating Assumptions'!$L23="% of Total Revenue",'Operating Assumptions'!$M23*W$65,IF('Operating Assumptions'!$L23="%/EGI",'Operating Assumptions'!$M23*W$76,IF('Operating Assumptions'!$L23="$/Unit/Annual",(('Operating Assumptions'!$M23*W$25)*W$36)/12,IF('Operating Assumptions'!$L23="$/Unit/Month",('Operating Assumptions'!$M23*W$25)*W$36,IF('Operating Assumptions'!$L23="Fixed Amount",('Operating Assumptions'!$M23*W$25)/12))))))</f>
        <v>0</v>
      </c>
      <c r="X95" s="427">
        <f>-IF(OR(X$9&lt;'Operating Assumptions'!$D$53,X$6&gt;'Operating Assumptions'!$AA$8,'Operating Assumptions'!$L23="N/A"),0,IF('Operating Assumptions'!$L23="% of Total Revenue",'Operating Assumptions'!$M23*X$65,IF('Operating Assumptions'!$L23="%/EGI",'Operating Assumptions'!$M23*X$76,IF('Operating Assumptions'!$L23="$/Unit/Annual",(('Operating Assumptions'!$M23*X$25)*X$36)/12,IF('Operating Assumptions'!$L23="$/Unit/Month",('Operating Assumptions'!$M23*X$25)*X$36,IF('Operating Assumptions'!$L23="Fixed Amount",('Operating Assumptions'!$M23*X$25)/12))))))</f>
        <v>0</v>
      </c>
      <c r="Y95" s="427">
        <f>-IF(OR(Y$9&lt;'Operating Assumptions'!$D$53,Y$6&gt;'Operating Assumptions'!$AA$8,'Operating Assumptions'!$L23="N/A"),0,IF('Operating Assumptions'!$L23="% of Total Revenue",'Operating Assumptions'!$M23*Y$65,IF('Operating Assumptions'!$L23="%/EGI",'Operating Assumptions'!$M23*Y$76,IF('Operating Assumptions'!$L23="$/Unit/Annual",(('Operating Assumptions'!$M23*Y$25)*Y$36)/12,IF('Operating Assumptions'!$L23="$/Unit/Month",('Operating Assumptions'!$M23*Y$25)*Y$36,IF('Operating Assumptions'!$L23="Fixed Amount",('Operating Assumptions'!$M23*Y$25)/12))))))</f>
        <v>-1134.5676469881537</v>
      </c>
      <c r="Z95" s="427">
        <f>-IF(OR(Z$9&lt;'Operating Assumptions'!$D$53,Z$6&gt;'Operating Assumptions'!$AA$8,'Operating Assumptions'!$L23="N/A"),0,IF('Operating Assumptions'!$L23="% of Total Revenue",'Operating Assumptions'!$M23*Z$65,IF('Operating Assumptions'!$L23="%/EGI",'Operating Assumptions'!$M23*Z$76,IF('Operating Assumptions'!$L23="$/Unit/Annual",(('Operating Assumptions'!$M23*Z$25)*Z$36)/12,IF('Operating Assumptions'!$L23="$/Unit/Month",('Operating Assumptions'!$M23*Z$25)*Z$36,IF('Operating Assumptions'!$L23="Fixed Amount",('Operating Assumptions'!$M23*Z$25)/12))))))</f>
        <v>-2215.1082631673476</v>
      </c>
      <c r="AA95" s="427">
        <f>-IF(OR(AA$9&lt;'Operating Assumptions'!$D$53,AA$6&gt;'Operating Assumptions'!$AA$8,'Operating Assumptions'!$L23="N/A"),0,IF('Operating Assumptions'!$L23="% of Total Revenue",'Operating Assumptions'!$M23*AA$65,IF('Operating Assumptions'!$L23="%/EGI",'Operating Assumptions'!$M23*AA$76,IF('Operating Assumptions'!$L23="$/Unit/Annual",(('Operating Assumptions'!$M23*AA$25)*AA$36)/12,IF('Operating Assumptions'!$L23="$/Unit/Month",('Operating Assumptions'!$M23*AA$25)*AA$36,IF('Operating Assumptions'!$L23="Fixed Amount",('Operating Assumptions'!$M23*AA$25)/12))))))</f>
        <v>-3295.6488793465414</v>
      </c>
      <c r="AB95" s="427">
        <f>-IF(OR(AB$9&lt;'Operating Assumptions'!$D$53,AB$6&gt;'Operating Assumptions'!$AA$8,'Operating Assumptions'!$L23="N/A"),0,IF('Operating Assumptions'!$L23="% of Total Revenue",'Operating Assumptions'!$M23*AB$65,IF('Operating Assumptions'!$L23="%/EGI",'Operating Assumptions'!$M23*AB$76,IF('Operating Assumptions'!$L23="$/Unit/Annual",(('Operating Assumptions'!$M23*AB$25)*AB$36)/12,IF('Operating Assumptions'!$L23="$/Unit/Month",('Operating Assumptions'!$M23*AB$25)*AB$36,IF('Operating Assumptions'!$L23="Fixed Amount",('Operating Assumptions'!$M23*AB$25)/12))))))</f>
        <v>-4376.1894955257358</v>
      </c>
      <c r="AC95" s="427">
        <f>-IF(OR(AC$9&lt;'Operating Assumptions'!$D$53,AC$6&gt;'Operating Assumptions'!$AA$8,'Operating Assumptions'!$L23="N/A"),0,IF('Operating Assumptions'!$L23="% of Total Revenue",'Operating Assumptions'!$M23*AC$65,IF('Operating Assumptions'!$L23="%/EGI",'Operating Assumptions'!$M23*AC$76,IF('Operating Assumptions'!$L23="$/Unit/Annual",(('Operating Assumptions'!$M23*AC$25)*AC$36)/12,IF('Operating Assumptions'!$L23="$/Unit/Month",('Operating Assumptions'!$M23*AC$25)*AC$36,IF('Operating Assumptions'!$L23="Fixed Amount",('Operating Assumptions'!$M23*AC$25)/12))))))</f>
        <v>-5456.7301117049292</v>
      </c>
      <c r="AD95" s="427">
        <f>-IF(OR(AD$9&lt;'Operating Assumptions'!$D$53,AD$6&gt;'Operating Assumptions'!$AA$8,'Operating Assumptions'!$L23="N/A"),0,IF('Operating Assumptions'!$L23="% of Total Revenue",'Operating Assumptions'!$M23*AD$65,IF('Operating Assumptions'!$L23="%/EGI",'Operating Assumptions'!$M23*AD$76,IF('Operating Assumptions'!$L23="$/Unit/Annual",(('Operating Assumptions'!$M23*AD$25)*AD$36)/12,IF('Operating Assumptions'!$L23="$/Unit/Month",('Operating Assumptions'!$M23*AD$25)*AD$36,IF('Operating Assumptions'!$L23="Fixed Amount",('Operating Assumptions'!$M23*AD$25)/12))))))</f>
        <v>-6537.2707278841235</v>
      </c>
      <c r="AE95" s="427">
        <f>-IF(OR(AE$9&lt;'Operating Assumptions'!$D$53,AE$6&gt;'Operating Assumptions'!$AA$8,'Operating Assumptions'!$L23="N/A"),0,IF('Operating Assumptions'!$L23="% of Total Revenue",'Operating Assumptions'!$M23*AE$65,IF('Operating Assumptions'!$L23="%/EGI",'Operating Assumptions'!$M23*AE$76,IF('Operating Assumptions'!$L23="$/Unit/Annual",(('Operating Assumptions'!$M23*AE$25)*AE$36)/12,IF('Operating Assumptions'!$L23="$/Unit/Month",('Operating Assumptions'!$M23*AE$25)*AE$36,IF('Operating Assumptions'!$L23="Fixed Amount",('Operating Assumptions'!$M23*AE$25)/12))))))</f>
        <v>-6753.3788511199618</v>
      </c>
      <c r="AF95" s="427">
        <f>-IF(OR(AF$9&lt;'Operating Assumptions'!$D$53,AF$6&gt;'Operating Assumptions'!$AA$8,'Operating Assumptions'!$L23="N/A"),0,IF('Operating Assumptions'!$L23="% of Total Revenue",'Operating Assumptions'!$M23*AF$65,IF('Operating Assumptions'!$L23="%/EGI",'Operating Assumptions'!$M23*AF$76,IF('Operating Assumptions'!$L23="$/Unit/Annual",(('Operating Assumptions'!$M23*AF$25)*AF$36)/12,IF('Operating Assumptions'!$L23="$/Unit/Month",('Operating Assumptions'!$M23*AF$25)*AF$36,IF('Operating Assumptions'!$L23="Fixed Amount",('Operating Assumptions'!$M23*AF$25)/12))))))</f>
        <v>-6888.4464281423616</v>
      </c>
      <c r="AG95" s="427">
        <f>-IF(OR(AG$9&lt;'Operating Assumptions'!$D$53,AG$6&gt;'Operating Assumptions'!$AA$8,'Operating Assumptions'!$L23="N/A"),0,IF('Operating Assumptions'!$L23="% of Total Revenue",'Operating Assumptions'!$M23*AG$65,IF('Operating Assumptions'!$L23="%/EGI",'Operating Assumptions'!$M23*AG$76,IF('Operating Assumptions'!$L23="$/Unit/Annual",(('Operating Assumptions'!$M23*AG$25)*AG$36)/12,IF('Operating Assumptions'!$L23="$/Unit/Month",('Operating Assumptions'!$M23*AG$25)*AG$36,IF('Operating Assumptions'!$L23="Fixed Amount",('Operating Assumptions'!$M23*AG$25)/12))))))</f>
        <v>-6888.4464281423616</v>
      </c>
      <c r="AH95" s="427">
        <f>-IF(OR(AH$9&lt;'Operating Assumptions'!$D$53,AH$6&gt;'Operating Assumptions'!$AA$8,'Operating Assumptions'!$L23="N/A"),0,IF('Operating Assumptions'!$L23="% of Total Revenue",'Operating Assumptions'!$M23*AH$65,IF('Operating Assumptions'!$L23="%/EGI",'Operating Assumptions'!$M23*AH$76,IF('Operating Assumptions'!$L23="$/Unit/Annual",(('Operating Assumptions'!$M23*AH$25)*AH$36)/12,IF('Operating Assumptions'!$L23="$/Unit/Month",('Operating Assumptions'!$M23*AH$25)*AH$36,IF('Operating Assumptions'!$L23="Fixed Amount",('Operating Assumptions'!$M23*AH$25)/12))))))</f>
        <v>-7990.5978566451395</v>
      </c>
      <c r="AI95" s="427">
        <f>-IF(OR(AI$9&lt;'Operating Assumptions'!$D$53,AI$6&gt;'Operating Assumptions'!$AA$8,'Operating Assumptions'!$L23="N/A"),0,IF('Operating Assumptions'!$L23="% of Total Revenue",'Operating Assumptions'!$M23*AI$65,IF('Operating Assumptions'!$L23="%/EGI",'Operating Assumptions'!$M23*AI$76,IF('Operating Assumptions'!$L23="$/Unit/Annual",(('Operating Assumptions'!$M23*AI$25)*AI$36)/12,IF('Operating Assumptions'!$L23="$/Unit/Month",('Operating Assumptions'!$M23*AI$25)*AI$36,IF('Operating Assumptions'!$L23="Fixed Amount",('Operating Assumptions'!$M23*AI$25)/12))))))</f>
        <v>-9092.7492851479165</v>
      </c>
      <c r="AJ95" s="427">
        <f>-IF(OR(AJ$9&lt;'Operating Assumptions'!$D$53,AJ$6&gt;'Operating Assumptions'!$AA$8,'Operating Assumptions'!$L23="N/A"),0,IF('Operating Assumptions'!$L23="% of Total Revenue",'Operating Assumptions'!$M23*AJ$65,IF('Operating Assumptions'!$L23="%/EGI",'Operating Assumptions'!$M23*AJ$76,IF('Operating Assumptions'!$L23="$/Unit/Annual",(('Operating Assumptions'!$M23*AJ$25)*AJ$36)/12,IF('Operating Assumptions'!$L23="$/Unit/Month",('Operating Assumptions'!$M23*AJ$25)*AJ$36,IF('Operating Assumptions'!$L23="Fixed Amount",('Operating Assumptions'!$M23*AJ$25)/12))))))</f>
        <v>-10194.900713650695</v>
      </c>
      <c r="AK95" s="427">
        <f>-IF(OR(AK$9&lt;'Operating Assumptions'!$D$53,AK$6&gt;'Operating Assumptions'!$AA$8,'Operating Assumptions'!$L23="N/A"),0,IF('Operating Assumptions'!$L23="% of Total Revenue",'Operating Assumptions'!$M23*AK$65,IF('Operating Assumptions'!$L23="%/EGI",'Operating Assumptions'!$M23*AK$76,IF('Operating Assumptions'!$L23="$/Unit/Annual",(('Operating Assumptions'!$M23*AK$25)*AK$36)/12,IF('Operating Assumptions'!$L23="$/Unit/Month",('Operating Assumptions'!$M23*AK$25)*AK$36,IF('Operating Assumptions'!$L23="Fixed Amount",('Operating Assumptions'!$M23*AK$25)/12))))))</f>
        <v>-11297.052142153472</v>
      </c>
      <c r="AL95" s="427">
        <f>-IF(OR(AL$9&lt;'Operating Assumptions'!$D$53,AL$6&gt;'Operating Assumptions'!$AA$8,'Operating Assumptions'!$L23="N/A"),0,IF('Operating Assumptions'!$L23="% of Total Revenue",'Operating Assumptions'!$M23*AL$65,IF('Operating Assumptions'!$L23="%/EGI",'Operating Assumptions'!$M23*AL$76,IF('Operating Assumptions'!$L23="$/Unit/Annual",(('Operating Assumptions'!$M23*AL$25)*AL$36)/12,IF('Operating Assumptions'!$L23="$/Unit/Month",('Operating Assumptions'!$M23*AL$25)*AL$36,IF('Operating Assumptions'!$L23="Fixed Amount",('Operating Assumptions'!$M23*AL$25)/12))))))</f>
        <v>-12399.203570656251</v>
      </c>
      <c r="AM95" s="427">
        <f>-IF(OR(AM$9&lt;'Operating Assumptions'!$D$53,AM$6&gt;'Operating Assumptions'!$AA$8,'Operating Assumptions'!$L23="N/A"),0,IF('Operating Assumptions'!$L23="% of Total Revenue",'Operating Assumptions'!$M23*AM$65,IF('Operating Assumptions'!$L23="%/EGI",'Operating Assumptions'!$M23*AM$76,IF('Operating Assumptions'!$L23="$/Unit/Annual",(('Operating Assumptions'!$M23*AM$25)*AM$36)/12,IF('Operating Assumptions'!$L23="$/Unit/Month",('Operating Assumptions'!$M23*AM$25)*AM$36,IF('Operating Assumptions'!$L23="Fixed Amount",('Operating Assumptions'!$M23*AM$25)/12))))))</f>
        <v>-13225.817142033333</v>
      </c>
      <c r="AN95" s="427">
        <f>-IF(OR(AN$9&lt;'Operating Assumptions'!$D$53,AN$6&gt;'Operating Assumptions'!$AA$8,'Operating Assumptions'!$L23="N/A"),0,IF('Operating Assumptions'!$L23="% of Total Revenue",'Operating Assumptions'!$M23*AN$65,IF('Operating Assumptions'!$L23="%/EGI",'Operating Assumptions'!$M23*AN$76,IF('Operating Assumptions'!$L23="$/Unit/Annual",(('Operating Assumptions'!$M23*AN$25)*AN$36)/12,IF('Operating Assumptions'!$L23="$/Unit/Month",('Operating Assumptions'!$M23*AN$25)*AN$36,IF('Operating Assumptions'!$L23="Fixed Amount",('Operating Assumptions'!$M23*AN$25)/12))))))</f>
        <v>-13225.817142033333</v>
      </c>
      <c r="AO95" s="427">
        <f>-IF(OR(AO$9&lt;'Operating Assumptions'!$D$53,AO$6&gt;'Operating Assumptions'!$AA$8,'Operating Assumptions'!$L23="N/A"),0,IF('Operating Assumptions'!$L23="% of Total Revenue",'Operating Assumptions'!$M23*AO$65,IF('Operating Assumptions'!$L23="%/EGI",'Operating Assumptions'!$M23*AO$76,IF('Operating Assumptions'!$L23="$/Unit/Annual",(('Operating Assumptions'!$M23*AO$25)*AO$36)/12,IF('Operating Assumptions'!$L23="$/Unit/Month",('Operating Assumptions'!$M23*AO$25)*AO$36,IF('Operating Assumptions'!$L23="Fixed Amount",('Operating Assumptions'!$M23*AO$25)/12))))))</f>
        <v>-13225.817142033333</v>
      </c>
      <c r="AP95" s="427">
        <f>-IF(OR(AP$9&lt;'Operating Assumptions'!$D$53,AP$6&gt;'Operating Assumptions'!$AA$8,'Operating Assumptions'!$L23="N/A"),0,IF('Operating Assumptions'!$L23="% of Total Revenue",'Operating Assumptions'!$M23*AP$65,IF('Operating Assumptions'!$L23="%/EGI",'Operating Assumptions'!$M23*AP$76,IF('Operating Assumptions'!$L23="$/Unit/Annual",(('Operating Assumptions'!$M23*AP$25)*AP$36)/12,IF('Operating Assumptions'!$L23="$/Unit/Month",('Operating Assumptions'!$M23*AP$25)*AP$36,IF('Operating Assumptions'!$L23="Fixed Amount",('Operating Assumptions'!$M23*AP$25)/12))))))</f>
        <v>-13225.817142033333</v>
      </c>
      <c r="AQ95" s="427">
        <f>-IF(OR(AQ$9&lt;'Operating Assumptions'!$D$53,AQ$6&gt;'Operating Assumptions'!$AA$8,'Operating Assumptions'!$L23="N/A"),0,IF('Operating Assumptions'!$L23="% of Total Revenue",'Operating Assumptions'!$M23*AQ$65,IF('Operating Assumptions'!$L23="%/EGI",'Operating Assumptions'!$M23*AQ$76,IF('Operating Assumptions'!$L23="$/Unit/Annual",(('Operating Assumptions'!$M23*AQ$25)*AQ$36)/12,IF('Operating Assumptions'!$L23="$/Unit/Month",('Operating Assumptions'!$M23*AQ$25)*AQ$36,IF('Operating Assumptions'!$L23="Fixed Amount",('Operating Assumptions'!$M23*AQ$25)/12))))))</f>
        <v>-13225.817142033333</v>
      </c>
      <c r="AR95" s="427">
        <f>-IF(OR(AR$9&lt;'Operating Assumptions'!$D$53,AR$6&gt;'Operating Assumptions'!$AA$8,'Operating Assumptions'!$L23="N/A"),0,IF('Operating Assumptions'!$L23="% of Total Revenue",'Operating Assumptions'!$M23*AR$65,IF('Operating Assumptions'!$L23="%/EGI",'Operating Assumptions'!$M23*AR$76,IF('Operating Assumptions'!$L23="$/Unit/Annual",(('Operating Assumptions'!$M23*AR$25)*AR$36)/12,IF('Operating Assumptions'!$L23="$/Unit/Month",('Operating Assumptions'!$M23*AR$25)*AR$36,IF('Operating Assumptions'!$L23="Fixed Amount",('Operating Assumptions'!$M23*AR$25)/12))))))</f>
        <v>-13485.146889916343</v>
      </c>
      <c r="AS95" s="427">
        <f>-IF(OR(AS$9&lt;'Operating Assumptions'!$D$53,AS$6&gt;'Operating Assumptions'!$AA$8,'Operating Assumptions'!$L23="N/A"),0,IF('Operating Assumptions'!$L23="% of Total Revenue",'Operating Assumptions'!$M23*AS$65,IF('Operating Assumptions'!$L23="%/EGI",'Operating Assumptions'!$M23*AS$76,IF('Operating Assumptions'!$L23="$/Unit/Annual",(('Operating Assumptions'!$M23*AS$25)*AS$36)/12,IF('Operating Assumptions'!$L23="$/Unit/Month",('Operating Assumptions'!$M23*AS$25)*AS$36,IF('Operating Assumptions'!$L23="Fixed Amount",('Operating Assumptions'!$M23*AS$25)/12))))))</f>
        <v>-13485.146889916343</v>
      </c>
      <c r="AT95" s="427">
        <f>-IF(OR(AT$9&lt;'Operating Assumptions'!$D$53,AT$6&gt;'Operating Assumptions'!$AA$8,'Operating Assumptions'!$L23="N/A"),0,IF('Operating Assumptions'!$L23="% of Total Revenue",'Operating Assumptions'!$M23*AT$65,IF('Operating Assumptions'!$L23="%/EGI",'Operating Assumptions'!$M23*AT$76,IF('Operating Assumptions'!$L23="$/Unit/Annual",(('Operating Assumptions'!$M23*AT$25)*AT$36)/12,IF('Operating Assumptions'!$L23="$/Unit/Month",('Operating Assumptions'!$M23*AT$25)*AT$36,IF('Operating Assumptions'!$L23="Fixed Amount",('Operating Assumptions'!$M23*AT$25)/12))))))</f>
        <v>-13485.146889916343</v>
      </c>
      <c r="AU95" s="427">
        <f>-IF(OR(AU$9&lt;'Operating Assumptions'!$D$53,AU$6&gt;'Operating Assumptions'!$AA$8,'Operating Assumptions'!$L23="N/A"),0,IF('Operating Assumptions'!$L23="% of Total Revenue",'Operating Assumptions'!$M23*AU$65,IF('Operating Assumptions'!$L23="%/EGI",'Operating Assumptions'!$M23*AU$76,IF('Operating Assumptions'!$L23="$/Unit/Annual",(('Operating Assumptions'!$M23*AU$25)*AU$36)/12,IF('Operating Assumptions'!$L23="$/Unit/Month",('Operating Assumptions'!$M23*AU$25)*AU$36,IF('Operating Assumptions'!$L23="Fixed Amount",('Operating Assumptions'!$M23*AU$25)/12))))))</f>
        <v>-13485.146889916343</v>
      </c>
      <c r="AV95" s="427">
        <f>-IF(OR(AV$9&lt;'Operating Assumptions'!$D$53,AV$6&gt;'Operating Assumptions'!$AA$8,'Operating Assumptions'!$L23="N/A"),0,IF('Operating Assumptions'!$L23="% of Total Revenue",'Operating Assumptions'!$M23*AV$65,IF('Operating Assumptions'!$L23="%/EGI",'Operating Assumptions'!$M23*AV$76,IF('Operating Assumptions'!$L23="$/Unit/Annual",(('Operating Assumptions'!$M23*AV$25)*AV$36)/12,IF('Operating Assumptions'!$L23="$/Unit/Month",('Operating Assumptions'!$M23*AV$25)*AV$36,IF('Operating Assumptions'!$L23="Fixed Amount",('Operating Assumptions'!$M23*AV$25)/12))))))</f>
        <v>-13485.146889916343</v>
      </c>
      <c r="AW95" s="427">
        <f>-IF(OR(AW$9&lt;'Operating Assumptions'!$D$53,AW$6&gt;'Operating Assumptions'!$AA$8,'Operating Assumptions'!$L23="N/A"),0,IF('Operating Assumptions'!$L23="% of Total Revenue",'Operating Assumptions'!$M23*AW$65,IF('Operating Assumptions'!$L23="%/EGI",'Operating Assumptions'!$M23*AW$76,IF('Operating Assumptions'!$L23="$/Unit/Annual",(('Operating Assumptions'!$M23*AW$25)*AW$36)/12,IF('Operating Assumptions'!$L23="$/Unit/Month",('Operating Assumptions'!$M23*AW$25)*AW$36,IF('Operating Assumptions'!$L23="Fixed Amount",('Operating Assumptions'!$M23*AW$25)/12))))))</f>
        <v>-13485.146889916343</v>
      </c>
      <c r="AX95" s="427">
        <f>-IF(OR(AX$9&lt;'Operating Assumptions'!$D$53,AX$6&gt;'Operating Assumptions'!$AA$8,'Operating Assumptions'!$L23="N/A"),0,IF('Operating Assumptions'!$L23="% of Total Revenue",'Operating Assumptions'!$M23*AX$65,IF('Operating Assumptions'!$L23="%/EGI",'Operating Assumptions'!$M23*AX$76,IF('Operating Assumptions'!$L23="$/Unit/Annual",(('Operating Assumptions'!$M23*AX$25)*AX$36)/12,IF('Operating Assumptions'!$L23="$/Unit/Month",('Operating Assumptions'!$M23*AX$25)*AX$36,IF('Operating Assumptions'!$L23="Fixed Amount",('Operating Assumptions'!$M23*AX$25)/12))))))</f>
        <v>-13485.146889916343</v>
      </c>
      <c r="AY95" s="427">
        <f>-IF(OR(AY$9&lt;'Operating Assumptions'!$D$53,AY$6&gt;'Operating Assumptions'!$AA$8,'Operating Assumptions'!$L23="N/A"),0,IF('Operating Assumptions'!$L23="% of Total Revenue",'Operating Assumptions'!$M23*AY$65,IF('Operating Assumptions'!$L23="%/EGI",'Operating Assumptions'!$M23*AY$76,IF('Operating Assumptions'!$L23="$/Unit/Annual",(('Operating Assumptions'!$M23*AY$25)*AY$36)/12,IF('Operating Assumptions'!$L23="$/Unit/Month",('Operating Assumptions'!$M23*AY$25)*AY$36,IF('Operating Assumptions'!$L23="Fixed Amount",('Operating Assumptions'!$M23*AY$25)/12))))))</f>
        <v>-13485.146889916343</v>
      </c>
      <c r="AZ95" s="427">
        <f>-IF(OR(AZ$9&lt;'Operating Assumptions'!$D$53,AZ$6&gt;'Operating Assumptions'!$AA$8,'Operating Assumptions'!$L23="N/A"),0,IF('Operating Assumptions'!$L23="% of Total Revenue",'Operating Assumptions'!$M23*AZ$65,IF('Operating Assumptions'!$L23="%/EGI",'Operating Assumptions'!$M23*AZ$76,IF('Operating Assumptions'!$L23="$/Unit/Annual",(('Operating Assumptions'!$M23*AZ$25)*AZ$36)/12,IF('Operating Assumptions'!$L23="$/Unit/Month",('Operating Assumptions'!$M23*AZ$25)*AZ$36,IF('Operating Assumptions'!$L23="Fixed Amount",('Operating Assumptions'!$M23*AZ$25)/12))))))</f>
        <v>-13485.146889916343</v>
      </c>
      <c r="BA95" s="427">
        <f>-IF(OR(BA$9&lt;'Operating Assumptions'!$D$53,BA$6&gt;'Operating Assumptions'!$AA$8,'Operating Assumptions'!$L23="N/A"),0,IF('Operating Assumptions'!$L23="% of Total Revenue",'Operating Assumptions'!$M23*BA$65,IF('Operating Assumptions'!$L23="%/EGI",'Operating Assumptions'!$M23*BA$76,IF('Operating Assumptions'!$L23="$/Unit/Annual",(('Operating Assumptions'!$M23*BA$25)*BA$36)/12,IF('Operating Assumptions'!$L23="$/Unit/Month",('Operating Assumptions'!$M23*BA$25)*BA$36,IF('Operating Assumptions'!$L23="Fixed Amount",('Operating Assumptions'!$M23*BA$25)/12))))))</f>
        <v>-13485.146889916343</v>
      </c>
      <c r="BB95" s="427">
        <f>-IF(OR(BB$9&lt;'Operating Assumptions'!$D$53,BB$6&gt;'Operating Assumptions'!$AA$8,'Operating Assumptions'!$L23="N/A"),0,IF('Operating Assumptions'!$L23="% of Total Revenue",'Operating Assumptions'!$M23*BB$65,IF('Operating Assumptions'!$L23="%/EGI",'Operating Assumptions'!$M23*BB$76,IF('Operating Assumptions'!$L23="$/Unit/Annual",(('Operating Assumptions'!$M23*BB$25)*BB$36)/12,IF('Operating Assumptions'!$L23="$/Unit/Month",('Operating Assumptions'!$M23*BB$25)*BB$36,IF('Operating Assumptions'!$L23="Fixed Amount",('Operating Assumptions'!$M23*BB$25)/12))))))</f>
        <v>-13485.146889916343</v>
      </c>
      <c r="BC95" s="427">
        <f>-IF(OR(BC$9&lt;'Operating Assumptions'!$D$53,BC$6&gt;'Operating Assumptions'!$AA$8,'Operating Assumptions'!$L23="N/A"),0,IF('Operating Assumptions'!$L23="% of Total Revenue",'Operating Assumptions'!$M23*BC$65,IF('Operating Assumptions'!$L23="%/EGI",'Operating Assumptions'!$M23*BC$76,IF('Operating Assumptions'!$L23="$/Unit/Annual",(('Operating Assumptions'!$M23*BC$25)*BC$36)/12,IF('Operating Assumptions'!$L23="$/Unit/Month",('Operating Assumptions'!$M23*BC$25)*BC$36,IF('Operating Assumptions'!$L23="Fixed Amount",('Operating Assumptions'!$M23*BC$25)/12))))))</f>
        <v>-13485.146889916343</v>
      </c>
      <c r="BD95" s="427">
        <f>-IF(OR(BD$9&lt;'Operating Assumptions'!$D$53,BD$6&gt;'Operating Assumptions'!$AA$8,'Operating Assumptions'!$L23="N/A"),0,IF('Operating Assumptions'!$L23="% of Total Revenue",'Operating Assumptions'!$M23*BD$65,IF('Operating Assumptions'!$L23="%/EGI",'Operating Assumptions'!$M23*BD$76,IF('Operating Assumptions'!$L23="$/Unit/Annual",(('Operating Assumptions'!$M23*BD$25)*BD$36)/12,IF('Operating Assumptions'!$L23="$/Unit/Month",('Operating Assumptions'!$M23*BD$25)*BD$36,IF('Operating Assumptions'!$L23="Fixed Amount",('Operating Assumptions'!$M23*BD$25)/12))))))</f>
        <v>-13744.476637799346</v>
      </c>
      <c r="BE95" s="427">
        <f>-IF(OR(BE$9&lt;'Operating Assumptions'!$D$53,BE$6&gt;'Operating Assumptions'!$AA$8,'Operating Assumptions'!$L23="N/A"),0,IF('Operating Assumptions'!$L23="% of Total Revenue",'Operating Assumptions'!$M23*BE$65,IF('Operating Assumptions'!$L23="%/EGI",'Operating Assumptions'!$M23*BE$76,IF('Operating Assumptions'!$L23="$/Unit/Annual",(('Operating Assumptions'!$M23*BE$25)*BE$36)/12,IF('Operating Assumptions'!$L23="$/Unit/Month",('Operating Assumptions'!$M23*BE$25)*BE$36,IF('Operating Assumptions'!$L23="Fixed Amount",('Operating Assumptions'!$M23*BE$25)/12))))))</f>
        <v>-13744.476637799346</v>
      </c>
      <c r="BF95" s="427">
        <f>-IF(OR(BF$9&lt;'Operating Assumptions'!$D$53,BF$6&gt;'Operating Assumptions'!$AA$8,'Operating Assumptions'!$L23="N/A"),0,IF('Operating Assumptions'!$L23="% of Total Revenue",'Operating Assumptions'!$M23*BF$65,IF('Operating Assumptions'!$L23="%/EGI",'Operating Assumptions'!$M23*BF$76,IF('Operating Assumptions'!$L23="$/Unit/Annual",(('Operating Assumptions'!$M23*BF$25)*BF$36)/12,IF('Operating Assumptions'!$L23="$/Unit/Month",('Operating Assumptions'!$M23*BF$25)*BF$36,IF('Operating Assumptions'!$L23="Fixed Amount",('Operating Assumptions'!$M23*BF$25)/12))))))</f>
        <v>-13744.476637799346</v>
      </c>
      <c r="BG95" s="427">
        <f>-IF(OR(BG$9&lt;'Operating Assumptions'!$D$53,BG$6&gt;'Operating Assumptions'!$AA$8,'Operating Assumptions'!$L23="N/A"),0,IF('Operating Assumptions'!$L23="% of Total Revenue",'Operating Assumptions'!$M23*BG$65,IF('Operating Assumptions'!$L23="%/EGI",'Operating Assumptions'!$M23*BG$76,IF('Operating Assumptions'!$L23="$/Unit/Annual",(('Operating Assumptions'!$M23*BG$25)*BG$36)/12,IF('Operating Assumptions'!$L23="$/Unit/Month",('Operating Assumptions'!$M23*BG$25)*BG$36,IF('Operating Assumptions'!$L23="Fixed Amount",('Operating Assumptions'!$M23*BG$25)/12))))))</f>
        <v>-13744.476637799346</v>
      </c>
      <c r="BH95" s="427">
        <f>-IF(OR(BH$9&lt;'Operating Assumptions'!$D$53,BH$6&gt;'Operating Assumptions'!$AA$8,'Operating Assumptions'!$L23="N/A"),0,IF('Operating Assumptions'!$L23="% of Total Revenue",'Operating Assumptions'!$M23*BH$65,IF('Operating Assumptions'!$L23="%/EGI",'Operating Assumptions'!$M23*BH$76,IF('Operating Assumptions'!$L23="$/Unit/Annual",(('Operating Assumptions'!$M23*BH$25)*BH$36)/12,IF('Operating Assumptions'!$L23="$/Unit/Month",('Operating Assumptions'!$M23*BH$25)*BH$36,IF('Operating Assumptions'!$L23="Fixed Amount",('Operating Assumptions'!$M23*BH$25)/12))))))</f>
        <v>-13744.476637799346</v>
      </c>
      <c r="BI95" s="427">
        <f>-IF(OR(BI$9&lt;'Operating Assumptions'!$D$53,BI$6&gt;'Operating Assumptions'!$AA$8,'Operating Assumptions'!$L23="N/A"),0,IF('Operating Assumptions'!$L23="% of Total Revenue",'Operating Assumptions'!$M23*BI$65,IF('Operating Assumptions'!$L23="%/EGI",'Operating Assumptions'!$M23*BI$76,IF('Operating Assumptions'!$L23="$/Unit/Annual",(('Operating Assumptions'!$M23*BI$25)*BI$36)/12,IF('Operating Assumptions'!$L23="$/Unit/Month",('Operating Assumptions'!$M23*BI$25)*BI$36,IF('Operating Assumptions'!$L23="Fixed Amount",('Operating Assumptions'!$M23*BI$25)/12))))))</f>
        <v>-13744.476637799346</v>
      </c>
      <c r="BJ95" s="427">
        <f>-IF(OR(BJ$9&lt;'Operating Assumptions'!$D$53,BJ$6&gt;'Operating Assumptions'!$AA$8,'Operating Assumptions'!$L23="N/A"),0,IF('Operating Assumptions'!$L23="% of Total Revenue",'Operating Assumptions'!$M23*BJ$65,IF('Operating Assumptions'!$L23="%/EGI",'Operating Assumptions'!$M23*BJ$76,IF('Operating Assumptions'!$L23="$/Unit/Annual",(('Operating Assumptions'!$M23*BJ$25)*BJ$36)/12,IF('Operating Assumptions'!$L23="$/Unit/Month",('Operating Assumptions'!$M23*BJ$25)*BJ$36,IF('Operating Assumptions'!$L23="Fixed Amount",('Operating Assumptions'!$M23*BJ$25)/12))))))</f>
        <v>-13744.476637799346</v>
      </c>
      <c r="BK95" s="427">
        <f>-IF(OR(BK$9&lt;'Operating Assumptions'!$D$53,BK$6&gt;'Operating Assumptions'!$AA$8,'Operating Assumptions'!$L23="N/A"),0,IF('Operating Assumptions'!$L23="% of Total Revenue",'Operating Assumptions'!$M23*BK$65,IF('Operating Assumptions'!$L23="%/EGI",'Operating Assumptions'!$M23*BK$76,IF('Operating Assumptions'!$L23="$/Unit/Annual",(('Operating Assumptions'!$M23*BK$25)*BK$36)/12,IF('Operating Assumptions'!$L23="$/Unit/Month",('Operating Assumptions'!$M23*BK$25)*BK$36,IF('Operating Assumptions'!$L23="Fixed Amount",('Operating Assumptions'!$M23*BK$25)/12))))))</f>
        <v>-13744.476637799346</v>
      </c>
      <c r="BL95" s="427">
        <f>-IF(OR(BL$9&lt;'Operating Assumptions'!$D$53,BL$6&gt;'Operating Assumptions'!$AA$8,'Operating Assumptions'!$L23="N/A"),0,IF('Operating Assumptions'!$L23="% of Total Revenue",'Operating Assumptions'!$M23*BL$65,IF('Operating Assumptions'!$L23="%/EGI",'Operating Assumptions'!$M23*BL$76,IF('Operating Assumptions'!$L23="$/Unit/Annual",(('Operating Assumptions'!$M23*BL$25)*BL$36)/12,IF('Operating Assumptions'!$L23="$/Unit/Month",('Operating Assumptions'!$M23*BL$25)*BL$36,IF('Operating Assumptions'!$L23="Fixed Amount",('Operating Assumptions'!$M23*BL$25)/12))))))</f>
        <v>-13744.476637799346</v>
      </c>
      <c r="BM95" s="427">
        <f>-IF(OR(BM$9&lt;'Operating Assumptions'!$D$53,BM$6&gt;'Operating Assumptions'!$AA$8,'Operating Assumptions'!$L23="N/A"),0,IF('Operating Assumptions'!$L23="% of Total Revenue",'Operating Assumptions'!$M23*BM$65,IF('Operating Assumptions'!$L23="%/EGI",'Operating Assumptions'!$M23*BM$76,IF('Operating Assumptions'!$L23="$/Unit/Annual",(('Operating Assumptions'!$M23*BM$25)*BM$36)/12,IF('Operating Assumptions'!$L23="$/Unit/Month",('Operating Assumptions'!$M23*BM$25)*BM$36,IF('Operating Assumptions'!$L23="Fixed Amount",('Operating Assumptions'!$M23*BM$25)/12))))))</f>
        <v>-13744.476637799346</v>
      </c>
      <c r="BN95" s="427">
        <f>-IF(OR(BN$9&lt;'Operating Assumptions'!$D$53,BN$6&gt;'Operating Assumptions'!$AA$8,'Operating Assumptions'!$L23="N/A"),0,IF('Operating Assumptions'!$L23="% of Total Revenue",'Operating Assumptions'!$M23*BN$65,IF('Operating Assumptions'!$L23="%/EGI",'Operating Assumptions'!$M23*BN$76,IF('Operating Assumptions'!$L23="$/Unit/Annual",(('Operating Assumptions'!$M23*BN$25)*BN$36)/12,IF('Operating Assumptions'!$L23="$/Unit/Month",('Operating Assumptions'!$M23*BN$25)*BN$36,IF('Operating Assumptions'!$L23="Fixed Amount",('Operating Assumptions'!$M23*BN$25)/12))))))</f>
        <v>-13744.476637799346</v>
      </c>
      <c r="BO95" s="427">
        <f>-IF(OR(BO$9&lt;'Operating Assumptions'!$D$53,BO$6&gt;'Operating Assumptions'!$AA$8,'Operating Assumptions'!$L23="N/A"),0,IF('Operating Assumptions'!$L23="% of Total Revenue",'Operating Assumptions'!$M23*BO$65,IF('Operating Assumptions'!$L23="%/EGI",'Operating Assumptions'!$M23*BO$76,IF('Operating Assumptions'!$L23="$/Unit/Annual",(('Operating Assumptions'!$M23*BO$25)*BO$36)/12,IF('Operating Assumptions'!$L23="$/Unit/Month",('Operating Assumptions'!$M23*BO$25)*BO$36,IF('Operating Assumptions'!$L23="Fixed Amount",('Operating Assumptions'!$M23*BO$25)/12))))))</f>
        <v>-13744.476637799346</v>
      </c>
      <c r="BP95" s="427">
        <f>-IF(OR(BP$9&lt;'Operating Assumptions'!$D$53,BP$6&gt;'Operating Assumptions'!$AA$8,'Operating Assumptions'!$L23="N/A"),0,IF('Operating Assumptions'!$L23="% of Total Revenue",'Operating Assumptions'!$M23*BP$65,IF('Operating Assumptions'!$L23="%/EGI",'Operating Assumptions'!$M23*BP$76,IF('Operating Assumptions'!$L23="$/Unit/Annual",(('Operating Assumptions'!$M23*BP$25)*BP$36)/12,IF('Operating Assumptions'!$L23="$/Unit/Month",('Operating Assumptions'!$M23*BP$25)*BP$36,IF('Operating Assumptions'!$L23="Fixed Amount",('Operating Assumptions'!$M23*BP$25)/12))))))</f>
        <v>-14003.806385682356</v>
      </c>
      <c r="BQ95" s="427">
        <f>-IF(OR(BQ$9&lt;'Operating Assumptions'!$D$53,BQ$6&gt;'Operating Assumptions'!$AA$8,'Operating Assumptions'!$L23="N/A"),0,IF('Operating Assumptions'!$L23="% of Total Revenue",'Operating Assumptions'!$M23*BQ$65,IF('Operating Assumptions'!$L23="%/EGI",'Operating Assumptions'!$M23*BQ$76,IF('Operating Assumptions'!$L23="$/Unit/Annual",(('Operating Assumptions'!$M23*BQ$25)*BQ$36)/12,IF('Operating Assumptions'!$L23="$/Unit/Month",('Operating Assumptions'!$M23*BQ$25)*BQ$36,IF('Operating Assumptions'!$L23="Fixed Amount",('Operating Assumptions'!$M23*BQ$25)/12))))))</f>
        <v>-14003.806385682356</v>
      </c>
      <c r="BR95" s="427">
        <f>-IF(OR(BR$9&lt;'Operating Assumptions'!$D$53,BR$6&gt;'Operating Assumptions'!$AA$8,'Operating Assumptions'!$L23="N/A"),0,IF('Operating Assumptions'!$L23="% of Total Revenue",'Operating Assumptions'!$M23*BR$65,IF('Operating Assumptions'!$L23="%/EGI",'Operating Assumptions'!$M23*BR$76,IF('Operating Assumptions'!$L23="$/Unit/Annual",(('Operating Assumptions'!$M23*BR$25)*BR$36)/12,IF('Operating Assumptions'!$L23="$/Unit/Month",('Operating Assumptions'!$M23*BR$25)*BR$36,IF('Operating Assumptions'!$L23="Fixed Amount",('Operating Assumptions'!$M23*BR$25)/12))))))</f>
        <v>-14003.806385682356</v>
      </c>
      <c r="BS95" s="427">
        <f>-IF(OR(BS$9&lt;'Operating Assumptions'!$D$53,BS$6&gt;'Operating Assumptions'!$AA$8,'Operating Assumptions'!$L23="N/A"),0,IF('Operating Assumptions'!$L23="% of Total Revenue",'Operating Assumptions'!$M23*BS$65,IF('Operating Assumptions'!$L23="%/EGI",'Operating Assumptions'!$M23*BS$76,IF('Operating Assumptions'!$L23="$/Unit/Annual",(('Operating Assumptions'!$M23*BS$25)*BS$36)/12,IF('Operating Assumptions'!$L23="$/Unit/Month",('Operating Assumptions'!$M23*BS$25)*BS$36,IF('Operating Assumptions'!$L23="Fixed Amount",('Operating Assumptions'!$M23*BS$25)/12))))))</f>
        <v>-14003.806385682356</v>
      </c>
      <c r="BT95" s="427">
        <f>-IF(OR(BT$9&lt;'Operating Assumptions'!$D$53,BT$6&gt;'Operating Assumptions'!$AA$8,'Operating Assumptions'!$L23="N/A"),0,IF('Operating Assumptions'!$L23="% of Total Revenue",'Operating Assumptions'!$M23*BT$65,IF('Operating Assumptions'!$L23="%/EGI",'Operating Assumptions'!$M23*BT$76,IF('Operating Assumptions'!$L23="$/Unit/Annual",(('Operating Assumptions'!$M23*BT$25)*BT$36)/12,IF('Operating Assumptions'!$L23="$/Unit/Month",('Operating Assumptions'!$M23*BT$25)*BT$36,IF('Operating Assumptions'!$L23="Fixed Amount",('Operating Assumptions'!$M23*BT$25)/12))))))</f>
        <v>-14003.806385682356</v>
      </c>
      <c r="BU95" s="427">
        <f>-IF(OR(BU$9&lt;'Operating Assumptions'!$D$53,BU$6&gt;'Operating Assumptions'!$AA$8,'Operating Assumptions'!$L23="N/A"),0,IF('Operating Assumptions'!$L23="% of Total Revenue",'Operating Assumptions'!$M23*BU$65,IF('Operating Assumptions'!$L23="%/EGI",'Operating Assumptions'!$M23*BU$76,IF('Operating Assumptions'!$L23="$/Unit/Annual",(('Operating Assumptions'!$M23*BU$25)*BU$36)/12,IF('Operating Assumptions'!$L23="$/Unit/Month",('Operating Assumptions'!$M23*BU$25)*BU$36,IF('Operating Assumptions'!$L23="Fixed Amount",('Operating Assumptions'!$M23*BU$25)/12))))))</f>
        <v>-14003.806385682356</v>
      </c>
      <c r="BV95" s="427">
        <f>-IF(OR(BV$9&lt;'Operating Assumptions'!$D$53,BV$6&gt;'Operating Assumptions'!$AA$8,'Operating Assumptions'!$L23="N/A"),0,IF('Operating Assumptions'!$L23="% of Total Revenue",'Operating Assumptions'!$M23*BV$65,IF('Operating Assumptions'!$L23="%/EGI",'Operating Assumptions'!$M23*BV$76,IF('Operating Assumptions'!$L23="$/Unit/Annual",(('Operating Assumptions'!$M23*BV$25)*BV$36)/12,IF('Operating Assumptions'!$L23="$/Unit/Month",('Operating Assumptions'!$M23*BV$25)*BV$36,IF('Operating Assumptions'!$L23="Fixed Amount",('Operating Assumptions'!$M23*BV$25)/12))))))</f>
        <v>-14003.806385682356</v>
      </c>
      <c r="BW95" s="427">
        <f>-IF(OR(BW$9&lt;'Operating Assumptions'!$D$53,BW$6&gt;'Operating Assumptions'!$AA$8,'Operating Assumptions'!$L23="N/A"),0,IF('Operating Assumptions'!$L23="% of Total Revenue",'Operating Assumptions'!$M23*BW$65,IF('Operating Assumptions'!$L23="%/EGI",'Operating Assumptions'!$M23*BW$76,IF('Operating Assumptions'!$L23="$/Unit/Annual",(('Operating Assumptions'!$M23*BW$25)*BW$36)/12,IF('Operating Assumptions'!$L23="$/Unit/Month",('Operating Assumptions'!$M23*BW$25)*BW$36,IF('Operating Assumptions'!$L23="Fixed Amount",('Operating Assumptions'!$M23*BW$25)/12))))))</f>
        <v>-14003.806385682356</v>
      </c>
      <c r="BX95" s="427">
        <f>-IF(OR(BX$9&lt;'Operating Assumptions'!$D$53,BX$6&gt;'Operating Assumptions'!$AA$8,'Operating Assumptions'!$L23="N/A"),0,IF('Operating Assumptions'!$L23="% of Total Revenue",'Operating Assumptions'!$M23*BX$65,IF('Operating Assumptions'!$L23="%/EGI",'Operating Assumptions'!$M23*BX$76,IF('Operating Assumptions'!$L23="$/Unit/Annual",(('Operating Assumptions'!$M23*BX$25)*BX$36)/12,IF('Operating Assumptions'!$L23="$/Unit/Month",('Operating Assumptions'!$M23*BX$25)*BX$36,IF('Operating Assumptions'!$L23="Fixed Amount",('Operating Assumptions'!$M23*BX$25)/12))))))</f>
        <v>-14003.806385682356</v>
      </c>
      <c r="BY95" s="427">
        <f>-IF(OR(BY$9&lt;'Operating Assumptions'!$D$53,BY$6&gt;'Operating Assumptions'!$AA$8,'Operating Assumptions'!$L23="N/A"),0,IF('Operating Assumptions'!$L23="% of Total Revenue",'Operating Assumptions'!$M23*BY$65,IF('Operating Assumptions'!$L23="%/EGI",'Operating Assumptions'!$M23*BY$76,IF('Operating Assumptions'!$L23="$/Unit/Annual",(('Operating Assumptions'!$M23*BY$25)*BY$36)/12,IF('Operating Assumptions'!$L23="$/Unit/Month",('Operating Assumptions'!$M23*BY$25)*BY$36,IF('Operating Assumptions'!$L23="Fixed Amount",('Operating Assumptions'!$M23*BY$25)/12))))))</f>
        <v>-14003.806385682356</v>
      </c>
      <c r="BZ95" s="427">
        <f>-IF(OR(BZ$9&lt;'Operating Assumptions'!$D$53,BZ$6&gt;'Operating Assumptions'!$AA$8,'Operating Assumptions'!$L23="N/A"),0,IF('Operating Assumptions'!$L23="% of Total Revenue",'Operating Assumptions'!$M23*BZ$65,IF('Operating Assumptions'!$L23="%/EGI",'Operating Assumptions'!$M23*BZ$76,IF('Operating Assumptions'!$L23="$/Unit/Annual",(('Operating Assumptions'!$M23*BZ$25)*BZ$36)/12,IF('Operating Assumptions'!$L23="$/Unit/Month",('Operating Assumptions'!$M23*BZ$25)*BZ$36,IF('Operating Assumptions'!$L23="Fixed Amount",('Operating Assumptions'!$M23*BZ$25)/12))))))</f>
        <v>-14003.806385682356</v>
      </c>
      <c r="CA95" s="427">
        <f>-IF(OR(CA$9&lt;'Operating Assumptions'!$D$53,CA$6&gt;'Operating Assumptions'!$AA$8,'Operating Assumptions'!$L23="N/A"),0,IF('Operating Assumptions'!$L23="% of Total Revenue",'Operating Assumptions'!$M23*CA$65,IF('Operating Assumptions'!$L23="%/EGI",'Operating Assumptions'!$M23*CA$76,IF('Operating Assumptions'!$L23="$/Unit/Annual",(('Operating Assumptions'!$M23*CA$25)*CA$36)/12,IF('Operating Assumptions'!$L23="$/Unit/Month",('Operating Assumptions'!$M23*CA$25)*CA$36,IF('Operating Assumptions'!$L23="Fixed Amount",('Operating Assumptions'!$M23*CA$25)/12))))))</f>
        <v>-14003.806385682356</v>
      </c>
      <c r="CB95" s="427">
        <f>-IF(OR(CB$9&lt;'Operating Assumptions'!$D$53,CB$6&gt;'Operating Assumptions'!$AA$8,'Operating Assumptions'!$L23="N/A"),0,IF('Operating Assumptions'!$L23="% of Total Revenue",'Operating Assumptions'!$M23*CB$65,IF('Operating Assumptions'!$L23="%/EGI",'Operating Assumptions'!$M23*CB$76,IF('Operating Assumptions'!$L23="$/Unit/Annual",(('Operating Assumptions'!$M23*CB$25)*CB$36)/12,IF('Operating Assumptions'!$L23="$/Unit/Month",('Operating Assumptions'!$M23*CB$25)*CB$36,IF('Operating Assumptions'!$L23="Fixed Amount",('Operating Assumptions'!$M23*CB$25)/12))))))</f>
        <v>-14263.136133565362</v>
      </c>
      <c r="CC95" s="427">
        <f>-IF(OR(CC$9&lt;'Operating Assumptions'!$D$53,CC$6&gt;'Operating Assumptions'!$AA$8,'Operating Assumptions'!$L23="N/A"),0,IF('Operating Assumptions'!$L23="% of Total Revenue",'Operating Assumptions'!$M23*CC$65,IF('Operating Assumptions'!$L23="%/EGI",'Operating Assumptions'!$M23*CC$76,IF('Operating Assumptions'!$L23="$/Unit/Annual",(('Operating Assumptions'!$M23*CC$25)*CC$36)/12,IF('Operating Assumptions'!$L23="$/Unit/Month",('Operating Assumptions'!$M23*CC$25)*CC$36,IF('Operating Assumptions'!$L23="Fixed Amount",('Operating Assumptions'!$M23*CC$25)/12))))))</f>
        <v>-14263.136133565362</v>
      </c>
      <c r="CD95" s="427">
        <f>-IF(OR(CD$9&lt;'Operating Assumptions'!$D$53,CD$6&gt;'Operating Assumptions'!$AA$8,'Operating Assumptions'!$L23="N/A"),0,IF('Operating Assumptions'!$L23="% of Total Revenue",'Operating Assumptions'!$M23*CD$65,IF('Operating Assumptions'!$L23="%/EGI",'Operating Assumptions'!$M23*CD$76,IF('Operating Assumptions'!$L23="$/Unit/Annual",(('Operating Assumptions'!$M23*CD$25)*CD$36)/12,IF('Operating Assumptions'!$L23="$/Unit/Month",('Operating Assumptions'!$M23*CD$25)*CD$36,IF('Operating Assumptions'!$L23="Fixed Amount",('Operating Assumptions'!$M23*CD$25)/12))))))</f>
        <v>-14263.136133565362</v>
      </c>
      <c r="CE95" s="427">
        <f>-IF(OR(CE$9&lt;'Operating Assumptions'!$D$53,CE$6&gt;'Operating Assumptions'!$AA$8,'Operating Assumptions'!$L23="N/A"),0,IF('Operating Assumptions'!$L23="% of Total Revenue",'Operating Assumptions'!$M23*CE$65,IF('Operating Assumptions'!$L23="%/EGI",'Operating Assumptions'!$M23*CE$76,IF('Operating Assumptions'!$L23="$/Unit/Annual",(('Operating Assumptions'!$M23*CE$25)*CE$36)/12,IF('Operating Assumptions'!$L23="$/Unit/Month",('Operating Assumptions'!$M23*CE$25)*CE$36,IF('Operating Assumptions'!$L23="Fixed Amount",('Operating Assumptions'!$M23*CE$25)/12))))))</f>
        <v>-14263.136133565362</v>
      </c>
      <c r="CF95" s="427">
        <f>-IF(OR(CF$9&lt;'Operating Assumptions'!$D$53,CF$6&gt;'Operating Assumptions'!$AA$8,'Operating Assumptions'!$L23="N/A"),0,IF('Operating Assumptions'!$L23="% of Total Revenue",'Operating Assumptions'!$M23*CF$65,IF('Operating Assumptions'!$L23="%/EGI",'Operating Assumptions'!$M23*CF$76,IF('Operating Assumptions'!$L23="$/Unit/Annual",(('Operating Assumptions'!$M23*CF$25)*CF$36)/12,IF('Operating Assumptions'!$L23="$/Unit/Month",('Operating Assumptions'!$M23*CF$25)*CF$36,IF('Operating Assumptions'!$L23="Fixed Amount",('Operating Assumptions'!$M23*CF$25)/12))))))</f>
        <v>-14263.136133565362</v>
      </c>
      <c r="CG95" s="427">
        <f>-IF(OR(CG$9&lt;'Operating Assumptions'!$D$53,CG$6&gt;'Operating Assumptions'!$AA$8,'Operating Assumptions'!$L23="N/A"),0,IF('Operating Assumptions'!$L23="% of Total Revenue",'Operating Assumptions'!$M23*CG$65,IF('Operating Assumptions'!$L23="%/EGI",'Operating Assumptions'!$M23*CG$76,IF('Operating Assumptions'!$L23="$/Unit/Annual",(('Operating Assumptions'!$M23*CG$25)*CG$36)/12,IF('Operating Assumptions'!$L23="$/Unit/Month",('Operating Assumptions'!$M23*CG$25)*CG$36,IF('Operating Assumptions'!$L23="Fixed Amount",('Operating Assumptions'!$M23*CG$25)/12))))))</f>
        <v>-14263.136133565362</v>
      </c>
      <c r="CH95" s="427">
        <f>-IF(OR(CH$9&lt;'Operating Assumptions'!$D$53,CH$6&gt;'Operating Assumptions'!$AA$8,'Operating Assumptions'!$L23="N/A"),0,IF('Operating Assumptions'!$L23="% of Total Revenue",'Operating Assumptions'!$M23*CH$65,IF('Operating Assumptions'!$L23="%/EGI",'Operating Assumptions'!$M23*CH$76,IF('Operating Assumptions'!$L23="$/Unit/Annual",(('Operating Assumptions'!$M23*CH$25)*CH$36)/12,IF('Operating Assumptions'!$L23="$/Unit/Month",('Operating Assumptions'!$M23*CH$25)*CH$36,IF('Operating Assumptions'!$L23="Fixed Amount",('Operating Assumptions'!$M23*CH$25)/12))))))</f>
        <v>-14263.136133565362</v>
      </c>
      <c r="CI95" s="427">
        <f>-IF(OR(CI$9&lt;'Operating Assumptions'!$D$53,CI$6&gt;'Operating Assumptions'!$AA$8,'Operating Assumptions'!$L23="N/A"),0,IF('Operating Assumptions'!$L23="% of Total Revenue",'Operating Assumptions'!$M23*CI$65,IF('Operating Assumptions'!$L23="%/EGI",'Operating Assumptions'!$M23*CI$76,IF('Operating Assumptions'!$L23="$/Unit/Annual",(('Operating Assumptions'!$M23*CI$25)*CI$36)/12,IF('Operating Assumptions'!$L23="$/Unit/Month",('Operating Assumptions'!$M23*CI$25)*CI$36,IF('Operating Assumptions'!$L23="Fixed Amount",('Operating Assumptions'!$M23*CI$25)/12))))))</f>
        <v>-14263.136133565362</v>
      </c>
      <c r="CJ95" s="427">
        <f>-IF(OR(CJ$9&lt;'Operating Assumptions'!$D$53,CJ$6&gt;'Operating Assumptions'!$AA$8,'Operating Assumptions'!$L23="N/A"),0,IF('Operating Assumptions'!$L23="% of Total Revenue",'Operating Assumptions'!$M23*CJ$65,IF('Operating Assumptions'!$L23="%/EGI",'Operating Assumptions'!$M23*CJ$76,IF('Operating Assumptions'!$L23="$/Unit/Annual",(('Operating Assumptions'!$M23*CJ$25)*CJ$36)/12,IF('Operating Assumptions'!$L23="$/Unit/Month",('Operating Assumptions'!$M23*CJ$25)*CJ$36,IF('Operating Assumptions'!$L23="Fixed Amount",('Operating Assumptions'!$M23*CJ$25)/12))))))</f>
        <v>-14263.136133565362</v>
      </c>
      <c r="CK95" s="427">
        <f>-IF(OR(CK$9&lt;'Operating Assumptions'!$D$53,CK$6&gt;'Operating Assumptions'!$AA$8,'Operating Assumptions'!$L23="N/A"),0,IF('Operating Assumptions'!$L23="% of Total Revenue",'Operating Assumptions'!$M23*CK$65,IF('Operating Assumptions'!$L23="%/EGI",'Operating Assumptions'!$M23*CK$76,IF('Operating Assumptions'!$L23="$/Unit/Annual",(('Operating Assumptions'!$M23*CK$25)*CK$36)/12,IF('Operating Assumptions'!$L23="$/Unit/Month",('Operating Assumptions'!$M23*CK$25)*CK$36,IF('Operating Assumptions'!$L23="Fixed Amount",('Operating Assumptions'!$M23*CK$25)/12))))))</f>
        <v>-14263.136133565362</v>
      </c>
      <c r="CL95" s="427">
        <f>-IF(OR(CL$9&lt;'Operating Assumptions'!$D$53,CL$6&gt;'Operating Assumptions'!$AA$8,'Operating Assumptions'!$L23="N/A"),0,IF('Operating Assumptions'!$L23="% of Total Revenue",'Operating Assumptions'!$M23*CL$65,IF('Operating Assumptions'!$L23="%/EGI",'Operating Assumptions'!$M23*CL$76,IF('Operating Assumptions'!$L23="$/Unit/Annual",(('Operating Assumptions'!$M23*CL$25)*CL$36)/12,IF('Operating Assumptions'!$L23="$/Unit/Month",('Operating Assumptions'!$M23*CL$25)*CL$36,IF('Operating Assumptions'!$L23="Fixed Amount",('Operating Assumptions'!$M23*CL$25)/12))))))</f>
        <v>-14263.136133565362</v>
      </c>
      <c r="CM95" s="427">
        <f>-IF(OR(CM$9&lt;'Operating Assumptions'!$D$53,CM$6&gt;'Operating Assumptions'!$AA$8,'Operating Assumptions'!$L23="N/A"),0,IF('Operating Assumptions'!$L23="% of Total Revenue",'Operating Assumptions'!$M23*CM$65,IF('Operating Assumptions'!$L23="%/EGI",'Operating Assumptions'!$M23*CM$76,IF('Operating Assumptions'!$L23="$/Unit/Annual",(('Operating Assumptions'!$M23*CM$25)*CM$36)/12,IF('Operating Assumptions'!$L23="$/Unit/Month",('Operating Assumptions'!$M23*CM$25)*CM$36,IF('Operating Assumptions'!$L23="Fixed Amount",('Operating Assumptions'!$M23*CM$25)/12))))))</f>
        <v>-14263.136133565362</v>
      </c>
      <c r="CN95" s="427">
        <f>-IF(OR(CN$9&lt;'Operating Assumptions'!$D$53,CN$6&gt;'Operating Assumptions'!$AA$8,'Operating Assumptions'!$L23="N/A"),0,IF('Operating Assumptions'!$L23="% of Total Revenue",'Operating Assumptions'!$M23*CN$65,IF('Operating Assumptions'!$L23="%/EGI",'Operating Assumptions'!$M23*CN$76,IF('Operating Assumptions'!$L23="$/Unit/Annual",(('Operating Assumptions'!$M23*CN$25)*CN$36)/12,IF('Operating Assumptions'!$L23="$/Unit/Month",('Operating Assumptions'!$M23*CN$25)*CN$36,IF('Operating Assumptions'!$L23="Fixed Amount",('Operating Assumptions'!$M23*CN$25)/12))))))</f>
        <v>-14522.465881448368</v>
      </c>
      <c r="CO95" s="427">
        <f>-IF(OR(CO$9&lt;'Operating Assumptions'!$D$53,CO$6&gt;'Operating Assumptions'!$AA$8,'Operating Assumptions'!$L23="N/A"),0,IF('Operating Assumptions'!$L23="% of Total Revenue",'Operating Assumptions'!$M23*CO$65,IF('Operating Assumptions'!$L23="%/EGI",'Operating Assumptions'!$M23*CO$76,IF('Operating Assumptions'!$L23="$/Unit/Annual",(('Operating Assumptions'!$M23*CO$25)*CO$36)/12,IF('Operating Assumptions'!$L23="$/Unit/Month",('Operating Assumptions'!$M23*CO$25)*CO$36,IF('Operating Assumptions'!$L23="Fixed Amount",('Operating Assumptions'!$M23*CO$25)/12))))))</f>
        <v>-14522.465881448368</v>
      </c>
      <c r="CP95" s="427">
        <f>-IF(OR(CP$9&lt;'Operating Assumptions'!$D$53,CP$6&gt;'Operating Assumptions'!$AA$8,'Operating Assumptions'!$L23="N/A"),0,IF('Operating Assumptions'!$L23="% of Total Revenue",'Operating Assumptions'!$M23*CP$65,IF('Operating Assumptions'!$L23="%/EGI",'Operating Assumptions'!$M23*CP$76,IF('Operating Assumptions'!$L23="$/Unit/Annual",(('Operating Assumptions'!$M23*CP$25)*CP$36)/12,IF('Operating Assumptions'!$L23="$/Unit/Month",('Operating Assumptions'!$M23*CP$25)*CP$36,IF('Operating Assumptions'!$L23="Fixed Amount",('Operating Assumptions'!$M23*CP$25)/12))))))</f>
        <v>-14522.465881448368</v>
      </c>
      <c r="CQ95" s="427">
        <f>-IF(OR(CQ$9&lt;'Operating Assumptions'!$D$53,CQ$6&gt;'Operating Assumptions'!$AA$8,'Operating Assumptions'!$L23="N/A"),0,IF('Operating Assumptions'!$L23="% of Total Revenue",'Operating Assumptions'!$M23*CQ$65,IF('Operating Assumptions'!$L23="%/EGI",'Operating Assumptions'!$M23*CQ$76,IF('Operating Assumptions'!$L23="$/Unit/Annual",(('Operating Assumptions'!$M23*CQ$25)*CQ$36)/12,IF('Operating Assumptions'!$L23="$/Unit/Month",('Operating Assumptions'!$M23*CQ$25)*CQ$36,IF('Operating Assumptions'!$L23="Fixed Amount",('Operating Assumptions'!$M23*CQ$25)/12))))))</f>
        <v>-14522.465881448368</v>
      </c>
      <c r="CR95" s="427">
        <f>-IF(OR(CR$9&lt;'Operating Assumptions'!$D$53,CR$6&gt;'Operating Assumptions'!$AA$8,'Operating Assumptions'!$L23="N/A"),0,IF('Operating Assumptions'!$L23="% of Total Revenue",'Operating Assumptions'!$M23*CR$65,IF('Operating Assumptions'!$L23="%/EGI",'Operating Assumptions'!$M23*CR$76,IF('Operating Assumptions'!$L23="$/Unit/Annual",(('Operating Assumptions'!$M23*CR$25)*CR$36)/12,IF('Operating Assumptions'!$L23="$/Unit/Month",('Operating Assumptions'!$M23*CR$25)*CR$36,IF('Operating Assumptions'!$L23="Fixed Amount",('Operating Assumptions'!$M23*CR$25)/12))))))</f>
        <v>-14522.465881448368</v>
      </c>
      <c r="CS95" s="427">
        <f>-IF(OR(CS$9&lt;'Operating Assumptions'!$D$53,CS$6&gt;'Operating Assumptions'!$AA$8,'Operating Assumptions'!$L23="N/A"),0,IF('Operating Assumptions'!$L23="% of Total Revenue",'Operating Assumptions'!$M23*CS$65,IF('Operating Assumptions'!$L23="%/EGI",'Operating Assumptions'!$M23*CS$76,IF('Operating Assumptions'!$L23="$/Unit/Annual",(('Operating Assumptions'!$M23*CS$25)*CS$36)/12,IF('Operating Assumptions'!$L23="$/Unit/Month",('Operating Assumptions'!$M23*CS$25)*CS$36,IF('Operating Assumptions'!$L23="Fixed Amount",('Operating Assumptions'!$M23*CS$25)/12))))))</f>
        <v>-14522.465881448368</v>
      </c>
      <c r="CT95" s="427">
        <f>-IF(OR(CT$9&lt;'Operating Assumptions'!$D$53,CT$6&gt;'Operating Assumptions'!$AA$8,'Operating Assumptions'!$L23="N/A"),0,IF('Operating Assumptions'!$L23="% of Total Revenue",'Operating Assumptions'!$M23*CT$65,IF('Operating Assumptions'!$L23="%/EGI",'Operating Assumptions'!$M23*CT$76,IF('Operating Assumptions'!$L23="$/Unit/Annual",(('Operating Assumptions'!$M23*CT$25)*CT$36)/12,IF('Operating Assumptions'!$L23="$/Unit/Month",('Operating Assumptions'!$M23*CT$25)*CT$36,IF('Operating Assumptions'!$L23="Fixed Amount",('Operating Assumptions'!$M23*CT$25)/12))))))</f>
        <v>-14522.465881448368</v>
      </c>
      <c r="CU95" s="427">
        <f>-IF(OR(CU$9&lt;'Operating Assumptions'!$D$53,CU$6&gt;'Operating Assumptions'!$AA$8,'Operating Assumptions'!$L23="N/A"),0,IF('Operating Assumptions'!$L23="% of Total Revenue",'Operating Assumptions'!$M23*CU$65,IF('Operating Assumptions'!$L23="%/EGI",'Operating Assumptions'!$M23*CU$76,IF('Operating Assumptions'!$L23="$/Unit/Annual",(('Operating Assumptions'!$M23*CU$25)*CU$36)/12,IF('Operating Assumptions'!$L23="$/Unit/Month",('Operating Assumptions'!$M23*CU$25)*CU$36,IF('Operating Assumptions'!$L23="Fixed Amount",('Operating Assumptions'!$M23*CU$25)/12))))))</f>
        <v>-14522.465881448368</v>
      </c>
      <c r="CV95" s="427">
        <f>-IF(OR(CV$9&lt;'Operating Assumptions'!$D$53,CV$6&gt;'Operating Assumptions'!$AA$8,'Operating Assumptions'!$L23="N/A"),0,IF('Operating Assumptions'!$L23="% of Total Revenue",'Operating Assumptions'!$M23*CV$65,IF('Operating Assumptions'!$L23="%/EGI",'Operating Assumptions'!$M23*CV$76,IF('Operating Assumptions'!$L23="$/Unit/Annual",(('Operating Assumptions'!$M23*CV$25)*CV$36)/12,IF('Operating Assumptions'!$L23="$/Unit/Month",('Operating Assumptions'!$M23*CV$25)*CV$36,IF('Operating Assumptions'!$L23="Fixed Amount",('Operating Assumptions'!$M23*CV$25)/12))))))</f>
        <v>-14522.465881448368</v>
      </c>
      <c r="CW95" s="427">
        <f>-IF(OR(CW$9&lt;'Operating Assumptions'!$D$53,CW$6&gt;'Operating Assumptions'!$AA$8,'Operating Assumptions'!$L23="N/A"),0,IF('Operating Assumptions'!$L23="% of Total Revenue",'Operating Assumptions'!$M23*CW$65,IF('Operating Assumptions'!$L23="%/EGI",'Operating Assumptions'!$M23*CW$76,IF('Operating Assumptions'!$L23="$/Unit/Annual",(('Operating Assumptions'!$M23*CW$25)*CW$36)/12,IF('Operating Assumptions'!$L23="$/Unit/Month",('Operating Assumptions'!$M23*CW$25)*CW$36,IF('Operating Assumptions'!$L23="Fixed Amount",('Operating Assumptions'!$M23*CW$25)/12))))))</f>
        <v>-14522.465881448368</v>
      </c>
      <c r="CX95" s="427">
        <f>-IF(OR(CX$9&lt;'Operating Assumptions'!$D$53,CX$6&gt;'Operating Assumptions'!$AA$8,'Operating Assumptions'!$L23="N/A"),0,IF('Operating Assumptions'!$L23="% of Total Revenue",'Operating Assumptions'!$M23*CX$65,IF('Operating Assumptions'!$L23="%/EGI",'Operating Assumptions'!$M23*CX$76,IF('Operating Assumptions'!$L23="$/Unit/Annual",(('Operating Assumptions'!$M23*CX$25)*CX$36)/12,IF('Operating Assumptions'!$L23="$/Unit/Month",('Operating Assumptions'!$M23*CX$25)*CX$36,IF('Operating Assumptions'!$L23="Fixed Amount",('Operating Assumptions'!$M23*CX$25)/12))))))</f>
        <v>-14522.465881448368</v>
      </c>
      <c r="CY95" s="427">
        <f>-IF(OR(CY$9&lt;'Operating Assumptions'!$D$53,CY$6&gt;'Operating Assumptions'!$AA$8,'Operating Assumptions'!$L23="N/A"),0,IF('Operating Assumptions'!$L23="% of Total Revenue",'Operating Assumptions'!$M23*CY$65,IF('Operating Assumptions'!$L23="%/EGI",'Operating Assumptions'!$M23*CY$76,IF('Operating Assumptions'!$L23="$/Unit/Annual",(('Operating Assumptions'!$M23*CY$25)*CY$36)/12,IF('Operating Assumptions'!$L23="$/Unit/Month",('Operating Assumptions'!$M23*CY$25)*CY$36,IF('Operating Assumptions'!$L23="Fixed Amount",('Operating Assumptions'!$M23*CY$25)/12))))))</f>
        <v>-14522.465881448368</v>
      </c>
      <c r="CZ95" s="427">
        <f>-IF(OR(CZ$9&lt;'Operating Assumptions'!$D$53,CZ$6&gt;'Operating Assumptions'!$AA$8,'Operating Assumptions'!$L23="N/A"),0,IF('Operating Assumptions'!$L23="% of Total Revenue",'Operating Assumptions'!$M23*CZ$65,IF('Operating Assumptions'!$L23="%/EGI",'Operating Assumptions'!$M23*CZ$76,IF('Operating Assumptions'!$L23="$/Unit/Annual",(('Operating Assumptions'!$M23*CZ$25)*CZ$36)/12,IF('Operating Assumptions'!$L23="$/Unit/Month",('Operating Assumptions'!$M23*CZ$25)*CZ$36,IF('Operating Assumptions'!$L23="Fixed Amount",('Operating Assumptions'!$M23*CZ$25)/12))))))</f>
        <v>-14781.795629331375</v>
      </c>
      <c r="DA95" s="427">
        <f>-IF(OR(DA$9&lt;'Operating Assumptions'!$D$53,DA$6&gt;'Operating Assumptions'!$AA$8,'Operating Assumptions'!$L23="N/A"),0,IF('Operating Assumptions'!$L23="% of Total Revenue",'Operating Assumptions'!$M23*DA$65,IF('Operating Assumptions'!$L23="%/EGI",'Operating Assumptions'!$M23*DA$76,IF('Operating Assumptions'!$L23="$/Unit/Annual",(('Operating Assumptions'!$M23*DA$25)*DA$36)/12,IF('Operating Assumptions'!$L23="$/Unit/Month",('Operating Assumptions'!$M23*DA$25)*DA$36,IF('Operating Assumptions'!$L23="Fixed Amount",('Operating Assumptions'!$M23*DA$25)/12))))))</f>
        <v>-14781.795629331375</v>
      </c>
      <c r="DB95" s="427">
        <f>-IF(OR(DB$9&lt;'Operating Assumptions'!$D$53,DB$6&gt;'Operating Assumptions'!$AA$8,'Operating Assumptions'!$L23="N/A"),0,IF('Operating Assumptions'!$L23="% of Total Revenue",'Operating Assumptions'!$M23*DB$65,IF('Operating Assumptions'!$L23="%/EGI",'Operating Assumptions'!$M23*DB$76,IF('Operating Assumptions'!$L23="$/Unit/Annual",(('Operating Assumptions'!$M23*DB$25)*DB$36)/12,IF('Operating Assumptions'!$L23="$/Unit/Month",('Operating Assumptions'!$M23*DB$25)*DB$36,IF('Operating Assumptions'!$L23="Fixed Amount",('Operating Assumptions'!$M23*DB$25)/12))))))</f>
        <v>-14781.795629331375</v>
      </c>
      <c r="DC95" s="427">
        <f>-IF(OR(DC$9&lt;'Operating Assumptions'!$D$53,DC$6&gt;'Operating Assumptions'!$AA$8,'Operating Assumptions'!$L23="N/A"),0,IF('Operating Assumptions'!$L23="% of Total Revenue",'Operating Assumptions'!$M23*DC$65,IF('Operating Assumptions'!$L23="%/EGI",'Operating Assumptions'!$M23*DC$76,IF('Operating Assumptions'!$L23="$/Unit/Annual",(('Operating Assumptions'!$M23*DC$25)*DC$36)/12,IF('Operating Assumptions'!$L23="$/Unit/Month",('Operating Assumptions'!$M23*DC$25)*DC$36,IF('Operating Assumptions'!$L23="Fixed Amount",('Operating Assumptions'!$M23*DC$25)/12))))))</f>
        <v>-14781.795629331375</v>
      </c>
      <c r="DD95" s="427">
        <f>-IF(OR(DD$9&lt;'Operating Assumptions'!$D$53,DD$6&gt;'Operating Assumptions'!$AA$8,'Operating Assumptions'!$L23="N/A"),0,IF('Operating Assumptions'!$L23="% of Total Revenue",'Operating Assumptions'!$M23*DD$65,IF('Operating Assumptions'!$L23="%/EGI",'Operating Assumptions'!$M23*DD$76,IF('Operating Assumptions'!$L23="$/Unit/Annual",(('Operating Assumptions'!$M23*DD$25)*DD$36)/12,IF('Operating Assumptions'!$L23="$/Unit/Month",('Operating Assumptions'!$M23*DD$25)*DD$36,IF('Operating Assumptions'!$L23="Fixed Amount",('Operating Assumptions'!$M23*DD$25)/12))))))</f>
        <v>-14781.795629331375</v>
      </c>
      <c r="DE95" s="427">
        <f>-IF(OR(DE$9&lt;'Operating Assumptions'!$D$53,DE$6&gt;'Operating Assumptions'!$AA$8,'Operating Assumptions'!$L23="N/A"),0,IF('Operating Assumptions'!$L23="% of Total Revenue",'Operating Assumptions'!$M23*DE$65,IF('Operating Assumptions'!$L23="%/EGI",'Operating Assumptions'!$M23*DE$76,IF('Operating Assumptions'!$L23="$/Unit/Annual",(('Operating Assumptions'!$M23*DE$25)*DE$36)/12,IF('Operating Assumptions'!$L23="$/Unit/Month",('Operating Assumptions'!$M23*DE$25)*DE$36,IF('Operating Assumptions'!$L23="Fixed Amount",('Operating Assumptions'!$M23*DE$25)/12))))))</f>
        <v>-14781.795629331375</v>
      </c>
      <c r="DF95" s="427">
        <f>-IF(OR(DF$9&lt;'Operating Assumptions'!$D$53,DF$6&gt;'Operating Assumptions'!$AA$8,'Operating Assumptions'!$L23="N/A"),0,IF('Operating Assumptions'!$L23="% of Total Revenue",'Operating Assumptions'!$M23*DF$65,IF('Operating Assumptions'!$L23="%/EGI",'Operating Assumptions'!$M23*DF$76,IF('Operating Assumptions'!$L23="$/Unit/Annual",(('Operating Assumptions'!$M23*DF$25)*DF$36)/12,IF('Operating Assumptions'!$L23="$/Unit/Month",('Operating Assumptions'!$M23*DF$25)*DF$36,IF('Operating Assumptions'!$L23="Fixed Amount",('Operating Assumptions'!$M23*DF$25)/12))))))</f>
        <v>-14781.795629331375</v>
      </c>
      <c r="DG95" s="427">
        <f>-IF(OR(DG$9&lt;'Operating Assumptions'!$D$53,DG$6&gt;'Operating Assumptions'!$AA$8,'Operating Assumptions'!$L23="N/A"),0,IF('Operating Assumptions'!$L23="% of Total Revenue",'Operating Assumptions'!$M23*DG$65,IF('Operating Assumptions'!$L23="%/EGI",'Operating Assumptions'!$M23*DG$76,IF('Operating Assumptions'!$L23="$/Unit/Annual",(('Operating Assumptions'!$M23*DG$25)*DG$36)/12,IF('Operating Assumptions'!$L23="$/Unit/Month",('Operating Assumptions'!$M23*DG$25)*DG$36,IF('Operating Assumptions'!$L23="Fixed Amount",('Operating Assumptions'!$M23*DG$25)/12))))))</f>
        <v>-14781.795629331375</v>
      </c>
      <c r="DH95" s="427">
        <f>-IF(OR(DH$9&lt;'Operating Assumptions'!$D$53,DH$6&gt;'Operating Assumptions'!$AA$8,'Operating Assumptions'!$L23="N/A"),0,IF('Operating Assumptions'!$L23="% of Total Revenue",'Operating Assumptions'!$M23*DH$65,IF('Operating Assumptions'!$L23="%/EGI",'Operating Assumptions'!$M23*DH$76,IF('Operating Assumptions'!$L23="$/Unit/Annual",(('Operating Assumptions'!$M23*DH$25)*DH$36)/12,IF('Operating Assumptions'!$L23="$/Unit/Month",('Operating Assumptions'!$M23*DH$25)*DH$36,IF('Operating Assumptions'!$L23="Fixed Amount",('Operating Assumptions'!$M23*DH$25)/12))))))</f>
        <v>-14781.795629331375</v>
      </c>
      <c r="DI95" s="427">
        <f>-IF(OR(DI$9&lt;'Operating Assumptions'!$D$53,DI$6&gt;'Operating Assumptions'!$AA$8,'Operating Assumptions'!$L23="N/A"),0,IF('Operating Assumptions'!$L23="% of Total Revenue",'Operating Assumptions'!$M23*DI$65,IF('Operating Assumptions'!$L23="%/EGI",'Operating Assumptions'!$M23*DI$76,IF('Operating Assumptions'!$L23="$/Unit/Annual",(('Operating Assumptions'!$M23*DI$25)*DI$36)/12,IF('Operating Assumptions'!$L23="$/Unit/Month",('Operating Assumptions'!$M23*DI$25)*DI$36,IF('Operating Assumptions'!$L23="Fixed Amount",('Operating Assumptions'!$M23*DI$25)/12))))))</f>
        <v>-14781.795629331375</v>
      </c>
      <c r="DJ95" s="427">
        <f>-IF(OR(DJ$9&lt;'Operating Assumptions'!$D$53,DJ$6&gt;'Operating Assumptions'!$AA$8,'Operating Assumptions'!$L23="N/A"),0,IF('Operating Assumptions'!$L23="% of Total Revenue",'Operating Assumptions'!$M23*DJ$65,IF('Operating Assumptions'!$L23="%/EGI",'Operating Assumptions'!$M23*DJ$76,IF('Operating Assumptions'!$L23="$/Unit/Annual",(('Operating Assumptions'!$M23*DJ$25)*DJ$36)/12,IF('Operating Assumptions'!$L23="$/Unit/Month",('Operating Assumptions'!$M23*DJ$25)*DJ$36,IF('Operating Assumptions'!$L23="Fixed Amount",('Operating Assumptions'!$M23*DJ$25)/12))))))</f>
        <v>-14781.795629331375</v>
      </c>
      <c r="DK95" s="427">
        <f>-IF(OR(DK$9&lt;'Operating Assumptions'!$D$53,DK$6&gt;'Operating Assumptions'!$AA$8,'Operating Assumptions'!$L23="N/A"),0,IF('Operating Assumptions'!$L23="% of Total Revenue",'Operating Assumptions'!$M23*DK$65,IF('Operating Assumptions'!$L23="%/EGI",'Operating Assumptions'!$M23*DK$76,IF('Operating Assumptions'!$L23="$/Unit/Annual",(('Operating Assumptions'!$M23*DK$25)*DK$36)/12,IF('Operating Assumptions'!$L23="$/Unit/Month",('Operating Assumptions'!$M23*DK$25)*DK$36,IF('Operating Assumptions'!$L23="Fixed Amount",('Operating Assumptions'!$M23*DK$25)/12))))))</f>
        <v>-14781.795629331375</v>
      </c>
      <c r="DL95" s="427">
        <f>-IF(OR(DL$9&lt;'Operating Assumptions'!$D$53,DL$6&gt;'Operating Assumptions'!$AA$8,'Operating Assumptions'!$L23="N/A"),0,IF('Operating Assumptions'!$L23="% of Total Revenue",'Operating Assumptions'!$M23*DL$65,IF('Operating Assumptions'!$L23="%/EGI",'Operating Assumptions'!$M23*DL$76,IF('Operating Assumptions'!$L23="$/Unit/Annual",(('Operating Assumptions'!$M23*DL$25)*DL$36)/12,IF('Operating Assumptions'!$L23="$/Unit/Month",('Operating Assumptions'!$M23*DL$25)*DL$36,IF('Operating Assumptions'!$L23="Fixed Amount",('Operating Assumptions'!$M23*DL$25)/12))))))</f>
        <v>-15041.125377214381</v>
      </c>
      <c r="DM95" s="427">
        <f>-IF(OR(DM$9&lt;'Operating Assumptions'!$D$53,DM$6&gt;'Operating Assumptions'!$AA$8,'Operating Assumptions'!$L23="N/A"),0,IF('Operating Assumptions'!$L23="% of Total Revenue",'Operating Assumptions'!$M23*DM$65,IF('Operating Assumptions'!$L23="%/EGI",'Operating Assumptions'!$M23*DM$76,IF('Operating Assumptions'!$L23="$/Unit/Annual",(('Operating Assumptions'!$M23*DM$25)*DM$36)/12,IF('Operating Assumptions'!$L23="$/Unit/Month",('Operating Assumptions'!$M23*DM$25)*DM$36,IF('Operating Assumptions'!$L23="Fixed Amount",('Operating Assumptions'!$M23*DM$25)/12))))))</f>
        <v>-15041.125377214381</v>
      </c>
      <c r="DN95" s="427">
        <f>-IF(OR(DN$9&lt;'Operating Assumptions'!$D$53,DN$6&gt;'Operating Assumptions'!$AA$8,'Operating Assumptions'!$L23="N/A"),0,IF('Operating Assumptions'!$L23="% of Total Revenue",'Operating Assumptions'!$M23*DN$65,IF('Operating Assumptions'!$L23="%/EGI",'Operating Assumptions'!$M23*DN$76,IF('Operating Assumptions'!$L23="$/Unit/Annual",(('Operating Assumptions'!$M23*DN$25)*DN$36)/12,IF('Operating Assumptions'!$L23="$/Unit/Month",('Operating Assumptions'!$M23*DN$25)*DN$36,IF('Operating Assumptions'!$L23="Fixed Amount",('Operating Assumptions'!$M23*DN$25)/12))))))</f>
        <v>-15041.125377214381</v>
      </c>
      <c r="DO95" s="427">
        <f>-IF(OR(DO$9&lt;'Operating Assumptions'!$D$53,DO$6&gt;'Operating Assumptions'!$AA$8,'Operating Assumptions'!$L23="N/A"),0,IF('Operating Assumptions'!$L23="% of Total Revenue",'Operating Assumptions'!$M23*DO$65,IF('Operating Assumptions'!$L23="%/EGI",'Operating Assumptions'!$M23*DO$76,IF('Operating Assumptions'!$L23="$/Unit/Annual",(('Operating Assumptions'!$M23*DO$25)*DO$36)/12,IF('Operating Assumptions'!$L23="$/Unit/Month",('Operating Assumptions'!$M23*DO$25)*DO$36,IF('Operating Assumptions'!$L23="Fixed Amount",('Operating Assumptions'!$M23*DO$25)/12))))))</f>
        <v>-15041.125377214381</v>
      </c>
      <c r="DP95" s="427">
        <f>-IF(OR(DP$9&lt;'Operating Assumptions'!$D$53,DP$6&gt;'Operating Assumptions'!$AA$8,'Operating Assumptions'!$L23="N/A"),0,IF('Operating Assumptions'!$L23="% of Total Revenue",'Operating Assumptions'!$M23*DP$65,IF('Operating Assumptions'!$L23="%/EGI",'Operating Assumptions'!$M23*DP$76,IF('Operating Assumptions'!$L23="$/Unit/Annual",(('Operating Assumptions'!$M23*DP$25)*DP$36)/12,IF('Operating Assumptions'!$L23="$/Unit/Month",('Operating Assumptions'!$M23*DP$25)*DP$36,IF('Operating Assumptions'!$L23="Fixed Amount",('Operating Assumptions'!$M23*DP$25)/12))))))</f>
        <v>-15041.125377214381</v>
      </c>
      <c r="DQ95" s="427">
        <f>-IF(OR(DQ$9&lt;'Operating Assumptions'!$D$53,DQ$6&gt;'Operating Assumptions'!$AA$8,'Operating Assumptions'!$L23="N/A"),0,IF('Operating Assumptions'!$L23="% of Total Revenue",'Operating Assumptions'!$M23*DQ$65,IF('Operating Assumptions'!$L23="%/EGI",'Operating Assumptions'!$M23*DQ$76,IF('Operating Assumptions'!$L23="$/Unit/Annual",(('Operating Assumptions'!$M23*DQ$25)*DQ$36)/12,IF('Operating Assumptions'!$L23="$/Unit/Month",('Operating Assumptions'!$M23*DQ$25)*DQ$36,IF('Operating Assumptions'!$L23="Fixed Amount",('Operating Assumptions'!$M23*DQ$25)/12))))))</f>
        <v>-15041.125377214381</v>
      </c>
      <c r="DR95" s="427">
        <f>-IF(OR(DR$9&lt;'Operating Assumptions'!$D$53,DR$6&gt;'Operating Assumptions'!$AA$8,'Operating Assumptions'!$L23="N/A"),0,IF('Operating Assumptions'!$L23="% of Total Revenue",'Operating Assumptions'!$M23*DR$65,IF('Operating Assumptions'!$L23="%/EGI",'Operating Assumptions'!$M23*DR$76,IF('Operating Assumptions'!$L23="$/Unit/Annual",(('Operating Assumptions'!$M23*DR$25)*DR$36)/12,IF('Operating Assumptions'!$L23="$/Unit/Month",('Operating Assumptions'!$M23*DR$25)*DR$36,IF('Operating Assumptions'!$L23="Fixed Amount",('Operating Assumptions'!$M23*DR$25)/12))))))</f>
        <v>-15041.125377214381</v>
      </c>
      <c r="DS95" s="427">
        <f>-IF(OR(DS$9&lt;'Operating Assumptions'!$D$53,DS$6&gt;'Operating Assumptions'!$AA$8,'Operating Assumptions'!$L23="N/A"),0,IF('Operating Assumptions'!$L23="% of Total Revenue",'Operating Assumptions'!$M23*DS$65,IF('Operating Assumptions'!$L23="%/EGI",'Operating Assumptions'!$M23*DS$76,IF('Operating Assumptions'!$L23="$/Unit/Annual",(('Operating Assumptions'!$M23*DS$25)*DS$36)/12,IF('Operating Assumptions'!$L23="$/Unit/Month",('Operating Assumptions'!$M23*DS$25)*DS$36,IF('Operating Assumptions'!$L23="Fixed Amount",('Operating Assumptions'!$M23*DS$25)/12))))))</f>
        <v>-15041.125377214381</v>
      </c>
      <c r="DT95" s="427">
        <f>-IF(OR(DT$9&lt;'Operating Assumptions'!$D$53,DT$6&gt;'Operating Assumptions'!$AA$8,'Operating Assumptions'!$L23="N/A"),0,IF('Operating Assumptions'!$L23="% of Total Revenue",'Operating Assumptions'!$M23*DT$65,IF('Operating Assumptions'!$L23="%/EGI",'Operating Assumptions'!$M23*DT$76,IF('Operating Assumptions'!$L23="$/Unit/Annual",(('Operating Assumptions'!$M23*DT$25)*DT$36)/12,IF('Operating Assumptions'!$L23="$/Unit/Month",('Operating Assumptions'!$M23*DT$25)*DT$36,IF('Operating Assumptions'!$L23="Fixed Amount",('Operating Assumptions'!$M23*DT$25)/12))))))</f>
        <v>-15041.125377214381</v>
      </c>
      <c r="DU95" s="427">
        <f>-IF(OR(DU$9&lt;'Operating Assumptions'!$D$53,DU$6&gt;'Operating Assumptions'!$AA$8,'Operating Assumptions'!$L23="N/A"),0,IF('Operating Assumptions'!$L23="% of Total Revenue",'Operating Assumptions'!$M23*DU$65,IF('Operating Assumptions'!$L23="%/EGI",'Operating Assumptions'!$M23*DU$76,IF('Operating Assumptions'!$L23="$/Unit/Annual",(('Operating Assumptions'!$M23*DU$25)*DU$36)/12,IF('Operating Assumptions'!$L23="$/Unit/Month",('Operating Assumptions'!$M23*DU$25)*DU$36,IF('Operating Assumptions'!$L23="Fixed Amount",('Operating Assumptions'!$M23*DU$25)/12))))))</f>
        <v>-15041.125377214381</v>
      </c>
      <c r="DV95" s="427">
        <f>-IF(OR(DV$9&lt;'Operating Assumptions'!$D$53,DV$6&gt;'Operating Assumptions'!$AA$8,'Operating Assumptions'!$L23="N/A"),0,IF('Operating Assumptions'!$L23="% of Total Revenue",'Operating Assumptions'!$M23*DV$65,IF('Operating Assumptions'!$L23="%/EGI",'Operating Assumptions'!$M23*DV$76,IF('Operating Assumptions'!$L23="$/Unit/Annual",(('Operating Assumptions'!$M23*DV$25)*DV$36)/12,IF('Operating Assumptions'!$L23="$/Unit/Month",('Operating Assumptions'!$M23*DV$25)*DV$36,IF('Operating Assumptions'!$L23="Fixed Amount",('Operating Assumptions'!$M23*DV$25)/12))))))</f>
        <v>-15041.125377214381</v>
      </c>
      <c r="DW95" s="427">
        <f>-IF(OR(DW$9&lt;'Operating Assumptions'!$D$53,DW$6&gt;'Operating Assumptions'!$AA$8,'Operating Assumptions'!$L23="N/A"),0,IF('Operating Assumptions'!$L23="% of Total Revenue",'Operating Assumptions'!$M23*DW$65,IF('Operating Assumptions'!$L23="%/EGI",'Operating Assumptions'!$M23*DW$76,IF('Operating Assumptions'!$L23="$/Unit/Annual",(('Operating Assumptions'!$M23*DW$25)*DW$36)/12,IF('Operating Assumptions'!$L23="$/Unit/Month",('Operating Assumptions'!$M23*DW$25)*DW$36,IF('Operating Assumptions'!$L23="Fixed Amount",('Operating Assumptions'!$M23*DW$25)/12))))))</f>
        <v>-15041.125377214381</v>
      </c>
      <c r="DX95" s="427">
        <f>-IF(OR(DX$9&lt;'Operating Assumptions'!$D$53,DX$6&gt;'Operating Assumptions'!$AA$8,'Operating Assumptions'!$L23="N/A"),0,IF('Operating Assumptions'!$L23="% of Total Revenue",'Operating Assumptions'!$M23*DX$65,IF('Operating Assumptions'!$L23="%/EGI",'Operating Assumptions'!$M23*DX$76,IF('Operating Assumptions'!$L23="$/Unit/Annual",(('Operating Assumptions'!$M23*DX$25)*DX$36)/12,IF('Operating Assumptions'!$L23="$/Unit/Month",('Operating Assumptions'!$M23*DX$25)*DX$36,IF('Operating Assumptions'!$L23="Fixed Amount",('Operating Assumptions'!$M23*DX$25)/12))))))</f>
        <v>-15300.455125097389</v>
      </c>
      <c r="DY95" s="427">
        <f>-IF(OR(DY$9&lt;'Operating Assumptions'!$D$53,DY$6&gt;'Operating Assumptions'!$AA$8,'Operating Assumptions'!$L23="N/A"),0,IF('Operating Assumptions'!$L23="% of Total Revenue",'Operating Assumptions'!$M23*DY$65,IF('Operating Assumptions'!$L23="%/EGI",'Operating Assumptions'!$M23*DY$76,IF('Operating Assumptions'!$L23="$/Unit/Annual",(('Operating Assumptions'!$M23*DY$25)*DY$36)/12,IF('Operating Assumptions'!$L23="$/Unit/Month",('Operating Assumptions'!$M23*DY$25)*DY$36,IF('Operating Assumptions'!$L23="Fixed Amount",('Operating Assumptions'!$M23*DY$25)/12))))))</f>
        <v>-15300.455125097389</v>
      </c>
      <c r="DZ95" s="427">
        <f>-IF(OR(DZ$9&lt;'Operating Assumptions'!$D$53,DZ$6&gt;'Operating Assumptions'!$AA$8,'Operating Assumptions'!$L23="N/A"),0,IF('Operating Assumptions'!$L23="% of Total Revenue",'Operating Assumptions'!$M23*DZ$65,IF('Operating Assumptions'!$L23="%/EGI",'Operating Assumptions'!$M23*DZ$76,IF('Operating Assumptions'!$L23="$/Unit/Annual",(('Operating Assumptions'!$M23*DZ$25)*DZ$36)/12,IF('Operating Assumptions'!$L23="$/Unit/Month",('Operating Assumptions'!$M23*DZ$25)*DZ$36,IF('Operating Assumptions'!$L23="Fixed Amount",('Operating Assumptions'!$M23*DZ$25)/12))))))</f>
        <v>-15300.455125097389</v>
      </c>
      <c r="EA95" s="427">
        <f>-IF(OR(EA$9&lt;'Operating Assumptions'!$D$53,EA$6&gt;'Operating Assumptions'!$AA$8,'Operating Assumptions'!$L23="N/A"),0,IF('Operating Assumptions'!$L23="% of Total Revenue",'Operating Assumptions'!$M23*EA$65,IF('Operating Assumptions'!$L23="%/EGI",'Operating Assumptions'!$M23*EA$76,IF('Operating Assumptions'!$L23="$/Unit/Annual",(('Operating Assumptions'!$M23*EA$25)*EA$36)/12,IF('Operating Assumptions'!$L23="$/Unit/Month",('Operating Assumptions'!$M23*EA$25)*EA$36,IF('Operating Assumptions'!$L23="Fixed Amount",('Operating Assumptions'!$M23*EA$25)/12))))))</f>
        <v>-15300.455125097389</v>
      </c>
      <c r="EB95" s="427">
        <f>-IF(OR(EB$9&lt;'Operating Assumptions'!$D$53,EB$6&gt;'Operating Assumptions'!$AA$8,'Operating Assumptions'!$L23="N/A"),0,IF('Operating Assumptions'!$L23="% of Total Revenue",'Operating Assumptions'!$M23*EB$65,IF('Operating Assumptions'!$L23="%/EGI",'Operating Assumptions'!$M23*EB$76,IF('Operating Assumptions'!$L23="$/Unit/Annual",(('Operating Assumptions'!$M23*EB$25)*EB$36)/12,IF('Operating Assumptions'!$L23="$/Unit/Month",('Operating Assumptions'!$M23*EB$25)*EB$36,IF('Operating Assumptions'!$L23="Fixed Amount",('Operating Assumptions'!$M23*EB$25)/12))))))</f>
        <v>-15300.455125097389</v>
      </c>
      <c r="EC95" s="427">
        <f>-IF(OR(EC$9&lt;'Operating Assumptions'!$D$53,EC$6&gt;'Operating Assumptions'!$AA$8,'Operating Assumptions'!$L23="N/A"),0,IF('Operating Assumptions'!$L23="% of Total Revenue",'Operating Assumptions'!$M23*EC$65,IF('Operating Assumptions'!$L23="%/EGI",'Operating Assumptions'!$M23*EC$76,IF('Operating Assumptions'!$L23="$/Unit/Annual",(('Operating Assumptions'!$M23*EC$25)*EC$36)/12,IF('Operating Assumptions'!$L23="$/Unit/Month",('Operating Assumptions'!$M23*EC$25)*EC$36,IF('Operating Assumptions'!$L23="Fixed Amount",('Operating Assumptions'!$M23*EC$25)/12))))))</f>
        <v>-15300.455125097389</v>
      </c>
      <c r="ED95" s="427">
        <f>-IF(OR(ED$9&lt;'Operating Assumptions'!$D$53,ED$6&gt;'Operating Assumptions'!$AA$8,'Operating Assumptions'!$L23="N/A"),0,IF('Operating Assumptions'!$L23="% of Total Revenue",'Operating Assumptions'!$M23*ED$65,IF('Operating Assumptions'!$L23="%/EGI",'Operating Assumptions'!$M23*ED$76,IF('Operating Assumptions'!$L23="$/Unit/Annual",(('Operating Assumptions'!$M23*ED$25)*ED$36)/12,IF('Operating Assumptions'!$L23="$/Unit/Month",('Operating Assumptions'!$M23*ED$25)*ED$36,IF('Operating Assumptions'!$L23="Fixed Amount",('Operating Assumptions'!$M23*ED$25)/12))))))</f>
        <v>-15300.455125097389</v>
      </c>
      <c r="EE95" s="427">
        <f>-IF(OR(EE$9&lt;'Operating Assumptions'!$D$53,EE$6&gt;'Operating Assumptions'!$AA$8,'Operating Assumptions'!$L23="N/A"),0,IF('Operating Assumptions'!$L23="% of Total Revenue",'Operating Assumptions'!$M23*EE$65,IF('Operating Assumptions'!$L23="%/EGI",'Operating Assumptions'!$M23*EE$76,IF('Operating Assumptions'!$L23="$/Unit/Annual",(('Operating Assumptions'!$M23*EE$25)*EE$36)/12,IF('Operating Assumptions'!$L23="$/Unit/Month",('Operating Assumptions'!$M23*EE$25)*EE$36,IF('Operating Assumptions'!$L23="Fixed Amount",('Operating Assumptions'!$M23*EE$25)/12))))))</f>
        <v>-15300.455125097389</v>
      </c>
      <c r="EF95" s="427">
        <f>-IF(OR(EF$9&lt;'Operating Assumptions'!$D$53,EF$6&gt;'Operating Assumptions'!$AA$8,'Operating Assumptions'!$L23="N/A"),0,IF('Operating Assumptions'!$L23="% of Total Revenue",'Operating Assumptions'!$M23*EF$65,IF('Operating Assumptions'!$L23="%/EGI",'Operating Assumptions'!$M23*EF$76,IF('Operating Assumptions'!$L23="$/Unit/Annual",(('Operating Assumptions'!$M23*EF$25)*EF$36)/12,IF('Operating Assumptions'!$L23="$/Unit/Month",('Operating Assumptions'!$M23*EF$25)*EF$36,IF('Operating Assumptions'!$L23="Fixed Amount",('Operating Assumptions'!$M23*EF$25)/12))))))</f>
        <v>-15300.455125097389</v>
      </c>
      <c r="EG95" s="427">
        <f>-IF(OR(EG$9&lt;'Operating Assumptions'!$D$53,EG$6&gt;'Operating Assumptions'!$AA$8,'Operating Assumptions'!$L23="N/A"),0,IF('Operating Assumptions'!$L23="% of Total Revenue",'Operating Assumptions'!$M23*EG$65,IF('Operating Assumptions'!$L23="%/EGI",'Operating Assumptions'!$M23*EG$76,IF('Operating Assumptions'!$L23="$/Unit/Annual",(('Operating Assumptions'!$M23*EG$25)*EG$36)/12,IF('Operating Assumptions'!$L23="$/Unit/Month",('Operating Assumptions'!$M23*EG$25)*EG$36,IF('Operating Assumptions'!$L23="Fixed Amount",('Operating Assumptions'!$M23*EG$25)/12))))))</f>
        <v>-15300.455125097389</v>
      </c>
      <c r="EH95" s="427">
        <f>-IF(OR(EH$9&lt;'Operating Assumptions'!$D$53,EH$6&gt;'Operating Assumptions'!$AA$8,'Operating Assumptions'!$L23="N/A"),0,IF('Operating Assumptions'!$L23="% of Total Revenue",'Operating Assumptions'!$M23*EH$65,IF('Operating Assumptions'!$L23="%/EGI",'Operating Assumptions'!$M23*EH$76,IF('Operating Assumptions'!$L23="$/Unit/Annual",(('Operating Assumptions'!$M23*EH$25)*EH$36)/12,IF('Operating Assumptions'!$L23="$/Unit/Month",('Operating Assumptions'!$M23*EH$25)*EH$36,IF('Operating Assumptions'!$L23="Fixed Amount",('Operating Assumptions'!$M23*EH$25)/12))))))</f>
        <v>-15300.455125097389</v>
      </c>
      <c r="EI95" s="427">
        <f>-IF(OR(EI$9&lt;'Operating Assumptions'!$D$53,EI$6&gt;'Operating Assumptions'!$AA$8,'Operating Assumptions'!$L23="N/A"),0,IF('Operating Assumptions'!$L23="% of Total Revenue",'Operating Assumptions'!$M23*EI$65,IF('Operating Assumptions'!$L23="%/EGI",'Operating Assumptions'!$M23*EI$76,IF('Operating Assumptions'!$L23="$/Unit/Annual",(('Operating Assumptions'!$M23*EI$25)*EI$36)/12,IF('Operating Assumptions'!$L23="$/Unit/Month",('Operating Assumptions'!$M23*EI$25)*EI$36,IF('Operating Assumptions'!$L23="Fixed Amount",('Operating Assumptions'!$M23*EI$25)/12))))))</f>
        <v>-15300.455125097389</v>
      </c>
      <c r="EJ95" s="427">
        <f>-IF(OR(EJ$9&lt;'Operating Assumptions'!$D$53,EJ$6&gt;'Operating Assumptions'!$AA$8,'Operating Assumptions'!$L23="N/A"),0,IF('Operating Assumptions'!$L23="% of Total Revenue",'Operating Assumptions'!$M23*EJ$65,IF('Operating Assumptions'!$L23="%/EGI",'Operating Assumptions'!$M23*EJ$76,IF('Operating Assumptions'!$L23="$/Unit/Annual",(('Operating Assumptions'!$M23*EJ$25)*EJ$36)/12,IF('Operating Assumptions'!$L23="$/Unit/Month",('Operating Assumptions'!$M23*EJ$25)*EJ$36,IF('Operating Assumptions'!$L23="Fixed Amount",('Operating Assumptions'!$M23*EJ$25)/12))))))</f>
        <v>-15559.784872980395</v>
      </c>
      <c r="EK95" s="427">
        <f>-IF(OR(EK$9&lt;'Operating Assumptions'!$D$53,EK$6&gt;'Operating Assumptions'!$AA$8,'Operating Assumptions'!$L23="N/A"),0,IF('Operating Assumptions'!$L23="% of Total Revenue",'Operating Assumptions'!$M23*EK$65,IF('Operating Assumptions'!$L23="%/EGI",'Operating Assumptions'!$M23*EK$76,IF('Operating Assumptions'!$L23="$/Unit/Annual",(('Operating Assumptions'!$M23*EK$25)*EK$36)/12,IF('Operating Assumptions'!$L23="$/Unit/Month",('Operating Assumptions'!$M23*EK$25)*EK$36,IF('Operating Assumptions'!$L23="Fixed Amount",('Operating Assumptions'!$M23*EK$25)/12))))))</f>
        <v>-15559.784872980395</v>
      </c>
      <c r="EL95" s="427">
        <f>-IF(OR(EL$9&lt;'Operating Assumptions'!$D$53,EL$6&gt;'Operating Assumptions'!$AA$8,'Operating Assumptions'!$L23="N/A"),0,IF('Operating Assumptions'!$L23="% of Total Revenue",'Operating Assumptions'!$M23*EL$65,IF('Operating Assumptions'!$L23="%/EGI",'Operating Assumptions'!$M23*EL$76,IF('Operating Assumptions'!$L23="$/Unit/Annual",(('Operating Assumptions'!$M23*EL$25)*EL$36)/12,IF('Operating Assumptions'!$L23="$/Unit/Month",('Operating Assumptions'!$M23*EL$25)*EL$36,IF('Operating Assumptions'!$L23="Fixed Amount",('Operating Assumptions'!$M23*EL$25)/12))))))</f>
        <v>-15559.784872980395</v>
      </c>
      <c r="EM95" s="427">
        <f>-IF(OR(EM$9&lt;'Operating Assumptions'!$D$53,EM$6&gt;'Operating Assumptions'!$AA$8,'Operating Assumptions'!$L23="N/A"),0,IF('Operating Assumptions'!$L23="% of Total Revenue",'Operating Assumptions'!$M23*EM$65,IF('Operating Assumptions'!$L23="%/EGI",'Operating Assumptions'!$M23*EM$76,IF('Operating Assumptions'!$L23="$/Unit/Annual",(('Operating Assumptions'!$M23*EM$25)*EM$36)/12,IF('Operating Assumptions'!$L23="$/Unit/Month",('Operating Assumptions'!$M23*EM$25)*EM$36,IF('Operating Assumptions'!$L23="Fixed Amount",('Operating Assumptions'!$M23*EM$25)/12))))))</f>
        <v>-15559.784872980395</v>
      </c>
      <c r="EN95" s="427">
        <f>-IF(OR(EN$9&lt;'Operating Assumptions'!$D$53,EN$6&gt;'Operating Assumptions'!$AA$8,'Operating Assumptions'!$L23="N/A"),0,IF('Operating Assumptions'!$L23="% of Total Revenue",'Operating Assumptions'!$M23*EN$65,IF('Operating Assumptions'!$L23="%/EGI",'Operating Assumptions'!$M23*EN$76,IF('Operating Assumptions'!$L23="$/Unit/Annual",(('Operating Assumptions'!$M23*EN$25)*EN$36)/12,IF('Operating Assumptions'!$L23="$/Unit/Month",('Operating Assumptions'!$M23*EN$25)*EN$36,IF('Operating Assumptions'!$L23="Fixed Amount",('Operating Assumptions'!$M23*EN$25)/12))))))</f>
        <v>-15559.784872980395</v>
      </c>
      <c r="EO95" s="427">
        <f>-IF(OR(EO$9&lt;'Operating Assumptions'!$D$53,EO$6&gt;'Operating Assumptions'!$AA$8,'Operating Assumptions'!$L23="N/A"),0,IF('Operating Assumptions'!$L23="% of Total Revenue",'Operating Assumptions'!$M23*EO$65,IF('Operating Assumptions'!$L23="%/EGI",'Operating Assumptions'!$M23*EO$76,IF('Operating Assumptions'!$L23="$/Unit/Annual",(('Operating Assumptions'!$M23*EO$25)*EO$36)/12,IF('Operating Assumptions'!$L23="$/Unit/Month",('Operating Assumptions'!$M23*EO$25)*EO$36,IF('Operating Assumptions'!$L23="Fixed Amount",('Operating Assumptions'!$M23*EO$25)/12))))))</f>
        <v>-15559.784872980395</v>
      </c>
      <c r="EP95" s="427">
        <f>-IF(OR(EP$9&lt;'Operating Assumptions'!$D$53,EP$6&gt;'Operating Assumptions'!$AA$8,'Operating Assumptions'!$L23="N/A"),0,IF('Operating Assumptions'!$L23="% of Total Revenue",'Operating Assumptions'!$M23*EP$65,IF('Operating Assumptions'!$L23="%/EGI",'Operating Assumptions'!$M23*EP$76,IF('Operating Assumptions'!$L23="$/Unit/Annual",(('Operating Assumptions'!$M23*EP$25)*EP$36)/12,IF('Operating Assumptions'!$L23="$/Unit/Month",('Operating Assumptions'!$M23*EP$25)*EP$36,IF('Operating Assumptions'!$L23="Fixed Amount",('Operating Assumptions'!$M23*EP$25)/12))))))</f>
        <v>-15559.784872980395</v>
      </c>
      <c r="EQ95" s="427">
        <f>-IF(OR(EQ$9&lt;'Operating Assumptions'!$D$53,EQ$6&gt;'Operating Assumptions'!$AA$8,'Operating Assumptions'!$L23="N/A"),0,IF('Operating Assumptions'!$L23="% of Total Revenue",'Operating Assumptions'!$M23*EQ$65,IF('Operating Assumptions'!$L23="%/EGI",'Operating Assumptions'!$M23*EQ$76,IF('Operating Assumptions'!$L23="$/Unit/Annual",(('Operating Assumptions'!$M23*EQ$25)*EQ$36)/12,IF('Operating Assumptions'!$L23="$/Unit/Month",('Operating Assumptions'!$M23*EQ$25)*EQ$36,IF('Operating Assumptions'!$L23="Fixed Amount",('Operating Assumptions'!$M23*EQ$25)/12))))))</f>
        <v>-15559.784872980395</v>
      </c>
      <c r="ER95" s="427">
        <f>-IF(OR(ER$9&lt;'Operating Assumptions'!$D$53,ER$6&gt;'Operating Assumptions'!$AA$8,'Operating Assumptions'!$L23="N/A"),0,IF('Operating Assumptions'!$L23="% of Total Revenue",'Operating Assumptions'!$M23*ER$65,IF('Operating Assumptions'!$L23="%/EGI",'Operating Assumptions'!$M23*ER$76,IF('Operating Assumptions'!$L23="$/Unit/Annual",(('Operating Assumptions'!$M23*ER$25)*ER$36)/12,IF('Operating Assumptions'!$L23="$/Unit/Month",('Operating Assumptions'!$M23*ER$25)*ER$36,IF('Operating Assumptions'!$L23="Fixed Amount",('Operating Assumptions'!$M23*ER$25)/12))))))</f>
        <v>-15559.784872980395</v>
      </c>
      <c r="ES95" s="427">
        <f>-IF(OR(ES$9&lt;'Operating Assumptions'!$D$53,ES$6&gt;'Operating Assumptions'!$AA$8,'Operating Assumptions'!$L23="N/A"),0,IF('Operating Assumptions'!$L23="% of Total Revenue",'Operating Assumptions'!$M23*ES$65,IF('Operating Assumptions'!$L23="%/EGI",'Operating Assumptions'!$M23*ES$76,IF('Operating Assumptions'!$L23="$/Unit/Annual",(('Operating Assumptions'!$M23*ES$25)*ES$36)/12,IF('Operating Assumptions'!$L23="$/Unit/Month",('Operating Assumptions'!$M23*ES$25)*ES$36,IF('Operating Assumptions'!$L23="Fixed Amount",('Operating Assumptions'!$M23*ES$25)/12))))))</f>
        <v>-15559.784872980395</v>
      </c>
      <c r="ET95" s="427">
        <f>-IF(OR(ET$9&lt;'Operating Assumptions'!$D$53,ET$6&gt;'Operating Assumptions'!$AA$8,'Operating Assumptions'!$L23="N/A"),0,IF('Operating Assumptions'!$L23="% of Total Revenue",'Operating Assumptions'!$M23*ET$65,IF('Operating Assumptions'!$L23="%/EGI",'Operating Assumptions'!$M23*ET$76,IF('Operating Assumptions'!$L23="$/Unit/Annual",(('Operating Assumptions'!$M23*ET$25)*ET$36)/12,IF('Operating Assumptions'!$L23="$/Unit/Month",('Operating Assumptions'!$M23*ET$25)*ET$36,IF('Operating Assumptions'!$L23="Fixed Amount",('Operating Assumptions'!$M23*ET$25)/12))))))</f>
        <v>-15559.784872980395</v>
      </c>
      <c r="EU95" s="427">
        <f>-IF(OR(EU$9&lt;'Operating Assumptions'!$D$53,EU$6&gt;'Operating Assumptions'!$AA$8,'Operating Assumptions'!$L23="N/A"),0,IF('Operating Assumptions'!$L23="% of Total Revenue",'Operating Assumptions'!$M23*EU$65,IF('Operating Assumptions'!$L23="%/EGI",'Operating Assumptions'!$M23*EU$76,IF('Operating Assumptions'!$L23="$/Unit/Annual",(('Operating Assumptions'!$M23*EU$25)*EU$36)/12,IF('Operating Assumptions'!$L23="$/Unit/Month",('Operating Assumptions'!$M23*EU$25)*EU$36,IF('Operating Assumptions'!$L23="Fixed Amount",('Operating Assumptions'!$M23*EU$25)/12))))))</f>
        <v>-15559.784872980395</v>
      </c>
      <c r="EV95" s="427">
        <f>-IF(OR(EV$9&lt;'Operating Assumptions'!$D$53,EV$6&gt;'Operating Assumptions'!$AA$8,'Operating Assumptions'!$L23="N/A"),0,IF('Operating Assumptions'!$L23="% of Total Revenue",'Operating Assumptions'!$M23*EV$65,IF('Operating Assumptions'!$L23="%/EGI",'Operating Assumptions'!$M23*EV$76,IF('Operating Assumptions'!$L23="$/Unit/Annual",(('Operating Assumptions'!$M23*EV$25)*EV$36)/12,IF('Operating Assumptions'!$L23="$/Unit/Month",('Operating Assumptions'!$M23*EV$25)*EV$36,IF('Operating Assumptions'!$L23="Fixed Amount",('Operating Assumptions'!$M23*EV$25)/12))))))</f>
        <v>0</v>
      </c>
      <c r="EW95" s="427">
        <f>-IF(OR(EW$9&lt;'Operating Assumptions'!$D$53,EW$6&gt;'Operating Assumptions'!$AA$8,'Operating Assumptions'!$L23="N/A"),0,IF('Operating Assumptions'!$L23="% of Total Revenue",'Operating Assumptions'!$M23*EW$65,IF('Operating Assumptions'!$L23="%/EGI",'Operating Assumptions'!$M23*EW$76,IF('Operating Assumptions'!$L23="$/Unit/Annual",(('Operating Assumptions'!$M23*EW$25)*EW$36)/12,IF('Operating Assumptions'!$L23="$/Unit/Month",('Operating Assumptions'!$M23*EW$25)*EW$36,IF('Operating Assumptions'!$L23="Fixed Amount",('Operating Assumptions'!$M23*EW$25)/12))))))</f>
        <v>0</v>
      </c>
      <c r="EX95" s="427">
        <f>-IF(OR(EX$9&lt;'Operating Assumptions'!$D$53,EX$6&gt;'Operating Assumptions'!$AA$8,'Operating Assumptions'!$L23="N/A"),0,IF('Operating Assumptions'!$L23="% of Total Revenue",'Operating Assumptions'!$M23*EX$65,IF('Operating Assumptions'!$L23="%/EGI",'Operating Assumptions'!$M23*EX$76,IF('Operating Assumptions'!$L23="$/Unit/Annual",(('Operating Assumptions'!$M23*EX$25)*EX$36)/12,IF('Operating Assumptions'!$L23="$/Unit/Month",('Operating Assumptions'!$M23*EX$25)*EX$36,IF('Operating Assumptions'!$L23="Fixed Amount",('Operating Assumptions'!$M23*EX$25)/12))))))</f>
        <v>0</v>
      </c>
      <c r="EY95" s="427">
        <f>-IF(OR(EY$9&lt;'Operating Assumptions'!$D$53,EY$6&gt;'Operating Assumptions'!$AA$8,'Operating Assumptions'!$L23="N/A"),0,IF('Operating Assumptions'!$L23="% of Total Revenue",'Operating Assumptions'!$M23*EY$65,IF('Operating Assumptions'!$L23="%/EGI",'Operating Assumptions'!$M23*EY$76,IF('Operating Assumptions'!$L23="$/Unit/Annual",(('Operating Assumptions'!$M23*EY$25)*EY$36)/12,IF('Operating Assumptions'!$L23="$/Unit/Month",('Operating Assumptions'!$M23*EY$25)*EY$36,IF('Operating Assumptions'!$L23="Fixed Amount",('Operating Assumptions'!$M23*EY$25)/12))))))</f>
        <v>0</v>
      </c>
      <c r="EZ95" s="427">
        <f>-IF(OR(EZ$9&lt;'Operating Assumptions'!$D$53,EZ$6&gt;'Operating Assumptions'!$AA$8,'Operating Assumptions'!$L23="N/A"),0,IF('Operating Assumptions'!$L23="% of Total Revenue",'Operating Assumptions'!$M23*EZ$65,IF('Operating Assumptions'!$L23="%/EGI",'Operating Assumptions'!$M23*EZ$76,IF('Operating Assumptions'!$L23="$/Unit/Annual",(('Operating Assumptions'!$M23*EZ$25)*EZ$36)/12,IF('Operating Assumptions'!$L23="$/Unit/Month",('Operating Assumptions'!$M23*EZ$25)*EZ$36,IF('Operating Assumptions'!$L23="Fixed Amount",('Operating Assumptions'!$M23*EZ$25)/12))))))</f>
        <v>0</v>
      </c>
      <c r="FA95" s="427">
        <f>-IF(OR(FA$9&lt;'Operating Assumptions'!$D$53,FA$6&gt;'Operating Assumptions'!$AA$8,'Operating Assumptions'!$L23="N/A"),0,IF('Operating Assumptions'!$L23="% of Total Revenue",'Operating Assumptions'!$M23*FA$65,IF('Operating Assumptions'!$L23="%/EGI",'Operating Assumptions'!$M23*FA$76,IF('Operating Assumptions'!$L23="$/Unit/Annual",(('Operating Assumptions'!$M23*FA$25)*FA$36)/12,IF('Operating Assumptions'!$L23="$/Unit/Month",('Operating Assumptions'!$M23*FA$25)*FA$36,IF('Operating Assumptions'!$L23="Fixed Amount",('Operating Assumptions'!$M23*FA$25)/12))))))</f>
        <v>0</v>
      </c>
      <c r="FB95" s="427">
        <f>-IF(OR(FB$9&lt;'Operating Assumptions'!$D$53,FB$6&gt;'Operating Assumptions'!$AA$8,'Operating Assumptions'!$L23="N/A"),0,IF('Operating Assumptions'!$L23="% of Total Revenue",'Operating Assumptions'!$M23*FB$65,IF('Operating Assumptions'!$L23="%/EGI",'Operating Assumptions'!$M23*FB$76,IF('Operating Assumptions'!$L23="$/Unit/Annual",(('Operating Assumptions'!$M23*FB$25)*FB$36)/12,IF('Operating Assumptions'!$L23="$/Unit/Month",('Operating Assumptions'!$M23*FB$25)*FB$36,IF('Operating Assumptions'!$L23="Fixed Amount",('Operating Assumptions'!$M23*FB$25)/12))))))</f>
        <v>0</v>
      </c>
      <c r="FC95" s="427">
        <f>-IF(OR(FC$9&lt;'Operating Assumptions'!$D$53,FC$6&gt;'Operating Assumptions'!$AA$8,'Operating Assumptions'!$L23="N/A"),0,IF('Operating Assumptions'!$L23="% of Total Revenue",'Operating Assumptions'!$M23*FC$65,IF('Operating Assumptions'!$L23="%/EGI",'Operating Assumptions'!$M23*FC$76,IF('Operating Assumptions'!$L23="$/Unit/Annual",(('Operating Assumptions'!$M23*FC$25)*FC$36)/12,IF('Operating Assumptions'!$L23="$/Unit/Month",('Operating Assumptions'!$M23*FC$25)*FC$36,IF('Operating Assumptions'!$L23="Fixed Amount",('Operating Assumptions'!$M23*FC$25)/12))))))</f>
        <v>0</v>
      </c>
      <c r="FD95" s="427">
        <f>-IF(OR(FD$9&lt;'Operating Assumptions'!$D$53,FD$6&gt;'Operating Assumptions'!$AA$8,'Operating Assumptions'!$L23="N/A"),0,IF('Operating Assumptions'!$L23="% of Total Revenue",'Operating Assumptions'!$M23*FD$65,IF('Operating Assumptions'!$L23="%/EGI",'Operating Assumptions'!$M23*FD$76,IF('Operating Assumptions'!$L23="$/Unit/Annual",(('Operating Assumptions'!$M23*FD$25)*FD$36)/12,IF('Operating Assumptions'!$L23="$/Unit/Month",('Operating Assumptions'!$M23*FD$25)*FD$36,IF('Operating Assumptions'!$L23="Fixed Amount",('Operating Assumptions'!$M23*FD$25)/12))))))</f>
        <v>0</v>
      </c>
      <c r="FE95" s="427">
        <f>-IF(OR(FE$9&lt;'Operating Assumptions'!$D$53,FE$6&gt;'Operating Assumptions'!$AA$8,'Operating Assumptions'!$L23="N/A"),0,IF('Operating Assumptions'!$L23="% of Total Revenue",'Operating Assumptions'!$M23*FE$65,IF('Operating Assumptions'!$L23="%/EGI",'Operating Assumptions'!$M23*FE$76,IF('Operating Assumptions'!$L23="$/Unit/Annual",(('Operating Assumptions'!$M23*FE$25)*FE$36)/12,IF('Operating Assumptions'!$L23="$/Unit/Month",('Operating Assumptions'!$M23*FE$25)*FE$36,IF('Operating Assumptions'!$L23="Fixed Amount",('Operating Assumptions'!$M23*FE$25)/12))))))</f>
        <v>0</v>
      </c>
      <c r="FF95" s="427">
        <f>-IF(OR(FF$9&lt;'Operating Assumptions'!$D$53,FF$6&gt;'Operating Assumptions'!$AA$8,'Operating Assumptions'!$L23="N/A"),0,IF('Operating Assumptions'!$L23="% of Total Revenue",'Operating Assumptions'!$M23*FF$65,IF('Operating Assumptions'!$L23="%/EGI",'Operating Assumptions'!$M23*FF$76,IF('Operating Assumptions'!$L23="$/Unit/Annual",(('Operating Assumptions'!$M23*FF$25)*FF$36)/12,IF('Operating Assumptions'!$L23="$/Unit/Month",('Operating Assumptions'!$M23*FF$25)*FF$36,IF('Operating Assumptions'!$L23="Fixed Amount",('Operating Assumptions'!$M23*FF$25)/12))))))</f>
        <v>0</v>
      </c>
      <c r="FG95" s="427">
        <f>-IF(OR(FG$9&lt;'Operating Assumptions'!$D$53,FG$6&gt;'Operating Assumptions'!$AA$8,'Operating Assumptions'!$L23="N/A"),0,IF('Operating Assumptions'!$L23="% of Total Revenue",'Operating Assumptions'!$M23*FG$65,IF('Operating Assumptions'!$L23="%/EGI",'Operating Assumptions'!$M23*FG$76,IF('Operating Assumptions'!$L23="$/Unit/Annual",(('Operating Assumptions'!$M23*FG$25)*FG$36)/12,IF('Operating Assumptions'!$L23="$/Unit/Month",('Operating Assumptions'!$M23*FG$25)*FG$36,IF('Operating Assumptions'!$L23="Fixed Amount",('Operating Assumptions'!$M23*FG$25)/12))))))</f>
        <v>0</v>
      </c>
      <c r="FH95" s="427">
        <f>-IF(OR(FH$9&lt;'Operating Assumptions'!$D$53,FH$6&gt;'Operating Assumptions'!$AA$8,'Operating Assumptions'!$L23="N/A"),0,IF('Operating Assumptions'!$L23="% of Total Revenue",'Operating Assumptions'!$M23*FH$65,IF('Operating Assumptions'!$L23="%/EGI",'Operating Assumptions'!$M23*FH$76,IF('Operating Assumptions'!$L23="$/Unit/Annual",(('Operating Assumptions'!$M23*FH$25)*FH$36)/12,IF('Operating Assumptions'!$L23="$/Unit/Month",('Operating Assumptions'!$M23*FH$25)*FH$36,IF('Operating Assumptions'!$L23="Fixed Amount",('Operating Assumptions'!$M23*FH$25)/12))))))</f>
        <v>0</v>
      </c>
      <c r="FI95" s="427">
        <f>-IF(OR(FI$9&lt;'Operating Assumptions'!$D$53,FI$6&gt;'Operating Assumptions'!$AA$8,'Operating Assumptions'!$L23="N/A"),0,IF('Operating Assumptions'!$L23="% of Total Revenue",'Operating Assumptions'!$M23*FI$65,IF('Operating Assumptions'!$L23="%/EGI",'Operating Assumptions'!$M23*FI$76,IF('Operating Assumptions'!$L23="$/Unit/Annual",(('Operating Assumptions'!$M23*FI$25)*FI$36)/12,IF('Operating Assumptions'!$L23="$/Unit/Month",('Operating Assumptions'!$M23*FI$25)*FI$36,IF('Operating Assumptions'!$L23="Fixed Amount",('Operating Assumptions'!$M23*FI$25)/12))))))</f>
        <v>0</v>
      </c>
      <c r="FJ95" s="427">
        <f>-IF(OR(FJ$9&lt;'Operating Assumptions'!$D$53,FJ$6&gt;'Operating Assumptions'!$AA$8,'Operating Assumptions'!$L23="N/A"),0,IF('Operating Assumptions'!$L23="% of Total Revenue",'Operating Assumptions'!$M23*FJ$65,IF('Operating Assumptions'!$L23="%/EGI",'Operating Assumptions'!$M23*FJ$76,IF('Operating Assumptions'!$L23="$/Unit/Annual",(('Operating Assumptions'!$M23*FJ$25)*FJ$36)/12,IF('Operating Assumptions'!$L23="$/Unit/Month",('Operating Assumptions'!$M23*FJ$25)*FJ$36,IF('Operating Assumptions'!$L23="Fixed Amount",('Operating Assumptions'!$M23*FJ$25)/12))))))</f>
        <v>0</v>
      </c>
      <c r="FK95" s="427">
        <f>-IF(OR(FK$9&lt;'Operating Assumptions'!$D$53,FK$6&gt;'Operating Assumptions'!$AA$8,'Operating Assumptions'!$L23="N/A"),0,IF('Operating Assumptions'!$L23="% of Total Revenue",'Operating Assumptions'!$M23*FK$65,IF('Operating Assumptions'!$L23="%/EGI",'Operating Assumptions'!$M23*FK$76,IF('Operating Assumptions'!$L23="$/Unit/Annual",(('Operating Assumptions'!$M23*FK$25)*FK$36)/12,IF('Operating Assumptions'!$L23="$/Unit/Month",('Operating Assumptions'!$M23*FK$25)*FK$36,IF('Operating Assumptions'!$L23="Fixed Amount",('Operating Assumptions'!$M23*FK$25)/12))))))</f>
        <v>0</v>
      </c>
      <c r="FL95" s="427">
        <f>-IF(OR(FL$9&lt;'Operating Assumptions'!$D$53,FL$6&gt;'Operating Assumptions'!$AA$8,'Operating Assumptions'!$L23="N/A"),0,IF('Operating Assumptions'!$L23="% of Total Revenue",'Operating Assumptions'!$M23*FL$65,IF('Operating Assumptions'!$L23="%/EGI",'Operating Assumptions'!$M23*FL$76,IF('Operating Assumptions'!$L23="$/Unit/Annual",(('Operating Assumptions'!$M23*FL$25)*FL$36)/12,IF('Operating Assumptions'!$L23="$/Unit/Month",('Operating Assumptions'!$M23*FL$25)*FL$36,IF('Operating Assumptions'!$L23="Fixed Amount",('Operating Assumptions'!$M23*FL$25)/12))))))</f>
        <v>0</v>
      </c>
      <c r="FM95" s="427">
        <f>-IF(OR(FM$9&lt;'Operating Assumptions'!$D$53,FM$6&gt;'Operating Assumptions'!$AA$8,'Operating Assumptions'!$L23="N/A"),0,IF('Operating Assumptions'!$L23="% of Total Revenue",'Operating Assumptions'!$M23*FM$65,IF('Operating Assumptions'!$L23="%/EGI",'Operating Assumptions'!$M23*FM$76,IF('Operating Assumptions'!$L23="$/Unit/Annual",(('Operating Assumptions'!$M23*FM$25)*FM$36)/12,IF('Operating Assumptions'!$L23="$/Unit/Month",('Operating Assumptions'!$M23*FM$25)*FM$36,IF('Operating Assumptions'!$L23="Fixed Amount",('Operating Assumptions'!$M23*FM$25)/12))))))</f>
        <v>0</v>
      </c>
      <c r="FN95" s="427">
        <f>-IF(OR(FN$9&lt;'Operating Assumptions'!$D$53,FN$6&gt;'Operating Assumptions'!$AA$8,'Operating Assumptions'!$L23="N/A"),0,IF('Operating Assumptions'!$L23="% of Total Revenue",'Operating Assumptions'!$M23*FN$65,IF('Operating Assumptions'!$L23="%/EGI",'Operating Assumptions'!$M23*FN$76,IF('Operating Assumptions'!$L23="$/Unit/Annual",(('Operating Assumptions'!$M23*FN$25)*FN$36)/12,IF('Operating Assumptions'!$L23="$/Unit/Month",('Operating Assumptions'!$M23*FN$25)*FN$36,IF('Operating Assumptions'!$L23="Fixed Amount",('Operating Assumptions'!$M23*FN$25)/12))))))</f>
        <v>0</v>
      </c>
      <c r="FO95" s="427">
        <f>-IF(OR(FO$9&lt;'Operating Assumptions'!$D$53,FO$6&gt;'Operating Assumptions'!$AA$8,'Operating Assumptions'!$L23="N/A"),0,IF('Operating Assumptions'!$L23="% of Total Revenue",'Operating Assumptions'!$M23*FO$65,IF('Operating Assumptions'!$L23="%/EGI",'Operating Assumptions'!$M23*FO$76,IF('Operating Assumptions'!$L23="$/Unit/Annual",(('Operating Assumptions'!$M23*FO$25)*FO$36)/12,IF('Operating Assumptions'!$L23="$/Unit/Month",('Operating Assumptions'!$M23*FO$25)*FO$36,IF('Operating Assumptions'!$L23="Fixed Amount",('Operating Assumptions'!$M23*FO$25)/12))))))</f>
        <v>0</v>
      </c>
      <c r="FP95" s="427">
        <f>-IF(OR(FP$9&lt;'Operating Assumptions'!$D$53,FP$6&gt;'Operating Assumptions'!$AA$8,'Operating Assumptions'!$L23="N/A"),0,IF('Operating Assumptions'!$L23="% of Total Revenue",'Operating Assumptions'!$M23*FP$65,IF('Operating Assumptions'!$L23="%/EGI",'Operating Assumptions'!$M23*FP$76,IF('Operating Assumptions'!$L23="$/Unit/Annual",(('Operating Assumptions'!$M23*FP$25)*FP$36)/12,IF('Operating Assumptions'!$L23="$/Unit/Month",('Operating Assumptions'!$M23*FP$25)*FP$36,IF('Operating Assumptions'!$L23="Fixed Amount",('Operating Assumptions'!$M23*FP$25)/12))))))</f>
        <v>0</v>
      </c>
      <c r="FQ95" s="427">
        <f>-IF(OR(FQ$9&lt;'Operating Assumptions'!$D$53,FQ$6&gt;'Operating Assumptions'!$AA$8,'Operating Assumptions'!$L23="N/A"),0,IF('Operating Assumptions'!$L23="% of Total Revenue",'Operating Assumptions'!$M23*FQ$65,IF('Operating Assumptions'!$L23="%/EGI",'Operating Assumptions'!$M23*FQ$76,IF('Operating Assumptions'!$L23="$/Unit/Annual",(('Operating Assumptions'!$M23*FQ$25)*FQ$36)/12,IF('Operating Assumptions'!$L23="$/Unit/Month",('Operating Assumptions'!$M23*FQ$25)*FQ$36,IF('Operating Assumptions'!$L23="Fixed Amount",('Operating Assumptions'!$M23*FQ$25)/12))))))</f>
        <v>0</v>
      </c>
      <c r="FR95" s="427">
        <f>-IF(OR(FR$9&lt;'Operating Assumptions'!$D$53,FR$6&gt;'Operating Assumptions'!$AA$8,'Operating Assumptions'!$L23="N/A"),0,IF('Operating Assumptions'!$L23="% of Total Revenue",'Operating Assumptions'!$M23*FR$65,IF('Operating Assumptions'!$L23="%/EGI",'Operating Assumptions'!$M23*FR$76,IF('Operating Assumptions'!$L23="$/Unit/Annual",(('Operating Assumptions'!$M23*FR$25)*FR$36)/12,IF('Operating Assumptions'!$L23="$/Unit/Month",('Operating Assumptions'!$M23*FR$25)*FR$36,IF('Operating Assumptions'!$L23="Fixed Amount",('Operating Assumptions'!$M23*FR$25)/12))))))</f>
        <v>0</v>
      </c>
      <c r="FS95" s="427">
        <f>-IF(OR(FS$9&lt;'Operating Assumptions'!$D$53,FS$6&gt;'Operating Assumptions'!$AA$8,'Operating Assumptions'!$L23="N/A"),0,IF('Operating Assumptions'!$L23="% of Total Revenue",'Operating Assumptions'!$M23*FS$65,IF('Operating Assumptions'!$L23="%/EGI",'Operating Assumptions'!$M23*FS$76,IF('Operating Assumptions'!$L23="$/Unit/Annual",(('Operating Assumptions'!$M23*FS$25)*FS$36)/12,IF('Operating Assumptions'!$L23="$/Unit/Month",('Operating Assumptions'!$M23*FS$25)*FS$36,IF('Operating Assumptions'!$L23="Fixed Amount",('Operating Assumptions'!$M23*FS$25)/12))))))</f>
        <v>0</v>
      </c>
      <c r="FT95" s="427">
        <f>-IF(OR(FT$9&lt;'Operating Assumptions'!$D$53,FT$6&gt;'Operating Assumptions'!$AA$8,'Operating Assumptions'!$L23="N/A"),0,IF('Operating Assumptions'!$L23="% of Total Revenue",'Operating Assumptions'!$M23*FT$65,IF('Operating Assumptions'!$L23="%/EGI",'Operating Assumptions'!$M23*FT$76,IF('Operating Assumptions'!$L23="$/Unit/Annual",(('Operating Assumptions'!$M23*FT$25)*FT$36)/12,IF('Operating Assumptions'!$L23="$/Unit/Month",('Operating Assumptions'!$M23*FT$25)*FT$36,IF('Operating Assumptions'!$L23="Fixed Amount",('Operating Assumptions'!$M23*FT$25)/12))))))</f>
        <v>0</v>
      </c>
      <c r="FU95" s="43"/>
      <c r="FV95" s="34"/>
      <c r="FW95" s="34"/>
      <c r="FX95" s="34"/>
      <c r="FY95" s="34"/>
      <c r="FZ95" s="34"/>
    </row>
    <row r="96" spans="1:182" s="89" customFormat="1" ht="13.5" x14ac:dyDescent="0.25">
      <c r="A96" s="34"/>
      <c r="B96" s="128" t="str">
        <f>'Operating Assumptions'!K24</f>
        <v>Real Estate Taxes</v>
      </c>
      <c r="C96" s="34"/>
      <c r="D96" s="34"/>
      <c r="E96" s="34"/>
      <c r="F96" s="434">
        <f>SUM(H96:FT96)</f>
        <v>-7038489.791666667</v>
      </c>
      <c r="G96" s="34"/>
      <c r="H96" s="427">
        <f>-IF(H$9&lt;'Operating Assumptions'!$D$53,0,IF(H$6&gt;'Operating Assumptions'!$AA$8,0,IF('Operating Assumptions'!$L24="N/A",0,IF('Operating Assumptions'!$L24="$/Unit/Annual",(('Operating Assumptions'!$M24*H$26)*H$36)/12,IF('Operating Assumptions'!$L24="$/Unit/Month",('Operating Assumptions'!$M24*H$26)*H$36,IF('Operating Assumptions'!$L24="Fixed Amount",('Operating Assumptions'!$M24*H$26)/12,IF('Operating Assumptions'!$L24="$/GSF",(('Operating Assumptions'!$M24*H$26)*'Operating Assumptions'!$D$11)/12,IF('Operating Assumptions'!$L24="$/NSF",(('Operating Assumptions'!$M24*H$26)*'Operating Assumptions'!$D$12)/12,IF('Operating Assumptions'!$L24="Tax Tab",INDEX('Taxes - TIF'!$C$30:$E$41,MATCH(H$6,'Taxes - TIF'!$C$30:$C$41,0),MATCH("Tax Amount",'Taxes - TIF'!$C$30:$E$30,0))/12)))))))))</f>
        <v>0</v>
      </c>
      <c r="I96" s="427">
        <f>-IF(I$9&lt;'Operating Assumptions'!$D$53,0,IF(I$6&gt;'Operating Assumptions'!$AA$8,0,IF('Operating Assumptions'!$L24="N/A",0,IF('Operating Assumptions'!$L24="$/Unit/Annual",(('Operating Assumptions'!$M24*I$26)*I$36)/12,IF('Operating Assumptions'!$L24="$/Unit/Month",('Operating Assumptions'!$M24*I$26)*I$36,IF('Operating Assumptions'!$L24="Fixed Amount",('Operating Assumptions'!$M24*I$26)/12,IF('Operating Assumptions'!$L24="$/GSF",(('Operating Assumptions'!$M24*I$26)*'Operating Assumptions'!$D$11)/12,IF('Operating Assumptions'!$L24="$/NSF",(('Operating Assumptions'!$M24*I$26)*'Operating Assumptions'!$D$12)/12,IF('Operating Assumptions'!$L24="Tax Tab",INDEX('Taxes - TIF'!$C$30:$E$41,MATCH(I$6,'Taxes - TIF'!$C$30:$C$41,0),MATCH("Tax Amount",'Taxes - TIF'!$C$30:$E$30,0))/12)))))))))</f>
        <v>0</v>
      </c>
      <c r="J96" s="427">
        <f>-IF(J$9&lt;'Operating Assumptions'!$D$53,0,IF(J$6&gt;'Operating Assumptions'!$AA$8,0,IF('Operating Assumptions'!$L24="N/A",0,IF('Operating Assumptions'!$L24="$/Unit/Annual",(('Operating Assumptions'!$M24*J$26)*J$36)/12,IF('Operating Assumptions'!$L24="$/Unit/Month",('Operating Assumptions'!$M24*J$26)*J$36,IF('Operating Assumptions'!$L24="Fixed Amount",('Operating Assumptions'!$M24*J$26)/12,IF('Operating Assumptions'!$L24="$/GSF",(('Operating Assumptions'!$M24*J$26)*'Operating Assumptions'!$D$11)/12,IF('Operating Assumptions'!$L24="$/NSF",(('Operating Assumptions'!$M24*J$26)*'Operating Assumptions'!$D$12)/12,IF('Operating Assumptions'!$L24="Tax Tab",INDEX('Taxes - TIF'!$C$30:$E$41,MATCH(J$6,'Taxes - TIF'!$C$30:$C$41,0),MATCH("Tax Amount",'Taxes - TIF'!$C$30:$E$30,0))/12)))))))))</f>
        <v>0</v>
      </c>
      <c r="K96" s="427">
        <f>-IF(K$9&lt;'Operating Assumptions'!$D$53,0,IF(K$6&gt;'Operating Assumptions'!$AA$8,0,IF('Operating Assumptions'!$L24="N/A",0,IF('Operating Assumptions'!$L24="$/Unit/Annual",(('Operating Assumptions'!$M24*K$26)*K$36)/12,IF('Operating Assumptions'!$L24="$/Unit/Month",('Operating Assumptions'!$M24*K$26)*K$36,IF('Operating Assumptions'!$L24="Fixed Amount",('Operating Assumptions'!$M24*K$26)/12,IF('Operating Assumptions'!$L24="$/GSF",(('Operating Assumptions'!$M24*K$26)*'Operating Assumptions'!$D$11)/12,IF('Operating Assumptions'!$L24="$/NSF",(('Operating Assumptions'!$M24*K$26)*'Operating Assumptions'!$D$12)/12,IF('Operating Assumptions'!$L24="Tax Tab",INDEX('Taxes - TIF'!$C$30:$E$41,MATCH(K$6,'Taxes - TIF'!$C$30:$C$41,0),MATCH("Tax Amount",'Taxes - TIF'!$C$30:$E$30,0))/12)))))))))</f>
        <v>0</v>
      </c>
      <c r="L96" s="427">
        <f>-IF(L$9&lt;'Operating Assumptions'!$D$53,0,IF(L$6&gt;'Operating Assumptions'!$AA$8,0,IF('Operating Assumptions'!$L24="N/A",0,IF('Operating Assumptions'!$L24="$/Unit/Annual",(('Operating Assumptions'!$M24*L$26)*L$36)/12,IF('Operating Assumptions'!$L24="$/Unit/Month",('Operating Assumptions'!$M24*L$26)*L$36,IF('Operating Assumptions'!$L24="Fixed Amount",('Operating Assumptions'!$M24*L$26)/12,IF('Operating Assumptions'!$L24="$/GSF",(('Operating Assumptions'!$M24*L$26)*'Operating Assumptions'!$D$11)/12,IF('Operating Assumptions'!$L24="$/NSF",(('Operating Assumptions'!$M24*L$26)*'Operating Assumptions'!$D$12)/12,IF('Operating Assumptions'!$L24="Tax Tab",INDEX('Taxes - TIF'!$C$30:$E$41,MATCH(L$6,'Taxes - TIF'!$C$30:$C$41,0),MATCH("Tax Amount",'Taxes - TIF'!$C$30:$E$30,0))/12)))))))))</f>
        <v>0</v>
      </c>
      <c r="M96" s="427">
        <f>-IF(M$9&lt;'Operating Assumptions'!$D$53,0,IF(M$6&gt;'Operating Assumptions'!$AA$8,0,IF('Operating Assumptions'!$L24="N/A",0,IF('Operating Assumptions'!$L24="$/Unit/Annual",(('Operating Assumptions'!$M24*M$26)*M$36)/12,IF('Operating Assumptions'!$L24="$/Unit/Month",('Operating Assumptions'!$M24*M$26)*M$36,IF('Operating Assumptions'!$L24="Fixed Amount",('Operating Assumptions'!$M24*M$26)/12,IF('Operating Assumptions'!$L24="$/GSF",(('Operating Assumptions'!$M24*M$26)*'Operating Assumptions'!$D$11)/12,IF('Operating Assumptions'!$L24="$/NSF",(('Operating Assumptions'!$M24*M$26)*'Operating Assumptions'!$D$12)/12,IF('Operating Assumptions'!$L24="Tax Tab",INDEX('Taxes - TIF'!$C$30:$E$41,MATCH(M$6,'Taxes - TIF'!$C$30:$C$41,0),MATCH("Tax Amount",'Taxes - TIF'!$C$30:$E$30,0))/12)))))))))</f>
        <v>0</v>
      </c>
      <c r="N96" s="427">
        <f>-IF(N$9&lt;'Operating Assumptions'!$D$53,0,IF(N$6&gt;'Operating Assumptions'!$AA$8,0,IF('Operating Assumptions'!$L24="N/A",0,IF('Operating Assumptions'!$L24="$/Unit/Annual",(('Operating Assumptions'!$M24*N$26)*N$36)/12,IF('Operating Assumptions'!$L24="$/Unit/Month",('Operating Assumptions'!$M24*N$26)*N$36,IF('Operating Assumptions'!$L24="Fixed Amount",('Operating Assumptions'!$M24*N$26)/12,IF('Operating Assumptions'!$L24="$/GSF",(('Operating Assumptions'!$M24*N$26)*'Operating Assumptions'!$D$11)/12,IF('Operating Assumptions'!$L24="$/NSF",(('Operating Assumptions'!$M24*N$26)*'Operating Assumptions'!$D$12)/12,IF('Operating Assumptions'!$L24="Tax Tab",INDEX('Taxes - TIF'!$C$30:$E$41,MATCH(N$6,'Taxes - TIF'!$C$30:$C$41,0),MATCH("Tax Amount",'Taxes - TIF'!$C$30:$E$30,0))/12)))))))))</f>
        <v>0</v>
      </c>
      <c r="O96" s="427">
        <f>-IF(O$9&lt;'Operating Assumptions'!$D$53,0,IF(O$6&gt;'Operating Assumptions'!$AA$8,0,IF('Operating Assumptions'!$L24="N/A",0,IF('Operating Assumptions'!$L24="$/Unit/Annual",(('Operating Assumptions'!$M24*O$26)*O$36)/12,IF('Operating Assumptions'!$L24="$/Unit/Month",('Operating Assumptions'!$M24*O$26)*O$36,IF('Operating Assumptions'!$L24="Fixed Amount",('Operating Assumptions'!$M24*O$26)/12,IF('Operating Assumptions'!$L24="$/GSF",(('Operating Assumptions'!$M24*O$26)*'Operating Assumptions'!$D$11)/12,IF('Operating Assumptions'!$L24="$/NSF",(('Operating Assumptions'!$M24*O$26)*'Operating Assumptions'!$D$12)/12,IF('Operating Assumptions'!$L24="Tax Tab",INDEX('Taxes - TIF'!$C$30:$E$41,MATCH(O$6,'Taxes - TIF'!$C$30:$C$41,0),MATCH("Tax Amount",'Taxes - TIF'!$C$30:$E$30,0))/12)))))))))</f>
        <v>0</v>
      </c>
      <c r="P96" s="427">
        <f>-IF(P$9&lt;'Operating Assumptions'!$D$53,0,IF(P$6&gt;'Operating Assumptions'!$AA$8,0,IF('Operating Assumptions'!$L24="N/A",0,IF('Operating Assumptions'!$L24="$/Unit/Annual",(('Operating Assumptions'!$M24*P$26)*P$36)/12,IF('Operating Assumptions'!$L24="$/Unit/Month",('Operating Assumptions'!$M24*P$26)*P$36,IF('Operating Assumptions'!$L24="Fixed Amount",('Operating Assumptions'!$M24*P$26)/12,IF('Operating Assumptions'!$L24="$/GSF",(('Operating Assumptions'!$M24*P$26)*'Operating Assumptions'!$D$11)/12,IF('Operating Assumptions'!$L24="$/NSF",(('Operating Assumptions'!$M24*P$26)*'Operating Assumptions'!$D$12)/12,IF('Operating Assumptions'!$L24="Tax Tab",INDEX('Taxes - TIF'!$C$30:$E$41,MATCH(P$6,'Taxes - TIF'!$C$30:$C$41,0),MATCH("Tax Amount",'Taxes - TIF'!$C$30:$E$30,0))/12)))))))))</f>
        <v>0</v>
      </c>
      <c r="Q96" s="427">
        <f>-IF(Q$9&lt;'Operating Assumptions'!$D$53,0,IF(Q$6&gt;'Operating Assumptions'!$AA$8,0,IF('Operating Assumptions'!$L24="N/A",0,IF('Operating Assumptions'!$L24="$/Unit/Annual",(('Operating Assumptions'!$M24*Q$26)*Q$36)/12,IF('Operating Assumptions'!$L24="$/Unit/Month",('Operating Assumptions'!$M24*Q$26)*Q$36,IF('Operating Assumptions'!$L24="Fixed Amount",('Operating Assumptions'!$M24*Q$26)/12,IF('Operating Assumptions'!$L24="$/GSF",(('Operating Assumptions'!$M24*Q$26)*'Operating Assumptions'!$D$11)/12,IF('Operating Assumptions'!$L24="$/NSF",(('Operating Assumptions'!$M24*Q$26)*'Operating Assumptions'!$D$12)/12,IF('Operating Assumptions'!$L24="Tax Tab",INDEX('Taxes - TIF'!$C$30:$E$41,MATCH(Q$6,'Taxes - TIF'!$C$30:$C$41,0),MATCH("Tax Amount",'Taxes - TIF'!$C$30:$E$30,0))/12)))))))))</f>
        <v>0</v>
      </c>
      <c r="R96" s="427">
        <f>-IF(R$9&lt;'Operating Assumptions'!$D$53,0,IF(R$6&gt;'Operating Assumptions'!$AA$8,0,IF('Operating Assumptions'!$L24="N/A",0,IF('Operating Assumptions'!$L24="$/Unit/Annual",(('Operating Assumptions'!$M24*R$26)*R$36)/12,IF('Operating Assumptions'!$L24="$/Unit/Month",('Operating Assumptions'!$M24*R$26)*R$36,IF('Operating Assumptions'!$L24="Fixed Amount",('Operating Assumptions'!$M24*R$26)/12,IF('Operating Assumptions'!$L24="$/GSF",(('Operating Assumptions'!$M24*R$26)*'Operating Assumptions'!$D$11)/12,IF('Operating Assumptions'!$L24="$/NSF",(('Operating Assumptions'!$M24*R$26)*'Operating Assumptions'!$D$12)/12,IF('Operating Assumptions'!$L24="Tax Tab",INDEX('Taxes - TIF'!$C$30:$E$41,MATCH(R$6,'Taxes - TIF'!$C$30:$C$41,0),MATCH("Tax Amount",'Taxes - TIF'!$C$30:$E$30,0))/12)))))))))</f>
        <v>0</v>
      </c>
      <c r="S96" s="427">
        <f>-IF(S$9&lt;'Operating Assumptions'!$D$53,0,IF(S$6&gt;'Operating Assumptions'!$AA$8,0,IF('Operating Assumptions'!$L24="N/A",0,IF('Operating Assumptions'!$L24="$/Unit/Annual",(('Operating Assumptions'!$M24*S$26)*S$36)/12,IF('Operating Assumptions'!$L24="$/Unit/Month",('Operating Assumptions'!$M24*S$26)*S$36,IF('Operating Assumptions'!$L24="Fixed Amount",('Operating Assumptions'!$M24*S$26)/12,IF('Operating Assumptions'!$L24="$/GSF",(('Operating Assumptions'!$M24*S$26)*'Operating Assumptions'!$D$11)/12,IF('Operating Assumptions'!$L24="$/NSF",(('Operating Assumptions'!$M24*S$26)*'Operating Assumptions'!$D$12)/12,IF('Operating Assumptions'!$L24="Tax Tab",INDEX('Taxes - TIF'!$C$30:$E$41,MATCH(S$6,'Taxes - TIF'!$C$30:$C$41,0),MATCH("Tax Amount",'Taxes - TIF'!$C$30:$E$30,0))/12)))))))))</f>
        <v>0</v>
      </c>
      <c r="T96" s="427">
        <f>-IF(T$9&lt;'Operating Assumptions'!$D$53,0,IF(T$6&gt;'Operating Assumptions'!$AA$8,0,IF('Operating Assumptions'!$L24="N/A",0,IF('Operating Assumptions'!$L24="$/Unit/Annual",(('Operating Assumptions'!$M24*T$26)*T$36)/12,IF('Operating Assumptions'!$L24="$/Unit/Month",('Operating Assumptions'!$M24*T$26)*T$36,IF('Operating Assumptions'!$L24="Fixed Amount",('Operating Assumptions'!$M24*T$26)/12,IF('Operating Assumptions'!$L24="$/GSF",(('Operating Assumptions'!$M24*T$26)*'Operating Assumptions'!$D$11)/12,IF('Operating Assumptions'!$L24="$/NSF",(('Operating Assumptions'!$M24*T$26)*'Operating Assumptions'!$D$12)/12,IF('Operating Assumptions'!$L24="Tax Tab",INDEX('Taxes - TIF'!$C$30:$E$41,MATCH(T$6,'Taxes - TIF'!$C$30:$C$41,0),MATCH("Tax Amount",'Taxes - TIF'!$C$30:$E$30,0))/12)))))))))</f>
        <v>0</v>
      </c>
      <c r="U96" s="427">
        <f>-IF(U$9&lt;'Operating Assumptions'!$D$53,0,IF(U$6&gt;'Operating Assumptions'!$AA$8,0,IF('Operating Assumptions'!$L24="N/A",0,IF('Operating Assumptions'!$L24="$/Unit/Annual",(('Operating Assumptions'!$M24*U$26)*U$36)/12,IF('Operating Assumptions'!$L24="$/Unit/Month",('Operating Assumptions'!$M24*U$26)*U$36,IF('Operating Assumptions'!$L24="Fixed Amount",('Operating Assumptions'!$M24*U$26)/12,IF('Operating Assumptions'!$L24="$/GSF",(('Operating Assumptions'!$M24*U$26)*'Operating Assumptions'!$D$11)/12,IF('Operating Assumptions'!$L24="$/NSF",(('Operating Assumptions'!$M24*U$26)*'Operating Assumptions'!$D$12)/12,IF('Operating Assumptions'!$L24="Tax Tab",INDEX('Taxes - TIF'!$C$30:$E$41,MATCH(U$6,'Taxes - TIF'!$C$30:$C$41,0),MATCH("Tax Amount",'Taxes - TIF'!$C$30:$E$30,0))/12)))))))))</f>
        <v>0</v>
      </c>
      <c r="V96" s="427">
        <f>-IF(V$9&lt;'Operating Assumptions'!$D$53,0,IF(V$6&gt;'Operating Assumptions'!$AA$8,0,IF('Operating Assumptions'!$L24="N/A",0,IF('Operating Assumptions'!$L24="$/Unit/Annual",(('Operating Assumptions'!$M24*V$26)*V$36)/12,IF('Operating Assumptions'!$L24="$/Unit/Month",('Operating Assumptions'!$M24*V$26)*V$36,IF('Operating Assumptions'!$L24="Fixed Amount",('Operating Assumptions'!$M24*V$26)/12,IF('Operating Assumptions'!$L24="$/GSF",(('Operating Assumptions'!$M24*V$26)*'Operating Assumptions'!$D$11)/12,IF('Operating Assumptions'!$L24="$/NSF",(('Operating Assumptions'!$M24*V$26)*'Operating Assumptions'!$D$12)/12,IF('Operating Assumptions'!$L24="Tax Tab",INDEX('Taxes - TIF'!$C$30:$E$41,MATCH(V$6,'Taxes - TIF'!$C$30:$C$41,0),MATCH("Tax Amount",'Taxes - TIF'!$C$30:$E$30,0))/12)))))))))</f>
        <v>0</v>
      </c>
      <c r="W96" s="427">
        <f>-IF(W$9&lt;'Operating Assumptions'!$D$53,0,IF(W$6&gt;'Operating Assumptions'!$AA$8,0,IF('Operating Assumptions'!$L24="N/A",0,IF('Operating Assumptions'!$L24="$/Unit/Annual",(('Operating Assumptions'!$M24*W$26)*W$36)/12,IF('Operating Assumptions'!$L24="$/Unit/Month",('Operating Assumptions'!$M24*W$26)*W$36,IF('Operating Assumptions'!$L24="Fixed Amount",('Operating Assumptions'!$M24*W$26)/12,IF('Operating Assumptions'!$L24="$/GSF",(('Operating Assumptions'!$M24*W$26)*'Operating Assumptions'!$D$11)/12,IF('Operating Assumptions'!$L24="$/NSF",(('Operating Assumptions'!$M24*W$26)*'Operating Assumptions'!$D$12)/12,IF('Operating Assumptions'!$L24="Tax Tab",INDEX('Taxes - TIF'!$C$30:$E$41,MATCH(W$6,'Taxes - TIF'!$C$30:$C$41,0),MATCH("Tax Amount",'Taxes - TIF'!$C$30:$E$30,0))/12)))))))))</f>
        <v>0</v>
      </c>
      <c r="X96" s="427">
        <f>-IF(X$9&lt;'Operating Assumptions'!$D$53,0,IF(X$6&gt;'Operating Assumptions'!$AA$8,0,IF('Operating Assumptions'!$L24="N/A",0,IF('Operating Assumptions'!$L24="$/Unit/Annual",(('Operating Assumptions'!$M24*X$26)*X$36)/12,IF('Operating Assumptions'!$L24="$/Unit/Month",('Operating Assumptions'!$M24*X$26)*X$36,IF('Operating Assumptions'!$L24="Fixed Amount",('Operating Assumptions'!$M24*X$26)/12,IF('Operating Assumptions'!$L24="$/GSF",(('Operating Assumptions'!$M24*X$26)*'Operating Assumptions'!$D$11)/12,IF('Operating Assumptions'!$L24="$/NSF",(('Operating Assumptions'!$M24*X$26)*'Operating Assumptions'!$D$12)/12,IF('Operating Assumptions'!$L24="Tax Tab",INDEX('Taxes - TIF'!$C$30:$E$41,MATCH(X$6,'Taxes - TIF'!$C$30:$C$41,0),MATCH("Tax Amount",'Taxes - TIF'!$C$30:$E$30,0))/12)))))))))</f>
        <v>0</v>
      </c>
      <c r="Y96" s="427">
        <f>-IF(Y$9&lt;'Operating Assumptions'!$D$53,0,IF(Y$6&gt;'Operating Assumptions'!$AA$8,0,IF('Operating Assumptions'!$L24="N/A",0,IF('Operating Assumptions'!$L24="$/Unit/Annual",(('Operating Assumptions'!$M24*Y$26)*Y$36)/12,IF('Operating Assumptions'!$L24="$/Unit/Month",('Operating Assumptions'!$M24*Y$26)*Y$36,IF('Operating Assumptions'!$L24="Fixed Amount",('Operating Assumptions'!$M24*Y$26)/12,IF('Operating Assumptions'!$L24="$/GSF",(('Operating Assumptions'!$M24*Y$26)*'Operating Assumptions'!$D$11)/12,IF('Operating Assumptions'!$L24="$/NSF",(('Operating Assumptions'!$M24*Y$26)*'Operating Assumptions'!$D$12)/12,IF('Operating Assumptions'!$L24="Tax Tab",INDEX('Taxes - TIF'!$C$30:$E$41,MATCH(Y$6,'Taxes - TIF'!$C$30:$C$41,0),MATCH("Tax Amount",'Taxes - TIF'!$C$30:$E$30,0))/12)))))))))</f>
        <v>-4860.625</v>
      </c>
      <c r="Z96" s="427">
        <f>-IF(Z$9&lt;'Operating Assumptions'!$D$53,0,IF(Z$6&gt;'Operating Assumptions'!$AA$8,0,IF('Operating Assumptions'!$L24="N/A",0,IF('Operating Assumptions'!$L24="$/Unit/Annual",(('Operating Assumptions'!$M24*Z$26)*Z$36)/12,IF('Operating Assumptions'!$L24="$/Unit/Month",('Operating Assumptions'!$M24*Z$26)*Z$36,IF('Operating Assumptions'!$L24="Fixed Amount",('Operating Assumptions'!$M24*Z$26)/12,IF('Operating Assumptions'!$L24="$/GSF",(('Operating Assumptions'!$M24*Z$26)*'Operating Assumptions'!$D$11)/12,IF('Operating Assumptions'!$L24="$/NSF",(('Operating Assumptions'!$M24*Z$26)*'Operating Assumptions'!$D$12)/12,IF('Operating Assumptions'!$L24="Tax Tab",INDEX('Taxes - TIF'!$C$30:$E$41,MATCH(Z$6,'Taxes - TIF'!$C$30:$C$41,0),MATCH("Tax Amount",'Taxes - TIF'!$C$30:$E$30,0))/12)))))))))</f>
        <v>-9489.7916666666661</v>
      </c>
      <c r="AA96" s="427">
        <f>-IF(AA$9&lt;'Operating Assumptions'!$D$53,0,IF(AA$6&gt;'Operating Assumptions'!$AA$8,0,IF('Operating Assumptions'!$L24="N/A",0,IF('Operating Assumptions'!$L24="$/Unit/Annual",(('Operating Assumptions'!$M24*AA$26)*AA$36)/12,IF('Operating Assumptions'!$L24="$/Unit/Month",('Operating Assumptions'!$M24*AA$26)*AA$36,IF('Operating Assumptions'!$L24="Fixed Amount",('Operating Assumptions'!$M24*AA$26)/12,IF('Operating Assumptions'!$L24="$/GSF",(('Operating Assumptions'!$M24*AA$26)*'Operating Assumptions'!$D$11)/12,IF('Operating Assumptions'!$L24="$/NSF",(('Operating Assumptions'!$M24*AA$26)*'Operating Assumptions'!$D$12)/12,IF('Operating Assumptions'!$L24="Tax Tab",INDEX('Taxes - TIF'!$C$30:$E$41,MATCH(AA$6,'Taxes - TIF'!$C$30:$C$41,0),MATCH("Tax Amount",'Taxes - TIF'!$C$30:$E$30,0))/12)))))))))</f>
        <v>-14118.958333333334</v>
      </c>
      <c r="AB96" s="427">
        <f>-IF(AB$9&lt;'Operating Assumptions'!$D$53,0,IF(AB$6&gt;'Operating Assumptions'!$AA$8,0,IF('Operating Assumptions'!$L24="N/A",0,IF('Operating Assumptions'!$L24="$/Unit/Annual",(('Operating Assumptions'!$M24*AB$26)*AB$36)/12,IF('Operating Assumptions'!$L24="$/Unit/Month",('Operating Assumptions'!$M24*AB$26)*AB$36,IF('Operating Assumptions'!$L24="Fixed Amount",('Operating Assumptions'!$M24*AB$26)/12,IF('Operating Assumptions'!$L24="$/GSF",(('Operating Assumptions'!$M24*AB$26)*'Operating Assumptions'!$D$11)/12,IF('Operating Assumptions'!$L24="$/NSF",(('Operating Assumptions'!$M24*AB$26)*'Operating Assumptions'!$D$12)/12,IF('Operating Assumptions'!$L24="Tax Tab",INDEX('Taxes - TIF'!$C$30:$E$41,MATCH(AB$6,'Taxes - TIF'!$C$30:$C$41,0),MATCH("Tax Amount",'Taxes - TIF'!$C$30:$E$30,0))/12)))))))))</f>
        <v>-18748.125</v>
      </c>
      <c r="AC96" s="427">
        <f>-IF(AC$9&lt;'Operating Assumptions'!$D$53,0,IF(AC$6&gt;'Operating Assumptions'!$AA$8,0,IF('Operating Assumptions'!$L24="N/A",0,IF('Operating Assumptions'!$L24="$/Unit/Annual",(('Operating Assumptions'!$M24*AC$26)*AC$36)/12,IF('Operating Assumptions'!$L24="$/Unit/Month",('Operating Assumptions'!$M24*AC$26)*AC$36,IF('Operating Assumptions'!$L24="Fixed Amount",('Operating Assumptions'!$M24*AC$26)/12,IF('Operating Assumptions'!$L24="$/GSF",(('Operating Assumptions'!$M24*AC$26)*'Operating Assumptions'!$D$11)/12,IF('Operating Assumptions'!$L24="$/NSF",(('Operating Assumptions'!$M24*AC$26)*'Operating Assumptions'!$D$12)/12,IF('Operating Assumptions'!$L24="Tax Tab",INDEX('Taxes - TIF'!$C$30:$E$41,MATCH(AC$6,'Taxes - TIF'!$C$30:$C$41,0),MATCH("Tax Amount",'Taxes - TIF'!$C$30:$E$30,0))/12)))))))))</f>
        <v>-23377.291666666668</v>
      </c>
      <c r="AD96" s="427">
        <f>-IF(AD$9&lt;'Operating Assumptions'!$D$53,0,IF(AD$6&gt;'Operating Assumptions'!$AA$8,0,IF('Operating Assumptions'!$L24="N/A",0,IF('Operating Assumptions'!$L24="$/Unit/Annual",(('Operating Assumptions'!$M24*AD$26)*AD$36)/12,IF('Operating Assumptions'!$L24="$/Unit/Month",('Operating Assumptions'!$M24*AD$26)*AD$36,IF('Operating Assumptions'!$L24="Fixed Amount",('Operating Assumptions'!$M24*AD$26)/12,IF('Operating Assumptions'!$L24="$/GSF",(('Operating Assumptions'!$M24*AD$26)*'Operating Assumptions'!$D$11)/12,IF('Operating Assumptions'!$L24="$/NSF",(('Operating Assumptions'!$M24*AD$26)*'Operating Assumptions'!$D$12)/12,IF('Operating Assumptions'!$L24="Tax Tab",INDEX('Taxes - TIF'!$C$30:$E$41,MATCH(AD$6,'Taxes - TIF'!$C$30:$C$41,0),MATCH("Tax Amount",'Taxes - TIF'!$C$30:$E$30,0))/12)))))))))</f>
        <v>-28006.458333333332</v>
      </c>
      <c r="AE96" s="427">
        <f>-IF(AE$9&lt;'Operating Assumptions'!$D$53,0,IF(AE$6&gt;'Operating Assumptions'!$AA$8,0,IF('Operating Assumptions'!$L24="N/A",0,IF('Operating Assumptions'!$L24="$/Unit/Annual",(('Operating Assumptions'!$M24*AE$26)*AE$36)/12,IF('Operating Assumptions'!$L24="$/Unit/Month",('Operating Assumptions'!$M24*AE$26)*AE$36,IF('Operating Assumptions'!$L24="Fixed Amount",('Operating Assumptions'!$M24*AE$26)/12,IF('Operating Assumptions'!$L24="$/GSF",(('Operating Assumptions'!$M24*AE$26)*'Operating Assumptions'!$D$11)/12,IF('Operating Assumptions'!$L24="$/NSF",(('Operating Assumptions'!$M24*AE$26)*'Operating Assumptions'!$D$12)/12,IF('Operating Assumptions'!$L24="Tax Tab",INDEX('Taxes - TIF'!$C$30:$E$41,MATCH(AE$6,'Taxes - TIF'!$C$30:$C$41,0),MATCH("Tax Amount",'Taxes - TIF'!$C$30:$E$30,0))/12)))))))))</f>
        <v>-28932.291666666668</v>
      </c>
      <c r="AF96" s="427">
        <f>-IF(AF$9&lt;'Operating Assumptions'!$D$53,0,IF(AF$6&gt;'Operating Assumptions'!$AA$8,0,IF('Operating Assumptions'!$L24="N/A",0,IF('Operating Assumptions'!$L24="$/Unit/Annual",(('Operating Assumptions'!$M24*AF$26)*AF$36)/12,IF('Operating Assumptions'!$L24="$/Unit/Month",('Operating Assumptions'!$M24*AF$26)*AF$36,IF('Operating Assumptions'!$L24="Fixed Amount",('Operating Assumptions'!$M24*AF$26)/12,IF('Operating Assumptions'!$L24="$/GSF",(('Operating Assumptions'!$M24*AF$26)*'Operating Assumptions'!$D$11)/12,IF('Operating Assumptions'!$L24="$/NSF",(('Operating Assumptions'!$M24*AF$26)*'Operating Assumptions'!$D$12)/12,IF('Operating Assumptions'!$L24="Tax Tab",INDEX('Taxes - TIF'!$C$30:$E$41,MATCH(AF$6,'Taxes - TIF'!$C$30:$C$41,0),MATCH("Tax Amount",'Taxes - TIF'!$C$30:$E$30,0))/12)))))))))</f>
        <v>-29218.75</v>
      </c>
      <c r="AG96" s="427">
        <f>-IF(AG$9&lt;'Operating Assumptions'!$D$53,0,IF(AG$6&gt;'Operating Assumptions'!$AA$8,0,IF('Operating Assumptions'!$L24="N/A",0,IF('Operating Assumptions'!$L24="$/Unit/Annual",(('Operating Assumptions'!$M24*AG$26)*AG$36)/12,IF('Operating Assumptions'!$L24="$/Unit/Month",('Operating Assumptions'!$M24*AG$26)*AG$36,IF('Operating Assumptions'!$L24="Fixed Amount",('Operating Assumptions'!$M24*AG$26)/12,IF('Operating Assumptions'!$L24="$/GSF",(('Operating Assumptions'!$M24*AG$26)*'Operating Assumptions'!$D$11)/12,IF('Operating Assumptions'!$L24="$/NSF",(('Operating Assumptions'!$M24*AG$26)*'Operating Assumptions'!$D$12)/12,IF('Operating Assumptions'!$L24="Tax Tab",INDEX('Taxes - TIF'!$C$30:$E$41,MATCH(AG$6,'Taxes - TIF'!$C$30:$C$41,0),MATCH("Tax Amount",'Taxes - TIF'!$C$30:$E$30,0))/12)))))))))</f>
        <v>-29218.75</v>
      </c>
      <c r="AH96" s="427">
        <f>-IF(AH$9&lt;'Operating Assumptions'!$D$53,0,IF(AH$6&gt;'Operating Assumptions'!$AA$8,0,IF('Operating Assumptions'!$L24="N/A",0,IF('Operating Assumptions'!$L24="$/Unit/Annual",(('Operating Assumptions'!$M24*AH$26)*AH$36)/12,IF('Operating Assumptions'!$L24="$/Unit/Month",('Operating Assumptions'!$M24*AH$26)*AH$36,IF('Operating Assumptions'!$L24="Fixed Amount",('Operating Assumptions'!$M24*AH$26)/12,IF('Operating Assumptions'!$L24="$/GSF",(('Operating Assumptions'!$M24*AH$26)*'Operating Assumptions'!$D$11)/12,IF('Operating Assumptions'!$L24="$/NSF",(('Operating Assumptions'!$M24*AH$26)*'Operating Assumptions'!$D$12)/12,IF('Operating Assumptions'!$L24="Tax Tab",INDEX('Taxes - TIF'!$C$30:$E$41,MATCH(AH$6,'Taxes - TIF'!$C$30:$C$41,0),MATCH("Tax Amount",'Taxes - TIF'!$C$30:$E$30,0))/12)))))))))</f>
        <v>-33893.75</v>
      </c>
      <c r="AI96" s="427">
        <f>-IF(AI$9&lt;'Operating Assumptions'!$D$53,0,IF(AI$6&gt;'Operating Assumptions'!$AA$8,0,IF('Operating Assumptions'!$L24="N/A",0,IF('Operating Assumptions'!$L24="$/Unit/Annual",(('Operating Assumptions'!$M24*AI$26)*AI$36)/12,IF('Operating Assumptions'!$L24="$/Unit/Month",('Operating Assumptions'!$M24*AI$26)*AI$36,IF('Operating Assumptions'!$L24="Fixed Amount",('Operating Assumptions'!$M24*AI$26)/12,IF('Operating Assumptions'!$L24="$/GSF",(('Operating Assumptions'!$M24*AI$26)*'Operating Assumptions'!$D$11)/12,IF('Operating Assumptions'!$L24="$/NSF",(('Operating Assumptions'!$M24*AI$26)*'Operating Assumptions'!$D$12)/12,IF('Operating Assumptions'!$L24="Tax Tab",INDEX('Taxes - TIF'!$C$30:$E$41,MATCH(AI$6,'Taxes - TIF'!$C$30:$C$41,0),MATCH("Tax Amount",'Taxes - TIF'!$C$30:$E$30,0))/12)))))))))</f>
        <v>-38568.75</v>
      </c>
      <c r="AJ96" s="427">
        <f>-IF(AJ$9&lt;'Operating Assumptions'!$D$53,0,IF(AJ$6&gt;'Operating Assumptions'!$AA$8,0,IF('Operating Assumptions'!$L24="N/A",0,IF('Operating Assumptions'!$L24="$/Unit/Annual",(('Operating Assumptions'!$M24*AJ$26)*AJ$36)/12,IF('Operating Assumptions'!$L24="$/Unit/Month",('Operating Assumptions'!$M24*AJ$26)*AJ$36,IF('Operating Assumptions'!$L24="Fixed Amount",('Operating Assumptions'!$M24*AJ$26)/12,IF('Operating Assumptions'!$L24="$/GSF",(('Operating Assumptions'!$M24*AJ$26)*'Operating Assumptions'!$D$11)/12,IF('Operating Assumptions'!$L24="$/NSF",(('Operating Assumptions'!$M24*AJ$26)*'Operating Assumptions'!$D$12)/12,IF('Operating Assumptions'!$L24="Tax Tab",INDEX('Taxes - TIF'!$C$30:$E$41,MATCH(AJ$6,'Taxes - TIF'!$C$30:$C$41,0),MATCH("Tax Amount",'Taxes - TIF'!$C$30:$E$30,0))/12)))))))))</f>
        <v>-43243.75</v>
      </c>
      <c r="AK96" s="427">
        <f>-IF(AK$9&lt;'Operating Assumptions'!$D$53,0,IF(AK$6&gt;'Operating Assumptions'!$AA$8,0,IF('Operating Assumptions'!$L24="N/A",0,IF('Operating Assumptions'!$L24="$/Unit/Annual",(('Operating Assumptions'!$M24*AK$26)*AK$36)/12,IF('Operating Assumptions'!$L24="$/Unit/Month",('Operating Assumptions'!$M24*AK$26)*AK$36,IF('Operating Assumptions'!$L24="Fixed Amount",('Operating Assumptions'!$M24*AK$26)/12,IF('Operating Assumptions'!$L24="$/GSF",(('Operating Assumptions'!$M24*AK$26)*'Operating Assumptions'!$D$11)/12,IF('Operating Assumptions'!$L24="$/NSF",(('Operating Assumptions'!$M24*AK$26)*'Operating Assumptions'!$D$12)/12,IF('Operating Assumptions'!$L24="Tax Tab",INDEX('Taxes - TIF'!$C$30:$E$41,MATCH(AK$6,'Taxes - TIF'!$C$30:$C$41,0),MATCH("Tax Amount",'Taxes - TIF'!$C$30:$E$30,0))/12)))))))))</f>
        <v>-47918.75</v>
      </c>
      <c r="AL96" s="427">
        <f>-IF(AL$9&lt;'Operating Assumptions'!$D$53,0,IF(AL$6&gt;'Operating Assumptions'!$AA$8,0,IF('Operating Assumptions'!$L24="N/A",0,IF('Operating Assumptions'!$L24="$/Unit/Annual",(('Operating Assumptions'!$M24*AL$26)*AL$36)/12,IF('Operating Assumptions'!$L24="$/Unit/Month",('Operating Assumptions'!$M24*AL$26)*AL$36,IF('Operating Assumptions'!$L24="Fixed Amount",('Operating Assumptions'!$M24*AL$26)/12,IF('Operating Assumptions'!$L24="$/GSF",(('Operating Assumptions'!$M24*AL$26)*'Operating Assumptions'!$D$11)/12,IF('Operating Assumptions'!$L24="$/NSF",(('Operating Assumptions'!$M24*AL$26)*'Operating Assumptions'!$D$12)/12,IF('Operating Assumptions'!$L24="Tax Tab",INDEX('Taxes - TIF'!$C$30:$E$41,MATCH(AL$6,'Taxes - TIF'!$C$30:$C$41,0),MATCH("Tax Amount",'Taxes - TIF'!$C$30:$E$30,0))/12)))))))))</f>
        <v>-52593.75</v>
      </c>
      <c r="AM96" s="427">
        <f>-IF(AM$9&lt;'Operating Assumptions'!$D$53,0,IF(AM$6&gt;'Operating Assumptions'!$AA$8,0,IF('Operating Assumptions'!$L24="N/A",0,IF('Operating Assumptions'!$L24="$/Unit/Annual",(('Operating Assumptions'!$M24*AM$26)*AM$36)/12,IF('Operating Assumptions'!$L24="$/Unit/Month",('Operating Assumptions'!$M24*AM$26)*AM$36,IF('Operating Assumptions'!$L24="Fixed Amount",('Operating Assumptions'!$M24*AM$26)/12,IF('Operating Assumptions'!$L24="$/GSF",(('Operating Assumptions'!$M24*AM$26)*'Operating Assumptions'!$D$11)/12,IF('Operating Assumptions'!$L24="$/NSF",(('Operating Assumptions'!$M24*AM$26)*'Operating Assumptions'!$D$12)/12,IF('Operating Assumptions'!$L24="Tax Tab",INDEX('Taxes - TIF'!$C$30:$E$41,MATCH(AM$6,'Taxes - TIF'!$C$30:$C$41,0),MATCH("Tax Amount",'Taxes - TIF'!$C$30:$E$30,0))/12)))))))))</f>
        <v>-56100</v>
      </c>
      <c r="AN96" s="427">
        <f>-IF(AN$9&lt;'Operating Assumptions'!$D$53,0,IF(AN$6&gt;'Operating Assumptions'!$AA$8,0,IF('Operating Assumptions'!$L24="N/A",0,IF('Operating Assumptions'!$L24="$/Unit/Annual",(('Operating Assumptions'!$M24*AN$26)*AN$36)/12,IF('Operating Assumptions'!$L24="$/Unit/Month",('Operating Assumptions'!$M24*AN$26)*AN$36,IF('Operating Assumptions'!$L24="Fixed Amount",('Operating Assumptions'!$M24*AN$26)/12,IF('Operating Assumptions'!$L24="$/GSF",(('Operating Assumptions'!$M24*AN$26)*'Operating Assumptions'!$D$11)/12,IF('Operating Assumptions'!$L24="$/NSF",(('Operating Assumptions'!$M24*AN$26)*'Operating Assumptions'!$D$12)/12,IF('Operating Assumptions'!$L24="Tax Tab",INDEX('Taxes - TIF'!$C$30:$E$41,MATCH(AN$6,'Taxes - TIF'!$C$30:$C$41,0),MATCH("Tax Amount",'Taxes - TIF'!$C$30:$E$30,0))/12)))))))))</f>
        <v>-56100</v>
      </c>
      <c r="AO96" s="427">
        <f>-IF(AO$9&lt;'Operating Assumptions'!$D$53,0,IF(AO$6&gt;'Operating Assumptions'!$AA$8,0,IF('Operating Assumptions'!$L24="N/A",0,IF('Operating Assumptions'!$L24="$/Unit/Annual",(('Operating Assumptions'!$M24*AO$26)*AO$36)/12,IF('Operating Assumptions'!$L24="$/Unit/Month",('Operating Assumptions'!$M24*AO$26)*AO$36,IF('Operating Assumptions'!$L24="Fixed Amount",('Operating Assumptions'!$M24*AO$26)/12,IF('Operating Assumptions'!$L24="$/GSF",(('Operating Assumptions'!$M24*AO$26)*'Operating Assumptions'!$D$11)/12,IF('Operating Assumptions'!$L24="$/NSF",(('Operating Assumptions'!$M24*AO$26)*'Operating Assumptions'!$D$12)/12,IF('Operating Assumptions'!$L24="Tax Tab",INDEX('Taxes - TIF'!$C$30:$E$41,MATCH(AO$6,'Taxes - TIF'!$C$30:$C$41,0),MATCH("Tax Amount",'Taxes - TIF'!$C$30:$E$30,0))/12)))))))))</f>
        <v>-56100</v>
      </c>
      <c r="AP96" s="427">
        <f>-IF(AP$9&lt;'Operating Assumptions'!$D$53,0,IF(AP$6&gt;'Operating Assumptions'!$AA$8,0,IF('Operating Assumptions'!$L24="N/A",0,IF('Operating Assumptions'!$L24="$/Unit/Annual",(('Operating Assumptions'!$M24*AP$26)*AP$36)/12,IF('Operating Assumptions'!$L24="$/Unit/Month",('Operating Assumptions'!$M24*AP$26)*AP$36,IF('Operating Assumptions'!$L24="Fixed Amount",('Operating Assumptions'!$M24*AP$26)/12,IF('Operating Assumptions'!$L24="$/GSF",(('Operating Assumptions'!$M24*AP$26)*'Operating Assumptions'!$D$11)/12,IF('Operating Assumptions'!$L24="$/NSF",(('Operating Assumptions'!$M24*AP$26)*'Operating Assumptions'!$D$12)/12,IF('Operating Assumptions'!$L24="Tax Tab",INDEX('Taxes - TIF'!$C$30:$E$41,MATCH(AP$6,'Taxes - TIF'!$C$30:$C$41,0),MATCH("Tax Amount",'Taxes - TIF'!$C$30:$E$30,0))/12)))))))))</f>
        <v>-56100</v>
      </c>
      <c r="AQ96" s="427">
        <f>-IF(AQ$9&lt;'Operating Assumptions'!$D$53,0,IF(AQ$6&gt;'Operating Assumptions'!$AA$8,0,IF('Operating Assumptions'!$L24="N/A",0,IF('Operating Assumptions'!$L24="$/Unit/Annual",(('Operating Assumptions'!$M24*AQ$26)*AQ$36)/12,IF('Operating Assumptions'!$L24="$/Unit/Month",('Operating Assumptions'!$M24*AQ$26)*AQ$36,IF('Operating Assumptions'!$L24="Fixed Amount",('Operating Assumptions'!$M24*AQ$26)/12,IF('Operating Assumptions'!$L24="$/GSF",(('Operating Assumptions'!$M24*AQ$26)*'Operating Assumptions'!$D$11)/12,IF('Operating Assumptions'!$L24="$/NSF",(('Operating Assumptions'!$M24*AQ$26)*'Operating Assumptions'!$D$12)/12,IF('Operating Assumptions'!$L24="Tax Tab",INDEX('Taxes - TIF'!$C$30:$E$41,MATCH(AQ$6,'Taxes - TIF'!$C$30:$C$41,0),MATCH("Tax Amount",'Taxes - TIF'!$C$30:$E$30,0))/12)))))))))</f>
        <v>-56100</v>
      </c>
      <c r="AR96" s="427">
        <f>-IF(AR$9&lt;'Operating Assumptions'!$D$53,0,IF(AR$6&gt;'Operating Assumptions'!$AA$8,0,IF('Operating Assumptions'!$L24="N/A",0,IF('Operating Assumptions'!$L24="$/Unit/Annual",(('Operating Assumptions'!$M24*AR$26)*AR$36)/12,IF('Operating Assumptions'!$L24="$/Unit/Month",('Operating Assumptions'!$M24*AR$26)*AR$36,IF('Operating Assumptions'!$L24="Fixed Amount",('Operating Assumptions'!$M24*AR$26)/12,IF('Operating Assumptions'!$L24="$/GSF",(('Operating Assumptions'!$M24*AR$26)*'Operating Assumptions'!$D$11)/12,IF('Operating Assumptions'!$L24="$/NSF",(('Operating Assumptions'!$M24*AR$26)*'Operating Assumptions'!$D$12)/12,IF('Operating Assumptions'!$L24="Tax Tab",INDEX('Taxes - TIF'!$C$30:$E$41,MATCH(AR$6,'Taxes - TIF'!$C$30:$C$41,0),MATCH("Tax Amount",'Taxes - TIF'!$C$30:$E$30,0))/12)))))))))</f>
        <v>-56650</v>
      </c>
      <c r="AS96" s="427">
        <f>-IF(AS$9&lt;'Operating Assumptions'!$D$53,0,IF(AS$6&gt;'Operating Assumptions'!$AA$8,0,IF('Operating Assumptions'!$L24="N/A",0,IF('Operating Assumptions'!$L24="$/Unit/Annual",(('Operating Assumptions'!$M24*AS$26)*AS$36)/12,IF('Operating Assumptions'!$L24="$/Unit/Month",('Operating Assumptions'!$M24*AS$26)*AS$36,IF('Operating Assumptions'!$L24="Fixed Amount",('Operating Assumptions'!$M24*AS$26)/12,IF('Operating Assumptions'!$L24="$/GSF",(('Operating Assumptions'!$M24*AS$26)*'Operating Assumptions'!$D$11)/12,IF('Operating Assumptions'!$L24="$/NSF",(('Operating Assumptions'!$M24*AS$26)*'Operating Assumptions'!$D$12)/12,IF('Operating Assumptions'!$L24="Tax Tab",INDEX('Taxes - TIF'!$C$30:$E$41,MATCH(AS$6,'Taxes - TIF'!$C$30:$C$41,0),MATCH("Tax Amount",'Taxes - TIF'!$C$30:$E$30,0))/12)))))))))</f>
        <v>-56650</v>
      </c>
      <c r="AT96" s="427">
        <f>-IF(AT$9&lt;'Operating Assumptions'!$D$53,0,IF(AT$6&gt;'Operating Assumptions'!$AA$8,0,IF('Operating Assumptions'!$L24="N/A",0,IF('Operating Assumptions'!$L24="$/Unit/Annual",(('Operating Assumptions'!$M24*AT$26)*AT$36)/12,IF('Operating Assumptions'!$L24="$/Unit/Month",('Operating Assumptions'!$M24*AT$26)*AT$36,IF('Operating Assumptions'!$L24="Fixed Amount",('Operating Assumptions'!$M24*AT$26)/12,IF('Operating Assumptions'!$L24="$/GSF",(('Operating Assumptions'!$M24*AT$26)*'Operating Assumptions'!$D$11)/12,IF('Operating Assumptions'!$L24="$/NSF",(('Operating Assumptions'!$M24*AT$26)*'Operating Assumptions'!$D$12)/12,IF('Operating Assumptions'!$L24="Tax Tab",INDEX('Taxes - TIF'!$C$30:$E$41,MATCH(AT$6,'Taxes - TIF'!$C$30:$C$41,0),MATCH("Tax Amount",'Taxes - TIF'!$C$30:$E$30,0))/12)))))))))</f>
        <v>-56650</v>
      </c>
      <c r="AU96" s="427">
        <f>-IF(AU$9&lt;'Operating Assumptions'!$D$53,0,IF(AU$6&gt;'Operating Assumptions'!$AA$8,0,IF('Operating Assumptions'!$L24="N/A",0,IF('Operating Assumptions'!$L24="$/Unit/Annual",(('Operating Assumptions'!$M24*AU$26)*AU$36)/12,IF('Operating Assumptions'!$L24="$/Unit/Month",('Operating Assumptions'!$M24*AU$26)*AU$36,IF('Operating Assumptions'!$L24="Fixed Amount",('Operating Assumptions'!$M24*AU$26)/12,IF('Operating Assumptions'!$L24="$/GSF",(('Operating Assumptions'!$M24*AU$26)*'Operating Assumptions'!$D$11)/12,IF('Operating Assumptions'!$L24="$/NSF",(('Operating Assumptions'!$M24*AU$26)*'Operating Assumptions'!$D$12)/12,IF('Operating Assumptions'!$L24="Tax Tab",INDEX('Taxes - TIF'!$C$30:$E$41,MATCH(AU$6,'Taxes - TIF'!$C$30:$C$41,0),MATCH("Tax Amount",'Taxes - TIF'!$C$30:$E$30,0))/12)))))))))</f>
        <v>-56650</v>
      </c>
      <c r="AV96" s="427">
        <f>-IF(AV$9&lt;'Operating Assumptions'!$D$53,0,IF(AV$6&gt;'Operating Assumptions'!$AA$8,0,IF('Operating Assumptions'!$L24="N/A",0,IF('Operating Assumptions'!$L24="$/Unit/Annual",(('Operating Assumptions'!$M24*AV$26)*AV$36)/12,IF('Operating Assumptions'!$L24="$/Unit/Month",('Operating Assumptions'!$M24*AV$26)*AV$36,IF('Operating Assumptions'!$L24="Fixed Amount",('Operating Assumptions'!$M24*AV$26)/12,IF('Operating Assumptions'!$L24="$/GSF",(('Operating Assumptions'!$M24*AV$26)*'Operating Assumptions'!$D$11)/12,IF('Operating Assumptions'!$L24="$/NSF",(('Operating Assumptions'!$M24*AV$26)*'Operating Assumptions'!$D$12)/12,IF('Operating Assumptions'!$L24="Tax Tab",INDEX('Taxes - TIF'!$C$30:$E$41,MATCH(AV$6,'Taxes - TIF'!$C$30:$C$41,0),MATCH("Tax Amount",'Taxes - TIF'!$C$30:$E$30,0))/12)))))))))</f>
        <v>-56650</v>
      </c>
      <c r="AW96" s="427">
        <f>-IF(AW$9&lt;'Operating Assumptions'!$D$53,0,IF(AW$6&gt;'Operating Assumptions'!$AA$8,0,IF('Operating Assumptions'!$L24="N/A",0,IF('Operating Assumptions'!$L24="$/Unit/Annual",(('Operating Assumptions'!$M24*AW$26)*AW$36)/12,IF('Operating Assumptions'!$L24="$/Unit/Month",('Operating Assumptions'!$M24*AW$26)*AW$36,IF('Operating Assumptions'!$L24="Fixed Amount",('Operating Assumptions'!$M24*AW$26)/12,IF('Operating Assumptions'!$L24="$/GSF",(('Operating Assumptions'!$M24*AW$26)*'Operating Assumptions'!$D$11)/12,IF('Operating Assumptions'!$L24="$/NSF",(('Operating Assumptions'!$M24*AW$26)*'Operating Assumptions'!$D$12)/12,IF('Operating Assumptions'!$L24="Tax Tab",INDEX('Taxes - TIF'!$C$30:$E$41,MATCH(AW$6,'Taxes - TIF'!$C$30:$C$41,0),MATCH("Tax Amount",'Taxes - TIF'!$C$30:$E$30,0))/12)))))))))</f>
        <v>-56650</v>
      </c>
      <c r="AX96" s="427">
        <f>-IF(AX$9&lt;'Operating Assumptions'!$D$53,0,IF(AX$6&gt;'Operating Assumptions'!$AA$8,0,IF('Operating Assumptions'!$L24="N/A",0,IF('Operating Assumptions'!$L24="$/Unit/Annual",(('Operating Assumptions'!$M24*AX$26)*AX$36)/12,IF('Operating Assumptions'!$L24="$/Unit/Month",('Operating Assumptions'!$M24*AX$26)*AX$36,IF('Operating Assumptions'!$L24="Fixed Amount",('Operating Assumptions'!$M24*AX$26)/12,IF('Operating Assumptions'!$L24="$/GSF",(('Operating Assumptions'!$M24*AX$26)*'Operating Assumptions'!$D$11)/12,IF('Operating Assumptions'!$L24="$/NSF",(('Operating Assumptions'!$M24*AX$26)*'Operating Assumptions'!$D$12)/12,IF('Operating Assumptions'!$L24="Tax Tab",INDEX('Taxes - TIF'!$C$30:$E$41,MATCH(AX$6,'Taxes - TIF'!$C$30:$C$41,0),MATCH("Tax Amount",'Taxes - TIF'!$C$30:$E$30,0))/12)))))))))</f>
        <v>-56650</v>
      </c>
      <c r="AY96" s="427">
        <f>-IF(AY$9&lt;'Operating Assumptions'!$D$53,0,IF(AY$6&gt;'Operating Assumptions'!$AA$8,0,IF('Operating Assumptions'!$L24="N/A",0,IF('Operating Assumptions'!$L24="$/Unit/Annual",(('Operating Assumptions'!$M24*AY$26)*AY$36)/12,IF('Operating Assumptions'!$L24="$/Unit/Month",('Operating Assumptions'!$M24*AY$26)*AY$36,IF('Operating Assumptions'!$L24="Fixed Amount",('Operating Assumptions'!$M24*AY$26)/12,IF('Operating Assumptions'!$L24="$/GSF",(('Operating Assumptions'!$M24*AY$26)*'Operating Assumptions'!$D$11)/12,IF('Operating Assumptions'!$L24="$/NSF",(('Operating Assumptions'!$M24*AY$26)*'Operating Assumptions'!$D$12)/12,IF('Operating Assumptions'!$L24="Tax Tab",INDEX('Taxes - TIF'!$C$30:$E$41,MATCH(AY$6,'Taxes - TIF'!$C$30:$C$41,0),MATCH("Tax Amount",'Taxes - TIF'!$C$30:$E$30,0))/12)))))))))</f>
        <v>-56650</v>
      </c>
      <c r="AZ96" s="427">
        <f>-IF(AZ$9&lt;'Operating Assumptions'!$D$53,0,IF(AZ$6&gt;'Operating Assumptions'!$AA$8,0,IF('Operating Assumptions'!$L24="N/A",0,IF('Operating Assumptions'!$L24="$/Unit/Annual",(('Operating Assumptions'!$M24*AZ$26)*AZ$36)/12,IF('Operating Assumptions'!$L24="$/Unit/Month",('Operating Assumptions'!$M24*AZ$26)*AZ$36,IF('Operating Assumptions'!$L24="Fixed Amount",('Operating Assumptions'!$M24*AZ$26)/12,IF('Operating Assumptions'!$L24="$/GSF",(('Operating Assumptions'!$M24*AZ$26)*'Operating Assumptions'!$D$11)/12,IF('Operating Assumptions'!$L24="$/NSF",(('Operating Assumptions'!$M24*AZ$26)*'Operating Assumptions'!$D$12)/12,IF('Operating Assumptions'!$L24="Tax Tab",INDEX('Taxes - TIF'!$C$30:$E$41,MATCH(AZ$6,'Taxes - TIF'!$C$30:$C$41,0),MATCH("Tax Amount",'Taxes - TIF'!$C$30:$E$30,0))/12)))))))))</f>
        <v>-56650</v>
      </c>
      <c r="BA96" s="427">
        <f>-IF(BA$9&lt;'Operating Assumptions'!$D$53,0,IF(BA$6&gt;'Operating Assumptions'!$AA$8,0,IF('Operating Assumptions'!$L24="N/A",0,IF('Operating Assumptions'!$L24="$/Unit/Annual",(('Operating Assumptions'!$M24*BA$26)*BA$36)/12,IF('Operating Assumptions'!$L24="$/Unit/Month",('Operating Assumptions'!$M24*BA$26)*BA$36,IF('Operating Assumptions'!$L24="Fixed Amount",('Operating Assumptions'!$M24*BA$26)/12,IF('Operating Assumptions'!$L24="$/GSF",(('Operating Assumptions'!$M24*BA$26)*'Operating Assumptions'!$D$11)/12,IF('Operating Assumptions'!$L24="$/NSF",(('Operating Assumptions'!$M24*BA$26)*'Operating Assumptions'!$D$12)/12,IF('Operating Assumptions'!$L24="Tax Tab",INDEX('Taxes - TIF'!$C$30:$E$41,MATCH(BA$6,'Taxes - TIF'!$C$30:$C$41,0),MATCH("Tax Amount",'Taxes - TIF'!$C$30:$E$30,0))/12)))))))))</f>
        <v>-56650</v>
      </c>
      <c r="BB96" s="427">
        <f>-IF(BB$9&lt;'Operating Assumptions'!$D$53,0,IF(BB$6&gt;'Operating Assumptions'!$AA$8,0,IF('Operating Assumptions'!$L24="N/A",0,IF('Operating Assumptions'!$L24="$/Unit/Annual",(('Operating Assumptions'!$M24*BB$26)*BB$36)/12,IF('Operating Assumptions'!$L24="$/Unit/Month",('Operating Assumptions'!$M24*BB$26)*BB$36,IF('Operating Assumptions'!$L24="Fixed Amount",('Operating Assumptions'!$M24*BB$26)/12,IF('Operating Assumptions'!$L24="$/GSF",(('Operating Assumptions'!$M24*BB$26)*'Operating Assumptions'!$D$11)/12,IF('Operating Assumptions'!$L24="$/NSF",(('Operating Assumptions'!$M24*BB$26)*'Operating Assumptions'!$D$12)/12,IF('Operating Assumptions'!$L24="Tax Tab",INDEX('Taxes - TIF'!$C$30:$E$41,MATCH(BB$6,'Taxes - TIF'!$C$30:$C$41,0),MATCH("Tax Amount",'Taxes - TIF'!$C$30:$E$30,0))/12)))))))))</f>
        <v>-56650</v>
      </c>
      <c r="BC96" s="427">
        <f>-IF(BC$9&lt;'Operating Assumptions'!$D$53,0,IF(BC$6&gt;'Operating Assumptions'!$AA$8,0,IF('Operating Assumptions'!$L24="N/A",0,IF('Operating Assumptions'!$L24="$/Unit/Annual",(('Operating Assumptions'!$M24*BC$26)*BC$36)/12,IF('Operating Assumptions'!$L24="$/Unit/Month",('Operating Assumptions'!$M24*BC$26)*BC$36,IF('Operating Assumptions'!$L24="Fixed Amount",('Operating Assumptions'!$M24*BC$26)/12,IF('Operating Assumptions'!$L24="$/GSF",(('Operating Assumptions'!$M24*BC$26)*'Operating Assumptions'!$D$11)/12,IF('Operating Assumptions'!$L24="$/NSF",(('Operating Assumptions'!$M24*BC$26)*'Operating Assumptions'!$D$12)/12,IF('Operating Assumptions'!$L24="Tax Tab",INDEX('Taxes - TIF'!$C$30:$E$41,MATCH(BC$6,'Taxes - TIF'!$C$30:$C$41,0),MATCH("Tax Amount",'Taxes - TIF'!$C$30:$E$30,0))/12)))))))))</f>
        <v>-56650</v>
      </c>
      <c r="BD96" s="427">
        <f>-IF(BD$9&lt;'Operating Assumptions'!$D$53,0,IF(BD$6&gt;'Operating Assumptions'!$AA$8,0,IF('Operating Assumptions'!$L24="N/A",0,IF('Operating Assumptions'!$L24="$/Unit/Annual",(('Operating Assumptions'!$M24*BD$26)*BD$36)/12,IF('Operating Assumptions'!$L24="$/Unit/Month",('Operating Assumptions'!$M24*BD$26)*BD$36,IF('Operating Assumptions'!$L24="Fixed Amount",('Operating Assumptions'!$M24*BD$26)/12,IF('Operating Assumptions'!$L24="$/GSF",(('Operating Assumptions'!$M24*BD$26)*'Operating Assumptions'!$D$11)/12,IF('Operating Assumptions'!$L24="$/NSF",(('Operating Assumptions'!$M24*BD$26)*'Operating Assumptions'!$D$12)/12,IF('Operating Assumptions'!$L24="Tax Tab",INDEX('Taxes - TIF'!$C$30:$E$41,MATCH(BD$6,'Taxes - TIF'!$C$30:$C$41,0),MATCH("Tax Amount",'Taxes - TIF'!$C$30:$E$30,0))/12)))))))))</f>
        <v>-57200</v>
      </c>
      <c r="BE96" s="427">
        <f>-IF(BE$9&lt;'Operating Assumptions'!$D$53,0,IF(BE$6&gt;'Operating Assumptions'!$AA$8,0,IF('Operating Assumptions'!$L24="N/A",0,IF('Operating Assumptions'!$L24="$/Unit/Annual",(('Operating Assumptions'!$M24*BE$26)*BE$36)/12,IF('Operating Assumptions'!$L24="$/Unit/Month",('Operating Assumptions'!$M24*BE$26)*BE$36,IF('Operating Assumptions'!$L24="Fixed Amount",('Operating Assumptions'!$M24*BE$26)/12,IF('Operating Assumptions'!$L24="$/GSF",(('Operating Assumptions'!$M24*BE$26)*'Operating Assumptions'!$D$11)/12,IF('Operating Assumptions'!$L24="$/NSF",(('Operating Assumptions'!$M24*BE$26)*'Operating Assumptions'!$D$12)/12,IF('Operating Assumptions'!$L24="Tax Tab",INDEX('Taxes - TIF'!$C$30:$E$41,MATCH(BE$6,'Taxes - TIF'!$C$30:$C$41,0),MATCH("Tax Amount",'Taxes - TIF'!$C$30:$E$30,0))/12)))))))))</f>
        <v>-57200</v>
      </c>
      <c r="BF96" s="427">
        <f>-IF(BF$9&lt;'Operating Assumptions'!$D$53,0,IF(BF$6&gt;'Operating Assumptions'!$AA$8,0,IF('Operating Assumptions'!$L24="N/A",0,IF('Operating Assumptions'!$L24="$/Unit/Annual",(('Operating Assumptions'!$M24*BF$26)*BF$36)/12,IF('Operating Assumptions'!$L24="$/Unit/Month",('Operating Assumptions'!$M24*BF$26)*BF$36,IF('Operating Assumptions'!$L24="Fixed Amount",('Operating Assumptions'!$M24*BF$26)/12,IF('Operating Assumptions'!$L24="$/GSF",(('Operating Assumptions'!$M24*BF$26)*'Operating Assumptions'!$D$11)/12,IF('Operating Assumptions'!$L24="$/NSF",(('Operating Assumptions'!$M24*BF$26)*'Operating Assumptions'!$D$12)/12,IF('Operating Assumptions'!$L24="Tax Tab",INDEX('Taxes - TIF'!$C$30:$E$41,MATCH(BF$6,'Taxes - TIF'!$C$30:$C$41,0),MATCH("Tax Amount",'Taxes - TIF'!$C$30:$E$30,0))/12)))))))))</f>
        <v>-57200</v>
      </c>
      <c r="BG96" s="427">
        <f>-IF(BG$9&lt;'Operating Assumptions'!$D$53,0,IF(BG$6&gt;'Operating Assumptions'!$AA$8,0,IF('Operating Assumptions'!$L24="N/A",0,IF('Operating Assumptions'!$L24="$/Unit/Annual",(('Operating Assumptions'!$M24*BG$26)*BG$36)/12,IF('Operating Assumptions'!$L24="$/Unit/Month",('Operating Assumptions'!$M24*BG$26)*BG$36,IF('Operating Assumptions'!$L24="Fixed Amount",('Operating Assumptions'!$M24*BG$26)/12,IF('Operating Assumptions'!$L24="$/GSF",(('Operating Assumptions'!$M24*BG$26)*'Operating Assumptions'!$D$11)/12,IF('Operating Assumptions'!$L24="$/NSF",(('Operating Assumptions'!$M24*BG$26)*'Operating Assumptions'!$D$12)/12,IF('Operating Assumptions'!$L24="Tax Tab",INDEX('Taxes - TIF'!$C$30:$E$41,MATCH(BG$6,'Taxes - TIF'!$C$30:$C$41,0),MATCH("Tax Amount",'Taxes - TIF'!$C$30:$E$30,0))/12)))))))))</f>
        <v>-57200</v>
      </c>
      <c r="BH96" s="427">
        <f>-IF(BH$9&lt;'Operating Assumptions'!$D$53,0,IF(BH$6&gt;'Operating Assumptions'!$AA$8,0,IF('Operating Assumptions'!$L24="N/A",0,IF('Operating Assumptions'!$L24="$/Unit/Annual",(('Operating Assumptions'!$M24*BH$26)*BH$36)/12,IF('Operating Assumptions'!$L24="$/Unit/Month",('Operating Assumptions'!$M24*BH$26)*BH$36,IF('Operating Assumptions'!$L24="Fixed Amount",('Operating Assumptions'!$M24*BH$26)/12,IF('Operating Assumptions'!$L24="$/GSF",(('Operating Assumptions'!$M24*BH$26)*'Operating Assumptions'!$D$11)/12,IF('Operating Assumptions'!$L24="$/NSF",(('Operating Assumptions'!$M24*BH$26)*'Operating Assumptions'!$D$12)/12,IF('Operating Assumptions'!$L24="Tax Tab",INDEX('Taxes - TIF'!$C$30:$E$41,MATCH(BH$6,'Taxes - TIF'!$C$30:$C$41,0),MATCH("Tax Amount",'Taxes - TIF'!$C$30:$E$30,0))/12)))))))))</f>
        <v>-57200</v>
      </c>
      <c r="BI96" s="427">
        <f>-IF(BI$9&lt;'Operating Assumptions'!$D$53,0,IF(BI$6&gt;'Operating Assumptions'!$AA$8,0,IF('Operating Assumptions'!$L24="N/A",0,IF('Operating Assumptions'!$L24="$/Unit/Annual",(('Operating Assumptions'!$M24*BI$26)*BI$36)/12,IF('Operating Assumptions'!$L24="$/Unit/Month",('Operating Assumptions'!$M24*BI$26)*BI$36,IF('Operating Assumptions'!$L24="Fixed Amount",('Operating Assumptions'!$M24*BI$26)/12,IF('Operating Assumptions'!$L24="$/GSF",(('Operating Assumptions'!$M24*BI$26)*'Operating Assumptions'!$D$11)/12,IF('Operating Assumptions'!$L24="$/NSF",(('Operating Assumptions'!$M24*BI$26)*'Operating Assumptions'!$D$12)/12,IF('Operating Assumptions'!$L24="Tax Tab",INDEX('Taxes - TIF'!$C$30:$E$41,MATCH(BI$6,'Taxes - TIF'!$C$30:$C$41,0),MATCH("Tax Amount",'Taxes - TIF'!$C$30:$E$30,0))/12)))))))))</f>
        <v>-57200</v>
      </c>
      <c r="BJ96" s="427">
        <f>-IF(BJ$9&lt;'Operating Assumptions'!$D$53,0,IF(BJ$6&gt;'Operating Assumptions'!$AA$8,0,IF('Operating Assumptions'!$L24="N/A",0,IF('Operating Assumptions'!$L24="$/Unit/Annual",(('Operating Assumptions'!$M24*BJ$26)*BJ$36)/12,IF('Operating Assumptions'!$L24="$/Unit/Month",('Operating Assumptions'!$M24*BJ$26)*BJ$36,IF('Operating Assumptions'!$L24="Fixed Amount",('Operating Assumptions'!$M24*BJ$26)/12,IF('Operating Assumptions'!$L24="$/GSF",(('Operating Assumptions'!$M24*BJ$26)*'Operating Assumptions'!$D$11)/12,IF('Operating Assumptions'!$L24="$/NSF",(('Operating Assumptions'!$M24*BJ$26)*'Operating Assumptions'!$D$12)/12,IF('Operating Assumptions'!$L24="Tax Tab",INDEX('Taxes - TIF'!$C$30:$E$41,MATCH(BJ$6,'Taxes - TIF'!$C$30:$C$41,0),MATCH("Tax Amount",'Taxes - TIF'!$C$30:$E$30,0))/12)))))))))</f>
        <v>-57200</v>
      </c>
      <c r="BK96" s="427">
        <f>-IF(BK$9&lt;'Operating Assumptions'!$D$53,0,IF(BK$6&gt;'Operating Assumptions'!$AA$8,0,IF('Operating Assumptions'!$L24="N/A",0,IF('Operating Assumptions'!$L24="$/Unit/Annual",(('Operating Assumptions'!$M24*BK$26)*BK$36)/12,IF('Operating Assumptions'!$L24="$/Unit/Month",('Operating Assumptions'!$M24*BK$26)*BK$36,IF('Operating Assumptions'!$L24="Fixed Amount",('Operating Assumptions'!$M24*BK$26)/12,IF('Operating Assumptions'!$L24="$/GSF",(('Operating Assumptions'!$M24*BK$26)*'Operating Assumptions'!$D$11)/12,IF('Operating Assumptions'!$L24="$/NSF",(('Operating Assumptions'!$M24*BK$26)*'Operating Assumptions'!$D$12)/12,IF('Operating Assumptions'!$L24="Tax Tab",INDEX('Taxes - TIF'!$C$30:$E$41,MATCH(BK$6,'Taxes - TIF'!$C$30:$C$41,0),MATCH("Tax Amount",'Taxes - TIF'!$C$30:$E$30,0))/12)))))))))</f>
        <v>-57200</v>
      </c>
      <c r="BL96" s="427">
        <f>-IF(BL$9&lt;'Operating Assumptions'!$D$53,0,IF(BL$6&gt;'Operating Assumptions'!$AA$8,0,IF('Operating Assumptions'!$L24="N/A",0,IF('Operating Assumptions'!$L24="$/Unit/Annual",(('Operating Assumptions'!$M24*BL$26)*BL$36)/12,IF('Operating Assumptions'!$L24="$/Unit/Month",('Operating Assumptions'!$M24*BL$26)*BL$36,IF('Operating Assumptions'!$L24="Fixed Amount",('Operating Assumptions'!$M24*BL$26)/12,IF('Operating Assumptions'!$L24="$/GSF",(('Operating Assumptions'!$M24*BL$26)*'Operating Assumptions'!$D$11)/12,IF('Operating Assumptions'!$L24="$/NSF",(('Operating Assumptions'!$M24*BL$26)*'Operating Assumptions'!$D$12)/12,IF('Operating Assumptions'!$L24="Tax Tab",INDEX('Taxes - TIF'!$C$30:$E$41,MATCH(BL$6,'Taxes - TIF'!$C$30:$C$41,0),MATCH("Tax Amount",'Taxes - TIF'!$C$30:$E$30,0))/12)))))))))</f>
        <v>-57200</v>
      </c>
      <c r="BM96" s="427">
        <f>-IF(BM$9&lt;'Operating Assumptions'!$D$53,0,IF(BM$6&gt;'Operating Assumptions'!$AA$8,0,IF('Operating Assumptions'!$L24="N/A",0,IF('Operating Assumptions'!$L24="$/Unit/Annual",(('Operating Assumptions'!$M24*BM$26)*BM$36)/12,IF('Operating Assumptions'!$L24="$/Unit/Month",('Operating Assumptions'!$M24*BM$26)*BM$36,IF('Operating Assumptions'!$L24="Fixed Amount",('Operating Assumptions'!$M24*BM$26)/12,IF('Operating Assumptions'!$L24="$/GSF",(('Operating Assumptions'!$M24*BM$26)*'Operating Assumptions'!$D$11)/12,IF('Operating Assumptions'!$L24="$/NSF",(('Operating Assumptions'!$M24*BM$26)*'Operating Assumptions'!$D$12)/12,IF('Operating Assumptions'!$L24="Tax Tab",INDEX('Taxes - TIF'!$C$30:$E$41,MATCH(BM$6,'Taxes - TIF'!$C$30:$C$41,0),MATCH("Tax Amount",'Taxes - TIF'!$C$30:$E$30,0))/12)))))))))</f>
        <v>-57200</v>
      </c>
      <c r="BN96" s="427">
        <f>-IF(BN$9&lt;'Operating Assumptions'!$D$53,0,IF(BN$6&gt;'Operating Assumptions'!$AA$8,0,IF('Operating Assumptions'!$L24="N/A",0,IF('Operating Assumptions'!$L24="$/Unit/Annual",(('Operating Assumptions'!$M24*BN$26)*BN$36)/12,IF('Operating Assumptions'!$L24="$/Unit/Month",('Operating Assumptions'!$M24*BN$26)*BN$36,IF('Operating Assumptions'!$L24="Fixed Amount",('Operating Assumptions'!$M24*BN$26)/12,IF('Operating Assumptions'!$L24="$/GSF",(('Operating Assumptions'!$M24*BN$26)*'Operating Assumptions'!$D$11)/12,IF('Operating Assumptions'!$L24="$/NSF",(('Operating Assumptions'!$M24*BN$26)*'Operating Assumptions'!$D$12)/12,IF('Operating Assumptions'!$L24="Tax Tab",INDEX('Taxes - TIF'!$C$30:$E$41,MATCH(BN$6,'Taxes - TIF'!$C$30:$C$41,0),MATCH("Tax Amount",'Taxes - TIF'!$C$30:$E$30,0))/12)))))))))</f>
        <v>-57200</v>
      </c>
      <c r="BO96" s="427">
        <f>-IF(BO$9&lt;'Operating Assumptions'!$D$53,0,IF(BO$6&gt;'Operating Assumptions'!$AA$8,0,IF('Operating Assumptions'!$L24="N/A",0,IF('Operating Assumptions'!$L24="$/Unit/Annual",(('Operating Assumptions'!$M24*BO$26)*BO$36)/12,IF('Operating Assumptions'!$L24="$/Unit/Month",('Operating Assumptions'!$M24*BO$26)*BO$36,IF('Operating Assumptions'!$L24="Fixed Amount",('Operating Assumptions'!$M24*BO$26)/12,IF('Operating Assumptions'!$L24="$/GSF",(('Operating Assumptions'!$M24*BO$26)*'Operating Assumptions'!$D$11)/12,IF('Operating Assumptions'!$L24="$/NSF",(('Operating Assumptions'!$M24*BO$26)*'Operating Assumptions'!$D$12)/12,IF('Operating Assumptions'!$L24="Tax Tab",INDEX('Taxes - TIF'!$C$30:$E$41,MATCH(BO$6,'Taxes - TIF'!$C$30:$C$41,0),MATCH("Tax Amount",'Taxes - TIF'!$C$30:$E$30,0))/12)))))))))</f>
        <v>-57200</v>
      </c>
      <c r="BP96" s="427">
        <f>-IF(BP$9&lt;'Operating Assumptions'!$D$53,0,IF(BP$6&gt;'Operating Assumptions'!$AA$8,0,IF('Operating Assumptions'!$L24="N/A",0,IF('Operating Assumptions'!$L24="$/Unit/Annual",(('Operating Assumptions'!$M24*BP$26)*BP$36)/12,IF('Operating Assumptions'!$L24="$/Unit/Month",('Operating Assumptions'!$M24*BP$26)*BP$36,IF('Operating Assumptions'!$L24="Fixed Amount",('Operating Assumptions'!$M24*BP$26)/12,IF('Operating Assumptions'!$L24="$/GSF",(('Operating Assumptions'!$M24*BP$26)*'Operating Assumptions'!$D$11)/12,IF('Operating Assumptions'!$L24="$/NSF",(('Operating Assumptions'!$M24*BP$26)*'Operating Assumptions'!$D$12)/12,IF('Operating Assumptions'!$L24="Tax Tab",INDEX('Taxes - TIF'!$C$30:$E$41,MATCH(BP$6,'Taxes - TIF'!$C$30:$C$41,0),MATCH("Tax Amount",'Taxes - TIF'!$C$30:$E$30,0))/12)))))))))</f>
        <v>-57750</v>
      </c>
      <c r="BQ96" s="427">
        <f>-IF(BQ$9&lt;'Operating Assumptions'!$D$53,0,IF(BQ$6&gt;'Operating Assumptions'!$AA$8,0,IF('Operating Assumptions'!$L24="N/A",0,IF('Operating Assumptions'!$L24="$/Unit/Annual",(('Operating Assumptions'!$M24*BQ$26)*BQ$36)/12,IF('Operating Assumptions'!$L24="$/Unit/Month",('Operating Assumptions'!$M24*BQ$26)*BQ$36,IF('Operating Assumptions'!$L24="Fixed Amount",('Operating Assumptions'!$M24*BQ$26)/12,IF('Operating Assumptions'!$L24="$/GSF",(('Operating Assumptions'!$M24*BQ$26)*'Operating Assumptions'!$D$11)/12,IF('Operating Assumptions'!$L24="$/NSF",(('Operating Assumptions'!$M24*BQ$26)*'Operating Assumptions'!$D$12)/12,IF('Operating Assumptions'!$L24="Tax Tab",INDEX('Taxes - TIF'!$C$30:$E$41,MATCH(BQ$6,'Taxes - TIF'!$C$30:$C$41,0),MATCH("Tax Amount",'Taxes - TIF'!$C$30:$E$30,0))/12)))))))))</f>
        <v>-57750</v>
      </c>
      <c r="BR96" s="427">
        <f>-IF(BR$9&lt;'Operating Assumptions'!$D$53,0,IF(BR$6&gt;'Operating Assumptions'!$AA$8,0,IF('Operating Assumptions'!$L24="N/A",0,IF('Operating Assumptions'!$L24="$/Unit/Annual",(('Operating Assumptions'!$M24*BR$26)*BR$36)/12,IF('Operating Assumptions'!$L24="$/Unit/Month",('Operating Assumptions'!$M24*BR$26)*BR$36,IF('Operating Assumptions'!$L24="Fixed Amount",('Operating Assumptions'!$M24*BR$26)/12,IF('Operating Assumptions'!$L24="$/GSF",(('Operating Assumptions'!$M24*BR$26)*'Operating Assumptions'!$D$11)/12,IF('Operating Assumptions'!$L24="$/NSF",(('Operating Assumptions'!$M24*BR$26)*'Operating Assumptions'!$D$12)/12,IF('Operating Assumptions'!$L24="Tax Tab",INDEX('Taxes - TIF'!$C$30:$E$41,MATCH(BR$6,'Taxes - TIF'!$C$30:$C$41,0),MATCH("Tax Amount",'Taxes - TIF'!$C$30:$E$30,0))/12)))))))))</f>
        <v>-57750</v>
      </c>
      <c r="BS96" s="427">
        <f>-IF(BS$9&lt;'Operating Assumptions'!$D$53,0,IF(BS$6&gt;'Operating Assumptions'!$AA$8,0,IF('Operating Assumptions'!$L24="N/A",0,IF('Operating Assumptions'!$L24="$/Unit/Annual",(('Operating Assumptions'!$M24*BS$26)*BS$36)/12,IF('Operating Assumptions'!$L24="$/Unit/Month",('Operating Assumptions'!$M24*BS$26)*BS$36,IF('Operating Assumptions'!$L24="Fixed Amount",('Operating Assumptions'!$M24*BS$26)/12,IF('Operating Assumptions'!$L24="$/GSF",(('Operating Assumptions'!$M24*BS$26)*'Operating Assumptions'!$D$11)/12,IF('Operating Assumptions'!$L24="$/NSF",(('Operating Assumptions'!$M24*BS$26)*'Operating Assumptions'!$D$12)/12,IF('Operating Assumptions'!$L24="Tax Tab",INDEX('Taxes - TIF'!$C$30:$E$41,MATCH(BS$6,'Taxes - TIF'!$C$30:$C$41,0),MATCH("Tax Amount",'Taxes - TIF'!$C$30:$E$30,0))/12)))))))))</f>
        <v>-57750</v>
      </c>
      <c r="BT96" s="427">
        <f>-IF(BT$9&lt;'Operating Assumptions'!$D$53,0,IF(BT$6&gt;'Operating Assumptions'!$AA$8,0,IF('Operating Assumptions'!$L24="N/A",0,IF('Operating Assumptions'!$L24="$/Unit/Annual",(('Operating Assumptions'!$M24*BT$26)*BT$36)/12,IF('Operating Assumptions'!$L24="$/Unit/Month",('Operating Assumptions'!$M24*BT$26)*BT$36,IF('Operating Assumptions'!$L24="Fixed Amount",('Operating Assumptions'!$M24*BT$26)/12,IF('Operating Assumptions'!$L24="$/GSF",(('Operating Assumptions'!$M24*BT$26)*'Operating Assumptions'!$D$11)/12,IF('Operating Assumptions'!$L24="$/NSF",(('Operating Assumptions'!$M24*BT$26)*'Operating Assumptions'!$D$12)/12,IF('Operating Assumptions'!$L24="Tax Tab",INDEX('Taxes - TIF'!$C$30:$E$41,MATCH(BT$6,'Taxes - TIF'!$C$30:$C$41,0),MATCH("Tax Amount",'Taxes - TIF'!$C$30:$E$30,0))/12)))))))))</f>
        <v>-57750</v>
      </c>
      <c r="BU96" s="427">
        <f>-IF(BU$9&lt;'Operating Assumptions'!$D$53,0,IF(BU$6&gt;'Operating Assumptions'!$AA$8,0,IF('Operating Assumptions'!$L24="N/A",0,IF('Operating Assumptions'!$L24="$/Unit/Annual",(('Operating Assumptions'!$M24*BU$26)*BU$36)/12,IF('Operating Assumptions'!$L24="$/Unit/Month",('Operating Assumptions'!$M24*BU$26)*BU$36,IF('Operating Assumptions'!$L24="Fixed Amount",('Operating Assumptions'!$M24*BU$26)/12,IF('Operating Assumptions'!$L24="$/GSF",(('Operating Assumptions'!$M24*BU$26)*'Operating Assumptions'!$D$11)/12,IF('Operating Assumptions'!$L24="$/NSF",(('Operating Assumptions'!$M24*BU$26)*'Operating Assumptions'!$D$12)/12,IF('Operating Assumptions'!$L24="Tax Tab",INDEX('Taxes - TIF'!$C$30:$E$41,MATCH(BU$6,'Taxes - TIF'!$C$30:$C$41,0),MATCH("Tax Amount",'Taxes - TIF'!$C$30:$E$30,0))/12)))))))))</f>
        <v>-57750</v>
      </c>
      <c r="BV96" s="427">
        <f>-IF(BV$9&lt;'Operating Assumptions'!$D$53,0,IF(BV$6&gt;'Operating Assumptions'!$AA$8,0,IF('Operating Assumptions'!$L24="N/A",0,IF('Operating Assumptions'!$L24="$/Unit/Annual",(('Operating Assumptions'!$M24*BV$26)*BV$36)/12,IF('Operating Assumptions'!$L24="$/Unit/Month",('Operating Assumptions'!$M24*BV$26)*BV$36,IF('Operating Assumptions'!$L24="Fixed Amount",('Operating Assumptions'!$M24*BV$26)/12,IF('Operating Assumptions'!$L24="$/GSF",(('Operating Assumptions'!$M24*BV$26)*'Operating Assumptions'!$D$11)/12,IF('Operating Assumptions'!$L24="$/NSF",(('Operating Assumptions'!$M24*BV$26)*'Operating Assumptions'!$D$12)/12,IF('Operating Assumptions'!$L24="Tax Tab",INDEX('Taxes - TIF'!$C$30:$E$41,MATCH(BV$6,'Taxes - TIF'!$C$30:$C$41,0),MATCH("Tax Amount",'Taxes - TIF'!$C$30:$E$30,0))/12)))))))))</f>
        <v>-57750</v>
      </c>
      <c r="BW96" s="427">
        <f>-IF(BW$9&lt;'Operating Assumptions'!$D$53,0,IF(BW$6&gt;'Operating Assumptions'!$AA$8,0,IF('Operating Assumptions'!$L24="N/A",0,IF('Operating Assumptions'!$L24="$/Unit/Annual",(('Operating Assumptions'!$M24*BW$26)*BW$36)/12,IF('Operating Assumptions'!$L24="$/Unit/Month",('Operating Assumptions'!$M24*BW$26)*BW$36,IF('Operating Assumptions'!$L24="Fixed Amount",('Operating Assumptions'!$M24*BW$26)/12,IF('Operating Assumptions'!$L24="$/GSF",(('Operating Assumptions'!$M24*BW$26)*'Operating Assumptions'!$D$11)/12,IF('Operating Assumptions'!$L24="$/NSF",(('Operating Assumptions'!$M24*BW$26)*'Operating Assumptions'!$D$12)/12,IF('Operating Assumptions'!$L24="Tax Tab",INDEX('Taxes - TIF'!$C$30:$E$41,MATCH(BW$6,'Taxes - TIF'!$C$30:$C$41,0),MATCH("Tax Amount",'Taxes - TIF'!$C$30:$E$30,0))/12)))))))))</f>
        <v>-57750</v>
      </c>
      <c r="BX96" s="427">
        <f>-IF(BX$9&lt;'Operating Assumptions'!$D$53,0,IF(BX$6&gt;'Operating Assumptions'!$AA$8,0,IF('Operating Assumptions'!$L24="N/A",0,IF('Operating Assumptions'!$L24="$/Unit/Annual",(('Operating Assumptions'!$M24*BX$26)*BX$36)/12,IF('Operating Assumptions'!$L24="$/Unit/Month",('Operating Assumptions'!$M24*BX$26)*BX$36,IF('Operating Assumptions'!$L24="Fixed Amount",('Operating Assumptions'!$M24*BX$26)/12,IF('Operating Assumptions'!$L24="$/GSF",(('Operating Assumptions'!$M24*BX$26)*'Operating Assumptions'!$D$11)/12,IF('Operating Assumptions'!$L24="$/NSF",(('Operating Assumptions'!$M24*BX$26)*'Operating Assumptions'!$D$12)/12,IF('Operating Assumptions'!$L24="Tax Tab",INDEX('Taxes - TIF'!$C$30:$E$41,MATCH(BX$6,'Taxes - TIF'!$C$30:$C$41,0),MATCH("Tax Amount",'Taxes - TIF'!$C$30:$E$30,0))/12)))))))))</f>
        <v>-57750</v>
      </c>
      <c r="BY96" s="427">
        <f>-IF(BY$9&lt;'Operating Assumptions'!$D$53,0,IF(BY$6&gt;'Operating Assumptions'!$AA$8,0,IF('Operating Assumptions'!$L24="N/A",0,IF('Operating Assumptions'!$L24="$/Unit/Annual",(('Operating Assumptions'!$M24*BY$26)*BY$36)/12,IF('Operating Assumptions'!$L24="$/Unit/Month",('Operating Assumptions'!$M24*BY$26)*BY$36,IF('Operating Assumptions'!$L24="Fixed Amount",('Operating Assumptions'!$M24*BY$26)/12,IF('Operating Assumptions'!$L24="$/GSF",(('Operating Assumptions'!$M24*BY$26)*'Operating Assumptions'!$D$11)/12,IF('Operating Assumptions'!$L24="$/NSF",(('Operating Assumptions'!$M24*BY$26)*'Operating Assumptions'!$D$12)/12,IF('Operating Assumptions'!$L24="Tax Tab",INDEX('Taxes - TIF'!$C$30:$E$41,MATCH(BY$6,'Taxes - TIF'!$C$30:$C$41,0),MATCH("Tax Amount",'Taxes - TIF'!$C$30:$E$30,0))/12)))))))))</f>
        <v>-57750</v>
      </c>
      <c r="BZ96" s="427">
        <f>-IF(BZ$9&lt;'Operating Assumptions'!$D$53,0,IF(BZ$6&gt;'Operating Assumptions'!$AA$8,0,IF('Operating Assumptions'!$L24="N/A",0,IF('Operating Assumptions'!$L24="$/Unit/Annual",(('Operating Assumptions'!$M24*BZ$26)*BZ$36)/12,IF('Operating Assumptions'!$L24="$/Unit/Month",('Operating Assumptions'!$M24*BZ$26)*BZ$36,IF('Operating Assumptions'!$L24="Fixed Amount",('Operating Assumptions'!$M24*BZ$26)/12,IF('Operating Assumptions'!$L24="$/GSF",(('Operating Assumptions'!$M24*BZ$26)*'Operating Assumptions'!$D$11)/12,IF('Operating Assumptions'!$L24="$/NSF",(('Operating Assumptions'!$M24*BZ$26)*'Operating Assumptions'!$D$12)/12,IF('Operating Assumptions'!$L24="Tax Tab",INDEX('Taxes - TIF'!$C$30:$E$41,MATCH(BZ$6,'Taxes - TIF'!$C$30:$C$41,0),MATCH("Tax Amount",'Taxes - TIF'!$C$30:$E$30,0))/12)))))))))</f>
        <v>-57750</v>
      </c>
      <c r="CA96" s="427">
        <f>-IF(CA$9&lt;'Operating Assumptions'!$D$53,0,IF(CA$6&gt;'Operating Assumptions'!$AA$8,0,IF('Operating Assumptions'!$L24="N/A",0,IF('Operating Assumptions'!$L24="$/Unit/Annual",(('Operating Assumptions'!$M24*CA$26)*CA$36)/12,IF('Operating Assumptions'!$L24="$/Unit/Month",('Operating Assumptions'!$M24*CA$26)*CA$36,IF('Operating Assumptions'!$L24="Fixed Amount",('Operating Assumptions'!$M24*CA$26)/12,IF('Operating Assumptions'!$L24="$/GSF",(('Operating Assumptions'!$M24*CA$26)*'Operating Assumptions'!$D$11)/12,IF('Operating Assumptions'!$L24="$/NSF",(('Operating Assumptions'!$M24*CA$26)*'Operating Assumptions'!$D$12)/12,IF('Operating Assumptions'!$L24="Tax Tab",INDEX('Taxes - TIF'!$C$30:$E$41,MATCH(CA$6,'Taxes - TIF'!$C$30:$C$41,0),MATCH("Tax Amount",'Taxes - TIF'!$C$30:$E$30,0))/12)))))))))</f>
        <v>-57750</v>
      </c>
      <c r="CB96" s="427">
        <f>-IF(CB$9&lt;'Operating Assumptions'!$D$53,0,IF(CB$6&gt;'Operating Assumptions'!$AA$8,0,IF('Operating Assumptions'!$L24="N/A",0,IF('Operating Assumptions'!$L24="$/Unit/Annual",(('Operating Assumptions'!$M24*CB$26)*CB$36)/12,IF('Operating Assumptions'!$L24="$/Unit/Month",('Operating Assumptions'!$M24*CB$26)*CB$36,IF('Operating Assumptions'!$L24="Fixed Amount",('Operating Assumptions'!$M24*CB$26)/12,IF('Operating Assumptions'!$L24="$/GSF",(('Operating Assumptions'!$M24*CB$26)*'Operating Assumptions'!$D$11)/12,IF('Operating Assumptions'!$L24="$/NSF",(('Operating Assumptions'!$M24*CB$26)*'Operating Assumptions'!$D$12)/12,IF('Operating Assumptions'!$L24="Tax Tab",INDEX('Taxes - TIF'!$C$30:$E$41,MATCH(CB$6,'Taxes - TIF'!$C$30:$C$41,0),MATCH("Tax Amount",'Taxes - TIF'!$C$30:$E$30,0))/12)))))))))</f>
        <v>-58300</v>
      </c>
      <c r="CC96" s="427">
        <f>-IF(CC$9&lt;'Operating Assumptions'!$D$53,0,IF(CC$6&gt;'Operating Assumptions'!$AA$8,0,IF('Operating Assumptions'!$L24="N/A",0,IF('Operating Assumptions'!$L24="$/Unit/Annual",(('Operating Assumptions'!$M24*CC$26)*CC$36)/12,IF('Operating Assumptions'!$L24="$/Unit/Month",('Operating Assumptions'!$M24*CC$26)*CC$36,IF('Operating Assumptions'!$L24="Fixed Amount",('Operating Assumptions'!$M24*CC$26)/12,IF('Operating Assumptions'!$L24="$/GSF",(('Operating Assumptions'!$M24*CC$26)*'Operating Assumptions'!$D$11)/12,IF('Operating Assumptions'!$L24="$/NSF",(('Operating Assumptions'!$M24*CC$26)*'Operating Assumptions'!$D$12)/12,IF('Operating Assumptions'!$L24="Tax Tab",INDEX('Taxes - TIF'!$C$30:$E$41,MATCH(CC$6,'Taxes - TIF'!$C$30:$C$41,0),MATCH("Tax Amount",'Taxes - TIF'!$C$30:$E$30,0))/12)))))))))</f>
        <v>-58300</v>
      </c>
      <c r="CD96" s="427">
        <f>-IF(CD$9&lt;'Operating Assumptions'!$D$53,0,IF(CD$6&gt;'Operating Assumptions'!$AA$8,0,IF('Operating Assumptions'!$L24="N/A",0,IF('Operating Assumptions'!$L24="$/Unit/Annual",(('Operating Assumptions'!$M24*CD$26)*CD$36)/12,IF('Operating Assumptions'!$L24="$/Unit/Month",('Operating Assumptions'!$M24*CD$26)*CD$36,IF('Operating Assumptions'!$L24="Fixed Amount",('Operating Assumptions'!$M24*CD$26)/12,IF('Operating Assumptions'!$L24="$/GSF",(('Operating Assumptions'!$M24*CD$26)*'Operating Assumptions'!$D$11)/12,IF('Operating Assumptions'!$L24="$/NSF",(('Operating Assumptions'!$M24*CD$26)*'Operating Assumptions'!$D$12)/12,IF('Operating Assumptions'!$L24="Tax Tab",INDEX('Taxes - TIF'!$C$30:$E$41,MATCH(CD$6,'Taxes - TIF'!$C$30:$C$41,0),MATCH("Tax Amount",'Taxes - TIF'!$C$30:$E$30,0))/12)))))))))</f>
        <v>-58300</v>
      </c>
      <c r="CE96" s="427">
        <f>-IF(CE$9&lt;'Operating Assumptions'!$D$53,0,IF(CE$6&gt;'Operating Assumptions'!$AA$8,0,IF('Operating Assumptions'!$L24="N/A",0,IF('Operating Assumptions'!$L24="$/Unit/Annual",(('Operating Assumptions'!$M24*CE$26)*CE$36)/12,IF('Operating Assumptions'!$L24="$/Unit/Month",('Operating Assumptions'!$M24*CE$26)*CE$36,IF('Operating Assumptions'!$L24="Fixed Amount",('Operating Assumptions'!$M24*CE$26)/12,IF('Operating Assumptions'!$L24="$/GSF",(('Operating Assumptions'!$M24*CE$26)*'Operating Assumptions'!$D$11)/12,IF('Operating Assumptions'!$L24="$/NSF",(('Operating Assumptions'!$M24*CE$26)*'Operating Assumptions'!$D$12)/12,IF('Operating Assumptions'!$L24="Tax Tab",INDEX('Taxes - TIF'!$C$30:$E$41,MATCH(CE$6,'Taxes - TIF'!$C$30:$C$41,0),MATCH("Tax Amount",'Taxes - TIF'!$C$30:$E$30,0))/12)))))))))</f>
        <v>-58300</v>
      </c>
      <c r="CF96" s="427">
        <f>-IF(CF$9&lt;'Operating Assumptions'!$D$53,0,IF(CF$6&gt;'Operating Assumptions'!$AA$8,0,IF('Operating Assumptions'!$L24="N/A",0,IF('Operating Assumptions'!$L24="$/Unit/Annual",(('Operating Assumptions'!$M24*CF$26)*CF$36)/12,IF('Operating Assumptions'!$L24="$/Unit/Month",('Operating Assumptions'!$M24*CF$26)*CF$36,IF('Operating Assumptions'!$L24="Fixed Amount",('Operating Assumptions'!$M24*CF$26)/12,IF('Operating Assumptions'!$L24="$/GSF",(('Operating Assumptions'!$M24*CF$26)*'Operating Assumptions'!$D$11)/12,IF('Operating Assumptions'!$L24="$/NSF",(('Operating Assumptions'!$M24*CF$26)*'Operating Assumptions'!$D$12)/12,IF('Operating Assumptions'!$L24="Tax Tab",INDEX('Taxes - TIF'!$C$30:$E$41,MATCH(CF$6,'Taxes - TIF'!$C$30:$C$41,0),MATCH("Tax Amount",'Taxes - TIF'!$C$30:$E$30,0))/12)))))))))</f>
        <v>-58300</v>
      </c>
      <c r="CG96" s="427">
        <f>-IF(CG$9&lt;'Operating Assumptions'!$D$53,0,IF(CG$6&gt;'Operating Assumptions'!$AA$8,0,IF('Operating Assumptions'!$L24="N/A",0,IF('Operating Assumptions'!$L24="$/Unit/Annual",(('Operating Assumptions'!$M24*CG$26)*CG$36)/12,IF('Operating Assumptions'!$L24="$/Unit/Month",('Operating Assumptions'!$M24*CG$26)*CG$36,IF('Operating Assumptions'!$L24="Fixed Amount",('Operating Assumptions'!$M24*CG$26)/12,IF('Operating Assumptions'!$L24="$/GSF",(('Operating Assumptions'!$M24*CG$26)*'Operating Assumptions'!$D$11)/12,IF('Operating Assumptions'!$L24="$/NSF",(('Operating Assumptions'!$M24*CG$26)*'Operating Assumptions'!$D$12)/12,IF('Operating Assumptions'!$L24="Tax Tab",INDEX('Taxes - TIF'!$C$30:$E$41,MATCH(CG$6,'Taxes - TIF'!$C$30:$C$41,0),MATCH("Tax Amount",'Taxes - TIF'!$C$30:$E$30,0))/12)))))))))</f>
        <v>-58300</v>
      </c>
      <c r="CH96" s="427">
        <f>-IF(CH$9&lt;'Operating Assumptions'!$D$53,0,IF(CH$6&gt;'Operating Assumptions'!$AA$8,0,IF('Operating Assumptions'!$L24="N/A",0,IF('Operating Assumptions'!$L24="$/Unit/Annual",(('Operating Assumptions'!$M24*CH$26)*CH$36)/12,IF('Operating Assumptions'!$L24="$/Unit/Month",('Operating Assumptions'!$M24*CH$26)*CH$36,IF('Operating Assumptions'!$L24="Fixed Amount",('Operating Assumptions'!$M24*CH$26)/12,IF('Operating Assumptions'!$L24="$/GSF",(('Operating Assumptions'!$M24*CH$26)*'Operating Assumptions'!$D$11)/12,IF('Operating Assumptions'!$L24="$/NSF",(('Operating Assumptions'!$M24*CH$26)*'Operating Assumptions'!$D$12)/12,IF('Operating Assumptions'!$L24="Tax Tab",INDEX('Taxes - TIF'!$C$30:$E$41,MATCH(CH$6,'Taxes - TIF'!$C$30:$C$41,0),MATCH("Tax Amount",'Taxes - TIF'!$C$30:$E$30,0))/12)))))))))</f>
        <v>-58300</v>
      </c>
      <c r="CI96" s="427">
        <f>-IF(CI$9&lt;'Operating Assumptions'!$D$53,0,IF(CI$6&gt;'Operating Assumptions'!$AA$8,0,IF('Operating Assumptions'!$L24="N/A",0,IF('Operating Assumptions'!$L24="$/Unit/Annual",(('Operating Assumptions'!$M24*CI$26)*CI$36)/12,IF('Operating Assumptions'!$L24="$/Unit/Month",('Operating Assumptions'!$M24*CI$26)*CI$36,IF('Operating Assumptions'!$L24="Fixed Amount",('Operating Assumptions'!$M24*CI$26)/12,IF('Operating Assumptions'!$L24="$/GSF",(('Operating Assumptions'!$M24*CI$26)*'Operating Assumptions'!$D$11)/12,IF('Operating Assumptions'!$L24="$/NSF",(('Operating Assumptions'!$M24*CI$26)*'Operating Assumptions'!$D$12)/12,IF('Operating Assumptions'!$L24="Tax Tab",INDEX('Taxes - TIF'!$C$30:$E$41,MATCH(CI$6,'Taxes - TIF'!$C$30:$C$41,0),MATCH("Tax Amount",'Taxes - TIF'!$C$30:$E$30,0))/12)))))))))</f>
        <v>-58300</v>
      </c>
      <c r="CJ96" s="427">
        <f>-IF(CJ$9&lt;'Operating Assumptions'!$D$53,0,IF(CJ$6&gt;'Operating Assumptions'!$AA$8,0,IF('Operating Assumptions'!$L24="N/A",0,IF('Operating Assumptions'!$L24="$/Unit/Annual",(('Operating Assumptions'!$M24*CJ$26)*CJ$36)/12,IF('Operating Assumptions'!$L24="$/Unit/Month",('Operating Assumptions'!$M24*CJ$26)*CJ$36,IF('Operating Assumptions'!$L24="Fixed Amount",('Operating Assumptions'!$M24*CJ$26)/12,IF('Operating Assumptions'!$L24="$/GSF",(('Operating Assumptions'!$M24*CJ$26)*'Operating Assumptions'!$D$11)/12,IF('Operating Assumptions'!$L24="$/NSF",(('Operating Assumptions'!$M24*CJ$26)*'Operating Assumptions'!$D$12)/12,IF('Operating Assumptions'!$L24="Tax Tab",INDEX('Taxes - TIF'!$C$30:$E$41,MATCH(CJ$6,'Taxes - TIF'!$C$30:$C$41,0),MATCH("Tax Amount",'Taxes - TIF'!$C$30:$E$30,0))/12)))))))))</f>
        <v>-58300</v>
      </c>
      <c r="CK96" s="427">
        <f>-IF(CK$9&lt;'Operating Assumptions'!$D$53,0,IF(CK$6&gt;'Operating Assumptions'!$AA$8,0,IF('Operating Assumptions'!$L24="N/A",0,IF('Operating Assumptions'!$L24="$/Unit/Annual",(('Operating Assumptions'!$M24*CK$26)*CK$36)/12,IF('Operating Assumptions'!$L24="$/Unit/Month",('Operating Assumptions'!$M24*CK$26)*CK$36,IF('Operating Assumptions'!$L24="Fixed Amount",('Operating Assumptions'!$M24*CK$26)/12,IF('Operating Assumptions'!$L24="$/GSF",(('Operating Assumptions'!$M24*CK$26)*'Operating Assumptions'!$D$11)/12,IF('Operating Assumptions'!$L24="$/NSF",(('Operating Assumptions'!$M24*CK$26)*'Operating Assumptions'!$D$12)/12,IF('Operating Assumptions'!$L24="Tax Tab",INDEX('Taxes - TIF'!$C$30:$E$41,MATCH(CK$6,'Taxes - TIF'!$C$30:$C$41,0),MATCH("Tax Amount",'Taxes - TIF'!$C$30:$E$30,0))/12)))))))))</f>
        <v>-58300</v>
      </c>
      <c r="CL96" s="427">
        <f>-IF(CL$9&lt;'Operating Assumptions'!$D$53,0,IF(CL$6&gt;'Operating Assumptions'!$AA$8,0,IF('Operating Assumptions'!$L24="N/A",0,IF('Operating Assumptions'!$L24="$/Unit/Annual",(('Operating Assumptions'!$M24*CL$26)*CL$36)/12,IF('Operating Assumptions'!$L24="$/Unit/Month",('Operating Assumptions'!$M24*CL$26)*CL$36,IF('Operating Assumptions'!$L24="Fixed Amount",('Operating Assumptions'!$M24*CL$26)/12,IF('Operating Assumptions'!$L24="$/GSF",(('Operating Assumptions'!$M24*CL$26)*'Operating Assumptions'!$D$11)/12,IF('Operating Assumptions'!$L24="$/NSF",(('Operating Assumptions'!$M24*CL$26)*'Operating Assumptions'!$D$12)/12,IF('Operating Assumptions'!$L24="Tax Tab",INDEX('Taxes - TIF'!$C$30:$E$41,MATCH(CL$6,'Taxes - TIF'!$C$30:$C$41,0),MATCH("Tax Amount",'Taxes - TIF'!$C$30:$E$30,0))/12)))))))))</f>
        <v>-58300</v>
      </c>
      <c r="CM96" s="427">
        <f>-IF(CM$9&lt;'Operating Assumptions'!$D$53,0,IF(CM$6&gt;'Operating Assumptions'!$AA$8,0,IF('Operating Assumptions'!$L24="N/A",0,IF('Operating Assumptions'!$L24="$/Unit/Annual",(('Operating Assumptions'!$M24*CM$26)*CM$36)/12,IF('Operating Assumptions'!$L24="$/Unit/Month",('Operating Assumptions'!$M24*CM$26)*CM$36,IF('Operating Assumptions'!$L24="Fixed Amount",('Operating Assumptions'!$M24*CM$26)/12,IF('Operating Assumptions'!$L24="$/GSF",(('Operating Assumptions'!$M24*CM$26)*'Operating Assumptions'!$D$11)/12,IF('Operating Assumptions'!$L24="$/NSF",(('Operating Assumptions'!$M24*CM$26)*'Operating Assumptions'!$D$12)/12,IF('Operating Assumptions'!$L24="Tax Tab",INDEX('Taxes - TIF'!$C$30:$E$41,MATCH(CM$6,'Taxes - TIF'!$C$30:$C$41,0),MATCH("Tax Amount",'Taxes - TIF'!$C$30:$E$30,0))/12)))))))))</f>
        <v>-58300</v>
      </c>
      <c r="CN96" s="427">
        <f>-IF(CN$9&lt;'Operating Assumptions'!$D$53,0,IF(CN$6&gt;'Operating Assumptions'!$AA$8,0,IF('Operating Assumptions'!$L24="N/A",0,IF('Operating Assumptions'!$L24="$/Unit/Annual",(('Operating Assumptions'!$M24*CN$26)*CN$36)/12,IF('Operating Assumptions'!$L24="$/Unit/Month",('Operating Assumptions'!$M24*CN$26)*CN$36,IF('Operating Assumptions'!$L24="Fixed Amount",('Operating Assumptions'!$M24*CN$26)/12,IF('Operating Assumptions'!$L24="$/GSF",(('Operating Assumptions'!$M24*CN$26)*'Operating Assumptions'!$D$11)/12,IF('Operating Assumptions'!$L24="$/NSF",(('Operating Assumptions'!$M24*CN$26)*'Operating Assumptions'!$D$12)/12,IF('Operating Assumptions'!$L24="Tax Tab",INDEX('Taxes - TIF'!$C$30:$E$41,MATCH(CN$6,'Taxes - TIF'!$C$30:$C$41,0),MATCH("Tax Amount",'Taxes - TIF'!$C$30:$E$30,0))/12)))))))))</f>
        <v>-58850</v>
      </c>
      <c r="CO96" s="427">
        <f>-IF(CO$9&lt;'Operating Assumptions'!$D$53,0,IF(CO$6&gt;'Operating Assumptions'!$AA$8,0,IF('Operating Assumptions'!$L24="N/A",0,IF('Operating Assumptions'!$L24="$/Unit/Annual",(('Operating Assumptions'!$M24*CO$26)*CO$36)/12,IF('Operating Assumptions'!$L24="$/Unit/Month",('Operating Assumptions'!$M24*CO$26)*CO$36,IF('Operating Assumptions'!$L24="Fixed Amount",('Operating Assumptions'!$M24*CO$26)/12,IF('Operating Assumptions'!$L24="$/GSF",(('Operating Assumptions'!$M24*CO$26)*'Operating Assumptions'!$D$11)/12,IF('Operating Assumptions'!$L24="$/NSF",(('Operating Assumptions'!$M24*CO$26)*'Operating Assumptions'!$D$12)/12,IF('Operating Assumptions'!$L24="Tax Tab",INDEX('Taxes - TIF'!$C$30:$E$41,MATCH(CO$6,'Taxes - TIF'!$C$30:$C$41,0),MATCH("Tax Amount",'Taxes - TIF'!$C$30:$E$30,0))/12)))))))))</f>
        <v>-58850</v>
      </c>
      <c r="CP96" s="427">
        <f>-IF(CP$9&lt;'Operating Assumptions'!$D$53,0,IF(CP$6&gt;'Operating Assumptions'!$AA$8,0,IF('Operating Assumptions'!$L24="N/A",0,IF('Operating Assumptions'!$L24="$/Unit/Annual",(('Operating Assumptions'!$M24*CP$26)*CP$36)/12,IF('Operating Assumptions'!$L24="$/Unit/Month",('Operating Assumptions'!$M24*CP$26)*CP$36,IF('Operating Assumptions'!$L24="Fixed Amount",('Operating Assumptions'!$M24*CP$26)/12,IF('Operating Assumptions'!$L24="$/GSF",(('Operating Assumptions'!$M24*CP$26)*'Operating Assumptions'!$D$11)/12,IF('Operating Assumptions'!$L24="$/NSF",(('Operating Assumptions'!$M24*CP$26)*'Operating Assumptions'!$D$12)/12,IF('Operating Assumptions'!$L24="Tax Tab",INDEX('Taxes - TIF'!$C$30:$E$41,MATCH(CP$6,'Taxes - TIF'!$C$30:$C$41,0),MATCH("Tax Amount",'Taxes - TIF'!$C$30:$E$30,0))/12)))))))))</f>
        <v>-58850</v>
      </c>
      <c r="CQ96" s="427">
        <f>-IF(CQ$9&lt;'Operating Assumptions'!$D$53,0,IF(CQ$6&gt;'Operating Assumptions'!$AA$8,0,IF('Operating Assumptions'!$L24="N/A",0,IF('Operating Assumptions'!$L24="$/Unit/Annual",(('Operating Assumptions'!$M24*CQ$26)*CQ$36)/12,IF('Operating Assumptions'!$L24="$/Unit/Month",('Operating Assumptions'!$M24*CQ$26)*CQ$36,IF('Operating Assumptions'!$L24="Fixed Amount",('Operating Assumptions'!$M24*CQ$26)/12,IF('Operating Assumptions'!$L24="$/GSF",(('Operating Assumptions'!$M24*CQ$26)*'Operating Assumptions'!$D$11)/12,IF('Operating Assumptions'!$L24="$/NSF",(('Operating Assumptions'!$M24*CQ$26)*'Operating Assumptions'!$D$12)/12,IF('Operating Assumptions'!$L24="Tax Tab",INDEX('Taxes - TIF'!$C$30:$E$41,MATCH(CQ$6,'Taxes - TIF'!$C$30:$C$41,0),MATCH("Tax Amount",'Taxes - TIF'!$C$30:$E$30,0))/12)))))))))</f>
        <v>-58850</v>
      </c>
      <c r="CR96" s="427">
        <f>-IF(CR$9&lt;'Operating Assumptions'!$D$53,0,IF(CR$6&gt;'Operating Assumptions'!$AA$8,0,IF('Operating Assumptions'!$L24="N/A",0,IF('Operating Assumptions'!$L24="$/Unit/Annual",(('Operating Assumptions'!$M24*CR$26)*CR$36)/12,IF('Operating Assumptions'!$L24="$/Unit/Month",('Operating Assumptions'!$M24*CR$26)*CR$36,IF('Operating Assumptions'!$L24="Fixed Amount",('Operating Assumptions'!$M24*CR$26)/12,IF('Operating Assumptions'!$L24="$/GSF",(('Operating Assumptions'!$M24*CR$26)*'Operating Assumptions'!$D$11)/12,IF('Operating Assumptions'!$L24="$/NSF",(('Operating Assumptions'!$M24*CR$26)*'Operating Assumptions'!$D$12)/12,IF('Operating Assumptions'!$L24="Tax Tab",INDEX('Taxes - TIF'!$C$30:$E$41,MATCH(CR$6,'Taxes - TIF'!$C$30:$C$41,0),MATCH("Tax Amount",'Taxes - TIF'!$C$30:$E$30,0))/12)))))))))</f>
        <v>-58850</v>
      </c>
      <c r="CS96" s="427">
        <f>-IF(CS$9&lt;'Operating Assumptions'!$D$53,0,IF(CS$6&gt;'Operating Assumptions'!$AA$8,0,IF('Operating Assumptions'!$L24="N/A",0,IF('Operating Assumptions'!$L24="$/Unit/Annual",(('Operating Assumptions'!$M24*CS$26)*CS$36)/12,IF('Operating Assumptions'!$L24="$/Unit/Month",('Operating Assumptions'!$M24*CS$26)*CS$36,IF('Operating Assumptions'!$L24="Fixed Amount",('Operating Assumptions'!$M24*CS$26)/12,IF('Operating Assumptions'!$L24="$/GSF",(('Operating Assumptions'!$M24*CS$26)*'Operating Assumptions'!$D$11)/12,IF('Operating Assumptions'!$L24="$/NSF",(('Operating Assumptions'!$M24*CS$26)*'Operating Assumptions'!$D$12)/12,IF('Operating Assumptions'!$L24="Tax Tab",INDEX('Taxes - TIF'!$C$30:$E$41,MATCH(CS$6,'Taxes - TIF'!$C$30:$C$41,0),MATCH("Tax Amount",'Taxes - TIF'!$C$30:$E$30,0))/12)))))))))</f>
        <v>-58850</v>
      </c>
      <c r="CT96" s="427">
        <f>-IF(CT$9&lt;'Operating Assumptions'!$D$53,0,IF(CT$6&gt;'Operating Assumptions'!$AA$8,0,IF('Operating Assumptions'!$L24="N/A",0,IF('Operating Assumptions'!$L24="$/Unit/Annual",(('Operating Assumptions'!$M24*CT$26)*CT$36)/12,IF('Operating Assumptions'!$L24="$/Unit/Month",('Operating Assumptions'!$M24*CT$26)*CT$36,IF('Operating Assumptions'!$L24="Fixed Amount",('Operating Assumptions'!$M24*CT$26)/12,IF('Operating Assumptions'!$L24="$/GSF",(('Operating Assumptions'!$M24*CT$26)*'Operating Assumptions'!$D$11)/12,IF('Operating Assumptions'!$L24="$/NSF",(('Operating Assumptions'!$M24*CT$26)*'Operating Assumptions'!$D$12)/12,IF('Operating Assumptions'!$L24="Tax Tab",INDEX('Taxes - TIF'!$C$30:$E$41,MATCH(CT$6,'Taxes - TIF'!$C$30:$C$41,0),MATCH("Tax Amount",'Taxes - TIF'!$C$30:$E$30,0))/12)))))))))</f>
        <v>-58850</v>
      </c>
      <c r="CU96" s="427">
        <f>-IF(CU$9&lt;'Operating Assumptions'!$D$53,0,IF(CU$6&gt;'Operating Assumptions'!$AA$8,0,IF('Operating Assumptions'!$L24="N/A",0,IF('Operating Assumptions'!$L24="$/Unit/Annual",(('Operating Assumptions'!$M24*CU$26)*CU$36)/12,IF('Operating Assumptions'!$L24="$/Unit/Month",('Operating Assumptions'!$M24*CU$26)*CU$36,IF('Operating Assumptions'!$L24="Fixed Amount",('Operating Assumptions'!$M24*CU$26)/12,IF('Operating Assumptions'!$L24="$/GSF",(('Operating Assumptions'!$M24*CU$26)*'Operating Assumptions'!$D$11)/12,IF('Operating Assumptions'!$L24="$/NSF",(('Operating Assumptions'!$M24*CU$26)*'Operating Assumptions'!$D$12)/12,IF('Operating Assumptions'!$L24="Tax Tab",INDEX('Taxes - TIF'!$C$30:$E$41,MATCH(CU$6,'Taxes - TIF'!$C$30:$C$41,0),MATCH("Tax Amount",'Taxes - TIF'!$C$30:$E$30,0))/12)))))))))</f>
        <v>-58850</v>
      </c>
      <c r="CV96" s="427">
        <f>-IF(CV$9&lt;'Operating Assumptions'!$D$53,0,IF(CV$6&gt;'Operating Assumptions'!$AA$8,0,IF('Operating Assumptions'!$L24="N/A",0,IF('Operating Assumptions'!$L24="$/Unit/Annual",(('Operating Assumptions'!$M24*CV$26)*CV$36)/12,IF('Operating Assumptions'!$L24="$/Unit/Month",('Operating Assumptions'!$M24*CV$26)*CV$36,IF('Operating Assumptions'!$L24="Fixed Amount",('Operating Assumptions'!$M24*CV$26)/12,IF('Operating Assumptions'!$L24="$/GSF",(('Operating Assumptions'!$M24*CV$26)*'Operating Assumptions'!$D$11)/12,IF('Operating Assumptions'!$L24="$/NSF",(('Operating Assumptions'!$M24*CV$26)*'Operating Assumptions'!$D$12)/12,IF('Operating Assumptions'!$L24="Tax Tab",INDEX('Taxes - TIF'!$C$30:$E$41,MATCH(CV$6,'Taxes - TIF'!$C$30:$C$41,0),MATCH("Tax Amount",'Taxes - TIF'!$C$30:$E$30,0))/12)))))))))</f>
        <v>-58850</v>
      </c>
      <c r="CW96" s="427">
        <f>-IF(CW$9&lt;'Operating Assumptions'!$D$53,0,IF(CW$6&gt;'Operating Assumptions'!$AA$8,0,IF('Operating Assumptions'!$L24="N/A",0,IF('Operating Assumptions'!$L24="$/Unit/Annual",(('Operating Assumptions'!$M24*CW$26)*CW$36)/12,IF('Operating Assumptions'!$L24="$/Unit/Month",('Operating Assumptions'!$M24*CW$26)*CW$36,IF('Operating Assumptions'!$L24="Fixed Amount",('Operating Assumptions'!$M24*CW$26)/12,IF('Operating Assumptions'!$L24="$/GSF",(('Operating Assumptions'!$M24*CW$26)*'Operating Assumptions'!$D$11)/12,IF('Operating Assumptions'!$L24="$/NSF",(('Operating Assumptions'!$M24*CW$26)*'Operating Assumptions'!$D$12)/12,IF('Operating Assumptions'!$L24="Tax Tab",INDEX('Taxes - TIF'!$C$30:$E$41,MATCH(CW$6,'Taxes - TIF'!$C$30:$C$41,0),MATCH("Tax Amount",'Taxes - TIF'!$C$30:$E$30,0))/12)))))))))</f>
        <v>-58850</v>
      </c>
      <c r="CX96" s="427">
        <f>-IF(CX$9&lt;'Operating Assumptions'!$D$53,0,IF(CX$6&gt;'Operating Assumptions'!$AA$8,0,IF('Operating Assumptions'!$L24="N/A",0,IF('Operating Assumptions'!$L24="$/Unit/Annual",(('Operating Assumptions'!$M24*CX$26)*CX$36)/12,IF('Operating Assumptions'!$L24="$/Unit/Month",('Operating Assumptions'!$M24*CX$26)*CX$36,IF('Operating Assumptions'!$L24="Fixed Amount",('Operating Assumptions'!$M24*CX$26)/12,IF('Operating Assumptions'!$L24="$/GSF",(('Operating Assumptions'!$M24*CX$26)*'Operating Assumptions'!$D$11)/12,IF('Operating Assumptions'!$L24="$/NSF",(('Operating Assumptions'!$M24*CX$26)*'Operating Assumptions'!$D$12)/12,IF('Operating Assumptions'!$L24="Tax Tab",INDEX('Taxes - TIF'!$C$30:$E$41,MATCH(CX$6,'Taxes - TIF'!$C$30:$C$41,0),MATCH("Tax Amount",'Taxes - TIF'!$C$30:$E$30,0))/12)))))))))</f>
        <v>-58850</v>
      </c>
      <c r="CY96" s="427">
        <f>-IF(CY$9&lt;'Operating Assumptions'!$D$53,0,IF(CY$6&gt;'Operating Assumptions'!$AA$8,0,IF('Operating Assumptions'!$L24="N/A",0,IF('Operating Assumptions'!$L24="$/Unit/Annual",(('Operating Assumptions'!$M24*CY$26)*CY$36)/12,IF('Operating Assumptions'!$L24="$/Unit/Month",('Operating Assumptions'!$M24*CY$26)*CY$36,IF('Operating Assumptions'!$L24="Fixed Amount",('Operating Assumptions'!$M24*CY$26)/12,IF('Operating Assumptions'!$L24="$/GSF",(('Operating Assumptions'!$M24*CY$26)*'Operating Assumptions'!$D$11)/12,IF('Operating Assumptions'!$L24="$/NSF",(('Operating Assumptions'!$M24*CY$26)*'Operating Assumptions'!$D$12)/12,IF('Operating Assumptions'!$L24="Tax Tab",INDEX('Taxes - TIF'!$C$30:$E$41,MATCH(CY$6,'Taxes - TIF'!$C$30:$C$41,0),MATCH("Tax Amount",'Taxes - TIF'!$C$30:$E$30,0))/12)))))))))</f>
        <v>-58850</v>
      </c>
      <c r="CZ96" s="427">
        <f>-IF(CZ$9&lt;'Operating Assumptions'!$D$53,0,IF(CZ$6&gt;'Operating Assumptions'!$AA$8,0,IF('Operating Assumptions'!$L24="N/A",0,IF('Operating Assumptions'!$L24="$/Unit/Annual",(('Operating Assumptions'!$M24*CZ$26)*CZ$36)/12,IF('Operating Assumptions'!$L24="$/Unit/Month",('Operating Assumptions'!$M24*CZ$26)*CZ$36,IF('Operating Assumptions'!$L24="Fixed Amount",('Operating Assumptions'!$M24*CZ$26)/12,IF('Operating Assumptions'!$L24="$/GSF",(('Operating Assumptions'!$M24*CZ$26)*'Operating Assumptions'!$D$11)/12,IF('Operating Assumptions'!$L24="$/NSF",(('Operating Assumptions'!$M24*CZ$26)*'Operating Assumptions'!$D$12)/12,IF('Operating Assumptions'!$L24="Tax Tab",INDEX('Taxes - TIF'!$C$30:$E$41,MATCH(CZ$6,'Taxes - TIF'!$C$30:$C$41,0),MATCH("Tax Amount",'Taxes - TIF'!$C$30:$E$30,0))/12)))))))))</f>
        <v>-59400</v>
      </c>
      <c r="DA96" s="427">
        <f>-IF(DA$9&lt;'Operating Assumptions'!$D$53,0,IF(DA$6&gt;'Operating Assumptions'!$AA$8,0,IF('Operating Assumptions'!$L24="N/A",0,IF('Operating Assumptions'!$L24="$/Unit/Annual",(('Operating Assumptions'!$M24*DA$26)*DA$36)/12,IF('Operating Assumptions'!$L24="$/Unit/Month",('Operating Assumptions'!$M24*DA$26)*DA$36,IF('Operating Assumptions'!$L24="Fixed Amount",('Operating Assumptions'!$M24*DA$26)/12,IF('Operating Assumptions'!$L24="$/GSF",(('Operating Assumptions'!$M24*DA$26)*'Operating Assumptions'!$D$11)/12,IF('Operating Assumptions'!$L24="$/NSF",(('Operating Assumptions'!$M24*DA$26)*'Operating Assumptions'!$D$12)/12,IF('Operating Assumptions'!$L24="Tax Tab",INDEX('Taxes - TIF'!$C$30:$E$41,MATCH(DA$6,'Taxes - TIF'!$C$30:$C$41,0),MATCH("Tax Amount",'Taxes - TIF'!$C$30:$E$30,0))/12)))))))))</f>
        <v>-59400</v>
      </c>
      <c r="DB96" s="427">
        <f>-IF(DB$9&lt;'Operating Assumptions'!$D$53,0,IF(DB$6&gt;'Operating Assumptions'!$AA$8,0,IF('Operating Assumptions'!$L24="N/A",0,IF('Operating Assumptions'!$L24="$/Unit/Annual",(('Operating Assumptions'!$M24*DB$26)*DB$36)/12,IF('Operating Assumptions'!$L24="$/Unit/Month",('Operating Assumptions'!$M24*DB$26)*DB$36,IF('Operating Assumptions'!$L24="Fixed Amount",('Operating Assumptions'!$M24*DB$26)/12,IF('Operating Assumptions'!$L24="$/GSF",(('Operating Assumptions'!$M24*DB$26)*'Operating Assumptions'!$D$11)/12,IF('Operating Assumptions'!$L24="$/NSF",(('Operating Assumptions'!$M24*DB$26)*'Operating Assumptions'!$D$12)/12,IF('Operating Assumptions'!$L24="Tax Tab",INDEX('Taxes - TIF'!$C$30:$E$41,MATCH(DB$6,'Taxes - TIF'!$C$30:$C$41,0),MATCH("Tax Amount",'Taxes - TIF'!$C$30:$E$30,0))/12)))))))))</f>
        <v>-59400</v>
      </c>
      <c r="DC96" s="427">
        <f>-IF(DC$9&lt;'Operating Assumptions'!$D$53,0,IF(DC$6&gt;'Operating Assumptions'!$AA$8,0,IF('Operating Assumptions'!$L24="N/A",0,IF('Operating Assumptions'!$L24="$/Unit/Annual",(('Operating Assumptions'!$M24*DC$26)*DC$36)/12,IF('Operating Assumptions'!$L24="$/Unit/Month",('Operating Assumptions'!$M24*DC$26)*DC$36,IF('Operating Assumptions'!$L24="Fixed Amount",('Operating Assumptions'!$M24*DC$26)/12,IF('Operating Assumptions'!$L24="$/GSF",(('Operating Assumptions'!$M24*DC$26)*'Operating Assumptions'!$D$11)/12,IF('Operating Assumptions'!$L24="$/NSF",(('Operating Assumptions'!$M24*DC$26)*'Operating Assumptions'!$D$12)/12,IF('Operating Assumptions'!$L24="Tax Tab",INDEX('Taxes - TIF'!$C$30:$E$41,MATCH(DC$6,'Taxes - TIF'!$C$30:$C$41,0),MATCH("Tax Amount",'Taxes - TIF'!$C$30:$E$30,0))/12)))))))))</f>
        <v>-59400</v>
      </c>
      <c r="DD96" s="427">
        <f>-IF(DD$9&lt;'Operating Assumptions'!$D$53,0,IF(DD$6&gt;'Operating Assumptions'!$AA$8,0,IF('Operating Assumptions'!$L24="N/A",0,IF('Operating Assumptions'!$L24="$/Unit/Annual",(('Operating Assumptions'!$M24*DD$26)*DD$36)/12,IF('Operating Assumptions'!$L24="$/Unit/Month",('Operating Assumptions'!$M24*DD$26)*DD$36,IF('Operating Assumptions'!$L24="Fixed Amount",('Operating Assumptions'!$M24*DD$26)/12,IF('Operating Assumptions'!$L24="$/GSF",(('Operating Assumptions'!$M24*DD$26)*'Operating Assumptions'!$D$11)/12,IF('Operating Assumptions'!$L24="$/NSF",(('Operating Assumptions'!$M24*DD$26)*'Operating Assumptions'!$D$12)/12,IF('Operating Assumptions'!$L24="Tax Tab",INDEX('Taxes - TIF'!$C$30:$E$41,MATCH(DD$6,'Taxes - TIF'!$C$30:$C$41,0),MATCH("Tax Amount",'Taxes - TIF'!$C$30:$E$30,0))/12)))))))))</f>
        <v>-59400</v>
      </c>
      <c r="DE96" s="427">
        <f>-IF(DE$9&lt;'Operating Assumptions'!$D$53,0,IF(DE$6&gt;'Operating Assumptions'!$AA$8,0,IF('Operating Assumptions'!$L24="N/A",0,IF('Operating Assumptions'!$L24="$/Unit/Annual",(('Operating Assumptions'!$M24*DE$26)*DE$36)/12,IF('Operating Assumptions'!$L24="$/Unit/Month",('Operating Assumptions'!$M24*DE$26)*DE$36,IF('Operating Assumptions'!$L24="Fixed Amount",('Operating Assumptions'!$M24*DE$26)/12,IF('Operating Assumptions'!$L24="$/GSF",(('Operating Assumptions'!$M24*DE$26)*'Operating Assumptions'!$D$11)/12,IF('Operating Assumptions'!$L24="$/NSF",(('Operating Assumptions'!$M24*DE$26)*'Operating Assumptions'!$D$12)/12,IF('Operating Assumptions'!$L24="Tax Tab",INDEX('Taxes - TIF'!$C$30:$E$41,MATCH(DE$6,'Taxes - TIF'!$C$30:$C$41,0),MATCH("Tax Amount",'Taxes - TIF'!$C$30:$E$30,0))/12)))))))))</f>
        <v>-59400</v>
      </c>
      <c r="DF96" s="427">
        <f>-IF(DF$9&lt;'Operating Assumptions'!$D$53,0,IF(DF$6&gt;'Operating Assumptions'!$AA$8,0,IF('Operating Assumptions'!$L24="N/A",0,IF('Operating Assumptions'!$L24="$/Unit/Annual",(('Operating Assumptions'!$M24*DF$26)*DF$36)/12,IF('Operating Assumptions'!$L24="$/Unit/Month",('Operating Assumptions'!$M24*DF$26)*DF$36,IF('Operating Assumptions'!$L24="Fixed Amount",('Operating Assumptions'!$M24*DF$26)/12,IF('Operating Assumptions'!$L24="$/GSF",(('Operating Assumptions'!$M24*DF$26)*'Operating Assumptions'!$D$11)/12,IF('Operating Assumptions'!$L24="$/NSF",(('Operating Assumptions'!$M24*DF$26)*'Operating Assumptions'!$D$12)/12,IF('Operating Assumptions'!$L24="Tax Tab",INDEX('Taxes - TIF'!$C$30:$E$41,MATCH(DF$6,'Taxes - TIF'!$C$30:$C$41,0),MATCH("Tax Amount",'Taxes - TIF'!$C$30:$E$30,0))/12)))))))))</f>
        <v>-59400</v>
      </c>
      <c r="DG96" s="427">
        <f>-IF(DG$9&lt;'Operating Assumptions'!$D$53,0,IF(DG$6&gt;'Operating Assumptions'!$AA$8,0,IF('Operating Assumptions'!$L24="N/A",0,IF('Operating Assumptions'!$L24="$/Unit/Annual",(('Operating Assumptions'!$M24*DG$26)*DG$36)/12,IF('Operating Assumptions'!$L24="$/Unit/Month",('Operating Assumptions'!$M24*DG$26)*DG$36,IF('Operating Assumptions'!$L24="Fixed Amount",('Operating Assumptions'!$M24*DG$26)/12,IF('Operating Assumptions'!$L24="$/GSF",(('Operating Assumptions'!$M24*DG$26)*'Operating Assumptions'!$D$11)/12,IF('Operating Assumptions'!$L24="$/NSF",(('Operating Assumptions'!$M24*DG$26)*'Operating Assumptions'!$D$12)/12,IF('Operating Assumptions'!$L24="Tax Tab",INDEX('Taxes - TIF'!$C$30:$E$41,MATCH(DG$6,'Taxes - TIF'!$C$30:$C$41,0),MATCH("Tax Amount",'Taxes - TIF'!$C$30:$E$30,0))/12)))))))))</f>
        <v>-59400</v>
      </c>
      <c r="DH96" s="427">
        <f>-IF(DH$9&lt;'Operating Assumptions'!$D$53,0,IF(DH$6&gt;'Operating Assumptions'!$AA$8,0,IF('Operating Assumptions'!$L24="N/A",0,IF('Operating Assumptions'!$L24="$/Unit/Annual",(('Operating Assumptions'!$M24*DH$26)*DH$36)/12,IF('Operating Assumptions'!$L24="$/Unit/Month",('Operating Assumptions'!$M24*DH$26)*DH$36,IF('Operating Assumptions'!$L24="Fixed Amount",('Operating Assumptions'!$M24*DH$26)/12,IF('Operating Assumptions'!$L24="$/GSF",(('Operating Assumptions'!$M24*DH$26)*'Operating Assumptions'!$D$11)/12,IF('Operating Assumptions'!$L24="$/NSF",(('Operating Assumptions'!$M24*DH$26)*'Operating Assumptions'!$D$12)/12,IF('Operating Assumptions'!$L24="Tax Tab",INDEX('Taxes - TIF'!$C$30:$E$41,MATCH(DH$6,'Taxes - TIF'!$C$30:$C$41,0),MATCH("Tax Amount",'Taxes - TIF'!$C$30:$E$30,0))/12)))))))))</f>
        <v>-59400</v>
      </c>
      <c r="DI96" s="427">
        <f>-IF(DI$9&lt;'Operating Assumptions'!$D$53,0,IF(DI$6&gt;'Operating Assumptions'!$AA$8,0,IF('Operating Assumptions'!$L24="N/A",0,IF('Operating Assumptions'!$L24="$/Unit/Annual",(('Operating Assumptions'!$M24*DI$26)*DI$36)/12,IF('Operating Assumptions'!$L24="$/Unit/Month",('Operating Assumptions'!$M24*DI$26)*DI$36,IF('Operating Assumptions'!$L24="Fixed Amount",('Operating Assumptions'!$M24*DI$26)/12,IF('Operating Assumptions'!$L24="$/GSF",(('Operating Assumptions'!$M24*DI$26)*'Operating Assumptions'!$D$11)/12,IF('Operating Assumptions'!$L24="$/NSF",(('Operating Assumptions'!$M24*DI$26)*'Operating Assumptions'!$D$12)/12,IF('Operating Assumptions'!$L24="Tax Tab",INDEX('Taxes - TIF'!$C$30:$E$41,MATCH(DI$6,'Taxes - TIF'!$C$30:$C$41,0),MATCH("Tax Amount",'Taxes - TIF'!$C$30:$E$30,0))/12)))))))))</f>
        <v>-59400</v>
      </c>
      <c r="DJ96" s="427">
        <f>-IF(DJ$9&lt;'Operating Assumptions'!$D$53,0,IF(DJ$6&gt;'Operating Assumptions'!$AA$8,0,IF('Operating Assumptions'!$L24="N/A",0,IF('Operating Assumptions'!$L24="$/Unit/Annual",(('Operating Assumptions'!$M24*DJ$26)*DJ$36)/12,IF('Operating Assumptions'!$L24="$/Unit/Month",('Operating Assumptions'!$M24*DJ$26)*DJ$36,IF('Operating Assumptions'!$L24="Fixed Amount",('Operating Assumptions'!$M24*DJ$26)/12,IF('Operating Assumptions'!$L24="$/GSF",(('Operating Assumptions'!$M24*DJ$26)*'Operating Assumptions'!$D$11)/12,IF('Operating Assumptions'!$L24="$/NSF",(('Operating Assumptions'!$M24*DJ$26)*'Operating Assumptions'!$D$12)/12,IF('Operating Assumptions'!$L24="Tax Tab",INDEX('Taxes - TIF'!$C$30:$E$41,MATCH(DJ$6,'Taxes - TIF'!$C$30:$C$41,0),MATCH("Tax Amount",'Taxes - TIF'!$C$30:$E$30,0))/12)))))))))</f>
        <v>-59400</v>
      </c>
      <c r="DK96" s="427">
        <f>-IF(DK$9&lt;'Operating Assumptions'!$D$53,0,IF(DK$6&gt;'Operating Assumptions'!$AA$8,0,IF('Operating Assumptions'!$L24="N/A",0,IF('Operating Assumptions'!$L24="$/Unit/Annual",(('Operating Assumptions'!$M24*DK$26)*DK$36)/12,IF('Operating Assumptions'!$L24="$/Unit/Month",('Operating Assumptions'!$M24*DK$26)*DK$36,IF('Operating Assumptions'!$L24="Fixed Amount",('Operating Assumptions'!$M24*DK$26)/12,IF('Operating Assumptions'!$L24="$/GSF",(('Operating Assumptions'!$M24*DK$26)*'Operating Assumptions'!$D$11)/12,IF('Operating Assumptions'!$L24="$/NSF",(('Operating Assumptions'!$M24*DK$26)*'Operating Assumptions'!$D$12)/12,IF('Operating Assumptions'!$L24="Tax Tab",INDEX('Taxes - TIF'!$C$30:$E$41,MATCH(DK$6,'Taxes - TIF'!$C$30:$C$41,0),MATCH("Tax Amount",'Taxes - TIF'!$C$30:$E$30,0))/12)))))))))</f>
        <v>-59400</v>
      </c>
      <c r="DL96" s="427">
        <f>-IF(DL$9&lt;'Operating Assumptions'!$D$53,0,IF(DL$6&gt;'Operating Assumptions'!$AA$8,0,IF('Operating Assumptions'!$L24="N/A",0,IF('Operating Assumptions'!$L24="$/Unit/Annual",(('Operating Assumptions'!$M24*DL$26)*DL$36)/12,IF('Operating Assumptions'!$L24="$/Unit/Month",('Operating Assumptions'!$M24*DL$26)*DL$36,IF('Operating Assumptions'!$L24="Fixed Amount",('Operating Assumptions'!$M24*DL$26)/12,IF('Operating Assumptions'!$L24="$/GSF",(('Operating Assumptions'!$M24*DL$26)*'Operating Assumptions'!$D$11)/12,IF('Operating Assumptions'!$L24="$/NSF",(('Operating Assumptions'!$M24*DL$26)*'Operating Assumptions'!$D$12)/12,IF('Operating Assumptions'!$L24="Tax Tab",INDEX('Taxes - TIF'!$C$30:$E$41,MATCH(DL$6,'Taxes - TIF'!$C$30:$C$41,0),MATCH("Tax Amount",'Taxes - TIF'!$C$30:$E$30,0))/12)))))))))</f>
        <v>-59950</v>
      </c>
      <c r="DM96" s="427">
        <f>-IF(DM$9&lt;'Operating Assumptions'!$D$53,0,IF(DM$6&gt;'Operating Assumptions'!$AA$8,0,IF('Operating Assumptions'!$L24="N/A",0,IF('Operating Assumptions'!$L24="$/Unit/Annual",(('Operating Assumptions'!$M24*DM$26)*DM$36)/12,IF('Operating Assumptions'!$L24="$/Unit/Month",('Operating Assumptions'!$M24*DM$26)*DM$36,IF('Operating Assumptions'!$L24="Fixed Amount",('Operating Assumptions'!$M24*DM$26)/12,IF('Operating Assumptions'!$L24="$/GSF",(('Operating Assumptions'!$M24*DM$26)*'Operating Assumptions'!$D$11)/12,IF('Operating Assumptions'!$L24="$/NSF",(('Operating Assumptions'!$M24*DM$26)*'Operating Assumptions'!$D$12)/12,IF('Operating Assumptions'!$L24="Tax Tab",INDEX('Taxes - TIF'!$C$30:$E$41,MATCH(DM$6,'Taxes - TIF'!$C$30:$C$41,0),MATCH("Tax Amount",'Taxes - TIF'!$C$30:$E$30,0))/12)))))))))</f>
        <v>-59950</v>
      </c>
      <c r="DN96" s="427">
        <f>-IF(DN$9&lt;'Operating Assumptions'!$D$53,0,IF(DN$6&gt;'Operating Assumptions'!$AA$8,0,IF('Operating Assumptions'!$L24="N/A",0,IF('Operating Assumptions'!$L24="$/Unit/Annual",(('Operating Assumptions'!$M24*DN$26)*DN$36)/12,IF('Operating Assumptions'!$L24="$/Unit/Month",('Operating Assumptions'!$M24*DN$26)*DN$36,IF('Operating Assumptions'!$L24="Fixed Amount",('Operating Assumptions'!$M24*DN$26)/12,IF('Operating Assumptions'!$L24="$/GSF",(('Operating Assumptions'!$M24*DN$26)*'Operating Assumptions'!$D$11)/12,IF('Operating Assumptions'!$L24="$/NSF",(('Operating Assumptions'!$M24*DN$26)*'Operating Assumptions'!$D$12)/12,IF('Operating Assumptions'!$L24="Tax Tab",INDEX('Taxes - TIF'!$C$30:$E$41,MATCH(DN$6,'Taxes - TIF'!$C$30:$C$41,0),MATCH("Tax Amount",'Taxes - TIF'!$C$30:$E$30,0))/12)))))))))</f>
        <v>-59950</v>
      </c>
      <c r="DO96" s="427">
        <f>-IF(DO$9&lt;'Operating Assumptions'!$D$53,0,IF(DO$6&gt;'Operating Assumptions'!$AA$8,0,IF('Operating Assumptions'!$L24="N/A",0,IF('Operating Assumptions'!$L24="$/Unit/Annual",(('Operating Assumptions'!$M24*DO$26)*DO$36)/12,IF('Operating Assumptions'!$L24="$/Unit/Month",('Operating Assumptions'!$M24*DO$26)*DO$36,IF('Operating Assumptions'!$L24="Fixed Amount",('Operating Assumptions'!$M24*DO$26)/12,IF('Operating Assumptions'!$L24="$/GSF",(('Operating Assumptions'!$M24*DO$26)*'Operating Assumptions'!$D$11)/12,IF('Operating Assumptions'!$L24="$/NSF",(('Operating Assumptions'!$M24*DO$26)*'Operating Assumptions'!$D$12)/12,IF('Operating Assumptions'!$L24="Tax Tab",INDEX('Taxes - TIF'!$C$30:$E$41,MATCH(DO$6,'Taxes - TIF'!$C$30:$C$41,0),MATCH("Tax Amount",'Taxes - TIF'!$C$30:$E$30,0))/12)))))))))</f>
        <v>-59950</v>
      </c>
      <c r="DP96" s="427">
        <f>-IF(DP$9&lt;'Operating Assumptions'!$D$53,0,IF(DP$6&gt;'Operating Assumptions'!$AA$8,0,IF('Operating Assumptions'!$L24="N/A",0,IF('Operating Assumptions'!$L24="$/Unit/Annual",(('Operating Assumptions'!$M24*DP$26)*DP$36)/12,IF('Operating Assumptions'!$L24="$/Unit/Month",('Operating Assumptions'!$M24*DP$26)*DP$36,IF('Operating Assumptions'!$L24="Fixed Amount",('Operating Assumptions'!$M24*DP$26)/12,IF('Operating Assumptions'!$L24="$/GSF",(('Operating Assumptions'!$M24*DP$26)*'Operating Assumptions'!$D$11)/12,IF('Operating Assumptions'!$L24="$/NSF",(('Operating Assumptions'!$M24*DP$26)*'Operating Assumptions'!$D$12)/12,IF('Operating Assumptions'!$L24="Tax Tab",INDEX('Taxes - TIF'!$C$30:$E$41,MATCH(DP$6,'Taxes - TIF'!$C$30:$C$41,0),MATCH("Tax Amount",'Taxes - TIF'!$C$30:$E$30,0))/12)))))))))</f>
        <v>-59950</v>
      </c>
      <c r="DQ96" s="427">
        <f>-IF(DQ$9&lt;'Operating Assumptions'!$D$53,0,IF(DQ$6&gt;'Operating Assumptions'!$AA$8,0,IF('Operating Assumptions'!$L24="N/A",0,IF('Operating Assumptions'!$L24="$/Unit/Annual",(('Operating Assumptions'!$M24*DQ$26)*DQ$36)/12,IF('Operating Assumptions'!$L24="$/Unit/Month",('Operating Assumptions'!$M24*DQ$26)*DQ$36,IF('Operating Assumptions'!$L24="Fixed Amount",('Operating Assumptions'!$M24*DQ$26)/12,IF('Operating Assumptions'!$L24="$/GSF",(('Operating Assumptions'!$M24*DQ$26)*'Operating Assumptions'!$D$11)/12,IF('Operating Assumptions'!$L24="$/NSF",(('Operating Assumptions'!$M24*DQ$26)*'Operating Assumptions'!$D$12)/12,IF('Operating Assumptions'!$L24="Tax Tab",INDEX('Taxes - TIF'!$C$30:$E$41,MATCH(DQ$6,'Taxes - TIF'!$C$30:$C$41,0),MATCH("Tax Amount",'Taxes - TIF'!$C$30:$E$30,0))/12)))))))))</f>
        <v>-59950</v>
      </c>
      <c r="DR96" s="427">
        <f>-IF(DR$9&lt;'Operating Assumptions'!$D$53,0,IF(DR$6&gt;'Operating Assumptions'!$AA$8,0,IF('Operating Assumptions'!$L24="N/A",0,IF('Operating Assumptions'!$L24="$/Unit/Annual",(('Operating Assumptions'!$M24*DR$26)*DR$36)/12,IF('Operating Assumptions'!$L24="$/Unit/Month",('Operating Assumptions'!$M24*DR$26)*DR$36,IF('Operating Assumptions'!$L24="Fixed Amount",('Operating Assumptions'!$M24*DR$26)/12,IF('Operating Assumptions'!$L24="$/GSF",(('Operating Assumptions'!$M24*DR$26)*'Operating Assumptions'!$D$11)/12,IF('Operating Assumptions'!$L24="$/NSF",(('Operating Assumptions'!$M24*DR$26)*'Operating Assumptions'!$D$12)/12,IF('Operating Assumptions'!$L24="Tax Tab",INDEX('Taxes - TIF'!$C$30:$E$41,MATCH(DR$6,'Taxes - TIF'!$C$30:$C$41,0),MATCH("Tax Amount",'Taxes - TIF'!$C$30:$E$30,0))/12)))))))))</f>
        <v>-59950</v>
      </c>
      <c r="DS96" s="427">
        <f>-IF(DS$9&lt;'Operating Assumptions'!$D$53,0,IF(DS$6&gt;'Operating Assumptions'!$AA$8,0,IF('Operating Assumptions'!$L24="N/A",0,IF('Operating Assumptions'!$L24="$/Unit/Annual",(('Operating Assumptions'!$M24*DS$26)*DS$36)/12,IF('Operating Assumptions'!$L24="$/Unit/Month",('Operating Assumptions'!$M24*DS$26)*DS$36,IF('Operating Assumptions'!$L24="Fixed Amount",('Operating Assumptions'!$M24*DS$26)/12,IF('Operating Assumptions'!$L24="$/GSF",(('Operating Assumptions'!$M24*DS$26)*'Operating Assumptions'!$D$11)/12,IF('Operating Assumptions'!$L24="$/NSF",(('Operating Assumptions'!$M24*DS$26)*'Operating Assumptions'!$D$12)/12,IF('Operating Assumptions'!$L24="Tax Tab",INDEX('Taxes - TIF'!$C$30:$E$41,MATCH(DS$6,'Taxes - TIF'!$C$30:$C$41,0),MATCH("Tax Amount",'Taxes - TIF'!$C$30:$E$30,0))/12)))))))))</f>
        <v>-59950</v>
      </c>
      <c r="DT96" s="427">
        <f>-IF(DT$9&lt;'Operating Assumptions'!$D$53,0,IF(DT$6&gt;'Operating Assumptions'!$AA$8,0,IF('Operating Assumptions'!$L24="N/A",0,IF('Operating Assumptions'!$L24="$/Unit/Annual",(('Operating Assumptions'!$M24*DT$26)*DT$36)/12,IF('Operating Assumptions'!$L24="$/Unit/Month",('Operating Assumptions'!$M24*DT$26)*DT$36,IF('Operating Assumptions'!$L24="Fixed Amount",('Operating Assumptions'!$M24*DT$26)/12,IF('Operating Assumptions'!$L24="$/GSF",(('Operating Assumptions'!$M24*DT$26)*'Operating Assumptions'!$D$11)/12,IF('Operating Assumptions'!$L24="$/NSF",(('Operating Assumptions'!$M24*DT$26)*'Operating Assumptions'!$D$12)/12,IF('Operating Assumptions'!$L24="Tax Tab",INDEX('Taxes - TIF'!$C$30:$E$41,MATCH(DT$6,'Taxes - TIF'!$C$30:$C$41,0),MATCH("Tax Amount",'Taxes - TIF'!$C$30:$E$30,0))/12)))))))))</f>
        <v>-59950</v>
      </c>
      <c r="DU96" s="427">
        <f>-IF(DU$9&lt;'Operating Assumptions'!$D$53,0,IF(DU$6&gt;'Operating Assumptions'!$AA$8,0,IF('Operating Assumptions'!$L24="N/A",0,IF('Operating Assumptions'!$L24="$/Unit/Annual",(('Operating Assumptions'!$M24*DU$26)*DU$36)/12,IF('Operating Assumptions'!$L24="$/Unit/Month",('Operating Assumptions'!$M24*DU$26)*DU$36,IF('Operating Assumptions'!$L24="Fixed Amount",('Operating Assumptions'!$M24*DU$26)/12,IF('Operating Assumptions'!$L24="$/GSF",(('Operating Assumptions'!$M24*DU$26)*'Operating Assumptions'!$D$11)/12,IF('Operating Assumptions'!$L24="$/NSF",(('Operating Assumptions'!$M24*DU$26)*'Operating Assumptions'!$D$12)/12,IF('Operating Assumptions'!$L24="Tax Tab",INDEX('Taxes - TIF'!$C$30:$E$41,MATCH(DU$6,'Taxes - TIF'!$C$30:$C$41,0),MATCH("Tax Amount",'Taxes - TIF'!$C$30:$E$30,0))/12)))))))))</f>
        <v>-59950</v>
      </c>
      <c r="DV96" s="427">
        <f>-IF(DV$9&lt;'Operating Assumptions'!$D$53,0,IF(DV$6&gt;'Operating Assumptions'!$AA$8,0,IF('Operating Assumptions'!$L24="N/A",0,IF('Operating Assumptions'!$L24="$/Unit/Annual",(('Operating Assumptions'!$M24*DV$26)*DV$36)/12,IF('Operating Assumptions'!$L24="$/Unit/Month",('Operating Assumptions'!$M24*DV$26)*DV$36,IF('Operating Assumptions'!$L24="Fixed Amount",('Operating Assumptions'!$M24*DV$26)/12,IF('Operating Assumptions'!$L24="$/GSF",(('Operating Assumptions'!$M24*DV$26)*'Operating Assumptions'!$D$11)/12,IF('Operating Assumptions'!$L24="$/NSF",(('Operating Assumptions'!$M24*DV$26)*'Operating Assumptions'!$D$12)/12,IF('Operating Assumptions'!$L24="Tax Tab",INDEX('Taxes - TIF'!$C$30:$E$41,MATCH(DV$6,'Taxes - TIF'!$C$30:$C$41,0),MATCH("Tax Amount",'Taxes - TIF'!$C$30:$E$30,0))/12)))))))))</f>
        <v>-59950</v>
      </c>
      <c r="DW96" s="427">
        <f>-IF(DW$9&lt;'Operating Assumptions'!$D$53,0,IF(DW$6&gt;'Operating Assumptions'!$AA$8,0,IF('Operating Assumptions'!$L24="N/A",0,IF('Operating Assumptions'!$L24="$/Unit/Annual",(('Operating Assumptions'!$M24*DW$26)*DW$36)/12,IF('Operating Assumptions'!$L24="$/Unit/Month",('Operating Assumptions'!$M24*DW$26)*DW$36,IF('Operating Assumptions'!$L24="Fixed Amount",('Operating Assumptions'!$M24*DW$26)/12,IF('Operating Assumptions'!$L24="$/GSF",(('Operating Assumptions'!$M24*DW$26)*'Operating Assumptions'!$D$11)/12,IF('Operating Assumptions'!$L24="$/NSF",(('Operating Assumptions'!$M24*DW$26)*'Operating Assumptions'!$D$12)/12,IF('Operating Assumptions'!$L24="Tax Tab",INDEX('Taxes - TIF'!$C$30:$E$41,MATCH(DW$6,'Taxes - TIF'!$C$30:$C$41,0),MATCH("Tax Amount",'Taxes - TIF'!$C$30:$E$30,0))/12)))))))))</f>
        <v>-59950</v>
      </c>
      <c r="DX96" s="427">
        <f>-IF(DX$9&lt;'Operating Assumptions'!$D$53,0,IF(DX$6&gt;'Operating Assumptions'!$AA$8,0,IF('Operating Assumptions'!$L24="N/A",0,IF('Operating Assumptions'!$L24="$/Unit/Annual",(('Operating Assumptions'!$M24*DX$26)*DX$36)/12,IF('Operating Assumptions'!$L24="$/Unit/Month",('Operating Assumptions'!$M24*DX$26)*DX$36,IF('Operating Assumptions'!$L24="Fixed Amount",('Operating Assumptions'!$M24*DX$26)/12,IF('Operating Assumptions'!$L24="$/GSF",(('Operating Assumptions'!$M24*DX$26)*'Operating Assumptions'!$D$11)/12,IF('Operating Assumptions'!$L24="$/NSF",(('Operating Assumptions'!$M24*DX$26)*'Operating Assumptions'!$D$12)/12,IF('Operating Assumptions'!$L24="Tax Tab",INDEX('Taxes - TIF'!$C$30:$E$41,MATCH(DX$6,'Taxes - TIF'!$C$30:$C$41,0),MATCH("Tax Amount",'Taxes - TIF'!$C$30:$E$30,0))/12)))))))))</f>
        <v>-60500.000000000007</v>
      </c>
      <c r="DY96" s="427">
        <f>-IF(DY$9&lt;'Operating Assumptions'!$D$53,0,IF(DY$6&gt;'Operating Assumptions'!$AA$8,0,IF('Operating Assumptions'!$L24="N/A",0,IF('Operating Assumptions'!$L24="$/Unit/Annual",(('Operating Assumptions'!$M24*DY$26)*DY$36)/12,IF('Operating Assumptions'!$L24="$/Unit/Month",('Operating Assumptions'!$M24*DY$26)*DY$36,IF('Operating Assumptions'!$L24="Fixed Amount",('Operating Assumptions'!$M24*DY$26)/12,IF('Operating Assumptions'!$L24="$/GSF",(('Operating Assumptions'!$M24*DY$26)*'Operating Assumptions'!$D$11)/12,IF('Operating Assumptions'!$L24="$/NSF",(('Operating Assumptions'!$M24*DY$26)*'Operating Assumptions'!$D$12)/12,IF('Operating Assumptions'!$L24="Tax Tab",INDEX('Taxes - TIF'!$C$30:$E$41,MATCH(DY$6,'Taxes - TIF'!$C$30:$C$41,0),MATCH("Tax Amount",'Taxes - TIF'!$C$30:$E$30,0))/12)))))))))</f>
        <v>-60500.000000000007</v>
      </c>
      <c r="DZ96" s="427">
        <f>-IF(DZ$9&lt;'Operating Assumptions'!$D$53,0,IF(DZ$6&gt;'Operating Assumptions'!$AA$8,0,IF('Operating Assumptions'!$L24="N/A",0,IF('Operating Assumptions'!$L24="$/Unit/Annual",(('Operating Assumptions'!$M24*DZ$26)*DZ$36)/12,IF('Operating Assumptions'!$L24="$/Unit/Month",('Operating Assumptions'!$M24*DZ$26)*DZ$36,IF('Operating Assumptions'!$L24="Fixed Amount",('Operating Assumptions'!$M24*DZ$26)/12,IF('Operating Assumptions'!$L24="$/GSF",(('Operating Assumptions'!$M24*DZ$26)*'Operating Assumptions'!$D$11)/12,IF('Operating Assumptions'!$L24="$/NSF",(('Operating Assumptions'!$M24*DZ$26)*'Operating Assumptions'!$D$12)/12,IF('Operating Assumptions'!$L24="Tax Tab",INDEX('Taxes - TIF'!$C$30:$E$41,MATCH(DZ$6,'Taxes - TIF'!$C$30:$C$41,0),MATCH("Tax Amount",'Taxes - TIF'!$C$30:$E$30,0))/12)))))))))</f>
        <v>-60500.000000000007</v>
      </c>
      <c r="EA96" s="427">
        <f>-IF(EA$9&lt;'Operating Assumptions'!$D$53,0,IF(EA$6&gt;'Operating Assumptions'!$AA$8,0,IF('Operating Assumptions'!$L24="N/A",0,IF('Operating Assumptions'!$L24="$/Unit/Annual",(('Operating Assumptions'!$M24*EA$26)*EA$36)/12,IF('Operating Assumptions'!$L24="$/Unit/Month",('Operating Assumptions'!$M24*EA$26)*EA$36,IF('Operating Assumptions'!$L24="Fixed Amount",('Operating Assumptions'!$M24*EA$26)/12,IF('Operating Assumptions'!$L24="$/GSF",(('Operating Assumptions'!$M24*EA$26)*'Operating Assumptions'!$D$11)/12,IF('Operating Assumptions'!$L24="$/NSF",(('Operating Assumptions'!$M24*EA$26)*'Operating Assumptions'!$D$12)/12,IF('Operating Assumptions'!$L24="Tax Tab",INDEX('Taxes - TIF'!$C$30:$E$41,MATCH(EA$6,'Taxes - TIF'!$C$30:$C$41,0),MATCH("Tax Amount",'Taxes - TIF'!$C$30:$E$30,0))/12)))))))))</f>
        <v>-60500.000000000007</v>
      </c>
      <c r="EB96" s="427">
        <f>-IF(EB$9&lt;'Operating Assumptions'!$D$53,0,IF(EB$6&gt;'Operating Assumptions'!$AA$8,0,IF('Operating Assumptions'!$L24="N/A",0,IF('Operating Assumptions'!$L24="$/Unit/Annual",(('Operating Assumptions'!$M24*EB$26)*EB$36)/12,IF('Operating Assumptions'!$L24="$/Unit/Month",('Operating Assumptions'!$M24*EB$26)*EB$36,IF('Operating Assumptions'!$L24="Fixed Amount",('Operating Assumptions'!$M24*EB$26)/12,IF('Operating Assumptions'!$L24="$/GSF",(('Operating Assumptions'!$M24*EB$26)*'Operating Assumptions'!$D$11)/12,IF('Operating Assumptions'!$L24="$/NSF",(('Operating Assumptions'!$M24*EB$26)*'Operating Assumptions'!$D$12)/12,IF('Operating Assumptions'!$L24="Tax Tab",INDEX('Taxes - TIF'!$C$30:$E$41,MATCH(EB$6,'Taxes - TIF'!$C$30:$C$41,0),MATCH("Tax Amount",'Taxes - TIF'!$C$30:$E$30,0))/12)))))))))</f>
        <v>-60500.000000000007</v>
      </c>
      <c r="EC96" s="427">
        <f>-IF(EC$9&lt;'Operating Assumptions'!$D$53,0,IF(EC$6&gt;'Operating Assumptions'!$AA$8,0,IF('Operating Assumptions'!$L24="N/A",0,IF('Operating Assumptions'!$L24="$/Unit/Annual",(('Operating Assumptions'!$M24*EC$26)*EC$36)/12,IF('Operating Assumptions'!$L24="$/Unit/Month",('Operating Assumptions'!$M24*EC$26)*EC$36,IF('Operating Assumptions'!$L24="Fixed Amount",('Operating Assumptions'!$M24*EC$26)/12,IF('Operating Assumptions'!$L24="$/GSF",(('Operating Assumptions'!$M24*EC$26)*'Operating Assumptions'!$D$11)/12,IF('Operating Assumptions'!$L24="$/NSF",(('Operating Assumptions'!$M24*EC$26)*'Operating Assumptions'!$D$12)/12,IF('Operating Assumptions'!$L24="Tax Tab",INDEX('Taxes - TIF'!$C$30:$E$41,MATCH(EC$6,'Taxes - TIF'!$C$30:$C$41,0),MATCH("Tax Amount",'Taxes - TIF'!$C$30:$E$30,0))/12)))))))))</f>
        <v>-60500.000000000007</v>
      </c>
      <c r="ED96" s="427">
        <f>-IF(ED$9&lt;'Operating Assumptions'!$D$53,0,IF(ED$6&gt;'Operating Assumptions'!$AA$8,0,IF('Operating Assumptions'!$L24="N/A",0,IF('Operating Assumptions'!$L24="$/Unit/Annual",(('Operating Assumptions'!$M24*ED$26)*ED$36)/12,IF('Operating Assumptions'!$L24="$/Unit/Month",('Operating Assumptions'!$M24*ED$26)*ED$36,IF('Operating Assumptions'!$L24="Fixed Amount",('Operating Assumptions'!$M24*ED$26)/12,IF('Operating Assumptions'!$L24="$/GSF",(('Operating Assumptions'!$M24*ED$26)*'Operating Assumptions'!$D$11)/12,IF('Operating Assumptions'!$L24="$/NSF",(('Operating Assumptions'!$M24*ED$26)*'Operating Assumptions'!$D$12)/12,IF('Operating Assumptions'!$L24="Tax Tab",INDEX('Taxes - TIF'!$C$30:$E$41,MATCH(ED$6,'Taxes - TIF'!$C$30:$C$41,0),MATCH("Tax Amount",'Taxes - TIF'!$C$30:$E$30,0))/12)))))))))</f>
        <v>-60500.000000000007</v>
      </c>
      <c r="EE96" s="427">
        <f>-IF(EE$9&lt;'Operating Assumptions'!$D$53,0,IF(EE$6&gt;'Operating Assumptions'!$AA$8,0,IF('Operating Assumptions'!$L24="N/A",0,IF('Operating Assumptions'!$L24="$/Unit/Annual",(('Operating Assumptions'!$M24*EE$26)*EE$36)/12,IF('Operating Assumptions'!$L24="$/Unit/Month",('Operating Assumptions'!$M24*EE$26)*EE$36,IF('Operating Assumptions'!$L24="Fixed Amount",('Operating Assumptions'!$M24*EE$26)/12,IF('Operating Assumptions'!$L24="$/GSF",(('Operating Assumptions'!$M24*EE$26)*'Operating Assumptions'!$D$11)/12,IF('Operating Assumptions'!$L24="$/NSF",(('Operating Assumptions'!$M24*EE$26)*'Operating Assumptions'!$D$12)/12,IF('Operating Assumptions'!$L24="Tax Tab",INDEX('Taxes - TIF'!$C$30:$E$41,MATCH(EE$6,'Taxes - TIF'!$C$30:$C$41,0),MATCH("Tax Amount",'Taxes - TIF'!$C$30:$E$30,0))/12)))))))))</f>
        <v>-60500.000000000007</v>
      </c>
      <c r="EF96" s="427">
        <f>-IF(EF$9&lt;'Operating Assumptions'!$D$53,0,IF(EF$6&gt;'Operating Assumptions'!$AA$8,0,IF('Operating Assumptions'!$L24="N/A",0,IF('Operating Assumptions'!$L24="$/Unit/Annual",(('Operating Assumptions'!$M24*EF$26)*EF$36)/12,IF('Operating Assumptions'!$L24="$/Unit/Month",('Operating Assumptions'!$M24*EF$26)*EF$36,IF('Operating Assumptions'!$L24="Fixed Amount",('Operating Assumptions'!$M24*EF$26)/12,IF('Operating Assumptions'!$L24="$/GSF",(('Operating Assumptions'!$M24*EF$26)*'Operating Assumptions'!$D$11)/12,IF('Operating Assumptions'!$L24="$/NSF",(('Operating Assumptions'!$M24*EF$26)*'Operating Assumptions'!$D$12)/12,IF('Operating Assumptions'!$L24="Tax Tab",INDEX('Taxes - TIF'!$C$30:$E$41,MATCH(EF$6,'Taxes - TIF'!$C$30:$C$41,0),MATCH("Tax Amount",'Taxes - TIF'!$C$30:$E$30,0))/12)))))))))</f>
        <v>-60500.000000000007</v>
      </c>
      <c r="EG96" s="427">
        <f>-IF(EG$9&lt;'Operating Assumptions'!$D$53,0,IF(EG$6&gt;'Operating Assumptions'!$AA$8,0,IF('Operating Assumptions'!$L24="N/A",0,IF('Operating Assumptions'!$L24="$/Unit/Annual",(('Operating Assumptions'!$M24*EG$26)*EG$36)/12,IF('Operating Assumptions'!$L24="$/Unit/Month",('Operating Assumptions'!$M24*EG$26)*EG$36,IF('Operating Assumptions'!$L24="Fixed Amount",('Operating Assumptions'!$M24*EG$26)/12,IF('Operating Assumptions'!$L24="$/GSF",(('Operating Assumptions'!$M24*EG$26)*'Operating Assumptions'!$D$11)/12,IF('Operating Assumptions'!$L24="$/NSF",(('Operating Assumptions'!$M24*EG$26)*'Operating Assumptions'!$D$12)/12,IF('Operating Assumptions'!$L24="Tax Tab",INDEX('Taxes - TIF'!$C$30:$E$41,MATCH(EG$6,'Taxes - TIF'!$C$30:$C$41,0),MATCH("Tax Amount",'Taxes - TIF'!$C$30:$E$30,0))/12)))))))))</f>
        <v>-60500.000000000007</v>
      </c>
      <c r="EH96" s="427">
        <f>-IF(EH$9&lt;'Operating Assumptions'!$D$53,0,IF(EH$6&gt;'Operating Assumptions'!$AA$8,0,IF('Operating Assumptions'!$L24="N/A",0,IF('Operating Assumptions'!$L24="$/Unit/Annual",(('Operating Assumptions'!$M24*EH$26)*EH$36)/12,IF('Operating Assumptions'!$L24="$/Unit/Month",('Operating Assumptions'!$M24*EH$26)*EH$36,IF('Operating Assumptions'!$L24="Fixed Amount",('Operating Assumptions'!$M24*EH$26)/12,IF('Operating Assumptions'!$L24="$/GSF",(('Operating Assumptions'!$M24*EH$26)*'Operating Assumptions'!$D$11)/12,IF('Operating Assumptions'!$L24="$/NSF",(('Operating Assumptions'!$M24*EH$26)*'Operating Assumptions'!$D$12)/12,IF('Operating Assumptions'!$L24="Tax Tab",INDEX('Taxes - TIF'!$C$30:$E$41,MATCH(EH$6,'Taxes - TIF'!$C$30:$C$41,0),MATCH("Tax Amount",'Taxes - TIF'!$C$30:$E$30,0))/12)))))))))</f>
        <v>-60500.000000000007</v>
      </c>
      <c r="EI96" s="427">
        <f>-IF(EI$9&lt;'Operating Assumptions'!$D$53,0,IF(EI$6&gt;'Operating Assumptions'!$AA$8,0,IF('Operating Assumptions'!$L24="N/A",0,IF('Operating Assumptions'!$L24="$/Unit/Annual",(('Operating Assumptions'!$M24*EI$26)*EI$36)/12,IF('Operating Assumptions'!$L24="$/Unit/Month",('Operating Assumptions'!$M24*EI$26)*EI$36,IF('Operating Assumptions'!$L24="Fixed Amount",('Operating Assumptions'!$M24*EI$26)/12,IF('Operating Assumptions'!$L24="$/GSF",(('Operating Assumptions'!$M24*EI$26)*'Operating Assumptions'!$D$11)/12,IF('Operating Assumptions'!$L24="$/NSF",(('Operating Assumptions'!$M24*EI$26)*'Operating Assumptions'!$D$12)/12,IF('Operating Assumptions'!$L24="Tax Tab",INDEX('Taxes - TIF'!$C$30:$E$41,MATCH(EI$6,'Taxes - TIF'!$C$30:$C$41,0),MATCH("Tax Amount",'Taxes - TIF'!$C$30:$E$30,0))/12)))))))))</f>
        <v>-60500.000000000007</v>
      </c>
      <c r="EJ96" s="427">
        <f>-IF(EJ$9&lt;'Operating Assumptions'!$D$53,0,IF(EJ$6&gt;'Operating Assumptions'!$AA$8,0,IF('Operating Assumptions'!$L24="N/A",0,IF('Operating Assumptions'!$L24="$/Unit/Annual",(('Operating Assumptions'!$M24*EJ$26)*EJ$36)/12,IF('Operating Assumptions'!$L24="$/Unit/Month",('Operating Assumptions'!$M24*EJ$26)*EJ$36,IF('Operating Assumptions'!$L24="Fixed Amount",('Operating Assumptions'!$M24*EJ$26)/12,IF('Operating Assumptions'!$L24="$/GSF",(('Operating Assumptions'!$M24*EJ$26)*'Operating Assumptions'!$D$11)/12,IF('Operating Assumptions'!$L24="$/NSF",(('Operating Assumptions'!$M24*EJ$26)*'Operating Assumptions'!$D$12)/12,IF('Operating Assumptions'!$L24="Tax Tab",INDEX('Taxes - TIF'!$C$30:$E$41,MATCH(EJ$6,'Taxes - TIF'!$C$30:$C$41,0),MATCH("Tax Amount",'Taxes - TIF'!$C$30:$E$30,0))/12)))))))))</f>
        <v>-61050.000000000007</v>
      </c>
      <c r="EK96" s="427">
        <f>-IF(EK$9&lt;'Operating Assumptions'!$D$53,0,IF(EK$6&gt;'Operating Assumptions'!$AA$8,0,IF('Operating Assumptions'!$L24="N/A",0,IF('Operating Assumptions'!$L24="$/Unit/Annual",(('Operating Assumptions'!$M24*EK$26)*EK$36)/12,IF('Operating Assumptions'!$L24="$/Unit/Month",('Operating Assumptions'!$M24*EK$26)*EK$36,IF('Operating Assumptions'!$L24="Fixed Amount",('Operating Assumptions'!$M24*EK$26)/12,IF('Operating Assumptions'!$L24="$/GSF",(('Operating Assumptions'!$M24*EK$26)*'Operating Assumptions'!$D$11)/12,IF('Operating Assumptions'!$L24="$/NSF",(('Operating Assumptions'!$M24*EK$26)*'Operating Assumptions'!$D$12)/12,IF('Operating Assumptions'!$L24="Tax Tab",INDEX('Taxes - TIF'!$C$30:$E$41,MATCH(EK$6,'Taxes - TIF'!$C$30:$C$41,0),MATCH("Tax Amount",'Taxes - TIF'!$C$30:$E$30,0))/12)))))))))</f>
        <v>-61050.000000000007</v>
      </c>
      <c r="EL96" s="427">
        <f>-IF(EL$9&lt;'Operating Assumptions'!$D$53,0,IF(EL$6&gt;'Operating Assumptions'!$AA$8,0,IF('Operating Assumptions'!$L24="N/A",0,IF('Operating Assumptions'!$L24="$/Unit/Annual",(('Operating Assumptions'!$M24*EL$26)*EL$36)/12,IF('Operating Assumptions'!$L24="$/Unit/Month",('Operating Assumptions'!$M24*EL$26)*EL$36,IF('Operating Assumptions'!$L24="Fixed Amount",('Operating Assumptions'!$M24*EL$26)/12,IF('Operating Assumptions'!$L24="$/GSF",(('Operating Assumptions'!$M24*EL$26)*'Operating Assumptions'!$D$11)/12,IF('Operating Assumptions'!$L24="$/NSF",(('Operating Assumptions'!$M24*EL$26)*'Operating Assumptions'!$D$12)/12,IF('Operating Assumptions'!$L24="Tax Tab",INDEX('Taxes - TIF'!$C$30:$E$41,MATCH(EL$6,'Taxes - TIF'!$C$30:$C$41,0),MATCH("Tax Amount",'Taxes - TIF'!$C$30:$E$30,0))/12)))))))))</f>
        <v>-61050.000000000007</v>
      </c>
      <c r="EM96" s="427">
        <f>-IF(EM$9&lt;'Operating Assumptions'!$D$53,0,IF(EM$6&gt;'Operating Assumptions'!$AA$8,0,IF('Operating Assumptions'!$L24="N/A",0,IF('Operating Assumptions'!$L24="$/Unit/Annual",(('Operating Assumptions'!$M24*EM$26)*EM$36)/12,IF('Operating Assumptions'!$L24="$/Unit/Month",('Operating Assumptions'!$M24*EM$26)*EM$36,IF('Operating Assumptions'!$L24="Fixed Amount",('Operating Assumptions'!$M24*EM$26)/12,IF('Operating Assumptions'!$L24="$/GSF",(('Operating Assumptions'!$M24*EM$26)*'Operating Assumptions'!$D$11)/12,IF('Operating Assumptions'!$L24="$/NSF",(('Operating Assumptions'!$M24*EM$26)*'Operating Assumptions'!$D$12)/12,IF('Operating Assumptions'!$L24="Tax Tab",INDEX('Taxes - TIF'!$C$30:$E$41,MATCH(EM$6,'Taxes - TIF'!$C$30:$C$41,0),MATCH("Tax Amount",'Taxes - TIF'!$C$30:$E$30,0))/12)))))))))</f>
        <v>-61050.000000000007</v>
      </c>
      <c r="EN96" s="427">
        <f>-IF(EN$9&lt;'Operating Assumptions'!$D$53,0,IF(EN$6&gt;'Operating Assumptions'!$AA$8,0,IF('Operating Assumptions'!$L24="N/A",0,IF('Operating Assumptions'!$L24="$/Unit/Annual",(('Operating Assumptions'!$M24*EN$26)*EN$36)/12,IF('Operating Assumptions'!$L24="$/Unit/Month",('Operating Assumptions'!$M24*EN$26)*EN$36,IF('Operating Assumptions'!$L24="Fixed Amount",('Operating Assumptions'!$M24*EN$26)/12,IF('Operating Assumptions'!$L24="$/GSF",(('Operating Assumptions'!$M24*EN$26)*'Operating Assumptions'!$D$11)/12,IF('Operating Assumptions'!$L24="$/NSF",(('Operating Assumptions'!$M24*EN$26)*'Operating Assumptions'!$D$12)/12,IF('Operating Assumptions'!$L24="Tax Tab",INDEX('Taxes - TIF'!$C$30:$E$41,MATCH(EN$6,'Taxes - TIF'!$C$30:$C$41,0),MATCH("Tax Amount",'Taxes - TIF'!$C$30:$E$30,0))/12)))))))))</f>
        <v>-61050.000000000007</v>
      </c>
      <c r="EO96" s="427">
        <f>-IF(EO$9&lt;'Operating Assumptions'!$D$53,0,IF(EO$6&gt;'Operating Assumptions'!$AA$8,0,IF('Operating Assumptions'!$L24="N/A",0,IF('Operating Assumptions'!$L24="$/Unit/Annual",(('Operating Assumptions'!$M24*EO$26)*EO$36)/12,IF('Operating Assumptions'!$L24="$/Unit/Month",('Operating Assumptions'!$M24*EO$26)*EO$36,IF('Operating Assumptions'!$L24="Fixed Amount",('Operating Assumptions'!$M24*EO$26)/12,IF('Operating Assumptions'!$L24="$/GSF",(('Operating Assumptions'!$M24*EO$26)*'Operating Assumptions'!$D$11)/12,IF('Operating Assumptions'!$L24="$/NSF",(('Operating Assumptions'!$M24*EO$26)*'Operating Assumptions'!$D$12)/12,IF('Operating Assumptions'!$L24="Tax Tab",INDEX('Taxes - TIF'!$C$30:$E$41,MATCH(EO$6,'Taxes - TIF'!$C$30:$C$41,0),MATCH("Tax Amount",'Taxes - TIF'!$C$30:$E$30,0))/12)))))))))</f>
        <v>-61050.000000000007</v>
      </c>
      <c r="EP96" s="427">
        <f>-IF(EP$9&lt;'Operating Assumptions'!$D$53,0,IF(EP$6&gt;'Operating Assumptions'!$AA$8,0,IF('Operating Assumptions'!$L24="N/A",0,IF('Operating Assumptions'!$L24="$/Unit/Annual",(('Operating Assumptions'!$M24*EP$26)*EP$36)/12,IF('Operating Assumptions'!$L24="$/Unit/Month",('Operating Assumptions'!$M24*EP$26)*EP$36,IF('Operating Assumptions'!$L24="Fixed Amount",('Operating Assumptions'!$M24*EP$26)/12,IF('Operating Assumptions'!$L24="$/GSF",(('Operating Assumptions'!$M24*EP$26)*'Operating Assumptions'!$D$11)/12,IF('Operating Assumptions'!$L24="$/NSF",(('Operating Assumptions'!$M24*EP$26)*'Operating Assumptions'!$D$12)/12,IF('Operating Assumptions'!$L24="Tax Tab",INDEX('Taxes - TIF'!$C$30:$E$41,MATCH(EP$6,'Taxes - TIF'!$C$30:$C$41,0),MATCH("Tax Amount",'Taxes - TIF'!$C$30:$E$30,0))/12)))))))))</f>
        <v>-61050.000000000007</v>
      </c>
      <c r="EQ96" s="427">
        <f>-IF(EQ$9&lt;'Operating Assumptions'!$D$53,0,IF(EQ$6&gt;'Operating Assumptions'!$AA$8,0,IF('Operating Assumptions'!$L24="N/A",0,IF('Operating Assumptions'!$L24="$/Unit/Annual",(('Operating Assumptions'!$M24*EQ$26)*EQ$36)/12,IF('Operating Assumptions'!$L24="$/Unit/Month",('Operating Assumptions'!$M24*EQ$26)*EQ$36,IF('Operating Assumptions'!$L24="Fixed Amount",('Operating Assumptions'!$M24*EQ$26)/12,IF('Operating Assumptions'!$L24="$/GSF",(('Operating Assumptions'!$M24*EQ$26)*'Operating Assumptions'!$D$11)/12,IF('Operating Assumptions'!$L24="$/NSF",(('Operating Assumptions'!$M24*EQ$26)*'Operating Assumptions'!$D$12)/12,IF('Operating Assumptions'!$L24="Tax Tab",INDEX('Taxes - TIF'!$C$30:$E$41,MATCH(EQ$6,'Taxes - TIF'!$C$30:$C$41,0),MATCH("Tax Amount",'Taxes - TIF'!$C$30:$E$30,0))/12)))))))))</f>
        <v>-61050.000000000007</v>
      </c>
      <c r="ER96" s="427">
        <f>-IF(ER$9&lt;'Operating Assumptions'!$D$53,0,IF(ER$6&gt;'Operating Assumptions'!$AA$8,0,IF('Operating Assumptions'!$L24="N/A",0,IF('Operating Assumptions'!$L24="$/Unit/Annual",(('Operating Assumptions'!$M24*ER$26)*ER$36)/12,IF('Operating Assumptions'!$L24="$/Unit/Month",('Operating Assumptions'!$M24*ER$26)*ER$36,IF('Operating Assumptions'!$L24="Fixed Amount",('Operating Assumptions'!$M24*ER$26)/12,IF('Operating Assumptions'!$L24="$/GSF",(('Operating Assumptions'!$M24*ER$26)*'Operating Assumptions'!$D$11)/12,IF('Operating Assumptions'!$L24="$/NSF",(('Operating Assumptions'!$M24*ER$26)*'Operating Assumptions'!$D$12)/12,IF('Operating Assumptions'!$L24="Tax Tab",INDEX('Taxes - TIF'!$C$30:$E$41,MATCH(ER$6,'Taxes - TIF'!$C$30:$C$41,0),MATCH("Tax Amount",'Taxes - TIF'!$C$30:$E$30,0))/12)))))))))</f>
        <v>-61050.000000000007</v>
      </c>
      <c r="ES96" s="427">
        <f>-IF(ES$9&lt;'Operating Assumptions'!$D$53,0,IF(ES$6&gt;'Operating Assumptions'!$AA$8,0,IF('Operating Assumptions'!$L24="N/A",0,IF('Operating Assumptions'!$L24="$/Unit/Annual",(('Operating Assumptions'!$M24*ES$26)*ES$36)/12,IF('Operating Assumptions'!$L24="$/Unit/Month",('Operating Assumptions'!$M24*ES$26)*ES$36,IF('Operating Assumptions'!$L24="Fixed Amount",('Operating Assumptions'!$M24*ES$26)/12,IF('Operating Assumptions'!$L24="$/GSF",(('Operating Assumptions'!$M24*ES$26)*'Operating Assumptions'!$D$11)/12,IF('Operating Assumptions'!$L24="$/NSF",(('Operating Assumptions'!$M24*ES$26)*'Operating Assumptions'!$D$12)/12,IF('Operating Assumptions'!$L24="Tax Tab",INDEX('Taxes - TIF'!$C$30:$E$41,MATCH(ES$6,'Taxes - TIF'!$C$30:$C$41,0),MATCH("Tax Amount",'Taxes - TIF'!$C$30:$E$30,0))/12)))))))))</f>
        <v>-61050.000000000007</v>
      </c>
      <c r="ET96" s="427">
        <f>-IF(ET$9&lt;'Operating Assumptions'!$D$53,0,IF(ET$6&gt;'Operating Assumptions'!$AA$8,0,IF('Operating Assumptions'!$L24="N/A",0,IF('Operating Assumptions'!$L24="$/Unit/Annual",(('Operating Assumptions'!$M24*ET$26)*ET$36)/12,IF('Operating Assumptions'!$L24="$/Unit/Month",('Operating Assumptions'!$M24*ET$26)*ET$36,IF('Operating Assumptions'!$L24="Fixed Amount",('Operating Assumptions'!$M24*ET$26)/12,IF('Operating Assumptions'!$L24="$/GSF",(('Operating Assumptions'!$M24*ET$26)*'Operating Assumptions'!$D$11)/12,IF('Operating Assumptions'!$L24="$/NSF",(('Operating Assumptions'!$M24*ET$26)*'Operating Assumptions'!$D$12)/12,IF('Operating Assumptions'!$L24="Tax Tab",INDEX('Taxes - TIF'!$C$30:$E$41,MATCH(ET$6,'Taxes - TIF'!$C$30:$C$41,0),MATCH("Tax Amount",'Taxes - TIF'!$C$30:$E$30,0))/12)))))))))</f>
        <v>-61050.000000000007</v>
      </c>
      <c r="EU96" s="427">
        <f>-IF(EU$9&lt;'Operating Assumptions'!$D$53,0,IF(EU$6&gt;'Operating Assumptions'!$AA$8,0,IF('Operating Assumptions'!$L24="N/A",0,IF('Operating Assumptions'!$L24="$/Unit/Annual",(('Operating Assumptions'!$M24*EU$26)*EU$36)/12,IF('Operating Assumptions'!$L24="$/Unit/Month",('Operating Assumptions'!$M24*EU$26)*EU$36,IF('Operating Assumptions'!$L24="Fixed Amount",('Operating Assumptions'!$M24*EU$26)/12,IF('Operating Assumptions'!$L24="$/GSF",(('Operating Assumptions'!$M24*EU$26)*'Operating Assumptions'!$D$11)/12,IF('Operating Assumptions'!$L24="$/NSF",(('Operating Assumptions'!$M24*EU$26)*'Operating Assumptions'!$D$12)/12,IF('Operating Assumptions'!$L24="Tax Tab",INDEX('Taxes - TIF'!$C$30:$E$41,MATCH(EU$6,'Taxes - TIF'!$C$30:$C$41,0),MATCH("Tax Amount",'Taxes - TIF'!$C$30:$E$30,0))/12)))))))))</f>
        <v>-61050.000000000007</v>
      </c>
      <c r="EV96" s="427">
        <f>-IF(EV$9&lt;'Operating Assumptions'!$D$53,0,IF(EV$6&gt;'Operating Assumptions'!$AA$8,0,IF('Operating Assumptions'!$L24="N/A",0,IF('Operating Assumptions'!$L24="$/Unit/Annual",(('Operating Assumptions'!$M24*EV$26)*EV$36)/12,IF('Operating Assumptions'!$L24="$/Unit/Month",('Operating Assumptions'!$M24*EV$26)*EV$36,IF('Operating Assumptions'!$L24="Fixed Amount",('Operating Assumptions'!$M24*EV$26)/12,IF('Operating Assumptions'!$L24="$/GSF",(('Operating Assumptions'!$M24*EV$26)*'Operating Assumptions'!$D$11)/12,IF('Operating Assumptions'!$L24="$/NSF",(('Operating Assumptions'!$M24*EV$26)*'Operating Assumptions'!$D$12)/12,IF('Operating Assumptions'!$L24="Tax Tab",INDEX('Taxes - TIF'!$C$30:$E$41,MATCH(EV$6,'Taxes - TIF'!$C$30:$C$41,0),MATCH("Tax Amount",'Taxes - TIF'!$C$30:$E$30,0))/12)))))))))</f>
        <v>0</v>
      </c>
      <c r="EW96" s="427">
        <f>-IF(EW$9&lt;'Operating Assumptions'!$D$53,0,IF(EW$6&gt;'Operating Assumptions'!$AA$8,0,IF('Operating Assumptions'!$L24="N/A",0,IF('Operating Assumptions'!$L24="$/Unit/Annual",(('Operating Assumptions'!$M24*EW$26)*EW$36)/12,IF('Operating Assumptions'!$L24="$/Unit/Month",('Operating Assumptions'!$M24*EW$26)*EW$36,IF('Operating Assumptions'!$L24="Fixed Amount",('Operating Assumptions'!$M24*EW$26)/12,IF('Operating Assumptions'!$L24="$/GSF",(('Operating Assumptions'!$M24*EW$26)*'Operating Assumptions'!$D$11)/12,IF('Operating Assumptions'!$L24="$/NSF",(('Operating Assumptions'!$M24*EW$26)*'Operating Assumptions'!$D$12)/12,IF('Operating Assumptions'!$L24="Tax Tab",INDEX('Taxes - TIF'!$C$30:$E$41,MATCH(EW$6,'Taxes - TIF'!$C$30:$C$41,0),MATCH("Tax Amount",'Taxes - TIF'!$C$30:$E$30,0))/12)))))))))</f>
        <v>0</v>
      </c>
      <c r="EX96" s="427">
        <f>-IF(EX$9&lt;'Operating Assumptions'!$D$53,0,IF(EX$6&gt;'Operating Assumptions'!$AA$8,0,IF('Operating Assumptions'!$L24="N/A",0,IF('Operating Assumptions'!$L24="$/Unit/Annual",(('Operating Assumptions'!$M24*EX$26)*EX$36)/12,IF('Operating Assumptions'!$L24="$/Unit/Month",('Operating Assumptions'!$M24*EX$26)*EX$36,IF('Operating Assumptions'!$L24="Fixed Amount",('Operating Assumptions'!$M24*EX$26)/12,IF('Operating Assumptions'!$L24="$/GSF",(('Operating Assumptions'!$M24*EX$26)*'Operating Assumptions'!$D$11)/12,IF('Operating Assumptions'!$L24="$/NSF",(('Operating Assumptions'!$M24*EX$26)*'Operating Assumptions'!$D$12)/12,IF('Operating Assumptions'!$L24="Tax Tab",INDEX('Taxes - TIF'!$C$30:$E$41,MATCH(EX$6,'Taxes - TIF'!$C$30:$C$41,0),MATCH("Tax Amount",'Taxes - TIF'!$C$30:$E$30,0))/12)))))))))</f>
        <v>0</v>
      </c>
      <c r="EY96" s="427">
        <f>-IF(EY$9&lt;'Operating Assumptions'!$D$53,0,IF(EY$6&gt;'Operating Assumptions'!$AA$8,0,IF('Operating Assumptions'!$L24="N/A",0,IF('Operating Assumptions'!$L24="$/Unit/Annual",(('Operating Assumptions'!$M24*EY$26)*EY$36)/12,IF('Operating Assumptions'!$L24="$/Unit/Month",('Operating Assumptions'!$M24*EY$26)*EY$36,IF('Operating Assumptions'!$L24="Fixed Amount",('Operating Assumptions'!$M24*EY$26)/12,IF('Operating Assumptions'!$L24="$/GSF",(('Operating Assumptions'!$M24*EY$26)*'Operating Assumptions'!$D$11)/12,IF('Operating Assumptions'!$L24="$/NSF",(('Operating Assumptions'!$M24*EY$26)*'Operating Assumptions'!$D$12)/12,IF('Operating Assumptions'!$L24="Tax Tab",INDEX('Taxes - TIF'!$C$30:$E$41,MATCH(EY$6,'Taxes - TIF'!$C$30:$C$41,0),MATCH("Tax Amount",'Taxes - TIF'!$C$30:$E$30,0))/12)))))))))</f>
        <v>0</v>
      </c>
      <c r="EZ96" s="427">
        <f>-IF(EZ$9&lt;'Operating Assumptions'!$D$53,0,IF(EZ$6&gt;'Operating Assumptions'!$AA$8,0,IF('Operating Assumptions'!$L24="N/A",0,IF('Operating Assumptions'!$L24="$/Unit/Annual",(('Operating Assumptions'!$M24*EZ$26)*EZ$36)/12,IF('Operating Assumptions'!$L24="$/Unit/Month",('Operating Assumptions'!$M24*EZ$26)*EZ$36,IF('Operating Assumptions'!$L24="Fixed Amount",('Operating Assumptions'!$M24*EZ$26)/12,IF('Operating Assumptions'!$L24="$/GSF",(('Operating Assumptions'!$M24*EZ$26)*'Operating Assumptions'!$D$11)/12,IF('Operating Assumptions'!$L24="$/NSF",(('Operating Assumptions'!$M24*EZ$26)*'Operating Assumptions'!$D$12)/12,IF('Operating Assumptions'!$L24="Tax Tab",INDEX('Taxes - TIF'!$C$30:$E$41,MATCH(EZ$6,'Taxes - TIF'!$C$30:$C$41,0),MATCH("Tax Amount",'Taxes - TIF'!$C$30:$E$30,0))/12)))))))))</f>
        <v>0</v>
      </c>
      <c r="FA96" s="427">
        <f>-IF(FA$9&lt;'Operating Assumptions'!$D$53,0,IF(FA$6&gt;'Operating Assumptions'!$AA$8,0,IF('Operating Assumptions'!$L24="N/A",0,IF('Operating Assumptions'!$L24="$/Unit/Annual",(('Operating Assumptions'!$M24*FA$26)*FA$36)/12,IF('Operating Assumptions'!$L24="$/Unit/Month",('Operating Assumptions'!$M24*FA$26)*FA$36,IF('Operating Assumptions'!$L24="Fixed Amount",('Operating Assumptions'!$M24*FA$26)/12,IF('Operating Assumptions'!$L24="$/GSF",(('Operating Assumptions'!$M24*FA$26)*'Operating Assumptions'!$D$11)/12,IF('Operating Assumptions'!$L24="$/NSF",(('Operating Assumptions'!$M24*FA$26)*'Operating Assumptions'!$D$12)/12,IF('Operating Assumptions'!$L24="Tax Tab",INDEX('Taxes - TIF'!$C$30:$E$41,MATCH(FA$6,'Taxes - TIF'!$C$30:$C$41,0),MATCH("Tax Amount",'Taxes - TIF'!$C$30:$E$30,0))/12)))))))))</f>
        <v>0</v>
      </c>
      <c r="FB96" s="427">
        <f>-IF(FB$9&lt;'Operating Assumptions'!$D$53,0,IF(FB$6&gt;'Operating Assumptions'!$AA$8,0,IF('Operating Assumptions'!$L24="N/A",0,IF('Operating Assumptions'!$L24="$/Unit/Annual",(('Operating Assumptions'!$M24*FB$26)*FB$36)/12,IF('Operating Assumptions'!$L24="$/Unit/Month",('Operating Assumptions'!$M24*FB$26)*FB$36,IF('Operating Assumptions'!$L24="Fixed Amount",('Operating Assumptions'!$M24*FB$26)/12,IF('Operating Assumptions'!$L24="$/GSF",(('Operating Assumptions'!$M24*FB$26)*'Operating Assumptions'!$D$11)/12,IF('Operating Assumptions'!$L24="$/NSF",(('Operating Assumptions'!$M24*FB$26)*'Operating Assumptions'!$D$12)/12,IF('Operating Assumptions'!$L24="Tax Tab",INDEX('Taxes - TIF'!$C$30:$E$41,MATCH(FB$6,'Taxes - TIF'!$C$30:$C$41,0),MATCH("Tax Amount",'Taxes - TIF'!$C$30:$E$30,0))/12)))))))))</f>
        <v>0</v>
      </c>
      <c r="FC96" s="427">
        <f>-IF(FC$9&lt;'Operating Assumptions'!$D$53,0,IF(FC$6&gt;'Operating Assumptions'!$AA$8,0,IF('Operating Assumptions'!$L24="N/A",0,IF('Operating Assumptions'!$L24="$/Unit/Annual",(('Operating Assumptions'!$M24*FC$26)*FC$36)/12,IF('Operating Assumptions'!$L24="$/Unit/Month",('Operating Assumptions'!$M24*FC$26)*FC$36,IF('Operating Assumptions'!$L24="Fixed Amount",('Operating Assumptions'!$M24*FC$26)/12,IF('Operating Assumptions'!$L24="$/GSF",(('Operating Assumptions'!$M24*FC$26)*'Operating Assumptions'!$D$11)/12,IF('Operating Assumptions'!$L24="$/NSF",(('Operating Assumptions'!$M24*FC$26)*'Operating Assumptions'!$D$12)/12,IF('Operating Assumptions'!$L24="Tax Tab",INDEX('Taxes - TIF'!$C$30:$E$41,MATCH(FC$6,'Taxes - TIF'!$C$30:$C$41,0),MATCH("Tax Amount",'Taxes - TIF'!$C$30:$E$30,0))/12)))))))))</f>
        <v>0</v>
      </c>
      <c r="FD96" s="427">
        <f>-IF(FD$9&lt;'Operating Assumptions'!$D$53,0,IF(FD$6&gt;'Operating Assumptions'!$AA$8,0,IF('Operating Assumptions'!$L24="N/A",0,IF('Operating Assumptions'!$L24="$/Unit/Annual",(('Operating Assumptions'!$M24*FD$26)*FD$36)/12,IF('Operating Assumptions'!$L24="$/Unit/Month",('Operating Assumptions'!$M24*FD$26)*FD$36,IF('Operating Assumptions'!$L24="Fixed Amount",('Operating Assumptions'!$M24*FD$26)/12,IF('Operating Assumptions'!$L24="$/GSF",(('Operating Assumptions'!$M24*FD$26)*'Operating Assumptions'!$D$11)/12,IF('Operating Assumptions'!$L24="$/NSF",(('Operating Assumptions'!$M24*FD$26)*'Operating Assumptions'!$D$12)/12,IF('Operating Assumptions'!$L24="Tax Tab",INDEX('Taxes - TIF'!$C$30:$E$41,MATCH(FD$6,'Taxes - TIF'!$C$30:$C$41,0),MATCH("Tax Amount",'Taxes - TIF'!$C$30:$E$30,0))/12)))))))))</f>
        <v>0</v>
      </c>
      <c r="FE96" s="427">
        <f>-IF(FE$9&lt;'Operating Assumptions'!$D$53,0,IF(FE$6&gt;'Operating Assumptions'!$AA$8,0,IF('Operating Assumptions'!$L24="N/A",0,IF('Operating Assumptions'!$L24="$/Unit/Annual",(('Operating Assumptions'!$M24*FE$26)*FE$36)/12,IF('Operating Assumptions'!$L24="$/Unit/Month",('Operating Assumptions'!$M24*FE$26)*FE$36,IF('Operating Assumptions'!$L24="Fixed Amount",('Operating Assumptions'!$M24*FE$26)/12,IF('Operating Assumptions'!$L24="$/GSF",(('Operating Assumptions'!$M24*FE$26)*'Operating Assumptions'!$D$11)/12,IF('Operating Assumptions'!$L24="$/NSF",(('Operating Assumptions'!$M24*FE$26)*'Operating Assumptions'!$D$12)/12,IF('Operating Assumptions'!$L24="Tax Tab",INDEX('Taxes - TIF'!$C$30:$E$41,MATCH(FE$6,'Taxes - TIF'!$C$30:$C$41,0),MATCH("Tax Amount",'Taxes - TIF'!$C$30:$E$30,0))/12)))))))))</f>
        <v>0</v>
      </c>
      <c r="FF96" s="427">
        <f>-IF(FF$9&lt;'Operating Assumptions'!$D$53,0,IF(FF$6&gt;'Operating Assumptions'!$AA$8,0,IF('Operating Assumptions'!$L24="N/A",0,IF('Operating Assumptions'!$L24="$/Unit/Annual",(('Operating Assumptions'!$M24*FF$26)*FF$36)/12,IF('Operating Assumptions'!$L24="$/Unit/Month",('Operating Assumptions'!$M24*FF$26)*FF$36,IF('Operating Assumptions'!$L24="Fixed Amount",('Operating Assumptions'!$M24*FF$26)/12,IF('Operating Assumptions'!$L24="$/GSF",(('Operating Assumptions'!$M24*FF$26)*'Operating Assumptions'!$D$11)/12,IF('Operating Assumptions'!$L24="$/NSF",(('Operating Assumptions'!$M24*FF$26)*'Operating Assumptions'!$D$12)/12,IF('Operating Assumptions'!$L24="Tax Tab",INDEX('Taxes - TIF'!$C$30:$E$41,MATCH(FF$6,'Taxes - TIF'!$C$30:$C$41,0),MATCH("Tax Amount",'Taxes - TIF'!$C$30:$E$30,0))/12)))))))))</f>
        <v>0</v>
      </c>
      <c r="FG96" s="427">
        <f>-IF(FG$9&lt;'Operating Assumptions'!$D$53,0,IF(FG$6&gt;'Operating Assumptions'!$AA$8,0,IF('Operating Assumptions'!$L24="N/A",0,IF('Operating Assumptions'!$L24="$/Unit/Annual",(('Operating Assumptions'!$M24*FG$26)*FG$36)/12,IF('Operating Assumptions'!$L24="$/Unit/Month",('Operating Assumptions'!$M24*FG$26)*FG$36,IF('Operating Assumptions'!$L24="Fixed Amount",('Operating Assumptions'!$M24*FG$26)/12,IF('Operating Assumptions'!$L24="$/GSF",(('Operating Assumptions'!$M24*FG$26)*'Operating Assumptions'!$D$11)/12,IF('Operating Assumptions'!$L24="$/NSF",(('Operating Assumptions'!$M24*FG$26)*'Operating Assumptions'!$D$12)/12,IF('Operating Assumptions'!$L24="Tax Tab",INDEX('Taxes - TIF'!$C$30:$E$41,MATCH(FG$6,'Taxes - TIF'!$C$30:$C$41,0),MATCH("Tax Amount",'Taxes - TIF'!$C$30:$E$30,0))/12)))))))))</f>
        <v>0</v>
      </c>
      <c r="FH96" s="427">
        <f>-IF(FH$9&lt;'Operating Assumptions'!$D$53,0,IF(FH$6&gt;'Operating Assumptions'!$AA$8,0,IF('Operating Assumptions'!$L24="N/A",0,IF('Operating Assumptions'!$L24="$/Unit/Annual",(('Operating Assumptions'!$M24*FH$26)*FH$36)/12,IF('Operating Assumptions'!$L24="$/Unit/Month",('Operating Assumptions'!$M24*FH$26)*FH$36,IF('Operating Assumptions'!$L24="Fixed Amount",('Operating Assumptions'!$M24*FH$26)/12,IF('Operating Assumptions'!$L24="$/GSF",(('Operating Assumptions'!$M24*FH$26)*'Operating Assumptions'!$D$11)/12,IF('Operating Assumptions'!$L24="$/NSF",(('Operating Assumptions'!$M24*FH$26)*'Operating Assumptions'!$D$12)/12,IF('Operating Assumptions'!$L24="Tax Tab",INDEX('Taxes - TIF'!$C$30:$E$41,MATCH(FH$6,'Taxes - TIF'!$C$30:$C$41,0),MATCH("Tax Amount",'Taxes - TIF'!$C$30:$E$30,0))/12)))))))))</f>
        <v>0</v>
      </c>
      <c r="FI96" s="427">
        <f>-IF(FI$9&lt;'Operating Assumptions'!$D$53,0,IF(FI$6&gt;'Operating Assumptions'!$AA$8,0,IF('Operating Assumptions'!$L24="N/A",0,IF('Operating Assumptions'!$L24="$/Unit/Annual",(('Operating Assumptions'!$M24*FI$26)*FI$36)/12,IF('Operating Assumptions'!$L24="$/Unit/Month",('Operating Assumptions'!$M24*FI$26)*FI$36,IF('Operating Assumptions'!$L24="Fixed Amount",('Operating Assumptions'!$M24*FI$26)/12,IF('Operating Assumptions'!$L24="$/GSF",(('Operating Assumptions'!$M24*FI$26)*'Operating Assumptions'!$D$11)/12,IF('Operating Assumptions'!$L24="$/NSF",(('Operating Assumptions'!$M24*FI$26)*'Operating Assumptions'!$D$12)/12,IF('Operating Assumptions'!$L24="Tax Tab",INDEX('Taxes - TIF'!$C$30:$E$41,MATCH(FI$6,'Taxes - TIF'!$C$30:$C$41,0),MATCH("Tax Amount",'Taxes - TIF'!$C$30:$E$30,0))/12)))))))))</f>
        <v>0</v>
      </c>
      <c r="FJ96" s="427">
        <f>-IF(FJ$9&lt;'Operating Assumptions'!$D$53,0,IF(FJ$6&gt;'Operating Assumptions'!$AA$8,0,IF('Operating Assumptions'!$L24="N/A",0,IF('Operating Assumptions'!$L24="$/Unit/Annual",(('Operating Assumptions'!$M24*FJ$26)*FJ$36)/12,IF('Operating Assumptions'!$L24="$/Unit/Month",('Operating Assumptions'!$M24*FJ$26)*FJ$36,IF('Operating Assumptions'!$L24="Fixed Amount",('Operating Assumptions'!$M24*FJ$26)/12,IF('Operating Assumptions'!$L24="$/GSF",(('Operating Assumptions'!$M24*FJ$26)*'Operating Assumptions'!$D$11)/12,IF('Operating Assumptions'!$L24="$/NSF",(('Operating Assumptions'!$M24*FJ$26)*'Operating Assumptions'!$D$12)/12,IF('Operating Assumptions'!$L24="Tax Tab",INDEX('Taxes - TIF'!$C$30:$E$41,MATCH(FJ$6,'Taxes - TIF'!$C$30:$C$41,0),MATCH("Tax Amount",'Taxes - TIF'!$C$30:$E$30,0))/12)))))))))</f>
        <v>0</v>
      </c>
      <c r="FK96" s="427">
        <f>-IF(FK$9&lt;'Operating Assumptions'!$D$53,0,IF(FK$6&gt;'Operating Assumptions'!$AA$8,0,IF('Operating Assumptions'!$L24="N/A",0,IF('Operating Assumptions'!$L24="$/Unit/Annual",(('Operating Assumptions'!$M24*FK$26)*FK$36)/12,IF('Operating Assumptions'!$L24="$/Unit/Month",('Operating Assumptions'!$M24*FK$26)*FK$36,IF('Operating Assumptions'!$L24="Fixed Amount",('Operating Assumptions'!$M24*FK$26)/12,IF('Operating Assumptions'!$L24="$/GSF",(('Operating Assumptions'!$M24*FK$26)*'Operating Assumptions'!$D$11)/12,IF('Operating Assumptions'!$L24="$/NSF",(('Operating Assumptions'!$M24*FK$26)*'Operating Assumptions'!$D$12)/12,IF('Operating Assumptions'!$L24="Tax Tab",INDEX('Taxes - TIF'!$C$30:$E$41,MATCH(FK$6,'Taxes - TIF'!$C$30:$C$41,0),MATCH("Tax Amount",'Taxes - TIF'!$C$30:$E$30,0))/12)))))))))</f>
        <v>0</v>
      </c>
      <c r="FL96" s="427">
        <f>-IF(FL$9&lt;'Operating Assumptions'!$D$53,0,IF(FL$6&gt;'Operating Assumptions'!$AA$8,0,IF('Operating Assumptions'!$L24="N/A",0,IF('Operating Assumptions'!$L24="$/Unit/Annual",(('Operating Assumptions'!$M24*FL$26)*FL$36)/12,IF('Operating Assumptions'!$L24="$/Unit/Month",('Operating Assumptions'!$M24*FL$26)*FL$36,IF('Operating Assumptions'!$L24="Fixed Amount",('Operating Assumptions'!$M24*FL$26)/12,IF('Operating Assumptions'!$L24="$/GSF",(('Operating Assumptions'!$M24*FL$26)*'Operating Assumptions'!$D$11)/12,IF('Operating Assumptions'!$L24="$/NSF",(('Operating Assumptions'!$M24*FL$26)*'Operating Assumptions'!$D$12)/12,IF('Operating Assumptions'!$L24="Tax Tab",INDEX('Taxes - TIF'!$C$30:$E$41,MATCH(FL$6,'Taxes - TIF'!$C$30:$C$41,0),MATCH("Tax Amount",'Taxes - TIF'!$C$30:$E$30,0))/12)))))))))</f>
        <v>0</v>
      </c>
      <c r="FM96" s="427">
        <f>-IF(FM$9&lt;'Operating Assumptions'!$D$53,0,IF(FM$6&gt;'Operating Assumptions'!$AA$8,0,IF('Operating Assumptions'!$L24="N/A",0,IF('Operating Assumptions'!$L24="$/Unit/Annual",(('Operating Assumptions'!$M24*FM$26)*FM$36)/12,IF('Operating Assumptions'!$L24="$/Unit/Month",('Operating Assumptions'!$M24*FM$26)*FM$36,IF('Operating Assumptions'!$L24="Fixed Amount",('Operating Assumptions'!$M24*FM$26)/12,IF('Operating Assumptions'!$L24="$/GSF",(('Operating Assumptions'!$M24*FM$26)*'Operating Assumptions'!$D$11)/12,IF('Operating Assumptions'!$L24="$/NSF",(('Operating Assumptions'!$M24*FM$26)*'Operating Assumptions'!$D$12)/12,IF('Operating Assumptions'!$L24="Tax Tab",INDEX('Taxes - TIF'!$C$30:$E$41,MATCH(FM$6,'Taxes - TIF'!$C$30:$C$41,0),MATCH("Tax Amount",'Taxes - TIF'!$C$30:$E$30,0))/12)))))))))</f>
        <v>0</v>
      </c>
      <c r="FN96" s="427">
        <f>-IF(FN$9&lt;'Operating Assumptions'!$D$53,0,IF(FN$6&gt;'Operating Assumptions'!$AA$8,0,IF('Operating Assumptions'!$L24="N/A",0,IF('Operating Assumptions'!$L24="$/Unit/Annual",(('Operating Assumptions'!$M24*FN$26)*FN$36)/12,IF('Operating Assumptions'!$L24="$/Unit/Month",('Operating Assumptions'!$M24*FN$26)*FN$36,IF('Operating Assumptions'!$L24="Fixed Amount",('Operating Assumptions'!$M24*FN$26)/12,IF('Operating Assumptions'!$L24="$/GSF",(('Operating Assumptions'!$M24*FN$26)*'Operating Assumptions'!$D$11)/12,IF('Operating Assumptions'!$L24="$/NSF",(('Operating Assumptions'!$M24*FN$26)*'Operating Assumptions'!$D$12)/12,IF('Operating Assumptions'!$L24="Tax Tab",INDEX('Taxes - TIF'!$C$30:$E$41,MATCH(FN$6,'Taxes - TIF'!$C$30:$C$41,0),MATCH("Tax Amount",'Taxes - TIF'!$C$30:$E$30,0))/12)))))))))</f>
        <v>0</v>
      </c>
      <c r="FO96" s="427">
        <f>-IF(FO$9&lt;'Operating Assumptions'!$D$53,0,IF(FO$6&gt;'Operating Assumptions'!$AA$8,0,IF('Operating Assumptions'!$L24="N/A",0,IF('Operating Assumptions'!$L24="$/Unit/Annual",(('Operating Assumptions'!$M24*FO$26)*FO$36)/12,IF('Operating Assumptions'!$L24="$/Unit/Month",('Operating Assumptions'!$M24*FO$26)*FO$36,IF('Operating Assumptions'!$L24="Fixed Amount",('Operating Assumptions'!$M24*FO$26)/12,IF('Operating Assumptions'!$L24="$/GSF",(('Operating Assumptions'!$M24*FO$26)*'Operating Assumptions'!$D$11)/12,IF('Operating Assumptions'!$L24="$/NSF",(('Operating Assumptions'!$M24*FO$26)*'Operating Assumptions'!$D$12)/12,IF('Operating Assumptions'!$L24="Tax Tab",INDEX('Taxes - TIF'!$C$30:$E$41,MATCH(FO$6,'Taxes - TIF'!$C$30:$C$41,0),MATCH("Tax Amount",'Taxes - TIF'!$C$30:$E$30,0))/12)))))))))</f>
        <v>0</v>
      </c>
      <c r="FP96" s="427">
        <f>-IF(FP$9&lt;'Operating Assumptions'!$D$53,0,IF(FP$6&gt;'Operating Assumptions'!$AA$8,0,IF('Operating Assumptions'!$L24="N/A",0,IF('Operating Assumptions'!$L24="$/Unit/Annual",(('Operating Assumptions'!$M24*FP$26)*FP$36)/12,IF('Operating Assumptions'!$L24="$/Unit/Month",('Operating Assumptions'!$M24*FP$26)*FP$36,IF('Operating Assumptions'!$L24="Fixed Amount",('Operating Assumptions'!$M24*FP$26)/12,IF('Operating Assumptions'!$L24="$/GSF",(('Operating Assumptions'!$M24*FP$26)*'Operating Assumptions'!$D$11)/12,IF('Operating Assumptions'!$L24="$/NSF",(('Operating Assumptions'!$M24*FP$26)*'Operating Assumptions'!$D$12)/12,IF('Operating Assumptions'!$L24="Tax Tab",INDEX('Taxes - TIF'!$C$30:$E$41,MATCH(FP$6,'Taxes - TIF'!$C$30:$C$41,0),MATCH("Tax Amount",'Taxes - TIF'!$C$30:$E$30,0))/12)))))))))</f>
        <v>0</v>
      </c>
      <c r="FQ96" s="427">
        <f>-IF(FQ$9&lt;'Operating Assumptions'!$D$53,0,IF(FQ$6&gt;'Operating Assumptions'!$AA$8,0,IF('Operating Assumptions'!$L24="N/A",0,IF('Operating Assumptions'!$L24="$/Unit/Annual",(('Operating Assumptions'!$M24*FQ$26)*FQ$36)/12,IF('Operating Assumptions'!$L24="$/Unit/Month",('Operating Assumptions'!$M24*FQ$26)*FQ$36,IF('Operating Assumptions'!$L24="Fixed Amount",('Operating Assumptions'!$M24*FQ$26)/12,IF('Operating Assumptions'!$L24="$/GSF",(('Operating Assumptions'!$M24*FQ$26)*'Operating Assumptions'!$D$11)/12,IF('Operating Assumptions'!$L24="$/NSF",(('Operating Assumptions'!$M24*FQ$26)*'Operating Assumptions'!$D$12)/12,IF('Operating Assumptions'!$L24="Tax Tab",INDEX('Taxes - TIF'!$C$30:$E$41,MATCH(FQ$6,'Taxes - TIF'!$C$30:$C$41,0),MATCH("Tax Amount",'Taxes - TIF'!$C$30:$E$30,0))/12)))))))))</f>
        <v>0</v>
      </c>
      <c r="FR96" s="427">
        <f>-IF(FR$9&lt;'Operating Assumptions'!$D$53,0,IF(FR$6&gt;'Operating Assumptions'!$AA$8,0,IF('Operating Assumptions'!$L24="N/A",0,IF('Operating Assumptions'!$L24="$/Unit/Annual",(('Operating Assumptions'!$M24*FR$26)*FR$36)/12,IF('Operating Assumptions'!$L24="$/Unit/Month",('Operating Assumptions'!$M24*FR$26)*FR$36,IF('Operating Assumptions'!$L24="Fixed Amount",('Operating Assumptions'!$M24*FR$26)/12,IF('Operating Assumptions'!$L24="$/GSF",(('Operating Assumptions'!$M24*FR$26)*'Operating Assumptions'!$D$11)/12,IF('Operating Assumptions'!$L24="$/NSF",(('Operating Assumptions'!$M24*FR$26)*'Operating Assumptions'!$D$12)/12,IF('Operating Assumptions'!$L24="Tax Tab",INDEX('Taxes - TIF'!$C$30:$E$41,MATCH(FR$6,'Taxes - TIF'!$C$30:$C$41,0),MATCH("Tax Amount",'Taxes - TIF'!$C$30:$E$30,0))/12)))))))))</f>
        <v>0</v>
      </c>
      <c r="FS96" s="427">
        <f>-IF(FS$9&lt;'Operating Assumptions'!$D$53,0,IF(FS$6&gt;'Operating Assumptions'!$AA$8,0,IF('Operating Assumptions'!$L24="N/A",0,IF('Operating Assumptions'!$L24="$/Unit/Annual",(('Operating Assumptions'!$M24*FS$26)*FS$36)/12,IF('Operating Assumptions'!$L24="$/Unit/Month",('Operating Assumptions'!$M24*FS$26)*FS$36,IF('Operating Assumptions'!$L24="Fixed Amount",('Operating Assumptions'!$M24*FS$26)/12,IF('Operating Assumptions'!$L24="$/GSF",(('Operating Assumptions'!$M24*FS$26)*'Operating Assumptions'!$D$11)/12,IF('Operating Assumptions'!$L24="$/NSF",(('Operating Assumptions'!$M24*FS$26)*'Operating Assumptions'!$D$12)/12,IF('Operating Assumptions'!$L24="Tax Tab",INDEX('Taxes - TIF'!$C$30:$E$41,MATCH(FS$6,'Taxes - TIF'!$C$30:$C$41,0),MATCH("Tax Amount",'Taxes - TIF'!$C$30:$E$30,0))/12)))))))))</f>
        <v>0</v>
      </c>
      <c r="FT96" s="427">
        <f>-IF(FT$9&lt;'Operating Assumptions'!$D$53,0,IF(FT$6&gt;'Operating Assumptions'!$AA$8,0,IF('Operating Assumptions'!$L24="N/A",0,IF('Operating Assumptions'!$L24="$/Unit/Annual",(('Operating Assumptions'!$M24*FT$26)*FT$36)/12,IF('Operating Assumptions'!$L24="$/Unit/Month",('Operating Assumptions'!$M24*FT$26)*FT$36,IF('Operating Assumptions'!$L24="Fixed Amount",('Operating Assumptions'!$M24*FT$26)/12,IF('Operating Assumptions'!$L24="$/GSF",(('Operating Assumptions'!$M24*FT$26)*'Operating Assumptions'!$D$11)/12,IF('Operating Assumptions'!$L24="$/NSF",(('Operating Assumptions'!$M24*FT$26)*'Operating Assumptions'!$D$12)/12,IF('Operating Assumptions'!$L24="Tax Tab",INDEX('Taxes - TIF'!$C$30:$E$41,MATCH(FT$6,'Taxes - TIF'!$C$30:$C$41,0),MATCH("Tax Amount",'Taxes - TIF'!$C$30:$E$30,0))/12)))))))))</f>
        <v>0</v>
      </c>
      <c r="FU96" s="43"/>
      <c r="FV96" s="34"/>
      <c r="FW96" s="34"/>
      <c r="FX96" s="34"/>
      <c r="FY96" s="34"/>
      <c r="FZ96" s="34"/>
    </row>
    <row r="97" spans="1:182" s="89" customFormat="1" ht="13.5" x14ac:dyDescent="0.25">
      <c r="A97" s="34"/>
      <c r="B97" s="128" t="str">
        <f>'Operating Assumptions'!K25</f>
        <v>Insurance</v>
      </c>
      <c r="C97" s="34"/>
      <c r="D97" s="34"/>
      <c r="E97" s="34"/>
      <c r="F97" s="434">
        <f>SUM(H97:FT97)</f>
        <v>-2535412.5</v>
      </c>
      <c r="G97" s="34"/>
      <c r="H97" s="427">
        <f>-IF(H$9&lt;'Operating Assumptions'!$D$53,0,IF(H$6&gt;'Operating Assumptions'!$AA$8,0,IF('Operating Assumptions'!$L25="N/A",0,IF('Operating Assumptions'!$L25="$/Unit/Annual",(('Operating Assumptions'!$M25*H$25)*H$36)/12,IF('Operating Assumptions'!$L25="$/Unit/Month",('Operating Assumptions'!$M25*H$25)*H$36,IF('Operating Assumptions'!$L25="Fixed Amount",('Operating Assumptions'!$M25*H$25)/12,IF('Operating Assumptions'!$L25="$/GSF",(('Operating Assumptions'!$M25*H$25)*'Operating Assumptions'!$D$11)/12,IF('Operating Assumptions'!$L25="$/NSF",(('Operating Assumptions'!$M25*H$25)*'Operating Assumptions'!$D$12)/12))))))))</f>
        <v>0</v>
      </c>
      <c r="I97" s="427">
        <f>-IF(I$9&lt;'Operating Assumptions'!$D$53,0,IF(I$6&gt;'Operating Assumptions'!$AA$8,0,IF('Operating Assumptions'!$L25="N/A",0,IF('Operating Assumptions'!$L25="$/Unit/Annual",(('Operating Assumptions'!$M25*I$25)*I$36)/12,IF('Operating Assumptions'!$L25="$/Unit/Month",('Operating Assumptions'!$M25*I$25)*I$36,IF('Operating Assumptions'!$L25="Fixed Amount",('Operating Assumptions'!$M25*I$25)/12,IF('Operating Assumptions'!$L25="$/GSF",(('Operating Assumptions'!$M25*I$25)*'Operating Assumptions'!$D$11)/12,IF('Operating Assumptions'!$L25="$/NSF",(('Operating Assumptions'!$M25*I$25)*'Operating Assumptions'!$D$12)/12))))))))</f>
        <v>0</v>
      </c>
      <c r="J97" s="427">
        <f>-IF(J$9&lt;'Operating Assumptions'!$D$53,0,IF(J$6&gt;'Operating Assumptions'!$AA$8,0,IF('Operating Assumptions'!$L25="N/A",0,IF('Operating Assumptions'!$L25="$/Unit/Annual",(('Operating Assumptions'!$M25*J$25)*J$36)/12,IF('Operating Assumptions'!$L25="$/Unit/Month",('Operating Assumptions'!$M25*J$25)*J$36,IF('Operating Assumptions'!$L25="Fixed Amount",('Operating Assumptions'!$M25*J$25)/12,IF('Operating Assumptions'!$L25="$/GSF",(('Operating Assumptions'!$M25*J$25)*'Operating Assumptions'!$D$11)/12,IF('Operating Assumptions'!$L25="$/NSF",(('Operating Assumptions'!$M25*J$25)*'Operating Assumptions'!$D$12)/12))))))))</f>
        <v>0</v>
      </c>
      <c r="K97" s="427">
        <f>-IF(K$9&lt;'Operating Assumptions'!$D$53,0,IF(K$6&gt;'Operating Assumptions'!$AA$8,0,IF('Operating Assumptions'!$L25="N/A",0,IF('Operating Assumptions'!$L25="$/Unit/Annual",(('Operating Assumptions'!$M25*K$25)*K$36)/12,IF('Operating Assumptions'!$L25="$/Unit/Month",('Operating Assumptions'!$M25*K$25)*K$36,IF('Operating Assumptions'!$L25="Fixed Amount",('Operating Assumptions'!$M25*K$25)/12,IF('Operating Assumptions'!$L25="$/GSF",(('Operating Assumptions'!$M25*K$25)*'Operating Assumptions'!$D$11)/12,IF('Operating Assumptions'!$L25="$/NSF",(('Operating Assumptions'!$M25*K$25)*'Operating Assumptions'!$D$12)/12))))))))</f>
        <v>0</v>
      </c>
      <c r="L97" s="427">
        <f>-IF(L$9&lt;'Operating Assumptions'!$D$53,0,IF(L$6&gt;'Operating Assumptions'!$AA$8,0,IF('Operating Assumptions'!$L25="N/A",0,IF('Operating Assumptions'!$L25="$/Unit/Annual",(('Operating Assumptions'!$M25*L$25)*L$36)/12,IF('Operating Assumptions'!$L25="$/Unit/Month",('Operating Assumptions'!$M25*L$25)*L$36,IF('Operating Assumptions'!$L25="Fixed Amount",('Operating Assumptions'!$M25*L$25)/12,IF('Operating Assumptions'!$L25="$/GSF",(('Operating Assumptions'!$M25*L$25)*'Operating Assumptions'!$D$11)/12,IF('Operating Assumptions'!$L25="$/NSF",(('Operating Assumptions'!$M25*L$25)*'Operating Assumptions'!$D$12)/12))))))))</f>
        <v>0</v>
      </c>
      <c r="M97" s="427">
        <f>-IF(M$9&lt;'Operating Assumptions'!$D$53,0,IF(M$6&gt;'Operating Assumptions'!$AA$8,0,IF('Operating Assumptions'!$L25="N/A",0,IF('Operating Assumptions'!$L25="$/Unit/Annual",(('Operating Assumptions'!$M25*M$25)*M$36)/12,IF('Operating Assumptions'!$L25="$/Unit/Month",('Operating Assumptions'!$M25*M$25)*M$36,IF('Operating Assumptions'!$L25="Fixed Amount",('Operating Assumptions'!$M25*M$25)/12,IF('Operating Assumptions'!$L25="$/GSF",(('Operating Assumptions'!$M25*M$25)*'Operating Assumptions'!$D$11)/12,IF('Operating Assumptions'!$L25="$/NSF",(('Operating Assumptions'!$M25*M$25)*'Operating Assumptions'!$D$12)/12))))))))</f>
        <v>0</v>
      </c>
      <c r="N97" s="427">
        <f>-IF(N$9&lt;'Operating Assumptions'!$D$53,0,IF(N$6&gt;'Operating Assumptions'!$AA$8,0,IF('Operating Assumptions'!$L25="N/A",0,IF('Operating Assumptions'!$L25="$/Unit/Annual",(('Operating Assumptions'!$M25*N$25)*N$36)/12,IF('Operating Assumptions'!$L25="$/Unit/Month",('Operating Assumptions'!$M25*N$25)*N$36,IF('Operating Assumptions'!$L25="Fixed Amount",('Operating Assumptions'!$M25*N$25)/12,IF('Operating Assumptions'!$L25="$/GSF",(('Operating Assumptions'!$M25*N$25)*'Operating Assumptions'!$D$11)/12,IF('Operating Assumptions'!$L25="$/NSF",(('Operating Assumptions'!$M25*N$25)*'Operating Assumptions'!$D$12)/12))))))))</f>
        <v>0</v>
      </c>
      <c r="O97" s="427">
        <f>-IF(O$9&lt;'Operating Assumptions'!$D$53,0,IF(O$6&gt;'Operating Assumptions'!$AA$8,0,IF('Operating Assumptions'!$L25="N/A",0,IF('Operating Assumptions'!$L25="$/Unit/Annual",(('Operating Assumptions'!$M25*O$25)*O$36)/12,IF('Operating Assumptions'!$L25="$/Unit/Month",('Operating Assumptions'!$M25*O$25)*O$36,IF('Operating Assumptions'!$L25="Fixed Amount",('Operating Assumptions'!$M25*O$25)/12,IF('Operating Assumptions'!$L25="$/GSF",(('Operating Assumptions'!$M25*O$25)*'Operating Assumptions'!$D$11)/12,IF('Operating Assumptions'!$L25="$/NSF",(('Operating Assumptions'!$M25*O$25)*'Operating Assumptions'!$D$12)/12))))))))</f>
        <v>0</v>
      </c>
      <c r="P97" s="427">
        <f>-IF(P$9&lt;'Operating Assumptions'!$D$53,0,IF(P$6&gt;'Operating Assumptions'!$AA$8,0,IF('Operating Assumptions'!$L25="N/A",0,IF('Operating Assumptions'!$L25="$/Unit/Annual",(('Operating Assumptions'!$M25*P$25)*P$36)/12,IF('Operating Assumptions'!$L25="$/Unit/Month",('Operating Assumptions'!$M25*P$25)*P$36,IF('Operating Assumptions'!$L25="Fixed Amount",('Operating Assumptions'!$M25*P$25)/12,IF('Operating Assumptions'!$L25="$/GSF",(('Operating Assumptions'!$M25*P$25)*'Operating Assumptions'!$D$11)/12,IF('Operating Assumptions'!$L25="$/NSF",(('Operating Assumptions'!$M25*P$25)*'Operating Assumptions'!$D$12)/12))))))))</f>
        <v>0</v>
      </c>
      <c r="Q97" s="427">
        <f>-IF(Q$9&lt;'Operating Assumptions'!$D$53,0,IF(Q$6&gt;'Operating Assumptions'!$AA$8,0,IF('Operating Assumptions'!$L25="N/A",0,IF('Operating Assumptions'!$L25="$/Unit/Annual",(('Operating Assumptions'!$M25*Q$25)*Q$36)/12,IF('Operating Assumptions'!$L25="$/Unit/Month",('Operating Assumptions'!$M25*Q$25)*Q$36,IF('Operating Assumptions'!$L25="Fixed Amount",('Operating Assumptions'!$M25*Q$25)/12,IF('Operating Assumptions'!$L25="$/GSF",(('Operating Assumptions'!$M25*Q$25)*'Operating Assumptions'!$D$11)/12,IF('Operating Assumptions'!$L25="$/NSF",(('Operating Assumptions'!$M25*Q$25)*'Operating Assumptions'!$D$12)/12))))))))</f>
        <v>0</v>
      </c>
      <c r="R97" s="427">
        <f>-IF(R$9&lt;'Operating Assumptions'!$D$53,0,IF(R$6&gt;'Operating Assumptions'!$AA$8,0,IF('Operating Assumptions'!$L25="N/A",0,IF('Operating Assumptions'!$L25="$/Unit/Annual",(('Operating Assumptions'!$M25*R$25)*R$36)/12,IF('Operating Assumptions'!$L25="$/Unit/Month",('Operating Assumptions'!$M25*R$25)*R$36,IF('Operating Assumptions'!$L25="Fixed Amount",('Operating Assumptions'!$M25*R$25)/12,IF('Operating Assumptions'!$L25="$/GSF",(('Operating Assumptions'!$M25*R$25)*'Operating Assumptions'!$D$11)/12,IF('Operating Assumptions'!$L25="$/NSF",(('Operating Assumptions'!$M25*R$25)*'Operating Assumptions'!$D$12)/12))))))))</f>
        <v>0</v>
      </c>
      <c r="S97" s="427">
        <f>-IF(S$9&lt;'Operating Assumptions'!$D$53,0,IF(S$6&gt;'Operating Assumptions'!$AA$8,0,IF('Operating Assumptions'!$L25="N/A",0,IF('Operating Assumptions'!$L25="$/Unit/Annual",(('Operating Assumptions'!$M25*S$25)*S$36)/12,IF('Operating Assumptions'!$L25="$/Unit/Month",('Operating Assumptions'!$M25*S$25)*S$36,IF('Operating Assumptions'!$L25="Fixed Amount",('Operating Assumptions'!$M25*S$25)/12,IF('Operating Assumptions'!$L25="$/GSF",(('Operating Assumptions'!$M25*S$25)*'Operating Assumptions'!$D$11)/12,IF('Operating Assumptions'!$L25="$/NSF",(('Operating Assumptions'!$M25*S$25)*'Operating Assumptions'!$D$12)/12))))))))</f>
        <v>0</v>
      </c>
      <c r="T97" s="427">
        <f>-IF(T$9&lt;'Operating Assumptions'!$D$53,0,IF(T$6&gt;'Operating Assumptions'!$AA$8,0,IF('Operating Assumptions'!$L25="N/A",0,IF('Operating Assumptions'!$L25="$/Unit/Annual",(('Operating Assumptions'!$M25*T$25)*T$36)/12,IF('Operating Assumptions'!$L25="$/Unit/Month",('Operating Assumptions'!$M25*T$25)*T$36,IF('Operating Assumptions'!$L25="Fixed Amount",('Operating Assumptions'!$M25*T$25)/12,IF('Operating Assumptions'!$L25="$/GSF",(('Operating Assumptions'!$M25*T$25)*'Operating Assumptions'!$D$11)/12,IF('Operating Assumptions'!$L25="$/NSF",(('Operating Assumptions'!$M25*T$25)*'Operating Assumptions'!$D$12)/12))))))))</f>
        <v>0</v>
      </c>
      <c r="U97" s="427">
        <f>-IF(U$9&lt;'Operating Assumptions'!$D$53,0,IF(U$6&gt;'Operating Assumptions'!$AA$8,0,IF('Operating Assumptions'!$L25="N/A",0,IF('Operating Assumptions'!$L25="$/Unit/Annual",(('Operating Assumptions'!$M25*U$25)*U$36)/12,IF('Operating Assumptions'!$L25="$/Unit/Month",('Operating Assumptions'!$M25*U$25)*U$36,IF('Operating Assumptions'!$L25="Fixed Amount",('Operating Assumptions'!$M25*U$25)/12,IF('Operating Assumptions'!$L25="$/GSF",(('Operating Assumptions'!$M25*U$25)*'Operating Assumptions'!$D$11)/12,IF('Operating Assumptions'!$L25="$/NSF",(('Operating Assumptions'!$M25*U$25)*'Operating Assumptions'!$D$12)/12))))))))</f>
        <v>0</v>
      </c>
      <c r="V97" s="427">
        <f>-IF(V$9&lt;'Operating Assumptions'!$D$53,0,IF(V$6&gt;'Operating Assumptions'!$AA$8,0,IF('Operating Assumptions'!$L25="N/A",0,IF('Operating Assumptions'!$L25="$/Unit/Annual",(('Operating Assumptions'!$M25*V$25)*V$36)/12,IF('Operating Assumptions'!$L25="$/Unit/Month",('Operating Assumptions'!$M25*V$25)*V$36,IF('Operating Assumptions'!$L25="Fixed Amount",('Operating Assumptions'!$M25*V$25)/12,IF('Operating Assumptions'!$L25="$/GSF",(('Operating Assumptions'!$M25*V$25)*'Operating Assumptions'!$D$11)/12,IF('Operating Assumptions'!$L25="$/NSF",(('Operating Assumptions'!$M25*V$25)*'Operating Assumptions'!$D$12)/12))))))))</f>
        <v>0</v>
      </c>
      <c r="W97" s="427">
        <f>-IF(W$9&lt;'Operating Assumptions'!$D$53,0,IF(W$6&gt;'Operating Assumptions'!$AA$8,0,IF('Operating Assumptions'!$L25="N/A",0,IF('Operating Assumptions'!$L25="$/Unit/Annual",(('Operating Assumptions'!$M25*W$25)*W$36)/12,IF('Operating Assumptions'!$L25="$/Unit/Month",('Operating Assumptions'!$M25*W$25)*W$36,IF('Operating Assumptions'!$L25="Fixed Amount",('Operating Assumptions'!$M25*W$25)/12,IF('Operating Assumptions'!$L25="$/GSF",(('Operating Assumptions'!$M25*W$25)*'Operating Assumptions'!$D$11)/12,IF('Operating Assumptions'!$L25="$/NSF",(('Operating Assumptions'!$M25*W$25)*'Operating Assumptions'!$D$12)/12))))))))</f>
        <v>0</v>
      </c>
      <c r="X97" s="427">
        <f>-IF(X$9&lt;'Operating Assumptions'!$D$53,0,IF(X$6&gt;'Operating Assumptions'!$AA$8,0,IF('Operating Assumptions'!$L25="N/A",0,IF('Operating Assumptions'!$L25="$/Unit/Annual",(('Operating Assumptions'!$M25*X$25)*X$36)/12,IF('Operating Assumptions'!$L25="$/Unit/Month",('Operating Assumptions'!$M25*X$25)*X$36,IF('Operating Assumptions'!$L25="Fixed Amount",('Operating Assumptions'!$M25*X$25)/12,IF('Operating Assumptions'!$L25="$/GSF",(('Operating Assumptions'!$M25*X$25)*'Operating Assumptions'!$D$11)/12,IF('Operating Assumptions'!$L25="$/NSF",(('Operating Assumptions'!$M25*X$25)*'Operating Assumptions'!$D$12)/12))))))))</f>
        <v>0</v>
      </c>
      <c r="Y97" s="427">
        <f>-IF(Y$9&lt;'Operating Assumptions'!$D$53,0,IF(Y$6&gt;'Operating Assumptions'!$AA$8,0,IF('Operating Assumptions'!$L25="N/A",0,IF('Operating Assumptions'!$L25="$/Unit/Annual",(('Operating Assumptions'!$M25*Y$25)*Y$36)/12,IF('Operating Assumptions'!$L25="$/Unit/Month",('Operating Assumptions'!$M25*Y$25)*Y$36,IF('Operating Assumptions'!$L25="Fixed Amount",('Operating Assumptions'!$M25*Y$25)/12,IF('Operating Assumptions'!$L25="$/GSF",(('Operating Assumptions'!$M25*Y$25)*'Operating Assumptions'!$D$11)/12,IF('Operating Assumptions'!$L25="$/NSF",(('Operating Assumptions'!$M25*Y$25)*'Operating Assumptions'!$D$12)/12))))))))</f>
        <v>-1750</v>
      </c>
      <c r="Z97" s="427">
        <f>-IF(Z$9&lt;'Operating Assumptions'!$D$53,0,IF(Z$6&gt;'Operating Assumptions'!$AA$8,0,IF('Operating Assumptions'!$L25="N/A",0,IF('Operating Assumptions'!$L25="$/Unit/Annual",(('Operating Assumptions'!$M25*Z$25)*Z$36)/12,IF('Operating Assumptions'!$L25="$/Unit/Month",('Operating Assumptions'!$M25*Z$25)*Z$36,IF('Operating Assumptions'!$L25="Fixed Amount",('Operating Assumptions'!$M25*Z$25)/12,IF('Operating Assumptions'!$L25="$/GSF",(('Operating Assumptions'!$M25*Z$25)*'Operating Assumptions'!$D$11)/12,IF('Operating Assumptions'!$L25="$/NSF",(('Operating Assumptions'!$M25*Z$25)*'Operating Assumptions'!$D$12)/12))))))))</f>
        <v>-3416.6666666666665</v>
      </c>
      <c r="AA97" s="427">
        <f>-IF(AA$9&lt;'Operating Assumptions'!$D$53,0,IF(AA$6&gt;'Operating Assumptions'!$AA$8,0,IF('Operating Assumptions'!$L25="N/A",0,IF('Operating Assumptions'!$L25="$/Unit/Annual",(('Operating Assumptions'!$M25*AA$25)*AA$36)/12,IF('Operating Assumptions'!$L25="$/Unit/Month",('Operating Assumptions'!$M25*AA$25)*AA$36,IF('Operating Assumptions'!$L25="Fixed Amount",('Operating Assumptions'!$M25*AA$25)/12,IF('Operating Assumptions'!$L25="$/GSF",(('Operating Assumptions'!$M25*AA$25)*'Operating Assumptions'!$D$11)/12,IF('Operating Assumptions'!$L25="$/NSF",(('Operating Assumptions'!$M25*AA$25)*'Operating Assumptions'!$D$12)/12))))))))</f>
        <v>-5083.333333333333</v>
      </c>
      <c r="AB97" s="427">
        <f>-IF(AB$9&lt;'Operating Assumptions'!$D$53,0,IF(AB$6&gt;'Operating Assumptions'!$AA$8,0,IF('Operating Assumptions'!$L25="N/A",0,IF('Operating Assumptions'!$L25="$/Unit/Annual",(('Operating Assumptions'!$M25*AB$25)*AB$36)/12,IF('Operating Assumptions'!$L25="$/Unit/Month",('Operating Assumptions'!$M25*AB$25)*AB$36,IF('Operating Assumptions'!$L25="Fixed Amount",('Operating Assumptions'!$M25*AB$25)/12,IF('Operating Assumptions'!$L25="$/GSF",(('Operating Assumptions'!$M25*AB$25)*'Operating Assumptions'!$D$11)/12,IF('Operating Assumptions'!$L25="$/NSF",(('Operating Assumptions'!$M25*AB$25)*'Operating Assumptions'!$D$12)/12))))))))</f>
        <v>-6750</v>
      </c>
      <c r="AC97" s="427">
        <f>-IF(AC$9&lt;'Operating Assumptions'!$D$53,0,IF(AC$6&gt;'Operating Assumptions'!$AA$8,0,IF('Operating Assumptions'!$L25="N/A",0,IF('Operating Assumptions'!$L25="$/Unit/Annual",(('Operating Assumptions'!$M25*AC$25)*AC$36)/12,IF('Operating Assumptions'!$L25="$/Unit/Month",('Operating Assumptions'!$M25*AC$25)*AC$36,IF('Operating Assumptions'!$L25="Fixed Amount",('Operating Assumptions'!$M25*AC$25)/12,IF('Operating Assumptions'!$L25="$/GSF",(('Operating Assumptions'!$M25*AC$25)*'Operating Assumptions'!$D$11)/12,IF('Operating Assumptions'!$L25="$/NSF",(('Operating Assumptions'!$M25*AC$25)*'Operating Assumptions'!$D$12)/12))))))))</f>
        <v>-8416.6666666666661</v>
      </c>
      <c r="AD97" s="427">
        <f>-IF(AD$9&lt;'Operating Assumptions'!$D$53,0,IF(AD$6&gt;'Operating Assumptions'!$AA$8,0,IF('Operating Assumptions'!$L25="N/A",0,IF('Operating Assumptions'!$L25="$/Unit/Annual",(('Operating Assumptions'!$M25*AD$25)*AD$36)/12,IF('Operating Assumptions'!$L25="$/Unit/Month",('Operating Assumptions'!$M25*AD$25)*AD$36,IF('Operating Assumptions'!$L25="Fixed Amount",('Operating Assumptions'!$M25*AD$25)/12,IF('Operating Assumptions'!$L25="$/GSF",(('Operating Assumptions'!$M25*AD$25)*'Operating Assumptions'!$D$11)/12,IF('Operating Assumptions'!$L25="$/NSF",(('Operating Assumptions'!$M25*AD$25)*'Operating Assumptions'!$D$12)/12))))))))</f>
        <v>-10083.333333333334</v>
      </c>
      <c r="AE97" s="427">
        <f>-IF(AE$9&lt;'Operating Assumptions'!$D$53,0,IF(AE$6&gt;'Operating Assumptions'!$AA$8,0,IF('Operating Assumptions'!$L25="N/A",0,IF('Operating Assumptions'!$L25="$/Unit/Annual",(('Operating Assumptions'!$M25*AE$25)*AE$36)/12,IF('Operating Assumptions'!$L25="$/Unit/Month",('Operating Assumptions'!$M25*AE$25)*AE$36,IF('Operating Assumptions'!$L25="Fixed Amount",('Operating Assumptions'!$M25*AE$25)/12,IF('Operating Assumptions'!$L25="$/GSF",(('Operating Assumptions'!$M25*AE$25)*'Operating Assumptions'!$D$11)/12,IF('Operating Assumptions'!$L25="$/NSF",(('Operating Assumptions'!$M25*AE$25)*'Operating Assumptions'!$D$12)/12))))))))</f>
        <v>-10416.666666666666</v>
      </c>
      <c r="AF97" s="427">
        <f>-IF(AF$9&lt;'Operating Assumptions'!$D$53,0,IF(AF$6&gt;'Operating Assumptions'!$AA$8,0,IF('Operating Assumptions'!$L25="N/A",0,IF('Operating Assumptions'!$L25="$/Unit/Annual",(('Operating Assumptions'!$M25*AF$25)*AF$36)/12,IF('Operating Assumptions'!$L25="$/Unit/Month",('Operating Assumptions'!$M25*AF$25)*AF$36,IF('Operating Assumptions'!$L25="Fixed Amount",('Operating Assumptions'!$M25*AF$25)/12,IF('Operating Assumptions'!$L25="$/GSF",(('Operating Assumptions'!$M25*AF$25)*'Operating Assumptions'!$D$11)/12,IF('Operating Assumptions'!$L25="$/NSF",(('Operating Assumptions'!$M25*AF$25)*'Operating Assumptions'!$D$12)/12))))))))</f>
        <v>-10520.833333333334</v>
      </c>
      <c r="AG97" s="427">
        <f>-IF(AG$9&lt;'Operating Assumptions'!$D$53,0,IF(AG$6&gt;'Operating Assumptions'!$AA$8,0,IF('Operating Assumptions'!$L25="N/A",0,IF('Operating Assumptions'!$L25="$/Unit/Annual",(('Operating Assumptions'!$M25*AG$25)*AG$36)/12,IF('Operating Assumptions'!$L25="$/Unit/Month",('Operating Assumptions'!$M25*AG$25)*AG$36,IF('Operating Assumptions'!$L25="Fixed Amount",('Operating Assumptions'!$M25*AG$25)/12,IF('Operating Assumptions'!$L25="$/GSF",(('Operating Assumptions'!$M25*AG$25)*'Operating Assumptions'!$D$11)/12,IF('Operating Assumptions'!$L25="$/NSF",(('Operating Assumptions'!$M25*AG$25)*'Operating Assumptions'!$D$12)/12))))))))</f>
        <v>-10520.833333333334</v>
      </c>
      <c r="AH97" s="427">
        <f>-IF(AH$9&lt;'Operating Assumptions'!$D$53,0,IF(AH$6&gt;'Operating Assumptions'!$AA$8,0,IF('Operating Assumptions'!$L25="N/A",0,IF('Operating Assumptions'!$L25="$/Unit/Annual",(('Operating Assumptions'!$M25*AH$25)*AH$36)/12,IF('Operating Assumptions'!$L25="$/Unit/Month",('Operating Assumptions'!$M25*AH$25)*AH$36,IF('Operating Assumptions'!$L25="Fixed Amount",('Operating Assumptions'!$M25*AH$25)/12,IF('Operating Assumptions'!$L25="$/GSF",(('Operating Assumptions'!$M25*AH$25)*'Operating Assumptions'!$D$11)/12,IF('Operating Assumptions'!$L25="$/NSF",(('Operating Assumptions'!$M25*AH$25)*'Operating Assumptions'!$D$12)/12))))))))</f>
        <v>-12204.166666666666</v>
      </c>
      <c r="AI97" s="427">
        <f>-IF(AI$9&lt;'Operating Assumptions'!$D$53,0,IF(AI$6&gt;'Operating Assumptions'!$AA$8,0,IF('Operating Assumptions'!$L25="N/A",0,IF('Operating Assumptions'!$L25="$/Unit/Annual",(('Operating Assumptions'!$M25*AI$25)*AI$36)/12,IF('Operating Assumptions'!$L25="$/Unit/Month",('Operating Assumptions'!$M25*AI$25)*AI$36,IF('Operating Assumptions'!$L25="Fixed Amount",('Operating Assumptions'!$M25*AI$25)/12,IF('Operating Assumptions'!$L25="$/GSF",(('Operating Assumptions'!$M25*AI$25)*'Operating Assumptions'!$D$11)/12,IF('Operating Assumptions'!$L25="$/NSF",(('Operating Assumptions'!$M25*AI$25)*'Operating Assumptions'!$D$12)/12))))))))</f>
        <v>-13887.5</v>
      </c>
      <c r="AJ97" s="427">
        <f>-IF(AJ$9&lt;'Operating Assumptions'!$D$53,0,IF(AJ$6&gt;'Operating Assumptions'!$AA$8,0,IF('Operating Assumptions'!$L25="N/A",0,IF('Operating Assumptions'!$L25="$/Unit/Annual",(('Operating Assumptions'!$M25*AJ$25)*AJ$36)/12,IF('Operating Assumptions'!$L25="$/Unit/Month",('Operating Assumptions'!$M25*AJ$25)*AJ$36,IF('Operating Assumptions'!$L25="Fixed Amount",('Operating Assumptions'!$M25*AJ$25)/12,IF('Operating Assumptions'!$L25="$/GSF",(('Operating Assumptions'!$M25*AJ$25)*'Operating Assumptions'!$D$11)/12,IF('Operating Assumptions'!$L25="$/NSF",(('Operating Assumptions'!$M25*AJ$25)*'Operating Assumptions'!$D$12)/12))))))))</f>
        <v>-15570.833333333334</v>
      </c>
      <c r="AK97" s="427">
        <f>-IF(AK$9&lt;'Operating Assumptions'!$D$53,0,IF(AK$6&gt;'Operating Assumptions'!$AA$8,0,IF('Operating Assumptions'!$L25="N/A",0,IF('Operating Assumptions'!$L25="$/Unit/Annual",(('Operating Assumptions'!$M25*AK$25)*AK$36)/12,IF('Operating Assumptions'!$L25="$/Unit/Month",('Operating Assumptions'!$M25*AK$25)*AK$36,IF('Operating Assumptions'!$L25="Fixed Amount",('Operating Assumptions'!$M25*AK$25)/12,IF('Operating Assumptions'!$L25="$/GSF",(('Operating Assumptions'!$M25*AK$25)*'Operating Assumptions'!$D$11)/12,IF('Operating Assumptions'!$L25="$/NSF",(('Operating Assumptions'!$M25*AK$25)*'Operating Assumptions'!$D$12)/12))))))))</f>
        <v>-17254.166666666668</v>
      </c>
      <c r="AL97" s="427">
        <f>-IF(AL$9&lt;'Operating Assumptions'!$D$53,0,IF(AL$6&gt;'Operating Assumptions'!$AA$8,0,IF('Operating Assumptions'!$L25="N/A",0,IF('Operating Assumptions'!$L25="$/Unit/Annual",(('Operating Assumptions'!$M25*AL$25)*AL$36)/12,IF('Operating Assumptions'!$L25="$/Unit/Month",('Operating Assumptions'!$M25*AL$25)*AL$36,IF('Operating Assumptions'!$L25="Fixed Amount",('Operating Assumptions'!$M25*AL$25)/12,IF('Operating Assumptions'!$L25="$/GSF",(('Operating Assumptions'!$M25*AL$25)*'Operating Assumptions'!$D$11)/12,IF('Operating Assumptions'!$L25="$/NSF",(('Operating Assumptions'!$M25*AL$25)*'Operating Assumptions'!$D$12)/12))))))))</f>
        <v>-18937.5</v>
      </c>
      <c r="AM97" s="427">
        <f>-IF(AM$9&lt;'Operating Assumptions'!$D$53,0,IF(AM$6&gt;'Operating Assumptions'!$AA$8,0,IF('Operating Assumptions'!$L25="N/A",0,IF('Operating Assumptions'!$L25="$/Unit/Annual",(('Operating Assumptions'!$M25*AM$25)*AM$36)/12,IF('Operating Assumptions'!$L25="$/Unit/Month",('Operating Assumptions'!$M25*AM$25)*AM$36,IF('Operating Assumptions'!$L25="Fixed Amount",('Operating Assumptions'!$M25*AM$25)/12,IF('Operating Assumptions'!$L25="$/GSF",(('Operating Assumptions'!$M25*AM$25)*'Operating Assumptions'!$D$11)/12,IF('Operating Assumptions'!$L25="$/NSF",(('Operating Assumptions'!$M25*AM$25)*'Operating Assumptions'!$D$12)/12))))))))</f>
        <v>-20200</v>
      </c>
      <c r="AN97" s="427">
        <f>-IF(AN$9&lt;'Operating Assumptions'!$D$53,0,IF(AN$6&gt;'Operating Assumptions'!$AA$8,0,IF('Operating Assumptions'!$L25="N/A",0,IF('Operating Assumptions'!$L25="$/Unit/Annual",(('Operating Assumptions'!$M25*AN$25)*AN$36)/12,IF('Operating Assumptions'!$L25="$/Unit/Month",('Operating Assumptions'!$M25*AN$25)*AN$36,IF('Operating Assumptions'!$L25="Fixed Amount",('Operating Assumptions'!$M25*AN$25)/12,IF('Operating Assumptions'!$L25="$/GSF",(('Operating Assumptions'!$M25*AN$25)*'Operating Assumptions'!$D$11)/12,IF('Operating Assumptions'!$L25="$/NSF",(('Operating Assumptions'!$M25*AN$25)*'Operating Assumptions'!$D$12)/12))))))))</f>
        <v>-20200</v>
      </c>
      <c r="AO97" s="427">
        <f>-IF(AO$9&lt;'Operating Assumptions'!$D$53,0,IF(AO$6&gt;'Operating Assumptions'!$AA$8,0,IF('Operating Assumptions'!$L25="N/A",0,IF('Operating Assumptions'!$L25="$/Unit/Annual",(('Operating Assumptions'!$M25*AO$25)*AO$36)/12,IF('Operating Assumptions'!$L25="$/Unit/Month",('Operating Assumptions'!$M25*AO$25)*AO$36,IF('Operating Assumptions'!$L25="Fixed Amount",('Operating Assumptions'!$M25*AO$25)/12,IF('Operating Assumptions'!$L25="$/GSF",(('Operating Assumptions'!$M25*AO$25)*'Operating Assumptions'!$D$11)/12,IF('Operating Assumptions'!$L25="$/NSF",(('Operating Assumptions'!$M25*AO$25)*'Operating Assumptions'!$D$12)/12))))))))</f>
        <v>-20200</v>
      </c>
      <c r="AP97" s="427">
        <f>-IF(AP$9&lt;'Operating Assumptions'!$D$53,0,IF(AP$6&gt;'Operating Assumptions'!$AA$8,0,IF('Operating Assumptions'!$L25="N/A",0,IF('Operating Assumptions'!$L25="$/Unit/Annual",(('Operating Assumptions'!$M25*AP$25)*AP$36)/12,IF('Operating Assumptions'!$L25="$/Unit/Month",('Operating Assumptions'!$M25*AP$25)*AP$36,IF('Operating Assumptions'!$L25="Fixed Amount",('Operating Assumptions'!$M25*AP$25)/12,IF('Operating Assumptions'!$L25="$/GSF",(('Operating Assumptions'!$M25*AP$25)*'Operating Assumptions'!$D$11)/12,IF('Operating Assumptions'!$L25="$/NSF",(('Operating Assumptions'!$M25*AP$25)*'Operating Assumptions'!$D$12)/12))))))))</f>
        <v>-20200</v>
      </c>
      <c r="AQ97" s="427">
        <f>-IF(AQ$9&lt;'Operating Assumptions'!$D$53,0,IF(AQ$6&gt;'Operating Assumptions'!$AA$8,0,IF('Operating Assumptions'!$L25="N/A",0,IF('Operating Assumptions'!$L25="$/Unit/Annual",(('Operating Assumptions'!$M25*AQ$25)*AQ$36)/12,IF('Operating Assumptions'!$L25="$/Unit/Month",('Operating Assumptions'!$M25*AQ$25)*AQ$36,IF('Operating Assumptions'!$L25="Fixed Amount",('Operating Assumptions'!$M25*AQ$25)/12,IF('Operating Assumptions'!$L25="$/GSF",(('Operating Assumptions'!$M25*AQ$25)*'Operating Assumptions'!$D$11)/12,IF('Operating Assumptions'!$L25="$/NSF",(('Operating Assumptions'!$M25*AQ$25)*'Operating Assumptions'!$D$12)/12))))))))</f>
        <v>-20200</v>
      </c>
      <c r="AR97" s="427">
        <f>-IF(AR$9&lt;'Operating Assumptions'!$D$53,0,IF(AR$6&gt;'Operating Assumptions'!$AA$8,0,IF('Operating Assumptions'!$L25="N/A",0,IF('Operating Assumptions'!$L25="$/Unit/Annual",(('Operating Assumptions'!$M25*AR$25)*AR$36)/12,IF('Operating Assumptions'!$L25="$/Unit/Month",('Operating Assumptions'!$M25*AR$25)*AR$36,IF('Operating Assumptions'!$L25="Fixed Amount",('Operating Assumptions'!$M25*AR$25)/12,IF('Operating Assumptions'!$L25="$/GSF",(('Operating Assumptions'!$M25*AR$25)*'Operating Assumptions'!$D$11)/12,IF('Operating Assumptions'!$L25="$/NSF",(('Operating Assumptions'!$M25*AR$25)*'Operating Assumptions'!$D$12)/12))))))))</f>
        <v>-20400</v>
      </c>
      <c r="AS97" s="427">
        <f>-IF(AS$9&lt;'Operating Assumptions'!$D$53,0,IF(AS$6&gt;'Operating Assumptions'!$AA$8,0,IF('Operating Assumptions'!$L25="N/A",0,IF('Operating Assumptions'!$L25="$/Unit/Annual",(('Operating Assumptions'!$M25*AS$25)*AS$36)/12,IF('Operating Assumptions'!$L25="$/Unit/Month",('Operating Assumptions'!$M25*AS$25)*AS$36,IF('Operating Assumptions'!$L25="Fixed Amount",('Operating Assumptions'!$M25*AS$25)/12,IF('Operating Assumptions'!$L25="$/GSF",(('Operating Assumptions'!$M25*AS$25)*'Operating Assumptions'!$D$11)/12,IF('Operating Assumptions'!$L25="$/NSF",(('Operating Assumptions'!$M25*AS$25)*'Operating Assumptions'!$D$12)/12))))))))</f>
        <v>-20400</v>
      </c>
      <c r="AT97" s="427">
        <f>-IF(AT$9&lt;'Operating Assumptions'!$D$53,0,IF(AT$6&gt;'Operating Assumptions'!$AA$8,0,IF('Operating Assumptions'!$L25="N/A",0,IF('Operating Assumptions'!$L25="$/Unit/Annual",(('Operating Assumptions'!$M25*AT$25)*AT$36)/12,IF('Operating Assumptions'!$L25="$/Unit/Month",('Operating Assumptions'!$M25*AT$25)*AT$36,IF('Operating Assumptions'!$L25="Fixed Amount",('Operating Assumptions'!$M25*AT$25)/12,IF('Operating Assumptions'!$L25="$/GSF",(('Operating Assumptions'!$M25*AT$25)*'Operating Assumptions'!$D$11)/12,IF('Operating Assumptions'!$L25="$/NSF",(('Operating Assumptions'!$M25*AT$25)*'Operating Assumptions'!$D$12)/12))))))))</f>
        <v>-20400</v>
      </c>
      <c r="AU97" s="427">
        <f>-IF(AU$9&lt;'Operating Assumptions'!$D$53,0,IF(AU$6&gt;'Operating Assumptions'!$AA$8,0,IF('Operating Assumptions'!$L25="N/A",0,IF('Operating Assumptions'!$L25="$/Unit/Annual",(('Operating Assumptions'!$M25*AU$25)*AU$36)/12,IF('Operating Assumptions'!$L25="$/Unit/Month",('Operating Assumptions'!$M25*AU$25)*AU$36,IF('Operating Assumptions'!$L25="Fixed Amount",('Operating Assumptions'!$M25*AU$25)/12,IF('Operating Assumptions'!$L25="$/GSF",(('Operating Assumptions'!$M25*AU$25)*'Operating Assumptions'!$D$11)/12,IF('Operating Assumptions'!$L25="$/NSF",(('Operating Assumptions'!$M25*AU$25)*'Operating Assumptions'!$D$12)/12))))))))</f>
        <v>-20400</v>
      </c>
      <c r="AV97" s="427">
        <f>-IF(AV$9&lt;'Operating Assumptions'!$D$53,0,IF(AV$6&gt;'Operating Assumptions'!$AA$8,0,IF('Operating Assumptions'!$L25="N/A",0,IF('Operating Assumptions'!$L25="$/Unit/Annual",(('Operating Assumptions'!$M25*AV$25)*AV$36)/12,IF('Operating Assumptions'!$L25="$/Unit/Month",('Operating Assumptions'!$M25*AV$25)*AV$36,IF('Operating Assumptions'!$L25="Fixed Amount",('Operating Assumptions'!$M25*AV$25)/12,IF('Operating Assumptions'!$L25="$/GSF",(('Operating Assumptions'!$M25*AV$25)*'Operating Assumptions'!$D$11)/12,IF('Operating Assumptions'!$L25="$/NSF",(('Operating Assumptions'!$M25*AV$25)*'Operating Assumptions'!$D$12)/12))))))))</f>
        <v>-20400</v>
      </c>
      <c r="AW97" s="427">
        <f>-IF(AW$9&lt;'Operating Assumptions'!$D$53,0,IF(AW$6&gt;'Operating Assumptions'!$AA$8,0,IF('Operating Assumptions'!$L25="N/A",0,IF('Operating Assumptions'!$L25="$/Unit/Annual",(('Operating Assumptions'!$M25*AW$25)*AW$36)/12,IF('Operating Assumptions'!$L25="$/Unit/Month",('Operating Assumptions'!$M25*AW$25)*AW$36,IF('Operating Assumptions'!$L25="Fixed Amount",('Operating Assumptions'!$M25*AW$25)/12,IF('Operating Assumptions'!$L25="$/GSF",(('Operating Assumptions'!$M25*AW$25)*'Operating Assumptions'!$D$11)/12,IF('Operating Assumptions'!$L25="$/NSF",(('Operating Assumptions'!$M25*AW$25)*'Operating Assumptions'!$D$12)/12))))))))</f>
        <v>-20400</v>
      </c>
      <c r="AX97" s="427">
        <f>-IF(AX$9&lt;'Operating Assumptions'!$D$53,0,IF(AX$6&gt;'Operating Assumptions'!$AA$8,0,IF('Operating Assumptions'!$L25="N/A",0,IF('Operating Assumptions'!$L25="$/Unit/Annual",(('Operating Assumptions'!$M25*AX$25)*AX$36)/12,IF('Operating Assumptions'!$L25="$/Unit/Month",('Operating Assumptions'!$M25*AX$25)*AX$36,IF('Operating Assumptions'!$L25="Fixed Amount",('Operating Assumptions'!$M25*AX$25)/12,IF('Operating Assumptions'!$L25="$/GSF",(('Operating Assumptions'!$M25*AX$25)*'Operating Assumptions'!$D$11)/12,IF('Operating Assumptions'!$L25="$/NSF",(('Operating Assumptions'!$M25*AX$25)*'Operating Assumptions'!$D$12)/12))))))))</f>
        <v>-20400</v>
      </c>
      <c r="AY97" s="427">
        <f>-IF(AY$9&lt;'Operating Assumptions'!$D$53,0,IF(AY$6&gt;'Operating Assumptions'!$AA$8,0,IF('Operating Assumptions'!$L25="N/A",0,IF('Operating Assumptions'!$L25="$/Unit/Annual",(('Operating Assumptions'!$M25*AY$25)*AY$36)/12,IF('Operating Assumptions'!$L25="$/Unit/Month",('Operating Assumptions'!$M25*AY$25)*AY$36,IF('Operating Assumptions'!$L25="Fixed Amount",('Operating Assumptions'!$M25*AY$25)/12,IF('Operating Assumptions'!$L25="$/GSF",(('Operating Assumptions'!$M25*AY$25)*'Operating Assumptions'!$D$11)/12,IF('Operating Assumptions'!$L25="$/NSF",(('Operating Assumptions'!$M25*AY$25)*'Operating Assumptions'!$D$12)/12))))))))</f>
        <v>-20400</v>
      </c>
      <c r="AZ97" s="427">
        <f>-IF(AZ$9&lt;'Operating Assumptions'!$D$53,0,IF(AZ$6&gt;'Operating Assumptions'!$AA$8,0,IF('Operating Assumptions'!$L25="N/A",0,IF('Operating Assumptions'!$L25="$/Unit/Annual",(('Operating Assumptions'!$M25*AZ$25)*AZ$36)/12,IF('Operating Assumptions'!$L25="$/Unit/Month",('Operating Assumptions'!$M25*AZ$25)*AZ$36,IF('Operating Assumptions'!$L25="Fixed Amount",('Operating Assumptions'!$M25*AZ$25)/12,IF('Operating Assumptions'!$L25="$/GSF",(('Operating Assumptions'!$M25*AZ$25)*'Operating Assumptions'!$D$11)/12,IF('Operating Assumptions'!$L25="$/NSF",(('Operating Assumptions'!$M25*AZ$25)*'Operating Assumptions'!$D$12)/12))))))))</f>
        <v>-20400</v>
      </c>
      <c r="BA97" s="427">
        <f>-IF(BA$9&lt;'Operating Assumptions'!$D$53,0,IF(BA$6&gt;'Operating Assumptions'!$AA$8,0,IF('Operating Assumptions'!$L25="N/A",0,IF('Operating Assumptions'!$L25="$/Unit/Annual",(('Operating Assumptions'!$M25*BA$25)*BA$36)/12,IF('Operating Assumptions'!$L25="$/Unit/Month",('Operating Assumptions'!$M25*BA$25)*BA$36,IF('Operating Assumptions'!$L25="Fixed Amount",('Operating Assumptions'!$M25*BA$25)/12,IF('Operating Assumptions'!$L25="$/GSF",(('Operating Assumptions'!$M25*BA$25)*'Operating Assumptions'!$D$11)/12,IF('Operating Assumptions'!$L25="$/NSF",(('Operating Assumptions'!$M25*BA$25)*'Operating Assumptions'!$D$12)/12))))))))</f>
        <v>-20400</v>
      </c>
      <c r="BB97" s="427">
        <f>-IF(BB$9&lt;'Operating Assumptions'!$D$53,0,IF(BB$6&gt;'Operating Assumptions'!$AA$8,0,IF('Operating Assumptions'!$L25="N/A",0,IF('Operating Assumptions'!$L25="$/Unit/Annual",(('Operating Assumptions'!$M25*BB$25)*BB$36)/12,IF('Operating Assumptions'!$L25="$/Unit/Month",('Operating Assumptions'!$M25*BB$25)*BB$36,IF('Operating Assumptions'!$L25="Fixed Amount",('Operating Assumptions'!$M25*BB$25)/12,IF('Operating Assumptions'!$L25="$/GSF",(('Operating Assumptions'!$M25*BB$25)*'Operating Assumptions'!$D$11)/12,IF('Operating Assumptions'!$L25="$/NSF",(('Operating Assumptions'!$M25*BB$25)*'Operating Assumptions'!$D$12)/12))))))))</f>
        <v>-20400</v>
      </c>
      <c r="BC97" s="427">
        <f>-IF(BC$9&lt;'Operating Assumptions'!$D$53,0,IF(BC$6&gt;'Operating Assumptions'!$AA$8,0,IF('Operating Assumptions'!$L25="N/A",0,IF('Operating Assumptions'!$L25="$/Unit/Annual",(('Operating Assumptions'!$M25*BC$25)*BC$36)/12,IF('Operating Assumptions'!$L25="$/Unit/Month",('Operating Assumptions'!$M25*BC$25)*BC$36,IF('Operating Assumptions'!$L25="Fixed Amount",('Operating Assumptions'!$M25*BC$25)/12,IF('Operating Assumptions'!$L25="$/GSF",(('Operating Assumptions'!$M25*BC$25)*'Operating Assumptions'!$D$11)/12,IF('Operating Assumptions'!$L25="$/NSF",(('Operating Assumptions'!$M25*BC$25)*'Operating Assumptions'!$D$12)/12))))))))</f>
        <v>-20400</v>
      </c>
      <c r="BD97" s="427">
        <f>-IF(BD$9&lt;'Operating Assumptions'!$D$53,0,IF(BD$6&gt;'Operating Assumptions'!$AA$8,0,IF('Operating Assumptions'!$L25="N/A",0,IF('Operating Assumptions'!$L25="$/Unit/Annual",(('Operating Assumptions'!$M25*BD$25)*BD$36)/12,IF('Operating Assumptions'!$L25="$/Unit/Month",('Operating Assumptions'!$M25*BD$25)*BD$36,IF('Operating Assumptions'!$L25="Fixed Amount",('Operating Assumptions'!$M25*BD$25)/12,IF('Operating Assumptions'!$L25="$/GSF",(('Operating Assumptions'!$M25*BD$25)*'Operating Assumptions'!$D$11)/12,IF('Operating Assumptions'!$L25="$/NSF",(('Operating Assumptions'!$M25*BD$25)*'Operating Assumptions'!$D$12)/12))))))))</f>
        <v>-20600</v>
      </c>
      <c r="BE97" s="427">
        <f>-IF(BE$9&lt;'Operating Assumptions'!$D$53,0,IF(BE$6&gt;'Operating Assumptions'!$AA$8,0,IF('Operating Assumptions'!$L25="N/A",0,IF('Operating Assumptions'!$L25="$/Unit/Annual",(('Operating Assumptions'!$M25*BE$25)*BE$36)/12,IF('Operating Assumptions'!$L25="$/Unit/Month",('Operating Assumptions'!$M25*BE$25)*BE$36,IF('Operating Assumptions'!$L25="Fixed Amount",('Operating Assumptions'!$M25*BE$25)/12,IF('Operating Assumptions'!$L25="$/GSF",(('Operating Assumptions'!$M25*BE$25)*'Operating Assumptions'!$D$11)/12,IF('Operating Assumptions'!$L25="$/NSF",(('Operating Assumptions'!$M25*BE$25)*'Operating Assumptions'!$D$12)/12))))))))</f>
        <v>-20600</v>
      </c>
      <c r="BF97" s="427">
        <f>-IF(BF$9&lt;'Operating Assumptions'!$D$53,0,IF(BF$6&gt;'Operating Assumptions'!$AA$8,0,IF('Operating Assumptions'!$L25="N/A",0,IF('Operating Assumptions'!$L25="$/Unit/Annual",(('Operating Assumptions'!$M25*BF$25)*BF$36)/12,IF('Operating Assumptions'!$L25="$/Unit/Month",('Operating Assumptions'!$M25*BF$25)*BF$36,IF('Operating Assumptions'!$L25="Fixed Amount",('Operating Assumptions'!$M25*BF$25)/12,IF('Operating Assumptions'!$L25="$/GSF",(('Operating Assumptions'!$M25*BF$25)*'Operating Assumptions'!$D$11)/12,IF('Operating Assumptions'!$L25="$/NSF",(('Operating Assumptions'!$M25*BF$25)*'Operating Assumptions'!$D$12)/12))))))))</f>
        <v>-20600</v>
      </c>
      <c r="BG97" s="427">
        <f>-IF(BG$9&lt;'Operating Assumptions'!$D$53,0,IF(BG$6&gt;'Operating Assumptions'!$AA$8,0,IF('Operating Assumptions'!$L25="N/A",0,IF('Operating Assumptions'!$L25="$/Unit/Annual",(('Operating Assumptions'!$M25*BG$25)*BG$36)/12,IF('Operating Assumptions'!$L25="$/Unit/Month",('Operating Assumptions'!$M25*BG$25)*BG$36,IF('Operating Assumptions'!$L25="Fixed Amount",('Operating Assumptions'!$M25*BG$25)/12,IF('Operating Assumptions'!$L25="$/GSF",(('Operating Assumptions'!$M25*BG$25)*'Operating Assumptions'!$D$11)/12,IF('Operating Assumptions'!$L25="$/NSF",(('Operating Assumptions'!$M25*BG$25)*'Operating Assumptions'!$D$12)/12))))))))</f>
        <v>-20600</v>
      </c>
      <c r="BH97" s="427">
        <f>-IF(BH$9&lt;'Operating Assumptions'!$D$53,0,IF(BH$6&gt;'Operating Assumptions'!$AA$8,0,IF('Operating Assumptions'!$L25="N/A",0,IF('Operating Assumptions'!$L25="$/Unit/Annual",(('Operating Assumptions'!$M25*BH$25)*BH$36)/12,IF('Operating Assumptions'!$L25="$/Unit/Month",('Operating Assumptions'!$M25*BH$25)*BH$36,IF('Operating Assumptions'!$L25="Fixed Amount",('Operating Assumptions'!$M25*BH$25)/12,IF('Operating Assumptions'!$L25="$/GSF",(('Operating Assumptions'!$M25*BH$25)*'Operating Assumptions'!$D$11)/12,IF('Operating Assumptions'!$L25="$/NSF",(('Operating Assumptions'!$M25*BH$25)*'Operating Assumptions'!$D$12)/12))))))))</f>
        <v>-20600</v>
      </c>
      <c r="BI97" s="427">
        <f>-IF(BI$9&lt;'Operating Assumptions'!$D$53,0,IF(BI$6&gt;'Operating Assumptions'!$AA$8,0,IF('Operating Assumptions'!$L25="N/A",0,IF('Operating Assumptions'!$L25="$/Unit/Annual",(('Operating Assumptions'!$M25*BI$25)*BI$36)/12,IF('Operating Assumptions'!$L25="$/Unit/Month",('Operating Assumptions'!$M25*BI$25)*BI$36,IF('Operating Assumptions'!$L25="Fixed Amount",('Operating Assumptions'!$M25*BI$25)/12,IF('Operating Assumptions'!$L25="$/GSF",(('Operating Assumptions'!$M25*BI$25)*'Operating Assumptions'!$D$11)/12,IF('Operating Assumptions'!$L25="$/NSF",(('Operating Assumptions'!$M25*BI$25)*'Operating Assumptions'!$D$12)/12))))))))</f>
        <v>-20600</v>
      </c>
      <c r="BJ97" s="427">
        <f>-IF(BJ$9&lt;'Operating Assumptions'!$D$53,0,IF(BJ$6&gt;'Operating Assumptions'!$AA$8,0,IF('Operating Assumptions'!$L25="N/A",0,IF('Operating Assumptions'!$L25="$/Unit/Annual",(('Operating Assumptions'!$M25*BJ$25)*BJ$36)/12,IF('Operating Assumptions'!$L25="$/Unit/Month",('Operating Assumptions'!$M25*BJ$25)*BJ$36,IF('Operating Assumptions'!$L25="Fixed Amount",('Operating Assumptions'!$M25*BJ$25)/12,IF('Operating Assumptions'!$L25="$/GSF",(('Operating Assumptions'!$M25*BJ$25)*'Operating Assumptions'!$D$11)/12,IF('Operating Assumptions'!$L25="$/NSF",(('Operating Assumptions'!$M25*BJ$25)*'Operating Assumptions'!$D$12)/12))))))))</f>
        <v>-20600</v>
      </c>
      <c r="BK97" s="427">
        <f>-IF(BK$9&lt;'Operating Assumptions'!$D$53,0,IF(BK$6&gt;'Operating Assumptions'!$AA$8,0,IF('Operating Assumptions'!$L25="N/A",0,IF('Operating Assumptions'!$L25="$/Unit/Annual",(('Operating Assumptions'!$M25*BK$25)*BK$36)/12,IF('Operating Assumptions'!$L25="$/Unit/Month",('Operating Assumptions'!$M25*BK$25)*BK$36,IF('Operating Assumptions'!$L25="Fixed Amount",('Operating Assumptions'!$M25*BK$25)/12,IF('Operating Assumptions'!$L25="$/GSF",(('Operating Assumptions'!$M25*BK$25)*'Operating Assumptions'!$D$11)/12,IF('Operating Assumptions'!$L25="$/NSF",(('Operating Assumptions'!$M25*BK$25)*'Operating Assumptions'!$D$12)/12))))))))</f>
        <v>-20600</v>
      </c>
      <c r="BL97" s="427">
        <f>-IF(BL$9&lt;'Operating Assumptions'!$D$53,0,IF(BL$6&gt;'Operating Assumptions'!$AA$8,0,IF('Operating Assumptions'!$L25="N/A",0,IF('Operating Assumptions'!$L25="$/Unit/Annual",(('Operating Assumptions'!$M25*BL$25)*BL$36)/12,IF('Operating Assumptions'!$L25="$/Unit/Month",('Operating Assumptions'!$M25*BL$25)*BL$36,IF('Operating Assumptions'!$L25="Fixed Amount",('Operating Assumptions'!$M25*BL$25)/12,IF('Operating Assumptions'!$L25="$/GSF",(('Operating Assumptions'!$M25*BL$25)*'Operating Assumptions'!$D$11)/12,IF('Operating Assumptions'!$L25="$/NSF",(('Operating Assumptions'!$M25*BL$25)*'Operating Assumptions'!$D$12)/12))))))))</f>
        <v>-20600</v>
      </c>
      <c r="BM97" s="427">
        <f>-IF(BM$9&lt;'Operating Assumptions'!$D$53,0,IF(BM$6&gt;'Operating Assumptions'!$AA$8,0,IF('Operating Assumptions'!$L25="N/A",0,IF('Operating Assumptions'!$L25="$/Unit/Annual",(('Operating Assumptions'!$M25*BM$25)*BM$36)/12,IF('Operating Assumptions'!$L25="$/Unit/Month",('Operating Assumptions'!$M25*BM$25)*BM$36,IF('Operating Assumptions'!$L25="Fixed Amount",('Operating Assumptions'!$M25*BM$25)/12,IF('Operating Assumptions'!$L25="$/GSF",(('Operating Assumptions'!$M25*BM$25)*'Operating Assumptions'!$D$11)/12,IF('Operating Assumptions'!$L25="$/NSF",(('Operating Assumptions'!$M25*BM$25)*'Operating Assumptions'!$D$12)/12))))))))</f>
        <v>-20600</v>
      </c>
      <c r="BN97" s="427">
        <f>-IF(BN$9&lt;'Operating Assumptions'!$D$53,0,IF(BN$6&gt;'Operating Assumptions'!$AA$8,0,IF('Operating Assumptions'!$L25="N/A",0,IF('Operating Assumptions'!$L25="$/Unit/Annual",(('Operating Assumptions'!$M25*BN$25)*BN$36)/12,IF('Operating Assumptions'!$L25="$/Unit/Month",('Operating Assumptions'!$M25*BN$25)*BN$36,IF('Operating Assumptions'!$L25="Fixed Amount",('Operating Assumptions'!$M25*BN$25)/12,IF('Operating Assumptions'!$L25="$/GSF",(('Operating Assumptions'!$M25*BN$25)*'Operating Assumptions'!$D$11)/12,IF('Operating Assumptions'!$L25="$/NSF",(('Operating Assumptions'!$M25*BN$25)*'Operating Assumptions'!$D$12)/12))))))))</f>
        <v>-20600</v>
      </c>
      <c r="BO97" s="427">
        <f>-IF(BO$9&lt;'Operating Assumptions'!$D$53,0,IF(BO$6&gt;'Operating Assumptions'!$AA$8,0,IF('Operating Assumptions'!$L25="N/A",0,IF('Operating Assumptions'!$L25="$/Unit/Annual",(('Operating Assumptions'!$M25*BO$25)*BO$36)/12,IF('Operating Assumptions'!$L25="$/Unit/Month",('Operating Assumptions'!$M25*BO$25)*BO$36,IF('Operating Assumptions'!$L25="Fixed Amount",('Operating Assumptions'!$M25*BO$25)/12,IF('Operating Assumptions'!$L25="$/GSF",(('Operating Assumptions'!$M25*BO$25)*'Operating Assumptions'!$D$11)/12,IF('Operating Assumptions'!$L25="$/NSF",(('Operating Assumptions'!$M25*BO$25)*'Operating Assumptions'!$D$12)/12))))))))</f>
        <v>-20600</v>
      </c>
      <c r="BP97" s="427">
        <f>-IF(BP$9&lt;'Operating Assumptions'!$D$53,0,IF(BP$6&gt;'Operating Assumptions'!$AA$8,0,IF('Operating Assumptions'!$L25="N/A",0,IF('Operating Assumptions'!$L25="$/Unit/Annual",(('Operating Assumptions'!$M25*BP$25)*BP$36)/12,IF('Operating Assumptions'!$L25="$/Unit/Month",('Operating Assumptions'!$M25*BP$25)*BP$36,IF('Operating Assumptions'!$L25="Fixed Amount",('Operating Assumptions'!$M25*BP$25)/12,IF('Operating Assumptions'!$L25="$/GSF",(('Operating Assumptions'!$M25*BP$25)*'Operating Assumptions'!$D$11)/12,IF('Operating Assumptions'!$L25="$/NSF",(('Operating Assumptions'!$M25*BP$25)*'Operating Assumptions'!$D$12)/12))))))))</f>
        <v>-20800</v>
      </c>
      <c r="BQ97" s="427">
        <f>-IF(BQ$9&lt;'Operating Assumptions'!$D$53,0,IF(BQ$6&gt;'Operating Assumptions'!$AA$8,0,IF('Operating Assumptions'!$L25="N/A",0,IF('Operating Assumptions'!$L25="$/Unit/Annual",(('Operating Assumptions'!$M25*BQ$25)*BQ$36)/12,IF('Operating Assumptions'!$L25="$/Unit/Month",('Operating Assumptions'!$M25*BQ$25)*BQ$36,IF('Operating Assumptions'!$L25="Fixed Amount",('Operating Assumptions'!$M25*BQ$25)/12,IF('Operating Assumptions'!$L25="$/GSF",(('Operating Assumptions'!$M25*BQ$25)*'Operating Assumptions'!$D$11)/12,IF('Operating Assumptions'!$L25="$/NSF",(('Operating Assumptions'!$M25*BQ$25)*'Operating Assumptions'!$D$12)/12))))))))</f>
        <v>-20800</v>
      </c>
      <c r="BR97" s="427">
        <f>-IF(BR$9&lt;'Operating Assumptions'!$D$53,0,IF(BR$6&gt;'Operating Assumptions'!$AA$8,0,IF('Operating Assumptions'!$L25="N/A",0,IF('Operating Assumptions'!$L25="$/Unit/Annual",(('Operating Assumptions'!$M25*BR$25)*BR$36)/12,IF('Operating Assumptions'!$L25="$/Unit/Month",('Operating Assumptions'!$M25*BR$25)*BR$36,IF('Operating Assumptions'!$L25="Fixed Amount",('Operating Assumptions'!$M25*BR$25)/12,IF('Operating Assumptions'!$L25="$/GSF",(('Operating Assumptions'!$M25*BR$25)*'Operating Assumptions'!$D$11)/12,IF('Operating Assumptions'!$L25="$/NSF",(('Operating Assumptions'!$M25*BR$25)*'Operating Assumptions'!$D$12)/12))))))))</f>
        <v>-20800</v>
      </c>
      <c r="BS97" s="427">
        <f>-IF(BS$9&lt;'Operating Assumptions'!$D$53,0,IF(BS$6&gt;'Operating Assumptions'!$AA$8,0,IF('Operating Assumptions'!$L25="N/A",0,IF('Operating Assumptions'!$L25="$/Unit/Annual",(('Operating Assumptions'!$M25*BS$25)*BS$36)/12,IF('Operating Assumptions'!$L25="$/Unit/Month",('Operating Assumptions'!$M25*BS$25)*BS$36,IF('Operating Assumptions'!$L25="Fixed Amount",('Operating Assumptions'!$M25*BS$25)/12,IF('Operating Assumptions'!$L25="$/GSF",(('Operating Assumptions'!$M25*BS$25)*'Operating Assumptions'!$D$11)/12,IF('Operating Assumptions'!$L25="$/NSF",(('Operating Assumptions'!$M25*BS$25)*'Operating Assumptions'!$D$12)/12))))))))</f>
        <v>-20800</v>
      </c>
      <c r="BT97" s="427">
        <f>-IF(BT$9&lt;'Operating Assumptions'!$D$53,0,IF(BT$6&gt;'Operating Assumptions'!$AA$8,0,IF('Operating Assumptions'!$L25="N/A",0,IF('Operating Assumptions'!$L25="$/Unit/Annual",(('Operating Assumptions'!$M25*BT$25)*BT$36)/12,IF('Operating Assumptions'!$L25="$/Unit/Month",('Operating Assumptions'!$M25*BT$25)*BT$36,IF('Operating Assumptions'!$L25="Fixed Amount",('Operating Assumptions'!$M25*BT$25)/12,IF('Operating Assumptions'!$L25="$/GSF",(('Operating Assumptions'!$M25*BT$25)*'Operating Assumptions'!$D$11)/12,IF('Operating Assumptions'!$L25="$/NSF",(('Operating Assumptions'!$M25*BT$25)*'Operating Assumptions'!$D$12)/12))))))))</f>
        <v>-20800</v>
      </c>
      <c r="BU97" s="427">
        <f>-IF(BU$9&lt;'Operating Assumptions'!$D$53,0,IF(BU$6&gt;'Operating Assumptions'!$AA$8,0,IF('Operating Assumptions'!$L25="N/A",0,IF('Operating Assumptions'!$L25="$/Unit/Annual",(('Operating Assumptions'!$M25*BU$25)*BU$36)/12,IF('Operating Assumptions'!$L25="$/Unit/Month",('Operating Assumptions'!$M25*BU$25)*BU$36,IF('Operating Assumptions'!$L25="Fixed Amount",('Operating Assumptions'!$M25*BU$25)/12,IF('Operating Assumptions'!$L25="$/GSF",(('Operating Assumptions'!$M25*BU$25)*'Operating Assumptions'!$D$11)/12,IF('Operating Assumptions'!$L25="$/NSF",(('Operating Assumptions'!$M25*BU$25)*'Operating Assumptions'!$D$12)/12))))))))</f>
        <v>-20800</v>
      </c>
      <c r="BV97" s="427">
        <f>-IF(BV$9&lt;'Operating Assumptions'!$D$53,0,IF(BV$6&gt;'Operating Assumptions'!$AA$8,0,IF('Operating Assumptions'!$L25="N/A",0,IF('Operating Assumptions'!$L25="$/Unit/Annual",(('Operating Assumptions'!$M25*BV$25)*BV$36)/12,IF('Operating Assumptions'!$L25="$/Unit/Month",('Operating Assumptions'!$M25*BV$25)*BV$36,IF('Operating Assumptions'!$L25="Fixed Amount",('Operating Assumptions'!$M25*BV$25)/12,IF('Operating Assumptions'!$L25="$/GSF",(('Operating Assumptions'!$M25*BV$25)*'Operating Assumptions'!$D$11)/12,IF('Operating Assumptions'!$L25="$/NSF",(('Operating Assumptions'!$M25*BV$25)*'Operating Assumptions'!$D$12)/12))))))))</f>
        <v>-20800</v>
      </c>
      <c r="BW97" s="427">
        <f>-IF(BW$9&lt;'Operating Assumptions'!$D$53,0,IF(BW$6&gt;'Operating Assumptions'!$AA$8,0,IF('Operating Assumptions'!$L25="N/A",0,IF('Operating Assumptions'!$L25="$/Unit/Annual",(('Operating Assumptions'!$M25*BW$25)*BW$36)/12,IF('Operating Assumptions'!$L25="$/Unit/Month",('Operating Assumptions'!$M25*BW$25)*BW$36,IF('Operating Assumptions'!$L25="Fixed Amount",('Operating Assumptions'!$M25*BW$25)/12,IF('Operating Assumptions'!$L25="$/GSF",(('Operating Assumptions'!$M25*BW$25)*'Operating Assumptions'!$D$11)/12,IF('Operating Assumptions'!$L25="$/NSF",(('Operating Assumptions'!$M25*BW$25)*'Operating Assumptions'!$D$12)/12))))))))</f>
        <v>-20800</v>
      </c>
      <c r="BX97" s="427">
        <f>-IF(BX$9&lt;'Operating Assumptions'!$D$53,0,IF(BX$6&gt;'Operating Assumptions'!$AA$8,0,IF('Operating Assumptions'!$L25="N/A",0,IF('Operating Assumptions'!$L25="$/Unit/Annual",(('Operating Assumptions'!$M25*BX$25)*BX$36)/12,IF('Operating Assumptions'!$L25="$/Unit/Month",('Operating Assumptions'!$M25*BX$25)*BX$36,IF('Operating Assumptions'!$L25="Fixed Amount",('Operating Assumptions'!$M25*BX$25)/12,IF('Operating Assumptions'!$L25="$/GSF",(('Operating Assumptions'!$M25*BX$25)*'Operating Assumptions'!$D$11)/12,IF('Operating Assumptions'!$L25="$/NSF",(('Operating Assumptions'!$M25*BX$25)*'Operating Assumptions'!$D$12)/12))))))))</f>
        <v>-20800</v>
      </c>
      <c r="BY97" s="427">
        <f>-IF(BY$9&lt;'Operating Assumptions'!$D$53,0,IF(BY$6&gt;'Operating Assumptions'!$AA$8,0,IF('Operating Assumptions'!$L25="N/A",0,IF('Operating Assumptions'!$L25="$/Unit/Annual",(('Operating Assumptions'!$M25*BY$25)*BY$36)/12,IF('Operating Assumptions'!$L25="$/Unit/Month",('Operating Assumptions'!$M25*BY$25)*BY$36,IF('Operating Assumptions'!$L25="Fixed Amount",('Operating Assumptions'!$M25*BY$25)/12,IF('Operating Assumptions'!$L25="$/GSF",(('Operating Assumptions'!$M25*BY$25)*'Operating Assumptions'!$D$11)/12,IF('Operating Assumptions'!$L25="$/NSF",(('Operating Assumptions'!$M25*BY$25)*'Operating Assumptions'!$D$12)/12))))))))</f>
        <v>-20800</v>
      </c>
      <c r="BZ97" s="427">
        <f>-IF(BZ$9&lt;'Operating Assumptions'!$D$53,0,IF(BZ$6&gt;'Operating Assumptions'!$AA$8,0,IF('Operating Assumptions'!$L25="N/A",0,IF('Operating Assumptions'!$L25="$/Unit/Annual",(('Operating Assumptions'!$M25*BZ$25)*BZ$36)/12,IF('Operating Assumptions'!$L25="$/Unit/Month",('Operating Assumptions'!$M25*BZ$25)*BZ$36,IF('Operating Assumptions'!$L25="Fixed Amount",('Operating Assumptions'!$M25*BZ$25)/12,IF('Operating Assumptions'!$L25="$/GSF",(('Operating Assumptions'!$M25*BZ$25)*'Operating Assumptions'!$D$11)/12,IF('Operating Assumptions'!$L25="$/NSF",(('Operating Assumptions'!$M25*BZ$25)*'Operating Assumptions'!$D$12)/12))))))))</f>
        <v>-20800</v>
      </c>
      <c r="CA97" s="427">
        <f>-IF(CA$9&lt;'Operating Assumptions'!$D$53,0,IF(CA$6&gt;'Operating Assumptions'!$AA$8,0,IF('Operating Assumptions'!$L25="N/A",0,IF('Operating Assumptions'!$L25="$/Unit/Annual",(('Operating Assumptions'!$M25*CA$25)*CA$36)/12,IF('Operating Assumptions'!$L25="$/Unit/Month",('Operating Assumptions'!$M25*CA$25)*CA$36,IF('Operating Assumptions'!$L25="Fixed Amount",('Operating Assumptions'!$M25*CA$25)/12,IF('Operating Assumptions'!$L25="$/GSF",(('Operating Assumptions'!$M25*CA$25)*'Operating Assumptions'!$D$11)/12,IF('Operating Assumptions'!$L25="$/NSF",(('Operating Assumptions'!$M25*CA$25)*'Operating Assumptions'!$D$12)/12))))))))</f>
        <v>-20800</v>
      </c>
      <c r="CB97" s="427">
        <f>-IF(CB$9&lt;'Operating Assumptions'!$D$53,0,IF(CB$6&gt;'Operating Assumptions'!$AA$8,0,IF('Operating Assumptions'!$L25="N/A",0,IF('Operating Assumptions'!$L25="$/Unit/Annual",(('Operating Assumptions'!$M25*CB$25)*CB$36)/12,IF('Operating Assumptions'!$L25="$/Unit/Month",('Operating Assumptions'!$M25*CB$25)*CB$36,IF('Operating Assumptions'!$L25="Fixed Amount",('Operating Assumptions'!$M25*CB$25)/12,IF('Operating Assumptions'!$L25="$/GSF",(('Operating Assumptions'!$M25*CB$25)*'Operating Assumptions'!$D$11)/12,IF('Operating Assumptions'!$L25="$/NSF",(('Operating Assumptions'!$M25*CB$25)*'Operating Assumptions'!$D$12)/12))))))))</f>
        <v>-21000</v>
      </c>
      <c r="CC97" s="427">
        <f>-IF(CC$9&lt;'Operating Assumptions'!$D$53,0,IF(CC$6&gt;'Operating Assumptions'!$AA$8,0,IF('Operating Assumptions'!$L25="N/A",0,IF('Operating Assumptions'!$L25="$/Unit/Annual",(('Operating Assumptions'!$M25*CC$25)*CC$36)/12,IF('Operating Assumptions'!$L25="$/Unit/Month",('Operating Assumptions'!$M25*CC$25)*CC$36,IF('Operating Assumptions'!$L25="Fixed Amount",('Operating Assumptions'!$M25*CC$25)/12,IF('Operating Assumptions'!$L25="$/GSF",(('Operating Assumptions'!$M25*CC$25)*'Operating Assumptions'!$D$11)/12,IF('Operating Assumptions'!$L25="$/NSF",(('Operating Assumptions'!$M25*CC$25)*'Operating Assumptions'!$D$12)/12))))))))</f>
        <v>-21000</v>
      </c>
      <c r="CD97" s="427">
        <f>-IF(CD$9&lt;'Operating Assumptions'!$D$53,0,IF(CD$6&gt;'Operating Assumptions'!$AA$8,0,IF('Operating Assumptions'!$L25="N/A",0,IF('Operating Assumptions'!$L25="$/Unit/Annual",(('Operating Assumptions'!$M25*CD$25)*CD$36)/12,IF('Operating Assumptions'!$L25="$/Unit/Month",('Operating Assumptions'!$M25*CD$25)*CD$36,IF('Operating Assumptions'!$L25="Fixed Amount",('Operating Assumptions'!$M25*CD$25)/12,IF('Operating Assumptions'!$L25="$/GSF",(('Operating Assumptions'!$M25*CD$25)*'Operating Assumptions'!$D$11)/12,IF('Operating Assumptions'!$L25="$/NSF",(('Operating Assumptions'!$M25*CD$25)*'Operating Assumptions'!$D$12)/12))))))))</f>
        <v>-21000</v>
      </c>
      <c r="CE97" s="427">
        <f>-IF(CE$9&lt;'Operating Assumptions'!$D$53,0,IF(CE$6&gt;'Operating Assumptions'!$AA$8,0,IF('Operating Assumptions'!$L25="N/A",0,IF('Operating Assumptions'!$L25="$/Unit/Annual",(('Operating Assumptions'!$M25*CE$25)*CE$36)/12,IF('Operating Assumptions'!$L25="$/Unit/Month",('Operating Assumptions'!$M25*CE$25)*CE$36,IF('Operating Assumptions'!$L25="Fixed Amount",('Operating Assumptions'!$M25*CE$25)/12,IF('Operating Assumptions'!$L25="$/GSF",(('Operating Assumptions'!$M25*CE$25)*'Operating Assumptions'!$D$11)/12,IF('Operating Assumptions'!$L25="$/NSF",(('Operating Assumptions'!$M25*CE$25)*'Operating Assumptions'!$D$12)/12))))))))</f>
        <v>-21000</v>
      </c>
      <c r="CF97" s="427">
        <f>-IF(CF$9&lt;'Operating Assumptions'!$D$53,0,IF(CF$6&gt;'Operating Assumptions'!$AA$8,0,IF('Operating Assumptions'!$L25="N/A",0,IF('Operating Assumptions'!$L25="$/Unit/Annual",(('Operating Assumptions'!$M25*CF$25)*CF$36)/12,IF('Operating Assumptions'!$L25="$/Unit/Month",('Operating Assumptions'!$M25*CF$25)*CF$36,IF('Operating Assumptions'!$L25="Fixed Amount",('Operating Assumptions'!$M25*CF$25)/12,IF('Operating Assumptions'!$L25="$/GSF",(('Operating Assumptions'!$M25*CF$25)*'Operating Assumptions'!$D$11)/12,IF('Operating Assumptions'!$L25="$/NSF",(('Operating Assumptions'!$M25*CF$25)*'Operating Assumptions'!$D$12)/12))))))))</f>
        <v>-21000</v>
      </c>
      <c r="CG97" s="427">
        <f>-IF(CG$9&lt;'Operating Assumptions'!$D$53,0,IF(CG$6&gt;'Operating Assumptions'!$AA$8,0,IF('Operating Assumptions'!$L25="N/A",0,IF('Operating Assumptions'!$L25="$/Unit/Annual",(('Operating Assumptions'!$M25*CG$25)*CG$36)/12,IF('Operating Assumptions'!$L25="$/Unit/Month",('Operating Assumptions'!$M25*CG$25)*CG$36,IF('Operating Assumptions'!$L25="Fixed Amount",('Operating Assumptions'!$M25*CG$25)/12,IF('Operating Assumptions'!$L25="$/GSF",(('Operating Assumptions'!$M25*CG$25)*'Operating Assumptions'!$D$11)/12,IF('Operating Assumptions'!$L25="$/NSF",(('Operating Assumptions'!$M25*CG$25)*'Operating Assumptions'!$D$12)/12))))))))</f>
        <v>-21000</v>
      </c>
      <c r="CH97" s="427">
        <f>-IF(CH$9&lt;'Operating Assumptions'!$D$53,0,IF(CH$6&gt;'Operating Assumptions'!$AA$8,0,IF('Operating Assumptions'!$L25="N/A",0,IF('Operating Assumptions'!$L25="$/Unit/Annual",(('Operating Assumptions'!$M25*CH$25)*CH$36)/12,IF('Operating Assumptions'!$L25="$/Unit/Month",('Operating Assumptions'!$M25*CH$25)*CH$36,IF('Operating Assumptions'!$L25="Fixed Amount",('Operating Assumptions'!$M25*CH$25)/12,IF('Operating Assumptions'!$L25="$/GSF",(('Operating Assumptions'!$M25*CH$25)*'Operating Assumptions'!$D$11)/12,IF('Operating Assumptions'!$L25="$/NSF",(('Operating Assumptions'!$M25*CH$25)*'Operating Assumptions'!$D$12)/12))))))))</f>
        <v>-21000</v>
      </c>
      <c r="CI97" s="427">
        <f>-IF(CI$9&lt;'Operating Assumptions'!$D$53,0,IF(CI$6&gt;'Operating Assumptions'!$AA$8,0,IF('Operating Assumptions'!$L25="N/A",0,IF('Operating Assumptions'!$L25="$/Unit/Annual",(('Operating Assumptions'!$M25*CI$25)*CI$36)/12,IF('Operating Assumptions'!$L25="$/Unit/Month",('Operating Assumptions'!$M25*CI$25)*CI$36,IF('Operating Assumptions'!$L25="Fixed Amount",('Operating Assumptions'!$M25*CI$25)/12,IF('Operating Assumptions'!$L25="$/GSF",(('Operating Assumptions'!$M25*CI$25)*'Operating Assumptions'!$D$11)/12,IF('Operating Assumptions'!$L25="$/NSF",(('Operating Assumptions'!$M25*CI$25)*'Operating Assumptions'!$D$12)/12))))))))</f>
        <v>-21000</v>
      </c>
      <c r="CJ97" s="427">
        <f>-IF(CJ$9&lt;'Operating Assumptions'!$D$53,0,IF(CJ$6&gt;'Operating Assumptions'!$AA$8,0,IF('Operating Assumptions'!$L25="N/A",0,IF('Operating Assumptions'!$L25="$/Unit/Annual",(('Operating Assumptions'!$M25*CJ$25)*CJ$36)/12,IF('Operating Assumptions'!$L25="$/Unit/Month",('Operating Assumptions'!$M25*CJ$25)*CJ$36,IF('Operating Assumptions'!$L25="Fixed Amount",('Operating Assumptions'!$M25*CJ$25)/12,IF('Operating Assumptions'!$L25="$/GSF",(('Operating Assumptions'!$M25*CJ$25)*'Operating Assumptions'!$D$11)/12,IF('Operating Assumptions'!$L25="$/NSF",(('Operating Assumptions'!$M25*CJ$25)*'Operating Assumptions'!$D$12)/12))))))))</f>
        <v>-21000</v>
      </c>
      <c r="CK97" s="427">
        <f>-IF(CK$9&lt;'Operating Assumptions'!$D$53,0,IF(CK$6&gt;'Operating Assumptions'!$AA$8,0,IF('Operating Assumptions'!$L25="N/A",0,IF('Operating Assumptions'!$L25="$/Unit/Annual",(('Operating Assumptions'!$M25*CK$25)*CK$36)/12,IF('Operating Assumptions'!$L25="$/Unit/Month",('Operating Assumptions'!$M25*CK$25)*CK$36,IF('Operating Assumptions'!$L25="Fixed Amount",('Operating Assumptions'!$M25*CK$25)/12,IF('Operating Assumptions'!$L25="$/GSF",(('Operating Assumptions'!$M25*CK$25)*'Operating Assumptions'!$D$11)/12,IF('Operating Assumptions'!$L25="$/NSF",(('Operating Assumptions'!$M25*CK$25)*'Operating Assumptions'!$D$12)/12))))))))</f>
        <v>-21000</v>
      </c>
      <c r="CL97" s="427">
        <f>-IF(CL$9&lt;'Operating Assumptions'!$D$53,0,IF(CL$6&gt;'Operating Assumptions'!$AA$8,0,IF('Operating Assumptions'!$L25="N/A",0,IF('Operating Assumptions'!$L25="$/Unit/Annual",(('Operating Assumptions'!$M25*CL$25)*CL$36)/12,IF('Operating Assumptions'!$L25="$/Unit/Month",('Operating Assumptions'!$M25*CL$25)*CL$36,IF('Operating Assumptions'!$L25="Fixed Amount",('Operating Assumptions'!$M25*CL$25)/12,IF('Operating Assumptions'!$L25="$/GSF",(('Operating Assumptions'!$M25*CL$25)*'Operating Assumptions'!$D$11)/12,IF('Operating Assumptions'!$L25="$/NSF",(('Operating Assumptions'!$M25*CL$25)*'Operating Assumptions'!$D$12)/12))))))))</f>
        <v>-21000</v>
      </c>
      <c r="CM97" s="427">
        <f>-IF(CM$9&lt;'Operating Assumptions'!$D$53,0,IF(CM$6&gt;'Operating Assumptions'!$AA$8,0,IF('Operating Assumptions'!$L25="N/A",0,IF('Operating Assumptions'!$L25="$/Unit/Annual",(('Operating Assumptions'!$M25*CM$25)*CM$36)/12,IF('Operating Assumptions'!$L25="$/Unit/Month",('Operating Assumptions'!$M25*CM$25)*CM$36,IF('Operating Assumptions'!$L25="Fixed Amount",('Operating Assumptions'!$M25*CM$25)/12,IF('Operating Assumptions'!$L25="$/GSF",(('Operating Assumptions'!$M25*CM$25)*'Operating Assumptions'!$D$11)/12,IF('Operating Assumptions'!$L25="$/NSF",(('Operating Assumptions'!$M25*CM$25)*'Operating Assumptions'!$D$12)/12))))))))</f>
        <v>-21000</v>
      </c>
      <c r="CN97" s="427">
        <f>-IF(CN$9&lt;'Operating Assumptions'!$D$53,0,IF(CN$6&gt;'Operating Assumptions'!$AA$8,0,IF('Operating Assumptions'!$L25="N/A",0,IF('Operating Assumptions'!$L25="$/Unit/Annual",(('Operating Assumptions'!$M25*CN$25)*CN$36)/12,IF('Operating Assumptions'!$L25="$/Unit/Month",('Operating Assumptions'!$M25*CN$25)*CN$36,IF('Operating Assumptions'!$L25="Fixed Amount",('Operating Assumptions'!$M25*CN$25)/12,IF('Operating Assumptions'!$L25="$/GSF",(('Operating Assumptions'!$M25*CN$25)*'Operating Assumptions'!$D$11)/12,IF('Operating Assumptions'!$L25="$/NSF",(('Operating Assumptions'!$M25*CN$25)*'Operating Assumptions'!$D$12)/12))))))))</f>
        <v>-21200</v>
      </c>
      <c r="CO97" s="427">
        <f>-IF(CO$9&lt;'Operating Assumptions'!$D$53,0,IF(CO$6&gt;'Operating Assumptions'!$AA$8,0,IF('Operating Assumptions'!$L25="N/A",0,IF('Operating Assumptions'!$L25="$/Unit/Annual",(('Operating Assumptions'!$M25*CO$25)*CO$36)/12,IF('Operating Assumptions'!$L25="$/Unit/Month",('Operating Assumptions'!$M25*CO$25)*CO$36,IF('Operating Assumptions'!$L25="Fixed Amount",('Operating Assumptions'!$M25*CO$25)/12,IF('Operating Assumptions'!$L25="$/GSF",(('Operating Assumptions'!$M25*CO$25)*'Operating Assumptions'!$D$11)/12,IF('Operating Assumptions'!$L25="$/NSF",(('Operating Assumptions'!$M25*CO$25)*'Operating Assumptions'!$D$12)/12))))))))</f>
        <v>-21200</v>
      </c>
      <c r="CP97" s="427">
        <f>-IF(CP$9&lt;'Operating Assumptions'!$D$53,0,IF(CP$6&gt;'Operating Assumptions'!$AA$8,0,IF('Operating Assumptions'!$L25="N/A",0,IF('Operating Assumptions'!$L25="$/Unit/Annual",(('Operating Assumptions'!$M25*CP$25)*CP$36)/12,IF('Operating Assumptions'!$L25="$/Unit/Month",('Operating Assumptions'!$M25*CP$25)*CP$36,IF('Operating Assumptions'!$L25="Fixed Amount",('Operating Assumptions'!$M25*CP$25)/12,IF('Operating Assumptions'!$L25="$/GSF",(('Operating Assumptions'!$M25*CP$25)*'Operating Assumptions'!$D$11)/12,IF('Operating Assumptions'!$L25="$/NSF",(('Operating Assumptions'!$M25*CP$25)*'Operating Assumptions'!$D$12)/12))))))))</f>
        <v>-21200</v>
      </c>
      <c r="CQ97" s="427">
        <f>-IF(CQ$9&lt;'Operating Assumptions'!$D$53,0,IF(CQ$6&gt;'Operating Assumptions'!$AA$8,0,IF('Operating Assumptions'!$L25="N/A",0,IF('Operating Assumptions'!$L25="$/Unit/Annual",(('Operating Assumptions'!$M25*CQ$25)*CQ$36)/12,IF('Operating Assumptions'!$L25="$/Unit/Month",('Operating Assumptions'!$M25*CQ$25)*CQ$36,IF('Operating Assumptions'!$L25="Fixed Amount",('Operating Assumptions'!$M25*CQ$25)/12,IF('Operating Assumptions'!$L25="$/GSF",(('Operating Assumptions'!$M25*CQ$25)*'Operating Assumptions'!$D$11)/12,IF('Operating Assumptions'!$L25="$/NSF",(('Operating Assumptions'!$M25*CQ$25)*'Operating Assumptions'!$D$12)/12))))))))</f>
        <v>-21200</v>
      </c>
      <c r="CR97" s="427">
        <f>-IF(CR$9&lt;'Operating Assumptions'!$D$53,0,IF(CR$6&gt;'Operating Assumptions'!$AA$8,0,IF('Operating Assumptions'!$L25="N/A",0,IF('Operating Assumptions'!$L25="$/Unit/Annual",(('Operating Assumptions'!$M25*CR$25)*CR$36)/12,IF('Operating Assumptions'!$L25="$/Unit/Month",('Operating Assumptions'!$M25*CR$25)*CR$36,IF('Operating Assumptions'!$L25="Fixed Amount",('Operating Assumptions'!$M25*CR$25)/12,IF('Operating Assumptions'!$L25="$/GSF",(('Operating Assumptions'!$M25*CR$25)*'Operating Assumptions'!$D$11)/12,IF('Operating Assumptions'!$L25="$/NSF",(('Operating Assumptions'!$M25*CR$25)*'Operating Assumptions'!$D$12)/12))))))))</f>
        <v>-21200</v>
      </c>
      <c r="CS97" s="427">
        <f>-IF(CS$9&lt;'Operating Assumptions'!$D$53,0,IF(CS$6&gt;'Operating Assumptions'!$AA$8,0,IF('Operating Assumptions'!$L25="N/A",0,IF('Operating Assumptions'!$L25="$/Unit/Annual",(('Operating Assumptions'!$M25*CS$25)*CS$36)/12,IF('Operating Assumptions'!$L25="$/Unit/Month",('Operating Assumptions'!$M25*CS$25)*CS$36,IF('Operating Assumptions'!$L25="Fixed Amount",('Operating Assumptions'!$M25*CS$25)/12,IF('Operating Assumptions'!$L25="$/GSF",(('Operating Assumptions'!$M25*CS$25)*'Operating Assumptions'!$D$11)/12,IF('Operating Assumptions'!$L25="$/NSF",(('Operating Assumptions'!$M25*CS$25)*'Operating Assumptions'!$D$12)/12))))))))</f>
        <v>-21200</v>
      </c>
      <c r="CT97" s="427">
        <f>-IF(CT$9&lt;'Operating Assumptions'!$D$53,0,IF(CT$6&gt;'Operating Assumptions'!$AA$8,0,IF('Operating Assumptions'!$L25="N/A",0,IF('Operating Assumptions'!$L25="$/Unit/Annual",(('Operating Assumptions'!$M25*CT$25)*CT$36)/12,IF('Operating Assumptions'!$L25="$/Unit/Month",('Operating Assumptions'!$M25*CT$25)*CT$36,IF('Operating Assumptions'!$L25="Fixed Amount",('Operating Assumptions'!$M25*CT$25)/12,IF('Operating Assumptions'!$L25="$/GSF",(('Operating Assumptions'!$M25*CT$25)*'Operating Assumptions'!$D$11)/12,IF('Operating Assumptions'!$L25="$/NSF",(('Operating Assumptions'!$M25*CT$25)*'Operating Assumptions'!$D$12)/12))))))))</f>
        <v>-21200</v>
      </c>
      <c r="CU97" s="427">
        <f>-IF(CU$9&lt;'Operating Assumptions'!$D$53,0,IF(CU$6&gt;'Operating Assumptions'!$AA$8,0,IF('Operating Assumptions'!$L25="N/A",0,IF('Operating Assumptions'!$L25="$/Unit/Annual",(('Operating Assumptions'!$M25*CU$25)*CU$36)/12,IF('Operating Assumptions'!$L25="$/Unit/Month",('Operating Assumptions'!$M25*CU$25)*CU$36,IF('Operating Assumptions'!$L25="Fixed Amount",('Operating Assumptions'!$M25*CU$25)/12,IF('Operating Assumptions'!$L25="$/GSF",(('Operating Assumptions'!$M25*CU$25)*'Operating Assumptions'!$D$11)/12,IF('Operating Assumptions'!$L25="$/NSF",(('Operating Assumptions'!$M25*CU$25)*'Operating Assumptions'!$D$12)/12))))))))</f>
        <v>-21200</v>
      </c>
      <c r="CV97" s="427">
        <f>-IF(CV$9&lt;'Operating Assumptions'!$D$53,0,IF(CV$6&gt;'Operating Assumptions'!$AA$8,0,IF('Operating Assumptions'!$L25="N/A",0,IF('Operating Assumptions'!$L25="$/Unit/Annual",(('Operating Assumptions'!$M25*CV$25)*CV$36)/12,IF('Operating Assumptions'!$L25="$/Unit/Month",('Operating Assumptions'!$M25*CV$25)*CV$36,IF('Operating Assumptions'!$L25="Fixed Amount",('Operating Assumptions'!$M25*CV$25)/12,IF('Operating Assumptions'!$L25="$/GSF",(('Operating Assumptions'!$M25*CV$25)*'Operating Assumptions'!$D$11)/12,IF('Operating Assumptions'!$L25="$/NSF",(('Operating Assumptions'!$M25*CV$25)*'Operating Assumptions'!$D$12)/12))))))))</f>
        <v>-21200</v>
      </c>
      <c r="CW97" s="427">
        <f>-IF(CW$9&lt;'Operating Assumptions'!$D$53,0,IF(CW$6&gt;'Operating Assumptions'!$AA$8,0,IF('Operating Assumptions'!$L25="N/A",0,IF('Operating Assumptions'!$L25="$/Unit/Annual",(('Operating Assumptions'!$M25*CW$25)*CW$36)/12,IF('Operating Assumptions'!$L25="$/Unit/Month",('Operating Assumptions'!$M25*CW$25)*CW$36,IF('Operating Assumptions'!$L25="Fixed Amount",('Operating Assumptions'!$M25*CW$25)/12,IF('Operating Assumptions'!$L25="$/GSF",(('Operating Assumptions'!$M25*CW$25)*'Operating Assumptions'!$D$11)/12,IF('Operating Assumptions'!$L25="$/NSF",(('Operating Assumptions'!$M25*CW$25)*'Operating Assumptions'!$D$12)/12))))))))</f>
        <v>-21200</v>
      </c>
      <c r="CX97" s="427">
        <f>-IF(CX$9&lt;'Operating Assumptions'!$D$53,0,IF(CX$6&gt;'Operating Assumptions'!$AA$8,0,IF('Operating Assumptions'!$L25="N/A",0,IF('Operating Assumptions'!$L25="$/Unit/Annual",(('Operating Assumptions'!$M25*CX$25)*CX$36)/12,IF('Operating Assumptions'!$L25="$/Unit/Month",('Operating Assumptions'!$M25*CX$25)*CX$36,IF('Operating Assumptions'!$L25="Fixed Amount",('Operating Assumptions'!$M25*CX$25)/12,IF('Operating Assumptions'!$L25="$/GSF",(('Operating Assumptions'!$M25*CX$25)*'Operating Assumptions'!$D$11)/12,IF('Operating Assumptions'!$L25="$/NSF",(('Operating Assumptions'!$M25*CX$25)*'Operating Assumptions'!$D$12)/12))))))))</f>
        <v>-21200</v>
      </c>
      <c r="CY97" s="427">
        <f>-IF(CY$9&lt;'Operating Assumptions'!$D$53,0,IF(CY$6&gt;'Operating Assumptions'!$AA$8,0,IF('Operating Assumptions'!$L25="N/A",0,IF('Operating Assumptions'!$L25="$/Unit/Annual",(('Operating Assumptions'!$M25*CY$25)*CY$36)/12,IF('Operating Assumptions'!$L25="$/Unit/Month",('Operating Assumptions'!$M25*CY$25)*CY$36,IF('Operating Assumptions'!$L25="Fixed Amount",('Operating Assumptions'!$M25*CY$25)/12,IF('Operating Assumptions'!$L25="$/GSF",(('Operating Assumptions'!$M25*CY$25)*'Operating Assumptions'!$D$11)/12,IF('Operating Assumptions'!$L25="$/NSF",(('Operating Assumptions'!$M25*CY$25)*'Operating Assumptions'!$D$12)/12))))))))</f>
        <v>-21200</v>
      </c>
      <c r="CZ97" s="427">
        <f>-IF(CZ$9&lt;'Operating Assumptions'!$D$53,0,IF(CZ$6&gt;'Operating Assumptions'!$AA$8,0,IF('Operating Assumptions'!$L25="N/A",0,IF('Operating Assumptions'!$L25="$/Unit/Annual",(('Operating Assumptions'!$M25*CZ$25)*CZ$36)/12,IF('Operating Assumptions'!$L25="$/Unit/Month",('Operating Assumptions'!$M25*CZ$25)*CZ$36,IF('Operating Assumptions'!$L25="Fixed Amount",('Operating Assumptions'!$M25*CZ$25)/12,IF('Operating Assumptions'!$L25="$/GSF",(('Operating Assumptions'!$M25*CZ$25)*'Operating Assumptions'!$D$11)/12,IF('Operating Assumptions'!$L25="$/NSF",(('Operating Assumptions'!$M25*CZ$25)*'Operating Assumptions'!$D$12)/12))))))))</f>
        <v>-21400</v>
      </c>
      <c r="DA97" s="427">
        <f>-IF(DA$9&lt;'Operating Assumptions'!$D$53,0,IF(DA$6&gt;'Operating Assumptions'!$AA$8,0,IF('Operating Assumptions'!$L25="N/A",0,IF('Operating Assumptions'!$L25="$/Unit/Annual",(('Operating Assumptions'!$M25*DA$25)*DA$36)/12,IF('Operating Assumptions'!$L25="$/Unit/Month",('Operating Assumptions'!$M25*DA$25)*DA$36,IF('Operating Assumptions'!$L25="Fixed Amount",('Operating Assumptions'!$M25*DA$25)/12,IF('Operating Assumptions'!$L25="$/GSF",(('Operating Assumptions'!$M25*DA$25)*'Operating Assumptions'!$D$11)/12,IF('Operating Assumptions'!$L25="$/NSF",(('Operating Assumptions'!$M25*DA$25)*'Operating Assumptions'!$D$12)/12))))))))</f>
        <v>-21400</v>
      </c>
      <c r="DB97" s="427">
        <f>-IF(DB$9&lt;'Operating Assumptions'!$D$53,0,IF(DB$6&gt;'Operating Assumptions'!$AA$8,0,IF('Operating Assumptions'!$L25="N/A",0,IF('Operating Assumptions'!$L25="$/Unit/Annual",(('Operating Assumptions'!$M25*DB$25)*DB$36)/12,IF('Operating Assumptions'!$L25="$/Unit/Month",('Operating Assumptions'!$M25*DB$25)*DB$36,IF('Operating Assumptions'!$L25="Fixed Amount",('Operating Assumptions'!$M25*DB$25)/12,IF('Operating Assumptions'!$L25="$/GSF",(('Operating Assumptions'!$M25*DB$25)*'Operating Assumptions'!$D$11)/12,IF('Operating Assumptions'!$L25="$/NSF",(('Operating Assumptions'!$M25*DB$25)*'Operating Assumptions'!$D$12)/12))))))))</f>
        <v>-21400</v>
      </c>
      <c r="DC97" s="427">
        <f>-IF(DC$9&lt;'Operating Assumptions'!$D$53,0,IF(DC$6&gt;'Operating Assumptions'!$AA$8,0,IF('Operating Assumptions'!$L25="N/A",0,IF('Operating Assumptions'!$L25="$/Unit/Annual",(('Operating Assumptions'!$M25*DC$25)*DC$36)/12,IF('Operating Assumptions'!$L25="$/Unit/Month",('Operating Assumptions'!$M25*DC$25)*DC$36,IF('Operating Assumptions'!$L25="Fixed Amount",('Operating Assumptions'!$M25*DC$25)/12,IF('Operating Assumptions'!$L25="$/GSF",(('Operating Assumptions'!$M25*DC$25)*'Operating Assumptions'!$D$11)/12,IF('Operating Assumptions'!$L25="$/NSF",(('Operating Assumptions'!$M25*DC$25)*'Operating Assumptions'!$D$12)/12))))))))</f>
        <v>-21400</v>
      </c>
      <c r="DD97" s="427">
        <f>-IF(DD$9&lt;'Operating Assumptions'!$D$53,0,IF(DD$6&gt;'Operating Assumptions'!$AA$8,0,IF('Operating Assumptions'!$L25="N/A",0,IF('Operating Assumptions'!$L25="$/Unit/Annual",(('Operating Assumptions'!$M25*DD$25)*DD$36)/12,IF('Operating Assumptions'!$L25="$/Unit/Month",('Operating Assumptions'!$M25*DD$25)*DD$36,IF('Operating Assumptions'!$L25="Fixed Amount",('Operating Assumptions'!$M25*DD$25)/12,IF('Operating Assumptions'!$L25="$/GSF",(('Operating Assumptions'!$M25*DD$25)*'Operating Assumptions'!$D$11)/12,IF('Operating Assumptions'!$L25="$/NSF",(('Operating Assumptions'!$M25*DD$25)*'Operating Assumptions'!$D$12)/12))))))))</f>
        <v>-21400</v>
      </c>
      <c r="DE97" s="427">
        <f>-IF(DE$9&lt;'Operating Assumptions'!$D$53,0,IF(DE$6&gt;'Operating Assumptions'!$AA$8,0,IF('Operating Assumptions'!$L25="N/A",0,IF('Operating Assumptions'!$L25="$/Unit/Annual",(('Operating Assumptions'!$M25*DE$25)*DE$36)/12,IF('Operating Assumptions'!$L25="$/Unit/Month",('Operating Assumptions'!$M25*DE$25)*DE$36,IF('Operating Assumptions'!$L25="Fixed Amount",('Operating Assumptions'!$M25*DE$25)/12,IF('Operating Assumptions'!$L25="$/GSF",(('Operating Assumptions'!$M25*DE$25)*'Operating Assumptions'!$D$11)/12,IF('Operating Assumptions'!$L25="$/NSF",(('Operating Assumptions'!$M25*DE$25)*'Operating Assumptions'!$D$12)/12))))))))</f>
        <v>-21400</v>
      </c>
      <c r="DF97" s="427">
        <f>-IF(DF$9&lt;'Operating Assumptions'!$D$53,0,IF(DF$6&gt;'Operating Assumptions'!$AA$8,0,IF('Operating Assumptions'!$L25="N/A",0,IF('Operating Assumptions'!$L25="$/Unit/Annual",(('Operating Assumptions'!$M25*DF$25)*DF$36)/12,IF('Operating Assumptions'!$L25="$/Unit/Month",('Operating Assumptions'!$M25*DF$25)*DF$36,IF('Operating Assumptions'!$L25="Fixed Amount",('Operating Assumptions'!$M25*DF$25)/12,IF('Operating Assumptions'!$L25="$/GSF",(('Operating Assumptions'!$M25*DF$25)*'Operating Assumptions'!$D$11)/12,IF('Operating Assumptions'!$L25="$/NSF",(('Operating Assumptions'!$M25*DF$25)*'Operating Assumptions'!$D$12)/12))))))))</f>
        <v>-21400</v>
      </c>
      <c r="DG97" s="427">
        <f>-IF(DG$9&lt;'Operating Assumptions'!$D$53,0,IF(DG$6&gt;'Operating Assumptions'!$AA$8,0,IF('Operating Assumptions'!$L25="N/A",0,IF('Operating Assumptions'!$L25="$/Unit/Annual",(('Operating Assumptions'!$M25*DG$25)*DG$36)/12,IF('Operating Assumptions'!$L25="$/Unit/Month",('Operating Assumptions'!$M25*DG$25)*DG$36,IF('Operating Assumptions'!$L25="Fixed Amount",('Operating Assumptions'!$M25*DG$25)/12,IF('Operating Assumptions'!$L25="$/GSF",(('Operating Assumptions'!$M25*DG$25)*'Operating Assumptions'!$D$11)/12,IF('Operating Assumptions'!$L25="$/NSF",(('Operating Assumptions'!$M25*DG$25)*'Operating Assumptions'!$D$12)/12))))))))</f>
        <v>-21400</v>
      </c>
      <c r="DH97" s="427">
        <f>-IF(DH$9&lt;'Operating Assumptions'!$D$53,0,IF(DH$6&gt;'Operating Assumptions'!$AA$8,0,IF('Operating Assumptions'!$L25="N/A",0,IF('Operating Assumptions'!$L25="$/Unit/Annual",(('Operating Assumptions'!$M25*DH$25)*DH$36)/12,IF('Operating Assumptions'!$L25="$/Unit/Month",('Operating Assumptions'!$M25*DH$25)*DH$36,IF('Operating Assumptions'!$L25="Fixed Amount",('Operating Assumptions'!$M25*DH$25)/12,IF('Operating Assumptions'!$L25="$/GSF",(('Operating Assumptions'!$M25*DH$25)*'Operating Assumptions'!$D$11)/12,IF('Operating Assumptions'!$L25="$/NSF",(('Operating Assumptions'!$M25*DH$25)*'Operating Assumptions'!$D$12)/12))))))))</f>
        <v>-21400</v>
      </c>
      <c r="DI97" s="427">
        <f>-IF(DI$9&lt;'Operating Assumptions'!$D$53,0,IF(DI$6&gt;'Operating Assumptions'!$AA$8,0,IF('Operating Assumptions'!$L25="N/A",0,IF('Operating Assumptions'!$L25="$/Unit/Annual",(('Operating Assumptions'!$M25*DI$25)*DI$36)/12,IF('Operating Assumptions'!$L25="$/Unit/Month",('Operating Assumptions'!$M25*DI$25)*DI$36,IF('Operating Assumptions'!$L25="Fixed Amount",('Operating Assumptions'!$M25*DI$25)/12,IF('Operating Assumptions'!$L25="$/GSF",(('Operating Assumptions'!$M25*DI$25)*'Operating Assumptions'!$D$11)/12,IF('Operating Assumptions'!$L25="$/NSF",(('Operating Assumptions'!$M25*DI$25)*'Operating Assumptions'!$D$12)/12))))))))</f>
        <v>-21400</v>
      </c>
      <c r="DJ97" s="427">
        <f>-IF(DJ$9&lt;'Operating Assumptions'!$D$53,0,IF(DJ$6&gt;'Operating Assumptions'!$AA$8,0,IF('Operating Assumptions'!$L25="N/A",0,IF('Operating Assumptions'!$L25="$/Unit/Annual",(('Operating Assumptions'!$M25*DJ$25)*DJ$36)/12,IF('Operating Assumptions'!$L25="$/Unit/Month",('Operating Assumptions'!$M25*DJ$25)*DJ$36,IF('Operating Assumptions'!$L25="Fixed Amount",('Operating Assumptions'!$M25*DJ$25)/12,IF('Operating Assumptions'!$L25="$/GSF",(('Operating Assumptions'!$M25*DJ$25)*'Operating Assumptions'!$D$11)/12,IF('Operating Assumptions'!$L25="$/NSF",(('Operating Assumptions'!$M25*DJ$25)*'Operating Assumptions'!$D$12)/12))))))))</f>
        <v>-21400</v>
      </c>
      <c r="DK97" s="427">
        <f>-IF(DK$9&lt;'Operating Assumptions'!$D$53,0,IF(DK$6&gt;'Operating Assumptions'!$AA$8,0,IF('Operating Assumptions'!$L25="N/A",0,IF('Operating Assumptions'!$L25="$/Unit/Annual",(('Operating Assumptions'!$M25*DK$25)*DK$36)/12,IF('Operating Assumptions'!$L25="$/Unit/Month",('Operating Assumptions'!$M25*DK$25)*DK$36,IF('Operating Assumptions'!$L25="Fixed Amount",('Operating Assumptions'!$M25*DK$25)/12,IF('Operating Assumptions'!$L25="$/GSF",(('Operating Assumptions'!$M25*DK$25)*'Operating Assumptions'!$D$11)/12,IF('Operating Assumptions'!$L25="$/NSF",(('Operating Assumptions'!$M25*DK$25)*'Operating Assumptions'!$D$12)/12))))))))</f>
        <v>-21400</v>
      </c>
      <c r="DL97" s="427">
        <f>-IF(DL$9&lt;'Operating Assumptions'!$D$53,0,IF(DL$6&gt;'Operating Assumptions'!$AA$8,0,IF('Operating Assumptions'!$L25="N/A",0,IF('Operating Assumptions'!$L25="$/Unit/Annual",(('Operating Assumptions'!$M25*DL$25)*DL$36)/12,IF('Operating Assumptions'!$L25="$/Unit/Month",('Operating Assumptions'!$M25*DL$25)*DL$36,IF('Operating Assumptions'!$L25="Fixed Amount",('Operating Assumptions'!$M25*DL$25)/12,IF('Operating Assumptions'!$L25="$/GSF",(('Operating Assumptions'!$M25*DL$25)*'Operating Assumptions'!$D$11)/12,IF('Operating Assumptions'!$L25="$/NSF",(('Operating Assumptions'!$M25*DL$25)*'Operating Assumptions'!$D$12)/12))))))))</f>
        <v>-21600</v>
      </c>
      <c r="DM97" s="427">
        <f>-IF(DM$9&lt;'Operating Assumptions'!$D$53,0,IF(DM$6&gt;'Operating Assumptions'!$AA$8,0,IF('Operating Assumptions'!$L25="N/A",0,IF('Operating Assumptions'!$L25="$/Unit/Annual",(('Operating Assumptions'!$M25*DM$25)*DM$36)/12,IF('Operating Assumptions'!$L25="$/Unit/Month",('Operating Assumptions'!$M25*DM$25)*DM$36,IF('Operating Assumptions'!$L25="Fixed Amount",('Operating Assumptions'!$M25*DM$25)/12,IF('Operating Assumptions'!$L25="$/GSF",(('Operating Assumptions'!$M25*DM$25)*'Operating Assumptions'!$D$11)/12,IF('Operating Assumptions'!$L25="$/NSF",(('Operating Assumptions'!$M25*DM$25)*'Operating Assumptions'!$D$12)/12))))))))</f>
        <v>-21600</v>
      </c>
      <c r="DN97" s="427">
        <f>-IF(DN$9&lt;'Operating Assumptions'!$D$53,0,IF(DN$6&gt;'Operating Assumptions'!$AA$8,0,IF('Operating Assumptions'!$L25="N/A",0,IF('Operating Assumptions'!$L25="$/Unit/Annual",(('Operating Assumptions'!$M25*DN$25)*DN$36)/12,IF('Operating Assumptions'!$L25="$/Unit/Month",('Operating Assumptions'!$M25*DN$25)*DN$36,IF('Operating Assumptions'!$L25="Fixed Amount",('Operating Assumptions'!$M25*DN$25)/12,IF('Operating Assumptions'!$L25="$/GSF",(('Operating Assumptions'!$M25*DN$25)*'Operating Assumptions'!$D$11)/12,IF('Operating Assumptions'!$L25="$/NSF",(('Operating Assumptions'!$M25*DN$25)*'Operating Assumptions'!$D$12)/12))))))))</f>
        <v>-21600</v>
      </c>
      <c r="DO97" s="427">
        <f>-IF(DO$9&lt;'Operating Assumptions'!$D$53,0,IF(DO$6&gt;'Operating Assumptions'!$AA$8,0,IF('Operating Assumptions'!$L25="N/A",0,IF('Operating Assumptions'!$L25="$/Unit/Annual",(('Operating Assumptions'!$M25*DO$25)*DO$36)/12,IF('Operating Assumptions'!$L25="$/Unit/Month",('Operating Assumptions'!$M25*DO$25)*DO$36,IF('Operating Assumptions'!$L25="Fixed Amount",('Operating Assumptions'!$M25*DO$25)/12,IF('Operating Assumptions'!$L25="$/GSF",(('Operating Assumptions'!$M25*DO$25)*'Operating Assumptions'!$D$11)/12,IF('Operating Assumptions'!$L25="$/NSF",(('Operating Assumptions'!$M25*DO$25)*'Operating Assumptions'!$D$12)/12))))))))</f>
        <v>-21600</v>
      </c>
      <c r="DP97" s="427">
        <f>-IF(DP$9&lt;'Operating Assumptions'!$D$53,0,IF(DP$6&gt;'Operating Assumptions'!$AA$8,0,IF('Operating Assumptions'!$L25="N/A",0,IF('Operating Assumptions'!$L25="$/Unit/Annual",(('Operating Assumptions'!$M25*DP$25)*DP$36)/12,IF('Operating Assumptions'!$L25="$/Unit/Month",('Operating Assumptions'!$M25*DP$25)*DP$36,IF('Operating Assumptions'!$L25="Fixed Amount",('Operating Assumptions'!$M25*DP$25)/12,IF('Operating Assumptions'!$L25="$/GSF",(('Operating Assumptions'!$M25*DP$25)*'Operating Assumptions'!$D$11)/12,IF('Operating Assumptions'!$L25="$/NSF",(('Operating Assumptions'!$M25*DP$25)*'Operating Assumptions'!$D$12)/12))))))))</f>
        <v>-21600</v>
      </c>
      <c r="DQ97" s="427">
        <f>-IF(DQ$9&lt;'Operating Assumptions'!$D$53,0,IF(DQ$6&gt;'Operating Assumptions'!$AA$8,0,IF('Operating Assumptions'!$L25="N/A",0,IF('Operating Assumptions'!$L25="$/Unit/Annual",(('Operating Assumptions'!$M25*DQ$25)*DQ$36)/12,IF('Operating Assumptions'!$L25="$/Unit/Month",('Operating Assumptions'!$M25*DQ$25)*DQ$36,IF('Operating Assumptions'!$L25="Fixed Amount",('Operating Assumptions'!$M25*DQ$25)/12,IF('Operating Assumptions'!$L25="$/GSF",(('Operating Assumptions'!$M25*DQ$25)*'Operating Assumptions'!$D$11)/12,IF('Operating Assumptions'!$L25="$/NSF",(('Operating Assumptions'!$M25*DQ$25)*'Operating Assumptions'!$D$12)/12))))))))</f>
        <v>-21600</v>
      </c>
      <c r="DR97" s="427">
        <f>-IF(DR$9&lt;'Operating Assumptions'!$D$53,0,IF(DR$6&gt;'Operating Assumptions'!$AA$8,0,IF('Operating Assumptions'!$L25="N/A",0,IF('Operating Assumptions'!$L25="$/Unit/Annual",(('Operating Assumptions'!$M25*DR$25)*DR$36)/12,IF('Operating Assumptions'!$L25="$/Unit/Month",('Operating Assumptions'!$M25*DR$25)*DR$36,IF('Operating Assumptions'!$L25="Fixed Amount",('Operating Assumptions'!$M25*DR$25)/12,IF('Operating Assumptions'!$L25="$/GSF",(('Operating Assumptions'!$M25*DR$25)*'Operating Assumptions'!$D$11)/12,IF('Operating Assumptions'!$L25="$/NSF",(('Operating Assumptions'!$M25*DR$25)*'Operating Assumptions'!$D$12)/12))))))))</f>
        <v>-21600</v>
      </c>
      <c r="DS97" s="427">
        <f>-IF(DS$9&lt;'Operating Assumptions'!$D$53,0,IF(DS$6&gt;'Operating Assumptions'!$AA$8,0,IF('Operating Assumptions'!$L25="N/A",0,IF('Operating Assumptions'!$L25="$/Unit/Annual",(('Operating Assumptions'!$M25*DS$25)*DS$36)/12,IF('Operating Assumptions'!$L25="$/Unit/Month",('Operating Assumptions'!$M25*DS$25)*DS$36,IF('Operating Assumptions'!$L25="Fixed Amount",('Operating Assumptions'!$M25*DS$25)/12,IF('Operating Assumptions'!$L25="$/GSF",(('Operating Assumptions'!$M25*DS$25)*'Operating Assumptions'!$D$11)/12,IF('Operating Assumptions'!$L25="$/NSF",(('Operating Assumptions'!$M25*DS$25)*'Operating Assumptions'!$D$12)/12))))))))</f>
        <v>-21600</v>
      </c>
      <c r="DT97" s="427">
        <f>-IF(DT$9&lt;'Operating Assumptions'!$D$53,0,IF(DT$6&gt;'Operating Assumptions'!$AA$8,0,IF('Operating Assumptions'!$L25="N/A",0,IF('Operating Assumptions'!$L25="$/Unit/Annual",(('Operating Assumptions'!$M25*DT$25)*DT$36)/12,IF('Operating Assumptions'!$L25="$/Unit/Month",('Operating Assumptions'!$M25*DT$25)*DT$36,IF('Operating Assumptions'!$L25="Fixed Amount",('Operating Assumptions'!$M25*DT$25)/12,IF('Operating Assumptions'!$L25="$/GSF",(('Operating Assumptions'!$M25*DT$25)*'Operating Assumptions'!$D$11)/12,IF('Operating Assumptions'!$L25="$/NSF",(('Operating Assumptions'!$M25*DT$25)*'Operating Assumptions'!$D$12)/12))))))))</f>
        <v>-21600</v>
      </c>
      <c r="DU97" s="427">
        <f>-IF(DU$9&lt;'Operating Assumptions'!$D$53,0,IF(DU$6&gt;'Operating Assumptions'!$AA$8,0,IF('Operating Assumptions'!$L25="N/A",0,IF('Operating Assumptions'!$L25="$/Unit/Annual",(('Operating Assumptions'!$M25*DU$25)*DU$36)/12,IF('Operating Assumptions'!$L25="$/Unit/Month",('Operating Assumptions'!$M25*DU$25)*DU$36,IF('Operating Assumptions'!$L25="Fixed Amount",('Operating Assumptions'!$M25*DU$25)/12,IF('Operating Assumptions'!$L25="$/GSF",(('Operating Assumptions'!$M25*DU$25)*'Operating Assumptions'!$D$11)/12,IF('Operating Assumptions'!$L25="$/NSF",(('Operating Assumptions'!$M25*DU$25)*'Operating Assumptions'!$D$12)/12))))))))</f>
        <v>-21600</v>
      </c>
      <c r="DV97" s="427">
        <f>-IF(DV$9&lt;'Operating Assumptions'!$D$53,0,IF(DV$6&gt;'Operating Assumptions'!$AA$8,0,IF('Operating Assumptions'!$L25="N/A",0,IF('Operating Assumptions'!$L25="$/Unit/Annual",(('Operating Assumptions'!$M25*DV$25)*DV$36)/12,IF('Operating Assumptions'!$L25="$/Unit/Month",('Operating Assumptions'!$M25*DV$25)*DV$36,IF('Operating Assumptions'!$L25="Fixed Amount",('Operating Assumptions'!$M25*DV$25)/12,IF('Operating Assumptions'!$L25="$/GSF",(('Operating Assumptions'!$M25*DV$25)*'Operating Assumptions'!$D$11)/12,IF('Operating Assumptions'!$L25="$/NSF",(('Operating Assumptions'!$M25*DV$25)*'Operating Assumptions'!$D$12)/12))))))))</f>
        <v>-21600</v>
      </c>
      <c r="DW97" s="427">
        <f>-IF(DW$9&lt;'Operating Assumptions'!$D$53,0,IF(DW$6&gt;'Operating Assumptions'!$AA$8,0,IF('Operating Assumptions'!$L25="N/A",0,IF('Operating Assumptions'!$L25="$/Unit/Annual",(('Operating Assumptions'!$M25*DW$25)*DW$36)/12,IF('Operating Assumptions'!$L25="$/Unit/Month",('Operating Assumptions'!$M25*DW$25)*DW$36,IF('Operating Assumptions'!$L25="Fixed Amount",('Operating Assumptions'!$M25*DW$25)/12,IF('Operating Assumptions'!$L25="$/GSF",(('Operating Assumptions'!$M25*DW$25)*'Operating Assumptions'!$D$11)/12,IF('Operating Assumptions'!$L25="$/NSF",(('Operating Assumptions'!$M25*DW$25)*'Operating Assumptions'!$D$12)/12))))))))</f>
        <v>-21600</v>
      </c>
      <c r="DX97" s="427">
        <f>-IF(DX$9&lt;'Operating Assumptions'!$D$53,0,IF(DX$6&gt;'Operating Assumptions'!$AA$8,0,IF('Operating Assumptions'!$L25="N/A",0,IF('Operating Assumptions'!$L25="$/Unit/Annual",(('Operating Assumptions'!$M25*DX$25)*DX$36)/12,IF('Operating Assumptions'!$L25="$/Unit/Month",('Operating Assumptions'!$M25*DX$25)*DX$36,IF('Operating Assumptions'!$L25="Fixed Amount",('Operating Assumptions'!$M25*DX$25)/12,IF('Operating Assumptions'!$L25="$/GSF",(('Operating Assumptions'!$M25*DX$25)*'Operating Assumptions'!$D$11)/12,IF('Operating Assumptions'!$L25="$/NSF",(('Operating Assumptions'!$M25*DX$25)*'Operating Assumptions'!$D$12)/12))))))))</f>
        <v>-21800</v>
      </c>
      <c r="DY97" s="427">
        <f>-IF(DY$9&lt;'Operating Assumptions'!$D$53,0,IF(DY$6&gt;'Operating Assumptions'!$AA$8,0,IF('Operating Assumptions'!$L25="N/A",0,IF('Operating Assumptions'!$L25="$/Unit/Annual",(('Operating Assumptions'!$M25*DY$25)*DY$36)/12,IF('Operating Assumptions'!$L25="$/Unit/Month",('Operating Assumptions'!$M25*DY$25)*DY$36,IF('Operating Assumptions'!$L25="Fixed Amount",('Operating Assumptions'!$M25*DY$25)/12,IF('Operating Assumptions'!$L25="$/GSF",(('Operating Assumptions'!$M25*DY$25)*'Operating Assumptions'!$D$11)/12,IF('Operating Assumptions'!$L25="$/NSF",(('Operating Assumptions'!$M25*DY$25)*'Operating Assumptions'!$D$12)/12))))))))</f>
        <v>-21800</v>
      </c>
      <c r="DZ97" s="427">
        <f>-IF(DZ$9&lt;'Operating Assumptions'!$D$53,0,IF(DZ$6&gt;'Operating Assumptions'!$AA$8,0,IF('Operating Assumptions'!$L25="N/A",0,IF('Operating Assumptions'!$L25="$/Unit/Annual",(('Operating Assumptions'!$M25*DZ$25)*DZ$36)/12,IF('Operating Assumptions'!$L25="$/Unit/Month",('Operating Assumptions'!$M25*DZ$25)*DZ$36,IF('Operating Assumptions'!$L25="Fixed Amount",('Operating Assumptions'!$M25*DZ$25)/12,IF('Operating Assumptions'!$L25="$/GSF",(('Operating Assumptions'!$M25*DZ$25)*'Operating Assumptions'!$D$11)/12,IF('Operating Assumptions'!$L25="$/NSF",(('Operating Assumptions'!$M25*DZ$25)*'Operating Assumptions'!$D$12)/12))))))))</f>
        <v>-21800</v>
      </c>
      <c r="EA97" s="427">
        <f>-IF(EA$9&lt;'Operating Assumptions'!$D$53,0,IF(EA$6&gt;'Operating Assumptions'!$AA$8,0,IF('Operating Assumptions'!$L25="N/A",0,IF('Operating Assumptions'!$L25="$/Unit/Annual",(('Operating Assumptions'!$M25*EA$25)*EA$36)/12,IF('Operating Assumptions'!$L25="$/Unit/Month",('Operating Assumptions'!$M25*EA$25)*EA$36,IF('Operating Assumptions'!$L25="Fixed Amount",('Operating Assumptions'!$M25*EA$25)/12,IF('Operating Assumptions'!$L25="$/GSF",(('Operating Assumptions'!$M25*EA$25)*'Operating Assumptions'!$D$11)/12,IF('Operating Assumptions'!$L25="$/NSF",(('Operating Assumptions'!$M25*EA$25)*'Operating Assumptions'!$D$12)/12))))))))</f>
        <v>-21800</v>
      </c>
      <c r="EB97" s="427">
        <f>-IF(EB$9&lt;'Operating Assumptions'!$D$53,0,IF(EB$6&gt;'Operating Assumptions'!$AA$8,0,IF('Operating Assumptions'!$L25="N/A",0,IF('Operating Assumptions'!$L25="$/Unit/Annual",(('Operating Assumptions'!$M25*EB$25)*EB$36)/12,IF('Operating Assumptions'!$L25="$/Unit/Month",('Operating Assumptions'!$M25*EB$25)*EB$36,IF('Operating Assumptions'!$L25="Fixed Amount",('Operating Assumptions'!$M25*EB$25)/12,IF('Operating Assumptions'!$L25="$/GSF",(('Operating Assumptions'!$M25*EB$25)*'Operating Assumptions'!$D$11)/12,IF('Operating Assumptions'!$L25="$/NSF",(('Operating Assumptions'!$M25*EB$25)*'Operating Assumptions'!$D$12)/12))))))))</f>
        <v>-21800</v>
      </c>
      <c r="EC97" s="427">
        <f>-IF(EC$9&lt;'Operating Assumptions'!$D$53,0,IF(EC$6&gt;'Operating Assumptions'!$AA$8,0,IF('Operating Assumptions'!$L25="N/A",0,IF('Operating Assumptions'!$L25="$/Unit/Annual",(('Operating Assumptions'!$M25*EC$25)*EC$36)/12,IF('Operating Assumptions'!$L25="$/Unit/Month",('Operating Assumptions'!$M25*EC$25)*EC$36,IF('Operating Assumptions'!$L25="Fixed Amount",('Operating Assumptions'!$M25*EC$25)/12,IF('Operating Assumptions'!$L25="$/GSF",(('Operating Assumptions'!$M25*EC$25)*'Operating Assumptions'!$D$11)/12,IF('Operating Assumptions'!$L25="$/NSF",(('Operating Assumptions'!$M25*EC$25)*'Operating Assumptions'!$D$12)/12))))))))</f>
        <v>-21800</v>
      </c>
      <c r="ED97" s="427">
        <f>-IF(ED$9&lt;'Operating Assumptions'!$D$53,0,IF(ED$6&gt;'Operating Assumptions'!$AA$8,0,IF('Operating Assumptions'!$L25="N/A",0,IF('Operating Assumptions'!$L25="$/Unit/Annual",(('Operating Assumptions'!$M25*ED$25)*ED$36)/12,IF('Operating Assumptions'!$L25="$/Unit/Month",('Operating Assumptions'!$M25*ED$25)*ED$36,IF('Operating Assumptions'!$L25="Fixed Amount",('Operating Assumptions'!$M25*ED$25)/12,IF('Operating Assumptions'!$L25="$/GSF",(('Operating Assumptions'!$M25*ED$25)*'Operating Assumptions'!$D$11)/12,IF('Operating Assumptions'!$L25="$/NSF",(('Operating Assumptions'!$M25*ED$25)*'Operating Assumptions'!$D$12)/12))))))))</f>
        <v>-21800</v>
      </c>
      <c r="EE97" s="427">
        <f>-IF(EE$9&lt;'Operating Assumptions'!$D$53,0,IF(EE$6&gt;'Operating Assumptions'!$AA$8,0,IF('Operating Assumptions'!$L25="N/A",0,IF('Operating Assumptions'!$L25="$/Unit/Annual",(('Operating Assumptions'!$M25*EE$25)*EE$36)/12,IF('Operating Assumptions'!$L25="$/Unit/Month",('Operating Assumptions'!$M25*EE$25)*EE$36,IF('Operating Assumptions'!$L25="Fixed Amount",('Operating Assumptions'!$M25*EE$25)/12,IF('Operating Assumptions'!$L25="$/GSF",(('Operating Assumptions'!$M25*EE$25)*'Operating Assumptions'!$D$11)/12,IF('Operating Assumptions'!$L25="$/NSF",(('Operating Assumptions'!$M25*EE$25)*'Operating Assumptions'!$D$12)/12))))))))</f>
        <v>-21800</v>
      </c>
      <c r="EF97" s="427">
        <f>-IF(EF$9&lt;'Operating Assumptions'!$D$53,0,IF(EF$6&gt;'Operating Assumptions'!$AA$8,0,IF('Operating Assumptions'!$L25="N/A",0,IF('Operating Assumptions'!$L25="$/Unit/Annual",(('Operating Assumptions'!$M25*EF$25)*EF$36)/12,IF('Operating Assumptions'!$L25="$/Unit/Month",('Operating Assumptions'!$M25*EF$25)*EF$36,IF('Operating Assumptions'!$L25="Fixed Amount",('Operating Assumptions'!$M25*EF$25)/12,IF('Operating Assumptions'!$L25="$/GSF",(('Operating Assumptions'!$M25*EF$25)*'Operating Assumptions'!$D$11)/12,IF('Operating Assumptions'!$L25="$/NSF",(('Operating Assumptions'!$M25*EF$25)*'Operating Assumptions'!$D$12)/12))))))))</f>
        <v>-21800</v>
      </c>
      <c r="EG97" s="427">
        <f>-IF(EG$9&lt;'Operating Assumptions'!$D$53,0,IF(EG$6&gt;'Operating Assumptions'!$AA$8,0,IF('Operating Assumptions'!$L25="N/A",0,IF('Operating Assumptions'!$L25="$/Unit/Annual",(('Operating Assumptions'!$M25*EG$25)*EG$36)/12,IF('Operating Assumptions'!$L25="$/Unit/Month",('Operating Assumptions'!$M25*EG$25)*EG$36,IF('Operating Assumptions'!$L25="Fixed Amount",('Operating Assumptions'!$M25*EG$25)/12,IF('Operating Assumptions'!$L25="$/GSF",(('Operating Assumptions'!$M25*EG$25)*'Operating Assumptions'!$D$11)/12,IF('Operating Assumptions'!$L25="$/NSF",(('Operating Assumptions'!$M25*EG$25)*'Operating Assumptions'!$D$12)/12))))))))</f>
        <v>-21800</v>
      </c>
      <c r="EH97" s="427">
        <f>-IF(EH$9&lt;'Operating Assumptions'!$D$53,0,IF(EH$6&gt;'Operating Assumptions'!$AA$8,0,IF('Operating Assumptions'!$L25="N/A",0,IF('Operating Assumptions'!$L25="$/Unit/Annual",(('Operating Assumptions'!$M25*EH$25)*EH$36)/12,IF('Operating Assumptions'!$L25="$/Unit/Month",('Operating Assumptions'!$M25*EH$25)*EH$36,IF('Operating Assumptions'!$L25="Fixed Amount",('Operating Assumptions'!$M25*EH$25)/12,IF('Operating Assumptions'!$L25="$/GSF",(('Operating Assumptions'!$M25*EH$25)*'Operating Assumptions'!$D$11)/12,IF('Operating Assumptions'!$L25="$/NSF",(('Operating Assumptions'!$M25*EH$25)*'Operating Assumptions'!$D$12)/12))))))))</f>
        <v>-21800</v>
      </c>
      <c r="EI97" s="427">
        <f>-IF(EI$9&lt;'Operating Assumptions'!$D$53,0,IF(EI$6&gt;'Operating Assumptions'!$AA$8,0,IF('Operating Assumptions'!$L25="N/A",0,IF('Operating Assumptions'!$L25="$/Unit/Annual",(('Operating Assumptions'!$M25*EI$25)*EI$36)/12,IF('Operating Assumptions'!$L25="$/Unit/Month",('Operating Assumptions'!$M25*EI$25)*EI$36,IF('Operating Assumptions'!$L25="Fixed Amount",('Operating Assumptions'!$M25*EI$25)/12,IF('Operating Assumptions'!$L25="$/GSF",(('Operating Assumptions'!$M25*EI$25)*'Operating Assumptions'!$D$11)/12,IF('Operating Assumptions'!$L25="$/NSF",(('Operating Assumptions'!$M25*EI$25)*'Operating Assumptions'!$D$12)/12))))))))</f>
        <v>-21800</v>
      </c>
      <c r="EJ97" s="427">
        <f>-IF(EJ$9&lt;'Operating Assumptions'!$D$53,0,IF(EJ$6&gt;'Operating Assumptions'!$AA$8,0,IF('Operating Assumptions'!$L25="N/A",0,IF('Operating Assumptions'!$L25="$/Unit/Annual",(('Operating Assumptions'!$M25*EJ$25)*EJ$36)/12,IF('Operating Assumptions'!$L25="$/Unit/Month",('Operating Assumptions'!$M25*EJ$25)*EJ$36,IF('Operating Assumptions'!$L25="Fixed Amount",('Operating Assumptions'!$M25*EJ$25)/12,IF('Operating Assumptions'!$L25="$/GSF",(('Operating Assumptions'!$M25*EJ$25)*'Operating Assumptions'!$D$11)/12,IF('Operating Assumptions'!$L25="$/NSF",(('Operating Assumptions'!$M25*EJ$25)*'Operating Assumptions'!$D$12)/12))))))))</f>
        <v>-22000</v>
      </c>
      <c r="EK97" s="427">
        <f>-IF(EK$9&lt;'Operating Assumptions'!$D$53,0,IF(EK$6&gt;'Operating Assumptions'!$AA$8,0,IF('Operating Assumptions'!$L25="N/A",0,IF('Operating Assumptions'!$L25="$/Unit/Annual",(('Operating Assumptions'!$M25*EK$25)*EK$36)/12,IF('Operating Assumptions'!$L25="$/Unit/Month",('Operating Assumptions'!$M25*EK$25)*EK$36,IF('Operating Assumptions'!$L25="Fixed Amount",('Operating Assumptions'!$M25*EK$25)/12,IF('Operating Assumptions'!$L25="$/GSF",(('Operating Assumptions'!$M25*EK$25)*'Operating Assumptions'!$D$11)/12,IF('Operating Assumptions'!$L25="$/NSF",(('Operating Assumptions'!$M25*EK$25)*'Operating Assumptions'!$D$12)/12))))))))</f>
        <v>-22000</v>
      </c>
      <c r="EL97" s="427">
        <f>-IF(EL$9&lt;'Operating Assumptions'!$D$53,0,IF(EL$6&gt;'Operating Assumptions'!$AA$8,0,IF('Operating Assumptions'!$L25="N/A",0,IF('Operating Assumptions'!$L25="$/Unit/Annual",(('Operating Assumptions'!$M25*EL$25)*EL$36)/12,IF('Operating Assumptions'!$L25="$/Unit/Month",('Operating Assumptions'!$M25*EL$25)*EL$36,IF('Operating Assumptions'!$L25="Fixed Amount",('Operating Assumptions'!$M25*EL$25)/12,IF('Operating Assumptions'!$L25="$/GSF",(('Operating Assumptions'!$M25*EL$25)*'Operating Assumptions'!$D$11)/12,IF('Operating Assumptions'!$L25="$/NSF",(('Operating Assumptions'!$M25*EL$25)*'Operating Assumptions'!$D$12)/12))))))))</f>
        <v>-22000</v>
      </c>
      <c r="EM97" s="427">
        <f>-IF(EM$9&lt;'Operating Assumptions'!$D$53,0,IF(EM$6&gt;'Operating Assumptions'!$AA$8,0,IF('Operating Assumptions'!$L25="N/A",0,IF('Operating Assumptions'!$L25="$/Unit/Annual",(('Operating Assumptions'!$M25*EM$25)*EM$36)/12,IF('Operating Assumptions'!$L25="$/Unit/Month",('Operating Assumptions'!$M25*EM$25)*EM$36,IF('Operating Assumptions'!$L25="Fixed Amount",('Operating Assumptions'!$M25*EM$25)/12,IF('Operating Assumptions'!$L25="$/GSF",(('Operating Assumptions'!$M25*EM$25)*'Operating Assumptions'!$D$11)/12,IF('Operating Assumptions'!$L25="$/NSF",(('Operating Assumptions'!$M25*EM$25)*'Operating Assumptions'!$D$12)/12))))))))</f>
        <v>-22000</v>
      </c>
      <c r="EN97" s="427">
        <f>-IF(EN$9&lt;'Operating Assumptions'!$D$53,0,IF(EN$6&gt;'Operating Assumptions'!$AA$8,0,IF('Operating Assumptions'!$L25="N/A",0,IF('Operating Assumptions'!$L25="$/Unit/Annual",(('Operating Assumptions'!$M25*EN$25)*EN$36)/12,IF('Operating Assumptions'!$L25="$/Unit/Month",('Operating Assumptions'!$M25*EN$25)*EN$36,IF('Operating Assumptions'!$L25="Fixed Amount",('Operating Assumptions'!$M25*EN$25)/12,IF('Operating Assumptions'!$L25="$/GSF",(('Operating Assumptions'!$M25*EN$25)*'Operating Assumptions'!$D$11)/12,IF('Operating Assumptions'!$L25="$/NSF",(('Operating Assumptions'!$M25*EN$25)*'Operating Assumptions'!$D$12)/12))))))))</f>
        <v>-22000</v>
      </c>
      <c r="EO97" s="427">
        <f>-IF(EO$9&lt;'Operating Assumptions'!$D$53,0,IF(EO$6&gt;'Operating Assumptions'!$AA$8,0,IF('Operating Assumptions'!$L25="N/A",0,IF('Operating Assumptions'!$L25="$/Unit/Annual",(('Operating Assumptions'!$M25*EO$25)*EO$36)/12,IF('Operating Assumptions'!$L25="$/Unit/Month",('Operating Assumptions'!$M25*EO$25)*EO$36,IF('Operating Assumptions'!$L25="Fixed Amount",('Operating Assumptions'!$M25*EO$25)/12,IF('Operating Assumptions'!$L25="$/GSF",(('Operating Assumptions'!$M25*EO$25)*'Operating Assumptions'!$D$11)/12,IF('Operating Assumptions'!$L25="$/NSF",(('Operating Assumptions'!$M25*EO$25)*'Operating Assumptions'!$D$12)/12))))))))</f>
        <v>-22000</v>
      </c>
      <c r="EP97" s="427">
        <f>-IF(EP$9&lt;'Operating Assumptions'!$D$53,0,IF(EP$6&gt;'Operating Assumptions'!$AA$8,0,IF('Operating Assumptions'!$L25="N/A",0,IF('Operating Assumptions'!$L25="$/Unit/Annual",(('Operating Assumptions'!$M25*EP$25)*EP$36)/12,IF('Operating Assumptions'!$L25="$/Unit/Month",('Operating Assumptions'!$M25*EP$25)*EP$36,IF('Operating Assumptions'!$L25="Fixed Amount",('Operating Assumptions'!$M25*EP$25)/12,IF('Operating Assumptions'!$L25="$/GSF",(('Operating Assumptions'!$M25*EP$25)*'Operating Assumptions'!$D$11)/12,IF('Operating Assumptions'!$L25="$/NSF",(('Operating Assumptions'!$M25*EP$25)*'Operating Assumptions'!$D$12)/12))))))))</f>
        <v>-22000</v>
      </c>
      <c r="EQ97" s="427">
        <f>-IF(EQ$9&lt;'Operating Assumptions'!$D$53,0,IF(EQ$6&gt;'Operating Assumptions'!$AA$8,0,IF('Operating Assumptions'!$L25="N/A",0,IF('Operating Assumptions'!$L25="$/Unit/Annual",(('Operating Assumptions'!$M25*EQ$25)*EQ$36)/12,IF('Operating Assumptions'!$L25="$/Unit/Month",('Operating Assumptions'!$M25*EQ$25)*EQ$36,IF('Operating Assumptions'!$L25="Fixed Amount",('Operating Assumptions'!$M25*EQ$25)/12,IF('Operating Assumptions'!$L25="$/GSF",(('Operating Assumptions'!$M25*EQ$25)*'Operating Assumptions'!$D$11)/12,IF('Operating Assumptions'!$L25="$/NSF",(('Operating Assumptions'!$M25*EQ$25)*'Operating Assumptions'!$D$12)/12))))))))</f>
        <v>-22000</v>
      </c>
      <c r="ER97" s="427">
        <f>-IF(ER$9&lt;'Operating Assumptions'!$D$53,0,IF(ER$6&gt;'Operating Assumptions'!$AA$8,0,IF('Operating Assumptions'!$L25="N/A",0,IF('Operating Assumptions'!$L25="$/Unit/Annual",(('Operating Assumptions'!$M25*ER$25)*ER$36)/12,IF('Operating Assumptions'!$L25="$/Unit/Month",('Operating Assumptions'!$M25*ER$25)*ER$36,IF('Operating Assumptions'!$L25="Fixed Amount",('Operating Assumptions'!$M25*ER$25)/12,IF('Operating Assumptions'!$L25="$/GSF",(('Operating Assumptions'!$M25*ER$25)*'Operating Assumptions'!$D$11)/12,IF('Operating Assumptions'!$L25="$/NSF",(('Operating Assumptions'!$M25*ER$25)*'Operating Assumptions'!$D$12)/12))))))))</f>
        <v>-22000</v>
      </c>
      <c r="ES97" s="427">
        <f>-IF(ES$9&lt;'Operating Assumptions'!$D$53,0,IF(ES$6&gt;'Operating Assumptions'!$AA$8,0,IF('Operating Assumptions'!$L25="N/A",0,IF('Operating Assumptions'!$L25="$/Unit/Annual",(('Operating Assumptions'!$M25*ES$25)*ES$36)/12,IF('Operating Assumptions'!$L25="$/Unit/Month",('Operating Assumptions'!$M25*ES$25)*ES$36,IF('Operating Assumptions'!$L25="Fixed Amount",('Operating Assumptions'!$M25*ES$25)/12,IF('Operating Assumptions'!$L25="$/GSF",(('Operating Assumptions'!$M25*ES$25)*'Operating Assumptions'!$D$11)/12,IF('Operating Assumptions'!$L25="$/NSF",(('Operating Assumptions'!$M25*ES$25)*'Operating Assumptions'!$D$12)/12))))))))</f>
        <v>-22000</v>
      </c>
      <c r="ET97" s="427">
        <f>-IF(ET$9&lt;'Operating Assumptions'!$D$53,0,IF(ET$6&gt;'Operating Assumptions'!$AA$8,0,IF('Operating Assumptions'!$L25="N/A",0,IF('Operating Assumptions'!$L25="$/Unit/Annual",(('Operating Assumptions'!$M25*ET$25)*ET$36)/12,IF('Operating Assumptions'!$L25="$/Unit/Month",('Operating Assumptions'!$M25*ET$25)*ET$36,IF('Operating Assumptions'!$L25="Fixed Amount",('Operating Assumptions'!$M25*ET$25)/12,IF('Operating Assumptions'!$L25="$/GSF",(('Operating Assumptions'!$M25*ET$25)*'Operating Assumptions'!$D$11)/12,IF('Operating Assumptions'!$L25="$/NSF",(('Operating Assumptions'!$M25*ET$25)*'Operating Assumptions'!$D$12)/12))))))))</f>
        <v>-22000</v>
      </c>
      <c r="EU97" s="427">
        <f>-IF(EU$9&lt;'Operating Assumptions'!$D$53,0,IF(EU$6&gt;'Operating Assumptions'!$AA$8,0,IF('Operating Assumptions'!$L25="N/A",0,IF('Operating Assumptions'!$L25="$/Unit/Annual",(('Operating Assumptions'!$M25*EU$25)*EU$36)/12,IF('Operating Assumptions'!$L25="$/Unit/Month",('Operating Assumptions'!$M25*EU$25)*EU$36,IF('Operating Assumptions'!$L25="Fixed Amount",('Operating Assumptions'!$M25*EU$25)/12,IF('Operating Assumptions'!$L25="$/GSF",(('Operating Assumptions'!$M25*EU$25)*'Operating Assumptions'!$D$11)/12,IF('Operating Assumptions'!$L25="$/NSF",(('Operating Assumptions'!$M25*EU$25)*'Operating Assumptions'!$D$12)/12))))))))</f>
        <v>-22000</v>
      </c>
      <c r="EV97" s="427">
        <f>-IF(EV$9&lt;'Operating Assumptions'!$D$53,0,IF(EV$6&gt;'Operating Assumptions'!$AA$8,0,IF('Operating Assumptions'!$L25="N/A",0,IF('Operating Assumptions'!$L25="$/Unit/Annual",(('Operating Assumptions'!$M25*EV$25)*EV$36)/12,IF('Operating Assumptions'!$L25="$/Unit/Month",('Operating Assumptions'!$M25*EV$25)*EV$36,IF('Operating Assumptions'!$L25="Fixed Amount",('Operating Assumptions'!$M25*EV$25)/12,IF('Operating Assumptions'!$L25="$/GSF",(('Operating Assumptions'!$M25*EV$25)*'Operating Assumptions'!$D$11)/12,IF('Operating Assumptions'!$L25="$/NSF",(('Operating Assumptions'!$M25*EV$25)*'Operating Assumptions'!$D$12)/12))))))))</f>
        <v>0</v>
      </c>
      <c r="EW97" s="427">
        <f>-IF(EW$9&lt;'Operating Assumptions'!$D$53,0,IF(EW$6&gt;'Operating Assumptions'!$AA$8,0,IF('Operating Assumptions'!$L25="N/A",0,IF('Operating Assumptions'!$L25="$/Unit/Annual",(('Operating Assumptions'!$M25*EW$25)*EW$36)/12,IF('Operating Assumptions'!$L25="$/Unit/Month",('Operating Assumptions'!$M25*EW$25)*EW$36,IF('Operating Assumptions'!$L25="Fixed Amount",('Operating Assumptions'!$M25*EW$25)/12,IF('Operating Assumptions'!$L25="$/GSF",(('Operating Assumptions'!$M25*EW$25)*'Operating Assumptions'!$D$11)/12,IF('Operating Assumptions'!$L25="$/NSF",(('Operating Assumptions'!$M25*EW$25)*'Operating Assumptions'!$D$12)/12))))))))</f>
        <v>0</v>
      </c>
      <c r="EX97" s="427">
        <f>-IF(EX$9&lt;'Operating Assumptions'!$D$53,0,IF(EX$6&gt;'Operating Assumptions'!$AA$8,0,IF('Operating Assumptions'!$L25="N/A",0,IF('Operating Assumptions'!$L25="$/Unit/Annual",(('Operating Assumptions'!$M25*EX$25)*EX$36)/12,IF('Operating Assumptions'!$L25="$/Unit/Month",('Operating Assumptions'!$M25*EX$25)*EX$36,IF('Operating Assumptions'!$L25="Fixed Amount",('Operating Assumptions'!$M25*EX$25)/12,IF('Operating Assumptions'!$L25="$/GSF",(('Operating Assumptions'!$M25*EX$25)*'Operating Assumptions'!$D$11)/12,IF('Operating Assumptions'!$L25="$/NSF",(('Operating Assumptions'!$M25*EX$25)*'Operating Assumptions'!$D$12)/12))))))))</f>
        <v>0</v>
      </c>
      <c r="EY97" s="427">
        <f>-IF(EY$9&lt;'Operating Assumptions'!$D$53,0,IF(EY$6&gt;'Operating Assumptions'!$AA$8,0,IF('Operating Assumptions'!$L25="N/A",0,IF('Operating Assumptions'!$L25="$/Unit/Annual",(('Operating Assumptions'!$M25*EY$25)*EY$36)/12,IF('Operating Assumptions'!$L25="$/Unit/Month",('Operating Assumptions'!$M25*EY$25)*EY$36,IF('Operating Assumptions'!$L25="Fixed Amount",('Operating Assumptions'!$M25*EY$25)/12,IF('Operating Assumptions'!$L25="$/GSF",(('Operating Assumptions'!$M25*EY$25)*'Operating Assumptions'!$D$11)/12,IF('Operating Assumptions'!$L25="$/NSF",(('Operating Assumptions'!$M25*EY$25)*'Operating Assumptions'!$D$12)/12))))))))</f>
        <v>0</v>
      </c>
      <c r="EZ97" s="427">
        <f>-IF(EZ$9&lt;'Operating Assumptions'!$D$53,0,IF(EZ$6&gt;'Operating Assumptions'!$AA$8,0,IF('Operating Assumptions'!$L25="N/A",0,IF('Operating Assumptions'!$L25="$/Unit/Annual",(('Operating Assumptions'!$M25*EZ$25)*EZ$36)/12,IF('Operating Assumptions'!$L25="$/Unit/Month",('Operating Assumptions'!$M25*EZ$25)*EZ$36,IF('Operating Assumptions'!$L25="Fixed Amount",('Operating Assumptions'!$M25*EZ$25)/12,IF('Operating Assumptions'!$L25="$/GSF",(('Operating Assumptions'!$M25*EZ$25)*'Operating Assumptions'!$D$11)/12,IF('Operating Assumptions'!$L25="$/NSF",(('Operating Assumptions'!$M25*EZ$25)*'Operating Assumptions'!$D$12)/12))))))))</f>
        <v>0</v>
      </c>
      <c r="FA97" s="427">
        <f>-IF(FA$9&lt;'Operating Assumptions'!$D$53,0,IF(FA$6&gt;'Operating Assumptions'!$AA$8,0,IF('Operating Assumptions'!$L25="N/A",0,IF('Operating Assumptions'!$L25="$/Unit/Annual",(('Operating Assumptions'!$M25*FA$25)*FA$36)/12,IF('Operating Assumptions'!$L25="$/Unit/Month",('Operating Assumptions'!$M25*FA$25)*FA$36,IF('Operating Assumptions'!$L25="Fixed Amount",('Operating Assumptions'!$M25*FA$25)/12,IF('Operating Assumptions'!$L25="$/GSF",(('Operating Assumptions'!$M25*FA$25)*'Operating Assumptions'!$D$11)/12,IF('Operating Assumptions'!$L25="$/NSF",(('Operating Assumptions'!$M25*FA$25)*'Operating Assumptions'!$D$12)/12))))))))</f>
        <v>0</v>
      </c>
      <c r="FB97" s="427">
        <f>-IF(FB$9&lt;'Operating Assumptions'!$D$53,0,IF(FB$6&gt;'Operating Assumptions'!$AA$8,0,IF('Operating Assumptions'!$L25="N/A",0,IF('Operating Assumptions'!$L25="$/Unit/Annual",(('Operating Assumptions'!$M25*FB$25)*FB$36)/12,IF('Operating Assumptions'!$L25="$/Unit/Month",('Operating Assumptions'!$M25*FB$25)*FB$36,IF('Operating Assumptions'!$L25="Fixed Amount",('Operating Assumptions'!$M25*FB$25)/12,IF('Operating Assumptions'!$L25="$/GSF",(('Operating Assumptions'!$M25*FB$25)*'Operating Assumptions'!$D$11)/12,IF('Operating Assumptions'!$L25="$/NSF",(('Operating Assumptions'!$M25*FB$25)*'Operating Assumptions'!$D$12)/12))))))))</f>
        <v>0</v>
      </c>
      <c r="FC97" s="427">
        <f>-IF(FC$9&lt;'Operating Assumptions'!$D$53,0,IF(FC$6&gt;'Operating Assumptions'!$AA$8,0,IF('Operating Assumptions'!$L25="N/A",0,IF('Operating Assumptions'!$L25="$/Unit/Annual",(('Operating Assumptions'!$M25*FC$25)*FC$36)/12,IF('Operating Assumptions'!$L25="$/Unit/Month",('Operating Assumptions'!$M25*FC$25)*FC$36,IF('Operating Assumptions'!$L25="Fixed Amount",('Operating Assumptions'!$M25*FC$25)/12,IF('Operating Assumptions'!$L25="$/GSF",(('Operating Assumptions'!$M25*FC$25)*'Operating Assumptions'!$D$11)/12,IF('Operating Assumptions'!$L25="$/NSF",(('Operating Assumptions'!$M25*FC$25)*'Operating Assumptions'!$D$12)/12))))))))</f>
        <v>0</v>
      </c>
      <c r="FD97" s="427">
        <f>-IF(FD$9&lt;'Operating Assumptions'!$D$53,0,IF(FD$6&gt;'Operating Assumptions'!$AA$8,0,IF('Operating Assumptions'!$L25="N/A",0,IF('Operating Assumptions'!$L25="$/Unit/Annual",(('Operating Assumptions'!$M25*FD$25)*FD$36)/12,IF('Operating Assumptions'!$L25="$/Unit/Month",('Operating Assumptions'!$M25*FD$25)*FD$36,IF('Operating Assumptions'!$L25="Fixed Amount",('Operating Assumptions'!$M25*FD$25)/12,IF('Operating Assumptions'!$L25="$/GSF",(('Operating Assumptions'!$M25*FD$25)*'Operating Assumptions'!$D$11)/12,IF('Operating Assumptions'!$L25="$/NSF",(('Operating Assumptions'!$M25*FD$25)*'Operating Assumptions'!$D$12)/12))))))))</f>
        <v>0</v>
      </c>
      <c r="FE97" s="427">
        <f>-IF(FE$9&lt;'Operating Assumptions'!$D$53,0,IF(FE$6&gt;'Operating Assumptions'!$AA$8,0,IF('Operating Assumptions'!$L25="N/A",0,IF('Operating Assumptions'!$L25="$/Unit/Annual",(('Operating Assumptions'!$M25*FE$25)*FE$36)/12,IF('Operating Assumptions'!$L25="$/Unit/Month",('Operating Assumptions'!$M25*FE$25)*FE$36,IF('Operating Assumptions'!$L25="Fixed Amount",('Operating Assumptions'!$M25*FE$25)/12,IF('Operating Assumptions'!$L25="$/GSF",(('Operating Assumptions'!$M25*FE$25)*'Operating Assumptions'!$D$11)/12,IF('Operating Assumptions'!$L25="$/NSF",(('Operating Assumptions'!$M25*FE$25)*'Operating Assumptions'!$D$12)/12))))))))</f>
        <v>0</v>
      </c>
      <c r="FF97" s="427">
        <f>-IF(FF$9&lt;'Operating Assumptions'!$D$53,0,IF(FF$6&gt;'Operating Assumptions'!$AA$8,0,IF('Operating Assumptions'!$L25="N/A",0,IF('Operating Assumptions'!$L25="$/Unit/Annual",(('Operating Assumptions'!$M25*FF$25)*FF$36)/12,IF('Operating Assumptions'!$L25="$/Unit/Month",('Operating Assumptions'!$M25*FF$25)*FF$36,IF('Operating Assumptions'!$L25="Fixed Amount",('Operating Assumptions'!$M25*FF$25)/12,IF('Operating Assumptions'!$L25="$/GSF",(('Operating Assumptions'!$M25*FF$25)*'Operating Assumptions'!$D$11)/12,IF('Operating Assumptions'!$L25="$/NSF",(('Operating Assumptions'!$M25*FF$25)*'Operating Assumptions'!$D$12)/12))))))))</f>
        <v>0</v>
      </c>
      <c r="FG97" s="427">
        <f>-IF(FG$9&lt;'Operating Assumptions'!$D$53,0,IF(FG$6&gt;'Operating Assumptions'!$AA$8,0,IF('Operating Assumptions'!$L25="N/A",0,IF('Operating Assumptions'!$L25="$/Unit/Annual",(('Operating Assumptions'!$M25*FG$25)*FG$36)/12,IF('Operating Assumptions'!$L25="$/Unit/Month",('Operating Assumptions'!$M25*FG$25)*FG$36,IF('Operating Assumptions'!$L25="Fixed Amount",('Operating Assumptions'!$M25*FG$25)/12,IF('Operating Assumptions'!$L25="$/GSF",(('Operating Assumptions'!$M25*FG$25)*'Operating Assumptions'!$D$11)/12,IF('Operating Assumptions'!$L25="$/NSF",(('Operating Assumptions'!$M25*FG$25)*'Operating Assumptions'!$D$12)/12))))))))</f>
        <v>0</v>
      </c>
      <c r="FH97" s="427">
        <f>-IF(FH$9&lt;'Operating Assumptions'!$D$53,0,IF(FH$6&gt;'Operating Assumptions'!$AA$8,0,IF('Operating Assumptions'!$L25="N/A",0,IF('Operating Assumptions'!$L25="$/Unit/Annual",(('Operating Assumptions'!$M25*FH$25)*FH$36)/12,IF('Operating Assumptions'!$L25="$/Unit/Month",('Operating Assumptions'!$M25*FH$25)*FH$36,IF('Operating Assumptions'!$L25="Fixed Amount",('Operating Assumptions'!$M25*FH$25)/12,IF('Operating Assumptions'!$L25="$/GSF",(('Operating Assumptions'!$M25*FH$25)*'Operating Assumptions'!$D$11)/12,IF('Operating Assumptions'!$L25="$/NSF",(('Operating Assumptions'!$M25*FH$25)*'Operating Assumptions'!$D$12)/12))))))))</f>
        <v>0</v>
      </c>
      <c r="FI97" s="427">
        <f>-IF(FI$9&lt;'Operating Assumptions'!$D$53,0,IF(FI$6&gt;'Operating Assumptions'!$AA$8,0,IF('Operating Assumptions'!$L25="N/A",0,IF('Operating Assumptions'!$L25="$/Unit/Annual",(('Operating Assumptions'!$M25*FI$25)*FI$36)/12,IF('Operating Assumptions'!$L25="$/Unit/Month",('Operating Assumptions'!$M25*FI$25)*FI$36,IF('Operating Assumptions'!$L25="Fixed Amount",('Operating Assumptions'!$M25*FI$25)/12,IF('Operating Assumptions'!$L25="$/GSF",(('Operating Assumptions'!$M25*FI$25)*'Operating Assumptions'!$D$11)/12,IF('Operating Assumptions'!$L25="$/NSF",(('Operating Assumptions'!$M25*FI$25)*'Operating Assumptions'!$D$12)/12))))))))</f>
        <v>0</v>
      </c>
      <c r="FJ97" s="427">
        <f>-IF(FJ$9&lt;'Operating Assumptions'!$D$53,0,IF(FJ$6&gt;'Operating Assumptions'!$AA$8,0,IF('Operating Assumptions'!$L25="N/A",0,IF('Operating Assumptions'!$L25="$/Unit/Annual",(('Operating Assumptions'!$M25*FJ$25)*FJ$36)/12,IF('Operating Assumptions'!$L25="$/Unit/Month",('Operating Assumptions'!$M25*FJ$25)*FJ$36,IF('Operating Assumptions'!$L25="Fixed Amount",('Operating Assumptions'!$M25*FJ$25)/12,IF('Operating Assumptions'!$L25="$/GSF",(('Operating Assumptions'!$M25*FJ$25)*'Operating Assumptions'!$D$11)/12,IF('Operating Assumptions'!$L25="$/NSF",(('Operating Assumptions'!$M25*FJ$25)*'Operating Assumptions'!$D$12)/12))))))))</f>
        <v>0</v>
      </c>
      <c r="FK97" s="427">
        <f>-IF(FK$9&lt;'Operating Assumptions'!$D$53,0,IF(FK$6&gt;'Operating Assumptions'!$AA$8,0,IF('Operating Assumptions'!$L25="N/A",0,IF('Operating Assumptions'!$L25="$/Unit/Annual",(('Operating Assumptions'!$M25*FK$25)*FK$36)/12,IF('Operating Assumptions'!$L25="$/Unit/Month",('Operating Assumptions'!$M25*FK$25)*FK$36,IF('Operating Assumptions'!$L25="Fixed Amount",('Operating Assumptions'!$M25*FK$25)/12,IF('Operating Assumptions'!$L25="$/GSF",(('Operating Assumptions'!$M25*FK$25)*'Operating Assumptions'!$D$11)/12,IF('Operating Assumptions'!$L25="$/NSF",(('Operating Assumptions'!$M25*FK$25)*'Operating Assumptions'!$D$12)/12))))))))</f>
        <v>0</v>
      </c>
      <c r="FL97" s="427">
        <f>-IF(FL$9&lt;'Operating Assumptions'!$D$53,0,IF(FL$6&gt;'Operating Assumptions'!$AA$8,0,IF('Operating Assumptions'!$L25="N/A",0,IF('Operating Assumptions'!$L25="$/Unit/Annual",(('Operating Assumptions'!$M25*FL$25)*FL$36)/12,IF('Operating Assumptions'!$L25="$/Unit/Month",('Operating Assumptions'!$M25*FL$25)*FL$36,IF('Operating Assumptions'!$L25="Fixed Amount",('Operating Assumptions'!$M25*FL$25)/12,IF('Operating Assumptions'!$L25="$/GSF",(('Operating Assumptions'!$M25*FL$25)*'Operating Assumptions'!$D$11)/12,IF('Operating Assumptions'!$L25="$/NSF",(('Operating Assumptions'!$M25*FL$25)*'Operating Assumptions'!$D$12)/12))))))))</f>
        <v>0</v>
      </c>
      <c r="FM97" s="427">
        <f>-IF(FM$9&lt;'Operating Assumptions'!$D$53,0,IF(FM$6&gt;'Operating Assumptions'!$AA$8,0,IF('Operating Assumptions'!$L25="N/A",0,IF('Operating Assumptions'!$L25="$/Unit/Annual",(('Operating Assumptions'!$M25*FM$25)*FM$36)/12,IF('Operating Assumptions'!$L25="$/Unit/Month",('Operating Assumptions'!$M25*FM$25)*FM$36,IF('Operating Assumptions'!$L25="Fixed Amount",('Operating Assumptions'!$M25*FM$25)/12,IF('Operating Assumptions'!$L25="$/GSF",(('Operating Assumptions'!$M25*FM$25)*'Operating Assumptions'!$D$11)/12,IF('Operating Assumptions'!$L25="$/NSF",(('Operating Assumptions'!$M25*FM$25)*'Operating Assumptions'!$D$12)/12))))))))</f>
        <v>0</v>
      </c>
      <c r="FN97" s="427">
        <f>-IF(FN$9&lt;'Operating Assumptions'!$D$53,0,IF(FN$6&gt;'Operating Assumptions'!$AA$8,0,IF('Operating Assumptions'!$L25="N/A",0,IF('Operating Assumptions'!$L25="$/Unit/Annual",(('Operating Assumptions'!$M25*FN$25)*FN$36)/12,IF('Operating Assumptions'!$L25="$/Unit/Month",('Operating Assumptions'!$M25*FN$25)*FN$36,IF('Operating Assumptions'!$L25="Fixed Amount",('Operating Assumptions'!$M25*FN$25)/12,IF('Operating Assumptions'!$L25="$/GSF",(('Operating Assumptions'!$M25*FN$25)*'Operating Assumptions'!$D$11)/12,IF('Operating Assumptions'!$L25="$/NSF",(('Operating Assumptions'!$M25*FN$25)*'Operating Assumptions'!$D$12)/12))))))))</f>
        <v>0</v>
      </c>
      <c r="FO97" s="427">
        <f>-IF(FO$9&lt;'Operating Assumptions'!$D$53,0,IF(FO$6&gt;'Operating Assumptions'!$AA$8,0,IF('Operating Assumptions'!$L25="N/A",0,IF('Operating Assumptions'!$L25="$/Unit/Annual",(('Operating Assumptions'!$M25*FO$25)*FO$36)/12,IF('Operating Assumptions'!$L25="$/Unit/Month",('Operating Assumptions'!$M25*FO$25)*FO$36,IF('Operating Assumptions'!$L25="Fixed Amount",('Operating Assumptions'!$M25*FO$25)/12,IF('Operating Assumptions'!$L25="$/GSF",(('Operating Assumptions'!$M25*FO$25)*'Operating Assumptions'!$D$11)/12,IF('Operating Assumptions'!$L25="$/NSF",(('Operating Assumptions'!$M25*FO$25)*'Operating Assumptions'!$D$12)/12))))))))</f>
        <v>0</v>
      </c>
      <c r="FP97" s="427">
        <f>-IF(FP$9&lt;'Operating Assumptions'!$D$53,0,IF(FP$6&gt;'Operating Assumptions'!$AA$8,0,IF('Operating Assumptions'!$L25="N/A",0,IF('Operating Assumptions'!$L25="$/Unit/Annual",(('Operating Assumptions'!$M25*FP$25)*FP$36)/12,IF('Operating Assumptions'!$L25="$/Unit/Month",('Operating Assumptions'!$M25*FP$25)*FP$36,IF('Operating Assumptions'!$L25="Fixed Amount",('Operating Assumptions'!$M25*FP$25)/12,IF('Operating Assumptions'!$L25="$/GSF",(('Operating Assumptions'!$M25*FP$25)*'Operating Assumptions'!$D$11)/12,IF('Operating Assumptions'!$L25="$/NSF",(('Operating Assumptions'!$M25*FP$25)*'Operating Assumptions'!$D$12)/12))))))))</f>
        <v>0</v>
      </c>
      <c r="FQ97" s="427">
        <f>-IF(FQ$9&lt;'Operating Assumptions'!$D$53,0,IF(FQ$6&gt;'Operating Assumptions'!$AA$8,0,IF('Operating Assumptions'!$L25="N/A",0,IF('Operating Assumptions'!$L25="$/Unit/Annual",(('Operating Assumptions'!$M25*FQ$25)*FQ$36)/12,IF('Operating Assumptions'!$L25="$/Unit/Month",('Operating Assumptions'!$M25*FQ$25)*FQ$36,IF('Operating Assumptions'!$L25="Fixed Amount",('Operating Assumptions'!$M25*FQ$25)/12,IF('Operating Assumptions'!$L25="$/GSF",(('Operating Assumptions'!$M25*FQ$25)*'Operating Assumptions'!$D$11)/12,IF('Operating Assumptions'!$L25="$/NSF",(('Operating Assumptions'!$M25*FQ$25)*'Operating Assumptions'!$D$12)/12))))))))</f>
        <v>0</v>
      </c>
      <c r="FR97" s="427">
        <f>-IF(FR$9&lt;'Operating Assumptions'!$D$53,0,IF(FR$6&gt;'Operating Assumptions'!$AA$8,0,IF('Operating Assumptions'!$L25="N/A",0,IF('Operating Assumptions'!$L25="$/Unit/Annual",(('Operating Assumptions'!$M25*FR$25)*FR$36)/12,IF('Operating Assumptions'!$L25="$/Unit/Month",('Operating Assumptions'!$M25*FR$25)*FR$36,IF('Operating Assumptions'!$L25="Fixed Amount",('Operating Assumptions'!$M25*FR$25)/12,IF('Operating Assumptions'!$L25="$/GSF",(('Operating Assumptions'!$M25*FR$25)*'Operating Assumptions'!$D$11)/12,IF('Operating Assumptions'!$L25="$/NSF",(('Operating Assumptions'!$M25*FR$25)*'Operating Assumptions'!$D$12)/12))))))))</f>
        <v>0</v>
      </c>
      <c r="FS97" s="427">
        <f>-IF(FS$9&lt;'Operating Assumptions'!$D$53,0,IF(FS$6&gt;'Operating Assumptions'!$AA$8,0,IF('Operating Assumptions'!$L25="N/A",0,IF('Operating Assumptions'!$L25="$/Unit/Annual",(('Operating Assumptions'!$M25*FS$25)*FS$36)/12,IF('Operating Assumptions'!$L25="$/Unit/Month",('Operating Assumptions'!$M25*FS$25)*FS$36,IF('Operating Assumptions'!$L25="Fixed Amount",('Operating Assumptions'!$M25*FS$25)/12,IF('Operating Assumptions'!$L25="$/GSF",(('Operating Assumptions'!$M25*FS$25)*'Operating Assumptions'!$D$11)/12,IF('Operating Assumptions'!$L25="$/NSF",(('Operating Assumptions'!$M25*FS$25)*'Operating Assumptions'!$D$12)/12))))))))</f>
        <v>0</v>
      </c>
      <c r="FT97" s="427">
        <f>-IF(FT$9&lt;'Operating Assumptions'!$D$53,0,IF(FT$6&gt;'Operating Assumptions'!$AA$8,0,IF('Operating Assumptions'!$L25="N/A",0,IF('Operating Assumptions'!$L25="$/Unit/Annual",(('Operating Assumptions'!$M25*FT$25)*FT$36)/12,IF('Operating Assumptions'!$L25="$/Unit/Month",('Operating Assumptions'!$M25*FT$25)*FT$36,IF('Operating Assumptions'!$L25="Fixed Amount",('Operating Assumptions'!$M25*FT$25)/12,IF('Operating Assumptions'!$L25="$/GSF",(('Operating Assumptions'!$M25*FT$25)*'Operating Assumptions'!$D$11)/12,IF('Operating Assumptions'!$L25="$/NSF",(('Operating Assumptions'!$M25*FT$25)*'Operating Assumptions'!$D$12)/12))))))))</f>
        <v>0</v>
      </c>
      <c r="FU97" s="43"/>
      <c r="FV97" s="34"/>
      <c r="FW97" s="34"/>
      <c r="FX97" s="34"/>
      <c r="FY97" s="34"/>
      <c r="FZ97" s="34"/>
    </row>
    <row r="98" spans="1:182" s="89" customFormat="1" ht="13.5" x14ac:dyDescent="0.25">
      <c r="A98" s="34"/>
      <c r="B98" s="128" t="str">
        <f>'Operating Assumptions'!K26</f>
        <v>Replancement Reserve</v>
      </c>
      <c r="C98" s="34"/>
      <c r="D98" s="34"/>
      <c r="E98" s="34"/>
      <c r="F98" s="434">
        <f>SUM(H98:FT98)</f>
        <v>-253541.25</v>
      </c>
      <c r="G98" s="34"/>
      <c r="H98" s="427">
        <f>-IF(H$9&lt;'Operating Assumptions'!$D$53,0,IF(H$6&gt;'Operating Assumptions'!$AA$8,0,IF('Operating Assumptions'!$L26="N/A",0,IF('Operating Assumptions'!$L26="$/Unit/Annual",(('Operating Assumptions'!$M26*H$25)*H$36)/12,IF('Operating Assumptions'!$L26="$/Unit/Month",('Operating Assumptions'!$M26*H$25)*H$36,IF('Operating Assumptions'!$L26="Fixed Amount",('Operating Assumptions'!$M26*H$25)/12,IF('Operating Assumptions'!$L26="$/GSF",(('Operating Assumptions'!$M26*H$25)*'Operating Assumptions'!$D$11)/12,IF('Operating Assumptions'!$L26="$/NSF",(('Operating Assumptions'!$M26*H$25)*'Operating Assumptions'!$D$12)/12))))))))</f>
        <v>0</v>
      </c>
      <c r="I98" s="427">
        <f>-IF(I$9&lt;'Operating Assumptions'!$D$53,0,IF(I$6&gt;'Operating Assumptions'!$AA$8,0,IF('Operating Assumptions'!$L26="N/A",0,IF('Operating Assumptions'!$L26="$/Unit/Annual",(('Operating Assumptions'!$M26*I$25)*I$36)/12,IF('Operating Assumptions'!$L26="$/Unit/Month",('Operating Assumptions'!$M26*I$25)*I$36,IF('Operating Assumptions'!$L26="Fixed Amount",('Operating Assumptions'!$M26*I$25)/12,IF('Operating Assumptions'!$L26="$/GSF",(('Operating Assumptions'!$M26*I$25)*'Operating Assumptions'!$D$11)/12,IF('Operating Assumptions'!$L26="$/NSF",(('Operating Assumptions'!$M26*I$25)*'Operating Assumptions'!$D$12)/12))))))))</f>
        <v>0</v>
      </c>
      <c r="J98" s="427">
        <f>-IF(J$9&lt;'Operating Assumptions'!$D$53,0,IF(J$6&gt;'Operating Assumptions'!$AA$8,0,IF('Operating Assumptions'!$L26="N/A",0,IF('Operating Assumptions'!$L26="$/Unit/Annual",(('Operating Assumptions'!$M26*J$25)*J$36)/12,IF('Operating Assumptions'!$L26="$/Unit/Month",('Operating Assumptions'!$M26*J$25)*J$36,IF('Operating Assumptions'!$L26="Fixed Amount",('Operating Assumptions'!$M26*J$25)/12,IF('Operating Assumptions'!$L26="$/GSF",(('Operating Assumptions'!$M26*J$25)*'Operating Assumptions'!$D$11)/12,IF('Operating Assumptions'!$L26="$/NSF",(('Operating Assumptions'!$M26*J$25)*'Operating Assumptions'!$D$12)/12))))))))</f>
        <v>0</v>
      </c>
      <c r="K98" s="427">
        <f>-IF(K$9&lt;'Operating Assumptions'!$D$53,0,IF(K$6&gt;'Operating Assumptions'!$AA$8,0,IF('Operating Assumptions'!$L26="N/A",0,IF('Operating Assumptions'!$L26="$/Unit/Annual",(('Operating Assumptions'!$M26*K$25)*K$36)/12,IF('Operating Assumptions'!$L26="$/Unit/Month",('Operating Assumptions'!$M26*K$25)*K$36,IF('Operating Assumptions'!$L26="Fixed Amount",('Operating Assumptions'!$M26*K$25)/12,IF('Operating Assumptions'!$L26="$/GSF",(('Operating Assumptions'!$M26*K$25)*'Operating Assumptions'!$D$11)/12,IF('Operating Assumptions'!$L26="$/NSF",(('Operating Assumptions'!$M26*K$25)*'Operating Assumptions'!$D$12)/12))))))))</f>
        <v>0</v>
      </c>
      <c r="L98" s="427">
        <f>-IF(L$9&lt;'Operating Assumptions'!$D$53,0,IF(L$6&gt;'Operating Assumptions'!$AA$8,0,IF('Operating Assumptions'!$L26="N/A",0,IF('Operating Assumptions'!$L26="$/Unit/Annual",(('Operating Assumptions'!$M26*L$25)*L$36)/12,IF('Operating Assumptions'!$L26="$/Unit/Month",('Operating Assumptions'!$M26*L$25)*L$36,IF('Operating Assumptions'!$L26="Fixed Amount",('Operating Assumptions'!$M26*L$25)/12,IF('Operating Assumptions'!$L26="$/GSF",(('Operating Assumptions'!$M26*L$25)*'Operating Assumptions'!$D$11)/12,IF('Operating Assumptions'!$L26="$/NSF",(('Operating Assumptions'!$M26*L$25)*'Operating Assumptions'!$D$12)/12))))))))</f>
        <v>0</v>
      </c>
      <c r="M98" s="427">
        <f>-IF(M$9&lt;'Operating Assumptions'!$D$53,0,IF(M$6&gt;'Operating Assumptions'!$AA$8,0,IF('Operating Assumptions'!$L26="N/A",0,IF('Operating Assumptions'!$L26="$/Unit/Annual",(('Operating Assumptions'!$M26*M$25)*M$36)/12,IF('Operating Assumptions'!$L26="$/Unit/Month",('Operating Assumptions'!$M26*M$25)*M$36,IF('Operating Assumptions'!$L26="Fixed Amount",('Operating Assumptions'!$M26*M$25)/12,IF('Operating Assumptions'!$L26="$/GSF",(('Operating Assumptions'!$M26*M$25)*'Operating Assumptions'!$D$11)/12,IF('Operating Assumptions'!$L26="$/NSF",(('Operating Assumptions'!$M26*M$25)*'Operating Assumptions'!$D$12)/12))))))))</f>
        <v>0</v>
      </c>
      <c r="N98" s="427">
        <f>-IF(N$9&lt;'Operating Assumptions'!$D$53,0,IF(N$6&gt;'Operating Assumptions'!$AA$8,0,IF('Operating Assumptions'!$L26="N/A",0,IF('Operating Assumptions'!$L26="$/Unit/Annual",(('Operating Assumptions'!$M26*N$25)*N$36)/12,IF('Operating Assumptions'!$L26="$/Unit/Month",('Operating Assumptions'!$M26*N$25)*N$36,IF('Operating Assumptions'!$L26="Fixed Amount",('Operating Assumptions'!$M26*N$25)/12,IF('Operating Assumptions'!$L26="$/GSF",(('Operating Assumptions'!$M26*N$25)*'Operating Assumptions'!$D$11)/12,IF('Operating Assumptions'!$L26="$/NSF",(('Operating Assumptions'!$M26*N$25)*'Operating Assumptions'!$D$12)/12))))))))</f>
        <v>0</v>
      </c>
      <c r="O98" s="427">
        <f>-IF(O$9&lt;'Operating Assumptions'!$D$53,0,IF(O$6&gt;'Operating Assumptions'!$AA$8,0,IF('Operating Assumptions'!$L26="N/A",0,IF('Operating Assumptions'!$L26="$/Unit/Annual",(('Operating Assumptions'!$M26*O$25)*O$36)/12,IF('Operating Assumptions'!$L26="$/Unit/Month",('Operating Assumptions'!$M26*O$25)*O$36,IF('Operating Assumptions'!$L26="Fixed Amount",('Operating Assumptions'!$M26*O$25)/12,IF('Operating Assumptions'!$L26="$/GSF",(('Operating Assumptions'!$M26*O$25)*'Operating Assumptions'!$D$11)/12,IF('Operating Assumptions'!$L26="$/NSF",(('Operating Assumptions'!$M26*O$25)*'Operating Assumptions'!$D$12)/12))))))))</f>
        <v>0</v>
      </c>
      <c r="P98" s="427">
        <f>-IF(P$9&lt;'Operating Assumptions'!$D$53,0,IF(P$6&gt;'Operating Assumptions'!$AA$8,0,IF('Operating Assumptions'!$L26="N/A",0,IF('Operating Assumptions'!$L26="$/Unit/Annual",(('Operating Assumptions'!$M26*P$25)*P$36)/12,IF('Operating Assumptions'!$L26="$/Unit/Month",('Operating Assumptions'!$M26*P$25)*P$36,IF('Operating Assumptions'!$L26="Fixed Amount",('Operating Assumptions'!$M26*P$25)/12,IF('Operating Assumptions'!$L26="$/GSF",(('Operating Assumptions'!$M26*P$25)*'Operating Assumptions'!$D$11)/12,IF('Operating Assumptions'!$L26="$/NSF",(('Operating Assumptions'!$M26*P$25)*'Operating Assumptions'!$D$12)/12))))))))</f>
        <v>0</v>
      </c>
      <c r="Q98" s="427">
        <f>-IF(Q$9&lt;'Operating Assumptions'!$D$53,0,IF(Q$6&gt;'Operating Assumptions'!$AA$8,0,IF('Operating Assumptions'!$L26="N/A",0,IF('Operating Assumptions'!$L26="$/Unit/Annual",(('Operating Assumptions'!$M26*Q$25)*Q$36)/12,IF('Operating Assumptions'!$L26="$/Unit/Month",('Operating Assumptions'!$M26*Q$25)*Q$36,IF('Operating Assumptions'!$L26="Fixed Amount",('Operating Assumptions'!$M26*Q$25)/12,IF('Operating Assumptions'!$L26="$/GSF",(('Operating Assumptions'!$M26*Q$25)*'Operating Assumptions'!$D$11)/12,IF('Operating Assumptions'!$L26="$/NSF",(('Operating Assumptions'!$M26*Q$25)*'Operating Assumptions'!$D$12)/12))))))))</f>
        <v>0</v>
      </c>
      <c r="R98" s="427">
        <f>-IF(R$9&lt;'Operating Assumptions'!$D$53,0,IF(R$6&gt;'Operating Assumptions'!$AA$8,0,IF('Operating Assumptions'!$L26="N/A",0,IF('Operating Assumptions'!$L26="$/Unit/Annual",(('Operating Assumptions'!$M26*R$25)*R$36)/12,IF('Operating Assumptions'!$L26="$/Unit/Month",('Operating Assumptions'!$M26*R$25)*R$36,IF('Operating Assumptions'!$L26="Fixed Amount",('Operating Assumptions'!$M26*R$25)/12,IF('Operating Assumptions'!$L26="$/GSF",(('Operating Assumptions'!$M26*R$25)*'Operating Assumptions'!$D$11)/12,IF('Operating Assumptions'!$L26="$/NSF",(('Operating Assumptions'!$M26*R$25)*'Operating Assumptions'!$D$12)/12))))))))</f>
        <v>0</v>
      </c>
      <c r="S98" s="427">
        <f>-IF(S$9&lt;'Operating Assumptions'!$D$53,0,IF(S$6&gt;'Operating Assumptions'!$AA$8,0,IF('Operating Assumptions'!$L26="N/A",0,IF('Operating Assumptions'!$L26="$/Unit/Annual",(('Operating Assumptions'!$M26*S$25)*S$36)/12,IF('Operating Assumptions'!$L26="$/Unit/Month",('Operating Assumptions'!$M26*S$25)*S$36,IF('Operating Assumptions'!$L26="Fixed Amount",('Operating Assumptions'!$M26*S$25)/12,IF('Operating Assumptions'!$L26="$/GSF",(('Operating Assumptions'!$M26*S$25)*'Operating Assumptions'!$D$11)/12,IF('Operating Assumptions'!$L26="$/NSF",(('Operating Assumptions'!$M26*S$25)*'Operating Assumptions'!$D$12)/12))))))))</f>
        <v>0</v>
      </c>
      <c r="T98" s="427">
        <f>-IF(T$9&lt;'Operating Assumptions'!$D$53,0,IF(T$6&gt;'Operating Assumptions'!$AA$8,0,IF('Operating Assumptions'!$L26="N/A",0,IF('Operating Assumptions'!$L26="$/Unit/Annual",(('Operating Assumptions'!$M26*T$25)*T$36)/12,IF('Operating Assumptions'!$L26="$/Unit/Month",('Operating Assumptions'!$M26*T$25)*T$36,IF('Operating Assumptions'!$L26="Fixed Amount",('Operating Assumptions'!$M26*T$25)/12,IF('Operating Assumptions'!$L26="$/GSF",(('Operating Assumptions'!$M26*T$25)*'Operating Assumptions'!$D$11)/12,IF('Operating Assumptions'!$L26="$/NSF",(('Operating Assumptions'!$M26*T$25)*'Operating Assumptions'!$D$12)/12))))))))</f>
        <v>0</v>
      </c>
      <c r="U98" s="427">
        <f>-IF(U$9&lt;'Operating Assumptions'!$D$53,0,IF(U$6&gt;'Operating Assumptions'!$AA$8,0,IF('Operating Assumptions'!$L26="N/A",0,IF('Operating Assumptions'!$L26="$/Unit/Annual",(('Operating Assumptions'!$M26*U$25)*U$36)/12,IF('Operating Assumptions'!$L26="$/Unit/Month",('Operating Assumptions'!$M26*U$25)*U$36,IF('Operating Assumptions'!$L26="Fixed Amount",('Operating Assumptions'!$M26*U$25)/12,IF('Operating Assumptions'!$L26="$/GSF",(('Operating Assumptions'!$M26*U$25)*'Operating Assumptions'!$D$11)/12,IF('Operating Assumptions'!$L26="$/NSF",(('Operating Assumptions'!$M26*U$25)*'Operating Assumptions'!$D$12)/12))))))))</f>
        <v>0</v>
      </c>
      <c r="V98" s="427">
        <f>-IF(V$9&lt;'Operating Assumptions'!$D$53,0,IF(V$6&gt;'Operating Assumptions'!$AA$8,0,IF('Operating Assumptions'!$L26="N/A",0,IF('Operating Assumptions'!$L26="$/Unit/Annual",(('Operating Assumptions'!$M26*V$25)*V$36)/12,IF('Operating Assumptions'!$L26="$/Unit/Month",('Operating Assumptions'!$M26*V$25)*V$36,IF('Operating Assumptions'!$L26="Fixed Amount",('Operating Assumptions'!$M26*V$25)/12,IF('Operating Assumptions'!$L26="$/GSF",(('Operating Assumptions'!$M26*V$25)*'Operating Assumptions'!$D$11)/12,IF('Operating Assumptions'!$L26="$/NSF",(('Operating Assumptions'!$M26*V$25)*'Operating Assumptions'!$D$12)/12))))))))</f>
        <v>0</v>
      </c>
      <c r="W98" s="427">
        <f>-IF(W$9&lt;'Operating Assumptions'!$D$53,0,IF(W$6&gt;'Operating Assumptions'!$AA$8,0,IF('Operating Assumptions'!$L26="N/A",0,IF('Operating Assumptions'!$L26="$/Unit/Annual",(('Operating Assumptions'!$M26*W$25)*W$36)/12,IF('Operating Assumptions'!$L26="$/Unit/Month",('Operating Assumptions'!$M26*W$25)*W$36,IF('Operating Assumptions'!$L26="Fixed Amount",('Operating Assumptions'!$M26*W$25)/12,IF('Operating Assumptions'!$L26="$/GSF",(('Operating Assumptions'!$M26*W$25)*'Operating Assumptions'!$D$11)/12,IF('Operating Assumptions'!$L26="$/NSF",(('Operating Assumptions'!$M26*W$25)*'Operating Assumptions'!$D$12)/12))))))))</f>
        <v>0</v>
      </c>
      <c r="X98" s="427">
        <f>-IF(X$9&lt;'Operating Assumptions'!$D$53,0,IF(X$6&gt;'Operating Assumptions'!$AA$8,0,IF('Operating Assumptions'!$L26="N/A",0,IF('Operating Assumptions'!$L26="$/Unit/Annual",(('Operating Assumptions'!$M26*X$25)*X$36)/12,IF('Operating Assumptions'!$L26="$/Unit/Month",('Operating Assumptions'!$M26*X$25)*X$36,IF('Operating Assumptions'!$L26="Fixed Amount",('Operating Assumptions'!$M26*X$25)/12,IF('Operating Assumptions'!$L26="$/GSF",(('Operating Assumptions'!$M26*X$25)*'Operating Assumptions'!$D$11)/12,IF('Operating Assumptions'!$L26="$/NSF",(('Operating Assumptions'!$M26*X$25)*'Operating Assumptions'!$D$12)/12))))))))</f>
        <v>0</v>
      </c>
      <c r="Y98" s="427">
        <f>-IF(Y$9&lt;'Operating Assumptions'!$D$53,0,IF(Y$6&gt;'Operating Assumptions'!$AA$8,0,IF('Operating Assumptions'!$L26="N/A",0,IF('Operating Assumptions'!$L26="$/Unit/Annual",(('Operating Assumptions'!$M26*Y$25)*Y$36)/12,IF('Operating Assumptions'!$L26="$/Unit/Month",('Operating Assumptions'!$M26*Y$25)*Y$36,IF('Operating Assumptions'!$L26="Fixed Amount",('Operating Assumptions'!$M26*Y$25)/12,IF('Operating Assumptions'!$L26="$/GSF",(('Operating Assumptions'!$M26*Y$25)*'Operating Assumptions'!$D$11)/12,IF('Operating Assumptions'!$L26="$/NSF",(('Operating Assumptions'!$M26*Y$25)*'Operating Assumptions'!$D$12)/12))))))))</f>
        <v>-175</v>
      </c>
      <c r="Z98" s="427">
        <f>-IF(Z$9&lt;'Operating Assumptions'!$D$53,0,IF(Z$6&gt;'Operating Assumptions'!$AA$8,0,IF('Operating Assumptions'!$L26="N/A",0,IF('Operating Assumptions'!$L26="$/Unit/Annual",(('Operating Assumptions'!$M26*Z$25)*Z$36)/12,IF('Operating Assumptions'!$L26="$/Unit/Month",('Operating Assumptions'!$M26*Z$25)*Z$36,IF('Operating Assumptions'!$L26="Fixed Amount",('Operating Assumptions'!$M26*Z$25)/12,IF('Operating Assumptions'!$L26="$/GSF",(('Operating Assumptions'!$M26*Z$25)*'Operating Assumptions'!$D$11)/12,IF('Operating Assumptions'!$L26="$/NSF",(('Operating Assumptions'!$M26*Z$25)*'Operating Assumptions'!$D$12)/12))))))))</f>
        <v>-341.66666666666669</v>
      </c>
      <c r="AA98" s="427">
        <f>-IF(AA$9&lt;'Operating Assumptions'!$D$53,0,IF(AA$6&gt;'Operating Assumptions'!$AA$8,0,IF('Operating Assumptions'!$L26="N/A",0,IF('Operating Assumptions'!$L26="$/Unit/Annual",(('Operating Assumptions'!$M26*AA$25)*AA$36)/12,IF('Operating Assumptions'!$L26="$/Unit/Month",('Operating Assumptions'!$M26*AA$25)*AA$36,IF('Operating Assumptions'!$L26="Fixed Amount",('Operating Assumptions'!$M26*AA$25)/12,IF('Operating Assumptions'!$L26="$/GSF",(('Operating Assumptions'!$M26*AA$25)*'Operating Assumptions'!$D$11)/12,IF('Operating Assumptions'!$L26="$/NSF",(('Operating Assumptions'!$M26*AA$25)*'Operating Assumptions'!$D$12)/12))))))))</f>
        <v>-508.33333333333331</v>
      </c>
      <c r="AB98" s="427">
        <f>-IF(AB$9&lt;'Operating Assumptions'!$D$53,0,IF(AB$6&gt;'Operating Assumptions'!$AA$8,0,IF('Operating Assumptions'!$L26="N/A",0,IF('Operating Assumptions'!$L26="$/Unit/Annual",(('Operating Assumptions'!$M26*AB$25)*AB$36)/12,IF('Operating Assumptions'!$L26="$/Unit/Month",('Operating Assumptions'!$M26*AB$25)*AB$36,IF('Operating Assumptions'!$L26="Fixed Amount",('Operating Assumptions'!$M26*AB$25)/12,IF('Operating Assumptions'!$L26="$/GSF",(('Operating Assumptions'!$M26*AB$25)*'Operating Assumptions'!$D$11)/12,IF('Operating Assumptions'!$L26="$/NSF",(('Operating Assumptions'!$M26*AB$25)*'Operating Assumptions'!$D$12)/12))))))))</f>
        <v>-675</v>
      </c>
      <c r="AC98" s="427">
        <f>-IF(AC$9&lt;'Operating Assumptions'!$D$53,0,IF(AC$6&gt;'Operating Assumptions'!$AA$8,0,IF('Operating Assumptions'!$L26="N/A",0,IF('Operating Assumptions'!$L26="$/Unit/Annual",(('Operating Assumptions'!$M26*AC$25)*AC$36)/12,IF('Operating Assumptions'!$L26="$/Unit/Month",('Operating Assumptions'!$M26*AC$25)*AC$36,IF('Operating Assumptions'!$L26="Fixed Amount",('Operating Assumptions'!$M26*AC$25)/12,IF('Operating Assumptions'!$L26="$/GSF",(('Operating Assumptions'!$M26*AC$25)*'Operating Assumptions'!$D$11)/12,IF('Operating Assumptions'!$L26="$/NSF",(('Operating Assumptions'!$M26*AC$25)*'Operating Assumptions'!$D$12)/12))))))))</f>
        <v>-841.66666666666663</v>
      </c>
      <c r="AD98" s="427">
        <f>-IF(AD$9&lt;'Operating Assumptions'!$D$53,0,IF(AD$6&gt;'Operating Assumptions'!$AA$8,0,IF('Operating Assumptions'!$L26="N/A",0,IF('Operating Assumptions'!$L26="$/Unit/Annual",(('Operating Assumptions'!$M26*AD$25)*AD$36)/12,IF('Operating Assumptions'!$L26="$/Unit/Month",('Operating Assumptions'!$M26*AD$25)*AD$36,IF('Operating Assumptions'!$L26="Fixed Amount",('Operating Assumptions'!$M26*AD$25)/12,IF('Operating Assumptions'!$L26="$/GSF",(('Operating Assumptions'!$M26*AD$25)*'Operating Assumptions'!$D$11)/12,IF('Operating Assumptions'!$L26="$/NSF",(('Operating Assumptions'!$M26*AD$25)*'Operating Assumptions'!$D$12)/12))))))))</f>
        <v>-1008.3333333333334</v>
      </c>
      <c r="AE98" s="427">
        <f>-IF(AE$9&lt;'Operating Assumptions'!$D$53,0,IF(AE$6&gt;'Operating Assumptions'!$AA$8,0,IF('Operating Assumptions'!$L26="N/A",0,IF('Operating Assumptions'!$L26="$/Unit/Annual",(('Operating Assumptions'!$M26*AE$25)*AE$36)/12,IF('Operating Assumptions'!$L26="$/Unit/Month",('Operating Assumptions'!$M26*AE$25)*AE$36,IF('Operating Assumptions'!$L26="Fixed Amount",('Operating Assumptions'!$M26*AE$25)/12,IF('Operating Assumptions'!$L26="$/GSF",(('Operating Assumptions'!$M26*AE$25)*'Operating Assumptions'!$D$11)/12,IF('Operating Assumptions'!$L26="$/NSF",(('Operating Assumptions'!$M26*AE$25)*'Operating Assumptions'!$D$12)/12))))))))</f>
        <v>-1041.6666666666667</v>
      </c>
      <c r="AF98" s="427">
        <f>-IF(AF$9&lt;'Operating Assumptions'!$D$53,0,IF(AF$6&gt;'Operating Assumptions'!$AA$8,0,IF('Operating Assumptions'!$L26="N/A",0,IF('Operating Assumptions'!$L26="$/Unit/Annual",(('Operating Assumptions'!$M26*AF$25)*AF$36)/12,IF('Operating Assumptions'!$L26="$/Unit/Month",('Operating Assumptions'!$M26*AF$25)*AF$36,IF('Operating Assumptions'!$L26="Fixed Amount",('Operating Assumptions'!$M26*AF$25)/12,IF('Operating Assumptions'!$L26="$/GSF",(('Operating Assumptions'!$M26*AF$25)*'Operating Assumptions'!$D$11)/12,IF('Operating Assumptions'!$L26="$/NSF",(('Operating Assumptions'!$M26*AF$25)*'Operating Assumptions'!$D$12)/12))))))))</f>
        <v>-1052.0833333333333</v>
      </c>
      <c r="AG98" s="427">
        <f>-IF(AG$9&lt;'Operating Assumptions'!$D$53,0,IF(AG$6&gt;'Operating Assumptions'!$AA$8,0,IF('Operating Assumptions'!$L26="N/A",0,IF('Operating Assumptions'!$L26="$/Unit/Annual",(('Operating Assumptions'!$M26*AG$25)*AG$36)/12,IF('Operating Assumptions'!$L26="$/Unit/Month",('Operating Assumptions'!$M26*AG$25)*AG$36,IF('Operating Assumptions'!$L26="Fixed Amount",('Operating Assumptions'!$M26*AG$25)/12,IF('Operating Assumptions'!$L26="$/GSF",(('Operating Assumptions'!$M26*AG$25)*'Operating Assumptions'!$D$11)/12,IF('Operating Assumptions'!$L26="$/NSF",(('Operating Assumptions'!$M26*AG$25)*'Operating Assumptions'!$D$12)/12))))))))</f>
        <v>-1052.0833333333333</v>
      </c>
      <c r="AH98" s="427">
        <f>-IF(AH$9&lt;'Operating Assumptions'!$D$53,0,IF(AH$6&gt;'Operating Assumptions'!$AA$8,0,IF('Operating Assumptions'!$L26="N/A",0,IF('Operating Assumptions'!$L26="$/Unit/Annual",(('Operating Assumptions'!$M26*AH$25)*AH$36)/12,IF('Operating Assumptions'!$L26="$/Unit/Month",('Operating Assumptions'!$M26*AH$25)*AH$36,IF('Operating Assumptions'!$L26="Fixed Amount",('Operating Assumptions'!$M26*AH$25)/12,IF('Operating Assumptions'!$L26="$/GSF",(('Operating Assumptions'!$M26*AH$25)*'Operating Assumptions'!$D$11)/12,IF('Operating Assumptions'!$L26="$/NSF",(('Operating Assumptions'!$M26*AH$25)*'Operating Assumptions'!$D$12)/12))))))))</f>
        <v>-1220.4166666666667</v>
      </c>
      <c r="AI98" s="427">
        <f>-IF(AI$9&lt;'Operating Assumptions'!$D$53,0,IF(AI$6&gt;'Operating Assumptions'!$AA$8,0,IF('Operating Assumptions'!$L26="N/A",0,IF('Operating Assumptions'!$L26="$/Unit/Annual",(('Operating Assumptions'!$M26*AI$25)*AI$36)/12,IF('Operating Assumptions'!$L26="$/Unit/Month",('Operating Assumptions'!$M26*AI$25)*AI$36,IF('Operating Assumptions'!$L26="Fixed Amount",('Operating Assumptions'!$M26*AI$25)/12,IF('Operating Assumptions'!$L26="$/GSF",(('Operating Assumptions'!$M26*AI$25)*'Operating Assumptions'!$D$11)/12,IF('Operating Assumptions'!$L26="$/NSF",(('Operating Assumptions'!$M26*AI$25)*'Operating Assumptions'!$D$12)/12))))))))</f>
        <v>-1388.75</v>
      </c>
      <c r="AJ98" s="427">
        <f>-IF(AJ$9&lt;'Operating Assumptions'!$D$53,0,IF(AJ$6&gt;'Operating Assumptions'!$AA$8,0,IF('Operating Assumptions'!$L26="N/A",0,IF('Operating Assumptions'!$L26="$/Unit/Annual",(('Operating Assumptions'!$M26*AJ$25)*AJ$36)/12,IF('Operating Assumptions'!$L26="$/Unit/Month",('Operating Assumptions'!$M26*AJ$25)*AJ$36,IF('Operating Assumptions'!$L26="Fixed Amount",('Operating Assumptions'!$M26*AJ$25)/12,IF('Operating Assumptions'!$L26="$/GSF",(('Operating Assumptions'!$M26*AJ$25)*'Operating Assumptions'!$D$11)/12,IF('Operating Assumptions'!$L26="$/NSF",(('Operating Assumptions'!$M26*AJ$25)*'Operating Assumptions'!$D$12)/12))))))))</f>
        <v>-1557.0833333333333</v>
      </c>
      <c r="AK98" s="427">
        <f>-IF(AK$9&lt;'Operating Assumptions'!$D$53,0,IF(AK$6&gt;'Operating Assumptions'!$AA$8,0,IF('Operating Assumptions'!$L26="N/A",0,IF('Operating Assumptions'!$L26="$/Unit/Annual",(('Operating Assumptions'!$M26*AK$25)*AK$36)/12,IF('Operating Assumptions'!$L26="$/Unit/Month",('Operating Assumptions'!$M26*AK$25)*AK$36,IF('Operating Assumptions'!$L26="Fixed Amount",('Operating Assumptions'!$M26*AK$25)/12,IF('Operating Assumptions'!$L26="$/GSF",(('Operating Assumptions'!$M26*AK$25)*'Operating Assumptions'!$D$11)/12,IF('Operating Assumptions'!$L26="$/NSF",(('Operating Assumptions'!$M26*AK$25)*'Operating Assumptions'!$D$12)/12))))))))</f>
        <v>-1725.4166666666667</v>
      </c>
      <c r="AL98" s="427">
        <f>-IF(AL$9&lt;'Operating Assumptions'!$D$53,0,IF(AL$6&gt;'Operating Assumptions'!$AA$8,0,IF('Operating Assumptions'!$L26="N/A",0,IF('Operating Assumptions'!$L26="$/Unit/Annual",(('Operating Assumptions'!$M26*AL$25)*AL$36)/12,IF('Operating Assumptions'!$L26="$/Unit/Month",('Operating Assumptions'!$M26*AL$25)*AL$36,IF('Operating Assumptions'!$L26="Fixed Amount",('Operating Assumptions'!$M26*AL$25)/12,IF('Operating Assumptions'!$L26="$/GSF",(('Operating Assumptions'!$M26*AL$25)*'Operating Assumptions'!$D$11)/12,IF('Operating Assumptions'!$L26="$/NSF",(('Operating Assumptions'!$M26*AL$25)*'Operating Assumptions'!$D$12)/12))))))))</f>
        <v>-1893.75</v>
      </c>
      <c r="AM98" s="427">
        <f>-IF(AM$9&lt;'Operating Assumptions'!$D$53,0,IF(AM$6&gt;'Operating Assumptions'!$AA$8,0,IF('Operating Assumptions'!$L26="N/A",0,IF('Operating Assumptions'!$L26="$/Unit/Annual",(('Operating Assumptions'!$M26*AM$25)*AM$36)/12,IF('Operating Assumptions'!$L26="$/Unit/Month",('Operating Assumptions'!$M26*AM$25)*AM$36,IF('Operating Assumptions'!$L26="Fixed Amount",('Operating Assumptions'!$M26*AM$25)/12,IF('Operating Assumptions'!$L26="$/GSF",(('Operating Assumptions'!$M26*AM$25)*'Operating Assumptions'!$D$11)/12,IF('Operating Assumptions'!$L26="$/NSF",(('Operating Assumptions'!$M26*AM$25)*'Operating Assumptions'!$D$12)/12))))))))</f>
        <v>-2020</v>
      </c>
      <c r="AN98" s="427">
        <f>-IF(AN$9&lt;'Operating Assumptions'!$D$53,0,IF(AN$6&gt;'Operating Assumptions'!$AA$8,0,IF('Operating Assumptions'!$L26="N/A",0,IF('Operating Assumptions'!$L26="$/Unit/Annual",(('Operating Assumptions'!$M26*AN$25)*AN$36)/12,IF('Operating Assumptions'!$L26="$/Unit/Month",('Operating Assumptions'!$M26*AN$25)*AN$36,IF('Operating Assumptions'!$L26="Fixed Amount",('Operating Assumptions'!$M26*AN$25)/12,IF('Operating Assumptions'!$L26="$/GSF",(('Operating Assumptions'!$M26*AN$25)*'Operating Assumptions'!$D$11)/12,IF('Operating Assumptions'!$L26="$/NSF",(('Operating Assumptions'!$M26*AN$25)*'Operating Assumptions'!$D$12)/12))))))))</f>
        <v>-2020</v>
      </c>
      <c r="AO98" s="427">
        <f>-IF(AO$9&lt;'Operating Assumptions'!$D$53,0,IF(AO$6&gt;'Operating Assumptions'!$AA$8,0,IF('Operating Assumptions'!$L26="N/A",0,IF('Operating Assumptions'!$L26="$/Unit/Annual",(('Operating Assumptions'!$M26*AO$25)*AO$36)/12,IF('Operating Assumptions'!$L26="$/Unit/Month",('Operating Assumptions'!$M26*AO$25)*AO$36,IF('Operating Assumptions'!$L26="Fixed Amount",('Operating Assumptions'!$M26*AO$25)/12,IF('Operating Assumptions'!$L26="$/GSF",(('Operating Assumptions'!$M26*AO$25)*'Operating Assumptions'!$D$11)/12,IF('Operating Assumptions'!$L26="$/NSF",(('Operating Assumptions'!$M26*AO$25)*'Operating Assumptions'!$D$12)/12))))))))</f>
        <v>-2020</v>
      </c>
      <c r="AP98" s="427">
        <f>-IF(AP$9&lt;'Operating Assumptions'!$D$53,0,IF(AP$6&gt;'Operating Assumptions'!$AA$8,0,IF('Operating Assumptions'!$L26="N/A",0,IF('Operating Assumptions'!$L26="$/Unit/Annual",(('Operating Assumptions'!$M26*AP$25)*AP$36)/12,IF('Operating Assumptions'!$L26="$/Unit/Month",('Operating Assumptions'!$M26*AP$25)*AP$36,IF('Operating Assumptions'!$L26="Fixed Amount",('Operating Assumptions'!$M26*AP$25)/12,IF('Operating Assumptions'!$L26="$/GSF",(('Operating Assumptions'!$M26*AP$25)*'Operating Assumptions'!$D$11)/12,IF('Operating Assumptions'!$L26="$/NSF",(('Operating Assumptions'!$M26*AP$25)*'Operating Assumptions'!$D$12)/12))))))))</f>
        <v>-2020</v>
      </c>
      <c r="AQ98" s="427">
        <f>-IF(AQ$9&lt;'Operating Assumptions'!$D$53,0,IF(AQ$6&gt;'Operating Assumptions'!$AA$8,0,IF('Operating Assumptions'!$L26="N/A",0,IF('Operating Assumptions'!$L26="$/Unit/Annual",(('Operating Assumptions'!$M26*AQ$25)*AQ$36)/12,IF('Operating Assumptions'!$L26="$/Unit/Month",('Operating Assumptions'!$M26*AQ$25)*AQ$36,IF('Operating Assumptions'!$L26="Fixed Amount",('Operating Assumptions'!$M26*AQ$25)/12,IF('Operating Assumptions'!$L26="$/GSF",(('Operating Assumptions'!$M26*AQ$25)*'Operating Assumptions'!$D$11)/12,IF('Operating Assumptions'!$L26="$/NSF",(('Operating Assumptions'!$M26*AQ$25)*'Operating Assumptions'!$D$12)/12))))))))</f>
        <v>-2020</v>
      </c>
      <c r="AR98" s="427">
        <f>-IF(AR$9&lt;'Operating Assumptions'!$D$53,0,IF(AR$6&gt;'Operating Assumptions'!$AA$8,0,IF('Operating Assumptions'!$L26="N/A",0,IF('Operating Assumptions'!$L26="$/Unit/Annual",(('Operating Assumptions'!$M26*AR$25)*AR$36)/12,IF('Operating Assumptions'!$L26="$/Unit/Month",('Operating Assumptions'!$M26*AR$25)*AR$36,IF('Operating Assumptions'!$L26="Fixed Amount",('Operating Assumptions'!$M26*AR$25)/12,IF('Operating Assumptions'!$L26="$/GSF",(('Operating Assumptions'!$M26*AR$25)*'Operating Assumptions'!$D$11)/12,IF('Operating Assumptions'!$L26="$/NSF",(('Operating Assumptions'!$M26*AR$25)*'Operating Assumptions'!$D$12)/12))))))))</f>
        <v>-2040</v>
      </c>
      <c r="AS98" s="427">
        <f>-IF(AS$9&lt;'Operating Assumptions'!$D$53,0,IF(AS$6&gt;'Operating Assumptions'!$AA$8,0,IF('Operating Assumptions'!$L26="N/A",0,IF('Operating Assumptions'!$L26="$/Unit/Annual",(('Operating Assumptions'!$M26*AS$25)*AS$36)/12,IF('Operating Assumptions'!$L26="$/Unit/Month",('Operating Assumptions'!$M26*AS$25)*AS$36,IF('Operating Assumptions'!$L26="Fixed Amount",('Operating Assumptions'!$M26*AS$25)/12,IF('Operating Assumptions'!$L26="$/GSF",(('Operating Assumptions'!$M26*AS$25)*'Operating Assumptions'!$D$11)/12,IF('Operating Assumptions'!$L26="$/NSF",(('Operating Assumptions'!$M26*AS$25)*'Operating Assumptions'!$D$12)/12))))))))</f>
        <v>-2040</v>
      </c>
      <c r="AT98" s="427">
        <f>-IF(AT$9&lt;'Operating Assumptions'!$D$53,0,IF(AT$6&gt;'Operating Assumptions'!$AA$8,0,IF('Operating Assumptions'!$L26="N/A",0,IF('Operating Assumptions'!$L26="$/Unit/Annual",(('Operating Assumptions'!$M26*AT$25)*AT$36)/12,IF('Operating Assumptions'!$L26="$/Unit/Month",('Operating Assumptions'!$M26*AT$25)*AT$36,IF('Operating Assumptions'!$L26="Fixed Amount",('Operating Assumptions'!$M26*AT$25)/12,IF('Operating Assumptions'!$L26="$/GSF",(('Operating Assumptions'!$M26*AT$25)*'Operating Assumptions'!$D$11)/12,IF('Operating Assumptions'!$L26="$/NSF",(('Operating Assumptions'!$M26*AT$25)*'Operating Assumptions'!$D$12)/12))))))))</f>
        <v>-2040</v>
      </c>
      <c r="AU98" s="427">
        <f>-IF(AU$9&lt;'Operating Assumptions'!$D$53,0,IF(AU$6&gt;'Operating Assumptions'!$AA$8,0,IF('Operating Assumptions'!$L26="N/A",0,IF('Operating Assumptions'!$L26="$/Unit/Annual",(('Operating Assumptions'!$M26*AU$25)*AU$36)/12,IF('Operating Assumptions'!$L26="$/Unit/Month",('Operating Assumptions'!$M26*AU$25)*AU$36,IF('Operating Assumptions'!$L26="Fixed Amount",('Operating Assumptions'!$M26*AU$25)/12,IF('Operating Assumptions'!$L26="$/GSF",(('Operating Assumptions'!$M26*AU$25)*'Operating Assumptions'!$D$11)/12,IF('Operating Assumptions'!$L26="$/NSF",(('Operating Assumptions'!$M26*AU$25)*'Operating Assumptions'!$D$12)/12))))))))</f>
        <v>-2040</v>
      </c>
      <c r="AV98" s="427">
        <f>-IF(AV$9&lt;'Operating Assumptions'!$D$53,0,IF(AV$6&gt;'Operating Assumptions'!$AA$8,0,IF('Operating Assumptions'!$L26="N/A",0,IF('Operating Assumptions'!$L26="$/Unit/Annual",(('Operating Assumptions'!$M26*AV$25)*AV$36)/12,IF('Operating Assumptions'!$L26="$/Unit/Month",('Operating Assumptions'!$M26*AV$25)*AV$36,IF('Operating Assumptions'!$L26="Fixed Amount",('Operating Assumptions'!$M26*AV$25)/12,IF('Operating Assumptions'!$L26="$/GSF",(('Operating Assumptions'!$M26*AV$25)*'Operating Assumptions'!$D$11)/12,IF('Operating Assumptions'!$L26="$/NSF",(('Operating Assumptions'!$M26*AV$25)*'Operating Assumptions'!$D$12)/12))))))))</f>
        <v>-2040</v>
      </c>
      <c r="AW98" s="427">
        <f>-IF(AW$9&lt;'Operating Assumptions'!$D$53,0,IF(AW$6&gt;'Operating Assumptions'!$AA$8,0,IF('Operating Assumptions'!$L26="N/A",0,IF('Operating Assumptions'!$L26="$/Unit/Annual",(('Operating Assumptions'!$M26*AW$25)*AW$36)/12,IF('Operating Assumptions'!$L26="$/Unit/Month",('Operating Assumptions'!$M26*AW$25)*AW$36,IF('Operating Assumptions'!$L26="Fixed Amount",('Operating Assumptions'!$M26*AW$25)/12,IF('Operating Assumptions'!$L26="$/GSF",(('Operating Assumptions'!$M26*AW$25)*'Operating Assumptions'!$D$11)/12,IF('Operating Assumptions'!$L26="$/NSF",(('Operating Assumptions'!$M26*AW$25)*'Operating Assumptions'!$D$12)/12))))))))</f>
        <v>-2040</v>
      </c>
      <c r="AX98" s="427">
        <f>-IF(AX$9&lt;'Operating Assumptions'!$D$53,0,IF(AX$6&gt;'Operating Assumptions'!$AA$8,0,IF('Operating Assumptions'!$L26="N/A",0,IF('Operating Assumptions'!$L26="$/Unit/Annual",(('Operating Assumptions'!$M26*AX$25)*AX$36)/12,IF('Operating Assumptions'!$L26="$/Unit/Month",('Operating Assumptions'!$M26*AX$25)*AX$36,IF('Operating Assumptions'!$L26="Fixed Amount",('Operating Assumptions'!$M26*AX$25)/12,IF('Operating Assumptions'!$L26="$/GSF",(('Operating Assumptions'!$M26*AX$25)*'Operating Assumptions'!$D$11)/12,IF('Operating Assumptions'!$L26="$/NSF",(('Operating Assumptions'!$M26*AX$25)*'Operating Assumptions'!$D$12)/12))))))))</f>
        <v>-2040</v>
      </c>
      <c r="AY98" s="427">
        <f>-IF(AY$9&lt;'Operating Assumptions'!$D$53,0,IF(AY$6&gt;'Operating Assumptions'!$AA$8,0,IF('Operating Assumptions'!$L26="N/A",0,IF('Operating Assumptions'!$L26="$/Unit/Annual",(('Operating Assumptions'!$M26*AY$25)*AY$36)/12,IF('Operating Assumptions'!$L26="$/Unit/Month",('Operating Assumptions'!$M26*AY$25)*AY$36,IF('Operating Assumptions'!$L26="Fixed Amount",('Operating Assumptions'!$M26*AY$25)/12,IF('Operating Assumptions'!$L26="$/GSF",(('Operating Assumptions'!$M26*AY$25)*'Operating Assumptions'!$D$11)/12,IF('Operating Assumptions'!$L26="$/NSF",(('Operating Assumptions'!$M26*AY$25)*'Operating Assumptions'!$D$12)/12))))))))</f>
        <v>-2040</v>
      </c>
      <c r="AZ98" s="427">
        <f>-IF(AZ$9&lt;'Operating Assumptions'!$D$53,0,IF(AZ$6&gt;'Operating Assumptions'!$AA$8,0,IF('Operating Assumptions'!$L26="N/A",0,IF('Operating Assumptions'!$L26="$/Unit/Annual",(('Operating Assumptions'!$M26*AZ$25)*AZ$36)/12,IF('Operating Assumptions'!$L26="$/Unit/Month",('Operating Assumptions'!$M26*AZ$25)*AZ$36,IF('Operating Assumptions'!$L26="Fixed Amount",('Operating Assumptions'!$M26*AZ$25)/12,IF('Operating Assumptions'!$L26="$/GSF",(('Operating Assumptions'!$M26*AZ$25)*'Operating Assumptions'!$D$11)/12,IF('Operating Assumptions'!$L26="$/NSF",(('Operating Assumptions'!$M26*AZ$25)*'Operating Assumptions'!$D$12)/12))))))))</f>
        <v>-2040</v>
      </c>
      <c r="BA98" s="427">
        <f>-IF(BA$9&lt;'Operating Assumptions'!$D$53,0,IF(BA$6&gt;'Operating Assumptions'!$AA$8,0,IF('Operating Assumptions'!$L26="N/A",0,IF('Operating Assumptions'!$L26="$/Unit/Annual",(('Operating Assumptions'!$M26*BA$25)*BA$36)/12,IF('Operating Assumptions'!$L26="$/Unit/Month",('Operating Assumptions'!$M26*BA$25)*BA$36,IF('Operating Assumptions'!$L26="Fixed Amount",('Operating Assumptions'!$M26*BA$25)/12,IF('Operating Assumptions'!$L26="$/GSF",(('Operating Assumptions'!$M26*BA$25)*'Operating Assumptions'!$D$11)/12,IF('Operating Assumptions'!$L26="$/NSF",(('Operating Assumptions'!$M26*BA$25)*'Operating Assumptions'!$D$12)/12))))))))</f>
        <v>-2040</v>
      </c>
      <c r="BB98" s="427">
        <f>-IF(BB$9&lt;'Operating Assumptions'!$D$53,0,IF(BB$6&gt;'Operating Assumptions'!$AA$8,0,IF('Operating Assumptions'!$L26="N/A",0,IF('Operating Assumptions'!$L26="$/Unit/Annual",(('Operating Assumptions'!$M26*BB$25)*BB$36)/12,IF('Operating Assumptions'!$L26="$/Unit/Month",('Operating Assumptions'!$M26*BB$25)*BB$36,IF('Operating Assumptions'!$L26="Fixed Amount",('Operating Assumptions'!$M26*BB$25)/12,IF('Operating Assumptions'!$L26="$/GSF",(('Operating Assumptions'!$M26*BB$25)*'Operating Assumptions'!$D$11)/12,IF('Operating Assumptions'!$L26="$/NSF",(('Operating Assumptions'!$M26*BB$25)*'Operating Assumptions'!$D$12)/12))))))))</f>
        <v>-2040</v>
      </c>
      <c r="BC98" s="427">
        <f>-IF(BC$9&lt;'Operating Assumptions'!$D$53,0,IF(BC$6&gt;'Operating Assumptions'!$AA$8,0,IF('Operating Assumptions'!$L26="N/A",0,IF('Operating Assumptions'!$L26="$/Unit/Annual",(('Operating Assumptions'!$M26*BC$25)*BC$36)/12,IF('Operating Assumptions'!$L26="$/Unit/Month",('Operating Assumptions'!$M26*BC$25)*BC$36,IF('Operating Assumptions'!$L26="Fixed Amount",('Operating Assumptions'!$M26*BC$25)/12,IF('Operating Assumptions'!$L26="$/GSF",(('Operating Assumptions'!$M26*BC$25)*'Operating Assumptions'!$D$11)/12,IF('Operating Assumptions'!$L26="$/NSF",(('Operating Assumptions'!$M26*BC$25)*'Operating Assumptions'!$D$12)/12))))))))</f>
        <v>-2040</v>
      </c>
      <c r="BD98" s="427">
        <f>-IF(BD$9&lt;'Operating Assumptions'!$D$53,0,IF(BD$6&gt;'Operating Assumptions'!$AA$8,0,IF('Operating Assumptions'!$L26="N/A",0,IF('Operating Assumptions'!$L26="$/Unit/Annual",(('Operating Assumptions'!$M26*BD$25)*BD$36)/12,IF('Operating Assumptions'!$L26="$/Unit/Month",('Operating Assumptions'!$M26*BD$25)*BD$36,IF('Operating Assumptions'!$L26="Fixed Amount",('Operating Assumptions'!$M26*BD$25)/12,IF('Operating Assumptions'!$L26="$/GSF",(('Operating Assumptions'!$M26*BD$25)*'Operating Assumptions'!$D$11)/12,IF('Operating Assumptions'!$L26="$/NSF",(('Operating Assumptions'!$M26*BD$25)*'Operating Assumptions'!$D$12)/12))))))))</f>
        <v>-2060</v>
      </c>
      <c r="BE98" s="427">
        <f>-IF(BE$9&lt;'Operating Assumptions'!$D$53,0,IF(BE$6&gt;'Operating Assumptions'!$AA$8,0,IF('Operating Assumptions'!$L26="N/A",0,IF('Operating Assumptions'!$L26="$/Unit/Annual",(('Operating Assumptions'!$M26*BE$25)*BE$36)/12,IF('Operating Assumptions'!$L26="$/Unit/Month",('Operating Assumptions'!$M26*BE$25)*BE$36,IF('Operating Assumptions'!$L26="Fixed Amount",('Operating Assumptions'!$M26*BE$25)/12,IF('Operating Assumptions'!$L26="$/GSF",(('Operating Assumptions'!$M26*BE$25)*'Operating Assumptions'!$D$11)/12,IF('Operating Assumptions'!$L26="$/NSF",(('Operating Assumptions'!$M26*BE$25)*'Operating Assumptions'!$D$12)/12))))))))</f>
        <v>-2060</v>
      </c>
      <c r="BF98" s="427">
        <f>-IF(BF$9&lt;'Operating Assumptions'!$D$53,0,IF(BF$6&gt;'Operating Assumptions'!$AA$8,0,IF('Operating Assumptions'!$L26="N/A",0,IF('Operating Assumptions'!$L26="$/Unit/Annual",(('Operating Assumptions'!$M26*BF$25)*BF$36)/12,IF('Operating Assumptions'!$L26="$/Unit/Month",('Operating Assumptions'!$M26*BF$25)*BF$36,IF('Operating Assumptions'!$L26="Fixed Amount",('Operating Assumptions'!$M26*BF$25)/12,IF('Operating Assumptions'!$L26="$/GSF",(('Operating Assumptions'!$M26*BF$25)*'Operating Assumptions'!$D$11)/12,IF('Operating Assumptions'!$L26="$/NSF",(('Operating Assumptions'!$M26*BF$25)*'Operating Assumptions'!$D$12)/12))))))))</f>
        <v>-2060</v>
      </c>
      <c r="BG98" s="427">
        <f>-IF(BG$9&lt;'Operating Assumptions'!$D$53,0,IF(BG$6&gt;'Operating Assumptions'!$AA$8,0,IF('Operating Assumptions'!$L26="N/A",0,IF('Operating Assumptions'!$L26="$/Unit/Annual",(('Operating Assumptions'!$M26*BG$25)*BG$36)/12,IF('Operating Assumptions'!$L26="$/Unit/Month",('Operating Assumptions'!$M26*BG$25)*BG$36,IF('Operating Assumptions'!$L26="Fixed Amount",('Operating Assumptions'!$M26*BG$25)/12,IF('Operating Assumptions'!$L26="$/GSF",(('Operating Assumptions'!$M26*BG$25)*'Operating Assumptions'!$D$11)/12,IF('Operating Assumptions'!$L26="$/NSF",(('Operating Assumptions'!$M26*BG$25)*'Operating Assumptions'!$D$12)/12))))))))</f>
        <v>-2060</v>
      </c>
      <c r="BH98" s="427">
        <f>-IF(BH$9&lt;'Operating Assumptions'!$D$53,0,IF(BH$6&gt;'Operating Assumptions'!$AA$8,0,IF('Operating Assumptions'!$L26="N/A",0,IF('Operating Assumptions'!$L26="$/Unit/Annual",(('Operating Assumptions'!$M26*BH$25)*BH$36)/12,IF('Operating Assumptions'!$L26="$/Unit/Month",('Operating Assumptions'!$M26*BH$25)*BH$36,IF('Operating Assumptions'!$L26="Fixed Amount",('Operating Assumptions'!$M26*BH$25)/12,IF('Operating Assumptions'!$L26="$/GSF",(('Operating Assumptions'!$M26*BH$25)*'Operating Assumptions'!$D$11)/12,IF('Operating Assumptions'!$L26="$/NSF",(('Operating Assumptions'!$M26*BH$25)*'Operating Assumptions'!$D$12)/12))))))))</f>
        <v>-2060</v>
      </c>
      <c r="BI98" s="427">
        <f>-IF(BI$9&lt;'Operating Assumptions'!$D$53,0,IF(BI$6&gt;'Operating Assumptions'!$AA$8,0,IF('Operating Assumptions'!$L26="N/A",0,IF('Operating Assumptions'!$L26="$/Unit/Annual",(('Operating Assumptions'!$M26*BI$25)*BI$36)/12,IF('Operating Assumptions'!$L26="$/Unit/Month",('Operating Assumptions'!$M26*BI$25)*BI$36,IF('Operating Assumptions'!$L26="Fixed Amount",('Operating Assumptions'!$M26*BI$25)/12,IF('Operating Assumptions'!$L26="$/GSF",(('Operating Assumptions'!$M26*BI$25)*'Operating Assumptions'!$D$11)/12,IF('Operating Assumptions'!$L26="$/NSF",(('Operating Assumptions'!$M26*BI$25)*'Operating Assumptions'!$D$12)/12))))))))</f>
        <v>-2060</v>
      </c>
      <c r="BJ98" s="427">
        <f>-IF(BJ$9&lt;'Operating Assumptions'!$D$53,0,IF(BJ$6&gt;'Operating Assumptions'!$AA$8,0,IF('Operating Assumptions'!$L26="N/A",0,IF('Operating Assumptions'!$L26="$/Unit/Annual",(('Operating Assumptions'!$M26*BJ$25)*BJ$36)/12,IF('Operating Assumptions'!$L26="$/Unit/Month",('Operating Assumptions'!$M26*BJ$25)*BJ$36,IF('Operating Assumptions'!$L26="Fixed Amount",('Operating Assumptions'!$M26*BJ$25)/12,IF('Operating Assumptions'!$L26="$/GSF",(('Operating Assumptions'!$M26*BJ$25)*'Operating Assumptions'!$D$11)/12,IF('Operating Assumptions'!$L26="$/NSF",(('Operating Assumptions'!$M26*BJ$25)*'Operating Assumptions'!$D$12)/12))))))))</f>
        <v>-2060</v>
      </c>
      <c r="BK98" s="427">
        <f>-IF(BK$9&lt;'Operating Assumptions'!$D$53,0,IF(BK$6&gt;'Operating Assumptions'!$AA$8,0,IF('Operating Assumptions'!$L26="N/A",0,IF('Operating Assumptions'!$L26="$/Unit/Annual",(('Operating Assumptions'!$M26*BK$25)*BK$36)/12,IF('Operating Assumptions'!$L26="$/Unit/Month",('Operating Assumptions'!$M26*BK$25)*BK$36,IF('Operating Assumptions'!$L26="Fixed Amount",('Operating Assumptions'!$M26*BK$25)/12,IF('Operating Assumptions'!$L26="$/GSF",(('Operating Assumptions'!$M26*BK$25)*'Operating Assumptions'!$D$11)/12,IF('Operating Assumptions'!$L26="$/NSF",(('Operating Assumptions'!$M26*BK$25)*'Operating Assumptions'!$D$12)/12))))))))</f>
        <v>-2060</v>
      </c>
      <c r="BL98" s="427">
        <f>-IF(BL$9&lt;'Operating Assumptions'!$D$53,0,IF(BL$6&gt;'Operating Assumptions'!$AA$8,0,IF('Operating Assumptions'!$L26="N/A",0,IF('Operating Assumptions'!$L26="$/Unit/Annual",(('Operating Assumptions'!$M26*BL$25)*BL$36)/12,IF('Operating Assumptions'!$L26="$/Unit/Month",('Operating Assumptions'!$M26*BL$25)*BL$36,IF('Operating Assumptions'!$L26="Fixed Amount",('Operating Assumptions'!$M26*BL$25)/12,IF('Operating Assumptions'!$L26="$/GSF",(('Operating Assumptions'!$M26*BL$25)*'Operating Assumptions'!$D$11)/12,IF('Operating Assumptions'!$L26="$/NSF",(('Operating Assumptions'!$M26*BL$25)*'Operating Assumptions'!$D$12)/12))))))))</f>
        <v>-2060</v>
      </c>
      <c r="BM98" s="427">
        <f>-IF(BM$9&lt;'Operating Assumptions'!$D$53,0,IF(BM$6&gt;'Operating Assumptions'!$AA$8,0,IF('Operating Assumptions'!$L26="N/A",0,IF('Operating Assumptions'!$L26="$/Unit/Annual",(('Operating Assumptions'!$M26*BM$25)*BM$36)/12,IF('Operating Assumptions'!$L26="$/Unit/Month",('Operating Assumptions'!$M26*BM$25)*BM$36,IF('Operating Assumptions'!$L26="Fixed Amount",('Operating Assumptions'!$M26*BM$25)/12,IF('Operating Assumptions'!$L26="$/GSF",(('Operating Assumptions'!$M26*BM$25)*'Operating Assumptions'!$D$11)/12,IF('Operating Assumptions'!$L26="$/NSF",(('Operating Assumptions'!$M26*BM$25)*'Operating Assumptions'!$D$12)/12))))))))</f>
        <v>-2060</v>
      </c>
      <c r="BN98" s="427">
        <f>-IF(BN$9&lt;'Operating Assumptions'!$D$53,0,IF(BN$6&gt;'Operating Assumptions'!$AA$8,0,IF('Operating Assumptions'!$L26="N/A",0,IF('Operating Assumptions'!$L26="$/Unit/Annual",(('Operating Assumptions'!$M26*BN$25)*BN$36)/12,IF('Operating Assumptions'!$L26="$/Unit/Month",('Operating Assumptions'!$M26*BN$25)*BN$36,IF('Operating Assumptions'!$L26="Fixed Amount",('Operating Assumptions'!$M26*BN$25)/12,IF('Operating Assumptions'!$L26="$/GSF",(('Operating Assumptions'!$M26*BN$25)*'Operating Assumptions'!$D$11)/12,IF('Operating Assumptions'!$L26="$/NSF",(('Operating Assumptions'!$M26*BN$25)*'Operating Assumptions'!$D$12)/12))))))))</f>
        <v>-2060</v>
      </c>
      <c r="BO98" s="427">
        <f>-IF(BO$9&lt;'Operating Assumptions'!$D$53,0,IF(BO$6&gt;'Operating Assumptions'!$AA$8,0,IF('Operating Assumptions'!$L26="N/A",0,IF('Operating Assumptions'!$L26="$/Unit/Annual",(('Operating Assumptions'!$M26*BO$25)*BO$36)/12,IF('Operating Assumptions'!$L26="$/Unit/Month",('Operating Assumptions'!$M26*BO$25)*BO$36,IF('Operating Assumptions'!$L26="Fixed Amount",('Operating Assumptions'!$M26*BO$25)/12,IF('Operating Assumptions'!$L26="$/GSF",(('Operating Assumptions'!$M26*BO$25)*'Operating Assumptions'!$D$11)/12,IF('Operating Assumptions'!$L26="$/NSF",(('Operating Assumptions'!$M26*BO$25)*'Operating Assumptions'!$D$12)/12))))))))</f>
        <v>-2060</v>
      </c>
      <c r="BP98" s="427">
        <f>-IF(BP$9&lt;'Operating Assumptions'!$D$53,0,IF(BP$6&gt;'Operating Assumptions'!$AA$8,0,IF('Operating Assumptions'!$L26="N/A",0,IF('Operating Assumptions'!$L26="$/Unit/Annual",(('Operating Assumptions'!$M26*BP$25)*BP$36)/12,IF('Operating Assumptions'!$L26="$/Unit/Month",('Operating Assumptions'!$M26*BP$25)*BP$36,IF('Operating Assumptions'!$L26="Fixed Amount",('Operating Assumptions'!$M26*BP$25)/12,IF('Operating Assumptions'!$L26="$/GSF",(('Operating Assumptions'!$M26*BP$25)*'Operating Assumptions'!$D$11)/12,IF('Operating Assumptions'!$L26="$/NSF",(('Operating Assumptions'!$M26*BP$25)*'Operating Assumptions'!$D$12)/12))))))))</f>
        <v>-2080</v>
      </c>
      <c r="BQ98" s="427">
        <f>-IF(BQ$9&lt;'Operating Assumptions'!$D$53,0,IF(BQ$6&gt;'Operating Assumptions'!$AA$8,0,IF('Operating Assumptions'!$L26="N/A",0,IF('Operating Assumptions'!$L26="$/Unit/Annual",(('Operating Assumptions'!$M26*BQ$25)*BQ$36)/12,IF('Operating Assumptions'!$L26="$/Unit/Month",('Operating Assumptions'!$M26*BQ$25)*BQ$36,IF('Operating Assumptions'!$L26="Fixed Amount",('Operating Assumptions'!$M26*BQ$25)/12,IF('Operating Assumptions'!$L26="$/GSF",(('Operating Assumptions'!$M26*BQ$25)*'Operating Assumptions'!$D$11)/12,IF('Operating Assumptions'!$L26="$/NSF",(('Operating Assumptions'!$M26*BQ$25)*'Operating Assumptions'!$D$12)/12))))))))</f>
        <v>-2080</v>
      </c>
      <c r="BR98" s="427">
        <f>-IF(BR$9&lt;'Operating Assumptions'!$D$53,0,IF(BR$6&gt;'Operating Assumptions'!$AA$8,0,IF('Operating Assumptions'!$L26="N/A",0,IF('Operating Assumptions'!$L26="$/Unit/Annual",(('Operating Assumptions'!$M26*BR$25)*BR$36)/12,IF('Operating Assumptions'!$L26="$/Unit/Month",('Operating Assumptions'!$M26*BR$25)*BR$36,IF('Operating Assumptions'!$L26="Fixed Amount",('Operating Assumptions'!$M26*BR$25)/12,IF('Operating Assumptions'!$L26="$/GSF",(('Operating Assumptions'!$M26*BR$25)*'Operating Assumptions'!$D$11)/12,IF('Operating Assumptions'!$L26="$/NSF",(('Operating Assumptions'!$M26*BR$25)*'Operating Assumptions'!$D$12)/12))))))))</f>
        <v>-2080</v>
      </c>
      <c r="BS98" s="427">
        <f>-IF(BS$9&lt;'Operating Assumptions'!$D$53,0,IF(BS$6&gt;'Operating Assumptions'!$AA$8,0,IF('Operating Assumptions'!$L26="N/A",0,IF('Operating Assumptions'!$L26="$/Unit/Annual",(('Operating Assumptions'!$M26*BS$25)*BS$36)/12,IF('Operating Assumptions'!$L26="$/Unit/Month",('Operating Assumptions'!$M26*BS$25)*BS$36,IF('Operating Assumptions'!$L26="Fixed Amount",('Operating Assumptions'!$M26*BS$25)/12,IF('Operating Assumptions'!$L26="$/GSF",(('Operating Assumptions'!$M26*BS$25)*'Operating Assumptions'!$D$11)/12,IF('Operating Assumptions'!$L26="$/NSF",(('Operating Assumptions'!$M26*BS$25)*'Operating Assumptions'!$D$12)/12))))))))</f>
        <v>-2080</v>
      </c>
      <c r="BT98" s="427">
        <f>-IF(BT$9&lt;'Operating Assumptions'!$D$53,0,IF(BT$6&gt;'Operating Assumptions'!$AA$8,0,IF('Operating Assumptions'!$L26="N/A",0,IF('Operating Assumptions'!$L26="$/Unit/Annual",(('Operating Assumptions'!$M26*BT$25)*BT$36)/12,IF('Operating Assumptions'!$L26="$/Unit/Month",('Operating Assumptions'!$M26*BT$25)*BT$36,IF('Operating Assumptions'!$L26="Fixed Amount",('Operating Assumptions'!$M26*BT$25)/12,IF('Operating Assumptions'!$L26="$/GSF",(('Operating Assumptions'!$M26*BT$25)*'Operating Assumptions'!$D$11)/12,IF('Operating Assumptions'!$L26="$/NSF",(('Operating Assumptions'!$M26*BT$25)*'Operating Assumptions'!$D$12)/12))))))))</f>
        <v>-2080</v>
      </c>
      <c r="BU98" s="427">
        <f>-IF(BU$9&lt;'Operating Assumptions'!$D$53,0,IF(BU$6&gt;'Operating Assumptions'!$AA$8,0,IF('Operating Assumptions'!$L26="N/A",0,IF('Operating Assumptions'!$L26="$/Unit/Annual",(('Operating Assumptions'!$M26*BU$25)*BU$36)/12,IF('Operating Assumptions'!$L26="$/Unit/Month",('Operating Assumptions'!$M26*BU$25)*BU$36,IF('Operating Assumptions'!$L26="Fixed Amount",('Operating Assumptions'!$M26*BU$25)/12,IF('Operating Assumptions'!$L26="$/GSF",(('Operating Assumptions'!$M26*BU$25)*'Operating Assumptions'!$D$11)/12,IF('Operating Assumptions'!$L26="$/NSF",(('Operating Assumptions'!$M26*BU$25)*'Operating Assumptions'!$D$12)/12))))))))</f>
        <v>-2080</v>
      </c>
      <c r="BV98" s="427">
        <f>-IF(BV$9&lt;'Operating Assumptions'!$D$53,0,IF(BV$6&gt;'Operating Assumptions'!$AA$8,0,IF('Operating Assumptions'!$L26="N/A",0,IF('Operating Assumptions'!$L26="$/Unit/Annual",(('Operating Assumptions'!$M26*BV$25)*BV$36)/12,IF('Operating Assumptions'!$L26="$/Unit/Month",('Operating Assumptions'!$M26*BV$25)*BV$36,IF('Operating Assumptions'!$L26="Fixed Amount",('Operating Assumptions'!$M26*BV$25)/12,IF('Operating Assumptions'!$L26="$/GSF",(('Operating Assumptions'!$M26*BV$25)*'Operating Assumptions'!$D$11)/12,IF('Operating Assumptions'!$L26="$/NSF",(('Operating Assumptions'!$M26*BV$25)*'Operating Assumptions'!$D$12)/12))))))))</f>
        <v>-2080</v>
      </c>
      <c r="BW98" s="427">
        <f>-IF(BW$9&lt;'Operating Assumptions'!$D$53,0,IF(BW$6&gt;'Operating Assumptions'!$AA$8,0,IF('Operating Assumptions'!$L26="N/A",0,IF('Operating Assumptions'!$L26="$/Unit/Annual",(('Operating Assumptions'!$M26*BW$25)*BW$36)/12,IF('Operating Assumptions'!$L26="$/Unit/Month",('Operating Assumptions'!$M26*BW$25)*BW$36,IF('Operating Assumptions'!$L26="Fixed Amount",('Operating Assumptions'!$M26*BW$25)/12,IF('Operating Assumptions'!$L26="$/GSF",(('Operating Assumptions'!$M26*BW$25)*'Operating Assumptions'!$D$11)/12,IF('Operating Assumptions'!$L26="$/NSF",(('Operating Assumptions'!$M26*BW$25)*'Operating Assumptions'!$D$12)/12))))))))</f>
        <v>-2080</v>
      </c>
      <c r="BX98" s="427">
        <f>-IF(BX$9&lt;'Operating Assumptions'!$D$53,0,IF(BX$6&gt;'Operating Assumptions'!$AA$8,0,IF('Operating Assumptions'!$L26="N/A",0,IF('Operating Assumptions'!$L26="$/Unit/Annual",(('Operating Assumptions'!$M26*BX$25)*BX$36)/12,IF('Operating Assumptions'!$L26="$/Unit/Month",('Operating Assumptions'!$M26*BX$25)*BX$36,IF('Operating Assumptions'!$L26="Fixed Amount",('Operating Assumptions'!$M26*BX$25)/12,IF('Operating Assumptions'!$L26="$/GSF",(('Operating Assumptions'!$M26*BX$25)*'Operating Assumptions'!$D$11)/12,IF('Operating Assumptions'!$L26="$/NSF",(('Operating Assumptions'!$M26*BX$25)*'Operating Assumptions'!$D$12)/12))))))))</f>
        <v>-2080</v>
      </c>
      <c r="BY98" s="427">
        <f>-IF(BY$9&lt;'Operating Assumptions'!$D$53,0,IF(BY$6&gt;'Operating Assumptions'!$AA$8,0,IF('Operating Assumptions'!$L26="N/A",0,IF('Operating Assumptions'!$L26="$/Unit/Annual",(('Operating Assumptions'!$M26*BY$25)*BY$36)/12,IF('Operating Assumptions'!$L26="$/Unit/Month",('Operating Assumptions'!$M26*BY$25)*BY$36,IF('Operating Assumptions'!$L26="Fixed Amount",('Operating Assumptions'!$M26*BY$25)/12,IF('Operating Assumptions'!$L26="$/GSF",(('Operating Assumptions'!$M26*BY$25)*'Operating Assumptions'!$D$11)/12,IF('Operating Assumptions'!$L26="$/NSF",(('Operating Assumptions'!$M26*BY$25)*'Operating Assumptions'!$D$12)/12))))))))</f>
        <v>-2080</v>
      </c>
      <c r="BZ98" s="427">
        <f>-IF(BZ$9&lt;'Operating Assumptions'!$D$53,0,IF(BZ$6&gt;'Operating Assumptions'!$AA$8,0,IF('Operating Assumptions'!$L26="N/A",0,IF('Operating Assumptions'!$L26="$/Unit/Annual",(('Operating Assumptions'!$M26*BZ$25)*BZ$36)/12,IF('Operating Assumptions'!$L26="$/Unit/Month",('Operating Assumptions'!$M26*BZ$25)*BZ$36,IF('Operating Assumptions'!$L26="Fixed Amount",('Operating Assumptions'!$M26*BZ$25)/12,IF('Operating Assumptions'!$L26="$/GSF",(('Operating Assumptions'!$M26*BZ$25)*'Operating Assumptions'!$D$11)/12,IF('Operating Assumptions'!$L26="$/NSF",(('Operating Assumptions'!$M26*BZ$25)*'Operating Assumptions'!$D$12)/12))))))))</f>
        <v>-2080</v>
      </c>
      <c r="CA98" s="427">
        <f>-IF(CA$9&lt;'Operating Assumptions'!$D$53,0,IF(CA$6&gt;'Operating Assumptions'!$AA$8,0,IF('Operating Assumptions'!$L26="N/A",0,IF('Operating Assumptions'!$L26="$/Unit/Annual",(('Operating Assumptions'!$M26*CA$25)*CA$36)/12,IF('Operating Assumptions'!$L26="$/Unit/Month",('Operating Assumptions'!$M26*CA$25)*CA$36,IF('Operating Assumptions'!$L26="Fixed Amount",('Operating Assumptions'!$M26*CA$25)/12,IF('Operating Assumptions'!$L26="$/GSF",(('Operating Assumptions'!$M26*CA$25)*'Operating Assumptions'!$D$11)/12,IF('Operating Assumptions'!$L26="$/NSF",(('Operating Assumptions'!$M26*CA$25)*'Operating Assumptions'!$D$12)/12))))))))</f>
        <v>-2080</v>
      </c>
      <c r="CB98" s="427">
        <f>-IF(CB$9&lt;'Operating Assumptions'!$D$53,0,IF(CB$6&gt;'Operating Assumptions'!$AA$8,0,IF('Operating Assumptions'!$L26="N/A",0,IF('Operating Assumptions'!$L26="$/Unit/Annual",(('Operating Assumptions'!$M26*CB$25)*CB$36)/12,IF('Operating Assumptions'!$L26="$/Unit/Month",('Operating Assumptions'!$M26*CB$25)*CB$36,IF('Operating Assumptions'!$L26="Fixed Amount",('Operating Assumptions'!$M26*CB$25)/12,IF('Operating Assumptions'!$L26="$/GSF",(('Operating Assumptions'!$M26*CB$25)*'Operating Assumptions'!$D$11)/12,IF('Operating Assumptions'!$L26="$/NSF",(('Operating Assumptions'!$M26*CB$25)*'Operating Assumptions'!$D$12)/12))))))))</f>
        <v>-2100</v>
      </c>
      <c r="CC98" s="427">
        <f>-IF(CC$9&lt;'Operating Assumptions'!$D$53,0,IF(CC$6&gt;'Operating Assumptions'!$AA$8,0,IF('Operating Assumptions'!$L26="N/A",0,IF('Operating Assumptions'!$L26="$/Unit/Annual",(('Operating Assumptions'!$M26*CC$25)*CC$36)/12,IF('Operating Assumptions'!$L26="$/Unit/Month",('Operating Assumptions'!$M26*CC$25)*CC$36,IF('Operating Assumptions'!$L26="Fixed Amount",('Operating Assumptions'!$M26*CC$25)/12,IF('Operating Assumptions'!$L26="$/GSF",(('Operating Assumptions'!$M26*CC$25)*'Operating Assumptions'!$D$11)/12,IF('Operating Assumptions'!$L26="$/NSF",(('Operating Assumptions'!$M26*CC$25)*'Operating Assumptions'!$D$12)/12))))))))</f>
        <v>-2100</v>
      </c>
      <c r="CD98" s="427">
        <f>-IF(CD$9&lt;'Operating Assumptions'!$D$53,0,IF(CD$6&gt;'Operating Assumptions'!$AA$8,0,IF('Operating Assumptions'!$L26="N/A",0,IF('Operating Assumptions'!$L26="$/Unit/Annual",(('Operating Assumptions'!$M26*CD$25)*CD$36)/12,IF('Operating Assumptions'!$L26="$/Unit/Month",('Operating Assumptions'!$M26*CD$25)*CD$36,IF('Operating Assumptions'!$L26="Fixed Amount",('Operating Assumptions'!$M26*CD$25)/12,IF('Operating Assumptions'!$L26="$/GSF",(('Operating Assumptions'!$M26*CD$25)*'Operating Assumptions'!$D$11)/12,IF('Operating Assumptions'!$L26="$/NSF",(('Operating Assumptions'!$M26*CD$25)*'Operating Assumptions'!$D$12)/12))))))))</f>
        <v>-2100</v>
      </c>
      <c r="CE98" s="427">
        <f>-IF(CE$9&lt;'Operating Assumptions'!$D$53,0,IF(CE$6&gt;'Operating Assumptions'!$AA$8,0,IF('Operating Assumptions'!$L26="N/A",0,IF('Operating Assumptions'!$L26="$/Unit/Annual",(('Operating Assumptions'!$M26*CE$25)*CE$36)/12,IF('Operating Assumptions'!$L26="$/Unit/Month",('Operating Assumptions'!$M26*CE$25)*CE$36,IF('Operating Assumptions'!$L26="Fixed Amount",('Operating Assumptions'!$M26*CE$25)/12,IF('Operating Assumptions'!$L26="$/GSF",(('Operating Assumptions'!$M26*CE$25)*'Operating Assumptions'!$D$11)/12,IF('Operating Assumptions'!$L26="$/NSF",(('Operating Assumptions'!$M26*CE$25)*'Operating Assumptions'!$D$12)/12))))))))</f>
        <v>-2100</v>
      </c>
      <c r="CF98" s="427">
        <f>-IF(CF$9&lt;'Operating Assumptions'!$D$53,0,IF(CF$6&gt;'Operating Assumptions'!$AA$8,0,IF('Operating Assumptions'!$L26="N/A",0,IF('Operating Assumptions'!$L26="$/Unit/Annual",(('Operating Assumptions'!$M26*CF$25)*CF$36)/12,IF('Operating Assumptions'!$L26="$/Unit/Month",('Operating Assumptions'!$M26*CF$25)*CF$36,IF('Operating Assumptions'!$L26="Fixed Amount",('Operating Assumptions'!$M26*CF$25)/12,IF('Operating Assumptions'!$L26="$/GSF",(('Operating Assumptions'!$M26*CF$25)*'Operating Assumptions'!$D$11)/12,IF('Operating Assumptions'!$L26="$/NSF",(('Operating Assumptions'!$M26*CF$25)*'Operating Assumptions'!$D$12)/12))))))))</f>
        <v>-2100</v>
      </c>
      <c r="CG98" s="427">
        <f>-IF(CG$9&lt;'Operating Assumptions'!$D$53,0,IF(CG$6&gt;'Operating Assumptions'!$AA$8,0,IF('Operating Assumptions'!$L26="N/A",0,IF('Operating Assumptions'!$L26="$/Unit/Annual",(('Operating Assumptions'!$M26*CG$25)*CG$36)/12,IF('Operating Assumptions'!$L26="$/Unit/Month",('Operating Assumptions'!$M26*CG$25)*CG$36,IF('Operating Assumptions'!$L26="Fixed Amount",('Operating Assumptions'!$M26*CG$25)/12,IF('Operating Assumptions'!$L26="$/GSF",(('Operating Assumptions'!$M26*CG$25)*'Operating Assumptions'!$D$11)/12,IF('Operating Assumptions'!$L26="$/NSF",(('Operating Assumptions'!$M26*CG$25)*'Operating Assumptions'!$D$12)/12))))))))</f>
        <v>-2100</v>
      </c>
      <c r="CH98" s="427">
        <f>-IF(CH$9&lt;'Operating Assumptions'!$D$53,0,IF(CH$6&gt;'Operating Assumptions'!$AA$8,0,IF('Operating Assumptions'!$L26="N/A",0,IF('Operating Assumptions'!$L26="$/Unit/Annual",(('Operating Assumptions'!$M26*CH$25)*CH$36)/12,IF('Operating Assumptions'!$L26="$/Unit/Month",('Operating Assumptions'!$M26*CH$25)*CH$36,IF('Operating Assumptions'!$L26="Fixed Amount",('Operating Assumptions'!$M26*CH$25)/12,IF('Operating Assumptions'!$L26="$/GSF",(('Operating Assumptions'!$M26*CH$25)*'Operating Assumptions'!$D$11)/12,IF('Operating Assumptions'!$L26="$/NSF",(('Operating Assumptions'!$M26*CH$25)*'Operating Assumptions'!$D$12)/12))))))))</f>
        <v>-2100</v>
      </c>
      <c r="CI98" s="427">
        <f>-IF(CI$9&lt;'Operating Assumptions'!$D$53,0,IF(CI$6&gt;'Operating Assumptions'!$AA$8,0,IF('Operating Assumptions'!$L26="N/A",0,IF('Operating Assumptions'!$L26="$/Unit/Annual",(('Operating Assumptions'!$M26*CI$25)*CI$36)/12,IF('Operating Assumptions'!$L26="$/Unit/Month",('Operating Assumptions'!$M26*CI$25)*CI$36,IF('Operating Assumptions'!$L26="Fixed Amount",('Operating Assumptions'!$M26*CI$25)/12,IF('Operating Assumptions'!$L26="$/GSF",(('Operating Assumptions'!$M26*CI$25)*'Operating Assumptions'!$D$11)/12,IF('Operating Assumptions'!$L26="$/NSF",(('Operating Assumptions'!$M26*CI$25)*'Operating Assumptions'!$D$12)/12))))))))</f>
        <v>-2100</v>
      </c>
      <c r="CJ98" s="427">
        <f>-IF(CJ$9&lt;'Operating Assumptions'!$D$53,0,IF(CJ$6&gt;'Operating Assumptions'!$AA$8,0,IF('Operating Assumptions'!$L26="N/A",0,IF('Operating Assumptions'!$L26="$/Unit/Annual",(('Operating Assumptions'!$M26*CJ$25)*CJ$36)/12,IF('Operating Assumptions'!$L26="$/Unit/Month",('Operating Assumptions'!$M26*CJ$25)*CJ$36,IF('Operating Assumptions'!$L26="Fixed Amount",('Operating Assumptions'!$M26*CJ$25)/12,IF('Operating Assumptions'!$L26="$/GSF",(('Operating Assumptions'!$M26*CJ$25)*'Operating Assumptions'!$D$11)/12,IF('Operating Assumptions'!$L26="$/NSF",(('Operating Assumptions'!$M26*CJ$25)*'Operating Assumptions'!$D$12)/12))))))))</f>
        <v>-2100</v>
      </c>
      <c r="CK98" s="427">
        <f>-IF(CK$9&lt;'Operating Assumptions'!$D$53,0,IF(CK$6&gt;'Operating Assumptions'!$AA$8,0,IF('Operating Assumptions'!$L26="N/A",0,IF('Operating Assumptions'!$L26="$/Unit/Annual",(('Operating Assumptions'!$M26*CK$25)*CK$36)/12,IF('Operating Assumptions'!$L26="$/Unit/Month",('Operating Assumptions'!$M26*CK$25)*CK$36,IF('Operating Assumptions'!$L26="Fixed Amount",('Operating Assumptions'!$M26*CK$25)/12,IF('Operating Assumptions'!$L26="$/GSF",(('Operating Assumptions'!$M26*CK$25)*'Operating Assumptions'!$D$11)/12,IF('Operating Assumptions'!$L26="$/NSF",(('Operating Assumptions'!$M26*CK$25)*'Operating Assumptions'!$D$12)/12))))))))</f>
        <v>-2100</v>
      </c>
      <c r="CL98" s="427">
        <f>-IF(CL$9&lt;'Operating Assumptions'!$D$53,0,IF(CL$6&gt;'Operating Assumptions'!$AA$8,0,IF('Operating Assumptions'!$L26="N/A",0,IF('Operating Assumptions'!$L26="$/Unit/Annual",(('Operating Assumptions'!$M26*CL$25)*CL$36)/12,IF('Operating Assumptions'!$L26="$/Unit/Month",('Operating Assumptions'!$M26*CL$25)*CL$36,IF('Operating Assumptions'!$L26="Fixed Amount",('Operating Assumptions'!$M26*CL$25)/12,IF('Operating Assumptions'!$L26="$/GSF",(('Operating Assumptions'!$M26*CL$25)*'Operating Assumptions'!$D$11)/12,IF('Operating Assumptions'!$L26="$/NSF",(('Operating Assumptions'!$M26*CL$25)*'Operating Assumptions'!$D$12)/12))))))))</f>
        <v>-2100</v>
      </c>
      <c r="CM98" s="427">
        <f>-IF(CM$9&lt;'Operating Assumptions'!$D$53,0,IF(CM$6&gt;'Operating Assumptions'!$AA$8,0,IF('Operating Assumptions'!$L26="N/A",0,IF('Operating Assumptions'!$L26="$/Unit/Annual",(('Operating Assumptions'!$M26*CM$25)*CM$36)/12,IF('Operating Assumptions'!$L26="$/Unit/Month",('Operating Assumptions'!$M26*CM$25)*CM$36,IF('Operating Assumptions'!$L26="Fixed Amount",('Operating Assumptions'!$M26*CM$25)/12,IF('Operating Assumptions'!$L26="$/GSF",(('Operating Assumptions'!$M26*CM$25)*'Operating Assumptions'!$D$11)/12,IF('Operating Assumptions'!$L26="$/NSF",(('Operating Assumptions'!$M26*CM$25)*'Operating Assumptions'!$D$12)/12))))))))</f>
        <v>-2100</v>
      </c>
      <c r="CN98" s="427">
        <f>-IF(CN$9&lt;'Operating Assumptions'!$D$53,0,IF(CN$6&gt;'Operating Assumptions'!$AA$8,0,IF('Operating Assumptions'!$L26="N/A",0,IF('Operating Assumptions'!$L26="$/Unit/Annual",(('Operating Assumptions'!$M26*CN$25)*CN$36)/12,IF('Operating Assumptions'!$L26="$/Unit/Month",('Operating Assumptions'!$M26*CN$25)*CN$36,IF('Operating Assumptions'!$L26="Fixed Amount",('Operating Assumptions'!$M26*CN$25)/12,IF('Operating Assumptions'!$L26="$/GSF",(('Operating Assumptions'!$M26*CN$25)*'Operating Assumptions'!$D$11)/12,IF('Operating Assumptions'!$L26="$/NSF",(('Operating Assumptions'!$M26*CN$25)*'Operating Assumptions'!$D$12)/12))))))))</f>
        <v>-2120</v>
      </c>
      <c r="CO98" s="427">
        <f>-IF(CO$9&lt;'Operating Assumptions'!$D$53,0,IF(CO$6&gt;'Operating Assumptions'!$AA$8,0,IF('Operating Assumptions'!$L26="N/A",0,IF('Operating Assumptions'!$L26="$/Unit/Annual",(('Operating Assumptions'!$M26*CO$25)*CO$36)/12,IF('Operating Assumptions'!$L26="$/Unit/Month",('Operating Assumptions'!$M26*CO$25)*CO$36,IF('Operating Assumptions'!$L26="Fixed Amount",('Operating Assumptions'!$M26*CO$25)/12,IF('Operating Assumptions'!$L26="$/GSF",(('Operating Assumptions'!$M26*CO$25)*'Operating Assumptions'!$D$11)/12,IF('Operating Assumptions'!$L26="$/NSF",(('Operating Assumptions'!$M26*CO$25)*'Operating Assumptions'!$D$12)/12))))))))</f>
        <v>-2120</v>
      </c>
      <c r="CP98" s="427">
        <f>-IF(CP$9&lt;'Operating Assumptions'!$D$53,0,IF(CP$6&gt;'Operating Assumptions'!$AA$8,0,IF('Operating Assumptions'!$L26="N/A",0,IF('Operating Assumptions'!$L26="$/Unit/Annual",(('Operating Assumptions'!$M26*CP$25)*CP$36)/12,IF('Operating Assumptions'!$L26="$/Unit/Month",('Operating Assumptions'!$M26*CP$25)*CP$36,IF('Operating Assumptions'!$L26="Fixed Amount",('Operating Assumptions'!$M26*CP$25)/12,IF('Operating Assumptions'!$L26="$/GSF",(('Operating Assumptions'!$M26*CP$25)*'Operating Assumptions'!$D$11)/12,IF('Operating Assumptions'!$L26="$/NSF",(('Operating Assumptions'!$M26*CP$25)*'Operating Assumptions'!$D$12)/12))))))))</f>
        <v>-2120</v>
      </c>
      <c r="CQ98" s="427">
        <f>-IF(CQ$9&lt;'Operating Assumptions'!$D$53,0,IF(CQ$6&gt;'Operating Assumptions'!$AA$8,0,IF('Operating Assumptions'!$L26="N/A",0,IF('Operating Assumptions'!$L26="$/Unit/Annual",(('Operating Assumptions'!$M26*CQ$25)*CQ$36)/12,IF('Operating Assumptions'!$L26="$/Unit/Month",('Operating Assumptions'!$M26*CQ$25)*CQ$36,IF('Operating Assumptions'!$L26="Fixed Amount",('Operating Assumptions'!$M26*CQ$25)/12,IF('Operating Assumptions'!$L26="$/GSF",(('Operating Assumptions'!$M26*CQ$25)*'Operating Assumptions'!$D$11)/12,IF('Operating Assumptions'!$L26="$/NSF",(('Operating Assumptions'!$M26*CQ$25)*'Operating Assumptions'!$D$12)/12))))))))</f>
        <v>-2120</v>
      </c>
      <c r="CR98" s="427">
        <f>-IF(CR$9&lt;'Operating Assumptions'!$D$53,0,IF(CR$6&gt;'Operating Assumptions'!$AA$8,0,IF('Operating Assumptions'!$L26="N/A",0,IF('Operating Assumptions'!$L26="$/Unit/Annual",(('Operating Assumptions'!$M26*CR$25)*CR$36)/12,IF('Operating Assumptions'!$L26="$/Unit/Month",('Operating Assumptions'!$M26*CR$25)*CR$36,IF('Operating Assumptions'!$L26="Fixed Amount",('Operating Assumptions'!$M26*CR$25)/12,IF('Operating Assumptions'!$L26="$/GSF",(('Operating Assumptions'!$M26*CR$25)*'Operating Assumptions'!$D$11)/12,IF('Operating Assumptions'!$L26="$/NSF",(('Operating Assumptions'!$M26*CR$25)*'Operating Assumptions'!$D$12)/12))))))))</f>
        <v>-2120</v>
      </c>
      <c r="CS98" s="427">
        <f>-IF(CS$9&lt;'Operating Assumptions'!$D$53,0,IF(CS$6&gt;'Operating Assumptions'!$AA$8,0,IF('Operating Assumptions'!$L26="N/A",0,IF('Operating Assumptions'!$L26="$/Unit/Annual",(('Operating Assumptions'!$M26*CS$25)*CS$36)/12,IF('Operating Assumptions'!$L26="$/Unit/Month",('Operating Assumptions'!$M26*CS$25)*CS$36,IF('Operating Assumptions'!$L26="Fixed Amount",('Operating Assumptions'!$M26*CS$25)/12,IF('Operating Assumptions'!$L26="$/GSF",(('Operating Assumptions'!$M26*CS$25)*'Operating Assumptions'!$D$11)/12,IF('Operating Assumptions'!$L26="$/NSF",(('Operating Assumptions'!$M26*CS$25)*'Operating Assumptions'!$D$12)/12))))))))</f>
        <v>-2120</v>
      </c>
      <c r="CT98" s="427">
        <f>-IF(CT$9&lt;'Operating Assumptions'!$D$53,0,IF(CT$6&gt;'Operating Assumptions'!$AA$8,0,IF('Operating Assumptions'!$L26="N/A",0,IF('Operating Assumptions'!$L26="$/Unit/Annual",(('Operating Assumptions'!$M26*CT$25)*CT$36)/12,IF('Operating Assumptions'!$L26="$/Unit/Month",('Operating Assumptions'!$M26*CT$25)*CT$36,IF('Operating Assumptions'!$L26="Fixed Amount",('Operating Assumptions'!$M26*CT$25)/12,IF('Operating Assumptions'!$L26="$/GSF",(('Operating Assumptions'!$M26*CT$25)*'Operating Assumptions'!$D$11)/12,IF('Operating Assumptions'!$L26="$/NSF",(('Operating Assumptions'!$M26*CT$25)*'Operating Assumptions'!$D$12)/12))))))))</f>
        <v>-2120</v>
      </c>
      <c r="CU98" s="427">
        <f>-IF(CU$9&lt;'Operating Assumptions'!$D$53,0,IF(CU$6&gt;'Operating Assumptions'!$AA$8,0,IF('Operating Assumptions'!$L26="N/A",0,IF('Operating Assumptions'!$L26="$/Unit/Annual",(('Operating Assumptions'!$M26*CU$25)*CU$36)/12,IF('Operating Assumptions'!$L26="$/Unit/Month",('Operating Assumptions'!$M26*CU$25)*CU$36,IF('Operating Assumptions'!$L26="Fixed Amount",('Operating Assumptions'!$M26*CU$25)/12,IF('Operating Assumptions'!$L26="$/GSF",(('Operating Assumptions'!$M26*CU$25)*'Operating Assumptions'!$D$11)/12,IF('Operating Assumptions'!$L26="$/NSF",(('Operating Assumptions'!$M26*CU$25)*'Operating Assumptions'!$D$12)/12))))))))</f>
        <v>-2120</v>
      </c>
      <c r="CV98" s="427">
        <f>-IF(CV$9&lt;'Operating Assumptions'!$D$53,0,IF(CV$6&gt;'Operating Assumptions'!$AA$8,0,IF('Operating Assumptions'!$L26="N/A",0,IF('Operating Assumptions'!$L26="$/Unit/Annual",(('Operating Assumptions'!$M26*CV$25)*CV$36)/12,IF('Operating Assumptions'!$L26="$/Unit/Month",('Operating Assumptions'!$M26*CV$25)*CV$36,IF('Operating Assumptions'!$L26="Fixed Amount",('Operating Assumptions'!$M26*CV$25)/12,IF('Operating Assumptions'!$L26="$/GSF",(('Operating Assumptions'!$M26*CV$25)*'Operating Assumptions'!$D$11)/12,IF('Operating Assumptions'!$L26="$/NSF",(('Operating Assumptions'!$M26*CV$25)*'Operating Assumptions'!$D$12)/12))))))))</f>
        <v>-2120</v>
      </c>
      <c r="CW98" s="427">
        <f>-IF(CW$9&lt;'Operating Assumptions'!$D$53,0,IF(CW$6&gt;'Operating Assumptions'!$AA$8,0,IF('Operating Assumptions'!$L26="N/A",0,IF('Operating Assumptions'!$L26="$/Unit/Annual",(('Operating Assumptions'!$M26*CW$25)*CW$36)/12,IF('Operating Assumptions'!$L26="$/Unit/Month",('Operating Assumptions'!$M26*CW$25)*CW$36,IF('Operating Assumptions'!$L26="Fixed Amount",('Operating Assumptions'!$M26*CW$25)/12,IF('Operating Assumptions'!$L26="$/GSF",(('Operating Assumptions'!$M26*CW$25)*'Operating Assumptions'!$D$11)/12,IF('Operating Assumptions'!$L26="$/NSF",(('Operating Assumptions'!$M26*CW$25)*'Operating Assumptions'!$D$12)/12))))))))</f>
        <v>-2120</v>
      </c>
      <c r="CX98" s="427">
        <f>-IF(CX$9&lt;'Operating Assumptions'!$D$53,0,IF(CX$6&gt;'Operating Assumptions'!$AA$8,0,IF('Operating Assumptions'!$L26="N/A",0,IF('Operating Assumptions'!$L26="$/Unit/Annual",(('Operating Assumptions'!$M26*CX$25)*CX$36)/12,IF('Operating Assumptions'!$L26="$/Unit/Month",('Operating Assumptions'!$M26*CX$25)*CX$36,IF('Operating Assumptions'!$L26="Fixed Amount",('Operating Assumptions'!$M26*CX$25)/12,IF('Operating Assumptions'!$L26="$/GSF",(('Operating Assumptions'!$M26*CX$25)*'Operating Assumptions'!$D$11)/12,IF('Operating Assumptions'!$L26="$/NSF",(('Operating Assumptions'!$M26*CX$25)*'Operating Assumptions'!$D$12)/12))))))))</f>
        <v>-2120</v>
      </c>
      <c r="CY98" s="427">
        <f>-IF(CY$9&lt;'Operating Assumptions'!$D$53,0,IF(CY$6&gt;'Operating Assumptions'!$AA$8,0,IF('Operating Assumptions'!$L26="N/A",0,IF('Operating Assumptions'!$L26="$/Unit/Annual",(('Operating Assumptions'!$M26*CY$25)*CY$36)/12,IF('Operating Assumptions'!$L26="$/Unit/Month",('Operating Assumptions'!$M26*CY$25)*CY$36,IF('Operating Assumptions'!$L26="Fixed Amount",('Operating Assumptions'!$M26*CY$25)/12,IF('Operating Assumptions'!$L26="$/GSF",(('Operating Assumptions'!$M26*CY$25)*'Operating Assumptions'!$D$11)/12,IF('Operating Assumptions'!$L26="$/NSF",(('Operating Assumptions'!$M26*CY$25)*'Operating Assumptions'!$D$12)/12))))))))</f>
        <v>-2120</v>
      </c>
      <c r="CZ98" s="427">
        <f>-IF(CZ$9&lt;'Operating Assumptions'!$D$53,0,IF(CZ$6&gt;'Operating Assumptions'!$AA$8,0,IF('Operating Assumptions'!$L26="N/A",0,IF('Operating Assumptions'!$L26="$/Unit/Annual",(('Operating Assumptions'!$M26*CZ$25)*CZ$36)/12,IF('Operating Assumptions'!$L26="$/Unit/Month",('Operating Assumptions'!$M26*CZ$25)*CZ$36,IF('Operating Assumptions'!$L26="Fixed Amount",('Operating Assumptions'!$M26*CZ$25)/12,IF('Operating Assumptions'!$L26="$/GSF",(('Operating Assumptions'!$M26*CZ$25)*'Operating Assumptions'!$D$11)/12,IF('Operating Assumptions'!$L26="$/NSF",(('Operating Assumptions'!$M26*CZ$25)*'Operating Assumptions'!$D$12)/12))))))))</f>
        <v>-2140</v>
      </c>
      <c r="DA98" s="427">
        <f>-IF(DA$9&lt;'Operating Assumptions'!$D$53,0,IF(DA$6&gt;'Operating Assumptions'!$AA$8,0,IF('Operating Assumptions'!$L26="N/A",0,IF('Operating Assumptions'!$L26="$/Unit/Annual",(('Operating Assumptions'!$M26*DA$25)*DA$36)/12,IF('Operating Assumptions'!$L26="$/Unit/Month",('Operating Assumptions'!$M26*DA$25)*DA$36,IF('Operating Assumptions'!$L26="Fixed Amount",('Operating Assumptions'!$M26*DA$25)/12,IF('Operating Assumptions'!$L26="$/GSF",(('Operating Assumptions'!$M26*DA$25)*'Operating Assumptions'!$D$11)/12,IF('Operating Assumptions'!$L26="$/NSF",(('Operating Assumptions'!$M26*DA$25)*'Operating Assumptions'!$D$12)/12))))))))</f>
        <v>-2140</v>
      </c>
      <c r="DB98" s="427">
        <f>-IF(DB$9&lt;'Operating Assumptions'!$D$53,0,IF(DB$6&gt;'Operating Assumptions'!$AA$8,0,IF('Operating Assumptions'!$L26="N/A",0,IF('Operating Assumptions'!$L26="$/Unit/Annual",(('Operating Assumptions'!$M26*DB$25)*DB$36)/12,IF('Operating Assumptions'!$L26="$/Unit/Month",('Operating Assumptions'!$M26*DB$25)*DB$36,IF('Operating Assumptions'!$L26="Fixed Amount",('Operating Assumptions'!$M26*DB$25)/12,IF('Operating Assumptions'!$L26="$/GSF",(('Operating Assumptions'!$M26*DB$25)*'Operating Assumptions'!$D$11)/12,IF('Operating Assumptions'!$L26="$/NSF",(('Operating Assumptions'!$M26*DB$25)*'Operating Assumptions'!$D$12)/12))))))))</f>
        <v>-2140</v>
      </c>
      <c r="DC98" s="427">
        <f>-IF(DC$9&lt;'Operating Assumptions'!$D$53,0,IF(DC$6&gt;'Operating Assumptions'!$AA$8,0,IF('Operating Assumptions'!$L26="N/A",0,IF('Operating Assumptions'!$L26="$/Unit/Annual",(('Operating Assumptions'!$M26*DC$25)*DC$36)/12,IF('Operating Assumptions'!$L26="$/Unit/Month",('Operating Assumptions'!$M26*DC$25)*DC$36,IF('Operating Assumptions'!$L26="Fixed Amount",('Operating Assumptions'!$M26*DC$25)/12,IF('Operating Assumptions'!$L26="$/GSF",(('Operating Assumptions'!$M26*DC$25)*'Operating Assumptions'!$D$11)/12,IF('Operating Assumptions'!$L26="$/NSF",(('Operating Assumptions'!$M26*DC$25)*'Operating Assumptions'!$D$12)/12))))))))</f>
        <v>-2140</v>
      </c>
      <c r="DD98" s="427">
        <f>-IF(DD$9&lt;'Operating Assumptions'!$D$53,0,IF(DD$6&gt;'Operating Assumptions'!$AA$8,0,IF('Operating Assumptions'!$L26="N/A",0,IF('Operating Assumptions'!$L26="$/Unit/Annual",(('Operating Assumptions'!$M26*DD$25)*DD$36)/12,IF('Operating Assumptions'!$L26="$/Unit/Month",('Operating Assumptions'!$M26*DD$25)*DD$36,IF('Operating Assumptions'!$L26="Fixed Amount",('Operating Assumptions'!$M26*DD$25)/12,IF('Operating Assumptions'!$L26="$/GSF",(('Operating Assumptions'!$M26*DD$25)*'Operating Assumptions'!$D$11)/12,IF('Operating Assumptions'!$L26="$/NSF",(('Operating Assumptions'!$M26*DD$25)*'Operating Assumptions'!$D$12)/12))))))))</f>
        <v>-2140</v>
      </c>
      <c r="DE98" s="427">
        <f>-IF(DE$9&lt;'Operating Assumptions'!$D$53,0,IF(DE$6&gt;'Operating Assumptions'!$AA$8,0,IF('Operating Assumptions'!$L26="N/A",0,IF('Operating Assumptions'!$L26="$/Unit/Annual",(('Operating Assumptions'!$M26*DE$25)*DE$36)/12,IF('Operating Assumptions'!$L26="$/Unit/Month",('Operating Assumptions'!$M26*DE$25)*DE$36,IF('Operating Assumptions'!$L26="Fixed Amount",('Operating Assumptions'!$M26*DE$25)/12,IF('Operating Assumptions'!$L26="$/GSF",(('Operating Assumptions'!$M26*DE$25)*'Operating Assumptions'!$D$11)/12,IF('Operating Assumptions'!$L26="$/NSF",(('Operating Assumptions'!$M26*DE$25)*'Operating Assumptions'!$D$12)/12))))))))</f>
        <v>-2140</v>
      </c>
      <c r="DF98" s="427">
        <f>-IF(DF$9&lt;'Operating Assumptions'!$D$53,0,IF(DF$6&gt;'Operating Assumptions'!$AA$8,0,IF('Operating Assumptions'!$L26="N/A",0,IF('Operating Assumptions'!$L26="$/Unit/Annual",(('Operating Assumptions'!$M26*DF$25)*DF$36)/12,IF('Operating Assumptions'!$L26="$/Unit/Month",('Operating Assumptions'!$M26*DF$25)*DF$36,IF('Operating Assumptions'!$L26="Fixed Amount",('Operating Assumptions'!$M26*DF$25)/12,IF('Operating Assumptions'!$L26="$/GSF",(('Operating Assumptions'!$M26*DF$25)*'Operating Assumptions'!$D$11)/12,IF('Operating Assumptions'!$L26="$/NSF",(('Operating Assumptions'!$M26*DF$25)*'Operating Assumptions'!$D$12)/12))))))))</f>
        <v>-2140</v>
      </c>
      <c r="DG98" s="427">
        <f>-IF(DG$9&lt;'Operating Assumptions'!$D$53,0,IF(DG$6&gt;'Operating Assumptions'!$AA$8,0,IF('Operating Assumptions'!$L26="N/A",0,IF('Operating Assumptions'!$L26="$/Unit/Annual",(('Operating Assumptions'!$M26*DG$25)*DG$36)/12,IF('Operating Assumptions'!$L26="$/Unit/Month",('Operating Assumptions'!$M26*DG$25)*DG$36,IF('Operating Assumptions'!$L26="Fixed Amount",('Operating Assumptions'!$M26*DG$25)/12,IF('Operating Assumptions'!$L26="$/GSF",(('Operating Assumptions'!$M26*DG$25)*'Operating Assumptions'!$D$11)/12,IF('Operating Assumptions'!$L26="$/NSF",(('Operating Assumptions'!$M26*DG$25)*'Operating Assumptions'!$D$12)/12))))))))</f>
        <v>-2140</v>
      </c>
      <c r="DH98" s="427">
        <f>-IF(DH$9&lt;'Operating Assumptions'!$D$53,0,IF(DH$6&gt;'Operating Assumptions'!$AA$8,0,IF('Operating Assumptions'!$L26="N/A",0,IF('Operating Assumptions'!$L26="$/Unit/Annual",(('Operating Assumptions'!$M26*DH$25)*DH$36)/12,IF('Operating Assumptions'!$L26="$/Unit/Month",('Operating Assumptions'!$M26*DH$25)*DH$36,IF('Operating Assumptions'!$L26="Fixed Amount",('Operating Assumptions'!$M26*DH$25)/12,IF('Operating Assumptions'!$L26="$/GSF",(('Operating Assumptions'!$M26*DH$25)*'Operating Assumptions'!$D$11)/12,IF('Operating Assumptions'!$L26="$/NSF",(('Operating Assumptions'!$M26*DH$25)*'Operating Assumptions'!$D$12)/12))))))))</f>
        <v>-2140</v>
      </c>
      <c r="DI98" s="427">
        <f>-IF(DI$9&lt;'Operating Assumptions'!$D$53,0,IF(DI$6&gt;'Operating Assumptions'!$AA$8,0,IF('Operating Assumptions'!$L26="N/A",0,IF('Operating Assumptions'!$L26="$/Unit/Annual",(('Operating Assumptions'!$M26*DI$25)*DI$36)/12,IF('Operating Assumptions'!$L26="$/Unit/Month",('Operating Assumptions'!$M26*DI$25)*DI$36,IF('Operating Assumptions'!$L26="Fixed Amount",('Operating Assumptions'!$M26*DI$25)/12,IF('Operating Assumptions'!$L26="$/GSF",(('Operating Assumptions'!$M26*DI$25)*'Operating Assumptions'!$D$11)/12,IF('Operating Assumptions'!$L26="$/NSF",(('Operating Assumptions'!$M26*DI$25)*'Operating Assumptions'!$D$12)/12))))))))</f>
        <v>-2140</v>
      </c>
      <c r="DJ98" s="427">
        <f>-IF(DJ$9&lt;'Operating Assumptions'!$D$53,0,IF(DJ$6&gt;'Operating Assumptions'!$AA$8,0,IF('Operating Assumptions'!$L26="N/A",0,IF('Operating Assumptions'!$L26="$/Unit/Annual",(('Operating Assumptions'!$M26*DJ$25)*DJ$36)/12,IF('Operating Assumptions'!$L26="$/Unit/Month",('Operating Assumptions'!$M26*DJ$25)*DJ$36,IF('Operating Assumptions'!$L26="Fixed Amount",('Operating Assumptions'!$M26*DJ$25)/12,IF('Operating Assumptions'!$L26="$/GSF",(('Operating Assumptions'!$M26*DJ$25)*'Operating Assumptions'!$D$11)/12,IF('Operating Assumptions'!$L26="$/NSF",(('Operating Assumptions'!$M26*DJ$25)*'Operating Assumptions'!$D$12)/12))))))))</f>
        <v>-2140</v>
      </c>
      <c r="DK98" s="427">
        <f>-IF(DK$9&lt;'Operating Assumptions'!$D$53,0,IF(DK$6&gt;'Operating Assumptions'!$AA$8,0,IF('Operating Assumptions'!$L26="N/A",0,IF('Operating Assumptions'!$L26="$/Unit/Annual",(('Operating Assumptions'!$M26*DK$25)*DK$36)/12,IF('Operating Assumptions'!$L26="$/Unit/Month",('Operating Assumptions'!$M26*DK$25)*DK$36,IF('Operating Assumptions'!$L26="Fixed Amount",('Operating Assumptions'!$M26*DK$25)/12,IF('Operating Assumptions'!$L26="$/GSF",(('Operating Assumptions'!$M26*DK$25)*'Operating Assumptions'!$D$11)/12,IF('Operating Assumptions'!$L26="$/NSF",(('Operating Assumptions'!$M26*DK$25)*'Operating Assumptions'!$D$12)/12))))))))</f>
        <v>-2140</v>
      </c>
      <c r="DL98" s="427">
        <f>-IF(DL$9&lt;'Operating Assumptions'!$D$53,0,IF(DL$6&gt;'Operating Assumptions'!$AA$8,0,IF('Operating Assumptions'!$L26="N/A",0,IF('Operating Assumptions'!$L26="$/Unit/Annual",(('Operating Assumptions'!$M26*DL$25)*DL$36)/12,IF('Operating Assumptions'!$L26="$/Unit/Month",('Operating Assumptions'!$M26*DL$25)*DL$36,IF('Operating Assumptions'!$L26="Fixed Amount",('Operating Assumptions'!$M26*DL$25)/12,IF('Operating Assumptions'!$L26="$/GSF",(('Operating Assumptions'!$M26*DL$25)*'Operating Assumptions'!$D$11)/12,IF('Operating Assumptions'!$L26="$/NSF",(('Operating Assumptions'!$M26*DL$25)*'Operating Assumptions'!$D$12)/12))))))))</f>
        <v>-2160</v>
      </c>
      <c r="DM98" s="427">
        <f>-IF(DM$9&lt;'Operating Assumptions'!$D$53,0,IF(DM$6&gt;'Operating Assumptions'!$AA$8,0,IF('Operating Assumptions'!$L26="N/A",0,IF('Operating Assumptions'!$L26="$/Unit/Annual",(('Operating Assumptions'!$M26*DM$25)*DM$36)/12,IF('Operating Assumptions'!$L26="$/Unit/Month",('Operating Assumptions'!$M26*DM$25)*DM$36,IF('Operating Assumptions'!$L26="Fixed Amount",('Operating Assumptions'!$M26*DM$25)/12,IF('Operating Assumptions'!$L26="$/GSF",(('Operating Assumptions'!$M26*DM$25)*'Operating Assumptions'!$D$11)/12,IF('Operating Assumptions'!$L26="$/NSF",(('Operating Assumptions'!$M26*DM$25)*'Operating Assumptions'!$D$12)/12))))))))</f>
        <v>-2160</v>
      </c>
      <c r="DN98" s="427">
        <f>-IF(DN$9&lt;'Operating Assumptions'!$D$53,0,IF(DN$6&gt;'Operating Assumptions'!$AA$8,0,IF('Operating Assumptions'!$L26="N/A",0,IF('Operating Assumptions'!$L26="$/Unit/Annual",(('Operating Assumptions'!$M26*DN$25)*DN$36)/12,IF('Operating Assumptions'!$L26="$/Unit/Month",('Operating Assumptions'!$M26*DN$25)*DN$36,IF('Operating Assumptions'!$L26="Fixed Amount",('Operating Assumptions'!$M26*DN$25)/12,IF('Operating Assumptions'!$L26="$/GSF",(('Operating Assumptions'!$M26*DN$25)*'Operating Assumptions'!$D$11)/12,IF('Operating Assumptions'!$L26="$/NSF",(('Operating Assumptions'!$M26*DN$25)*'Operating Assumptions'!$D$12)/12))))))))</f>
        <v>-2160</v>
      </c>
      <c r="DO98" s="427">
        <f>-IF(DO$9&lt;'Operating Assumptions'!$D$53,0,IF(DO$6&gt;'Operating Assumptions'!$AA$8,0,IF('Operating Assumptions'!$L26="N/A",0,IF('Operating Assumptions'!$L26="$/Unit/Annual",(('Operating Assumptions'!$M26*DO$25)*DO$36)/12,IF('Operating Assumptions'!$L26="$/Unit/Month",('Operating Assumptions'!$M26*DO$25)*DO$36,IF('Operating Assumptions'!$L26="Fixed Amount",('Operating Assumptions'!$M26*DO$25)/12,IF('Operating Assumptions'!$L26="$/GSF",(('Operating Assumptions'!$M26*DO$25)*'Operating Assumptions'!$D$11)/12,IF('Operating Assumptions'!$L26="$/NSF",(('Operating Assumptions'!$M26*DO$25)*'Operating Assumptions'!$D$12)/12))))))))</f>
        <v>-2160</v>
      </c>
      <c r="DP98" s="427">
        <f>-IF(DP$9&lt;'Operating Assumptions'!$D$53,0,IF(DP$6&gt;'Operating Assumptions'!$AA$8,0,IF('Operating Assumptions'!$L26="N/A",0,IF('Operating Assumptions'!$L26="$/Unit/Annual",(('Operating Assumptions'!$M26*DP$25)*DP$36)/12,IF('Operating Assumptions'!$L26="$/Unit/Month",('Operating Assumptions'!$M26*DP$25)*DP$36,IF('Operating Assumptions'!$L26="Fixed Amount",('Operating Assumptions'!$M26*DP$25)/12,IF('Operating Assumptions'!$L26="$/GSF",(('Operating Assumptions'!$M26*DP$25)*'Operating Assumptions'!$D$11)/12,IF('Operating Assumptions'!$L26="$/NSF",(('Operating Assumptions'!$M26*DP$25)*'Operating Assumptions'!$D$12)/12))))))))</f>
        <v>-2160</v>
      </c>
      <c r="DQ98" s="427">
        <f>-IF(DQ$9&lt;'Operating Assumptions'!$D$53,0,IF(DQ$6&gt;'Operating Assumptions'!$AA$8,0,IF('Operating Assumptions'!$L26="N/A",0,IF('Operating Assumptions'!$L26="$/Unit/Annual",(('Operating Assumptions'!$M26*DQ$25)*DQ$36)/12,IF('Operating Assumptions'!$L26="$/Unit/Month",('Operating Assumptions'!$M26*DQ$25)*DQ$36,IF('Operating Assumptions'!$L26="Fixed Amount",('Operating Assumptions'!$M26*DQ$25)/12,IF('Operating Assumptions'!$L26="$/GSF",(('Operating Assumptions'!$M26*DQ$25)*'Operating Assumptions'!$D$11)/12,IF('Operating Assumptions'!$L26="$/NSF",(('Operating Assumptions'!$M26*DQ$25)*'Operating Assumptions'!$D$12)/12))))))))</f>
        <v>-2160</v>
      </c>
      <c r="DR98" s="427">
        <f>-IF(DR$9&lt;'Operating Assumptions'!$D$53,0,IF(DR$6&gt;'Operating Assumptions'!$AA$8,0,IF('Operating Assumptions'!$L26="N/A",0,IF('Operating Assumptions'!$L26="$/Unit/Annual",(('Operating Assumptions'!$M26*DR$25)*DR$36)/12,IF('Operating Assumptions'!$L26="$/Unit/Month",('Operating Assumptions'!$M26*DR$25)*DR$36,IF('Operating Assumptions'!$L26="Fixed Amount",('Operating Assumptions'!$M26*DR$25)/12,IF('Operating Assumptions'!$L26="$/GSF",(('Operating Assumptions'!$M26*DR$25)*'Operating Assumptions'!$D$11)/12,IF('Operating Assumptions'!$L26="$/NSF",(('Operating Assumptions'!$M26*DR$25)*'Operating Assumptions'!$D$12)/12))))))))</f>
        <v>-2160</v>
      </c>
      <c r="DS98" s="427">
        <f>-IF(DS$9&lt;'Operating Assumptions'!$D$53,0,IF(DS$6&gt;'Operating Assumptions'!$AA$8,0,IF('Operating Assumptions'!$L26="N/A",0,IF('Operating Assumptions'!$L26="$/Unit/Annual",(('Operating Assumptions'!$M26*DS$25)*DS$36)/12,IF('Operating Assumptions'!$L26="$/Unit/Month",('Operating Assumptions'!$M26*DS$25)*DS$36,IF('Operating Assumptions'!$L26="Fixed Amount",('Operating Assumptions'!$M26*DS$25)/12,IF('Operating Assumptions'!$L26="$/GSF",(('Operating Assumptions'!$M26*DS$25)*'Operating Assumptions'!$D$11)/12,IF('Operating Assumptions'!$L26="$/NSF",(('Operating Assumptions'!$M26*DS$25)*'Operating Assumptions'!$D$12)/12))))))))</f>
        <v>-2160</v>
      </c>
      <c r="DT98" s="427">
        <f>-IF(DT$9&lt;'Operating Assumptions'!$D$53,0,IF(DT$6&gt;'Operating Assumptions'!$AA$8,0,IF('Operating Assumptions'!$L26="N/A",0,IF('Operating Assumptions'!$L26="$/Unit/Annual",(('Operating Assumptions'!$M26*DT$25)*DT$36)/12,IF('Operating Assumptions'!$L26="$/Unit/Month",('Operating Assumptions'!$M26*DT$25)*DT$36,IF('Operating Assumptions'!$L26="Fixed Amount",('Operating Assumptions'!$M26*DT$25)/12,IF('Operating Assumptions'!$L26="$/GSF",(('Operating Assumptions'!$M26*DT$25)*'Operating Assumptions'!$D$11)/12,IF('Operating Assumptions'!$L26="$/NSF",(('Operating Assumptions'!$M26*DT$25)*'Operating Assumptions'!$D$12)/12))))))))</f>
        <v>-2160</v>
      </c>
      <c r="DU98" s="427">
        <f>-IF(DU$9&lt;'Operating Assumptions'!$D$53,0,IF(DU$6&gt;'Operating Assumptions'!$AA$8,0,IF('Operating Assumptions'!$L26="N/A",0,IF('Operating Assumptions'!$L26="$/Unit/Annual",(('Operating Assumptions'!$M26*DU$25)*DU$36)/12,IF('Operating Assumptions'!$L26="$/Unit/Month",('Operating Assumptions'!$M26*DU$25)*DU$36,IF('Operating Assumptions'!$L26="Fixed Amount",('Operating Assumptions'!$M26*DU$25)/12,IF('Operating Assumptions'!$L26="$/GSF",(('Operating Assumptions'!$M26*DU$25)*'Operating Assumptions'!$D$11)/12,IF('Operating Assumptions'!$L26="$/NSF",(('Operating Assumptions'!$M26*DU$25)*'Operating Assumptions'!$D$12)/12))))))))</f>
        <v>-2160</v>
      </c>
      <c r="DV98" s="427">
        <f>-IF(DV$9&lt;'Operating Assumptions'!$D$53,0,IF(DV$6&gt;'Operating Assumptions'!$AA$8,0,IF('Operating Assumptions'!$L26="N/A",0,IF('Operating Assumptions'!$L26="$/Unit/Annual",(('Operating Assumptions'!$M26*DV$25)*DV$36)/12,IF('Operating Assumptions'!$L26="$/Unit/Month",('Operating Assumptions'!$M26*DV$25)*DV$36,IF('Operating Assumptions'!$L26="Fixed Amount",('Operating Assumptions'!$M26*DV$25)/12,IF('Operating Assumptions'!$L26="$/GSF",(('Operating Assumptions'!$M26*DV$25)*'Operating Assumptions'!$D$11)/12,IF('Operating Assumptions'!$L26="$/NSF",(('Operating Assumptions'!$M26*DV$25)*'Operating Assumptions'!$D$12)/12))))))))</f>
        <v>-2160</v>
      </c>
      <c r="DW98" s="427">
        <f>-IF(DW$9&lt;'Operating Assumptions'!$D$53,0,IF(DW$6&gt;'Operating Assumptions'!$AA$8,0,IF('Operating Assumptions'!$L26="N/A",0,IF('Operating Assumptions'!$L26="$/Unit/Annual",(('Operating Assumptions'!$M26*DW$25)*DW$36)/12,IF('Operating Assumptions'!$L26="$/Unit/Month",('Operating Assumptions'!$M26*DW$25)*DW$36,IF('Operating Assumptions'!$L26="Fixed Amount",('Operating Assumptions'!$M26*DW$25)/12,IF('Operating Assumptions'!$L26="$/GSF",(('Operating Assumptions'!$M26*DW$25)*'Operating Assumptions'!$D$11)/12,IF('Operating Assumptions'!$L26="$/NSF",(('Operating Assumptions'!$M26*DW$25)*'Operating Assumptions'!$D$12)/12))))))))</f>
        <v>-2160</v>
      </c>
      <c r="DX98" s="427">
        <f>-IF(DX$9&lt;'Operating Assumptions'!$D$53,0,IF(DX$6&gt;'Operating Assumptions'!$AA$8,0,IF('Operating Assumptions'!$L26="N/A",0,IF('Operating Assumptions'!$L26="$/Unit/Annual",(('Operating Assumptions'!$M26*DX$25)*DX$36)/12,IF('Operating Assumptions'!$L26="$/Unit/Month",('Operating Assumptions'!$M26*DX$25)*DX$36,IF('Operating Assumptions'!$L26="Fixed Amount",('Operating Assumptions'!$M26*DX$25)/12,IF('Operating Assumptions'!$L26="$/GSF",(('Operating Assumptions'!$M26*DX$25)*'Operating Assumptions'!$D$11)/12,IF('Operating Assumptions'!$L26="$/NSF",(('Operating Assumptions'!$M26*DX$25)*'Operating Assumptions'!$D$12)/12))))))))</f>
        <v>-2180.0000000000005</v>
      </c>
      <c r="DY98" s="427">
        <f>-IF(DY$9&lt;'Operating Assumptions'!$D$53,0,IF(DY$6&gt;'Operating Assumptions'!$AA$8,0,IF('Operating Assumptions'!$L26="N/A",0,IF('Operating Assumptions'!$L26="$/Unit/Annual",(('Operating Assumptions'!$M26*DY$25)*DY$36)/12,IF('Operating Assumptions'!$L26="$/Unit/Month",('Operating Assumptions'!$M26*DY$25)*DY$36,IF('Operating Assumptions'!$L26="Fixed Amount",('Operating Assumptions'!$M26*DY$25)/12,IF('Operating Assumptions'!$L26="$/GSF",(('Operating Assumptions'!$M26*DY$25)*'Operating Assumptions'!$D$11)/12,IF('Operating Assumptions'!$L26="$/NSF",(('Operating Assumptions'!$M26*DY$25)*'Operating Assumptions'!$D$12)/12))))))))</f>
        <v>-2180.0000000000005</v>
      </c>
      <c r="DZ98" s="427">
        <f>-IF(DZ$9&lt;'Operating Assumptions'!$D$53,0,IF(DZ$6&gt;'Operating Assumptions'!$AA$8,0,IF('Operating Assumptions'!$L26="N/A",0,IF('Operating Assumptions'!$L26="$/Unit/Annual",(('Operating Assumptions'!$M26*DZ$25)*DZ$36)/12,IF('Operating Assumptions'!$L26="$/Unit/Month",('Operating Assumptions'!$M26*DZ$25)*DZ$36,IF('Operating Assumptions'!$L26="Fixed Amount",('Operating Assumptions'!$M26*DZ$25)/12,IF('Operating Assumptions'!$L26="$/GSF",(('Operating Assumptions'!$M26*DZ$25)*'Operating Assumptions'!$D$11)/12,IF('Operating Assumptions'!$L26="$/NSF",(('Operating Assumptions'!$M26*DZ$25)*'Operating Assumptions'!$D$12)/12))))))))</f>
        <v>-2180.0000000000005</v>
      </c>
      <c r="EA98" s="427">
        <f>-IF(EA$9&lt;'Operating Assumptions'!$D$53,0,IF(EA$6&gt;'Operating Assumptions'!$AA$8,0,IF('Operating Assumptions'!$L26="N/A",0,IF('Operating Assumptions'!$L26="$/Unit/Annual",(('Operating Assumptions'!$M26*EA$25)*EA$36)/12,IF('Operating Assumptions'!$L26="$/Unit/Month",('Operating Assumptions'!$M26*EA$25)*EA$36,IF('Operating Assumptions'!$L26="Fixed Amount",('Operating Assumptions'!$M26*EA$25)/12,IF('Operating Assumptions'!$L26="$/GSF",(('Operating Assumptions'!$M26*EA$25)*'Operating Assumptions'!$D$11)/12,IF('Operating Assumptions'!$L26="$/NSF",(('Operating Assumptions'!$M26*EA$25)*'Operating Assumptions'!$D$12)/12))))))))</f>
        <v>-2180.0000000000005</v>
      </c>
      <c r="EB98" s="427">
        <f>-IF(EB$9&lt;'Operating Assumptions'!$D$53,0,IF(EB$6&gt;'Operating Assumptions'!$AA$8,0,IF('Operating Assumptions'!$L26="N/A",0,IF('Operating Assumptions'!$L26="$/Unit/Annual",(('Operating Assumptions'!$M26*EB$25)*EB$36)/12,IF('Operating Assumptions'!$L26="$/Unit/Month",('Operating Assumptions'!$M26*EB$25)*EB$36,IF('Operating Assumptions'!$L26="Fixed Amount",('Operating Assumptions'!$M26*EB$25)/12,IF('Operating Assumptions'!$L26="$/GSF",(('Operating Assumptions'!$M26*EB$25)*'Operating Assumptions'!$D$11)/12,IF('Operating Assumptions'!$L26="$/NSF",(('Operating Assumptions'!$M26*EB$25)*'Operating Assumptions'!$D$12)/12))))))))</f>
        <v>-2180.0000000000005</v>
      </c>
      <c r="EC98" s="427">
        <f>-IF(EC$9&lt;'Operating Assumptions'!$D$53,0,IF(EC$6&gt;'Operating Assumptions'!$AA$8,0,IF('Operating Assumptions'!$L26="N/A",0,IF('Operating Assumptions'!$L26="$/Unit/Annual",(('Operating Assumptions'!$M26*EC$25)*EC$36)/12,IF('Operating Assumptions'!$L26="$/Unit/Month",('Operating Assumptions'!$M26*EC$25)*EC$36,IF('Operating Assumptions'!$L26="Fixed Amount",('Operating Assumptions'!$M26*EC$25)/12,IF('Operating Assumptions'!$L26="$/GSF",(('Operating Assumptions'!$M26*EC$25)*'Operating Assumptions'!$D$11)/12,IF('Operating Assumptions'!$L26="$/NSF",(('Operating Assumptions'!$M26*EC$25)*'Operating Assumptions'!$D$12)/12))))))))</f>
        <v>-2180.0000000000005</v>
      </c>
      <c r="ED98" s="427">
        <f>-IF(ED$9&lt;'Operating Assumptions'!$D$53,0,IF(ED$6&gt;'Operating Assumptions'!$AA$8,0,IF('Operating Assumptions'!$L26="N/A",0,IF('Operating Assumptions'!$L26="$/Unit/Annual",(('Operating Assumptions'!$M26*ED$25)*ED$36)/12,IF('Operating Assumptions'!$L26="$/Unit/Month",('Operating Assumptions'!$M26*ED$25)*ED$36,IF('Operating Assumptions'!$L26="Fixed Amount",('Operating Assumptions'!$M26*ED$25)/12,IF('Operating Assumptions'!$L26="$/GSF",(('Operating Assumptions'!$M26*ED$25)*'Operating Assumptions'!$D$11)/12,IF('Operating Assumptions'!$L26="$/NSF",(('Operating Assumptions'!$M26*ED$25)*'Operating Assumptions'!$D$12)/12))))))))</f>
        <v>-2180.0000000000005</v>
      </c>
      <c r="EE98" s="427">
        <f>-IF(EE$9&lt;'Operating Assumptions'!$D$53,0,IF(EE$6&gt;'Operating Assumptions'!$AA$8,0,IF('Operating Assumptions'!$L26="N/A",0,IF('Operating Assumptions'!$L26="$/Unit/Annual",(('Operating Assumptions'!$M26*EE$25)*EE$36)/12,IF('Operating Assumptions'!$L26="$/Unit/Month",('Operating Assumptions'!$M26*EE$25)*EE$36,IF('Operating Assumptions'!$L26="Fixed Amount",('Operating Assumptions'!$M26*EE$25)/12,IF('Operating Assumptions'!$L26="$/GSF",(('Operating Assumptions'!$M26*EE$25)*'Operating Assumptions'!$D$11)/12,IF('Operating Assumptions'!$L26="$/NSF",(('Operating Assumptions'!$M26*EE$25)*'Operating Assumptions'!$D$12)/12))))))))</f>
        <v>-2180.0000000000005</v>
      </c>
      <c r="EF98" s="427">
        <f>-IF(EF$9&lt;'Operating Assumptions'!$D$53,0,IF(EF$6&gt;'Operating Assumptions'!$AA$8,0,IF('Operating Assumptions'!$L26="N/A",0,IF('Operating Assumptions'!$L26="$/Unit/Annual",(('Operating Assumptions'!$M26*EF$25)*EF$36)/12,IF('Operating Assumptions'!$L26="$/Unit/Month",('Operating Assumptions'!$M26*EF$25)*EF$36,IF('Operating Assumptions'!$L26="Fixed Amount",('Operating Assumptions'!$M26*EF$25)/12,IF('Operating Assumptions'!$L26="$/GSF",(('Operating Assumptions'!$M26*EF$25)*'Operating Assumptions'!$D$11)/12,IF('Operating Assumptions'!$L26="$/NSF",(('Operating Assumptions'!$M26*EF$25)*'Operating Assumptions'!$D$12)/12))))))))</f>
        <v>-2180.0000000000005</v>
      </c>
      <c r="EG98" s="427">
        <f>-IF(EG$9&lt;'Operating Assumptions'!$D$53,0,IF(EG$6&gt;'Operating Assumptions'!$AA$8,0,IF('Operating Assumptions'!$L26="N/A",0,IF('Operating Assumptions'!$L26="$/Unit/Annual",(('Operating Assumptions'!$M26*EG$25)*EG$36)/12,IF('Operating Assumptions'!$L26="$/Unit/Month",('Operating Assumptions'!$M26*EG$25)*EG$36,IF('Operating Assumptions'!$L26="Fixed Amount",('Operating Assumptions'!$M26*EG$25)/12,IF('Operating Assumptions'!$L26="$/GSF",(('Operating Assumptions'!$M26*EG$25)*'Operating Assumptions'!$D$11)/12,IF('Operating Assumptions'!$L26="$/NSF",(('Operating Assumptions'!$M26*EG$25)*'Operating Assumptions'!$D$12)/12))))))))</f>
        <v>-2180.0000000000005</v>
      </c>
      <c r="EH98" s="427">
        <f>-IF(EH$9&lt;'Operating Assumptions'!$D$53,0,IF(EH$6&gt;'Operating Assumptions'!$AA$8,0,IF('Operating Assumptions'!$L26="N/A",0,IF('Operating Assumptions'!$L26="$/Unit/Annual",(('Operating Assumptions'!$M26*EH$25)*EH$36)/12,IF('Operating Assumptions'!$L26="$/Unit/Month",('Operating Assumptions'!$M26*EH$25)*EH$36,IF('Operating Assumptions'!$L26="Fixed Amount",('Operating Assumptions'!$M26*EH$25)/12,IF('Operating Assumptions'!$L26="$/GSF",(('Operating Assumptions'!$M26*EH$25)*'Operating Assumptions'!$D$11)/12,IF('Operating Assumptions'!$L26="$/NSF",(('Operating Assumptions'!$M26*EH$25)*'Operating Assumptions'!$D$12)/12))))))))</f>
        <v>-2180.0000000000005</v>
      </c>
      <c r="EI98" s="427">
        <f>-IF(EI$9&lt;'Operating Assumptions'!$D$53,0,IF(EI$6&gt;'Operating Assumptions'!$AA$8,0,IF('Operating Assumptions'!$L26="N/A",0,IF('Operating Assumptions'!$L26="$/Unit/Annual",(('Operating Assumptions'!$M26*EI$25)*EI$36)/12,IF('Operating Assumptions'!$L26="$/Unit/Month",('Operating Assumptions'!$M26*EI$25)*EI$36,IF('Operating Assumptions'!$L26="Fixed Amount",('Operating Assumptions'!$M26*EI$25)/12,IF('Operating Assumptions'!$L26="$/GSF",(('Operating Assumptions'!$M26*EI$25)*'Operating Assumptions'!$D$11)/12,IF('Operating Assumptions'!$L26="$/NSF",(('Operating Assumptions'!$M26*EI$25)*'Operating Assumptions'!$D$12)/12))))))))</f>
        <v>-2180.0000000000005</v>
      </c>
      <c r="EJ98" s="427">
        <f>-IF(EJ$9&lt;'Operating Assumptions'!$D$53,0,IF(EJ$6&gt;'Operating Assumptions'!$AA$8,0,IF('Operating Assumptions'!$L26="N/A",0,IF('Operating Assumptions'!$L26="$/Unit/Annual",(('Operating Assumptions'!$M26*EJ$25)*EJ$36)/12,IF('Operating Assumptions'!$L26="$/Unit/Month",('Operating Assumptions'!$M26*EJ$25)*EJ$36,IF('Operating Assumptions'!$L26="Fixed Amount",('Operating Assumptions'!$M26*EJ$25)/12,IF('Operating Assumptions'!$L26="$/GSF",(('Operating Assumptions'!$M26*EJ$25)*'Operating Assumptions'!$D$11)/12,IF('Operating Assumptions'!$L26="$/NSF",(('Operating Assumptions'!$M26*EJ$25)*'Operating Assumptions'!$D$12)/12))))))))</f>
        <v>-2200.0000000000005</v>
      </c>
      <c r="EK98" s="427">
        <f>-IF(EK$9&lt;'Operating Assumptions'!$D$53,0,IF(EK$6&gt;'Operating Assumptions'!$AA$8,0,IF('Operating Assumptions'!$L26="N/A",0,IF('Operating Assumptions'!$L26="$/Unit/Annual",(('Operating Assumptions'!$M26*EK$25)*EK$36)/12,IF('Operating Assumptions'!$L26="$/Unit/Month",('Operating Assumptions'!$M26*EK$25)*EK$36,IF('Operating Assumptions'!$L26="Fixed Amount",('Operating Assumptions'!$M26*EK$25)/12,IF('Operating Assumptions'!$L26="$/GSF",(('Operating Assumptions'!$M26*EK$25)*'Operating Assumptions'!$D$11)/12,IF('Operating Assumptions'!$L26="$/NSF",(('Operating Assumptions'!$M26*EK$25)*'Operating Assumptions'!$D$12)/12))))))))</f>
        <v>-2200.0000000000005</v>
      </c>
      <c r="EL98" s="427">
        <f>-IF(EL$9&lt;'Operating Assumptions'!$D$53,0,IF(EL$6&gt;'Operating Assumptions'!$AA$8,0,IF('Operating Assumptions'!$L26="N/A",0,IF('Operating Assumptions'!$L26="$/Unit/Annual",(('Operating Assumptions'!$M26*EL$25)*EL$36)/12,IF('Operating Assumptions'!$L26="$/Unit/Month",('Operating Assumptions'!$M26*EL$25)*EL$36,IF('Operating Assumptions'!$L26="Fixed Amount",('Operating Assumptions'!$M26*EL$25)/12,IF('Operating Assumptions'!$L26="$/GSF",(('Operating Assumptions'!$M26*EL$25)*'Operating Assumptions'!$D$11)/12,IF('Operating Assumptions'!$L26="$/NSF",(('Operating Assumptions'!$M26*EL$25)*'Operating Assumptions'!$D$12)/12))))))))</f>
        <v>-2200.0000000000005</v>
      </c>
      <c r="EM98" s="427">
        <f>-IF(EM$9&lt;'Operating Assumptions'!$D$53,0,IF(EM$6&gt;'Operating Assumptions'!$AA$8,0,IF('Operating Assumptions'!$L26="N/A",0,IF('Operating Assumptions'!$L26="$/Unit/Annual",(('Operating Assumptions'!$M26*EM$25)*EM$36)/12,IF('Operating Assumptions'!$L26="$/Unit/Month",('Operating Assumptions'!$M26*EM$25)*EM$36,IF('Operating Assumptions'!$L26="Fixed Amount",('Operating Assumptions'!$M26*EM$25)/12,IF('Operating Assumptions'!$L26="$/GSF",(('Operating Assumptions'!$M26*EM$25)*'Operating Assumptions'!$D$11)/12,IF('Operating Assumptions'!$L26="$/NSF",(('Operating Assumptions'!$M26*EM$25)*'Operating Assumptions'!$D$12)/12))))))))</f>
        <v>-2200.0000000000005</v>
      </c>
      <c r="EN98" s="427">
        <f>-IF(EN$9&lt;'Operating Assumptions'!$D$53,0,IF(EN$6&gt;'Operating Assumptions'!$AA$8,0,IF('Operating Assumptions'!$L26="N/A",0,IF('Operating Assumptions'!$L26="$/Unit/Annual",(('Operating Assumptions'!$M26*EN$25)*EN$36)/12,IF('Operating Assumptions'!$L26="$/Unit/Month",('Operating Assumptions'!$M26*EN$25)*EN$36,IF('Operating Assumptions'!$L26="Fixed Amount",('Operating Assumptions'!$M26*EN$25)/12,IF('Operating Assumptions'!$L26="$/GSF",(('Operating Assumptions'!$M26*EN$25)*'Operating Assumptions'!$D$11)/12,IF('Operating Assumptions'!$L26="$/NSF",(('Operating Assumptions'!$M26*EN$25)*'Operating Assumptions'!$D$12)/12))))))))</f>
        <v>-2200.0000000000005</v>
      </c>
      <c r="EO98" s="427">
        <f>-IF(EO$9&lt;'Operating Assumptions'!$D$53,0,IF(EO$6&gt;'Operating Assumptions'!$AA$8,0,IF('Operating Assumptions'!$L26="N/A",0,IF('Operating Assumptions'!$L26="$/Unit/Annual",(('Operating Assumptions'!$M26*EO$25)*EO$36)/12,IF('Operating Assumptions'!$L26="$/Unit/Month",('Operating Assumptions'!$M26*EO$25)*EO$36,IF('Operating Assumptions'!$L26="Fixed Amount",('Operating Assumptions'!$M26*EO$25)/12,IF('Operating Assumptions'!$L26="$/GSF",(('Operating Assumptions'!$M26*EO$25)*'Operating Assumptions'!$D$11)/12,IF('Operating Assumptions'!$L26="$/NSF",(('Operating Assumptions'!$M26*EO$25)*'Operating Assumptions'!$D$12)/12))))))))</f>
        <v>-2200.0000000000005</v>
      </c>
      <c r="EP98" s="427">
        <f>-IF(EP$9&lt;'Operating Assumptions'!$D$53,0,IF(EP$6&gt;'Operating Assumptions'!$AA$8,0,IF('Operating Assumptions'!$L26="N/A",0,IF('Operating Assumptions'!$L26="$/Unit/Annual",(('Operating Assumptions'!$M26*EP$25)*EP$36)/12,IF('Operating Assumptions'!$L26="$/Unit/Month",('Operating Assumptions'!$M26*EP$25)*EP$36,IF('Operating Assumptions'!$L26="Fixed Amount",('Operating Assumptions'!$M26*EP$25)/12,IF('Operating Assumptions'!$L26="$/GSF",(('Operating Assumptions'!$M26*EP$25)*'Operating Assumptions'!$D$11)/12,IF('Operating Assumptions'!$L26="$/NSF",(('Operating Assumptions'!$M26*EP$25)*'Operating Assumptions'!$D$12)/12))))))))</f>
        <v>-2200.0000000000005</v>
      </c>
      <c r="EQ98" s="427">
        <f>-IF(EQ$9&lt;'Operating Assumptions'!$D$53,0,IF(EQ$6&gt;'Operating Assumptions'!$AA$8,0,IF('Operating Assumptions'!$L26="N/A",0,IF('Operating Assumptions'!$L26="$/Unit/Annual",(('Operating Assumptions'!$M26*EQ$25)*EQ$36)/12,IF('Operating Assumptions'!$L26="$/Unit/Month",('Operating Assumptions'!$M26*EQ$25)*EQ$36,IF('Operating Assumptions'!$L26="Fixed Amount",('Operating Assumptions'!$M26*EQ$25)/12,IF('Operating Assumptions'!$L26="$/GSF",(('Operating Assumptions'!$M26*EQ$25)*'Operating Assumptions'!$D$11)/12,IF('Operating Assumptions'!$L26="$/NSF",(('Operating Assumptions'!$M26*EQ$25)*'Operating Assumptions'!$D$12)/12))))))))</f>
        <v>-2200.0000000000005</v>
      </c>
      <c r="ER98" s="427">
        <f>-IF(ER$9&lt;'Operating Assumptions'!$D$53,0,IF(ER$6&gt;'Operating Assumptions'!$AA$8,0,IF('Operating Assumptions'!$L26="N/A",0,IF('Operating Assumptions'!$L26="$/Unit/Annual",(('Operating Assumptions'!$M26*ER$25)*ER$36)/12,IF('Operating Assumptions'!$L26="$/Unit/Month",('Operating Assumptions'!$M26*ER$25)*ER$36,IF('Operating Assumptions'!$L26="Fixed Amount",('Operating Assumptions'!$M26*ER$25)/12,IF('Operating Assumptions'!$L26="$/GSF",(('Operating Assumptions'!$M26*ER$25)*'Operating Assumptions'!$D$11)/12,IF('Operating Assumptions'!$L26="$/NSF",(('Operating Assumptions'!$M26*ER$25)*'Operating Assumptions'!$D$12)/12))))))))</f>
        <v>-2200.0000000000005</v>
      </c>
      <c r="ES98" s="427">
        <f>-IF(ES$9&lt;'Operating Assumptions'!$D$53,0,IF(ES$6&gt;'Operating Assumptions'!$AA$8,0,IF('Operating Assumptions'!$L26="N/A",0,IF('Operating Assumptions'!$L26="$/Unit/Annual",(('Operating Assumptions'!$M26*ES$25)*ES$36)/12,IF('Operating Assumptions'!$L26="$/Unit/Month",('Operating Assumptions'!$M26*ES$25)*ES$36,IF('Operating Assumptions'!$L26="Fixed Amount",('Operating Assumptions'!$M26*ES$25)/12,IF('Operating Assumptions'!$L26="$/GSF",(('Operating Assumptions'!$M26*ES$25)*'Operating Assumptions'!$D$11)/12,IF('Operating Assumptions'!$L26="$/NSF",(('Operating Assumptions'!$M26*ES$25)*'Operating Assumptions'!$D$12)/12))))))))</f>
        <v>-2200.0000000000005</v>
      </c>
      <c r="ET98" s="427">
        <f>-IF(ET$9&lt;'Operating Assumptions'!$D$53,0,IF(ET$6&gt;'Operating Assumptions'!$AA$8,0,IF('Operating Assumptions'!$L26="N/A",0,IF('Operating Assumptions'!$L26="$/Unit/Annual",(('Operating Assumptions'!$M26*ET$25)*ET$36)/12,IF('Operating Assumptions'!$L26="$/Unit/Month",('Operating Assumptions'!$M26*ET$25)*ET$36,IF('Operating Assumptions'!$L26="Fixed Amount",('Operating Assumptions'!$M26*ET$25)/12,IF('Operating Assumptions'!$L26="$/GSF",(('Operating Assumptions'!$M26*ET$25)*'Operating Assumptions'!$D$11)/12,IF('Operating Assumptions'!$L26="$/NSF",(('Operating Assumptions'!$M26*ET$25)*'Operating Assumptions'!$D$12)/12))))))))</f>
        <v>-2200.0000000000005</v>
      </c>
      <c r="EU98" s="427">
        <f>-IF(EU$9&lt;'Operating Assumptions'!$D$53,0,IF(EU$6&gt;'Operating Assumptions'!$AA$8,0,IF('Operating Assumptions'!$L26="N/A",0,IF('Operating Assumptions'!$L26="$/Unit/Annual",(('Operating Assumptions'!$M26*EU$25)*EU$36)/12,IF('Operating Assumptions'!$L26="$/Unit/Month",('Operating Assumptions'!$M26*EU$25)*EU$36,IF('Operating Assumptions'!$L26="Fixed Amount",('Operating Assumptions'!$M26*EU$25)/12,IF('Operating Assumptions'!$L26="$/GSF",(('Operating Assumptions'!$M26*EU$25)*'Operating Assumptions'!$D$11)/12,IF('Operating Assumptions'!$L26="$/NSF",(('Operating Assumptions'!$M26*EU$25)*'Operating Assumptions'!$D$12)/12))))))))</f>
        <v>-2200.0000000000005</v>
      </c>
      <c r="EV98" s="427">
        <f>-IF(EV$9&lt;'Operating Assumptions'!$D$53,0,IF(EV$6&gt;'Operating Assumptions'!$AA$8,0,IF('Operating Assumptions'!$L26="N/A",0,IF('Operating Assumptions'!$L26="$/Unit/Annual",(('Operating Assumptions'!$M26*EV$25)*EV$36)/12,IF('Operating Assumptions'!$L26="$/Unit/Month",('Operating Assumptions'!$M26*EV$25)*EV$36,IF('Operating Assumptions'!$L26="Fixed Amount",('Operating Assumptions'!$M26*EV$25)/12,IF('Operating Assumptions'!$L26="$/GSF",(('Operating Assumptions'!$M26*EV$25)*'Operating Assumptions'!$D$11)/12,IF('Operating Assumptions'!$L26="$/NSF",(('Operating Assumptions'!$M26*EV$25)*'Operating Assumptions'!$D$12)/12))))))))</f>
        <v>0</v>
      </c>
      <c r="EW98" s="427">
        <f>-IF(EW$9&lt;'Operating Assumptions'!$D$53,0,IF(EW$6&gt;'Operating Assumptions'!$AA$8,0,IF('Operating Assumptions'!$L26="N/A",0,IF('Operating Assumptions'!$L26="$/Unit/Annual",(('Operating Assumptions'!$M26*EW$25)*EW$36)/12,IF('Operating Assumptions'!$L26="$/Unit/Month",('Operating Assumptions'!$M26*EW$25)*EW$36,IF('Operating Assumptions'!$L26="Fixed Amount",('Operating Assumptions'!$M26*EW$25)/12,IF('Operating Assumptions'!$L26="$/GSF",(('Operating Assumptions'!$M26*EW$25)*'Operating Assumptions'!$D$11)/12,IF('Operating Assumptions'!$L26="$/NSF",(('Operating Assumptions'!$M26*EW$25)*'Operating Assumptions'!$D$12)/12))))))))</f>
        <v>0</v>
      </c>
      <c r="EX98" s="427">
        <f>-IF(EX$9&lt;'Operating Assumptions'!$D$53,0,IF(EX$6&gt;'Operating Assumptions'!$AA$8,0,IF('Operating Assumptions'!$L26="N/A",0,IF('Operating Assumptions'!$L26="$/Unit/Annual",(('Operating Assumptions'!$M26*EX$25)*EX$36)/12,IF('Operating Assumptions'!$L26="$/Unit/Month",('Operating Assumptions'!$M26*EX$25)*EX$36,IF('Operating Assumptions'!$L26="Fixed Amount",('Operating Assumptions'!$M26*EX$25)/12,IF('Operating Assumptions'!$L26="$/GSF",(('Operating Assumptions'!$M26*EX$25)*'Operating Assumptions'!$D$11)/12,IF('Operating Assumptions'!$L26="$/NSF",(('Operating Assumptions'!$M26*EX$25)*'Operating Assumptions'!$D$12)/12))))))))</f>
        <v>0</v>
      </c>
      <c r="EY98" s="427">
        <f>-IF(EY$9&lt;'Operating Assumptions'!$D$53,0,IF(EY$6&gt;'Operating Assumptions'!$AA$8,0,IF('Operating Assumptions'!$L26="N/A",0,IF('Operating Assumptions'!$L26="$/Unit/Annual",(('Operating Assumptions'!$M26*EY$25)*EY$36)/12,IF('Operating Assumptions'!$L26="$/Unit/Month",('Operating Assumptions'!$M26*EY$25)*EY$36,IF('Operating Assumptions'!$L26="Fixed Amount",('Operating Assumptions'!$M26*EY$25)/12,IF('Operating Assumptions'!$L26="$/GSF",(('Operating Assumptions'!$M26*EY$25)*'Operating Assumptions'!$D$11)/12,IF('Operating Assumptions'!$L26="$/NSF",(('Operating Assumptions'!$M26*EY$25)*'Operating Assumptions'!$D$12)/12))))))))</f>
        <v>0</v>
      </c>
      <c r="EZ98" s="427">
        <f>-IF(EZ$9&lt;'Operating Assumptions'!$D$53,0,IF(EZ$6&gt;'Operating Assumptions'!$AA$8,0,IF('Operating Assumptions'!$L26="N/A",0,IF('Operating Assumptions'!$L26="$/Unit/Annual",(('Operating Assumptions'!$M26*EZ$25)*EZ$36)/12,IF('Operating Assumptions'!$L26="$/Unit/Month",('Operating Assumptions'!$M26*EZ$25)*EZ$36,IF('Operating Assumptions'!$L26="Fixed Amount",('Operating Assumptions'!$M26*EZ$25)/12,IF('Operating Assumptions'!$L26="$/GSF",(('Operating Assumptions'!$M26*EZ$25)*'Operating Assumptions'!$D$11)/12,IF('Operating Assumptions'!$L26="$/NSF",(('Operating Assumptions'!$M26*EZ$25)*'Operating Assumptions'!$D$12)/12))))))))</f>
        <v>0</v>
      </c>
      <c r="FA98" s="427">
        <f>-IF(FA$9&lt;'Operating Assumptions'!$D$53,0,IF(FA$6&gt;'Operating Assumptions'!$AA$8,0,IF('Operating Assumptions'!$L26="N/A",0,IF('Operating Assumptions'!$L26="$/Unit/Annual",(('Operating Assumptions'!$M26*FA$25)*FA$36)/12,IF('Operating Assumptions'!$L26="$/Unit/Month",('Operating Assumptions'!$M26*FA$25)*FA$36,IF('Operating Assumptions'!$L26="Fixed Amount",('Operating Assumptions'!$M26*FA$25)/12,IF('Operating Assumptions'!$L26="$/GSF",(('Operating Assumptions'!$M26*FA$25)*'Operating Assumptions'!$D$11)/12,IF('Operating Assumptions'!$L26="$/NSF",(('Operating Assumptions'!$M26*FA$25)*'Operating Assumptions'!$D$12)/12))))))))</f>
        <v>0</v>
      </c>
      <c r="FB98" s="427">
        <f>-IF(FB$9&lt;'Operating Assumptions'!$D$53,0,IF(FB$6&gt;'Operating Assumptions'!$AA$8,0,IF('Operating Assumptions'!$L26="N/A",0,IF('Operating Assumptions'!$L26="$/Unit/Annual",(('Operating Assumptions'!$M26*FB$25)*FB$36)/12,IF('Operating Assumptions'!$L26="$/Unit/Month",('Operating Assumptions'!$M26*FB$25)*FB$36,IF('Operating Assumptions'!$L26="Fixed Amount",('Operating Assumptions'!$M26*FB$25)/12,IF('Operating Assumptions'!$L26="$/GSF",(('Operating Assumptions'!$M26*FB$25)*'Operating Assumptions'!$D$11)/12,IF('Operating Assumptions'!$L26="$/NSF",(('Operating Assumptions'!$M26*FB$25)*'Operating Assumptions'!$D$12)/12))))))))</f>
        <v>0</v>
      </c>
      <c r="FC98" s="427">
        <f>-IF(FC$9&lt;'Operating Assumptions'!$D$53,0,IF(FC$6&gt;'Operating Assumptions'!$AA$8,0,IF('Operating Assumptions'!$L26="N/A",0,IF('Operating Assumptions'!$L26="$/Unit/Annual",(('Operating Assumptions'!$M26*FC$25)*FC$36)/12,IF('Operating Assumptions'!$L26="$/Unit/Month",('Operating Assumptions'!$M26*FC$25)*FC$36,IF('Operating Assumptions'!$L26="Fixed Amount",('Operating Assumptions'!$M26*FC$25)/12,IF('Operating Assumptions'!$L26="$/GSF",(('Operating Assumptions'!$M26*FC$25)*'Operating Assumptions'!$D$11)/12,IF('Operating Assumptions'!$L26="$/NSF",(('Operating Assumptions'!$M26*FC$25)*'Operating Assumptions'!$D$12)/12))))))))</f>
        <v>0</v>
      </c>
      <c r="FD98" s="427">
        <f>-IF(FD$9&lt;'Operating Assumptions'!$D$53,0,IF(FD$6&gt;'Operating Assumptions'!$AA$8,0,IF('Operating Assumptions'!$L26="N/A",0,IF('Operating Assumptions'!$L26="$/Unit/Annual",(('Operating Assumptions'!$M26*FD$25)*FD$36)/12,IF('Operating Assumptions'!$L26="$/Unit/Month",('Operating Assumptions'!$M26*FD$25)*FD$36,IF('Operating Assumptions'!$L26="Fixed Amount",('Operating Assumptions'!$M26*FD$25)/12,IF('Operating Assumptions'!$L26="$/GSF",(('Operating Assumptions'!$M26*FD$25)*'Operating Assumptions'!$D$11)/12,IF('Operating Assumptions'!$L26="$/NSF",(('Operating Assumptions'!$M26*FD$25)*'Operating Assumptions'!$D$12)/12))))))))</f>
        <v>0</v>
      </c>
      <c r="FE98" s="427">
        <f>-IF(FE$9&lt;'Operating Assumptions'!$D$53,0,IF(FE$6&gt;'Operating Assumptions'!$AA$8,0,IF('Operating Assumptions'!$L26="N/A",0,IF('Operating Assumptions'!$L26="$/Unit/Annual",(('Operating Assumptions'!$M26*FE$25)*FE$36)/12,IF('Operating Assumptions'!$L26="$/Unit/Month",('Operating Assumptions'!$M26*FE$25)*FE$36,IF('Operating Assumptions'!$L26="Fixed Amount",('Operating Assumptions'!$M26*FE$25)/12,IF('Operating Assumptions'!$L26="$/GSF",(('Operating Assumptions'!$M26*FE$25)*'Operating Assumptions'!$D$11)/12,IF('Operating Assumptions'!$L26="$/NSF",(('Operating Assumptions'!$M26*FE$25)*'Operating Assumptions'!$D$12)/12))))))))</f>
        <v>0</v>
      </c>
      <c r="FF98" s="427">
        <f>-IF(FF$9&lt;'Operating Assumptions'!$D$53,0,IF(FF$6&gt;'Operating Assumptions'!$AA$8,0,IF('Operating Assumptions'!$L26="N/A",0,IF('Operating Assumptions'!$L26="$/Unit/Annual",(('Operating Assumptions'!$M26*FF$25)*FF$36)/12,IF('Operating Assumptions'!$L26="$/Unit/Month",('Operating Assumptions'!$M26*FF$25)*FF$36,IF('Operating Assumptions'!$L26="Fixed Amount",('Operating Assumptions'!$M26*FF$25)/12,IF('Operating Assumptions'!$L26="$/GSF",(('Operating Assumptions'!$M26*FF$25)*'Operating Assumptions'!$D$11)/12,IF('Operating Assumptions'!$L26="$/NSF",(('Operating Assumptions'!$M26*FF$25)*'Operating Assumptions'!$D$12)/12))))))))</f>
        <v>0</v>
      </c>
      <c r="FG98" s="427">
        <f>-IF(FG$9&lt;'Operating Assumptions'!$D$53,0,IF(FG$6&gt;'Operating Assumptions'!$AA$8,0,IF('Operating Assumptions'!$L26="N/A",0,IF('Operating Assumptions'!$L26="$/Unit/Annual",(('Operating Assumptions'!$M26*FG$25)*FG$36)/12,IF('Operating Assumptions'!$L26="$/Unit/Month",('Operating Assumptions'!$M26*FG$25)*FG$36,IF('Operating Assumptions'!$L26="Fixed Amount",('Operating Assumptions'!$M26*FG$25)/12,IF('Operating Assumptions'!$L26="$/GSF",(('Operating Assumptions'!$M26*FG$25)*'Operating Assumptions'!$D$11)/12,IF('Operating Assumptions'!$L26="$/NSF",(('Operating Assumptions'!$M26*FG$25)*'Operating Assumptions'!$D$12)/12))))))))</f>
        <v>0</v>
      </c>
      <c r="FH98" s="427">
        <f>-IF(FH$9&lt;'Operating Assumptions'!$D$53,0,IF(FH$6&gt;'Operating Assumptions'!$AA$8,0,IF('Operating Assumptions'!$L26="N/A",0,IF('Operating Assumptions'!$L26="$/Unit/Annual",(('Operating Assumptions'!$M26*FH$25)*FH$36)/12,IF('Operating Assumptions'!$L26="$/Unit/Month",('Operating Assumptions'!$M26*FH$25)*FH$36,IF('Operating Assumptions'!$L26="Fixed Amount",('Operating Assumptions'!$M26*FH$25)/12,IF('Operating Assumptions'!$L26="$/GSF",(('Operating Assumptions'!$M26*FH$25)*'Operating Assumptions'!$D$11)/12,IF('Operating Assumptions'!$L26="$/NSF",(('Operating Assumptions'!$M26*FH$25)*'Operating Assumptions'!$D$12)/12))))))))</f>
        <v>0</v>
      </c>
      <c r="FI98" s="427">
        <f>-IF(FI$9&lt;'Operating Assumptions'!$D$53,0,IF(FI$6&gt;'Operating Assumptions'!$AA$8,0,IF('Operating Assumptions'!$L26="N/A",0,IF('Operating Assumptions'!$L26="$/Unit/Annual",(('Operating Assumptions'!$M26*FI$25)*FI$36)/12,IF('Operating Assumptions'!$L26="$/Unit/Month",('Operating Assumptions'!$M26*FI$25)*FI$36,IF('Operating Assumptions'!$L26="Fixed Amount",('Operating Assumptions'!$M26*FI$25)/12,IF('Operating Assumptions'!$L26="$/GSF",(('Operating Assumptions'!$M26*FI$25)*'Operating Assumptions'!$D$11)/12,IF('Operating Assumptions'!$L26="$/NSF",(('Operating Assumptions'!$M26*FI$25)*'Operating Assumptions'!$D$12)/12))))))))</f>
        <v>0</v>
      </c>
      <c r="FJ98" s="427">
        <f>-IF(FJ$9&lt;'Operating Assumptions'!$D$53,0,IF(FJ$6&gt;'Operating Assumptions'!$AA$8,0,IF('Operating Assumptions'!$L26="N/A",0,IF('Operating Assumptions'!$L26="$/Unit/Annual",(('Operating Assumptions'!$M26*FJ$25)*FJ$36)/12,IF('Operating Assumptions'!$L26="$/Unit/Month",('Operating Assumptions'!$M26*FJ$25)*FJ$36,IF('Operating Assumptions'!$L26="Fixed Amount",('Operating Assumptions'!$M26*FJ$25)/12,IF('Operating Assumptions'!$L26="$/GSF",(('Operating Assumptions'!$M26*FJ$25)*'Operating Assumptions'!$D$11)/12,IF('Operating Assumptions'!$L26="$/NSF",(('Operating Assumptions'!$M26*FJ$25)*'Operating Assumptions'!$D$12)/12))))))))</f>
        <v>0</v>
      </c>
      <c r="FK98" s="427">
        <f>-IF(FK$9&lt;'Operating Assumptions'!$D$53,0,IF(FK$6&gt;'Operating Assumptions'!$AA$8,0,IF('Operating Assumptions'!$L26="N/A",0,IF('Operating Assumptions'!$L26="$/Unit/Annual",(('Operating Assumptions'!$M26*FK$25)*FK$36)/12,IF('Operating Assumptions'!$L26="$/Unit/Month",('Operating Assumptions'!$M26*FK$25)*FK$36,IF('Operating Assumptions'!$L26="Fixed Amount",('Operating Assumptions'!$M26*FK$25)/12,IF('Operating Assumptions'!$L26="$/GSF",(('Operating Assumptions'!$M26*FK$25)*'Operating Assumptions'!$D$11)/12,IF('Operating Assumptions'!$L26="$/NSF",(('Operating Assumptions'!$M26*FK$25)*'Operating Assumptions'!$D$12)/12))))))))</f>
        <v>0</v>
      </c>
      <c r="FL98" s="427">
        <f>-IF(FL$9&lt;'Operating Assumptions'!$D$53,0,IF(FL$6&gt;'Operating Assumptions'!$AA$8,0,IF('Operating Assumptions'!$L26="N/A",0,IF('Operating Assumptions'!$L26="$/Unit/Annual",(('Operating Assumptions'!$M26*FL$25)*FL$36)/12,IF('Operating Assumptions'!$L26="$/Unit/Month",('Operating Assumptions'!$M26*FL$25)*FL$36,IF('Operating Assumptions'!$L26="Fixed Amount",('Operating Assumptions'!$M26*FL$25)/12,IF('Operating Assumptions'!$L26="$/GSF",(('Operating Assumptions'!$M26*FL$25)*'Operating Assumptions'!$D$11)/12,IF('Operating Assumptions'!$L26="$/NSF",(('Operating Assumptions'!$M26*FL$25)*'Operating Assumptions'!$D$12)/12))))))))</f>
        <v>0</v>
      </c>
      <c r="FM98" s="427">
        <f>-IF(FM$9&lt;'Operating Assumptions'!$D$53,0,IF(FM$6&gt;'Operating Assumptions'!$AA$8,0,IF('Operating Assumptions'!$L26="N/A",0,IF('Operating Assumptions'!$L26="$/Unit/Annual",(('Operating Assumptions'!$M26*FM$25)*FM$36)/12,IF('Operating Assumptions'!$L26="$/Unit/Month",('Operating Assumptions'!$M26*FM$25)*FM$36,IF('Operating Assumptions'!$L26="Fixed Amount",('Operating Assumptions'!$M26*FM$25)/12,IF('Operating Assumptions'!$L26="$/GSF",(('Operating Assumptions'!$M26*FM$25)*'Operating Assumptions'!$D$11)/12,IF('Operating Assumptions'!$L26="$/NSF",(('Operating Assumptions'!$M26*FM$25)*'Operating Assumptions'!$D$12)/12))))))))</f>
        <v>0</v>
      </c>
      <c r="FN98" s="427">
        <f>-IF(FN$9&lt;'Operating Assumptions'!$D$53,0,IF(FN$6&gt;'Operating Assumptions'!$AA$8,0,IF('Operating Assumptions'!$L26="N/A",0,IF('Operating Assumptions'!$L26="$/Unit/Annual",(('Operating Assumptions'!$M26*FN$25)*FN$36)/12,IF('Operating Assumptions'!$L26="$/Unit/Month",('Operating Assumptions'!$M26*FN$25)*FN$36,IF('Operating Assumptions'!$L26="Fixed Amount",('Operating Assumptions'!$M26*FN$25)/12,IF('Operating Assumptions'!$L26="$/GSF",(('Operating Assumptions'!$M26*FN$25)*'Operating Assumptions'!$D$11)/12,IF('Operating Assumptions'!$L26="$/NSF",(('Operating Assumptions'!$M26*FN$25)*'Operating Assumptions'!$D$12)/12))))))))</f>
        <v>0</v>
      </c>
      <c r="FO98" s="427">
        <f>-IF(FO$9&lt;'Operating Assumptions'!$D$53,0,IF(FO$6&gt;'Operating Assumptions'!$AA$8,0,IF('Operating Assumptions'!$L26="N/A",0,IF('Operating Assumptions'!$L26="$/Unit/Annual",(('Operating Assumptions'!$M26*FO$25)*FO$36)/12,IF('Operating Assumptions'!$L26="$/Unit/Month",('Operating Assumptions'!$M26*FO$25)*FO$36,IF('Operating Assumptions'!$L26="Fixed Amount",('Operating Assumptions'!$M26*FO$25)/12,IF('Operating Assumptions'!$L26="$/GSF",(('Operating Assumptions'!$M26*FO$25)*'Operating Assumptions'!$D$11)/12,IF('Operating Assumptions'!$L26="$/NSF",(('Operating Assumptions'!$M26*FO$25)*'Operating Assumptions'!$D$12)/12))))))))</f>
        <v>0</v>
      </c>
      <c r="FP98" s="427">
        <f>-IF(FP$9&lt;'Operating Assumptions'!$D$53,0,IF(FP$6&gt;'Operating Assumptions'!$AA$8,0,IF('Operating Assumptions'!$L26="N/A",0,IF('Operating Assumptions'!$L26="$/Unit/Annual",(('Operating Assumptions'!$M26*FP$25)*FP$36)/12,IF('Operating Assumptions'!$L26="$/Unit/Month",('Operating Assumptions'!$M26*FP$25)*FP$36,IF('Operating Assumptions'!$L26="Fixed Amount",('Operating Assumptions'!$M26*FP$25)/12,IF('Operating Assumptions'!$L26="$/GSF",(('Operating Assumptions'!$M26*FP$25)*'Operating Assumptions'!$D$11)/12,IF('Operating Assumptions'!$L26="$/NSF",(('Operating Assumptions'!$M26*FP$25)*'Operating Assumptions'!$D$12)/12))))))))</f>
        <v>0</v>
      </c>
      <c r="FQ98" s="427">
        <f>-IF(FQ$9&lt;'Operating Assumptions'!$D$53,0,IF(FQ$6&gt;'Operating Assumptions'!$AA$8,0,IF('Operating Assumptions'!$L26="N/A",0,IF('Operating Assumptions'!$L26="$/Unit/Annual",(('Operating Assumptions'!$M26*FQ$25)*FQ$36)/12,IF('Operating Assumptions'!$L26="$/Unit/Month",('Operating Assumptions'!$M26*FQ$25)*FQ$36,IF('Operating Assumptions'!$L26="Fixed Amount",('Operating Assumptions'!$M26*FQ$25)/12,IF('Operating Assumptions'!$L26="$/GSF",(('Operating Assumptions'!$M26*FQ$25)*'Operating Assumptions'!$D$11)/12,IF('Operating Assumptions'!$L26="$/NSF",(('Operating Assumptions'!$M26*FQ$25)*'Operating Assumptions'!$D$12)/12))))))))</f>
        <v>0</v>
      </c>
      <c r="FR98" s="427">
        <f>-IF(FR$9&lt;'Operating Assumptions'!$D$53,0,IF(FR$6&gt;'Operating Assumptions'!$AA$8,0,IF('Operating Assumptions'!$L26="N/A",0,IF('Operating Assumptions'!$L26="$/Unit/Annual",(('Operating Assumptions'!$M26*FR$25)*FR$36)/12,IF('Operating Assumptions'!$L26="$/Unit/Month",('Operating Assumptions'!$M26*FR$25)*FR$36,IF('Operating Assumptions'!$L26="Fixed Amount",('Operating Assumptions'!$M26*FR$25)/12,IF('Operating Assumptions'!$L26="$/GSF",(('Operating Assumptions'!$M26*FR$25)*'Operating Assumptions'!$D$11)/12,IF('Operating Assumptions'!$L26="$/NSF",(('Operating Assumptions'!$M26*FR$25)*'Operating Assumptions'!$D$12)/12))))))))</f>
        <v>0</v>
      </c>
      <c r="FS98" s="427">
        <f>-IF(FS$9&lt;'Operating Assumptions'!$D$53,0,IF(FS$6&gt;'Operating Assumptions'!$AA$8,0,IF('Operating Assumptions'!$L26="N/A",0,IF('Operating Assumptions'!$L26="$/Unit/Annual",(('Operating Assumptions'!$M26*FS$25)*FS$36)/12,IF('Operating Assumptions'!$L26="$/Unit/Month",('Operating Assumptions'!$M26*FS$25)*FS$36,IF('Operating Assumptions'!$L26="Fixed Amount",('Operating Assumptions'!$M26*FS$25)/12,IF('Operating Assumptions'!$L26="$/GSF",(('Operating Assumptions'!$M26*FS$25)*'Operating Assumptions'!$D$11)/12,IF('Operating Assumptions'!$L26="$/NSF",(('Operating Assumptions'!$M26*FS$25)*'Operating Assumptions'!$D$12)/12))))))))</f>
        <v>0</v>
      </c>
      <c r="FT98" s="427">
        <f>-IF(FT$9&lt;'Operating Assumptions'!$D$53,0,IF(FT$6&gt;'Operating Assumptions'!$AA$8,0,IF('Operating Assumptions'!$L26="N/A",0,IF('Operating Assumptions'!$L26="$/Unit/Annual",(('Operating Assumptions'!$M26*FT$25)*FT$36)/12,IF('Operating Assumptions'!$L26="$/Unit/Month",('Operating Assumptions'!$M26*FT$25)*FT$36,IF('Operating Assumptions'!$L26="Fixed Amount",('Operating Assumptions'!$M26*FT$25)/12,IF('Operating Assumptions'!$L26="$/GSF",(('Operating Assumptions'!$M26*FT$25)*'Operating Assumptions'!$D$11)/12,IF('Operating Assumptions'!$L26="$/NSF",(('Operating Assumptions'!$M26*FT$25)*'Operating Assumptions'!$D$12)/12))))))))</f>
        <v>0</v>
      </c>
      <c r="FU98" s="43"/>
      <c r="FV98" s="34"/>
      <c r="FW98" s="34"/>
      <c r="FX98" s="34"/>
      <c r="FY98" s="34"/>
      <c r="FZ98" s="34"/>
    </row>
    <row r="99" spans="1:182" s="89" customFormat="1" ht="13.5" x14ac:dyDescent="0.25">
      <c r="A99" s="34"/>
      <c r="B99" s="128" t="str">
        <f>'Operating Assumptions'!K27</f>
        <v>Blank</v>
      </c>
      <c r="C99" s="34"/>
      <c r="D99" s="34"/>
      <c r="E99" s="34"/>
      <c r="F99" s="434">
        <f>SUM(H99:FT99)</f>
        <v>0</v>
      </c>
      <c r="G99" s="34"/>
      <c r="H99" s="427">
        <f>-IF(H$9&lt;'Operating Assumptions'!$D$53,0,IF(H$6&gt;'Operating Assumptions'!$AA$8,0,IF('Operating Assumptions'!$L27="N/A",0,IF('Operating Assumptions'!$L27="$/Unit/Annual",(('Operating Assumptions'!$M27*H$25)*H$36)/12,IF('Operating Assumptions'!$L27="$/Unit/Month",('Operating Assumptions'!$M27*H$25)*H$36,IF('Operating Assumptions'!$L27="Fixed Amount",('Operating Assumptions'!$M27*H$25)/12,IF('Operating Assumptions'!$L27="$/GSF",(('Operating Assumptions'!$M27*H$25)*'Operating Assumptions'!$D$11)/12,IF('Operating Assumptions'!$L27="$/NSF",(('Operating Assumptions'!$M27*H$25)*'Operating Assumptions'!$D$12)/12))))))))</f>
        <v>0</v>
      </c>
      <c r="I99" s="427">
        <f>-IF(I$9&lt;'Operating Assumptions'!$D$53,0,IF(I$6&gt;'Operating Assumptions'!$AA$8,0,IF('Operating Assumptions'!$L27="N/A",0,IF('Operating Assumptions'!$L27="$/Unit/Annual",(('Operating Assumptions'!$M27*I$25)*I$36)/12,IF('Operating Assumptions'!$L27="$/Unit/Month",('Operating Assumptions'!$M27*I$25)*I$36,IF('Operating Assumptions'!$L27="Fixed Amount",('Operating Assumptions'!$M27*I$25)/12,IF('Operating Assumptions'!$L27="$/GSF",(('Operating Assumptions'!$M27*I$25)*'Operating Assumptions'!$D$11)/12,IF('Operating Assumptions'!$L27="$/NSF",(('Operating Assumptions'!$M27*I$25)*'Operating Assumptions'!$D$12)/12))))))))</f>
        <v>0</v>
      </c>
      <c r="J99" s="427">
        <f>-IF(J$9&lt;'Operating Assumptions'!$D$53,0,IF(J$6&gt;'Operating Assumptions'!$AA$8,0,IF('Operating Assumptions'!$L27="N/A",0,IF('Operating Assumptions'!$L27="$/Unit/Annual",(('Operating Assumptions'!$M27*J$25)*J$36)/12,IF('Operating Assumptions'!$L27="$/Unit/Month",('Operating Assumptions'!$M27*J$25)*J$36,IF('Operating Assumptions'!$L27="Fixed Amount",('Operating Assumptions'!$M27*J$25)/12,IF('Operating Assumptions'!$L27="$/GSF",(('Operating Assumptions'!$M27*J$25)*'Operating Assumptions'!$D$11)/12,IF('Operating Assumptions'!$L27="$/NSF",(('Operating Assumptions'!$M27*J$25)*'Operating Assumptions'!$D$12)/12))))))))</f>
        <v>0</v>
      </c>
      <c r="K99" s="427">
        <f>-IF(K$9&lt;'Operating Assumptions'!$D$53,0,IF(K$6&gt;'Operating Assumptions'!$AA$8,0,IF('Operating Assumptions'!$L27="N/A",0,IF('Operating Assumptions'!$L27="$/Unit/Annual",(('Operating Assumptions'!$M27*K$25)*K$36)/12,IF('Operating Assumptions'!$L27="$/Unit/Month",('Operating Assumptions'!$M27*K$25)*K$36,IF('Operating Assumptions'!$L27="Fixed Amount",('Operating Assumptions'!$M27*K$25)/12,IF('Operating Assumptions'!$L27="$/GSF",(('Operating Assumptions'!$M27*K$25)*'Operating Assumptions'!$D$11)/12,IF('Operating Assumptions'!$L27="$/NSF",(('Operating Assumptions'!$M27*K$25)*'Operating Assumptions'!$D$12)/12))))))))</f>
        <v>0</v>
      </c>
      <c r="L99" s="427">
        <f>-IF(L$9&lt;'Operating Assumptions'!$D$53,0,IF(L$6&gt;'Operating Assumptions'!$AA$8,0,IF('Operating Assumptions'!$L27="N/A",0,IF('Operating Assumptions'!$L27="$/Unit/Annual",(('Operating Assumptions'!$M27*L$25)*L$36)/12,IF('Operating Assumptions'!$L27="$/Unit/Month",('Operating Assumptions'!$M27*L$25)*L$36,IF('Operating Assumptions'!$L27="Fixed Amount",('Operating Assumptions'!$M27*L$25)/12,IF('Operating Assumptions'!$L27="$/GSF",(('Operating Assumptions'!$M27*L$25)*'Operating Assumptions'!$D$11)/12,IF('Operating Assumptions'!$L27="$/NSF",(('Operating Assumptions'!$M27*L$25)*'Operating Assumptions'!$D$12)/12))))))))</f>
        <v>0</v>
      </c>
      <c r="M99" s="427">
        <f>-IF(M$9&lt;'Operating Assumptions'!$D$53,0,IF(M$6&gt;'Operating Assumptions'!$AA$8,0,IF('Operating Assumptions'!$L27="N/A",0,IF('Operating Assumptions'!$L27="$/Unit/Annual",(('Operating Assumptions'!$M27*M$25)*M$36)/12,IF('Operating Assumptions'!$L27="$/Unit/Month",('Operating Assumptions'!$M27*M$25)*M$36,IF('Operating Assumptions'!$L27="Fixed Amount",('Operating Assumptions'!$M27*M$25)/12,IF('Operating Assumptions'!$L27="$/GSF",(('Operating Assumptions'!$M27*M$25)*'Operating Assumptions'!$D$11)/12,IF('Operating Assumptions'!$L27="$/NSF",(('Operating Assumptions'!$M27*M$25)*'Operating Assumptions'!$D$12)/12))))))))</f>
        <v>0</v>
      </c>
      <c r="N99" s="427">
        <f>-IF(N$9&lt;'Operating Assumptions'!$D$53,0,IF(N$6&gt;'Operating Assumptions'!$AA$8,0,IF('Operating Assumptions'!$L27="N/A",0,IF('Operating Assumptions'!$L27="$/Unit/Annual",(('Operating Assumptions'!$M27*N$25)*N$36)/12,IF('Operating Assumptions'!$L27="$/Unit/Month",('Operating Assumptions'!$M27*N$25)*N$36,IF('Operating Assumptions'!$L27="Fixed Amount",('Operating Assumptions'!$M27*N$25)/12,IF('Operating Assumptions'!$L27="$/GSF",(('Operating Assumptions'!$M27*N$25)*'Operating Assumptions'!$D$11)/12,IF('Operating Assumptions'!$L27="$/NSF",(('Operating Assumptions'!$M27*N$25)*'Operating Assumptions'!$D$12)/12))))))))</f>
        <v>0</v>
      </c>
      <c r="O99" s="427">
        <f>-IF(O$9&lt;'Operating Assumptions'!$D$53,0,IF(O$6&gt;'Operating Assumptions'!$AA$8,0,IF('Operating Assumptions'!$L27="N/A",0,IF('Operating Assumptions'!$L27="$/Unit/Annual",(('Operating Assumptions'!$M27*O$25)*O$36)/12,IF('Operating Assumptions'!$L27="$/Unit/Month",('Operating Assumptions'!$M27*O$25)*O$36,IF('Operating Assumptions'!$L27="Fixed Amount",('Operating Assumptions'!$M27*O$25)/12,IF('Operating Assumptions'!$L27="$/GSF",(('Operating Assumptions'!$M27*O$25)*'Operating Assumptions'!$D$11)/12,IF('Operating Assumptions'!$L27="$/NSF",(('Operating Assumptions'!$M27*O$25)*'Operating Assumptions'!$D$12)/12))))))))</f>
        <v>0</v>
      </c>
      <c r="P99" s="427">
        <f>-IF(P$9&lt;'Operating Assumptions'!$D$53,0,IF(P$6&gt;'Operating Assumptions'!$AA$8,0,IF('Operating Assumptions'!$L27="N/A",0,IF('Operating Assumptions'!$L27="$/Unit/Annual",(('Operating Assumptions'!$M27*P$25)*P$36)/12,IF('Operating Assumptions'!$L27="$/Unit/Month",('Operating Assumptions'!$M27*P$25)*P$36,IF('Operating Assumptions'!$L27="Fixed Amount",('Operating Assumptions'!$M27*P$25)/12,IF('Operating Assumptions'!$L27="$/GSF",(('Operating Assumptions'!$M27*P$25)*'Operating Assumptions'!$D$11)/12,IF('Operating Assumptions'!$L27="$/NSF",(('Operating Assumptions'!$M27*P$25)*'Operating Assumptions'!$D$12)/12))))))))</f>
        <v>0</v>
      </c>
      <c r="Q99" s="427">
        <f>-IF(Q$9&lt;'Operating Assumptions'!$D$53,0,IF(Q$6&gt;'Operating Assumptions'!$AA$8,0,IF('Operating Assumptions'!$L27="N/A",0,IF('Operating Assumptions'!$L27="$/Unit/Annual",(('Operating Assumptions'!$M27*Q$25)*Q$36)/12,IF('Operating Assumptions'!$L27="$/Unit/Month",('Operating Assumptions'!$M27*Q$25)*Q$36,IF('Operating Assumptions'!$L27="Fixed Amount",('Operating Assumptions'!$M27*Q$25)/12,IF('Operating Assumptions'!$L27="$/GSF",(('Operating Assumptions'!$M27*Q$25)*'Operating Assumptions'!$D$11)/12,IF('Operating Assumptions'!$L27="$/NSF",(('Operating Assumptions'!$M27*Q$25)*'Operating Assumptions'!$D$12)/12))))))))</f>
        <v>0</v>
      </c>
      <c r="R99" s="427">
        <f>-IF(R$9&lt;'Operating Assumptions'!$D$53,0,IF(R$6&gt;'Operating Assumptions'!$AA$8,0,IF('Operating Assumptions'!$L27="N/A",0,IF('Operating Assumptions'!$L27="$/Unit/Annual",(('Operating Assumptions'!$M27*R$25)*R$36)/12,IF('Operating Assumptions'!$L27="$/Unit/Month",('Operating Assumptions'!$M27*R$25)*R$36,IF('Operating Assumptions'!$L27="Fixed Amount",('Operating Assumptions'!$M27*R$25)/12,IF('Operating Assumptions'!$L27="$/GSF",(('Operating Assumptions'!$M27*R$25)*'Operating Assumptions'!$D$11)/12,IF('Operating Assumptions'!$L27="$/NSF",(('Operating Assumptions'!$M27*R$25)*'Operating Assumptions'!$D$12)/12))))))))</f>
        <v>0</v>
      </c>
      <c r="S99" s="427">
        <f>-IF(S$9&lt;'Operating Assumptions'!$D$53,0,IF(S$6&gt;'Operating Assumptions'!$AA$8,0,IF('Operating Assumptions'!$L27="N/A",0,IF('Operating Assumptions'!$L27="$/Unit/Annual",(('Operating Assumptions'!$M27*S$25)*S$36)/12,IF('Operating Assumptions'!$L27="$/Unit/Month",('Operating Assumptions'!$M27*S$25)*S$36,IF('Operating Assumptions'!$L27="Fixed Amount",('Operating Assumptions'!$M27*S$25)/12,IF('Operating Assumptions'!$L27="$/GSF",(('Operating Assumptions'!$M27*S$25)*'Operating Assumptions'!$D$11)/12,IF('Operating Assumptions'!$L27="$/NSF",(('Operating Assumptions'!$M27*S$25)*'Operating Assumptions'!$D$12)/12))))))))</f>
        <v>0</v>
      </c>
      <c r="T99" s="427">
        <f>-IF(T$9&lt;'Operating Assumptions'!$D$53,0,IF(T$6&gt;'Operating Assumptions'!$AA$8,0,IF('Operating Assumptions'!$L27="N/A",0,IF('Operating Assumptions'!$L27="$/Unit/Annual",(('Operating Assumptions'!$M27*T$25)*T$36)/12,IF('Operating Assumptions'!$L27="$/Unit/Month",('Operating Assumptions'!$M27*T$25)*T$36,IF('Operating Assumptions'!$L27="Fixed Amount",('Operating Assumptions'!$M27*T$25)/12,IF('Operating Assumptions'!$L27="$/GSF",(('Operating Assumptions'!$M27*T$25)*'Operating Assumptions'!$D$11)/12,IF('Operating Assumptions'!$L27="$/NSF",(('Operating Assumptions'!$M27*T$25)*'Operating Assumptions'!$D$12)/12))))))))</f>
        <v>0</v>
      </c>
      <c r="U99" s="427">
        <f>-IF(U$9&lt;'Operating Assumptions'!$D$53,0,IF(U$6&gt;'Operating Assumptions'!$AA$8,0,IF('Operating Assumptions'!$L27="N/A",0,IF('Operating Assumptions'!$L27="$/Unit/Annual",(('Operating Assumptions'!$M27*U$25)*U$36)/12,IF('Operating Assumptions'!$L27="$/Unit/Month",('Operating Assumptions'!$M27*U$25)*U$36,IF('Operating Assumptions'!$L27="Fixed Amount",('Operating Assumptions'!$M27*U$25)/12,IF('Operating Assumptions'!$L27="$/GSF",(('Operating Assumptions'!$M27*U$25)*'Operating Assumptions'!$D$11)/12,IF('Operating Assumptions'!$L27="$/NSF",(('Operating Assumptions'!$M27*U$25)*'Operating Assumptions'!$D$12)/12))))))))</f>
        <v>0</v>
      </c>
      <c r="V99" s="427">
        <f>-IF(V$9&lt;'Operating Assumptions'!$D$53,0,IF(V$6&gt;'Operating Assumptions'!$AA$8,0,IF('Operating Assumptions'!$L27="N/A",0,IF('Operating Assumptions'!$L27="$/Unit/Annual",(('Operating Assumptions'!$M27*V$25)*V$36)/12,IF('Operating Assumptions'!$L27="$/Unit/Month",('Operating Assumptions'!$M27*V$25)*V$36,IF('Operating Assumptions'!$L27="Fixed Amount",('Operating Assumptions'!$M27*V$25)/12,IF('Operating Assumptions'!$L27="$/GSF",(('Operating Assumptions'!$M27*V$25)*'Operating Assumptions'!$D$11)/12,IF('Operating Assumptions'!$L27="$/NSF",(('Operating Assumptions'!$M27*V$25)*'Operating Assumptions'!$D$12)/12))))))))</f>
        <v>0</v>
      </c>
      <c r="W99" s="427">
        <f>-IF(W$9&lt;'Operating Assumptions'!$D$53,0,IF(W$6&gt;'Operating Assumptions'!$AA$8,0,IF('Operating Assumptions'!$L27="N/A",0,IF('Operating Assumptions'!$L27="$/Unit/Annual",(('Operating Assumptions'!$M27*W$25)*W$36)/12,IF('Operating Assumptions'!$L27="$/Unit/Month",('Operating Assumptions'!$M27*W$25)*W$36,IF('Operating Assumptions'!$L27="Fixed Amount",('Operating Assumptions'!$M27*W$25)/12,IF('Operating Assumptions'!$L27="$/GSF",(('Operating Assumptions'!$M27*W$25)*'Operating Assumptions'!$D$11)/12,IF('Operating Assumptions'!$L27="$/NSF",(('Operating Assumptions'!$M27*W$25)*'Operating Assumptions'!$D$12)/12))))))))</f>
        <v>0</v>
      </c>
      <c r="X99" s="427">
        <f>-IF(X$9&lt;'Operating Assumptions'!$D$53,0,IF(X$6&gt;'Operating Assumptions'!$AA$8,0,IF('Operating Assumptions'!$L27="N/A",0,IF('Operating Assumptions'!$L27="$/Unit/Annual",(('Operating Assumptions'!$M27*X$25)*X$36)/12,IF('Operating Assumptions'!$L27="$/Unit/Month",('Operating Assumptions'!$M27*X$25)*X$36,IF('Operating Assumptions'!$L27="Fixed Amount",('Operating Assumptions'!$M27*X$25)/12,IF('Operating Assumptions'!$L27="$/GSF",(('Operating Assumptions'!$M27*X$25)*'Operating Assumptions'!$D$11)/12,IF('Operating Assumptions'!$L27="$/NSF",(('Operating Assumptions'!$M27*X$25)*'Operating Assumptions'!$D$12)/12))))))))</f>
        <v>0</v>
      </c>
      <c r="Y99" s="427">
        <f>-IF(Y$9&lt;'Operating Assumptions'!$D$53,0,IF(Y$6&gt;'Operating Assumptions'!$AA$8,0,IF('Operating Assumptions'!$L27="N/A",0,IF('Operating Assumptions'!$L27="$/Unit/Annual",(('Operating Assumptions'!$M27*Y$25)*Y$36)/12,IF('Operating Assumptions'!$L27="$/Unit/Month",('Operating Assumptions'!$M27*Y$25)*Y$36,IF('Operating Assumptions'!$L27="Fixed Amount",('Operating Assumptions'!$M27*Y$25)/12,IF('Operating Assumptions'!$L27="$/GSF",(('Operating Assumptions'!$M27*Y$25)*'Operating Assumptions'!$D$11)/12,IF('Operating Assumptions'!$L27="$/NSF",(('Operating Assumptions'!$M27*Y$25)*'Operating Assumptions'!$D$12)/12))))))))</f>
        <v>0</v>
      </c>
      <c r="Z99" s="427">
        <f>-IF(Z$9&lt;'Operating Assumptions'!$D$53,0,IF(Z$6&gt;'Operating Assumptions'!$AA$8,0,IF('Operating Assumptions'!$L27="N/A",0,IF('Operating Assumptions'!$L27="$/Unit/Annual",(('Operating Assumptions'!$M27*Z$25)*Z$36)/12,IF('Operating Assumptions'!$L27="$/Unit/Month",('Operating Assumptions'!$M27*Z$25)*Z$36,IF('Operating Assumptions'!$L27="Fixed Amount",('Operating Assumptions'!$M27*Z$25)/12,IF('Operating Assumptions'!$L27="$/GSF",(('Operating Assumptions'!$M27*Z$25)*'Operating Assumptions'!$D$11)/12,IF('Operating Assumptions'!$L27="$/NSF",(('Operating Assumptions'!$M27*Z$25)*'Operating Assumptions'!$D$12)/12))))))))</f>
        <v>0</v>
      </c>
      <c r="AA99" s="427">
        <f>-IF(AA$9&lt;'Operating Assumptions'!$D$53,0,IF(AA$6&gt;'Operating Assumptions'!$AA$8,0,IF('Operating Assumptions'!$L27="N/A",0,IF('Operating Assumptions'!$L27="$/Unit/Annual",(('Operating Assumptions'!$M27*AA$25)*AA$36)/12,IF('Operating Assumptions'!$L27="$/Unit/Month",('Operating Assumptions'!$M27*AA$25)*AA$36,IF('Operating Assumptions'!$L27="Fixed Amount",('Operating Assumptions'!$M27*AA$25)/12,IF('Operating Assumptions'!$L27="$/GSF",(('Operating Assumptions'!$M27*AA$25)*'Operating Assumptions'!$D$11)/12,IF('Operating Assumptions'!$L27="$/NSF",(('Operating Assumptions'!$M27*AA$25)*'Operating Assumptions'!$D$12)/12))))))))</f>
        <v>0</v>
      </c>
      <c r="AB99" s="427">
        <f>-IF(AB$9&lt;'Operating Assumptions'!$D$53,0,IF(AB$6&gt;'Operating Assumptions'!$AA$8,0,IF('Operating Assumptions'!$L27="N/A",0,IF('Operating Assumptions'!$L27="$/Unit/Annual",(('Operating Assumptions'!$M27*AB$25)*AB$36)/12,IF('Operating Assumptions'!$L27="$/Unit/Month",('Operating Assumptions'!$M27*AB$25)*AB$36,IF('Operating Assumptions'!$L27="Fixed Amount",('Operating Assumptions'!$M27*AB$25)/12,IF('Operating Assumptions'!$L27="$/GSF",(('Operating Assumptions'!$M27*AB$25)*'Operating Assumptions'!$D$11)/12,IF('Operating Assumptions'!$L27="$/NSF",(('Operating Assumptions'!$M27*AB$25)*'Operating Assumptions'!$D$12)/12))))))))</f>
        <v>0</v>
      </c>
      <c r="AC99" s="427">
        <f>-IF(AC$9&lt;'Operating Assumptions'!$D$53,0,IF(AC$6&gt;'Operating Assumptions'!$AA$8,0,IF('Operating Assumptions'!$L27="N/A",0,IF('Operating Assumptions'!$L27="$/Unit/Annual",(('Operating Assumptions'!$M27*AC$25)*AC$36)/12,IF('Operating Assumptions'!$L27="$/Unit/Month",('Operating Assumptions'!$M27*AC$25)*AC$36,IF('Operating Assumptions'!$L27="Fixed Amount",('Operating Assumptions'!$M27*AC$25)/12,IF('Operating Assumptions'!$L27="$/GSF",(('Operating Assumptions'!$M27*AC$25)*'Operating Assumptions'!$D$11)/12,IF('Operating Assumptions'!$L27="$/NSF",(('Operating Assumptions'!$M27*AC$25)*'Operating Assumptions'!$D$12)/12))))))))</f>
        <v>0</v>
      </c>
      <c r="AD99" s="427">
        <f>-IF(AD$9&lt;'Operating Assumptions'!$D$53,0,IF(AD$6&gt;'Operating Assumptions'!$AA$8,0,IF('Operating Assumptions'!$L27="N/A",0,IF('Operating Assumptions'!$L27="$/Unit/Annual",(('Operating Assumptions'!$M27*AD$25)*AD$36)/12,IF('Operating Assumptions'!$L27="$/Unit/Month",('Operating Assumptions'!$M27*AD$25)*AD$36,IF('Operating Assumptions'!$L27="Fixed Amount",('Operating Assumptions'!$M27*AD$25)/12,IF('Operating Assumptions'!$L27="$/GSF",(('Operating Assumptions'!$M27*AD$25)*'Operating Assumptions'!$D$11)/12,IF('Operating Assumptions'!$L27="$/NSF",(('Operating Assumptions'!$M27*AD$25)*'Operating Assumptions'!$D$12)/12))))))))</f>
        <v>0</v>
      </c>
      <c r="AE99" s="427">
        <f>-IF(AE$9&lt;'Operating Assumptions'!$D$53,0,IF(AE$6&gt;'Operating Assumptions'!$AA$8,0,IF('Operating Assumptions'!$L27="N/A",0,IF('Operating Assumptions'!$L27="$/Unit/Annual",(('Operating Assumptions'!$M27*AE$25)*AE$36)/12,IF('Operating Assumptions'!$L27="$/Unit/Month",('Operating Assumptions'!$M27*AE$25)*AE$36,IF('Operating Assumptions'!$L27="Fixed Amount",('Operating Assumptions'!$M27*AE$25)/12,IF('Operating Assumptions'!$L27="$/GSF",(('Operating Assumptions'!$M27*AE$25)*'Operating Assumptions'!$D$11)/12,IF('Operating Assumptions'!$L27="$/NSF",(('Operating Assumptions'!$M27*AE$25)*'Operating Assumptions'!$D$12)/12))))))))</f>
        <v>0</v>
      </c>
      <c r="AF99" s="427">
        <f>-IF(AF$9&lt;'Operating Assumptions'!$D$53,0,IF(AF$6&gt;'Operating Assumptions'!$AA$8,0,IF('Operating Assumptions'!$L27="N/A",0,IF('Operating Assumptions'!$L27="$/Unit/Annual",(('Operating Assumptions'!$M27*AF$25)*AF$36)/12,IF('Operating Assumptions'!$L27="$/Unit/Month",('Operating Assumptions'!$M27*AF$25)*AF$36,IF('Operating Assumptions'!$L27="Fixed Amount",('Operating Assumptions'!$M27*AF$25)/12,IF('Operating Assumptions'!$L27="$/GSF",(('Operating Assumptions'!$M27*AF$25)*'Operating Assumptions'!$D$11)/12,IF('Operating Assumptions'!$L27="$/NSF",(('Operating Assumptions'!$M27*AF$25)*'Operating Assumptions'!$D$12)/12))))))))</f>
        <v>0</v>
      </c>
      <c r="AG99" s="427">
        <f>-IF(AG$9&lt;'Operating Assumptions'!$D$53,0,IF(AG$6&gt;'Operating Assumptions'!$AA$8,0,IF('Operating Assumptions'!$L27="N/A",0,IF('Operating Assumptions'!$L27="$/Unit/Annual",(('Operating Assumptions'!$M27*AG$25)*AG$36)/12,IF('Operating Assumptions'!$L27="$/Unit/Month",('Operating Assumptions'!$M27*AG$25)*AG$36,IF('Operating Assumptions'!$L27="Fixed Amount",('Operating Assumptions'!$M27*AG$25)/12,IF('Operating Assumptions'!$L27="$/GSF",(('Operating Assumptions'!$M27*AG$25)*'Operating Assumptions'!$D$11)/12,IF('Operating Assumptions'!$L27="$/NSF",(('Operating Assumptions'!$M27*AG$25)*'Operating Assumptions'!$D$12)/12))))))))</f>
        <v>0</v>
      </c>
      <c r="AH99" s="427">
        <f>-IF(AH$9&lt;'Operating Assumptions'!$D$53,0,IF(AH$6&gt;'Operating Assumptions'!$AA$8,0,IF('Operating Assumptions'!$L27="N/A",0,IF('Operating Assumptions'!$L27="$/Unit/Annual",(('Operating Assumptions'!$M27*AH$25)*AH$36)/12,IF('Operating Assumptions'!$L27="$/Unit/Month",('Operating Assumptions'!$M27*AH$25)*AH$36,IF('Operating Assumptions'!$L27="Fixed Amount",('Operating Assumptions'!$M27*AH$25)/12,IF('Operating Assumptions'!$L27="$/GSF",(('Operating Assumptions'!$M27*AH$25)*'Operating Assumptions'!$D$11)/12,IF('Operating Assumptions'!$L27="$/NSF",(('Operating Assumptions'!$M27*AH$25)*'Operating Assumptions'!$D$12)/12))))))))</f>
        <v>0</v>
      </c>
      <c r="AI99" s="427">
        <f>-IF(AI$9&lt;'Operating Assumptions'!$D$53,0,IF(AI$6&gt;'Operating Assumptions'!$AA$8,0,IF('Operating Assumptions'!$L27="N/A",0,IF('Operating Assumptions'!$L27="$/Unit/Annual",(('Operating Assumptions'!$M27*AI$25)*AI$36)/12,IF('Operating Assumptions'!$L27="$/Unit/Month",('Operating Assumptions'!$M27*AI$25)*AI$36,IF('Operating Assumptions'!$L27="Fixed Amount",('Operating Assumptions'!$M27*AI$25)/12,IF('Operating Assumptions'!$L27="$/GSF",(('Operating Assumptions'!$M27*AI$25)*'Operating Assumptions'!$D$11)/12,IF('Operating Assumptions'!$L27="$/NSF",(('Operating Assumptions'!$M27*AI$25)*'Operating Assumptions'!$D$12)/12))))))))</f>
        <v>0</v>
      </c>
      <c r="AJ99" s="427">
        <f>-IF(AJ$9&lt;'Operating Assumptions'!$D$53,0,IF(AJ$6&gt;'Operating Assumptions'!$AA$8,0,IF('Operating Assumptions'!$L27="N/A",0,IF('Operating Assumptions'!$L27="$/Unit/Annual",(('Operating Assumptions'!$M27*AJ$25)*AJ$36)/12,IF('Operating Assumptions'!$L27="$/Unit/Month",('Operating Assumptions'!$M27*AJ$25)*AJ$36,IF('Operating Assumptions'!$L27="Fixed Amount",('Operating Assumptions'!$M27*AJ$25)/12,IF('Operating Assumptions'!$L27="$/GSF",(('Operating Assumptions'!$M27*AJ$25)*'Operating Assumptions'!$D$11)/12,IF('Operating Assumptions'!$L27="$/NSF",(('Operating Assumptions'!$M27*AJ$25)*'Operating Assumptions'!$D$12)/12))))))))</f>
        <v>0</v>
      </c>
      <c r="AK99" s="427">
        <f>-IF(AK$9&lt;'Operating Assumptions'!$D$53,0,IF(AK$6&gt;'Operating Assumptions'!$AA$8,0,IF('Operating Assumptions'!$L27="N/A",0,IF('Operating Assumptions'!$L27="$/Unit/Annual",(('Operating Assumptions'!$M27*AK$25)*AK$36)/12,IF('Operating Assumptions'!$L27="$/Unit/Month",('Operating Assumptions'!$M27*AK$25)*AK$36,IF('Operating Assumptions'!$L27="Fixed Amount",('Operating Assumptions'!$M27*AK$25)/12,IF('Operating Assumptions'!$L27="$/GSF",(('Operating Assumptions'!$M27*AK$25)*'Operating Assumptions'!$D$11)/12,IF('Operating Assumptions'!$L27="$/NSF",(('Operating Assumptions'!$M27*AK$25)*'Operating Assumptions'!$D$12)/12))))))))</f>
        <v>0</v>
      </c>
      <c r="AL99" s="427">
        <f>-IF(AL$9&lt;'Operating Assumptions'!$D$53,0,IF(AL$6&gt;'Operating Assumptions'!$AA$8,0,IF('Operating Assumptions'!$L27="N/A",0,IF('Operating Assumptions'!$L27="$/Unit/Annual",(('Operating Assumptions'!$M27*AL$25)*AL$36)/12,IF('Operating Assumptions'!$L27="$/Unit/Month",('Operating Assumptions'!$M27*AL$25)*AL$36,IF('Operating Assumptions'!$L27="Fixed Amount",('Operating Assumptions'!$M27*AL$25)/12,IF('Operating Assumptions'!$L27="$/GSF",(('Operating Assumptions'!$M27*AL$25)*'Operating Assumptions'!$D$11)/12,IF('Operating Assumptions'!$L27="$/NSF",(('Operating Assumptions'!$M27*AL$25)*'Operating Assumptions'!$D$12)/12))))))))</f>
        <v>0</v>
      </c>
      <c r="AM99" s="427">
        <f>-IF(AM$9&lt;'Operating Assumptions'!$D$53,0,IF(AM$6&gt;'Operating Assumptions'!$AA$8,0,IF('Operating Assumptions'!$L27="N/A",0,IF('Operating Assumptions'!$L27="$/Unit/Annual",(('Operating Assumptions'!$M27*AM$25)*AM$36)/12,IF('Operating Assumptions'!$L27="$/Unit/Month",('Operating Assumptions'!$M27*AM$25)*AM$36,IF('Operating Assumptions'!$L27="Fixed Amount",('Operating Assumptions'!$M27*AM$25)/12,IF('Operating Assumptions'!$L27="$/GSF",(('Operating Assumptions'!$M27*AM$25)*'Operating Assumptions'!$D$11)/12,IF('Operating Assumptions'!$L27="$/NSF",(('Operating Assumptions'!$M27*AM$25)*'Operating Assumptions'!$D$12)/12))))))))</f>
        <v>0</v>
      </c>
      <c r="AN99" s="427">
        <f>-IF(AN$9&lt;'Operating Assumptions'!$D$53,0,IF(AN$6&gt;'Operating Assumptions'!$AA$8,0,IF('Operating Assumptions'!$L27="N/A",0,IF('Operating Assumptions'!$L27="$/Unit/Annual",(('Operating Assumptions'!$M27*AN$25)*AN$36)/12,IF('Operating Assumptions'!$L27="$/Unit/Month",('Operating Assumptions'!$M27*AN$25)*AN$36,IF('Operating Assumptions'!$L27="Fixed Amount",('Operating Assumptions'!$M27*AN$25)/12,IF('Operating Assumptions'!$L27="$/GSF",(('Operating Assumptions'!$M27*AN$25)*'Operating Assumptions'!$D$11)/12,IF('Operating Assumptions'!$L27="$/NSF",(('Operating Assumptions'!$M27*AN$25)*'Operating Assumptions'!$D$12)/12))))))))</f>
        <v>0</v>
      </c>
      <c r="AO99" s="427">
        <f>-IF(AO$9&lt;'Operating Assumptions'!$D$53,0,IF(AO$6&gt;'Operating Assumptions'!$AA$8,0,IF('Operating Assumptions'!$L27="N/A",0,IF('Operating Assumptions'!$L27="$/Unit/Annual",(('Operating Assumptions'!$M27*AO$25)*AO$36)/12,IF('Operating Assumptions'!$L27="$/Unit/Month",('Operating Assumptions'!$M27*AO$25)*AO$36,IF('Operating Assumptions'!$L27="Fixed Amount",('Operating Assumptions'!$M27*AO$25)/12,IF('Operating Assumptions'!$L27="$/GSF",(('Operating Assumptions'!$M27*AO$25)*'Operating Assumptions'!$D$11)/12,IF('Operating Assumptions'!$L27="$/NSF",(('Operating Assumptions'!$M27*AO$25)*'Operating Assumptions'!$D$12)/12))))))))</f>
        <v>0</v>
      </c>
      <c r="AP99" s="427">
        <f>-IF(AP$9&lt;'Operating Assumptions'!$D$53,0,IF(AP$6&gt;'Operating Assumptions'!$AA$8,0,IF('Operating Assumptions'!$L27="N/A",0,IF('Operating Assumptions'!$L27="$/Unit/Annual",(('Operating Assumptions'!$M27*AP$25)*AP$36)/12,IF('Operating Assumptions'!$L27="$/Unit/Month",('Operating Assumptions'!$M27*AP$25)*AP$36,IF('Operating Assumptions'!$L27="Fixed Amount",('Operating Assumptions'!$M27*AP$25)/12,IF('Operating Assumptions'!$L27="$/GSF",(('Operating Assumptions'!$M27*AP$25)*'Operating Assumptions'!$D$11)/12,IF('Operating Assumptions'!$L27="$/NSF",(('Operating Assumptions'!$M27*AP$25)*'Operating Assumptions'!$D$12)/12))))))))</f>
        <v>0</v>
      </c>
      <c r="AQ99" s="427">
        <f>-IF(AQ$9&lt;'Operating Assumptions'!$D$53,0,IF(AQ$6&gt;'Operating Assumptions'!$AA$8,0,IF('Operating Assumptions'!$L27="N/A",0,IF('Operating Assumptions'!$L27="$/Unit/Annual",(('Operating Assumptions'!$M27*AQ$25)*AQ$36)/12,IF('Operating Assumptions'!$L27="$/Unit/Month",('Operating Assumptions'!$M27*AQ$25)*AQ$36,IF('Operating Assumptions'!$L27="Fixed Amount",('Operating Assumptions'!$M27*AQ$25)/12,IF('Operating Assumptions'!$L27="$/GSF",(('Operating Assumptions'!$M27*AQ$25)*'Operating Assumptions'!$D$11)/12,IF('Operating Assumptions'!$L27="$/NSF",(('Operating Assumptions'!$M27*AQ$25)*'Operating Assumptions'!$D$12)/12))))))))</f>
        <v>0</v>
      </c>
      <c r="AR99" s="427">
        <f>-IF(AR$9&lt;'Operating Assumptions'!$D$53,0,IF(AR$6&gt;'Operating Assumptions'!$AA$8,0,IF('Operating Assumptions'!$L27="N/A",0,IF('Operating Assumptions'!$L27="$/Unit/Annual",(('Operating Assumptions'!$M27*AR$25)*AR$36)/12,IF('Operating Assumptions'!$L27="$/Unit/Month",('Operating Assumptions'!$M27*AR$25)*AR$36,IF('Operating Assumptions'!$L27="Fixed Amount",('Operating Assumptions'!$M27*AR$25)/12,IF('Operating Assumptions'!$L27="$/GSF",(('Operating Assumptions'!$M27*AR$25)*'Operating Assumptions'!$D$11)/12,IF('Operating Assumptions'!$L27="$/NSF",(('Operating Assumptions'!$M27*AR$25)*'Operating Assumptions'!$D$12)/12))))))))</f>
        <v>0</v>
      </c>
      <c r="AS99" s="427">
        <f>-IF(AS$9&lt;'Operating Assumptions'!$D$53,0,IF(AS$6&gt;'Operating Assumptions'!$AA$8,0,IF('Operating Assumptions'!$L27="N/A",0,IF('Operating Assumptions'!$L27="$/Unit/Annual",(('Operating Assumptions'!$M27*AS$25)*AS$36)/12,IF('Operating Assumptions'!$L27="$/Unit/Month",('Operating Assumptions'!$M27*AS$25)*AS$36,IF('Operating Assumptions'!$L27="Fixed Amount",('Operating Assumptions'!$M27*AS$25)/12,IF('Operating Assumptions'!$L27="$/GSF",(('Operating Assumptions'!$M27*AS$25)*'Operating Assumptions'!$D$11)/12,IF('Operating Assumptions'!$L27="$/NSF",(('Operating Assumptions'!$M27*AS$25)*'Operating Assumptions'!$D$12)/12))))))))</f>
        <v>0</v>
      </c>
      <c r="AT99" s="427">
        <f>-IF(AT$9&lt;'Operating Assumptions'!$D$53,0,IF(AT$6&gt;'Operating Assumptions'!$AA$8,0,IF('Operating Assumptions'!$L27="N/A",0,IF('Operating Assumptions'!$L27="$/Unit/Annual",(('Operating Assumptions'!$M27*AT$25)*AT$36)/12,IF('Operating Assumptions'!$L27="$/Unit/Month",('Operating Assumptions'!$M27*AT$25)*AT$36,IF('Operating Assumptions'!$L27="Fixed Amount",('Operating Assumptions'!$M27*AT$25)/12,IF('Operating Assumptions'!$L27="$/GSF",(('Operating Assumptions'!$M27*AT$25)*'Operating Assumptions'!$D$11)/12,IF('Operating Assumptions'!$L27="$/NSF",(('Operating Assumptions'!$M27*AT$25)*'Operating Assumptions'!$D$12)/12))))))))</f>
        <v>0</v>
      </c>
      <c r="AU99" s="427">
        <f>-IF(AU$9&lt;'Operating Assumptions'!$D$53,0,IF(AU$6&gt;'Operating Assumptions'!$AA$8,0,IF('Operating Assumptions'!$L27="N/A",0,IF('Operating Assumptions'!$L27="$/Unit/Annual",(('Operating Assumptions'!$M27*AU$25)*AU$36)/12,IF('Operating Assumptions'!$L27="$/Unit/Month",('Operating Assumptions'!$M27*AU$25)*AU$36,IF('Operating Assumptions'!$L27="Fixed Amount",('Operating Assumptions'!$M27*AU$25)/12,IF('Operating Assumptions'!$L27="$/GSF",(('Operating Assumptions'!$M27*AU$25)*'Operating Assumptions'!$D$11)/12,IF('Operating Assumptions'!$L27="$/NSF",(('Operating Assumptions'!$M27*AU$25)*'Operating Assumptions'!$D$12)/12))))))))</f>
        <v>0</v>
      </c>
      <c r="AV99" s="427">
        <f>-IF(AV$9&lt;'Operating Assumptions'!$D$53,0,IF(AV$6&gt;'Operating Assumptions'!$AA$8,0,IF('Operating Assumptions'!$L27="N/A",0,IF('Operating Assumptions'!$L27="$/Unit/Annual",(('Operating Assumptions'!$M27*AV$25)*AV$36)/12,IF('Operating Assumptions'!$L27="$/Unit/Month",('Operating Assumptions'!$M27*AV$25)*AV$36,IF('Operating Assumptions'!$L27="Fixed Amount",('Operating Assumptions'!$M27*AV$25)/12,IF('Operating Assumptions'!$L27="$/GSF",(('Operating Assumptions'!$M27*AV$25)*'Operating Assumptions'!$D$11)/12,IF('Operating Assumptions'!$L27="$/NSF",(('Operating Assumptions'!$M27*AV$25)*'Operating Assumptions'!$D$12)/12))))))))</f>
        <v>0</v>
      </c>
      <c r="AW99" s="427">
        <f>-IF(AW$9&lt;'Operating Assumptions'!$D$53,0,IF(AW$6&gt;'Operating Assumptions'!$AA$8,0,IF('Operating Assumptions'!$L27="N/A",0,IF('Operating Assumptions'!$L27="$/Unit/Annual",(('Operating Assumptions'!$M27*AW$25)*AW$36)/12,IF('Operating Assumptions'!$L27="$/Unit/Month",('Operating Assumptions'!$M27*AW$25)*AW$36,IF('Operating Assumptions'!$L27="Fixed Amount",('Operating Assumptions'!$M27*AW$25)/12,IF('Operating Assumptions'!$L27="$/GSF",(('Operating Assumptions'!$M27*AW$25)*'Operating Assumptions'!$D$11)/12,IF('Operating Assumptions'!$L27="$/NSF",(('Operating Assumptions'!$M27*AW$25)*'Operating Assumptions'!$D$12)/12))))))))</f>
        <v>0</v>
      </c>
      <c r="AX99" s="427">
        <f>-IF(AX$9&lt;'Operating Assumptions'!$D$53,0,IF(AX$6&gt;'Operating Assumptions'!$AA$8,0,IF('Operating Assumptions'!$L27="N/A",0,IF('Operating Assumptions'!$L27="$/Unit/Annual",(('Operating Assumptions'!$M27*AX$25)*AX$36)/12,IF('Operating Assumptions'!$L27="$/Unit/Month",('Operating Assumptions'!$M27*AX$25)*AX$36,IF('Operating Assumptions'!$L27="Fixed Amount",('Operating Assumptions'!$M27*AX$25)/12,IF('Operating Assumptions'!$L27="$/GSF",(('Operating Assumptions'!$M27*AX$25)*'Operating Assumptions'!$D$11)/12,IF('Operating Assumptions'!$L27="$/NSF",(('Operating Assumptions'!$M27*AX$25)*'Operating Assumptions'!$D$12)/12))))))))</f>
        <v>0</v>
      </c>
      <c r="AY99" s="427">
        <f>-IF(AY$9&lt;'Operating Assumptions'!$D$53,0,IF(AY$6&gt;'Operating Assumptions'!$AA$8,0,IF('Operating Assumptions'!$L27="N/A",0,IF('Operating Assumptions'!$L27="$/Unit/Annual",(('Operating Assumptions'!$M27*AY$25)*AY$36)/12,IF('Operating Assumptions'!$L27="$/Unit/Month",('Operating Assumptions'!$M27*AY$25)*AY$36,IF('Operating Assumptions'!$L27="Fixed Amount",('Operating Assumptions'!$M27*AY$25)/12,IF('Operating Assumptions'!$L27="$/GSF",(('Operating Assumptions'!$M27*AY$25)*'Operating Assumptions'!$D$11)/12,IF('Operating Assumptions'!$L27="$/NSF",(('Operating Assumptions'!$M27*AY$25)*'Operating Assumptions'!$D$12)/12))))))))</f>
        <v>0</v>
      </c>
      <c r="AZ99" s="427">
        <f>-IF(AZ$9&lt;'Operating Assumptions'!$D$53,0,IF(AZ$6&gt;'Operating Assumptions'!$AA$8,0,IF('Operating Assumptions'!$L27="N/A",0,IF('Operating Assumptions'!$L27="$/Unit/Annual",(('Operating Assumptions'!$M27*AZ$25)*AZ$36)/12,IF('Operating Assumptions'!$L27="$/Unit/Month",('Operating Assumptions'!$M27*AZ$25)*AZ$36,IF('Operating Assumptions'!$L27="Fixed Amount",('Operating Assumptions'!$M27*AZ$25)/12,IF('Operating Assumptions'!$L27="$/GSF",(('Operating Assumptions'!$M27*AZ$25)*'Operating Assumptions'!$D$11)/12,IF('Operating Assumptions'!$L27="$/NSF",(('Operating Assumptions'!$M27*AZ$25)*'Operating Assumptions'!$D$12)/12))))))))</f>
        <v>0</v>
      </c>
      <c r="BA99" s="427">
        <f>-IF(BA$9&lt;'Operating Assumptions'!$D$53,0,IF(BA$6&gt;'Operating Assumptions'!$AA$8,0,IF('Operating Assumptions'!$L27="N/A",0,IF('Operating Assumptions'!$L27="$/Unit/Annual",(('Operating Assumptions'!$M27*BA$25)*BA$36)/12,IF('Operating Assumptions'!$L27="$/Unit/Month",('Operating Assumptions'!$M27*BA$25)*BA$36,IF('Operating Assumptions'!$L27="Fixed Amount",('Operating Assumptions'!$M27*BA$25)/12,IF('Operating Assumptions'!$L27="$/GSF",(('Operating Assumptions'!$M27*BA$25)*'Operating Assumptions'!$D$11)/12,IF('Operating Assumptions'!$L27="$/NSF",(('Operating Assumptions'!$M27*BA$25)*'Operating Assumptions'!$D$12)/12))))))))</f>
        <v>0</v>
      </c>
      <c r="BB99" s="427">
        <f>-IF(BB$9&lt;'Operating Assumptions'!$D$53,0,IF(BB$6&gt;'Operating Assumptions'!$AA$8,0,IF('Operating Assumptions'!$L27="N/A",0,IF('Operating Assumptions'!$L27="$/Unit/Annual",(('Operating Assumptions'!$M27*BB$25)*BB$36)/12,IF('Operating Assumptions'!$L27="$/Unit/Month",('Operating Assumptions'!$M27*BB$25)*BB$36,IF('Operating Assumptions'!$L27="Fixed Amount",('Operating Assumptions'!$M27*BB$25)/12,IF('Operating Assumptions'!$L27="$/GSF",(('Operating Assumptions'!$M27*BB$25)*'Operating Assumptions'!$D$11)/12,IF('Operating Assumptions'!$L27="$/NSF",(('Operating Assumptions'!$M27*BB$25)*'Operating Assumptions'!$D$12)/12))))))))</f>
        <v>0</v>
      </c>
      <c r="BC99" s="427">
        <f>-IF(BC$9&lt;'Operating Assumptions'!$D$53,0,IF(BC$6&gt;'Operating Assumptions'!$AA$8,0,IF('Operating Assumptions'!$L27="N/A",0,IF('Operating Assumptions'!$L27="$/Unit/Annual",(('Operating Assumptions'!$M27*BC$25)*BC$36)/12,IF('Operating Assumptions'!$L27="$/Unit/Month",('Operating Assumptions'!$M27*BC$25)*BC$36,IF('Operating Assumptions'!$L27="Fixed Amount",('Operating Assumptions'!$M27*BC$25)/12,IF('Operating Assumptions'!$L27="$/GSF",(('Operating Assumptions'!$M27*BC$25)*'Operating Assumptions'!$D$11)/12,IF('Operating Assumptions'!$L27="$/NSF",(('Operating Assumptions'!$M27*BC$25)*'Operating Assumptions'!$D$12)/12))))))))</f>
        <v>0</v>
      </c>
      <c r="BD99" s="427">
        <f>-IF(BD$9&lt;'Operating Assumptions'!$D$53,0,IF(BD$6&gt;'Operating Assumptions'!$AA$8,0,IF('Operating Assumptions'!$L27="N/A",0,IF('Operating Assumptions'!$L27="$/Unit/Annual",(('Operating Assumptions'!$M27*BD$25)*BD$36)/12,IF('Operating Assumptions'!$L27="$/Unit/Month",('Operating Assumptions'!$M27*BD$25)*BD$36,IF('Operating Assumptions'!$L27="Fixed Amount",('Operating Assumptions'!$M27*BD$25)/12,IF('Operating Assumptions'!$L27="$/GSF",(('Operating Assumptions'!$M27*BD$25)*'Operating Assumptions'!$D$11)/12,IF('Operating Assumptions'!$L27="$/NSF",(('Operating Assumptions'!$M27*BD$25)*'Operating Assumptions'!$D$12)/12))))))))</f>
        <v>0</v>
      </c>
      <c r="BE99" s="427">
        <f>-IF(BE$9&lt;'Operating Assumptions'!$D$53,0,IF(BE$6&gt;'Operating Assumptions'!$AA$8,0,IF('Operating Assumptions'!$L27="N/A",0,IF('Operating Assumptions'!$L27="$/Unit/Annual",(('Operating Assumptions'!$M27*BE$25)*BE$36)/12,IF('Operating Assumptions'!$L27="$/Unit/Month",('Operating Assumptions'!$M27*BE$25)*BE$36,IF('Operating Assumptions'!$L27="Fixed Amount",('Operating Assumptions'!$M27*BE$25)/12,IF('Operating Assumptions'!$L27="$/GSF",(('Operating Assumptions'!$M27*BE$25)*'Operating Assumptions'!$D$11)/12,IF('Operating Assumptions'!$L27="$/NSF",(('Operating Assumptions'!$M27*BE$25)*'Operating Assumptions'!$D$12)/12))))))))</f>
        <v>0</v>
      </c>
      <c r="BF99" s="427">
        <f>-IF(BF$9&lt;'Operating Assumptions'!$D$53,0,IF(BF$6&gt;'Operating Assumptions'!$AA$8,0,IF('Operating Assumptions'!$L27="N/A",0,IF('Operating Assumptions'!$L27="$/Unit/Annual",(('Operating Assumptions'!$M27*BF$25)*BF$36)/12,IF('Operating Assumptions'!$L27="$/Unit/Month",('Operating Assumptions'!$M27*BF$25)*BF$36,IF('Operating Assumptions'!$L27="Fixed Amount",('Operating Assumptions'!$M27*BF$25)/12,IF('Operating Assumptions'!$L27="$/GSF",(('Operating Assumptions'!$M27*BF$25)*'Operating Assumptions'!$D$11)/12,IF('Operating Assumptions'!$L27="$/NSF",(('Operating Assumptions'!$M27*BF$25)*'Operating Assumptions'!$D$12)/12))))))))</f>
        <v>0</v>
      </c>
      <c r="BG99" s="427">
        <f>-IF(BG$9&lt;'Operating Assumptions'!$D$53,0,IF(BG$6&gt;'Operating Assumptions'!$AA$8,0,IF('Operating Assumptions'!$L27="N/A",0,IF('Operating Assumptions'!$L27="$/Unit/Annual",(('Operating Assumptions'!$M27*BG$25)*BG$36)/12,IF('Operating Assumptions'!$L27="$/Unit/Month",('Operating Assumptions'!$M27*BG$25)*BG$36,IF('Operating Assumptions'!$L27="Fixed Amount",('Operating Assumptions'!$M27*BG$25)/12,IF('Operating Assumptions'!$L27="$/GSF",(('Operating Assumptions'!$M27*BG$25)*'Operating Assumptions'!$D$11)/12,IF('Operating Assumptions'!$L27="$/NSF",(('Operating Assumptions'!$M27*BG$25)*'Operating Assumptions'!$D$12)/12))))))))</f>
        <v>0</v>
      </c>
      <c r="BH99" s="427">
        <f>-IF(BH$9&lt;'Operating Assumptions'!$D$53,0,IF(BH$6&gt;'Operating Assumptions'!$AA$8,0,IF('Operating Assumptions'!$L27="N/A",0,IF('Operating Assumptions'!$L27="$/Unit/Annual",(('Operating Assumptions'!$M27*BH$25)*BH$36)/12,IF('Operating Assumptions'!$L27="$/Unit/Month",('Operating Assumptions'!$M27*BH$25)*BH$36,IF('Operating Assumptions'!$L27="Fixed Amount",('Operating Assumptions'!$M27*BH$25)/12,IF('Operating Assumptions'!$L27="$/GSF",(('Operating Assumptions'!$M27*BH$25)*'Operating Assumptions'!$D$11)/12,IF('Operating Assumptions'!$L27="$/NSF",(('Operating Assumptions'!$M27*BH$25)*'Operating Assumptions'!$D$12)/12))))))))</f>
        <v>0</v>
      </c>
      <c r="BI99" s="427">
        <f>-IF(BI$9&lt;'Operating Assumptions'!$D$53,0,IF(BI$6&gt;'Operating Assumptions'!$AA$8,0,IF('Operating Assumptions'!$L27="N/A",0,IF('Operating Assumptions'!$L27="$/Unit/Annual",(('Operating Assumptions'!$M27*BI$25)*BI$36)/12,IF('Operating Assumptions'!$L27="$/Unit/Month",('Operating Assumptions'!$M27*BI$25)*BI$36,IF('Operating Assumptions'!$L27="Fixed Amount",('Operating Assumptions'!$M27*BI$25)/12,IF('Operating Assumptions'!$L27="$/GSF",(('Operating Assumptions'!$M27*BI$25)*'Operating Assumptions'!$D$11)/12,IF('Operating Assumptions'!$L27="$/NSF",(('Operating Assumptions'!$M27*BI$25)*'Operating Assumptions'!$D$12)/12))))))))</f>
        <v>0</v>
      </c>
      <c r="BJ99" s="427">
        <f>-IF(BJ$9&lt;'Operating Assumptions'!$D$53,0,IF(BJ$6&gt;'Operating Assumptions'!$AA$8,0,IF('Operating Assumptions'!$L27="N/A",0,IF('Operating Assumptions'!$L27="$/Unit/Annual",(('Operating Assumptions'!$M27*BJ$25)*BJ$36)/12,IF('Operating Assumptions'!$L27="$/Unit/Month",('Operating Assumptions'!$M27*BJ$25)*BJ$36,IF('Operating Assumptions'!$L27="Fixed Amount",('Operating Assumptions'!$M27*BJ$25)/12,IF('Operating Assumptions'!$L27="$/GSF",(('Operating Assumptions'!$M27*BJ$25)*'Operating Assumptions'!$D$11)/12,IF('Operating Assumptions'!$L27="$/NSF",(('Operating Assumptions'!$M27*BJ$25)*'Operating Assumptions'!$D$12)/12))))))))</f>
        <v>0</v>
      </c>
      <c r="BK99" s="427">
        <f>-IF(BK$9&lt;'Operating Assumptions'!$D$53,0,IF(BK$6&gt;'Operating Assumptions'!$AA$8,0,IF('Operating Assumptions'!$L27="N/A",0,IF('Operating Assumptions'!$L27="$/Unit/Annual",(('Operating Assumptions'!$M27*BK$25)*BK$36)/12,IF('Operating Assumptions'!$L27="$/Unit/Month",('Operating Assumptions'!$M27*BK$25)*BK$36,IF('Operating Assumptions'!$L27="Fixed Amount",('Operating Assumptions'!$M27*BK$25)/12,IF('Operating Assumptions'!$L27="$/GSF",(('Operating Assumptions'!$M27*BK$25)*'Operating Assumptions'!$D$11)/12,IF('Operating Assumptions'!$L27="$/NSF",(('Operating Assumptions'!$M27*BK$25)*'Operating Assumptions'!$D$12)/12))))))))</f>
        <v>0</v>
      </c>
      <c r="BL99" s="427">
        <f>-IF(BL$9&lt;'Operating Assumptions'!$D$53,0,IF(BL$6&gt;'Operating Assumptions'!$AA$8,0,IF('Operating Assumptions'!$L27="N/A",0,IF('Operating Assumptions'!$L27="$/Unit/Annual",(('Operating Assumptions'!$M27*BL$25)*BL$36)/12,IF('Operating Assumptions'!$L27="$/Unit/Month",('Operating Assumptions'!$M27*BL$25)*BL$36,IF('Operating Assumptions'!$L27="Fixed Amount",('Operating Assumptions'!$M27*BL$25)/12,IF('Operating Assumptions'!$L27="$/GSF",(('Operating Assumptions'!$M27*BL$25)*'Operating Assumptions'!$D$11)/12,IF('Operating Assumptions'!$L27="$/NSF",(('Operating Assumptions'!$M27*BL$25)*'Operating Assumptions'!$D$12)/12))))))))</f>
        <v>0</v>
      </c>
      <c r="BM99" s="427">
        <f>-IF(BM$9&lt;'Operating Assumptions'!$D$53,0,IF(BM$6&gt;'Operating Assumptions'!$AA$8,0,IF('Operating Assumptions'!$L27="N/A",0,IF('Operating Assumptions'!$L27="$/Unit/Annual",(('Operating Assumptions'!$M27*BM$25)*BM$36)/12,IF('Operating Assumptions'!$L27="$/Unit/Month",('Operating Assumptions'!$M27*BM$25)*BM$36,IF('Operating Assumptions'!$L27="Fixed Amount",('Operating Assumptions'!$M27*BM$25)/12,IF('Operating Assumptions'!$L27="$/GSF",(('Operating Assumptions'!$M27*BM$25)*'Operating Assumptions'!$D$11)/12,IF('Operating Assumptions'!$L27="$/NSF",(('Operating Assumptions'!$M27*BM$25)*'Operating Assumptions'!$D$12)/12))))))))</f>
        <v>0</v>
      </c>
      <c r="BN99" s="427">
        <f>-IF(BN$9&lt;'Operating Assumptions'!$D$53,0,IF(BN$6&gt;'Operating Assumptions'!$AA$8,0,IF('Operating Assumptions'!$L27="N/A",0,IF('Operating Assumptions'!$L27="$/Unit/Annual",(('Operating Assumptions'!$M27*BN$25)*BN$36)/12,IF('Operating Assumptions'!$L27="$/Unit/Month",('Operating Assumptions'!$M27*BN$25)*BN$36,IF('Operating Assumptions'!$L27="Fixed Amount",('Operating Assumptions'!$M27*BN$25)/12,IF('Operating Assumptions'!$L27="$/GSF",(('Operating Assumptions'!$M27*BN$25)*'Operating Assumptions'!$D$11)/12,IF('Operating Assumptions'!$L27="$/NSF",(('Operating Assumptions'!$M27*BN$25)*'Operating Assumptions'!$D$12)/12))))))))</f>
        <v>0</v>
      </c>
      <c r="BO99" s="427">
        <f>-IF(BO$9&lt;'Operating Assumptions'!$D$53,0,IF(BO$6&gt;'Operating Assumptions'!$AA$8,0,IF('Operating Assumptions'!$L27="N/A",0,IF('Operating Assumptions'!$L27="$/Unit/Annual",(('Operating Assumptions'!$M27*BO$25)*BO$36)/12,IF('Operating Assumptions'!$L27="$/Unit/Month",('Operating Assumptions'!$M27*BO$25)*BO$36,IF('Operating Assumptions'!$L27="Fixed Amount",('Operating Assumptions'!$M27*BO$25)/12,IF('Operating Assumptions'!$L27="$/GSF",(('Operating Assumptions'!$M27*BO$25)*'Operating Assumptions'!$D$11)/12,IF('Operating Assumptions'!$L27="$/NSF",(('Operating Assumptions'!$M27*BO$25)*'Operating Assumptions'!$D$12)/12))))))))</f>
        <v>0</v>
      </c>
      <c r="BP99" s="427">
        <f>-IF(BP$9&lt;'Operating Assumptions'!$D$53,0,IF(BP$6&gt;'Operating Assumptions'!$AA$8,0,IF('Operating Assumptions'!$L27="N/A",0,IF('Operating Assumptions'!$L27="$/Unit/Annual",(('Operating Assumptions'!$M27*BP$25)*BP$36)/12,IF('Operating Assumptions'!$L27="$/Unit/Month",('Operating Assumptions'!$M27*BP$25)*BP$36,IF('Operating Assumptions'!$L27="Fixed Amount",('Operating Assumptions'!$M27*BP$25)/12,IF('Operating Assumptions'!$L27="$/GSF",(('Operating Assumptions'!$M27*BP$25)*'Operating Assumptions'!$D$11)/12,IF('Operating Assumptions'!$L27="$/NSF",(('Operating Assumptions'!$M27*BP$25)*'Operating Assumptions'!$D$12)/12))))))))</f>
        <v>0</v>
      </c>
      <c r="BQ99" s="427">
        <f>-IF(BQ$9&lt;'Operating Assumptions'!$D$53,0,IF(BQ$6&gt;'Operating Assumptions'!$AA$8,0,IF('Operating Assumptions'!$L27="N/A",0,IF('Operating Assumptions'!$L27="$/Unit/Annual",(('Operating Assumptions'!$M27*BQ$25)*BQ$36)/12,IF('Operating Assumptions'!$L27="$/Unit/Month",('Operating Assumptions'!$M27*BQ$25)*BQ$36,IF('Operating Assumptions'!$L27="Fixed Amount",('Operating Assumptions'!$M27*BQ$25)/12,IF('Operating Assumptions'!$L27="$/GSF",(('Operating Assumptions'!$M27*BQ$25)*'Operating Assumptions'!$D$11)/12,IF('Operating Assumptions'!$L27="$/NSF",(('Operating Assumptions'!$M27*BQ$25)*'Operating Assumptions'!$D$12)/12))))))))</f>
        <v>0</v>
      </c>
      <c r="BR99" s="427">
        <f>-IF(BR$9&lt;'Operating Assumptions'!$D$53,0,IF(BR$6&gt;'Operating Assumptions'!$AA$8,0,IF('Operating Assumptions'!$L27="N/A",0,IF('Operating Assumptions'!$L27="$/Unit/Annual",(('Operating Assumptions'!$M27*BR$25)*BR$36)/12,IF('Operating Assumptions'!$L27="$/Unit/Month",('Operating Assumptions'!$M27*BR$25)*BR$36,IF('Operating Assumptions'!$L27="Fixed Amount",('Operating Assumptions'!$M27*BR$25)/12,IF('Operating Assumptions'!$L27="$/GSF",(('Operating Assumptions'!$M27*BR$25)*'Operating Assumptions'!$D$11)/12,IF('Operating Assumptions'!$L27="$/NSF",(('Operating Assumptions'!$M27*BR$25)*'Operating Assumptions'!$D$12)/12))))))))</f>
        <v>0</v>
      </c>
      <c r="BS99" s="427">
        <f>-IF(BS$9&lt;'Operating Assumptions'!$D$53,0,IF(BS$6&gt;'Operating Assumptions'!$AA$8,0,IF('Operating Assumptions'!$L27="N/A",0,IF('Operating Assumptions'!$L27="$/Unit/Annual",(('Operating Assumptions'!$M27*BS$25)*BS$36)/12,IF('Operating Assumptions'!$L27="$/Unit/Month",('Operating Assumptions'!$M27*BS$25)*BS$36,IF('Operating Assumptions'!$L27="Fixed Amount",('Operating Assumptions'!$M27*BS$25)/12,IF('Operating Assumptions'!$L27="$/GSF",(('Operating Assumptions'!$M27*BS$25)*'Operating Assumptions'!$D$11)/12,IF('Operating Assumptions'!$L27="$/NSF",(('Operating Assumptions'!$M27*BS$25)*'Operating Assumptions'!$D$12)/12))))))))</f>
        <v>0</v>
      </c>
      <c r="BT99" s="427">
        <f>-IF(BT$9&lt;'Operating Assumptions'!$D$53,0,IF(BT$6&gt;'Operating Assumptions'!$AA$8,0,IF('Operating Assumptions'!$L27="N/A",0,IF('Operating Assumptions'!$L27="$/Unit/Annual",(('Operating Assumptions'!$M27*BT$25)*BT$36)/12,IF('Operating Assumptions'!$L27="$/Unit/Month",('Operating Assumptions'!$M27*BT$25)*BT$36,IF('Operating Assumptions'!$L27="Fixed Amount",('Operating Assumptions'!$M27*BT$25)/12,IF('Operating Assumptions'!$L27="$/GSF",(('Operating Assumptions'!$M27*BT$25)*'Operating Assumptions'!$D$11)/12,IF('Operating Assumptions'!$L27="$/NSF",(('Operating Assumptions'!$M27*BT$25)*'Operating Assumptions'!$D$12)/12))))))))</f>
        <v>0</v>
      </c>
      <c r="BU99" s="427">
        <f>-IF(BU$9&lt;'Operating Assumptions'!$D$53,0,IF(BU$6&gt;'Operating Assumptions'!$AA$8,0,IF('Operating Assumptions'!$L27="N/A",0,IF('Operating Assumptions'!$L27="$/Unit/Annual",(('Operating Assumptions'!$M27*BU$25)*BU$36)/12,IF('Operating Assumptions'!$L27="$/Unit/Month",('Operating Assumptions'!$M27*BU$25)*BU$36,IF('Operating Assumptions'!$L27="Fixed Amount",('Operating Assumptions'!$M27*BU$25)/12,IF('Operating Assumptions'!$L27="$/GSF",(('Operating Assumptions'!$M27*BU$25)*'Operating Assumptions'!$D$11)/12,IF('Operating Assumptions'!$L27="$/NSF",(('Operating Assumptions'!$M27*BU$25)*'Operating Assumptions'!$D$12)/12))))))))</f>
        <v>0</v>
      </c>
      <c r="BV99" s="427">
        <f>-IF(BV$9&lt;'Operating Assumptions'!$D$53,0,IF(BV$6&gt;'Operating Assumptions'!$AA$8,0,IF('Operating Assumptions'!$L27="N/A",0,IF('Operating Assumptions'!$L27="$/Unit/Annual",(('Operating Assumptions'!$M27*BV$25)*BV$36)/12,IF('Operating Assumptions'!$L27="$/Unit/Month",('Operating Assumptions'!$M27*BV$25)*BV$36,IF('Operating Assumptions'!$L27="Fixed Amount",('Operating Assumptions'!$M27*BV$25)/12,IF('Operating Assumptions'!$L27="$/GSF",(('Operating Assumptions'!$M27*BV$25)*'Operating Assumptions'!$D$11)/12,IF('Operating Assumptions'!$L27="$/NSF",(('Operating Assumptions'!$M27*BV$25)*'Operating Assumptions'!$D$12)/12))))))))</f>
        <v>0</v>
      </c>
      <c r="BW99" s="427">
        <f>-IF(BW$9&lt;'Operating Assumptions'!$D$53,0,IF(BW$6&gt;'Operating Assumptions'!$AA$8,0,IF('Operating Assumptions'!$L27="N/A",0,IF('Operating Assumptions'!$L27="$/Unit/Annual",(('Operating Assumptions'!$M27*BW$25)*BW$36)/12,IF('Operating Assumptions'!$L27="$/Unit/Month",('Operating Assumptions'!$M27*BW$25)*BW$36,IF('Operating Assumptions'!$L27="Fixed Amount",('Operating Assumptions'!$M27*BW$25)/12,IF('Operating Assumptions'!$L27="$/GSF",(('Operating Assumptions'!$M27*BW$25)*'Operating Assumptions'!$D$11)/12,IF('Operating Assumptions'!$L27="$/NSF",(('Operating Assumptions'!$M27*BW$25)*'Operating Assumptions'!$D$12)/12))))))))</f>
        <v>0</v>
      </c>
      <c r="BX99" s="427">
        <f>-IF(BX$9&lt;'Operating Assumptions'!$D$53,0,IF(BX$6&gt;'Operating Assumptions'!$AA$8,0,IF('Operating Assumptions'!$L27="N/A",0,IF('Operating Assumptions'!$L27="$/Unit/Annual",(('Operating Assumptions'!$M27*BX$25)*BX$36)/12,IF('Operating Assumptions'!$L27="$/Unit/Month",('Operating Assumptions'!$M27*BX$25)*BX$36,IF('Operating Assumptions'!$L27="Fixed Amount",('Operating Assumptions'!$M27*BX$25)/12,IF('Operating Assumptions'!$L27="$/GSF",(('Operating Assumptions'!$M27*BX$25)*'Operating Assumptions'!$D$11)/12,IF('Operating Assumptions'!$L27="$/NSF",(('Operating Assumptions'!$M27*BX$25)*'Operating Assumptions'!$D$12)/12))))))))</f>
        <v>0</v>
      </c>
      <c r="BY99" s="427">
        <f>-IF(BY$9&lt;'Operating Assumptions'!$D$53,0,IF(BY$6&gt;'Operating Assumptions'!$AA$8,0,IF('Operating Assumptions'!$L27="N/A",0,IF('Operating Assumptions'!$L27="$/Unit/Annual",(('Operating Assumptions'!$M27*BY$25)*BY$36)/12,IF('Operating Assumptions'!$L27="$/Unit/Month",('Operating Assumptions'!$M27*BY$25)*BY$36,IF('Operating Assumptions'!$L27="Fixed Amount",('Operating Assumptions'!$M27*BY$25)/12,IF('Operating Assumptions'!$L27="$/GSF",(('Operating Assumptions'!$M27*BY$25)*'Operating Assumptions'!$D$11)/12,IF('Operating Assumptions'!$L27="$/NSF",(('Operating Assumptions'!$M27*BY$25)*'Operating Assumptions'!$D$12)/12))))))))</f>
        <v>0</v>
      </c>
      <c r="BZ99" s="427">
        <f>-IF(BZ$9&lt;'Operating Assumptions'!$D$53,0,IF(BZ$6&gt;'Operating Assumptions'!$AA$8,0,IF('Operating Assumptions'!$L27="N/A",0,IF('Operating Assumptions'!$L27="$/Unit/Annual",(('Operating Assumptions'!$M27*BZ$25)*BZ$36)/12,IF('Operating Assumptions'!$L27="$/Unit/Month",('Operating Assumptions'!$M27*BZ$25)*BZ$36,IF('Operating Assumptions'!$L27="Fixed Amount",('Operating Assumptions'!$M27*BZ$25)/12,IF('Operating Assumptions'!$L27="$/GSF",(('Operating Assumptions'!$M27*BZ$25)*'Operating Assumptions'!$D$11)/12,IF('Operating Assumptions'!$L27="$/NSF",(('Operating Assumptions'!$M27*BZ$25)*'Operating Assumptions'!$D$12)/12))))))))</f>
        <v>0</v>
      </c>
      <c r="CA99" s="427">
        <f>-IF(CA$9&lt;'Operating Assumptions'!$D$53,0,IF(CA$6&gt;'Operating Assumptions'!$AA$8,0,IF('Operating Assumptions'!$L27="N/A",0,IF('Operating Assumptions'!$L27="$/Unit/Annual",(('Operating Assumptions'!$M27*CA$25)*CA$36)/12,IF('Operating Assumptions'!$L27="$/Unit/Month",('Operating Assumptions'!$M27*CA$25)*CA$36,IF('Operating Assumptions'!$L27="Fixed Amount",('Operating Assumptions'!$M27*CA$25)/12,IF('Operating Assumptions'!$L27="$/GSF",(('Operating Assumptions'!$M27*CA$25)*'Operating Assumptions'!$D$11)/12,IF('Operating Assumptions'!$L27="$/NSF",(('Operating Assumptions'!$M27*CA$25)*'Operating Assumptions'!$D$12)/12))))))))</f>
        <v>0</v>
      </c>
      <c r="CB99" s="427">
        <f>-IF(CB$9&lt;'Operating Assumptions'!$D$53,0,IF(CB$6&gt;'Operating Assumptions'!$AA$8,0,IF('Operating Assumptions'!$L27="N/A",0,IF('Operating Assumptions'!$L27="$/Unit/Annual",(('Operating Assumptions'!$M27*CB$25)*CB$36)/12,IF('Operating Assumptions'!$L27="$/Unit/Month",('Operating Assumptions'!$M27*CB$25)*CB$36,IF('Operating Assumptions'!$L27="Fixed Amount",('Operating Assumptions'!$M27*CB$25)/12,IF('Operating Assumptions'!$L27="$/GSF",(('Operating Assumptions'!$M27*CB$25)*'Operating Assumptions'!$D$11)/12,IF('Operating Assumptions'!$L27="$/NSF",(('Operating Assumptions'!$M27*CB$25)*'Operating Assumptions'!$D$12)/12))))))))</f>
        <v>0</v>
      </c>
      <c r="CC99" s="427">
        <f>-IF(CC$9&lt;'Operating Assumptions'!$D$53,0,IF(CC$6&gt;'Operating Assumptions'!$AA$8,0,IF('Operating Assumptions'!$L27="N/A",0,IF('Operating Assumptions'!$L27="$/Unit/Annual",(('Operating Assumptions'!$M27*CC$25)*CC$36)/12,IF('Operating Assumptions'!$L27="$/Unit/Month",('Operating Assumptions'!$M27*CC$25)*CC$36,IF('Operating Assumptions'!$L27="Fixed Amount",('Operating Assumptions'!$M27*CC$25)/12,IF('Operating Assumptions'!$L27="$/GSF",(('Operating Assumptions'!$M27*CC$25)*'Operating Assumptions'!$D$11)/12,IF('Operating Assumptions'!$L27="$/NSF",(('Operating Assumptions'!$M27*CC$25)*'Operating Assumptions'!$D$12)/12))))))))</f>
        <v>0</v>
      </c>
      <c r="CD99" s="427">
        <f>-IF(CD$9&lt;'Operating Assumptions'!$D$53,0,IF(CD$6&gt;'Operating Assumptions'!$AA$8,0,IF('Operating Assumptions'!$L27="N/A",0,IF('Operating Assumptions'!$L27="$/Unit/Annual",(('Operating Assumptions'!$M27*CD$25)*CD$36)/12,IF('Operating Assumptions'!$L27="$/Unit/Month",('Operating Assumptions'!$M27*CD$25)*CD$36,IF('Operating Assumptions'!$L27="Fixed Amount",('Operating Assumptions'!$M27*CD$25)/12,IF('Operating Assumptions'!$L27="$/GSF",(('Operating Assumptions'!$M27*CD$25)*'Operating Assumptions'!$D$11)/12,IF('Operating Assumptions'!$L27="$/NSF",(('Operating Assumptions'!$M27*CD$25)*'Operating Assumptions'!$D$12)/12))))))))</f>
        <v>0</v>
      </c>
      <c r="CE99" s="427">
        <f>-IF(CE$9&lt;'Operating Assumptions'!$D$53,0,IF(CE$6&gt;'Operating Assumptions'!$AA$8,0,IF('Operating Assumptions'!$L27="N/A",0,IF('Operating Assumptions'!$L27="$/Unit/Annual",(('Operating Assumptions'!$M27*CE$25)*CE$36)/12,IF('Operating Assumptions'!$L27="$/Unit/Month",('Operating Assumptions'!$M27*CE$25)*CE$36,IF('Operating Assumptions'!$L27="Fixed Amount",('Operating Assumptions'!$M27*CE$25)/12,IF('Operating Assumptions'!$L27="$/GSF",(('Operating Assumptions'!$M27*CE$25)*'Operating Assumptions'!$D$11)/12,IF('Operating Assumptions'!$L27="$/NSF",(('Operating Assumptions'!$M27*CE$25)*'Operating Assumptions'!$D$12)/12))))))))</f>
        <v>0</v>
      </c>
      <c r="CF99" s="427">
        <f>-IF(CF$9&lt;'Operating Assumptions'!$D$53,0,IF(CF$6&gt;'Operating Assumptions'!$AA$8,0,IF('Operating Assumptions'!$L27="N/A",0,IF('Operating Assumptions'!$L27="$/Unit/Annual",(('Operating Assumptions'!$M27*CF$25)*CF$36)/12,IF('Operating Assumptions'!$L27="$/Unit/Month",('Operating Assumptions'!$M27*CF$25)*CF$36,IF('Operating Assumptions'!$L27="Fixed Amount",('Operating Assumptions'!$M27*CF$25)/12,IF('Operating Assumptions'!$L27="$/GSF",(('Operating Assumptions'!$M27*CF$25)*'Operating Assumptions'!$D$11)/12,IF('Operating Assumptions'!$L27="$/NSF",(('Operating Assumptions'!$M27*CF$25)*'Operating Assumptions'!$D$12)/12))))))))</f>
        <v>0</v>
      </c>
      <c r="CG99" s="427">
        <f>-IF(CG$9&lt;'Operating Assumptions'!$D$53,0,IF(CG$6&gt;'Operating Assumptions'!$AA$8,0,IF('Operating Assumptions'!$L27="N/A",0,IF('Operating Assumptions'!$L27="$/Unit/Annual",(('Operating Assumptions'!$M27*CG$25)*CG$36)/12,IF('Operating Assumptions'!$L27="$/Unit/Month",('Operating Assumptions'!$M27*CG$25)*CG$36,IF('Operating Assumptions'!$L27="Fixed Amount",('Operating Assumptions'!$M27*CG$25)/12,IF('Operating Assumptions'!$L27="$/GSF",(('Operating Assumptions'!$M27*CG$25)*'Operating Assumptions'!$D$11)/12,IF('Operating Assumptions'!$L27="$/NSF",(('Operating Assumptions'!$M27*CG$25)*'Operating Assumptions'!$D$12)/12))))))))</f>
        <v>0</v>
      </c>
      <c r="CH99" s="427">
        <f>-IF(CH$9&lt;'Operating Assumptions'!$D$53,0,IF(CH$6&gt;'Operating Assumptions'!$AA$8,0,IF('Operating Assumptions'!$L27="N/A",0,IF('Operating Assumptions'!$L27="$/Unit/Annual",(('Operating Assumptions'!$M27*CH$25)*CH$36)/12,IF('Operating Assumptions'!$L27="$/Unit/Month",('Operating Assumptions'!$M27*CH$25)*CH$36,IF('Operating Assumptions'!$L27="Fixed Amount",('Operating Assumptions'!$M27*CH$25)/12,IF('Operating Assumptions'!$L27="$/GSF",(('Operating Assumptions'!$M27*CH$25)*'Operating Assumptions'!$D$11)/12,IF('Operating Assumptions'!$L27="$/NSF",(('Operating Assumptions'!$M27*CH$25)*'Operating Assumptions'!$D$12)/12))))))))</f>
        <v>0</v>
      </c>
      <c r="CI99" s="427">
        <f>-IF(CI$9&lt;'Operating Assumptions'!$D$53,0,IF(CI$6&gt;'Operating Assumptions'!$AA$8,0,IF('Operating Assumptions'!$L27="N/A",0,IF('Operating Assumptions'!$L27="$/Unit/Annual",(('Operating Assumptions'!$M27*CI$25)*CI$36)/12,IF('Operating Assumptions'!$L27="$/Unit/Month",('Operating Assumptions'!$M27*CI$25)*CI$36,IF('Operating Assumptions'!$L27="Fixed Amount",('Operating Assumptions'!$M27*CI$25)/12,IF('Operating Assumptions'!$L27="$/GSF",(('Operating Assumptions'!$M27*CI$25)*'Operating Assumptions'!$D$11)/12,IF('Operating Assumptions'!$L27="$/NSF",(('Operating Assumptions'!$M27*CI$25)*'Operating Assumptions'!$D$12)/12))))))))</f>
        <v>0</v>
      </c>
      <c r="CJ99" s="427">
        <f>-IF(CJ$9&lt;'Operating Assumptions'!$D$53,0,IF(CJ$6&gt;'Operating Assumptions'!$AA$8,0,IF('Operating Assumptions'!$L27="N/A",0,IF('Operating Assumptions'!$L27="$/Unit/Annual",(('Operating Assumptions'!$M27*CJ$25)*CJ$36)/12,IF('Operating Assumptions'!$L27="$/Unit/Month",('Operating Assumptions'!$M27*CJ$25)*CJ$36,IF('Operating Assumptions'!$L27="Fixed Amount",('Operating Assumptions'!$M27*CJ$25)/12,IF('Operating Assumptions'!$L27="$/GSF",(('Operating Assumptions'!$M27*CJ$25)*'Operating Assumptions'!$D$11)/12,IF('Operating Assumptions'!$L27="$/NSF",(('Operating Assumptions'!$M27*CJ$25)*'Operating Assumptions'!$D$12)/12))))))))</f>
        <v>0</v>
      </c>
      <c r="CK99" s="427">
        <f>-IF(CK$9&lt;'Operating Assumptions'!$D$53,0,IF(CK$6&gt;'Operating Assumptions'!$AA$8,0,IF('Operating Assumptions'!$L27="N/A",0,IF('Operating Assumptions'!$L27="$/Unit/Annual",(('Operating Assumptions'!$M27*CK$25)*CK$36)/12,IF('Operating Assumptions'!$L27="$/Unit/Month",('Operating Assumptions'!$M27*CK$25)*CK$36,IF('Operating Assumptions'!$L27="Fixed Amount",('Operating Assumptions'!$M27*CK$25)/12,IF('Operating Assumptions'!$L27="$/GSF",(('Operating Assumptions'!$M27*CK$25)*'Operating Assumptions'!$D$11)/12,IF('Operating Assumptions'!$L27="$/NSF",(('Operating Assumptions'!$M27*CK$25)*'Operating Assumptions'!$D$12)/12))))))))</f>
        <v>0</v>
      </c>
      <c r="CL99" s="427">
        <f>-IF(CL$9&lt;'Operating Assumptions'!$D$53,0,IF(CL$6&gt;'Operating Assumptions'!$AA$8,0,IF('Operating Assumptions'!$L27="N/A",0,IF('Operating Assumptions'!$L27="$/Unit/Annual",(('Operating Assumptions'!$M27*CL$25)*CL$36)/12,IF('Operating Assumptions'!$L27="$/Unit/Month",('Operating Assumptions'!$M27*CL$25)*CL$36,IF('Operating Assumptions'!$L27="Fixed Amount",('Operating Assumptions'!$M27*CL$25)/12,IF('Operating Assumptions'!$L27="$/GSF",(('Operating Assumptions'!$M27*CL$25)*'Operating Assumptions'!$D$11)/12,IF('Operating Assumptions'!$L27="$/NSF",(('Operating Assumptions'!$M27*CL$25)*'Operating Assumptions'!$D$12)/12))))))))</f>
        <v>0</v>
      </c>
      <c r="CM99" s="427">
        <f>-IF(CM$9&lt;'Operating Assumptions'!$D$53,0,IF(CM$6&gt;'Operating Assumptions'!$AA$8,0,IF('Operating Assumptions'!$L27="N/A",0,IF('Operating Assumptions'!$L27="$/Unit/Annual",(('Operating Assumptions'!$M27*CM$25)*CM$36)/12,IF('Operating Assumptions'!$L27="$/Unit/Month",('Operating Assumptions'!$M27*CM$25)*CM$36,IF('Operating Assumptions'!$L27="Fixed Amount",('Operating Assumptions'!$M27*CM$25)/12,IF('Operating Assumptions'!$L27="$/GSF",(('Operating Assumptions'!$M27*CM$25)*'Operating Assumptions'!$D$11)/12,IF('Operating Assumptions'!$L27="$/NSF",(('Operating Assumptions'!$M27*CM$25)*'Operating Assumptions'!$D$12)/12))))))))</f>
        <v>0</v>
      </c>
      <c r="CN99" s="427">
        <f>-IF(CN$9&lt;'Operating Assumptions'!$D$53,0,IF(CN$6&gt;'Operating Assumptions'!$AA$8,0,IF('Operating Assumptions'!$L27="N/A",0,IF('Operating Assumptions'!$L27="$/Unit/Annual",(('Operating Assumptions'!$M27*CN$25)*CN$36)/12,IF('Operating Assumptions'!$L27="$/Unit/Month",('Operating Assumptions'!$M27*CN$25)*CN$36,IF('Operating Assumptions'!$L27="Fixed Amount",('Operating Assumptions'!$M27*CN$25)/12,IF('Operating Assumptions'!$L27="$/GSF",(('Operating Assumptions'!$M27*CN$25)*'Operating Assumptions'!$D$11)/12,IF('Operating Assumptions'!$L27="$/NSF",(('Operating Assumptions'!$M27*CN$25)*'Operating Assumptions'!$D$12)/12))))))))</f>
        <v>0</v>
      </c>
      <c r="CO99" s="427">
        <f>-IF(CO$9&lt;'Operating Assumptions'!$D$53,0,IF(CO$6&gt;'Operating Assumptions'!$AA$8,0,IF('Operating Assumptions'!$L27="N/A",0,IF('Operating Assumptions'!$L27="$/Unit/Annual",(('Operating Assumptions'!$M27*CO$25)*CO$36)/12,IF('Operating Assumptions'!$L27="$/Unit/Month",('Operating Assumptions'!$M27*CO$25)*CO$36,IF('Operating Assumptions'!$L27="Fixed Amount",('Operating Assumptions'!$M27*CO$25)/12,IF('Operating Assumptions'!$L27="$/GSF",(('Operating Assumptions'!$M27*CO$25)*'Operating Assumptions'!$D$11)/12,IF('Operating Assumptions'!$L27="$/NSF",(('Operating Assumptions'!$M27*CO$25)*'Operating Assumptions'!$D$12)/12))))))))</f>
        <v>0</v>
      </c>
      <c r="CP99" s="427">
        <f>-IF(CP$9&lt;'Operating Assumptions'!$D$53,0,IF(CP$6&gt;'Operating Assumptions'!$AA$8,0,IF('Operating Assumptions'!$L27="N/A",0,IF('Operating Assumptions'!$L27="$/Unit/Annual",(('Operating Assumptions'!$M27*CP$25)*CP$36)/12,IF('Operating Assumptions'!$L27="$/Unit/Month",('Operating Assumptions'!$M27*CP$25)*CP$36,IF('Operating Assumptions'!$L27="Fixed Amount",('Operating Assumptions'!$M27*CP$25)/12,IF('Operating Assumptions'!$L27="$/GSF",(('Operating Assumptions'!$M27*CP$25)*'Operating Assumptions'!$D$11)/12,IF('Operating Assumptions'!$L27="$/NSF",(('Operating Assumptions'!$M27*CP$25)*'Operating Assumptions'!$D$12)/12))))))))</f>
        <v>0</v>
      </c>
      <c r="CQ99" s="427">
        <f>-IF(CQ$9&lt;'Operating Assumptions'!$D$53,0,IF(CQ$6&gt;'Operating Assumptions'!$AA$8,0,IF('Operating Assumptions'!$L27="N/A",0,IF('Operating Assumptions'!$L27="$/Unit/Annual",(('Operating Assumptions'!$M27*CQ$25)*CQ$36)/12,IF('Operating Assumptions'!$L27="$/Unit/Month",('Operating Assumptions'!$M27*CQ$25)*CQ$36,IF('Operating Assumptions'!$L27="Fixed Amount",('Operating Assumptions'!$M27*CQ$25)/12,IF('Operating Assumptions'!$L27="$/GSF",(('Operating Assumptions'!$M27*CQ$25)*'Operating Assumptions'!$D$11)/12,IF('Operating Assumptions'!$L27="$/NSF",(('Operating Assumptions'!$M27*CQ$25)*'Operating Assumptions'!$D$12)/12))))))))</f>
        <v>0</v>
      </c>
      <c r="CR99" s="427">
        <f>-IF(CR$9&lt;'Operating Assumptions'!$D$53,0,IF(CR$6&gt;'Operating Assumptions'!$AA$8,0,IF('Operating Assumptions'!$L27="N/A",0,IF('Operating Assumptions'!$L27="$/Unit/Annual",(('Operating Assumptions'!$M27*CR$25)*CR$36)/12,IF('Operating Assumptions'!$L27="$/Unit/Month",('Operating Assumptions'!$M27*CR$25)*CR$36,IF('Operating Assumptions'!$L27="Fixed Amount",('Operating Assumptions'!$M27*CR$25)/12,IF('Operating Assumptions'!$L27="$/GSF",(('Operating Assumptions'!$M27*CR$25)*'Operating Assumptions'!$D$11)/12,IF('Operating Assumptions'!$L27="$/NSF",(('Operating Assumptions'!$M27*CR$25)*'Operating Assumptions'!$D$12)/12))))))))</f>
        <v>0</v>
      </c>
      <c r="CS99" s="427">
        <f>-IF(CS$9&lt;'Operating Assumptions'!$D$53,0,IF(CS$6&gt;'Operating Assumptions'!$AA$8,0,IF('Operating Assumptions'!$L27="N/A",0,IF('Operating Assumptions'!$L27="$/Unit/Annual",(('Operating Assumptions'!$M27*CS$25)*CS$36)/12,IF('Operating Assumptions'!$L27="$/Unit/Month",('Operating Assumptions'!$M27*CS$25)*CS$36,IF('Operating Assumptions'!$L27="Fixed Amount",('Operating Assumptions'!$M27*CS$25)/12,IF('Operating Assumptions'!$L27="$/GSF",(('Operating Assumptions'!$M27*CS$25)*'Operating Assumptions'!$D$11)/12,IF('Operating Assumptions'!$L27="$/NSF",(('Operating Assumptions'!$M27*CS$25)*'Operating Assumptions'!$D$12)/12))))))))</f>
        <v>0</v>
      </c>
      <c r="CT99" s="427">
        <f>-IF(CT$9&lt;'Operating Assumptions'!$D$53,0,IF(CT$6&gt;'Operating Assumptions'!$AA$8,0,IF('Operating Assumptions'!$L27="N/A",0,IF('Operating Assumptions'!$L27="$/Unit/Annual",(('Operating Assumptions'!$M27*CT$25)*CT$36)/12,IF('Operating Assumptions'!$L27="$/Unit/Month",('Operating Assumptions'!$M27*CT$25)*CT$36,IF('Operating Assumptions'!$L27="Fixed Amount",('Operating Assumptions'!$M27*CT$25)/12,IF('Operating Assumptions'!$L27="$/GSF",(('Operating Assumptions'!$M27*CT$25)*'Operating Assumptions'!$D$11)/12,IF('Operating Assumptions'!$L27="$/NSF",(('Operating Assumptions'!$M27*CT$25)*'Operating Assumptions'!$D$12)/12))))))))</f>
        <v>0</v>
      </c>
      <c r="CU99" s="427">
        <f>-IF(CU$9&lt;'Operating Assumptions'!$D$53,0,IF(CU$6&gt;'Operating Assumptions'!$AA$8,0,IF('Operating Assumptions'!$L27="N/A",0,IF('Operating Assumptions'!$L27="$/Unit/Annual",(('Operating Assumptions'!$M27*CU$25)*CU$36)/12,IF('Operating Assumptions'!$L27="$/Unit/Month",('Operating Assumptions'!$M27*CU$25)*CU$36,IF('Operating Assumptions'!$L27="Fixed Amount",('Operating Assumptions'!$M27*CU$25)/12,IF('Operating Assumptions'!$L27="$/GSF",(('Operating Assumptions'!$M27*CU$25)*'Operating Assumptions'!$D$11)/12,IF('Operating Assumptions'!$L27="$/NSF",(('Operating Assumptions'!$M27*CU$25)*'Operating Assumptions'!$D$12)/12))))))))</f>
        <v>0</v>
      </c>
      <c r="CV99" s="427">
        <f>-IF(CV$9&lt;'Operating Assumptions'!$D$53,0,IF(CV$6&gt;'Operating Assumptions'!$AA$8,0,IF('Operating Assumptions'!$L27="N/A",0,IF('Operating Assumptions'!$L27="$/Unit/Annual",(('Operating Assumptions'!$M27*CV$25)*CV$36)/12,IF('Operating Assumptions'!$L27="$/Unit/Month",('Operating Assumptions'!$M27*CV$25)*CV$36,IF('Operating Assumptions'!$L27="Fixed Amount",('Operating Assumptions'!$M27*CV$25)/12,IF('Operating Assumptions'!$L27="$/GSF",(('Operating Assumptions'!$M27*CV$25)*'Operating Assumptions'!$D$11)/12,IF('Operating Assumptions'!$L27="$/NSF",(('Operating Assumptions'!$M27*CV$25)*'Operating Assumptions'!$D$12)/12))))))))</f>
        <v>0</v>
      </c>
      <c r="CW99" s="427">
        <f>-IF(CW$9&lt;'Operating Assumptions'!$D$53,0,IF(CW$6&gt;'Operating Assumptions'!$AA$8,0,IF('Operating Assumptions'!$L27="N/A",0,IF('Operating Assumptions'!$L27="$/Unit/Annual",(('Operating Assumptions'!$M27*CW$25)*CW$36)/12,IF('Operating Assumptions'!$L27="$/Unit/Month",('Operating Assumptions'!$M27*CW$25)*CW$36,IF('Operating Assumptions'!$L27="Fixed Amount",('Operating Assumptions'!$M27*CW$25)/12,IF('Operating Assumptions'!$L27="$/GSF",(('Operating Assumptions'!$M27*CW$25)*'Operating Assumptions'!$D$11)/12,IF('Operating Assumptions'!$L27="$/NSF",(('Operating Assumptions'!$M27*CW$25)*'Operating Assumptions'!$D$12)/12))))))))</f>
        <v>0</v>
      </c>
      <c r="CX99" s="427">
        <f>-IF(CX$9&lt;'Operating Assumptions'!$D$53,0,IF(CX$6&gt;'Operating Assumptions'!$AA$8,0,IF('Operating Assumptions'!$L27="N/A",0,IF('Operating Assumptions'!$L27="$/Unit/Annual",(('Operating Assumptions'!$M27*CX$25)*CX$36)/12,IF('Operating Assumptions'!$L27="$/Unit/Month",('Operating Assumptions'!$M27*CX$25)*CX$36,IF('Operating Assumptions'!$L27="Fixed Amount",('Operating Assumptions'!$M27*CX$25)/12,IF('Operating Assumptions'!$L27="$/GSF",(('Operating Assumptions'!$M27*CX$25)*'Operating Assumptions'!$D$11)/12,IF('Operating Assumptions'!$L27="$/NSF",(('Operating Assumptions'!$M27*CX$25)*'Operating Assumptions'!$D$12)/12))))))))</f>
        <v>0</v>
      </c>
      <c r="CY99" s="427">
        <f>-IF(CY$9&lt;'Operating Assumptions'!$D$53,0,IF(CY$6&gt;'Operating Assumptions'!$AA$8,0,IF('Operating Assumptions'!$L27="N/A",0,IF('Operating Assumptions'!$L27="$/Unit/Annual",(('Operating Assumptions'!$M27*CY$25)*CY$36)/12,IF('Operating Assumptions'!$L27="$/Unit/Month",('Operating Assumptions'!$M27*CY$25)*CY$36,IF('Operating Assumptions'!$L27="Fixed Amount",('Operating Assumptions'!$M27*CY$25)/12,IF('Operating Assumptions'!$L27="$/GSF",(('Operating Assumptions'!$M27*CY$25)*'Operating Assumptions'!$D$11)/12,IF('Operating Assumptions'!$L27="$/NSF",(('Operating Assumptions'!$M27*CY$25)*'Operating Assumptions'!$D$12)/12))))))))</f>
        <v>0</v>
      </c>
      <c r="CZ99" s="427">
        <f>-IF(CZ$9&lt;'Operating Assumptions'!$D$53,0,IF(CZ$6&gt;'Operating Assumptions'!$AA$8,0,IF('Operating Assumptions'!$L27="N/A",0,IF('Operating Assumptions'!$L27="$/Unit/Annual",(('Operating Assumptions'!$M27*CZ$25)*CZ$36)/12,IF('Operating Assumptions'!$L27="$/Unit/Month",('Operating Assumptions'!$M27*CZ$25)*CZ$36,IF('Operating Assumptions'!$L27="Fixed Amount",('Operating Assumptions'!$M27*CZ$25)/12,IF('Operating Assumptions'!$L27="$/GSF",(('Operating Assumptions'!$M27*CZ$25)*'Operating Assumptions'!$D$11)/12,IF('Operating Assumptions'!$L27="$/NSF",(('Operating Assumptions'!$M27*CZ$25)*'Operating Assumptions'!$D$12)/12))))))))</f>
        <v>0</v>
      </c>
      <c r="DA99" s="427">
        <f>-IF(DA$9&lt;'Operating Assumptions'!$D$53,0,IF(DA$6&gt;'Operating Assumptions'!$AA$8,0,IF('Operating Assumptions'!$L27="N/A",0,IF('Operating Assumptions'!$L27="$/Unit/Annual",(('Operating Assumptions'!$M27*DA$25)*DA$36)/12,IF('Operating Assumptions'!$L27="$/Unit/Month",('Operating Assumptions'!$M27*DA$25)*DA$36,IF('Operating Assumptions'!$L27="Fixed Amount",('Operating Assumptions'!$M27*DA$25)/12,IF('Operating Assumptions'!$L27="$/GSF",(('Operating Assumptions'!$M27*DA$25)*'Operating Assumptions'!$D$11)/12,IF('Operating Assumptions'!$L27="$/NSF",(('Operating Assumptions'!$M27*DA$25)*'Operating Assumptions'!$D$12)/12))))))))</f>
        <v>0</v>
      </c>
      <c r="DB99" s="427">
        <f>-IF(DB$9&lt;'Operating Assumptions'!$D$53,0,IF(DB$6&gt;'Operating Assumptions'!$AA$8,0,IF('Operating Assumptions'!$L27="N/A",0,IF('Operating Assumptions'!$L27="$/Unit/Annual",(('Operating Assumptions'!$M27*DB$25)*DB$36)/12,IF('Operating Assumptions'!$L27="$/Unit/Month",('Operating Assumptions'!$M27*DB$25)*DB$36,IF('Operating Assumptions'!$L27="Fixed Amount",('Operating Assumptions'!$M27*DB$25)/12,IF('Operating Assumptions'!$L27="$/GSF",(('Operating Assumptions'!$M27*DB$25)*'Operating Assumptions'!$D$11)/12,IF('Operating Assumptions'!$L27="$/NSF",(('Operating Assumptions'!$M27*DB$25)*'Operating Assumptions'!$D$12)/12))))))))</f>
        <v>0</v>
      </c>
      <c r="DC99" s="427">
        <f>-IF(DC$9&lt;'Operating Assumptions'!$D$53,0,IF(DC$6&gt;'Operating Assumptions'!$AA$8,0,IF('Operating Assumptions'!$L27="N/A",0,IF('Operating Assumptions'!$L27="$/Unit/Annual",(('Operating Assumptions'!$M27*DC$25)*DC$36)/12,IF('Operating Assumptions'!$L27="$/Unit/Month",('Operating Assumptions'!$M27*DC$25)*DC$36,IF('Operating Assumptions'!$L27="Fixed Amount",('Operating Assumptions'!$M27*DC$25)/12,IF('Operating Assumptions'!$L27="$/GSF",(('Operating Assumptions'!$M27*DC$25)*'Operating Assumptions'!$D$11)/12,IF('Operating Assumptions'!$L27="$/NSF",(('Operating Assumptions'!$M27*DC$25)*'Operating Assumptions'!$D$12)/12))))))))</f>
        <v>0</v>
      </c>
      <c r="DD99" s="427">
        <f>-IF(DD$9&lt;'Operating Assumptions'!$D$53,0,IF(DD$6&gt;'Operating Assumptions'!$AA$8,0,IF('Operating Assumptions'!$L27="N/A",0,IF('Operating Assumptions'!$L27="$/Unit/Annual",(('Operating Assumptions'!$M27*DD$25)*DD$36)/12,IF('Operating Assumptions'!$L27="$/Unit/Month",('Operating Assumptions'!$M27*DD$25)*DD$36,IF('Operating Assumptions'!$L27="Fixed Amount",('Operating Assumptions'!$M27*DD$25)/12,IF('Operating Assumptions'!$L27="$/GSF",(('Operating Assumptions'!$M27*DD$25)*'Operating Assumptions'!$D$11)/12,IF('Operating Assumptions'!$L27="$/NSF",(('Operating Assumptions'!$M27*DD$25)*'Operating Assumptions'!$D$12)/12))))))))</f>
        <v>0</v>
      </c>
      <c r="DE99" s="427">
        <f>-IF(DE$9&lt;'Operating Assumptions'!$D$53,0,IF(DE$6&gt;'Operating Assumptions'!$AA$8,0,IF('Operating Assumptions'!$L27="N/A",0,IF('Operating Assumptions'!$L27="$/Unit/Annual",(('Operating Assumptions'!$M27*DE$25)*DE$36)/12,IF('Operating Assumptions'!$L27="$/Unit/Month",('Operating Assumptions'!$M27*DE$25)*DE$36,IF('Operating Assumptions'!$L27="Fixed Amount",('Operating Assumptions'!$M27*DE$25)/12,IF('Operating Assumptions'!$L27="$/GSF",(('Operating Assumptions'!$M27*DE$25)*'Operating Assumptions'!$D$11)/12,IF('Operating Assumptions'!$L27="$/NSF",(('Operating Assumptions'!$M27*DE$25)*'Operating Assumptions'!$D$12)/12))))))))</f>
        <v>0</v>
      </c>
      <c r="DF99" s="427">
        <f>-IF(DF$9&lt;'Operating Assumptions'!$D$53,0,IF(DF$6&gt;'Operating Assumptions'!$AA$8,0,IF('Operating Assumptions'!$L27="N/A",0,IF('Operating Assumptions'!$L27="$/Unit/Annual",(('Operating Assumptions'!$M27*DF$25)*DF$36)/12,IF('Operating Assumptions'!$L27="$/Unit/Month",('Operating Assumptions'!$M27*DF$25)*DF$36,IF('Operating Assumptions'!$L27="Fixed Amount",('Operating Assumptions'!$M27*DF$25)/12,IF('Operating Assumptions'!$L27="$/GSF",(('Operating Assumptions'!$M27*DF$25)*'Operating Assumptions'!$D$11)/12,IF('Operating Assumptions'!$L27="$/NSF",(('Operating Assumptions'!$M27*DF$25)*'Operating Assumptions'!$D$12)/12))))))))</f>
        <v>0</v>
      </c>
      <c r="DG99" s="427">
        <f>-IF(DG$9&lt;'Operating Assumptions'!$D$53,0,IF(DG$6&gt;'Operating Assumptions'!$AA$8,0,IF('Operating Assumptions'!$L27="N/A",0,IF('Operating Assumptions'!$L27="$/Unit/Annual",(('Operating Assumptions'!$M27*DG$25)*DG$36)/12,IF('Operating Assumptions'!$L27="$/Unit/Month",('Operating Assumptions'!$M27*DG$25)*DG$36,IF('Operating Assumptions'!$L27="Fixed Amount",('Operating Assumptions'!$M27*DG$25)/12,IF('Operating Assumptions'!$L27="$/GSF",(('Operating Assumptions'!$M27*DG$25)*'Operating Assumptions'!$D$11)/12,IF('Operating Assumptions'!$L27="$/NSF",(('Operating Assumptions'!$M27*DG$25)*'Operating Assumptions'!$D$12)/12))))))))</f>
        <v>0</v>
      </c>
      <c r="DH99" s="427">
        <f>-IF(DH$9&lt;'Operating Assumptions'!$D$53,0,IF(DH$6&gt;'Operating Assumptions'!$AA$8,0,IF('Operating Assumptions'!$L27="N/A",0,IF('Operating Assumptions'!$L27="$/Unit/Annual",(('Operating Assumptions'!$M27*DH$25)*DH$36)/12,IF('Operating Assumptions'!$L27="$/Unit/Month",('Operating Assumptions'!$M27*DH$25)*DH$36,IF('Operating Assumptions'!$L27="Fixed Amount",('Operating Assumptions'!$M27*DH$25)/12,IF('Operating Assumptions'!$L27="$/GSF",(('Operating Assumptions'!$M27*DH$25)*'Operating Assumptions'!$D$11)/12,IF('Operating Assumptions'!$L27="$/NSF",(('Operating Assumptions'!$M27*DH$25)*'Operating Assumptions'!$D$12)/12))))))))</f>
        <v>0</v>
      </c>
      <c r="DI99" s="427">
        <f>-IF(DI$9&lt;'Operating Assumptions'!$D$53,0,IF(DI$6&gt;'Operating Assumptions'!$AA$8,0,IF('Operating Assumptions'!$L27="N/A",0,IF('Operating Assumptions'!$L27="$/Unit/Annual",(('Operating Assumptions'!$M27*DI$25)*DI$36)/12,IF('Operating Assumptions'!$L27="$/Unit/Month",('Operating Assumptions'!$M27*DI$25)*DI$36,IF('Operating Assumptions'!$L27="Fixed Amount",('Operating Assumptions'!$M27*DI$25)/12,IF('Operating Assumptions'!$L27="$/GSF",(('Operating Assumptions'!$M27*DI$25)*'Operating Assumptions'!$D$11)/12,IF('Operating Assumptions'!$L27="$/NSF",(('Operating Assumptions'!$M27*DI$25)*'Operating Assumptions'!$D$12)/12))))))))</f>
        <v>0</v>
      </c>
      <c r="DJ99" s="427">
        <f>-IF(DJ$9&lt;'Operating Assumptions'!$D$53,0,IF(DJ$6&gt;'Operating Assumptions'!$AA$8,0,IF('Operating Assumptions'!$L27="N/A",0,IF('Operating Assumptions'!$L27="$/Unit/Annual",(('Operating Assumptions'!$M27*DJ$25)*DJ$36)/12,IF('Operating Assumptions'!$L27="$/Unit/Month",('Operating Assumptions'!$M27*DJ$25)*DJ$36,IF('Operating Assumptions'!$L27="Fixed Amount",('Operating Assumptions'!$M27*DJ$25)/12,IF('Operating Assumptions'!$L27="$/GSF",(('Operating Assumptions'!$M27*DJ$25)*'Operating Assumptions'!$D$11)/12,IF('Operating Assumptions'!$L27="$/NSF",(('Operating Assumptions'!$M27*DJ$25)*'Operating Assumptions'!$D$12)/12))))))))</f>
        <v>0</v>
      </c>
      <c r="DK99" s="427">
        <f>-IF(DK$9&lt;'Operating Assumptions'!$D$53,0,IF(DK$6&gt;'Operating Assumptions'!$AA$8,0,IF('Operating Assumptions'!$L27="N/A",0,IF('Operating Assumptions'!$L27="$/Unit/Annual",(('Operating Assumptions'!$M27*DK$25)*DK$36)/12,IF('Operating Assumptions'!$L27="$/Unit/Month",('Operating Assumptions'!$M27*DK$25)*DK$36,IF('Operating Assumptions'!$L27="Fixed Amount",('Operating Assumptions'!$M27*DK$25)/12,IF('Operating Assumptions'!$L27="$/GSF",(('Operating Assumptions'!$M27*DK$25)*'Operating Assumptions'!$D$11)/12,IF('Operating Assumptions'!$L27="$/NSF",(('Operating Assumptions'!$M27*DK$25)*'Operating Assumptions'!$D$12)/12))))))))</f>
        <v>0</v>
      </c>
      <c r="DL99" s="427">
        <f>-IF(DL$9&lt;'Operating Assumptions'!$D$53,0,IF(DL$6&gt;'Operating Assumptions'!$AA$8,0,IF('Operating Assumptions'!$L27="N/A",0,IF('Operating Assumptions'!$L27="$/Unit/Annual",(('Operating Assumptions'!$M27*DL$25)*DL$36)/12,IF('Operating Assumptions'!$L27="$/Unit/Month",('Operating Assumptions'!$M27*DL$25)*DL$36,IF('Operating Assumptions'!$L27="Fixed Amount",('Operating Assumptions'!$M27*DL$25)/12,IF('Operating Assumptions'!$L27="$/GSF",(('Operating Assumptions'!$M27*DL$25)*'Operating Assumptions'!$D$11)/12,IF('Operating Assumptions'!$L27="$/NSF",(('Operating Assumptions'!$M27*DL$25)*'Operating Assumptions'!$D$12)/12))))))))</f>
        <v>0</v>
      </c>
      <c r="DM99" s="427">
        <f>-IF(DM$9&lt;'Operating Assumptions'!$D$53,0,IF(DM$6&gt;'Operating Assumptions'!$AA$8,0,IF('Operating Assumptions'!$L27="N/A",0,IF('Operating Assumptions'!$L27="$/Unit/Annual",(('Operating Assumptions'!$M27*DM$25)*DM$36)/12,IF('Operating Assumptions'!$L27="$/Unit/Month",('Operating Assumptions'!$M27*DM$25)*DM$36,IF('Operating Assumptions'!$L27="Fixed Amount",('Operating Assumptions'!$M27*DM$25)/12,IF('Operating Assumptions'!$L27="$/GSF",(('Operating Assumptions'!$M27*DM$25)*'Operating Assumptions'!$D$11)/12,IF('Operating Assumptions'!$L27="$/NSF",(('Operating Assumptions'!$M27*DM$25)*'Operating Assumptions'!$D$12)/12))))))))</f>
        <v>0</v>
      </c>
      <c r="DN99" s="427">
        <f>-IF(DN$9&lt;'Operating Assumptions'!$D$53,0,IF(DN$6&gt;'Operating Assumptions'!$AA$8,0,IF('Operating Assumptions'!$L27="N/A",0,IF('Operating Assumptions'!$L27="$/Unit/Annual",(('Operating Assumptions'!$M27*DN$25)*DN$36)/12,IF('Operating Assumptions'!$L27="$/Unit/Month",('Operating Assumptions'!$M27*DN$25)*DN$36,IF('Operating Assumptions'!$L27="Fixed Amount",('Operating Assumptions'!$M27*DN$25)/12,IF('Operating Assumptions'!$L27="$/GSF",(('Operating Assumptions'!$M27*DN$25)*'Operating Assumptions'!$D$11)/12,IF('Operating Assumptions'!$L27="$/NSF",(('Operating Assumptions'!$M27*DN$25)*'Operating Assumptions'!$D$12)/12))))))))</f>
        <v>0</v>
      </c>
      <c r="DO99" s="427">
        <f>-IF(DO$9&lt;'Operating Assumptions'!$D$53,0,IF(DO$6&gt;'Operating Assumptions'!$AA$8,0,IF('Operating Assumptions'!$L27="N/A",0,IF('Operating Assumptions'!$L27="$/Unit/Annual",(('Operating Assumptions'!$M27*DO$25)*DO$36)/12,IF('Operating Assumptions'!$L27="$/Unit/Month",('Operating Assumptions'!$M27*DO$25)*DO$36,IF('Operating Assumptions'!$L27="Fixed Amount",('Operating Assumptions'!$M27*DO$25)/12,IF('Operating Assumptions'!$L27="$/GSF",(('Operating Assumptions'!$M27*DO$25)*'Operating Assumptions'!$D$11)/12,IF('Operating Assumptions'!$L27="$/NSF",(('Operating Assumptions'!$M27*DO$25)*'Operating Assumptions'!$D$12)/12))))))))</f>
        <v>0</v>
      </c>
      <c r="DP99" s="427">
        <f>-IF(DP$9&lt;'Operating Assumptions'!$D$53,0,IF(DP$6&gt;'Operating Assumptions'!$AA$8,0,IF('Operating Assumptions'!$L27="N/A",0,IF('Operating Assumptions'!$L27="$/Unit/Annual",(('Operating Assumptions'!$M27*DP$25)*DP$36)/12,IF('Operating Assumptions'!$L27="$/Unit/Month",('Operating Assumptions'!$M27*DP$25)*DP$36,IF('Operating Assumptions'!$L27="Fixed Amount",('Operating Assumptions'!$M27*DP$25)/12,IF('Operating Assumptions'!$L27="$/GSF",(('Operating Assumptions'!$M27*DP$25)*'Operating Assumptions'!$D$11)/12,IF('Operating Assumptions'!$L27="$/NSF",(('Operating Assumptions'!$M27*DP$25)*'Operating Assumptions'!$D$12)/12))))))))</f>
        <v>0</v>
      </c>
      <c r="DQ99" s="427">
        <f>-IF(DQ$9&lt;'Operating Assumptions'!$D$53,0,IF(DQ$6&gt;'Operating Assumptions'!$AA$8,0,IF('Operating Assumptions'!$L27="N/A",0,IF('Operating Assumptions'!$L27="$/Unit/Annual",(('Operating Assumptions'!$M27*DQ$25)*DQ$36)/12,IF('Operating Assumptions'!$L27="$/Unit/Month",('Operating Assumptions'!$M27*DQ$25)*DQ$36,IF('Operating Assumptions'!$L27="Fixed Amount",('Operating Assumptions'!$M27*DQ$25)/12,IF('Operating Assumptions'!$L27="$/GSF",(('Operating Assumptions'!$M27*DQ$25)*'Operating Assumptions'!$D$11)/12,IF('Operating Assumptions'!$L27="$/NSF",(('Operating Assumptions'!$M27*DQ$25)*'Operating Assumptions'!$D$12)/12))))))))</f>
        <v>0</v>
      </c>
      <c r="DR99" s="427">
        <f>-IF(DR$9&lt;'Operating Assumptions'!$D$53,0,IF(DR$6&gt;'Operating Assumptions'!$AA$8,0,IF('Operating Assumptions'!$L27="N/A",0,IF('Operating Assumptions'!$L27="$/Unit/Annual",(('Operating Assumptions'!$M27*DR$25)*DR$36)/12,IF('Operating Assumptions'!$L27="$/Unit/Month",('Operating Assumptions'!$M27*DR$25)*DR$36,IF('Operating Assumptions'!$L27="Fixed Amount",('Operating Assumptions'!$M27*DR$25)/12,IF('Operating Assumptions'!$L27="$/GSF",(('Operating Assumptions'!$M27*DR$25)*'Operating Assumptions'!$D$11)/12,IF('Operating Assumptions'!$L27="$/NSF",(('Operating Assumptions'!$M27*DR$25)*'Operating Assumptions'!$D$12)/12))))))))</f>
        <v>0</v>
      </c>
      <c r="DS99" s="427">
        <f>-IF(DS$9&lt;'Operating Assumptions'!$D$53,0,IF(DS$6&gt;'Operating Assumptions'!$AA$8,0,IF('Operating Assumptions'!$L27="N/A",0,IF('Operating Assumptions'!$L27="$/Unit/Annual",(('Operating Assumptions'!$M27*DS$25)*DS$36)/12,IF('Operating Assumptions'!$L27="$/Unit/Month",('Operating Assumptions'!$M27*DS$25)*DS$36,IF('Operating Assumptions'!$L27="Fixed Amount",('Operating Assumptions'!$M27*DS$25)/12,IF('Operating Assumptions'!$L27="$/GSF",(('Operating Assumptions'!$M27*DS$25)*'Operating Assumptions'!$D$11)/12,IF('Operating Assumptions'!$L27="$/NSF",(('Operating Assumptions'!$M27*DS$25)*'Operating Assumptions'!$D$12)/12))))))))</f>
        <v>0</v>
      </c>
      <c r="DT99" s="427">
        <f>-IF(DT$9&lt;'Operating Assumptions'!$D$53,0,IF(DT$6&gt;'Operating Assumptions'!$AA$8,0,IF('Operating Assumptions'!$L27="N/A",0,IF('Operating Assumptions'!$L27="$/Unit/Annual",(('Operating Assumptions'!$M27*DT$25)*DT$36)/12,IF('Operating Assumptions'!$L27="$/Unit/Month",('Operating Assumptions'!$M27*DT$25)*DT$36,IF('Operating Assumptions'!$L27="Fixed Amount",('Operating Assumptions'!$M27*DT$25)/12,IF('Operating Assumptions'!$L27="$/GSF",(('Operating Assumptions'!$M27*DT$25)*'Operating Assumptions'!$D$11)/12,IF('Operating Assumptions'!$L27="$/NSF",(('Operating Assumptions'!$M27*DT$25)*'Operating Assumptions'!$D$12)/12))))))))</f>
        <v>0</v>
      </c>
      <c r="DU99" s="427">
        <f>-IF(DU$9&lt;'Operating Assumptions'!$D$53,0,IF(DU$6&gt;'Operating Assumptions'!$AA$8,0,IF('Operating Assumptions'!$L27="N/A",0,IF('Operating Assumptions'!$L27="$/Unit/Annual",(('Operating Assumptions'!$M27*DU$25)*DU$36)/12,IF('Operating Assumptions'!$L27="$/Unit/Month",('Operating Assumptions'!$M27*DU$25)*DU$36,IF('Operating Assumptions'!$L27="Fixed Amount",('Operating Assumptions'!$M27*DU$25)/12,IF('Operating Assumptions'!$L27="$/GSF",(('Operating Assumptions'!$M27*DU$25)*'Operating Assumptions'!$D$11)/12,IF('Operating Assumptions'!$L27="$/NSF",(('Operating Assumptions'!$M27*DU$25)*'Operating Assumptions'!$D$12)/12))))))))</f>
        <v>0</v>
      </c>
      <c r="DV99" s="427">
        <f>-IF(DV$9&lt;'Operating Assumptions'!$D$53,0,IF(DV$6&gt;'Operating Assumptions'!$AA$8,0,IF('Operating Assumptions'!$L27="N/A",0,IF('Operating Assumptions'!$L27="$/Unit/Annual",(('Operating Assumptions'!$M27*DV$25)*DV$36)/12,IF('Operating Assumptions'!$L27="$/Unit/Month",('Operating Assumptions'!$M27*DV$25)*DV$36,IF('Operating Assumptions'!$L27="Fixed Amount",('Operating Assumptions'!$M27*DV$25)/12,IF('Operating Assumptions'!$L27="$/GSF",(('Operating Assumptions'!$M27*DV$25)*'Operating Assumptions'!$D$11)/12,IF('Operating Assumptions'!$L27="$/NSF",(('Operating Assumptions'!$M27*DV$25)*'Operating Assumptions'!$D$12)/12))))))))</f>
        <v>0</v>
      </c>
      <c r="DW99" s="427">
        <f>-IF(DW$9&lt;'Operating Assumptions'!$D$53,0,IF(DW$6&gt;'Operating Assumptions'!$AA$8,0,IF('Operating Assumptions'!$L27="N/A",0,IF('Operating Assumptions'!$L27="$/Unit/Annual",(('Operating Assumptions'!$M27*DW$25)*DW$36)/12,IF('Operating Assumptions'!$L27="$/Unit/Month",('Operating Assumptions'!$M27*DW$25)*DW$36,IF('Operating Assumptions'!$L27="Fixed Amount",('Operating Assumptions'!$M27*DW$25)/12,IF('Operating Assumptions'!$L27="$/GSF",(('Operating Assumptions'!$M27*DW$25)*'Operating Assumptions'!$D$11)/12,IF('Operating Assumptions'!$L27="$/NSF",(('Operating Assumptions'!$M27*DW$25)*'Operating Assumptions'!$D$12)/12))))))))</f>
        <v>0</v>
      </c>
      <c r="DX99" s="427">
        <f>-IF(DX$9&lt;'Operating Assumptions'!$D$53,0,IF(DX$6&gt;'Operating Assumptions'!$AA$8,0,IF('Operating Assumptions'!$L27="N/A",0,IF('Operating Assumptions'!$L27="$/Unit/Annual",(('Operating Assumptions'!$M27*DX$25)*DX$36)/12,IF('Operating Assumptions'!$L27="$/Unit/Month",('Operating Assumptions'!$M27*DX$25)*DX$36,IF('Operating Assumptions'!$L27="Fixed Amount",('Operating Assumptions'!$M27*DX$25)/12,IF('Operating Assumptions'!$L27="$/GSF",(('Operating Assumptions'!$M27*DX$25)*'Operating Assumptions'!$D$11)/12,IF('Operating Assumptions'!$L27="$/NSF",(('Operating Assumptions'!$M27*DX$25)*'Operating Assumptions'!$D$12)/12))))))))</f>
        <v>0</v>
      </c>
      <c r="DY99" s="427">
        <f>-IF(DY$9&lt;'Operating Assumptions'!$D$53,0,IF(DY$6&gt;'Operating Assumptions'!$AA$8,0,IF('Operating Assumptions'!$L27="N/A",0,IF('Operating Assumptions'!$L27="$/Unit/Annual",(('Operating Assumptions'!$M27*DY$25)*DY$36)/12,IF('Operating Assumptions'!$L27="$/Unit/Month",('Operating Assumptions'!$M27*DY$25)*DY$36,IF('Operating Assumptions'!$L27="Fixed Amount",('Operating Assumptions'!$M27*DY$25)/12,IF('Operating Assumptions'!$L27="$/GSF",(('Operating Assumptions'!$M27*DY$25)*'Operating Assumptions'!$D$11)/12,IF('Operating Assumptions'!$L27="$/NSF",(('Operating Assumptions'!$M27*DY$25)*'Operating Assumptions'!$D$12)/12))))))))</f>
        <v>0</v>
      </c>
      <c r="DZ99" s="427">
        <f>-IF(DZ$9&lt;'Operating Assumptions'!$D$53,0,IF(DZ$6&gt;'Operating Assumptions'!$AA$8,0,IF('Operating Assumptions'!$L27="N/A",0,IF('Operating Assumptions'!$L27="$/Unit/Annual",(('Operating Assumptions'!$M27*DZ$25)*DZ$36)/12,IF('Operating Assumptions'!$L27="$/Unit/Month",('Operating Assumptions'!$M27*DZ$25)*DZ$36,IF('Operating Assumptions'!$L27="Fixed Amount",('Operating Assumptions'!$M27*DZ$25)/12,IF('Operating Assumptions'!$L27="$/GSF",(('Operating Assumptions'!$M27*DZ$25)*'Operating Assumptions'!$D$11)/12,IF('Operating Assumptions'!$L27="$/NSF",(('Operating Assumptions'!$M27*DZ$25)*'Operating Assumptions'!$D$12)/12))))))))</f>
        <v>0</v>
      </c>
      <c r="EA99" s="427">
        <f>-IF(EA$9&lt;'Operating Assumptions'!$D$53,0,IF(EA$6&gt;'Operating Assumptions'!$AA$8,0,IF('Operating Assumptions'!$L27="N/A",0,IF('Operating Assumptions'!$L27="$/Unit/Annual",(('Operating Assumptions'!$M27*EA$25)*EA$36)/12,IF('Operating Assumptions'!$L27="$/Unit/Month",('Operating Assumptions'!$M27*EA$25)*EA$36,IF('Operating Assumptions'!$L27="Fixed Amount",('Operating Assumptions'!$M27*EA$25)/12,IF('Operating Assumptions'!$L27="$/GSF",(('Operating Assumptions'!$M27*EA$25)*'Operating Assumptions'!$D$11)/12,IF('Operating Assumptions'!$L27="$/NSF",(('Operating Assumptions'!$M27*EA$25)*'Operating Assumptions'!$D$12)/12))))))))</f>
        <v>0</v>
      </c>
      <c r="EB99" s="427">
        <f>-IF(EB$9&lt;'Operating Assumptions'!$D$53,0,IF(EB$6&gt;'Operating Assumptions'!$AA$8,0,IF('Operating Assumptions'!$L27="N/A",0,IF('Operating Assumptions'!$L27="$/Unit/Annual",(('Operating Assumptions'!$M27*EB$25)*EB$36)/12,IF('Operating Assumptions'!$L27="$/Unit/Month",('Operating Assumptions'!$M27*EB$25)*EB$36,IF('Operating Assumptions'!$L27="Fixed Amount",('Operating Assumptions'!$M27*EB$25)/12,IF('Operating Assumptions'!$L27="$/GSF",(('Operating Assumptions'!$M27*EB$25)*'Operating Assumptions'!$D$11)/12,IF('Operating Assumptions'!$L27="$/NSF",(('Operating Assumptions'!$M27*EB$25)*'Operating Assumptions'!$D$12)/12))))))))</f>
        <v>0</v>
      </c>
      <c r="EC99" s="427">
        <f>-IF(EC$9&lt;'Operating Assumptions'!$D$53,0,IF(EC$6&gt;'Operating Assumptions'!$AA$8,0,IF('Operating Assumptions'!$L27="N/A",0,IF('Operating Assumptions'!$L27="$/Unit/Annual",(('Operating Assumptions'!$M27*EC$25)*EC$36)/12,IF('Operating Assumptions'!$L27="$/Unit/Month",('Operating Assumptions'!$M27*EC$25)*EC$36,IF('Operating Assumptions'!$L27="Fixed Amount",('Operating Assumptions'!$M27*EC$25)/12,IF('Operating Assumptions'!$L27="$/GSF",(('Operating Assumptions'!$M27*EC$25)*'Operating Assumptions'!$D$11)/12,IF('Operating Assumptions'!$L27="$/NSF",(('Operating Assumptions'!$M27*EC$25)*'Operating Assumptions'!$D$12)/12))))))))</f>
        <v>0</v>
      </c>
      <c r="ED99" s="427">
        <f>-IF(ED$9&lt;'Operating Assumptions'!$D$53,0,IF(ED$6&gt;'Operating Assumptions'!$AA$8,0,IF('Operating Assumptions'!$L27="N/A",0,IF('Operating Assumptions'!$L27="$/Unit/Annual",(('Operating Assumptions'!$M27*ED$25)*ED$36)/12,IF('Operating Assumptions'!$L27="$/Unit/Month",('Operating Assumptions'!$M27*ED$25)*ED$36,IF('Operating Assumptions'!$L27="Fixed Amount",('Operating Assumptions'!$M27*ED$25)/12,IF('Operating Assumptions'!$L27="$/GSF",(('Operating Assumptions'!$M27*ED$25)*'Operating Assumptions'!$D$11)/12,IF('Operating Assumptions'!$L27="$/NSF",(('Operating Assumptions'!$M27*ED$25)*'Operating Assumptions'!$D$12)/12))))))))</f>
        <v>0</v>
      </c>
      <c r="EE99" s="427">
        <f>-IF(EE$9&lt;'Operating Assumptions'!$D$53,0,IF(EE$6&gt;'Operating Assumptions'!$AA$8,0,IF('Operating Assumptions'!$L27="N/A",0,IF('Operating Assumptions'!$L27="$/Unit/Annual",(('Operating Assumptions'!$M27*EE$25)*EE$36)/12,IF('Operating Assumptions'!$L27="$/Unit/Month",('Operating Assumptions'!$M27*EE$25)*EE$36,IF('Operating Assumptions'!$L27="Fixed Amount",('Operating Assumptions'!$M27*EE$25)/12,IF('Operating Assumptions'!$L27="$/GSF",(('Operating Assumptions'!$M27*EE$25)*'Operating Assumptions'!$D$11)/12,IF('Operating Assumptions'!$L27="$/NSF",(('Operating Assumptions'!$M27*EE$25)*'Operating Assumptions'!$D$12)/12))))))))</f>
        <v>0</v>
      </c>
      <c r="EF99" s="427">
        <f>-IF(EF$9&lt;'Operating Assumptions'!$D$53,0,IF(EF$6&gt;'Operating Assumptions'!$AA$8,0,IF('Operating Assumptions'!$L27="N/A",0,IF('Operating Assumptions'!$L27="$/Unit/Annual",(('Operating Assumptions'!$M27*EF$25)*EF$36)/12,IF('Operating Assumptions'!$L27="$/Unit/Month",('Operating Assumptions'!$M27*EF$25)*EF$36,IF('Operating Assumptions'!$L27="Fixed Amount",('Operating Assumptions'!$M27*EF$25)/12,IF('Operating Assumptions'!$L27="$/GSF",(('Operating Assumptions'!$M27*EF$25)*'Operating Assumptions'!$D$11)/12,IF('Operating Assumptions'!$L27="$/NSF",(('Operating Assumptions'!$M27*EF$25)*'Operating Assumptions'!$D$12)/12))))))))</f>
        <v>0</v>
      </c>
      <c r="EG99" s="427">
        <f>-IF(EG$9&lt;'Operating Assumptions'!$D$53,0,IF(EG$6&gt;'Operating Assumptions'!$AA$8,0,IF('Operating Assumptions'!$L27="N/A",0,IF('Operating Assumptions'!$L27="$/Unit/Annual",(('Operating Assumptions'!$M27*EG$25)*EG$36)/12,IF('Operating Assumptions'!$L27="$/Unit/Month",('Operating Assumptions'!$M27*EG$25)*EG$36,IF('Operating Assumptions'!$L27="Fixed Amount",('Operating Assumptions'!$M27*EG$25)/12,IF('Operating Assumptions'!$L27="$/GSF",(('Operating Assumptions'!$M27*EG$25)*'Operating Assumptions'!$D$11)/12,IF('Operating Assumptions'!$L27="$/NSF",(('Operating Assumptions'!$M27*EG$25)*'Operating Assumptions'!$D$12)/12))))))))</f>
        <v>0</v>
      </c>
      <c r="EH99" s="427">
        <f>-IF(EH$9&lt;'Operating Assumptions'!$D$53,0,IF(EH$6&gt;'Operating Assumptions'!$AA$8,0,IF('Operating Assumptions'!$L27="N/A",0,IF('Operating Assumptions'!$L27="$/Unit/Annual",(('Operating Assumptions'!$M27*EH$25)*EH$36)/12,IF('Operating Assumptions'!$L27="$/Unit/Month",('Operating Assumptions'!$M27*EH$25)*EH$36,IF('Operating Assumptions'!$L27="Fixed Amount",('Operating Assumptions'!$M27*EH$25)/12,IF('Operating Assumptions'!$L27="$/GSF",(('Operating Assumptions'!$M27*EH$25)*'Operating Assumptions'!$D$11)/12,IF('Operating Assumptions'!$L27="$/NSF",(('Operating Assumptions'!$M27*EH$25)*'Operating Assumptions'!$D$12)/12))))))))</f>
        <v>0</v>
      </c>
      <c r="EI99" s="427">
        <f>-IF(EI$9&lt;'Operating Assumptions'!$D$53,0,IF(EI$6&gt;'Operating Assumptions'!$AA$8,0,IF('Operating Assumptions'!$L27="N/A",0,IF('Operating Assumptions'!$L27="$/Unit/Annual",(('Operating Assumptions'!$M27*EI$25)*EI$36)/12,IF('Operating Assumptions'!$L27="$/Unit/Month",('Operating Assumptions'!$M27*EI$25)*EI$36,IF('Operating Assumptions'!$L27="Fixed Amount",('Operating Assumptions'!$M27*EI$25)/12,IF('Operating Assumptions'!$L27="$/GSF",(('Operating Assumptions'!$M27*EI$25)*'Operating Assumptions'!$D$11)/12,IF('Operating Assumptions'!$L27="$/NSF",(('Operating Assumptions'!$M27*EI$25)*'Operating Assumptions'!$D$12)/12))))))))</f>
        <v>0</v>
      </c>
      <c r="EJ99" s="427">
        <f>-IF(EJ$9&lt;'Operating Assumptions'!$D$53,0,IF(EJ$6&gt;'Operating Assumptions'!$AA$8,0,IF('Operating Assumptions'!$L27="N/A",0,IF('Operating Assumptions'!$L27="$/Unit/Annual",(('Operating Assumptions'!$M27*EJ$25)*EJ$36)/12,IF('Operating Assumptions'!$L27="$/Unit/Month",('Operating Assumptions'!$M27*EJ$25)*EJ$36,IF('Operating Assumptions'!$L27="Fixed Amount",('Operating Assumptions'!$M27*EJ$25)/12,IF('Operating Assumptions'!$L27="$/GSF",(('Operating Assumptions'!$M27*EJ$25)*'Operating Assumptions'!$D$11)/12,IF('Operating Assumptions'!$L27="$/NSF",(('Operating Assumptions'!$M27*EJ$25)*'Operating Assumptions'!$D$12)/12))))))))</f>
        <v>0</v>
      </c>
      <c r="EK99" s="427">
        <f>-IF(EK$9&lt;'Operating Assumptions'!$D$53,0,IF(EK$6&gt;'Operating Assumptions'!$AA$8,0,IF('Operating Assumptions'!$L27="N/A",0,IF('Operating Assumptions'!$L27="$/Unit/Annual",(('Operating Assumptions'!$M27*EK$25)*EK$36)/12,IF('Operating Assumptions'!$L27="$/Unit/Month",('Operating Assumptions'!$M27*EK$25)*EK$36,IF('Operating Assumptions'!$L27="Fixed Amount",('Operating Assumptions'!$M27*EK$25)/12,IF('Operating Assumptions'!$L27="$/GSF",(('Operating Assumptions'!$M27*EK$25)*'Operating Assumptions'!$D$11)/12,IF('Operating Assumptions'!$L27="$/NSF",(('Operating Assumptions'!$M27*EK$25)*'Operating Assumptions'!$D$12)/12))))))))</f>
        <v>0</v>
      </c>
      <c r="EL99" s="427">
        <f>-IF(EL$9&lt;'Operating Assumptions'!$D$53,0,IF(EL$6&gt;'Operating Assumptions'!$AA$8,0,IF('Operating Assumptions'!$L27="N/A",0,IF('Operating Assumptions'!$L27="$/Unit/Annual",(('Operating Assumptions'!$M27*EL$25)*EL$36)/12,IF('Operating Assumptions'!$L27="$/Unit/Month",('Operating Assumptions'!$M27*EL$25)*EL$36,IF('Operating Assumptions'!$L27="Fixed Amount",('Operating Assumptions'!$M27*EL$25)/12,IF('Operating Assumptions'!$L27="$/GSF",(('Operating Assumptions'!$M27*EL$25)*'Operating Assumptions'!$D$11)/12,IF('Operating Assumptions'!$L27="$/NSF",(('Operating Assumptions'!$M27*EL$25)*'Operating Assumptions'!$D$12)/12))))))))</f>
        <v>0</v>
      </c>
      <c r="EM99" s="427">
        <f>-IF(EM$9&lt;'Operating Assumptions'!$D$53,0,IF(EM$6&gt;'Operating Assumptions'!$AA$8,0,IF('Operating Assumptions'!$L27="N/A",0,IF('Operating Assumptions'!$L27="$/Unit/Annual",(('Operating Assumptions'!$M27*EM$25)*EM$36)/12,IF('Operating Assumptions'!$L27="$/Unit/Month",('Operating Assumptions'!$M27*EM$25)*EM$36,IF('Operating Assumptions'!$L27="Fixed Amount",('Operating Assumptions'!$M27*EM$25)/12,IF('Operating Assumptions'!$L27="$/GSF",(('Operating Assumptions'!$M27*EM$25)*'Operating Assumptions'!$D$11)/12,IF('Operating Assumptions'!$L27="$/NSF",(('Operating Assumptions'!$M27*EM$25)*'Operating Assumptions'!$D$12)/12))))))))</f>
        <v>0</v>
      </c>
      <c r="EN99" s="427">
        <f>-IF(EN$9&lt;'Operating Assumptions'!$D$53,0,IF(EN$6&gt;'Operating Assumptions'!$AA$8,0,IF('Operating Assumptions'!$L27="N/A",0,IF('Operating Assumptions'!$L27="$/Unit/Annual",(('Operating Assumptions'!$M27*EN$25)*EN$36)/12,IF('Operating Assumptions'!$L27="$/Unit/Month",('Operating Assumptions'!$M27*EN$25)*EN$36,IF('Operating Assumptions'!$L27="Fixed Amount",('Operating Assumptions'!$M27*EN$25)/12,IF('Operating Assumptions'!$L27="$/GSF",(('Operating Assumptions'!$M27*EN$25)*'Operating Assumptions'!$D$11)/12,IF('Operating Assumptions'!$L27="$/NSF",(('Operating Assumptions'!$M27*EN$25)*'Operating Assumptions'!$D$12)/12))))))))</f>
        <v>0</v>
      </c>
      <c r="EO99" s="427">
        <f>-IF(EO$9&lt;'Operating Assumptions'!$D$53,0,IF(EO$6&gt;'Operating Assumptions'!$AA$8,0,IF('Operating Assumptions'!$L27="N/A",0,IF('Operating Assumptions'!$L27="$/Unit/Annual",(('Operating Assumptions'!$M27*EO$25)*EO$36)/12,IF('Operating Assumptions'!$L27="$/Unit/Month",('Operating Assumptions'!$M27*EO$25)*EO$36,IF('Operating Assumptions'!$L27="Fixed Amount",('Operating Assumptions'!$M27*EO$25)/12,IF('Operating Assumptions'!$L27="$/GSF",(('Operating Assumptions'!$M27*EO$25)*'Operating Assumptions'!$D$11)/12,IF('Operating Assumptions'!$L27="$/NSF",(('Operating Assumptions'!$M27*EO$25)*'Operating Assumptions'!$D$12)/12))))))))</f>
        <v>0</v>
      </c>
      <c r="EP99" s="427">
        <f>-IF(EP$9&lt;'Operating Assumptions'!$D$53,0,IF(EP$6&gt;'Operating Assumptions'!$AA$8,0,IF('Operating Assumptions'!$L27="N/A",0,IF('Operating Assumptions'!$L27="$/Unit/Annual",(('Operating Assumptions'!$M27*EP$25)*EP$36)/12,IF('Operating Assumptions'!$L27="$/Unit/Month",('Operating Assumptions'!$M27*EP$25)*EP$36,IF('Operating Assumptions'!$L27="Fixed Amount",('Operating Assumptions'!$M27*EP$25)/12,IF('Operating Assumptions'!$L27="$/GSF",(('Operating Assumptions'!$M27*EP$25)*'Operating Assumptions'!$D$11)/12,IF('Operating Assumptions'!$L27="$/NSF",(('Operating Assumptions'!$M27*EP$25)*'Operating Assumptions'!$D$12)/12))))))))</f>
        <v>0</v>
      </c>
      <c r="EQ99" s="427">
        <f>-IF(EQ$9&lt;'Operating Assumptions'!$D$53,0,IF(EQ$6&gt;'Operating Assumptions'!$AA$8,0,IF('Operating Assumptions'!$L27="N/A",0,IF('Operating Assumptions'!$L27="$/Unit/Annual",(('Operating Assumptions'!$M27*EQ$25)*EQ$36)/12,IF('Operating Assumptions'!$L27="$/Unit/Month",('Operating Assumptions'!$M27*EQ$25)*EQ$36,IF('Operating Assumptions'!$L27="Fixed Amount",('Operating Assumptions'!$M27*EQ$25)/12,IF('Operating Assumptions'!$L27="$/GSF",(('Operating Assumptions'!$M27*EQ$25)*'Operating Assumptions'!$D$11)/12,IF('Operating Assumptions'!$L27="$/NSF",(('Operating Assumptions'!$M27*EQ$25)*'Operating Assumptions'!$D$12)/12))))))))</f>
        <v>0</v>
      </c>
      <c r="ER99" s="427">
        <f>-IF(ER$9&lt;'Operating Assumptions'!$D$53,0,IF(ER$6&gt;'Operating Assumptions'!$AA$8,0,IF('Operating Assumptions'!$L27="N/A",0,IF('Operating Assumptions'!$L27="$/Unit/Annual",(('Operating Assumptions'!$M27*ER$25)*ER$36)/12,IF('Operating Assumptions'!$L27="$/Unit/Month",('Operating Assumptions'!$M27*ER$25)*ER$36,IF('Operating Assumptions'!$L27="Fixed Amount",('Operating Assumptions'!$M27*ER$25)/12,IF('Operating Assumptions'!$L27="$/GSF",(('Operating Assumptions'!$M27*ER$25)*'Operating Assumptions'!$D$11)/12,IF('Operating Assumptions'!$L27="$/NSF",(('Operating Assumptions'!$M27*ER$25)*'Operating Assumptions'!$D$12)/12))))))))</f>
        <v>0</v>
      </c>
      <c r="ES99" s="427">
        <f>-IF(ES$9&lt;'Operating Assumptions'!$D$53,0,IF(ES$6&gt;'Operating Assumptions'!$AA$8,0,IF('Operating Assumptions'!$L27="N/A",0,IF('Operating Assumptions'!$L27="$/Unit/Annual",(('Operating Assumptions'!$M27*ES$25)*ES$36)/12,IF('Operating Assumptions'!$L27="$/Unit/Month",('Operating Assumptions'!$M27*ES$25)*ES$36,IF('Operating Assumptions'!$L27="Fixed Amount",('Operating Assumptions'!$M27*ES$25)/12,IF('Operating Assumptions'!$L27="$/GSF",(('Operating Assumptions'!$M27*ES$25)*'Operating Assumptions'!$D$11)/12,IF('Operating Assumptions'!$L27="$/NSF",(('Operating Assumptions'!$M27*ES$25)*'Operating Assumptions'!$D$12)/12))))))))</f>
        <v>0</v>
      </c>
      <c r="ET99" s="427">
        <f>-IF(ET$9&lt;'Operating Assumptions'!$D$53,0,IF(ET$6&gt;'Operating Assumptions'!$AA$8,0,IF('Operating Assumptions'!$L27="N/A",0,IF('Operating Assumptions'!$L27="$/Unit/Annual",(('Operating Assumptions'!$M27*ET$25)*ET$36)/12,IF('Operating Assumptions'!$L27="$/Unit/Month",('Operating Assumptions'!$M27*ET$25)*ET$36,IF('Operating Assumptions'!$L27="Fixed Amount",('Operating Assumptions'!$M27*ET$25)/12,IF('Operating Assumptions'!$L27="$/GSF",(('Operating Assumptions'!$M27*ET$25)*'Operating Assumptions'!$D$11)/12,IF('Operating Assumptions'!$L27="$/NSF",(('Operating Assumptions'!$M27*ET$25)*'Operating Assumptions'!$D$12)/12))))))))</f>
        <v>0</v>
      </c>
      <c r="EU99" s="427">
        <f>-IF(EU$9&lt;'Operating Assumptions'!$D$53,0,IF(EU$6&gt;'Operating Assumptions'!$AA$8,0,IF('Operating Assumptions'!$L27="N/A",0,IF('Operating Assumptions'!$L27="$/Unit/Annual",(('Operating Assumptions'!$M27*EU$25)*EU$36)/12,IF('Operating Assumptions'!$L27="$/Unit/Month",('Operating Assumptions'!$M27*EU$25)*EU$36,IF('Operating Assumptions'!$L27="Fixed Amount",('Operating Assumptions'!$M27*EU$25)/12,IF('Operating Assumptions'!$L27="$/GSF",(('Operating Assumptions'!$M27*EU$25)*'Operating Assumptions'!$D$11)/12,IF('Operating Assumptions'!$L27="$/NSF",(('Operating Assumptions'!$M27*EU$25)*'Operating Assumptions'!$D$12)/12))))))))</f>
        <v>0</v>
      </c>
      <c r="EV99" s="427">
        <f>-IF(EV$9&lt;'Operating Assumptions'!$D$53,0,IF(EV$6&gt;'Operating Assumptions'!$AA$8,0,IF('Operating Assumptions'!$L27="N/A",0,IF('Operating Assumptions'!$L27="$/Unit/Annual",(('Operating Assumptions'!$M27*EV$25)*EV$36)/12,IF('Operating Assumptions'!$L27="$/Unit/Month",('Operating Assumptions'!$M27*EV$25)*EV$36,IF('Operating Assumptions'!$L27="Fixed Amount",('Operating Assumptions'!$M27*EV$25)/12,IF('Operating Assumptions'!$L27="$/GSF",(('Operating Assumptions'!$M27*EV$25)*'Operating Assumptions'!$D$11)/12,IF('Operating Assumptions'!$L27="$/NSF",(('Operating Assumptions'!$M27*EV$25)*'Operating Assumptions'!$D$12)/12))))))))</f>
        <v>0</v>
      </c>
      <c r="EW99" s="427">
        <f>-IF(EW$9&lt;'Operating Assumptions'!$D$53,0,IF(EW$6&gt;'Operating Assumptions'!$AA$8,0,IF('Operating Assumptions'!$L27="N/A",0,IF('Operating Assumptions'!$L27="$/Unit/Annual",(('Operating Assumptions'!$M27*EW$25)*EW$36)/12,IF('Operating Assumptions'!$L27="$/Unit/Month",('Operating Assumptions'!$M27*EW$25)*EW$36,IF('Operating Assumptions'!$L27="Fixed Amount",('Operating Assumptions'!$M27*EW$25)/12,IF('Operating Assumptions'!$L27="$/GSF",(('Operating Assumptions'!$M27*EW$25)*'Operating Assumptions'!$D$11)/12,IF('Operating Assumptions'!$L27="$/NSF",(('Operating Assumptions'!$M27*EW$25)*'Operating Assumptions'!$D$12)/12))))))))</f>
        <v>0</v>
      </c>
      <c r="EX99" s="427">
        <f>-IF(EX$9&lt;'Operating Assumptions'!$D$53,0,IF(EX$6&gt;'Operating Assumptions'!$AA$8,0,IF('Operating Assumptions'!$L27="N/A",0,IF('Operating Assumptions'!$L27="$/Unit/Annual",(('Operating Assumptions'!$M27*EX$25)*EX$36)/12,IF('Operating Assumptions'!$L27="$/Unit/Month",('Operating Assumptions'!$M27*EX$25)*EX$36,IF('Operating Assumptions'!$L27="Fixed Amount",('Operating Assumptions'!$M27*EX$25)/12,IF('Operating Assumptions'!$L27="$/GSF",(('Operating Assumptions'!$M27*EX$25)*'Operating Assumptions'!$D$11)/12,IF('Operating Assumptions'!$L27="$/NSF",(('Operating Assumptions'!$M27*EX$25)*'Operating Assumptions'!$D$12)/12))))))))</f>
        <v>0</v>
      </c>
      <c r="EY99" s="427">
        <f>-IF(EY$9&lt;'Operating Assumptions'!$D$53,0,IF(EY$6&gt;'Operating Assumptions'!$AA$8,0,IF('Operating Assumptions'!$L27="N/A",0,IF('Operating Assumptions'!$L27="$/Unit/Annual",(('Operating Assumptions'!$M27*EY$25)*EY$36)/12,IF('Operating Assumptions'!$L27="$/Unit/Month",('Operating Assumptions'!$M27*EY$25)*EY$36,IF('Operating Assumptions'!$L27="Fixed Amount",('Operating Assumptions'!$M27*EY$25)/12,IF('Operating Assumptions'!$L27="$/GSF",(('Operating Assumptions'!$M27*EY$25)*'Operating Assumptions'!$D$11)/12,IF('Operating Assumptions'!$L27="$/NSF",(('Operating Assumptions'!$M27*EY$25)*'Operating Assumptions'!$D$12)/12))))))))</f>
        <v>0</v>
      </c>
      <c r="EZ99" s="427">
        <f>-IF(EZ$9&lt;'Operating Assumptions'!$D$53,0,IF(EZ$6&gt;'Operating Assumptions'!$AA$8,0,IF('Operating Assumptions'!$L27="N/A",0,IF('Operating Assumptions'!$L27="$/Unit/Annual",(('Operating Assumptions'!$M27*EZ$25)*EZ$36)/12,IF('Operating Assumptions'!$L27="$/Unit/Month",('Operating Assumptions'!$M27*EZ$25)*EZ$36,IF('Operating Assumptions'!$L27="Fixed Amount",('Operating Assumptions'!$M27*EZ$25)/12,IF('Operating Assumptions'!$L27="$/GSF",(('Operating Assumptions'!$M27*EZ$25)*'Operating Assumptions'!$D$11)/12,IF('Operating Assumptions'!$L27="$/NSF",(('Operating Assumptions'!$M27*EZ$25)*'Operating Assumptions'!$D$12)/12))))))))</f>
        <v>0</v>
      </c>
      <c r="FA99" s="427">
        <f>-IF(FA$9&lt;'Operating Assumptions'!$D$53,0,IF(FA$6&gt;'Operating Assumptions'!$AA$8,0,IF('Operating Assumptions'!$L27="N/A",0,IF('Operating Assumptions'!$L27="$/Unit/Annual",(('Operating Assumptions'!$M27*FA$25)*FA$36)/12,IF('Operating Assumptions'!$L27="$/Unit/Month",('Operating Assumptions'!$M27*FA$25)*FA$36,IF('Operating Assumptions'!$L27="Fixed Amount",('Operating Assumptions'!$M27*FA$25)/12,IF('Operating Assumptions'!$L27="$/GSF",(('Operating Assumptions'!$M27*FA$25)*'Operating Assumptions'!$D$11)/12,IF('Operating Assumptions'!$L27="$/NSF",(('Operating Assumptions'!$M27*FA$25)*'Operating Assumptions'!$D$12)/12))))))))</f>
        <v>0</v>
      </c>
      <c r="FB99" s="427">
        <f>-IF(FB$9&lt;'Operating Assumptions'!$D$53,0,IF(FB$6&gt;'Operating Assumptions'!$AA$8,0,IF('Operating Assumptions'!$L27="N/A",0,IF('Operating Assumptions'!$L27="$/Unit/Annual",(('Operating Assumptions'!$M27*FB$25)*FB$36)/12,IF('Operating Assumptions'!$L27="$/Unit/Month",('Operating Assumptions'!$M27*FB$25)*FB$36,IF('Operating Assumptions'!$L27="Fixed Amount",('Operating Assumptions'!$M27*FB$25)/12,IF('Operating Assumptions'!$L27="$/GSF",(('Operating Assumptions'!$M27*FB$25)*'Operating Assumptions'!$D$11)/12,IF('Operating Assumptions'!$L27="$/NSF",(('Operating Assumptions'!$M27*FB$25)*'Operating Assumptions'!$D$12)/12))))))))</f>
        <v>0</v>
      </c>
      <c r="FC99" s="427">
        <f>-IF(FC$9&lt;'Operating Assumptions'!$D$53,0,IF(FC$6&gt;'Operating Assumptions'!$AA$8,0,IF('Operating Assumptions'!$L27="N/A",0,IF('Operating Assumptions'!$L27="$/Unit/Annual",(('Operating Assumptions'!$M27*FC$25)*FC$36)/12,IF('Operating Assumptions'!$L27="$/Unit/Month",('Operating Assumptions'!$M27*FC$25)*FC$36,IF('Operating Assumptions'!$L27="Fixed Amount",('Operating Assumptions'!$M27*FC$25)/12,IF('Operating Assumptions'!$L27="$/GSF",(('Operating Assumptions'!$M27*FC$25)*'Operating Assumptions'!$D$11)/12,IF('Operating Assumptions'!$L27="$/NSF",(('Operating Assumptions'!$M27*FC$25)*'Operating Assumptions'!$D$12)/12))))))))</f>
        <v>0</v>
      </c>
      <c r="FD99" s="427">
        <f>-IF(FD$9&lt;'Operating Assumptions'!$D$53,0,IF(FD$6&gt;'Operating Assumptions'!$AA$8,0,IF('Operating Assumptions'!$L27="N/A",0,IF('Operating Assumptions'!$L27="$/Unit/Annual",(('Operating Assumptions'!$M27*FD$25)*FD$36)/12,IF('Operating Assumptions'!$L27="$/Unit/Month",('Operating Assumptions'!$M27*FD$25)*FD$36,IF('Operating Assumptions'!$L27="Fixed Amount",('Operating Assumptions'!$M27*FD$25)/12,IF('Operating Assumptions'!$L27="$/GSF",(('Operating Assumptions'!$M27*FD$25)*'Operating Assumptions'!$D$11)/12,IF('Operating Assumptions'!$L27="$/NSF",(('Operating Assumptions'!$M27*FD$25)*'Operating Assumptions'!$D$12)/12))))))))</f>
        <v>0</v>
      </c>
      <c r="FE99" s="427">
        <f>-IF(FE$9&lt;'Operating Assumptions'!$D$53,0,IF(FE$6&gt;'Operating Assumptions'!$AA$8,0,IF('Operating Assumptions'!$L27="N/A",0,IF('Operating Assumptions'!$L27="$/Unit/Annual",(('Operating Assumptions'!$M27*FE$25)*FE$36)/12,IF('Operating Assumptions'!$L27="$/Unit/Month",('Operating Assumptions'!$M27*FE$25)*FE$36,IF('Operating Assumptions'!$L27="Fixed Amount",('Operating Assumptions'!$M27*FE$25)/12,IF('Operating Assumptions'!$L27="$/GSF",(('Operating Assumptions'!$M27*FE$25)*'Operating Assumptions'!$D$11)/12,IF('Operating Assumptions'!$L27="$/NSF",(('Operating Assumptions'!$M27*FE$25)*'Operating Assumptions'!$D$12)/12))))))))</f>
        <v>0</v>
      </c>
      <c r="FF99" s="427">
        <f>-IF(FF$9&lt;'Operating Assumptions'!$D$53,0,IF(FF$6&gt;'Operating Assumptions'!$AA$8,0,IF('Operating Assumptions'!$L27="N/A",0,IF('Operating Assumptions'!$L27="$/Unit/Annual",(('Operating Assumptions'!$M27*FF$25)*FF$36)/12,IF('Operating Assumptions'!$L27="$/Unit/Month",('Operating Assumptions'!$M27*FF$25)*FF$36,IF('Operating Assumptions'!$L27="Fixed Amount",('Operating Assumptions'!$M27*FF$25)/12,IF('Operating Assumptions'!$L27="$/GSF",(('Operating Assumptions'!$M27*FF$25)*'Operating Assumptions'!$D$11)/12,IF('Operating Assumptions'!$L27="$/NSF",(('Operating Assumptions'!$M27*FF$25)*'Operating Assumptions'!$D$12)/12))))))))</f>
        <v>0</v>
      </c>
      <c r="FG99" s="427">
        <f>-IF(FG$9&lt;'Operating Assumptions'!$D$53,0,IF(FG$6&gt;'Operating Assumptions'!$AA$8,0,IF('Operating Assumptions'!$L27="N/A",0,IF('Operating Assumptions'!$L27="$/Unit/Annual",(('Operating Assumptions'!$M27*FG$25)*FG$36)/12,IF('Operating Assumptions'!$L27="$/Unit/Month",('Operating Assumptions'!$M27*FG$25)*FG$36,IF('Operating Assumptions'!$L27="Fixed Amount",('Operating Assumptions'!$M27*FG$25)/12,IF('Operating Assumptions'!$L27="$/GSF",(('Operating Assumptions'!$M27*FG$25)*'Operating Assumptions'!$D$11)/12,IF('Operating Assumptions'!$L27="$/NSF",(('Operating Assumptions'!$M27*FG$25)*'Operating Assumptions'!$D$12)/12))))))))</f>
        <v>0</v>
      </c>
      <c r="FH99" s="427">
        <f>-IF(FH$9&lt;'Operating Assumptions'!$D$53,0,IF(FH$6&gt;'Operating Assumptions'!$AA$8,0,IF('Operating Assumptions'!$L27="N/A",0,IF('Operating Assumptions'!$L27="$/Unit/Annual",(('Operating Assumptions'!$M27*FH$25)*FH$36)/12,IF('Operating Assumptions'!$L27="$/Unit/Month",('Operating Assumptions'!$M27*FH$25)*FH$36,IF('Operating Assumptions'!$L27="Fixed Amount",('Operating Assumptions'!$M27*FH$25)/12,IF('Operating Assumptions'!$L27="$/GSF",(('Operating Assumptions'!$M27*FH$25)*'Operating Assumptions'!$D$11)/12,IF('Operating Assumptions'!$L27="$/NSF",(('Operating Assumptions'!$M27*FH$25)*'Operating Assumptions'!$D$12)/12))))))))</f>
        <v>0</v>
      </c>
      <c r="FI99" s="427">
        <f>-IF(FI$9&lt;'Operating Assumptions'!$D$53,0,IF(FI$6&gt;'Operating Assumptions'!$AA$8,0,IF('Operating Assumptions'!$L27="N/A",0,IF('Operating Assumptions'!$L27="$/Unit/Annual",(('Operating Assumptions'!$M27*FI$25)*FI$36)/12,IF('Operating Assumptions'!$L27="$/Unit/Month",('Operating Assumptions'!$M27*FI$25)*FI$36,IF('Operating Assumptions'!$L27="Fixed Amount",('Operating Assumptions'!$M27*FI$25)/12,IF('Operating Assumptions'!$L27="$/GSF",(('Operating Assumptions'!$M27*FI$25)*'Operating Assumptions'!$D$11)/12,IF('Operating Assumptions'!$L27="$/NSF",(('Operating Assumptions'!$M27*FI$25)*'Operating Assumptions'!$D$12)/12))))))))</f>
        <v>0</v>
      </c>
      <c r="FJ99" s="427">
        <f>-IF(FJ$9&lt;'Operating Assumptions'!$D$53,0,IF(FJ$6&gt;'Operating Assumptions'!$AA$8,0,IF('Operating Assumptions'!$L27="N/A",0,IF('Operating Assumptions'!$L27="$/Unit/Annual",(('Operating Assumptions'!$M27*FJ$25)*FJ$36)/12,IF('Operating Assumptions'!$L27="$/Unit/Month",('Operating Assumptions'!$M27*FJ$25)*FJ$36,IF('Operating Assumptions'!$L27="Fixed Amount",('Operating Assumptions'!$M27*FJ$25)/12,IF('Operating Assumptions'!$L27="$/GSF",(('Operating Assumptions'!$M27*FJ$25)*'Operating Assumptions'!$D$11)/12,IF('Operating Assumptions'!$L27="$/NSF",(('Operating Assumptions'!$M27*FJ$25)*'Operating Assumptions'!$D$12)/12))))))))</f>
        <v>0</v>
      </c>
      <c r="FK99" s="427">
        <f>-IF(FK$9&lt;'Operating Assumptions'!$D$53,0,IF(FK$6&gt;'Operating Assumptions'!$AA$8,0,IF('Operating Assumptions'!$L27="N/A",0,IF('Operating Assumptions'!$L27="$/Unit/Annual",(('Operating Assumptions'!$M27*FK$25)*FK$36)/12,IF('Operating Assumptions'!$L27="$/Unit/Month",('Operating Assumptions'!$M27*FK$25)*FK$36,IF('Operating Assumptions'!$L27="Fixed Amount",('Operating Assumptions'!$M27*FK$25)/12,IF('Operating Assumptions'!$L27="$/GSF",(('Operating Assumptions'!$M27*FK$25)*'Operating Assumptions'!$D$11)/12,IF('Operating Assumptions'!$L27="$/NSF",(('Operating Assumptions'!$M27*FK$25)*'Operating Assumptions'!$D$12)/12))))))))</f>
        <v>0</v>
      </c>
      <c r="FL99" s="427">
        <f>-IF(FL$9&lt;'Operating Assumptions'!$D$53,0,IF(FL$6&gt;'Operating Assumptions'!$AA$8,0,IF('Operating Assumptions'!$L27="N/A",0,IF('Operating Assumptions'!$L27="$/Unit/Annual",(('Operating Assumptions'!$M27*FL$25)*FL$36)/12,IF('Operating Assumptions'!$L27="$/Unit/Month",('Operating Assumptions'!$M27*FL$25)*FL$36,IF('Operating Assumptions'!$L27="Fixed Amount",('Operating Assumptions'!$M27*FL$25)/12,IF('Operating Assumptions'!$L27="$/GSF",(('Operating Assumptions'!$M27*FL$25)*'Operating Assumptions'!$D$11)/12,IF('Operating Assumptions'!$L27="$/NSF",(('Operating Assumptions'!$M27*FL$25)*'Operating Assumptions'!$D$12)/12))))))))</f>
        <v>0</v>
      </c>
      <c r="FM99" s="427">
        <f>-IF(FM$9&lt;'Operating Assumptions'!$D$53,0,IF(FM$6&gt;'Operating Assumptions'!$AA$8,0,IF('Operating Assumptions'!$L27="N/A",0,IF('Operating Assumptions'!$L27="$/Unit/Annual",(('Operating Assumptions'!$M27*FM$25)*FM$36)/12,IF('Operating Assumptions'!$L27="$/Unit/Month",('Operating Assumptions'!$M27*FM$25)*FM$36,IF('Operating Assumptions'!$L27="Fixed Amount",('Operating Assumptions'!$M27*FM$25)/12,IF('Operating Assumptions'!$L27="$/GSF",(('Operating Assumptions'!$M27*FM$25)*'Operating Assumptions'!$D$11)/12,IF('Operating Assumptions'!$L27="$/NSF",(('Operating Assumptions'!$M27*FM$25)*'Operating Assumptions'!$D$12)/12))))))))</f>
        <v>0</v>
      </c>
      <c r="FN99" s="427">
        <f>-IF(FN$9&lt;'Operating Assumptions'!$D$53,0,IF(FN$6&gt;'Operating Assumptions'!$AA$8,0,IF('Operating Assumptions'!$L27="N/A",0,IF('Operating Assumptions'!$L27="$/Unit/Annual",(('Operating Assumptions'!$M27*FN$25)*FN$36)/12,IF('Operating Assumptions'!$L27="$/Unit/Month",('Operating Assumptions'!$M27*FN$25)*FN$36,IF('Operating Assumptions'!$L27="Fixed Amount",('Operating Assumptions'!$M27*FN$25)/12,IF('Operating Assumptions'!$L27="$/GSF",(('Operating Assumptions'!$M27*FN$25)*'Operating Assumptions'!$D$11)/12,IF('Operating Assumptions'!$L27="$/NSF",(('Operating Assumptions'!$M27*FN$25)*'Operating Assumptions'!$D$12)/12))))))))</f>
        <v>0</v>
      </c>
      <c r="FO99" s="427">
        <f>-IF(FO$9&lt;'Operating Assumptions'!$D$53,0,IF(FO$6&gt;'Operating Assumptions'!$AA$8,0,IF('Operating Assumptions'!$L27="N/A",0,IF('Operating Assumptions'!$L27="$/Unit/Annual",(('Operating Assumptions'!$M27*FO$25)*FO$36)/12,IF('Operating Assumptions'!$L27="$/Unit/Month",('Operating Assumptions'!$M27*FO$25)*FO$36,IF('Operating Assumptions'!$L27="Fixed Amount",('Operating Assumptions'!$M27*FO$25)/12,IF('Operating Assumptions'!$L27="$/GSF",(('Operating Assumptions'!$M27*FO$25)*'Operating Assumptions'!$D$11)/12,IF('Operating Assumptions'!$L27="$/NSF",(('Operating Assumptions'!$M27*FO$25)*'Operating Assumptions'!$D$12)/12))))))))</f>
        <v>0</v>
      </c>
      <c r="FP99" s="427">
        <f>-IF(FP$9&lt;'Operating Assumptions'!$D$53,0,IF(FP$6&gt;'Operating Assumptions'!$AA$8,0,IF('Operating Assumptions'!$L27="N/A",0,IF('Operating Assumptions'!$L27="$/Unit/Annual",(('Operating Assumptions'!$M27*FP$25)*FP$36)/12,IF('Operating Assumptions'!$L27="$/Unit/Month",('Operating Assumptions'!$M27*FP$25)*FP$36,IF('Operating Assumptions'!$L27="Fixed Amount",('Operating Assumptions'!$M27*FP$25)/12,IF('Operating Assumptions'!$L27="$/GSF",(('Operating Assumptions'!$M27*FP$25)*'Operating Assumptions'!$D$11)/12,IF('Operating Assumptions'!$L27="$/NSF",(('Operating Assumptions'!$M27*FP$25)*'Operating Assumptions'!$D$12)/12))))))))</f>
        <v>0</v>
      </c>
      <c r="FQ99" s="427">
        <f>-IF(FQ$9&lt;'Operating Assumptions'!$D$53,0,IF(FQ$6&gt;'Operating Assumptions'!$AA$8,0,IF('Operating Assumptions'!$L27="N/A",0,IF('Operating Assumptions'!$L27="$/Unit/Annual",(('Operating Assumptions'!$M27*FQ$25)*FQ$36)/12,IF('Operating Assumptions'!$L27="$/Unit/Month",('Operating Assumptions'!$M27*FQ$25)*FQ$36,IF('Operating Assumptions'!$L27="Fixed Amount",('Operating Assumptions'!$M27*FQ$25)/12,IF('Operating Assumptions'!$L27="$/GSF",(('Operating Assumptions'!$M27*FQ$25)*'Operating Assumptions'!$D$11)/12,IF('Operating Assumptions'!$L27="$/NSF",(('Operating Assumptions'!$M27*FQ$25)*'Operating Assumptions'!$D$12)/12))))))))</f>
        <v>0</v>
      </c>
      <c r="FR99" s="427">
        <f>-IF(FR$9&lt;'Operating Assumptions'!$D$53,0,IF(FR$6&gt;'Operating Assumptions'!$AA$8,0,IF('Operating Assumptions'!$L27="N/A",0,IF('Operating Assumptions'!$L27="$/Unit/Annual",(('Operating Assumptions'!$M27*FR$25)*FR$36)/12,IF('Operating Assumptions'!$L27="$/Unit/Month",('Operating Assumptions'!$M27*FR$25)*FR$36,IF('Operating Assumptions'!$L27="Fixed Amount",('Operating Assumptions'!$M27*FR$25)/12,IF('Operating Assumptions'!$L27="$/GSF",(('Operating Assumptions'!$M27*FR$25)*'Operating Assumptions'!$D$11)/12,IF('Operating Assumptions'!$L27="$/NSF",(('Operating Assumptions'!$M27*FR$25)*'Operating Assumptions'!$D$12)/12))))))))</f>
        <v>0</v>
      </c>
      <c r="FS99" s="427">
        <f>-IF(FS$9&lt;'Operating Assumptions'!$D$53,0,IF(FS$6&gt;'Operating Assumptions'!$AA$8,0,IF('Operating Assumptions'!$L27="N/A",0,IF('Operating Assumptions'!$L27="$/Unit/Annual",(('Operating Assumptions'!$M27*FS$25)*FS$36)/12,IF('Operating Assumptions'!$L27="$/Unit/Month",('Operating Assumptions'!$M27*FS$25)*FS$36,IF('Operating Assumptions'!$L27="Fixed Amount",('Operating Assumptions'!$M27*FS$25)/12,IF('Operating Assumptions'!$L27="$/GSF",(('Operating Assumptions'!$M27*FS$25)*'Operating Assumptions'!$D$11)/12,IF('Operating Assumptions'!$L27="$/NSF",(('Operating Assumptions'!$M27*FS$25)*'Operating Assumptions'!$D$12)/12))))))))</f>
        <v>0</v>
      </c>
      <c r="FT99" s="427">
        <f>-IF(FT$9&lt;'Operating Assumptions'!$D$53,0,IF(FT$6&gt;'Operating Assumptions'!$AA$8,0,IF('Operating Assumptions'!$L27="N/A",0,IF('Operating Assumptions'!$L27="$/Unit/Annual",(('Operating Assumptions'!$M27*FT$25)*FT$36)/12,IF('Operating Assumptions'!$L27="$/Unit/Month",('Operating Assumptions'!$M27*FT$25)*FT$36,IF('Operating Assumptions'!$L27="Fixed Amount",('Operating Assumptions'!$M27*FT$25)/12,IF('Operating Assumptions'!$L27="$/GSF",(('Operating Assumptions'!$M27*FT$25)*'Operating Assumptions'!$D$11)/12,IF('Operating Assumptions'!$L27="$/NSF",(('Operating Assumptions'!$M27*FT$25)*'Operating Assumptions'!$D$12)/12))))))))</f>
        <v>0</v>
      </c>
      <c r="FU99" s="43"/>
      <c r="FV99" s="34"/>
      <c r="FW99" s="34"/>
      <c r="FX99" s="34"/>
      <c r="FY99" s="34"/>
      <c r="FZ99" s="34"/>
    </row>
    <row r="100" spans="1:182" x14ac:dyDescent="0.25">
      <c r="A100" s="2"/>
      <c r="B100" s="433" t="s">
        <v>500</v>
      </c>
      <c r="C100" s="2"/>
      <c r="D100" s="2"/>
      <c r="E100" s="2"/>
      <c r="F100" s="429">
        <f t="shared" ref="F100" si="176">SUM(H100:FT100)</f>
        <v>-11556519.232973533</v>
      </c>
      <c r="G100" s="2"/>
      <c r="H100" s="431">
        <f>SUM(H95:H99)</f>
        <v>0</v>
      </c>
      <c r="I100" s="431">
        <f t="shared" ref="I100:BT100" si="177">SUM(I95:I99)</f>
        <v>0</v>
      </c>
      <c r="J100" s="431">
        <f t="shared" si="177"/>
        <v>0</v>
      </c>
      <c r="K100" s="431">
        <f t="shared" si="177"/>
        <v>0</v>
      </c>
      <c r="L100" s="431">
        <f t="shared" si="177"/>
        <v>0</v>
      </c>
      <c r="M100" s="431">
        <f t="shared" si="177"/>
        <v>0</v>
      </c>
      <c r="N100" s="431">
        <f t="shared" si="177"/>
        <v>0</v>
      </c>
      <c r="O100" s="431">
        <f t="shared" si="177"/>
        <v>0</v>
      </c>
      <c r="P100" s="431">
        <f t="shared" si="177"/>
        <v>0</v>
      </c>
      <c r="Q100" s="431">
        <f t="shared" si="177"/>
        <v>0</v>
      </c>
      <c r="R100" s="431">
        <f t="shared" si="177"/>
        <v>0</v>
      </c>
      <c r="S100" s="431">
        <f t="shared" si="177"/>
        <v>0</v>
      </c>
      <c r="T100" s="431">
        <f t="shared" si="177"/>
        <v>0</v>
      </c>
      <c r="U100" s="431">
        <f t="shared" si="177"/>
        <v>0</v>
      </c>
      <c r="V100" s="431">
        <f t="shared" si="177"/>
        <v>0</v>
      </c>
      <c r="W100" s="431">
        <f t="shared" si="177"/>
        <v>0</v>
      </c>
      <c r="X100" s="431">
        <f t="shared" si="177"/>
        <v>0</v>
      </c>
      <c r="Y100" s="431">
        <f t="shared" si="177"/>
        <v>-7920.1926469881537</v>
      </c>
      <c r="Z100" s="431">
        <f t="shared" si="177"/>
        <v>-15463.233263167345</v>
      </c>
      <c r="AA100" s="431">
        <f t="shared" si="177"/>
        <v>-23006.27387934654</v>
      </c>
      <c r="AB100" s="431">
        <f t="shared" si="177"/>
        <v>-30549.314495525738</v>
      </c>
      <c r="AC100" s="431">
        <f t="shared" si="177"/>
        <v>-38092.355111704928</v>
      </c>
      <c r="AD100" s="431">
        <f t="shared" si="177"/>
        <v>-45635.395727884126</v>
      </c>
      <c r="AE100" s="431">
        <f t="shared" si="177"/>
        <v>-47144.00385111996</v>
      </c>
      <c r="AF100" s="431">
        <f t="shared" si="177"/>
        <v>-47680.113094809036</v>
      </c>
      <c r="AG100" s="431">
        <f t="shared" si="177"/>
        <v>-47680.113094809036</v>
      </c>
      <c r="AH100" s="431">
        <f t="shared" si="177"/>
        <v>-55308.931189978466</v>
      </c>
      <c r="AI100" s="431">
        <f t="shared" si="177"/>
        <v>-62937.749285147918</v>
      </c>
      <c r="AJ100" s="431">
        <f t="shared" si="177"/>
        <v>-70566.567380317356</v>
      </c>
      <c r="AK100" s="431">
        <f t="shared" si="177"/>
        <v>-78195.385475486808</v>
      </c>
      <c r="AL100" s="431">
        <f t="shared" si="177"/>
        <v>-85824.203570656246</v>
      </c>
      <c r="AM100" s="431">
        <f t="shared" si="177"/>
        <v>-91545.817142033338</v>
      </c>
      <c r="AN100" s="431">
        <f t="shared" si="177"/>
        <v>-91545.817142033338</v>
      </c>
      <c r="AO100" s="431">
        <f t="shared" si="177"/>
        <v>-91545.817142033338</v>
      </c>
      <c r="AP100" s="431">
        <f t="shared" si="177"/>
        <v>-91545.817142033338</v>
      </c>
      <c r="AQ100" s="431">
        <f t="shared" si="177"/>
        <v>-91545.817142033338</v>
      </c>
      <c r="AR100" s="431">
        <f t="shared" si="177"/>
        <v>-92575.146889916345</v>
      </c>
      <c r="AS100" s="431">
        <f t="shared" si="177"/>
        <v>-92575.146889916345</v>
      </c>
      <c r="AT100" s="431">
        <f t="shared" si="177"/>
        <v>-92575.146889916345</v>
      </c>
      <c r="AU100" s="431">
        <f t="shared" si="177"/>
        <v>-92575.146889916345</v>
      </c>
      <c r="AV100" s="431">
        <f t="shared" si="177"/>
        <v>-92575.146889916345</v>
      </c>
      <c r="AW100" s="431">
        <f t="shared" si="177"/>
        <v>-92575.146889916345</v>
      </c>
      <c r="AX100" s="431">
        <f t="shared" si="177"/>
        <v>-92575.146889916345</v>
      </c>
      <c r="AY100" s="431">
        <f t="shared" si="177"/>
        <v>-92575.146889916345</v>
      </c>
      <c r="AZ100" s="431">
        <f t="shared" si="177"/>
        <v>-92575.146889916345</v>
      </c>
      <c r="BA100" s="431">
        <f t="shared" si="177"/>
        <v>-92575.146889916345</v>
      </c>
      <c r="BB100" s="431">
        <f t="shared" si="177"/>
        <v>-92575.146889916345</v>
      </c>
      <c r="BC100" s="431">
        <f t="shared" si="177"/>
        <v>-92575.146889916345</v>
      </c>
      <c r="BD100" s="431">
        <f t="shared" si="177"/>
        <v>-93604.476637799351</v>
      </c>
      <c r="BE100" s="431">
        <f t="shared" si="177"/>
        <v>-93604.476637799351</v>
      </c>
      <c r="BF100" s="431">
        <f t="shared" si="177"/>
        <v>-93604.476637799351</v>
      </c>
      <c r="BG100" s="431">
        <f t="shared" si="177"/>
        <v>-93604.476637799351</v>
      </c>
      <c r="BH100" s="431">
        <f t="shared" si="177"/>
        <v>-93604.476637799351</v>
      </c>
      <c r="BI100" s="431">
        <f t="shared" si="177"/>
        <v>-93604.476637799351</v>
      </c>
      <c r="BJ100" s="431">
        <f t="shared" si="177"/>
        <v>-93604.476637799351</v>
      </c>
      <c r="BK100" s="431">
        <f t="shared" si="177"/>
        <v>-93604.476637799351</v>
      </c>
      <c r="BL100" s="431">
        <f t="shared" si="177"/>
        <v>-93604.476637799351</v>
      </c>
      <c r="BM100" s="431">
        <f t="shared" si="177"/>
        <v>-93604.476637799351</v>
      </c>
      <c r="BN100" s="431">
        <f t="shared" si="177"/>
        <v>-93604.476637799351</v>
      </c>
      <c r="BO100" s="431">
        <f t="shared" si="177"/>
        <v>-93604.476637799351</v>
      </c>
      <c r="BP100" s="431">
        <f t="shared" si="177"/>
        <v>-94633.806385682357</v>
      </c>
      <c r="BQ100" s="431">
        <f t="shared" si="177"/>
        <v>-94633.806385682357</v>
      </c>
      <c r="BR100" s="431">
        <f t="shared" si="177"/>
        <v>-94633.806385682357</v>
      </c>
      <c r="BS100" s="431">
        <f t="shared" si="177"/>
        <v>-94633.806385682357</v>
      </c>
      <c r="BT100" s="431">
        <f t="shared" si="177"/>
        <v>-94633.806385682357</v>
      </c>
      <c r="BU100" s="431">
        <f t="shared" ref="BU100:EF100" si="178">SUM(BU95:BU99)</f>
        <v>-94633.806385682357</v>
      </c>
      <c r="BV100" s="431">
        <f t="shared" si="178"/>
        <v>-94633.806385682357</v>
      </c>
      <c r="BW100" s="431">
        <f t="shared" si="178"/>
        <v>-94633.806385682357</v>
      </c>
      <c r="BX100" s="431">
        <f t="shared" si="178"/>
        <v>-94633.806385682357</v>
      </c>
      <c r="BY100" s="431">
        <f t="shared" si="178"/>
        <v>-94633.806385682357</v>
      </c>
      <c r="BZ100" s="431">
        <f t="shared" si="178"/>
        <v>-94633.806385682357</v>
      </c>
      <c r="CA100" s="431">
        <f t="shared" si="178"/>
        <v>-94633.806385682357</v>
      </c>
      <c r="CB100" s="431">
        <f t="shared" si="178"/>
        <v>-95663.136133565364</v>
      </c>
      <c r="CC100" s="431">
        <f t="shared" si="178"/>
        <v>-95663.136133565364</v>
      </c>
      <c r="CD100" s="431">
        <f t="shared" si="178"/>
        <v>-95663.136133565364</v>
      </c>
      <c r="CE100" s="431">
        <f t="shared" si="178"/>
        <v>-95663.136133565364</v>
      </c>
      <c r="CF100" s="431">
        <f t="shared" si="178"/>
        <v>-95663.136133565364</v>
      </c>
      <c r="CG100" s="431">
        <f t="shared" si="178"/>
        <v>-95663.136133565364</v>
      </c>
      <c r="CH100" s="431">
        <f t="shared" si="178"/>
        <v>-95663.136133565364</v>
      </c>
      <c r="CI100" s="431">
        <f t="shared" si="178"/>
        <v>-95663.136133565364</v>
      </c>
      <c r="CJ100" s="431">
        <f t="shared" si="178"/>
        <v>-95663.136133565364</v>
      </c>
      <c r="CK100" s="431">
        <f t="shared" si="178"/>
        <v>-95663.136133565364</v>
      </c>
      <c r="CL100" s="431">
        <f t="shared" si="178"/>
        <v>-95663.136133565364</v>
      </c>
      <c r="CM100" s="431">
        <f t="shared" si="178"/>
        <v>-95663.136133565364</v>
      </c>
      <c r="CN100" s="431">
        <f t="shared" si="178"/>
        <v>-96692.46588144837</v>
      </c>
      <c r="CO100" s="431">
        <f t="shared" si="178"/>
        <v>-96692.46588144837</v>
      </c>
      <c r="CP100" s="431">
        <f t="shared" si="178"/>
        <v>-96692.46588144837</v>
      </c>
      <c r="CQ100" s="431">
        <f t="shared" si="178"/>
        <v>-96692.46588144837</v>
      </c>
      <c r="CR100" s="431">
        <f t="shared" si="178"/>
        <v>-96692.46588144837</v>
      </c>
      <c r="CS100" s="431">
        <f t="shared" si="178"/>
        <v>-96692.46588144837</v>
      </c>
      <c r="CT100" s="431">
        <f t="shared" si="178"/>
        <v>-96692.46588144837</v>
      </c>
      <c r="CU100" s="431">
        <f t="shared" si="178"/>
        <v>-96692.46588144837</v>
      </c>
      <c r="CV100" s="431">
        <f t="shared" si="178"/>
        <v>-96692.46588144837</v>
      </c>
      <c r="CW100" s="431">
        <f t="shared" si="178"/>
        <v>-96692.46588144837</v>
      </c>
      <c r="CX100" s="431">
        <f t="shared" si="178"/>
        <v>-96692.46588144837</v>
      </c>
      <c r="CY100" s="431">
        <f t="shared" si="178"/>
        <v>-96692.46588144837</v>
      </c>
      <c r="CZ100" s="431">
        <f t="shared" si="178"/>
        <v>-97721.795629331376</v>
      </c>
      <c r="DA100" s="431">
        <f t="shared" si="178"/>
        <v>-97721.795629331376</v>
      </c>
      <c r="DB100" s="431">
        <f t="shared" si="178"/>
        <v>-97721.795629331376</v>
      </c>
      <c r="DC100" s="431">
        <f t="shared" si="178"/>
        <v>-97721.795629331376</v>
      </c>
      <c r="DD100" s="431">
        <f t="shared" si="178"/>
        <v>-97721.795629331376</v>
      </c>
      <c r="DE100" s="431">
        <f t="shared" si="178"/>
        <v>-97721.795629331376</v>
      </c>
      <c r="DF100" s="431">
        <f t="shared" si="178"/>
        <v>-97721.795629331376</v>
      </c>
      <c r="DG100" s="431">
        <f t="shared" si="178"/>
        <v>-97721.795629331376</v>
      </c>
      <c r="DH100" s="431">
        <f t="shared" si="178"/>
        <v>-97721.795629331376</v>
      </c>
      <c r="DI100" s="431">
        <f t="shared" si="178"/>
        <v>-97721.795629331376</v>
      </c>
      <c r="DJ100" s="431">
        <f t="shared" si="178"/>
        <v>-97721.795629331376</v>
      </c>
      <c r="DK100" s="431">
        <f t="shared" si="178"/>
        <v>-97721.795629331376</v>
      </c>
      <c r="DL100" s="431">
        <f t="shared" si="178"/>
        <v>-98751.125377214383</v>
      </c>
      <c r="DM100" s="431">
        <f t="shared" si="178"/>
        <v>-98751.125377214383</v>
      </c>
      <c r="DN100" s="431">
        <f t="shared" si="178"/>
        <v>-98751.125377214383</v>
      </c>
      <c r="DO100" s="431">
        <f t="shared" si="178"/>
        <v>-98751.125377214383</v>
      </c>
      <c r="DP100" s="431">
        <f t="shared" si="178"/>
        <v>-98751.125377214383</v>
      </c>
      <c r="DQ100" s="431">
        <f t="shared" si="178"/>
        <v>-98751.125377214383</v>
      </c>
      <c r="DR100" s="431">
        <f t="shared" si="178"/>
        <v>-98751.125377214383</v>
      </c>
      <c r="DS100" s="431">
        <f t="shared" si="178"/>
        <v>-98751.125377214383</v>
      </c>
      <c r="DT100" s="431">
        <f t="shared" si="178"/>
        <v>-98751.125377214383</v>
      </c>
      <c r="DU100" s="431">
        <f t="shared" si="178"/>
        <v>-98751.125377214383</v>
      </c>
      <c r="DV100" s="431">
        <f t="shared" si="178"/>
        <v>-98751.125377214383</v>
      </c>
      <c r="DW100" s="431">
        <f t="shared" si="178"/>
        <v>-98751.125377214383</v>
      </c>
      <c r="DX100" s="431">
        <f t="shared" si="178"/>
        <v>-99780.455125097389</v>
      </c>
      <c r="DY100" s="431">
        <f t="shared" si="178"/>
        <v>-99780.455125097389</v>
      </c>
      <c r="DZ100" s="431">
        <f t="shared" si="178"/>
        <v>-99780.455125097389</v>
      </c>
      <c r="EA100" s="431">
        <f t="shared" si="178"/>
        <v>-99780.455125097389</v>
      </c>
      <c r="EB100" s="431">
        <f t="shared" si="178"/>
        <v>-99780.455125097389</v>
      </c>
      <c r="EC100" s="431">
        <f t="shared" si="178"/>
        <v>-99780.455125097389</v>
      </c>
      <c r="ED100" s="431">
        <f t="shared" si="178"/>
        <v>-99780.455125097389</v>
      </c>
      <c r="EE100" s="431">
        <f t="shared" si="178"/>
        <v>-99780.455125097389</v>
      </c>
      <c r="EF100" s="431">
        <f t="shared" si="178"/>
        <v>-99780.455125097389</v>
      </c>
      <c r="EG100" s="431">
        <f t="shared" ref="EG100:FT100" si="179">SUM(EG95:EG99)</f>
        <v>-99780.455125097389</v>
      </c>
      <c r="EH100" s="431">
        <f t="shared" si="179"/>
        <v>-99780.455125097389</v>
      </c>
      <c r="EI100" s="431">
        <f t="shared" si="179"/>
        <v>-99780.455125097389</v>
      </c>
      <c r="EJ100" s="431">
        <f t="shared" si="179"/>
        <v>-100809.78487298041</v>
      </c>
      <c r="EK100" s="431">
        <f t="shared" si="179"/>
        <v>-100809.78487298041</v>
      </c>
      <c r="EL100" s="431">
        <f t="shared" si="179"/>
        <v>-100809.78487298041</v>
      </c>
      <c r="EM100" s="431">
        <f t="shared" si="179"/>
        <v>-100809.78487298041</v>
      </c>
      <c r="EN100" s="431">
        <f t="shared" si="179"/>
        <v>-100809.78487298041</v>
      </c>
      <c r="EO100" s="431">
        <f t="shared" si="179"/>
        <v>-100809.78487298041</v>
      </c>
      <c r="EP100" s="431">
        <f t="shared" si="179"/>
        <v>-100809.78487298041</v>
      </c>
      <c r="EQ100" s="431">
        <f t="shared" si="179"/>
        <v>-100809.78487298041</v>
      </c>
      <c r="ER100" s="431">
        <f t="shared" si="179"/>
        <v>-100809.78487298041</v>
      </c>
      <c r="ES100" s="431">
        <f t="shared" si="179"/>
        <v>-100809.78487298041</v>
      </c>
      <c r="ET100" s="431">
        <f t="shared" si="179"/>
        <v>-100809.78487298041</v>
      </c>
      <c r="EU100" s="431">
        <f t="shared" si="179"/>
        <v>-100809.78487298041</v>
      </c>
      <c r="EV100" s="431">
        <f t="shared" si="179"/>
        <v>0</v>
      </c>
      <c r="EW100" s="431">
        <f t="shared" si="179"/>
        <v>0</v>
      </c>
      <c r="EX100" s="431">
        <f t="shared" si="179"/>
        <v>0</v>
      </c>
      <c r="EY100" s="431">
        <f t="shared" si="179"/>
        <v>0</v>
      </c>
      <c r="EZ100" s="431">
        <f t="shared" si="179"/>
        <v>0</v>
      </c>
      <c r="FA100" s="431">
        <f t="shared" si="179"/>
        <v>0</v>
      </c>
      <c r="FB100" s="431">
        <f t="shared" si="179"/>
        <v>0</v>
      </c>
      <c r="FC100" s="431">
        <f t="shared" si="179"/>
        <v>0</v>
      </c>
      <c r="FD100" s="431">
        <f t="shared" si="179"/>
        <v>0</v>
      </c>
      <c r="FE100" s="431">
        <f t="shared" si="179"/>
        <v>0</v>
      </c>
      <c r="FF100" s="431">
        <f t="shared" si="179"/>
        <v>0</v>
      </c>
      <c r="FG100" s="431">
        <f t="shared" si="179"/>
        <v>0</v>
      </c>
      <c r="FH100" s="431">
        <f t="shared" si="179"/>
        <v>0</v>
      </c>
      <c r="FI100" s="431">
        <f t="shared" si="179"/>
        <v>0</v>
      </c>
      <c r="FJ100" s="431">
        <f t="shared" si="179"/>
        <v>0</v>
      </c>
      <c r="FK100" s="431">
        <f t="shared" si="179"/>
        <v>0</v>
      </c>
      <c r="FL100" s="431">
        <f t="shared" si="179"/>
        <v>0</v>
      </c>
      <c r="FM100" s="431">
        <f t="shared" si="179"/>
        <v>0</v>
      </c>
      <c r="FN100" s="431">
        <f t="shared" si="179"/>
        <v>0</v>
      </c>
      <c r="FO100" s="431">
        <f t="shared" si="179"/>
        <v>0</v>
      </c>
      <c r="FP100" s="431">
        <f t="shared" si="179"/>
        <v>0</v>
      </c>
      <c r="FQ100" s="431">
        <f t="shared" si="179"/>
        <v>0</v>
      </c>
      <c r="FR100" s="431">
        <f t="shared" si="179"/>
        <v>0</v>
      </c>
      <c r="FS100" s="431">
        <f t="shared" si="179"/>
        <v>0</v>
      </c>
      <c r="FT100" s="431">
        <f t="shared" si="179"/>
        <v>0</v>
      </c>
      <c r="FU100" s="3"/>
    </row>
    <row r="101" spans="1:182" x14ac:dyDescent="0.25">
      <c r="A101" s="2"/>
      <c r="B101" s="128"/>
      <c r="C101" s="2"/>
      <c r="D101" s="2"/>
      <c r="E101" s="2"/>
      <c r="F101" s="434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FU101" s="3"/>
    </row>
    <row r="102" spans="1:182" s="89" customFormat="1" ht="13.5" x14ac:dyDescent="0.25">
      <c r="A102" s="34"/>
      <c r="B102" s="128"/>
      <c r="C102" s="34"/>
      <c r="D102" s="34"/>
      <c r="E102" s="34"/>
      <c r="F102" s="434"/>
      <c r="G102" s="34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  <c r="S102" s="427"/>
      <c r="T102" s="427"/>
      <c r="U102" s="427"/>
      <c r="V102" s="427"/>
      <c r="W102" s="427"/>
      <c r="X102" s="427"/>
      <c r="Y102" s="427"/>
      <c r="Z102" s="427"/>
      <c r="AA102" s="427"/>
      <c r="AB102" s="427"/>
      <c r="AC102" s="427"/>
      <c r="AD102" s="427"/>
      <c r="AE102" s="427"/>
      <c r="AF102" s="427"/>
      <c r="AG102" s="427"/>
      <c r="AH102" s="427"/>
      <c r="AI102" s="427"/>
      <c r="AJ102" s="427"/>
      <c r="AK102" s="427"/>
      <c r="AL102" s="427"/>
      <c r="AM102" s="427"/>
      <c r="AN102" s="427"/>
      <c r="AO102" s="427"/>
      <c r="AP102" s="427"/>
      <c r="AQ102" s="427"/>
      <c r="AR102" s="427"/>
      <c r="AS102" s="427"/>
      <c r="AT102" s="427"/>
      <c r="AU102" s="427"/>
      <c r="AV102" s="427"/>
      <c r="AW102" s="427"/>
      <c r="AX102" s="427"/>
      <c r="AY102" s="427"/>
      <c r="AZ102" s="427"/>
      <c r="BA102" s="427"/>
      <c r="BB102" s="427"/>
      <c r="BC102" s="427"/>
      <c r="BD102" s="427"/>
      <c r="BE102" s="427"/>
      <c r="BF102" s="427"/>
      <c r="BG102" s="427"/>
      <c r="BH102" s="427"/>
      <c r="BI102" s="427"/>
      <c r="BJ102" s="427"/>
      <c r="BK102" s="427"/>
      <c r="BL102" s="427"/>
      <c r="BM102" s="427"/>
      <c r="BN102" s="427"/>
      <c r="BO102" s="427"/>
      <c r="BP102" s="427"/>
      <c r="BQ102" s="427"/>
      <c r="BR102" s="427"/>
      <c r="BS102" s="427"/>
      <c r="BT102" s="427"/>
      <c r="BU102" s="427"/>
      <c r="BV102" s="427"/>
      <c r="BW102" s="427"/>
      <c r="BX102" s="427"/>
      <c r="BY102" s="427"/>
      <c r="BZ102" s="427"/>
      <c r="CA102" s="427"/>
      <c r="CB102" s="427"/>
      <c r="CC102" s="427"/>
      <c r="CD102" s="427"/>
      <c r="CE102" s="427"/>
      <c r="CF102" s="427"/>
      <c r="CG102" s="427"/>
      <c r="CH102" s="427"/>
      <c r="CI102" s="427"/>
      <c r="CJ102" s="427"/>
      <c r="CK102" s="427"/>
      <c r="CL102" s="427"/>
      <c r="CM102" s="427"/>
      <c r="CN102" s="427"/>
      <c r="CO102" s="427"/>
      <c r="CP102" s="427"/>
      <c r="CQ102" s="427"/>
      <c r="CR102" s="427"/>
      <c r="CS102" s="427"/>
      <c r="CT102" s="427"/>
      <c r="CU102" s="427"/>
      <c r="CV102" s="427"/>
      <c r="CW102" s="427"/>
      <c r="CX102" s="427"/>
      <c r="CY102" s="427"/>
      <c r="CZ102" s="427"/>
      <c r="DA102" s="427"/>
      <c r="DB102" s="427"/>
      <c r="DC102" s="427"/>
      <c r="DD102" s="427"/>
      <c r="DE102" s="427"/>
      <c r="DF102" s="427"/>
      <c r="DG102" s="427"/>
      <c r="DH102" s="427"/>
      <c r="DI102" s="427"/>
      <c r="DJ102" s="427"/>
      <c r="DK102" s="427"/>
      <c r="DL102" s="427"/>
      <c r="DM102" s="427"/>
      <c r="DN102" s="427"/>
      <c r="DO102" s="427"/>
      <c r="DP102" s="427"/>
      <c r="DQ102" s="427"/>
      <c r="DR102" s="427"/>
      <c r="DS102" s="427"/>
      <c r="DT102" s="427"/>
      <c r="DU102" s="427"/>
      <c r="DV102" s="427"/>
      <c r="DW102" s="427"/>
      <c r="DX102" s="427"/>
      <c r="DY102" s="427"/>
      <c r="DZ102" s="427"/>
      <c r="EA102" s="427"/>
      <c r="EB102" s="427"/>
      <c r="EC102" s="427"/>
      <c r="ED102" s="427"/>
      <c r="EE102" s="427"/>
      <c r="EF102" s="427"/>
      <c r="EG102" s="427"/>
      <c r="EH102" s="427"/>
      <c r="EI102" s="427"/>
      <c r="EJ102" s="427"/>
      <c r="EK102" s="427"/>
      <c r="EL102" s="427"/>
      <c r="EM102" s="427"/>
      <c r="EN102" s="427"/>
      <c r="EO102" s="427"/>
      <c r="EP102" s="427"/>
      <c r="EQ102" s="427"/>
      <c r="ER102" s="427"/>
      <c r="ES102" s="427"/>
      <c r="ET102" s="427"/>
      <c r="EU102" s="427"/>
      <c r="EV102" s="427"/>
      <c r="EW102" s="427"/>
      <c r="EX102" s="427"/>
      <c r="EY102" s="427"/>
      <c r="EZ102" s="427"/>
      <c r="FA102" s="427"/>
      <c r="FB102" s="427"/>
      <c r="FC102" s="427"/>
      <c r="FD102" s="427"/>
      <c r="FE102" s="427"/>
      <c r="FF102" s="427"/>
      <c r="FG102" s="427"/>
      <c r="FH102" s="427"/>
      <c r="FI102" s="427"/>
      <c r="FJ102" s="427"/>
      <c r="FK102" s="427"/>
      <c r="FL102" s="427"/>
      <c r="FM102" s="427"/>
      <c r="FN102" s="427"/>
      <c r="FO102" s="427"/>
      <c r="FP102" s="427"/>
      <c r="FQ102" s="427"/>
      <c r="FR102" s="427"/>
      <c r="FS102" s="427"/>
      <c r="FT102" s="427"/>
      <c r="FU102" s="43"/>
      <c r="FV102" s="34"/>
      <c r="FW102" s="34"/>
      <c r="FX102" s="34"/>
      <c r="FY102" s="34"/>
      <c r="FZ102" s="34"/>
    </row>
    <row r="103" spans="1:182" s="89" customFormat="1" ht="13.5" x14ac:dyDescent="0.25">
      <c r="A103" s="34"/>
      <c r="B103" s="513" t="s">
        <v>179</v>
      </c>
      <c r="C103" s="34"/>
      <c r="D103" s="34"/>
      <c r="E103" s="34"/>
      <c r="F103" s="429">
        <f>SUM(H103:FT103)</f>
        <v>-18237331.170473505</v>
      </c>
      <c r="G103" s="34"/>
      <c r="H103" s="431">
        <f>SUM(H92,H100)</f>
        <v>0</v>
      </c>
      <c r="I103" s="431">
        <f t="shared" ref="I103:BT103" si="180">SUM(I92,I100)</f>
        <v>0</v>
      </c>
      <c r="J103" s="431">
        <f t="shared" si="180"/>
        <v>0</v>
      </c>
      <c r="K103" s="431">
        <f t="shared" si="180"/>
        <v>0</v>
      </c>
      <c r="L103" s="431">
        <f t="shared" si="180"/>
        <v>0</v>
      </c>
      <c r="M103" s="431">
        <f t="shared" si="180"/>
        <v>0</v>
      </c>
      <c r="N103" s="431">
        <f t="shared" si="180"/>
        <v>0</v>
      </c>
      <c r="O103" s="431">
        <f t="shared" si="180"/>
        <v>0</v>
      </c>
      <c r="P103" s="431">
        <f t="shared" si="180"/>
        <v>0</v>
      </c>
      <c r="Q103" s="431">
        <f t="shared" si="180"/>
        <v>0</v>
      </c>
      <c r="R103" s="431">
        <f t="shared" si="180"/>
        <v>0</v>
      </c>
      <c r="S103" s="431">
        <f t="shared" si="180"/>
        <v>0</v>
      </c>
      <c r="T103" s="431">
        <f t="shared" si="180"/>
        <v>0</v>
      </c>
      <c r="U103" s="431">
        <f t="shared" si="180"/>
        <v>0</v>
      </c>
      <c r="V103" s="431">
        <f t="shared" si="180"/>
        <v>0</v>
      </c>
      <c r="W103" s="431">
        <f t="shared" si="180"/>
        <v>0</v>
      </c>
      <c r="X103" s="431">
        <f t="shared" si="180"/>
        <v>0</v>
      </c>
      <c r="Y103" s="431">
        <f t="shared" si="180"/>
        <v>-12531.442646988155</v>
      </c>
      <c r="Z103" s="431">
        <f t="shared" si="180"/>
        <v>-24466.149929834013</v>
      </c>
      <c r="AA103" s="431">
        <f t="shared" si="180"/>
        <v>-36400.857212679868</v>
      </c>
      <c r="AB103" s="431">
        <f t="shared" si="180"/>
        <v>-48335.564495525738</v>
      </c>
      <c r="AC103" s="431">
        <f t="shared" si="180"/>
        <v>-60270.271778371593</v>
      </c>
      <c r="AD103" s="431">
        <f t="shared" si="180"/>
        <v>-72204.979061217469</v>
      </c>
      <c r="AE103" s="431">
        <f t="shared" si="180"/>
        <v>-74591.920517786624</v>
      </c>
      <c r="AF103" s="431">
        <f t="shared" si="180"/>
        <v>-75402.508928142372</v>
      </c>
      <c r="AG103" s="431">
        <f t="shared" si="180"/>
        <v>-75402.508928142372</v>
      </c>
      <c r="AH103" s="431">
        <f t="shared" si="180"/>
        <v>-87466.910356645123</v>
      </c>
      <c r="AI103" s="431">
        <f t="shared" si="180"/>
        <v>-99531.311785147918</v>
      </c>
      <c r="AJ103" s="431">
        <f t="shared" si="180"/>
        <v>-111595.71321365068</v>
      </c>
      <c r="AK103" s="431">
        <f t="shared" si="180"/>
        <v>-123660.11464215349</v>
      </c>
      <c r="AL103" s="431">
        <f t="shared" si="180"/>
        <v>-135724.51607065625</v>
      </c>
      <c r="AM103" s="431">
        <f t="shared" si="180"/>
        <v>-144772.81714203334</v>
      </c>
      <c r="AN103" s="431">
        <f t="shared" si="180"/>
        <v>-144772.81714203334</v>
      </c>
      <c r="AO103" s="431">
        <f t="shared" si="180"/>
        <v>-144772.81714203334</v>
      </c>
      <c r="AP103" s="431">
        <f t="shared" si="180"/>
        <v>-144772.81714203334</v>
      </c>
      <c r="AQ103" s="431">
        <f t="shared" si="180"/>
        <v>-144772.81714203334</v>
      </c>
      <c r="AR103" s="431">
        <f t="shared" si="180"/>
        <v>-146329.14688991633</v>
      </c>
      <c r="AS103" s="431">
        <f t="shared" si="180"/>
        <v>-146329.14688991633</v>
      </c>
      <c r="AT103" s="431">
        <f t="shared" si="180"/>
        <v>-146329.14688991633</v>
      </c>
      <c r="AU103" s="431">
        <f t="shared" si="180"/>
        <v>-146329.14688991633</v>
      </c>
      <c r="AV103" s="431">
        <f t="shared" si="180"/>
        <v>-146329.14688991633</v>
      </c>
      <c r="AW103" s="431">
        <f t="shared" si="180"/>
        <v>-146329.14688991633</v>
      </c>
      <c r="AX103" s="431">
        <f t="shared" si="180"/>
        <v>-146329.14688991633</v>
      </c>
      <c r="AY103" s="431">
        <f t="shared" si="180"/>
        <v>-146329.14688991633</v>
      </c>
      <c r="AZ103" s="431">
        <f t="shared" si="180"/>
        <v>-146329.14688991633</v>
      </c>
      <c r="BA103" s="431">
        <f t="shared" si="180"/>
        <v>-146329.14688991633</v>
      </c>
      <c r="BB103" s="431">
        <f t="shared" si="180"/>
        <v>-146329.14688991633</v>
      </c>
      <c r="BC103" s="431">
        <f t="shared" si="180"/>
        <v>-146329.14688991633</v>
      </c>
      <c r="BD103" s="431">
        <f t="shared" si="180"/>
        <v>-147885.47663779935</v>
      </c>
      <c r="BE103" s="431">
        <f t="shared" si="180"/>
        <v>-147885.47663779935</v>
      </c>
      <c r="BF103" s="431">
        <f t="shared" si="180"/>
        <v>-147885.47663779935</v>
      </c>
      <c r="BG103" s="431">
        <f t="shared" si="180"/>
        <v>-147885.47663779935</v>
      </c>
      <c r="BH103" s="431">
        <f t="shared" si="180"/>
        <v>-147885.47663779935</v>
      </c>
      <c r="BI103" s="431">
        <f t="shared" si="180"/>
        <v>-147885.47663779935</v>
      </c>
      <c r="BJ103" s="431">
        <f t="shared" si="180"/>
        <v>-147885.47663779935</v>
      </c>
      <c r="BK103" s="431">
        <f t="shared" si="180"/>
        <v>-147885.47663779935</v>
      </c>
      <c r="BL103" s="431">
        <f t="shared" si="180"/>
        <v>-147885.47663779935</v>
      </c>
      <c r="BM103" s="431">
        <f t="shared" si="180"/>
        <v>-147885.47663779935</v>
      </c>
      <c r="BN103" s="431">
        <f t="shared" si="180"/>
        <v>-147885.47663779935</v>
      </c>
      <c r="BO103" s="431">
        <f t="shared" si="180"/>
        <v>-147885.47663779935</v>
      </c>
      <c r="BP103" s="431">
        <f t="shared" si="180"/>
        <v>-149441.80638568237</v>
      </c>
      <c r="BQ103" s="431">
        <f t="shared" si="180"/>
        <v>-149441.80638568237</v>
      </c>
      <c r="BR103" s="431">
        <f t="shared" si="180"/>
        <v>-149441.80638568237</v>
      </c>
      <c r="BS103" s="431">
        <f t="shared" si="180"/>
        <v>-149441.80638568237</v>
      </c>
      <c r="BT103" s="431">
        <f t="shared" si="180"/>
        <v>-149441.80638568237</v>
      </c>
      <c r="BU103" s="431">
        <f t="shared" ref="BU103:EF103" si="181">SUM(BU92,BU100)</f>
        <v>-149441.80638568237</v>
      </c>
      <c r="BV103" s="431">
        <f t="shared" si="181"/>
        <v>-149441.80638568237</v>
      </c>
      <c r="BW103" s="431">
        <f t="shared" si="181"/>
        <v>-149441.80638568237</v>
      </c>
      <c r="BX103" s="431">
        <f t="shared" si="181"/>
        <v>-149441.80638568237</v>
      </c>
      <c r="BY103" s="431">
        <f t="shared" si="181"/>
        <v>-149441.80638568237</v>
      </c>
      <c r="BZ103" s="431">
        <f t="shared" si="181"/>
        <v>-149441.80638568237</v>
      </c>
      <c r="CA103" s="431">
        <f t="shared" si="181"/>
        <v>-149441.80638568237</v>
      </c>
      <c r="CB103" s="431">
        <f t="shared" si="181"/>
        <v>-150998.13613356536</v>
      </c>
      <c r="CC103" s="431">
        <f t="shared" si="181"/>
        <v>-150998.13613356536</v>
      </c>
      <c r="CD103" s="431">
        <f t="shared" si="181"/>
        <v>-150998.13613356536</v>
      </c>
      <c r="CE103" s="431">
        <f t="shared" si="181"/>
        <v>-150998.13613356536</v>
      </c>
      <c r="CF103" s="431">
        <f t="shared" si="181"/>
        <v>-150998.13613356536</v>
      </c>
      <c r="CG103" s="431">
        <f t="shared" si="181"/>
        <v>-150998.13613356536</v>
      </c>
      <c r="CH103" s="431">
        <f t="shared" si="181"/>
        <v>-150998.13613356536</v>
      </c>
      <c r="CI103" s="431">
        <f t="shared" si="181"/>
        <v>-150998.13613356536</v>
      </c>
      <c r="CJ103" s="431">
        <f t="shared" si="181"/>
        <v>-150998.13613356536</v>
      </c>
      <c r="CK103" s="431">
        <f t="shared" si="181"/>
        <v>-150998.13613356536</v>
      </c>
      <c r="CL103" s="431">
        <f t="shared" si="181"/>
        <v>-150998.13613356536</v>
      </c>
      <c r="CM103" s="431">
        <f t="shared" si="181"/>
        <v>-150998.13613356536</v>
      </c>
      <c r="CN103" s="431">
        <f t="shared" si="181"/>
        <v>-152554.46588144836</v>
      </c>
      <c r="CO103" s="431">
        <f t="shared" si="181"/>
        <v>-152554.46588144836</v>
      </c>
      <c r="CP103" s="431">
        <f t="shared" si="181"/>
        <v>-152554.46588144836</v>
      </c>
      <c r="CQ103" s="431">
        <f t="shared" si="181"/>
        <v>-152554.46588144836</v>
      </c>
      <c r="CR103" s="431">
        <f t="shared" si="181"/>
        <v>-152554.46588144836</v>
      </c>
      <c r="CS103" s="431">
        <f t="shared" si="181"/>
        <v>-152554.46588144836</v>
      </c>
      <c r="CT103" s="431">
        <f t="shared" si="181"/>
        <v>-152554.46588144836</v>
      </c>
      <c r="CU103" s="431">
        <f t="shared" si="181"/>
        <v>-152554.46588144836</v>
      </c>
      <c r="CV103" s="431">
        <f t="shared" si="181"/>
        <v>-152554.46588144836</v>
      </c>
      <c r="CW103" s="431">
        <f t="shared" si="181"/>
        <v>-152554.46588144836</v>
      </c>
      <c r="CX103" s="431">
        <f t="shared" si="181"/>
        <v>-152554.46588144836</v>
      </c>
      <c r="CY103" s="431">
        <f t="shared" si="181"/>
        <v>-152554.46588144836</v>
      </c>
      <c r="CZ103" s="431">
        <f t="shared" si="181"/>
        <v>-154110.79562933138</v>
      </c>
      <c r="DA103" s="431">
        <f t="shared" si="181"/>
        <v>-154110.79562933138</v>
      </c>
      <c r="DB103" s="431">
        <f t="shared" si="181"/>
        <v>-154110.79562933138</v>
      </c>
      <c r="DC103" s="431">
        <f t="shared" si="181"/>
        <v>-154110.79562933138</v>
      </c>
      <c r="DD103" s="431">
        <f t="shared" si="181"/>
        <v>-154110.79562933138</v>
      </c>
      <c r="DE103" s="431">
        <f t="shared" si="181"/>
        <v>-154110.79562933138</v>
      </c>
      <c r="DF103" s="431">
        <f t="shared" si="181"/>
        <v>-154110.79562933138</v>
      </c>
      <c r="DG103" s="431">
        <f t="shared" si="181"/>
        <v>-154110.79562933138</v>
      </c>
      <c r="DH103" s="431">
        <f t="shared" si="181"/>
        <v>-154110.79562933138</v>
      </c>
      <c r="DI103" s="431">
        <f t="shared" si="181"/>
        <v>-154110.79562933138</v>
      </c>
      <c r="DJ103" s="431">
        <f t="shared" si="181"/>
        <v>-154110.79562933138</v>
      </c>
      <c r="DK103" s="431">
        <f t="shared" si="181"/>
        <v>-154110.79562933138</v>
      </c>
      <c r="DL103" s="431">
        <f t="shared" si="181"/>
        <v>-155667.1253772144</v>
      </c>
      <c r="DM103" s="431">
        <f t="shared" si="181"/>
        <v>-155667.1253772144</v>
      </c>
      <c r="DN103" s="431">
        <f t="shared" si="181"/>
        <v>-155667.1253772144</v>
      </c>
      <c r="DO103" s="431">
        <f t="shared" si="181"/>
        <v>-155667.1253772144</v>
      </c>
      <c r="DP103" s="431">
        <f t="shared" si="181"/>
        <v>-155667.1253772144</v>
      </c>
      <c r="DQ103" s="431">
        <f t="shared" si="181"/>
        <v>-155667.1253772144</v>
      </c>
      <c r="DR103" s="431">
        <f t="shared" si="181"/>
        <v>-155667.1253772144</v>
      </c>
      <c r="DS103" s="431">
        <f t="shared" si="181"/>
        <v>-155667.1253772144</v>
      </c>
      <c r="DT103" s="431">
        <f t="shared" si="181"/>
        <v>-155667.1253772144</v>
      </c>
      <c r="DU103" s="431">
        <f t="shared" si="181"/>
        <v>-155667.1253772144</v>
      </c>
      <c r="DV103" s="431">
        <f t="shared" si="181"/>
        <v>-155667.1253772144</v>
      </c>
      <c r="DW103" s="431">
        <f t="shared" si="181"/>
        <v>-155667.1253772144</v>
      </c>
      <c r="DX103" s="431">
        <f t="shared" si="181"/>
        <v>-157223.45512509739</v>
      </c>
      <c r="DY103" s="431">
        <f t="shared" si="181"/>
        <v>-157223.45512509739</v>
      </c>
      <c r="DZ103" s="431">
        <f t="shared" si="181"/>
        <v>-157223.45512509739</v>
      </c>
      <c r="EA103" s="431">
        <f t="shared" si="181"/>
        <v>-157223.45512509739</v>
      </c>
      <c r="EB103" s="431">
        <f t="shared" si="181"/>
        <v>-157223.45512509739</v>
      </c>
      <c r="EC103" s="431">
        <f t="shared" si="181"/>
        <v>-157223.45512509739</v>
      </c>
      <c r="ED103" s="431">
        <f t="shared" si="181"/>
        <v>-157223.45512509739</v>
      </c>
      <c r="EE103" s="431">
        <f t="shared" si="181"/>
        <v>-157223.45512509739</v>
      </c>
      <c r="EF103" s="431">
        <f t="shared" si="181"/>
        <v>-157223.45512509739</v>
      </c>
      <c r="EG103" s="431">
        <f t="shared" ref="EG103:FT103" si="182">SUM(EG92,EG100)</f>
        <v>-157223.45512509739</v>
      </c>
      <c r="EH103" s="431">
        <f t="shared" si="182"/>
        <v>-157223.45512509739</v>
      </c>
      <c r="EI103" s="431">
        <f t="shared" si="182"/>
        <v>-157223.45512509739</v>
      </c>
      <c r="EJ103" s="431">
        <f t="shared" si="182"/>
        <v>-158779.78487298041</v>
      </c>
      <c r="EK103" s="431">
        <f t="shared" si="182"/>
        <v>-158779.78487298041</v>
      </c>
      <c r="EL103" s="431">
        <f t="shared" si="182"/>
        <v>-158779.78487298041</v>
      </c>
      <c r="EM103" s="431">
        <f t="shared" si="182"/>
        <v>-158779.78487298041</v>
      </c>
      <c r="EN103" s="431">
        <f t="shared" si="182"/>
        <v>-158779.78487298041</v>
      </c>
      <c r="EO103" s="431">
        <f t="shared" si="182"/>
        <v>-158779.78487298041</v>
      </c>
      <c r="EP103" s="431">
        <f t="shared" si="182"/>
        <v>-158779.78487298041</v>
      </c>
      <c r="EQ103" s="431">
        <f t="shared" si="182"/>
        <v>-158779.78487298041</v>
      </c>
      <c r="ER103" s="431">
        <f t="shared" si="182"/>
        <v>-158779.78487298041</v>
      </c>
      <c r="ES103" s="431">
        <f t="shared" si="182"/>
        <v>-158779.78487298041</v>
      </c>
      <c r="ET103" s="431">
        <f t="shared" si="182"/>
        <v>-158779.78487298041</v>
      </c>
      <c r="EU103" s="431">
        <f t="shared" si="182"/>
        <v>-158779.78487298041</v>
      </c>
      <c r="EV103" s="431">
        <f t="shared" si="182"/>
        <v>0</v>
      </c>
      <c r="EW103" s="431">
        <f t="shared" si="182"/>
        <v>0</v>
      </c>
      <c r="EX103" s="431">
        <f t="shared" si="182"/>
        <v>0</v>
      </c>
      <c r="EY103" s="431">
        <f t="shared" si="182"/>
        <v>0</v>
      </c>
      <c r="EZ103" s="431">
        <f t="shared" si="182"/>
        <v>0</v>
      </c>
      <c r="FA103" s="431">
        <f t="shared" si="182"/>
        <v>0</v>
      </c>
      <c r="FB103" s="431">
        <f t="shared" si="182"/>
        <v>0</v>
      </c>
      <c r="FC103" s="431">
        <f t="shared" si="182"/>
        <v>0</v>
      </c>
      <c r="FD103" s="431">
        <f t="shared" si="182"/>
        <v>0</v>
      </c>
      <c r="FE103" s="431">
        <f t="shared" si="182"/>
        <v>0</v>
      </c>
      <c r="FF103" s="431">
        <f t="shared" si="182"/>
        <v>0</v>
      </c>
      <c r="FG103" s="431">
        <f t="shared" si="182"/>
        <v>0</v>
      </c>
      <c r="FH103" s="431">
        <f t="shared" si="182"/>
        <v>0</v>
      </c>
      <c r="FI103" s="431">
        <f t="shared" si="182"/>
        <v>0</v>
      </c>
      <c r="FJ103" s="431">
        <f t="shared" si="182"/>
        <v>0</v>
      </c>
      <c r="FK103" s="431">
        <f t="shared" si="182"/>
        <v>0</v>
      </c>
      <c r="FL103" s="431">
        <f t="shared" si="182"/>
        <v>0</v>
      </c>
      <c r="FM103" s="431">
        <f t="shared" si="182"/>
        <v>0</v>
      </c>
      <c r="FN103" s="431">
        <f t="shared" si="182"/>
        <v>0</v>
      </c>
      <c r="FO103" s="431">
        <f t="shared" si="182"/>
        <v>0</v>
      </c>
      <c r="FP103" s="431">
        <f t="shared" si="182"/>
        <v>0</v>
      </c>
      <c r="FQ103" s="431">
        <f t="shared" si="182"/>
        <v>0</v>
      </c>
      <c r="FR103" s="431">
        <f t="shared" si="182"/>
        <v>0</v>
      </c>
      <c r="FS103" s="431">
        <f t="shared" si="182"/>
        <v>0</v>
      </c>
      <c r="FT103" s="431">
        <f t="shared" si="182"/>
        <v>0</v>
      </c>
      <c r="FU103" s="43"/>
      <c r="FV103" s="34"/>
      <c r="FW103" s="34"/>
      <c r="FX103" s="34"/>
      <c r="FY103" s="34"/>
      <c r="FZ103" s="34"/>
    </row>
    <row r="104" spans="1:182" s="89" customFormat="1" ht="13.5" x14ac:dyDescent="0.25">
      <c r="A104" s="34"/>
      <c r="B104" s="43"/>
      <c r="C104" s="34"/>
      <c r="D104" s="34"/>
      <c r="E104" s="34"/>
      <c r="F104" s="5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43"/>
      <c r="FV104" s="34"/>
      <c r="FW104" s="34"/>
      <c r="FX104" s="34"/>
      <c r="FY104" s="34"/>
      <c r="FZ104" s="34"/>
    </row>
    <row r="105" spans="1:182" s="89" customFormat="1" ht="13.5" x14ac:dyDescent="0.25">
      <c r="A105" s="34"/>
      <c r="B105" s="43"/>
      <c r="C105" s="34"/>
      <c r="D105" s="34"/>
      <c r="E105" s="34"/>
      <c r="F105" s="5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  <c r="FJ105" s="34"/>
      <c r="FK105" s="34"/>
      <c r="FL105" s="34"/>
      <c r="FM105" s="34"/>
      <c r="FN105" s="34"/>
      <c r="FO105" s="34"/>
      <c r="FP105" s="34"/>
      <c r="FQ105" s="34"/>
      <c r="FR105" s="34"/>
      <c r="FS105" s="34"/>
      <c r="FT105" s="34"/>
      <c r="FU105" s="43"/>
      <c r="FV105" s="34"/>
      <c r="FW105" s="34"/>
      <c r="FX105" s="34"/>
      <c r="FY105" s="34"/>
      <c r="FZ105" s="34"/>
    </row>
    <row r="106" spans="1:182" s="89" customFormat="1" ht="13.5" x14ac:dyDescent="0.25">
      <c r="A106" s="34"/>
      <c r="B106" s="142" t="s">
        <v>247</v>
      </c>
      <c r="C106" s="34"/>
      <c r="D106" s="34"/>
      <c r="E106" s="34"/>
      <c r="F106" s="429">
        <f>SUM(H106:FT106)</f>
        <v>47960390.279987901</v>
      </c>
      <c r="G106" s="34"/>
      <c r="H106" s="431">
        <f>SUM(H76,H103)</f>
        <v>0</v>
      </c>
      <c r="I106" s="431">
        <f t="shared" ref="I106:BT106" si="183">SUM(I76,I103)</f>
        <v>0</v>
      </c>
      <c r="J106" s="431">
        <f t="shared" si="183"/>
        <v>0</v>
      </c>
      <c r="K106" s="431">
        <f t="shared" si="183"/>
        <v>0</v>
      </c>
      <c r="L106" s="431">
        <f t="shared" si="183"/>
        <v>0</v>
      </c>
      <c r="M106" s="431">
        <f t="shared" si="183"/>
        <v>0</v>
      </c>
      <c r="N106" s="431">
        <f t="shared" si="183"/>
        <v>0</v>
      </c>
      <c r="O106" s="431">
        <f t="shared" si="183"/>
        <v>0</v>
      </c>
      <c r="P106" s="431">
        <f t="shared" si="183"/>
        <v>0</v>
      </c>
      <c r="Q106" s="431">
        <f t="shared" si="183"/>
        <v>0</v>
      </c>
      <c r="R106" s="431">
        <f t="shared" si="183"/>
        <v>0</v>
      </c>
      <c r="S106" s="431">
        <f t="shared" si="183"/>
        <v>0</v>
      </c>
      <c r="T106" s="431">
        <f t="shared" si="183"/>
        <v>0</v>
      </c>
      <c r="U106" s="431">
        <f t="shared" si="183"/>
        <v>0</v>
      </c>
      <c r="V106" s="431">
        <f t="shared" si="183"/>
        <v>0</v>
      </c>
      <c r="W106" s="431">
        <f t="shared" si="183"/>
        <v>0</v>
      </c>
      <c r="X106" s="431">
        <f t="shared" si="183"/>
        <v>0</v>
      </c>
      <c r="Y106" s="431">
        <f t="shared" si="183"/>
        <v>32851.263232537996</v>
      </c>
      <c r="Z106" s="431">
        <f t="shared" si="183"/>
        <v>64138.180596859886</v>
      </c>
      <c r="AA106" s="431">
        <f t="shared" si="183"/>
        <v>95425.097961181775</v>
      </c>
      <c r="AB106" s="431">
        <f t="shared" si="183"/>
        <v>126712.01532550369</v>
      </c>
      <c r="AC106" s="431">
        <f t="shared" si="183"/>
        <v>157998.93268982557</v>
      </c>
      <c r="AD106" s="431">
        <f t="shared" si="183"/>
        <v>189285.85005414748</v>
      </c>
      <c r="AE106" s="431">
        <f t="shared" si="183"/>
        <v>195543.23352701182</v>
      </c>
      <c r="AF106" s="431">
        <f t="shared" si="183"/>
        <v>200135.34819755208</v>
      </c>
      <c r="AG106" s="431">
        <f t="shared" si="183"/>
        <v>200135.34819755208</v>
      </c>
      <c r="AH106" s="431">
        <f t="shared" si="183"/>
        <v>232157.00390916044</v>
      </c>
      <c r="AI106" s="431">
        <f t="shared" si="183"/>
        <v>264178.65962076874</v>
      </c>
      <c r="AJ106" s="431">
        <f t="shared" si="183"/>
        <v>296200.3153323771</v>
      </c>
      <c r="AK106" s="431">
        <f t="shared" si="183"/>
        <v>328221.9710439854</v>
      </c>
      <c r="AL106" s="431">
        <f t="shared" si="183"/>
        <v>360243.62675559375</v>
      </c>
      <c r="AM106" s="431">
        <f t="shared" si="183"/>
        <v>360266.43425523327</v>
      </c>
      <c r="AN106" s="431">
        <f t="shared" si="183"/>
        <v>360266.43425523327</v>
      </c>
      <c r="AO106" s="431">
        <f t="shared" si="183"/>
        <v>360266.43425523327</v>
      </c>
      <c r="AP106" s="431">
        <f t="shared" si="183"/>
        <v>360266.43425523327</v>
      </c>
      <c r="AQ106" s="431">
        <f t="shared" si="183"/>
        <v>360266.43425523327</v>
      </c>
      <c r="AR106" s="431">
        <f t="shared" si="183"/>
        <v>368612.83492690464</v>
      </c>
      <c r="AS106" s="431">
        <f t="shared" si="183"/>
        <v>368612.83492690464</v>
      </c>
      <c r="AT106" s="431">
        <f t="shared" si="183"/>
        <v>368612.83492690464</v>
      </c>
      <c r="AU106" s="431">
        <f t="shared" si="183"/>
        <v>368612.83492690464</v>
      </c>
      <c r="AV106" s="431">
        <f t="shared" si="183"/>
        <v>368612.83492690464</v>
      </c>
      <c r="AW106" s="431">
        <f t="shared" si="183"/>
        <v>368612.83492690464</v>
      </c>
      <c r="AX106" s="431">
        <f t="shared" si="183"/>
        <v>368612.83492690464</v>
      </c>
      <c r="AY106" s="431">
        <f t="shared" si="183"/>
        <v>368612.83492690464</v>
      </c>
      <c r="AZ106" s="431">
        <f t="shared" si="183"/>
        <v>368612.83492690464</v>
      </c>
      <c r="BA106" s="431">
        <f t="shared" si="183"/>
        <v>368612.83492690464</v>
      </c>
      <c r="BB106" s="431">
        <f t="shared" si="183"/>
        <v>368612.83492690464</v>
      </c>
      <c r="BC106" s="431">
        <f t="shared" si="183"/>
        <v>368612.83492690464</v>
      </c>
      <c r="BD106" s="431">
        <f t="shared" si="183"/>
        <v>376959.23559857573</v>
      </c>
      <c r="BE106" s="431">
        <f t="shared" si="183"/>
        <v>376959.23559857573</v>
      </c>
      <c r="BF106" s="431">
        <f t="shared" si="183"/>
        <v>376959.23559857573</v>
      </c>
      <c r="BG106" s="431">
        <f t="shared" si="183"/>
        <v>376959.23559857573</v>
      </c>
      <c r="BH106" s="431">
        <f t="shared" si="183"/>
        <v>376959.23559857573</v>
      </c>
      <c r="BI106" s="431">
        <f t="shared" si="183"/>
        <v>376959.23559857573</v>
      </c>
      <c r="BJ106" s="431">
        <f t="shared" si="183"/>
        <v>376959.23559857573</v>
      </c>
      <c r="BK106" s="431">
        <f t="shared" si="183"/>
        <v>376959.23559857573</v>
      </c>
      <c r="BL106" s="431">
        <f t="shared" si="183"/>
        <v>376959.23559857573</v>
      </c>
      <c r="BM106" s="431">
        <f t="shared" si="183"/>
        <v>376959.23559857573</v>
      </c>
      <c r="BN106" s="431">
        <f t="shared" si="183"/>
        <v>376959.23559857573</v>
      </c>
      <c r="BO106" s="431">
        <f t="shared" si="183"/>
        <v>376959.23559857573</v>
      </c>
      <c r="BP106" s="431">
        <f t="shared" si="183"/>
        <v>385305.63627024711</v>
      </c>
      <c r="BQ106" s="431">
        <f t="shared" si="183"/>
        <v>385305.63627024711</v>
      </c>
      <c r="BR106" s="431">
        <f t="shared" si="183"/>
        <v>385305.63627024711</v>
      </c>
      <c r="BS106" s="431">
        <f t="shared" si="183"/>
        <v>385305.63627024711</v>
      </c>
      <c r="BT106" s="431">
        <f t="shared" si="183"/>
        <v>385305.63627024711</v>
      </c>
      <c r="BU106" s="431">
        <f t="shared" ref="BU106:EF106" si="184">SUM(BU76,BU103)</f>
        <v>385305.63627024711</v>
      </c>
      <c r="BV106" s="431">
        <f t="shared" si="184"/>
        <v>385305.63627024711</v>
      </c>
      <c r="BW106" s="431">
        <f t="shared" si="184"/>
        <v>385305.63627024711</v>
      </c>
      <c r="BX106" s="431">
        <f t="shared" si="184"/>
        <v>385305.63627024711</v>
      </c>
      <c r="BY106" s="431">
        <f t="shared" si="184"/>
        <v>385305.63627024711</v>
      </c>
      <c r="BZ106" s="431">
        <f t="shared" si="184"/>
        <v>385305.63627024711</v>
      </c>
      <c r="CA106" s="431">
        <f t="shared" si="184"/>
        <v>385305.63627024711</v>
      </c>
      <c r="CB106" s="431">
        <f t="shared" si="184"/>
        <v>393652.03694191843</v>
      </c>
      <c r="CC106" s="431">
        <f t="shared" si="184"/>
        <v>393652.03694191843</v>
      </c>
      <c r="CD106" s="431">
        <f t="shared" si="184"/>
        <v>393652.03694191843</v>
      </c>
      <c r="CE106" s="431">
        <f t="shared" si="184"/>
        <v>393652.03694191843</v>
      </c>
      <c r="CF106" s="431">
        <f t="shared" si="184"/>
        <v>393652.03694191843</v>
      </c>
      <c r="CG106" s="431">
        <f t="shared" si="184"/>
        <v>393652.03694191843</v>
      </c>
      <c r="CH106" s="431">
        <f t="shared" si="184"/>
        <v>393652.03694191843</v>
      </c>
      <c r="CI106" s="431">
        <f t="shared" si="184"/>
        <v>393652.03694191843</v>
      </c>
      <c r="CJ106" s="431">
        <f t="shared" si="184"/>
        <v>393652.03694191843</v>
      </c>
      <c r="CK106" s="431">
        <f t="shared" si="184"/>
        <v>393652.03694191843</v>
      </c>
      <c r="CL106" s="431">
        <f t="shared" si="184"/>
        <v>393652.03694191843</v>
      </c>
      <c r="CM106" s="431">
        <f t="shared" si="184"/>
        <v>393652.03694191843</v>
      </c>
      <c r="CN106" s="431">
        <f t="shared" si="184"/>
        <v>401998.43761358957</v>
      </c>
      <c r="CO106" s="431">
        <f t="shared" si="184"/>
        <v>401998.43761358957</v>
      </c>
      <c r="CP106" s="431">
        <f t="shared" si="184"/>
        <v>401998.43761358957</v>
      </c>
      <c r="CQ106" s="431">
        <f t="shared" si="184"/>
        <v>401998.43761358957</v>
      </c>
      <c r="CR106" s="431">
        <f t="shared" si="184"/>
        <v>401998.43761358957</v>
      </c>
      <c r="CS106" s="431">
        <f t="shared" si="184"/>
        <v>401998.43761358957</v>
      </c>
      <c r="CT106" s="431">
        <f t="shared" si="184"/>
        <v>401998.43761358957</v>
      </c>
      <c r="CU106" s="431">
        <f t="shared" si="184"/>
        <v>401998.43761358957</v>
      </c>
      <c r="CV106" s="431">
        <f t="shared" si="184"/>
        <v>401998.43761358957</v>
      </c>
      <c r="CW106" s="431">
        <f t="shared" si="184"/>
        <v>401998.43761358957</v>
      </c>
      <c r="CX106" s="431">
        <f t="shared" si="184"/>
        <v>401998.43761358957</v>
      </c>
      <c r="CY106" s="431">
        <f t="shared" si="184"/>
        <v>401998.43761358957</v>
      </c>
      <c r="CZ106" s="431">
        <f t="shared" si="184"/>
        <v>410344.83828526083</v>
      </c>
      <c r="DA106" s="431">
        <f t="shared" si="184"/>
        <v>410344.83828526083</v>
      </c>
      <c r="DB106" s="431">
        <f t="shared" si="184"/>
        <v>410344.83828526083</v>
      </c>
      <c r="DC106" s="431">
        <f t="shared" si="184"/>
        <v>410344.83828526083</v>
      </c>
      <c r="DD106" s="431">
        <f t="shared" si="184"/>
        <v>410344.83828526083</v>
      </c>
      <c r="DE106" s="431">
        <f t="shared" si="184"/>
        <v>410344.83828526083</v>
      </c>
      <c r="DF106" s="431">
        <f t="shared" si="184"/>
        <v>410344.83828526083</v>
      </c>
      <c r="DG106" s="431">
        <f t="shared" si="184"/>
        <v>410344.83828526083</v>
      </c>
      <c r="DH106" s="431">
        <f t="shared" si="184"/>
        <v>410344.83828526083</v>
      </c>
      <c r="DI106" s="431">
        <f t="shared" si="184"/>
        <v>410344.83828526083</v>
      </c>
      <c r="DJ106" s="431">
        <f t="shared" si="184"/>
        <v>410344.83828526083</v>
      </c>
      <c r="DK106" s="431">
        <f t="shared" si="184"/>
        <v>410344.83828526083</v>
      </c>
      <c r="DL106" s="431">
        <f t="shared" si="184"/>
        <v>418691.23895693209</v>
      </c>
      <c r="DM106" s="431">
        <f t="shared" si="184"/>
        <v>418691.23895693209</v>
      </c>
      <c r="DN106" s="431">
        <f t="shared" si="184"/>
        <v>418691.23895693209</v>
      </c>
      <c r="DO106" s="431">
        <f t="shared" si="184"/>
        <v>418691.23895693209</v>
      </c>
      <c r="DP106" s="431">
        <f t="shared" si="184"/>
        <v>418691.23895693209</v>
      </c>
      <c r="DQ106" s="431">
        <f t="shared" si="184"/>
        <v>418691.23895693209</v>
      </c>
      <c r="DR106" s="431">
        <f t="shared" si="184"/>
        <v>418691.23895693209</v>
      </c>
      <c r="DS106" s="431">
        <f t="shared" si="184"/>
        <v>418691.23895693209</v>
      </c>
      <c r="DT106" s="431">
        <f t="shared" si="184"/>
        <v>418691.23895693209</v>
      </c>
      <c r="DU106" s="431">
        <f t="shared" si="184"/>
        <v>418691.23895693209</v>
      </c>
      <c r="DV106" s="431">
        <f t="shared" si="184"/>
        <v>418691.23895693209</v>
      </c>
      <c r="DW106" s="431">
        <f t="shared" si="184"/>
        <v>418691.23895693209</v>
      </c>
      <c r="DX106" s="431">
        <f t="shared" si="184"/>
        <v>427037.63962860336</v>
      </c>
      <c r="DY106" s="431">
        <f t="shared" si="184"/>
        <v>427037.63962860336</v>
      </c>
      <c r="DZ106" s="431">
        <f t="shared" si="184"/>
        <v>427037.63962860336</v>
      </c>
      <c r="EA106" s="431">
        <f t="shared" si="184"/>
        <v>427037.63962860336</v>
      </c>
      <c r="EB106" s="431">
        <f t="shared" si="184"/>
        <v>427037.63962860336</v>
      </c>
      <c r="EC106" s="431">
        <f t="shared" si="184"/>
        <v>427037.63962860336</v>
      </c>
      <c r="ED106" s="431">
        <f t="shared" si="184"/>
        <v>427037.63962860336</v>
      </c>
      <c r="EE106" s="431">
        <f t="shared" si="184"/>
        <v>427037.63962860336</v>
      </c>
      <c r="EF106" s="431">
        <f t="shared" si="184"/>
        <v>427037.63962860336</v>
      </c>
      <c r="EG106" s="431">
        <f t="shared" ref="EG106:FT106" si="185">SUM(EG76,EG103)</f>
        <v>427037.63962860336</v>
      </c>
      <c r="EH106" s="431">
        <f t="shared" si="185"/>
        <v>427037.63962860336</v>
      </c>
      <c r="EI106" s="431">
        <f t="shared" si="185"/>
        <v>427037.63962860336</v>
      </c>
      <c r="EJ106" s="431">
        <f t="shared" si="185"/>
        <v>435384.04030027462</v>
      </c>
      <c r="EK106" s="431">
        <f t="shared" si="185"/>
        <v>435384.04030027462</v>
      </c>
      <c r="EL106" s="431">
        <f t="shared" si="185"/>
        <v>435384.04030027462</v>
      </c>
      <c r="EM106" s="431">
        <f t="shared" si="185"/>
        <v>435384.04030027462</v>
      </c>
      <c r="EN106" s="431">
        <f t="shared" si="185"/>
        <v>435384.04030027462</v>
      </c>
      <c r="EO106" s="431">
        <f t="shared" si="185"/>
        <v>435384.04030027462</v>
      </c>
      <c r="EP106" s="431">
        <f t="shared" si="185"/>
        <v>435384.04030027462</v>
      </c>
      <c r="EQ106" s="431">
        <f t="shared" si="185"/>
        <v>435384.04030027462</v>
      </c>
      <c r="ER106" s="431">
        <f t="shared" si="185"/>
        <v>435384.04030027462</v>
      </c>
      <c r="ES106" s="431">
        <f t="shared" si="185"/>
        <v>435384.04030027462</v>
      </c>
      <c r="ET106" s="431">
        <f t="shared" si="185"/>
        <v>435384.04030027462</v>
      </c>
      <c r="EU106" s="431">
        <f t="shared" si="185"/>
        <v>435384.04030027462</v>
      </c>
      <c r="EV106" s="431">
        <f t="shared" si="185"/>
        <v>0</v>
      </c>
      <c r="EW106" s="431">
        <f t="shared" si="185"/>
        <v>0</v>
      </c>
      <c r="EX106" s="431">
        <f t="shared" si="185"/>
        <v>0</v>
      </c>
      <c r="EY106" s="431">
        <f t="shared" si="185"/>
        <v>0</v>
      </c>
      <c r="EZ106" s="431">
        <f t="shared" si="185"/>
        <v>0</v>
      </c>
      <c r="FA106" s="431">
        <f t="shared" si="185"/>
        <v>0</v>
      </c>
      <c r="FB106" s="431">
        <f t="shared" si="185"/>
        <v>0</v>
      </c>
      <c r="FC106" s="431">
        <f t="shared" si="185"/>
        <v>0</v>
      </c>
      <c r="FD106" s="431">
        <f t="shared" si="185"/>
        <v>0</v>
      </c>
      <c r="FE106" s="431">
        <f t="shared" si="185"/>
        <v>0</v>
      </c>
      <c r="FF106" s="431">
        <f t="shared" si="185"/>
        <v>0</v>
      </c>
      <c r="FG106" s="431">
        <f t="shared" si="185"/>
        <v>0</v>
      </c>
      <c r="FH106" s="431">
        <f t="shared" si="185"/>
        <v>0</v>
      </c>
      <c r="FI106" s="431">
        <f t="shared" si="185"/>
        <v>0</v>
      </c>
      <c r="FJ106" s="431">
        <f t="shared" si="185"/>
        <v>0</v>
      </c>
      <c r="FK106" s="431">
        <f t="shared" si="185"/>
        <v>0</v>
      </c>
      <c r="FL106" s="431">
        <f t="shared" si="185"/>
        <v>0</v>
      </c>
      <c r="FM106" s="431">
        <f t="shared" si="185"/>
        <v>0</v>
      </c>
      <c r="FN106" s="431">
        <f t="shared" si="185"/>
        <v>0</v>
      </c>
      <c r="FO106" s="431">
        <f t="shared" si="185"/>
        <v>0</v>
      </c>
      <c r="FP106" s="431">
        <f t="shared" si="185"/>
        <v>0</v>
      </c>
      <c r="FQ106" s="431">
        <f t="shared" si="185"/>
        <v>0</v>
      </c>
      <c r="FR106" s="431">
        <f t="shared" si="185"/>
        <v>0</v>
      </c>
      <c r="FS106" s="431">
        <f t="shared" si="185"/>
        <v>0</v>
      </c>
      <c r="FT106" s="431">
        <f t="shared" si="185"/>
        <v>0</v>
      </c>
      <c r="FU106" s="43"/>
      <c r="FV106" s="34"/>
      <c r="FW106" s="34"/>
      <c r="FX106" s="34"/>
      <c r="FY106" s="34"/>
      <c r="FZ106" s="34"/>
    </row>
    <row r="107" spans="1:182" s="89" customFormat="1" ht="13.5" x14ac:dyDescent="0.25">
      <c r="A107" s="34"/>
      <c r="B107" s="142"/>
      <c r="C107" s="34"/>
      <c r="D107" s="34"/>
      <c r="E107" s="34"/>
      <c r="F107" s="428"/>
      <c r="G107" s="34"/>
      <c r="H107" s="800"/>
      <c r="I107" s="800"/>
      <c r="J107" s="800"/>
      <c r="K107" s="800"/>
      <c r="L107" s="800"/>
      <c r="M107" s="800"/>
      <c r="N107" s="800"/>
      <c r="O107" s="800"/>
      <c r="P107" s="800"/>
      <c r="Q107" s="800"/>
      <c r="R107" s="800"/>
      <c r="S107" s="800"/>
      <c r="T107" s="800"/>
      <c r="U107" s="800"/>
      <c r="V107" s="800"/>
      <c r="W107" s="800"/>
      <c r="X107" s="800"/>
      <c r="Y107" s="800"/>
      <c r="Z107" s="800"/>
      <c r="AA107" s="800"/>
      <c r="AB107" s="800"/>
      <c r="AC107" s="800"/>
      <c r="AD107" s="800"/>
      <c r="AE107" s="800"/>
      <c r="AF107" s="800"/>
      <c r="AG107" s="800"/>
      <c r="AH107" s="800"/>
      <c r="AI107" s="800"/>
      <c r="AJ107" s="800"/>
      <c r="AK107" s="800"/>
      <c r="AL107" s="800"/>
      <c r="AM107" s="800"/>
      <c r="AN107" s="800"/>
      <c r="AO107" s="800"/>
      <c r="AP107" s="800"/>
      <c r="AQ107" s="800"/>
      <c r="AR107" s="800"/>
      <c r="AS107" s="800"/>
      <c r="AT107" s="800"/>
      <c r="AU107" s="800"/>
      <c r="AV107" s="800"/>
      <c r="AW107" s="800"/>
      <c r="AX107" s="800"/>
      <c r="AY107" s="800"/>
      <c r="AZ107" s="800"/>
      <c r="BA107" s="800"/>
      <c r="BB107" s="800"/>
      <c r="BC107" s="800"/>
      <c r="BD107" s="800"/>
      <c r="BE107" s="800"/>
      <c r="BF107" s="800"/>
      <c r="BG107" s="800"/>
      <c r="BH107" s="800"/>
      <c r="BI107" s="800"/>
      <c r="BJ107" s="800"/>
      <c r="BK107" s="800"/>
      <c r="BL107" s="800"/>
      <c r="BM107" s="800"/>
      <c r="BN107" s="800"/>
      <c r="BO107" s="800"/>
      <c r="BP107" s="800"/>
      <c r="BQ107" s="800"/>
      <c r="BR107" s="800"/>
      <c r="BS107" s="800"/>
      <c r="BT107" s="800"/>
      <c r="BU107" s="800"/>
      <c r="BV107" s="800"/>
      <c r="BW107" s="800"/>
      <c r="BX107" s="800"/>
      <c r="BY107" s="800"/>
      <c r="BZ107" s="800"/>
      <c r="CA107" s="800"/>
      <c r="CB107" s="800"/>
      <c r="CC107" s="800"/>
      <c r="CD107" s="800"/>
      <c r="CE107" s="800"/>
      <c r="CF107" s="800"/>
      <c r="CG107" s="800"/>
      <c r="CH107" s="800"/>
      <c r="CI107" s="800"/>
      <c r="CJ107" s="800"/>
      <c r="CK107" s="800"/>
      <c r="CL107" s="800"/>
      <c r="CM107" s="800"/>
      <c r="CN107" s="800"/>
      <c r="CO107" s="800"/>
      <c r="CP107" s="800"/>
      <c r="CQ107" s="800"/>
      <c r="CR107" s="800"/>
      <c r="CS107" s="800"/>
      <c r="CT107" s="800"/>
      <c r="CU107" s="800"/>
      <c r="CV107" s="800"/>
      <c r="CW107" s="800"/>
      <c r="CX107" s="800"/>
      <c r="CY107" s="800"/>
      <c r="CZ107" s="800"/>
      <c r="DA107" s="800"/>
      <c r="DB107" s="800"/>
      <c r="DC107" s="800"/>
      <c r="DD107" s="800"/>
      <c r="DE107" s="800"/>
      <c r="DF107" s="800"/>
      <c r="DG107" s="800"/>
      <c r="DH107" s="800"/>
      <c r="DI107" s="800"/>
      <c r="DJ107" s="800"/>
      <c r="DK107" s="800"/>
      <c r="DL107" s="800"/>
      <c r="DM107" s="800"/>
      <c r="DN107" s="800"/>
      <c r="DO107" s="800"/>
      <c r="DP107" s="800"/>
      <c r="DQ107" s="800"/>
      <c r="DR107" s="800"/>
      <c r="DS107" s="800"/>
      <c r="DT107" s="800"/>
      <c r="DU107" s="800"/>
      <c r="DV107" s="800"/>
      <c r="DW107" s="800"/>
      <c r="DX107" s="800"/>
      <c r="DY107" s="800"/>
      <c r="DZ107" s="800"/>
      <c r="EA107" s="800"/>
      <c r="EB107" s="800"/>
      <c r="EC107" s="800"/>
      <c r="ED107" s="800"/>
      <c r="EE107" s="800"/>
      <c r="EF107" s="800"/>
      <c r="EG107" s="800"/>
      <c r="EH107" s="800"/>
      <c r="EI107" s="800"/>
      <c r="EJ107" s="800"/>
      <c r="EK107" s="800"/>
      <c r="EL107" s="800"/>
      <c r="EM107" s="800"/>
      <c r="EN107" s="800"/>
      <c r="EO107" s="800"/>
      <c r="EP107" s="800"/>
      <c r="EQ107" s="800"/>
      <c r="ER107" s="800"/>
      <c r="ES107" s="800"/>
      <c r="ET107" s="800"/>
      <c r="EU107" s="800"/>
      <c r="EV107" s="800"/>
      <c r="EW107" s="800"/>
      <c r="EX107" s="800"/>
      <c r="EY107" s="800"/>
      <c r="EZ107" s="800"/>
      <c r="FA107" s="800"/>
      <c r="FB107" s="800"/>
      <c r="FC107" s="800"/>
      <c r="FD107" s="800"/>
      <c r="FE107" s="800"/>
      <c r="FF107" s="800"/>
      <c r="FG107" s="800"/>
      <c r="FH107" s="800"/>
      <c r="FI107" s="800"/>
      <c r="FJ107" s="800"/>
      <c r="FK107" s="800"/>
      <c r="FL107" s="800"/>
      <c r="FM107" s="800"/>
      <c r="FN107" s="800"/>
      <c r="FO107" s="800"/>
      <c r="FP107" s="800"/>
      <c r="FQ107" s="800"/>
      <c r="FR107" s="800"/>
      <c r="FS107" s="800"/>
      <c r="FT107" s="800"/>
      <c r="FU107" s="43"/>
      <c r="FV107" s="34"/>
      <c r="FW107" s="34"/>
      <c r="FX107" s="34"/>
      <c r="FY107" s="34"/>
      <c r="FZ107" s="34"/>
    </row>
    <row r="108" spans="1:182" s="89" customFormat="1" ht="13.5" x14ac:dyDescent="0.25">
      <c r="A108" s="34"/>
      <c r="B108" s="142"/>
      <c r="C108" s="34"/>
      <c r="D108" s="34"/>
      <c r="E108" s="34"/>
      <c r="F108" s="428"/>
      <c r="G108" s="34"/>
      <c r="H108" s="800"/>
      <c r="I108" s="800"/>
      <c r="J108" s="800"/>
      <c r="K108" s="800"/>
      <c r="L108" s="800"/>
      <c r="M108" s="800"/>
      <c r="N108" s="800"/>
      <c r="O108" s="800"/>
      <c r="P108" s="800"/>
      <c r="Q108" s="800"/>
      <c r="R108" s="800"/>
      <c r="S108" s="800"/>
      <c r="T108" s="800"/>
      <c r="U108" s="800"/>
      <c r="V108" s="800"/>
      <c r="W108" s="800"/>
      <c r="X108" s="800"/>
      <c r="Y108" s="800"/>
      <c r="Z108" s="800"/>
      <c r="AA108" s="800"/>
      <c r="AB108" s="800"/>
      <c r="AC108" s="800"/>
      <c r="AD108" s="800"/>
      <c r="AE108" s="800"/>
      <c r="AF108" s="800"/>
      <c r="AG108" s="800"/>
      <c r="AH108" s="800"/>
      <c r="AI108" s="800"/>
      <c r="AJ108" s="800"/>
      <c r="AK108" s="800"/>
      <c r="AL108" s="800"/>
      <c r="AM108" s="800"/>
      <c r="AN108" s="800"/>
      <c r="AO108" s="800"/>
      <c r="AP108" s="800"/>
      <c r="AQ108" s="800"/>
      <c r="AR108" s="800"/>
      <c r="AS108" s="800"/>
      <c r="AT108" s="800"/>
      <c r="AU108" s="800"/>
      <c r="AV108" s="800"/>
      <c r="AW108" s="800"/>
      <c r="AX108" s="800"/>
      <c r="AY108" s="800"/>
      <c r="AZ108" s="800"/>
      <c r="BA108" s="800"/>
      <c r="BB108" s="800"/>
      <c r="BC108" s="800"/>
      <c r="BD108" s="800"/>
      <c r="BE108" s="800"/>
      <c r="BF108" s="800"/>
      <c r="BG108" s="800"/>
      <c r="BH108" s="800"/>
      <c r="BI108" s="800"/>
      <c r="BJ108" s="800"/>
      <c r="BK108" s="800"/>
      <c r="BL108" s="800"/>
      <c r="BM108" s="800"/>
      <c r="BN108" s="800"/>
      <c r="BO108" s="800"/>
      <c r="BP108" s="800"/>
      <c r="BQ108" s="800"/>
      <c r="BR108" s="800"/>
      <c r="BS108" s="800"/>
      <c r="BT108" s="800"/>
      <c r="BU108" s="800"/>
      <c r="BV108" s="800"/>
      <c r="BW108" s="800"/>
      <c r="BX108" s="800"/>
      <c r="BY108" s="800"/>
      <c r="BZ108" s="800"/>
      <c r="CA108" s="800"/>
      <c r="CB108" s="800"/>
      <c r="CC108" s="800"/>
      <c r="CD108" s="800"/>
      <c r="CE108" s="800"/>
      <c r="CF108" s="800"/>
      <c r="CG108" s="800"/>
      <c r="CH108" s="800"/>
      <c r="CI108" s="800"/>
      <c r="CJ108" s="800"/>
      <c r="CK108" s="800"/>
      <c r="CL108" s="800"/>
      <c r="CM108" s="800"/>
      <c r="CN108" s="800"/>
      <c r="CO108" s="800"/>
      <c r="CP108" s="800"/>
      <c r="CQ108" s="800"/>
      <c r="CR108" s="800"/>
      <c r="CS108" s="800"/>
      <c r="CT108" s="800"/>
      <c r="CU108" s="800"/>
      <c r="CV108" s="800"/>
      <c r="CW108" s="800"/>
      <c r="CX108" s="800"/>
      <c r="CY108" s="800"/>
      <c r="CZ108" s="800"/>
      <c r="DA108" s="800"/>
      <c r="DB108" s="800"/>
      <c r="DC108" s="800"/>
      <c r="DD108" s="800"/>
      <c r="DE108" s="800"/>
      <c r="DF108" s="800"/>
      <c r="DG108" s="800"/>
      <c r="DH108" s="800"/>
      <c r="DI108" s="800"/>
      <c r="DJ108" s="800"/>
      <c r="DK108" s="800"/>
      <c r="DL108" s="800"/>
      <c r="DM108" s="800"/>
      <c r="DN108" s="800"/>
      <c r="DO108" s="800"/>
      <c r="DP108" s="800"/>
      <c r="DQ108" s="800"/>
      <c r="DR108" s="800"/>
      <c r="DS108" s="800"/>
      <c r="DT108" s="800"/>
      <c r="DU108" s="800"/>
      <c r="DV108" s="800"/>
      <c r="DW108" s="800"/>
      <c r="DX108" s="800"/>
      <c r="DY108" s="800"/>
      <c r="DZ108" s="800"/>
      <c r="EA108" s="800"/>
      <c r="EB108" s="800"/>
      <c r="EC108" s="800"/>
      <c r="ED108" s="800"/>
      <c r="EE108" s="800"/>
      <c r="EF108" s="800"/>
      <c r="EG108" s="800"/>
      <c r="EH108" s="800"/>
      <c r="EI108" s="800"/>
      <c r="EJ108" s="800"/>
      <c r="EK108" s="800"/>
      <c r="EL108" s="800"/>
      <c r="EM108" s="800"/>
      <c r="EN108" s="800"/>
      <c r="EO108" s="800"/>
      <c r="EP108" s="800"/>
      <c r="EQ108" s="800"/>
      <c r="ER108" s="800"/>
      <c r="ES108" s="800"/>
      <c r="ET108" s="800"/>
      <c r="EU108" s="800"/>
      <c r="EV108" s="800"/>
      <c r="EW108" s="800"/>
      <c r="EX108" s="800"/>
      <c r="EY108" s="800"/>
      <c r="EZ108" s="800"/>
      <c r="FA108" s="800"/>
      <c r="FB108" s="800"/>
      <c r="FC108" s="800"/>
      <c r="FD108" s="800"/>
      <c r="FE108" s="800"/>
      <c r="FF108" s="800"/>
      <c r="FG108" s="800"/>
      <c r="FH108" s="800"/>
      <c r="FI108" s="800"/>
      <c r="FJ108" s="800"/>
      <c r="FK108" s="800"/>
      <c r="FL108" s="800"/>
      <c r="FM108" s="800"/>
      <c r="FN108" s="800"/>
      <c r="FO108" s="800"/>
      <c r="FP108" s="800"/>
      <c r="FQ108" s="800"/>
      <c r="FR108" s="800"/>
      <c r="FS108" s="800"/>
      <c r="FT108" s="800"/>
      <c r="FU108" s="43"/>
      <c r="FV108" s="34"/>
      <c r="FW108" s="34"/>
      <c r="FX108" s="34"/>
      <c r="FY108" s="34"/>
      <c r="FZ108" s="34"/>
    </row>
    <row r="109" spans="1:182" s="89" customFormat="1" ht="13.5" x14ac:dyDescent="0.25">
      <c r="A109" s="34"/>
      <c r="B109" s="73" t="s">
        <v>560</v>
      </c>
      <c r="C109" s="34"/>
      <c r="D109" s="34"/>
      <c r="E109" s="34"/>
      <c r="F109" s="428"/>
      <c r="G109" s="34"/>
      <c r="H109" s="800"/>
      <c r="I109" s="800"/>
      <c r="J109" s="800"/>
      <c r="K109" s="800"/>
      <c r="L109" s="800"/>
      <c r="M109" s="800"/>
      <c r="N109" s="800"/>
      <c r="O109" s="800"/>
      <c r="P109" s="800"/>
      <c r="Q109" s="800"/>
      <c r="R109" s="800"/>
      <c r="S109" s="800"/>
      <c r="T109" s="800"/>
      <c r="U109" s="800"/>
      <c r="V109" s="800"/>
      <c r="W109" s="800"/>
      <c r="X109" s="800"/>
      <c r="Y109" s="800"/>
      <c r="Z109" s="800"/>
      <c r="AA109" s="800"/>
      <c r="AB109" s="800"/>
      <c r="AC109" s="800"/>
      <c r="AD109" s="800"/>
      <c r="AE109" s="800"/>
      <c r="AF109" s="800"/>
      <c r="AG109" s="800"/>
      <c r="AH109" s="800"/>
      <c r="AI109" s="800"/>
      <c r="AJ109" s="800"/>
      <c r="AK109" s="800"/>
      <c r="AL109" s="800"/>
      <c r="AM109" s="800"/>
      <c r="AN109" s="800"/>
      <c r="AO109" s="800"/>
      <c r="AP109" s="800"/>
      <c r="AQ109" s="800"/>
      <c r="AR109" s="800"/>
      <c r="AS109" s="800"/>
      <c r="AT109" s="800"/>
      <c r="AU109" s="800"/>
      <c r="AV109" s="800"/>
      <c r="AW109" s="800"/>
      <c r="AX109" s="800"/>
      <c r="AY109" s="800"/>
      <c r="AZ109" s="800"/>
      <c r="BA109" s="800"/>
      <c r="BB109" s="800"/>
      <c r="BC109" s="800"/>
      <c r="BD109" s="800"/>
      <c r="BE109" s="800"/>
      <c r="BF109" s="800"/>
      <c r="BG109" s="800"/>
      <c r="BH109" s="800"/>
      <c r="BI109" s="800"/>
      <c r="BJ109" s="800"/>
      <c r="BK109" s="800"/>
      <c r="BL109" s="800"/>
      <c r="BM109" s="800"/>
      <c r="BN109" s="800"/>
      <c r="BO109" s="800"/>
      <c r="BP109" s="800"/>
      <c r="BQ109" s="800"/>
      <c r="BR109" s="800"/>
      <c r="BS109" s="800"/>
      <c r="BT109" s="800"/>
      <c r="BU109" s="800"/>
      <c r="BV109" s="800"/>
      <c r="BW109" s="800"/>
      <c r="BX109" s="800"/>
      <c r="BY109" s="800"/>
      <c r="BZ109" s="800"/>
      <c r="CA109" s="800"/>
      <c r="CB109" s="800"/>
      <c r="CC109" s="800"/>
      <c r="CD109" s="800"/>
      <c r="CE109" s="800"/>
      <c r="CF109" s="800"/>
      <c r="CG109" s="800"/>
      <c r="CH109" s="800"/>
      <c r="CI109" s="800"/>
      <c r="CJ109" s="800"/>
      <c r="CK109" s="800"/>
      <c r="CL109" s="800"/>
      <c r="CM109" s="800"/>
      <c r="CN109" s="800"/>
      <c r="CO109" s="800"/>
      <c r="CP109" s="800"/>
      <c r="CQ109" s="800"/>
      <c r="CR109" s="800"/>
      <c r="CS109" s="800"/>
      <c r="CT109" s="800"/>
      <c r="CU109" s="800"/>
      <c r="CV109" s="800"/>
      <c r="CW109" s="800"/>
      <c r="CX109" s="800"/>
      <c r="CY109" s="800"/>
      <c r="CZ109" s="800"/>
      <c r="DA109" s="800"/>
      <c r="DB109" s="800"/>
      <c r="DC109" s="800"/>
      <c r="DD109" s="800"/>
      <c r="DE109" s="800"/>
      <c r="DF109" s="800"/>
      <c r="DG109" s="800"/>
      <c r="DH109" s="800"/>
      <c r="DI109" s="800"/>
      <c r="DJ109" s="800"/>
      <c r="DK109" s="800"/>
      <c r="DL109" s="800"/>
      <c r="DM109" s="800"/>
      <c r="DN109" s="800"/>
      <c r="DO109" s="800"/>
      <c r="DP109" s="800"/>
      <c r="DQ109" s="800"/>
      <c r="DR109" s="800"/>
      <c r="DS109" s="800"/>
      <c r="DT109" s="800"/>
      <c r="DU109" s="800"/>
      <c r="DV109" s="800"/>
      <c r="DW109" s="800"/>
      <c r="DX109" s="800"/>
      <c r="DY109" s="800"/>
      <c r="DZ109" s="800"/>
      <c r="EA109" s="800"/>
      <c r="EB109" s="800"/>
      <c r="EC109" s="800"/>
      <c r="ED109" s="800"/>
      <c r="EE109" s="800"/>
      <c r="EF109" s="800"/>
      <c r="EG109" s="800"/>
      <c r="EH109" s="800"/>
      <c r="EI109" s="800"/>
      <c r="EJ109" s="800"/>
      <c r="EK109" s="800"/>
      <c r="EL109" s="800"/>
      <c r="EM109" s="800"/>
      <c r="EN109" s="800"/>
      <c r="EO109" s="800"/>
      <c r="EP109" s="800"/>
      <c r="EQ109" s="800"/>
      <c r="ER109" s="800"/>
      <c r="ES109" s="800"/>
      <c r="ET109" s="800"/>
      <c r="EU109" s="800"/>
      <c r="EV109" s="800"/>
      <c r="EW109" s="800"/>
      <c r="EX109" s="800"/>
      <c r="EY109" s="800"/>
      <c r="EZ109" s="800"/>
      <c r="FA109" s="800"/>
      <c r="FB109" s="800"/>
      <c r="FC109" s="800"/>
      <c r="FD109" s="800"/>
      <c r="FE109" s="800"/>
      <c r="FF109" s="800"/>
      <c r="FG109" s="800"/>
      <c r="FH109" s="800"/>
      <c r="FI109" s="800"/>
      <c r="FJ109" s="800"/>
      <c r="FK109" s="800"/>
      <c r="FL109" s="800"/>
      <c r="FM109" s="800"/>
      <c r="FN109" s="800"/>
      <c r="FO109" s="800"/>
      <c r="FP109" s="800"/>
      <c r="FQ109" s="800"/>
      <c r="FR109" s="800"/>
      <c r="FS109" s="800"/>
      <c r="FT109" s="800"/>
      <c r="FU109" s="43"/>
      <c r="FV109" s="34"/>
      <c r="FW109" s="34"/>
      <c r="FX109" s="34"/>
      <c r="FY109" s="34"/>
      <c r="FZ109" s="34"/>
    </row>
    <row r="110" spans="1:182" s="89" customFormat="1" ht="13.5" x14ac:dyDescent="0.25">
      <c r="A110" s="34"/>
      <c r="B110" s="128" t="s">
        <v>561</v>
      </c>
      <c r="C110" s="34"/>
      <c r="D110" s="34"/>
      <c r="E110" s="34"/>
      <c r="F110" s="434">
        <f>SUM(H110:FT110)</f>
        <v>0</v>
      </c>
      <c r="G110" s="34"/>
      <c r="H110" s="427">
        <f>IF('Financing Assumptions'!$H$44="No",0,IF(AND('Financing Assumptions'!$H$44="Yes",H$9&lt;&gt;'Financing Assumptions'!$G$47),0,IF(AND('Financing Assumptions'!$H$44="Yes",H$9='Financing Assumptions'!$G$47),-SUM('Financing Assumptions'!$H$60:$H$61))))</f>
        <v>0</v>
      </c>
      <c r="I110" s="427">
        <f>IF('Financing Assumptions'!$H$44="No",0,IF(AND('Financing Assumptions'!$H$44="Yes",I$9&lt;&gt;'Financing Assumptions'!$G$47),0,IF(AND('Financing Assumptions'!$H$44="Yes",I$9='Financing Assumptions'!$G$47),-SUM('Financing Assumptions'!$H$60:$H$61))))</f>
        <v>0</v>
      </c>
      <c r="J110" s="427">
        <f>IF('Financing Assumptions'!$H$44="No",0,IF(AND('Financing Assumptions'!$H$44="Yes",J$9&lt;&gt;'Financing Assumptions'!$G$47),0,IF(AND('Financing Assumptions'!$H$44="Yes",J$9='Financing Assumptions'!$G$47),-SUM('Financing Assumptions'!$H$60:$H$61))))</f>
        <v>0</v>
      </c>
      <c r="K110" s="427">
        <f>IF('Financing Assumptions'!$H$44="No",0,IF(AND('Financing Assumptions'!$H$44="Yes",K$9&lt;&gt;'Financing Assumptions'!$G$47),0,IF(AND('Financing Assumptions'!$H$44="Yes",K$9='Financing Assumptions'!$G$47),-SUM('Financing Assumptions'!$H$60:$H$61))))</f>
        <v>0</v>
      </c>
      <c r="L110" s="427">
        <f>IF('Financing Assumptions'!$H$44="No",0,IF(AND('Financing Assumptions'!$H$44="Yes",L$9&lt;&gt;'Financing Assumptions'!$G$47),0,IF(AND('Financing Assumptions'!$H$44="Yes",L$9='Financing Assumptions'!$G$47),-SUM('Financing Assumptions'!$H$60:$H$61))))</f>
        <v>0</v>
      </c>
      <c r="M110" s="427">
        <f>IF('Financing Assumptions'!$H$44="No",0,IF(AND('Financing Assumptions'!$H$44="Yes",M$9&lt;&gt;'Financing Assumptions'!$G$47),0,IF(AND('Financing Assumptions'!$H$44="Yes",M$9='Financing Assumptions'!$G$47),-SUM('Financing Assumptions'!$H$60:$H$61))))</f>
        <v>0</v>
      </c>
      <c r="N110" s="427">
        <f>IF('Financing Assumptions'!$H$44="No",0,IF(AND('Financing Assumptions'!$H$44="Yes",N$9&lt;&gt;'Financing Assumptions'!$G$47),0,IF(AND('Financing Assumptions'!$H$44="Yes",N$9='Financing Assumptions'!$G$47),-SUM('Financing Assumptions'!$H$60:$H$61))))</f>
        <v>0</v>
      </c>
      <c r="O110" s="427">
        <f>IF('Financing Assumptions'!$H$44="No",0,IF(AND('Financing Assumptions'!$H$44="Yes",O$9&lt;&gt;'Financing Assumptions'!$G$47),0,IF(AND('Financing Assumptions'!$H$44="Yes",O$9='Financing Assumptions'!$G$47),-SUM('Financing Assumptions'!$H$60:$H$61))))</f>
        <v>0</v>
      </c>
      <c r="P110" s="427">
        <f>IF('Financing Assumptions'!$H$44="No",0,IF(AND('Financing Assumptions'!$H$44="Yes",P$9&lt;&gt;'Financing Assumptions'!$G$47),0,IF(AND('Financing Assumptions'!$H$44="Yes",P$9='Financing Assumptions'!$G$47),-SUM('Financing Assumptions'!$H$60:$H$61))))</f>
        <v>0</v>
      </c>
      <c r="Q110" s="427">
        <f>IF('Financing Assumptions'!$H$44="No",0,IF(AND('Financing Assumptions'!$H$44="Yes",Q$9&lt;&gt;'Financing Assumptions'!$G$47),0,IF(AND('Financing Assumptions'!$H$44="Yes",Q$9='Financing Assumptions'!$G$47),-SUM('Financing Assumptions'!$H$60:$H$61))))</f>
        <v>0</v>
      </c>
      <c r="R110" s="427">
        <f>IF('Financing Assumptions'!$H$44="No",0,IF(AND('Financing Assumptions'!$H$44="Yes",R$9&lt;&gt;'Financing Assumptions'!$G$47),0,IF(AND('Financing Assumptions'!$H$44="Yes",R$9='Financing Assumptions'!$G$47),-SUM('Financing Assumptions'!$H$60:$H$61))))</f>
        <v>0</v>
      </c>
      <c r="S110" s="427">
        <f>IF('Financing Assumptions'!$H$44="No",0,IF(AND('Financing Assumptions'!$H$44="Yes",S$9&lt;&gt;'Financing Assumptions'!$G$47),0,IF(AND('Financing Assumptions'!$H$44="Yes",S$9='Financing Assumptions'!$G$47),-SUM('Financing Assumptions'!$H$60:$H$61))))</f>
        <v>0</v>
      </c>
      <c r="T110" s="427">
        <f>IF('Financing Assumptions'!$H$44="No",0,IF(AND('Financing Assumptions'!$H$44="Yes",T$9&lt;&gt;'Financing Assumptions'!$G$47),0,IF(AND('Financing Assumptions'!$H$44="Yes",T$9='Financing Assumptions'!$G$47),-SUM('Financing Assumptions'!$H$60:$H$61))))</f>
        <v>0</v>
      </c>
      <c r="U110" s="427">
        <f>IF('Financing Assumptions'!$H$44="No",0,IF(AND('Financing Assumptions'!$H$44="Yes",U$9&lt;&gt;'Financing Assumptions'!$G$47),0,IF(AND('Financing Assumptions'!$H$44="Yes",U$9='Financing Assumptions'!$G$47),-SUM('Financing Assumptions'!$H$60:$H$61))))</f>
        <v>0</v>
      </c>
      <c r="V110" s="427">
        <f>IF('Financing Assumptions'!$H$44="No",0,IF(AND('Financing Assumptions'!$H$44="Yes",V$9&lt;&gt;'Financing Assumptions'!$G$47),0,IF(AND('Financing Assumptions'!$H$44="Yes",V$9='Financing Assumptions'!$G$47),-SUM('Financing Assumptions'!$H$60:$H$61))))</f>
        <v>0</v>
      </c>
      <c r="W110" s="427">
        <f>IF('Financing Assumptions'!$H$44="No",0,IF(AND('Financing Assumptions'!$H$44="Yes",W$9&lt;&gt;'Financing Assumptions'!$G$47),0,IF(AND('Financing Assumptions'!$H$44="Yes",W$9='Financing Assumptions'!$G$47),-SUM('Financing Assumptions'!$H$60:$H$61))))</f>
        <v>0</v>
      </c>
      <c r="X110" s="427">
        <f>IF('Financing Assumptions'!$H$44="No",0,IF(AND('Financing Assumptions'!$H$44="Yes",X$9&lt;&gt;'Financing Assumptions'!$G$47),0,IF(AND('Financing Assumptions'!$H$44="Yes",X$9='Financing Assumptions'!$G$47),-SUM('Financing Assumptions'!$H$60:$H$61))))</f>
        <v>0</v>
      </c>
      <c r="Y110" s="427">
        <f>IF('Financing Assumptions'!$H$44="No",0,IF(AND('Financing Assumptions'!$H$44="Yes",Y$9&lt;&gt;'Financing Assumptions'!$G$47),0,IF(AND('Financing Assumptions'!$H$44="Yes",Y$9='Financing Assumptions'!$G$47),-SUM('Financing Assumptions'!$H$60:$H$61))))</f>
        <v>0</v>
      </c>
      <c r="Z110" s="427">
        <f>IF('Financing Assumptions'!$H$44="No",0,IF(AND('Financing Assumptions'!$H$44="Yes",Z$9&lt;&gt;'Financing Assumptions'!$G$47),0,IF(AND('Financing Assumptions'!$H$44="Yes",Z$9='Financing Assumptions'!$G$47),-SUM('Financing Assumptions'!$H$60:$H$61))))</f>
        <v>0</v>
      </c>
      <c r="AA110" s="427">
        <f>IF('Financing Assumptions'!$H$44="No",0,IF(AND('Financing Assumptions'!$H$44="Yes",AA$9&lt;&gt;'Financing Assumptions'!$G$47),0,IF(AND('Financing Assumptions'!$H$44="Yes",AA$9='Financing Assumptions'!$G$47),-SUM('Financing Assumptions'!$H$60:$H$61))))</f>
        <v>0</v>
      </c>
      <c r="AB110" s="427">
        <f>IF('Financing Assumptions'!$H$44="No",0,IF(AND('Financing Assumptions'!$H$44="Yes",AB$9&lt;&gt;'Financing Assumptions'!$G$47),0,IF(AND('Financing Assumptions'!$H$44="Yes",AB$9='Financing Assumptions'!$G$47),-SUM('Financing Assumptions'!$H$60:$H$61))))</f>
        <v>0</v>
      </c>
      <c r="AC110" s="427">
        <f>IF('Financing Assumptions'!$H$44="No",0,IF(AND('Financing Assumptions'!$H$44="Yes",AC$9&lt;&gt;'Financing Assumptions'!$G$47),0,IF(AND('Financing Assumptions'!$H$44="Yes",AC$9='Financing Assumptions'!$G$47),-SUM('Financing Assumptions'!$H$60:$H$61))))</f>
        <v>0</v>
      </c>
      <c r="AD110" s="427">
        <f>IF('Financing Assumptions'!$H$44="No",0,IF(AND('Financing Assumptions'!$H$44="Yes",AD$9&lt;&gt;'Financing Assumptions'!$G$47),0,IF(AND('Financing Assumptions'!$H$44="Yes",AD$9='Financing Assumptions'!$G$47),-SUM('Financing Assumptions'!$H$60:$H$61))))</f>
        <v>0</v>
      </c>
      <c r="AE110" s="427">
        <f>IF('Financing Assumptions'!$H$44="No",0,IF(AND('Financing Assumptions'!$H$44="Yes",AE$9&lt;&gt;'Financing Assumptions'!$G$47),0,IF(AND('Financing Assumptions'!$H$44="Yes",AE$9='Financing Assumptions'!$G$47),-SUM('Financing Assumptions'!$H$60:$H$61))))</f>
        <v>0</v>
      </c>
      <c r="AF110" s="427">
        <f>IF('Financing Assumptions'!$H$44="No",0,IF(AND('Financing Assumptions'!$H$44="Yes",AF$9&lt;&gt;'Financing Assumptions'!$G$47),0,IF(AND('Financing Assumptions'!$H$44="Yes",AF$9='Financing Assumptions'!$G$47),-SUM('Financing Assumptions'!$H$60:$H$61))))</f>
        <v>0</v>
      </c>
      <c r="AG110" s="427">
        <f>IF('Financing Assumptions'!$H$44="No",0,IF(AND('Financing Assumptions'!$H$44="Yes",AG$9&lt;&gt;'Financing Assumptions'!$G$47),0,IF(AND('Financing Assumptions'!$H$44="Yes",AG$9='Financing Assumptions'!$G$47),-SUM('Financing Assumptions'!$H$60:$H$61))))</f>
        <v>0</v>
      </c>
      <c r="AH110" s="427">
        <f>IF('Financing Assumptions'!$H$44="No",0,IF(AND('Financing Assumptions'!$H$44="Yes",AH$9&lt;&gt;'Financing Assumptions'!$G$47),0,IF(AND('Financing Assumptions'!$H$44="Yes",AH$9='Financing Assumptions'!$G$47),-SUM('Financing Assumptions'!$H$60:$H$61))))</f>
        <v>0</v>
      </c>
      <c r="AI110" s="427">
        <f>IF('Financing Assumptions'!$H$44="No",0,IF(AND('Financing Assumptions'!$H$44="Yes",AI$9&lt;&gt;'Financing Assumptions'!$G$47),0,IF(AND('Financing Assumptions'!$H$44="Yes",AI$9='Financing Assumptions'!$G$47),-SUM('Financing Assumptions'!$H$60:$H$61))))</f>
        <v>0</v>
      </c>
      <c r="AJ110" s="427">
        <f>IF('Financing Assumptions'!$H$44="No",0,IF(AND('Financing Assumptions'!$H$44="Yes",AJ$9&lt;&gt;'Financing Assumptions'!$G$47),0,IF(AND('Financing Assumptions'!$H$44="Yes",AJ$9='Financing Assumptions'!$G$47),-SUM('Financing Assumptions'!$H$60:$H$61))))</f>
        <v>0</v>
      </c>
      <c r="AK110" s="427">
        <f>IF('Financing Assumptions'!$H$44="No",0,IF(AND('Financing Assumptions'!$H$44="Yes",AK$9&lt;&gt;'Financing Assumptions'!$G$47),0,IF(AND('Financing Assumptions'!$H$44="Yes",AK$9='Financing Assumptions'!$G$47),-SUM('Financing Assumptions'!$H$60:$H$61))))</f>
        <v>0</v>
      </c>
      <c r="AL110" s="427">
        <f>IF('Financing Assumptions'!$H$44="No",0,IF(AND('Financing Assumptions'!$H$44="Yes",AL$9&lt;&gt;'Financing Assumptions'!$G$47),0,IF(AND('Financing Assumptions'!$H$44="Yes",AL$9='Financing Assumptions'!$G$47),-SUM('Financing Assumptions'!$H$60:$H$61))))</f>
        <v>0</v>
      </c>
      <c r="AM110" s="427">
        <f>IF('Financing Assumptions'!$H$44="No",0,IF(AND('Financing Assumptions'!$H$44="Yes",AM$9&lt;&gt;'Financing Assumptions'!$G$47),0,IF(AND('Financing Assumptions'!$H$44="Yes",AM$9='Financing Assumptions'!$G$47),-SUM('Financing Assumptions'!$H$60:$H$61))))</f>
        <v>0</v>
      </c>
      <c r="AN110" s="427">
        <f>IF('Financing Assumptions'!$H$44="No",0,IF(AND('Financing Assumptions'!$H$44="Yes",AN$9&lt;&gt;'Financing Assumptions'!$G$47),0,IF(AND('Financing Assumptions'!$H$44="Yes",AN$9='Financing Assumptions'!$G$47),-SUM('Financing Assumptions'!$H$60:$H$61))))</f>
        <v>0</v>
      </c>
      <c r="AO110" s="427">
        <f>IF('Financing Assumptions'!$H$44="No",0,IF(AND('Financing Assumptions'!$H$44="Yes",AO$9&lt;&gt;'Financing Assumptions'!$G$47),0,IF(AND('Financing Assumptions'!$H$44="Yes",AO$9='Financing Assumptions'!$G$47),-SUM('Financing Assumptions'!$H$60:$H$61))))</f>
        <v>0</v>
      </c>
      <c r="AP110" s="427">
        <f>IF('Financing Assumptions'!$H$44="No",0,IF(AND('Financing Assumptions'!$H$44="Yes",AP$9&lt;&gt;'Financing Assumptions'!$G$47),0,IF(AND('Financing Assumptions'!$H$44="Yes",AP$9='Financing Assumptions'!$G$47),-SUM('Financing Assumptions'!$H$60:$H$61))))</f>
        <v>0</v>
      </c>
      <c r="AQ110" s="427">
        <f>IF('Financing Assumptions'!$H$44="No",0,IF(AND('Financing Assumptions'!$H$44="Yes",AQ$9&lt;&gt;'Financing Assumptions'!$G$47),0,IF(AND('Financing Assumptions'!$H$44="Yes",AQ$9='Financing Assumptions'!$G$47),-SUM('Financing Assumptions'!$H$60:$H$61))))</f>
        <v>0</v>
      </c>
      <c r="AR110" s="427">
        <f>IF('Financing Assumptions'!$H$44="No",0,IF(AND('Financing Assumptions'!$H$44="Yes",AR$9&lt;&gt;'Financing Assumptions'!$G$47),0,IF(AND('Financing Assumptions'!$H$44="Yes",AR$9='Financing Assumptions'!$G$47),-SUM('Financing Assumptions'!$H$60:$H$61))))</f>
        <v>0</v>
      </c>
      <c r="AS110" s="427">
        <f>IF('Financing Assumptions'!$H$44="No",0,IF(AND('Financing Assumptions'!$H$44="Yes",AS$9&lt;&gt;'Financing Assumptions'!$G$47),0,IF(AND('Financing Assumptions'!$H$44="Yes",AS$9='Financing Assumptions'!$G$47),-SUM('Financing Assumptions'!$H$60:$H$61))))</f>
        <v>0</v>
      </c>
      <c r="AT110" s="427">
        <f>IF('Financing Assumptions'!$H$44="No",0,IF(AND('Financing Assumptions'!$H$44="Yes",AT$9&lt;&gt;'Financing Assumptions'!$G$47),0,IF(AND('Financing Assumptions'!$H$44="Yes",AT$9='Financing Assumptions'!$G$47),-SUM('Financing Assumptions'!$H$60:$H$61))))</f>
        <v>0</v>
      </c>
      <c r="AU110" s="427">
        <f>IF('Financing Assumptions'!$H$44="No",0,IF(AND('Financing Assumptions'!$H$44="Yes",AU$9&lt;&gt;'Financing Assumptions'!$G$47),0,IF(AND('Financing Assumptions'!$H$44="Yes",AU$9='Financing Assumptions'!$G$47),-SUM('Financing Assumptions'!$H$60:$H$61))))</f>
        <v>0</v>
      </c>
      <c r="AV110" s="427">
        <f>IF('Financing Assumptions'!$H$44="No",0,IF(AND('Financing Assumptions'!$H$44="Yes",AV$9&lt;&gt;'Financing Assumptions'!$G$47),0,IF(AND('Financing Assumptions'!$H$44="Yes",AV$9='Financing Assumptions'!$G$47),-SUM('Financing Assumptions'!$H$60:$H$61))))</f>
        <v>0</v>
      </c>
      <c r="AW110" s="427">
        <f>IF('Financing Assumptions'!$H$44="No",0,IF(AND('Financing Assumptions'!$H$44="Yes",AW$9&lt;&gt;'Financing Assumptions'!$G$47),0,IF(AND('Financing Assumptions'!$H$44="Yes",AW$9='Financing Assumptions'!$G$47),-SUM('Financing Assumptions'!$H$60:$H$61))))</f>
        <v>0</v>
      </c>
      <c r="AX110" s="427">
        <f>IF('Financing Assumptions'!$H$44="No",0,IF(AND('Financing Assumptions'!$H$44="Yes",AX$9&lt;&gt;'Financing Assumptions'!$G$47),0,IF(AND('Financing Assumptions'!$H$44="Yes",AX$9='Financing Assumptions'!$G$47),-SUM('Financing Assumptions'!$H$60:$H$61))))</f>
        <v>0</v>
      </c>
      <c r="AY110" s="427">
        <f>IF('Financing Assumptions'!$H$44="No",0,IF(AND('Financing Assumptions'!$H$44="Yes",AY$9&lt;&gt;'Financing Assumptions'!$G$47),0,IF(AND('Financing Assumptions'!$H$44="Yes",AY$9='Financing Assumptions'!$G$47),-SUM('Financing Assumptions'!$H$60:$H$61))))</f>
        <v>0</v>
      </c>
      <c r="AZ110" s="427">
        <f>IF('Financing Assumptions'!$H$44="No",0,IF(AND('Financing Assumptions'!$H$44="Yes",AZ$9&lt;&gt;'Financing Assumptions'!$G$47),0,IF(AND('Financing Assumptions'!$H$44="Yes",AZ$9='Financing Assumptions'!$G$47),-SUM('Financing Assumptions'!$H$60:$H$61))))</f>
        <v>0</v>
      </c>
      <c r="BA110" s="427">
        <f>IF('Financing Assumptions'!$H$44="No",0,IF(AND('Financing Assumptions'!$H$44="Yes",BA$9&lt;&gt;'Financing Assumptions'!$G$47),0,IF(AND('Financing Assumptions'!$H$44="Yes",BA$9='Financing Assumptions'!$G$47),-SUM('Financing Assumptions'!$H$60:$H$61))))</f>
        <v>0</v>
      </c>
      <c r="BB110" s="427">
        <f>IF('Financing Assumptions'!$H$44="No",0,IF(AND('Financing Assumptions'!$H$44="Yes",BB$9&lt;&gt;'Financing Assumptions'!$G$47),0,IF(AND('Financing Assumptions'!$H$44="Yes",BB$9='Financing Assumptions'!$G$47),-SUM('Financing Assumptions'!$H$60:$H$61))))</f>
        <v>0</v>
      </c>
      <c r="BC110" s="427">
        <f>IF('Financing Assumptions'!$H$44="No",0,IF(AND('Financing Assumptions'!$H$44="Yes",BC$9&lt;&gt;'Financing Assumptions'!$G$47),0,IF(AND('Financing Assumptions'!$H$44="Yes",BC$9='Financing Assumptions'!$G$47),-SUM('Financing Assumptions'!$H$60:$H$61))))</f>
        <v>0</v>
      </c>
      <c r="BD110" s="427">
        <f>IF('Financing Assumptions'!$H$44="No",0,IF(AND('Financing Assumptions'!$H$44="Yes",BD$9&lt;&gt;'Financing Assumptions'!$G$47),0,IF(AND('Financing Assumptions'!$H$44="Yes",BD$9='Financing Assumptions'!$G$47),-SUM('Financing Assumptions'!$H$60:$H$61))))</f>
        <v>0</v>
      </c>
      <c r="BE110" s="427">
        <f>IF('Financing Assumptions'!$H$44="No",0,IF(AND('Financing Assumptions'!$H$44="Yes",BE$9&lt;&gt;'Financing Assumptions'!$G$47),0,IF(AND('Financing Assumptions'!$H$44="Yes",BE$9='Financing Assumptions'!$G$47),-SUM('Financing Assumptions'!$H$60:$H$61))))</f>
        <v>0</v>
      </c>
      <c r="BF110" s="427">
        <f>IF('Financing Assumptions'!$H$44="No",0,IF(AND('Financing Assumptions'!$H$44="Yes",BF$9&lt;&gt;'Financing Assumptions'!$G$47),0,IF(AND('Financing Assumptions'!$H$44="Yes",BF$9='Financing Assumptions'!$G$47),-SUM('Financing Assumptions'!$H$60:$H$61))))</f>
        <v>0</v>
      </c>
      <c r="BG110" s="427">
        <f>IF('Financing Assumptions'!$H$44="No",0,IF(AND('Financing Assumptions'!$H$44="Yes",BG$9&lt;&gt;'Financing Assumptions'!$G$47),0,IF(AND('Financing Assumptions'!$H$44="Yes",BG$9='Financing Assumptions'!$G$47),-SUM('Financing Assumptions'!$H$60:$H$61))))</f>
        <v>0</v>
      </c>
      <c r="BH110" s="427">
        <f>IF('Financing Assumptions'!$H$44="No",0,IF(AND('Financing Assumptions'!$H$44="Yes",BH$9&lt;&gt;'Financing Assumptions'!$G$47),0,IF(AND('Financing Assumptions'!$H$44="Yes",BH$9='Financing Assumptions'!$G$47),-SUM('Financing Assumptions'!$H$60:$H$61))))</f>
        <v>0</v>
      </c>
      <c r="BI110" s="427">
        <f>IF('Financing Assumptions'!$H$44="No",0,IF(AND('Financing Assumptions'!$H$44="Yes",BI$9&lt;&gt;'Financing Assumptions'!$G$47),0,IF(AND('Financing Assumptions'!$H$44="Yes",BI$9='Financing Assumptions'!$G$47),-SUM('Financing Assumptions'!$H$60:$H$61))))</f>
        <v>0</v>
      </c>
      <c r="BJ110" s="427">
        <f>IF('Financing Assumptions'!$H$44="No",0,IF(AND('Financing Assumptions'!$H$44="Yes",BJ$9&lt;&gt;'Financing Assumptions'!$G$47),0,IF(AND('Financing Assumptions'!$H$44="Yes",BJ$9='Financing Assumptions'!$G$47),-SUM('Financing Assumptions'!$H$60:$H$61))))</f>
        <v>0</v>
      </c>
      <c r="BK110" s="427">
        <f>IF('Financing Assumptions'!$H$44="No",0,IF(AND('Financing Assumptions'!$H$44="Yes",BK$9&lt;&gt;'Financing Assumptions'!$G$47),0,IF(AND('Financing Assumptions'!$H$44="Yes",BK$9='Financing Assumptions'!$G$47),-SUM('Financing Assumptions'!$H$60:$H$61))))</f>
        <v>0</v>
      </c>
      <c r="BL110" s="427">
        <f>IF('Financing Assumptions'!$H$44="No",0,IF(AND('Financing Assumptions'!$H$44="Yes",BL$9&lt;&gt;'Financing Assumptions'!$G$47),0,IF(AND('Financing Assumptions'!$H$44="Yes",BL$9='Financing Assumptions'!$G$47),-SUM('Financing Assumptions'!$H$60:$H$61))))</f>
        <v>0</v>
      </c>
      <c r="BM110" s="427">
        <f>IF('Financing Assumptions'!$H$44="No",0,IF(AND('Financing Assumptions'!$H$44="Yes",BM$9&lt;&gt;'Financing Assumptions'!$G$47),0,IF(AND('Financing Assumptions'!$H$44="Yes",BM$9='Financing Assumptions'!$G$47),-SUM('Financing Assumptions'!$H$60:$H$61))))</f>
        <v>0</v>
      </c>
      <c r="BN110" s="427">
        <f>IF('Financing Assumptions'!$H$44="No",0,IF(AND('Financing Assumptions'!$H$44="Yes",BN$9&lt;&gt;'Financing Assumptions'!$G$47),0,IF(AND('Financing Assumptions'!$H$44="Yes",BN$9='Financing Assumptions'!$G$47),-SUM('Financing Assumptions'!$H$60:$H$61))))</f>
        <v>0</v>
      </c>
      <c r="BO110" s="427">
        <f>IF('Financing Assumptions'!$H$44="No",0,IF(AND('Financing Assumptions'!$H$44="Yes",BO$9&lt;&gt;'Financing Assumptions'!$G$47),0,IF(AND('Financing Assumptions'!$H$44="Yes",BO$9='Financing Assumptions'!$G$47),-SUM('Financing Assumptions'!$H$60:$H$61))))</f>
        <v>0</v>
      </c>
      <c r="BP110" s="427">
        <f>IF('Financing Assumptions'!$H$44="No",0,IF(AND('Financing Assumptions'!$H$44="Yes",BP$9&lt;&gt;'Financing Assumptions'!$G$47),0,IF(AND('Financing Assumptions'!$H$44="Yes",BP$9='Financing Assumptions'!$G$47),-SUM('Financing Assumptions'!$H$60:$H$61))))</f>
        <v>0</v>
      </c>
      <c r="BQ110" s="427">
        <f>IF('Financing Assumptions'!$H$44="No",0,IF(AND('Financing Assumptions'!$H$44="Yes",BQ$9&lt;&gt;'Financing Assumptions'!$G$47),0,IF(AND('Financing Assumptions'!$H$44="Yes",BQ$9='Financing Assumptions'!$G$47),-SUM('Financing Assumptions'!$H$60:$H$61))))</f>
        <v>0</v>
      </c>
      <c r="BR110" s="427">
        <f>IF('Financing Assumptions'!$H$44="No",0,IF(AND('Financing Assumptions'!$H$44="Yes",BR$9&lt;&gt;'Financing Assumptions'!$G$47),0,IF(AND('Financing Assumptions'!$H$44="Yes",BR$9='Financing Assumptions'!$G$47),-SUM('Financing Assumptions'!$H$60:$H$61))))</f>
        <v>0</v>
      </c>
      <c r="BS110" s="427">
        <f>IF('Financing Assumptions'!$H$44="No",0,IF(AND('Financing Assumptions'!$H$44="Yes",BS$9&lt;&gt;'Financing Assumptions'!$G$47),0,IF(AND('Financing Assumptions'!$H$44="Yes",BS$9='Financing Assumptions'!$G$47),-SUM('Financing Assumptions'!$H$60:$H$61))))</f>
        <v>0</v>
      </c>
      <c r="BT110" s="427">
        <f>IF('Financing Assumptions'!$H$44="No",0,IF(AND('Financing Assumptions'!$H$44="Yes",BT$9&lt;&gt;'Financing Assumptions'!$G$47),0,IF(AND('Financing Assumptions'!$H$44="Yes",BT$9='Financing Assumptions'!$G$47),-SUM('Financing Assumptions'!$H$60:$H$61))))</f>
        <v>0</v>
      </c>
      <c r="BU110" s="427">
        <f>IF('Financing Assumptions'!$H$44="No",0,IF(AND('Financing Assumptions'!$H$44="Yes",BU$9&lt;&gt;'Financing Assumptions'!$G$47),0,IF(AND('Financing Assumptions'!$H$44="Yes",BU$9='Financing Assumptions'!$G$47),-SUM('Financing Assumptions'!$H$60:$H$61))))</f>
        <v>0</v>
      </c>
      <c r="BV110" s="427">
        <f>IF('Financing Assumptions'!$H$44="No",0,IF(AND('Financing Assumptions'!$H$44="Yes",BV$9&lt;&gt;'Financing Assumptions'!$G$47),0,IF(AND('Financing Assumptions'!$H$44="Yes",BV$9='Financing Assumptions'!$G$47),-SUM('Financing Assumptions'!$H$60:$H$61))))</f>
        <v>0</v>
      </c>
      <c r="BW110" s="427">
        <f>IF('Financing Assumptions'!$H$44="No",0,IF(AND('Financing Assumptions'!$H$44="Yes",BW$9&lt;&gt;'Financing Assumptions'!$G$47),0,IF(AND('Financing Assumptions'!$H$44="Yes",BW$9='Financing Assumptions'!$G$47),-SUM('Financing Assumptions'!$H$60:$H$61))))</f>
        <v>0</v>
      </c>
      <c r="BX110" s="427">
        <f>IF('Financing Assumptions'!$H$44="No",0,IF(AND('Financing Assumptions'!$H$44="Yes",BX$9&lt;&gt;'Financing Assumptions'!$G$47),0,IF(AND('Financing Assumptions'!$H$44="Yes",BX$9='Financing Assumptions'!$G$47),-SUM('Financing Assumptions'!$H$60:$H$61))))</f>
        <v>0</v>
      </c>
      <c r="BY110" s="427">
        <f>IF('Financing Assumptions'!$H$44="No",0,IF(AND('Financing Assumptions'!$H$44="Yes",BY$9&lt;&gt;'Financing Assumptions'!$G$47),0,IF(AND('Financing Assumptions'!$H$44="Yes",BY$9='Financing Assumptions'!$G$47),-SUM('Financing Assumptions'!$H$60:$H$61))))</f>
        <v>0</v>
      </c>
      <c r="BZ110" s="427">
        <f>IF('Financing Assumptions'!$H$44="No",0,IF(AND('Financing Assumptions'!$H$44="Yes",BZ$9&lt;&gt;'Financing Assumptions'!$G$47),0,IF(AND('Financing Assumptions'!$H$44="Yes",BZ$9='Financing Assumptions'!$G$47),-SUM('Financing Assumptions'!$H$60:$H$61))))</f>
        <v>0</v>
      </c>
      <c r="CA110" s="427">
        <f>IF('Financing Assumptions'!$H$44="No",0,IF(AND('Financing Assumptions'!$H$44="Yes",CA$9&lt;&gt;'Financing Assumptions'!$G$47),0,IF(AND('Financing Assumptions'!$H$44="Yes",CA$9='Financing Assumptions'!$G$47),-SUM('Financing Assumptions'!$H$60:$H$61))))</f>
        <v>0</v>
      </c>
      <c r="CB110" s="427">
        <f>IF('Financing Assumptions'!$H$44="No",0,IF(AND('Financing Assumptions'!$H$44="Yes",CB$9&lt;&gt;'Financing Assumptions'!$G$47),0,IF(AND('Financing Assumptions'!$H$44="Yes",CB$9='Financing Assumptions'!$G$47),-SUM('Financing Assumptions'!$H$60:$H$61))))</f>
        <v>0</v>
      </c>
      <c r="CC110" s="427">
        <f>IF('Financing Assumptions'!$H$44="No",0,IF(AND('Financing Assumptions'!$H$44="Yes",CC$9&lt;&gt;'Financing Assumptions'!$G$47),0,IF(AND('Financing Assumptions'!$H$44="Yes",CC$9='Financing Assumptions'!$G$47),-SUM('Financing Assumptions'!$H$60:$H$61))))</f>
        <v>0</v>
      </c>
      <c r="CD110" s="427">
        <f>IF('Financing Assumptions'!$H$44="No",0,IF(AND('Financing Assumptions'!$H$44="Yes",CD$9&lt;&gt;'Financing Assumptions'!$G$47),0,IF(AND('Financing Assumptions'!$H$44="Yes",CD$9='Financing Assumptions'!$G$47),-SUM('Financing Assumptions'!$H$60:$H$61))))</f>
        <v>0</v>
      </c>
      <c r="CE110" s="427">
        <f>IF('Financing Assumptions'!$H$44="No",0,IF(AND('Financing Assumptions'!$H$44="Yes",CE$9&lt;&gt;'Financing Assumptions'!$G$47),0,IF(AND('Financing Assumptions'!$H$44="Yes",CE$9='Financing Assumptions'!$G$47),-SUM('Financing Assumptions'!$H$60:$H$61))))</f>
        <v>0</v>
      </c>
      <c r="CF110" s="427">
        <f>IF('Financing Assumptions'!$H$44="No",0,IF(AND('Financing Assumptions'!$H$44="Yes",CF$9&lt;&gt;'Financing Assumptions'!$G$47),0,IF(AND('Financing Assumptions'!$H$44="Yes",CF$9='Financing Assumptions'!$G$47),-SUM('Financing Assumptions'!$H$60:$H$61))))</f>
        <v>0</v>
      </c>
      <c r="CG110" s="427">
        <f>IF('Financing Assumptions'!$H$44="No",0,IF(AND('Financing Assumptions'!$H$44="Yes",CG$9&lt;&gt;'Financing Assumptions'!$G$47),0,IF(AND('Financing Assumptions'!$H$44="Yes",CG$9='Financing Assumptions'!$G$47),-SUM('Financing Assumptions'!$H$60:$H$61))))</f>
        <v>0</v>
      </c>
      <c r="CH110" s="427">
        <f>IF('Financing Assumptions'!$H$44="No",0,IF(AND('Financing Assumptions'!$H$44="Yes",CH$9&lt;&gt;'Financing Assumptions'!$G$47),0,IF(AND('Financing Assumptions'!$H$44="Yes",CH$9='Financing Assumptions'!$G$47),-SUM('Financing Assumptions'!$H$60:$H$61))))</f>
        <v>0</v>
      </c>
      <c r="CI110" s="427">
        <f>IF('Financing Assumptions'!$H$44="No",0,IF(AND('Financing Assumptions'!$H$44="Yes",CI$9&lt;&gt;'Financing Assumptions'!$G$47),0,IF(AND('Financing Assumptions'!$H$44="Yes",CI$9='Financing Assumptions'!$G$47),-SUM('Financing Assumptions'!$H$60:$H$61))))</f>
        <v>0</v>
      </c>
      <c r="CJ110" s="427">
        <f>IF('Financing Assumptions'!$H$44="No",0,IF(AND('Financing Assumptions'!$H$44="Yes",CJ$9&lt;&gt;'Financing Assumptions'!$G$47),0,IF(AND('Financing Assumptions'!$H$44="Yes",CJ$9='Financing Assumptions'!$G$47),-SUM('Financing Assumptions'!$H$60:$H$61))))</f>
        <v>0</v>
      </c>
      <c r="CK110" s="427">
        <f>IF('Financing Assumptions'!$H$44="No",0,IF(AND('Financing Assumptions'!$H$44="Yes",CK$9&lt;&gt;'Financing Assumptions'!$G$47),0,IF(AND('Financing Assumptions'!$H$44="Yes",CK$9='Financing Assumptions'!$G$47),-SUM('Financing Assumptions'!$H$60:$H$61))))</f>
        <v>0</v>
      </c>
      <c r="CL110" s="427">
        <f>IF('Financing Assumptions'!$H$44="No",0,IF(AND('Financing Assumptions'!$H$44="Yes",CL$9&lt;&gt;'Financing Assumptions'!$G$47),0,IF(AND('Financing Assumptions'!$H$44="Yes",CL$9='Financing Assumptions'!$G$47),-SUM('Financing Assumptions'!$H$60:$H$61))))</f>
        <v>0</v>
      </c>
      <c r="CM110" s="427">
        <f>IF('Financing Assumptions'!$H$44="No",0,IF(AND('Financing Assumptions'!$H$44="Yes",CM$9&lt;&gt;'Financing Assumptions'!$G$47),0,IF(AND('Financing Assumptions'!$H$44="Yes",CM$9='Financing Assumptions'!$G$47),-SUM('Financing Assumptions'!$H$60:$H$61))))</f>
        <v>0</v>
      </c>
      <c r="CN110" s="427">
        <f>IF('Financing Assumptions'!$H$44="No",0,IF(AND('Financing Assumptions'!$H$44="Yes",CN$9&lt;&gt;'Financing Assumptions'!$G$47),0,IF(AND('Financing Assumptions'!$H$44="Yes",CN$9='Financing Assumptions'!$G$47),-SUM('Financing Assumptions'!$H$60:$H$61))))</f>
        <v>0</v>
      </c>
      <c r="CO110" s="427">
        <f>IF('Financing Assumptions'!$H$44="No",0,IF(AND('Financing Assumptions'!$H$44="Yes",CO$9&lt;&gt;'Financing Assumptions'!$G$47),0,IF(AND('Financing Assumptions'!$H$44="Yes",CO$9='Financing Assumptions'!$G$47),-SUM('Financing Assumptions'!$H$60:$H$61))))</f>
        <v>0</v>
      </c>
      <c r="CP110" s="427">
        <f>IF('Financing Assumptions'!$H$44="No",0,IF(AND('Financing Assumptions'!$H$44="Yes",CP$9&lt;&gt;'Financing Assumptions'!$G$47),0,IF(AND('Financing Assumptions'!$H$44="Yes",CP$9='Financing Assumptions'!$G$47),-SUM('Financing Assumptions'!$H$60:$H$61))))</f>
        <v>0</v>
      </c>
      <c r="CQ110" s="427">
        <f>IF('Financing Assumptions'!$H$44="No",0,IF(AND('Financing Assumptions'!$H$44="Yes",CQ$9&lt;&gt;'Financing Assumptions'!$G$47),0,IF(AND('Financing Assumptions'!$H$44="Yes",CQ$9='Financing Assumptions'!$G$47),-SUM('Financing Assumptions'!$H$60:$H$61))))</f>
        <v>0</v>
      </c>
      <c r="CR110" s="427">
        <f>IF('Financing Assumptions'!$H$44="No",0,IF(AND('Financing Assumptions'!$H$44="Yes",CR$9&lt;&gt;'Financing Assumptions'!$G$47),0,IF(AND('Financing Assumptions'!$H$44="Yes",CR$9='Financing Assumptions'!$G$47),-SUM('Financing Assumptions'!$H$60:$H$61))))</f>
        <v>0</v>
      </c>
      <c r="CS110" s="427">
        <f>IF('Financing Assumptions'!$H$44="No",0,IF(AND('Financing Assumptions'!$H$44="Yes",CS$9&lt;&gt;'Financing Assumptions'!$G$47),0,IF(AND('Financing Assumptions'!$H$44="Yes",CS$9='Financing Assumptions'!$G$47),-SUM('Financing Assumptions'!$H$60:$H$61))))</f>
        <v>0</v>
      </c>
      <c r="CT110" s="427">
        <f>IF('Financing Assumptions'!$H$44="No",0,IF(AND('Financing Assumptions'!$H$44="Yes",CT$9&lt;&gt;'Financing Assumptions'!$G$47),0,IF(AND('Financing Assumptions'!$H$44="Yes",CT$9='Financing Assumptions'!$G$47),-SUM('Financing Assumptions'!$H$60:$H$61))))</f>
        <v>0</v>
      </c>
      <c r="CU110" s="427">
        <f>IF('Financing Assumptions'!$H$44="No",0,IF(AND('Financing Assumptions'!$H$44="Yes",CU$9&lt;&gt;'Financing Assumptions'!$G$47),0,IF(AND('Financing Assumptions'!$H$44="Yes",CU$9='Financing Assumptions'!$G$47),-SUM('Financing Assumptions'!$H$60:$H$61))))</f>
        <v>0</v>
      </c>
      <c r="CV110" s="427">
        <f>IF('Financing Assumptions'!$H$44="No",0,IF(AND('Financing Assumptions'!$H$44="Yes",CV$9&lt;&gt;'Financing Assumptions'!$G$47),0,IF(AND('Financing Assumptions'!$H$44="Yes",CV$9='Financing Assumptions'!$G$47),-SUM('Financing Assumptions'!$H$60:$H$61))))</f>
        <v>0</v>
      </c>
      <c r="CW110" s="427">
        <f>IF('Financing Assumptions'!$H$44="No",0,IF(AND('Financing Assumptions'!$H$44="Yes",CW$9&lt;&gt;'Financing Assumptions'!$G$47),0,IF(AND('Financing Assumptions'!$H$44="Yes",CW$9='Financing Assumptions'!$G$47),-SUM('Financing Assumptions'!$H$60:$H$61))))</f>
        <v>0</v>
      </c>
      <c r="CX110" s="427">
        <f>IF('Financing Assumptions'!$H$44="No",0,IF(AND('Financing Assumptions'!$H$44="Yes",CX$9&lt;&gt;'Financing Assumptions'!$G$47),0,IF(AND('Financing Assumptions'!$H$44="Yes",CX$9='Financing Assumptions'!$G$47),-SUM('Financing Assumptions'!$H$60:$H$61))))</f>
        <v>0</v>
      </c>
      <c r="CY110" s="427">
        <f>IF('Financing Assumptions'!$H$44="No",0,IF(AND('Financing Assumptions'!$H$44="Yes",CY$9&lt;&gt;'Financing Assumptions'!$G$47),0,IF(AND('Financing Assumptions'!$H$44="Yes",CY$9='Financing Assumptions'!$G$47),-SUM('Financing Assumptions'!$H$60:$H$61))))</f>
        <v>0</v>
      </c>
      <c r="CZ110" s="427">
        <f>IF('Financing Assumptions'!$H$44="No",0,IF(AND('Financing Assumptions'!$H$44="Yes",CZ$9&lt;&gt;'Financing Assumptions'!$G$47),0,IF(AND('Financing Assumptions'!$H$44="Yes",CZ$9='Financing Assumptions'!$G$47),-SUM('Financing Assumptions'!$H$60:$H$61))))</f>
        <v>0</v>
      </c>
      <c r="DA110" s="427">
        <f>IF('Financing Assumptions'!$H$44="No",0,IF(AND('Financing Assumptions'!$H$44="Yes",DA$9&lt;&gt;'Financing Assumptions'!$G$47),0,IF(AND('Financing Assumptions'!$H$44="Yes",DA$9='Financing Assumptions'!$G$47),-SUM('Financing Assumptions'!$H$60:$H$61))))</f>
        <v>0</v>
      </c>
      <c r="DB110" s="427">
        <f>IF('Financing Assumptions'!$H$44="No",0,IF(AND('Financing Assumptions'!$H$44="Yes",DB$9&lt;&gt;'Financing Assumptions'!$G$47),0,IF(AND('Financing Assumptions'!$H$44="Yes",DB$9='Financing Assumptions'!$G$47),-SUM('Financing Assumptions'!$H$60:$H$61))))</f>
        <v>0</v>
      </c>
      <c r="DC110" s="427">
        <f>IF('Financing Assumptions'!$H$44="No",0,IF(AND('Financing Assumptions'!$H$44="Yes",DC$9&lt;&gt;'Financing Assumptions'!$G$47),0,IF(AND('Financing Assumptions'!$H$44="Yes",DC$9='Financing Assumptions'!$G$47),-SUM('Financing Assumptions'!$H$60:$H$61))))</f>
        <v>0</v>
      </c>
      <c r="DD110" s="427">
        <f>IF('Financing Assumptions'!$H$44="No",0,IF(AND('Financing Assumptions'!$H$44="Yes",DD$9&lt;&gt;'Financing Assumptions'!$G$47),0,IF(AND('Financing Assumptions'!$H$44="Yes",DD$9='Financing Assumptions'!$G$47),-SUM('Financing Assumptions'!$H$60:$H$61))))</f>
        <v>0</v>
      </c>
      <c r="DE110" s="427">
        <f>IF('Financing Assumptions'!$H$44="No",0,IF(AND('Financing Assumptions'!$H$44="Yes",DE$9&lt;&gt;'Financing Assumptions'!$G$47),0,IF(AND('Financing Assumptions'!$H$44="Yes",DE$9='Financing Assumptions'!$G$47),-SUM('Financing Assumptions'!$H$60:$H$61))))</f>
        <v>0</v>
      </c>
      <c r="DF110" s="427">
        <f>IF('Financing Assumptions'!$H$44="No",0,IF(AND('Financing Assumptions'!$H$44="Yes",DF$9&lt;&gt;'Financing Assumptions'!$G$47),0,IF(AND('Financing Assumptions'!$H$44="Yes",DF$9='Financing Assumptions'!$G$47),-SUM('Financing Assumptions'!$H$60:$H$61))))</f>
        <v>0</v>
      </c>
      <c r="DG110" s="427">
        <f>IF('Financing Assumptions'!$H$44="No",0,IF(AND('Financing Assumptions'!$H$44="Yes",DG$9&lt;&gt;'Financing Assumptions'!$G$47),0,IF(AND('Financing Assumptions'!$H$44="Yes",DG$9='Financing Assumptions'!$G$47),-SUM('Financing Assumptions'!$H$60:$H$61))))</f>
        <v>0</v>
      </c>
      <c r="DH110" s="427">
        <f>IF('Financing Assumptions'!$H$44="No",0,IF(AND('Financing Assumptions'!$H$44="Yes",DH$9&lt;&gt;'Financing Assumptions'!$G$47),0,IF(AND('Financing Assumptions'!$H$44="Yes",DH$9='Financing Assumptions'!$G$47),-SUM('Financing Assumptions'!$H$60:$H$61))))</f>
        <v>0</v>
      </c>
      <c r="DI110" s="427">
        <f>IF('Financing Assumptions'!$H$44="No",0,IF(AND('Financing Assumptions'!$H$44="Yes",DI$9&lt;&gt;'Financing Assumptions'!$G$47),0,IF(AND('Financing Assumptions'!$H$44="Yes",DI$9='Financing Assumptions'!$G$47),-SUM('Financing Assumptions'!$H$60:$H$61))))</f>
        <v>0</v>
      </c>
      <c r="DJ110" s="427">
        <f>IF('Financing Assumptions'!$H$44="No",0,IF(AND('Financing Assumptions'!$H$44="Yes",DJ$9&lt;&gt;'Financing Assumptions'!$G$47),0,IF(AND('Financing Assumptions'!$H$44="Yes",DJ$9='Financing Assumptions'!$G$47),-SUM('Financing Assumptions'!$H$60:$H$61))))</f>
        <v>0</v>
      </c>
      <c r="DK110" s="427">
        <f>IF('Financing Assumptions'!$H$44="No",0,IF(AND('Financing Assumptions'!$H$44="Yes",DK$9&lt;&gt;'Financing Assumptions'!$G$47),0,IF(AND('Financing Assumptions'!$H$44="Yes",DK$9='Financing Assumptions'!$G$47),-SUM('Financing Assumptions'!$H$60:$H$61))))</f>
        <v>0</v>
      </c>
      <c r="DL110" s="427">
        <f>IF('Financing Assumptions'!$H$44="No",0,IF(AND('Financing Assumptions'!$H$44="Yes",DL$9&lt;&gt;'Financing Assumptions'!$G$47),0,IF(AND('Financing Assumptions'!$H$44="Yes",DL$9='Financing Assumptions'!$G$47),-SUM('Financing Assumptions'!$H$60:$H$61))))</f>
        <v>0</v>
      </c>
      <c r="DM110" s="427">
        <f>IF('Financing Assumptions'!$H$44="No",0,IF(AND('Financing Assumptions'!$H$44="Yes",DM$9&lt;&gt;'Financing Assumptions'!$G$47),0,IF(AND('Financing Assumptions'!$H$44="Yes",DM$9='Financing Assumptions'!$G$47),-SUM('Financing Assumptions'!$H$60:$H$61))))</f>
        <v>0</v>
      </c>
      <c r="DN110" s="427">
        <f>IF('Financing Assumptions'!$H$44="No",0,IF(AND('Financing Assumptions'!$H$44="Yes",DN$9&lt;&gt;'Financing Assumptions'!$G$47),0,IF(AND('Financing Assumptions'!$H$44="Yes",DN$9='Financing Assumptions'!$G$47),-SUM('Financing Assumptions'!$H$60:$H$61))))</f>
        <v>0</v>
      </c>
      <c r="DO110" s="427">
        <f>IF('Financing Assumptions'!$H$44="No",0,IF(AND('Financing Assumptions'!$H$44="Yes",DO$9&lt;&gt;'Financing Assumptions'!$G$47),0,IF(AND('Financing Assumptions'!$H$44="Yes",DO$9='Financing Assumptions'!$G$47),-SUM('Financing Assumptions'!$H$60:$H$61))))</f>
        <v>0</v>
      </c>
      <c r="DP110" s="427">
        <f>IF('Financing Assumptions'!$H$44="No",0,IF(AND('Financing Assumptions'!$H$44="Yes",DP$9&lt;&gt;'Financing Assumptions'!$G$47),0,IF(AND('Financing Assumptions'!$H$44="Yes",DP$9='Financing Assumptions'!$G$47),-SUM('Financing Assumptions'!$H$60:$H$61))))</f>
        <v>0</v>
      </c>
      <c r="DQ110" s="427">
        <f>IF('Financing Assumptions'!$H$44="No",0,IF(AND('Financing Assumptions'!$H$44="Yes",DQ$9&lt;&gt;'Financing Assumptions'!$G$47),0,IF(AND('Financing Assumptions'!$H$44="Yes",DQ$9='Financing Assumptions'!$G$47),-SUM('Financing Assumptions'!$H$60:$H$61))))</f>
        <v>0</v>
      </c>
      <c r="DR110" s="427">
        <f>IF('Financing Assumptions'!$H$44="No",0,IF(AND('Financing Assumptions'!$H$44="Yes",DR$9&lt;&gt;'Financing Assumptions'!$G$47),0,IF(AND('Financing Assumptions'!$H$44="Yes",DR$9='Financing Assumptions'!$G$47),-SUM('Financing Assumptions'!$H$60:$H$61))))</f>
        <v>0</v>
      </c>
      <c r="DS110" s="427">
        <f>IF('Financing Assumptions'!$H$44="No",0,IF(AND('Financing Assumptions'!$H$44="Yes",DS$9&lt;&gt;'Financing Assumptions'!$G$47),0,IF(AND('Financing Assumptions'!$H$44="Yes",DS$9='Financing Assumptions'!$G$47),-SUM('Financing Assumptions'!$H$60:$H$61))))</f>
        <v>0</v>
      </c>
      <c r="DT110" s="427">
        <f>IF('Financing Assumptions'!$H$44="No",0,IF(AND('Financing Assumptions'!$H$44="Yes",DT$9&lt;&gt;'Financing Assumptions'!$G$47),0,IF(AND('Financing Assumptions'!$H$44="Yes",DT$9='Financing Assumptions'!$G$47),-SUM('Financing Assumptions'!$H$60:$H$61))))</f>
        <v>0</v>
      </c>
      <c r="DU110" s="427">
        <f>IF('Financing Assumptions'!$H$44="No",0,IF(AND('Financing Assumptions'!$H$44="Yes",DU$9&lt;&gt;'Financing Assumptions'!$G$47),0,IF(AND('Financing Assumptions'!$H$44="Yes",DU$9='Financing Assumptions'!$G$47),-SUM('Financing Assumptions'!$H$60:$H$61))))</f>
        <v>0</v>
      </c>
      <c r="DV110" s="427">
        <f>IF('Financing Assumptions'!$H$44="No",0,IF(AND('Financing Assumptions'!$H$44="Yes",DV$9&lt;&gt;'Financing Assumptions'!$G$47),0,IF(AND('Financing Assumptions'!$H$44="Yes",DV$9='Financing Assumptions'!$G$47),-SUM('Financing Assumptions'!$H$60:$H$61))))</f>
        <v>0</v>
      </c>
      <c r="DW110" s="427">
        <f>IF('Financing Assumptions'!$H$44="No",0,IF(AND('Financing Assumptions'!$H$44="Yes",DW$9&lt;&gt;'Financing Assumptions'!$G$47),0,IF(AND('Financing Assumptions'!$H$44="Yes",DW$9='Financing Assumptions'!$G$47),-SUM('Financing Assumptions'!$H$60:$H$61))))</f>
        <v>0</v>
      </c>
      <c r="DX110" s="427">
        <f>IF('Financing Assumptions'!$H$44="No",0,IF(AND('Financing Assumptions'!$H$44="Yes",DX$9&lt;&gt;'Financing Assumptions'!$G$47),0,IF(AND('Financing Assumptions'!$H$44="Yes",DX$9='Financing Assumptions'!$G$47),-SUM('Financing Assumptions'!$H$60:$H$61))))</f>
        <v>0</v>
      </c>
      <c r="DY110" s="427">
        <f>IF('Financing Assumptions'!$H$44="No",0,IF(AND('Financing Assumptions'!$H$44="Yes",DY$9&lt;&gt;'Financing Assumptions'!$G$47),0,IF(AND('Financing Assumptions'!$H$44="Yes",DY$9='Financing Assumptions'!$G$47),-SUM('Financing Assumptions'!$H$60:$H$61))))</f>
        <v>0</v>
      </c>
      <c r="DZ110" s="427">
        <f>IF('Financing Assumptions'!$H$44="No",0,IF(AND('Financing Assumptions'!$H$44="Yes",DZ$9&lt;&gt;'Financing Assumptions'!$G$47),0,IF(AND('Financing Assumptions'!$H$44="Yes",DZ$9='Financing Assumptions'!$G$47),-SUM('Financing Assumptions'!$H$60:$H$61))))</f>
        <v>0</v>
      </c>
      <c r="EA110" s="427">
        <f>IF('Financing Assumptions'!$H$44="No",0,IF(AND('Financing Assumptions'!$H$44="Yes",EA$9&lt;&gt;'Financing Assumptions'!$G$47),0,IF(AND('Financing Assumptions'!$H$44="Yes",EA$9='Financing Assumptions'!$G$47),-SUM('Financing Assumptions'!$H$60:$H$61))))</f>
        <v>0</v>
      </c>
      <c r="EB110" s="427">
        <f>IF('Financing Assumptions'!$H$44="No",0,IF(AND('Financing Assumptions'!$H$44="Yes",EB$9&lt;&gt;'Financing Assumptions'!$G$47),0,IF(AND('Financing Assumptions'!$H$44="Yes",EB$9='Financing Assumptions'!$G$47),-SUM('Financing Assumptions'!$H$60:$H$61))))</f>
        <v>0</v>
      </c>
      <c r="EC110" s="427">
        <f>IF('Financing Assumptions'!$H$44="No",0,IF(AND('Financing Assumptions'!$H$44="Yes",EC$9&lt;&gt;'Financing Assumptions'!$G$47),0,IF(AND('Financing Assumptions'!$H$44="Yes",EC$9='Financing Assumptions'!$G$47),-SUM('Financing Assumptions'!$H$60:$H$61))))</f>
        <v>0</v>
      </c>
      <c r="ED110" s="427">
        <f>IF('Financing Assumptions'!$H$44="No",0,IF(AND('Financing Assumptions'!$H$44="Yes",ED$9&lt;&gt;'Financing Assumptions'!$G$47),0,IF(AND('Financing Assumptions'!$H$44="Yes",ED$9='Financing Assumptions'!$G$47),-SUM('Financing Assumptions'!$H$60:$H$61))))</f>
        <v>0</v>
      </c>
      <c r="EE110" s="427">
        <f>IF('Financing Assumptions'!$H$44="No",0,IF(AND('Financing Assumptions'!$H$44="Yes",EE$9&lt;&gt;'Financing Assumptions'!$G$47),0,IF(AND('Financing Assumptions'!$H$44="Yes",EE$9='Financing Assumptions'!$G$47),-SUM('Financing Assumptions'!$H$60:$H$61))))</f>
        <v>0</v>
      </c>
      <c r="EF110" s="427">
        <f>IF('Financing Assumptions'!$H$44="No",0,IF(AND('Financing Assumptions'!$H$44="Yes",EF$9&lt;&gt;'Financing Assumptions'!$G$47),0,IF(AND('Financing Assumptions'!$H$44="Yes",EF$9='Financing Assumptions'!$G$47),-SUM('Financing Assumptions'!$H$60:$H$61))))</f>
        <v>0</v>
      </c>
      <c r="EG110" s="427">
        <f>IF('Financing Assumptions'!$H$44="No",0,IF(AND('Financing Assumptions'!$H$44="Yes",EG$9&lt;&gt;'Financing Assumptions'!$G$47),0,IF(AND('Financing Assumptions'!$H$44="Yes",EG$9='Financing Assumptions'!$G$47),-SUM('Financing Assumptions'!$H$60:$H$61))))</f>
        <v>0</v>
      </c>
      <c r="EH110" s="427">
        <f>IF('Financing Assumptions'!$H$44="No",0,IF(AND('Financing Assumptions'!$H$44="Yes",EH$9&lt;&gt;'Financing Assumptions'!$G$47),0,IF(AND('Financing Assumptions'!$H$44="Yes",EH$9='Financing Assumptions'!$G$47),-SUM('Financing Assumptions'!$H$60:$H$61))))</f>
        <v>0</v>
      </c>
      <c r="EI110" s="427">
        <f>IF('Financing Assumptions'!$H$44="No",0,IF(AND('Financing Assumptions'!$H$44="Yes",EI$9&lt;&gt;'Financing Assumptions'!$G$47),0,IF(AND('Financing Assumptions'!$H$44="Yes",EI$9='Financing Assumptions'!$G$47),-SUM('Financing Assumptions'!$H$60:$H$61))))</f>
        <v>0</v>
      </c>
      <c r="EJ110" s="427">
        <f>IF('Financing Assumptions'!$H$44="No",0,IF(AND('Financing Assumptions'!$H$44="Yes",EJ$9&lt;&gt;'Financing Assumptions'!$G$47),0,IF(AND('Financing Assumptions'!$H$44="Yes",EJ$9='Financing Assumptions'!$G$47),-SUM('Financing Assumptions'!$H$60:$H$61))))</f>
        <v>0</v>
      </c>
      <c r="EK110" s="427">
        <f>IF('Financing Assumptions'!$H$44="No",0,IF(AND('Financing Assumptions'!$H$44="Yes",EK$9&lt;&gt;'Financing Assumptions'!$G$47),0,IF(AND('Financing Assumptions'!$H$44="Yes",EK$9='Financing Assumptions'!$G$47),-SUM('Financing Assumptions'!$H$60:$H$61))))</f>
        <v>0</v>
      </c>
      <c r="EL110" s="427">
        <f>IF('Financing Assumptions'!$H$44="No",0,IF(AND('Financing Assumptions'!$H$44="Yes",EL$9&lt;&gt;'Financing Assumptions'!$G$47),0,IF(AND('Financing Assumptions'!$H$44="Yes",EL$9='Financing Assumptions'!$G$47),-SUM('Financing Assumptions'!$H$60:$H$61))))</f>
        <v>0</v>
      </c>
      <c r="EM110" s="427">
        <f>IF('Financing Assumptions'!$H$44="No",0,IF(AND('Financing Assumptions'!$H$44="Yes",EM$9&lt;&gt;'Financing Assumptions'!$G$47),0,IF(AND('Financing Assumptions'!$H$44="Yes",EM$9='Financing Assumptions'!$G$47),-SUM('Financing Assumptions'!$H$60:$H$61))))</f>
        <v>0</v>
      </c>
      <c r="EN110" s="427">
        <f>IF('Financing Assumptions'!$H$44="No",0,IF(AND('Financing Assumptions'!$H$44="Yes",EN$9&lt;&gt;'Financing Assumptions'!$G$47),0,IF(AND('Financing Assumptions'!$H$44="Yes",EN$9='Financing Assumptions'!$G$47),-SUM('Financing Assumptions'!$H$60:$H$61))))</f>
        <v>0</v>
      </c>
      <c r="EO110" s="427">
        <f>IF('Financing Assumptions'!$H$44="No",0,IF(AND('Financing Assumptions'!$H$44="Yes",EO$9&lt;&gt;'Financing Assumptions'!$G$47),0,IF(AND('Financing Assumptions'!$H$44="Yes",EO$9='Financing Assumptions'!$G$47),-SUM('Financing Assumptions'!$H$60:$H$61))))</f>
        <v>0</v>
      </c>
      <c r="EP110" s="427">
        <f>IF('Financing Assumptions'!$H$44="No",0,IF(AND('Financing Assumptions'!$H$44="Yes",EP$9&lt;&gt;'Financing Assumptions'!$G$47),0,IF(AND('Financing Assumptions'!$H$44="Yes",EP$9='Financing Assumptions'!$G$47),-SUM('Financing Assumptions'!$H$60:$H$61))))</f>
        <v>0</v>
      </c>
      <c r="EQ110" s="427">
        <f>IF('Financing Assumptions'!$H$44="No",0,IF(AND('Financing Assumptions'!$H$44="Yes",EQ$9&lt;&gt;'Financing Assumptions'!$G$47),0,IF(AND('Financing Assumptions'!$H$44="Yes",EQ$9='Financing Assumptions'!$G$47),-SUM('Financing Assumptions'!$H$60:$H$61))))</f>
        <v>0</v>
      </c>
      <c r="ER110" s="427">
        <f>IF('Financing Assumptions'!$H$44="No",0,IF(AND('Financing Assumptions'!$H$44="Yes",ER$9&lt;&gt;'Financing Assumptions'!$G$47),0,IF(AND('Financing Assumptions'!$H$44="Yes",ER$9='Financing Assumptions'!$G$47),-SUM('Financing Assumptions'!$H$60:$H$61))))</f>
        <v>0</v>
      </c>
      <c r="ES110" s="427">
        <f>IF('Financing Assumptions'!$H$44="No",0,IF(AND('Financing Assumptions'!$H$44="Yes",ES$9&lt;&gt;'Financing Assumptions'!$G$47),0,IF(AND('Financing Assumptions'!$H$44="Yes",ES$9='Financing Assumptions'!$G$47),-SUM('Financing Assumptions'!$H$60:$H$61))))</f>
        <v>0</v>
      </c>
      <c r="ET110" s="427">
        <f>IF('Financing Assumptions'!$H$44="No",0,IF(AND('Financing Assumptions'!$H$44="Yes",ET$9&lt;&gt;'Financing Assumptions'!$G$47),0,IF(AND('Financing Assumptions'!$H$44="Yes",ET$9='Financing Assumptions'!$G$47),-SUM('Financing Assumptions'!$H$60:$H$61))))</f>
        <v>0</v>
      </c>
      <c r="EU110" s="427">
        <f>IF('Financing Assumptions'!$H$44="No",0,IF(AND('Financing Assumptions'!$H$44="Yes",EU$9&lt;&gt;'Financing Assumptions'!$G$47),0,IF(AND('Financing Assumptions'!$H$44="Yes",EU$9='Financing Assumptions'!$G$47),-SUM('Financing Assumptions'!$H$60:$H$61))))</f>
        <v>0</v>
      </c>
      <c r="EV110" s="427">
        <f>IF('Financing Assumptions'!$H$44="No",0,IF(AND('Financing Assumptions'!$H$44="Yes",EV$9&lt;&gt;'Financing Assumptions'!$G$47),0,IF(AND('Financing Assumptions'!$H$44="Yes",EV$9='Financing Assumptions'!$G$47),-SUM('Financing Assumptions'!$H$60:$H$61))))</f>
        <v>0</v>
      </c>
      <c r="EW110" s="427">
        <f>IF('Financing Assumptions'!$H$44="No",0,IF(AND('Financing Assumptions'!$H$44="Yes",EW$9&lt;&gt;'Financing Assumptions'!$G$47),0,IF(AND('Financing Assumptions'!$H$44="Yes",EW$9='Financing Assumptions'!$G$47),-SUM('Financing Assumptions'!$H$60:$H$61))))</f>
        <v>0</v>
      </c>
      <c r="EX110" s="427">
        <f>IF('Financing Assumptions'!$H$44="No",0,IF(AND('Financing Assumptions'!$H$44="Yes",EX$9&lt;&gt;'Financing Assumptions'!$G$47),0,IF(AND('Financing Assumptions'!$H$44="Yes",EX$9='Financing Assumptions'!$G$47),-SUM('Financing Assumptions'!$H$60:$H$61))))</f>
        <v>0</v>
      </c>
      <c r="EY110" s="427">
        <f>IF('Financing Assumptions'!$H$44="No",0,IF(AND('Financing Assumptions'!$H$44="Yes",EY$9&lt;&gt;'Financing Assumptions'!$G$47),0,IF(AND('Financing Assumptions'!$H$44="Yes",EY$9='Financing Assumptions'!$G$47),-SUM('Financing Assumptions'!$H$60:$H$61))))</f>
        <v>0</v>
      </c>
      <c r="EZ110" s="427">
        <f>IF('Financing Assumptions'!$H$44="No",0,IF(AND('Financing Assumptions'!$H$44="Yes",EZ$9&lt;&gt;'Financing Assumptions'!$G$47),0,IF(AND('Financing Assumptions'!$H$44="Yes",EZ$9='Financing Assumptions'!$G$47),-SUM('Financing Assumptions'!$H$60:$H$61))))</f>
        <v>0</v>
      </c>
      <c r="FA110" s="427">
        <f>IF('Financing Assumptions'!$H$44="No",0,IF(AND('Financing Assumptions'!$H$44="Yes",FA$9&lt;&gt;'Financing Assumptions'!$G$47),0,IF(AND('Financing Assumptions'!$H$44="Yes",FA$9='Financing Assumptions'!$G$47),-SUM('Financing Assumptions'!$H$60:$H$61))))</f>
        <v>0</v>
      </c>
      <c r="FB110" s="427">
        <f>IF('Financing Assumptions'!$H$44="No",0,IF(AND('Financing Assumptions'!$H$44="Yes",FB$9&lt;&gt;'Financing Assumptions'!$G$47),0,IF(AND('Financing Assumptions'!$H$44="Yes",FB$9='Financing Assumptions'!$G$47),-SUM('Financing Assumptions'!$H$60:$H$61))))</f>
        <v>0</v>
      </c>
      <c r="FC110" s="427">
        <f>IF('Financing Assumptions'!$H$44="No",0,IF(AND('Financing Assumptions'!$H$44="Yes",FC$9&lt;&gt;'Financing Assumptions'!$G$47),0,IF(AND('Financing Assumptions'!$H$44="Yes",FC$9='Financing Assumptions'!$G$47),-SUM('Financing Assumptions'!$H$60:$H$61))))</f>
        <v>0</v>
      </c>
      <c r="FD110" s="427">
        <f>IF('Financing Assumptions'!$H$44="No",0,IF(AND('Financing Assumptions'!$H$44="Yes",FD$9&lt;&gt;'Financing Assumptions'!$G$47),0,IF(AND('Financing Assumptions'!$H$44="Yes",FD$9='Financing Assumptions'!$G$47),-SUM('Financing Assumptions'!$H$60:$H$61))))</f>
        <v>0</v>
      </c>
      <c r="FE110" s="427">
        <f>IF('Financing Assumptions'!$H$44="No",0,IF(AND('Financing Assumptions'!$H$44="Yes",FE$9&lt;&gt;'Financing Assumptions'!$G$47),0,IF(AND('Financing Assumptions'!$H$44="Yes",FE$9='Financing Assumptions'!$G$47),-SUM('Financing Assumptions'!$H$60:$H$61))))</f>
        <v>0</v>
      </c>
      <c r="FF110" s="427">
        <f>IF('Financing Assumptions'!$H$44="No",0,IF(AND('Financing Assumptions'!$H$44="Yes",FF$9&lt;&gt;'Financing Assumptions'!$G$47),0,IF(AND('Financing Assumptions'!$H$44="Yes",FF$9='Financing Assumptions'!$G$47),-SUM('Financing Assumptions'!$H$60:$H$61))))</f>
        <v>0</v>
      </c>
      <c r="FG110" s="427">
        <f>IF('Financing Assumptions'!$H$44="No",0,IF(AND('Financing Assumptions'!$H$44="Yes",FG$9&lt;&gt;'Financing Assumptions'!$G$47),0,IF(AND('Financing Assumptions'!$H$44="Yes",FG$9='Financing Assumptions'!$G$47),-SUM('Financing Assumptions'!$H$60:$H$61))))</f>
        <v>0</v>
      </c>
      <c r="FH110" s="427">
        <f>IF('Financing Assumptions'!$H$44="No",0,IF(AND('Financing Assumptions'!$H$44="Yes",FH$9&lt;&gt;'Financing Assumptions'!$G$47),0,IF(AND('Financing Assumptions'!$H$44="Yes",FH$9='Financing Assumptions'!$G$47),-SUM('Financing Assumptions'!$H$60:$H$61))))</f>
        <v>0</v>
      </c>
      <c r="FI110" s="427">
        <f>IF('Financing Assumptions'!$H$44="No",0,IF(AND('Financing Assumptions'!$H$44="Yes",FI$9&lt;&gt;'Financing Assumptions'!$G$47),0,IF(AND('Financing Assumptions'!$H$44="Yes",FI$9='Financing Assumptions'!$G$47),-SUM('Financing Assumptions'!$H$60:$H$61))))</f>
        <v>0</v>
      </c>
      <c r="FJ110" s="427">
        <f>IF('Financing Assumptions'!$H$44="No",0,IF(AND('Financing Assumptions'!$H$44="Yes",FJ$9&lt;&gt;'Financing Assumptions'!$G$47),0,IF(AND('Financing Assumptions'!$H$44="Yes",FJ$9='Financing Assumptions'!$G$47),-SUM('Financing Assumptions'!$H$60:$H$61))))</f>
        <v>0</v>
      </c>
      <c r="FK110" s="427">
        <f>IF('Financing Assumptions'!$H$44="No",0,IF(AND('Financing Assumptions'!$H$44="Yes",FK$9&lt;&gt;'Financing Assumptions'!$G$47),0,IF(AND('Financing Assumptions'!$H$44="Yes",FK$9='Financing Assumptions'!$G$47),-SUM('Financing Assumptions'!$H$60:$H$61))))</f>
        <v>0</v>
      </c>
      <c r="FL110" s="427">
        <f>IF('Financing Assumptions'!$H$44="No",0,IF(AND('Financing Assumptions'!$H$44="Yes",FL$9&lt;&gt;'Financing Assumptions'!$G$47),0,IF(AND('Financing Assumptions'!$H$44="Yes",FL$9='Financing Assumptions'!$G$47),-SUM('Financing Assumptions'!$H$60:$H$61))))</f>
        <v>0</v>
      </c>
      <c r="FM110" s="427">
        <f>IF('Financing Assumptions'!$H$44="No",0,IF(AND('Financing Assumptions'!$H$44="Yes",FM$9&lt;&gt;'Financing Assumptions'!$G$47),0,IF(AND('Financing Assumptions'!$H$44="Yes",FM$9='Financing Assumptions'!$G$47),-SUM('Financing Assumptions'!$H$60:$H$61))))</f>
        <v>0</v>
      </c>
      <c r="FN110" s="427">
        <f>IF('Financing Assumptions'!$H$44="No",0,IF(AND('Financing Assumptions'!$H$44="Yes",FN$9&lt;&gt;'Financing Assumptions'!$G$47),0,IF(AND('Financing Assumptions'!$H$44="Yes",FN$9='Financing Assumptions'!$G$47),-SUM('Financing Assumptions'!$H$60:$H$61))))</f>
        <v>0</v>
      </c>
      <c r="FO110" s="427">
        <f>IF('Financing Assumptions'!$H$44="No",0,IF(AND('Financing Assumptions'!$H$44="Yes",FO$9&lt;&gt;'Financing Assumptions'!$G$47),0,IF(AND('Financing Assumptions'!$H$44="Yes",FO$9='Financing Assumptions'!$G$47),-SUM('Financing Assumptions'!$H$60:$H$61))))</f>
        <v>0</v>
      </c>
      <c r="FP110" s="427">
        <f>IF('Financing Assumptions'!$H$44="No",0,IF(AND('Financing Assumptions'!$H$44="Yes",FP$9&lt;&gt;'Financing Assumptions'!$G$47),0,IF(AND('Financing Assumptions'!$H$44="Yes",FP$9='Financing Assumptions'!$G$47),-SUM('Financing Assumptions'!$H$60:$H$61))))</f>
        <v>0</v>
      </c>
      <c r="FQ110" s="427">
        <f>IF('Financing Assumptions'!$H$44="No",0,IF(AND('Financing Assumptions'!$H$44="Yes",FQ$9&lt;&gt;'Financing Assumptions'!$G$47),0,IF(AND('Financing Assumptions'!$H$44="Yes",FQ$9='Financing Assumptions'!$G$47),-SUM('Financing Assumptions'!$H$60:$H$61))))</f>
        <v>0</v>
      </c>
      <c r="FR110" s="427">
        <f>IF('Financing Assumptions'!$H$44="No",0,IF(AND('Financing Assumptions'!$H$44="Yes",FR$9&lt;&gt;'Financing Assumptions'!$G$47),0,IF(AND('Financing Assumptions'!$H$44="Yes",FR$9='Financing Assumptions'!$G$47),-SUM('Financing Assumptions'!$H$60:$H$61))))</f>
        <v>0</v>
      </c>
      <c r="FS110" s="427">
        <f>IF('Financing Assumptions'!$H$44="No",0,IF(AND('Financing Assumptions'!$H$44="Yes",FS$9&lt;&gt;'Financing Assumptions'!$G$47),0,IF(AND('Financing Assumptions'!$H$44="Yes",FS$9='Financing Assumptions'!$G$47),-SUM('Financing Assumptions'!$H$60:$H$61))))</f>
        <v>0</v>
      </c>
      <c r="FT110" s="427">
        <f>IF('Financing Assumptions'!$H$44="No",0,IF(AND('Financing Assumptions'!$H$44="Yes",FT$9&lt;&gt;'Financing Assumptions'!$G$47),0,IF(AND('Financing Assumptions'!$H$44="Yes",FT$9='Financing Assumptions'!$G$47),-SUM('Financing Assumptions'!$H$60:$H$61))))</f>
        <v>0</v>
      </c>
      <c r="FU110" s="43"/>
      <c r="FV110" s="34"/>
      <c r="FW110" s="34"/>
      <c r="FX110" s="34"/>
      <c r="FY110" s="34"/>
      <c r="FZ110" s="34"/>
    </row>
    <row r="111" spans="1:182" s="89" customFormat="1" ht="13.5" x14ac:dyDescent="0.25">
      <c r="A111" s="34"/>
      <c r="B111" s="128" t="str">
        <f>'Operating Assumptions'!K36</f>
        <v>Appliance Replacement</v>
      </c>
      <c r="C111" s="34"/>
      <c r="D111" s="34"/>
      <c r="E111" s="34"/>
      <c r="F111" s="434">
        <f t="shared" ref="F111:F115" si="186">SUM(H111:FT111)</f>
        <v>0</v>
      </c>
      <c r="G111" s="34"/>
      <c r="H111" s="427">
        <f>-IF(H$9&lt;'Operating Assumptions'!$D$53,0,IF(H$6&gt;'Operating Assumptions'!$AA$8,0,IF('Operating Assumptions'!$L36="N/A",0,IF('Operating Assumptions'!$L36="$/Unit/Annual",(('Operating Assumptions'!$M36*H$25)*H$36)/12,IF('Operating Assumptions'!$L36="$/Unit/Month",('Operating Assumptions'!$M36*H$25)*H$36,IF('Operating Assumptions'!$L36="Fixed Amount",('Operating Assumptions'!$M36*H$25)/12,IF('Operating Assumptions'!$L36="$/GSF",(('Operating Assumptions'!$M36*H$25)*'Operating Assumptions'!$D$11)/12,IF('Operating Assumptions'!$L36="$/NSF",(('Operating Assumptions'!$M36*H$25)*'Operating Assumptions'!$D$12)/12))))))))</f>
        <v>0</v>
      </c>
      <c r="I111" s="427">
        <f>-IF(I$9&lt;'Operating Assumptions'!$D$53,0,IF(I$6&gt;'Operating Assumptions'!$AA$8,0,IF('Operating Assumptions'!$L36="N/A",0,IF('Operating Assumptions'!$L36="$/Unit/Annual",(('Operating Assumptions'!$M36*I$25)*I$36)/12,IF('Operating Assumptions'!$L36="$/Unit/Month",('Operating Assumptions'!$M36*I$25)*I$36,IF('Operating Assumptions'!$L36="Fixed Amount",('Operating Assumptions'!$M36*I$25)/12,IF('Operating Assumptions'!$L36="$/GSF",(('Operating Assumptions'!$M36*I$25)*'Operating Assumptions'!$D$11)/12,IF('Operating Assumptions'!$L36="$/NSF",(('Operating Assumptions'!$M36*I$25)*'Operating Assumptions'!$D$12)/12))))))))</f>
        <v>0</v>
      </c>
      <c r="J111" s="427">
        <f>-IF(J$9&lt;'Operating Assumptions'!$D$53,0,IF(J$6&gt;'Operating Assumptions'!$AA$8,0,IF('Operating Assumptions'!$L36="N/A",0,IF('Operating Assumptions'!$L36="$/Unit/Annual",(('Operating Assumptions'!$M36*J$25)*J$36)/12,IF('Operating Assumptions'!$L36="$/Unit/Month",('Operating Assumptions'!$M36*J$25)*J$36,IF('Operating Assumptions'!$L36="Fixed Amount",('Operating Assumptions'!$M36*J$25)/12,IF('Operating Assumptions'!$L36="$/GSF",(('Operating Assumptions'!$M36*J$25)*'Operating Assumptions'!$D$11)/12,IF('Operating Assumptions'!$L36="$/NSF",(('Operating Assumptions'!$M36*J$25)*'Operating Assumptions'!$D$12)/12))))))))</f>
        <v>0</v>
      </c>
      <c r="K111" s="427">
        <f>-IF(K$9&lt;'Operating Assumptions'!$D$53,0,IF(K$6&gt;'Operating Assumptions'!$AA$8,0,IF('Operating Assumptions'!$L36="N/A",0,IF('Operating Assumptions'!$L36="$/Unit/Annual",(('Operating Assumptions'!$M36*K$25)*K$36)/12,IF('Operating Assumptions'!$L36="$/Unit/Month",('Operating Assumptions'!$M36*K$25)*K$36,IF('Operating Assumptions'!$L36="Fixed Amount",('Operating Assumptions'!$M36*K$25)/12,IF('Operating Assumptions'!$L36="$/GSF",(('Operating Assumptions'!$M36*K$25)*'Operating Assumptions'!$D$11)/12,IF('Operating Assumptions'!$L36="$/NSF",(('Operating Assumptions'!$M36*K$25)*'Operating Assumptions'!$D$12)/12))))))))</f>
        <v>0</v>
      </c>
      <c r="L111" s="427">
        <f>-IF(L$9&lt;'Operating Assumptions'!$D$53,0,IF(L$6&gt;'Operating Assumptions'!$AA$8,0,IF('Operating Assumptions'!$L36="N/A",0,IF('Operating Assumptions'!$L36="$/Unit/Annual",(('Operating Assumptions'!$M36*L$25)*L$36)/12,IF('Operating Assumptions'!$L36="$/Unit/Month",('Operating Assumptions'!$M36*L$25)*L$36,IF('Operating Assumptions'!$L36="Fixed Amount",('Operating Assumptions'!$M36*L$25)/12,IF('Operating Assumptions'!$L36="$/GSF",(('Operating Assumptions'!$M36*L$25)*'Operating Assumptions'!$D$11)/12,IF('Operating Assumptions'!$L36="$/NSF",(('Operating Assumptions'!$M36*L$25)*'Operating Assumptions'!$D$12)/12))))))))</f>
        <v>0</v>
      </c>
      <c r="M111" s="427">
        <f>-IF(M$9&lt;'Operating Assumptions'!$D$53,0,IF(M$6&gt;'Operating Assumptions'!$AA$8,0,IF('Operating Assumptions'!$L36="N/A",0,IF('Operating Assumptions'!$L36="$/Unit/Annual",(('Operating Assumptions'!$M36*M$25)*M$36)/12,IF('Operating Assumptions'!$L36="$/Unit/Month",('Operating Assumptions'!$M36*M$25)*M$36,IF('Operating Assumptions'!$L36="Fixed Amount",('Operating Assumptions'!$M36*M$25)/12,IF('Operating Assumptions'!$L36="$/GSF",(('Operating Assumptions'!$M36*M$25)*'Operating Assumptions'!$D$11)/12,IF('Operating Assumptions'!$L36="$/NSF",(('Operating Assumptions'!$M36*M$25)*'Operating Assumptions'!$D$12)/12))))))))</f>
        <v>0</v>
      </c>
      <c r="N111" s="427">
        <f>-IF(N$9&lt;'Operating Assumptions'!$D$53,0,IF(N$6&gt;'Operating Assumptions'!$AA$8,0,IF('Operating Assumptions'!$L36="N/A",0,IF('Operating Assumptions'!$L36="$/Unit/Annual",(('Operating Assumptions'!$M36*N$25)*N$36)/12,IF('Operating Assumptions'!$L36="$/Unit/Month",('Operating Assumptions'!$M36*N$25)*N$36,IF('Operating Assumptions'!$L36="Fixed Amount",('Operating Assumptions'!$M36*N$25)/12,IF('Operating Assumptions'!$L36="$/GSF",(('Operating Assumptions'!$M36*N$25)*'Operating Assumptions'!$D$11)/12,IF('Operating Assumptions'!$L36="$/NSF",(('Operating Assumptions'!$M36*N$25)*'Operating Assumptions'!$D$12)/12))))))))</f>
        <v>0</v>
      </c>
      <c r="O111" s="427">
        <f>-IF(O$9&lt;'Operating Assumptions'!$D$53,0,IF(O$6&gt;'Operating Assumptions'!$AA$8,0,IF('Operating Assumptions'!$L36="N/A",0,IF('Operating Assumptions'!$L36="$/Unit/Annual",(('Operating Assumptions'!$M36*O$25)*O$36)/12,IF('Operating Assumptions'!$L36="$/Unit/Month",('Operating Assumptions'!$M36*O$25)*O$36,IF('Operating Assumptions'!$L36="Fixed Amount",('Operating Assumptions'!$M36*O$25)/12,IF('Operating Assumptions'!$L36="$/GSF",(('Operating Assumptions'!$M36*O$25)*'Operating Assumptions'!$D$11)/12,IF('Operating Assumptions'!$L36="$/NSF",(('Operating Assumptions'!$M36*O$25)*'Operating Assumptions'!$D$12)/12))))))))</f>
        <v>0</v>
      </c>
      <c r="P111" s="427">
        <f>-IF(P$9&lt;'Operating Assumptions'!$D$53,0,IF(P$6&gt;'Operating Assumptions'!$AA$8,0,IF('Operating Assumptions'!$L36="N/A",0,IF('Operating Assumptions'!$L36="$/Unit/Annual",(('Operating Assumptions'!$M36*P$25)*P$36)/12,IF('Operating Assumptions'!$L36="$/Unit/Month",('Operating Assumptions'!$M36*P$25)*P$36,IF('Operating Assumptions'!$L36="Fixed Amount",('Operating Assumptions'!$M36*P$25)/12,IF('Operating Assumptions'!$L36="$/GSF",(('Operating Assumptions'!$M36*P$25)*'Operating Assumptions'!$D$11)/12,IF('Operating Assumptions'!$L36="$/NSF",(('Operating Assumptions'!$M36*P$25)*'Operating Assumptions'!$D$12)/12))))))))</f>
        <v>0</v>
      </c>
      <c r="Q111" s="427">
        <f>-IF(Q$9&lt;'Operating Assumptions'!$D$53,0,IF(Q$6&gt;'Operating Assumptions'!$AA$8,0,IF('Operating Assumptions'!$L36="N/A",0,IF('Operating Assumptions'!$L36="$/Unit/Annual",(('Operating Assumptions'!$M36*Q$25)*Q$36)/12,IF('Operating Assumptions'!$L36="$/Unit/Month",('Operating Assumptions'!$M36*Q$25)*Q$36,IF('Operating Assumptions'!$L36="Fixed Amount",('Operating Assumptions'!$M36*Q$25)/12,IF('Operating Assumptions'!$L36="$/GSF",(('Operating Assumptions'!$M36*Q$25)*'Operating Assumptions'!$D$11)/12,IF('Operating Assumptions'!$L36="$/NSF",(('Operating Assumptions'!$M36*Q$25)*'Operating Assumptions'!$D$12)/12))))))))</f>
        <v>0</v>
      </c>
      <c r="R111" s="427">
        <f>-IF(R$9&lt;'Operating Assumptions'!$D$53,0,IF(R$6&gt;'Operating Assumptions'!$AA$8,0,IF('Operating Assumptions'!$L36="N/A",0,IF('Operating Assumptions'!$L36="$/Unit/Annual",(('Operating Assumptions'!$M36*R$25)*R$36)/12,IF('Operating Assumptions'!$L36="$/Unit/Month",('Operating Assumptions'!$M36*R$25)*R$36,IF('Operating Assumptions'!$L36="Fixed Amount",('Operating Assumptions'!$M36*R$25)/12,IF('Operating Assumptions'!$L36="$/GSF",(('Operating Assumptions'!$M36*R$25)*'Operating Assumptions'!$D$11)/12,IF('Operating Assumptions'!$L36="$/NSF",(('Operating Assumptions'!$M36*R$25)*'Operating Assumptions'!$D$12)/12))))))))</f>
        <v>0</v>
      </c>
      <c r="S111" s="427">
        <f>-IF(S$9&lt;'Operating Assumptions'!$D$53,0,IF(S$6&gt;'Operating Assumptions'!$AA$8,0,IF('Operating Assumptions'!$L36="N/A",0,IF('Operating Assumptions'!$L36="$/Unit/Annual",(('Operating Assumptions'!$M36*S$25)*S$36)/12,IF('Operating Assumptions'!$L36="$/Unit/Month",('Operating Assumptions'!$M36*S$25)*S$36,IF('Operating Assumptions'!$L36="Fixed Amount",('Operating Assumptions'!$M36*S$25)/12,IF('Operating Assumptions'!$L36="$/GSF",(('Operating Assumptions'!$M36*S$25)*'Operating Assumptions'!$D$11)/12,IF('Operating Assumptions'!$L36="$/NSF",(('Operating Assumptions'!$M36*S$25)*'Operating Assumptions'!$D$12)/12))))))))</f>
        <v>0</v>
      </c>
      <c r="T111" s="427">
        <f>-IF(T$9&lt;'Operating Assumptions'!$D$53,0,IF(T$6&gt;'Operating Assumptions'!$AA$8,0,IF('Operating Assumptions'!$L36="N/A",0,IF('Operating Assumptions'!$L36="$/Unit/Annual",(('Operating Assumptions'!$M36*T$25)*T$36)/12,IF('Operating Assumptions'!$L36="$/Unit/Month",('Operating Assumptions'!$M36*T$25)*T$36,IF('Operating Assumptions'!$L36="Fixed Amount",('Operating Assumptions'!$M36*T$25)/12,IF('Operating Assumptions'!$L36="$/GSF",(('Operating Assumptions'!$M36*T$25)*'Operating Assumptions'!$D$11)/12,IF('Operating Assumptions'!$L36="$/NSF",(('Operating Assumptions'!$M36*T$25)*'Operating Assumptions'!$D$12)/12))))))))</f>
        <v>0</v>
      </c>
      <c r="U111" s="427">
        <f>-IF(U$9&lt;'Operating Assumptions'!$D$53,0,IF(U$6&gt;'Operating Assumptions'!$AA$8,0,IF('Operating Assumptions'!$L36="N/A",0,IF('Operating Assumptions'!$L36="$/Unit/Annual",(('Operating Assumptions'!$M36*U$25)*U$36)/12,IF('Operating Assumptions'!$L36="$/Unit/Month",('Operating Assumptions'!$M36*U$25)*U$36,IF('Operating Assumptions'!$L36="Fixed Amount",('Operating Assumptions'!$M36*U$25)/12,IF('Operating Assumptions'!$L36="$/GSF",(('Operating Assumptions'!$M36*U$25)*'Operating Assumptions'!$D$11)/12,IF('Operating Assumptions'!$L36="$/NSF",(('Operating Assumptions'!$M36*U$25)*'Operating Assumptions'!$D$12)/12))))))))</f>
        <v>0</v>
      </c>
      <c r="V111" s="427">
        <f>-IF(V$9&lt;'Operating Assumptions'!$D$53,0,IF(V$6&gt;'Operating Assumptions'!$AA$8,0,IF('Operating Assumptions'!$L36="N/A",0,IF('Operating Assumptions'!$L36="$/Unit/Annual",(('Operating Assumptions'!$M36*V$25)*V$36)/12,IF('Operating Assumptions'!$L36="$/Unit/Month",('Operating Assumptions'!$M36*V$25)*V$36,IF('Operating Assumptions'!$L36="Fixed Amount",('Operating Assumptions'!$M36*V$25)/12,IF('Operating Assumptions'!$L36="$/GSF",(('Operating Assumptions'!$M36*V$25)*'Operating Assumptions'!$D$11)/12,IF('Operating Assumptions'!$L36="$/NSF",(('Operating Assumptions'!$M36*V$25)*'Operating Assumptions'!$D$12)/12))))))))</f>
        <v>0</v>
      </c>
      <c r="W111" s="427">
        <f>-IF(W$9&lt;'Operating Assumptions'!$D$53,0,IF(W$6&gt;'Operating Assumptions'!$AA$8,0,IF('Operating Assumptions'!$L36="N/A",0,IF('Operating Assumptions'!$L36="$/Unit/Annual",(('Operating Assumptions'!$M36*W$25)*W$36)/12,IF('Operating Assumptions'!$L36="$/Unit/Month",('Operating Assumptions'!$M36*W$25)*W$36,IF('Operating Assumptions'!$L36="Fixed Amount",('Operating Assumptions'!$M36*W$25)/12,IF('Operating Assumptions'!$L36="$/GSF",(('Operating Assumptions'!$M36*W$25)*'Operating Assumptions'!$D$11)/12,IF('Operating Assumptions'!$L36="$/NSF",(('Operating Assumptions'!$M36*W$25)*'Operating Assumptions'!$D$12)/12))))))))</f>
        <v>0</v>
      </c>
      <c r="X111" s="427">
        <f>-IF(X$9&lt;'Operating Assumptions'!$D$53,0,IF(X$6&gt;'Operating Assumptions'!$AA$8,0,IF('Operating Assumptions'!$L36="N/A",0,IF('Operating Assumptions'!$L36="$/Unit/Annual",(('Operating Assumptions'!$M36*X$25)*X$36)/12,IF('Operating Assumptions'!$L36="$/Unit/Month",('Operating Assumptions'!$M36*X$25)*X$36,IF('Operating Assumptions'!$L36="Fixed Amount",('Operating Assumptions'!$M36*X$25)/12,IF('Operating Assumptions'!$L36="$/GSF",(('Operating Assumptions'!$M36*X$25)*'Operating Assumptions'!$D$11)/12,IF('Operating Assumptions'!$L36="$/NSF",(('Operating Assumptions'!$M36*X$25)*'Operating Assumptions'!$D$12)/12))))))))</f>
        <v>0</v>
      </c>
      <c r="Y111" s="427">
        <f>-IF(Y$9&lt;'Operating Assumptions'!$D$53,0,IF(Y$6&gt;'Operating Assumptions'!$AA$8,0,IF('Operating Assumptions'!$L36="N/A",0,IF('Operating Assumptions'!$L36="$/Unit/Annual",(('Operating Assumptions'!$M36*Y$25)*Y$36)/12,IF('Operating Assumptions'!$L36="$/Unit/Month",('Operating Assumptions'!$M36*Y$25)*Y$36,IF('Operating Assumptions'!$L36="Fixed Amount",('Operating Assumptions'!$M36*Y$25)/12,IF('Operating Assumptions'!$L36="$/GSF",(('Operating Assumptions'!$M36*Y$25)*'Operating Assumptions'!$D$11)/12,IF('Operating Assumptions'!$L36="$/NSF",(('Operating Assumptions'!$M36*Y$25)*'Operating Assumptions'!$D$12)/12))))))))</f>
        <v>0</v>
      </c>
      <c r="Z111" s="427">
        <f>-IF(Z$9&lt;'Operating Assumptions'!$D$53,0,IF(Z$6&gt;'Operating Assumptions'!$AA$8,0,IF('Operating Assumptions'!$L36="N/A",0,IF('Operating Assumptions'!$L36="$/Unit/Annual",(('Operating Assumptions'!$M36*Z$25)*Z$36)/12,IF('Operating Assumptions'!$L36="$/Unit/Month",('Operating Assumptions'!$M36*Z$25)*Z$36,IF('Operating Assumptions'!$L36="Fixed Amount",('Operating Assumptions'!$M36*Z$25)/12,IF('Operating Assumptions'!$L36="$/GSF",(('Operating Assumptions'!$M36*Z$25)*'Operating Assumptions'!$D$11)/12,IF('Operating Assumptions'!$L36="$/NSF",(('Operating Assumptions'!$M36*Z$25)*'Operating Assumptions'!$D$12)/12))))))))</f>
        <v>0</v>
      </c>
      <c r="AA111" s="427">
        <f>-IF(AA$9&lt;'Operating Assumptions'!$D$53,0,IF(AA$6&gt;'Operating Assumptions'!$AA$8,0,IF('Operating Assumptions'!$L36="N/A",0,IF('Operating Assumptions'!$L36="$/Unit/Annual",(('Operating Assumptions'!$M36*AA$25)*AA$36)/12,IF('Operating Assumptions'!$L36="$/Unit/Month",('Operating Assumptions'!$M36*AA$25)*AA$36,IF('Operating Assumptions'!$L36="Fixed Amount",('Operating Assumptions'!$M36*AA$25)/12,IF('Operating Assumptions'!$L36="$/GSF",(('Operating Assumptions'!$M36*AA$25)*'Operating Assumptions'!$D$11)/12,IF('Operating Assumptions'!$L36="$/NSF",(('Operating Assumptions'!$M36*AA$25)*'Operating Assumptions'!$D$12)/12))))))))</f>
        <v>0</v>
      </c>
      <c r="AB111" s="427">
        <f>-IF(AB$9&lt;'Operating Assumptions'!$D$53,0,IF(AB$6&gt;'Operating Assumptions'!$AA$8,0,IF('Operating Assumptions'!$L36="N/A",0,IF('Operating Assumptions'!$L36="$/Unit/Annual",(('Operating Assumptions'!$M36*AB$25)*AB$36)/12,IF('Operating Assumptions'!$L36="$/Unit/Month",('Operating Assumptions'!$M36*AB$25)*AB$36,IF('Operating Assumptions'!$L36="Fixed Amount",('Operating Assumptions'!$M36*AB$25)/12,IF('Operating Assumptions'!$L36="$/GSF",(('Operating Assumptions'!$M36*AB$25)*'Operating Assumptions'!$D$11)/12,IF('Operating Assumptions'!$L36="$/NSF",(('Operating Assumptions'!$M36*AB$25)*'Operating Assumptions'!$D$12)/12))))))))</f>
        <v>0</v>
      </c>
      <c r="AC111" s="427">
        <f>-IF(AC$9&lt;'Operating Assumptions'!$D$53,0,IF(AC$6&gt;'Operating Assumptions'!$AA$8,0,IF('Operating Assumptions'!$L36="N/A",0,IF('Operating Assumptions'!$L36="$/Unit/Annual",(('Operating Assumptions'!$M36*AC$25)*AC$36)/12,IF('Operating Assumptions'!$L36="$/Unit/Month",('Operating Assumptions'!$M36*AC$25)*AC$36,IF('Operating Assumptions'!$L36="Fixed Amount",('Operating Assumptions'!$M36*AC$25)/12,IF('Operating Assumptions'!$L36="$/GSF",(('Operating Assumptions'!$M36*AC$25)*'Operating Assumptions'!$D$11)/12,IF('Operating Assumptions'!$L36="$/NSF",(('Operating Assumptions'!$M36*AC$25)*'Operating Assumptions'!$D$12)/12))))))))</f>
        <v>0</v>
      </c>
      <c r="AD111" s="427">
        <f>-IF(AD$9&lt;'Operating Assumptions'!$D$53,0,IF(AD$6&gt;'Operating Assumptions'!$AA$8,0,IF('Operating Assumptions'!$L36="N/A",0,IF('Operating Assumptions'!$L36="$/Unit/Annual",(('Operating Assumptions'!$M36*AD$25)*AD$36)/12,IF('Operating Assumptions'!$L36="$/Unit/Month",('Operating Assumptions'!$M36*AD$25)*AD$36,IF('Operating Assumptions'!$L36="Fixed Amount",('Operating Assumptions'!$M36*AD$25)/12,IF('Operating Assumptions'!$L36="$/GSF",(('Operating Assumptions'!$M36*AD$25)*'Operating Assumptions'!$D$11)/12,IF('Operating Assumptions'!$L36="$/NSF",(('Operating Assumptions'!$M36*AD$25)*'Operating Assumptions'!$D$12)/12))))))))</f>
        <v>0</v>
      </c>
      <c r="AE111" s="427">
        <f>-IF(AE$9&lt;'Operating Assumptions'!$D$53,0,IF(AE$6&gt;'Operating Assumptions'!$AA$8,0,IF('Operating Assumptions'!$L36="N/A",0,IF('Operating Assumptions'!$L36="$/Unit/Annual",(('Operating Assumptions'!$M36*AE$25)*AE$36)/12,IF('Operating Assumptions'!$L36="$/Unit/Month",('Operating Assumptions'!$M36*AE$25)*AE$36,IF('Operating Assumptions'!$L36="Fixed Amount",('Operating Assumptions'!$M36*AE$25)/12,IF('Operating Assumptions'!$L36="$/GSF",(('Operating Assumptions'!$M36*AE$25)*'Operating Assumptions'!$D$11)/12,IF('Operating Assumptions'!$L36="$/NSF",(('Operating Assumptions'!$M36*AE$25)*'Operating Assumptions'!$D$12)/12))))))))</f>
        <v>0</v>
      </c>
      <c r="AF111" s="427">
        <f>-IF(AF$9&lt;'Operating Assumptions'!$D$53,0,IF(AF$6&gt;'Operating Assumptions'!$AA$8,0,IF('Operating Assumptions'!$L36="N/A",0,IF('Operating Assumptions'!$L36="$/Unit/Annual",(('Operating Assumptions'!$M36*AF$25)*AF$36)/12,IF('Operating Assumptions'!$L36="$/Unit/Month",('Operating Assumptions'!$M36*AF$25)*AF$36,IF('Operating Assumptions'!$L36="Fixed Amount",('Operating Assumptions'!$M36*AF$25)/12,IF('Operating Assumptions'!$L36="$/GSF",(('Operating Assumptions'!$M36*AF$25)*'Operating Assumptions'!$D$11)/12,IF('Operating Assumptions'!$L36="$/NSF",(('Operating Assumptions'!$M36*AF$25)*'Operating Assumptions'!$D$12)/12))))))))</f>
        <v>0</v>
      </c>
      <c r="AG111" s="427">
        <f>-IF(AG$9&lt;'Operating Assumptions'!$D$53,0,IF(AG$6&gt;'Operating Assumptions'!$AA$8,0,IF('Operating Assumptions'!$L36="N/A",0,IF('Operating Assumptions'!$L36="$/Unit/Annual",(('Operating Assumptions'!$M36*AG$25)*AG$36)/12,IF('Operating Assumptions'!$L36="$/Unit/Month",('Operating Assumptions'!$M36*AG$25)*AG$36,IF('Operating Assumptions'!$L36="Fixed Amount",('Operating Assumptions'!$M36*AG$25)/12,IF('Operating Assumptions'!$L36="$/GSF",(('Operating Assumptions'!$M36*AG$25)*'Operating Assumptions'!$D$11)/12,IF('Operating Assumptions'!$L36="$/NSF",(('Operating Assumptions'!$M36*AG$25)*'Operating Assumptions'!$D$12)/12))))))))</f>
        <v>0</v>
      </c>
      <c r="AH111" s="427">
        <f>-IF(AH$9&lt;'Operating Assumptions'!$D$53,0,IF(AH$6&gt;'Operating Assumptions'!$AA$8,0,IF('Operating Assumptions'!$L36="N/A",0,IF('Operating Assumptions'!$L36="$/Unit/Annual",(('Operating Assumptions'!$M36*AH$25)*AH$36)/12,IF('Operating Assumptions'!$L36="$/Unit/Month",('Operating Assumptions'!$M36*AH$25)*AH$36,IF('Operating Assumptions'!$L36="Fixed Amount",('Operating Assumptions'!$M36*AH$25)/12,IF('Operating Assumptions'!$L36="$/GSF",(('Operating Assumptions'!$M36*AH$25)*'Operating Assumptions'!$D$11)/12,IF('Operating Assumptions'!$L36="$/NSF",(('Operating Assumptions'!$M36*AH$25)*'Operating Assumptions'!$D$12)/12))))))))</f>
        <v>0</v>
      </c>
      <c r="AI111" s="427">
        <f>-IF(AI$9&lt;'Operating Assumptions'!$D$53,0,IF(AI$6&gt;'Operating Assumptions'!$AA$8,0,IF('Operating Assumptions'!$L36="N/A",0,IF('Operating Assumptions'!$L36="$/Unit/Annual",(('Operating Assumptions'!$M36*AI$25)*AI$36)/12,IF('Operating Assumptions'!$L36="$/Unit/Month",('Operating Assumptions'!$M36*AI$25)*AI$36,IF('Operating Assumptions'!$L36="Fixed Amount",('Operating Assumptions'!$M36*AI$25)/12,IF('Operating Assumptions'!$L36="$/GSF",(('Operating Assumptions'!$M36*AI$25)*'Operating Assumptions'!$D$11)/12,IF('Operating Assumptions'!$L36="$/NSF",(('Operating Assumptions'!$M36*AI$25)*'Operating Assumptions'!$D$12)/12))))))))</f>
        <v>0</v>
      </c>
      <c r="AJ111" s="427">
        <f>-IF(AJ$9&lt;'Operating Assumptions'!$D$53,0,IF(AJ$6&gt;'Operating Assumptions'!$AA$8,0,IF('Operating Assumptions'!$L36="N/A",0,IF('Operating Assumptions'!$L36="$/Unit/Annual",(('Operating Assumptions'!$M36*AJ$25)*AJ$36)/12,IF('Operating Assumptions'!$L36="$/Unit/Month",('Operating Assumptions'!$M36*AJ$25)*AJ$36,IF('Operating Assumptions'!$L36="Fixed Amount",('Operating Assumptions'!$M36*AJ$25)/12,IF('Operating Assumptions'!$L36="$/GSF",(('Operating Assumptions'!$M36*AJ$25)*'Operating Assumptions'!$D$11)/12,IF('Operating Assumptions'!$L36="$/NSF",(('Operating Assumptions'!$M36*AJ$25)*'Operating Assumptions'!$D$12)/12))))))))</f>
        <v>0</v>
      </c>
      <c r="AK111" s="427">
        <f>-IF(AK$9&lt;'Operating Assumptions'!$D$53,0,IF(AK$6&gt;'Operating Assumptions'!$AA$8,0,IF('Operating Assumptions'!$L36="N/A",0,IF('Operating Assumptions'!$L36="$/Unit/Annual",(('Operating Assumptions'!$M36*AK$25)*AK$36)/12,IF('Operating Assumptions'!$L36="$/Unit/Month",('Operating Assumptions'!$M36*AK$25)*AK$36,IF('Operating Assumptions'!$L36="Fixed Amount",('Operating Assumptions'!$M36*AK$25)/12,IF('Operating Assumptions'!$L36="$/GSF",(('Operating Assumptions'!$M36*AK$25)*'Operating Assumptions'!$D$11)/12,IF('Operating Assumptions'!$L36="$/NSF",(('Operating Assumptions'!$M36*AK$25)*'Operating Assumptions'!$D$12)/12))))))))</f>
        <v>0</v>
      </c>
      <c r="AL111" s="427">
        <f>-IF(AL$9&lt;'Operating Assumptions'!$D$53,0,IF(AL$6&gt;'Operating Assumptions'!$AA$8,0,IF('Operating Assumptions'!$L36="N/A",0,IF('Operating Assumptions'!$L36="$/Unit/Annual",(('Operating Assumptions'!$M36*AL$25)*AL$36)/12,IF('Operating Assumptions'!$L36="$/Unit/Month",('Operating Assumptions'!$M36*AL$25)*AL$36,IF('Operating Assumptions'!$L36="Fixed Amount",('Operating Assumptions'!$M36*AL$25)/12,IF('Operating Assumptions'!$L36="$/GSF",(('Operating Assumptions'!$M36*AL$25)*'Operating Assumptions'!$D$11)/12,IF('Operating Assumptions'!$L36="$/NSF",(('Operating Assumptions'!$M36*AL$25)*'Operating Assumptions'!$D$12)/12))))))))</f>
        <v>0</v>
      </c>
      <c r="AM111" s="427">
        <f>-IF(AM$9&lt;'Operating Assumptions'!$D$53,0,IF(AM$6&gt;'Operating Assumptions'!$AA$8,0,IF('Operating Assumptions'!$L36="N/A",0,IF('Operating Assumptions'!$L36="$/Unit/Annual",(('Operating Assumptions'!$M36*AM$25)*AM$36)/12,IF('Operating Assumptions'!$L36="$/Unit/Month",('Operating Assumptions'!$M36*AM$25)*AM$36,IF('Operating Assumptions'!$L36="Fixed Amount",('Operating Assumptions'!$M36*AM$25)/12,IF('Operating Assumptions'!$L36="$/GSF",(('Operating Assumptions'!$M36*AM$25)*'Operating Assumptions'!$D$11)/12,IF('Operating Assumptions'!$L36="$/NSF",(('Operating Assumptions'!$M36*AM$25)*'Operating Assumptions'!$D$12)/12))))))))</f>
        <v>0</v>
      </c>
      <c r="AN111" s="427">
        <f>-IF(AN$9&lt;'Operating Assumptions'!$D$53,0,IF(AN$6&gt;'Operating Assumptions'!$AA$8,0,IF('Operating Assumptions'!$L36="N/A",0,IF('Operating Assumptions'!$L36="$/Unit/Annual",(('Operating Assumptions'!$M36*AN$25)*AN$36)/12,IF('Operating Assumptions'!$L36="$/Unit/Month",('Operating Assumptions'!$M36*AN$25)*AN$36,IF('Operating Assumptions'!$L36="Fixed Amount",('Operating Assumptions'!$M36*AN$25)/12,IF('Operating Assumptions'!$L36="$/GSF",(('Operating Assumptions'!$M36*AN$25)*'Operating Assumptions'!$D$11)/12,IF('Operating Assumptions'!$L36="$/NSF",(('Operating Assumptions'!$M36*AN$25)*'Operating Assumptions'!$D$12)/12))))))))</f>
        <v>0</v>
      </c>
      <c r="AO111" s="427">
        <f>-IF(AO$9&lt;'Operating Assumptions'!$D$53,0,IF(AO$6&gt;'Operating Assumptions'!$AA$8,0,IF('Operating Assumptions'!$L36="N/A",0,IF('Operating Assumptions'!$L36="$/Unit/Annual",(('Operating Assumptions'!$M36*AO$25)*AO$36)/12,IF('Operating Assumptions'!$L36="$/Unit/Month",('Operating Assumptions'!$M36*AO$25)*AO$36,IF('Operating Assumptions'!$L36="Fixed Amount",('Operating Assumptions'!$M36*AO$25)/12,IF('Operating Assumptions'!$L36="$/GSF",(('Operating Assumptions'!$M36*AO$25)*'Operating Assumptions'!$D$11)/12,IF('Operating Assumptions'!$L36="$/NSF",(('Operating Assumptions'!$M36*AO$25)*'Operating Assumptions'!$D$12)/12))))))))</f>
        <v>0</v>
      </c>
      <c r="AP111" s="427">
        <f>-IF(AP$9&lt;'Operating Assumptions'!$D$53,0,IF(AP$6&gt;'Operating Assumptions'!$AA$8,0,IF('Operating Assumptions'!$L36="N/A",0,IF('Operating Assumptions'!$L36="$/Unit/Annual",(('Operating Assumptions'!$M36*AP$25)*AP$36)/12,IF('Operating Assumptions'!$L36="$/Unit/Month",('Operating Assumptions'!$M36*AP$25)*AP$36,IF('Operating Assumptions'!$L36="Fixed Amount",('Operating Assumptions'!$M36*AP$25)/12,IF('Operating Assumptions'!$L36="$/GSF",(('Operating Assumptions'!$M36*AP$25)*'Operating Assumptions'!$D$11)/12,IF('Operating Assumptions'!$L36="$/NSF",(('Operating Assumptions'!$M36*AP$25)*'Operating Assumptions'!$D$12)/12))))))))</f>
        <v>0</v>
      </c>
      <c r="AQ111" s="427">
        <f>-IF(AQ$9&lt;'Operating Assumptions'!$D$53,0,IF(AQ$6&gt;'Operating Assumptions'!$AA$8,0,IF('Operating Assumptions'!$L36="N/A",0,IF('Operating Assumptions'!$L36="$/Unit/Annual",(('Operating Assumptions'!$M36*AQ$25)*AQ$36)/12,IF('Operating Assumptions'!$L36="$/Unit/Month",('Operating Assumptions'!$M36*AQ$25)*AQ$36,IF('Operating Assumptions'!$L36="Fixed Amount",('Operating Assumptions'!$M36*AQ$25)/12,IF('Operating Assumptions'!$L36="$/GSF",(('Operating Assumptions'!$M36*AQ$25)*'Operating Assumptions'!$D$11)/12,IF('Operating Assumptions'!$L36="$/NSF",(('Operating Assumptions'!$M36*AQ$25)*'Operating Assumptions'!$D$12)/12))))))))</f>
        <v>0</v>
      </c>
      <c r="AR111" s="427">
        <f>-IF(AR$9&lt;'Operating Assumptions'!$D$53,0,IF(AR$6&gt;'Operating Assumptions'!$AA$8,0,IF('Operating Assumptions'!$L36="N/A",0,IF('Operating Assumptions'!$L36="$/Unit/Annual",(('Operating Assumptions'!$M36*AR$25)*AR$36)/12,IF('Operating Assumptions'!$L36="$/Unit/Month",('Operating Assumptions'!$M36*AR$25)*AR$36,IF('Operating Assumptions'!$L36="Fixed Amount",('Operating Assumptions'!$M36*AR$25)/12,IF('Operating Assumptions'!$L36="$/GSF",(('Operating Assumptions'!$M36*AR$25)*'Operating Assumptions'!$D$11)/12,IF('Operating Assumptions'!$L36="$/NSF",(('Operating Assumptions'!$M36*AR$25)*'Operating Assumptions'!$D$12)/12))))))))</f>
        <v>0</v>
      </c>
      <c r="AS111" s="427">
        <f>-IF(AS$9&lt;'Operating Assumptions'!$D$53,0,IF(AS$6&gt;'Operating Assumptions'!$AA$8,0,IF('Operating Assumptions'!$L36="N/A",0,IF('Operating Assumptions'!$L36="$/Unit/Annual",(('Operating Assumptions'!$M36*AS$25)*AS$36)/12,IF('Operating Assumptions'!$L36="$/Unit/Month",('Operating Assumptions'!$M36*AS$25)*AS$36,IF('Operating Assumptions'!$L36="Fixed Amount",('Operating Assumptions'!$M36*AS$25)/12,IF('Operating Assumptions'!$L36="$/GSF",(('Operating Assumptions'!$M36*AS$25)*'Operating Assumptions'!$D$11)/12,IF('Operating Assumptions'!$L36="$/NSF",(('Operating Assumptions'!$M36*AS$25)*'Operating Assumptions'!$D$12)/12))))))))</f>
        <v>0</v>
      </c>
      <c r="AT111" s="427">
        <f>-IF(AT$9&lt;'Operating Assumptions'!$D$53,0,IF(AT$6&gt;'Operating Assumptions'!$AA$8,0,IF('Operating Assumptions'!$L36="N/A",0,IF('Operating Assumptions'!$L36="$/Unit/Annual",(('Operating Assumptions'!$M36*AT$25)*AT$36)/12,IF('Operating Assumptions'!$L36="$/Unit/Month",('Operating Assumptions'!$M36*AT$25)*AT$36,IF('Operating Assumptions'!$L36="Fixed Amount",('Operating Assumptions'!$M36*AT$25)/12,IF('Operating Assumptions'!$L36="$/GSF",(('Operating Assumptions'!$M36*AT$25)*'Operating Assumptions'!$D$11)/12,IF('Operating Assumptions'!$L36="$/NSF",(('Operating Assumptions'!$M36*AT$25)*'Operating Assumptions'!$D$12)/12))))))))</f>
        <v>0</v>
      </c>
      <c r="AU111" s="427">
        <f>-IF(AU$9&lt;'Operating Assumptions'!$D$53,0,IF(AU$6&gt;'Operating Assumptions'!$AA$8,0,IF('Operating Assumptions'!$L36="N/A",0,IF('Operating Assumptions'!$L36="$/Unit/Annual",(('Operating Assumptions'!$M36*AU$25)*AU$36)/12,IF('Operating Assumptions'!$L36="$/Unit/Month",('Operating Assumptions'!$M36*AU$25)*AU$36,IF('Operating Assumptions'!$L36="Fixed Amount",('Operating Assumptions'!$M36*AU$25)/12,IF('Operating Assumptions'!$L36="$/GSF",(('Operating Assumptions'!$M36*AU$25)*'Operating Assumptions'!$D$11)/12,IF('Operating Assumptions'!$L36="$/NSF",(('Operating Assumptions'!$M36*AU$25)*'Operating Assumptions'!$D$12)/12))))))))</f>
        <v>0</v>
      </c>
      <c r="AV111" s="427">
        <f>-IF(AV$9&lt;'Operating Assumptions'!$D$53,0,IF(AV$6&gt;'Operating Assumptions'!$AA$8,0,IF('Operating Assumptions'!$L36="N/A",0,IF('Operating Assumptions'!$L36="$/Unit/Annual",(('Operating Assumptions'!$M36*AV$25)*AV$36)/12,IF('Operating Assumptions'!$L36="$/Unit/Month",('Operating Assumptions'!$M36*AV$25)*AV$36,IF('Operating Assumptions'!$L36="Fixed Amount",('Operating Assumptions'!$M36*AV$25)/12,IF('Operating Assumptions'!$L36="$/GSF",(('Operating Assumptions'!$M36*AV$25)*'Operating Assumptions'!$D$11)/12,IF('Operating Assumptions'!$L36="$/NSF",(('Operating Assumptions'!$M36*AV$25)*'Operating Assumptions'!$D$12)/12))))))))</f>
        <v>0</v>
      </c>
      <c r="AW111" s="427">
        <f>-IF(AW$9&lt;'Operating Assumptions'!$D$53,0,IF(AW$6&gt;'Operating Assumptions'!$AA$8,0,IF('Operating Assumptions'!$L36="N/A",0,IF('Operating Assumptions'!$L36="$/Unit/Annual",(('Operating Assumptions'!$M36*AW$25)*AW$36)/12,IF('Operating Assumptions'!$L36="$/Unit/Month",('Operating Assumptions'!$M36*AW$25)*AW$36,IF('Operating Assumptions'!$L36="Fixed Amount",('Operating Assumptions'!$M36*AW$25)/12,IF('Operating Assumptions'!$L36="$/GSF",(('Operating Assumptions'!$M36*AW$25)*'Operating Assumptions'!$D$11)/12,IF('Operating Assumptions'!$L36="$/NSF",(('Operating Assumptions'!$M36*AW$25)*'Operating Assumptions'!$D$12)/12))))))))</f>
        <v>0</v>
      </c>
      <c r="AX111" s="427">
        <f>-IF(AX$9&lt;'Operating Assumptions'!$D$53,0,IF(AX$6&gt;'Operating Assumptions'!$AA$8,0,IF('Operating Assumptions'!$L36="N/A",0,IF('Operating Assumptions'!$L36="$/Unit/Annual",(('Operating Assumptions'!$M36*AX$25)*AX$36)/12,IF('Operating Assumptions'!$L36="$/Unit/Month",('Operating Assumptions'!$M36*AX$25)*AX$36,IF('Operating Assumptions'!$L36="Fixed Amount",('Operating Assumptions'!$M36*AX$25)/12,IF('Operating Assumptions'!$L36="$/GSF",(('Operating Assumptions'!$M36*AX$25)*'Operating Assumptions'!$D$11)/12,IF('Operating Assumptions'!$L36="$/NSF",(('Operating Assumptions'!$M36*AX$25)*'Operating Assumptions'!$D$12)/12))))))))</f>
        <v>0</v>
      </c>
      <c r="AY111" s="427">
        <f>-IF(AY$9&lt;'Operating Assumptions'!$D$53,0,IF(AY$6&gt;'Operating Assumptions'!$AA$8,0,IF('Operating Assumptions'!$L36="N/A",0,IF('Operating Assumptions'!$L36="$/Unit/Annual",(('Operating Assumptions'!$M36*AY$25)*AY$36)/12,IF('Operating Assumptions'!$L36="$/Unit/Month",('Operating Assumptions'!$M36*AY$25)*AY$36,IF('Operating Assumptions'!$L36="Fixed Amount",('Operating Assumptions'!$M36*AY$25)/12,IF('Operating Assumptions'!$L36="$/GSF",(('Operating Assumptions'!$M36*AY$25)*'Operating Assumptions'!$D$11)/12,IF('Operating Assumptions'!$L36="$/NSF",(('Operating Assumptions'!$M36*AY$25)*'Operating Assumptions'!$D$12)/12))))))))</f>
        <v>0</v>
      </c>
      <c r="AZ111" s="427">
        <f>-IF(AZ$9&lt;'Operating Assumptions'!$D$53,0,IF(AZ$6&gt;'Operating Assumptions'!$AA$8,0,IF('Operating Assumptions'!$L36="N/A",0,IF('Operating Assumptions'!$L36="$/Unit/Annual",(('Operating Assumptions'!$M36*AZ$25)*AZ$36)/12,IF('Operating Assumptions'!$L36="$/Unit/Month",('Operating Assumptions'!$M36*AZ$25)*AZ$36,IF('Operating Assumptions'!$L36="Fixed Amount",('Operating Assumptions'!$M36*AZ$25)/12,IF('Operating Assumptions'!$L36="$/GSF",(('Operating Assumptions'!$M36*AZ$25)*'Operating Assumptions'!$D$11)/12,IF('Operating Assumptions'!$L36="$/NSF",(('Operating Assumptions'!$M36*AZ$25)*'Operating Assumptions'!$D$12)/12))))))))</f>
        <v>0</v>
      </c>
      <c r="BA111" s="427">
        <f>-IF(BA$9&lt;'Operating Assumptions'!$D$53,0,IF(BA$6&gt;'Operating Assumptions'!$AA$8,0,IF('Operating Assumptions'!$L36="N/A",0,IF('Operating Assumptions'!$L36="$/Unit/Annual",(('Operating Assumptions'!$M36*BA$25)*BA$36)/12,IF('Operating Assumptions'!$L36="$/Unit/Month",('Operating Assumptions'!$M36*BA$25)*BA$36,IF('Operating Assumptions'!$L36="Fixed Amount",('Operating Assumptions'!$M36*BA$25)/12,IF('Operating Assumptions'!$L36="$/GSF",(('Operating Assumptions'!$M36*BA$25)*'Operating Assumptions'!$D$11)/12,IF('Operating Assumptions'!$L36="$/NSF",(('Operating Assumptions'!$M36*BA$25)*'Operating Assumptions'!$D$12)/12))))))))</f>
        <v>0</v>
      </c>
      <c r="BB111" s="427">
        <f>-IF(BB$9&lt;'Operating Assumptions'!$D$53,0,IF(BB$6&gt;'Operating Assumptions'!$AA$8,0,IF('Operating Assumptions'!$L36="N/A",0,IF('Operating Assumptions'!$L36="$/Unit/Annual",(('Operating Assumptions'!$M36*BB$25)*BB$36)/12,IF('Operating Assumptions'!$L36="$/Unit/Month",('Operating Assumptions'!$M36*BB$25)*BB$36,IF('Operating Assumptions'!$L36="Fixed Amount",('Operating Assumptions'!$M36*BB$25)/12,IF('Operating Assumptions'!$L36="$/GSF",(('Operating Assumptions'!$M36*BB$25)*'Operating Assumptions'!$D$11)/12,IF('Operating Assumptions'!$L36="$/NSF",(('Operating Assumptions'!$M36*BB$25)*'Operating Assumptions'!$D$12)/12))))))))</f>
        <v>0</v>
      </c>
      <c r="BC111" s="427">
        <f>-IF(BC$9&lt;'Operating Assumptions'!$D$53,0,IF(BC$6&gt;'Operating Assumptions'!$AA$8,0,IF('Operating Assumptions'!$L36="N/A",0,IF('Operating Assumptions'!$L36="$/Unit/Annual",(('Operating Assumptions'!$M36*BC$25)*BC$36)/12,IF('Operating Assumptions'!$L36="$/Unit/Month",('Operating Assumptions'!$M36*BC$25)*BC$36,IF('Operating Assumptions'!$L36="Fixed Amount",('Operating Assumptions'!$M36*BC$25)/12,IF('Operating Assumptions'!$L36="$/GSF",(('Operating Assumptions'!$M36*BC$25)*'Operating Assumptions'!$D$11)/12,IF('Operating Assumptions'!$L36="$/NSF",(('Operating Assumptions'!$M36*BC$25)*'Operating Assumptions'!$D$12)/12))))))))</f>
        <v>0</v>
      </c>
      <c r="BD111" s="427">
        <f>-IF(BD$9&lt;'Operating Assumptions'!$D$53,0,IF(BD$6&gt;'Operating Assumptions'!$AA$8,0,IF('Operating Assumptions'!$L36="N/A",0,IF('Operating Assumptions'!$L36="$/Unit/Annual",(('Operating Assumptions'!$M36*BD$25)*BD$36)/12,IF('Operating Assumptions'!$L36="$/Unit/Month",('Operating Assumptions'!$M36*BD$25)*BD$36,IF('Operating Assumptions'!$L36="Fixed Amount",('Operating Assumptions'!$M36*BD$25)/12,IF('Operating Assumptions'!$L36="$/GSF",(('Operating Assumptions'!$M36*BD$25)*'Operating Assumptions'!$D$11)/12,IF('Operating Assumptions'!$L36="$/NSF",(('Operating Assumptions'!$M36*BD$25)*'Operating Assumptions'!$D$12)/12))))))))</f>
        <v>0</v>
      </c>
      <c r="BE111" s="427">
        <f>-IF(BE$9&lt;'Operating Assumptions'!$D$53,0,IF(BE$6&gt;'Operating Assumptions'!$AA$8,0,IF('Operating Assumptions'!$L36="N/A",0,IF('Operating Assumptions'!$L36="$/Unit/Annual",(('Operating Assumptions'!$M36*BE$25)*BE$36)/12,IF('Operating Assumptions'!$L36="$/Unit/Month",('Operating Assumptions'!$M36*BE$25)*BE$36,IF('Operating Assumptions'!$L36="Fixed Amount",('Operating Assumptions'!$M36*BE$25)/12,IF('Operating Assumptions'!$L36="$/GSF",(('Operating Assumptions'!$M36*BE$25)*'Operating Assumptions'!$D$11)/12,IF('Operating Assumptions'!$L36="$/NSF",(('Operating Assumptions'!$M36*BE$25)*'Operating Assumptions'!$D$12)/12))))))))</f>
        <v>0</v>
      </c>
      <c r="BF111" s="427">
        <f>-IF(BF$9&lt;'Operating Assumptions'!$D$53,0,IF(BF$6&gt;'Operating Assumptions'!$AA$8,0,IF('Operating Assumptions'!$L36="N/A",0,IF('Operating Assumptions'!$L36="$/Unit/Annual",(('Operating Assumptions'!$M36*BF$25)*BF$36)/12,IF('Operating Assumptions'!$L36="$/Unit/Month",('Operating Assumptions'!$M36*BF$25)*BF$36,IF('Operating Assumptions'!$L36="Fixed Amount",('Operating Assumptions'!$M36*BF$25)/12,IF('Operating Assumptions'!$L36="$/GSF",(('Operating Assumptions'!$M36*BF$25)*'Operating Assumptions'!$D$11)/12,IF('Operating Assumptions'!$L36="$/NSF",(('Operating Assumptions'!$M36*BF$25)*'Operating Assumptions'!$D$12)/12))))))))</f>
        <v>0</v>
      </c>
      <c r="BG111" s="427">
        <f>-IF(BG$9&lt;'Operating Assumptions'!$D$53,0,IF(BG$6&gt;'Operating Assumptions'!$AA$8,0,IF('Operating Assumptions'!$L36="N/A",0,IF('Operating Assumptions'!$L36="$/Unit/Annual",(('Operating Assumptions'!$M36*BG$25)*BG$36)/12,IF('Operating Assumptions'!$L36="$/Unit/Month",('Operating Assumptions'!$M36*BG$25)*BG$36,IF('Operating Assumptions'!$L36="Fixed Amount",('Operating Assumptions'!$M36*BG$25)/12,IF('Operating Assumptions'!$L36="$/GSF",(('Operating Assumptions'!$M36*BG$25)*'Operating Assumptions'!$D$11)/12,IF('Operating Assumptions'!$L36="$/NSF",(('Operating Assumptions'!$M36*BG$25)*'Operating Assumptions'!$D$12)/12))))))))</f>
        <v>0</v>
      </c>
      <c r="BH111" s="427">
        <f>-IF(BH$9&lt;'Operating Assumptions'!$D$53,0,IF(BH$6&gt;'Operating Assumptions'!$AA$8,0,IF('Operating Assumptions'!$L36="N/A",0,IF('Operating Assumptions'!$L36="$/Unit/Annual",(('Operating Assumptions'!$M36*BH$25)*BH$36)/12,IF('Operating Assumptions'!$L36="$/Unit/Month",('Operating Assumptions'!$M36*BH$25)*BH$36,IF('Operating Assumptions'!$L36="Fixed Amount",('Operating Assumptions'!$M36*BH$25)/12,IF('Operating Assumptions'!$L36="$/GSF",(('Operating Assumptions'!$M36*BH$25)*'Operating Assumptions'!$D$11)/12,IF('Operating Assumptions'!$L36="$/NSF",(('Operating Assumptions'!$M36*BH$25)*'Operating Assumptions'!$D$12)/12))))))))</f>
        <v>0</v>
      </c>
      <c r="BI111" s="427">
        <f>-IF(BI$9&lt;'Operating Assumptions'!$D$53,0,IF(BI$6&gt;'Operating Assumptions'!$AA$8,0,IF('Operating Assumptions'!$L36="N/A",0,IF('Operating Assumptions'!$L36="$/Unit/Annual",(('Operating Assumptions'!$M36*BI$25)*BI$36)/12,IF('Operating Assumptions'!$L36="$/Unit/Month",('Operating Assumptions'!$M36*BI$25)*BI$36,IF('Operating Assumptions'!$L36="Fixed Amount",('Operating Assumptions'!$M36*BI$25)/12,IF('Operating Assumptions'!$L36="$/GSF",(('Operating Assumptions'!$M36*BI$25)*'Operating Assumptions'!$D$11)/12,IF('Operating Assumptions'!$L36="$/NSF",(('Operating Assumptions'!$M36*BI$25)*'Operating Assumptions'!$D$12)/12))))))))</f>
        <v>0</v>
      </c>
      <c r="BJ111" s="427">
        <f>-IF(BJ$9&lt;'Operating Assumptions'!$D$53,0,IF(BJ$6&gt;'Operating Assumptions'!$AA$8,0,IF('Operating Assumptions'!$L36="N/A",0,IF('Operating Assumptions'!$L36="$/Unit/Annual",(('Operating Assumptions'!$M36*BJ$25)*BJ$36)/12,IF('Operating Assumptions'!$L36="$/Unit/Month",('Operating Assumptions'!$M36*BJ$25)*BJ$36,IF('Operating Assumptions'!$L36="Fixed Amount",('Operating Assumptions'!$M36*BJ$25)/12,IF('Operating Assumptions'!$L36="$/GSF",(('Operating Assumptions'!$M36*BJ$25)*'Operating Assumptions'!$D$11)/12,IF('Operating Assumptions'!$L36="$/NSF",(('Operating Assumptions'!$M36*BJ$25)*'Operating Assumptions'!$D$12)/12))))))))</f>
        <v>0</v>
      </c>
      <c r="BK111" s="427">
        <f>-IF(BK$9&lt;'Operating Assumptions'!$D$53,0,IF(BK$6&gt;'Operating Assumptions'!$AA$8,0,IF('Operating Assumptions'!$L36="N/A",0,IF('Operating Assumptions'!$L36="$/Unit/Annual",(('Operating Assumptions'!$M36*BK$25)*BK$36)/12,IF('Operating Assumptions'!$L36="$/Unit/Month",('Operating Assumptions'!$M36*BK$25)*BK$36,IF('Operating Assumptions'!$L36="Fixed Amount",('Operating Assumptions'!$M36*BK$25)/12,IF('Operating Assumptions'!$L36="$/GSF",(('Operating Assumptions'!$M36*BK$25)*'Operating Assumptions'!$D$11)/12,IF('Operating Assumptions'!$L36="$/NSF",(('Operating Assumptions'!$M36*BK$25)*'Operating Assumptions'!$D$12)/12))))))))</f>
        <v>0</v>
      </c>
      <c r="BL111" s="427">
        <f>-IF(BL$9&lt;'Operating Assumptions'!$D$53,0,IF(BL$6&gt;'Operating Assumptions'!$AA$8,0,IF('Operating Assumptions'!$L36="N/A",0,IF('Operating Assumptions'!$L36="$/Unit/Annual",(('Operating Assumptions'!$M36*BL$25)*BL$36)/12,IF('Operating Assumptions'!$L36="$/Unit/Month",('Operating Assumptions'!$M36*BL$25)*BL$36,IF('Operating Assumptions'!$L36="Fixed Amount",('Operating Assumptions'!$M36*BL$25)/12,IF('Operating Assumptions'!$L36="$/GSF",(('Operating Assumptions'!$M36*BL$25)*'Operating Assumptions'!$D$11)/12,IF('Operating Assumptions'!$L36="$/NSF",(('Operating Assumptions'!$M36*BL$25)*'Operating Assumptions'!$D$12)/12))))))))</f>
        <v>0</v>
      </c>
      <c r="BM111" s="427">
        <f>-IF(BM$9&lt;'Operating Assumptions'!$D$53,0,IF(BM$6&gt;'Operating Assumptions'!$AA$8,0,IF('Operating Assumptions'!$L36="N/A",0,IF('Operating Assumptions'!$L36="$/Unit/Annual",(('Operating Assumptions'!$M36*BM$25)*BM$36)/12,IF('Operating Assumptions'!$L36="$/Unit/Month",('Operating Assumptions'!$M36*BM$25)*BM$36,IF('Operating Assumptions'!$L36="Fixed Amount",('Operating Assumptions'!$M36*BM$25)/12,IF('Operating Assumptions'!$L36="$/GSF",(('Operating Assumptions'!$M36*BM$25)*'Operating Assumptions'!$D$11)/12,IF('Operating Assumptions'!$L36="$/NSF",(('Operating Assumptions'!$M36*BM$25)*'Operating Assumptions'!$D$12)/12))))))))</f>
        <v>0</v>
      </c>
      <c r="BN111" s="427">
        <f>-IF(BN$9&lt;'Operating Assumptions'!$D$53,0,IF(BN$6&gt;'Operating Assumptions'!$AA$8,0,IF('Operating Assumptions'!$L36="N/A",0,IF('Operating Assumptions'!$L36="$/Unit/Annual",(('Operating Assumptions'!$M36*BN$25)*BN$36)/12,IF('Operating Assumptions'!$L36="$/Unit/Month",('Operating Assumptions'!$M36*BN$25)*BN$36,IF('Operating Assumptions'!$L36="Fixed Amount",('Operating Assumptions'!$M36*BN$25)/12,IF('Operating Assumptions'!$L36="$/GSF",(('Operating Assumptions'!$M36*BN$25)*'Operating Assumptions'!$D$11)/12,IF('Operating Assumptions'!$L36="$/NSF",(('Operating Assumptions'!$M36*BN$25)*'Operating Assumptions'!$D$12)/12))))))))</f>
        <v>0</v>
      </c>
      <c r="BO111" s="427">
        <f>-IF(BO$9&lt;'Operating Assumptions'!$D$53,0,IF(BO$6&gt;'Operating Assumptions'!$AA$8,0,IF('Operating Assumptions'!$L36="N/A",0,IF('Operating Assumptions'!$L36="$/Unit/Annual",(('Operating Assumptions'!$M36*BO$25)*BO$36)/12,IF('Operating Assumptions'!$L36="$/Unit/Month",('Operating Assumptions'!$M36*BO$25)*BO$36,IF('Operating Assumptions'!$L36="Fixed Amount",('Operating Assumptions'!$M36*BO$25)/12,IF('Operating Assumptions'!$L36="$/GSF",(('Operating Assumptions'!$M36*BO$25)*'Operating Assumptions'!$D$11)/12,IF('Operating Assumptions'!$L36="$/NSF",(('Operating Assumptions'!$M36*BO$25)*'Operating Assumptions'!$D$12)/12))))))))</f>
        <v>0</v>
      </c>
      <c r="BP111" s="427">
        <f>-IF(BP$9&lt;'Operating Assumptions'!$D$53,0,IF(BP$6&gt;'Operating Assumptions'!$AA$8,0,IF('Operating Assumptions'!$L36="N/A",0,IF('Operating Assumptions'!$L36="$/Unit/Annual",(('Operating Assumptions'!$M36*BP$25)*BP$36)/12,IF('Operating Assumptions'!$L36="$/Unit/Month",('Operating Assumptions'!$M36*BP$25)*BP$36,IF('Operating Assumptions'!$L36="Fixed Amount",('Operating Assumptions'!$M36*BP$25)/12,IF('Operating Assumptions'!$L36="$/GSF",(('Operating Assumptions'!$M36*BP$25)*'Operating Assumptions'!$D$11)/12,IF('Operating Assumptions'!$L36="$/NSF",(('Operating Assumptions'!$M36*BP$25)*'Operating Assumptions'!$D$12)/12))))))))</f>
        <v>0</v>
      </c>
      <c r="BQ111" s="427">
        <f>-IF(BQ$9&lt;'Operating Assumptions'!$D$53,0,IF(BQ$6&gt;'Operating Assumptions'!$AA$8,0,IF('Operating Assumptions'!$L36="N/A",0,IF('Operating Assumptions'!$L36="$/Unit/Annual",(('Operating Assumptions'!$M36*BQ$25)*BQ$36)/12,IF('Operating Assumptions'!$L36="$/Unit/Month",('Operating Assumptions'!$M36*BQ$25)*BQ$36,IF('Operating Assumptions'!$L36="Fixed Amount",('Operating Assumptions'!$M36*BQ$25)/12,IF('Operating Assumptions'!$L36="$/GSF",(('Operating Assumptions'!$M36*BQ$25)*'Operating Assumptions'!$D$11)/12,IF('Operating Assumptions'!$L36="$/NSF",(('Operating Assumptions'!$M36*BQ$25)*'Operating Assumptions'!$D$12)/12))))))))</f>
        <v>0</v>
      </c>
      <c r="BR111" s="427">
        <f>-IF(BR$9&lt;'Operating Assumptions'!$D$53,0,IF(BR$6&gt;'Operating Assumptions'!$AA$8,0,IF('Operating Assumptions'!$L36="N/A",0,IF('Operating Assumptions'!$L36="$/Unit/Annual",(('Operating Assumptions'!$M36*BR$25)*BR$36)/12,IF('Operating Assumptions'!$L36="$/Unit/Month",('Operating Assumptions'!$M36*BR$25)*BR$36,IF('Operating Assumptions'!$L36="Fixed Amount",('Operating Assumptions'!$M36*BR$25)/12,IF('Operating Assumptions'!$L36="$/GSF",(('Operating Assumptions'!$M36*BR$25)*'Operating Assumptions'!$D$11)/12,IF('Operating Assumptions'!$L36="$/NSF",(('Operating Assumptions'!$M36*BR$25)*'Operating Assumptions'!$D$12)/12))))))))</f>
        <v>0</v>
      </c>
      <c r="BS111" s="427">
        <f>-IF(BS$9&lt;'Operating Assumptions'!$D$53,0,IF(BS$6&gt;'Operating Assumptions'!$AA$8,0,IF('Operating Assumptions'!$L36="N/A",0,IF('Operating Assumptions'!$L36="$/Unit/Annual",(('Operating Assumptions'!$M36*BS$25)*BS$36)/12,IF('Operating Assumptions'!$L36="$/Unit/Month",('Operating Assumptions'!$M36*BS$25)*BS$36,IF('Operating Assumptions'!$L36="Fixed Amount",('Operating Assumptions'!$M36*BS$25)/12,IF('Operating Assumptions'!$L36="$/GSF",(('Operating Assumptions'!$M36*BS$25)*'Operating Assumptions'!$D$11)/12,IF('Operating Assumptions'!$L36="$/NSF",(('Operating Assumptions'!$M36*BS$25)*'Operating Assumptions'!$D$12)/12))))))))</f>
        <v>0</v>
      </c>
      <c r="BT111" s="427">
        <f>-IF(BT$9&lt;'Operating Assumptions'!$D$53,0,IF(BT$6&gt;'Operating Assumptions'!$AA$8,0,IF('Operating Assumptions'!$L36="N/A",0,IF('Operating Assumptions'!$L36="$/Unit/Annual",(('Operating Assumptions'!$M36*BT$25)*BT$36)/12,IF('Operating Assumptions'!$L36="$/Unit/Month",('Operating Assumptions'!$M36*BT$25)*BT$36,IF('Operating Assumptions'!$L36="Fixed Amount",('Operating Assumptions'!$M36*BT$25)/12,IF('Operating Assumptions'!$L36="$/GSF",(('Operating Assumptions'!$M36*BT$25)*'Operating Assumptions'!$D$11)/12,IF('Operating Assumptions'!$L36="$/NSF",(('Operating Assumptions'!$M36*BT$25)*'Operating Assumptions'!$D$12)/12))))))))</f>
        <v>0</v>
      </c>
      <c r="BU111" s="427">
        <f>-IF(BU$9&lt;'Operating Assumptions'!$D$53,0,IF(BU$6&gt;'Operating Assumptions'!$AA$8,0,IF('Operating Assumptions'!$L36="N/A",0,IF('Operating Assumptions'!$L36="$/Unit/Annual",(('Operating Assumptions'!$M36*BU$25)*BU$36)/12,IF('Operating Assumptions'!$L36="$/Unit/Month",('Operating Assumptions'!$M36*BU$25)*BU$36,IF('Operating Assumptions'!$L36="Fixed Amount",('Operating Assumptions'!$M36*BU$25)/12,IF('Operating Assumptions'!$L36="$/GSF",(('Operating Assumptions'!$M36*BU$25)*'Operating Assumptions'!$D$11)/12,IF('Operating Assumptions'!$L36="$/NSF",(('Operating Assumptions'!$M36*BU$25)*'Operating Assumptions'!$D$12)/12))))))))</f>
        <v>0</v>
      </c>
      <c r="BV111" s="427">
        <f>-IF(BV$9&lt;'Operating Assumptions'!$D$53,0,IF(BV$6&gt;'Operating Assumptions'!$AA$8,0,IF('Operating Assumptions'!$L36="N/A",0,IF('Operating Assumptions'!$L36="$/Unit/Annual",(('Operating Assumptions'!$M36*BV$25)*BV$36)/12,IF('Operating Assumptions'!$L36="$/Unit/Month",('Operating Assumptions'!$M36*BV$25)*BV$36,IF('Operating Assumptions'!$L36="Fixed Amount",('Operating Assumptions'!$M36*BV$25)/12,IF('Operating Assumptions'!$L36="$/GSF",(('Operating Assumptions'!$M36*BV$25)*'Operating Assumptions'!$D$11)/12,IF('Operating Assumptions'!$L36="$/NSF",(('Operating Assumptions'!$M36*BV$25)*'Operating Assumptions'!$D$12)/12))))))))</f>
        <v>0</v>
      </c>
      <c r="BW111" s="427">
        <f>-IF(BW$9&lt;'Operating Assumptions'!$D$53,0,IF(BW$6&gt;'Operating Assumptions'!$AA$8,0,IF('Operating Assumptions'!$L36="N/A",0,IF('Operating Assumptions'!$L36="$/Unit/Annual",(('Operating Assumptions'!$M36*BW$25)*BW$36)/12,IF('Operating Assumptions'!$L36="$/Unit/Month",('Operating Assumptions'!$M36*BW$25)*BW$36,IF('Operating Assumptions'!$L36="Fixed Amount",('Operating Assumptions'!$M36*BW$25)/12,IF('Operating Assumptions'!$L36="$/GSF",(('Operating Assumptions'!$M36*BW$25)*'Operating Assumptions'!$D$11)/12,IF('Operating Assumptions'!$L36="$/NSF",(('Operating Assumptions'!$M36*BW$25)*'Operating Assumptions'!$D$12)/12))))))))</f>
        <v>0</v>
      </c>
      <c r="BX111" s="427">
        <f>-IF(BX$9&lt;'Operating Assumptions'!$D$53,0,IF(BX$6&gt;'Operating Assumptions'!$AA$8,0,IF('Operating Assumptions'!$L36="N/A",0,IF('Operating Assumptions'!$L36="$/Unit/Annual",(('Operating Assumptions'!$M36*BX$25)*BX$36)/12,IF('Operating Assumptions'!$L36="$/Unit/Month",('Operating Assumptions'!$M36*BX$25)*BX$36,IF('Operating Assumptions'!$L36="Fixed Amount",('Operating Assumptions'!$M36*BX$25)/12,IF('Operating Assumptions'!$L36="$/GSF",(('Operating Assumptions'!$M36*BX$25)*'Operating Assumptions'!$D$11)/12,IF('Operating Assumptions'!$L36="$/NSF",(('Operating Assumptions'!$M36*BX$25)*'Operating Assumptions'!$D$12)/12))))))))</f>
        <v>0</v>
      </c>
      <c r="BY111" s="427">
        <f>-IF(BY$9&lt;'Operating Assumptions'!$D$53,0,IF(BY$6&gt;'Operating Assumptions'!$AA$8,0,IF('Operating Assumptions'!$L36="N/A",0,IF('Operating Assumptions'!$L36="$/Unit/Annual",(('Operating Assumptions'!$M36*BY$25)*BY$36)/12,IF('Operating Assumptions'!$L36="$/Unit/Month",('Operating Assumptions'!$M36*BY$25)*BY$36,IF('Operating Assumptions'!$L36="Fixed Amount",('Operating Assumptions'!$M36*BY$25)/12,IF('Operating Assumptions'!$L36="$/GSF",(('Operating Assumptions'!$M36*BY$25)*'Operating Assumptions'!$D$11)/12,IF('Operating Assumptions'!$L36="$/NSF",(('Operating Assumptions'!$M36*BY$25)*'Operating Assumptions'!$D$12)/12))))))))</f>
        <v>0</v>
      </c>
      <c r="BZ111" s="427">
        <f>-IF(BZ$9&lt;'Operating Assumptions'!$D$53,0,IF(BZ$6&gt;'Operating Assumptions'!$AA$8,0,IF('Operating Assumptions'!$L36="N/A",0,IF('Operating Assumptions'!$L36="$/Unit/Annual",(('Operating Assumptions'!$M36*BZ$25)*BZ$36)/12,IF('Operating Assumptions'!$L36="$/Unit/Month",('Operating Assumptions'!$M36*BZ$25)*BZ$36,IF('Operating Assumptions'!$L36="Fixed Amount",('Operating Assumptions'!$M36*BZ$25)/12,IF('Operating Assumptions'!$L36="$/GSF",(('Operating Assumptions'!$M36*BZ$25)*'Operating Assumptions'!$D$11)/12,IF('Operating Assumptions'!$L36="$/NSF",(('Operating Assumptions'!$M36*BZ$25)*'Operating Assumptions'!$D$12)/12))))))))</f>
        <v>0</v>
      </c>
      <c r="CA111" s="427">
        <f>-IF(CA$9&lt;'Operating Assumptions'!$D$53,0,IF(CA$6&gt;'Operating Assumptions'!$AA$8,0,IF('Operating Assumptions'!$L36="N/A",0,IF('Operating Assumptions'!$L36="$/Unit/Annual",(('Operating Assumptions'!$M36*CA$25)*CA$36)/12,IF('Operating Assumptions'!$L36="$/Unit/Month",('Operating Assumptions'!$M36*CA$25)*CA$36,IF('Operating Assumptions'!$L36="Fixed Amount",('Operating Assumptions'!$M36*CA$25)/12,IF('Operating Assumptions'!$L36="$/GSF",(('Operating Assumptions'!$M36*CA$25)*'Operating Assumptions'!$D$11)/12,IF('Operating Assumptions'!$L36="$/NSF",(('Operating Assumptions'!$M36*CA$25)*'Operating Assumptions'!$D$12)/12))))))))</f>
        <v>0</v>
      </c>
      <c r="CB111" s="427">
        <f>-IF(CB$9&lt;'Operating Assumptions'!$D$53,0,IF(CB$6&gt;'Operating Assumptions'!$AA$8,0,IF('Operating Assumptions'!$L36="N/A",0,IF('Operating Assumptions'!$L36="$/Unit/Annual",(('Operating Assumptions'!$M36*CB$25)*CB$36)/12,IF('Operating Assumptions'!$L36="$/Unit/Month",('Operating Assumptions'!$M36*CB$25)*CB$36,IF('Operating Assumptions'!$L36="Fixed Amount",('Operating Assumptions'!$M36*CB$25)/12,IF('Operating Assumptions'!$L36="$/GSF",(('Operating Assumptions'!$M36*CB$25)*'Operating Assumptions'!$D$11)/12,IF('Operating Assumptions'!$L36="$/NSF",(('Operating Assumptions'!$M36*CB$25)*'Operating Assumptions'!$D$12)/12))))))))</f>
        <v>0</v>
      </c>
      <c r="CC111" s="427">
        <f>-IF(CC$9&lt;'Operating Assumptions'!$D$53,0,IF(CC$6&gt;'Operating Assumptions'!$AA$8,0,IF('Operating Assumptions'!$L36="N/A",0,IF('Operating Assumptions'!$L36="$/Unit/Annual",(('Operating Assumptions'!$M36*CC$25)*CC$36)/12,IF('Operating Assumptions'!$L36="$/Unit/Month",('Operating Assumptions'!$M36*CC$25)*CC$36,IF('Operating Assumptions'!$L36="Fixed Amount",('Operating Assumptions'!$M36*CC$25)/12,IF('Operating Assumptions'!$L36="$/GSF",(('Operating Assumptions'!$M36*CC$25)*'Operating Assumptions'!$D$11)/12,IF('Operating Assumptions'!$L36="$/NSF",(('Operating Assumptions'!$M36*CC$25)*'Operating Assumptions'!$D$12)/12))))))))</f>
        <v>0</v>
      </c>
      <c r="CD111" s="427">
        <f>-IF(CD$9&lt;'Operating Assumptions'!$D$53,0,IF(CD$6&gt;'Operating Assumptions'!$AA$8,0,IF('Operating Assumptions'!$L36="N/A",0,IF('Operating Assumptions'!$L36="$/Unit/Annual",(('Operating Assumptions'!$M36*CD$25)*CD$36)/12,IF('Operating Assumptions'!$L36="$/Unit/Month",('Operating Assumptions'!$M36*CD$25)*CD$36,IF('Operating Assumptions'!$L36="Fixed Amount",('Operating Assumptions'!$M36*CD$25)/12,IF('Operating Assumptions'!$L36="$/GSF",(('Operating Assumptions'!$M36*CD$25)*'Operating Assumptions'!$D$11)/12,IF('Operating Assumptions'!$L36="$/NSF",(('Operating Assumptions'!$M36*CD$25)*'Operating Assumptions'!$D$12)/12))))))))</f>
        <v>0</v>
      </c>
      <c r="CE111" s="427">
        <f>-IF(CE$9&lt;'Operating Assumptions'!$D$53,0,IF(CE$6&gt;'Operating Assumptions'!$AA$8,0,IF('Operating Assumptions'!$L36="N/A",0,IF('Operating Assumptions'!$L36="$/Unit/Annual",(('Operating Assumptions'!$M36*CE$25)*CE$36)/12,IF('Operating Assumptions'!$L36="$/Unit/Month",('Operating Assumptions'!$M36*CE$25)*CE$36,IF('Operating Assumptions'!$L36="Fixed Amount",('Operating Assumptions'!$M36*CE$25)/12,IF('Operating Assumptions'!$L36="$/GSF",(('Operating Assumptions'!$M36*CE$25)*'Operating Assumptions'!$D$11)/12,IF('Operating Assumptions'!$L36="$/NSF",(('Operating Assumptions'!$M36*CE$25)*'Operating Assumptions'!$D$12)/12))))))))</f>
        <v>0</v>
      </c>
      <c r="CF111" s="427">
        <f>-IF(CF$9&lt;'Operating Assumptions'!$D$53,0,IF(CF$6&gt;'Operating Assumptions'!$AA$8,0,IF('Operating Assumptions'!$L36="N/A",0,IF('Operating Assumptions'!$L36="$/Unit/Annual",(('Operating Assumptions'!$M36*CF$25)*CF$36)/12,IF('Operating Assumptions'!$L36="$/Unit/Month",('Operating Assumptions'!$M36*CF$25)*CF$36,IF('Operating Assumptions'!$L36="Fixed Amount",('Operating Assumptions'!$M36*CF$25)/12,IF('Operating Assumptions'!$L36="$/GSF",(('Operating Assumptions'!$M36*CF$25)*'Operating Assumptions'!$D$11)/12,IF('Operating Assumptions'!$L36="$/NSF",(('Operating Assumptions'!$M36*CF$25)*'Operating Assumptions'!$D$12)/12))))))))</f>
        <v>0</v>
      </c>
      <c r="CG111" s="427">
        <f>-IF(CG$9&lt;'Operating Assumptions'!$D$53,0,IF(CG$6&gt;'Operating Assumptions'!$AA$8,0,IF('Operating Assumptions'!$L36="N/A",0,IF('Operating Assumptions'!$L36="$/Unit/Annual",(('Operating Assumptions'!$M36*CG$25)*CG$36)/12,IF('Operating Assumptions'!$L36="$/Unit/Month",('Operating Assumptions'!$M36*CG$25)*CG$36,IF('Operating Assumptions'!$L36="Fixed Amount",('Operating Assumptions'!$M36*CG$25)/12,IF('Operating Assumptions'!$L36="$/GSF",(('Operating Assumptions'!$M36*CG$25)*'Operating Assumptions'!$D$11)/12,IF('Operating Assumptions'!$L36="$/NSF",(('Operating Assumptions'!$M36*CG$25)*'Operating Assumptions'!$D$12)/12))))))))</f>
        <v>0</v>
      </c>
      <c r="CH111" s="427">
        <f>-IF(CH$9&lt;'Operating Assumptions'!$D$53,0,IF(CH$6&gt;'Operating Assumptions'!$AA$8,0,IF('Operating Assumptions'!$L36="N/A",0,IF('Operating Assumptions'!$L36="$/Unit/Annual",(('Operating Assumptions'!$M36*CH$25)*CH$36)/12,IF('Operating Assumptions'!$L36="$/Unit/Month",('Operating Assumptions'!$M36*CH$25)*CH$36,IF('Operating Assumptions'!$L36="Fixed Amount",('Operating Assumptions'!$M36*CH$25)/12,IF('Operating Assumptions'!$L36="$/GSF",(('Operating Assumptions'!$M36*CH$25)*'Operating Assumptions'!$D$11)/12,IF('Operating Assumptions'!$L36="$/NSF",(('Operating Assumptions'!$M36*CH$25)*'Operating Assumptions'!$D$12)/12))))))))</f>
        <v>0</v>
      </c>
      <c r="CI111" s="427">
        <f>-IF(CI$9&lt;'Operating Assumptions'!$D$53,0,IF(CI$6&gt;'Operating Assumptions'!$AA$8,0,IF('Operating Assumptions'!$L36="N/A",0,IF('Operating Assumptions'!$L36="$/Unit/Annual",(('Operating Assumptions'!$M36*CI$25)*CI$36)/12,IF('Operating Assumptions'!$L36="$/Unit/Month",('Operating Assumptions'!$M36*CI$25)*CI$36,IF('Operating Assumptions'!$L36="Fixed Amount",('Operating Assumptions'!$M36*CI$25)/12,IF('Operating Assumptions'!$L36="$/GSF",(('Operating Assumptions'!$M36*CI$25)*'Operating Assumptions'!$D$11)/12,IF('Operating Assumptions'!$L36="$/NSF",(('Operating Assumptions'!$M36*CI$25)*'Operating Assumptions'!$D$12)/12))))))))</f>
        <v>0</v>
      </c>
      <c r="CJ111" s="427">
        <f>-IF(CJ$9&lt;'Operating Assumptions'!$D$53,0,IF(CJ$6&gt;'Operating Assumptions'!$AA$8,0,IF('Operating Assumptions'!$L36="N/A",0,IF('Operating Assumptions'!$L36="$/Unit/Annual",(('Operating Assumptions'!$M36*CJ$25)*CJ$36)/12,IF('Operating Assumptions'!$L36="$/Unit/Month",('Operating Assumptions'!$M36*CJ$25)*CJ$36,IF('Operating Assumptions'!$L36="Fixed Amount",('Operating Assumptions'!$M36*CJ$25)/12,IF('Operating Assumptions'!$L36="$/GSF",(('Operating Assumptions'!$M36*CJ$25)*'Operating Assumptions'!$D$11)/12,IF('Operating Assumptions'!$L36="$/NSF",(('Operating Assumptions'!$M36*CJ$25)*'Operating Assumptions'!$D$12)/12))))))))</f>
        <v>0</v>
      </c>
      <c r="CK111" s="427">
        <f>-IF(CK$9&lt;'Operating Assumptions'!$D$53,0,IF(CK$6&gt;'Operating Assumptions'!$AA$8,0,IF('Operating Assumptions'!$L36="N/A",0,IF('Operating Assumptions'!$L36="$/Unit/Annual",(('Operating Assumptions'!$M36*CK$25)*CK$36)/12,IF('Operating Assumptions'!$L36="$/Unit/Month",('Operating Assumptions'!$M36*CK$25)*CK$36,IF('Operating Assumptions'!$L36="Fixed Amount",('Operating Assumptions'!$M36*CK$25)/12,IF('Operating Assumptions'!$L36="$/GSF",(('Operating Assumptions'!$M36*CK$25)*'Operating Assumptions'!$D$11)/12,IF('Operating Assumptions'!$L36="$/NSF",(('Operating Assumptions'!$M36*CK$25)*'Operating Assumptions'!$D$12)/12))))))))</f>
        <v>0</v>
      </c>
      <c r="CL111" s="427">
        <f>-IF(CL$9&lt;'Operating Assumptions'!$D$53,0,IF(CL$6&gt;'Operating Assumptions'!$AA$8,0,IF('Operating Assumptions'!$L36="N/A",0,IF('Operating Assumptions'!$L36="$/Unit/Annual",(('Operating Assumptions'!$M36*CL$25)*CL$36)/12,IF('Operating Assumptions'!$L36="$/Unit/Month",('Operating Assumptions'!$M36*CL$25)*CL$36,IF('Operating Assumptions'!$L36="Fixed Amount",('Operating Assumptions'!$M36*CL$25)/12,IF('Operating Assumptions'!$L36="$/GSF",(('Operating Assumptions'!$M36*CL$25)*'Operating Assumptions'!$D$11)/12,IF('Operating Assumptions'!$L36="$/NSF",(('Operating Assumptions'!$M36*CL$25)*'Operating Assumptions'!$D$12)/12))))))))</f>
        <v>0</v>
      </c>
      <c r="CM111" s="427">
        <f>-IF(CM$9&lt;'Operating Assumptions'!$D$53,0,IF(CM$6&gt;'Operating Assumptions'!$AA$8,0,IF('Operating Assumptions'!$L36="N/A",0,IF('Operating Assumptions'!$L36="$/Unit/Annual",(('Operating Assumptions'!$M36*CM$25)*CM$36)/12,IF('Operating Assumptions'!$L36="$/Unit/Month",('Operating Assumptions'!$M36*CM$25)*CM$36,IF('Operating Assumptions'!$L36="Fixed Amount",('Operating Assumptions'!$M36*CM$25)/12,IF('Operating Assumptions'!$L36="$/GSF",(('Operating Assumptions'!$M36*CM$25)*'Operating Assumptions'!$D$11)/12,IF('Operating Assumptions'!$L36="$/NSF",(('Operating Assumptions'!$M36*CM$25)*'Operating Assumptions'!$D$12)/12))))))))</f>
        <v>0</v>
      </c>
      <c r="CN111" s="427">
        <f>-IF(CN$9&lt;'Operating Assumptions'!$D$53,0,IF(CN$6&gt;'Operating Assumptions'!$AA$8,0,IF('Operating Assumptions'!$L36="N/A",0,IF('Operating Assumptions'!$L36="$/Unit/Annual",(('Operating Assumptions'!$M36*CN$25)*CN$36)/12,IF('Operating Assumptions'!$L36="$/Unit/Month",('Operating Assumptions'!$M36*CN$25)*CN$36,IF('Operating Assumptions'!$L36="Fixed Amount",('Operating Assumptions'!$M36*CN$25)/12,IF('Operating Assumptions'!$L36="$/GSF",(('Operating Assumptions'!$M36*CN$25)*'Operating Assumptions'!$D$11)/12,IF('Operating Assumptions'!$L36="$/NSF",(('Operating Assumptions'!$M36*CN$25)*'Operating Assumptions'!$D$12)/12))))))))</f>
        <v>0</v>
      </c>
      <c r="CO111" s="427">
        <f>-IF(CO$9&lt;'Operating Assumptions'!$D$53,0,IF(CO$6&gt;'Operating Assumptions'!$AA$8,0,IF('Operating Assumptions'!$L36="N/A",0,IF('Operating Assumptions'!$L36="$/Unit/Annual",(('Operating Assumptions'!$M36*CO$25)*CO$36)/12,IF('Operating Assumptions'!$L36="$/Unit/Month",('Operating Assumptions'!$M36*CO$25)*CO$36,IF('Operating Assumptions'!$L36="Fixed Amount",('Operating Assumptions'!$M36*CO$25)/12,IF('Operating Assumptions'!$L36="$/GSF",(('Operating Assumptions'!$M36*CO$25)*'Operating Assumptions'!$D$11)/12,IF('Operating Assumptions'!$L36="$/NSF",(('Operating Assumptions'!$M36*CO$25)*'Operating Assumptions'!$D$12)/12))))))))</f>
        <v>0</v>
      </c>
      <c r="CP111" s="427">
        <f>-IF(CP$9&lt;'Operating Assumptions'!$D$53,0,IF(CP$6&gt;'Operating Assumptions'!$AA$8,0,IF('Operating Assumptions'!$L36="N/A",0,IF('Operating Assumptions'!$L36="$/Unit/Annual",(('Operating Assumptions'!$M36*CP$25)*CP$36)/12,IF('Operating Assumptions'!$L36="$/Unit/Month",('Operating Assumptions'!$M36*CP$25)*CP$36,IF('Operating Assumptions'!$L36="Fixed Amount",('Operating Assumptions'!$M36*CP$25)/12,IF('Operating Assumptions'!$L36="$/GSF",(('Operating Assumptions'!$M36*CP$25)*'Operating Assumptions'!$D$11)/12,IF('Operating Assumptions'!$L36="$/NSF",(('Operating Assumptions'!$M36*CP$25)*'Operating Assumptions'!$D$12)/12))))))))</f>
        <v>0</v>
      </c>
      <c r="CQ111" s="427">
        <f>-IF(CQ$9&lt;'Operating Assumptions'!$D$53,0,IF(CQ$6&gt;'Operating Assumptions'!$AA$8,0,IF('Operating Assumptions'!$L36="N/A",0,IF('Operating Assumptions'!$L36="$/Unit/Annual",(('Operating Assumptions'!$M36*CQ$25)*CQ$36)/12,IF('Operating Assumptions'!$L36="$/Unit/Month",('Operating Assumptions'!$M36*CQ$25)*CQ$36,IF('Operating Assumptions'!$L36="Fixed Amount",('Operating Assumptions'!$M36*CQ$25)/12,IF('Operating Assumptions'!$L36="$/GSF",(('Operating Assumptions'!$M36*CQ$25)*'Operating Assumptions'!$D$11)/12,IF('Operating Assumptions'!$L36="$/NSF",(('Operating Assumptions'!$M36*CQ$25)*'Operating Assumptions'!$D$12)/12))))))))</f>
        <v>0</v>
      </c>
      <c r="CR111" s="427">
        <f>-IF(CR$9&lt;'Operating Assumptions'!$D$53,0,IF(CR$6&gt;'Operating Assumptions'!$AA$8,0,IF('Operating Assumptions'!$L36="N/A",0,IF('Operating Assumptions'!$L36="$/Unit/Annual",(('Operating Assumptions'!$M36*CR$25)*CR$36)/12,IF('Operating Assumptions'!$L36="$/Unit/Month",('Operating Assumptions'!$M36*CR$25)*CR$36,IF('Operating Assumptions'!$L36="Fixed Amount",('Operating Assumptions'!$M36*CR$25)/12,IF('Operating Assumptions'!$L36="$/GSF",(('Operating Assumptions'!$M36*CR$25)*'Operating Assumptions'!$D$11)/12,IF('Operating Assumptions'!$L36="$/NSF",(('Operating Assumptions'!$M36*CR$25)*'Operating Assumptions'!$D$12)/12))))))))</f>
        <v>0</v>
      </c>
      <c r="CS111" s="427">
        <f>-IF(CS$9&lt;'Operating Assumptions'!$D$53,0,IF(CS$6&gt;'Operating Assumptions'!$AA$8,0,IF('Operating Assumptions'!$L36="N/A",0,IF('Operating Assumptions'!$L36="$/Unit/Annual",(('Operating Assumptions'!$M36*CS$25)*CS$36)/12,IF('Operating Assumptions'!$L36="$/Unit/Month",('Operating Assumptions'!$M36*CS$25)*CS$36,IF('Operating Assumptions'!$L36="Fixed Amount",('Operating Assumptions'!$M36*CS$25)/12,IF('Operating Assumptions'!$L36="$/GSF",(('Operating Assumptions'!$M36*CS$25)*'Operating Assumptions'!$D$11)/12,IF('Operating Assumptions'!$L36="$/NSF",(('Operating Assumptions'!$M36*CS$25)*'Operating Assumptions'!$D$12)/12))))))))</f>
        <v>0</v>
      </c>
      <c r="CT111" s="427">
        <f>-IF(CT$9&lt;'Operating Assumptions'!$D$53,0,IF(CT$6&gt;'Operating Assumptions'!$AA$8,0,IF('Operating Assumptions'!$L36="N/A",0,IF('Operating Assumptions'!$L36="$/Unit/Annual",(('Operating Assumptions'!$M36*CT$25)*CT$36)/12,IF('Operating Assumptions'!$L36="$/Unit/Month",('Operating Assumptions'!$M36*CT$25)*CT$36,IF('Operating Assumptions'!$L36="Fixed Amount",('Operating Assumptions'!$M36*CT$25)/12,IF('Operating Assumptions'!$L36="$/GSF",(('Operating Assumptions'!$M36*CT$25)*'Operating Assumptions'!$D$11)/12,IF('Operating Assumptions'!$L36="$/NSF",(('Operating Assumptions'!$M36*CT$25)*'Operating Assumptions'!$D$12)/12))))))))</f>
        <v>0</v>
      </c>
      <c r="CU111" s="427">
        <f>-IF(CU$9&lt;'Operating Assumptions'!$D$53,0,IF(CU$6&gt;'Operating Assumptions'!$AA$8,0,IF('Operating Assumptions'!$L36="N/A",0,IF('Operating Assumptions'!$L36="$/Unit/Annual",(('Operating Assumptions'!$M36*CU$25)*CU$36)/12,IF('Operating Assumptions'!$L36="$/Unit/Month",('Operating Assumptions'!$M36*CU$25)*CU$36,IF('Operating Assumptions'!$L36="Fixed Amount",('Operating Assumptions'!$M36*CU$25)/12,IF('Operating Assumptions'!$L36="$/GSF",(('Operating Assumptions'!$M36*CU$25)*'Operating Assumptions'!$D$11)/12,IF('Operating Assumptions'!$L36="$/NSF",(('Operating Assumptions'!$M36*CU$25)*'Operating Assumptions'!$D$12)/12))))))))</f>
        <v>0</v>
      </c>
      <c r="CV111" s="427">
        <f>-IF(CV$9&lt;'Operating Assumptions'!$D$53,0,IF(CV$6&gt;'Operating Assumptions'!$AA$8,0,IF('Operating Assumptions'!$L36="N/A",0,IF('Operating Assumptions'!$L36="$/Unit/Annual",(('Operating Assumptions'!$M36*CV$25)*CV$36)/12,IF('Operating Assumptions'!$L36="$/Unit/Month",('Operating Assumptions'!$M36*CV$25)*CV$36,IF('Operating Assumptions'!$L36="Fixed Amount",('Operating Assumptions'!$M36*CV$25)/12,IF('Operating Assumptions'!$L36="$/GSF",(('Operating Assumptions'!$M36*CV$25)*'Operating Assumptions'!$D$11)/12,IF('Operating Assumptions'!$L36="$/NSF",(('Operating Assumptions'!$M36*CV$25)*'Operating Assumptions'!$D$12)/12))))))))</f>
        <v>0</v>
      </c>
      <c r="CW111" s="427">
        <f>-IF(CW$9&lt;'Operating Assumptions'!$D$53,0,IF(CW$6&gt;'Operating Assumptions'!$AA$8,0,IF('Operating Assumptions'!$L36="N/A",0,IF('Operating Assumptions'!$L36="$/Unit/Annual",(('Operating Assumptions'!$M36*CW$25)*CW$36)/12,IF('Operating Assumptions'!$L36="$/Unit/Month",('Operating Assumptions'!$M36*CW$25)*CW$36,IF('Operating Assumptions'!$L36="Fixed Amount",('Operating Assumptions'!$M36*CW$25)/12,IF('Operating Assumptions'!$L36="$/GSF",(('Operating Assumptions'!$M36*CW$25)*'Operating Assumptions'!$D$11)/12,IF('Operating Assumptions'!$L36="$/NSF",(('Operating Assumptions'!$M36*CW$25)*'Operating Assumptions'!$D$12)/12))))))))</f>
        <v>0</v>
      </c>
      <c r="CX111" s="427">
        <f>-IF(CX$9&lt;'Operating Assumptions'!$D$53,0,IF(CX$6&gt;'Operating Assumptions'!$AA$8,0,IF('Operating Assumptions'!$L36="N/A",0,IF('Operating Assumptions'!$L36="$/Unit/Annual",(('Operating Assumptions'!$M36*CX$25)*CX$36)/12,IF('Operating Assumptions'!$L36="$/Unit/Month",('Operating Assumptions'!$M36*CX$25)*CX$36,IF('Operating Assumptions'!$L36="Fixed Amount",('Operating Assumptions'!$M36*CX$25)/12,IF('Operating Assumptions'!$L36="$/GSF",(('Operating Assumptions'!$M36*CX$25)*'Operating Assumptions'!$D$11)/12,IF('Operating Assumptions'!$L36="$/NSF",(('Operating Assumptions'!$M36*CX$25)*'Operating Assumptions'!$D$12)/12))))))))</f>
        <v>0</v>
      </c>
      <c r="CY111" s="427">
        <f>-IF(CY$9&lt;'Operating Assumptions'!$D$53,0,IF(CY$6&gt;'Operating Assumptions'!$AA$8,0,IF('Operating Assumptions'!$L36="N/A",0,IF('Operating Assumptions'!$L36="$/Unit/Annual",(('Operating Assumptions'!$M36*CY$25)*CY$36)/12,IF('Operating Assumptions'!$L36="$/Unit/Month",('Operating Assumptions'!$M36*CY$25)*CY$36,IF('Operating Assumptions'!$L36="Fixed Amount",('Operating Assumptions'!$M36*CY$25)/12,IF('Operating Assumptions'!$L36="$/GSF",(('Operating Assumptions'!$M36*CY$25)*'Operating Assumptions'!$D$11)/12,IF('Operating Assumptions'!$L36="$/NSF",(('Operating Assumptions'!$M36*CY$25)*'Operating Assumptions'!$D$12)/12))))))))</f>
        <v>0</v>
      </c>
      <c r="CZ111" s="427">
        <f>-IF(CZ$9&lt;'Operating Assumptions'!$D$53,0,IF(CZ$6&gt;'Operating Assumptions'!$AA$8,0,IF('Operating Assumptions'!$L36="N/A",0,IF('Operating Assumptions'!$L36="$/Unit/Annual",(('Operating Assumptions'!$M36*CZ$25)*CZ$36)/12,IF('Operating Assumptions'!$L36="$/Unit/Month",('Operating Assumptions'!$M36*CZ$25)*CZ$36,IF('Operating Assumptions'!$L36="Fixed Amount",('Operating Assumptions'!$M36*CZ$25)/12,IF('Operating Assumptions'!$L36="$/GSF",(('Operating Assumptions'!$M36*CZ$25)*'Operating Assumptions'!$D$11)/12,IF('Operating Assumptions'!$L36="$/NSF",(('Operating Assumptions'!$M36*CZ$25)*'Operating Assumptions'!$D$12)/12))))))))</f>
        <v>0</v>
      </c>
      <c r="DA111" s="427">
        <f>-IF(DA$9&lt;'Operating Assumptions'!$D$53,0,IF(DA$6&gt;'Operating Assumptions'!$AA$8,0,IF('Operating Assumptions'!$L36="N/A",0,IF('Operating Assumptions'!$L36="$/Unit/Annual",(('Operating Assumptions'!$M36*DA$25)*DA$36)/12,IF('Operating Assumptions'!$L36="$/Unit/Month",('Operating Assumptions'!$M36*DA$25)*DA$36,IF('Operating Assumptions'!$L36="Fixed Amount",('Operating Assumptions'!$M36*DA$25)/12,IF('Operating Assumptions'!$L36="$/GSF",(('Operating Assumptions'!$M36*DA$25)*'Operating Assumptions'!$D$11)/12,IF('Operating Assumptions'!$L36="$/NSF",(('Operating Assumptions'!$M36*DA$25)*'Operating Assumptions'!$D$12)/12))))))))</f>
        <v>0</v>
      </c>
      <c r="DB111" s="427">
        <f>-IF(DB$9&lt;'Operating Assumptions'!$D$53,0,IF(DB$6&gt;'Operating Assumptions'!$AA$8,0,IF('Operating Assumptions'!$L36="N/A",0,IF('Operating Assumptions'!$L36="$/Unit/Annual",(('Operating Assumptions'!$M36*DB$25)*DB$36)/12,IF('Operating Assumptions'!$L36="$/Unit/Month",('Operating Assumptions'!$M36*DB$25)*DB$36,IF('Operating Assumptions'!$L36="Fixed Amount",('Operating Assumptions'!$M36*DB$25)/12,IF('Operating Assumptions'!$L36="$/GSF",(('Operating Assumptions'!$M36*DB$25)*'Operating Assumptions'!$D$11)/12,IF('Operating Assumptions'!$L36="$/NSF",(('Operating Assumptions'!$M36*DB$25)*'Operating Assumptions'!$D$12)/12))))))))</f>
        <v>0</v>
      </c>
      <c r="DC111" s="427">
        <f>-IF(DC$9&lt;'Operating Assumptions'!$D$53,0,IF(DC$6&gt;'Operating Assumptions'!$AA$8,0,IF('Operating Assumptions'!$L36="N/A",0,IF('Operating Assumptions'!$L36="$/Unit/Annual",(('Operating Assumptions'!$M36*DC$25)*DC$36)/12,IF('Operating Assumptions'!$L36="$/Unit/Month",('Operating Assumptions'!$M36*DC$25)*DC$36,IF('Operating Assumptions'!$L36="Fixed Amount",('Operating Assumptions'!$M36*DC$25)/12,IF('Operating Assumptions'!$L36="$/GSF",(('Operating Assumptions'!$M36*DC$25)*'Operating Assumptions'!$D$11)/12,IF('Operating Assumptions'!$L36="$/NSF",(('Operating Assumptions'!$M36*DC$25)*'Operating Assumptions'!$D$12)/12))))))))</f>
        <v>0</v>
      </c>
      <c r="DD111" s="427">
        <f>-IF(DD$9&lt;'Operating Assumptions'!$D$53,0,IF(DD$6&gt;'Operating Assumptions'!$AA$8,0,IF('Operating Assumptions'!$L36="N/A",0,IF('Operating Assumptions'!$L36="$/Unit/Annual",(('Operating Assumptions'!$M36*DD$25)*DD$36)/12,IF('Operating Assumptions'!$L36="$/Unit/Month",('Operating Assumptions'!$M36*DD$25)*DD$36,IF('Operating Assumptions'!$L36="Fixed Amount",('Operating Assumptions'!$M36*DD$25)/12,IF('Operating Assumptions'!$L36="$/GSF",(('Operating Assumptions'!$M36*DD$25)*'Operating Assumptions'!$D$11)/12,IF('Operating Assumptions'!$L36="$/NSF",(('Operating Assumptions'!$M36*DD$25)*'Operating Assumptions'!$D$12)/12))))))))</f>
        <v>0</v>
      </c>
      <c r="DE111" s="427">
        <f>-IF(DE$9&lt;'Operating Assumptions'!$D$53,0,IF(DE$6&gt;'Operating Assumptions'!$AA$8,0,IF('Operating Assumptions'!$L36="N/A",0,IF('Operating Assumptions'!$L36="$/Unit/Annual",(('Operating Assumptions'!$M36*DE$25)*DE$36)/12,IF('Operating Assumptions'!$L36="$/Unit/Month",('Operating Assumptions'!$M36*DE$25)*DE$36,IF('Operating Assumptions'!$L36="Fixed Amount",('Operating Assumptions'!$M36*DE$25)/12,IF('Operating Assumptions'!$L36="$/GSF",(('Operating Assumptions'!$M36*DE$25)*'Operating Assumptions'!$D$11)/12,IF('Operating Assumptions'!$L36="$/NSF",(('Operating Assumptions'!$M36*DE$25)*'Operating Assumptions'!$D$12)/12))))))))</f>
        <v>0</v>
      </c>
      <c r="DF111" s="427">
        <f>-IF(DF$9&lt;'Operating Assumptions'!$D$53,0,IF(DF$6&gt;'Operating Assumptions'!$AA$8,0,IF('Operating Assumptions'!$L36="N/A",0,IF('Operating Assumptions'!$L36="$/Unit/Annual",(('Operating Assumptions'!$M36*DF$25)*DF$36)/12,IF('Operating Assumptions'!$L36="$/Unit/Month",('Operating Assumptions'!$M36*DF$25)*DF$36,IF('Operating Assumptions'!$L36="Fixed Amount",('Operating Assumptions'!$M36*DF$25)/12,IF('Operating Assumptions'!$L36="$/GSF",(('Operating Assumptions'!$M36*DF$25)*'Operating Assumptions'!$D$11)/12,IF('Operating Assumptions'!$L36="$/NSF",(('Operating Assumptions'!$M36*DF$25)*'Operating Assumptions'!$D$12)/12))))))))</f>
        <v>0</v>
      </c>
      <c r="DG111" s="427">
        <f>-IF(DG$9&lt;'Operating Assumptions'!$D$53,0,IF(DG$6&gt;'Operating Assumptions'!$AA$8,0,IF('Operating Assumptions'!$L36="N/A",0,IF('Operating Assumptions'!$L36="$/Unit/Annual",(('Operating Assumptions'!$M36*DG$25)*DG$36)/12,IF('Operating Assumptions'!$L36="$/Unit/Month",('Operating Assumptions'!$M36*DG$25)*DG$36,IF('Operating Assumptions'!$L36="Fixed Amount",('Operating Assumptions'!$M36*DG$25)/12,IF('Operating Assumptions'!$L36="$/GSF",(('Operating Assumptions'!$M36*DG$25)*'Operating Assumptions'!$D$11)/12,IF('Operating Assumptions'!$L36="$/NSF",(('Operating Assumptions'!$M36*DG$25)*'Operating Assumptions'!$D$12)/12))))))))</f>
        <v>0</v>
      </c>
      <c r="DH111" s="427">
        <f>-IF(DH$9&lt;'Operating Assumptions'!$D$53,0,IF(DH$6&gt;'Operating Assumptions'!$AA$8,0,IF('Operating Assumptions'!$L36="N/A",0,IF('Operating Assumptions'!$L36="$/Unit/Annual",(('Operating Assumptions'!$M36*DH$25)*DH$36)/12,IF('Operating Assumptions'!$L36="$/Unit/Month",('Operating Assumptions'!$M36*DH$25)*DH$36,IF('Operating Assumptions'!$L36="Fixed Amount",('Operating Assumptions'!$M36*DH$25)/12,IF('Operating Assumptions'!$L36="$/GSF",(('Operating Assumptions'!$M36*DH$25)*'Operating Assumptions'!$D$11)/12,IF('Operating Assumptions'!$L36="$/NSF",(('Operating Assumptions'!$M36*DH$25)*'Operating Assumptions'!$D$12)/12))))))))</f>
        <v>0</v>
      </c>
      <c r="DI111" s="427">
        <f>-IF(DI$9&lt;'Operating Assumptions'!$D$53,0,IF(DI$6&gt;'Operating Assumptions'!$AA$8,0,IF('Operating Assumptions'!$L36="N/A",0,IF('Operating Assumptions'!$L36="$/Unit/Annual",(('Operating Assumptions'!$M36*DI$25)*DI$36)/12,IF('Operating Assumptions'!$L36="$/Unit/Month",('Operating Assumptions'!$M36*DI$25)*DI$36,IF('Operating Assumptions'!$L36="Fixed Amount",('Operating Assumptions'!$M36*DI$25)/12,IF('Operating Assumptions'!$L36="$/GSF",(('Operating Assumptions'!$M36*DI$25)*'Operating Assumptions'!$D$11)/12,IF('Operating Assumptions'!$L36="$/NSF",(('Operating Assumptions'!$M36*DI$25)*'Operating Assumptions'!$D$12)/12))))))))</f>
        <v>0</v>
      </c>
      <c r="DJ111" s="427">
        <f>-IF(DJ$9&lt;'Operating Assumptions'!$D$53,0,IF(DJ$6&gt;'Operating Assumptions'!$AA$8,0,IF('Operating Assumptions'!$L36="N/A",0,IF('Operating Assumptions'!$L36="$/Unit/Annual",(('Operating Assumptions'!$M36*DJ$25)*DJ$36)/12,IF('Operating Assumptions'!$L36="$/Unit/Month",('Operating Assumptions'!$M36*DJ$25)*DJ$36,IF('Operating Assumptions'!$L36="Fixed Amount",('Operating Assumptions'!$M36*DJ$25)/12,IF('Operating Assumptions'!$L36="$/GSF",(('Operating Assumptions'!$M36*DJ$25)*'Operating Assumptions'!$D$11)/12,IF('Operating Assumptions'!$L36="$/NSF",(('Operating Assumptions'!$M36*DJ$25)*'Operating Assumptions'!$D$12)/12))))))))</f>
        <v>0</v>
      </c>
      <c r="DK111" s="427">
        <f>-IF(DK$9&lt;'Operating Assumptions'!$D$53,0,IF(DK$6&gt;'Operating Assumptions'!$AA$8,0,IF('Operating Assumptions'!$L36="N/A",0,IF('Operating Assumptions'!$L36="$/Unit/Annual",(('Operating Assumptions'!$M36*DK$25)*DK$36)/12,IF('Operating Assumptions'!$L36="$/Unit/Month",('Operating Assumptions'!$M36*DK$25)*DK$36,IF('Operating Assumptions'!$L36="Fixed Amount",('Operating Assumptions'!$M36*DK$25)/12,IF('Operating Assumptions'!$L36="$/GSF",(('Operating Assumptions'!$M36*DK$25)*'Operating Assumptions'!$D$11)/12,IF('Operating Assumptions'!$L36="$/NSF",(('Operating Assumptions'!$M36*DK$25)*'Operating Assumptions'!$D$12)/12))))))))</f>
        <v>0</v>
      </c>
      <c r="DL111" s="427">
        <f>-IF(DL$9&lt;'Operating Assumptions'!$D$53,0,IF(DL$6&gt;'Operating Assumptions'!$AA$8,0,IF('Operating Assumptions'!$L36="N/A",0,IF('Operating Assumptions'!$L36="$/Unit/Annual",(('Operating Assumptions'!$M36*DL$25)*DL$36)/12,IF('Operating Assumptions'!$L36="$/Unit/Month",('Operating Assumptions'!$M36*DL$25)*DL$36,IF('Operating Assumptions'!$L36="Fixed Amount",('Operating Assumptions'!$M36*DL$25)/12,IF('Operating Assumptions'!$L36="$/GSF",(('Operating Assumptions'!$M36*DL$25)*'Operating Assumptions'!$D$11)/12,IF('Operating Assumptions'!$L36="$/NSF",(('Operating Assumptions'!$M36*DL$25)*'Operating Assumptions'!$D$12)/12))))))))</f>
        <v>0</v>
      </c>
      <c r="DM111" s="427">
        <f>-IF(DM$9&lt;'Operating Assumptions'!$D$53,0,IF(DM$6&gt;'Operating Assumptions'!$AA$8,0,IF('Operating Assumptions'!$L36="N/A",0,IF('Operating Assumptions'!$L36="$/Unit/Annual",(('Operating Assumptions'!$M36*DM$25)*DM$36)/12,IF('Operating Assumptions'!$L36="$/Unit/Month",('Operating Assumptions'!$M36*DM$25)*DM$36,IF('Operating Assumptions'!$L36="Fixed Amount",('Operating Assumptions'!$M36*DM$25)/12,IF('Operating Assumptions'!$L36="$/GSF",(('Operating Assumptions'!$M36*DM$25)*'Operating Assumptions'!$D$11)/12,IF('Operating Assumptions'!$L36="$/NSF",(('Operating Assumptions'!$M36*DM$25)*'Operating Assumptions'!$D$12)/12))))))))</f>
        <v>0</v>
      </c>
      <c r="DN111" s="427">
        <f>-IF(DN$9&lt;'Operating Assumptions'!$D$53,0,IF(DN$6&gt;'Operating Assumptions'!$AA$8,0,IF('Operating Assumptions'!$L36="N/A",0,IF('Operating Assumptions'!$L36="$/Unit/Annual",(('Operating Assumptions'!$M36*DN$25)*DN$36)/12,IF('Operating Assumptions'!$L36="$/Unit/Month",('Operating Assumptions'!$M36*DN$25)*DN$36,IF('Operating Assumptions'!$L36="Fixed Amount",('Operating Assumptions'!$M36*DN$25)/12,IF('Operating Assumptions'!$L36="$/GSF",(('Operating Assumptions'!$M36*DN$25)*'Operating Assumptions'!$D$11)/12,IF('Operating Assumptions'!$L36="$/NSF",(('Operating Assumptions'!$M36*DN$25)*'Operating Assumptions'!$D$12)/12))))))))</f>
        <v>0</v>
      </c>
      <c r="DO111" s="427">
        <f>-IF(DO$9&lt;'Operating Assumptions'!$D$53,0,IF(DO$6&gt;'Operating Assumptions'!$AA$8,0,IF('Operating Assumptions'!$L36="N/A",0,IF('Operating Assumptions'!$L36="$/Unit/Annual",(('Operating Assumptions'!$M36*DO$25)*DO$36)/12,IF('Operating Assumptions'!$L36="$/Unit/Month",('Operating Assumptions'!$M36*DO$25)*DO$36,IF('Operating Assumptions'!$L36="Fixed Amount",('Operating Assumptions'!$M36*DO$25)/12,IF('Operating Assumptions'!$L36="$/GSF",(('Operating Assumptions'!$M36*DO$25)*'Operating Assumptions'!$D$11)/12,IF('Operating Assumptions'!$L36="$/NSF",(('Operating Assumptions'!$M36*DO$25)*'Operating Assumptions'!$D$12)/12))))))))</f>
        <v>0</v>
      </c>
      <c r="DP111" s="427">
        <f>-IF(DP$9&lt;'Operating Assumptions'!$D$53,0,IF(DP$6&gt;'Operating Assumptions'!$AA$8,0,IF('Operating Assumptions'!$L36="N/A",0,IF('Operating Assumptions'!$L36="$/Unit/Annual",(('Operating Assumptions'!$M36*DP$25)*DP$36)/12,IF('Operating Assumptions'!$L36="$/Unit/Month",('Operating Assumptions'!$M36*DP$25)*DP$36,IF('Operating Assumptions'!$L36="Fixed Amount",('Operating Assumptions'!$M36*DP$25)/12,IF('Operating Assumptions'!$L36="$/GSF",(('Operating Assumptions'!$M36*DP$25)*'Operating Assumptions'!$D$11)/12,IF('Operating Assumptions'!$L36="$/NSF",(('Operating Assumptions'!$M36*DP$25)*'Operating Assumptions'!$D$12)/12))))))))</f>
        <v>0</v>
      </c>
      <c r="DQ111" s="427">
        <f>-IF(DQ$9&lt;'Operating Assumptions'!$D$53,0,IF(DQ$6&gt;'Operating Assumptions'!$AA$8,0,IF('Operating Assumptions'!$L36="N/A",0,IF('Operating Assumptions'!$L36="$/Unit/Annual",(('Operating Assumptions'!$M36*DQ$25)*DQ$36)/12,IF('Operating Assumptions'!$L36="$/Unit/Month",('Operating Assumptions'!$M36*DQ$25)*DQ$36,IF('Operating Assumptions'!$L36="Fixed Amount",('Operating Assumptions'!$M36*DQ$25)/12,IF('Operating Assumptions'!$L36="$/GSF",(('Operating Assumptions'!$M36*DQ$25)*'Operating Assumptions'!$D$11)/12,IF('Operating Assumptions'!$L36="$/NSF",(('Operating Assumptions'!$M36*DQ$25)*'Operating Assumptions'!$D$12)/12))))))))</f>
        <v>0</v>
      </c>
      <c r="DR111" s="427">
        <f>-IF(DR$9&lt;'Operating Assumptions'!$D$53,0,IF(DR$6&gt;'Operating Assumptions'!$AA$8,0,IF('Operating Assumptions'!$L36="N/A",0,IF('Operating Assumptions'!$L36="$/Unit/Annual",(('Operating Assumptions'!$M36*DR$25)*DR$36)/12,IF('Operating Assumptions'!$L36="$/Unit/Month",('Operating Assumptions'!$M36*DR$25)*DR$36,IF('Operating Assumptions'!$L36="Fixed Amount",('Operating Assumptions'!$M36*DR$25)/12,IF('Operating Assumptions'!$L36="$/GSF",(('Operating Assumptions'!$M36*DR$25)*'Operating Assumptions'!$D$11)/12,IF('Operating Assumptions'!$L36="$/NSF",(('Operating Assumptions'!$M36*DR$25)*'Operating Assumptions'!$D$12)/12))))))))</f>
        <v>0</v>
      </c>
      <c r="DS111" s="427">
        <f>-IF(DS$9&lt;'Operating Assumptions'!$D$53,0,IF(DS$6&gt;'Operating Assumptions'!$AA$8,0,IF('Operating Assumptions'!$L36="N/A",0,IF('Operating Assumptions'!$L36="$/Unit/Annual",(('Operating Assumptions'!$M36*DS$25)*DS$36)/12,IF('Operating Assumptions'!$L36="$/Unit/Month",('Operating Assumptions'!$M36*DS$25)*DS$36,IF('Operating Assumptions'!$L36="Fixed Amount",('Operating Assumptions'!$M36*DS$25)/12,IF('Operating Assumptions'!$L36="$/GSF",(('Operating Assumptions'!$M36*DS$25)*'Operating Assumptions'!$D$11)/12,IF('Operating Assumptions'!$L36="$/NSF",(('Operating Assumptions'!$M36*DS$25)*'Operating Assumptions'!$D$12)/12))))))))</f>
        <v>0</v>
      </c>
      <c r="DT111" s="427">
        <f>-IF(DT$9&lt;'Operating Assumptions'!$D$53,0,IF(DT$6&gt;'Operating Assumptions'!$AA$8,0,IF('Operating Assumptions'!$L36="N/A",0,IF('Operating Assumptions'!$L36="$/Unit/Annual",(('Operating Assumptions'!$M36*DT$25)*DT$36)/12,IF('Operating Assumptions'!$L36="$/Unit/Month",('Operating Assumptions'!$M36*DT$25)*DT$36,IF('Operating Assumptions'!$L36="Fixed Amount",('Operating Assumptions'!$M36*DT$25)/12,IF('Operating Assumptions'!$L36="$/GSF",(('Operating Assumptions'!$M36*DT$25)*'Operating Assumptions'!$D$11)/12,IF('Operating Assumptions'!$L36="$/NSF",(('Operating Assumptions'!$M36*DT$25)*'Operating Assumptions'!$D$12)/12))))))))</f>
        <v>0</v>
      </c>
      <c r="DU111" s="427">
        <f>-IF(DU$9&lt;'Operating Assumptions'!$D$53,0,IF(DU$6&gt;'Operating Assumptions'!$AA$8,0,IF('Operating Assumptions'!$L36="N/A",0,IF('Operating Assumptions'!$L36="$/Unit/Annual",(('Operating Assumptions'!$M36*DU$25)*DU$36)/12,IF('Operating Assumptions'!$L36="$/Unit/Month",('Operating Assumptions'!$M36*DU$25)*DU$36,IF('Operating Assumptions'!$L36="Fixed Amount",('Operating Assumptions'!$M36*DU$25)/12,IF('Operating Assumptions'!$L36="$/GSF",(('Operating Assumptions'!$M36*DU$25)*'Operating Assumptions'!$D$11)/12,IF('Operating Assumptions'!$L36="$/NSF",(('Operating Assumptions'!$M36*DU$25)*'Operating Assumptions'!$D$12)/12))))))))</f>
        <v>0</v>
      </c>
      <c r="DV111" s="427">
        <f>-IF(DV$9&lt;'Operating Assumptions'!$D$53,0,IF(DV$6&gt;'Operating Assumptions'!$AA$8,0,IF('Operating Assumptions'!$L36="N/A",0,IF('Operating Assumptions'!$L36="$/Unit/Annual",(('Operating Assumptions'!$M36*DV$25)*DV$36)/12,IF('Operating Assumptions'!$L36="$/Unit/Month",('Operating Assumptions'!$M36*DV$25)*DV$36,IF('Operating Assumptions'!$L36="Fixed Amount",('Operating Assumptions'!$M36*DV$25)/12,IF('Operating Assumptions'!$L36="$/GSF",(('Operating Assumptions'!$M36*DV$25)*'Operating Assumptions'!$D$11)/12,IF('Operating Assumptions'!$L36="$/NSF",(('Operating Assumptions'!$M36*DV$25)*'Operating Assumptions'!$D$12)/12))))))))</f>
        <v>0</v>
      </c>
      <c r="DW111" s="427">
        <f>-IF(DW$9&lt;'Operating Assumptions'!$D$53,0,IF(DW$6&gt;'Operating Assumptions'!$AA$8,0,IF('Operating Assumptions'!$L36="N/A",0,IF('Operating Assumptions'!$L36="$/Unit/Annual",(('Operating Assumptions'!$M36*DW$25)*DW$36)/12,IF('Operating Assumptions'!$L36="$/Unit/Month",('Operating Assumptions'!$M36*DW$25)*DW$36,IF('Operating Assumptions'!$L36="Fixed Amount",('Operating Assumptions'!$M36*DW$25)/12,IF('Operating Assumptions'!$L36="$/GSF",(('Operating Assumptions'!$M36*DW$25)*'Operating Assumptions'!$D$11)/12,IF('Operating Assumptions'!$L36="$/NSF",(('Operating Assumptions'!$M36*DW$25)*'Operating Assumptions'!$D$12)/12))))))))</f>
        <v>0</v>
      </c>
      <c r="DX111" s="427">
        <f>-IF(DX$9&lt;'Operating Assumptions'!$D$53,0,IF(DX$6&gt;'Operating Assumptions'!$AA$8,0,IF('Operating Assumptions'!$L36="N/A",0,IF('Operating Assumptions'!$L36="$/Unit/Annual",(('Operating Assumptions'!$M36*DX$25)*DX$36)/12,IF('Operating Assumptions'!$L36="$/Unit/Month",('Operating Assumptions'!$M36*DX$25)*DX$36,IF('Operating Assumptions'!$L36="Fixed Amount",('Operating Assumptions'!$M36*DX$25)/12,IF('Operating Assumptions'!$L36="$/GSF",(('Operating Assumptions'!$M36*DX$25)*'Operating Assumptions'!$D$11)/12,IF('Operating Assumptions'!$L36="$/NSF",(('Operating Assumptions'!$M36*DX$25)*'Operating Assumptions'!$D$12)/12))))))))</f>
        <v>0</v>
      </c>
      <c r="DY111" s="427">
        <f>-IF(DY$9&lt;'Operating Assumptions'!$D$53,0,IF(DY$6&gt;'Operating Assumptions'!$AA$8,0,IF('Operating Assumptions'!$L36="N/A",0,IF('Operating Assumptions'!$L36="$/Unit/Annual",(('Operating Assumptions'!$M36*DY$25)*DY$36)/12,IF('Operating Assumptions'!$L36="$/Unit/Month",('Operating Assumptions'!$M36*DY$25)*DY$36,IF('Operating Assumptions'!$L36="Fixed Amount",('Operating Assumptions'!$M36*DY$25)/12,IF('Operating Assumptions'!$L36="$/GSF",(('Operating Assumptions'!$M36*DY$25)*'Operating Assumptions'!$D$11)/12,IF('Operating Assumptions'!$L36="$/NSF",(('Operating Assumptions'!$M36*DY$25)*'Operating Assumptions'!$D$12)/12))))))))</f>
        <v>0</v>
      </c>
      <c r="DZ111" s="427">
        <f>-IF(DZ$9&lt;'Operating Assumptions'!$D$53,0,IF(DZ$6&gt;'Operating Assumptions'!$AA$8,0,IF('Operating Assumptions'!$L36="N/A",0,IF('Operating Assumptions'!$L36="$/Unit/Annual",(('Operating Assumptions'!$M36*DZ$25)*DZ$36)/12,IF('Operating Assumptions'!$L36="$/Unit/Month",('Operating Assumptions'!$M36*DZ$25)*DZ$36,IF('Operating Assumptions'!$L36="Fixed Amount",('Operating Assumptions'!$M36*DZ$25)/12,IF('Operating Assumptions'!$L36="$/GSF",(('Operating Assumptions'!$M36*DZ$25)*'Operating Assumptions'!$D$11)/12,IF('Operating Assumptions'!$L36="$/NSF",(('Operating Assumptions'!$M36*DZ$25)*'Operating Assumptions'!$D$12)/12))))))))</f>
        <v>0</v>
      </c>
      <c r="EA111" s="427">
        <f>-IF(EA$9&lt;'Operating Assumptions'!$D$53,0,IF(EA$6&gt;'Operating Assumptions'!$AA$8,0,IF('Operating Assumptions'!$L36="N/A",0,IF('Operating Assumptions'!$L36="$/Unit/Annual",(('Operating Assumptions'!$M36*EA$25)*EA$36)/12,IF('Operating Assumptions'!$L36="$/Unit/Month",('Operating Assumptions'!$M36*EA$25)*EA$36,IF('Operating Assumptions'!$L36="Fixed Amount",('Operating Assumptions'!$M36*EA$25)/12,IF('Operating Assumptions'!$L36="$/GSF",(('Operating Assumptions'!$M36*EA$25)*'Operating Assumptions'!$D$11)/12,IF('Operating Assumptions'!$L36="$/NSF",(('Operating Assumptions'!$M36*EA$25)*'Operating Assumptions'!$D$12)/12))))))))</f>
        <v>0</v>
      </c>
      <c r="EB111" s="427">
        <f>-IF(EB$9&lt;'Operating Assumptions'!$D$53,0,IF(EB$6&gt;'Operating Assumptions'!$AA$8,0,IF('Operating Assumptions'!$L36="N/A",0,IF('Operating Assumptions'!$L36="$/Unit/Annual",(('Operating Assumptions'!$M36*EB$25)*EB$36)/12,IF('Operating Assumptions'!$L36="$/Unit/Month",('Operating Assumptions'!$M36*EB$25)*EB$36,IF('Operating Assumptions'!$L36="Fixed Amount",('Operating Assumptions'!$M36*EB$25)/12,IF('Operating Assumptions'!$L36="$/GSF",(('Operating Assumptions'!$M36*EB$25)*'Operating Assumptions'!$D$11)/12,IF('Operating Assumptions'!$L36="$/NSF",(('Operating Assumptions'!$M36*EB$25)*'Operating Assumptions'!$D$12)/12))))))))</f>
        <v>0</v>
      </c>
      <c r="EC111" s="427">
        <f>-IF(EC$9&lt;'Operating Assumptions'!$D$53,0,IF(EC$6&gt;'Operating Assumptions'!$AA$8,0,IF('Operating Assumptions'!$L36="N/A",0,IF('Operating Assumptions'!$L36="$/Unit/Annual",(('Operating Assumptions'!$M36*EC$25)*EC$36)/12,IF('Operating Assumptions'!$L36="$/Unit/Month",('Operating Assumptions'!$M36*EC$25)*EC$36,IF('Operating Assumptions'!$L36="Fixed Amount",('Operating Assumptions'!$M36*EC$25)/12,IF('Operating Assumptions'!$L36="$/GSF",(('Operating Assumptions'!$M36*EC$25)*'Operating Assumptions'!$D$11)/12,IF('Operating Assumptions'!$L36="$/NSF",(('Operating Assumptions'!$M36*EC$25)*'Operating Assumptions'!$D$12)/12))))))))</f>
        <v>0</v>
      </c>
      <c r="ED111" s="427">
        <f>-IF(ED$9&lt;'Operating Assumptions'!$D$53,0,IF(ED$6&gt;'Operating Assumptions'!$AA$8,0,IF('Operating Assumptions'!$L36="N/A",0,IF('Operating Assumptions'!$L36="$/Unit/Annual",(('Operating Assumptions'!$M36*ED$25)*ED$36)/12,IF('Operating Assumptions'!$L36="$/Unit/Month",('Operating Assumptions'!$M36*ED$25)*ED$36,IF('Operating Assumptions'!$L36="Fixed Amount",('Operating Assumptions'!$M36*ED$25)/12,IF('Operating Assumptions'!$L36="$/GSF",(('Operating Assumptions'!$M36*ED$25)*'Operating Assumptions'!$D$11)/12,IF('Operating Assumptions'!$L36="$/NSF",(('Operating Assumptions'!$M36*ED$25)*'Operating Assumptions'!$D$12)/12))))))))</f>
        <v>0</v>
      </c>
      <c r="EE111" s="427">
        <f>-IF(EE$9&lt;'Operating Assumptions'!$D$53,0,IF(EE$6&gt;'Operating Assumptions'!$AA$8,0,IF('Operating Assumptions'!$L36="N/A",0,IF('Operating Assumptions'!$L36="$/Unit/Annual",(('Operating Assumptions'!$M36*EE$25)*EE$36)/12,IF('Operating Assumptions'!$L36="$/Unit/Month",('Operating Assumptions'!$M36*EE$25)*EE$36,IF('Operating Assumptions'!$L36="Fixed Amount",('Operating Assumptions'!$M36*EE$25)/12,IF('Operating Assumptions'!$L36="$/GSF",(('Operating Assumptions'!$M36*EE$25)*'Operating Assumptions'!$D$11)/12,IF('Operating Assumptions'!$L36="$/NSF",(('Operating Assumptions'!$M36*EE$25)*'Operating Assumptions'!$D$12)/12))))))))</f>
        <v>0</v>
      </c>
      <c r="EF111" s="427">
        <f>-IF(EF$9&lt;'Operating Assumptions'!$D$53,0,IF(EF$6&gt;'Operating Assumptions'!$AA$8,0,IF('Operating Assumptions'!$L36="N/A",0,IF('Operating Assumptions'!$L36="$/Unit/Annual",(('Operating Assumptions'!$M36*EF$25)*EF$36)/12,IF('Operating Assumptions'!$L36="$/Unit/Month",('Operating Assumptions'!$M36*EF$25)*EF$36,IF('Operating Assumptions'!$L36="Fixed Amount",('Operating Assumptions'!$M36*EF$25)/12,IF('Operating Assumptions'!$L36="$/GSF",(('Operating Assumptions'!$M36*EF$25)*'Operating Assumptions'!$D$11)/12,IF('Operating Assumptions'!$L36="$/NSF",(('Operating Assumptions'!$M36*EF$25)*'Operating Assumptions'!$D$12)/12))))))))</f>
        <v>0</v>
      </c>
      <c r="EG111" s="427">
        <f>-IF(EG$9&lt;'Operating Assumptions'!$D$53,0,IF(EG$6&gt;'Operating Assumptions'!$AA$8,0,IF('Operating Assumptions'!$L36="N/A",0,IF('Operating Assumptions'!$L36="$/Unit/Annual",(('Operating Assumptions'!$M36*EG$25)*EG$36)/12,IF('Operating Assumptions'!$L36="$/Unit/Month",('Operating Assumptions'!$M36*EG$25)*EG$36,IF('Operating Assumptions'!$L36="Fixed Amount",('Operating Assumptions'!$M36*EG$25)/12,IF('Operating Assumptions'!$L36="$/GSF",(('Operating Assumptions'!$M36*EG$25)*'Operating Assumptions'!$D$11)/12,IF('Operating Assumptions'!$L36="$/NSF",(('Operating Assumptions'!$M36*EG$25)*'Operating Assumptions'!$D$12)/12))))))))</f>
        <v>0</v>
      </c>
      <c r="EH111" s="427">
        <f>-IF(EH$9&lt;'Operating Assumptions'!$D$53,0,IF(EH$6&gt;'Operating Assumptions'!$AA$8,0,IF('Operating Assumptions'!$L36="N/A",0,IF('Operating Assumptions'!$L36="$/Unit/Annual",(('Operating Assumptions'!$M36*EH$25)*EH$36)/12,IF('Operating Assumptions'!$L36="$/Unit/Month",('Operating Assumptions'!$M36*EH$25)*EH$36,IF('Operating Assumptions'!$L36="Fixed Amount",('Operating Assumptions'!$M36*EH$25)/12,IF('Operating Assumptions'!$L36="$/GSF",(('Operating Assumptions'!$M36*EH$25)*'Operating Assumptions'!$D$11)/12,IF('Operating Assumptions'!$L36="$/NSF",(('Operating Assumptions'!$M36*EH$25)*'Operating Assumptions'!$D$12)/12))))))))</f>
        <v>0</v>
      </c>
      <c r="EI111" s="427">
        <f>-IF(EI$9&lt;'Operating Assumptions'!$D$53,0,IF(EI$6&gt;'Operating Assumptions'!$AA$8,0,IF('Operating Assumptions'!$L36="N/A",0,IF('Operating Assumptions'!$L36="$/Unit/Annual",(('Operating Assumptions'!$M36*EI$25)*EI$36)/12,IF('Operating Assumptions'!$L36="$/Unit/Month",('Operating Assumptions'!$M36*EI$25)*EI$36,IF('Operating Assumptions'!$L36="Fixed Amount",('Operating Assumptions'!$M36*EI$25)/12,IF('Operating Assumptions'!$L36="$/GSF",(('Operating Assumptions'!$M36*EI$25)*'Operating Assumptions'!$D$11)/12,IF('Operating Assumptions'!$L36="$/NSF",(('Operating Assumptions'!$M36*EI$25)*'Operating Assumptions'!$D$12)/12))))))))</f>
        <v>0</v>
      </c>
      <c r="EJ111" s="427">
        <f>-IF(EJ$9&lt;'Operating Assumptions'!$D$53,0,IF(EJ$6&gt;'Operating Assumptions'!$AA$8,0,IF('Operating Assumptions'!$L36="N/A",0,IF('Operating Assumptions'!$L36="$/Unit/Annual",(('Operating Assumptions'!$M36*EJ$25)*EJ$36)/12,IF('Operating Assumptions'!$L36="$/Unit/Month",('Operating Assumptions'!$M36*EJ$25)*EJ$36,IF('Operating Assumptions'!$L36="Fixed Amount",('Operating Assumptions'!$M36*EJ$25)/12,IF('Operating Assumptions'!$L36="$/GSF",(('Operating Assumptions'!$M36*EJ$25)*'Operating Assumptions'!$D$11)/12,IF('Operating Assumptions'!$L36="$/NSF",(('Operating Assumptions'!$M36*EJ$25)*'Operating Assumptions'!$D$12)/12))))))))</f>
        <v>0</v>
      </c>
      <c r="EK111" s="427">
        <f>-IF(EK$9&lt;'Operating Assumptions'!$D$53,0,IF(EK$6&gt;'Operating Assumptions'!$AA$8,0,IF('Operating Assumptions'!$L36="N/A",0,IF('Operating Assumptions'!$L36="$/Unit/Annual",(('Operating Assumptions'!$M36*EK$25)*EK$36)/12,IF('Operating Assumptions'!$L36="$/Unit/Month",('Operating Assumptions'!$M36*EK$25)*EK$36,IF('Operating Assumptions'!$L36="Fixed Amount",('Operating Assumptions'!$M36*EK$25)/12,IF('Operating Assumptions'!$L36="$/GSF",(('Operating Assumptions'!$M36*EK$25)*'Operating Assumptions'!$D$11)/12,IF('Operating Assumptions'!$L36="$/NSF",(('Operating Assumptions'!$M36*EK$25)*'Operating Assumptions'!$D$12)/12))))))))</f>
        <v>0</v>
      </c>
      <c r="EL111" s="427">
        <f>-IF(EL$9&lt;'Operating Assumptions'!$D$53,0,IF(EL$6&gt;'Operating Assumptions'!$AA$8,0,IF('Operating Assumptions'!$L36="N/A",0,IF('Operating Assumptions'!$L36="$/Unit/Annual",(('Operating Assumptions'!$M36*EL$25)*EL$36)/12,IF('Operating Assumptions'!$L36="$/Unit/Month",('Operating Assumptions'!$M36*EL$25)*EL$36,IF('Operating Assumptions'!$L36="Fixed Amount",('Operating Assumptions'!$M36*EL$25)/12,IF('Operating Assumptions'!$L36="$/GSF",(('Operating Assumptions'!$M36*EL$25)*'Operating Assumptions'!$D$11)/12,IF('Operating Assumptions'!$L36="$/NSF",(('Operating Assumptions'!$M36*EL$25)*'Operating Assumptions'!$D$12)/12))))))))</f>
        <v>0</v>
      </c>
      <c r="EM111" s="427">
        <f>-IF(EM$9&lt;'Operating Assumptions'!$D$53,0,IF(EM$6&gt;'Operating Assumptions'!$AA$8,0,IF('Operating Assumptions'!$L36="N/A",0,IF('Operating Assumptions'!$L36="$/Unit/Annual",(('Operating Assumptions'!$M36*EM$25)*EM$36)/12,IF('Operating Assumptions'!$L36="$/Unit/Month",('Operating Assumptions'!$M36*EM$25)*EM$36,IF('Operating Assumptions'!$L36="Fixed Amount",('Operating Assumptions'!$M36*EM$25)/12,IF('Operating Assumptions'!$L36="$/GSF",(('Operating Assumptions'!$M36*EM$25)*'Operating Assumptions'!$D$11)/12,IF('Operating Assumptions'!$L36="$/NSF",(('Operating Assumptions'!$M36*EM$25)*'Operating Assumptions'!$D$12)/12))))))))</f>
        <v>0</v>
      </c>
      <c r="EN111" s="427">
        <f>-IF(EN$9&lt;'Operating Assumptions'!$D$53,0,IF(EN$6&gt;'Operating Assumptions'!$AA$8,0,IF('Operating Assumptions'!$L36="N/A",0,IF('Operating Assumptions'!$L36="$/Unit/Annual",(('Operating Assumptions'!$M36*EN$25)*EN$36)/12,IF('Operating Assumptions'!$L36="$/Unit/Month",('Operating Assumptions'!$M36*EN$25)*EN$36,IF('Operating Assumptions'!$L36="Fixed Amount",('Operating Assumptions'!$M36*EN$25)/12,IF('Operating Assumptions'!$L36="$/GSF",(('Operating Assumptions'!$M36*EN$25)*'Operating Assumptions'!$D$11)/12,IF('Operating Assumptions'!$L36="$/NSF",(('Operating Assumptions'!$M36*EN$25)*'Operating Assumptions'!$D$12)/12))))))))</f>
        <v>0</v>
      </c>
      <c r="EO111" s="427">
        <f>-IF(EO$9&lt;'Operating Assumptions'!$D$53,0,IF(EO$6&gt;'Operating Assumptions'!$AA$8,0,IF('Operating Assumptions'!$L36="N/A",0,IF('Operating Assumptions'!$L36="$/Unit/Annual",(('Operating Assumptions'!$M36*EO$25)*EO$36)/12,IF('Operating Assumptions'!$L36="$/Unit/Month",('Operating Assumptions'!$M36*EO$25)*EO$36,IF('Operating Assumptions'!$L36="Fixed Amount",('Operating Assumptions'!$M36*EO$25)/12,IF('Operating Assumptions'!$L36="$/GSF",(('Operating Assumptions'!$M36*EO$25)*'Operating Assumptions'!$D$11)/12,IF('Operating Assumptions'!$L36="$/NSF",(('Operating Assumptions'!$M36*EO$25)*'Operating Assumptions'!$D$12)/12))))))))</f>
        <v>0</v>
      </c>
      <c r="EP111" s="427">
        <f>-IF(EP$9&lt;'Operating Assumptions'!$D$53,0,IF(EP$6&gt;'Operating Assumptions'!$AA$8,0,IF('Operating Assumptions'!$L36="N/A",0,IF('Operating Assumptions'!$L36="$/Unit/Annual",(('Operating Assumptions'!$M36*EP$25)*EP$36)/12,IF('Operating Assumptions'!$L36="$/Unit/Month",('Operating Assumptions'!$M36*EP$25)*EP$36,IF('Operating Assumptions'!$L36="Fixed Amount",('Operating Assumptions'!$M36*EP$25)/12,IF('Operating Assumptions'!$L36="$/GSF",(('Operating Assumptions'!$M36*EP$25)*'Operating Assumptions'!$D$11)/12,IF('Operating Assumptions'!$L36="$/NSF",(('Operating Assumptions'!$M36*EP$25)*'Operating Assumptions'!$D$12)/12))))))))</f>
        <v>0</v>
      </c>
      <c r="EQ111" s="427">
        <f>-IF(EQ$9&lt;'Operating Assumptions'!$D$53,0,IF(EQ$6&gt;'Operating Assumptions'!$AA$8,0,IF('Operating Assumptions'!$L36="N/A",0,IF('Operating Assumptions'!$L36="$/Unit/Annual",(('Operating Assumptions'!$M36*EQ$25)*EQ$36)/12,IF('Operating Assumptions'!$L36="$/Unit/Month",('Operating Assumptions'!$M36*EQ$25)*EQ$36,IF('Operating Assumptions'!$L36="Fixed Amount",('Operating Assumptions'!$M36*EQ$25)/12,IF('Operating Assumptions'!$L36="$/GSF",(('Operating Assumptions'!$M36*EQ$25)*'Operating Assumptions'!$D$11)/12,IF('Operating Assumptions'!$L36="$/NSF",(('Operating Assumptions'!$M36*EQ$25)*'Operating Assumptions'!$D$12)/12))))))))</f>
        <v>0</v>
      </c>
      <c r="ER111" s="427">
        <f>-IF(ER$9&lt;'Operating Assumptions'!$D$53,0,IF(ER$6&gt;'Operating Assumptions'!$AA$8,0,IF('Operating Assumptions'!$L36="N/A",0,IF('Operating Assumptions'!$L36="$/Unit/Annual",(('Operating Assumptions'!$M36*ER$25)*ER$36)/12,IF('Operating Assumptions'!$L36="$/Unit/Month",('Operating Assumptions'!$M36*ER$25)*ER$36,IF('Operating Assumptions'!$L36="Fixed Amount",('Operating Assumptions'!$M36*ER$25)/12,IF('Operating Assumptions'!$L36="$/GSF",(('Operating Assumptions'!$M36*ER$25)*'Operating Assumptions'!$D$11)/12,IF('Operating Assumptions'!$L36="$/NSF",(('Operating Assumptions'!$M36*ER$25)*'Operating Assumptions'!$D$12)/12))))))))</f>
        <v>0</v>
      </c>
      <c r="ES111" s="427">
        <f>-IF(ES$9&lt;'Operating Assumptions'!$D$53,0,IF(ES$6&gt;'Operating Assumptions'!$AA$8,0,IF('Operating Assumptions'!$L36="N/A",0,IF('Operating Assumptions'!$L36="$/Unit/Annual",(('Operating Assumptions'!$M36*ES$25)*ES$36)/12,IF('Operating Assumptions'!$L36="$/Unit/Month",('Operating Assumptions'!$M36*ES$25)*ES$36,IF('Operating Assumptions'!$L36="Fixed Amount",('Operating Assumptions'!$M36*ES$25)/12,IF('Operating Assumptions'!$L36="$/GSF",(('Operating Assumptions'!$M36*ES$25)*'Operating Assumptions'!$D$11)/12,IF('Operating Assumptions'!$L36="$/NSF",(('Operating Assumptions'!$M36*ES$25)*'Operating Assumptions'!$D$12)/12))))))))</f>
        <v>0</v>
      </c>
      <c r="ET111" s="427">
        <f>-IF(ET$9&lt;'Operating Assumptions'!$D$53,0,IF(ET$6&gt;'Operating Assumptions'!$AA$8,0,IF('Operating Assumptions'!$L36="N/A",0,IF('Operating Assumptions'!$L36="$/Unit/Annual",(('Operating Assumptions'!$M36*ET$25)*ET$36)/12,IF('Operating Assumptions'!$L36="$/Unit/Month",('Operating Assumptions'!$M36*ET$25)*ET$36,IF('Operating Assumptions'!$L36="Fixed Amount",('Operating Assumptions'!$M36*ET$25)/12,IF('Operating Assumptions'!$L36="$/GSF",(('Operating Assumptions'!$M36*ET$25)*'Operating Assumptions'!$D$11)/12,IF('Operating Assumptions'!$L36="$/NSF",(('Operating Assumptions'!$M36*ET$25)*'Operating Assumptions'!$D$12)/12))))))))</f>
        <v>0</v>
      </c>
      <c r="EU111" s="427">
        <f>-IF(EU$9&lt;'Operating Assumptions'!$D$53,0,IF(EU$6&gt;'Operating Assumptions'!$AA$8,0,IF('Operating Assumptions'!$L36="N/A",0,IF('Operating Assumptions'!$L36="$/Unit/Annual",(('Operating Assumptions'!$M36*EU$25)*EU$36)/12,IF('Operating Assumptions'!$L36="$/Unit/Month",('Operating Assumptions'!$M36*EU$25)*EU$36,IF('Operating Assumptions'!$L36="Fixed Amount",('Operating Assumptions'!$M36*EU$25)/12,IF('Operating Assumptions'!$L36="$/GSF",(('Operating Assumptions'!$M36*EU$25)*'Operating Assumptions'!$D$11)/12,IF('Operating Assumptions'!$L36="$/NSF",(('Operating Assumptions'!$M36*EU$25)*'Operating Assumptions'!$D$12)/12))))))))</f>
        <v>0</v>
      </c>
      <c r="EV111" s="427">
        <f>-IF(EV$9&lt;'Operating Assumptions'!$D$53,0,IF(EV$6&gt;'Operating Assumptions'!$AA$8,0,IF('Operating Assumptions'!$L36="N/A",0,IF('Operating Assumptions'!$L36="$/Unit/Annual",(('Operating Assumptions'!$M36*EV$25)*EV$36)/12,IF('Operating Assumptions'!$L36="$/Unit/Month",('Operating Assumptions'!$M36*EV$25)*EV$36,IF('Operating Assumptions'!$L36="Fixed Amount",('Operating Assumptions'!$M36*EV$25)/12,IF('Operating Assumptions'!$L36="$/GSF",(('Operating Assumptions'!$M36*EV$25)*'Operating Assumptions'!$D$11)/12,IF('Operating Assumptions'!$L36="$/NSF",(('Operating Assumptions'!$M36*EV$25)*'Operating Assumptions'!$D$12)/12))))))))</f>
        <v>0</v>
      </c>
      <c r="EW111" s="427">
        <f>-IF(EW$9&lt;'Operating Assumptions'!$D$53,0,IF(EW$6&gt;'Operating Assumptions'!$AA$8,0,IF('Operating Assumptions'!$L36="N/A",0,IF('Operating Assumptions'!$L36="$/Unit/Annual",(('Operating Assumptions'!$M36*EW$25)*EW$36)/12,IF('Operating Assumptions'!$L36="$/Unit/Month",('Operating Assumptions'!$M36*EW$25)*EW$36,IF('Operating Assumptions'!$L36="Fixed Amount",('Operating Assumptions'!$M36*EW$25)/12,IF('Operating Assumptions'!$L36="$/GSF",(('Operating Assumptions'!$M36*EW$25)*'Operating Assumptions'!$D$11)/12,IF('Operating Assumptions'!$L36="$/NSF",(('Operating Assumptions'!$M36*EW$25)*'Operating Assumptions'!$D$12)/12))))))))</f>
        <v>0</v>
      </c>
      <c r="EX111" s="427">
        <f>-IF(EX$9&lt;'Operating Assumptions'!$D$53,0,IF(EX$6&gt;'Operating Assumptions'!$AA$8,0,IF('Operating Assumptions'!$L36="N/A",0,IF('Operating Assumptions'!$L36="$/Unit/Annual",(('Operating Assumptions'!$M36*EX$25)*EX$36)/12,IF('Operating Assumptions'!$L36="$/Unit/Month",('Operating Assumptions'!$M36*EX$25)*EX$36,IF('Operating Assumptions'!$L36="Fixed Amount",('Operating Assumptions'!$M36*EX$25)/12,IF('Operating Assumptions'!$L36="$/GSF",(('Operating Assumptions'!$M36*EX$25)*'Operating Assumptions'!$D$11)/12,IF('Operating Assumptions'!$L36="$/NSF",(('Operating Assumptions'!$M36*EX$25)*'Operating Assumptions'!$D$12)/12))))))))</f>
        <v>0</v>
      </c>
      <c r="EY111" s="427">
        <f>-IF(EY$9&lt;'Operating Assumptions'!$D$53,0,IF(EY$6&gt;'Operating Assumptions'!$AA$8,0,IF('Operating Assumptions'!$L36="N/A",0,IF('Operating Assumptions'!$L36="$/Unit/Annual",(('Operating Assumptions'!$M36*EY$25)*EY$36)/12,IF('Operating Assumptions'!$L36="$/Unit/Month",('Operating Assumptions'!$M36*EY$25)*EY$36,IF('Operating Assumptions'!$L36="Fixed Amount",('Operating Assumptions'!$M36*EY$25)/12,IF('Operating Assumptions'!$L36="$/GSF",(('Operating Assumptions'!$M36*EY$25)*'Operating Assumptions'!$D$11)/12,IF('Operating Assumptions'!$L36="$/NSF",(('Operating Assumptions'!$M36*EY$25)*'Operating Assumptions'!$D$12)/12))))))))</f>
        <v>0</v>
      </c>
      <c r="EZ111" s="427">
        <f>-IF(EZ$9&lt;'Operating Assumptions'!$D$53,0,IF(EZ$6&gt;'Operating Assumptions'!$AA$8,0,IF('Operating Assumptions'!$L36="N/A",0,IF('Operating Assumptions'!$L36="$/Unit/Annual",(('Operating Assumptions'!$M36*EZ$25)*EZ$36)/12,IF('Operating Assumptions'!$L36="$/Unit/Month",('Operating Assumptions'!$M36*EZ$25)*EZ$36,IF('Operating Assumptions'!$L36="Fixed Amount",('Operating Assumptions'!$M36*EZ$25)/12,IF('Operating Assumptions'!$L36="$/GSF",(('Operating Assumptions'!$M36*EZ$25)*'Operating Assumptions'!$D$11)/12,IF('Operating Assumptions'!$L36="$/NSF",(('Operating Assumptions'!$M36*EZ$25)*'Operating Assumptions'!$D$12)/12))))))))</f>
        <v>0</v>
      </c>
      <c r="FA111" s="427">
        <f>-IF(FA$9&lt;'Operating Assumptions'!$D$53,0,IF(FA$6&gt;'Operating Assumptions'!$AA$8,0,IF('Operating Assumptions'!$L36="N/A",0,IF('Operating Assumptions'!$L36="$/Unit/Annual",(('Operating Assumptions'!$M36*FA$25)*FA$36)/12,IF('Operating Assumptions'!$L36="$/Unit/Month",('Operating Assumptions'!$M36*FA$25)*FA$36,IF('Operating Assumptions'!$L36="Fixed Amount",('Operating Assumptions'!$M36*FA$25)/12,IF('Operating Assumptions'!$L36="$/GSF",(('Operating Assumptions'!$M36*FA$25)*'Operating Assumptions'!$D$11)/12,IF('Operating Assumptions'!$L36="$/NSF",(('Operating Assumptions'!$M36*FA$25)*'Operating Assumptions'!$D$12)/12))))))))</f>
        <v>0</v>
      </c>
      <c r="FB111" s="427">
        <f>-IF(FB$9&lt;'Operating Assumptions'!$D$53,0,IF(FB$6&gt;'Operating Assumptions'!$AA$8,0,IF('Operating Assumptions'!$L36="N/A",0,IF('Operating Assumptions'!$L36="$/Unit/Annual",(('Operating Assumptions'!$M36*FB$25)*FB$36)/12,IF('Operating Assumptions'!$L36="$/Unit/Month",('Operating Assumptions'!$M36*FB$25)*FB$36,IF('Operating Assumptions'!$L36="Fixed Amount",('Operating Assumptions'!$M36*FB$25)/12,IF('Operating Assumptions'!$L36="$/GSF",(('Operating Assumptions'!$M36*FB$25)*'Operating Assumptions'!$D$11)/12,IF('Operating Assumptions'!$L36="$/NSF",(('Operating Assumptions'!$M36*FB$25)*'Operating Assumptions'!$D$12)/12))))))))</f>
        <v>0</v>
      </c>
      <c r="FC111" s="427">
        <f>-IF(FC$9&lt;'Operating Assumptions'!$D$53,0,IF(FC$6&gt;'Operating Assumptions'!$AA$8,0,IF('Operating Assumptions'!$L36="N/A",0,IF('Operating Assumptions'!$L36="$/Unit/Annual",(('Operating Assumptions'!$M36*FC$25)*FC$36)/12,IF('Operating Assumptions'!$L36="$/Unit/Month",('Operating Assumptions'!$M36*FC$25)*FC$36,IF('Operating Assumptions'!$L36="Fixed Amount",('Operating Assumptions'!$M36*FC$25)/12,IF('Operating Assumptions'!$L36="$/GSF",(('Operating Assumptions'!$M36*FC$25)*'Operating Assumptions'!$D$11)/12,IF('Operating Assumptions'!$L36="$/NSF",(('Operating Assumptions'!$M36*FC$25)*'Operating Assumptions'!$D$12)/12))))))))</f>
        <v>0</v>
      </c>
      <c r="FD111" s="427">
        <f>-IF(FD$9&lt;'Operating Assumptions'!$D$53,0,IF(FD$6&gt;'Operating Assumptions'!$AA$8,0,IF('Operating Assumptions'!$L36="N/A",0,IF('Operating Assumptions'!$L36="$/Unit/Annual",(('Operating Assumptions'!$M36*FD$25)*FD$36)/12,IF('Operating Assumptions'!$L36="$/Unit/Month",('Operating Assumptions'!$M36*FD$25)*FD$36,IF('Operating Assumptions'!$L36="Fixed Amount",('Operating Assumptions'!$M36*FD$25)/12,IF('Operating Assumptions'!$L36="$/GSF",(('Operating Assumptions'!$M36*FD$25)*'Operating Assumptions'!$D$11)/12,IF('Operating Assumptions'!$L36="$/NSF",(('Operating Assumptions'!$M36*FD$25)*'Operating Assumptions'!$D$12)/12))))))))</f>
        <v>0</v>
      </c>
      <c r="FE111" s="427">
        <f>-IF(FE$9&lt;'Operating Assumptions'!$D$53,0,IF(FE$6&gt;'Operating Assumptions'!$AA$8,0,IF('Operating Assumptions'!$L36="N/A",0,IF('Operating Assumptions'!$L36="$/Unit/Annual",(('Operating Assumptions'!$M36*FE$25)*FE$36)/12,IF('Operating Assumptions'!$L36="$/Unit/Month",('Operating Assumptions'!$M36*FE$25)*FE$36,IF('Operating Assumptions'!$L36="Fixed Amount",('Operating Assumptions'!$M36*FE$25)/12,IF('Operating Assumptions'!$L36="$/GSF",(('Operating Assumptions'!$M36*FE$25)*'Operating Assumptions'!$D$11)/12,IF('Operating Assumptions'!$L36="$/NSF",(('Operating Assumptions'!$M36*FE$25)*'Operating Assumptions'!$D$12)/12))))))))</f>
        <v>0</v>
      </c>
      <c r="FF111" s="427">
        <f>-IF(FF$9&lt;'Operating Assumptions'!$D$53,0,IF(FF$6&gt;'Operating Assumptions'!$AA$8,0,IF('Operating Assumptions'!$L36="N/A",0,IF('Operating Assumptions'!$L36="$/Unit/Annual",(('Operating Assumptions'!$M36*FF$25)*FF$36)/12,IF('Operating Assumptions'!$L36="$/Unit/Month",('Operating Assumptions'!$M36*FF$25)*FF$36,IF('Operating Assumptions'!$L36="Fixed Amount",('Operating Assumptions'!$M36*FF$25)/12,IF('Operating Assumptions'!$L36="$/GSF",(('Operating Assumptions'!$M36*FF$25)*'Operating Assumptions'!$D$11)/12,IF('Operating Assumptions'!$L36="$/NSF",(('Operating Assumptions'!$M36*FF$25)*'Operating Assumptions'!$D$12)/12))))))))</f>
        <v>0</v>
      </c>
      <c r="FG111" s="427">
        <f>-IF(FG$9&lt;'Operating Assumptions'!$D$53,0,IF(FG$6&gt;'Operating Assumptions'!$AA$8,0,IF('Operating Assumptions'!$L36="N/A",0,IF('Operating Assumptions'!$L36="$/Unit/Annual",(('Operating Assumptions'!$M36*FG$25)*FG$36)/12,IF('Operating Assumptions'!$L36="$/Unit/Month",('Operating Assumptions'!$M36*FG$25)*FG$36,IF('Operating Assumptions'!$L36="Fixed Amount",('Operating Assumptions'!$M36*FG$25)/12,IF('Operating Assumptions'!$L36="$/GSF",(('Operating Assumptions'!$M36*FG$25)*'Operating Assumptions'!$D$11)/12,IF('Operating Assumptions'!$L36="$/NSF",(('Operating Assumptions'!$M36*FG$25)*'Operating Assumptions'!$D$12)/12))))))))</f>
        <v>0</v>
      </c>
      <c r="FH111" s="427">
        <f>-IF(FH$9&lt;'Operating Assumptions'!$D$53,0,IF(FH$6&gt;'Operating Assumptions'!$AA$8,0,IF('Operating Assumptions'!$L36="N/A",0,IF('Operating Assumptions'!$L36="$/Unit/Annual",(('Operating Assumptions'!$M36*FH$25)*FH$36)/12,IF('Operating Assumptions'!$L36="$/Unit/Month",('Operating Assumptions'!$M36*FH$25)*FH$36,IF('Operating Assumptions'!$L36="Fixed Amount",('Operating Assumptions'!$M36*FH$25)/12,IF('Operating Assumptions'!$L36="$/GSF",(('Operating Assumptions'!$M36*FH$25)*'Operating Assumptions'!$D$11)/12,IF('Operating Assumptions'!$L36="$/NSF",(('Operating Assumptions'!$M36*FH$25)*'Operating Assumptions'!$D$12)/12))))))))</f>
        <v>0</v>
      </c>
      <c r="FI111" s="427">
        <f>-IF(FI$9&lt;'Operating Assumptions'!$D$53,0,IF(FI$6&gt;'Operating Assumptions'!$AA$8,0,IF('Operating Assumptions'!$L36="N/A",0,IF('Operating Assumptions'!$L36="$/Unit/Annual",(('Operating Assumptions'!$M36*FI$25)*FI$36)/12,IF('Operating Assumptions'!$L36="$/Unit/Month",('Operating Assumptions'!$M36*FI$25)*FI$36,IF('Operating Assumptions'!$L36="Fixed Amount",('Operating Assumptions'!$M36*FI$25)/12,IF('Operating Assumptions'!$L36="$/GSF",(('Operating Assumptions'!$M36*FI$25)*'Operating Assumptions'!$D$11)/12,IF('Operating Assumptions'!$L36="$/NSF",(('Operating Assumptions'!$M36*FI$25)*'Operating Assumptions'!$D$12)/12))))))))</f>
        <v>0</v>
      </c>
      <c r="FJ111" s="427">
        <f>-IF(FJ$9&lt;'Operating Assumptions'!$D$53,0,IF(FJ$6&gt;'Operating Assumptions'!$AA$8,0,IF('Operating Assumptions'!$L36="N/A",0,IF('Operating Assumptions'!$L36="$/Unit/Annual",(('Operating Assumptions'!$M36*FJ$25)*FJ$36)/12,IF('Operating Assumptions'!$L36="$/Unit/Month",('Operating Assumptions'!$M36*FJ$25)*FJ$36,IF('Operating Assumptions'!$L36="Fixed Amount",('Operating Assumptions'!$M36*FJ$25)/12,IF('Operating Assumptions'!$L36="$/GSF",(('Operating Assumptions'!$M36*FJ$25)*'Operating Assumptions'!$D$11)/12,IF('Operating Assumptions'!$L36="$/NSF",(('Operating Assumptions'!$M36*FJ$25)*'Operating Assumptions'!$D$12)/12))))))))</f>
        <v>0</v>
      </c>
      <c r="FK111" s="427">
        <f>-IF(FK$9&lt;'Operating Assumptions'!$D$53,0,IF(FK$6&gt;'Operating Assumptions'!$AA$8,0,IF('Operating Assumptions'!$L36="N/A",0,IF('Operating Assumptions'!$L36="$/Unit/Annual",(('Operating Assumptions'!$M36*FK$25)*FK$36)/12,IF('Operating Assumptions'!$L36="$/Unit/Month",('Operating Assumptions'!$M36*FK$25)*FK$36,IF('Operating Assumptions'!$L36="Fixed Amount",('Operating Assumptions'!$M36*FK$25)/12,IF('Operating Assumptions'!$L36="$/GSF",(('Operating Assumptions'!$M36*FK$25)*'Operating Assumptions'!$D$11)/12,IF('Operating Assumptions'!$L36="$/NSF",(('Operating Assumptions'!$M36*FK$25)*'Operating Assumptions'!$D$12)/12))))))))</f>
        <v>0</v>
      </c>
      <c r="FL111" s="427">
        <f>-IF(FL$9&lt;'Operating Assumptions'!$D$53,0,IF(FL$6&gt;'Operating Assumptions'!$AA$8,0,IF('Operating Assumptions'!$L36="N/A",0,IF('Operating Assumptions'!$L36="$/Unit/Annual",(('Operating Assumptions'!$M36*FL$25)*FL$36)/12,IF('Operating Assumptions'!$L36="$/Unit/Month",('Operating Assumptions'!$M36*FL$25)*FL$36,IF('Operating Assumptions'!$L36="Fixed Amount",('Operating Assumptions'!$M36*FL$25)/12,IF('Operating Assumptions'!$L36="$/GSF",(('Operating Assumptions'!$M36*FL$25)*'Operating Assumptions'!$D$11)/12,IF('Operating Assumptions'!$L36="$/NSF",(('Operating Assumptions'!$M36*FL$25)*'Operating Assumptions'!$D$12)/12))))))))</f>
        <v>0</v>
      </c>
      <c r="FM111" s="427">
        <f>-IF(FM$9&lt;'Operating Assumptions'!$D$53,0,IF(FM$6&gt;'Operating Assumptions'!$AA$8,0,IF('Operating Assumptions'!$L36="N/A",0,IF('Operating Assumptions'!$L36="$/Unit/Annual",(('Operating Assumptions'!$M36*FM$25)*FM$36)/12,IF('Operating Assumptions'!$L36="$/Unit/Month",('Operating Assumptions'!$M36*FM$25)*FM$36,IF('Operating Assumptions'!$L36="Fixed Amount",('Operating Assumptions'!$M36*FM$25)/12,IF('Operating Assumptions'!$L36="$/GSF",(('Operating Assumptions'!$M36*FM$25)*'Operating Assumptions'!$D$11)/12,IF('Operating Assumptions'!$L36="$/NSF",(('Operating Assumptions'!$M36*FM$25)*'Operating Assumptions'!$D$12)/12))))))))</f>
        <v>0</v>
      </c>
      <c r="FN111" s="427">
        <f>-IF(FN$9&lt;'Operating Assumptions'!$D$53,0,IF(FN$6&gt;'Operating Assumptions'!$AA$8,0,IF('Operating Assumptions'!$L36="N/A",0,IF('Operating Assumptions'!$L36="$/Unit/Annual",(('Operating Assumptions'!$M36*FN$25)*FN$36)/12,IF('Operating Assumptions'!$L36="$/Unit/Month",('Operating Assumptions'!$M36*FN$25)*FN$36,IF('Operating Assumptions'!$L36="Fixed Amount",('Operating Assumptions'!$M36*FN$25)/12,IF('Operating Assumptions'!$L36="$/GSF",(('Operating Assumptions'!$M36*FN$25)*'Operating Assumptions'!$D$11)/12,IF('Operating Assumptions'!$L36="$/NSF",(('Operating Assumptions'!$M36*FN$25)*'Operating Assumptions'!$D$12)/12))))))))</f>
        <v>0</v>
      </c>
      <c r="FO111" s="427">
        <f>-IF(FO$9&lt;'Operating Assumptions'!$D$53,0,IF(FO$6&gt;'Operating Assumptions'!$AA$8,0,IF('Operating Assumptions'!$L36="N/A",0,IF('Operating Assumptions'!$L36="$/Unit/Annual",(('Operating Assumptions'!$M36*FO$25)*FO$36)/12,IF('Operating Assumptions'!$L36="$/Unit/Month",('Operating Assumptions'!$M36*FO$25)*FO$36,IF('Operating Assumptions'!$L36="Fixed Amount",('Operating Assumptions'!$M36*FO$25)/12,IF('Operating Assumptions'!$L36="$/GSF",(('Operating Assumptions'!$M36*FO$25)*'Operating Assumptions'!$D$11)/12,IF('Operating Assumptions'!$L36="$/NSF",(('Operating Assumptions'!$M36*FO$25)*'Operating Assumptions'!$D$12)/12))))))))</f>
        <v>0</v>
      </c>
      <c r="FP111" s="427">
        <f>-IF(FP$9&lt;'Operating Assumptions'!$D$53,0,IF(FP$6&gt;'Operating Assumptions'!$AA$8,0,IF('Operating Assumptions'!$L36="N/A",0,IF('Operating Assumptions'!$L36="$/Unit/Annual",(('Operating Assumptions'!$M36*FP$25)*FP$36)/12,IF('Operating Assumptions'!$L36="$/Unit/Month",('Operating Assumptions'!$M36*FP$25)*FP$36,IF('Operating Assumptions'!$L36="Fixed Amount",('Operating Assumptions'!$M36*FP$25)/12,IF('Operating Assumptions'!$L36="$/GSF",(('Operating Assumptions'!$M36*FP$25)*'Operating Assumptions'!$D$11)/12,IF('Operating Assumptions'!$L36="$/NSF",(('Operating Assumptions'!$M36*FP$25)*'Operating Assumptions'!$D$12)/12))))))))</f>
        <v>0</v>
      </c>
      <c r="FQ111" s="427">
        <f>-IF(FQ$9&lt;'Operating Assumptions'!$D$53,0,IF(FQ$6&gt;'Operating Assumptions'!$AA$8,0,IF('Operating Assumptions'!$L36="N/A",0,IF('Operating Assumptions'!$L36="$/Unit/Annual",(('Operating Assumptions'!$M36*FQ$25)*FQ$36)/12,IF('Operating Assumptions'!$L36="$/Unit/Month",('Operating Assumptions'!$M36*FQ$25)*FQ$36,IF('Operating Assumptions'!$L36="Fixed Amount",('Operating Assumptions'!$M36*FQ$25)/12,IF('Operating Assumptions'!$L36="$/GSF",(('Operating Assumptions'!$M36*FQ$25)*'Operating Assumptions'!$D$11)/12,IF('Operating Assumptions'!$L36="$/NSF",(('Operating Assumptions'!$M36*FQ$25)*'Operating Assumptions'!$D$12)/12))))))))</f>
        <v>0</v>
      </c>
      <c r="FR111" s="427">
        <f>-IF(FR$9&lt;'Operating Assumptions'!$D$53,0,IF(FR$6&gt;'Operating Assumptions'!$AA$8,0,IF('Operating Assumptions'!$L36="N/A",0,IF('Operating Assumptions'!$L36="$/Unit/Annual",(('Operating Assumptions'!$M36*FR$25)*FR$36)/12,IF('Operating Assumptions'!$L36="$/Unit/Month",('Operating Assumptions'!$M36*FR$25)*FR$36,IF('Operating Assumptions'!$L36="Fixed Amount",('Operating Assumptions'!$M36*FR$25)/12,IF('Operating Assumptions'!$L36="$/GSF",(('Operating Assumptions'!$M36*FR$25)*'Operating Assumptions'!$D$11)/12,IF('Operating Assumptions'!$L36="$/NSF",(('Operating Assumptions'!$M36*FR$25)*'Operating Assumptions'!$D$12)/12))))))))</f>
        <v>0</v>
      </c>
      <c r="FS111" s="427">
        <f>-IF(FS$9&lt;'Operating Assumptions'!$D$53,0,IF(FS$6&gt;'Operating Assumptions'!$AA$8,0,IF('Operating Assumptions'!$L36="N/A",0,IF('Operating Assumptions'!$L36="$/Unit/Annual",(('Operating Assumptions'!$M36*FS$25)*FS$36)/12,IF('Operating Assumptions'!$L36="$/Unit/Month",('Operating Assumptions'!$M36*FS$25)*FS$36,IF('Operating Assumptions'!$L36="Fixed Amount",('Operating Assumptions'!$M36*FS$25)/12,IF('Operating Assumptions'!$L36="$/GSF",(('Operating Assumptions'!$M36*FS$25)*'Operating Assumptions'!$D$11)/12,IF('Operating Assumptions'!$L36="$/NSF",(('Operating Assumptions'!$M36*FS$25)*'Operating Assumptions'!$D$12)/12))))))))</f>
        <v>0</v>
      </c>
      <c r="FT111" s="427">
        <f>-IF(FT$9&lt;'Operating Assumptions'!$D$53,0,IF(FT$6&gt;'Operating Assumptions'!$AA$8,0,IF('Operating Assumptions'!$L36="N/A",0,IF('Operating Assumptions'!$L36="$/Unit/Annual",(('Operating Assumptions'!$M36*FT$25)*FT$36)/12,IF('Operating Assumptions'!$L36="$/Unit/Month",('Operating Assumptions'!$M36*FT$25)*FT$36,IF('Operating Assumptions'!$L36="Fixed Amount",('Operating Assumptions'!$M36*FT$25)/12,IF('Operating Assumptions'!$L36="$/GSF",(('Operating Assumptions'!$M36*FT$25)*'Operating Assumptions'!$D$11)/12,IF('Operating Assumptions'!$L36="$/NSF",(('Operating Assumptions'!$M36*FT$25)*'Operating Assumptions'!$D$12)/12))))))))</f>
        <v>0</v>
      </c>
      <c r="FU111" s="43"/>
      <c r="FV111" s="34"/>
      <c r="FW111" s="34"/>
      <c r="FX111" s="34"/>
      <c r="FY111" s="34"/>
      <c r="FZ111" s="34"/>
    </row>
    <row r="112" spans="1:182" s="89" customFormat="1" ht="13.5" x14ac:dyDescent="0.25">
      <c r="A112" s="34"/>
      <c r="B112" s="128" t="str">
        <f>'Operating Assumptions'!K37</f>
        <v>Flooring Replacment</v>
      </c>
      <c r="C112" s="34"/>
      <c r="D112" s="34"/>
      <c r="E112" s="34"/>
      <c r="F112" s="434">
        <f t="shared" si="186"/>
        <v>0</v>
      </c>
      <c r="G112" s="34"/>
      <c r="H112" s="427">
        <f>-IF(H$9&lt;'Operating Assumptions'!$D$53,0,IF(H$6&gt;'Operating Assumptions'!$AA$8,0,IF('Operating Assumptions'!$L37="N/A",0,IF('Operating Assumptions'!$L37="$/Unit/Annual",(('Operating Assumptions'!$M37*H$25)*H$36)/12,IF('Operating Assumptions'!$L37="$/Unit/Month",('Operating Assumptions'!$M37*H$25)*H$36,IF('Operating Assumptions'!$L37="Fixed Amount",('Operating Assumptions'!$M37*H$25)/12,IF('Operating Assumptions'!$L37="$/GSF",(('Operating Assumptions'!$M37*H$25)*'Operating Assumptions'!$D$11)/12,IF('Operating Assumptions'!$L37="$/NSF",(('Operating Assumptions'!$M37*H$25)*'Operating Assumptions'!$D$12)/12))))))))</f>
        <v>0</v>
      </c>
      <c r="I112" s="427">
        <f>-IF(I$9&lt;'Operating Assumptions'!$D$53,0,IF(I$6&gt;'Operating Assumptions'!$AA$8,0,IF('Operating Assumptions'!$L37="N/A",0,IF('Operating Assumptions'!$L37="$/Unit/Annual",(('Operating Assumptions'!$M37*I$25)*I$36)/12,IF('Operating Assumptions'!$L37="$/Unit/Month",('Operating Assumptions'!$M37*I$25)*I$36,IF('Operating Assumptions'!$L37="Fixed Amount",('Operating Assumptions'!$M37*I$25)/12,IF('Operating Assumptions'!$L37="$/GSF",(('Operating Assumptions'!$M37*I$25)*'Operating Assumptions'!$D$11)/12,IF('Operating Assumptions'!$L37="$/NSF",(('Operating Assumptions'!$M37*I$25)*'Operating Assumptions'!$D$12)/12))))))))</f>
        <v>0</v>
      </c>
      <c r="J112" s="427">
        <f>-IF(J$9&lt;'Operating Assumptions'!$D$53,0,IF(J$6&gt;'Operating Assumptions'!$AA$8,0,IF('Operating Assumptions'!$L37="N/A",0,IF('Operating Assumptions'!$L37="$/Unit/Annual",(('Operating Assumptions'!$M37*J$25)*J$36)/12,IF('Operating Assumptions'!$L37="$/Unit/Month",('Operating Assumptions'!$M37*J$25)*J$36,IF('Operating Assumptions'!$L37="Fixed Amount",('Operating Assumptions'!$M37*J$25)/12,IF('Operating Assumptions'!$L37="$/GSF",(('Operating Assumptions'!$M37*J$25)*'Operating Assumptions'!$D$11)/12,IF('Operating Assumptions'!$L37="$/NSF",(('Operating Assumptions'!$M37*J$25)*'Operating Assumptions'!$D$12)/12))))))))</f>
        <v>0</v>
      </c>
      <c r="K112" s="427">
        <f>-IF(K$9&lt;'Operating Assumptions'!$D$53,0,IF(K$6&gt;'Operating Assumptions'!$AA$8,0,IF('Operating Assumptions'!$L37="N/A",0,IF('Operating Assumptions'!$L37="$/Unit/Annual",(('Operating Assumptions'!$M37*K$25)*K$36)/12,IF('Operating Assumptions'!$L37="$/Unit/Month",('Operating Assumptions'!$M37*K$25)*K$36,IF('Operating Assumptions'!$L37="Fixed Amount",('Operating Assumptions'!$M37*K$25)/12,IF('Operating Assumptions'!$L37="$/GSF",(('Operating Assumptions'!$M37*K$25)*'Operating Assumptions'!$D$11)/12,IF('Operating Assumptions'!$L37="$/NSF",(('Operating Assumptions'!$M37*K$25)*'Operating Assumptions'!$D$12)/12))))))))</f>
        <v>0</v>
      </c>
      <c r="L112" s="427">
        <f>-IF(L$9&lt;'Operating Assumptions'!$D$53,0,IF(L$6&gt;'Operating Assumptions'!$AA$8,0,IF('Operating Assumptions'!$L37="N/A",0,IF('Operating Assumptions'!$L37="$/Unit/Annual",(('Operating Assumptions'!$M37*L$25)*L$36)/12,IF('Operating Assumptions'!$L37="$/Unit/Month",('Operating Assumptions'!$M37*L$25)*L$36,IF('Operating Assumptions'!$L37="Fixed Amount",('Operating Assumptions'!$M37*L$25)/12,IF('Operating Assumptions'!$L37="$/GSF",(('Operating Assumptions'!$M37*L$25)*'Operating Assumptions'!$D$11)/12,IF('Operating Assumptions'!$L37="$/NSF",(('Operating Assumptions'!$M37*L$25)*'Operating Assumptions'!$D$12)/12))))))))</f>
        <v>0</v>
      </c>
      <c r="M112" s="427">
        <f>-IF(M$9&lt;'Operating Assumptions'!$D$53,0,IF(M$6&gt;'Operating Assumptions'!$AA$8,0,IF('Operating Assumptions'!$L37="N/A",0,IF('Operating Assumptions'!$L37="$/Unit/Annual",(('Operating Assumptions'!$M37*M$25)*M$36)/12,IF('Operating Assumptions'!$L37="$/Unit/Month",('Operating Assumptions'!$M37*M$25)*M$36,IF('Operating Assumptions'!$L37="Fixed Amount",('Operating Assumptions'!$M37*M$25)/12,IF('Operating Assumptions'!$L37="$/GSF",(('Operating Assumptions'!$M37*M$25)*'Operating Assumptions'!$D$11)/12,IF('Operating Assumptions'!$L37="$/NSF",(('Operating Assumptions'!$M37*M$25)*'Operating Assumptions'!$D$12)/12))))))))</f>
        <v>0</v>
      </c>
      <c r="N112" s="427">
        <f>-IF(N$9&lt;'Operating Assumptions'!$D$53,0,IF(N$6&gt;'Operating Assumptions'!$AA$8,0,IF('Operating Assumptions'!$L37="N/A",0,IF('Operating Assumptions'!$L37="$/Unit/Annual",(('Operating Assumptions'!$M37*N$25)*N$36)/12,IF('Operating Assumptions'!$L37="$/Unit/Month",('Operating Assumptions'!$M37*N$25)*N$36,IF('Operating Assumptions'!$L37="Fixed Amount",('Operating Assumptions'!$M37*N$25)/12,IF('Operating Assumptions'!$L37="$/GSF",(('Operating Assumptions'!$M37*N$25)*'Operating Assumptions'!$D$11)/12,IF('Operating Assumptions'!$L37="$/NSF",(('Operating Assumptions'!$M37*N$25)*'Operating Assumptions'!$D$12)/12))))))))</f>
        <v>0</v>
      </c>
      <c r="O112" s="427">
        <f>-IF(O$9&lt;'Operating Assumptions'!$D$53,0,IF(O$6&gt;'Operating Assumptions'!$AA$8,0,IF('Operating Assumptions'!$L37="N/A",0,IF('Operating Assumptions'!$L37="$/Unit/Annual",(('Operating Assumptions'!$M37*O$25)*O$36)/12,IF('Operating Assumptions'!$L37="$/Unit/Month",('Operating Assumptions'!$M37*O$25)*O$36,IF('Operating Assumptions'!$L37="Fixed Amount",('Operating Assumptions'!$M37*O$25)/12,IF('Operating Assumptions'!$L37="$/GSF",(('Operating Assumptions'!$M37*O$25)*'Operating Assumptions'!$D$11)/12,IF('Operating Assumptions'!$L37="$/NSF",(('Operating Assumptions'!$M37*O$25)*'Operating Assumptions'!$D$12)/12))))))))</f>
        <v>0</v>
      </c>
      <c r="P112" s="427">
        <f>-IF(P$9&lt;'Operating Assumptions'!$D$53,0,IF(P$6&gt;'Operating Assumptions'!$AA$8,0,IF('Operating Assumptions'!$L37="N/A",0,IF('Operating Assumptions'!$L37="$/Unit/Annual",(('Operating Assumptions'!$M37*P$25)*P$36)/12,IF('Operating Assumptions'!$L37="$/Unit/Month",('Operating Assumptions'!$M37*P$25)*P$36,IF('Operating Assumptions'!$L37="Fixed Amount",('Operating Assumptions'!$M37*P$25)/12,IF('Operating Assumptions'!$L37="$/GSF",(('Operating Assumptions'!$M37*P$25)*'Operating Assumptions'!$D$11)/12,IF('Operating Assumptions'!$L37="$/NSF",(('Operating Assumptions'!$M37*P$25)*'Operating Assumptions'!$D$12)/12))))))))</f>
        <v>0</v>
      </c>
      <c r="Q112" s="427">
        <f>-IF(Q$9&lt;'Operating Assumptions'!$D$53,0,IF(Q$6&gt;'Operating Assumptions'!$AA$8,0,IF('Operating Assumptions'!$L37="N/A",0,IF('Operating Assumptions'!$L37="$/Unit/Annual",(('Operating Assumptions'!$M37*Q$25)*Q$36)/12,IF('Operating Assumptions'!$L37="$/Unit/Month",('Operating Assumptions'!$M37*Q$25)*Q$36,IF('Operating Assumptions'!$L37="Fixed Amount",('Operating Assumptions'!$M37*Q$25)/12,IF('Operating Assumptions'!$L37="$/GSF",(('Operating Assumptions'!$M37*Q$25)*'Operating Assumptions'!$D$11)/12,IF('Operating Assumptions'!$L37="$/NSF",(('Operating Assumptions'!$M37*Q$25)*'Operating Assumptions'!$D$12)/12))))))))</f>
        <v>0</v>
      </c>
      <c r="R112" s="427">
        <f>-IF(R$9&lt;'Operating Assumptions'!$D$53,0,IF(R$6&gt;'Operating Assumptions'!$AA$8,0,IF('Operating Assumptions'!$L37="N/A",0,IF('Operating Assumptions'!$L37="$/Unit/Annual",(('Operating Assumptions'!$M37*R$25)*R$36)/12,IF('Operating Assumptions'!$L37="$/Unit/Month",('Operating Assumptions'!$M37*R$25)*R$36,IF('Operating Assumptions'!$L37="Fixed Amount",('Operating Assumptions'!$M37*R$25)/12,IF('Operating Assumptions'!$L37="$/GSF",(('Operating Assumptions'!$M37*R$25)*'Operating Assumptions'!$D$11)/12,IF('Operating Assumptions'!$L37="$/NSF",(('Operating Assumptions'!$M37*R$25)*'Operating Assumptions'!$D$12)/12))))))))</f>
        <v>0</v>
      </c>
      <c r="S112" s="427">
        <f>-IF(S$9&lt;'Operating Assumptions'!$D$53,0,IF(S$6&gt;'Operating Assumptions'!$AA$8,0,IF('Operating Assumptions'!$L37="N/A",0,IF('Operating Assumptions'!$L37="$/Unit/Annual",(('Operating Assumptions'!$M37*S$25)*S$36)/12,IF('Operating Assumptions'!$L37="$/Unit/Month",('Operating Assumptions'!$M37*S$25)*S$36,IF('Operating Assumptions'!$L37="Fixed Amount",('Operating Assumptions'!$M37*S$25)/12,IF('Operating Assumptions'!$L37="$/GSF",(('Operating Assumptions'!$M37*S$25)*'Operating Assumptions'!$D$11)/12,IF('Operating Assumptions'!$L37="$/NSF",(('Operating Assumptions'!$M37*S$25)*'Operating Assumptions'!$D$12)/12))))))))</f>
        <v>0</v>
      </c>
      <c r="T112" s="427">
        <f>-IF(T$9&lt;'Operating Assumptions'!$D$53,0,IF(T$6&gt;'Operating Assumptions'!$AA$8,0,IF('Operating Assumptions'!$L37="N/A",0,IF('Operating Assumptions'!$L37="$/Unit/Annual",(('Operating Assumptions'!$M37*T$25)*T$36)/12,IF('Operating Assumptions'!$L37="$/Unit/Month",('Operating Assumptions'!$M37*T$25)*T$36,IF('Operating Assumptions'!$L37="Fixed Amount",('Operating Assumptions'!$M37*T$25)/12,IF('Operating Assumptions'!$L37="$/GSF",(('Operating Assumptions'!$M37*T$25)*'Operating Assumptions'!$D$11)/12,IF('Operating Assumptions'!$L37="$/NSF",(('Operating Assumptions'!$M37*T$25)*'Operating Assumptions'!$D$12)/12))))))))</f>
        <v>0</v>
      </c>
      <c r="U112" s="427">
        <f>-IF(U$9&lt;'Operating Assumptions'!$D$53,0,IF(U$6&gt;'Operating Assumptions'!$AA$8,0,IF('Operating Assumptions'!$L37="N/A",0,IF('Operating Assumptions'!$L37="$/Unit/Annual",(('Operating Assumptions'!$M37*U$25)*U$36)/12,IF('Operating Assumptions'!$L37="$/Unit/Month",('Operating Assumptions'!$M37*U$25)*U$36,IF('Operating Assumptions'!$L37="Fixed Amount",('Operating Assumptions'!$M37*U$25)/12,IF('Operating Assumptions'!$L37="$/GSF",(('Operating Assumptions'!$M37*U$25)*'Operating Assumptions'!$D$11)/12,IF('Operating Assumptions'!$L37="$/NSF",(('Operating Assumptions'!$M37*U$25)*'Operating Assumptions'!$D$12)/12))))))))</f>
        <v>0</v>
      </c>
      <c r="V112" s="427">
        <f>-IF(V$9&lt;'Operating Assumptions'!$D$53,0,IF(V$6&gt;'Operating Assumptions'!$AA$8,0,IF('Operating Assumptions'!$L37="N/A",0,IF('Operating Assumptions'!$L37="$/Unit/Annual",(('Operating Assumptions'!$M37*V$25)*V$36)/12,IF('Operating Assumptions'!$L37="$/Unit/Month",('Operating Assumptions'!$M37*V$25)*V$36,IF('Operating Assumptions'!$L37="Fixed Amount",('Operating Assumptions'!$M37*V$25)/12,IF('Operating Assumptions'!$L37="$/GSF",(('Operating Assumptions'!$M37*V$25)*'Operating Assumptions'!$D$11)/12,IF('Operating Assumptions'!$L37="$/NSF",(('Operating Assumptions'!$M37*V$25)*'Operating Assumptions'!$D$12)/12))))))))</f>
        <v>0</v>
      </c>
      <c r="W112" s="427">
        <f>-IF(W$9&lt;'Operating Assumptions'!$D$53,0,IF(W$6&gt;'Operating Assumptions'!$AA$8,0,IF('Operating Assumptions'!$L37="N/A",0,IF('Operating Assumptions'!$L37="$/Unit/Annual",(('Operating Assumptions'!$M37*W$25)*W$36)/12,IF('Operating Assumptions'!$L37="$/Unit/Month",('Operating Assumptions'!$M37*W$25)*W$36,IF('Operating Assumptions'!$L37="Fixed Amount",('Operating Assumptions'!$M37*W$25)/12,IF('Operating Assumptions'!$L37="$/GSF",(('Operating Assumptions'!$M37*W$25)*'Operating Assumptions'!$D$11)/12,IF('Operating Assumptions'!$L37="$/NSF",(('Operating Assumptions'!$M37*W$25)*'Operating Assumptions'!$D$12)/12))))))))</f>
        <v>0</v>
      </c>
      <c r="X112" s="427">
        <f>-IF(X$9&lt;'Operating Assumptions'!$D$53,0,IF(X$6&gt;'Operating Assumptions'!$AA$8,0,IF('Operating Assumptions'!$L37="N/A",0,IF('Operating Assumptions'!$L37="$/Unit/Annual",(('Operating Assumptions'!$M37*X$25)*X$36)/12,IF('Operating Assumptions'!$L37="$/Unit/Month",('Operating Assumptions'!$M37*X$25)*X$36,IF('Operating Assumptions'!$L37="Fixed Amount",('Operating Assumptions'!$M37*X$25)/12,IF('Operating Assumptions'!$L37="$/GSF",(('Operating Assumptions'!$M37*X$25)*'Operating Assumptions'!$D$11)/12,IF('Operating Assumptions'!$L37="$/NSF",(('Operating Assumptions'!$M37*X$25)*'Operating Assumptions'!$D$12)/12))))))))</f>
        <v>0</v>
      </c>
      <c r="Y112" s="427">
        <f>-IF(Y$9&lt;'Operating Assumptions'!$D$53,0,IF(Y$6&gt;'Operating Assumptions'!$AA$8,0,IF('Operating Assumptions'!$L37="N/A",0,IF('Operating Assumptions'!$L37="$/Unit/Annual",(('Operating Assumptions'!$M37*Y$25)*Y$36)/12,IF('Operating Assumptions'!$L37="$/Unit/Month",('Operating Assumptions'!$M37*Y$25)*Y$36,IF('Operating Assumptions'!$L37="Fixed Amount",('Operating Assumptions'!$M37*Y$25)/12,IF('Operating Assumptions'!$L37="$/GSF",(('Operating Assumptions'!$M37*Y$25)*'Operating Assumptions'!$D$11)/12,IF('Operating Assumptions'!$L37="$/NSF",(('Operating Assumptions'!$M37*Y$25)*'Operating Assumptions'!$D$12)/12))))))))</f>
        <v>0</v>
      </c>
      <c r="Z112" s="427">
        <f>-IF(Z$9&lt;'Operating Assumptions'!$D$53,0,IF(Z$6&gt;'Operating Assumptions'!$AA$8,0,IF('Operating Assumptions'!$L37="N/A",0,IF('Operating Assumptions'!$L37="$/Unit/Annual",(('Operating Assumptions'!$M37*Z$25)*Z$36)/12,IF('Operating Assumptions'!$L37="$/Unit/Month",('Operating Assumptions'!$M37*Z$25)*Z$36,IF('Operating Assumptions'!$L37="Fixed Amount",('Operating Assumptions'!$M37*Z$25)/12,IF('Operating Assumptions'!$L37="$/GSF",(('Operating Assumptions'!$M37*Z$25)*'Operating Assumptions'!$D$11)/12,IF('Operating Assumptions'!$L37="$/NSF",(('Operating Assumptions'!$M37*Z$25)*'Operating Assumptions'!$D$12)/12))))))))</f>
        <v>0</v>
      </c>
      <c r="AA112" s="427">
        <f>-IF(AA$9&lt;'Operating Assumptions'!$D$53,0,IF(AA$6&gt;'Operating Assumptions'!$AA$8,0,IF('Operating Assumptions'!$L37="N/A",0,IF('Operating Assumptions'!$L37="$/Unit/Annual",(('Operating Assumptions'!$M37*AA$25)*AA$36)/12,IF('Operating Assumptions'!$L37="$/Unit/Month",('Operating Assumptions'!$M37*AA$25)*AA$36,IF('Operating Assumptions'!$L37="Fixed Amount",('Operating Assumptions'!$M37*AA$25)/12,IF('Operating Assumptions'!$L37="$/GSF",(('Operating Assumptions'!$M37*AA$25)*'Operating Assumptions'!$D$11)/12,IF('Operating Assumptions'!$L37="$/NSF",(('Operating Assumptions'!$M37*AA$25)*'Operating Assumptions'!$D$12)/12))))))))</f>
        <v>0</v>
      </c>
      <c r="AB112" s="427">
        <f>-IF(AB$9&lt;'Operating Assumptions'!$D$53,0,IF(AB$6&gt;'Operating Assumptions'!$AA$8,0,IF('Operating Assumptions'!$L37="N/A",0,IF('Operating Assumptions'!$L37="$/Unit/Annual",(('Operating Assumptions'!$M37*AB$25)*AB$36)/12,IF('Operating Assumptions'!$L37="$/Unit/Month",('Operating Assumptions'!$M37*AB$25)*AB$36,IF('Operating Assumptions'!$L37="Fixed Amount",('Operating Assumptions'!$M37*AB$25)/12,IF('Operating Assumptions'!$L37="$/GSF",(('Operating Assumptions'!$M37*AB$25)*'Operating Assumptions'!$D$11)/12,IF('Operating Assumptions'!$L37="$/NSF",(('Operating Assumptions'!$M37*AB$25)*'Operating Assumptions'!$D$12)/12))))))))</f>
        <v>0</v>
      </c>
      <c r="AC112" s="427">
        <f>-IF(AC$9&lt;'Operating Assumptions'!$D$53,0,IF(AC$6&gt;'Operating Assumptions'!$AA$8,0,IF('Operating Assumptions'!$L37="N/A",0,IF('Operating Assumptions'!$L37="$/Unit/Annual",(('Operating Assumptions'!$M37*AC$25)*AC$36)/12,IF('Operating Assumptions'!$L37="$/Unit/Month",('Operating Assumptions'!$M37*AC$25)*AC$36,IF('Operating Assumptions'!$L37="Fixed Amount",('Operating Assumptions'!$M37*AC$25)/12,IF('Operating Assumptions'!$L37="$/GSF",(('Operating Assumptions'!$M37*AC$25)*'Operating Assumptions'!$D$11)/12,IF('Operating Assumptions'!$L37="$/NSF",(('Operating Assumptions'!$M37*AC$25)*'Operating Assumptions'!$D$12)/12))))))))</f>
        <v>0</v>
      </c>
      <c r="AD112" s="427">
        <f>-IF(AD$9&lt;'Operating Assumptions'!$D$53,0,IF(AD$6&gt;'Operating Assumptions'!$AA$8,0,IF('Operating Assumptions'!$L37="N/A",0,IF('Operating Assumptions'!$L37="$/Unit/Annual",(('Operating Assumptions'!$M37*AD$25)*AD$36)/12,IF('Operating Assumptions'!$L37="$/Unit/Month",('Operating Assumptions'!$M37*AD$25)*AD$36,IF('Operating Assumptions'!$L37="Fixed Amount",('Operating Assumptions'!$M37*AD$25)/12,IF('Operating Assumptions'!$L37="$/GSF",(('Operating Assumptions'!$M37*AD$25)*'Operating Assumptions'!$D$11)/12,IF('Operating Assumptions'!$L37="$/NSF",(('Operating Assumptions'!$M37*AD$25)*'Operating Assumptions'!$D$12)/12))))))))</f>
        <v>0</v>
      </c>
      <c r="AE112" s="427">
        <f>-IF(AE$9&lt;'Operating Assumptions'!$D$53,0,IF(AE$6&gt;'Operating Assumptions'!$AA$8,0,IF('Operating Assumptions'!$L37="N/A",0,IF('Operating Assumptions'!$L37="$/Unit/Annual",(('Operating Assumptions'!$M37*AE$25)*AE$36)/12,IF('Operating Assumptions'!$L37="$/Unit/Month",('Operating Assumptions'!$M37*AE$25)*AE$36,IF('Operating Assumptions'!$L37="Fixed Amount",('Operating Assumptions'!$M37*AE$25)/12,IF('Operating Assumptions'!$L37="$/GSF",(('Operating Assumptions'!$M37*AE$25)*'Operating Assumptions'!$D$11)/12,IF('Operating Assumptions'!$L37="$/NSF",(('Operating Assumptions'!$M37*AE$25)*'Operating Assumptions'!$D$12)/12))))))))</f>
        <v>0</v>
      </c>
      <c r="AF112" s="427">
        <f>-IF(AF$9&lt;'Operating Assumptions'!$D$53,0,IF(AF$6&gt;'Operating Assumptions'!$AA$8,0,IF('Operating Assumptions'!$L37="N/A",0,IF('Operating Assumptions'!$L37="$/Unit/Annual",(('Operating Assumptions'!$M37*AF$25)*AF$36)/12,IF('Operating Assumptions'!$L37="$/Unit/Month",('Operating Assumptions'!$M37*AF$25)*AF$36,IF('Operating Assumptions'!$L37="Fixed Amount",('Operating Assumptions'!$M37*AF$25)/12,IF('Operating Assumptions'!$L37="$/GSF",(('Operating Assumptions'!$M37*AF$25)*'Operating Assumptions'!$D$11)/12,IF('Operating Assumptions'!$L37="$/NSF",(('Operating Assumptions'!$M37*AF$25)*'Operating Assumptions'!$D$12)/12))))))))</f>
        <v>0</v>
      </c>
      <c r="AG112" s="427">
        <f>-IF(AG$9&lt;'Operating Assumptions'!$D$53,0,IF(AG$6&gt;'Operating Assumptions'!$AA$8,0,IF('Operating Assumptions'!$L37="N/A",0,IF('Operating Assumptions'!$L37="$/Unit/Annual",(('Operating Assumptions'!$M37*AG$25)*AG$36)/12,IF('Operating Assumptions'!$L37="$/Unit/Month",('Operating Assumptions'!$M37*AG$25)*AG$36,IF('Operating Assumptions'!$L37="Fixed Amount",('Operating Assumptions'!$M37*AG$25)/12,IF('Operating Assumptions'!$L37="$/GSF",(('Operating Assumptions'!$M37*AG$25)*'Operating Assumptions'!$D$11)/12,IF('Operating Assumptions'!$L37="$/NSF",(('Operating Assumptions'!$M37*AG$25)*'Operating Assumptions'!$D$12)/12))))))))</f>
        <v>0</v>
      </c>
      <c r="AH112" s="427">
        <f>-IF(AH$9&lt;'Operating Assumptions'!$D$53,0,IF(AH$6&gt;'Operating Assumptions'!$AA$8,0,IF('Operating Assumptions'!$L37="N/A",0,IF('Operating Assumptions'!$L37="$/Unit/Annual",(('Operating Assumptions'!$M37*AH$25)*AH$36)/12,IF('Operating Assumptions'!$L37="$/Unit/Month",('Operating Assumptions'!$M37*AH$25)*AH$36,IF('Operating Assumptions'!$L37="Fixed Amount",('Operating Assumptions'!$M37*AH$25)/12,IF('Operating Assumptions'!$L37="$/GSF",(('Operating Assumptions'!$M37*AH$25)*'Operating Assumptions'!$D$11)/12,IF('Operating Assumptions'!$L37="$/NSF",(('Operating Assumptions'!$M37*AH$25)*'Operating Assumptions'!$D$12)/12))))))))</f>
        <v>0</v>
      </c>
      <c r="AI112" s="427">
        <f>-IF(AI$9&lt;'Operating Assumptions'!$D$53,0,IF(AI$6&gt;'Operating Assumptions'!$AA$8,0,IF('Operating Assumptions'!$L37="N/A",0,IF('Operating Assumptions'!$L37="$/Unit/Annual",(('Operating Assumptions'!$M37*AI$25)*AI$36)/12,IF('Operating Assumptions'!$L37="$/Unit/Month",('Operating Assumptions'!$M37*AI$25)*AI$36,IF('Operating Assumptions'!$L37="Fixed Amount",('Operating Assumptions'!$M37*AI$25)/12,IF('Operating Assumptions'!$L37="$/GSF",(('Operating Assumptions'!$M37*AI$25)*'Operating Assumptions'!$D$11)/12,IF('Operating Assumptions'!$L37="$/NSF",(('Operating Assumptions'!$M37*AI$25)*'Operating Assumptions'!$D$12)/12))))))))</f>
        <v>0</v>
      </c>
      <c r="AJ112" s="427">
        <f>-IF(AJ$9&lt;'Operating Assumptions'!$D$53,0,IF(AJ$6&gt;'Operating Assumptions'!$AA$8,0,IF('Operating Assumptions'!$L37="N/A",0,IF('Operating Assumptions'!$L37="$/Unit/Annual",(('Operating Assumptions'!$M37*AJ$25)*AJ$36)/12,IF('Operating Assumptions'!$L37="$/Unit/Month",('Operating Assumptions'!$M37*AJ$25)*AJ$36,IF('Operating Assumptions'!$L37="Fixed Amount",('Operating Assumptions'!$M37*AJ$25)/12,IF('Operating Assumptions'!$L37="$/GSF",(('Operating Assumptions'!$M37*AJ$25)*'Operating Assumptions'!$D$11)/12,IF('Operating Assumptions'!$L37="$/NSF",(('Operating Assumptions'!$M37*AJ$25)*'Operating Assumptions'!$D$12)/12))))))))</f>
        <v>0</v>
      </c>
      <c r="AK112" s="427">
        <f>-IF(AK$9&lt;'Operating Assumptions'!$D$53,0,IF(AK$6&gt;'Operating Assumptions'!$AA$8,0,IF('Operating Assumptions'!$L37="N/A",0,IF('Operating Assumptions'!$L37="$/Unit/Annual",(('Operating Assumptions'!$M37*AK$25)*AK$36)/12,IF('Operating Assumptions'!$L37="$/Unit/Month",('Operating Assumptions'!$M37*AK$25)*AK$36,IF('Operating Assumptions'!$L37="Fixed Amount",('Operating Assumptions'!$M37*AK$25)/12,IF('Operating Assumptions'!$L37="$/GSF",(('Operating Assumptions'!$M37*AK$25)*'Operating Assumptions'!$D$11)/12,IF('Operating Assumptions'!$L37="$/NSF",(('Operating Assumptions'!$M37*AK$25)*'Operating Assumptions'!$D$12)/12))))))))</f>
        <v>0</v>
      </c>
      <c r="AL112" s="427">
        <f>-IF(AL$9&lt;'Operating Assumptions'!$D$53,0,IF(AL$6&gt;'Operating Assumptions'!$AA$8,0,IF('Operating Assumptions'!$L37="N/A",0,IF('Operating Assumptions'!$L37="$/Unit/Annual",(('Operating Assumptions'!$M37*AL$25)*AL$36)/12,IF('Operating Assumptions'!$L37="$/Unit/Month",('Operating Assumptions'!$M37*AL$25)*AL$36,IF('Operating Assumptions'!$L37="Fixed Amount",('Operating Assumptions'!$M37*AL$25)/12,IF('Operating Assumptions'!$L37="$/GSF",(('Operating Assumptions'!$M37*AL$25)*'Operating Assumptions'!$D$11)/12,IF('Operating Assumptions'!$L37="$/NSF",(('Operating Assumptions'!$M37*AL$25)*'Operating Assumptions'!$D$12)/12))))))))</f>
        <v>0</v>
      </c>
      <c r="AM112" s="427">
        <f>-IF(AM$9&lt;'Operating Assumptions'!$D$53,0,IF(AM$6&gt;'Operating Assumptions'!$AA$8,0,IF('Operating Assumptions'!$L37="N/A",0,IF('Operating Assumptions'!$L37="$/Unit/Annual",(('Operating Assumptions'!$M37*AM$25)*AM$36)/12,IF('Operating Assumptions'!$L37="$/Unit/Month",('Operating Assumptions'!$M37*AM$25)*AM$36,IF('Operating Assumptions'!$L37="Fixed Amount",('Operating Assumptions'!$M37*AM$25)/12,IF('Operating Assumptions'!$L37="$/GSF",(('Operating Assumptions'!$M37*AM$25)*'Operating Assumptions'!$D$11)/12,IF('Operating Assumptions'!$L37="$/NSF",(('Operating Assumptions'!$M37*AM$25)*'Operating Assumptions'!$D$12)/12))))))))</f>
        <v>0</v>
      </c>
      <c r="AN112" s="427">
        <f>-IF(AN$9&lt;'Operating Assumptions'!$D$53,0,IF(AN$6&gt;'Operating Assumptions'!$AA$8,0,IF('Operating Assumptions'!$L37="N/A",0,IF('Operating Assumptions'!$L37="$/Unit/Annual",(('Operating Assumptions'!$M37*AN$25)*AN$36)/12,IF('Operating Assumptions'!$L37="$/Unit/Month",('Operating Assumptions'!$M37*AN$25)*AN$36,IF('Operating Assumptions'!$L37="Fixed Amount",('Operating Assumptions'!$M37*AN$25)/12,IF('Operating Assumptions'!$L37="$/GSF",(('Operating Assumptions'!$M37*AN$25)*'Operating Assumptions'!$D$11)/12,IF('Operating Assumptions'!$L37="$/NSF",(('Operating Assumptions'!$M37*AN$25)*'Operating Assumptions'!$D$12)/12))))))))</f>
        <v>0</v>
      </c>
      <c r="AO112" s="427">
        <f>-IF(AO$9&lt;'Operating Assumptions'!$D$53,0,IF(AO$6&gt;'Operating Assumptions'!$AA$8,0,IF('Operating Assumptions'!$L37="N/A",0,IF('Operating Assumptions'!$L37="$/Unit/Annual",(('Operating Assumptions'!$M37*AO$25)*AO$36)/12,IF('Operating Assumptions'!$L37="$/Unit/Month",('Operating Assumptions'!$M37*AO$25)*AO$36,IF('Operating Assumptions'!$L37="Fixed Amount",('Operating Assumptions'!$M37*AO$25)/12,IF('Operating Assumptions'!$L37="$/GSF",(('Operating Assumptions'!$M37*AO$25)*'Operating Assumptions'!$D$11)/12,IF('Operating Assumptions'!$L37="$/NSF",(('Operating Assumptions'!$M37*AO$25)*'Operating Assumptions'!$D$12)/12))))))))</f>
        <v>0</v>
      </c>
      <c r="AP112" s="427">
        <f>-IF(AP$9&lt;'Operating Assumptions'!$D$53,0,IF(AP$6&gt;'Operating Assumptions'!$AA$8,0,IF('Operating Assumptions'!$L37="N/A",0,IF('Operating Assumptions'!$L37="$/Unit/Annual",(('Operating Assumptions'!$M37*AP$25)*AP$36)/12,IF('Operating Assumptions'!$L37="$/Unit/Month",('Operating Assumptions'!$M37*AP$25)*AP$36,IF('Operating Assumptions'!$L37="Fixed Amount",('Operating Assumptions'!$M37*AP$25)/12,IF('Operating Assumptions'!$L37="$/GSF",(('Operating Assumptions'!$M37*AP$25)*'Operating Assumptions'!$D$11)/12,IF('Operating Assumptions'!$L37="$/NSF",(('Operating Assumptions'!$M37*AP$25)*'Operating Assumptions'!$D$12)/12))))))))</f>
        <v>0</v>
      </c>
      <c r="AQ112" s="427">
        <f>-IF(AQ$9&lt;'Operating Assumptions'!$D$53,0,IF(AQ$6&gt;'Operating Assumptions'!$AA$8,0,IF('Operating Assumptions'!$L37="N/A",0,IF('Operating Assumptions'!$L37="$/Unit/Annual",(('Operating Assumptions'!$M37*AQ$25)*AQ$36)/12,IF('Operating Assumptions'!$L37="$/Unit/Month",('Operating Assumptions'!$M37*AQ$25)*AQ$36,IF('Operating Assumptions'!$L37="Fixed Amount",('Operating Assumptions'!$M37*AQ$25)/12,IF('Operating Assumptions'!$L37="$/GSF",(('Operating Assumptions'!$M37*AQ$25)*'Operating Assumptions'!$D$11)/12,IF('Operating Assumptions'!$L37="$/NSF",(('Operating Assumptions'!$M37*AQ$25)*'Operating Assumptions'!$D$12)/12))))))))</f>
        <v>0</v>
      </c>
      <c r="AR112" s="427">
        <f>-IF(AR$9&lt;'Operating Assumptions'!$D$53,0,IF(AR$6&gt;'Operating Assumptions'!$AA$8,0,IF('Operating Assumptions'!$L37="N/A",0,IF('Operating Assumptions'!$L37="$/Unit/Annual",(('Operating Assumptions'!$M37*AR$25)*AR$36)/12,IF('Operating Assumptions'!$L37="$/Unit/Month",('Operating Assumptions'!$M37*AR$25)*AR$36,IF('Operating Assumptions'!$L37="Fixed Amount",('Operating Assumptions'!$M37*AR$25)/12,IF('Operating Assumptions'!$L37="$/GSF",(('Operating Assumptions'!$M37*AR$25)*'Operating Assumptions'!$D$11)/12,IF('Operating Assumptions'!$L37="$/NSF",(('Operating Assumptions'!$M37*AR$25)*'Operating Assumptions'!$D$12)/12))))))))</f>
        <v>0</v>
      </c>
      <c r="AS112" s="427">
        <f>-IF(AS$9&lt;'Operating Assumptions'!$D$53,0,IF(AS$6&gt;'Operating Assumptions'!$AA$8,0,IF('Operating Assumptions'!$L37="N/A",0,IF('Operating Assumptions'!$L37="$/Unit/Annual",(('Operating Assumptions'!$M37*AS$25)*AS$36)/12,IF('Operating Assumptions'!$L37="$/Unit/Month",('Operating Assumptions'!$M37*AS$25)*AS$36,IF('Operating Assumptions'!$L37="Fixed Amount",('Operating Assumptions'!$M37*AS$25)/12,IF('Operating Assumptions'!$L37="$/GSF",(('Operating Assumptions'!$M37*AS$25)*'Operating Assumptions'!$D$11)/12,IF('Operating Assumptions'!$L37="$/NSF",(('Operating Assumptions'!$M37*AS$25)*'Operating Assumptions'!$D$12)/12))))))))</f>
        <v>0</v>
      </c>
      <c r="AT112" s="427">
        <f>-IF(AT$9&lt;'Operating Assumptions'!$D$53,0,IF(AT$6&gt;'Operating Assumptions'!$AA$8,0,IF('Operating Assumptions'!$L37="N/A",0,IF('Operating Assumptions'!$L37="$/Unit/Annual",(('Operating Assumptions'!$M37*AT$25)*AT$36)/12,IF('Operating Assumptions'!$L37="$/Unit/Month",('Operating Assumptions'!$M37*AT$25)*AT$36,IF('Operating Assumptions'!$L37="Fixed Amount",('Operating Assumptions'!$M37*AT$25)/12,IF('Operating Assumptions'!$L37="$/GSF",(('Operating Assumptions'!$M37*AT$25)*'Operating Assumptions'!$D$11)/12,IF('Operating Assumptions'!$L37="$/NSF",(('Operating Assumptions'!$M37*AT$25)*'Operating Assumptions'!$D$12)/12))))))))</f>
        <v>0</v>
      </c>
      <c r="AU112" s="427">
        <f>-IF(AU$9&lt;'Operating Assumptions'!$D$53,0,IF(AU$6&gt;'Operating Assumptions'!$AA$8,0,IF('Operating Assumptions'!$L37="N/A",0,IF('Operating Assumptions'!$L37="$/Unit/Annual",(('Operating Assumptions'!$M37*AU$25)*AU$36)/12,IF('Operating Assumptions'!$L37="$/Unit/Month",('Operating Assumptions'!$M37*AU$25)*AU$36,IF('Operating Assumptions'!$L37="Fixed Amount",('Operating Assumptions'!$M37*AU$25)/12,IF('Operating Assumptions'!$L37="$/GSF",(('Operating Assumptions'!$M37*AU$25)*'Operating Assumptions'!$D$11)/12,IF('Operating Assumptions'!$L37="$/NSF",(('Operating Assumptions'!$M37*AU$25)*'Operating Assumptions'!$D$12)/12))))))))</f>
        <v>0</v>
      </c>
      <c r="AV112" s="427">
        <f>-IF(AV$9&lt;'Operating Assumptions'!$D$53,0,IF(AV$6&gt;'Operating Assumptions'!$AA$8,0,IF('Operating Assumptions'!$L37="N/A",0,IF('Operating Assumptions'!$L37="$/Unit/Annual",(('Operating Assumptions'!$M37*AV$25)*AV$36)/12,IF('Operating Assumptions'!$L37="$/Unit/Month",('Operating Assumptions'!$M37*AV$25)*AV$36,IF('Operating Assumptions'!$L37="Fixed Amount",('Operating Assumptions'!$M37*AV$25)/12,IF('Operating Assumptions'!$L37="$/GSF",(('Operating Assumptions'!$M37*AV$25)*'Operating Assumptions'!$D$11)/12,IF('Operating Assumptions'!$L37="$/NSF",(('Operating Assumptions'!$M37*AV$25)*'Operating Assumptions'!$D$12)/12))))))))</f>
        <v>0</v>
      </c>
      <c r="AW112" s="427">
        <f>-IF(AW$9&lt;'Operating Assumptions'!$D$53,0,IF(AW$6&gt;'Operating Assumptions'!$AA$8,0,IF('Operating Assumptions'!$L37="N/A",0,IF('Operating Assumptions'!$L37="$/Unit/Annual",(('Operating Assumptions'!$M37*AW$25)*AW$36)/12,IF('Operating Assumptions'!$L37="$/Unit/Month",('Operating Assumptions'!$M37*AW$25)*AW$36,IF('Operating Assumptions'!$L37="Fixed Amount",('Operating Assumptions'!$M37*AW$25)/12,IF('Operating Assumptions'!$L37="$/GSF",(('Operating Assumptions'!$M37*AW$25)*'Operating Assumptions'!$D$11)/12,IF('Operating Assumptions'!$L37="$/NSF",(('Operating Assumptions'!$M37*AW$25)*'Operating Assumptions'!$D$12)/12))))))))</f>
        <v>0</v>
      </c>
      <c r="AX112" s="427">
        <f>-IF(AX$9&lt;'Operating Assumptions'!$D$53,0,IF(AX$6&gt;'Operating Assumptions'!$AA$8,0,IF('Operating Assumptions'!$L37="N/A",0,IF('Operating Assumptions'!$L37="$/Unit/Annual",(('Operating Assumptions'!$M37*AX$25)*AX$36)/12,IF('Operating Assumptions'!$L37="$/Unit/Month",('Operating Assumptions'!$M37*AX$25)*AX$36,IF('Operating Assumptions'!$L37="Fixed Amount",('Operating Assumptions'!$M37*AX$25)/12,IF('Operating Assumptions'!$L37="$/GSF",(('Operating Assumptions'!$M37*AX$25)*'Operating Assumptions'!$D$11)/12,IF('Operating Assumptions'!$L37="$/NSF",(('Operating Assumptions'!$M37*AX$25)*'Operating Assumptions'!$D$12)/12))))))))</f>
        <v>0</v>
      </c>
      <c r="AY112" s="427">
        <f>-IF(AY$9&lt;'Operating Assumptions'!$D$53,0,IF(AY$6&gt;'Operating Assumptions'!$AA$8,0,IF('Operating Assumptions'!$L37="N/A",0,IF('Operating Assumptions'!$L37="$/Unit/Annual",(('Operating Assumptions'!$M37*AY$25)*AY$36)/12,IF('Operating Assumptions'!$L37="$/Unit/Month",('Operating Assumptions'!$M37*AY$25)*AY$36,IF('Operating Assumptions'!$L37="Fixed Amount",('Operating Assumptions'!$M37*AY$25)/12,IF('Operating Assumptions'!$L37="$/GSF",(('Operating Assumptions'!$M37*AY$25)*'Operating Assumptions'!$D$11)/12,IF('Operating Assumptions'!$L37="$/NSF",(('Operating Assumptions'!$M37*AY$25)*'Operating Assumptions'!$D$12)/12))))))))</f>
        <v>0</v>
      </c>
      <c r="AZ112" s="427">
        <f>-IF(AZ$9&lt;'Operating Assumptions'!$D$53,0,IF(AZ$6&gt;'Operating Assumptions'!$AA$8,0,IF('Operating Assumptions'!$L37="N/A",0,IF('Operating Assumptions'!$L37="$/Unit/Annual",(('Operating Assumptions'!$M37*AZ$25)*AZ$36)/12,IF('Operating Assumptions'!$L37="$/Unit/Month",('Operating Assumptions'!$M37*AZ$25)*AZ$36,IF('Operating Assumptions'!$L37="Fixed Amount",('Operating Assumptions'!$M37*AZ$25)/12,IF('Operating Assumptions'!$L37="$/GSF",(('Operating Assumptions'!$M37*AZ$25)*'Operating Assumptions'!$D$11)/12,IF('Operating Assumptions'!$L37="$/NSF",(('Operating Assumptions'!$M37*AZ$25)*'Operating Assumptions'!$D$12)/12))))))))</f>
        <v>0</v>
      </c>
      <c r="BA112" s="427">
        <f>-IF(BA$9&lt;'Operating Assumptions'!$D$53,0,IF(BA$6&gt;'Operating Assumptions'!$AA$8,0,IF('Operating Assumptions'!$L37="N/A",0,IF('Operating Assumptions'!$L37="$/Unit/Annual",(('Operating Assumptions'!$M37*BA$25)*BA$36)/12,IF('Operating Assumptions'!$L37="$/Unit/Month",('Operating Assumptions'!$M37*BA$25)*BA$36,IF('Operating Assumptions'!$L37="Fixed Amount",('Operating Assumptions'!$M37*BA$25)/12,IF('Operating Assumptions'!$L37="$/GSF",(('Operating Assumptions'!$M37*BA$25)*'Operating Assumptions'!$D$11)/12,IF('Operating Assumptions'!$L37="$/NSF",(('Operating Assumptions'!$M37*BA$25)*'Operating Assumptions'!$D$12)/12))))))))</f>
        <v>0</v>
      </c>
      <c r="BB112" s="427">
        <f>-IF(BB$9&lt;'Operating Assumptions'!$D$53,0,IF(BB$6&gt;'Operating Assumptions'!$AA$8,0,IF('Operating Assumptions'!$L37="N/A",0,IF('Operating Assumptions'!$L37="$/Unit/Annual",(('Operating Assumptions'!$M37*BB$25)*BB$36)/12,IF('Operating Assumptions'!$L37="$/Unit/Month",('Operating Assumptions'!$M37*BB$25)*BB$36,IF('Operating Assumptions'!$L37="Fixed Amount",('Operating Assumptions'!$M37*BB$25)/12,IF('Operating Assumptions'!$L37="$/GSF",(('Operating Assumptions'!$M37*BB$25)*'Operating Assumptions'!$D$11)/12,IF('Operating Assumptions'!$L37="$/NSF",(('Operating Assumptions'!$M37*BB$25)*'Operating Assumptions'!$D$12)/12))))))))</f>
        <v>0</v>
      </c>
      <c r="BC112" s="427">
        <f>-IF(BC$9&lt;'Operating Assumptions'!$D$53,0,IF(BC$6&gt;'Operating Assumptions'!$AA$8,0,IF('Operating Assumptions'!$L37="N/A",0,IF('Operating Assumptions'!$L37="$/Unit/Annual",(('Operating Assumptions'!$M37*BC$25)*BC$36)/12,IF('Operating Assumptions'!$L37="$/Unit/Month",('Operating Assumptions'!$M37*BC$25)*BC$36,IF('Operating Assumptions'!$L37="Fixed Amount",('Operating Assumptions'!$M37*BC$25)/12,IF('Operating Assumptions'!$L37="$/GSF",(('Operating Assumptions'!$M37*BC$25)*'Operating Assumptions'!$D$11)/12,IF('Operating Assumptions'!$L37="$/NSF",(('Operating Assumptions'!$M37*BC$25)*'Operating Assumptions'!$D$12)/12))))))))</f>
        <v>0</v>
      </c>
      <c r="BD112" s="427">
        <f>-IF(BD$9&lt;'Operating Assumptions'!$D$53,0,IF(BD$6&gt;'Operating Assumptions'!$AA$8,0,IF('Operating Assumptions'!$L37="N/A",0,IF('Operating Assumptions'!$L37="$/Unit/Annual",(('Operating Assumptions'!$M37*BD$25)*BD$36)/12,IF('Operating Assumptions'!$L37="$/Unit/Month",('Operating Assumptions'!$M37*BD$25)*BD$36,IF('Operating Assumptions'!$L37="Fixed Amount",('Operating Assumptions'!$M37*BD$25)/12,IF('Operating Assumptions'!$L37="$/GSF",(('Operating Assumptions'!$M37*BD$25)*'Operating Assumptions'!$D$11)/12,IF('Operating Assumptions'!$L37="$/NSF",(('Operating Assumptions'!$M37*BD$25)*'Operating Assumptions'!$D$12)/12))))))))</f>
        <v>0</v>
      </c>
      <c r="BE112" s="427">
        <f>-IF(BE$9&lt;'Operating Assumptions'!$D$53,0,IF(BE$6&gt;'Operating Assumptions'!$AA$8,0,IF('Operating Assumptions'!$L37="N/A",0,IF('Operating Assumptions'!$L37="$/Unit/Annual",(('Operating Assumptions'!$M37*BE$25)*BE$36)/12,IF('Operating Assumptions'!$L37="$/Unit/Month",('Operating Assumptions'!$M37*BE$25)*BE$36,IF('Operating Assumptions'!$L37="Fixed Amount",('Operating Assumptions'!$M37*BE$25)/12,IF('Operating Assumptions'!$L37="$/GSF",(('Operating Assumptions'!$M37*BE$25)*'Operating Assumptions'!$D$11)/12,IF('Operating Assumptions'!$L37="$/NSF",(('Operating Assumptions'!$M37*BE$25)*'Operating Assumptions'!$D$12)/12))))))))</f>
        <v>0</v>
      </c>
      <c r="BF112" s="427">
        <f>-IF(BF$9&lt;'Operating Assumptions'!$D$53,0,IF(BF$6&gt;'Operating Assumptions'!$AA$8,0,IF('Operating Assumptions'!$L37="N/A",0,IF('Operating Assumptions'!$L37="$/Unit/Annual",(('Operating Assumptions'!$M37*BF$25)*BF$36)/12,IF('Operating Assumptions'!$L37="$/Unit/Month",('Operating Assumptions'!$M37*BF$25)*BF$36,IF('Operating Assumptions'!$L37="Fixed Amount",('Operating Assumptions'!$M37*BF$25)/12,IF('Operating Assumptions'!$L37="$/GSF",(('Operating Assumptions'!$M37*BF$25)*'Operating Assumptions'!$D$11)/12,IF('Operating Assumptions'!$L37="$/NSF",(('Operating Assumptions'!$M37*BF$25)*'Operating Assumptions'!$D$12)/12))))))))</f>
        <v>0</v>
      </c>
      <c r="BG112" s="427">
        <f>-IF(BG$9&lt;'Operating Assumptions'!$D$53,0,IF(BG$6&gt;'Operating Assumptions'!$AA$8,0,IF('Operating Assumptions'!$L37="N/A",0,IF('Operating Assumptions'!$L37="$/Unit/Annual",(('Operating Assumptions'!$M37*BG$25)*BG$36)/12,IF('Operating Assumptions'!$L37="$/Unit/Month",('Operating Assumptions'!$M37*BG$25)*BG$36,IF('Operating Assumptions'!$L37="Fixed Amount",('Operating Assumptions'!$M37*BG$25)/12,IF('Operating Assumptions'!$L37="$/GSF",(('Operating Assumptions'!$M37*BG$25)*'Operating Assumptions'!$D$11)/12,IF('Operating Assumptions'!$L37="$/NSF",(('Operating Assumptions'!$M37*BG$25)*'Operating Assumptions'!$D$12)/12))))))))</f>
        <v>0</v>
      </c>
      <c r="BH112" s="427">
        <f>-IF(BH$9&lt;'Operating Assumptions'!$D$53,0,IF(BH$6&gt;'Operating Assumptions'!$AA$8,0,IF('Operating Assumptions'!$L37="N/A",0,IF('Operating Assumptions'!$L37="$/Unit/Annual",(('Operating Assumptions'!$M37*BH$25)*BH$36)/12,IF('Operating Assumptions'!$L37="$/Unit/Month",('Operating Assumptions'!$M37*BH$25)*BH$36,IF('Operating Assumptions'!$L37="Fixed Amount",('Operating Assumptions'!$M37*BH$25)/12,IF('Operating Assumptions'!$L37="$/GSF",(('Operating Assumptions'!$M37*BH$25)*'Operating Assumptions'!$D$11)/12,IF('Operating Assumptions'!$L37="$/NSF",(('Operating Assumptions'!$M37*BH$25)*'Operating Assumptions'!$D$12)/12))))))))</f>
        <v>0</v>
      </c>
      <c r="BI112" s="427">
        <f>-IF(BI$9&lt;'Operating Assumptions'!$D$53,0,IF(BI$6&gt;'Operating Assumptions'!$AA$8,0,IF('Operating Assumptions'!$L37="N/A",0,IF('Operating Assumptions'!$L37="$/Unit/Annual",(('Operating Assumptions'!$M37*BI$25)*BI$36)/12,IF('Operating Assumptions'!$L37="$/Unit/Month",('Operating Assumptions'!$M37*BI$25)*BI$36,IF('Operating Assumptions'!$L37="Fixed Amount",('Operating Assumptions'!$M37*BI$25)/12,IF('Operating Assumptions'!$L37="$/GSF",(('Operating Assumptions'!$M37*BI$25)*'Operating Assumptions'!$D$11)/12,IF('Operating Assumptions'!$L37="$/NSF",(('Operating Assumptions'!$M37*BI$25)*'Operating Assumptions'!$D$12)/12))))))))</f>
        <v>0</v>
      </c>
      <c r="BJ112" s="427">
        <f>-IF(BJ$9&lt;'Operating Assumptions'!$D$53,0,IF(BJ$6&gt;'Operating Assumptions'!$AA$8,0,IF('Operating Assumptions'!$L37="N/A",0,IF('Operating Assumptions'!$L37="$/Unit/Annual",(('Operating Assumptions'!$M37*BJ$25)*BJ$36)/12,IF('Operating Assumptions'!$L37="$/Unit/Month",('Operating Assumptions'!$M37*BJ$25)*BJ$36,IF('Operating Assumptions'!$L37="Fixed Amount",('Operating Assumptions'!$M37*BJ$25)/12,IF('Operating Assumptions'!$L37="$/GSF",(('Operating Assumptions'!$M37*BJ$25)*'Operating Assumptions'!$D$11)/12,IF('Operating Assumptions'!$L37="$/NSF",(('Operating Assumptions'!$M37*BJ$25)*'Operating Assumptions'!$D$12)/12))))))))</f>
        <v>0</v>
      </c>
      <c r="BK112" s="427">
        <f>-IF(BK$9&lt;'Operating Assumptions'!$D$53,0,IF(BK$6&gt;'Operating Assumptions'!$AA$8,0,IF('Operating Assumptions'!$L37="N/A",0,IF('Operating Assumptions'!$L37="$/Unit/Annual",(('Operating Assumptions'!$M37*BK$25)*BK$36)/12,IF('Operating Assumptions'!$L37="$/Unit/Month",('Operating Assumptions'!$M37*BK$25)*BK$36,IF('Operating Assumptions'!$L37="Fixed Amount",('Operating Assumptions'!$M37*BK$25)/12,IF('Operating Assumptions'!$L37="$/GSF",(('Operating Assumptions'!$M37*BK$25)*'Operating Assumptions'!$D$11)/12,IF('Operating Assumptions'!$L37="$/NSF",(('Operating Assumptions'!$M37*BK$25)*'Operating Assumptions'!$D$12)/12))))))))</f>
        <v>0</v>
      </c>
      <c r="BL112" s="427">
        <f>-IF(BL$9&lt;'Operating Assumptions'!$D$53,0,IF(BL$6&gt;'Operating Assumptions'!$AA$8,0,IF('Operating Assumptions'!$L37="N/A",0,IF('Operating Assumptions'!$L37="$/Unit/Annual",(('Operating Assumptions'!$M37*BL$25)*BL$36)/12,IF('Operating Assumptions'!$L37="$/Unit/Month",('Operating Assumptions'!$M37*BL$25)*BL$36,IF('Operating Assumptions'!$L37="Fixed Amount",('Operating Assumptions'!$M37*BL$25)/12,IF('Operating Assumptions'!$L37="$/GSF",(('Operating Assumptions'!$M37*BL$25)*'Operating Assumptions'!$D$11)/12,IF('Operating Assumptions'!$L37="$/NSF",(('Operating Assumptions'!$M37*BL$25)*'Operating Assumptions'!$D$12)/12))))))))</f>
        <v>0</v>
      </c>
      <c r="BM112" s="427">
        <f>-IF(BM$9&lt;'Operating Assumptions'!$D$53,0,IF(BM$6&gt;'Operating Assumptions'!$AA$8,0,IF('Operating Assumptions'!$L37="N/A",0,IF('Operating Assumptions'!$L37="$/Unit/Annual",(('Operating Assumptions'!$M37*BM$25)*BM$36)/12,IF('Operating Assumptions'!$L37="$/Unit/Month",('Operating Assumptions'!$M37*BM$25)*BM$36,IF('Operating Assumptions'!$L37="Fixed Amount",('Operating Assumptions'!$M37*BM$25)/12,IF('Operating Assumptions'!$L37="$/GSF",(('Operating Assumptions'!$M37*BM$25)*'Operating Assumptions'!$D$11)/12,IF('Operating Assumptions'!$L37="$/NSF",(('Operating Assumptions'!$M37*BM$25)*'Operating Assumptions'!$D$12)/12))))))))</f>
        <v>0</v>
      </c>
      <c r="BN112" s="427">
        <f>-IF(BN$9&lt;'Operating Assumptions'!$D$53,0,IF(BN$6&gt;'Operating Assumptions'!$AA$8,0,IF('Operating Assumptions'!$L37="N/A",0,IF('Operating Assumptions'!$L37="$/Unit/Annual",(('Operating Assumptions'!$M37*BN$25)*BN$36)/12,IF('Operating Assumptions'!$L37="$/Unit/Month",('Operating Assumptions'!$M37*BN$25)*BN$36,IF('Operating Assumptions'!$L37="Fixed Amount",('Operating Assumptions'!$M37*BN$25)/12,IF('Operating Assumptions'!$L37="$/GSF",(('Operating Assumptions'!$M37*BN$25)*'Operating Assumptions'!$D$11)/12,IF('Operating Assumptions'!$L37="$/NSF",(('Operating Assumptions'!$M37*BN$25)*'Operating Assumptions'!$D$12)/12))))))))</f>
        <v>0</v>
      </c>
      <c r="BO112" s="427">
        <f>-IF(BO$9&lt;'Operating Assumptions'!$D$53,0,IF(BO$6&gt;'Operating Assumptions'!$AA$8,0,IF('Operating Assumptions'!$L37="N/A",0,IF('Operating Assumptions'!$L37="$/Unit/Annual",(('Operating Assumptions'!$M37*BO$25)*BO$36)/12,IF('Operating Assumptions'!$L37="$/Unit/Month",('Operating Assumptions'!$M37*BO$25)*BO$36,IF('Operating Assumptions'!$L37="Fixed Amount",('Operating Assumptions'!$M37*BO$25)/12,IF('Operating Assumptions'!$L37="$/GSF",(('Operating Assumptions'!$M37*BO$25)*'Operating Assumptions'!$D$11)/12,IF('Operating Assumptions'!$L37="$/NSF",(('Operating Assumptions'!$M37*BO$25)*'Operating Assumptions'!$D$12)/12))))))))</f>
        <v>0</v>
      </c>
      <c r="BP112" s="427">
        <f>-IF(BP$9&lt;'Operating Assumptions'!$D$53,0,IF(BP$6&gt;'Operating Assumptions'!$AA$8,0,IF('Operating Assumptions'!$L37="N/A",0,IF('Operating Assumptions'!$L37="$/Unit/Annual",(('Operating Assumptions'!$M37*BP$25)*BP$36)/12,IF('Operating Assumptions'!$L37="$/Unit/Month",('Operating Assumptions'!$M37*BP$25)*BP$36,IF('Operating Assumptions'!$L37="Fixed Amount",('Operating Assumptions'!$M37*BP$25)/12,IF('Operating Assumptions'!$L37="$/GSF",(('Operating Assumptions'!$M37*BP$25)*'Operating Assumptions'!$D$11)/12,IF('Operating Assumptions'!$L37="$/NSF",(('Operating Assumptions'!$M37*BP$25)*'Operating Assumptions'!$D$12)/12))))))))</f>
        <v>0</v>
      </c>
      <c r="BQ112" s="427">
        <f>-IF(BQ$9&lt;'Operating Assumptions'!$D$53,0,IF(BQ$6&gt;'Operating Assumptions'!$AA$8,0,IF('Operating Assumptions'!$L37="N/A",0,IF('Operating Assumptions'!$L37="$/Unit/Annual",(('Operating Assumptions'!$M37*BQ$25)*BQ$36)/12,IF('Operating Assumptions'!$L37="$/Unit/Month",('Operating Assumptions'!$M37*BQ$25)*BQ$36,IF('Operating Assumptions'!$L37="Fixed Amount",('Operating Assumptions'!$M37*BQ$25)/12,IF('Operating Assumptions'!$L37="$/GSF",(('Operating Assumptions'!$M37*BQ$25)*'Operating Assumptions'!$D$11)/12,IF('Operating Assumptions'!$L37="$/NSF",(('Operating Assumptions'!$M37*BQ$25)*'Operating Assumptions'!$D$12)/12))))))))</f>
        <v>0</v>
      </c>
      <c r="BR112" s="427">
        <f>-IF(BR$9&lt;'Operating Assumptions'!$D$53,0,IF(BR$6&gt;'Operating Assumptions'!$AA$8,0,IF('Operating Assumptions'!$L37="N/A",0,IF('Operating Assumptions'!$L37="$/Unit/Annual",(('Operating Assumptions'!$M37*BR$25)*BR$36)/12,IF('Operating Assumptions'!$L37="$/Unit/Month",('Operating Assumptions'!$M37*BR$25)*BR$36,IF('Operating Assumptions'!$L37="Fixed Amount",('Operating Assumptions'!$M37*BR$25)/12,IF('Operating Assumptions'!$L37="$/GSF",(('Operating Assumptions'!$M37*BR$25)*'Operating Assumptions'!$D$11)/12,IF('Operating Assumptions'!$L37="$/NSF",(('Operating Assumptions'!$M37*BR$25)*'Operating Assumptions'!$D$12)/12))))))))</f>
        <v>0</v>
      </c>
      <c r="BS112" s="427">
        <f>-IF(BS$9&lt;'Operating Assumptions'!$D$53,0,IF(BS$6&gt;'Operating Assumptions'!$AA$8,0,IF('Operating Assumptions'!$L37="N/A",0,IF('Operating Assumptions'!$L37="$/Unit/Annual",(('Operating Assumptions'!$M37*BS$25)*BS$36)/12,IF('Operating Assumptions'!$L37="$/Unit/Month",('Operating Assumptions'!$M37*BS$25)*BS$36,IF('Operating Assumptions'!$L37="Fixed Amount",('Operating Assumptions'!$M37*BS$25)/12,IF('Operating Assumptions'!$L37="$/GSF",(('Operating Assumptions'!$M37*BS$25)*'Operating Assumptions'!$D$11)/12,IF('Operating Assumptions'!$L37="$/NSF",(('Operating Assumptions'!$M37*BS$25)*'Operating Assumptions'!$D$12)/12))))))))</f>
        <v>0</v>
      </c>
      <c r="BT112" s="427">
        <f>-IF(BT$9&lt;'Operating Assumptions'!$D$53,0,IF(BT$6&gt;'Operating Assumptions'!$AA$8,0,IF('Operating Assumptions'!$L37="N/A",0,IF('Operating Assumptions'!$L37="$/Unit/Annual",(('Operating Assumptions'!$M37*BT$25)*BT$36)/12,IF('Operating Assumptions'!$L37="$/Unit/Month",('Operating Assumptions'!$M37*BT$25)*BT$36,IF('Operating Assumptions'!$L37="Fixed Amount",('Operating Assumptions'!$M37*BT$25)/12,IF('Operating Assumptions'!$L37="$/GSF",(('Operating Assumptions'!$M37*BT$25)*'Operating Assumptions'!$D$11)/12,IF('Operating Assumptions'!$L37="$/NSF",(('Operating Assumptions'!$M37*BT$25)*'Operating Assumptions'!$D$12)/12))))))))</f>
        <v>0</v>
      </c>
      <c r="BU112" s="427">
        <f>-IF(BU$9&lt;'Operating Assumptions'!$D$53,0,IF(BU$6&gt;'Operating Assumptions'!$AA$8,0,IF('Operating Assumptions'!$L37="N/A",0,IF('Operating Assumptions'!$L37="$/Unit/Annual",(('Operating Assumptions'!$M37*BU$25)*BU$36)/12,IF('Operating Assumptions'!$L37="$/Unit/Month",('Operating Assumptions'!$M37*BU$25)*BU$36,IF('Operating Assumptions'!$L37="Fixed Amount",('Operating Assumptions'!$M37*BU$25)/12,IF('Operating Assumptions'!$L37="$/GSF",(('Operating Assumptions'!$M37*BU$25)*'Operating Assumptions'!$D$11)/12,IF('Operating Assumptions'!$L37="$/NSF",(('Operating Assumptions'!$M37*BU$25)*'Operating Assumptions'!$D$12)/12))))))))</f>
        <v>0</v>
      </c>
      <c r="BV112" s="427">
        <f>-IF(BV$9&lt;'Operating Assumptions'!$D$53,0,IF(BV$6&gt;'Operating Assumptions'!$AA$8,0,IF('Operating Assumptions'!$L37="N/A",0,IF('Operating Assumptions'!$L37="$/Unit/Annual",(('Operating Assumptions'!$M37*BV$25)*BV$36)/12,IF('Operating Assumptions'!$L37="$/Unit/Month",('Operating Assumptions'!$M37*BV$25)*BV$36,IF('Operating Assumptions'!$L37="Fixed Amount",('Operating Assumptions'!$M37*BV$25)/12,IF('Operating Assumptions'!$L37="$/GSF",(('Operating Assumptions'!$M37*BV$25)*'Operating Assumptions'!$D$11)/12,IF('Operating Assumptions'!$L37="$/NSF",(('Operating Assumptions'!$M37*BV$25)*'Operating Assumptions'!$D$12)/12))))))))</f>
        <v>0</v>
      </c>
      <c r="BW112" s="427">
        <f>-IF(BW$9&lt;'Operating Assumptions'!$D$53,0,IF(BW$6&gt;'Operating Assumptions'!$AA$8,0,IF('Operating Assumptions'!$L37="N/A",0,IF('Operating Assumptions'!$L37="$/Unit/Annual",(('Operating Assumptions'!$M37*BW$25)*BW$36)/12,IF('Operating Assumptions'!$L37="$/Unit/Month",('Operating Assumptions'!$M37*BW$25)*BW$36,IF('Operating Assumptions'!$L37="Fixed Amount",('Operating Assumptions'!$M37*BW$25)/12,IF('Operating Assumptions'!$L37="$/GSF",(('Operating Assumptions'!$M37*BW$25)*'Operating Assumptions'!$D$11)/12,IF('Operating Assumptions'!$L37="$/NSF",(('Operating Assumptions'!$M37*BW$25)*'Operating Assumptions'!$D$12)/12))))))))</f>
        <v>0</v>
      </c>
      <c r="BX112" s="427">
        <f>-IF(BX$9&lt;'Operating Assumptions'!$D$53,0,IF(BX$6&gt;'Operating Assumptions'!$AA$8,0,IF('Operating Assumptions'!$L37="N/A",0,IF('Operating Assumptions'!$L37="$/Unit/Annual",(('Operating Assumptions'!$M37*BX$25)*BX$36)/12,IF('Operating Assumptions'!$L37="$/Unit/Month",('Operating Assumptions'!$M37*BX$25)*BX$36,IF('Operating Assumptions'!$L37="Fixed Amount",('Operating Assumptions'!$M37*BX$25)/12,IF('Operating Assumptions'!$L37="$/GSF",(('Operating Assumptions'!$M37*BX$25)*'Operating Assumptions'!$D$11)/12,IF('Operating Assumptions'!$L37="$/NSF",(('Operating Assumptions'!$M37*BX$25)*'Operating Assumptions'!$D$12)/12))))))))</f>
        <v>0</v>
      </c>
      <c r="BY112" s="427">
        <f>-IF(BY$9&lt;'Operating Assumptions'!$D$53,0,IF(BY$6&gt;'Operating Assumptions'!$AA$8,0,IF('Operating Assumptions'!$L37="N/A",0,IF('Operating Assumptions'!$L37="$/Unit/Annual",(('Operating Assumptions'!$M37*BY$25)*BY$36)/12,IF('Operating Assumptions'!$L37="$/Unit/Month",('Operating Assumptions'!$M37*BY$25)*BY$36,IF('Operating Assumptions'!$L37="Fixed Amount",('Operating Assumptions'!$M37*BY$25)/12,IF('Operating Assumptions'!$L37="$/GSF",(('Operating Assumptions'!$M37*BY$25)*'Operating Assumptions'!$D$11)/12,IF('Operating Assumptions'!$L37="$/NSF",(('Operating Assumptions'!$M37*BY$25)*'Operating Assumptions'!$D$12)/12))))))))</f>
        <v>0</v>
      </c>
      <c r="BZ112" s="427">
        <f>-IF(BZ$9&lt;'Operating Assumptions'!$D$53,0,IF(BZ$6&gt;'Operating Assumptions'!$AA$8,0,IF('Operating Assumptions'!$L37="N/A",0,IF('Operating Assumptions'!$L37="$/Unit/Annual",(('Operating Assumptions'!$M37*BZ$25)*BZ$36)/12,IF('Operating Assumptions'!$L37="$/Unit/Month",('Operating Assumptions'!$M37*BZ$25)*BZ$36,IF('Operating Assumptions'!$L37="Fixed Amount",('Operating Assumptions'!$M37*BZ$25)/12,IF('Operating Assumptions'!$L37="$/GSF",(('Operating Assumptions'!$M37*BZ$25)*'Operating Assumptions'!$D$11)/12,IF('Operating Assumptions'!$L37="$/NSF",(('Operating Assumptions'!$M37*BZ$25)*'Operating Assumptions'!$D$12)/12))))))))</f>
        <v>0</v>
      </c>
      <c r="CA112" s="427">
        <f>-IF(CA$9&lt;'Operating Assumptions'!$D$53,0,IF(CA$6&gt;'Operating Assumptions'!$AA$8,0,IF('Operating Assumptions'!$L37="N/A",0,IF('Operating Assumptions'!$L37="$/Unit/Annual",(('Operating Assumptions'!$M37*CA$25)*CA$36)/12,IF('Operating Assumptions'!$L37="$/Unit/Month",('Operating Assumptions'!$M37*CA$25)*CA$36,IF('Operating Assumptions'!$L37="Fixed Amount",('Operating Assumptions'!$M37*CA$25)/12,IF('Operating Assumptions'!$L37="$/GSF",(('Operating Assumptions'!$M37*CA$25)*'Operating Assumptions'!$D$11)/12,IF('Operating Assumptions'!$L37="$/NSF",(('Operating Assumptions'!$M37*CA$25)*'Operating Assumptions'!$D$12)/12))))))))</f>
        <v>0</v>
      </c>
      <c r="CB112" s="427">
        <f>-IF(CB$9&lt;'Operating Assumptions'!$D$53,0,IF(CB$6&gt;'Operating Assumptions'!$AA$8,0,IF('Operating Assumptions'!$L37="N/A",0,IF('Operating Assumptions'!$L37="$/Unit/Annual",(('Operating Assumptions'!$M37*CB$25)*CB$36)/12,IF('Operating Assumptions'!$L37="$/Unit/Month",('Operating Assumptions'!$M37*CB$25)*CB$36,IF('Operating Assumptions'!$L37="Fixed Amount",('Operating Assumptions'!$M37*CB$25)/12,IF('Operating Assumptions'!$L37="$/GSF",(('Operating Assumptions'!$M37*CB$25)*'Operating Assumptions'!$D$11)/12,IF('Operating Assumptions'!$L37="$/NSF",(('Operating Assumptions'!$M37*CB$25)*'Operating Assumptions'!$D$12)/12))))))))</f>
        <v>0</v>
      </c>
      <c r="CC112" s="427">
        <f>-IF(CC$9&lt;'Operating Assumptions'!$D$53,0,IF(CC$6&gt;'Operating Assumptions'!$AA$8,0,IF('Operating Assumptions'!$L37="N/A",0,IF('Operating Assumptions'!$L37="$/Unit/Annual",(('Operating Assumptions'!$M37*CC$25)*CC$36)/12,IF('Operating Assumptions'!$L37="$/Unit/Month",('Operating Assumptions'!$M37*CC$25)*CC$36,IF('Operating Assumptions'!$L37="Fixed Amount",('Operating Assumptions'!$M37*CC$25)/12,IF('Operating Assumptions'!$L37="$/GSF",(('Operating Assumptions'!$M37*CC$25)*'Operating Assumptions'!$D$11)/12,IF('Operating Assumptions'!$L37="$/NSF",(('Operating Assumptions'!$M37*CC$25)*'Operating Assumptions'!$D$12)/12))))))))</f>
        <v>0</v>
      </c>
      <c r="CD112" s="427">
        <f>-IF(CD$9&lt;'Operating Assumptions'!$D$53,0,IF(CD$6&gt;'Operating Assumptions'!$AA$8,0,IF('Operating Assumptions'!$L37="N/A",0,IF('Operating Assumptions'!$L37="$/Unit/Annual",(('Operating Assumptions'!$M37*CD$25)*CD$36)/12,IF('Operating Assumptions'!$L37="$/Unit/Month",('Operating Assumptions'!$M37*CD$25)*CD$36,IF('Operating Assumptions'!$L37="Fixed Amount",('Operating Assumptions'!$M37*CD$25)/12,IF('Operating Assumptions'!$L37="$/GSF",(('Operating Assumptions'!$M37*CD$25)*'Operating Assumptions'!$D$11)/12,IF('Operating Assumptions'!$L37="$/NSF",(('Operating Assumptions'!$M37*CD$25)*'Operating Assumptions'!$D$12)/12))))))))</f>
        <v>0</v>
      </c>
      <c r="CE112" s="427">
        <f>-IF(CE$9&lt;'Operating Assumptions'!$D$53,0,IF(CE$6&gt;'Operating Assumptions'!$AA$8,0,IF('Operating Assumptions'!$L37="N/A",0,IF('Operating Assumptions'!$L37="$/Unit/Annual",(('Operating Assumptions'!$M37*CE$25)*CE$36)/12,IF('Operating Assumptions'!$L37="$/Unit/Month",('Operating Assumptions'!$M37*CE$25)*CE$36,IF('Operating Assumptions'!$L37="Fixed Amount",('Operating Assumptions'!$M37*CE$25)/12,IF('Operating Assumptions'!$L37="$/GSF",(('Operating Assumptions'!$M37*CE$25)*'Operating Assumptions'!$D$11)/12,IF('Operating Assumptions'!$L37="$/NSF",(('Operating Assumptions'!$M37*CE$25)*'Operating Assumptions'!$D$12)/12))))))))</f>
        <v>0</v>
      </c>
      <c r="CF112" s="427">
        <f>-IF(CF$9&lt;'Operating Assumptions'!$D$53,0,IF(CF$6&gt;'Operating Assumptions'!$AA$8,0,IF('Operating Assumptions'!$L37="N/A",0,IF('Operating Assumptions'!$L37="$/Unit/Annual",(('Operating Assumptions'!$M37*CF$25)*CF$36)/12,IF('Operating Assumptions'!$L37="$/Unit/Month",('Operating Assumptions'!$M37*CF$25)*CF$36,IF('Operating Assumptions'!$L37="Fixed Amount",('Operating Assumptions'!$M37*CF$25)/12,IF('Operating Assumptions'!$L37="$/GSF",(('Operating Assumptions'!$M37*CF$25)*'Operating Assumptions'!$D$11)/12,IF('Operating Assumptions'!$L37="$/NSF",(('Operating Assumptions'!$M37*CF$25)*'Operating Assumptions'!$D$12)/12))))))))</f>
        <v>0</v>
      </c>
      <c r="CG112" s="427">
        <f>-IF(CG$9&lt;'Operating Assumptions'!$D$53,0,IF(CG$6&gt;'Operating Assumptions'!$AA$8,0,IF('Operating Assumptions'!$L37="N/A",0,IF('Operating Assumptions'!$L37="$/Unit/Annual",(('Operating Assumptions'!$M37*CG$25)*CG$36)/12,IF('Operating Assumptions'!$L37="$/Unit/Month",('Operating Assumptions'!$M37*CG$25)*CG$36,IF('Operating Assumptions'!$L37="Fixed Amount",('Operating Assumptions'!$M37*CG$25)/12,IF('Operating Assumptions'!$L37="$/GSF",(('Operating Assumptions'!$M37*CG$25)*'Operating Assumptions'!$D$11)/12,IF('Operating Assumptions'!$L37="$/NSF",(('Operating Assumptions'!$M37*CG$25)*'Operating Assumptions'!$D$12)/12))))))))</f>
        <v>0</v>
      </c>
      <c r="CH112" s="427">
        <f>-IF(CH$9&lt;'Operating Assumptions'!$D$53,0,IF(CH$6&gt;'Operating Assumptions'!$AA$8,0,IF('Operating Assumptions'!$L37="N/A",0,IF('Operating Assumptions'!$L37="$/Unit/Annual",(('Operating Assumptions'!$M37*CH$25)*CH$36)/12,IF('Operating Assumptions'!$L37="$/Unit/Month",('Operating Assumptions'!$M37*CH$25)*CH$36,IF('Operating Assumptions'!$L37="Fixed Amount",('Operating Assumptions'!$M37*CH$25)/12,IF('Operating Assumptions'!$L37="$/GSF",(('Operating Assumptions'!$M37*CH$25)*'Operating Assumptions'!$D$11)/12,IF('Operating Assumptions'!$L37="$/NSF",(('Operating Assumptions'!$M37*CH$25)*'Operating Assumptions'!$D$12)/12))))))))</f>
        <v>0</v>
      </c>
      <c r="CI112" s="427">
        <f>-IF(CI$9&lt;'Operating Assumptions'!$D$53,0,IF(CI$6&gt;'Operating Assumptions'!$AA$8,0,IF('Operating Assumptions'!$L37="N/A",0,IF('Operating Assumptions'!$L37="$/Unit/Annual",(('Operating Assumptions'!$M37*CI$25)*CI$36)/12,IF('Operating Assumptions'!$L37="$/Unit/Month",('Operating Assumptions'!$M37*CI$25)*CI$36,IF('Operating Assumptions'!$L37="Fixed Amount",('Operating Assumptions'!$M37*CI$25)/12,IF('Operating Assumptions'!$L37="$/GSF",(('Operating Assumptions'!$M37*CI$25)*'Operating Assumptions'!$D$11)/12,IF('Operating Assumptions'!$L37="$/NSF",(('Operating Assumptions'!$M37*CI$25)*'Operating Assumptions'!$D$12)/12))))))))</f>
        <v>0</v>
      </c>
      <c r="CJ112" s="427">
        <f>-IF(CJ$9&lt;'Operating Assumptions'!$D$53,0,IF(CJ$6&gt;'Operating Assumptions'!$AA$8,0,IF('Operating Assumptions'!$L37="N/A",0,IF('Operating Assumptions'!$L37="$/Unit/Annual",(('Operating Assumptions'!$M37*CJ$25)*CJ$36)/12,IF('Operating Assumptions'!$L37="$/Unit/Month",('Operating Assumptions'!$M37*CJ$25)*CJ$36,IF('Operating Assumptions'!$L37="Fixed Amount",('Operating Assumptions'!$M37*CJ$25)/12,IF('Operating Assumptions'!$L37="$/GSF",(('Operating Assumptions'!$M37*CJ$25)*'Operating Assumptions'!$D$11)/12,IF('Operating Assumptions'!$L37="$/NSF",(('Operating Assumptions'!$M37*CJ$25)*'Operating Assumptions'!$D$12)/12))))))))</f>
        <v>0</v>
      </c>
      <c r="CK112" s="427">
        <f>-IF(CK$9&lt;'Operating Assumptions'!$D$53,0,IF(CK$6&gt;'Operating Assumptions'!$AA$8,0,IF('Operating Assumptions'!$L37="N/A",0,IF('Operating Assumptions'!$L37="$/Unit/Annual",(('Operating Assumptions'!$M37*CK$25)*CK$36)/12,IF('Operating Assumptions'!$L37="$/Unit/Month",('Operating Assumptions'!$M37*CK$25)*CK$36,IF('Operating Assumptions'!$L37="Fixed Amount",('Operating Assumptions'!$M37*CK$25)/12,IF('Operating Assumptions'!$L37="$/GSF",(('Operating Assumptions'!$M37*CK$25)*'Operating Assumptions'!$D$11)/12,IF('Operating Assumptions'!$L37="$/NSF",(('Operating Assumptions'!$M37*CK$25)*'Operating Assumptions'!$D$12)/12))))))))</f>
        <v>0</v>
      </c>
      <c r="CL112" s="427">
        <f>-IF(CL$9&lt;'Operating Assumptions'!$D$53,0,IF(CL$6&gt;'Operating Assumptions'!$AA$8,0,IF('Operating Assumptions'!$L37="N/A",0,IF('Operating Assumptions'!$L37="$/Unit/Annual",(('Operating Assumptions'!$M37*CL$25)*CL$36)/12,IF('Operating Assumptions'!$L37="$/Unit/Month",('Operating Assumptions'!$M37*CL$25)*CL$36,IF('Operating Assumptions'!$L37="Fixed Amount",('Operating Assumptions'!$M37*CL$25)/12,IF('Operating Assumptions'!$L37="$/GSF",(('Operating Assumptions'!$M37*CL$25)*'Operating Assumptions'!$D$11)/12,IF('Operating Assumptions'!$L37="$/NSF",(('Operating Assumptions'!$M37*CL$25)*'Operating Assumptions'!$D$12)/12))))))))</f>
        <v>0</v>
      </c>
      <c r="CM112" s="427">
        <f>-IF(CM$9&lt;'Operating Assumptions'!$D$53,0,IF(CM$6&gt;'Operating Assumptions'!$AA$8,0,IF('Operating Assumptions'!$L37="N/A",0,IF('Operating Assumptions'!$L37="$/Unit/Annual",(('Operating Assumptions'!$M37*CM$25)*CM$36)/12,IF('Operating Assumptions'!$L37="$/Unit/Month",('Operating Assumptions'!$M37*CM$25)*CM$36,IF('Operating Assumptions'!$L37="Fixed Amount",('Operating Assumptions'!$M37*CM$25)/12,IF('Operating Assumptions'!$L37="$/GSF",(('Operating Assumptions'!$M37*CM$25)*'Operating Assumptions'!$D$11)/12,IF('Operating Assumptions'!$L37="$/NSF",(('Operating Assumptions'!$M37*CM$25)*'Operating Assumptions'!$D$12)/12))))))))</f>
        <v>0</v>
      </c>
      <c r="CN112" s="427">
        <f>-IF(CN$9&lt;'Operating Assumptions'!$D$53,0,IF(CN$6&gt;'Operating Assumptions'!$AA$8,0,IF('Operating Assumptions'!$L37="N/A",0,IF('Operating Assumptions'!$L37="$/Unit/Annual",(('Operating Assumptions'!$M37*CN$25)*CN$36)/12,IF('Operating Assumptions'!$L37="$/Unit/Month",('Operating Assumptions'!$M37*CN$25)*CN$36,IF('Operating Assumptions'!$L37="Fixed Amount",('Operating Assumptions'!$M37*CN$25)/12,IF('Operating Assumptions'!$L37="$/GSF",(('Operating Assumptions'!$M37*CN$25)*'Operating Assumptions'!$D$11)/12,IF('Operating Assumptions'!$L37="$/NSF",(('Operating Assumptions'!$M37*CN$25)*'Operating Assumptions'!$D$12)/12))))))))</f>
        <v>0</v>
      </c>
      <c r="CO112" s="427">
        <f>-IF(CO$9&lt;'Operating Assumptions'!$D$53,0,IF(CO$6&gt;'Operating Assumptions'!$AA$8,0,IF('Operating Assumptions'!$L37="N/A",0,IF('Operating Assumptions'!$L37="$/Unit/Annual",(('Operating Assumptions'!$M37*CO$25)*CO$36)/12,IF('Operating Assumptions'!$L37="$/Unit/Month",('Operating Assumptions'!$M37*CO$25)*CO$36,IF('Operating Assumptions'!$L37="Fixed Amount",('Operating Assumptions'!$M37*CO$25)/12,IF('Operating Assumptions'!$L37="$/GSF",(('Operating Assumptions'!$M37*CO$25)*'Operating Assumptions'!$D$11)/12,IF('Operating Assumptions'!$L37="$/NSF",(('Operating Assumptions'!$M37*CO$25)*'Operating Assumptions'!$D$12)/12))))))))</f>
        <v>0</v>
      </c>
      <c r="CP112" s="427">
        <f>-IF(CP$9&lt;'Operating Assumptions'!$D$53,0,IF(CP$6&gt;'Operating Assumptions'!$AA$8,0,IF('Operating Assumptions'!$L37="N/A",0,IF('Operating Assumptions'!$L37="$/Unit/Annual",(('Operating Assumptions'!$M37*CP$25)*CP$36)/12,IF('Operating Assumptions'!$L37="$/Unit/Month",('Operating Assumptions'!$M37*CP$25)*CP$36,IF('Operating Assumptions'!$L37="Fixed Amount",('Operating Assumptions'!$M37*CP$25)/12,IF('Operating Assumptions'!$L37="$/GSF",(('Operating Assumptions'!$M37*CP$25)*'Operating Assumptions'!$D$11)/12,IF('Operating Assumptions'!$L37="$/NSF",(('Operating Assumptions'!$M37*CP$25)*'Operating Assumptions'!$D$12)/12))))))))</f>
        <v>0</v>
      </c>
      <c r="CQ112" s="427">
        <f>-IF(CQ$9&lt;'Operating Assumptions'!$D$53,0,IF(CQ$6&gt;'Operating Assumptions'!$AA$8,0,IF('Operating Assumptions'!$L37="N/A",0,IF('Operating Assumptions'!$L37="$/Unit/Annual",(('Operating Assumptions'!$M37*CQ$25)*CQ$36)/12,IF('Operating Assumptions'!$L37="$/Unit/Month",('Operating Assumptions'!$M37*CQ$25)*CQ$36,IF('Operating Assumptions'!$L37="Fixed Amount",('Operating Assumptions'!$M37*CQ$25)/12,IF('Operating Assumptions'!$L37="$/GSF",(('Operating Assumptions'!$M37*CQ$25)*'Operating Assumptions'!$D$11)/12,IF('Operating Assumptions'!$L37="$/NSF",(('Operating Assumptions'!$M37*CQ$25)*'Operating Assumptions'!$D$12)/12))))))))</f>
        <v>0</v>
      </c>
      <c r="CR112" s="427">
        <f>-IF(CR$9&lt;'Operating Assumptions'!$D$53,0,IF(CR$6&gt;'Operating Assumptions'!$AA$8,0,IF('Operating Assumptions'!$L37="N/A",0,IF('Operating Assumptions'!$L37="$/Unit/Annual",(('Operating Assumptions'!$M37*CR$25)*CR$36)/12,IF('Operating Assumptions'!$L37="$/Unit/Month",('Operating Assumptions'!$M37*CR$25)*CR$36,IF('Operating Assumptions'!$L37="Fixed Amount",('Operating Assumptions'!$M37*CR$25)/12,IF('Operating Assumptions'!$L37="$/GSF",(('Operating Assumptions'!$M37*CR$25)*'Operating Assumptions'!$D$11)/12,IF('Operating Assumptions'!$L37="$/NSF",(('Operating Assumptions'!$M37*CR$25)*'Operating Assumptions'!$D$12)/12))))))))</f>
        <v>0</v>
      </c>
      <c r="CS112" s="427">
        <f>-IF(CS$9&lt;'Operating Assumptions'!$D$53,0,IF(CS$6&gt;'Operating Assumptions'!$AA$8,0,IF('Operating Assumptions'!$L37="N/A",0,IF('Operating Assumptions'!$L37="$/Unit/Annual",(('Operating Assumptions'!$M37*CS$25)*CS$36)/12,IF('Operating Assumptions'!$L37="$/Unit/Month",('Operating Assumptions'!$M37*CS$25)*CS$36,IF('Operating Assumptions'!$L37="Fixed Amount",('Operating Assumptions'!$M37*CS$25)/12,IF('Operating Assumptions'!$L37="$/GSF",(('Operating Assumptions'!$M37*CS$25)*'Operating Assumptions'!$D$11)/12,IF('Operating Assumptions'!$L37="$/NSF",(('Operating Assumptions'!$M37*CS$25)*'Operating Assumptions'!$D$12)/12))))))))</f>
        <v>0</v>
      </c>
      <c r="CT112" s="427">
        <f>-IF(CT$9&lt;'Operating Assumptions'!$D$53,0,IF(CT$6&gt;'Operating Assumptions'!$AA$8,0,IF('Operating Assumptions'!$L37="N/A",0,IF('Operating Assumptions'!$L37="$/Unit/Annual",(('Operating Assumptions'!$M37*CT$25)*CT$36)/12,IF('Operating Assumptions'!$L37="$/Unit/Month",('Operating Assumptions'!$M37*CT$25)*CT$36,IF('Operating Assumptions'!$L37="Fixed Amount",('Operating Assumptions'!$M37*CT$25)/12,IF('Operating Assumptions'!$L37="$/GSF",(('Operating Assumptions'!$M37*CT$25)*'Operating Assumptions'!$D$11)/12,IF('Operating Assumptions'!$L37="$/NSF",(('Operating Assumptions'!$M37*CT$25)*'Operating Assumptions'!$D$12)/12))))))))</f>
        <v>0</v>
      </c>
      <c r="CU112" s="427">
        <f>-IF(CU$9&lt;'Operating Assumptions'!$D$53,0,IF(CU$6&gt;'Operating Assumptions'!$AA$8,0,IF('Operating Assumptions'!$L37="N/A",0,IF('Operating Assumptions'!$L37="$/Unit/Annual",(('Operating Assumptions'!$M37*CU$25)*CU$36)/12,IF('Operating Assumptions'!$L37="$/Unit/Month",('Operating Assumptions'!$M37*CU$25)*CU$36,IF('Operating Assumptions'!$L37="Fixed Amount",('Operating Assumptions'!$M37*CU$25)/12,IF('Operating Assumptions'!$L37="$/GSF",(('Operating Assumptions'!$M37*CU$25)*'Operating Assumptions'!$D$11)/12,IF('Operating Assumptions'!$L37="$/NSF",(('Operating Assumptions'!$M37*CU$25)*'Operating Assumptions'!$D$12)/12))))))))</f>
        <v>0</v>
      </c>
      <c r="CV112" s="427">
        <f>-IF(CV$9&lt;'Operating Assumptions'!$D$53,0,IF(CV$6&gt;'Operating Assumptions'!$AA$8,0,IF('Operating Assumptions'!$L37="N/A",0,IF('Operating Assumptions'!$L37="$/Unit/Annual",(('Operating Assumptions'!$M37*CV$25)*CV$36)/12,IF('Operating Assumptions'!$L37="$/Unit/Month",('Operating Assumptions'!$M37*CV$25)*CV$36,IF('Operating Assumptions'!$L37="Fixed Amount",('Operating Assumptions'!$M37*CV$25)/12,IF('Operating Assumptions'!$L37="$/GSF",(('Operating Assumptions'!$M37*CV$25)*'Operating Assumptions'!$D$11)/12,IF('Operating Assumptions'!$L37="$/NSF",(('Operating Assumptions'!$M37*CV$25)*'Operating Assumptions'!$D$12)/12))))))))</f>
        <v>0</v>
      </c>
      <c r="CW112" s="427">
        <f>-IF(CW$9&lt;'Operating Assumptions'!$D$53,0,IF(CW$6&gt;'Operating Assumptions'!$AA$8,0,IF('Operating Assumptions'!$L37="N/A",0,IF('Operating Assumptions'!$L37="$/Unit/Annual",(('Operating Assumptions'!$M37*CW$25)*CW$36)/12,IF('Operating Assumptions'!$L37="$/Unit/Month",('Operating Assumptions'!$M37*CW$25)*CW$36,IF('Operating Assumptions'!$L37="Fixed Amount",('Operating Assumptions'!$M37*CW$25)/12,IF('Operating Assumptions'!$L37="$/GSF",(('Operating Assumptions'!$M37*CW$25)*'Operating Assumptions'!$D$11)/12,IF('Operating Assumptions'!$L37="$/NSF",(('Operating Assumptions'!$M37*CW$25)*'Operating Assumptions'!$D$12)/12))))))))</f>
        <v>0</v>
      </c>
      <c r="CX112" s="427">
        <f>-IF(CX$9&lt;'Operating Assumptions'!$D$53,0,IF(CX$6&gt;'Operating Assumptions'!$AA$8,0,IF('Operating Assumptions'!$L37="N/A",0,IF('Operating Assumptions'!$L37="$/Unit/Annual",(('Operating Assumptions'!$M37*CX$25)*CX$36)/12,IF('Operating Assumptions'!$L37="$/Unit/Month",('Operating Assumptions'!$M37*CX$25)*CX$36,IF('Operating Assumptions'!$L37="Fixed Amount",('Operating Assumptions'!$M37*CX$25)/12,IF('Operating Assumptions'!$L37="$/GSF",(('Operating Assumptions'!$M37*CX$25)*'Operating Assumptions'!$D$11)/12,IF('Operating Assumptions'!$L37="$/NSF",(('Operating Assumptions'!$M37*CX$25)*'Operating Assumptions'!$D$12)/12))))))))</f>
        <v>0</v>
      </c>
      <c r="CY112" s="427">
        <f>-IF(CY$9&lt;'Operating Assumptions'!$D$53,0,IF(CY$6&gt;'Operating Assumptions'!$AA$8,0,IF('Operating Assumptions'!$L37="N/A",0,IF('Operating Assumptions'!$L37="$/Unit/Annual",(('Operating Assumptions'!$M37*CY$25)*CY$36)/12,IF('Operating Assumptions'!$L37="$/Unit/Month",('Operating Assumptions'!$M37*CY$25)*CY$36,IF('Operating Assumptions'!$L37="Fixed Amount",('Operating Assumptions'!$M37*CY$25)/12,IF('Operating Assumptions'!$L37="$/GSF",(('Operating Assumptions'!$M37*CY$25)*'Operating Assumptions'!$D$11)/12,IF('Operating Assumptions'!$L37="$/NSF",(('Operating Assumptions'!$M37*CY$25)*'Operating Assumptions'!$D$12)/12))))))))</f>
        <v>0</v>
      </c>
      <c r="CZ112" s="427">
        <f>-IF(CZ$9&lt;'Operating Assumptions'!$D$53,0,IF(CZ$6&gt;'Operating Assumptions'!$AA$8,0,IF('Operating Assumptions'!$L37="N/A",0,IF('Operating Assumptions'!$L37="$/Unit/Annual",(('Operating Assumptions'!$M37*CZ$25)*CZ$36)/12,IF('Operating Assumptions'!$L37="$/Unit/Month",('Operating Assumptions'!$M37*CZ$25)*CZ$36,IF('Operating Assumptions'!$L37="Fixed Amount",('Operating Assumptions'!$M37*CZ$25)/12,IF('Operating Assumptions'!$L37="$/GSF",(('Operating Assumptions'!$M37*CZ$25)*'Operating Assumptions'!$D$11)/12,IF('Operating Assumptions'!$L37="$/NSF",(('Operating Assumptions'!$M37*CZ$25)*'Operating Assumptions'!$D$12)/12))))))))</f>
        <v>0</v>
      </c>
      <c r="DA112" s="427">
        <f>-IF(DA$9&lt;'Operating Assumptions'!$D$53,0,IF(DA$6&gt;'Operating Assumptions'!$AA$8,0,IF('Operating Assumptions'!$L37="N/A",0,IF('Operating Assumptions'!$L37="$/Unit/Annual",(('Operating Assumptions'!$M37*DA$25)*DA$36)/12,IF('Operating Assumptions'!$L37="$/Unit/Month",('Operating Assumptions'!$M37*DA$25)*DA$36,IF('Operating Assumptions'!$L37="Fixed Amount",('Operating Assumptions'!$M37*DA$25)/12,IF('Operating Assumptions'!$L37="$/GSF",(('Operating Assumptions'!$M37*DA$25)*'Operating Assumptions'!$D$11)/12,IF('Operating Assumptions'!$L37="$/NSF",(('Operating Assumptions'!$M37*DA$25)*'Operating Assumptions'!$D$12)/12))))))))</f>
        <v>0</v>
      </c>
      <c r="DB112" s="427">
        <f>-IF(DB$9&lt;'Operating Assumptions'!$D$53,0,IF(DB$6&gt;'Operating Assumptions'!$AA$8,0,IF('Operating Assumptions'!$L37="N/A",0,IF('Operating Assumptions'!$L37="$/Unit/Annual",(('Operating Assumptions'!$M37*DB$25)*DB$36)/12,IF('Operating Assumptions'!$L37="$/Unit/Month",('Operating Assumptions'!$M37*DB$25)*DB$36,IF('Operating Assumptions'!$L37="Fixed Amount",('Operating Assumptions'!$M37*DB$25)/12,IF('Operating Assumptions'!$L37="$/GSF",(('Operating Assumptions'!$M37*DB$25)*'Operating Assumptions'!$D$11)/12,IF('Operating Assumptions'!$L37="$/NSF",(('Operating Assumptions'!$M37*DB$25)*'Operating Assumptions'!$D$12)/12))))))))</f>
        <v>0</v>
      </c>
      <c r="DC112" s="427">
        <f>-IF(DC$9&lt;'Operating Assumptions'!$D$53,0,IF(DC$6&gt;'Operating Assumptions'!$AA$8,0,IF('Operating Assumptions'!$L37="N/A",0,IF('Operating Assumptions'!$L37="$/Unit/Annual",(('Operating Assumptions'!$M37*DC$25)*DC$36)/12,IF('Operating Assumptions'!$L37="$/Unit/Month",('Operating Assumptions'!$M37*DC$25)*DC$36,IF('Operating Assumptions'!$L37="Fixed Amount",('Operating Assumptions'!$M37*DC$25)/12,IF('Operating Assumptions'!$L37="$/GSF",(('Operating Assumptions'!$M37*DC$25)*'Operating Assumptions'!$D$11)/12,IF('Operating Assumptions'!$L37="$/NSF",(('Operating Assumptions'!$M37*DC$25)*'Operating Assumptions'!$D$12)/12))))))))</f>
        <v>0</v>
      </c>
      <c r="DD112" s="427">
        <f>-IF(DD$9&lt;'Operating Assumptions'!$D$53,0,IF(DD$6&gt;'Operating Assumptions'!$AA$8,0,IF('Operating Assumptions'!$L37="N/A",0,IF('Operating Assumptions'!$L37="$/Unit/Annual",(('Operating Assumptions'!$M37*DD$25)*DD$36)/12,IF('Operating Assumptions'!$L37="$/Unit/Month",('Operating Assumptions'!$M37*DD$25)*DD$36,IF('Operating Assumptions'!$L37="Fixed Amount",('Operating Assumptions'!$M37*DD$25)/12,IF('Operating Assumptions'!$L37="$/GSF",(('Operating Assumptions'!$M37*DD$25)*'Operating Assumptions'!$D$11)/12,IF('Operating Assumptions'!$L37="$/NSF",(('Operating Assumptions'!$M37*DD$25)*'Operating Assumptions'!$D$12)/12))))))))</f>
        <v>0</v>
      </c>
      <c r="DE112" s="427">
        <f>-IF(DE$9&lt;'Operating Assumptions'!$D$53,0,IF(DE$6&gt;'Operating Assumptions'!$AA$8,0,IF('Operating Assumptions'!$L37="N/A",0,IF('Operating Assumptions'!$L37="$/Unit/Annual",(('Operating Assumptions'!$M37*DE$25)*DE$36)/12,IF('Operating Assumptions'!$L37="$/Unit/Month",('Operating Assumptions'!$M37*DE$25)*DE$36,IF('Operating Assumptions'!$L37="Fixed Amount",('Operating Assumptions'!$M37*DE$25)/12,IF('Operating Assumptions'!$L37="$/GSF",(('Operating Assumptions'!$M37*DE$25)*'Operating Assumptions'!$D$11)/12,IF('Operating Assumptions'!$L37="$/NSF",(('Operating Assumptions'!$M37*DE$25)*'Operating Assumptions'!$D$12)/12))))))))</f>
        <v>0</v>
      </c>
      <c r="DF112" s="427">
        <f>-IF(DF$9&lt;'Operating Assumptions'!$D$53,0,IF(DF$6&gt;'Operating Assumptions'!$AA$8,0,IF('Operating Assumptions'!$L37="N/A",0,IF('Operating Assumptions'!$L37="$/Unit/Annual",(('Operating Assumptions'!$M37*DF$25)*DF$36)/12,IF('Operating Assumptions'!$L37="$/Unit/Month",('Operating Assumptions'!$M37*DF$25)*DF$36,IF('Operating Assumptions'!$L37="Fixed Amount",('Operating Assumptions'!$M37*DF$25)/12,IF('Operating Assumptions'!$L37="$/GSF",(('Operating Assumptions'!$M37*DF$25)*'Operating Assumptions'!$D$11)/12,IF('Operating Assumptions'!$L37="$/NSF",(('Operating Assumptions'!$M37*DF$25)*'Operating Assumptions'!$D$12)/12))))))))</f>
        <v>0</v>
      </c>
      <c r="DG112" s="427">
        <f>-IF(DG$9&lt;'Operating Assumptions'!$D$53,0,IF(DG$6&gt;'Operating Assumptions'!$AA$8,0,IF('Operating Assumptions'!$L37="N/A",0,IF('Operating Assumptions'!$L37="$/Unit/Annual",(('Operating Assumptions'!$M37*DG$25)*DG$36)/12,IF('Operating Assumptions'!$L37="$/Unit/Month",('Operating Assumptions'!$M37*DG$25)*DG$36,IF('Operating Assumptions'!$L37="Fixed Amount",('Operating Assumptions'!$M37*DG$25)/12,IF('Operating Assumptions'!$L37="$/GSF",(('Operating Assumptions'!$M37*DG$25)*'Operating Assumptions'!$D$11)/12,IF('Operating Assumptions'!$L37="$/NSF",(('Operating Assumptions'!$M37*DG$25)*'Operating Assumptions'!$D$12)/12))))))))</f>
        <v>0</v>
      </c>
      <c r="DH112" s="427">
        <f>-IF(DH$9&lt;'Operating Assumptions'!$D$53,0,IF(DH$6&gt;'Operating Assumptions'!$AA$8,0,IF('Operating Assumptions'!$L37="N/A",0,IF('Operating Assumptions'!$L37="$/Unit/Annual",(('Operating Assumptions'!$M37*DH$25)*DH$36)/12,IF('Operating Assumptions'!$L37="$/Unit/Month",('Operating Assumptions'!$M37*DH$25)*DH$36,IF('Operating Assumptions'!$L37="Fixed Amount",('Operating Assumptions'!$M37*DH$25)/12,IF('Operating Assumptions'!$L37="$/GSF",(('Operating Assumptions'!$M37*DH$25)*'Operating Assumptions'!$D$11)/12,IF('Operating Assumptions'!$L37="$/NSF",(('Operating Assumptions'!$M37*DH$25)*'Operating Assumptions'!$D$12)/12))))))))</f>
        <v>0</v>
      </c>
      <c r="DI112" s="427">
        <f>-IF(DI$9&lt;'Operating Assumptions'!$D$53,0,IF(DI$6&gt;'Operating Assumptions'!$AA$8,0,IF('Operating Assumptions'!$L37="N/A",0,IF('Operating Assumptions'!$L37="$/Unit/Annual",(('Operating Assumptions'!$M37*DI$25)*DI$36)/12,IF('Operating Assumptions'!$L37="$/Unit/Month",('Operating Assumptions'!$M37*DI$25)*DI$36,IF('Operating Assumptions'!$L37="Fixed Amount",('Operating Assumptions'!$M37*DI$25)/12,IF('Operating Assumptions'!$L37="$/GSF",(('Operating Assumptions'!$M37*DI$25)*'Operating Assumptions'!$D$11)/12,IF('Operating Assumptions'!$L37="$/NSF",(('Operating Assumptions'!$M37*DI$25)*'Operating Assumptions'!$D$12)/12))))))))</f>
        <v>0</v>
      </c>
      <c r="DJ112" s="427">
        <f>-IF(DJ$9&lt;'Operating Assumptions'!$D$53,0,IF(DJ$6&gt;'Operating Assumptions'!$AA$8,0,IF('Operating Assumptions'!$L37="N/A",0,IF('Operating Assumptions'!$L37="$/Unit/Annual",(('Operating Assumptions'!$M37*DJ$25)*DJ$36)/12,IF('Operating Assumptions'!$L37="$/Unit/Month",('Operating Assumptions'!$M37*DJ$25)*DJ$36,IF('Operating Assumptions'!$L37="Fixed Amount",('Operating Assumptions'!$M37*DJ$25)/12,IF('Operating Assumptions'!$L37="$/GSF",(('Operating Assumptions'!$M37*DJ$25)*'Operating Assumptions'!$D$11)/12,IF('Operating Assumptions'!$L37="$/NSF",(('Operating Assumptions'!$M37*DJ$25)*'Operating Assumptions'!$D$12)/12))))))))</f>
        <v>0</v>
      </c>
      <c r="DK112" s="427">
        <f>-IF(DK$9&lt;'Operating Assumptions'!$D$53,0,IF(DK$6&gt;'Operating Assumptions'!$AA$8,0,IF('Operating Assumptions'!$L37="N/A",0,IF('Operating Assumptions'!$L37="$/Unit/Annual",(('Operating Assumptions'!$M37*DK$25)*DK$36)/12,IF('Operating Assumptions'!$L37="$/Unit/Month",('Operating Assumptions'!$M37*DK$25)*DK$36,IF('Operating Assumptions'!$L37="Fixed Amount",('Operating Assumptions'!$M37*DK$25)/12,IF('Operating Assumptions'!$L37="$/GSF",(('Operating Assumptions'!$M37*DK$25)*'Operating Assumptions'!$D$11)/12,IF('Operating Assumptions'!$L37="$/NSF",(('Operating Assumptions'!$M37*DK$25)*'Operating Assumptions'!$D$12)/12))))))))</f>
        <v>0</v>
      </c>
      <c r="DL112" s="427">
        <f>-IF(DL$9&lt;'Operating Assumptions'!$D$53,0,IF(DL$6&gt;'Operating Assumptions'!$AA$8,0,IF('Operating Assumptions'!$L37="N/A",0,IF('Operating Assumptions'!$L37="$/Unit/Annual",(('Operating Assumptions'!$M37*DL$25)*DL$36)/12,IF('Operating Assumptions'!$L37="$/Unit/Month",('Operating Assumptions'!$M37*DL$25)*DL$36,IF('Operating Assumptions'!$L37="Fixed Amount",('Operating Assumptions'!$M37*DL$25)/12,IF('Operating Assumptions'!$L37="$/GSF",(('Operating Assumptions'!$M37*DL$25)*'Operating Assumptions'!$D$11)/12,IF('Operating Assumptions'!$L37="$/NSF",(('Operating Assumptions'!$M37*DL$25)*'Operating Assumptions'!$D$12)/12))))))))</f>
        <v>0</v>
      </c>
      <c r="DM112" s="427">
        <f>-IF(DM$9&lt;'Operating Assumptions'!$D$53,0,IF(DM$6&gt;'Operating Assumptions'!$AA$8,0,IF('Operating Assumptions'!$L37="N/A",0,IF('Operating Assumptions'!$L37="$/Unit/Annual",(('Operating Assumptions'!$M37*DM$25)*DM$36)/12,IF('Operating Assumptions'!$L37="$/Unit/Month",('Operating Assumptions'!$M37*DM$25)*DM$36,IF('Operating Assumptions'!$L37="Fixed Amount",('Operating Assumptions'!$M37*DM$25)/12,IF('Operating Assumptions'!$L37="$/GSF",(('Operating Assumptions'!$M37*DM$25)*'Operating Assumptions'!$D$11)/12,IF('Operating Assumptions'!$L37="$/NSF",(('Operating Assumptions'!$M37*DM$25)*'Operating Assumptions'!$D$12)/12))))))))</f>
        <v>0</v>
      </c>
      <c r="DN112" s="427">
        <f>-IF(DN$9&lt;'Operating Assumptions'!$D$53,0,IF(DN$6&gt;'Operating Assumptions'!$AA$8,0,IF('Operating Assumptions'!$L37="N/A",0,IF('Operating Assumptions'!$L37="$/Unit/Annual",(('Operating Assumptions'!$M37*DN$25)*DN$36)/12,IF('Operating Assumptions'!$L37="$/Unit/Month",('Operating Assumptions'!$M37*DN$25)*DN$36,IF('Operating Assumptions'!$L37="Fixed Amount",('Operating Assumptions'!$M37*DN$25)/12,IF('Operating Assumptions'!$L37="$/GSF",(('Operating Assumptions'!$M37*DN$25)*'Operating Assumptions'!$D$11)/12,IF('Operating Assumptions'!$L37="$/NSF",(('Operating Assumptions'!$M37*DN$25)*'Operating Assumptions'!$D$12)/12))))))))</f>
        <v>0</v>
      </c>
      <c r="DO112" s="427">
        <f>-IF(DO$9&lt;'Operating Assumptions'!$D$53,0,IF(DO$6&gt;'Operating Assumptions'!$AA$8,0,IF('Operating Assumptions'!$L37="N/A",0,IF('Operating Assumptions'!$L37="$/Unit/Annual",(('Operating Assumptions'!$M37*DO$25)*DO$36)/12,IF('Operating Assumptions'!$L37="$/Unit/Month",('Operating Assumptions'!$M37*DO$25)*DO$36,IF('Operating Assumptions'!$L37="Fixed Amount",('Operating Assumptions'!$M37*DO$25)/12,IF('Operating Assumptions'!$L37="$/GSF",(('Operating Assumptions'!$M37*DO$25)*'Operating Assumptions'!$D$11)/12,IF('Operating Assumptions'!$L37="$/NSF",(('Operating Assumptions'!$M37*DO$25)*'Operating Assumptions'!$D$12)/12))))))))</f>
        <v>0</v>
      </c>
      <c r="DP112" s="427">
        <f>-IF(DP$9&lt;'Operating Assumptions'!$D$53,0,IF(DP$6&gt;'Operating Assumptions'!$AA$8,0,IF('Operating Assumptions'!$L37="N/A",0,IF('Operating Assumptions'!$L37="$/Unit/Annual",(('Operating Assumptions'!$M37*DP$25)*DP$36)/12,IF('Operating Assumptions'!$L37="$/Unit/Month",('Operating Assumptions'!$M37*DP$25)*DP$36,IF('Operating Assumptions'!$L37="Fixed Amount",('Operating Assumptions'!$M37*DP$25)/12,IF('Operating Assumptions'!$L37="$/GSF",(('Operating Assumptions'!$M37*DP$25)*'Operating Assumptions'!$D$11)/12,IF('Operating Assumptions'!$L37="$/NSF",(('Operating Assumptions'!$M37*DP$25)*'Operating Assumptions'!$D$12)/12))))))))</f>
        <v>0</v>
      </c>
      <c r="DQ112" s="427">
        <f>-IF(DQ$9&lt;'Operating Assumptions'!$D$53,0,IF(DQ$6&gt;'Operating Assumptions'!$AA$8,0,IF('Operating Assumptions'!$L37="N/A",0,IF('Operating Assumptions'!$L37="$/Unit/Annual",(('Operating Assumptions'!$M37*DQ$25)*DQ$36)/12,IF('Operating Assumptions'!$L37="$/Unit/Month",('Operating Assumptions'!$M37*DQ$25)*DQ$36,IF('Operating Assumptions'!$L37="Fixed Amount",('Operating Assumptions'!$M37*DQ$25)/12,IF('Operating Assumptions'!$L37="$/GSF",(('Operating Assumptions'!$M37*DQ$25)*'Operating Assumptions'!$D$11)/12,IF('Operating Assumptions'!$L37="$/NSF",(('Operating Assumptions'!$M37*DQ$25)*'Operating Assumptions'!$D$12)/12))))))))</f>
        <v>0</v>
      </c>
      <c r="DR112" s="427">
        <f>-IF(DR$9&lt;'Operating Assumptions'!$D$53,0,IF(DR$6&gt;'Operating Assumptions'!$AA$8,0,IF('Operating Assumptions'!$L37="N/A",0,IF('Operating Assumptions'!$L37="$/Unit/Annual",(('Operating Assumptions'!$M37*DR$25)*DR$36)/12,IF('Operating Assumptions'!$L37="$/Unit/Month",('Operating Assumptions'!$M37*DR$25)*DR$36,IF('Operating Assumptions'!$L37="Fixed Amount",('Operating Assumptions'!$M37*DR$25)/12,IF('Operating Assumptions'!$L37="$/GSF",(('Operating Assumptions'!$M37*DR$25)*'Operating Assumptions'!$D$11)/12,IF('Operating Assumptions'!$L37="$/NSF",(('Operating Assumptions'!$M37*DR$25)*'Operating Assumptions'!$D$12)/12))))))))</f>
        <v>0</v>
      </c>
      <c r="DS112" s="427">
        <f>-IF(DS$9&lt;'Operating Assumptions'!$D$53,0,IF(DS$6&gt;'Operating Assumptions'!$AA$8,0,IF('Operating Assumptions'!$L37="N/A",0,IF('Operating Assumptions'!$L37="$/Unit/Annual",(('Operating Assumptions'!$M37*DS$25)*DS$36)/12,IF('Operating Assumptions'!$L37="$/Unit/Month",('Operating Assumptions'!$M37*DS$25)*DS$36,IF('Operating Assumptions'!$L37="Fixed Amount",('Operating Assumptions'!$M37*DS$25)/12,IF('Operating Assumptions'!$L37="$/GSF",(('Operating Assumptions'!$M37*DS$25)*'Operating Assumptions'!$D$11)/12,IF('Operating Assumptions'!$L37="$/NSF",(('Operating Assumptions'!$M37*DS$25)*'Operating Assumptions'!$D$12)/12))))))))</f>
        <v>0</v>
      </c>
      <c r="DT112" s="427">
        <f>-IF(DT$9&lt;'Operating Assumptions'!$D$53,0,IF(DT$6&gt;'Operating Assumptions'!$AA$8,0,IF('Operating Assumptions'!$L37="N/A",0,IF('Operating Assumptions'!$L37="$/Unit/Annual",(('Operating Assumptions'!$M37*DT$25)*DT$36)/12,IF('Operating Assumptions'!$L37="$/Unit/Month",('Operating Assumptions'!$M37*DT$25)*DT$36,IF('Operating Assumptions'!$L37="Fixed Amount",('Operating Assumptions'!$M37*DT$25)/12,IF('Operating Assumptions'!$L37="$/GSF",(('Operating Assumptions'!$M37*DT$25)*'Operating Assumptions'!$D$11)/12,IF('Operating Assumptions'!$L37="$/NSF",(('Operating Assumptions'!$M37*DT$25)*'Operating Assumptions'!$D$12)/12))))))))</f>
        <v>0</v>
      </c>
      <c r="DU112" s="427">
        <f>-IF(DU$9&lt;'Operating Assumptions'!$D$53,0,IF(DU$6&gt;'Operating Assumptions'!$AA$8,0,IF('Operating Assumptions'!$L37="N/A",0,IF('Operating Assumptions'!$L37="$/Unit/Annual",(('Operating Assumptions'!$M37*DU$25)*DU$36)/12,IF('Operating Assumptions'!$L37="$/Unit/Month",('Operating Assumptions'!$M37*DU$25)*DU$36,IF('Operating Assumptions'!$L37="Fixed Amount",('Operating Assumptions'!$M37*DU$25)/12,IF('Operating Assumptions'!$L37="$/GSF",(('Operating Assumptions'!$M37*DU$25)*'Operating Assumptions'!$D$11)/12,IF('Operating Assumptions'!$L37="$/NSF",(('Operating Assumptions'!$M37*DU$25)*'Operating Assumptions'!$D$12)/12))))))))</f>
        <v>0</v>
      </c>
      <c r="DV112" s="427">
        <f>-IF(DV$9&lt;'Operating Assumptions'!$D$53,0,IF(DV$6&gt;'Operating Assumptions'!$AA$8,0,IF('Operating Assumptions'!$L37="N/A",0,IF('Operating Assumptions'!$L37="$/Unit/Annual",(('Operating Assumptions'!$M37*DV$25)*DV$36)/12,IF('Operating Assumptions'!$L37="$/Unit/Month",('Operating Assumptions'!$M37*DV$25)*DV$36,IF('Operating Assumptions'!$L37="Fixed Amount",('Operating Assumptions'!$M37*DV$25)/12,IF('Operating Assumptions'!$L37="$/GSF",(('Operating Assumptions'!$M37*DV$25)*'Operating Assumptions'!$D$11)/12,IF('Operating Assumptions'!$L37="$/NSF",(('Operating Assumptions'!$M37*DV$25)*'Operating Assumptions'!$D$12)/12))))))))</f>
        <v>0</v>
      </c>
      <c r="DW112" s="427">
        <f>-IF(DW$9&lt;'Operating Assumptions'!$D$53,0,IF(DW$6&gt;'Operating Assumptions'!$AA$8,0,IF('Operating Assumptions'!$L37="N/A",0,IF('Operating Assumptions'!$L37="$/Unit/Annual",(('Operating Assumptions'!$M37*DW$25)*DW$36)/12,IF('Operating Assumptions'!$L37="$/Unit/Month",('Operating Assumptions'!$M37*DW$25)*DW$36,IF('Operating Assumptions'!$L37="Fixed Amount",('Operating Assumptions'!$M37*DW$25)/12,IF('Operating Assumptions'!$L37="$/GSF",(('Operating Assumptions'!$M37*DW$25)*'Operating Assumptions'!$D$11)/12,IF('Operating Assumptions'!$L37="$/NSF",(('Operating Assumptions'!$M37*DW$25)*'Operating Assumptions'!$D$12)/12))))))))</f>
        <v>0</v>
      </c>
      <c r="DX112" s="427">
        <f>-IF(DX$9&lt;'Operating Assumptions'!$D$53,0,IF(DX$6&gt;'Operating Assumptions'!$AA$8,0,IF('Operating Assumptions'!$L37="N/A",0,IF('Operating Assumptions'!$L37="$/Unit/Annual",(('Operating Assumptions'!$M37*DX$25)*DX$36)/12,IF('Operating Assumptions'!$L37="$/Unit/Month",('Operating Assumptions'!$M37*DX$25)*DX$36,IF('Operating Assumptions'!$L37="Fixed Amount",('Operating Assumptions'!$M37*DX$25)/12,IF('Operating Assumptions'!$L37="$/GSF",(('Operating Assumptions'!$M37*DX$25)*'Operating Assumptions'!$D$11)/12,IF('Operating Assumptions'!$L37="$/NSF",(('Operating Assumptions'!$M37*DX$25)*'Operating Assumptions'!$D$12)/12))))))))</f>
        <v>0</v>
      </c>
      <c r="DY112" s="427">
        <f>-IF(DY$9&lt;'Operating Assumptions'!$D$53,0,IF(DY$6&gt;'Operating Assumptions'!$AA$8,0,IF('Operating Assumptions'!$L37="N/A",0,IF('Operating Assumptions'!$L37="$/Unit/Annual",(('Operating Assumptions'!$M37*DY$25)*DY$36)/12,IF('Operating Assumptions'!$L37="$/Unit/Month",('Operating Assumptions'!$M37*DY$25)*DY$36,IF('Operating Assumptions'!$L37="Fixed Amount",('Operating Assumptions'!$M37*DY$25)/12,IF('Operating Assumptions'!$L37="$/GSF",(('Operating Assumptions'!$M37*DY$25)*'Operating Assumptions'!$D$11)/12,IF('Operating Assumptions'!$L37="$/NSF",(('Operating Assumptions'!$M37*DY$25)*'Operating Assumptions'!$D$12)/12))))))))</f>
        <v>0</v>
      </c>
      <c r="DZ112" s="427">
        <f>-IF(DZ$9&lt;'Operating Assumptions'!$D$53,0,IF(DZ$6&gt;'Operating Assumptions'!$AA$8,0,IF('Operating Assumptions'!$L37="N/A",0,IF('Operating Assumptions'!$L37="$/Unit/Annual",(('Operating Assumptions'!$M37*DZ$25)*DZ$36)/12,IF('Operating Assumptions'!$L37="$/Unit/Month",('Operating Assumptions'!$M37*DZ$25)*DZ$36,IF('Operating Assumptions'!$L37="Fixed Amount",('Operating Assumptions'!$M37*DZ$25)/12,IF('Operating Assumptions'!$L37="$/GSF",(('Operating Assumptions'!$M37*DZ$25)*'Operating Assumptions'!$D$11)/12,IF('Operating Assumptions'!$L37="$/NSF",(('Operating Assumptions'!$M37*DZ$25)*'Operating Assumptions'!$D$12)/12))))))))</f>
        <v>0</v>
      </c>
      <c r="EA112" s="427">
        <f>-IF(EA$9&lt;'Operating Assumptions'!$D$53,0,IF(EA$6&gt;'Operating Assumptions'!$AA$8,0,IF('Operating Assumptions'!$L37="N/A",0,IF('Operating Assumptions'!$L37="$/Unit/Annual",(('Operating Assumptions'!$M37*EA$25)*EA$36)/12,IF('Operating Assumptions'!$L37="$/Unit/Month",('Operating Assumptions'!$M37*EA$25)*EA$36,IF('Operating Assumptions'!$L37="Fixed Amount",('Operating Assumptions'!$M37*EA$25)/12,IF('Operating Assumptions'!$L37="$/GSF",(('Operating Assumptions'!$M37*EA$25)*'Operating Assumptions'!$D$11)/12,IF('Operating Assumptions'!$L37="$/NSF",(('Operating Assumptions'!$M37*EA$25)*'Operating Assumptions'!$D$12)/12))))))))</f>
        <v>0</v>
      </c>
      <c r="EB112" s="427">
        <f>-IF(EB$9&lt;'Operating Assumptions'!$D$53,0,IF(EB$6&gt;'Operating Assumptions'!$AA$8,0,IF('Operating Assumptions'!$L37="N/A",0,IF('Operating Assumptions'!$L37="$/Unit/Annual",(('Operating Assumptions'!$M37*EB$25)*EB$36)/12,IF('Operating Assumptions'!$L37="$/Unit/Month",('Operating Assumptions'!$M37*EB$25)*EB$36,IF('Operating Assumptions'!$L37="Fixed Amount",('Operating Assumptions'!$M37*EB$25)/12,IF('Operating Assumptions'!$L37="$/GSF",(('Operating Assumptions'!$M37*EB$25)*'Operating Assumptions'!$D$11)/12,IF('Operating Assumptions'!$L37="$/NSF",(('Operating Assumptions'!$M37*EB$25)*'Operating Assumptions'!$D$12)/12))))))))</f>
        <v>0</v>
      </c>
      <c r="EC112" s="427">
        <f>-IF(EC$9&lt;'Operating Assumptions'!$D$53,0,IF(EC$6&gt;'Operating Assumptions'!$AA$8,0,IF('Operating Assumptions'!$L37="N/A",0,IF('Operating Assumptions'!$L37="$/Unit/Annual",(('Operating Assumptions'!$M37*EC$25)*EC$36)/12,IF('Operating Assumptions'!$L37="$/Unit/Month",('Operating Assumptions'!$M37*EC$25)*EC$36,IF('Operating Assumptions'!$L37="Fixed Amount",('Operating Assumptions'!$M37*EC$25)/12,IF('Operating Assumptions'!$L37="$/GSF",(('Operating Assumptions'!$M37*EC$25)*'Operating Assumptions'!$D$11)/12,IF('Operating Assumptions'!$L37="$/NSF",(('Operating Assumptions'!$M37*EC$25)*'Operating Assumptions'!$D$12)/12))))))))</f>
        <v>0</v>
      </c>
      <c r="ED112" s="427">
        <f>-IF(ED$9&lt;'Operating Assumptions'!$D$53,0,IF(ED$6&gt;'Operating Assumptions'!$AA$8,0,IF('Operating Assumptions'!$L37="N/A",0,IF('Operating Assumptions'!$L37="$/Unit/Annual",(('Operating Assumptions'!$M37*ED$25)*ED$36)/12,IF('Operating Assumptions'!$L37="$/Unit/Month",('Operating Assumptions'!$M37*ED$25)*ED$36,IF('Operating Assumptions'!$L37="Fixed Amount",('Operating Assumptions'!$M37*ED$25)/12,IF('Operating Assumptions'!$L37="$/GSF",(('Operating Assumptions'!$M37*ED$25)*'Operating Assumptions'!$D$11)/12,IF('Operating Assumptions'!$L37="$/NSF",(('Operating Assumptions'!$M37*ED$25)*'Operating Assumptions'!$D$12)/12))))))))</f>
        <v>0</v>
      </c>
      <c r="EE112" s="427">
        <f>-IF(EE$9&lt;'Operating Assumptions'!$D$53,0,IF(EE$6&gt;'Operating Assumptions'!$AA$8,0,IF('Operating Assumptions'!$L37="N/A",0,IF('Operating Assumptions'!$L37="$/Unit/Annual",(('Operating Assumptions'!$M37*EE$25)*EE$36)/12,IF('Operating Assumptions'!$L37="$/Unit/Month",('Operating Assumptions'!$M37*EE$25)*EE$36,IF('Operating Assumptions'!$L37="Fixed Amount",('Operating Assumptions'!$M37*EE$25)/12,IF('Operating Assumptions'!$L37="$/GSF",(('Operating Assumptions'!$M37*EE$25)*'Operating Assumptions'!$D$11)/12,IF('Operating Assumptions'!$L37="$/NSF",(('Operating Assumptions'!$M37*EE$25)*'Operating Assumptions'!$D$12)/12))))))))</f>
        <v>0</v>
      </c>
      <c r="EF112" s="427">
        <f>-IF(EF$9&lt;'Operating Assumptions'!$D$53,0,IF(EF$6&gt;'Operating Assumptions'!$AA$8,0,IF('Operating Assumptions'!$L37="N/A",0,IF('Operating Assumptions'!$L37="$/Unit/Annual",(('Operating Assumptions'!$M37*EF$25)*EF$36)/12,IF('Operating Assumptions'!$L37="$/Unit/Month",('Operating Assumptions'!$M37*EF$25)*EF$36,IF('Operating Assumptions'!$L37="Fixed Amount",('Operating Assumptions'!$M37*EF$25)/12,IF('Operating Assumptions'!$L37="$/GSF",(('Operating Assumptions'!$M37*EF$25)*'Operating Assumptions'!$D$11)/12,IF('Operating Assumptions'!$L37="$/NSF",(('Operating Assumptions'!$M37*EF$25)*'Operating Assumptions'!$D$12)/12))))))))</f>
        <v>0</v>
      </c>
      <c r="EG112" s="427">
        <f>-IF(EG$9&lt;'Operating Assumptions'!$D$53,0,IF(EG$6&gt;'Operating Assumptions'!$AA$8,0,IF('Operating Assumptions'!$L37="N/A",0,IF('Operating Assumptions'!$L37="$/Unit/Annual",(('Operating Assumptions'!$M37*EG$25)*EG$36)/12,IF('Operating Assumptions'!$L37="$/Unit/Month",('Operating Assumptions'!$M37*EG$25)*EG$36,IF('Operating Assumptions'!$L37="Fixed Amount",('Operating Assumptions'!$M37*EG$25)/12,IF('Operating Assumptions'!$L37="$/GSF",(('Operating Assumptions'!$M37*EG$25)*'Operating Assumptions'!$D$11)/12,IF('Operating Assumptions'!$L37="$/NSF",(('Operating Assumptions'!$M37*EG$25)*'Operating Assumptions'!$D$12)/12))))))))</f>
        <v>0</v>
      </c>
      <c r="EH112" s="427">
        <f>-IF(EH$9&lt;'Operating Assumptions'!$D$53,0,IF(EH$6&gt;'Operating Assumptions'!$AA$8,0,IF('Operating Assumptions'!$L37="N/A",0,IF('Operating Assumptions'!$L37="$/Unit/Annual",(('Operating Assumptions'!$M37*EH$25)*EH$36)/12,IF('Operating Assumptions'!$L37="$/Unit/Month",('Operating Assumptions'!$M37*EH$25)*EH$36,IF('Operating Assumptions'!$L37="Fixed Amount",('Operating Assumptions'!$M37*EH$25)/12,IF('Operating Assumptions'!$L37="$/GSF",(('Operating Assumptions'!$M37*EH$25)*'Operating Assumptions'!$D$11)/12,IF('Operating Assumptions'!$L37="$/NSF",(('Operating Assumptions'!$M37*EH$25)*'Operating Assumptions'!$D$12)/12))))))))</f>
        <v>0</v>
      </c>
      <c r="EI112" s="427">
        <f>-IF(EI$9&lt;'Operating Assumptions'!$D$53,0,IF(EI$6&gt;'Operating Assumptions'!$AA$8,0,IF('Operating Assumptions'!$L37="N/A",0,IF('Operating Assumptions'!$L37="$/Unit/Annual",(('Operating Assumptions'!$M37*EI$25)*EI$36)/12,IF('Operating Assumptions'!$L37="$/Unit/Month",('Operating Assumptions'!$M37*EI$25)*EI$36,IF('Operating Assumptions'!$L37="Fixed Amount",('Operating Assumptions'!$M37*EI$25)/12,IF('Operating Assumptions'!$L37="$/GSF",(('Operating Assumptions'!$M37*EI$25)*'Operating Assumptions'!$D$11)/12,IF('Operating Assumptions'!$L37="$/NSF",(('Operating Assumptions'!$M37*EI$25)*'Operating Assumptions'!$D$12)/12))))))))</f>
        <v>0</v>
      </c>
      <c r="EJ112" s="427">
        <f>-IF(EJ$9&lt;'Operating Assumptions'!$D$53,0,IF(EJ$6&gt;'Operating Assumptions'!$AA$8,0,IF('Operating Assumptions'!$L37="N/A",0,IF('Operating Assumptions'!$L37="$/Unit/Annual",(('Operating Assumptions'!$M37*EJ$25)*EJ$36)/12,IF('Operating Assumptions'!$L37="$/Unit/Month",('Operating Assumptions'!$M37*EJ$25)*EJ$36,IF('Operating Assumptions'!$L37="Fixed Amount",('Operating Assumptions'!$M37*EJ$25)/12,IF('Operating Assumptions'!$L37="$/GSF",(('Operating Assumptions'!$M37*EJ$25)*'Operating Assumptions'!$D$11)/12,IF('Operating Assumptions'!$L37="$/NSF",(('Operating Assumptions'!$M37*EJ$25)*'Operating Assumptions'!$D$12)/12))))))))</f>
        <v>0</v>
      </c>
      <c r="EK112" s="427">
        <f>-IF(EK$9&lt;'Operating Assumptions'!$D$53,0,IF(EK$6&gt;'Operating Assumptions'!$AA$8,0,IF('Operating Assumptions'!$L37="N/A",0,IF('Operating Assumptions'!$L37="$/Unit/Annual",(('Operating Assumptions'!$M37*EK$25)*EK$36)/12,IF('Operating Assumptions'!$L37="$/Unit/Month",('Operating Assumptions'!$M37*EK$25)*EK$36,IF('Operating Assumptions'!$L37="Fixed Amount",('Operating Assumptions'!$M37*EK$25)/12,IF('Operating Assumptions'!$L37="$/GSF",(('Operating Assumptions'!$M37*EK$25)*'Operating Assumptions'!$D$11)/12,IF('Operating Assumptions'!$L37="$/NSF",(('Operating Assumptions'!$M37*EK$25)*'Operating Assumptions'!$D$12)/12))))))))</f>
        <v>0</v>
      </c>
      <c r="EL112" s="427">
        <f>-IF(EL$9&lt;'Operating Assumptions'!$D$53,0,IF(EL$6&gt;'Operating Assumptions'!$AA$8,0,IF('Operating Assumptions'!$L37="N/A",0,IF('Operating Assumptions'!$L37="$/Unit/Annual",(('Operating Assumptions'!$M37*EL$25)*EL$36)/12,IF('Operating Assumptions'!$L37="$/Unit/Month",('Operating Assumptions'!$M37*EL$25)*EL$36,IF('Operating Assumptions'!$L37="Fixed Amount",('Operating Assumptions'!$M37*EL$25)/12,IF('Operating Assumptions'!$L37="$/GSF",(('Operating Assumptions'!$M37*EL$25)*'Operating Assumptions'!$D$11)/12,IF('Operating Assumptions'!$L37="$/NSF",(('Operating Assumptions'!$M37*EL$25)*'Operating Assumptions'!$D$12)/12))))))))</f>
        <v>0</v>
      </c>
      <c r="EM112" s="427">
        <f>-IF(EM$9&lt;'Operating Assumptions'!$D$53,0,IF(EM$6&gt;'Operating Assumptions'!$AA$8,0,IF('Operating Assumptions'!$L37="N/A",0,IF('Operating Assumptions'!$L37="$/Unit/Annual",(('Operating Assumptions'!$M37*EM$25)*EM$36)/12,IF('Operating Assumptions'!$L37="$/Unit/Month",('Operating Assumptions'!$M37*EM$25)*EM$36,IF('Operating Assumptions'!$L37="Fixed Amount",('Operating Assumptions'!$M37*EM$25)/12,IF('Operating Assumptions'!$L37="$/GSF",(('Operating Assumptions'!$M37*EM$25)*'Operating Assumptions'!$D$11)/12,IF('Operating Assumptions'!$L37="$/NSF",(('Operating Assumptions'!$M37*EM$25)*'Operating Assumptions'!$D$12)/12))))))))</f>
        <v>0</v>
      </c>
      <c r="EN112" s="427">
        <f>-IF(EN$9&lt;'Operating Assumptions'!$D$53,0,IF(EN$6&gt;'Operating Assumptions'!$AA$8,0,IF('Operating Assumptions'!$L37="N/A",0,IF('Operating Assumptions'!$L37="$/Unit/Annual",(('Operating Assumptions'!$M37*EN$25)*EN$36)/12,IF('Operating Assumptions'!$L37="$/Unit/Month",('Operating Assumptions'!$M37*EN$25)*EN$36,IF('Operating Assumptions'!$L37="Fixed Amount",('Operating Assumptions'!$M37*EN$25)/12,IF('Operating Assumptions'!$L37="$/GSF",(('Operating Assumptions'!$M37*EN$25)*'Operating Assumptions'!$D$11)/12,IF('Operating Assumptions'!$L37="$/NSF",(('Operating Assumptions'!$M37*EN$25)*'Operating Assumptions'!$D$12)/12))))))))</f>
        <v>0</v>
      </c>
      <c r="EO112" s="427">
        <f>-IF(EO$9&lt;'Operating Assumptions'!$D$53,0,IF(EO$6&gt;'Operating Assumptions'!$AA$8,0,IF('Operating Assumptions'!$L37="N/A",0,IF('Operating Assumptions'!$L37="$/Unit/Annual",(('Operating Assumptions'!$M37*EO$25)*EO$36)/12,IF('Operating Assumptions'!$L37="$/Unit/Month",('Operating Assumptions'!$M37*EO$25)*EO$36,IF('Operating Assumptions'!$L37="Fixed Amount",('Operating Assumptions'!$M37*EO$25)/12,IF('Operating Assumptions'!$L37="$/GSF",(('Operating Assumptions'!$M37*EO$25)*'Operating Assumptions'!$D$11)/12,IF('Operating Assumptions'!$L37="$/NSF",(('Operating Assumptions'!$M37*EO$25)*'Operating Assumptions'!$D$12)/12))))))))</f>
        <v>0</v>
      </c>
      <c r="EP112" s="427">
        <f>-IF(EP$9&lt;'Operating Assumptions'!$D$53,0,IF(EP$6&gt;'Operating Assumptions'!$AA$8,0,IF('Operating Assumptions'!$L37="N/A",0,IF('Operating Assumptions'!$L37="$/Unit/Annual",(('Operating Assumptions'!$M37*EP$25)*EP$36)/12,IF('Operating Assumptions'!$L37="$/Unit/Month",('Operating Assumptions'!$M37*EP$25)*EP$36,IF('Operating Assumptions'!$L37="Fixed Amount",('Operating Assumptions'!$M37*EP$25)/12,IF('Operating Assumptions'!$L37="$/GSF",(('Operating Assumptions'!$M37*EP$25)*'Operating Assumptions'!$D$11)/12,IF('Operating Assumptions'!$L37="$/NSF",(('Operating Assumptions'!$M37*EP$25)*'Operating Assumptions'!$D$12)/12))))))))</f>
        <v>0</v>
      </c>
      <c r="EQ112" s="427">
        <f>-IF(EQ$9&lt;'Operating Assumptions'!$D$53,0,IF(EQ$6&gt;'Operating Assumptions'!$AA$8,0,IF('Operating Assumptions'!$L37="N/A",0,IF('Operating Assumptions'!$L37="$/Unit/Annual",(('Operating Assumptions'!$M37*EQ$25)*EQ$36)/12,IF('Operating Assumptions'!$L37="$/Unit/Month",('Operating Assumptions'!$M37*EQ$25)*EQ$36,IF('Operating Assumptions'!$L37="Fixed Amount",('Operating Assumptions'!$M37*EQ$25)/12,IF('Operating Assumptions'!$L37="$/GSF",(('Operating Assumptions'!$M37*EQ$25)*'Operating Assumptions'!$D$11)/12,IF('Operating Assumptions'!$L37="$/NSF",(('Operating Assumptions'!$M37*EQ$25)*'Operating Assumptions'!$D$12)/12))))))))</f>
        <v>0</v>
      </c>
      <c r="ER112" s="427">
        <f>-IF(ER$9&lt;'Operating Assumptions'!$D$53,0,IF(ER$6&gt;'Operating Assumptions'!$AA$8,0,IF('Operating Assumptions'!$L37="N/A",0,IF('Operating Assumptions'!$L37="$/Unit/Annual",(('Operating Assumptions'!$M37*ER$25)*ER$36)/12,IF('Operating Assumptions'!$L37="$/Unit/Month",('Operating Assumptions'!$M37*ER$25)*ER$36,IF('Operating Assumptions'!$L37="Fixed Amount",('Operating Assumptions'!$M37*ER$25)/12,IF('Operating Assumptions'!$L37="$/GSF",(('Operating Assumptions'!$M37*ER$25)*'Operating Assumptions'!$D$11)/12,IF('Operating Assumptions'!$L37="$/NSF",(('Operating Assumptions'!$M37*ER$25)*'Operating Assumptions'!$D$12)/12))))))))</f>
        <v>0</v>
      </c>
      <c r="ES112" s="427">
        <f>-IF(ES$9&lt;'Operating Assumptions'!$D$53,0,IF(ES$6&gt;'Operating Assumptions'!$AA$8,0,IF('Operating Assumptions'!$L37="N/A",0,IF('Operating Assumptions'!$L37="$/Unit/Annual",(('Operating Assumptions'!$M37*ES$25)*ES$36)/12,IF('Operating Assumptions'!$L37="$/Unit/Month",('Operating Assumptions'!$M37*ES$25)*ES$36,IF('Operating Assumptions'!$L37="Fixed Amount",('Operating Assumptions'!$M37*ES$25)/12,IF('Operating Assumptions'!$L37="$/GSF",(('Operating Assumptions'!$M37*ES$25)*'Operating Assumptions'!$D$11)/12,IF('Operating Assumptions'!$L37="$/NSF",(('Operating Assumptions'!$M37*ES$25)*'Operating Assumptions'!$D$12)/12))))))))</f>
        <v>0</v>
      </c>
      <c r="ET112" s="427">
        <f>-IF(ET$9&lt;'Operating Assumptions'!$D$53,0,IF(ET$6&gt;'Operating Assumptions'!$AA$8,0,IF('Operating Assumptions'!$L37="N/A",0,IF('Operating Assumptions'!$L37="$/Unit/Annual",(('Operating Assumptions'!$M37*ET$25)*ET$36)/12,IF('Operating Assumptions'!$L37="$/Unit/Month",('Operating Assumptions'!$M37*ET$25)*ET$36,IF('Operating Assumptions'!$L37="Fixed Amount",('Operating Assumptions'!$M37*ET$25)/12,IF('Operating Assumptions'!$L37="$/GSF",(('Operating Assumptions'!$M37*ET$25)*'Operating Assumptions'!$D$11)/12,IF('Operating Assumptions'!$L37="$/NSF",(('Operating Assumptions'!$M37*ET$25)*'Operating Assumptions'!$D$12)/12))))))))</f>
        <v>0</v>
      </c>
      <c r="EU112" s="427">
        <f>-IF(EU$9&lt;'Operating Assumptions'!$D$53,0,IF(EU$6&gt;'Operating Assumptions'!$AA$8,0,IF('Operating Assumptions'!$L37="N/A",0,IF('Operating Assumptions'!$L37="$/Unit/Annual",(('Operating Assumptions'!$M37*EU$25)*EU$36)/12,IF('Operating Assumptions'!$L37="$/Unit/Month",('Operating Assumptions'!$M37*EU$25)*EU$36,IF('Operating Assumptions'!$L37="Fixed Amount",('Operating Assumptions'!$M37*EU$25)/12,IF('Operating Assumptions'!$L37="$/GSF",(('Operating Assumptions'!$M37*EU$25)*'Operating Assumptions'!$D$11)/12,IF('Operating Assumptions'!$L37="$/NSF",(('Operating Assumptions'!$M37*EU$25)*'Operating Assumptions'!$D$12)/12))))))))</f>
        <v>0</v>
      </c>
      <c r="EV112" s="427">
        <f>-IF(EV$9&lt;'Operating Assumptions'!$D$53,0,IF(EV$6&gt;'Operating Assumptions'!$AA$8,0,IF('Operating Assumptions'!$L37="N/A",0,IF('Operating Assumptions'!$L37="$/Unit/Annual",(('Operating Assumptions'!$M37*EV$25)*EV$36)/12,IF('Operating Assumptions'!$L37="$/Unit/Month",('Operating Assumptions'!$M37*EV$25)*EV$36,IF('Operating Assumptions'!$L37="Fixed Amount",('Operating Assumptions'!$M37*EV$25)/12,IF('Operating Assumptions'!$L37="$/GSF",(('Operating Assumptions'!$M37*EV$25)*'Operating Assumptions'!$D$11)/12,IF('Operating Assumptions'!$L37="$/NSF",(('Operating Assumptions'!$M37*EV$25)*'Operating Assumptions'!$D$12)/12))))))))</f>
        <v>0</v>
      </c>
      <c r="EW112" s="427">
        <f>-IF(EW$9&lt;'Operating Assumptions'!$D$53,0,IF(EW$6&gt;'Operating Assumptions'!$AA$8,0,IF('Operating Assumptions'!$L37="N/A",0,IF('Operating Assumptions'!$L37="$/Unit/Annual",(('Operating Assumptions'!$M37*EW$25)*EW$36)/12,IF('Operating Assumptions'!$L37="$/Unit/Month",('Operating Assumptions'!$M37*EW$25)*EW$36,IF('Operating Assumptions'!$L37="Fixed Amount",('Operating Assumptions'!$M37*EW$25)/12,IF('Operating Assumptions'!$L37="$/GSF",(('Operating Assumptions'!$M37*EW$25)*'Operating Assumptions'!$D$11)/12,IF('Operating Assumptions'!$L37="$/NSF",(('Operating Assumptions'!$M37*EW$25)*'Operating Assumptions'!$D$12)/12))))))))</f>
        <v>0</v>
      </c>
      <c r="EX112" s="427">
        <f>-IF(EX$9&lt;'Operating Assumptions'!$D$53,0,IF(EX$6&gt;'Operating Assumptions'!$AA$8,0,IF('Operating Assumptions'!$L37="N/A",0,IF('Operating Assumptions'!$L37="$/Unit/Annual",(('Operating Assumptions'!$M37*EX$25)*EX$36)/12,IF('Operating Assumptions'!$L37="$/Unit/Month",('Operating Assumptions'!$M37*EX$25)*EX$36,IF('Operating Assumptions'!$L37="Fixed Amount",('Operating Assumptions'!$M37*EX$25)/12,IF('Operating Assumptions'!$L37="$/GSF",(('Operating Assumptions'!$M37*EX$25)*'Operating Assumptions'!$D$11)/12,IF('Operating Assumptions'!$L37="$/NSF",(('Operating Assumptions'!$M37*EX$25)*'Operating Assumptions'!$D$12)/12))))))))</f>
        <v>0</v>
      </c>
      <c r="EY112" s="427">
        <f>-IF(EY$9&lt;'Operating Assumptions'!$D$53,0,IF(EY$6&gt;'Operating Assumptions'!$AA$8,0,IF('Operating Assumptions'!$L37="N/A",0,IF('Operating Assumptions'!$L37="$/Unit/Annual",(('Operating Assumptions'!$M37*EY$25)*EY$36)/12,IF('Operating Assumptions'!$L37="$/Unit/Month",('Operating Assumptions'!$M37*EY$25)*EY$36,IF('Operating Assumptions'!$L37="Fixed Amount",('Operating Assumptions'!$M37*EY$25)/12,IF('Operating Assumptions'!$L37="$/GSF",(('Operating Assumptions'!$M37*EY$25)*'Operating Assumptions'!$D$11)/12,IF('Operating Assumptions'!$L37="$/NSF",(('Operating Assumptions'!$M37*EY$25)*'Operating Assumptions'!$D$12)/12))))))))</f>
        <v>0</v>
      </c>
      <c r="EZ112" s="427">
        <f>-IF(EZ$9&lt;'Operating Assumptions'!$D$53,0,IF(EZ$6&gt;'Operating Assumptions'!$AA$8,0,IF('Operating Assumptions'!$L37="N/A",0,IF('Operating Assumptions'!$L37="$/Unit/Annual",(('Operating Assumptions'!$M37*EZ$25)*EZ$36)/12,IF('Operating Assumptions'!$L37="$/Unit/Month",('Operating Assumptions'!$M37*EZ$25)*EZ$36,IF('Operating Assumptions'!$L37="Fixed Amount",('Operating Assumptions'!$M37*EZ$25)/12,IF('Operating Assumptions'!$L37="$/GSF",(('Operating Assumptions'!$M37*EZ$25)*'Operating Assumptions'!$D$11)/12,IF('Operating Assumptions'!$L37="$/NSF",(('Operating Assumptions'!$M37*EZ$25)*'Operating Assumptions'!$D$12)/12))))))))</f>
        <v>0</v>
      </c>
      <c r="FA112" s="427">
        <f>-IF(FA$9&lt;'Operating Assumptions'!$D$53,0,IF(FA$6&gt;'Operating Assumptions'!$AA$8,0,IF('Operating Assumptions'!$L37="N/A",0,IF('Operating Assumptions'!$L37="$/Unit/Annual",(('Operating Assumptions'!$M37*FA$25)*FA$36)/12,IF('Operating Assumptions'!$L37="$/Unit/Month",('Operating Assumptions'!$M37*FA$25)*FA$36,IF('Operating Assumptions'!$L37="Fixed Amount",('Operating Assumptions'!$M37*FA$25)/12,IF('Operating Assumptions'!$L37="$/GSF",(('Operating Assumptions'!$M37*FA$25)*'Operating Assumptions'!$D$11)/12,IF('Operating Assumptions'!$L37="$/NSF",(('Operating Assumptions'!$M37*FA$25)*'Operating Assumptions'!$D$12)/12))))))))</f>
        <v>0</v>
      </c>
      <c r="FB112" s="427">
        <f>-IF(FB$9&lt;'Operating Assumptions'!$D$53,0,IF(FB$6&gt;'Operating Assumptions'!$AA$8,0,IF('Operating Assumptions'!$L37="N/A",0,IF('Operating Assumptions'!$L37="$/Unit/Annual",(('Operating Assumptions'!$M37*FB$25)*FB$36)/12,IF('Operating Assumptions'!$L37="$/Unit/Month",('Operating Assumptions'!$M37*FB$25)*FB$36,IF('Operating Assumptions'!$L37="Fixed Amount",('Operating Assumptions'!$M37*FB$25)/12,IF('Operating Assumptions'!$L37="$/GSF",(('Operating Assumptions'!$M37*FB$25)*'Operating Assumptions'!$D$11)/12,IF('Operating Assumptions'!$L37="$/NSF",(('Operating Assumptions'!$M37*FB$25)*'Operating Assumptions'!$D$12)/12))))))))</f>
        <v>0</v>
      </c>
      <c r="FC112" s="427">
        <f>-IF(FC$9&lt;'Operating Assumptions'!$D$53,0,IF(FC$6&gt;'Operating Assumptions'!$AA$8,0,IF('Operating Assumptions'!$L37="N/A",0,IF('Operating Assumptions'!$L37="$/Unit/Annual",(('Operating Assumptions'!$M37*FC$25)*FC$36)/12,IF('Operating Assumptions'!$L37="$/Unit/Month",('Operating Assumptions'!$M37*FC$25)*FC$36,IF('Operating Assumptions'!$L37="Fixed Amount",('Operating Assumptions'!$M37*FC$25)/12,IF('Operating Assumptions'!$L37="$/GSF",(('Operating Assumptions'!$M37*FC$25)*'Operating Assumptions'!$D$11)/12,IF('Operating Assumptions'!$L37="$/NSF",(('Operating Assumptions'!$M37*FC$25)*'Operating Assumptions'!$D$12)/12))))))))</f>
        <v>0</v>
      </c>
      <c r="FD112" s="427">
        <f>-IF(FD$9&lt;'Operating Assumptions'!$D$53,0,IF(FD$6&gt;'Operating Assumptions'!$AA$8,0,IF('Operating Assumptions'!$L37="N/A",0,IF('Operating Assumptions'!$L37="$/Unit/Annual",(('Operating Assumptions'!$M37*FD$25)*FD$36)/12,IF('Operating Assumptions'!$L37="$/Unit/Month",('Operating Assumptions'!$M37*FD$25)*FD$36,IF('Operating Assumptions'!$L37="Fixed Amount",('Operating Assumptions'!$M37*FD$25)/12,IF('Operating Assumptions'!$L37="$/GSF",(('Operating Assumptions'!$M37*FD$25)*'Operating Assumptions'!$D$11)/12,IF('Operating Assumptions'!$L37="$/NSF",(('Operating Assumptions'!$M37*FD$25)*'Operating Assumptions'!$D$12)/12))))))))</f>
        <v>0</v>
      </c>
      <c r="FE112" s="427">
        <f>-IF(FE$9&lt;'Operating Assumptions'!$D$53,0,IF(FE$6&gt;'Operating Assumptions'!$AA$8,0,IF('Operating Assumptions'!$L37="N/A",0,IF('Operating Assumptions'!$L37="$/Unit/Annual",(('Operating Assumptions'!$M37*FE$25)*FE$36)/12,IF('Operating Assumptions'!$L37="$/Unit/Month",('Operating Assumptions'!$M37*FE$25)*FE$36,IF('Operating Assumptions'!$L37="Fixed Amount",('Operating Assumptions'!$M37*FE$25)/12,IF('Operating Assumptions'!$L37="$/GSF",(('Operating Assumptions'!$M37*FE$25)*'Operating Assumptions'!$D$11)/12,IF('Operating Assumptions'!$L37="$/NSF",(('Operating Assumptions'!$M37*FE$25)*'Operating Assumptions'!$D$12)/12))))))))</f>
        <v>0</v>
      </c>
      <c r="FF112" s="427">
        <f>-IF(FF$9&lt;'Operating Assumptions'!$D$53,0,IF(FF$6&gt;'Operating Assumptions'!$AA$8,0,IF('Operating Assumptions'!$L37="N/A",0,IF('Operating Assumptions'!$L37="$/Unit/Annual",(('Operating Assumptions'!$M37*FF$25)*FF$36)/12,IF('Operating Assumptions'!$L37="$/Unit/Month",('Operating Assumptions'!$M37*FF$25)*FF$36,IF('Operating Assumptions'!$L37="Fixed Amount",('Operating Assumptions'!$M37*FF$25)/12,IF('Operating Assumptions'!$L37="$/GSF",(('Operating Assumptions'!$M37*FF$25)*'Operating Assumptions'!$D$11)/12,IF('Operating Assumptions'!$L37="$/NSF",(('Operating Assumptions'!$M37*FF$25)*'Operating Assumptions'!$D$12)/12))))))))</f>
        <v>0</v>
      </c>
      <c r="FG112" s="427">
        <f>-IF(FG$9&lt;'Operating Assumptions'!$D$53,0,IF(FG$6&gt;'Operating Assumptions'!$AA$8,0,IF('Operating Assumptions'!$L37="N/A",0,IF('Operating Assumptions'!$L37="$/Unit/Annual",(('Operating Assumptions'!$M37*FG$25)*FG$36)/12,IF('Operating Assumptions'!$L37="$/Unit/Month",('Operating Assumptions'!$M37*FG$25)*FG$36,IF('Operating Assumptions'!$L37="Fixed Amount",('Operating Assumptions'!$M37*FG$25)/12,IF('Operating Assumptions'!$L37="$/GSF",(('Operating Assumptions'!$M37*FG$25)*'Operating Assumptions'!$D$11)/12,IF('Operating Assumptions'!$L37="$/NSF",(('Operating Assumptions'!$M37*FG$25)*'Operating Assumptions'!$D$12)/12))))))))</f>
        <v>0</v>
      </c>
      <c r="FH112" s="427">
        <f>-IF(FH$9&lt;'Operating Assumptions'!$D$53,0,IF(FH$6&gt;'Operating Assumptions'!$AA$8,0,IF('Operating Assumptions'!$L37="N/A",0,IF('Operating Assumptions'!$L37="$/Unit/Annual",(('Operating Assumptions'!$M37*FH$25)*FH$36)/12,IF('Operating Assumptions'!$L37="$/Unit/Month",('Operating Assumptions'!$M37*FH$25)*FH$36,IF('Operating Assumptions'!$L37="Fixed Amount",('Operating Assumptions'!$M37*FH$25)/12,IF('Operating Assumptions'!$L37="$/GSF",(('Operating Assumptions'!$M37*FH$25)*'Operating Assumptions'!$D$11)/12,IF('Operating Assumptions'!$L37="$/NSF",(('Operating Assumptions'!$M37*FH$25)*'Operating Assumptions'!$D$12)/12))))))))</f>
        <v>0</v>
      </c>
      <c r="FI112" s="427">
        <f>-IF(FI$9&lt;'Operating Assumptions'!$D$53,0,IF(FI$6&gt;'Operating Assumptions'!$AA$8,0,IF('Operating Assumptions'!$L37="N/A",0,IF('Operating Assumptions'!$L37="$/Unit/Annual",(('Operating Assumptions'!$M37*FI$25)*FI$36)/12,IF('Operating Assumptions'!$L37="$/Unit/Month",('Operating Assumptions'!$M37*FI$25)*FI$36,IF('Operating Assumptions'!$L37="Fixed Amount",('Operating Assumptions'!$M37*FI$25)/12,IF('Operating Assumptions'!$L37="$/GSF",(('Operating Assumptions'!$M37*FI$25)*'Operating Assumptions'!$D$11)/12,IF('Operating Assumptions'!$L37="$/NSF",(('Operating Assumptions'!$M37*FI$25)*'Operating Assumptions'!$D$12)/12))))))))</f>
        <v>0</v>
      </c>
      <c r="FJ112" s="427">
        <f>-IF(FJ$9&lt;'Operating Assumptions'!$D$53,0,IF(FJ$6&gt;'Operating Assumptions'!$AA$8,0,IF('Operating Assumptions'!$L37="N/A",0,IF('Operating Assumptions'!$L37="$/Unit/Annual",(('Operating Assumptions'!$M37*FJ$25)*FJ$36)/12,IF('Operating Assumptions'!$L37="$/Unit/Month",('Operating Assumptions'!$M37*FJ$25)*FJ$36,IF('Operating Assumptions'!$L37="Fixed Amount",('Operating Assumptions'!$M37*FJ$25)/12,IF('Operating Assumptions'!$L37="$/GSF",(('Operating Assumptions'!$M37*FJ$25)*'Operating Assumptions'!$D$11)/12,IF('Operating Assumptions'!$L37="$/NSF",(('Operating Assumptions'!$M37*FJ$25)*'Operating Assumptions'!$D$12)/12))))))))</f>
        <v>0</v>
      </c>
      <c r="FK112" s="427">
        <f>-IF(FK$9&lt;'Operating Assumptions'!$D$53,0,IF(FK$6&gt;'Operating Assumptions'!$AA$8,0,IF('Operating Assumptions'!$L37="N/A",0,IF('Operating Assumptions'!$L37="$/Unit/Annual",(('Operating Assumptions'!$M37*FK$25)*FK$36)/12,IF('Operating Assumptions'!$L37="$/Unit/Month",('Operating Assumptions'!$M37*FK$25)*FK$36,IF('Operating Assumptions'!$L37="Fixed Amount",('Operating Assumptions'!$M37*FK$25)/12,IF('Operating Assumptions'!$L37="$/GSF",(('Operating Assumptions'!$M37*FK$25)*'Operating Assumptions'!$D$11)/12,IF('Operating Assumptions'!$L37="$/NSF",(('Operating Assumptions'!$M37*FK$25)*'Operating Assumptions'!$D$12)/12))))))))</f>
        <v>0</v>
      </c>
      <c r="FL112" s="427">
        <f>-IF(FL$9&lt;'Operating Assumptions'!$D$53,0,IF(FL$6&gt;'Operating Assumptions'!$AA$8,0,IF('Operating Assumptions'!$L37="N/A",0,IF('Operating Assumptions'!$L37="$/Unit/Annual",(('Operating Assumptions'!$M37*FL$25)*FL$36)/12,IF('Operating Assumptions'!$L37="$/Unit/Month",('Operating Assumptions'!$M37*FL$25)*FL$36,IF('Operating Assumptions'!$L37="Fixed Amount",('Operating Assumptions'!$M37*FL$25)/12,IF('Operating Assumptions'!$L37="$/GSF",(('Operating Assumptions'!$M37*FL$25)*'Operating Assumptions'!$D$11)/12,IF('Operating Assumptions'!$L37="$/NSF",(('Operating Assumptions'!$M37*FL$25)*'Operating Assumptions'!$D$12)/12))))))))</f>
        <v>0</v>
      </c>
      <c r="FM112" s="427">
        <f>-IF(FM$9&lt;'Operating Assumptions'!$D$53,0,IF(FM$6&gt;'Operating Assumptions'!$AA$8,0,IF('Operating Assumptions'!$L37="N/A",0,IF('Operating Assumptions'!$L37="$/Unit/Annual",(('Operating Assumptions'!$M37*FM$25)*FM$36)/12,IF('Operating Assumptions'!$L37="$/Unit/Month",('Operating Assumptions'!$M37*FM$25)*FM$36,IF('Operating Assumptions'!$L37="Fixed Amount",('Operating Assumptions'!$M37*FM$25)/12,IF('Operating Assumptions'!$L37="$/GSF",(('Operating Assumptions'!$M37*FM$25)*'Operating Assumptions'!$D$11)/12,IF('Operating Assumptions'!$L37="$/NSF",(('Operating Assumptions'!$M37*FM$25)*'Operating Assumptions'!$D$12)/12))))))))</f>
        <v>0</v>
      </c>
      <c r="FN112" s="427">
        <f>-IF(FN$9&lt;'Operating Assumptions'!$D$53,0,IF(FN$6&gt;'Operating Assumptions'!$AA$8,0,IF('Operating Assumptions'!$L37="N/A",0,IF('Operating Assumptions'!$L37="$/Unit/Annual",(('Operating Assumptions'!$M37*FN$25)*FN$36)/12,IF('Operating Assumptions'!$L37="$/Unit/Month",('Operating Assumptions'!$M37*FN$25)*FN$36,IF('Operating Assumptions'!$L37="Fixed Amount",('Operating Assumptions'!$M37*FN$25)/12,IF('Operating Assumptions'!$L37="$/GSF",(('Operating Assumptions'!$M37*FN$25)*'Operating Assumptions'!$D$11)/12,IF('Operating Assumptions'!$L37="$/NSF",(('Operating Assumptions'!$M37*FN$25)*'Operating Assumptions'!$D$12)/12))))))))</f>
        <v>0</v>
      </c>
      <c r="FO112" s="427">
        <f>-IF(FO$9&lt;'Operating Assumptions'!$D$53,0,IF(FO$6&gt;'Operating Assumptions'!$AA$8,0,IF('Operating Assumptions'!$L37="N/A",0,IF('Operating Assumptions'!$L37="$/Unit/Annual",(('Operating Assumptions'!$M37*FO$25)*FO$36)/12,IF('Operating Assumptions'!$L37="$/Unit/Month",('Operating Assumptions'!$M37*FO$25)*FO$36,IF('Operating Assumptions'!$L37="Fixed Amount",('Operating Assumptions'!$M37*FO$25)/12,IF('Operating Assumptions'!$L37="$/GSF",(('Operating Assumptions'!$M37*FO$25)*'Operating Assumptions'!$D$11)/12,IF('Operating Assumptions'!$L37="$/NSF",(('Operating Assumptions'!$M37*FO$25)*'Operating Assumptions'!$D$12)/12))))))))</f>
        <v>0</v>
      </c>
      <c r="FP112" s="427">
        <f>-IF(FP$9&lt;'Operating Assumptions'!$D$53,0,IF(FP$6&gt;'Operating Assumptions'!$AA$8,0,IF('Operating Assumptions'!$L37="N/A",0,IF('Operating Assumptions'!$L37="$/Unit/Annual",(('Operating Assumptions'!$M37*FP$25)*FP$36)/12,IF('Operating Assumptions'!$L37="$/Unit/Month",('Operating Assumptions'!$M37*FP$25)*FP$36,IF('Operating Assumptions'!$L37="Fixed Amount",('Operating Assumptions'!$M37*FP$25)/12,IF('Operating Assumptions'!$L37="$/GSF",(('Operating Assumptions'!$M37*FP$25)*'Operating Assumptions'!$D$11)/12,IF('Operating Assumptions'!$L37="$/NSF",(('Operating Assumptions'!$M37*FP$25)*'Operating Assumptions'!$D$12)/12))))))))</f>
        <v>0</v>
      </c>
      <c r="FQ112" s="427">
        <f>-IF(FQ$9&lt;'Operating Assumptions'!$D$53,0,IF(FQ$6&gt;'Operating Assumptions'!$AA$8,0,IF('Operating Assumptions'!$L37="N/A",0,IF('Operating Assumptions'!$L37="$/Unit/Annual",(('Operating Assumptions'!$M37*FQ$25)*FQ$36)/12,IF('Operating Assumptions'!$L37="$/Unit/Month",('Operating Assumptions'!$M37*FQ$25)*FQ$36,IF('Operating Assumptions'!$L37="Fixed Amount",('Operating Assumptions'!$M37*FQ$25)/12,IF('Operating Assumptions'!$L37="$/GSF",(('Operating Assumptions'!$M37*FQ$25)*'Operating Assumptions'!$D$11)/12,IF('Operating Assumptions'!$L37="$/NSF",(('Operating Assumptions'!$M37*FQ$25)*'Operating Assumptions'!$D$12)/12))))))))</f>
        <v>0</v>
      </c>
      <c r="FR112" s="427">
        <f>-IF(FR$9&lt;'Operating Assumptions'!$D$53,0,IF(FR$6&gt;'Operating Assumptions'!$AA$8,0,IF('Operating Assumptions'!$L37="N/A",0,IF('Operating Assumptions'!$L37="$/Unit/Annual",(('Operating Assumptions'!$M37*FR$25)*FR$36)/12,IF('Operating Assumptions'!$L37="$/Unit/Month",('Operating Assumptions'!$M37*FR$25)*FR$36,IF('Operating Assumptions'!$L37="Fixed Amount",('Operating Assumptions'!$M37*FR$25)/12,IF('Operating Assumptions'!$L37="$/GSF",(('Operating Assumptions'!$M37*FR$25)*'Operating Assumptions'!$D$11)/12,IF('Operating Assumptions'!$L37="$/NSF",(('Operating Assumptions'!$M37*FR$25)*'Operating Assumptions'!$D$12)/12))))))))</f>
        <v>0</v>
      </c>
      <c r="FS112" s="427">
        <f>-IF(FS$9&lt;'Operating Assumptions'!$D$53,0,IF(FS$6&gt;'Operating Assumptions'!$AA$8,0,IF('Operating Assumptions'!$L37="N/A",0,IF('Operating Assumptions'!$L37="$/Unit/Annual",(('Operating Assumptions'!$M37*FS$25)*FS$36)/12,IF('Operating Assumptions'!$L37="$/Unit/Month",('Operating Assumptions'!$M37*FS$25)*FS$36,IF('Operating Assumptions'!$L37="Fixed Amount",('Operating Assumptions'!$M37*FS$25)/12,IF('Operating Assumptions'!$L37="$/GSF",(('Operating Assumptions'!$M37*FS$25)*'Operating Assumptions'!$D$11)/12,IF('Operating Assumptions'!$L37="$/NSF",(('Operating Assumptions'!$M37*FS$25)*'Operating Assumptions'!$D$12)/12))))))))</f>
        <v>0</v>
      </c>
      <c r="FT112" s="427">
        <f>-IF(FT$9&lt;'Operating Assumptions'!$D$53,0,IF(FT$6&gt;'Operating Assumptions'!$AA$8,0,IF('Operating Assumptions'!$L37="N/A",0,IF('Operating Assumptions'!$L37="$/Unit/Annual",(('Operating Assumptions'!$M37*FT$25)*FT$36)/12,IF('Operating Assumptions'!$L37="$/Unit/Month",('Operating Assumptions'!$M37*FT$25)*FT$36,IF('Operating Assumptions'!$L37="Fixed Amount",('Operating Assumptions'!$M37*FT$25)/12,IF('Operating Assumptions'!$L37="$/GSF",(('Operating Assumptions'!$M37*FT$25)*'Operating Assumptions'!$D$11)/12,IF('Operating Assumptions'!$L37="$/NSF",(('Operating Assumptions'!$M37*FT$25)*'Operating Assumptions'!$D$12)/12))))))))</f>
        <v>0</v>
      </c>
      <c r="FU112" s="43"/>
      <c r="FV112" s="34"/>
      <c r="FW112" s="34"/>
      <c r="FX112" s="34"/>
      <c r="FY112" s="34"/>
      <c r="FZ112" s="34"/>
    </row>
    <row r="113" spans="1:182" s="89" customFormat="1" ht="13.5" x14ac:dyDescent="0.25">
      <c r="A113" s="34"/>
      <c r="B113" s="128" t="str">
        <f>'Operating Assumptions'!K38</f>
        <v>FF&amp;E</v>
      </c>
      <c r="C113" s="34"/>
      <c r="D113" s="34"/>
      <c r="E113" s="34"/>
      <c r="F113" s="434">
        <f t="shared" si="186"/>
        <v>0</v>
      </c>
      <c r="G113" s="34"/>
      <c r="H113" s="427">
        <f>-IF(H$9&lt;'Operating Assumptions'!$D$53,0,IF(H$6&gt;'Operating Assumptions'!$AA$8,0,IF('Operating Assumptions'!$L38="N/A",0,IF('Operating Assumptions'!$L38="$/Unit/Annual",(('Operating Assumptions'!$M38*H$25)*H$36)/12,IF('Operating Assumptions'!$L38="$/Unit/Month",('Operating Assumptions'!$M38*H$25)*H$36,IF('Operating Assumptions'!$L38="Fixed Amount",('Operating Assumptions'!$M38*H$25)/12,IF('Operating Assumptions'!$L38="$/GSF",(('Operating Assumptions'!$M38*H$25)*'Operating Assumptions'!$D$11)/12,IF('Operating Assumptions'!$L38="$/NSF",(('Operating Assumptions'!$M38*H$25)*'Operating Assumptions'!$D$12)/12))))))))</f>
        <v>0</v>
      </c>
      <c r="I113" s="427">
        <f>-IF(I$9&lt;'Operating Assumptions'!$D$53,0,IF(I$6&gt;'Operating Assumptions'!$AA$8,0,IF('Operating Assumptions'!$L38="N/A",0,IF('Operating Assumptions'!$L38="$/Unit/Annual",(('Operating Assumptions'!$M38*I$25)*I$36)/12,IF('Operating Assumptions'!$L38="$/Unit/Month",('Operating Assumptions'!$M38*I$25)*I$36,IF('Operating Assumptions'!$L38="Fixed Amount",('Operating Assumptions'!$M38*I$25)/12,IF('Operating Assumptions'!$L38="$/GSF",(('Operating Assumptions'!$M38*I$25)*'Operating Assumptions'!$D$11)/12,IF('Operating Assumptions'!$L38="$/NSF",(('Operating Assumptions'!$M38*I$25)*'Operating Assumptions'!$D$12)/12))))))))</f>
        <v>0</v>
      </c>
      <c r="J113" s="427">
        <f>-IF(J$9&lt;'Operating Assumptions'!$D$53,0,IF(J$6&gt;'Operating Assumptions'!$AA$8,0,IF('Operating Assumptions'!$L38="N/A",0,IF('Operating Assumptions'!$L38="$/Unit/Annual",(('Operating Assumptions'!$M38*J$25)*J$36)/12,IF('Operating Assumptions'!$L38="$/Unit/Month",('Operating Assumptions'!$M38*J$25)*J$36,IF('Operating Assumptions'!$L38="Fixed Amount",('Operating Assumptions'!$M38*J$25)/12,IF('Operating Assumptions'!$L38="$/GSF",(('Operating Assumptions'!$M38*J$25)*'Operating Assumptions'!$D$11)/12,IF('Operating Assumptions'!$L38="$/NSF",(('Operating Assumptions'!$M38*J$25)*'Operating Assumptions'!$D$12)/12))))))))</f>
        <v>0</v>
      </c>
      <c r="K113" s="427">
        <f>-IF(K$9&lt;'Operating Assumptions'!$D$53,0,IF(K$6&gt;'Operating Assumptions'!$AA$8,0,IF('Operating Assumptions'!$L38="N/A",0,IF('Operating Assumptions'!$L38="$/Unit/Annual",(('Operating Assumptions'!$M38*K$25)*K$36)/12,IF('Operating Assumptions'!$L38="$/Unit/Month",('Operating Assumptions'!$M38*K$25)*K$36,IF('Operating Assumptions'!$L38="Fixed Amount",('Operating Assumptions'!$M38*K$25)/12,IF('Operating Assumptions'!$L38="$/GSF",(('Operating Assumptions'!$M38*K$25)*'Operating Assumptions'!$D$11)/12,IF('Operating Assumptions'!$L38="$/NSF",(('Operating Assumptions'!$M38*K$25)*'Operating Assumptions'!$D$12)/12))))))))</f>
        <v>0</v>
      </c>
      <c r="L113" s="427">
        <f>-IF(L$9&lt;'Operating Assumptions'!$D$53,0,IF(L$6&gt;'Operating Assumptions'!$AA$8,0,IF('Operating Assumptions'!$L38="N/A",0,IF('Operating Assumptions'!$L38="$/Unit/Annual",(('Operating Assumptions'!$M38*L$25)*L$36)/12,IF('Operating Assumptions'!$L38="$/Unit/Month",('Operating Assumptions'!$M38*L$25)*L$36,IF('Operating Assumptions'!$L38="Fixed Amount",('Operating Assumptions'!$M38*L$25)/12,IF('Operating Assumptions'!$L38="$/GSF",(('Operating Assumptions'!$M38*L$25)*'Operating Assumptions'!$D$11)/12,IF('Operating Assumptions'!$L38="$/NSF",(('Operating Assumptions'!$M38*L$25)*'Operating Assumptions'!$D$12)/12))))))))</f>
        <v>0</v>
      </c>
      <c r="M113" s="427">
        <f>-IF(M$9&lt;'Operating Assumptions'!$D$53,0,IF(M$6&gt;'Operating Assumptions'!$AA$8,0,IF('Operating Assumptions'!$L38="N/A",0,IF('Operating Assumptions'!$L38="$/Unit/Annual",(('Operating Assumptions'!$M38*M$25)*M$36)/12,IF('Operating Assumptions'!$L38="$/Unit/Month",('Operating Assumptions'!$M38*M$25)*M$36,IF('Operating Assumptions'!$L38="Fixed Amount",('Operating Assumptions'!$M38*M$25)/12,IF('Operating Assumptions'!$L38="$/GSF",(('Operating Assumptions'!$M38*M$25)*'Operating Assumptions'!$D$11)/12,IF('Operating Assumptions'!$L38="$/NSF",(('Operating Assumptions'!$M38*M$25)*'Operating Assumptions'!$D$12)/12))))))))</f>
        <v>0</v>
      </c>
      <c r="N113" s="427">
        <f>-IF(N$9&lt;'Operating Assumptions'!$D$53,0,IF(N$6&gt;'Operating Assumptions'!$AA$8,0,IF('Operating Assumptions'!$L38="N/A",0,IF('Operating Assumptions'!$L38="$/Unit/Annual",(('Operating Assumptions'!$M38*N$25)*N$36)/12,IF('Operating Assumptions'!$L38="$/Unit/Month",('Operating Assumptions'!$M38*N$25)*N$36,IF('Operating Assumptions'!$L38="Fixed Amount",('Operating Assumptions'!$M38*N$25)/12,IF('Operating Assumptions'!$L38="$/GSF",(('Operating Assumptions'!$M38*N$25)*'Operating Assumptions'!$D$11)/12,IF('Operating Assumptions'!$L38="$/NSF",(('Operating Assumptions'!$M38*N$25)*'Operating Assumptions'!$D$12)/12))))))))</f>
        <v>0</v>
      </c>
      <c r="O113" s="427">
        <f>-IF(O$9&lt;'Operating Assumptions'!$D$53,0,IF(O$6&gt;'Operating Assumptions'!$AA$8,0,IF('Operating Assumptions'!$L38="N/A",0,IF('Operating Assumptions'!$L38="$/Unit/Annual",(('Operating Assumptions'!$M38*O$25)*O$36)/12,IF('Operating Assumptions'!$L38="$/Unit/Month",('Operating Assumptions'!$M38*O$25)*O$36,IF('Operating Assumptions'!$L38="Fixed Amount",('Operating Assumptions'!$M38*O$25)/12,IF('Operating Assumptions'!$L38="$/GSF",(('Operating Assumptions'!$M38*O$25)*'Operating Assumptions'!$D$11)/12,IF('Operating Assumptions'!$L38="$/NSF",(('Operating Assumptions'!$M38*O$25)*'Operating Assumptions'!$D$12)/12))))))))</f>
        <v>0</v>
      </c>
      <c r="P113" s="427">
        <f>-IF(P$9&lt;'Operating Assumptions'!$D$53,0,IF(P$6&gt;'Operating Assumptions'!$AA$8,0,IF('Operating Assumptions'!$L38="N/A",0,IF('Operating Assumptions'!$L38="$/Unit/Annual",(('Operating Assumptions'!$M38*P$25)*P$36)/12,IF('Operating Assumptions'!$L38="$/Unit/Month",('Operating Assumptions'!$M38*P$25)*P$36,IF('Operating Assumptions'!$L38="Fixed Amount",('Operating Assumptions'!$M38*P$25)/12,IF('Operating Assumptions'!$L38="$/GSF",(('Operating Assumptions'!$M38*P$25)*'Operating Assumptions'!$D$11)/12,IF('Operating Assumptions'!$L38="$/NSF",(('Operating Assumptions'!$M38*P$25)*'Operating Assumptions'!$D$12)/12))))))))</f>
        <v>0</v>
      </c>
      <c r="Q113" s="427">
        <f>-IF(Q$9&lt;'Operating Assumptions'!$D$53,0,IF(Q$6&gt;'Operating Assumptions'!$AA$8,0,IF('Operating Assumptions'!$L38="N/A",0,IF('Operating Assumptions'!$L38="$/Unit/Annual",(('Operating Assumptions'!$M38*Q$25)*Q$36)/12,IF('Operating Assumptions'!$L38="$/Unit/Month",('Operating Assumptions'!$M38*Q$25)*Q$36,IF('Operating Assumptions'!$L38="Fixed Amount",('Operating Assumptions'!$M38*Q$25)/12,IF('Operating Assumptions'!$L38="$/GSF",(('Operating Assumptions'!$M38*Q$25)*'Operating Assumptions'!$D$11)/12,IF('Operating Assumptions'!$L38="$/NSF",(('Operating Assumptions'!$M38*Q$25)*'Operating Assumptions'!$D$12)/12))))))))</f>
        <v>0</v>
      </c>
      <c r="R113" s="427">
        <f>-IF(R$9&lt;'Operating Assumptions'!$D$53,0,IF(R$6&gt;'Operating Assumptions'!$AA$8,0,IF('Operating Assumptions'!$L38="N/A",0,IF('Operating Assumptions'!$L38="$/Unit/Annual",(('Operating Assumptions'!$M38*R$25)*R$36)/12,IF('Operating Assumptions'!$L38="$/Unit/Month",('Operating Assumptions'!$M38*R$25)*R$36,IF('Operating Assumptions'!$L38="Fixed Amount",('Operating Assumptions'!$M38*R$25)/12,IF('Operating Assumptions'!$L38="$/GSF",(('Operating Assumptions'!$M38*R$25)*'Operating Assumptions'!$D$11)/12,IF('Operating Assumptions'!$L38="$/NSF",(('Operating Assumptions'!$M38*R$25)*'Operating Assumptions'!$D$12)/12))))))))</f>
        <v>0</v>
      </c>
      <c r="S113" s="427">
        <f>-IF(S$9&lt;'Operating Assumptions'!$D$53,0,IF(S$6&gt;'Operating Assumptions'!$AA$8,0,IF('Operating Assumptions'!$L38="N/A",0,IF('Operating Assumptions'!$L38="$/Unit/Annual",(('Operating Assumptions'!$M38*S$25)*S$36)/12,IF('Operating Assumptions'!$L38="$/Unit/Month",('Operating Assumptions'!$M38*S$25)*S$36,IF('Operating Assumptions'!$L38="Fixed Amount",('Operating Assumptions'!$M38*S$25)/12,IF('Operating Assumptions'!$L38="$/GSF",(('Operating Assumptions'!$M38*S$25)*'Operating Assumptions'!$D$11)/12,IF('Operating Assumptions'!$L38="$/NSF",(('Operating Assumptions'!$M38*S$25)*'Operating Assumptions'!$D$12)/12))))))))</f>
        <v>0</v>
      </c>
      <c r="T113" s="427">
        <f>-IF(T$9&lt;'Operating Assumptions'!$D$53,0,IF(T$6&gt;'Operating Assumptions'!$AA$8,0,IF('Operating Assumptions'!$L38="N/A",0,IF('Operating Assumptions'!$L38="$/Unit/Annual",(('Operating Assumptions'!$M38*T$25)*T$36)/12,IF('Operating Assumptions'!$L38="$/Unit/Month",('Operating Assumptions'!$M38*T$25)*T$36,IF('Operating Assumptions'!$L38="Fixed Amount",('Operating Assumptions'!$M38*T$25)/12,IF('Operating Assumptions'!$L38="$/GSF",(('Operating Assumptions'!$M38*T$25)*'Operating Assumptions'!$D$11)/12,IF('Operating Assumptions'!$L38="$/NSF",(('Operating Assumptions'!$M38*T$25)*'Operating Assumptions'!$D$12)/12))))))))</f>
        <v>0</v>
      </c>
      <c r="U113" s="427">
        <f>-IF(U$9&lt;'Operating Assumptions'!$D$53,0,IF(U$6&gt;'Operating Assumptions'!$AA$8,0,IF('Operating Assumptions'!$L38="N/A",0,IF('Operating Assumptions'!$L38="$/Unit/Annual",(('Operating Assumptions'!$M38*U$25)*U$36)/12,IF('Operating Assumptions'!$L38="$/Unit/Month",('Operating Assumptions'!$M38*U$25)*U$36,IF('Operating Assumptions'!$L38="Fixed Amount",('Operating Assumptions'!$M38*U$25)/12,IF('Operating Assumptions'!$L38="$/GSF",(('Operating Assumptions'!$M38*U$25)*'Operating Assumptions'!$D$11)/12,IF('Operating Assumptions'!$L38="$/NSF",(('Operating Assumptions'!$M38*U$25)*'Operating Assumptions'!$D$12)/12))))))))</f>
        <v>0</v>
      </c>
      <c r="V113" s="427">
        <f>-IF(V$9&lt;'Operating Assumptions'!$D$53,0,IF(V$6&gt;'Operating Assumptions'!$AA$8,0,IF('Operating Assumptions'!$L38="N/A",0,IF('Operating Assumptions'!$L38="$/Unit/Annual",(('Operating Assumptions'!$M38*V$25)*V$36)/12,IF('Operating Assumptions'!$L38="$/Unit/Month",('Operating Assumptions'!$M38*V$25)*V$36,IF('Operating Assumptions'!$L38="Fixed Amount",('Operating Assumptions'!$M38*V$25)/12,IF('Operating Assumptions'!$L38="$/GSF",(('Operating Assumptions'!$M38*V$25)*'Operating Assumptions'!$D$11)/12,IF('Operating Assumptions'!$L38="$/NSF",(('Operating Assumptions'!$M38*V$25)*'Operating Assumptions'!$D$12)/12))))))))</f>
        <v>0</v>
      </c>
      <c r="W113" s="427">
        <f>-IF(W$9&lt;'Operating Assumptions'!$D$53,0,IF(W$6&gt;'Operating Assumptions'!$AA$8,0,IF('Operating Assumptions'!$L38="N/A",0,IF('Operating Assumptions'!$L38="$/Unit/Annual",(('Operating Assumptions'!$M38*W$25)*W$36)/12,IF('Operating Assumptions'!$L38="$/Unit/Month",('Operating Assumptions'!$M38*W$25)*W$36,IF('Operating Assumptions'!$L38="Fixed Amount",('Operating Assumptions'!$M38*W$25)/12,IF('Operating Assumptions'!$L38="$/GSF",(('Operating Assumptions'!$M38*W$25)*'Operating Assumptions'!$D$11)/12,IF('Operating Assumptions'!$L38="$/NSF",(('Operating Assumptions'!$M38*W$25)*'Operating Assumptions'!$D$12)/12))))))))</f>
        <v>0</v>
      </c>
      <c r="X113" s="427">
        <f>-IF(X$9&lt;'Operating Assumptions'!$D$53,0,IF(X$6&gt;'Operating Assumptions'!$AA$8,0,IF('Operating Assumptions'!$L38="N/A",0,IF('Operating Assumptions'!$L38="$/Unit/Annual",(('Operating Assumptions'!$M38*X$25)*X$36)/12,IF('Operating Assumptions'!$L38="$/Unit/Month",('Operating Assumptions'!$M38*X$25)*X$36,IF('Operating Assumptions'!$L38="Fixed Amount",('Operating Assumptions'!$M38*X$25)/12,IF('Operating Assumptions'!$L38="$/GSF",(('Operating Assumptions'!$M38*X$25)*'Operating Assumptions'!$D$11)/12,IF('Operating Assumptions'!$L38="$/NSF",(('Operating Assumptions'!$M38*X$25)*'Operating Assumptions'!$D$12)/12))))))))</f>
        <v>0</v>
      </c>
      <c r="Y113" s="427">
        <f>-IF(Y$9&lt;'Operating Assumptions'!$D$53,0,IF(Y$6&gt;'Operating Assumptions'!$AA$8,0,IF('Operating Assumptions'!$L38="N/A",0,IF('Operating Assumptions'!$L38="$/Unit/Annual",(('Operating Assumptions'!$M38*Y$25)*Y$36)/12,IF('Operating Assumptions'!$L38="$/Unit/Month",('Operating Assumptions'!$M38*Y$25)*Y$36,IF('Operating Assumptions'!$L38="Fixed Amount",('Operating Assumptions'!$M38*Y$25)/12,IF('Operating Assumptions'!$L38="$/GSF",(('Operating Assumptions'!$M38*Y$25)*'Operating Assumptions'!$D$11)/12,IF('Operating Assumptions'!$L38="$/NSF",(('Operating Assumptions'!$M38*Y$25)*'Operating Assumptions'!$D$12)/12))))))))</f>
        <v>0</v>
      </c>
      <c r="Z113" s="427">
        <f>-IF(Z$9&lt;'Operating Assumptions'!$D$53,0,IF(Z$6&gt;'Operating Assumptions'!$AA$8,0,IF('Operating Assumptions'!$L38="N/A",0,IF('Operating Assumptions'!$L38="$/Unit/Annual",(('Operating Assumptions'!$M38*Z$25)*Z$36)/12,IF('Operating Assumptions'!$L38="$/Unit/Month",('Operating Assumptions'!$M38*Z$25)*Z$36,IF('Operating Assumptions'!$L38="Fixed Amount",('Operating Assumptions'!$M38*Z$25)/12,IF('Operating Assumptions'!$L38="$/GSF",(('Operating Assumptions'!$M38*Z$25)*'Operating Assumptions'!$D$11)/12,IF('Operating Assumptions'!$L38="$/NSF",(('Operating Assumptions'!$M38*Z$25)*'Operating Assumptions'!$D$12)/12))))))))</f>
        <v>0</v>
      </c>
      <c r="AA113" s="427">
        <f>-IF(AA$9&lt;'Operating Assumptions'!$D$53,0,IF(AA$6&gt;'Operating Assumptions'!$AA$8,0,IF('Operating Assumptions'!$L38="N/A",0,IF('Operating Assumptions'!$L38="$/Unit/Annual",(('Operating Assumptions'!$M38*AA$25)*AA$36)/12,IF('Operating Assumptions'!$L38="$/Unit/Month",('Operating Assumptions'!$M38*AA$25)*AA$36,IF('Operating Assumptions'!$L38="Fixed Amount",('Operating Assumptions'!$M38*AA$25)/12,IF('Operating Assumptions'!$L38="$/GSF",(('Operating Assumptions'!$M38*AA$25)*'Operating Assumptions'!$D$11)/12,IF('Operating Assumptions'!$L38="$/NSF",(('Operating Assumptions'!$M38*AA$25)*'Operating Assumptions'!$D$12)/12))))))))</f>
        <v>0</v>
      </c>
      <c r="AB113" s="427">
        <f>-IF(AB$9&lt;'Operating Assumptions'!$D$53,0,IF(AB$6&gt;'Operating Assumptions'!$AA$8,0,IF('Operating Assumptions'!$L38="N/A",0,IF('Operating Assumptions'!$L38="$/Unit/Annual",(('Operating Assumptions'!$M38*AB$25)*AB$36)/12,IF('Operating Assumptions'!$L38="$/Unit/Month",('Operating Assumptions'!$M38*AB$25)*AB$36,IF('Operating Assumptions'!$L38="Fixed Amount",('Operating Assumptions'!$M38*AB$25)/12,IF('Operating Assumptions'!$L38="$/GSF",(('Operating Assumptions'!$M38*AB$25)*'Operating Assumptions'!$D$11)/12,IF('Operating Assumptions'!$L38="$/NSF",(('Operating Assumptions'!$M38*AB$25)*'Operating Assumptions'!$D$12)/12))))))))</f>
        <v>0</v>
      </c>
      <c r="AC113" s="427">
        <f>-IF(AC$9&lt;'Operating Assumptions'!$D$53,0,IF(AC$6&gt;'Operating Assumptions'!$AA$8,0,IF('Operating Assumptions'!$L38="N/A",0,IF('Operating Assumptions'!$L38="$/Unit/Annual",(('Operating Assumptions'!$M38*AC$25)*AC$36)/12,IF('Operating Assumptions'!$L38="$/Unit/Month",('Operating Assumptions'!$M38*AC$25)*AC$36,IF('Operating Assumptions'!$L38="Fixed Amount",('Operating Assumptions'!$M38*AC$25)/12,IF('Operating Assumptions'!$L38="$/GSF",(('Operating Assumptions'!$M38*AC$25)*'Operating Assumptions'!$D$11)/12,IF('Operating Assumptions'!$L38="$/NSF",(('Operating Assumptions'!$M38*AC$25)*'Operating Assumptions'!$D$12)/12))))))))</f>
        <v>0</v>
      </c>
      <c r="AD113" s="427">
        <f>-IF(AD$9&lt;'Operating Assumptions'!$D$53,0,IF(AD$6&gt;'Operating Assumptions'!$AA$8,0,IF('Operating Assumptions'!$L38="N/A",0,IF('Operating Assumptions'!$L38="$/Unit/Annual",(('Operating Assumptions'!$M38*AD$25)*AD$36)/12,IF('Operating Assumptions'!$L38="$/Unit/Month",('Operating Assumptions'!$M38*AD$25)*AD$36,IF('Operating Assumptions'!$L38="Fixed Amount",('Operating Assumptions'!$M38*AD$25)/12,IF('Operating Assumptions'!$L38="$/GSF",(('Operating Assumptions'!$M38*AD$25)*'Operating Assumptions'!$D$11)/12,IF('Operating Assumptions'!$L38="$/NSF",(('Operating Assumptions'!$M38*AD$25)*'Operating Assumptions'!$D$12)/12))))))))</f>
        <v>0</v>
      </c>
      <c r="AE113" s="427">
        <f>-IF(AE$9&lt;'Operating Assumptions'!$D$53,0,IF(AE$6&gt;'Operating Assumptions'!$AA$8,0,IF('Operating Assumptions'!$L38="N/A",0,IF('Operating Assumptions'!$L38="$/Unit/Annual",(('Operating Assumptions'!$M38*AE$25)*AE$36)/12,IF('Operating Assumptions'!$L38="$/Unit/Month",('Operating Assumptions'!$M38*AE$25)*AE$36,IF('Operating Assumptions'!$L38="Fixed Amount",('Operating Assumptions'!$M38*AE$25)/12,IF('Operating Assumptions'!$L38="$/GSF",(('Operating Assumptions'!$M38*AE$25)*'Operating Assumptions'!$D$11)/12,IF('Operating Assumptions'!$L38="$/NSF",(('Operating Assumptions'!$M38*AE$25)*'Operating Assumptions'!$D$12)/12))))))))</f>
        <v>0</v>
      </c>
      <c r="AF113" s="427">
        <f>-IF(AF$9&lt;'Operating Assumptions'!$D$53,0,IF(AF$6&gt;'Operating Assumptions'!$AA$8,0,IF('Operating Assumptions'!$L38="N/A",0,IF('Operating Assumptions'!$L38="$/Unit/Annual",(('Operating Assumptions'!$M38*AF$25)*AF$36)/12,IF('Operating Assumptions'!$L38="$/Unit/Month",('Operating Assumptions'!$M38*AF$25)*AF$36,IF('Operating Assumptions'!$L38="Fixed Amount",('Operating Assumptions'!$M38*AF$25)/12,IF('Operating Assumptions'!$L38="$/GSF",(('Operating Assumptions'!$M38*AF$25)*'Operating Assumptions'!$D$11)/12,IF('Operating Assumptions'!$L38="$/NSF",(('Operating Assumptions'!$M38*AF$25)*'Operating Assumptions'!$D$12)/12))))))))</f>
        <v>0</v>
      </c>
      <c r="AG113" s="427">
        <f>-IF(AG$9&lt;'Operating Assumptions'!$D$53,0,IF(AG$6&gt;'Operating Assumptions'!$AA$8,0,IF('Operating Assumptions'!$L38="N/A",0,IF('Operating Assumptions'!$L38="$/Unit/Annual",(('Operating Assumptions'!$M38*AG$25)*AG$36)/12,IF('Operating Assumptions'!$L38="$/Unit/Month",('Operating Assumptions'!$M38*AG$25)*AG$36,IF('Operating Assumptions'!$L38="Fixed Amount",('Operating Assumptions'!$M38*AG$25)/12,IF('Operating Assumptions'!$L38="$/GSF",(('Operating Assumptions'!$M38*AG$25)*'Operating Assumptions'!$D$11)/12,IF('Operating Assumptions'!$L38="$/NSF",(('Operating Assumptions'!$M38*AG$25)*'Operating Assumptions'!$D$12)/12))))))))</f>
        <v>0</v>
      </c>
      <c r="AH113" s="427">
        <f>-IF(AH$9&lt;'Operating Assumptions'!$D$53,0,IF(AH$6&gt;'Operating Assumptions'!$AA$8,0,IF('Operating Assumptions'!$L38="N/A",0,IF('Operating Assumptions'!$L38="$/Unit/Annual",(('Operating Assumptions'!$M38*AH$25)*AH$36)/12,IF('Operating Assumptions'!$L38="$/Unit/Month",('Operating Assumptions'!$M38*AH$25)*AH$36,IF('Operating Assumptions'!$L38="Fixed Amount",('Operating Assumptions'!$M38*AH$25)/12,IF('Operating Assumptions'!$L38="$/GSF",(('Operating Assumptions'!$M38*AH$25)*'Operating Assumptions'!$D$11)/12,IF('Operating Assumptions'!$L38="$/NSF",(('Operating Assumptions'!$M38*AH$25)*'Operating Assumptions'!$D$12)/12))))))))</f>
        <v>0</v>
      </c>
      <c r="AI113" s="427">
        <f>-IF(AI$9&lt;'Operating Assumptions'!$D$53,0,IF(AI$6&gt;'Operating Assumptions'!$AA$8,0,IF('Operating Assumptions'!$L38="N/A",0,IF('Operating Assumptions'!$L38="$/Unit/Annual",(('Operating Assumptions'!$M38*AI$25)*AI$36)/12,IF('Operating Assumptions'!$L38="$/Unit/Month",('Operating Assumptions'!$M38*AI$25)*AI$36,IF('Operating Assumptions'!$L38="Fixed Amount",('Operating Assumptions'!$M38*AI$25)/12,IF('Operating Assumptions'!$L38="$/GSF",(('Operating Assumptions'!$M38*AI$25)*'Operating Assumptions'!$D$11)/12,IF('Operating Assumptions'!$L38="$/NSF",(('Operating Assumptions'!$M38*AI$25)*'Operating Assumptions'!$D$12)/12))))))))</f>
        <v>0</v>
      </c>
      <c r="AJ113" s="427">
        <f>-IF(AJ$9&lt;'Operating Assumptions'!$D$53,0,IF(AJ$6&gt;'Operating Assumptions'!$AA$8,0,IF('Operating Assumptions'!$L38="N/A",0,IF('Operating Assumptions'!$L38="$/Unit/Annual",(('Operating Assumptions'!$M38*AJ$25)*AJ$36)/12,IF('Operating Assumptions'!$L38="$/Unit/Month",('Operating Assumptions'!$M38*AJ$25)*AJ$36,IF('Operating Assumptions'!$L38="Fixed Amount",('Operating Assumptions'!$M38*AJ$25)/12,IF('Operating Assumptions'!$L38="$/GSF",(('Operating Assumptions'!$M38*AJ$25)*'Operating Assumptions'!$D$11)/12,IF('Operating Assumptions'!$L38="$/NSF",(('Operating Assumptions'!$M38*AJ$25)*'Operating Assumptions'!$D$12)/12))))))))</f>
        <v>0</v>
      </c>
      <c r="AK113" s="427">
        <f>-IF(AK$9&lt;'Operating Assumptions'!$D$53,0,IF(AK$6&gt;'Operating Assumptions'!$AA$8,0,IF('Operating Assumptions'!$L38="N/A",0,IF('Operating Assumptions'!$L38="$/Unit/Annual",(('Operating Assumptions'!$M38*AK$25)*AK$36)/12,IF('Operating Assumptions'!$L38="$/Unit/Month",('Operating Assumptions'!$M38*AK$25)*AK$36,IF('Operating Assumptions'!$L38="Fixed Amount",('Operating Assumptions'!$M38*AK$25)/12,IF('Operating Assumptions'!$L38="$/GSF",(('Operating Assumptions'!$M38*AK$25)*'Operating Assumptions'!$D$11)/12,IF('Operating Assumptions'!$L38="$/NSF",(('Operating Assumptions'!$M38*AK$25)*'Operating Assumptions'!$D$12)/12))))))))</f>
        <v>0</v>
      </c>
      <c r="AL113" s="427">
        <f>-IF(AL$9&lt;'Operating Assumptions'!$D$53,0,IF(AL$6&gt;'Operating Assumptions'!$AA$8,0,IF('Operating Assumptions'!$L38="N/A",0,IF('Operating Assumptions'!$L38="$/Unit/Annual",(('Operating Assumptions'!$M38*AL$25)*AL$36)/12,IF('Operating Assumptions'!$L38="$/Unit/Month",('Operating Assumptions'!$M38*AL$25)*AL$36,IF('Operating Assumptions'!$L38="Fixed Amount",('Operating Assumptions'!$M38*AL$25)/12,IF('Operating Assumptions'!$L38="$/GSF",(('Operating Assumptions'!$M38*AL$25)*'Operating Assumptions'!$D$11)/12,IF('Operating Assumptions'!$L38="$/NSF",(('Operating Assumptions'!$M38*AL$25)*'Operating Assumptions'!$D$12)/12))))))))</f>
        <v>0</v>
      </c>
      <c r="AM113" s="427">
        <f>-IF(AM$9&lt;'Operating Assumptions'!$D$53,0,IF(AM$6&gt;'Operating Assumptions'!$AA$8,0,IF('Operating Assumptions'!$L38="N/A",0,IF('Operating Assumptions'!$L38="$/Unit/Annual",(('Operating Assumptions'!$M38*AM$25)*AM$36)/12,IF('Operating Assumptions'!$L38="$/Unit/Month",('Operating Assumptions'!$M38*AM$25)*AM$36,IF('Operating Assumptions'!$L38="Fixed Amount",('Operating Assumptions'!$M38*AM$25)/12,IF('Operating Assumptions'!$L38="$/GSF",(('Operating Assumptions'!$M38*AM$25)*'Operating Assumptions'!$D$11)/12,IF('Operating Assumptions'!$L38="$/NSF",(('Operating Assumptions'!$M38*AM$25)*'Operating Assumptions'!$D$12)/12))))))))</f>
        <v>0</v>
      </c>
      <c r="AN113" s="427">
        <f>-IF(AN$9&lt;'Operating Assumptions'!$D$53,0,IF(AN$6&gt;'Operating Assumptions'!$AA$8,0,IF('Operating Assumptions'!$L38="N/A",0,IF('Operating Assumptions'!$L38="$/Unit/Annual",(('Operating Assumptions'!$M38*AN$25)*AN$36)/12,IF('Operating Assumptions'!$L38="$/Unit/Month",('Operating Assumptions'!$M38*AN$25)*AN$36,IF('Operating Assumptions'!$L38="Fixed Amount",('Operating Assumptions'!$M38*AN$25)/12,IF('Operating Assumptions'!$L38="$/GSF",(('Operating Assumptions'!$M38*AN$25)*'Operating Assumptions'!$D$11)/12,IF('Operating Assumptions'!$L38="$/NSF",(('Operating Assumptions'!$M38*AN$25)*'Operating Assumptions'!$D$12)/12))))))))</f>
        <v>0</v>
      </c>
      <c r="AO113" s="427">
        <f>-IF(AO$9&lt;'Operating Assumptions'!$D$53,0,IF(AO$6&gt;'Operating Assumptions'!$AA$8,0,IF('Operating Assumptions'!$L38="N/A",0,IF('Operating Assumptions'!$L38="$/Unit/Annual",(('Operating Assumptions'!$M38*AO$25)*AO$36)/12,IF('Operating Assumptions'!$L38="$/Unit/Month",('Operating Assumptions'!$M38*AO$25)*AO$36,IF('Operating Assumptions'!$L38="Fixed Amount",('Operating Assumptions'!$M38*AO$25)/12,IF('Operating Assumptions'!$L38="$/GSF",(('Operating Assumptions'!$M38*AO$25)*'Operating Assumptions'!$D$11)/12,IF('Operating Assumptions'!$L38="$/NSF",(('Operating Assumptions'!$M38*AO$25)*'Operating Assumptions'!$D$12)/12))))))))</f>
        <v>0</v>
      </c>
      <c r="AP113" s="427">
        <f>-IF(AP$9&lt;'Operating Assumptions'!$D$53,0,IF(AP$6&gt;'Operating Assumptions'!$AA$8,0,IF('Operating Assumptions'!$L38="N/A",0,IF('Operating Assumptions'!$L38="$/Unit/Annual",(('Operating Assumptions'!$M38*AP$25)*AP$36)/12,IF('Operating Assumptions'!$L38="$/Unit/Month",('Operating Assumptions'!$M38*AP$25)*AP$36,IF('Operating Assumptions'!$L38="Fixed Amount",('Operating Assumptions'!$M38*AP$25)/12,IF('Operating Assumptions'!$L38="$/GSF",(('Operating Assumptions'!$M38*AP$25)*'Operating Assumptions'!$D$11)/12,IF('Operating Assumptions'!$L38="$/NSF",(('Operating Assumptions'!$M38*AP$25)*'Operating Assumptions'!$D$12)/12))))))))</f>
        <v>0</v>
      </c>
      <c r="AQ113" s="427">
        <f>-IF(AQ$9&lt;'Operating Assumptions'!$D$53,0,IF(AQ$6&gt;'Operating Assumptions'!$AA$8,0,IF('Operating Assumptions'!$L38="N/A",0,IF('Operating Assumptions'!$L38="$/Unit/Annual",(('Operating Assumptions'!$M38*AQ$25)*AQ$36)/12,IF('Operating Assumptions'!$L38="$/Unit/Month",('Operating Assumptions'!$M38*AQ$25)*AQ$36,IF('Operating Assumptions'!$L38="Fixed Amount",('Operating Assumptions'!$M38*AQ$25)/12,IF('Operating Assumptions'!$L38="$/GSF",(('Operating Assumptions'!$M38*AQ$25)*'Operating Assumptions'!$D$11)/12,IF('Operating Assumptions'!$L38="$/NSF",(('Operating Assumptions'!$M38*AQ$25)*'Operating Assumptions'!$D$12)/12))))))))</f>
        <v>0</v>
      </c>
      <c r="AR113" s="427">
        <f>-IF(AR$9&lt;'Operating Assumptions'!$D$53,0,IF(AR$6&gt;'Operating Assumptions'!$AA$8,0,IF('Operating Assumptions'!$L38="N/A",0,IF('Operating Assumptions'!$L38="$/Unit/Annual",(('Operating Assumptions'!$M38*AR$25)*AR$36)/12,IF('Operating Assumptions'!$L38="$/Unit/Month",('Operating Assumptions'!$M38*AR$25)*AR$36,IF('Operating Assumptions'!$L38="Fixed Amount",('Operating Assumptions'!$M38*AR$25)/12,IF('Operating Assumptions'!$L38="$/GSF",(('Operating Assumptions'!$M38*AR$25)*'Operating Assumptions'!$D$11)/12,IF('Operating Assumptions'!$L38="$/NSF",(('Operating Assumptions'!$M38*AR$25)*'Operating Assumptions'!$D$12)/12))))))))</f>
        <v>0</v>
      </c>
      <c r="AS113" s="427">
        <f>-IF(AS$9&lt;'Operating Assumptions'!$D$53,0,IF(AS$6&gt;'Operating Assumptions'!$AA$8,0,IF('Operating Assumptions'!$L38="N/A",0,IF('Operating Assumptions'!$L38="$/Unit/Annual",(('Operating Assumptions'!$M38*AS$25)*AS$36)/12,IF('Operating Assumptions'!$L38="$/Unit/Month",('Operating Assumptions'!$M38*AS$25)*AS$36,IF('Operating Assumptions'!$L38="Fixed Amount",('Operating Assumptions'!$M38*AS$25)/12,IF('Operating Assumptions'!$L38="$/GSF",(('Operating Assumptions'!$M38*AS$25)*'Operating Assumptions'!$D$11)/12,IF('Operating Assumptions'!$L38="$/NSF",(('Operating Assumptions'!$M38*AS$25)*'Operating Assumptions'!$D$12)/12))))))))</f>
        <v>0</v>
      </c>
      <c r="AT113" s="427">
        <f>-IF(AT$9&lt;'Operating Assumptions'!$D$53,0,IF(AT$6&gt;'Operating Assumptions'!$AA$8,0,IF('Operating Assumptions'!$L38="N/A",0,IF('Operating Assumptions'!$L38="$/Unit/Annual",(('Operating Assumptions'!$M38*AT$25)*AT$36)/12,IF('Operating Assumptions'!$L38="$/Unit/Month",('Operating Assumptions'!$M38*AT$25)*AT$36,IF('Operating Assumptions'!$L38="Fixed Amount",('Operating Assumptions'!$M38*AT$25)/12,IF('Operating Assumptions'!$L38="$/GSF",(('Operating Assumptions'!$M38*AT$25)*'Operating Assumptions'!$D$11)/12,IF('Operating Assumptions'!$L38="$/NSF",(('Operating Assumptions'!$M38*AT$25)*'Operating Assumptions'!$D$12)/12))))))))</f>
        <v>0</v>
      </c>
      <c r="AU113" s="427">
        <f>-IF(AU$9&lt;'Operating Assumptions'!$D$53,0,IF(AU$6&gt;'Operating Assumptions'!$AA$8,0,IF('Operating Assumptions'!$L38="N/A",0,IF('Operating Assumptions'!$L38="$/Unit/Annual",(('Operating Assumptions'!$M38*AU$25)*AU$36)/12,IF('Operating Assumptions'!$L38="$/Unit/Month",('Operating Assumptions'!$M38*AU$25)*AU$36,IF('Operating Assumptions'!$L38="Fixed Amount",('Operating Assumptions'!$M38*AU$25)/12,IF('Operating Assumptions'!$L38="$/GSF",(('Operating Assumptions'!$M38*AU$25)*'Operating Assumptions'!$D$11)/12,IF('Operating Assumptions'!$L38="$/NSF",(('Operating Assumptions'!$M38*AU$25)*'Operating Assumptions'!$D$12)/12))))))))</f>
        <v>0</v>
      </c>
      <c r="AV113" s="427">
        <f>-IF(AV$9&lt;'Operating Assumptions'!$D$53,0,IF(AV$6&gt;'Operating Assumptions'!$AA$8,0,IF('Operating Assumptions'!$L38="N/A",0,IF('Operating Assumptions'!$L38="$/Unit/Annual",(('Operating Assumptions'!$M38*AV$25)*AV$36)/12,IF('Operating Assumptions'!$L38="$/Unit/Month",('Operating Assumptions'!$M38*AV$25)*AV$36,IF('Operating Assumptions'!$L38="Fixed Amount",('Operating Assumptions'!$M38*AV$25)/12,IF('Operating Assumptions'!$L38="$/GSF",(('Operating Assumptions'!$M38*AV$25)*'Operating Assumptions'!$D$11)/12,IF('Operating Assumptions'!$L38="$/NSF",(('Operating Assumptions'!$M38*AV$25)*'Operating Assumptions'!$D$12)/12))))))))</f>
        <v>0</v>
      </c>
      <c r="AW113" s="427">
        <f>-IF(AW$9&lt;'Operating Assumptions'!$D$53,0,IF(AW$6&gt;'Operating Assumptions'!$AA$8,0,IF('Operating Assumptions'!$L38="N/A",0,IF('Operating Assumptions'!$L38="$/Unit/Annual",(('Operating Assumptions'!$M38*AW$25)*AW$36)/12,IF('Operating Assumptions'!$L38="$/Unit/Month",('Operating Assumptions'!$M38*AW$25)*AW$36,IF('Operating Assumptions'!$L38="Fixed Amount",('Operating Assumptions'!$M38*AW$25)/12,IF('Operating Assumptions'!$L38="$/GSF",(('Operating Assumptions'!$M38*AW$25)*'Operating Assumptions'!$D$11)/12,IF('Operating Assumptions'!$L38="$/NSF",(('Operating Assumptions'!$M38*AW$25)*'Operating Assumptions'!$D$12)/12))))))))</f>
        <v>0</v>
      </c>
      <c r="AX113" s="427">
        <f>-IF(AX$9&lt;'Operating Assumptions'!$D$53,0,IF(AX$6&gt;'Operating Assumptions'!$AA$8,0,IF('Operating Assumptions'!$L38="N/A",0,IF('Operating Assumptions'!$L38="$/Unit/Annual",(('Operating Assumptions'!$M38*AX$25)*AX$36)/12,IF('Operating Assumptions'!$L38="$/Unit/Month",('Operating Assumptions'!$M38*AX$25)*AX$36,IF('Operating Assumptions'!$L38="Fixed Amount",('Operating Assumptions'!$M38*AX$25)/12,IF('Operating Assumptions'!$L38="$/GSF",(('Operating Assumptions'!$M38*AX$25)*'Operating Assumptions'!$D$11)/12,IF('Operating Assumptions'!$L38="$/NSF",(('Operating Assumptions'!$M38*AX$25)*'Operating Assumptions'!$D$12)/12))))))))</f>
        <v>0</v>
      </c>
      <c r="AY113" s="427">
        <f>-IF(AY$9&lt;'Operating Assumptions'!$D$53,0,IF(AY$6&gt;'Operating Assumptions'!$AA$8,0,IF('Operating Assumptions'!$L38="N/A",0,IF('Operating Assumptions'!$L38="$/Unit/Annual",(('Operating Assumptions'!$M38*AY$25)*AY$36)/12,IF('Operating Assumptions'!$L38="$/Unit/Month",('Operating Assumptions'!$M38*AY$25)*AY$36,IF('Operating Assumptions'!$L38="Fixed Amount",('Operating Assumptions'!$M38*AY$25)/12,IF('Operating Assumptions'!$L38="$/GSF",(('Operating Assumptions'!$M38*AY$25)*'Operating Assumptions'!$D$11)/12,IF('Operating Assumptions'!$L38="$/NSF",(('Operating Assumptions'!$M38*AY$25)*'Operating Assumptions'!$D$12)/12))))))))</f>
        <v>0</v>
      </c>
      <c r="AZ113" s="427">
        <f>-IF(AZ$9&lt;'Operating Assumptions'!$D$53,0,IF(AZ$6&gt;'Operating Assumptions'!$AA$8,0,IF('Operating Assumptions'!$L38="N/A",0,IF('Operating Assumptions'!$L38="$/Unit/Annual",(('Operating Assumptions'!$M38*AZ$25)*AZ$36)/12,IF('Operating Assumptions'!$L38="$/Unit/Month",('Operating Assumptions'!$M38*AZ$25)*AZ$36,IF('Operating Assumptions'!$L38="Fixed Amount",('Operating Assumptions'!$M38*AZ$25)/12,IF('Operating Assumptions'!$L38="$/GSF",(('Operating Assumptions'!$M38*AZ$25)*'Operating Assumptions'!$D$11)/12,IF('Operating Assumptions'!$L38="$/NSF",(('Operating Assumptions'!$M38*AZ$25)*'Operating Assumptions'!$D$12)/12))))))))</f>
        <v>0</v>
      </c>
      <c r="BA113" s="427">
        <f>-IF(BA$9&lt;'Operating Assumptions'!$D$53,0,IF(BA$6&gt;'Operating Assumptions'!$AA$8,0,IF('Operating Assumptions'!$L38="N/A",0,IF('Operating Assumptions'!$L38="$/Unit/Annual",(('Operating Assumptions'!$M38*BA$25)*BA$36)/12,IF('Operating Assumptions'!$L38="$/Unit/Month",('Operating Assumptions'!$M38*BA$25)*BA$36,IF('Operating Assumptions'!$L38="Fixed Amount",('Operating Assumptions'!$M38*BA$25)/12,IF('Operating Assumptions'!$L38="$/GSF",(('Operating Assumptions'!$M38*BA$25)*'Operating Assumptions'!$D$11)/12,IF('Operating Assumptions'!$L38="$/NSF",(('Operating Assumptions'!$M38*BA$25)*'Operating Assumptions'!$D$12)/12))))))))</f>
        <v>0</v>
      </c>
      <c r="BB113" s="427">
        <f>-IF(BB$9&lt;'Operating Assumptions'!$D$53,0,IF(BB$6&gt;'Operating Assumptions'!$AA$8,0,IF('Operating Assumptions'!$L38="N/A",0,IF('Operating Assumptions'!$L38="$/Unit/Annual",(('Operating Assumptions'!$M38*BB$25)*BB$36)/12,IF('Operating Assumptions'!$L38="$/Unit/Month",('Operating Assumptions'!$M38*BB$25)*BB$36,IF('Operating Assumptions'!$L38="Fixed Amount",('Operating Assumptions'!$M38*BB$25)/12,IF('Operating Assumptions'!$L38="$/GSF",(('Operating Assumptions'!$M38*BB$25)*'Operating Assumptions'!$D$11)/12,IF('Operating Assumptions'!$L38="$/NSF",(('Operating Assumptions'!$M38*BB$25)*'Operating Assumptions'!$D$12)/12))))))))</f>
        <v>0</v>
      </c>
      <c r="BC113" s="427">
        <f>-IF(BC$9&lt;'Operating Assumptions'!$D$53,0,IF(BC$6&gt;'Operating Assumptions'!$AA$8,0,IF('Operating Assumptions'!$L38="N/A",0,IF('Operating Assumptions'!$L38="$/Unit/Annual",(('Operating Assumptions'!$M38*BC$25)*BC$36)/12,IF('Operating Assumptions'!$L38="$/Unit/Month",('Operating Assumptions'!$M38*BC$25)*BC$36,IF('Operating Assumptions'!$L38="Fixed Amount",('Operating Assumptions'!$M38*BC$25)/12,IF('Operating Assumptions'!$L38="$/GSF",(('Operating Assumptions'!$M38*BC$25)*'Operating Assumptions'!$D$11)/12,IF('Operating Assumptions'!$L38="$/NSF",(('Operating Assumptions'!$M38*BC$25)*'Operating Assumptions'!$D$12)/12))))))))</f>
        <v>0</v>
      </c>
      <c r="BD113" s="427">
        <f>-IF(BD$9&lt;'Operating Assumptions'!$D$53,0,IF(BD$6&gt;'Operating Assumptions'!$AA$8,0,IF('Operating Assumptions'!$L38="N/A",0,IF('Operating Assumptions'!$L38="$/Unit/Annual",(('Operating Assumptions'!$M38*BD$25)*BD$36)/12,IF('Operating Assumptions'!$L38="$/Unit/Month",('Operating Assumptions'!$M38*BD$25)*BD$36,IF('Operating Assumptions'!$L38="Fixed Amount",('Operating Assumptions'!$M38*BD$25)/12,IF('Operating Assumptions'!$L38="$/GSF",(('Operating Assumptions'!$M38*BD$25)*'Operating Assumptions'!$D$11)/12,IF('Operating Assumptions'!$L38="$/NSF",(('Operating Assumptions'!$M38*BD$25)*'Operating Assumptions'!$D$12)/12))))))))</f>
        <v>0</v>
      </c>
      <c r="BE113" s="427">
        <f>-IF(BE$9&lt;'Operating Assumptions'!$D$53,0,IF(BE$6&gt;'Operating Assumptions'!$AA$8,0,IF('Operating Assumptions'!$L38="N/A",0,IF('Operating Assumptions'!$L38="$/Unit/Annual",(('Operating Assumptions'!$M38*BE$25)*BE$36)/12,IF('Operating Assumptions'!$L38="$/Unit/Month",('Operating Assumptions'!$M38*BE$25)*BE$36,IF('Operating Assumptions'!$L38="Fixed Amount",('Operating Assumptions'!$M38*BE$25)/12,IF('Operating Assumptions'!$L38="$/GSF",(('Operating Assumptions'!$M38*BE$25)*'Operating Assumptions'!$D$11)/12,IF('Operating Assumptions'!$L38="$/NSF",(('Operating Assumptions'!$M38*BE$25)*'Operating Assumptions'!$D$12)/12))))))))</f>
        <v>0</v>
      </c>
      <c r="BF113" s="427">
        <f>-IF(BF$9&lt;'Operating Assumptions'!$D$53,0,IF(BF$6&gt;'Operating Assumptions'!$AA$8,0,IF('Operating Assumptions'!$L38="N/A",0,IF('Operating Assumptions'!$L38="$/Unit/Annual",(('Operating Assumptions'!$M38*BF$25)*BF$36)/12,IF('Operating Assumptions'!$L38="$/Unit/Month",('Operating Assumptions'!$M38*BF$25)*BF$36,IF('Operating Assumptions'!$L38="Fixed Amount",('Operating Assumptions'!$M38*BF$25)/12,IF('Operating Assumptions'!$L38="$/GSF",(('Operating Assumptions'!$M38*BF$25)*'Operating Assumptions'!$D$11)/12,IF('Operating Assumptions'!$L38="$/NSF",(('Operating Assumptions'!$M38*BF$25)*'Operating Assumptions'!$D$12)/12))))))))</f>
        <v>0</v>
      </c>
      <c r="BG113" s="427">
        <f>-IF(BG$9&lt;'Operating Assumptions'!$D$53,0,IF(BG$6&gt;'Operating Assumptions'!$AA$8,0,IF('Operating Assumptions'!$L38="N/A",0,IF('Operating Assumptions'!$L38="$/Unit/Annual",(('Operating Assumptions'!$M38*BG$25)*BG$36)/12,IF('Operating Assumptions'!$L38="$/Unit/Month",('Operating Assumptions'!$M38*BG$25)*BG$36,IF('Operating Assumptions'!$L38="Fixed Amount",('Operating Assumptions'!$M38*BG$25)/12,IF('Operating Assumptions'!$L38="$/GSF",(('Operating Assumptions'!$M38*BG$25)*'Operating Assumptions'!$D$11)/12,IF('Operating Assumptions'!$L38="$/NSF",(('Operating Assumptions'!$M38*BG$25)*'Operating Assumptions'!$D$12)/12))))))))</f>
        <v>0</v>
      </c>
      <c r="BH113" s="427">
        <f>-IF(BH$9&lt;'Operating Assumptions'!$D$53,0,IF(BH$6&gt;'Operating Assumptions'!$AA$8,0,IF('Operating Assumptions'!$L38="N/A",0,IF('Operating Assumptions'!$L38="$/Unit/Annual",(('Operating Assumptions'!$M38*BH$25)*BH$36)/12,IF('Operating Assumptions'!$L38="$/Unit/Month",('Operating Assumptions'!$M38*BH$25)*BH$36,IF('Operating Assumptions'!$L38="Fixed Amount",('Operating Assumptions'!$M38*BH$25)/12,IF('Operating Assumptions'!$L38="$/GSF",(('Operating Assumptions'!$M38*BH$25)*'Operating Assumptions'!$D$11)/12,IF('Operating Assumptions'!$L38="$/NSF",(('Operating Assumptions'!$M38*BH$25)*'Operating Assumptions'!$D$12)/12))))))))</f>
        <v>0</v>
      </c>
      <c r="BI113" s="427">
        <f>-IF(BI$9&lt;'Operating Assumptions'!$D$53,0,IF(BI$6&gt;'Operating Assumptions'!$AA$8,0,IF('Operating Assumptions'!$L38="N/A",0,IF('Operating Assumptions'!$L38="$/Unit/Annual",(('Operating Assumptions'!$M38*BI$25)*BI$36)/12,IF('Operating Assumptions'!$L38="$/Unit/Month",('Operating Assumptions'!$M38*BI$25)*BI$36,IF('Operating Assumptions'!$L38="Fixed Amount",('Operating Assumptions'!$M38*BI$25)/12,IF('Operating Assumptions'!$L38="$/GSF",(('Operating Assumptions'!$M38*BI$25)*'Operating Assumptions'!$D$11)/12,IF('Operating Assumptions'!$L38="$/NSF",(('Operating Assumptions'!$M38*BI$25)*'Operating Assumptions'!$D$12)/12))))))))</f>
        <v>0</v>
      </c>
      <c r="BJ113" s="427">
        <f>-IF(BJ$9&lt;'Operating Assumptions'!$D$53,0,IF(BJ$6&gt;'Operating Assumptions'!$AA$8,0,IF('Operating Assumptions'!$L38="N/A",0,IF('Operating Assumptions'!$L38="$/Unit/Annual",(('Operating Assumptions'!$M38*BJ$25)*BJ$36)/12,IF('Operating Assumptions'!$L38="$/Unit/Month",('Operating Assumptions'!$M38*BJ$25)*BJ$36,IF('Operating Assumptions'!$L38="Fixed Amount",('Operating Assumptions'!$M38*BJ$25)/12,IF('Operating Assumptions'!$L38="$/GSF",(('Operating Assumptions'!$M38*BJ$25)*'Operating Assumptions'!$D$11)/12,IF('Operating Assumptions'!$L38="$/NSF",(('Operating Assumptions'!$M38*BJ$25)*'Operating Assumptions'!$D$12)/12))))))))</f>
        <v>0</v>
      </c>
      <c r="BK113" s="427">
        <f>-IF(BK$9&lt;'Operating Assumptions'!$D$53,0,IF(BK$6&gt;'Operating Assumptions'!$AA$8,0,IF('Operating Assumptions'!$L38="N/A",0,IF('Operating Assumptions'!$L38="$/Unit/Annual",(('Operating Assumptions'!$M38*BK$25)*BK$36)/12,IF('Operating Assumptions'!$L38="$/Unit/Month",('Operating Assumptions'!$M38*BK$25)*BK$36,IF('Operating Assumptions'!$L38="Fixed Amount",('Operating Assumptions'!$M38*BK$25)/12,IF('Operating Assumptions'!$L38="$/GSF",(('Operating Assumptions'!$M38*BK$25)*'Operating Assumptions'!$D$11)/12,IF('Operating Assumptions'!$L38="$/NSF",(('Operating Assumptions'!$M38*BK$25)*'Operating Assumptions'!$D$12)/12))))))))</f>
        <v>0</v>
      </c>
      <c r="BL113" s="427">
        <f>-IF(BL$9&lt;'Operating Assumptions'!$D$53,0,IF(BL$6&gt;'Operating Assumptions'!$AA$8,0,IF('Operating Assumptions'!$L38="N/A",0,IF('Operating Assumptions'!$L38="$/Unit/Annual",(('Operating Assumptions'!$M38*BL$25)*BL$36)/12,IF('Operating Assumptions'!$L38="$/Unit/Month",('Operating Assumptions'!$M38*BL$25)*BL$36,IF('Operating Assumptions'!$L38="Fixed Amount",('Operating Assumptions'!$M38*BL$25)/12,IF('Operating Assumptions'!$L38="$/GSF",(('Operating Assumptions'!$M38*BL$25)*'Operating Assumptions'!$D$11)/12,IF('Operating Assumptions'!$L38="$/NSF",(('Operating Assumptions'!$M38*BL$25)*'Operating Assumptions'!$D$12)/12))))))))</f>
        <v>0</v>
      </c>
      <c r="BM113" s="427">
        <f>-IF(BM$9&lt;'Operating Assumptions'!$D$53,0,IF(BM$6&gt;'Operating Assumptions'!$AA$8,0,IF('Operating Assumptions'!$L38="N/A",0,IF('Operating Assumptions'!$L38="$/Unit/Annual",(('Operating Assumptions'!$M38*BM$25)*BM$36)/12,IF('Operating Assumptions'!$L38="$/Unit/Month",('Operating Assumptions'!$M38*BM$25)*BM$36,IF('Operating Assumptions'!$L38="Fixed Amount",('Operating Assumptions'!$M38*BM$25)/12,IF('Operating Assumptions'!$L38="$/GSF",(('Operating Assumptions'!$M38*BM$25)*'Operating Assumptions'!$D$11)/12,IF('Operating Assumptions'!$L38="$/NSF",(('Operating Assumptions'!$M38*BM$25)*'Operating Assumptions'!$D$12)/12))))))))</f>
        <v>0</v>
      </c>
      <c r="BN113" s="427">
        <f>-IF(BN$9&lt;'Operating Assumptions'!$D$53,0,IF(BN$6&gt;'Operating Assumptions'!$AA$8,0,IF('Operating Assumptions'!$L38="N/A",0,IF('Operating Assumptions'!$L38="$/Unit/Annual",(('Operating Assumptions'!$M38*BN$25)*BN$36)/12,IF('Operating Assumptions'!$L38="$/Unit/Month",('Operating Assumptions'!$M38*BN$25)*BN$36,IF('Operating Assumptions'!$L38="Fixed Amount",('Operating Assumptions'!$M38*BN$25)/12,IF('Operating Assumptions'!$L38="$/GSF",(('Operating Assumptions'!$M38*BN$25)*'Operating Assumptions'!$D$11)/12,IF('Operating Assumptions'!$L38="$/NSF",(('Operating Assumptions'!$M38*BN$25)*'Operating Assumptions'!$D$12)/12))))))))</f>
        <v>0</v>
      </c>
      <c r="BO113" s="427">
        <f>-IF(BO$9&lt;'Operating Assumptions'!$D$53,0,IF(BO$6&gt;'Operating Assumptions'!$AA$8,0,IF('Operating Assumptions'!$L38="N/A",0,IF('Operating Assumptions'!$L38="$/Unit/Annual",(('Operating Assumptions'!$M38*BO$25)*BO$36)/12,IF('Operating Assumptions'!$L38="$/Unit/Month",('Operating Assumptions'!$M38*BO$25)*BO$36,IF('Operating Assumptions'!$L38="Fixed Amount",('Operating Assumptions'!$M38*BO$25)/12,IF('Operating Assumptions'!$L38="$/GSF",(('Operating Assumptions'!$M38*BO$25)*'Operating Assumptions'!$D$11)/12,IF('Operating Assumptions'!$L38="$/NSF",(('Operating Assumptions'!$M38*BO$25)*'Operating Assumptions'!$D$12)/12))))))))</f>
        <v>0</v>
      </c>
      <c r="BP113" s="427">
        <f>-IF(BP$9&lt;'Operating Assumptions'!$D$53,0,IF(BP$6&gt;'Operating Assumptions'!$AA$8,0,IF('Operating Assumptions'!$L38="N/A",0,IF('Operating Assumptions'!$L38="$/Unit/Annual",(('Operating Assumptions'!$M38*BP$25)*BP$36)/12,IF('Operating Assumptions'!$L38="$/Unit/Month",('Operating Assumptions'!$M38*BP$25)*BP$36,IF('Operating Assumptions'!$L38="Fixed Amount",('Operating Assumptions'!$M38*BP$25)/12,IF('Operating Assumptions'!$L38="$/GSF",(('Operating Assumptions'!$M38*BP$25)*'Operating Assumptions'!$D$11)/12,IF('Operating Assumptions'!$L38="$/NSF",(('Operating Assumptions'!$M38*BP$25)*'Operating Assumptions'!$D$12)/12))))))))</f>
        <v>0</v>
      </c>
      <c r="BQ113" s="427">
        <f>-IF(BQ$9&lt;'Operating Assumptions'!$D$53,0,IF(BQ$6&gt;'Operating Assumptions'!$AA$8,0,IF('Operating Assumptions'!$L38="N/A",0,IF('Operating Assumptions'!$L38="$/Unit/Annual",(('Operating Assumptions'!$M38*BQ$25)*BQ$36)/12,IF('Operating Assumptions'!$L38="$/Unit/Month",('Operating Assumptions'!$M38*BQ$25)*BQ$36,IF('Operating Assumptions'!$L38="Fixed Amount",('Operating Assumptions'!$M38*BQ$25)/12,IF('Operating Assumptions'!$L38="$/GSF",(('Operating Assumptions'!$M38*BQ$25)*'Operating Assumptions'!$D$11)/12,IF('Operating Assumptions'!$L38="$/NSF",(('Operating Assumptions'!$M38*BQ$25)*'Operating Assumptions'!$D$12)/12))))))))</f>
        <v>0</v>
      </c>
      <c r="BR113" s="427">
        <f>-IF(BR$9&lt;'Operating Assumptions'!$D$53,0,IF(BR$6&gt;'Operating Assumptions'!$AA$8,0,IF('Operating Assumptions'!$L38="N/A",0,IF('Operating Assumptions'!$L38="$/Unit/Annual",(('Operating Assumptions'!$M38*BR$25)*BR$36)/12,IF('Operating Assumptions'!$L38="$/Unit/Month",('Operating Assumptions'!$M38*BR$25)*BR$36,IF('Operating Assumptions'!$L38="Fixed Amount",('Operating Assumptions'!$M38*BR$25)/12,IF('Operating Assumptions'!$L38="$/GSF",(('Operating Assumptions'!$M38*BR$25)*'Operating Assumptions'!$D$11)/12,IF('Operating Assumptions'!$L38="$/NSF",(('Operating Assumptions'!$M38*BR$25)*'Operating Assumptions'!$D$12)/12))))))))</f>
        <v>0</v>
      </c>
      <c r="BS113" s="427">
        <f>-IF(BS$9&lt;'Operating Assumptions'!$D$53,0,IF(BS$6&gt;'Operating Assumptions'!$AA$8,0,IF('Operating Assumptions'!$L38="N/A",0,IF('Operating Assumptions'!$L38="$/Unit/Annual",(('Operating Assumptions'!$M38*BS$25)*BS$36)/12,IF('Operating Assumptions'!$L38="$/Unit/Month",('Operating Assumptions'!$M38*BS$25)*BS$36,IF('Operating Assumptions'!$L38="Fixed Amount",('Operating Assumptions'!$M38*BS$25)/12,IF('Operating Assumptions'!$L38="$/GSF",(('Operating Assumptions'!$M38*BS$25)*'Operating Assumptions'!$D$11)/12,IF('Operating Assumptions'!$L38="$/NSF",(('Operating Assumptions'!$M38*BS$25)*'Operating Assumptions'!$D$12)/12))))))))</f>
        <v>0</v>
      </c>
      <c r="BT113" s="427">
        <f>-IF(BT$9&lt;'Operating Assumptions'!$D$53,0,IF(BT$6&gt;'Operating Assumptions'!$AA$8,0,IF('Operating Assumptions'!$L38="N/A",0,IF('Operating Assumptions'!$L38="$/Unit/Annual",(('Operating Assumptions'!$M38*BT$25)*BT$36)/12,IF('Operating Assumptions'!$L38="$/Unit/Month",('Operating Assumptions'!$M38*BT$25)*BT$36,IF('Operating Assumptions'!$L38="Fixed Amount",('Operating Assumptions'!$M38*BT$25)/12,IF('Operating Assumptions'!$L38="$/GSF",(('Operating Assumptions'!$M38*BT$25)*'Operating Assumptions'!$D$11)/12,IF('Operating Assumptions'!$L38="$/NSF",(('Operating Assumptions'!$M38*BT$25)*'Operating Assumptions'!$D$12)/12))))))))</f>
        <v>0</v>
      </c>
      <c r="BU113" s="427">
        <f>-IF(BU$9&lt;'Operating Assumptions'!$D$53,0,IF(BU$6&gt;'Operating Assumptions'!$AA$8,0,IF('Operating Assumptions'!$L38="N/A",0,IF('Operating Assumptions'!$L38="$/Unit/Annual",(('Operating Assumptions'!$M38*BU$25)*BU$36)/12,IF('Operating Assumptions'!$L38="$/Unit/Month",('Operating Assumptions'!$M38*BU$25)*BU$36,IF('Operating Assumptions'!$L38="Fixed Amount",('Operating Assumptions'!$M38*BU$25)/12,IF('Operating Assumptions'!$L38="$/GSF",(('Operating Assumptions'!$M38*BU$25)*'Operating Assumptions'!$D$11)/12,IF('Operating Assumptions'!$L38="$/NSF",(('Operating Assumptions'!$M38*BU$25)*'Operating Assumptions'!$D$12)/12))))))))</f>
        <v>0</v>
      </c>
      <c r="BV113" s="427">
        <f>-IF(BV$9&lt;'Operating Assumptions'!$D$53,0,IF(BV$6&gt;'Operating Assumptions'!$AA$8,0,IF('Operating Assumptions'!$L38="N/A",0,IF('Operating Assumptions'!$L38="$/Unit/Annual",(('Operating Assumptions'!$M38*BV$25)*BV$36)/12,IF('Operating Assumptions'!$L38="$/Unit/Month",('Operating Assumptions'!$M38*BV$25)*BV$36,IF('Operating Assumptions'!$L38="Fixed Amount",('Operating Assumptions'!$M38*BV$25)/12,IF('Operating Assumptions'!$L38="$/GSF",(('Operating Assumptions'!$M38*BV$25)*'Operating Assumptions'!$D$11)/12,IF('Operating Assumptions'!$L38="$/NSF",(('Operating Assumptions'!$M38*BV$25)*'Operating Assumptions'!$D$12)/12))))))))</f>
        <v>0</v>
      </c>
      <c r="BW113" s="427">
        <f>-IF(BW$9&lt;'Operating Assumptions'!$D$53,0,IF(BW$6&gt;'Operating Assumptions'!$AA$8,0,IF('Operating Assumptions'!$L38="N/A",0,IF('Operating Assumptions'!$L38="$/Unit/Annual",(('Operating Assumptions'!$M38*BW$25)*BW$36)/12,IF('Operating Assumptions'!$L38="$/Unit/Month",('Operating Assumptions'!$M38*BW$25)*BW$36,IF('Operating Assumptions'!$L38="Fixed Amount",('Operating Assumptions'!$M38*BW$25)/12,IF('Operating Assumptions'!$L38="$/GSF",(('Operating Assumptions'!$M38*BW$25)*'Operating Assumptions'!$D$11)/12,IF('Operating Assumptions'!$L38="$/NSF",(('Operating Assumptions'!$M38*BW$25)*'Operating Assumptions'!$D$12)/12))))))))</f>
        <v>0</v>
      </c>
      <c r="BX113" s="427">
        <f>-IF(BX$9&lt;'Operating Assumptions'!$D$53,0,IF(BX$6&gt;'Operating Assumptions'!$AA$8,0,IF('Operating Assumptions'!$L38="N/A",0,IF('Operating Assumptions'!$L38="$/Unit/Annual",(('Operating Assumptions'!$M38*BX$25)*BX$36)/12,IF('Operating Assumptions'!$L38="$/Unit/Month",('Operating Assumptions'!$M38*BX$25)*BX$36,IF('Operating Assumptions'!$L38="Fixed Amount",('Operating Assumptions'!$M38*BX$25)/12,IF('Operating Assumptions'!$L38="$/GSF",(('Operating Assumptions'!$M38*BX$25)*'Operating Assumptions'!$D$11)/12,IF('Operating Assumptions'!$L38="$/NSF",(('Operating Assumptions'!$M38*BX$25)*'Operating Assumptions'!$D$12)/12))))))))</f>
        <v>0</v>
      </c>
      <c r="BY113" s="427">
        <f>-IF(BY$9&lt;'Operating Assumptions'!$D$53,0,IF(BY$6&gt;'Operating Assumptions'!$AA$8,0,IF('Operating Assumptions'!$L38="N/A",0,IF('Operating Assumptions'!$L38="$/Unit/Annual",(('Operating Assumptions'!$M38*BY$25)*BY$36)/12,IF('Operating Assumptions'!$L38="$/Unit/Month",('Operating Assumptions'!$M38*BY$25)*BY$36,IF('Operating Assumptions'!$L38="Fixed Amount",('Operating Assumptions'!$M38*BY$25)/12,IF('Operating Assumptions'!$L38="$/GSF",(('Operating Assumptions'!$M38*BY$25)*'Operating Assumptions'!$D$11)/12,IF('Operating Assumptions'!$L38="$/NSF",(('Operating Assumptions'!$M38*BY$25)*'Operating Assumptions'!$D$12)/12))))))))</f>
        <v>0</v>
      </c>
      <c r="BZ113" s="427">
        <f>-IF(BZ$9&lt;'Operating Assumptions'!$D$53,0,IF(BZ$6&gt;'Operating Assumptions'!$AA$8,0,IF('Operating Assumptions'!$L38="N/A",0,IF('Operating Assumptions'!$L38="$/Unit/Annual",(('Operating Assumptions'!$M38*BZ$25)*BZ$36)/12,IF('Operating Assumptions'!$L38="$/Unit/Month",('Operating Assumptions'!$M38*BZ$25)*BZ$36,IF('Operating Assumptions'!$L38="Fixed Amount",('Operating Assumptions'!$M38*BZ$25)/12,IF('Operating Assumptions'!$L38="$/GSF",(('Operating Assumptions'!$M38*BZ$25)*'Operating Assumptions'!$D$11)/12,IF('Operating Assumptions'!$L38="$/NSF",(('Operating Assumptions'!$M38*BZ$25)*'Operating Assumptions'!$D$12)/12))))))))</f>
        <v>0</v>
      </c>
      <c r="CA113" s="427">
        <f>-IF(CA$9&lt;'Operating Assumptions'!$D$53,0,IF(CA$6&gt;'Operating Assumptions'!$AA$8,0,IF('Operating Assumptions'!$L38="N/A",0,IF('Operating Assumptions'!$L38="$/Unit/Annual",(('Operating Assumptions'!$M38*CA$25)*CA$36)/12,IF('Operating Assumptions'!$L38="$/Unit/Month",('Operating Assumptions'!$M38*CA$25)*CA$36,IF('Operating Assumptions'!$L38="Fixed Amount",('Operating Assumptions'!$M38*CA$25)/12,IF('Operating Assumptions'!$L38="$/GSF",(('Operating Assumptions'!$M38*CA$25)*'Operating Assumptions'!$D$11)/12,IF('Operating Assumptions'!$L38="$/NSF",(('Operating Assumptions'!$M38*CA$25)*'Operating Assumptions'!$D$12)/12))))))))</f>
        <v>0</v>
      </c>
      <c r="CB113" s="427">
        <f>-IF(CB$9&lt;'Operating Assumptions'!$D$53,0,IF(CB$6&gt;'Operating Assumptions'!$AA$8,0,IF('Operating Assumptions'!$L38="N/A",0,IF('Operating Assumptions'!$L38="$/Unit/Annual",(('Operating Assumptions'!$M38*CB$25)*CB$36)/12,IF('Operating Assumptions'!$L38="$/Unit/Month",('Operating Assumptions'!$M38*CB$25)*CB$36,IF('Operating Assumptions'!$L38="Fixed Amount",('Operating Assumptions'!$M38*CB$25)/12,IF('Operating Assumptions'!$L38="$/GSF",(('Operating Assumptions'!$M38*CB$25)*'Operating Assumptions'!$D$11)/12,IF('Operating Assumptions'!$L38="$/NSF",(('Operating Assumptions'!$M38*CB$25)*'Operating Assumptions'!$D$12)/12))))))))</f>
        <v>0</v>
      </c>
      <c r="CC113" s="427">
        <f>-IF(CC$9&lt;'Operating Assumptions'!$D$53,0,IF(CC$6&gt;'Operating Assumptions'!$AA$8,0,IF('Operating Assumptions'!$L38="N/A",0,IF('Operating Assumptions'!$L38="$/Unit/Annual",(('Operating Assumptions'!$M38*CC$25)*CC$36)/12,IF('Operating Assumptions'!$L38="$/Unit/Month",('Operating Assumptions'!$M38*CC$25)*CC$36,IF('Operating Assumptions'!$L38="Fixed Amount",('Operating Assumptions'!$M38*CC$25)/12,IF('Operating Assumptions'!$L38="$/GSF",(('Operating Assumptions'!$M38*CC$25)*'Operating Assumptions'!$D$11)/12,IF('Operating Assumptions'!$L38="$/NSF",(('Operating Assumptions'!$M38*CC$25)*'Operating Assumptions'!$D$12)/12))))))))</f>
        <v>0</v>
      </c>
      <c r="CD113" s="427">
        <f>-IF(CD$9&lt;'Operating Assumptions'!$D$53,0,IF(CD$6&gt;'Operating Assumptions'!$AA$8,0,IF('Operating Assumptions'!$L38="N/A",0,IF('Operating Assumptions'!$L38="$/Unit/Annual",(('Operating Assumptions'!$M38*CD$25)*CD$36)/12,IF('Operating Assumptions'!$L38="$/Unit/Month",('Operating Assumptions'!$M38*CD$25)*CD$36,IF('Operating Assumptions'!$L38="Fixed Amount",('Operating Assumptions'!$M38*CD$25)/12,IF('Operating Assumptions'!$L38="$/GSF",(('Operating Assumptions'!$M38*CD$25)*'Operating Assumptions'!$D$11)/12,IF('Operating Assumptions'!$L38="$/NSF",(('Operating Assumptions'!$M38*CD$25)*'Operating Assumptions'!$D$12)/12))))))))</f>
        <v>0</v>
      </c>
      <c r="CE113" s="427">
        <f>-IF(CE$9&lt;'Operating Assumptions'!$D$53,0,IF(CE$6&gt;'Operating Assumptions'!$AA$8,0,IF('Operating Assumptions'!$L38="N/A",0,IF('Operating Assumptions'!$L38="$/Unit/Annual",(('Operating Assumptions'!$M38*CE$25)*CE$36)/12,IF('Operating Assumptions'!$L38="$/Unit/Month",('Operating Assumptions'!$M38*CE$25)*CE$36,IF('Operating Assumptions'!$L38="Fixed Amount",('Operating Assumptions'!$M38*CE$25)/12,IF('Operating Assumptions'!$L38="$/GSF",(('Operating Assumptions'!$M38*CE$25)*'Operating Assumptions'!$D$11)/12,IF('Operating Assumptions'!$L38="$/NSF",(('Operating Assumptions'!$M38*CE$25)*'Operating Assumptions'!$D$12)/12))))))))</f>
        <v>0</v>
      </c>
      <c r="CF113" s="427">
        <f>-IF(CF$9&lt;'Operating Assumptions'!$D$53,0,IF(CF$6&gt;'Operating Assumptions'!$AA$8,0,IF('Operating Assumptions'!$L38="N/A",0,IF('Operating Assumptions'!$L38="$/Unit/Annual",(('Operating Assumptions'!$M38*CF$25)*CF$36)/12,IF('Operating Assumptions'!$L38="$/Unit/Month",('Operating Assumptions'!$M38*CF$25)*CF$36,IF('Operating Assumptions'!$L38="Fixed Amount",('Operating Assumptions'!$M38*CF$25)/12,IF('Operating Assumptions'!$L38="$/GSF",(('Operating Assumptions'!$M38*CF$25)*'Operating Assumptions'!$D$11)/12,IF('Operating Assumptions'!$L38="$/NSF",(('Operating Assumptions'!$M38*CF$25)*'Operating Assumptions'!$D$12)/12))))))))</f>
        <v>0</v>
      </c>
      <c r="CG113" s="427">
        <f>-IF(CG$9&lt;'Operating Assumptions'!$D$53,0,IF(CG$6&gt;'Operating Assumptions'!$AA$8,0,IF('Operating Assumptions'!$L38="N/A",0,IF('Operating Assumptions'!$L38="$/Unit/Annual",(('Operating Assumptions'!$M38*CG$25)*CG$36)/12,IF('Operating Assumptions'!$L38="$/Unit/Month",('Operating Assumptions'!$M38*CG$25)*CG$36,IF('Operating Assumptions'!$L38="Fixed Amount",('Operating Assumptions'!$M38*CG$25)/12,IF('Operating Assumptions'!$L38="$/GSF",(('Operating Assumptions'!$M38*CG$25)*'Operating Assumptions'!$D$11)/12,IF('Operating Assumptions'!$L38="$/NSF",(('Operating Assumptions'!$M38*CG$25)*'Operating Assumptions'!$D$12)/12))))))))</f>
        <v>0</v>
      </c>
      <c r="CH113" s="427">
        <f>-IF(CH$9&lt;'Operating Assumptions'!$D$53,0,IF(CH$6&gt;'Operating Assumptions'!$AA$8,0,IF('Operating Assumptions'!$L38="N/A",0,IF('Operating Assumptions'!$L38="$/Unit/Annual",(('Operating Assumptions'!$M38*CH$25)*CH$36)/12,IF('Operating Assumptions'!$L38="$/Unit/Month",('Operating Assumptions'!$M38*CH$25)*CH$36,IF('Operating Assumptions'!$L38="Fixed Amount",('Operating Assumptions'!$M38*CH$25)/12,IF('Operating Assumptions'!$L38="$/GSF",(('Operating Assumptions'!$M38*CH$25)*'Operating Assumptions'!$D$11)/12,IF('Operating Assumptions'!$L38="$/NSF",(('Operating Assumptions'!$M38*CH$25)*'Operating Assumptions'!$D$12)/12))))))))</f>
        <v>0</v>
      </c>
      <c r="CI113" s="427">
        <f>-IF(CI$9&lt;'Operating Assumptions'!$D$53,0,IF(CI$6&gt;'Operating Assumptions'!$AA$8,0,IF('Operating Assumptions'!$L38="N/A",0,IF('Operating Assumptions'!$L38="$/Unit/Annual",(('Operating Assumptions'!$M38*CI$25)*CI$36)/12,IF('Operating Assumptions'!$L38="$/Unit/Month",('Operating Assumptions'!$M38*CI$25)*CI$36,IF('Operating Assumptions'!$L38="Fixed Amount",('Operating Assumptions'!$M38*CI$25)/12,IF('Operating Assumptions'!$L38="$/GSF",(('Operating Assumptions'!$M38*CI$25)*'Operating Assumptions'!$D$11)/12,IF('Operating Assumptions'!$L38="$/NSF",(('Operating Assumptions'!$M38*CI$25)*'Operating Assumptions'!$D$12)/12))))))))</f>
        <v>0</v>
      </c>
      <c r="CJ113" s="427">
        <f>-IF(CJ$9&lt;'Operating Assumptions'!$D$53,0,IF(CJ$6&gt;'Operating Assumptions'!$AA$8,0,IF('Operating Assumptions'!$L38="N/A",0,IF('Operating Assumptions'!$L38="$/Unit/Annual",(('Operating Assumptions'!$M38*CJ$25)*CJ$36)/12,IF('Operating Assumptions'!$L38="$/Unit/Month",('Operating Assumptions'!$M38*CJ$25)*CJ$36,IF('Operating Assumptions'!$L38="Fixed Amount",('Operating Assumptions'!$M38*CJ$25)/12,IF('Operating Assumptions'!$L38="$/GSF",(('Operating Assumptions'!$M38*CJ$25)*'Operating Assumptions'!$D$11)/12,IF('Operating Assumptions'!$L38="$/NSF",(('Operating Assumptions'!$M38*CJ$25)*'Operating Assumptions'!$D$12)/12))))))))</f>
        <v>0</v>
      </c>
      <c r="CK113" s="427">
        <f>-IF(CK$9&lt;'Operating Assumptions'!$D$53,0,IF(CK$6&gt;'Operating Assumptions'!$AA$8,0,IF('Operating Assumptions'!$L38="N/A",0,IF('Operating Assumptions'!$L38="$/Unit/Annual",(('Operating Assumptions'!$M38*CK$25)*CK$36)/12,IF('Operating Assumptions'!$L38="$/Unit/Month",('Operating Assumptions'!$M38*CK$25)*CK$36,IF('Operating Assumptions'!$L38="Fixed Amount",('Operating Assumptions'!$M38*CK$25)/12,IF('Operating Assumptions'!$L38="$/GSF",(('Operating Assumptions'!$M38*CK$25)*'Operating Assumptions'!$D$11)/12,IF('Operating Assumptions'!$L38="$/NSF",(('Operating Assumptions'!$M38*CK$25)*'Operating Assumptions'!$D$12)/12))))))))</f>
        <v>0</v>
      </c>
      <c r="CL113" s="427">
        <f>-IF(CL$9&lt;'Operating Assumptions'!$D$53,0,IF(CL$6&gt;'Operating Assumptions'!$AA$8,0,IF('Operating Assumptions'!$L38="N/A",0,IF('Operating Assumptions'!$L38="$/Unit/Annual",(('Operating Assumptions'!$M38*CL$25)*CL$36)/12,IF('Operating Assumptions'!$L38="$/Unit/Month",('Operating Assumptions'!$M38*CL$25)*CL$36,IF('Operating Assumptions'!$L38="Fixed Amount",('Operating Assumptions'!$M38*CL$25)/12,IF('Operating Assumptions'!$L38="$/GSF",(('Operating Assumptions'!$M38*CL$25)*'Operating Assumptions'!$D$11)/12,IF('Operating Assumptions'!$L38="$/NSF",(('Operating Assumptions'!$M38*CL$25)*'Operating Assumptions'!$D$12)/12))))))))</f>
        <v>0</v>
      </c>
      <c r="CM113" s="427">
        <f>-IF(CM$9&lt;'Operating Assumptions'!$D$53,0,IF(CM$6&gt;'Operating Assumptions'!$AA$8,0,IF('Operating Assumptions'!$L38="N/A",0,IF('Operating Assumptions'!$L38="$/Unit/Annual",(('Operating Assumptions'!$M38*CM$25)*CM$36)/12,IF('Operating Assumptions'!$L38="$/Unit/Month",('Operating Assumptions'!$M38*CM$25)*CM$36,IF('Operating Assumptions'!$L38="Fixed Amount",('Operating Assumptions'!$M38*CM$25)/12,IF('Operating Assumptions'!$L38="$/GSF",(('Operating Assumptions'!$M38*CM$25)*'Operating Assumptions'!$D$11)/12,IF('Operating Assumptions'!$L38="$/NSF",(('Operating Assumptions'!$M38*CM$25)*'Operating Assumptions'!$D$12)/12))))))))</f>
        <v>0</v>
      </c>
      <c r="CN113" s="427">
        <f>-IF(CN$9&lt;'Operating Assumptions'!$D$53,0,IF(CN$6&gt;'Operating Assumptions'!$AA$8,0,IF('Operating Assumptions'!$L38="N/A",0,IF('Operating Assumptions'!$L38="$/Unit/Annual",(('Operating Assumptions'!$M38*CN$25)*CN$36)/12,IF('Operating Assumptions'!$L38="$/Unit/Month",('Operating Assumptions'!$M38*CN$25)*CN$36,IF('Operating Assumptions'!$L38="Fixed Amount",('Operating Assumptions'!$M38*CN$25)/12,IF('Operating Assumptions'!$L38="$/GSF",(('Operating Assumptions'!$M38*CN$25)*'Operating Assumptions'!$D$11)/12,IF('Operating Assumptions'!$L38="$/NSF",(('Operating Assumptions'!$M38*CN$25)*'Operating Assumptions'!$D$12)/12))))))))</f>
        <v>0</v>
      </c>
      <c r="CO113" s="427">
        <f>-IF(CO$9&lt;'Operating Assumptions'!$D$53,0,IF(CO$6&gt;'Operating Assumptions'!$AA$8,0,IF('Operating Assumptions'!$L38="N/A",0,IF('Operating Assumptions'!$L38="$/Unit/Annual",(('Operating Assumptions'!$M38*CO$25)*CO$36)/12,IF('Operating Assumptions'!$L38="$/Unit/Month",('Operating Assumptions'!$M38*CO$25)*CO$36,IF('Operating Assumptions'!$L38="Fixed Amount",('Operating Assumptions'!$M38*CO$25)/12,IF('Operating Assumptions'!$L38="$/GSF",(('Operating Assumptions'!$M38*CO$25)*'Operating Assumptions'!$D$11)/12,IF('Operating Assumptions'!$L38="$/NSF",(('Operating Assumptions'!$M38*CO$25)*'Operating Assumptions'!$D$12)/12))))))))</f>
        <v>0</v>
      </c>
      <c r="CP113" s="427">
        <f>-IF(CP$9&lt;'Operating Assumptions'!$D$53,0,IF(CP$6&gt;'Operating Assumptions'!$AA$8,0,IF('Operating Assumptions'!$L38="N/A",0,IF('Operating Assumptions'!$L38="$/Unit/Annual",(('Operating Assumptions'!$M38*CP$25)*CP$36)/12,IF('Operating Assumptions'!$L38="$/Unit/Month",('Operating Assumptions'!$M38*CP$25)*CP$36,IF('Operating Assumptions'!$L38="Fixed Amount",('Operating Assumptions'!$M38*CP$25)/12,IF('Operating Assumptions'!$L38="$/GSF",(('Operating Assumptions'!$M38*CP$25)*'Operating Assumptions'!$D$11)/12,IF('Operating Assumptions'!$L38="$/NSF",(('Operating Assumptions'!$M38*CP$25)*'Operating Assumptions'!$D$12)/12))))))))</f>
        <v>0</v>
      </c>
      <c r="CQ113" s="427">
        <f>-IF(CQ$9&lt;'Operating Assumptions'!$D$53,0,IF(CQ$6&gt;'Operating Assumptions'!$AA$8,0,IF('Operating Assumptions'!$L38="N/A",0,IF('Operating Assumptions'!$L38="$/Unit/Annual",(('Operating Assumptions'!$M38*CQ$25)*CQ$36)/12,IF('Operating Assumptions'!$L38="$/Unit/Month",('Operating Assumptions'!$M38*CQ$25)*CQ$36,IF('Operating Assumptions'!$L38="Fixed Amount",('Operating Assumptions'!$M38*CQ$25)/12,IF('Operating Assumptions'!$L38="$/GSF",(('Operating Assumptions'!$M38*CQ$25)*'Operating Assumptions'!$D$11)/12,IF('Operating Assumptions'!$L38="$/NSF",(('Operating Assumptions'!$M38*CQ$25)*'Operating Assumptions'!$D$12)/12))))))))</f>
        <v>0</v>
      </c>
      <c r="CR113" s="427">
        <f>-IF(CR$9&lt;'Operating Assumptions'!$D$53,0,IF(CR$6&gt;'Operating Assumptions'!$AA$8,0,IF('Operating Assumptions'!$L38="N/A",0,IF('Operating Assumptions'!$L38="$/Unit/Annual",(('Operating Assumptions'!$M38*CR$25)*CR$36)/12,IF('Operating Assumptions'!$L38="$/Unit/Month",('Operating Assumptions'!$M38*CR$25)*CR$36,IF('Operating Assumptions'!$L38="Fixed Amount",('Operating Assumptions'!$M38*CR$25)/12,IF('Operating Assumptions'!$L38="$/GSF",(('Operating Assumptions'!$M38*CR$25)*'Operating Assumptions'!$D$11)/12,IF('Operating Assumptions'!$L38="$/NSF",(('Operating Assumptions'!$M38*CR$25)*'Operating Assumptions'!$D$12)/12))))))))</f>
        <v>0</v>
      </c>
      <c r="CS113" s="427">
        <f>-IF(CS$9&lt;'Operating Assumptions'!$D$53,0,IF(CS$6&gt;'Operating Assumptions'!$AA$8,0,IF('Operating Assumptions'!$L38="N/A",0,IF('Operating Assumptions'!$L38="$/Unit/Annual",(('Operating Assumptions'!$M38*CS$25)*CS$36)/12,IF('Operating Assumptions'!$L38="$/Unit/Month",('Operating Assumptions'!$M38*CS$25)*CS$36,IF('Operating Assumptions'!$L38="Fixed Amount",('Operating Assumptions'!$M38*CS$25)/12,IF('Operating Assumptions'!$L38="$/GSF",(('Operating Assumptions'!$M38*CS$25)*'Operating Assumptions'!$D$11)/12,IF('Operating Assumptions'!$L38="$/NSF",(('Operating Assumptions'!$M38*CS$25)*'Operating Assumptions'!$D$12)/12))))))))</f>
        <v>0</v>
      </c>
      <c r="CT113" s="427">
        <f>-IF(CT$9&lt;'Operating Assumptions'!$D$53,0,IF(CT$6&gt;'Operating Assumptions'!$AA$8,0,IF('Operating Assumptions'!$L38="N/A",0,IF('Operating Assumptions'!$L38="$/Unit/Annual",(('Operating Assumptions'!$M38*CT$25)*CT$36)/12,IF('Operating Assumptions'!$L38="$/Unit/Month",('Operating Assumptions'!$M38*CT$25)*CT$36,IF('Operating Assumptions'!$L38="Fixed Amount",('Operating Assumptions'!$M38*CT$25)/12,IF('Operating Assumptions'!$L38="$/GSF",(('Operating Assumptions'!$M38*CT$25)*'Operating Assumptions'!$D$11)/12,IF('Operating Assumptions'!$L38="$/NSF",(('Operating Assumptions'!$M38*CT$25)*'Operating Assumptions'!$D$12)/12))))))))</f>
        <v>0</v>
      </c>
      <c r="CU113" s="427">
        <f>-IF(CU$9&lt;'Operating Assumptions'!$D$53,0,IF(CU$6&gt;'Operating Assumptions'!$AA$8,0,IF('Operating Assumptions'!$L38="N/A",0,IF('Operating Assumptions'!$L38="$/Unit/Annual",(('Operating Assumptions'!$M38*CU$25)*CU$36)/12,IF('Operating Assumptions'!$L38="$/Unit/Month",('Operating Assumptions'!$M38*CU$25)*CU$36,IF('Operating Assumptions'!$L38="Fixed Amount",('Operating Assumptions'!$M38*CU$25)/12,IF('Operating Assumptions'!$L38="$/GSF",(('Operating Assumptions'!$M38*CU$25)*'Operating Assumptions'!$D$11)/12,IF('Operating Assumptions'!$L38="$/NSF",(('Operating Assumptions'!$M38*CU$25)*'Operating Assumptions'!$D$12)/12))))))))</f>
        <v>0</v>
      </c>
      <c r="CV113" s="427">
        <f>-IF(CV$9&lt;'Operating Assumptions'!$D$53,0,IF(CV$6&gt;'Operating Assumptions'!$AA$8,0,IF('Operating Assumptions'!$L38="N/A",0,IF('Operating Assumptions'!$L38="$/Unit/Annual",(('Operating Assumptions'!$M38*CV$25)*CV$36)/12,IF('Operating Assumptions'!$L38="$/Unit/Month",('Operating Assumptions'!$M38*CV$25)*CV$36,IF('Operating Assumptions'!$L38="Fixed Amount",('Operating Assumptions'!$M38*CV$25)/12,IF('Operating Assumptions'!$L38="$/GSF",(('Operating Assumptions'!$M38*CV$25)*'Operating Assumptions'!$D$11)/12,IF('Operating Assumptions'!$L38="$/NSF",(('Operating Assumptions'!$M38*CV$25)*'Operating Assumptions'!$D$12)/12))))))))</f>
        <v>0</v>
      </c>
      <c r="CW113" s="427">
        <f>-IF(CW$9&lt;'Operating Assumptions'!$D$53,0,IF(CW$6&gt;'Operating Assumptions'!$AA$8,0,IF('Operating Assumptions'!$L38="N/A",0,IF('Operating Assumptions'!$L38="$/Unit/Annual",(('Operating Assumptions'!$M38*CW$25)*CW$36)/12,IF('Operating Assumptions'!$L38="$/Unit/Month",('Operating Assumptions'!$M38*CW$25)*CW$36,IF('Operating Assumptions'!$L38="Fixed Amount",('Operating Assumptions'!$M38*CW$25)/12,IF('Operating Assumptions'!$L38="$/GSF",(('Operating Assumptions'!$M38*CW$25)*'Operating Assumptions'!$D$11)/12,IF('Operating Assumptions'!$L38="$/NSF",(('Operating Assumptions'!$M38*CW$25)*'Operating Assumptions'!$D$12)/12))))))))</f>
        <v>0</v>
      </c>
      <c r="CX113" s="427">
        <f>-IF(CX$9&lt;'Operating Assumptions'!$D$53,0,IF(CX$6&gt;'Operating Assumptions'!$AA$8,0,IF('Operating Assumptions'!$L38="N/A",0,IF('Operating Assumptions'!$L38="$/Unit/Annual",(('Operating Assumptions'!$M38*CX$25)*CX$36)/12,IF('Operating Assumptions'!$L38="$/Unit/Month",('Operating Assumptions'!$M38*CX$25)*CX$36,IF('Operating Assumptions'!$L38="Fixed Amount",('Operating Assumptions'!$M38*CX$25)/12,IF('Operating Assumptions'!$L38="$/GSF",(('Operating Assumptions'!$M38*CX$25)*'Operating Assumptions'!$D$11)/12,IF('Operating Assumptions'!$L38="$/NSF",(('Operating Assumptions'!$M38*CX$25)*'Operating Assumptions'!$D$12)/12))))))))</f>
        <v>0</v>
      </c>
      <c r="CY113" s="427">
        <f>-IF(CY$9&lt;'Operating Assumptions'!$D$53,0,IF(CY$6&gt;'Operating Assumptions'!$AA$8,0,IF('Operating Assumptions'!$L38="N/A",0,IF('Operating Assumptions'!$L38="$/Unit/Annual",(('Operating Assumptions'!$M38*CY$25)*CY$36)/12,IF('Operating Assumptions'!$L38="$/Unit/Month",('Operating Assumptions'!$M38*CY$25)*CY$36,IF('Operating Assumptions'!$L38="Fixed Amount",('Operating Assumptions'!$M38*CY$25)/12,IF('Operating Assumptions'!$L38="$/GSF",(('Operating Assumptions'!$M38*CY$25)*'Operating Assumptions'!$D$11)/12,IF('Operating Assumptions'!$L38="$/NSF",(('Operating Assumptions'!$M38*CY$25)*'Operating Assumptions'!$D$12)/12))))))))</f>
        <v>0</v>
      </c>
      <c r="CZ113" s="427">
        <f>-IF(CZ$9&lt;'Operating Assumptions'!$D$53,0,IF(CZ$6&gt;'Operating Assumptions'!$AA$8,0,IF('Operating Assumptions'!$L38="N/A",0,IF('Operating Assumptions'!$L38="$/Unit/Annual",(('Operating Assumptions'!$M38*CZ$25)*CZ$36)/12,IF('Operating Assumptions'!$L38="$/Unit/Month",('Operating Assumptions'!$M38*CZ$25)*CZ$36,IF('Operating Assumptions'!$L38="Fixed Amount",('Operating Assumptions'!$M38*CZ$25)/12,IF('Operating Assumptions'!$L38="$/GSF",(('Operating Assumptions'!$M38*CZ$25)*'Operating Assumptions'!$D$11)/12,IF('Operating Assumptions'!$L38="$/NSF",(('Operating Assumptions'!$M38*CZ$25)*'Operating Assumptions'!$D$12)/12))))))))</f>
        <v>0</v>
      </c>
      <c r="DA113" s="427">
        <f>-IF(DA$9&lt;'Operating Assumptions'!$D$53,0,IF(DA$6&gt;'Operating Assumptions'!$AA$8,0,IF('Operating Assumptions'!$L38="N/A",0,IF('Operating Assumptions'!$L38="$/Unit/Annual",(('Operating Assumptions'!$M38*DA$25)*DA$36)/12,IF('Operating Assumptions'!$L38="$/Unit/Month",('Operating Assumptions'!$M38*DA$25)*DA$36,IF('Operating Assumptions'!$L38="Fixed Amount",('Operating Assumptions'!$M38*DA$25)/12,IF('Operating Assumptions'!$L38="$/GSF",(('Operating Assumptions'!$M38*DA$25)*'Operating Assumptions'!$D$11)/12,IF('Operating Assumptions'!$L38="$/NSF",(('Operating Assumptions'!$M38*DA$25)*'Operating Assumptions'!$D$12)/12))))))))</f>
        <v>0</v>
      </c>
      <c r="DB113" s="427">
        <f>-IF(DB$9&lt;'Operating Assumptions'!$D$53,0,IF(DB$6&gt;'Operating Assumptions'!$AA$8,0,IF('Operating Assumptions'!$L38="N/A",0,IF('Operating Assumptions'!$L38="$/Unit/Annual",(('Operating Assumptions'!$M38*DB$25)*DB$36)/12,IF('Operating Assumptions'!$L38="$/Unit/Month",('Operating Assumptions'!$M38*DB$25)*DB$36,IF('Operating Assumptions'!$L38="Fixed Amount",('Operating Assumptions'!$M38*DB$25)/12,IF('Operating Assumptions'!$L38="$/GSF",(('Operating Assumptions'!$M38*DB$25)*'Operating Assumptions'!$D$11)/12,IF('Operating Assumptions'!$L38="$/NSF",(('Operating Assumptions'!$M38*DB$25)*'Operating Assumptions'!$D$12)/12))))))))</f>
        <v>0</v>
      </c>
      <c r="DC113" s="427">
        <f>-IF(DC$9&lt;'Operating Assumptions'!$D$53,0,IF(DC$6&gt;'Operating Assumptions'!$AA$8,0,IF('Operating Assumptions'!$L38="N/A",0,IF('Operating Assumptions'!$L38="$/Unit/Annual",(('Operating Assumptions'!$M38*DC$25)*DC$36)/12,IF('Operating Assumptions'!$L38="$/Unit/Month",('Operating Assumptions'!$M38*DC$25)*DC$36,IF('Operating Assumptions'!$L38="Fixed Amount",('Operating Assumptions'!$M38*DC$25)/12,IF('Operating Assumptions'!$L38="$/GSF",(('Operating Assumptions'!$M38*DC$25)*'Operating Assumptions'!$D$11)/12,IF('Operating Assumptions'!$L38="$/NSF",(('Operating Assumptions'!$M38*DC$25)*'Operating Assumptions'!$D$12)/12))))))))</f>
        <v>0</v>
      </c>
      <c r="DD113" s="427">
        <f>-IF(DD$9&lt;'Operating Assumptions'!$D$53,0,IF(DD$6&gt;'Operating Assumptions'!$AA$8,0,IF('Operating Assumptions'!$L38="N/A",0,IF('Operating Assumptions'!$L38="$/Unit/Annual",(('Operating Assumptions'!$M38*DD$25)*DD$36)/12,IF('Operating Assumptions'!$L38="$/Unit/Month",('Operating Assumptions'!$M38*DD$25)*DD$36,IF('Operating Assumptions'!$L38="Fixed Amount",('Operating Assumptions'!$M38*DD$25)/12,IF('Operating Assumptions'!$L38="$/GSF",(('Operating Assumptions'!$M38*DD$25)*'Operating Assumptions'!$D$11)/12,IF('Operating Assumptions'!$L38="$/NSF",(('Operating Assumptions'!$M38*DD$25)*'Operating Assumptions'!$D$12)/12))))))))</f>
        <v>0</v>
      </c>
      <c r="DE113" s="427">
        <f>-IF(DE$9&lt;'Operating Assumptions'!$D$53,0,IF(DE$6&gt;'Operating Assumptions'!$AA$8,0,IF('Operating Assumptions'!$L38="N/A",0,IF('Operating Assumptions'!$L38="$/Unit/Annual",(('Operating Assumptions'!$M38*DE$25)*DE$36)/12,IF('Operating Assumptions'!$L38="$/Unit/Month",('Operating Assumptions'!$M38*DE$25)*DE$36,IF('Operating Assumptions'!$L38="Fixed Amount",('Operating Assumptions'!$M38*DE$25)/12,IF('Operating Assumptions'!$L38="$/GSF",(('Operating Assumptions'!$M38*DE$25)*'Operating Assumptions'!$D$11)/12,IF('Operating Assumptions'!$L38="$/NSF",(('Operating Assumptions'!$M38*DE$25)*'Operating Assumptions'!$D$12)/12))))))))</f>
        <v>0</v>
      </c>
      <c r="DF113" s="427">
        <f>-IF(DF$9&lt;'Operating Assumptions'!$D$53,0,IF(DF$6&gt;'Operating Assumptions'!$AA$8,0,IF('Operating Assumptions'!$L38="N/A",0,IF('Operating Assumptions'!$L38="$/Unit/Annual",(('Operating Assumptions'!$M38*DF$25)*DF$36)/12,IF('Operating Assumptions'!$L38="$/Unit/Month",('Operating Assumptions'!$M38*DF$25)*DF$36,IF('Operating Assumptions'!$L38="Fixed Amount",('Operating Assumptions'!$M38*DF$25)/12,IF('Operating Assumptions'!$L38="$/GSF",(('Operating Assumptions'!$M38*DF$25)*'Operating Assumptions'!$D$11)/12,IF('Operating Assumptions'!$L38="$/NSF",(('Operating Assumptions'!$M38*DF$25)*'Operating Assumptions'!$D$12)/12))))))))</f>
        <v>0</v>
      </c>
      <c r="DG113" s="427">
        <f>-IF(DG$9&lt;'Operating Assumptions'!$D$53,0,IF(DG$6&gt;'Operating Assumptions'!$AA$8,0,IF('Operating Assumptions'!$L38="N/A",0,IF('Operating Assumptions'!$L38="$/Unit/Annual",(('Operating Assumptions'!$M38*DG$25)*DG$36)/12,IF('Operating Assumptions'!$L38="$/Unit/Month",('Operating Assumptions'!$M38*DG$25)*DG$36,IF('Operating Assumptions'!$L38="Fixed Amount",('Operating Assumptions'!$M38*DG$25)/12,IF('Operating Assumptions'!$L38="$/GSF",(('Operating Assumptions'!$M38*DG$25)*'Operating Assumptions'!$D$11)/12,IF('Operating Assumptions'!$L38="$/NSF",(('Operating Assumptions'!$M38*DG$25)*'Operating Assumptions'!$D$12)/12))))))))</f>
        <v>0</v>
      </c>
      <c r="DH113" s="427">
        <f>-IF(DH$9&lt;'Operating Assumptions'!$D$53,0,IF(DH$6&gt;'Operating Assumptions'!$AA$8,0,IF('Operating Assumptions'!$L38="N/A",0,IF('Operating Assumptions'!$L38="$/Unit/Annual",(('Operating Assumptions'!$M38*DH$25)*DH$36)/12,IF('Operating Assumptions'!$L38="$/Unit/Month",('Operating Assumptions'!$M38*DH$25)*DH$36,IF('Operating Assumptions'!$L38="Fixed Amount",('Operating Assumptions'!$M38*DH$25)/12,IF('Operating Assumptions'!$L38="$/GSF",(('Operating Assumptions'!$M38*DH$25)*'Operating Assumptions'!$D$11)/12,IF('Operating Assumptions'!$L38="$/NSF",(('Operating Assumptions'!$M38*DH$25)*'Operating Assumptions'!$D$12)/12))))))))</f>
        <v>0</v>
      </c>
      <c r="DI113" s="427">
        <f>-IF(DI$9&lt;'Operating Assumptions'!$D$53,0,IF(DI$6&gt;'Operating Assumptions'!$AA$8,0,IF('Operating Assumptions'!$L38="N/A",0,IF('Operating Assumptions'!$L38="$/Unit/Annual",(('Operating Assumptions'!$M38*DI$25)*DI$36)/12,IF('Operating Assumptions'!$L38="$/Unit/Month",('Operating Assumptions'!$M38*DI$25)*DI$36,IF('Operating Assumptions'!$L38="Fixed Amount",('Operating Assumptions'!$M38*DI$25)/12,IF('Operating Assumptions'!$L38="$/GSF",(('Operating Assumptions'!$M38*DI$25)*'Operating Assumptions'!$D$11)/12,IF('Operating Assumptions'!$L38="$/NSF",(('Operating Assumptions'!$M38*DI$25)*'Operating Assumptions'!$D$12)/12))))))))</f>
        <v>0</v>
      </c>
      <c r="DJ113" s="427">
        <f>-IF(DJ$9&lt;'Operating Assumptions'!$D$53,0,IF(DJ$6&gt;'Operating Assumptions'!$AA$8,0,IF('Operating Assumptions'!$L38="N/A",0,IF('Operating Assumptions'!$L38="$/Unit/Annual",(('Operating Assumptions'!$M38*DJ$25)*DJ$36)/12,IF('Operating Assumptions'!$L38="$/Unit/Month",('Operating Assumptions'!$M38*DJ$25)*DJ$36,IF('Operating Assumptions'!$L38="Fixed Amount",('Operating Assumptions'!$M38*DJ$25)/12,IF('Operating Assumptions'!$L38="$/GSF",(('Operating Assumptions'!$M38*DJ$25)*'Operating Assumptions'!$D$11)/12,IF('Operating Assumptions'!$L38="$/NSF",(('Operating Assumptions'!$M38*DJ$25)*'Operating Assumptions'!$D$12)/12))))))))</f>
        <v>0</v>
      </c>
      <c r="DK113" s="427">
        <f>-IF(DK$9&lt;'Operating Assumptions'!$D$53,0,IF(DK$6&gt;'Operating Assumptions'!$AA$8,0,IF('Operating Assumptions'!$L38="N/A",0,IF('Operating Assumptions'!$L38="$/Unit/Annual",(('Operating Assumptions'!$M38*DK$25)*DK$36)/12,IF('Operating Assumptions'!$L38="$/Unit/Month",('Operating Assumptions'!$M38*DK$25)*DK$36,IF('Operating Assumptions'!$L38="Fixed Amount",('Operating Assumptions'!$M38*DK$25)/12,IF('Operating Assumptions'!$L38="$/GSF",(('Operating Assumptions'!$M38*DK$25)*'Operating Assumptions'!$D$11)/12,IF('Operating Assumptions'!$L38="$/NSF",(('Operating Assumptions'!$M38*DK$25)*'Operating Assumptions'!$D$12)/12))))))))</f>
        <v>0</v>
      </c>
      <c r="DL113" s="427">
        <f>-IF(DL$9&lt;'Operating Assumptions'!$D$53,0,IF(DL$6&gt;'Operating Assumptions'!$AA$8,0,IF('Operating Assumptions'!$L38="N/A",0,IF('Operating Assumptions'!$L38="$/Unit/Annual",(('Operating Assumptions'!$M38*DL$25)*DL$36)/12,IF('Operating Assumptions'!$L38="$/Unit/Month",('Operating Assumptions'!$M38*DL$25)*DL$36,IF('Operating Assumptions'!$L38="Fixed Amount",('Operating Assumptions'!$M38*DL$25)/12,IF('Operating Assumptions'!$L38="$/GSF",(('Operating Assumptions'!$M38*DL$25)*'Operating Assumptions'!$D$11)/12,IF('Operating Assumptions'!$L38="$/NSF",(('Operating Assumptions'!$M38*DL$25)*'Operating Assumptions'!$D$12)/12))))))))</f>
        <v>0</v>
      </c>
      <c r="DM113" s="427">
        <f>-IF(DM$9&lt;'Operating Assumptions'!$D$53,0,IF(DM$6&gt;'Operating Assumptions'!$AA$8,0,IF('Operating Assumptions'!$L38="N/A",0,IF('Operating Assumptions'!$L38="$/Unit/Annual",(('Operating Assumptions'!$M38*DM$25)*DM$36)/12,IF('Operating Assumptions'!$L38="$/Unit/Month",('Operating Assumptions'!$M38*DM$25)*DM$36,IF('Operating Assumptions'!$L38="Fixed Amount",('Operating Assumptions'!$M38*DM$25)/12,IF('Operating Assumptions'!$L38="$/GSF",(('Operating Assumptions'!$M38*DM$25)*'Operating Assumptions'!$D$11)/12,IF('Operating Assumptions'!$L38="$/NSF",(('Operating Assumptions'!$M38*DM$25)*'Operating Assumptions'!$D$12)/12))))))))</f>
        <v>0</v>
      </c>
      <c r="DN113" s="427">
        <f>-IF(DN$9&lt;'Operating Assumptions'!$D$53,0,IF(DN$6&gt;'Operating Assumptions'!$AA$8,0,IF('Operating Assumptions'!$L38="N/A",0,IF('Operating Assumptions'!$L38="$/Unit/Annual",(('Operating Assumptions'!$M38*DN$25)*DN$36)/12,IF('Operating Assumptions'!$L38="$/Unit/Month",('Operating Assumptions'!$M38*DN$25)*DN$36,IF('Operating Assumptions'!$L38="Fixed Amount",('Operating Assumptions'!$M38*DN$25)/12,IF('Operating Assumptions'!$L38="$/GSF",(('Operating Assumptions'!$M38*DN$25)*'Operating Assumptions'!$D$11)/12,IF('Operating Assumptions'!$L38="$/NSF",(('Operating Assumptions'!$M38*DN$25)*'Operating Assumptions'!$D$12)/12))))))))</f>
        <v>0</v>
      </c>
      <c r="DO113" s="427">
        <f>-IF(DO$9&lt;'Operating Assumptions'!$D$53,0,IF(DO$6&gt;'Operating Assumptions'!$AA$8,0,IF('Operating Assumptions'!$L38="N/A",0,IF('Operating Assumptions'!$L38="$/Unit/Annual",(('Operating Assumptions'!$M38*DO$25)*DO$36)/12,IF('Operating Assumptions'!$L38="$/Unit/Month",('Operating Assumptions'!$M38*DO$25)*DO$36,IF('Operating Assumptions'!$L38="Fixed Amount",('Operating Assumptions'!$M38*DO$25)/12,IF('Operating Assumptions'!$L38="$/GSF",(('Operating Assumptions'!$M38*DO$25)*'Operating Assumptions'!$D$11)/12,IF('Operating Assumptions'!$L38="$/NSF",(('Operating Assumptions'!$M38*DO$25)*'Operating Assumptions'!$D$12)/12))))))))</f>
        <v>0</v>
      </c>
      <c r="DP113" s="427">
        <f>-IF(DP$9&lt;'Operating Assumptions'!$D$53,0,IF(DP$6&gt;'Operating Assumptions'!$AA$8,0,IF('Operating Assumptions'!$L38="N/A",0,IF('Operating Assumptions'!$L38="$/Unit/Annual",(('Operating Assumptions'!$M38*DP$25)*DP$36)/12,IF('Operating Assumptions'!$L38="$/Unit/Month",('Operating Assumptions'!$M38*DP$25)*DP$36,IF('Operating Assumptions'!$L38="Fixed Amount",('Operating Assumptions'!$M38*DP$25)/12,IF('Operating Assumptions'!$L38="$/GSF",(('Operating Assumptions'!$M38*DP$25)*'Operating Assumptions'!$D$11)/12,IF('Operating Assumptions'!$L38="$/NSF",(('Operating Assumptions'!$M38*DP$25)*'Operating Assumptions'!$D$12)/12))))))))</f>
        <v>0</v>
      </c>
      <c r="DQ113" s="427">
        <f>-IF(DQ$9&lt;'Operating Assumptions'!$D$53,0,IF(DQ$6&gt;'Operating Assumptions'!$AA$8,0,IF('Operating Assumptions'!$L38="N/A",0,IF('Operating Assumptions'!$L38="$/Unit/Annual",(('Operating Assumptions'!$M38*DQ$25)*DQ$36)/12,IF('Operating Assumptions'!$L38="$/Unit/Month",('Operating Assumptions'!$M38*DQ$25)*DQ$36,IF('Operating Assumptions'!$L38="Fixed Amount",('Operating Assumptions'!$M38*DQ$25)/12,IF('Operating Assumptions'!$L38="$/GSF",(('Operating Assumptions'!$M38*DQ$25)*'Operating Assumptions'!$D$11)/12,IF('Operating Assumptions'!$L38="$/NSF",(('Operating Assumptions'!$M38*DQ$25)*'Operating Assumptions'!$D$12)/12))))))))</f>
        <v>0</v>
      </c>
      <c r="DR113" s="427">
        <f>-IF(DR$9&lt;'Operating Assumptions'!$D$53,0,IF(DR$6&gt;'Operating Assumptions'!$AA$8,0,IF('Operating Assumptions'!$L38="N/A",0,IF('Operating Assumptions'!$L38="$/Unit/Annual",(('Operating Assumptions'!$M38*DR$25)*DR$36)/12,IF('Operating Assumptions'!$L38="$/Unit/Month",('Operating Assumptions'!$M38*DR$25)*DR$36,IF('Operating Assumptions'!$L38="Fixed Amount",('Operating Assumptions'!$M38*DR$25)/12,IF('Operating Assumptions'!$L38="$/GSF",(('Operating Assumptions'!$M38*DR$25)*'Operating Assumptions'!$D$11)/12,IF('Operating Assumptions'!$L38="$/NSF",(('Operating Assumptions'!$M38*DR$25)*'Operating Assumptions'!$D$12)/12))))))))</f>
        <v>0</v>
      </c>
      <c r="DS113" s="427">
        <f>-IF(DS$9&lt;'Operating Assumptions'!$D$53,0,IF(DS$6&gt;'Operating Assumptions'!$AA$8,0,IF('Operating Assumptions'!$L38="N/A",0,IF('Operating Assumptions'!$L38="$/Unit/Annual",(('Operating Assumptions'!$M38*DS$25)*DS$36)/12,IF('Operating Assumptions'!$L38="$/Unit/Month",('Operating Assumptions'!$M38*DS$25)*DS$36,IF('Operating Assumptions'!$L38="Fixed Amount",('Operating Assumptions'!$M38*DS$25)/12,IF('Operating Assumptions'!$L38="$/GSF",(('Operating Assumptions'!$M38*DS$25)*'Operating Assumptions'!$D$11)/12,IF('Operating Assumptions'!$L38="$/NSF",(('Operating Assumptions'!$M38*DS$25)*'Operating Assumptions'!$D$12)/12))))))))</f>
        <v>0</v>
      </c>
      <c r="DT113" s="427">
        <f>-IF(DT$9&lt;'Operating Assumptions'!$D$53,0,IF(DT$6&gt;'Operating Assumptions'!$AA$8,0,IF('Operating Assumptions'!$L38="N/A",0,IF('Operating Assumptions'!$L38="$/Unit/Annual",(('Operating Assumptions'!$M38*DT$25)*DT$36)/12,IF('Operating Assumptions'!$L38="$/Unit/Month",('Operating Assumptions'!$M38*DT$25)*DT$36,IF('Operating Assumptions'!$L38="Fixed Amount",('Operating Assumptions'!$M38*DT$25)/12,IF('Operating Assumptions'!$L38="$/GSF",(('Operating Assumptions'!$M38*DT$25)*'Operating Assumptions'!$D$11)/12,IF('Operating Assumptions'!$L38="$/NSF",(('Operating Assumptions'!$M38*DT$25)*'Operating Assumptions'!$D$12)/12))))))))</f>
        <v>0</v>
      </c>
      <c r="DU113" s="427">
        <f>-IF(DU$9&lt;'Operating Assumptions'!$D$53,0,IF(DU$6&gt;'Operating Assumptions'!$AA$8,0,IF('Operating Assumptions'!$L38="N/A",0,IF('Operating Assumptions'!$L38="$/Unit/Annual",(('Operating Assumptions'!$M38*DU$25)*DU$36)/12,IF('Operating Assumptions'!$L38="$/Unit/Month",('Operating Assumptions'!$M38*DU$25)*DU$36,IF('Operating Assumptions'!$L38="Fixed Amount",('Operating Assumptions'!$M38*DU$25)/12,IF('Operating Assumptions'!$L38="$/GSF",(('Operating Assumptions'!$M38*DU$25)*'Operating Assumptions'!$D$11)/12,IF('Operating Assumptions'!$L38="$/NSF",(('Operating Assumptions'!$M38*DU$25)*'Operating Assumptions'!$D$12)/12))))))))</f>
        <v>0</v>
      </c>
      <c r="DV113" s="427">
        <f>-IF(DV$9&lt;'Operating Assumptions'!$D$53,0,IF(DV$6&gt;'Operating Assumptions'!$AA$8,0,IF('Operating Assumptions'!$L38="N/A",0,IF('Operating Assumptions'!$L38="$/Unit/Annual",(('Operating Assumptions'!$M38*DV$25)*DV$36)/12,IF('Operating Assumptions'!$L38="$/Unit/Month",('Operating Assumptions'!$M38*DV$25)*DV$36,IF('Operating Assumptions'!$L38="Fixed Amount",('Operating Assumptions'!$M38*DV$25)/12,IF('Operating Assumptions'!$L38="$/GSF",(('Operating Assumptions'!$M38*DV$25)*'Operating Assumptions'!$D$11)/12,IF('Operating Assumptions'!$L38="$/NSF",(('Operating Assumptions'!$M38*DV$25)*'Operating Assumptions'!$D$12)/12))))))))</f>
        <v>0</v>
      </c>
      <c r="DW113" s="427">
        <f>-IF(DW$9&lt;'Operating Assumptions'!$D$53,0,IF(DW$6&gt;'Operating Assumptions'!$AA$8,0,IF('Operating Assumptions'!$L38="N/A",0,IF('Operating Assumptions'!$L38="$/Unit/Annual",(('Operating Assumptions'!$M38*DW$25)*DW$36)/12,IF('Operating Assumptions'!$L38="$/Unit/Month",('Operating Assumptions'!$M38*DW$25)*DW$36,IF('Operating Assumptions'!$L38="Fixed Amount",('Operating Assumptions'!$M38*DW$25)/12,IF('Operating Assumptions'!$L38="$/GSF",(('Operating Assumptions'!$M38*DW$25)*'Operating Assumptions'!$D$11)/12,IF('Operating Assumptions'!$L38="$/NSF",(('Operating Assumptions'!$M38*DW$25)*'Operating Assumptions'!$D$12)/12))))))))</f>
        <v>0</v>
      </c>
      <c r="DX113" s="427">
        <f>-IF(DX$9&lt;'Operating Assumptions'!$D$53,0,IF(DX$6&gt;'Operating Assumptions'!$AA$8,0,IF('Operating Assumptions'!$L38="N/A",0,IF('Operating Assumptions'!$L38="$/Unit/Annual",(('Operating Assumptions'!$M38*DX$25)*DX$36)/12,IF('Operating Assumptions'!$L38="$/Unit/Month",('Operating Assumptions'!$M38*DX$25)*DX$36,IF('Operating Assumptions'!$L38="Fixed Amount",('Operating Assumptions'!$M38*DX$25)/12,IF('Operating Assumptions'!$L38="$/GSF",(('Operating Assumptions'!$M38*DX$25)*'Operating Assumptions'!$D$11)/12,IF('Operating Assumptions'!$L38="$/NSF",(('Operating Assumptions'!$M38*DX$25)*'Operating Assumptions'!$D$12)/12))))))))</f>
        <v>0</v>
      </c>
      <c r="DY113" s="427">
        <f>-IF(DY$9&lt;'Operating Assumptions'!$D$53,0,IF(DY$6&gt;'Operating Assumptions'!$AA$8,0,IF('Operating Assumptions'!$L38="N/A",0,IF('Operating Assumptions'!$L38="$/Unit/Annual",(('Operating Assumptions'!$M38*DY$25)*DY$36)/12,IF('Operating Assumptions'!$L38="$/Unit/Month",('Operating Assumptions'!$M38*DY$25)*DY$36,IF('Operating Assumptions'!$L38="Fixed Amount",('Operating Assumptions'!$M38*DY$25)/12,IF('Operating Assumptions'!$L38="$/GSF",(('Operating Assumptions'!$M38*DY$25)*'Operating Assumptions'!$D$11)/12,IF('Operating Assumptions'!$L38="$/NSF",(('Operating Assumptions'!$M38*DY$25)*'Operating Assumptions'!$D$12)/12))))))))</f>
        <v>0</v>
      </c>
      <c r="DZ113" s="427">
        <f>-IF(DZ$9&lt;'Operating Assumptions'!$D$53,0,IF(DZ$6&gt;'Operating Assumptions'!$AA$8,0,IF('Operating Assumptions'!$L38="N/A",0,IF('Operating Assumptions'!$L38="$/Unit/Annual",(('Operating Assumptions'!$M38*DZ$25)*DZ$36)/12,IF('Operating Assumptions'!$L38="$/Unit/Month",('Operating Assumptions'!$M38*DZ$25)*DZ$36,IF('Operating Assumptions'!$L38="Fixed Amount",('Operating Assumptions'!$M38*DZ$25)/12,IF('Operating Assumptions'!$L38="$/GSF",(('Operating Assumptions'!$M38*DZ$25)*'Operating Assumptions'!$D$11)/12,IF('Operating Assumptions'!$L38="$/NSF",(('Operating Assumptions'!$M38*DZ$25)*'Operating Assumptions'!$D$12)/12))))))))</f>
        <v>0</v>
      </c>
      <c r="EA113" s="427">
        <f>-IF(EA$9&lt;'Operating Assumptions'!$D$53,0,IF(EA$6&gt;'Operating Assumptions'!$AA$8,0,IF('Operating Assumptions'!$L38="N/A",0,IF('Operating Assumptions'!$L38="$/Unit/Annual",(('Operating Assumptions'!$M38*EA$25)*EA$36)/12,IF('Operating Assumptions'!$L38="$/Unit/Month",('Operating Assumptions'!$M38*EA$25)*EA$36,IF('Operating Assumptions'!$L38="Fixed Amount",('Operating Assumptions'!$M38*EA$25)/12,IF('Operating Assumptions'!$L38="$/GSF",(('Operating Assumptions'!$M38*EA$25)*'Operating Assumptions'!$D$11)/12,IF('Operating Assumptions'!$L38="$/NSF",(('Operating Assumptions'!$M38*EA$25)*'Operating Assumptions'!$D$12)/12))))))))</f>
        <v>0</v>
      </c>
      <c r="EB113" s="427">
        <f>-IF(EB$9&lt;'Operating Assumptions'!$D$53,0,IF(EB$6&gt;'Operating Assumptions'!$AA$8,0,IF('Operating Assumptions'!$L38="N/A",0,IF('Operating Assumptions'!$L38="$/Unit/Annual",(('Operating Assumptions'!$M38*EB$25)*EB$36)/12,IF('Operating Assumptions'!$L38="$/Unit/Month",('Operating Assumptions'!$M38*EB$25)*EB$36,IF('Operating Assumptions'!$L38="Fixed Amount",('Operating Assumptions'!$M38*EB$25)/12,IF('Operating Assumptions'!$L38="$/GSF",(('Operating Assumptions'!$M38*EB$25)*'Operating Assumptions'!$D$11)/12,IF('Operating Assumptions'!$L38="$/NSF",(('Operating Assumptions'!$M38*EB$25)*'Operating Assumptions'!$D$12)/12))))))))</f>
        <v>0</v>
      </c>
      <c r="EC113" s="427">
        <f>-IF(EC$9&lt;'Operating Assumptions'!$D$53,0,IF(EC$6&gt;'Operating Assumptions'!$AA$8,0,IF('Operating Assumptions'!$L38="N/A",0,IF('Operating Assumptions'!$L38="$/Unit/Annual",(('Operating Assumptions'!$M38*EC$25)*EC$36)/12,IF('Operating Assumptions'!$L38="$/Unit/Month",('Operating Assumptions'!$M38*EC$25)*EC$36,IF('Operating Assumptions'!$L38="Fixed Amount",('Operating Assumptions'!$M38*EC$25)/12,IF('Operating Assumptions'!$L38="$/GSF",(('Operating Assumptions'!$M38*EC$25)*'Operating Assumptions'!$D$11)/12,IF('Operating Assumptions'!$L38="$/NSF",(('Operating Assumptions'!$M38*EC$25)*'Operating Assumptions'!$D$12)/12))))))))</f>
        <v>0</v>
      </c>
      <c r="ED113" s="427">
        <f>-IF(ED$9&lt;'Operating Assumptions'!$D$53,0,IF(ED$6&gt;'Operating Assumptions'!$AA$8,0,IF('Operating Assumptions'!$L38="N/A",0,IF('Operating Assumptions'!$L38="$/Unit/Annual",(('Operating Assumptions'!$M38*ED$25)*ED$36)/12,IF('Operating Assumptions'!$L38="$/Unit/Month",('Operating Assumptions'!$M38*ED$25)*ED$36,IF('Operating Assumptions'!$L38="Fixed Amount",('Operating Assumptions'!$M38*ED$25)/12,IF('Operating Assumptions'!$L38="$/GSF",(('Operating Assumptions'!$M38*ED$25)*'Operating Assumptions'!$D$11)/12,IF('Operating Assumptions'!$L38="$/NSF",(('Operating Assumptions'!$M38*ED$25)*'Operating Assumptions'!$D$12)/12))))))))</f>
        <v>0</v>
      </c>
      <c r="EE113" s="427">
        <f>-IF(EE$9&lt;'Operating Assumptions'!$D$53,0,IF(EE$6&gt;'Operating Assumptions'!$AA$8,0,IF('Operating Assumptions'!$L38="N/A",0,IF('Operating Assumptions'!$L38="$/Unit/Annual",(('Operating Assumptions'!$M38*EE$25)*EE$36)/12,IF('Operating Assumptions'!$L38="$/Unit/Month",('Operating Assumptions'!$M38*EE$25)*EE$36,IF('Operating Assumptions'!$L38="Fixed Amount",('Operating Assumptions'!$M38*EE$25)/12,IF('Operating Assumptions'!$L38="$/GSF",(('Operating Assumptions'!$M38*EE$25)*'Operating Assumptions'!$D$11)/12,IF('Operating Assumptions'!$L38="$/NSF",(('Operating Assumptions'!$M38*EE$25)*'Operating Assumptions'!$D$12)/12))))))))</f>
        <v>0</v>
      </c>
      <c r="EF113" s="427">
        <f>-IF(EF$9&lt;'Operating Assumptions'!$D$53,0,IF(EF$6&gt;'Operating Assumptions'!$AA$8,0,IF('Operating Assumptions'!$L38="N/A",0,IF('Operating Assumptions'!$L38="$/Unit/Annual",(('Operating Assumptions'!$M38*EF$25)*EF$36)/12,IF('Operating Assumptions'!$L38="$/Unit/Month",('Operating Assumptions'!$M38*EF$25)*EF$36,IF('Operating Assumptions'!$L38="Fixed Amount",('Operating Assumptions'!$M38*EF$25)/12,IF('Operating Assumptions'!$L38="$/GSF",(('Operating Assumptions'!$M38*EF$25)*'Operating Assumptions'!$D$11)/12,IF('Operating Assumptions'!$L38="$/NSF",(('Operating Assumptions'!$M38*EF$25)*'Operating Assumptions'!$D$12)/12))))))))</f>
        <v>0</v>
      </c>
      <c r="EG113" s="427">
        <f>-IF(EG$9&lt;'Operating Assumptions'!$D$53,0,IF(EG$6&gt;'Operating Assumptions'!$AA$8,0,IF('Operating Assumptions'!$L38="N/A",0,IF('Operating Assumptions'!$L38="$/Unit/Annual",(('Operating Assumptions'!$M38*EG$25)*EG$36)/12,IF('Operating Assumptions'!$L38="$/Unit/Month",('Operating Assumptions'!$M38*EG$25)*EG$36,IF('Operating Assumptions'!$L38="Fixed Amount",('Operating Assumptions'!$M38*EG$25)/12,IF('Operating Assumptions'!$L38="$/GSF",(('Operating Assumptions'!$M38*EG$25)*'Operating Assumptions'!$D$11)/12,IF('Operating Assumptions'!$L38="$/NSF",(('Operating Assumptions'!$M38*EG$25)*'Operating Assumptions'!$D$12)/12))))))))</f>
        <v>0</v>
      </c>
      <c r="EH113" s="427">
        <f>-IF(EH$9&lt;'Operating Assumptions'!$D$53,0,IF(EH$6&gt;'Operating Assumptions'!$AA$8,0,IF('Operating Assumptions'!$L38="N/A",0,IF('Operating Assumptions'!$L38="$/Unit/Annual",(('Operating Assumptions'!$M38*EH$25)*EH$36)/12,IF('Operating Assumptions'!$L38="$/Unit/Month",('Operating Assumptions'!$M38*EH$25)*EH$36,IF('Operating Assumptions'!$L38="Fixed Amount",('Operating Assumptions'!$M38*EH$25)/12,IF('Operating Assumptions'!$L38="$/GSF",(('Operating Assumptions'!$M38*EH$25)*'Operating Assumptions'!$D$11)/12,IF('Operating Assumptions'!$L38="$/NSF",(('Operating Assumptions'!$M38*EH$25)*'Operating Assumptions'!$D$12)/12))))))))</f>
        <v>0</v>
      </c>
      <c r="EI113" s="427">
        <f>-IF(EI$9&lt;'Operating Assumptions'!$D$53,0,IF(EI$6&gt;'Operating Assumptions'!$AA$8,0,IF('Operating Assumptions'!$L38="N/A",0,IF('Operating Assumptions'!$L38="$/Unit/Annual",(('Operating Assumptions'!$M38*EI$25)*EI$36)/12,IF('Operating Assumptions'!$L38="$/Unit/Month",('Operating Assumptions'!$M38*EI$25)*EI$36,IF('Operating Assumptions'!$L38="Fixed Amount",('Operating Assumptions'!$M38*EI$25)/12,IF('Operating Assumptions'!$L38="$/GSF",(('Operating Assumptions'!$M38*EI$25)*'Operating Assumptions'!$D$11)/12,IF('Operating Assumptions'!$L38="$/NSF",(('Operating Assumptions'!$M38*EI$25)*'Operating Assumptions'!$D$12)/12))))))))</f>
        <v>0</v>
      </c>
      <c r="EJ113" s="427">
        <f>-IF(EJ$9&lt;'Operating Assumptions'!$D$53,0,IF(EJ$6&gt;'Operating Assumptions'!$AA$8,0,IF('Operating Assumptions'!$L38="N/A",0,IF('Operating Assumptions'!$L38="$/Unit/Annual",(('Operating Assumptions'!$M38*EJ$25)*EJ$36)/12,IF('Operating Assumptions'!$L38="$/Unit/Month",('Operating Assumptions'!$M38*EJ$25)*EJ$36,IF('Operating Assumptions'!$L38="Fixed Amount",('Operating Assumptions'!$M38*EJ$25)/12,IF('Operating Assumptions'!$L38="$/GSF",(('Operating Assumptions'!$M38*EJ$25)*'Operating Assumptions'!$D$11)/12,IF('Operating Assumptions'!$L38="$/NSF",(('Operating Assumptions'!$M38*EJ$25)*'Operating Assumptions'!$D$12)/12))))))))</f>
        <v>0</v>
      </c>
      <c r="EK113" s="427">
        <f>-IF(EK$9&lt;'Operating Assumptions'!$D$53,0,IF(EK$6&gt;'Operating Assumptions'!$AA$8,0,IF('Operating Assumptions'!$L38="N/A",0,IF('Operating Assumptions'!$L38="$/Unit/Annual",(('Operating Assumptions'!$M38*EK$25)*EK$36)/12,IF('Operating Assumptions'!$L38="$/Unit/Month",('Operating Assumptions'!$M38*EK$25)*EK$36,IF('Operating Assumptions'!$L38="Fixed Amount",('Operating Assumptions'!$M38*EK$25)/12,IF('Operating Assumptions'!$L38="$/GSF",(('Operating Assumptions'!$M38*EK$25)*'Operating Assumptions'!$D$11)/12,IF('Operating Assumptions'!$L38="$/NSF",(('Operating Assumptions'!$M38*EK$25)*'Operating Assumptions'!$D$12)/12))))))))</f>
        <v>0</v>
      </c>
      <c r="EL113" s="427">
        <f>-IF(EL$9&lt;'Operating Assumptions'!$D$53,0,IF(EL$6&gt;'Operating Assumptions'!$AA$8,0,IF('Operating Assumptions'!$L38="N/A",0,IF('Operating Assumptions'!$L38="$/Unit/Annual",(('Operating Assumptions'!$M38*EL$25)*EL$36)/12,IF('Operating Assumptions'!$L38="$/Unit/Month",('Operating Assumptions'!$M38*EL$25)*EL$36,IF('Operating Assumptions'!$L38="Fixed Amount",('Operating Assumptions'!$M38*EL$25)/12,IF('Operating Assumptions'!$L38="$/GSF",(('Operating Assumptions'!$M38*EL$25)*'Operating Assumptions'!$D$11)/12,IF('Operating Assumptions'!$L38="$/NSF",(('Operating Assumptions'!$M38*EL$25)*'Operating Assumptions'!$D$12)/12))))))))</f>
        <v>0</v>
      </c>
      <c r="EM113" s="427">
        <f>-IF(EM$9&lt;'Operating Assumptions'!$D$53,0,IF(EM$6&gt;'Operating Assumptions'!$AA$8,0,IF('Operating Assumptions'!$L38="N/A",0,IF('Operating Assumptions'!$L38="$/Unit/Annual",(('Operating Assumptions'!$M38*EM$25)*EM$36)/12,IF('Operating Assumptions'!$L38="$/Unit/Month",('Operating Assumptions'!$M38*EM$25)*EM$36,IF('Operating Assumptions'!$L38="Fixed Amount",('Operating Assumptions'!$M38*EM$25)/12,IF('Operating Assumptions'!$L38="$/GSF",(('Operating Assumptions'!$M38*EM$25)*'Operating Assumptions'!$D$11)/12,IF('Operating Assumptions'!$L38="$/NSF",(('Operating Assumptions'!$M38*EM$25)*'Operating Assumptions'!$D$12)/12))))))))</f>
        <v>0</v>
      </c>
      <c r="EN113" s="427">
        <f>-IF(EN$9&lt;'Operating Assumptions'!$D$53,0,IF(EN$6&gt;'Operating Assumptions'!$AA$8,0,IF('Operating Assumptions'!$L38="N/A",0,IF('Operating Assumptions'!$L38="$/Unit/Annual",(('Operating Assumptions'!$M38*EN$25)*EN$36)/12,IF('Operating Assumptions'!$L38="$/Unit/Month",('Operating Assumptions'!$M38*EN$25)*EN$36,IF('Operating Assumptions'!$L38="Fixed Amount",('Operating Assumptions'!$M38*EN$25)/12,IF('Operating Assumptions'!$L38="$/GSF",(('Operating Assumptions'!$M38*EN$25)*'Operating Assumptions'!$D$11)/12,IF('Operating Assumptions'!$L38="$/NSF",(('Operating Assumptions'!$M38*EN$25)*'Operating Assumptions'!$D$12)/12))))))))</f>
        <v>0</v>
      </c>
      <c r="EO113" s="427">
        <f>-IF(EO$9&lt;'Operating Assumptions'!$D$53,0,IF(EO$6&gt;'Operating Assumptions'!$AA$8,0,IF('Operating Assumptions'!$L38="N/A",0,IF('Operating Assumptions'!$L38="$/Unit/Annual",(('Operating Assumptions'!$M38*EO$25)*EO$36)/12,IF('Operating Assumptions'!$L38="$/Unit/Month",('Operating Assumptions'!$M38*EO$25)*EO$36,IF('Operating Assumptions'!$L38="Fixed Amount",('Operating Assumptions'!$M38*EO$25)/12,IF('Operating Assumptions'!$L38="$/GSF",(('Operating Assumptions'!$M38*EO$25)*'Operating Assumptions'!$D$11)/12,IF('Operating Assumptions'!$L38="$/NSF",(('Operating Assumptions'!$M38*EO$25)*'Operating Assumptions'!$D$12)/12))))))))</f>
        <v>0</v>
      </c>
      <c r="EP113" s="427">
        <f>-IF(EP$9&lt;'Operating Assumptions'!$D$53,0,IF(EP$6&gt;'Operating Assumptions'!$AA$8,0,IF('Operating Assumptions'!$L38="N/A",0,IF('Operating Assumptions'!$L38="$/Unit/Annual",(('Operating Assumptions'!$M38*EP$25)*EP$36)/12,IF('Operating Assumptions'!$L38="$/Unit/Month",('Operating Assumptions'!$M38*EP$25)*EP$36,IF('Operating Assumptions'!$L38="Fixed Amount",('Operating Assumptions'!$M38*EP$25)/12,IF('Operating Assumptions'!$L38="$/GSF",(('Operating Assumptions'!$M38*EP$25)*'Operating Assumptions'!$D$11)/12,IF('Operating Assumptions'!$L38="$/NSF",(('Operating Assumptions'!$M38*EP$25)*'Operating Assumptions'!$D$12)/12))))))))</f>
        <v>0</v>
      </c>
      <c r="EQ113" s="427">
        <f>-IF(EQ$9&lt;'Operating Assumptions'!$D$53,0,IF(EQ$6&gt;'Operating Assumptions'!$AA$8,0,IF('Operating Assumptions'!$L38="N/A",0,IF('Operating Assumptions'!$L38="$/Unit/Annual",(('Operating Assumptions'!$M38*EQ$25)*EQ$36)/12,IF('Operating Assumptions'!$L38="$/Unit/Month",('Operating Assumptions'!$M38*EQ$25)*EQ$36,IF('Operating Assumptions'!$L38="Fixed Amount",('Operating Assumptions'!$M38*EQ$25)/12,IF('Operating Assumptions'!$L38="$/GSF",(('Operating Assumptions'!$M38*EQ$25)*'Operating Assumptions'!$D$11)/12,IF('Operating Assumptions'!$L38="$/NSF",(('Operating Assumptions'!$M38*EQ$25)*'Operating Assumptions'!$D$12)/12))))))))</f>
        <v>0</v>
      </c>
      <c r="ER113" s="427">
        <f>-IF(ER$9&lt;'Operating Assumptions'!$D$53,0,IF(ER$6&gt;'Operating Assumptions'!$AA$8,0,IF('Operating Assumptions'!$L38="N/A",0,IF('Operating Assumptions'!$L38="$/Unit/Annual",(('Operating Assumptions'!$M38*ER$25)*ER$36)/12,IF('Operating Assumptions'!$L38="$/Unit/Month",('Operating Assumptions'!$M38*ER$25)*ER$36,IF('Operating Assumptions'!$L38="Fixed Amount",('Operating Assumptions'!$M38*ER$25)/12,IF('Operating Assumptions'!$L38="$/GSF",(('Operating Assumptions'!$M38*ER$25)*'Operating Assumptions'!$D$11)/12,IF('Operating Assumptions'!$L38="$/NSF",(('Operating Assumptions'!$M38*ER$25)*'Operating Assumptions'!$D$12)/12))))))))</f>
        <v>0</v>
      </c>
      <c r="ES113" s="427">
        <f>-IF(ES$9&lt;'Operating Assumptions'!$D$53,0,IF(ES$6&gt;'Operating Assumptions'!$AA$8,0,IF('Operating Assumptions'!$L38="N/A",0,IF('Operating Assumptions'!$L38="$/Unit/Annual",(('Operating Assumptions'!$M38*ES$25)*ES$36)/12,IF('Operating Assumptions'!$L38="$/Unit/Month",('Operating Assumptions'!$M38*ES$25)*ES$36,IF('Operating Assumptions'!$L38="Fixed Amount",('Operating Assumptions'!$M38*ES$25)/12,IF('Operating Assumptions'!$L38="$/GSF",(('Operating Assumptions'!$M38*ES$25)*'Operating Assumptions'!$D$11)/12,IF('Operating Assumptions'!$L38="$/NSF",(('Operating Assumptions'!$M38*ES$25)*'Operating Assumptions'!$D$12)/12))))))))</f>
        <v>0</v>
      </c>
      <c r="ET113" s="427">
        <f>-IF(ET$9&lt;'Operating Assumptions'!$D$53,0,IF(ET$6&gt;'Operating Assumptions'!$AA$8,0,IF('Operating Assumptions'!$L38="N/A",0,IF('Operating Assumptions'!$L38="$/Unit/Annual",(('Operating Assumptions'!$M38*ET$25)*ET$36)/12,IF('Operating Assumptions'!$L38="$/Unit/Month",('Operating Assumptions'!$M38*ET$25)*ET$36,IF('Operating Assumptions'!$L38="Fixed Amount",('Operating Assumptions'!$M38*ET$25)/12,IF('Operating Assumptions'!$L38="$/GSF",(('Operating Assumptions'!$M38*ET$25)*'Operating Assumptions'!$D$11)/12,IF('Operating Assumptions'!$L38="$/NSF",(('Operating Assumptions'!$M38*ET$25)*'Operating Assumptions'!$D$12)/12))))))))</f>
        <v>0</v>
      </c>
      <c r="EU113" s="427">
        <f>-IF(EU$9&lt;'Operating Assumptions'!$D$53,0,IF(EU$6&gt;'Operating Assumptions'!$AA$8,0,IF('Operating Assumptions'!$L38="N/A",0,IF('Operating Assumptions'!$L38="$/Unit/Annual",(('Operating Assumptions'!$M38*EU$25)*EU$36)/12,IF('Operating Assumptions'!$L38="$/Unit/Month",('Operating Assumptions'!$M38*EU$25)*EU$36,IF('Operating Assumptions'!$L38="Fixed Amount",('Operating Assumptions'!$M38*EU$25)/12,IF('Operating Assumptions'!$L38="$/GSF",(('Operating Assumptions'!$M38*EU$25)*'Operating Assumptions'!$D$11)/12,IF('Operating Assumptions'!$L38="$/NSF",(('Operating Assumptions'!$M38*EU$25)*'Operating Assumptions'!$D$12)/12))))))))</f>
        <v>0</v>
      </c>
      <c r="EV113" s="427">
        <f>-IF(EV$9&lt;'Operating Assumptions'!$D$53,0,IF(EV$6&gt;'Operating Assumptions'!$AA$8,0,IF('Operating Assumptions'!$L38="N/A",0,IF('Operating Assumptions'!$L38="$/Unit/Annual",(('Operating Assumptions'!$M38*EV$25)*EV$36)/12,IF('Operating Assumptions'!$L38="$/Unit/Month",('Operating Assumptions'!$M38*EV$25)*EV$36,IF('Operating Assumptions'!$L38="Fixed Amount",('Operating Assumptions'!$M38*EV$25)/12,IF('Operating Assumptions'!$L38="$/GSF",(('Operating Assumptions'!$M38*EV$25)*'Operating Assumptions'!$D$11)/12,IF('Operating Assumptions'!$L38="$/NSF",(('Operating Assumptions'!$M38*EV$25)*'Operating Assumptions'!$D$12)/12))))))))</f>
        <v>0</v>
      </c>
      <c r="EW113" s="427">
        <f>-IF(EW$9&lt;'Operating Assumptions'!$D$53,0,IF(EW$6&gt;'Operating Assumptions'!$AA$8,0,IF('Operating Assumptions'!$L38="N/A",0,IF('Operating Assumptions'!$L38="$/Unit/Annual",(('Operating Assumptions'!$M38*EW$25)*EW$36)/12,IF('Operating Assumptions'!$L38="$/Unit/Month",('Operating Assumptions'!$M38*EW$25)*EW$36,IF('Operating Assumptions'!$L38="Fixed Amount",('Operating Assumptions'!$M38*EW$25)/12,IF('Operating Assumptions'!$L38="$/GSF",(('Operating Assumptions'!$M38*EW$25)*'Operating Assumptions'!$D$11)/12,IF('Operating Assumptions'!$L38="$/NSF",(('Operating Assumptions'!$M38*EW$25)*'Operating Assumptions'!$D$12)/12))))))))</f>
        <v>0</v>
      </c>
      <c r="EX113" s="427">
        <f>-IF(EX$9&lt;'Operating Assumptions'!$D$53,0,IF(EX$6&gt;'Operating Assumptions'!$AA$8,0,IF('Operating Assumptions'!$L38="N/A",0,IF('Operating Assumptions'!$L38="$/Unit/Annual",(('Operating Assumptions'!$M38*EX$25)*EX$36)/12,IF('Operating Assumptions'!$L38="$/Unit/Month",('Operating Assumptions'!$M38*EX$25)*EX$36,IF('Operating Assumptions'!$L38="Fixed Amount",('Operating Assumptions'!$M38*EX$25)/12,IF('Operating Assumptions'!$L38="$/GSF",(('Operating Assumptions'!$M38*EX$25)*'Operating Assumptions'!$D$11)/12,IF('Operating Assumptions'!$L38="$/NSF",(('Operating Assumptions'!$M38*EX$25)*'Operating Assumptions'!$D$12)/12))))))))</f>
        <v>0</v>
      </c>
      <c r="EY113" s="427">
        <f>-IF(EY$9&lt;'Operating Assumptions'!$D$53,0,IF(EY$6&gt;'Operating Assumptions'!$AA$8,0,IF('Operating Assumptions'!$L38="N/A",0,IF('Operating Assumptions'!$L38="$/Unit/Annual",(('Operating Assumptions'!$M38*EY$25)*EY$36)/12,IF('Operating Assumptions'!$L38="$/Unit/Month",('Operating Assumptions'!$M38*EY$25)*EY$36,IF('Operating Assumptions'!$L38="Fixed Amount",('Operating Assumptions'!$M38*EY$25)/12,IF('Operating Assumptions'!$L38="$/GSF",(('Operating Assumptions'!$M38*EY$25)*'Operating Assumptions'!$D$11)/12,IF('Operating Assumptions'!$L38="$/NSF",(('Operating Assumptions'!$M38*EY$25)*'Operating Assumptions'!$D$12)/12))))))))</f>
        <v>0</v>
      </c>
      <c r="EZ113" s="427">
        <f>-IF(EZ$9&lt;'Operating Assumptions'!$D$53,0,IF(EZ$6&gt;'Operating Assumptions'!$AA$8,0,IF('Operating Assumptions'!$L38="N/A",0,IF('Operating Assumptions'!$L38="$/Unit/Annual",(('Operating Assumptions'!$M38*EZ$25)*EZ$36)/12,IF('Operating Assumptions'!$L38="$/Unit/Month",('Operating Assumptions'!$M38*EZ$25)*EZ$36,IF('Operating Assumptions'!$L38="Fixed Amount",('Operating Assumptions'!$M38*EZ$25)/12,IF('Operating Assumptions'!$L38="$/GSF",(('Operating Assumptions'!$M38*EZ$25)*'Operating Assumptions'!$D$11)/12,IF('Operating Assumptions'!$L38="$/NSF",(('Operating Assumptions'!$M38*EZ$25)*'Operating Assumptions'!$D$12)/12))))))))</f>
        <v>0</v>
      </c>
      <c r="FA113" s="427">
        <f>-IF(FA$9&lt;'Operating Assumptions'!$D$53,0,IF(FA$6&gt;'Operating Assumptions'!$AA$8,0,IF('Operating Assumptions'!$L38="N/A",0,IF('Operating Assumptions'!$L38="$/Unit/Annual",(('Operating Assumptions'!$M38*FA$25)*FA$36)/12,IF('Operating Assumptions'!$L38="$/Unit/Month",('Operating Assumptions'!$M38*FA$25)*FA$36,IF('Operating Assumptions'!$L38="Fixed Amount",('Operating Assumptions'!$M38*FA$25)/12,IF('Operating Assumptions'!$L38="$/GSF",(('Operating Assumptions'!$M38*FA$25)*'Operating Assumptions'!$D$11)/12,IF('Operating Assumptions'!$L38="$/NSF",(('Operating Assumptions'!$M38*FA$25)*'Operating Assumptions'!$D$12)/12))))))))</f>
        <v>0</v>
      </c>
      <c r="FB113" s="427">
        <f>-IF(FB$9&lt;'Operating Assumptions'!$D$53,0,IF(FB$6&gt;'Operating Assumptions'!$AA$8,0,IF('Operating Assumptions'!$L38="N/A",0,IF('Operating Assumptions'!$L38="$/Unit/Annual",(('Operating Assumptions'!$M38*FB$25)*FB$36)/12,IF('Operating Assumptions'!$L38="$/Unit/Month",('Operating Assumptions'!$M38*FB$25)*FB$36,IF('Operating Assumptions'!$L38="Fixed Amount",('Operating Assumptions'!$M38*FB$25)/12,IF('Operating Assumptions'!$L38="$/GSF",(('Operating Assumptions'!$M38*FB$25)*'Operating Assumptions'!$D$11)/12,IF('Operating Assumptions'!$L38="$/NSF",(('Operating Assumptions'!$M38*FB$25)*'Operating Assumptions'!$D$12)/12))))))))</f>
        <v>0</v>
      </c>
      <c r="FC113" s="427">
        <f>-IF(FC$9&lt;'Operating Assumptions'!$D$53,0,IF(FC$6&gt;'Operating Assumptions'!$AA$8,0,IF('Operating Assumptions'!$L38="N/A",0,IF('Operating Assumptions'!$L38="$/Unit/Annual",(('Operating Assumptions'!$M38*FC$25)*FC$36)/12,IF('Operating Assumptions'!$L38="$/Unit/Month",('Operating Assumptions'!$M38*FC$25)*FC$36,IF('Operating Assumptions'!$L38="Fixed Amount",('Operating Assumptions'!$M38*FC$25)/12,IF('Operating Assumptions'!$L38="$/GSF",(('Operating Assumptions'!$M38*FC$25)*'Operating Assumptions'!$D$11)/12,IF('Operating Assumptions'!$L38="$/NSF",(('Operating Assumptions'!$M38*FC$25)*'Operating Assumptions'!$D$12)/12))))))))</f>
        <v>0</v>
      </c>
      <c r="FD113" s="427">
        <f>-IF(FD$9&lt;'Operating Assumptions'!$D$53,0,IF(FD$6&gt;'Operating Assumptions'!$AA$8,0,IF('Operating Assumptions'!$L38="N/A",0,IF('Operating Assumptions'!$L38="$/Unit/Annual",(('Operating Assumptions'!$M38*FD$25)*FD$36)/12,IF('Operating Assumptions'!$L38="$/Unit/Month",('Operating Assumptions'!$M38*FD$25)*FD$36,IF('Operating Assumptions'!$L38="Fixed Amount",('Operating Assumptions'!$M38*FD$25)/12,IF('Operating Assumptions'!$L38="$/GSF",(('Operating Assumptions'!$M38*FD$25)*'Operating Assumptions'!$D$11)/12,IF('Operating Assumptions'!$L38="$/NSF",(('Operating Assumptions'!$M38*FD$25)*'Operating Assumptions'!$D$12)/12))))))))</f>
        <v>0</v>
      </c>
      <c r="FE113" s="427">
        <f>-IF(FE$9&lt;'Operating Assumptions'!$D$53,0,IF(FE$6&gt;'Operating Assumptions'!$AA$8,0,IF('Operating Assumptions'!$L38="N/A",0,IF('Operating Assumptions'!$L38="$/Unit/Annual",(('Operating Assumptions'!$M38*FE$25)*FE$36)/12,IF('Operating Assumptions'!$L38="$/Unit/Month",('Operating Assumptions'!$M38*FE$25)*FE$36,IF('Operating Assumptions'!$L38="Fixed Amount",('Operating Assumptions'!$M38*FE$25)/12,IF('Operating Assumptions'!$L38="$/GSF",(('Operating Assumptions'!$M38*FE$25)*'Operating Assumptions'!$D$11)/12,IF('Operating Assumptions'!$L38="$/NSF",(('Operating Assumptions'!$M38*FE$25)*'Operating Assumptions'!$D$12)/12))))))))</f>
        <v>0</v>
      </c>
      <c r="FF113" s="427">
        <f>-IF(FF$9&lt;'Operating Assumptions'!$D$53,0,IF(FF$6&gt;'Operating Assumptions'!$AA$8,0,IF('Operating Assumptions'!$L38="N/A",0,IF('Operating Assumptions'!$L38="$/Unit/Annual",(('Operating Assumptions'!$M38*FF$25)*FF$36)/12,IF('Operating Assumptions'!$L38="$/Unit/Month",('Operating Assumptions'!$M38*FF$25)*FF$36,IF('Operating Assumptions'!$L38="Fixed Amount",('Operating Assumptions'!$M38*FF$25)/12,IF('Operating Assumptions'!$L38="$/GSF",(('Operating Assumptions'!$M38*FF$25)*'Operating Assumptions'!$D$11)/12,IF('Operating Assumptions'!$L38="$/NSF",(('Operating Assumptions'!$M38*FF$25)*'Operating Assumptions'!$D$12)/12))))))))</f>
        <v>0</v>
      </c>
      <c r="FG113" s="427">
        <f>-IF(FG$9&lt;'Operating Assumptions'!$D$53,0,IF(FG$6&gt;'Operating Assumptions'!$AA$8,0,IF('Operating Assumptions'!$L38="N/A",0,IF('Operating Assumptions'!$L38="$/Unit/Annual",(('Operating Assumptions'!$M38*FG$25)*FG$36)/12,IF('Operating Assumptions'!$L38="$/Unit/Month",('Operating Assumptions'!$M38*FG$25)*FG$36,IF('Operating Assumptions'!$L38="Fixed Amount",('Operating Assumptions'!$M38*FG$25)/12,IF('Operating Assumptions'!$L38="$/GSF",(('Operating Assumptions'!$M38*FG$25)*'Operating Assumptions'!$D$11)/12,IF('Operating Assumptions'!$L38="$/NSF",(('Operating Assumptions'!$M38*FG$25)*'Operating Assumptions'!$D$12)/12))))))))</f>
        <v>0</v>
      </c>
      <c r="FH113" s="427">
        <f>-IF(FH$9&lt;'Operating Assumptions'!$D$53,0,IF(FH$6&gt;'Operating Assumptions'!$AA$8,0,IF('Operating Assumptions'!$L38="N/A",0,IF('Operating Assumptions'!$L38="$/Unit/Annual",(('Operating Assumptions'!$M38*FH$25)*FH$36)/12,IF('Operating Assumptions'!$L38="$/Unit/Month",('Operating Assumptions'!$M38*FH$25)*FH$36,IF('Operating Assumptions'!$L38="Fixed Amount",('Operating Assumptions'!$M38*FH$25)/12,IF('Operating Assumptions'!$L38="$/GSF",(('Operating Assumptions'!$M38*FH$25)*'Operating Assumptions'!$D$11)/12,IF('Operating Assumptions'!$L38="$/NSF",(('Operating Assumptions'!$M38*FH$25)*'Operating Assumptions'!$D$12)/12))))))))</f>
        <v>0</v>
      </c>
      <c r="FI113" s="427">
        <f>-IF(FI$9&lt;'Operating Assumptions'!$D$53,0,IF(FI$6&gt;'Operating Assumptions'!$AA$8,0,IF('Operating Assumptions'!$L38="N/A",0,IF('Operating Assumptions'!$L38="$/Unit/Annual",(('Operating Assumptions'!$M38*FI$25)*FI$36)/12,IF('Operating Assumptions'!$L38="$/Unit/Month",('Operating Assumptions'!$M38*FI$25)*FI$36,IF('Operating Assumptions'!$L38="Fixed Amount",('Operating Assumptions'!$M38*FI$25)/12,IF('Operating Assumptions'!$L38="$/GSF",(('Operating Assumptions'!$M38*FI$25)*'Operating Assumptions'!$D$11)/12,IF('Operating Assumptions'!$L38="$/NSF",(('Operating Assumptions'!$M38*FI$25)*'Operating Assumptions'!$D$12)/12))))))))</f>
        <v>0</v>
      </c>
      <c r="FJ113" s="427">
        <f>-IF(FJ$9&lt;'Operating Assumptions'!$D$53,0,IF(FJ$6&gt;'Operating Assumptions'!$AA$8,0,IF('Operating Assumptions'!$L38="N/A",0,IF('Operating Assumptions'!$L38="$/Unit/Annual",(('Operating Assumptions'!$M38*FJ$25)*FJ$36)/12,IF('Operating Assumptions'!$L38="$/Unit/Month",('Operating Assumptions'!$M38*FJ$25)*FJ$36,IF('Operating Assumptions'!$L38="Fixed Amount",('Operating Assumptions'!$M38*FJ$25)/12,IF('Operating Assumptions'!$L38="$/GSF",(('Operating Assumptions'!$M38*FJ$25)*'Operating Assumptions'!$D$11)/12,IF('Operating Assumptions'!$L38="$/NSF",(('Operating Assumptions'!$M38*FJ$25)*'Operating Assumptions'!$D$12)/12))))))))</f>
        <v>0</v>
      </c>
      <c r="FK113" s="427">
        <f>-IF(FK$9&lt;'Operating Assumptions'!$D$53,0,IF(FK$6&gt;'Operating Assumptions'!$AA$8,0,IF('Operating Assumptions'!$L38="N/A",0,IF('Operating Assumptions'!$L38="$/Unit/Annual",(('Operating Assumptions'!$M38*FK$25)*FK$36)/12,IF('Operating Assumptions'!$L38="$/Unit/Month",('Operating Assumptions'!$M38*FK$25)*FK$36,IF('Operating Assumptions'!$L38="Fixed Amount",('Operating Assumptions'!$M38*FK$25)/12,IF('Operating Assumptions'!$L38="$/GSF",(('Operating Assumptions'!$M38*FK$25)*'Operating Assumptions'!$D$11)/12,IF('Operating Assumptions'!$L38="$/NSF",(('Operating Assumptions'!$M38*FK$25)*'Operating Assumptions'!$D$12)/12))))))))</f>
        <v>0</v>
      </c>
      <c r="FL113" s="427">
        <f>-IF(FL$9&lt;'Operating Assumptions'!$D$53,0,IF(FL$6&gt;'Operating Assumptions'!$AA$8,0,IF('Operating Assumptions'!$L38="N/A",0,IF('Operating Assumptions'!$L38="$/Unit/Annual",(('Operating Assumptions'!$M38*FL$25)*FL$36)/12,IF('Operating Assumptions'!$L38="$/Unit/Month",('Operating Assumptions'!$M38*FL$25)*FL$36,IF('Operating Assumptions'!$L38="Fixed Amount",('Operating Assumptions'!$M38*FL$25)/12,IF('Operating Assumptions'!$L38="$/GSF",(('Operating Assumptions'!$M38*FL$25)*'Operating Assumptions'!$D$11)/12,IF('Operating Assumptions'!$L38="$/NSF",(('Operating Assumptions'!$M38*FL$25)*'Operating Assumptions'!$D$12)/12))))))))</f>
        <v>0</v>
      </c>
      <c r="FM113" s="427">
        <f>-IF(FM$9&lt;'Operating Assumptions'!$D$53,0,IF(FM$6&gt;'Operating Assumptions'!$AA$8,0,IF('Operating Assumptions'!$L38="N/A",0,IF('Operating Assumptions'!$L38="$/Unit/Annual",(('Operating Assumptions'!$M38*FM$25)*FM$36)/12,IF('Operating Assumptions'!$L38="$/Unit/Month",('Operating Assumptions'!$M38*FM$25)*FM$36,IF('Operating Assumptions'!$L38="Fixed Amount",('Operating Assumptions'!$M38*FM$25)/12,IF('Operating Assumptions'!$L38="$/GSF",(('Operating Assumptions'!$M38*FM$25)*'Operating Assumptions'!$D$11)/12,IF('Operating Assumptions'!$L38="$/NSF",(('Operating Assumptions'!$M38*FM$25)*'Operating Assumptions'!$D$12)/12))))))))</f>
        <v>0</v>
      </c>
      <c r="FN113" s="427">
        <f>-IF(FN$9&lt;'Operating Assumptions'!$D$53,0,IF(FN$6&gt;'Operating Assumptions'!$AA$8,0,IF('Operating Assumptions'!$L38="N/A",0,IF('Operating Assumptions'!$L38="$/Unit/Annual",(('Operating Assumptions'!$M38*FN$25)*FN$36)/12,IF('Operating Assumptions'!$L38="$/Unit/Month",('Operating Assumptions'!$M38*FN$25)*FN$36,IF('Operating Assumptions'!$L38="Fixed Amount",('Operating Assumptions'!$M38*FN$25)/12,IF('Operating Assumptions'!$L38="$/GSF",(('Operating Assumptions'!$M38*FN$25)*'Operating Assumptions'!$D$11)/12,IF('Operating Assumptions'!$L38="$/NSF",(('Operating Assumptions'!$M38*FN$25)*'Operating Assumptions'!$D$12)/12))))))))</f>
        <v>0</v>
      </c>
      <c r="FO113" s="427">
        <f>-IF(FO$9&lt;'Operating Assumptions'!$D$53,0,IF(FO$6&gt;'Operating Assumptions'!$AA$8,0,IF('Operating Assumptions'!$L38="N/A",0,IF('Operating Assumptions'!$L38="$/Unit/Annual",(('Operating Assumptions'!$M38*FO$25)*FO$36)/12,IF('Operating Assumptions'!$L38="$/Unit/Month",('Operating Assumptions'!$M38*FO$25)*FO$36,IF('Operating Assumptions'!$L38="Fixed Amount",('Operating Assumptions'!$M38*FO$25)/12,IF('Operating Assumptions'!$L38="$/GSF",(('Operating Assumptions'!$M38*FO$25)*'Operating Assumptions'!$D$11)/12,IF('Operating Assumptions'!$L38="$/NSF",(('Operating Assumptions'!$M38*FO$25)*'Operating Assumptions'!$D$12)/12))))))))</f>
        <v>0</v>
      </c>
      <c r="FP113" s="427">
        <f>-IF(FP$9&lt;'Operating Assumptions'!$D$53,0,IF(FP$6&gt;'Operating Assumptions'!$AA$8,0,IF('Operating Assumptions'!$L38="N/A",0,IF('Operating Assumptions'!$L38="$/Unit/Annual",(('Operating Assumptions'!$M38*FP$25)*FP$36)/12,IF('Operating Assumptions'!$L38="$/Unit/Month",('Operating Assumptions'!$M38*FP$25)*FP$36,IF('Operating Assumptions'!$L38="Fixed Amount",('Operating Assumptions'!$M38*FP$25)/12,IF('Operating Assumptions'!$L38="$/GSF",(('Operating Assumptions'!$M38*FP$25)*'Operating Assumptions'!$D$11)/12,IF('Operating Assumptions'!$L38="$/NSF",(('Operating Assumptions'!$M38*FP$25)*'Operating Assumptions'!$D$12)/12))))))))</f>
        <v>0</v>
      </c>
      <c r="FQ113" s="427">
        <f>-IF(FQ$9&lt;'Operating Assumptions'!$D$53,0,IF(FQ$6&gt;'Operating Assumptions'!$AA$8,0,IF('Operating Assumptions'!$L38="N/A",0,IF('Operating Assumptions'!$L38="$/Unit/Annual",(('Operating Assumptions'!$M38*FQ$25)*FQ$36)/12,IF('Operating Assumptions'!$L38="$/Unit/Month",('Operating Assumptions'!$M38*FQ$25)*FQ$36,IF('Operating Assumptions'!$L38="Fixed Amount",('Operating Assumptions'!$M38*FQ$25)/12,IF('Operating Assumptions'!$L38="$/GSF",(('Operating Assumptions'!$M38*FQ$25)*'Operating Assumptions'!$D$11)/12,IF('Operating Assumptions'!$L38="$/NSF",(('Operating Assumptions'!$M38*FQ$25)*'Operating Assumptions'!$D$12)/12))))))))</f>
        <v>0</v>
      </c>
      <c r="FR113" s="427">
        <f>-IF(FR$9&lt;'Operating Assumptions'!$D$53,0,IF(FR$6&gt;'Operating Assumptions'!$AA$8,0,IF('Operating Assumptions'!$L38="N/A",0,IF('Operating Assumptions'!$L38="$/Unit/Annual",(('Operating Assumptions'!$M38*FR$25)*FR$36)/12,IF('Operating Assumptions'!$L38="$/Unit/Month",('Operating Assumptions'!$M38*FR$25)*FR$36,IF('Operating Assumptions'!$L38="Fixed Amount",('Operating Assumptions'!$M38*FR$25)/12,IF('Operating Assumptions'!$L38="$/GSF",(('Operating Assumptions'!$M38*FR$25)*'Operating Assumptions'!$D$11)/12,IF('Operating Assumptions'!$L38="$/NSF",(('Operating Assumptions'!$M38*FR$25)*'Operating Assumptions'!$D$12)/12))))))))</f>
        <v>0</v>
      </c>
      <c r="FS113" s="427">
        <f>-IF(FS$9&lt;'Operating Assumptions'!$D$53,0,IF(FS$6&gt;'Operating Assumptions'!$AA$8,0,IF('Operating Assumptions'!$L38="N/A",0,IF('Operating Assumptions'!$L38="$/Unit/Annual",(('Operating Assumptions'!$M38*FS$25)*FS$36)/12,IF('Operating Assumptions'!$L38="$/Unit/Month",('Operating Assumptions'!$M38*FS$25)*FS$36,IF('Operating Assumptions'!$L38="Fixed Amount",('Operating Assumptions'!$M38*FS$25)/12,IF('Operating Assumptions'!$L38="$/GSF",(('Operating Assumptions'!$M38*FS$25)*'Operating Assumptions'!$D$11)/12,IF('Operating Assumptions'!$L38="$/NSF",(('Operating Assumptions'!$M38*FS$25)*'Operating Assumptions'!$D$12)/12))))))))</f>
        <v>0</v>
      </c>
      <c r="FT113" s="427">
        <f>-IF(FT$9&lt;'Operating Assumptions'!$D$53,0,IF(FT$6&gt;'Operating Assumptions'!$AA$8,0,IF('Operating Assumptions'!$L38="N/A",0,IF('Operating Assumptions'!$L38="$/Unit/Annual",(('Operating Assumptions'!$M38*FT$25)*FT$36)/12,IF('Operating Assumptions'!$L38="$/Unit/Month",('Operating Assumptions'!$M38*FT$25)*FT$36,IF('Operating Assumptions'!$L38="Fixed Amount",('Operating Assumptions'!$M38*FT$25)/12,IF('Operating Assumptions'!$L38="$/GSF",(('Operating Assumptions'!$M38*FT$25)*'Operating Assumptions'!$D$11)/12,IF('Operating Assumptions'!$L38="$/NSF",(('Operating Assumptions'!$M38*FT$25)*'Operating Assumptions'!$D$12)/12))))))))</f>
        <v>0</v>
      </c>
      <c r="FU113" s="43"/>
      <c r="FV113" s="34"/>
      <c r="FW113" s="34"/>
      <c r="FX113" s="34"/>
      <c r="FY113" s="34"/>
      <c r="FZ113" s="34"/>
    </row>
    <row r="114" spans="1:182" s="89" customFormat="1" ht="13.5" x14ac:dyDescent="0.25">
      <c r="A114" s="34"/>
      <c r="B114" s="128" t="str">
        <f>'Operating Assumptions'!K39</f>
        <v>Other</v>
      </c>
      <c r="C114" s="34"/>
      <c r="D114" s="34"/>
      <c r="E114" s="34"/>
      <c r="F114" s="434">
        <f t="shared" si="186"/>
        <v>0</v>
      </c>
      <c r="G114" s="34"/>
      <c r="H114" s="427">
        <f>-IF(H$9&lt;'Operating Assumptions'!$D$53,0,IF(H$6&gt;'Operating Assumptions'!$AA$8,0,IF('Operating Assumptions'!$L39="N/A",0,IF('Operating Assumptions'!$L39="$/Unit/Annual",(('Operating Assumptions'!$M39*H$25)*H$36)/12,IF('Operating Assumptions'!$L39="$/Unit/Month",('Operating Assumptions'!$M39*H$25)*H$36,IF('Operating Assumptions'!$L39="Fixed Amount",('Operating Assumptions'!$M39*H$25)/12,IF('Operating Assumptions'!$L39="$/GSF",(('Operating Assumptions'!$M39*H$25)*'Operating Assumptions'!$D$11)/12,IF('Operating Assumptions'!$L39="$/NSF",(('Operating Assumptions'!$M39*H$25)*'Operating Assumptions'!$D$12)/12))))))))</f>
        <v>0</v>
      </c>
      <c r="I114" s="427">
        <f>-IF(I$9&lt;'Operating Assumptions'!$D$53,0,IF(I$6&gt;'Operating Assumptions'!$AA$8,0,IF('Operating Assumptions'!$L39="N/A",0,IF('Operating Assumptions'!$L39="$/Unit/Annual",(('Operating Assumptions'!$M39*I$25)*I$36)/12,IF('Operating Assumptions'!$L39="$/Unit/Month",('Operating Assumptions'!$M39*I$25)*I$36,IF('Operating Assumptions'!$L39="Fixed Amount",('Operating Assumptions'!$M39*I$25)/12,IF('Operating Assumptions'!$L39="$/GSF",(('Operating Assumptions'!$M39*I$25)*'Operating Assumptions'!$D$11)/12,IF('Operating Assumptions'!$L39="$/NSF",(('Operating Assumptions'!$M39*I$25)*'Operating Assumptions'!$D$12)/12))))))))</f>
        <v>0</v>
      </c>
      <c r="J114" s="427">
        <f>-IF(J$9&lt;'Operating Assumptions'!$D$53,0,IF(J$6&gt;'Operating Assumptions'!$AA$8,0,IF('Operating Assumptions'!$L39="N/A",0,IF('Operating Assumptions'!$L39="$/Unit/Annual",(('Operating Assumptions'!$M39*J$25)*J$36)/12,IF('Operating Assumptions'!$L39="$/Unit/Month",('Operating Assumptions'!$M39*J$25)*J$36,IF('Operating Assumptions'!$L39="Fixed Amount",('Operating Assumptions'!$M39*J$25)/12,IF('Operating Assumptions'!$L39="$/GSF",(('Operating Assumptions'!$M39*J$25)*'Operating Assumptions'!$D$11)/12,IF('Operating Assumptions'!$L39="$/NSF",(('Operating Assumptions'!$M39*J$25)*'Operating Assumptions'!$D$12)/12))))))))</f>
        <v>0</v>
      </c>
      <c r="K114" s="427">
        <f>-IF(K$9&lt;'Operating Assumptions'!$D$53,0,IF(K$6&gt;'Operating Assumptions'!$AA$8,0,IF('Operating Assumptions'!$L39="N/A",0,IF('Operating Assumptions'!$L39="$/Unit/Annual",(('Operating Assumptions'!$M39*K$25)*K$36)/12,IF('Operating Assumptions'!$L39="$/Unit/Month",('Operating Assumptions'!$M39*K$25)*K$36,IF('Operating Assumptions'!$L39="Fixed Amount",('Operating Assumptions'!$M39*K$25)/12,IF('Operating Assumptions'!$L39="$/GSF",(('Operating Assumptions'!$M39*K$25)*'Operating Assumptions'!$D$11)/12,IF('Operating Assumptions'!$L39="$/NSF",(('Operating Assumptions'!$M39*K$25)*'Operating Assumptions'!$D$12)/12))))))))</f>
        <v>0</v>
      </c>
      <c r="L114" s="427">
        <f>-IF(L$9&lt;'Operating Assumptions'!$D$53,0,IF(L$6&gt;'Operating Assumptions'!$AA$8,0,IF('Operating Assumptions'!$L39="N/A",0,IF('Operating Assumptions'!$L39="$/Unit/Annual",(('Operating Assumptions'!$M39*L$25)*L$36)/12,IF('Operating Assumptions'!$L39="$/Unit/Month",('Operating Assumptions'!$M39*L$25)*L$36,IF('Operating Assumptions'!$L39="Fixed Amount",('Operating Assumptions'!$M39*L$25)/12,IF('Operating Assumptions'!$L39="$/GSF",(('Operating Assumptions'!$M39*L$25)*'Operating Assumptions'!$D$11)/12,IF('Operating Assumptions'!$L39="$/NSF",(('Operating Assumptions'!$M39*L$25)*'Operating Assumptions'!$D$12)/12))))))))</f>
        <v>0</v>
      </c>
      <c r="M114" s="427">
        <f>-IF(M$9&lt;'Operating Assumptions'!$D$53,0,IF(M$6&gt;'Operating Assumptions'!$AA$8,0,IF('Operating Assumptions'!$L39="N/A",0,IF('Operating Assumptions'!$L39="$/Unit/Annual",(('Operating Assumptions'!$M39*M$25)*M$36)/12,IF('Operating Assumptions'!$L39="$/Unit/Month",('Operating Assumptions'!$M39*M$25)*M$36,IF('Operating Assumptions'!$L39="Fixed Amount",('Operating Assumptions'!$M39*M$25)/12,IF('Operating Assumptions'!$L39="$/GSF",(('Operating Assumptions'!$M39*M$25)*'Operating Assumptions'!$D$11)/12,IF('Operating Assumptions'!$L39="$/NSF",(('Operating Assumptions'!$M39*M$25)*'Operating Assumptions'!$D$12)/12))))))))</f>
        <v>0</v>
      </c>
      <c r="N114" s="427">
        <f>-IF(N$9&lt;'Operating Assumptions'!$D$53,0,IF(N$6&gt;'Operating Assumptions'!$AA$8,0,IF('Operating Assumptions'!$L39="N/A",0,IF('Operating Assumptions'!$L39="$/Unit/Annual",(('Operating Assumptions'!$M39*N$25)*N$36)/12,IF('Operating Assumptions'!$L39="$/Unit/Month",('Operating Assumptions'!$M39*N$25)*N$36,IF('Operating Assumptions'!$L39="Fixed Amount",('Operating Assumptions'!$M39*N$25)/12,IF('Operating Assumptions'!$L39="$/GSF",(('Operating Assumptions'!$M39*N$25)*'Operating Assumptions'!$D$11)/12,IF('Operating Assumptions'!$L39="$/NSF",(('Operating Assumptions'!$M39*N$25)*'Operating Assumptions'!$D$12)/12))))))))</f>
        <v>0</v>
      </c>
      <c r="O114" s="427">
        <f>-IF(O$9&lt;'Operating Assumptions'!$D$53,0,IF(O$6&gt;'Operating Assumptions'!$AA$8,0,IF('Operating Assumptions'!$L39="N/A",0,IF('Operating Assumptions'!$L39="$/Unit/Annual",(('Operating Assumptions'!$M39*O$25)*O$36)/12,IF('Operating Assumptions'!$L39="$/Unit/Month",('Operating Assumptions'!$M39*O$25)*O$36,IF('Operating Assumptions'!$L39="Fixed Amount",('Operating Assumptions'!$M39*O$25)/12,IF('Operating Assumptions'!$L39="$/GSF",(('Operating Assumptions'!$M39*O$25)*'Operating Assumptions'!$D$11)/12,IF('Operating Assumptions'!$L39="$/NSF",(('Operating Assumptions'!$M39*O$25)*'Operating Assumptions'!$D$12)/12))))))))</f>
        <v>0</v>
      </c>
      <c r="P114" s="427">
        <f>-IF(P$9&lt;'Operating Assumptions'!$D$53,0,IF(P$6&gt;'Operating Assumptions'!$AA$8,0,IF('Operating Assumptions'!$L39="N/A",0,IF('Operating Assumptions'!$L39="$/Unit/Annual",(('Operating Assumptions'!$M39*P$25)*P$36)/12,IF('Operating Assumptions'!$L39="$/Unit/Month",('Operating Assumptions'!$M39*P$25)*P$36,IF('Operating Assumptions'!$L39="Fixed Amount",('Operating Assumptions'!$M39*P$25)/12,IF('Operating Assumptions'!$L39="$/GSF",(('Operating Assumptions'!$M39*P$25)*'Operating Assumptions'!$D$11)/12,IF('Operating Assumptions'!$L39="$/NSF",(('Operating Assumptions'!$M39*P$25)*'Operating Assumptions'!$D$12)/12))))))))</f>
        <v>0</v>
      </c>
      <c r="Q114" s="427">
        <f>-IF(Q$9&lt;'Operating Assumptions'!$D$53,0,IF(Q$6&gt;'Operating Assumptions'!$AA$8,0,IF('Operating Assumptions'!$L39="N/A",0,IF('Operating Assumptions'!$L39="$/Unit/Annual",(('Operating Assumptions'!$M39*Q$25)*Q$36)/12,IF('Operating Assumptions'!$L39="$/Unit/Month",('Operating Assumptions'!$M39*Q$25)*Q$36,IF('Operating Assumptions'!$L39="Fixed Amount",('Operating Assumptions'!$M39*Q$25)/12,IF('Operating Assumptions'!$L39="$/GSF",(('Operating Assumptions'!$M39*Q$25)*'Operating Assumptions'!$D$11)/12,IF('Operating Assumptions'!$L39="$/NSF",(('Operating Assumptions'!$M39*Q$25)*'Operating Assumptions'!$D$12)/12))))))))</f>
        <v>0</v>
      </c>
      <c r="R114" s="427">
        <f>-IF(R$9&lt;'Operating Assumptions'!$D$53,0,IF(R$6&gt;'Operating Assumptions'!$AA$8,0,IF('Operating Assumptions'!$L39="N/A",0,IF('Operating Assumptions'!$L39="$/Unit/Annual",(('Operating Assumptions'!$M39*R$25)*R$36)/12,IF('Operating Assumptions'!$L39="$/Unit/Month",('Operating Assumptions'!$M39*R$25)*R$36,IF('Operating Assumptions'!$L39="Fixed Amount",('Operating Assumptions'!$M39*R$25)/12,IF('Operating Assumptions'!$L39="$/GSF",(('Operating Assumptions'!$M39*R$25)*'Operating Assumptions'!$D$11)/12,IF('Operating Assumptions'!$L39="$/NSF",(('Operating Assumptions'!$M39*R$25)*'Operating Assumptions'!$D$12)/12))))))))</f>
        <v>0</v>
      </c>
      <c r="S114" s="427">
        <f>-IF(S$9&lt;'Operating Assumptions'!$D$53,0,IF(S$6&gt;'Operating Assumptions'!$AA$8,0,IF('Operating Assumptions'!$L39="N/A",0,IF('Operating Assumptions'!$L39="$/Unit/Annual",(('Operating Assumptions'!$M39*S$25)*S$36)/12,IF('Operating Assumptions'!$L39="$/Unit/Month",('Operating Assumptions'!$M39*S$25)*S$36,IF('Operating Assumptions'!$L39="Fixed Amount",('Operating Assumptions'!$M39*S$25)/12,IF('Operating Assumptions'!$L39="$/GSF",(('Operating Assumptions'!$M39*S$25)*'Operating Assumptions'!$D$11)/12,IF('Operating Assumptions'!$L39="$/NSF",(('Operating Assumptions'!$M39*S$25)*'Operating Assumptions'!$D$12)/12))))))))</f>
        <v>0</v>
      </c>
      <c r="T114" s="427">
        <f>-IF(T$9&lt;'Operating Assumptions'!$D$53,0,IF(T$6&gt;'Operating Assumptions'!$AA$8,0,IF('Operating Assumptions'!$L39="N/A",0,IF('Operating Assumptions'!$L39="$/Unit/Annual",(('Operating Assumptions'!$M39*T$25)*T$36)/12,IF('Operating Assumptions'!$L39="$/Unit/Month",('Operating Assumptions'!$M39*T$25)*T$36,IF('Operating Assumptions'!$L39="Fixed Amount",('Operating Assumptions'!$M39*T$25)/12,IF('Operating Assumptions'!$L39="$/GSF",(('Operating Assumptions'!$M39*T$25)*'Operating Assumptions'!$D$11)/12,IF('Operating Assumptions'!$L39="$/NSF",(('Operating Assumptions'!$M39*T$25)*'Operating Assumptions'!$D$12)/12))))))))</f>
        <v>0</v>
      </c>
      <c r="U114" s="427">
        <f>-IF(U$9&lt;'Operating Assumptions'!$D$53,0,IF(U$6&gt;'Operating Assumptions'!$AA$8,0,IF('Operating Assumptions'!$L39="N/A",0,IF('Operating Assumptions'!$L39="$/Unit/Annual",(('Operating Assumptions'!$M39*U$25)*U$36)/12,IF('Operating Assumptions'!$L39="$/Unit/Month",('Operating Assumptions'!$M39*U$25)*U$36,IF('Operating Assumptions'!$L39="Fixed Amount",('Operating Assumptions'!$M39*U$25)/12,IF('Operating Assumptions'!$L39="$/GSF",(('Operating Assumptions'!$M39*U$25)*'Operating Assumptions'!$D$11)/12,IF('Operating Assumptions'!$L39="$/NSF",(('Operating Assumptions'!$M39*U$25)*'Operating Assumptions'!$D$12)/12))))))))</f>
        <v>0</v>
      </c>
      <c r="V114" s="427">
        <f>-IF(V$9&lt;'Operating Assumptions'!$D$53,0,IF(V$6&gt;'Operating Assumptions'!$AA$8,0,IF('Operating Assumptions'!$L39="N/A",0,IF('Operating Assumptions'!$L39="$/Unit/Annual",(('Operating Assumptions'!$M39*V$25)*V$36)/12,IF('Operating Assumptions'!$L39="$/Unit/Month",('Operating Assumptions'!$M39*V$25)*V$36,IF('Operating Assumptions'!$L39="Fixed Amount",('Operating Assumptions'!$M39*V$25)/12,IF('Operating Assumptions'!$L39="$/GSF",(('Operating Assumptions'!$M39*V$25)*'Operating Assumptions'!$D$11)/12,IF('Operating Assumptions'!$L39="$/NSF",(('Operating Assumptions'!$M39*V$25)*'Operating Assumptions'!$D$12)/12))))))))</f>
        <v>0</v>
      </c>
      <c r="W114" s="427">
        <f>-IF(W$9&lt;'Operating Assumptions'!$D$53,0,IF(W$6&gt;'Operating Assumptions'!$AA$8,0,IF('Operating Assumptions'!$L39="N/A",0,IF('Operating Assumptions'!$L39="$/Unit/Annual",(('Operating Assumptions'!$M39*W$25)*W$36)/12,IF('Operating Assumptions'!$L39="$/Unit/Month",('Operating Assumptions'!$M39*W$25)*W$36,IF('Operating Assumptions'!$L39="Fixed Amount",('Operating Assumptions'!$M39*W$25)/12,IF('Operating Assumptions'!$L39="$/GSF",(('Operating Assumptions'!$M39*W$25)*'Operating Assumptions'!$D$11)/12,IF('Operating Assumptions'!$L39="$/NSF",(('Operating Assumptions'!$M39*W$25)*'Operating Assumptions'!$D$12)/12))))))))</f>
        <v>0</v>
      </c>
      <c r="X114" s="427">
        <f>-IF(X$9&lt;'Operating Assumptions'!$D$53,0,IF(X$6&gt;'Operating Assumptions'!$AA$8,0,IF('Operating Assumptions'!$L39="N/A",0,IF('Operating Assumptions'!$L39="$/Unit/Annual",(('Operating Assumptions'!$M39*X$25)*X$36)/12,IF('Operating Assumptions'!$L39="$/Unit/Month",('Operating Assumptions'!$M39*X$25)*X$36,IF('Operating Assumptions'!$L39="Fixed Amount",('Operating Assumptions'!$M39*X$25)/12,IF('Operating Assumptions'!$L39="$/GSF",(('Operating Assumptions'!$M39*X$25)*'Operating Assumptions'!$D$11)/12,IF('Operating Assumptions'!$L39="$/NSF",(('Operating Assumptions'!$M39*X$25)*'Operating Assumptions'!$D$12)/12))))))))</f>
        <v>0</v>
      </c>
      <c r="Y114" s="427">
        <f>-IF(Y$9&lt;'Operating Assumptions'!$D$53,0,IF(Y$6&gt;'Operating Assumptions'!$AA$8,0,IF('Operating Assumptions'!$L39="N/A",0,IF('Operating Assumptions'!$L39="$/Unit/Annual",(('Operating Assumptions'!$M39*Y$25)*Y$36)/12,IF('Operating Assumptions'!$L39="$/Unit/Month",('Operating Assumptions'!$M39*Y$25)*Y$36,IF('Operating Assumptions'!$L39="Fixed Amount",('Operating Assumptions'!$M39*Y$25)/12,IF('Operating Assumptions'!$L39="$/GSF",(('Operating Assumptions'!$M39*Y$25)*'Operating Assumptions'!$D$11)/12,IF('Operating Assumptions'!$L39="$/NSF",(('Operating Assumptions'!$M39*Y$25)*'Operating Assumptions'!$D$12)/12))))))))</f>
        <v>0</v>
      </c>
      <c r="Z114" s="427">
        <f>-IF(Z$9&lt;'Operating Assumptions'!$D$53,0,IF(Z$6&gt;'Operating Assumptions'!$AA$8,0,IF('Operating Assumptions'!$L39="N/A",0,IF('Operating Assumptions'!$L39="$/Unit/Annual",(('Operating Assumptions'!$M39*Z$25)*Z$36)/12,IF('Operating Assumptions'!$L39="$/Unit/Month",('Operating Assumptions'!$M39*Z$25)*Z$36,IF('Operating Assumptions'!$L39="Fixed Amount",('Operating Assumptions'!$M39*Z$25)/12,IF('Operating Assumptions'!$L39="$/GSF",(('Operating Assumptions'!$M39*Z$25)*'Operating Assumptions'!$D$11)/12,IF('Operating Assumptions'!$L39="$/NSF",(('Operating Assumptions'!$M39*Z$25)*'Operating Assumptions'!$D$12)/12))))))))</f>
        <v>0</v>
      </c>
      <c r="AA114" s="427">
        <f>-IF(AA$9&lt;'Operating Assumptions'!$D$53,0,IF(AA$6&gt;'Operating Assumptions'!$AA$8,0,IF('Operating Assumptions'!$L39="N/A",0,IF('Operating Assumptions'!$L39="$/Unit/Annual",(('Operating Assumptions'!$M39*AA$25)*AA$36)/12,IF('Operating Assumptions'!$L39="$/Unit/Month",('Operating Assumptions'!$M39*AA$25)*AA$36,IF('Operating Assumptions'!$L39="Fixed Amount",('Operating Assumptions'!$M39*AA$25)/12,IF('Operating Assumptions'!$L39="$/GSF",(('Operating Assumptions'!$M39*AA$25)*'Operating Assumptions'!$D$11)/12,IF('Operating Assumptions'!$L39="$/NSF",(('Operating Assumptions'!$M39*AA$25)*'Operating Assumptions'!$D$12)/12))))))))</f>
        <v>0</v>
      </c>
      <c r="AB114" s="427">
        <f>-IF(AB$9&lt;'Operating Assumptions'!$D$53,0,IF(AB$6&gt;'Operating Assumptions'!$AA$8,0,IF('Operating Assumptions'!$L39="N/A",0,IF('Operating Assumptions'!$L39="$/Unit/Annual",(('Operating Assumptions'!$M39*AB$25)*AB$36)/12,IF('Operating Assumptions'!$L39="$/Unit/Month",('Operating Assumptions'!$M39*AB$25)*AB$36,IF('Operating Assumptions'!$L39="Fixed Amount",('Operating Assumptions'!$M39*AB$25)/12,IF('Operating Assumptions'!$L39="$/GSF",(('Operating Assumptions'!$M39*AB$25)*'Operating Assumptions'!$D$11)/12,IF('Operating Assumptions'!$L39="$/NSF",(('Operating Assumptions'!$M39*AB$25)*'Operating Assumptions'!$D$12)/12))))))))</f>
        <v>0</v>
      </c>
      <c r="AC114" s="427">
        <f>-IF(AC$9&lt;'Operating Assumptions'!$D$53,0,IF(AC$6&gt;'Operating Assumptions'!$AA$8,0,IF('Operating Assumptions'!$L39="N/A",0,IF('Operating Assumptions'!$L39="$/Unit/Annual",(('Operating Assumptions'!$M39*AC$25)*AC$36)/12,IF('Operating Assumptions'!$L39="$/Unit/Month",('Operating Assumptions'!$M39*AC$25)*AC$36,IF('Operating Assumptions'!$L39="Fixed Amount",('Operating Assumptions'!$M39*AC$25)/12,IF('Operating Assumptions'!$L39="$/GSF",(('Operating Assumptions'!$M39*AC$25)*'Operating Assumptions'!$D$11)/12,IF('Operating Assumptions'!$L39="$/NSF",(('Operating Assumptions'!$M39*AC$25)*'Operating Assumptions'!$D$12)/12))))))))</f>
        <v>0</v>
      </c>
      <c r="AD114" s="427">
        <f>-IF(AD$9&lt;'Operating Assumptions'!$D$53,0,IF(AD$6&gt;'Operating Assumptions'!$AA$8,0,IF('Operating Assumptions'!$L39="N/A",0,IF('Operating Assumptions'!$L39="$/Unit/Annual",(('Operating Assumptions'!$M39*AD$25)*AD$36)/12,IF('Operating Assumptions'!$L39="$/Unit/Month",('Operating Assumptions'!$M39*AD$25)*AD$36,IF('Operating Assumptions'!$L39="Fixed Amount",('Operating Assumptions'!$M39*AD$25)/12,IF('Operating Assumptions'!$L39="$/GSF",(('Operating Assumptions'!$M39*AD$25)*'Operating Assumptions'!$D$11)/12,IF('Operating Assumptions'!$L39="$/NSF",(('Operating Assumptions'!$M39*AD$25)*'Operating Assumptions'!$D$12)/12))))))))</f>
        <v>0</v>
      </c>
      <c r="AE114" s="427">
        <f>-IF(AE$9&lt;'Operating Assumptions'!$D$53,0,IF(AE$6&gt;'Operating Assumptions'!$AA$8,0,IF('Operating Assumptions'!$L39="N/A",0,IF('Operating Assumptions'!$L39="$/Unit/Annual",(('Operating Assumptions'!$M39*AE$25)*AE$36)/12,IF('Operating Assumptions'!$L39="$/Unit/Month",('Operating Assumptions'!$M39*AE$25)*AE$36,IF('Operating Assumptions'!$L39="Fixed Amount",('Operating Assumptions'!$M39*AE$25)/12,IF('Operating Assumptions'!$L39="$/GSF",(('Operating Assumptions'!$M39*AE$25)*'Operating Assumptions'!$D$11)/12,IF('Operating Assumptions'!$L39="$/NSF",(('Operating Assumptions'!$M39*AE$25)*'Operating Assumptions'!$D$12)/12))))))))</f>
        <v>0</v>
      </c>
      <c r="AF114" s="427">
        <f>-IF(AF$9&lt;'Operating Assumptions'!$D$53,0,IF(AF$6&gt;'Operating Assumptions'!$AA$8,0,IF('Operating Assumptions'!$L39="N/A",0,IF('Operating Assumptions'!$L39="$/Unit/Annual",(('Operating Assumptions'!$M39*AF$25)*AF$36)/12,IF('Operating Assumptions'!$L39="$/Unit/Month",('Operating Assumptions'!$M39*AF$25)*AF$36,IF('Operating Assumptions'!$L39="Fixed Amount",('Operating Assumptions'!$M39*AF$25)/12,IF('Operating Assumptions'!$L39="$/GSF",(('Operating Assumptions'!$M39*AF$25)*'Operating Assumptions'!$D$11)/12,IF('Operating Assumptions'!$L39="$/NSF",(('Operating Assumptions'!$M39*AF$25)*'Operating Assumptions'!$D$12)/12))))))))</f>
        <v>0</v>
      </c>
      <c r="AG114" s="427">
        <f>-IF(AG$9&lt;'Operating Assumptions'!$D$53,0,IF(AG$6&gt;'Operating Assumptions'!$AA$8,0,IF('Operating Assumptions'!$L39="N/A",0,IF('Operating Assumptions'!$L39="$/Unit/Annual",(('Operating Assumptions'!$M39*AG$25)*AG$36)/12,IF('Operating Assumptions'!$L39="$/Unit/Month",('Operating Assumptions'!$M39*AG$25)*AG$36,IF('Operating Assumptions'!$L39="Fixed Amount",('Operating Assumptions'!$M39*AG$25)/12,IF('Operating Assumptions'!$L39="$/GSF",(('Operating Assumptions'!$M39*AG$25)*'Operating Assumptions'!$D$11)/12,IF('Operating Assumptions'!$L39="$/NSF",(('Operating Assumptions'!$M39*AG$25)*'Operating Assumptions'!$D$12)/12))))))))</f>
        <v>0</v>
      </c>
      <c r="AH114" s="427">
        <f>-IF(AH$9&lt;'Operating Assumptions'!$D$53,0,IF(AH$6&gt;'Operating Assumptions'!$AA$8,0,IF('Operating Assumptions'!$L39="N/A",0,IF('Operating Assumptions'!$L39="$/Unit/Annual",(('Operating Assumptions'!$M39*AH$25)*AH$36)/12,IF('Operating Assumptions'!$L39="$/Unit/Month",('Operating Assumptions'!$M39*AH$25)*AH$36,IF('Operating Assumptions'!$L39="Fixed Amount",('Operating Assumptions'!$M39*AH$25)/12,IF('Operating Assumptions'!$L39="$/GSF",(('Operating Assumptions'!$M39*AH$25)*'Operating Assumptions'!$D$11)/12,IF('Operating Assumptions'!$L39="$/NSF",(('Operating Assumptions'!$M39*AH$25)*'Operating Assumptions'!$D$12)/12))))))))</f>
        <v>0</v>
      </c>
      <c r="AI114" s="427">
        <f>-IF(AI$9&lt;'Operating Assumptions'!$D$53,0,IF(AI$6&gt;'Operating Assumptions'!$AA$8,0,IF('Operating Assumptions'!$L39="N/A",0,IF('Operating Assumptions'!$L39="$/Unit/Annual",(('Operating Assumptions'!$M39*AI$25)*AI$36)/12,IF('Operating Assumptions'!$L39="$/Unit/Month",('Operating Assumptions'!$M39*AI$25)*AI$36,IF('Operating Assumptions'!$L39="Fixed Amount",('Operating Assumptions'!$M39*AI$25)/12,IF('Operating Assumptions'!$L39="$/GSF",(('Operating Assumptions'!$M39*AI$25)*'Operating Assumptions'!$D$11)/12,IF('Operating Assumptions'!$L39="$/NSF",(('Operating Assumptions'!$M39*AI$25)*'Operating Assumptions'!$D$12)/12))))))))</f>
        <v>0</v>
      </c>
      <c r="AJ114" s="427">
        <f>-IF(AJ$9&lt;'Operating Assumptions'!$D$53,0,IF(AJ$6&gt;'Operating Assumptions'!$AA$8,0,IF('Operating Assumptions'!$L39="N/A",0,IF('Operating Assumptions'!$L39="$/Unit/Annual",(('Operating Assumptions'!$M39*AJ$25)*AJ$36)/12,IF('Operating Assumptions'!$L39="$/Unit/Month",('Operating Assumptions'!$M39*AJ$25)*AJ$36,IF('Operating Assumptions'!$L39="Fixed Amount",('Operating Assumptions'!$M39*AJ$25)/12,IF('Operating Assumptions'!$L39="$/GSF",(('Operating Assumptions'!$M39*AJ$25)*'Operating Assumptions'!$D$11)/12,IF('Operating Assumptions'!$L39="$/NSF",(('Operating Assumptions'!$M39*AJ$25)*'Operating Assumptions'!$D$12)/12))))))))</f>
        <v>0</v>
      </c>
      <c r="AK114" s="427">
        <f>-IF(AK$9&lt;'Operating Assumptions'!$D$53,0,IF(AK$6&gt;'Operating Assumptions'!$AA$8,0,IF('Operating Assumptions'!$L39="N/A",0,IF('Operating Assumptions'!$L39="$/Unit/Annual",(('Operating Assumptions'!$M39*AK$25)*AK$36)/12,IF('Operating Assumptions'!$L39="$/Unit/Month",('Operating Assumptions'!$M39*AK$25)*AK$36,IF('Operating Assumptions'!$L39="Fixed Amount",('Operating Assumptions'!$M39*AK$25)/12,IF('Operating Assumptions'!$L39="$/GSF",(('Operating Assumptions'!$M39*AK$25)*'Operating Assumptions'!$D$11)/12,IF('Operating Assumptions'!$L39="$/NSF",(('Operating Assumptions'!$M39*AK$25)*'Operating Assumptions'!$D$12)/12))))))))</f>
        <v>0</v>
      </c>
      <c r="AL114" s="427">
        <f>-IF(AL$9&lt;'Operating Assumptions'!$D$53,0,IF(AL$6&gt;'Operating Assumptions'!$AA$8,0,IF('Operating Assumptions'!$L39="N/A",0,IF('Operating Assumptions'!$L39="$/Unit/Annual",(('Operating Assumptions'!$M39*AL$25)*AL$36)/12,IF('Operating Assumptions'!$L39="$/Unit/Month",('Operating Assumptions'!$M39*AL$25)*AL$36,IF('Operating Assumptions'!$L39="Fixed Amount",('Operating Assumptions'!$M39*AL$25)/12,IF('Operating Assumptions'!$L39="$/GSF",(('Operating Assumptions'!$M39*AL$25)*'Operating Assumptions'!$D$11)/12,IF('Operating Assumptions'!$L39="$/NSF",(('Operating Assumptions'!$M39*AL$25)*'Operating Assumptions'!$D$12)/12))))))))</f>
        <v>0</v>
      </c>
      <c r="AM114" s="427">
        <f>-IF(AM$9&lt;'Operating Assumptions'!$D$53,0,IF(AM$6&gt;'Operating Assumptions'!$AA$8,0,IF('Operating Assumptions'!$L39="N/A",0,IF('Operating Assumptions'!$L39="$/Unit/Annual",(('Operating Assumptions'!$M39*AM$25)*AM$36)/12,IF('Operating Assumptions'!$L39="$/Unit/Month",('Operating Assumptions'!$M39*AM$25)*AM$36,IF('Operating Assumptions'!$L39="Fixed Amount",('Operating Assumptions'!$M39*AM$25)/12,IF('Operating Assumptions'!$L39="$/GSF",(('Operating Assumptions'!$M39*AM$25)*'Operating Assumptions'!$D$11)/12,IF('Operating Assumptions'!$L39="$/NSF",(('Operating Assumptions'!$M39*AM$25)*'Operating Assumptions'!$D$12)/12))))))))</f>
        <v>0</v>
      </c>
      <c r="AN114" s="427">
        <f>-IF(AN$9&lt;'Operating Assumptions'!$D$53,0,IF(AN$6&gt;'Operating Assumptions'!$AA$8,0,IF('Operating Assumptions'!$L39="N/A",0,IF('Operating Assumptions'!$L39="$/Unit/Annual",(('Operating Assumptions'!$M39*AN$25)*AN$36)/12,IF('Operating Assumptions'!$L39="$/Unit/Month",('Operating Assumptions'!$M39*AN$25)*AN$36,IF('Operating Assumptions'!$L39="Fixed Amount",('Operating Assumptions'!$M39*AN$25)/12,IF('Operating Assumptions'!$L39="$/GSF",(('Operating Assumptions'!$M39*AN$25)*'Operating Assumptions'!$D$11)/12,IF('Operating Assumptions'!$L39="$/NSF",(('Operating Assumptions'!$M39*AN$25)*'Operating Assumptions'!$D$12)/12))))))))</f>
        <v>0</v>
      </c>
      <c r="AO114" s="427">
        <f>-IF(AO$9&lt;'Operating Assumptions'!$D$53,0,IF(AO$6&gt;'Operating Assumptions'!$AA$8,0,IF('Operating Assumptions'!$L39="N/A",0,IF('Operating Assumptions'!$L39="$/Unit/Annual",(('Operating Assumptions'!$M39*AO$25)*AO$36)/12,IF('Operating Assumptions'!$L39="$/Unit/Month",('Operating Assumptions'!$M39*AO$25)*AO$36,IF('Operating Assumptions'!$L39="Fixed Amount",('Operating Assumptions'!$M39*AO$25)/12,IF('Operating Assumptions'!$L39="$/GSF",(('Operating Assumptions'!$M39*AO$25)*'Operating Assumptions'!$D$11)/12,IF('Operating Assumptions'!$L39="$/NSF",(('Operating Assumptions'!$M39*AO$25)*'Operating Assumptions'!$D$12)/12))))))))</f>
        <v>0</v>
      </c>
      <c r="AP114" s="427">
        <f>-IF(AP$9&lt;'Operating Assumptions'!$D$53,0,IF(AP$6&gt;'Operating Assumptions'!$AA$8,0,IF('Operating Assumptions'!$L39="N/A",0,IF('Operating Assumptions'!$L39="$/Unit/Annual",(('Operating Assumptions'!$M39*AP$25)*AP$36)/12,IF('Operating Assumptions'!$L39="$/Unit/Month",('Operating Assumptions'!$M39*AP$25)*AP$36,IF('Operating Assumptions'!$L39="Fixed Amount",('Operating Assumptions'!$M39*AP$25)/12,IF('Operating Assumptions'!$L39="$/GSF",(('Operating Assumptions'!$M39*AP$25)*'Operating Assumptions'!$D$11)/12,IF('Operating Assumptions'!$L39="$/NSF",(('Operating Assumptions'!$M39*AP$25)*'Operating Assumptions'!$D$12)/12))))))))</f>
        <v>0</v>
      </c>
      <c r="AQ114" s="427">
        <f>-IF(AQ$9&lt;'Operating Assumptions'!$D$53,0,IF(AQ$6&gt;'Operating Assumptions'!$AA$8,0,IF('Operating Assumptions'!$L39="N/A",0,IF('Operating Assumptions'!$L39="$/Unit/Annual",(('Operating Assumptions'!$M39*AQ$25)*AQ$36)/12,IF('Operating Assumptions'!$L39="$/Unit/Month",('Operating Assumptions'!$M39*AQ$25)*AQ$36,IF('Operating Assumptions'!$L39="Fixed Amount",('Operating Assumptions'!$M39*AQ$25)/12,IF('Operating Assumptions'!$L39="$/GSF",(('Operating Assumptions'!$M39*AQ$25)*'Operating Assumptions'!$D$11)/12,IF('Operating Assumptions'!$L39="$/NSF",(('Operating Assumptions'!$M39*AQ$25)*'Operating Assumptions'!$D$12)/12))))))))</f>
        <v>0</v>
      </c>
      <c r="AR114" s="427">
        <f>-IF(AR$9&lt;'Operating Assumptions'!$D$53,0,IF(AR$6&gt;'Operating Assumptions'!$AA$8,0,IF('Operating Assumptions'!$L39="N/A",0,IF('Operating Assumptions'!$L39="$/Unit/Annual",(('Operating Assumptions'!$M39*AR$25)*AR$36)/12,IF('Operating Assumptions'!$L39="$/Unit/Month",('Operating Assumptions'!$M39*AR$25)*AR$36,IF('Operating Assumptions'!$L39="Fixed Amount",('Operating Assumptions'!$M39*AR$25)/12,IF('Operating Assumptions'!$L39="$/GSF",(('Operating Assumptions'!$M39*AR$25)*'Operating Assumptions'!$D$11)/12,IF('Operating Assumptions'!$L39="$/NSF",(('Operating Assumptions'!$M39*AR$25)*'Operating Assumptions'!$D$12)/12))))))))</f>
        <v>0</v>
      </c>
      <c r="AS114" s="427">
        <f>-IF(AS$9&lt;'Operating Assumptions'!$D$53,0,IF(AS$6&gt;'Operating Assumptions'!$AA$8,0,IF('Operating Assumptions'!$L39="N/A",0,IF('Operating Assumptions'!$L39="$/Unit/Annual",(('Operating Assumptions'!$M39*AS$25)*AS$36)/12,IF('Operating Assumptions'!$L39="$/Unit/Month",('Operating Assumptions'!$M39*AS$25)*AS$36,IF('Operating Assumptions'!$L39="Fixed Amount",('Operating Assumptions'!$M39*AS$25)/12,IF('Operating Assumptions'!$L39="$/GSF",(('Operating Assumptions'!$M39*AS$25)*'Operating Assumptions'!$D$11)/12,IF('Operating Assumptions'!$L39="$/NSF",(('Operating Assumptions'!$M39*AS$25)*'Operating Assumptions'!$D$12)/12))))))))</f>
        <v>0</v>
      </c>
      <c r="AT114" s="427">
        <f>-IF(AT$9&lt;'Operating Assumptions'!$D$53,0,IF(AT$6&gt;'Operating Assumptions'!$AA$8,0,IF('Operating Assumptions'!$L39="N/A",0,IF('Operating Assumptions'!$L39="$/Unit/Annual",(('Operating Assumptions'!$M39*AT$25)*AT$36)/12,IF('Operating Assumptions'!$L39="$/Unit/Month",('Operating Assumptions'!$M39*AT$25)*AT$36,IF('Operating Assumptions'!$L39="Fixed Amount",('Operating Assumptions'!$M39*AT$25)/12,IF('Operating Assumptions'!$L39="$/GSF",(('Operating Assumptions'!$M39*AT$25)*'Operating Assumptions'!$D$11)/12,IF('Operating Assumptions'!$L39="$/NSF",(('Operating Assumptions'!$M39*AT$25)*'Operating Assumptions'!$D$12)/12))))))))</f>
        <v>0</v>
      </c>
      <c r="AU114" s="427">
        <f>-IF(AU$9&lt;'Operating Assumptions'!$D$53,0,IF(AU$6&gt;'Operating Assumptions'!$AA$8,0,IF('Operating Assumptions'!$L39="N/A",0,IF('Operating Assumptions'!$L39="$/Unit/Annual",(('Operating Assumptions'!$M39*AU$25)*AU$36)/12,IF('Operating Assumptions'!$L39="$/Unit/Month",('Operating Assumptions'!$M39*AU$25)*AU$36,IF('Operating Assumptions'!$L39="Fixed Amount",('Operating Assumptions'!$M39*AU$25)/12,IF('Operating Assumptions'!$L39="$/GSF",(('Operating Assumptions'!$M39*AU$25)*'Operating Assumptions'!$D$11)/12,IF('Operating Assumptions'!$L39="$/NSF",(('Operating Assumptions'!$M39*AU$25)*'Operating Assumptions'!$D$12)/12))))))))</f>
        <v>0</v>
      </c>
      <c r="AV114" s="427">
        <f>-IF(AV$9&lt;'Operating Assumptions'!$D$53,0,IF(AV$6&gt;'Operating Assumptions'!$AA$8,0,IF('Operating Assumptions'!$L39="N/A",0,IF('Operating Assumptions'!$L39="$/Unit/Annual",(('Operating Assumptions'!$M39*AV$25)*AV$36)/12,IF('Operating Assumptions'!$L39="$/Unit/Month",('Operating Assumptions'!$M39*AV$25)*AV$36,IF('Operating Assumptions'!$L39="Fixed Amount",('Operating Assumptions'!$M39*AV$25)/12,IF('Operating Assumptions'!$L39="$/GSF",(('Operating Assumptions'!$M39*AV$25)*'Operating Assumptions'!$D$11)/12,IF('Operating Assumptions'!$L39="$/NSF",(('Operating Assumptions'!$M39*AV$25)*'Operating Assumptions'!$D$12)/12))))))))</f>
        <v>0</v>
      </c>
      <c r="AW114" s="427">
        <f>-IF(AW$9&lt;'Operating Assumptions'!$D$53,0,IF(AW$6&gt;'Operating Assumptions'!$AA$8,0,IF('Operating Assumptions'!$L39="N/A",0,IF('Operating Assumptions'!$L39="$/Unit/Annual",(('Operating Assumptions'!$M39*AW$25)*AW$36)/12,IF('Operating Assumptions'!$L39="$/Unit/Month",('Operating Assumptions'!$M39*AW$25)*AW$36,IF('Operating Assumptions'!$L39="Fixed Amount",('Operating Assumptions'!$M39*AW$25)/12,IF('Operating Assumptions'!$L39="$/GSF",(('Operating Assumptions'!$M39*AW$25)*'Operating Assumptions'!$D$11)/12,IF('Operating Assumptions'!$L39="$/NSF",(('Operating Assumptions'!$M39*AW$25)*'Operating Assumptions'!$D$12)/12))))))))</f>
        <v>0</v>
      </c>
      <c r="AX114" s="427">
        <f>-IF(AX$9&lt;'Operating Assumptions'!$D$53,0,IF(AX$6&gt;'Operating Assumptions'!$AA$8,0,IF('Operating Assumptions'!$L39="N/A",0,IF('Operating Assumptions'!$L39="$/Unit/Annual",(('Operating Assumptions'!$M39*AX$25)*AX$36)/12,IF('Operating Assumptions'!$L39="$/Unit/Month",('Operating Assumptions'!$M39*AX$25)*AX$36,IF('Operating Assumptions'!$L39="Fixed Amount",('Operating Assumptions'!$M39*AX$25)/12,IF('Operating Assumptions'!$L39="$/GSF",(('Operating Assumptions'!$M39*AX$25)*'Operating Assumptions'!$D$11)/12,IF('Operating Assumptions'!$L39="$/NSF",(('Operating Assumptions'!$M39*AX$25)*'Operating Assumptions'!$D$12)/12))))))))</f>
        <v>0</v>
      </c>
      <c r="AY114" s="427">
        <f>-IF(AY$9&lt;'Operating Assumptions'!$D$53,0,IF(AY$6&gt;'Operating Assumptions'!$AA$8,0,IF('Operating Assumptions'!$L39="N/A",0,IF('Operating Assumptions'!$L39="$/Unit/Annual",(('Operating Assumptions'!$M39*AY$25)*AY$36)/12,IF('Operating Assumptions'!$L39="$/Unit/Month",('Operating Assumptions'!$M39*AY$25)*AY$36,IF('Operating Assumptions'!$L39="Fixed Amount",('Operating Assumptions'!$M39*AY$25)/12,IF('Operating Assumptions'!$L39="$/GSF",(('Operating Assumptions'!$M39*AY$25)*'Operating Assumptions'!$D$11)/12,IF('Operating Assumptions'!$L39="$/NSF",(('Operating Assumptions'!$M39*AY$25)*'Operating Assumptions'!$D$12)/12))))))))</f>
        <v>0</v>
      </c>
      <c r="AZ114" s="427">
        <f>-IF(AZ$9&lt;'Operating Assumptions'!$D$53,0,IF(AZ$6&gt;'Operating Assumptions'!$AA$8,0,IF('Operating Assumptions'!$L39="N/A",0,IF('Operating Assumptions'!$L39="$/Unit/Annual",(('Operating Assumptions'!$M39*AZ$25)*AZ$36)/12,IF('Operating Assumptions'!$L39="$/Unit/Month",('Operating Assumptions'!$M39*AZ$25)*AZ$36,IF('Operating Assumptions'!$L39="Fixed Amount",('Operating Assumptions'!$M39*AZ$25)/12,IF('Operating Assumptions'!$L39="$/GSF",(('Operating Assumptions'!$M39*AZ$25)*'Operating Assumptions'!$D$11)/12,IF('Operating Assumptions'!$L39="$/NSF",(('Operating Assumptions'!$M39*AZ$25)*'Operating Assumptions'!$D$12)/12))))))))</f>
        <v>0</v>
      </c>
      <c r="BA114" s="427">
        <f>-IF(BA$9&lt;'Operating Assumptions'!$D$53,0,IF(BA$6&gt;'Operating Assumptions'!$AA$8,0,IF('Operating Assumptions'!$L39="N/A",0,IF('Operating Assumptions'!$L39="$/Unit/Annual",(('Operating Assumptions'!$M39*BA$25)*BA$36)/12,IF('Operating Assumptions'!$L39="$/Unit/Month",('Operating Assumptions'!$M39*BA$25)*BA$36,IF('Operating Assumptions'!$L39="Fixed Amount",('Operating Assumptions'!$M39*BA$25)/12,IF('Operating Assumptions'!$L39="$/GSF",(('Operating Assumptions'!$M39*BA$25)*'Operating Assumptions'!$D$11)/12,IF('Operating Assumptions'!$L39="$/NSF",(('Operating Assumptions'!$M39*BA$25)*'Operating Assumptions'!$D$12)/12))))))))</f>
        <v>0</v>
      </c>
      <c r="BB114" s="427">
        <f>-IF(BB$9&lt;'Operating Assumptions'!$D$53,0,IF(BB$6&gt;'Operating Assumptions'!$AA$8,0,IF('Operating Assumptions'!$L39="N/A",0,IF('Operating Assumptions'!$L39="$/Unit/Annual",(('Operating Assumptions'!$M39*BB$25)*BB$36)/12,IF('Operating Assumptions'!$L39="$/Unit/Month",('Operating Assumptions'!$M39*BB$25)*BB$36,IF('Operating Assumptions'!$L39="Fixed Amount",('Operating Assumptions'!$M39*BB$25)/12,IF('Operating Assumptions'!$L39="$/GSF",(('Operating Assumptions'!$M39*BB$25)*'Operating Assumptions'!$D$11)/12,IF('Operating Assumptions'!$L39="$/NSF",(('Operating Assumptions'!$M39*BB$25)*'Operating Assumptions'!$D$12)/12))))))))</f>
        <v>0</v>
      </c>
      <c r="BC114" s="427">
        <f>-IF(BC$9&lt;'Operating Assumptions'!$D$53,0,IF(BC$6&gt;'Operating Assumptions'!$AA$8,0,IF('Operating Assumptions'!$L39="N/A",0,IF('Operating Assumptions'!$L39="$/Unit/Annual",(('Operating Assumptions'!$M39*BC$25)*BC$36)/12,IF('Operating Assumptions'!$L39="$/Unit/Month",('Operating Assumptions'!$M39*BC$25)*BC$36,IF('Operating Assumptions'!$L39="Fixed Amount",('Operating Assumptions'!$M39*BC$25)/12,IF('Operating Assumptions'!$L39="$/GSF",(('Operating Assumptions'!$M39*BC$25)*'Operating Assumptions'!$D$11)/12,IF('Operating Assumptions'!$L39="$/NSF",(('Operating Assumptions'!$M39*BC$25)*'Operating Assumptions'!$D$12)/12))))))))</f>
        <v>0</v>
      </c>
      <c r="BD114" s="427">
        <f>-IF(BD$9&lt;'Operating Assumptions'!$D$53,0,IF(BD$6&gt;'Operating Assumptions'!$AA$8,0,IF('Operating Assumptions'!$L39="N/A",0,IF('Operating Assumptions'!$L39="$/Unit/Annual",(('Operating Assumptions'!$M39*BD$25)*BD$36)/12,IF('Operating Assumptions'!$L39="$/Unit/Month",('Operating Assumptions'!$M39*BD$25)*BD$36,IF('Operating Assumptions'!$L39="Fixed Amount",('Operating Assumptions'!$M39*BD$25)/12,IF('Operating Assumptions'!$L39="$/GSF",(('Operating Assumptions'!$M39*BD$25)*'Operating Assumptions'!$D$11)/12,IF('Operating Assumptions'!$L39="$/NSF",(('Operating Assumptions'!$M39*BD$25)*'Operating Assumptions'!$D$12)/12))))))))</f>
        <v>0</v>
      </c>
      <c r="BE114" s="427">
        <f>-IF(BE$9&lt;'Operating Assumptions'!$D$53,0,IF(BE$6&gt;'Operating Assumptions'!$AA$8,0,IF('Operating Assumptions'!$L39="N/A",0,IF('Operating Assumptions'!$L39="$/Unit/Annual",(('Operating Assumptions'!$M39*BE$25)*BE$36)/12,IF('Operating Assumptions'!$L39="$/Unit/Month",('Operating Assumptions'!$M39*BE$25)*BE$36,IF('Operating Assumptions'!$L39="Fixed Amount",('Operating Assumptions'!$M39*BE$25)/12,IF('Operating Assumptions'!$L39="$/GSF",(('Operating Assumptions'!$M39*BE$25)*'Operating Assumptions'!$D$11)/12,IF('Operating Assumptions'!$L39="$/NSF",(('Operating Assumptions'!$M39*BE$25)*'Operating Assumptions'!$D$12)/12))))))))</f>
        <v>0</v>
      </c>
      <c r="BF114" s="427">
        <f>-IF(BF$9&lt;'Operating Assumptions'!$D$53,0,IF(BF$6&gt;'Operating Assumptions'!$AA$8,0,IF('Operating Assumptions'!$L39="N/A",0,IF('Operating Assumptions'!$L39="$/Unit/Annual",(('Operating Assumptions'!$M39*BF$25)*BF$36)/12,IF('Operating Assumptions'!$L39="$/Unit/Month",('Operating Assumptions'!$M39*BF$25)*BF$36,IF('Operating Assumptions'!$L39="Fixed Amount",('Operating Assumptions'!$M39*BF$25)/12,IF('Operating Assumptions'!$L39="$/GSF",(('Operating Assumptions'!$M39*BF$25)*'Operating Assumptions'!$D$11)/12,IF('Operating Assumptions'!$L39="$/NSF",(('Operating Assumptions'!$M39*BF$25)*'Operating Assumptions'!$D$12)/12))))))))</f>
        <v>0</v>
      </c>
      <c r="BG114" s="427">
        <f>-IF(BG$9&lt;'Operating Assumptions'!$D$53,0,IF(BG$6&gt;'Operating Assumptions'!$AA$8,0,IF('Operating Assumptions'!$L39="N/A",0,IF('Operating Assumptions'!$L39="$/Unit/Annual",(('Operating Assumptions'!$M39*BG$25)*BG$36)/12,IF('Operating Assumptions'!$L39="$/Unit/Month",('Operating Assumptions'!$M39*BG$25)*BG$36,IF('Operating Assumptions'!$L39="Fixed Amount",('Operating Assumptions'!$M39*BG$25)/12,IF('Operating Assumptions'!$L39="$/GSF",(('Operating Assumptions'!$M39*BG$25)*'Operating Assumptions'!$D$11)/12,IF('Operating Assumptions'!$L39="$/NSF",(('Operating Assumptions'!$M39*BG$25)*'Operating Assumptions'!$D$12)/12))))))))</f>
        <v>0</v>
      </c>
      <c r="BH114" s="427">
        <f>-IF(BH$9&lt;'Operating Assumptions'!$D$53,0,IF(BH$6&gt;'Operating Assumptions'!$AA$8,0,IF('Operating Assumptions'!$L39="N/A",0,IF('Operating Assumptions'!$L39="$/Unit/Annual",(('Operating Assumptions'!$M39*BH$25)*BH$36)/12,IF('Operating Assumptions'!$L39="$/Unit/Month",('Operating Assumptions'!$M39*BH$25)*BH$36,IF('Operating Assumptions'!$L39="Fixed Amount",('Operating Assumptions'!$M39*BH$25)/12,IF('Operating Assumptions'!$L39="$/GSF",(('Operating Assumptions'!$M39*BH$25)*'Operating Assumptions'!$D$11)/12,IF('Operating Assumptions'!$L39="$/NSF",(('Operating Assumptions'!$M39*BH$25)*'Operating Assumptions'!$D$12)/12))))))))</f>
        <v>0</v>
      </c>
      <c r="BI114" s="427">
        <f>-IF(BI$9&lt;'Operating Assumptions'!$D$53,0,IF(BI$6&gt;'Operating Assumptions'!$AA$8,0,IF('Operating Assumptions'!$L39="N/A",0,IF('Operating Assumptions'!$L39="$/Unit/Annual",(('Operating Assumptions'!$M39*BI$25)*BI$36)/12,IF('Operating Assumptions'!$L39="$/Unit/Month",('Operating Assumptions'!$M39*BI$25)*BI$36,IF('Operating Assumptions'!$L39="Fixed Amount",('Operating Assumptions'!$M39*BI$25)/12,IF('Operating Assumptions'!$L39="$/GSF",(('Operating Assumptions'!$M39*BI$25)*'Operating Assumptions'!$D$11)/12,IF('Operating Assumptions'!$L39="$/NSF",(('Operating Assumptions'!$M39*BI$25)*'Operating Assumptions'!$D$12)/12))))))))</f>
        <v>0</v>
      </c>
      <c r="BJ114" s="427">
        <f>-IF(BJ$9&lt;'Operating Assumptions'!$D$53,0,IF(BJ$6&gt;'Operating Assumptions'!$AA$8,0,IF('Operating Assumptions'!$L39="N/A",0,IF('Operating Assumptions'!$L39="$/Unit/Annual",(('Operating Assumptions'!$M39*BJ$25)*BJ$36)/12,IF('Operating Assumptions'!$L39="$/Unit/Month",('Operating Assumptions'!$M39*BJ$25)*BJ$36,IF('Operating Assumptions'!$L39="Fixed Amount",('Operating Assumptions'!$M39*BJ$25)/12,IF('Operating Assumptions'!$L39="$/GSF",(('Operating Assumptions'!$M39*BJ$25)*'Operating Assumptions'!$D$11)/12,IF('Operating Assumptions'!$L39="$/NSF",(('Operating Assumptions'!$M39*BJ$25)*'Operating Assumptions'!$D$12)/12))))))))</f>
        <v>0</v>
      </c>
      <c r="BK114" s="427">
        <f>-IF(BK$9&lt;'Operating Assumptions'!$D$53,0,IF(BK$6&gt;'Operating Assumptions'!$AA$8,0,IF('Operating Assumptions'!$L39="N/A",0,IF('Operating Assumptions'!$L39="$/Unit/Annual",(('Operating Assumptions'!$M39*BK$25)*BK$36)/12,IF('Operating Assumptions'!$L39="$/Unit/Month",('Operating Assumptions'!$M39*BK$25)*BK$36,IF('Operating Assumptions'!$L39="Fixed Amount",('Operating Assumptions'!$M39*BK$25)/12,IF('Operating Assumptions'!$L39="$/GSF",(('Operating Assumptions'!$M39*BK$25)*'Operating Assumptions'!$D$11)/12,IF('Operating Assumptions'!$L39="$/NSF",(('Operating Assumptions'!$M39*BK$25)*'Operating Assumptions'!$D$12)/12))))))))</f>
        <v>0</v>
      </c>
      <c r="BL114" s="427">
        <f>-IF(BL$9&lt;'Operating Assumptions'!$D$53,0,IF(BL$6&gt;'Operating Assumptions'!$AA$8,0,IF('Operating Assumptions'!$L39="N/A",0,IF('Operating Assumptions'!$L39="$/Unit/Annual",(('Operating Assumptions'!$M39*BL$25)*BL$36)/12,IF('Operating Assumptions'!$L39="$/Unit/Month",('Operating Assumptions'!$M39*BL$25)*BL$36,IF('Operating Assumptions'!$L39="Fixed Amount",('Operating Assumptions'!$M39*BL$25)/12,IF('Operating Assumptions'!$L39="$/GSF",(('Operating Assumptions'!$M39*BL$25)*'Operating Assumptions'!$D$11)/12,IF('Operating Assumptions'!$L39="$/NSF",(('Operating Assumptions'!$M39*BL$25)*'Operating Assumptions'!$D$12)/12))))))))</f>
        <v>0</v>
      </c>
      <c r="BM114" s="427">
        <f>-IF(BM$9&lt;'Operating Assumptions'!$D$53,0,IF(BM$6&gt;'Operating Assumptions'!$AA$8,0,IF('Operating Assumptions'!$L39="N/A",0,IF('Operating Assumptions'!$L39="$/Unit/Annual",(('Operating Assumptions'!$M39*BM$25)*BM$36)/12,IF('Operating Assumptions'!$L39="$/Unit/Month",('Operating Assumptions'!$M39*BM$25)*BM$36,IF('Operating Assumptions'!$L39="Fixed Amount",('Operating Assumptions'!$M39*BM$25)/12,IF('Operating Assumptions'!$L39="$/GSF",(('Operating Assumptions'!$M39*BM$25)*'Operating Assumptions'!$D$11)/12,IF('Operating Assumptions'!$L39="$/NSF",(('Operating Assumptions'!$M39*BM$25)*'Operating Assumptions'!$D$12)/12))))))))</f>
        <v>0</v>
      </c>
      <c r="BN114" s="427">
        <f>-IF(BN$9&lt;'Operating Assumptions'!$D$53,0,IF(BN$6&gt;'Operating Assumptions'!$AA$8,0,IF('Operating Assumptions'!$L39="N/A",0,IF('Operating Assumptions'!$L39="$/Unit/Annual",(('Operating Assumptions'!$M39*BN$25)*BN$36)/12,IF('Operating Assumptions'!$L39="$/Unit/Month",('Operating Assumptions'!$M39*BN$25)*BN$36,IF('Operating Assumptions'!$L39="Fixed Amount",('Operating Assumptions'!$M39*BN$25)/12,IF('Operating Assumptions'!$L39="$/GSF",(('Operating Assumptions'!$M39*BN$25)*'Operating Assumptions'!$D$11)/12,IF('Operating Assumptions'!$L39="$/NSF",(('Operating Assumptions'!$M39*BN$25)*'Operating Assumptions'!$D$12)/12))))))))</f>
        <v>0</v>
      </c>
      <c r="BO114" s="427">
        <f>-IF(BO$9&lt;'Operating Assumptions'!$D$53,0,IF(BO$6&gt;'Operating Assumptions'!$AA$8,0,IF('Operating Assumptions'!$L39="N/A",0,IF('Operating Assumptions'!$L39="$/Unit/Annual",(('Operating Assumptions'!$M39*BO$25)*BO$36)/12,IF('Operating Assumptions'!$L39="$/Unit/Month",('Operating Assumptions'!$M39*BO$25)*BO$36,IF('Operating Assumptions'!$L39="Fixed Amount",('Operating Assumptions'!$M39*BO$25)/12,IF('Operating Assumptions'!$L39="$/GSF",(('Operating Assumptions'!$M39*BO$25)*'Operating Assumptions'!$D$11)/12,IF('Operating Assumptions'!$L39="$/NSF",(('Operating Assumptions'!$M39*BO$25)*'Operating Assumptions'!$D$12)/12))))))))</f>
        <v>0</v>
      </c>
      <c r="BP114" s="427">
        <f>-IF(BP$9&lt;'Operating Assumptions'!$D$53,0,IF(BP$6&gt;'Operating Assumptions'!$AA$8,0,IF('Operating Assumptions'!$L39="N/A",0,IF('Operating Assumptions'!$L39="$/Unit/Annual",(('Operating Assumptions'!$M39*BP$25)*BP$36)/12,IF('Operating Assumptions'!$L39="$/Unit/Month",('Operating Assumptions'!$M39*BP$25)*BP$36,IF('Operating Assumptions'!$L39="Fixed Amount",('Operating Assumptions'!$M39*BP$25)/12,IF('Operating Assumptions'!$L39="$/GSF",(('Operating Assumptions'!$M39*BP$25)*'Operating Assumptions'!$D$11)/12,IF('Operating Assumptions'!$L39="$/NSF",(('Operating Assumptions'!$M39*BP$25)*'Operating Assumptions'!$D$12)/12))))))))</f>
        <v>0</v>
      </c>
      <c r="BQ114" s="427">
        <f>-IF(BQ$9&lt;'Operating Assumptions'!$D$53,0,IF(BQ$6&gt;'Operating Assumptions'!$AA$8,0,IF('Operating Assumptions'!$L39="N/A",0,IF('Operating Assumptions'!$L39="$/Unit/Annual",(('Operating Assumptions'!$M39*BQ$25)*BQ$36)/12,IF('Operating Assumptions'!$L39="$/Unit/Month",('Operating Assumptions'!$M39*BQ$25)*BQ$36,IF('Operating Assumptions'!$L39="Fixed Amount",('Operating Assumptions'!$M39*BQ$25)/12,IF('Operating Assumptions'!$L39="$/GSF",(('Operating Assumptions'!$M39*BQ$25)*'Operating Assumptions'!$D$11)/12,IF('Operating Assumptions'!$L39="$/NSF",(('Operating Assumptions'!$M39*BQ$25)*'Operating Assumptions'!$D$12)/12))))))))</f>
        <v>0</v>
      </c>
      <c r="BR114" s="427">
        <f>-IF(BR$9&lt;'Operating Assumptions'!$D$53,0,IF(BR$6&gt;'Operating Assumptions'!$AA$8,0,IF('Operating Assumptions'!$L39="N/A",0,IF('Operating Assumptions'!$L39="$/Unit/Annual",(('Operating Assumptions'!$M39*BR$25)*BR$36)/12,IF('Operating Assumptions'!$L39="$/Unit/Month",('Operating Assumptions'!$M39*BR$25)*BR$36,IF('Operating Assumptions'!$L39="Fixed Amount",('Operating Assumptions'!$M39*BR$25)/12,IF('Operating Assumptions'!$L39="$/GSF",(('Operating Assumptions'!$M39*BR$25)*'Operating Assumptions'!$D$11)/12,IF('Operating Assumptions'!$L39="$/NSF",(('Operating Assumptions'!$M39*BR$25)*'Operating Assumptions'!$D$12)/12))))))))</f>
        <v>0</v>
      </c>
      <c r="BS114" s="427">
        <f>-IF(BS$9&lt;'Operating Assumptions'!$D$53,0,IF(BS$6&gt;'Operating Assumptions'!$AA$8,0,IF('Operating Assumptions'!$L39="N/A",0,IF('Operating Assumptions'!$L39="$/Unit/Annual",(('Operating Assumptions'!$M39*BS$25)*BS$36)/12,IF('Operating Assumptions'!$L39="$/Unit/Month",('Operating Assumptions'!$M39*BS$25)*BS$36,IF('Operating Assumptions'!$L39="Fixed Amount",('Operating Assumptions'!$M39*BS$25)/12,IF('Operating Assumptions'!$L39="$/GSF",(('Operating Assumptions'!$M39*BS$25)*'Operating Assumptions'!$D$11)/12,IF('Operating Assumptions'!$L39="$/NSF",(('Operating Assumptions'!$M39*BS$25)*'Operating Assumptions'!$D$12)/12))))))))</f>
        <v>0</v>
      </c>
      <c r="BT114" s="427">
        <f>-IF(BT$9&lt;'Operating Assumptions'!$D$53,0,IF(BT$6&gt;'Operating Assumptions'!$AA$8,0,IF('Operating Assumptions'!$L39="N/A",0,IF('Operating Assumptions'!$L39="$/Unit/Annual",(('Operating Assumptions'!$M39*BT$25)*BT$36)/12,IF('Operating Assumptions'!$L39="$/Unit/Month",('Operating Assumptions'!$M39*BT$25)*BT$36,IF('Operating Assumptions'!$L39="Fixed Amount",('Operating Assumptions'!$M39*BT$25)/12,IF('Operating Assumptions'!$L39="$/GSF",(('Operating Assumptions'!$M39*BT$25)*'Operating Assumptions'!$D$11)/12,IF('Operating Assumptions'!$L39="$/NSF",(('Operating Assumptions'!$M39*BT$25)*'Operating Assumptions'!$D$12)/12))))))))</f>
        <v>0</v>
      </c>
      <c r="BU114" s="427">
        <f>-IF(BU$9&lt;'Operating Assumptions'!$D$53,0,IF(BU$6&gt;'Operating Assumptions'!$AA$8,0,IF('Operating Assumptions'!$L39="N/A",0,IF('Operating Assumptions'!$L39="$/Unit/Annual",(('Operating Assumptions'!$M39*BU$25)*BU$36)/12,IF('Operating Assumptions'!$L39="$/Unit/Month",('Operating Assumptions'!$M39*BU$25)*BU$36,IF('Operating Assumptions'!$L39="Fixed Amount",('Operating Assumptions'!$M39*BU$25)/12,IF('Operating Assumptions'!$L39="$/GSF",(('Operating Assumptions'!$M39*BU$25)*'Operating Assumptions'!$D$11)/12,IF('Operating Assumptions'!$L39="$/NSF",(('Operating Assumptions'!$M39*BU$25)*'Operating Assumptions'!$D$12)/12))))))))</f>
        <v>0</v>
      </c>
      <c r="BV114" s="427">
        <f>-IF(BV$9&lt;'Operating Assumptions'!$D$53,0,IF(BV$6&gt;'Operating Assumptions'!$AA$8,0,IF('Operating Assumptions'!$L39="N/A",0,IF('Operating Assumptions'!$L39="$/Unit/Annual",(('Operating Assumptions'!$M39*BV$25)*BV$36)/12,IF('Operating Assumptions'!$L39="$/Unit/Month",('Operating Assumptions'!$M39*BV$25)*BV$36,IF('Operating Assumptions'!$L39="Fixed Amount",('Operating Assumptions'!$M39*BV$25)/12,IF('Operating Assumptions'!$L39="$/GSF",(('Operating Assumptions'!$M39*BV$25)*'Operating Assumptions'!$D$11)/12,IF('Operating Assumptions'!$L39="$/NSF",(('Operating Assumptions'!$M39*BV$25)*'Operating Assumptions'!$D$12)/12))))))))</f>
        <v>0</v>
      </c>
      <c r="BW114" s="427">
        <f>-IF(BW$9&lt;'Operating Assumptions'!$D$53,0,IF(BW$6&gt;'Operating Assumptions'!$AA$8,0,IF('Operating Assumptions'!$L39="N/A",0,IF('Operating Assumptions'!$L39="$/Unit/Annual",(('Operating Assumptions'!$M39*BW$25)*BW$36)/12,IF('Operating Assumptions'!$L39="$/Unit/Month",('Operating Assumptions'!$M39*BW$25)*BW$36,IF('Operating Assumptions'!$L39="Fixed Amount",('Operating Assumptions'!$M39*BW$25)/12,IF('Operating Assumptions'!$L39="$/GSF",(('Operating Assumptions'!$M39*BW$25)*'Operating Assumptions'!$D$11)/12,IF('Operating Assumptions'!$L39="$/NSF",(('Operating Assumptions'!$M39*BW$25)*'Operating Assumptions'!$D$12)/12))))))))</f>
        <v>0</v>
      </c>
      <c r="BX114" s="427">
        <f>-IF(BX$9&lt;'Operating Assumptions'!$D$53,0,IF(BX$6&gt;'Operating Assumptions'!$AA$8,0,IF('Operating Assumptions'!$L39="N/A",0,IF('Operating Assumptions'!$L39="$/Unit/Annual",(('Operating Assumptions'!$M39*BX$25)*BX$36)/12,IF('Operating Assumptions'!$L39="$/Unit/Month",('Operating Assumptions'!$M39*BX$25)*BX$36,IF('Operating Assumptions'!$L39="Fixed Amount",('Operating Assumptions'!$M39*BX$25)/12,IF('Operating Assumptions'!$L39="$/GSF",(('Operating Assumptions'!$M39*BX$25)*'Operating Assumptions'!$D$11)/12,IF('Operating Assumptions'!$L39="$/NSF",(('Operating Assumptions'!$M39*BX$25)*'Operating Assumptions'!$D$12)/12))))))))</f>
        <v>0</v>
      </c>
      <c r="BY114" s="427">
        <f>-IF(BY$9&lt;'Operating Assumptions'!$D$53,0,IF(BY$6&gt;'Operating Assumptions'!$AA$8,0,IF('Operating Assumptions'!$L39="N/A",0,IF('Operating Assumptions'!$L39="$/Unit/Annual",(('Operating Assumptions'!$M39*BY$25)*BY$36)/12,IF('Operating Assumptions'!$L39="$/Unit/Month",('Operating Assumptions'!$M39*BY$25)*BY$36,IF('Operating Assumptions'!$L39="Fixed Amount",('Operating Assumptions'!$M39*BY$25)/12,IF('Operating Assumptions'!$L39="$/GSF",(('Operating Assumptions'!$M39*BY$25)*'Operating Assumptions'!$D$11)/12,IF('Operating Assumptions'!$L39="$/NSF",(('Operating Assumptions'!$M39*BY$25)*'Operating Assumptions'!$D$12)/12))))))))</f>
        <v>0</v>
      </c>
      <c r="BZ114" s="427">
        <f>-IF(BZ$9&lt;'Operating Assumptions'!$D$53,0,IF(BZ$6&gt;'Operating Assumptions'!$AA$8,0,IF('Operating Assumptions'!$L39="N/A",0,IF('Operating Assumptions'!$L39="$/Unit/Annual",(('Operating Assumptions'!$M39*BZ$25)*BZ$36)/12,IF('Operating Assumptions'!$L39="$/Unit/Month",('Operating Assumptions'!$M39*BZ$25)*BZ$36,IF('Operating Assumptions'!$L39="Fixed Amount",('Operating Assumptions'!$M39*BZ$25)/12,IF('Operating Assumptions'!$L39="$/GSF",(('Operating Assumptions'!$M39*BZ$25)*'Operating Assumptions'!$D$11)/12,IF('Operating Assumptions'!$L39="$/NSF",(('Operating Assumptions'!$M39*BZ$25)*'Operating Assumptions'!$D$12)/12))))))))</f>
        <v>0</v>
      </c>
      <c r="CA114" s="427">
        <f>-IF(CA$9&lt;'Operating Assumptions'!$D$53,0,IF(CA$6&gt;'Operating Assumptions'!$AA$8,0,IF('Operating Assumptions'!$L39="N/A",0,IF('Operating Assumptions'!$L39="$/Unit/Annual",(('Operating Assumptions'!$M39*CA$25)*CA$36)/12,IF('Operating Assumptions'!$L39="$/Unit/Month",('Operating Assumptions'!$M39*CA$25)*CA$36,IF('Operating Assumptions'!$L39="Fixed Amount",('Operating Assumptions'!$M39*CA$25)/12,IF('Operating Assumptions'!$L39="$/GSF",(('Operating Assumptions'!$M39*CA$25)*'Operating Assumptions'!$D$11)/12,IF('Operating Assumptions'!$L39="$/NSF",(('Operating Assumptions'!$M39*CA$25)*'Operating Assumptions'!$D$12)/12))))))))</f>
        <v>0</v>
      </c>
      <c r="CB114" s="427">
        <f>-IF(CB$9&lt;'Operating Assumptions'!$D$53,0,IF(CB$6&gt;'Operating Assumptions'!$AA$8,0,IF('Operating Assumptions'!$L39="N/A",0,IF('Operating Assumptions'!$L39="$/Unit/Annual",(('Operating Assumptions'!$M39*CB$25)*CB$36)/12,IF('Operating Assumptions'!$L39="$/Unit/Month",('Operating Assumptions'!$M39*CB$25)*CB$36,IF('Operating Assumptions'!$L39="Fixed Amount",('Operating Assumptions'!$M39*CB$25)/12,IF('Operating Assumptions'!$L39="$/GSF",(('Operating Assumptions'!$M39*CB$25)*'Operating Assumptions'!$D$11)/12,IF('Operating Assumptions'!$L39="$/NSF",(('Operating Assumptions'!$M39*CB$25)*'Operating Assumptions'!$D$12)/12))))))))</f>
        <v>0</v>
      </c>
      <c r="CC114" s="427">
        <f>-IF(CC$9&lt;'Operating Assumptions'!$D$53,0,IF(CC$6&gt;'Operating Assumptions'!$AA$8,0,IF('Operating Assumptions'!$L39="N/A",0,IF('Operating Assumptions'!$L39="$/Unit/Annual",(('Operating Assumptions'!$M39*CC$25)*CC$36)/12,IF('Operating Assumptions'!$L39="$/Unit/Month",('Operating Assumptions'!$M39*CC$25)*CC$36,IF('Operating Assumptions'!$L39="Fixed Amount",('Operating Assumptions'!$M39*CC$25)/12,IF('Operating Assumptions'!$L39="$/GSF",(('Operating Assumptions'!$M39*CC$25)*'Operating Assumptions'!$D$11)/12,IF('Operating Assumptions'!$L39="$/NSF",(('Operating Assumptions'!$M39*CC$25)*'Operating Assumptions'!$D$12)/12))))))))</f>
        <v>0</v>
      </c>
      <c r="CD114" s="427">
        <f>-IF(CD$9&lt;'Operating Assumptions'!$D$53,0,IF(CD$6&gt;'Operating Assumptions'!$AA$8,0,IF('Operating Assumptions'!$L39="N/A",0,IF('Operating Assumptions'!$L39="$/Unit/Annual",(('Operating Assumptions'!$M39*CD$25)*CD$36)/12,IF('Operating Assumptions'!$L39="$/Unit/Month",('Operating Assumptions'!$M39*CD$25)*CD$36,IF('Operating Assumptions'!$L39="Fixed Amount",('Operating Assumptions'!$M39*CD$25)/12,IF('Operating Assumptions'!$L39="$/GSF",(('Operating Assumptions'!$M39*CD$25)*'Operating Assumptions'!$D$11)/12,IF('Operating Assumptions'!$L39="$/NSF",(('Operating Assumptions'!$M39*CD$25)*'Operating Assumptions'!$D$12)/12))))))))</f>
        <v>0</v>
      </c>
      <c r="CE114" s="427">
        <f>-IF(CE$9&lt;'Operating Assumptions'!$D$53,0,IF(CE$6&gt;'Operating Assumptions'!$AA$8,0,IF('Operating Assumptions'!$L39="N/A",0,IF('Operating Assumptions'!$L39="$/Unit/Annual",(('Operating Assumptions'!$M39*CE$25)*CE$36)/12,IF('Operating Assumptions'!$L39="$/Unit/Month",('Operating Assumptions'!$M39*CE$25)*CE$36,IF('Operating Assumptions'!$L39="Fixed Amount",('Operating Assumptions'!$M39*CE$25)/12,IF('Operating Assumptions'!$L39="$/GSF",(('Operating Assumptions'!$M39*CE$25)*'Operating Assumptions'!$D$11)/12,IF('Operating Assumptions'!$L39="$/NSF",(('Operating Assumptions'!$M39*CE$25)*'Operating Assumptions'!$D$12)/12))))))))</f>
        <v>0</v>
      </c>
      <c r="CF114" s="427">
        <f>-IF(CF$9&lt;'Operating Assumptions'!$D$53,0,IF(CF$6&gt;'Operating Assumptions'!$AA$8,0,IF('Operating Assumptions'!$L39="N/A",0,IF('Operating Assumptions'!$L39="$/Unit/Annual",(('Operating Assumptions'!$M39*CF$25)*CF$36)/12,IF('Operating Assumptions'!$L39="$/Unit/Month",('Operating Assumptions'!$M39*CF$25)*CF$36,IF('Operating Assumptions'!$L39="Fixed Amount",('Operating Assumptions'!$M39*CF$25)/12,IF('Operating Assumptions'!$L39="$/GSF",(('Operating Assumptions'!$M39*CF$25)*'Operating Assumptions'!$D$11)/12,IF('Operating Assumptions'!$L39="$/NSF",(('Operating Assumptions'!$M39*CF$25)*'Operating Assumptions'!$D$12)/12))))))))</f>
        <v>0</v>
      </c>
      <c r="CG114" s="427">
        <f>-IF(CG$9&lt;'Operating Assumptions'!$D$53,0,IF(CG$6&gt;'Operating Assumptions'!$AA$8,0,IF('Operating Assumptions'!$L39="N/A",0,IF('Operating Assumptions'!$L39="$/Unit/Annual",(('Operating Assumptions'!$M39*CG$25)*CG$36)/12,IF('Operating Assumptions'!$L39="$/Unit/Month",('Operating Assumptions'!$M39*CG$25)*CG$36,IF('Operating Assumptions'!$L39="Fixed Amount",('Operating Assumptions'!$M39*CG$25)/12,IF('Operating Assumptions'!$L39="$/GSF",(('Operating Assumptions'!$M39*CG$25)*'Operating Assumptions'!$D$11)/12,IF('Operating Assumptions'!$L39="$/NSF",(('Operating Assumptions'!$M39*CG$25)*'Operating Assumptions'!$D$12)/12))))))))</f>
        <v>0</v>
      </c>
      <c r="CH114" s="427">
        <f>-IF(CH$9&lt;'Operating Assumptions'!$D$53,0,IF(CH$6&gt;'Operating Assumptions'!$AA$8,0,IF('Operating Assumptions'!$L39="N/A",0,IF('Operating Assumptions'!$L39="$/Unit/Annual",(('Operating Assumptions'!$M39*CH$25)*CH$36)/12,IF('Operating Assumptions'!$L39="$/Unit/Month",('Operating Assumptions'!$M39*CH$25)*CH$36,IF('Operating Assumptions'!$L39="Fixed Amount",('Operating Assumptions'!$M39*CH$25)/12,IF('Operating Assumptions'!$L39="$/GSF",(('Operating Assumptions'!$M39*CH$25)*'Operating Assumptions'!$D$11)/12,IF('Operating Assumptions'!$L39="$/NSF",(('Operating Assumptions'!$M39*CH$25)*'Operating Assumptions'!$D$12)/12))))))))</f>
        <v>0</v>
      </c>
      <c r="CI114" s="427">
        <f>-IF(CI$9&lt;'Operating Assumptions'!$D$53,0,IF(CI$6&gt;'Operating Assumptions'!$AA$8,0,IF('Operating Assumptions'!$L39="N/A",0,IF('Operating Assumptions'!$L39="$/Unit/Annual",(('Operating Assumptions'!$M39*CI$25)*CI$36)/12,IF('Operating Assumptions'!$L39="$/Unit/Month",('Operating Assumptions'!$M39*CI$25)*CI$36,IF('Operating Assumptions'!$L39="Fixed Amount",('Operating Assumptions'!$M39*CI$25)/12,IF('Operating Assumptions'!$L39="$/GSF",(('Operating Assumptions'!$M39*CI$25)*'Operating Assumptions'!$D$11)/12,IF('Operating Assumptions'!$L39="$/NSF",(('Operating Assumptions'!$M39*CI$25)*'Operating Assumptions'!$D$12)/12))))))))</f>
        <v>0</v>
      </c>
      <c r="CJ114" s="427">
        <f>-IF(CJ$9&lt;'Operating Assumptions'!$D$53,0,IF(CJ$6&gt;'Operating Assumptions'!$AA$8,0,IF('Operating Assumptions'!$L39="N/A",0,IF('Operating Assumptions'!$L39="$/Unit/Annual",(('Operating Assumptions'!$M39*CJ$25)*CJ$36)/12,IF('Operating Assumptions'!$L39="$/Unit/Month",('Operating Assumptions'!$M39*CJ$25)*CJ$36,IF('Operating Assumptions'!$L39="Fixed Amount",('Operating Assumptions'!$M39*CJ$25)/12,IF('Operating Assumptions'!$L39="$/GSF",(('Operating Assumptions'!$M39*CJ$25)*'Operating Assumptions'!$D$11)/12,IF('Operating Assumptions'!$L39="$/NSF",(('Operating Assumptions'!$M39*CJ$25)*'Operating Assumptions'!$D$12)/12))))))))</f>
        <v>0</v>
      </c>
      <c r="CK114" s="427">
        <f>-IF(CK$9&lt;'Operating Assumptions'!$D$53,0,IF(CK$6&gt;'Operating Assumptions'!$AA$8,0,IF('Operating Assumptions'!$L39="N/A",0,IF('Operating Assumptions'!$L39="$/Unit/Annual",(('Operating Assumptions'!$M39*CK$25)*CK$36)/12,IF('Operating Assumptions'!$L39="$/Unit/Month",('Operating Assumptions'!$M39*CK$25)*CK$36,IF('Operating Assumptions'!$L39="Fixed Amount",('Operating Assumptions'!$M39*CK$25)/12,IF('Operating Assumptions'!$L39="$/GSF",(('Operating Assumptions'!$M39*CK$25)*'Operating Assumptions'!$D$11)/12,IF('Operating Assumptions'!$L39="$/NSF",(('Operating Assumptions'!$M39*CK$25)*'Operating Assumptions'!$D$12)/12))))))))</f>
        <v>0</v>
      </c>
      <c r="CL114" s="427">
        <f>-IF(CL$9&lt;'Operating Assumptions'!$D$53,0,IF(CL$6&gt;'Operating Assumptions'!$AA$8,0,IF('Operating Assumptions'!$L39="N/A",0,IF('Operating Assumptions'!$L39="$/Unit/Annual",(('Operating Assumptions'!$M39*CL$25)*CL$36)/12,IF('Operating Assumptions'!$L39="$/Unit/Month",('Operating Assumptions'!$M39*CL$25)*CL$36,IF('Operating Assumptions'!$L39="Fixed Amount",('Operating Assumptions'!$M39*CL$25)/12,IF('Operating Assumptions'!$L39="$/GSF",(('Operating Assumptions'!$M39*CL$25)*'Operating Assumptions'!$D$11)/12,IF('Operating Assumptions'!$L39="$/NSF",(('Operating Assumptions'!$M39*CL$25)*'Operating Assumptions'!$D$12)/12))))))))</f>
        <v>0</v>
      </c>
      <c r="CM114" s="427">
        <f>-IF(CM$9&lt;'Operating Assumptions'!$D$53,0,IF(CM$6&gt;'Operating Assumptions'!$AA$8,0,IF('Operating Assumptions'!$L39="N/A",0,IF('Operating Assumptions'!$L39="$/Unit/Annual",(('Operating Assumptions'!$M39*CM$25)*CM$36)/12,IF('Operating Assumptions'!$L39="$/Unit/Month",('Operating Assumptions'!$M39*CM$25)*CM$36,IF('Operating Assumptions'!$L39="Fixed Amount",('Operating Assumptions'!$M39*CM$25)/12,IF('Operating Assumptions'!$L39="$/GSF",(('Operating Assumptions'!$M39*CM$25)*'Operating Assumptions'!$D$11)/12,IF('Operating Assumptions'!$L39="$/NSF",(('Operating Assumptions'!$M39*CM$25)*'Operating Assumptions'!$D$12)/12))))))))</f>
        <v>0</v>
      </c>
      <c r="CN114" s="427">
        <f>-IF(CN$9&lt;'Operating Assumptions'!$D$53,0,IF(CN$6&gt;'Operating Assumptions'!$AA$8,0,IF('Operating Assumptions'!$L39="N/A",0,IF('Operating Assumptions'!$L39="$/Unit/Annual",(('Operating Assumptions'!$M39*CN$25)*CN$36)/12,IF('Operating Assumptions'!$L39="$/Unit/Month",('Operating Assumptions'!$M39*CN$25)*CN$36,IF('Operating Assumptions'!$L39="Fixed Amount",('Operating Assumptions'!$M39*CN$25)/12,IF('Operating Assumptions'!$L39="$/GSF",(('Operating Assumptions'!$M39*CN$25)*'Operating Assumptions'!$D$11)/12,IF('Operating Assumptions'!$L39="$/NSF",(('Operating Assumptions'!$M39*CN$25)*'Operating Assumptions'!$D$12)/12))))))))</f>
        <v>0</v>
      </c>
      <c r="CO114" s="427">
        <f>-IF(CO$9&lt;'Operating Assumptions'!$D$53,0,IF(CO$6&gt;'Operating Assumptions'!$AA$8,0,IF('Operating Assumptions'!$L39="N/A",0,IF('Operating Assumptions'!$L39="$/Unit/Annual",(('Operating Assumptions'!$M39*CO$25)*CO$36)/12,IF('Operating Assumptions'!$L39="$/Unit/Month",('Operating Assumptions'!$M39*CO$25)*CO$36,IF('Operating Assumptions'!$L39="Fixed Amount",('Operating Assumptions'!$M39*CO$25)/12,IF('Operating Assumptions'!$L39="$/GSF",(('Operating Assumptions'!$M39*CO$25)*'Operating Assumptions'!$D$11)/12,IF('Operating Assumptions'!$L39="$/NSF",(('Operating Assumptions'!$M39*CO$25)*'Operating Assumptions'!$D$12)/12))))))))</f>
        <v>0</v>
      </c>
      <c r="CP114" s="427">
        <f>-IF(CP$9&lt;'Operating Assumptions'!$D$53,0,IF(CP$6&gt;'Operating Assumptions'!$AA$8,0,IF('Operating Assumptions'!$L39="N/A",0,IF('Operating Assumptions'!$L39="$/Unit/Annual",(('Operating Assumptions'!$M39*CP$25)*CP$36)/12,IF('Operating Assumptions'!$L39="$/Unit/Month",('Operating Assumptions'!$M39*CP$25)*CP$36,IF('Operating Assumptions'!$L39="Fixed Amount",('Operating Assumptions'!$M39*CP$25)/12,IF('Operating Assumptions'!$L39="$/GSF",(('Operating Assumptions'!$M39*CP$25)*'Operating Assumptions'!$D$11)/12,IF('Operating Assumptions'!$L39="$/NSF",(('Operating Assumptions'!$M39*CP$25)*'Operating Assumptions'!$D$12)/12))))))))</f>
        <v>0</v>
      </c>
      <c r="CQ114" s="427">
        <f>-IF(CQ$9&lt;'Operating Assumptions'!$D$53,0,IF(CQ$6&gt;'Operating Assumptions'!$AA$8,0,IF('Operating Assumptions'!$L39="N/A",0,IF('Operating Assumptions'!$L39="$/Unit/Annual",(('Operating Assumptions'!$M39*CQ$25)*CQ$36)/12,IF('Operating Assumptions'!$L39="$/Unit/Month",('Operating Assumptions'!$M39*CQ$25)*CQ$36,IF('Operating Assumptions'!$L39="Fixed Amount",('Operating Assumptions'!$M39*CQ$25)/12,IF('Operating Assumptions'!$L39="$/GSF",(('Operating Assumptions'!$M39*CQ$25)*'Operating Assumptions'!$D$11)/12,IF('Operating Assumptions'!$L39="$/NSF",(('Operating Assumptions'!$M39*CQ$25)*'Operating Assumptions'!$D$12)/12))))))))</f>
        <v>0</v>
      </c>
      <c r="CR114" s="427">
        <f>-IF(CR$9&lt;'Operating Assumptions'!$D$53,0,IF(CR$6&gt;'Operating Assumptions'!$AA$8,0,IF('Operating Assumptions'!$L39="N/A",0,IF('Operating Assumptions'!$L39="$/Unit/Annual",(('Operating Assumptions'!$M39*CR$25)*CR$36)/12,IF('Operating Assumptions'!$L39="$/Unit/Month",('Operating Assumptions'!$M39*CR$25)*CR$36,IF('Operating Assumptions'!$L39="Fixed Amount",('Operating Assumptions'!$M39*CR$25)/12,IF('Operating Assumptions'!$L39="$/GSF",(('Operating Assumptions'!$M39*CR$25)*'Operating Assumptions'!$D$11)/12,IF('Operating Assumptions'!$L39="$/NSF",(('Operating Assumptions'!$M39*CR$25)*'Operating Assumptions'!$D$12)/12))))))))</f>
        <v>0</v>
      </c>
      <c r="CS114" s="427">
        <f>-IF(CS$9&lt;'Operating Assumptions'!$D$53,0,IF(CS$6&gt;'Operating Assumptions'!$AA$8,0,IF('Operating Assumptions'!$L39="N/A",0,IF('Operating Assumptions'!$L39="$/Unit/Annual",(('Operating Assumptions'!$M39*CS$25)*CS$36)/12,IF('Operating Assumptions'!$L39="$/Unit/Month",('Operating Assumptions'!$M39*CS$25)*CS$36,IF('Operating Assumptions'!$L39="Fixed Amount",('Operating Assumptions'!$M39*CS$25)/12,IF('Operating Assumptions'!$L39="$/GSF",(('Operating Assumptions'!$M39*CS$25)*'Operating Assumptions'!$D$11)/12,IF('Operating Assumptions'!$L39="$/NSF",(('Operating Assumptions'!$M39*CS$25)*'Operating Assumptions'!$D$12)/12))))))))</f>
        <v>0</v>
      </c>
      <c r="CT114" s="427">
        <f>-IF(CT$9&lt;'Operating Assumptions'!$D$53,0,IF(CT$6&gt;'Operating Assumptions'!$AA$8,0,IF('Operating Assumptions'!$L39="N/A",0,IF('Operating Assumptions'!$L39="$/Unit/Annual",(('Operating Assumptions'!$M39*CT$25)*CT$36)/12,IF('Operating Assumptions'!$L39="$/Unit/Month",('Operating Assumptions'!$M39*CT$25)*CT$36,IF('Operating Assumptions'!$L39="Fixed Amount",('Operating Assumptions'!$M39*CT$25)/12,IF('Operating Assumptions'!$L39="$/GSF",(('Operating Assumptions'!$M39*CT$25)*'Operating Assumptions'!$D$11)/12,IF('Operating Assumptions'!$L39="$/NSF",(('Operating Assumptions'!$M39*CT$25)*'Operating Assumptions'!$D$12)/12))))))))</f>
        <v>0</v>
      </c>
      <c r="CU114" s="427">
        <f>-IF(CU$9&lt;'Operating Assumptions'!$D$53,0,IF(CU$6&gt;'Operating Assumptions'!$AA$8,0,IF('Operating Assumptions'!$L39="N/A",0,IF('Operating Assumptions'!$L39="$/Unit/Annual",(('Operating Assumptions'!$M39*CU$25)*CU$36)/12,IF('Operating Assumptions'!$L39="$/Unit/Month",('Operating Assumptions'!$M39*CU$25)*CU$36,IF('Operating Assumptions'!$L39="Fixed Amount",('Operating Assumptions'!$M39*CU$25)/12,IF('Operating Assumptions'!$L39="$/GSF",(('Operating Assumptions'!$M39*CU$25)*'Operating Assumptions'!$D$11)/12,IF('Operating Assumptions'!$L39="$/NSF",(('Operating Assumptions'!$M39*CU$25)*'Operating Assumptions'!$D$12)/12))))))))</f>
        <v>0</v>
      </c>
      <c r="CV114" s="427">
        <f>-IF(CV$9&lt;'Operating Assumptions'!$D$53,0,IF(CV$6&gt;'Operating Assumptions'!$AA$8,0,IF('Operating Assumptions'!$L39="N/A",0,IF('Operating Assumptions'!$L39="$/Unit/Annual",(('Operating Assumptions'!$M39*CV$25)*CV$36)/12,IF('Operating Assumptions'!$L39="$/Unit/Month",('Operating Assumptions'!$M39*CV$25)*CV$36,IF('Operating Assumptions'!$L39="Fixed Amount",('Operating Assumptions'!$M39*CV$25)/12,IF('Operating Assumptions'!$L39="$/GSF",(('Operating Assumptions'!$M39*CV$25)*'Operating Assumptions'!$D$11)/12,IF('Operating Assumptions'!$L39="$/NSF",(('Operating Assumptions'!$M39*CV$25)*'Operating Assumptions'!$D$12)/12))))))))</f>
        <v>0</v>
      </c>
      <c r="CW114" s="427">
        <f>-IF(CW$9&lt;'Operating Assumptions'!$D$53,0,IF(CW$6&gt;'Operating Assumptions'!$AA$8,0,IF('Operating Assumptions'!$L39="N/A",0,IF('Operating Assumptions'!$L39="$/Unit/Annual",(('Operating Assumptions'!$M39*CW$25)*CW$36)/12,IF('Operating Assumptions'!$L39="$/Unit/Month",('Operating Assumptions'!$M39*CW$25)*CW$36,IF('Operating Assumptions'!$L39="Fixed Amount",('Operating Assumptions'!$M39*CW$25)/12,IF('Operating Assumptions'!$L39="$/GSF",(('Operating Assumptions'!$M39*CW$25)*'Operating Assumptions'!$D$11)/12,IF('Operating Assumptions'!$L39="$/NSF",(('Operating Assumptions'!$M39*CW$25)*'Operating Assumptions'!$D$12)/12))))))))</f>
        <v>0</v>
      </c>
      <c r="CX114" s="427">
        <f>-IF(CX$9&lt;'Operating Assumptions'!$D$53,0,IF(CX$6&gt;'Operating Assumptions'!$AA$8,0,IF('Operating Assumptions'!$L39="N/A",0,IF('Operating Assumptions'!$L39="$/Unit/Annual",(('Operating Assumptions'!$M39*CX$25)*CX$36)/12,IF('Operating Assumptions'!$L39="$/Unit/Month",('Operating Assumptions'!$M39*CX$25)*CX$36,IF('Operating Assumptions'!$L39="Fixed Amount",('Operating Assumptions'!$M39*CX$25)/12,IF('Operating Assumptions'!$L39="$/GSF",(('Operating Assumptions'!$M39*CX$25)*'Operating Assumptions'!$D$11)/12,IF('Operating Assumptions'!$L39="$/NSF",(('Operating Assumptions'!$M39*CX$25)*'Operating Assumptions'!$D$12)/12))))))))</f>
        <v>0</v>
      </c>
      <c r="CY114" s="427">
        <f>-IF(CY$9&lt;'Operating Assumptions'!$D$53,0,IF(CY$6&gt;'Operating Assumptions'!$AA$8,0,IF('Operating Assumptions'!$L39="N/A",0,IF('Operating Assumptions'!$L39="$/Unit/Annual",(('Operating Assumptions'!$M39*CY$25)*CY$36)/12,IF('Operating Assumptions'!$L39="$/Unit/Month",('Operating Assumptions'!$M39*CY$25)*CY$36,IF('Operating Assumptions'!$L39="Fixed Amount",('Operating Assumptions'!$M39*CY$25)/12,IF('Operating Assumptions'!$L39="$/GSF",(('Operating Assumptions'!$M39*CY$25)*'Operating Assumptions'!$D$11)/12,IF('Operating Assumptions'!$L39="$/NSF",(('Operating Assumptions'!$M39*CY$25)*'Operating Assumptions'!$D$12)/12))))))))</f>
        <v>0</v>
      </c>
      <c r="CZ114" s="427">
        <f>-IF(CZ$9&lt;'Operating Assumptions'!$D$53,0,IF(CZ$6&gt;'Operating Assumptions'!$AA$8,0,IF('Operating Assumptions'!$L39="N/A",0,IF('Operating Assumptions'!$L39="$/Unit/Annual",(('Operating Assumptions'!$M39*CZ$25)*CZ$36)/12,IF('Operating Assumptions'!$L39="$/Unit/Month",('Operating Assumptions'!$M39*CZ$25)*CZ$36,IF('Operating Assumptions'!$L39="Fixed Amount",('Operating Assumptions'!$M39*CZ$25)/12,IF('Operating Assumptions'!$L39="$/GSF",(('Operating Assumptions'!$M39*CZ$25)*'Operating Assumptions'!$D$11)/12,IF('Operating Assumptions'!$L39="$/NSF",(('Operating Assumptions'!$M39*CZ$25)*'Operating Assumptions'!$D$12)/12))))))))</f>
        <v>0</v>
      </c>
      <c r="DA114" s="427">
        <f>-IF(DA$9&lt;'Operating Assumptions'!$D$53,0,IF(DA$6&gt;'Operating Assumptions'!$AA$8,0,IF('Operating Assumptions'!$L39="N/A",0,IF('Operating Assumptions'!$L39="$/Unit/Annual",(('Operating Assumptions'!$M39*DA$25)*DA$36)/12,IF('Operating Assumptions'!$L39="$/Unit/Month",('Operating Assumptions'!$M39*DA$25)*DA$36,IF('Operating Assumptions'!$L39="Fixed Amount",('Operating Assumptions'!$M39*DA$25)/12,IF('Operating Assumptions'!$L39="$/GSF",(('Operating Assumptions'!$M39*DA$25)*'Operating Assumptions'!$D$11)/12,IF('Operating Assumptions'!$L39="$/NSF",(('Operating Assumptions'!$M39*DA$25)*'Operating Assumptions'!$D$12)/12))))))))</f>
        <v>0</v>
      </c>
      <c r="DB114" s="427">
        <f>-IF(DB$9&lt;'Operating Assumptions'!$D$53,0,IF(DB$6&gt;'Operating Assumptions'!$AA$8,0,IF('Operating Assumptions'!$L39="N/A",0,IF('Operating Assumptions'!$L39="$/Unit/Annual",(('Operating Assumptions'!$M39*DB$25)*DB$36)/12,IF('Operating Assumptions'!$L39="$/Unit/Month",('Operating Assumptions'!$M39*DB$25)*DB$36,IF('Operating Assumptions'!$L39="Fixed Amount",('Operating Assumptions'!$M39*DB$25)/12,IF('Operating Assumptions'!$L39="$/GSF",(('Operating Assumptions'!$M39*DB$25)*'Operating Assumptions'!$D$11)/12,IF('Operating Assumptions'!$L39="$/NSF",(('Operating Assumptions'!$M39*DB$25)*'Operating Assumptions'!$D$12)/12))))))))</f>
        <v>0</v>
      </c>
      <c r="DC114" s="427">
        <f>-IF(DC$9&lt;'Operating Assumptions'!$D$53,0,IF(DC$6&gt;'Operating Assumptions'!$AA$8,0,IF('Operating Assumptions'!$L39="N/A",0,IF('Operating Assumptions'!$L39="$/Unit/Annual",(('Operating Assumptions'!$M39*DC$25)*DC$36)/12,IF('Operating Assumptions'!$L39="$/Unit/Month",('Operating Assumptions'!$M39*DC$25)*DC$36,IF('Operating Assumptions'!$L39="Fixed Amount",('Operating Assumptions'!$M39*DC$25)/12,IF('Operating Assumptions'!$L39="$/GSF",(('Operating Assumptions'!$M39*DC$25)*'Operating Assumptions'!$D$11)/12,IF('Operating Assumptions'!$L39="$/NSF",(('Operating Assumptions'!$M39*DC$25)*'Operating Assumptions'!$D$12)/12))))))))</f>
        <v>0</v>
      </c>
      <c r="DD114" s="427">
        <f>-IF(DD$9&lt;'Operating Assumptions'!$D$53,0,IF(DD$6&gt;'Operating Assumptions'!$AA$8,0,IF('Operating Assumptions'!$L39="N/A",0,IF('Operating Assumptions'!$L39="$/Unit/Annual",(('Operating Assumptions'!$M39*DD$25)*DD$36)/12,IF('Operating Assumptions'!$L39="$/Unit/Month",('Operating Assumptions'!$M39*DD$25)*DD$36,IF('Operating Assumptions'!$L39="Fixed Amount",('Operating Assumptions'!$M39*DD$25)/12,IF('Operating Assumptions'!$L39="$/GSF",(('Operating Assumptions'!$M39*DD$25)*'Operating Assumptions'!$D$11)/12,IF('Operating Assumptions'!$L39="$/NSF",(('Operating Assumptions'!$M39*DD$25)*'Operating Assumptions'!$D$12)/12))))))))</f>
        <v>0</v>
      </c>
      <c r="DE114" s="427">
        <f>-IF(DE$9&lt;'Operating Assumptions'!$D$53,0,IF(DE$6&gt;'Operating Assumptions'!$AA$8,0,IF('Operating Assumptions'!$L39="N/A",0,IF('Operating Assumptions'!$L39="$/Unit/Annual",(('Operating Assumptions'!$M39*DE$25)*DE$36)/12,IF('Operating Assumptions'!$L39="$/Unit/Month",('Operating Assumptions'!$M39*DE$25)*DE$36,IF('Operating Assumptions'!$L39="Fixed Amount",('Operating Assumptions'!$M39*DE$25)/12,IF('Operating Assumptions'!$L39="$/GSF",(('Operating Assumptions'!$M39*DE$25)*'Operating Assumptions'!$D$11)/12,IF('Operating Assumptions'!$L39="$/NSF",(('Operating Assumptions'!$M39*DE$25)*'Operating Assumptions'!$D$12)/12))))))))</f>
        <v>0</v>
      </c>
      <c r="DF114" s="427">
        <f>-IF(DF$9&lt;'Operating Assumptions'!$D$53,0,IF(DF$6&gt;'Operating Assumptions'!$AA$8,0,IF('Operating Assumptions'!$L39="N/A",0,IF('Operating Assumptions'!$L39="$/Unit/Annual",(('Operating Assumptions'!$M39*DF$25)*DF$36)/12,IF('Operating Assumptions'!$L39="$/Unit/Month",('Operating Assumptions'!$M39*DF$25)*DF$36,IF('Operating Assumptions'!$L39="Fixed Amount",('Operating Assumptions'!$M39*DF$25)/12,IF('Operating Assumptions'!$L39="$/GSF",(('Operating Assumptions'!$M39*DF$25)*'Operating Assumptions'!$D$11)/12,IF('Operating Assumptions'!$L39="$/NSF",(('Operating Assumptions'!$M39*DF$25)*'Operating Assumptions'!$D$12)/12))))))))</f>
        <v>0</v>
      </c>
      <c r="DG114" s="427">
        <f>-IF(DG$9&lt;'Operating Assumptions'!$D$53,0,IF(DG$6&gt;'Operating Assumptions'!$AA$8,0,IF('Operating Assumptions'!$L39="N/A",0,IF('Operating Assumptions'!$L39="$/Unit/Annual",(('Operating Assumptions'!$M39*DG$25)*DG$36)/12,IF('Operating Assumptions'!$L39="$/Unit/Month",('Operating Assumptions'!$M39*DG$25)*DG$36,IF('Operating Assumptions'!$L39="Fixed Amount",('Operating Assumptions'!$M39*DG$25)/12,IF('Operating Assumptions'!$L39="$/GSF",(('Operating Assumptions'!$M39*DG$25)*'Operating Assumptions'!$D$11)/12,IF('Operating Assumptions'!$L39="$/NSF",(('Operating Assumptions'!$M39*DG$25)*'Operating Assumptions'!$D$12)/12))))))))</f>
        <v>0</v>
      </c>
      <c r="DH114" s="427">
        <f>-IF(DH$9&lt;'Operating Assumptions'!$D$53,0,IF(DH$6&gt;'Operating Assumptions'!$AA$8,0,IF('Operating Assumptions'!$L39="N/A",0,IF('Operating Assumptions'!$L39="$/Unit/Annual",(('Operating Assumptions'!$M39*DH$25)*DH$36)/12,IF('Operating Assumptions'!$L39="$/Unit/Month",('Operating Assumptions'!$M39*DH$25)*DH$36,IF('Operating Assumptions'!$L39="Fixed Amount",('Operating Assumptions'!$M39*DH$25)/12,IF('Operating Assumptions'!$L39="$/GSF",(('Operating Assumptions'!$M39*DH$25)*'Operating Assumptions'!$D$11)/12,IF('Operating Assumptions'!$L39="$/NSF",(('Operating Assumptions'!$M39*DH$25)*'Operating Assumptions'!$D$12)/12))))))))</f>
        <v>0</v>
      </c>
      <c r="DI114" s="427">
        <f>-IF(DI$9&lt;'Operating Assumptions'!$D$53,0,IF(DI$6&gt;'Operating Assumptions'!$AA$8,0,IF('Operating Assumptions'!$L39="N/A",0,IF('Operating Assumptions'!$L39="$/Unit/Annual",(('Operating Assumptions'!$M39*DI$25)*DI$36)/12,IF('Operating Assumptions'!$L39="$/Unit/Month",('Operating Assumptions'!$M39*DI$25)*DI$36,IF('Operating Assumptions'!$L39="Fixed Amount",('Operating Assumptions'!$M39*DI$25)/12,IF('Operating Assumptions'!$L39="$/GSF",(('Operating Assumptions'!$M39*DI$25)*'Operating Assumptions'!$D$11)/12,IF('Operating Assumptions'!$L39="$/NSF",(('Operating Assumptions'!$M39*DI$25)*'Operating Assumptions'!$D$12)/12))))))))</f>
        <v>0</v>
      </c>
      <c r="DJ114" s="427">
        <f>-IF(DJ$9&lt;'Operating Assumptions'!$D$53,0,IF(DJ$6&gt;'Operating Assumptions'!$AA$8,0,IF('Operating Assumptions'!$L39="N/A",0,IF('Operating Assumptions'!$L39="$/Unit/Annual",(('Operating Assumptions'!$M39*DJ$25)*DJ$36)/12,IF('Operating Assumptions'!$L39="$/Unit/Month",('Operating Assumptions'!$M39*DJ$25)*DJ$36,IF('Operating Assumptions'!$L39="Fixed Amount",('Operating Assumptions'!$M39*DJ$25)/12,IF('Operating Assumptions'!$L39="$/GSF",(('Operating Assumptions'!$M39*DJ$25)*'Operating Assumptions'!$D$11)/12,IF('Operating Assumptions'!$L39="$/NSF",(('Operating Assumptions'!$M39*DJ$25)*'Operating Assumptions'!$D$12)/12))))))))</f>
        <v>0</v>
      </c>
      <c r="DK114" s="427">
        <f>-IF(DK$9&lt;'Operating Assumptions'!$D$53,0,IF(DK$6&gt;'Operating Assumptions'!$AA$8,0,IF('Operating Assumptions'!$L39="N/A",0,IF('Operating Assumptions'!$L39="$/Unit/Annual",(('Operating Assumptions'!$M39*DK$25)*DK$36)/12,IF('Operating Assumptions'!$L39="$/Unit/Month",('Operating Assumptions'!$M39*DK$25)*DK$36,IF('Operating Assumptions'!$L39="Fixed Amount",('Operating Assumptions'!$M39*DK$25)/12,IF('Operating Assumptions'!$L39="$/GSF",(('Operating Assumptions'!$M39*DK$25)*'Operating Assumptions'!$D$11)/12,IF('Operating Assumptions'!$L39="$/NSF",(('Operating Assumptions'!$M39*DK$25)*'Operating Assumptions'!$D$12)/12))))))))</f>
        <v>0</v>
      </c>
      <c r="DL114" s="427">
        <f>-IF(DL$9&lt;'Operating Assumptions'!$D$53,0,IF(DL$6&gt;'Operating Assumptions'!$AA$8,0,IF('Operating Assumptions'!$L39="N/A",0,IF('Operating Assumptions'!$L39="$/Unit/Annual",(('Operating Assumptions'!$M39*DL$25)*DL$36)/12,IF('Operating Assumptions'!$L39="$/Unit/Month",('Operating Assumptions'!$M39*DL$25)*DL$36,IF('Operating Assumptions'!$L39="Fixed Amount",('Operating Assumptions'!$M39*DL$25)/12,IF('Operating Assumptions'!$L39="$/GSF",(('Operating Assumptions'!$M39*DL$25)*'Operating Assumptions'!$D$11)/12,IF('Operating Assumptions'!$L39="$/NSF",(('Operating Assumptions'!$M39*DL$25)*'Operating Assumptions'!$D$12)/12))))))))</f>
        <v>0</v>
      </c>
      <c r="DM114" s="427">
        <f>-IF(DM$9&lt;'Operating Assumptions'!$D$53,0,IF(DM$6&gt;'Operating Assumptions'!$AA$8,0,IF('Operating Assumptions'!$L39="N/A",0,IF('Operating Assumptions'!$L39="$/Unit/Annual",(('Operating Assumptions'!$M39*DM$25)*DM$36)/12,IF('Operating Assumptions'!$L39="$/Unit/Month",('Operating Assumptions'!$M39*DM$25)*DM$36,IF('Operating Assumptions'!$L39="Fixed Amount",('Operating Assumptions'!$M39*DM$25)/12,IF('Operating Assumptions'!$L39="$/GSF",(('Operating Assumptions'!$M39*DM$25)*'Operating Assumptions'!$D$11)/12,IF('Operating Assumptions'!$L39="$/NSF",(('Operating Assumptions'!$M39*DM$25)*'Operating Assumptions'!$D$12)/12))))))))</f>
        <v>0</v>
      </c>
      <c r="DN114" s="427">
        <f>-IF(DN$9&lt;'Operating Assumptions'!$D$53,0,IF(DN$6&gt;'Operating Assumptions'!$AA$8,0,IF('Operating Assumptions'!$L39="N/A",0,IF('Operating Assumptions'!$L39="$/Unit/Annual",(('Operating Assumptions'!$M39*DN$25)*DN$36)/12,IF('Operating Assumptions'!$L39="$/Unit/Month",('Operating Assumptions'!$M39*DN$25)*DN$36,IF('Operating Assumptions'!$L39="Fixed Amount",('Operating Assumptions'!$M39*DN$25)/12,IF('Operating Assumptions'!$L39="$/GSF",(('Operating Assumptions'!$M39*DN$25)*'Operating Assumptions'!$D$11)/12,IF('Operating Assumptions'!$L39="$/NSF",(('Operating Assumptions'!$M39*DN$25)*'Operating Assumptions'!$D$12)/12))))))))</f>
        <v>0</v>
      </c>
      <c r="DO114" s="427">
        <f>-IF(DO$9&lt;'Operating Assumptions'!$D$53,0,IF(DO$6&gt;'Operating Assumptions'!$AA$8,0,IF('Operating Assumptions'!$L39="N/A",0,IF('Operating Assumptions'!$L39="$/Unit/Annual",(('Operating Assumptions'!$M39*DO$25)*DO$36)/12,IF('Operating Assumptions'!$L39="$/Unit/Month",('Operating Assumptions'!$M39*DO$25)*DO$36,IF('Operating Assumptions'!$L39="Fixed Amount",('Operating Assumptions'!$M39*DO$25)/12,IF('Operating Assumptions'!$L39="$/GSF",(('Operating Assumptions'!$M39*DO$25)*'Operating Assumptions'!$D$11)/12,IF('Operating Assumptions'!$L39="$/NSF",(('Operating Assumptions'!$M39*DO$25)*'Operating Assumptions'!$D$12)/12))))))))</f>
        <v>0</v>
      </c>
      <c r="DP114" s="427">
        <f>-IF(DP$9&lt;'Operating Assumptions'!$D$53,0,IF(DP$6&gt;'Operating Assumptions'!$AA$8,0,IF('Operating Assumptions'!$L39="N/A",0,IF('Operating Assumptions'!$L39="$/Unit/Annual",(('Operating Assumptions'!$M39*DP$25)*DP$36)/12,IF('Operating Assumptions'!$L39="$/Unit/Month",('Operating Assumptions'!$M39*DP$25)*DP$36,IF('Operating Assumptions'!$L39="Fixed Amount",('Operating Assumptions'!$M39*DP$25)/12,IF('Operating Assumptions'!$L39="$/GSF",(('Operating Assumptions'!$M39*DP$25)*'Operating Assumptions'!$D$11)/12,IF('Operating Assumptions'!$L39="$/NSF",(('Operating Assumptions'!$M39*DP$25)*'Operating Assumptions'!$D$12)/12))))))))</f>
        <v>0</v>
      </c>
      <c r="DQ114" s="427">
        <f>-IF(DQ$9&lt;'Operating Assumptions'!$D$53,0,IF(DQ$6&gt;'Operating Assumptions'!$AA$8,0,IF('Operating Assumptions'!$L39="N/A",0,IF('Operating Assumptions'!$L39="$/Unit/Annual",(('Operating Assumptions'!$M39*DQ$25)*DQ$36)/12,IF('Operating Assumptions'!$L39="$/Unit/Month",('Operating Assumptions'!$M39*DQ$25)*DQ$36,IF('Operating Assumptions'!$L39="Fixed Amount",('Operating Assumptions'!$M39*DQ$25)/12,IF('Operating Assumptions'!$L39="$/GSF",(('Operating Assumptions'!$M39*DQ$25)*'Operating Assumptions'!$D$11)/12,IF('Operating Assumptions'!$L39="$/NSF",(('Operating Assumptions'!$M39*DQ$25)*'Operating Assumptions'!$D$12)/12))))))))</f>
        <v>0</v>
      </c>
      <c r="DR114" s="427">
        <f>-IF(DR$9&lt;'Operating Assumptions'!$D$53,0,IF(DR$6&gt;'Operating Assumptions'!$AA$8,0,IF('Operating Assumptions'!$L39="N/A",0,IF('Operating Assumptions'!$L39="$/Unit/Annual",(('Operating Assumptions'!$M39*DR$25)*DR$36)/12,IF('Operating Assumptions'!$L39="$/Unit/Month",('Operating Assumptions'!$M39*DR$25)*DR$36,IF('Operating Assumptions'!$L39="Fixed Amount",('Operating Assumptions'!$M39*DR$25)/12,IF('Operating Assumptions'!$L39="$/GSF",(('Operating Assumptions'!$M39*DR$25)*'Operating Assumptions'!$D$11)/12,IF('Operating Assumptions'!$L39="$/NSF",(('Operating Assumptions'!$M39*DR$25)*'Operating Assumptions'!$D$12)/12))))))))</f>
        <v>0</v>
      </c>
      <c r="DS114" s="427">
        <f>-IF(DS$9&lt;'Operating Assumptions'!$D$53,0,IF(DS$6&gt;'Operating Assumptions'!$AA$8,0,IF('Operating Assumptions'!$L39="N/A",0,IF('Operating Assumptions'!$L39="$/Unit/Annual",(('Operating Assumptions'!$M39*DS$25)*DS$36)/12,IF('Operating Assumptions'!$L39="$/Unit/Month",('Operating Assumptions'!$M39*DS$25)*DS$36,IF('Operating Assumptions'!$L39="Fixed Amount",('Operating Assumptions'!$M39*DS$25)/12,IF('Operating Assumptions'!$L39="$/GSF",(('Operating Assumptions'!$M39*DS$25)*'Operating Assumptions'!$D$11)/12,IF('Operating Assumptions'!$L39="$/NSF",(('Operating Assumptions'!$M39*DS$25)*'Operating Assumptions'!$D$12)/12))))))))</f>
        <v>0</v>
      </c>
      <c r="DT114" s="427">
        <f>-IF(DT$9&lt;'Operating Assumptions'!$D$53,0,IF(DT$6&gt;'Operating Assumptions'!$AA$8,0,IF('Operating Assumptions'!$L39="N/A",0,IF('Operating Assumptions'!$L39="$/Unit/Annual",(('Operating Assumptions'!$M39*DT$25)*DT$36)/12,IF('Operating Assumptions'!$L39="$/Unit/Month",('Operating Assumptions'!$M39*DT$25)*DT$36,IF('Operating Assumptions'!$L39="Fixed Amount",('Operating Assumptions'!$M39*DT$25)/12,IF('Operating Assumptions'!$L39="$/GSF",(('Operating Assumptions'!$M39*DT$25)*'Operating Assumptions'!$D$11)/12,IF('Operating Assumptions'!$L39="$/NSF",(('Operating Assumptions'!$M39*DT$25)*'Operating Assumptions'!$D$12)/12))))))))</f>
        <v>0</v>
      </c>
      <c r="DU114" s="427">
        <f>-IF(DU$9&lt;'Operating Assumptions'!$D$53,0,IF(DU$6&gt;'Operating Assumptions'!$AA$8,0,IF('Operating Assumptions'!$L39="N/A",0,IF('Operating Assumptions'!$L39="$/Unit/Annual",(('Operating Assumptions'!$M39*DU$25)*DU$36)/12,IF('Operating Assumptions'!$L39="$/Unit/Month",('Operating Assumptions'!$M39*DU$25)*DU$36,IF('Operating Assumptions'!$L39="Fixed Amount",('Operating Assumptions'!$M39*DU$25)/12,IF('Operating Assumptions'!$L39="$/GSF",(('Operating Assumptions'!$M39*DU$25)*'Operating Assumptions'!$D$11)/12,IF('Operating Assumptions'!$L39="$/NSF",(('Operating Assumptions'!$M39*DU$25)*'Operating Assumptions'!$D$12)/12))))))))</f>
        <v>0</v>
      </c>
      <c r="DV114" s="427">
        <f>-IF(DV$9&lt;'Operating Assumptions'!$D$53,0,IF(DV$6&gt;'Operating Assumptions'!$AA$8,0,IF('Operating Assumptions'!$L39="N/A",0,IF('Operating Assumptions'!$L39="$/Unit/Annual",(('Operating Assumptions'!$M39*DV$25)*DV$36)/12,IF('Operating Assumptions'!$L39="$/Unit/Month",('Operating Assumptions'!$M39*DV$25)*DV$36,IF('Operating Assumptions'!$L39="Fixed Amount",('Operating Assumptions'!$M39*DV$25)/12,IF('Operating Assumptions'!$L39="$/GSF",(('Operating Assumptions'!$M39*DV$25)*'Operating Assumptions'!$D$11)/12,IF('Operating Assumptions'!$L39="$/NSF",(('Operating Assumptions'!$M39*DV$25)*'Operating Assumptions'!$D$12)/12))))))))</f>
        <v>0</v>
      </c>
      <c r="DW114" s="427">
        <f>-IF(DW$9&lt;'Operating Assumptions'!$D$53,0,IF(DW$6&gt;'Operating Assumptions'!$AA$8,0,IF('Operating Assumptions'!$L39="N/A",0,IF('Operating Assumptions'!$L39="$/Unit/Annual",(('Operating Assumptions'!$M39*DW$25)*DW$36)/12,IF('Operating Assumptions'!$L39="$/Unit/Month",('Operating Assumptions'!$M39*DW$25)*DW$36,IF('Operating Assumptions'!$L39="Fixed Amount",('Operating Assumptions'!$M39*DW$25)/12,IF('Operating Assumptions'!$L39="$/GSF",(('Operating Assumptions'!$M39*DW$25)*'Operating Assumptions'!$D$11)/12,IF('Operating Assumptions'!$L39="$/NSF",(('Operating Assumptions'!$M39*DW$25)*'Operating Assumptions'!$D$12)/12))))))))</f>
        <v>0</v>
      </c>
      <c r="DX114" s="427">
        <f>-IF(DX$9&lt;'Operating Assumptions'!$D$53,0,IF(DX$6&gt;'Operating Assumptions'!$AA$8,0,IF('Operating Assumptions'!$L39="N/A",0,IF('Operating Assumptions'!$L39="$/Unit/Annual",(('Operating Assumptions'!$M39*DX$25)*DX$36)/12,IF('Operating Assumptions'!$L39="$/Unit/Month",('Operating Assumptions'!$M39*DX$25)*DX$36,IF('Operating Assumptions'!$L39="Fixed Amount",('Operating Assumptions'!$M39*DX$25)/12,IF('Operating Assumptions'!$L39="$/GSF",(('Operating Assumptions'!$M39*DX$25)*'Operating Assumptions'!$D$11)/12,IF('Operating Assumptions'!$L39="$/NSF",(('Operating Assumptions'!$M39*DX$25)*'Operating Assumptions'!$D$12)/12))))))))</f>
        <v>0</v>
      </c>
      <c r="DY114" s="427">
        <f>-IF(DY$9&lt;'Operating Assumptions'!$D$53,0,IF(DY$6&gt;'Operating Assumptions'!$AA$8,0,IF('Operating Assumptions'!$L39="N/A",0,IF('Operating Assumptions'!$L39="$/Unit/Annual",(('Operating Assumptions'!$M39*DY$25)*DY$36)/12,IF('Operating Assumptions'!$L39="$/Unit/Month",('Operating Assumptions'!$M39*DY$25)*DY$36,IF('Operating Assumptions'!$L39="Fixed Amount",('Operating Assumptions'!$M39*DY$25)/12,IF('Operating Assumptions'!$L39="$/GSF",(('Operating Assumptions'!$M39*DY$25)*'Operating Assumptions'!$D$11)/12,IF('Operating Assumptions'!$L39="$/NSF",(('Operating Assumptions'!$M39*DY$25)*'Operating Assumptions'!$D$12)/12))))))))</f>
        <v>0</v>
      </c>
      <c r="DZ114" s="427">
        <f>-IF(DZ$9&lt;'Operating Assumptions'!$D$53,0,IF(DZ$6&gt;'Operating Assumptions'!$AA$8,0,IF('Operating Assumptions'!$L39="N/A",0,IF('Operating Assumptions'!$L39="$/Unit/Annual",(('Operating Assumptions'!$M39*DZ$25)*DZ$36)/12,IF('Operating Assumptions'!$L39="$/Unit/Month",('Operating Assumptions'!$M39*DZ$25)*DZ$36,IF('Operating Assumptions'!$L39="Fixed Amount",('Operating Assumptions'!$M39*DZ$25)/12,IF('Operating Assumptions'!$L39="$/GSF",(('Operating Assumptions'!$M39*DZ$25)*'Operating Assumptions'!$D$11)/12,IF('Operating Assumptions'!$L39="$/NSF",(('Operating Assumptions'!$M39*DZ$25)*'Operating Assumptions'!$D$12)/12))))))))</f>
        <v>0</v>
      </c>
      <c r="EA114" s="427">
        <f>-IF(EA$9&lt;'Operating Assumptions'!$D$53,0,IF(EA$6&gt;'Operating Assumptions'!$AA$8,0,IF('Operating Assumptions'!$L39="N/A",0,IF('Operating Assumptions'!$L39="$/Unit/Annual",(('Operating Assumptions'!$M39*EA$25)*EA$36)/12,IF('Operating Assumptions'!$L39="$/Unit/Month",('Operating Assumptions'!$M39*EA$25)*EA$36,IF('Operating Assumptions'!$L39="Fixed Amount",('Operating Assumptions'!$M39*EA$25)/12,IF('Operating Assumptions'!$L39="$/GSF",(('Operating Assumptions'!$M39*EA$25)*'Operating Assumptions'!$D$11)/12,IF('Operating Assumptions'!$L39="$/NSF",(('Operating Assumptions'!$M39*EA$25)*'Operating Assumptions'!$D$12)/12))))))))</f>
        <v>0</v>
      </c>
      <c r="EB114" s="427">
        <f>-IF(EB$9&lt;'Operating Assumptions'!$D$53,0,IF(EB$6&gt;'Operating Assumptions'!$AA$8,0,IF('Operating Assumptions'!$L39="N/A",0,IF('Operating Assumptions'!$L39="$/Unit/Annual",(('Operating Assumptions'!$M39*EB$25)*EB$36)/12,IF('Operating Assumptions'!$L39="$/Unit/Month",('Operating Assumptions'!$M39*EB$25)*EB$36,IF('Operating Assumptions'!$L39="Fixed Amount",('Operating Assumptions'!$M39*EB$25)/12,IF('Operating Assumptions'!$L39="$/GSF",(('Operating Assumptions'!$M39*EB$25)*'Operating Assumptions'!$D$11)/12,IF('Operating Assumptions'!$L39="$/NSF",(('Operating Assumptions'!$M39*EB$25)*'Operating Assumptions'!$D$12)/12))))))))</f>
        <v>0</v>
      </c>
      <c r="EC114" s="427">
        <f>-IF(EC$9&lt;'Operating Assumptions'!$D$53,0,IF(EC$6&gt;'Operating Assumptions'!$AA$8,0,IF('Operating Assumptions'!$L39="N/A",0,IF('Operating Assumptions'!$L39="$/Unit/Annual",(('Operating Assumptions'!$M39*EC$25)*EC$36)/12,IF('Operating Assumptions'!$L39="$/Unit/Month",('Operating Assumptions'!$M39*EC$25)*EC$36,IF('Operating Assumptions'!$L39="Fixed Amount",('Operating Assumptions'!$M39*EC$25)/12,IF('Operating Assumptions'!$L39="$/GSF",(('Operating Assumptions'!$M39*EC$25)*'Operating Assumptions'!$D$11)/12,IF('Operating Assumptions'!$L39="$/NSF",(('Operating Assumptions'!$M39*EC$25)*'Operating Assumptions'!$D$12)/12))))))))</f>
        <v>0</v>
      </c>
      <c r="ED114" s="427">
        <f>-IF(ED$9&lt;'Operating Assumptions'!$D$53,0,IF(ED$6&gt;'Operating Assumptions'!$AA$8,0,IF('Operating Assumptions'!$L39="N/A",0,IF('Operating Assumptions'!$L39="$/Unit/Annual",(('Operating Assumptions'!$M39*ED$25)*ED$36)/12,IF('Operating Assumptions'!$L39="$/Unit/Month",('Operating Assumptions'!$M39*ED$25)*ED$36,IF('Operating Assumptions'!$L39="Fixed Amount",('Operating Assumptions'!$M39*ED$25)/12,IF('Operating Assumptions'!$L39="$/GSF",(('Operating Assumptions'!$M39*ED$25)*'Operating Assumptions'!$D$11)/12,IF('Operating Assumptions'!$L39="$/NSF",(('Operating Assumptions'!$M39*ED$25)*'Operating Assumptions'!$D$12)/12))))))))</f>
        <v>0</v>
      </c>
      <c r="EE114" s="427">
        <f>-IF(EE$9&lt;'Operating Assumptions'!$D$53,0,IF(EE$6&gt;'Operating Assumptions'!$AA$8,0,IF('Operating Assumptions'!$L39="N/A",0,IF('Operating Assumptions'!$L39="$/Unit/Annual",(('Operating Assumptions'!$M39*EE$25)*EE$36)/12,IF('Operating Assumptions'!$L39="$/Unit/Month",('Operating Assumptions'!$M39*EE$25)*EE$36,IF('Operating Assumptions'!$L39="Fixed Amount",('Operating Assumptions'!$M39*EE$25)/12,IF('Operating Assumptions'!$L39="$/GSF",(('Operating Assumptions'!$M39*EE$25)*'Operating Assumptions'!$D$11)/12,IF('Operating Assumptions'!$L39="$/NSF",(('Operating Assumptions'!$M39*EE$25)*'Operating Assumptions'!$D$12)/12))))))))</f>
        <v>0</v>
      </c>
      <c r="EF114" s="427">
        <f>-IF(EF$9&lt;'Operating Assumptions'!$D$53,0,IF(EF$6&gt;'Operating Assumptions'!$AA$8,0,IF('Operating Assumptions'!$L39="N/A",0,IF('Operating Assumptions'!$L39="$/Unit/Annual",(('Operating Assumptions'!$M39*EF$25)*EF$36)/12,IF('Operating Assumptions'!$L39="$/Unit/Month",('Operating Assumptions'!$M39*EF$25)*EF$36,IF('Operating Assumptions'!$L39="Fixed Amount",('Operating Assumptions'!$M39*EF$25)/12,IF('Operating Assumptions'!$L39="$/GSF",(('Operating Assumptions'!$M39*EF$25)*'Operating Assumptions'!$D$11)/12,IF('Operating Assumptions'!$L39="$/NSF",(('Operating Assumptions'!$M39*EF$25)*'Operating Assumptions'!$D$12)/12))))))))</f>
        <v>0</v>
      </c>
      <c r="EG114" s="427">
        <f>-IF(EG$9&lt;'Operating Assumptions'!$D$53,0,IF(EG$6&gt;'Operating Assumptions'!$AA$8,0,IF('Operating Assumptions'!$L39="N/A",0,IF('Operating Assumptions'!$L39="$/Unit/Annual",(('Operating Assumptions'!$M39*EG$25)*EG$36)/12,IF('Operating Assumptions'!$L39="$/Unit/Month",('Operating Assumptions'!$M39*EG$25)*EG$36,IF('Operating Assumptions'!$L39="Fixed Amount",('Operating Assumptions'!$M39*EG$25)/12,IF('Operating Assumptions'!$L39="$/GSF",(('Operating Assumptions'!$M39*EG$25)*'Operating Assumptions'!$D$11)/12,IF('Operating Assumptions'!$L39="$/NSF",(('Operating Assumptions'!$M39*EG$25)*'Operating Assumptions'!$D$12)/12))))))))</f>
        <v>0</v>
      </c>
      <c r="EH114" s="427">
        <f>-IF(EH$9&lt;'Operating Assumptions'!$D$53,0,IF(EH$6&gt;'Operating Assumptions'!$AA$8,0,IF('Operating Assumptions'!$L39="N/A",0,IF('Operating Assumptions'!$L39="$/Unit/Annual",(('Operating Assumptions'!$M39*EH$25)*EH$36)/12,IF('Operating Assumptions'!$L39="$/Unit/Month",('Operating Assumptions'!$M39*EH$25)*EH$36,IF('Operating Assumptions'!$L39="Fixed Amount",('Operating Assumptions'!$M39*EH$25)/12,IF('Operating Assumptions'!$L39="$/GSF",(('Operating Assumptions'!$M39*EH$25)*'Operating Assumptions'!$D$11)/12,IF('Operating Assumptions'!$L39="$/NSF",(('Operating Assumptions'!$M39*EH$25)*'Operating Assumptions'!$D$12)/12))))))))</f>
        <v>0</v>
      </c>
      <c r="EI114" s="427">
        <f>-IF(EI$9&lt;'Operating Assumptions'!$D$53,0,IF(EI$6&gt;'Operating Assumptions'!$AA$8,0,IF('Operating Assumptions'!$L39="N/A",0,IF('Operating Assumptions'!$L39="$/Unit/Annual",(('Operating Assumptions'!$M39*EI$25)*EI$36)/12,IF('Operating Assumptions'!$L39="$/Unit/Month",('Operating Assumptions'!$M39*EI$25)*EI$36,IF('Operating Assumptions'!$L39="Fixed Amount",('Operating Assumptions'!$M39*EI$25)/12,IF('Operating Assumptions'!$L39="$/GSF",(('Operating Assumptions'!$M39*EI$25)*'Operating Assumptions'!$D$11)/12,IF('Operating Assumptions'!$L39="$/NSF",(('Operating Assumptions'!$M39*EI$25)*'Operating Assumptions'!$D$12)/12))))))))</f>
        <v>0</v>
      </c>
      <c r="EJ114" s="427">
        <f>-IF(EJ$9&lt;'Operating Assumptions'!$D$53,0,IF(EJ$6&gt;'Operating Assumptions'!$AA$8,0,IF('Operating Assumptions'!$L39="N/A",0,IF('Operating Assumptions'!$L39="$/Unit/Annual",(('Operating Assumptions'!$M39*EJ$25)*EJ$36)/12,IF('Operating Assumptions'!$L39="$/Unit/Month",('Operating Assumptions'!$M39*EJ$25)*EJ$36,IF('Operating Assumptions'!$L39="Fixed Amount",('Operating Assumptions'!$M39*EJ$25)/12,IF('Operating Assumptions'!$L39="$/GSF",(('Operating Assumptions'!$M39*EJ$25)*'Operating Assumptions'!$D$11)/12,IF('Operating Assumptions'!$L39="$/NSF",(('Operating Assumptions'!$M39*EJ$25)*'Operating Assumptions'!$D$12)/12))))))))</f>
        <v>0</v>
      </c>
      <c r="EK114" s="427">
        <f>-IF(EK$9&lt;'Operating Assumptions'!$D$53,0,IF(EK$6&gt;'Operating Assumptions'!$AA$8,0,IF('Operating Assumptions'!$L39="N/A",0,IF('Operating Assumptions'!$L39="$/Unit/Annual",(('Operating Assumptions'!$M39*EK$25)*EK$36)/12,IF('Operating Assumptions'!$L39="$/Unit/Month",('Operating Assumptions'!$M39*EK$25)*EK$36,IF('Operating Assumptions'!$L39="Fixed Amount",('Operating Assumptions'!$M39*EK$25)/12,IF('Operating Assumptions'!$L39="$/GSF",(('Operating Assumptions'!$M39*EK$25)*'Operating Assumptions'!$D$11)/12,IF('Operating Assumptions'!$L39="$/NSF",(('Operating Assumptions'!$M39*EK$25)*'Operating Assumptions'!$D$12)/12))))))))</f>
        <v>0</v>
      </c>
      <c r="EL114" s="427">
        <f>-IF(EL$9&lt;'Operating Assumptions'!$D$53,0,IF(EL$6&gt;'Operating Assumptions'!$AA$8,0,IF('Operating Assumptions'!$L39="N/A",0,IF('Operating Assumptions'!$L39="$/Unit/Annual",(('Operating Assumptions'!$M39*EL$25)*EL$36)/12,IF('Operating Assumptions'!$L39="$/Unit/Month",('Operating Assumptions'!$M39*EL$25)*EL$36,IF('Operating Assumptions'!$L39="Fixed Amount",('Operating Assumptions'!$M39*EL$25)/12,IF('Operating Assumptions'!$L39="$/GSF",(('Operating Assumptions'!$M39*EL$25)*'Operating Assumptions'!$D$11)/12,IF('Operating Assumptions'!$L39="$/NSF",(('Operating Assumptions'!$M39*EL$25)*'Operating Assumptions'!$D$12)/12))))))))</f>
        <v>0</v>
      </c>
      <c r="EM114" s="427">
        <f>-IF(EM$9&lt;'Operating Assumptions'!$D$53,0,IF(EM$6&gt;'Operating Assumptions'!$AA$8,0,IF('Operating Assumptions'!$L39="N/A",0,IF('Operating Assumptions'!$L39="$/Unit/Annual",(('Operating Assumptions'!$M39*EM$25)*EM$36)/12,IF('Operating Assumptions'!$L39="$/Unit/Month",('Operating Assumptions'!$M39*EM$25)*EM$36,IF('Operating Assumptions'!$L39="Fixed Amount",('Operating Assumptions'!$M39*EM$25)/12,IF('Operating Assumptions'!$L39="$/GSF",(('Operating Assumptions'!$M39*EM$25)*'Operating Assumptions'!$D$11)/12,IF('Operating Assumptions'!$L39="$/NSF",(('Operating Assumptions'!$M39*EM$25)*'Operating Assumptions'!$D$12)/12))))))))</f>
        <v>0</v>
      </c>
      <c r="EN114" s="427">
        <f>-IF(EN$9&lt;'Operating Assumptions'!$D$53,0,IF(EN$6&gt;'Operating Assumptions'!$AA$8,0,IF('Operating Assumptions'!$L39="N/A",0,IF('Operating Assumptions'!$L39="$/Unit/Annual",(('Operating Assumptions'!$M39*EN$25)*EN$36)/12,IF('Operating Assumptions'!$L39="$/Unit/Month",('Operating Assumptions'!$M39*EN$25)*EN$36,IF('Operating Assumptions'!$L39="Fixed Amount",('Operating Assumptions'!$M39*EN$25)/12,IF('Operating Assumptions'!$L39="$/GSF",(('Operating Assumptions'!$M39*EN$25)*'Operating Assumptions'!$D$11)/12,IF('Operating Assumptions'!$L39="$/NSF",(('Operating Assumptions'!$M39*EN$25)*'Operating Assumptions'!$D$12)/12))))))))</f>
        <v>0</v>
      </c>
      <c r="EO114" s="427">
        <f>-IF(EO$9&lt;'Operating Assumptions'!$D$53,0,IF(EO$6&gt;'Operating Assumptions'!$AA$8,0,IF('Operating Assumptions'!$L39="N/A",0,IF('Operating Assumptions'!$L39="$/Unit/Annual",(('Operating Assumptions'!$M39*EO$25)*EO$36)/12,IF('Operating Assumptions'!$L39="$/Unit/Month",('Operating Assumptions'!$M39*EO$25)*EO$36,IF('Operating Assumptions'!$L39="Fixed Amount",('Operating Assumptions'!$M39*EO$25)/12,IF('Operating Assumptions'!$L39="$/GSF",(('Operating Assumptions'!$M39*EO$25)*'Operating Assumptions'!$D$11)/12,IF('Operating Assumptions'!$L39="$/NSF",(('Operating Assumptions'!$M39*EO$25)*'Operating Assumptions'!$D$12)/12))))))))</f>
        <v>0</v>
      </c>
      <c r="EP114" s="427">
        <f>-IF(EP$9&lt;'Operating Assumptions'!$D$53,0,IF(EP$6&gt;'Operating Assumptions'!$AA$8,0,IF('Operating Assumptions'!$L39="N/A",0,IF('Operating Assumptions'!$L39="$/Unit/Annual",(('Operating Assumptions'!$M39*EP$25)*EP$36)/12,IF('Operating Assumptions'!$L39="$/Unit/Month",('Operating Assumptions'!$M39*EP$25)*EP$36,IF('Operating Assumptions'!$L39="Fixed Amount",('Operating Assumptions'!$M39*EP$25)/12,IF('Operating Assumptions'!$L39="$/GSF",(('Operating Assumptions'!$M39*EP$25)*'Operating Assumptions'!$D$11)/12,IF('Operating Assumptions'!$L39="$/NSF",(('Operating Assumptions'!$M39*EP$25)*'Operating Assumptions'!$D$12)/12))))))))</f>
        <v>0</v>
      </c>
      <c r="EQ114" s="427">
        <f>-IF(EQ$9&lt;'Operating Assumptions'!$D$53,0,IF(EQ$6&gt;'Operating Assumptions'!$AA$8,0,IF('Operating Assumptions'!$L39="N/A",0,IF('Operating Assumptions'!$L39="$/Unit/Annual",(('Operating Assumptions'!$M39*EQ$25)*EQ$36)/12,IF('Operating Assumptions'!$L39="$/Unit/Month",('Operating Assumptions'!$M39*EQ$25)*EQ$36,IF('Operating Assumptions'!$L39="Fixed Amount",('Operating Assumptions'!$M39*EQ$25)/12,IF('Operating Assumptions'!$L39="$/GSF",(('Operating Assumptions'!$M39*EQ$25)*'Operating Assumptions'!$D$11)/12,IF('Operating Assumptions'!$L39="$/NSF",(('Operating Assumptions'!$M39*EQ$25)*'Operating Assumptions'!$D$12)/12))))))))</f>
        <v>0</v>
      </c>
      <c r="ER114" s="427">
        <f>-IF(ER$9&lt;'Operating Assumptions'!$D$53,0,IF(ER$6&gt;'Operating Assumptions'!$AA$8,0,IF('Operating Assumptions'!$L39="N/A",0,IF('Operating Assumptions'!$L39="$/Unit/Annual",(('Operating Assumptions'!$M39*ER$25)*ER$36)/12,IF('Operating Assumptions'!$L39="$/Unit/Month",('Operating Assumptions'!$M39*ER$25)*ER$36,IF('Operating Assumptions'!$L39="Fixed Amount",('Operating Assumptions'!$M39*ER$25)/12,IF('Operating Assumptions'!$L39="$/GSF",(('Operating Assumptions'!$M39*ER$25)*'Operating Assumptions'!$D$11)/12,IF('Operating Assumptions'!$L39="$/NSF",(('Operating Assumptions'!$M39*ER$25)*'Operating Assumptions'!$D$12)/12))))))))</f>
        <v>0</v>
      </c>
      <c r="ES114" s="427">
        <f>-IF(ES$9&lt;'Operating Assumptions'!$D$53,0,IF(ES$6&gt;'Operating Assumptions'!$AA$8,0,IF('Operating Assumptions'!$L39="N/A",0,IF('Operating Assumptions'!$L39="$/Unit/Annual",(('Operating Assumptions'!$M39*ES$25)*ES$36)/12,IF('Operating Assumptions'!$L39="$/Unit/Month",('Operating Assumptions'!$M39*ES$25)*ES$36,IF('Operating Assumptions'!$L39="Fixed Amount",('Operating Assumptions'!$M39*ES$25)/12,IF('Operating Assumptions'!$L39="$/GSF",(('Operating Assumptions'!$M39*ES$25)*'Operating Assumptions'!$D$11)/12,IF('Operating Assumptions'!$L39="$/NSF",(('Operating Assumptions'!$M39*ES$25)*'Operating Assumptions'!$D$12)/12))))))))</f>
        <v>0</v>
      </c>
      <c r="ET114" s="427">
        <f>-IF(ET$9&lt;'Operating Assumptions'!$D$53,0,IF(ET$6&gt;'Operating Assumptions'!$AA$8,0,IF('Operating Assumptions'!$L39="N/A",0,IF('Operating Assumptions'!$L39="$/Unit/Annual",(('Operating Assumptions'!$M39*ET$25)*ET$36)/12,IF('Operating Assumptions'!$L39="$/Unit/Month",('Operating Assumptions'!$M39*ET$25)*ET$36,IF('Operating Assumptions'!$L39="Fixed Amount",('Operating Assumptions'!$M39*ET$25)/12,IF('Operating Assumptions'!$L39="$/GSF",(('Operating Assumptions'!$M39*ET$25)*'Operating Assumptions'!$D$11)/12,IF('Operating Assumptions'!$L39="$/NSF",(('Operating Assumptions'!$M39*ET$25)*'Operating Assumptions'!$D$12)/12))))))))</f>
        <v>0</v>
      </c>
      <c r="EU114" s="427">
        <f>-IF(EU$9&lt;'Operating Assumptions'!$D$53,0,IF(EU$6&gt;'Operating Assumptions'!$AA$8,0,IF('Operating Assumptions'!$L39="N/A",0,IF('Operating Assumptions'!$L39="$/Unit/Annual",(('Operating Assumptions'!$M39*EU$25)*EU$36)/12,IF('Operating Assumptions'!$L39="$/Unit/Month",('Operating Assumptions'!$M39*EU$25)*EU$36,IF('Operating Assumptions'!$L39="Fixed Amount",('Operating Assumptions'!$M39*EU$25)/12,IF('Operating Assumptions'!$L39="$/GSF",(('Operating Assumptions'!$M39*EU$25)*'Operating Assumptions'!$D$11)/12,IF('Operating Assumptions'!$L39="$/NSF",(('Operating Assumptions'!$M39*EU$25)*'Operating Assumptions'!$D$12)/12))))))))</f>
        <v>0</v>
      </c>
      <c r="EV114" s="427">
        <f>-IF(EV$9&lt;'Operating Assumptions'!$D$53,0,IF(EV$6&gt;'Operating Assumptions'!$AA$8,0,IF('Operating Assumptions'!$L39="N/A",0,IF('Operating Assumptions'!$L39="$/Unit/Annual",(('Operating Assumptions'!$M39*EV$25)*EV$36)/12,IF('Operating Assumptions'!$L39="$/Unit/Month",('Operating Assumptions'!$M39*EV$25)*EV$36,IF('Operating Assumptions'!$L39="Fixed Amount",('Operating Assumptions'!$M39*EV$25)/12,IF('Operating Assumptions'!$L39="$/GSF",(('Operating Assumptions'!$M39*EV$25)*'Operating Assumptions'!$D$11)/12,IF('Operating Assumptions'!$L39="$/NSF",(('Operating Assumptions'!$M39*EV$25)*'Operating Assumptions'!$D$12)/12))))))))</f>
        <v>0</v>
      </c>
      <c r="EW114" s="427">
        <f>-IF(EW$9&lt;'Operating Assumptions'!$D$53,0,IF(EW$6&gt;'Operating Assumptions'!$AA$8,0,IF('Operating Assumptions'!$L39="N/A",0,IF('Operating Assumptions'!$L39="$/Unit/Annual",(('Operating Assumptions'!$M39*EW$25)*EW$36)/12,IF('Operating Assumptions'!$L39="$/Unit/Month",('Operating Assumptions'!$M39*EW$25)*EW$36,IF('Operating Assumptions'!$L39="Fixed Amount",('Operating Assumptions'!$M39*EW$25)/12,IF('Operating Assumptions'!$L39="$/GSF",(('Operating Assumptions'!$M39*EW$25)*'Operating Assumptions'!$D$11)/12,IF('Operating Assumptions'!$L39="$/NSF",(('Operating Assumptions'!$M39*EW$25)*'Operating Assumptions'!$D$12)/12))))))))</f>
        <v>0</v>
      </c>
      <c r="EX114" s="427">
        <f>-IF(EX$9&lt;'Operating Assumptions'!$D$53,0,IF(EX$6&gt;'Operating Assumptions'!$AA$8,0,IF('Operating Assumptions'!$L39="N/A",0,IF('Operating Assumptions'!$L39="$/Unit/Annual",(('Operating Assumptions'!$M39*EX$25)*EX$36)/12,IF('Operating Assumptions'!$L39="$/Unit/Month",('Operating Assumptions'!$M39*EX$25)*EX$36,IF('Operating Assumptions'!$L39="Fixed Amount",('Operating Assumptions'!$M39*EX$25)/12,IF('Operating Assumptions'!$L39="$/GSF",(('Operating Assumptions'!$M39*EX$25)*'Operating Assumptions'!$D$11)/12,IF('Operating Assumptions'!$L39="$/NSF",(('Operating Assumptions'!$M39*EX$25)*'Operating Assumptions'!$D$12)/12))))))))</f>
        <v>0</v>
      </c>
      <c r="EY114" s="427">
        <f>-IF(EY$9&lt;'Operating Assumptions'!$D$53,0,IF(EY$6&gt;'Operating Assumptions'!$AA$8,0,IF('Operating Assumptions'!$L39="N/A",0,IF('Operating Assumptions'!$L39="$/Unit/Annual",(('Operating Assumptions'!$M39*EY$25)*EY$36)/12,IF('Operating Assumptions'!$L39="$/Unit/Month",('Operating Assumptions'!$M39*EY$25)*EY$36,IF('Operating Assumptions'!$L39="Fixed Amount",('Operating Assumptions'!$M39*EY$25)/12,IF('Operating Assumptions'!$L39="$/GSF",(('Operating Assumptions'!$M39*EY$25)*'Operating Assumptions'!$D$11)/12,IF('Operating Assumptions'!$L39="$/NSF",(('Operating Assumptions'!$M39*EY$25)*'Operating Assumptions'!$D$12)/12))))))))</f>
        <v>0</v>
      </c>
      <c r="EZ114" s="427">
        <f>-IF(EZ$9&lt;'Operating Assumptions'!$D$53,0,IF(EZ$6&gt;'Operating Assumptions'!$AA$8,0,IF('Operating Assumptions'!$L39="N/A",0,IF('Operating Assumptions'!$L39="$/Unit/Annual",(('Operating Assumptions'!$M39*EZ$25)*EZ$36)/12,IF('Operating Assumptions'!$L39="$/Unit/Month",('Operating Assumptions'!$M39*EZ$25)*EZ$36,IF('Operating Assumptions'!$L39="Fixed Amount",('Operating Assumptions'!$M39*EZ$25)/12,IF('Operating Assumptions'!$L39="$/GSF",(('Operating Assumptions'!$M39*EZ$25)*'Operating Assumptions'!$D$11)/12,IF('Operating Assumptions'!$L39="$/NSF",(('Operating Assumptions'!$M39*EZ$25)*'Operating Assumptions'!$D$12)/12))))))))</f>
        <v>0</v>
      </c>
      <c r="FA114" s="427">
        <f>-IF(FA$9&lt;'Operating Assumptions'!$D$53,0,IF(FA$6&gt;'Operating Assumptions'!$AA$8,0,IF('Operating Assumptions'!$L39="N/A",0,IF('Operating Assumptions'!$L39="$/Unit/Annual",(('Operating Assumptions'!$M39*FA$25)*FA$36)/12,IF('Operating Assumptions'!$L39="$/Unit/Month",('Operating Assumptions'!$M39*FA$25)*FA$36,IF('Operating Assumptions'!$L39="Fixed Amount",('Operating Assumptions'!$M39*FA$25)/12,IF('Operating Assumptions'!$L39="$/GSF",(('Operating Assumptions'!$M39*FA$25)*'Operating Assumptions'!$D$11)/12,IF('Operating Assumptions'!$L39="$/NSF",(('Operating Assumptions'!$M39*FA$25)*'Operating Assumptions'!$D$12)/12))))))))</f>
        <v>0</v>
      </c>
      <c r="FB114" s="427">
        <f>-IF(FB$9&lt;'Operating Assumptions'!$D$53,0,IF(FB$6&gt;'Operating Assumptions'!$AA$8,0,IF('Operating Assumptions'!$L39="N/A",0,IF('Operating Assumptions'!$L39="$/Unit/Annual",(('Operating Assumptions'!$M39*FB$25)*FB$36)/12,IF('Operating Assumptions'!$L39="$/Unit/Month",('Operating Assumptions'!$M39*FB$25)*FB$36,IF('Operating Assumptions'!$L39="Fixed Amount",('Operating Assumptions'!$M39*FB$25)/12,IF('Operating Assumptions'!$L39="$/GSF",(('Operating Assumptions'!$M39*FB$25)*'Operating Assumptions'!$D$11)/12,IF('Operating Assumptions'!$L39="$/NSF",(('Operating Assumptions'!$M39*FB$25)*'Operating Assumptions'!$D$12)/12))))))))</f>
        <v>0</v>
      </c>
      <c r="FC114" s="427">
        <f>-IF(FC$9&lt;'Operating Assumptions'!$D$53,0,IF(FC$6&gt;'Operating Assumptions'!$AA$8,0,IF('Operating Assumptions'!$L39="N/A",0,IF('Operating Assumptions'!$L39="$/Unit/Annual",(('Operating Assumptions'!$M39*FC$25)*FC$36)/12,IF('Operating Assumptions'!$L39="$/Unit/Month",('Operating Assumptions'!$M39*FC$25)*FC$36,IF('Operating Assumptions'!$L39="Fixed Amount",('Operating Assumptions'!$M39*FC$25)/12,IF('Operating Assumptions'!$L39="$/GSF",(('Operating Assumptions'!$M39*FC$25)*'Operating Assumptions'!$D$11)/12,IF('Operating Assumptions'!$L39="$/NSF",(('Operating Assumptions'!$M39*FC$25)*'Operating Assumptions'!$D$12)/12))))))))</f>
        <v>0</v>
      </c>
      <c r="FD114" s="427">
        <f>-IF(FD$9&lt;'Operating Assumptions'!$D$53,0,IF(FD$6&gt;'Operating Assumptions'!$AA$8,0,IF('Operating Assumptions'!$L39="N/A",0,IF('Operating Assumptions'!$L39="$/Unit/Annual",(('Operating Assumptions'!$M39*FD$25)*FD$36)/12,IF('Operating Assumptions'!$L39="$/Unit/Month",('Operating Assumptions'!$M39*FD$25)*FD$36,IF('Operating Assumptions'!$L39="Fixed Amount",('Operating Assumptions'!$M39*FD$25)/12,IF('Operating Assumptions'!$L39="$/GSF",(('Operating Assumptions'!$M39*FD$25)*'Operating Assumptions'!$D$11)/12,IF('Operating Assumptions'!$L39="$/NSF",(('Operating Assumptions'!$M39*FD$25)*'Operating Assumptions'!$D$12)/12))))))))</f>
        <v>0</v>
      </c>
      <c r="FE114" s="427">
        <f>-IF(FE$9&lt;'Operating Assumptions'!$D$53,0,IF(FE$6&gt;'Operating Assumptions'!$AA$8,0,IF('Operating Assumptions'!$L39="N/A",0,IF('Operating Assumptions'!$L39="$/Unit/Annual",(('Operating Assumptions'!$M39*FE$25)*FE$36)/12,IF('Operating Assumptions'!$L39="$/Unit/Month",('Operating Assumptions'!$M39*FE$25)*FE$36,IF('Operating Assumptions'!$L39="Fixed Amount",('Operating Assumptions'!$M39*FE$25)/12,IF('Operating Assumptions'!$L39="$/GSF",(('Operating Assumptions'!$M39*FE$25)*'Operating Assumptions'!$D$11)/12,IF('Operating Assumptions'!$L39="$/NSF",(('Operating Assumptions'!$M39*FE$25)*'Operating Assumptions'!$D$12)/12))))))))</f>
        <v>0</v>
      </c>
      <c r="FF114" s="427">
        <f>-IF(FF$9&lt;'Operating Assumptions'!$D$53,0,IF(FF$6&gt;'Operating Assumptions'!$AA$8,0,IF('Operating Assumptions'!$L39="N/A",0,IF('Operating Assumptions'!$L39="$/Unit/Annual",(('Operating Assumptions'!$M39*FF$25)*FF$36)/12,IF('Operating Assumptions'!$L39="$/Unit/Month",('Operating Assumptions'!$M39*FF$25)*FF$36,IF('Operating Assumptions'!$L39="Fixed Amount",('Operating Assumptions'!$M39*FF$25)/12,IF('Operating Assumptions'!$L39="$/GSF",(('Operating Assumptions'!$M39*FF$25)*'Operating Assumptions'!$D$11)/12,IF('Operating Assumptions'!$L39="$/NSF",(('Operating Assumptions'!$M39*FF$25)*'Operating Assumptions'!$D$12)/12))))))))</f>
        <v>0</v>
      </c>
      <c r="FG114" s="427">
        <f>-IF(FG$9&lt;'Operating Assumptions'!$D$53,0,IF(FG$6&gt;'Operating Assumptions'!$AA$8,0,IF('Operating Assumptions'!$L39="N/A",0,IF('Operating Assumptions'!$L39="$/Unit/Annual",(('Operating Assumptions'!$M39*FG$25)*FG$36)/12,IF('Operating Assumptions'!$L39="$/Unit/Month",('Operating Assumptions'!$M39*FG$25)*FG$36,IF('Operating Assumptions'!$L39="Fixed Amount",('Operating Assumptions'!$M39*FG$25)/12,IF('Operating Assumptions'!$L39="$/GSF",(('Operating Assumptions'!$M39*FG$25)*'Operating Assumptions'!$D$11)/12,IF('Operating Assumptions'!$L39="$/NSF",(('Operating Assumptions'!$M39*FG$25)*'Operating Assumptions'!$D$12)/12))))))))</f>
        <v>0</v>
      </c>
      <c r="FH114" s="427">
        <f>-IF(FH$9&lt;'Operating Assumptions'!$D$53,0,IF(FH$6&gt;'Operating Assumptions'!$AA$8,0,IF('Operating Assumptions'!$L39="N/A",0,IF('Operating Assumptions'!$L39="$/Unit/Annual",(('Operating Assumptions'!$M39*FH$25)*FH$36)/12,IF('Operating Assumptions'!$L39="$/Unit/Month",('Operating Assumptions'!$M39*FH$25)*FH$36,IF('Operating Assumptions'!$L39="Fixed Amount",('Operating Assumptions'!$M39*FH$25)/12,IF('Operating Assumptions'!$L39="$/GSF",(('Operating Assumptions'!$M39*FH$25)*'Operating Assumptions'!$D$11)/12,IF('Operating Assumptions'!$L39="$/NSF",(('Operating Assumptions'!$M39*FH$25)*'Operating Assumptions'!$D$12)/12))))))))</f>
        <v>0</v>
      </c>
      <c r="FI114" s="427">
        <f>-IF(FI$9&lt;'Operating Assumptions'!$D$53,0,IF(FI$6&gt;'Operating Assumptions'!$AA$8,0,IF('Operating Assumptions'!$L39="N/A",0,IF('Operating Assumptions'!$L39="$/Unit/Annual",(('Operating Assumptions'!$M39*FI$25)*FI$36)/12,IF('Operating Assumptions'!$L39="$/Unit/Month",('Operating Assumptions'!$M39*FI$25)*FI$36,IF('Operating Assumptions'!$L39="Fixed Amount",('Operating Assumptions'!$M39*FI$25)/12,IF('Operating Assumptions'!$L39="$/GSF",(('Operating Assumptions'!$M39*FI$25)*'Operating Assumptions'!$D$11)/12,IF('Operating Assumptions'!$L39="$/NSF",(('Operating Assumptions'!$M39*FI$25)*'Operating Assumptions'!$D$12)/12))))))))</f>
        <v>0</v>
      </c>
      <c r="FJ114" s="427">
        <f>-IF(FJ$9&lt;'Operating Assumptions'!$D$53,0,IF(FJ$6&gt;'Operating Assumptions'!$AA$8,0,IF('Operating Assumptions'!$L39="N/A",0,IF('Operating Assumptions'!$L39="$/Unit/Annual",(('Operating Assumptions'!$M39*FJ$25)*FJ$36)/12,IF('Operating Assumptions'!$L39="$/Unit/Month",('Operating Assumptions'!$M39*FJ$25)*FJ$36,IF('Operating Assumptions'!$L39="Fixed Amount",('Operating Assumptions'!$M39*FJ$25)/12,IF('Operating Assumptions'!$L39="$/GSF",(('Operating Assumptions'!$M39*FJ$25)*'Operating Assumptions'!$D$11)/12,IF('Operating Assumptions'!$L39="$/NSF",(('Operating Assumptions'!$M39*FJ$25)*'Operating Assumptions'!$D$12)/12))))))))</f>
        <v>0</v>
      </c>
      <c r="FK114" s="427">
        <f>-IF(FK$9&lt;'Operating Assumptions'!$D$53,0,IF(FK$6&gt;'Operating Assumptions'!$AA$8,0,IF('Operating Assumptions'!$L39="N/A",0,IF('Operating Assumptions'!$L39="$/Unit/Annual",(('Operating Assumptions'!$M39*FK$25)*FK$36)/12,IF('Operating Assumptions'!$L39="$/Unit/Month",('Operating Assumptions'!$M39*FK$25)*FK$36,IF('Operating Assumptions'!$L39="Fixed Amount",('Operating Assumptions'!$M39*FK$25)/12,IF('Operating Assumptions'!$L39="$/GSF",(('Operating Assumptions'!$M39*FK$25)*'Operating Assumptions'!$D$11)/12,IF('Operating Assumptions'!$L39="$/NSF",(('Operating Assumptions'!$M39*FK$25)*'Operating Assumptions'!$D$12)/12))))))))</f>
        <v>0</v>
      </c>
      <c r="FL114" s="427">
        <f>-IF(FL$9&lt;'Operating Assumptions'!$D$53,0,IF(FL$6&gt;'Operating Assumptions'!$AA$8,0,IF('Operating Assumptions'!$L39="N/A",0,IF('Operating Assumptions'!$L39="$/Unit/Annual",(('Operating Assumptions'!$M39*FL$25)*FL$36)/12,IF('Operating Assumptions'!$L39="$/Unit/Month",('Operating Assumptions'!$M39*FL$25)*FL$36,IF('Operating Assumptions'!$L39="Fixed Amount",('Operating Assumptions'!$M39*FL$25)/12,IF('Operating Assumptions'!$L39="$/GSF",(('Operating Assumptions'!$M39*FL$25)*'Operating Assumptions'!$D$11)/12,IF('Operating Assumptions'!$L39="$/NSF",(('Operating Assumptions'!$M39*FL$25)*'Operating Assumptions'!$D$12)/12))))))))</f>
        <v>0</v>
      </c>
      <c r="FM114" s="427">
        <f>-IF(FM$9&lt;'Operating Assumptions'!$D$53,0,IF(FM$6&gt;'Operating Assumptions'!$AA$8,0,IF('Operating Assumptions'!$L39="N/A",0,IF('Operating Assumptions'!$L39="$/Unit/Annual",(('Operating Assumptions'!$M39*FM$25)*FM$36)/12,IF('Operating Assumptions'!$L39="$/Unit/Month",('Operating Assumptions'!$M39*FM$25)*FM$36,IF('Operating Assumptions'!$L39="Fixed Amount",('Operating Assumptions'!$M39*FM$25)/12,IF('Operating Assumptions'!$L39="$/GSF",(('Operating Assumptions'!$M39*FM$25)*'Operating Assumptions'!$D$11)/12,IF('Operating Assumptions'!$L39="$/NSF",(('Operating Assumptions'!$M39*FM$25)*'Operating Assumptions'!$D$12)/12))))))))</f>
        <v>0</v>
      </c>
      <c r="FN114" s="427">
        <f>-IF(FN$9&lt;'Operating Assumptions'!$D$53,0,IF(FN$6&gt;'Operating Assumptions'!$AA$8,0,IF('Operating Assumptions'!$L39="N/A",0,IF('Operating Assumptions'!$L39="$/Unit/Annual",(('Operating Assumptions'!$M39*FN$25)*FN$36)/12,IF('Operating Assumptions'!$L39="$/Unit/Month",('Operating Assumptions'!$M39*FN$25)*FN$36,IF('Operating Assumptions'!$L39="Fixed Amount",('Operating Assumptions'!$M39*FN$25)/12,IF('Operating Assumptions'!$L39="$/GSF",(('Operating Assumptions'!$M39*FN$25)*'Operating Assumptions'!$D$11)/12,IF('Operating Assumptions'!$L39="$/NSF",(('Operating Assumptions'!$M39*FN$25)*'Operating Assumptions'!$D$12)/12))))))))</f>
        <v>0</v>
      </c>
      <c r="FO114" s="427">
        <f>-IF(FO$9&lt;'Operating Assumptions'!$D$53,0,IF(FO$6&gt;'Operating Assumptions'!$AA$8,0,IF('Operating Assumptions'!$L39="N/A",0,IF('Operating Assumptions'!$L39="$/Unit/Annual",(('Operating Assumptions'!$M39*FO$25)*FO$36)/12,IF('Operating Assumptions'!$L39="$/Unit/Month",('Operating Assumptions'!$M39*FO$25)*FO$36,IF('Operating Assumptions'!$L39="Fixed Amount",('Operating Assumptions'!$M39*FO$25)/12,IF('Operating Assumptions'!$L39="$/GSF",(('Operating Assumptions'!$M39*FO$25)*'Operating Assumptions'!$D$11)/12,IF('Operating Assumptions'!$L39="$/NSF",(('Operating Assumptions'!$M39*FO$25)*'Operating Assumptions'!$D$12)/12))))))))</f>
        <v>0</v>
      </c>
      <c r="FP114" s="427">
        <f>-IF(FP$9&lt;'Operating Assumptions'!$D$53,0,IF(FP$6&gt;'Operating Assumptions'!$AA$8,0,IF('Operating Assumptions'!$L39="N/A",0,IF('Operating Assumptions'!$L39="$/Unit/Annual",(('Operating Assumptions'!$M39*FP$25)*FP$36)/12,IF('Operating Assumptions'!$L39="$/Unit/Month",('Operating Assumptions'!$M39*FP$25)*FP$36,IF('Operating Assumptions'!$L39="Fixed Amount",('Operating Assumptions'!$M39*FP$25)/12,IF('Operating Assumptions'!$L39="$/GSF",(('Operating Assumptions'!$M39*FP$25)*'Operating Assumptions'!$D$11)/12,IF('Operating Assumptions'!$L39="$/NSF",(('Operating Assumptions'!$M39*FP$25)*'Operating Assumptions'!$D$12)/12))))))))</f>
        <v>0</v>
      </c>
      <c r="FQ114" s="427">
        <f>-IF(FQ$9&lt;'Operating Assumptions'!$D$53,0,IF(FQ$6&gt;'Operating Assumptions'!$AA$8,0,IF('Operating Assumptions'!$L39="N/A",0,IF('Operating Assumptions'!$L39="$/Unit/Annual",(('Operating Assumptions'!$M39*FQ$25)*FQ$36)/12,IF('Operating Assumptions'!$L39="$/Unit/Month",('Operating Assumptions'!$M39*FQ$25)*FQ$36,IF('Operating Assumptions'!$L39="Fixed Amount",('Operating Assumptions'!$M39*FQ$25)/12,IF('Operating Assumptions'!$L39="$/GSF",(('Operating Assumptions'!$M39*FQ$25)*'Operating Assumptions'!$D$11)/12,IF('Operating Assumptions'!$L39="$/NSF",(('Operating Assumptions'!$M39*FQ$25)*'Operating Assumptions'!$D$12)/12))))))))</f>
        <v>0</v>
      </c>
      <c r="FR114" s="427">
        <f>-IF(FR$9&lt;'Operating Assumptions'!$D$53,0,IF(FR$6&gt;'Operating Assumptions'!$AA$8,0,IF('Operating Assumptions'!$L39="N/A",0,IF('Operating Assumptions'!$L39="$/Unit/Annual",(('Operating Assumptions'!$M39*FR$25)*FR$36)/12,IF('Operating Assumptions'!$L39="$/Unit/Month",('Operating Assumptions'!$M39*FR$25)*FR$36,IF('Operating Assumptions'!$L39="Fixed Amount",('Operating Assumptions'!$M39*FR$25)/12,IF('Operating Assumptions'!$L39="$/GSF",(('Operating Assumptions'!$M39*FR$25)*'Operating Assumptions'!$D$11)/12,IF('Operating Assumptions'!$L39="$/NSF",(('Operating Assumptions'!$M39*FR$25)*'Operating Assumptions'!$D$12)/12))))))))</f>
        <v>0</v>
      </c>
      <c r="FS114" s="427">
        <f>-IF(FS$9&lt;'Operating Assumptions'!$D$53,0,IF(FS$6&gt;'Operating Assumptions'!$AA$8,0,IF('Operating Assumptions'!$L39="N/A",0,IF('Operating Assumptions'!$L39="$/Unit/Annual",(('Operating Assumptions'!$M39*FS$25)*FS$36)/12,IF('Operating Assumptions'!$L39="$/Unit/Month",('Operating Assumptions'!$M39*FS$25)*FS$36,IF('Operating Assumptions'!$L39="Fixed Amount",('Operating Assumptions'!$M39*FS$25)/12,IF('Operating Assumptions'!$L39="$/GSF",(('Operating Assumptions'!$M39*FS$25)*'Operating Assumptions'!$D$11)/12,IF('Operating Assumptions'!$L39="$/NSF",(('Operating Assumptions'!$M39*FS$25)*'Operating Assumptions'!$D$12)/12))))))))</f>
        <v>0</v>
      </c>
      <c r="FT114" s="427">
        <f>-IF(FT$9&lt;'Operating Assumptions'!$D$53,0,IF(FT$6&gt;'Operating Assumptions'!$AA$8,0,IF('Operating Assumptions'!$L39="N/A",0,IF('Operating Assumptions'!$L39="$/Unit/Annual",(('Operating Assumptions'!$M39*FT$25)*FT$36)/12,IF('Operating Assumptions'!$L39="$/Unit/Month",('Operating Assumptions'!$M39*FT$25)*FT$36,IF('Operating Assumptions'!$L39="Fixed Amount",('Operating Assumptions'!$M39*FT$25)/12,IF('Operating Assumptions'!$L39="$/GSF",(('Operating Assumptions'!$M39*FT$25)*'Operating Assumptions'!$D$11)/12,IF('Operating Assumptions'!$L39="$/NSF",(('Operating Assumptions'!$M39*FT$25)*'Operating Assumptions'!$D$12)/12))))))))</f>
        <v>0</v>
      </c>
      <c r="FU114" s="43"/>
      <c r="FV114" s="34"/>
      <c r="FW114" s="34"/>
      <c r="FX114" s="34"/>
      <c r="FY114" s="34"/>
      <c r="FZ114" s="34"/>
    </row>
    <row r="115" spans="1:182" s="89" customFormat="1" ht="13.5" x14ac:dyDescent="0.25">
      <c r="A115" s="34"/>
      <c r="B115" s="433" t="s">
        <v>562</v>
      </c>
      <c r="C115" s="34"/>
      <c r="D115" s="34"/>
      <c r="E115" s="34"/>
      <c r="F115" s="429">
        <f t="shared" si="186"/>
        <v>0</v>
      </c>
      <c r="G115" s="34"/>
      <c r="H115" s="431">
        <f>SUM(H110:H114)</f>
        <v>0</v>
      </c>
      <c r="I115" s="431">
        <f t="shared" ref="I115:BT115" si="187">SUM(I110:I114)</f>
        <v>0</v>
      </c>
      <c r="J115" s="431">
        <f t="shared" si="187"/>
        <v>0</v>
      </c>
      <c r="K115" s="431">
        <f t="shared" si="187"/>
        <v>0</v>
      </c>
      <c r="L115" s="431">
        <f t="shared" si="187"/>
        <v>0</v>
      </c>
      <c r="M115" s="431">
        <f t="shared" si="187"/>
        <v>0</v>
      </c>
      <c r="N115" s="431">
        <f t="shared" si="187"/>
        <v>0</v>
      </c>
      <c r="O115" s="431">
        <f t="shared" si="187"/>
        <v>0</v>
      </c>
      <c r="P115" s="431">
        <f t="shared" si="187"/>
        <v>0</v>
      </c>
      <c r="Q115" s="431">
        <f t="shared" si="187"/>
        <v>0</v>
      </c>
      <c r="R115" s="431">
        <f t="shared" si="187"/>
        <v>0</v>
      </c>
      <c r="S115" s="431">
        <f t="shared" si="187"/>
        <v>0</v>
      </c>
      <c r="T115" s="431">
        <f t="shared" si="187"/>
        <v>0</v>
      </c>
      <c r="U115" s="431">
        <f t="shared" si="187"/>
        <v>0</v>
      </c>
      <c r="V115" s="431">
        <f t="shared" si="187"/>
        <v>0</v>
      </c>
      <c r="W115" s="431">
        <f t="shared" si="187"/>
        <v>0</v>
      </c>
      <c r="X115" s="431">
        <f t="shared" si="187"/>
        <v>0</v>
      </c>
      <c r="Y115" s="431">
        <f t="shared" si="187"/>
        <v>0</v>
      </c>
      <c r="Z115" s="431">
        <f t="shared" si="187"/>
        <v>0</v>
      </c>
      <c r="AA115" s="431">
        <f t="shared" si="187"/>
        <v>0</v>
      </c>
      <c r="AB115" s="431">
        <f t="shared" si="187"/>
        <v>0</v>
      </c>
      <c r="AC115" s="431">
        <f t="shared" si="187"/>
        <v>0</v>
      </c>
      <c r="AD115" s="431">
        <f t="shared" si="187"/>
        <v>0</v>
      </c>
      <c r="AE115" s="431">
        <f t="shared" si="187"/>
        <v>0</v>
      </c>
      <c r="AF115" s="431">
        <f t="shared" si="187"/>
        <v>0</v>
      </c>
      <c r="AG115" s="431">
        <f t="shared" si="187"/>
        <v>0</v>
      </c>
      <c r="AH115" s="431">
        <f t="shared" si="187"/>
        <v>0</v>
      </c>
      <c r="AI115" s="431">
        <f t="shared" si="187"/>
        <v>0</v>
      </c>
      <c r="AJ115" s="431">
        <f t="shared" si="187"/>
        <v>0</v>
      </c>
      <c r="AK115" s="431">
        <f t="shared" si="187"/>
        <v>0</v>
      </c>
      <c r="AL115" s="431">
        <f t="shared" si="187"/>
        <v>0</v>
      </c>
      <c r="AM115" s="431">
        <f t="shared" si="187"/>
        <v>0</v>
      </c>
      <c r="AN115" s="431">
        <f t="shared" si="187"/>
        <v>0</v>
      </c>
      <c r="AO115" s="431">
        <f t="shared" si="187"/>
        <v>0</v>
      </c>
      <c r="AP115" s="431">
        <f t="shared" si="187"/>
        <v>0</v>
      </c>
      <c r="AQ115" s="431">
        <f t="shared" si="187"/>
        <v>0</v>
      </c>
      <c r="AR115" s="431">
        <f t="shared" si="187"/>
        <v>0</v>
      </c>
      <c r="AS115" s="431">
        <f t="shared" si="187"/>
        <v>0</v>
      </c>
      <c r="AT115" s="431">
        <f t="shared" si="187"/>
        <v>0</v>
      </c>
      <c r="AU115" s="431">
        <f t="shared" si="187"/>
        <v>0</v>
      </c>
      <c r="AV115" s="431">
        <f t="shared" si="187"/>
        <v>0</v>
      </c>
      <c r="AW115" s="431">
        <f t="shared" si="187"/>
        <v>0</v>
      </c>
      <c r="AX115" s="431">
        <f t="shared" si="187"/>
        <v>0</v>
      </c>
      <c r="AY115" s="431">
        <f t="shared" si="187"/>
        <v>0</v>
      </c>
      <c r="AZ115" s="431">
        <f t="shared" si="187"/>
        <v>0</v>
      </c>
      <c r="BA115" s="431">
        <f t="shared" si="187"/>
        <v>0</v>
      </c>
      <c r="BB115" s="431">
        <f t="shared" si="187"/>
        <v>0</v>
      </c>
      <c r="BC115" s="431">
        <f t="shared" si="187"/>
        <v>0</v>
      </c>
      <c r="BD115" s="431">
        <f t="shared" si="187"/>
        <v>0</v>
      </c>
      <c r="BE115" s="431">
        <f t="shared" si="187"/>
        <v>0</v>
      </c>
      <c r="BF115" s="431">
        <f t="shared" si="187"/>
        <v>0</v>
      </c>
      <c r="BG115" s="431">
        <f t="shared" si="187"/>
        <v>0</v>
      </c>
      <c r="BH115" s="431">
        <f t="shared" si="187"/>
        <v>0</v>
      </c>
      <c r="BI115" s="431">
        <f t="shared" si="187"/>
        <v>0</v>
      </c>
      <c r="BJ115" s="431">
        <f t="shared" si="187"/>
        <v>0</v>
      </c>
      <c r="BK115" s="431">
        <f t="shared" si="187"/>
        <v>0</v>
      </c>
      <c r="BL115" s="431">
        <f t="shared" si="187"/>
        <v>0</v>
      </c>
      <c r="BM115" s="431">
        <f t="shared" si="187"/>
        <v>0</v>
      </c>
      <c r="BN115" s="431">
        <f t="shared" si="187"/>
        <v>0</v>
      </c>
      <c r="BO115" s="431">
        <f t="shared" si="187"/>
        <v>0</v>
      </c>
      <c r="BP115" s="431">
        <f t="shared" si="187"/>
        <v>0</v>
      </c>
      <c r="BQ115" s="431">
        <f t="shared" si="187"/>
        <v>0</v>
      </c>
      <c r="BR115" s="431">
        <f t="shared" si="187"/>
        <v>0</v>
      </c>
      <c r="BS115" s="431">
        <f t="shared" si="187"/>
        <v>0</v>
      </c>
      <c r="BT115" s="431">
        <f t="shared" si="187"/>
        <v>0</v>
      </c>
      <c r="BU115" s="431">
        <f t="shared" ref="BU115:EF115" si="188">SUM(BU110:BU114)</f>
        <v>0</v>
      </c>
      <c r="BV115" s="431">
        <f t="shared" si="188"/>
        <v>0</v>
      </c>
      <c r="BW115" s="431">
        <f t="shared" si="188"/>
        <v>0</v>
      </c>
      <c r="BX115" s="431">
        <f t="shared" si="188"/>
        <v>0</v>
      </c>
      <c r="BY115" s="431">
        <f t="shared" si="188"/>
        <v>0</v>
      </c>
      <c r="BZ115" s="431">
        <f t="shared" si="188"/>
        <v>0</v>
      </c>
      <c r="CA115" s="431">
        <f t="shared" si="188"/>
        <v>0</v>
      </c>
      <c r="CB115" s="431">
        <f t="shared" si="188"/>
        <v>0</v>
      </c>
      <c r="CC115" s="431">
        <f t="shared" si="188"/>
        <v>0</v>
      </c>
      <c r="CD115" s="431">
        <f t="shared" si="188"/>
        <v>0</v>
      </c>
      <c r="CE115" s="431">
        <f t="shared" si="188"/>
        <v>0</v>
      </c>
      <c r="CF115" s="431">
        <f t="shared" si="188"/>
        <v>0</v>
      </c>
      <c r="CG115" s="431">
        <f t="shared" si="188"/>
        <v>0</v>
      </c>
      <c r="CH115" s="431">
        <f t="shared" si="188"/>
        <v>0</v>
      </c>
      <c r="CI115" s="431">
        <f t="shared" si="188"/>
        <v>0</v>
      </c>
      <c r="CJ115" s="431">
        <f t="shared" si="188"/>
        <v>0</v>
      </c>
      <c r="CK115" s="431">
        <f t="shared" si="188"/>
        <v>0</v>
      </c>
      <c r="CL115" s="431">
        <f t="shared" si="188"/>
        <v>0</v>
      </c>
      <c r="CM115" s="431">
        <f t="shared" si="188"/>
        <v>0</v>
      </c>
      <c r="CN115" s="431">
        <f t="shared" si="188"/>
        <v>0</v>
      </c>
      <c r="CO115" s="431">
        <f t="shared" si="188"/>
        <v>0</v>
      </c>
      <c r="CP115" s="431">
        <f t="shared" si="188"/>
        <v>0</v>
      </c>
      <c r="CQ115" s="431">
        <f t="shared" si="188"/>
        <v>0</v>
      </c>
      <c r="CR115" s="431">
        <f t="shared" si="188"/>
        <v>0</v>
      </c>
      <c r="CS115" s="431">
        <f t="shared" si="188"/>
        <v>0</v>
      </c>
      <c r="CT115" s="431">
        <f t="shared" si="188"/>
        <v>0</v>
      </c>
      <c r="CU115" s="431">
        <f t="shared" si="188"/>
        <v>0</v>
      </c>
      <c r="CV115" s="431">
        <f t="shared" si="188"/>
        <v>0</v>
      </c>
      <c r="CW115" s="431">
        <f t="shared" si="188"/>
        <v>0</v>
      </c>
      <c r="CX115" s="431">
        <f t="shared" si="188"/>
        <v>0</v>
      </c>
      <c r="CY115" s="431">
        <f t="shared" si="188"/>
        <v>0</v>
      </c>
      <c r="CZ115" s="431">
        <f t="shared" si="188"/>
        <v>0</v>
      </c>
      <c r="DA115" s="431">
        <f t="shared" si="188"/>
        <v>0</v>
      </c>
      <c r="DB115" s="431">
        <f t="shared" si="188"/>
        <v>0</v>
      </c>
      <c r="DC115" s="431">
        <f t="shared" si="188"/>
        <v>0</v>
      </c>
      <c r="DD115" s="431">
        <f t="shared" si="188"/>
        <v>0</v>
      </c>
      <c r="DE115" s="431">
        <f t="shared" si="188"/>
        <v>0</v>
      </c>
      <c r="DF115" s="431">
        <f t="shared" si="188"/>
        <v>0</v>
      </c>
      <c r="DG115" s="431">
        <f t="shared" si="188"/>
        <v>0</v>
      </c>
      <c r="DH115" s="431">
        <f t="shared" si="188"/>
        <v>0</v>
      </c>
      <c r="DI115" s="431">
        <f t="shared" si="188"/>
        <v>0</v>
      </c>
      <c r="DJ115" s="431">
        <f t="shared" si="188"/>
        <v>0</v>
      </c>
      <c r="DK115" s="431">
        <f t="shared" si="188"/>
        <v>0</v>
      </c>
      <c r="DL115" s="431">
        <f t="shared" si="188"/>
        <v>0</v>
      </c>
      <c r="DM115" s="431">
        <f t="shared" si="188"/>
        <v>0</v>
      </c>
      <c r="DN115" s="431">
        <f t="shared" si="188"/>
        <v>0</v>
      </c>
      <c r="DO115" s="431">
        <f t="shared" si="188"/>
        <v>0</v>
      </c>
      <c r="DP115" s="431">
        <f t="shared" si="188"/>
        <v>0</v>
      </c>
      <c r="DQ115" s="431">
        <f t="shared" si="188"/>
        <v>0</v>
      </c>
      <c r="DR115" s="431">
        <f t="shared" si="188"/>
        <v>0</v>
      </c>
      <c r="DS115" s="431">
        <f t="shared" si="188"/>
        <v>0</v>
      </c>
      <c r="DT115" s="431">
        <f t="shared" si="188"/>
        <v>0</v>
      </c>
      <c r="DU115" s="431">
        <f t="shared" si="188"/>
        <v>0</v>
      </c>
      <c r="DV115" s="431">
        <f t="shared" si="188"/>
        <v>0</v>
      </c>
      <c r="DW115" s="431">
        <f t="shared" si="188"/>
        <v>0</v>
      </c>
      <c r="DX115" s="431">
        <f t="shared" si="188"/>
        <v>0</v>
      </c>
      <c r="DY115" s="431">
        <f t="shared" si="188"/>
        <v>0</v>
      </c>
      <c r="DZ115" s="431">
        <f t="shared" si="188"/>
        <v>0</v>
      </c>
      <c r="EA115" s="431">
        <f t="shared" si="188"/>
        <v>0</v>
      </c>
      <c r="EB115" s="431">
        <f t="shared" si="188"/>
        <v>0</v>
      </c>
      <c r="EC115" s="431">
        <f t="shared" si="188"/>
        <v>0</v>
      </c>
      <c r="ED115" s="431">
        <f t="shared" si="188"/>
        <v>0</v>
      </c>
      <c r="EE115" s="431">
        <f t="shared" si="188"/>
        <v>0</v>
      </c>
      <c r="EF115" s="431">
        <f t="shared" si="188"/>
        <v>0</v>
      </c>
      <c r="EG115" s="431">
        <f t="shared" ref="EG115:FT115" si="189">SUM(EG110:EG114)</f>
        <v>0</v>
      </c>
      <c r="EH115" s="431">
        <f t="shared" si="189"/>
        <v>0</v>
      </c>
      <c r="EI115" s="431">
        <f t="shared" si="189"/>
        <v>0</v>
      </c>
      <c r="EJ115" s="431">
        <f t="shared" si="189"/>
        <v>0</v>
      </c>
      <c r="EK115" s="431">
        <f t="shared" si="189"/>
        <v>0</v>
      </c>
      <c r="EL115" s="431">
        <f t="shared" si="189"/>
        <v>0</v>
      </c>
      <c r="EM115" s="431">
        <f t="shared" si="189"/>
        <v>0</v>
      </c>
      <c r="EN115" s="431">
        <f t="shared" si="189"/>
        <v>0</v>
      </c>
      <c r="EO115" s="431">
        <f t="shared" si="189"/>
        <v>0</v>
      </c>
      <c r="EP115" s="431">
        <f t="shared" si="189"/>
        <v>0</v>
      </c>
      <c r="EQ115" s="431">
        <f t="shared" si="189"/>
        <v>0</v>
      </c>
      <c r="ER115" s="431">
        <f t="shared" si="189"/>
        <v>0</v>
      </c>
      <c r="ES115" s="431">
        <f t="shared" si="189"/>
        <v>0</v>
      </c>
      <c r="ET115" s="431">
        <f t="shared" si="189"/>
        <v>0</v>
      </c>
      <c r="EU115" s="431">
        <f t="shared" si="189"/>
        <v>0</v>
      </c>
      <c r="EV115" s="431">
        <f t="shared" si="189"/>
        <v>0</v>
      </c>
      <c r="EW115" s="431">
        <f t="shared" si="189"/>
        <v>0</v>
      </c>
      <c r="EX115" s="431">
        <f t="shared" si="189"/>
        <v>0</v>
      </c>
      <c r="EY115" s="431">
        <f t="shared" si="189"/>
        <v>0</v>
      </c>
      <c r="EZ115" s="431">
        <f t="shared" si="189"/>
        <v>0</v>
      </c>
      <c r="FA115" s="431">
        <f t="shared" si="189"/>
        <v>0</v>
      </c>
      <c r="FB115" s="431">
        <f t="shared" si="189"/>
        <v>0</v>
      </c>
      <c r="FC115" s="431">
        <f t="shared" si="189"/>
        <v>0</v>
      </c>
      <c r="FD115" s="431">
        <f t="shared" si="189"/>
        <v>0</v>
      </c>
      <c r="FE115" s="431">
        <f t="shared" si="189"/>
        <v>0</v>
      </c>
      <c r="FF115" s="431">
        <f t="shared" si="189"/>
        <v>0</v>
      </c>
      <c r="FG115" s="431">
        <f t="shared" si="189"/>
        <v>0</v>
      </c>
      <c r="FH115" s="431">
        <f t="shared" si="189"/>
        <v>0</v>
      </c>
      <c r="FI115" s="431">
        <f t="shared" si="189"/>
        <v>0</v>
      </c>
      <c r="FJ115" s="431">
        <f t="shared" si="189"/>
        <v>0</v>
      </c>
      <c r="FK115" s="431">
        <f t="shared" si="189"/>
        <v>0</v>
      </c>
      <c r="FL115" s="431">
        <f t="shared" si="189"/>
        <v>0</v>
      </c>
      <c r="FM115" s="431">
        <f t="shared" si="189"/>
        <v>0</v>
      </c>
      <c r="FN115" s="431">
        <f t="shared" si="189"/>
        <v>0</v>
      </c>
      <c r="FO115" s="431">
        <f t="shared" si="189"/>
        <v>0</v>
      </c>
      <c r="FP115" s="431">
        <f t="shared" si="189"/>
        <v>0</v>
      </c>
      <c r="FQ115" s="431">
        <f t="shared" si="189"/>
        <v>0</v>
      </c>
      <c r="FR115" s="431">
        <f t="shared" si="189"/>
        <v>0</v>
      </c>
      <c r="FS115" s="431">
        <f t="shared" si="189"/>
        <v>0</v>
      </c>
      <c r="FT115" s="431">
        <f t="shared" si="189"/>
        <v>0</v>
      </c>
      <c r="FU115" s="43"/>
      <c r="FV115" s="34"/>
      <c r="FW115" s="34"/>
      <c r="FX115" s="34"/>
      <c r="FY115" s="34"/>
      <c r="FZ115" s="34"/>
    </row>
    <row r="116" spans="1:182" s="89" customFormat="1" ht="13.5" x14ac:dyDescent="0.25">
      <c r="A116" s="34"/>
      <c r="B116" s="142"/>
      <c r="C116" s="34"/>
      <c r="D116" s="34"/>
      <c r="E116" s="34"/>
      <c r="F116" s="428"/>
      <c r="G116" s="34"/>
      <c r="H116" s="800"/>
      <c r="I116" s="800"/>
      <c r="J116" s="800"/>
      <c r="K116" s="800"/>
      <c r="L116" s="800"/>
      <c r="M116" s="800"/>
      <c r="N116" s="800"/>
      <c r="O116" s="800"/>
      <c r="P116" s="800"/>
      <c r="Q116" s="800"/>
      <c r="R116" s="800"/>
      <c r="S116" s="800"/>
      <c r="T116" s="800"/>
      <c r="U116" s="800"/>
      <c r="V116" s="800"/>
      <c r="W116" s="800"/>
      <c r="X116" s="800"/>
      <c r="Y116" s="800"/>
      <c r="Z116" s="800"/>
      <c r="AA116" s="800"/>
      <c r="AB116" s="800"/>
      <c r="AC116" s="800"/>
      <c r="AD116" s="800"/>
      <c r="AE116" s="800"/>
      <c r="AF116" s="800"/>
      <c r="AG116" s="800"/>
      <c r="AH116" s="800"/>
      <c r="AI116" s="800"/>
      <c r="AJ116" s="800"/>
      <c r="AK116" s="800"/>
      <c r="AL116" s="800"/>
      <c r="AM116" s="800"/>
      <c r="AN116" s="800"/>
      <c r="AO116" s="800"/>
      <c r="AP116" s="800"/>
      <c r="AQ116" s="800"/>
      <c r="AR116" s="800"/>
      <c r="AS116" s="800"/>
      <c r="AT116" s="800"/>
      <c r="AU116" s="800"/>
      <c r="AV116" s="800"/>
      <c r="AW116" s="800"/>
      <c r="AX116" s="800"/>
      <c r="AY116" s="800"/>
      <c r="AZ116" s="800"/>
      <c r="BA116" s="800"/>
      <c r="BB116" s="800"/>
      <c r="BC116" s="800"/>
      <c r="BD116" s="800"/>
      <c r="BE116" s="800"/>
      <c r="BF116" s="800"/>
      <c r="BG116" s="800"/>
      <c r="BH116" s="800"/>
      <c r="BI116" s="800"/>
      <c r="BJ116" s="800"/>
      <c r="BK116" s="800"/>
      <c r="BL116" s="800"/>
      <c r="BM116" s="800"/>
      <c r="BN116" s="800"/>
      <c r="BO116" s="800"/>
      <c r="BP116" s="800"/>
      <c r="BQ116" s="800"/>
      <c r="BR116" s="800"/>
      <c r="BS116" s="800"/>
      <c r="BT116" s="800"/>
      <c r="BU116" s="800"/>
      <c r="BV116" s="800"/>
      <c r="BW116" s="800"/>
      <c r="BX116" s="800"/>
      <c r="BY116" s="800"/>
      <c r="BZ116" s="800"/>
      <c r="CA116" s="800"/>
      <c r="CB116" s="800"/>
      <c r="CC116" s="800"/>
      <c r="CD116" s="800"/>
      <c r="CE116" s="800"/>
      <c r="CF116" s="800"/>
      <c r="CG116" s="800"/>
      <c r="CH116" s="800"/>
      <c r="CI116" s="800"/>
      <c r="CJ116" s="800"/>
      <c r="CK116" s="800"/>
      <c r="CL116" s="800"/>
      <c r="CM116" s="800"/>
      <c r="CN116" s="800"/>
      <c r="CO116" s="800"/>
      <c r="CP116" s="800"/>
      <c r="CQ116" s="800"/>
      <c r="CR116" s="800"/>
      <c r="CS116" s="800"/>
      <c r="CT116" s="800"/>
      <c r="CU116" s="800"/>
      <c r="CV116" s="800"/>
      <c r="CW116" s="800"/>
      <c r="CX116" s="800"/>
      <c r="CY116" s="800"/>
      <c r="CZ116" s="800"/>
      <c r="DA116" s="800"/>
      <c r="DB116" s="800"/>
      <c r="DC116" s="800"/>
      <c r="DD116" s="800"/>
      <c r="DE116" s="800"/>
      <c r="DF116" s="800"/>
      <c r="DG116" s="800"/>
      <c r="DH116" s="800"/>
      <c r="DI116" s="800"/>
      <c r="DJ116" s="800"/>
      <c r="DK116" s="800"/>
      <c r="DL116" s="800"/>
      <c r="DM116" s="800"/>
      <c r="DN116" s="800"/>
      <c r="DO116" s="800"/>
      <c r="DP116" s="800"/>
      <c r="DQ116" s="800"/>
      <c r="DR116" s="800"/>
      <c r="DS116" s="800"/>
      <c r="DT116" s="800"/>
      <c r="DU116" s="800"/>
      <c r="DV116" s="800"/>
      <c r="DW116" s="800"/>
      <c r="DX116" s="800"/>
      <c r="DY116" s="800"/>
      <c r="DZ116" s="800"/>
      <c r="EA116" s="800"/>
      <c r="EB116" s="800"/>
      <c r="EC116" s="800"/>
      <c r="ED116" s="800"/>
      <c r="EE116" s="800"/>
      <c r="EF116" s="800"/>
      <c r="EG116" s="800"/>
      <c r="EH116" s="800"/>
      <c r="EI116" s="800"/>
      <c r="EJ116" s="800"/>
      <c r="EK116" s="800"/>
      <c r="EL116" s="800"/>
      <c r="EM116" s="800"/>
      <c r="EN116" s="800"/>
      <c r="EO116" s="800"/>
      <c r="EP116" s="800"/>
      <c r="EQ116" s="800"/>
      <c r="ER116" s="800"/>
      <c r="ES116" s="800"/>
      <c r="ET116" s="800"/>
      <c r="EU116" s="800"/>
      <c r="EV116" s="800"/>
      <c r="EW116" s="800"/>
      <c r="EX116" s="800"/>
      <c r="EY116" s="800"/>
      <c r="EZ116" s="800"/>
      <c r="FA116" s="800"/>
      <c r="FB116" s="800"/>
      <c r="FC116" s="800"/>
      <c r="FD116" s="800"/>
      <c r="FE116" s="800"/>
      <c r="FF116" s="800"/>
      <c r="FG116" s="800"/>
      <c r="FH116" s="800"/>
      <c r="FI116" s="800"/>
      <c r="FJ116" s="800"/>
      <c r="FK116" s="800"/>
      <c r="FL116" s="800"/>
      <c r="FM116" s="800"/>
      <c r="FN116" s="800"/>
      <c r="FO116" s="800"/>
      <c r="FP116" s="800"/>
      <c r="FQ116" s="800"/>
      <c r="FR116" s="800"/>
      <c r="FS116" s="800"/>
      <c r="FT116" s="800"/>
      <c r="FU116" s="43"/>
      <c r="FV116" s="34"/>
      <c r="FW116" s="34"/>
      <c r="FX116" s="34"/>
      <c r="FY116" s="34"/>
      <c r="FZ116" s="34"/>
    </row>
    <row r="117" spans="1:182" s="89" customFormat="1" ht="13.5" x14ac:dyDescent="0.25">
      <c r="A117" s="34"/>
      <c r="B117" s="142"/>
      <c r="C117" s="34"/>
      <c r="D117" s="34"/>
      <c r="E117" s="34"/>
      <c r="F117" s="428"/>
      <c r="G117" s="34"/>
      <c r="H117" s="800"/>
      <c r="I117" s="800"/>
      <c r="J117" s="800"/>
      <c r="K117" s="800"/>
      <c r="L117" s="800"/>
      <c r="M117" s="800"/>
      <c r="N117" s="800"/>
      <c r="O117" s="800"/>
      <c r="P117" s="800"/>
      <c r="Q117" s="800"/>
      <c r="R117" s="800"/>
      <c r="S117" s="800"/>
      <c r="T117" s="800"/>
      <c r="U117" s="800"/>
      <c r="V117" s="800"/>
      <c r="W117" s="800"/>
      <c r="X117" s="800"/>
      <c r="Y117" s="800"/>
      <c r="Z117" s="800"/>
      <c r="AA117" s="800"/>
      <c r="AB117" s="800"/>
      <c r="AC117" s="800"/>
      <c r="AD117" s="800"/>
      <c r="AE117" s="800"/>
      <c r="AF117" s="800"/>
      <c r="AG117" s="800"/>
      <c r="AH117" s="800"/>
      <c r="AI117" s="800"/>
      <c r="AJ117" s="800"/>
      <c r="AK117" s="800"/>
      <c r="AL117" s="800"/>
      <c r="AM117" s="800"/>
      <c r="AN117" s="800"/>
      <c r="AO117" s="800"/>
      <c r="AP117" s="800"/>
      <c r="AQ117" s="800"/>
      <c r="AR117" s="800"/>
      <c r="AS117" s="800"/>
      <c r="AT117" s="800"/>
      <c r="AU117" s="800"/>
      <c r="AV117" s="800"/>
      <c r="AW117" s="800"/>
      <c r="AX117" s="800"/>
      <c r="AY117" s="800"/>
      <c r="AZ117" s="800"/>
      <c r="BA117" s="800"/>
      <c r="BB117" s="800"/>
      <c r="BC117" s="800"/>
      <c r="BD117" s="800"/>
      <c r="BE117" s="800"/>
      <c r="BF117" s="800"/>
      <c r="BG117" s="800"/>
      <c r="BH117" s="800"/>
      <c r="BI117" s="800"/>
      <c r="BJ117" s="800"/>
      <c r="BK117" s="800"/>
      <c r="BL117" s="800"/>
      <c r="BM117" s="800"/>
      <c r="BN117" s="800"/>
      <c r="BO117" s="800"/>
      <c r="BP117" s="800"/>
      <c r="BQ117" s="800"/>
      <c r="BR117" s="800"/>
      <c r="BS117" s="800"/>
      <c r="BT117" s="800"/>
      <c r="BU117" s="800"/>
      <c r="BV117" s="800"/>
      <c r="BW117" s="800"/>
      <c r="BX117" s="800"/>
      <c r="BY117" s="800"/>
      <c r="BZ117" s="800"/>
      <c r="CA117" s="800"/>
      <c r="CB117" s="800"/>
      <c r="CC117" s="800"/>
      <c r="CD117" s="800"/>
      <c r="CE117" s="800"/>
      <c r="CF117" s="800"/>
      <c r="CG117" s="800"/>
      <c r="CH117" s="800"/>
      <c r="CI117" s="800"/>
      <c r="CJ117" s="800"/>
      <c r="CK117" s="800"/>
      <c r="CL117" s="800"/>
      <c r="CM117" s="800"/>
      <c r="CN117" s="800"/>
      <c r="CO117" s="800"/>
      <c r="CP117" s="800"/>
      <c r="CQ117" s="800"/>
      <c r="CR117" s="800"/>
      <c r="CS117" s="800"/>
      <c r="CT117" s="800"/>
      <c r="CU117" s="800"/>
      <c r="CV117" s="800"/>
      <c r="CW117" s="800"/>
      <c r="CX117" s="800"/>
      <c r="CY117" s="800"/>
      <c r="CZ117" s="800"/>
      <c r="DA117" s="800"/>
      <c r="DB117" s="800"/>
      <c r="DC117" s="800"/>
      <c r="DD117" s="800"/>
      <c r="DE117" s="800"/>
      <c r="DF117" s="800"/>
      <c r="DG117" s="800"/>
      <c r="DH117" s="800"/>
      <c r="DI117" s="800"/>
      <c r="DJ117" s="800"/>
      <c r="DK117" s="800"/>
      <c r="DL117" s="800"/>
      <c r="DM117" s="800"/>
      <c r="DN117" s="800"/>
      <c r="DO117" s="800"/>
      <c r="DP117" s="800"/>
      <c r="DQ117" s="800"/>
      <c r="DR117" s="800"/>
      <c r="DS117" s="800"/>
      <c r="DT117" s="800"/>
      <c r="DU117" s="800"/>
      <c r="DV117" s="800"/>
      <c r="DW117" s="800"/>
      <c r="DX117" s="800"/>
      <c r="DY117" s="800"/>
      <c r="DZ117" s="800"/>
      <c r="EA117" s="800"/>
      <c r="EB117" s="800"/>
      <c r="EC117" s="800"/>
      <c r="ED117" s="800"/>
      <c r="EE117" s="800"/>
      <c r="EF117" s="800"/>
      <c r="EG117" s="800"/>
      <c r="EH117" s="800"/>
      <c r="EI117" s="800"/>
      <c r="EJ117" s="800"/>
      <c r="EK117" s="800"/>
      <c r="EL117" s="800"/>
      <c r="EM117" s="800"/>
      <c r="EN117" s="800"/>
      <c r="EO117" s="800"/>
      <c r="EP117" s="800"/>
      <c r="EQ117" s="800"/>
      <c r="ER117" s="800"/>
      <c r="ES117" s="800"/>
      <c r="ET117" s="800"/>
      <c r="EU117" s="800"/>
      <c r="EV117" s="800"/>
      <c r="EW117" s="800"/>
      <c r="EX117" s="800"/>
      <c r="EY117" s="800"/>
      <c r="EZ117" s="800"/>
      <c r="FA117" s="800"/>
      <c r="FB117" s="800"/>
      <c r="FC117" s="800"/>
      <c r="FD117" s="800"/>
      <c r="FE117" s="800"/>
      <c r="FF117" s="800"/>
      <c r="FG117" s="800"/>
      <c r="FH117" s="800"/>
      <c r="FI117" s="800"/>
      <c r="FJ117" s="800"/>
      <c r="FK117" s="800"/>
      <c r="FL117" s="800"/>
      <c r="FM117" s="800"/>
      <c r="FN117" s="800"/>
      <c r="FO117" s="800"/>
      <c r="FP117" s="800"/>
      <c r="FQ117" s="800"/>
      <c r="FR117" s="800"/>
      <c r="FS117" s="800"/>
      <c r="FT117" s="800"/>
      <c r="FU117" s="43"/>
      <c r="FV117" s="34"/>
      <c r="FW117" s="34"/>
      <c r="FX117" s="34"/>
      <c r="FY117" s="34"/>
      <c r="FZ117" s="34"/>
    </row>
    <row r="118" spans="1:182" s="89" customFormat="1" ht="13.5" x14ac:dyDescent="0.25">
      <c r="A118" s="34"/>
      <c r="B118" s="142" t="s">
        <v>569</v>
      </c>
      <c r="C118" s="34"/>
      <c r="D118" s="34"/>
      <c r="E118" s="34"/>
      <c r="F118" s="429">
        <f t="shared" ref="F118" si="190">SUM(H118:FT118)</f>
        <v>47960390.279987901</v>
      </c>
      <c r="G118" s="34"/>
      <c r="H118" s="431">
        <f>SUM(H106,H115)</f>
        <v>0</v>
      </c>
      <c r="I118" s="431">
        <f t="shared" ref="I118:BT118" si="191">SUM(I106,I115)</f>
        <v>0</v>
      </c>
      <c r="J118" s="431">
        <f t="shared" si="191"/>
        <v>0</v>
      </c>
      <c r="K118" s="431">
        <f t="shared" si="191"/>
        <v>0</v>
      </c>
      <c r="L118" s="431">
        <f t="shared" si="191"/>
        <v>0</v>
      </c>
      <c r="M118" s="431">
        <f t="shared" si="191"/>
        <v>0</v>
      </c>
      <c r="N118" s="431">
        <f t="shared" si="191"/>
        <v>0</v>
      </c>
      <c r="O118" s="431">
        <f t="shared" si="191"/>
        <v>0</v>
      </c>
      <c r="P118" s="431">
        <f t="shared" si="191"/>
        <v>0</v>
      </c>
      <c r="Q118" s="431">
        <f t="shared" si="191"/>
        <v>0</v>
      </c>
      <c r="R118" s="431">
        <f t="shared" si="191"/>
        <v>0</v>
      </c>
      <c r="S118" s="431">
        <f t="shared" si="191"/>
        <v>0</v>
      </c>
      <c r="T118" s="431">
        <f t="shared" si="191"/>
        <v>0</v>
      </c>
      <c r="U118" s="431">
        <f t="shared" si="191"/>
        <v>0</v>
      </c>
      <c r="V118" s="431">
        <f t="shared" si="191"/>
        <v>0</v>
      </c>
      <c r="W118" s="431">
        <f t="shared" si="191"/>
        <v>0</v>
      </c>
      <c r="X118" s="431">
        <f t="shared" si="191"/>
        <v>0</v>
      </c>
      <c r="Y118" s="431">
        <f t="shared" si="191"/>
        <v>32851.263232537996</v>
      </c>
      <c r="Z118" s="431">
        <f t="shared" si="191"/>
        <v>64138.180596859886</v>
      </c>
      <c r="AA118" s="431">
        <f t="shared" si="191"/>
        <v>95425.097961181775</v>
      </c>
      <c r="AB118" s="431">
        <f t="shared" si="191"/>
        <v>126712.01532550369</v>
      </c>
      <c r="AC118" s="431">
        <f t="shared" si="191"/>
        <v>157998.93268982557</v>
      </c>
      <c r="AD118" s="431">
        <f t="shared" si="191"/>
        <v>189285.85005414748</v>
      </c>
      <c r="AE118" s="431">
        <f t="shared" si="191"/>
        <v>195543.23352701182</v>
      </c>
      <c r="AF118" s="431">
        <f t="shared" si="191"/>
        <v>200135.34819755208</v>
      </c>
      <c r="AG118" s="431">
        <f t="shared" si="191"/>
        <v>200135.34819755208</v>
      </c>
      <c r="AH118" s="431">
        <f t="shared" si="191"/>
        <v>232157.00390916044</v>
      </c>
      <c r="AI118" s="431">
        <f t="shared" si="191"/>
        <v>264178.65962076874</v>
      </c>
      <c r="AJ118" s="431">
        <f t="shared" si="191"/>
        <v>296200.3153323771</v>
      </c>
      <c r="AK118" s="431">
        <f t="shared" si="191"/>
        <v>328221.9710439854</v>
      </c>
      <c r="AL118" s="431">
        <f t="shared" si="191"/>
        <v>360243.62675559375</v>
      </c>
      <c r="AM118" s="431">
        <f t="shared" si="191"/>
        <v>360266.43425523327</v>
      </c>
      <c r="AN118" s="431">
        <f t="shared" si="191"/>
        <v>360266.43425523327</v>
      </c>
      <c r="AO118" s="431">
        <f t="shared" si="191"/>
        <v>360266.43425523327</v>
      </c>
      <c r="AP118" s="431">
        <f t="shared" si="191"/>
        <v>360266.43425523327</v>
      </c>
      <c r="AQ118" s="431">
        <f t="shared" si="191"/>
        <v>360266.43425523327</v>
      </c>
      <c r="AR118" s="431">
        <f t="shared" si="191"/>
        <v>368612.83492690464</v>
      </c>
      <c r="AS118" s="431">
        <f t="shared" si="191"/>
        <v>368612.83492690464</v>
      </c>
      <c r="AT118" s="431">
        <f t="shared" si="191"/>
        <v>368612.83492690464</v>
      </c>
      <c r="AU118" s="431">
        <f t="shared" si="191"/>
        <v>368612.83492690464</v>
      </c>
      <c r="AV118" s="431">
        <f t="shared" si="191"/>
        <v>368612.83492690464</v>
      </c>
      <c r="AW118" s="431">
        <f t="shared" si="191"/>
        <v>368612.83492690464</v>
      </c>
      <c r="AX118" s="431">
        <f t="shared" si="191"/>
        <v>368612.83492690464</v>
      </c>
      <c r="AY118" s="431">
        <f t="shared" si="191"/>
        <v>368612.83492690464</v>
      </c>
      <c r="AZ118" s="431">
        <f t="shared" si="191"/>
        <v>368612.83492690464</v>
      </c>
      <c r="BA118" s="431">
        <f t="shared" si="191"/>
        <v>368612.83492690464</v>
      </c>
      <c r="BB118" s="431">
        <f t="shared" si="191"/>
        <v>368612.83492690464</v>
      </c>
      <c r="BC118" s="431">
        <f t="shared" si="191"/>
        <v>368612.83492690464</v>
      </c>
      <c r="BD118" s="431">
        <f t="shared" si="191"/>
        <v>376959.23559857573</v>
      </c>
      <c r="BE118" s="431">
        <f t="shared" si="191"/>
        <v>376959.23559857573</v>
      </c>
      <c r="BF118" s="431">
        <f t="shared" si="191"/>
        <v>376959.23559857573</v>
      </c>
      <c r="BG118" s="431">
        <f t="shared" si="191"/>
        <v>376959.23559857573</v>
      </c>
      <c r="BH118" s="431">
        <f t="shared" si="191"/>
        <v>376959.23559857573</v>
      </c>
      <c r="BI118" s="431">
        <f t="shared" si="191"/>
        <v>376959.23559857573</v>
      </c>
      <c r="BJ118" s="431">
        <f t="shared" si="191"/>
        <v>376959.23559857573</v>
      </c>
      <c r="BK118" s="431">
        <f t="shared" si="191"/>
        <v>376959.23559857573</v>
      </c>
      <c r="BL118" s="431">
        <f t="shared" si="191"/>
        <v>376959.23559857573</v>
      </c>
      <c r="BM118" s="431">
        <f t="shared" si="191"/>
        <v>376959.23559857573</v>
      </c>
      <c r="BN118" s="431">
        <f t="shared" si="191"/>
        <v>376959.23559857573</v>
      </c>
      <c r="BO118" s="431">
        <f t="shared" si="191"/>
        <v>376959.23559857573</v>
      </c>
      <c r="BP118" s="431">
        <f t="shared" si="191"/>
        <v>385305.63627024711</v>
      </c>
      <c r="BQ118" s="431">
        <f t="shared" si="191"/>
        <v>385305.63627024711</v>
      </c>
      <c r="BR118" s="431">
        <f t="shared" si="191"/>
        <v>385305.63627024711</v>
      </c>
      <c r="BS118" s="431">
        <f t="shared" si="191"/>
        <v>385305.63627024711</v>
      </c>
      <c r="BT118" s="431">
        <f t="shared" si="191"/>
        <v>385305.63627024711</v>
      </c>
      <c r="BU118" s="431">
        <f t="shared" ref="BU118:EF118" si="192">SUM(BU106,BU115)</f>
        <v>385305.63627024711</v>
      </c>
      <c r="BV118" s="431">
        <f t="shared" si="192"/>
        <v>385305.63627024711</v>
      </c>
      <c r="BW118" s="431">
        <f t="shared" si="192"/>
        <v>385305.63627024711</v>
      </c>
      <c r="BX118" s="431">
        <f t="shared" si="192"/>
        <v>385305.63627024711</v>
      </c>
      <c r="BY118" s="431">
        <f t="shared" si="192"/>
        <v>385305.63627024711</v>
      </c>
      <c r="BZ118" s="431">
        <f t="shared" si="192"/>
        <v>385305.63627024711</v>
      </c>
      <c r="CA118" s="431">
        <f t="shared" si="192"/>
        <v>385305.63627024711</v>
      </c>
      <c r="CB118" s="431">
        <f t="shared" si="192"/>
        <v>393652.03694191843</v>
      </c>
      <c r="CC118" s="431">
        <f t="shared" si="192"/>
        <v>393652.03694191843</v>
      </c>
      <c r="CD118" s="431">
        <f t="shared" si="192"/>
        <v>393652.03694191843</v>
      </c>
      <c r="CE118" s="431">
        <f t="shared" si="192"/>
        <v>393652.03694191843</v>
      </c>
      <c r="CF118" s="431">
        <f t="shared" si="192"/>
        <v>393652.03694191843</v>
      </c>
      <c r="CG118" s="431">
        <f t="shared" si="192"/>
        <v>393652.03694191843</v>
      </c>
      <c r="CH118" s="431">
        <f t="shared" si="192"/>
        <v>393652.03694191843</v>
      </c>
      <c r="CI118" s="431">
        <f t="shared" si="192"/>
        <v>393652.03694191843</v>
      </c>
      <c r="CJ118" s="431">
        <f t="shared" si="192"/>
        <v>393652.03694191843</v>
      </c>
      <c r="CK118" s="431">
        <f t="shared" si="192"/>
        <v>393652.03694191843</v>
      </c>
      <c r="CL118" s="431">
        <f t="shared" si="192"/>
        <v>393652.03694191843</v>
      </c>
      <c r="CM118" s="431">
        <f t="shared" si="192"/>
        <v>393652.03694191843</v>
      </c>
      <c r="CN118" s="431">
        <f t="shared" si="192"/>
        <v>401998.43761358957</v>
      </c>
      <c r="CO118" s="431">
        <f t="shared" si="192"/>
        <v>401998.43761358957</v>
      </c>
      <c r="CP118" s="431">
        <f t="shared" si="192"/>
        <v>401998.43761358957</v>
      </c>
      <c r="CQ118" s="431">
        <f t="shared" si="192"/>
        <v>401998.43761358957</v>
      </c>
      <c r="CR118" s="431">
        <f t="shared" si="192"/>
        <v>401998.43761358957</v>
      </c>
      <c r="CS118" s="431">
        <f t="shared" si="192"/>
        <v>401998.43761358957</v>
      </c>
      <c r="CT118" s="431">
        <f t="shared" si="192"/>
        <v>401998.43761358957</v>
      </c>
      <c r="CU118" s="431">
        <f t="shared" si="192"/>
        <v>401998.43761358957</v>
      </c>
      <c r="CV118" s="431">
        <f t="shared" si="192"/>
        <v>401998.43761358957</v>
      </c>
      <c r="CW118" s="431">
        <f t="shared" si="192"/>
        <v>401998.43761358957</v>
      </c>
      <c r="CX118" s="431">
        <f t="shared" si="192"/>
        <v>401998.43761358957</v>
      </c>
      <c r="CY118" s="431">
        <f t="shared" si="192"/>
        <v>401998.43761358957</v>
      </c>
      <c r="CZ118" s="431">
        <f t="shared" si="192"/>
        <v>410344.83828526083</v>
      </c>
      <c r="DA118" s="431">
        <f t="shared" si="192"/>
        <v>410344.83828526083</v>
      </c>
      <c r="DB118" s="431">
        <f t="shared" si="192"/>
        <v>410344.83828526083</v>
      </c>
      <c r="DC118" s="431">
        <f t="shared" si="192"/>
        <v>410344.83828526083</v>
      </c>
      <c r="DD118" s="431">
        <f t="shared" si="192"/>
        <v>410344.83828526083</v>
      </c>
      <c r="DE118" s="431">
        <f t="shared" si="192"/>
        <v>410344.83828526083</v>
      </c>
      <c r="DF118" s="431">
        <f t="shared" si="192"/>
        <v>410344.83828526083</v>
      </c>
      <c r="DG118" s="431">
        <f t="shared" si="192"/>
        <v>410344.83828526083</v>
      </c>
      <c r="DH118" s="431">
        <f t="shared" si="192"/>
        <v>410344.83828526083</v>
      </c>
      <c r="DI118" s="431">
        <f t="shared" si="192"/>
        <v>410344.83828526083</v>
      </c>
      <c r="DJ118" s="431">
        <f t="shared" si="192"/>
        <v>410344.83828526083</v>
      </c>
      <c r="DK118" s="431">
        <f t="shared" si="192"/>
        <v>410344.83828526083</v>
      </c>
      <c r="DL118" s="431">
        <f t="shared" si="192"/>
        <v>418691.23895693209</v>
      </c>
      <c r="DM118" s="431">
        <f t="shared" si="192"/>
        <v>418691.23895693209</v>
      </c>
      <c r="DN118" s="431">
        <f t="shared" si="192"/>
        <v>418691.23895693209</v>
      </c>
      <c r="DO118" s="431">
        <f t="shared" si="192"/>
        <v>418691.23895693209</v>
      </c>
      <c r="DP118" s="431">
        <f t="shared" si="192"/>
        <v>418691.23895693209</v>
      </c>
      <c r="DQ118" s="431">
        <f t="shared" si="192"/>
        <v>418691.23895693209</v>
      </c>
      <c r="DR118" s="431">
        <f t="shared" si="192"/>
        <v>418691.23895693209</v>
      </c>
      <c r="DS118" s="431">
        <f t="shared" si="192"/>
        <v>418691.23895693209</v>
      </c>
      <c r="DT118" s="431">
        <f t="shared" si="192"/>
        <v>418691.23895693209</v>
      </c>
      <c r="DU118" s="431">
        <f t="shared" si="192"/>
        <v>418691.23895693209</v>
      </c>
      <c r="DV118" s="431">
        <f t="shared" si="192"/>
        <v>418691.23895693209</v>
      </c>
      <c r="DW118" s="431">
        <f t="shared" si="192"/>
        <v>418691.23895693209</v>
      </c>
      <c r="DX118" s="431">
        <f t="shared" si="192"/>
        <v>427037.63962860336</v>
      </c>
      <c r="DY118" s="431">
        <f t="shared" si="192"/>
        <v>427037.63962860336</v>
      </c>
      <c r="DZ118" s="431">
        <f t="shared" si="192"/>
        <v>427037.63962860336</v>
      </c>
      <c r="EA118" s="431">
        <f t="shared" si="192"/>
        <v>427037.63962860336</v>
      </c>
      <c r="EB118" s="431">
        <f t="shared" si="192"/>
        <v>427037.63962860336</v>
      </c>
      <c r="EC118" s="431">
        <f t="shared" si="192"/>
        <v>427037.63962860336</v>
      </c>
      <c r="ED118" s="431">
        <f t="shared" si="192"/>
        <v>427037.63962860336</v>
      </c>
      <c r="EE118" s="431">
        <f t="shared" si="192"/>
        <v>427037.63962860336</v>
      </c>
      <c r="EF118" s="431">
        <f t="shared" si="192"/>
        <v>427037.63962860336</v>
      </c>
      <c r="EG118" s="431">
        <f t="shared" ref="EG118:FT118" si="193">SUM(EG106,EG115)</f>
        <v>427037.63962860336</v>
      </c>
      <c r="EH118" s="431">
        <f t="shared" si="193"/>
        <v>427037.63962860336</v>
      </c>
      <c r="EI118" s="431">
        <f t="shared" si="193"/>
        <v>427037.63962860336</v>
      </c>
      <c r="EJ118" s="431">
        <f t="shared" si="193"/>
        <v>435384.04030027462</v>
      </c>
      <c r="EK118" s="431">
        <f t="shared" si="193"/>
        <v>435384.04030027462</v>
      </c>
      <c r="EL118" s="431">
        <f t="shared" si="193"/>
        <v>435384.04030027462</v>
      </c>
      <c r="EM118" s="431">
        <f t="shared" si="193"/>
        <v>435384.04030027462</v>
      </c>
      <c r="EN118" s="431">
        <f t="shared" si="193"/>
        <v>435384.04030027462</v>
      </c>
      <c r="EO118" s="431">
        <f t="shared" si="193"/>
        <v>435384.04030027462</v>
      </c>
      <c r="EP118" s="431">
        <f t="shared" si="193"/>
        <v>435384.04030027462</v>
      </c>
      <c r="EQ118" s="431">
        <f t="shared" si="193"/>
        <v>435384.04030027462</v>
      </c>
      <c r="ER118" s="431">
        <f t="shared" si="193"/>
        <v>435384.04030027462</v>
      </c>
      <c r="ES118" s="431">
        <f t="shared" si="193"/>
        <v>435384.04030027462</v>
      </c>
      <c r="ET118" s="431">
        <f t="shared" si="193"/>
        <v>435384.04030027462</v>
      </c>
      <c r="EU118" s="431">
        <f t="shared" si="193"/>
        <v>435384.04030027462</v>
      </c>
      <c r="EV118" s="431">
        <f>SUM(EV106,EV115)</f>
        <v>0</v>
      </c>
      <c r="EW118" s="431">
        <f t="shared" si="193"/>
        <v>0</v>
      </c>
      <c r="EX118" s="431">
        <f t="shared" si="193"/>
        <v>0</v>
      </c>
      <c r="EY118" s="431">
        <f t="shared" si="193"/>
        <v>0</v>
      </c>
      <c r="EZ118" s="431">
        <f t="shared" si="193"/>
        <v>0</v>
      </c>
      <c r="FA118" s="431">
        <f t="shared" si="193"/>
        <v>0</v>
      </c>
      <c r="FB118" s="431">
        <f t="shared" si="193"/>
        <v>0</v>
      </c>
      <c r="FC118" s="431">
        <f t="shared" si="193"/>
        <v>0</v>
      </c>
      <c r="FD118" s="431">
        <f t="shared" si="193"/>
        <v>0</v>
      </c>
      <c r="FE118" s="431">
        <f t="shared" si="193"/>
        <v>0</v>
      </c>
      <c r="FF118" s="431">
        <f t="shared" si="193"/>
        <v>0</v>
      </c>
      <c r="FG118" s="431">
        <f t="shared" si="193"/>
        <v>0</v>
      </c>
      <c r="FH118" s="431">
        <f t="shared" si="193"/>
        <v>0</v>
      </c>
      <c r="FI118" s="431">
        <f t="shared" si="193"/>
        <v>0</v>
      </c>
      <c r="FJ118" s="431">
        <f t="shared" si="193"/>
        <v>0</v>
      </c>
      <c r="FK118" s="431">
        <f t="shared" si="193"/>
        <v>0</v>
      </c>
      <c r="FL118" s="431">
        <f t="shared" si="193"/>
        <v>0</v>
      </c>
      <c r="FM118" s="431">
        <f t="shared" si="193"/>
        <v>0</v>
      </c>
      <c r="FN118" s="431">
        <f t="shared" si="193"/>
        <v>0</v>
      </c>
      <c r="FO118" s="431">
        <f t="shared" si="193"/>
        <v>0</v>
      </c>
      <c r="FP118" s="431">
        <f t="shared" si="193"/>
        <v>0</v>
      </c>
      <c r="FQ118" s="431">
        <f t="shared" si="193"/>
        <v>0</v>
      </c>
      <c r="FR118" s="431">
        <f t="shared" si="193"/>
        <v>0</v>
      </c>
      <c r="FS118" s="431">
        <f t="shared" si="193"/>
        <v>0</v>
      </c>
      <c r="FT118" s="430">
        <f t="shared" si="193"/>
        <v>0</v>
      </c>
      <c r="FU118" s="43"/>
      <c r="FV118" s="34"/>
      <c r="FW118" s="34"/>
      <c r="FX118" s="34"/>
      <c r="FY118" s="34"/>
      <c r="FZ118" s="34"/>
    </row>
    <row r="119" spans="1:182" s="89" customFormat="1" ht="13.5" x14ac:dyDescent="0.25">
      <c r="A119" s="34"/>
      <c r="B119" s="1298"/>
      <c r="C119" s="39"/>
      <c r="D119" s="39"/>
      <c r="E119" s="39"/>
      <c r="F119" s="1299"/>
      <c r="G119" s="39"/>
      <c r="H119" s="1300"/>
      <c r="I119" s="1300"/>
      <c r="J119" s="1300"/>
      <c r="K119" s="1300"/>
      <c r="L119" s="1300"/>
      <c r="M119" s="1300"/>
      <c r="N119" s="1300"/>
      <c r="O119" s="1300"/>
      <c r="P119" s="1300"/>
      <c r="Q119" s="1300"/>
      <c r="R119" s="1300"/>
      <c r="S119" s="1300"/>
      <c r="T119" s="1300"/>
      <c r="U119" s="1300"/>
      <c r="V119" s="1300"/>
      <c r="W119" s="1300"/>
      <c r="X119" s="1300"/>
      <c r="Y119" s="1300"/>
      <c r="Z119" s="1300"/>
      <c r="AA119" s="1300"/>
      <c r="AB119" s="1300"/>
      <c r="AC119" s="1300"/>
      <c r="AD119" s="1300"/>
      <c r="AE119" s="1300"/>
      <c r="AF119" s="1300"/>
      <c r="AG119" s="1300"/>
      <c r="AH119" s="1300"/>
      <c r="AI119" s="1300"/>
      <c r="AJ119" s="1300"/>
      <c r="AK119" s="1300"/>
      <c r="AL119" s="1300"/>
      <c r="AM119" s="1300"/>
      <c r="AN119" s="1300"/>
      <c r="AO119" s="1300"/>
      <c r="AP119" s="1300"/>
      <c r="AQ119" s="1300"/>
      <c r="AR119" s="1300"/>
      <c r="AS119" s="1300"/>
      <c r="AT119" s="1300"/>
      <c r="AU119" s="1300"/>
      <c r="AV119" s="1300"/>
      <c r="AW119" s="1300"/>
      <c r="AX119" s="1300"/>
      <c r="AY119" s="1300"/>
      <c r="AZ119" s="1300"/>
      <c r="BA119" s="1300"/>
      <c r="BB119" s="1300"/>
      <c r="BC119" s="1300"/>
      <c r="BD119" s="1300"/>
      <c r="BE119" s="1300"/>
      <c r="BF119" s="1300"/>
      <c r="BG119" s="1300"/>
      <c r="BH119" s="1300"/>
      <c r="BI119" s="1300"/>
      <c r="BJ119" s="1300"/>
      <c r="BK119" s="1300"/>
      <c r="BL119" s="1300"/>
      <c r="BM119" s="1300"/>
      <c r="BN119" s="1300"/>
      <c r="BO119" s="1300"/>
      <c r="BP119" s="1300"/>
      <c r="BQ119" s="1300"/>
      <c r="BR119" s="1300"/>
      <c r="BS119" s="1300"/>
      <c r="BT119" s="1300"/>
      <c r="BU119" s="1300"/>
      <c r="BV119" s="1300"/>
      <c r="BW119" s="1300"/>
      <c r="BX119" s="1300"/>
      <c r="BY119" s="1300"/>
      <c r="BZ119" s="1300"/>
      <c r="CA119" s="1300"/>
      <c r="CB119" s="1300"/>
      <c r="CC119" s="1300"/>
      <c r="CD119" s="1300"/>
      <c r="CE119" s="1300"/>
      <c r="CF119" s="1300"/>
      <c r="CG119" s="1300"/>
      <c r="CH119" s="1300"/>
      <c r="CI119" s="1300"/>
      <c r="CJ119" s="1300"/>
      <c r="CK119" s="1300"/>
      <c r="CL119" s="1300"/>
      <c r="CM119" s="1300"/>
      <c r="CN119" s="1300"/>
      <c r="CO119" s="1300"/>
      <c r="CP119" s="1300"/>
      <c r="CQ119" s="1300"/>
      <c r="CR119" s="1300"/>
      <c r="CS119" s="1300"/>
      <c r="CT119" s="1300"/>
      <c r="CU119" s="1300"/>
      <c r="CV119" s="1300"/>
      <c r="CW119" s="1300"/>
      <c r="CX119" s="1300"/>
      <c r="CY119" s="1300"/>
      <c r="CZ119" s="1300"/>
      <c r="DA119" s="1300"/>
      <c r="DB119" s="1300"/>
      <c r="DC119" s="1300"/>
      <c r="DD119" s="1300"/>
      <c r="DE119" s="1300"/>
      <c r="DF119" s="1300"/>
      <c r="DG119" s="1300"/>
      <c r="DH119" s="1300"/>
      <c r="DI119" s="1300"/>
      <c r="DJ119" s="1300"/>
      <c r="DK119" s="1300"/>
      <c r="DL119" s="1300"/>
      <c r="DM119" s="1300"/>
      <c r="DN119" s="1300"/>
      <c r="DO119" s="1300"/>
      <c r="DP119" s="1300"/>
      <c r="DQ119" s="1300"/>
      <c r="DR119" s="1300"/>
      <c r="DS119" s="1300"/>
      <c r="DT119" s="1300"/>
      <c r="DU119" s="1300"/>
      <c r="DV119" s="1300"/>
      <c r="DW119" s="1300"/>
      <c r="DX119" s="1300"/>
      <c r="DY119" s="1300"/>
      <c r="DZ119" s="1300"/>
      <c r="EA119" s="1300"/>
      <c r="EB119" s="1300"/>
      <c r="EC119" s="1300"/>
      <c r="ED119" s="1300"/>
      <c r="EE119" s="1300"/>
      <c r="EF119" s="1300"/>
      <c r="EG119" s="1300"/>
      <c r="EH119" s="1300"/>
      <c r="EI119" s="1300"/>
      <c r="EJ119" s="1300"/>
      <c r="EK119" s="1300"/>
      <c r="EL119" s="1300"/>
      <c r="EM119" s="1300"/>
      <c r="EN119" s="1300"/>
      <c r="EO119" s="1300"/>
      <c r="EP119" s="1300"/>
      <c r="EQ119" s="1300"/>
      <c r="ER119" s="1300"/>
      <c r="ES119" s="1300"/>
      <c r="ET119" s="1300"/>
      <c r="EU119" s="1300"/>
      <c r="EV119" s="1300"/>
      <c r="EW119" s="1300"/>
      <c r="EX119" s="1300"/>
      <c r="EY119" s="1300"/>
      <c r="EZ119" s="1300"/>
      <c r="FA119" s="1300"/>
      <c r="FB119" s="1300"/>
      <c r="FC119" s="1300"/>
      <c r="FD119" s="1300"/>
      <c r="FE119" s="1300"/>
      <c r="FF119" s="1300"/>
      <c r="FG119" s="1300"/>
      <c r="FH119" s="1300"/>
      <c r="FI119" s="1300"/>
      <c r="FJ119" s="1300"/>
      <c r="FK119" s="1300"/>
      <c r="FL119" s="1300"/>
      <c r="FM119" s="1300"/>
      <c r="FN119" s="1300"/>
      <c r="FO119" s="1300"/>
      <c r="FP119" s="1300"/>
      <c r="FQ119" s="1300"/>
      <c r="FR119" s="1300"/>
      <c r="FS119" s="1300"/>
      <c r="FT119" s="1301"/>
      <c r="FU119" s="43"/>
      <c r="FV119" s="34"/>
      <c r="FW119" s="34"/>
      <c r="FX119" s="34"/>
      <c r="FY119" s="34"/>
      <c r="FZ119" s="34"/>
    </row>
    <row r="120" spans="1:182" s="89" customFormat="1" ht="13.5" x14ac:dyDescent="0.25">
      <c r="A120" s="34"/>
      <c r="B120" s="142"/>
      <c r="C120" s="34"/>
      <c r="D120" s="34"/>
      <c r="E120" s="34"/>
      <c r="F120" s="428"/>
      <c r="G120" s="34"/>
      <c r="H120" s="800"/>
      <c r="I120" s="800"/>
      <c r="J120" s="800"/>
      <c r="K120" s="800"/>
      <c r="L120" s="800"/>
      <c r="M120" s="800"/>
      <c r="N120" s="800"/>
      <c r="O120" s="800"/>
      <c r="P120" s="800"/>
      <c r="Q120" s="800"/>
      <c r="R120" s="800"/>
      <c r="S120" s="800"/>
      <c r="T120" s="800"/>
      <c r="U120" s="800"/>
      <c r="V120" s="800"/>
      <c r="W120" s="800"/>
      <c r="X120" s="800"/>
      <c r="Y120" s="800"/>
      <c r="Z120" s="800"/>
      <c r="AA120" s="800"/>
      <c r="AB120" s="800"/>
      <c r="AC120" s="800"/>
      <c r="AD120" s="800"/>
      <c r="AE120" s="800"/>
      <c r="AF120" s="800"/>
      <c r="AG120" s="800"/>
      <c r="AH120" s="800"/>
      <c r="AI120" s="800"/>
      <c r="AJ120" s="800"/>
      <c r="AK120" s="800"/>
      <c r="AL120" s="800"/>
      <c r="AM120" s="800"/>
      <c r="AN120" s="800"/>
      <c r="AO120" s="800"/>
      <c r="AP120" s="800"/>
      <c r="AQ120" s="800"/>
      <c r="AR120" s="800"/>
      <c r="AS120" s="800"/>
      <c r="AT120" s="800"/>
      <c r="AU120" s="800"/>
      <c r="AV120" s="800"/>
      <c r="AW120" s="800"/>
      <c r="AX120" s="800"/>
      <c r="AY120" s="800"/>
      <c r="AZ120" s="800"/>
      <c r="BA120" s="800"/>
      <c r="BB120" s="800"/>
      <c r="BC120" s="800"/>
      <c r="BD120" s="800"/>
      <c r="BE120" s="800"/>
      <c r="BF120" s="800"/>
      <c r="BG120" s="800"/>
      <c r="BH120" s="800"/>
      <c r="BI120" s="800"/>
      <c r="BJ120" s="800"/>
      <c r="BK120" s="800"/>
      <c r="BL120" s="800"/>
      <c r="BM120" s="800"/>
      <c r="BN120" s="800"/>
      <c r="BO120" s="800"/>
      <c r="BP120" s="800"/>
      <c r="BQ120" s="800"/>
      <c r="BR120" s="800"/>
      <c r="BS120" s="800"/>
      <c r="BT120" s="800"/>
      <c r="BU120" s="800"/>
      <c r="BV120" s="800"/>
      <c r="BW120" s="800"/>
      <c r="BX120" s="800"/>
      <c r="BY120" s="800"/>
      <c r="BZ120" s="800"/>
      <c r="CA120" s="800"/>
      <c r="CB120" s="800"/>
      <c r="CC120" s="800"/>
      <c r="CD120" s="800"/>
      <c r="CE120" s="800"/>
      <c r="CF120" s="800"/>
      <c r="CG120" s="800"/>
      <c r="CH120" s="800"/>
      <c r="CI120" s="800"/>
      <c r="CJ120" s="800"/>
      <c r="CK120" s="800"/>
      <c r="CL120" s="800"/>
      <c r="CM120" s="800"/>
      <c r="CN120" s="800"/>
      <c r="CO120" s="800"/>
      <c r="CP120" s="800"/>
      <c r="CQ120" s="800"/>
      <c r="CR120" s="800"/>
      <c r="CS120" s="800"/>
      <c r="CT120" s="800"/>
      <c r="CU120" s="800"/>
      <c r="CV120" s="800"/>
      <c r="CW120" s="800"/>
      <c r="CX120" s="800"/>
      <c r="CY120" s="800"/>
      <c r="CZ120" s="800"/>
      <c r="DA120" s="800"/>
      <c r="DB120" s="800"/>
      <c r="DC120" s="800"/>
      <c r="DD120" s="800"/>
      <c r="DE120" s="800"/>
      <c r="DF120" s="800"/>
      <c r="DG120" s="800"/>
      <c r="DH120" s="800"/>
      <c r="DI120" s="800"/>
      <c r="DJ120" s="800"/>
      <c r="DK120" s="800"/>
      <c r="DL120" s="800"/>
      <c r="DM120" s="800"/>
      <c r="DN120" s="800"/>
      <c r="DO120" s="800"/>
      <c r="DP120" s="800"/>
      <c r="DQ120" s="800"/>
      <c r="DR120" s="800"/>
      <c r="DS120" s="800"/>
      <c r="DT120" s="800"/>
      <c r="DU120" s="800"/>
      <c r="DV120" s="800"/>
      <c r="DW120" s="800"/>
      <c r="DX120" s="800"/>
      <c r="DY120" s="800"/>
      <c r="DZ120" s="800"/>
      <c r="EA120" s="800"/>
      <c r="EB120" s="800"/>
      <c r="EC120" s="800"/>
      <c r="ED120" s="800"/>
      <c r="EE120" s="800"/>
      <c r="EF120" s="800"/>
      <c r="EG120" s="800"/>
      <c r="EH120" s="800"/>
      <c r="EI120" s="800"/>
      <c r="EJ120" s="800"/>
      <c r="EK120" s="800"/>
      <c r="EL120" s="800"/>
      <c r="EM120" s="800"/>
      <c r="EN120" s="800"/>
      <c r="EO120" s="800"/>
      <c r="EP120" s="800"/>
      <c r="EQ120" s="800"/>
      <c r="ER120" s="800"/>
      <c r="ES120" s="800"/>
      <c r="ET120" s="800"/>
      <c r="EU120" s="800"/>
      <c r="EV120" s="800"/>
      <c r="EW120" s="800"/>
      <c r="EX120" s="800"/>
      <c r="EY120" s="800"/>
      <c r="EZ120" s="800"/>
      <c r="FA120" s="800"/>
      <c r="FB120" s="800"/>
      <c r="FC120" s="800"/>
      <c r="FD120" s="800"/>
      <c r="FE120" s="800"/>
      <c r="FF120" s="800"/>
      <c r="FG120" s="800"/>
      <c r="FH120" s="800"/>
      <c r="FI120" s="800"/>
      <c r="FJ120" s="800"/>
      <c r="FK120" s="800"/>
      <c r="FL120" s="800"/>
      <c r="FM120" s="800"/>
      <c r="FN120" s="800"/>
      <c r="FO120" s="800"/>
      <c r="FP120" s="800"/>
      <c r="FQ120" s="800"/>
      <c r="FR120" s="800"/>
      <c r="FS120" s="800"/>
      <c r="FT120" s="800"/>
      <c r="FU120" s="43"/>
      <c r="FV120" s="34"/>
      <c r="FW120" s="34"/>
      <c r="FX120" s="34"/>
      <c r="FY120" s="34"/>
      <c r="FZ120" s="34"/>
    </row>
    <row r="121" spans="1:182" s="89" customFormat="1" ht="13.5" x14ac:dyDescent="0.25">
      <c r="A121" s="34"/>
      <c r="B121" s="73" t="s">
        <v>570</v>
      </c>
      <c r="C121" s="34"/>
      <c r="D121" s="34"/>
      <c r="E121" s="34"/>
      <c r="F121" s="428"/>
      <c r="G121" s="34"/>
      <c r="H121" s="800"/>
      <c r="I121" s="800"/>
      <c r="J121" s="800"/>
      <c r="K121" s="800"/>
      <c r="L121" s="800"/>
      <c r="M121" s="800"/>
      <c r="N121" s="800"/>
      <c r="O121" s="800"/>
      <c r="P121" s="800"/>
      <c r="Q121" s="800"/>
      <c r="R121" s="800"/>
      <c r="S121" s="800"/>
      <c r="T121" s="800"/>
      <c r="U121" s="800"/>
      <c r="V121" s="800"/>
      <c r="W121" s="800"/>
      <c r="X121" s="800"/>
      <c r="Y121" s="800"/>
      <c r="Z121" s="800"/>
      <c r="AA121" s="800"/>
      <c r="AB121" s="800"/>
      <c r="AC121" s="800"/>
      <c r="AD121" s="800"/>
      <c r="AE121" s="800"/>
      <c r="AF121" s="800"/>
      <c r="AG121" s="800"/>
      <c r="AH121" s="800"/>
      <c r="AI121" s="800"/>
      <c r="AJ121" s="800"/>
      <c r="AK121" s="800"/>
      <c r="AL121" s="800"/>
      <c r="AM121" s="800"/>
      <c r="AN121" s="800"/>
      <c r="AO121" s="800"/>
      <c r="AP121" s="800"/>
      <c r="AQ121" s="800"/>
      <c r="AR121" s="800"/>
      <c r="AS121" s="800"/>
      <c r="AT121" s="800"/>
      <c r="AU121" s="800"/>
      <c r="AV121" s="800"/>
      <c r="AW121" s="800"/>
      <c r="AX121" s="800"/>
      <c r="AY121" s="800"/>
      <c r="AZ121" s="800"/>
      <c r="BA121" s="800"/>
      <c r="BB121" s="800"/>
      <c r="BC121" s="800"/>
      <c r="BD121" s="800"/>
      <c r="BE121" s="800"/>
      <c r="BF121" s="800"/>
      <c r="BG121" s="800"/>
      <c r="BH121" s="800"/>
      <c r="BI121" s="800"/>
      <c r="BJ121" s="800"/>
      <c r="BK121" s="800"/>
      <c r="BL121" s="800"/>
      <c r="BM121" s="800"/>
      <c r="BN121" s="800"/>
      <c r="BO121" s="800"/>
      <c r="BP121" s="800"/>
      <c r="BQ121" s="800"/>
      <c r="BR121" s="800"/>
      <c r="BS121" s="800"/>
      <c r="BT121" s="800"/>
      <c r="BU121" s="800"/>
      <c r="BV121" s="800"/>
      <c r="BW121" s="800"/>
      <c r="BX121" s="800"/>
      <c r="BY121" s="800"/>
      <c r="BZ121" s="800"/>
      <c r="CA121" s="800"/>
      <c r="CB121" s="800"/>
      <c r="CC121" s="800"/>
      <c r="CD121" s="800"/>
      <c r="CE121" s="800"/>
      <c r="CF121" s="800"/>
      <c r="CG121" s="800"/>
      <c r="CH121" s="800"/>
      <c r="CI121" s="800"/>
      <c r="CJ121" s="800"/>
      <c r="CK121" s="800"/>
      <c r="CL121" s="800"/>
      <c r="CM121" s="800"/>
      <c r="CN121" s="800"/>
      <c r="CO121" s="800"/>
      <c r="CP121" s="800"/>
      <c r="CQ121" s="800"/>
      <c r="CR121" s="800"/>
      <c r="CS121" s="800"/>
      <c r="CT121" s="800"/>
      <c r="CU121" s="800"/>
      <c r="CV121" s="800"/>
      <c r="CW121" s="800"/>
      <c r="CX121" s="800"/>
      <c r="CY121" s="800"/>
      <c r="CZ121" s="800"/>
      <c r="DA121" s="800"/>
      <c r="DB121" s="800"/>
      <c r="DC121" s="800"/>
      <c r="DD121" s="800"/>
      <c r="DE121" s="800"/>
      <c r="DF121" s="800"/>
      <c r="DG121" s="800"/>
      <c r="DH121" s="800"/>
      <c r="DI121" s="800"/>
      <c r="DJ121" s="800"/>
      <c r="DK121" s="800"/>
      <c r="DL121" s="800"/>
      <c r="DM121" s="800"/>
      <c r="DN121" s="800"/>
      <c r="DO121" s="800"/>
      <c r="DP121" s="800"/>
      <c r="DQ121" s="800"/>
      <c r="DR121" s="800"/>
      <c r="DS121" s="800"/>
      <c r="DT121" s="800"/>
      <c r="DU121" s="800"/>
      <c r="DV121" s="800"/>
      <c r="DW121" s="800"/>
      <c r="DX121" s="800"/>
      <c r="DY121" s="800"/>
      <c r="DZ121" s="800"/>
      <c r="EA121" s="800"/>
      <c r="EB121" s="800"/>
      <c r="EC121" s="800"/>
      <c r="ED121" s="800"/>
      <c r="EE121" s="800"/>
      <c r="EF121" s="800"/>
      <c r="EG121" s="800"/>
      <c r="EH121" s="800"/>
      <c r="EI121" s="800"/>
      <c r="EJ121" s="800"/>
      <c r="EK121" s="800"/>
      <c r="EL121" s="800"/>
      <c r="EM121" s="800"/>
      <c r="EN121" s="800"/>
      <c r="EO121" s="800"/>
      <c r="EP121" s="800"/>
      <c r="EQ121" s="800"/>
      <c r="ER121" s="800"/>
      <c r="ES121" s="800"/>
      <c r="ET121" s="800"/>
      <c r="EU121" s="800"/>
      <c r="EV121" s="800"/>
      <c r="EW121" s="800"/>
      <c r="EX121" s="800"/>
      <c r="EY121" s="800"/>
      <c r="EZ121" s="800"/>
      <c r="FA121" s="800"/>
      <c r="FB121" s="800"/>
      <c r="FC121" s="800"/>
      <c r="FD121" s="800"/>
      <c r="FE121" s="800"/>
      <c r="FF121" s="800"/>
      <c r="FG121" s="800"/>
      <c r="FH121" s="800"/>
      <c r="FI121" s="800"/>
      <c r="FJ121" s="800"/>
      <c r="FK121" s="800"/>
      <c r="FL121" s="800"/>
      <c r="FM121" s="800"/>
      <c r="FN121" s="800"/>
      <c r="FO121" s="800"/>
      <c r="FP121" s="800"/>
      <c r="FQ121" s="800"/>
      <c r="FR121" s="800"/>
      <c r="FS121" s="800"/>
      <c r="FT121" s="800"/>
      <c r="FU121" s="43"/>
      <c r="FV121" s="34"/>
      <c r="FW121" s="34"/>
      <c r="FX121" s="34"/>
      <c r="FY121" s="34"/>
      <c r="FZ121" s="34"/>
    </row>
    <row r="122" spans="1:182" s="89" customFormat="1" ht="13.5" x14ac:dyDescent="0.25">
      <c r="A122" s="34"/>
      <c r="B122" s="142"/>
      <c r="C122" s="34"/>
      <c r="D122" s="34"/>
      <c r="E122" s="34"/>
      <c r="F122" s="428"/>
      <c r="G122" s="34"/>
      <c r="H122" s="800"/>
      <c r="I122" s="800"/>
      <c r="J122" s="800"/>
      <c r="K122" s="800"/>
      <c r="L122" s="800"/>
      <c r="M122" s="800"/>
      <c r="N122" s="800"/>
      <c r="O122" s="800"/>
      <c r="P122" s="800"/>
      <c r="Q122" s="800"/>
      <c r="R122" s="800"/>
      <c r="S122" s="800"/>
      <c r="T122" s="800"/>
      <c r="U122" s="800"/>
      <c r="V122" s="800"/>
      <c r="W122" s="800"/>
      <c r="X122" s="800"/>
      <c r="Y122" s="800"/>
      <c r="Z122" s="800"/>
      <c r="AA122" s="800"/>
      <c r="AB122" s="800"/>
      <c r="AC122" s="800"/>
      <c r="AD122" s="800"/>
      <c r="AE122" s="800"/>
      <c r="AF122" s="800"/>
      <c r="AG122" s="800"/>
      <c r="AH122" s="800"/>
      <c r="AI122" s="800"/>
      <c r="AJ122" s="800"/>
      <c r="AK122" s="800"/>
      <c r="AL122" s="800"/>
      <c r="AM122" s="800"/>
      <c r="AN122" s="800"/>
      <c r="AO122" s="800"/>
      <c r="AP122" s="800"/>
      <c r="AQ122" s="800"/>
      <c r="AR122" s="800"/>
      <c r="AS122" s="800"/>
      <c r="AT122" s="800"/>
      <c r="AU122" s="800"/>
      <c r="AV122" s="800"/>
      <c r="AW122" s="800"/>
      <c r="AX122" s="800"/>
      <c r="AY122" s="800"/>
      <c r="AZ122" s="800"/>
      <c r="BA122" s="800"/>
      <c r="BB122" s="800"/>
      <c r="BC122" s="800"/>
      <c r="BD122" s="800"/>
      <c r="BE122" s="800"/>
      <c r="BF122" s="800"/>
      <c r="BG122" s="800"/>
      <c r="BH122" s="800"/>
      <c r="BI122" s="800"/>
      <c r="BJ122" s="800"/>
      <c r="BK122" s="800"/>
      <c r="BL122" s="800"/>
      <c r="BM122" s="800"/>
      <c r="BN122" s="800"/>
      <c r="BO122" s="800"/>
      <c r="BP122" s="800"/>
      <c r="BQ122" s="800"/>
      <c r="BR122" s="800"/>
      <c r="BS122" s="800"/>
      <c r="BT122" s="800"/>
      <c r="BU122" s="800"/>
      <c r="BV122" s="800"/>
      <c r="BW122" s="800"/>
      <c r="BX122" s="800"/>
      <c r="BY122" s="800"/>
      <c r="BZ122" s="800"/>
      <c r="CA122" s="800"/>
      <c r="CB122" s="800"/>
      <c r="CC122" s="800"/>
      <c r="CD122" s="800"/>
      <c r="CE122" s="800"/>
      <c r="CF122" s="800"/>
      <c r="CG122" s="800"/>
      <c r="CH122" s="800"/>
      <c r="CI122" s="800"/>
      <c r="CJ122" s="800"/>
      <c r="CK122" s="800"/>
      <c r="CL122" s="800"/>
      <c r="CM122" s="800"/>
      <c r="CN122" s="800"/>
      <c r="CO122" s="800"/>
      <c r="CP122" s="800"/>
      <c r="CQ122" s="800"/>
      <c r="CR122" s="800"/>
      <c r="CS122" s="800"/>
      <c r="CT122" s="800"/>
      <c r="CU122" s="800"/>
      <c r="CV122" s="800"/>
      <c r="CW122" s="800"/>
      <c r="CX122" s="800"/>
      <c r="CY122" s="800"/>
      <c r="CZ122" s="800"/>
      <c r="DA122" s="800"/>
      <c r="DB122" s="800"/>
      <c r="DC122" s="800"/>
      <c r="DD122" s="800"/>
      <c r="DE122" s="800"/>
      <c r="DF122" s="800"/>
      <c r="DG122" s="800"/>
      <c r="DH122" s="800"/>
      <c r="DI122" s="800"/>
      <c r="DJ122" s="800"/>
      <c r="DK122" s="800"/>
      <c r="DL122" s="800"/>
      <c r="DM122" s="800"/>
      <c r="DN122" s="800"/>
      <c r="DO122" s="800"/>
      <c r="DP122" s="800"/>
      <c r="DQ122" s="800"/>
      <c r="DR122" s="800"/>
      <c r="DS122" s="800"/>
      <c r="DT122" s="800"/>
      <c r="DU122" s="800"/>
      <c r="DV122" s="800"/>
      <c r="DW122" s="800"/>
      <c r="DX122" s="800"/>
      <c r="DY122" s="800"/>
      <c r="DZ122" s="800"/>
      <c r="EA122" s="800"/>
      <c r="EB122" s="800"/>
      <c r="EC122" s="800"/>
      <c r="ED122" s="800"/>
      <c r="EE122" s="800"/>
      <c r="EF122" s="800"/>
      <c r="EG122" s="800"/>
      <c r="EH122" s="800"/>
      <c r="EI122" s="800"/>
      <c r="EJ122" s="800"/>
      <c r="EK122" s="800"/>
      <c r="EL122" s="800"/>
      <c r="EM122" s="800"/>
      <c r="EN122" s="800"/>
      <c r="EO122" s="800"/>
      <c r="EP122" s="800"/>
      <c r="EQ122" s="800"/>
      <c r="ER122" s="800"/>
      <c r="ES122" s="800"/>
      <c r="ET122" s="800"/>
      <c r="EU122" s="800"/>
      <c r="EV122" s="800"/>
      <c r="EW122" s="800"/>
      <c r="EX122" s="800"/>
      <c r="EY122" s="800"/>
      <c r="EZ122" s="800"/>
      <c r="FA122" s="800"/>
      <c r="FB122" s="800"/>
      <c r="FC122" s="800"/>
      <c r="FD122" s="800"/>
      <c r="FE122" s="800"/>
      <c r="FF122" s="800"/>
      <c r="FG122" s="800"/>
      <c r="FH122" s="800"/>
      <c r="FI122" s="800"/>
      <c r="FJ122" s="800"/>
      <c r="FK122" s="800"/>
      <c r="FL122" s="800"/>
      <c r="FM122" s="800"/>
      <c r="FN122" s="800"/>
      <c r="FO122" s="800"/>
      <c r="FP122" s="800"/>
      <c r="FQ122" s="800"/>
      <c r="FR122" s="800"/>
      <c r="FS122" s="800"/>
      <c r="FT122" s="800"/>
      <c r="FU122" s="43"/>
      <c r="FV122" s="34"/>
      <c r="FW122" s="34"/>
      <c r="FX122" s="34"/>
      <c r="FY122" s="34"/>
      <c r="FZ122" s="34"/>
    </row>
    <row r="123" spans="1:182" s="89" customFormat="1" ht="13.5" x14ac:dyDescent="0.25">
      <c r="A123" s="34"/>
      <c r="B123" s="1216" t="s">
        <v>571</v>
      </c>
      <c r="C123" s="34"/>
      <c r="D123" s="34"/>
      <c r="E123" s="34"/>
      <c r="F123" s="428"/>
      <c r="G123" s="34"/>
      <c r="H123" s="800"/>
      <c r="I123" s="800"/>
      <c r="J123" s="800"/>
      <c r="K123" s="800"/>
      <c r="L123" s="800"/>
      <c r="M123" s="800"/>
      <c r="N123" s="800"/>
      <c r="O123" s="800"/>
      <c r="P123" s="800"/>
      <c r="Q123" s="800"/>
      <c r="R123" s="800"/>
      <c r="S123" s="800"/>
      <c r="T123" s="800"/>
      <c r="U123" s="800"/>
      <c r="V123" s="800"/>
      <c r="W123" s="800"/>
      <c r="X123" s="800"/>
      <c r="Y123" s="800"/>
      <c r="Z123" s="800"/>
      <c r="AA123" s="800"/>
      <c r="AB123" s="800"/>
      <c r="AC123" s="800"/>
      <c r="AD123" s="800"/>
      <c r="AE123" s="800"/>
      <c r="AF123" s="800"/>
      <c r="AG123" s="800"/>
      <c r="AH123" s="800"/>
      <c r="AI123" s="800"/>
      <c r="AJ123" s="800"/>
      <c r="AK123" s="800"/>
      <c r="AL123" s="800"/>
      <c r="AM123" s="800"/>
      <c r="AN123" s="800"/>
      <c r="AO123" s="800"/>
      <c r="AP123" s="800"/>
      <c r="AQ123" s="800"/>
      <c r="AR123" s="800"/>
      <c r="AS123" s="800"/>
      <c r="AT123" s="800"/>
      <c r="AU123" s="800"/>
      <c r="AV123" s="800"/>
      <c r="AW123" s="800"/>
      <c r="AX123" s="800"/>
      <c r="AY123" s="800"/>
      <c r="AZ123" s="800"/>
      <c r="BA123" s="800"/>
      <c r="BB123" s="800"/>
      <c r="BC123" s="800"/>
      <c r="BD123" s="800"/>
      <c r="BE123" s="800"/>
      <c r="BF123" s="800"/>
      <c r="BG123" s="800"/>
      <c r="BH123" s="800"/>
      <c r="BI123" s="800"/>
      <c r="BJ123" s="800"/>
      <c r="BK123" s="800"/>
      <c r="BL123" s="800"/>
      <c r="BM123" s="800"/>
      <c r="BN123" s="800"/>
      <c r="BO123" s="800"/>
      <c r="BP123" s="800"/>
      <c r="BQ123" s="800"/>
      <c r="BR123" s="800"/>
      <c r="BS123" s="800"/>
      <c r="BT123" s="800"/>
      <c r="BU123" s="800"/>
      <c r="BV123" s="800"/>
      <c r="BW123" s="800"/>
      <c r="BX123" s="800"/>
      <c r="BY123" s="800"/>
      <c r="BZ123" s="800"/>
      <c r="CA123" s="800"/>
      <c r="CB123" s="800"/>
      <c r="CC123" s="800"/>
      <c r="CD123" s="800"/>
      <c r="CE123" s="800"/>
      <c r="CF123" s="800"/>
      <c r="CG123" s="800"/>
      <c r="CH123" s="800"/>
      <c r="CI123" s="800"/>
      <c r="CJ123" s="800"/>
      <c r="CK123" s="800"/>
      <c r="CL123" s="800"/>
      <c r="CM123" s="800"/>
      <c r="CN123" s="800"/>
      <c r="CO123" s="800"/>
      <c r="CP123" s="800"/>
      <c r="CQ123" s="800"/>
      <c r="CR123" s="800"/>
      <c r="CS123" s="800"/>
      <c r="CT123" s="800"/>
      <c r="CU123" s="800"/>
      <c r="CV123" s="800"/>
      <c r="CW123" s="800"/>
      <c r="CX123" s="800"/>
      <c r="CY123" s="800"/>
      <c r="CZ123" s="800"/>
      <c r="DA123" s="800"/>
      <c r="DB123" s="800"/>
      <c r="DC123" s="800"/>
      <c r="DD123" s="800"/>
      <c r="DE123" s="800"/>
      <c r="DF123" s="800"/>
      <c r="DG123" s="800"/>
      <c r="DH123" s="800"/>
      <c r="DI123" s="800"/>
      <c r="DJ123" s="800"/>
      <c r="DK123" s="800"/>
      <c r="DL123" s="800"/>
      <c r="DM123" s="800"/>
      <c r="DN123" s="800"/>
      <c r="DO123" s="800"/>
      <c r="DP123" s="800"/>
      <c r="DQ123" s="800"/>
      <c r="DR123" s="800"/>
      <c r="DS123" s="800"/>
      <c r="DT123" s="800"/>
      <c r="DU123" s="800"/>
      <c r="DV123" s="800"/>
      <c r="DW123" s="800"/>
      <c r="DX123" s="800"/>
      <c r="DY123" s="800"/>
      <c r="DZ123" s="800"/>
      <c r="EA123" s="800"/>
      <c r="EB123" s="800"/>
      <c r="EC123" s="800"/>
      <c r="ED123" s="800"/>
      <c r="EE123" s="800"/>
      <c r="EF123" s="800"/>
      <c r="EG123" s="800"/>
      <c r="EH123" s="800"/>
      <c r="EI123" s="800"/>
      <c r="EJ123" s="800"/>
      <c r="EK123" s="800"/>
      <c r="EL123" s="800"/>
      <c r="EM123" s="800"/>
      <c r="EN123" s="800"/>
      <c r="EO123" s="800"/>
      <c r="EP123" s="800"/>
      <c r="EQ123" s="800"/>
      <c r="ER123" s="800"/>
      <c r="ES123" s="800"/>
      <c r="ET123" s="800"/>
      <c r="EU123" s="800"/>
      <c r="EV123" s="800"/>
      <c r="EW123" s="800"/>
      <c r="EX123" s="800"/>
      <c r="EY123" s="800"/>
      <c r="EZ123" s="800"/>
      <c r="FA123" s="800"/>
      <c r="FB123" s="800"/>
      <c r="FC123" s="800"/>
      <c r="FD123" s="800"/>
      <c r="FE123" s="800"/>
      <c r="FF123" s="800"/>
      <c r="FG123" s="800"/>
      <c r="FH123" s="800"/>
      <c r="FI123" s="800"/>
      <c r="FJ123" s="800"/>
      <c r="FK123" s="800"/>
      <c r="FL123" s="800"/>
      <c r="FM123" s="800"/>
      <c r="FN123" s="800"/>
      <c r="FO123" s="800"/>
      <c r="FP123" s="800"/>
      <c r="FQ123" s="800"/>
      <c r="FR123" s="800"/>
      <c r="FS123" s="800"/>
      <c r="FT123" s="800"/>
      <c r="FU123" s="43"/>
      <c r="FV123" s="34"/>
      <c r="FW123" s="34"/>
      <c r="FX123" s="34"/>
      <c r="FY123" s="34"/>
      <c r="FZ123" s="34"/>
    </row>
    <row r="124" spans="1:182" s="89" customFormat="1" ht="13.5" x14ac:dyDescent="0.25">
      <c r="A124" s="34"/>
      <c r="B124" s="373" t="s">
        <v>572</v>
      </c>
      <c r="C124" s="34"/>
      <c r="D124" s="34"/>
      <c r="E124" s="34"/>
      <c r="F124" s="434">
        <f>SUM(H124:FT124)</f>
        <v>39724164.164150499</v>
      </c>
      <c r="G124" s="34"/>
      <c r="H124" s="427">
        <f>-IF(OR(H11&lt;='Financing Assumptions'!$H$22,H$11&gt;'Financing Assumptions'!$H$26),0,INDEX('Senior Loan Amortization1'!$C$19:$X$440,MATCH(H$11,'Senior Loan Amortization1'!$F$19:$F$440,0),MATCH('Senior Loan Amortization1'!$Q$19,'Senior Loan Amortization1'!$C$19:$X$19,0)))</f>
        <v>0</v>
      </c>
      <c r="I124" s="427">
        <f>-IF(OR(I11&lt;='Financing Assumptions'!$H$22,I$11&gt;'Financing Assumptions'!$H$26),0,INDEX('Senior Loan Amortization1'!$C$19:$X$440,MATCH(I$11,'Senior Loan Amortization1'!$F$19:$F$440,0),MATCH('Senior Loan Amortization1'!$Q$19,'Senior Loan Amortization1'!$C$19:$X$19,0)))</f>
        <v>0</v>
      </c>
      <c r="J124" s="427">
        <f>-IF(OR(J11&lt;='Financing Assumptions'!$H$22,J$11&gt;'Financing Assumptions'!$H$26),0,INDEX('Senior Loan Amortization1'!$C$19:$X$440,MATCH(J$11,'Senior Loan Amortization1'!$F$19:$F$440,0),MATCH('Senior Loan Amortization1'!$Q$19,'Senior Loan Amortization1'!$C$19:$X$19,0)))</f>
        <v>0</v>
      </c>
      <c r="K124" s="427">
        <f>-IF(OR(K11&lt;='Financing Assumptions'!$H$22,K$11&gt;'Financing Assumptions'!$H$26),0,INDEX('Senior Loan Amortization1'!$C$19:$X$440,MATCH(K$11,'Senior Loan Amortization1'!$F$19:$F$440,0),MATCH('Senior Loan Amortization1'!$Q$19,'Senior Loan Amortization1'!$C$19:$X$19,0)))</f>
        <v>0</v>
      </c>
      <c r="L124" s="427">
        <f>-IF(OR(L11&lt;='Financing Assumptions'!$H$22,L$11&gt;'Financing Assumptions'!$H$26),0,INDEX('Senior Loan Amortization1'!$C$19:$X$440,MATCH(L$11,'Senior Loan Amortization1'!$F$19:$F$440,0),MATCH('Senior Loan Amortization1'!$Q$19,'Senior Loan Amortization1'!$C$19:$X$19,0)))</f>
        <v>0</v>
      </c>
      <c r="M124" s="427">
        <f>-IF(OR(M11&lt;='Financing Assumptions'!$H$22,M$11&gt;'Financing Assumptions'!$H$26),0,INDEX('Senior Loan Amortization1'!$C$19:$X$440,MATCH(M$11,'Senior Loan Amortization1'!$F$19:$F$440,0),MATCH('Senior Loan Amortization1'!$Q$19,'Senior Loan Amortization1'!$C$19:$X$19,0)))</f>
        <v>0</v>
      </c>
      <c r="N124" s="427">
        <f>-IF(OR(N11&lt;='Financing Assumptions'!$H$22,N$11&gt;'Financing Assumptions'!$H$26),0,INDEX('Senior Loan Amortization1'!$C$19:$X$440,MATCH(N$11,'Senior Loan Amortization1'!$F$19:$F$440,0),MATCH('Senior Loan Amortization1'!$Q$19,'Senior Loan Amortization1'!$C$19:$X$19,0)))</f>
        <v>0</v>
      </c>
      <c r="O124" s="427">
        <f>-IF(OR(O11&lt;='Financing Assumptions'!$H$22,O$11&gt;'Financing Assumptions'!$H$26),0,INDEX('Senior Loan Amortization1'!$C$19:$X$440,MATCH(O$11,'Senior Loan Amortization1'!$F$19:$F$440,0),MATCH('Senior Loan Amortization1'!$Q$19,'Senior Loan Amortization1'!$C$19:$X$19,0)))</f>
        <v>0</v>
      </c>
      <c r="P124" s="427">
        <f>-IF(OR(P11&lt;='Financing Assumptions'!$H$22,P$11&gt;'Financing Assumptions'!$H$26),0,INDEX('Senior Loan Amortization1'!$C$19:$X$440,MATCH(P$11,'Senior Loan Amortization1'!$F$19:$F$440,0),MATCH('Senior Loan Amortization1'!$Q$19,'Senior Loan Amortization1'!$C$19:$X$19,0)))</f>
        <v>0</v>
      </c>
      <c r="Q124" s="427">
        <f>-IF(OR(Q11&lt;='Financing Assumptions'!$H$22,Q$11&gt;'Financing Assumptions'!$H$26),0,INDEX('Senior Loan Amortization1'!$C$19:$X$440,MATCH(Q$11,'Senior Loan Amortization1'!$F$19:$F$440,0),MATCH('Senior Loan Amortization1'!$Q$19,'Senior Loan Amortization1'!$C$19:$X$19,0)))</f>
        <v>0</v>
      </c>
      <c r="R124" s="427">
        <f>-IF(OR(R11&lt;='Financing Assumptions'!$H$22,R$11&gt;'Financing Assumptions'!$H$26),0,INDEX('Senior Loan Amortization1'!$C$19:$X$440,MATCH(R$11,'Senior Loan Amortization1'!$F$19:$F$440,0),MATCH('Senior Loan Amortization1'!$Q$19,'Senior Loan Amortization1'!$C$19:$X$19,0)))</f>
        <v>0</v>
      </c>
      <c r="S124" s="427">
        <f>-IF(OR(S11&lt;='Financing Assumptions'!$H$22,S$11&gt;'Financing Assumptions'!$H$26),0,INDEX('Senior Loan Amortization1'!$C$19:$X$440,MATCH(S$11,'Senior Loan Amortization1'!$F$19:$F$440,0),MATCH('Senior Loan Amortization1'!$Q$19,'Senior Loan Amortization1'!$C$19:$X$19,0)))</f>
        <v>0</v>
      </c>
      <c r="T124" s="427">
        <f>-IF(OR(T11&lt;='Financing Assumptions'!$H$22,T$11&gt;'Financing Assumptions'!$H$26),0,INDEX('Senior Loan Amortization1'!$C$19:$X$440,MATCH(T$11,'Senior Loan Amortization1'!$F$19:$F$440,0),MATCH('Senior Loan Amortization1'!$Q$19,'Senior Loan Amortization1'!$C$19:$X$19,0)))</f>
        <v>0</v>
      </c>
      <c r="U124" s="427">
        <f>-IF(OR(U11&lt;='Financing Assumptions'!$H$22,U$11&gt;'Financing Assumptions'!$H$26),0,INDEX('Senior Loan Amortization1'!$C$19:$X$440,MATCH(U$11,'Senior Loan Amortization1'!$F$19:$F$440,0),MATCH('Senior Loan Amortization1'!$Q$19,'Senior Loan Amortization1'!$C$19:$X$19,0)))</f>
        <v>0</v>
      </c>
      <c r="V124" s="427">
        <f>-IF(OR(V11&lt;='Financing Assumptions'!$H$22,V$11&gt;'Financing Assumptions'!$H$26),0,INDEX('Senior Loan Amortization1'!$C$19:$X$440,MATCH(V$11,'Senior Loan Amortization1'!$F$19:$F$440,0),MATCH('Senior Loan Amortization1'!$Q$19,'Senior Loan Amortization1'!$C$19:$X$19,0)))</f>
        <v>0</v>
      </c>
      <c r="W124" s="427">
        <f>-IF(OR(W11&lt;='Financing Assumptions'!$H$22,W$11&gt;'Financing Assumptions'!$H$26),0,INDEX('Senior Loan Amortization1'!$C$19:$X$440,MATCH(W$11,'Senior Loan Amortization1'!$F$19:$F$440,0),MATCH('Senior Loan Amortization1'!$Q$19,'Senior Loan Amortization1'!$C$19:$X$19,0)))</f>
        <v>0</v>
      </c>
      <c r="X124" s="427">
        <f>-IF(OR(X11&lt;='Financing Assumptions'!$H$22,X$11&gt;'Financing Assumptions'!$H$26),0,INDEX('Senior Loan Amortization1'!$C$19:$X$440,MATCH(X$11,'Senior Loan Amortization1'!$F$19:$F$440,0),MATCH('Senior Loan Amortization1'!$Q$19,'Senior Loan Amortization1'!$C$19:$X$19,0)))</f>
        <v>0</v>
      </c>
      <c r="Y124" s="427">
        <f>-IF(OR(Y11&lt;='Financing Assumptions'!$H$22,Y$11&gt;'Financing Assumptions'!$H$26),0,INDEX('Senior Loan Amortization1'!$C$19:$X$440,MATCH(Y$11,'Senior Loan Amortization1'!$F$19:$F$440,0),MATCH('Senior Loan Amortization1'!$Q$19,'Senior Loan Amortization1'!$C$19:$X$19,0)))</f>
        <v>0</v>
      </c>
      <c r="Z124" s="427">
        <f>-IF(OR(Z11&lt;='Financing Assumptions'!$H$22,Z$11&gt;'Financing Assumptions'!$H$26),0,INDEX('Senior Loan Amortization1'!$C$19:$X$440,MATCH(Z$11,'Senior Loan Amortization1'!$F$19:$F$440,0),MATCH('Senior Loan Amortization1'!$Q$19,'Senior Loan Amortization1'!$C$19:$X$19,0)))</f>
        <v>0</v>
      </c>
      <c r="AA124" s="427">
        <f>-IF(OR(AA11&lt;='Financing Assumptions'!$H$22,AA$11&gt;'Financing Assumptions'!$H$26),0,INDEX('Senior Loan Amortization1'!$C$19:$X$440,MATCH(AA$11,'Senior Loan Amortization1'!$F$19:$F$440,0),MATCH('Senior Loan Amortization1'!$Q$19,'Senior Loan Amortization1'!$C$19:$X$19,0)))</f>
        <v>0</v>
      </c>
      <c r="AB124" s="427">
        <f>-IF(OR(AB11&lt;='Financing Assumptions'!$H$22,AB$11&gt;'Financing Assumptions'!$H$26),0,INDEX('Senior Loan Amortization1'!$C$19:$X$440,MATCH(AB$11,'Senior Loan Amortization1'!$F$19:$F$440,0),MATCH('Senior Loan Amortization1'!$Q$19,'Senior Loan Amortization1'!$C$19:$X$19,0)))</f>
        <v>0</v>
      </c>
      <c r="AC124" s="427">
        <f>-IF(OR(AC11&lt;='Financing Assumptions'!$H$22,AC$11&gt;'Financing Assumptions'!$H$26),0,INDEX('Senior Loan Amortization1'!$C$19:$X$440,MATCH(AC$11,'Senior Loan Amortization1'!$F$19:$F$440,0),MATCH('Senior Loan Amortization1'!$Q$19,'Senior Loan Amortization1'!$C$19:$X$19,0)))</f>
        <v>0</v>
      </c>
      <c r="AD124" s="427">
        <f>-IF(OR(AD11&lt;='Financing Assumptions'!$H$22,AD$11&gt;'Financing Assumptions'!$H$26),0,INDEX('Senior Loan Amortization1'!$C$19:$X$440,MATCH(AD$11,'Senior Loan Amortization1'!$F$19:$F$440,0),MATCH('Senior Loan Amortization1'!$Q$19,'Senior Loan Amortization1'!$C$19:$X$19,0)))</f>
        <v>0</v>
      </c>
      <c r="AE124" s="427">
        <f>-IF(OR(AE11&lt;='Financing Assumptions'!$H$22,AE$11&gt;'Financing Assumptions'!$H$26),0,INDEX('Senior Loan Amortization1'!$C$19:$X$440,MATCH(AE$11,'Senior Loan Amortization1'!$F$19:$F$440,0),MATCH('Senior Loan Amortization1'!$Q$19,'Senior Loan Amortization1'!$C$19:$X$19,0)))</f>
        <v>0</v>
      </c>
      <c r="AF124" s="427">
        <f>-IF(OR(AF11&lt;='Financing Assumptions'!$H$22,AF$11&gt;'Financing Assumptions'!$H$26),0,INDEX('Senior Loan Amortization1'!$C$19:$X$440,MATCH(AF$11,'Senior Loan Amortization1'!$F$19:$F$440,0),MATCH('Senior Loan Amortization1'!$Q$19,'Senior Loan Amortization1'!$C$19:$X$19,0)))</f>
        <v>0</v>
      </c>
      <c r="AG124" s="427">
        <f>-IF(OR(AG11&lt;='Financing Assumptions'!$H$22,AG$11&gt;'Financing Assumptions'!$H$26),0,INDEX('Senior Loan Amortization1'!$C$19:$X$440,MATCH(AG$11,'Senior Loan Amortization1'!$F$19:$F$440,0),MATCH('Senior Loan Amortization1'!$Q$19,'Senior Loan Amortization1'!$C$19:$X$19,0)))</f>
        <v>0</v>
      </c>
      <c r="AH124" s="427">
        <f>-IF(OR(AH11&lt;='Financing Assumptions'!$H$22,AH$11&gt;'Financing Assumptions'!$H$26),0,INDEX('Senior Loan Amortization1'!$C$19:$X$440,MATCH(AH$11,'Senior Loan Amortization1'!$F$19:$F$440,0),MATCH('Senior Loan Amortization1'!$Q$19,'Senior Loan Amortization1'!$C$19:$X$19,0)))</f>
        <v>0</v>
      </c>
      <c r="AI124" s="427">
        <f>-IF(OR(AI11&lt;='Financing Assumptions'!$H$22,AI$11&gt;'Financing Assumptions'!$H$26),0,INDEX('Senior Loan Amortization1'!$C$19:$X$440,MATCH(AI$11,'Senior Loan Amortization1'!$F$19:$F$440,0),MATCH('Senior Loan Amortization1'!$Q$19,'Senior Loan Amortization1'!$C$19:$X$19,0)))</f>
        <v>0</v>
      </c>
      <c r="AJ124" s="427">
        <f>-IF(OR(AJ11&lt;='Financing Assumptions'!$H$22,AJ$11&gt;'Financing Assumptions'!$H$26),0,INDEX('Senior Loan Amortization1'!$C$19:$X$440,MATCH(AJ$11,'Senior Loan Amortization1'!$F$19:$F$440,0),MATCH('Senior Loan Amortization1'!$Q$19,'Senior Loan Amortization1'!$C$19:$X$19,0)))</f>
        <v>0</v>
      </c>
      <c r="AK124" s="427">
        <f>-IF(OR(AK11&lt;='Financing Assumptions'!$H$22,AK$11&gt;'Financing Assumptions'!$H$26),0,INDEX('Senior Loan Amortization1'!$C$19:$X$440,MATCH(AK$11,'Senior Loan Amortization1'!$F$19:$F$440,0),MATCH('Senior Loan Amortization1'!$Q$19,'Senior Loan Amortization1'!$C$19:$X$19,0)))</f>
        <v>235653.12499999997</v>
      </c>
      <c r="AL124" s="427">
        <f>-IF(OR(AL11&lt;='Financing Assumptions'!$H$22,AL$11&gt;'Financing Assumptions'!$H$26),0,INDEX('Senior Loan Amortization1'!$C$19:$X$440,MATCH(AL$11,'Senior Loan Amortization1'!$F$19:$F$440,0),MATCH('Senior Loan Amortization1'!$Q$19,'Senior Loan Amortization1'!$C$19:$X$19,0)))</f>
        <v>235653.12499999997</v>
      </c>
      <c r="AM124" s="427">
        <f>-IF(OR(AM11&lt;='Financing Assumptions'!$H$22,AM$11&gt;'Financing Assumptions'!$H$26),0,INDEX('Senior Loan Amortization1'!$C$19:$X$440,MATCH(AM$11,'Senior Loan Amortization1'!$F$19:$F$440,0),MATCH('Senior Loan Amortization1'!$Q$19,'Senior Loan Amortization1'!$C$19:$X$19,0)))</f>
        <v>235653.12499999997</v>
      </c>
      <c r="AN124" s="427">
        <f>-IF(OR(AN11&lt;='Financing Assumptions'!$H$22,AN$11&gt;'Financing Assumptions'!$H$26),0,INDEX('Senior Loan Amortization1'!$C$19:$X$440,MATCH(AN$11,'Senior Loan Amortization1'!$F$19:$F$440,0),MATCH('Senior Loan Amortization1'!$Q$19,'Senior Loan Amortization1'!$C$19:$X$19,0)))</f>
        <v>235653.12499999997</v>
      </c>
      <c r="AO124" s="427">
        <f>-IF(OR(AO11&lt;='Financing Assumptions'!$H$22,AO$11&gt;'Financing Assumptions'!$H$26),0,INDEX('Senior Loan Amortization1'!$C$19:$X$440,MATCH(AO$11,'Senior Loan Amortization1'!$F$19:$F$440,0),MATCH('Senior Loan Amortization1'!$Q$19,'Senior Loan Amortization1'!$C$19:$X$19,0)))</f>
        <v>235653.12499999997</v>
      </c>
      <c r="AP124" s="427">
        <f>-IF(OR(AP11&lt;='Financing Assumptions'!$H$22,AP$11&gt;'Financing Assumptions'!$H$26),0,INDEX('Senior Loan Amortization1'!$C$19:$X$440,MATCH(AP$11,'Senior Loan Amortization1'!$F$19:$F$440,0),MATCH('Senior Loan Amortization1'!$Q$19,'Senior Loan Amortization1'!$C$19:$X$19,0)))</f>
        <v>235653.12499999997</v>
      </c>
      <c r="AQ124" s="427">
        <f>-IF(OR(AQ11&lt;='Financing Assumptions'!$H$22,AQ$11&gt;'Financing Assumptions'!$H$26),0,INDEX('Senior Loan Amortization1'!$C$19:$X$440,MATCH(AQ$11,'Senior Loan Amortization1'!$F$19:$F$440,0),MATCH('Senior Loan Amortization1'!$Q$19,'Senior Loan Amortization1'!$C$19:$X$19,0)))</f>
        <v>235653.12499999997</v>
      </c>
      <c r="AR124" s="427">
        <f>-IF(OR(AR11&lt;='Financing Assumptions'!$H$22,AR$11&gt;'Financing Assumptions'!$H$26),0,INDEX('Senior Loan Amortization1'!$C$19:$X$440,MATCH(AR$11,'Senior Loan Amortization1'!$F$19:$F$440,0),MATCH('Senior Loan Amortization1'!$Q$19,'Senior Loan Amortization1'!$C$19:$X$19,0)))</f>
        <v>235653.12499999997</v>
      </c>
      <c r="AS124" s="427">
        <f>-IF(OR(AS11&lt;='Financing Assumptions'!$H$22,AS$11&gt;'Financing Assumptions'!$H$26),0,INDEX('Senior Loan Amortization1'!$C$19:$X$440,MATCH(AS$11,'Senior Loan Amortization1'!$F$19:$F$440,0),MATCH('Senior Loan Amortization1'!$Q$19,'Senior Loan Amortization1'!$C$19:$X$19,0)))</f>
        <v>235653.12499999997</v>
      </c>
      <c r="AT124" s="427">
        <f>-IF(OR(AT11&lt;='Financing Assumptions'!$H$22,AT$11&gt;'Financing Assumptions'!$H$26),0,INDEX('Senior Loan Amortization1'!$C$19:$X$440,MATCH(AT$11,'Senior Loan Amortization1'!$F$19:$F$440,0),MATCH('Senior Loan Amortization1'!$Q$19,'Senior Loan Amortization1'!$C$19:$X$19,0)))</f>
        <v>235653.12499999997</v>
      </c>
      <c r="AU124" s="427">
        <f>-IF(OR(AU11&lt;='Financing Assumptions'!$H$22,AU$11&gt;'Financing Assumptions'!$H$26),0,INDEX('Senior Loan Amortization1'!$C$19:$X$440,MATCH(AU$11,'Senior Loan Amortization1'!$F$19:$F$440,0),MATCH('Senior Loan Amortization1'!$Q$19,'Senior Loan Amortization1'!$C$19:$X$19,0)))</f>
        <v>235653.12499999997</v>
      </c>
      <c r="AV124" s="427">
        <f>-IF(OR(AV11&lt;='Financing Assumptions'!$H$22,AV$11&gt;'Financing Assumptions'!$H$26),0,INDEX('Senior Loan Amortization1'!$C$19:$X$440,MATCH(AV$11,'Senior Loan Amortization1'!$F$19:$F$440,0),MATCH('Senior Loan Amortization1'!$Q$19,'Senior Loan Amortization1'!$C$19:$X$19,0)))</f>
        <v>235653.12499999997</v>
      </c>
      <c r="AW124" s="427">
        <f>-IF(OR(AW11&lt;='Financing Assumptions'!$H$22,AW$11&gt;'Financing Assumptions'!$H$26),0,INDEX('Senior Loan Amortization1'!$C$19:$X$440,MATCH(AW$11,'Senior Loan Amortization1'!$F$19:$F$440,0),MATCH('Senior Loan Amortization1'!$Q$19,'Senior Loan Amortization1'!$C$19:$X$19,0)))</f>
        <v>235653.12499999997</v>
      </c>
      <c r="AX124" s="427">
        <f>-IF(OR(AX11&lt;='Financing Assumptions'!$H$22,AX$11&gt;'Financing Assumptions'!$H$26),0,INDEX('Senior Loan Amortization1'!$C$19:$X$440,MATCH(AX$11,'Senior Loan Amortization1'!$F$19:$F$440,0),MATCH('Senior Loan Amortization1'!$Q$19,'Senior Loan Amortization1'!$C$19:$X$19,0)))</f>
        <v>235653.12499999997</v>
      </c>
      <c r="AY124" s="427">
        <f>-IF(OR(AY11&lt;='Financing Assumptions'!$H$22,AY$11&gt;'Financing Assumptions'!$H$26),0,INDEX('Senior Loan Amortization1'!$C$19:$X$440,MATCH(AY$11,'Senior Loan Amortization1'!$F$19:$F$440,0),MATCH('Senior Loan Amortization1'!$Q$19,'Senior Loan Amortization1'!$C$19:$X$19,0)))</f>
        <v>235653.12499999997</v>
      </c>
      <c r="AZ124" s="427">
        <f>-IF(OR(AZ11&lt;='Financing Assumptions'!$H$22,AZ$11&gt;'Financing Assumptions'!$H$26),0,INDEX('Senior Loan Amortization1'!$C$19:$X$440,MATCH(AZ$11,'Senior Loan Amortization1'!$F$19:$F$440,0),MATCH('Senior Loan Amortization1'!$Q$19,'Senior Loan Amortization1'!$C$19:$X$19,0)))</f>
        <v>235653.12499999997</v>
      </c>
      <c r="BA124" s="427">
        <f>-IF(OR(BA11&lt;='Financing Assumptions'!$H$22,BA$11&gt;'Financing Assumptions'!$H$26),0,INDEX('Senior Loan Amortization1'!$C$19:$X$440,MATCH(BA$11,'Senior Loan Amortization1'!$F$19:$F$440,0),MATCH('Senior Loan Amortization1'!$Q$19,'Senior Loan Amortization1'!$C$19:$X$19,0)))</f>
        <v>235653.12499999997</v>
      </c>
      <c r="BB124" s="427">
        <f>-IF(OR(BB11&lt;='Financing Assumptions'!$H$22,BB$11&gt;'Financing Assumptions'!$H$26),0,INDEX('Senior Loan Amortization1'!$C$19:$X$440,MATCH(BB$11,'Senior Loan Amortization1'!$F$19:$F$440,0),MATCH('Senior Loan Amortization1'!$Q$19,'Senior Loan Amortization1'!$C$19:$X$19,0)))</f>
        <v>235653.12499999997</v>
      </c>
      <c r="BC124" s="427">
        <f>-IF(OR(BC11&lt;='Financing Assumptions'!$H$22,BC$11&gt;'Financing Assumptions'!$H$26),0,INDEX('Senior Loan Amortization1'!$C$19:$X$440,MATCH(BC$11,'Senior Loan Amortization1'!$F$19:$F$440,0),MATCH('Senior Loan Amortization1'!$Q$19,'Senior Loan Amortization1'!$C$19:$X$19,0)))</f>
        <v>235653.12499999997</v>
      </c>
      <c r="BD124" s="427">
        <f>-IF(OR(BD11&lt;='Financing Assumptions'!$H$22,BD$11&gt;'Financing Assumptions'!$H$26),0,INDEX('Senior Loan Amortization1'!$C$19:$X$440,MATCH(BD$11,'Senior Loan Amortization1'!$F$19:$F$440,0),MATCH('Senior Loan Amortization1'!$Q$19,'Senior Loan Amortization1'!$C$19:$X$19,0)))</f>
        <v>235653.12499999997</v>
      </c>
      <c r="BE124" s="427">
        <f>-IF(OR(BE11&lt;='Financing Assumptions'!$H$22,BE$11&gt;'Financing Assumptions'!$H$26),0,INDEX('Senior Loan Amortization1'!$C$19:$X$440,MATCH(BE$11,'Senior Loan Amortization1'!$F$19:$F$440,0),MATCH('Senior Loan Amortization1'!$Q$19,'Senior Loan Amortization1'!$C$19:$X$19,0)))</f>
        <v>235653.12499999997</v>
      </c>
      <c r="BF124" s="427">
        <f>-IF(OR(BF11&lt;='Financing Assumptions'!$H$22,BF$11&gt;'Financing Assumptions'!$H$26),0,INDEX('Senior Loan Amortization1'!$C$19:$X$440,MATCH(BF$11,'Senior Loan Amortization1'!$F$19:$F$440,0),MATCH('Senior Loan Amortization1'!$Q$19,'Senior Loan Amortization1'!$C$19:$X$19,0)))</f>
        <v>235653.12499999997</v>
      </c>
      <c r="BG124" s="427">
        <f>-IF(OR(BG11&lt;='Financing Assumptions'!$H$22,BG$11&gt;'Financing Assumptions'!$H$26),0,INDEX('Senior Loan Amortization1'!$C$19:$X$440,MATCH(BG$11,'Senior Loan Amortization1'!$F$19:$F$440,0),MATCH('Senior Loan Amortization1'!$Q$19,'Senior Loan Amortization1'!$C$19:$X$19,0)))</f>
        <v>235653.12499999997</v>
      </c>
      <c r="BH124" s="427">
        <f>-IF(OR(BH11&lt;='Financing Assumptions'!$H$22,BH$11&gt;'Financing Assumptions'!$H$26),0,INDEX('Senior Loan Amortization1'!$C$19:$X$440,MATCH(BH$11,'Senior Loan Amortization1'!$F$19:$F$440,0),MATCH('Senior Loan Amortization1'!$Q$19,'Senior Loan Amortization1'!$C$19:$X$19,0)))</f>
        <v>235653.12499999997</v>
      </c>
      <c r="BI124" s="427">
        <f>-IF(OR(BI11&lt;='Financing Assumptions'!$H$22,BI$11&gt;'Financing Assumptions'!$H$26),0,INDEX('Senior Loan Amortization1'!$C$19:$X$440,MATCH(BI$11,'Senior Loan Amortization1'!$F$19:$F$440,0),MATCH('Senior Loan Amortization1'!$Q$19,'Senior Loan Amortization1'!$C$19:$X$19,0)))</f>
        <v>235653.12499999997</v>
      </c>
      <c r="BJ124" s="427">
        <f>-IF(OR(BJ11&lt;='Financing Assumptions'!$H$22,BJ$11&gt;'Financing Assumptions'!$H$26),0,INDEX('Senior Loan Amortization1'!$C$19:$X$440,MATCH(BJ$11,'Senior Loan Amortization1'!$F$19:$F$440,0),MATCH('Senior Loan Amortization1'!$Q$19,'Senior Loan Amortization1'!$C$19:$X$19,0)))</f>
        <v>235653.12499999997</v>
      </c>
      <c r="BK124" s="427">
        <f>-IF(OR(BK11&lt;='Financing Assumptions'!$H$22,BK$11&gt;'Financing Assumptions'!$H$26),0,INDEX('Senior Loan Amortization1'!$C$19:$X$440,MATCH(BK$11,'Senior Loan Amortization1'!$F$19:$F$440,0),MATCH('Senior Loan Amortization1'!$Q$19,'Senior Loan Amortization1'!$C$19:$X$19,0)))</f>
        <v>235653.12499999997</v>
      </c>
      <c r="BL124" s="427">
        <f>-IF(OR(BL11&lt;='Financing Assumptions'!$H$22,BL$11&gt;'Financing Assumptions'!$H$26),0,INDEX('Senior Loan Amortization1'!$C$19:$X$440,MATCH(BL$11,'Senior Loan Amortization1'!$F$19:$F$440,0),MATCH('Senior Loan Amortization1'!$Q$19,'Senior Loan Amortization1'!$C$19:$X$19,0)))</f>
        <v>235653.12499999997</v>
      </c>
      <c r="BM124" s="427">
        <f>-IF(OR(BM11&lt;='Financing Assumptions'!$H$22,BM$11&gt;'Financing Assumptions'!$H$26),0,INDEX('Senior Loan Amortization1'!$C$19:$X$440,MATCH(BM$11,'Senior Loan Amortization1'!$F$19:$F$440,0),MATCH('Senior Loan Amortization1'!$Q$19,'Senior Loan Amortization1'!$C$19:$X$19,0)))</f>
        <v>235653.12499999997</v>
      </c>
      <c r="BN124" s="427">
        <f>-IF(OR(BN11&lt;='Financing Assumptions'!$H$22,BN$11&gt;'Financing Assumptions'!$H$26),0,INDEX('Senior Loan Amortization1'!$C$19:$X$440,MATCH(BN$11,'Senior Loan Amortization1'!$F$19:$F$440,0),MATCH('Senior Loan Amortization1'!$Q$19,'Senior Loan Amortization1'!$C$19:$X$19,0)))</f>
        <v>235653.12499999997</v>
      </c>
      <c r="BO124" s="427">
        <f>-IF(OR(BO11&lt;='Financing Assumptions'!$H$22,BO$11&gt;'Financing Assumptions'!$H$26),0,INDEX('Senior Loan Amortization1'!$C$19:$X$440,MATCH(BO$11,'Senior Loan Amortization1'!$F$19:$F$440,0),MATCH('Senior Loan Amortization1'!$Q$19,'Senior Loan Amortization1'!$C$19:$X$19,0)))</f>
        <v>235653.12499999997</v>
      </c>
      <c r="BP124" s="427">
        <f>-IF(OR(BP11&lt;='Financing Assumptions'!$H$22,BP$11&gt;'Financing Assumptions'!$H$26),0,INDEX('Senior Loan Amortization1'!$C$19:$X$440,MATCH(BP$11,'Senior Loan Amortization1'!$F$19:$F$440,0),MATCH('Senior Loan Amortization1'!$Q$19,'Senior Loan Amortization1'!$C$19:$X$19,0)))</f>
        <v>235653.12499999997</v>
      </c>
      <c r="BQ124" s="427">
        <f>-IF(OR(BQ11&lt;='Financing Assumptions'!$H$22,BQ$11&gt;'Financing Assumptions'!$H$26),0,INDEX('Senior Loan Amortization1'!$C$19:$X$440,MATCH(BQ$11,'Senior Loan Amortization1'!$F$19:$F$440,0),MATCH('Senior Loan Amortization1'!$Q$19,'Senior Loan Amortization1'!$C$19:$X$19,0)))</f>
        <v>235653.12499999997</v>
      </c>
      <c r="BR124" s="427">
        <f>-IF(OR(BR11&lt;='Financing Assumptions'!$H$22,BR$11&gt;'Financing Assumptions'!$H$26),0,INDEX('Senior Loan Amortization1'!$C$19:$X$440,MATCH(BR$11,'Senior Loan Amortization1'!$F$19:$F$440,0),MATCH('Senior Loan Amortization1'!$Q$19,'Senior Loan Amortization1'!$C$19:$X$19,0)))</f>
        <v>235653.12499999997</v>
      </c>
      <c r="BS124" s="427">
        <f>-IF(OR(BS11&lt;='Financing Assumptions'!$H$22,BS$11&gt;'Financing Assumptions'!$H$26),0,INDEX('Senior Loan Amortization1'!$C$19:$X$440,MATCH(BS$11,'Senior Loan Amortization1'!$F$19:$F$440,0),MATCH('Senior Loan Amortization1'!$Q$19,'Senior Loan Amortization1'!$C$19:$X$19,0)))</f>
        <v>235653.12499999997</v>
      </c>
      <c r="BT124" s="427">
        <f>-IF(OR(BT11&lt;='Financing Assumptions'!$H$22,BT$11&gt;'Financing Assumptions'!$H$26),0,INDEX('Senior Loan Amortization1'!$C$19:$X$440,MATCH(BT$11,'Senior Loan Amortization1'!$F$19:$F$440,0),MATCH('Senior Loan Amortization1'!$Q$19,'Senior Loan Amortization1'!$C$19:$X$19,0)))</f>
        <v>235653.12499999997</v>
      </c>
      <c r="BU124" s="427">
        <f>-IF(OR(BU11&lt;='Financing Assumptions'!$H$22,BU$11&gt;'Financing Assumptions'!$H$26),0,INDEX('Senior Loan Amortization1'!$C$19:$X$440,MATCH(BU$11,'Senior Loan Amortization1'!$F$19:$F$440,0),MATCH('Senior Loan Amortization1'!$Q$19,'Senior Loan Amortization1'!$C$19:$X$19,0)))</f>
        <v>235653.12499999997</v>
      </c>
      <c r="BV124" s="427">
        <f>-IF(OR(BV11&lt;='Financing Assumptions'!$H$22,BV$11&gt;'Financing Assumptions'!$H$26),0,INDEX('Senior Loan Amortization1'!$C$19:$X$440,MATCH(BV$11,'Senior Loan Amortization1'!$F$19:$F$440,0),MATCH('Senior Loan Amortization1'!$Q$19,'Senior Loan Amortization1'!$C$19:$X$19,0)))</f>
        <v>235653.12499999997</v>
      </c>
      <c r="BW124" s="427">
        <f>-IF(OR(BW11&lt;='Financing Assumptions'!$H$22,BW$11&gt;'Financing Assumptions'!$H$26),0,INDEX('Senior Loan Amortization1'!$C$19:$X$440,MATCH(BW$11,'Senior Loan Amortization1'!$F$19:$F$440,0),MATCH('Senior Loan Amortization1'!$Q$19,'Senior Loan Amortization1'!$C$19:$X$19,0)))</f>
        <v>235653.12499999997</v>
      </c>
      <c r="BX124" s="427">
        <f>-IF(OR(BX11&lt;='Financing Assumptions'!$H$22,BX$11&gt;'Financing Assumptions'!$H$26),0,INDEX('Senior Loan Amortization1'!$C$19:$X$440,MATCH(BX$11,'Senior Loan Amortization1'!$F$19:$F$440,0),MATCH('Senior Loan Amortization1'!$Q$19,'Senior Loan Amortization1'!$C$19:$X$19,0)))</f>
        <v>235653.12499999997</v>
      </c>
      <c r="BY124" s="427">
        <f>-IF(OR(BY11&lt;='Financing Assumptions'!$H$22,BY$11&gt;'Financing Assumptions'!$H$26),0,INDEX('Senior Loan Amortization1'!$C$19:$X$440,MATCH(BY$11,'Senior Loan Amortization1'!$F$19:$F$440,0),MATCH('Senior Loan Amortization1'!$Q$19,'Senior Loan Amortization1'!$C$19:$X$19,0)))</f>
        <v>235653.12499999997</v>
      </c>
      <c r="BZ124" s="427">
        <f>-IF(OR(BZ11&lt;='Financing Assumptions'!$H$22,BZ$11&gt;'Financing Assumptions'!$H$26),0,INDEX('Senior Loan Amortization1'!$C$19:$X$440,MATCH(BZ$11,'Senior Loan Amortization1'!$F$19:$F$440,0),MATCH('Senior Loan Amortization1'!$Q$19,'Senior Loan Amortization1'!$C$19:$X$19,0)))</f>
        <v>235653.12499999997</v>
      </c>
      <c r="CA124" s="427">
        <f>-IF(OR(CA11&lt;='Financing Assumptions'!$H$22,CA$11&gt;'Financing Assumptions'!$H$26),0,INDEX('Senior Loan Amortization1'!$C$19:$X$440,MATCH(CA$11,'Senior Loan Amortization1'!$F$19:$F$440,0),MATCH('Senior Loan Amortization1'!$Q$19,'Senior Loan Amortization1'!$C$19:$X$19,0)))</f>
        <v>235653.12499999997</v>
      </c>
      <c r="CB124" s="427">
        <f>-IF(OR(CB11&lt;='Financing Assumptions'!$H$22,CB$11&gt;'Financing Assumptions'!$H$26),0,INDEX('Senior Loan Amortization1'!$C$19:$X$440,MATCH(CB$11,'Senior Loan Amortization1'!$F$19:$F$440,0),MATCH('Senior Loan Amortization1'!$Q$19,'Senior Loan Amortization1'!$C$19:$X$19,0)))</f>
        <v>235653.12499999997</v>
      </c>
      <c r="CC124" s="427">
        <f>-IF(OR(CC11&lt;='Financing Assumptions'!$H$22,CC$11&gt;'Financing Assumptions'!$H$26),0,INDEX('Senior Loan Amortization1'!$C$19:$X$440,MATCH(CC$11,'Senior Loan Amortization1'!$F$19:$F$440,0),MATCH('Senior Loan Amortization1'!$Q$19,'Senior Loan Amortization1'!$C$19:$X$19,0)))</f>
        <v>235653.12499999997</v>
      </c>
      <c r="CD124" s="427">
        <f>-IF(OR(CD11&lt;='Financing Assumptions'!$H$22,CD$11&gt;'Financing Assumptions'!$H$26),0,INDEX('Senior Loan Amortization1'!$C$19:$X$440,MATCH(CD$11,'Senior Loan Amortization1'!$F$19:$F$440,0),MATCH('Senior Loan Amortization1'!$Q$19,'Senior Loan Amortization1'!$C$19:$X$19,0)))</f>
        <v>235653.12499999997</v>
      </c>
      <c r="CE124" s="427">
        <f>-IF(OR(CE11&lt;='Financing Assumptions'!$H$22,CE$11&gt;'Financing Assumptions'!$H$26),0,INDEX('Senior Loan Amortization1'!$C$19:$X$440,MATCH(CE$11,'Senior Loan Amortization1'!$F$19:$F$440,0),MATCH('Senior Loan Amortization1'!$Q$19,'Senior Loan Amortization1'!$C$19:$X$19,0)))</f>
        <v>307277.87674628111</v>
      </c>
      <c r="CF124" s="427">
        <f>-IF(OR(CF11&lt;='Financing Assumptions'!$H$22,CF$11&gt;'Financing Assumptions'!$H$26),0,INDEX('Senior Loan Amortization1'!$C$19:$X$440,MATCH(CF$11,'Senior Loan Amortization1'!$F$19:$F$440,0),MATCH('Senior Loan Amortization1'!$Q$19,'Senior Loan Amortization1'!$C$19:$X$19,0)))</f>
        <v>307277.87674628111</v>
      </c>
      <c r="CG124" s="427">
        <f>-IF(OR(CG11&lt;='Financing Assumptions'!$H$22,CG$11&gt;'Financing Assumptions'!$H$26),0,INDEX('Senior Loan Amortization1'!$C$19:$X$440,MATCH(CG$11,'Senior Loan Amortization1'!$F$19:$F$440,0),MATCH('Senior Loan Amortization1'!$Q$19,'Senior Loan Amortization1'!$C$19:$X$19,0)))</f>
        <v>307277.87674628111</v>
      </c>
      <c r="CH124" s="427">
        <f>-IF(OR(CH11&lt;='Financing Assumptions'!$H$22,CH$11&gt;'Financing Assumptions'!$H$26),0,INDEX('Senior Loan Amortization1'!$C$19:$X$440,MATCH(CH$11,'Senior Loan Amortization1'!$F$19:$F$440,0),MATCH('Senior Loan Amortization1'!$Q$19,'Senior Loan Amortization1'!$C$19:$X$19,0)))</f>
        <v>307277.87674628111</v>
      </c>
      <c r="CI124" s="427">
        <f>-IF(OR(CI11&lt;='Financing Assumptions'!$H$22,CI$11&gt;'Financing Assumptions'!$H$26),0,INDEX('Senior Loan Amortization1'!$C$19:$X$440,MATCH(CI$11,'Senior Loan Amortization1'!$F$19:$F$440,0),MATCH('Senior Loan Amortization1'!$Q$19,'Senior Loan Amortization1'!$C$19:$X$19,0)))</f>
        <v>307277.87674628111</v>
      </c>
      <c r="CJ124" s="427">
        <f>-IF(OR(CJ11&lt;='Financing Assumptions'!$H$22,CJ$11&gt;'Financing Assumptions'!$H$26),0,INDEX('Senior Loan Amortization1'!$C$19:$X$440,MATCH(CJ$11,'Senior Loan Amortization1'!$F$19:$F$440,0),MATCH('Senior Loan Amortization1'!$Q$19,'Senior Loan Amortization1'!$C$19:$X$19,0)))</f>
        <v>307277.87674628111</v>
      </c>
      <c r="CK124" s="427">
        <f>-IF(OR(CK11&lt;='Financing Assumptions'!$H$22,CK$11&gt;'Financing Assumptions'!$H$26),0,INDEX('Senior Loan Amortization1'!$C$19:$X$440,MATCH(CK$11,'Senior Loan Amortization1'!$F$19:$F$440,0),MATCH('Senior Loan Amortization1'!$Q$19,'Senior Loan Amortization1'!$C$19:$X$19,0)))</f>
        <v>307277.87674628111</v>
      </c>
      <c r="CL124" s="427">
        <f>-IF(OR(CL11&lt;='Financing Assumptions'!$H$22,CL$11&gt;'Financing Assumptions'!$H$26),0,INDEX('Senior Loan Amortization1'!$C$19:$X$440,MATCH(CL$11,'Senior Loan Amortization1'!$F$19:$F$440,0),MATCH('Senior Loan Amortization1'!$Q$19,'Senior Loan Amortization1'!$C$19:$X$19,0)))</f>
        <v>307277.87674628111</v>
      </c>
      <c r="CM124" s="427">
        <f>-IF(OR(CM11&lt;='Financing Assumptions'!$H$22,CM$11&gt;'Financing Assumptions'!$H$26),0,INDEX('Senior Loan Amortization1'!$C$19:$X$440,MATCH(CM$11,'Senior Loan Amortization1'!$F$19:$F$440,0),MATCH('Senior Loan Amortization1'!$Q$19,'Senior Loan Amortization1'!$C$19:$X$19,0)))</f>
        <v>307277.87674628111</v>
      </c>
      <c r="CN124" s="427">
        <f>-IF(OR(CN11&lt;='Financing Assumptions'!$H$22,CN$11&gt;'Financing Assumptions'!$H$26),0,INDEX('Senior Loan Amortization1'!$C$19:$X$440,MATCH(CN$11,'Senior Loan Amortization1'!$F$19:$F$440,0),MATCH('Senior Loan Amortization1'!$Q$19,'Senior Loan Amortization1'!$C$19:$X$19,0)))</f>
        <v>307277.87674628111</v>
      </c>
      <c r="CO124" s="427">
        <f>-IF(OR(CO11&lt;='Financing Assumptions'!$H$22,CO$11&gt;'Financing Assumptions'!$H$26),0,INDEX('Senior Loan Amortization1'!$C$19:$X$440,MATCH(CO$11,'Senior Loan Amortization1'!$F$19:$F$440,0),MATCH('Senior Loan Amortization1'!$Q$19,'Senior Loan Amortization1'!$C$19:$X$19,0)))</f>
        <v>307277.87674628111</v>
      </c>
      <c r="CP124" s="427">
        <f>-IF(OR(CP11&lt;='Financing Assumptions'!$H$22,CP$11&gt;'Financing Assumptions'!$H$26),0,INDEX('Senior Loan Amortization1'!$C$19:$X$440,MATCH(CP$11,'Senior Loan Amortization1'!$F$19:$F$440,0),MATCH('Senior Loan Amortization1'!$Q$19,'Senior Loan Amortization1'!$C$19:$X$19,0)))</f>
        <v>307277.87674628111</v>
      </c>
      <c r="CQ124" s="427">
        <f>-IF(OR(CQ11&lt;='Financing Assumptions'!$H$22,CQ$11&gt;'Financing Assumptions'!$H$26),0,INDEX('Senior Loan Amortization1'!$C$19:$X$440,MATCH(CQ$11,'Senior Loan Amortization1'!$F$19:$F$440,0),MATCH('Senior Loan Amortization1'!$Q$19,'Senior Loan Amortization1'!$C$19:$X$19,0)))</f>
        <v>307277.87674628111</v>
      </c>
      <c r="CR124" s="427">
        <f>-IF(OR(CR11&lt;='Financing Assumptions'!$H$22,CR$11&gt;'Financing Assumptions'!$H$26),0,INDEX('Senior Loan Amortization1'!$C$19:$X$440,MATCH(CR$11,'Senior Loan Amortization1'!$F$19:$F$440,0),MATCH('Senior Loan Amortization1'!$Q$19,'Senior Loan Amortization1'!$C$19:$X$19,0)))</f>
        <v>307277.87674628111</v>
      </c>
      <c r="CS124" s="427">
        <f>-IF(OR(CS11&lt;='Financing Assumptions'!$H$22,CS$11&gt;'Financing Assumptions'!$H$26),0,INDEX('Senior Loan Amortization1'!$C$19:$X$440,MATCH(CS$11,'Senior Loan Amortization1'!$F$19:$F$440,0),MATCH('Senior Loan Amortization1'!$Q$19,'Senior Loan Amortization1'!$C$19:$X$19,0)))</f>
        <v>307277.87674628111</v>
      </c>
      <c r="CT124" s="427">
        <f>-IF(OR(CT11&lt;='Financing Assumptions'!$H$22,CT$11&gt;'Financing Assumptions'!$H$26),0,INDEX('Senior Loan Amortization1'!$C$19:$X$440,MATCH(CT$11,'Senior Loan Amortization1'!$F$19:$F$440,0),MATCH('Senior Loan Amortization1'!$Q$19,'Senior Loan Amortization1'!$C$19:$X$19,0)))</f>
        <v>307277.87674628111</v>
      </c>
      <c r="CU124" s="427">
        <f>-IF(OR(CU11&lt;='Financing Assumptions'!$H$22,CU$11&gt;'Financing Assumptions'!$H$26),0,INDEX('Senior Loan Amortization1'!$C$19:$X$440,MATCH(CU$11,'Senior Loan Amortization1'!$F$19:$F$440,0),MATCH('Senior Loan Amortization1'!$Q$19,'Senior Loan Amortization1'!$C$19:$X$19,0)))</f>
        <v>307277.87674628111</v>
      </c>
      <c r="CV124" s="427">
        <f>-IF(OR(CV11&lt;='Financing Assumptions'!$H$22,CV$11&gt;'Financing Assumptions'!$H$26),0,INDEX('Senior Loan Amortization1'!$C$19:$X$440,MATCH(CV$11,'Senior Loan Amortization1'!$F$19:$F$440,0),MATCH('Senior Loan Amortization1'!$Q$19,'Senior Loan Amortization1'!$C$19:$X$19,0)))</f>
        <v>307277.87674628111</v>
      </c>
      <c r="CW124" s="427">
        <f>-IF(OR(CW11&lt;='Financing Assumptions'!$H$22,CW$11&gt;'Financing Assumptions'!$H$26),0,INDEX('Senior Loan Amortization1'!$C$19:$X$440,MATCH(CW$11,'Senior Loan Amortization1'!$F$19:$F$440,0),MATCH('Senior Loan Amortization1'!$Q$19,'Senior Loan Amortization1'!$C$19:$X$19,0)))</f>
        <v>307277.87674628111</v>
      </c>
      <c r="CX124" s="427">
        <f>-IF(OR(CX11&lt;='Financing Assumptions'!$H$22,CX$11&gt;'Financing Assumptions'!$H$26),0,INDEX('Senior Loan Amortization1'!$C$19:$X$440,MATCH(CX$11,'Senior Loan Amortization1'!$F$19:$F$440,0),MATCH('Senior Loan Amortization1'!$Q$19,'Senior Loan Amortization1'!$C$19:$X$19,0)))</f>
        <v>307277.87674628111</v>
      </c>
      <c r="CY124" s="427">
        <f>-IF(OR(CY11&lt;='Financing Assumptions'!$H$22,CY$11&gt;'Financing Assumptions'!$H$26),0,INDEX('Senior Loan Amortization1'!$C$19:$X$440,MATCH(CY$11,'Senior Loan Amortization1'!$F$19:$F$440,0),MATCH('Senior Loan Amortization1'!$Q$19,'Senior Loan Amortization1'!$C$19:$X$19,0)))</f>
        <v>307277.87674628111</v>
      </c>
      <c r="CZ124" s="427">
        <f>-IF(OR(CZ11&lt;='Financing Assumptions'!$H$22,CZ$11&gt;'Financing Assumptions'!$H$26),0,INDEX('Senior Loan Amortization1'!$C$19:$X$440,MATCH(CZ$11,'Senior Loan Amortization1'!$F$19:$F$440,0),MATCH('Senior Loan Amortization1'!$Q$19,'Senior Loan Amortization1'!$C$19:$X$19,0)))</f>
        <v>307277.87674628111</v>
      </c>
      <c r="DA124" s="427">
        <f>-IF(OR(DA11&lt;='Financing Assumptions'!$H$22,DA$11&gt;'Financing Assumptions'!$H$26),0,INDEX('Senior Loan Amortization1'!$C$19:$X$440,MATCH(DA$11,'Senior Loan Amortization1'!$F$19:$F$440,0),MATCH('Senior Loan Amortization1'!$Q$19,'Senior Loan Amortization1'!$C$19:$X$19,0)))</f>
        <v>307277.87674628111</v>
      </c>
      <c r="DB124" s="427">
        <f>-IF(OR(DB11&lt;='Financing Assumptions'!$H$22,DB$11&gt;'Financing Assumptions'!$H$26),0,INDEX('Senior Loan Amortization1'!$C$19:$X$440,MATCH(DB$11,'Senior Loan Amortization1'!$F$19:$F$440,0),MATCH('Senior Loan Amortization1'!$Q$19,'Senior Loan Amortization1'!$C$19:$X$19,0)))</f>
        <v>307277.87674628111</v>
      </c>
      <c r="DC124" s="427">
        <f>-IF(OR(DC11&lt;='Financing Assumptions'!$H$22,DC$11&gt;'Financing Assumptions'!$H$26),0,INDEX('Senior Loan Amortization1'!$C$19:$X$440,MATCH(DC$11,'Senior Loan Amortization1'!$F$19:$F$440,0),MATCH('Senior Loan Amortization1'!$Q$19,'Senior Loan Amortization1'!$C$19:$X$19,0)))</f>
        <v>307277.87674628111</v>
      </c>
      <c r="DD124" s="427">
        <f>-IF(OR(DD11&lt;='Financing Assumptions'!$H$22,DD$11&gt;'Financing Assumptions'!$H$26),0,INDEX('Senior Loan Amortization1'!$C$19:$X$440,MATCH(DD$11,'Senior Loan Amortization1'!$F$19:$F$440,0),MATCH('Senior Loan Amortization1'!$Q$19,'Senior Loan Amortization1'!$C$19:$X$19,0)))</f>
        <v>307277.87674628111</v>
      </c>
      <c r="DE124" s="427">
        <f>-IF(OR(DE11&lt;='Financing Assumptions'!$H$22,DE$11&gt;'Financing Assumptions'!$H$26),0,INDEX('Senior Loan Amortization1'!$C$19:$X$440,MATCH(DE$11,'Senior Loan Amortization1'!$F$19:$F$440,0),MATCH('Senior Loan Amortization1'!$Q$19,'Senior Loan Amortization1'!$C$19:$X$19,0)))</f>
        <v>307277.87674628111</v>
      </c>
      <c r="DF124" s="427">
        <f>-IF(OR(DF11&lt;='Financing Assumptions'!$H$22,DF$11&gt;'Financing Assumptions'!$H$26),0,INDEX('Senior Loan Amortization1'!$C$19:$X$440,MATCH(DF$11,'Senior Loan Amortization1'!$F$19:$F$440,0),MATCH('Senior Loan Amortization1'!$Q$19,'Senior Loan Amortization1'!$C$19:$X$19,0)))</f>
        <v>307277.87674628111</v>
      </c>
      <c r="DG124" s="427">
        <f>-IF(OR(DG11&lt;='Financing Assumptions'!$H$22,DG$11&gt;'Financing Assumptions'!$H$26),0,INDEX('Senior Loan Amortization1'!$C$19:$X$440,MATCH(DG$11,'Senior Loan Amortization1'!$F$19:$F$440,0),MATCH('Senior Loan Amortization1'!$Q$19,'Senior Loan Amortization1'!$C$19:$X$19,0)))</f>
        <v>307277.87674628111</v>
      </c>
      <c r="DH124" s="427">
        <f>-IF(OR(DH11&lt;='Financing Assumptions'!$H$22,DH$11&gt;'Financing Assumptions'!$H$26),0,INDEX('Senior Loan Amortization1'!$C$19:$X$440,MATCH(DH$11,'Senior Loan Amortization1'!$F$19:$F$440,0),MATCH('Senior Loan Amortization1'!$Q$19,'Senior Loan Amortization1'!$C$19:$X$19,0)))</f>
        <v>307277.87674628111</v>
      </c>
      <c r="DI124" s="427">
        <f>-IF(OR(DI11&lt;='Financing Assumptions'!$H$22,DI$11&gt;'Financing Assumptions'!$H$26),0,INDEX('Senior Loan Amortization1'!$C$19:$X$440,MATCH(DI$11,'Senior Loan Amortization1'!$F$19:$F$440,0),MATCH('Senior Loan Amortization1'!$Q$19,'Senior Loan Amortization1'!$C$19:$X$19,0)))</f>
        <v>307277.87674628111</v>
      </c>
      <c r="DJ124" s="427">
        <f>-IF(OR(DJ11&lt;='Financing Assumptions'!$H$22,DJ$11&gt;'Financing Assumptions'!$H$26),0,INDEX('Senior Loan Amortization1'!$C$19:$X$440,MATCH(DJ$11,'Senior Loan Amortization1'!$F$19:$F$440,0),MATCH('Senior Loan Amortization1'!$Q$19,'Senior Loan Amortization1'!$C$19:$X$19,0)))</f>
        <v>307277.87674628111</v>
      </c>
      <c r="DK124" s="427">
        <f>-IF(OR(DK11&lt;='Financing Assumptions'!$H$22,DK$11&gt;'Financing Assumptions'!$H$26),0,INDEX('Senior Loan Amortization1'!$C$19:$X$440,MATCH(DK$11,'Senior Loan Amortization1'!$F$19:$F$440,0),MATCH('Senior Loan Amortization1'!$Q$19,'Senior Loan Amortization1'!$C$19:$X$19,0)))</f>
        <v>307277.87674628111</v>
      </c>
      <c r="DL124" s="427">
        <f>-IF(OR(DL11&lt;='Financing Assumptions'!$H$22,DL$11&gt;'Financing Assumptions'!$H$26),0,INDEX('Senior Loan Amortization1'!$C$19:$X$440,MATCH(DL$11,'Senior Loan Amortization1'!$F$19:$F$440,0),MATCH('Senior Loan Amortization1'!$Q$19,'Senior Loan Amortization1'!$C$19:$X$19,0)))</f>
        <v>307277.87674628111</v>
      </c>
      <c r="DM124" s="427">
        <f>-IF(OR(DM11&lt;='Financing Assumptions'!$H$22,DM$11&gt;'Financing Assumptions'!$H$26),0,INDEX('Senior Loan Amortization1'!$C$19:$X$440,MATCH(DM$11,'Senior Loan Amortization1'!$F$19:$F$440,0),MATCH('Senior Loan Amortization1'!$Q$19,'Senior Loan Amortization1'!$C$19:$X$19,0)))</f>
        <v>307277.87674628111</v>
      </c>
      <c r="DN124" s="427">
        <f>-IF(OR(DN11&lt;='Financing Assumptions'!$H$22,DN$11&gt;'Financing Assumptions'!$H$26),0,INDEX('Senior Loan Amortization1'!$C$19:$X$440,MATCH(DN$11,'Senior Loan Amortization1'!$F$19:$F$440,0),MATCH('Senior Loan Amortization1'!$Q$19,'Senior Loan Amortization1'!$C$19:$X$19,0)))</f>
        <v>307277.87674628111</v>
      </c>
      <c r="DO124" s="427">
        <f>-IF(OR(DO11&lt;='Financing Assumptions'!$H$22,DO$11&gt;'Financing Assumptions'!$H$26),0,INDEX('Senior Loan Amortization1'!$C$19:$X$440,MATCH(DO$11,'Senior Loan Amortization1'!$F$19:$F$440,0),MATCH('Senior Loan Amortization1'!$Q$19,'Senior Loan Amortization1'!$C$19:$X$19,0)))</f>
        <v>307277.87674628111</v>
      </c>
      <c r="DP124" s="427">
        <f>-IF(OR(DP11&lt;='Financing Assumptions'!$H$22,DP$11&gt;'Financing Assumptions'!$H$26),0,INDEX('Senior Loan Amortization1'!$C$19:$X$440,MATCH(DP$11,'Senior Loan Amortization1'!$F$19:$F$440,0),MATCH('Senior Loan Amortization1'!$Q$19,'Senior Loan Amortization1'!$C$19:$X$19,0)))</f>
        <v>307277.87674628111</v>
      </c>
      <c r="DQ124" s="427">
        <f>-IF(OR(DQ11&lt;='Financing Assumptions'!$H$22,DQ$11&gt;'Financing Assumptions'!$H$26),0,INDEX('Senior Loan Amortization1'!$C$19:$X$440,MATCH(DQ$11,'Senior Loan Amortization1'!$F$19:$F$440,0),MATCH('Senior Loan Amortization1'!$Q$19,'Senior Loan Amortization1'!$C$19:$X$19,0)))</f>
        <v>307277.87674628111</v>
      </c>
      <c r="DR124" s="427">
        <f>-IF(OR(DR11&lt;='Financing Assumptions'!$H$22,DR$11&gt;'Financing Assumptions'!$H$26),0,INDEX('Senior Loan Amortization1'!$C$19:$X$440,MATCH(DR$11,'Senior Loan Amortization1'!$F$19:$F$440,0),MATCH('Senior Loan Amortization1'!$Q$19,'Senior Loan Amortization1'!$C$19:$X$19,0)))</f>
        <v>307277.87674628111</v>
      </c>
      <c r="DS124" s="427">
        <f>-IF(OR(DS11&lt;='Financing Assumptions'!$H$22,DS$11&gt;'Financing Assumptions'!$H$26),0,INDEX('Senior Loan Amortization1'!$C$19:$X$440,MATCH(DS$11,'Senior Loan Amortization1'!$F$19:$F$440,0),MATCH('Senior Loan Amortization1'!$Q$19,'Senior Loan Amortization1'!$C$19:$X$19,0)))</f>
        <v>307277.87674628111</v>
      </c>
      <c r="DT124" s="427">
        <f>-IF(OR(DT11&lt;='Financing Assumptions'!$H$22,DT$11&gt;'Financing Assumptions'!$H$26),0,INDEX('Senior Loan Amortization1'!$C$19:$X$440,MATCH(DT$11,'Senior Loan Amortization1'!$F$19:$F$440,0),MATCH('Senior Loan Amortization1'!$Q$19,'Senior Loan Amortization1'!$C$19:$X$19,0)))</f>
        <v>307277.87674628111</v>
      </c>
      <c r="DU124" s="427">
        <f>-IF(OR(DU11&lt;='Financing Assumptions'!$H$22,DU$11&gt;'Financing Assumptions'!$H$26),0,INDEX('Senior Loan Amortization1'!$C$19:$X$440,MATCH(DU$11,'Senior Loan Amortization1'!$F$19:$F$440,0),MATCH('Senior Loan Amortization1'!$Q$19,'Senior Loan Amortization1'!$C$19:$X$19,0)))</f>
        <v>307277.87674628111</v>
      </c>
      <c r="DV124" s="427">
        <f>-IF(OR(DV11&lt;='Financing Assumptions'!$H$22,DV$11&gt;'Financing Assumptions'!$H$26),0,INDEX('Senior Loan Amortization1'!$C$19:$X$440,MATCH(DV$11,'Senior Loan Amortization1'!$F$19:$F$440,0),MATCH('Senior Loan Amortization1'!$Q$19,'Senior Loan Amortization1'!$C$19:$X$19,0)))</f>
        <v>307277.87674628111</v>
      </c>
      <c r="DW124" s="427">
        <f>-IF(OR(DW11&lt;='Financing Assumptions'!$H$22,DW$11&gt;'Financing Assumptions'!$H$26),0,INDEX('Senior Loan Amortization1'!$C$19:$X$440,MATCH(DW$11,'Senior Loan Amortization1'!$F$19:$F$440,0),MATCH('Senior Loan Amortization1'!$Q$19,'Senior Loan Amortization1'!$C$19:$X$19,0)))</f>
        <v>307277.87674628111</v>
      </c>
      <c r="DX124" s="427">
        <f>-IF(OR(DX11&lt;='Financing Assumptions'!$H$22,DX$11&gt;'Financing Assumptions'!$H$26),0,INDEX('Senior Loan Amortization1'!$C$19:$X$440,MATCH(DX$11,'Senior Loan Amortization1'!$F$19:$F$440,0),MATCH('Senior Loan Amortization1'!$Q$19,'Senior Loan Amortization1'!$C$19:$X$19,0)))</f>
        <v>307277.87674628111</v>
      </c>
      <c r="DY124" s="427">
        <f>-IF(OR(DY11&lt;='Financing Assumptions'!$H$22,DY$11&gt;'Financing Assumptions'!$H$26),0,INDEX('Senior Loan Amortization1'!$C$19:$X$440,MATCH(DY$11,'Senior Loan Amortization1'!$F$19:$F$440,0),MATCH('Senior Loan Amortization1'!$Q$19,'Senior Loan Amortization1'!$C$19:$X$19,0)))</f>
        <v>307277.87674628111</v>
      </c>
      <c r="DZ124" s="427">
        <f>-IF(OR(DZ11&lt;='Financing Assumptions'!$H$22,DZ$11&gt;'Financing Assumptions'!$H$26),0,INDEX('Senior Loan Amortization1'!$C$19:$X$440,MATCH(DZ$11,'Senior Loan Amortization1'!$F$19:$F$440,0),MATCH('Senior Loan Amortization1'!$Q$19,'Senior Loan Amortization1'!$C$19:$X$19,0)))</f>
        <v>307277.87674628111</v>
      </c>
      <c r="EA124" s="427">
        <f>-IF(OR(EA11&lt;='Financing Assumptions'!$H$22,EA$11&gt;'Financing Assumptions'!$H$26),0,INDEX('Senior Loan Amortization1'!$C$19:$X$440,MATCH(EA$11,'Senior Loan Amortization1'!$F$19:$F$440,0),MATCH('Senior Loan Amortization1'!$Q$19,'Senior Loan Amortization1'!$C$19:$X$19,0)))</f>
        <v>307277.87674628111</v>
      </c>
      <c r="EB124" s="427">
        <f>-IF(OR(EB11&lt;='Financing Assumptions'!$H$22,EB$11&gt;'Financing Assumptions'!$H$26),0,INDEX('Senior Loan Amortization1'!$C$19:$X$440,MATCH(EB$11,'Senior Loan Amortization1'!$F$19:$F$440,0),MATCH('Senior Loan Amortization1'!$Q$19,'Senior Loan Amortization1'!$C$19:$X$19,0)))</f>
        <v>307277.87674628111</v>
      </c>
      <c r="EC124" s="427">
        <f>-IF(OR(EC11&lt;='Financing Assumptions'!$H$22,EC$11&gt;'Financing Assumptions'!$H$26),0,INDEX('Senior Loan Amortization1'!$C$19:$X$440,MATCH(EC$11,'Senior Loan Amortization1'!$F$19:$F$440,0),MATCH('Senior Loan Amortization1'!$Q$19,'Senior Loan Amortization1'!$C$19:$X$19,0)))</f>
        <v>307277.87674628111</v>
      </c>
      <c r="ED124" s="427">
        <f>-IF(OR(ED11&lt;='Financing Assumptions'!$H$22,ED$11&gt;'Financing Assumptions'!$H$26),0,INDEX('Senior Loan Amortization1'!$C$19:$X$440,MATCH(ED$11,'Senior Loan Amortization1'!$F$19:$F$440,0),MATCH('Senior Loan Amortization1'!$Q$19,'Senior Loan Amortization1'!$C$19:$X$19,0)))</f>
        <v>307277.87674628111</v>
      </c>
      <c r="EE124" s="427">
        <f>-IF(OR(EE11&lt;='Financing Assumptions'!$H$22,EE$11&gt;'Financing Assumptions'!$H$26),0,INDEX('Senior Loan Amortization1'!$C$19:$X$440,MATCH(EE$11,'Senior Loan Amortization1'!$F$19:$F$440,0),MATCH('Senior Loan Amortization1'!$Q$19,'Senior Loan Amortization1'!$C$19:$X$19,0)))</f>
        <v>307277.87674628111</v>
      </c>
      <c r="EF124" s="427">
        <f>-IF(OR(EF11&lt;='Financing Assumptions'!$H$22,EF$11&gt;'Financing Assumptions'!$H$26),0,INDEX('Senior Loan Amortization1'!$C$19:$X$440,MATCH(EF$11,'Senior Loan Amortization1'!$F$19:$F$440,0),MATCH('Senior Loan Amortization1'!$Q$19,'Senior Loan Amortization1'!$C$19:$X$19,0)))</f>
        <v>307277.87674628111</v>
      </c>
      <c r="EG124" s="427">
        <f>-IF(OR(EG11&lt;='Financing Assumptions'!$H$22,EG$11&gt;'Financing Assumptions'!$H$26),0,INDEX('Senior Loan Amortization1'!$C$19:$X$440,MATCH(EG$11,'Senior Loan Amortization1'!$F$19:$F$440,0),MATCH('Senior Loan Amortization1'!$Q$19,'Senior Loan Amortization1'!$C$19:$X$19,0)))</f>
        <v>307277.87674628111</v>
      </c>
      <c r="EH124" s="427">
        <f>-IF(OR(EH11&lt;='Financing Assumptions'!$H$22,EH$11&gt;'Financing Assumptions'!$H$26),0,INDEX('Senior Loan Amortization1'!$C$19:$X$440,MATCH(EH$11,'Senior Loan Amortization1'!$F$19:$F$440,0),MATCH('Senior Loan Amortization1'!$Q$19,'Senior Loan Amortization1'!$C$19:$X$19,0)))</f>
        <v>307277.87674628111</v>
      </c>
      <c r="EI124" s="427">
        <f>-IF(OR(EI11&lt;='Financing Assumptions'!$H$22,EI$11&gt;'Financing Assumptions'!$H$26),0,INDEX('Senior Loan Amortization1'!$C$19:$X$440,MATCH(EI$11,'Senior Loan Amortization1'!$F$19:$F$440,0),MATCH('Senior Loan Amortization1'!$Q$19,'Senior Loan Amortization1'!$C$19:$X$19,0)))</f>
        <v>307277.87674628111</v>
      </c>
      <c r="EJ124" s="427">
        <f>-IF(OR(EJ11&lt;='Financing Assumptions'!$H$22,EJ$11&gt;'Financing Assumptions'!$H$26),0,INDEX('Senior Loan Amortization1'!$C$19:$X$440,MATCH(EJ$11,'Senior Loan Amortization1'!$F$19:$F$440,0),MATCH('Senior Loan Amortization1'!$Q$19,'Senior Loan Amortization1'!$C$19:$X$19,0)))</f>
        <v>307277.87674628111</v>
      </c>
      <c r="EK124" s="427">
        <f>-IF(OR(EK11&lt;='Financing Assumptions'!$H$22,EK$11&gt;'Financing Assumptions'!$H$26),0,INDEX('Senior Loan Amortization1'!$C$19:$X$440,MATCH(EK$11,'Senior Loan Amortization1'!$F$19:$F$440,0),MATCH('Senior Loan Amortization1'!$Q$19,'Senior Loan Amortization1'!$C$19:$X$19,0)))</f>
        <v>307277.87674628111</v>
      </c>
      <c r="EL124" s="427">
        <f>-IF(OR(EL11&lt;='Financing Assumptions'!$H$22,EL$11&gt;'Financing Assumptions'!$H$26),0,INDEX('Senior Loan Amortization1'!$C$19:$X$440,MATCH(EL$11,'Senior Loan Amortization1'!$F$19:$F$440,0),MATCH('Senior Loan Amortization1'!$Q$19,'Senior Loan Amortization1'!$C$19:$X$19,0)))</f>
        <v>307277.87674628111</v>
      </c>
      <c r="EM124" s="427">
        <f>-IF(OR(EM11&lt;='Financing Assumptions'!$H$22,EM$11&gt;'Financing Assumptions'!$H$26),0,INDEX('Senior Loan Amortization1'!$C$19:$X$440,MATCH(EM$11,'Senior Loan Amortization1'!$F$19:$F$440,0),MATCH('Senior Loan Amortization1'!$Q$19,'Senior Loan Amortization1'!$C$19:$X$19,0)))</f>
        <v>307277.87674628111</v>
      </c>
      <c r="EN124" s="427">
        <f>-IF(OR(EN11&lt;='Financing Assumptions'!$H$22,EN$11&gt;'Financing Assumptions'!$H$26),0,INDEX('Senior Loan Amortization1'!$C$19:$X$440,MATCH(EN$11,'Senior Loan Amortization1'!$F$19:$F$440,0),MATCH('Senior Loan Amortization1'!$Q$19,'Senior Loan Amortization1'!$C$19:$X$19,0)))</f>
        <v>307277.87674628111</v>
      </c>
      <c r="EO124" s="427">
        <f>-IF(OR(EO11&lt;='Financing Assumptions'!$H$22,EO$11&gt;'Financing Assumptions'!$H$26),0,INDEX('Senior Loan Amortization1'!$C$19:$X$440,MATCH(EO$11,'Senior Loan Amortization1'!$F$19:$F$440,0),MATCH('Senior Loan Amortization1'!$Q$19,'Senior Loan Amortization1'!$C$19:$X$19,0)))</f>
        <v>307277.87674628111</v>
      </c>
      <c r="EP124" s="427">
        <f>-IF(OR(EP11&lt;='Financing Assumptions'!$H$22,EP$11&gt;'Financing Assumptions'!$H$26),0,INDEX('Senior Loan Amortization1'!$C$19:$X$440,MATCH(EP$11,'Senior Loan Amortization1'!$F$19:$F$440,0),MATCH('Senior Loan Amortization1'!$Q$19,'Senior Loan Amortization1'!$C$19:$X$19,0)))</f>
        <v>307277.87674628111</v>
      </c>
      <c r="EQ124" s="427">
        <f>-IF(OR(EQ11&lt;='Financing Assumptions'!$H$22,EQ$11&gt;'Financing Assumptions'!$H$26),0,INDEX('Senior Loan Amortization1'!$C$19:$X$440,MATCH(EQ$11,'Senior Loan Amortization1'!$F$19:$F$440,0),MATCH('Senior Loan Amortization1'!$Q$19,'Senior Loan Amortization1'!$C$19:$X$19,0)))</f>
        <v>307277.87674628111</v>
      </c>
      <c r="ER124" s="427">
        <f>-IF(OR(ER11&lt;='Financing Assumptions'!$H$22,ER$11&gt;'Financing Assumptions'!$H$26),0,INDEX('Senior Loan Amortization1'!$C$19:$X$440,MATCH(ER$11,'Senior Loan Amortization1'!$F$19:$F$440,0),MATCH('Senior Loan Amortization1'!$Q$19,'Senior Loan Amortization1'!$C$19:$X$19,0)))</f>
        <v>307277.87674628111</v>
      </c>
      <c r="ES124" s="427">
        <f>-IF(OR(ES11&lt;='Financing Assumptions'!$H$22,ES$11&gt;'Financing Assumptions'!$H$26),0,INDEX('Senior Loan Amortization1'!$C$19:$X$440,MATCH(ES$11,'Senior Loan Amortization1'!$F$19:$F$440,0),MATCH('Senior Loan Amortization1'!$Q$19,'Senior Loan Amortization1'!$C$19:$X$19,0)))</f>
        <v>307277.87674628111</v>
      </c>
      <c r="ET124" s="427">
        <f>-IF(OR(ET11&lt;='Financing Assumptions'!$H$22,ET$11&gt;'Financing Assumptions'!$H$26),0,INDEX('Senior Loan Amortization1'!$C$19:$X$440,MATCH(ET$11,'Senior Loan Amortization1'!$F$19:$F$440,0),MATCH('Senior Loan Amortization1'!$Q$19,'Senior Loan Amortization1'!$C$19:$X$19,0)))</f>
        <v>307277.87674628111</v>
      </c>
      <c r="EU124" s="427">
        <f>-IF(OR(EU11&lt;='Financing Assumptions'!$H$22,EU$11&gt;'Financing Assumptions'!$H$26),0,INDEX('Senior Loan Amortization1'!$C$19:$X$440,MATCH(EU$11,'Senior Loan Amortization1'!$F$19:$F$440,0),MATCH('Senior Loan Amortization1'!$Q$19,'Senior Loan Amortization1'!$C$19:$X$19,0)))</f>
        <v>307277.87674628111</v>
      </c>
      <c r="EV124" s="427">
        <f>-IF(OR(EV11&lt;='Financing Assumptions'!$H$22,EV$11&gt;'Financing Assumptions'!$H$26),0,INDEX('Senior Loan Amortization1'!$C$19:$X$440,MATCH(EV$11,'Senior Loan Amortization1'!$F$19:$F$440,0),MATCH('Senior Loan Amortization1'!$Q$19,'Senior Loan Amortization1'!$C$19:$X$19,0)))</f>
        <v>307277.87674628111</v>
      </c>
      <c r="EW124" s="427">
        <f>-IF(OR(EW11&lt;='Financing Assumptions'!$H$22,EW$11&gt;'Financing Assumptions'!$H$26),0,INDEX('Senior Loan Amortization1'!$C$19:$X$440,MATCH(EW$11,'Senior Loan Amortization1'!$F$19:$F$440,0),MATCH('Senior Loan Amortization1'!$Q$19,'Senior Loan Amortization1'!$C$19:$X$19,0)))</f>
        <v>307277.87674628111</v>
      </c>
      <c r="EX124" s="427">
        <f>-IF(OR(EX11&lt;='Financing Assumptions'!$H$22,EX$11&gt;'Financing Assumptions'!$H$26),0,INDEX('Senior Loan Amortization1'!$C$19:$X$440,MATCH(EX$11,'Senior Loan Amortization1'!$F$19:$F$440,0),MATCH('Senior Loan Amortization1'!$Q$19,'Senior Loan Amortization1'!$C$19:$X$19,0)))</f>
        <v>307277.87674628111</v>
      </c>
      <c r="EY124" s="427">
        <f>-IF(OR(EY11&lt;='Financing Assumptions'!$H$22,EY$11&gt;'Financing Assumptions'!$H$26),0,INDEX('Senior Loan Amortization1'!$C$19:$X$440,MATCH(EY$11,'Senior Loan Amortization1'!$F$19:$F$440,0),MATCH('Senior Loan Amortization1'!$Q$19,'Senior Loan Amortization1'!$C$19:$X$19,0)))</f>
        <v>307277.87674628111</v>
      </c>
      <c r="EZ124" s="427">
        <f>-IF(OR(EZ11&lt;='Financing Assumptions'!$H$22,EZ$11&gt;'Financing Assumptions'!$H$26),0,INDEX('Senior Loan Amortization1'!$C$19:$X$440,MATCH(EZ$11,'Senior Loan Amortization1'!$F$19:$F$440,0),MATCH('Senior Loan Amortization1'!$Q$19,'Senior Loan Amortization1'!$C$19:$X$19,0)))</f>
        <v>307277.87674628111</v>
      </c>
      <c r="FA124" s="427">
        <f>-IF(OR(FA11&lt;='Financing Assumptions'!$H$22,FA$11&gt;'Financing Assumptions'!$H$26),0,INDEX('Senior Loan Amortization1'!$C$19:$X$440,MATCH(FA$11,'Senior Loan Amortization1'!$F$19:$F$440,0),MATCH('Senior Loan Amortization1'!$Q$19,'Senior Loan Amortization1'!$C$19:$X$19,0)))</f>
        <v>307277.87674628111</v>
      </c>
      <c r="FB124" s="427">
        <f>-IF(OR(FB11&lt;='Financing Assumptions'!$H$22,FB$11&gt;'Financing Assumptions'!$H$26),0,INDEX('Senior Loan Amortization1'!$C$19:$X$440,MATCH(FB$11,'Senior Loan Amortization1'!$F$19:$F$440,0),MATCH('Senior Loan Amortization1'!$Q$19,'Senior Loan Amortization1'!$C$19:$X$19,0)))</f>
        <v>307277.87674628111</v>
      </c>
      <c r="FC124" s="427">
        <f>-IF(OR(FC11&lt;='Financing Assumptions'!$H$22,FC$11&gt;'Financing Assumptions'!$H$26),0,INDEX('Senior Loan Amortization1'!$C$19:$X$440,MATCH(FC$11,'Senior Loan Amortization1'!$F$19:$F$440,0),MATCH('Senior Loan Amortization1'!$Q$19,'Senior Loan Amortization1'!$C$19:$X$19,0)))</f>
        <v>307277.87674628111</v>
      </c>
      <c r="FD124" s="427">
        <f>-IF(OR(FD11&lt;='Financing Assumptions'!$H$22,FD$11&gt;'Financing Assumptions'!$H$26),0,INDEX('Senior Loan Amortization1'!$C$19:$X$440,MATCH(FD$11,'Senior Loan Amortization1'!$F$19:$F$440,0),MATCH('Senior Loan Amortization1'!$Q$19,'Senior Loan Amortization1'!$C$19:$X$19,0)))</f>
        <v>307277.87674628111</v>
      </c>
      <c r="FE124" s="427">
        <f>-IF(OR(FE11&lt;='Financing Assumptions'!$H$22,FE$11&gt;'Financing Assumptions'!$H$26),0,INDEX('Senior Loan Amortization1'!$C$19:$X$440,MATCH(FE$11,'Senior Loan Amortization1'!$F$19:$F$440,0),MATCH('Senior Loan Amortization1'!$Q$19,'Senior Loan Amortization1'!$C$19:$X$19,0)))</f>
        <v>307277.87674628111</v>
      </c>
      <c r="FF124" s="427">
        <f>-IF(OR(FF11&lt;='Financing Assumptions'!$H$22,FF$11&gt;'Financing Assumptions'!$H$26),0,INDEX('Senior Loan Amortization1'!$C$19:$X$440,MATCH(FF$11,'Senior Loan Amortization1'!$F$19:$F$440,0),MATCH('Senior Loan Amortization1'!$Q$19,'Senior Loan Amortization1'!$C$19:$X$19,0)))</f>
        <v>307277.87674628111</v>
      </c>
      <c r="FG124" s="427">
        <f>-IF(OR(FG11&lt;='Financing Assumptions'!$H$22,FG$11&gt;'Financing Assumptions'!$H$26),0,INDEX('Senior Loan Amortization1'!$C$19:$X$440,MATCH(FG$11,'Senior Loan Amortization1'!$F$19:$F$440,0),MATCH('Senior Loan Amortization1'!$Q$19,'Senior Loan Amortization1'!$C$19:$X$19,0)))</f>
        <v>307277.87674628111</v>
      </c>
      <c r="FH124" s="427">
        <f>-IF(OR(FH11&lt;='Financing Assumptions'!$H$22,FH$11&gt;'Financing Assumptions'!$H$26),0,INDEX('Senior Loan Amortization1'!$C$19:$X$440,MATCH(FH$11,'Senior Loan Amortization1'!$F$19:$F$440,0),MATCH('Senior Loan Amortization1'!$Q$19,'Senior Loan Amortization1'!$C$19:$X$19,0)))</f>
        <v>307277.87674628111</v>
      </c>
      <c r="FI124" s="427">
        <f>-IF(OR(FI11&lt;='Financing Assumptions'!$H$22,FI$11&gt;'Financing Assumptions'!$H$26),0,INDEX('Senior Loan Amortization1'!$C$19:$X$440,MATCH(FI$11,'Senior Loan Amortization1'!$F$19:$F$440,0),MATCH('Senior Loan Amortization1'!$Q$19,'Senior Loan Amortization1'!$C$19:$X$19,0)))</f>
        <v>307277.87674628111</v>
      </c>
      <c r="FJ124" s="427">
        <f>-IF(OR(FJ11&lt;='Financing Assumptions'!$H$22,FJ$11&gt;'Financing Assumptions'!$H$26),0,INDEX('Senior Loan Amortization1'!$C$19:$X$440,MATCH(FJ$11,'Senior Loan Amortization1'!$F$19:$F$440,0),MATCH('Senior Loan Amortization1'!$Q$19,'Senior Loan Amortization1'!$C$19:$X$19,0)))</f>
        <v>307277.87674628111</v>
      </c>
      <c r="FK124" s="427">
        <f>-IF(OR(FK11&lt;='Financing Assumptions'!$H$22,FK$11&gt;'Financing Assumptions'!$H$26),0,INDEX('Senior Loan Amortization1'!$C$19:$X$440,MATCH(FK$11,'Senior Loan Amortization1'!$F$19:$F$440,0),MATCH('Senior Loan Amortization1'!$Q$19,'Senior Loan Amortization1'!$C$19:$X$19,0)))</f>
        <v>307277.87674628111</v>
      </c>
      <c r="FL124" s="427">
        <f>-IF(OR(FL11&lt;='Financing Assumptions'!$H$22,FL$11&gt;'Financing Assumptions'!$H$26),0,INDEX('Senior Loan Amortization1'!$C$19:$X$440,MATCH(FL$11,'Senior Loan Amortization1'!$F$19:$F$440,0),MATCH('Senior Loan Amortization1'!$Q$19,'Senior Loan Amortization1'!$C$19:$X$19,0)))</f>
        <v>307277.87674628111</v>
      </c>
      <c r="FM124" s="427">
        <f>-IF(OR(FM11&lt;='Financing Assumptions'!$H$22,FM$11&gt;'Financing Assumptions'!$H$26),0,INDEX('Senior Loan Amortization1'!$C$19:$X$440,MATCH(FM$11,'Senior Loan Amortization1'!$F$19:$F$440,0),MATCH('Senior Loan Amortization1'!$Q$19,'Senior Loan Amortization1'!$C$19:$X$19,0)))</f>
        <v>307277.87674628111</v>
      </c>
      <c r="FN124" s="427">
        <f>-IF(OR(FN11&lt;='Financing Assumptions'!$H$22,FN$11&gt;'Financing Assumptions'!$H$26),0,INDEX('Senior Loan Amortization1'!$C$19:$X$440,MATCH(FN$11,'Senior Loan Amortization1'!$F$19:$F$440,0),MATCH('Senior Loan Amortization1'!$Q$19,'Senior Loan Amortization1'!$C$19:$X$19,0)))</f>
        <v>307277.87674628111</v>
      </c>
      <c r="FO124" s="427">
        <f>-IF(OR(FO11&lt;='Financing Assumptions'!$H$22,FO$11&gt;'Financing Assumptions'!$H$26),0,INDEX('Senior Loan Amortization1'!$C$19:$X$440,MATCH(FO$11,'Senior Loan Amortization1'!$F$19:$F$440,0),MATCH('Senior Loan Amortization1'!$Q$19,'Senior Loan Amortization1'!$C$19:$X$19,0)))</f>
        <v>307277.87674628111</v>
      </c>
      <c r="FP124" s="427">
        <f>-IF(OR(FP11&lt;='Financing Assumptions'!$H$22,FP$11&gt;'Financing Assumptions'!$H$26),0,INDEX('Senior Loan Amortization1'!$C$19:$X$440,MATCH(FP$11,'Senior Loan Amortization1'!$F$19:$F$440,0),MATCH('Senior Loan Amortization1'!$Q$19,'Senior Loan Amortization1'!$C$19:$X$19,0)))</f>
        <v>307277.87674628111</v>
      </c>
      <c r="FQ124" s="427">
        <f>-IF(OR(FQ11&lt;='Financing Assumptions'!$H$22,FQ$11&gt;'Financing Assumptions'!$H$26),0,INDEX('Senior Loan Amortization1'!$C$19:$X$440,MATCH(FQ$11,'Senior Loan Amortization1'!$F$19:$F$440,0),MATCH('Senior Loan Amortization1'!$Q$19,'Senior Loan Amortization1'!$C$19:$X$19,0)))</f>
        <v>307277.87674628111</v>
      </c>
      <c r="FR124" s="427">
        <f>-IF(OR(FR11&lt;='Financing Assumptions'!$H$22,FR$11&gt;'Financing Assumptions'!$H$26),0,INDEX('Senior Loan Amortization1'!$C$19:$X$440,MATCH(FR$11,'Senior Loan Amortization1'!$F$19:$F$440,0),MATCH('Senior Loan Amortization1'!$Q$19,'Senior Loan Amortization1'!$C$19:$X$19,0)))</f>
        <v>307277.87674628111</v>
      </c>
      <c r="FS124" s="427">
        <f>-IF(OR(FS11&lt;='Financing Assumptions'!$H$22,FS$11&gt;'Financing Assumptions'!$H$26),0,INDEX('Senior Loan Amortization1'!$C$19:$X$440,MATCH(FS$11,'Senior Loan Amortization1'!$F$19:$F$440,0),MATCH('Senior Loan Amortization1'!$Q$19,'Senior Loan Amortization1'!$C$19:$X$19,0)))</f>
        <v>307277.87674628111</v>
      </c>
      <c r="FT124" s="427">
        <f>-IF(OR(FT11&lt;='Financing Assumptions'!$H$22,FT$11&gt;'Financing Assumptions'!$H$26),0,INDEX('Senior Loan Amortization1'!$C$19:$X$440,MATCH(FT$11,'Senior Loan Amortization1'!$F$19:$F$440,0),MATCH('Senior Loan Amortization1'!$Q$19,'Senior Loan Amortization1'!$C$19:$X$19,0)))</f>
        <v>307277.87674628111</v>
      </c>
      <c r="FU124" s="43"/>
      <c r="FV124" s="34"/>
      <c r="FW124" s="34"/>
      <c r="FX124" s="34"/>
      <c r="FY124" s="34"/>
      <c r="FZ124" s="34"/>
    </row>
    <row r="125" spans="1:182" s="89" customFormat="1" ht="13.5" x14ac:dyDescent="0.25">
      <c r="A125" s="34"/>
      <c r="B125" s="1290" t="s">
        <v>573</v>
      </c>
      <c r="C125" s="34"/>
      <c r="D125" s="34"/>
      <c r="E125" s="34"/>
      <c r="F125" s="434">
        <f t="shared" ref="F125:F127" si="194">SUM(H125:FT125)</f>
        <v>0</v>
      </c>
      <c r="G125" s="34"/>
      <c r="H125" s="427">
        <f>-IF('Financing Assumptions'!$H$30="No",0,IF(AND('Financing Assumptions'!$H$30="Yes",H$9&lt;'Financing Assumptions'!$G$34),0,INDEX('Senior Perm Amortization1'!$C$19:$U$440,MATCH(H$11,'Senior Perm Amortization1'!$E$19:$E$440,0),MATCH('Senior Perm Amortization1'!$N$19,'Senior Perm Amortization1'!$C$19:$U$19,0))))</f>
        <v>0</v>
      </c>
      <c r="I125" s="427">
        <f>-IF('Financing Assumptions'!$H$30="No",0,IF(AND('Financing Assumptions'!$H$30="Yes",I$9&lt;'Financing Assumptions'!$G$34),0,INDEX('Senior Perm Amortization1'!$C$19:$U$440,MATCH(I$11,'Senior Perm Amortization1'!$E$19:$E$440,0),MATCH('Senior Perm Amortization1'!$N$19,'Senior Perm Amortization1'!$C$19:$U$19,0))))</f>
        <v>0</v>
      </c>
      <c r="J125" s="427">
        <f>-IF('Financing Assumptions'!$H$30="No",0,IF(AND('Financing Assumptions'!$H$30="Yes",J$9&lt;'Financing Assumptions'!$G$34),0,INDEX('Senior Perm Amortization1'!$C$19:$U$440,MATCH(J$11,'Senior Perm Amortization1'!$E$19:$E$440,0),MATCH('Senior Perm Amortization1'!$N$19,'Senior Perm Amortization1'!$C$19:$U$19,0))))</f>
        <v>0</v>
      </c>
      <c r="K125" s="427">
        <f>-IF('Financing Assumptions'!$H$30="No",0,IF(AND('Financing Assumptions'!$H$30="Yes",K$9&lt;'Financing Assumptions'!$G$34),0,INDEX('Senior Perm Amortization1'!$C$19:$U$440,MATCH(K$11,'Senior Perm Amortization1'!$E$19:$E$440,0),MATCH('Senior Perm Amortization1'!$N$19,'Senior Perm Amortization1'!$C$19:$U$19,0))))</f>
        <v>0</v>
      </c>
      <c r="L125" s="427">
        <f>-IF('Financing Assumptions'!$H$30="No",0,IF(AND('Financing Assumptions'!$H$30="Yes",L$9&lt;'Financing Assumptions'!$G$34),0,INDEX('Senior Perm Amortization1'!$C$19:$U$440,MATCH(L$11,'Senior Perm Amortization1'!$E$19:$E$440,0),MATCH('Senior Perm Amortization1'!$N$19,'Senior Perm Amortization1'!$C$19:$U$19,0))))</f>
        <v>0</v>
      </c>
      <c r="M125" s="427">
        <f>-IF('Financing Assumptions'!$H$30="No",0,IF(AND('Financing Assumptions'!$H$30="Yes",M$9&lt;'Financing Assumptions'!$G$34),0,INDEX('Senior Perm Amortization1'!$C$19:$U$440,MATCH(M$11,'Senior Perm Amortization1'!$E$19:$E$440,0),MATCH('Senior Perm Amortization1'!$N$19,'Senior Perm Amortization1'!$C$19:$U$19,0))))</f>
        <v>0</v>
      </c>
      <c r="N125" s="427">
        <f>-IF('Financing Assumptions'!$H$30="No",0,IF(AND('Financing Assumptions'!$H$30="Yes",N$9&lt;'Financing Assumptions'!$G$34),0,INDEX('Senior Perm Amortization1'!$C$19:$U$440,MATCH(N$11,'Senior Perm Amortization1'!$E$19:$E$440,0),MATCH('Senior Perm Amortization1'!$N$19,'Senior Perm Amortization1'!$C$19:$U$19,0))))</f>
        <v>0</v>
      </c>
      <c r="O125" s="427">
        <f>-IF('Financing Assumptions'!$H$30="No",0,IF(AND('Financing Assumptions'!$H$30="Yes",O$9&lt;'Financing Assumptions'!$G$34),0,INDEX('Senior Perm Amortization1'!$C$19:$U$440,MATCH(O$11,'Senior Perm Amortization1'!$E$19:$E$440,0),MATCH('Senior Perm Amortization1'!$N$19,'Senior Perm Amortization1'!$C$19:$U$19,0))))</f>
        <v>0</v>
      </c>
      <c r="P125" s="427">
        <f>-IF('Financing Assumptions'!$H$30="No",0,IF(AND('Financing Assumptions'!$H$30="Yes",P$9&lt;'Financing Assumptions'!$G$34),0,INDEX('Senior Perm Amortization1'!$C$19:$U$440,MATCH(P$11,'Senior Perm Amortization1'!$E$19:$E$440,0),MATCH('Senior Perm Amortization1'!$N$19,'Senior Perm Amortization1'!$C$19:$U$19,0))))</f>
        <v>0</v>
      </c>
      <c r="Q125" s="427">
        <f>-IF('Financing Assumptions'!$H$30="No",0,IF(AND('Financing Assumptions'!$H$30="Yes",Q$9&lt;'Financing Assumptions'!$G$34),0,INDEX('Senior Perm Amortization1'!$C$19:$U$440,MATCH(Q$11,'Senior Perm Amortization1'!$E$19:$E$440,0),MATCH('Senior Perm Amortization1'!$N$19,'Senior Perm Amortization1'!$C$19:$U$19,0))))</f>
        <v>0</v>
      </c>
      <c r="R125" s="427">
        <f>-IF('Financing Assumptions'!$H$30="No",0,IF(AND('Financing Assumptions'!$H$30="Yes",R$9&lt;'Financing Assumptions'!$G$34),0,INDEX('Senior Perm Amortization1'!$C$19:$U$440,MATCH(R$11,'Senior Perm Amortization1'!$E$19:$E$440,0),MATCH('Senior Perm Amortization1'!$N$19,'Senior Perm Amortization1'!$C$19:$U$19,0))))</f>
        <v>0</v>
      </c>
      <c r="S125" s="427">
        <f>-IF('Financing Assumptions'!$H$30="No",0,IF(AND('Financing Assumptions'!$H$30="Yes",S$9&lt;'Financing Assumptions'!$G$34),0,INDEX('Senior Perm Amortization1'!$C$19:$U$440,MATCH(S$11,'Senior Perm Amortization1'!$E$19:$E$440,0),MATCH('Senior Perm Amortization1'!$N$19,'Senior Perm Amortization1'!$C$19:$U$19,0))))</f>
        <v>0</v>
      </c>
      <c r="T125" s="427">
        <f>-IF('Financing Assumptions'!$H$30="No",0,IF(AND('Financing Assumptions'!$H$30="Yes",T$9&lt;'Financing Assumptions'!$G$34),0,INDEX('Senior Perm Amortization1'!$C$19:$U$440,MATCH(T$11,'Senior Perm Amortization1'!$E$19:$E$440,0),MATCH('Senior Perm Amortization1'!$N$19,'Senior Perm Amortization1'!$C$19:$U$19,0))))</f>
        <v>0</v>
      </c>
      <c r="U125" s="427">
        <f>-IF('Financing Assumptions'!$H$30="No",0,IF(AND('Financing Assumptions'!$H$30="Yes",U$9&lt;'Financing Assumptions'!$G$34),0,INDEX('Senior Perm Amortization1'!$C$19:$U$440,MATCH(U$11,'Senior Perm Amortization1'!$E$19:$E$440,0),MATCH('Senior Perm Amortization1'!$N$19,'Senior Perm Amortization1'!$C$19:$U$19,0))))</f>
        <v>0</v>
      </c>
      <c r="V125" s="427">
        <f>-IF('Financing Assumptions'!$H$30="No",0,IF(AND('Financing Assumptions'!$H$30="Yes",V$9&lt;'Financing Assumptions'!$G$34),0,INDEX('Senior Perm Amortization1'!$C$19:$U$440,MATCH(V$11,'Senior Perm Amortization1'!$E$19:$E$440,0),MATCH('Senior Perm Amortization1'!$N$19,'Senior Perm Amortization1'!$C$19:$U$19,0))))</f>
        <v>0</v>
      </c>
      <c r="W125" s="427">
        <f>-IF('Financing Assumptions'!$H$30="No",0,IF(AND('Financing Assumptions'!$H$30="Yes",W$9&lt;'Financing Assumptions'!$G$34),0,INDEX('Senior Perm Amortization1'!$C$19:$U$440,MATCH(W$11,'Senior Perm Amortization1'!$E$19:$E$440,0),MATCH('Senior Perm Amortization1'!$N$19,'Senior Perm Amortization1'!$C$19:$U$19,0))))</f>
        <v>0</v>
      </c>
      <c r="X125" s="427">
        <f>-IF('Financing Assumptions'!$H$30="No",0,IF(AND('Financing Assumptions'!$H$30="Yes",X$9&lt;'Financing Assumptions'!$G$34),0,INDEX('Senior Perm Amortization1'!$C$19:$U$440,MATCH(X$11,'Senior Perm Amortization1'!$E$19:$E$440,0),MATCH('Senior Perm Amortization1'!$N$19,'Senior Perm Amortization1'!$C$19:$U$19,0))))</f>
        <v>0</v>
      </c>
      <c r="Y125" s="427">
        <f>-IF('Financing Assumptions'!$H$30="No",0,IF(AND('Financing Assumptions'!$H$30="Yes",Y$9&lt;'Financing Assumptions'!$G$34),0,INDEX('Senior Perm Amortization1'!$C$19:$U$440,MATCH(Y$11,'Senior Perm Amortization1'!$E$19:$E$440,0),MATCH('Senior Perm Amortization1'!$N$19,'Senior Perm Amortization1'!$C$19:$U$19,0))))</f>
        <v>0</v>
      </c>
      <c r="Z125" s="427">
        <f>-IF('Financing Assumptions'!$H$30="No",0,IF(AND('Financing Assumptions'!$H$30="Yes",Z$9&lt;'Financing Assumptions'!$G$34),0,INDEX('Senior Perm Amortization1'!$C$19:$U$440,MATCH(Z$11,'Senior Perm Amortization1'!$E$19:$E$440,0),MATCH('Senior Perm Amortization1'!$N$19,'Senior Perm Amortization1'!$C$19:$U$19,0))))</f>
        <v>0</v>
      </c>
      <c r="AA125" s="427">
        <f>-IF('Financing Assumptions'!$H$30="No",0,IF(AND('Financing Assumptions'!$H$30="Yes",AA$9&lt;'Financing Assumptions'!$G$34),0,INDEX('Senior Perm Amortization1'!$C$19:$U$440,MATCH(AA$11,'Senior Perm Amortization1'!$E$19:$E$440,0),MATCH('Senior Perm Amortization1'!$N$19,'Senior Perm Amortization1'!$C$19:$U$19,0))))</f>
        <v>0</v>
      </c>
      <c r="AB125" s="427">
        <f>-IF('Financing Assumptions'!$H$30="No",0,IF(AND('Financing Assumptions'!$H$30="Yes",AB$9&lt;'Financing Assumptions'!$G$34),0,INDEX('Senior Perm Amortization1'!$C$19:$U$440,MATCH(AB$11,'Senior Perm Amortization1'!$E$19:$E$440,0),MATCH('Senior Perm Amortization1'!$N$19,'Senior Perm Amortization1'!$C$19:$U$19,0))))</f>
        <v>0</v>
      </c>
      <c r="AC125" s="427">
        <f>-IF('Financing Assumptions'!$H$30="No",0,IF(AND('Financing Assumptions'!$H$30="Yes",AC$9&lt;'Financing Assumptions'!$G$34),0,INDEX('Senior Perm Amortization1'!$C$19:$U$440,MATCH(AC$11,'Senior Perm Amortization1'!$E$19:$E$440,0),MATCH('Senior Perm Amortization1'!$N$19,'Senior Perm Amortization1'!$C$19:$U$19,0))))</f>
        <v>0</v>
      </c>
      <c r="AD125" s="427">
        <f>-IF('Financing Assumptions'!$H$30="No",0,IF(AND('Financing Assumptions'!$H$30="Yes",AD$9&lt;'Financing Assumptions'!$G$34),0,INDEX('Senior Perm Amortization1'!$C$19:$U$440,MATCH(AD$11,'Senior Perm Amortization1'!$E$19:$E$440,0),MATCH('Senior Perm Amortization1'!$N$19,'Senior Perm Amortization1'!$C$19:$U$19,0))))</f>
        <v>0</v>
      </c>
      <c r="AE125" s="427">
        <f>-IF('Financing Assumptions'!$H$30="No",0,IF(AND('Financing Assumptions'!$H$30="Yes",AE$9&lt;'Financing Assumptions'!$G$34),0,INDEX('Senior Perm Amortization1'!$C$19:$U$440,MATCH(AE$11,'Senior Perm Amortization1'!$E$19:$E$440,0),MATCH('Senior Perm Amortization1'!$N$19,'Senior Perm Amortization1'!$C$19:$U$19,0))))</f>
        <v>0</v>
      </c>
      <c r="AF125" s="427">
        <f>-IF('Financing Assumptions'!$H$30="No",0,IF(AND('Financing Assumptions'!$H$30="Yes",AF$9&lt;'Financing Assumptions'!$G$34),0,INDEX('Senior Perm Amortization1'!$C$19:$U$440,MATCH(AF$11,'Senior Perm Amortization1'!$E$19:$E$440,0),MATCH('Senior Perm Amortization1'!$N$19,'Senior Perm Amortization1'!$C$19:$U$19,0))))</f>
        <v>0</v>
      </c>
      <c r="AG125" s="427">
        <f>-IF('Financing Assumptions'!$H$30="No",0,IF(AND('Financing Assumptions'!$H$30="Yes",AG$9&lt;'Financing Assumptions'!$G$34),0,INDEX('Senior Perm Amortization1'!$C$19:$U$440,MATCH(AG$11,'Senior Perm Amortization1'!$E$19:$E$440,0),MATCH('Senior Perm Amortization1'!$N$19,'Senior Perm Amortization1'!$C$19:$U$19,0))))</f>
        <v>0</v>
      </c>
      <c r="AH125" s="427">
        <f>-IF('Financing Assumptions'!$H$30="No",0,IF(AND('Financing Assumptions'!$H$30="Yes",AH$9&lt;'Financing Assumptions'!$G$34),0,INDEX('Senior Perm Amortization1'!$C$19:$U$440,MATCH(AH$11,'Senior Perm Amortization1'!$E$19:$E$440,0),MATCH('Senior Perm Amortization1'!$N$19,'Senior Perm Amortization1'!$C$19:$U$19,0))))</f>
        <v>0</v>
      </c>
      <c r="AI125" s="427">
        <f>-IF('Financing Assumptions'!$H$30="No",0,IF(AND('Financing Assumptions'!$H$30="Yes",AI$9&lt;'Financing Assumptions'!$G$34),0,INDEX('Senior Perm Amortization1'!$C$19:$U$440,MATCH(AI$11,'Senior Perm Amortization1'!$E$19:$E$440,0),MATCH('Senior Perm Amortization1'!$N$19,'Senior Perm Amortization1'!$C$19:$U$19,0))))</f>
        <v>0</v>
      </c>
      <c r="AJ125" s="427">
        <f>-IF('Financing Assumptions'!$H$30="No",0,IF(AND('Financing Assumptions'!$H$30="Yes",AJ$9&lt;'Financing Assumptions'!$G$34),0,INDEX('Senior Perm Amortization1'!$C$19:$U$440,MATCH(AJ$11,'Senior Perm Amortization1'!$E$19:$E$440,0),MATCH('Senior Perm Amortization1'!$N$19,'Senior Perm Amortization1'!$C$19:$U$19,0))))</f>
        <v>0</v>
      </c>
      <c r="AK125" s="427">
        <f>-IF('Financing Assumptions'!$H$30="No",0,IF(AND('Financing Assumptions'!$H$30="Yes",AK$9&lt;'Financing Assumptions'!$G$34),0,INDEX('Senior Perm Amortization1'!$C$19:$U$440,MATCH(AK$11,'Senior Perm Amortization1'!$E$19:$E$440,0),MATCH('Senior Perm Amortization1'!$N$19,'Senior Perm Amortization1'!$C$19:$U$19,0))))</f>
        <v>0</v>
      </c>
      <c r="AL125" s="427">
        <f>-IF('Financing Assumptions'!$H$30="No",0,IF(AND('Financing Assumptions'!$H$30="Yes",AL$9&lt;'Financing Assumptions'!$G$34),0,INDEX('Senior Perm Amortization1'!$C$19:$U$440,MATCH(AL$11,'Senior Perm Amortization1'!$E$19:$E$440,0),MATCH('Senior Perm Amortization1'!$N$19,'Senior Perm Amortization1'!$C$19:$U$19,0))))</f>
        <v>0</v>
      </c>
      <c r="AM125" s="427">
        <f>-IF('Financing Assumptions'!$H$30="No",0,IF(AND('Financing Assumptions'!$H$30="Yes",AM$9&lt;'Financing Assumptions'!$G$34),0,INDEX('Senior Perm Amortization1'!$C$19:$U$440,MATCH(AM$11,'Senior Perm Amortization1'!$E$19:$E$440,0),MATCH('Senior Perm Amortization1'!$N$19,'Senior Perm Amortization1'!$C$19:$U$19,0))))</f>
        <v>0</v>
      </c>
      <c r="AN125" s="427">
        <f>-IF('Financing Assumptions'!$H$30="No",0,IF(AND('Financing Assumptions'!$H$30="Yes",AN$9&lt;'Financing Assumptions'!$G$34),0,INDEX('Senior Perm Amortization1'!$C$19:$U$440,MATCH(AN$11,'Senior Perm Amortization1'!$E$19:$E$440,0),MATCH('Senior Perm Amortization1'!$N$19,'Senior Perm Amortization1'!$C$19:$U$19,0))))</f>
        <v>0</v>
      </c>
      <c r="AO125" s="427">
        <f>-IF('Financing Assumptions'!$H$30="No",0,IF(AND('Financing Assumptions'!$H$30="Yes",AO$9&lt;'Financing Assumptions'!$G$34),0,INDEX('Senior Perm Amortization1'!$C$19:$U$440,MATCH(AO$11,'Senior Perm Amortization1'!$E$19:$E$440,0),MATCH('Senior Perm Amortization1'!$N$19,'Senior Perm Amortization1'!$C$19:$U$19,0))))</f>
        <v>0</v>
      </c>
      <c r="AP125" s="427">
        <f>-IF('Financing Assumptions'!$H$30="No",0,IF(AND('Financing Assumptions'!$H$30="Yes",AP$9&lt;'Financing Assumptions'!$G$34),0,INDEX('Senior Perm Amortization1'!$C$19:$U$440,MATCH(AP$11,'Senior Perm Amortization1'!$E$19:$E$440,0),MATCH('Senior Perm Amortization1'!$N$19,'Senior Perm Amortization1'!$C$19:$U$19,0))))</f>
        <v>0</v>
      </c>
      <c r="AQ125" s="427">
        <f>-IF('Financing Assumptions'!$H$30="No",0,IF(AND('Financing Assumptions'!$H$30="Yes",AQ$9&lt;'Financing Assumptions'!$G$34),0,INDEX('Senior Perm Amortization1'!$C$19:$U$440,MATCH(AQ$11,'Senior Perm Amortization1'!$E$19:$E$440,0),MATCH('Senior Perm Amortization1'!$N$19,'Senior Perm Amortization1'!$C$19:$U$19,0))))</f>
        <v>0</v>
      </c>
      <c r="AR125" s="427">
        <f>-IF('Financing Assumptions'!$H$30="No",0,IF(AND('Financing Assumptions'!$H$30="Yes",AR$9&lt;'Financing Assumptions'!$G$34),0,INDEX('Senior Perm Amortization1'!$C$19:$U$440,MATCH(AR$11,'Senior Perm Amortization1'!$E$19:$E$440,0),MATCH('Senior Perm Amortization1'!$N$19,'Senior Perm Amortization1'!$C$19:$U$19,0))))</f>
        <v>0</v>
      </c>
      <c r="AS125" s="427">
        <f>-IF('Financing Assumptions'!$H$30="No",0,IF(AND('Financing Assumptions'!$H$30="Yes",AS$9&lt;'Financing Assumptions'!$G$34),0,INDEX('Senior Perm Amortization1'!$C$19:$U$440,MATCH(AS$11,'Senior Perm Amortization1'!$E$19:$E$440,0),MATCH('Senior Perm Amortization1'!$N$19,'Senior Perm Amortization1'!$C$19:$U$19,0))))</f>
        <v>0</v>
      </c>
      <c r="AT125" s="427">
        <f>-IF('Financing Assumptions'!$H$30="No",0,IF(AND('Financing Assumptions'!$H$30="Yes",AT$9&lt;'Financing Assumptions'!$G$34),0,INDEX('Senior Perm Amortization1'!$C$19:$U$440,MATCH(AT$11,'Senior Perm Amortization1'!$E$19:$E$440,0),MATCH('Senior Perm Amortization1'!$N$19,'Senior Perm Amortization1'!$C$19:$U$19,0))))</f>
        <v>0</v>
      </c>
      <c r="AU125" s="427">
        <f>-IF('Financing Assumptions'!$H$30="No",0,IF(AND('Financing Assumptions'!$H$30="Yes",AU$9&lt;'Financing Assumptions'!$G$34),0,INDEX('Senior Perm Amortization1'!$C$19:$U$440,MATCH(AU$11,'Senior Perm Amortization1'!$E$19:$E$440,0),MATCH('Senior Perm Amortization1'!$N$19,'Senior Perm Amortization1'!$C$19:$U$19,0))))</f>
        <v>0</v>
      </c>
      <c r="AV125" s="427">
        <f>-IF('Financing Assumptions'!$H$30="No",0,IF(AND('Financing Assumptions'!$H$30="Yes",AV$9&lt;'Financing Assumptions'!$G$34),0,INDEX('Senior Perm Amortization1'!$C$19:$U$440,MATCH(AV$11,'Senior Perm Amortization1'!$E$19:$E$440,0),MATCH('Senior Perm Amortization1'!$N$19,'Senior Perm Amortization1'!$C$19:$U$19,0))))</f>
        <v>0</v>
      </c>
      <c r="AW125" s="427">
        <f>-IF('Financing Assumptions'!$H$30="No",0,IF(AND('Financing Assumptions'!$H$30="Yes",AW$9&lt;'Financing Assumptions'!$G$34),0,INDEX('Senior Perm Amortization1'!$C$19:$U$440,MATCH(AW$11,'Senior Perm Amortization1'!$E$19:$E$440,0),MATCH('Senior Perm Amortization1'!$N$19,'Senior Perm Amortization1'!$C$19:$U$19,0))))</f>
        <v>0</v>
      </c>
      <c r="AX125" s="427">
        <f>-IF('Financing Assumptions'!$H$30="No",0,IF(AND('Financing Assumptions'!$H$30="Yes",AX$9&lt;'Financing Assumptions'!$G$34),0,INDEX('Senior Perm Amortization1'!$C$19:$U$440,MATCH(AX$11,'Senior Perm Amortization1'!$E$19:$E$440,0),MATCH('Senior Perm Amortization1'!$N$19,'Senior Perm Amortization1'!$C$19:$U$19,0))))</f>
        <v>0</v>
      </c>
      <c r="AY125" s="427">
        <f>-IF('Financing Assumptions'!$H$30="No",0,IF(AND('Financing Assumptions'!$H$30="Yes",AY$9&lt;'Financing Assumptions'!$G$34),0,INDEX('Senior Perm Amortization1'!$C$19:$U$440,MATCH(AY$11,'Senior Perm Amortization1'!$E$19:$E$440,0),MATCH('Senior Perm Amortization1'!$N$19,'Senior Perm Amortization1'!$C$19:$U$19,0))))</f>
        <v>0</v>
      </c>
      <c r="AZ125" s="427">
        <f>-IF('Financing Assumptions'!$H$30="No",0,IF(AND('Financing Assumptions'!$H$30="Yes",AZ$9&lt;'Financing Assumptions'!$G$34),0,INDEX('Senior Perm Amortization1'!$C$19:$U$440,MATCH(AZ$11,'Senior Perm Amortization1'!$E$19:$E$440,0),MATCH('Senior Perm Amortization1'!$N$19,'Senior Perm Amortization1'!$C$19:$U$19,0))))</f>
        <v>0</v>
      </c>
      <c r="BA125" s="427">
        <f>-IF('Financing Assumptions'!$H$30="No",0,IF(AND('Financing Assumptions'!$H$30="Yes",BA$9&lt;'Financing Assumptions'!$G$34),0,INDEX('Senior Perm Amortization1'!$C$19:$U$440,MATCH(BA$11,'Senior Perm Amortization1'!$E$19:$E$440,0),MATCH('Senior Perm Amortization1'!$N$19,'Senior Perm Amortization1'!$C$19:$U$19,0))))</f>
        <v>0</v>
      </c>
      <c r="BB125" s="427">
        <f>-IF('Financing Assumptions'!$H$30="No",0,IF(AND('Financing Assumptions'!$H$30="Yes",BB$9&lt;'Financing Assumptions'!$G$34),0,INDEX('Senior Perm Amortization1'!$C$19:$U$440,MATCH(BB$11,'Senior Perm Amortization1'!$E$19:$E$440,0),MATCH('Senior Perm Amortization1'!$N$19,'Senior Perm Amortization1'!$C$19:$U$19,0))))</f>
        <v>0</v>
      </c>
      <c r="BC125" s="427">
        <f>-IF('Financing Assumptions'!$H$30="No",0,IF(AND('Financing Assumptions'!$H$30="Yes",BC$9&lt;'Financing Assumptions'!$G$34),0,INDEX('Senior Perm Amortization1'!$C$19:$U$440,MATCH(BC$11,'Senior Perm Amortization1'!$E$19:$E$440,0),MATCH('Senior Perm Amortization1'!$N$19,'Senior Perm Amortization1'!$C$19:$U$19,0))))</f>
        <v>0</v>
      </c>
      <c r="BD125" s="427">
        <f>-IF('Financing Assumptions'!$H$30="No",0,IF(AND('Financing Assumptions'!$H$30="Yes",BD$9&lt;'Financing Assumptions'!$G$34),0,INDEX('Senior Perm Amortization1'!$C$19:$U$440,MATCH(BD$11,'Senior Perm Amortization1'!$E$19:$E$440,0),MATCH('Senior Perm Amortization1'!$N$19,'Senior Perm Amortization1'!$C$19:$U$19,0))))</f>
        <v>0</v>
      </c>
      <c r="BE125" s="427">
        <f>-IF('Financing Assumptions'!$H$30="No",0,IF(AND('Financing Assumptions'!$H$30="Yes",BE$9&lt;'Financing Assumptions'!$G$34),0,INDEX('Senior Perm Amortization1'!$C$19:$U$440,MATCH(BE$11,'Senior Perm Amortization1'!$E$19:$E$440,0),MATCH('Senior Perm Amortization1'!$N$19,'Senior Perm Amortization1'!$C$19:$U$19,0))))</f>
        <v>0</v>
      </c>
      <c r="BF125" s="427">
        <f>-IF('Financing Assumptions'!$H$30="No",0,IF(AND('Financing Assumptions'!$H$30="Yes",BF$9&lt;'Financing Assumptions'!$G$34),0,INDEX('Senior Perm Amortization1'!$C$19:$U$440,MATCH(BF$11,'Senior Perm Amortization1'!$E$19:$E$440,0),MATCH('Senior Perm Amortization1'!$N$19,'Senior Perm Amortization1'!$C$19:$U$19,0))))</f>
        <v>0</v>
      </c>
      <c r="BG125" s="427">
        <f>-IF('Financing Assumptions'!$H$30="No",0,IF(AND('Financing Assumptions'!$H$30="Yes",BG$9&lt;'Financing Assumptions'!$G$34),0,INDEX('Senior Perm Amortization1'!$C$19:$U$440,MATCH(BG$11,'Senior Perm Amortization1'!$E$19:$E$440,0),MATCH('Senior Perm Amortization1'!$N$19,'Senior Perm Amortization1'!$C$19:$U$19,0))))</f>
        <v>0</v>
      </c>
      <c r="BH125" s="427">
        <f>-IF('Financing Assumptions'!$H$30="No",0,IF(AND('Financing Assumptions'!$H$30="Yes",BH$9&lt;'Financing Assumptions'!$G$34),0,INDEX('Senior Perm Amortization1'!$C$19:$U$440,MATCH(BH$11,'Senior Perm Amortization1'!$E$19:$E$440,0),MATCH('Senior Perm Amortization1'!$N$19,'Senior Perm Amortization1'!$C$19:$U$19,0))))</f>
        <v>0</v>
      </c>
      <c r="BI125" s="427">
        <f>-IF('Financing Assumptions'!$H$30="No",0,IF(AND('Financing Assumptions'!$H$30="Yes",BI$9&lt;'Financing Assumptions'!$G$34),0,INDEX('Senior Perm Amortization1'!$C$19:$U$440,MATCH(BI$11,'Senior Perm Amortization1'!$E$19:$E$440,0),MATCH('Senior Perm Amortization1'!$N$19,'Senior Perm Amortization1'!$C$19:$U$19,0))))</f>
        <v>0</v>
      </c>
      <c r="BJ125" s="427">
        <f>-IF('Financing Assumptions'!$H$30="No",0,IF(AND('Financing Assumptions'!$H$30="Yes",BJ$9&lt;'Financing Assumptions'!$G$34),0,INDEX('Senior Perm Amortization1'!$C$19:$U$440,MATCH(BJ$11,'Senior Perm Amortization1'!$E$19:$E$440,0),MATCH('Senior Perm Amortization1'!$N$19,'Senior Perm Amortization1'!$C$19:$U$19,0))))</f>
        <v>0</v>
      </c>
      <c r="BK125" s="427">
        <f>-IF('Financing Assumptions'!$H$30="No",0,IF(AND('Financing Assumptions'!$H$30="Yes",BK$9&lt;'Financing Assumptions'!$G$34),0,INDEX('Senior Perm Amortization1'!$C$19:$U$440,MATCH(BK$11,'Senior Perm Amortization1'!$E$19:$E$440,0),MATCH('Senior Perm Amortization1'!$N$19,'Senior Perm Amortization1'!$C$19:$U$19,0))))</f>
        <v>0</v>
      </c>
      <c r="BL125" s="427">
        <f>-IF('Financing Assumptions'!$H$30="No",0,IF(AND('Financing Assumptions'!$H$30="Yes",BL$9&lt;'Financing Assumptions'!$G$34),0,INDEX('Senior Perm Amortization1'!$C$19:$U$440,MATCH(BL$11,'Senior Perm Amortization1'!$E$19:$E$440,0),MATCH('Senior Perm Amortization1'!$N$19,'Senior Perm Amortization1'!$C$19:$U$19,0))))</f>
        <v>0</v>
      </c>
      <c r="BM125" s="427">
        <f>-IF('Financing Assumptions'!$H$30="No",0,IF(AND('Financing Assumptions'!$H$30="Yes",BM$9&lt;'Financing Assumptions'!$G$34),0,INDEX('Senior Perm Amortization1'!$C$19:$U$440,MATCH(BM$11,'Senior Perm Amortization1'!$E$19:$E$440,0),MATCH('Senior Perm Amortization1'!$N$19,'Senior Perm Amortization1'!$C$19:$U$19,0))))</f>
        <v>0</v>
      </c>
      <c r="BN125" s="427">
        <f>-IF('Financing Assumptions'!$H$30="No",0,IF(AND('Financing Assumptions'!$H$30="Yes",BN$9&lt;'Financing Assumptions'!$G$34),0,INDEX('Senior Perm Amortization1'!$C$19:$U$440,MATCH(BN$11,'Senior Perm Amortization1'!$E$19:$E$440,0),MATCH('Senior Perm Amortization1'!$N$19,'Senior Perm Amortization1'!$C$19:$U$19,0))))</f>
        <v>0</v>
      </c>
      <c r="BO125" s="427">
        <f>-IF('Financing Assumptions'!$H$30="No",0,IF(AND('Financing Assumptions'!$H$30="Yes",BO$9&lt;'Financing Assumptions'!$G$34),0,INDEX('Senior Perm Amortization1'!$C$19:$U$440,MATCH(BO$11,'Senior Perm Amortization1'!$E$19:$E$440,0),MATCH('Senior Perm Amortization1'!$N$19,'Senior Perm Amortization1'!$C$19:$U$19,0))))</f>
        <v>0</v>
      </c>
      <c r="BP125" s="427">
        <f>-IF('Financing Assumptions'!$H$30="No",0,IF(AND('Financing Assumptions'!$H$30="Yes",BP$9&lt;'Financing Assumptions'!$G$34),0,INDEX('Senior Perm Amortization1'!$C$19:$U$440,MATCH(BP$11,'Senior Perm Amortization1'!$E$19:$E$440,0),MATCH('Senior Perm Amortization1'!$N$19,'Senior Perm Amortization1'!$C$19:$U$19,0))))</f>
        <v>0</v>
      </c>
      <c r="BQ125" s="427">
        <f>-IF('Financing Assumptions'!$H$30="No",0,IF(AND('Financing Assumptions'!$H$30="Yes",BQ$9&lt;'Financing Assumptions'!$G$34),0,INDEX('Senior Perm Amortization1'!$C$19:$U$440,MATCH(BQ$11,'Senior Perm Amortization1'!$E$19:$E$440,0),MATCH('Senior Perm Amortization1'!$N$19,'Senior Perm Amortization1'!$C$19:$U$19,0))))</f>
        <v>0</v>
      </c>
      <c r="BR125" s="427">
        <f>-IF('Financing Assumptions'!$H$30="No",0,IF(AND('Financing Assumptions'!$H$30="Yes",BR$9&lt;'Financing Assumptions'!$G$34),0,INDEX('Senior Perm Amortization1'!$C$19:$U$440,MATCH(BR$11,'Senior Perm Amortization1'!$E$19:$E$440,0),MATCH('Senior Perm Amortization1'!$N$19,'Senior Perm Amortization1'!$C$19:$U$19,0))))</f>
        <v>0</v>
      </c>
      <c r="BS125" s="427">
        <f>-IF('Financing Assumptions'!$H$30="No",0,IF(AND('Financing Assumptions'!$H$30="Yes",BS$9&lt;'Financing Assumptions'!$G$34),0,INDEX('Senior Perm Amortization1'!$C$19:$U$440,MATCH(BS$11,'Senior Perm Amortization1'!$E$19:$E$440,0),MATCH('Senior Perm Amortization1'!$N$19,'Senior Perm Amortization1'!$C$19:$U$19,0))))</f>
        <v>0</v>
      </c>
      <c r="BT125" s="427">
        <f>-IF('Financing Assumptions'!$H$30="No",0,IF(AND('Financing Assumptions'!$H$30="Yes",BT$9&lt;'Financing Assumptions'!$G$34),0,INDEX('Senior Perm Amortization1'!$C$19:$U$440,MATCH(BT$11,'Senior Perm Amortization1'!$E$19:$E$440,0),MATCH('Senior Perm Amortization1'!$N$19,'Senior Perm Amortization1'!$C$19:$U$19,0))))</f>
        <v>0</v>
      </c>
      <c r="BU125" s="427">
        <f>-IF('Financing Assumptions'!$H$30="No",0,IF(AND('Financing Assumptions'!$H$30="Yes",BU$9&lt;'Financing Assumptions'!$G$34),0,INDEX('Senior Perm Amortization1'!$C$19:$U$440,MATCH(BU$11,'Senior Perm Amortization1'!$E$19:$E$440,0),MATCH('Senior Perm Amortization1'!$N$19,'Senior Perm Amortization1'!$C$19:$U$19,0))))</f>
        <v>0</v>
      </c>
      <c r="BV125" s="427">
        <f>-IF('Financing Assumptions'!$H$30="No",0,IF(AND('Financing Assumptions'!$H$30="Yes",BV$9&lt;'Financing Assumptions'!$G$34),0,INDEX('Senior Perm Amortization1'!$C$19:$U$440,MATCH(BV$11,'Senior Perm Amortization1'!$E$19:$E$440,0),MATCH('Senior Perm Amortization1'!$N$19,'Senior Perm Amortization1'!$C$19:$U$19,0))))</f>
        <v>0</v>
      </c>
      <c r="BW125" s="427">
        <f>-IF('Financing Assumptions'!$H$30="No",0,IF(AND('Financing Assumptions'!$H$30="Yes",BW$9&lt;'Financing Assumptions'!$G$34),0,INDEX('Senior Perm Amortization1'!$C$19:$U$440,MATCH(BW$11,'Senior Perm Amortization1'!$E$19:$E$440,0),MATCH('Senior Perm Amortization1'!$N$19,'Senior Perm Amortization1'!$C$19:$U$19,0))))</f>
        <v>0</v>
      </c>
      <c r="BX125" s="427">
        <f>-IF('Financing Assumptions'!$H$30="No",0,IF(AND('Financing Assumptions'!$H$30="Yes",BX$9&lt;'Financing Assumptions'!$G$34),0,INDEX('Senior Perm Amortization1'!$C$19:$U$440,MATCH(BX$11,'Senior Perm Amortization1'!$E$19:$E$440,0),MATCH('Senior Perm Amortization1'!$N$19,'Senior Perm Amortization1'!$C$19:$U$19,0))))</f>
        <v>0</v>
      </c>
      <c r="BY125" s="427">
        <f>-IF('Financing Assumptions'!$H$30="No",0,IF(AND('Financing Assumptions'!$H$30="Yes",BY$9&lt;'Financing Assumptions'!$G$34),0,INDEX('Senior Perm Amortization1'!$C$19:$U$440,MATCH(BY$11,'Senior Perm Amortization1'!$E$19:$E$440,0),MATCH('Senior Perm Amortization1'!$N$19,'Senior Perm Amortization1'!$C$19:$U$19,0))))</f>
        <v>0</v>
      </c>
      <c r="BZ125" s="427">
        <f>-IF('Financing Assumptions'!$H$30="No",0,IF(AND('Financing Assumptions'!$H$30="Yes",BZ$9&lt;'Financing Assumptions'!$G$34),0,INDEX('Senior Perm Amortization1'!$C$19:$U$440,MATCH(BZ$11,'Senior Perm Amortization1'!$E$19:$E$440,0),MATCH('Senior Perm Amortization1'!$N$19,'Senior Perm Amortization1'!$C$19:$U$19,0))))</f>
        <v>0</v>
      </c>
      <c r="CA125" s="427">
        <f>-IF('Financing Assumptions'!$H$30="No",0,IF(AND('Financing Assumptions'!$H$30="Yes",CA$9&lt;'Financing Assumptions'!$G$34),0,INDEX('Senior Perm Amortization1'!$C$19:$U$440,MATCH(CA$11,'Senior Perm Amortization1'!$E$19:$E$440,0),MATCH('Senior Perm Amortization1'!$N$19,'Senior Perm Amortization1'!$C$19:$U$19,0))))</f>
        <v>0</v>
      </c>
      <c r="CB125" s="427">
        <f>-IF('Financing Assumptions'!$H$30="No",0,IF(AND('Financing Assumptions'!$H$30="Yes",CB$9&lt;'Financing Assumptions'!$G$34),0,INDEX('Senior Perm Amortization1'!$C$19:$U$440,MATCH(CB$11,'Senior Perm Amortization1'!$E$19:$E$440,0),MATCH('Senior Perm Amortization1'!$N$19,'Senior Perm Amortization1'!$C$19:$U$19,0))))</f>
        <v>0</v>
      </c>
      <c r="CC125" s="427">
        <f>-IF('Financing Assumptions'!$H$30="No",0,IF(AND('Financing Assumptions'!$H$30="Yes",CC$9&lt;'Financing Assumptions'!$G$34),0,INDEX('Senior Perm Amortization1'!$C$19:$U$440,MATCH(CC$11,'Senior Perm Amortization1'!$E$19:$E$440,0),MATCH('Senior Perm Amortization1'!$N$19,'Senior Perm Amortization1'!$C$19:$U$19,0))))</f>
        <v>0</v>
      </c>
      <c r="CD125" s="427">
        <f>-IF('Financing Assumptions'!$H$30="No",0,IF(AND('Financing Assumptions'!$H$30="Yes",CD$9&lt;'Financing Assumptions'!$G$34),0,INDEX('Senior Perm Amortization1'!$C$19:$U$440,MATCH(CD$11,'Senior Perm Amortization1'!$E$19:$E$440,0),MATCH('Senior Perm Amortization1'!$N$19,'Senior Perm Amortization1'!$C$19:$U$19,0))))</f>
        <v>0</v>
      </c>
      <c r="CE125" s="427">
        <f>-IF('Financing Assumptions'!$H$30="No",0,IF(AND('Financing Assumptions'!$H$30="Yes",CE$9&lt;'Financing Assumptions'!$G$34),0,INDEX('Senior Perm Amortization1'!$C$19:$U$440,MATCH(CE$11,'Senior Perm Amortization1'!$E$19:$E$440,0),MATCH('Senior Perm Amortization1'!$N$19,'Senior Perm Amortization1'!$C$19:$U$19,0))))</f>
        <v>0</v>
      </c>
      <c r="CF125" s="427">
        <f>-IF('Financing Assumptions'!$H$30="No",0,IF(AND('Financing Assumptions'!$H$30="Yes",CF$9&lt;'Financing Assumptions'!$G$34),0,INDEX('Senior Perm Amortization1'!$C$19:$U$440,MATCH(CF$11,'Senior Perm Amortization1'!$E$19:$E$440,0),MATCH('Senior Perm Amortization1'!$N$19,'Senior Perm Amortization1'!$C$19:$U$19,0))))</f>
        <v>0</v>
      </c>
      <c r="CG125" s="427">
        <f>-IF('Financing Assumptions'!$H$30="No",0,IF(AND('Financing Assumptions'!$H$30="Yes",CG$9&lt;'Financing Assumptions'!$G$34),0,INDEX('Senior Perm Amortization1'!$C$19:$U$440,MATCH(CG$11,'Senior Perm Amortization1'!$E$19:$E$440,0),MATCH('Senior Perm Amortization1'!$N$19,'Senior Perm Amortization1'!$C$19:$U$19,0))))</f>
        <v>0</v>
      </c>
      <c r="CH125" s="427">
        <f>-IF('Financing Assumptions'!$H$30="No",0,IF(AND('Financing Assumptions'!$H$30="Yes",CH$9&lt;'Financing Assumptions'!$G$34),0,INDEX('Senior Perm Amortization1'!$C$19:$U$440,MATCH(CH$11,'Senior Perm Amortization1'!$E$19:$E$440,0),MATCH('Senior Perm Amortization1'!$N$19,'Senior Perm Amortization1'!$C$19:$U$19,0))))</f>
        <v>0</v>
      </c>
      <c r="CI125" s="427">
        <f>-IF('Financing Assumptions'!$H$30="No",0,IF(AND('Financing Assumptions'!$H$30="Yes",CI$9&lt;'Financing Assumptions'!$G$34),0,INDEX('Senior Perm Amortization1'!$C$19:$U$440,MATCH(CI$11,'Senior Perm Amortization1'!$E$19:$E$440,0),MATCH('Senior Perm Amortization1'!$N$19,'Senior Perm Amortization1'!$C$19:$U$19,0))))</f>
        <v>0</v>
      </c>
      <c r="CJ125" s="427">
        <f>-IF('Financing Assumptions'!$H$30="No",0,IF(AND('Financing Assumptions'!$H$30="Yes",CJ$9&lt;'Financing Assumptions'!$G$34),0,INDEX('Senior Perm Amortization1'!$C$19:$U$440,MATCH(CJ$11,'Senior Perm Amortization1'!$E$19:$E$440,0),MATCH('Senior Perm Amortization1'!$N$19,'Senior Perm Amortization1'!$C$19:$U$19,0))))</f>
        <v>0</v>
      </c>
      <c r="CK125" s="427">
        <f>-IF('Financing Assumptions'!$H$30="No",0,IF(AND('Financing Assumptions'!$H$30="Yes",CK$9&lt;'Financing Assumptions'!$G$34),0,INDEX('Senior Perm Amortization1'!$C$19:$U$440,MATCH(CK$11,'Senior Perm Amortization1'!$E$19:$E$440,0),MATCH('Senior Perm Amortization1'!$N$19,'Senior Perm Amortization1'!$C$19:$U$19,0))))</f>
        <v>0</v>
      </c>
      <c r="CL125" s="427">
        <f>-IF('Financing Assumptions'!$H$30="No",0,IF(AND('Financing Assumptions'!$H$30="Yes",CL$9&lt;'Financing Assumptions'!$G$34),0,INDEX('Senior Perm Amortization1'!$C$19:$U$440,MATCH(CL$11,'Senior Perm Amortization1'!$E$19:$E$440,0),MATCH('Senior Perm Amortization1'!$N$19,'Senior Perm Amortization1'!$C$19:$U$19,0))))</f>
        <v>0</v>
      </c>
      <c r="CM125" s="427">
        <f>-IF('Financing Assumptions'!$H$30="No",0,IF(AND('Financing Assumptions'!$H$30="Yes",CM$9&lt;'Financing Assumptions'!$G$34),0,INDEX('Senior Perm Amortization1'!$C$19:$U$440,MATCH(CM$11,'Senior Perm Amortization1'!$E$19:$E$440,0),MATCH('Senior Perm Amortization1'!$N$19,'Senior Perm Amortization1'!$C$19:$U$19,0))))</f>
        <v>0</v>
      </c>
      <c r="CN125" s="427">
        <f>-IF('Financing Assumptions'!$H$30="No",0,IF(AND('Financing Assumptions'!$H$30="Yes",CN$9&lt;'Financing Assumptions'!$G$34),0,INDEX('Senior Perm Amortization1'!$C$19:$U$440,MATCH(CN$11,'Senior Perm Amortization1'!$E$19:$E$440,0),MATCH('Senior Perm Amortization1'!$N$19,'Senior Perm Amortization1'!$C$19:$U$19,0))))</f>
        <v>0</v>
      </c>
      <c r="CO125" s="427">
        <f>-IF('Financing Assumptions'!$H$30="No",0,IF(AND('Financing Assumptions'!$H$30="Yes",CO$9&lt;'Financing Assumptions'!$G$34),0,INDEX('Senior Perm Amortization1'!$C$19:$U$440,MATCH(CO$11,'Senior Perm Amortization1'!$E$19:$E$440,0),MATCH('Senior Perm Amortization1'!$N$19,'Senior Perm Amortization1'!$C$19:$U$19,0))))</f>
        <v>0</v>
      </c>
      <c r="CP125" s="427">
        <f>-IF('Financing Assumptions'!$H$30="No",0,IF(AND('Financing Assumptions'!$H$30="Yes",CP$9&lt;'Financing Assumptions'!$G$34),0,INDEX('Senior Perm Amortization1'!$C$19:$U$440,MATCH(CP$11,'Senior Perm Amortization1'!$E$19:$E$440,0),MATCH('Senior Perm Amortization1'!$N$19,'Senior Perm Amortization1'!$C$19:$U$19,0))))</f>
        <v>0</v>
      </c>
      <c r="CQ125" s="427">
        <f>-IF('Financing Assumptions'!$H$30="No",0,IF(AND('Financing Assumptions'!$H$30="Yes",CQ$9&lt;'Financing Assumptions'!$G$34),0,INDEX('Senior Perm Amortization1'!$C$19:$U$440,MATCH(CQ$11,'Senior Perm Amortization1'!$E$19:$E$440,0),MATCH('Senior Perm Amortization1'!$N$19,'Senior Perm Amortization1'!$C$19:$U$19,0))))</f>
        <v>0</v>
      </c>
      <c r="CR125" s="427">
        <f>-IF('Financing Assumptions'!$H$30="No",0,IF(AND('Financing Assumptions'!$H$30="Yes",CR$9&lt;'Financing Assumptions'!$G$34),0,INDEX('Senior Perm Amortization1'!$C$19:$U$440,MATCH(CR$11,'Senior Perm Amortization1'!$E$19:$E$440,0),MATCH('Senior Perm Amortization1'!$N$19,'Senior Perm Amortization1'!$C$19:$U$19,0))))</f>
        <v>0</v>
      </c>
      <c r="CS125" s="427">
        <f>-IF('Financing Assumptions'!$H$30="No",0,IF(AND('Financing Assumptions'!$H$30="Yes",CS$9&lt;'Financing Assumptions'!$G$34),0,INDEX('Senior Perm Amortization1'!$C$19:$U$440,MATCH(CS$11,'Senior Perm Amortization1'!$E$19:$E$440,0),MATCH('Senior Perm Amortization1'!$N$19,'Senior Perm Amortization1'!$C$19:$U$19,0))))</f>
        <v>0</v>
      </c>
      <c r="CT125" s="427">
        <f>-IF('Financing Assumptions'!$H$30="No",0,IF(AND('Financing Assumptions'!$H$30="Yes",CT$9&lt;'Financing Assumptions'!$G$34),0,INDEX('Senior Perm Amortization1'!$C$19:$U$440,MATCH(CT$11,'Senior Perm Amortization1'!$E$19:$E$440,0),MATCH('Senior Perm Amortization1'!$N$19,'Senior Perm Amortization1'!$C$19:$U$19,0))))</f>
        <v>0</v>
      </c>
      <c r="CU125" s="427">
        <f>-IF('Financing Assumptions'!$H$30="No",0,IF(AND('Financing Assumptions'!$H$30="Yes",CU$9&lt;'Financing Assumptions'!$G$34),0,INDEX('Senior Perm Amortization1'!$C$19:$U$440,MATCH(CU$11,'Senior Perm Amortization1'!$E$19:$E$440,0),MATCH('Senior Perm Amortization1'!$N$19,'Senior Perm Amortization1'!$C$19:$U$19,0))))</f>
        <v>0</v>
      </c>
      <c r="CV125" s="427">
        <f>-IF('Financing Assumptions'!$H$30="No",0,IF(AND('Financing Assumptions'!$H$30="Yes",CV$9&lt;'Financing Assumptions'!$G$34),0,INDEX('Senior Perm Amortization1'!$C$19:$U$440,MATCH(CV$11,'Senior Perm Amortization1'!$E$19:$E$440,0),MATCH('Senior Perm Amortization1'!$N$19,'Senior Perm Amortization1'!$C$19:$U$19,0))))</f>
        <v>0</v>
      </c>
      <c r="CW125" s="427">
        <f>-IF('Financing Assumptions'!$H$30="No",0,IF(AND('Financing Assumptions'!$H$30="Yes",CW$9&lt;'Financing Assumptions'!$G$34),0,INDEX('Senior Perm Amortization1'!$C$19:$U$440,MATCH(CW$11,'Senior Perm Amortization1'!$E$19:$E$440,0),MATCH('Senior Perm Amortization1'!$N$19,'Senior Perm Amortization1'!$C$19:$U$19,0))))</f>
        <v>0</v>
      </c>
      <c r="CX125" s="427">
        <f>-IF('Financing Assumptions'!$H$30="No",0,IF(AND('Financing Assumptions'!$H$30="Yes",CX$9&lt;'Financing Assumptions'!$G$34),0,INDEX('Senior Perm Amortization1'!$C$19:$U$440,MATCH(CX$11,'Senior Perm Amortization1'!$E$19:$E$440,0),MATCH('Senior Perm Amortization1'!$N$19,'Senior Perm Amortization1'!$C$19:$U$19,0))))</f>
        <v>0</v>
      </c>
      <c r="CY125" s="427">
        <f>-IF('Financing Assumptions'!$H$30="No",0,IF(AND('Financing Assumptions'!$H$30="Yes",CY$9&lt;'Financing Assumptions'!$G$34),0,INDEX('Senior Perm Amortization1'!$C$19:$U$440,MATCH(CY$11,'Senior Perm Amortization1'!$E$19:$E$440,0),MATCH('Senior Perm Amortization1'!$N$19,'Senior Perm Amortization1'!$C$19:$U$19,0))))</f>
        <v>0</v>
      </c>
      <c r="CZ125" s="427">
        <f>-IF('Financing Assumptions'!$H$30="No",0,IF(AND('Financing Assumptions'!$H$30="Yes",CZ$9&lt;'Financing Assumptions'!$G$34),0,INDEX('Senior Perm Amortization1'!$C$19:$U$440,MATCH(CZ$11,'Senior Perm Amortization1'!$E$19:$E$440,0),MATCH('Senior Perm Amortization1'!$N$19,'Senior Perm Amortization1'!$C$19:$U$19,0))))</f>
        <v>0</v>
      </c>
      <c r="DA125" s="427">
        <f>-IF('Financing Assumptions'!$H$30="No",0,IF(AND('Financing Assumptions'!$H$30="Yes",DA$9&lt;'Financing Assumptions'!$G$34),0,INDEX('Senior Perm Amortization1'!$C$19:$U$440,MATCH(DA$11,'Senior Perm Amortization1'!$E$19:$E$440,0),MATCH('Senior Perm Amortization1'!$N$19,'Senior Perm Amortization1'!$C$19:$U$19,0))))</f>
        <v>0</v>
      </c>
      <c r="DB125" s="427">
        <f>-IF('Financing Assumptions'!$H$30="No",0,IF(AND('Financing Assumptions'!$H$30="Yes",DB$9&lt;'Financing Assumptions'!$G$34),0,INDEX('Senior Perm Amortization1'!$C$19:$U$440,MATCH(DB$11,'Senior Perm Amortization1'!$E$19:$E$440,0),MATCH('Senior Perm Amortization1'!$N$19,'Senior Perm Amortization1'!$C$19:$U$19,0))))</f>
        <v>0</v>
      </c>
      <c r="DC125" s="427">
        <f>-IF('Financing Assumptions'!$H$30="No",0,IF(AND('Financing Assumptions'!$H$30="Yes",DC$9&lt;'Financing Assumptions'!$G$34),0,INDEX('Senior Perm Amortization1'!$C$19:$U$440,MATCH(DC$11,'Senior Perm Amortization1'!$E$19:$E$440,0),MATCH('Senior Perm Amortization1'!$N$19,'Senior Perm Amortization1'!$C$19:$U$19,0))))</f>
        <v>0</v>
      </c>
      <c r="DD125" s="427">
        <f>-IF('Financing Assumptions'!$H$30="No",0,IF(AND('Financing Assumptions'!$H$30="Yes",DD$9&lt;'Financing Assumptions'!$G$34),0,INDEX('Senior Perm Amortization1'!$C$19:$U$440,MATCH(DD$11,'Senior Perm Amortization1'!$E$19:$E$440,0),MATCH('Senior Perm Amortization1'!$N$19,'Senior Perm Amortization1'!$C$19:$U$19,0))))</f>
        <v>0</v>
      </c>
      <c r="DE125" s="427">
        <f>-IF('Financing Assumptions'!$H$30="No",0,IF(AND('Financing Assumptions'!$H$30="Yes",DE$9&lt;'Financing Assumptions'!$G$34),0,INDEX('Senior Perm Amortization1'!$C$19:$U$440,MATCH(DE$11,'Senior Perm Amortization1'!$E$19:$E$440,0),MATCH('Senior Perm Amortization1'!$N$19,'Senior Perm Amortization1'!$C$19:$U$19,0))))</f>
        <v>0</v>
      </c>
      <c r="DF125" s="427">
        <f>-IF('Financing Assumptions'!$H$30="No",0,IF(AND('Financing Assumptions'!$H$30="Yes",DF$9&lt;'Financing Assumptions'!$G$34),0,INDEX('Senior Perm Amortization1'!$C$19:$U$440,MATCH(DF$11,'Senior Perm Amortization1'!$E$19:$E$440,0),MATCH('Senior Perm Amortization1'!$N$19,'Senior Perm Amortization1'!$C$19:$U$19,0))))</f>
        <v>0</v>
      </c>
      <c r="DG125" s="427">
        <f>-IF('Financing Assumptions'!$H$30="No",0,IF(AND('Financing Assumptions'!$H$30="Yes",DG$9&lt;'Financing Assumptions'!$G$34),0,INDEX('Senior Perm Amortization1'!$C$19:$U$440,MATCH(DG$11,'Senior Perm Amortization1'!$E$19:$E$440,0),MATCH('Senior Perm Amortization1'!$N$19,'Senior Perm Amortization1'!$C$19:$U$19,0))))</f>
        <v>0</v>
      </c>
      <c r="DH125" s="427">
        <f>-IF('Financing Assumptions'!$H$30="No",0,IF(AND('Financing Assumptions'!$H$30="Yes",DH$9&lt;'Financing Assumptions'!$G$34),0,INDEX('Senior Perm Amortization1'!$C$19:$U$440,MATCH(DH$11,'Senior Perm Amortization1'!$E$19:$E$440,0),MATCH('Senior Perm Amortization1'!$N$19,'Senior Perm Amortization1'!$C$19:$U$19,0))))</f>
        <v>0</v>
      </c>
      <c r="DI125" s="427">
        <f>-IF('Financing Assumptions'!$H$30="No",0,IF(AND('Financing Assumptions'!$H$30="Yes",DI$9&lt;'Financing Assumptions'!$G$34),0,INDEX('Senior Perm Amortization1'!$C$19:$U$440,MATCH(DI$11,'Senior Perm Amortization1'!$E$19:$E$440,0),MATCH('Senior Perm Amortization1'!$N$19,'Senior Perm Amortization1'!$C$19:$U$19,0))))</f>
        <v>0</v>
      </c>
      <c r="DJ125" s="427">
        <f>-IF('Financing Assumptions'!$H$30="No",0,IF(AND('Financing Assumptions'!$H$30="Yes",DJ$9&lt;'Financing Assumptions'!$G$34),0,INDEX('Senior Perm Amortization1'!$C$19:$U$440,MATCH(DJ$11,'Senior Perm Amortization1'!$E$19:$E$440,0),MATCH('Senior Perm Amortization1'!$N$19,'Senior Perm Amortization1'!$C$19:$U$19,0))))</f>
        <v>0</v>
      </c>
      <c r="DK125" s="427">
        <f>-IF('Financing Assumptions'!$H$30="No",0,IF(AND('Financing Assumptions'!$H$30="Yes",DK$9&lt;'Financing Assumptions'!$G$34),0,INDEX('Senior Perm Amortization1'!$C$19:$U$440,MATCH(DK$11,'Senior Perm Amortization1'!$E$19:$E$440,0),MATCH('Senior Perm Amortization1'!$N$19,'Senior Perm Amortization1'!$C$19:$U$19,0))))</f>
        <v>0</v>
      </c>
      <c r="DL125" s="427">
        <f>-IF('Financing Assumptions'!$H$30="No",0,IF(AND('Financing Assumptions'!$H$30="Yes",DL$9&lt;'Financing Assumptions'!$G$34),0,INDEX('Senior Perm Amortization1'!$C$19:$U$440,MATCH(DL$11,'Senior Perm Amortization1'!$E$19:$E$440,0),MATCH('Senior Perm Amortization1'!$N$19,'Senior Perm Amortization1'!$C$19:$U$19,0))))</f>
        <v>0</v>
      </c>
      <c r="DM125" s="427">
        <f>-IF('Financing Assumptions'!$H$30="No",0,IF(AND('Financing Assumptions'!$H$30="Yes",DM$9&lt;'Financing Assumptions'!$G$34),0,INDEX('Senior Perm Amortization1'!$C$19:$U$440,MATCH(DM$11,'Senior Perm Amortization1'!$E$19:$E$440,0),MATCH('Senior Perm Amortization1'!$N$19,'Senior Perm Amortization1'!$C$19:$U$19,0))))</f>
        <v>0</v>
      </c>
      <c r="DN125" s="427">
        <f>-IF('Financing Assumptions'!$H$30="No",0,IF(AND('Financing Assumptions'!$H$30="Yes",DN$9&lt;'Financing Assumptions'!$G$34),0,INDEX('Senior Perm Amortization1'!$C$19:$U$440,MATCH(DN$11,'Senior Perm Amortization1'!$E$19:$E$440,0),MATCH('Senior Perm Amortization1'!$N$19,'Senior Perm Amortization1'!$C$19:$U$19,0))))</f>
        <v>0</v>
      </c>
      <c r="DO125" s="427">
        <f>-IF('Financing Assumptions'!$H$30="No",0,IF(AND('Financing Assumptions'!$H$30="Yes",DO$9&lt;'Financing Assumptions'!$G$34),0,INDEX('Senior Perm Amortization1'!$C$19:$U$440,MATCH(DO$11,'Senior Perm Amortization1'!$E$19:$E$440,0),MATCH('Senior Perm Amortization1'!$N$19,'Senior Perm Amortization1'!$C$19:$U$19,0))))</f>
        <v>0</v>
      </c>
      <c r="DP125" s="427">
        <f>-IF('Financing Assumptions'!$H$30="No",0,IF(AND('Financing Assumptions'!$H$30="Yes",DP$9&lt;'Financing Assumptions'!$G$34),0,INDEX('Senior Perm Amortization1'!$C$19:$U$440,MATCH(DP$11,'Senior Perm Amortization1'!$E$19:$E$440,0),MATCH('Senior Perm Amortization1'!$N$19,'Senior Perm Amortization1'!$C$19:$U$19,0))))</f>
        <v>0</v>
      </c>
      <c r="DQ125" s="427">
        <f>-IF('Financing Assumptions'!$H$30="No",0,IF(AND('Financing Assumptions'!$H$30="Yes",DQ$9&lt;'Financing Assumptions'!$G$34),0,INDEX('Senior Perm Amortization1'!$C$19:$U$440,MATCH(DQ$11,'Senior Perm Amortization1'!$E$19:$E$440,0),MATCH('Senior Perm Amortization1'!$N$19,'Senior Perm Amortization1'!$C$19:$U$19,0))))</f>
        <v>0</v>
      </c>
      <c r="DR125" s="427">
        <f>-IF('Financing Assumptions'!$H$30="No",0,IF(AND('Financing Assumptions'!$H$30="Yes",DR$9&lt;'Financing Assumptions'!$G$34),0,INDEX('Senior Perm Amortization1'!$C$19:$U$440,MATCH(DR$11,'Senior Perm Amortization1'!$E$19:$E$440,0),MATCH('Senior Perm Amortization1'!$N$19,'Senior Perm Amortization1'!$C$19:$U$19,0))))</f>
        <v>0</v>
      </c>
      <c r="DS125" s="427">
        <f>-IF('Financing Assumptions'!$H$30="No",0,IF(AND('Financing Assumptions'!$H$30="Yes",DS$9&lt;'Financing Assumptions'!$G$34),0,INDEX('Senior Perm Amortization1'!$C$19:$U$440,MATCH(DS$11,'Senior Perm Amortization1'!$E$19:$E$440,0),MATCH('Senior Perm Amortization1'!$N$19,'Senior Perm Amortization1'!$C$19:$U$19,0))))</f>
        <v>0</v>
      </c>
      <c r="DT125" s="427">
        <f>-IF('Financing Assumptions'!$H$30="No",0,IF(AND('Financing Assumptions'!$H$30="Yes",DT$9&lt;'Financing Assumptions'!$G$34),0,INDEX('Senior Perm Amortization1'!$C$19:$U$440,MATCH(DT$11,'Senior Perm Amortization1'!$E$19:$E$440,0),MATCH('Senior Perm Amortization1'!$N$19,'Senior Perm Amortization1'!$C$19:$U$19,0))))</f>
        <v>0</v>
      </c>
      <c r="DU125" s="427">
        <f>-IF('Financing Assumptions'!$H$30="No",0,IF(AND('Financing Assumptions'!$H$30="Yes",DU$9&lt;'Financing Assumptions'!$G$34),0,INDEX('Senior Perm Amortization1'!$C$19:$U$440,MATCH(DU$11,'Senior Perm Amortization1'!$E$19:$E$440,0),MATCH('Senior Perm Amortization1'!$N$19,'Senior Perm Amortization1'!$C$19:$U$19,0))))</f>
        <v>0</v>
      </c>
      <c r="DV125" s="427">
        <f>-IF('Financing Assumptions'!$H$30="No",0,IF(AND('Financing Assumptions'!$H$30="Yes",DV$9&lt;'Financing Assumptions'!$G$34),0,INDEX('Senior Perm Amortization1'!$C$19:$U$440,MATCH(DV$11,'Senior Perm Amortization1'!$E$19:$E$440,0),MATCH('Senior Perm Amortization1'!$N$19,'Senior Perm Amortization1'!$C$19:$U$19,0))))</f>
        <v>0</v>
      </c>
      <c r="DW125" s="427">
        <f>-IF('Financing Assumptions'!$H$30="No",0,IF(AND('Financing Assumptions'!$H$30="Yes",DW$9&lt;'Financing Assumptions'!$G$34),0,INDEX('Senior Perm Amortization1'!$C$19:$U$440,MATCH(DW$11,'Senior Perm Amortization1'!$E$19:$E$440,0),MATCH('Senior Perm Amortization1'!$N$19,'Senior Perm Amortization1'!$C$19:$U$19,0))))</f>
        <v>0</v>
      </c>
      <c r="DX125" s="427">
        <f>-IF('Financing Assumptions'!$H$30="No",0,IF(AND('Financing Assumptions'!$H$30="Yes",DX$9&lt;'Financing Assumptions'!$G$34),0,INDEX('Senior Perm Amortization1'!$C$19:$U$440,MATCH(DX$11,'Senior Perm Amortization1'!$E$19:$E$440,0),MATCH('Senior Perm Amortization1'!$N$19,'Senior Perm Amortization1'!$C$19:$U$19,0))))</f>
        <v>0</v>
      </c>
      <c r="DY125" s="427">
        <f>-IF('Financing Assumptions'!$H$30="No",0,IF(AND('Financing Assumptions'!$H$30="Yes",DY$9&lt;'Financing Assumptions'!$G$34),0,INDEX('Senior Perm Amortization1'!$C$19:$U$440,MATCH(DY$11,'Senior Perm Amortization1'!$E$19:$E$440,0),MATCH('Senior Perm Amortization1'!$N$19,'Senior Perm Amortization1'!$C$19:$U$19,0))))</f>
        <v>0</v>
      </c>
      <c r="DZ125" s="427">
        <f>-IF('Financing Assumptions'!$H$30="No",0,IF(AND('Financing Assumptions'!$H$30="Yes",DZ$9&lt;'Financing Assumptions'!$G$34),0,INDEX('Senior Perm Amortization1'!$C$19:$U$440,MATCH(DZ$11,'Senior Perm Amortization1'!$E$19:$E$440,0),MATCH('Senior Perm Amortization1'!$N$19,'Senior Perm Amortization1'!$C$19:$U$19,0))))</f>
        <v>0</v>
      </c>
      <c r="EA125" s="427">
        <f>-IF('Financing Assumptions'!$H$30="No",0,IF(AND('Financing Assumptions'!$H$30="Yes",EA$9&lt;'Financing Assumptions'!$G$34),0,INDEX('Senior Perm Amortization1'!$C$19:$U$440,MATCH(EA$11,'Senior Perm Amortization1'!$E$19:$E$440,0),MATCH('Senior Perm Amortization1'!$N$19,'Senior Perm Amortization1'!$C$19:$U$19,0))))</f>
        <v>0</v>
      </c>
      <c r="EB125" s="427">
        <f>-IF('Financing Assumptions'!$H$30="No",0,IF(AND('Financing Assumptions'!$H$30="Yes",EB$9&lt;'Financing Assumptions'!$G$34),0,INDEX('Senior Perm Amortization1'!$C$19:$U$440,MATCH(EB$11,'Senior Perm Amortization1'!$E$19:$E$440,0),MATCH('Senior Perm Amortization1'!$N$19,'Senior Perm Amortization1'!$C$19:$U$19,0))))</f>
        <v>0</v>
      </c>
      <c r="EC125" s="427">
        <f>-IF('Financing Assumptions'!$H$30="No",0,IF(AND('Financing Assumptions'!$H$30="Yes",EC$9&lt;'Financing Assumptions'!$G$34),0,INDEX('Senior Perm Amortization1'!$C$19:$U$440,MATCH(EC$11,'Senior Perm Amortization1'!$E$19:$E$440,0),MATCH('Senior Perm Amortization1'!$N$19,'Senior Perm Amortization1'!$C$19:$U$19,0))))</f>
        <v>0</v>
      </c>
      <c r="ED125" s="427">
        <f>-IF('Financing Assumptions'!$H$30="No",0,IF(AND('Financing Assumptions'!$H$30="Yes",ED$9&lt;'Financing Assumptions'!$G$34),0,INDEX('Senior Perm Amortization1'!$C$19:$U$440,MATCH(ED$11,'Senior Perm Amortization1'!$E$19:$E$440,0),MATCH('Senior Perm Amortization1'!$N$19,'Senior Perm Amortization1'!$C$19:$U$19,0))))</f>
        <v>0</v>
      </c>
      <c r="EE125" s="427">
        <f>-IF('Financing Assumptions'!$H$30="No",0,IF(AND('Financing Assumptions'!$H$30="Yes",EE$9&lt;'Financing Assumptions'!$G$34),0,INDEX('Senior Perm Amortization1'!$C$19:$U$440,MATCH(EE$11,'Senior Perm Amortization1'!$E$19:$E$440,0),MATCH('Senior Perm Amortization1'!$N$19,'Senior Perm Amortization1'!$C$19:$U$19,0))))</f>
        <v>0</v>
      </c>
      <c r="EF125" s="427">
        <f>-IF('Financing Assumptions'!$H$30="No",0,IF(AND('Financing Assumptions'!$H$30="Yes",EF$9&lt;'Financing Assumptions'!$G$34),0,INDEX('Senior Perm Amortization1'!$C$19:$U$440,MATCH(EF$11,'Senior Perm Amortization1'!$E$19:$E$440,0),MATCH('Senior Perm Amortization1'!$N$19,'Senior Perm Amortization1'!$C$19:$U$19,0))))</f>
        <v>0</v>
      </c>
      <c r="EG125" s="427">
        <f>-IF('Financing Assumptions'!$H$30="No",0,IF(AND('Financing Assumptions'!$H$30="Yes",EG$9&lt;'Financing Assumptions'!$G$34),0,INDEX('Senior Perm Amortization1'!$C$19:$U$440,MATCH(EG$11,'Senior Perm Amortization1'!$E$19:$E$440,0),MATCH('Senior Perm Amortization1'!$N$19,'Senior Perm Amortization1'!$C$19:$U$19,0))))</f>
        <v>0</v>
      </c>
      <c r="EH125" s="427">
        <f>-IF('Financing Assumptions'!$H$30="No",0,IF(AND('Financing Assumptions'!$H$30="Yes",EH$9&lt;'Financing Assumptions'!$G$34),0,INDEX('Senior Perm Amortization1'!$C$19:$U$440,MATCH(EH$11,'Senior Perm Amortization1'!$E$19:$E$440,0),MATCH('Senior Perm Amortization1'!$N$19,'Senior Perm Amortization1'!$C$19:$U$19,0))))</f>
        <v>0</v>
      </c>
      <c r="EI125" s="427">
        <f>-IF('Financing Assumptions'!$H$30="No",0,IF(AND('Financing Assumptions'!$H$30="Yes",EI$9&lt;'Financing Assumptions'!$G$34),0,INDEX('Senior Perm Amortization1'!$C$19:$U$440,MATCH(EI$11,'Senior Perm Amortization1'!$E$19:$E$440,0),MATCH('Senior Perm Amortization1'!$N$19,'Senior Perm Amortization1'!$C$19:$U$19,0))))</f>
        <v>0</v>
      </c>
      <c r="EJ125" s="427">
        <f>-IF('Financing Assumptions'!$H$30="No",0,IF(AND('Financing Assumptions'!$H$30="Yes",EJ$9&lt;'Financing Assumptions'!$G$34),0,INDEX('Senior Perm Amortization1'!$C$19:$U$440,MATCH(EJ$11,'Senior Perm Amortization1'!$E$19:$E$440,0),MATCH('Senior Perm Amortization1'!$N$19,'Senior Perm Amortization1'!$C$19:$U$19,0))))</f>
        <v>0</v>
      </c>
      <c r="EK125" s="427">
        <f>-IF('Financing Assumptions'!$H$30="No",0,IF(AND('Financing Assumptions'!$H$30="Yes",EK$9&lt;'Financing Assumptions'!$G$34),0,INDEX('Senior Perm Amortization1'!$C$19:$U$440,MATCH(EK$11,'Senior Perm Amortization1'!$E$19:$E$440,0),MATCH('Senior Perm Amortization1'!$N$19,'Senior Perm Amortization1'!$C$19:$U$19,0))))</f>
        <v>0</v>
      </c>
      <c r="EL125" s="427">
        <f>-IF('Financing Assumptions'!$H$30="No",0,IF(AND('Financing Assumptions'!$H$30="Yes",EL$9&lt;'Financing Assumptions'!$G$34),0,INDEX('Senior Perm Amortization1'!$C$19:$U$440,MATCH(EL$11,'Senior Perm Amortization1'!$E$19:$E$440,0),MATCH('Senior Perm Amortization1'!$N$19,'Senior Perm Amortization1'!$C$19:$U$19,0))))</f>
        <v>0</v>
      </c>
      <c r="EM125" s="427">
        <f>-IF('Financing Assumptions'!$H$30="No",0,IF(AND('Financing Assumptions'!$H$30="Yes",EM$9&lt;'Financing Assumptions'!$G$34),0,INDEX('Senior Perm Amortization1'!$C$19:$U$440,MATCH(EM$11,'Senior Perm Amortization1'!$E$19:$E$440,0),MATCH('Senior Perm Amortization1'!$N$19,'Senior Perm Amortization1'!$C$19:$U$19,0))))</f>
        <v>0</v>
      </c>
      <c r="EN125" s="427">
        <f>-IF('Financing Assumptions'!$H$30="No",0,IF(AND('Financing Assumptions'!$H$30="Yes",EN$9&lt;'Financing Assumptions'!$G$34),0,INDEX('Senior Perm Amortization1'!$C$19:$U$440,MATCH(EN$11,'Senior Perm Amortization1'!$E$19:$E$440,0),MATCH('Senior Perm Amortization1'!$N$19,'Senior Perm Amortization1'!$C$19:$U$19,0))))</f>
        <v>0</v>
      </c>
      <c r="EO125" s="427">
        <f>-IF('Financing Assumptions'!$H$30="No",0,IF(AND('Financing Assumptions'!$H$30="Yes",EO$9&lt;'Financing Assumptions'!$G$34),0,INDEX('Senior Perm Amortization1'!$C$19:$U$440,MATCH(EO$11,'Senior Perm Amortization1'!$E$19:$E$440,0),MATCH('Senior Perm Amortization1'!$N$19,'Senior Perm Amortization1'!$C$19:$U$19,0))))</f>
        <v>0</v>
      </c>
      <c r="EP125" s="427">
        <f>-IF('Financing Assumptions'!$H$30="No",0,IF(AND('Financing Assumptions'!$H$30="Yes",EP$9&lt;'Financing Assumptions'!$G$34),0,INDEX('Senior Perm Amortization1'!$C$19:$U$440,MATCH(EP$11,'Senior Perm Amortization1'!$E$19:$E$440,0),MATCH('Senior Perm Amortization1'!$N$19,'Senior Perm Amortization1'!$C$19:$U$19,0))))</f>
        <v>0</v>
      </c>
      <c r="EQ125" s="427">
        <f>-IF('Financing Assumptions'!$H$30="No",0,IF(AND('Financing Assumptions'!$H$30="Yes",EQ$9&lt;'Financing Assumptions'!$G$34),0,INDEX('Senior Perm Amortization1'!$C$19:$U$440,MATCH(EQ$11,'Senior Perm Amortization1'!$E$19:$E$440,0),MATCH('Senior Perm Amortization1'!$N$19,'Senior Perm Amortization1'!$C$19:$U$19,0))))</f>
        <v>0</v>
      </c>
      <c r="ER125" s="427">
        <f>-IF('Financing Assumptions'!$H$30="No",0,IF(AND('Financing Assumptions'!$H$30="Yes",ER$9&lt;'Financing Assumptions'!$G$34),0,INDEX('Senior Perm Amortization1'!$C$19:$U$440,MATCH(ER$11,'Senior Perm Amortization1'!$E$19:$E$440,0),MATCH('Senior Perm Amortization1'!$N$19,'Senior Perm Amortization1'!$C$19:$U$19,0))))</f>
        <v>0</v>
      </c>
      <c r="ES125" s="427">
        <f>-IF('Financing Assumptions'!$H$30="No",0,IF(AND('Financing Assumptions'!$H$30="Yes",ES$9&lt;'Financing Assumptions'!$G$34),0,INDEX('Senior Perm Amortization1'!$C$19:$U$440,MATCH(ES$11,'Senior Perm Amortization1'!$E$19:$E$440,0),MATCH('Senior Perm Amortization1'!$N$19,'Senior Perm Amortization1'!$C$19:$U$19,0))))</f>
        <v>0</v>
      </c>
      <c r="ET125" s="427">
        <f>-IF('Financing Assumptions'!$H$30="No",0,IF(AND('Financing Assumptions'!$H$30="Yes",ET$9&lt;'Financing Assumptions'!$G$34),0,INDEX('Senior Perm Amortization1'!$C$19:$U$440,MATCH(ET$11,'Senior Perm Amortization1'!$E$19:$E$440,0),MATCH('Senior Perm Amortization1'!$N$19,'Senior Perm Amortization1'!$C$19:$U$19,0))))</f>
        <v>0</v>
      </c>
      <c r="EU125" s="427">
        <f>-IF('Financing Assumptions'!$H$30="No",0,IF(AND('Financing Assumptions'!$H$30="Yes",EU$9&lt;'Financing Assumptions'!$G$34),0,INDEX('Senior Perm Amortization1'!$C$19:$U$440,MATCH(EU$11,'Senior Perm Amortization1'!$E$19:$E$440,0),MATCH('Senior Perm Amortization1'!$N$19,'Senior Perm Amortization1'!$C$19:$U$19,0))))</f>
        <v>0</v>
      </c>
      <c r="EV125" s="427">
        <f>-IF('Financing Assumptions'!$H$30="No",0,IF(AND('Financing Assumptions'!$H$30="Yes",EV$9&lt;'Financing Assumptions'!$G$34),0,INDEX('Senior Perm Amortization1'!$C$19:$U$440,MATCH(EV$11,'Senior Perm Amortization1'!$E$19:$E$440,0),MATCH('Senior Perm Amortization1'!$N$19,'Senior Perm Amortization1'!$C$19:$U$19,0))))</f>
        <v>0</v>
      </c>
      <c r="EW125" s="427">
        <f>-IF('Financing Assumptions'!$H$30="No",0,IF(AND('Financing Assumptions'!$H$30="Yes",EW$9&lt;'Financing Assumptions'!$G$34),0,INDEX('Senior Perm Amortization1'!$C$19:$U$440,MATCH(EW$11,'Senior Perm Amortization1'!$E$19:$E$440,0),MATCH('Senior Perm Amortization1'!$N$19,'Senior Perm Amortization1'!$C$19:$U$19,0))))</f>
        <v>0</v>
      </c>
      <c r="EX125" s="427">
        <f>-IF('Financing Assumptions'!$H$30="No",0,IF(AND('Financing Assumptions'!$H$30="Yes",EX$9&lt;'Financing Assumptions'!$G$34),0,INDEX('Senior Perm Amortization1'!$C$19:$U$440,MATCH(EX$11,'Senior Perm Amortization1'!$E$19:$E$440,0),MATCH('Senior Perm Amortization1'!$N$19,'Senior Perm Amortization1'!$C$19:$U$19,0))))</f>
        <v>0</v>
      </c>
      <c r="EY125" s="427">
        <f>-IF('Financing Assumptions'!$H$30="No",0,IF(AND('Financing Assumptions'!$H$30="Yes",EY$9&lt;'Financing Assumptions'!$G$34),0,INDEX('Senior Perm Amortization1'!$C$19:$U$440,MATCH(EY$11,'Senior Perm Amortization1'!$E$19:$E$440,0),MATCH('Senior Perm Amortization1'!$N$19,'Senior Perm Amortization1'!$C$19:$U$19,0))))</f>
        <v>0</v>
      </c>
      <c r="EZ125" s="427">
        <f>-IF('Financing Assumptions'!$H$30="No",0,IF(AND('Financing Assumptions'!$H$30="Yes",EZ$9&lt;'Financing Assumptions'!$G$34),0,INDEX('Senior Perm Amortization1'!$C$19:$U$440,MATCH(EZ$11,'Senior Perm Amortization1'!$E$19:$E$440,0),MATCH('Senior Perm Amortization1'!$N$19,'Senior Perm Amortization1'!$C$19:$U$19,0))))</f>
        <v>0</v>
      </c>
      <c r="FA125" s="427">
        <f>-IF('Financing Assumptions'!$H$30="No",0,IF(AND('Financing Assumptions'!$H$30="Yes",FA$9&lt;'Financing Assumptions'!$G$34),0,INDEX('Senior Perm Amortization1'!$C$19:$U$440,MATCH(FA$11,'Senior Perm Amortization1'!$E$19:$E$440,0),MATCH('Senior Perm Amortization1'!$N$19,'Senior Perm Amortization1'!$C$19:$U$19,0))))</f>
        <v>0</v>
      </c>
      <c r="FB125" s="427">
        <f>-IF('Financing Assumptions'!$H$30="No",0,IF(AND('Financing Assumptions'!$H$30="Yes",FB$9&lt;'Financing Assumptions'!$G$34),0,INDEX('Senior Perm Amortization1'!$C$19:$U$440,MATCH(FB$11,'Senior Perm Amortization1'!$E$19:$E$440,0),MATCH('Senior Perm Amortization1'!$N$19,'Senior Perm Amortization1'!$C$19:$U$19,0))))</f>
        <v>0</v>
      </c>
      <c r="FC125" s="427">
        <f>-IF('Financing Assumptions'!$H$30="No",0,IF(AND('Financing Assumptions'!$H$30="Yes",FC$9&lt;'Financing Assumptions'!$G$34),0,INDEX('Senior Perm Amortization1'!$C$19:$U$440,MATCH(FC$11,'Senior Perm Amortization1'!$E$19:$E$440,0),MATCH('Senior Perm Amortization1'!$N$19,'Senior Perm Amortization1'!$C$19:$U$19,0))))</f>
        <v>0</v>
      </c>
      <c r="FD125" s="427">
        <f>-IF('Financing Assumptions'!$H$30="No",0,IF(AND('Financing Assumptions'!$H$30="Yes",FD$9&lt;'Financing Assumptions'!$G$34),0,INDEX('Senior Perm Amortization1'!$C$19:$U$440,MATCH(FD$11,'Senior Perm Amortization1'!$E$19:$E$440,0),MATCH('Senior Perm Amortization1'!$N$19,'Senior Perm Amortization1'!$C$19:$U$19,0))))</f>
        <v>0</v>
      </c>
      <c r="FE125" s="427">
        <f>-IF('Financing Assumptions'!$H$30="No",0,IF(AND('Financing Assumptions'!$H$30="Yes",FE$9&lt;'Financing Assumptions'!$G$34),0,INDEX('Senior Perm Amortization1'!$C$19:$U$440,MATCH(FE$11,'Senior Perm Amortization1'!$E$19:$E$440,0),MATCH('Senior Perm Amortization1'!$N$19,'Senior Perm Amortization1'!$C$19:$U$19,0))))</f>
        <v>0</v>
      </c>
      <c r="FF125" s="427">
        <f>-IF('Financing Assumptions'!$H$30="No",0,IF(AND('Financing Assumptions'!$H$30="Yes",FF$9&lt;'Financing Assumptions'!$G$34),0,INDEX('Senior Perm Amortization1'!$C$19:$U$440,MATCH(FF$11,'Senior Perm Amortization1'!$E$19:$E$440,0),MATCH('Senior Perm Amortization1'!$N$19,'Senior Perm Amortization1'!$C$19:$U$19,0))))</f>
        <v>0</v>
      </c>
      <c r="FG125" s="427">
        <f>-IF('Financing Assumptions'!$H$30="No",0,IF(AND('Financing Assumptions'!$H$30="Yes",FG$9&lt;'Financing Assumptions'!$G$34),0,INDEX('Senior Perm Amortization1'!$C$19:$U$440,MATCH(FG$11,'Senior Perm Amortization1'!$E$19:$E$440,0),MATCH('Senior Perm Amortization1'!$N$19,'Senior Perm Amortization1'!$C$19:$U$19,0))))</f>
        <v>0</v>
      </c>
      <c r="FH125" s="427">
        <f>-IF('Financing Assumptions'!$H$30="No",0,IF(AND('Financing Assumptions'!$H$30="Yes",FH$9&lt;'Financing Assumptions'!$G$34),0,INDEX('Senior Perm Amortization1'!$C$19:$U$440,MATCH(FH$11,'Senior Perm Amortization1'!$E$19:$E$440,0),MATCH('Senior Perm Amortization1'!$N$19,'Senior Perm Amortization1'!$C$19:$U$19,0))))</f>
        <v>0</v>
      </c>
      <c r="FI125" s="427">
        <f>-IF('Financing Assumptions'!$H$30="No",0,IF(AND('Financing Assumptions'!$H$30="Yes",FI$9&lt;'Financing Assumptions'!$G$34),0,INDEX('Senior Perm Amortization1'!$C$19:$U$440,MATCH(FI$11,'Senior Perm Amortization1'!$E$19:$E$440,0),MATCH('Senior Perm Amortization1'!$N$19,'Senior Perm Amortization1'!$C$19:$U$19,0))))</f>
        <v>0</v>
      </c>
      <c r="FJ125" s="427">
        <f>-IF('Financing Assumptions'!$H$30="No",0,IF(AND('Financing Assumptions'!$H$30="Yes",FJ$9&lt;'Financing Assumptions'!$G$34),0,INDEX('Senior Perm Amortization1'!$C$19:$U$440,MATCH(FJ$11,'Senior Perm Amortization1'!$E$19:$E$440,0),MATCH('Senior Perm Amortization1'!$N$19,'Senior Perm Amortization1'!$C$19:$U$19,0))))</f>
        <v>0</v>
      </c>
      <c r="FK125" s="427">
        <f>-IF('Financing Assumptions'!$H$30="No",0,IF(AND('Financing Assumptions'!$H$30="Yes",FK$9&lt;'Financing Assumptions'!$G$34),0,INDEX('Senior Perm Amortization1'!$C$19:$U$440,MATCH(FK$11,'Senior Perm Amortization1'!$E$19:$E$440,0),MATCH('Senior Perm Amortization1'!$N$19,'Senior Perm Amortization1'!$C$19:$U$19,0))))</f>
        <v>0</v>
      </c>
      <c r="FL125" s="427">
        <f>-IF('Financing Assumptions'!$H$30="No",0,IF(AND('Financing Assumptions'!$H$30="Yes",FL$9&lt;'Financing Assumptions'!$G$34),0,INDEX('Senior Perm Amortization1'!$C$19:$U$440,MATCH(FL$11,'Senior Perm Amortization1'!$E$19:$E$440,0),MATCH('Senior Perm Amortization1'!$N$19,'Senior Perm Amortization1'!$C$19:$U$19,0))))</f>
        <v>0</v>
      </c>
      <c r="FM125" s="427">
        <f>-IF('Financing Assumptions'!$H$30="No",0,IF(AND('Financing Assumptions'!$H$30="Yes",FM$9&lt;'Financing Assumptions'!$G$34),0,INDEX('Senior Perm Amortization1'!$C$19:$U$440,MATCH(FM$11,'Senior Perm Amortization1'!$E$19:$E$440,0),MATCH('Senior Perm Amortization1'!$N$19,'Senior Perm Amortization1'!$C$19:$U$19,0))))</f>
        <v>0</v>
      </c>
      <c r="FN125" s="427">
        <f>-IF('Financing Assumptions'!$H$30="No",0,IF(AND('Financing Assumptions'!$H$30="Yes",FN$9&lt;'Financing Assumptions'!$G$34),0,INDEX('Senior Perm Amortization1'!$C$19:$U$440,MATCH(FN$11,'Senior Perm Amortization1'!$E$19:$E$440,0),MATCH('Senior Perm Amortization1'!$N$19,'Senior Perm Amortization1'!$C$19:$U$19,0))))</f>
        <v>0</v>
      </c>
      <c r="FO125" s="427">
        <f>-IF('Financing Assumptions'!$H$30="No",0,IF(AND('Financing Assumptions'!$H$30="Yes",FO$9&lt;'Financing Assumptions'!$G$34),0,INDEX('Senior Perm Amortization1'!$C$19:$U$440,MATCH(FO$11,'Senior Perm Amortization1'!$E$19:$E$440,0),MATCH('Senior Perm Amortization1'!$N$19,'Senior Perm Amortization1'!$C$19:$U$19,0))))</f>
        <v>0</v>
      </c>
      <c r="FP125" s="427">
        <f>-IF('Financing Assumptions'!$H$30="No",0,IF(AND('Financing Assumptions'!$H$30="Yes",FP$9&lt;'Financing Assumptions'!$G$34),0,INDEX('Senior Perm Amortization1'!$C$19:$U$440,MATCH(FP$11,'Senior Perm Amortization1'!$E$19:$E$440,0),MATCH('Senior Perm Amortization1'!$N$19,'Senior Perm Amortization1'!$C$19:$U$19,0))))</f>
        <v>0</v>
      </c>
      <c r="FQ125" s="427">
        <f>-IF('Financing Assumptions'!$H$30="No",0,IF(AND('Financing Assumptions'!$H$30="Yes",FQ$9&lt;'Financing Assumptions'!$G$34),0,INDEX('Senior Perm Amortization1'!$C$19:$U$440,MATCH(FQ$11,'Senior Perm Amortization1'!$E$19:$E$440,0),MATCH('Senior Perm Amortization1'!$N$19,'Senior Perm Amortization1'!$C$19:$U$19,0))))</f>
        <v>0</v>
      </c>
      <c r="FR125" s="427">
        <f>-IF('Financing Assumptions'!$H$30="No",0,IF(AND('Financing Assumptions'!$H$30="Yes",FR$9&lt;'Financing Assumptions'!$G$34),0,INDEX('Senior Perm Amortization1'!$C$19:$U$440,MATCH(FR$11,'Senior Perm Amortization1'!$E$19:$E$440,0),MATCH('Senior Perm Amortization1'!$N$19,'Senior Perm Amortization1'!$C$19:$U$19,0))))</f>
        <v>0</v>
      </c>
      <c r="FS125" s="427">
        <f>-IF('Financing Assumptions'!$H$30="No",0,IF(AND('Financing Assumptions'!$H$30="Yes",FS$9&lt;'Financing Assumptions'!$G$34),0,INDEX('Senior Perm Amortization1'!$C$19:$U$440,MATCH(FS$11,'Senior Perm Amortization1'!$E$19:$E$440,0),MATCH('Senior Perm Amortization1'!$N$19,'Senior Perm Amortization1'!$C$19:$U$19,0))))</f>
        <v>0</v>
      </c>
      <c r="FT125" s="427">
        <f>-IF('Financing Assumptions'!$H$30="No",0,IF(AND('Financing Assumptions'!$H$30="Yes",FT$9&lt;'Financing Assumptions'!$G$34),0,INDEX('Senior Perm Amortization1'!$C$19:$U$440,MATCH(FT$11,'Senior Perm Amortization1'!$E$19:$E$440,0),MATCH('Senior Perm Amortization1'!$N$19,'Senior Perm Amortization1'!$C$19:$U$19,0))))</f>
        <v>0</v>
      </c>
      <c r="FU125" s="43"/>
      <c r="FV125" s="34"/>
      <c r="FW125" s="34"/>
      <c r="FX125" s="34"/>
      <c r="FY125" s="34"/>
      <c r="FZ125" s="34"/>
    </row>
    <row r="126" spans="1:182" s="89" customFormat="1" ht="13.5" x14ac:dyDescent="0.25">
      <c r="A126" s="34"/>
      <c r="B126" s="1291" t="s">
        <v>574</v>
      </c>
      <c r="C126" s="34"/>
      <c r="D126" s="34"/>
      <c r="E126" s="34"/>
      <c r="F126" s="434">
        <f t="shared" si="194"/>
        <v>0</v>
      </c>
      <c r="G126" s="34"/>
      <c r="H126" s="427">
        <f>-IF('Financing Assumptions'!$H$44="No",0,IF(AND('Financing Assumptions'!$H$44="Yes",H$9&lt;'Financing Assumptions'!$G$47),0,INDEX('Senior Refinance Amortization1'!$B$19:$U$379,MATCH(H$11,'Senior Refinance Amortization1'!$E$19:$E$379,0),MATCH('Senior Refinance Amortization1'!$N$19,'Senior Refinance Amortization1'!$B$19:$U$19,0))))</f>
        <v>0</v>
      </c>
      <c r="I126" s="427">
        <f>-IF('Financing Assumptions'!$H$44="No",0,IF(AND('Financing Assumptions'!$H$44="Yes",I$9&lt;'Financing Assumptions'!$G$47),0,INDEX('Senior Refinance Amortization1'!$B$19:$U$379,MATCH(I$11,'Senior Refinance Amortization1'!$E$19:$E$379,0),MATCH('Senior Refinance Amortization1'!$N$19,'Senior Refinance Amortization1'!$B$19:$U$19,0))))</f>
        <v>0</v>
      </c>
      <c r="J126" s="427">
        <f>-IF('Financing Assumptions'!$H$44="No",0,IF(AND('Financing Assumptions'!$H$44="Yes",J$9&lt;'Financing Assumptions'!$G$47),0,INDEX('Senior Refinance Amortization1'!$B$19:$U$379,MATCH(J$11,'Senior Refinance Amortization1'!$E$19:$E$379,0),MATCH('Senior Refinance Amortization1'!$N$19,'Senior Refinance Amortization1'!$B$19:$U$19,0))))</f>
        <v>0</v>
      </c>
      <c r="K126" s="427">
        <f>-IF('Financing Assumptions'!$H$44="No",0,IF(AND('Financing Assumptions'!$H$44="Yes",K$9&lt;'Financing Assumptions'!$G$47),0,INDEX('Senior Refinance Amortization1'!$B$19:$U$379,MATCH(K$11,'Senior Refinance Amortization1'!$E$19:$E$379,0),MATCH('Senior Refinance Amortization1'!$N$19,'Senior Refinance Amortization1'!$B$19:$U$19,0))))</f>
        <v>0</v>
      </c>
      <c r="L126" s="427">
        <f>-IF('Financing Assumptions'!$H$44="No",0,IF(AND('Financing Assumptions'!$H$44="Yes",L$9&lt;'Financing Assumptions'!$G$47),0,INDEX('Senior Refinance Amortization1'!$B$19:$U$379,MATCH(L$11,'Senior Refinance Amortization1'!$E$19:$E$379,0),MATCH('Senior Refinance Amortization1'!$N$19,'Senior Refinance Amortization1'!$B$19:$U$19,0))))</f>
        <v>0</v>
      </c>
      <c r="M126" s="427">
        <f>-IF('Financing Assumptions'!$H$44="No",0,IF(AND('Financing Assumptions'!$H$44="Yes",M$9&lt;'Financing Assumptions'!$G$47),0,INDEX('Senior Refinance Amortization1'!$B$19:$U$379,MATCH(M$11,'Senior Refinance Amortization1'!$E$19:$E$379,0),MATCH('Senior Refinance Amortization1'!$N$19,'Senior Refinance Amortization1'!$B$19:$U$19,0))))</f>
        <v>0</v>
      </c>
      <c r="N126" s="427">
        <f>-IF('Financing Assumptions'!$H$44="No",0,IF(AND('Financing Assumptions'!$H$44="Yes",N$9&lt;'Financing Assumptions'!$G$47),0,INDEX('Senior Refinance Amortization1'!$B$19:$U$379,MATCH(N$11,'Senior Refinance Amortization1'!$E$19:$E$379,0),MATCH('Senior Refinance Amortization1'!$N$19,'Senior Refinance Amortization1'!$B$19:$U$19,0))))</f>
        <v>0</v>
      </c>
      <c r="O126" s="427">
        <f>-IF('Financing Assumptions'!$H$44="No",0,IF(AND('Financing Assumptions'!$H$44="Yes",O$9&lt;'Financing Assumptions'!$G$47),0,INDEX('Senior Refinance Amortization1'!$B$19:$U$379,MATCH(O$11,'Senior Refinance Amortization1'!$E$19:$E$379,0),MATCH('Senior Refinance Amortization1'!$N$19,'Senior Refinance Amortization1'!$B$19:$U$19,0))))</f>
        <v>0</v>
      </c>
      <c r="P126" s="427">
        <f>-IF('Financing Assumptions'!$H$44="No",0,IF(AND('Financing Assumptions'!$H$44="Yes",P$9&lt;'Financing Assumptions'!$G$47),0,INDEX('Senior Refinance Amortization1'!$B$19:$U$379,MATCH(P$11,'Senior Refinance Amortization1'!$E$19:$E$379,0),MATCH('Senior Refinance Amortization1'!$N$19,'Senior Refinance Amortization1'!$B$19:$U$19,0))))</f>
        <v>0</v>
      </c>
      <c r="Q126" s="427">
        <f>-IF('Financing Assumptions'!$H$44="No",0,IF(AND('Financing Assumptions'!$H$44="Yes",Q$9&lt;'Financing Assumptions'!$G$47),0,INDEX('Senior Refinance Amortization1'!$B$19:$U$379,MATCH(Q$11,'Senior Refinance Amortization1'!$E$19:$E$379,0),MATCH('Senior Refinance Amortization1'!$N$19,'Senior Refinance Amortization1'!$B$19:$U$19,0))))</f>
        <v>0</v>
      </c>
      <c r="R126" s="427">
        <f>-IF('Financing Assumptions'!$H$44="No",0,IF(AND('Financing Assumptions'!$H$44="Yes",R$9&lt;'Financing Assumptions'!$G$47),0,INDEX('Senior Refinance Amortization1'!$B$19:$U$379,MATCH(R$11,'Senior Refinance Amortization1'!$E$19:$E$379,0),MATCH('Senior Refinance Amortization1'!$N$19,'Senior Refinance Amortization1'!$B$19:$U$19,0))))</f>
        <v>0</v>
      </c>
      <c r="S126" s="427">
        <f>-IF('Financing Assumptions'!$H$44="No",0,IF(AND('Financing Assumptions'!$H$44="Yes",S$9&lt;'Financing Assumptions'!$G$47),0,INDEX('Senior Refinance Amortization1'!$B$19:$U$379,MATCH(S$11,'Senior Refinance Amortization1'!$E$19:$E$379,0),MATCH('Senior Refinance Amortization1'!$N$19,'Senior Refinance Amortization1'!$B$19:$U$19,0))))</f>
        <v>0</v>
      </c>
      <c r="T126" s="427">
        <f>-IF('Financing Assumptions'!$H$44="No",0,IF(AND('Financing Assumptions'!$H$44="Yes",T$9&lt;'Financing Assumptions'!$G$47),0,INDEX('Senior Refinance Amortization1'!$B$19:$U$379,MATCH(T$11,'Senior Refinance Amortization1'!$E$19:$E$379,0),MATCH('Senior Refinance Amortization1'!$N$19,'Senior Refinance Amortization1'!$B$19:$U$19,0))))</f>
        <v>0</v>
      </c>
      <c r="U126" s="427">
        <f>-IF('Financing Assumptions'!$H$44="No",0,IF(AND('Financing Assumptions'!$H$44="Yes",U$9&lt;'Financing Assumptions'!$G$47),0,INDEX('Senior Refinance Amortization1'!$B$19:$U$379,MATCH(U$11,'Senior Refinance Amortization1'!$E$19:$E$379,0),MATCH('Senior Refinance Amortization1'!$N$19,'Senior Refinance Amortization1'!$B$19:$U$19,0))))</f>
        <v>0</v>
      </c>
      <c r="V126" s="427">
        <f>-IF('Financing Assumptions'!$H$44="No",0,IF(AND('Financing Assumptions'!$H$44="Yes",V$9&lt;'Financing Assumptions'!$G$47),0,INDEX('Senior Refinance Amortization1'!$B$19:$U$379,MATCH(V$11,'Senior Refinance Amortization1'!$E$19:$E$379,0),MATCH('Senior Refinance Amortization1'!$N$19,'Senior Refinance Amortization1'!$B$19:$U$19,0))))</f>
        <v>0</v>
      </c>
      <c r="W126" s="427">
        <f>-IF('Financing Assumptions'!$H$44="No",0,IF(AND('Financing Assumptions'!$H$44="Yes",W$9&lt;'Financing Assumptions'!$G$47),0,INDEX('Senior Refinance Amortization1'!$B$19:$U$379,MATCH(W$11,'Senior Refinance Amortization1'!$E$19:$E$379,0),MATCH('Senior Refinance Amortization1'!$N$19,'Senior Refinance Amortization1'!$B$19:$U$19,0))))</f>
        <v>0</v>
      </c>
      <c r="X126" s="427">
        <f>-IF('Financing Assumptions'!$H$44="No",0,IF(AND('Financing Assumptions'!$H$44="Yes",X$9&lt;'Financing Assumptions'!$G$47),0,INDEX('Senior Refinance Amortization1'!$B$19:$U$379,MATCH(X$11,'Senior Refinance Amortization1'!$E$19:$E$379,0),MATCH('Senior Refinance Amortization1'!$N$19,'Senior Refinance Amortization1'!$B$19:$U$19,0))))</f>
        <v>0</v>
      </c>
      <c r="Y126" s="427">
        <f>-IF('Financing Assumptions'!$H$44="No",0,IF(AND('Financing Assumptions'!$H$44="Yes",Y$9&lt;'Financing Assumptions'!$G$47),0,INDEX('Senior Refinance Amortization1'!$B$19:$U$379,MATCH(Y$11,'Senior Refinance Amortization1'!$E$19:$E$379,0),MATCH('Senior Refinance Amortization1'!$N$19,'Senior Refinance Amortization1'!$B$19:$U$19,0))))</f>
        <v>0</v>
      </c>
      <c r="Z126" s="427">
        <f>-IF('Financing Assumptions'!$H$44="No",0,IF(AND('Financing Assumptions'!$H$44="Yes",Z$9&lt;'Financing Assumptions'!$G$47),0,INDEX('Senior Refinance Amortization1'!$B$19:$U$379,MATCH(Z$11,'Senior Refinance Amortization1'!$E$19:$E$379,0),MATCH('Senior Refinance Amortization1'!$N$19,'Senior Refinance Amortization1'!$B$19:$U$19,0))))</f>
        <v>0</v>
      </c>
      <c r="AA126" s="427">
        <f>-IF('Financing Assumptions'!$H$44="No",0,IF(AND('Financing Assumptions'!$H$44="Yes",AA$9&lt;'Financing Assumptions'!$G$47),0,INDEX('Senior Refinance Amortization1'!$B$19:$U$379,MATCH(AA$11,'Senior Refinance Amortization1'!$E$19:$E$379,0),MATCH('Senior Refinance Amortization1'!$N$19,'Senior Refinance Amortization1'!$B$19:$U$19,0))))</f>
        <v>0</v>
      </c>
      <c r="AB126" s="427">
        <f>-IF('Financing Assumptions'!$H$44="No",0,IF(AND('Financing Assumptions'!$H$44="Yes",AB$9&lt;'Financing Assumptions'!$G$47),0,INDEX('Senior Refinance Amortization1'!$B$19:$U$379,MATCH(AB$11,'Senior Refinance Amortization1'!$E$19:$E$379,0),MATCH('Senior Refinance Amortization1'!$N$19,'Senior Refinance Amortization1'!$B$19:$U$19,0))))</f>
        <v>0</v>
      </c>
      <c r="AC126" s="427">
        <f>-IF('Financing Assumptions'!$H$44="No",0,IF(AND('Financing Assumptions'!$H$44="Yes",AC$9&lt;'Financing Assumptions'!$G$47),0,INDEX('Senior Refinance Amortization1'!$B$19:$U$379,MATCH(AC$11,'Senior Refinance Amortization1'!$E$19:$E$379,0),MATCH('Senior Refinance Amortization1'!$N$19,'Senior Refinance Amortization1'!$B$19:$U$19,0))))</f>
        <v>0</v>
      </c>
      <c r="AD126" s="427">
        <f>-IF('Financing Assumptions'!$H$44="No",0,IF(AND('Financing Assumptions'!$H$44="Yes",AD$9&lt;'Financing Assumptions'!$G$47),0,INDEX('Senior Refinance Amortization1'!$B$19:$U$379,MATCH(AD$11,'Senior Refinance Amortization1'!$E$19:$E$379,0),MATCH('Senior Refinance Amortization1'!$N$19,'Senior Refinance Amortization1'!$B$19:$U$19,0))))</f>
        <v>0</v>
      </c>
      <c r="AE126" s="427">
        <f>-IF('Financing Assumptions'!$H$44="No",0,IF(AND('Financing Assumptions'!$H$44="Yes",AE$9&lt;'Financing Assumptions'!$G$47),0,INDEX('Senior Refinance Amortization1'!$B$19:$U$379,MATCH(AE$11,'Senior Refinance Amortization1'!$E$19:$E$379,0),MATCH('Senior Refinance Amortization1'!$N$19,'Senior Refinance Amortization1'!$B$19:$U$19,0))))</f>
        <v>0</v>
      </c>
      <c r="AF126" s="427">
        <f>-IF('Financing Assumptions'!$H$44="No",0,IF(AND('Financing Assumptions'!$H$44="Yes",AF$9&lt;'Financing Assumptions'!$G$47),0,INDEX('Senior Refinance Amortization1'!$B$19:$U$379,MATCH(AF$11,'Senior Refinance Amortization1'!$E$19:$E$379,0),MATCH('Senior Refinance Amortization1'!$N$19,'Senior Refinance Amortization1'!$B$19:$U$19,0))))</f>
        <v>0</v>
      </c>
      <c r="AG126" s="427">
        <f>-IF('Financing Assumptions'!$H$44="No",0,IF(AND('Financing Assumptions'!$H$44="Yes",AG$9&lt;'Financing Assumptions'!$G$47),0,INDEX('Senior Refinance Amortization1'!$B$19:$U$379,MATCH(AG$11,'Senior Refinance Amortization1'!$E$19:$E$379,0),MATCH('Senior Refinance Amortization1'!$N$19,'Senior Refinance Amortization1'!$B$19:$U$19,0))))</f>
        <v>0</v>
      </c>
      <c r="AH126" s="427">
        <f>-IF('Financing Assumptions'!$H$44="No",0,IF(AND('Financing Assumptions'!$H$44="Yes",AH$9&lt;'Financing Assumptions'!$G$47),0,INDEX('Senior Refinance Amortization1'!$B$19:$U$379,MATCH(AH$11,'Senior Refinance Amortization1'!$E$19:$E$379,0),MATCH('Senior Refinance Amortization1'!$N$19,'Senior Refinance Amortization1'!$B$19:$U$19,0))))</f>
        <v>0</v>
      </c>
      <c r="AI126" s="427">
        <f>-IF('Financing Assumptions'!$H$44="No",0,IF(AND('Financing Assumptions'!$H$44="Yes",AI$9&lt;'Financing Assumptions'!$G$47),0,INDEX('Senior Refinance Amortization1'!$B$19:$U$379,MATCH(AI$11,'Senior Refinance Amortization1'!$E$19:$E$379,0),MATCH('Senior Refinance Amortization1'!$N$19,'Senior Refinance Amortization1'!$B$19:$U$19,0))))</f>
        <v>0</v>
      </c>
      <c r="AJ126" s="427">
        <f>-IF('Financing Assumptions'!$H$44="No",0,IF(AND('Financing Assumptions'!$H$44="Yes",AJ$9&lt;'Financing Assumptions'!$G$47),0,INDEX('Senior Refinance Amortization1'!$B$19:$U$379,MATCH(AJ$11,'Senior Refinance Amortization1'!$E$19:$E$379,0),MATCH('Senior Refinance Amortization1'!$N$19,'Senior Refinance Amortization1'!$B$19:$U$19,0))))</f>
        <v>0</v>
      </c>
      <c r="AK126" s="427">
        <f>-IF('Financing Assumptions'!$H$44="No",0,IF(AND('Financing Assumptions'!$H$44="Yes",AK$9&lt;'Financing Assumptions'!$G$47),0,INDEX('Senior Refinance Amortization1'!$B$19:$U$379,MATCH(AK$11,'Senior Refinance Amortization1'!$E$19:$E$379,0),MATCH('Senior Refinance Amortization1'!$N$19,'Senior Refinance Amortization1'!$B$19:$U$19,0))))</f>
        <v>0</v>
      </c>
      <c r="AL126" s="427">
        <f>-IF('Financing Assumptions'!$H$44="No",0,IF(AND('Financing Assumptions'!$H$44="Yes",AL$9&lt;'Financing Assumptions'!$G$47),0,INDEX('Senior Refinance Amortization1'!$B$19:$U$379,MATCH(AL$11,'Senior Refinance Amortization1'!$E$19:$E$379,0),MATCH('Senior Refinance Amortization1'!$N$19,'Senior Refinance Amortization1'!$B$19:$U$19,0))))</f>
        <v>0</v>
      </c>
      <c r="AM126" s="427">
        <f>-IF('Financing Assumptions'!$H$44="No",0,IF(AND('Financing Assumptions'!$H$44="Yes",AM$9&lt;'Financing Assumptions'!$G$47),0,INDEX('Senior Refinance Amortization1'!$B$19:$U$379,MATCH(AM$11,'Senior Refinance Amortization1'!$E$19:$E$379,0),MATCH('Senior Refinance Amortization1'!$N$19,'Senior Refinance Amortization1'!$B$19:$U$19,0))))</f>
        <v>0</v>
      </c>
      <c r="AN126" s="427">
        <f>-IF('Financing Assumptions'!$H$44="No",0,IF(AND('Financing Assumptions'!$H$44="Yes",AN$9&lt;'Financing Assumptions'!$G$47),0,INDEX('Senior Refinance Amortization1'!$B$19:$U$379,MATCH(AN$11,'Senior Refinance Amortization1'!$E$19:$E$379,0),MATCH('Senior Refinance Amortization1'!$N$19,'Senior Refinance Amortization1'!$B$19:$U$19,0))))</f>
        <v>0</v>
      </c>
      <c r="AO126" s="427">
        <f>-IF('Financing Assumptions'!$H$44="No",0,IF(AND('Financing Assumptions'!$H$44="Yes",AO$9&lt;'Financing Assumptions'!$G$47),0,INDEX('Senior Refinance Amortization1'!$B$19:$U$379,MATCH(AO$11,'Senior Refinance Amortization1'!$E$19:$E$379,0),MATCH('Senior Refinance Amortization1'!$N$19,'Senior Refinance Amortization1'!$B$19:$U$19,0))))</f>
        <v>0</v>
      </c>
      <c r="AP126" s="427">
        <f>-IF('Financing Assumptions'!$H$44="No",0,IF(AND('Financing Assumptions'!$H$44="Yes",AP$9&lt;'Financing Assumptions'!$G$47),0,INDEX('Senior Refinance Amortization1'!$B$19:$U$379,MATCH(AP$11,'Senior Refinance Amortization1'!$E$19:$E$379,0),MATCH('Senior Refinance Amortization1'!$N$19,'Senior Refinance Amortization1'!$B$19:$U$19,0))))</f>
        <v>0</v>
      </c>
      <c r="AQ126" s="427">
        <f>-IF('Financing Assumptions'!$H$44="No",0,IF(AND('Financing Assumptions'!$H$44="Yes",AQ$9&lt;'Financing Assumptions'!$G$47),0,INDEX('Senior Refinance Amortization1'!$B$19:$U$379,MATCH(AQ$11,'Senior Refinance Amortization1'!$E$19:$E$379,0),MATCH('Senior Refinance Amortization1'!$N$19,'Senior Refinance Amortization1'!$B$19:$U$19,0))))</f>
        <v>0</v>
      </c>
      <c r="AR126" s="427">
        <f>-IF('Financing Assumptions'!$H$44="No",0,IF(AND('Financing Assumptions'!$H$44="Yes",AR$9&lt;'Financing Assumptions'!$G$47),0,INDEX('Senior Refinance Amortization1'!$B$19:$U$379,MATCH(AR$11,'Senior Refinance Amortization1'!$E$19:$E$379,0),MATCH('Senior Refinance Amortization1'!$N$19,'Senior Refinance Amortization1'!$B$19:$U$19,0))))</f>
        <v>0</v>
      </c>
      <c r="AS126" s="427">
        <f>-IF('Financing Assumptions'!$H$44="No",0,IF(AND('Financing Assumptions'!$H$44="Yes",AS$9&lt;'Financing Assumptions'!$G$47),0,INDEX('Senior Refinance Amortization1'!$B$19:$U$379,MATCH(AS$11,'Senior Refinance Amortization1'!$E$19:$E$379,0),MATCH('Senior Refinance Amortization1'!$N$19,'Senior Refinance Amortization1'!$B$19:$U$19,0))))</f>
        <v>0</v>
      </c>
      <c r="AT126" s="427">
        <f>-IF('Financing Assumptions'!$H$44="No",0,IF(AND('Financing Assumptions'!$H$44="Yes",AT$9&lt;'Financing Assumptions'!$G$47),0,INDEX('Senior Refinance Amortization1'!$B$19:$U$379,MATCH(AT$11,'Senior Refinance Amortization1'!$E$19:$E$379,0),MATCH('Senior Refinance Amortization1'!$N$19,'Senior Refinance Amortization1'!$B$19:$U$19,0))))</f>
        <v>0</v>
      </c>
      <c r="AU126" s="427">
        <f>-IF('Financing Assumptions'!$H$44="No",0,IF(AND('Financing Assumptions'!$H$44="Yes",AU$9&lt;'Financing Assumptions'!$G$47),0,INDEX('Senior Refinance Amortization1'!$B$19:$U$379,MATCH(AU$11,'Senior Refinance Amortization1'!$E$19:$E$379,0),MATCH('Senior Refinance Amortization1'!$N$19,'Senior Refinance Amortization1'!$B$19:$U$19,0))))</f>
        <v>0</v>
      </c>
      <c r="AV126" s="427">
        <f>-IF('Financing Assumptions'!$H$44="No",0,IF(AND('Financing Assumptions'!$H$44="Yes",AV$9&lt;'Financing Assumptions'!$G$47),0,INDEX('Senior Refinance Amortization1'!$B$19:$U$379,MATCH(AV$11,'Senior Refinance Amortization1'!$E$19:$E$379,0),MATCH('Senior Refinance Amortization1'!$N$19,'Senior Refinance Amortization1'!$B$19:$U$19,0))))</f>
        <v>0</v>
      </c>
      <c r="AW126" s="427">
        <f>-IF('Financing Assumptions'!$H$44="No",0,IF(AND('Financing Assumptions'!$H$44="Yes",AW$9&lt;'Financing Assumptions'!$G$47),0,INDEX('Senior Refinance Amortization1'!$B$19:$U$379,MATCH(AW$11,'Senior Refinance Amortization1'!$E$19:$E$379,0),MATCH('Senior Refinance Amortization1'!$N$19,'Senior Refinance Amortization1'!$B$19:$U$19,0))))</f>
        <v>0</v>
      </c>
      <c r="AX126" s="427">
        <f>-IF('Financing Assumptions'!$H$44="No",0,IF(AND('Financing Assumptions'!$H$44="Yes",AX$9&lt;'Financing Assumptions'!$G$47),0,INDEX('Senior Refinance Amortization1'!$B$19:$U$379,MATCH(AX$11,'Senior Refinance Amortization1'!$E$19:$E$379,0),MATCH('Senior Refinance Amortization1'!$N$19,'Senior Refinance Amortization1'!$B$19:$U$19,0))))</f>
        <v>0</v>
      </c>
      <c r="AY126" s="427">
        <f>-IF('Financing Assumptions'!$H$44="No",0,IF(AND('Financing Assumptions'!$H$44="Yes",AY$9&lt;'Financing Assumptions'!$G$47),0,INDEX('Senior Refinance Amortization1'!$B$19:$U$379,MATCH(AY$11,'Senior Refinance Amortization1'!$E$19:$E$379,0),MATCH('Senior Refinance Amortization1'!$N$19,'Senior Refinance Amortization1'!$B$19:$U$19,0))))</f>
        <v>0</v>
      </c>
      <c r="AZ126" s="427">
        <f>-IF('Financing Assumptions'!$H$44="No",0,IF(AND('Financing Assumptions'!$H$44="Yes",AZ$9&lt;'Financing Assumptions'!$G$47),0,INDEX('Senior Refinance Amortization1'!$B$19:$U$379,MATCH(AZ$11,'Senior Refinance Amortization1'!$E$19:$E$379,0),MATCH('Senior Refinance Amortization1'!$N$19,'Senior Refinance Amortization1'!$B$19:$U$19,0))))</f>
        <v>0</v>
      </c>
      <c r="BA126" s="427">
        <f>-IF('Financing Assumptions'!$H$44="No",0,IF(AND('Financing Assumptions'!$H$44="Yes",BA$9&lt;'Financing Assumptions'!$G$47),0,INDEX('Senior Refinance Amortization1'!$B$19:$U$379,MATCH(BA$11,'Senior Refinance Amortization1'!$E$19:$E$379,0),MATCH('Senior Refinance Amortization1'!$N$19,'Senior Refinance Amortization1'!$B$19:$U$19,0))))</f>
        <v>0</v>
      </c>
      <c r="BB126" s="427">
        <f>-IF('Financing Assumptions'!$H$44="No",0,IF(AND('Financing Assumptions'!$H$44="Yes",BB$9&lt;'Financing Assumptions'!$G$47),0,INDEX('Senior Refinance Amortization1'!$B$19:$U$379,MATCH(BB$11,'Senior Refinance Amortization1'!$E$19:$E$379,0),MATCH('Senior Refinance Amortization1'!$N$19,'Senior Refinance Amortization1'!$B$19:$U$19,0))))</f>
        <v>0</v>
      </c>
      <c r="BC126" s="427">
        <f>-IF('Financing Assumptions'!$H$44="No",0,IF(AND('Financing Assumptions'!$H$44="Yes",BC$9&lt;'Financing Assumptions'!$G$47),0,INDEX('Senior Refinance Amortization1'!$B$19:$U$379,MATCH(BC$11,'Senior Refinance Amortization1'!$E$19:$E$379,0),MATCH('Senior Refinance Amortization1'!$N$19,'Senior Refinance Amortization1'!$B$19:$U$19,0))))</f>
        <v>0</v>
      </c>
      <c r="BD126" s="427">
        <f>-IF('Financing Assumptions'!$H$44="No",0,IF(AND('Financing Assumptions'!$H$44="Yes",BD$9&lt;'Financing Assumptions'!$G$47),0,INDEX('Senior Refinance Amortization1'!$B$19:$U$379,MATCH(BD$11,'Senior Refinance Amortization1'!$E$19:$E$379,0),MATCH('Senior Refinance Amortization1'!$N$19,'Senior Refinance Amortization1'!$B$19:$U$19,0))))</f>
        <v>0</v>
      </c>
      <c r="BE126" s="427">
        <f>-IF('Financing Assumptions'!$H$44="No",0,IF(AND('Financing Assumptions'!$H$44="Yes",BE$9&lt;'Financing Assumptions'!$G$47),0,INDEX('Senior Refinance Amortization1'!$B$19:$U$379,MATCH(BE$11,'Senior Refinance Amortization1'!$E$19:$E$379,0),MATCH('Senior Refinance Amortization1'!$N$19,'Senior Refinance Amortization1'!$B$19:$U$19,0))))</f>
        <v>0</v>
      </c>
      <c r="BF126" s="427">
        <f>-IF('Financing Assumptions'!$H$44="No",0,IF(AND('Financing Assumptions'!$H$44="Yes",BF$9&lt;'Financing Assumptions'!$G$47),0,INDEX('Senior Refinance Amortization1'!$B$19:$U$379,MATCH(BF$11,'Senior Refinance Amortization1'!$E$19:$E$379,0),MATCH('Senior Refinance Amortization1'!$N$19,'Senior Refinance Amortization1'!$B$19:$U$19,0))))</f>
        <v>0</v>
      </c>
      <c r="BG126" s="427">
        <f>-IF('Financing Assumptions'!$H$44="No",0,IF(AND('Financing Assumptions'!$H$44="Yes",BG$9&lt;'Financing Assumptions'!$G$47),0,INDEX('Senior Refinance Amortization1'!$B$19:$U$379,MATCH(BG$11,'Senior Refinance Amortization1'!$E$19:$E$379,0),MATCH('Senior Refinance Amortization1'!$N$19,'Senior Refinance Amortization1'!$B$19:$U$19,0))))</f>
        <v>0</v>
      </c>
      <c r="BH126" s="427">
        <f>-IF('Financing Assumptions'!$H$44="No",0,IF(AND('Financing Assumptions'!$H$44="Yes",BH$9&lt;'Financing Assumptions'!$G$47),0,INDEX('Senior Refinance Amortization1'!$B$19:$U$379,MATCH(BH$11,'Senior Refinance Amortization1'!$E$19:$E$379,0),MATCH('Senior Refinance Amortization1'!$N$19,'Senior Refinance Amortization1'!$B$19:$U$19,0))))</f>
        <v>0</v>
      </c>
      <c r="BI126" s="427">
        <f>-IF('Financing Assumptions'!$H$44="No",0,IF(AND('Financing Assumptions'!$H$44="Yes",BI$9&lt;'Financing Assumptions'!$G$47),0,INDEX('Senior Refinance Amortization1'!$B$19:$U$379,MATCH(BI$11,'Senior Refinance Amortization1'!$E$19:$E$379,0),MATCH('Senior Refinance Amortization1'!$N$19,'Senior Refinance Amortization1'!$B$19:$U$19,0))))</f>
        <v>0</v>
      </c>
      <c r="BJ126" s="427">
        <f>-IF('Financing Assumptions'!$H$44="No",0,IF(AND('Financing Assumptions'!$H$44="Yes",BJ$9&lt;'Financing Assumptions'!$G$47),0,INDEX('Senior Refinance Amortization1'!$B$19:$U$379,MATCH(BJ$11,'Senior Refinance Amortization1'!$E$19:$E$379,0),MATCH('Senior Refinance Amortization1'!$N$19,'Senior Refinance Amortization1'!$B$19:$U$19,0))))</f>
        <v>0</v>
      </c>
      <c r="BK126" s="427">
        <f>-IF('Financing Assumptions'!$H$44="No",0,IF(AND('Financing Assumptions'!$H$44="Yes",BK$9&lt;'Financing Assumptions'!$G$47),0,INDEX('Senior Refinance Amortization1'!$B$19:$U$379,MATCH(BK$11,'Senior Refinance Amortization1'!$E$19:$E$379,0),MATCH('Senior Refinance Amortization1'!$N$19,'Senior Refinance Amortization1'!$B$19:$U$19,0))))</f>
        <v>0</v>
      </c>
      <c r="BL126" s="427">
        <f>-IF('Financing Assumptions'!$H$44="No",0,IF(AND('Financing Assumptions'!$H$44="Yes",BL$9&lt;'Financing Assumptions'!$G$47),0,INDEX('Senior Refinance Amortization1'!$B$19:$U$379,MATCH(BL$11,'Senior Refinance Amortization1'!$E$19:$E$379,0),MATCH('Senior Refinance Amortization1'!$N$19,'Senior Refinance Amortization1'!$B$19:$U$19,0))))</f>
        <v>0</v>
      </c>
      <c r="BM126" s="427">
        <f>-IF('Financing Assumptions'!$H$44="No",0,IF(AND('Financing Assumptions'!$H$44="Yes",BM$9&lt;'Financing Assumptions'!$G$47),0,INDEX('Senior Refinance Amortization1'!$B$19:$U$379,MATCH(BM$11,'Senior Refinance Amortization1'!$E$19:$E$379,0),MATCH('Senior Refinance Amortization1'!$N$19,'Senior Refinance Amortization1'!$B$19:$U$19,0))))</f>
        <v>0</v>
      </c>
      <c r="BN126" s="427">
        <f>-IF('Financing Assumptions'!$H$44="No",0,IF(AND('Financing Assumptions'!$H$44="Yes",BN$9&lt;'Financing Assumptions'!$G$47),0,INDEX('Senior Refinance Amortization1'!$B$19:$U$379,MATCH(BN$11,'Senior Refinance Amortization1'!$E$19:$E$379,0),MATCH('Senior Refinance Amortization1'!$N$19,'Senior Refinance Amortization1'!$B$19:$U$19,0))))</f>
        <v>0</v>
      </c>
      <c r="BO126" s="427">
        <f>-IF('Financing Assumptions'!$H$44="No",0,IF(AND('Financing Assumptions'!$H$44="Yes",BO$9&lt;'Financing Assumptions'!$G$47),0,INDEX('Senior Refinance Amortization1'!$B$19:$U$379,MATCH(BO$11,'Senior Refinance Amortization1'!$E$19:$E$379,0),MATCH('Senior Refinance Amortization1'!$N$19,'Senior Refinance Amortization1'!$B$19:$U$19,0))))</f>
        <v>0</v>
      </c>
      <c r="BP126" s="427">
        <f>-IF('Financing Assumptions'!$H$44="No",0,IF(AND('Financing Assumptions'!$H$44="Yes",BP$9&lt;'Financing Assumptions'!$G$47),0,INDEX('Senior Refinance Amortization1'!$B$19:$U$379,MATCH(BP$11,'Senior Refinance Amortization1'!$E$19:$E$379,0),MATCH('Senior Refinance Amortization1'!$N$19,'Senior Refinance Amortization1'!$B$19:$U$19,0))))</f>
        <v>0</v>
      </c>
      <c r="BQ126" s="427">
        <f>-IF('Financing Assumptions'!$H$44="No",0,IF(AND('Financing Assumptions'!$H$44="Yes",BQ$9&lt;'Financing Assumptions'!$G$47),0,INDEX('Senior Refinance Amortization1'!$B$19:$U$379,MATCH(BQ$11,'Senior Refinance Amortization1'!$E$19:$E$379,0),MATCH('Senior Refinance Amortization1'!$N$19,'Senior Refinance Amortization1'!$B$19:$U$19,0))))</f>
        <v>0</v>
      </c>
      <c r="BR126" s="427">
        <f>-IF('Financing Assumptions'!$H$44="No",0,IF(AND('Financing Assumptions'!$H$44="Yes",BR$9&lt;'Financing Assumptions'!$G$47),0,INDEX('Senior Refinance Amortization1'!$B$19:$U$379,MATCH(BR$11,'Senior Refinance Amortization1'!$E$19:$E$379,0),MATCH('Senior Refinance Amortization1'!$N$19,'Senior Refinance Amortization1'!$B$19:$U$19,0))))</f>
        <v>0</v>
      </c>
      <c r="BS126" s="427">
        <f>-IF('Financing Assumptions'!$H$44="No",0,IF(AND('Financing Assumptions'!$H$44="Yes",BS$9&lt;'Financing Assumptions'!$G$47),0,INDEX('Senior Refinance Amortization1'!$B$19:$U$379,MATCH(BS$11,'Senior Refinance Amortization1'!$E$19:$E$379,0),MATCH('Senior Refinance Amortization1'!$N$19,'Senior Refinance Amortization1'!$B$19:$U$19,0))))</f>
        <v>0</v>
      </c>
      <c r="BT126" s="427">
        <f>-IF('Financing Assumptions'!$H$44="No",0,IF(AND('Financing Assumptions'!$H$44="Yes",BT$9&lt;'Financing Assumptions'!$G$47),0,INDEX('Senior Refinance Amortization1'!$B$19:$U$379,MATCH(BT$11,'Senior Refinance Amortization1'!$E$19:$E$379,0),MATCH('Senior Refinance Amortization1'!$N$19,'Senior Refinance Amortization1'!$B$19:$U$19,0))))</f>
        <v>0</v>
      </c>
      <c r="BU126" s="427">
        <f>-IF('Financing Assumptions'!$H$44="No",0,IF(AND('Financing Assumptions'!$H$44="Yes",BU$9&lt;'Financing Assumptions'!$G$47),0,INDEX('Senior Refinance Amortization1'!$B$19:$U$379,MATCH(BU$11,'Senior Refinance Amortization1'!$E$19:$E$379,0),MATCH('Senior Refinance Amortization1'!$N$19,'Senior Refinance Amortization1'!$B$19:$U$19,0))))</f>
        <v>0</v>
      </c>
      <c r="BV126" s="427">
        <f>-IF('Financing Assumptions'!$H$44="No",0,IF(AND('Financing Assumptions'!$H$44="Yes",BV$9&lt;'Financing Assumptions'!$G$47),0,INDEX('Senior Refinance Amortization1'!$B$19:$U$379,MATCH(BV$11,'Senior Refinance Amortization1'!$E$19:$E$379,0),MATCH('Senior Refinance Amortization1'!$N$19,'Senior Refinance Amortization1'!$B$19:$U$19,0))))</f>
        <v>0</v>
      </c>
      <c r="BW126" s="427">
        <f>-IF('Financing Assumptions'!$H$44="No",0,IF(AND('Financing Assumptions'!$H$44="Yes",BW$9&lt;'Financing Assumptions'!$G$47),0,INDEX('Senior Refinance Amortization1'!$B$19:$U$379,MATCH(BW$11,'Senior Refinance Amortization1'!$E$19:$E$379,0),MATCH('Senior Refinance Amortization1'!$N$19,'Senior Refinance Amortization1'!$B$19:$U$19,0))))</f>
        <v>0</v>
      </c>
      <c r="BX126" s="427">
        <f>-IF('Financing Assumptions'!$H$44="No",0,IF(AND('Financing Assumptions'!$H$44="Yes",BX$9&lt;'Financing Assumptions'!$G$47),0,INDEX('Senior Refinance Amortization1'!$B$19:$U$379,MATCH(BX$11,'Senior Refinance Amortization1'!$E$19:$E$379,0),MATCH('Senior Refinance Amortization1'!$N$19,'Senior Refinance Amortization1'!$B$19:$U$19,0))))</f>
        <v>0</v>
      </c>
      <c r="BY126" s="427">
        <f>-IF('Financing Assumptions'!$H$44="No",0,IF(AND('Financing Assumptions'!$H$44="Yes",BY$9&lt;'Financing Assumptions'!$G$47),0,INDEX('Senior Refinance Amortization1'!$B$19:$U$379,MATCH(BY$11,'Senior Refinance Amortization1'!$E$19:$E$379,0),MATCH('Senior Refinance Amortization1'!$N$19,'Senior Refinance Amortization1'!$B$19:$U$19,0))))</f>
        <v>0</v>
      </c>
      <c r="BZ126" s="427">
        <f>-IF('Financing Assumptions'!$H$44="No",0,IF(AND('Financing Assumptions'!$H$44="Yes",BZ$9&lt;'Financing Assumptions'!$G$47),0,INDEX('Senior Refinance Amortization1'!$B$19:$U$379,MATCH(BZ$11,'Senior Refinance Amortization1'!$E$19:$E$379,0),MATCH('Senior Refinance Amortization1'!$N$19,'Senior Refinance Amortization1'!$B$19:$U$19,0))))</f>
        <v>0</v>
      </c>
      <c r="CA126" s="427">
        <f>-IF('Financing Assumptions'!$H$44="No",0,IF(AND('Financing Assumptions'!$H$44="Yes",CA$9&lt;'Financing Assumptions'!$G$47),0,INDEX('Senior Refinance Amortization1'!$B$19:$U$379,MATCH(CA$11,'Senior Refinance Amortization1'!$E$19:$E$379,0),MATCH('Senior Refinance Amortization1'!$N$19,'Senior Refinance Amortization1'!$B$19:$U$19,0))))</f>
        <v>0</v>
      </c>
      <c r="CB126" s="427">
        <f>-IF('Financing Assumptions'!$H$44="No",0,IF(AND('Financing Assumptions'!$H$44="Yes",CB$9&lt;'Financing Assumptions'!$G$47),0,INDEX('Senior Refinance Amortization1'!$B$19:$U$379,MATCH(CB$11,'Senior Refinance Amortization1'!$E$19:$E$379,0),MATCH('Senior Refinance Amortization1'!$N$19,'Senior Refinance Amortization1'!$B$19:$U$19,0))))</f>
        <v>0</v>
      </c>
      <c r="CC126" s="427">
        <f>-IF('Financing Assumptions'!$H$44="No",0,IF(AND('Financing Assumptions'!$H$44="Yes",CC$9&lt;'Financing Assumptions'!$G$47),0,INDEX('Senior Refinance Amortization1'!$B$19:$U$379,MATCH(CC$11,'Senior Refinance Amortization1'!$E$19:$E$379,0),MATCH('Senior Refinance Amortization1'!$N$19,'Senior Refinance Amortization1'!$B$19:$U$19,0))))</f>
        <v>0</v>
      </c>
      <c r="CD126" s="427">
        <f>-IF('Financing Assumptions'!$H$44="No",0,IF(AND('Financing Assumptions'!$H$44="Yes",CD$9&lt;'Financing Assumptions'!$G$47),0,INDEX('Senior Refinance Amortization1'!$B$19:$U$379,MATCH(CD$11,'Senior Refinance Amortization1'!$E$19:$E$379,0),MATCH('Senior Refinance Amortization1'!$N$19,'Senior Refinance Amortization1'!$B$19:$U$19,0))))</f>
        <v>0</v>
      </c>
      <c r="CE126" s="427">
        <f>-IF('Financing Assumptions'!$H$44="No",0,IF(AND('Financing Assumptions'!$H$44="Yes",CE$9&lt;'Financing Assumptions'!$G$47),0,INDEX('Senior Refinance Amortization1'!$B$19:$U$379,MATCH(CE$11,'Senior Refinance Amortization1'!$E$19:$E$379,0),MATCH('Senior Refinance Amortization1'!$N$19,'Senior Refinance Amortization1'!$B$19:$U$19,0))))</f>
        <v>0</v>
      </c>
      <c r="CF126" s="427">
        <f>-IF('Financing Assumptions'!$H$44="No",0,IF(AND('Financing Assumptions'!$H$44="Yes",CF$9&lt;'Financing Assumptions'!$G$47),0,INDEX('Senior Refinance Amortization1'!$B$19:$U$379,MATCH(CF$11,'Senior Refinance Amortization1'!$E$19:$E$379,0),MATCH('Senior Refinance Amortization1'!$N$19,'Senior Refinance Amortization1'!$B$19:$U$19,0))))</f>
        <v>0</v>
      </c>
      <c r="CG126" s="427">
        <f>-IF('Financing Assumptions'!$H$44="No",0,IF(AND('Financing Assumptions'!$H$44="Yes",CG$9&lt;'Financing Assumptions'!$G$47),0,INDEX('Senior Refinance Amortization1'!$B$19:$U$379,MATCH(CG$11,'Senior Refinance Amortization1'!$E$19:$E$379,0),MATCH('Senior Refinance Amortization1'!$N$19,'Senior Refinance Amortization1'!$B$19:$U$19,0))))</f>
        <v>0</v>
      </c>
      <c r="CH126" s="427">
        <f>-IF('Financing Assumptions'!$H$44="No",0,IF(AND('Financing Assumptions'!$H$44="Yes",CH$9&lt;'Financing Assumptions'!$G$47),0,INDEX('Senior Refinance Amortization1'!$B$19:$U$379,MATCH(CH$11,'Senior Refinance Amortization1'!$E$19:$E$379,0),MATCH('Senior Refinance Amortization1'!$N$19,'Senior Refinance Amortization1'!$B$19:$U$19,0))))</f>
        <v>0</v>
      </c>
      <c r="CI126" s="427">
        <f>-IF('Financing Assumptions'!$H$44="No",0,IF(AND('Financing Assumptions'!$H$44="Yes",CI$9&lt;'Financing Assumptions'!$G$47),0,INDEX('Senior Refinance Amortization1'!$B$19:$U$379,MATCH(CI$11,'Senior Refinance Amortization1'!$E$19:$E$379,0),MATCH('Senior Refinance Amortization1'!$N$19,'Senior Refinance Amortization1'!$B$19:$U$19,0))))</f>
        <v>0</v>
      </c>
      <c r="CJ126" s="427">
        <f>-IF('Financing Assumptions'!$H$44="No",0,IF(AND('Financing Assumptions'!$H$44="Yes",CJ$9&lt;'Financing Assumptions'!$G$47),0,INDEX('Senior Refinance Amortization1'!$B$19:$U$379,MATCH(CJ$11,'Senior Refinance Amortization1'!$E$19:$E$379,0),MATCH('Senior Refinance Amortization1'!$N$19,'Senior Refinance Amortization1'!$B$19:$U$19,0))))</f>
        <v>0</v>
      </c>
      <c r="CK126" s="427">
        <f>-IF('Financing Assumptions'!$H$44="No",0,IF(AND('Financing Assumptions'!$H$44="Yes",CK$9&lt;'Financing Assumptions'!$G$47),0,INDEX('Senior Refinance Amortization1'!$B$19:$U$379,MATCH(CK$11,'Senior Refinance Amortization1'!$E$19:$E$379,0),MATCH('Senior Refinance Amortization1'!$N$19,'Senior Refinance Amortization1'!$B$19:$U$19,0))))</f>
        <v>0</v>
      </c>
      <c r="CL126" s="427">
        <f>-IF('Financing Assumptions'!$H$44="No",0,IF(AND('Financing Assumptions'!$H$44="Yes",CL$9&lt;'Financing Assumptions'!$G$47),0,INDEX('Senior Refinance Amortization1'!$B$19:$U$379,MATCH(CL$11,'Senior Refinance Amortization1'!$E$19:$E$379,0),MATCH('Senior Refinance Amortization1'!$N$19,'Senior Refinance Amortization1'!$B$19:$U$19,0))))</f>
        <v>0</v>
      </c>
      <c r="CM126" s="427">
        <f>-IF('Financing Assumptions'!$H$44="No",0,IF(AND('Financing Assumptions'!$H$44="Yes",CM$9&lt;'Financing Assumptions'!$G$47),0,INDEX('Senior Refinance Amortization1'!$B$19:$U$379,MATCH(CM$11,'Senior Refinance Amortization1'!$E$19:$E$379,0),MATCH('Senior Refinance Amortization1'!$N$19,'Senior Refinance Amortization1'!$B$19:$U$19,0))))</f>
        <v>0</v>
      </c>
      <c r="CN126" s="427">
        <f>-IF('Financing Assumptions'!$H$44="No",0,IF(AND('Financing Assumptions'!$H$44="Yes",CN$9&lt;'Financing Assumptions'!$G$47),0,INDEX('Senior Refinance Amortization1'!$B$19:$U$379,MATCH(CN$11,'Senior Refinance Amortization1'!$E$19:$E$379,0),MATCH('Senior Refinance Amortization1'!$N$19,'Senior Refinance Amortization1'!$B$19:$U$19,0))))</f>
        <v>0</v>
      </c>
      <c r="CO126" s="427">
        <f>-IF('Financing Assumptions'!$H$44="No",0,IF(AND('Financing Assumptions'!$H$44="Yes",CO$9&lt;'Financing Assumptions'!$G$47),0,INDEX('Senior Refinance Amortization1'!$B$19:$U$379,MATCH(CO$11,'Senior Refinance Amortization1'!$E$19:$E$379,0),MATCH('Senior Refinance Amortization1'!$N$19,'Senior Refinance Amortization1'!$B$19:$U$19,0))))</f>
        <v>0</v>
      </c>
      <c r="CP126" s="427">
        <f>-IF('Financing Assumptions'!$H$44="No",0,IF(AND('Financing Assumptions'!$H$44="Yes",CP$9&lt;'Financing Assumptions'!$G$47),0,INDEX('Senior Refinance Amortization1'!$B$19:$U$379,MATCH(CP$11,'Senior Refinance Amortization1'!$E$19:$E$379,0),MATCH('Senior Refinance Amortization1'!$N$19,'Senior Refinance Amortization1'!$B$19:$U$19,0))))</f>
        <v>0</v>
      </c>
      <c r="CQ126" s="427">
        <f>-IF('Financing Assumptions'!$H$44="No",0,IF(AND('Financing Assumptions'!$H$44="Yes",CQ$9&lt;'Financing Assumptions'!$G$47),0,INDEX('Senior Refinance Amortization1'!$B$19:$U$379,MATCH(CQ$11,'Senior Refinance Amortization1'!$E$19:$E$379,0),MATCH('Senior Refinance Amortization1'!$N$19,'Senior Refinance Amortization1'!$B$19:$U$19,0))))</f>
        <v>0</v>
      </c>
      <c r="CR126" s="427">
        <f>-IF('Financing Assumptions'!$H$44="No",0,IF(AND('Financing Assumptions'!$H$44="Yes",CR$9&lt;'Financing Assumptions'!$G$47),0,INDEX('Senior Refinance Amortization1'!$B$19:$U$379,MATCH(CR$11,'Senior Refinance Amortization1'!$E$19:$E$379,0),MATCH('Senior Refinance Amortization1'!$N$19,'Senior Refinance Amortization1'!$B$19:$U$19,0))))</f>
        <v>0</v>
      </c>
      <c r="CS126" s="427">
        <f>-IF('Financing Assumptions'!$H$44="No",0,IF(AND('Financing Assumptions'!$H$44="Yes",CS$9&lt;'Financing Assumptions'!$G$47),0,INDEX('Senior Refinance Amortization1'!$B$19:$U$379,MATCH(CS$11,'Senior Refinance Amortization1'!$E$19:$E$379,0),MATCH('Senior Refinance Amortization1'!$N$19,'Senior Refinance Amortization1'!$B$19:$U$19,0))))</f>
        <v>0</v>
      </c>
      <c r="CT126" s="427">
        <f>-IF('Financing Assumptions'!$H$44="No",0,IF(AND('Financing Assumptions'!$H$44="Yes",CT$9&lt;'Financing Assumptions'!$G$47),0,INDEX('Senior Refinance Amortization1'!$B$19:$U$379,MATCH(CT$11,'Senior Refinance Amortization1'!$E$19:$E$379,0),MATCH('Senior Refinance Amortization1'!$N$19,'Senior Refinance Amortization1'!$B$19:$U$19,0))))</f>
        <v>0</v>
      </c>
      <c r="CU126" s="427">
        <f>-IF('Financing Assumptions'!$H$44="No",0,IF(AND('Financing Assumptions'!$H$44="Yes",CU$9&lt;'Financing Assumptions'!$G$47),0,INDEX('Senior Refinance Amortization1'!$B$19:$U$379,MATCH(CU$11,'Senior Refinance Amortization1'!$E$19:$E$379,0),MATCH('Senior Refinance Amortization1'!$N$19,'Senior Refinance Amortization1'!$B$19:$U$19,0))))</f>
        <v>0</v>
      </c>
      <c r="CV126" s="427">
        <f>-IF('Financing Assumptions'!$H$44="No",0,IF(AND('Financing Assumptions'!$H$44="Yes",CV$9&lt;'Financing Assumptions'!$G$47),0,INDEX('Senior Refinance Amortization1'!$B$19:$U$379,MATCH(CV$11,'Senior Refinance Amortization1'!$E$19:$E$379,0),MATCH('Senior Refinance Amortization1'!$N$19,'Senior Refinance Amortization1'!$B$19:$U$19,0))))</f>
        <v>0</v>
      </c>
      <c r="CW126" s="427">
        <f>-IF('Financing Assumptions'!$H$44="No",0,IF(AND('Financing Assumptions'!$H$44="Yes",CW$9&lt;'Financing Assumptions'!$G$47),0,INDEX('Senior Refinance Amortization1'!$B$19:$U$379,MATCH(CW$11,'Senior Refinance Amortization1'!$E$19:$E$379,0),MATCH('Senior Refinance Amortization1'!$N$19,'Senior Refinance Amortization1'!$B$19:$U$19,0))))</f>
        <v>0</v>
      </c>
      <c r="CX126" s="427">
        <f>-IF('Financing Assumptions'!$H$44="No",0,IF(AND('Financing Assumptions'!$H$44="Yes",CX$9&lt;'Financing Assumptions'!$G$47),0,INDEX('Senior Refinance Amortization1'!$B$19:$U$379,MATCH(CX$11,'Senior Refinance Amortization1'!$E$19:$E$379,0),MATCH('Senior Refinance Amortization1'!$N$19,'Senior Refinance Amortization1'!$B$19:$U$19,0))))</f>
        <v>0</v>
      </c>
      <c r="CY126" s="427">
        <f>-IF('Financing Assumptions'!$H$44="No",0,IF(AND('Financing Assumptions'!$H$44="Yes",CY$9&lt;'Financing Assumptions'!$G$47),0,INDEX('Senior Refinance Amortization1'!$B$19:$U$379,MATCH(CY$11,'Senior Refinance Amortization1'!$E$19:$E$379,0),MATCH('Senior Refinance Amortization1'!$N$19,'Senior Refinance Amortization1'!$B$19:$U$19,0))))</f>
        <v>0</v>
      </c>
      <c r="CZ126" s="427">
        <f>-IF('Financing Assumptions'!$H$44="No",0,IF(AND('Financing Assumptions'!$H$44="Yes",CZ$9&lt;'Financing Assumptions'!$G$47),0,INDEX('Senior Refinance Amortization1'!$B$19:$U$379,MATCH(CZ$11,'Senior Refinance Amortization1'!$E$19:$E$379,0),MATCH('Senior Refinance Amortization1'!$N$19,'Senior Refinance Amortization1'!$B$19:$U$19,0))))</f>
        <v>0</v>
      </c>
      <c r="DA126" s="427">
        <f>-IF('Financing Assumptions'!$H$44="No",0,IF(AND('Financing Assumptions'!$H$44="Yes",DA$9&lt;'Financing Assumptions'!$G$47),0,INDEX('Senior Refinance Amortization1'!$B$19:$U$379,MATCH(DA$11,'Senior Refinance Amortization1'!$E$19:$E$379,0),MATCH('Senior Refinance Amortization1'!$N$19,'Senior Refinance Amortization1'!$B$19:$U$19,0))))</f>
        <v>0</v>
      </c>
      <c r="DB126" s="427">
        <f>-IF('Financing Assumptions'!$H$44="No",0,IF(AND('Financing Assumptions'!$H$44="Yes",DB$9&lt;'Financing Assumptions'!$G$47),0,INDEX('Senior Refinance Amortization1'!$B$19:$U$379,MATCH(DB$11,'Senior Refinance Amortization1'!$E$19:$E$379,0),MATCH('Senior Refinance Amortization1'!$N$19,'Senior Refinance Amortization1'!$B$19:$U$19,0))))</f>
        <v>0</v>
      </c>
      <c r="DC126" s="427">
        <f>-IF('Financing Assumptions'!$H$44="No",0,IF(AND('Financing Assumptions'!$H$44="Yes",DC$9&lt;'Financing Assumptions'!$G$47),0,INDEX('Senior Refinance Amortization1'!$B$19:$U$379,MATCH(DC$11,'Senior Refinance Amortization1'!$E$19:$E$379,0),MATCH('Senior Refinance Amortization1'!$N$19,'Senior Refinance Amortization1'!$B$19:$U$19,0))))</f>
        <v>0</v>
      </c>
      <c r="DD126" s="427">
        <f>-IF('Financing Assumptions'!$H$44="No",0,IF(AND('Financing Assumptions'!$H$44="Yes",DD$9&lt;'Financing Assumptions'!$G$47),0,INDEX('Senior Refinance Amortization1'!$B$19:$U$379,MATCH(DD$11,'Senior Refinance Amortization1'!$E$19:$E$379,0),MATCH('Senior Refinance Amortization1'!$N$19,'Senior Refinance Amortization1'!$B$19:$U$19,0))))</f>
        <v>0</v>
      </c>
      <c r="DE126" s="427">
        <f>-IF('Financing Assumptions'!$H$44="No",0,IF(AND('Financing Assumptions'!$H$44="Yes",DE$9&lt;'Financing Assumptions'!$G$47),0,INDEX('Senior Refinance Amortization1'!$B$19:$U$379,MATCH(DE$11,'Senior Refinance Amortization1'!$E$19:$E$379,0),MATCH('Senior Refinance Amortization1'!$N$19,'Senior Refinance Amortization1'!$B$19:$U$19,0))))</f>
        <v>0</v>
      </c>
      <c r="DF126" s="427">
        <f>-IF('Financing Assumptions'!$H$44="No",0,IF(AND('Financing Assumptions'!$H$44="Yes",DF$9&lt;'Financing Assumptions'!$G$47),0,INDEX('Senior Refinance Amortization1'!$B$19:$U$379,MATCH(DF$11,'Senior Refinance Amortization1'!$E$19:$E$379,0),MATCH('Senior Refinance Amortization1'!$N$19,'Senior Refinance Amortization1'!$B$19:$U$19,0))))</f>
        <v>0</v>
      </c>
      <c r="DG126" s="427">
        <f>-IF('Financing Assumptions'!$H$44="No",0,IF(AND('Financing Assumptions'!$H$44="Yes",DG$9&lt;'Financing Assumptions'!$G$47),0,INDEX('Senior Refinance Amortization1'!$B$19:$U$379,MATCH(DG$11,'Senior Refinance Amortization1'!$E$19:$E$379,0),MATCH('Senior Refinance Amortization1'!$N$19,'Senior Refinance Amortization1'!$B$19:$U$19,0))))</f>
        <v>0</v>
      </c>
      <c r="DH126" s="427">
        <f>-IF('Financing Assumptions'!$H$44="No",0,IF(AND('Financing Assumptions'!$H$44="Yes",DH$9&lt;'Financing Assumptions'!$G$47),0,INDEX('Senior Refinance Amortization1'!$B$19:$U$379,MATCH(DH$11,'Senior Refinance Amortization1'!$E$19:$E$379,0),MATCH('Senior Refinance Amortization1'!$N$19,'Senior Refinance Amortization1'!$B$19:$U$19,0))))</f>
        <v>0</v>
      </c>
      <c r="DI126" s="427">
        <f>-IF('Financing Assumptions'!$H$44="No",0,IF(AND('Financing Assumptions'!$H$44="Yes",DI$9&lt;'Financing Assumptions'!$G$47),0,INDEX('Senior Refinance Amortization1'!$B$19:$U$379,MATCH(DI$11,'Senior Refinance Amortization1'!$E$19:$E$379,0),MATCH('Senior Refinance Amortization1'!$N$19,'Senior Refinance Amortization1'!$B$19:$U$19,0))))</f>
        <v>0</v>
      </c>
      <c r="DJ126" s="427">
        <f>-IF('Financing Assumptions'!$H$44="No",0,IF(AND('Financing Assumptions'!$H$44="Yes",DJ$9&lt;'Financing Assumptions'!$G$47),0,INDEX('Senior Refinance Amortization1'!$B$19:$U$379,MATCH(DJ$11,'Senior Refinance Amortization1'!$E$19:$E$379,0),MATCH('Senior Refinance Amortization1'!$N$19,'Senior Refinance Amortization1'!$B$19:$U$19,0))))</f>
        <v>0</v>
      </c>
      <c r="DK126" s="427">
        <f>-IF('Financing Assumptions'!$H$44="No",0,IF(AND('Financing Assumptions'!$H$44="Yes",DK$9&lt;'Financing Assumptions'!$G$47),0,INDEX('Senior Refinance Amortization1'!$B$19:$U$379,MATCH(DK$11,'Senior Refinance Amortization1'!$E$19:$E$379,0),MATCH('Senior Refinance Amortization1'!$N$19,'Senior Refinance Amortization1'!$B$19:$U$19,0))))</f>
        <v>0</v>
      </c>
      <c r="DL126" s="427">
        <f>-IF('Financing Assumptions'!$H$44="No",0,IF(AND('Financing Assumptions'!$H$44="Yes",DL$9&lt;'Financing Assumptions'!$G$47),0,INDEX('Senior Refinance Amortization1'!$B$19:$U$379,MATCH(DL$11,'Senior Refinance Amortization1'!$E$19:$E$379,0),MATCH('Senior Refinance Amortization1'!$N$19,'Senior Refinance Amortization1'!$B$19:$U$19,0))))</f>
        <v>0</v>
      </c>
      <c r="DM126" s="427">
        <f>-IF('Financing Assumptions'!$H$44="No",0,IF(AND('Financing Assumptions'!$H$44="Yes",DM$9&lt;'Financing Assumptions'!$G$47),0,INDEX('Senior Refinance Amortization1'!$B$19:$U$379,MATCH(DM$11,'Senior Refinance Amortization1'!$E$19:$E$379,0),MATCH('Senior Refinance Amortization1'!$N$19,'Senior Refinance Amortization1'!$B$19:$U$19,0))))</f>
        <v>0</v>
      </c>
      <c r="DN126" s="427">
        <f>-IF('Financing Assumptions'!$H$44="No",0,IF(AND('Financing Assumptions'!$H$44="Yes",DN$9&lt;'Financing Assumptions'!$G$47),0,INDEX('Senior Refinance Amortization1'!$B$19:$U$379,MATCH(DN$11,'Senior Refinance Amortization1'!$E$19:$E$379,0),MATCH('Senior Refinance Amortization1'!$N$19,'Senior Refinance Amortization1'!$B$19:$U$19,0))))</f>
        <v>0</v>
      </c>
      <c r="DO126" s="427">
        <f>-IF('Financing Assumptions'!$H$44="No",0,IF(AND('Financing Assumptions'!$H$44="Yes",DO$9&lt;'Financing Assumptions'!$G$47),0,INDEX('Senior Refinance Amortization1'!$B$19:$U$379,MATCH(DO$11,'Senior Refinance Amortization1'!$E$19:$E$379,0),MATCH('Senior Refinance Amortization1'!$N$19,'Senior Refinance Amortization1'!$B$19:$U$19,0))))</f>
        <v>0</v>
      </c>
      <c r="DP126" s="427">
        <f>-IF('Financing Assumptions'!$H$44="No",0,IF(AND('Financing Assumptions'!$H$44="Yes",DP$9&lt;'Financing Assumptions'!$G$47),0,INDEX('Senior Refinance Amortization1'!$B$19:$U$379,MATCH(DP$11,'Senior Refinance Amortization1'!$E$19:$E$379,0),MATCH('Senior Refinance Amortization1'!$N$19,'Senior Refinance Amortization1'!$B$19:$U$19,0))))</f>
        <v>0</v>
      </c>
      <c r="DQ126" s="427">
        <f>-IF('Financing Assumptions'!$H$44="No",0,IF(AND('Financing Assumptions'!$H$44="Yes",DQ$9&lt;'Financing Assumptions'!$G$47),0,INDEX('Senior Refinance Amortization1'!$B$19:$U$379,MATCH(DQ$11,'Senior Refinance Amortization1'!$E$19:$E$379,0),MATCH('Senior Refinance Amortization1'!$N$19,'Senior Refinance Amortization1'!$B$19:$U$19,0))))</f>
        <v>0</v>
      </c>
      <c r="DR126" s="427">
        <f>-IF('Financing Assumptions'!$H$44="No",0,IF(AND('Financing Assumptions'!$H$44="Yes",DR$9&lt;'Financing Assumptions'!$G$47),0,INDEX('Senior Refinance Amortization1'!$B$19:$U$379,MATCH(DR$11,'Senior Refinance Amortization1'!$E$19:$E$379,0),MATCH('Senior Refinance Amortization1'!$N$19,'Senior Refinance Amortization1'!$B$19:$U$19,0))))</f>
        <v>0</v>
      </c>
      <c r="DS126" s="427">
        <f>-IF('Financing Assumptions'!$H$44="No",0,IF(AND('Financing Assumptions'!$H$44="Yes",DS$9&lt;'Financing Assumptions'!$G$47),0,INDEX('Senior Refinance Amortization1'!$B$19:$U$379,MATCH(DS$11,'Senior Refinance Amortization1'!$E$19:$E$379,0),MATCH('Senior Refinance Amortization1'!$N$19,'Senior Refinance Amortization1'!$B$19:$U$19,0))))</f>
        <v>0</v>
      </c>
      <c r="DT126" s="427">
        <f>-IF('Financing Assumptions'!$H$44="No",0,IF(AND('Financing Assumptions'!$H$44="Yes",DT$9&lt;'Financing Assumptions'!$G$47),0,INDEX('Senior Refinance Amortization1'!$B$19:$U$379,MATCH(DT$11,'Senior Refinance Amortization1'!$E$19:$E$379,0),MATCH('Senior Refinance Amortization1'!$N$19,'Senior Refinance Amortization1'!$B$19:$U$19,0))))</f>
        <v>0</v>
      </c>
      <c r="DU126" s="427">
        <f>-IF('Financing Assumptions'!$H$44="No",0,IF(AND('Financing Assumptions'!$H$44="Yes",DU$9&lt;'Financing Assumptions'!$G$47),0,INDEX('Senior Refinance Amortization1'!$B$19:$U$379,MATCH(DU$11,'Senior Refinance Amortization1'!$E$19:$E$379,0),MATCH('Senior Refinance Amortization1'!$N$19,'Senior Refinance Amortization1'!$B$19:$U$19,0))))</f>
        <v>0</v>
      </c>
      <c r="DV126" s="427">
        <f>-IF('Financing Assumptions'!$H$44="No",0,IF(AND('Financing Assumptions'!$H$44="Yes",DV$9&lt;'Financing Assumptions'!$G$47),0,INDEX('Senior Refinance Amortization1'!$B$19:$U$379,MATCH(DV$11,'Senior Refinance Amortization1'!$E$19:$E$379,0),MATCH('Senior Refinance Amortization1'!$N$19,'Senior Refinance Amortization1'!$B$19:$U$19,0))))</f>
        <v>0</v>
      </c>
      <c r="DW126" s="427">
        <f>-IF('Financing Assumptions'!$H$44="No",0,IF(AND('Financing Assumptions'!$H$44="Yes",DW$9&lt;'Financing Assumptions'!$G$47),0,INDEX('Senior Refinance Amortization1'!$B$19:$U$379,MATCH(DW$11,'Senior Refinance Amortization1'!$E$19:$E$379,0),MATCH('Senior Refinance Amortization1'!$N$19,'Senior Refinance Amortization1'!$B$19:$U$19,0))))</f>
        <v>0</v>
      </c>
      <c r="DX126" s="427">
        <f>-IF('Financing Assumptions'!$H$44="No",0,IF(AND('Financing Assumptions'!$H$44="Yes",DX$9&lt;'Financing Assumptions'!$G$47),0,INDEX('Senior Refinance Amortization1'!$B$19:$U$379,MATCH(DX$11,'Senior Refinance Amortization1'!$E$19:$E$379,0),MATCH('Senior Refinance Amortization1'!$N$19,'Senior Refinance Amortization1'!$B$19:$U$19,0))))</f>
        <v>0</v>
      </c>
      <c r="DY126" s="427">
        <f>-IF('Financing Assumptions'!$H$44="No",0,IF(AND('Financing Assumptions'!$H$44="Yes",DY$9&lt;'Financing Assumptions'!$G$47),0,INDEX('Senior Refinance Amortization1'!$B$19:$U$379,MATCH(DY$11,'Senior Refinance Amortization1'!$E$19:$E$379,0),MATCH('Senior Refinance Amortization1'!$N$19,'Senior Refinance Amortization1'!$B$19:$U$19,0))))</f>
        <v>0</v>
      </c>
      <c r="DZ126" s="427">
        <f>-IF('Financing Assumptions'!$H$44="No",0,IF(AND('Financing Assumptions'!$H$44="Yes",DZ$9&lt;'Financing Assumptions'!$G$47),0,INDEX('Senior Refinance Amortization1'!$B$19:$U$379,MATCH(DZ$11,'Senior Refinance Amortization1'!$E$19:$E$379,0),MATCH('Senior Refinance Amortization1'!$N$19,'Senior Refinance Amortization1'!$B$19:$U$19,0))))</f>
        <v>0</v>
      </c>
      <c r="EA126" s="427">
        <f>-IF('Financing Assumptions'!$H$44="No",0,IF(AND('Financing Assumptions'!$H$44="Yes",EA$9&lt;'Financing Assumptions'!$G$47),0,INDEX('Senior Refinance Amortization1'!$B$19:$U$379,MATCH(EA$11,'Senior Refinance Amortization1'!$E$19:$E$379,0),MATCH('Senior Refinance Amortization1'!$N$19,'Senior Refinance Amortization1'!$B$19:$U$19,0))))</f>
        <v>0</v>
      </c>
      <c r="EB126" s="427">
        <f>-IF('Financing Assumptions'!$H$44="No",0,IF(AND('Financing Assumptions'!$H$44="Yes",EB$9&lt;'Financing Assumptions'!$G$47),0,INDEX('Senior Refinance Amortization1'!$B$19:$U$379,MATCH(EB$11,'Senior Refinance Amortization1'!$E$19:$E$379,0),MATCH('Senior Refinance Amortization1'!$N$19,'Senior Refinance Amortization1'!$B$19:$U$19,0))))</f>
        <v>0</v>
      </c>
      <c r="EC126" s="427">
        <f>-IF('Financing Assumptions'!$H$44="No",0,IF(AND('Financing Assumptions'!$H$44="Yes",EC$9&lt;'Financing Assumptions'!$G$47),0,INDEX('Senior Refinance Amortization1'!$B$19:$U$379,MATCH(EC$11,'Senior Refinance Amortization1'!$E$19:$E$379,0),MATCH('Senior Refinance Amortization1'!$N$19,'Senior Refinance Amortization1'!$B$19:$U$19,0))))</f>
        <v>0</v>
      </c>
      <c r="ED126" s="427">
        <f>-IF('Financing Assumptions'!$H$44="No",0,IF(AND('Financing Assumptions'!$H$44="Yes",ED$9&lt;'Financing Assumptions'!$G$47),0,INDEX('Senior Refinance Amortization1'!$B$19:$U$379,MATCH(ED$11,'Senior Refinance Amortization1'!$E$19:$E$379,0),MATCH('Senior Refinance Amortization1'!$N$19,'Senior Refinance Amortization1'!$B$19:$U$19,0))))</f>
        <v>0</v>
      </c>
      <c r="EE126" s="427">
        <f>-IF('Financing Assumptions'!$H$44="No",0,IF(AND('Financing Assumptions'!$H$44="Yes",EE$9&lt;'Financing Assumptions'!$G$47),0,INDEX('Senior Refinance Amortization1'!$B$19:$U$379,MATCH(EE$11,'Senior Refinance Amortization1'!$E$19:$E$379,0),MATCH('Senior Refinance Amortization1'!$N$19,'Senior Refinance Amortization1'!$B$19:$U$19,0))))</f>
        <v>0</v>
      </c>
      <c r="EF126" s="427">
        <f>-IF('Financing Assumptions'!$H$44="No",0,IF(AND('Financing Assumptions'!$H$44="Yes",EF$9&lt;'Financing Assumptions'!$G$47),0,INDEX('Senior Refinance Amortization1'!$B$19:$U$379,MATCH(EF$11,'Senior Refinance Amortization1'!$E$19:$E$379,0),MATCH('Senior Refinance Amortization1'!$N$19,'Senior Refinance Amortization1'!$B$19:$U$19,0))))</f>
        <v>0</v>
      </c>
      <c r="EG126" s="427">
        <f>-IF('Financing Assumptions'!$H$44="No",0,IF(AND('Financing Assumptions'!$H$44="Yes",EG$9&lt;'Financing Assumptions'!$G$47),0,INDEX('Senior Refinance Amortization1'!$B$19:$U$379,MATCH(EG$11,'Senior Refinance Amortization1'!$E$19:$E$379,0),MATCH('Senior Refinance Amortization1'!$N$19,'Senior Refinance Amortization1'!$B$19:$U$19,0))))</f>
        <v>0</v>
      </c>
      <c r="EH126" s="427">
        <f>-IF('Financing Assumptions'!$H$44="No",0,IF(AND('Financing Assumptions'!$H$44="Yes",EH$9&lt;'Financing Assumptions'!$G$47),0,INDEX('Senior Refinance Amortization1'!$B$19:$U$379,MATCH(EH$11,'Senior Refinance Amortization1'!$E$19:$E$379,0),MATCH('Senior Refinance Amortization1'!$N$19,'Senior Refinance Amortization1'!$B$19:$U$19,0))))</f>
        <v>0</v>
      </c>
      <c r="EI126" s="427">
        <f>-IF('Financing Assumptions'!$H$44="No",0,IF(AND('Financing Assumptions'!$H$44="Yes",EI$9&lt;'Financing Assumptions'!$G$47),0,INDEX('Senior Refinance Amortization1'!$B$19:$U$379,MATCH(EI$11,'Senior Refinance Amortization1'!$E$19:$E$379,0),MATCH('Senior Refinance Amortization1'!$N$19,'Senior Refinance Amortization1'!$B$19:$U$19,0))))</f>
        <v>0</v>
      </c>
      <c r="EJ126" s="427">
        <f>-IF('Financing Assumptions'!$H$44="No",0,IF(AND('Financing Assumptions'!$H$44="Yes",EJ$9&lt;'Financing Assumptions'!$G$47),0,INDEX('Senior Refinance Amortization1'!$B$19:$U$379,MATCH(EJ$11,'Senior Refinance Amortization1'!$E$19:$E$379,0),MATCH('Senior Refinance Amortization1'!$N$19,'Senior Refinance Amortization1'!$B$19:$U$19,0))))</f>
        <v>0</v>
      </c>
      <c r="EK126" s="427">
        <f>-IF('Financing Assumptions'!$H$44="No",0,IF(AND('Financing Assumptions'!$H$44="Yes",EK$9&lt;'Financing Assumptions'!$G$47),0,INDEX('Senior Refinance Amortization1'!$B$19:$U$379,MATCH(EK$11,'Senior Refinance Amortization1'!$E$19:$E$379,0),MATCH('Senior Refinance Amortization1'!$N$19,'Senior Refinance Amortization1'!$B$19:$U$19,0))))</f>
        <v>0</v>
      </c>
      <c r="EL126" s="427">
        <f>-IF('Financing Assumptions'!$H$44="No",0,IF(AND('Financing Assumptions'!$H$44="Yes",EL$9&lt;'Financing Assumptions'!$G$47),0,INDEX('Senior Refinance Amortization1'!$B$19:$U$379,MATCH(EL$11,'Senior Refinance Amortization1'!$E$19:$E$379,0),MATCH('Senior Refinance Amortization1'!$N$19,'Senior Refinance Amortization1'!$B$19:$U$19,0))))</f>
        <v>0</v>
      </c>
      <c r="EM126" s="427">
        <f>-IF('Financing Assumptions'!$H$44="No",0,IF(AND('Financing Assumptions'!$H$44="Yes",EM$9&lt;'Financing Assumptions'!$G$47),0,INDEX('Senior Refinance Amortization1'!$B$19:$U$379,MATCH(EM$11,'Senior Refinance Amortization1'!$E$19:$E$379,0),MATCH('Senior Refinance Amortization1'!$N$19,'Senior Refinance Amortization1'!$B$19:$U$19,0))))</f>
        <v>0</v>
      </c>
      <c r="EN126" s="427">
        <f>-IF('Financing Assumptions'!$H$44="No",0,IF(AND('Financing Assumptions'!$H$44="Yes",EN$9&lt;'Financing Assumptions'!$G$47),0,INDEX('Senior Refinance Amortization1'!$B$19:$U$379,MATCH(EN$11,'Senior Refinance Amortization1'!$E$19:$E$379,0),MATCH('Senior Refinance Amortization1'!$N$19,'Senior Refinance Amortization1'!$B$19:$U$19,0))))</f>
        <v>0</v>
      </c>
      <c r="EO126" s="427">
        <f>-IF('Financing Assumptions'!$H$44="No",0,IF(AND('Financing Assumptions'!$H$44="Yes",EO$9&lt;'Financing Assumptions'!$G$47),0,INDEX('Senior Refinance Amortization1'!$B$19:$U$379,MATCH(EO$11,'Senior Refinance Amortization1'!$E$19:$E$379,0),MATCH('Senior Refinance Amortization1'!$N$19,'Senior Refinance Amortization1'!$B$19:$U$19,0))))</f>
        <v>0</v>
      </c>
      <c r="EP126" s="427">
        <f>-IF('Financing Assumptions'!$H$44="No",0,IF(AND('Financing Assumptions'!$H$44="Yes",EP$9&lt;'Financing Assumptions'!$G$47),0,INDEX('Senior Refinance Amortization1'!$B$19:$U$379,MATCH(EP$11,'Senior Refinance Amortization1'!$E$19:$E$379,0),MATCH('Senior Refinance Amortization1'!$N$19,'Senior Refinance Amortization1'!$B$19:$U$19,0))))</f>
        <v>0</v>
      </c>
      <c r="EQ126" s="427">
        <f>-IF('Financing Assumptions'!$H$44="No",0,IF(AND('Financing Assumptions'!$H$44="Yes",EQ$9&lt;'Financing Assumptions'!$G$47),0,INDEX('Senior Refinance Amortization1'!$B$19:$U$379,MATCH(EQ$11,'Senior Refinance Amortization1'!$E$19:$E$379,0),MATCH('Senior Refinance Amortization1'!$N$19,'Senior Refinance Amortization1'!$B$19:$U$19,0))))</f>
        <v>0</v>
      </c>
      <c r="ER126" s="427">
        <f>-IF('Financing Assumptions'!$H$44="No",0,IF(AND('Financing Assumptions'!$H$44="Yes",ER$9&lt;'Financing Assumptions'!$G$47),0,INDEX('Senior Refinance Amortization1'!$B$19:$U$379,MATCH(ER$11,'Senior Refinance Amortization1'!$E$19:$E$379,0),MATCH('Senior Refinance Amortization1'!$N$19,'Senior Refinance Amortization1'!$B$19:$U$19,0))))</f>
        <v>0</v>
      </c>
      <c r="ES126" s="427">
        <f>-IF('Financing Assumptions'!$H$44="No",0,IF(AND('Financing Assumptions'!$H$44="Yes",ES$9&lt;'Financing Assumptions'!$G$47),0,INDEX('Senior Refinance Amortization1'!$B$19:$U$379,MATCH(ES$11,'Senior Refinance Amortization1'!$E$19:$E$379,0),MATCH('Senior Refinance Amortization1'!$N$19,'Senior Refinance Amortization1'!$B$19:$U$19,0))))</f>
        <v>0</v>
      </c>
      <c r="ET126" s="427">
        <f>-IF('Financing Assumptions'!$H$44="No",0,IF(AND('Financing Assumptions'!$H$44="Yes",ET$9&lt;'Financing Assumptions'!$G$47),0,INDEX('Senior Refinance Amortization1'!$B$19:$U$379,MATCH(ET$11,'Senior Refinance Amortization1'!$E$19:$E$379,0),MATCH('Senior Refinance Amortization1'!$N$19,'Senior Refinance Amortization1'!$B$19:$U$19,0))))</f>
        <v>0</v>
      </c>
      <c r="EU126" s="427">
        <f>-IF('Financing Assumptions'!$H$44="No",0,IF(AND('Financing Assumptions'!$H$44="Yes",EU$9&lt;'Financing Assumptions'!$G$47),0,INDEX('Senior Refinance Amortization1'!$B$19:$U$379,MATCH(EU$11,'Senior Refinance Amortization1'!$E$19:$E$379,0),MATCH('Senior Refinance Amortization1'!$N$19,'Senior Refinance Amortization1'!$B$19:$U$19,0))))</f>
        <v>0</v>
      </c>
      <c r="EV126" s="427">
        <f>-IF('Financing Assumptions'!$H$44="No",0,IF(AND('Financing Assumptions'!$H$44="Yes",EV$9&lt;'Financing Assumptions'!$G$47),0,INDEX('Senior Refinance Amortization1'!$B$19:$U$379,MATCH(EV$11,'Senior Refinance Amortization1'!$E$19:$E$379,0),MATCH('Senior Refinance Amortization1'!$N$19,'Senior Refinance Amortization1'!$B$19:$U$19,0))))</f>
        <v>0</v>
      </c>
      <c r="EW126" s="427">
        <f>-IF('Financing Assumptions'!$H$44="No",0,IF(AND('Financing Assumptions'!$H$44="Yes",EW$9&lt;'Financing Assumptions'!$G$47),0,INDEX('Senior Refinance Amortization1'!$B$19:$U$379,MATCH(EW$11,'Senior Refinance Amortization1'!$E$19:$E$379,0),MATCH('Senior Refinance Amortization1'!$N$19,'Senior Refinance Amortization1'!$B$19:$U$19,0))))</f>
        <v>0</v>
      </c>
      <c r="EX126" s="427">
        <f>-IF('Financing Assumptions'!$H$44="No",0,IF(AND('Financing Assumptions'!$H$44="Yes",EX$9&lt;'Financing Assumptions'!$G$47),0,INDEX('Senior Refinance Amortization1'!$B$19:$U$379,MATCH(EX$11,'Senior Refinance Amortization1'!$E$19:$E$379,0),MATCH('Senior Refinance Amortization1'!$N$19,'Senior Refinance Amortization1'!$B$19:$U$19,0))))</f>
        <v>0</v>
      </c>
      <c r="EY126" s="427">
        <f>-IF('Financing Assumptions'!$H$44="No",0,IF(AND('Financing Assumptions'!$H$44="Yes",EY$9&lt;'Financing Assumptions'!$G$47),0,INDEX('Senior Refinance Amortization1'!$B$19:$U$379,MATCH(EY$11,'Senior Refinance Amortization1'!$E$19:$E$379,0),MATCH('Senior Refinance Amortization1'!$N$19,'Senior Refinance Amortization1'!$B$19:$U$19,0))))</f>
        <v>0</v>
      </c>
      <c r="EZ126" s="427">
        <f>-IF('Financing Assumptions'!$H$44="No",0,IF(AND('Financing Assumptions'!$H$44="Yes",EZ$9&lt;'Financing Assumptions'!$G$47),0,INDEX('Senior Refinance Amortization1'!$B$19:$U$379,MATCH(EZ$11,'Senior Refinance Amortization1'!$E$19:$E$379,0),MATCH('Senior Refinance Amortization1'!$N$19,'Senior Refinance Amortization1'!$B$19:$U$19,0))))</f>
        <v>0</v>
      </c>
      <c r="FA126" s="427">
        <f>-IF('Financing Assumptions'!$H$44="No",0,IF(AND('Financing Assumptions'!$H$44="Yes",FA$9&lt;'Financing Assumptions'!$G$47),0,INDEX('Senior Refinance Amortization1'!$B$19:$U$379,MATCH(FA$11,'Senior Refinance Amortization1'!$E$19:$E$379,0),MATCH('Senior Refinance Amortization1'!$N$19,'Senior Refinance Amortization1'!$B$19:$U$19,0))))</f>
        <v>0</v>
      </c>
      <c r="FB126" s="427">
        <f>-IF('Financing Assumptions'!$H$44="No",0,IF(AND('Financing Assumptions'!$H$44="Yes",FB$9&lt;'Financing Assumptions'!$G$47),0,INDEX('Senior Refinance Amortization1'!$B$19:$U$379,MATCH(FB$11,'Senior Refinance Amortization1'!$E$19:$E$379,0),MATCH('Senior Refinance Amortization1'!$N$19,'Senior Refinance Amortization1'!$B$19:$U$19,0))))</f>
        <v>0</v>
      </c>
      <c r="FC126" s="427">
        <f>-IF('Financing Assumptions'!$H$44="No",0,IF(AND('Financing Assumptions'!$H$44="Yes",FC$9&lt;'Financing Assumptions'!$G$47),0,INDEX('Senior Refinance Amortization1'!$B$19:$U$379,MATCH(FC$11,'Senior Refinance Amortization1'!$E$19:$E$379,0),MATCH('Senior Refinance Amortization1'!$N$19,'Senior Refinance Amortization1'!$B$19:$U$19,0))))</f>
        <v>0</v>
      </c>
      <c r="FD126" s="427">
        <f>-IF('Financing Assumptions'!$H$44="No",0,IF(AND('Financing Assumptions'!$H$44="Yes",FD$9&lt;'Financing Assumptions'!$G$47),0,INDEX('Senior Refinance Amortization1'!$B$19:$U$379,MATCH(FD$11,'Senior Refinance Amortization1'!$E$19:$E$379,0),MATCH('Senior Refinance Amortization1'!$N$19,'Senior Refinance Amortization1'!$B$19:$U$19,0))))</f>
        <v>0</v>
      </c>
      <c r="FE126" s="427">
        <f>-IF('Financing Assumptions'!$H$44="No",0,IF(AND('Financing Assumptions'!$H$44="Yes",FE$9&lt;'Financing Assumptions'!$G$47),0,INDEX('Senior Refinance Amortization1'!$B$19:$U$379,MATCH(FE$11,'Senior Refinance Amortization1'!$E$19:$E$379,0),MATCH('Senior Refinance Amortization1'!$N$19,'Senior Refinance Amortization1'!$B$19:$U$19,0))))</f>
        <v>0</v>
      </c>
      <c r="FF126" s="427">
        <f>-IF('Financing Assumptions'!$H$44="No",0,IF(AND('Financing Assumptions'!$H$44="Yes",FF$9&lt;'Financing Assumptions'!$G$47),0,INDEX('Senior Refinance Amortization1'!$B$19:$U$379,MATCH(FF$11,'Senior Refinance Amortization1'!$E$19:$E$379,0),MATCH('Senior Refinance Amortization1'!$N$19,'Senior Refinance Amortization1'!$B$19:$U$19,0))))</f>
        <v>0</v>
      </c>
      <c r="FG126" s="427">
        <f>-IF('Financing Assumptions'!$H$44="No",0,IF(AND('Financing Assumptions'!$H$44="Yes",FG$9&lt;'Financing Assumptions'!$G$47),0,INDEX('Senior Refinance Amortization1'!$B$19:$U$379,MATCH(FG$11,'Senior Refinance Amortization1'!$E$19:$E$379,0),MATCH('Senior Refinance Amortization1'!$N$19,'Senior Refinance Amortization1'!$B$19:$U$19,0))))</f>
        <v>0</v>
      </c>
      <c r="FH126" s="427">
        <f>-IF('Financing Assumptions'!$H$44="No",0,IF(AND('Financing Assumptions'!$H$44="Yes",FH$9&lt;'Financing Assumptions'!$G$47),0,INDEX('Senior Refinance Amortization1'!$B$19:$U$379,MATCH(FH$11,'Senior Refinance Amortization1'!$E$19:$E$379,0),MATCH('Senior Refinance Amortization1'!$N$19,'Senior Refinance Amortization1'!$B$19:$U$19,0))))</f>
        <v>0</v>
      </c>
      <c r="FI126" s="427">
        <f>-IF('Financing Assumptions'!$H$44="No",0,IF(AND('Financing Assumptions'!$H$44="Yes",FI$9&lt;'Financing Assumptions'!$G$47),0,INDEX('Senior Refinance Amortization1'!$B$19:$U$379,MATCH(FI$11,'Senior Refinance Amortization1'!$E$19:$E$379,0),MATCH('Senior Refinance Amortization1'!$N$19,'Senior Refinance Amortization1'!$B$19:$U$19,0))))</f>
        <v>0</v>
      </c>
      <c r="FJ126" s="427">
        <f>-IF('Financing Assumptions'!$H$44="No",0,IF(AND('Financing Assumptions'!$H$44="Yes",FJ$9&lt;'Financing Assumptions'!$G$47),0,INDEX('Senior Refinance Amortization1'!$B$19:$U$379,MATCH(FJ$11,'Senior Refinance Amortization1'!$E$19:$E$379,0),MATCH('Senior Refinance Amortization1'!$N$19,'Senior Refinance Amortization1'!$B$19:$U$19,0))))</f>
        <v>0</v>
      </c>
      <c r="FK126" s="427">
        <f>-IF('Financing Assumptions'!$H$44="No",0,IF(AND('Financing Assumptions'!$H$44="Yes",FK$9&lt;'Financing Assumptions'!$G$47),0,INDEX('Senior Refinance Amortization1'!$B$19:$U$379,MATCH(FK$11,'Senior Refinance Amortization1'!$E$19:$E$379,0),MATCH('Senior Refinance Amortization1'!$N$19,'Senior Refinance Amortization1'!$B$19:$U$19,0))))</f>
        <v>0</v>
      </c>
      <c r="FL126" s="427">
        <f>-IF('Financing Assumptions'!$H$44="No",0,IF(AND('Financing Assumptions'!$H$44="Yes",FL$9&lt;'Financing Assumptions'!$G$47),0,INDEX('Senior Refinance Amortization1'!$B$19:$U$379,MATCH(FL$11,'Senior Refinance Amortization1'!$E$19:$E$379,0),MATCH('Senior Refinance Amortization1'!$N$19,'Senior Refinance Amortization1'!$B$19:$U$19,0))))</f>
        <v>0</v>
      </c>
      <c r="FM126" s="427">
        <f>-IF('Financing Assumptions'!$H$44="No",0,IF(AND('Financing Assumptions'!$H$44="Yes",FM$9&lt;'Financing Assumptions'!$G$47),0,INDEX('Senior Refinance Amortization1'!$B$19:$U$379,MATCH(FM$11,'Senior Refinance Amortization1'!$E$19:$E$379,0),MATCH('Senior Refinance Amortization1'!$N$19,'Senior Refinance Amortization1'!$B$19:$U$19,0))))</f>
        <v>0</v>
      </c>
      <c r="FN126" s="427">
        <f>-IF('Financing Assumptions'!$H$44="No",0,IF(AND('Financing Assumptions'!$H$44="Yes",FN$9&lt;'Financing Assumptions'!$G$47),0,INDEX('Senior Refinance Amortization1'!$B$19:$U$379,MATCH(FN$11,'Senior Refinance Amortization1'!$E$19:$E$379,0),MATCH('Senior Refinance Amortization1'!$N$19,'Senior Refinance Amortization1'!$B$19:$U$19,0))))</f>
        <v>0</v>
      </c>
      <c r="FO126" s="427">
        <f>-IF('Financing Assumptions'!$H$44="No",0,IF(AND('Financing Assumptions'!$H$44="Yes",FO$9&lt;'Financing Assumptions'!$G$47),0,INDEX('Senior Refinance Amortization1'!$B$19:$U$379,MATCH(FO$11,'Senior Refinance Amortization1'!$E$19:$E$379,0),MATCH('Senior Refinance Amortization1'!$N$19,'Senior Refinance Amortization1'!$B$19:$U$19,0))))</f>
        <v>0</v>
      </c>
      <c r="FP126" s="427">
        <f>-IF('Financing Assumptions'!$H$44="No",0,IF(AND('Financing Assumptions'!$H$44="Yes",FP$9&lt;'Financing Assumptions'!$G$47),0,INDEX('Senior Refinance Amortization1'!$B$19:$U$379,MATCH(FP$11,'Senior Refinance Amortization1'!$E$19:$E$379,0),MATCH('Senior Refinance Amortization1'!$N$19,'Senior Refinance Amortization1'!$B$19:$U$19,0))))</f>
        <v>0</v>
      </c>
      <c r="FQ126" s="427">
        <f>-IF('Financing Assumptions'!$H$44="No",0,IF(AND('Financing Assumptions'!$H$44="Yes",FQ$9&lt;'Financing Assumptions'!$G$47),0,INDEX('Senior Refinance Amortization1'!$B$19:$U$379,MATCH(FQ$11,'Senior Refinance Amortization1'!$E$19:$E$379,0),MATCH('Senior Refinance Amortization1'!$N$19,'Senior Refinance Amortization1'!$B$19:$U$19,0))))</f>
        <v>0</v>
      </c>
      <c r="FR126" s="427">
        <f>-IF('Financing Assumptions'!$H$44="No",0,IF(AND('Financing Assumptions'!$H$44="Yes",FR$9&lt;'Financing Assumptions'!$G$47),0,INDEX('Senior Refinance Amortization1'!$B$19:$U$379,MATCH(FR$11,'Senior Refinance Amortization1'!$E$19:$E$379,0),MATCH('Senior Refinance Amortization1'!$N$19,'Senior Refinance Amortization1'!$B$19:$U$19,0))))</f>
        <v>0</v>
      </c>
      <c r="FS126" s="427">
        <f>-IF('Financing Assumptions'!$H$44="No",0,IF(AND('Financing Assumptions'!$H$44="Yes",FS$9&lt;'Financing Assumptions'!$G$47),0,INDEX('Senior Refinance Amortization1'!$B$19:$U$379,MATCH(FS$11,'Senior Refinance Amortization1'!$E$19:$E$379,0),MATCH('Senior Refinance Amortization1'!$N$19,'Senior Refinance Amortization1'!$B$19:$U$19,0))))</f>
        <v>0</v>
      </c>
      <c r="FT126" s="427">
        <f>-IF('Financing Assumptions'!$H$44="No",0,IF(AND('Financing Assumptions'!$H$44="Yes",FT$9&lt;'Financing Assumptions'!$G$47),0,INDEX('Senior Refinance Amortization1'!$B$19:$U$379,MATCH(FT$11,'Senior Refinance Amortization1'!$E$19:$E$379,0),MATCH('Senior Refinance Amortization1'!$N$19,'Senior Refinance Amortization1'!$B$19:$U$19,0))))</f>
        <v>0</v>
      </c>
      <c r="FU126" s="43"/>
      <c r="FV126" s="34"/>
      <c r="FW126" s="34"/>
      <c r="FX126" s="34"/>
      <c r="FY126" s="34"/>
      <c r="FZ126" s="34"/>
    </row>
    <row r="127" spans="1:182" s="89" customFormat="1" ht="13.5" x14ac:dyDescent="0.25">
      <c r="A127" s="34"/>
      <c r="B127" s="142" t="s">
        <v>66</v>
      </c>
      <c r="C127" s="34"/>
      <c r="D127" s="34"/>
      <c r="E127" s="34"/>
      <c r="F127" s="429">
        <f t="shared" si="194"/>
        <v>39724164.164150499</v>
      </c>
      <c r="G127" s="34"/>
      <c r="H127" s="431">
        <f>SUM(H124:H126)</f>
        <v>0</v>
      </c>
      <c r="I127" s="431">
        <f t="shared" ref="I127:BT127" si="195">SUM(I124:I126)</f>
        <v>0</v>
      </c>
      <c r="J127" s="431">
        <f t="shared" si="195"/>
        <v>0</v>
      </c>
      <c r="K127" s="431">
        <f t="shared" si="195"/>
        <v>0</v>
      </c>
      <c r="L127" s="431">
        <f t="shared" si="195"/>
        <v>0</v>
      </c>
      <c r="M127" s="431">
        <f t="shared" si="195"/>
        <v>0</v>
      </c>
      <c r="N127" s="431">
        <f t="shared" si="195"/>
        <v>0</v>
      </c>
      <c r="O127" s="431">
        <f t="shared" si="195"/>
        <v>0</v>
      </c>
      <c r="P127" s="431">
        <f t="shared" si="195"/>
        <v>0</v>
      </c>
      <c r="Q127" s="431">
        <f t="shared" si="195"/>
        <v>0</v>
      </c>
      <c r="R127" s="431">
        <f t="shared" si="195"/>
        <v>0</v>
      </c>
      <c r="S127" s="431">
        <f t="shared" si="195"/>
        <v>0</v>
      </c>
      <c r="T127" s="431">
        <f t="shared" si="195"/>
        <v>0</v>
      </c>
      <c r="U127" s="431">
        <f t="shared" si="195"/>
        <v>0</v>
      </c>
      <c r="V127" s="431">
        <f t="shared" si="195"/>
        <v>0</v>
      </c>
      <c r="W127" s="431">
        <f t="shared" si="195"/>
        <v>0</v>
      </c>
      <c r="X127" s="431">
        <f t="shared" si="195"/>
        <v>0</v>
      </c>
      <c r="Y127" s="431">
        <f t="shared" si="195"/>
        <v>0</v>
      </c>
      <c r="Z127" s="431">
        <f t="shared" si="195"/>
        <v>0</v>
      </c>
      <c r="AA127" s="431">
        <f t="shared" si="195"/>
        <v>0</v>
      </c>
      <c r="AB127" s="431">
        <f t="shared" si="195"/>
        <v>0</v>
      </c>
      <c r="AC127" s="431">
        <f t="shared" si="195"/>
        <v>0</v>
      </c>
      <c r="AD127" s="431">
        <f t="shared" si="195"/>
        <v>0</v>
      </c>
      <c r="AE127" s="431">
        <f t="shared" si="195"/>
        <v>0</v>
      </c>
      <c r="AF127" s="431">
        <f t="shared" si="195"/>
        <v>0</v>
      </c>
      <c r="AG127" s="431">
        <f t="shared" si="195"/>
        <v>0</v>
      </c>
      <c r="AH127" s="431">
        <f t="shared" si="195"/>
        <v>0</v>
      </c>
      <c r="AI127" s="431">
        <f t="shared" si="195"/>
        <v>0</v>
      </c>
      <c r="AJ127" s="431">
        <f t="shared" si="195"/>
        <v>0</v>
      </c>
      <c r="AK127" s="431">
        <f t="shared" si="195"/>
        <v>235653.12499999997</v>
      </c>
      <c r="AL127" s="431">
        <f t="shared" si="195"/>
        <v>235653.12499999997</v>
      </c>
      <c r="AM127" s="431">
        <f t="shared" si="195"/>
        <v>235653.12499999997</v>
      </c>
      <c r="AN127" s="431">
        <f t="shared" si="195"/>
        <v>235653.12499999997</v>
      </c>
      <c r="AO127" s="431">
        <f t="shared" si="195"/>
        <v>235653.12499999997</v>
      </c>
      <c r="AP127" s="431">
        <f t="shared" si="195"/>
        <v>235653.12499999997</v>
      </c>
      <c r="AQ127" s="431">
        <f t="shared" si="195"/>
        <v>235653.12499999997</v>
      </c>
      <c r="AR127" s="431">
        <f t="shared" si="195"/>
        <v>235653.12499999997</v>
      </c>
      <c r="AS127" s="431">
        <f t="shared" si="195"/>
        <v>235653.12499999997</v>
      </c>
      <c r="AT127" s="431">
        <f t="shared" si="195"/>
        <v>235653.12499999997</v>
      </c>
      <c r="AU127" s="431">
        <f t="shared" si="195"/>
        <v>235653.12499999997</v>
      </c>
      <c r="AV127" s="431">
        <f t="shared" si="195"/>
        <v>235653.12499999997</v>
      </c>
      <c r="AW127" s="431">
        <f t="shared" si="195"/>
        <v>235653.12499999997</v>
      </c>
      <c r="AX127" s="431">
        <f t="shared" si="195"/>
        <v>235653.12499999997</v>
      </c>
      <c r="AY127" s="431">
        <f t="shared" si="195"/>
        <v>235653.12499999997</v>
      </c>
      <c r="AZ127" s="431">
        <f t="shared" si="195"/>
        <v>235653.12499999997</v>
      </c>
      <c r="BA127" s="431">
        <f t="shared" si="195"/>
        <v>235653.12499999997</v>
      </c>
      <c r="BB127" s="431">
        <f t="shared" si="195"/>
        <v>235653.12499999997</v>
      </c>
      <c r="BC127" s="431">
        <f t="shared" si="195"/>
        <v>235653.12499999997</v>
      </c>
      <c r="BD127" s="431">
        <f t="shared" si="195"/>
        <v>235653.12499999997</v>
      </c>
      <c r="BE127" s="431">
        <f t="shared" si="195"/>
        <v>235653.12499999997</v>
      </c>
      <c r="BF127" s="431">
        <f t="shared" si="195"/>
        <v>235653.12499999997</v>
      </c>
      <c r="BG127" s="431">
        <f t="shared" si="195"/>
        <v>235653.12499999997</v>
      </c>
      <c r="BH127" s="431">
        <f t="shared" si="195"/>
        <v>235653.12499999997</v>
      </c>
      <c r="BI127" s="431">
        <f t="shared" si="195"/>
        <v>235653.12499999997</v>
      </c>
      <c r="BJ127" s="431">
        <f t="shared" si="195"/>
        <v>235653.12499999997</v>
      </c>
      <c r="BK127" s="431">
        <f t="shared" si="195"/>
        <v>235653.12499999997</v>
      </c>
      <c r="BL127" s="431">
        <f t="shared" si="195"/>
        <v>235653.12499999997</v>
      </c>
      <c r="BM127" s="431">
        <f t="shared" si="195"/>
        <v>235653.12499999997</v>
      </c>
      <c r="BN127" s="431">
        <f t="shared" si="195"/>
        <v>235653.12499999997</v>
      </c>
      <c r="BO127" s="431">
        <f t="shared" si="195"/>
        <v>235653.12499999997</v>
      </c>
      <c r="BP127" s="431">
        <f t="shared" si="195"/>
        <v>235653.12499999997</v>
      </c>
      <c r="BQ127" s="431">
        <f t="shared" si="195"/>
        <v>235653.12499999997</v>
      </c>
      <c r="BR127" s="431">
        <f t="shared" si="195"/>
        <v>235653.12499999997</v>
      </c>
      <c r="BS127" s="431">
        <f t="shared" si="195"/>
        <v>235653.12499999997</v>
      </c>
      <c r="BT127" s="431">
        <f t="shared" si="195"/>
        <v>235653.12499999997</v>
      </c>
      <c r="BU127" s="431">
        <f t="shared" ref="BU127:EF127" si="196">SUM(BU124:BU126)</f>
        <v>235653.12499999997</v>
      </c>
      <c r="BV127" s="431">
        <f t="shared" si="196"/>
        <v>235653.12499999997</v>
      </c>
      <c r="BW127" s="431">
        <f t="shared" si="196"/>
        <v>235653.12499999997</v>
      </c>
      <c r="BX127" s="431">
        <f t="shared" si="196"/>
        <v>235653.12499999997</v>
      </c>
      <c r="BY127" s="431">
        <f t="shared" si="196"/>
        <v>235653.12499999997</v>
      </c>
      <c r="BZ127" s="431">
        <f t="shared" si="196"/>
        <v>235653.12499999997</v>
      </c>
      <c r="CA127" s="431">
        <f t="shared" si="196"/>
        <v>235653.12499999997</v>
      </c>
      <c r="CB127" s="431">
        <f t="shared" si="196"/>
        <v>235653.12499999997</v>
      </c>
      <c r="CC127" s="431">
        <f t="shared" si="196"/>
        <v>235653.12499999997</v>
      </c>
      <c r="CD127" s="431">
        <f t="shared" si="196"/>
        <v>235653.12499999997</v>
      </c>
      <c r="CE127" s="431">
        <f t="shared" si="196"/>
        <v>307277.87674628111</v>
      </c>
      <c r="CF127" s="431">
        <f t="shared" si="196"/>
        <v>307277.87674628111</v>
      </c>
      <c r="CG127" s="431">
        <f t="shared" si="196"/>
        <v>307277.87674628111</v>
      </c>
      <c r="CH127" s="431">
        <f t="shared" si="196"/>
        <v>307277.87674628111</v>
      </c>
      <c r="CI127" s="431">
        <f t="shared" si="196"/>
        <v>307277.87674628111</v>
      </c>
      <c r="CJ127" s="431">
        <f t="shared" si="196"/>
        <v>307277.87674628111</v>
      </c>
      <c r="CK127" s="431">
        <f t="shared" si="196"/>
        <v>307277.87674628111</v>
      </c>
      <c r="CL127" s="431">
        <f t="shared" si="196"/>
        <v>307277.87674628111</v>
      </c>
      <c r="CM127" s="431">
        <f t="shared" si="196"/>
        <v>307277.87674628111</v>
      </c>
      <c r="CN127" s="431">
        <f t="shared" si="196"/>
        <v>307277.87674628111</v>
      </c>
      <c r="CO127" s="431">
        <f t="shared" si="196"/>
        <v>307277.87674628111</v>
      </c>
      <c r="CP127" s="431">
        <f t="shared" si="196"/>
        <v>307277.87674628111</v>
      </c>
      <c r="CQ127" s="431">
        <f t="shared" si="196"/>
        <v>307277.87674628111</v>
      </c>
      <c r="CR127" s="431">
        <f t="shared" si="196"/>
        <v>307277.87674628111</v>
      </c>
      <c r="CS127" s="431">
        <f t="shared" si="196"/>
        <v>307277.87674628111</v>
      </c>
      <c r="CT127" s="431">
        <f t="shared" si="196"/>
        <v>307277.87674628111</v>
      </c>
      <c r="CU127" s="431">
        <f t="shared" si="196"/>
        <v>307277.87674628111</v>
      </c>
      <c r="CV127" s="431">
        <f t="shared" si="196"/>
        <v>307277.87674628111</v>
      </c>
      <c r="CW127" s="431">
        <f t="shared" si="196"/>
        <v>307277.87674628111</v>
      </c>
      <c r="CX127" s="431">
        <f t="shared" si="196"/>
        <v>307277.87674628111</v>
      </c>
      <c r="CY127" s="431">
        <f t="shared" si="196"/>
        <v>307277.87674628111</v>
      </c>
      <c r="CZ127" s="431">
        <f t="shared" si="196"/>
        <v>307277.87674628111</v>
      </c>
      <c r="DA127" s="431">
        <f t="shared" si="196"/>
        <v>307277.87674628111</v>
      </c>
      <c r="DB127" s="431">
        <f t="shared" si="196"/>
        <v>307277.87674628111</v>
      </c>
      <c r="DC127" s="431">
        <f t="shared" si="196"/>
        <v>307277.87674628111</v>
      </c>
      <c r="DD127" s="431">
        <f t="shared" si="196"/>
        <v>307277.87674628111</v>
      </c>
      <c r="DE127" s="431">
        <f t="shared" si="196"/>
        <v>307277.87674628111</v>
      </c>
      <c r="DF127" s="431">
        <f t="shared" si="196"/>
        <v>307277.87674628111</v>
      </c>
      <c r="DG127" s="431">
        <f t="shared" si="196"/>
        <v>307277.87674628111</v>
      </c>
      <c r="DH127" s="431">
        <f t="shared" si="196"/>
        <v>307277.87674628111</v>
      </c>
      <c r="DI127" s="431">
        <f t="shared" si="196"/>
        <v>307277.87674628111</v>
      </c>
      <c r="DJ127" s="431">
        <f t="shared" si="196"/>
        <v>307277.87674628111</v>
      </c>
      <c r="DK127" s="431">
        <f t="shared" si="196"/>
        <v>307277.87674628111</v>
      </c>
      <c r="DL127" s="431">
        <f t="shared" si="196"/>
        <v>307277.87674628111</v>
      </c>
      <c r="DM127" s="431">
        <f t="shared" si="196"/>
        <v>307277.87674628111</v>
      </c>
      <c r="DN127" s="431">
        <f t="shared" si="196"/>
        <v>307277.87674628111</v>
      </c>
      <c r="DO127" s="431">
        <f t="shared" si="196"/>
        <v>307277.87674628111</v>
      </c>
      <c r="DP127" s="431">
        <f t="shared" si="196"/>
        <v>307277.87674628111</v>
      </c>
      <c r="DQ127" s="431">
        <f t="shared" si="196"/>
        <v>307277.87674628111</v>
      </c>
      <c r="DR127" s="431">
        <f t="shared" si="196"/>
        <v>307277.87674628111</v>
      </c>
      <c r="DS127" s="431">
        <f t="shared" si="196"/>
        <v>307277.87674628111</v>
      </c>
      <c r="DT127" s="431">
        <f t="shared" si="196"/>
        <v>307277.87674628111</v>
      </c>
      <c r="DU127" s="431">
        <f t="shared" si="196"/>
        <v>307277.87674628111</v>
      </c>
      <c r="DV127" s="431">
        <f t="shared" si="196"/>
        <v>307277.87674628111</v>
      </c>
      <c r="DW127" s="431">
        <f t="shared" si="196"/>
        <v>307277.87674628111</v>
      </c>
      <c r="DX127" s="431">
        <f t="shared" si="196"/>
        <v>307277.87674628111</v>
      </c>
      <c r="DY127" s="431">
        <f t="shared" si="196"/>
        <v>307277.87674628111</v>
      </c>
      <c r="DZ127" s="431">
        <f t="shared" si="196"/>
        <v>307277.87674628111</v>
      </c>
      <c r="EA127" s="431">
        <f t="shared" si="196"/>
        <v>307277.87674628111</v>
      </c>
      <c r="EB127" s="431">
        <f t="shared" si="196"/>
        <v>307277.87674628111</v>
      </c>
      <c r="EC127" s="431">
        <f t="shared" si="196"/>
        <v>307277.87674628111</v>
      </c>
      <c r="ED127" s="431">
        <f t="shared" si="196"/>
        <v>307277.87674628111</v>
      </c>
      <c r="EE127" s="431">
        <f t="shared" si="196"/>
        <v>307277.87674628111</v>
      </c>
      <c r="EF127" s="431">
        <f t="shared" si="196"/>
        <v>307277.87674628111</v>
      </c>
      <c r="EG127" s="431">
        <f t="shared" ref="EG127:FT127" si="197">SUM(EG124:EG126)</f>
        <v>307277.87674628111</v>
      </c>
      <c r="EH127" s="431">
        <f t="shared" si="197"/>
        <v>307277.87674628111</v>
      </c>
      <c r="EI127" s="431">
        <f t="shared" si="197"/>
        <v>307277.87674628111</v>
      </c>
      <c r="EJ127" s="431">
        <f t="shared" si="197"/>
        <v>307277.87674628111</v>
      </c>
      <c r="EK127" s="431">
        <f t="shared" si="197"/>
        <v>307277.87674628111</v>
      </c>
      <c r="EL127" s="431">
        <f t="shared" si="197"/>
        <v>307277.87674628111</v>
      </c>
      <c r="EM127" s="431">
        <f t="shared" si="197"/>
        <v>307277.87674628111</v>
      </c>
      <c r="EN127" s="431">
        <f t="shared" si="197"/>
        <v>307277.87674628111</v>
      </c>
      <c r="EO127" s="431">
        <f t="shared" si="197"/>
        <v>307277.87674628111</v>
      </c>
      <c r="EP127" s="431">
        <f t="shared" si="197"/>
        <v>307277.87674628111</v>
      </c>
      <c r="EQ127" s="431">
        <f t="shared" si="197"/>
        <v>307277.87674628111</v>
      </c>
      <c r="ER127" s="431">
        <f t="shared" si="197"/>
        <v>307277.87674628111</v>
      </c>
      <c r="ES127" s="431">
        <f t="shared" si="197"/>
        <v>307277.87674628111</v>
      </c>
      <c r="ET127" s="431">
        <f t="shared" si="197"/>
        <v>307277.87674628111</v>
      </c>
      <c r="EU127" s="431">
        <f t="shared" si="197"/>
        <v>307277.87674628111</v>
      </c>
      <c r="EV127" s="431">
        <f t="shared" si="197"/>
        <v>307277.87674628111</v>
      </c>
      <c r="EW127" s="431">
        <f t="shared" si="197"/>
        <v>307277.87674628111</v>
      </c>
      <c r="EX127" s="431">
        <f t="shared" si="197"/>
        <v>307277.87674628111</v>
      </c>
      <c r="EY127" s="431">
        <f t="shared" si="197"/>
        <v>307277.87674628111</v>
      </c>
      <c r="EZ127" s="431">
        <f t="shared" si="197"/>
        <v>307277.87674628111</v>
      </c>
      <c r="FA127" s="431">
        <f t="shared" si="197"/>
        <v>307277.87674628111</v>
      </c>
      <c r="FB127" s="431">
        <f t="shared" si="197"/>
        <v>307277.87674628111</v>
      </c>
      <c r="FC127" s="431">
        <f t="shared" si="197"/>
        <v>307277.87674628111</v>
      </c>
      <c r="FD127" s="431">
        <f t="shared" si="197"/>
        <v>307277.87674628111</v>
      </c>
      <c r="FE127" s="431">
        <f t="shared" si="197"/>
        <v>307277.87674628111</v>
      </c>
      <c r="FF127" s="431">
        <f t="shared" si="197"/>
        <v>307277.87674628111</v>
      </c>
      <c r="FG127" s="431">
        <f t="shared" si="197"/>
        <v>307277.87674628111</v>
      </c>
      <c r="FH127" s="431">
        <f t="shared" si="197"/>
        <v>307277.87674628111</v>
      </c>
      <c r="FI127" s="431">
        <f t="shared" si="197"/>
        <v>307277.87674628111</v>
      </c>
      <c r="FJ127" s="431">
        <f t="shared" si="197"/>
        <v>307277.87674628111</v>
      </c>
      <c r="FK127" s="431">
        <f t="shared" si="197"/>
        <v>307277.87674628111</v>
      </c>
      <c r="FL127" s="431">
        <f t="shared" si="197"/>
        <v>307277.87674628111</v>
      </c>
      <c r="FM127" s="431">
        <f t="shared" si="197"/>
        <v>307277.87674628111</v>
      </c>
      <c r="FN127" s="431">
        <f t="shared" si="197"/>
        <v>307277.87674628111</v>
      </c>
      <c r="FO127" s="431">
        <f t="shared" si="197"/>
        <v>307277.87674628111</v>
      </c>
      <c r="FP127" s="431">
        <f t="shared" si="197"/>
        <v>307277.87674628111</v>
      </c>
      <c r="FQ127" s="431">
        <f t="shared" si="197"/>
        <v>307277.87674628111</v>
      </c>
      <c r="FR127" s="431">
        <f t="shared" si="197"/>
        <v>307277.87674628111</v>
      </c>
      <c r="FS127" s="431">
        <f t="shared" si="197"/>
        <v>307277.87674628111</v>
      </c>
      <c r="FT127" s="431">
        <f t="shared" si="197"/>
        <v>307277.87674628111</v>
      </c>
      <c r="FU127" s="43"/>
      <c r="FV127" s="34"/>
      <c r="FW127" s="34"/>
      <c r="FX127" s="34"/>
      <c r="FY127" s="34"/>
      <c r="FZ127" s="34"/>
    </row>
    <row r="128" spans="1:182" s="89" customFormat="1" ht="13.5" outlineLevel="1" x14ac:dyDescent="0.25">
      <c r="A128" s="34"/>
      <c r="B128" s="142"/>
      <c r="C128" s="34"/>
      <c r="D128" s="34"/>
      <c r="E128" s="34"/>
      <c r="F128" s="428"/>
      <c r="G128" s="34"/>
      <c r="H128" s="800"/>
      <c r="I128" s="800"/>
      <c r="J128" s="800"/>
      <c r="K128" s="800"/>
      <c r="L128" s="800"/>
      <c r="M128" s="800"/>
      <c r="N128" s="800"/>
      <c r="O128" s="800"/>
      <c r="P128" s="800"/>
      <c r="Q128" s="800"/>
      <c r="R128" s="800"/>
      <c r="S128" s="800"/>
      <c r="T128" s="800"/>
      <c r="U128" s="800"/>
      <c r="V128" s="800"/>
      <c r="W128" s="800"/>
      <c r="X128" s="800"/>
      <c r="Y128" s="800"/>
      <c r="Z128" s="800"/>
      <c r="AA128" s="800"/>
      <c r="AB128" s="800"/>
      <c r="AC128" s="800"/>
      <c r="AD128" s="800"/>
      <c r="AE128" s="800"/>
      <c r="AF128" s="800"/>
      <c r="AG128" s="800"/>
      <c r="AH128" s="800"/>
      <c r="AI128" s="800"/>
      <c r="AJ128" s="800"/>
      <c r="AK128" s="800"/>
      <c r="AL128" s="800"/>
      <c r="AM128" s="800"/>
      <c r="AN128" s="800"/>
      <c r="AO128" s="800"/>
      <c r="AP128" s="800"/>
      <c r="AQ128" s="800"/>
      <c r="AR128" s="800"/>
      <c r="AS128" s="800"/>
      <c r="AT128" s="800"/>
      <c r="AU128" s="800"/>
      <c r="AV128" s="800"/>
      <c r="AW128" s="800"/>
      <c r="AX128" s="800"/>
      <c r="AY128" s="800"/>
      <c r="AZ128" s="800"/>
      <c r="BA128" s="800"/>
      <c r="BB128" s="800"/>
      <c r="BC128" s="800"/>
      <c r="BD128" s="800"/>
      <c r="BE128" s="800"/>
      <c r="BF128" s="800"/>
      <c r="BG128" s="800"/>
      <c r="BH128" s="800"/>
      <c r="BI128" s="800"/>
      <c r="BJ128" s="800"/>
      <c r="BK128" s="800"/>
      <c r="BL128" s="800"/>
      <c r="BM128" s="800"/>
      <c r="BN128" s="800"/>
      <c r="BO128" s="800"/>
      <c r="BP128" s="800"/>
      <c r="BQ128" s="800"/>
      <c r="BR128" s="800"/>
      <c r="BS128" s="800"/>
      <c r="BT128" s="800"/>
      <c r="BU128" s="800"/>
      <c r="BV128" s="800"/>
      <c r="BW128" s="800"/>
      <c r="BX128" s="800"/>
      <c r="BY128" s="800"/>
      <c r="BZ128" s="800"/>
      <c r="CA128" s="800"/>
      <c r="CB128" s="800"/>
      <c r="CC128" s="800"/>
      <c r="CD128" s="800"/>
      <c r="CE128" s="800"/>
      <c r="CF128" s="800"/>
      <c r="CG128" s="800"/>
      <c r="CH128" s="800"/>
      <c r="CI128" s="800"/>
      <c r="CJ128" s="800"/>
      <c r="CK128" s="800"/>
      <c r="CL128" s="800"/>
      <c r="CM128" s="800"/>
      <c r="CN128" s="800"/>
      <c r="CO128" s="800"/>
      <c r="CP128" s="800"/>
      <c r="CQ128" s="800"/>
      <c r="CR128" s="800"/>
      <c r="CS128" s="800"/>
      <c r="CT128" s="800"/>
      <c r="CU128" s="800"/>
      <c r="CV128" s="800"/>
      <c r="CW128" s="800"/>
      <c r="CX128" s="800"/>
      <c r="CY128" s="800"/>
      <c r="CZ128" s="800"/>
      <c r="DA128" s="800"/>
      <c r="DB128" s="800"/>
      <c r="DC128" s="800"/>
      <c r="DD128" s="800"/>
      <c r="DE128" s="800"/>
      <c r="DF128" s="800"/>
      <c r="DG128" s="800"/>
      <c r="DH128" s="800"/>
      <c r="DI128" s="800"/>
      <c r="DJ128" s="800"/>
      <c r="DK128" s="800"/>
      <c r="DL128" s="800"/>
      <c r="DM128" s="800"/>
      <c r="DN128" s="800"/>
      <c r="DO128" s="800"/>
      <c r="DP128" s="800"/>
      <c r="DQ128" s="800"/>
      <c r="DR128" s="800"/>
      <c r="DS128" s="800"/>
      <c r="DT128" s="800"/>
      <c r="DU128" s="800"/>
      <c r="DV128" s="800"/>
      <c r="DW128" s="800"/>
      <c r="DX128" s="800"/>
      <c r="DY128" s="800"/>
      <c r="DZ128" s="800"/>
      <c r="EA128" s="800"/>
      <c r="EB128" s="800"/>
      <c r="EC128" s="800"/>
      <c r="ED128" s="800"/>
      <c r="EE128" s="800"/>
      <c r="EF128" s="800"/>
      <c r="EG128" s="800"/>
      <c r="EH128" s="800"/>
      <c r="EI128" s="800"/>
      <c r="EJ128" s="800"/>
      <c r="EK128" s="800"/>
      <c r="EL128" s="800"/>
      <c r="EM128" s="800"/>
      <c r="EN128" s="800"/>
      <c r="EO128" s="800"/>
      <c r="EP128" s="800"/>
      <c r="EQ128" s="800"/>
      <c r="ER128" s="800"/>
      <c r="ES128" s="800"/>
      <c r="ET128" s="800"/>
      <c r="EU128" s="800"/>
      <c r="EV128" s="800"/>
      <c r="EW128" s="800"/>
      <c r="EX128" s="800"/>
      <c r="EY128" s="800"/>
      <c r="EZ128" s="800"/>
      <c r="FA128" s="800"/>
      <c r="FB128" s="800"/>
      <c r="FC128" s="800"/>
      <c r="FD128" s="800"/>
      <c r="FE128" s="800"/>
      <c r="FF128" s="800"/>
      <c r="FG128" s="800"/>
      <c r="FH128" s="800"/>
      <c r="FI128" s="800"/>
      <c r="FJ128" s="800"/>
      <c r="FK128" s="800"/>
      <c r="FL128" s="800"/>
      <c r="FM128" s="800"/>
      <c r="FN128" s="800"/>
      <c r="FO128" s="800"/>
      <c r="FP128" s="800"/>
      <c r="FQ128" s="800"/>
      <c r="FR128" s="800"/>
      <c r="FS128" s="800"/>
      <c r="FT128" s="800"/>
      <c r="FU128" s="43"/>
      <c r="FV128" s="34"/>
      <c r="FW128" s="34"/>
      <c r="FX128" s="34"/>
      <c r="FY128" s="34"/>
      <c r="FZ128" s="34"/>
    </row>
    <row r="129" spans="1:182" s="89" customFormat="1" ht="13.5" outlineLevel="1" x14ac:dyDescent="0.25">
      <c r="A129" s="34"/>
      <c r="B129" s="1216" t="s">
        <v>649</v>
      </c>
      <c r="C129" s="34"/>
      <c r="D129" s="34"/>
      <c r="E129" s="34"/>
      <c r="F129" s="428"/>
      <c r="G129" s="34"/>
      <c r="H129" s="1270">
        <f>H$11</f>
        <v>46053</v>
      </c>
      <c r="I129" s="1270">
        <f t="shared" ref="I129:BT129" si="198">I11</f>
        <v>46081</v>
      </c>
      <c r="J129" s="1270">
        <f t="shared" si="198"/>
        <v>46112</v>
      </c>
      <c r="K129" s="1270">
        <f t="shared" si="198"/>
        <v>46142</v>
      </c>
      <c r="L129" s="1270">
        <f t="shared" si="198"/>
        <v>46173</v>
      </c>
      <c r="M129" s="1270">
        <f t="shared" si="198"/>
        <v>46203</v>
      </c>
      <c r="N129" s="1270">
        <f t="shared" si="198"/>
        <v>46234</v>
      </c>
      <c r="O129" s="1270">
        <f t="shared" si="198"/>
        <v>46265</v>
      </c>
      <c r="P129" s="1270">
        <f t="shared" si="198"/>
        <v>46295</v>
      </c>
      <c r="Q129" s="1270">
        <f t="shared" si="198"/>
        <v>46326</v>
      </c>
      <c r="R129" s="1270">
        <f t="shared" si="198"/>
        <v>46356</v>
      </c>
      <c r="S129" s="1270">
        <f t="shared" si="198"/>
        <v>46387</v>
      </c>
      <c r="T129" s="1270">
        <f t="shared" si="198"/>
        <v>46418</v>
      </c>
      <c r="U129" s="1270">
        <f t="shared" si="198"/>
        <v>46446</v>
      </c>
      <c r="V129" s="1270">
        <f t="shared" si="198"/>
        <v>46477</v>
      </c>
      <c r="W129" s="1270">
        <f t="shared" si="198"/>
        <v>46507</v>
      </c>
      <c r="X129" s="1270">
        <f t="shared" si="198"/>
        <v>46538</v>
      </c>
      <c r="Y129" s="1270">
        <f t="shared" si="198"/>
        <v>46568</v>
      </c>
      <c r="Z129" s="1270">
        <f t="shared" si="198"/>
        <v>46599</v>
      </c>
      <c r="AA129" s="1270">
        <f t="shared" si="198"/>
        <v>46630</v>
      </c>
      <c r="AB129" s="1270">
        <f t="shared" si="198"/>
        <v>46660</v>
      </c>
      <c r="AC129" s="1270">
        <f t="shared" si="198"/>
        <v>46691</v>
      </c>
      <c r="AD129" s="1270">
        <f t="shared" si="198"/>
        <v>46721</v>
      </c>
      <c r="AE129" s="1270">
        <f t="shared" si="198"/>
        <v>46752</v>
      </c>
      <c r="AF129" s="1270">
        <f t="shared" si="198"/>
        <v>46783</v>
      </c>
      <c r="AG129" s="1270">
        <f t="shared" si="198"/>
        <v>46812</v>
      </c>
      <c r="AH129" s="1270">
        <f t="shared" si="198"/>
        <v>46843</v>
      </c>
      <c r="AI129" s="1270">
        <f t="shared" si="198"/>
        <v>46873</v>
      </c>
      <c r="AJ129" s="1270">
        <f t="shared" si="198"/>
        <v>46904</v>
      </c>
      <c r="AK129" s="1270">
        <f t="shared" si="198"/>
        <v>46934</v>
      </c>
      <c r="AL129" s="1270">
        <f t="shared" si="198"/>
        <v>46965</v>
      </c>
      <c r="AM129" s="1270">
        <f t="shared" si="198"/>
        <v>46996</v>
      </c>
      <c r="AN129" s="1270">
        <f t="shared" si="198"/>
        <v>47026</v>
      </c>
      <c r="AO129" s="1270">
        <f t="shared" si="198"/>
        <v>47057</v>
      </c>
      <c r="AP129" s="1270">
        <f t="shared" si="198"/>
        <v>47087</v>
      </c>
      <c r="AQ129" s="1270">
        <f t="shared" si="198"/>
        <v>47118</v>
      </c>
      <c r="AR129" s="1270">
        <f t="shared" si="198"/>
        <v>47149</v>
      </c>
      <c r="AS129" s="1270">
        <f t="shared" si="198"/>
        <v>47177</v>
      </c>
      <c r="AT129" s="1270">
        <f t="shared" si="198"/>
        <v>47208</v>
      </c>
      <c r="AU129" s="1270">
        <f t="shared" si="198"/>
        <v>47238</v>
      </c>
      <c r="AV129" s="1270">
        <f t="shared" si="198"/>
        <v>47269</v>
      </c>
      <c r="AW129" s="1270">
        <f t="shared" si="198"/>
        <v>47299</v>
      </c>
      <c r="AX129" s="1270">
        <f t="shared" si="198"/>
        <v>47330</v>
      </c>
      <c r="AY129" s="1270">
        <f t="shared" si="198"/>
        <v>47361</v>
      </c>
      <c r="AZ129" s="1270">
        <f t="shared" si="198"/>
        <v>47391</v>
      </c>
      <c r="BA129" s="1270">
        <f t="shared" si="198"/>
        <v>47422</v>
      </c>
      <c r="BB129" s="1270">
        <f t="shared" si="198"/>
        <v>47452</v>
      </c>
      <c r="BC129" s="1270">
        <f t="shared" si="198"/>
        <v>47483</v>
      </c>
      <c r="BD129" s="1270">
        <f t="shared" si="198"/>
        <v>47514</v>
      </c>
      <c r="BE129" s="1270">
        <f t="shared" si="198"/>
        <v>47542</v>
      </c>
      <c r="BF129" s="1270">
        <f t="shared" si="198"/>
        <v>47573</v>
      </c>
      <c r="BG129" s="1270">
        <f t="shared" si="198"/>
        <v>47603</v>
      </c>
      <c r="BH129" s="1270">
        <f t="shared" si="198"/>
        <v>47634</v>
      </c>
      <c r="BI129" s="1270">
        <f t="shared" si="198"/>
        <v>47664</v>
      </c>
      <c r="BJ129" s="1270">
        <f t="shared" si="198"/>
        <v>47695</v>
      </c>
      <c r="BK129" s="1270">
        <f t="shared" si="198"/>
        <v>47726</v>
      </c>
      <c r="BL129" s="1270">
        <f t="shared" si="198"/>
        <v>47756</v>
      </c>
      <c r="BM129" s="1270">
        <f t="shared" si="198"/>
        <v>47787</v>
      </c>
      <c r="BN129" s="1270">
        <f t="shared" si="198"/>
        <v>47817</v>
      </c>
      <c r="BO129" s="1270">
        <f t="shared" si="198"/>
        <v>47848</v>
      </c>
      <c r="BP129" s="1270">
        <f t="shared" si="198"/>
        <v>47879</v>
      </c>
      <c r="BQ129" s="1270">
        <f t="shared" si="198"/>
        <v>47907</v>
      </c>
      <c r="BR129" s="1270">
        <f t="shared" si="198"/>
        <v>47938</v>
      </c>
      <c r="BS129" s="1270">
        <f t="shared" si="198"/>
        <v>47968</v>
      </c>
      <c r="BT129" s="1270">
        <f t="shared" si="198"/>
        <v>47999</v>
      </c>
      <c r="BU129" s="1270">
        <f t="shared" ref="BU129:EF129" si="199">BU11</f>
        <v>48029</v>
      </c>
      <c r="BV129" s="1270">
        <f t="shared" si="199"/>
        <v>48060</v>
      </c>
      <c r="BW129" s="1270">
        <f t="shared" si="199"/>
        <v>48091</v>
      </c>
      <c r="BX129" s="1270">
        <f t="shared" si="199"/>
        <v>48121</v>
      </c>
      <c r="BY129" s="1270">
        <f t="shared" si="199"/>
        <v>48152</v>
      </c>
      <c r="BZ129" s="1270">
        <f t="shared" si="199"/>
        <v>48182</v>
      </c>
      <c r="CA129" s="1270">
        <f t="shared" si="199"/>
        <v>48213</v>
      </c>
      <c r="CB129" s="1270">
        <f t="shared" si="199"/>
        <v>48244</v>
      </c>
      <c r="CC129" s="1270">
        <f t="shared" si="199"/>
        <v>48273</v>
      </c>
      <c r="CD129" s="1270">
        <f t="shared" si="199"/>
        <v>48304</v>
      </c>
      <c r="CE129" s="1270">
        <f t="shared" si="199"/>
        <v>48334</v>
      </c>
      <c r="CF129" s="1270">
        <f t="shared" si="199"/>
        <v>48365</v>
      </c>
      <c r="CG129" s="1270">
        <f t="shared" si="199"/>
        <v>48395</v>
      </c>
      <c r="CH129" s="1270">
        <f t="shared" si="199"/>
        <v>48426</v>
      </c>
      <c r="CI129" s="1270">
        <f t="shared" si="199"/>
        <v>48457</v>
      </c>
      <c r="CJ129" s="1270">
        <f t="shared" si="199"/>
        <v>48487</v>
      </c>
      <c r="CK129" s="1270">
        <f t="shared" si="199"/>
        <v>48518</v>
      </c>
      <c r="CL129" s="1270">
        <f t="shared" si="199"/>
        <v>48548</v>
      </c>
      <c r="CM129" s="1270">
        <f t="shared" si="199"/>
        <v>48579</v>
      </c>
      <c r="CN129" s="1270">
        <f t="shared" si="199"/>
        <v>48610</v>
      </c>
      <c r="CO129" s="1270">
        <f t="shared" si="199"/>
        <v>48638</v>
      </c>
      <c r="CP129" s="1270">
        <f t="shared" si="199"/>
        <v>48669</v>
      </c>
      <c r="CQ129" s="1270">
        <f t="shared" si="199"/>
        <v>48699</v>
      </c>
      <c r="CR129" s="1270">
        <f t="shared" si="199"/>
        <v>48730</v>
      </c>
      <c r="CS129" s="1270">
        <f t="shared" si="199"/>
        <v>48760</v>
      </c>
      <c r="CT129" s="1270">
        <f t="shared" si="199"/>
        <v>48791</v>
      </c>
      <c r="CU129" s="1270">
        <f t="shared" si="199"/>
        <v>48822</v>
      </c>
      <c r="CV129" s="1270">
        <f t="shared" si="199"/>
        <v>48852</v>
      </c>
      <c r="CW129" s="1270">
        <f t="shared" si="199"/>
        <v>48883</v>
      </c>
      <c r="CX129" s="1270">
        <f t="shared" si="199"/>
        <v>48913</v>
      </c>
      <c r="CY129" s="1270">
        <f t="shared" si="199"/>
        <v>48944</v>
      </c>
      <c r="CZ129" s="1270">
        <f t="shared" si="199"/>
        <v>48975</v>
      </c>
      <c r="DA129" s="1270">
        <f t="shared" si="199"/>
        <v>49003</v>
      </c>
      <c r="DB129" s="1270">
        <f t="shared" si="199"/>
        <v>49034</v>
      </c>
      <c r="DC129" s="1270">
        <f t="shared" si="199"/>
        <v>49064</v>
      </c>
      <c r="DD129" s="1270">
        <f t="shared" si="199"/>
        <v>49095</v>
      </c>
      <c r="DE129" s="1270">
        <f t="shared" si="199"/>
        <v>49125</v>
      </c>
      <c r="DF129" s="1270">
        <f t="shared" si="199"/>
        <v>49156</v>
      </c>
      <c r="DG129" s="1270">
        <f t="shared" si="199"/>
        <v>49187</v>
      </c>
      <c r="DH129" s="1270">
        <f t="shared" si="199"/>
        <v>49217</v>
      </c>
      <c r="DI129" s="1270">
        <f t="shared" si="199"/>
        <v>49248</v>
      </c>
      <c r="DJ129" s="1270">
        <f t="shared" si="199"/>
        <v>49278</v>
      </c>
      <c r="DK129" s="1270">
        <f t="shared" si="199"/>
        <v>49309</v>
      </c>
      <c r="DL129" s="1270">
        <f t="shared" si="199"/>
        <v>49340</v>
      </c>
      <c r="DM129" s="1270">
        <f t="shared" si="199"/>
        <v>49368</v>
      </c>
      <c r="DN129" s="1270">
        <f t="shared" si="199"/>
        <v>49399</v>
      </c>
      <c r="DO129" s="1270">
        <f t="shared" si="199"/>
        <v>49429</v>
      </c>
      <c r="DP129" s="1270">
        <f t="shared" si="199"/>
        <v>49460</v>
      </c>
      <c r="DQ129" s="1270">
        <f t="shared" si="199"/>
        <v>49490</v>
      </c>
      <c r="DR129" s="1270">
        <f t="shared" si="199"/>
        <v>49521</v>
      </c>
      <c r="DS129" s="1270">
        <f t="shared" si="199"/>
        <v>49552</v>
      </c>
      <c r="DT129" s="1270">
        <f t="shared" si="199"/>
        <v>49582</v>
      </c>
      <c r="DU129" s="1270">
        <f t="shared" si="199"/>
        <v>49613</v>
      </c>
      <c r="DV129" s="1270">
        <f t="shared" si="199"/>
        <v>49643</v>
      </c>
      <c r="DW129" s="1270">
        <f t="shared" si="199"/>
        <v>49674</v>
      </c>
      <c r="DX129" s="1270">
        <f t="shared" si="199"/>
        <v>49705</v>
      </c>
      <c r="DY129" s="1270">
        <f t="shared" si="199"/>
        <v>49734</v>
      </c>
      <c r="DZ129" s="1270">
        <f t="shared" si="199"/>
        <v>49765</v>
      </c>
      <c r="EA129" s="1270">
        <f t="shared" si="199"/>
        <v>49795</v>
      </c>
      <c r="EB129" s="1270">
        <f t="shared" si="199"/>
        <v>49826</v>
      </c>
      <c r="EC129" s="1270">
        <f t="shared" si="199"/>
        <v>49856</v>
      </c>
      <c r="ED129" s="1270">
        <f t="shared" si="199"/>
        <v>49887</v>
      </c>
      <c r="EE129" s="1270">
        <f t="shared" si="199"/>
        <v>49918</v>
      </c>
      <c r="EF129" s="1270">
        <f t="shared" si="199"/>
        <v>49948</v>
      </c>
      <c r="EG129" s="1270">
        <f t="shared" ref="EG129:FT129" si="200">EG11</f>
        <v>49979</v>
      </c>
      <c r="EH129" s="1270">
        <f t="shared" si="200"/>
        <v>50009</v>
      </c>
      <c r="EI129" s="1270">
        <f t="shared" si="200"/>
        <v>50040</v>
      </c>
      <c r="EJ129" s="1270">
        <f t="shared" si="200"/>
        <v>50071</v>
      </c>
      <c r="EK129" s="1270">
        <f t="shared" si="200"/>
        <v>50099</v>
      </c>
      <c r="EL129" s="1270">
        <f t="shared" si="200"/>
        <v>50130</v>
      </c>
      <c r="EM129" s="1270">
        <f t="shared" si="200"/>
        <v>50160</v>
      </c>
      <c r="EN129" s="1270">
        <f t="shared" si="200"/>
        <v>50191</v>
      </c>
      <c r="EO129" s="1270">
        <f t="shared" si="200"/>
        <v>50221</v>
      </c>
      <c r="EP129" s="1270">
        <f t="shared" si="200"/>
        <v>50252</v>
      </c>
      <c r="EQ129" s="1270">
        <f t="shared" si="200"/>
        <v>50283</v>
      </c>
      <c r="ER129" s="1270">
        <f t="shared" si="200"/>
        <v>50313</v>
      </c>
      <c r="ES129" s="1270">
        <f t="shared" si="200"/>
        <v>50344</v>
      </c>
      <c r="ET129" s="1270">
        <f t="shared" si="200"/>
        <v>50374</v>
      </c>
      <c r="EU129" s="1270">
        <f t="shared" si="200"/>
        <v>50405</v>
      </c>
      <c r="EV129" s="1270">
        <f t="shared" si="200"/>
        <v>50436</v>
      </c>
      <c r="EW129" s="1270">
        <f t="shared" si="200"/>
        <v>50464</v>
      </c>
      <c r="EX129" s="1270">
        <f t="shared" si="200"/>
        <v>50495</v>
      </c>
      <c r="EY129" s="1270">
        <f t="shared" si="200"/>
        <v>50525</v>
      </c>
      <c r="EZ129" s="1270">
        <f t="shared" si="200"/>
        <v>50556</v>
      </c>
      <c r="FA129" s="1270">
        <f t="shared" si="200"/>
        <v>50586</v>
      </c>
      <c r="FB129" s="1270">
        <f t="shared" si="200"/>
        <v>50617</v>
      </c>
      <c r="FC129" s="1270">
        <f t="shared" si="200"/>
        <v>50648</v>
      </c>
      <c r="FD129" s="1270">
        <f t="shared" si="200"/>
        <v>50678</v>
      </c>
      <c r="FE129" s="1270">
        <f t="shared" si="200"/>
        <v>50709</v>
      </c>
      <c r="FF129" s="1270">
        <f t="shared" si="200"/>
        <v>50739</v>
      </c>
      <c r="FG129" s="1270">
        <f t="shared" si="200"/>
        <v>50770</v>
      </c>
      <c r="FH129" s="1270">
        <f t="shared" si="200"/>
        <v>50801</v>
      </c>
      <c r="FI129" s="1270">
        <f t="shared" si="200"/>
        <v>50829</v>
      </c>
      <c r="FJ129" s="1270">
        <f t="shared" si="200"/>
        <v>50860</v>
      </c>
      <c r="FK129" s="1270">
        <f t="shared" si="200"/>
        <v>50890</v>
      </c>
      <c r="FL129" s="1270">
        <f t="shared" si="200"/>
        <v>50921</v>
      </c>
      <c r="FM129" s="1270">
        <f t="shared" si="200"/>
        <v>50951</v>
      </c>
      <c r="FN129" s="1270">
        <f t="shared" si="200"/>
        <v>50982</v>
      </c>
      <c r="FO129" s="1270">
        <f t="shared" si="200"/>
        <v>51013</v>
      </c>
      <c r="FP129" s="1270">
        <f t="shared" si="200"/>
        <v>51043</v>
      </c>
      <c r="FQ129" s="1270">
        <f t="shared" si="200"/>
        <v>51074</v>
      </c>
      <c r="FR129" s="1270">
        <f t="shared" si="200"/>
        <v>51104</v>
      </c>
      <c r="FS129" s="1270">
        <f t="shared" si="200"/>
        <v>51135</v>
      </c>
      <c r="FT129" s="1270">
        <f t="shared" si="200"/>
        <v>51166</v>
      </c>
      <c r="FU129" s="43"/>
      <c r="FV129" s="34"/>
      <c r="FW129" s="34"/>
      <c r="FX129" s="34"/>
      <c r="FY129" s="34"/>
      <c r="FZ129" s="34"/>
    </row>
    <row r="130" spans="1:182" s="89" customFormat="1" ht="13.5" outlineLevel="1" x14ac:dyDescent="0.25">
      <c r="A130" s="34"/>
      <c r="B130" s="126" t="s">
        <v>598</v>
      </c>
      <c r="C130" s="34"/>
      <c r="D130" s="34"/>
      <c r="E130" s="34"/>
      <c r="F130" s="428"/>
      <c r="G130" s="34"/>
      <c r="H130" s="427">
        <f>IF(OR(H$129&lt;='Financing Assumptions'!$H$22,H$11&gt;'Financing Assumptions'!$H$26),0,INDEX('Senior Loan Amortization1'!$C$19:$X$440,MATCH(H$11,'Senior Loan Amortization1'!$F$19:$F$440,0),MATCH('Senior Loan Amortization1'!$X$19,'Senior Loan Amortization1'!$C$19:$X$19,0)))</f>
        <v>0</v>
      </c>
      <c r="I130" s="427">
        <f>IF(OR(I$129&lt;='Financing Assumptions'!$H$22,I$11&gt;'Financing Assumptions'!$H$26),0,INDEX('Senior Loan Amortization1'!$C$19:$X$440,MATCH(I$11,'Senior Loan Amortization1'!$F$19:$F$440,0),MATCH('Senior Loan Amortization1'!$X$19,'Senior Loan Amortization1'!$C$19:$X$19,0)))</f>
        <v>0</v>
      </c>
      <c r="J130" s="427">
        <f>IF(OR(J$129&lt;='Financing Assumptions'!$H$22,J$11&gt;'Financing Assumptions'!$H$26),0,INDEX('Senior Loan Amortization1'!$C$19:$X$440,MATCH(J$11,'Senior Loan Amortization1'!$F$19:$F$440,0),MATCH('Senior Loan Amortization1'!$X$19,'Senior Loan Amortization1'!$C$19:$X$19,0)))</f>
        <v>0</v>
      </c>
      <c r="K130" s="427">
        <f>IF(OR(K$129&lt;='Financing Assumptions'!$H$22,K$11&gt;'Financing Assumptions'!$H$26),0,INDEX('Senior Loan Amortization1'!$C$19:$X$440,MATCH(K$11,'Senior Loan Amortization1'!$F$19:$F$440,0),MATCH('Senior Loan Amortization1'!$X$19,'Senior Loan Amortization1'!$C$19:$X$19,0)))</f>
        <v>46485000</v>
      </c>
      <c r="L130" s="427">
        <f>IF(OR(L$129&lt;='Financing Assumptions'!$H$22,L$11&gt;'Financing Assumptions'!$H$26),0,INDEX('Senior Loan Amortization1'!$C$19:$X$440,MATCH(L$11,'Senior Loan Amortization1'!$F$19:$F$440,0),MATCH('Senior Loan Amortization1'!$X$19,'Senior Loan Amortization1'!$C$19:$X$19,0)))</f>
        <v>46485000</v>
      </c>
      <c r="M130" s="427">
        <f>IF(OR(M$129&lt;='Financing Assumptions'!$H$22,M$11&gt;'Financing Assumptions'!$H$26),0,INDEX('Senior Loan Amortization1'!$C$19:$X$440,MATCH(M$11,'Senior Loan Amortization1'!$F$19:$F$440,0),MATCH('Senior Loan Amortization1'!$X$19,'Senior Loan Amortization1'!$C$19:$X$19,0)))</f>
        <v>46485000</v>
      </c>
      <c r="N130" s="427">
        <f>IF(OR(N$129&lt;='Financing Assumptions'!$H$22,N$11&gt;'Financing Assumptions'!$H$26),0,INDEX('Senior Loan Amortization1'!$C$19:$X$440,MATCH(N$11,'Senior Loan Amortization1'!$F$19:$F$440,0),MATCH('Senior Loan Amortization1'!$X$19,'Senior Loan Amortization1'!$C$19:$X$19,0)))</f>
        <v>46485000</v>
      </c>
      <c r="O130" s="427">
        <f>IF(OR(O$129&lt;='Financing Assumptions'!$H$22,O$11&gt;'Financing Assumptions'!$H$26),0,INDEX('Senior Loan Amortization1'!$C$19:$X$440,MATCH(O$11,'Senior Loan Amortization1'!$F$19:$F$440,0),MATCH('Senior Loan Amortization1'!$X$19,'Senior Loan Amortization1'!$C$19:$X$19,0)))</f>
        <v>46485000</v>
      </c>
      <c r="P130" s="427">
        <f>IF(OR(P$129&lt;='Financing Assumptions'!$H$22,P$11&gt;'Financing Assumptions'!$H$26),0,INDEX('Senior Loan Amortization1'!$C$19:$X$440,MATCH(P$11,'Senior Loan Amortization1'!$F$19:$F$440,0),MATCH('Senior Loan Amortization1'!$X$19,'Senior Loan Amortization1'!$C$19:$X$19,0)))</f>
        <v>46485000</v>
      </c>
      <c r="Q130" s="427">
        <f>IF(OR(Q$129&lt;='Financing Assumptions'!$H$22,Q$11&gt;'Financing Assumptions'!$H$26),0,INDEX('Senior Loan Amortization1'!$C$19:$X$440,MATCH(Q$11,'Senior Loan Amortization1'!$F$19:$F$440,0),MATCH('Senior Loan Amortization1'!$X$19,'Senior Loan Amortization1'!$C$19:$X$19,0)))</f>
        <v>46485000</v>
      </c>
      <c r="R130" s="427">
        <f>IF(OR(R$129&lt;='Financing Assumptions'!$H$22,R$11&gt;'Financing Assumptions'!$H$26),0,INDEX('Senior Loan Amortization1'!$C$19:$X$440,MATCH(R$11,'Senior Loan Amortization1'!$F$19:$F$440,0),MATCH('Senior Loan Amortization1'!$X$19,'Senior Loan Amortization1'!$C$19:$X$19,0)))</f>
        <v>46485000</v>
      </c>
      <c r="S130" s="427">
        <f>IF(OR(S$129&lt;='Financing Assumptions'!$H$22,S$11&gt;'Financing Assumptions'!$H$26),0,INDEX('Senior Loan Amortization1'!$C$19:$X$440,MATCH(S$11,'Senior Loan Amortization1'!$F$19:$F$440,0),MATCH('Senior Loan Amortization1'!$X$19,'Senior Loan Amortization1'!$C$19:$X$19,0)))</f>
        <v>46485000</v>
      </c>
      <c r="T130" s="427">
        <f>IF(OR(T$129&lt;='Financing Assumptions'!$H$22,T$11&gt;'Financing Assumptions'!$H$26),0,INDEX('Senior Loan Amortization1'!$C$19:$X$440,MATCH(T$11,'Senior Loan Amortization1'!$F$19:$F$440,0),MATCH('Senior Loan Amortization1'!$X$19,'Senior Loan Amortization1'!$C$19:$X$19,0)))</f>
        <v>46485000</v>
      </c>
      <c r="U130" s="427">
        <f>IF(OR(U$129&lt;='Financing Assumptions'!$H$22,U$11&gt;'Financing Assumptions'!$H$26),0,INDEX('Senior Loan Amortization1'!$C$19:$X$440,MATCH(U$11,'Senior Loan Amortization1'!$F$19:$F$440,0),MATCH('Senior Loan Amortization1'!$X$19,'Senior Loan Amortization1'!$C$19:$X$19,0)))</f>
        <v>46485000</v>
      </c>
      <c r="V130" s="427">
        <f>IF(OR(V$129&lt;='Financing Assumptions'!$H$22,V$11&gt;'Financing Assumptions'!$H$26),0,INDEX('Senior Loan Amortization1'!$C$19:$X$440,MATCH(V$11,'Senior Loan Amortization1'!$F$19:$F$440,0),MATCH('Senior Loan Amortization1'!$X$19,'Senior Loan Amortization1'!$C$19:$X$19,0)))</f>
        <v>46485000</v>
      </c>
      <c r="W130" s="427">
        <f>IF(OR(W$129&lt;='Financing Assumptions'!$H$22,W$11&gt;'Financing Assumptions'!$H$26),0,INDEX('Senior Loan Amortization1'!$C$19:$X$440,MATCH(W$11,'Senior Loan Amortization1'!$F$19:$F$440,0),MATCH('Senior Loan Amortization1'!$X$19,'Senior Loan Amortization1'!$C$19:$X$19,0)))</f>
        <v>46485000</v>
      </c>
      <c r="X130" s="427">
        <f>IF(OR(X$129&lt;='Financing Assumptions'!$H$22,X$11&gt;'Financing Assumptions'!$H$26),0,INDEX('Senior Loan Amortization1'!$C$19:$X$440,MATCH(X$11,'Senior Loan Amortization1'!$F$19:$F$440,0),MATCH('Senior Loan Amortization1'!$X$19,'Senior Loan Amortization1'!$C$19:$X$19,0)))</f>
        <v>46485000</v>
      </c>
      <c r="Y130" s="427">
        <f>IF(OR(Y$129&lt;='Financing Assumptions'!$H$22,Y$11&gt;'Financing Assumptions'!$H$26),0,INDEX('Senior Loan Amortization1'!$C$19:$X$440,MATCH(Y$11,'Senior Loan Amortization1'!$F$19:$F$440,0),MATCH('Senior Loan Amortization1'!$X$19,'Senior Loan Amortization1'!$C$19:$X$19,0)))</f>
        <v>46485000</v>
      </c>
      <c r="Z130" s="427">
        <f>IF(OR(Z$129&lt;='Financing Assumptions'!$H$22,Z$11&gt;'Financing Assumptions'!$H$26),0,INDEX('Senior Loan Amortization1'!$C$19:$X$440,MATCH(Z$11,'Senior Loan Amortization1'!$F$19:$F$440,0),MATCH('Senior Loan Amortization1'!$X$19,'Senior Loan Amortization1'!$C$19:$X$19,0)))</f>
        <v>46485000</v>
      </c>
      <c r="AA130" s="427">
        <f>IF(OR(AA$129&lt;='Financing Assumptions'!$H$22,AA$11&gt;'Financing Assumptions'!$H$26),0,INDEX('Senior Loan Amortization1'!$C$19:$X$440,MATCH(AA$11,'Senior Loan Amortization1'!$F$19:$F$440,0),MATCH('Senior Loan Amortization1'!$X$19,'Senior Loan Amortization1'!$C$19:$X$19,0)))</f>
        <v>46485000</v>
      </c>
      <c r="AB130" s="427">
        <f>IF(OR(AB$129&lt;='Financing Assumptions'!$H$22,AB$11&gt;'Financing Assumptions'!$H$26),0,INDEX('Senior Loan Amortization1'!$C$19:$X$440,MATCH(AB$11,'Senior Loan Amortization1'!$F$19:$F$440,0),MATCH('Senior Loan Amortization1'!$X$19,'Senior Loan Amortization1'!$C$19:$X$19,0)))</f>
        <v>46485000</v>
      </c>
      <c r="AC130" s="427">
        <f>IF(OR(AC$129&lt;='Financing Assumptions'!$H$22,AC$11&gt;'Financing Assumptions'!$H$26),0,INDEX('Senior Loan Amortization1'!$C$19:$X$440,MATCH(AC$11,'Senior Loan Amortization1'!$F$19:$F$440,0),MATCH('Senior Loan Amortization1'!$X$19,'Senior Loan Amortization1'!$C$19:$X$19,0)))</f>
        <v>46485000</v>
      </c>
      <c r="AD130" s="427">
        <f>IF(OR(AD$129&lt;='Financing Assumptions'!$H$22,AD$11&gt;'Financing Assumptions'!$H$26),0,INDEX('Senior Loan Amortization1'!$C$19:$X$440,MATCH(AD$11,'Senior Loan Amortization1'!$F$19:$F$440,0),MATCH('Senior Loan Amortization1'!$X$19,'Senior Loan Amortization1'!$C$19:$X$19,0)))</f>
        <v>46485000</v>
      </c>
      <c r="AE130" s="427">
        <f>IF(OR(AE$129&lt;='Financing Assumptions'!$H$22,AE$11&gt;'Financing Assumptions'!$H$26),0,INDEX('Senior Loan Amortization1'!$C$19:$X$440,MATCH(AE$11,'Senior Loan Amortization1'!$F$19:$F$440,0),MATCH('Senior Loan Amortization1'!$X$19,'Senior Loan Amortization1'!$C$19:$X$19,0)))</f>
        <v>46485000</v>
      </c>
      <c r="AF130" s="427">
        <f>IF(OR(AF$129&lt;='Financing Assumptions'!$H$22,AF$11&gt;'Financing Assumptions'!$H$26),0,INDEX('Senior Loan Amortization1'!$C$19:$X$440,MATCH(AF$11,'Senior Loan Amortization1'!$F$19:$F$440,0),MATCH('Senior Loan Amortization1'!$X$19,'Senior Loan Amortization1'!$C$19:$X$19,0)))</f>
        <v>46485000</v>
      </c>
      <c r="AG130" s="427">
        <f>IF(OR(AG$129&lt;='Financing Assumptions'!$H$22,AG$11&gt;'Financing Assumptions'!$H$26),0,INDEX('Senior Loan Amortization1'!$C$19:$X$440,MATCH(AG$11,'Senior Loan Amortization1'!$F$19:$F$440,0),MATCH('Senior Loan Amortization1'!$X$19,'Senior Loan Amortization1'!$C$19:$X$19,0)))</f>
        <v>46485000</v>
      </c>
      <c r="AH130" s="427">
        <f>IF(OR(AH$129&lt;='Financing Assumptions'!$H$22,AH$11&gt;'Financing Assumptions'!$H$26),0,INDEX('Senior Loan Amortization1'!$C$19:$X$440,MATCH(AH$11,'Senior Loan Amortization1'!$F$19:$F$440,0),MATCH('Senior Loan Amortization1'!$X$19,'Senior Loan Amortization1'!$C$19:$X$19,0)))</f>
        <v>46485000</v>
      </c>
      <c r="AI130" s="427">
        <f>IF(OR(AI$129&lt;='Financing Assumptions'!$H$22,AI$11&gt;'Financing Assumptions'!$H$26),0,INDEX('Senior Loan Amortization1'!$C$19:$X$440,MATCH(AI$11,'Senior Loan Amortization1'!$F$19:$F$440,0),MATCH('Senior Loan Amortization1'!$X$19,'Senior Loan Amortization1'!$C$19:$X$19,0)))</f>
        <v>46485000</v>
      </c>
      <c r="AJ130" s="427">
        <f>IF(OR(AJ$129&lt;='Financing Assumptions'!$H$22,AJ$11&gt;'Financing Assumptions'!$H$26),0,INDEX('Senior Loan Amortization1'!$C$19:$X$440,MATCH(AJ$11,'Senior Loan Amortization1'!$F$19:$F$440,0),MATCH('Senior Loan Amortization1'!$X$19,'Senior Loan Amortization1'!$C$19:$X$19,0)))</f>
        <v>46485000</v>
      </c>
      <c r="AK130" s="427">
        <f>IF(OR(AK$129&lt;='Financing Assumptions'!$H$22,AK$11&gt;'Financing Assumptions'!$H$26),0,INDEX('Senior Loan Amortization1'!$C$19:$X$440,MATCH(AK$11,'Senior Loan Amortization1'!$F$19:$F$440,0),MATCH('Senior Loan Amortization1'!$X$19,'Senior Loan Amortization1'!$C$19:$X$19,0)))</f>
        <v>46485000</v>
      </c>
      <c r="AL130" s="427">
        <f>IF(OR(AL$129&lt;='Financing Assumptions'!$H$22,AL$11&gt;'Financing Assumptions'!$H$26),0,INDEX('Senior Loan Amortization1'!$C$19:$X$440,MATCH(AL$11,'Senior Loan Amortization1'!$F$19:$F$440,0),MATCH('Senior Loan Amortization1'!$X$19,'Senior Loan Amortization1'!$C$19:$X$19,0)))</f>
        <v>46485000</v>
      </c>
      <c r="AM130" s="427">
        <f>IF(OR(AM$129&lt;='Financing Assumptions'!$H$22,AM$11&gt;'Financing Assumptions'!$H$26),0,INDEX('Senior Loan Amortization1'!$C$19:$X$440,MATCH(AM$11,'Senior Loan Amortization1'!$F$19:$F$440,0),MATCH('Senior Loan Amortization1'!$X$19,'Senior Loan Amortization1'!$C$19:$X$19,0)))</f>
        <v>46485000</v>
      </c>
      <c r="AN130" s="427">
        <f>IF(OR(AN$129&lt;='Financing Assumptions'!$H$22,AN$11&gt;'Financing Assumptions'!$H$26),0,INDEX('Senior Loan Amortization1'!$C$19:$X$440,MATCH(AN$11,'Senior Loan Amortization1'!$F$19:$F$440,0),MATCH('Senior Loan Amortization1'!$X$19,'Senior Loan Amortization1'!$C$19:$X$19,0)))</f>
        <v>46485000</v>
      </c>
      <c r="AO130" s="427">
        <f>IF(OR(AO$129&lt;='Financing Assumptions'!$H$22,AO$11&gt;'Financing Assumptions'!$H$26),0,INDEX('Senior Loan Amortization1'!$C$19:$X$440,MATCH(AO$11,'Senior Loan Amortization1'!$F$19:$F$440,0),MATCH('Senior Loan Amortization1'!$X$19,'Senior Loan Amortization1'!$C$19:$X$19,0)))</f>
        <v>46485000</v>
      </c>
      <c r="AP130" s="427">
        <f>IF(OR(AP$129&lt;='Financing Assumptions'!$H$22,AP$11&gt;'Financing Assumptions'!$H$26),0,INDEX('Senior Loan Amortization1'!$C$19:$X$440,MATCH(AP$11,'Senior Loan Amortization1'!$F$19:$F$440,0),MATCH('Senior Loan Amortization1'!$X$19,'Senior Loan Amortization1'!$C$19:$X$19,0)))</f>
        <v>46485000</v>
      </c>
      <c r="AQ130" s="427">
        <f>IF(OR(AQ$129&lt;='Financing Assumptions'!$H$22,AQ$11&gt;'Financing Assumptions'!$H$26),0,INDEX('Senior Loan Amortization1'!$C$19:$X$440,MATCH(AQ$11,'Senior Loan Amortization1'!$F$19:$F$440,0),MATCH('Senior Loan Amortization1'!$X$19,'Senior Loan Amortization1'!$C$19:$X$19,0)))</f>
        <v>46485000</v>
      </c>
      <c r="AR130" s="427">
        <f>IF(OR(AR$129&lt;='Financing Assumptions'!$H$22,AR$11&gt;'Financing Assumptions'!$H$26),0,INDEX('Senior Loan Amortization1'!$C$19:$X$440,MATCH(AR$11,'Senior Loan Amortization1'!$F$19:$F$440,0),MATCH('Senior Loan Amortization1'!$X$19,'Senior Loan Amortization1'!$C$19:$X$19,0)))</f>
        <v>46485000</v>
      </c>
      <c r="AS130" s="427">
        <f>IF(OR(AS$129&lt;='Financing Assumptions'!$H$22,AS$11&gt;'Financing Assumptions'!$H$26),0,INDEX('Senior Loan Amortization1'!$C$19:$X$440,MATCH(AS$11,'Senior Loan Amortization1'!$F$19:$F$440,0),MATCH('Senior Loan Amortization1'!$X$19,'Senior Loan Amortization1'!$C$19:$X$19,0)))</f>
        <v>46485000</v>
      </c>
      <c r="AT130" s="427">
        <f>IF(OR(AT$129&lt;='Financing Assumptions'!$H$22,AT$11&gt;'Financing Assumptions'!$H$26),0,INDEX('Senior Loan Amortization1'!$C$19:$X$440,MATCH(AT$11,'Senior Loan Amortization1'!$F$19:$F$440,0),MATCH('Senior Loan Amortization1'!$X$19,'Senior Loan Amortization1'!$C$19:$X$19,0)))</f>
        <v>46485000</v>
      </c>
      <c r="AU130" s="427">
        <f>IF(OR(AU$129&lt;='Financing Assumptions'!$H$22,AU$11&gt;'Financing Assumptions'!$H$26),0,INDEX('Senior Loan Amortization1'!$C$19:$X$440,MATCH(AU$11,'Senior Loan Amortization1'!$F$19:$F$440,0),MATCH('Senior Loan Amortization1'!$X$19,'Senior Loan Amortization1'!$C$19:$X$19,0)))</f>
        <v>46485000</v>
      </c>
      <c r="AV130" s="427">
        <f>IF(OR(AV$129&lt;='Financing Assumptions'!$H$22,AV$11&gt;'Financing Assumptions'!$H$26),0,INDEX('Senior Loan Amortization1'!$C$19:$X$440,MATCH(AV$11,'Senior Loan Amortization1'!$F$19:$F$440,0),MATCH('Senior Loan Amortization1'!$X$19,'Senior Loan Amortization1'!$C$19:$X$19,0)))</f>
        <v>46485000</v>
      </c>
      <c r="AW130" s="427">
        <f>IF(OR(AW$129&lt;='Financing Assumptions'!$H$22,AW$11&gt;'Financing Assumptions'!$H$26),0,INDEX('Senior Loan Amortization1'!$C$19:$X$440,MATCH(AW$11,'Senior Loan Amortization1'!$F$19:$F$440,0),MATCH('Senior Loan Amortization1'!$X$19,'Senior Loan Amortization1'!$C$19:$X$19,0)))</f>
        <v>46485000</v>
      </c>
      <c r="AX130" s="427">
        <f>IF(OR(AX$129&lt;='Financing Assumptions'!$H$22,AX$11&gt;'Financing Assumptions'!$H$26),0,INDEX('Senior Loan Amortization1'!$C$19:$X$440,MATCH(AX$11,'Senior Loan Amortization1'!$F$19:$F$440,0),MATCH('Senior Loan Amortization1'!$X$19,'Senior Loan Amortization1'!$C$19:$X$19,0)))</f>
        <v>46485000</v>
      </c>
      <c r="AY130" s="427">
        <f>IF(OR(AY$129&lt;='Financing Assumptions'!$H$22,AY$11&gt;'Financing Assumptions'!$H$26),0,INDEX('Senior Loan Amortization1'!$C$19:$X$440,MATCH(AY$11,'Senior Loan Amortization1'!$F$19:$F$440,0),MATCH('Senior Loan Amortization1'!$X$19,'Senior Loan Amortization1'!$C$19:$X$19,0)))</f>
        <v>46485000</v>
      </c>
      <c r="AZ130" s="427">
        <f>IF(OR(AZ$129&lt;='Financing Assumptions'!$H$22,AZ$11&gt;'Financing Assumptions'!$H$26),0,INDEX('Senior Loan Amortization1'!$C$19:$X$440,MATCH(AZ$11,'Senior Loan Amortization1'!$F$19:$F$440,0),MATCH('Senior Loan Amortization1'!$X$19,'Senior Loan Amortization1'!$C$19:$X$19,0)))</f>
        <v>46485000</v>
      </c>
      <c r="BA130" s="427">
        <f>IF(OR(BA$129&lt;='Financing Assumptions'!$H$22,BA$11&gt;'Financing Assumptions'!$H$26),0,INDEX('Senior Loan Amortization1'!$C$19:$X$440,MATCH(BA$11,'Senior Loan Amortization1'!$F$19:$F$440,0),MATCH('Senior Loan Amortization1'!$X$19,'Senior Loan Amortization1'!$C$19:$X$19,0)))</f>
        <v>46485000</v>
      </c>
      <c r="BB130" s="427">
        <f>IF(OR(BB$129&lt;='Financing Assumptions'!$H$22,BB$11&gt;'Financing Assumptions'!$H$26),0,INDEX('Senior Loan Amortization1'!$C$19:$X$440,MATCH(BB$11,'Senior Loan Amortization1'!$F$19:$F$440,0),MATCH('Senior Loan Amortization1'!$X$19,'Senior Loan Amortization1'!$C$19:$X$19,0)))</f>
        <v>46485000</v>
      </c>
      <c r="BC130" s="427">
        <f>IF(OR(BC$129&lt;='Financing Assumptions'!$H$22,BC$11&gt;'Financing Assumptions'!$H$26),0,INDEX('Senior Loan Amortization1'!$C$19:$X$440,MATCH(BC$11,'Senior Loan Amortization1'!$F$19:$F$440,0),MATCH('Senior Loan Amortization1'!$X$19,'Senior Loan Amortization1'!$C$19:$X$19,0)))</f>
        <v>46485000</v>
      </c>
      <c r="BD130" s="427">
        <f>IF(OR(BD$129&lt;='Financing Assumptions'!$H$22,BD$11&gt;'Financing Assumptions'!$H$26),0,INDEX('Senior Loan Amortization1'!$C$19:$X$440,MATCH(BD$11,'Senior Loan Amortization1'!$F$19:$F$440,0),MATCH('Senior Loan Amortization1'!$X$19,'Senior Loan Amortization1'!$C$19:$X$19,0)))</f>
        <v>46485000</v>
      </c>
      <c r="BE130" s="427">
        <f>IF(OR(BE$129&lt;='Financing Assumptions'!$H$22,BE$11&gt;'Financing Assumptions'!$H$26),0,INDEX('Senior Loan Amortization1'!$C$19:$X$440,MATCH(BE$11,'Senior Loan Amortization1'!$F$19:$F$440,0),MATCH('Senior Loan Amortization1'!$X$19,'Senior Loan Amortization1'!$C$19:$X$19,0)))</f>
        <v>46485000</v>
      </c>
      <c r="BF130" s="427">
        <f>IF(OR(BF$129&lt;='Financing Assumptions'!$H$22,BF$11&gt;'Financing Assumptions'!$H$26),0,INDEX('Senior Loan Amortization1'!$C$19:$X$440,MATCH(BF$11,'Senior Loan Amortization1'!$F$19:$F$440,0),MATCH('Senior Loan Amortization1'!$X$19,'Senior Loan Amortization1'!$C$19:$X$19,0)))</f>
        <v>46485000</v>
      </c>
      <c r="BG130" s="427">
        <f>IF(OR(BG$129&lt;='Financing Assumptions'!$H$22,BG$11&gt;'Financing Assumptions'!$H$26),0,INDEX('Senior Loan Amortization1'!$C$19:$X$440,MATCH(BG$11,'Senior Loan Amortization1'!$F$19:$F$440,0),MATCH('Senior Loan Amortization1'!$X$19,'Senior Loan Amortization1'!$C$19:$X$19,0)))</f>
        <v>46485000</v>
      </c>
      <c r="BH130" s="427">
        <f>IF(OR(BH$129&lt;='Financing Assumptions'!$H$22,BH$11&gt;'Financing Assumptions'!$H$26),0,INDEX('Senior Loan Amortization1'!$C$19:$X$440,MATCH(BH$11,'Senior Loan Amortization1'!$F$19:$F$440,0),MATCH('Senior Loan Amortization1'!$X$19,'Senior Loan Amortization1'!$C$19:$X$19,0)))</f>
        <v>46485000</v>
      </c>
      <c r="BI130" s="427">
        <f>IF(OR(BI$129&lt;='Financing Assumptions'!$H$22,BI$11&gt;'Financing Assumptions'!$H$26),0,INDEX('Senior Loan Amortization1'!$C$19:$X$440,MATCH(BI$11,'Senior Loan Amortization1'!$F$19:$F$440,0),MATCH('Senior Loan Amortization1'!$X$19,'Senior Loan Amortization1'!$C$19:$X$19,0)))</f>
        <v>46485000</v>
      </c>
      <c r="BJ130" s="427">
        <f>IF(OR(BJ$129&lt;='Financing Assumptions'!$H$22,BJ$11&gt;'Financing Assumptions'!$H$26),0,INDEX('Senior Loan Amortization1'!$C$19:$X$440,MATCH(BJ$11,'Senior Loan Amortization1'!$F$19:$F$440,0),MATCH('Senior Loan Amortization1'!$X$19,'Senior Loan Amortization1'!$C$19:$X$19,0)))</f>
        <v>46485000</v>
      </c>
      <c r="BK130" s="427">
        <f>IF(OR(BK$129&lt;='Financing Assumptions'!$H$22,BK$11&gt;'Financing Assumptions'!$H$26),0,INDEX('Senior Loan Amortization1'!$C$19:$X$440,MATCH(BK$11,'Senior Loan Amortization1'!$F$19:$F$440,0),MATCH('Senior Loan Amortization1'!$X$19,'Senior Loan Amortization1'!$C$19:$X$19,0)))</f>
        <v>46485000</v>
      </c>
      <c r="BL130" s="427">
        <f>IF(OR(BL$129&lt;='Financing Assumptions'!$H$22,BL$11&gt;'Financing Assumptions'!$H$26),0,INDEX('Senior Loan Amortization1'!$C$19:$X$440,MATCH(BL$11,'Senior Loan Amortization1'!$F$19:$F$440,0),MATCH('Senior Loan Amortization1'!$X$19,'Senior Loan Amortization1'!$C$19:$X$19,0)))</f>
        <v>46485000</v>
      </c>
      <c r="BM130" s="427">
        <f>IF(OR(BM$129&lt;='Financing Assumptions'!$H$22,BM$11&gt;'Financing Assumptions'!$H$26),0,INDEX('Senior Loan Amortization1'!$C$19:$X$440,MATCH(BM$11,'Senior Loan Amortization1'!$F$19:$F$440,0),MATCH('Senior Loan Amortization1'!$X$19,'Senior Loan Amortization1'!$C$19:$X$19,0)))</f>
        <v>46485000</v>
      </c>
      <c r="BN130" s="427">
        <f>IF(OR(BN$129&lt;='Financing Assumptions'!$H$22,BN$11&gt;'Financing Assumptions'!$H$26),0,INDEX('Senior Loan Amortization1'!$C$19:$X$440,MATCH(BN$11,'Senior Loan Amortization1'!$F$19:$F$440,0),MATCH('Senior Loan Amortization1'!$X$19,'Senior Loan Amortization1'!$C$19:$X$19,0)))</f>
        <v>46485000</v>
      </c>
      <c r="BO130" s="427">
        <f>IF(OR(BO$129&lt;='Financing Assumptions'!$H$22,BO$11&gt;'Financing Assumptions'!$H$26),0,INDEX('Senior Loan Amortization1'!$C$19:$X$440,MATCH(BO$11,'Senior Loan Amortization1'!$F$19:$F$440,0),MATCH('Senior Loan Amortization1'!$X$19,'Senior Loan Amortization1'!$C$19:$X$19,0)))</f>
        <v>46485000</v>
      </c>
      <c r="BP130" s="427">
        <f>IF(OR(BP$129&lt;='Financing Assumptions'!$H$22,BP$11&gt;'Financing Assumptions'!$H$26),0,INDEX('Senior Loan Amortization1'!$C$19:$X$440,MATCH(BP$11,'Senior Loan Amortization1'!$F$19:$F$440,0),MATCH('Senior Loan Amortization1'!$X$19,'Senior Loan Amortization1'!$C$19:$X$19,0)))</f>
        <v>46485000</v>
      </c>
      <c r="BQ130" s="427">
        <f>IF(OR(BQ$129&lt;='Financing Assumptions'!$H$22,BQ$11&gt;'Financing Assumptions'!$H$26),0,INDEX('Senior Loan Amortization1'!$C$19:$X$440,MATCH(BQ$11,'Senior Loan Amortization1'!$F$19:$F$440,0),MATCH('Senior Loan Amortization1'!$X$19,'Senior Loan Amortization1'!$C$19:$X$19,0)))</f>
        <v>46485000</v>
      </c>
      <c r="BR130" s="427">
        <f>IF(OR(BR$129&lt;='Financing Assumptions'!$H$22,BR$11&gt;'Financing Assumptions'!$H$26),0,INDEX('Senior Loan Amortization1'!$C$19:$X$440,MATCH(BR$11,'Senior Loan Amortization1'!$F$19:$F$440,0),MATCH('Senior Loan Amortization1'!$X$19,'Senior Loan Amortization1'!$C$19:$X$19,0)))</f>
        <v>46485000</v>
      </c>
      <c r="BS130" s="427">
        <f>IF(OR(BS$129&lt;='Financing Assumptions'!$H$22,BS$11&gt;'Financing Assumptions'!$H$26),0,INDEX('Senior Loan Amortization1'!$C$19:$X$440,MATCH(BS$11,'Senior Loan Amortization1'!$F$19:$F$440,0),MATCH('Senior Loan Amortization1'!$X$19,'Senior Loan Amortization1'!$C$19:$X$19,0)))</f>
        <v>46485000</v>
      </c>
      <c r="BT130" s="427">
        <f>IF(OR(BT$129&lt;='Financing Assumptions'!$H$22,BT$11&gt;'Financing Assumptions'!$H$26),0,INDEX('Senior Loan Amortization1'!$C$19:$X$440,MATCH(BT$11,'Senior Loan Amortization1'!$F$19:$F$440,0),MATCH('Senior Loan Amortization1'!$X$19,'Senior Loan Amortization1'!$C$19:$X$19,0)))</f>
        <v>46485000</v>
      </c>
      <c r="BU130" s="427">
        <f>IF(OR(BU$129&lt;='Financing Assumptions'!$H$22,BU$11&gt;'Financing Assumptions'!$H$26),0,INDEX('Senior Loan Amortization1'!$C$19:$X$440,MATCH(BU$11,'Senior Loan Amortization1'!$F$19:$F$440,0),MATCH('Senior Loan Amortization1'!$X$19,'Senior Loan Amortization1'!$C$19:$X$19,0)))</f>
        <v>46485000</v>
      </c>
      <c r="BV130" s="427">
        <f>IF(OR(BV$129&lt;='Financing Assumptions'!$H$22,BV$11&gt;'Financing Assumptions'!$H$26),0,INDEX('Senior Loan Amortization1'!$C$19:$X$440,MATCH(BV$11,'Senior Loan Amortization1'!$F$19:$F$440,0),MATCH('Senior Loan Amortization1'!$X$19,'Senior Loan Amortization1'!$C$19:$X$19,0)))</f>
        <v>46485000</v>
      </c>
      <c r="BW130" s="427">
        <f>IF(OR(BW$129&lt;='Financing Assumptions'!$H$22,BW$11&gt;'Financing Assumptions'!$H$26),0,INDEX('Senior Loan Amortization1'!$C$19:$X$440,MATCH(BW$11,'Senior Loan Amortization1'!$F$19:$F$440,0),MATCH('Senior Loan Amortization1'!$X$19,'Senior Loan Amortization1'!$C$19:$X$19,0)))</f>
        <v>46485000</v>
      </c>
      <c r="BX130" s="427">
        <f>IF(OR(BX$129&lt;='Financing Assumptions'!$H$22,BX$11&gt;'Financing Assumptions'!$H$26),0,INDEX('Senior Loan Amortization1'!$C$19:$X$440,MATCH(BX$11,'Senior Loan Amortization1'!$F$19:$F$440,0),MATCH('Senior Loan Amortization1'!$X$19,'Senior Loan Amortization1'!$C$19:$X$19,0)))</f>
        <v>46485000</v>
      </c>
      <c r="BY130" s="427">
        <f>IF(OR(BY$129&lt;='Financing Assumptions'!$H$22,BY$11&gt;'Financing Assumptions'!$H$26),0,INDEX('Senior Loan Amortization1'!$C$19:$X$440,MATCH(BY$11,'Senior Loan Amortization1'!$F$19:$F$440,0),MATCH('Senior Loan Amortization1'!$X$19,'Senior Loan Amortization1'!$C$19:$X$19,0)))</f>
        <v>46485000</v>
      </c>
      <c r="BZ130" s="427">
        <f>IF(OR(BZ$129&lt;='Financing Assumptions'!$H$22,BZ$11&gt;'Financing Assumptions'!$H$26),0,INDEX('Senior Loan Amortization1'!$C$19:$X$440,MATCH(BZ$11,'Senior Loan Amortization1'!$F$19:$F$440,0),MATCH('Senior Loan Amortization1'!$X$19,'Senior Loan Amortization1'!$C$19:$X$19,0)))</f>
        <v>46485000</v>
      </c>
      <c r="CA130" s="427">
        <f>IF(OR(CA$129&lt;='Financing Assumptions'!$H$22,CA$11&gt;'Financing Assumptions'!$H$26),0,INDEX('Senior Loan Amortization1'!$C$19:$X$440,MATCH(CA$11,'Senior Loan Amortization1'!$F$19:$F$440,0),MATCH('Senior Loan Amortization1'!$X$19,'Senior Loan Amortization1'!$C$19:$X$19,0)))</f>
        <v>46485000</v>
      </c>
      <c r="CB130" s="427">
        <f>IF(OR(CB$129&lt;='Financing Assumptions'!$H$22,CB$11&gt;'Financing Assumptions'!$H$26),0,INDEX('Senior Loan Amortization1'!$C$19:$X$440,MATCH(CB$11,'Senior Loan Amortization1'!$F$19:$F$440,0),MATCH('Senior Loan Amortization1'!$X$19,'Senior Loan Amortization1'!$C$19:$X$19,0)))</f>
        <v>46485000</v>
      </c>
      <c r="CC130" s="427">
        <f>IF(OR(CC$129&lt;='Financing Assumptions'!$H$22,CC$11&gt;'Financing Assumptions'!$H$26),0,INDEX('Senior Loan Amortization1'!$C$19:$X$440,MATCH(CC$11,'Senior Loan Amortization1'!$F$19:$F$440,0),MATCH('Senior Loan Amortization1'!$X$19,'Senior Loan Amortization1'!$C$19:$X$19,0)))</f>
        <v>46485000</v>
      </c>
      <c r="CD130" s="427">
        <f>IF(OR(CD$129&lt;='Financing Assumptions'!$H$22,CD$11&gt;'Financing Assumptions'!$H$26),0,INDEX('Senior Loan Amortization1'!$C$19:$X$440,MATCH(CD$11,'Senior Loan Amortization1'!$F$19:$F$440,0),MATCH('Senior Loan Amortization1'!$X$19,'Senior Loan Amortization1'!$C$19:$X$19,0)))</f>
        <v>46485000</v>
      </c>
      <c r="CE130" s="427">
        <f>IF(OR(CE$129&lt;='Financing Assumptions'!$H$22,CE$11&gt;'Financing Assumptions'!$H$26),0,INDEX('Senior Loan Amortization1'!$C$19:$X$440,MATCH(CE$11,'Senior Loan Amortization1'!$F$19:$F$440,0),MATCH('Senior Loan Amortization1'!$X$19,'Senior Loan Amortization1'!$C$19:$X$19,0)))</f>
        <v>46485000</v>
      </c>
      <c r="CF130" s="427">
        <f>IF(OR(CF$129&lt;='Financing Assumptions'!$H$22,CF$11&gt;'Financing Assumptions'!$H$26),0,INDEX('Senior Loan Amortization1'!$C$19:$X$440,MATCH(CF$11,'Senior Loan Amortization1'!$F$19:$F$440,0),MATCH('Senior Loan Amortization1'!$X$19,'Senior Loan Amortization1'!$C$19:$X$19,0)))</f>
        <v>46413375.248253718</v>
      </c>
      <c r="CG130" s="427">
        <f>IF(OR(CG$129&lt;='Financing Assumptions'!$H$22,CG$11&gt;'Financing Assumptions'!$H$26),0,INDEX('Senior Loan Amortization1'!$C$19:$X$440,MATCH(CG$11,'Senior Loan Amortization1'!$F$19:$F$440,0),MATCH('Senior Loan Amortization1'!$X$19,'Senior Loan Amortization1'!$C$19:$X$19,0)))</f>
        <v>46341387.398807615</v>
      </c>
      <c r="CH130" s="427">
        <f>IF(OR(CH$129&lt;='Financing Assumptions'!$H$22,CH$11&gt;'Financing Assumptions'!$H$26),0,INDEX('Senior Loan Amortization1'!$C$19:$X$440,MATCH(CH$11,'Senior Loan Amortization1'!$F$19:$F$440,0),MATCH('Senior Loan Amortization1'!$X$19,'Senior Loan Amortization1'!$C$19:$X$19,0)))</f>
        <v>46269034.61095807</v>
      </c>
      <c r="CI130" s="427">
        <f>IF(OR(CI$129&lt;='Financing Assumptions'!$H$22,CI$11&gt;'Financing Assumptions'!$H$26),0,INDEX('Senior Loan Amortization1'!$C$19:$X$440,MATCH(CI$11,'Senior Loan Amortization1'!$F$19:$F$440,0),MATCH('Senior Loan Amortization1'!$X$19,'Senior Loan Amortization1'!$C$19:$X$19,0)))</f>
        <v>46196315.034670115</v>
      </c>
      <c r="CJ130" s="427">
        <f>IF(OR(CJ$129&lt;='Financing Assumptions'!$H$22,CJ$11&gt;'Financing Assumptions'!$H$26),0,INDEX('Senior Loan Amortization1'!$C$19:$X$440,MATCH(CJ$11,'Senior Loan Amortization1'!$F$19:$F$440,0),MATCH('Senior Loan Amortization1'!$X$19,'Senior Loan Amortization1'!$C$19:$X$19,0)))</f>
        <v>46123226.810530148</v>
      </c>
      <c r="CK130" s="427">
        <f>IF(OR(CK$129&lt;='Financing Assumptions'!$H$22,CK$11&gt;'Financing Assumptions'!$H$26),0,INDEX('Senior Loan Amortization1'!$C$19:$X$440,MATCH(CK$11,'Senior Loan Amortization1'!$F$19:$F$440,0),MATCH('Senior Loan Amortization1'!$X$19,'Senior Loan Amortization1'!$C$19:$X$19,0)))</f>
        <v>46049768.069698364</v>
      </c>
      <c r="CL130" s="427">
        <f>IF(OR(CL$129&lt;='Financing Assumptions'!$H$22,CL$11&gt;'Financing Assumptions'!$H$26),0,INDEX('Senior Loan Amortization1'!$C$19:$X$440,MATCH(CL$11,'Senior Loan Amortization1'!$F$19:$F$440,0),MATCH('Senior Loan Amortization1'!$X$19,'Senior Loan Amortization1'!$C$19:$X$19,0)))</f>
        <v>45975936.933860973</v>
      </c>
      <c r="CM130" s="427">
        <f>IF(OR(CM$129&lt;='Financing Assumptions'!$H$22,CM$11&gt;'Financing Assumptions'!$H$26),0,INDEX('Senior Loan Amortization1'!$C$19:$X$440,MATCH(CM$11,'Senior Loan Amortization1'!$F$19:$F$440,0),MATCH('Senior Loan Amortization1'!$X$19,'Senior Loan Amortization1'!$C$19:$X$19,0)))</f>
        <v>45901731.515182182</v>
      </c>
      <c r="CN130" s="427">
        <f>IF(OR(CN$129&lt;='Financing Assumptions'!$H$22,CN$11&gt;'Financing Assumptions'!$H$26),0,INDEX('Senior Loan Amortization1'!$C$19:$X$440,MATCH(CN$11,'Senior Loan Amortization1'!$F$19:$F$440,0),MATCH('Senior Loan Amortization1'!$X$19,'Senior Loan Amortization1'!$C$19:$X$19,0)))</f>
        <v>45827149.916255921</v>
      </c>
      <c r="CO130" s="427">
        <f>IF(OR(CO$129&lt;='Financing Assumptions'!$H$22,CO$11&gt;'Financing Assumptions'!$H$26),0,INDEX('Senior Loan Amortization1'!$C$19:$X$440,MATCH(CO$11,'Senior Loan Amortization1'!$F$19:$F$440,0),MATCH('Senior Loan Amortization1'!$X$19,'Senior Loan Amortization1'!$C$19:$X$19,0)))</f>
        <v>45752190.230057329</v>
      </c>
      <c r="CP130" s="427">
        <f>IF(OR(CP$129&lt;='Financing Assumptions'!$H$22,CP$11&gt;'Financing Assumptions'!$H$26),0,INDEX('Senior Loan Amortization1'!$C$19:$X$440,MATCH(CP$11,'Senior Loan Amortization1'!$F$19:$F$440,0),MATCH('Senior Loan Amortization1'!$X$19,'Senior Loan Amortization1'!$C$19:$X$19,0)))</f>
        <v>45676850.539893977</v>
      </c>
      <c r="CQ130" s="427">
        <f>IF(OR(CQ$129&lt;='Financing Assumptions'!$H$22,CQ$11&gt;'Financing Assumptions'!$H$26),0,INDEX('Senior Loan Amortization1'!$C$19:$X$440,MATCH(CQ$11,'Senior Loan Amortization1'!$F$19:$F$440,0),MATCH('Senior Loan Amortization1'!$X$19,'Senior Loan Amortization1'!$C$19:$X$19,0)))</f>
        <v>45601128.919356883</v>
      </c>
      <c r="CR130" s="427">
        <f>IF(OR(CR$129&lt;='Financing Assumptions'!$H$22,CR$11&gt;'Financing Assumptions'!$H$26),0,INDEX('Senior Loan Amortization1'!$C$19:$X$440,MATCH(CR$11,'Senior Loan Amortization1'!$F$19:$F$440,0),MATCH('Senior Loan Amortization1'!$X$19,'Senior Loan Amortization1'!$C$19:$X$19,0)))</f>
        <v>45525023.432271227</v>
      </c>
      <c r="CS130" s="427">
        <f>IF(OR(CS$129&lt;='Financing Assumptions'!$H$22,CS$11&gt;'Financing Assumptions'!$H$26),0,INDEX('Senior Loan Amortization1'!$C$19:$X$440,MATCH(CS$11,'Senior Loan Amortization1'!$F$19:$F$440,0),MATCH('Senior Loan Amortization1'!$X$19,'Senior Loan Amortization1'!$C$19:$X$19,0)))</f>
        <v>45448532.132646874</v>
      </c>
      <c r="CT130" s="427">
        <f>IF(OR(CT$129&lt;='Financing Assumptions'!$H$22,CT$11&gt;'Financing Assumptions'!$H$26),0,INDEX('Senior Loan Amortization1'!$C$19:$X$440,MATCH(CT$11,'Senior Loan Amortization1'!$F$19:$F$440,0),MATCH('Senior Loan Amortization1'!$X$19,'Senior Loan Amortization1'!$C$19:$X$19,0)))</f>
        <v>45371653.064628594</v>
      </c>
      <c r="CU130" s="427">
        <f>IF(OR(CU$129&lt;='Financing Assumptions'!$H$22,CU$11&gt;'Financing Assumptions'!$H$26),0,INDEX('Senior Loan Amortization1'!$C$19:$X$440,MATCH(CU$11,'Senior Loan Amortization1'!$F$19:$F$440,0),MATCH('Senior Loan Amortization1'!$X$19,'Senior Loan Amortization1'!$C$19:$X$19,0)))</f>
        <v>45294384.262446053</v>
      </c>
      <c r="CV130" s="427">
        <f>IF(OR(CV$129&lt;='Financing Assumptions'!$H$22,CV$11&gt;'Financing Assumptions'!$H$26),0,INDEX('Senior Loan Amortization1'!$C$19:$X$440,MATCH(CV$11,'Senior Loan Amortization1'!$F$19:$F$440,0),MATCH('Senior Loan Amortization1'!$X$19,'Senior Loan Amortization1'!$C$19:$X$19,0)))</f>
        <v>45216723.750363559</v>
      </c>
      <c r="CW130" s="427">
        <f>IF(OR(CW$129&lt;='Financing Assumptions'!$H$22,CW$11&gt;'Financing Assumptions'!$H$26),0,INDEX('Senior Loan Amortization1'!$C$19:$X$440,MATCH(CW$11,'Senior Loan Amortization1'!$F$19:$F$440,0),MATCH('Senior Loan Amortization1'!$X$19,'Senior Loan Amortization1'!$C$19:$X$19,0)))</f>
        <v>45138669.54262954</v>
      </c>
      <c r="CX130" s="427">
        <f>IF(OR(CX$129&lt;='Financing Assumptions'!$H$22,CX$11&gt;'Financing Assumptions'!$H$26),0,INDEX('Senior Loan Amortization1'!$C$19:$X$440,MATCH(CX$11,'Senior Loan Amortization1'!$F$19:$F$440,0),MATCH('Senior Loan Amortization1'!$X$19,'Senior Loan Amortization1'!$C$19:$X$19,0)))</f>
        <v>45060219.643425755</v>
      </c>
      <c r="CY130" s="427">
        <f>IF(OR(CY$129&lt;='Financing Assumptions'!$H$22,CY$11&gt;'Financing Assumptions'!$H$26),0,INDEX('Senior Loan Amortization1'!$C$19:$X$440,MATCH(CY$11,'Senior Loan Amortization1'!$F$19:$F$440,0),MATCH('Senior Loan Amortization1'!$X$19,'Senior Loan Amortization1'!$C$19:$X$19,0)))</f>
        <v>44981372.046816282</v>
      </c>
      <c r="CZ130" s="427">
        <f>IF(OR(CZ$129&lt;='Financing Assumptions'!$H$22,CZ$11&gt;'Financing Assumptions'!$H$26),0,INDEX('Senior Loan Amortization1'!$C$19:$X$440,MATCH(CZ$11,'Senior Loan Amortization1'!$F$19:$F$440,0),MATCH('Senior Loan Amortization1'!$X$19,'Senior Loan Amortization1'!$C$19:$X$19,0)))</f>
        <v>44902124.736696221</v>
      </c>
      <c r="DA130" s="427">
        <f>IF(OR(DA$129&lt;='Financing Assumptions'!$H$22,DA$11&gt;'Financing Assumptions'!$H$26),0,INDEX('Senior Loan Amortization1'!$C$19:$X$440,MATCH(DA$11,'Senior Loan Amortization1'!$F$19:$F$440,0),MATCH('Senior Loan Amortization1'!$X$19,'Senior Loan Amortization1'!$C$19:$X$19,0)))</f>
        <v>44822475.686740138</v>
      </c>
      <c r="DB130" s="427">
        <f>IF(OR(DB$129&lt;='Financing Assumptions'!$H$22,DB$11&gt;'Financing Assumptions'!$H$26),0,INDEX('Senior Loan Amortization1'!$C$19:$X$440,MATCH(DB$11,'Senior Loan Amortization1'!$F$19:$F$440,0),MATCH('Senior Loan Amortization1'!$X$19,'Senior Loan Amortization1'!$C$19:$X$19,0)))</f>
        <v>44742422.860350251</v>
      </c>
      <c r="DC130" s="427">
        <f>IF(OR(DC$129&lt;='Financing Assumptions'!$H$22,DC$11&gt;'Financing Assumptions'!$H$26),0,INDEX('Senior Loan Amortization1'!$C$19:$X$440,MATCH(DC$11,'Senior Loan Amortization1'!$F$19:$F$440,0),MATCH('Senior Loan Amortization1'!$X$19,'Senior Loan Amortization1'!$C$19:$X$19,0)))</f>
        <v>44661964.210604355</v>
      </c>
      <c r="DD130" s="427">
        <f>IF(OR(DD$129&lt;='Financing Assumptions'!$H$22,DD$11&gt;'Financing Assumptions'!$H$26),0,INDEX('Senior Loan Amortization1'!$C$19:$X$440,MATCH(DD$11,'Senior Loan Amortization1'!$F$19:$F$440,0),MATCH('Senior Loan Amortization1'!$X$19,'Senior Loan Amortization1'!$C$19:$X$19,0)))</f>
        <v>44581097.680203497</v>
      </c>
      <c r="DE130" s="427">
        <f>IF(OR(DE$129&lt;='Financing Assumptions'!$H$22,DE$11&gt;'Financing Assumptions'!$H$26),0,INDEX('Senior Loan Amortization1'!$C$19:$X$440,MATCH(DE$11,'Senior Loan Amortization1'!$F$19:$F$440,0),MATCH('Senior Loan Amortization1'!$X$19,'Senior Loan Amortization1'!$C$19:$X$19,0)))</f>
        <v>44499821.201419361</v>
      </c>
      <c r="DF130" s="427">
        <f>IF(OR(DF$129&lt;='Financing Assumptions'!$H$22,DF$11&gt;'Financing Assumptions'!$H$26),0,INDEX('Senior Loan Amortization1'!$C$19:$X$440,MATCH(DF$11,'Senior Loan Amortization1'!$F$19:$F$440,0),MATCH('Senior Loan Amortization1'!$X$19,'Senior Loan Amortization1'!$C$19:$X$19,0)))</f>
        <v>44418132.696041383</v>
      </c>
      <c r="DG130" s="427">
        <f>IF(OR(DG$129&lt;='Financing Assumptions'!$H$22,DG$11&gt;'Financing Assumptions'!$H$26),0,INDEX('Senior Loan Amortization1'!$C$19:$X$440,MATCH(DG$11,'Senior Loan Amortization1'!$F$19:$F$440,0),MATCH('Senior Loan Amortization1'!$X$19,'Senior Loan Amortization1'!$C$19:$X$19,0)))</f>
        <v>44336030.075323641</v>
      </c>
      <c r="DH130" s="427">
        <f>IF(OR(DH$129&lt;='Financing Assumptions'!$H$22,DH$11&gt;'Financing Assumptions'!$H$26),0,INDEX('Senior Loan Amortization1'!$C$19:$X$440,MATCH(DH$11,'Senior Loan Amortization1'!$F$19:$F$440,0),MATCH('Senior Loan Amortization1'!$X$19,'Senior Loan Amortization1'!$C$19:$X$19,0)))</f>
        <v>44253511.239931434</v>
      </c>
      <c r="DI130" s="427">
        <f>IF(OR(DI$129&lt;='Financing Assumptions'!$H$22,DI$11&gt;'Financing Assumptions'!$H$26),0,INDEX('Senior Loan Amortization1'!$C$19:$X$440,MATCH(DI$11,'Senior Loan Amortization1'!$F$19:$F$440,0),MATCH('Senior Loan Amortization1'!$X$19,'Senior Loan Amortization1'!$C$19:$X$19,0)))</f>
        <v>44170574.079887584</v>
      </c>
      <c r="DJ130" s="427">
        <f>IF(OR(DJ$129&lt;='Financing Assumptions'!$H$22,DJ$11&gt;'Financing Assumptions'!$H$26),0,INDEX('Senior Loan Amortization1'!$C$19:$X$440,MATCH(DJ$11,'Senior Loan Amortization1'!$F$19:$F$440,0),MATCH('Senior Loan Amortization1'!$X$19,'Senior Loan Amortization1'!$C$19:$X$19,0)))</f>
        <v>44087216.474518508</v>
      </c>
      <c r="DK130" s="427">
        <f>IF(OR(DK$129&lt;='Financing Assumptions'!$H$22,DK$11&gt;'Financing Assumptions'!$H$26),0,INDEX('Senior Loan Amortization1'!$C$19:$X$440,MATCH(DK$11,'Senior Loan Amortization1'!$F$19:$F$440,0),MATCH('Senior Loan Amortization1'!$X$19,'Senior Loan Amortization1'!$C$19:$X$19,0)))</f>
        <v>44003436.292399995</v>
      </c>
      <c r="DL130" s="427">
        <f>IF(OR(DL$129&lt;='Financing Assumptions'!$H$22,DL$11&gt;'Financing Assumptions'!$H$26),0,INDEX('Senior Loan Amortization1'!$C$19:$X$440,MATCH(DL$11,'Senior Loan Amortization1'!$F$19:$F$440,0),MATCH('Senior Loan Amortization1'!$X$19,'Senior Loan Amortization1'!$C$19:$X$19,0)))</f>
        <v>43919231.391302682</v>
      </c>
      <c r="DM130" s="427">
        <f>IF(OR(DM$129&lt;='Financing Assumptions'!$H$22,DM$11&gt;'Financing Assumptions'!$H$26),0,INDEX('Senior Loan Amortization1'!$C$19:$X$440,MATCH(DM$11,'Senior Loan Amortization1'!$F$19:$F$440,0),MATCH('Senior Loan Amortization1'!$X$19,'Senior Loan Amortization1'!$C$19:$X$19,0)))</f>
        <v>43834599.618137307</v>
      </c>
      <c r="DN130" s="427">
        <f>IF(OR(DN$129&lt;='Financing Assumptions'!$H$22,DN$11&gt;'Financing Assumptions'!$H$26),0,INDEX('Senior Loan Amortization1'!$C$19:$X$440,MATCH(DN$11,'Senior Loan Amortization1'!$F$19:$F$440,0),MATCH('Senior Loan Amortization1'!$X$19,'Senior Loan Amortization1'!$C$19:$X$19,0)))</f>
        <v>43749538.808899641</v>
      </c>
      <c r="DO130" s="427">
        <f>IF(OR(DO$129&lt;='Financing Assumptions'!$H$22,DO$11&gt;'Financing Assumptions'!$H$26),0,INDEX('Senior Loan Amortization1'!$C$19:$X$440,MATCH(DO$11,'Senior Loan Amortization1'!$F$19:$F$440,0),MATCH('Senior Loan Amortization1'!$X$19,'Senior Loan Amortization1'!$C$19:$X$19,0)))</f>
        <v>43664046.788615145</v>
      </c>
      <c r="DP130" s="427">
        <f>IF(OR(DP$129&lt;='Financing Assumptions'!$H$22,DP$11&gt;'Financing Assumptions'!$H$26),0,INDEX('Senior Loan Amortization1'!$C$19:$X$440,MATCH(DP$11,'Senior Loan Amortization1'!$F$19:$F$440,0),MATCH('Senior Loan Amortization1'!$X$19,'Senior Loan Amortization1'!$C$19:$X$19,0)))</f>
        <v>43578121.371283367</v>
      </c>
      <c r="DQ130" s="427">
        <f>IF(OR(DQ$129&lt;='Financing Assumptions'!$H$22,DQ$11&gt;'Financing Assumptions'!$H$26),0,INDEX('Senior Loan Amortization1'!$C$19:$X$440,MATCH(DQ$11,'Senior Loan Amortization1'!$F$19:$F$440,0),MATCH('Senior Loan Amortization1'!$X$19,'Senior Loan Amortization1'!$C$19:$X$19,0)))</f>
        <v>43491760.359822065</v>
      </c>
      <c r="DR130" s="427">
        <f>IF(OR(DR$129&lt;='Financing Assumptions'!$H$22,DR$11&gt;'Financing Assumptions'!$H$26),0,INDEX('Senior Loan Amortization1'!$C$19:$X$440,MATCH(DR$11,'Senior Loan Amortization1'!$F$19:$F$440,0),MATCH('Senior Loan Amortization1'!$X$19,'Senior Loan Amortization1'!$C$19:$X$19,0)))</f>
        <v>43404961.546010993</v>
      </c>
      <c r="DS130" s="427">
        <f>IF(OR(DS$129&lt;='Financing Assumptions'!$H$22,DS$11&gt;'Financing Assumptions'!$H$26),0,INDEX('Senior Loan Amortization1'!$C$19:$X$440,MATCH(DS$11,'Senior Loan Amortization1'!$F$19:$F$440,0),MATCH('Senior Loan Amortization1'!$X$19,'Senior Loan Amortization1'!$C$19:$X$19,0)))</f>
        <v>43317722.710435465</v>
      </c>
      <c r="DT130" s="427">
        <f>IF(OR(DT$129&lt;='Financing Assumptions'!$H$22,DT$11&gt;'Financing Assumptions'!$H$26),0,INDEX('Senior Loan Amortization1'!$C$19:$X$440,MATCH(DT$11,'Senior Loan Amortization1'!$F$19:$F$440,0),MATCH('Senior Loan Amortization1'!$X$19,'Senior Loan Amortization1'!$C$19:$X$19,0)))</f>
        <v>43230041.622429587</v>
      </c>
      <c r="DU130" s="427">
        <f>IF(OR(DU$129&lt;='Financing Assumptions'!$H$22,DU$11&gt;'Financing Assumptions'!$H$26),0,INDEX('Senior Loan Amortization1'!$C$19:$X$440,MATCH(DU$11,'Senior Loan Amortization1'!$F$19:$F$440,0),MATCH('Senior Loan Amortization1'!$X$19,'Senior Loan Amortization1'!$C$19:$X$19,0)))</f>
        <v>43141916.040019237</v>
      </c>
      <c r="DV130" s="427">
        <f>IF(OR(DV$129&lt;='Financing Assumptions'!$H$22,DV$11&gt;'Financing Assumptions'!$H$26),0,INDEX('Senior Loan Amortization1'!$C$19:$X$440,MATCH(DV$11,'Senior Loan Amortization1'!$F$19:$F$440,0),MATCH('Senior Loan Amortization1'!$X$19,'Senior Loan Amortization1'!$C$19:$X$19,0)))</f>
        <v>43053343.709864721</v>
      </c>
      <c r="DW130" s="427">
        <f>IF(OR(DW$129&lt;='Financing Assumptions'!$H$22,DW$11&gt;'Financing Assumptions'!$H$26),0,INDEX('Senior Loan Amortization1'!$C$19:$X$440,MATCH(DW$11,'Senior Loan Amortization1'!$F$19:$F$440,0),MATCH('Senior Loan Amortization1'!$X$19,'Senior Loan Amortization1'!$C$19:$X$19,0)))</f>
        <v>42964322.367203169</v>
      </c>
      <c r="DX130" s="427">
        <f>IF(OR(DX$129&lt;='Financing Assumptions'!$H$22,DX$11&gt;'Financing Assumptions'!$H$26),0,INDEX('Senior Loan Amortization1'!$C$19:$X$440,MATCH(DX$11,'Senior Loan Amortization1'!$F$19:$F$440,0),MATCH('Senior Loan Amortization1'!$X$19,'Senior Loan Amortization1'!$C$19:$X$19,0)))</f>
        <v>42874849.735790625</v>
      </c>
      <c r="DY130" s="427">
        <f>IF(OR(DY$129&lt;='Financing Assumptions'!$H$22,DY$11&gt;'Financing Assumptions'!$H$26),0,INDEX('Senior Loan Amortization1'!$C$19:$X$440,MATCH(DY$11,'Senior Loan Amortization1'!$F$19:$F$440,0),MATCH('Senior Loan Amortization1'!$X$19,'Senior Loan Amortization1'!$C$19:$X$19,0)))</f>
        <v>42784923.52784384</v>
      </c>
      <c r="DZ130" s="427">
        <f>IF(OR(DZ$129&lt;='Financing Assumptions'!$H$22,DZ$11&gt;'Financing Assumptions'!$H$26),0,INDEX('Senior Loan Amortization1'!$C$19:$X$440,MATCH(DZ$11,'Senior Loan Amortization1'!$F$19:$F$440,0),MATCH('Senior Loan Amortization1'!$X$19,'Senior Loan Amortization1'!$C$19:$X$19,0)))</f>
        <v>42694541.443981767</v>
      </c>
      <c r="EA130" s="427">
        <f>IF(OR(EA$129&lt;='Financing Assumptions'!$H$22,EA$11&gt;'Financing Assumptions'!$H$26),0,INDEX('Senior Loan Amortization1'!$C$19:$X$440,MATCH(EA$11,'Senior Loan Amortization1'!$F$19:$F$440,0),MATCH('Senior Loan Amortization1'!$X$19,'Senior Loan Amortization1'!$C$19:$X$19,0)))</f>
        <v>42603701.173166782</v>
      </c>
      <c r="EB130" s="427">
        <f>IF(OR(EB$129&lt;='Financing Assumptions'!$H$22,EB$11&gt;'Financing Assumptions'!$H$26),0,INDEX('Senior Loan Amortization1'!$C$19:$X$440,MATCH(EB$11,'Senior Loan Amortization1'!$F$19:$F$440,0),MATCH('Senior Loan Amortization1'!$X$19,'Senior Loan Amortization1'!$C$19:$X$19,0)))</f>
        <v>42512400.392645583</v>
      </c>
      <c r="EC130" s="427">
        <f>IF(OR(EC$129&lt;='Financing Assumptions'!$H$22,EC$11&gt;'Financing Assumptions'!$H$26),0,INDEX('Senior Loan Amortization1'!$C$19:$X$440,MATCH(EC$11,'Senior Loan Amortization1'!$F$19:$F$440,0),MATCH('Senior Loan Amortization1'!$X$19,'Senior Loan Amortization1'!$C$19:$X$19,0)))</f>
        <v>42420636.767889798</v>
      </c>
      <c r="ED130" s="427">
        <f>IF(OR(ED$129&lt;='Financing Assumptions'!$H$22,ED$11&gt;'Financing Assumptions'!$H$26),0,INDEX('Senior Loan Amortization1'!$C$19:$X$440,MATCH(ED$11,'Senior Loan Amortization1'!$F$19:$F$440,0),MATCH('Senior Loan Amortization1'!$X$19,'Senior Loan Amortization1'!$C$19:$X$19,0)))</f>
        <v>42328407.952536292</v>
      </c>
      <c r="EE130" s="427">
        <f>IF(OR(EE$129&lt;='Financing Assumptions'!$H$22,EE$11&gt;'Financing Assumptions'!$H$26),0,INDEX('Senior Loan Amortization1'!$C$19:$X$440,MATCH(EE$11,'Senior Loan Amortization1'!$F$19:$F$440,0),MATCH('Senior Loan Amortization1'!$X$19,'Senior Loan Amortization1'!$C$19:$X$19,0)))</f>
        <v>42235711.588327177</v>
      </c>
      <c r="EF130" s="427">
        <f>IF(OR(EF$129&lt;='Financing Assumptions'!$H$22,EF$11&gt;'Financing Assumptions'!$H$26),0,INDEX('Senior Loan Amortization1'!$C$19:$X$440,MATCH(EF$11,'Senior Loan Amortization1'!$F$19:$F$440,0),MATCH('Senior Loan Amortization1'!$X$19,'Senior Loan Amortization1'!$C$19:$X$19,0)))</f>
        <v>42142545.305049501</v>
      </c>
      <c r="EG130" s="427">
        <f>IF(OR(EG$129&lt;='Financing Assumptions'!$H$22,EG$11&gt;'Financing Assumptions'!$H$26),0,INDEX('Senior Loan Amortization1'!$C$19:$X$440,MATCH(EG$11,'Senior Loan Amortization1'!$F$19:$F$440,0),MATCH('Senior Loan Amortization1'!$X$19,'Senior Loan Amortization1'!$C$19:$X$19,0)))</f>
        <v>42048906.720474653</v>
      </c>
      <c r="EH130" s="427">
        <f>IF(OR(EH$129&lt;='Financing Assumptions'!$H$22,EH$11&gt;'Financing Assumptions'!$H$26),0,INDEX('Senior Loan Amortization1'!$C$19:$X$440,MATCH(EH$11,'Senior Loan Amortization1'!$F$19:$F$440,0),MATCH('Senior Loan Amortization1'!$X$19,'Senior Loan Amortization1'!$C$19:$X$19,0)))</f>
        <v>41954793.440297447</v>
      </c>
      <c r="EI130" s="427">
        <f>IF(OR(EI$129&lt;='Financing Assumptions'!$H$22,EI$11&gt;'Financing Assumptions'!$H$26),0,INDEX('Senior Loan Amortization1'!$C$19:$X$440,MATCH(EI$11,'Senior Loan Amortization1'!$F$19:$F$440,0),MATCH('Senior Loan Amortization1'!$X$19,'Senior Loan Amortization1'!$C$19:$X$19,0)))</f>
        <v>41860203.058074899</v>
      </c>
      <c r="EJ130" s="427">
        <f>IF(OR(EJ$129&lt;='Financing Assumptions'!$H$22,EJ$11&gt;'Financing Assumptions'!$H$26),0,INDEX('Senior Loan Amortization1'!$C$19:$X$440,MATCH(EJ$11,'Senior Loan Amortization1'!$F$19:$F$440,0),MATCH('Senior Loan Amortization1'!$X$19,'Senior Loan Amortization1'!$C$19:$X$19,0)))</f>
        <v>41765133.155164689</v>
      </c>
      <c r="EK130" s="427">
        <f>IF(OR(EK$129&lt;='Financing Assumptions'!$H$22,EK$11&gt;'Financing Assumptions'!$H$26),0,INDEX('Senior Loan Amortization1'!$C$19:$X$440,MATCH(EK$11,'Senior Loan Amortization1'!$F$19:$F$440,0),MATCH('Senior Loan Amortization1'!$X$19,'Senior Loan Amortization1'!$C$19:$X$19,0)))</f>
        <v>41669581.300663337</v>
      </c>
      <c r="EL130" s="427">
        <f>IF(OR(EL$129&lt;='Financing Assumptions'!$H$22,EL$11&gt;'Financing Assumptions'!$H$26),0,INDEX('Senior Loan Amortization1'!$C$19:$X$440,MATCH(EL$11,'Senior Loan Amortization1'!$F$19:$F$440,0),MATCH('Senior Loan Amortization1'!$X$19,'Senior Loan Amortization1'!$C$19:$X$19,0)))</f>
        <v>41573545.05134403</v>
      </c>
      <c r="EM130" s="427">
        <f>IF(OR(EM$129&lt;='Financing Assumptions'!$H$22,EM$11&gt;'Financing Assumptions'!$H$26),0,INDEX('Senior Loan Amortization1'!$C$19:$X$440,MATCH(EM$11,'Senior Loan Amortization1'!$F$19:$F$440,0),MATCH('Senior Loan Amortization1'!$X$19,'Senior Loan Amortization1'!$C$19:$X$19,0)))</f>
        <v>41477021.951594144</v>
      </c>
      <c r="EN130" s="427">
        <f>IF(OR(EN$129&lt;='Financing Assumptions'!$H$22,EN$11&gt;'Financing Assumptions'!$H$26),0,INDEX('Senior Loan Amortization1'!$C$19:$X$440,MATCH(EN$11,'Senior Loan Amortization1'!$F$19:$F$440,0),MATCH('Senior Loan Amortization1'!$X$19,'Senior Loan Amortization1'!$C$19:$X$19,0)))</f>
        <v>41380009.533352472</v>
      </c>
      <c r="EO130" s="427">
        <f>IF(OR(EO$129&lt;='Financing Assumptions'!$H$22,EO$11&gt;'Financing Assumptions'!$H$26),0,INDEX('Senior Loan Amortization1'!$C$19:$X$440,MATCH(EO$11,'Senior Loan Amortization1'!$F$19:$F$440,0),MATCH('Senior Loan Amortization1'!$X$19,'Senior Loan Amortization1'!$C$19:$X$19,0)))</f>
        <v>41282505.316046104</v>
      </c>
      <c r="EP130" s="427">
        <f>IF(OR(EP$129&lt;='Financing Assumptions'!$H$22,EP$11&gt;'Financing Assumptions'!$H$26),0,INDEX('Senior Loan Amortization1'!$C$19:$X$440,MATCH(EP$11,'Senior Loan Amortization1'!$F$19:$F$440,0),MATCH('Senior Loan Amortization1'!$X$19,'Senior Loan Amortization1'!$C$19:$X$19,0)))</f>
        <v>41184506.806527004</v>
      </c>
      <c r="EQ130" s="427">
        <f>IF(OR(EQ$129&lt;='Financing Assumptions'!$H$22,EQ$11&gt;'Financing Assumptions'!$H$26),0,INDEX('Senior Loan Amortization1'!$C$19:$X$440,MATCH(EQ$11,'Senior Loan Amortization1'!$F$19:$F$440,0),MATCH('Senior Loan Amortization1'!$X$19,'Senior Loan Amortization1'!$C$19:$X$19,0)))</f>
        <v>41086011.499008253</v>
      </c>
      <c r="ER130" s="427">
        <f>IF(OR(ER$129&lt;='Financing Assumptions'!$H$22,ER$11&gt;'Financing Assumptions'!$H$26),0,INDEX('Senior Loan Amortization1'!$C$19:$X$440,MATCH(ER$11,'Senior Loan Amortization1'!$F$19:$F$440,0),MATCH('Senior Loan Amortization1'!$X$19,'Senior Loan Amortization1'!$C$19:$X$19,0)))</f>
        <v>40987016.875</v>
      </c>
      <c r="ES130" s="427">
        <f>IF(OR(ES$129&lt;='Financing Assumptions'!$H$22,ES$11&gt;'Financing Assumptions'!$H$26),0,INDEX('Senior Loan Amortization1'!$C$19:$X$440,MATCH(ES$11,'Senior Loan Amortization1'!$F$19:$F$440,0),MATCH('Senior Loan Amortization1'!$X$19,'Senior Loan Amortization1'!$C$19:$X$19,0)))</f>
        <v>40887520.403245039</v>
      </c>
      <c r="ET130" s="427">
        <f>IF(OR(ET$129&lt;='Financing Assumptions'!$H$22,ET$11&gt;'Financing Assumptions'!$H$26),0,INDEX('Senior Loan Amortization1'!$C$19:$X$440,MATCH(ET$11,'Senior Loan Amortization1'!$F$19:$F$440,0),MATCH('Senior Loan Amortization1'!$X$19,'Senior Loan Amortization1'!$C$19:$X$19,0)))</f>
        <v>40787519.539654098</v>
      </c>
      <c r="EU130" s="427">
        <f>IF(OR(EU$129&lt;='Financing Assumptions'!$H$22,EU$11&gt;'Financing Assumptions'!$H$26),0,INDEX('Senior Loan Amortization1'!$C$19:$X$440,MATCH(EU$11,'Senior Loan Amortization1'!$F$19:$F$440,0),MATCH('Senior Loan Amortization1'!$X$19,'Senior Loan Amortization1'!$C$19:$X$19,0)))</f>
        <v>40687011.727240786</v>
      </c>
      <c r="EV130" s="427">
        <f>IF(OR(EV$129&lt;='Financing Assumptions'!$H$22,EV$11&gt;'Financing Assumptions'!$H$26),0,INDEX('Senior Loan Amortization1'!$C$19:$X$440,MATCH(EV$11,'Senior Loan Amortization1'!$F$19:$F$440,0),MATCH('Senior Loan Amortization1'!$X$19,'Senior Loan Amortization1'!$C$19:$X$19,0)))</f>
        <v>40585994.396056212</v>
      </c>
      <c r="EW130" s="427">
        <f>IF(OR(EW$129&lt;='Financing Assumptions'!$H$22,EW$11&gt;'Financing Assumptions'!$H$26),0,INDEX('Senior Loan Amortization1'!$C$19:$X$440,MATCH(EW$11,'Senior Loan Amortization1'!$F$19:$F$440,0),MATCH('Senior Loan Amortization1'!$X$19,'Senior Loan Amortization1'!$C$19:$X$19,0)))</f>
        <v>40484464.963123269</v>
      </c>
      <c r="EX130" s="427">
        <f>IF(OR(EX$129&lt;='Financing Assumptions'!$H$22,EX$11&gt;'Financing Assumptions'!$H$26),0,INDEX('Senior Loan Amortization1'!$C$19:$X$440,MATCH(EX$11,'Senior Loan Amortization1'!$F$19:$F$440,0),MATCH('Senior Loan Amortization1'!$X$19,'Senior Loan Amortization1'!$C$19:$X$19,0)))</f>
        <v>40382420.832370602</v>
      </c>
      <c r="EY130" s="427">
        <f>IF(OR(EY$129&lt;='Financing Assumptions'!$H$22,EY$11&gt;'Financing Assumptions'!$H$26),0,INDEX('Senior Loan Amortization1'!$C$19:$X$440,MATCH(EY$11,'Senior Loan Amortization1'!$F$19:$F$440,0),MATCH('Senior Loan Amortization1'!$X$19,'Senior Loan Amortization1'!$C$19:$X$19,0)))</f>
        <v>40279859.394566201</v>
      </c>
      <c r="EZ130" s="427">
        <f>IF(OR(EZ$129&lt;='Financing Assumptions'!$H$22,EZ$11&gt;'Financing Assumptions'!$H$26),0,INDEX('Senior Loan Amortization1'!$C$19:$X$440,MATCH(EZ$11,'Senior Loan Amortization1'!$F$19:$F$440,0),MATCH('Senior Loan Amortization1'!$X$19,'Senior Loan Amortization1'!$C$19:$X$19,0)))</f>
        <v>40176778.027250707</v>
      </c>
      <c r="FA130" s="427">
        <f>IF(OR(FA$129&lt;='Financing Assumptions'!$H$22,FA$11&gt;'Financing Assumptions'!$H$26),0,INDEX('Senior Loan Amortization1'!$C$19:$X$440,MATCH(FA$11,'Senior Loan Amortization1'!$F$19:$F$440,0),MATCH('Senior Loan Amortization1'!$X$19,'Senior Loan Amortization1'!$C$19:$X$19,0)))</f>
        <v>40073174.094670348</v>
      </c>
      <c r="FB130" s="427">
        <f>IF(OR(FB$129&lt;='Financing Assumptions'!$H$22,FB$11&gt;'Financing Assumptions'!$H$26),0,INDEX('Senior Loan Amortization1'!$C$19:$X$440,MATCH(FB$11,'Senior Loan Amortization1'!$F$19:$F$440,0),MATCH('Senior Loan Amortization1'!$X$19,'Senior Loan Amortization1'!$C$19:$X$19,0)))</f>
        <v>39969044.947709545</v>
      </c>
      <c r="FC130" s="427">
        <f>IF(OR(FC$129&lt;='Financing Assumptions'!$H$22,FC$11&gt;'Financing Assumptions'!$H$26),0,INDEX('Senior Loan Amortization1'!$C$19:$X$440,MATCH(FC$11,'Senior Loan Amortization1'!$F$19:$F$440,0),MATCH('Senior Loan Amortization1'!$X$19,'Senior Loan Amortization1'!$C$19:$X$19,0)))</f>
        <v>39864387.923823178</v>
      </c>
      <c r="FD130" s="427">
        <f>IF(OR(FD$129&lt;='Financing Assumptions'!$H$22,FD$11&gt;'Financing Assumptions'!$H$26),0,INDEX('Senior Loan Amortization1'!$C$19:$X$440,MATCH(FD$11,'Senior Loan Amortization1'!$F$19:$F$440,0),MATCH('Senior Loan Amortization1'!$X$19,'Senior Loan Amortization1'!$C$19:$X$19,0)))</f>
        <v>39759200.346968502</v>
      </c>
      <c r="FE130" s="427">
        <f>IF(OR(FE$129&lt;='Financing Assumptions'!$H$22,FE$11&gt;'Financing Assumptions'!$H$26),0,INDEX('Senior Loan Amortization1'!$C$19:$X$440,MATCH(FE$11,'Senior Loan Amortization1'!$F$19:$F$440,0),MATCH('Senior Loan Amortization1'!$X$19,'Senior Loan Amortization1'!$C$19:$X$19,0)))</f>
        <v>39653479.527536713</v>
      </c>
      <c r="FF130" s="427">
        <f>IF(OR(FF$129&lt;='Financing Assumptions'!$H$22,FF$11&gt;'Financing Assumptions'!$H$26),0,INDEX('Senior Loan Amortization1'!$C$19:$X$440,MATCH(FF$11,'Senior Loan Amortization1'!$F$19:$F$440,0),MATCH('Senior Loan Amortization1'!$X$19,'Senior Loan Amortization1'!$C$19:$X$19,0)))</f>
        <v>39547222.762284197</v>
      </c>
      <c r="FG130" s="427">
        <f>IF(OR(FG$129&lt;='Financing Assumptions'!$H$22,FG$11&gt;'Financing Assumptions'!$H$26),0,INDEX('Senior Loan Amortization1'!$C$19:$X$440,MATCH(FG$11,'Senior Loan Amortization1'!$F$19:$F$440,0),MATCH('Senior Loan Amortization1'!$X$19,'Senior Loan Amortization1'!$C$19:$X$19,0)))</f>
        <v>39440427.334263384</v>
      </c>
      <c r="FH130" s="427">
        <f>IF(OR(FH$129&lt;='Financing Assumptions'!$H$22,FH$11&gt;'Financing Assumptions'!$H$26),0,INDEX('Senior Loan Amortization1'!$C$19:$X$440,MATCH(FH$11,'Senior Loan Amortization1'!$F$19:$F$440,0),MATCH('Senior Loan Amortization1'!$X$19,'Senior Loan Amortization1'!$C$19:$X$19,0)))</f>
        <v>39333090.5127533</v>
      </c>
      <c r="FI130" s="427">
        <f>IF(OR(FI$129&lt;='Financing Assumptions'!$H$22,FI$11&gt;'Financing Assumptions'!$H$26),0,INDEX('Senior Loan Amortization1'!$C$19:$X$440,MATCH(FI$11,'Senior Loan Amortization1'!$F$19:$F$440,0),MATCH('Senior Loan Amortization1'!$X$19,'Senior Loan Amortization1'!$C$19:$X$19,0)))</f>
        <v>39225209.553189725</v>
      </c>
      <c r="FJ130" s="427">
        <f>IF(OR(FJ$129&lt;='Financing Assumptions'!$H$22,FJ$11&gt;'Financing Assumptions'!$H$26),0,INDEX('Senior Loan Amortization1'!$C$19:$X$440,MATCH(FJ$11,'Senior Loan Amortization1'!$F$19:$F$440,0),MATCH('Senior Loan Amortization1'!$X$19,'Senior Loan Amortization1'!$C$19:$X$19,0)))</f>
        <v>39116781.697095029</v>
      </c>
      <c r="FK130" s="427">
        <f>IF(OR(FK$129&lt;='Financing Assumptions'!$H$22,FK$11&gt;'Financing Assumptions'!$H$26),0,INDEX('Senior Loan Amortization1'!$C$19:$X$440,MATCH(FK$11,'Senior Loan Amortization1'!$F$19:$F$440,0),MATCH('Senior Loan Amortization1'!$X$19,'Senior Loan Amortization1'!$C$19:$X$19,0)))</f>
        <v>39007804.172007635</v>
      </c>
      <c r="FL130" s="427">
        <f>IF(OR(FL$129&lt;='Financing Assumptions'!$H$22,FL$11&gt;'Financing Assumptions'!$H$26),0,INDEX('Senior Loan Amortization1'!$C$19:$X$440,MATCH(FL$11,'Senior Loan Amortization1'!$F$19:$F$440,0),MATCH('Senior Loan Amortization1'!$X$19,'Senior Loan Amortization1'!$C$19:$X$19,0)))</f>
        <v>38898274.191411115</v>
      </c>
      <c r="FM130" s="427">
        <f>IF(OR(FM$129&lt;='Financing Assumptions'!$H$22,FM$11&gt;'Financing Assumptions'!$H$26),0,INDEX('Senior Loan Amortization1'!$C$19:$X$440,MATCH(FM$11,'Senior Loan Amortization1'!$F$19:$F$440,0),MATCH('Senior Loan Amortization1'!$X$19,'Senior Loan Amortization1'!$C$19:$X$19,0)))</f>
        <v>38788188.954662956</v>
      </c>
      <c r="FN130" s="427">
        <f>IF(OR(FN$129&lt;='Financing Assumptions'!$H$22,FN$11&gt;'Financing Assumptions'!$H$26),0,INDEX('Senior Loan Amortization1'!$C$19:$X$440,MATCH(FN$11,'Senior Loan Amortization1'!$F$19:$F$440,0),MATCH('Senior Loan Amortization1'!$X$19,'Senior Loan Amortization1'!$C$19:$X$19,0)))</f>
        <v>38677545.646922953</v>
      </c>
      <c r="FO130" s="427">
        <f>IF(OR(FO$129&lt;='Financing Assumptions'!$H$22,FO$11&gt;'Financing Assumptions'!$H$26),0,INDEX('Senior Loan Amortization1'!$C$19:$X$440,MATCH(FO$11,'Senior Loan Amortization1'!$F$19:$F$440,0),MATCH('Senior Loan Amortization1'!$X$19,'Senior Loan Amortization1'!$C$19:$X$19,0)))</f>
        <v>38566341.439081214</v>
      </c>
      <c r="FP130" s="427">
        <f>IF(OR(FP$129&lt;='Financing Assumptions'!$H$22,FP$11&gt;'Financing Assumptions'!$H$26),0,INDEX('Senior Loan Amortization1'!$C$19:$X$440,MATCH(FP$11,'Senior Loan Amortization1'!$F$19:$F$440,0),MATCH('Senior Loan Amortization1'!$X$19,'Senior Loan Amortization1'!$C$19:$X$19,0)))</f>
        <v>38454573.487685829</v>
      </c>
      <c r="FQ130" s="427">
        <f>IF(OR(FQ$129&lt;='Financing Assumptions'!$H$22,FQ$11&gt;'Financing Assumptions'!$H$26),0,INDEX('Senior Loan Amortization1'!$C$19:$X$440,MATCH(FQ$11,'Senior Loan Amortization1'!$F$19:$F$440,0),MATCH('Senior Loan Amortization1'!$X$19,'Senior Loan Amortization1'!$C$19:$X$19,0)))</f>
        <v>38342238.934870176</v>
      </c>
      <c r="FR130" s="427">
        <f>IF(OR(FR$129&lt;='Financing Assumptions'!$H$22,FR$11&gt;'Financing Assumptions'!$H$26),0,INDEX('Senior Loan Amortization1'!$C$19:$X$440,MATCH(FR$11,'Senior Loan Amortization1'!$F$19:$F$440,0),MATCH('Senior Loan Amortization1'!$X$19,'Senior Loan Amortization1'!$C$19:$X$19,0)))</f>
        <v>38229334.908279836</v>
      </c>
      <c r="FS130" s="427">
        <f>IF(OR(FS$129&lt;='Financing Assumptions'!$H$22,FS$11&gt;'Financing Assumptions'!$H$26),0,INDEX('Senior Loan Amortization1'!$C$19:$X$440,MATCH(FS$11,'Senior Loan Amortization1'!$F$19:$F$440,0),MATCH('Senior Loan Amortization1'!$X$19,'Senior Loan Amortization1'!$C$19:$X$19,0)))</f>
        <v>38115858.520999141</v>
      </c>
      <c r="FT130" s="427">
        <f>IF(OR(FT$129&lt;='Financing Assumptions'!$H$22,FT$11&gt;'Financing Assumptions'!$H$26),0,INDEX('Senior Loan Amortization1'!$C$19:$X$440,MATCH(FT$11,'Senior Loan Amortization1'!$F$19:$F$440,0),MATCH('Senior Loan Amortization1'!$X$19,'Senior Loan Amortization1'!$C$19:$X$19,0)))</f>
        <v>38001806.871477373</v>
      </c>
      <c r="FU130" s="43"/>
      <c r="FV130" s="34"/>
      <c r="FW130" s="34"/>
      <c r="FX130" s="34"/>
      <c r="FY130" s="34"/>
      <c r="FZ130" s="34"/>
    </row>
    <row r="131" spans="1:182" s="89" customFormat="1" ht="13.5" outlineLevel="1" x14ac:dyDescent="0.25">
      <c r="A131" s="34"/>
      <c r="B131" s="1222" t="s">
        <v>599</v>
      </c>
      <c r="C131" s="34"/>
      <c r="D131" s="34"/>
      <c r="E131" s="34"/>
      <c r="F131" s="428"/>
      <c r="G131" s="34"/>
      <c r="H131" s="427">
        <f>IF('Financing Assumptions'!$H$30="No",0,IF(AND('Financing Assumptions'!$H$30="Yes",H$9&lt;'Financing Assumptions'!$G$34),0,INDEX('Senior Perm Amortization1'!$C$19:$U$440,MATCH(H$11,'Senior Perm Amortization1'!$E$19:$E$440,0),MATCH('Senior Perm Amortization1'!$U$19,'Senior Perm Amortization1'!$C$19:$U$19,0))))</f>
        <v>0</v>
      </c>
      <c r="I131" s="427">
        <f>IF('Financing Assumptions'!$H$30="No",0,IF(AND('Financing Assumptions'!$H$30="Yes",I$9&lt;'Financing Assumptions'!$G$34),0,INDEX('Senior Perm Amortization1'!$C$19:$U$440,MATCH(I$11,'Senior Perm Amortization1'!$E$19:$E$440,0),MATCH('Senior Perm Amortization1'!$U$19,'Senior Perm Amortization1'!$C$19:$U$19,0))))</f>
        <v>0</v>
      </c>
      <c r="J131" s="427">
        <f>IF('Financing Assumptions'!$H$30="No",0,IF(AND('Financing Assumptions'!$H$30="Yes",J$9&lt;'Financing Assumptions'!$G$34),0,INDEX('Senior Perm Amortization1'!$C$19:$U$440,MATCH(J$11,'Senior Perm Amortization1'!$E$19:$E$440,0),MATCH('Senior Perm Amortization1'!$U$19,'Senior Perm Amortization1'!$C$19:$U$19,0))))</f>
        <v>0</v>
      </c>
      <c r="K131" s="427">
        <f>IF('Financing Assumptions'!$H$30="No",0,IF(AND('Financing Assumptions'!$H$30="Yes",K$9&lt;'Financing Assumptions'!$G$34),0,INDEX('Senior Perm Amortization1'!$C$19:$U$440,MATCH(K$11,'Senior Perm Amortization1'!$E$19:$E$440,0),MATCH('Senior Perm Amortization1'!$U$19,'Senior Perm Amortization1'!$C$19:$U$19,0))))</f>
        <v>0</v>
      </c>
      <c r="L131" s="427">
        <f>IF('Financing Assumptions'!$H$30="No",0,IF(AND('Financing Assumptions'!$H$30="Yes",L$9&lt;'Financing Assumptions'!$G$34),0,INDEX('Senior Perm Amortization1'!$C$19:$U$440,MATCH(L$11,'Senior Perm Amortization1'!$E$19:$E$440,0),MATCH('Senior Perm Amortization1'!$U$19,'Senior Perm Amortization1'!$C$19:$U$19,0))))</f>
        <v>0</v>
      </c>
      <c r="M131" s="427">
        <f>IF('Financing Assumptions'!$H$30="No",0,IF(AND('Financing Assumptions'!$H$30="Yes",M$9&lt;'Financing Assumptions'!$G$34),0,INDEX('Senior Perm Amortization1'!$C$19:$U$440,MATCH(M$11,'Senior Perm Amortization1'!$E$19:$E$440,0),MATCH('Senior Perm Amortization1'!$U$19,'Senior Perm Amortization1'!$C$19:$U$19,0))))</f>
        <v>0</v>
      </c>
      <c r="N131" s="427">
        <f>IF('Financing Assumptions'!$H$30="No",0,IF(AND('Financing Assumptions'!$H$30="Yes",N$9&lt;'Financing Assumptions'!$G$34),0,INDEX('Senior Perm Amortization1'!$C$19:$U$440,MATCH(N$11,'Senior Perm Amortization1'!$E$19:$E$440,0),MATCH('Senior Perm Amortization1'!$U$19,'Senior Perm Amortization1'!$C$19:$U$19,0))))</f>
        <v>0</v>
      </c>
      <c r="O131" s="427">
        <f>IF('Financing Assumptions'!$H$30="No",0,IF(AND('Financing Assumptions'!$H$30="Yes",O$9&lt;'Financing Assumptions'!$G$34),0,INDEX('Senior Perm Amortization1'!$C$19:$U$440,MATCH(O$11,'Senior Perm Amortization1'!$E$19:$E$440,0),MATCH('Senior Perm Amortization1'!$U$19,'Senior Perm Amortization1'!$C$19:$U$19,0))))</f>
        <v>0</v>
      </c>
      <c r="P131" s="427">
        <f>IF('Financing Assumptions'!$H$30="No",0,IF(AND('Financing Assumptions'!$H$30="Yes",P$9&lt;'Financing Assumptions'!$G$34),0,INDEX('Senior Perm Amortization1'!$C$19:$U$440,MATCH(P$11,'Senior Perm Amortization1'!$E$19:$E$440,0),MATCH('Senior Perm Amortization1'!$U$19,'Senior Perm Amortization1'!$C$19:$U$19,0))))</f>
        <v>0</v>
      </c>
      <c r="Q131" s="427">
        <f>IF('Financing Assumptions'!$H$30="No",0,IF(AND('Financing Assumptions'!$H$30="Yes",Q$9&lt;'Financing Assumptions'!$G$34),0,INDEX('Senior Perm Amortization1'!$C$19:$U$440,MATCH(Q$11,'Senior Perm Amortization1'!$E$19:$E$440,0),MATCH('Senior Perm Amortization1'!$U$19,'Senior Perm Amortization1'!$C$19:$U$19,0))))</f>
        <v>0</v>
      </c>
      <c r="R131" s="427">
        <f>IF('Financing Assumptions'!$H$30="No",0,IF(AND('Financing Assumptions'!$H$30="Yes",R$9&lt;'Financing Assumptions'!$G$34),0,INDEX('Senior Perm Amortization1'!$C$19:$U$440,MATCH(R$11,'Senior Perm Amortization1'!$E$19:$E$440,0),MATCH('Senior Perm Amortization1'!$U$19,'Senior Perm Amortization1'!$C$19:$U$19,0))))</f>
        <v>0</v>
      </c>
      <c r="S131" s="427">
        <f>IF('Financing Assumptions'!$H$30="No",0,IF(AND('Financing Assumptions'!$H$30="Yes",S$9&lt;'Financing Assumptions'!$G$34),0,INDEX('Senior Perm Amortization1'!$C$19:$U$440,MATCH(S$11,'Senior Perm Amortization1'!$E$19:$E$440,0),MATCH('Senior Perm Amortization1'!$U$19,'Senior Perm Amortization1'!$C$19:$U$19,0))))</f>
        <v>0</v>
      </c>
      <c r="T131" s="427">
        <f>IF('Financing Assumptions'!$H$30="No",0,IF(AND('Financing Assumptions'!$H$30="Yes",T$9&lt;'Financing Assumptions'!$G$34),0,INDEX('Senior Perm Amortization1'!$C$19:$U$440,MATCH(T$11,'Senior Perm Amortization1'!$E$19:$E$440,0),MATCH('Senior Perm Amortization1'!$U$19,'Senior Perm Amortization1'!$C$19:$U$19,0))))</f>
        <v>0</v>
      </c>
      <c r="U131" s="427">
        <f>IF('Financing Assumptions'!$H$30="No",0,IF(AND('Financing Assumptions'!$H$30="Yes",U$9&lt;'Financing Assumptions'!$G$34),0,INDEX('Senior Perm Amortization1'!$C$19:$U$440,MATCH(U$11,'Senior Perm Amortization1'!$E$19:$E$440,0),MATCH('Senior Perm Amortization1'!$U$19,'Senior Perm Amortization1'!$C$19:$U$19,0))))</f>
        <v>0</v>
      </c>
      <c r="V131" s="427">
        <f>IF('Financing Assumptions'!$H$30="No",0,IF(AND('Financing Assumptions'!$H$30="Yes",V$9&lt;'Financing Assumptions'!$G$34),0,INDEX('Senior Perm Amortization1'!$C$19:$U$440,MATCH(V$11,'Senior Perm Amortization1'!$E$19:$E$440,0),MATCH('Senior Perm Amortization1'!$U$19,'Senior Perm Amortization1'!$C$19:$U$19,0))))</f>
        <v>0</v>
      </c>
      <c r="W131" s="427">
        <f>IF('Financing Assumptions'!$H$30="No",0,IF(AND('Financing Assumptions'!$H$30="Yes",W$9&lt;'Financing Assumptions'!$G$34),0,INDEX('Senior Perm Amortization1'!$C$19:$U$440,MATCH(W$11,'Senior Perm Amortization1'!$E$19:$E$440,0),MATCH('Senior Perm Amortization1'!$U$19,'Senior Perm Amortization1'!$C$19:$U$19,0))))</f>
        <v>0</v>
      </c>
      <c r="X131" s="427">
        <f>IF('Financing Assumptions'!$H$30="No",0,IF(AND('Financing Assumptions'!$H$30="Yes",X$9&lt;'Financing Assumptions'!$G$34),0,INDEX('Senior Perm Amortization1'!$C$19:$U$440,MATCH(X$11,'Senior Perm Amortization1'!$E$19:$E$440,0),MATCH('Senior Perm Amortization1'!$U$19,'Senior Perm Amortization1'!$C$19:$U$19,0))))</f>
        <v>0</v>
      </c>
      <c r="Y131" s="427">
        <f>IF('Financing Assumptions'!$H$30="No",0,IF(AND('Financing Assumptions'!$H$30="Yes",Y$9&lt;'Financing Assumptions'!$G$34),0,INDEX('Senior Perm Amortization1'!$C$19:$U$440,MATCH(Y$11,'Senior Perm Amortization1'!$E$19:$E$440,0),MATCH('Senior Perm Amortization1'!$U$19,'Senior Perm Amortization1'!$C$19:$U$19,0))))</f>
        <v>0</v>
      </c>
      <c r="Z131" s="427">
        <f>IF('Financing Assumptions'!$H$30="No",0,IF(AND('Financing Assumptions'!$H$30="Yes",Z$9&lt;'Financing Assumptions'!$G$34),0,INDEX('Senior Perm Amortization1'!$C$19:$U$440,MATCH(Z$11,'Senior Perm Amortization1'!$E$19:$E$440,0),MATCH('Senior Perm Amortization1'!$U$19,'Senior Perm Amortization1'!$C$19:$U$19,0))))</f>
        <v>0</v>
      </c>
      <c r="AA131" s="427">
        <f>IF('Financing Assumptions'!$H$30="No",0,IF(AND('Financing Assumptions'!$H$30="Yes",AA$9&lt;'Financing Assumptions'!$G$34),0,INDEX('Senior Perm Amortization1'!$C$19:$U$440,MATCH(AA$11,'Senior Perm Amortization1'!$E$19:$E$440,0),MATCH('Senior Perm Amortization1'!$U$19,'Senior Perm Amortization1'!$C$19:$U$19,0))))</f>
        <v>0</v>
      </c>
      <c r="AB131" s="427">
        <f>IF('Financing Assumptions'!$H$30="No",0,IF(AND('Financing Assumptions'!$H$30="Yes",AB$9&lt;'Financing Assumptions'!$G$34),0,INDEX('Senior Perm Amortization1'!$C$19:$U$440,MATCH(AB$11,'Senior Perm Amortization1'!$E$19:$E$440,0),MATCH('Senior Perm Amortization1'!$U$19,'Senior Perm Amortization1'!$C$19:$U$19,0))))</f>
        <v>0</v>
      </c>
      <c r="AC131" s="427">
        <f>IF('Financing Assumptions'!$H$30="No",0,IF(AND('Financing Assumptions'!$H$30="Yes",AC$9&lt;'Financing Assumptions'!$G$34),0,INDEX('Senior Perm Amortization1'!$C$19:$U$440,MATCH(AC$11,'Senior Perm Amortization1'!$E$19:$E$440,0),MATCH('Senior Perm Amortization1'!$U$19,'Senior Perm Amortization1'!$C$19:$U$19,0))))</f>
        <v>0</v>
      </c>
      <c r="AD131" s="427">
        <f>IF('Financing Assumptions'!$H$30="No",0,IF(AND('Financing Assumptions'!$H$30="Yes",AD$9&lt;'Financing Assumptions'!$G$34),0,INDEX('Senior Perm Amortization1'!$C$19:$U$440,MATCH(AD$11,'Senior Perm Amortization1'!$E$19:$E$440,0),MATCH('Senior Perm Amortization1'!$U$19,'Senior Perm Amortization1'!$C$19:$U$19,0))))</f>
        <v>0</v>
      </c>
      <c r="AE131" s="427">
        <f>IF('Financing Assumptions'!$H$30="No",0,IF(AND('Financing Assumptions'!$H$30="Yes",AE$9&lt;'Financing Assumptions'!$G$34),0,INDEX('Senior Perm Amortization1'!$C$19:$U$440,MATCH(AE$11,'Senior Perm Amortization1'!$E$19:$E$440,0),MATCH('Senior Perm Amortization1'!$U$19,'Senior Perm Amortization1'!$C$19:$U$19,0))))</f>
        <v>0</v>
      </c>
      <c r="AF131" s="427">
        <f>IF('Financing Assumptions'!$H$30="No",0,IF(AND('Financing Assumptions'!$H$30="Yes",AF$9&lt;'Financing Assumptions'!$G$34),0,INDEX('Senior Perm Amortization1'!$C$19:$U$440,MATCH(AF$11,'Senior Perm Amortization1'!$E$19:$E$440,0),MATCH('Senior Perm Amortization1'!$U$19,'Senior Perm Amortization1'!$C$19:$U$19,0))))</f>
        <v>0</v>
      </c>
      <c r="AG131" s="427">
        <f>IF('Financing Assumptions'!$H$30="No",0,IF(AND('Financing Assumptions'!$H$30="Yes",AG$9&lt;'Financing Assumptions'!$G$34),0,INDEX('Senior Perm Amortization1'!$C$19:$U$440,MATCH(AG$11,'Senior Perm Amortization1'!$E$19:$E$440,0),MATCH('Senior Perm Amortization1'!$U$19,'Senior Perm Amortization1'!$C$19:$U$19,0))))</f>
        <v>0</v>
      </c>
      <c r="AH131" s="427">
        <f>IF('Financing Assumptions'!$H$30="No",0,IF(AND('Financing Assumptions'!$H$30="Yes",AH$9&lt;'Financing Assumptions'!$G$34),0,INDEX('Senior Perm Amortization1'!$C$19:$U$440,MATCH(AH$11,'Senior Perm Amortization1'!$E$19:$E$440,0),MATCH('Senior Perm Amortization1'!$U$19,'Senior Perm Amortization1'!$C$19:$U$19,0))))</f>
        <v>0</v>
      </c>
      <c r="AI131" s="427">
        <f>IF('Financing Assumptions'!$H$30="No",0,IF(AND('Financing Assumptions'!$H$30="Yes",AI$9&lt;'Financing Assumptions'!$G$34),0,INDEX('Senior Perm Amortization1'!$C$19:$U$440,MATCH(AI$11,'Senior Perm Amortization1'!$E$19:$E$440,0),MATCH('Senior Perm Amortization1'!$U$19,'Senior Perm Amortization1'!$C$19:$U$19,0))))</f>
        <v>0</v>
      </c>
      <c r="AJ131" s="427">
        <f>IF('Financing Assumptions'!$H$30="No",0,IF(AND('Financing Assumptions'!$H$30="Yes",AJ$9&lt;'Financing Assumptions'!$G$34),0,INDEX('Senior Perm Amortization1'!$C$19:$U$440,MATCH(AJ$11,'Senior Perm Amortization1'!$E$19:$E$440,0),MATCH('Senior Perm Amortization1'!$U$19,'Senior Perm Amortization1'!$C$19:$U$19,0))))</f>
        <v>0</v>
      </c>
      <c r="AK131" s="427">
        <f>IF('Financing Assumptions'!$H$30="No",0,IF(AND('Financing Assumptions'!$H$30="Yes",AK$9&lt;'Financing Assumptions'!$G$34),0,INDEX('Senior Perm Amortization1'!$C$19:$U$440,MATCH(AK$11,'Senior Perm Amortization1'!$E$19:$E$440,0),MATCH('Senior Perm Amortization1'!$U$19,'Senior Perm Amortization1'!$C$19:$U$19,0))))</f>
        <v>0</v>
      </c>
      <c r="AL131" s="427">
        <f>IF('Financing Assumptions'!$H$30="No",0,IF(AND('Financing Assumptions'!$H$30="Yes",AL$9&lt;'Financing Assumptions'!$G$34),0,INDEX('Senior Perm Amortization1'!$C$19:$U$440,MATCH(AL$11,'Senior Perm Amortization1'!$E$19:$E$440,0),MATCH('Senior Perm Amortization1'!$U$19,'Senior Perm Amortization1'!$C$19:$U$19,0))))</f>
        <v>0</v>
      </c>
      <c r="AM131" s="427">
        <f>IF('Financing Assumptions'!$H$30="No",0,IF(AND('Financing Assumptions'!$H$30="Yes",AM$9&lt;'Financing Assumptions'!$G$34),0,INDEX('Senior Perm Amortization1'!$C$19:$U$440,MATCH(AM$11,'Senior Perm Amortization1'!$E$19:$E$440,0),MATCH('Senior Perm Amortization1'!$U$19,'Senior Perm Amortization1'!$C$19:$U$19,0))))</f>
        <v>0</v>
      </c>
      <c r="AN131" s="427">
        <f>IF('Financing Assumptions'!$H$30="No",0,IF(AND('Financing Assumptions'!$H$30="Yes",AN$9&lt;'Financing Assumptions'!$G$34),0,INDEX('Senior Perm Amortization1'!$C$19:$U$440,MATCH(AN$11,'Senior Perm Amortization1'!$E$19:$E$440,0),MATCH('Senior Perm Amortization1'!$U$19,'Senior Perm Amortization1'!$C$19:$U$19,0))))</f>
        <v>0</v>
      </c>
      <c r="AO131" s="427">
        <f>IF('Financing Assumptions'!$H$30="No",0,IF(AND('Financing Assumptions'!$H$30="Yes",AO$9&lt;'Financing Assumptions'!$G$34),0,INDEX('Senior Perm Amortization1'!$C$19:$U$440,MATCH(AO$11,'Senior Perm Amortization1'!$E$19:$E$440,0),MATCH('Senior Perm Amortization1'!$U$19,'Senior Perm Amortization1'!$C$19:$U$19,0))))</f>
        <v>0</v>
      </c>
      <c r="AP131" s="427">
        <f>IF('Financing Assumptions'!$H$30="No",0,IF(AND('Financing Assumptions'!$H$30="Yes",AP$9&lt;'Financing Assumptions'!$G$34),0,INDEX('Senior Perm Amortization1'!$C$19:$U$440,MATCH(AP$11,'Senior Perm Amortization1'!$E$19:$E$440,0),MATCH('Senior Perm Amortization1'!$U$19,'Senior Perm Amortization1'!$C$19:$U$19,0))))</f>
        <v>0</v>
      </c>
      <c r="AQ131" s="427">
        <f>IF('Financing Assumptions'!$H$30="No",0,IF(AND('Financing Assumptions'!$H$30="Yes",AQ$9&lt;'Financing Assumptions'!$G$34),0,INDEX('Senior Perm Amortization1'!$C$19:$U$440,MATCH(AQ$11,'Senior Perm Amortization1'!$E$19:$E$440,0),MATCH('Senior Perm Amortization1'!$U$19,'Senior Perm Amortization1'!$C$19:$U$19,0))))</f>
        <v>0</v>
      </c>
      <c r="AR131" s="427">
        <f>IF('Financing Assumptions'!$H$30="No",0,IF(AND('Financing Assumptions'!$H$30="Yes",AR$9&lt;'Financing Assumptions'!$G$34),0,INDEX('Senior Perm Amortization1'!$C$19:$U$440,MATCH(AR$11,'Senior Perm Amortization1'!$E$19:$E$440,0),MATCH('Senior Perm Amortization1'!$U$19,'Senior Perm Amortization1'!$C$19:$U$19,0))))</f>
        <v>0</v>
      </c>
      <c r="AS131" s="427">
        <f>IF('Financing Assumptions'!$H$30="No",0,IF(AND('Financing Assumptions'!$H$30="Yes",AS$9&lt;'Financing Assumptions'!$G$34),0,INDEX('Senior Perm Amortization1'!$C$19:$U$440,MATCH(AS$11,'Senior Perm Amortization1'!$E$19:$E$440,0),MATCH('Senior Perm Amortization1'!$U$19,'Senior Perm Amortization1'!$C$19:$U$19,0))))</f>
        <v>0</v>
      </c>
      <c r="AT131" s="427">
        <f>IF('Financing Assumptions'!$H$30="No",0,IF(AND('Financing Assumptions'!$H$30="Yes",AT$9&lt;'Financing Assumptions'!$G$34),0,INDEX('Senior Perm Amortization1'!$C$19:$U$440,MATCH(AT$11,'Senior Perm Amortization1'!$E$19:$E$440,0),MATCH('Senior Perm Amortization1'!$U$19,'Senior Perm Amortization1'!$C$19:$U$19,0))))</f>
        <v>0</v>
      </c>
      <c r="AU131" s="427">
        <f>IF('Financing Assumptions'!$H$30="No",0,IF(AND('Financing Assumptions'!$H$30="Yes",AU$9&lt;'Financing Assumptions'!$G$34),0,INDEX('Senior Perm Amortization1'!$C$19:$U$440,MATCH(AU$11,'Senior Perm Amortization1'!$E$19:$E$440,0),MATCH('Senior Perm Amortization1'!$U$19,'Senior Perm Amortization1'!$C$19:$U$19,0))))</f>
        <v>0</v>
      </c>
      <c r="AV131" s="427">
        <f>IF('Financing Assumptions'!$H$30="No",0,IF(AND('Financing Assumptions'!$H$30="Yes",AV$9&lt;'Financing Assumptions'!$G$34),0,INDEX('Senior Perm Amortization1'!$C$19:$U$440,MATCH(AV$11,'Senior Perm Amortization1'!$E$19:$E$440,0),MATCH('Senior Perm Amortization1'!$U$19,'Senior Perm Amortization1'!$C$19:$U$19,0))))</f>
        <v>0</v>
      </c>
      <c r="AW131" s="427">
        <f>IF('Financing Assumptions'!$H$30="No",0,IF(AND('Financing Assumptions'!$H$30="Yes",AW$9&lt;'Financing Assumptions'!$G$34),0,INDEX('Senior Perm Amortization1'!$C$19:$U$440,MATCH(AW$11,'Senior Perm Amortization1'!$E$19:$E$440,0),MATCH('Senior Perm Amortization1'!$U$19,'Senior Perm Amortization1'!$C$19:$U$19,0))))</f>
        <v>0</v>
      </c>
      <c r="AX131" s="427">
        <f>IF('Financing Assumptions'!$H$30="No",0,IF(AND('Financing Assumptions'!$H$30="Yes",AX$9&lt;'Financing Assumptions'!$G$34),0,INDEX('Senior Perm Amortization1'!$C$19:$U$440,MATCH(AX$11,'Senior Perm Amortization1'!$E$19:$E$440,0),MATCH('Senior Perm Amortization1'!$U$19,'Senior Perm Amortization1'!$C$19:$U$19,0))))</f>
        <v>0</v>
      </c>
      <c r="AY131" s="427">
        <f>IF('Financing Assumptions'!$H$30="No",0,IF(AND('Financing Assumptions'!$H$30="Yes",AY$9&lt;'Financing Assumptions'!$G$34),0,INDEX('Senior Perm Amortization1'!$C$19:$U$440,MATCH(AY$11,'Senior Perm Amortization1'!$E$19:$E$440,0),MATCH('Senior Perm Amortization1'!$U$19,'Senior Perm Amortization1'!$C$19:$U$19,0))))</f>
        <v>0</v>
      </c>
      <c r="AZ131" s="427">
        <f>IF('Financing Assumptions'!$H$30="No",0,IF(AND('Financing Assumptions'!$H$30="Yes",AZ$9&lt;'Financing Assumptions'!$G$34),0,INDEX('Senior Perm Amortization1'!$C$19:$U$440,MATCH(AZ$11,'Senior Perm Amortization1'!$E$19:$E$440,0),MATCH('Senior Perm Amortization1'!$U$19,'Senior Perm Amortization1'!$C$19:$U$19,0))))</f>
        <v>0</v>
      </c>
      <c r="BA131" s="427">
        <f>IF('Financing Assumptions'!$H$30="No",0,IF(AND('Financing Assumptions'!$H$30="Yes",BA$9&lt;'Financing Assumptions'!$G$34),0,INDEX('Senior Perm Amortization1'!$C$19:$U$440,MATCH(BA$11,'Senior Perm Amortization1'!$E$19:$E$440,0),MATCH('Senior Perm Amortization1'!$U$19,'Senior Perm Amortization1'!$C$19:$U$19,0))))</f>
        <v>0</v>
      </c>
      <c r="BB131" s="427">
        <f>IF('Financing Assumptions'!$H$30="No",0,IF(AND('Financing Assumptions'!$H$30="Yes",BB$9&lt;'Financing Assumptions'!$G$34),0,INDEX('Senior Perm Amortization1'!$C$19:$U$440,MATCH(BB$11,'Senior Perm Amortization1'!$E$19:$E$440,0),MATCH('Senior Perm Amortization1'!$U$19,'Senior Perm Amortization1'!$C$19:$U$19,0))))</f>
        <v>0</v>
      </c>
      <c r="BC131" s="427">
        <f>IF('Financing Assumptions'!$H$30="No",0,IF(AND('Financing Assumptions'!$H$30="Yes",BC$9&lt;'Financing Assumptions'!$G$34),0,INDEX('Senior Perm Amortization1'!$C$19:$U$440,MATCH(BC$11,'Senior Perm Amortization1'!$E$19:$E$440,0),MATCH('Senior Perm Amortization1'!$U$19,'Senior Perm Amortization1'!$C$19:$U$19,0))))</f>
        <v>0</v>
      </c>
      <c r="BD131" s="427">
        <f>IF('Financing Assumptions'!$H$30="No",0,IF(AND('Financing Assumptions'!$H$30="Yes",BD$9&lt;'Financing Assumptions'!$G$34),0,INDEX('Senior Perm Amortization1'!$C$19:$U$440,MATCH(BD$11,'Senior Perm Amortization1'!$E$19:$E$440,0),MATCH('Senior Perm Amortization1'!$U$19,'Senior Perm Amortization1'!$C$19:$U$19,0))))</f>
        <v>0</v>
      </c>
      <c r="BE131" s="427">
        <f>IF('Financing Assumptions'!$H$30="No",0,IF(AND('Financing Assumptions'!$H$30="Yes",BE$9&lt;'Financing Assumptions'!$G$34),0,INDEX('Senior Perm Amortization1'!$C$19:$U$440,MATCH(BE$11,'Senior Perm Amortization1'!$E$19:$E$440,0),MATCH('Senior Perm Amortization1'!$U$19,'Senior Perm Amortization1'!$C$19:$U$19,0))))</f>
        <v>0</v>
      </c>
      <c r="BF131" s="427">
        <f>IF('Financing Assumptions'!$H$30="No",0,IF(AND('Financing Assumptions'!$H$30="Yes",BF$9&lt;'Financing Assumptions'!$G$34),0,INDEX('Senior Perm Amortization1'!$C$19:$U$440,MATCH(BF$11,'Senior Perm Amortization1'!$E$19:$E$440,0),MATCH('Senior Perm Amortization1'!$U$19,'Senior Perm Amortization1'!$C$19:$U$19,0))))</f>
        <v>0</v>
      </c>
      <c r="BG131" s="427">
        <f>IF('Financing Assumptions'!$H$30="No",0,IF(AND('Financing Assumptions'!$H$30="Yes",BG$9&lt;'Financing Assumptions'!$G$34),0,INDEX('Senior Perm Amortization1'!$C$19:$U$440,MATCH(BG$11,'Senior Perm Amortization1'!$E$19:$E$440,0),MATCH('Senior Perm Amortization1'!$U$19,'Senior Perm Amortization1'!$C$19:$U$19,0))))</f>
        <v>0</v>
      </c>
      <c r="BH131" s="427">
        <f>IF('Financing Assumptions'!$H$30="No",0,IF(AND('Financing Assumptions'!$H$30="Yes",BH$9&lt;'Financing Assumptions'!$G$34),0,INDEX('Senior Perm Amortization1'!$C$19:$U$440,MATCH(BH$11,'Senior Perm Amortization1'!$E$19:$E$440,0),MATCH('Senior Perm Amortization1'!$U$19,'Senior Perm Amortization1'!$C$19:$U$19,0))))</f>
        <v>0</v>
      </c>
      <c r="BI131" s="427">
        <f>IF('Financing Assumptions'!$H$30="No",0,IF(AND('Financing Assumptions'!$H$30="Yes",BI$9&lt;'Financing Assumptions'!$G$34),0,INDEX('Senior Perm Amortization1'!$C$19:$U$440,MATCH(BI$11,'Senior Perm Amortization1'!$E$19:$E$440,0),MATCH('Senior Perm Amortization1'!$U$19,'Senior Perm Amortization1'!$C$19:$U$19,0))))</f>
        <v>0</v>
      </c>
      <c r="BJ131" s="427">
        <f>IF('Financing Assumptions'!$H$30="No",0,IF(AND('Financing Assumptions'!$H$30="Yes",BJ$9&lt;'Financing Assumptions'!$G$34),0,INDEX('Senior Perm Amortization1'!$C$19:$U$440,MATCH(BJ$11,'Senior Perm Amortization1'!$E$19:$E$440,0),MATCH('Senior Perm Amortization1'!$U$19,'Senior Perm Amortization1'!$C$19:$U$19,0))))</f>
        <v>0</v>
      </c>
      <c r="BK131" s="427">
        <f>IF('Financing Assumptions'!$H$30="No",0,IF(AND('Financing Assumptions'!$H$30="Yes",BK$9&lt;'Financing Assumptions'!$G$34),0,INDEX('Senior Perm Amortization1'!$C$19:$U$440,MATCH(BK$11,'Senior Perm Amortization1'!$E$19:$E$440,0),MATCH('Senior Perm Amortization1'!$U$19,'Senior Perm Amortization1'!$C$19:$U$19,0))))</f>
        <v>0</v>
      </c>
      <c r="BL131" s="427">
        <f>IF('Financing Assumptions'!$H$30="No",0,IF(AND('Financing Assumptions'!$H$30="Yes",BL$9&lt;'Financing Assumptions'!$G$34),0,INDEX('Senior Perm Amortization1'!$C$19:$U$440,MATCH(BL$11,'Senior Perm Amortization1'!$E$19:$E$440,0),MATCH('Senior Perm Amortization1'!$U$19,'Senior Perm Amortization1'!$C$19:$U$19,0))))</f>
        <v>0</v>
      </c>
      <c r="BM131" s="427">
        <f>IF('Financing Assumptions'!$H$30="No",0,IF(AND('Financing Assumptions'!$H$30="Yes",BM$9&lt;'Financing Assumptions'!$G$34),0,INDEX('Senior Perm Amortization1'!$C$19:$U$440,MATCH(BM$11,'Senior Perm Amortization1'!$E$19:$E$440,0),MATCH('Senior Perm Amortization1'!$U$19,'Senior Perm Amortization1'!$C$19:$U$19,0))))</f>
        <v>0</v>
      </c>
      <c r="BN131" s="427">
        <f>IF('Financing Assumptions'!$H$30="No",0,IF(AND('Financing Assumptions'!$H$30="Yes",BN$9&lt;'Financing Assumptions'!$G$34),0,INDEX('Senior Perm Amortization1'!$C$19:$U$440,MATCH(BN$11,'Senior Perm Amortization1'!$E$19:$E$440,0),MATCH('Senior Perm Amortization1'!$U$19,'Senior Perm Amortization1'!$C$19:$U$19,0))))</f>
        <v>0</v>
      </c>
      <c r="BO131" s="427">
        <f>IF('Financing Assumptions'!$H$30="No",0,IF(AND('Financing Assumptions'!$H$30="Yes",BO$9&lt;'Financing Assumptions'!$G$34),0,INDEX('Senior Perm Amortization1'!$C$19:$U$440,MATCH(BO$11,'Senior Perm Amortization1'!$E$19:$E$440,0),MATCH('Senior Perm Amortization1'!$U$19,'Senior Perm Amortization1'!$C$19:$U$19,0))))</f>
        <v>0</v>
      </c>
      <c r="BP131" s="427">
        <f>IF('Financing Assumptions'!$H$30="No",0,IF(AND('Financing Assumptions'!$H$30="Yes",BP$9&lt;'Financing Assumptions'!$G$34),0,INDEX('Senior Perm Amortization1'!$C$19:$U$440,MATCH(BP$11,'Senior Perm Amortization1'!$E$19:$E$440,0),MATCH('Senior Perm Amortization1'!$U$19,'Senior Perm Amortization1'!$C$19:$U$19,0))))</f>
        <v>0</v>
      </c>
      <c r="BQ131" s="427">
        <f>IF('Financing Assumptions'!$H$30="No",0,IF(AND('Financing Assumptions'!$H$30="Yes",BQ$9&lt;'Financing Assumptions'!$G$34),0,INDEX('Senior Perm Amortization1'!$C$19:$U$440,MATCH(BQ$11,'Senior Perm Amortization1'!$E$19:$E$440,0),MATCH('Senior Perm Amortization1'!$U$19,'Senior Perm Amortization1'!$C$19:$U$19,0))))</f>
        <v>0</v>
      </c>
      <c r="BR131" s="427">
        <f>IF('Financing Assumptions'!$H$30="No",0,IF(AND('Financing Assumptions'!$H$30="Yes",BR$9&lt;'Financing Assumptions'!$G$34),0,INDEX('Senior Perm Amortization1'!$C$19:$U$440,MATCH(BR$11,'Senior Perm Amortization1'!$E$19:$E$440,0),MATCH('Senior Perm Amortization1'!$U$19,'Senior Perm Amortization1'!$C$19:$U$19,0))))</f>
        <v>0</v>
      </c>
      <c r="BS131" s="427">
        <f>IF('Financing Assumptions'!$H$30="No",0,IF(AND('Financing Assumptions'!$H$30="Yes",BS$9&lt;'Financing Assumptions'!$G$34),0,INDEX('Senior Perm Amortization1'!$C$19:$U$440,MATCH(BS$11,'Senior Perm Amortization1'!$E$19:$E$440,0),MATCH('Senior Perm Amortization1'!$U$19,'Senior Perm Amortization1'!$C$19:$U$19,0))))</f>
        <v>0</v>
      </c>
      <c r="BT131" s="427">
        <f>IF('Financing Assumptions'!$H$30="No",0,IF(AND('Financing Assumptions'!$H$30="Yes",BT$9&lt;'Financing Assumptions'!$G$34),0,INDEX('Senior Perm Amortization1'!$C$19:$U$440,MATCH(BT$11,'Senior Perm Amortization1'!$E$19:$E$440,0),MATCH('Senior Perm Amortization1'!$U$19,'Senior Perm Amortization1'!$C$19:$U$19,0))))</f>
        <v>0</v>
      </c>
      <c r="BU131" s="427">
        <f>IF('Financing Assumptions'!$H$30="No",0,IF(AND('Financing Assumptions'!$H$30="Yes",BU$9&lt;'Financing Assumptions'!$G$34),0,INDEX('Senior Perm Amortization1'!$C$19:$U$440,MATCH(BU$11,'Senior Perm Amortization1'!$E$19:$E$440,0),MATCH('Senior Perm Amortization1'!$U$19,'Senior Perm Amortization1'!$C$19:$U$19,0))))</f>
        <v>0</v>
      </c>
      <c r="BV131" s="427">
        <f>IF('Financing Assumptions'!$H$30="No",0,IF(AND('Financing Assumptions'!$H$30="Yes",BV$9&lt;'Financing Assumptions'!$G$34),0,INDEX('Senior Perm Amortization1'!$C$19:$U$440,MATCH(BV$11,'Senior Perm Amortization1'!$E$19:$E$440,0),MATCH('Senior Perm Amortization1'!$U$19,'Senior Perm Amortization1'!$C$19:$U$19,0))))</f>
        <v>0</v>
      </c>
      <c r="BW131" s="427">
        <f>IF('Financing Assumptions'!$H$30="No",0,IF(AND('Financing Assumptions'!$H$30="Yes",BW$9&lt;'Financing Assumptions'!$G$34),0,INDEX('Senior Perm Amortization1'!$C$19:$U$440,MATCH(BW$11,'Senior Perm Amortization1'!$E$19:$E$440,0),MATCH('Senior Perm Amortization1'!$U$19,'Senior Perm Amortization1'!$C$19:$U$19,0))))</f>
        <v>0</v>
      </c>
      <c r="BX131" s="427">
        <f>IF('Financing Assumptions'!$H$30="No",0,IF(AND('Financing Assumptions'!$H$30="Yes",BX$9&lt;'Financing Assumptions'!$G$34),0,INDEX('Senior Perm Amortization1'!$C$19:$U$440,MATCH(BX$11,'Senior Perm Amortization1'!$E$19:$E$440,0),MATCH('Senior Perm Amortization1'!$U$19,'Senior Perm Amortization1'!$C$19:$U$19,0))))</f>
        <v>0</v>
      </c>
      <c r="BY131" s="427">
        <f>IF('Financing Assumptions'!$H$30="No",0,IF(AND('Financing Assumptions'!$H$30="Yes",BY$9&lt;'Financing Assumptions'!$G$34),0,INDEX('Senior Perm Amortization1'!$C$19:$U$440,MATCH(BY$11,'Senior Perm Amortization1'!$E$19:$E$440,0),MATCH('Senior Perm Amortization1'!$U$19,'Senior Perm Amortization1'!$C$19:$U$19,0))))</f>
        <v>0</v>
      </c>
      <c r="BZ131" s="427">
        <f>IF('Financing Assumptions'!$H$30="No",0,IF(AND('Financing Assumptions'!$H$30="Yes",BZ$9&lt;'Financing Assumptions'!$G$34),0,INDEX('Senior Perm Amortization1'!$C$19:$U$440,MATCH(BZ$11,'Senior Perm Amortization1'!$E$19:$E$440,0),MATCH('Senior Perm Amortization1'!$U$19,'Senior Perm Amortization1'!$C$19:$U$19,0))))</f>
        <v>0</v>
      </c>
      <c r="CA131" s="427">
        <f>IF('Financing Assumptions'!$H$30="No",0,IF(AND('Financing Assumptions'!$H$30="Yes",CA$9&lt;'Financing Assumptions'!$G$34),0,INDEX('Senior Perm Amortization1'!$C$19:$U$440,MATCH(CA$11,'Senior Perm Amortization1'!$E$19:$E$440,0),MATCH('Senior Perm Amortization1'!$U$19,'Senior Perm Amortization1'!$C$19:$U$19,0))))</f>
        <v>0</v>
      </c>
      <c r="CB131" s="427">
        <f>IF('Financing Assumptions'!$H$30="No",0,IF(AND('Financing Assumptions'!$H$30="Yes",CB$9&lt;'Financing Assumptions'!$G$34),0,INDEX('Senior Perm Amortization1'!$C$19:$U$440,MATCH(CB$11,'Senior Perm Amortization1'!$E$19:$E$440,0),MATCH('Senior Perm Amortization1'!$U$19,'Senior Perm Amortization1'!$C$19:$U$19,0))))</f>
        <v>0</v>
      </c>
      <c r="CC131" s="427">
        <f>IF('Financing Assumptions'!$H$30="No",0,IF(AND('Financing Assumptions'!$H$30="Yes",CC$9&lt;'Financing Assumptions'!$G$34),0,INDEX('Senior Perm Amortization1'!$C$19:$U$440,MATCH(CC$11,'Senior Perm Amortization1'!$E$19:$E$440,0),MATCH('Senior Perm Amortization1'!$U$19,'Senior Perm Amortization1'!$C$19:$U$19,0))))</f>
        <v>0</v>
      </c>
      <c r="CD131" s="427">
        <f>IF('Financing Assumptions'!$H$30="No",0,IF(AND('Financing Assumptions'!$H$30="Yes",CD$9&lt;'Financing Assumptions'!$G$34),0,INDEX('Senior Perm Amortization1'!$C$19:$U$440,MATCH(CD$11,'Senior Perm Amortization1'!$E$19:$E$440,0),MATCH('Senior Perm Amortization1'!$U$19,'Senior Perm Amortization1'!$C$19:$U$19,0))))</f>
        <v>0</v>
      </c>
      <c r="CE131" s="427">
        <f>IF('Financing Assumptions'!$H$30="No",0,IF(AND('Financing Assumptions'!$H$30="Yes",CE$9&lt;'Financing Assumptions'!$G$34),0,INDEX('Senior Perm Amortization1'!$C$19:$U$440,MATCH(CE$11,'Senior Perm Amortization1'!$E$19:$E$440,0),MATCH('Senior Perm Amortization1'!$U$19,'Senior Perm Amortization1'!$C$19:$U$19,0))))</f>
        <v>0</v>
      </c>
      <c r="CF131" s="427">
        <f>IF('Financing Assumptions'!$H$30="No",0,IF(AND('Financing Assumptions'!$H$30="Yes",CF$9&lt;'Financing Assumptions'!$G$34),0,INDEX('Senior Perm Amortization1'!$C$19:$U$440,MATCH(CF$11,'Senior Perm Amortization1'!$E$19:$E$440,0),MATCH('Senior Perm Amortization1'!$U$19,'Senior Perm Amortization1'!$C$19:$U$19,0))))</f>
        <v>0</v>
      </c>
      <c r="CG131" s="427">
        <f>IF('Financing Assumptions'!$H$30="No",0,IF(AND('Financing Assumptions'!$H$30="Yes",CG$9&lt;'Financing Assumptions'!$G$34),0,INDEX('Senior Perm Amortization1'!$C$19:$U$440,MATCH(CG$11,'Senior Perm Amortization1'!$E$19:$E$440,0),MATCH('Senior Perm Amortization1'!$U$19,'Senior Perm Amortization1'!$C$19:$U$19,0))))</f>
        <v>0</v>
      </c>
      <c r="CH131" s="427">
        <f>IF('Financing Assumptions'!$H$30="No",0,IF(AND('Financing Assumptions'!$H$30="Yes",CH$9&lt;'Financing Assumptions'!$G$34),0,INDEX('Senior Perm Amortization1'!$C$19:$U$440,MATCH(CH$11,'Senior Perm Amortization1'!$E$19:$E$440,0),MATCH('Senior Perm Amortization1'!$U$19,'Senior Perm Amortization1'!$C$19:$U$19,0))))</f>
        <v>0</v>
      </c>
      <c r="CI131" s="427">
        <f>IF('Financing Assumptions'!$H$30="No",0,IF(AND('Financing Assumptions'!$H$30="Yes",CI$9&lt;'Financing Assumptions'!$G$34),0,INDEX('Senior Perm Amortization1'!$C$19:$U$440,MATCH(CI$11,'Senior Perm Amortization1'!$E$19:$E$440,0),MATCH('Senior Perm Amortization1'!$U$19,'Senior Perm Amortization1'!$C$19:$U$19,0))))</f>
        <v>0</v>
      </c>
      <c r="CJ131" s="427">
        <f>IF('Financing Assumptions'!$H$30="No",0,IF(AND('Financing Assumptions'!$H$30="Yes",CJ$9&lt;'Financing Assumptions'!$G$34),0,INDEX('Senior Perm Amortization1'!$C$19:$U$440,MATCH(CJ$11,'Senior Perm Amortization1'!$E$19:$E$440,0),MATCH('Senior Perm Amortization1'!$U$19,'Senior Perm Amortization1'!$C$19:$U$19,0))))</f>
        <v>0</v>
      </c>
      <c r="CK131" s="427">
        <f>IF('Financing Assumptions'!$H$30="No",0,IF(AND('Financing Assumptions'!$H$30="Yes",CK$9&lt;'Financing Assumptions'!$G$34),0,INDEX('Senior Perm Amortization1'!$C$19:$U$440,MATCH(CK$11,'Senior Perm Amortization1'!$E$19:$E$440,0),MATCH('Senior Perm Amortization1'!$U$19,'Senior Perm Amortization1'!$C$19:$U$19,0))))</f>
        <v>0</v>
      </c>
      <c r="CL131" s="427">
        <f>IF('Financing Assumptions'!$H$30="No",0,IF(AND('Financing Assumptions'!$H$30="Yes",CL$9&lt;'Financing Assumptions'!$G$34),0,INDEX('Senior Perm Amortization1'!$C$19:$U$440,MATCH(CL$11,'Senior Perm Amortization1'!$E$19:$E$440,0),MATCH('Senior Perm Amortization1'!$U$19,'Senior Perm Amortization1'!$C$19:$U$19,0))))</f>
        <v>0</v>
      </c>
      <c r="CM131" s="427">
        <f>IF('Financing Assumptions'!$H$30="No",0,IF(AND('Financing Assumptions'!$H$30="Yes",CM$9&lt;'Financing Assumptions'!$G$34),0,INDEX('Senior Perm Amortization1'!$C$19:$U$440,MATCH(CM$11,'Senior Perm Amortization1'!$E$19:$E$440,0),MATCH('Senior Perm Amortization1'!$U$19,'Senior Perm Amortization1'!$C$19:$U$19,0))))</f>
        <v>0</v>
      </c>
      <c r="CN131" s="427">
        <f>IF('Financing Assumptions'!$H$30="No",0,IF(AND('Financing Assumptions'!$H$30="Yes",CN$9&lt;'Financing Assumptions'!$G$34),0,INDEX('Senior Perm Amortization1'!$C$19:$U$440,MATCH(CN$11,'Senior Perm Amortization1'!$E$19:$E$440,0),MATCH('Senior Perm Amortization1'!$U$19,'Senior Perm Amortization1'!$C$19:$U$19,0))))</f>
        <v>0</v>
      </c>
      <c r="CO131" s="427">
        <f>IF('Financing Assumptions'!$H$30="No",0,IF(AND('Financing Assumptions'!$H$30="Yes",CO$9&lt;'Financing Assumptions'!$G$34),0,INDEX('Senior Perm Amortization1'!$C$19:$U$440,MATCH(CO$11,'Senior Perm Amortization1'!$E$19:$E$440,0),MATCH('Senior Perm Amortization1'!$U$19,'Senior Perm Amortization1'!$C$19:$U$19,0))))</f>
        <v>0</v>
      </c>
      <c r="CP131" s="427">
        <f>IF('Financing Assumptions'!$H$30="No",0,IF(AND('Financing Assumptions'!$H$30="Yes",CP$9&lt;'Financing Assumptions'!$G$34),0,INDEX('Senior Perm Amortization1'!$C$19:$U$440,MATCH(CP$11,'Senior Perm Amortization1'!$E$19:$E$440,0),MATCH('Senior Perm Amortization1'!$U$19,'Senior Perm Amortization1'!$C$19:$U$19,0))))</f>
        <v>0</v>
      </c>
      <c r="CQ131" s="427">
        <f>IF('Financing Assumptions'!$H$30="No",0,IF(AND('Financing Assumptions'!$H$30="Yes",CQ$9&lt;'Financing Assumptions'!$G$34),0,INDEX('Senior Perm Amortization1'!$C$19:$U$440,MATCH(CQ$11,'Senior Perm Amortization1'!$E$19:$E$440,0),MATCH('Senior Perm Amortization1'!$U$19,'Senior Perm Amortization1'!$C$19:$U$19,0))))</f>
        <v>0</v>
      </c>
      <c r="CR131" s="427">
        <f>IF('Financing Assumptions'!$H$30="No",0,IF(AND('Financing Assumptions'!$H$30="Yes",CR$9&lt;'Financing Assumptions'!$G$34),0,INDEX('Senior Perm Amortization1'!$C$19:$U$440,MATCH(CR$11,'Senior Perm Amortization1'!$E$19:$E$440,0),MATCH('Senior Perm Amortization1'!$U$19,'Senior Perm Amortization1'!$C$19:$U$19,0))))</f>
        <v>0</v>
      </c>
      <c r="CS131" s="427">
        <f>IF('Financing Assumptions'!$H$30="No",0,IF(AND('Financing Assumptions'!$H$30="Yes",CS$9&lt;'Financing Assumptions'!$G$34),0,INDEX('Senior Perm Amortization1'!$C$19:$U$440,MATCH(CS$11,'Senior Perm Amortization1'!$E$19:$E$440,0),MATCH('Senior Perm Amortization1'!$U$19,'Senior Perm Amortization1'!$C$19:$U$19,0))))</f>
        <v>0</v>
      </c>
      <c r="CT131" s="427">
        <f>IF('Financing Assumptions'!$H$30="No",0,IF(AND('Financing Assumptions'!$H$30="Yes",CT$9&lt;'Financing Assumptions'!$G$34),0,INDEX('Senior Perm Amortization1'!$C$19:$U$440,MATCH(CT$11,'Senior Perm Amortization1'!$E$19:$E$440,0),MATCH('Senior Perm Amortization1'!$U$19,'Senior Perm Amortization1'!$C$19:$U$19,0))))</f>
        <v>0</v>
      </c>
      <c r="CU131" s="427">
        <f>IF('Financing Assumptions'!$H$30="No",0,IF(AND('Financing Assumptions'!$H$30="Yes",CU$9&lt;'Financing Assumptions'!$G$34),0,INDEX('Senior Perm Amortization1'!$C$19:$U$440,MATCH(CU$11,'Senior Perm Amortization1'!$E$19:$E$440,0),MATCH('Senior Perm Amortization1'!$U$19,'Senior Perm Amortization1'!$C$19:$U$19,0))))</f>
        <v>0</v>
      </c>
      <c r="CV131" s="427">
        <f>IF('Financing Assumptions'!$H$30="No",0,IF(AND('Financing Assumptions'!$H$30="Yes",CV$9&lt;'Financing Assumptions'!$G$34),0,INDEX('Senior Perm Amortization1'!$C$19:$U$440,MATCH(CV$11,'Senior Perm Amortization1'!$E$19:$E$440,0),MATCH('Senior Perm Amortization1'!$U$19,'Senior Perm Amortization1'!$C$19:$U$19,0))))</f>
        <v>0</v>
      </c>
      <c r="CW131" s="427">
        <f>IF('Financing Assumptions'!$H$30="No",0,IF(AND('Financing Assumptions'!$H$30="Yes",CW$9&lt;'Financing Assumptions'!$G$34),0,INDEX('Senior Perm Amortization1'!$C$19:$U$440,MATCH(CW$11,'Senior Perm Amortization1'!$E$19:$E$440,0),MATCH('Senior Perm Amortization1'!$U$19,'Senior Perm Amortization1'!$C$19:$U$19,0))))</f>
        <v>0</v>
      </c>
      <c r="CX131" s="427">
        <f>IF('Financing Assumptions'!$H$30="No",0,IF(AND('Financing Assumptions'!$H$30="Yes",CX$9&lt;'Financing Assumptions'!$G$34),0,INDEX('Senior Perm Amortization1'!$C$19:$U$440,MATCH(CX$11,'Senior Perm Amortization1'!$E$19:$E$440,0),MATCH('Senior Perm Amortization1'!$U$19,'Senior Perm Amortization1'!$C$19:$U$19,0))))</f>
        <v>0</v>
      </c>
      <c r="CY131" s="427">
        <f>IF('Financing Assumptions'!$H$30="No",0,IF(AND('Financing Assumptions'!$H$30="Yes",CY$9&lt;'Financing Assumptions'!$G$34),0,INDEX('Senior Perm Amortization1'!$C$19:$U$440,MATCH(CY$11,'Senior Perm Amortization1'!$E$19:$E$440,0),MATCH('Senior Perm Amortization1'!$U$19,'Senior Perm Amortization1'!$C$19:$U$19,0))))</f>
        <v>0</v>
      </c>
      <c r="CZ131" s="427">
        <f>IF('Financing Assumptions'!$H$30="No",0,IF(AND('Financing Assumptions'!$H$30="Yes",CZ$9&lt;'Financing Assumptions'!$G$34),0,INDEX('Senior Perm Amortization1'!$C$19:$U$440,MATCH(CZ$11,'Senior Perm Amortization1'!$E$19:$E$440,0),MATCH('Senior Perm Amortization1'!$U$19,'Senior Perm Amortization1'!$C$19:$U$19,0))))</f>
        <v>0</v>
      </c>
      <c r="DA131" s="427">
        <f>IF('Financing Assumptions'!$H$30="No",0,IF(AND('Financing Assumptions'!$H$30="Yes",DA$9&lt;'Financing Assumptions'!$G$34),0,INDEX('Senior Perm Amortization1'!$C$19:$U$440,MATCH(DA$11,'Senior Perm Amortization1'!$E$19:$E$440,0),MATCH('Senior Perm Amortization1'!$U$19,'Senior Perm Amortization1'!$C$19:$U$19,0))))</f>
        <v>0</v>
      </c>
      <c r="DB131" s="427">
        <f>IF('Financing Assumptions'!$H$30="No",0,IF(AND('Financing Assumptions'!$H$30="Yes",DB$9&lt;'Financing Assumptions'!$G$34),0,INDEX('Senior Perm Amortization1'!$C$19:$U$440,MATCH(DB$11,'Senior Perm Amortization1'!$E$19:$E$440,0),MATCH('Senior Perm Amortization1'!$U$19,'Senior Perm Amortization1'!$C$19:$U$19,0))))</f>
        <v>0</v>
      </c>
      <c r="DC131" s="427">
        <f>IF('Financing Assumptions'!$H$30="No",0,IF(AND('Financing Assumptions'!$H$30="Yes",DC$9&lt;'Financing Assumptions'!$G$34),0,INDEX('Senior Perm Amortization1'!$C$19:$U$440,MATCH(DC$11,'Senior Perm Amortization1'!$E$19:$E$440,0),MATCH('Senior Perm Amortization1'!$U$19,'Senior Perm Amortization1'!$C$19:$U$19,0))))</f>
        <v>0</v>
      </c>
      <c r="DD131" s="427">
        <f>IF('Financing Assumptions'!$H$30="No",0,IF(AND('Financing Assumptions'!$H$30="Yes",DD$9&lt;'Financing Assumptions'!$G$34),0,INDEX('Senior Perm Amortization1'!$C$19:$U$440,MATCH(DD$11,'Senior Perm Amortization1'!$E$19:$E$440,0),MATCH('Senior Perm Amortization1'!$U$19,'Senior Perm Amortization1'!$C$19:$U$19,0))))</f>
        <v>0</v>
      </c>
      <c r="DE131" s="427">
        <f>IF('Financing Assumptions'!$H$30="No",0,IF(AND('Financing Assumptions'!$H$30="Yes",DE$9&lt;'Financing Assumptions'!$G$34),0,INDEX('Senior Perm Amortization1'!$C$19:$U$440,MATCH(DE$11,'Senior Perm Amortization1'!$E$19:$E$440,0),MATCH('Senior Perm Amortization1'!$U$19,'Senior Perm Amortization1'!$C$19:$U$19,0))))</f>
        <v>0</v>
      </c>
      <c r="DF131" s="427">
        <f>IF('Financing Assumptions'!$H$30="No",0,IF(AND('Financing Assumptions'!$H$30="Yes",DF$9&lt;'Financing Assumptions'!$G$34),0,INDEX('Senior Perm Amortization1'!$C$19:$U$440,MATCH(DF$11,'Senior Perm Amortization1'!$E$19:$E$440,0),MATCH('Senior Perm Amortization1'!$U$19,'Senior Perm Amortization1'!$C$19:$U$19,0))))</f>
        <v>0</v>
      </c>
      <c r="DG131" s="427">
        <f>IF('Financing Assumptions'!$H$30="No",0,IF(AND('Financing Assumptions'!$H$30="Yes",DG$9&lt;'Financing Assumptions'!$G$34),0,INDEX('Senior Perm Amortization1'!$C$19:$U$440,MATCH(DG$11,'Senior Perm Amortization1'!$E$19:$E$440,0),MATCH('Senior Perm Amortization1'!$U$19,'Senior Perm Amortization1'!$C$19:$U$19,0))))</f>
        <v>0</v>
      </c>
      <c r="DH131" s="427">
        <f>IF('Financing Assumptions'!$H$30="No",0,IF(AND('Financing Assumptions'!$H$30="Yes",DH$9&lt;'Financing Assumptions'!$G$34),0,INDEX('Senior Perm Amortization1'!$C$19:$U$440,MATCH(DH$11,'Senior Perm Amortization1'!$E$19:$E$440,0),MATCH('Senior Perm Amortization1'!$U$19,'Senior Perm Amortization1'!$C$19:$U$19,0))))</f>
        <v>0</v>
      </c>
      <c r="DI131" s="427">
        <f>IF('Financing Assumptions'!$H$30="No",0,IF(AND('Financing Assumptions'!$H$30="Yes",DI$9&lt;'Financing Assumptions'!$G$34),0,INDEX('Senior Perm Amortization1'!$C$19:$U$440,MATCH(DI$11,'Senior Perm Amortization1'!$E$19:$E$440,0),MATCH('Senior Perm Amortization1'!$U$19,'Senior Perm Amortization1'!$C$19:$U$19,0))))</f>
        <v>0</v>
      </c>
      <c r="DJ131" s="427">
        <f>IF('Financing Assumptions'!$H$30="No",0,IF(AND('Financing Assumptions'!$H$30="Yes",DJ$9&lt;'Financing Assumptions'!$G$34),0,INDEX('Senior Perm Amortization1'!$C$19:$U$440,MATCH(DJ$11,'Senior Perm Amortization1'!$E$19:$E$440,0),MATCH('Senior Perm Amortization1'!$U$19,'Senior Perm Amortization1'!$C$19:$U$19,0))))</f>
        <v>0</v>
      </c>
      <c r="DK131" s="427">
        <f>IF('Financing Assumptions'!$H$30="No",0,IF(AND('Financing Assumptions'!$H$30="Yes",DK$9&lt;'Financing Assumptions'!$G$34),0,INDEX('Senior Perm Amortization1'!$C$19:$U$440,MATCH(DK$11,'Senior Perm Amortization1'!$E$19:$E$440,0),MATCH('Senior Perm Amortization1'!$U$19,'Senior Perm Amortization1'!$C$19:$U$19,0))))</f>
        <v>0</v>
      </c>
      <c r="DL131" s="427">
        <f>IF('Financing Assumptions'!$H$30="No",0,IF(AND('Financing Assumptions'!$H$30="Yes",DL$9&lt;'Financing Assumptions'!$G$34),0,INDEX('Senior Perm Amortization1'!$C$19:$U$440,MATCH(DL$11,'Senior Perm Amortization1'!$E$19:$E$440,0),MATCH('Senior Perm Amortization1'!$U$19,'Senior Perm Amortization1'!$C$19:$U$19,0))))</f>
        <v>0</v>
      </c>
      <c r="DM131" s="427">
        <f>IF('Financing Assumptions'!$H$30="No",0,IF(AND('Financing Assumptions'!$H$30="Yes",DM$9&lt;'Financing Assumptions'!$G$34),0,INDEX('Senior Perm Amortization1'!$C$19:$U$440,MATCH(DM$11,'Senior Perm Amortization1'!$E$19:$E$440,0),MATCH('Senior Perm Amortization1'!$U$19,'Senior Perm Amortization1'!$C$19:$U$19,0))))</f>
        <v>0</v>
      </c>
      <c r="DN131" s="427">
        <f>IF('Financing Assumptions'!$H$30="No",0,IF(AND('Financing Assumptions'!$H$30="Yes",DN$9&lt;'Financing Assumptions'!$G$34),0,INDEX('Senior Perm Amortization1'!$C$19:$U$440,MATCH(DN$11,'Senior Perm Amortization1'!$E$19:$E$440,0),MATCH('Senior Perm Amortization1'!$U$19,'Senior Perm Amortization1'!$C$19:$U$19,0))))</f>
        <v>0</v>
      </c>
      <c r="DO131" s="427">
        <f>IF('Financing Assumptions'!$H$30="No",0,IF(AND('Financing Assumptions'!$H$30="Yes",DO$9&lt;'Financing Assumptions'!$G$34),0,INDEX('Senior Perm Amortization1'!$C$19:$U$440,MATCH(DO$11,'Senior Perm Amortization1'!$E$19:$E$440,0),MATCH('Senior Perm Amortization1'!$U$19,'Senior Perm Amortization1'!$C$19:$U$19,0))))</f>
        <v>0</v>
      </c>
      <c r="DP131" s="427">
        <f>IF('Financing Assumptions'!$H$30="No",0,IF(AND('Financing Assumptions'!$H$30="Yes",DP$9&lt;'Financing Assumptions'!$G$34),0,INDEX('Senior Perm Amortization1'!$C$19:$U$440,MATCH(DP$11,'Senior Perm Amortization1'!$E$19:$E$440,0),MATCH('Senior Perm Amortization1'!$U$19,'Senior Perm Amortization1'!$C$19:$U$19,0))))</f>
        <v>0</v>
      </c>
      <c r="DQ131" s="427">
        <f>IF('Financing Assumptions'!$H$30="No",0,IF(AND('Financing Assumptions'!$H$30="Yes",DQ$9&lt;'Financing Assumptions'!$G$34),0,INDEX('Senior Perm Amortization1'!$C$19:$U$440,MATCH(DQ$11,'Senior Perm Amortization1'!$E$19:$E$440,0),MATCH('Senior Perm Amortization1'!$U$19,'Senior Perm Amortization1'!$C$19:$U$19,0))))</f>
        <v>0</v>
      </c>
      <c r="DR131" s="427">
        <f>IF('Financing Assumptions'!$H$30="No",0,IF(AND('Financing Assumptions'!$H$30="Yes",DR$9&lt;'Financing Assumptions'!$G$34),0,INDEX('Senior Perm Amortization1'!$C$19:$U$440,MATCH(DR$11,'Senior Perm Amortization1'!$E$19:$E$440,0),MATCH('Senior Perm Amortization1'!$U$19,'Senior Perm Amortization1'!$C$19:$U$19,0))))</f>
        <v>0</v>
      </c>
      <c r="DS131" s="427">
        <f>IF('Financing Assumptions'!$H$30="No",0,IF(AND('Financing Assumptions'!$H$30="Yes",DS$9&lt;'Financing Assumptions'!$G$34),0,INDEX('Senior Perm Amortization1'!$C$19:$U$440,MATCH(DS$11,'Senior Perm Amortization1'!$E$19:$E$440,0),MATCH('Senior Perm Amortization1'!$U$19,'Senior Perm Amortization1'!$C$19:$U$19,0))))</f>
        <v>0</v>
      </c>
      <c r="DT131" s="427">
        <f>IF('Financing Assumptions'!$H$30="No",0,IF(AND('Financing Assumptions'!$H$30="Yes",DT$9&lt;'Financing Assumptions'!$G$34),0,INDEX('Senior Perm Amortization1'!$C$19:$U$440,MATCH(DT$11,'Senior Perm Amortization1'!$E$19:$E$440,0),MATCH('Senior Perm Amortization1'!$U$19,'Senior Perm Amortization1'!$C$19:$U$19,0))))</f>
        <v>0</v>
      </c>
      <c r="DU131" s="427">
        <f>IF('Financing Assumptions'!$H$30="No",0,IF(AND('Financing Assumptions'!$H$30="Yes",DU$9&lt;'Financing Assumptions'!$G$34),0,INDEX('Senior Perm Amortization1'!$C$19:$U$440,MATCH(DU$11,'Senior Perm Amortization1'!$E$19:$E$440,0),MATCH('Senior Perm Amortization1'!$U$19,'Senior Perm Amortization1'!$C$19:$U$19,0))))</f>
        <v>0</v>
      </c>
      <c r="DV131" s="427">
        <f>IF('Financing Assumptions'!$H$30="No",0,IF(AND('Financing Assumptions'!$H$30="Yes",DV$9&lt;'Financing Assumptions'!$G$34),0,INDEX('Senior Perm Amortization1'!$C$19:$U$440,MATCH(DV$11,'Senior Perm Amortization1'!$E$19:$E$440,0),MATCH('Senior Perm Amortization1'!$U$19,'Senior Perm Amortization1'!$C$19:$U$19,0))))</f>
        <v>0</v>
      </c>
      <c r="DW131" s="427">
        <f>IF('Financing Assumptions'!$H$30="No",0,IF(AND('Financing Assumptions'!$H$30="Yes",DW$9&lt;'Financing Assumptions'!$G$34),0,INDEX('Senior Perm Amortization1'!$C$19:$U$440,MATCH(DW$11,'Senior Perm Amortization1'!$E$19:$E$440,0),MATCH('Senior Perm Amortization1'!$U$19,'Senior Perm Amortization1'!$C$19:$U$19,0))))</f>
        <v>0</v>
      </c>
      <c r="DX131" s="427">
        <f>IF('Financing Assumptions'!$H$30="No",0,IF(AND('Financing Assumptions'!$H$30="Yes",DX$9&lt;'Financing Assumptions'!$G$34),0,INDEX('Senior Perm Amortization1'!$C$19:$U$440,MATCH(DX$11,'Senior Perm Amortization1'!$E$19:$E$440,0),MATCH('Senior Perm Amortization1'!$U$19,'Senior Perm Amortization1'!$C$19:$U$19,0))))</f>
        <v>0</v>
      </c>
      <c r="DY131" s="427">
        <f>IF('Financing Assumptions'!$H$30="No",0,IF(AND('Financing Assumptions'!$H$30="Yes",DY$9&lt;'Financing Assumptions'!$G$34),0,INDEX('Senior Perm Amortization1'!$C$19:$U$440,MATCH(DY$11,'Senior Perm Amortization1'!$E$19:$E$440,0),MATCH('Senior Perm Amortization1'!$U$19,'Senior Perm Amortization1'!$C$19:$U$19,0))))</f>
        <v>0</v>
      </c>
      <c r="DZ131" s="427">
        <f>IF('Financing Assumptions'!$H$30="No",0,IF(AND('Financing Assumptions'!$H$30="Yes",DZ$9&lt;'Financing Assumptions'!$G$34),0,INDEX('Senior Perm Amortization1'!$C$19:$U$440,MATCH(DZ$11,'Senior Perm Amortization1'!$E$19:$E$440,0),MATCH('Senior Perm Amortization1'!$U$19,'Senior Perm Amortization1'!$C$19:$U$19,0))))</f>
        <v>0</v>
      </c>
      <c r="EA131" s="427">
        <f>IF('Financing Assumptions'!$H$30="No",0,IF(AND('Financing Assumptions'!$H$30="Yes",EA$9&lt;'Financing Assumptions'!$G$34),0,INDEX('Senior Perm Amortization1'!$C$19:$U$440,MATCH(EA$11,'Senior Perm Amortization1'!$E$19:$E$440,0),MATCH('Senior Perm Amortization1'!$U$19,'Senior Perm Amortization1'!$C$19:$U$19,0))))</f>
        <v>0</v>
      </c>
      <c r="EB131" s="427">
        <f>IF('Financing Assumptions'!$H$30="No",0,IF(AND('Financing Assumptions'!$H$30="Yes",EB$9&lt;'Financing Assumptions'!$G$34),0,INDEX('Senior Perm Amortization1'!$C$19:$U$440,MATCH(EB$11,'Senior Perm Amortization1'!$E$19:$E$440,0),MATCH('Senior Perm Amortization1'!$U$19,'Senior Perm Amortization1'!$C$19:$U$19,0))))</f>
        <v>0</v>
      </c>
      <c r="EC131" s="427">
        <f>IF('Financing Assumptions'!$H$30="No",0,IF(AND('Financing Assumptions'!$H$30="Yes",EC$9&lt;'Financing Assumptions'!$G$34),0,INDEX('Senior Perm Amortization1'!$C$19:$U$440,MATCH(EC$11,'Senior Perm Amortization1'!$E$19:$E$440,0),MATCH('Senior Perm Amortization1'!$U$19,'Senior Perm Amortization1'!$C$19:$U$19,0))))</f>
        <v>0</v>
      </c>
      <c r="ED131" s="427">
        <f>IF('Financing Assumptions'!$H$30="No",0,IF(AND('Financing Assumptions'!$H$30="Yes",ED$9&lt;'Financing Assumptions'!$G$34),0,INDEX('Senior Perm Amortization1'!$C$19:$U$440,MATCH(ED$11,'Senior Perm Amortization1'!$E$19:$E$440,0),MATCH('Senior Perm Amortization1'!$U$19,'Senior Perm Amortization1'!$C$19:$U$19,0))))</f>
        <v>0</v>
      </c>
      <c r="EE131" s="427">
        <f>IF('Financing Assumptions'!$H$30="No",0,IF(AND('Financing Assumptions'!$H$30="Yes",EE$9&lt;'Financing Assumptions'!$G$34),0,INDEX('Senior Perm Amortization1'!$C$19:$U$440,MATCH(EE$11,'Senior Perm Amortization1'!$E$19:$E$440,0),MATCH('Senior Perm Amortization1'!$U$19,'Senior Perm Amortization1'!$C$19:$U$19,0))))</f>
        <v>0</v>
      </c>
      <c r="EF131" s="427">
        <f>IF('Financing Assumptions'!$H$30="No",0,IF(AND('Financing Assumptions'!$H$30="Yes",EF$9&lt;'Financing Assumptions'!$G$34),0,INDEX('Senior Perm Amortization1'!$C$19:$U$440,MATCH(EF$11,'Senior Perm Amortization1'!$E$19:$E$440,0),MATCH('Senior Perm Amortization1'!$U$19,'Senior Perm Amortization1'!$C$19:$U$19,0))))</f>
        <v>0</v>
      </c>
      <c r="EG131" s="427">
        <f>IF('Financing Assumptions'!$H$30="No",0,IF(AND('Financing Assumptions'!$H$30="Yes",EG$9&lt;'Financing Assumptions'!$G$34),0,INDEX('Senior Perm Amortization1'!$C$19:$U$440,MATCH(EG$11,'Senior Perm Amortization1'!$E$19:$E$440,0),MATCH('Senior Perm Amortization1'!$U$19,'Senior Perm Amortization1'!$C$19:$U$19,0))))</f>
        <v>0</v>
      </c>
      <c r="EH131" s="427">
        <f>IF('Financing Assumptions'!$H$30="No",0,IF(AND('Financing Assumptions'!$H$30="Yes",EH$9&lt;'Financing Assumptions'!$G$34),0,INDEX('Senior Perm Amortization1'!$C$19:$U$440,MATCH(EH$11,'Senior Perm Amortization1'!$E$19:$E$440,0),MATCH('Senior Perm Amortization1'!$U$19,'Senior Perm Amortization1'!$C$19:$U$19,0))))</f>
        <v>0</v>
      </c>
      <c r="EI131" s="427">
        <f>IF('Financing Assumptions'!$H$30="No",0,IF(AND('Financing Assumptions'!$H$30="Yes",EI$9&lt;'Financing Assumptions'!$G$34),0,INDEX('Senior Perm Amortization1'!$C$19:$U$440,MATCH(EI$11,'Senior Perm Amortization1'!$E$19:$E$440,0),MATCH('Senior Perm Amortization1'!$U$19,'Senior Perm Amortization1'!$C$19:$U$19,0))))</f>
        <v>0</v>
      </c>
      <c r="EJ131" s="427">
        <f>IF('Financing Assumptions'!$H$30="No",0,IF(AND('Financing Assumptions'!$H$30="Yes",EJ$9&lt;'Financing Assumptions'!$G$34),0,INDEX('Senior Perm Amortization1'!$C$19:$U$440,MATCH(EJ$11,'Senior Perm Amortization1'!$E$19:$E$440,0),MATCH('Senior Perm Amortization1'!$U$19,'Senior Perm Amortization1'!$C$19:$U$19,0))))</f>
        <v>0</v>
      </c>
      <c r="EK131" s="427">
        <f>IF('Financing Assumptions'!$H$30="No",0,IF(AND('Financing Assumptions'!$H$30="Yes",EK$9&lt;'Financing Assumptions'!$G$34),0,INDEX('Senior Perm Amortization1'!$C$19:$U$440,MATCH(EK$11,'Senior Perm Amortization1'!$E$19:$E$440,0),MATCH('Senior Perm Amortization1'!$U$19,'Senior Perm Amortization1'!$C$19:$U$19,0))))</f>
        <v>0</v>
      </c>
      <c r="EL131" s="427">
        <f>IF('Financing Assumptions'!$H$30="No",0,IF(AND('Financing Assumptions'!$H$30="Yes",EL$9&lt;'Financing Assumptions'!$G$34),0,INDEX('Senior Perm Amortization1'!$C$19:$U$440,MATCH(EL$11,'Senior Perm Amortization1'!$E$19:$E$440,0),MATCH('Senior Perm Amortization1'!$U$19,'Senior Perm Amortization1'!$C$19:$U$19,0))))</f>
        <v>0</v>
      </c>
      <c r="EM131" s="427">
        <f>IF('Financing Assumptions'!$H$30="No",0,IF(AND('Financing Assumptions'!$H$30="Yes",EM$9&lt;'Financing Assumptions'!$G$34),0,INDEX('Senior Perm Amortization1'!$C$19:$U$440,MATCH(EM$11,'Senior Perm Amortization1'!$E$19:$E$440,0),MATCH('Senior Perm Amortization1'!$U$19,'Senior Perm Amortization1'!$C$19:$U$19,0))))</f>
        <v>0</v>
      </c>
      <c r="EN131" s="427">
        <f>IF('Financing Assumptions'!$H$30="No",0,IF(AND('Financing Assumptions'!$H$30="Yes",EN$9&lt;'Financing Assumptions'!$G$34),0,INDEX('Senior Perm Amortization1'!$C$19:$U$440,MATCH(EN$11,'Senior Perm Amortization1'!$E$19:$E$440,0),MATCH('Senior Perm Amortization1'!$U$19,'Senior Perm Amortization1'!$C$19:$U$19,0))))</f>
        <v>0</v>
      </c>
      <c r="EO131" s="427">
        <f>IF('Financing Assumptions'!$H$30="No",0,IF(AND('Financing Assumptions'!$H$30="Yes",EO$9&lt;'Financing Assumptions'!$G$34),0,INDEX('Senior Perm Amortization1'!$C$19:$U$440,MATCH(EO$11,'Senior Perm Amortization1'!$E$19:$E$440,0),MATCH('Senior Perm Amortization1'!$U$19,'Senior Perm Amortization1'!$C$19:$U$19,0))))</f>
        <v>0</v>
      </c>
      <c r="EP131" s="427">
        <f>IF('Financing Assumptions'!$H$30="No",0,IF(AND('Financing Assumptions'!$H$30="Yes",EP$9&lt;'Financing Assumptions'!$G$34),0,INDEX('Senior Perm Amortization1'!$C$19:$U$440,MATCH(EP$11,'Senior Perm Amortization1'!$E$19:$E$440,0),MATCH('Senior Perm Amortization1'!$U$19,'Senior Perm Amortization1'!$C$19:$U$19,0))))</f>
        <v>0</v>
      </c>
      <c r="EQ131" s="427">
        <f>IF('Financing Assumptions'!$H$30="No",0,IF(AND('Financing Assumptions'!$H$30="Yes",EQ$9&lt;'Financing Assumptions'!$G$34),0,INDEX('Senior Perm Amortization1'!$C$19:$U$440,MATCH(EQ$11,'Senior Perm Amortization1'!$E$19:$E$440,0),MATCH('Senior Perm Amortization1'!$U$19,'Senior Perm Amortization1'!$C$19:$U$19,0))))</f>
        <v>0</v>
      </c>
      <c r="ER131" s="427">
        <f>IF('Financing Assumptions'!$H$30="No",0,IF(AND('Financing Assumptions'!$H$30="Yes",ER$9&lt;'Financing Assumptions'!$G$34),0,INDEX('Senior Perm Amortization1'!$C$19:$U$440,MATCH(ER$11,'Senior Perm Amortization1'!$E$19:$E$440,0),MATCH('Senior Perm Amortization1'!$U$19,'Senior Perm Amortization1'!$C$19:$U$19,0))))</f>
        <v>0</v>
      </c>
      <c r="ES131" s="427">
        <f>IF('Financing Assumptions'!$H$30="No",0,IF(AND('Financing Assumptions'!$H$30="Yes",ES$9&lt;'Financing Assumptions'!$G$34),0,INDEX('Senior Perm Amortization1'!$C$19:$U$440,MATCH(ES$11,'Senior Perm Amortization1'!$E$19:$E$440,0),MATCH('Senior Perm Amortization1'!$U$19,'Senior Perm Amortization1'!$C$19:$U$19,0))))</f>
        <v>0</v>
      </c>
      <c r="ET131" s="427">
        <f>IF('Financing Assumptions'!$H$30="No",0,IF(AND('Financing Assumptions'!$H$30="Yes",ET$9&lt;'Financing Assumptions'!$G$34),0,INDEX('Senior Perm Amortization1'!$C$19:$U$440,MATCH(ET$11,'Senior Perm Amortization1'!$E$19:$E$440,0),MATCH('Senior Perm Amortization1'!$U$19,'Senior Perm Amortization1'!$C$19:$U$19,0))))</f>
        <v>0</v>
      </c>
      <c r="EU131" s="427">
        <f>IF('Financing Assumptions'!$H$30="No",0,IF(AND('Financing Assumptions'!$H$30="Yes",EU$9&lt;'Financing Assumptions'!$G$34),0,INDEX('Senior Perm Amortization1'!$C$19:$U$440,MATCH(EU$11,'Senior Perm Amortization1'!$E$19:$E$440,0),MATCH('Senior Perm Amortization1'!$U$19,'Senior Perm Amortization1'!$C$19:$U$19,0))))</f>
        <v>0</v>
      </c>
      <c r="EV131" s="427">
        <f>IF('Financing Assumptions'!$H$30="No",0,IF(AND('Financing Assumptions'!$H$30="Yes",EV$9&lt;'Financing Assumptions'!$G$34),0,INDEX('Senior Perm Amortization1'!$C$19:$U$440,MATCH(EV$11,'Senior Perm Amortization1'!$E$19:$E$440,0),MATCH('Senior Perm Amortization1'!$U$19,'Senior Perm Amortization1'!$C$19:$U$19,0))))</f>
        <v>0</v>
      </c>
      <c r="EW131" s="427">
        <f>IF('Financing Assumptions'!$H$30="No",0,IF(AND('Financing Assumptions'!$H$30="Yes",EW$9&lt;'Financing Assumptions'!$G$34),0,INDEX('Senior Perm Amortization1'!$C$19:$U$440,MATCH(EW$11,'Senior Perm Amortization1'!$E$19:$E$440,0),MATCH('Senior Perm Amortization1'!$U$19,'Senior Perm Amortization1'!$C$19:$U$19,0))))</f>
        <v>0</v>
      </c>
      <c r="EX131" s="427">
        <f>IF('Financing Assumptions'!$H$30="No",0,IF(AND('Financing Assumptions'!$H$30="Yes",EX$9&lt;'Financing Assumptions'!$G$34),0,INDEX('Senior Perm Amortization1'!$C$19:$U$440,MATCH(EX$11,'Senior Perm Amortization1'!$E$19:$E$440,0),MATCH('Senior Perm Amortization1'!$U$19,'Senior Perm Amortization1'!$C$19:$U$19,0))))</f>
        <v>0</v>
      </c>
      <c r="EY131" s="427">
        <f>IF('Financing Assumptions'!$H$30="No",0,IF(AND('Financing Assumptions'!$H$30="Yes",EY$9&lt;'Financing Assumptions'!$G$34),0,INDEX('Senior Perm Amortization1'!$C$19:$U$440,MATCH(EY$11,'Senior Perm Amortization1'!$E$19:$E$440,0),MATCH('Senior Perm Amortization1'!$U$19,'Senior Perm Amortization1'!$C$19:$U$19,0))))</f>
        <v>0</v>
      </c>
      <c r="EZ131" s="427">
        <f>IF('Financing Assumptions'!$H$30="No",0,IF(AND('Financing Assumptions'!$H$30="Yes",EZ$9&lt;'Financing Assumptions'!$G$34),0,INDEX('Senior Perm Amortization1'!$C$19:$U$440,MATCH(EZ$11,'Senior Perm Amortization1'!$E$19:$E$440,0),MATCH('Senior Perm Amortization1'!$U$19,'Senior Perm Amortization1'!$C$19:$U$19,0))))</f>
        <v>0</v>
      </c>
      <c r="FA131" s="427">
        <f>IF('Financing Assumptions'!$H$30="No",0,IF(AND('Financing Assumptions'!$H$30="Yes",FA$9&lt;'Financing Assumptions'!$G$34),0,INDEX('Senior Perm Amortization1'!$C$19:$U$440,MATCH(FA$11,'Senior Perm Amortization1'!$E$19:$E$440,0),MATCH('Senior Perm Amortization1'!$U$19,'Senior Perm Amortization1'!$C$19:$U$19,0))))</f>
        <v>0</v>
      </c>
      <c r="FB131" s="427">
        <f>IF('Financing Assumptions'!$H$30="No",0,IF(AND('Financing Assumptions'!$H$30="Yes",FB$9&lt;'Financing Assumptions'!$G$34),0,INDEX('Senior Perm Amortization1'!$C$19:$U$440,MATCH(FB$11,'Senior Perm Amortization1'!$E$19:$E$440,0),MATCH('Senior Perm Amortization1'!$U$19,'Senior Perm Amortization1'!$C$19:$U$19,0))))</f>
        <v>0</v>
      </c>
      <c r="FC131" s="427">
        <f>IF('Financing Assumptions'!$H$30="No",0,IF(AND('Financing Assumptions'!$H$30="Yes",FC$9&lt;'Financing Assumptions'!$G$34),0,INDEX('Senior Perm Amortization1'!$C$19:$U$440,MATCH(FC$11,'Senior Perm Amortization1'!$E$19:$E$440,0),MATCH('Senior Perm Amortization1'!$U$19,'Senior Perm Amortization1'!$C$19:$U$19,0))))</f>
        <v>0</v>
      </c>
      <c r="FD131" s="427">
        <f>IF('Financing Assumptions'!$H$30="No",0,IF(AND('Financing Assumptions'!$H$30="Yes",FD$9&lt;'Financing Assumptions'!$G$34),0,INDEX('Senior Perm Amortization1'!$C$19:$U$440,MATCH(FD$11,'Senior Perm Amortization1'!$E$19:$E$440,0),MATCH('Senior Perm Amortization1'!$U$19,'Senior Perm Amortization1'!$C$19:$U$19,0))))</f>
        <v>0</v>
      </c>
      <c r="FE131" s="427">
        <f>IF('Financing Assumptions'!$H$30="No",0,IF(AND('Financing Assumptions'!$H$30="Yes",FE$9&lt;'Financing Assumptions'!$G$34),0,INDEX('Senior Perm Amortization1'!$C$19:$U$440,MATCH(FE$11,'Senior Perm Amortization1'!$E$19:$E$440,0),MATCH('Senior Perm Amortization1'!$U$19,'Senior Perm Amortization1'!$C$19:$U$19,0))))</f>
        <v>0</v>
      </c>
      <c r="FF131" s="427">
        <f>IF('Financing Assumptions'!$H$30="No",0,IF(AND('Financing Assumptions'!$H$30="Yes",FF$9&lt;'Financing Assumptions'!$G$34),0,INDEX('Senior Perm Amortization1'!$C$19:$U$440,MATCH(FF$11,'Senior Perm Amortization1'!$E$19:$E$440,0),MATCH('Senior Perm Amortization1'!$U$19,'Senior Perm Amortization1'!$C$19:$U$19,0))))</f>
        <v>0</v>
      </c>
      <c r="FG131" s="427">
        <f>IF('Financing Assumptions'!$H$30="No",0,IF(AND('Financing Assumptions'!$H$30="Yes",FG$9&lt;'Financing Assumptions'!$G$34),0,INDEX('Senior Perm Amortization1'!$C$19:$U$440,MATCH(FG$11,'Senior Perm Amortization1'!$E$19:$E$440,0),MATCH('Senior Perm Amortization1'!$U$19,'Senior Perm Amortization1'!$C$19:$U$19,0))))</f>
        <v>0</v>
      </c>
      <c r="FH131" s="427">
        <f>IF('Financing Assumptions'!$H$30="No",0,IF(AND('Financing Assumptions'!$H$30="Yes",FH$9&lt;'Financing Assumptions'!$G$34),0,INDEX('Senior Perm Amortization1'!$C$19:$U$440,MATCH(FH$11,'Senior Perm Amortization1'!$E$19:$E$440,0),MATCH('Senior Perm Amortization1'!$U$19,'Senior Perm Amortization1'!$C$19:$U$19,0))))</f>
        <v>0</v>
      </c>
      <c r="FI131" s="427">
        <f>IF('Financing Assumptions'!$H$30="No",0,IF(AND('Financing Assumptions'!$H$30="Yes",FI$9&lt;'Financing Assumptions'!$G$34),0,INDEX('Senior Perm Amortization1'!$C$19:$U$440,MATCH(FI$11,'Senior Perm Amortization1'!$E$19:$E$440,0),MATCH('Senior Perm Amortization1'!$U$19,'Senior Perm Amortization1'!$C$19:$U$19,0))))</f>
        <v>0</v>
      </c>
      <c r="FJ131" s="427">
        <f>IF('Financing Assumptions'!$H$30="No",0,IF(AND('Financing Assumptions'!$H$30="Yes",FJ$9&lt;'Financing Assumptions'!$G$34),0,INDEX('Senior Perm Amortization1'!$C$19:$U$440,MATCH(FJ$11,'Senior Perm Amortization1'!$E$19:$E$440,0),MATCH('Senior Perm Amortization1'!$U$19,'Senior Perm Amortization1'!$C$19:$U$19,0))))</f>
        <v>0</v>
      </c>
      <c r="FK131" s="427">
        <f>IF('Financing Assumptions'!$H$30="No",0,IF(AND('Financing Assumptions'!$H$30="Yes",FK$9&lt;'Financing Assumptions'!$G$34),0,INDEX('Senior Perm Amortization1'!$C$19:$U$440,MATCH(FK$11,'Senior Perm Amortization1'!$E$19:$E$440,0),MATCH('Senior Perm Amortization1'!$U$19,'Senior Perm Amortization1'!$C$19:$U$19,0))))</f>
        <v>0</v>
      </c>
      <c r="FL131" s="427">
        <f>IF('Financing Assumptions'!$H$30="No",0,IF(AND('Financing Assumptions'!$H$30="Yes",FL$9&lt;'Financing Assumptions'!$G$34),0,INDEX('Senior Perm Amortization1'!$C$19:$U$440,MATCH(FL$11,'Senior Perm Amortization1'!$E$19:$E$440,0),MATCH('Senior Perm Amortization1'!$U$19,'Senior Perm Amortization1'!$C$19:$U$19,0))))</f>
        <v>0</v>
      </c>
      <c r="FM131" s="427">
        <f>IF('Financing Assumptions'!$H$30="No",0,IF(AND('Financing Assumptions'!$H$30="Yes",FM$9&lt;'Financing Assumptions'!$G$34),0,INDEX('Senior Perm Amortization1'!$C$19:$U$440,MATCH(FM$11,'Senior Perm Amortization1'!$E$19:$E$440,0),MATCH('Senior Perm Amortization1'!$U$19,'Senior Perm Amortization1'!$C$19:$U$19,0))))</f>
        <v>0</v>
      </c>
      <c r="FN131" s="427">
        <f>IF('Financing Assumptions'!$H$30="No",0,IF(AND('Financing Assumptions'!$H$30="Yes",FN$9&lt;'Financing Assumptions'!$G$34),0,INDEX('Senior Perm Amortization1'!$C$19:$U$440,MATCH(FN$11,'Senior Perm Amortization1'!$E$19:$E$440,0),MATCH('Senior Perm Amortization1'!$U$19,'Senior Perm Amortization1'!$C$19:$U$19,0))))</f>
        <v>0</v>
      </c>
      <c r="FO131" s="427">
        <f>IF('Financing Assumptions'!$H$30="No",0,IF(AND('Financing Assumptions'!$H$30="Yes",FO$9&lt;'Financing Assumptions'!$G$34),0,INDEX('Senior Perm Amortization1'!$C$19:$U$440,MATCH(FO$11,'Senior Perm Amortization1'!$E$19:$E$440,0),MATCH('Senior Perm Amortization1'!$U$19,'Senior Perm Amortization1'!$C$19:$U$19,0))))</f>
        <v>0</v>
      </c>
      <c r="FP131" s="427">
        <f>IF('Financing Assumptions'!$H$30="No",0,IF(AND('Financing Assumptions'!$H$30="Yes",FP$9&lt;'Financing Assumptions'!$G$34),0,INDEX('Senior Perm Amortization1'!$C$19:$U$440,MATCH(FP$11,'Senior Perm Amortization1'!$E$19:$E$440,0),MATCH('Senior Perm Amortization1'!$U$19,'Senior Perm Amortization1'!$C$19:$U$19,0))))</f>
        <v>0</v>
      </c>
      <c r="FQ131" s="427">
        <f>IF('Financing Assumptions'!$H$30="No",0,IF(AND('Financing Assumptions'!$H$30="Yes",FQ$9&lt;'Financing Assumptions'!$G$34),0,INDEX('Senior Perm Amortization1'!$C$19:$U$440,MATCH(FQ$11,'Senior Perm Amortization1'!$E$19:$E$440,0),MATCH('Senior Perm Amortization1'!$U$19,'Senior Perm Amortization1'!$C$19:$U$19,0))))</f>
        <v>0</v>
      </c>
      <c r="FR131" s="427">
        <f>IF('Financing Assumptions'!$H$30="No",0,IF(AND('Financing Assumptions'!$H$30="Yes",FR$9&lt;'Financing Assumptions'!$G$34),0,INDEX('Senior Perm Amortization1'!$C$19:$U$440,MATCH(FR$11,'Senior Perm Amortization1'!$E$19:$E$440,0),MATCH('Senior Perm Amortization1'!$U$19,'Senior Perm Amortization1'!$C$19:$U$19,0))))</f>
        <v>0</v>
      </c>
      <c r="FS131" s="427">
        <f>IF('Financing Assumptions'!$H$30="No",0,IF(AND('Financing Assumptions'!$H$30="Yes",FS$9&lt;'Financing Assumptions'!$G$34),0,INDEX('Senior Perm Amortization1'!$C$19:$U$440,MATCH(FS$11,'Senior Perm Amortization1'!$E$19:$E$440,0),MATCH('Senior Perm Amortization1'!$U$19,'Senior Perm Amortization1'!$C$19:$U$19,0))))</f>
        <v>0</v>
      </c>
      <c r="FT131" s="427">
        <f>IF('Financing Assumptions'!$H$30="No",0,IF(AND('Financing Assumptions'!$H$30="Yes",FT$9&lt;'Financing Assumptions'!$G$34),0,INDEX('Senior Perm Amortization1'!$C$19:$U$440,MATCH(FT$11,'Senior Perm Amortization1'!$E$19:$E$440,0),MATCH('Senior Perm Amortization1'!$U$19,'Senior Perm Amortization1'!$C$19:$U$19,0))))</f>
        <v>0</v>
      </c>
      <c r="FU131" s="43"/>
      <c r="FV131" s="34"/>
      <c r="FW131" s="34"/>
      <c r="FX131" s="34"/>
      <c r="FY131" s="34"/>
      <c r="FZ131" s="34"/>
    </row>
    <row r="132" spans="1:182" s="89" customFormat="1" ht="13.5" outlineLevel="1" x14ac:dyDescent="0.25">
      <c r="A132" s="34"/>
      <c r="B132" s="1223" t="s">
        <v>600</v>
      </c>
      <c r="C132" s="34"/>
      <c r="D132" s="34"/>
      <c r="E132" s="34"/>
      <c r="F132" s="428"/>
      <c r="G132" s="34"/>
      <c r="H132" s="427">
        <f>IF('Financing Assumptions'!$H$44="No",0,IF(AND('Financing Assumptions'!$H$44="Yes",H$9&lt;'Financing Assumptions'!$G$47),0,INDEX('Senior Refinance Amortization1'!$B$19:$U$440,MATCH(H$11,'Senior Refinance Amortization1'!$E$19:$E$440,0),MATCH('Senior Refinance Amortization1'!$U$19,'Senior Refinance Amortization1'!$B$19:$U$19,0))))</f>
        <v>0</v>
      </c>
      <c r="I132" s="427">
        <f>IF('Financing Assumptions'!$H$44="No",0,IF(AND('Financing Assumptions'!$H$44="Yes",I$9&lt;'Financing Assumptions'!$G$47),0,INDEX('Senior Refinance Amortization1'!$B$19:$U$440,MATCH(I$11,'Senior Refinance Amortization1'!$E$19:$E$440,0),MATCH('Senior Refinance Amortization1'!$U$19,'Senior Refinance Amortization1'!$B$19:$U$19,0))))</f>
        <v>0</v>
      </c>
      <c r="J132" s="427">
        <f>IF('Financing Assumptions'!$H$44="No",0,IF(AND('Financing Assumptions'!$H$44="Yes",J$9&lt;'Financing Assumptions'!$G$47),0,INDEX('Senior Refinance Amortization1'!$B$19:$U$440,MATCH(J$11,'Senior Refinance Amortization1'!$E$19:$E$440,0),MATCH('Senior Refinance Amortization1'!$U$19,'Senior Refinance Amortization1'!$B$19:$U$19,0))))</f>
        <v>0</v>
      </c>
      <c r="K132" s="427">
        <f>IF('Financing Assumptions'!$H$44="No",0,IF(AND('Financing Assumptions'!$H$44="Yes",K$9&lt;'Financing Assumptions'!$G$47),0,INDEX('Senior Refinance Amortization1'!$B$19:$U$440,MATCH(K$11,'Senior Refinance Amortization1'!$E$19:$E$440,0),MATCH('Senior Refinance Amortization1'!$U$19,'Senior Refinance Amortization1'!$B$19:$U$19,0))))</f>
        <v>0</v>
      </c>
      <c r="L132" s="427">
        <f>IF('Financing Assumptions'!$H$44="No",0,IF(AND('Financing Assumptions'!$H$44="Yes",L$9&lt;'Financing Assumptions'!$G$47),0,INDEX('Senior Refinance Amortization1'!$B$19:$U$440,MATCH(L$11,'Senior Refinance Amortization1'!$E$19:$E$440,0),MATCH('Senior Refinance Amortization1'!$U$19,'Senior Refinance Amortization1'!$B$19:$U$19,0))))</f>
        <v>0</v>
      </c>
      <c r="M132" s="427">
        <f>IF('Financing Assumptions'!$H$44="No",0,IF(AND('Financing Assumptions'!$H$44="Yes",M$9&lt;'Financing Assumptions'!$G$47),0,INDEX('Senior Refinance Amortization1'!$B$19:$U$440,MATCH(M$11,'Senior Refinance Amortization1'!$E$19:$E$440,0),MATCH('Senior Refinance Amortization1'!$U$19,'Senior Refinance Amortization1'!$B$19:$U$19,0))))</f>
        <v>0</v>
      </c>
      <c r="N132" s="427">
        <f>IF('Financing Assumptions'!$H$44="No",0,IF(AND('Financing Assumptions'!$H$44="Yes",N$9&lt;'Financing Assumptions'!$G$47),0,INDEX('Senior Refinance Amortization1'!$B$19:$U$440,MATCH(N$11,'Senior Refinance Amortization1'!$E$19:$E$440,0),MATCH('Senior Refinance Amortization1'!$U$19,'Senior Refinance Amortization1'!$B$19:$U$19,0))))</f>
        <v>0</v>
      </c>
      <c r="O132" s="427">
        <f>IF('Financing Assumptions'!$H$44="No",0,IF(AND('Financing Assumptions'!$H$44="Yes",O$9&lt;'Financing Assumptions'!$G$47),0,INDEX('Senior Refinance Amortization1'!$B$19:$U$440,MATCH(O$11,'Senior Refinance Amortization1'!$E$19:$E$440,0),MATCH('Senior Refinance Amortization1'!$U$19,'Senior Refinance Amortization1'!$B$19:$U$19,0))))</f>
        <v>0</v>
      </c>
      <c r="P132" s="427">
        <f>IF('Financing Assumptions'!$H$44="No",0,IF(AND('Financing Assumptions'!$H$44="Yes",P$9&lt;'Financing Assumptions'!$G$47),0,INDEX('Senior Refinance Amortization1'!$B$19:$U$440,MATCH(P$11,'Senior Refinance Amortization1'!$E$19:$E$440,0),MATCH('Senior Refinance Amortization1'!$U$19,'Senior Refinance Amortization1'!$B$19:$U$19,0))))</f>
        <v>0</v>
      </c>
      <c r="Q132" s="427">
        <f>IF('Financing Assumptions'!$H$44="No",0,IF(AND('Financing Assumptions'!$H$44="Yes",Q$9&lt;'Financing Assumptions'!$G$47),0,INDEX('Senior Refinance Amortization1'!$B$19:$U$440,MATCH(Q$11,'Senior Refinance Amortization1'!$E$19:$E$440,0),MATCH('Senior Refinance Amortization1'!$U$19,'Senior Refinance Amortization1'!$B$19:$U$19,0))))</f>
        <v>0</v>
      </c>
      <c r="R132" s="427">
        <f>IF('Financing Assumptions'!$H$44="No",0,IF(AND('Financing Assumptions'!$H$44="Yes",R$9&lt;'Financing Assumptions'!$G$47),0,INDEX('Senior Refinance Amortization1'!$B$19:$U$440,MATCH(R$11,'Senior Refinance Amortization1'!$E$19:$E$440,0),MATCH('Senior Refinance Amortization1'!$U$19,'Senior Refinance Amortization1'!$B$19:$U$19,0))))</f>
        <v>0</v>
      </c>
      <c r="S132" s="427">
        <f>IF('Financing Assumptions'!$H$44="No",0,IF(AND('Financing Assumptions'!$H$44="Yes",S$9&lt;'Financing Assumptions'!$G$47),0,INDEX('Senior Refinance Amortization1'!$B$19:$U$440,MATCH(S$11,'Senior Refinance Amortization1'!$E$19:$E$440,0),MATCH('Senior Refinance Amortization1'!$U$19,'Senior Refinance Amortization1'!$B$19:$U$19,0))))</f>
        <v>0</v>
      </c>
      <c r="T132" s="427">
        <f>IF('Financing Assumptions'!$H$44="No",0,IF(AND('Financing Assumptions'!$H$44="Yes",T$9&lt;'Financing Assumptions'!$G$47),0,INDEX('Senior Refinance Amortization1'!$B$19:$U$440,MATCH(T$11,'Senior Refinance Amortization1'!$E$19:$E$440,0),MATCH('Senior Refinance Amortization1'!$U$19,'Senior Refinance Amortization1'!$B$19:$U$19,0))))</f>
        <v>0</v>
      </c>
      <c r="U132" s="427">
        <f>IF('Financing Assumptions'!$H$44="No",0,IF(AND('Financing Assumptions'!$H$44="Yes",U$9&lt;'Financing Assumptions'!$G$47),0,INDEX('Senior Refinance Amortization1'!$B$19:$U$440,MATCH(U$11,'Senior Refinance Amortization1'!$E$19:$E$440,0),MATCH('Senior Refinance Amortization1'!$U$19,'Senior Refinance Amortization1'!$B$19:$U$19,0))))</f>
        <v>0</v>
      </c>
      <c r="V132" s="427">
        <f>IF('Financing Assumptions'!$H$44="No",0,IF(AND('Financing Assumptions'!$H$44="Yes",V$9&lt;'Financing Assumptions'!$G$47),0,INDEX('Senior Refinance Amortization1'!$B$19:$U$440,MATCH(V$11,'Senior Refinance Amortization1'!$E$19:$E$440,0),MATCH('Senior Refinance Amortization1'!$U$19,'Senior Refinance Amortization1'!$B$19:$U$19,0))))</f>
        <v>0</v>
      </c>
      <c r="W132" s="427">
        <f>IF('Financing Assumptions'!$H$44="No",0,IF(AND('Financing Assumptions'!$H$44="Yes",W$9&lt;'Financing Assumptions'!$G$47),0,INDEX('Senior Refinance Amortization1'!$B$19:$U$440,MATCH(W$11,'Senior Refinance Amortization1'!$E$19:$E$440,0),MATCH('Senior Refinance Amortization1'!$U$19,'Senior Refinance Amortization1'!$B$19:$U$19,0))))</f>
        <v>0</v>
      </c>
      <c r="X132" s="427">
        <f>IF('Financing Assumptions'!$H$44="No",0,IF(AND('Financing Assumptions'!$H$44="Yes",X$9&lt;'Financing Assumptions'!$G$47),0,INDEX('Senior Refinance Amortization1'!$B$19:$U$440,MATCH(X$11,'Senior Refinance Amortization1'!$E$19:$E$440,0),MATCH('Senior Refinance Amortization1'!$U$19,'Senior Refinance Amortization1'!$B$19:$U$19,0))))</f>
        <v>0</v>
      </c>
      <c r="Y132" s="427">
        <f>IF('Financing Assumptions'!$H$44="No",0,IF(AND('Financing Assumptions'!$H$44="Yes",Y$9&lt;'Financing Assumptions'!$G$47),0,INDEX('Senior Refinance Amortization1'!$B$19:$U$440,MATCH(Y$11,'Senior Refinance Amortization1'!$E$19:$E$440,0),MATCH('Senior Refinance Amortization1'!$U$19,'Senior Refinance Amortization1'!$B$19:$U$19,0))))</f>
        <v>0</v>
      </c>
      <c r="Z132" s="427">
        <f>IF('Financing Assumptions'!$H$44="No",0,IF(AND('Financing Assumptions'!$H$44="Yes",Z$9&lt;'Financing Assumptions'!$G$47),0,INDEX('Senior Refinance Amortization1'!$B$19:$U$440,MATCH(Z$11,'Senior Refinance Amortization1'!$E$19:$E$440,0),MATCH('Senior Refinance Amortization1'!$U$19,'Senior Refinance Amortization1'!$B$19:$U$19,0))))</f>
        <v>0</v>
      </c>
      <c r="AA132" s="427">
        <f>IF('Financing Assumptions'!$H$44="No",0,IF(AND('Financing Assumptions'!$H$44="Yes",AA$9&lt;'Financing Assumptions'!$G$47),0,INDEX('Senior Refinance Amortization1'!$B$19:$U$440,MATCH(AA$11,'Senior Refinance Amortization1'!$E$19:$E$440,0),MATCH('Senior Refinance Amortization1'!$U$19,'Senior Refinance Amortization1'!$B$19:$U$19,0))))</f>
        <v>0</v>
      </c>
      <c r="AB132" s="427">
        <f>IF('Financing Assumptions'!$H$44="No",0,IF(AND('Financing Assumptions'!$H$44="Yes",AB$9&lt;'Financing Assumptions'!$G$47),0,INDEX('Senior Refinance Amortization1'!$B$19:$U$440,MATCH(AB$11,'Senior Refinance Amortization1'!$E$19:$E$440,0),MATCH('Senior Refinance Amortization1'!$U$19,'Senior Refinance Amortization1'!$B$19:$U$19,0))))</f>
        <v>0</v>
      </c>
      <c r="AC132" s="427">
        <f>IF('Financing Assumptions'!$H$44="No",0,IF(AND('Financing Assumptions'!$H$44="Yes",AC$9&lt;'Financing Assumptions'!$G$47),0,INDEX('Senior Refinance Amortization1'!$B$19:$U$440,MATCH(AC$11,'Senior Refinance Amortization1'!$E$19:$E$440,0),MATCH('Senior Refinance Amortization1'!$U$19,'Senior Refinance Amortization1'!$B$19:$U$19,0))))</f>
        <v>0</v>
      </c>
      <c r="AD132" s="427">
        <f>IF('Financing Assumptions'!$H$44="No",0,IF(AND('Financing Assumptions'!$H$44="Yes",AD$9&lt;'Financing Assumptions'!$G$47),0,INDEX('Senior Refinance Amortization1'!$B$19:$U$440,MATCH(AD$11,'Senior Refinance Amortization1'!$E$19:$E$440,0),MATCH('Senior Refinance Amortization1'!$U$19,'Senior Refinance Amortization1'!$B$19:$U$19,0))))</f>
        <v>0</v>
      </c>
      <c r="AE132" s="427">
        <f>IF('Financing Assumptions'!$H$44="No",0,IF(AND('Financing Assumptions'!$H$44="Yes",AE$9&lt;'Financing Assumptions'!$G$47),0,INDEX('Senior Refinance Amortization1'!$B$19:$U$440,MATCH(AE$11,'Senior Refinance Amortization1'!$E$19:$E$440,0),MATCH('Senior Refinance Amortization1'!$U$19,'Senior Refinance Amortization1'!$B$19:$U$19,0))))</f>
        <v>0</v>
      </c>
      <c r="AF132" s="427">
        <f>IF('Financing Assumptions'!$H$44="No",0,IF(AND('Financing Assumptions'!$H$44="Yes",AF$9&lt;'Financing Assumptions'!$G$47),0,INDEX('Senior Refinance Amortization1'!$B$19:$U$440,MATCH(AF$11,'Senior Refinance Amortization1'!$E$19:$E$440,0),MATCH('Senior Refinance Amortization1'!$U$19,'Senior Refinance Amortization1'!$B$19:$U$19,0))))</f>
        <v>0</v>
      </c>
      <c r="AG132" s="427">
        <f>IF('Financing Assumptions'!$H$44="No",0,IF(AND('Financing Assumptions'!$H$44="Yes",AG$9&lt;'Financing Assumptions'!$G$47),0,INDEX('Senior Refinance Amortization1'!$B$19:$U$440,MATCH(AG$11,'Senior Refinance Amortization1'!$E$19:$E$440,0),MATCH('Senior Refinance Amortization1'!$U$19,'Senior Refinance Amortization1'!$B$19:$U$19,0))))</f>
        <v>0</v>
      </c>
      <c r="AH132" s="427">
        <f>IF('Financing Assumptions'!$H$44="No",0,IF(AND('Financing Assumptions'!$H$44="Yes",AH$9&lt;'Financing Assumptions'!$G$47),0,INDEX('Senior Refinance Amortization1'!$B$19:$U$440,MATCH(AH$11,'Senior Refinance Amortization1'!$E$19:$E$440,0),MATCH('Senior Refinance Amortization1'!$U$19,'Senior Refinance Amortization1'!$B$19:$U$19,0))))</f>
        <v>0</v>
      </c>
      <c r="AI132" s="427">
        <f>IF('Financing Assumptions'!$H$44="No",0,IF(AND('Financing Assumptions'!$H$44="Yes",AI$9&lt;'Financing Assumptions'!$G$47),0,INDEX('Senior Refinance Amortization1'!$B$19:$U$440,MATCH(AI$11,'Senior Refinance Amortization1'!$E$19:$E$440,0),MATCH('Senior Refinance Amortization1'!$U$19,'Senior Refinance Amortization1'!$B$19:$U$19,0))))</f>
        <v>0</v>
      </c>
      <c r="AJ132" s="427">
        <f>IF('Financing Assumptions'!$H$44="No",0,IF(AND('Financing Assumptions'!$H$44="Yes",AJ$9&lt;'Financing Assumptions'!$G$47),0,INDEX('Senior Refinance Amortization1'!$B$19:$U$440,MATCH(AJ$11,'Senior Refinance Amortization1'!$E$19:$E$440,0),MATCH('Senior Refinance Amortization1'!$U$19,'Senior Refinance Amortization1'!$B$19:$U$19,0))))</f>
        <v>0</v>
      </c>
      <c r="AK132" s="427">
        <f>IF('Financing Assumptions'!$H$44="No",0,IF(AND('Financing Assumptions'!$H$44="Yes",AK$9&lt;'Financing Assumptions'!$G$47),0,INDEX('Senior Refinance Amortization1'!$B$19:$U$440,MATCH(AK$11,'Senior Refinance Amortization1'!$E$19:$E$440,0),MATCH('Senior Refinance Amortization1'!$U$19,'Senior Refinance Amortization1'!$B$19:$U$19,0))))</f>
        <v>0</v>
      </c>
      <c r="AL132" s="427">
        <f>IF('Financing Assumptions'!$H$44="No",0,IF(AND('Financing Assumptions'!$H$44="Yes",AL$9&lt;'Financing Assumptions'!$G$47),0,INDEX('Senior Refinance Amortization1'!$B$19:$U$440,MATCH(AL$11,'Senior Refinance Amortization1'!$E$19:$E$440,0),MATCH('Senior Refinance Amortization1'!$U$19,'Senior Refinance Amortization1'!$B$19:$U$19,0))))</f>
        <v>0</v>
      </c>
      <c r="AM132" s="427">
        <f>IF('Financing Assumptions'!$H$44="No",0,IF(AND('Financing Assumptions'!$H$44="Yes",AM$9&lt;'Financing Assumptions'!$G$47),0,INDEX('Senior Refinance Amortization1'!$B$19:$U$440,MATCH(AM$11,'Senior Refinance Amortization1'!$E$19:$E$440,0),MATCH('Senior Refinance Amortization1'!$U$19,'Senior Refinance Amortization1'!$B$19:$U$19,0))))</f>
        <v>0</v>
      </c>
      <c r="AN132" s="427">
        <f>IF('Financing Assumptions'!$H$44="No",0,IF(AND('Financing Assumptions'!$H$44="Yes",AN$9&lt;'Financing Assumptions'!$G$47),0,INDEX('Senior Refinance Amortization1'!$B$19:$U$440,MATCH(AN$11,'Senior Refinance Amortization1'!$E$19:$E$440,0),MATCH('Senior Refinance Amortization1'!$U$19,'Senior Refinance Amortization1'!$B$19:$U$19,0))))</f>
        <v>0</v>
      </c>
      <c r="AO132" s="427">
        <f>IF('Financing Assumptions'!$H$44="No",0,IF(AND('Financing Assumptions'!$H$44="Yes",AO$9&lt;'Financing Assumptions'!$G$47),0,INDEX('Senior Refinance Amortization1'!$B$19:$U$440,MATCH(AO$11,'Senior Refinance Amortization1'!$E$19:$E$440,0),MATCH('Senior Refinance Amortization1'!$U$19,'Senior Refinance Amortization1'!$B$19:$U$19,0))))</f>
        <v>0</v>
      </c>
      <c r="AP132" s="427">
        <f>IF('Financing Assumptions'!$H$44="No",0,IF(AND('Financing Assumptions'!$H$44="Yes",AP$9&lt;'Financing Assumptions'!$G$47),0,INDEX('Senior Refinance Amortization1'!$B$19:$U$440,MATCH(AP$11,'Senior Refinance Amortization1'!$E$19:$E$440,0),MATCH('Senior Refinance Amortization1'!$U$19,'Senior Refinance Amortization1'!$B$19:$U$19,0))))</f>
        <v>0</v>
      </c>
      <c r="AQ132" s="427">
        <f>IF('Financing Assumptions'!$H$44="No",0,IF(AND('Financing Assumptions'!$H$44="Yes",AQ$9&lt;'Financing Assumptions'!$G$47),0,INDEX('Senior Refinance Amortization1'!$B$19:$U$440,MATCH(AQ$11,'Senior Refinance Amortization1'!$E$19:$E$440,0),MATCH('Senior Refinance Amortization1'!$U$19,'Senior Refinance Amortization1'!$B$19:$U$19,0))))</f>
        <v>0</v>
      </c>
      <c r="AR132" s="427">
        <f>IF('Financing Assumptions'!$H$44="No",0,IF(AND('Financing Assumptions'!$H$44="Yes",AR$9&lt;'Financing Assumptions'!$G$47),0,INDEX('Senior Refinance Amortization1'!$B$19:$U$440,MATCH(AR$11,'Senior Refinance Amortization1'!$E$19:$E$440,0),MATCH('Senior Refinance Amortization1'!$U$19,'Senior Refinance Amortization1'!$B$19:$U$19,0))))</f>
        <v>0</v>
      </c>
      <c r="AS132" s="427">
        <f>IF('Financing Assumptions'!$H$44="No",0,IF(AND('Financing Assumptions'!$H$44="Yes",AS$9&lt;'Financing Assumptions'!$G$47),0,INDEX('Senior Refinance Amortization1'!$B$19:$U$440,MATCH(AS$11,'Senior Refinance Amortization1'!$E$19:$E$440,0),MATCH('Senior Refinance Amortization1'!$U$19,'Senior Refinance Amortization1'!$B$19:$U$19,0))))</f>
        <v>0</v>
      </c>
      <c r="AT132" s="427">
        <f>IF('Financing Assumptions'!$H$44="No",0,IF(AND('Financing Assumptions'!$H$44="Yes",AT$9&lt;'Financing Assumptions'!$G$47),0,INDEX('Senior Refinance Amortization1'!$B$19:$U$440,MATCH(AT$11,'Senior Refinance Amortization1'!$E$19:$E$440,0),MATCH('Senior Refinance Amortization1'!$U$19,'Senior Refinance Amortization1'!$B$19:$U$19,0))))</f>
        <v>0</v>
      </c>
      <c r="AU132" s="427">
        <f>IF('Financing Assumptions'!$H$44="No",0,IF(AND('Financing Assumptions'!$H$44="Yes",AU$9&lt;'Financing Assumptions'!$G$47),0,INDEX('Senior Refinance Amortization1'!$B$19:$U$440,MATCH(AU$11,'Senior Refinance Amortization1'!$E$19:$E$440,0),MATCH('Senior Refinance Amortization1'!$U$19,'Senior Refinance Amortization1'!$B$19:$U$19,0))))</f>
        <v>0</v>
      </c>
      <c r="AV132" s="427">
        <f>IF('Financing Assumptions'!$H$44="No",0,IF(AND('Financing Assumptions'!$H$44="Yes",AV$9&lt;'Financing Assumptions'!$G$47),0,INDEX('Senior Refinance Amortization1'!$B$19:$U$440,MATCH(AV$11,'Senior Refinance Amortization1'!$E$19:$E$440,0),MATCH('Senior Refinance Amortization1'!$U$19,'Senior Refinance Amortization1'!$B$19:$U$19,0))))</f>
        <v>0</v>
      </c>
      <c r="AW132" s="427">
        <f>IF('Financing Assumptions'!$H$44="No",0,IF(AND('Financing Assumptions'!$H$44="Yes",AW$9&lt;'Financing Assumptions'!$G$47),0,INDEX('Senior Refinance Amortization1'!$B$19:$U$440,MATCH(AW$11,'Senior Refinance Amortization1'!$E$19:$E$440,0),MATCH('Senior Refinance Amortization1'!$U$19,'Senior Refinance Amortization1'!$B$19:$U$19,0))))</f>
        <v>0</v>
      </c>
      <c r="AX132" s="427">
        <f>IF('Financing Assumptions'!$H$44="No",0,IF(AND('Financing Assumptions'!$H$44="Yes",AX$9&lt;'Financing Assumptions'!$G$47),0,INDEX('Senior Refinance Amortization1'!$B$19:$U$440,MATCH(AX$11,'Senior Refinance Amortization1'!$E$19:$E$440,0),MATCH('Senior Refinance Amortization1'!$U$19,'Senior Refinance Amortization1'!$B$19:$U$19,0))))</f>
        <v>0</v>
      </c>
      <c r="AY132" s="427">
        <f>IF('Financing Assumptions'!$H$44="No",0,IF(AND('Financing Assumptions'!$H$44="Yes",AY$9&lt;'Financing Assumptions'!$G$47),0,INDEX('Senior Refinance Amortization1'!$B$19:$U$440,MATCH(AY$11,'Senior Refinance Amortization1'!$E$19:$E$440,0),MATCH('Senior Refinance Amortization1'!$U$19,'Senior Refinance Amortization1'!$B$19:$U$19,0))))</f>
        <v>0</v>
      </c>
      <c r="AZ132" s="427">
        <f>IF('Financing Assumptions'!$H$44="No",0,IF(AND('Financing Assumptions'!$H$44="Yes",AZ$9&lt;'Financing Assumptions'!$G$47),0,INDEX('Senior Refinance Amortization1'!$B$19:$U$440,MATCH(AZ$11,'Senior Refinance Amortization1'!$E$19:$E$440,0),MATCH('Senior Refinance Amortization1'!$U$19,'Senior Refinance Amortization1'!$B$19:$U$19,0))))</f>
        <v>0</v>
      </c>
      <c r="BA132" s="427">
        <f>IF('Financing Assumptions'!$H$44="No",0,IF(AND('Financing Assumptions'!$H$44="Yes",BA$9&lt;'Financing Assumptions'!$G$47),0,INDEX('Senior Refinance Amortization1'!$B$19:$U$440,MATCH(BA$11,'Senior Refinance Amortization1'!$E$19:$E$440,0),MATCH('Senior Refinance Amortization1'!$U$19,'Senior Refinance Amortization1'!$B$19:$U$19,0))))</f>
        <v>0</v>
      </c>
      <c r="BB132" s="427">
        <f>IF('Financing Assumptions'!$H$44="No",0,IF(AND('Financing Assumptions'!$H$44="Yes",BB$9&lt;'Financing Assumptions'!$G$47),0,INDEX('Senior Refinance Amortization1'!$B$19:$U$440,MATCH(BB$11,'Senior Refinance Amortization1'!$E$19:$E$440,0),MATCH('Senior Refinance Amortization1'!$U$19,'Senior Refinance Amortization1'!$B$19:$U$19,0))))</f>
        <v>0</v>
      </c>
      <c r="BC132" s="427">
        <f>IF('Financing Assumptions'!$H$44="No",0,IF(AND('Financing Assumptions'!$H$44="Yes",BC$9&lt;'Financing Assumptions'!$G$47),0,INDEX('Senior Refinance Amortization1'!$B$19:$U$440,MATCH(BC$11,'Senior Refinance Amortization1'!$E$19:$E$440,0),MATCH('Senior Refinance Amortization1'!$U$19,'Senior Refinance Amortization1'!$B$19:$U$19,0))))</f>
        <v>0</v>
      </c>
      <c r="BD132" s="427">
        <f>IF('Financing Assumptions'!$H$44="No",0,IF(AND('Financing Assumptions'!$H$44="Yes",BD$9&lt;'Financing Assumptions'!$G$47),0,INDEX('Senior Refinance Amortization1'!$B$19:$U$440,MATCH(BD$11,'Senior Refinance Amortization1'!$E$19:$E$440,0),MATCH('Senior Refinance Amortization1'!$U$19,'Senior Refinance Amortization1'!$B$19:$U$19,0))))</f>
        <v>0</v>
      </c>
      <c r="BE132" s="427">
        <f>IF('Financing Assumptions'!$H$44="No",0,IF(AND('Financing Assumptions'!$H$44="Yes",BE$9&lt;'Financing Assumptions'!$G$47),0,INDEX('Senior Refinance Amortization1'!$B$19:$U$440,MATCH(BE$11,'Senior Refinance Amortization1'!$E$19:$E$440,0),MATCH('Senior Refinance Amortization1'!$U$19,'Senior Refinance Amortization1'!$B$19:$U$19,0))))</f>
        <v>0</v>
      </c>
      <c r="BF132" s="427">
        <f>IF('Financing Assumptions'!$H$44="No",0,IF(AND('Financing Assumptions'!$H$44="Yes",BF$9&lt;'Financing Assumptions'!$G$47),0,INDEX('Senior Refinance Amortization1'!$B$19:$U$440,MATCH(BF$11,'Senior Refinance Amortization1'!$E$19:$E$440,0),MATCH('Senior Refinance Amortization1'!$U$19,'Senior Refinance Amortization1'!$B$19:$U$19,0))))</f>
        <v>0</v>
      </c>
      <c r="BG132" s="427">
        <f>IF('Financing Assumptions'!$H$44="No",0,IF(AND('Financing Assumptions'!$H$44="Yes",BG$9&lt;'Financing Assumptions'!$G$47),0,INDEX('Senior Refinance Amortization1'!$B$19:$U$440,MATCH(BG$11,'Senior Refinance Amortization1'!$E$19:$E$440,0),MATCH('Senior Refinance Amortization1'!$U$19,'Senior Refinance Amortization1'!$B$19:$U$19,0))))</f>
        <v>0</v>
      </c>
      <c r="BH132" s="427">
        <f>IF('Financing Assumptions'!$H$44="No",0,IF(AND('Financing Assumptions'!$H$44="Yes",BH$9&lt;'Financing Assumptions'!$G$47),0,INDEX('Senior Refinance Amortization1'!$B$19:$U$440,MATCH(BH$11,'Senior Refinance Amortization1'!$E$19:$E$440,0),MATCH('Senior Refinance Amortization1'!$U$19,'Senior Refinance Amortization1'!$B$19:$U$19,0))))</f>
        <v>0</v>
      </c>
      <c r="BI132" s="427">
        <f>IF('Financing Assumptions'!$H$44="No",0,IF(AND('Financing Assumptions'!$H$44="Yes",BI$9&lt;'Financing Assumptions'!$G$47),0,INDEX('Senior Refinance Amortization1'!$B$19:$U$440,MATCH(BI$11,'Senior Refinance Amortization1'!$E$19:$E$440,0),MATCH('Senior Refinance Amortization1'!$U$19,'Senior Refinance Amortization1'!$B$19:$U$19,0))))</f>
        <v>0</v>
      </c>
      <c r="BJ132" s="427">
        <f>IF('Financing Assumptions'!$H$44="No",0,IF(AND('Financing Assumptions'!$H$44="Yes",BJ$9&lt;'Financing Assumptions'!$G$47),0,INDEX('Senior Refinance Amortization1'!$B$19:$U$440,MATCH(BJ$11,'Senior Refinance Amortization1'!$E$19:$E$440,0),MATCH('Senior Refinance Amortization1'!$U$19,'Senior Refinance Amortization1'!$B$19:$U$19,0))))</f>
        <v>0</v>
      </c>
      <c r="BK132" s="427">
        <f>IF('Financing Assumptions'!$H$44="No",0,IF(AND('Financing Assumptions'!$H$44="Yes",BK$9&lt;'Financing Assumptions'!$G$47),0,INDEX('Senior Refinance Amortization1'!$B$19:$U$440,MATCH(BK$11,'Senior Refinance Amortization1'!$E$19:$E$440,0),MATCH('Senior Refinance Amortization1'!$U$19,'Senior Refinance Amortization1'!$B$19:$U$19,0))))</f>
        <v>0</v>
      </c>
      <c r="BL132" s="427">
        <f>IF('Financing Assumptions'!$H$44="No",0,IF(AND('Financing Assumptions'!$H$44="Yes",BL$9&lt;'Financing Assumptions'!$G$47),0,INDEX('Senior Refinance Amortization1'!$B$19:$U$440,MATCH(BL$11,'Senior Refinance Amortization1'!$E$19:$E$440,0),MATCH('Senior Refinance Amortization1'!$U$19,'Senior Refinance Amortization1'!$B$19:$U$19,0))))</f>
        <v>0</v>
      </c>
      <c r="BM132" s="427">
        <f>IF('Financing Assumptions'!$H$44="No",0,IF(AND('Financing Assumptions'!$H$44="Yes",BM$9&lt;'Financing Assumptions'!$G$47),0,INDEX('Senior Refinance Amortization1'!$B$19:$U$440,MATCH(BM$11,'Senior Refinance Amortization1'!$E$19:$E$440,0),MATCH('Senior Refinance Amortization1'!$U$19,'Senior Refinance Amortization1'!$B$19:$U$19,0))))</f>
        <v>0</v>
      </c>
      <c r="BN132" s="427">
        <f>IF('Financing Assumptions'!$H$44="No",0,IF(AND('Financing Assumptions'!$H$44="Yes",BN$9&lt;'Financing Assumptions'!$G$47),0,INDEX('Senior Refinance Amortization1'!$B$19:$U$440,MATCH(BN$11,'Senior Refinance Amortization1'!$E$19:$E$440,0),MATCH('Senior Refinance Amortization1'!$U$19,'Senior Refinance Amortization1'!$B$19:$U$19,0))))</f>
        <v>0</v>
      </c>
      <c r="BO132" s="427">
        <f>IF('Financing Assumptions'!$H$44="No",0,IF(AND('Financing Assumptions'!$H$44="Yes",BO$9&lt;'Financing Assumptions'!$G$47),0,INDEX('Senior Refinance Amortization1'!$B$19:$U$440,MATCH(BO$11,'Senior Refinance Amortization1'!$E$19:$E$440,0),MATCH('Senior Refinance Amortization1'!$U$19,'Senior Refinance Amortization1'!$B$19:$U$19,0))))</f>
        <v>0</v>
      </c>
      <c r="BP132" s="427">
        <f>IF('Financing Assumptions'!$H$44="No",0,IF(AND('Financing Assumptions'!$H$44="Yes",BP$9&lt;'Financing Assumptions'!$G$47),0,INDEX('Senior Refinance Amortization1'!$B$19:$U$440,MATCH(BP$11,'Senior Refinance Amortization1'!$E$19:$E$440,0),MATCH('Senior Refinance Amortization1'!$U$19,'Senior Refinance Amortization1'!$B$19:$U$19,0))))</f>
        <v>0</v>
      </c>
      <c r="BQ132" s="427">
        <f>IF('Financing Assumptions'!$H$44="No",0,IF(AND('Financing Assumptions'!$H$44="Yes",BQ$9&lt;'Financing Assumptions'!$G$47),0,INDEX('Senior Refinance Amortization1'!$B$19:$U$440,MATCH(BQ$11,'Senior Refinance Amortization1'!$E$19:$E$440,0),MATCH('Senior Refinance Amortization1'!$U$19,'Senior Refinance Amortization1'!$B$19:$U$19,0))))</f>
        <v>0</v>
      </c>
      <c r="BR132" s="427">
        <f>IF('Financing Assumptions'!$H$44="No",0,IF(AND('Financing Assumptions'!$H$44="Yes",BR$9&lt;'Financing Assumptions'!$G$47),0,INDEX('Senior Refinance Amortization1'!$B$19:$U$440,MATCH(BR$11,'Senior Refinance Amortization1'!$E$19:$E$440,0),MATCH('Senior Refinance Amortization1'!$U$19,'Senior Refinance Amortization1'!$B$19:$U$19,0))))</f>
        <v>0</v>
      </c>
      <c r="BS132" s="427">
        <f>IF('Financing Assumptions'!$H$44="No",0,IF(AND('Financing Assumptions'!$H$44="Yes",BS$9&lt;'Financing Assumptions'!$G$47),0,INDEX('Senior Refinance Amortization1'!$B$19:$U$440,MATCH(BS$11,'Senior Refinance Amortization1'!$E$19:$E$440,0),MATCH('Senior Refinance Amortization1'!$U$19,'Senior Refinance Amortization1'!$B$19:$U$19,0))))</f>
        <v>0</v>
      </c>
      <c r="BT132" s="427">
        <f>IF('Financing Assumptions'!$H$44="No",0,IF(AND('Financing Assumptions'!$H$44="Yes",BT$9&lt;'Financing Assumptions'!$G$47),0,INDEX('Senior Refinance Amortization1'!$B$19:$U$440,MATCH(BT$11,'Senior Refinance Amortization1'!$E$19:$E$440,0),MATCH('Senior Refinance Amortization1'!$U$19,'Senior Refinance Amortization1'!$B$19:$U$19,0))))</f>
        <v>0</v>
      </c>
      <c r="BU132" s="427">
        <f>IF('Financing Assumptions'!$H$44="No",0,IF(AND('Financing Assumptions'!$H$44="Yes",BU$9&lt;'Financing Assumptions'!$G$47),0,INDEX('Senior Refinance Amortization1'!$B$19:$U$440,MATCH(BU$11,'Senior Refinance Amortization1'!$E$19:$E$440,0),MATCH('Senior Refinance Amortization1'!$U$19,'Senior Refinance Amortization1'!$B$19:$U$19,0))))</f>
        <v>0</v>
      </c>
      <c r="BV132" s="427">
        <f>IF('Financing Assumptions'!$H$44="No",0,IF(AND('Financing Assumptions'!$H$44="Yes",BV$9&lt;'Financing Assumptions'!$G$47),0,INDEX('Senior Refinance Amortization1'!$B$19:$U$440,MATCH(BV$11,'Senior Refinance Amortization1'!$E$19:$E$440,0),MATCH('Senior Refinance Amortization1'!$U$19,'Senior Refinance Amortization1'!$B$19:$U$19,0))))</f>
        <v>0</v>
      </c>
      <c r="BW132" s="427">
        <f>IF('Financing Assumptions'!$H$44="No",0,IF(AND('Financing Assumptions'!$H$44="Yes",BW$9&lt;'Financing Assumptions'!$G$47),0,INDEX('Senior Refinance Amortization1'!$B$19:$U$440,MATCH(BW$11,'Senior Refinance Amortization1'!$E$19:$E$440,0),MATCH('Senior Refinance Amortization1'!$U$19,'Senior Refinance Amortization1'!$B$19:$U$19,0))))</f>
        <v>0</v>
      </c>
      <c r="BX132" s="427">
        <f>IF('Financing Assumptions'!$H$44="No",0,IF(AND('Financing Assumptions'!$H$44="Yes",BX$9&lt;'Financing Assumptions'!$G$47),0,INDEX('Senior Refinance Amortization1'!$B$19:$U$440,MATCH(BX$11,'Senior Refinance Amortization1'!$E$19:$E$440,0),MATCH('Senior Refinance Amortization1'!$U$19,'Senior Refinance Amortization1'!$B$19:$U$19,0))))</f>
        <v>0</v>
      </c>
      <c r="BY132" s="427">
        <f>IF('Financing Assumptions'!$H$44="No",0,IF(AND('Financing Assumptions'!$H$44="Yes",BY$9&lt;'Financing Assumptions'!$G$47),0,INDEX('Senior Refinance Amortization1'!$B$19:$U$440,MATCH(BY$11,'Senior Refinance Amortization1'!$E$19:$E$440,0),MATCH('Senior Refinance Amortization1'!$U$19,'Senior Refinance Amortization1'!$B$19:$U$19,0))))</f>
        <v>0</v>
      </c>
      <c r="BZ132" s="427">
        <f>IF('Financing Assumptions'!$H$44="No",0,IF(AND('Financing Assumptions'!$H$44="Yes",BZ$9&lt;'Financing Assumptions'!$G$47),0,INDEX('Senior Refinance Amortization1'!$B$19:$U$440,MATCH(BZ$11,'Senior Refinance Amortization1'!$E$19:$E$440,0),MATCH('Senior Refinance Amortization1'!$U$19,'Senior Refinance Amortization1'!$B$19:$U$19,0))))</f>
        <v>0</v>
      </c>
      <c r="CA132" s="427">
        <f>IF('Financing Assumptions'!$H$44="No",0,IF(AND('Financing Assumptions'!$H$44="Yes",CA$9&lt;'Financing Assumptions'!$G$47),0,INDEX('Senior Refinance Amortization1'!$B$19:$U$440,MATCH(CA$11,'Senior Refinance Amortization1'!$E$19:$E$440,0),MATCH('Senior Refinance Amortization1'!$U$19,'Senior Refinance Amortization1'!$B$19:$U$19,0))))</f>
        <v>0</v>
      </c>
      <c r="CB132" s="427">
        <f>IF('Financing Assumptions'!$H$44="No",0,IF(AND('Financing Assumptions'!$H$44="Yes",CB$9&lt;'Financing Assumptions'!$G$47),0,INDEX('Senior Refinance Amortization1'!$B$19:$U$440,MATCH(CB$11,'Senior Refinance Amortization1'!$E$19:$E$440,0),MATCH('Senior Refinance Amortization1'!$U$19,'Senior Refinance Amortization1'!$B$19:$U$19,0))))</f>
        <v>0</v>
      </c>
      <c r="CC132" s="427">
        <f>IF('Financing Assumptions'!$H$44="No",0,IF(AND('Financing Assumptions'!$H$44="Yes",CC$9&lt;'Financing Assumptions'!$G$47),0,INDEX('Senior Refinance Amortization1'!$B$19:$U$440,MATCH(CC$11,'Senior Refinance Amortization1'!$E$19:$E$440,0),MATCH('Senior Refinance Amortization1'!$U$19,'Senior Refinance Amortization1'!$B$19:$U$19,0))))</f>
        <v>0</v>
      </c>
      <c r="CD132" s="427">
        <f>IF('Financing Assumptions'!$H$44="No",0,IF(AND('Financing Assumptions'!$H$44="Yes",CD$9&lt;'Financing Assumptions'!$G$47),0,INDEX('Senior Refinance Amortization1'!$B$19:$U$440,MATCH(CD$11,'Senior Refinance Amortization1'!$E$19:$E$440,0),MATCH('Senior Refinance Amortization1'!$U$19,'Senior Refinance Amortization1'!$B$19:$U$19,0))))</f>
        <v>0</v>
      </c>
      <c r="CE132" s="427">
        <f>IF('Financing Assumptions'!$H$44="No",0,IF(AND('Financing Assumptions'!$H$44="Yes",CE$9&lt;'Financing Assumptions'!$G$47),0,INDEX('Senior Refinance Amortization1'!$B$19:$U$440,MATCH(CE$11,'Senior Refinance Amortization1'!$E$19:$E$440,0),MATCH('Senior Refinance Amortization1'!$U$19,'Senior Refinance Amortization1'!$B$19:$U$19,0))))</f>
        <v>0</v>
      </c>
      <c r="CF132" s="427">
        <f>IF('Financing Assumptions'!$H$44="No",0,IF(AND('Financing Assumptions'!$H$44="Yes",CF$9&lt;'Financing Assumptions'!$G$47),0,INDEX('Senior Refinance Amortization1'!$B$19:$U$440,MATCH(CF$11,'Senior Refinance Amortization1'!$E$19:$E$440,0),MATCH('Senior Refinance Amortization1'!$U$19,'Senior Refinance Amortization1'!$B$19:$U$19,0))))</f>
        <v>0</v>
      </c>
      <c r="CG132" s="427">
        <f>IF('Financing Assumptions'!$H$44="No",0,IF(AND('Financing Assumptions'!$H$44="Yes",CG$9&lt;'Financing Assumptions'!$G$47),0,INDEX('Senior Refinance Amortization1'!$B$19:$U$440,MATCH(CG$11,'Senior Refinance Amortization1'!$E$19:$E$440,0),MATCH('Senior Refinance Amortization1'!$U$19,'Senior Refinance Amortization1'!$B$19:$U$19,0))))</f>
        <v>0</v>
      </c>
      <c r="CH132" s="427">
        <f>IF('Financing Assumptions'!$H$44="No",0,IF(AND('Financing Assumptions'!$H$44="Yes",CH$9&lt;'Financing Assumptions'!$G$47),0,INDEX('Senior Refinance Amortization1'!$B$19:$U$440,MATCH(CH$11,'Senior Refinance Amortization1'!$E$19:$E$440,0),MATCH('Senior Refinance Amortization1'!$U$19,'Senior Refinance Amortization1'!$B$19:$U$19,0))))</f>
        <v>0</v>
      </c>
      <c r="CI132" s="427">
        <f>IF('Financing Assumptions'!$H$44="No",0,IF(AND('Financing Assumptions'!$H$44="Yes",CI$9&lt;'Financing Assumptions'!$G$47),0,INDEX('Senior Refinance Amortization1'!$B$19:$U$440,MATCH(CI$11,'Senior Refinance Amortization1'!$E$19:$E$440,0),MATCH('Senior Refinance Amortization1'!$U$19,'Senior Refinance Amortization1'!$B$19:$U$19,0))))</f>
        <v>0</v>
      </c>
      <c r="CJ132" s="427">
        <f>IF('Financing Assumptions'!$H$44="No",0,IF(AND('Financing Assumptions'!$H$44="Yes",CJ$9&lt;'Financing Assumptions'!$G$47),0,INDEX('Senior Refinance Amortization1'!$B$19:$U$440,MATCH(CJ$11,'Senior Refinance Amortization1'!$E$19:$E$440,0),MATCH('Senior Refinance Amortization1'!$U$19,'Senior Refinance Amortization1'!$B$19:$U$19,0))))</f>
        <v>0</v>
      </c>
      <c r="CK132" s="427">
        <f>IF('Financing Assumptions'!$H$44="No",0,IF(AND('Financing Assumptions'!$H$44="Yes",CK$9&lt;'Financing Assumptions'!$G$47),0,INDEX('Senior Refinance Amortization1'!$B$19:$U$440,MATCH(CK$11,'Senior Refinance Amortization1'!$E$19:$E$440,0),MATCH('Senior Refinance Amortization1'!$U$19,'Senior Refinance Amortization1'!$B$19:$U$19,0))))</f>
        <v>0</v>
      </c>
      <c r="CL132" s="427">
        <f>IF('Financing Assumptions'!$H$44="No",0,IF(AND('Financing Assumptions'!$H$44="Yes",CL$9&lt;'Financing Assumptions'!$G$47),0,INDEX('Senior Refinance Amortization1'!$B$19:$U$440,MATCH(CL$11,'Senior Refinance Amortization1'!$E$19:$E$440,0),MATCH('Senior Refinance Amortization1'!$U$19,'Senior Refinance Amortization1'!$B$19:$U$19,0))))</f>
        <v>0</v>
      </c>
      <c r="CM132" s="427">
        <f>IF('Financing Assumptions'!$H$44="No",0,IF(AND('Financing Assumptions'!$H$44="Yes",CM$9&lt;'Financing Assumptions'!$G$47),0,INDEX('Senior Refinance Amortization1'!$B$19:$U$440,MATCH(CM$11,'Senior Refinance Amortization1'!$E$19:$E$440,0),MATCH('Senior Refinance Amortization1'!$U$19,'Senior Refinance Amortization1'!$B$19:$U$19,0))))</f>
        <v>0</v>
      </c>
      <c r="CN132" s="427">
        <f>IF('Financing Assumptions'!$H$44="No",0,IF(AND('Financing Assumptions'!$H$44="Yes",CN$9&lt;'Financing Assumptions'!$G$47),0,INDEX('Senior Refinance Amortization1'!$B$19:$U$440,MATCH(CN$11,'Senior Refinance Amortization1'!$E$19:$E$440,0),MATCH('Senior Refinance Amortization1'!$U$19,'Senior Refinance Amortization1'!$B$19:$U$19,0))))</f>
        <v>0</v>
      </c>
      <c r="CO132" s="427">
        <f>IF('Financing Assumptions'!$H$44="No",0,IF(AND('Financing Assumptions'!$H$44="Yes",CO$9&lt;'Financing Assumptions'!$G$47),0,INDEX('Senior Refinance Amortization1'!$B$19:$U$440,MATCH(CO$11,'Senior Refinance Amortization1'!$E$19:$E$440,0),MATCH('Senior Refinance Amortization1'!$U$19,'Senior Refinance Amortization1'!$B$19:$U$19,0))))</f>
        <v>0</v>
      </c>
      <c r="CP132" s="427">
        <f>IF('Financing Assumptions'!$H$44="No",0,IF(AND('Financing Assumptions'!$H$44="Yes",CP$9&lt;'Financing Assumptions'!$G$47),0,INDEX('Senior Refinance Amortization1'!$B$19:$U$440,MATCH(CP$11,'Senior Refinance Amortization1'!$E$19:$E$440,0),MATCH('Senior Refinance Amortization1'!$U$19,'Senior Refinance Amortization1'!$B$19:$U$19,0))))</f>
        <v>0</v>
      </c>
      <c r="CQ132" s="427">
        <f>IF('Financing Assumptions'!$H$44="No",0,IF(AND('Financing Assumptions'!$H$44="Yes",CQ$9&lt;'Financing Assumptions'!$G$47),0,INDEX('Senior Refinance Amortization1'!$B$19:$U$440,MATCH(CQ$11,'Senior Refinance Amortization1'!$E$19:$E$440,0),MATCH('Senior Refinance Amortization1'!$U$19,'Senior Refinance Amortization1'!$B$19:$U$19,0))))</f>
        <v>0</v>
      </c>
      <c r="CR132" s="427">
        <f>IF('Financing Assumptions'!$H$44="No",0,IF(AND('Financing Assumptions'!$H$44="Yes",CR$9&lt;'Financing Assumptions'!$G$47),0,INDEX('Senior Refinance Amortization1'!$B$19:$U$440,MATCH(CR$11,'Senior Refinance Amortization1'!$E$19:$E$440,0),MATCH('Senior Refinance Amortization1'!$U$19,'Senior Refinance Amortization1'!$B$19:$U$19,0))))</f>
        <v>0</v>
      </c>
      <c r="CS132" s="427">
        <f>IF('Financing Assumptions'!$H$44="No",0,IF(AND('Financing Assumptions'!$H$44="Yes",CS$9&lt;'Financing Assumptions'!$G$47),0,INDEX('Senior Refinance Amortization1'!$B$19:$U$440,MATCH(CS$11,'Senior Refinance Amortization1'!$E$19:$E$440,0),MATCH('Senior Refinance Amortization1'!$U$19,'Senior Refinance Amortization1'!$B$19:$U$19,0))))</f>
        <v>0</v>
      </c>
      <c r="CT132" s="427">
        <f>IF('Financing Assumptions'!$H$44="No",0,IF(AND('Financing Assumptions'!$H$44="Yes",CT$9&lt;'Financing Assumptions'!$G$47),0,INDEX('Senior Refinance Amortization1'!$B$19:$U$440,MATCH(CT$11,'Senior Refinance Amortization1'!$E$19:$E$440,0),MATCH('Senior Refinance Amortization1'!$U$19,'Senior Refinance Amortization1'!$B$19:$U$19,0))))</f>
        <v>0</v>
      </c>
      <c r="CU132" s="427">
        <f>IF('Financing Assumptions'!$H$44="No",0,IF(AND('Financing Assumptions'!$H$44="Yes",CU$9&lt;'Financing Assumptions'!$G$47),0,INDEX('Senior Refinance Amortization1'!$B$19:$U$440,MATCH(CU$11,'Senior Refinance Amortization1'!$E$19:$E$440,0),MATCH('Senior Refinance Amortization1'!$U$19,'Senior Refinance Amortization1'!$B$19:$U$19,0))))</f>
        <v>0</v>
      </c>
      <c r="CV132" s="427">
        <f>IF('Financing Assumptions'!$H$44="No",0,IF(AND('Financing Assumptions'!$H$44="Yes",CV$9&lt;'Financing Assumptions'!$G$47),0,INDEX('Senior Refinance Amortization1'!$B$19:$U$440,MATCH(CV$11,'Senior Refinance Amortization1'!$E$19:$E$440,0),MATCH('Senior Refinance Amortization1'!$U$19,'Senior Refinance Amortization1'!$B$19:$U$19,0))))</f>
        <v>0</v>
      </c>
      <c r="CW132" s="427">
        <f>IF('Financing Assumptions'!$H$44="No",0,IF(AND('Financing Assumptions'!$H$44="Yes",CW$9&lt;'Financing Assumptions'!$G$47),0,INDEX('Senior Refinance Amortization1'!$B$19:$U$440,MATCH(CW$11,'Senior Refinance Amortization1'!$E$19:$E$440,0),MATCH('Senior Refinance Amortization1'!$U$19,'Senior Refinance Amortization1'!$B$19:$U$19,0))))</f>
        <v>0</v>
      </c>
      <c r="CX132" s="427">
        <f>IF('Financing Assumptions'!$H$44="No",0,IF(AND('Financing Assumptions'!$H$44="Yes",CX$9&lt;'Financing Assumptions'!$G$47),0,INDEX('Senior Refinance Amortization1'!$B$19:$U$440,MATCH(CX$11,'Senior Refinance Amortization1'!$E$19:$E$440,0),MATCH('Senior Refinance Amortization1'!$U$19,'Senior Refinance Amortization1'!$B$19:$U$19,0))))</f>
        <v>0</v>
      </c>
      <c r="CY132" s="427">
        <f>IF('Financing Assumptions'!$H$44="No",0,IF(AND('Financing Assumptions'!$H$44="Yes",CY$9&lt;'Financing Assumptions'!$G$47),0,INDEX('Senior Refinance Amortization1'!$B$19:$U$440,MATCH(CY$11,'Senior Refinance Amortization1'!$E$19:$E$440,0),MATCH('Senior Refinance Amortization1'!$U$19,'Senior Refinance Amortization1'!$B$19:$U$19,0))))</f>
        <v>0</v>
      </c>
      <c r="CZ132" s="427">
        <f>IF('Financing Assumptions'!$H$44="No",0,IF(AND('Financing Assumptions'!$H$44="Yes",CZ$9&lt;'Financing Assumptions'!$G$47),0,INDEX('Senior Refinance Amortization1'!$B$19:$U$440,MATCH(CZ$11,'Senior Refinance Amortization1'!$E$19:$E$440,0),MATCH('Senior Refinance Amortization1'!$U$19,'Senior Refinance Amortization1'!$B$19:$U$19,0))))</f>
        <v>0</v>
      </c>
      <c r="DA132" s="427">
        <f>IF('Financing Assumptions'!$H$44="No",0,IF(AND('Financing Assumptions'!$H$44="Yes",DA$9&lt;'Financing Assumptions'!$G$47),0,INDEX('Senior Refinance Amortization1'!$B$19:$U$440,MATCH(DA$11,'Senior Refinance Amortization1'!$E$19:$E$440,0),MATCH('Senior Refinance Amortization1'!$U$19,'Senior Refinance Amortization1'!$B$19:$U$19,0))))</f>
        <v>0</v>
      </c>
      <c r="DB132" s="427">
        <f>IF('Financing Assumptions'!$H$44="No",0,IF(AND('Financing Assumptions'!$H$44="Yes",DB$9&lt;'Financing Assumptions'!$G$47),0,INDEX('Senior Refinance Amortization1'!$B$19:$U$440,MATCH(DB$11,'Senior Refinance Amortization1'!$E$19:$E$440,0),MATCH('Senior Refinance Amortization1'!$U$19,'Senior Refinance Amortization1'!$B$19:$U$19,0))))</f>
        <v>0</v>
      </c>
      <c r="DC132" s="427">
        <f>IF('Financing Assumptions'!$H$44="No",0,IF(AND('Financing Assumptions'!$H$44="Yes",DC$9&lt;'Financing Assumptions'!$G$47),0,INDEX('Senior Refinance Amortization1'!$B$19:$U$440,MATCH(DC$11,'Senior Refinance Amortization1'!$E$19:$E$440,0),MATCH('Senior Refinance Amortization1'!$U$19,'Senior Refinance Amortization1'!$B$19:$U$19,0))))</f>
        <v>0</v>
      </c>
      <c r="DD132" s="427">
        <f>IF('Financing Assumptions'!$H$44="No",0,IF(AND('Financing Assumptions'!$H$44="Yes",DD$9&lt;'Financing Assumptions'!$G$47),0,INDEX('Senior Refinance Amortization1'!$B$19:$U$440,MATCH(DD$11,'Senior Refinance Amortization1'!$E$19:$E$440,0),MATCH('Senior Refinance Amortization1'!$U$19,'Senior Refinance Amortization1'!$B$19:$U$19,0))))</f>
        <v>0</v>
      </c>
      <c r="DE132" s="427">
        <f>IF('Financing Assumptions'!$H$44="No",0,IF(AND('Financing Assumptions'!$H$44="Yes",DE$9&lt;'Financing Assumptions'!$G$47),0,INDEX('Senior Refinance Amortization1'!$B$19:$U$440,MATCH(DE$11,'Senior Refinance Amortization1'!$E$19:$E$440,0),MATCH('Senior Refinance Amortization1'!$U$19,'Senior Refinance Amortization1'!$B$19:$U$19,0))))</f>
        <v>0</v>
      </c>
      <c r="DF132" s="427">
        <f>IF('Financing Assumptions'!$H$44="No",0,IF(AND('Financing Assumptions'!$H$44="Yes",DF$9&lt;'Financing Assumptions'!$G$47),0,INDEX('Senior Refinance Amortization1'!$B$19:$U$440,MATCH(DF$11,'Senior Refinance Amortization1'!$E$19:$E$440,0),MATCH('Senior Refinance Amortization1'!$U$19,'Senior Refinance Amortization1'!$B$19:$U$19,0))))</f>
        <v>0</v>
      </c>
      <c r="DG132" s="427">
        <f>IF('Financing Assumptions'!$H$44="No",0,IF(AND('Financing Assumptions'!$H$44="Yes",DG$9&lt;'Financing Assumptions'!$G$47),0,INDEX('Senior Refinance Amortization1'!$B$19:$U$440,MATCH(DG$11,'Senior Refinance Amortization1'!$E$19:$E$440,0),MATCH('Senior Refinance Amortization1'!$U$19,'Senior Refinance Amortization1'!$B$19:$U$19,0))))</f>
        <v>0</v>
      </c>
      <c r="DH132" s="427">
        <f>IF('Financing Assumptions'!$H$44="No",0,IF(AND('Financing Assumptions'!$H$44="Yes",DH$9&lt;'Financing Assumptions'!$G$47),0,INDEX('Senior Refinance Amortization1'!$B$19:$U$440,MATCH(DH$11,'Senior Refinance Amortization1'!$E$19:$E$440,0),MATCH('Senior Refinance Amortization1'!$U$19,'Senior Refinance Amortization1'!$B$19:$U$19,0))))</f>
        <v>0</v>
      </c>
      <c r="DI132" s="427">
        <f>IF('Financing Assumptions'!$H$44="No",0,IF(AND('Financing Assumptions'!$H$44="Yes",DI$9&lt;'Financing Assumptions'!$G$47),0,INDEX('Senior Refinance Amortization1'!$B$19:$U$440,MATCH(DI$11,'Senior Refinance Amortization1'!$E$19:$E$440,0),MATCH('Senior Refinance Amortization1'!$U$19,'Senior Refinance Amortization1'!$B$19:$U$19,0))))</f>
        <v>0</v>
      </c>
      <c r="DJ132" s="427">
        <f>IF('Financing Assumptions'!$H$44="No",0,IF(AND('Financing Assumptions'!$H$44="Yes",DJ$9&lt;'Financing Assumptions'!$G$47),0,INDEX('Senior Refinance Amortization1'!$B$19:$U$440,MATCH(DJ$11,'Senior Refinance Amortization1'!$E$19:$E$440,0),MATCH('Senior Refinance Amortization1'!$U$19,'Senior Refinance Amortization1'!$B$19:$U$19,0))))</f>
        <v>0</v>
      </c>
      <c r="DK132" s="427">
        <f>IF('Financing Assumptions'!$H$44="No",0,IF(AND('Financing Assumptions'!$H$44="Yes",DK$9&lt;'Financing Assumptions'!$G$47),0,INDEX('Senior Refinance Amortization1'!$B$19:$U$440,MATCH(DK$11,'Senior Refinance Amortization1'!$E$19:$E$440,0),MATCH('Senior Refinance Amortization1'!$U$19,'Senior Refinance Amortization1'!$B$19:$U$19,0))))</f>
        <v>0</v>
      </c>
      <c r="DL132" s="427">
        <f>IF('Financing Assumptions'!$H$44="No",0,IF(AND('Financing Assumptions'!$H$44="Yes",DL$9&lt;'Financing Assumptions'!$G$47),0,INDEX('Senior Refinance Amortization1'!$B$19:$U$440,MATCH(DL$11,'Senior Refinance Amortization1'!$E$19:$E$440,0),MATCH('Senior Refinance Amortization1'!$U$19,'Senior Refinance Amortization1'!$B$19:$U$19,0))))</f>
        <v>0</v>
      </c>
      <c r="DM132" s="427">
        <f>IF('Financing Assumptions'!$H$44="No",0,IF(AND('Financing Assumptions'!$H$44="Yes",DM$9&lt;'Financing Assumptions'!$G$47),0,INDEX('Senior Refinance Amortization1'!$B$19:$U$440,MATCH(DM$11,'Senior Refinance Amortization1'!$E$19:$E$440,0),MATCH('Senior Refinance Amortization1'!$U$19,'Senior Refinance Amortization1'!$B$19:$U$19,0))))</f>
        <v>0</v>
      </c>
      <c r="DN132" s="427">
        <f>IF('Financing Assumptions'!$H$44="No",0,IF(AND('Financing Assumptions'!$H$44="Yes",DN$9&lt;'Financing Assumptions'!$G$47),0,INDEX('Senior Refinance Amortization1'!$B$19:$U$440,MATCH(DN$11,'Senior Refinance Amortization1'!$E$19:$E$440,0),MATCH('Senior Refinance Amortization1'!$U$19,'Senior Refinance Amortization1'!$B$19:$U$19,0))))</f>
        <v>0</v>
      </c>
      <c r="DO132" s="427">
        <f>IF('Financing Assumptions'!$H$44="No",0,IF(AND('Financing Assumptions'!$H$44="Yes",DO$9&lt;'Financing Assumptions'!$G$47),0,INDEX('Senior Refinance Amortization1'!$B$19:$U$440,MATCH(DO$11,'Senior Refinance Amortization1'!$E$19:$E$440,0),MATCH('Senior Refinance Amortization1'!$U$19,'Senior Refinance Amortization1'!$B$19:$U$19,0))))</f>
        <v>0</v>
      </c>
      <c r="DP132" s="427">
        <f>IF('Financing Assumptions'!$H$44="No",0,IF(AND('Financing Assumptions'!$H$44="Yes",DP$9&lt;'Financing Assumptions'!$G$47),0,INDEX('Senior Refinance Amortization1'!$B$19:$U$440,MATCH(DP$11,'Senior Refinance Amortization1'!$E$19:$E$440,0),MATCH('Senior Refinance Amortization1'!$U$19,'Senior Refinance Amortization1'!$B$19:$U$19,0))))</f>
        <v>0</v>
      </c>
      <c r="DQ132" s="427">
        <f>IF('Financing Assumptions'!$H$44="No",0,IF(AND('Financing Assumptions'!$H$44="Yes",DQ$9&lt;'Financing Assumptions'!$G$47),0,INDEX('Senior Refinance Amortization1'!$B$19:$U$440,MATCH(DQ$11,'Senior Refinance Amortization1'!$E$19:$E$440,0),MATCH('Senior Refinance Amortization1'!$U$19,'Senior Refinance Amortization1'!$B$19:$U$19,0))))</f>
        <v>0</v>
      </c>
      <c r="DR132" s="427">
        <f>IF('Financing Assumptions'!$H$44="No",0,IF(AND('Financing Assumptions'!$H$44="Yes",DR$9&lt;'Financing Assumptions'!$G$47),0,INDEX('Senior Refinance Amortization1'!$B$19:$U$440,MATCH(DR$11,'Senior Refinance Amortization1'!$E$19:$E$440,0),MATCH('Senior Refinance Amortization1'!$U$19,'Senior Refinance Amortization1'!$B$19:$U$19,0))))</f>
        <v>0</v>
      </c>
      <c r="DS132" s="427">
        <f>IF('Financing Assumptions'!$H$44="No",0,IF(AND('Financing Assumptions'!$H$44="Yes",DS$9&lt;'Financing Assumptions'!$G$47),0,INDEX('Senior Refinance Amortization1'!$B$19:$U$440,MATCH(DS$11,'Senior Refinance Amortization1'!$E$19:$E$440,0),MATCH('Senior Refinance Amortization1'!$U$19,'Senior Refinance Amortization1'!$B$19:$U$19,0))))</f>
        <v>0</v>
      </c>
      <c r="DT132" s="427">
        <f>IF('Financing Assumptions'!$H$44="No",0,IF(AND('Financing Assumptions'!$H$44="Yes",DT$9&lt;'Financing Assumptions'!$G$47),0,INDEX('Senior Refinance Amortization1'!$B$19:$U$440,MATCH(DT$11,'Senior Refinance Amortization1'!$E$19:$E$440,0),MATCH('Senior Refinance Amortization1'!$U$19,'Senior Refinance Amortization1'!$B$19:$U$19,0))))</f>
        <v>0</v>
      </c>
      <c r="DU132" s="427">
        <f>IF('Financing Assumptions'!$H$44="No",0,IF(AND('Financing Assumptions'!$H$44="Yes",DU$9&lt;'Financing Assumptions'!$G$47),0,INDEX('Senior Refinance Amortization1'!$B$19:$U$440,MATCH(DU$11,'Senior Refinance Amortization1'!$E$19:$E$440,0),MATCH('Senior Refinance Amortization1'!$U$19,'Senior Refinance Amortization1'!$B$19:$U$19,0))))</f>
        <v>0</v>
      </c>
      <c r="DV132" s="427">
        <f>IF('Financing Assumptions'!$H$44="No",0,IF(AND('Financing Assumptions'!$H$44="Yes",DV$9&lt;'Financing Assumptions'!$G$47),0,INDEX('Senior Refinance Amortization1'!$B$19:$U$440,MATCH(DV$11,'Senior Refinance Amortization1'!$E$19:$E$440,0),MATCH('Senior Refinance Amortization1'!$U$19,'Senior Refinance Amortization1'!$B$19:$U$19,0))))</f>
        <v>0</v>
      </c>
      <c r="DW132" s="427">
        <f>IF('Financing Assumptions'!$H$44="No",0,IF(AND('Financing Assumptions'!$H$44="Yes",DW$9&lt;'Financing Assumptions'!$G$47),0,INDEX('Senior Refinance Amortization1'!$B$19:$U$440,MATCH(DW$11,'Senior Refinance Amortization1'!$E$19:$E$440,0),MATCH('Senior Refinance Amortization1'!$U$19,'Senior Refinance Amortization1'!$B$19:$U$19,0))))</f>
        <v>0</v>
      </c>
      <c r="DX132" s="427">
        <f>IF('Financing Assumptions'!$H$44="No",0,IF(AND('Financing Assumptions'!$H$44="Yes",DX$9&lt;'Financing Assumptions'!$G$47),0,INDEX('Senior Refinance Amortization1'!$B$19:$U$440,MATCH(DX$11,'Senior Refinance Amortization1'!$E$19:$E$440,0),MATCH('Senior Refinance Amortization1'!$U$19,'Senior Refinance Amortization1'!$B$19:$U$19,0))))</f>
        <v>0</v>
      </c>
      <c r="DY132" s="427">
        <f>IF('Financing Assumptions'!$H$44="No",0,IF(AND('Financing Assumptions'!$H$44="Yes",DY$9&lt;'Financing Assumptions'!$G$47),0,INDEX('Senior Refinance Amortization1'!$B$19:$U$440,MATCH(DY$11,'Senior Refinance Amortization1'!$E$19:$E$440,0),MATCH('Senior Refinance Amortization1'!$U$19,'Senior Refinance Amortization1'!$B$19:$U$19,0))))</f>
        <v>0</v>
      </c>
      <c r="DZ132" s="427">
        <f>IF('Financing Assumptions'!$H$44="No",0,IF(AND('Financing Assumptions'!$H$44="Yes",DZ$9&lt;'Financing Assumptions'!$G$47),0,INDEX('Senior Refinance Amortization1'!$B$19:$U$440,MATCH(DZ$11,'Senior Refinance Amortization1'!$E$19:$E$440,0),MATCH('Senior Refinance Amortization1'!$U$19,'Senior Refinance Amortization1'!$B$19:$U$19,0))))</f>
        <v>0</v>
      </c>
      <c r="EA132" s="427">
        <f>IF('Financing Assumptions'!$H$44="No",0,IF(AND('Financing Assumptions'!$H$44="Yes",EA$9&lt;'Financing Assumptions'!$G$47),0,INDEX('Senior Refinance Amortization1'!$B$19:$U$440,MATCH(EA$11,'Senior Refinance Amortization1'!$E$19:$E$440,0),MATCH('Senior Refinance Amortization1'!$U$19,'Senior Refinance Amortization1'!$B$19:$U$19,0))))</f>
        <v>0</v>
      </c>
      <c r="EB132" s="427">
        <f>IF('Financing Assumptions'!$H$44="No",0,IF(AND('Financing Assumptions'!$H$44="Yes",EB$9&lt;'Financing Assumptions'!$G$47),0,INDEX('Senior Refinance Amortization1'!$B$19:$U$440,MATCH(EB$11,'Senior Refinance Amortization1'!$E$19:$E$440,0),MATCH('Senior Refinance Amortization1'!$U$19,'Senior Refinance Amortization1'!$B$19:$U$19,0))))</f>
        <v>0</v>
      </c>
      <c r="EC132" s="427">
        <f>IF('Financing Assumptions'!$H$44="No",0,IF(AND('Financing Assumptions'!$H$44="Yes",EC$9&lt;'Financing Assumptions'!$G$47),0,INDEX('Senior Refinance Amortization1'!$B$19:$U$440,MATCH(EC$11,'Senior Refinance Amortization1'!$E$19:$E$440,0),MATCH('Senior Refinance Amortization1'!$U$19,'Senior Refinance Amortization1'!$B$19:$U$19,0))))</f>
        <v>0</v>
      </c>
      <c r="ED132" s="427">
        <f>IF('Financing Assumptions'!$H$44="No",0,IF(AND('Financing Assumptions'!$H$44="Yes",ED$9&lt;'Financing Assumptions'!$G$47),0,INDEX('Senior Refinance Amortization1'!$B$19:$U$440,MATCH(ED$11,'Senior Refinance Amortization1'!$E$19:$E$440,0),MATCH('Senior Refinance Amortization1'!$U$19,'Senior Refinance Amortization1'!$B$19:$U$19,0))))</f>
        <v>0</v>
      </c>
      <c r="EE132" s="427">
        <f>IF('Financing Assumptions'!$H$44="No",0,IF(AND('Financing Assumptions'!$H$44="Yes",EE$9&lt;'Financing Assumptions'!$G$47),0,INDEX('Senior Refinance Amortization1'!$B$19:$U$440,MATCH(EE$11,'Senior Refinance Amortization1'!$E$19:$E$440,0),MATCH('Senior Refinance Amortization1'!$U$19,'Senior Refinance Amortization1'!$B$19:$U$19,0))))</f>
        <v>0</v>
      </c>
      <c r="EF132" s="427">
        <f>IF('Financing Assumptions'!$H$44="No",0,IF(AND('Financing Assumptions'!$H$44="Yes",EF$9&lt;'Financing Assumptions'!$G$47),0,INDEX('Senior Refinance Amortization1'!$B$19:$U$440,MATCH(EF$11,'Senior Refinance Amortization1'!$E$19:$E$440,0),MATCH('Senior Refinance Amortization1'!$U$19,'Senior Refinance Amortization1'!$B$19:$U$19,0))))</f>
        <v>0</v>
      </c>
      <c r="EG132" s="427">
        <f>IF('Financing Assumptions'!$H$44="No",0,IF(AND('Financing Assumptions'!$H$44="Yes",EG$9&lt;'Financing Assumptions'!$G$47),0,INDEX('Senior Refinance Amortization1'!$B$19:$U$440,MATCH(EG$11,'Senior Refinance Amortization1'!$E$19:$E$440,0),MATCH('Senior Refinance Amortization1'!$U$19,'Senior Refinance Amortization1'!$B$19:$U$19,0))))</f>
        <v>0</v>
      </c>
      <c r="EH132" s="427">
        <f>IF('Financing Assumptions'!$H$44="No",0,IF(AND('Financing Assumptions'!$H$44="Yes",EH$9&lt;'Financing Assumptions'!$G$47),0,INDEX('Senior Refinance Amortization1'!$B$19:$U$440,MATCH(EH$11,'Senior Refinance Amortization1'!$E$19:$E$440,0),MATCH('Senior Refinance Amortization1'!$U$19,'Senior Refinance Amortization1'!$B$19:$U$19,0))))</f>
        <v>0</v>
      </c>
      <c r="EI132" s="427">
        <f>IF('Financing Assumptions'!$H$44="No",0,IF(AND('Financing Assumptions'!$H$44="Yes",EI$9&lt;'Financing Assumptions'!$G$47),0,INDEX('Senior Refinance Amortization1'!$B$19:$U$440,MATCH(EI$11,'Senior Refinance Amortization1'!$E$19:$E$440,0),MATCH('Senior Refinance Amortization1'!$U$19,'Senior Refinance Amortization1'!$B$19:$U$19,0))))</f>
        <v>0</v>
      </c>
      <c r="EJ132" s="427">
        <f>IF('Financing Assumptions'!$H$44="No",0,IF(AND('Financing Assumptions'!$H$44="Yes",EJ$9&lt;'Financing Assumptions'!$G$47),0,INDEX('Senior Refinance Amortization1'!$B$19:$U$440,MATCH(EJ$11,'Senior Refinance Amortization1'!$E$19:$E$440,0),MATCH('Senior Refinance Amortization1'!$U$19,'Senior Refinance Amortization1'!$B$19:$U$19,0))))</f>
        <v>0</v>
      </c>
      <c r="EK132" s="427">
        <f>IF('Financing Assumptions'!$H$44="No",0,IF(AND('Financing Assumptions'!$H$44="Yes",EK$9&lt;'Financing Assumptions'!$G$47),0,INDEX('Senior Refinance Amortization1'!$B$19:$U$440,MATCH(EK$11,'Senior Refinance Amortization1'!$E$19:$E$440,0),MATCH('Senior Refinance Amortization1'!$U$19,'Senior Refinance Amortization1'!$B$19:$U$19,0))))</f>
        <v>0</v>
      </c>
      <c r="EL132" s="427">
        <f>IF('Financing Assumptions'!$H$44="No",0,IF(AND('Financing Assumptions'!$H$44="Yes",EL$9&lt;'Financing Assumptions'!$G$47),0,INDEX('Senior Refinance Amortization1'!$B$19:$U$440,MATCH(EL$11,'Senior Refinance Amortization1'!$E$19:$E$440,0),MATCH('Senior Refinance Amortization1'!$U$19,'Senior Refinance Amortization1'!$B$19:$U$19,0))))</f>
        <v>0</v>
      </c>
      <c r="EM132" s="427">
        <f>IF('Financing Assumptions'!$H$44="No",0,IF(AND('Financing Assumptions'!$H$44="Yes",EM$9&lt;'Financing Assumptions'!$G$47),0,INDEX('Senior Refinance Amortization1'!$B$19:$U$440,MATCH(EM$11,'Senior Refinance Amortization1'!$E$19:$E$440,0),MATCH('Senior Refinance Amortization1'!$U$19,'Senior Refinance Amortization1'!$B$19:$U$19,0))))</f>
        <v>0</v>
      </c>
      <c r="EN132" s="427">
        <f>IF('Financing Assumptions'!$H$44="No",0,IF(AND('Financing Assumptions'!$H$44="Yes",EN$9&lt;'Financing Assumptions'!$G$47),0,INDEX('Senior Refinance Amortization1'!$B$19:$U$440,MATCH(EN$11,'Senior Refinance Amortization1'!$E$19:$E$440,0),MATCH('Senior Refinance Amortization1'!$U$19,'Senior Refinance Amortization1'!$B$19:$U$19,0))))</f>
        <v>0</v>
      </c>
      <c r="EO132" s="427">
        <f>IF('Financing Assumptions'!$H$44="No",0,IF(AND('Financing Assumptions'!$H$44="Yes",EO$9&lt;'Financing Assumptions'!$G$47),0,INDEX('Senior Refinance Amortization1'!$B$19:$U$440,MATCH(EO$11,'Senior Refinance Amortization1'!$E$19:$E$440,0),MATCH('Senior Refinance Amortization1'!$U$19,'Senior Refinance Amortization1'!$B$19:$U$19,0))))</f>
        <v>0</v>
      </c>
      <c r="EP132" s="427">
        <f>IF('Financing Assumptions'!$H$44="No",0,IF(AND('Financing Assumptions'!$H$44="Yes",EP$9&lt;'Financing Assumptions'!$G$47),0,INDEX('Senior Refinance Amortization1'!$B$19:$U$440,MATCH(EP$11,'Senior Refinance Amortization1'!$E$19:$E$440,0),MATCH('Senior Refinance Amortization1'!$U$19,'Senior Refinance Amortization1'!$B$19:$U$19,0))))</f>
        <v>0</v>
      </c>
      <c r="EQ132" s="427">
        <f>IF('Financing Assumptions'!$H$44="No",0,IF(AND('Financing Assumptions'!$H$44="Yes",EQ$9&lt;'Financing Assumptions'!$G$47),0,INDEX('Senior Refinance Amortization1'!$B$19:$U$440,MATCH(EQ$11,'Senior Refinance Amortization1'!$E$19:$E$440,0),MATCH('Senior Refinance Amortization1'!$U$19,'Senior Refinance Amortization1'!$B$19:$U$19,0))))</f>
        <v>0</v>
      </c>
      <c r="ER132" s="427">
        <f>IF('Financing Assumptions'!$H$44="No",0,IF(AND('Financing Assumptions'!$H$44="Yes",ER$9&lt;'Financing Assumptions'!$G$47),0,INDEX('Senior Refinance Amortization1'!$B$19:$U$440,MATCH(ER$11,'Senior Refinance Amortization1'!$E$19:$E$440,0),MATCH('Senior Refinance Amortization1'!$U$19,'Senior Refinance Amortization1'!$B$19:$U$19,0))))</f>
        <v>0</v>
      </c>
      <c r="ES132" s="427">
        <f>IF('Financing Assumptions'!$H$44="No",0,IF(AND('Financing Assumptions'!$H$44="Yes",ES$9&lt;'Financing Assumptions'!$G$47),0,INDEX('Senior Refinance Amortization1'!$B$19:$U$440,MATCH(ES$11,'Senior Refinance Amortization1'!$E$19:$E$440,0),MATCH('Senior Refinance Amortization1'!$U$19,'Senior Refinance Amortization1'!$B$19:$U$19,0))))</f>
        <v>0</v>
      </c>
      <c r="ET132" s="427">
        <f>IF('Financing Assumptions'!$H$44="No",0,IF(AND('Financing Assumptions'!$H$44="Yes",ET$9&lt;'Financing Assumptions'!$G$47),0,INDEX('Senior Refinance Amortization1'!$B$19:$U$440,MATCH(ET$11,'Senior Refinance Amortization1'!$E$19:$E$440,0),MATCH('Senior Refinance Amortization1'!$U$19,'Senior Refinance Amortization1'!$B$19:$U$19,0))))</f>
        <v>0</v>
      </c>
      <c r="EU132" s="427">
        <f>IF('Financing Assumptions'!$H$44="No",0,IF(AND('Financing Assumptions'!$H$44="Yes",EU$9&lt;'Financing Assumptions'!$G$47),0,INDEX('Senior Refinance Amortization1'!$B$19:$U$440,MATCH(EU$11,'Senior Refinance Amortization1'!$E$19:$E$440,0),MATCH('Senior Refinance Amortization1'!$U$19,'Senior Refinance Amortization1'!$B$19:$U$19,0))))</f>
        <v>0</v>
      </c>
      <c r="EV132" s="427">
        <f>IF('Financing Assumptions'!$H$44="No",0,IF(AND('Financing Assumptions'!$H$44="Yes",EV$9&lt;'Financing Assumptions'!$G$47),0,INDEX('Senior Refinance Amortization1'!$B$19:$U$440,MATCH(EV$11,'Senior Refinance Amortization1'!$E$19:$E$440,0),MATCH('Senior Refinance Amortization1'!$U$19,'Senior Refinance Amortization1'!$B$19:$U$19,0))))</f>
        <v>0</v>
      </c>
      <c r="EW132" s="427">
        <f>IF('Financing Assumptions'!$H$44="No",0,IF(AND('Financing Assumptions'!$H$44="Yes",EW$9&lt;'Financing Assumptions'!$G$47),0,INDEX('Senior Refinance Amortization1'!$B$19:$U$440,MATCH(EW$11,'Senior Refinance Amortization1'!$E$19:$E$440,0),MATCH('Senior Refinance Amortization1'!$U$19,'Senior Refinance Amortization1'!$B$19:$U$19,0))))</f>
        <v>0</v>
      </c>
      <c r="EX132" s="427">
        <f>IF('Financing Assumptions'!$H$44="No",0,IF(AND('Financing Assumptions'!$H$44="Yes",EX$9&lt;'Financing Assumptions'!$G$47),0,INDEX('Senior Refinance Amortization1'!$B$19:$U$440,MATCH(EX$11,'Senior Refinance Amortization1'!$E$19:$E$440,0),MATCH('Senior Refinance Amortization1'!$U$19,'Senior Refinance Amortization1'!$B$19:$U$19,0))))</f>
        <v>0</v>
      </c>
      <c r="EY132" s="427">
        <f>IF('Financing Assumptions'!$H$44="No",0,IF(AND('Financing Assumptions'!$H$44="Yes",EY$9&lt;'Financing Assumptions'!$G$47),0,INDEX('Senior Refinance Amortization1'!$B$19:$U$440,MATCH(EY$11,'Senior Refinance Amortization1'!$E$19:$E$440,0),MATCH('Senior Refinance Amortization1'!$U$19,'Senior Refinance Amortization1'!$B$19:$U$19,0))))</f>
        <v>0</v>
      </c>
      <c r="EZ132" s="427">
        <f>IF('Financing Assumptions'!$H$44="No",0,IF(AND('Financing Assumptions'!$H$44="Yes",EZ$9&lt;'Financing Assumptions'!$G$47),0,INDEX('Senior Refinance Amortization1'!$B$19:$U$440,MATCH(EZ$11,'Senior Refinance Amortization1'!$E$19:$E$440,0),MATCH('Senior Refinance Amortization1'!$U$19,'Senior Refinance Amortization1'!$B$19:$U$19,0))))</f>
        <v>0</v>
      </c>
      <c r="FA132" s="427">
        <f>IF('Financing Assumptions'!$H$44="No",0,IF(AND('Financing Assumptions'!$H$44="Yes",FA$9&lt;'Financing Assumptions'!$G$47),0,INDEX('Senior Refinance Amortization1'!$B$19:$U$440,MATCH(FA$11,'Senior Refinance Amortization1'!$E$19:$E$440,0),MATCH('Senior Refinance Amortization1'!$U$19,'Senior Refinance Amortization1'!$B$19:$U$19,0))))</f>
        <v>0</v>
      </c>
      <c r="FB132" s="427">
        <f>IF('Financing Assumptions'!$H$44="No",0,IF(AND('Financing Assumptions'!$H$44="Yes",FB$9&lt;'Financing Assumptions'!$G$47),0,INDEX('Senior Refinance Amortization1'!$B$19:$U$440,MATCH(FB$11,'Senior Refinance Amortization1'!$E$19:$E$440,0),MATCH('Senior Refinance Amortization1'!$U$19,'Senior Refinance Amortization1'!$B$19:$U$19,0))))</f>
        <v>0</v>
      </c>
      <c r="FC132" s="427">
        <f>IF('Financing Assumptions'!$H$44="No",0,IF(AND('Financing Assumptions'!$H$44="Yes",FC$9&lt;'Financing Assumptions'!$G$47),0,INDEX('Senior Refinance Amortization1'!$B$19:$U$440,MATCH(FC$11,'Senior Refinance Amortization1'!$E$19:$E$440,0),MATCH('Senior Refinance Amortization1'!$U$19,'Senior Refinance Amortization1'!$B$19:$U$19,0))))</f>
        <v>0</v>
      </c>
      <c r="FD132" s="427">
        <f>IF('Financing Assumptions'!$H$44="No",0,IF(AND('Financing Assumptions'!$H$44="Yes",FD$9&lt;'Financing Assumptions'!$G$47),0,INDEX('Senior Refinance Amortization1'!$B$19:$U$440,MATCH(FD$11,'Senior Refinance Amortization1'!$E$19:$E$440,0),MATCH('Senior Refinance Amortization1'!$U$19,'Senior Refinance Amortization1'!$B$19:$U$19,0))))</f>
        <v>0</v>
      </c>
      <c r="FE132" s="427">
        <f>IF('Financing Assumptions'!$H$44="No",0,IF(AND('Financing Assumptions'!$H$44="Yes",FE$9&lt;'Financing Assumptions'!$G$47),0,INDEX('Senior Refinance Amortization1'!$B$19:$U$440,MATCH(FE$11,'Senior Refinance Amortization1'!$E$19:$E$440,0),MATCH('Senior Refinance Amortization1'!$U$19,'Senior Refinance Amortization1'!$B$19:$U$19,0))))</f>
        <v>0</v>
      </c>
      <c r="FF132" s="427">
        <f>IF('Financing Assumptions'!$H$44="No",0,IF(AND('Financing Assumptions'!$H$44="Yes",FF$9&lt;'Financing Assumptions'!$G$47),0,INDEX('Senior Refinance Amortization1'!$B$19:$U$440,MATCH(FF$11,'Senior Refinance Amortization1'!$E$19:$E$440,0),MATCH('Senior Refinance Amortization1'!$U$19,'Senior Refinance Amortization1'!$B$19:$U$19,0))))</f>
        <v>0</v>
      </c>
      <c r="FG132" s="427">
        <f>IF('Financing Assumptions'!$H$44="No",0,IF(AND('Financing Assumptions'!$H$44="Yes",FG$9&lt;'Financing Assumptions'!$G$47),0,INDEX('Senior Refinance Amortization1'!$B$19:$U$440,MATCH(FG$11,'Senior Refinance Amortization1'!$E$19:$E$440,0),MATCH('Senior Refinance Amortization1'!$U$19,'Senior Refinance Amortization1'!$B$19:$U$19,0))))</f>
        <v>0</v>
      </c>
      <c r="FH132" s="427">
        <f>IF('Financing Assumptions'!$H$44="No",0,IF(AND('Financing Assumptions'!$H$44="Yes",FH$9&lt;'Financing Assumptions'!$G$47),0,INDEX('Senior Refinance Amortization1'!$B$19:$U$440,MATCH(FH$11,'Senior Refinance Amortization1'!$E$19:$E$440,0),MATCH('Senior Refinance Amortization1'!$U$19,'Senior Refinance Amortization1'!$B$19:$U$19,0))))</f>
        <v>0</v>
      </c>
      <c r="FI132" s="427">
        <f>IF('Financing Assumptions'!$H$44="No",0,IF(AND('Financing Assumptions'!$H$44="Yes",FI$9&lt;'Financing Assumptions'!$G$47),0,INDEX('Senior Refinance Amortization1'!$B$19:$U$440,MATCH(FI$11,'Senior Refinance Amortization1'!$E$19:$E$440,0),MATCH('Senior Refinance Amortization1'!$U$19,'Senior Refinance Amortization1'!$B$19:$U$19,0))))</f>
        <v>0</v>
      </c>
      <c r="FJ132" s="427">
        <f>IF('Financing Assumptions'!$H$44="No",0,IF(AND('Financing Assumptions'!$H$44="Yes",FJ$9&lt;'Financing Assumptions'!$G$47),0,INDEX('Senior Refinance Amortization1'!$B$19:$U$440,MATCH(FJ$11,'Senior Refinance Amortization1'!$E$19:$E$440,0),MATCH('Senior Refinance Amortization1'!$U$19,'Senior Refinance Amortization1'!$B$19:$U$19,0))))</f>
        <v>0</v>
      </c>
      <c r="FK132" s="427">
        <f>IF('Financing Assumptions'!$H$44="No",0,IF(AND('Financing Assumptions'!$H$44="Yes",FK$9&lt;'Financing Assumptions'!$G$47),0,INDEX('Senior Refinance Amortization1'!$B$19:$U$440,MATCH(FK$11,'Senior Refinance Amortization1'!$E$19:$E$440,0),MATCH('Senior Refinance Amortization1'!$U$19,'Senior Refinance Amortization1'!$B$19:$U$19,0))))</f>
        <v>0</v>
      </c>
      <c r="FL132" s="427">
        <f>IF('Financing Assumptions'!$H$44="No",0,IF(AND('Financing Assumptions'!$H$44="Yes",FL$9&lt;'Financing Assumptions'!$G$47),0,INDEX('Senior Refinance Amortization1'!$B$19:$U$440,MATCH(FL$11,'Senior Refinance Amortization1'!$E$19:$E$440,0),MATCH('Senior Refinance Amortization1'!$U$19,'Senior Refinance Amortization1'!$B$19:$U$19,0))))</f>
        <v>0</v>
      </c>
      <c r="FM132" s="427">
        <f>IF('Financing Assumptions'!$H$44="No",0,IF(AND('Financing Assumptions'!$H$44="Yes",FM$9&lt;'Financing Assumptions'!$G$47),0,INDEX('Senior Refinance Amortization1'!$B$19:$U$440,MATCH(FM$11,'Senior Refinance Amortization1'!$E$19:$E$440,0),MATCH('Senior Refinance Amortization1'!$U$19,'Senior Refinance Amortization1'!$B$19:$U$19,0))))</f>
        <v>0</v>
      </c>
      <c r="FN132" s="427">
        <f>IF('Financing Assumptions'!$H$44="No",0,IF(AND('Financing Assumptions'!$H$44="Yes",FN$9&lt;'Financing Assumptions'!$G$47),0,INDEX('Senior Refinance Amortization1'!$B$19:$U$440,MATCH(FN$11,'Senior Refinance Amortization1'!$E$19:$E$440,0),MATCH('Senior Refinance Amortization1'!$U$19,'Senior Refinance Amortization1'!$B$19:$U$19,0))))</f>
        <v>0</v>
      </c>
      <c r="FO132" s="427">
        <f>IF('Financing Assumptions'!$H$44="No",0,IF(AND('Financing Assumptions'!$H$44="Yes",FO$9&lt;'Financing Assumptions'!$G$47),0,INDEX('Senior Refinance Amortization1'!$B$19:$U$440,MATCH(FO$11,'Senior Refinance Amortization1'!$E$19:$E$440,0),MATCH('Senior Refinance Amortization1'!$U$19,'Senior Refinance Amortization1'!$B$19:$U$19,0))))</f>
        <v>0</v>
      </c>
      <c r="FP132" s="427">
        <f>IF('Financing Assumptions'!$H$44="No",0,IF(AND('Financing Assumptions'!$H$44="Yes",FP$9&lt;'Financing Assumptions'!$G$47),0,INDEX('Senior Refinance Amortization1'!$B$19:$U$440,MATCH(FP$11,'Senior Refinance Amortization1'!$E$19:$E$440,0),MATCH('Senior Refinance Amortization1'!$U$19,'Senior Refinance Amortization1'!$B$19:$U$19,0))))</f>
        <v>0</v>
      </c>
      <c r="FQ132" s="427">
        <f>IF('Financing Assumptions'!$H$44="No",0,IF(AND('Financing Assumptions'!$H$44="Yes",FQ$9&lt;'Financing Assumptions'!$G$47),0,INDEX('Senior Refinance Amortization1'!$B$19:$U$440,MATCH(FQ$11,'Senior Refinance Amortization1'!$E$19:$E$440,0),MATCH('Senior Refinance Amortization1'!$U$19,'Senior Refinance Amortization1'!$B$19:$U$19,0))))</f>
        <v>0</v>
      </c>
      <c r="FR132" s="427">
        <f>IF('Financing Assumptions'!$H$44="No",0,IF(AND('Financing Assumptions'!$H$44="Yes",FR$9&lt;'Financing Assumptions'!$G$47),0,INDEX('Senior Refinance Amortization1'!$B$19:$U$440,MATCH(FR$11,'Senior Refinance Amortization1'!$E$19:$E$440,0),MATCH('Senior Refinance Amortization1'!$U$19,'Senior Refinance Amortization1'!$B$19:$U$19,0))))</f>
        <v>0</v>
      </c>
      <c r="FS132" s="427">
        <f>IF('Financing Assumptions'!$H$44="No",0,IF(AND('Financing Assumptions'!$H$44="Yes",FS$9&lt;'Financing Assumptions'!$G$47),0,INDEX('Senior Refinance Amortization1'!$B$19:$U$440,MATCH(FS$11,'Senior Refinance Amortization1'!$E$19:$E$440,0),MATCH('Senior Refinance Amortization1'!$U$19,'Senior Refinance Amortization1'!$B$19:$U$19,0))))</f>
        <v>0</v>
      </c>
      <c r="FT132" s="427">
        <f>IF('Financing Assumptions'!$H$44="No",0,IF(AND('Financing Assumptions'!$H$44="Yes",FT$9&lt;'Financing Assumptions'!$G$47),0,INDEX('Senior Refinance Amortization1'!$B$19:$U$440,MATCH(FT$11,'Senior Refinance Amortization1'!$E$19:$E$440,0),MATCH('Senior Refinance Amortization1'!$U$19,'Senior Refinance Amortization1'!$B$19:$U$19,0))))</f>
        <v>0</v>
      </c>
      <c r="FU132" s="43"/>
      <c r="FV132" s="34"/>
      <c r="FW132" s="34"/>
      <c r="FX132" s="34"/>
      <c r="FY132" s="34"/>
      <c r="FZ132" s="34"/>
    </row>
    <row r="133" spans="1:182" s="89" customFormat="1" ht="13.5" outlineLevel="1" x14ac:dyDescent="0.25">
      <c r="A133" s="34"/>
      <c r="B133" s="142" t="s">
        <v>524</v>
      </c>
      <c r="C133" s="34"/>
      <c r="D133" s="34"/>
      <c r="E133" s="34"/>
      <c r="F133" s="428"/>
      <c r="G133" s="34"/>
      <c r="H133" s="431">
        <f>SUM(H130:H132)</f>
        <v>0</v>
      </c>
      <c r="I133" s="431">
        <f t="shared" ref="I133:BT133" si="201">SUM(I130:I132)</f>
        <v>0</v>
      </c>
      <c r="J133" s="431">
        <f t="shared" si="201"/>
        <v>0</v>
      </c>
      <c r="K133" s="431">
        <f t="shared" si="201"/>
        <v>46485000</v>
      </c>
      <c r="L133" s="431">
        <f t="shared" si="201"/>
        <v>46485000</v>
      </c>
      <c r="M133" s="431">
        <f t="shared" si="201"/>
        <v>46485000</v>
      </c>
      <c r="N133" s="431">
        <f t="shared" si="201"/>
        <v>46485000</v>
      </c>
      <c r="O133" s="431">
        <f t="shared" si="201"/>
        <v>46485000</v>
      </c>
      <c r="P133" s="431">
        <f t="shared" si="201"/>
        <v>46485000</v>
      </c>
      <c r="Q133" s="431">
        <f t="shared" si="201"/>
        <v>46485000</v>
      </c>
      <c r="R133" s="431">
        <f t="shared" si="201"/>
        <v>46485000</v>
      </c>
      <c r="S133" s="431">
        <f t="shared" si="201"/>
        <v>46485000</v>
      </c>
      <c r="T133" s="431">
        <f t="shared" si="201"/>
        <v>46485000</v>
      </c>
      <c r="U133" s="431">
        <f t="shared" si="201"/>
        <v>46485000</v>
      </c>
      <c r="V133" s="431">
        <f t="shared" si="201"/>
        <v>46485000</v>
      </c>
      <c r="W133" s="431">
        <f t="shared" si="201"/>
        <v>46485000</v>
      </c>
      <c r="X133" s="431">
        <f t="shared" si="201"/>
        <v>46485000</v>
      </c>
      <c r="Y133" s="431">
        <f t="shared" si="201"/>
        <v>46485000</v>
      </c>
      <c r="Z133" s="431">
        <f t="shared" si="201"/>
        <v>46485000</v>
      </c>
      <c r="AA133" s="431">
        <f t="shared" si="201"/>
        <v>46485000</v>
      </c>
      <c r="AB133" s="431">
        <f t="shared" si="201"/>
        <v>46485000</v>
      </c>
      <c r="AC133" s="431">
        <f t="shared" si="201"/>
        <v>46485000</v>
      </c>
      <c r="AD133" s="431">
        <f t="shared" si="201"/>
        <v>46485000</v>
      </c>
      <c r="AE133" s="431">
        <f t="shared" si="201"/>
        <v>46485000</v>
      </c>
      <c r="AF133" s="431">
        <f t="shared" si="201"/>
        <v>46485000</v>
      </c>
      <c r="AG133" s="431">
        <f t="shared" si="201"/>
        <v>46485000</v>
      </c>
      <c r="AH133" s="431">
        <f t="shared" si="201"/>
        <v>46485000</v>
      </c>
      <c r="AI133" s="431">
        <f t="shared" si="201"/>
        <v>46485000</v>
      </c>
      <c r="AJ133" s="431">
        <f t="shared" si="201"/>
        <v>46485000</v>
      </c>
      <c r="AK133" s="431">
        <f t="shared" si="201"/>
        <v>46485000</v>
      </c>
      <c r="AL133" s="431">
        <f t="shared" si="201"/>
        <v>46485000</v>
      </c>
      <c r="AM133" s="431">
        <f t="shared" si="201"/>
        <v>46485000</v>
      </c>
      <c r="AN133" s="431">
        <f t="shared" si="201"/>
        <v>46485000</v>
      </c>
      <c r="AO133" s="431">
        <f t="shared" si="201"/>
        <v>46485000</v>
      </c>
      <c r="AP133" s="431">
        <f t="shared" si="201"/>
        <v>46485000</v>
      </c>
      <c r="AQ133" s="431">
        <f t="shared" si="201"/>
        <v>46485000</v>
      </c>
      <c r="AR133" s="431">
        <f t="shared" si="201"/>
        <v>46485000</v>
      </c>
      <c r="AS133" s="431">
        <f t="shared" si="201"/>
        <v>46485000</v>
      </c>
      <c r="AT133" s="431">
        <f t="shared" si="201"/>
        <v>46485000</v>
      </c>
      <c r="AU133" s="431">
        <f t="shared" si="201"/>
        <v>46485000</v>
      </c>
      <c r="AV133" s="431">
        <f t="shared" si="201"/>
        <v>46485000</v>
      </c>
      <c r="AW133" s="431">
        <f t="shared" si="201"/>
        <v>46485000</v>
      </c>
      <c r="AX133" s="431">
        <f t="shared" si="201"/>
        <v>46485000</v>
      </c>
      <c r="AY133" s="431">
        <f t="shared" si="201"/>
        <v>46485000</v>
      </c>
      <c r="AZ133" s="431">
        <f t="shared" si="201"/>
        <v>46485000</v>
      </c>
      <c r="BA133" s="431">
        <f t="shared" si="201"/>
        <v>46485000</v>
      </c>
      <c r="BB133" s="431">
        <f t="shared" si="201"/>
        <v>46485000</v>
      </c>
      <c r="BC133" s="431">
        <f t="shared" si="201"/>
        <v>46485000</v>
      </c>
      <c r="BD133" s="431">
        <f t="shared" si="201"/>
        <v>46485000</v>
      </c>
      <c r="BE133" s="431">
        <f t="shared" si="201"/>
        <v>46485000</v>
      </c>
      <c r="BF133" s="431">
        <f t="shared" si="201"/>
        <v>46485000</v>
      </c>
      <c r="BG133" s="431">
        <f t="shared" si="201"/>
        <v>46485000</v>
      </c>
      <c r="BH133" s="431">
        <f t="shared" si="201"/>
        <v>46485000</v>
      </c>
      <c r="BI133" s="431">
        <f t="shared" si="201"/>
        <v>46485000</v>
      </c>
      <c r="BJ133" s="431">
        <f t="shared" si="201"/>
        <v>46485000</v>
      </c>
      <c r="BK133" s="431">
        <f t="shared" si="201"/>
        <v>46485000</v>
      </c>
      <c r="BL133" s="431">
        <f t="shared" si="201"/>
        <v>46485000</v>
      </c>
      <c r="BM133" s="431">
        <f t="shared" si="201"/>
        <v>46485000</v>
      </c>
      <c r="BN133" s="431">
        <f t="shared" si="201"/>
        <v>46485000</v>
      </c>
      <c r="BO133" s="431">
        <f t="shared" si="201"/>
        <v>46485000</v>
      </c>
      <c r="BP133" s="431">
        <f t="shared" si="201"/>
        <v>46485000</v>
      </c>
      <c r="BQ133" s="431">
        <f t="shared" si="201"/>
        <v>46485000</v>
      </c>
      <c r="BR133" s="431">
        <f t="shared" si="201"/>
        <v>46485000</v>
      </c>
      <c r="BS133" s="431">
        <f t="shared" si="201"/>
        <v>46485000</v>
      </c>
      <c r="BT133" s="431">
        <f t="shared" si="201"/>
        <v>46485000</v>
      </c>
      <c r="BU133" s="431">
        <f t="shared" ref="BU133:EF133" si="202">SUM(BU130:BU132)</f>
        <v>46485000</v>
      </c>
      <c r="BV133" s="431">
        <f t="shared" si="202"/>
        <v>46485000</v>
      </c>
      <c r="BW133" s="431">
        <f t="shared" si="202"/>
        <v>46485000</v>
      </c>
      <c r="BX133" s="431">
        <f t="shared" si="202"/>
        <v>46485000</v>
      </c>
      <c r="BY133" s="431">
        <f t="shared" si="202"/>
        <v>46485000</v>
      </c>
      <c r="BZ133" s="431">
        <f t="shared" si="202"/>
        <v>46485000</v>
      </c>
      <c r="CA133" s="431">
        <f t="shared" si="202"/>
        <v>46485000</v>
      </c>
      <c r="CB133" s="431">
        <f t="shared" si="202"/>
        <v>46485000</v>
      </c>
      <c r="CC133" s="431">
        <f t="shared" si="202"/>
        <v>46485000</v>
      </c>
      <c r="CD133" s="431">
        <f t="shared" si="202"/>
        <v>46485000</v>
      </c>
      <c r="CE133" s="431">
        <f t="shared" si="202"/>
        <v>46485000</v>
      </c>
      <c r="CF133" s="431">
        <f t="shared" si="202"/>
        <v>46413375.248253718</v>
      </c>
      <c r="CG133" s="431">
        <f t="shared" si="202"/>
        <v>46341387.398807615</v>
      </c>
      <c r="CH133" s="431">
        <f t="shared" si="202"/>
        <v>46269034.61095807</v>
      </c>
      <c r="CI133" s="431">
        <f t="shared" si="202"/>
        <v>46196315.034670115</v>
      </c>
      <c r="CJ133" s="431">
        <f t="shared" si="202"/>
        <v>46123226.810530148</v>
      </c>
      <c r="CK133" s="431">
        <f t="shared" si="202"/>
        <v>46049768.069698364</v>
      </c>
      <c r="CL133" s="431">
        <f t="shared" si="202"/>
        <v>45975936.933860973</v>
      </c>
      <c r="CM133" s="431">
        <f t="shared" si="202"/>
        <v>45901731.515182182</v>
      </c>
      <c r="CN133" s="431">
        <f t="shared" si="202"/>
        <v>45827149.916255921</v>
      </c>
      <c r="CO133" s="431">
        <f t="shared" si="202"/>
        <v>45752190.230057329</v>
      </c>
      <c r="CP133" s="431">
        <f t="shared" si="202"/>
        <v>45676850.539893977</v>
      </c>
      <c r="CQ133" s="431">
        <f t="shared" si="202"/>
        <v>45601128.919356883</v>
      </c>
      <c r="CR133" s="431">
        <f t="shared" si="202"/>
        <v>45525023.432271227</v>
      </c>
      <c r="CS133" s="431">
        <f t="shared" si="202"/>
        <v>45448532.132646874</v>
      </c>
      <c r="CT133" s="431">
        <f t="shared" si="202"/>
        <v>45371653.064628594</v>
      </c>
      <c r="CU133" s="431">
        <f t="shared" si="202"/>
        <v>45294384.262446053</v>
      </c>
      <c r="CV133" s="431">
        <f t="shared" si="202"/>
        <v>45216723.750363559</v>
      </c>
      <c r="CW133" s="431">
        <f t="shared" si="202"/>
        <v>45138669.54262954</v>
      </c>
      <c r="CX133" s="431">
        <f t="shared" si="202"/>
        <v>45060219.643425755</v>
      </c>
      <c r="CY133" s="431">
        <f t="shared" si="202"/>
        <v>44981372.046816282</v>
      </c>
      <c r="CZ133" s="431">
        <f t="shared" si="202"/>
        <v>44902124.736696221</v>
      </c>
      <c r="DA133" s="431">
        <f t="shared" si="202"/>
        <v>44822475.686740138</v>
      </c>
      <c r="DB133" s="431">
        <f t="shared" si="202"/>
        <v>44742422.860350251</v>
      </c>
      <c r="DC133" s="431">
        <f t="shared" si="202"/>
        <v>44661964.210604355</v>
      </c>
      <c r="DD133" s="431">
        <f t="shared" si="202"/>
        <v>44581097.680203497</v>
      </c>
      <c r="DE133" s="431">
        <f t="shared" si="202"/>
        <v>44499821.201419361</v>
      </c>
      <c r="DF133" s="431">
        <f t="shared" si="202"/>
        <v>44418132.696041383</v>
      </c>
      <c r="DG133" s="431">
        <f t="shared" si="202"/>
        <v>44336030.075323641</v>
      </c>
      <c r="DH133" s="431">
        <f t="shared" si="202"/>
        <v>44253511.239931434</v>
      </c>
      <c r="DI133" s="431">
        <f t="shared" si="202"/>
        <v>44170574.079887584</v>
      </c>
      <c r="DJ133" s="431">
        <f t="shared" si="202"/>
        <v>44087216.474518508</v>
      </c>
      <c r="DK133" s="431">
        <f t="shared" si="202"/>
        <v>44003436.292399995</v>
      </c>
      <c r="DL133" s="431">
        <f t="shared" si="202"/>
        <v>43919231.391302682</v>
      </c>
      <c r="DM133" s="431">
        <f t="shared" si="202"/>
        <v>43834599.618137307</v>
      </c>
      <c r="DN133" s="431">
        <f t="shared" si="202"/>
        <v>43749538.808899641</v>
      </c>
      <c r="DO133" s="431">
        <f t="shared" si="202"/>
        <v>43664046.788615145</v>
      </c>
      <c r="DP133" s="431">
        <f t="shared" si="202"/>
        <v>43578121.371283367</v>
      </c>
      <c r="DQ133" s="431">
        <f t="shared" si="202"/>
        <v>43491760.359822065</v>
      </c>
      <c r="DR133" s="431">
        <f t="shared" si="202"/>
        <v>43404961.546010993</v>
      </c>
      <c r="DS133" s="431">
        <f t="shared" si="202"/>
        <v>43317722.710435465</v>
      </c>
      <c r="DT133" s="431">
        <f t="shared" si="202"/>
        <v>43230041.622429587</v>
      </c>
      <c r="DU133" s="431">
        <f t="shared" si="202"/>
        <v>43141916.040019237</v>
      </c>
      <c r="DV133" s="431">
        <f t="shared" si="202"/>
        <v>43053343.709864721</v>
      </c>
      <c r="DW133" s="431">
        <f t="shared" si="202"/>
        <v>42964322.367203169</v>
      </c>
      <c r="DX133" s="431">
        <f t="shared" si="202"/>
        <v>42874849.735790625</v>
      </c>
      <c r="DY133" s="431">
        <f t="shared" si="202"/>
        <v>42784923.52784384</v>
      </c>
      <c r="DZ133" s="431">
        <f t="shared" si="202"/>
        <v>42694541.443981767</v>
      </c>
      <c r="EA133" s="431">
        <f t="shared" si="202"/>
        <v>42603701.173166782</v>
      </c>
      <c r="EB133" s="431">
        <f t="shared" si="202"/>
        <v>42512400.392645583</v>
      </c>
      <c r="EC133" s="431">
        <f t="shared" si="202"/>
        <v>42420636.767889798</v>
      </c>
      <c r="ED133" s="431">
        <f t="shared" si="202"/>
        <v>42328407.952536292</v>
      </c>
      <c r="EE133" s="431">
        <f t="shared" si="202"/>
        <v>42235711.588327177</v>
      </c>
      <c r="EF133" s="431">
        <f t="shared" si="202"/>
        <v>42142545.305049501</v>
      </c>
      <c r="EG133" s="431">
        <f t="shared" ref="EG133:FT133" si="203">SUM(EG130:EG132)</f>
        <v>42048906.720474653</v>
      </c>
      <c r="EH133" s="431">
        <f t="shared" si="203"/>
        <v>41954793.440297447</v>
      </c>
      <c r="EI133" s="431">
        <f t="shared" si="203"/>
        <v>41860203.058074899</v>
      </c>
      <c r="EJ133" s="431">
        <f t="shared" si="203"/>
        <v>41765133.155164689</v>
      </c>
      <c r="EK133" s="431">
        <f t="shared" si="203"/>
        <v>41669581.300663337</v>
      </c>
      <c r="EL133" s="431">
        <f t="shared" si="203"/>
        <v>41573545.05134403</v>
      </c>
      <c r="EM133" s="431">
        <f t="shared" si="203"/>
        <v>41477021.951594144</v>
      </c>
      <c r="EN133" s="431">
        <f t="shared" si="203"/>
        <v>41380009.533352472</v>
      </c>
      <c r="EO133" s="431">
        <f t="shared" si="203"/>
        <v>41282505.316046104</v>
      </c>
      <c r="EP133" s="431">
        <f t="shared" si="203"/>
        <v>41184506.806527004</v>
      </c>
      <c r="EQ133" s="431">
        <f t="shared" si="203"/>
        <v>41086011.499008253</v>
      </c>
      <c r="ER133" s="431">
        <f t="shared" si="203"/>
        <v>40987016.875</v>
      </c>
      <c r="ES133" s="431">
        <f t="shared" si="203"/>
        <v>40887520.403245039</v>
      </c>
      <c r="ET133" s="431">
        <f t="shared" si="203"/>
        <v>40787519.539654098</v>
      </c>
      <c r="EU133" s="431">
        <f t="shared" si="203"/>
        <v>40687011.727240786</v>
      </c>
      <c r="EV133" s="431">
        <f t="shared" si="203"/>
        <v>40585994.396056212</v>
      </c>
      <c r="EW133" s="431">
        <f t="shared" si="203"/>
        <v>40484464.963123269</v>
      </c>
      <c r="EX133" s="431">
        <f t="shared" si="203"/>
        <v>40382420.832370602</v>
      </c>
      <c r="EY133" s="431">
        <f t="shared" si="203"/>
        <v>40279859.394566201</v>
      </c>
      <c r="EZ133" s="431">
        <f t="shared" si="203"/>
        <v>40176778.027250707</v>
      </c>
      <c r="FA133" s="431">
        <f t="shared" si="203"/>
        <v>40073174.094670348</v>
      </c>
      <c r="FB133" s="431">
        <f t="shared" si="203"/>
        <v>39969044.947709545</v>
      </c>
      <c r="FC133" s="431">
        <f t="shared" si="203"/>
        <v>39864387.923823178</v>
      </c>
      <c r="FD133" s="431">
        <f t="shared" si="203"/>
        <v>39759200.346968502</v>
      </c>
      <c r="FE133" s="431">
        <f t="shared" si="203"/>
        <v>39653479.527536713</v>
      </c>
      <c r="FF133" s="431">
        <f t="shared" si="203"/>
        <v>39547222.762284197</v>
      </c>
      <c r="FG133" s="431">
        <f t="shared" si="203"/>
        <v>39440427.334263384</v>
      </c>
      <c r="FH133" s="431">
        <f t="shared" si="203"/>
        <v>39333090.5127533</v>
      </c>
      <c r="FI133" s="431">
        <f t="shared" si="203"/>
        <v>39225209.553189725</v>
      </c>
      <c r="FJ133" s="431">
        <f t="shared" si="203"/>
        <v>39116781.697095029</v>
      </c>
      <c r="FK133" s="431">
        <f t="shared" si="203"/>
        <v>39007804.172007635</v>
      </c>
      <c r="FL133" s="431">
        <f t="shared" si="203"/>
        <v>38898274.191411115</v>
      </c>
      <c r="FM133" s="431">
        <f t="shared" si="203"/>
        <v>38788188.954662956</v>
      </c>
      <c r="FN133" s="431">
        <f t="shared" si="203"/>
        <v>38677545.646922953</v>
      </c>
      <c r="FO133" s="431">
        <f t="shared" si="203"/>
        <v>38566341.439081214</v>
      </c>
      <c r="FP133" s="431">
        <f t="shared" si="203"/>
        <v>38454573.487685829</v>
      </c>
      <c r="FQ133" s="431">
        <f t="shared" si="203"/>
        <v>38342238.934870176</v>
      </c>
      <c r="FR133" s="431">
        <f t="shared" si="203"/>
        <v>38229334.908279836</v>
      </c>
      <c r="FS133" s="431">
        <f t="shared" si="203"/>
        <v>38115858.520999141</v>
      </c>
      <c r="FT133" s="431">
        <f t="shared" si="203"/>
        <v>38001806.871477373</v>
      </c>
      <c r="FU133" s="43"/>
      <c r="FV133" s="34"/>
      <c r="FW133" s="34"/>
      <c r="FX133" s="34"/>
      <c r="FY133" s="34"/>
      <c r="FZ133" s="34"/>
    </row>
    <row r="134" spans="1:182" s="89" customFormat="1" ht="13.5" x14ac:dyDescent="0.25">
      <c r="A134" s="34"/>
      <c r="B134" s="142"/>
      <c r="C134" s="34"/>
      <c r="D134" s="34"/>
      <c r="E134" s="34"/>
      <c r="F134" s="428"/>
      <c r="G134" s="34"/>
      <c r="H134" s="800"/>
      <c r="I134" s="800"/>
      <c r="J134" s="800"/>
      <c r="K134" s="800"/>
      <c r="L134" s="800"/>
      <c r="M134" s="800"/>
      <c r="N134" s="800"/>
      <c r="O134" s="800"/>
      <c r="P134" s="800"/>
      <c r="Q134" s="800"/>
      <c r="R134" s="800"/>
      <c r="S134" s="800"/>
      <c r="T134" s="800"/>
      <c r="U134" s="800"/>
      <c r="V134" s="800"/>
      <c r="W134" s="800"/>
      <c r="X134" s="800"/>
      <c r="Y134" s="800"/>
      <c r="Z134" s="800"/>
      <c r="AA134" s="800"/>
      <c r="AB134" s="800"/>
      <c r="AC134" s="800"/>
      <c r="AD134" s="800"/>
      <c r="AE134" s="800"/>
      <c r="AF134" s="800"/>
      <c r="AG134" s="800"/>
      <c r="AH134" s="800"/>
      <c r="AI134" s="800"/>
      <c r="AJ134" s="800"/>
      <c r="AK134" s="800"/>
      <c r="AL134" s="800"/>
      <c r="AM134" s="800"/>
      <c r="AN134" s="800"/>
      <c r="AO134" s="800"/>
      <c r="AP134" s="800"/>
      <c r="AQ134" s="800"/>
      <c r="AR134" s="800"/>
      <c r="AS134" s="800"/>
      <c r="AT134" s="800"/>
      <c r="AU134" s="800"/>
      <c r="AV134" s="800"/>
      <c r="AW134" s="800"/>
      <c r="AX134" s="800"/>
      <c r="AY134" s="800"/>
      <c r="AZ134" s="800"/>
      <c r="BA134" s="800"/>
      <c r="BB134" s="800"/>
      <c r="BC134" s="800"/>
      <c r="BD134" s="800"/>
      <c r="BE134" s="800"/>
      <c r="BF134" s="800"/>
      <c r="BG134" s="800"/>
      <c r="BH134" s="800"/>
      <c r="BI134" s="800"/>
      <c r="BJ134" s="800"/>
      <c r="BK134" s="800"/>
      <c r="BL134" s="800"/>
      <c r="BM134" s="800"/>
      <c r="BN134" s="800"/>
      <c r="BO134" s="800"/>
      <c r="BP134" s="800"/>
      <c r="BQ134" s="800"/>
      <c r="BR134" s="800"/>
      <c r="BS134" s="800"/>
      <c r="BT134" s="800"/>
      <c r="BU134" s="800"/>
      <c r="BV134" s="800"/>
      <c r="BW134" s="800"/>
      <c r="BX134" s="800"/>
      <c r="BY134" s="800"/>
      <c r="BZ134" s="800"/>
      <c r="CA134" s="800"/>
      <c r="CB134" s="800"/>
      <c r="CC134" s="800"/>
      <c r="CD134" s="800"/>
      <c r="CE134" s="800"/>
      <c r="CF134" s="800"/>
      <c r="CG134" s="800"/>
      <c r="CH134" s="800"/>
      <c r="CI134" s="800"/>
      <c r="CJ134" s="800"/>
      <c r="CK134" s="800"/>
      <c r="CL134" s="800"/>
      <c r="CM134" s="800"/>
      <c r="CN134" s="800"/>
      <c r="CO134" s="800"/>
      <c r="CP134" s="800"/>
      <c r="CQ134" s="800"/>
      <c r="CR134" s="800"/>
      <c r="CS134" s="800"/>
      <c r="CT134" s="800"/>
      <c r="CU134" s="800"/>
      <c r="CV134" s="800"/>
      <c r="CW134" s="800"/>
      <c r="CX134" s="800"/>
      <c r="CY134" s="800"/>
      <c r="CZ134" s="800"/>
      <c r="DA134" s="800"/>
      <c r="DB134" s="800"/>
      <c r="DC134" s="800"/>
      <c r="DD134" s="800"/>
      <c r="DE134" s="800"/>
      <c r="DF134" s="800"/>
      <c r="DG134" s="800"/>
      <c r="DH134" s="800"/>
      <c r="DI134" s="800"/>
      <c r="DJ134" s="800"/>
      <c r="DK134" s="800"/>
      <c r="DL134" s="800"/>
      <c r="DM134" s="800"/>
      <c r="DN134" s="800"/>
      <c r="DO134" s="800"/>
      <c r="DP134" s="800"/>
      <c r="DQ134" s="800"/>
      <c r="DR134" s="800"/>
      <c r="DS134" s="800"/>
      <c r="DT134" s="800"/>
      <c r="DU134" s="800"/>
      <c r="DV134" s="800"/>
      <c r="DW134" s="800"/>
      <c r="DX134" s="800"/>
      <c r="DY134" s="800"/>
      <c r="DZ134" s="800"/>
      <c r="EA134" s="800"/>
      <c r="EB134" s="800"/>
      <c r="EC134" s="800"/>
      <c r="ED134" s="800"/>
      <c r="EE134" s="800"/>
      <c r="EF134" s="800"/>
      <c r="EG134" s="800"/>
      <c r="EH134" s="800"/>
      <c r="EI134" s="800"/>
      <c r="EJ134" s="800"/>
      <c r="EK134" s="800"/>
      <c r="EL134" s="800"/>
      <c r="EM134" s="800"/>
      <c r="EN134" s="800"/>
      <c r="EO134" s="800"/>
      <c r="EP134" s="800"/>
      <c r="EQ134" s="800"/>
      <c r="ER134" s="800"/>
      <c r="ES134" s="800"/>
      <c r="ET134" s="800"/>
      <c r="EU134" s="800"/>
      <c r="EV134" s="800"/>
      <c r="EW134" s="800"/>
      <c r="EX134" s="800"/>
      <c r="EY134" s="800"/>
      <c r="EZ134" s="800"/>
      <c r="FA134" s="800"/>
      <c r="FB134" s="800"/>
      <c r="FC134" s="800"/>
      <c r="FD134" s="800"/>
      <c r="FE134" s="800"/>
      <c r="FF134" s="800"/>
      <c r="FG134" s="800"/>
      <c r="FH134" s="800"/>
      <c r="FI134" s="800"/>
      <c r="FJ134" s="800"/>
      <c r="FK134" s="800"/>
      <c r="FL134" s="800"/>
      <c r="FM134" s="800"/>
      <c r="FN134" s="800"/>
      <c r="FO134" s="800"/>
      <c r="FP134" s="800"/>
      <c r="FQ134" s="800"/>
      <c r="FR134" s="800"/>
      <c r="FS134" s="800"/>
      <c r="FT134" s="800"/>
      <c r="FU134" s="43"/>
      <c r="FV134" s="34"/>
      <c r="FW134" s="34"/>
      <c r="FX134" s="34"/>
      <c r="FY134" s="34"/>
      <c r="FZ134" s="34"/>
    </row>
    <row r="135" spans="1:182" s="89" customFormat="1" ht="13.5" x14ac:dyDescent="0.25">
      <c r="A135" s="34"/>
      <c r="B135" s="1216" t="str">
        <f>'Financing Assumptions'!$N$8</f>
        <v>Hickory</v>
      </c>
      <c r="C135" s="34"/>
      <c r="D135" s="34"/>
      <c r="E135" s="34"/>
      <c r="F135" s="428"/>
      <c r="G135" s="34"/>
      <c r="H135" s="1270">
        <f>H$11</f>
        <v>46053</v>
      </c>
      <c r="I135" s="1270">
        <f t="shared" ref="I135:BT135" si="204">I$11</f>
        <v>46081</v>
      </c>
      <c r="J135" s="1270">
        <f t="shared" si="204"/>
        <v>46112</v>
      </c>
      <c r="K135" s="1270">
        <f t="shared" si="204"/>
        <v>46142</v>
      </c>
      <c r="L135" s="1270">
        <f t="shared" si="204"/>
        <v>46173</v>
      </c>
      <c r="M135" s="1270">
        <f t="shared" si="204"/>
        <v>46203</v>
      </c>
      <c r="N135" s="1270">
        <f t="shared" si="204"/>
        <v>46234</v>
      </c>
      <c r="O135" s="1270">
        <f t="shared" si="204"/>
        <v>46265</v>
      </c>
      <c r="P135" s="1270">
        <f t="shared" si="204"/>
        <v>46295</v>
      </c>
      <c r="Q135" s="1270">
        <f t="shared" si="204"/>
        <v>46326</v>
      </c>
      <c r="R135" s="1270">
        <f t="shared" si="204"/>
        <v>46356</v>
      </c>
      <c r="S135" s="1270">
        <f t="shared" si="204"/>
        <v>46387</v>
      </c>
      <c r="T135" s="1270">
        <f t="shared" si="204"/>
        <v>46418</v>
      </c>
      <c r="U135" s="1270">
        <f t="shared" si="204"/>
        <v>46446</v>
      </c>
      <c r="V135" s="1270">
        <f t="shared" si="204"/>
        <v>46477</v>
      </c>
      <c r="W135" s="1270">
        <f t="shared" si="204"/>
        <v>46507</v>
      </c>
      <c r="X135" s="1270">
        <f t="shared" si="204"/>
        <v>46538</v>
      </c>
      <c r="Y135" s="1270">
        <f t="shared" si="204"/>
        <v>46568</v>
      </c>
      <c r="Z135" s="1270">
        <f t="shared" si="204"/>
        <v>46599</v>
      </c>
      <c r="AA135" s="1270">
        <f t="shared" si="204"/>
        <v>46630</v>
      </c>
      <c r="AB135" s="1270">
        <f t="shared" si="204"/>
        <v>46660</v>
      </c>
      <c r="AC135" s="1270">
        <f t="shared" si="204"/>
        <v>46691</v>
      </c>
      <c r="AD135" s="1270">
        <f t="shared" si="204"/>
        <v>46721</v>
      </c>
      <c r="AE135" s="1270">
        <f t="shared" si="204"/>
        <v>46752</v>
      </c>
      <c r="AF135" s="1270">
        <f t="shared" si="204"/>
        <v>46783</v>
      </c>
      <c r="AG135" s="1270">
        <f t="shared" si="204"/>
        <v>46812</v>
      </c>
      <c r="AH135" s="1270">
        <f t="shared" si="204"/>
        <v>46843</v>
      </c>
      <c r="AI135" s="1270">
        <f t="shared" si="204"/>
        <v>46873</v>
      </c>
      <c r="AJ135" s="1270">
        <f t="shared" si="204"/>
        <v>46904</v>
      </c>
      <c r="AK135" s="1270">
        <f t="shared" si="204"/>
        <v>46934</v>
      </c>
      <c r="AL135" s="1270">
        <f t="shared" si="204"/>
        <v>46965</v>
      </c>
      <c r="AM135" s="1270">
        <f t="shared" si="204"/>
        <v>46996</v>
      </c>
      <c r="AN135" s="1270">
        <f t="shared" si="204"/>
        <v>47026</v>
      </c>
      <c r="AO135" s="1270">
        <f t="shared" si="204"/>
        <v>47057</v>
      </c>
      <c r="AP135" s="1270">
        <f t="shared" si="204"/>
        <v>47087</v>
      </c>
      <c r="AQ135" s="1270">
        <f t="shared" si="204"/>
        <v>47118</v>
      </c>
      <c r="AR135" s="1270">
        <f t="shared" si="204"/>
        <v>47149</v>
      </c>
      <c r="AS135" s="1270">
        <f t="shared" si="204"/>
        <v>47177</v>
      </c>
      <c r="AT135" s="1270">
        <f t="shared" si="204"/>
        <v>47208</v>
      </c>
      <c r="AU135" s="1270">
        <f t="shared" si="204"/>
        <v>47238</v>
      </c>
      <c r="AV135" s="1270">
        <f t="shared" si="204"/>
        <v>47269</v>
      </c>
      <c r="AW135" s="1270">
        <f t="shared" si="204"/>
        <v>47299</v>
      </c>
      <c r="AX135" s="1270">
        <f t="shared" si="204"/>
        <v>47330</v>
      </c>
      <c r="AY135" s="1270">
        <f t="shared" si="204"/>
        <v>47361</v>
      </c>
      <c r="AZ135" s="1270">
        <f t="shared" si="204"/>
        <v>47391</v>
      </c>
      <c r="BA135" s="1270">
        <f t="shared" si="204"/>
        <v>47422</v>
      </c>
      <c r="BB135" s="1270">
        <f t="shared" si="204"/>
        <v>47452</v>
      </c>
      <c r="BC135" s="1270">
        <f t="shared" si="204"/>
        <v>47483</v>
      </c>
      <c r="BD135" s="1270">
        <f t="shared" si="204"/>
        <v>47514</v>
      </c>
      <c r="BE135" s="1270">
        <f t="shared" si="204"/>
        <v>47542</v>
      </c>
      <c r="BF135" s="1270">
        <f t="shared" si="204"/>
        <v>47573</v>
      </c>
      <c r="BG135" s="1270">
        <f t="shared" si="204"/>
        <v>47603</v>
      </c>
      <c r="BH135" s="1270">
        <f t="shared" si="204"/>
        <v>47634</v>
      </c>
      <c r="BI135" s="1270">
        <f t="shared" si="204"/>
        <v>47664</v>
      </c>
      <c r="BJ135" s="1270">
        <f t="shared" si="204"/>
        <v>47695</v>
      </c>
      <c r="BK135" s="1270">
        <f t="shared" si="204"/>
        <v>47726</v>
      </c>
      <c r="BL135" s="1270">
        <f t="shared" si="204"/>
        <v>47756</v>
      </c>
      <c r="BM135" s="1270">
        <f t="shared" si="204"/>
        <v>47787</v>
      </c>
      <c r="BN135" s="1270">
        <f t="shared" si="204"/>
        <v>47817</v>
      </c>
      <c r="BO135" s="1270">
        <f t="shared" si="204"/>
        <v>47848</v>
      </c>
      <c r="BP135" s="1270">
        <f t="shared" si="204"/>
        <v>47879</v>
      </c>
      <c r="BQ135" s="1270">
        <f t="shared" si="204"/>
        <v>47907</v>
      </c>
      <c r="BR135" s="1270">
        <f t="shared" si="204"/>
        <v>47938</v>
      </c>
      <c r="BS135" s="1270">
        <f t="shared" si="204"/>
        <v>47968</v>
      </c>
      <c r="BT135" s="1270">
        <f t="shared" si="204"/>
        <v>47999</v>
      </c>
      <c r="BU135" s="1270">
        <f t="shared" ref="BU135:EF135" si="205">BU$11</f>
        <v>48029</v>
      </c>
      <c r="BV135" s="1270">
        <f t="shared" si="205"/>
        <v>48060</v>
      </c>
      <c r="BW135" s="1270">
        <f t="shared" si="205"/>
        <v>48091</v>
      </c>
      <c r="BX135" s="1270">
        <f t="shared" si="205"/>
        <v>48121</v>
      </c>
      <c r="BY135" s="1270">
        <f t="shared" si="205"/>
        <v>48152</v>
      </c>
      <c r="BZ135" s="1270">
        <f t="shared" si="205"/>
        <v>48182</v>
      </c>
      <c r="CA135" s="1270">
        <f t="shared" si="205"/>
        <v>48213</v>
      </c>
      <c r="CB135" s="1270">
        <f t="shared" si="205"/>
        <v>48244</v>
      </c>
      <c r="CC135" s="1270">
        <f t="shared" si="205"/>
        <v>48273</v>
      </c>
      <c r="CD135" s="1270">
        <f t="shared" si="205"/>
        <v>48304</v>
      </c>
      <c r="CE135" s="1270">
        <f t="shared" si="205"/>
        <v>48334</v>
      </c>
      <c r="CF135" s="1270">
        <f t="shared" si="205"/>
        <v>48365</v>
      </c>
      <c r="CG135" s="1270">
        <f t="shared" si="205"/>
        <v>48395</v>
      </c>
      <c r="CH135" s="1270">
        <f t="shared" si="205"/>
        <v>48426</v>
      </c>
      <c r="CI135" s="1270">
        <f t="shared" si="205"/>
        <v>48457</v>
      </c>
      <c r="CJ135" s="1270">
        <f t="shared" si="205"/>
        <v>48487</v>
      </c>
      <c r="CK135" s="1270">
        <f t="shared" si="205"/>
        <v>48518</v>
      </c>
      <c r="CL135" s="1270">
        <f t="shared" si="205"/>
        <v>48548</v>
      </c>
      <c r="CM135" s="1270">
        <f t="shared" si="205"/>
        <v>48579</v>
      </c>
      <c r="CN135" s="1270">
        <f t="shared" si="205"/>
        <v>48610</v>
      </c>
      <c r="CO135" s="1270">
        <f t="shared" si="205"/>
        <v>48638</v>
      </c>
      <c r="CP135" s="1270">
        <f t="shared" si="205"/>
        <v>48669</v>
      </c>
      <c r="CQ135" s="1270">
        <f t="shared" si="205"/>
        <v>48699</v>
      </c>
      <c r="CR135" s="1270">
        <f t="shared" si="205"/>
        <v>48730</v>
      </c>
      <c r="CS135" s="1270">
        <f t="shared" si="205"/>
        <v>48760</v>
      </c>
      <c r="CT135" s="1270">
        <f t="shared" si="205"/>
        <v>48791</v>
      </c>
      <c r="CU135" s="1270">
        <f t="shared" si="205"/>
        <v>48822</v>
      </c>
      <c r="CV135" s="1270">
        <f t="shared" si="205"/>
        <v>48852</v>
      </c>
      <c r="CW135" s="1270">
        <f t="shared" si="205"/>
        <v>48883</v>
      </c>
      <c r="CX135" s="1270">
        <f t="shared" si="205"/>
        <v>48913</v>
      </c>
      <c r="CY135" s="1270">
        <f t="shared" si="205"/>
        <v>48944</v>
      </c>
      <c r="CZ135" s="1270">
        <f t="shared" si="205"/>
        <v>48975</v>
      </c>
      <c r="DA135" s="1270">
        <f t="shared" si="205"/>
        <v>49003</v>
      </c>
      <c r="DB135" s="1270">
        <f t="shared" si="205"/>
        <v>49034</v>
      </c>
      <c r="DC135" s="1270">
        <f t="shared" si="205"/>
        <v>49064</v>
      </c>
      <c r="DD135" s="1270">
        <f t="shared" si="205"/>
        <v>49095</v>
      </c>
      <c r="DE135" s="1270">
        <f t="shared" si="205"/>
        <v>49125</v>
      </c>
      <c r="DF135" s="1270">
        <f t="shared" si="205"/>
        <v>49156</v>
      </c>
      <c r="DG135" s="1270">
        <f t="shared" si="205"/>
        <v>49187</v>
      </c>
      <c r="DH135" s="1270">
        <f t="shared" si="205"/>
        <v>49217</v>
      </c>
      <c r="DI135" s="1270">
        <f t="shared" si="205"/>
        <v>49248</v>
      </c>
      <c r="DJ135" s="1270">
        <f t="shared" si="205"/>
        <v>49278</v>
      </c>
      <c r="DK135" s="1270">
        <f t="shared" si="205"/>
        <v>49309</v>
      </c>
      <c r="DL135" s="1270">
        <f t="shared" si="205"/>
        <v>49340</v>
      </c>
      <c r="DM135" s="1270">
        <f t="shared" si="205"/>
        <v>49368</v>
      </c>
      <c r="DN135" s="1270">
        <f t="shared" si="205"/>
        <v>49399</v>
      </c>
      <c r="DO135" s="1270">
        <f t="shared" si="205"/>
        <v>49429</v>
      </c>
      <c r="DP135" s="1270">
        <f t="shared" si="205"/>
        <v>49460</v>
      </c>
      <c r="DQ135" s="1270">
        <f t="shared" si="205"/>
        <v>49490</v>
      </c>
      <c r="DR135" s="1270">
        <f t="shared" si="205"/>
        <v>49521</v>
      </c>
      <c r="DS135" s="1270">
        <f t="shared" si="205"/>
        <v>49552</v>
      </c>
      <c r="DT135" s="1270">
        <f t="shared" si="205"/>
        <v>49582</v>
      </c>
      <c r="DU135" s="1270">
        <f t="shared" si="205"/>
        <v>49613</v>
      </c>
      <c r="DV135" s="1270">
        <f t="shared" si="205"/>
        <v>49643</v>
      </c>
      <c r="DW135" s="1270">
        <f t="shared" si="205"/>
        <v>49674</v>
      </c>
      <c r="DX135" s="1270">
        <f t="shared" si="205"/>
        <v>49705</v>
      </c>
      <c r="DY135" s="1270">
        <f t="shared" si="205"/>
        <v>49734</v>
      </c>
      <c r="DZ135" s="1270">
        <f t="shared" si="205"/>
        <v>49765</v>
      </c>
      <c r="EA135" s="1270">
        <f t="shared" si="205"/>
        <v>49795</v>
      </c>
      <c r="EB135" s="1270">
        <f t="shared" si="205"/>
        <v>49826</v>
      </c>
      <c r="EC135" s="1270">
        <f t="shared" si="205"/>
        <v>49856</v>
      </c>
      <c r="ED135" s="1270">
        <f t="shared" si="205"/>
        <v>49887</v>
      </c>
      <c r="EE135" s="1270">
        <f t="shared" si="205"/>
        <v>49918</v>
      </c>
      <c r="EF135" s="1270">
        <f t="shared" si="205"/>
        <v>49948</v>
      </c>
      <c r="EG135" s="1270">
        <f t="shared" ref="EG135:FT135" si="206">EG$11</f>
        <v>49979</v>
      </c>
      <c r="EH135" s="1270">
        <f t="shared" si="206"/>
        <v>50009</v>
      </c>
      <c r="EI135" s="1270">
        <f t="shared" si="206"/>
        <v>50040</v>
      </c>
      <c r="EJ135" s="1270">
        <f t="shared" si="206"/>
        <v>50071</v>
      </c>
      <c r="EK135" s="1270">
        <f t="shared" si="206"/>
        <v>50099</v>
      </c>
      <c r="EL135" s="1270">
        <f t="shared" si="206"/>
        <v>50130</v>
      </c>
      <c r="EM135" s="1270">
        <f t="shared" si="206"/>
        <v>50160</v>
      </c>
      <c r="EN135" s="1270">
        <f t="shared" si="206"/>
        <v>50191</v>
      </c>
      <c r="EO135" s="1270">
        <f t="shared" si="206"/>
        <v>50221</v>
      </c>
      <c r="EP135" s="1270">
        <f t="shared" si="206"/>
        <v>50252</v>
      </c>
      <c r="EQ135" s="1270">
        <f t="shared" si="206"/>
        <v>50283</v>
      </c>
      <c r="ER135" s="1270">
        <f t="shared" si="206"/>
        <v>50313</v>
      </c>
      <c r="ES135" s="1270">
        <f t="shared" si="206"/>
        <v>50344</v>
      </c>
      <c r="ET135" s="1270">
        <f t="shared" si="206"/>
        <v>50374</v>
      </c>
      <c r="EU135" s="1270">
        <f t="shared" si="206"/>
        <v>50405</v>
      </c>
      <c r="EV135" s="1270">
        <f t="shared" si="206"/>
        <v>50436</v>
      </c>
      <c r="EW135" s="1270">
        <f t="shared" si="206"/>
        <v>50464</v>
      </c>
      <c r="EX135" s="1270">
        <f t="shared" si="206"/>
        <v>50495</v>
      </c>
      <c r="EY135" s="1270">
        <f t="shared" si="206"/>
        <v>50525</v>
      </c>
      <c r="EZ135" s="1270">
        <f t="shared" si="206"/>
        <v>50556</v>
      </c>
      <c r="FA135" s="1270">
        <f t="shared" si="206"/>
        <v>50586</v>
      </c>
      <c r="FB135" s="1270">
        <f t="shared" si="206"/>
        <v>50617</v>
      </c>
      <c r="FC135" s="1270">
        <f t="shared" si="206"/>
        <v>50648</v>
      </c>
      <c r="FD135" s="1270">
        <f t="shared" si="206"/>
        <v>50678</v>
      </c>
      <c r="FE135" s="1270">
        <f t="shared" si="206"/>
        <v>50709</v>
      </c>
      <c r="FF135" s="1270">
        <f t="shared" si="206"/>
        <v>50739</v>
      </c>
      <c r="FG135" s="1270">
        <f t="shared" si="206"/>
        <v>50770</v>
      </c>
      <c r="FH135" s="1270">
        <f t="shared" si="206"/>
        <v>50801</v>
      </c>
      <c r="FI135" s="1270">
        <f t="shared" si="206"/>
        <v>50829</v>
      </c>
      <c r="FJ135" s="1270">
        <f t="shared" si="206"/>
        <v>50860</v>
      </c>
      <c r="FK135" s="1270">
        <f t="shared" si="206"/>
        <v>50890</v>
      </c>
      <c r="FL135" s="1270">
        <f t="shared" si="206"/>
        <v>50921</v>
      </c>
      <c r="FM135" s="1270">
        <f t="shared" si="206"/>
        <v>50951</v>
      </c>
      <c r="FN135" s="1270">
        <f t="shared" si="206"/>
        <v>50982</v>
      </c>
      <c r="FO135" s="1270">
        <f t="shared" si="206"/>
        <v>51013</v>
      </c>
      <c r="FP135" s="1270">
        <f t="shared" si="206"/>
        <v>51043</v>
      </c>
      <c r="FQ135" s="1270">
        <f t="shared" si="206"/>
        <v>51074</v>
      </c>
      <c r="FR135" s="1270">
        <f t="shared" si="206"/>
        <v>51104</v>
      </c>
      <c r="FS135" s="1270">
        <f t="shared" si="206"/>
        <v>51135</v>
      </c>
      <c r="FT135" s="1270">
        <f t="shared" si="206"/>
        <v>51166</v>
      </c>
      <c r="FU135" s="43"/>
      <c r="FV135" s="34"/>
      <c r="FW135" s="34"/>
      <c r="FX135" s="34"/>
      <c r="FY135" s="34"/>
      <c r="FZ135" s="34"/>
    </row>
    <row r="136" spans="1:182" s="89" customFormat="1" ht="13.5" x14ac:dyDescent="0.25">
      <c r="A136" s="34"/>
      <c r="B136" s="382" t="s">
        <v>42</v>
      </c>
      <c r="C136" s="34"/>
      <c r="D136" s="34"/>
      <c r="E136" s="34"/>
      <c r="F136" s="1225">
        <f>SUM(H136:FT136)</f>
        <v>0</v>
      </c>
      <c r="G136" s="34"/>
      <c r="H136" s="1333">
        <f>-IF(OR('Financing Assumptions'!$P$8="No",H$135&lt;='Financing Assumptions'!$P$26,H$135&gt;'Mezz 1 Amortization'!$T$13),0,IF('Mezz 1 Amortization'!$T$4="Monthly",INDEX('Mezz 1 Amortization'!$B$19:$V$379,MATCH(H$135,'Mezz 1 Amortization'!$E$19:$E$379,0),MATCH('Mezz 1 Amortization'!$O$19,'Mezz 1 Amortization'!$B$19:$V$19,0)),IF('Mezz 1 Amortization'!$T$4="Bi-Annual",IF(OR('Mezz 1 Amortization'!$R$4=H$5,'Mezz 1 Amortization'!$S$4=H$5),INDEX('Mezz 1 Amortization'!$B$19:$V$379,MATCH(H$135,'Mezz 1 Amortization'!$E$19:$E$379,0),MATCH('Mezz 1 Amortization'!$O$19,'Mezz 1 Amortization'!$B$19:$V$19,0)),0),0)))</f>
        <v>0</v>
      </c>
      <c r="I136" s="1333">
        <f>-IF(OR('Financing Assumptions'!$P$8="No",I$135&lt;='Financing Assumptions'!$P$26,I$135&gt;'Mezz 1 Amortization'!$T$13),0,IF('Mezz 1 Amortization'!$T$4="Monthly",INDEX('Mezz 1 Amortization'!$B$19:$V$379,MATCH(I$135,'Mezz 1 Amortization'!$E$19:$E$379,0),MATCH('Mezz 1 Amortization'!$O$19,'Mezz 1 Amortization'!$B$19:$V$19,0)),IF('Mezz 1 Amortization'!$T$4="Bi-Annual",IF(OR('Mezz 1 Amortization'!$R$4=I$5,'Mezz 1 Amortization'!$S$4=I$5),INDEX('Mezz 1 Amortization'!$B$19:$V$379,MATCH(I$135,'Mezz 1 Amortization'!$E$19:$E$379,0),MATCH('Mezz 1 Amortization'!$O$19,'Mezz 1 Amortization'!$B$19:$V$19,0)),0),0)))</f>
        <v>0</v>
      </c>
      <c r="J136" s="1333">
        <f>-IF(OR('Financing Assumptions'!$P$8="No",J$135&lt;='Financing Assumptions'!$P$26,J$135&gt;'Mezz 1 Amortization'!$T$13),0,IF('Mezz 1 Amortization'!$T$4="Monthly",INDEX('Mezz 1 Amortization'!$B$19:$V$379,MATCH(J$135,'Mezz 1 Amortization'!$E$19:$E$379,0),MATCH('Mezz 1 Amortization'!$O$19,'Mezz 1 Amortization'!$B$19:$V$19,0)),IF('Mezz 1 Amortization'!$T$4="Bi-Annual",IF(OR('Mezz 1 Amortization'!$R$4=J$5,'Mezz 1 Amortization'!$S$4=J$5),INDEX('Mezz 1 Amortization'!$B$19:$V$379,MATCH(J$135,'Mezz 1 Amortization'!$E$19:$E$379,0),MATCH('Mezz 1 Amortization'!$O$19,'Mezz 1 Amortization'!$B$19:$V$19,0)),0),0)))</f>
        <v>0</v>
      </c>
      <c r="K136" s="1333">
        <f>-IF(OR('Financing Assumptions'!$P$8="No",K$135&lt;='Financing Assumptions'!$P$26,K$135&gt;'Mezz 1 Amortization'!$T$13),0,IF('Mezz 1 Amortization'!$T$4="Monthly",INDEX('Mezz 1 Amortization'!$B$19:$V$379,MATCH(K$135,'Mezz 1 Amortization'!$E$19:$E$379,0),MATCH('Mezz 1 Amortization'!$O$19,'Mezz 1 Amortization'!$B$19:$V$19,0)),IF('Mezz 1 Amortization'!$T$4="Bi-Annual",IF(OR('Mezz 1 Amortization'!$R$4=K$5,'Mezz 1 Amortization'!$S$4=K$5),INDEX('Mezz 1 Amortization'!$B$19:$V$379,MATCH(K$135,'Mezz 1 Amortization'!$E$19:$E$379,0),MATCH('Mezz 1 Amortization'!$O$19,'Mezz 1 Amortization'!$B$19:$V$19,0)),0),0)))</f>
        <v>0</v>
      </c>
      <c r="L136" s="1333">
        <f>-IF(OR('Financing Assumptions'!$P$8="No",L$135&lt;='Financing Assumptions'!$P$26,L$135&gt;'Mezz 1 Amortization'!$T$13),0,IF('Mezz 1 Amortization'!$T$4="Monthly",INDEX('Mezz 1 Amortization'!$B$19:$V$379,MATCH(L$135,'Mezz 1 Amortization'!$E$19:$E$379,0),MATCH('Mezz 1 Amortization'!$O$19,'Mezz 1 Amortization'!$B$19:$V$19,0)),IF('Mezz 1 Amortization'!$T$4="Bi-Annual",IF(OR('Mezz 1 Amortization'!$R$4=L$5,'Mezz 1 Amortization'!$S$4=L$5),INDEX('Mezz 1 Amortization'!$B$19:$V$379,MATCH(L$135,'Mezz 1 Amortization'!$E$19:$E$379,0),MATCH('Mezz 1 Amortization'!$O$19,'Mezz 1 Amortization'!$B$19:$V$19,0)),0),0)))</f>
        <v>0</v>
      </c>
      <c r="M136" s="1333">
        <f>-IF(OR('Financing Assumptions'!$P$8="No",M$135&lt;='Financing Assumptions'!$P$26,M$135&gt;'Mezz 1 Amortization'!$T$13),0,IF('Mezz 1 Amortization'!$T$4="Monthly",INDEX('Mezz 1 Amortization'!$B$19:$V$379,MATCH(M$135,'Mezz 1 Amortization'!$E$19:$E$379,0),MATCH('Mezz 1 Amortization'!$O$19,'Mezz 1 Amortization'!$B$19:$V$19,0)),IF('Mezz 1 Amortization'!$T$4="Bi-Annual",IF(OR('Mezz 1 Amortization'!$R$4=M$5,'Mezz 1 Amortization'!$S$4=M$5),INDEX('Mezz 1 Amortization'!$B$19:$V$379,MATCH(M$135,'Mezz 1 Amortization'!$E$19:$E$379,0),MATCH('Mezz 1 Amortization'!$O$19,'Mezz 1 Amortization'!$B$19:$V$19,0)),0),0)))</f>
        <v>0</v>
      </c>
      <c r="N136" s="1333">
        <f>-IF(OR('Financing Assumptions'!$P$8="No",N$135&lt;='Financing Assumptions'!$P$26,N$135&gt;'Mezz 1 Amortization'!$T$13),0,IF('Mezz 1 Amortization'!$T$4="Monthly",INDEX('Mezz 1 Amortization'!$B$19:$V$379,MATCH(N$135,'Mezz 1 Amortization'!$E$19:$E$379,0),MATCH('Mezz 1 Amortization'!$O$19,'Mezz 1 Amortization'!$B$19:$V$19,0)),IF('Mezz 1 Amortization'!$T$4="Bi-Annual",IF(OR('Mezz 1 Amortization'!$R$4=N$5,'Mezz 1 Amortization'!$S$4=N$5),INDEX('Mezz 1 Amortization'!$B$19:$V$379,MATCH(N$135,'Mezz 1 Amortization'!$E$19:$E$379,0),MATCH('Mezz 1 Amortization'!$O$19,'Mezz 1 Amortization'!$B$19:$V$19,0)),0),0)))</f>
        <v>0</v>
      </c>
      <c r="O136" s="1333">
        <f>-IF(OR('Financing Assumptions'!$P$8="No",O$135&lt;='Financing Assumptions'!$P$26,O$135&gt;'Mezz 1 Amortization'!$T$13),0,IF('Mezz 1 Amortization'!$T$4="Monthly",INDEX('Mezz 1 Amortization'!$B$19:$V$379,MATCH(O$135,'Mezz 1 Amortization'!$E$19:$E$379,0),MATCH('Mezz 1 Amortization'!$O$19,'Mezz 1 Amortization'!$B$19:$V$19,0)),IF('Mezz 1 Amortization'!$T$4="Bi-Annual",IF(OR('Mezz 1 Amortization'!$R$4=O$5,'Mezz 1 Amortization'!$S$4=O$5),INDEX('Mezz 1 Amortization'!$B$19:$V$379,MATCH(O$135,'Mezz 1 Amortization'!$E$19:$E$379,0),MATCH('Mezz 1 Amortization'!$O$19,'Mezz 1 Amortization'!$B$19:$V$19,0)),0),0)))</f>
        <v>0</v>
      </c>
      <c r="P136" s="1333">
        <f>-IF(OR('Financing Assumptions'!$P$8="No",P$135&lt;='Financing Assumptions'!$P$26,P$135&gt;'Mezz 1 Amortization'!$T$13),0,IF('Mezz 1 Amortization'!$T$4="Monthly",INDEX('Mezz 1 Amortization'!$B$19:$V$379,MATCH(P$135,'Mezz 1 Amortization'!$E$19:$E$379,0),MATCH('Mezz 1 Amortization'!$O$19,'Mezz 1 Amortization'!$B$19:$V$19,0)),IF('Mezz 1 Amortization'!$T$4="Bi-Annual",IF(OR('Mezz 1 Amortization'!$R$4=P$5,'Mezz 1 Amortization'!$S$4=P$5),INDEX('Mezz 1 Amortization'!$B$19:$V$379,MATCH(P$135,'Mezz 1 Amortization'!$E$19:$E$379,0),MATCH('Mezz 1 Amortization'!$O$19,'Mezz 1 Amortization'!$B$19:$V$19,0)),0),0)))</f>
        <v>0</v>
      </c>
      <c r="Q136" s="1333">
        <f>-IF(OR('Financing Assumptions'!$P$8="No",Q$135&lt;='Financing Assumptions'!$P$26,Q$135&gt;'Mezz 1 Amortization'!$T$13),0,IF('Mezz 1 Amortization'!$T$4="Monthly",INDEX('Mezz 1 Amortization'!$B$19:$V$379,MATCH(Q$135,'Mezz 1 Amortization'!$E$19:$E$379,0),MATCH('Mezz 1 Amortization'!$O$19,'Mezz 1 Amortization'!$B$19:$V$19,0)),IF('Mezz 1 Amortization'!$T$4="Bi-Annual",IF(OR('Mezz 1 Amortization'!$R$4=Q$5,'Mezz 1 Amortization'!$S$4=Q$5),INDEX('Mezz 1 Amortization'!$B$19:$V$379,MATCH(Q$135,'Mezz 1 Amortization'!$E$19:$E$379,0),MATCH('Mezz 1 Amortization'!$O$19,'Mezz 1 Amortization'!$B$19:$V$19,0)),0),0)))</f>
        <v>0</v>
      </c>
      <c r="R136" s="1333">
        <f>-IF(OR('Financing Assumptions'!$P$8="No",R$135&lt;='Financing Assumptions'!$P$26,R$135&gt;'Mezz 1 Amortization'!$T$13),0,IF('Mezz 1 Amortization'!$T$4="Monthly",INDEX('Mezz 1 Amortization'!$B$19:$V$379,MATCH(R$135,'Mezz 1 Amortization'!$E$19:$E$379,0),MATCH('Mezz 1 Amortization'!$O$19,'Mezz 1 Amortization'!$B$19:$V$19,0)),IF('Mezz 1 Amortization'!$T$4="Bi-Annual",IF(OR('Mezz 1 Amortization'!$R$4=R$5,'Mezz 1 Amortization'!$S$4=R$5),INDEX('Mezz 1 Amortization'!$B$19:$V$379,MATCH(R$135,'Mezz 1 Amortization'!$E$19:$E$379,0),MATCH('Mezz 1 Amortization'!$O$19,'Mezz 1 Amortization'!$B$19:$V$19,0)),0),0)))</f>
        <v>0</v>
      </c>
      <c r="S136" s="1333">
        <f>-IF(OR('Financing Assumptions'!$P$8="No",S$135&lt;='Financing Assumptions'!$P$26,S$135&gt;'Mezz 1 Amortization'!$T$13),0,IF('Mezz 1 Amortization'!$T$4="Monthly",INDEX('Mezz 1 Amortization'!$B$19:$V$379,MATCH(S$135,'Mezz 1 Amortization'!$E$19:$E$379,0),MATCH('Mezz 1 Amortization'!$O$19,'Mezz 1 Amortization'!$B$19:$V$19,0)),IF('Mezz 1 Amortization'!$T$4="Bi-Annual",IF(OR('Mezz 1 Amortization'!$R$4=S$5,'Mezz 1 Amortization'!$S$4=S$5),INDEX('Mezz 1 Amortization'!$B$19:$V$379,MATCH(S$135,'Mezz 1 Amortization'!$E$19:$E$379,0),MATCH('Mezz 1 Amortization'!$O$19,'Mezz 1 Amortization'!$B$19:$V$19,0)),0),0)))</f>
        <v>0</v>
      </c>
      <c r="T136" s="1333">
        <f>-IF(OR('Financing Assumptions'!$P$8="No",T$135&lt;='Financing Assumptions'!$P$26,T$135&gt;'Mezz 1 Amortization'!$T$13),0,IF('Mezz 1 Amortization'!$T$4="Monthly",INDEX('Mezz 1 Amortization'!$B$19:$V$379,MATCH(T$135,'Mezz 1 Amortization'!$E$19:$E$379,0),MATCH('Mezz 1 Amortization'!$O$19,'Mezz 1 Amortization'!$B$19:$V$19,0)),IF('Mezz 1 Amortization'!$T$4="Bi-Annual",IF(OR('Mezz 1 Amortization'!$R$4=T$5,'Mezz 1 Amortization'!$S$4=T$5),INDEX('Mezz 1 Amortization'!$B$19:$V$379,MATCH(T$135,'Mezz 1 Amortization'!$E$19:$E$379,0),MATCH('Mezz 1 Amortization'!$O$19,'Mezz 1 Amortization'!$B$19:$V$19,0)),0),0)))</f>
        <v>0</v>
      </c>
      <c r="U136" s="1333">
        <f>-IF(OR('Financing Assumptions'!$P$8="No",U$135&lt;='Financing Assumptions'!$P$26,U$135&gt;'Mezz 1 Amortization'!$T$13),0,IF('Mezz 1 Amortization'!$T$4="Monthly",INDEX('Mezz 1 Amortization'!$B$19:$V$379,MATCH(U$135,'Mezz 1 Amortization'!$E$19:$E$379,0),MATCH('Mezz 1 Amortization'!$O$19,'Mezz 1 Amortization'!$B$19:$V$19,0)),IF('Mezz 1 Amortization'!$T$4="Bi-Annual",IF(OR('Mezz 1 Amortization'!$R$4=U$5,'Mezz 1 Amortization'!$S$4=U$5),INDEX('Mezz 1 Amortization'!$B$19:$V$379,MATCH(U$135,'Mezz 1 Amortization'!$E$19:$E$379,0),MATCH('Mezz 1 Amortization'!$O$19,'Mezz 1 Amortization'!$B$19:$V$19,0)),0),0)))</f>
        <v>0</v>
      </c>
      <c r="V136" s="1333">
        <f>-IF(OR('Financing Assumptions'!$P$8="No",V$135&lt;='Financing Assumptions'!$P$26,V$135&gt;'Mezz 1 Amortization'!$T$13),0,IF('Mezz 1 Amortization'!$T$4="Monthly",INDEX('Mezz 1 Amortization'!$B$19:$V$379,MATCH(V$135,'Mezz 1 Amortization'!$E$19:$E$379,0),MATCH('Mezz 1 Amortization'!$O$19,'Mezz 1 Amortization'!$B$19:$V$19,0)),IF('Mezz 1 Amortization'!$T$4="Bi-Annual",IF(OR('Mezz 1 Amortization'!$R$4=V$5,'Mezz 1 Amortization'!$S$4=V$5),INDEX('Mezz 1 Amortization'!$B$19:$V$379,MATCH(V$135,'Mezz 1 Amortization'!$E$19:$E$379,0),MATCH('Mezz 1 Amortization'!$O$19,'Mezz 1 Amortization'!$B$19:$V$19,0)),0),0)))</f>
        <v>0</v>
      </c>
      <c r="W136" s="1333">
        <f>-IF(OR('Financing Assumptions'!$P$8="No",W$135&lt;='Financing Assumptions'!$P$26,W$135&gt;'Mezz 1 Amortization'!$T$13),0,IF('Mezz 1 Amortization'!$T$4="Monthly",INDEX('Mezz 1 Amortization'!$B$19:$V$379,MATCH(W$135,'Mezz 1 Amortization'!$E$19:$E$379,0),MATCH('Mezz 1 Amortization'!$O$19,'Mezz 1 Amortization'!$B$19:$V$19,0)),IF('Mezz 1 Amortization'!$T$4="Bi-Annual",IF(OR('Mezz 1 Amortization'!$R$4=W$5,'Mezz 1 Amortization'!$S$4=W$5),INDEX('Mezz 1 Amortization'!$B$19:$V$379,MATCH(W$135,'Mezz 1 Amortization'!$E$19:$E$379,0),MATCH('Mezz 1 Amortization'!$O$19,'Mezz 1 Amortization'!$B$19:$V$19,0)),0),0)))</f>
        <v>0</v>
      </c>
      <c r="X136" s="1333">
        <f>-IF(OR('Financing Assumptions'!$P$8="No",X$135&lt;='Financing Assumptions'!$P$26,X$135&gt;'Mezz 1 Amortization'!$T$13),0,IF('Mezz 1 Amortization'!$T$4="Monthly",INDEX('Mezz 1 Amortization'!$B$19:$V$379,MATCH(X$135,'Mezz 1 Amortization'!$E$19:$E$379,0),MATCH('Mezz 1 Amortization'!$O$19,'Mezz 1 Amortization'!$B$19:$V$19,0)),IF('Mezz 1 Amortization'!$T$4="Bi-Annual",IF(OR('Mezz 1 Amortization'!$R$4=X$5,'Mezz 1 Amortization'!$S$4=X$5),INDEX('Mezz 1 Amortization'!$B$19:$V$379,MATCH(X$135,'Mezz 1 Amortization'!$E$19:$E$379,0),MATCH('Mezz 1 Amortization'!$O$19,'Mezz 1 Amortization'!$B$19:$V$19,0)),0),0)))</f>
        <v>0</v>
      </c>
      <c r="Y136" s="1333">
        <f>-IF(OR('Financing Assumptions'!$P$8="No",Y$135&lt;='Financing Assumptions'!$P$26,Y$135&gt;'Mezz 1 Amortization'!$T$13),0,IF('Mezz 1 Amortization'!$T$4="Monthly",INDEX('Mezz 1 Amortization'!$B$19:$V$379,MATCH(Y$135,'Mezz 1 Amortization'!$E$19:$E$379,0),MATCH('Mezz 1 Amortization'!$O$19,'Mezz 1 Amortization'!$B$19:$V$19,0)),IF('Mezz 1 Amortization'!$T$4="Bi-Annual",IF(OR('Mezz 1 Amortization'!$R$4=Y$5,'Mezz 1 Amortization'!$S$4=Y$5),INDEX('Mezz 1 Amortization'!$B$19:$V$379,MATCH(Y$135,'Mezz 1 Amortization'!$E$19:$E$379,0),MATCH('Mezz 1 Amortization'!$O$19,'Mezz 1 Amortization'!$B$19:$V$19,0)),0),0)))</f>
        <v>0</v>
      </c>
      <c r="Z136" s="1333">
        <f>-IF(OR('Financing Assumptions'!$P$8="No",Z$135&lt;='Financing Assumptions'!$P$26,Z$135&gt;'Mezz 1 Amortization'!$T$13),0,IF('Mezz 1 Amortization'!$T$4="Monthly",INDEX('Mezz 1 Amortization'!$B$19:$V$379,MATCH(Z$135,'Mezz 1 Amortization'!$E$19:$E$379,0),MATCH('Mezz 1 Amortization'!$O$19,'Mezz 1 Amortization'!$B$19:$V$19,0)),IF('Mezz 1 Amortization'!$T$4="Bi-Annual",IF(OR('Mezz 1 Amortization'!$R$4=Z$5,'Mezz 1 Amortization'!$S$4=Z$5),INDEX('Mezz 1 Amortization'!$B$19:$V$379,MATCH(Z$135,'Mezz 1 Amortization'!$E$19:$E$379,0),MATCH('Mezz 1 Amortization'!$O$19,'Mezz 1 Amortization'!$B$19:$V$19,0)),0),0)))</f>
        <v>0</v>
      </c>
      <c r="AA136" s="1333">
        <f>-IF(OR('Financing Assumptions'!$P$8="No",AA$135&lt;='Financing Assumptions'!$P$26,AA$135&gt;'Mezz 1 Amortization'!$T$13),0,IF('Mezz 1 Amortization'!$T$4="Monthly",INDEX('Mezz 1 Amortization'!$B$19:$V$379,MATCH(AA$135,'Mezz 1 Amortization'!$E$19:$E$379,0),MATCH('Mezz 1 Amortization'!$O$19,'Mezz 1 Amortization'!$B$19:$V$19,0)),IF('Mezz 1 Amortization'!$T$4="Bi-Annual",IF(OR('Mezz 1 Amortization'!$R$4=AA$5,'Mezz 1 Amortization'!$S$4=AA$5),INDEX('Mezz 1 Amortization'!$B$19:$V$379,MATCH(AA$135,'Mezz 1 Amortization'!$E$19:$E$379,0),MATCH('Mezz 1 Amortization'!$O$19,'Mezz 1 Amortization'!$B$19:$V$19,0)),0),0)))</f>
        <v>0</v>
      </c>
      <c r="AB136" s="1333">
        <f>-IF(OR('Financing Assumptions'!$P$8="No",AB$135&lt;='Financing Assumptions'!$P$26,AB$135&gt;'Mezz 1 Amortization'!$T$13),0,IF('Mezz 1 Amortization'!$T$4="Monthly",INDEX('Mezz 1 Amortization'!$B$19:$V$379,MATCH(AB$135,'Mezz 1 Amortization'!$E$19:$E$379,0),MATCH('Mezz 1 Amortization'!$O$19,'Mezz 1 Amortization'!$B$19:$V$19,0)),IF('Mezz 1 Amortization'!$T$4="Bi-Annual",IF(OR('Mezz 1 Amortization'!$R$4=AB$5,'Mezz 1 Amortization'!$S$4=AB$5),INDEX('Mezz 1 Amortization'!$B$19:$V$379,MATCH(AB$135,'Mezz 1 Amortization'!$E$19:$E$379,0),MATCH('Mezz 1 Amortization'!$O$19,'Mezz 1 Amortization'!$B$19:$V$19,0)),0),0)))</f>
        <v>0</v>
      </c>
      <c r="AC136" s="1333">
        <f>-IF(OR('Financing Assumptions'!$P$8="No",AC$135&lt;='Financing Assumptions'!$P$26,AC$135&gt;'Mezz 1 Amortization'!$T$13),0,IF('Mezz 1 Amortization'!$T$4="Monthly",INDEX('Mezz 1 Amortization'!$B$19:$V$379,MATCH(AC$135,'Mezz 1 Amortization'!$E$19:$E$379,0),MATCH('Mezz 1 Amortization'!$O$19,'Mezz 1 Amortization'!$B$19:$V$19,0)),IF('Mezz 1 Amortization'!$T$4="Bi-Annual",IF(OR('Mezz 1 Amortization'!$R$4=AC$5,'Mezz 1 Amortization'!$S$4=AC$5),INDEX('Mezz 1 Amortization'!$B$19:$V$379,MATCH(AC$135,'Mezz 1 Amortization'!$E$19:$E$379,0),MATCH('Mezz 1 Amortization'!$O$19,'Mezz 1 Amortization'!$B$19:$V$19,0)),0),0)))</f>
        <v>0</v>
      </c>
      <c r="AD136" s="1333">
        <f>-IF(OR('Financing Assumptions'!$P$8="No",AD$135&lt;='Financing Assumptions'!$P$26,AD$135&gt;'Mezz 1 Amortization'!$T$13),0,IF('Mezz 1 Amortization'!$T$4="Monthly",INDEX('Mezz 1 Amortization'!$B$19:$V$379,MATCH(AD$135,'Mezz 1 Amortization'!$E$19:$E$379,0),MATCH('Mezz 1 Amortization'!$O$19,'Mezz 1 Amortization'!$B$19:$V$19,0)),IF('Mezz 1 Amortization'!$T$4="Bi-Annual",IF(OR('Mezz 1 Amortization'!$R$4=AD$5,'Mezz 1 Amortization'!$S$4=AD$5),INDEX('Mezz 1 Amortization'!$B$19:$V$379,MATCH(AD$135,'Mezz 1 Amortization'!$E$19:$E$379,0),MATCH('Mezz 1 Amortization'!$O$19,'Mezz 1 Amortization'!$B$19:$V$19,0)),0),0)))</f>
        <v>0</v>
      </c>
      <c r="AE136" s="1333">
        <f>-IF(OR('Financing Assumptions'!$P$8="No",AE$135&lt;='Financing Assumptions'!$P$26,AE$135&gt;'Mezz 1 Amortization'!$T$13),0,IF('Mezz 1 Amortization'!$T$4="Monthly",INDEX('Mezz 1 Amortization'!$B$19:$V$379,MATCH(AE$135,'Mezz 1 Amortization'!$E$19:$E$379,0),MATCH('Mezz 1 Amortization'!$O$19,'Mezz 1 Amortization'!$B$19:$V$19,0)),IF('Mezz 1 Amortization'!$T$4="Bi-Annual",IF(OR('Mezz 1 Amortization'!$R$4=AE$5,'Mezz 1 Amortization'!$S$4=AE$5),INDEX('Mezz 1 Amortization'!$B$19:$V$379,MATCH(AE$135,'Mezz 1 Amortization'!$E$19:$E$379,0),MATCH('Mezz 1 Amortization'!$O$19,'Mezz 1 Amortization'!$B$19:$V$19,0)),0),0)))</f>
        <v>0</v>
      </c>
      <c r="AF136" s="1333">
        <f>-IF(OR('Financing Assumptions'!$P$8="No",AF$135&lt;='Financing Assumptions'!$P$26,AF$135&gt;'Mezz 1 Amortization'!$T$13),0,IF('Mezz 1 Amortization'!$T$4="Monthly",INDEX('Mezz 1 Amortization'!$B$19:$V$379,MATCH(AF$135,'Mezz 1 Amortization'!$E$19:$E$379,0),MATCH('Mezz 1 Amortization'!$O$19,'Mezz 1 Amortization'!$B$19:$V$19,0)),IF('Mezz 1 Amortization'!$T$4="Bi-Annual",IF(OR('Mezz 1 Amortization'!$R$4=AF$5,'Mezz 1 Amortization'!$S$4=AF$5),INDEX('Mezz 1 Amortization'!$B$19:$V$379,MATCH(AF$135,'Mezz 1 Amortization'!$E$19:$E$379,0),MATCH('Mezz 1 Amortization'!$O$19,'Mezz 1 Amortization'!$B$19:$V$19,0)),0),0)))</f>
        <v>0</v>
      </c>
      <c r="AG136" s="1333">
        <f>-IF(OR('Financing Assumptions'!$P$8="No",AG$135&lt;='Financing Assumptions'!$P$26,AG$135&gt;'Mezz 1 Amortization'!$T$13),0,IF('Mezz 1 Amortization'!$T$4="Monthly",INDEX('Mezz 1 Amortization'!$B$19:$V$379,MATCH(AG$135,'Mezz 1 Amortization'!$E$19:$E$379,0),MATCH('Mezz 1 Amortization'!$O$19,'Mezz 1 Amortization'!$B$19:$V$19,0)),IF('Mezz 1 Amortization'!$T$4="Bi-Annual",IF(OR('Mezz 1 Amortization'!$R$4=AG$5,'Mezz 1 Amortization'!$S$4=AG$5),INDEX('Mezz 1 Amortization'!$B$19:$V$379,MATCH(AG$135,'Mezz 1 Amortization'!$E$19:$E$379,0),MATCH('Mezz 1 Amortization'!$O$19,'Mezz 1 Amortization'!$B$19:$V$19,0)),0),0)))</f>
        <v>0</v>
      </c>
      <c r="AH136" s="1333">
        <f>-IF(OR('Financing Assumptions'!$P$8="No",AH$135&lt;='Financing Assumptions'!$P$26,AH$135&gt;'Mezz 1 Amortization'!$T$13),0,IF('Mezz 1 Amortization'!$T$4="Monthly",INDEX('Mezz 1 Amortization'!$B$19:$V$379,MATCH(AH$135,'Mezz 1 Amortization'!$E$19:$E$379,0),MATCH('Mezz 1 Amortization'!$O$19,'Mezz 1 Amortization'!$B$19:$V$19,0)),IF('Mezz 1 Amortization'!$T$4="Bi-Annual",IF(OR('Mezz 1 Amortization'!$R$4=AH$5,'Mezz 1 Amortization'!$S$4=AH$5),INDEX('Mezz 1 Amortization'!$B$19:$V$379,MATCH(AH$135,'Mezz 1 Amortization'!$E$19:$E$379,0),MATCH('Mezz 1 Amortization'!$O$19,'Mezz 1 Amortization'!$B$19:$V$19,0)),0),0)))</f>
        <v>0</v>
      </c>
      <c r="AI136" s="1333">
        <f>-IF(OR('Financing Assumptions'!$P$8="No",AI$135&lt;='Financing Assumptions'!$P$26,AI$135&gt;'Mezz 1 Amortization'!$T$13),0,IF('Mezz 1 Amortization'!$T$4="Monthly",INDEX('Mezz 1 Amortization'!$B$19:$V$379,MATCH(AI$135,'Mezz 1 Amortization'!$E$19:$E$379,0),MATCH('Mezz 1 Amortization'!$O$19,'Mezz 1 Amortization'!$B$19:$V$19,0)),IF('Mezz 1 Amortization'!$T$4="Bi-Annual",IF(OR('Mezz 1 Amortization'!$R$4=AI$5,'Mezz 1 Amortization'!$S$4=AI$5),INDEX('Mezz 1 Amortization'!$B$19:$V$379,MATCH(AI$135,'Mezz 1 Amortization'!$E$19:$E$379,0),MATCH('Mezz 1 Amortization'!$O$19,'Mezz 1 Amortization'!$B$19:$V$19,0)),0),0)))</f>
        <v>0</v>
      </c>
      <c r="AJ136" s="1333">
        <f>-IF(OR('Financing Assumptions'!$P$8="No",AJ$135&lt;='Financing Assumptions'!$P$26,AJ$135&gt;'Mezz 1 Amortization'!$T$13),0,IF('Mezz 1 Amortization'!$T$4="Monthly",INDEX('Mezz 1 Amortization'!$B$19:$V$379,MATCH(AJ$135,'Mezz 1 Amortization'!$E$19:$E$379,0),MATCH('Mezz 1 Amortization'!$O$19,'Mezz 1 Amortization'!$B$19:$V$19,0)),IF('Mezz 1 Amortization'!$T$4="Bi-Annual",IF(OR('Mezz 1 Amortization'!$R$4=AJ$5,'Mezz 1 Amortization'!$S$4=AJ$5),INDEX('Mezz 1 Amortization'!$B$19:$V$379,MATCH(AJ$135,'Mezz 1 Amortization'!$E$19:$E$379,0),MATCH('Mezz 1 Amortization'!$O$19,'Mezz 1 Amortization'!$B$19:$V$19,0)),0),0)))</f>
        <v>0</v>
      </c>
      <c r="AK136" s="1333">
        <f>-IF(OR('Financing Assumptions'!$P$8="No",AK$135&lt;='Financing Assumptions'!$P$26,AK$135&gt;'Mezz 1 Amortization'!$T$13),0,IF('Mezz 1 Amortization'!$T$4="Monthly",INDEX('Mezz 1 Amortization'!$B$19:$V$379,MATCH(AK$135,'Mezz 1 Amortization'!$E$19:$E$379,0),MATCH('Mezz 1 Amortization'!$O$19,'Mezz 1 Amortization'!$B$19:$V$19,0)),IF('Mezz 1 Amortization'!$T$4="Bi-Annual",IF(OR('Mezz 1 Amortization'!$R$4=AK$5,'Mezz 1 Amortization'!$S$4=AK$5),INDEX('Mezz 1 Amortization'!$B$19:$V$379,MATCH(AK$135,'Mezz 1 Amortization'!$E$19:$E$379,0),MATCH('Mezz 1 Amortization'!$O$19,'Mezz 1 Amortization'!$B$19:$V$19,0)),0),0)))</f>
        <v>0</v>
      </c>
      <c r="AL136" s="1333">
        <f>-IF(OR('Financing Assumptions'!$P$8="No",AL$135&lt;='Financing Assumptions'!$P$26,AL$135&gt;'Mezz 1 Amortization'!$T$13),0,IF('Mezz 1 Amortization'!$T$4="Monthly",INDEX('Mezz 1 Amortization'!$B$19:$V$379,MATCH(AL$135,'Mezz 1 Amortization'!$E$19:$E$379,0),MATCH('Mezz 1 Amortization'!$O$19,'Mezz 1 Amortization'!$B$19:$V$19,0)),IF('Mezz 1 Amortization'!$T$4="Bi-Annual",IF(OR('Mezz 1 Amortization'!$R$4=AL$5,'Mezz 1 Amortization'!$S$4=AL$5),INDEX('Mezz 1 Amortization'!$B$19:$V$379,MATCH(AL$135,'Mezz 1 Amortization'!$E$19:$E$379,0),MATCH('Mezz 1 Amortization'!$O$19,'Mezz 1 Amortization'!$B$19:$V$19,0)),0),0)))</f>
        <v>0</v>
      </c>
      <c r="AM136" s="1333">
        <f>-IF(OR('Financing Assumptions'!$P$8="No",AM$135&lt;='Financing Assumptions'!$P$26,AM$135&gt;'Mezz 1 Amortization'!$T$13),0,IF('Mezz 1 Amortization'!$T$4="Monthly",INDEX('Mezz 1 Amortization'!$B$19:$V$379,MATCH(AM$135,'Mezz 1 Amortization'!$E$19:$E$379,0),MATCH('Mezz 1 Amortization'!$O$19,'Mezz 1 Amortization'!$B$19:$V$19,0)),IF('Mezz 1 Amortization'!$T$4="Bi-Annual",IF(OR('Mezz 1 Amortization'!$R$4=AM$5,'Mezz 1 Amortization'!$S$4=AM$5),INDEX('Mezz 1 Amortization'!$B$19:$V$379,MATCH(AM$135,'Mezz 1 Amortization'!$E$19:$E$379,0),MATCH('Mezz 1 Amortization'!$O$19,'Mezz 1 Amortization'!$B$19:$V$19,0)),0),0)))</f>
        <v>0</v>
      </c>
      <c r="AN136" s="1333">
        <f>-IF(OR('Financing Assumptions'!$P$8="No",AN$135&lt;='Financing Assumptions'!$P$26,AN$135&gt;'Mezz 1 Amortization'!$T$13),0,IF('Mezz 1 Amortization'!$T$4="Monthly",INDEX('Mezz 1 Amortization'!$B$19:$V$379,MATCH(AN$135,'Mezz 1 Amortization'!$E$19:$E$379,0),MATCH('Mezz 1 Amortization'!$O$19,'Mezz 1 Amortization'!$B$19:$V$19,0)),IF('Mezz 1 Amortization'!$T$4="Bi-Annual",IF(OR('Mezz 1 Amortization'!$R$4=AN$5,'Mezz 1 Amortization'!$S$4=AN$5),INDEX('Mezz 1 Amortization'!$B$19:$V$379,MATCH(AN$135,'Mezz 1 Amortization'!$E$19:$E$379,0),MATCH('Mezz 1 Amortization'!$O$19,'Mezz 1 Amortization'!$B$19:$V$19,0)),0),0)))</f>
        <v>0</v>
      </c>
      <c r="AO136" s="1333">
        <f>-IF(OR('Financing Assumptions'!$P$8="No",AO$135&lt;='Financing Assumptions'!$P$26,AO$135&gt;'Mezz 1 Amortization'!$T$13),0,IF('Mezz 1 Amortization'!$T$4="Monthly",INDEX('Mezz 1 Amortization'!$B$19:$V$379,MATCH(AO$135,'Mezz 1 Amortization'!$E$19:$E$379,0),MATCH('Mezz 1 Amortization'!$O$19,'Mezz 1 Amortization'!$B$19:$V$19,0)),IF('Mezz 1 Amortization'!$T$4="Bi-Annual",IF(OR('Mezz 1 Amortization'!$R$4=AO$5,'Mezz 1 Amortization'!$S$4=AO$5),INDEX('Mezz 1 Amortization'!$B$19:$V$379,MATCH(AO$135,'Mezz 1 Amortization'!$E$19:$E$379,0),MATCH('Mezz 1 Amortization'!$O$19,'Mezz 1 Amortization'!$B$19:$V$19,0)),0),0)))</f>
        <v>0</v>
      </c>
      <c r="AP136" s="1333">
        <f>-IF(OR('Financing Assumptions'!$P$8="No",AP$135&lt;='Financing Assumptions'!$P$26,AP$135&gt;'Mezz 1 Amortization'!$T$13),0,IF('Mezz 1 Amortization'!$T$4="Monthly",INDEX('Mezz 1 Amortization'!$B$19:$V$379,MATCH(AP$135,'Mezz 1 Amortization'!$E$19:$E$379,0),MATCH('Mezz 1 Amortization'!$O$19,'Mezz 1 Amortization'!$B$19:$V$19,0)),IF('Mezz 1 Amortization'!$T$4="Bi-Annual",IF(OR('Mezz 1 Amortization'!$R$4=AP$5,'Mezz 1 Amortization'!$S$4=AP$5),INDEX('Mezz 1 Amortization'!$B$19:$V$379,MATCH(AP$135,'Mezz 1 Amortization'!$E$19:$E$379,0),MATCH('Mezz 1 Amortization'!$O$19,'Mezz 1 Amortization'!$B$19:$V$19,0)),0),0)))</f>
        <v>0</v>
      </c>
      <c r="AQ136" s="1333">
        <f>-IF(OR('Financing Assumptions'!$P$8="No",AQ$135&lt;='Financing Assumptions'!$P$26,AQ$135&gt;'Mezz 1 Amortization'!$T$13),0,IF('Mezz 1 Amortization'!$T$4="Monthly",INDEX('Mezz 1 Amortization'!$B$19:$V$379,MATCH(AQ$135,'Mezz 1 Amortization'!$E$19:$E$379,0),MATCH('Mezz 1 Amortization'!$O$19,'Mezz 1 Amortization'!$B$19:$V$19,0)),IF('Mezz 1 Amortization'!$T$4="Bi-Annual",IF(OR('Mezz 1 Amortization'!$R$4=AQ$5,'Mezz 1 Amortization'!$S$4=AQ$5),INDEX('Mezz 1 Amortization'!$B$19:$V$379,MATCH(AQ$135,'Mezz 1 Amortization'!$E$19:$E$379,0),MATCH('Mezz 1 Amortization'!$O$19,'Mezz 1 Amortization'!$B$19:$V$19,0)),0),0)))</f>
        <v>0</v>
      </c>
      <c r="AR136" s="1333">
        <f>-IF(OR('Financing Assumptions'!$P$8="No",AR$135&lt;='Financing Assumptions'!$P$26,AR$135&gt;'Mezz 1 Amortization'!$T$13),0,IF('Mezz 1 Amortization'!$T$4="Monthly",INDEX('Mezz 1 Amortization'!$B$19:$V$379,MATCH(AR$135,'Mezz 1 Amortization'!$E$19:$E$379,0),MATCH('Mezz 1 Amortization'!$O$19,'Mezz 1 Amortization'!$B$19:$V$19,0)),IF('Mezz 1 Amortization'!$T$4="Bi-Annual",IF(OR('Mezz 1 Amortization'!$R$4=AR$5,'Mezz 1 Amortization'!$S$4=AR$5),INDEX('Mezz 1 Amortization'!$B$19:$V$379,MATCH(AR$135,'Mezz 1 Amortization'!$E$19:$E$379,0),MATCH('Mezz 1 Amortization'!$O$19,'Mezz 1 Amortization'!$B$19:$V$19,0)),0),0)))</f>
        <v>0</v>
      </c>
      <c r="AS136" s="1333">
        <f>-IF(OR('Financing Assumptions'!$P$8="No",AS$135&lt;='Financing Assumptions'!$P$26,AS$135&gt;'Mezz 1 Amortization'!$T$13),0,IF('Mezz 1 Amortization'!$T$4="Monthly",INDEX('Mezz 1 Amortization'!$B$19:$V$379,MATCH(AS$135,'Mezz 1 Amortization'!$E$19:$E$379,0),MATCH('Mezz 1 Amortization'!$O$19,'Mezz 1 Amortization'!$B$19:$V$19,0)),IF('Mezz 1 Amortization'!$T$4="Bi-Annual",IF(OR('Mezz 1 Amortization'!$R$4=AS$5,'Mezz 1 Amortization'!$S$4=AS$5),INDEX('Mezz 1 Amortization'!$B$19:$V$379,MATCH(AS$135,'Mezz 1 Amortization'!$E$19:$E$379,0),MATCH('Mezz 1 Amortization'!$O$19,'Mezz 1 Amortization'!$B$19:$V$19,0)),0),0)))</f>
        <v>0</v>
      </c>
      <c r="AT136" s="1333">
        <f>-IF(OR('Financing Assumptions'!$P$8="No",AT$135&lt;='Financing Assumptions'!$P$26,AT$135&gt;'Mezz 1 Amortization'!$T$13),0,IF('Mezz 1 Amortization'!$T$4="Monthly",INDEX('Mezz 1 Amortization'!$B$19:$V$379,MATCH(AT$135,'Mezz 1 Amortization'!$E$19:$E$379,0),MATCH('Mezz 1 Amortization'!$O$19,'Mezz 1 Amortization'!$B$19:$V$19,0)),IF('Mezz 1 Amortization'!$T$4="Bi-Annual",IF(OR('Mezz 1 Amortization'!$R$4=AT$5,'Mezz 1 Amortization'!$S$4=AT$5),INDEX('Mezz 1 Amortization'!$B$19:$V$379,MATCH(AT$135,'Mezz 1 Amortization'!$E$19:$E$379,0),MATCH('Mezz 1 Amortization'!$O$19,'Mezz 1 Amortization'!$B$19:$V$19,0)),0),0)))</f>
        <v>0</v>
      </c>
      <c r="AU136" s="1333">
        <f>-IF(OR('Financing Assumptions'!$P$8="No",AU$135&lt;='Financing Assumptions'!$P$26,AU$135&gt;'Mezz 1 Amortization'!$T$13),0,IF('Mezz 1 Amortization'!$T$4="Monthly",INDEX('Mezz 1 Amortization'!$B$19:$V$379,MATCH(AU$135,'Mezz 1 Amortization'!$E$19:$E$379,0),MATCH('Mezz 1 Amortization'!$O$19,'Mezz 1 Amortization'!$B$19:$V$19,0)),IF('Mezz 1 Amortization'!$T$4="Bi-Annual",IF(OR('Mezz 1 Amortization'!$R$4=AU$5,'Mezz 1 Amortization'!$S$4=AU$5),INDEX('Mezz 1 Amortization'!$B$19:$V$379,MATCH(AU$135,'Mezz 1 Amortization'!$E$19:$E$379,0),MATCH('Mezz 1 Amortization'!$O$19,'Mezz 1 Amortization'!$B$19:$V$19,0)),0),0)))</f>
        <v>0</v>
      </c>
      <c r="AV136" s="1333">
        <f>-IF(OR('Financing Assumptions'!$P$8="No",AV$135&lt;='Financing Assumptions'!$P$26,AV$135&gt;'Mezz 1 Amortization'!$T$13),0,IF('Mezz 1 Amortization'!$T$4="Monthly",INDEX('Mezz 1 Amortization'!$B$19:$V$379,MATCH(AV$135,'Mezz 1 Amortization'!$E$19:$E$379,0),MATCH('Mezz 1 Amortization'!$O$19,'Mezz 1 Amortization'!$B$19:$V$19,0)),IF('Mezz 1 Amortization'!$T$4="Bi-Annual",IF(OR('Mezz 1 Amortization'!$R$4=AV$5,'Mezz 1 Amortization'!$S$4=AV$5),INDEX('Mezz 1 Amortization'!$B$19:$V$379,MATCH(AV$135,'Mezz 1 Amortization'!$E$19:$E$379,0),MATCH('Mezz 1 Amortization'!$O$19,'Mezz 1 Amortization'!$B$19:$V$19,0)),0),0)))</f>
        <v>0</v>
      </c>
      <c r="AW136" s="1333">
        <f>-IF(OR('Financing Assumptions'!$P$8="No",AW$135&lt;='Financing Assumptions'!$P$26,AW$135&gt;'Mezz 1 Amortization'!$T$13),0,IF('Mezz 1 Amortization'!$T$4="Monthly",INDEX('Mezz 1 Amortization'!$B$19:$V$379,MATCH(AW$135,'Mezz 1 Amortization'!$E$19:$E$379,0),MATCH('Mezz 1 Amortization'!$O$19,'Mezz 1 Amortization'!$B$19:$V$19,0)),IF('Mezz 1 Amortization'!$T$4="Bi-Annual",IF(OR('Mezz 1 Amortization'!$R$4=AW$5,'Mezz 1 Amortization'!$S$4=AW$5),INDEX('Mezz 1 Amortization'!$B$19:$V$379,MATCH(AW$135,'Mezz 1 Amortization'!$E$19:$E$379,0),MATCH('Mezz 1 Amortization'!$O$19,'Mezz 1 Amortization'!$B$19:$V$19,0)),0),0)))</f>
        <v>0</v>
      </c>
      <c r="AX136" s="1333">
        <f>-IF(OR('Financing Assumptions'!$P$8="No",AX$135&lt;='Financing Assumptions'!$P$26,AX$135&gt;'Mezz 1 Amortization'!$T$13),0,IF('Mezz 1 Amortization'!$T$4="Monthly",INDEX('Mezz 1 Amortization'!$B$19:$V$379,MATCH(AX$135,'Mezz 1 Amortization'!$E$19:$E$379,0),MATCH('Mezz 1 Amortization'!$O$19,'Mezz 1 Amortization'!$B$19:$V$19,0)),IF('Mezz 1 Amortization'!$T$4="Bi-Annual",IF(OR('Mezz 1 Amortization'!$R$4=AX$5,'Mezz 1 Amortization'!$S$4=AX$5),INDEX('Mezz 1 Amortization'!$B$19:$V$379,MATCH(AX$135,'Mezz 1 Amortization'!$E$19:$E$379,0),MATCH('Mezz 1 Amortization'!$O$19,'Mezz 1 Amortization'!$B$19:$V$19,0)),0),0)))</f>
        <v>0</v>
      </c>
      <c r="AY136" s="1333">
        <f>-IF(OR('Financing Assumptions'!$P$8="No",AY$135&lt;='Financing Assumptions'!$P$26,AY$135&gt;'Mezz 1 Amortization'!$T$13),0,IF('Mezz 1 Amortization'!$T$4="Monthly",INDEX('Mezz 1 Amortization'!$B$19:$V$379,MATCH(AY$135,'Mezz 1 Amortization'!$E$19:$E$379,0),MATCH('Mezz 1 Amortization'!$O$19,'Mezz 1 Amortization'!$B$19:$V$19,0)),IF('Mezz 1 Amortization'!$T$4="Bi-Annual",IF(OR('Mezz 1 Amortization'!$R$4=AY$5,'Mezz 1 Amortization'!$S$4=AY$5),INDEX('Mezz 1 Amortization'!$B$19:$V$379,MATCH(AY$135,'Mezz 1 Amortization'!$E$19:$E$379,0),MATCH('Mezz 1 Amortization'!$O$19,'Mezz 1 Amortization'!$B$19:$V$19,0)),0),0)))</f>
        <v>0</v>
      </c>
      <c r="AZ136" s="1333">
        <f>-IF(OR('Financing Assumptions'!$P$8="No",AZ$135&lt;='Financing Assumptions'!$P$26,AZ$135&gt;'Mezz 1 Amortization'!$T$13),0,IF('Mezz 1 Amortization'!$T$4="Monthly",INDEX('Mezz 1 Amortization'!$B$19:$V$379,MATCH(AZ$135,'Mezz 1 Amortization'!$E$19:$E$379,0),MATCH('Mezz 1 Amortization'!$O$19,'Mezz 1 Amortization'!$B$19:$V$19,0)),IF('Mezz 1 Amortization'!$T$4="Bi-Annual",IF(OR('Mezz 1 Amortization'!$R$4=AZ$5,'Mezz 1 Amortization'!$S$4=AZ$5),INDEX('Mezz 1 Amortization'!$B$19:$V$379,MATCH(AZ$135,'Mezz 1 Amortization'!$E$19:$E$379,0),MATCH('Mezz 1 Amortization'!$O$19,'Mezz 1 Amortization'!$B$19:$V$19,0)),0),0)))</f>
        <v>0</v>
      </c>
      <c r="BA136" s="1333">
        <f>-IF(OR('Financing Assumptions'!$P$8="No",BA$135&lt;='Financing Assumptions'!$P$26,BA$135&gt;'Mezz 1 Amortization'!$T$13),0,IF('Mezz 1 Amortization'!$T$4="Monthly",INDEX('Mezz 1 Amortization'!$B$19:$V$379,MATCH(BA$135,'Mezz 1 Amortization'!$E$19:$E$379,0),MATCH('Mezz 1 Amortization'!$O$19,'Mezz 1 Amortization'!$B$19:$V$19,0)),IF('Mezz 1 Amortization'!$T$4="Bi-Annual",IF(OR('Mezz 1 Amortization'!$R$4=BA$5,'Mezz 1 Amortization'!$S$4=BA$5),INDEX('Mezz 1 Amortization'!$B$19:$V$379,MATCH(BA$135,'Mezz 1 Amortization'!$E$19:$E$379,0),MATCH('Mezz 1 Amortization'!$O$19,'Mezz 1 Amortization'!$B$19:$V$19,0)),0),0)))</f>
        <v>0</v>
      </c>
      <c r="BB136" s="1333">
        <f>-IF(OR('Financing Assumptions'!$P$8="No",BB$135&lt;='Financing Assumptions'!$P$26,BB$135&gt;'Mezz 1 Amortization'!$T$13),0,IF('Mezz 1 Amortization'!$T$4="Monthly",INDEX('Mezz 1 Amortization'!$B$19:$V$379,MATCH(BB$135,'Mezz 1 Amortization'!$E$19:$E$379,0),MATCH('Mezz 1 Amortization'!$O$19,'Mezz 1 Amortization'!$B$19:$V$19,0)),IF('Mezz 1 Amortization'!$T$4="Bi-Annual",IF(OR('Mezz 1 Amortization'!$R$4=BB$5,'Mezz 1 Amortization'!$S$4=BB$5),INDEX('Mezz 1 Amortization'!$B$19:$V$379,MATCH(BB$135,'Mezz 1 Amortization'!$E$19:$E$379,0),MATCH('Mezz 1 Amortization'!$O$19,'Mezz 1 Amortization'!$B$19:$V$19,0)),0),0)))</f>
        <v>0</v>
      </c>
      <c r="BC136" s="1333">
        <f>-IF(OR('Financing Assumptions'!$P$8="No",BC$135&lt;='Financing Assumptions'!$P$26,BC$135&gt;'Mezz 1 Amortization'!$T$13),0,IF('Mezz 1 Amortization'!$T$4="Monthly",INDEX('Mezz 1 Amortization'!$B$19:$V$379,MATCH(BC$135,'Mezz 1 Amortization'!$E$19:$E$379,0),MATCH('Mezz 1 Amortization'!$O$19,'Mezz 1 Amortization'!$B$19:$V$19,0)),IF('Mezz 1 Amortization'!$T$4="Bi-Annual",IF(OR('Mezz 1 Amortization'!$R$4=BC$5,'Mezz 1 Amortization'!$S$4=BC$5),INDEX('Mezz 1 Amortization'!$B$19:$V$379,MATCH(BC$135,'Mezz 1 Amortization'!$E$19:$E$379,0),MATCH('Mezz 1 Amortization'!$O$19,'Mezz 1 Amortization'!$B$19:$V$19,0)),0),0)))</f>
        <v>0</v>
      </c>
      <c r="BD136" s="1333">
        <f>-IF(OR('Financing Assumptions'!$P$8="No",BD$135&lt;='Financing Assumptions'!$P$26,BD$135&gt;'Mezz 1 Amortization'!$T$13),0,IF('Mezz 1 Amortization'!$T$4="Monthly",INDEX('Mezz 1 Amortization'!$B$19:$V$379,MATCH(BD$135,'Mezz 1 Amortization'!$E$19:$E$379,0),MATCH('Mezz 1 Amortization'!$O$19,'Mezz 1 Amortization'!$B$19:$V$19,0)),IF('Mezz 1 Amortization'!$T$4="Bi-Annual",IF(OR('Mezz 1 Amortization'!$R$4=BD$5,'Mezz 1 Amortization'!$S$4=BD$5),INDEX('Mezz 1 Amortization'!$B$19:$V$379,MATCH(BD$135,'Mezz 1 Amortization'!$E$19:$E$379,0),MATCH('Mezz 1 Amortization'!$O$19,'Mezz 1 Amortization'!$B$19:$V$19,0)),0),0)))</f>
        <v>0</v>
      </c>
      <c r="BE136" s="1333">
        <f>-IF(OR('Financing Assumptions'!$P$8="No",BE$135&lt;='Financing Assumptions'!$P$26,BE$135&gt;'Mezz 1 Amortization'!$T$13),0,IF('Mezz 1 Amortization'!$T$4="Monthly",INDEX('Mezz 1 Amortization'!$B$19:$V$379,MATCH(BE$135,'Mezz 1 Amortization'!$E$19:$E$379,0),MATCH('Mezz 1 Amortization'!$O$19,'Mezz 1 Amortization'!$B$19:$V$19,0)),IF('Mezz 1 Amortization'!$T$4="Bi-Annual",IF(OR('Mezz 1 Amortization'!$R$4=BE$5,'Mezz 1 Amortization'!$S$4=BE$5),INDEX('Mezz 1 Amortization'!$B$19:$V$379,MATCH(BE$135,'Mezz 1 Amortization'!$E$19:$E$379,0),MATCH('Mezz 1 Amortization'!$O$19,'Mezz 1 Amortization'!$B$19:$V$19,0)),0),0)))</f>
        <v>0</v>
      </c>
      <c r="BF136" s="1333">
        <f>-IF(OR('Financing Assumptions'!$P$8="No",BF$135&lt;='Financing Assumptions'!$P$26,BF$135&gt;'Mezz 1 Amortization'!$T$13),0,IF('Mezz 1 Amortization'!$T$4="Monthly",INDEX('Mezz 1 Amortization'!$B$19:$V$379,MATCH(BF$135,'Mezz 1 Amortization'!$E$19:$E$379,0),MATCH('Mezz 1 Amortization'!$O$19,'Mezz 1 Amortization'!$B$19:$V$19,0)),IF('Mezz 1 Amortization'!$T$4="Bi-Annual",IF(OR('Mezz 1 Amortization'!$R$4=BF$5,'Mezz 1 Amortization'!$S$4=BF$5),INDEX('Mezz 1 Amortization'!$B$19:$V$379,MATCH(BF$135,'Mezz 1 Amortization'!$E$19:$E$379,0),MATCH('Mezz 1 Amortization'!$O$19,'Mezz 1 Amortization'!$B$19:$V$19,0)),0),0)))</f>
        <v>0</v>
      </c>
      <c r="BG136" s="1333">
        <f>-IF(OR('Financing Assumptions'!$P$8="No",BG$135&lt;='Financing Assumptions'!$P$26,BG$135&gt;'Mezz 1 Amortization'!$T$13),0,IF('Mezz 1 Amortization'!$T$4="Monthly",INDEX('Mezz 1 Amortization'!$B$19:$V$379,MATCH(BG$135,'Mezz 1 Amortization'!$E$19:$E$379,0),MATCH('Mezz 1 Amortization'!$O$19,'Mezz 1 Amortization'!$B$19:$V$19,0)),IF('Mezz 1 Amortization'!$T$4="Bi-Annual",IF(OR('Mezz 1 Amortization'!$R$4=BG$5,'Mezz 1 Amortization'!$S$4=BG$5),INDEX('Mezz 1 Amortization'!$B$19:$V$379,MATCH(BG$135,'Mezz 1 Amortization'!$E$19:$E$379,0),MATCH('Mezz 1 Amortization'!$O$19,'Mezz 1 Amortization'!$B$19:$V$19,0)),0),0)))</f>
        <v>0</v>
      </c>
      <c r="BH136" s="1333">
        <f>-IF(OR('Financing Assumptions'!$P$8="No",BH$135&lt;='Financing Assumptions'!$P$26,BH$135&gt;'Mezz 1 Amortization'!$T$13),0,IF('Mezz 1 Amortization'!$T$4="Monthly",INDEX('Mezz 1 Amortization'!$B$19:$V$379,MATCH(BH$135,'Mezz 1 Amortization'!$E$19:$E$379,0),MATCH('Mezz 1 Amortization'!$O$19,'Mezz 1 Amortization'!$B$19:$V$19,0)),IF('Mezz 1 Amortization'!$T$4="Bi-Annual",IF(OR('Mezz 1 Amortization'!$R$4=BH$5,'Mezz 1 Amortization'!$S$4=BH$5),INDEX('Mezz 1 Amortization'!$B$19:$V$379,MATCH(BH$135,'Mezz 1 Amortization'!$E$19:$E$379,0),MATCH('Mezz 1 Amortization'!$O$19,'Mezz 1 Amortization'!$B$19:$V$19,0)),0),0)))</f>
        <v>0</v>
      </c>
      <c r="BI136" s="1333">
        <f>-IF(OR('Financing Assumptions'!$P$8="No",BI$135&lt;='Financing Assumptions'!$P$26,BI$135&gt;'Mezz 1 Amortization'!$T$13),0,IF('Mezz 1 Amortization'!$T$4="Monthly",INDEX('Mezz 1 Amortization'!$B$19:$V$379,MATCH(BI$135,'Mezz 1 Amortization'!$E$19:$E$379,0),MATCH('Mezz 1 Amortization'!$O$19,'Mezz 1 Amortization'!$B$19:$V$19,0)),IF('Mezz 1 Amortization'!$T$4="Bi-Annual",IF(OR('Mezz 1 Amortization'!$R$4=BI$5,'Mezz 1 Amortization'!$S$4=BI$5),INDEX('Mezz 1 Amortization'!$B$19:$V$379,MATCH(BI$135,'Mezz 1 Amortization'!$E$19:$E$379,0),MATCH('Mezz 1 Amortization'!$O$19,'Mezz 1 Amortization'!$B$19:$V$19,0)),0),0)))</f>
        <v>0</v>
      </c>
      <c r="BJ136" s="1333">
        <f>-IF(OR('Financing Assumptions'!$P$8="No",BJ$135&lt;='Financing Assumptions'!$P$26,BJ$135&gt;'Mezz 1 Amortization'!$T$13),0,IF('Mezz 1 Amortization'!$T$4="Monthly",INDEX('Mezz 1 Amortization'!$B$19:$V$379,MATCH(BJ$135,'Mezz 1 Amortization'!$E$19:$E$379,0),MATCH('Mezz 1 Amortization'!$O$19,'Mezz 1 Amortization'!$B$19:$V$19,0)),IF('Mezz 1 Amortization'!$T$4="Bi-Annual",IF(OR('Mezz 1 Amortization'!$R$4=BJ$5,'Mezz 1 Amortization'!$S$4=BJ$5),INDEX('Mezz 1 Amortization'!$B$19:$V$379,MATCH(BJ$135,'Mezz 1 Amortization'!$E$19:$E$379,0),MATCH('Mezz 1 Amortization'!$O$19,'Mezz 1 Amortization'!$B$19:$V$19,0)),0),0)))</f>
        <v>0</v>
      </c>
      <c r="BK136" s="1333">
        <f>-IF(OR('Financing Assumptions'!$P$8="No",BK$135&lt;='Financing Assumptions'!$P$26,BK$135&gt;'Mezz 1 Amortization'!$T$13),0,IF('Mezz 1 Amortization'!$T$4="Monthly",INDEX('Mezz 1 Amortization'!$B$19:$V$379,MATCH(BK$135,'Mezz 1 Amortization'!$E$19:$E$379,0),MATCH('Mezz 1 Amortization'!$O$19,'Mezz 1 Amortization'!$B$19:$V$19,0)),IF('Mezz 1 Amortization'!$T$4="Bi-Annual",IF(OR('Mezz 1 Amortization'!$R$4=BK$5,'Mezz 1 Amortization'!$S$4=BK$5),INDEX('Mezz 1 Amortization'!$B$19:$V$379,MATCH(BK$135,'Mezz 1 Amortization'!$E$19:$E$379,0),MATCH('Mezz 1 Amortization'!$O$19,'Mezz 1 Amortization'!$B$19:$V$19,0)),0),0)))</f>
        <v>0</v>
      </c>
      <c r="BL136" s="1333">
        <f>-IF(OR('Financing Assumptions'!$P$8="No",BL$135&lt;='Financing Assumptions'!$P$26,BL$135&gt;'Mezz 1 Amortization'!$T$13),0,IF('Mezz 1 Amortization'!$T$4="Monthly",INDEX('Mezz 1 Amortization'!$B$19:$V$379,MATCH(BL$135,'Mezz 1 Amortization'!$E$19:$E$379,0),MATCH('Mezz 1 Amortization'!$O$19,'Mezz 1 Amortization'!$B$19:$V$19,0)),IF('Mezz 1 Amortization'!$T$4="Bi-Annual",IF(OR('Mezz 1 Amortization'!$R$4=BL$5,'Mezz 1 Amortization'!$S$4=BL$5),INDEX('Mezz 1 Amortization'!$B$19:$V$379,MATCH(BL$135,'Mezz 1 Amortization'!$E$19:$E$379,0),MATCH('Mezz 1 Amortization'!$O$19,'Mezz 1 Amortization'!$B$19:$V$19,0)),0),0)))</f>
        <v>0</v>
      </c>
      <c r="BM136" s="1333">
        <f>-IF(OR('Financing Assumptions'!$P$8="No",BM$135&lt;='Financing Assumptions'!$P$26,BM$135&gt;'Mezz 1 Amortization'!$T$13),0,IF('Mezz 1 Amortization'!$T$4="Monthly",INDEX('Mezz 1 Amortization'!$B$19:$V$379,MATCH(BM$135,'Mezz 1 Amortization'!$E$19:$E$379,0),MATCH('Mezz 1 Amortization'!$O$19,'Mezz 1 Amortization'!$B$19:$V$19,0)),IF('Mezz 1 Amortization'!$T$4="Bi-Annual",IF(OR('Mezz 1 Amortization'!$R$4=BM$5,'Mezz 1 Amortization'!$S$4=BM$5),INDEX('Mezz 1 Amortization'!$B$19:$V$379,MATCH(BM$135,'Mezz 1 Amortization'!$E$19:$E$379,0),MATCH('Mezz 1 Amortization'!$O$19,'Mezz 1 Amortization'!$B$19:$V$19,0)),0),0)))</f>
        <v>0</v>
      </c>
      <c r="BN136" s="1333">
        <f>-IF(OR('Financing Assumptions'!$P$8="No",BN$135&lt;='Financing Assumptions'!$P$26,BN$135&gt;'Mezz 1 Amortization'!$T$13),0,IF('Mezz 1 Amortization'!$T$4="Monthly",INDEX('Mezz 1 Amortization'!$B$19:$V$379,MATCH(BN$135,'Mezz 1 Amortization'!$E$19:$E$379,0),MATCH('Mezz 1 Amortization'!$O$19,'Mezz 1 Amortization'!$B$19:$V$19,0)),IF('Mezz 1 Amortization'!$T$4="Bi-Annual",IF(OR('Mezz 1 Amortization'!$R$4=BN$5,'Mezz 1 Amortization'!$S$4=BN$5),INDEX('Mezz 1 Amortization'!$B$19:$V$379,MATCH(BN$135,'Mezz 1 Amortization'!$E$19:$E$379,0),MATCH('Mezz 1 Amortization'!$O$19,'Mezz 1 Amortization'!$B$19:$V$19,0)),0),0)))</f>
        <v>0</v>
      </c>
      <c r="BO136" s="1333">
        <f>-IF(OR('Financing Assumptions'!$P$8="No",BO$135&lt;='Financing Assumptions'!$P$26,BO$135&gt;'Mezz 1 Amortization'!$T$13),0,IF('Mezz 1 Amortization'!$T$4="Monthly",INDEX('Mezz 1 Amortization'!$B$19:$V$379,MATCH(BO$135,'Mezz 1 Amortization'!$E$19:$E$379,0),MATCH('Mezz 1 Amortization'!$O$19,'Mezz 1 Amortization'!$B$19:$V$19,0)),IF('Mezz 1 Amortization'!$T$4="Bi-Annual",IF(OR('Mezz 1 Amortization'!$R$4=BO$5,'Mezz 1 Amortization'!$S$4=BO$5),INDEX('Mezz 1 Amortization'!$B$19:$V$379,MATCH(BO$135,'Mezz 1 Amortization'!$E$19:$E$379,0),MATCH('Mezz 1 Amortization'!$O$19,'Mezz 1 Amortization'!$B$19:$V$19,0)),0),0)))</f>
        <v>0</v>
      </c>
      <c r="BP136" s="1333">
        <f>-IF(OR('Financing Assumptions'!$P$8="No",BP$135&lt;='Financing Assumptions'!$P$26,BP$135&gt;'Mezz 1 Amortization'!$T$13),0,IF('Mezz 1 Amortization'!$T$4="Monthly",INDEX('Mezz 1 Amortization'!$B$19:$V$379,MATCH(BP$135,'Mezz 1 Amortization'!$E$19:$E$379,0),MATCH('Mezz 1 Amortization'!$O$19,'Mezz 1 Amortization'!$B$19:$V$19,0)),IF('Mezz 1 Amortization'!$T$4="Bi-Annual",IF(OR('Mezz 1 Amortization'!$R$4=BP$5,'Mezz 1 Amortization'!$S$4=BP$5),INDEX('Mezz 1 Amortization'!$B$19:$V$379,MATCH(BP$135,'Mezz 1 Amortization'!$E$19:$E$379,0),MATCH('Mezz 1 Amortization'!$O$19,'Mezz 1 Amortization'!$B$19:$V$19,0)),0),0)))</f>
        <v>0</v>
      </c>
      <c r="BQ136" s="1333">
        <f>-IF(OR('Financing Assumptions'!$P$8="No",BQ$135&lt;='Financing Assumptions'!$P$26,BQ$135&gt;'Mezz 1 Amortization'!$T$13),0,IF('Mezz 1 Amortization'!$T$4="Monthly",INDEX('Mezz 1 Amortization'!$B$19:$V$379,MATCH(BQ$135,'Mezz 1 Amortization'!$E$19:$E$379,0),MATCH('Mezz 1 Amortization'!$O$19,'Mezz 1 Amortization'!$B$19:$V$19,0)),IF('Mezz 1 Amortization'!$T$4="Bi-Annual",IF(OR('Mezz 1 Amortization'!$R$4=BQ$5,'Mezz 1 Amortization'!$S$4=BQ$5),INDEX('Mezz 1 Amortization'!$B$19:$V$379,MATCH(BQ$135,'Mezz 1 Amortization'!$E$19:$E$379,0),MATCH('Mezz 1 Amortization'!$O$19,'Mezz 1 Amortization'!$B$19:$V$19,0)),0),0)))</f>
        <v>0</v>
      </c>
      <c r="BR136" s="1333">
        <f>-IF(OR('Financing Assumptions'!$P$8="No",BR$135&lt;='Financing Assumptions'!$P$26,BR$135&gt;'Mezz 1 Amortization'!$T$13),0,IF('Mezz 1 Amortization'!$T$4="Monthly",INDEX('Mezz 1 Amortization'!$B$19:$V$379,MATCH(BR$135,'Mezz 1 Amortization'!$E$19:$E$379,0),MATCH('Mezz 1 Amortization'!$O$19,'Mezz 1 Amortization'!$B$19:$V$19,0)),IF('Mezz 1 Amortization'!$T$4="Bi-Annual",IF(OR('Mezz 1 Amortization'!$R$4=BR$5,'Mezz 1 Amortization'!$S$4=BR$5),INDEX('Mezz 1 Amortization'!$B$19:$V$379,MATCH(BR$135,'Mezz 1 Amortization'!$E$19:$E$379,0),MATCH('Mezz 1 Amortization'!$O$19,'Mezz 1 Amortization'!$B$19:$V$19,0)),0),0)))</f>
        <v>0</v>
      </c>
      <c r="BS136" s="1333">
        <f>-IF(OR('Financing Assumptions'!$P$8="No",BS$135&lt;='Financing Assumptions'!$P$26,BS$135&gt;'Mezz 1 Amortization'!$T$13),0,IF('Mezz 1 Amortization'!$T$4="Monthly",INDEX('Mezz 1 Amortization'!$B$19:$V$379,MATCH(BS$135,'Mezz 1 Amortization'!$E$19:$E$379,0),MATCH('Mezz 1 Amortization'!$O$19,'Mezz 1 Amortization'!$B$19:$V$19,0)),IF('Mezz 1 Amortization'!$T$4="Bi-Annual",IF(OR('Mezz 1 Amortization'!$R$4=BS$5,'Mezz 1 Amortization'!$S$4=BS$5),INDEX('Mezz 1 Amortization'!$B$19:$V$379,MATCH(BS$135,'Mezz 1 Amortization'!$E$19:$E$379,0),MATCH('Mezz 1 Amortization'!$O$19,'Mezz 1 Amortization'!$B$19:$V$19,0)),0),0)))</f>
        <v>0</v>
      </c>
      <c r="BT136" s="1333">
        <f>-IF(OR('Financing Assumptions'!$P$8="No",BT$135&lt;='Financing Assumptions'!$P$26,BT$135&gt;'Mezz 1 Amortization'!$T$13),0,IF('Mezz 1 Amortization'!$T$4="Monthly",INDEX('Mezz 1 Amortization'!$B$19:$V$379,MATCH(BT$135,'Mezz 1 Amortization'!$E$19:$E$379,0),MATCH('Mezz 1 Amortization'!$O$19,'Mezz 1 Amortization'!$B$19:$V$19,0)),IF('Mezz 1 Amortization'!$T$4="Bi-Annual",IF(OR('Mezz 1 Amortization'!$R$4=BT$5,'Mezz 1 Amortization'!$S$4=BT$5),INDEX('Mezz 1 Amortization'!$B$19:$V$379,MATCH(BT$135,'Mezz 1 Amortization'!$E$19:$E$379,0),MATCH('Mezz 1 Amortization'!$O$19,'Mezz 1 Amortization'!$B$19:$V$19,0)),0),0)))</f>
        <v>0</v>
      </c>
      <c r="BU136" s="1333">
        <f>-IF(OR('Financing Assumptions'!$P$8="No",BU$135&lt;='Financing Assumptions'!$P$26,BU$135&gt;'Mezz 1 Amortization'!$T$13),0,IF('Mezz 1 Amortization'!$T$4="Monthly",INDEX('Mezz 1 Amortization'!$B$19:$V$379,MATCH(BU$135,'Mezz 1 Amortization'!$E$19:$E$379,0),MATCH('Mezz 1 Amortization'!$O$19,'Mezz 1 Amortization'!$B$19:$V$19,0)),IF('Mezz 1 Amortization'!$T$4="Bi-Annual",IF(OR('Mezz 1 Amortization'!$R$4=BU$5,'Mezz 1 Amortization'!$S$4=BU$5),INDEX('Mezz 1 Amortization'!$B$19:$V$379,MATCH(BU$135,'Mezz 1 Amortization'!$E$19:$E$379,0),MATCH('Mezz 1 Amortization'!$O$19,'Mezz 1 Amortization'!$B$19:$V$19,0)),0),0)))</f>
        <v>0</v>
      </c>
      <c r="BV136" s="1333">
        <f>-IF(OR('Financing Assumptions'!$P$8="No",BV$135&lt;='Financing Assumptions'!$P$26,BV$135&gt;'Mezz 1 Amortization'!$T$13),0,IF('Mezz 1 Amortization'!$T$4="Monthly",INDEX('Mezz 1 Amortization'!$B$19:$V$379,MATCH(BV$135,'Mezz 1 Amortization'!$E$19:$E$379,0),MATCH('Mezz 1 Amortization'!$O$19,'Mezz 1 Amortization'!$B$19:$V$19,0)),IF('Mezz 1 Amortization'!$T$4="Bi-Annual",IF(OR('Mezz 1 Amortization'!$R$4=BV$5,'Mezz 1 Amortization'!$S$4=BV$5),INDEX('Mezz 1 Amortization'!$B$19:$V$379,MATCH(BV$135,'Mezz 1 Amortization'!$E$19:$E$379,0),MATCH('Mezz 1 Amortization'!$O$19,'Mezz 1 Amortization'!$B$19:$V$19,0)),0),0)))</f>
        <v>0</v>
      </c>
      <c r="BW136" s="1333">
        <f>-IF(OR('Financing Assumptions'!$P$8="No",BW$135&lt;='Financing Assumptions'!$P$26,BW$135&gt;'Mezz 1 Amortization'!$T$13),0,IF('Mezz 1 Amortization'!$T$4="Monthly",INDEX('Mezz 1 Amortization'!$B$19:$V$379,MATCH(BW$135,'Mezz 1 Amortization'!$E$19:$E$379,0),MATCH('Mezz 1 Amortization'!$O$19,'Mezz 1 Amortization'!$B$19:$V$19,0)),IF('Mezz 1 Amortization'!$T$4="Bi-Annual",IF(OR('Mezz 1 Amortization'!$R$4=BW$5,'Mezz 1 Amortization'!$S$4=BW$5),INDEX('Mezz 1 Amortization'!$B$19:$V$379,MATCH(BW$135,'Mezz 1 Amortization'!$E$19:$E$379,0),MATCH('Mezz 1 Amortization'!$O$19,'Mezz 1 Amortization'!$B$19:$V$19,0)),0),0)))</f>
        <v>0</v>
      </c>
      <c r="BX136" s="1333">
        <f>-IF(OR('Financing Assumptions'!$P$8="No",BX$135&lt;='Financing Assumptions'!$P$26,BX$135&gt;'Mezz 1 Amortization'!$T$13),0,IF('Mezz 1 Amortization'!$T$4="Monthly",INDEX('Mezz 1 Amortization'!$B$19:$V$379,MATCH(BX$135,'Mezz 1 Amortization'!$E$19:$E$379,0),MATCH('Mezz 1 Amortization'!$O$19,'Mezz 1 Amortization'!$B$19:$V$19,0)),IF('Mezz 1 Amortization'!$T$4="Bi-Annual",IF(OR('Mezz 1 Amortization'!$R$4=BX$5,'Mezz 1 Amortization'!$S$4=BX$5),INDEX('Mezz 1 Amortization'!$B$19:$V$379,MATCH(BX$135,'Mezz 1 Amortization'!$E$19:$E$379,0),MATCH('Mezz 1 Amortization'!$O$19,'Mezz 1 Amortization'!$B$19:$V$19,0)),0),0)))</f>
        <v>0</v>
      </c>
      <c r="BY136" s="1333">
        <f>-IF(OR('Financing Assumptions'!$P$8="No",BY$135&lt;='Financing Assumptions'!$P$26,BY$135&gt;'Mezz 1 Amortization'!$T$13),0,IF('Mezz 1 Amortization'!$T$4="Monthly",INDEX('Mezz 1 Amortization'!$B$19:$V$379,MATCH(BY$135,'Mezz 1 Amortization'!$E$19:$E$379,0),MATCH('Mezz 1 Amortization'!$O$19,'Mezz 1 Amortization'!$B$19:$V$19,0)),IF('Mezz 1 Amortization'!$T$4="Bi-Annual",IF(OR('Mezz 1 Amortization'!$R$4=BY$5,'Mezz 1 Amortization'!$S$4=BY$5),INDEX('Mezz 1 Amortization'!$B$19:$V$379,MATCH(BY$135,'Mezz 1 Amortization'!$E$19:$E$379,0),MATCH('Mezz 1 Amortization'!$O$19,'Mezz 1 Amortization'!$B$19:$V$19,0)),0),0)))</f>
        <v>0</v>
      </c>
      <c r="BZ136" s="1333">
        <f>-IF(OR('Financing Assumptions'!$P$8="No",BZ$135&lt;='Financing Assumptions'!$P$26,BZ$135&gt;'Mezz 1 Amortization'!$T$13),0,IF('Mezz 1 Amortization'!$T$4="Monthly",INDEX('Mezz 1 Amortization'!$B$19:$V$379,MATCH(BZ$135,'Mezz 1 Amortization'!$E$19:$E$379,0),MATCH('Mezz 1 Amortization'!$O$19,'Mezz 1 Amortization'!$B$19:$V$19,0)),IF('Mezz 1 Amortization'!$T$4="Bi-Annual",IF(OR('Mezz 1 Amortization'!$R$4=BZ$5,'Mezz 1 Amortization'!$S$4=BZ$5),INDEX('Mezz 1 Amortization'!$B$19:$V$379,MATCH(BZ$135,'Mezz 1 Amortization'!$E$19:$E$379,0),MATCH('Mezz 1 Amortization'!$O$19,'Mezz 1 Amortization'!$B$19:$V$19,0)),0),0)))</f>
        <v>0</v>
      </c>
      <c r="CA136" s="1333">
        <f>-IF(OR('Financing Assumptions'!$P$8="No",CA$135&lt;='Financing Assumptions'!$P$26,CA$135&gt;'Mezz 1 Amortization'!$T$13),0,IF('Mezz 1 Amortization'!$T$4="Monthly",INDEX('Mezz 1 Amortization'!$B$19:$V$379,MATCH(CA$135,'Mezz 1 Amortization'!$E$19:$E$379,0),MATCH('Mezz 1 Amortization'!$O$19,'Mezz 1 Amortization'!$B$19:$V$19,0)),IF('Mezz 1 Amortization'!$T$4="Bi-Annual",IF(OR('Mezz 1 Amortization'!$R$4=CA$5,'Mezz 1 Amortization'!$S$4=CA$5),INDEX('Mezz 1 Amortization'!$B$19:$V$379,MATCH(CA$135,'Mezz 1 Amortization'!$E$19:$E$379,0),MATCH('Mezz 1 Amortization'!$O$19,'Mezz 1 Amortization'!$B$19:$V$19,0)),0),0)))</f>
        <v>0</v>
      </c>
      <c r="CB136" s="1333">
        <f>-IF(OR('Financing Assumptions'!$P$8="No",CB$135&lt;='Financing Assumptions'!$P$26,CB$135&gt;'Mezz 1 Amortization'!$T$13),0,IF('Mezz 1 Amortization'!$T$4="Monthly",INDEX('Mezz 1 Amortization'!$B$19:$V$379,MATCH(CB$135,'Mezz 1 Amortization'!$E$19:$E$379,0),MATCH('Mezz 1 Amortization'!$O$19,'Mezz 1 Amortization'!$B$19:$V$19,0)),IF('Mezz 1 Amortization'!$T$4="Bi-Annual",IF(OR('Mezz 1 Amortization'!$R$4=CB$5,'Mezz 1 Amortization'!$S$4=CB$5),INDEX('Mezz 1 Amortization'!$B$19:$V$379,MATCH(CB$135,'Mezz 1 Amortization'!$E$19:$E$379,0),MATCH('Mezz 1 Amortization'!$O$19,'Mezz 1 Amortization'!$B$19:$V$19,0)),0),0)))</f>
        <v>0</v>
      </c>
      <c r="CC136" s="1333">
        <f>-IF(OR('Financing Assumptions'!$P$8="No",CC$135&lt;='Financing Assumptions'!$P$26,CC$135&gt;'Mezz 1 Amortization'!$T$13),0,IF('Mezz 1 Amortization'!$T$4="Monthly",INDEX('Mezz 1 Amortization'!$B$19:$V$379,MATCH(CC$135,'Mezz 1 Amortization'!$E$19:$E$379,0),MATCH('Mezz 1 Amortization'!$O$19,'Mezz 1 Amortization'!$B$19:$V$19,0)),IF('Mezz 1 Amortization'!$T$4="Bi-Annual",IF(OR('Mezz 1 Amortization'!$R$4=CC$5,'Mezz 1 Amortization'!$S$4=CC$5),INDEX('Mezz 1 Amortization'!$B$19:$V$379,MATCH(CC$135,'Mezz 1 Amortization'!$E$19:$E$379,0),MATCH('Mezz 1 Amortization'!$O$19,'Mezz 1 Amortization'!$B$19:$V$19,0)),0),0)))</f>
        <v>0</v>
      </c>
      <c r="CD136" s="1333">
        <f>-IF(OR('Financing Assumptions'!$P$8="No",CD$135&lt;='Financing Assumptions'!$P$26,CD$135&gt;'Mezz 1 Amortization'!$T$13),0,IF('Mezz 1 Amortization'!$T$4="Monthly",INDEX('Mezz 1 Amortization'!$B$19:$V$379,MATCH(CD$135,'Mezz 1 Amortization'!$E$19:$E$379,0),MATCH('Mezz 1 Amortization'!$O$19,'Mezz 1 Amortization'!$B$19:$V$19,0)),IF('Mezz 1 Amortization'!$T$4="Bi-Annual",IF(OR('Mezz 1 Amortization'!$R$4=CD$5,'Mezz 1 Amortization'!$S$4=CD$5),INDEX('Mezz 1 Amortization'!$B$19:$V$379,MATCH(CD$135,'Mezz 1 Amortization'!$E$19:$E$379,0),MATCH('Mezz 1 Amortization'!$O$19,'Mezz 1 Amortization'!$B$19:$V$19,0)),0),0)))</f>
        <v>0</v>
      </c>
      <c r="CE136" s="1333">
        <f>-IF(OR('Financing Assumptions'!$P$8="No",CE$135&lt;='Financing Assumptions'!$P$26,CE$135&gt;'Mezz 1 Amortization'!$T$13),0,IF('Mezz 1 Amortization'!$T$4="Monthly",INDEX('Mezz 1 Amortization'!$B$19:$V$379,MATCH(CE$135,'Mezz 1 Amortization'!$E$19:$E$379,0),MATCH('Mezz 1 Amortization'!$O$19,'Mezz 1 Amortization'!$B$19:$V$19,0)),IF('Mezz 1 Amortization'!$T$4="Bi-Annual",IF(OR('Mezz 1 Amortization'!$R$4=CE$5,'Mezz 1 Amortization'!$S$4=CE$5),INDEX('Mezz 1 Amortization'!$B$19:$V$379,MATCH(CE$135,'Mezz 1 Amortization'!$E$19:$E$379,0),MATCH('Mezz 1 Amortization'!$O$19,'Mezz 1 Amortization'!$B$19:$V$19,0)),0),0)))</f>
        <v>0</v>
      </c>
      <c r="CF136" s="1333">
        <f>-IF(OR('Financing Assumptions'!$P$8="No",CF$135&lt;='Financing Assumptions'!$P$26,CF$135&gt;'Mezz 1 Amortization'!$T$13),0,IF('Mezz 1 Amortization'!$T$4="Monthly",INDEX('Mezz 1 Amortization'!$B$19:$V$379,MATCH(CF$135,'Mezz 1 Amortization'!$E$19:$E$379,0),MATCH('Mezz 1 Amortization'!$O$19,'Mezz 1 Amortization'!$B$19:$V$19,0)),IF('Mezz 1 Amortization'!$T$4="Bi-Annual",IF(OR('Mezz 1 Amortization'!$R$4=CF$5,'Mezz 1 Amortization'!$S$4=CF$5),INDEX('Mezz 1 Amortization'!$B$19:$V$379,MATCH(CF$135,'Mezz 1 Amortization'!$E$19:$E$379,0),MATCH('Mezz 1 Amortization'!$O$19,'Mezz 1 Amortization'!$B$19:$V$19,0)),0),0)))</f>
        <v>0</v>
      </c>
      <c r="CG136" s="1333">
        <f>-IF(OR('Financing Assumptions'!$P$8="No",CG$135&lt;='Financing Assumptions'!$P$26,CG$135&gt;'Mezz 1 Amortization'!$T$13),0,IF('Mezz 1 Amortization'!$T$4="Monthly",INDEX('Mezz 1 Amortization'!$B$19:$V$379,MATCH(CG$135,'Mezz 1 Amortization'!$E$19:$E$379,0),MATCH('Mezz 1 Amortization'!$O$19,'Mezz 1 Amortization'!$B$19:$V$19,0)),IF('Mezz 1 Amortization'!$T$4="Bi-Annual",IF(OR('Mezz 1 Amortization'!$R$4=CG$5,'Mezz 1 Amortization'!$S$4=CG$5),INDEX('Mezz 1 Amortization'!$B$19:$V$379,MATCH(CG$135,'Mezz 1 Amortization'!$E$19:$E$379,0),MATCH('Mezz 1 Amortization'!$O$19,'Mezz 1 Amortization'!$B$19:$V$19,0)),0),0)))</f>
        <v>0</v>
      </c>
      <c r="CH136" s="1333">
        <f>-IF(OR('Financing Assumptions'!$P$8="No",CH$135&lt;='Financing Assumptions'!$P$26,CH$135&gt;'Mezz 1 Amortization'!$T$13),0,IF('Mezz 1 Amortization'!$T$4="Monthly",INDEX('Mezz 1 Amortization'!$B$19:$V$379,MATCH(CH$135,'Mezz 1 Amortization'!$E$19:$E$379,0),MATCH('Mezz 1 Amortization'!$O$19,'Mezz 1 Amortization'!$B$19:$V$19,0)),IF('Mezz 1 Amortization'!$T$4="Bi-Annual",IF(OR('Mezz 1 Amortization'!$R$4=CH$5,'Mezz 1 Amortization'!$S$4=CH$5),INDEX('Mezz 1 Amortization'!$B$19:$V$379,MATCH(CH$135,'Mezz 1 Amortization'!$E$19:$E$379,0),MATCH('Mezz 1 Amortization'!$O$19,'Mezz 1 Amortization'!$B$19:$V$19,0)),0),0)))</f>
        <v>0</v>
      </c>
      <c r="CI136" s="1333">
        <f>-IF(OR('Financing Assumptions'!$P$8="No",CI$135&lt;='Financing Assumptions'!$P$26,CI$135&gt;'Mezz 1 Amortization'!$T$13),0,IF('Mezz 1 Amortization'!$T$4="Monthly",INDEX('Mezz 1 Amortization'!$B$19:$V$379,MATCH(CI$135,'Mezz 1 Amortization'!$E$19:$E$379,0),MATCH('Mezz 1 Amortization'!$O$19,'Mezz 1 Amortization'!$B$19:$V$19,0)),IF('Mezz 1 Amortization'!$T$4="Bi-Annual",IF(OR('Mezz 1 Amortization'!$R$4=CI$5,'Mezz 1 Amortization'!$S$4=CI$5),INDEX('Mezz 1 Amortization'!$B$19:$V$379,MATCH(CI$135,'Mezz 1 Amortization'!$E$19:$E$379,0),MATCH('Mezz 1 Amortization'!$O$19,'Mezz 1 Amortization'!$B$19:$V$19,0)),0),0)))</f>
        <v>0</v>
      </c>
      <c r="CJ136" s="1333">
        <f>-IF(OR('Financing Assumptions'!$P$8="No",CJ$135&lt;='Financing Assumptions'!$P$26,CJ$135&gt;'Mezz 1 Amortization'!$T$13),0,IF('Mezz 1 Amortization'!$T$4="Monthly",INDEX('Mezz 1 Amortization'!$B$19:$V$379,MATCH(CJ$135,'Mezz 1 Amortization'!$E$19:$E$379,0),MATCH('Mezz 1 Amortization'!$O$19,'Mezz 1 Amortization'!$B$19:$V$19,0)),IF('Mezz 1 Amortization'!$T$4="Bi-Annual",IF(OR('Mezz 1 Amortization'!$R$4=CJ$5,'Mezz 1 Amortization'!$S$4=CJ$5),INDEX('Mezz 1 Amortization'!$B$19:$V$379,MATCH(CJ$135,'Mezz 1 Amortization'!$E$19:$E$379,0),MATCH('Mezz 1 Amortization'!$O$19,'Mezz 1 Amortization'!$B$19:$V$19,0)),0),0)))</f>
        <v>0</v>
      </c>
      <c r="CK136" s="1333">
        <f>-IF(OR('Financing Assumptions'!$P$8="No",CK$135&lt;='Financing Assumptions'!$P$26,CK$135&gt;'Mezz 1 Amortization'!$T$13),0,IF('Mezz 1 Amortization'!$T$4="Monthly",INDEX('Mezz 1 Amortization'!$B$19:$V$379,MATCH(CK$135,'Mezz 1 Amortization'!$E$19:$E$379,0),MATCH('Mezz 1 Amortization'!$O$19,'Mezz 1 Amortization'!$B$19:$V$19,0)),IF('Mezz 1 Amortization'!$T$4="Bi-Annual",IF(OR('Mezz 1 Amortization'!$R$4=CK$5,'Mezz 1 Amortization'!$S$4=CK$5),INDEX('Mezz 1 Amortization'!$B$19:$V$379,MATCH(CK$135,'Mezz 1 Amortization'!$E$19:$E$379,0),MATCH('Mezz 1 Amortization'!$O$19,'Mezz 1 Amortization'!$B$19:$V$19,0)),0),0)))</f>
        <v>0</v>
      </c>
      <c r="CL136" s="1333">
        <f>-IF(OR('Financing Assumptions'!$P$8="No",CL$135&lt;='Financing Assumptions'!$P$26,CL$135&gt;'Mezz 1 Amortization'!$T$13),0,IF('Mezz 1 Amortization'!$T$4="Monthly",INDEX('Mezz 1 Amortization'!$B$19:$V$379,MATCH(CL$135,'Mezz 1 Amortization'!$E$19:$E$379,0),MATCH('Mezz 1 Amortization'!$O$19,'Mezz 1 Amortization'!$B$19:$V$19,0)),IF('Mezz 1 Amortization'!$T$4="Bi-Annual",IF(OR('Mezz 1 Amortization'!$R$4=CL$5,'Mezz 1 Amortization'!$S$4=CL$5),INDEX('Mezz 1 Amortization'!$B$19:$V$379,MATCH(CL$135,'Mezz 1 Amortization'!$E$19:$E$379,0),MATCH('Mezz 1 Amortization'!$O$19,'Mezz 1 Amortization'!$B$19:$V$19,0)),0),0)))</f>
        <v>0</v>
      </c>
      <c r="CM136" s="1333">
        <f>-IF(OR('Financing Assumptions'!$P$8="No",CM$135&lt;='Financing Assumptions'!$P$26,CM$135&gt;'Mezz 1 Amortization'!$T$13),0,IF('Mezz 1 Amortization'!$T$4="Monthly",INDEX('Mezz 1 Amortization'!$B$19:$V$379,MATCH(CM$135,'Mezz 1 Amortization'!$E$19:$E$379,0),MATCH('Mezz 1 Amortization'!$O$19,'Mezz 1 Amortization'!$B$19:$V$19,0)),IF('Mezz 1 Amortization'!$T$4="Bi-Annual",IF(OR('Mezz 1 Amortization'!$R$4=CM$5,'Mezz 1 Amortization'!$S$4=CM$5),INDEX('Mezz 1 Amortization'!$B$19:$V$379,MATCH(CM$135,'Mezz 1 Amortization'!$E$19:$E$379,0),MATCH('Mezz 1 Amortization'!$O$19,'Mezz 1 Amortization'!$B$19:$V$19,0)),0),0)))</f>
        <v>0</v>
      </c>
      <c r="CN136" s="1333">
        <f>-IF(OR('Financing Assumptions'!$P$8="No",CN$135&lt;='Financing Assumptions'!$P$26,CN$135&gt;'Mezz 1 Amortization'!$T$13),0,IF('Mezz 1 Amortization'!$T$4="Monthly",INDEX('Mezz 1 Amortization'!$B$19:$V$379,MATCH(CN$135,'Mezz 1 Amortization'!$E$19:$E$379,0),MATCH('Mezz 1 Amortization'!$O$19,'Mezz 1 Amortization'!$B$19:$V$19,0)),IF('Mezz 1 Amortization'!$T$4="Bi-Annual",IF(OR('Mezz 1 Amortization'!$R$4=CN$5,'Mezz 1 Amortization'!$S$4=CN$5),INDEX('Mezz 1 Amortization'!$B$19:$V$379,MATCH(CN$135,'Mezz 1 Amortization'!$E$19:$E$379,0),MATCH('Mezz 1 Amortization'!$O$19,'Mezz 1 Amortization'!$B$19:$V$19,0)),0),0)))</f>
        <v>0</v>
      </c>
      <c r="CO136" s="1333">
        <f>-IF(OR('Financing Assumptions'!$P$8="No",CO$135&lt;='Financing Assumptions'!$P$26,CO$135&gt;'Mezz 1 Amortization'!$T$13),0,IF('Mezz 1 Amortization'!$T$4="Monthly",INDEX('Mezz 1 Amortization'!$B$19:$V$379,MATCH(CO$135,'Mezz 1 Amortization'!$E$19:$E$379,0),MATCH('Mezz 1 Amortization'!$O$19,'Mezz 1 Amortization'!$B$19:$V$19,0)),IF('Mezz 1 Amortization'!$T$4="Bi-Annual",IF(OR('Mezz 1 Amortization'!$R$4=CO$5,'Mezz 1 Amortization'!$S$4=CO$5),INDEX('Mezz 1 Amortization'!$B$19:$V$379,MATCH(CO$135,'Mezz 1 Amortization'!$E$19:$E$379,0),MATCH('Mezz 1 Amortization'!$O$19,'Mezz 1 Amortization'!$B$19:$V$19,0)),0),0)))</f>
        <v>0</v>
      </c>
      <c r="CP136" s="1333">
        <f>-IF(OR('Financing Assumptions'!$P$8="No",CP$135&lt;='Financing Assumptions'!$P$26,CP$135&gt;'Mezz 1 Amortization'!$T$13),0,IF('Mezz 1 Amortization'!$T$4="Monthly",INDEX('Mezz 1 Amortization'!$B$19:$V$379,MATCH(CP$135,'Mezz 1 Amortization'!$E$19:$E$379,0),MATCH('Mezz 1 Amortization'!$O$19,'Mezz 1 Amortization'!$B$19:$V$19,0)),IF('Mezz 1 Amortization'!$T$4="Bi-Annual",IF(OR('Mezz 1 Amortization'!$R$4=CP$5,'Mezz 1 Amortization'!$S$4=CP$5),INDEX('Mezz 1 Amortization'!$B$19:$V$379,MATCH(CP$135,'Mezz 1 Amortization'!$E$19:$E$379,0),MATCH('Mezz 1 Amortization'!$O$19,'Mezz 1 Amortization'!$B$19:$V$19,0)),0),0)))</f>
        <v>0</v>
      </c>
      <c r="CQ136" s="1333">
        <f>-IF(OR('Financing Assumptions'!$P$8="No",CQ$135&lt;='Financing Assumptions'!$P$26,CQ$135&gt;'Mezz 1 Amortization'!$T$13),0,IF('Mezz 1 Amortization'!$T$4="Monthly",INDEX('Mezz 1 Amortization'!$B$19:$V$379,MATCH(CQ$135,'Mezz 1 Amortization'!$E$19:$E$379,0),MATCH('Mezz 1 Amortization'!$O$19,'Mezz 1 Amortization'!$B$19:$V$19,0)),IF('Mezz 1 Amortization'!$T$4="Bi-Annual",IF(OR('Mezz 1 Amortization'!$R$4=CQ$5,'Mezz 1 Amortization'!$S$4=CQ$5),INDEX('Mezz 1 Amortization'!$B$19:$V$379,MATCH(CQ$135,'Mezz 1 Amortization'!$E$19:$E$379,0),MATCH('Mezz 1 Amortization'!$O$19,'Mezz 1 Amortization'!$B$19:$V$19,0)),0),0)))</f>
        <v>0</v>
      </c>
      <c r="CR136" s="1333">
        <f>-IF(OR('Financing Assumptions'!$P$8="No",CR$135&lt;='Financing Assumptions'!$P$26,CR$135&gt;'Mezz 1 Amortization'!$T$13),0,IF('Mezz 1 Amortization'!$T$4="Monthly",INDEX('Mezz 1 Amortization'!$B$19:$V$379,MATCH(CR$135,'Mezz 1 Amortization'!$E$19:$E$379,0),MATCH('Mezz 1 Amortization'!$O$19,'Mezz 1 Amortization'!$B$19:$V$19,0)),IF('Mezz 1 Amortization'!$T$4="Bi-Annual",IF(OR('Mezz 1 Amortization'!$R$4=CR$5,'Mezz 1 Amortization'!$S$4=CR$5),INDEX('Mezz 1 Amortization'!$B$19:$V$379,MATCH(CR$135,'Mezz 1 Amortization'!$E$19:$E$379,0),MATCH('Mezz 1 Amortization'!$O$19,'Mezz 1 Amortization'!$B$19:$V$19,0)),0),0)))</f>
        <v>0</v>
      </c>
      <c r="CS136" s="1333">
        <f>-IF(OR('Financing Assumptions'!$P$8="No",CS$135&lt;='Financing Assumptions'!$P$26,CS$135&gt;'Mezz 1 Amortization'!$T$13),0,IF('Mezz 1 Amortization'!$T$4="Monthly",INDEX('Mezz 1 Amortization'!$B$19:$V$379,MATCH(CS$135,'Mezz 1 Amortization'!$E$19:$E$379,0),MATCH('Mezz 1 Amortization'!$O$19,'Mezz 1 Amortization'!$B$19:$V$19,0)),IF('Mezz 1 Amortization'!$T$4="Bi-Annual",IF(OR('Mezz 1 Amortization'!$R$4=CS$5,'Mezz 1 Amortization'!$S$4=CS$5),INDEX('Mezz 1 Amortization'!$B$19:$V$379,MATCH(CS$135,'Mezz 1 Amortization'!$E$19:$E$379,0),MATCH('Mezz 1 Amortization'!$O$19,'Mezz 1 Amortization'!$B$19:$V$19,0)),0),0)))</f>
        <v>0</v>
      </c>
      <c r="CT136" s="1333">
        <f>-IF(OR('Financing Assumptions'!$P$8="No",CT$135&lt;='Financing Assumptions'!$P$26,CT$135&gt;'Mezz 1 Amortization'!$T$13),0,IF('Mezz 1 Amortization'!$T$4="Monthly",INDEX('Mezz 1 Amortization'!$B$19:$V$379,MATCH(CT$135,'Mezz 1 Amortization'!$E$19:$E$379,0),MATCH('Mezz 1 Amortization'!$O$19,'Mezz 1 Amortization'!$B$19:$V$19,0)),IF('Mezz 1 Amortization'!$T$4="Bi-Annual",IF(OR('Mezz 1 Amortization'!$R$4=CT$5,'Mezz 1 Amortization'!$S$4=CT$5),INDEX('Mezz 1 Amortization'!$B$19:$V$379,MATCH(CT$135,'Mezz 1 Amortization'!$E$19:$E$379,0),MATCH('Mezz 1 Amortization'!$O$19,'Mezz 1 Amortization'!$B$19:$V$19,0)),0),0)))</f>
        <v>0</v>
      </c>
      <c r="CU136" s="1333">
        <f>-IF(OR('Financing Assumptions'!$P$8="No",CU$135&lt;='Financing Assumptions'!$P$26,CU$135&gt;'Mezz 1 Amortization'!$T$13),0,IF('Mezz 1 Amortization'!$T$4="Monthly",INDEX('Mezz 1 Amortization'!$B$19:$V$379,MATCH(CU$135,'Mezz 1 Amortization'!$E$19:$E$379,0),MATCH('Mezz 1 Amortization'!$O$19,'Mezz 1 Amortization'!$B$19:$V$19,0)),IF('Mezz 1 Amortization'!$T$4="Bi-Annual",IF(OR('Mezz 1 Amortization'!$R$4=CU$5,'Mezz 1 Amortization'!$S$4=CU$5),INDEX('Mezz 1 Amortization'!$B$19:$V$379,MATCH(CU$135,'Mezz 1 Amortization'!$E$19:$E$379,0),MATCH('Mezz 1 Amortization'!$O$19,'Mezz 1 Amortization'!$B$19:$V$19,0)),0),0)))</f>
        <v>0</v>
      </c>
      <c r="CV136" s="1333">
        <f>-IF(OR('Financing Assumptions'!$P$8="No",CV$135&lt;='Financing Assumptions'!$P$26,CV$135&gt;'Mezz 1 Amortization'!$T$13),0,IF('Mezz 1 Amortization'!$T$4="Monthly",INDEX('Mezz 1 Amortization'!$B$19:$V$379,MATCH(CV$135,'Mezz 1 Amortization'!$E$19:$E$379,0),MATCH('Mezz 1 Amortization'!$O$19,'Mezz 1 Amortization'!$B$19:$V$19,0)),IF('Mezz 1 Amortization'!$T$4="Bi-Annual",IF(OR('Mezz 1 Amortization'!$R$4=CV$5,'Mezz 1 Amortization'!$S$4=CV$5),INDEX('Mezz 1 Amortization'!$B$19:$V$379,MATCH(CV$135,'Mezz 1 Amortization'!$E$19:$E$379,0),MATCH('Mezz 1 Amortization'!$O$19,'Mezz 1 Amortization'!$B$19:$V$19,0)),0),0)))</f>
        <v>0</v>
      </c>
      <c r="CW136" s="1333">
        <f>-IF(OR('Financing Assumptions'!$P$8="No",CW$135&lt;='Financing Assumptions'!$P$26,CW$135&gt;'Mezz 1 Amortization'!$T$13),0,IF('Mezz 1 Amortization'!$T$4="Monthly",INDEX('Mezz 1 Amortization'!$B$19:$V$379,MATCH(CW$135,'Mezz 1 Amortization'!$E$19:$E$379,0),MATCH('Mezz 1 Amortization'!$O$19,'Mezz 1 Amortization'!$B$19:$V$19,0)),IF('Mezz 1 Amortization'!$T$4="Bi-Annual",IF(OR('Mezz 1 Amortization'!$R$4=CW$5,'Mezz 1 Amortization'!$S$4=CW$5),INDEX('Mezz 1 Amortization'!$B$19:$V$379,MATCH(CW$135,'Mezz 1 Amortization'!$E$19:$E$379,0),MATCH('Mezz 1 Amortization'!$O$19,'Mezz 1 Amortization'!$B$19:$V$19,0)),0),0)))</f>
        <v>0</v>
      </c>
      <c r="CX136" s="1333">
        <f>-IF(OR('Financing Assumptions'!$P$8="No",CX$135&lt;='Financing Assumptions'!$P$26,CX$135&gt;'Mezz 1 Amortization'!$T$13),0,IF('Mezz 1 Amortization'!$T$4="Monthly",INDEX('Mezz 1 Amortization'!$B$19:$V$379,MATCH(CX$135,'Mezz 1 Amortization'!$E$19:$E$379,0),MATCH('Mezz 1 Amortization'!$O$19,'Mezz 1 Amortization'!$B$19:$V$19,0)),IF('Mezz 1 Amortization'!$T$4="Bi-Annual",IF(OR('Mezz 1 Amortization'!$R$4=CX$5,'Mezz 1 Amortization'!$S$4=CX$5),INDEX('Mezz 1 Amortization'!$B$19:$V$379,MATCH(CX$135,'Mezz 1 Amortization'!$E$19:$E$379,0),MATCH('Mezz 1 Amortization'!$O$19,'Mezz 1 Amortization'!$B$19:$V$19,0)),0),0)))</f>
        <v>0</v>
      </c>
      <c r="CY136" s="1333">
        <f>-IF(OR('Financing Assumptions'!$P$8="No",CY$135&lt;='Financing Assumptions'!$P$26,CY$135&gt;'Mezz 1 Amortization'!$T$13),0,IF('Mezz 1 Amortization'!$T$4="Monthly",INDEX('Mezz 1 Amortization'!$B$19:$V$379,MATCH(CY$135,'Mezz 1 Amortization'!$E$19:$E$379,0),MATCH('Mezz 1 Amortization'!$O$19,'Mezz 1 Amortization'!$B$19:$V$19,0)),IF('Mezz 1 Amortization'!$T$4="Bi-Annual",IF(OR('Mezz 1 Amortization'!$R$4=CY$5,'Mezz 1 Amortization'!$S$4=CY$5),INDEX('Mezz 1 Amortization'!$B$19:$V$379,MATCH(CY$135,'Mezz 1 Amortization'!$E$19:$E$379,0),MATCH('Mezz 1 Amortization'!$O$19,'Mezz 1 Amortization'!$B$19:$V$19,0)),0),0)))</f>
        <v>0</v>
      </c>
      <c r="CZ136" s="1333">
        <f>-IF(OR('Financing Assumptions'!$P$8="No",CZ$135&lt;='Financing Assumptions'!$P$26,CZ$135&gt;'Mezz 1 Amortization'!$T$13),0,IF('Mezz 1 Amortization'!$T$4="Monthly",INDEX('Mezz 1 Amortization'!$B$19:$V$379,MATCH(CZ$135,'Mezz 1 Amortization'!$E$19:$E$379,0),MATCH('Mezz 1 Amortization'!$O$19,'Mezz 1 Amortization'!$B$19:$V$19,0)),IF('Mezz 1 Amortization'!$T$4="Bi-Annual",IF(OR('Mezz 1 Amortization'!$R$4=CZ$5,'Mezz 1 Amortization'!$S$4=CZ$5),INDEX('Mezz 1 Amortization'!$B$19:$V$379,MATCH(CZ$135,'Mezz 1 Amortization'!$E$19:$E$379,0),MATCH('Mezz 1 Amortization'!$O$19,'Mezz 1 Amortization'!$B$19:$V$19,0)),0),0)))</f>
        <v>0</v>
      </c>
      <c r="DA136" s="1333">
        <f>-IF(OR('Financing Assumptions'!$P$8="No",DA$135&lt;='Financing Assumptions'!$P$26,DA$135&gt;'Mezz 1 Amortization'!$T$13),0,IF('Mezz 1 Amortization'!$T$4="Monthly",INDEX('Mezz 1 Amortization'!$B$19:$V$379,MATCH(DA$135,'Mezz 1 Amortization'!$E$19:$E$379,0),MATCH('Mezz 1 Amortization'!$O$19,'Mezz 1 Amortization'!$B$19:$V$19,0)),IF('Mezz 1 Amortization'!$T$4="Bi-Annual",IF(OR('Mezz 1 Amortization'!$R$4=DA$5,'Mezz 1 Amortization'!$S$4=DA$5),INDEX('Mezz 1 Amortization'!$B$19:$V$379,MATCH(DA$135,'Mezz 1 Amortization'!$E$19:$E$379,0),MATCH('Mezz 1 Amortization'!$O$19,'Mezz 1 Amortization'!$B$19:$V$19,0)),0),0)))</f>
        <v>0</v>
      </c>
      <c r="DB136" s="1333">
        <f>-IF(OR('Financing Assumptions'!$P$8="No",DB$135&lt;='Financing Assumptions'!$P$26,DB$135&gt;'Mezz 1 Amortization'!$T$13),0,IF('Mezz 1 Amortization'!$T$4="Monthly",INDEX('Mezz 1 Amortization'!$B$19:$V$379,MATCH(DB$135,'Mezz 1 Amortization'!$E$19:$E$379,0),MATCH('Mezz 1 Amortization'!$O$19,'Mezz 1 Amortization'!$B$19:$V$19,0)),IF('Mezz 1 Amortization'!$T$4="Bi-Annual",IF(OR('Mezz 1 Amortization'!$R$4=DB$5,'Mezz 1 Amortization'!$S$4=DB$5),INDEX('Mezz 1 Amortization'!$B$19:$V$379,MATCH(DB$135,'Mezz 1 Amortization'!$E$19:$E$379,0),MATCH('Mezz 1 Amortization'!$O$19,'Mezz 1 Amortization'!$B$19:$V$19,0)),0),0)))</f>
        <v>0</v>
      </c>
      <c r="DC136" s="1333">
        <f>-IF(OR('Financing Assumptions'!$P$8="No",DC$135&lt;='Financing Assumptions'!$P$26,DC$135&gt;'Mezz 1 Amortization'!$T$13),0,IF('Mezz 1 Amortization'!$T$4="Monthly",INDEX('Mezz 1 Amortization'!$B$19:$V$379,MATCH(DC$135,'Mezz 1 Amortization'!$E$19:$E$379,0),MATCH('Mezz 1 Amortization'!$O$19,'Mezz 1 Amortization'!$B$19:$V$19,0)),IF('Mezz 1 Amortization'!$T$4="Bi-Annual",IF(OR('Mezz 1 Amortization'!$R$4=DC$5,'Mezz 1 Amortization'!$S$4=DC$5),INDEX('Mezz 1 Amortization'!$B$19:$V$379,MATCH(DC$135,'Mezz 1 Amortization'!$E$19:$E$379,0),MATCH('Mezz 1 Amortization'!$O$19,'Mezz 1 Amortization'!$B$19:$V$19,0)),0),0)))</f>
        <v>0</v>
      </c>
      <c r="DD136" s="1333">
        <f>-IF(OR('Financing Assumptions'!$P$8="No",DD$135&lt;='Financing Assumptions'!$P$26,DD$135&gt;'Mezz 1 Amortization'!$T$13),0,IF('Mezz 1 Amortization'!$T$4="Monthly",INDEX('Mezz 1 Amortization'!$B$19:$V$379,MATCH(DD$135,'Mezz 1 Amortization'!$E$19:$E$379,0),MATCH('Mezz 1 Amortization'!$O$19,'Mezz 1 Amortization'!$B$19:$V$19,0)),IF('Mezz 1 Amortization'!$T$4="Bi-Annual",IF(OR('Mezz 1 Amortization'!$R$4=DD$5,'Mezz 1 Amortization'!$S$4=DD$5),INDEX('Mezz 1 Amortization'!$B$19:$V$379,MATCH(DD$135,'Mezz 1 Amortization'!$E$19:$E$379,0),MATCH('Mezz 1 Amortization'!$O$19,'Mezz 1 Amortization'!$B$19:$V$19,0)),0),0)))</f>
        <v>0</v>
      </c>
      <c r="DE136" s="1333">
        <f>-IF(OR('Financing Assumptions'!$P$8="No",DE$135&lt;='Financing Assumptions'!$P$26,DE$135&gt;'Mezz 1 Amortization'!$T$13),0,IF('Mezz 1 Amortization'!$T$4="Monthly",INDEX('Mezz 1 Amortization'!$B$19:$V$379,MATCH(DE$135,'Mezz 1 Amortization'!$E$19:$E$379,0),MATCH('Mezz 1 Amortization'!$O$19,'Mezz 1 Amortization'!$B$19:$V$19,0)),IF('Mezz 1 Amortization'!$T$4="Bi-Annual",IF(OR('Mezz 1 Amortization'!$R$4=DE$5,'Mezz 1 Amortization'!$S$4=DE$5),INDEX('Mezz 1 Amortization'!$B$19:$V$379,MATCH(DE$135,'Mezz 1 Amortization'!$E$19:$E$379,0),MATCH('Mezz 1 Amortization'!$O$19,'Mezz 1 Amortization'!$B$19:$V$19,0)),0),0)))</f>
        <v>0</v>
      </c>
      <c r="DF136" s="1333">
        <f>-IF(OR('Financing Assumptions'!$P$8="No",DF$135&lt;='Financing Assumptions'!$P$26,DF$135&gt;'Mezz 1 Amortization'!$T$13),0,IF('Mezz 1 Amortization'!$T$4="Monthly",INDEX('Mezz 1 Amortization'!$B$19:$V$379,MATCH(DF$135,'Mezz 1 Amortization'!$E$19:$E$379,0),MATCH('Mezz 1 Amortization'!$O$19,'Mezz 1 Amortization'!$B$19:$V$19,0)),IF('Mezz 1 Amortization'!$T$4="Bi-Annual",IF(OR('Mezz 1 Amortization'!$R$4=DF$5,'Mezz 1 Amortization'!$S$4=DF$5),INDEX('Mezz 1 Amortization'!$B$19:$V$379,MATCH(DF$135,'Mezz 1 Amortization'!$E$19:$E$379,0),MATCH('Mezz 1 Amortization'!$O$19,'Mezz 1 Amortization'!$B$19:$V$19,0)),0),0)))</f>
        <v>0</v>
      </c>
      <c r="DG136" s="1333">
        <f>-IF(OR('Financing Assumptions'!$P$8="No",DG$135&lt;='Financing Assumptions'!$P$26,DG$135&gt;'Mezz 1 Amortization'!$T$13),0,IF('Mezz 1 Amortization'!$T$4="Monthly",INDEX('Mezz 1 Amortization'!$B$19:$V$379,MATCH(DG$135,'Mezz 1 Amortization'!$E$19:$E$379,0),MATCH('Mezz 1 Amortization'!$O$19,'Mezz 1 Amortization'!$B$19:$V$19,0)),IF('Mezz 1 Amortization'!$T$4="Bi-Annual",IF(OR('Mezz 1 Amortization'!$R$4=DG$5,'Mezz 1 Amortization'!$S$4=DG$5),INDEX('Mezz 1 Amortization'!$B$19:$V$379,MATCH(DG$135,'Mezz 1 Amortization'!$E$19:$E$379,0),MATCH('Mezz 1 Amortization'!$O$19,'Mezz 1 Amortization'!$B$19:$V$19,0)),0),0)))</f>
        <v>0</v>
      </c>
      <c r="DH136" s="1333">
        <f>-IF(OR('Financing Assumptions'!$P$8="No",DH$135&lt;='Financing Assumptions'!$P$26,DH$135&gt;'Mezz 1 Amortization'!$T$13),0,IF('Mezz 1 Amortization'!$T$4="Monthly",INDEX('Mezz 1 Amortization'!$B$19:$V$379,MATCH(DH$135,'Mezz 1 Amortization'!$E$19:$E$379,0),MATCH('Mezz 1 Amortization'!$O$19,'Mezz 1 Amortization'!$B$19:$V$19,0)),IF('Mezz 1 Amortization'!$T$4="Bi-Annual",IF(OR('Mezz 1 Amortization'!$R$4=DH$5,'Mezz 1 Amortization'!$S$4=DH$5),INDEX('Mezz 1 Amortization'!$B$19:$V$379,MATCH(DH$135,'Mezz 1 Amortization'!$E$19:$E$379,0),MATCH('Mezz 1 Amortization'!$O$19,'Mezz 1 Amortization'!$B$19:$V$19,0)),0),0)))</f>
        <v>0</v>
      </c>
      <c r="DI136" s="1333">
        <f>-IF(OR('Financing Assumptions'!$P$8="No",DI$135&lt;='Financing Assumptions'!$P$26,DI$135&gt;'Mezz 1 Amortization'!$T$13),0,IF('Mezz 1 Amortization'!$T$4="Monthly",INDEX('Mezz 1 Amortization'!$B$19:$V$379,MATCH(DI$135,'Mezz 1 Amortization'!$E$19:$E$379,0),MATCH('Mezz 1 Amortization'!$O$19,'Mezz 1 Amortization'!$B$19:$V$19,0)),IF('Mezz 1 Amortization'!$T$4="Bi-Annual",IF(OR('Mezz 1 Amortization'!$R$4=DI$5,'Mezz 1 Amortization'!$S$4=DI$5),INDEX('Mezz 1 Amortization'!$B$19:$V$379,MATCH(DI$135,'Mezz 1 Amortization'!$E$19:$E$379,0),MATCH('Mezz 1 Amortization'!$O$19,'Mezz 1 Amortization'!$B$19:$V$19,0)),0),0)))</f>
        <v>0</v>
      </c>
      <c r="DJ136" s="1333">
        <f>-IF(OR('Financing Assumptions'!$P$8="No",DJ$135&lt;='Financing Assumptions'!$P$26,DJ$135&gt;'Mezz 1 Amortization'!$T$13),0,IF('Mezz 1 Amortization'!$T$4="Monthly",INDEX('Mezz 1 Amortization'!$B$19:$V$379,MATCH(DJ$135,'Mezz 1 Amortization'!$E$19:$E$379,0),MATCH('Mezz 1 Amortization'!$O$19,'Mezz 1 Amortization'!$B$19:$V$19,0)),IF('Mezz 1 Amortization'!$T$4="Bi-Annual",IF(OR('Mezz 1 Amortization'!$R$4=DJ$5,'Mezz 1 Amortization'!$S$4=DJ$5),INDEX('Mezz 1 Amortization'!$B$19:$V$379,MATCH(DJ$135,'Mezz 1 Amortization'!$E$19:$E$379,0),MATCH('Mezz 1 Amortization'!$O$19,'Mezz 1 Amortization'!$B$19:$V$19,0)),0),0)))</f>
        <v>0</v>
      </c>
      <c r="DK136" s="1333">
        <f>-IF(OR('Financing Assumptions'!$P$8="No",DK$135&lt;='Financing Assumptions'!$P$26,DK$135&gt;'Mezz 1 Amortization'!$T$13),0,IF('Mezz 1 Amortization'!$T$4="Monthly",INDEX('Mezz 1 Amortization'!$B$19:$V$379,MATCH(DK$135,'Mezz 1 Amortization'!$E$19:$E$379,0),MATCH('Mezz 1 Amortization'!$O$19,'Mezz 1 Amortization'!$B$19:$V$19,0)),IF('Mezz 1 Amortization'!$T$4="Bi-Annual",IF(OR('Mezz 1 Amortization'!$R$4=DK$5,'Mezz 1 Amortization'!$S$4=DK$5),INDEX('Mezz 1 Amortization'!$B$19:$V$379,MATCH(DK$135,'Mezz 1 Amortization'!$E$19:$E$379,0),MATCH('Mezz 1 Amortization'!$O$19,'Mezz 1 Amortization'!$B$19:$V$19,0)),0),0)))</f>
        <v>0</v>
      </c>
      <c r="DL136" s="1333">
        <f>-IF(OR('Financing Assumptions'!$P$8="No",DL$135&lt;='Financing Assumptions'!$P$26,DL$135&gt;'Mezz 1 Amortization'!$T$13),0,IF('Mezz 1 Amortization'!$T$4="Monthly",INDEX('Mezz 1 Amortization'!$B$19:$V$379,MATCH(DL$135,'Mezz 1 Amortization'!$E$19:$E$379,0),MATCH('Mezz 1 Amortization'!$O$19,'Mezz 1 Amortization'!$B$19:$V$19,0)),IF('Mezz 1 Amortization'!$T$4="Bi-Annual",IF(OR('Mezz 1 Amortization'!$R$4=DL$5,'Mezz 1 Amortization'!$S$4=DL$5),INDEX('Mezz 1 Amortization'!$B$19:$V$379,MATCH(DL$135,'Mezz 1 Amortization'!$E$19:$E$379,0),MATCH('Mezz 1 Amortization'!$O$19,'Mezz 1 Amortization'!$B$19:$V$19,0)),0),0)))</f>
        <v>0</v>
      </c>
      <c r="DM136" s="1333">
        <f>-IF(OR('Financing Assumptions'!$P$8="No",DM$135&lt;='Financing Assumptions'!$P$26,DM$135&gt;'Mezz 1 Amortization'!$T$13),0,IF('Mezz 1 Amortization'!$T$4="Monthly",INDEX('Mezz 1 Amortization'!$B$19:$V$379,MATCH(DM$135,'Mezz 1 Amortization'!$E$19:$E$379,0),MATCH('Mezz 1 Amortization'!$O$19,'Mezz 1 Amortization'!$B$19:$V$19,0)),IF('Mezz 1 Amortization'!$T$4="Bi-Annual",IF(OR('Mezz 1 Amortization'!$R$4=DM$5,'Mezz 1 Amortization'!$S$4=DM$5),INDEX('Mezz 1 Amortization'!$B$19:$V$379,MATCH(DM$135,'Mezz 1 Amortization'!$E$19:$E$379,0),MATCH('Mezz 1 Amortization'!$O$19,'Mezz 1 Amortization'!$B$19:$V$19,0)),0),0)))</f>
        <v>0</v>
      </c>
      <c r="DN136" s="1333">
        <f>-IF(OR('Financing Assumptions'!$P$8="No",DN$135&lt;='Financing Assumptions'!$P$26,DN$135&gt;'Mezz 1 Amortization'!$T$13),0,IF('Mezz 1 Amortization'!$T$4="Monthly",INDEX('Mezz 1 Amortization'!$B$19:$V$379,MATCH(DN$135,'Mezz 1 Amortization'!$E$19:$E$379,0),MATCH('Mezz 1 Amortization'!$O$19,'Mezz 1 Amortization'!$B$19:$V$19,0)),IF('Mezz 1 Amortization'!$T$4="Bi-Annual",IF(OR('Mezz 1 Amortization'!$R$4=DN$5,'Mezz 1 Amortization'!$S$4=DN$5),INDEX('Mezz 1 Amortization'!$B$19:$V$379,MATCH(DN$135,'Mezz 1 Amortization'!$E$19:$E$379,0),MATCH('Mezz 1 Amortization'!$O$19,'Mezz 1 Amortization'!$B$19:$V$19,0)),0),0)))</f>
        <v>0</v>
      </c>
      <c r="DO136" s="1333">
        <f>-IF(OR('Financing Assumptions'!$P$8="No",DO$135&lt;='Financing Assumptions'!$P$26,DO$135&gt;'Mezz 1 Amortization'!$T$13),0,IF('Mezz 1 Amortization'!$T$4="Monthly",INDEX('Mezz 1 Amortization'!$B$19:$V$379,MATCH(DO$135,'Mezz 1 Amortization'!$E$19:$E$379,0),MATCH('Mezz 1 Amortization'!$O$19,'Mezz 1 Amortization'!$B$19:$V$19,0)),IF('Mezz 1 Amortization'!$T$4="Bi-Annual",IF(OR('Mezz 1 Amortization'!$R$4=DO$5,'Mezz 1 Amortization'!$S$4=DO$5),INDEX('Mezz 1 Amortization'!$B$19:$V$379,MATCH(DO$135,'Mezz 1 Amortization'!$E$19:$E$379,0),MATCH('Mezz 1 Amortization'!$O$19,'Mezz 1 Amortization'!$B$19:$V$19,0)),0),0)))</f>
        <v>0</v>
      </c>
      <c r="DP136" s="1333">
        <f>-IF(OR('Financing Assumptions'!$P$8="No",DP$135&lt;='Financing Assumptions'!$P$26,DP$135&gt;'Mezz 1 Amortization'!$T$13),0,IF('Mezz 1 Amortization'!$T$4="Monthly",INDEX('Mezz 1 Amortization'!$B$19:$V$379,MATCH(DP$135,'Mezz 1 Amortization'!$E$19:$E$379,0),MATCH('Mezz 1 Amortization'!$O$19,'Mezz 1 Amortization'!$B$19:$V$19,0)),IF('Mezz 1 Amortization'!$T$4="Bi-Annual",IF(OR('Mezz 1 Amortization'!$R$4=DP$5,'Mezz 1 Amortization'!$S$4=DP$5),INDEX('Mezz 1 Amortization'!$B$19:$V$379,MATCH(DP$135,'Mezz 1 Amortization'!$E$19:$E$379,0),MATCH('Mezz 1 Amortization'!$O$19,'Mezz 1 Amortization'!$B$19:$V$19,0)),0),0)))</f>
        <v>0</v>
      </c>
      <c r="DQ136" s="1333">
        <f>-IF(OR('Financing Assumptions'!$P$8="No",DQ$135&lt;='Financing Assumptions'!$P$26,DQ$135&gt;'Mezz 1 Amortization'!$T$13),0,IF('Mezz 1 Amortization'!$T$4="Monthly",INDEX('Mezz 1 Amortization'!$B$19:$V$379,MATCH(DQ$135,'Mezz 1 Amortization'!$E$19:$E$379,0),MATCH('Mezz 1 Amortization'!$O$19,'Mezz 1 Amortization'!$B$19:$V$19,0)),IF('Mezz 1 Amortization'!$T$4="Bi-Annual",IF(OR('Mezz 1 Amortization'!$R$4=DQ$5,'Mezz 1 Amortization'!$S$4=DQ$5),INDEX('Mezz 1 Amortization'!$B$19:$V$379,MATCH(DQ$135,'Mezz 1 Amortization'!$E$19:$E$379,0),MATCH('Mezz 1 Amortization'!$O$19,'Mezz 1 Amortization'!$B$19:$V$19,0)),0),0)))</f>
        <v>0</v>
      </c>
      <c r="DR136" s="1333">
        <f>-IF(OR('Financing Assumptions'!$P$8="No",DR$135&lt;='Financing Assumptions'!$P$26,DR$135&gt;'Mezz 1 Amortization'!$T$13),0,IF('Mezz 1 Amortization'!$T$4="Monthly",INDEX('Mezz 1 Amortization'!$B$19:$V$379,MATCH(DR$135,'Mezz 1 Amortization'!$E$19:$E$379,0),MATCH('Mezz 1 Amortization'!$O$19,'Mezz 1 Amortization'!$B$19:$V$19,0)),IF('Mezz 1 Amortization'!$T$4="Bi-Annual",IF(OR('Mezz 1 Amortization'!$R$4=DR$5,'Mezz 1 Amortization'!$S$4=DR$5),INDEX('Mezz 1 Amortization'!$B$19:$V$379,MATCH(DR$135,'Mezz 1 Amortization'!$E$19:$E$379,0),MATCH('Mezz 1 Amortization'!$O$19,'Mezz 1 Amortization'!$B$19:$V$19,0)),0),0)))</f>
        <v>0</v>
      </c>
      <c r="DS136" s="1333">
        <f>-IF(OR('Financing Assumptions'!$P$8="No",DS$135&lt;='Financing Assumptions'!$P$26,DS$135&gt;'Mezz 1 Amortization'!$T$13),0,IF('Mezz 1 Amortization'!$T$4="Monthly",INDEX('Mezz 1 Amortization'!$B$19:$V$379,MATCH(DS$135,'Mezz 1 Amortization'!$E$19:$E$379,0),MATCH('Mezz 1 Amortization'!$O$19,'Mezz 1 Amortization'!$B$19:$V$19,0)),IF('Mezz 1 Amortization'!$T$4="Bi-Annual",IF(OR('Mezz 1 Amortization'!$R$4=DS$5,'Mezz 1 Amortization'!$S$4=DS$5),INDEX('Mezz 1 Amortization'!$B$19:$V$379,MATCH(DS$135,'Mezz 1 Amortization'!$E$19:$E$379,0),MATCH('Mezz 1 Amortization'!$O$19,'Mezz 1 Amortization'!$B$19:$V$19,0)),0),0)))</f>
        <v>0</v>
      </c>
      <c r="DT136" s="1333">
        <f>-IF(OR('Financing Assumptions'!$P$8="No",DT$135&lt;='Financing Assumptions'!$P$26,DT$135&gt;'Mezz 1 Amortization'!$T$13),0,IF('Mezz 1 Amortization'!$T$4="Monthly",INDEX('Mezz 1 Amortization'!$B$19:$V$379,MATCH(DT$135,'Mezz 1 Amortization'!$E$19:$E$379,0),MATCH('Mezz 1 Amortization'!$O$19,'Mezz 1 Amortization'!$B$19:$V$19,0)),IF('Mezz 1 Amortization'!$T$4="Bi-Annual",IF(OR('Mezz 1 Amortization'!$R$4=DT$5,'Mezz 1 Amortization'!$S$4=DT$5),INDEX('Mezz 1 Amortization'!$B$19:$V$379,MATCH(DT$135,'Mezz 1 Amortization'!$E$19:$E$379,0),MATCH('Mezz 1 Amortization'!$O$19,'Mezz 1 Amortization'!$B$19:$V$19,0)),0),0)))</f>
        <v>0</v>
      </c>
      <c r="DU136" s="1333">
        <f>-IF(OR('Financing Assumptions'!$P$8="No",DU$135&lt;='Financing Assumptions'!$P$26,DU$135&gt;'Mezz 1 Amortization'!$T$13),0,IF('Mezz 1 Amortization'!$T$4="Monthly",INDEX('Mezz 1 Amortization'!$B$19:$V$379,MATCH(DU$135,'Mezz 1 Amortization'!$E$19:$E$379,0),MATCH('Mezz 1 Amortization'!$O$19,'Mezz 1 Amortization'!$B$19:$V$19,0)),IF('Mezz 1 Amortization'!$T$4="Bi-Annual",IF(OR('Mezz 1 Amortization'!$R$4=DU$5,'Mezz 1 Amortization'!$S$4=DU$5),INDEX('Mezz 1 Amortization'!$B$19:$V$379,MATCH(DU$135,'Mezz 1 Amortization'!$E$19:$E$379,0),MATCH('Mezz 1 Amortization'!$O$19,'Mezz 1 Amortization'!$B$19:$V$19,0)),0),0)))</f>
        <v>0</v>
      </c>
      <c r="DV136" s="1333">
        <f>-IF(OR('Financing Assumptions'!$P$8="No",DV$135&lt;='Financing Assumptions'!$P$26,DV$135&gt;'Mezz 1 Amortization'!$T$13),0,IF('Mezz 1 Amortization'!$T$4="Monthly",INDEX('Mezz 1 Amortization'!$B$19:$V$379,MATCH(DV$135,'Mezz 1 Amortization'!$E$19:$E$379,0),MATCH('Mezz 1 Amortization'!$O$19,'Mezz 1 Amortization'!$B$19:$V$19,0)),IF('Mezz 1 Amortization'!$T$4="Bi-Annual",IF(OR('Mezz 1 Amortization'!$R$4=DV$5,'Mezz 1 Amortization'!$S$4=DV$5),INDEX('Mezz 1 Amortization'!$B$19:$V$379,MATCH(DV$135,'Mezz 1 Amortization'!$E$19:$E$379,0),MATCH('Mezz 1 Amortization'!$O$19,'Mezz 1 Amortization'!$B$19:$V$19,0)),0),0)))</f>
        <v>0</v>
      </c>
      <c r="DW136" s="1333">
        <f>-IF(OR('Financing Assumptions'!$P$8="No",DW$135&lt;='Financing Assumptions'!$P$26,DW$135&gt;'Mezz 1 Amortization'!$T$13),0,IF('Mezz 1 Amortization'!$T$4="Monthly",INDEX('Mezz 1 Amortization'!$B$19:$V$379,MATCH(DW$135,'Mezz 1 Amortization'!$E$19:$E$379,0),MATCH('Mezz 1 Amortization'!$O$19,'Mezz 1 Amortization'!$B$19:$V$19,0)),IF('Mezz 1 Amortization'!$T$4="Bi-Annual",IF(OR('Mezz 1 Amortization'!$R$4=DW$5,'Mezz 1 Amortization'!$S$4=DW$5),INDEX('Mezz 1 Amortization'!$B$19:$V$379,MATCH(DW$135,'Mezz 1 Amortization'!$E$19:$E$379,0),MATCH('Mezz 1 Amortization'!$O$19,'Mezz 1 Amortization'!$B$19:$V$19,0)),0),0)))</f>
        <v>0</v>
      </c>
      <c r="DX136" s="1333">
        <f>-IF(OR('Financing Assumptions'!$P$8="No",DX$135&lt;='Financing Assumptions'!$P$26,DX$135&gt;'Mezz 1 Amortization'!$T$13),0,IF('Mezz 1 Amortization'!$T$4="Monthly",INDEX('Mezz 1 Amortization'!$B$19:$V$379,MATCH(DX$135,'Mezz 1 Amortization'!$E$19:$E$379,0),MATCH('Mezz 1 Amortization'!$O$19,'Mezz 1 Amortization'!$B$19:$V$19,0)),IF('Mezz 1 Amortization'!$T$4="Bi-Annual",IF(OR('Mezz 1 Amortization'!$R$4=DX$5,'Mezz 1 Amortization'!$S$4=DX$5),INDEX('Mezz 1 Amortization'!$B$19:$V$379,MATCH(DX$135,'Mezz 1 Amortization'!$E$19:$E$379,0),MATCH('Mezz 1 Amortization'!$O$19,'Mezz 1 Amortization'!$B$19:$V$19,0)),0),0)))</f>
        <v>0</v>
      </c>
      <c r="DY136" s="1333">
        <f>-IF(OR('Financing Assumptions'!$P$8="No",DY$135&lt;='Financing Assumptions'!$P$26,DY$135&gt;'Mezz 1 Amortization'!$T$13),0,IF('Mezz 1 Amortization'!$T$4="Monthly",INDEX('Mezz 1 Amortization'!$B$19:$V$379,MATCH(DY$135,'Mezz 1 Amortization'!$E$19:$E$379,0),MATCH('Mezz 1 Amortization'!$O$19,'Mezz 1 Amortization'!$B$19:$V$19,0)),IF('Mezz 1 Amortization'!$T$4="Bi-Annual",IF(OR('Mezz 1 Amortization'!$R$4=DY$5,'Mezz 1 Amortization'!$S$4=DY$5),INDEX('Mezz 1 Amortization'!$B$19:$V$379,MATCH(DY$135,'Mezz 1 Amortization'!$E$19:$E$379,0),MATCH('Mezz 1 Amortization'!$O$19,'Mezz 1 Amortization'!$B$19:$V$19,0)),0),0)))</f>
        <v>0</v>
      </c>
      <c r="DZ136" s="1333">
        <f>-IF(OR('Financing Assumptions'!$P$8="No",DZ$135&lt;='Financing Assumptions'!$P$26,DZ$135&gt;'Mezz 1 Amortization'!$T$13),0,IF('Mezz 1 Amortization'!$T$4="Monthly",INDEX('Mezz 1 Amortization'!$B$19:$V$379,MATCH(DZ$135,'Mezz 1 Amortization'!$E$19:$E$379,0),MATCH('Mezz 1 Amortization'!$O$19,'Mezz 1 Amortization'!$B$19:$V$19,0)),IF('Mezz 1 Amortization'!$T$4="Bi-Annual",IF(OR('Mezz 1 Amortization'!$R$4=DZ$5,'Mezz 1 Amortization'!$S$4=DZ$5),INDEX('Mezz 1 Amortization'!$B$19:$V$379,MATCH(DZ$135,'Mezz 1 Amortization'!$E$19:$E$379,0),MATCH('Mezz 1 Amortization'!$O$19,'Mezz 1 Amortization'!$B$19:$V$19,0)),0),0)))</f>
        <v>0</v>
      </c>
      <c r="EA136" s="1333">
        <f>-IF(OR('Financing Assumptions'!$P$8="No",EA$135&lt;='Financing Assumptions'!$P$26,EA$135&gt;'Mezz 1 Amortization'!$T$13),0,IF('Mezz 1 Amortization'!$T$4="Monthly",INDEX('Mezz 1 Amortization'!$B$19:$V$379,MATCH(EA$135,'Mezz 1 Amortization'!$E$19:$E$379,0),MATCH('Mezz 1 Amortization'!$O$19,'Mezz 1 Amortization'!$B$19:$V$19,0)),IF('Mezz 1 Amortization'!$T$4="Bi-Annual",IF(OR('Mezz 1 Amortization'!$R$4=EA$5,'Mezz 1 Amortization'!$S$4=EA$5),INDEX('Mezz 1 Amortization'!$B$19:$V$379,MATCH(EA$135,'Mezz 1 Amortization'!$E$19:$E$379,0),MATCH('Mezz 1 Amortization'!$O$19,'Mezz 1 Amortization'!$B$19:$V$19,0)),0),0)))</f>
        <v>0</v>
      </c>
      <c r="EB136" s="1333">
        <f>-IF(OR('Financing Assumptions'!$P$8="No",EB$135&lt;='Financing Assumptions'!$P$26,EB$135&gt;'Mezz 1 Amortization'!$T$13),0,IF('Mezz 1 Amortization'!$T$4="Monthly",INDEX('Mezz 1 Amortization'!$B$19:$V$379,MATCH(EB$135,'Mezz 1 Amortization'!$E$19:$E$379,0),MATCH('Mezz 1 Amortization'!$O$19,'Mezz 1 Amortization'!$B$19:$V$19,0)),IF('Mezz 1 Amortization'!$T$4="Bi-Annual",IF(OR('Mezz 1 Amortization'!$R$4=EB$5,'Mezz 1 Amortization'!$S$4=EB$5),INDEX('Mezz 1 Amortization'!$B$19:$V$379,MATCH(EB$135,'Mezz 1 Amortization'!$E$19:$E$379,0),MATCH('Mezz 1 Amortization'!$O$19,'Mezz 1 Amortization'!$B$19:$V$19,0)),0),0)))</f>
        <v>0</v>
      </c>
      <c r="EC136" s="1333">
        <f>-IF(OR('Financing Assumptions'!$P$8="No",EC$135&lt;='Financing Assumptions'!$P$26,EC$135&gt;'Mezz 1 Amortization'!$T$13),0,IF('Mezz 1 Amortization'!$T$4="Monthly",INDEX('Mezz 1 Amortization'!$B$19:$V$379,MATCH(EC$135,'Mezz 1 Amortization'!$E$19:$E$379,0),MATCH('Mezz 1 Amortization'!$O$19,'Mezz 1 Amortization'!$B$19:$V$19,0)),IF('Mezz 1 Amortization'!$T$4="Bi-Annual",IF(OR('Mezz 1 Amortization'!$R$4=EC$5,'Mezz 1 Amortization'!$S$4=EC$5),INDEX('Mezz 1 Amortization'!$B$19:$V$379,MATCH(EC$135,'Mezz 1 Amortization'!$E$19:$E$379,0),MATCH('Mezz 1 Amortization'!$O$19,'Mezz 1 Amortization'!$B$19:$V$19,0)),0),0)))</f>
        <v>0</v>
      </c>
      <c r="ED136" s="1333">
        <f>-IF(OR('Financing Assumptions'!$P$8="No",ED$135&lt;='Financing Assumptions'!$P$26,ED$135&gt;'Mezz 1 Amortization'!$T$13),0,IF('Mezz 1 Amortization'!$T$4="Monthly",INDEX('Mezz 1 Amortization'!$B$19:$V$379,MATCH(ED$135,'Mezz 1 Amortization'!$E$19:$E$379,0),MATCH('Mezz 1 Amortization'!$O$19,'Mezz 1 Amortization'!$B$19:$V$19,0)),IF('Mezz 1 Amortization'!$T$4="Bi-Annual",IF(OR('Mezz 1 Amortization'!$R$4=ED$5,'Mezz 1 Amortization'!$S$4=ED$5),INDEX('Mezz 1 Amortization'!$B$19:$V$379,MATCH(ED$135,'Mezz 1 Amortization'!$E$19:$E$379,0),MATCH('Mezz 1 Amortization'!$O$19,'Mezz 1 Amortization'!$B$19:$V$19,0)),0),0)))</f>
        <v>0</v>
      </c>
      <c r="EE136" s="1333">
        <f>-IF(OR('Financing Assumptions'!$P$8="No",EE$135&lt;='Financing Assumptions'!$P$26,EE$135&gt;'Mezz 1 Amortization'!$T$13),0,IF('Mezz 1 Amortization'!$T$4="Monthly",INDEX('Mezz 1 Amortization'!$B$19:$V$379,MATCH(EE$135,'Mezz 1 Amortization'!$E$19:$E$379,0),MATCH('Mezz 1 Amortization'!$O$19,'Mezz 1 Amortization'!$B$19:$V$19,0)),IF('Mezz 1 Amortization'!$T$4="Bi-Annual",IF(OR('Mezz 1 Amortization'!$R$4=EE$5,'Mezz 1 Amortization'!$S$4=EE$5),INDEX('Mezz 1 Amortization'!$B$19:$V$379,MATCH(EE$135,'Mezz 1 Amortization'!$E$19:$E$379,0),MATCH('Mezz 1 Amortization'!$O$19,'Mezz 1 Amortization'!$B$19:$V$19,0)),0),0)))</f>
        <v>0</v>
      </c>
      <c r="EF136" s="1333">
        <f>-IF(OR('Financing Assumptions'!$P$8="No",EF$135&lt;='Financing Assumptions'!$P$26,EF$135&gt;'Mezz 1 Amortization'!$T$13),0,IF('Mezz 1 Amortization'!$T$4="Monthly",INDEX('Mezz 1 Amortization'!$B$19:$V$379,MATCH(EF$135,'Mezz 1 Amortization'!$E$19:$E$379,0),MATCH('Mezz 1 Amortization'!$O$19,'Mezz 1 Amortization'!$B$19:$V$19,0)),IF('Mezz 1 Amortization'!$T$4="Bi-Annual",IF(OR('Mezz 1 Amortization'!$R$4=EF$5,'Mezz 1 Amortization'!$S$4=EF$5),INDEX('Mezz 1 Amortization'!$B$19:$V$379,MATCH(EF$135,'Mezz 1 Amortization'!$E$19:$E$379,0),MATCH('Mezz 1 Amortization'!$O$19,'Mezz 1 Amortization'!$B$19:$V$19,0)),0),0)))</f>
        <v>0</v>
      </c>
      <c r="EG136" s="1333">
        <f>-IF(OR('Financing Assumptions'!$P$8="No",EG$135&lt;='Financing Assumptions'!$P$26,EG$135&gt;'Mezz 1 Amortization'!$T$13),0,IF('Mezz 1 Amortization'!$T$4="Monthly",INDEX('Mezz 1 Amortization'!$B$19:$V$379,MATCH(EG$135,'Mezz 1 Amortization'!$E$19:$E$379,0),MATCH('Mezz 1 Amortization'!$O$19,'Mezz 1 Amortization'!$B$19:$V$19,0)),IF('Mezz 1 Amortization'!$T$4="Bi-Annual",IF(OR('Mezz 1 Amortization'!$R$4=EG$5,'Mezz 1 Amortization'!$S$4=EG$5),INDEX('Mezz 1 Amortization'!$B$19:$V$379,MATCH(EG$135,'Mezz 1 Amortization'!$E$19:$E$379,0),MATCH('Mezz 1 Amortization'!$O$19,'Mezz 1 Amortization'!$B$19:$V$19,0)),0),0)))</f>
        <v>0</v>
      </c>
      <c r="EH136" s="1333">
        <f>-IF(OR('Financing Assumptions'!$P$8="No",EH$135&lt;='Financing Assumptions'!$P$26,EH$135&gt;'Mezz 1 Amortization'!$T$13),0,IF('Mezz 1 Amortization'!$T$4="Monthly",INDEX('Mezz 1 Amortization'!$B$19:$V$379,MATCH(EH$135,'Mezz 1 Amortization'!$E$19:$E$379,0),MATCH('Mezz 1 Amortization'!$O$19,'Mezz 1 Amortization'!$B$19:$V$19,0)),IF('Mezz 1 Amortization'!$T$4="Bi-Annual",IF(OR('Mezz 1 Amortization'!$R$4=EH$5,'Mezz 1 Amortization'!$S$4=EH$5),INDEX('Mezz 1 Amortization'!$B$19:$V$379,MATCH(EH$135,'Mezz 1 Amortization'!$E$19:$E$379,0),MATCH('Mezz 1 Amortization'!$O$19,'Mezz 1 Amortization'!$B$19:$V$19,0)),0),0)))</f>
        <v>0</v>
      </c>
      <c r="EI136" s="1333">
        <f>-IF(OR('Financing Assumptions'!$P$8="No",EI$135&lt;='Financing Assumptions'!$P$26,EI$135&gt;'Mezz 1 Amortization'!$T$13),0,IF('Mezz 1 Amortization'!$T$4="Monthly",INDEX('Mezz 1 Amortization'!$B$19:$V$379,MATCH(EI$135,'Mezz 1 Amortization'!$E$19:$E$379,0),MATCH('Mezz 1 Amortization'!$O$19,'Mezz 1 Amortization'!$B$19:$V$19,0)),IF('Mezz 1 Amortization'!$T$4="Bi-Annual",IF(OR('Mezz 1 Amortization'!$R$4=EI$5,'Mezz 1 Amortization'!$S$4=EI$5),INDEX('Mezz 1 Amortization'!$B$19:$V$379,MATCH(EI$135,'Mezz 1 Amortization'!$E$19:$E$379,0),MATCH('Mezz 1 Amortization'!$O$19,'Mezz 1 Amortization'!$B$19:$V$19,0)),0),0)))</f>
        <v>0</v>
      </c>
      <c r="EJ136" s="1333">
        <f>-IF(OR('Financing Assumptions'!$P$8="No",EJ$135&lt;='Financing Assumptions'!$P$26,EJ$135&gt;'Mezz 1 Amortization'!$T$13),0,IF('Mezz 1 Amortization'!$T$4="Monthly",INDEX('Mezz 1 Amortization'!$B$19:$V$379,MATCH(EJ$135,'Mezz 1 Amortization'!$E$19:$E$379,0),MATCH('Mezz 1 Amortization'!$O$19,'Mezz 1 Amortization'!$B$19:$V$19,0)),IF('Mezz 1 Amortization'!$T$4="Bi-Annual",IF(OR('Mezz 1 Amortization'!$R$4=EJ$5,'Mezz 1 Amortization'!$S$4=EJ$5),INDEX('Mezz 1 Amortization'!$B$19:$V$379,MATCH(EJ$135,'Mezz 1 Amortization'!$E$19:$E$379,0),MATCH('Mezz 1 Amortization'!$O$19,'Mezz 1 Amortization'!$B$19:$V$19,0)),0),0)))</f>
        <v>0</v>
      </c>
      <c r="EK136" s="1333">
        <f>-IF(OR('Financing Assumptions'!$P$8="No",EK$135&lt;='Financing Assumptions'!$P$26,EK$135&gt;'Mezz 1 Amortization'!$T$13),0,IF('Mezz 1 Amortization'!$T$4="Monthly",INDEX('Mezz 1 Amortization'!$B$19:$V$379,MATCH(EK$135,'Mezz 1 Amortization'!$E$19:$E$379,0),MATCH('Mezz 1 Amortization'!$O$19,'Mezz 1 Amortization'!$B$19:$V$19,0)),IF('Mezz 1 Amortization'!$T$4="Bi-Annual",IF(OR('Mezz 1 Amortization'!$R$4=EK$5,'Mezz 1 Amortization'!$S$4=EK$5),INDEX('Mezz 1 Amortization'!$B$19:$V$379,MATCH(EK$135,'Mezz 1 Amortization'!$E$19:$E$379,0),MATCH('Mezz 1 Amortization'!$O$19,'Mezz 1 Amortization'!$B$19:$V$19,0)),0),0)))</f>
        <v>0</v>
      </c>
      <c r="EL136" s="1333">
        <f>-IF(OR('Financing Assumptions'!$P$8="No",EL$135&lt;='Financing Assumptions'!$P$26,EL$135&gt;'Mezz 1 Amortization'!$T$13),0,IF('Mezz 1 Amortization'!$T$4="Monthly",INDEX('Mezz 1 Amortization'!$B$19:$V$379,MATCH(EL$135,'Mezz 1 Amortization'!$E$19:$E$379,0),MATCH('Mezz 1 Amortization'!$O$19,'Mezz 1 Amortization'!$B$19:$V$19,0)),IF('Mezz 1 Amortization'!$T$4="Bi-Annual",IF(OR('Mezz 1 Amortization'!$R$4=EL$5,'Mezz 1 Amortization'!$S$4=EL$5),INDEX('Mezz 1 Amortization'!$B$19:$V$379,MATCH(EL$135,'Mezz 1 Amortization'!$E$19:$E$379,0),MATCH('Mezz 1 Amortization'!$O$19,'Mezz 1 Amortization'!$B$19:$V$19,0)),0),0)))</f>
        <v>0</v>
      </c>
      <c r="EM136" s="1333">
        <f>-IF(OR('Financing Assumptions'!$P$8="No",EM$135&lt;='Financing Assumptions'!$P$26,EM$135&gt;'Mezz 1 Amortization'!$T$13),0,IF('Mezz 1 Amortization'!$T$4="Monthly",INDEX('Mezz 1 Amortization'!$B$19:$V$379,MATCH(EM$135,'Mezz 1 Amortization'!$E$19:$E$379,0),MATCH('Mezz 1 Amortization'!$O$19,'Mezz 1 Amortization'!$B$19:$V$19,0)),IF('Mezz 1 Amortization'!$T$4="Bi-Annual",IF(OR('Mezz 1 Amortization'!$R$4=EM$5,'Mezz 1 Amortization'!$S$4=EM$5),INDEX('Mezz 1 Amortization'!$B$19:$V$379,MATCH(EM$135,'Mezz 1 Amortization'!$E$19:$E$379,0),MATCH('Mezz 1 Amortization'!$O$19,'Mezz 1 Amortization'!$B$19:$V$19,0)),0),0)))</f>
        <v>0</v>
      </c>
      <c r="EN136" s="1333">
        <f>-IF(OR('Financing Assumptions'!$P$8="No",EN$135&lt;='Financing Assumptions'!$P$26,EN$135&gt;'Mezz 1 Amortization'!$T$13),0,IF('Mezz 1 Amortization'!$T$4="Monthly",INDEX('Mezz 1 Amortization'!$B$19:$V$379,MATCH(EN$135,'Mezz 1 Amortization'!$E$19:$E$379,0),MATCH('Mezz 1 Amortization'!$O$19,'Mezz 1 Amortization'!$B$19:$V$19,0)),IF('Mezz 1 Amortization'!$T$4="Bi-Annual",IF(OR('Mezz 1 Amortization'!$R$4=EN$5,'Mezz 1 Amortization'!$S$4=EN$5),INDEX('Mezz 1 Amortization'!$B$19:$V$379,MATCH(EN$135,'Mezz 1 Amortization'!$E$19:$E$379,0),MATCH('Mezz 1 Amortization'!$O$19,'Mezz 1 Amortization'!$B$19:$V$19,0)),0),0)))</f>
        <v>0</v>
      </c>
      <c r="EO136" s="1333">
        <f>-IF(OR('Financing Assumptions'!$P$8="No",EO$135&lt;='Financing Assumptions'!$P$26,EO$135&gt;'Mezz 1 Amortization'!$T$13),0,IF('Mezz 1 Amortization'!$T$4="Monthly",INDEX('Mezz 1 Amortization'!$B$19:$V$379,MATCH(EO$135,'Mezz 1 Amortization'!$E$19:$E$379,0),MATCH('Mezz 1 Amortization'!$O$19,'Mezz 1 Amortization'!$B$19:$V$19,0)),IF('Mezz 1 Amortization'!$T$4="Bi-Annual",IF(OR('Mezz 1 Amortization'!$R$4=EO$5,'Mezz 1 Amortization'!$S$4=EO$5),INDEX('Mezz 1 Amortization'!$B$19:$V$379,MATCH(EO$135,'Mezz 1 Amortization'!$E$19:$E$379,0),MATCH('Mezz 1 Amortization'!$O$19,'Mezz 1 Amortization'!$B$19:$V$19,0)),0),0)))</f>
        <v>0</v>
      </c>
      <c r="EP136" s="1333">
        <f>-IF(OR('Financing Assumptions'!$P$8="No",EP$135&lt;='Financing Assumptions'!$P$26,EP$135&gt;'Mezz 1 Amortization'!$T$13),0,IF('Mezz 1 Amortization'!$T$4="Monthly",INDEX('Mezz 1 Amortization'!$B$19:$V$379,MATCH(EP$135,'Mezz 1 Amortization'!$E$19:$E$379,0),MATCH('Mezz 1 Amortization'!$O$19,'Mezz 1 Amortization'!$B$19:$V$19,0)),IF('Mezz 1 Amortization'!$T$4="Bi-Annual",IF(OR('Mezz 1 Amortization'!$R$4=EP$5,'Mezz 1 Amortization'!$S$4=EP$5),INDEX('Mezz 1 Amortization'!$B$19:$V$379,MATCH(EP$135,'Mezz 1 Amortization'!$E$19:$E$379,0),MATCH('Mezz 1 Amortization'!$O$19,'Mezz 1 Amortization'!$B$19:$V$19,0)),0),0)))</f>
        <v>0</v>
      </c>
      <c r="EQ136" s="1333">
        <f>-IF(OR('Financing Assumptions'!$P$8="No",EQ$135&lt;='Financing Assumptions'!$P$26,EQ$135&gt;'Mezz 1 Amortization'!$T$13),0,IF('Mezz 1 Amortization'!$T$4="Monthly",INDEX('Mezz 1 Amortization'!$B$19:$V$379,MATCH(EQ$135,'Mezz 1 Amortization'!$E$19:$E$379,0),MATCH('Mezz 1 Amortization'!$O$19,'Mezz 1 Amortization'!$B$19:$V$19,0)),IF('Mezz 1 Amortization'!$T$4="Bi-Annual",IF(OR('Mezz 1 Amortization'!$R$4=EQ$5,'Mezz 1 Amortization'!$S$4=EQ$5),INDEX('Mezz 1 Amortization'!$B$19:$V$379,MATCH(EQ$135,'Mezz 1 Amortization'!$E$19:$E$379,0),MATCH('Mezz 1 Amortization'!$O$19,'Mezz 1 Amortization'!$B$19:$V$19,0)),0),0)))</f>
        <v>0</v>
      </c>
      <c r="ER136" s="1333">
        <f>-IF(OR('Financing Assumptions'!$P$8="No",ER$135&lt;='Financing Assumptions'!$P$26,ER$135&gt;'Mezz 1 Amortization'!$T$13),0,IF('Mezz 1 Amortization'!$T$4="Monthly",INDEX('Mezz 1 Amortization'!$B$19:$V$379,MATCH(ER$135,'Mezz 1 Amortization'!$E$19:$E$379,0),MATCH('Mezz 1 Amortization'!$O$19,'Mezz 1 Amortization'!$B$19:$V$19,0)),IF('Mezz 1 Amortization'!$T$4="Bi-Annual",IF(OR('Mezz 1 Amortization'!$R$4=ER$5,'Mezz 1 Amortization'!$S$4=ER$5),INDEX('Mezz 1 Amortization'!$B$19:$V$379,MATCH(ER$135,'Mezz 1 Amortization'!$E$19:$E$379,0),MATCH('Mezz 1 Amortization'!$O$19,'Mezz 1 Amortization'!$B$19:$V$19,0)),0),0)))</f>
        <v>0</v>
      </c>
      <c r="ES136" s="1333">
        <f>-IF(OR('Financing Assumptions'!$P$8="No",ES$135&lt;='Financing Assumptions'!$P$26,ES$135&gt;'Mezz 1 Amortization'!$T$13),0,IF('Mezz 1 Amortization'!$T$4="Monthly",INDEX('Mezz 1 Amortization'!$B$19:$V$379,MATCH(ES$135,'Mezz 1 Amortization'!$E$19:$E$379,0),MATCH('Mezz 1 Amortization'!$O$19,'Mezz 1 Amortization'!$B$19:$V$19,0)),IF('Mezz 1 Amortization'!$T$4="Bi-Annual",IF(OR('Mezz 1 Amortization'!$R$4=ES$5,'Mezz 1 Amortization'!$S$4=ES$5),INDEX('Mezz 1 Amortization'!$B$19:$V$379,MATCH(ES$135,'Mezz 1 Amortization'!$E$19:$E$379,0),MATCH('Mezz 1 Amortization'!$O$19,'Mezz 1 Amortization'!$B$19:$V$19,0)),0),0)))</f>
        <v>0</v>
      </c>
      <c r="ET136" s="1333">
        <f>-IF(OR('Financing Assumptions'!$P$8="No",ET$135&lt;='Financing Assumptions'!$P$26,ET$135&gt;'Mezz 1 Amortization'!$T$13),0,IF('Mezz 1 Amortization'!$T$4="Monthly",INDEX('Mezz 1 Amortization'!$B$19:$V$379,MATCH(ET$135,'Mezz 1 Amortization'!$E$19:$E$379,0),MATCH('Mezz 1 Amortization'!$O$19,'Mezz 1 Amortization'!$B$19:$V$19,0)),IF('Mezz 1 Amortization'!$T$4="Bi-Annual",IF(OR('Mezz 1 Amortization'!$R$4=ET$5,'Mezz 1 Amortization'!$S$4=ET$5),INDEX('Mezz 1 Amortization'!$B$19:$V$379,MATCH(ET$135,'Mezz 1 Amortization'!$E$19:$E$379,0),MATCH('Mezz 1 Amortization'!$O$19,'Mezz 1 Amortization'!$B$19:$V$19,0)),0),0)))</f>
        <v>0</v>
      </c>
      <c r="EU136" s="1333">
        <f>-IF(OR('Financing Assumptions'!$P$8="No",EU$135&lt;='Financing Assumptions'!$P$26,EU$135&gt;'Mezz 1 Amortization'!$T$13),0,IF('Mezz 1 Amortization'!$T$4="Monthly",INDEX('Mezz 1 Amortization'!$B$19:$V$379,MATCH(EU$135,'Mezz 1 Amortization'!$E$19:$E$379,0),MATCH('Mezz 1 Amortization'!$O$19,'Mezz 1 Amortization'!$B$19:$V$19,0)),IF('Mezz 1 Amortization'!$T$4="Bi-Annual",IF(OR('Mezz 1 Amortization'!$R$4=EU$5,'Mezz 1 Amortization'!$S$4=EU$5),INDEX('Mezz 1 Amortization'!$B$19:$V$379,MATCH(EU$135,'Mezz 1 Amortization'!$E$19:$E$379,0),MATCH('Mezz 1 Amortization'!$O$19,'Mezz 1 Amortization'!$B$19:$V$19,0)),0),0)))</f>
        <v>0</v>
      </c>
      <c r="EV136" s="1333">
        <f>-IF(OR('Financing Assumptions'!$P$8="No",EV$135&lt;='Financing Assumptions'!$P$26,EV$135&gt;'Mezz 1 Amortization'!$T$13),0,IF('Mezz 1 Amortization'!$T$4="Monthly",INDEX('Mezz 1 Amortization'!$B$19:$V$379,MATCH(EV$135,'Mezz 1 Amortization'!$E$19:$E$379,0),MATCH('Mezz 1 Amortization'!$O$19,'Mezz 1 Amortization'!$B$19:$V$19,0)),IF('Mezz 1 Amortization'!$T$4="Bi-Annual",IF(OR('Mezz 1 Amortization'!$R$4=EV$5,'Mezz 1 Amortization'!$S$4=EV$5),INDEX('Mezz 1 Amortization'!$B$19:$V$379,MATCH(EV$135,'Mezz 1 Amortization'!$E$19:$E$379,0),MATCH('Mezz 1 Amortization'!$O$19,'Mezz 1 Amortization'!$B$19:$V$19,0)),0),0)))</f>
        <v>0</v>
      </c>
      <c r="EW136" s="1333">
        <f>-IF(OR('Financing Assumptions'!$P$8="No",EW$135&lt;='Financing Assumptions'!$P$26,EW$135&gt;'Mezz 1 Amortization'!$T$13),0,IF('Mezz 1 Amortization'!$T$4="Monthly",INDEX('Mezz 1 Amortization'!$B$19:$V$379,MATCH(EW$135,'Mezz 1 Amortization'!$E$19:$E$379,0),MATCH('Mezz 1 Amortization'!$O$19,'Mezz 1 Amortization'!$B$19:$V$19,0)),IF('Mezz 1 Amortization'!$T$4="Bi-Annual",IF(OR('Mezz 1 Amortization'!$R$4=EW$5,'Mezz 1 Amortization'!$S$4=EW$5),INDEX('Mezz 1 Amortization'!$B$19:$V$379,MATCH(EW$135,'Mezz 1 Amortization'!$E$19:$E$379,0),MATCH('Mezz 1 Amortization'!$O$19,'Mezz 1 Amortization'!$B$19:$V$19,0)),0),0)))</f>
        <v>0</v>
      </c>
      <c r="EX136" s="1333">
        <f>-IF(OR('Financing Assumptions'!$P$8="No",EX$135&lt;='Financing Assumptions'!$P$26,EX$135&gt;'Mezz 1 Amortization'!$T$13),0,IF('Mezz 1 Amortization'!$T$4="Monthly",INDEX('Mezz 1 Amortization'!$B$19:$V$379,MATCH(EX$135,'Mezz 1 Amortization'!$E$19:$E$379,0),MATCH('Mezz 1 Amortization'!$O$19,'Mezz 1 Amortization'!$B$19:$V$19,0)),IF('Mezz 1 Amortization'!$T$4="Bi-Annual",IF(OR('Mezz 1 Amortization'!$R$4=EX$5,'Mezz 1 Amortization'!$S$4=EX$5),INDEX('Mezz 1 Amortization'!$B$19:$V$379,MATCH(EX$135,'Mezz 1 Amortization'!$E$19:$E$379,0),MATCH('Mezz 1 Amortization'!$O$19,'Mezz 1 Amortization'!$B$19:$V$19,0)),0),0)))</f>
        <v>0</v>
      </c>
      <c r="EY136" s="1333">
        <f>-IF(OR('Financing Assumptions'!$P$8="No",EY$135&lt;='Financing Assumptions'!$P$26,EY$135&gt;'Mezz 1 Amortization'!$T$13),0,IF('Mezz 1 Amortization'!$T$4="Monthly",INDEX('Mezz 1 Amortization'!$B$19:$V$379,MATCH(EY$135,'Mezz 1 Amortization'!$E$19:$E$379,0),MATCH('Mezz 1 Amortization'!$O$19,'Mezz 1 Amortization'!$B$19:$V$19,0)),IF('Mezz 1 Amortization'!$T$4="Bi-Annual",IF(OR('Mezz 1 Amortization'!$R$4=EY$5,'Mezz 1 Amortization'!$S$4=EY$5),INDEX('Mezz 1 Amortization'!$B$19:$V$379,MATCH(EY$135,'Mezz 1 Amortization'!$E$19:$E$379,0),MATCH('Mezz 1 Amortization'!$O$19,'Mezz 1 Amortization'!$B$19:$V$19,0)),0),0)))</f>
        <v>0</v>
      </c>
      <c r="EZ136" s="1333">
        <f>-IF(OR('Financing Assumptions'!$P$8="No",EZ$135&lt;='Financing Assumptions'!$P$26,EZ$135&gt;'Mezz 1 Amortization'!$T$13),0,IF('Mezz 1 Amortization'!$T$4="Monthly",INDEX('Mezz 1 Amortization'!$B$19:$V$379,MATCH(EZ$135,'Mezz 1 Amortization'!$E$19:$E$379,0),MATCH('Mezz 1 Amortization'!$O$19,'Mezz 1 Amortization'!$B$19:$V$19,0)),IF('Mezz 1 Amortization'!$T$4="Bi-Annual",IF(OR('Mezz 1 Amortization'!$R$4=EZ$5,'Mezz 1 Amortization'!$S$4=EZ$5),INDEX('Mezz 1 Amortization'!$B$19:$V$379,MATCH(EZ$135,'Mezz 1 Amortization'!$E$19:$E$379,0),MATCH('Mezz 1 Amortization'!$O$19,'Mezz 1 Amortization'!$B$19:$V$19,0)),0),0)))</f>
        <v>0</v>
      </c>
      <c r="FA136" s="1333">
        <f>-IF(OR('Financing Assumptions'!$P$8="No",FA$135&lt;='Financing Assumptions'!$P$26,FA$135&gt;'Mezz 1 Amortization'!$T$13),0,IF('Mezz 1 Amortization'!$T$4="Monthly",INDEX('Mezz 1 Amortization'!$B$19:$V$379,MATCH(FA$135,'Mezz 1 Amortization'!$E$19:$E$379,0),MATCH('Mezz 1 Amortization'!$O$19,'Mezz 1 Amortization'!$B$19:$V$19,0)),IF('Mezz 1 Amortization'!$T$4="Bi-Annual",IF(OR('Mezz 1 Amortization'!$R$4=FA$5,'Mezz 1 Amortization'!$S$4=FA$5),INDEX('Mezz 1 Amortization'!$B$19:$V$379,MATCH(FA$135,'Mezz 1 Amortization'!$E$19:$E$379,0),MATCH('Mezz 1 Amortization'!$O$19,'Mezz 1 Amortization'!$B$19:$V$19,0)),0),0)))</f>
        <v>0</v>
      </c>
      <c r="FB136" s="1333">
        <f>-IF(OR('Financing Assumptions'!$P$8="No",FB$135&lt;='Financing Assumptions'!$P$26,FB$135&gt;'Mezz 1 Amortization'!$T$13),0,IF('Mezz 1 Amortization'!$T$4="Monthly",INDEX('Mezz 1 Amortization'!$B$19:$V$379,MATCH(FB$135,'Mezz 1 Amortization'!$E$19:$E$379,0),MATCH('Mezz 1 Amortization'!$O$19,'Mezz 1 Amortization'!$B$19:$V$19,0)),IF('Mezz 1 Amortization'!$T$4="Bi-Annual",IF(OR('Mezz 1 Amortization'!$R$4=FB$5,'Mezz 1 Amortization'!$S$4=FB$5),INDEX('Mezz 1 Amortization'!$B$19:$V$379,MATCH(FB$135,'Mezz 1 Amortization'!$E$19:$E$379,0),MATCH('Mezz 1 Amortization'!$O$19,'Mezz 1 Amortization'!$B$19:$V$19,0)),0),0)))</f>
        <v>0</v>
      </c>
      <c r="FC136" s="1333">
        <f>-IF(OR('Financing Assumptions'!$P$8="No",FC$135&lt;='Financing Assumptions'!$P$26,FC$135&gt;'Mezz 1 Amortization'!$T$13),0,IF('Mezz 1 Amortization'!$T$4="Monthly",INDEX('Mezz 1 Amortization'!$B$19:$V$379,MATCH(FC$135,'Mezz 1 Amortization'!$E$19:$E$379,0),MATCH('Mezz 1 Amortization'!$O$19,'Mezz 1 Amortization'!$B$19:$V$19,0)),IF('Mezz 1 Amortization'!$T$4="Bi-Annual",IF(OR('Mezz 1 Amortization'!$R$4=FC$5,'Mezz 1 Amortization'!$S$4=FC$5),INDEX('Mezz 1 Amortization'!$B$19:$V$379,MATCH(FC$135,'Mezz 1 Amortization'!$E$19:$E$379,0),MATCH('Mezz 1 Amortization'!$O$19,'Mezz 1 Amortization'!$B$19:$V$19,0)),0),0)))</f>
        <v>0</v>
      </c>
      <c r="FD136" s="1333">
        <f>-IF(OR('Financing Assumptions'!$P$8="No",FD$135&lt;='Financing Assumptions'!$P$26,FD$135&gt;'Mezz 1 Amortization'!$T$13),0,IF('Mezz 1 Amortization'!$T$4="Monthly",INDEX('Mezz 1 Amortization'!$B$19:$V$379,MATCH(FD$135,'Mezz 1 Amortization'!$E$19:$E$379,0),MATCH('Mezz 1 Amortization'!$O$19,'Mezz 1 Amortization'!$B$19:$V$19,0)),IF('Mezz 1 Amortization'!$T$4="Bi-Annual",IF(OR('Mezz 1 Amortization'!$R$4=FD$5,'Mezz 1 Amortization'!$S$4=FD$5),INDEX('Mezz 1 Amortization'!$B$19:$V$379,MATCH(FD$135,'Mezz 1 Amortization'!$E$19:$E$379,0),MATCH('Mezz 1 Amortization'!$O$19,'Mezz 1 Amortization'!$B$19:$V$19,0)),0),0)))</f>
        <v>0</v>
      </c>
      <c r="FE136" s="1333">
        <f>-IF(OR('Financing Assumptions'!$P$8="No",FE$135&lt;='Financing Assumptions'!$P$26,FE$135&gt;'Mezz 1 Amortization'!$T$13),0,IF('Mezz 1 Amortization'!$T$4="Monthly",INDEX('Mezz 1 Amortization'!$B$19:$V$379,MATCH(FE$135,'Mezz 1 Amortization'!$E$19:$E$379,0),MATCH('Mezz 1 Amortization'!$O$19,'Mezz 1 Amortization'!$B$19:$V$19,0)),IF('Mezz 1 Amortization'!$T$4="Bi-Annual",IF(OR('Mezz 1 Amortization'!$R$4=FE$5,'Mezz 1 Amortization'!$S$4=FE$5),INDEX('Mezz 1 Amortization'!$B$19:$V$379,MATCH(FE$135,'Mezz 1 Amortization'!$E$19:$E$379,0),MATCH('Mezz 1 Amortization'!$O$19,'Mezz 1 Amortization'!$B$19:$V$19,0)),0),0)))</f>
        <v>0</v>
      </c>
      <c r="FF136" s="1333">
        <f>-IF(OR('Financing Assumptions'!$P$8="No",FF$135&lt;='Financing Assumptions'!$P$26,FF$135&gt;'Mezz 1 Amortization'!$T$13),0,IF('Mezz 1 Amortization'!$T$4="Monthly",INDEX('Mezz 1 Amortization'!$B$19:$V$379,MATCH(FF$135,'Mezz 1 Amortization'!$E$19:$E$379,0),MATCH('Mezz 1 Amortization'!$O$19,'Mezz 1 Amortization'!$B$19:$V$19,0)),IF('Mezz 1 Amortization'!$T$4="Bi-Annual",IF(OR('Mezz 1 Amortization'!$R$4=FF$5,'Mezz 1 Amortization'!$S$4=FF$5),INDEX('Mezz 1 Amortization'!$B$19:$V$379,MATCH(FF$135,'Mezz 1 Amortization'!$E$19:$E$379,0),MATCH('Mezz 1 Amortization'!$O$19,'Mezz 1 Amortization'!$B$19:$V$19,0)),0),0)))</f>
        <v>0</v>
      </c>
      <c r="FG136" s="1333">
        <f>-IF(OR('Financing Assumptions'!$P$8="No",FG$135&lt;='Financing Assumptions'!$P$26,FG$135&gt;'Mezz 1 Amortization'!$T$13),0,IF('Mezz 1 Amortization'!$T$4="Monthly",INDEX('Mezz 1 Amortization'!$B$19:$V$379,MATCH(FG$135,'Mezz 1 Amortization'!$E$19:$E$379,0),MATCH('Mezz 1 Amortization'!$O$19,'Mezz 1 Amortization'!$B$19:$V$19,0)),IF('Mezz 1 Amortization'!$T$4="Bi-Annual",IF(OR('Mezz 1 Amortization'!$R$4=FG$5,'Mezz 1 Amortization'!$S$4=FG$5),INDEX('Mezz 1 Amortization'!$B$19:$V$379,MATCH(FG$135,'Mezz 1 Amortization'!$E$19:$E$379,0),MATCH('Mezz 1 Amortization'!$O$19,'Mezz 1 Amortization'!$B$19:$V$19,0)),0),0)))</f>
        <v>0</v>
      </c>
      <c r="FH136" s="1333">
        <f>-IF(OR('Financing Assumptions'!$P$8="No",FH$135&lt;='Financing Assumptions'!$P$26,FH$135&gt;'Mezz 1 Amortization'!$T$13),0,IF('Mezz 1 Amortization'!$T$4="Monthly",INDEX('Mezz 1 Amortization'!$B$19:$V$379,MATCH(FH$135,'Mezz 1 Amortization'!$E$19:$E$379,0),MATCH('Mezz 1 Amortization'!$O$19,'Mezz 1 Amortization'!$B$19:$V$19,0)),IF('Mezz 1 Amortization'!$T$4="Bi-Annual",IF(OR('Mezz 1 Amortization'!$R$4=FH$5,'Mezz 1 Amortization'!$S$4=FH$5),INDEX('Mezz 1 Amortization'!$B$19:$V$379,MATCH(FH$135,'Mezz 1 Amortization'!$E$19:$E$379,0),MATCH('Mezz 1 Amortization'!$O$19,'Mezz 1 Amortization'!$B$19:$V$19,0)),0),0)))</f>
        <v>0</v>
      </c>
      <c r="FI136" s="1333">
        <f>-IF(OR('Financing Assumptions'!$P$8="No",FI$135&lt;='Financing Assumptions'!$P$26,FI$135&gt;'Mezz 1 Amortization'!$T$13),0,IF('Mezz 1 Amortization'!$T$4="Monthly",INDEX('Mezz 1 Amortization'!$B$19:$V$379,MATCH(FI$135,'Mezz 1 Amortization'!$E$19:$E$379,0),MATCH('Mezz 1 Amortization'!$O$19,'Mezz 1 Amortization'!$B$19:$V$19,0)),IF('Mezz 1 Amortization'!$T$4="Bi-Annual",IF(OR('Mezz 1 Amortization'!$R$4=FI$5,'Mezz 1 Amortization'!$S$4=FI$5),INDEX('Mezz 1 Amortization'!$B$19:$V$379,MATCH(FI$135,'Mezz 1 Amortization'!$E$19:$E$379,0),MATCH('Mezz 1 Amortization'!$O$19,'Mezz 1 Amortization'!$B$19:$V$19,0)),0),0)))</f>
        <v>0</v>
      </c>
      <c r="FJ136" s="1333">
        <f>-IF(OR('Financing Assumptions'!$P$8="No",FJ$135&lt;='Financing Assumptions'!$P$26,FJ$135&gt;'Mezz 1 Amortization'!$T$13),0,IF('Mezz 1 Amortization'!$T$4="Monthly",INDEX('Mezz 1 Amortization'!$B$19:$V$379,MATCH(FJ$135,'Mezz 1 Amortization'!$E$19:$E$379,0),MATCH('Mezz 1 Amortization'!$O$19,'Mezz 1 Amortization'!$B$19:$V$19,0)),IF('Mezz 1 Amortization'!$T$4="Bi-Annual",IF(OR('Mezz 1 Amortization'!$R$4=FJ$5,'Mezz 1 Amortization'!$S$4=FJ$5),INDEX('Mezz 1 Amortization'!$B$19:$V$379,MATCH(FJ$135,'Mezz 1 Amortization'!$E$19:$E$379,0),MATCH('Mezz 1 Amortization'!$O$19,'Mezz 1 Amortization'!$B$19:$V$19,0)),0),0)))</f>
        <v>0</v>
      </c>
      <c r="FK136" s="1333">
        <f>-IF(OR('Financing Assumptions'!$P$8="No",FK$135&lt;='Financing Assumptions'!$P$26,FK$135&gt;'Mezz 1 Amortization'!$T$13),0,IF('Mezz 1 Amortization'!$T$4="Monthly",INDEX('Mezz 1 Amortization'!$B$19:$V$379,MATCH(FK$135,'Mezz 1 Amortization'!$E$19:$E$379,0),MATCH('Mezz 1 Amortization'!$O$19,'Mezz 1 Amortization'!$B$19:$V$19,0)),IF('Mezz 1 Amortization'!$T$4="Bi-Annual",IF(OR('Mezz 1 Amortization'!$R$4=FK$5,'Mezz 1 Amortization'!$S$4=FK$5),INDEX('Mezz 1 Amortization'!$B$19:$V$379,MATCH(FK$135,'Mezz 1 Amortization'!$E$19:$E$379,0),MATCH('Mezz 1 Amortization'!$O$19,'Mezz 1 Amortization'!$B$19:$V$19,0)),0),0)))</f>
        <v>0</v>
      </c>
      <c r="FL136" s="1333">
        <f>-IF(OR('Financing Assumptions'!$P$8="No",FL$135&lt;='Financing Assumptions'!$P$26,FL$135&gt;'Mezz 1 Amortization'!$T$13),0,IF('Mezz 1 Amortization'!$T$4="Monthly",INDEX('Mezz 1 Amortization'!$B$19:$V$379,MATCH(FL$135,'Mezz 1 Amortization'!$E$19:$E$379,0),MATCH('Mezz 1 Amortization'!$O$19,'Mezz 1 Amortization'!$B$19:$V$19,0)),IF('Mezz 1 Amortization'!$T$4="Bi-Annual",IF(OR('Mezz 1 Amortization'!$R$4=FL$5,'Mezz 1 Amortization'!$S$4=FL$5),INDEX('Mezz 1 Amortization'!$B$19:$V$379,MATCH(FL$135,'Mezz 1 Amortization'!$E$19:$E$379,0),MATCH('Mezz 1 Amortization'!$O$19,'Mezz 1 Amortization'!$B$19:$V$19,0)),0),0)))</f>
        <v>0</v>
      </c>
      <c r="FM136" s="1333">
        <f>-IF(OR('Financing Assumptions'!$P$8="No",FM$135&lt;='Financing Assumptions'!$P$26,FM$135&gt;'Mezz 1 Amortization'!$T$13),0,IF('Mezz 1 Amortization'!$T$4="Monthly",INDEX('Mezz 1 Amortization'!$B$19:$V$379,MATCH(FM$135,'Mezz 1 Amortization'!$E$19:$E$379,0),MATCH('Mezz 1 Amortization'!$O$19,'Mezz 1 Amortization'!$B$19:$V$19,0)),IF('Mezz 1 Amortization'!$T$4="Bi-Annual",IF(OR('Mezz 1 Amortization'!$R$4=FM$5,'Mezz 1 Amortization'!$S$4=FM$5),INDEX('Mezz 1 Amortization'!$B$19:$V$379,MATCH(FM$135,'Mezz 1 Amortization'!$E$19:$E$379,0),MATCH('Mezz 1 Amortization'!$O$19,'Mezz 1 Amortization'!$B$19:$V$19,0)),0),0)))</f>
        <v>0</v>
      </c>
      <c r="FN136" s="1333">
        <f>-IF(OR('Financing Assumptions'!$P$8="No",FN$135&lt;='Financing Assumptions'!$P$26,FN$135&gt;'Mezz 1 Amortization'!$T$13),0,IF('Mezz 1 Amortization'!$T$4="Monthly",INDEX('Mezz 1 Amortization'!$B$19:$V$379,MATCH(FN$135,'Mezz 1 Amortization'!$E$19:$E$379,0),MATCH('Mezz 1 Amortization'!$O$19,'Mezz 1 Amortization'!$B$19:$V$19,0)),IF('Mezz 1 Amortization'!$T$4="Bi-Annual",IF(OR('Mezz 1 Amortization'!$R$4=FN$5,'Mezz 1 Amortization'!$S$4=FN$5),INDEX('Mezz 1 Amortization'!$B$19:$V$379,MATCH(FN$135,'Mezz 1 Amortization'!$E$19:$E$379,0),MATCH('Mezz 1 Amortization'!$O$19,'Mezz 1 Amortization'!$B$19:$V$19,0)),0),0)))</f>
        <v>0</v>
      </c>
      <c r="FO136" s="1333">
        <f>-IF(OR('Financing Assumptions'!$P$8="No",FO$135&lt;='Financing Assumptions'!$P$26,FO$135&gt;'Mezz 1 Amortization'!$T$13),0,IF('Mezz 1 Amortization'!$T$4="Monthly",INDEX('Mezz 1 Amortization'!$B$19:$V$379,MATCH(FO$135,'Mezz 1 Amortization'!$E$19:$E$379,0),MATCH('Mezz 1 Amortization'!$O$19,'Mezz 1 Amortization'!$B$19:$V$19,0)),IF('Mezz 1 Amortization'!$T$4="Bi-Annual",IF(OR('Mezz 1 Amortization'!$R$4=FO$5,'Mezz 1 Amortization'!$S$4=FO$5),INDEX('Mezz 1 Amortization'!$B$19:$V$379,MATCH(FO$135,'Mezz 1 Amortization'!$E$19:$E$379,0),MATCH('Mezz 1 Amortization'!$O$19,'Mezz 1 Amortization'!$B$19:$V$19,0)),0),0)))</f>
        <v>0</v>
      </c>
      <c r="FP136" s="1333">
        <f>-IF(OR('Financing Assumptions'!$P$8="No",FP$135&lt;='Financing Assumptions'!$P$26,FP$135&gt;'Mezz 1 Amortization'!$T$13),0,IF('Mezz 1 Amortization'!$T$4="Monthly",INDEX('Mezz 1 Amortization'!$B$19:$V$379,MATCH(FP$135,'Mezz 1 Amortization'!$E$19:$E$379,0),MATCH('Mezz 1 Amortization'!$O$19,'Mezz 1 Amortization'!$B$19:$V$19,0)),IF('Mezz 1 Amortization'!$T$4="Bi-Annual",IF(OR('Mezz 1 Amortization'!$R$4=FP$5,'Mezz 1 Amortization'!$S$4=FP$5),INDEX('Mezz 1 Amortization'!$B$19:$V$379,MATCH(FP$135,'Mezz 1 Amortization'!$E$19:$E$379,0),MATCH('Mezz 1 Amortization'!$O$19,'Mezz 1 Amortization'!$B$19:$V$19,0)),0),0)))</f>
        <v>0</v>
      </c>
      <c r="FQ136" s="1333">
        <f>-IF(OR('Financing Assumptions'!$P$8="No",FQ$135&lt;='Financing Assumptions'!$P$26,FQ$135&gt;'Mezz 1 Amortization'!$T$13),0,IF('Mezz 1 Amortization'!$T$4="Monthly",INDEX('Mezz 1 Amortization'!$B$19:$V$379,MATCH(FQ$135,'Mezz 1 Amortization'!$E$19:$E$379,0),MATCH('Mezz 1 Amortization'!$O$19,'Mezz 1 Amortization'!$B$19:$V$19,0)),IF('Mezz 1 Amortization'!$T$4="Bi-Annual",IF(OR('Mezz 1 Amortization'!$R$4=FQ$5,'Mezz 1 Amortization'!$S$4=FQ$5),INDEX('Mezz 1 Amortization'!$B$19:$V$379,MATCH(FQ$135,'Mezz 1 Amortization'!$E$19:$E$379,0),MATCH('Mezz 1 Amortization'!$O$19,'Mezz 1 Amortization'!$B$19:$V$19,0)),0),0)))</f>
        <v>0</v>
      </c>
      <c r="FR136" s="1333">
        <f>-IF(OR('Financing Assumptions'!$P$8="No",FR$135&lt;='Financing Assumptions'!$P$26,FR$135&gt;'Mezz 1 Amortization'!$T$13),0,IF('Mezz 1 Amortization'!$T$4="Monthly",INDEX('Mezz 1 Amortization'!$B$19:$V$379,MATCH(FR$135,'Mezz 1 Amortization'!$E$19:$E$379,0),MATCH('Mezz 1 Amortization'!$O$19,'Mezz 1 Amortization'!$B$19:$V$19,0)),IF('Mezz 1 Amortization'!$T$4="Bi-Annual",IF(OR('Mezz 1 Amortization'!$R$4=FR$5,'Mezz 1 Amortization'!$S$4=FR$5),INDEX('Mezz 1 Amortization'!$B$19:$V$379,MATCH(FR$135,'Mezz 1 Amortization'!$E$19:$E$379,0),MATCH('Mezz 1 Amortization'!$O$19,'Mezz 1 Amortization'!$B$19:$V$19,0)),0),0)))</f>
        <v>0</v>
      </c>
      <c r="FS136" s="1333">
        <f>-IF(OR('Financing Assumptions'!$P$8="No",FS$135&lt;='Financing Assumptions'!$P$26,FS$135&gt;'Mezz 1 Amortization'!$T$13),0,IF('Mezz 1 Amortization'!$T$4="Monthly",INDEX('Mezz 1 Amortization'!$B$19:$V$379,MATCH(FS$135,'Mezz 1 Amortization'!$E$19:$E$379,0),MATCH('Mezz 1 Amortization'!$O$19,'Mezz 1 Amortization'!$B$19:$V$19,0)),IF('Mezz 1 Amortization'!$T$4="Bi-Annual",IF(OR('Mezz 1 Amortization'!$R$4=FS$5,'Mezz 1 Amortization'!$S$4=FS$5),INDEX('Mezz 1 Amortization'!$B$19:$V$379,MATCH(FS$135,'Mezz 1 Amortization'!$E$19:$E$379,0),MATCH('Mezz 1 Amortization'!$O$19,'Mezz 1 Amortization'!$B$19:$V$19,0)),0),0)))</f>
        <v>0</v>
      </c>
      <c r="FT136" s="1334">
        <f>-IF(OR('Financing Assumptions'!$P$8="No",FT$135&lt;='Financing Assumptions'!$P$26,FT$135&gt;'Mezz 1 Amortization'!$T$13),0,IF('Mezz 1 Amortization'!$T$4="Monthly",INDEX('Mezz 1 Amortization'!$B$19:$V$379,MATCH(FT$135,'Mezz 1 Amortization'!$E$19:$E$379,0),MATCH('Mezz 1 Amortization'!$O$19,'Mezz 1 Amortization'!$B$19:$V$19,0)),IF('Mezz 1 Amortization'!$T$4="Bi-Annual",IF(OR('Mezz 1 Amortization'!$R$4=FT$5,'Mezz 1 Amortization'!$S$4=FT$5),INDEX('Mezz 1 Amortization'!$B$19:$V$379,MATCH(FT$135,'Mezz 1 Amortization'!$E$19:$E$379,0),MATCH('Mezz 1 Amortization'!$O$19,'Mezz 1 Amortization'!$B$19:$V$19,0)),0),0)))</f>
        <v>0</v>
      </c>
      <c r="FU136" s="43"/>
      <c r="FV136" s="34"/>
      <c r="FW136" s="34"/>
      <c r="FX136" s="34"/>
      <c r="FY136" s="34"/>
      <c r="FZ136" s="34"/>
    </row>
    <row r="137" spans="1:182" s="89" customFormat="1" ht="13.5" x14ac:dyDescent="0.25">
      <c r="A137" s="34"/>
      <c r="B137" s="1271" t="s">
        <v>601</v>
      </c>
      <c r="C137" s="34"/>
      <c r="D137" s="34"/>
      <c r="E137" s="34"/>
      <c r="F137" s="434"/>
      <c r="G137" s="34"/>
      <c r="H137" s="427">
        <f>-IF(OR('Financing Assumptions'!$P$8="No",H$135&lt;='Financing Assumptions'!$P$26,H$135&gt;'Mezz 1 Amortization'!$T$13),0,IF('Mezz 1 Amortization'!$T$4="Monthly",INDEX('Mezz 1 Amortization'!$B$19:$V$379,MATCH(H$135,'Mezz 1 Amortization'!$E$19:$E$379,0),MATCH('Mezz 1 Amortization'!$Q$19,'Mezz 1 Amortization'!$B$19:$V$19,0)),IF('Mezz 1 Amortization'!$T$4="Bi-Annual",IF(OR('Mezz 1 Amortization'!$R$4=H$5,'Mezz 1 Amortization'!$S$4=H$5),INDEX('Mezz 1 Amortization'!$B$19:$V$379,MATCH(H$135,'Mezz 1 Amortization'!$E$19:$E$379,0),MATCH('Mezz 1 Amortization'!$Q$19,'Mezz 1 Amortization'!$B$19:$V$19,0)),0),0)))</f>
        <v>0</v>
      </c>
      <c r="I137" s="427">
        <f>-IF(OR('Financing Assumptions'!$P$8="No",I$135&lt;='Financing Assumptions'!$P$26,I$135&gt;'Mezz 1 Amortization'!$T$13),0,IF('Mezz 1 Amortization'!$T$4="Monthly",INDEX('Mezz 1 Amortization'!$B$19:$V$379,MATCH(I$135,'Mezz 1 Amortization'!$E$19:$E$379,0),MATCH('Mezz 1 Amortization'!$Q$19,'Mezz 1 Amortization'!$B$19:$V$19,0)),IF('Mezz 1 Amortization'!$T$4="Bi-Annual",IF(OR('Mezz 1 Amortization'!$R$4=I$5,'Mezz 1 Amortization'!$S$4=I$5),INDEX('Mezz 1 Amortization'!$B$19:$V$379,MATCH(I$135,'Mezz 1 Amortization'!$E$19:$E$379,0),MATCH('Mezz 1 Amortization'!$Q$19,'Mezz 1 Amortization'!$B$19:$V$19,0)),0),0)))</f>
        <v>0</v>
      </c>
      <c r="J137" s="427">
        <f>-IF(OR('Financing Assumptions'!$P$8="No",J$135&lt;='Financing Assumptions'!$P$26,J$135&gt;'Mezz 1 Amortization'!$T$13),0,IF('Mezz 1 Amortization'!$T$4="Monthly",INDEX('Mezz 1 Amortization'!$B$19:$V$379,MATCH(J$135,'Mezz 1 Amortization'!$E$19:$E$379,0),MATCH('Mezz 1 Amortization'!$Q$19,'Mezz 1 Amortization'!$B$19:$V$19,0)),IF('Mezz 1 Amortization'!$T$4="Bi-Annual",IF(OR('Mezz 1 Amortization'!$R$4=J$5,'Mezz 1 Amortization'!$S$4=J$5),INDEX('Mezz 1 Amortization'!$B$19:$V$379,MATCH(J$135,'Mezz 1 Amortization'!$E$19:$E$379,0),MATCH('Mezz 1 Amortization'!$Q$19,'Mezz 1 Amortization'!$B$19:$V$19,0)),0),0)))</f>
        <v>0</v>
      </c>
      <c r="K137" s="427">
        <f>-IF(OR('Financing Assumptions'!$P$8="No",K$135&lt;='Financing Assumptions'!$P$26,K$135&gt;'Mezz 1 Amortization'!$T$13),0,IF('Mezz 1 Amortization'!$T$4="Monthly",INDEX('Mezz 1 Amortization'!$B$19:$V$379,MATCH(K$135,'Mezz 1 Amortization'!$E$19:$E$379,0),MATCH('Mezz 1 Amortization'!$Q$19,'Mezz 1 Amortization'!$B$19:$V$19,0)),IF('Mezz 1 Amortization'!$T$4="Bi-Annual",IF(OR('Mezz 1 Amortization'!$R$4=K$5,'Mezz 1 Amortization'!$S$4=K$5),INDEX('Mezz 1 Amortization'!$B$19:$V$379,MATCH(K$135,'Mezz 1 Amortization'!$E$19:$E$379,0),MATCH('Mezz 1 Amortization'!$Q$19,'Mezz 1 Amortization'!$B$19:$V$19,0)),0),0)))</f>
        <v>0</v>
      </c>
      <c r="L137" s="427">
        <f>-IF(OR('Financing Assumptions'!$P$8="No",L$135&lt;='Financing Assumptions'!$P$26,L$135&gt;'Mezz 1 Amortization'!$T$13),0,IF('Mezz 1 Amortization'!$T$4="Monthly",INDEX('Mezz 1 Amortization'!$B$19:$V$379,MATCH(L$135,'Mezz 1 Amortization'!$E$19:$E$379,0),MATCH('Mezz 1 Amortization'!$Q$19,'Mezz 1 Amortization'!$B$19:$V$19,0)),IF('Mezz 1 Amortization'!$T$4="Bi-Annual",IF(OR('Mezz 1 Amortization'!$R$4=L$5,'Mezz 1 Amortization'!$S$4=L$5),INDEX('Mezz 1 Amortization'!$B$19:$V$379,MATCH(L$135,'Mezz 1 Amortization'!$E$19:$E$379,0),MATCH('Mezz 1 Amortization'!$Q$19,'Mezz 1 Amortization'!$B$19:$V$19,0)),0),0)))</f>
        <v>0</v>
      </c>
      <c r="M137" s="427">
        <f>-IF(OR('Financing Assumptions'!$P$8="No",M$135&lt;='Financing Assumptions'!$P$26,M$135&gt;'Mezz 1 Amortization'!$T$13),0,IF('Mezz 1 Amortization'!$T$4="Monthly",INDEX('Mezz 1 Amortization'!$B$19:$V$379,MATCH(M$135,'Mezz 1 Amortization'!$E$19:$E$379,0),MATCH('Mezz 1 Amortization'!$Q$19,'Mezz 1 Amortization'!$B$19:$V$19,0)),IF('Mezz 1 Amortization'!$T$4="Bi-Annual",IF(OR('Mezz 1 Amortization'!$R$4=M$5,'Mezz 1 Amortization'!$S$4=M$5),INDEX('Mezz 1 Amortization'!$B$19:$V$379,MATCH(M$135,'Mezz 1 Amortization'!$E$19:$E$379,0),MATCH('Mezz 1 Amortization'!$Q$19,'Mezz 1 Amortization'!$B$19:$V$19,0)),0),0)))</f>
        <v>0</v>
      </c>
      <c r="N137" s="427">
        <f>-IF(OR('Financing Assumptions'!$P$8="No",N$135&lt;='Financing Assumptions'!$P$26,N$135&gt;'Mezz 1 Amortization'!$T$13),0,IF('Mezz 1 Amortization'!$T$4="Monthly",INDEX('Mezz 1 Amortization'!$B$19:$V$379,MATCH(N$135,'Mezz 1 Amortization'!$E$19:$E$379,0),MATCH('Mezz 1 Amortization'!$Q$19,'Mezz 1 Amortization'!$B$19:$V$19,0)),IF('Mezz 1 Amortization'!$T$4="Bi-Annual",IF(OR('Mezz 1 Amortization'!$R$4=N$5,'Mezz 1 Amortization'!$S$4=N$5),INDEX('Mezz 1 Amortization'!$B$19:$V$379,MATCH(N$135,'Mezz 1 Amortization'!$E$19:$E$379,0),MATCH('Mezz 1 Amortization'!$Q$19,'Mezz 1 Amortization'!$B$19:$V$19,0)),0),0)))</f>
        <v>0</v>
      </c>
      <c r="O137" s="427">
        <f>-IF(OR('Financing Assumptions'!$P$8="No",O$135&lt;='Financing Assumptions'!$P$26,O$135&gt;'Mezz 1 Amortization'!$T$13),0,IF('Mezz 1 Amortization'!$T$4="Monthly",INDEX('Mezz 1 Amortization'!$B$19:$V$379,MATCH(O$135,'Mezz 1 Amortization'!$E$19:$E$379,0),MATCH('Mezz 1 Amortization'!$Q$19,'Mezz 1 Amortization'!$B$19:$V$19,0)),IF('Mezz 1 Amortization'!$T$4="Bi-Annual",IF(OR('Mezz 1 Amortization'!$R$4=O$5,'Mezz 1 Amortization'!$S$4=O$5),INDEX('Mezz 1 Amortization'!$B$19:$V$379,MATCH(O$135,'Mezz 1 Amortization'!$E$19:$E$379,0),MATCH('Mezz 1 Amortization'!$Q$19,'Mezz 1 Amortization'!$B$19:$V$19,0)),0),0)))</f>
        <v>0</v>
      </c>
      <c r="P137" s="427">
        <f>-IF(OR('Financing Assumptions'!$P$8="No",P$135&lt;='Financing Assumptions'!$P$26,P$135&gt;'Mezz 1 Amortization'!$T$13),0,IF('Mezz 1 Amortization'!$T$4="Monthly",INDEX('Mezz 1 Amortization'!$B$19:$V$379,MATCH(P$135,'Mezz 1 Amortization'!$E$19:$E$379,0),MATCH('Mezz 1 Amortization'!$Q$19,'Mezz 1 Amortization'!$B$19:$V$19,0)),IF('Mezz 1 Amortization'!$T$4="Bi-Annual",IF(OR('Mezz 1 Amortization'!$R$4=P$5,'Mezz 1 Amortization'!$S$4=P$5),INDEX('Mezz 1 Amortization'!$B$19:$V$379,MATCH(P$135,'Mezz 1 Amortization'!$E$19:$E$379,0),MATCH('Mezz 1 Amortization'!$Q$19,'Mezz 1 Amortization'!$B$19:$V$19,0)),0),0)))</f>
        <v>0</v>
      </c>
      <c r="Q137" s="427">
        <f>-IF(OR('Financing Assumptions'!$P$8="No",Q$135&lt;='Financing Assumptions'!$P$26,Q$135&gt;'Mezz 1 Amortization'!$T$13),0,IF('Mezz 1 Amortization'!$T$4="Monthly",INDEX('Mezz 1 Amortization'!$B$19:$V$379,MATCH(Q$135,'Mezz 1 Amortization'!$E$19:$E$379,0),MATCH('Mezz 1 Amortization'!$Q$19,'Mezz 1 Amortization'!$B$19:$V$19,0)),IF('Mezz 1 Amortization'!$T$4="Bi-Annual",IF(OR('Mezz 1 Amortization'!$R$4=Q$5,'Mezz 1 Amortization'!$S$4=Q$5),INDEX('Mezz 1 Amortization'!$B$19:$V$379,MATCH(Q$135,'Mezz 1 Amortization'!$E$19:$E$379,0),MATCH('Mezz 1 Amortization'!$Q$19,'Mezz 1 Amortization'!$B$19:$V$19,0)),0),0)))</f>
        <v>0</v>
      </c>
      <c r="R137" s="427">
        <f>-IF(OR('Financing Assumptions'!$P$8="No",R$135&lt;='Financing Assumptions'!$P$26,R$135&gt;'Mezz 1 Amortization'!$T$13),0,IF('Mezz 1 Amortization'!$T$4="Monthly",INDEX('Mezz 1 Amortization'!$B$19:$V$379,MATCH(R$135,'Mezz 1 Amortization'!$E$19:$E$379,0),MATCH('Mezz 1 Amortization'!$Q$19,'Mezz 1 Amortization'!$B$19:$V$19,0)),IF('Mezz 1 Amortization'!$T$4="Bi-Annual",IF(OR('Mezz 1 Amortization'!$R$4=R$5,'Mezz 1 Amortization'!$S$4=R$5),INDEX('Mezz 1 Amortization'!$B$19:$V$379,MATCH(R$135,'Mezz 1 Amortization'!$E$19:$E$379,0),MATCH('Mezz 1 Amortization'!$Q$19,'Mezz 1 Amortization'!$B$19:$V$19,0)),0),0)))</f>
        <v>0</v>
      </c>
      <c r="S137" s="427">
        <f>-IF(OR('Financing Assumptions'!$P$8="No",S$135&lt;='Financing Assumptions'!$P$26,S$135&gt;'Mezz 1 Amortization'!$T$13),0,IF('Mezz 1 Amortization'!$T$4="Monthly",INDEX('Mezz 1 Amortization'!$B$19:$V$379,MATCH(S$135,'Mezz 1 Amortization'!$E$19:$E$379,0),MATCH('Mezz 1 Amortization'!$Q$19,'Mezz 1 Amortization'!$B$19:$V$19,0)),IF('Mezz 1 Amortization'!$T$4="Bi-Annual",IF(OR('Mezz 1 Amortization'!$R$4=S$5,'Mezz 1 Amortization'!$S$4=S$5),INDEX('Mezz 1 Amortization'!$B$19:$V$379,MATCH(S$135,'Mezz 1 Amortization'!$E$19:$E$379,0),MATCH('Mezz 1 Amortization'!$Q$19,'Mezz 1 Amortization'!$B$19:$V$19,0)),0),0)))</f>
        <v>0</v>
      </c>
      <c r="T137" s="427">
        <f>-IF(OR('Financing Assumptions'!$P$8="No",T$135&lt;='Financing Assumptions'!$P$26,T$135&gt;'Mezz 1 Amortization'!$T$13),0,IF('Mezz 1 Amortization'!$T$4="Monthly",INDEX('Mezz 1 Amortization'!$B$19:$V$379,MATCH(T$135,'Mezz 1 Amortization'!$E$19:$E$379,0),MATCH('Mezz 1 Amortization'!$Q$19,'Mezz 1 Amortization'!$B$19:$V$19,0)),IF('Mezz 1 Amortization'!$T$4="Bi-Annual",IF(OR('Mezz 1 Amortization'!$R$4=T$5,'Mezz 1 Amortization'!$S$4=T$5),INDEX('Mezz 1 Amortization'!$B$19:$V$379,MATCH(T$135,'Mezz 1 Amortization'!$E$19:$E$379,0),MATCH('Mezz 1 Amortization'!$Q$19,'Mezz 1 Amortization'!$B$19:$V$19,0)),0),0)))</f>
        <v>0</v>
      </c>
      <c r="U137" s="427">
        <f>-IF(OR('Financing Assumptions'!$P$8="No",U$135&lt;='Financing Assumptions'!$P$26,U$135&gt;'Mezz 1 Amortization'!$T$13),0,IF('Mezz 1 Amortization'!$T$4="Monthly",INDEX('Mezz 1 Amortization'!$B$19:$V$379,MATCH(U$135,'Mezz 1 Amortization'!$E$19:$E$379,0),MATCH('Mezz 1 Amortization'!$Q$19,'Mezz 1 Amortization'!$B$19:$V$19,0)),IF('Mezz 1 Amortization'!$T$4="Bi-Annual",IF(OR('Mezz 1 Amortization'!$R$4=U$5,'Mezz 1 Amortization'!$S$4=U$5),INDEX('Mezz 1 Amortization'!$B$19:$V$379,MATCH(U$135,'Mezz 1 Amortization'!$E$19:$E$379,0),MATCH('Mezz 1 Amortization'!$Q$19,'Mezz 1 Amortization'!$B$19:$V$19,0)),0),0)))</f>
        <v>0</v>
      </c>
      <c r="V137" s="427">
        <f>-IF(OR('Financing Assumptions'!$P$8="No",V$135&lt;='Financing Assumptions'!$P$26,V$135&gt;'Mezz 1 Amortization'!$T$13),0,IF('Mezz 1 Amortization'!$T$4="Monthly",INDEX('Mezz 1 Amortization'!$B$19:$V$379,MATCH(V$135,'Mezz 1 Amortization'!$E$19:$E$379,0),MATCH('Mezz 1 Amortization'!$Q$19,'Mezz 1 Amortization'!$B$19:$V$19,0)),IF('Mezz 1 Amortization'!$T$4="Bi-Annual",IF(OR('Mezz 1 Amortization'!$R$4=V$5,'Mezz 1 Amortization'!$S$4=V$5),INDEX('Mezz 1 Amortization'!$B$19:$V$379,MATCH(V$135,'Mezz 1 Amortization'!$E$19:$E$379,0),MATCH('Mezz 1 Amortization'!$Q$19,'Mezz 1 Amortization'!$B$19:$V$19,0)),0),0)))</f>
        <v>0</v>
      </c>
      <c r="W137" s="427">
        <f>-IF(OR('Financing Assumptions'!$P$8="No",W$135&lt;='Financing Assumptions'!$P$26,W$135&gt;'Mezz 1 Amortization'!$T$13),0,IF('Mezz 1 Amortization'!$T$4="Monthly",INDEX('Mezz 1 Amortization'!$B$19:$V$379,MATCH(W$135,'Mezz 1 Amortization'!$E$19:$E$379,0),MATCH('Mezz 1 Amortization'!$Q$19,'Mezz 1 Amortization'!$B$19:$V$19,0)),IF('Mezz 1 Amortization'!$T$4="Bi-Annual",IF(OR('Mezz 1 Amortization'!$R$4=W$5,'Mezz 1 Amortization'!$S$4=W$5),INDEX('Mezz 1 Amortization'!$B$19:$V$379,MATCH(W$135,'Mezz 1 Amortization'!$E$19:$E$379,0),MATCH('Mezz 1 Amortization'!$Q$19,'Mezz 1 Amortization'!$B$19:$V$19,0)),0),0)))</f>
        <v>0</v>
      </c>
      <c r="X137" s="427">
        <f>-IF(OR('Financing Assumptions'!$P$8="No",X$135&lt;='Financing Assumptions'!$P$26,X$135&gt;'Mezz 1 Amortization'!$T$13),0,IF('Mezz 1 Amortization'!$T$4="Monthly",INDEX('Mezz 1 Amortization'!$B$19:$V$379,MATCH(X$135,'Mezz 1 Amortization'!$E$19:$E$379,0),MATCH('Mezz 1 Amortization'!$Q$19,'Mezz 1 Amortization'!$B$19:$V$19,0)),IF('Mezz 1 Amortization'!$T$4="Bi-Annual",IF(OR('Mezz 1 Amortization'!$R$4=X$5,'Mezz 1 Amortization'!$S$4=X$5),INDEX('Mezz 1 Amortization'!$B$19:$V$379,MATCH(X$135,'Mezz 1 Amortization'!$E$19:$E$379,0),MATCH('Mezz 1 Amortization'!$Q$19,'Mezz 1 Amortization'!$B$19:$V$19,0)),0),0)))</f>
        <v>0</v>
      </c>
      <c r="Y137" s="427">
        <f>-IF(OR('Financing Assumptions'!$P$8="No",Y$135&lt;='Financing Assumptions'!$P$26,Y$135&gt;'Mezz 1 Amortization'!$T$13),0,IF('Mezz 1 Amortization'!$T$4="Monthly",INDEX('Mezz 1 Amortization'!$B$19:$V$379,MATCH(Y$135,'Mezz 1 Amortization'!$E$19:$E$379,0),MATCH('Mezz 1 Amortization'!$Q$19,'Mezz 1 Amortization'!$B$19:$V$19,0)),IF('Mezz 1 Amortization'!$T$4="Bi-Annual",IF(OR('Mezz 1 Amortization'!$R$4=Y$5,'Mezz 1 Amortization'!$S$4=Y$5),INDEX('Mezz 1 Amortization'!$B$19:$V$379,MATCH(Y$135,'Mezz 1 Amortization'!$E$19:$E$379,0),MATCH('Mezz 1 Amortization'!$Q$19,'Mezz 1 Amortization'!$B$19:$V$19,0)),0),0)))</f>
        <v>0</v>
      </c>
      <c r="Z137" s="427">
        <f>-IF(OR('Financing Assumptions'!$P$8="No",Z$135&lt;='Financing Assumptions'!$P$26,Z$135&gt;'Mezz 1 Amortization'!$T$13),0,IF('Mezz 1 Amortization'!$T$4="Monthly",INDEX('Mezz 1 Amortization'!$B$19:$V$379,MATCH(Z$135,'Mezz 1 Amortization'!$E$19:$E$379,0),MATCH('Mezz 1 Amortization'!$Q$19,'Mezz 1 Amortization'!$B$19:$V$19,0)),IF('Mezz 1 Amortization'!$T$4="Bi-Annual",IF(OR('Mezz 1 Amortization'!$R$4=Z$5,'Mezz 1 Amortization'!$S$4=Z$5),INDEX('Mezz 1 Amortization'!$B$19:$V$379,MATCH(Z$135,'Mezz 1 Amortization'!$E$19:$E$379,0),MATCH('Mezz 1 Amortization'!$Q$19,'Mezz 1 Amortization'!$B$19:$V$19,0)),0),0)))</f>
        <v>0</v>
      </c>
      <c r="AA137" s="427">
        <f>-IF(OR('Financing Assumptions'!$P$8="No",AA$135&lt;='Financing Assumptions'!$P$26,AA$135&gt;'Mezz 1 Amortization'!$T$13),0,IF('Mezz 1 Amortization'!$T$4="Monthly",INDEX('Mezz 1 Amortization'!$B$19:$V$379,MATCH(AA$135,'Mezz 1 Amortization'!$E$19:$E$379,0),MATCH('Mezz 1 Amortization'!$Q$19,'Mezz 1 Amortization'!$B$19:$V$19,0)),IF('Mezz 1 Amortization'!$T$4="Bi-Annual",IF(OR('Mezz 1 Amortization'!$R$4=AA$5,'Mezz 1 Amortization'!$S$4=AA$5),INDEX('Mezz 1 Amortization'!$B$19:$V$379,MATCH(AA$135,'Mezz 1 Amortization'!$E$19:$E$379,0),MATCH('Mezz 1 Amortization'!$Q$19,'Mezz 1 Amortization'!$B$19:$V$19,0)),0),0)))</f>
        <v>0</v>
      </c>
      <c r="AB137" s="427">
        <f>-IF(OR('Financing Assumptions'!$P$8="No",AB$135&lt;='Financing Assumptions'!$P$26,AB$135&gt;'Mezz 1 Amortization'!$T$13),0,IF('Mezz 1 Amortization'!$T$4="Monthly",INDEX('Mezz 1 Amortization'!$B$19:$V$379,MATCH(AB$135,'Mezz 1 Amortization'!$E$19:$E$379,0),MATCH('Mezz 1 Amortization'!$Q$19,'Mezz 1 Amortization'!$B$19:$V$19,0)),IF('Mezz 1 Amortization'!$T$4="Bi-Annual",IF(OR('Mezz 1 Amortization'!$R$4=AB$5,'Mezz 1 Amortization'!$S$4=AB$5),INDEX('Mezz 1 Amortization'!$B$19:$V$379,MATCH(AB$135,'Mezz 1 Amortization'!$E$19:$E$379,0),MATCH('Mezz 1 Amortization'!$Q$19,'Mezz 1 Amortization'!$B$19:$V$19,0)),0),0)))</f>
        <v>0</v>
      </c>
      <c r="AC137" s="427">
        <f>-IF(OR('Financing Assumptions'!$P$8="No",AC$135&lt;='Financing Assumptions'!$P$26,AC$135&gt;'Mezz 1 Amortization'!$T$13),0,IF('Mezz 1 Amortization'!$T$4="Monthly",INDEX('Mezz 1 Amortization'!$B$19:$V$379,MATCH(AC$135,'Mezz 1 Amortization'!$E$19:$E$379,0),MATCH('Mezz 1 Amortization'!$Q$19,'Mezz 1 Amortization'!$B$19:$V$19,0)),IF('Mezz 1 Amortization'!$T$4="Bi-Annual",IF(OR('Mezz 1 Amortization'!$R$4=AC$5,'Mezz 1 Amortization'!$S$4=AC$5),INDEX('Mezz 1 Amortization'!$B$19:$V$379,MATCH(AC$135,'Mezz 1 Amortization'!$E$19:$E$379,0),MATCH('Mezz 1 Amortization'!$Q$19,'Mezz 1 Amortization'!$B$19:$V$19,0)),0),0)))</f>
        <v>0</v>
      </c>
      <c r="AD137" s="427">
        <f>-IF(OR('Financing Assumptions'!$P$8="No",AD$135&lt;='Financing Assumptions'!$P$26,AD$135&gt;'Mezz 1 Amortization'!$T$13),0,IF('Mezz 1 Amortization'!$T$4="Monthly",INDEX('Mezz 1 Amortization'!$B$19:$V$379,MATCH(AD$135,'Mezz 1 Amortization'!$E$19:$E$379,0),MATCH('Mezz 1 Amortization'!$Q$19,'Mezz 1 Amortization'!$B$19:$V$19,0)),IF('Mezz 1 Amortization'!$T$4="Bi-Annual",IF(OR('Mezz 1 Amortization'!$R$4=AD$5,'Mezz 1 Amortization'!$S$4=AD$5),INDEX('Mezz 1 Amortization'!$B$19:$V$379,MATCH(AD$135,'Mezz 1 Amortization'!$E$19:$E$379,0),MATCH('Mezz 1 Amortization'!$Q$19,'Mezz 1 Amortization'!$B$19:$V$19,0)),0),0)))</f>
        <v>0</v>
      </c>
      <c r="AE137" s="427">
        <f>-IF(OR('Financing Assumptions'!$P$8="No",AE$135&lt;='Financing Assumptions'!$P$26,AE$135&gt;'Mezz 1 Amortization'!$T$13),0,IF('Mezz 1 Amortization'!$T$4="Monthly",INDEX('Mezz 1 Amortization'!$B$19:$V$379,MATCH(AE$135,'Mezz 1 Amortization'!$E$19:$E$379,0),MATCH('Mezz 1 Amortization'!$Q$19,'Mezz 1 Amortization'!$B$19:$V$19,0)),IF('Mezz 1 Amortization'!$T$4="Bi-Annual",IF(OR('Mezz 1 Amortization'!$R$4=AE$5,'Mezz 1 Amortization'!$S$4=AE$5),INDEX('Mezz 1 Amortization'!$B$19:$V$379,MATCH(AE$135,'Mezz 1 Amortization'!$E$19:$E$379,0),MATCH('Mezz 1 Amortization'!$Q$19,'Mezz 1 Amortization'!$B$19:$V$19,0)),0),0)))</f>
        <v>0</v>
      </c>
      <c r="AF137" s="427">
        <f>-IF(OR('Financing Assumptions'!$P$8="No",AF$135&lt;='Financing Assumptions'!$P$26,AF$135&gt;'Mezz 1 Amortization'!$T$13),0,IF('Mezz 1 Amortization'!$T$4="Monthly",INDEX('Mezz 1 Amortization'!$B$19:$V$379,MATCH(AF$135,'Mezz 1 Amortization'!$E$19:$E$379,0),MATCH('Mezz 1 Amortization'!$Q$19,'Mezz 1 Amortization'!$B$19:$V$19,0)),IF('Mezz 1 Amortization'!$T$4="Bi-Annual",IF(OR('Mezz 1 Amortization'!$R$4=AF$5,'Mezz 1 Amortization'!$S$4=AF$5),INDEX('Mezz 1 Amortization'!$B$19:$V$379,MATCH(AF$135,'Mezz 1 Amortization'!$E$19:$E$379,0),MATCH('Mezz 1 Amortization'!$Q$19,'Mezz 1 Amortization'!$B$19:$V$19,0)),0),0)))</f>
        <v>0</v>
      </c>
      <c r="AG137" s="427">
        <f>-IF(OR('Financing Assumptions'!$P$8="No",AG$135&lt;='Financing Assumptions'!$P$26,AG$135&gt;'Mezz 1 Amortization'!$T$13),0,IF('Mezz 1 Amortization'!$T$4="Monthly",INDEX('Mezz 1 Amortization'!$B$19:$V$379,MATCH(AG$135,'Mezz 1 Amortization'!$E$19:$E$379,0),MATCH('Mezz 1 Amortization'!$Q$19,'Mezz 1 Amortization'!$B$19:$V$19,0)),IF('Mezz 1 Amortization'!$T$4="Bi-Annual",IF(OR('Mezz 1 Amortization'!$R$4=AG$5,'Mezz 1 Amortization'!$S$4=AG$5),INDEX('Mezz 1 Amortization'!$B$19:$V$379,MATCH(AG$135,'Mezz 1 Amortization'!$E$19:$E$379,0),MATCH('Mezz 1 Amortization'!$Q$19,'Mezz 1 Amortization'!$B$19:$V$19,0)),0),0)))</f>
        <v>0</v>
      </c>
      <c r="AH137" s="427">
        <f>-IF(OR('Financing Assumptions'!$P$8="No",AH$135&lt;='Financing Assumptions'!$P$26,AH$135&gt;'Mezz 1 Amortization'!$T$13),0,IF('Mezz 1 Amortization'!$T$4="Monthly",INDEX('Mezz 1 Amortization'!$B$19:$V$379,MATCH(AH$135,'Mezz 1 Amortization'!$E$19:$E$379,0),MATCH('Mezz 1 Amortization'!$Q$19,'Mezz 1 Amortization'!$B$19:$V$19,0)),IF('Mezz 1 Amortization'!$T$4="Bi-Annual",IF(OR('Mezz 1 Amortization'!$R$4=AH$5,'Mezz 1 Amortization'!$S$4=AH$5),INDEX('Mezz 1 Amortization'!$B$19:$V$379,MATCH(AH$135,'Mezz 1 Amortization'!$E$19:$E$379,0),MATCH('Mezz 1 Amortization'!$Q$19,'Mezz 1 Amortization'!$B$19:$V$19,0)),0),0)))</f>
        <v>0</v>
      </c>
      <c r="AI137" s="427">
        <f>-IF(OR('Financing Assumptions'!$P$8="No",AI$135&lt;='Financing Assumptions'!$P$26,AI$135&gt;'Mezz 1 Amortization'!$T$13),0,IF('Mezz 1 Amortization'!$T$4="Monthly",INDEX('Mezz 1 Amortization'!$B$19:$V$379,MATCH(AI$135,'Mezz 1 Amortization'!$E$19:$E$379,0),MATCH('Mezz 1 Amortization'!$Q$19,'Mezz 1 Amortization'!$B$19:$V$19,0)),IF('Mezz 1 Amortization'!$T$4="Bi-Annual",IF(OR('Mezz 1 Amortization'!$R$4=AI$5,'Mezz 1 Amortization'!$S$4=AI$5),INDEX('Mezz 1 Amortization'!$B$19:$V$379,MATCH(AI$135,'Mezz 1 Amortization'!$E$19:$E$379,0),MATCH('Mezz 1 Amortization'!$Q$19,'Mezz 1 Amortization'!$B$19:$V$19,0)),0),0)))</f>
        <v>0</v>
      </c>
      <c r="AJ137" s="427">
        <f>-IF(OR('Financing Assumptions'!$P$8="No",AJ$135&lt;='Financing Assumptions'!$P$26,AJ$135&gt;'Mezz 1 Amortization'!$T$13),0,IF('Mezz 1 Amortization'!$T$4="Monthly",INDEX('Mezz 1 Amortization'!$B$19:$V$379,MATCH(AJ$135,'Mezz 1 Amortization'!$E$19:$E$379,0),MATCH('Mezz 1 Amortization'!$Q$19,'Mezz 1 Amortization'!$B$19:$V$19,0)),IF('Mezz 1 Amortization'!$T$4="Bi-Annual",IF(OR('Mezz 1 Amortization'!$R$4=AJ$5,'Mezz 1 Amortization'!$S$4=AJ$5),INDEX('Mezz 1 Amortization'!$B$19:$V$379,MATCH(AJ$135,'Mezz 1 Amortization'!$E$19:$E$379,0),MATCH('Mezz 1 Amortization'!$Q$19,'Mezz 1 Amortization'!$B$19:$V$19,0)),0),0)))</f>
        <v>0</v>
      </c>
      <c r="AK137" s="427">
        <f>-IF(OR('Financing Assumptions'!$P$8="No",AK$135&lt;='Financing Assumptions'!$P$26,AK$135&gt;'Mezz 1 Amortization'!$T$13),0,IF('Mezz 1 Amortization'!$T$4="Monthly",INDEX('Mezz 1 Amortization'!$B$19:$V$379,MATCH(AK$135,'Mezz 1 Amortization'!$E$19:$E$379,0),MATCH('Mezz 1 Amortization'!$Q$19,'Mezz 1 Amortization'!$B$19:$V$19,0)),IF('Mezz 1 Amortization'!$T$4="Bi-Annual",IF(OR('Mezz 1 Amortization'!$R$4=AK$5,'Mezz 1 Amortization'!$S$4=AK$5),INDEX('Mezz 1 Amortization'!$B$19:$V$379,MATCH(AK$135,'Mezz 1 Amortization'!$E$19:$E$379,0),MATCH('Mezz 1 Amortization'!$Q$19,'Mezz 1 Amortization'!$B$19:$V$19,0)),0),0)))</f>
        <v>0</v>
      </c>
      <c r="AL137" s="427">
        <f>-IF(OR('Financing Assumptions'!$P$8="No",AL$135&lt;='Financing Assumptions'!$P$26,AL$135&gt;'Mezz 1 Amortization'!$T$13),0,IF('Mezz 1 Amortization'!$T$4="Monthly",INDEX('Mezz 1 Amortization'!$B$19:$V$379,MATCH(AL$135,'Mezz 1 Amortization'!$E$19:$E$379,0),MATCH('Mezz 1 Amortization'!$Q$19,'Mezz 1 Amortization'!$B$19:$V$19,0)),IF('Mezz 1 Amortization'!$T$4="Bi-Annual",IF(OR('Mezz 1 Amortization'!$R$4=AL$5,'Mezz 1 Amortization'!$S$4=AL$5),INDEX('Mezz 1 Amortization'!$B$19:$V$379,MATCH(AL$135,'Mezz 1 Amortization'!$E$19:$E$379,0),MATCH('Mezz 1 Amortization'!$Q$19,'Mezz 1 Amortization'!$B$19:$V$19,0)),0),0)))</f>
        <v>0</v>
      </c>
      <c r="AM137" s="427">
        <f>-IF(OR('Financing Assumptions'!$P$8="No",AM$135&lt;='Financing Assumptions'!$P$26,AM$135&gt;'Mezz 1 Amortization'!$T$13),0,IF('Mezz 1 Amortization'!$T$4="Monthly",INDEX('Mezz 1 Amortization'!$B$19:$V$379,MATCH(AM$135,'Mezz 1 Amortization'!$E$19:$E$379,0),MATCH('Mezz 1 Amortization'!$Q$19,'Mezz 1 Amortization'!$B$19:$V$19,0)),IF('Mezz 1 Amortization'!$T$4="Bi-Annual",IF(OR('Mezz 1 Amortization'!$R$4=AM$5,'Mezz 1 Amortization'!$S$4=AM$5),INDEX('Mezz 1 Amortization'!$B$19:$V$379,MATCH(AM$135,'Mezz 1 Amortization'!$E$19:$E$379,0),MATCH('Mezz 1 Amortization'!$Q$19,'Mezz 1 Amortization'!$B$19:$V$19,0)),0),0)))</f>
        <v>0</v>
      </c>
      <c r="AN137" s="427">
        <f>-IF(OR('Financing Assumptions'!$P$8="No",AN$135&lt;='Financing Assumptions'!$P$26,AN$135&gt;'Mezz 1 Amortization'!$T$13),0,IF('Mezz 1 Amortization'!$T$4="Monthly",INDEX('Mezz 1 Amortization'!$B$19:$V$379,MATCH(AN$135,'Mezz 1 Amortization'!$E$19:$E$379,0),MATCH('Mezz 1 Amortization'!$Q$19,'Mezz 1 Amortization'!$B$19:$V$19,0)),IF('Mezz 1 Amortization'!$T$4="Bi-Annual",IF(OR('Mezz 1 Amortization'!$R$4=AN$5,'Mezz 1 Amortization'!$S$4=AN$5),INDEX('Mezz 1 Amortization'!$B$19:$V$379,MATCH(AN$135,'Mezz 1 Amortization'!$E$19:$E$379,0),MATCH('Mezz 1 Amortization'!$Q$19,'Mezz 1 Amortization'!$B$19:$V$19,0)),0),0)))</f>
        <v>0</v>
      </c>
      <c r="AO137" s="427">
        <f>-IF(OR('Financing Assumptions'!$P$8="No",AO$135&lt;='Financing Assumptions'!$P$26,AO$135&gt;'Mezz 1 Amortization'!$T$13),0,IF('Mezz 1 Amortization'!$T$4="Monthly",INDEX('Mezz 1 Amortization'!$B$19:$V$379,MATCH(AO$135,'Mezz 1 Amortization'!$E$19:$E$379,0),MATCH('Mezz 1 Amortization'!$Q$19,'Mezz 1 Amortization'!$B$19:$V$19,0)),IF('Mezz 1 Amortization'!$T$4="Bi-Annual",IF(OR('Mezz 1 Amortization'!$R$4=AO$5,'Mezz 1 Amortization'!$S$4=AO$5),INDEX('Mezz 1 Amortization'!$B$19:$V$379,MATCH(AO$135,'Mezz 1 Amortization'!$E$19:$E$379,0),MATCH('Mezz 1 Amortization'!$Q$19,'Mezz 1 Amortization'!$B$19:$V$19,0)),0),0)))</f>
        <v>0</v>
      </c>
      <c r="AP137" s="427">
        <f>-IF(OR('Financing Assumptions'!$P$8="No",AP$135&lt;='Financing Assumptions'!$P$26,AP$135&gt;'Mezz 1 Amortization'!$T$13),0,IF('Mezz 1 Amortization'!$T$4="Monthly",INDEX('Mezz 1 Amortization'!$B$19:$V$379,MATCH(AP$135,'Mezz 1 Amortization'!$E$19:$E$379,0),MATCH('Mezz 1 Amortization'!$Q$19,'Mezz 1 Amortization'!$B$19:$V$19,0)),IF('Mezz 1 Amortization'!$T$4="Bi-Annual",IF(OR('Mezz 1 Amortization'!$R$4=AP$5,'Mezz 1 Amortization'!$S$4=AP$5),INDEX('Mezz 1 Amortization'!$B$19:$V$379,MATCH(AP$135,'Mezz 1 Amortization'!$E$19:$E$379,0),MATCH('Mezz 1 Amortization'!$Q$19,'Mezz 1 Amortization'!$B$19:$V$19,0)),0),0)))</f>
        <v>0</v>
      </c>
      <c r="AQ137" s="427">
        <f>-IF(OR('Financing Assumptions'!$P$8="No",AQ$135&lt;='Financing Assumptions'!$P$26,AQ$135&gt;'Mezz 1 Amortization'!$T$13),0,IF('Mezz 1 Amortization'!$T$4="Monthly",INDEX('Mezz 1 Amortization'!$B$19:$V$379,MATCH(AQ$135,'Mezz 1 Amortization'!$E$19:$E$379,0),MATCH('Mezz 1 Amortization'!$Q$19,'Mezz 1 Amortization'!$B$19:$V$19,0)),IF('Mezz 1 Amortization'!$T$4="Bi-Annual",IF(OR('Mezz 1 Amortization'!$R$4=AQ$5,'Mezz 1 Amortization'!$S$4=AQ$5),INDEX('Mezz 1 Amortization'!$B$19:$V$379,MATCH(AQ$135,'Mezz 1 Amortization'!$E$19:$E$379,0),MATCH('Mezz 1 Amortization'!$Q$19,'Mezz 1 Amortization'!$B$19:$V$19,0)),0),0)))</f>
        <v>0</v>
      </c>
      <c r="AR137" s="427">
        <f>-IF(OR('Financing Assumptions'!$P$8="No",AR$135&lt;='Financing Assumptions'!$P$26,AR$135&gt;'Mezz 1 Amortization'!$T$13),0,IF('Mezz 1 Amortization'!$T$4="Monthly",INDEX('Mezz 1 Amortization'!$B$19:$V$379,MATCH(AR$135,'Mezz 1 Amortization'!$E$19:$E$379,0),MATCH('Mezz 1 Amortization'!$Q$19,'Mezz 1 Amortization'!$B$19:$V$19,0)),IF('Mezz 1 Amortization'!$T$4="Bi-Annual",IF(OR('Mezz 1 Amortization'!$R$4=AR$5,'Mezz 1 Amortization'!$S$4=AR$5),INDEX('Mezz 1 Amortization'!$B$19:$V$379,MATCH(AR$135,'Mezz 1 Amortization'!$E$19:$E$379,0),MATCH('Mezz 1 Amortization'!$Q$19,'Mezz 1 Amortization'!$B$19:$V$19,0)),0),0)))</f>
        <v>0</v>
      </c>
      <c r="AS137" s="427">
        <f>-IF(OR('Financing Assumptions'!$P$8="No",AS$135&lt;='Financing Assumptions'!$P$26,AS$135&gt;'Mezz 1 Amortization'!$T$13),0,IF('Mezz 1 Amortization'!$T$4="Monthly",INDEX('Mezz 1 Amortization'!$B$19:$V$379,MATCH(AS$135,'Mezz 1 Amortization'!$E$19:$E$379,0),MATCH('Mezz 1 Amortization'!$Q$19,'Mezz 1 Amortization'!$B$19:$V$19,0)),IF('Mezz 1 Amortization'!$T$4="Bi-Annual",IF(OR('Mezz 1 Amortization'!$R$4=AS$5,'Mezz 1 Amortization'!$S$4=AS$5),INDEX('Mezz 1 Amortization'!$B$19:$V$379,MATCH(AS$135,'Mezz 1 Amortization'!$E$19:$E$379,0),MATCH('Mezz 1 Amortization'!$Q$19,'Mezz 1 Amortization'!$B$19:$V$19,0)),0),0)))</f>
        <v>0</v>
      </c>
      <c r="AT137" s="427">
        <f>-IF(OR('Financing Assumptions'!$P$8="No",AT$135&lt;='Financing Assumptions'!$P$26,AT$135&gt;'Mezz 1 Amortization'!$T$13),0,IF('Mezz 1 Amortization'!$T$4="Monthly",INDEX('Mezz 1 Amortization'!$B$19:$V$379,MATCH(AT$135,'Mezz 1 Amortization'!$E$19:$E$379,0),MATCH('Mezz 1 Amortization'!$Q$19,'Mezz 1 Amortization'!$B$19:$V$19,0)),IF('Mezz 1 Amortization'!$T$4="Bi-Annual",IF(OR('Mezz 1 Amortization'!$R$4=AT$5,'Mezz 1 Amortization'!$S$4=AT$5),INDEX('Mezz 1 Amortization'!$B$19:$V$379,MATCH(AT$135,'Mezz 1 Amortization'!$E$19:$E$379,0),MATCH('Mezz 1 Amortization'!$Q$19,'Mezz 1 Amortization'!$B$19:$V$19,0)),0),0)))</f>
        <v>0</v>
      </c>
      <c r="AU137" s="427">
        <f>-IF(OR('Financing Assumptions'!$P$8="No",AU$135&lt;='Financing Assumptions'!$P$26,AU$135&gt;'Mezz 1 Amortization'!$T$13),0,IF('Mezz 1 Amortization'!$T$4="Monthly",INDEX('Mezz 1 Amortization'!$B$19:$V$379,MATCH(AU$135,'Mezz 1 Amortization'!$E$19:$E$379,0),MATCH('Mezz 1 Amortization'!$Q$19,'Mezz 1 Amortization'!$B$19:$V$19,0)),IF('Mezz 1 Amortization'!$T$4="Bi-Annual",IF(OR('Mezz 1 Amortization'!$R$4=AU$5,'Mezz 1 Amortization'!$S$4=AU$5),INDEX('Mezz 1 Amortization'!$B$19:$V$379,MATCH(AU$135,'Mezz 1 Amortization'!$E$19:$E$379,0),MATCH('Mezz 1 Amortization'!$Q$19,'Mezz 1 Amortization'!$B$19:$V$19,0)),0),0)))</f>
        <v>0</v>
      </c>
      <c r="AV137" s="427">
        <f>-IF(OR('Financing Assumptions'!$P$8="No",AV$135&lt;='Financing Assumptions'!$P$26,AV$135&gt;'Mezz 1 Amortization'!$T$13),0,IF('Mezz 1 Amortization'!$T$4="Monthly",INDEX('Mezz 1 Amortization'!$B$19:$V$379,MATCH(AV$135,'Mezz 1 Amortization'!$E$19:$E$379,0),MATCH('Mezz 1 Amortization'!$Q$19,'Mezz 1 Amortization'!$B$19:$V$19,0)),IF('Mezz 1 Amortization'!$T$4="Bi-Annual",IF(OR('Mezz 1 Amortization'!$R$4=AV$5,'Mezz 1 Amortization'!$S$4=AV$5),INDEX('Mezz 1 Amortization'!$B$19:$V$379,MATCH(AV$135,'Mezz 1 Amortization'!$E$19:$E$379,0),MATCH('Mezz 1 Amortization'!$Q$19,'Mezz 1 Amortization'!$B$19:$V$19,0)),0),0)))</f>
        <v>0</v>
      </c>
      <c r="AW137" s="427">
        <f>-IF(OR('Financing Assumptions'!$P$8="No",AW$135&lt;='Financing Assumptions'!$P$26,AW$135&gt;'Mezz 1 Amortization'!$T$13),0,IF('Mezz 1 Amortization'!$T$4="Monthly",INDEX('Mezz 1 Amortization'!$B$19:$V$379,MATCH(AW$135,'Mezz 1 Amortization'!$E$19:$E$379,0),MATCH('Mezz 1 Amortization'!$Q$19,'Mezz 1 Amortization'!$B$19:$V$19,0)),IF('Mezz 1 Amortization'!$T$4="Bi-Annual",IF(OR('Mezz 1 Amortization'!$R$4=AW$5,'Mezz 1 Amortization'!$S$4=AW$5),INDEX('Mezz 1 Amortization'!$B$19:$V$379,MATCH(AW$135,'Mezz 1 Amortization'!$E$19:$E$379,0),MATCH('Mezz 1 Amortization'!$Q$19,'Mezz 1 Amortization'!$B$19:$V$19,0)),0),0)))</f>
        <v>0</v>
      </c>
      <c r="AX137" s="427">
        <f>-IF(OR('Financing Assumptions'!$P$8="No",AX$135&lt;='Financing Assumptions'!$P$26,AX$135&gt;'Mezz 1 Amortization'!$T$13),0,IF('Mezz 1 Amortization'!$T$4="Monthly",INDEX('Mezz 1 Amortization'!$B$19:$V$379,MATCH(AX$135,'Mezz 1 Amortization'!$E$19:$E$379,0),MATCH('Mezz 1 Amortization'!$Q$19,'Mezz 1 Amortization'!$B$19:$V$19,0)),IF('Mezz 1 Amortization'!$T$4="Bi-Annual",IF(OR('Mezz 1 Amortization'!$R$4=AX$5,'Mezz 1 Amortization'!$S$4=AX$5),INDEX('Mezz 1 Amortization'!$B$19:$V$379,MATCH(AX$135,'Mezz 1 Amortization'!$E$19:$E$379,0),MATCH('Mezz 1 Amortization'!$Q$19,'Mezz 1 Amortization'!$B$19:$V$19,0)),0),0)))</f>
        <v>0</v>
      </c>
      <c r="AY137" s="427">
        <f>-IF(OR('Financing Assumptions'!$P$8="No",AY$135&lt;='Financing Assumptions'!$P$26,AY$135&gt;'Mezz 1 Amortization'!$T$13),0,IF('Mezz 1 Amortization'!$T$4="Monthly",INDEX('Mezz 1 Amortization'!$B$19:$V$379,MATCH(AY$135,'Mezz 1 Amortization'!$E$19:$E$379,0),MATCH('Mezz 1 Amortization'!$Q$19,'Mezz 1 Amortization'!$B$19:$V$19,0)),IF('Mezz 1 Amortization'!$T$4="Bi-Annual",IF(OR('Mezz 1 Amortization'!$R$4=AY$5,'Mezz 1 Amortization'!$S$4=AY$5),INDEX('Mezz 1 Amortization'!$B$19:$V$379,MATCH(AY$135,'Mezz 1 Amortization'!$E$19:$E$379,0),MATCH('Mezz 1 Amortization'!$Q$19,'Mezz 1 Amortization'!$B$19:$V$19,0)),0),0)))</f>
        <v>0</v>
      </c>
      <c r="AZ137" s="427">
        <f>-IF(OR('Financing Assumptions'!$P$8="No",AZ$135&lt;='Financing Assumptions'!$P$26,AZ$135&gt;'Mezz 1 Amortization'!$T$13),0,IF('Mezz 1 Amortization'!$T$4="Monthly",INDEX('Mezz 1 Amortization'!$B$19:$V$379,MATCH(AZ$135,'Mezz 1 Amortization'!$E$19:$E$379,0),MATCH('Mezz 1 Amortization'!$Q$19,'Mezz 1 Amortization'!$B$19:$V$19,0)),IF('Mezz 1 Amortization'!$T$4="Bi-Annual",IF(OR('Mezz 1 Amortization'!$R$4=AZ$5,'Mezz 1 Amortization'!$S$4=AZ$5),INDEX('Mezz 1 Amortization'!$B$19:$V$379,MATCH(AZ$135,'Mezz 1 Amortization'!$E$19:$E$379,0),MATCH('Mezz 1 Amortization'!$Q$19,'Mezz 1 Amortization'!$B$19:$V$19,0)),0),0)))</f>
        <v>0</v>
      </c>
      <c r="BA137" s="427">
        <f>-IF(OR('Financing Assumptions'!$P$8="No",BA$135&lt;='Financing Assumptions'!$P$26,BA$135&gt;'Mezz 1 Amortization'!$T$13),0,IF('Mezz 1 Amortization'!$T$4="Monthly",INDEX('Mezz 1 Amortization'!$B$19:$V$379,MATCH(BA$135,'Mezz 1 Amortization'!$E$19:$E$379,0),MATCH('Mezz 1 Amortization'!$Q$19,'Mezz 1 Amortization'!$B$19:$V$19,0)),IF('Mezz 1 Amortization'!$T$4="Bi-Annual",IF(OR('Mezz 1 Amortization'!$R$4=BA$5,'Mezz 1 Amortization'!$S$4=BA$5),INDEX('Mezz 1 Amortization'!$B$19:$V$379,MATCH(BA$135,'Mezz 1 Amortization'!$E$19:$E$379,0),MATCH('Mezz 1 Amortization'!$Q$19,'Mezz 1 Amortization'!$B$19:$V$19,0)),0),0)))</f>
        <v>0</v>
      </c>
      <c r="BB137" s="427">
        <f>-IF(OR('Financing Assumptions'!$P$8="No",BB$135&lt;='Financing Assumptions'!$P$26,BB$135&gt;'Mezz 1 Amortization'!$T$13),0,IF('Mezz 1 Amortization'!$T$4="Monthly",INDEX('Mezz 1 Amortization'!$B$19:$V$379,MATCH(BB$135,'Mezz 1 Amortization'!$E$19:$E$379,0),MATCH('Mezz 1 Amortization'!$Q$19,'Mezz 1 Amortization'!$B$19:$V$19,0)),IF('Mezz 1 Amortization'!$T$4="Bi-Annual",IF(OR('Mezz 1 Amortization'!$R$4=BB$5,'Mezz 1 Amortization'!$S$4=BB$5),INDEX('Mezz 1 Amortization'!$B$19:$V$379,MATCH(BB$135,'Mezz 1 Amortization'!$E$19:$E$379,0),MATCH('Mezz 1 Amortization'!$Q$19,'Mezz 1 Amortization'!$B$19:$V$19,0)),0),0)))</f>
        <v>0</v>
      </c>
      <c r="BC137" s="427">
        <f>-IF(OR('Financing Assumptions'!$P$8="No",BC$135&lt;='Financing Assumptions'!$P$26,BC$135&gt;'Mezz 1 Amortization'!$T$13),0,IF('Mezz 1 Amortization'!$T$4="Monthly",INDEX('Mezz 1 Amortization'!$B$19:$V$379,MATCH(BC$135,'Mezz 1 Amortization'!$E$19:$E$379,0),MATCH('Mezz 1 Amortization'!$Q$19,'Mezz 1 Amortization'!$B$19:$V$19,0)),IF('Mezz 1 Amortization'!$T$4="Bi-Annual",IF(OR('Mezz 1 Amortization'!$R$4=BC$5,'Mezz 1 Amortization'!$S$4=BC$5),INDEX('Mezz 1 Amortization'!$B$19:$V$379,MATCH(BC$135,'Mezz 1 Amortization'!$E$19:$E$379,0),MATCH('Mezz 1 Amortization'!$Q$19,'Mezz 1 Amortization'!$B$19:$V$19,0)),0),0)))</f>
        <v>0</v>
      </c>
      <c r="BD137" s="427">
        <f>-IF(OR('Financing Assumptions'!$P$8="No",BD$135&lt;='Financing Assumptions'!$P$26,BD$135&gt;'Mezz 1 Amortization'!$T$13),0,IF('Mezz 1 Amortization'!$T$4="Monthly",INDEX('Mezz 1 Amortization'!$B$19:$V$379,MATCH(BD$135,'Mezz 1 Amortization'!$E$19:$E$379,0),MATCH('Mezz 1 Amortization'!$Q$19,'Mezz 1 Amortization'!$B$19:$V$19,0)),IF('Mezz 1 Amortization'!$T$4="Bi-Annual",IF(OR('Mezz 1 Amortization'!$R$4=BD$5,'Mezz 1 Amortization'!$S$4=BD$5),INDEX('Mezz 1 Amortization'!$B$19:$V$379,MATCH(BD$135,'Mezz 1 Amortization'!$E$19:$E$379,0),MATCH('Mezz 1 Amortization'!$Q$19,'Mezz 1 Amortization'!$B$19:$V$19,0)),0),0)))</f>
        <v>0</v>
      </c>
      <c r="BE137" s="427">
        <f>-IF(OR('Financing Assumptions'!$P$8="No",BE$135&lt;='Financing Assumptions'!$P$26,BE$135&gt;'Mezz 1 Amortization'!$T$13),0,IF('Mezz 1 Amortization'!$T$4="Monthly",INDEX('Mezz 1 Amortization'!$B$19:$V$379,MATCH(BE$135,'Mezz 1 Amortization'!$E$19:$E$379,0),MATCH('Mezz 1 Amortization'!$Q$19,'Mezz 1 Amortization'!$B$19:$V$19,0)),IF('Mezz 1 Amortization'!$T$4="Bi-Annual",IF(OR('Mezz 1 Amortization'!$R$4=BE$5,'Mezz 1 Amortization'!$S$4=BE$5),INDEX('Mezz 1 Amortization'!$B$19:$V$379,MATCH(BE$135,'Mezz 1 Amortization'!$E$19:$E$379,0),MATCH('Mezz 1 Amortization'!$Q$19,'Mezz 1 Amortization'!$B$19:$V$19,0)),0),0)))</f>
        <v>0</v>
      </c>
      <c r="BF137" s="427">
        <f>-IF(OR('Financing Assumptions'!$P$8="No",BF$135&lt;='Financing Assumptions'!$P$26,BF$135&gt;'Mezz 1 Amortization'!$T$13),0,IF('Mezz 1 Amortization'!$T$4="Monthly",INDEX('Mezz 1 Amortization'!$B$19:$V$379,MATCH(BF$135,'Mezz 1 Amortization'!$E$19:$E$379,0),MATCH('Mezz 1 Amortization'!$Q$19,'Mezz 1 Amortization'!$B$19:$V$19,0)),IF('Mezz 1 Amortization'!$T$4="Bi-Annual",IF(OR('Mezz 1 Amortization'!$R$4=BF$5,'Mezz 1 Amortization'!$S$4=BF$5),INDEX('Mezz 1 Amortization'!$B$19:$V$379,MATCH(BF$135,'Mezz 1 Amortization'!$E$19:$E$379,0),MATCH('Mezz 1 Amortization'!$Q$19,'Mezz 1 Amortization'!$B$19:$V$19,0)),0),0)))</f>
        <v>0</v>
      </c>
      <c r="BG137" s="427">
        <f>-IF(OR('Financing Assumptions'!$P$8="No",BG$135&lt;='Financing Assumptions'!$P$26,BG$135&gt;'Mezz 1 Amortization'!$T$13),0,IF('Mezz 1 Amortization'!$T$4="Monthly",INDEX('Mezz 1 Amortization'!$B$19:$V$379,MATCH(BG$135,'Mezz 1 Amortization'!$E$19:$E$379,0),MATCH('Mezz 1 Amortization'!$Q$19,'Mezz 1 Amortization'!$B$19:$V$19,0)),IF('Mezz 1 Amortization'!$T$4="Bi-Annual",IF(OR('Mezz 1 Amortization'!$R$4=BG$5,'Mezz 1 Amortization'!$S$4=BG$5),INDEX('Mezz 1 Amortization'!$B$19:$V$379,MATCH(BG$135,'Mezz 1 Amortization'!$E$19:$E$379,0),MATCH('Mezz 1 Amortization'!$Q$19,'Mezz 1 Amortization'!$B$19:$V$19,0)),0),0)))</f>
        <v>0</v>
      </c>
      <c r="BH137" s="427">
        <f>-IF(OR('Financing Assumptions'!$P$8="No",BH$135&lt;='Financing Assumptions'!$P$26,BH$135&gt;'Mezz 1 Amortization'!$T$13),0,IF('Mezz 1 Amortization'!$T$4="Monthly",INDEX('Mezz 1 Amortization'!$B$19:$V$379,MATCH(BH$135,'Mezz 1 Amortization'!$E$19:$E$379,0),MATCH('Mezz 1 Amortization'!$Q$19,'Mezz 1 Amortization'!$B$19:$V$19,0)),IF('Mezz 1 Amortization'!$T$4="Bi-Annual",IF(OR('Mezz 1 Amortization'!$R$4=BH$5,'Mezz 1 Amortization'!$S$4=BH$5),INDEX('Mezz 1 Amortization'!$B$19:$V$379,MATCH(BH$135,'Mezz 1 Amortization'!$E$19:$E$379,0),MATCH('Mezz 1 Amortization'!$Q$19,'Mezz 1 Amortization'!$B$19:$V$19,0)),0),0)))</f>
        <v>0</v>
      </c>
      <c r="BI137" s="427">
        <f>-IF(OR('Financing Assumptions'!$P$8="No",BI$135&lt;='Financing Assumptions'!$P$26,BI$135&gt;'Mezz 1 Amortization'!$T$13),0,IF('Mezz 1 Amortization'!$T$4="Monthly",INDEX('Mezz 1 Amortization'!$B$19:$V$379,MATCH(BI$135,'Mezz 1 Amortization'!$E$19:$E$379,0),MATCH('Mezz 1 Amortization'!$Q$19,'Mezz 1 Amortization'!$B$19:$V$19,0)),IF('Mezz 1 Amortization'!$T$4="Bi-Annual",IF(OR('Mezz 1 Amortization'!$R$4=BI$5,'Mezz 1 Amortization'!$S$4=BI$5),INDEX('Mezz 1 Amortization'!$B$19:$V$379,MATCH(BI$135,'Mezz 1 Amortization'!$E$19:$E$379,0),MATCH('Mezz 1 Amortization'!$Q$19,'Mezz 1 Amortization'!$B$19:$V$19,0)),0),0)))</f>
        <v>0</v>
      </c>
      <c r="BJ137" s="427">
        <f>-IF(OR('Financing Assumptions'!$P$8="No",BJ$135&lt;='Financing Assumptions'!$P$26,BJ$135&gt;'Mezz 1 Amortization'!$T$13),0,IF('Mezz 1 Amortization'!$T$4="Monthly",INDEX('Mezz 1 Amortization'!$B$19:$V$379,MATCH(BJ$135,'Mezz 1 Amortization'!$E$19:$E$379,0),MATCH('Mezz 1 Amortization'!$Q$19,'Mezz 1 Amortization'!$B$19:$V$19,0)),IF('Mezz 1 Amortization'!$T$4="Bi-Annual",IF(OR('Mezz 1 Amortization'!$R$4=BJ$5,'Mezz 1 Amortization'!$S$4=BJ$5),INDEX('Mezz 1 Amortization'!$B$19:$V$379,MATCH(BJ$135,'Mezz 1 Amortization'!$E$19:$E$379,0),MATCH('Mezz 1 Amortization'!$Q$19,'Mezz 1 Amortization'!$B$19:$V$19,0)),0),0)))</f>
        <v>0</v>
      </c>
      <c r="BK137" s="427">
        <f>-IF(OR('Financing Assumptions'!$P$8="No",BK$135&lt;='Financing Assumptions'!$P$26,BK$135&gt;'Mezz 1 Amortization'!$T$13),0,IF('Mezz 1 Amortization'!$T$4="Monthly",INDEX('Mezz 1 Amortization'!$B$19:$V$379,MATCH(BK$135,'Mezz 1 Amortization'!$E$19:$E$379,0),MATCH('Mezz 1 Amortization'!$Q$19,'Mezz 1 Amortization'!$B$19:$V$19,0)),IF('Mezz 1 Amortization'!$T$4="Bi-Annual",IF(OR('Mezz 1 Amortization'!$R$4=BK$5,'Mezz 1 Amortization'!$S$4=BK$5),INDEX('Mezz 1 Amortization'!$B$19:$V$379,MATCH(BK$135,'Mezz 1 Amortization'!$E$19:$E$379,0),MATCH('Mezz 1 Amortization'!$Q$19,'Mezz 1 Amortization'!$B$19:$V$19,0)),0),0)))</f>
        <v>0</v>
      </c>
      <c r="BL137" s="427">
        <f>-IF(OR('Financing Assumptions'!$P$8="No",BL$135&lt;='Financing Assumptions'!$P$26,BL$135&gt;'Mezz 1 Amortization'!$T$13),0,IF('Mezz 1 Amortization'!$T$4="Monthly",INDEX('Mezz 1 Amortization'!$B$19:$V$379,MATCH(BL$135,'Mezz 1 Amortization'!$E$19:$E$379,0),MATCH('Mezz 1 Amortization'!$Q$19,'Mezz 1 Amortization'!$B$19:$V$19,0)),IF('Mezz 1 Amortization'!$T$4="Bi-Annual",IF(OR('Mezz 1 Amortization'!$R$4=BL$5,'Mezz 1 Amortization'!$S$4=BL$5),INDEX('Mezz 1 Amortization'!$B$19:$V$379,MATCH(BL$135,'Mezz 1 Amortization'!$E$19:$E$379,0),MATCH('Mezz 1 Amortization'!$Q$19,'Mezz 1 Amortization'!$B$19:$V$19,0)),0),0)))</f>
        <v>0</v>
      </c>
      <c r="BM137" s="427">
        <f>-IF(OR('Financing Assumptions'!$P$8="No",BM$135&lt;='Financing Assumptions'!$P$26,BM$135&gt;'Mezz 1 Amortization'!$T$13),0,IF('Mezz 1 Amortization'!$T$4="Monthly",INDEX('Mezz 1 Amortization'!$B$19:$V$379,MATCH(BM$135,'Mezz 1 Amortization'!$E$19:$E$379,0),MATCH('Mezz 1 Amortization'!$Q$19,'Mezz 1 Amortization'!$B$19:$V$19,0)),IF('Mezz 1 Amortization'!$T$4="Bi-Annual",IF(OR('Mezz 1 Amortization'!$R$4=BM$5,'Mezz 1 Amortization'!$S$4=BM$5),INDEX('Mezz 1 Amortization'!$B$19:$V$379,MATCH(BM$135,'Mezz 1 Amortization'!$E$19:$E$379,0),MATCH('Mezz 1 Amortization'!$Q$19,'Mezz 1 Amortization'!$B$19:$V$19,0)),0),0)))</f>
        <v>0</v>
      </c>
      <c r="BN137" s="427">
        <f>-IF(OR('Financing Assumptions'!$P$8="No",BN$135&lt;='Financing Assumptions'!$P$26,BN$135&gt;'Mezz 1 Amortization'!$T$13),0,IF('Mezz 1 Amortization'!$T$4="Monthly",INDEX('Mezz 1 Amortization'!$B$19:$V$379,MATCH(BN$135,'Mezz 1 Amortization'!$E$19:$E$379,0),MATCH('Mezz 1 Amortization'!$Q$19,'Mezz 1 Amortization'!$B$19:$V$19,0)),IF('Mezz 1 Amortization'!$T$4="Bi-Annual",IF(OR('Mezz 1 Amortization'!$R$4=BN$5,'Mezz 1 Amortization'!$S$4=BN$5),INDEX('Mezz 1 Amortization'!$B$19:$V$379,MATCH(BN$135,'Mezz 1 Amortization'!$E$19:$E$379,0),MATCH('Mezz 1 Amortization'!$Q$19,'Mezz 1 Amortization'!$B$19:$V$19,0)),0),0)))</f>
        <v>0</v>
      </c>
      <c r="BO137" s="427">
        <f>-IF(OR('Financing Assumptions'!$P$8="No",BO$135&lt;='Financing Assumptions'!$P$26,BO$135&gt;'Mezz 1 Amortization'!$T$13),0,IF('Mezz 1 Amortization'!$T$4="Monthly",INDEX('Mezz 1 Amortization'!$B$19:$V$379,MATCH(BO$135,'Mezz 1 Amortization'!$E$19:$E$379,0),MATCH('Mezz 1 Amortization'!$Q$19,'Mezz 1 Amortization'!$B$19:$V$19,0)),IF('Mezz 1 Amortization'!$T$4="Bi-Annual",IF(OR('Mezz 1 Amortization'!$R$4=BO$5,'Mezz 1 Amortization'!$S$4=BO$5),INDEX('Mezz 1 Amortization'!$B$19:$V$379,MATCH(BO$135,'Mezz 1 Amortization'!$E$19:$E$379,0),MATCH('Mezz 1 Amortization'!$Q$19,'Mezz 1 Amortization'!$B$19:$V$19,0)),0),0)))</f>
        <v>0</v>
      </c>
      <c r="BP137" s="427">
        <f>-IF(OR('Financing Assumptions'!$P$8="No",BP$135&lt;='Financing Assumptions'!$P$26,BP$135&gt;'Mezz 1 Amortization'!$T$13),0,IF('Mezz 1 Amortization'!$T$4="Monthly",INDEX('Mezz 1 Amortization'!$B$19:$V$379,MATCH(BP$135,'Mezz 1 Amortization'!$E$19:$E$379,0),MATCH('Mezz 1 Amortization'!$Q$19,'Mezz 1 Amortization'!$B$19:$V$19,0)),IF('Mezz 1 Amortization'!$T$4="Bi-Annual",IF(OR('Mezz 1 Amortization'!$R$4=BP$5,'Mezz 1 Amortization'!$S$4=BP$5),INDEX('Mezz 1 Amortization'!$B$19:$V$379,MATCH(BP$135,'Mezz 1 Amortization'!$E$19:$E$379,0),MATCH('Mezz 1 Amortization'!$Q$19,'Mezz 1 Amortization'!$B$19:$V$19,0)),0),0)))</f>
        <v>0</v>
      </c>
      <c r="BQ137" s="427">
        <f>-IF(OR('Financing Assumptions'!$P$8="No",BQ$135&lt;='Financing Assumptions'!$P$26,BQ$135&gt;'Mezz 1 Amortization'!$T$13),0,IF('Mezz 1 Amortization'!$T$4="Monthly",INDEX('Mezz 1 Amortization'!$B$19:$V$379,MATCH(BQ$135,'Mezz 1 Amortization'!$E$19:$E$379,0),MATCH('Mezz 1 Amortization'!$Q$19,'Mezz 1 Amortization'!$B$19:$V$19,0)),IF('Mezz 1 Amortization'!$T$4="Bi-Annual",IF(OR('Mezz 1 Amortization'!$R$4=BQ$5,'Mezz 1 Amortization'!$S$4=BQ$5),INDEX('Mezz 1 Amortization'!$B$19:$V$379,MATCH(BQ$135,'Mezz 1 Amortization'!$E$19:$E$379,0),MATCH('Mezz 1 Amortization'!$Q$19,'Mezz 1 Amortization'!$B$19:$V$19,0)),0),0)))</f>
        <v>0</v>
      </c>
      <c r="BR137" s="427">
        <f>-IF(OR('Financing Assumptions'!$P$8="No",BR$135&lt;='Financing Assumptions'!$P$26,BR$135&gt;'Mezz 1 Amortization'!$T$13),0,IF('Mezz 1 Amortization'!$T$4="Monthly",INDEX('Mezz 1 Amortization'!$B$19:$V$379,MATCH(BR$135,'Mezz 1 Amortization'!$E$19:$E$379,0),MATCH('Mezz 1 Amortization'!$Q$19,'Mezz 1 Amortization'!$B$19:$V$19,0)),IF('Mezz 1 Amortization'!$T$4="Bi-Annual",IF(OR('Mezz 1 Amortization'!$R$4=BR$5,'Mezz 1 Amortization'!$S$4=BR$5),INDEX('Mezz 1 Amortization'!$B$19:$V$379,MATCH(BR$135,'Mezz 1 Amortization'!$E$19:$E$379,0),MATCH('Mezz 1 Amortization'!$Q$19,'Mezz 1 Amortization'!$B$19:$V$19,0)),0),0)))</f>
        <v>0</v>
      </c>
      <c r="BS137" s="427">
        <f>-IF(OR('Financing Assumptions'!$P$8="No",BS$135&lt;='Financing Assumptions'!$P$26,BS$135&gt;'Mezz 1 Amortization'!$T$13),0,IF('Mezz 1 Amortization'!$T$4="Monthly",INDEX('Mezz 1 Amortization'!$B$19:$V$379,MATCH(BS$135,'Mezz 1 Amortization'!$E$19:$E$379,0),MATCH('Mezz 1 Amortization'!$Q$19,'Mezz 1 Amortization'!$B$19:$V$19,0)),IF('Mezz 1 Amortization'!$T$4="Bi-Annual",IF(OR('Mezz 1 Amortization'!$R$4=BS$5,'Mezz 1 Amortization'!$S$4=BS$5),INDEX('Mezz 1 Amortization'!$B$19:$V$379,MATCH(BS$135,'Mezz 1 Amortization'!$E$19:$E$379,0),MATCH('Mezz 1 Amortization'!$Q$19,'Mezz 1 Amortization'!$B$19:$V$19,0)),0),0)))</f>
        <v>0</v>
      </c>
      <c r="BT137" s="427">
        <f>-IF(OR('Financing Assumptions'!$P$8="No",BT$135&lt;='Financing Assumptions'!$P$26,BT$135&gt;'Mezz 1 Amortization'!$T$13),0,IF('Mezz 1 Amortization'!$T$4="Monthly",INDEX('Mezz 1 Amortization'!$B$19:$V$379,MATCH(BT$135,'Mezz 1 Amortization'!$E$19:$E$379,0),MATCH('Mezz 1 Amortization'!$Q$19,'Mezz 1 Amortization'!$B$19:$V$19,0)),IF('Mezz 1 Amortization'!$T$4="Bi-Annual",IF(OR('Mezz 1 Amortization'!$R$4=BT$5,'Mezz 1 Amortization'!$S$4=BT$5),INDEX('Mezz 1 Amortization'!$B$19:$V$379,MATCH(BT$135,'Mezz 1 Amortization'!$E$19:$E$379,0),MATCH('Mezz 1 Amortization'!$Q$19,'Mezz 1 Amortization'!$B$19:$V$19,0)),0),0)))</f>
        <v>0</v>
      </c>
      <c r="BU137" s="427">
        <f>-IF(OR('Financing Assumptions'!$P$8="No",BU$135&lt;='Financing Assumptions'!$P$26,BU$135&gt;'Mezz 1 Amortization'!$T$13),0,IF('Mezz 1 Amortization'!$T$4="Monthly",INDEX('Mezz 1 Amortization'!$B$19:$V$379,MATCH(BU$135,'Mezz 1 Amortization'!$E$19:$E$379,0),MATCH('Mezz 1 Amortization'!$Q$19,'Mezz 1 Amortization'!$B$19:$V$19,0)),IF('Mezz 1 Amortization'!$T$4="Bi-Annual",IF(OR('Mezz 1 Amortization'!$R$4=BU$5,'Mezz 1 Amortization'!$S$4=BU$5),INDEX('Mezz 1 Amortization'!$B$19:$V$379,MATCH(BU$135,'Mezz 1 Amortization'!$E$19:$E$379,0),MATCH('Mezz 1 Amortization'!$Q$19,'Mezz 1 Amortization'!$B$19:$V$19,0)),0),0)))</f>
        <v>0</v>
      </c>
      <c r="BV137" s="427">
        <f>-IF(OR('Financing Assumptions'!$P$8="No",BV$135&lt;='Financing Assumptions'!$P$26,BV$135&gt;'Mezz 1 Amortization'!$T$13),0,IF('Mezz 1 Amortization'!$T$4="Monthly",INDEX('Mezz 1 Amortization'!$B$19:$V$379,MATCH(BV$135,'Mezz 1 Amortization'!$E$19:$E$379,0),MATCH('Mezz 1 Amortization'!$Q$19,'Mezz 1 Amortization'!$B$19:$V$19,0)),IF('Mezz 1 Amortization'!$T$4="Bi-Annual",IF(OR('Mezz 1 Amortization'!$R$4=BV$5,'Mezz 1 Amortization'!$S$4=BV$5),INDEX('Mezz 1 Amortization'!$B$19:$V$379,MATCH(BV$135,'Mezz 1 Amortization'!$E$19:$E$379,0),MATCH('Mezz 1 Amortization'!$Q$19,'Mezz 1 Amortization'!$B$19:$V$19,0)),0),0)))</f>
        <v>0</v>
      </c>
      <c r="BW137" s="427">
        <f>-IF(OR('Financing Assumptions'!$P$8="No",BW$135&lt;='Financing Assumptions'!$P$26,BW$135&gt;'Mezz 1 Amortization'!$T$13),0,IF('Mezz 1 Amortization'!$T$4="Monthly",INDEX('Mezz 1 Amortization'!$B$19:$V$379,MATCH(BW$135,'Mezz 1 Amortization'!$E$19:$E$379,0),MATCH('Mezz 1 Amortization'!$Q$19,'Mezz 1 Amortization'!$B$19:$V$19,0)),IF('Mezz 1 Amortization'!$T$4="Bi-Annual",IF(OR('Mezz 1 Amortization'!$R$4=BW$5,'Mezz 1 Amortization'!$S$4=BW$5),INDEX('Mezz 1 Amortization'!$B$19:$V$379,MATCH(BW$135,'Mezz 1 Amortization'!$E$19:$E$379,0),MATCH('Mezz 1 Amortization'!$Q$19,'Mezz 1 Amortization'!$B$19:$V$19,0)),0),0)))</f>
        <v>0</v>
      </c>
      <c r="BX137" s="427">
        <f>-IF(OR('Financing Assumptions'!$P$8="No",BX$135&lt;='Financing Assumptions'!$P$26,BX$135&gt;'Mezz 1 Amortization'!$T$13),0,IF('Mezz 1 Amortization'!$T$4="Monthly",INDEX('Mezz 1 Amortization'!$B$19:$V$379,MATCH(BX$135,'Mezz 1 Amortization'!$E$19:$E$379,0),MATCH('Mezz 1 Amortization'!$Q$19,'Mezz 1 Amortization'!$B$19:$V$19,0)),IF('Mezz 1 Amortization'!$T$4="Bi-Annual",IF(OR('Mezz 1 Amortization'!$R$4=BX$5,'Mezz 1 Amortization'!$S$4=BX$5),INDEX('Mezz 1 Amortization'!$B$19:$V$379,MATCH(BX$135,'Mezz 1 Amortization'!$E$19:$E$379,0),MATCH('Mezz 1 Amortization'!$Q$19,'Mezz 1 Amortization'!$B$19:$V$19,0)),0),0)))</f>
        <v>0</v>
      </c>
      <c r="BY137" s="427">
        <f>-IF(OR('Financing Assumptions'!$P$8="No",BY$135&lt;='Financing Assumptions'!$P$26,BY$135&gt;'Mezz 1 Amortization'!$T$13),0,IF('Mezz 1 Amortization'!$T$4="Monthly",INDEX('Mezz 1 Amortization'!$B$19:$V$379,MATCH(BY$135,'Mezz 1 Amortization'!$E$19:$E$379,0),MATCH('Mezz 1 Amortization'!$Q$19,'Mezz 1 Amortization'!$B$19:$V$19,0)),IF('Mezz 1 Amortization'!$T$4="Bi-Annual",IF(OR('Mezz 1 Amortization'!$R$4=BY$5,'Mezz 1 Amortization'!$S$4=BY$5),INDEX('Mezz 1 Amortization'!$B$19:$V$379,MATCH(BY$135,'Mezz 1 Amortization'!$E$19:$E$379,0),MATCH('Mezz 1 Amortization'!$Q$19,'Mezz 1 Amortization'!$B$19:$V$19,0)),0),0)))</f>
        <v>0</v>
      </c>
      <c r="BZ137" s="427">
        <f>-IF(OR('Financing Assumptions'!$P$8="No",BZ$135&lt;='Financing Assumptions'!$P$26,BZ$135&gt;'Mezz 1 Amortization'!$T$13),0,IF('Mezz 1 Amortization'!$T$4="Monthly",INDEX('Mezz 1 Amortization'!$B$19:$V$379,MATCH(BZ$135,'Mezz 1 Amortization'!$E$19:$E$379,0),MATCH('Mezz 1 Amortization'!$Q$19,'Mezz 1 Amortization'!$B$19:$V$19,0)),IF('Mezz 1 Amortization'!$T$4="Bi-Annual",IF(OR('Mezz 1 Amortization'!$R$4=BZ$5,'Mezz 1 Amortization'!$S$4=BZ$5),INDEX('Mezz 1 Amortization'!$B$19:$V$379,MATCH(BZ$135,'Mezz 1 Amortization'!$E$19:$E$379,0),MATCH('Mezz 1 Amortization'!$Q$19,'Mezz 1 Amortization'!$B$19:$V$19,0)),0),0)))</f>
        <v>0</v>
      </c>
      <c r="CA137" s="427">
        <f>-IF(OR('Financing Assumptions'!$P$8="No",CA$135&lt;='Financing Assumptions'!$P$26,CA$135&gt;'Mezz 1 Amortization'!$T$13),0,IF('Mezz 1 Amortization'!$T$4="Monthly",INDEX('Mezz 1 Amortization'!$B$19:$V$379,MATCH(CA$135,'Mezz 1 Amortization'!$E$19:$E$379,0),MATCH('Mezz 1 Amortization'!$Q$19,'Mezz 1 Amortization'!$B$19:$V$19,0)),IF('Mezz 1 Amortization'!$T$4="Bi-Annual",IF(OR('Mezz 1 Amortization'!$R$4=CA$5,'Mezz 1 Amortization'!$S$4=CA$5),INDEX('Mezz 1 Amortization'!$B$19:$V$379,MATCH(CA$135,'Mezz 1 Amortization'!$E$19:$E$379,0),MATCH('Mezz 1 Amortization'!$Q$19,'Mezz 1 Amortization'!$B$19:$V$19,0)),0),0)))</f>
        <v>0</v>
      </c>
      <c r="CB137" s="427">
        <f>-IF(OR('Financing Assumptions'!$P$8="No",CB$135&lt;='Financing Assumptions'!$P$26,CB$135&gt;'Mezz 1 Amortization'!$T$13),0,IF('Mezz 1 Amortization'!$T$4="Monthly",INDEX('Mezz 1 Amortization'!$B$19:$V$379,MATCH(CB$135,'Mezz 1 Amortization'!$E$19:$E$379,0),MATCH('Mezz 1 Amortization'!$Q$19,'Mezz 1 Amortization'!$B$19:$V$19,0)),IF('Mezz 1 Amortization'!$T$4="Bi-Annual",IF(OR('Mezz 1 Amortization'!$R$4=CB$5,'Mezz 1 Amortization'!$S$4=CB$5),INDEX('Mezz 1 Amortization'!$B$19:$V$379,MATCH(CB$135,'Mezz 1 Amortization'!$E$19:$E$379,0),MATCH('Mezz 1 Amortization'!$Q$19,'Mezz 1 Amortization'!$B$19:$V$19,0)),0),0)))</f>
        <v>0</v>
      </c>
      <c r="CC137" s="427">
        <f>-IF(OR('Financing Assumptions'!$P$8="No",CC$135&lt;='Financing Assumptions'!$P$26,CC$135&gt;'Mezz 1 Amortization'!$T$13),0,IF('Mezz 1 Amortization'!$T$4="Monthly",INDEX('Mezz 1 Amortization'!$B$19:$V$379,MATCH(CC$135,'Mezz 1 Amortization'!$E$19:$E$379,0),MATCH('Mezz 1 Amortization'!$Q$19,'Mezz 1 Amortization'!$B$19:$V$19,0)),IF('Mezz 1 Amortization'!$T$4="Bi-Annual",IF(OR('Mezz 1 Amortization'!$R$4=CC$5,'Mezz 1 Amortization'!$S$4=CC$5),INDEX('Mezz 1 Amortization'!$B$19:$V$379,MATCH(CC$135,'Mezz 1 Amortization'!$E$19:$E$379,0),MATCH('Mezz 1 Amortization'!$Q$19,'Mezz 1 Amortization'!$B$19:$V$19,0)),0),0)))</f>
        <v>0</v>
      </c>
      <c r="CD137" s="427">
        <f>-IF(OR('Financing Assumptions'!$P$8="No",CD$135&lt;='Financing Assumptions'!$P$26,CD$135&gt;'Mezz 1 Amortization'!$T$13),0,IF('Mezz 1 Amortization'!$T$4="Monthly",INDEX('Mezz 1 Amortization'!$B$19:$V$379,MATCH(CD$135,'Mezz 1 Amortization'!$E$19:$E$379,0),MATCH('Mezz 1 Amortization'!$Q$19,'Mezz 1 Amortization'!$B$19:$V$19,0)),IF('Mezz 1 Amortization'!$T$4="Bi-Annual",IF(OR('Mezz 1 Amortization'!$R$4=CD$5,'Mezz 1 Amortization'!$S$4=CD$5),INDEX('Mezz 1 Amortization'!$B$19:$V$379,MATCH(CD$135,'Mezz 1 Amortization'!$E$19:$E$379,0),MATCH('Mezz 1 Amortization'!$Q$19,'Mezz 1 Amortization'!$B$19:$V$19,0)),0),0)))</f>
        <v>0</v>
      </c>
      <c r="CE137" s="427">
        <f>-IF(OR('Financing Assumptions'!$P$8="No",CE$135&lt;='Financing Assumptions'!$P$26,CE$135&gt;'Mezz 1 Amortization'!$T$13),0,IF('Mezz 1 Amortization'!$T$4="Monthly",INDEX('Mezz 1 Amortization'!$B$19:$V$379,MATCH(CE$135,'Mezz 1 Amortization'!$E$19:$E$379,0),MATCH('Mezz 1 Amortization'!$Q$19,'Mezz 1 Amortization'!$B$19:$V$19,0)),IF('Mezz 1 Amortization'!$T$4="Bi-Annual",IF(OR('Mezz 1 Amortization'!$R$4=CE$5,'Mezz 1 Amortization'!$S$4=CE$5),INDEX('Mezz 1 Amortization'!$B$19:$V$379,MATCH(CE$135,'Mezz 1 Amortization'!$E$19:$E$379,0),MATCH('Mezz 1 Amortization'!$Q$19,'Mezz 1 Amortization'!$B$19:$V$19,0)),0),0)))</f>
        <v>0</v>
      </c>
      <c r="CF137" s="427">
        <f>-IF(OR('Financing Assumptions'!$P$8="No",CF$135&lt;='Financing Assumptions'!$P$26,CF$135&gt;'Mezz 1 Amortization'!$T$13),0,IF('Mezz 1 Amortization'!$T$4="Monthly",INDEX('Mezz 1 Amortization'!$B$19:$V$379,MATCH(CF$135,'Mezz 1 Amortization'!$E$19:$E$379,0),MATCH('Mezz 1 Amortization'!$Q$19,'Mezz 1 Amortization'!$B$19:$V$19,0)),IF('Mezz 1 Amortization'!$T$4="Bi-Annual",IF(OR('Mezz 1 Amortization'!$R$4=CF$5,'Mezz 1 Amortization'!$S$4=CF$5),INDEX('Mezz 1 Amortization'!$B$19:$V$379,MATCH(CF$135,'Mezz 1 Amortization'!$E$19:$E$379,0),MATCH('Mezz 1 Amortization'!$Q$19,'Mezz 1 Amortization'!$B$19:$V$19,0)),0),0)))</f>
        <v>0</v>
      </c>
      <c r="CG137" s="427">
        <f>-IF(OR('Financing Assumptions'!$P$8="No",CG$135&lt;='Financing Assumptions'!$P$26,CG$135&gt;'Mezz 1 Amortization'!$T$13),0,IF('Mezz 1 Amortization'!$T$4="Monthly",INDEX('Mezz 1 Amortization'!$B$19:$V$379,MATCH(CG$135,'Mezz 1 Amortization'!$E$19:$E$379,0),MATCH('Mezz 1 Amortization'!$Q$19,'Mezz 1 Amortization'!$B$19:$V$19,0)),IF('Mezz 1 Amortization'!$T$4="Bi-Annual",IF(OR('Mezz 1 Amortization'!$R$4=CG$5,'Mezz 1 Amortization'!$S$4=CG$5),INDEX('Mezz 1 Amortization'!$B$19:$V$379,MATCH(CG$135,'Mezz 1 Amortization'!$E$19:$E$379,0),MATCH('Mezz 1 Amortization'!$Q$19,'Mezz 1 Amortization'!$B$19:$V$19,0)),0),0)))</f>
        <v>0</v>
      </c>
      <c r="CH137" s="427">
        <f>-IF(OR('Financing Assumptions'!$P$8="No",CH$135&lt;='Financing Assumptions'!$P$26,CH$135&gt;'Mezz 1 Amortization'!$T$13),0,IF('Mezz 1 Amortization'!$T$4="Monthly",INDEX('Mezz 1 Amortization'!$B$19:$V$379,MATCH(CH$135,'Mezz 1 Amortization'!$E$19:$E$379,0),MATCH('Mezz 1 Amortization'!$Q$19,'Mezz 1 Amortization'!$B$19:$V$19,0)),IF('Mezz 1 Amortization'!$T$4="Bi-Annual",IF(OR('Mezz 1 Amortization'!$R$4=CH$5,'Mezz 1 Amortization'!$S$4=CH$5),INDEX('Mezz 1 Amortization'!$B$19:$V$379,MATCH(CH$135,'Mezz 1 Amortization'!$E$19:$E$379,0),MATCH('Mezz 1 Amortization'!$Q$19,'Mezz 1 Amortization'!$B$19:$V$19,0)),0),0)))</f>
        <v>0</v>
      </c>
      <c r="CI137" s="427">
        <f>-IF(OR('Financing Assumptions'!$P$8="No",CI$135&lt;='Financing Assumptions'!$P$26,CI$135&gt;'Mezz 1 Amortization'!$T$13),0,IF('Mezz 1 Amortization'!$T$4="Monthly",INDEX('Mezz 1 Amortization'!$B$19:$V$379,MATCH(CI$135,'Mezz 1 Amortization'!$E$19:$E$379,0),MATCH('Mezz 1 Amortization'!$Q$19,'Mezz 1 Amortization'!$B$19:$V$19,0)),IF('Mezz 1 Amortization'!$T$4="Bi-Annual",IF(OR('Mezz 1 Amortization'!$R$4=CI$5,'Mezz 1 Amortization'!$S$4=CI$5),INDEX('Mezz 1 Amortization'!$B$19:$V$379,MATCH(CI$135,'Mezz 1 Amortization'!$E$19:$E$379,0),MATCH('Mezz 1 Amortization'!$Q$19,'Mezz 1 Amortization'!$B$19:$V$19,0)),0),0)))</f>
        <v>0</v>
      </c>
      <c r="CJ137" s="427">
        <f>-IF(OR('Financing Assumptions'!$P$8="No",CJ$135&lt;='Financing Assumptions'!$P$26,CJ$135&gt;'Mezz 1 Amortization'!$T$13),0,IF('Mezz 1 Amortization'!$T$4="Monthly",INDEX('Mezz 1 Amortization'!$B$19:$V$379,MATCH(CJ$135,'Mezz 1 Amortization'!$E$19:$E$379,0),MATCH('Mezz 1 Amortization'!$Q$19,'Mezz 1 Amortization'!$B$19:$V$19,0)),IF('Mezz 1 Amortization'!$T$4="Bi-Annual",IF(OR('Mezz 1 Amortization'!$R$4=CJ$5,'Mezz 1 Amortization'!$S$4=CJ$5),INDEX('Mezz 1 Amortization'!$B$19:$V$379,MATCH(CJ$135,'Mezz 1 Amortization'!$E$19:$E$379,0),MATCH('Mezz 1 Amortization'!$Q$19,'Mezz 1 Amortization'!$B$19:$V$19,0)),0),0)))</f>
        <v>0</v>
      </c>
      <c r="CK137" s="427">
        <f>-IF(OR('Financing Assumptions'!$P$8="No",CK$135&lt;='Financing Assumptions'!$P$26,CK$135&gt;'Mezz 1 Amortization'!$T$13),0,IF('Mezz 1 Amortization'!$T$4="Monthly",INDEX('Mezz 1 Amortization'!$B$19:$V$379,MATCH(CK$135,'Mezz 1 Amortization'!$E$19:$E$379,0),MATCH('Mezz 1 Amortization'!$Q$19,'Mezz 1 Amortization'!$B$19:$V$19,0)),IF('Mezz 1 Amortization'!$T$4="Bi-Annual",IF(OR('Mezz 1 Amortization'!$R$4=CK$5,'Mezz 1 Amortization'!$S$4=CK$5),INDEX('Mezz 1 Amortization'!$B$19:$V$379,MATCH(CK$135,'Mezz 1 Amortization'!$E$19:$E$379,0),MATCH('Mezz 1 Amortization'!$Q$19,'Mezz 1 Amortization'!$B$19:$V$19,0)),0),0)))</f>
        <v>0</v>
      </c>
      <c r="CL137" s="427">
        <f>-IF(OR('Financing Assumptions'!$P$8="No",CL$135&lt;='Financing Assumptions'!$P$26,CL$135&gt;'Mezz 1 Amortization'!$T$13),0,IF('Mezz 1 Amortization'!$T$4="Monthly",INDEX('Mezz 1 Amortization'!$B$19:$V$379,MATCH(CL$135,'Mezz 1 Amortization'!$E$19:$E$379,0),MATCH('Mezz 1 Amortization'!$Q$19,'Mezz 1 Amortization'!$B$19:$V$19,0)),IF('Mezz 1 Amortization'!$T$4="Bi-Annual",IF(OR('Mezz 1 Amortization'!$R$4=CL$5,'Mezz 1 Amortization'!$S$4=CL$5),INDEX('Mezz 1 Amortization'!$B$19:$V$379,MATCH(CL$135,'Mezz 1 Amortization'!$E$19:$E$379,0),MATCH('Mezz 1 Amortization'!$Q$19,'Mezz 1 Amortization'!$B$19:$V$19,0)),0),0)))</f>
        <v>0</v>
      </c>
      <c r="CM137" s="427">
        <f>-IF(OR('Financing Assumptions'!$P$8="No",CM$135&lt;='Financing Assumptions'!$P$26,CM$135&gt;'Mezz 1 Amortization'!$T$13),0,IF('Mezz 1 Amortization'!$T$4="Monthly",INDEX('Mezz 1 Amortization'!$B$19:$V$379,MATCH(CM$135,'Mezz 1 Amortization'!$E$19:$E$379,0),MATCH('Mezz 1 Amortization'!$Q$19,'Mezz 1 Amortization'!$B$19:$V$19,0)),IF('Mezz 1 Amortization'!$T$4="Bi-Annual",IF(OR('Mezz 1 Amortization'!$R$4=CM$5,'Mezz 1 Amortization'!$S$4=CM$5),INDEX('Mezz 1 Amortization'!$B$19:$V$379,MATCH(CM$135,'Mezz 1 Amortization'!$E$19:$E$379,0),MATCH('Mezz 1 Amortization'!$Q$19,'Mezz 1 Amortization'!$B$19:$V$19,0)),0),0)))</f>
        <v>0</v>
      </c>
      <c r="CN137" s="427">
        <f>-IF(OR('Financing Assumptions'!$P$8="No",CN$135&lt;='Financing Assumptions'!$P$26,CN$135&gt;'Mezz 1 Amortization'!$T$13),0,IF('Mezz 1 Amortization'!$T$4="Monthly",INDEX('Mezz 1 Amortization'!$B$19:$V$379,MATCH(CN$135,'Mezz 1 Amortization'!$E$19:$E$379,0),MATCH('Mezz 1 Amortization'!$Q$19,'Mezz 1 Amortization'!$B$19:$V$19,0)),IF('Mezz 1 Amortization'!$T$4="Bi-Annual",IF(OR('Mezz 1 Amortization'!$R$4=CN$5,'Mezz 1 Amortization'!$S$4=CN$5),INDEX('Mezz 1 Amortization'!$B$19:$V$379,MATCH(CN$135,'Mezz 1 Amortization'!$E$19:$E$379,0),MATCH('Mezz 1 Amortization'!$Q$19,'Mezz 1 Amortization'!$B$19:$V$19,0)),0),0)))</f>
        <v>0</v>
      </c>
      <c r="CO137" s="427">
        <f>-IF(OR('Financing Assumptions'!$P$8="No",CO$135&lt;='Financing Assumptions'!$P$26,CO$135&gt;'Mezz 1 Amortization'!$T$13),0,IF('Mezz 1 Amortization'!$T$4="Monthly",INDEX('Mezz 1 Amortization'!$B$19:$V$379,MATCH(CO$135,'Mezz 1 Amortization'!$E$19:$E$379,0),MATCH('Mezz 1 Amortization'!$Q$19,'Mezz 1 Amortization'!$B$19:$V$19,0)),IF('Mezz 1 Amortization'!$T$4="Bi-Annual",IF(OR('Mezz 1 Amortization'!$R$4=CO$5,'Mezz 1 Amortization'!$S$4=CO$5),INDEX('Mezz 1 Amortization'!$B$19:$V$379,MATCH(CO$135,'Mezz 1 Amortization'!$E$19:$E$379,0),MATCH('Mezz 1 Amortization'!$Q$19,'Mezz 1 Amortization'!$B$19:$V$19,0)),0),0)))</f>
        <v>0</v>
      </c>
      <c r="CP137" s="427">
        <f>-IF(OR('Financing Assumptions'!$P$8="No",CP$135&lt;='Financing Assumptions'!$P$26,CP$135&gt;'Mezz 1 Amortization'!$T$13),0,IF('Mezz 1 Amortization'!$T$4="Monthly",INDEX('Mezz 1 Amortization'!$B$19:$V$379,MATCH(CP$135,'Mezz 1 Amortization'!$E$19:$E$379,0),MATCH('Mezz 1 Amortization'!$Q$19,'Mezz 1 Amortization'!$B$19:$V$19,0)),IF('Mezz 1 Amortization'!$T$4="Bi-Annual",IF(OR('Mezz 1 Amortization'!$R$4=CP$5,'Mezz 1 Amortization'!$S$4=CP$5),INDEX('Mezz 1 Amortization'!$B$19:$V$379,MATCH(CP$135,'Mezz 1 Amortization'!$E$19:$E$379,0),MATCH('Mezz 1 Amortization'!$Q$19,'Mezz 1 Amortization'!$B$19:$V$19,0)),0),0)))</f>
        <v>0</v>
      </c>
      <c r="CQ137" s="427">
        <f>-IF(OR('Financing Assumptions'!$P$8="No",CQ$135&lt;='Financing Assumptions'!$P$26,CQ$135&gt;'Mezz 1 Amortization'!$T$13),0,IF('Mezz 1 Amortization'!$T$4="Monthly",INDEX('Mezz 1 Amortization'!$B$19:$V$379,MATCH(CQ$135,'Mezz 1 Amortization'!$E$19:$E$379,0),MATCH('Mezz 1 Amortization'!$Q$19,'Mezz 1 Amortization'!$B$19:$V$19,0)),IF('Mezz 1 Amortization'!$T$4="Bi-Annual",IF(OR('Mezz 1 Amortization'!$R$4=CQ$5,'Mezz 1 Amortization'!$S$4=CQ$5),INDEX('Mezz 1 Amortization'!$B$19:$V$379,MATCH(CQ$135,'Mezz 1 Amortization'!$E$19:$E$379,0),MATCH('Mezz 1 Amortization'!$Q$19,'Mezz 1 Amortization'!$B$19:$V$19,0)),0),0)))</f>
        <v>0</v>
      </c>
      <c r="CR137" s="427">
        <f>-IF(OR('Financing Assumptions'!$P$8="No",CR$135&lt;='Financing Assumptions'!$P$26,CR$135&gt;'Mezz 1 Amortization'!$T$13),0,IF('Mezz 1 Amortization'!$T$4="Monthly",INDEX('Mezz 1 Amortization'!$B$19:$V$379,MATCH(CR$135,'Mezz 1 Amortization'!$E$19:$E$379,0),MATCH('Mezz 1 Amortization'!$Q$19,'Mezz 1 Amortization'!$B$19:$V$19,0)),IF('Mezz 1 Amortization'!$T$4="Bi-Annual",IF(OR('Mezz 1 Amortization'!$R$4=CR$5,'Mezz 1 Amortization'!$S$4=CR$5),INDEX('Mezz 1 Amortization'!$B$19:$V$379,MATCH(CR$135,'Mezz 1 Amortization'!$E$19:$E$379,0),MATCH('Mezz 1 Amortization'!$Q$19,'Mezz 1 Amortization'!$B$19:$V$19,0)),0),0)))</f>
        <v>0</v>
      </c>
      <c r="CS137" s="427">
        <f>-IF(OR('Financing Assumptions'!$P$8="No",CS$135&lt;='Financing Assumptions'!$P$26,CS$135&gt;'Mezz 1 Amortization'!$T$13),0,IF('Mezz 1 Amortization'!$T$4="Monthly",INDEX('Mezz 1 Amortization'!$B$19:$V$379,MATCH(CS$135,'Mezz 1 Amortization'!$E$19:$E$379,0),MATCH('Mezz 1 Amortization'!$Q$19,'Mezz 1 Amortization'!$B$19:$V$19,0)),IF('Mezz 1 Amortization'!$T$4="Bi-Annual",IF(OR('Mezz 1 Amortization'!$R$4=CS$5,'Mezz 1 Amortization'!$S$4=CS$5),INDEX('Mezz 1 Amortization'!$B$19:$V$379,MATCH(CS$135,'Mezz 1 Amortization'!$E$19:$E$379,0),MATCH('Mezz 1 Amortization'!$Q$19,'Mezz 1 Amortization'!$B$19:$V$19,0)),0),0)))</f>
        <v>0</v>
      </c>
      <c r="CT137" s="427">
        <f>-IF(OR('Financing Assumptions'!$P$8="No",CT$135&lt;='Financing Assumptions'!$P$26,CT$135&gt;'Mezz 1 Amortization'!$T$13),0,IF('Mezz 1 Amortization'!$T$4="Monthly",INDEX('Mezz 1 Amortization'!$B$19:$V$379,MATCH(CT$135,'Mezz 1 Amortization'!$E$19:$E$379,0),MATCH('Mezz 1 Amortization'!$Q$19,'Mezz 1 Amortization'!$B$19:$V$19,0)),IF('Mezz 1 Amortization'!$T$4="Bi-Annual",IF(OR('Mezz 1 Amortization'!$R$4=CT$5,'Mezz 1 Amortization'!$S$4=CT$5),INDEX('Mezz 1 Amortization'!$B$19:$V$379,MATCH(CT$135,'Mezz 1 Amortization'!$E$19:$E$379,0),MATCH('Mezz 1 Amortization'!$Q$19,'Mezz 1 Amortization'!$B$19:$V$19,0)),0),0)))</f>
        <v>0</v>
      </c>
      <c r="CU137" s="427">
        <f>-IF(OR('Financing Assumptions'!$P$8="No",CU$135&lt;='Financing Assumptions'!$P$26,CU$135&gt;'Mezz 1 Amortization'!$T$13),0,IF('Mezz 1 Amortization'!$T$4="Monthly",INDEX('Mezz 1 Amortization'!$B$19:$V$379,MATCH(CU$135,'Mezz 1 Amortization'!$E$19:$E$379,0),MATCH('Mezz 1 Amortization'!$Q$19,'Mezz 1 Amortization'!$B$19:$V$19,0)),IF('Mezz 1 Amortization'!$T$4="Bi-Annual",IF(OR('Mezz 1 Amortization'!$R$4=CU$5,'Mezz 1 Amortization'!$S$4=CU$5),INDEX('Mezz 1 Amortization'!$B$19:$V$379,MATCH(CU$135,'Mezz 1 Amortization'!$E$19:$E$379,0),MATCH('Mezz 1 Amortization'!$Q$19,'Mezz 1 Amortization'!$B$19:$V$19,0)),0),0)))</f>
        <v>0</v>
      </c>
      <c r="CV137" s="427">
        <f>-IF(OR('Financing Assumptions'!$P$8="No",CV$135&lt;='Financing Assumptions'!$P$26,CV$135&gt;'Mezz 1 Amortization'!$T$13),0,IF('Mezz 1 Amortization'!$T$4="Monthly",INDEX('Mezz 1 Amortization'!$B$19:$V$379,MATCH(CV$135,'Mezz 1 Amortization'!$E$19:$E$379,0),MATCH('Mezz 1 Amortization'!$Q$19,'Mezz 1 Amortization'!$B$19:$V$19,0)),IF('Mezz 1 Amortization'!$T$4="Bi-Annual",IF(OR('Mezz 1 Amortization'!$R$4=CV$5,'Mezz 1 Amortization'!$S$4=CV$5),INDEX('Mezz 1 Amortization'!$B$19:$V$379,MATCH(CV$135,'Mezz 1 Amortization'!$E$19:$E$379,0),MATCH('Mezz 1 Amortization'!$Q$19,'Mezz 1 Amortization'!$B$19:$V$19,0)),0),0)))</f>
        <v>0</v>
      </c>
      <c r="CW137" s="427">
        <f>-IF(OR('Financing Assumptions'!$P$8="No",CW$135&lt;='Financing Assumptions'!$P$26,CW$135&gt;'Mezz 1 Amortization'!$T$13),0,IF('Mezz 1 Amortization'!$T$4="Monthly",INDEX('Mezz 1 Amortization'!$B$19:$V$379,MATCH(CW$135,'Mezz 1 Amortization'!$E$19:$E$379,0),MATCH('Mezz 1 Amortization'!$Q$19,'Mezz 1 Amortization'!$B$19:$V$19,0)),IF('Mezz 1 Amortization'!$T$4="Bi-Annual",IF(OR('Mezz 1 Amortization'!$R$4=CW$5,'Mezz 1 Amortization'!$S$4=CW$5),INDEX('Mezz 1 Amortization'!$B$19:$V$379,MATCH(CW$135,'Mezz 1 Amortization'!$E$19:$E$379,0),MATCH('Mezz 1 Amortization'!$Q$19,'Mezz 1 Amortization'!$B$19:$V$19,0)),0),0)))</f>
        <v>0</v>
      </c>
      <c r="CX137" s="427">
        <f>-IF(OR('Financing Assumptions'!$P$8="No",CX$135&lt;='Financing Assumptions'!$P$26,CX$135&gt;'Mezz 1 Amortization'!$T$13),0,IF('Mezz 1 Amortization'!$T$4="Monthly",INDEX('Mezz 1 Amortization'!$B$19:$V$379,MATCH(CX$135,'Mezz 1 Amortization'!$E$19:$E$379,0),MATCH('Mezz 1 Amortization'!$Q$19,'Mezz 1 Amortization'!$B$19:$V$19,0)),IF('Mezz 1 Amortization'!$T$4="Bi-Annual",IF(OR('Mezz 1 Amortization'!$R$4=CX$5,'Mezz 1 Amortization'!$S$4=CX$5),INDEX('Mezz 1 Amortization'!$B$19:$V$379,MATCH(CX$135,'Mezz 1 Amortization'!$E$19:$E$379,0),MATCH('Mezz 1 Amortization'!$Q$19,'Mezz 1 Amortization'!$B$19:$V$19,0)),0),0)))</f>
        <v>0</v>
      </c>
      <c r="CY137" s="427">
        <f>-IF(OR('Financing Assumptions'!$P$8="No",CY$135&lt;='Financing Assumptions'!$P$26,CY$135&gt;'Mezz 1 Amortization'!$T$13),0,IF('Mezz 1 Amortization'!$T$4="Monthly",INDEX('Mezz 1 Amortization'!$B$19:$V$379,MATCH(CY$135,'Mezz 1 Amortization'!$E$19:$E$379,0),MATCH('Mezz 1 Amortization'!$Q$19,'Mezz 1 Amortization'!$B$19:$V$19,0)),IF('Mezz 1 Amortization'!$T$4="Bi-Annual",IF(OR('Mezz 1 Amortization'!$R$4=CY$5,'Mezz 1 Amortization'!$S$4=CY$5),INDEX('Mezz 1 Amortization'!$B$19:$V$379,MATCH(CY$135,'Mezz 1 Amortization'!$E$19:$E$379,0),MATCH('Mezz 1 Amortization'!$Q$19,'Mezz 1 Amortization'!$B$19:$V$19,0)),0),0)))</f>
        <v>0</v>
      </c>
      <c r="CZ137" s="427">
        <f>-IF(OR('Financing Assumptions'!$P$8="No",CZ$135&lt;='Financing Assumptions'!$P$26,CZ$135&gt;'Mezz 1 Amortization'!$T$13),0,IF('Mezz 1 Amortization'!$T$4="Monthly",INDEX('Mezz 1 Amortization'!$B$19:$V$379,MATCH(CZ$135,'Mezz 1 Amortization'!$E$19:$E$379,0),MATCH('Mezz 1 Amortization'!$Q$19,'Mezz 1 Amortization'!$B$19:$V$19,0)),IF('Mezz 1 Amortization'!$T$4="Bi-Annual",IF(OR('Mezz 1 Amortization'!$R$4=CZ$5,'Mezz 1 Amortization'!$S$4=CZ$5),INDEX('Mezz 1 Amortization'!$B$19:$V$379,MATCH(CZ$135,'Mezz 1 Amortization'!$E$19:$E$379,0),MATCH('Mezz 1 Amortization'!$Q$19,'Mezz 1 Amortization'!$B$19:$V$19,0)),0),0)))</f>
        <v>0</v>
      </c>
      <c r="DA137" s="427">
        <f>-IF(OR('Financing Assumptions'!$P$8="No",DA$135&lt;='Financing Assumptions'!$P$26,DA$135&gt;'Mezz 1 Amortization'!$T$13),0,IF('Mezz 1 Amortization'!$T$4="Monthly",INDEX('Mezz 1 Amortization'!$B$19:$V$379,MATCH(DA$135,'Mezz 1 Amortization'!$E$19:$E$379,0),MATCH('Mezz 1 Amortization'!$Q$19,'Mezz 1 Amortization'!$B$19:$V$19,0)),IF('Mezz 1 Amortization'!$T$4="Bi-Annual",IF(OR('Mezz 1 Amortization'!$R$4=DA$5,'Mezz 1 Amortization'!$S$4=DA$5),INDEX('Mezz 1 Amortization'!$B$19:$V$379,MATCH(DA$135,'Mezz 1 Amortization'!$E$19:$E$379,0),MATCH('Mezz 1 Amortization'!$Q$19,'Mezz 1 Amortization'!$B$19:$V$19,0)),0),0)))</f>
        <v>0</v>
      </c>
      <c r="DB137" s="427">
        <f>-IF(OR('Financing Assumptions'!$P$8="No",DB$135&lt;='Financing Assumptions'!$P$26,DB$135&gt;'Mezz 1 Amortization'!$T$13),0,IF('Mezz 1 Amortization'!$T$4="Monthly",INDEX('Mezz 1 Amortization'!$B$19:$V$379,MATCH(DB$135,'Mezz 1 Amortization'!$E$19:$E$379,0),MATCH('Mezz 1 Amortization'!$Q$19,'Mezz 1 Amortization'!$B$19:$V$19,0)),IF('Mezz 1 Amortization'!$T$4="Bi-Annual",IF(OR('Mezz 1 Amortization'!$R$4=DB$5,'Mezz 1 Amortization'!$S$4=DB$5),INDEX('Mezz 1 Amortization'!$B$19:$V$379,MATCH(DB$135,'Mezz 1 Amortization'!$E$19:$E$379,0),MATCH('Mezz 1 Amortization'!$Q$19,'Mezz 1 Amortization'!$B$19:$V$19,0)),0),0)))</f>
        <v>0</v>
      </c>
      <c r="DC137" s="427">
        <f>-IF(OR('Financing Assumptions'!$P$8="No",DC$135&lt;='Financing Assumptions'!$P$26,DC$135&gt;'Mezz 1 Amortization'!$T$13),0,IF('Mezz 1 Amortization'!$T$4="Monthly",INDEX('Mezz 1 Amortization'!$B$19:$V$379,MATCH(DC$135,'Mezz 1 Amortization'!$E$19:$E$379,0),MATCH('Mezz 1 Amortization'!$Q$19,'Mezz 1 Amortization'!$B$19:$V$19,0)),IF('Mezz 1 Amortization'!$T$4="Bi-Annual",IF(OR('Mezz 1 Amortization'!$R$4=DC$5,'Mezz 1 Amortization'!$S$4=DC$5),INDEX('Mezz 1 Amortization'!$B$19:$V$379,MATCH(DC$135,'Mezz 1 Amortization'!$E$19:$E$379,0),MATCH('Mezz 1 Amortization'!$Q$19,'Mezz 1 Amortization'!$B$19:$V$19,0)),0),0)))</f>
        <v>0</v>
      </c>
      <c r="DD137" s="427">
        <f>-IF(OR('Financing Assumptions'!$P$8="No",DD$135&lt;='Financing Assumptions'!$P$26,DD$135&gt;'Mezz 1 Amortization'!$T$13),0,IF('Mezz 1 Amortization'!$T$4="Monthly",INDEX('Mezz 1 Amortization'!$B$19:$V$379,MATCH(DD$135,'Mezz 1 Amortization'!$E$19:$E$379,0),MATCH('Mezz 1 Amortization'!$Q$19,'Mezz 1 Amortization'!$B$19:$V$19,0)),IF('Mezz 1 Amortization'!$T$4="Bi-Annual",IF(OR('Mezz 1 Amortization'!$R$4=DD$5,'Mezz 1 Amortization'!$S$4=DD$5),INDEX('Mezz 1 Amortization'!$B$19:$V$379,MATCH(DD$135,'Mezz 1 Amortization'!$E$19:$E$379,0),MATCH('Mezz 1 Amortization'!$Q$19,'Mezz 1 Amortization'!$B$19:$V$19,0)),0),0)))</f>
        <v>0</v>
      </c>
      <c r="DE137" s="427">
        <f>-IF(OR('Financing Assumptions'!$P$8="No",DE$135&lt;='Financing Assumptions'!$P$26,DE$135&gt;'Mezz 1 Amortization'!$T$13),0,IF('Mezz 1 Amortization'!$T$4="Monthly",INDEX('Mezz 1 Amortization'!$B$19:$V$379,MATCH(DE$135,'Mezz 1 Amortization'!$E$19:$E$379,0),MATCH('Mezz 1 Amortization'!$Q$19,'Mezz 1 Amortization'!$B$19:$V$19,0)),IF('Mezz 1 Amortization'!$T$4="Bi-Annual",IF(OR('Mezz 1 Amortization'!$R$4=DE$5,'Mezz 1 Amortization'!$S$4=DE$5),INDEX('Mezz 1 Amortization'!$B$19:$V$379,MATCH(DE$135,'Mezz 1 Amortization'!$E$19:$E$379,0),MATCH('Mezz 1 Amortization'!$Q$19,'Mezz 1 Amortization'!$B$19:$V$19,0)),0),0)))</f>
        <v>0</v>
      </c>
      <c r="DF137" s="427">
        <f>-IF(OR('Financing Assumptions'!$P$8="No",DF$135&lt;='Financing Assumptions'!$P$26,DF$135&gt;'Mezz 1 Amortization'!$T$13),0,IF('Mezz 1 Amortization'!$T$4="Monthly",INDEX('Mezz 1 Amortization'!$B$19:$V$379,MATCH(DF$135,'Mezz 1 Amortization'!$E$19:$E$379,0),MATCH('Mezz 1 Amortization'!$Q$19,'Mezz 1 Amortization'!$B$19:$V$19,0)),IF('Mezz 1 Amortization'!$T$4="Bi-Annual",IF(OR('Mezz 1 Amortization'!$R$4=DF$5,'Mezz 1 Amortization'!$S$4=DF$5),INDEX('Mezz 1 Amortization'!$B$19:$V$379,MATCH(DF$135,'Mezz 1 Amortization'!$E$19:$E$379,0),MATCH('Mezz 1 Amortization'!$Q$19,'Mezz 1 Amortization'!$B$19:$V$19,0)),0),0)))</f>
        <v>0</v>
      </c>
      <c r="DG137" s="427">
        <f>-IF(OR('Financing Assumptions'!$P$8="No",DG$135&lt;='Financing Assumptions'!$P$26,DG$135&gt;'Mezz 1 Amortization'!$T$13),0,IF('Mezz 1 Amortization'!$T$4="Monthly",INDEX('Mezz 1 Amortization'!$B$19:$V$379,MATCH(DG$135,'Mezz 1 Amortization'!$E$19:$E$379,0),MATCH('Mezz 1 Amortization'!$Q$19,'Mezz 1 Amortization'!$B$19:$V$19,0)),IF('Mezz 1 Amortization'!$T$4="Bi-Annual",IF(OR('Mezz 1 Amortization'!$R$4=DG$5,'Mezz 1 Amortization'!$S$4=DG$5),INDEX('Mezz 1 Amortization'!$B$19:$V$379,MATCH(DG$135,'Mezz 1 Amortization'!$E$19:$E$379,0),MATCH('Mezz 1 Amortization'!$Q$19,'Mezz 1 Amortization'!$B$19:$V$19,0)),0),0)))</f>
        <v>0</v>
      </c>
      <c r="DH137" s="427">
        <f>-IF(OR('Financing Assumptions'!$P$8="No",DH$135&lt;='Financing Assumptions'!$P$26,DH$135&gt;'Mezz 1 Amortization'!$T$13),0,IF('Mezz 1 Amortization'!$T$4="Monthly",INDEX('Mezz 1 Amortization'!$B$19:$V$379,MATCH(DH$135,'Mezz 1 Amortization'!$E$19:$E$379,0),MATCH('Mezz 1 Amortization'!$Q$19,'Mezz 1 Amortization'!$B$19:$V$19,0)),IF('Mezz 1 Amortization'!$T$4="Bi-Annual",IF(OR('Mezz 1 Amortization'!$R$4=DH$5,'Mezz 1 Amortization'!$S$4=DH$5),INDEX('Mezz 1 Amortization'!$B$19:$V$379,MATCH(DH$135,'Mezz 1 Amortization'!$E$19:$E$379,0),MATCH('Mezz 1 Amortization'!$Q$19,'Mezz 1 Amortization'!$B$19:$V$19,0)),0),0)))</f>
        <v>0</v>
      </c>
      <c r="DI137" s="427">
        <f>-IF(OR('Financing Assumptions'!$P$8="No",DI$135&lt;='Financing Assumptions'!$P$26,DI$135&gt;'Mezz 1 Amortization'!$T$13),0,IF('Mezz 1 Amortization'!$T$4="Monthly",INDEX('Mezz 1 Amortization'!$B$19:$V$379,MATCH(DI$135,'Mezz 1 Amortization'!$E$19:$E$379,0),MATCH('Mezz 1 Amortization'!$Q$19,'Mezz 1 Amortization'!$B$19:$V$19,0)),IF('Mezz 1 Amortization'!$T$4="Bi-Annual",IF(OR('Mezz 1 Amortization'!$R$4=DI$5,'Mezz 1 Amortization'!$S$4=DI$5),INDEX('Mezz 1 Amortization'!$B$19:$V$379,MATCH(DI$135,'Mezz 1 Amortization'!$E$19:$E$379,0),MATCH('Mezz 1 Amortization'!$Q$19,'Mezz 1 Amortization'!$B$19:$V$19,0)),0),0)))</f>
        <v>0</v>
      </c>
      <c r="DJ137" s="427">
        <f>-IF(OR('Financing Assumptions'!$P$8="No",DJ$135&lt;='Financing Assumptions'!$P$26,DJ$135&gt;'Mezz 1 Amortization'!$T$13),0,IF('Mezz 1 Amortization'!$T$4="Monthly",INDEX('Mezz 1 Amortization'!$B$19:$V$379,MATCH(DJ$135,'Mezz 1 Amortization'!$E$19:$E$379,0),MATCH('Mezz 1 Amortization'!$Q$19,'Mezz 1 Amortization'!$B$19:$V$19,0)),IF('Mezz 1 Amortization'!$T$4="Bi-Annual",IF(OR('Mezz 1 Amortization'!$R$4=DJ$5,'Mezz 1 Amortization'!$S$4=DJ$5),INDEX('Mezz 1 Amortization'!$B$19:$V$379,MATCH(DJ$135,'Mezz 1 Amortization'!$E$19:$E$379,0),MATCH('Mezz 1 Amortization'!$Q$19,'Mezz 1 Amortization'!$B$19:$V$19,0)),0),0)))</f>
        <v>0</v>
      </c>
      <c r="DK137" s="427">
        <f>-IF(OR('Financing Assumptions'!$P$8="No",DK$135&lt;='Financing Assumptions'!$P$26,DK$135&gt;'Mezz 1 Amortization'!$T$13),0,IF('Mezz 1 Amortization'!$T$4="Monthly",INDEX('Mezz 1 Amortization'!$B$19:$V$379,MATCH(DK$135,'Mezz 1 Amortization'!$E$19:$E$379,0),MATCH('Mezz 1 Amortization'!$Q$19,'Mezz 1 Amortization'!$B$19:$V$19,0)),IF('Mezz 1 Amortization'!$T$4="Bi-Annual",IF(OR('Mezz 1 Amortization'!$R$4=DK$5,'Mezz 1 Amortization'!$S$4=DK$5),INDEX('Mezz 1 Amortization'!$B$19:$V$379,MATCH(DK$135,'Mezz 1 Amortization'!$E$19:$E$379,0),MATCH('Mezz 1 Amortization'!$Q$19,'Mezz 1 Amortization'!$B$19:$V$19,0)),0),0)))</f>
        <v>0</v>
      </c>
      <c r="DL137" s="427">
        <f>-IF(OR('Financing Assumptions'!$P$8="No",DL$135&lt;='Financing Assumptions'!$P$26,DL$135&gt;'Mezz 1 Amortization'!$T$13),0,IF('Mezz 1 Amortization'!$T$4="Monthly",INDEX('Mezz 1 Amortization'!$B$19:$V$379,MATCH(DL$135,'Mezz 1 Amortization'!$E$19:$E$379,0),MATCH('Mezz 1 Amortization'!$Q$19,'Mezz 1 Amortization'!$B$19:$V$19,0)),IF('Mezz 1 Amortization'!$T$4="Bi-Annual",IF(OR('Mezz 1 Amortization'!$R$4=DL$5,'Mezz 1 Amortization'!$S$4=DL$5),INDEX('Mezz 1 Amortization'!$B$19:$V$379,MATCH(DL$135,'Mezz 1 Amortization'!$E$19:$E$379,0),MATCH('Mezz 1 Amortization'!$Q$19,'Mezz 1 Amortization'!$B$19:$V$19,0)),0),0)))</f>
        <v>0</v>
      </c>
      <c r="DM137" s="427">
        <f>-IF(OR('Financing Assumptions'!$P$8="No",DM$135&lt;='Financing Assumptions'!$P$26,DM$135&gt;'Mezz 1 Amortization'!$T$13),0,IF('Mezz 1 Amortization'!$T$4="Monthly",INDEX('Mezz 1 Amortization'!$B$19:$V$379,MATCH(DM$135,'Mezz 1 Amortization'!$E$19:$E$379,0),MATCH('Mezz 1 Amortization'!$Q$19,'Mezz 1 Amortization'!$B$19:$V$19,0)),IF('Mezz 1 Amortization'!$T$4="Bi-Annual",IF(OR('Mezz 1 Amortization'!$R$4=DM$5,'Mezz 1 Amortization'!$S$4=DM$5),INDEX('Mezz 1 Amortization'!$B$19:$V$379,MATCH(DM$135,'Mezz 1 Amortization'!$E$19:$E$379,0),MATCH('Mezz 1 Amortization'!$Q$19,'Mezz 1 Amortization'!$B$19:$V$19,0)),0),0)))</f>
        <v>0</v>
      </c>
      <c r="DN137" s="427">
        <f>-IF(OR('Financing Assumptions'!$P$8="No",DN$135&lt;='Financing Assumptions'!$P$26,DN$135&gt;'Mezz 1 Amortization'!$T$13),0,IF('Mezz 1 Amortization'!$T$4="Monthly",INDEX('Mezz 1 Amortization'!$B$19:$V$379,MATCH(DN$135,'Mezz 1 Amortization'!$E$19:$E$379,0),MATCH('Mezz 1 Amortization'!$Q$19,'Mezz 1 Amortization'!$B$19:$V$19,0)),IF('Mezz 1 Amortization'!$T$4="Bi-Annual",IF(OR('Mezz 1 Amortization'!$R$4=DN$5,'Mezz 1 Amortization'!$S$4=DN$5),INDEX('Mezz 1 Amortization'!$B$19:$V$379,MATCH(DN$135,'Mezz 1 Amortization'!$E$19:$E$379,0),MATCH('Mezz 1 Amortization'!$Q$19,'Mezz 1 Amortization'!$B$19:$V$19,0)),0),0)))</f>
        <v>0</v>
      </c>
      <c r="DO137" s="427">
        <f>-IF(OR('Financing Assumptions'!$P$8="No",DO$135&lt;='Financing Assumptions'!$P$26,DO$135&gt;'Mezz 1 Amortization'!$T$13),0,IF('Mezz 1 Amortization'!$T$4="Monthly",INDEX('Mezz 1 Amortization'!$B$19:$V$379,MATCH(DO$135,'Mezz 1 Amortization'!$E$19:$E$379,0),MATCH('Mezz 1 Amortization'!$Q$19,'Mezz 1 Amortization'!$B$19:$V$19,0)),IF('Mezz 1 Amortization'!$T$4="Bi-Annual",IF(OR('Mezz 1 Amortization'!$R$4=DO$5,'Mezz 1 Amortization'!$S$4=DO$5),INDEX('Mezz 1 Amortization'!$B$19:$V$379,MATCH(DO$135,'Mezz 1 Amortization'!$E$19:$E$379,0),MATCH('Mezz 1 Amortization'!$Q$19,'Mezz 1 Amortization'!$B$19:$V$19,0)),0),0)))</f>
        <v>0</v>
      </c>
      <c r="DP137" s="427">
        <f>-IF(OR('Financing Assumptions'!$P$8="No",DP$135&lt;='Financing Assumptions'!$P$26,DP$135&gt;'Mezz 1 Amortization'!$T$13),0,IF('Mezz 1 Amortization'!$T$4="Monthly",INDEX('Mezz 1 Amortization'!$B$19:$V$379,MATCH(DP$135,'Mezz 1 Amortization'!$E$19:$E$379,0),MATCH('Mezz 1 Amortization'!$Q$19,'Mezz 1 Amortization'!$B$19:$V$19,0)),IF('Mezz 1 Amortization'!$T$4="Bi-Annual",IF(OR('Mezz 1 Amortization'!$R$4=DP$5,'Mezz 1 Amortization'!$S$4=DP$5),INDEX('Mezz 1 Amortization'!$B$19:$V$379,MATCH(DP$135,'Mezz 1 Amortization'!$E$19:$E$379,0),MATCH('Mezz 1 Amortization'!$Q$19,'Mezz 1 Amortization'!$B$19:$V$19,0)),0),0)))</f>
        <v>0</v>
      </c>
      <c r="DQ137" s="427">
        <f>-IF(OR('Financing Assumptions'!$P$8="No",DQ$135&lt;='Financing Assumptions'!$P$26,DQ$135&gt;'Mezz 1 Amortization'!$T$13),0,IF('Mezz 1 Amortization'!$T$4="Monthly",INDEX('Mezz 1 Amortization'!$B$19:$V$379,MATCH(DQ$135,'Mezz 1 Amortization'!$E$19:$E$379,0),MATCH('Mezz 1 Amortization'!$Q$19,'Mezz 1 Amortization'!$B$19:$V$19,0)),IF('Mezz 1 Amortization'!$T$4="Bi-Annual",IF(OR('Mezz 1 Amortization'!$R$4=DQ$5,'Mezz 1 Amortization'!$S$4=DQ$5),INDEX('Mezz 1 Amortization'!$B$19:$V$379,MATCH(DQ$135,'Mezz 1 Amortization'!$E$19:$E$379,0),MATCH('Mezz 1 Amortization'!$Q$19,'Mezz 1 Amortization'!$B$19:$V$19,0)),0),0)))</f>
        <v>0</v>
      </c>
      <c r="DR137" s="427">
        <f>-IF(OR('Financing Assumptions'!$P$8="No",DR$135&lt;='Financing Assumptions'!$P$26,DR$135&gt;'Mezz 1 Amortization'!$T$13),0,IF('Mezz 1 Amortization'!$T$4="Monthly",INDEX('Mezz 1 Amortization'!$B$19:$V$379,MATCH(DR$135,'Mezz 1 Amortization'!$E$19:$E$379,0),MATCH('Mezz 1 Amortization'!$Q$19,'Mezz 1 Amortization'!$B$19:$V$19,0)),IF('Mezz 1 Amortization'!$T$4="Bi-Annual",IF(OR('Mezz 1 Amortization'!$R$4=DR$5,'Mezz 1 Amortization'!$S$4=DR$5),INDEX('Mezz 1 Amortization'!$B$19:$V$379,MATCH(DR$135,'Mezz 1 Amortization'!$E$19:$E$379,0),MATCH('Mezz 1 Amortization'!$Q$19,'Mezz 1 Amortization'!$B$19:$V$19,0)),0),0)))</f>
        <v>0</v>
      </c>
      <c r="DS137" s="427">
        <f>-IF(OR('Financing Assumptions'!$P$8="No",DS$135&lt;='Financing Assumptions'!$P$26,DS$135&gt;'Mezz 1 Amortization'!$T$13),0,IF('Mezz 1 Amortization'!$T$4="Monthly",INDEX('Mezz 1 Amortization'!$B$19:$V$379,MATCH(DS$135,'Mezz 1 Amortization'!$E$19:$E$379,0),MATCH('Mezz 1 Amortization'!$Q$19,'Mezz 1 Amortization'!$B$19:$V$19,0)),IF('Mezz 1 Amortization'!$T$4="Bi-Annual",IF(OR('Mezz 1 Amortization'!$R$4=DS$5,'Mezz 1 Amortization'!$S$4=DS$5),INDEX('Mezz 1 Amortization'!$B$19:$V$379,MATCH(DS$135,'Mezz 1 Amortization'!$E$19:$E$379,0),MATCH('Mezz 1 Amortization'!$Q$19,'Mezz 1 Amortization'!$B$19:$V$19,0)),0),0)))</f>
        <v>0</v>
      </c>
      <c r="DT137" s="427">
        <f>-IF(OR('Financing Assumptions'!$P$8="No",DT$135&lt;='Financing Assumptions'!$P$26,DT$135&gt;'Mezz 1 Amortization'!$T$13),0,IF('Mezz 1 Amortization'!$T$4="Monthly",INDEX('Mezz 1 Amortization'!$B$19:$V$379,MATCH(DT$135,'Mezz 1 Amortization'!$E$19:$E$379,0),MATCH('Mezz 1 Amortization'!$Q$19,'Mezz 1 Amortization'!$B$19:$V$19,0)),IF('Mezz 1 Amortization'!$T$4="Bi-Annual",IF(OR('Mezz 1 Amortization'!$R$4=DT$5,'Mezz 1 Amortization'!$S$4=DT$5),INDEX('Mezz 1 Amortization'!$B$19:$V$379,MATCH(DT$135,'Mezz 1 Amortization'!$E$19:$E$379,0),MATCH('Mezz 1 Amortization'!$Q$19,'Mezz 1 Amortization'!$B$19:$V$19,0)),0),0)))</f>
        <v>0</v>
      </c>
      <c r="DU137" s="427">
        <f>-IF(OR('Financing Assumptions'!$P$8="No",DU$135&lt;='Financing Assumptions'!$P$26,DU$135&gt;'Mezz 1 Amortization'!$T$13),0,IF('Mezz 1 Amortization'!$T$4="Monthly",INDEX('Mezz 1 Amortization'!$B$19:$V$379,MATCH(DU$135,'Mezz 1 Amortization'!$E$19:$E$379,0),MATCH('Mezz 1 Amortization'!$Q$19,'Mezz 1 Amortization'!$B$19:$V$19,0)),IF('Mezz 1 Amortization'!$T$4="Bi-Annual",IF(OR('Mezz 1 Amortization'!$R$4=DU$5,'Mezz 1 Amortization'!$S$4=DU$5),INDEX('Mezz 1 Amortization'!$B$19:$V$379,MATCH(DU$135,'Mezz 1 Amortization'!$E$19:$E$379,0),MATCH('Mezz 1 Amortization'!$Q$19,'Mezz 1 Amortization'!$B$19:$V$19,0)),0),0)))</f>
        <v>0</v>
      </c>
      <c r="DV137" s="427">
        <f>-IF(OR('Financing Assumptions'!$P$8="No",DV$135&lt;='Financing Assumptions'!$P$26,DV$135&gt;'Mezz 1 Amortization'!$T$13),0,IF('Mezz 1 Amortization'!$T$4="Monthly",INDEX('Mezz 1 Amortization'!$B$19:$V$379,MATCH(DV$135,'Mezz 1 Amortization'!$E$19:$E$379,0),MATCH('Mezz 1 Amortization'!$Q$19,'Mezz 1 Amortization'!$B$19:$V$19,0)),IF('Mezz 1 Amortization'!$T$4="Bi-Annual",IF(OR('Mezz 1 Amortization'!$R$4=DV$5,'Mezz 1 Amortization'!$S$4=DV$5),INDEX('Mezz 1 Amortization'!$B$19:$V$379,MATCH(DV$135,'Mezz 1 Amortization'!$E$19:$E$379,0),MATCH('Mezz 1 Amortization'!$Q$19,'Mezz 1 Amortization'!$B$19:$V$19,0)),0),0)))</f>
        <v>0</v>
      </c>
      <c r="DW137" s="427">
        <f>-IF(OR('Financing Assumptions'!$P$8="No",DW$135&lt;='Financing Assumptions'!$P$26,DW$135&gt;'Mezz 1 Amortization'!$T$13),0,IF('Mezz 1 Amortization'!$T$4="Monthly",INDEX('Mezz 1 Amortization'!$B$19:$V$379,MATCH(DW$135,'Mezz 1 Amortization'!$E$19:$E$379,0),MATCH('Mezz 1 Amortization'!$Q$19,'Mezz 1 Amortization'!$B$19:$V$19,0)),IF('Mezz 1 Amortization'!$T$4="Bi-Annual",IF(OR('Mezz 1 Amortization'!$R$4=DW$5,'Mezz 1 Amortization'!$S$4=DW$5),INDEX('Mezz 1 Amortization'!$B$19:$V$379,MATCH(DW$135,'Mezz 1 Amortization'!$E$19:$E$379,0),MATCH('Mezz 1 Amortization'!$Q$19,'Mezz 1 Amortization'!$B$19:$V$19,0)),0),0)))</f>
        <v>0</v>
      </c>
      <c r="DX137" s="427">
        <f>-IF(OR('Financing Assumptions'!$P$8="No",DX$135&lt;='Financing Assumptions'!$P$26,DX$135&gt;'Mezz 1 Amortization'!$T$13),0,IF('Mezz 1 Amortization'!$T$4="Monthly",INDEX('Mezz 1 Amortization'!$B$19:$V$379,MATCH(DX$135,'Mezz 1 Amortization'!$E$19:$E$379,0),MATCH('Mezz 1 Amortization'!$Q$19,'Mezz 1 Amortization'!$B$19:$V$19,0)),IF('Mezz 1 Amortization'!$T$4="Bi-Annual",IF(OR('Mezz 1 Amortization'!$R$4=DX$5,'Mezz 1 Amortization'!$S$4=DX$5),INDEX('Mezz 1 Amortization'!$B$19:$V$379,MATCH(DX$135,'Mezz 1 Amortization'!$E$19:$E$379,0),MATCH('Mezz 1 Amortization'!$Q$19,'Mezz 1 Amortization'!$B$19:$V$19,0)),0),0)))</f>
        <v>0</v>
      </c>
      <c r="DY137" s="427">
        <f>-IF(OR('Financing Assumptions'!$P$8="No",DY$135&lt;='Financing Assumptions'!$P$26,DY$135&gt;'Mezz 1 Amortization'!$T$13),0,IF('Mezz 1 Amortization'!$T$4="Monthly",INDEX('Mezz 1 Amortization'!$B$19:$V$379,MATCH(DY$135,'Mezz 1 Amortization'!$E$19:$E$379,0),MATCH('Mezz 1 Amortization'!$Q$19,'Mezz 1 Amortization'!$B$19:$V$19,0)),IF('Mezz 1 Amortization'!$T$4="Bi-Annual",IF(OR('Mezz 1 Amortization'!$R$4=DY$5,'Mezz 1 Amortization'!$S$4=DY$5),INDEX('Mezz 1 Amortization'!$B$19:$V$379,MATCH(DY$135,'Mezz 1 Amortization'!$E$19:$E$379,0),MATCH('Mezz 1 Amortization'!$Q$19,'Mezz 1 Amortization'!$B$19:$V$19,0)),0),0)))</f>
        <v>0</v>
      </c>
      <c r="DZ137" s="427">
        <f>-IF(OR('Financing Assumptions'!$P$8="No",DZ$135&lt;='Financing Assumptions'!$P$26,DZ$135&gt;'Mezz 1 Amortization'!$T$13),0,IF('Mezz 1 Amortization'!$T$4="Monthly",INDEX('Mezz 1 Amortization'!$B$19:$V$379,MATCH(DZ$135,'Mezz 1 Amortization'!$E$19:$E$379,0),MATCH('Mezz 1 Amortization'!$Q$19,'Mezz 1 Amortization'!$B$19:$V$19,0)),IF('Mezz 1 Amortization'!$T$4="Bi-Annual",IF(OR('Mezz 1 Amortization'!$R$4=DZ$5,'Mezz 1 Amortization'!$S$4=DZ$5),INDEX('Mezz 1 Amortization'!$B$19:$V$379,MATCH(DZ$135,'Mezz 1 Amortization'!$E$19:$E$379,0),MATCH('Mezz 1 Amortization'!$Q$19,'Mezz 1 Amortization'!$B$19:$V$19,0)),0),0)))</f>
        <v>0</v>
      </c>
      <c r="EA137" s="427">
        <f>-IF(OR('Financing Assumptions'!$P$8="No",EA$135&lt;='Financing Assumptions'!$P$26,EA$135&gt;'Mezz 1 Amortization'!$T$13),0,IF('Mezz 1 Amortization'!$T$4="Monthly",INDEX('Mezz 1 Amortization'!$B$19:$V$379,MATCH(EA$135,'Mezz 1 Amortization'!$E$19:$E$379,0),MATCH('Mezz 1 Amortization'!$Q$19,'Mezz 1 Amortization'!$B$19:$V$19,0)),IF('Mezz 1 Amortization'!$T$4="Bi-Annual",IF(OR('Mezz 1 Amortization'!$R$4=EA$5,'Mezz 1 Amortization'!$S$4=EA$5),INDEX('Mezz 1 Amortization'!$B$19:$V$379,MATCH(EA$135,'Mezz 1 Amortization'!$E$19:$E$379,0),MATCH('Mezz 1 Amortization'!$Q$19,'Mezz 1 Amortization'!$B$19:$V$19,0)),0),0)))</f>
        <v>0</v>
      </c>
      <c r="EB137" s="427">
        <f>-IF(OR('Financing Assumptions'!$P$8="No",EB$135&lt;='Financing Assumptions'!$P$26,EB$135&gt;'Mezz 1 Amortization'!$T$13),0,IF('Mezz 1 Amortization'!$T$4="Monthly",INDEX('Mezz 1 Amortization'!$B$19:$V$379,MATCH(EB$135,'Mezz 1 Amortization'!$E$19:$E$379,0),MATCH('Mezz 1 Amortization'!$Q$19,'Mezz 1 Amortization'!$B$19:$V$19,0)),IF('Mezz 1 Amortization'!$T$4="Bi-Annual",IF(OR('Mezz 1 Amortization'!$R$4=EB$5,'Mezz 1 Amortization'!$S$4=EB$5),INDEX('Mezz 1 Amortization'!$B$19:$V$379,MATCH(EB$135,'Mezz 1 Amortization'!$E$19:$E$379,0),MATCH('Mezz 1 Amortization'!$Q$19,'Mezz 1 Amortization'!$B$19:$V$19,0)),0),0)))</f>
        <v>0</v>
      </c>
      <c r="EC137" s="427">
        <f>-IF(OR('Financing Assumptions'!$P$8="No",EC$135&lt;='Financing Assumptions'!$P$26,EC$135&gt;'Mezz 1 Amortization'!$T$13),0,IF('Mezz 1 Amortization'!$T$4="Monthly",INDEX('Mezz 1 Amortization'!$B$19:$V$379,MATCH(EC$135,'Mezz 1 Amortization'!$E$19:$E$379,0),MATCH('Mezz 1 Amortization'!$Q$19,'Mezz 1 Amortization'!$B$19:$V$19,0)),IF('Mezz 1 Amortization'!$T$4="Bi-Annual",IF(OR('Mezz 1 Amortization'!$R$4=EC$5,'Mezz 1 Amortization'!$S$4=EC$5),INDEX('Mezz 1 Amortization'!$B$19:$V$379,MATCH(EC$135,'Mezz 1 Amortization'!$E$19:$E$379,0),MATCH('Mezz 1 Amortization'!$Q$19,'Mezz 1 Amortization'!$B$19:$V$19,0)),0),0)))</f>
        <v>0</v>
      </c>
      <c r="ED137" s="427">
        <f>-IF(OR('Financing Assumptions'!$P$8="No",ED$135&lt;='Financing Assumptions'!$P$26,ED$135&gt;'Mezz 1 Amortization'!$T$13),0,IF('Mezz 1 Amortization'!$T$4="Monthly",INDEX('Mezz 1 Amortization'!$B$19:$V$379,MATCH(ED$135,'Mezz 1 Amortization'!$E$19:$E$379,0),MATCH('Mezz 1 Amortization'!$Q$19,'Mezz 1 Amortization'!$B$19:$V$19,0)),IF('Mezz 1 Amortization'!$T$4="Bi-Annual",IF(OR('Mezz 1 Amortization'!$R$4=ED$5,'Mezz 1 Amortization'!$S$4=ED$5),INDEX('Mezz 1 Amortization'!$B$19:$V$379,MATCH(ED$135,'Mezz 1 Amortization'!$E$19:$E$379,0),MATCH('Mezz 1 Amortization'!$Q$19,'Mezz 1 Amortization'!$B$19:$V$19,0)),0),0)))</f>
        <v>0</v>
      </c>
      <c r="EE137" s="427">
        <f>-IF(OR('Financing Assumptions'!$P$8="No",EE$135&lt;='Financing Assumptions'!$P$26,EE$135&gt;'Mezz 1 Amortization'!$T$13),0,IF('Mezz 1 Amortization'!$T$4="Monthly",INDEX('Mezz 1 Amortization'!$B$19:$V$379,MATCH(EE$135,'Mezz 1 Amortization'!$E$19:$E$379,0),MATCH('Mezz 1 Amortization'!$Q$19,'Mezz 1 Amortization'!$B$19:$V$19,0)),IF('Mezz 1 Amortization'!$T$4="Bi-Annual",IF(OR('Mezz 1 Amortization'!$R$4=EE$5,'Mezz 1 Amortization'!$S$4=EE$5),INDEX('Mezz 1 Amortization'!$B$19:$V$379,MATCH(EE$135,'Mezz 1 Amortization'!$E$19:$E$379,0),MATCH('Mezz 1 Amortization'!$Q$19,'Mezz 1 Amortization'!$B$19:$V$19,0)),0),0)))</f>
        <v>0</v>
      </c>
      <c r="EF137" s="427">
        <f>-IF(OR('Financing Assumptions'!$P$8="No",EF$135&lt;='Financing Assumptions'!$P$26,EF$135&gt;'Mezz 1 Amortization'!$T$13),0,IF('Mezz 1 Amortization'!$T$4="Monthly",INDEX('Mezz 1 Amortization'!$B$19:$V$379,MATCH(EF$135,'Mezz 1 Amortization'!$E$19:$E$379,0),MATCH('Mezz 1 Amortization'!$Q$19,'Mezz 1 Amortization'!$B$19:$V$19,0)),IF('Mezz 1 Amortization'!$T$4="Bi-Annual",IF(OR('Mezz 1 Amortization'!$R$4=EF$5,'Mezz 1 Amortization'!$S$4=EF$5),INDEX('Mezz 1 Amortization'!$B$19:$V$379,MATCH(EF$135,'Mezz 1 Amortization'!$E$19:$E$379,0),MATCH('Mezz 1 Amortization'!$Q$19,'Mezz 1 Amortization'!$B$19:$V$19,0)),0),0)))</f>
        <v>0</v>
      </c>
      <c r="EG137" s="427">
        <f>-IF(OR('Financing Assumptions'!$P$8="No",EG$135&lt;='Financing Assumptions'!$P$26,EG$135&gt;'Mezz 1 Amortization'!$T$13),0,IF('Mezz 1 Amortization'!$T$4="Monthly",INDEX('Mezz 1 Amortization'!$B$19:$V$379,MATCH(EG$135,'Mezz 1 Amortization'!$E$19:$E$379,0),MATCH('Mezz 1 Amortization'!$Q$19,'Mezz 1 Amortization'!$B$19:$V$19,0)),IF('Mezz 1 Amortization'!$T$4="Bi-Annual",IF(OR('Mezz 1 Amortization'!$R$4=EG$5,'Mezz 1 Amortization'!$S$4=EG$5),INDEX('Mezz 1 Amortization'!$B$19:$V$379,MATCH(EG$135,'Mezz 1 Amortization'!$E$19:$E$379,0),MATCH('Mezz 1 Amortization'!$Q$19,'Mezz 1 Amortization'!$B$19:$V$19,0)),0),0)))</f>
        <v>0</v>
      </c>
      <c r="EH137" s="427">
        <f>-IF(OR('Financing Assumptions'!$P$8="No",EH$135&lt;='Financing Assumptions'!$P$26,EH$135&gt;'Mezz 1 Amortization'!$T$13),0,IF('Mezz 1 Amortization'!$T$4="Monthly",INDEX('Mezz 1 Amortization'!$B$19:$V$379,MATCH(EH$135,'Mezz 1 Amortization'!$E$19:$E$379,0),MATCH('Mezz 1 Amortization'!$Q$19,'Mezz 1 Amortization'!$B$19:$V$19,0)),IF('Mezz 1 Amortization'!$T$4="Bi-Annual",IF(OR('Mezz 1 Amortization'!$R$4=EH$5,'Mezz 1 Amortization'!$S$4=EH$5),INDEX('Mezz 1 Amortization'!$B$19:$V$379,MATCH(EH$135,'Mezz 1 Amortization'!$E$19:$E$379,0),MATCH('Mezz 1 Amortization'!$Q$19,'Mezz 1 Amortization'!$B$19:$V$19,0)),0),0)))</f>
        <v>0</v>
      </c>
      <c r="EI137" s="427">
        <f>-IF(OR('Financing Assumptions'!$P$8="No",EI$135&lt;='Financing Assumptions'!$P$26,EI$135&gt;'Mezz 1 Amortization'!$T$13),0,IF('Mezz 1 Amortization'!$T$4="Monthly",INDEX('Mezz 1 Amortization'!$B$19:$V$379,MATCH(EI$135,'Mezz 1 Amortization'!$E$19:$E$379,0),MATCH('Mezz 1 Amortization'!$Q$19,'Mezz 1 Amortization'!$B$19:$V$19,0)),IF('Mezz 1 Amortization'!$T$4="Bi-Annual",IF(OR('Mezz 1 Amortization'!$R$4=EI$5,'Mezz 1 Amortization'!$S$4=EI$5),INDEX('Mezz 1 Amortization'!$B$19:$V$379,MATCH(EI$135,'Mezz 1 Amortization'!$E$19:$E$379,0),MATCH('Mezz 1 Amortization'!$Q$19,'Mezz 1 Amortization'!$B$19:$V$19,0)),0),0)))</f>
        <v>0</v>
      </c>
      <c r="EJ137" s="427">
        <f>-IF(OR('Financing Assumptions'!$P$8="No",EJ$135&lt;='Financing Assumptions'!$P$26,EJ$135&gt;'Mezz 1 Amortization'!$T$13),0,IF('Mezz 1 Amortization'!$T$4="Monthly",INDEX('Mezz 1 Amortization'!$B$19:$V$379,MATCH(EJ$135,'Mezz 1 Amortization'!$E$19:$E$379,0),MATCH('Mezz 1 Amortization'!$Q$19,'Mezz 1 Amortization'!$B$19:$V$19,0)),IF('Mezz 1 Amortization'!$T$4="Bi-Annual",IF(OR('Mezz 1 Amortization'!$R$4=EJ$5,'Mezz 1 Amortization'!$S$4=EJ$5),INDEX('Mezz 1 Amortization'!$B$19:$V$379,MATCH(EJ$135,'Mezz 1 Amortization'!$E$19:$E$379,0),MATCH('Mezz 1 Amortization'!$Q$19,'Mezz 1 Amortization'!$B$19:$V$19,0)),0),0)))</f>
        <v>0</v>
      </c>
      <c r="EK137" s="427">
        <f>-IF(OR('Financing Assumptions'!$P$8="No",EK$135&lt;='Financing Assumptions'!$P$26,EK$135&gt;'Mezz 1 Amortization'!$T$13),0,IF('Mezz 1 Amortization'!$T$4="Monthly",INDEX('Mezz 1 Amortization'!$B$19:$V$379,MATCH(EK$135,'Mezz 1 Amortization'!$E$19:$E$379,0),MATCH('Mezz 1 Amortization'!$Q$19,'Mezz 1 Amortization'!$B$19:$V$19,0)),IF('Mezz 1 Amortization'!$T$4="Bi-Annual",IF(OR('Mezz 1 Amortization'!$R$4=EK$5,'Mezz 1 Amortization'!$S$4=EK$5),INDEX('Mezz 1 Amortization'!$B$19:$V$379,MATCH(EK$135,'Mezz 1 Amortization'!$E$19:$E$379,0),MATCH('Mezz 1 Amortization'!$Q$19,'Mezz 1 Amortization'!$B$19:$V$19,0)),0),0)))</f>
        <v>0</v>
      </c>
      <c r="EL137" s="427">
        <f>-IF(OR('Financing Assumptions'!$P$8="No",EL$135&lt;='Financing Assumptions'!$P$26,EL$135&gt;'Mezz 1 Amortization'!$T$13),0,IF('Mezz 1 Amortization'!$T$4="Monthly",INDEX('Mezz 1 Amortization'!$B$19:$V$379,MATCH(EL$135,'Mezz 1 Amortization'!$E$19:$E$379,0),MATCH('Mezz 1 Amortization'!$Q$19,'Mezz 1 Amortization'!$B$19:$V$19,0)),IF('Mezz 1 Amortization'!$T$4="Bi-Annual",IF(OR('Mezz 1 Amortization'!$R$4=EL$5,'Mezz 1 Amortization'!$S$4=EL$5),INDEX('Mezz 1 Amortization'!$B$19:$V$379,MATCH(EL$135,'Mezz 1 Amortization'!$E$19:$E$379,0),MATCH('Mezz 1 Amortization'!$Q$19,'Mezz 1 Amortization'!$B$19:$V$19,0)),0),0)))</f>
        <v>0</v>
      </c>
      <c r="EM137" s="427">
        <f>-IF(OR('Financing Assumptions'!$P$8="No",EM$135&lt;='Financing Assumptions'!$P$26,EM$135&gt;'Mezz 1 Amortization'!$T$13),0,IF('Mezz 1 Amortization'!$T$4="Monthly",INDEX('Mezz 1 Amortization'!$B$19:$V$379,MATCH(EM$135,'Mezz 1 Amortization'!$E$19:$E$379,0),MATCH('Mezz 1 Amortization'!$Q$19,'Mezz 1 Amortization'!$B$19:$V$19,0)),IF('Mezz 1 Amortization'!$T$4="Bi-Annual",IF(OR('Mezz 1 Amortization'!$R$4=EM$5,'Mezz 1 Amortization'!$S$4=EM$5),INDEX('Mezz 1 Amortization'!$B$19:$V$379,MATCH(EM$135,'Mezz 1 Amortization'!$E$19:$E$379,0),MATCH('Mezz 1 Amortization'!$Q$19,'Mezz 1 Amortization'!$B$19:$V$19,0)),0),0)))</f>
        <v>0</v>
      </c>
      <c r="EN137" s="427">
        <f>-IF(OR('Financing Assumptions'!$P$8="No",EN$135&lt;='Financing Assumptions'!$P$26,EN$135&gt;'Mezz 1 Amortization'!$T$13),0,IF('Mezz 1 Amortization'!$T$4="Monthly",INDEX('Mezz 1 Amortization'!$B$19:$V$379,MATCH(EN$135,'Mezz 1 Amortization'!$E$19:$E$379,0),MATCH('Mezz 1 Amortization'!$Q$19,'Mezz 1 Amortization'!$B$19:$V$19,0)),IF('Mezz 1 Amortization'!$T$4="Bi-Annual",IF(OR('Mezz 1 Amortization'!$R$4=EN$5,'Mezz 1 Amortization'!$S$4=EN$5),INDEX('Mezz 1 Amortization'!$B$19:$V$379,MATCH(EN$135,'Mezz 1 Amortization'!$E$19:$E$379,0),MATCH('Mezz 1 Amortization'!$Q$19,'Mezz 1 Amortization'!$B$19:$V$19,0)),0),0)))</f>
        <v>0</v>
      </c>
      <c r="EO137" s="427">
        <f>-IF(OR('Financing Assumptions'!$P$8="No",EO$135&lt;='Financing Assumptions'!$P$26,EO$135&gt;'Mezz 1 Amortization'!$T$13),0,IF('Mezz 1 Amortization'!$T$4="Monthly",INDEX('Mezz 1 Amortization'!$B$19:$V$379,MATCH(EO$135,'Mezz 1 Amortization'!$E$19:$E$379,0),MATCH('Mezz 1 Amortization'!$Q$19,'Mezz 1 Amortization'!$B$19:$V$19,0)),IF('Mezz 1 Amortization'!$T$4="Bi-Annual",IF(OR('Mezz 1 Amortization'!$R$4=EO$5,'Mezz 1 Amortization'!$S$4=EO$5),INDEX('Mezz 1 Amortization'!$B$19:$V$379,MATCH(EO$135,'Mezz 1 Amortization'!$E$19:$E$379,0),MATCH('Mezz 1 Amortization'!$Q$19,'Mezz 1 Amortization'!$B$19:$V$19,0)),0),0)))</f>
        <v>0</v>
      </c>
      <c r="EP137" s="427">
        <f>-IF(OR('Financing Assumptions'!$P$8="No",EP$135&lt;='Financing Assumptions'!$P$26,EP$135&gt;'Mezz 1 Amortization'!$T$13),0,IF('Mezz 1 Amortization'!$T$4="Monthly",INDEX('Mezz 1 Amortization'!$B$19:$V$379,MATCH(EP$135,'Mezz 1 Amortization'!$E$19:$E$379,0),MATCH('Mezz 1 Amortization'!$Q$19,'Mezz 1 Amortization'!$B$19:$V$19,0)),IF('Mezz 1 Amortization'!$T$4="Bi-Annual",IF(OR('Mezz 1 Amortization'!$R$4=EP$5,'Mezz 1 Amortization'!$S$4=EP$5),INDEX('Mezz 1 Amortization'!$B$19:$V$379,MATCH(EP$135,'Mezz 1 Amortization'!$E$19:$E$379,0),MATCH('Mezz 1 Amortization'!$Q$19,'Mezz 1 Amortization'!$B$19:$V$19,0)),0),0)))</f>
        <v>0</v>
      </c>
      <c r="EQ137" s="427">
        <f>-IF(OR('Financing Assumptions'!$P$8="No",EQ$135&lt;='Financing Assumptions'!$P$26,EQ$135&gt;'Mezz 1 Amortization'!$T$13),0,IF('Mezz 1 Amortization'!$T$4="Monthly",INDEX('Mezz 1 Amortization'!$B$19:$V$379,MATCH(EQ$135,'Mezz 1 Amortization'!$E$19:$E$379,0),MATCH('Mezz 1 Amortization'!$Q$19,'Mezz 1 Amortization'!$B$19:$V$19,0)),IF('Mezz 1 Amortization'!$T$4="Bi-Annual",IF(OR('Mezz 1 Amortization'!$R$4=EQ$5,'Mezz 1 Amortization'!$S$4=EQ$5),INDEX('Mezz 1 Amortization'!$B$19:$V$379,MATCH(EQ$135,'Mezz 1 Amortization'!$E$19:$E$379,0),MATCH('Mezz 1 Amortization'!$Q$19,'Mezz 1 Amortization'!$B$19:$V$19,0)),0),0)))</f>
        <v>0</v>
      </c>
      <c r="ER137" s="427">
        <f>-IF(OR('Financing Assumptions'!$P$8="No",ER$135&lt;='Financing Assumptions'!$P$26,ER$135&gt;'Mezz 1 Amortization'!$T$13),0,IF('Mezz 1 Amortization'!$T$4="Monthly",INDEX('Mezz 1 Amortization'!$B$19:$V$379,MATCH(ER$135,'Mezz 1 Amortization'!$E$19:$E$379,0),MATCH('Mezz 1 Amortization'!$Q$19,'Mezz 1 Amortization'!$B$19:$V$19,0)),IF('Mezz 1 Amortization'!$T$4="Bi-Annual",IF(OR('Mezz 1 Amortization'!$R$4=ER$5,'Mezz 1 Amortization'!$S$4=ER$5),INDEX('Mezz 1 Amortization'!$B$19:$V$379,MATCH(ER$135,'Mezz 1 Amortization'!$E$19:$E$379,0),MATCH('Mezz 1 Amortization'!$Q$19,'Mezz 1 Amortization'!$B$19:$V$19,0)),0),0)))</f>
        <v>0</v>
      </c>
      <c r="ES137" s="427">
        <f>-IF(OR('Financing Assumptions'!$P$8="No",ES$135&lt;='Financing Assumptions'!$P$26,ES$135&gt;'Mezz 1 Amortization'!$T$13),0,IF('Mezz 1 Amortization'!$T$4="Monthly",INDEX('Mezz 1 Amortization'!$B$19:$V$379,MATCH(ES$135,'Mezz 1 Amortization'!$E$19:$E$379,0),MATCH('Mezz 1 Amortization'!$Q$19,'Mezz 1 Amortization'!$B$19:$V$19,0)),IF('Mezz 1 Amortization'!$T$4="Bi-Annual",IF(OR('Mezz 1 Amortization'!$R$4=ES$5,'Mezz 1 Amortization'!$S$4=ES$5),INDEX('Mezz 1 Amortization'!$B$19:$V$379,MATCH(ES$135,'Mezz 1 Amortization'!$E$19:$E$379,0),MATCH('Mezz 1 Amortization'!$Q$19,'Mezz 1 Amortization'!$B$19:$V$19,0)),0),0)))</f>
        <v>0</v>
      </c>
      <c r="ET137" s="427">
        <f>-IF(OR('Financing Assumptions'!$P$8="No",ET$135&lt;='Financing Assumptions'!$P$26,ET$135&gt;'Mezz 1 Amortization'!$T$13),0,IF('Mezz 1 Amortization'!$T$4="Monthly",INDEX('Mezz 1 Amortization'!$B$19:$V$379,MATCH(ET$135,'Mezz 1 Amortization'!$E$19:$E$379,0),MATCH('Mezz 1 Amortization'!$Q$19,'Mezz 1 Amortization'!$B$19:$V$19,0)),IF('Mezz 1 Amortization'!$T$4="Bi-Annual",IF(OR('Mezz 1 Amortization'!$R$4=ET$5,'Mezz 1 Amortization'!$S$4=ET$5),INDEX('Mezz 1 Amortization'!$B$19:$V$379,MATCH(ET$135,'Mezz 1 Amortization'!$E$19:$E$379,0),MATCH('Mezz 1 Amortization'!$Q$19,'Mezz 1 Amortization'!$B$19:$V$19,0)),0),0)))</f>
        <v>0</v>
      </c>
      <c r="EU137" s="427">
        <f>-IF(OR('Financing Assumptions'!$P$8="No",EU$135&lt;='Financing Assumptions'!$P$26,EU$135&gt;'Mezz 1 Amortization'!$T$13),0,IF('Mezz 1 Amortization'!$T$4="Monthly",INDEX('Mezz 1 Amortization'!$B$19:$V$379,MATCH(EU$135,'Mezz 1 Amortization'!$E$19:$E$379,0),MATCH('Mezz 1 Amortization'!$Q$19,'Mezz 1 Amortization'!$B$19:$V$19,0)),IF('Mezz 1 Amortization'!$T$4="Bi-Annual",IF(OR('Mezz 1 Amortization'!$R$4=EU$5,'Mezz 1 Amortization'!$S$4=EU$5),INDEX('Mezz 1 Amortization'!$B$19:$V$379,MATCH(EU$135,'Mezz 1 Amortization'!$E$19:$E$379,0),MATCH('Mezz 1 Amortization'!$Q$19,'Mezz 1 Amortization'!$B$19:$V$19,0)),0),0)))</f>
        <v>0</v>
      </c>
      <c r="EV137" s="427">
        <f>-IF(OR('Financing Assumptions'!$P$8="No",EV$135&lt;='Financing Assumptions'!$P$26,EV$135&gt;'Mezz 1 Amortization'!$T$13),0,IF('Mezz 1 Amortization'!$T$4="Monthly",INDEX('Mezz 1 Amortization'!$B$19:$V$379,MATCH(EV$135,'Mezz 1 Amortization'!$E$19:$E$379,0),MATCH('Mezz 1 Amortization'!$Q$19,'Mezz 1 Amortization'!$B$19:$V$19,0)),IF('Mezz 1 Amortization'!$T$4="Bi-Annual",IF(OR('Mezz 1 Amortization'!$R$4=EV$5,'Mezz 1 Amortization'!$S$4=EV$5),INDEX('Mezz 1 Amortization'!$B$19:$V$379,MATCH(EV$135,'Mezz 1 Amortization'!$E$19:$E$379,0),MATCH('Mezz 1 Amortization'!$Q$19,'Mezz 1 Amortization'!$B$19:$V$19,0)),0),0)))</f>
        <v>0</v>
      </c>
      <c r="EW137" s="427">
        <f>-IF(OR('Financing Assumptions'!$P$8="No",EW$135&lt;='Financing Assumptions'!$P$26,EW$135&gt;'Mezz 1 Amortization'!$T$13),0,IF('Mezz 1 Amortization'!$T$4="Monthly",INDEX('Mezz 1 Amortization'!$B$19:$V$379,MATCH(EW$135,'Mezz 1 Amortization'!$E$19:$E$379,0),MATCH('Mezz 1 Amortization'!$Q$19,'Mezz 1 Amortization'!$B$19:$V$19,0)),IF('Mezz 1 Amortization'!$T$4="Bi-Annual",IF(OR('Mezz 1 Amortization'!$R$4=EW$5,'Mezz 1 Amortization'!$S$4=EW$5),INDEX('Mezz 1 Amortization'!$B$19:$V$379,MATCH(EW$135,'Mezz 1 Amortization'!$E$19:$E$379,0),MATCH('Mezz 1 Amortization'!$Q$19,'Mezz 1 Amortization'!$B$19:$V$19,0)),0),0)))</f>
        <v>0</v>
      </c>
      <c r="EX137" s="427">
        <f>-IF(OR('Financing Assumptions'!$P$8="No",EX$135&lt;='Financing Assumptions'!$P$26,EX$135&gt;'Mezz 1 Amortization'!$T$13),0,IF('Mezz 1 Amortization'!$T$4="Monthly",INDEX('Mezz 1 Amortization'!$B$19:$V$379,MATCH(EX$135,'Mezz 1 Amortization'!$E$19:$E$379,0),MATCH('Mezz 1 Amortization'!$Q$19,'Mezz 1 Amortization'!$B$19:$V$19,0)),IF('Mezz 1 Amortization'!$T$4="Bi-Annual",IF(OR('Mezz 1 Amortization'!$R$4=EX$5,'Mezz 1 Amortization'!$S$4=EX$5),INDEX('Mezz 1 Amortization'!$B$19:$V$379,MATCH(EX$135,'Mezz 1 Amortization'!$E$19:$E$379,0),MATCH('Mezz 1 Amortization'!$Q$19,'Mezz 1 Amortization'!$B$19:$V$19,0)),0),0)))</f>
        <v>0</v>
      </c>
      <c r="EY137" s="427">
        <f>-IF(OR('Financing Assumptions'!$P$8="No",EY$135&lt;='Financing Assumptions'!$P$26,EY$135&gt;'Mezz 1 Amortization'!$T$13),0,IF('Mezz 1 Amortization'!$T$4="Monthly",INDEX('Mezz 1 Amortization'!$B$19:$V$379,MATCH(EY$135,'Mezz 1 Amortization'!$E$19:$E$379,0),MATCH('Mezz 1 Amortization'!$Q$19,'Mezz 1 Amortization'!$B$19:$V$19,0)),IF('Mezz 1 Amortization'!$T$4="Bi-Annual",IF(OR('Mezz 1 Amortization'!$R$4=EY$5,'Mezz 1 Amortization'!$S$4=EY$5),INDEX('Mezz 1 Amortization'!$B$19:$V$379,MATCH(EY$135,'Mezz 1 Amortization'!$E$19:$E$379,0),MATCH('Mezz 1 Amortization'!$Q$19,'Mezz 1 Amortization'!$B$19:$V$19,0)),0),0)))</f>
        <v>0</v>
      </c>
      <c r="EZ137" s="427">
        <f>-IF(OR('Financing Assumptions'!$P$8="No",EZ$135&lt;='Financing Assumptions'!$P$26,EZ$135&gt;'Mezz 1 Amortization'!$T$13),0,IF('Mezz 1 Amortization'!$T$4="Monthly",INDEX('Mezz 1 Amortization'!$B$19:$V$379,MATCH(EZ$135,'Mezz 1 Amortization'!$E$19:$E$379,0),MATCH('Mezz 1 Amortization'!$Q$19,'Mezz 1 Amortization'!$B$19:$V$19,0)),IF('Mezz 1 Amortization'!$T$4="Bi-Annual",IF(OR('Mezz 1 Amortization'!$R$4=EZ$5,'Mezz 1 Amortization'!$S$4=EZ$5),INDEX('Mezz 1 Amortization'!$B$19:$V$379,MATCH(EZ$135,'Mezz 1 Amortization'!$E$19:$E$379,0),MATCH('Mezz 1 Amortization'!$Q$19,'Mezz 1 Amortization'!$B$19:$V$19,0)),0),0)))</f>
        <v>0</v>
      </c>
      <c r="FA137" s="427">
        <f>-IF(OR('Financing Assumptions'!$P$8="No",FA$135&lt;='Financing Assumptions'!$P$26,FA$135&gt;'Mezz 1 Amortization'!$T$13),0,IF('Mezz 1 Amortization'!$T$4="Monthly",INDEX('Mezz 1 Amortization'!$B$19:$V$379,MATCH(FA$135,'Mezz 1 Amortization'!$E$19:$E$379,0),MATCH('Mezz 1 Amortization'!$Q$19,'Mezz 1 Amortization'!$B$19:$V$19,0)),IF('Mezz 1 Amortization'!$T$4="Bi-Annual",IF(OR('Mezz 1 Amortization'!$R$4=FA$5,'Mezz 1 Amortization'!$S$4=FA$5),INDEX('Mezz 1 Amortization'!$B$19:$V$379,MATCH(FA$135,'Mezz 1 Amortization'!$E$19:$E$379,0),MATCH('Mezz 1 Amortization'!$Q$19,'Mezz 1 Amortization'!$B$19:$V$19,0)),0),0)))</f>
        <v>0</v>
      </c>
      <c r="FB137" s="427">
        <f>-IF(OR('Financing Assumptions'!$P$8="No",FB$135&lt;='Financing Assumptions'!$P$26,FB$135&gt;'Mezz 1 Amortization'!$T$13),0,IF('Mezz 1 Amortization'!$T$4="Monthly",INDEX('Mezz 1 Amortization'!$B$19:$V$379,MATCH(FB$135,'Mezz 1 Amortization'!$E$19:$E$379,0),MATCH('Mezz 1 Amortization'!$Q$19,'Mezz 1 Amortization'!$B$19:$V$19,0)),IF('Mezz 1 Amortization'!$T$4="Bi-Annual",IF(OR('Mezz 1 Amortization'!$R$4=FB$5,'Mezz 1 Amortization'!$S$4=FB$5),INDEX('Mezz 1 Amortization'!$B$19:$V$379,MATCH(FB$135,'Mezz 1 Amortization'!$E$19:$E$379,0),MATCH('Mezz 1 Amortization'!$Q$19,'Mezz 1 Amortization'!$B$19:$V$19,0)),0),0)))</f>
        <v>0</v>
      </c>
      <c r="FC137" s="427">
        <f>-IF(OR('Financing Assumptions'!$P$8="No",FC$135&lt;='Financing Assumptions'!$P$26,FC$135&gt;'Mezz 1 Amortization'!$T$13),0,IF('Mezz 1 Amortization'!$T$4="Monthly",INDEX('Mezz 1 Amortization'!$B$19:$V$379,MATCH(FC$135,'Mezz 1 Amortization'!$E$19:$E$379,0),MATCH('Mezz 1 Amortization'!$Q$19,'Mezz 1 Amortization'!$B$19:$V$19,0)),IF('Mezz 1 Amortization'!$T$4="Bi-Annual",IF(OR('Mezz 1 Amortization'!$R$4=FC$5,'Mezz 1 Amortization'!$S$4=FC$5),INDEX('Mezz 1 Amortization'!$B$19:$V$379,MATCH(FC$135,'Mezz 1 Amortization'!$E$19:$E$379,0),MATCH('Mezz 1 Amortization'!$Q$19,'Mezz 1 Amortization'!$B$19:$V$19,0)),0),0)))</f>
        <v>0</v>
      </c>
      <c r="FD137" s="427">
        <f>-IF(OR('Financing Assumptions'!$P$8="No",FD$135&lt;='Financing Assumptions'!$P$26,FD$135&gt;'Mezz 1 Amortization'!$T$13),0,IF('Mezz 1 Amortization'!$T$4="Monthly",INDEX('Mezz 1 Amortization'!$B$19:$V$379,MATCH(FD$135,'Mezz 1 Amortization'!$E$19:$E$379,0),MATCH('Mezz 1 Amortization'!$Q$19,'Mezz 1 Amortization'!$B$19:$V$19,0)),IF('Mezz 1 Amortization'!$T$4="Bi-Annual",IF(OR('Mezz 1 Amortization'!$R$4=FD$5,'Mezz 1 Amortization'!$S$4=FD$5),INDEX('Mezz 1 Amortization'!$B$19:$V$379,MATCH(FD$135,'Mezz 1 Amortization'!$E$19:$E$379,0),MATCH('Mezz 1 Amortization'!$Q$19,'Mezz 1 Amortization'!$B$19:$V$19,0)),0),0)))</f>
        <v>0</v>
      </c>
      <c r="FE137" s="427">
        <f>-IF(OR('Financing Assumptions'!$P$8="No",FE$135&lt;='Financing Assumptions'!$P$26,FE$135&gt;'Mezz 1 Amortization'!$T$13),0,IF('Mezz 1 Amortization'!$T$4="Monthly",INDEX('Mezz 1 Amortization'!$B$19:$V$379,MATCH(FE$135,'Mezz 1 Amortization'!$E$19:$E$379,0),MATCH('Mezz 1 Amortization'!$Q$19,'Mezz 1 Amortization'!$B$19:$V$19,0)),IF('Mezz 1 Amortization'!$T$4="Bi-Annual",IF(OR('Mezz 1 Amortization'!$R$4=FE$5,'Mezz 1 Amortization'!$S$4=FE$5),INDEX('Mezz 1 Amortization'!$B$19:$V$379,MATCH(FE$135,'Mezz 1 Amortization'!$E$19:$E$379,0),MATCH('Mezz 1 Amortization'!$Q$19,'Mezz 1 Amortization'!$B$19:$V$19,0)),0),0)))</f>
        <v>0</v>
      </c>
      <c r="FF137" s="427">
        <f>-IF(OR('Financing Assumptions'!$P$8="No",FF$135&lt;='Financing Assumptions'!$P$26,FF$135&gt;'Mezz 1 Amortization'!$T$13),0,IF('Mezz 1 Amortization'!$T$4="Monthly",INDEX('Mezz 1 Amortization'!$B$19:$V$379,MATCH(FF$135,'Mezz 1 Amortization'!$E$19:$E$379,0),MATCH('Mezz 1 Amortization'!$Q$19,'Mezz 1 Amortization'!$B$19:$V$19,0)),IF('Mezz 1 Amortization'!$T$4="Bi-Annual",IF(OR('Mezz 1 Amortization'!$R$4=FF$5,'Mezz 1 Amortization'!$S$4=FF$5),INDEX('Mezz 1 Amortization'!$B$19:$V$379,MATCH(FF$135,'Mezz 1 Amortization'!$E$19:$E$379,0),MATCH('Mezz 1 Amortization'!$Q$19,'Mezz 1 Amortization'!$B$19:$V$19,0)),0),0)))</f>
        <v>0</v>
      </c>
      <c r="FG137" s="427">
        <f>-IF(OR('Financing Assumptions'!$P$8="No",FG$135&lt;='Financing Assumptions'!$P$26,FG$135&gt;'Mezz 1 Amortization'!$T$13),0,IF('Mezz 1 Amortization'!$T$4="Monthly",INDEX('Mezz 1 Amortization'!$B$19:$V$379,MATCH(FG$135,'Mezz 1 Amortization'!$E$19:$E$379,0),MATCH('Mezz 1 Amortization'!$Q$19,'Mezz 1 Amortization'!$B$19:$V$19,0)),IF('Mezz 1 Amortization'!$T$4="Bi-Annual",IF(OR('Mezz 1 Amortization'!$R$4=FG$5,'Mezz 1 Amortization'!$S$4=FG$5),INDEX('Mezz 1 Amortization'!$B$19:$V$379,MATCH(FG$135,'Mezz 1 Amortization'!$E$19:$E$379,0),MATCH('Mezz 1 Amortization'!$Q$19,'Mezz 1 Amortization'!$B$19:$V$19,0)),0),0)))</f>
        <v>0</v>
      </c>
      <c r="FH137" s="427">
        <f>-IF(OR('Financing Assumptions'!$P$8="No",FH$135&lt;='Financing Assumptions'!$P$26,FH$135&gt;'Mezz 1 Amortization'!$T$13),0,IF('Mezz 1 Amortization'!$T$4="Monthly",INDEX('Mezz 1 Amortization'!$B$19:$V$379,MATCH(FH$135,'Mezz 1 Amortization'!$E$19:$E$379,0),MATCH('Mezz 1 Amortization'!$Q$19,'Mezz 1 Amortization'!$B$19:$V$19,0)),IF('Mezz 1 Amortization'!$T$4="Bi-Annual",IF(OR('Mezz 1 Amortization'!$R$4=FH$5,'Mezz 1 Amortization'!$S$4=FH$5),INDEX('Mezz 1 Amortization'!$B$19:$V$379,MATCH(FH$135,'Mezz 1 Amortization'!$E$19:$E$379,0),MATCH('Mezz 1 Amortization'!$Q$19,'Mezz 1 Amortization'!$B$19:$V$19,0)),0),0)))</f>
        <v>0</v>
      </c>
      <c r="FI137" s="427">
        <f>-IF(OR('Financing Assumptions'!$P$8="No",FI$135&lt;='Financing Assumptions'!$P$26,FI$135&gt;'Mezz 1 Amortization'!$T$13),0,IF('Mezz 1 Amortization'!$T$4="Monthly",INDEX('Mezz 1 Amortization'!$B$19:$V$379,MATCH(FI$135,'Mezz 1 Amortization'!$E$19:$E$379,0),MATCH('Mezz 1 Amortization'!$Q$19,'Mezz 1 Amortization'!$B$19:$V$19,0)),IF('Mezz 1 Amortization'!$T$4="Bi-Annual",IF(OR('Mezz 1 Amortization'!$R$4=FI$5,'Mezz 1 Amortization'!$S$4=FI$5),INDEX('Mezz 1 Amortization'!$B$19:$V$379,MATCH(FI$135,'Mezz 1 Amortization'!$E$19:$E$379,0),MATCH('Mezz 1 Amortization'!$Q$19,'Mezz 1 Amortization'!$B$19:$V$19,0)),0),0)))</f>
        <v>0</v>
      </c>
      <c r="FJ137" s="427">
        <f>-IF(OR('Financing Assumptions'!$P$8="No",FJ$135&lt;='Financing Assumptions'!$P$26,FJ$135&gt;'Mezz 1 Amortization'!$T$13),0,IF('Mezz 1 Amortization'!$T$4="Monthly",INDEX('Mezz 1 Amortization'!$B$19:$V$379,MATCH(FJ$135,'Mezz 1 Amortization'!$E$19:$E$379,0),MATCH('Mezz 1 Amortization'!$Q$19,'Mezz 1 Amortization'!$B$19:$V$19,0)),IF('Mezz 1 Amortization'!$T$4="Bi-Annual",IF(OR('Mezz 1 Amortization'!$R$4=FJ$5,'Mezz 1 Amortization'!$S$4=FJ$5),INDEX('Mezz 1 Amortization'!$B$19:$V$379,MATCH(FJ$135,'Mezz 1 Amortization'!$E$19:$E$379,0),MATCH('Mezz 1 Amortization'!$Q$19,'Mezz 1 Amortization'!$B$19:$V$19,0)),0),0)))</f>
        <v>0</v>
      </c>
      <c r="FK137" s="427">
        <f>-IF(OR('Financing Assumptions'!$P$8="No",FK$135&lt;='Financing Assumptions'!$P$26,FK$135&gt;'Mezz 1 Amortization'!$T$13),0,IF('Mezz 1 Amortization'!$T$4="Monthly",INDEX('Mezz 1 Amortization'!$B$19:$V$379,MATCH(FK$135,'Mezz 1 Amortization'!$E$19:$E$379,0),MATCH('Mezz 1 Amortization'!$Q$19,'Mezz 1 Amortization'!$B$19:$V$19,0)),IF('Mezz 1 Amortization'!$T$4="Bi-Annual",IF(OR('Mezz 1 Amortization'!$R$4=FK$5,'Mezz 1 Amortization'!$S$4=FK$5),INDEX('Mezz 1 Amortization'!$B$19:$V$379,MATCH(FK$135,'Mezz 1 Amortization'!$E$19:$E$379,0),MATCH('Mezz 1 Amortization'!$Q$19,'Mezz 1 Amortization'!$B$19:$V$19,0)),0),0)))</f>
        <v>0</v>
      </c>
      <c r="FL137" s="427">
        <f>-IF(OR('Financing Assumptions'!$P$8="No",FL$135&lt;='Financing Assumptions'!$P$26,FL$135&gt;'Mezz 1 Amortization'!$T$13),0,IF('Mezz 1 Amortization'!$T$4="Monthly",INDEX('Mezz 1 Amortization'!$B$19:$V$379,MATCH(FL$135,'Mezz 1 Amortization'!$E$19:$E$379,0),MATCH('Mezz 1 Amortization'!$Q$19,'Mezz 1 Amortization'!$B$19:$V$19,0)),IF('Mezz 1 Amortization'!$T$4="Bi-Annual",IF(OR('Mezz 1 Amortization'!$R$4=FL$5,'Mezz 1 Amortization'!$S$4=FL$5),INDEX('Mezz 1 Amortization'!$B$19:$V$379,MATCH(FL$135,'Mezz 1 Amortization'!$E$19:$E$379,0),MATCH('Mezz 1 Amortization'!$Q$19,'Mezz 1 Amortization'!$B$19:$V$19,0)),0),0)))</f>
        <v>0</v>
      </c>
      <c r="FM137" s="427">
        <f>-IF(OR('Financing Assumptions'!$P$8="No",FM$135&lt;='Financing Assumptions'!$P$26,FM$135&gt;'Mezz 1 Amortization'!$T$13),0,IF('Mezz 1 Amortization'!$T$4="Monthly",INDEX('Mezz 1 Amortization'!$B$19:$V$379,MATCH(FM$135,'Mezz 1 Amortization'!$E$19:$E$379,0),MATCH('Mezz 1 Amortization'!$Q$19,'Mezz 1 Amortization'!$B$19:$V$19,0)),IF('Mezz 1 Amortization'!$T$4="Bi-Annual",IF(OR('Mezz 1 Amortization'!$R$4=FM$5,'Mezz 1 Amortization'!$S$4=FM$5),INDEX('Mezz 1 Amortization'!$B$19:$V$379,MATCH(FM$135,'Mezz 1 Amortization'!$E$19:$E$379,0),MATCH('Mezz 1 Amortization'!$Q$19,'Mezz 1 Amortization'!$B$19:$V$19,0)),0),0)))</f>
        <v>0</v>
      </c>
      <c r="FN137" s="427">
        <f>-IF(OR('Financing Assumptions'!$P$8="No",FN$135&lt;='Financing Assumptions'!$P$26,FN$135&gt;'Mezz 1 Amortization'!$T$13),0,IF('Mezz 1 Amortization'!$T$4="Monthly",INDEX('Mezz 1 Amortization'!$B$19:$V$379,MATCH(FN$135,'Mezz 1 Amortization'!$E$19:$E$379,0),MATCH('Mezz 1 Amortization'!$Q$19,'Mezz 1 Amortization'!$B$19:$V$19,0)),IF('Mezz 1 Amortization'!$T$4="Bi-Annual",IF(OR('Mezz 1 Amortization'!$R$4=FN$5,'Mezz 1 Amortization'!$S$4=FN$5),INDEX('Mezz 1 Amortization'!$B$19:$V$379,MATCH(FN$135,'Mezz 1 Amortization'!$E$19:$E$379,0),MATCH('Mezz 1 Amortization'!$Q$19,'Mezz 1 Amortization'!$B$19:$V$19,0)),0),0)))</f>
        <v>0</v>
      </c>
      <c r="FO137" s="427">
        <f>-IF(OR('Financing Assumptions'!$P$8="No",FO$135&lt;='Financing Assumptions'!$P$26,FO$135&gt;'Mezz 1 Amortization'!$T$13),0,IF('Mezz 1 Amortization'!$T$4="Monthly",INDEX('Mezz 1 Amortization'!$B$19:$V$379,MATCH(FO$135,'Mezz 1 Amortization'!$E$19:$E$379,0),MATCH('Mezz 1 Amortization'!$Q$19,'Mezz 1 Amortization'!$B$19:$V$19,0)),IF('Mezz 1 Amortization'!$T$4="Bi-Annual",IF(OR('Mezz 1 Amortization'!$R$4=FO$5,'Mezz 1 Amortization'!$S$4=FO$5),INDEX('Mezz 1 Amortization'!$B$19:$V$379,MATCH(FO$135,'Mezz 1 Amortization'!$E$19:$E$379,0),MATCH('Mezz 1 Amortization'!$Q$19,'Mezz 1 Amortization'!$B$19:$V$19,0)),0),0)))</f>
        <v>0</v>
      </c>
      <c r="FP137" s="427">
        <f>-IF(OR('Financing Assumptions'!$P$8="No",FP$135&lt;='Financing Assumptions'!$P$26,FP$135&gt;'Mezz 1 Amortization'!$T$13),0,IF('Mezz 1 Amortization'!$T$4="Monthly",INDEX('Mezz 1 Amortization'!$B$19:$V$379,MATCH(FP$135,'Mezz 1 Amortization'!$E$19:$E$379,0),MATCH('Mezz 1 Amortization'!$Q$19,'Mezz 1 Amortization'!$B$19:$V$19,0)),IF('Mezz 1 Amortization'!$T$4="Bi-Annual",IF(OR('Mezz 1 Amortization'!$R$4=FP$5,'Mezz 1 Amortization'!$S$4=FP$5),INDEX('Mezz 1 Amortization'!$B$19:$V$379,MATCH(FP$135,'Mezz 1 Amortization'!$E$19:$E$379,0),MATCH('Mezz 1 Amortization'!$Q$19,'Mezz 1 Amortization'!$B$19:$V$19,0)),0),0)))</f>
        <v>0</v>
      </c>
      <c r="FQ137" s="427">
        <f>-IF(OR('Financing Assumptions'!$P$8="No",FQ$135&lt;='Financing Assumptions'!$P$26,FQ$135&gt;'Mezz 1 Amortization'!$T$13),0,IF('Mezz 1 Amortization'!$T$4="Monthly",INDEX('Mezz 1 Amortization'!$B$19:$V$379,MATCH(FQ$135,'Mezz 1 Amortization'!$E$19:$E$379,0),MATCH('Mezz 1 Amortization'!$Q$19,'Mezz 1 Amortization'!$B$19:$V$19,0)),IF('Mezz 1 Amortization'!$T$4="Bi-Annual",IF(OR('Mezz 1 Amortization'!$R$4=FQ$5,'Mezz 1 Amortization'!$S$4=FQ$5),INDEX('Mezz 1 Amortization'!$B$19:$V$379,MATCH(FQ$135,'Mezz 1 Amortization'!$E$19:$E$379,0),MATCH('Mezz 1 Amortization'!$Q$19,'Mezz 1 Amortization'!$B$19:$V$19,0)),0),0)))</f>
        <v>0</v>
      </c>
      <c r="FR137" s="427">
        <f>-IF(OR('Financing Assumptions'!$P$8="No",FR$135&lt;='Financing Assumptions'!$P$26,FR$135&gt;'Mezz 1 Amortization'!$T$13),0,IF('Mezz 1 Amortization'!$T$4="Monthly",INDEX('Mezz 1 Amortization'!$B$19:$V$379,MATCH(FR$135,'Mezz 1 Amortization'!$E$19:$E$379,0),MATCH('Mezz 1 Amortization'!$Q$19,'Mezz 1 Amortization'!$B$19:$V$19,0)),IF('Mezz 1 Amortization'!$T$4="Bi-Annual",IF(OR('Mezz 1 Amortization'!$R$4=FR$5,'Mezz 1 Amortization'!$S$4=FR$5),INDEX('Mezz 1 Amortization'!$B$19:$V$379,MATCH(FR$135,'Mezz 1 Amortization'!$E$19:$E$379,0),MATCH('Mezz 1 Amortization'!$Q$19,'Mezz 1 Amortization'!$B$19:$V$19,0)),0),0)))</f>
        <v>0</v>
      </c>
      <c r="FS137" s="427">
        <f>-IF(OR('Financing Assumptions'!$P$8="No",FS$135&lt;='Financing Assumptions'!$P$26,FS$135&gt;'Mezz 1 Amortization'!$T$13),0,IF('Mezz 1 Amortization'!$T$4="Monthly",INDEX('Mezz 1 Amortization'!$B$19:$V$379,MATCH(FS$135,'Mezz 1 Amortization'!$E$19:$E$379,0),MATCH('Mezz 1 Amortization'!$Q$19,'Mezz 1 Amortization'!$B$19:$V$19,0)),IF('Mezz 1 Amortization'!$T$4="Bi-Annual",IF(OR('Mezz 1 Amortization'!$R$4=FS$5,'Mezz 1 Amortization'!$S$4=FS$5),INDEX('Mezz 1 Amortization'!$B$19:$V$379,MATCH(FS$135,'Mezz 1 Amortization'!$E$19:$E$379,0),MATCH('Mezz 1 Amortization'!$Q$19,'Mezz 1 Amortization'!$B$19:$V$19,0)),0),0)))</f>
        <v>0</v>
      </c>
      <c r="FT137" s="427">
        <f>-IF(OR('Financing Assumptions'!$P$8="No",FT$135&lt;='Financing Assumptions'!$P$26,FT$135&gt;'Mezz 1 Amortization'!$T$13),0,IF('Mezz 1 Amortization'!$T$4="Monthly",INDEX('Mezz 1 Amortization'!$B$19:$V$379,MATCH(FT$135,'Mezz 1 Amortization'!$E$19:$E$379,0),MATCH('Mezz 1 Amortization'!$Q$19,'Mezz 1 Amortization'!$B$19:$V$19,0)),IF('Mezz 1 Amortization'!$T$4="Bi-Annual",IF(OR('Mezz 1 Amortization'!$R$4=FT$5,'Mezz 1 Amortization'!$S$4=FT$5),INDEX('Mezz 1 Amortization'!$B$19:$V$379,MATCH(FT$135,'Mezz 1 Amortization'!$E$19:$E$379,0),MATCH('Mezz 1 Amortization'!$Q$19,'Mezz 1 Amortization'!$B$19:$V$19,0)),0),0)))</f>
        <v>0</v>
      </c>
      <c r="FU137" s="43"/>
      <c r="FV137" s="34"/>
      <c r="FW137" s="34"/>
      <c r="FX137" s="34"/>
      <c r="FY137" s="34"/>
      <c r="FZ137" s="34"/>
    </row>
    <row r="138" spans="1:182" s="89" customFormat="1" ht="13.5" x14ac:dyDescent="0.25">
      <c r="A138" s="34"/>
      <c r="B138" s="1271" t="s">
        <v>43</v>
      </c>
      <c r="C138" s="34"/>
      <c r="D138" s="34"/>
      <c r="E138" s="34"/>
      <c r="F138" s="434"/>
      <c r="G138" s="34"/>
      <c r="H138" s="427">
        <f>-IF(OR('Financing Assumptions'!$P$8="No",H$135&lt;='Financing Assumptions'!$P$26,H$135&gt;'Mezz 1 Amortization'!$T$13),0,IF('Mezz 1 Amortization'!$T$4="Monthly",INDEX('Mezz 1 Amortization'!$B$19:$V$379,MATCH(H$135,'Mezz 1 Amortization'!$E$19:$E$379,0),MATCH('Mezz 1 Amortization'!$R$19,'Mezz 1 Amortization'!$B$19:$V$19,0)),IF('Mezz 1 Amortization'!$T$4="Bi-Annual",IF(OR('Mezz 1 Amortization'!$R$4=H$5,'Mezz 1 Amortization'!$S$4=H$5),INDEX('Mezz 1 Amortization'!$B$19:$V$379,MATCH(H$135,'Mezz 1 Amortization'!$E$19:$E$379,0),MATCH('Mezz 1 Amortization'!$R$19,'Mezz 1 Amortization'!$B$19:$V$19,0)),0),0)))</f>
        <v>0</v>
      </c>
      <c r="I138" s="427">
        <f>-IF(OR('Financing Assumptions'!$P$8="No",I$135&lt;='Financing Assumptions'!$P$26,I$135&gt;'Mezz 1 Amortization'!$T$13),0,IF('Mezz 1 Amortization'!$T$4="Monthly",INDEX('Mezz 1 Amortization'!$B$19:$V$379,MATCH(I$135,'Mezz 1 Amortization'!$E$19:$E$379,0),MATCH('Mezz 1 Amortization'!$R$19,'Mezz 1 Amortization'!$B$19:$V$19,0)),IF('Mezz 1 Amortization'!$T$4="Bi-Annual",IF(OR('Mezz 1 Amortization'!$R$4=I$5,'Mezz 1 Amortization'!$S$4=I$5),INDEX('Mezz 1 Amortization'!$B$19:$V$379,MATCH(I$135,'Mezz 1 Amortization'!$E$19:$E$379,0),MATCH('Mezz 1 Amortization'!$R$19,'Mezz 1 Amortization'!$B$19:$V$19,0)),0),0)))</f>
        <v>0</v>
      </c>
      <c r="J138" s="427">
        <f>-IF(OR('Financing Assumptions'!$P$8="No",J$135&lt;='Financing Assumptions'!$P$26,J$135&gt;'Mezz 1 Amortization'!$T$13),0,IF('Mezz 1 Amortization'!$T$4="Monthly",INDEX('Mezz 1 Amortization'!$B$19:$V$379,MATCH(J$135,'Mezz 1 Amortization'!$E$19:$E$379,0),MATCH('Mezz 1 Amortization'!$R$19,'Mezz 1 Amortization'!$B$19:$V$19,0)),IF('Mezz 1 Amortization'!$T$4="Bi-Annual",IF(OR('Mezz 1 Amortization'!$R$4=J$5,'Mezz 1 Amortization'!$S$4=J$5),INDEX('Mezz 1 Amortization'!$B$19:$V$379,MATCH(J$135,'Mezz 1 Amortization'!$E$19:$E$379,0),MATCH('Mezz 1 Amortization'!$R$19,'Mezz 1 Amortization'!$B$19:$V$19,0)),0),0)))</f>
        <v>0</v>
      </c>
      <c r="K138" s="427">
        <f>-IF(OR('Financing Assumptions'!$P$8="No",K$135&lt;='Financing Assumptions'!$P$26,K$135&gt;'Mezz 1 Amortization'!$T$13),0,IF('Mezz 1 Amortization'!$T$4="Monthly",INDEX('Mezz 1 Amortization'!$B$19:$V$379,MATCH(K$135,'Mezz 1 Amortization'!$E$19:$E$379,0),MATCH('Mezz 1 Amortization'!$R$19,'Mezz 1 Amortization'!$B$19:$V$19,0)),IF('Mezz 1 Amortization'!$T$4="Bi-Annual",IF(OR('Mezz 1 Amortization'!$R$4=K$5,'Mezz 1 Amortization'!$S$4=K$5),INDEX('Mezz 1 Amortization'!$B$19:$V$379,MATCH(K$135,'Mezz 1 Amortization'!$E$19:$E$379,0),MATCH('Mezz 1 Amortization'!$R$19,'Mezz 1 Amortization'!$B$19:$V$19,0)),0),0)))</f>
        <v>0</v>
      </c>
      <c r="L138" s="427">
        <f>-IF(OR('Financing Assumptions'!$P$8="No",L$135&lt;='Financing Assumptions'!$P$26,L$135&gt;'Mezz 1 Amortization'!$T$13),0,IF('Mezz 1 Amortization'!$T$4="Monthly",INDEX('Mezz 1 Amortization'!$B$19:$V$379,MATCH(L$135,'Mezz 1 Amortization'!$E$19:$E$379,0),MATCH('Mezz 1 Amortization'!$R$19,'Mezz 1 Amortization'!$B$19:$V$19,0)),IF('Mezz 1 Amortization'!$T$4="Bi-Annual",IF(OR('Mezz 1 Amortization'!$R$4=L$5,'Mezz 1 Amortization'!$S$4=L$5),INDEX('Mezz 1 Amortization'!$B$19:$V$379,MATCH(L$135,'Mezz 1 Amortization'!$E$19:$E$379,0),MATCH('Mezz 1 Amortization'!$R$19,'Mezz 1 Amortization'!$B$19:$V$19,0)),0),0)))</f>
        <v>0</v>
      </c>
      <c r="M138" s="427">
        <f>-IF(OR('Financing Assumptions'!$P$8="No",M$135&lt;='Financing Assumptions'!$P$26,M$135&gt;'Mezz 1 Amortization'!$T$13),0,IF('Mezz 1 Amortization'!$T$4="Monthly",INDEX('Mezz 1 Amortization'!$B$19:$V$379,MATCH(M$135,'Mezz 1 Amortization'!$E$19:$E$379,0),MATCH('Mezz 1 Amortization'!$R$19,'Mezz 1 Amortization'!$B$19:$V$19,0)),IF('Mezz 1 Amortization'!$T$4="Bi-Annual",IF(OR('Mezz 1 Amortization'!$R$4=M$5,'Mezz 1 Amortization'!$S$4=M$5),INDEX('Mezz 1 Amortization'!$B$19:$V$379,MATCH(M$135,'Mezz 1 Amortization'!$E$19:$E$379,0),MATCH('Mezz 1 Amortization'!$R$19,'Mezz 1 Amortization'!$B$19:$V$19,0)),0),0)))</f>
        <v>0</v>
      </c>
      <c r="N138" s="427">
        <f>-IF(OR('Financing Assumptions'!$P$8="No",N$135&lt;='Financing Assumptions'!$P$26,N$135&gt;'Mezz 1 Amortization'!$T$13),0,IF('Mezz 1 Amortization'!$T$4="Monthly",INDEX('Mezz 1 Amortization'!$B$19:$V$379,MATCH(N$135,'Mezz 1 Amortization'!$E$19:$E$379,0),MATCH('Mezz 1 Amortization'!$R$19,'Mezz 1 Amortization'!$B$19:$V$19,0)),IF('Mezz 1 Amortization'!$T$4="Bi-Annual",IF(OR('Mezz 1 Amortization'!$R$4=N$5,'Mezz 1 Amortization'!$S$4=N$5),INDEX('Mezz 1 Amortization'!$B$19:$V$379,MATCH(N$135,'Mezz 1 Amortization'!$E$19:$E$379,0),MATCH('Mezz 1 Amortization'!$R$19,'Mezz 1 Amortization'!$B$19:$V$19,0)),0),0)))</f>
        <v>0</v>
      </c>
      <c r="O138" s="427">
        <f>-IF(OR('Financing Assumptions'!$P$8="No",O$135&lt;='Financing Assumptions'!$P$26,O$135&gt;'Mezz 1 Amortization'!$T$13),0,IF('Mezz 1 Amortization'!$T$4="Monthly",INDEX('Mezz 1 Amortization'!$B$19:$V$379,MATCH(O$135,'Mezz 1 Amortization'!$E$19:$E$379,0),MATCH('Mezz 1 Amortization'!$R$19,'Mezz 1 Amortization'!$B$19:$V$19,0)),IF('Mezz 1 Amortization'!$T$4="Bi-Annual",IF(OR('Mezz 1 Amortization'!$R$4=O$5,'Mezz 1 Amortization'!$S$4=O$5),INDEX('Mezz 1 Amortization'!$B$19:$V$379,MATCH(O$135,'Mezz 1 Amortization'!$E$19:$E$379,0),MATCH('Mezz 1 Amortization'!$R$19,'Mezz 1 Amortization'!$B$19:$V$19,0)),0),0)))</f>
        <v>0</v>
      </c>
      <c r="P138" s="427">
        <f>-IF(OR('Financing Assumptions'!$P$8="No",P$135&lt;='Financing Assumptions'!$P$26,P$135&gt;'Mezz 1 Amortization'!$T$13),0,IF('Mezz 1 Amortization'!$T$4="Monthly",INDEX('Mezz 1 Amortization'!$B$19:$V$379,MATCH(P$135,'Mezz 1 Amortization'!$E$19:$E$379,0),MATCH('Mezz 1 Amortization'!$R$19,'Mezz 1 Amortization'!$B$19:$V$19,0)),IF('Mezz 1 Amortization'!$T$4="Bi-Annual",IF(OR('Mezz 1 Amortization'!$R$4=P$5,'Mezz 1 Amortization'!$S$4=P$5),INDEX('Mezz 1 Amortization'!$B$19:$V$379,MATCH(P$135,'Mezz 1 Amortization'!$E$19:$E$379,0),MATCH('Mezz 1 Amortization'!$R$19,'Mezz 1 Amortization'!$B$19:$V$19,0)),0),0)))</f>
        <v>0</v>
      </c>
      <c r="Q138" s="427">
        <f>-IF(OR('Financing Assumptions'!$P$8="No",Q$135&lt;='Financing Assumptions'!$P$26,Q$135&gt;'Mezz 1 Amortization'!$T$13),0,IF('Mezz 1 Amortization'!$T$4="Monthly",INDEX('Mezz 1 Amortization'!$B$19:$V$379,MATCH(Q$135,'Mezz 1 Amortization'!$E$19:$E$379,0),MATCH('Mezz 1 Amortization'!$R$19,'Mezz 1 Amortization'!$B$19:$V$19,0)),IF('Mezz 1 Amortization'!$T$4="Bi-Annual",IF(OR('Mezz 1 Amortization'!$R$4=Q$5,'Mezz 1 Amortization'!$S$4=Q$5),INDEX('Mezz 1 Amortization'!$B$19:$V$379,MATCH(Q$135,'Mezz 1 Amortization'!$E$19:$E$379,0),MATCH('Mezz 1 Amortization'!$R$19,'Mezz 1 Amortization'!$B$19:$V$19,0)),0),0)))</f>
        <v>0</v>
      </c>
      <c r="R138" s="427">
        <f>-IF(OR('Financing Assumptions'!$P$8="No",R$135&lt;='Financing Assumptions'!$P$26,R$135&gt;'Mezz 1 Amortization'!$T$13),0,IF('Mezz 1 Amortization'!$T$4="Monthly",INDEX('Mezz 1 Amortization'!$B$19:$V$379,MATCH(R$135,'Mezz 1 Amortization'!$E$19:$E$379,0),MATCH('Mezz 1 Amortization'!$R$19,'Mezz 1 Amortization'!$B$19:$V$19,0)),IF('Mezz 1 Amortization'!$T$4="Bi-Annual",IF(OR('Mezz 1 Amortization'!$R$4=R$5,'Mezz 1 Amortization'!$S$4=R$5),INDEX('Mezz 1 Amortization'!$B$19:$V$379,MATCH(R$135,'Mezz 1 Amortization'!$E$19:$E$379,0),MATCH('Mezz 1 Amortization'!$R$19,'Mezz 1 Amortization'!$B$19:$V$19,0)),0),0)))</f>
        <v>0</v>
      </c>
      <c r="S138" s="427">
        <f>-IF(OR('Financing Assumptions'!$P$8="No",S$135&lt;='Financing Assumptions'!$P$26,S$135&gt;'Mezz 1 Amortization'!$T$13),0,IF('Mezz 1 Amortization'!$T$4="Monthly",INDEX('Mezz 1 Amortization'!$B$19:$V$379,MATCH(S$135,'Mezz 1 Amortization'!$E$19:$E$379,0),MATCH('Mezz 1 Amortization'!$R$19,'Mezz 1 Amortization'!$B$19:$V$19,0)),IF('Mezz 1 Amortization'!$T$4="Bi-Annual",IF(OR('Mezz 1 Amortization'!$R$4=S$5,'Mezz 1 Amortization'!$S$4=S$5),INDEX('Mezz 1 Amortization'!$B$19:$V$379,MATCH(S$135,'Mezz 1 Amortization'!$E$19:$E$379,0),MATCH('Mezz 1 Amortization'!$R$19,'Mezz 1 Amortization'!$B$19:$V$19,0)),0),0)))</f>
        <v>0</v>
      </c>
      <c r="T138" s="427">
        <f>-IF(OR('Financing Assumptions'!$P$8="No",T$135&lt;='Financing Assumptions'!$P$26,T$135&gt;'Mezz 1 Amortization'!$T$13),0,IF('Mezz 1 Amortization'!$T$4="Monthly",INDEX('Mezz 1 Amortization'!$B$19:$V$379,MATCH(T$135,'Mezz 1 Amortization'!$E$19:$E$379,0),MATCH('Mezz 1 Amortization'!$R$19,'Mezz 1 Amortization'!$B$19:$V$19,0)),IF('Mezz 1 Amortization'!$T$4="Bi-Annual",IF(OR('Mezz 1 Amortization'!$R$4=T$5,'Mezz 1 Amortization'!$S$4=T$5),INDEX('Mezz 1 Amortization'!$B$19:$V$379,MATCH(T$135,'Mezz 1 Amortization'!$E$19:$E$379,0),MATCH('Mezz 1 Amortization'!$R$19,'Mezz 1 Amortization'!$B$19:$V$19,0)),0),0)))</f>
        <v>0</v>
      </c>
      <c r="U138" s="427">
        <f>-IF(OR('Financing Assumptions'!$P$8="No",U$135&lt;='Financing Assumptions'!$P$26,U$135&gt;'Mezz 1 Amortization'!$T$13),0,IF('Mezz 1 Amortization'!$T$4="Monthly",INDEX('Mezz 1 Amortization'!$B$19:$V$379,MATCH(U$135,'Mezz 1 Amortization'!$E$19:$E$379,0),MATCH('Mezz 1 Amortization'!$R$19,'Mezz 1 Amortization'!$B$19:$V$19,0)),IF('Mezz 1 Amortization'!$T$4="Bi-Annual",IF(OR('Mezz 1 Amortization'!$R$4=U$5,'Mezz 1 Amortization'!$S$4=U$5),INDEX('Mezz 1 Amortization'!$B$19:$V$379,MATCH(U$135,'Mezz 1 Amortization'!$E$19:$E$379,0),MATCH('Mezz 1 Amortization'!$R$19,'Mezz 1 Amortization'!$B$19:$V$19,0)),0),0)))</f>
        <v>0</v>
      </c>
      <c r="V138" s="427">
        <f>-IF(OR('Financing Assumptions'!$P$8="No",V$135&lt;='Financing Assumptions'!$P$26,V$135&gt;'Mezz 1 Amortization'!$T$13),0,IF('Mezz 1 Amortization'!$T$4="Monthly",INDEX('Mezz 1 Amortization'!$B$19:$V$379,MATCH(V$135,'Mezz 1 Amortization'!$E$19:$E$379,0),MATCH('Mezz 1 Amortization'!$R$19,'Mezz 1 Amortization'!$B$19:$V$19,0)),IF('Mezz 1 Amortization'!$T$4="Bi-Annual",IF(OR('Mezz 1 Amortization'!$R$4=V$5,'Mezz 1 Amortization'!$S$4=V$5),INDEX('Mezz 1 Amortization'!$B$19:$V$379,MATCH(V$135,'Mezz 1 Amortization'!$E$19:$E$379,0),MATCH('Mezz 1 Amortization'!$R$19,'Mezz 1 Amortization'!$B$19:$V$19,0)),0),0)))</f>
        <v>0</v>
      </c>
      <c r="W138" s="427">
        <f>-IF(OR('Financing Assumptions'!$P$8="No",W$135&lt;='Financing Assumptions'!$P$26,W$135&gt;'Mezz 1 Amortization'!$T$13),0,IF('Mezz 1 Amortization'!$T$4="Monthly",INDEX('Mezz 1 Amortization'!$B$19:$V$379,MATCH(W$135,'Mezz 1 Amortization'!$E$19:$E$379,0),MATCH('Mezz 1 Amortization'!$R$19,'Mezz 1 Amortization'!$B$19:$V$19,0)),IF('Mezz 1 Amortization'!$T$4="Bi-Annual",IF(OR('Mezz 1 Amortization'!$R$4=W$5,'Mezz 1 Amortization'!$S$4=W$5),INDEX('Mezz 1 Amortization'!$B$19:$V$379,MATCH(W$135,'Mezz 1 Amortization'!$E$19:$E$379,0),MATCH('Mezz 1 Amortization'!$R$19,'Mezz 1 Amortization'!$B$19:$V$19,0)),0),0)))</f>
        <v>0</v>
      </c>
      <c r="X138" s="427">
        <f>-IF(OR('Financing Assumptions'!$P$8="No",X$135&lt;='Financing Assumptions'!$P$26,X$135&gt;'Mezz 1 Amortization'!$T$13),0,IF('Mezz 1 Amortization'!$T$4="Monthly",INDEX('Mezz 1 Amortization'!$B$19:$V$379,MATCH(X$135,'Mezz 1 Amortization'!$E$19:$E$379,0),MATCH('Mezz 1 Amortization'!$R$19,'Mezz 1 Amortization'!$B$19:$V$19,0)),IF('Mezz 1 Amortization'!$T$4="Bi-Annual",IF(OR('Mezz 1 Amortization'!$R$4=X$5,'Mezz 1 Amortization'!$S$4=X$5),INDEX('Mezz 1 Amortization'!$B$19:$V$379,MATCH(X$135,'Mezz 1 Amortization'!$E$19:$E$379,0),MATCH('Mezz 1 Amortization'!$R$19,'Mezz 1 Amortization'!$B$19:$V$19,0)),0),0)))</f>
        <v>0</v>
      </c>
      <c r="Y138" s="427">
        <f>-IF(OR('Financing Assumptions'!$P$8="No",Y$135&lt;='Financing Assumptions'!$P$26,Y$135&gt;'Mezz 1 Amortization'!$T$13),0,IF('Mezz 1 Amortization'!$T$4="Monthly",INDEX('Mezz 1 Amortization'!$B$19:$V$379,MATCH(Y$135,'Mezz 1 Amortization'!$E$19:$E$379,0),MATCH('Mezz 1 Amortization'!$R$19,'Mezz 1 Amortization'!$B$19:$V$19,0)),IF('Mezz 1 Amortization'!$T$4="Bi-Annual",IF(OR('Mezz 1 Amortization'!$R$4=Y$5,'Mezz 1 Amortization'!$S$4=Y$5),INDEX('Mezz 1 Amortization'!$B$19:$V$379,MATCH(Y$135,'Mezz 1 Amortization'!$E$19:$E$379,0),MATCH('Mezz 1 Amortization'!$R$19,'Mezz 1 Amortization'!$B$19:$V$19,0)),0),0)))</f>
        <v>0</v>
      </c>
      <c r="Z138" s="427">
        <f>-IF(OR('Financing Assumptions'!$P$8="No",Z$135&lt;='Financing Assumptions'!$P$26,Z$135&gt;'Mezz 1 Amortization'!$T$13),0,IF('Mezz 1 Amortization'!$T$4="Monthly",INDEX('Mezz 1 Amortization'!$B$19:$V$379,MATCH(Z$135,'Mezz 1 Amortization'!$E$19:$E$379,0),MATCH('Mezz 1 Amortization'!$R$19,'Mezz 1 Amortization'!$B$19:$V$19,0)),IF('Mezz 1 Amortization'!$T$4="Bi-Annual",IF(OR('Mezz 1 Amortization'!$R$4=Z$5,'Mezz 1 Amortization'!$S$4=Z$5),INDEX('Mezz 1 Amortization'!$B$19:$V$379,MATCH(Z$135,'Mezz 1 Amortization'!$E$19:$E$379,0),MATCH('Mezz 1 Amortization'!$R$19,'Mezz 1 Amortization'!$B$19:$V$19,0)),0),0)))</f>
        <v>0</v>
      </c>
      <c r="AA138" s="427">
        <f>-IF(OR('Financing Assumptions'!$P$8="No",AA$135&lt;='Financing Assumptions'!$P$26,AA$135&gt;'Mezz 1 Amortization'!$T$13),0,IF('Mezz 1 Amortization'!$T$4="Monthly",INDEX('Mezz 1 Amortization'!$B$19:$V$379,MATCH(AA$135,'Mezz 1 Amortization'!$E$19:$E$379,0),MATCH('Mezz 1 Amortization'!$R$19,'Mezz 1 Amortization'!$B$19:$V$19,0)),IF('Mezz 1 Amortization'!$T$4="Bi-Annual",IF(OR('Mezz 1 Amortization'!$R$4=AA$5,'Mezz 1 Amortization'!$S$4=AA$5),INDEX('Mezz 1 Amortization'!$B$19:$V$379,MATCH(AA$135,'Mezz 1 Amortization'!$E$19:$E$379,0),MATCH('Mezz 1 Amortization'!$R$19,'Mezz 1 Amortization'!$B$19:$V$19,0)),0),0)))</f>
        <v>0</v>
      </c>
      <c r="AB138" s="427">
        <f>-IF(OR('Financing Assumptions'!$P$8="No",AB$135&lt;='Financing Assumptions'!$P$26,AB$135&gt;'Mezz 1 Amortization'!$T$13),0,IF('Mezz 1 Amortization'!$T$4="Monthly",INDEX('Mezz 1 Amortization'!$B$19:$V$379,MATCH(AB$135,'Mezz 1 Amortization'!$E$19:$E$379,0),MATCH('Mezz 1 Amortization'!$R$19,'Mezz 1 Amortization'!$B$19:$V$19,0)),IF('Mezz 1 Amortization'!$T$4="Bi-Annual",IF(OR('Mezz 1 Amortization'!$R$4=AB$5,'Mezz 1 Amortization'!$S$4=AB$5),INDEX('Mezz 1 Amortization'!$B$19:$V$379,MATCH(AB$135,'Mezz 1 Amortization'!$E$19:$E$379,0),MATCH('Mezz 1 Amortization'!$R$19,'Mezz 1 Amortization'!$B$19:$V$19,0)),0),0)))</f>
        <v>0</v>
      </c>
      <c r="AC138" s="427">
        <f>-IF(OR('Financing Assumptions'!$P$8="No",AC$135&lt;='Financing Assumptions'!$P$26,AC$135&gt;'Mezz 1 Amortization'!$T$13),0,IF('Mezz 1 Amortization'!$T$4="Monthly",INDEX('Mezz 1 Amortization'!$B$19:$V$379,MATCH(AC$135,'Mezz 1 Amortization'!$E$19:$E$379,0),MATCH('Mezz 1 Amortization'!$R$19,'Mezz 1 Amortization'!$B$19:$V$19,0)),IF('Mezz 1 Amortization'!$T$4="Bi-Annual",IF(OR('Mezz 1 Amortization'!$R$4=AC$5,'Mezz 1 Amortization'!$S$4=AC$5),INDEX('Mezz 1 Amortization'!$B$19:$V$379,MATCH(AC$135,'Mezz 1 Amortization'!$E$19:$E$379,0),MATCH('Mezz 1 Amortization'!$R$19,'Mezz 1 Amortization'!$B$19:$V$19,0)),0),0)))</f>
        <v>0</v>
      </c>
      <c r="AD138" s="427">
        <f>-IF(OR('Financing Assumptions'!$P$8="No",AD$135&lt;='Financing Assumptions'!$P$26,AD$135&gt;'Mezz 1 Amortization'!$T$13),0,IF('Mezz 1 Amortization'!$T$4="Monthly",INDEX('Mezz 1 Amortization'!$B$19:$V$379,MATCH(AD$135,'Mezz 1 Amortization'!$E$19:$E$379,0),MATCH('Mezz 1 Amortization'!$R$19,'Mezz 1 Amortization'!$B$19:$V$19,0)),IF('Mezz 1 Amortization'!$T$4="Bi-Annual",IF(OR('Mezz 1 Amortization'!$R$4=AD$5,'Mezz 1 Amortization'!$S$4=AD$5),INDEX('Mezz 1 Amortization'!$B$19:$V$379,MATCH(AD$135,'Mezz 1 Amortization'!$E$19:$E$379,0),MATCH('Mezz 1 Amortization'!$R$19,'Mezz 1 Amortization'!$B$19:$V$19,0)),0),0)))</f>
        <v>0</v>
      </c>
      <c r="AE138" s="427">
        <f>-IF(OR('Financing Assumptions'!$P$8="No",AE$135&lt;='Financing Assumptions'!$P$26,AE$135&gt;'Mezz 1 Amortization'!$T$13),0,IF('Mezz 1 Amortization'!$T$4="Monthly",INDEX('Mezz 1 Amortization'!$B$19:$V$379,MATCH(AE$135,'Mezz 1 Amortization'!$E$19:$E$379,0),MATCH('Mezz 1 Amortization'!$R$19,'Mezz 1 Amortization'!$B$19:$V$19,0)),IF('Mezz 1 Amortization'!$T$4="Bi-Annual",IF(OR('Mezz 1 Amortization'!$R$4=AE$5,'Mezz 1 Amortization'!$S$4=AE$5),INDEX('Mezz 1 Amortization'!$B$19:$V$379,MATCH(AE$135,'Mezz 1 Amortization'!$E$19:$E$379,0),MATCH('Mezz 1 Amortization'!$R$19,'Mezz 1 Amortization'!$B$19:$V$19,0)),0),0)))</f>
        <v>0</v>
      </c>
      <c r="AF138" s="427">
        <f>-IF(OR('Financing Assumptions'!$P$8="No",AF$135&lt;='Financing Assumptions'!$P$26,AF$135&gt;'Mezz 1 Amortization'!$T$13),0,IF('Mezz 1 Amortization'!$T$4="Monthly",INDEX('Mezz 1 Amortization'!$B$19:$V$379,MATCH(AF$135,'Mezz 1 Amortization'!$E$19:$E$379,0),MATCH('Mezz 1 Amortization'!$R$19,'Mezz 1 Amortization'!$B$19:$V$19,0)),IF('Mezz 1 Amortization'!$T$4="Bi-Annual",IF(OR('Mezz 1 Amortization'!$R$4=AF$5,'Mezz 1 Amortization'!$S$4=AF$5),INDEX('Mezz 1 Amortization'!$B$19:$V$379,MATCH(AF$135,'Mezz 1 Amortization'!$E$19:$E$379,0),MATCH('Mezz 1 Amortization'!$R$19,'Mezz 1 Amortization'!$B$19:$V$19,0)),0),0)))</f>
        <v>0</v>
      </c>
      <c r="AG138" s="427">
        <f>-IF(OR('Financing Assumptions'!$P$8="No",AG$135&lt;='Financing Assumptions'!$P$26,AG$135&gt;'Mezz 1 Amortization'!$T$13),0,IF('Mezz 1 Amortization'!$T$4="Monthly",INDEX('Mezz 1 Amortization'!$B$19:$V$379,MATCH(AG$135,'Mezz 1 Amortization'!$E$19:$E$379,0),MATCH('Mezz 1 Amortization'!$R$19,'Mezz 1 Amortization'!$B$19:$V$19,0)),IF('Mezz 1 Amortization'!$T$4="Bi-Annual",IF(OR('Mezz 1 Amortization'!$R$4=AG$5,'Mezz 1 Amortization'!$S$4=AG$5),INDEX('Mezz 1 Amortization'!$B$19:$V$379,MATCH(AG$135,'Mezz 1 Amortization'!$E$19:$E$379,0),MATCH('Mezz 1 Amortization'!$R$19,'Mezz 1 Amortization'!$B$19:$V$19,0)),0),0)))</f>
        <v>0</v>
      </c>
      <c r="AH138" s="427">
        <f>-IF(OR('Financing Assumptions'!$P$8="No",AH$135&lt;='Financing Assumptions'!$P$26,AH$135&gt;'Mezz 1 Amortization'!$T$13),0,IF('Mezz 1 Amortization'!$T$4="Monthly",INDEX('Mezz 1 Amortization'!$B$19:$V$379,MATCH(AH$135,'Mezz 1 Amortization'!$E$19:$E$379,0),MATCH('Mezz 1 Amortization'!$R$19,'Mezz 1 Amortization'!$B$19:$V$19,0)),IF('Mezz 1 Amortization'!$T$4="Bi-Annual",IF(OR('Mezz 1 Amortization'!$R$4=AH$5,'Mezz 1 Amortization'!$S$4=AH$5),INDEX('Mezz 1 Amortization'!$B$19:$V$379,MATCH(AH$135,'Mezz 1 Amortization'!$E$19:$E$379,0),MATCH('Mezz 1 Amortization'!$R$19,'Mezz 1 Amortization'!$B$19:$V$19,0)),0),0)))</f>
        <v>0</v>
      </c>
      <c r="AI138" s="427">
        <f>-IF(OR('Financing Assumptions'!$P$8="No",AI$135&lt;='Financing Assumptions'!$P$26,AI$135&gt;'Mezz 1 Amortization'!$T$13),0,IF('Mezz 1 Amortization'!$T$4="Monthly",INDEX('Mezz 1 Amortization'!$B$19:$V$379,MATCH(AI$135,'Mezz 1 Amortization'!$E$19:$E$379,0),MATCH('Mezz 1 Amortization'!$R$19,'Mezz 1 Amortization'!$B$19:$V$19,0)),IF('Mezz 1 Amortization'!$T$4="Bi-Annual",IF(OR('Mezz 1 Amortization'!$R$4=AI$5,'Mezz 1 Amortization'!$S$4=AI$5),INDEX('Mezz 1 Amortization'!$B$19:$V$379,MATCH(AI$135,'Mezz 1 Amortization'!$E$19:$E$379,0),MATCH('Mezz 1 Amortization'!$R$19,'Mezz 1 Amortization'!$B$19:$V$19,0)),0),0)))</f>
        <v>0</v>
      </c>
      <c r="AJ138" s="427">
        <f>-IF(OR('Financing Assumptions'!$P$8="No",AJ$135&lt;='Financing Assumptions'!$P$26,AJ$135&gt;'Mezz 1 Amortization'!$T$13),0,IF('Mezz 1 Amortization'!$T$4="Monthly",INDEX('Mezz 1 Amortization'!$B$19:$V$379,MATCH(AJ$135,'Mezz 1 Amortization'!$E$19:$E$379,0),MATCH('Mezz 1 Amortization'!$R$19,'Mezz 1 Amortization'!$B$19:$V$19,0)),IF('Mezz 1 Amortization'!$T$4="Bi-Annual",IF(OR('Mezz 1 Amortization'!$R$4=AJ$5,'Mezz 1 Amortization'!$S$4=AJ$5),INDEX('Mezz 1 Amortization'!$B$19:$V$379,MATCH(AJ$135,'Mezz 1 Amortization'!$E$19:$E$379,0),MATCH('Mezz 1 Amortization'!$R$19,'Mezz 1 Amortization'!$B$19:$V$19,0)),0),0)))</f>
        <v>0</v>
      </c>
      <c r="AK138" s="427">
        <f>-IF(OR('Financing Assumptions'!$P$8="No",AK$135&lt;='Financing Assumptions'!$P$26,AK$135&gt;'Mezz 1 Amortization'!$T$13),0,IF('Mezz 1 Amortization'!$T$4="Monthly",INDEX('Mezz 1 Amortization'!$B$19:$V$379,MATCH(AK$135,'Mezz 1 Amortization'!$E$19:$E$379,0),MATCH('Mezz 1 Amortization'!$R$19,'Mezz 1 Amortization'!$B$19:$V$19,0)),IF('Mezz 1 Amortization'!$T$4="Bi-Annual",IF(OR('Mezz 1 Amortization'!$R$4=AK$5,'Mezz 1 Amortization'!$S$4=AK$5),INDEX('Mezz 1 Amortization'!$B$19:$V$379,MATCH(AK$135,'Mezz 1 Amortization'!$E$19:$E$379,0),MATCH('Mezz 1 Amortization'!$R$19,'Mezz 1 Amortization'!$B$19:$V$19,0)),0),0)))</f>
        <v>0</v>
      </c>
      <c r="AL138" s="427">
        <f>-IF(OR('Financing Assumptions'!$P$8="No",AL$135&lt;='Financing Assumptions'!$P$26,AL$135&gt;'Mezz 1 Amortization'!$T$13),0,IF('Mezz 1 Amortization'!$T$4="Monthly",INDEX('Mezz 1 Amortization'!$B$19:$V$379,MATCH(AL$135,'Mezz 1 Amortization'!$E$19:$E$379,0),MATCH('Mezz 1 Amortization'!$R$19,'Mezz 1 Amortization'!$B$19:$V$19,0)),IF('Mezz 1 Amortization'!$T$4="Bi-Annual",IF(OR('Mezz 1 Amortization'!$R$4=AL$5,'Mezz 1 Amortization'!$S$4=AL$5),INDEX('Mezz 1 Amortization'!$B$19:$V$379,MATCH(AL$135,'Mezz 1 Amortization'!$E$19:$E$379,0),MATCH('Mezz 1 Amortization'!$R$19,'Mezz 1 Amortization'!$B$19:$V$19,0)),0),0)))</f>
        <v>0</v>
      </c>
      <c r="AM138" s="427">
        <f>-IF(OR('Financing Assumptions'!$P$8="No",AM$135&lt;='Financing Assumptions'!$P$26,AM$135&gt;'Mezz 1 Amortization'!$T$13),0,IF('Mezz 1 Amortization'!$T$4="Monthly",INDEX('Mezz 1 Amortization'!$B$19:$V$379,MATCH(AM$135,'Mezz 1 Amortization'!$E$19:$E$379,0),MATCH('Mezz 1 Amortization'!$R$19,'Mezz 1 Amortization'!$B$19:$V$19,0)),IF('Mezz 1 Amortization'!$T$4="Bi-Annual",IF(OR('Mezz 1 Amortization'!$R$4=AM$5,'Mezz 1 Amortization'!$S$4=AM$5),INDEX('Mezz 1 Amortization'!$B$19:$V$379,MATCH(AM$135,'Mezz 1 Amortization'!$E$19:$E$379,0),MATCH('Mezz 1 Amortization'!$R$19,'Mezz 1 Amortization'!$B$19:$V$19,0)),0),0)))</f>
        <v>0</v>
      </c>
      <c r="AN138" s="427">
        <f>-IF(OR('Financing Assumptions'!$P$8="No",AN$135&lt;='Financing Assumptions'!$P$26,AN$135&gt;'Mezz 1 Amortization'!$T$13),0,IF('Mezz 1 Amortization'!$T$4="Monthly",INDEX('Mezz 1 Amortization'!$B$19:$V$379,MATCH(AN$135,'Mezz 1 Amortization'!$E$19:$E$379,0),MATCH('Mezz 1 Amortization'!$R$19,'Mezz 1 Amortization'!$B$19:$V$19,0)),IF('Mezz 1 Amortization'!$T$4="Bi-Annual",IF(OR('Mezz 1 Amortization'!$R$4=AN$5,'Mezz 1 Amortization'!$S$4=AN$5),INDEX('Mezz 1 Amortization'!$B$19:$V$379,MATCH(AN$135,'Mezz 1 Amortization'!$E$19:$E$379,0),MATCH('Mezz 1 Amortization'!$R$19,'Mezz 1 Amortization'!$B$19:$V$19,0)),0),0)))</f>
        <v>0</v>
      </c>
      <c r="AO138" s="427">
        <f>-IF(OR('Financing Assumptions'!$P$8="No",AO$135&lt;='Financing Assumptions'!$P$26,AO$135&gt;'Mezz 1 Amortization'!$T$13),0,IF('Mezz 1 Amortization'!$T$4="Monthly",INDEX('Mezz 1 Amortization'!$B$19:$V$379,MATCH(AO$135,'Mezz 1 Amortization'!$E$19:$E$379,0),MATCH('Mezz 1 Amortization'!$R$19,'Mezz 1 Amortization'!$B$19:$V$19,0)),IF('Mezz 1 Amortization'!$T$4="Bi-Annual",IF(OR('Mezz 1 Amortization'!$R$4=AO$5,'Mezz 1 Amortization'!$S$4=AO$5),INDEX('Mezz 1 Amortization'!$B$19:$V$379,MATCH(AO$135,'Mezz 1 Amortization'!$E$19:$E$379,0),MATCH('Mezz 1 Amortization'!$R$19,'Mezz 1 Amortization'!$B$19:$V$19,0)),0),0)))</f>
        <v>0</v>
      </c>
      <c r="AP138" s="427">
        <f>-IF(OR('Financing Assumptions'!$P$8="No",AP$135&lt;='Financing Assumptions'!$P$26,AP$135&gt;'Mezz 1 Amortization'!$T$13),0,IF('Mezz 1 Amortization'!$T$4="Monthly",INDEX('Mezz 1 Amortization'!$B$19:$V$379,MATCH(AP$135,'Mezz 1 Amortization'!$E$19:$E$379,0),MATCH('Mezz 1 Amortization'!$R$19,'Mezz 1 Amortization'!$B$19:$V$19,0)),IF('Mezz 1 Amortization'!$T$4="Bi-Annual",IF(OR('Mezz 1 Amortization'!$R$4=AP$5,'Mezz 1 Amortization'!$S$4=AP$5),INDEX('Mezz 1 Amortization'!$B$19:$V$379,MATCH(AP$135,'Mezz 1 Amortization'!$E$19:$E$379,0),MATCH('Mezz 1 Amortization'!$R$19,'Mezz 1 Amortization'!$B$19:$V$19,0)),0),0)))</f>
        <v>0</v>
      </c>
      <c r="AQ138" s="427">
        <f>-IF(OR('Financing Assumptions'!$P$8="No",AQ$135&lt;='Financing Assumptions'!$P$26,AQ$135&gt;'Mezz 1 Amortization'!$T$13),0,IF('Mezz 1 Amortization'!$T$4="Monthly",INDEX('Mezz 1 Amortization'!$B$19:$V$379,MATCH(AQ$135,'Mezz 1 Amortization'!$E$19:$E$379,0),MATCH('Mezz 1 Amortization'!$R$19,'Mezz 1 Amortization'!$B$19:$V$19,0)),IF('Mezz 1 Amortization'!$T$4="Bi-Annual",IF(OR('Mezz 1 Amortization'!$R$4=AQ$5,'Mezz 1 Amortization'!$S$4=AQ$5),INDEX('Mezz 1 Amortization'!$B$19:$V$379,MATCH(AQ$135,'Mezz 1 Amortization'!$E$19:$E$379,0),MATCH('Mezz 1 Amortization'!$R$19,'Mezz 1 Amortization'!$B$19:$V$19,0)),0),0)))</f>
        <v>0</v>
      </c>
      <c r="AR138" s="427">
        <f>-IF(OR('Financing Assumptions'!$P$8="No",AR$135&lt;='Financing Assumptions'!$P$26,AR$135&gt;'Mezz 1 Amortization'!$T$13),0,IF('Mezz 1 Amortization'!$T$4="Monthly",INDEX('Mezz 1 Amortization'!$B$19:$V$379,MATCH(AR$135,'Mezz 1 Amortization'!$E$19:$E$379,0),MATCH('Mezz 1 Amortization'!$R$19,'Mezz 1 Amortization'!$B$19:$V$19,0)),IF('Mezz 1 Amortization'!$T$4="Bi-Annual",IF(OR('Mezz 1 Amortization'!$R$4=AR$5,'Mezz 1 Amortization'!$S$4=AR$5),INDEX('Mezz 1 Amortization'!$B$19:$V$379,MATCH(AR$135,'Mezz 1 Amortization'!$E$19:$E$379,0),MATCH('Mezz 1 Amortization'!$R$19,'Mezz 1 Amortization'!$B$19:$V$19,0)),0),0)))</f>
        <v>0</v>
      </c>
      <c r="AS138" s="427">
        <f>-IF(OR('Financing Assumptions'!$P$8="No",AS$135&lt;='Financing Assumptions'!$P$26,AS$135&gt;'Mezz 1 Amortization'!$T$13),0,IF('Mezz 1 Amortization'!$T$4="Monthly",INDEX('Mezz 1 Amortization'!$B$19:$V$379,MATCH(AS$135,'Mezz 1 Amortization'!$E$19:$E$379,0),MATCH('Mezz 1 Amortization'!$R$19,'Mezz 1 Amortization'!$B$19:$V$19,0)),IF('Mezz 1 Amortization'!$T$4="Bi-Annual",IF(OR('Mezz 1 Amortization'!$R$4=AS$5,'Mezz 1 Amortization'!$S$4=AS$5),INDEX('Mezz 1 Amortization'!$B$19:$V$379,MATCH(AS$135,'Mezz 1 Amortization'!$E$19:$E$379,0),MATCH('Mezz 1 Amortization'!$R$19,'Mezz 1 Amortization'!$B$19:$V$19,0)),0),0)))</f>
        <v>0</v>
      </c>
      <c r="AT138" s="427">
        <f>-IF(OR('Financing Assumptions'!$P$8="No",AT$135&lt;='Financing Assumptions'!$P$26,AT$135&gt;'Mezz 1 Amortization'!$T$13),0,IF('Mezz 1 Amortization'!$T$4="Monthly",INDEX('Mezz 1 Amortization'!$B$19:$V$379,MATCH(AT$135,'Mezz 1 Amortization'!$E$19:$E$379,0),MATCH('Mezz 1 Amortization'!$R$19,'Mezz 1 Amortization'!$B$19:$V$19,0)),IF('Mezz 1 Amortization'!$T$4="Bi-Annual",IF(OR('Mezz 1 Amortization'!$R$4=AT$5,'Mezz 1 Amortization'!$S$4=AT$5),INDEX('Mezz 1 Amortization'!$B$19:$V$379,MATCH(AT$135,'Mezz 1 Amortization'!$E$19:$E$379,0),MATCH('Mezz 1 Amortization'!$R$19,'Mezz 1 Amortization'!$B$19:$V$19,0)),0),0)))</f>
        <v>0</v>
      </c>
      <c r="AU138" s="427">
        <f>-IF(OR('Financing Assumptions'!$P$8="No",AU$135&lt;='Financing Assumptions'!$P$26,AU$135&gt;'Mezz 1 Amortization'!$T$13),0,IF('Mezz 1 Amortization'!$T$4="Monthly",INDEX('Mezz 1 Amortization'!$B$19:$V$379,MATCH(AU$135,'Mezz 1 Amortization'!$E$19:$E$379,0),MATCH('Mezz 1 Amortization'!$R$19,'Mezz 1 Amortization'!$B$19:$V$19,0)),IF('Mezz 1 Amortization'!$T$4="Bi-Annual",IF(OR('Mezz 1 Amortization'!$R$4=AU$5,'Mezz 1 Amortization'!$S$4=AU$5),INDEX('Mezz 1 Amortization'!$B$19:$V$379,MATCH(AU$135,'Mezz 1 Amortization'!$E$19:$E$379,0),MATCH('Mezz 1 Amortization'!$R$19,'Mezz 1 Amortization'!$B$19:$V$19,0)),0),0)))</f>
        <v>0</v>
      </c>
      <c r="AV138" s="427">
        <f>-IF(OR('Financing Assumptions'!$P$8="No",AV$135&lt;='Financing Assumptions'!$P$26,AV$135&gt;'Mezz 1 Amortization'!$T$13),0,IF('Mezz 1 Amortization'!$T$4="Monthly",INDEX('Mezz 1 Amortization'!$B$19:$V$379,MATCH(AV$135,'Mezz 1 Amortization'!$E$19:$E$379,0),MATCH('Mezz 1 Amortization'!$R$19,'Mezz 1 Amortization'!$B$19:$V$19,0)),IF('Mezz 1 Amortization'!$T$4="Bi-Annual",IF(OR('Mezz 1 Amortization'!$R$4=AV$5,'Mezz 1 Amortization'!$S$4=AV$5),INDEX('Mezz 1 Amortization'!$B$19:$V$379,MATCH(AV$135,'Mezz 1 Amortization'!$E$19:$E$379,0),MATCH('Mezz 1 Amortization'!$R$19,'Mezz 1 Amortization'!$B$19:$V$19,0)),0),0)))</f>
        <v>0</v>
      </c>
      <c r="AW138" s="427">
        <f>-IF(OR('Financing Assumptions'!$P$8="No",AW$135&lt;='Financing Assumptions'!$P$26,AW$135&gt;'Mezz 1 Amortization'!$T$13),0,IF('Mezz 1 Amortization'!$T$4="Monthly",INDEX('Mezz 1 Amortization'!$B$19:$V$379,MATCH(AW$135,'Mezz 1 Amortization'!$E$19:$E$379,0),MATCH('Mezz 1 Amortization'!$R$19,'Mezz 1 Amortization'!$B$19:$V$19,0)),IF('Mezz 1 Amortization'!$T$4="Bi-Annual",IF(OR('Mezz 1 Amortization'!$R$4=AW$5,'Mezz 1 Amortization'!$S$4=AW$5),INDEX('Mezz 1 Amortization'!$B$19:$V$379,MATCH(AW$135,'Mezz 1 Amortization'!$E$19:$E$379,0),MATCH('Mezz 1 Amortization'!$R$19,'Mezz 1 Amortization'!$B$19:$V$19,0)),0),0)))</f>
        <v>0</v>
      </c>
      <c r="AX138" s="427">
        <f>-IF(OR('Financing Assumptions'!$P$8="No",AX$135&lt;='Financing Assumptions'!$P$26,AX$135&gt;'Mezz 1 Amortization'!$T$13),0,IF('Mezz 1 Amortization'!$T$4="Monthly",INDEX('Mezz 1 Amortization'!$B$19:$V$379,MATCH(AX$135,'Mezz 1 Amortization'!$E$19:$E$379,0),MATCH('Mezz 1 Amortization'!$R$19,'Mezz 1 Amortization'!$B$19:$V$19,0)),IF('Mezz 1 Amortization'!$T$4="Bi-Annual",IF(OR('Mezz 1 Amortization'!$R$4=AX$5,'Mezz 1 Amortization'!$S$4=AX$5),INDEX('Mezz 1 Amortization'!$B$19:$V$379,MATCH(AX$135,'Mezz 1 Amortization'!$E$19:$E$379,0),MATCH('Mezz 1 Amortization'!$R$19,'Mezz 1 Amortization'!$B$19:$V$19,0)),0),0)))</f>
        <v>0</v>
      </c>
      <c r="AY138" s="427">
        <f>-IF(OR('Financing Assumptions'!$P$8="No",AY$135&lt;='Financing Assumptions'!$P$26,AY$135&gt;'Mezz 1 Amortization'!$T$13),0,IF('Mezz 1 Amortization'!$T$4="Monthly",INDEX('Mezz 1 Amortization'!$B$19:$V$379,MATCH(AY$135,'Mezz 1 Amortization'!$E$19:$E$379,0),MATCH('Mezz 1 Amortization'!$R$19,'Mezz 1 Amortization'!$B$19:$V$19,0)),IF('Mezz 1 Amortization'!$T$4="Bi-Annual",IF(OR('Mezz 1 Amortization'!$R$4=AY$5,'Mezz 1 Amortization'!$S$4=AY$5),INDEX('Mezz 1 Amortization'!$B$19:$V$379,MATCH(AY$135,'Mezz 1 Amortization'!$E$19:$E$379,0),MATCH('Mezz 1 Amortization'!$R$19,'Mezz 1 Amortization'!$B$19:$V$19,0)),0),0)))</f>
        <v>0</v>
      </c>
      <c r="AZ138" s="427">
        <f>-IF(OR('Financing Assumptions'!$P$8="No",AZ$135&lt;='Financing Assumptions'!$P$26,AZ$135&gt;'Mezz 1 Amortization'!$T$13),0,IF('Mezz 1 Amortization'!$T$4="Monthly",INDEX('Mezz 1 Amortization'!$B$19:$V$379,MATCH(AZ$135,'Mezz 1 Amortization'!$E$19:$E$379,0),MATCH('Mezz 1 Amortization'!$R$19,'Mezz 1 Amortization'!$B$19:$V$19,0)),IF('Mezz 1 Amortization'!$T$4="Bi-Annual",IF(OR('Mezz 1 Amortization'!$R$4=AZ$5,'Mezz 1 Amortization'!$S$4=AZ$5),INDEX('Mezz 1 Amortization'!$B$19:$V$379,MATCH(AZ$135,'Mezz 1 Amortization'!$E$19:$E$379,0),MATCH('Mezz 1 Amortization'!$R$19,'Mezz 1 Amortization'!$B$19:$V$19,0)),0),0)))</f>
        <v>0</v>
      </c>
      <c r="BA138" s="427">
        <f>-IF(OR('Financing Assumptions'!$P$8="No",BA$135&lt;='Financing Assumptions'!$P$26,BA$135&gt;'Mezz 1 Amortization'!$T$13),0,IF('Mezz 1 Amortization'!$T$4="Monthly",INDEX('Mezz 1 Amortization'!$B$19:$V$379,MATCH(BA$135,'Mezz 1 Amortization'!$E$19:$E$379,0),MATCH('Mezz 1 Amortization'!$R$19,'Mezz 1 Amortization'!$B$19:$V$19,0)),IF('Mezz 1 Amortization'!$T$4="Bi-Annual",IF(OR('Mezz 1 Amortization'!$R$4=BA$5,'Mezz 1 Amortization'!$S$4=BA$5),INDEX('Mezz 1 Amortization'!$B$19:$V$379,MATCH(BA$135,'Mezz 1 Amortization'!$E$19:$E$379,0),MATCH('Mezz 1 Amortization'!$R$19,'Mezz 1 Amortization'!$B$19:$V$19,0)),0),0)))</f>
        <v>0</v>
      </c>
      <c r="BB138" s="427">
        <f>-IF(OR('Financing Assumptions'!$P$8="No",BB$135&lt;='Financing Assumptions'!$P$26,BB$135&gt;'Mezz 1 Amortization'!$T$13),0,IF('Mezz 1 Amortization'!$T$4="Monthly",INDEX('Mezz 1 Amortization'!$B$19:$V$379,MATCH(BB$135,'Mezz 1 Amortization'!$E$19:$E$379,0),MATCH('Mezz 1 Amortization'!$R$19,'Mezz 1 Amortization'!$B$19:$V$19,0)),IF('Mezz 1 Amortization'!$T$4="Bi-Annual",IF(OR('Mezz 1 Amortization'!$R$4=BB$5,'Mezz 1 Amortization'!$S$4=BB$5),INDEX('Mezz 1 Amortization'!$B$19:$V$379,MATCH(BB$135,'Mezz 1 Amortization'!$E$19:$E$379,0),MATCH('Mezz 1 Amortization'!$R$19,'Mezz 1 Amortization'!$B$19:$V$19,0)),0),0)))</f>
        <v>0</v>
      </c>
      <c r="BC138" s="427">
        <f>-IF(OR('Financing Assumptions'!$P$8="No",BC$135&lt;='Financing Assumptions'!$P$26,BC$135&gt;'Mezz 1 Amortization'!$T$13),0,IF('Mezz 1 Amortization'!$T$4="Monthly",INDEX('Mezz 1 Amortization'!$B$19:$V$379,MATCH(BC$135,'Mezz 1 Amortization'!$E$19:$E$379,0),MATCH('Mezz 1 Amortization'!$R$19,'Mezz 1 Amortization'!$B$19:$V$19,0)),IF('Mezz 1 Amortization'!$T$4="Bi-Annual",IF(OR('Mezz 1 Amortization'!$R$4=BC$5,'Mezz 1 Amortization'!$S$4=BC$5),INDEX('Mezz 1 Amortization'!$B$19:$V$379,MATCH(BC$135,'Mezz 1 Amortization'!$E$19:$E$379,0),MATCH('Mezz 1 Amortization'!$R$19,'Mezz 1 Amortization'!$B$19:$V$19,0)),0),0)))</f>
        <v>0</v>
      </c>
      <c r="BD138" s="427">
        <f>-IF(OR('Financing Assumptions'!$P$8="No",BD$135&lt;='Financing Assumptions'!$P$26,BD$135&gt;'Mezz 1 Amortization'!$T$13),0,IF('Mezz 1 Amortization'!$T$4="Monthly",INDEX('Mezz 1 Amortization'!$B$19:$V$379,MATCH(BD$135,'Mezz 1 Amortization'!$E$19:$E$379,0),MATCH('Mezz 1 Amortization'!$R$19,'Mezz 1 Amortization'!$B$19:$V$19,0)),IF('Mezz 1 Amortization'!$T$4="Bi-Annual",IF(OR('Mezz 1 Amortization'!$R$4=BD$5,'Mezz 1 Amortization'!$S$4=BD$5),INDEX('Mezz 1 Amortization'!$B$19:$V$379,MATCH(BD$135,'Mezz 1 Amortization'!$E$19:$E$379,0),MATCH('Mezz 1 Amortization'!$R$19,'Mezz 1 Amortization'!$B$19:$V$19,0)),0),0)))</f>
        <v>0</v>
      </c>
      <c r="BE138" s="427">
        <f>-IF(OR('Financing Assumptions'!$P$8="No",BE$135&lt;='Financing Assumptions'!$P$26,BE$135&gt;'Mezz 1 Amortization'!$T$13),0,IF('Mezz 1 Amortization'!$T$4="Monthly",INDEX('Mezz 1 Amortization'!$B$19:$V$379,MATCH(BE$135,'Mezz 1 Amortization'!$E$19:$E$379,0),MATCH('Mezz 1 Amortization'!$R$19,'Mezz 1 Amortization'!$B$19:$V$19,0)),IF('Mezz 1 Amortization'!$T$4="Bi-Annual",IF(OR('Mezz 1 Amortization'!$R$4=BE$5,'Mezz 1 Amortization'!$S$4=BE$5),INDEX('Mezz 1 Amortization'!$B$19:$V$379,MATCH(BE$135,'Mezz 1 Amortization'!$E$19:$E$379,0),MATCH('Mezz 1 Amortization'!$R$19,'Mezz 1 Amortization'!$B$19:$V$19,0)),0),0)))</f>
        <v>0</v>
      </c>
      <c r="BF138" s="427">
        <f>-IF(OR('Financing Assumptions'!$P$8="No",BF$135&lt;='Financing Assumptions'!$P$26,BF$135&gt;'Mezz 1 Amortization'!$T$13),0,IF('Mezz 1 Amortization'!$T$4="Monthly",INDEX('Mezz 1 Amortization'!$B$19:$V$379,MATCH(BF$135,'Mezz 1 Amortization'!$E$19:$E$379,0),MATCH('Mezz 1 Amortization'!$R$19,'Mezz 1 Amortization'!$B$19:$V$19,0)),IF('Mezz 1 Amortization'!$T$4="Bi-Annual",IF(OR('Mezz 1 Amortization'!$R$4=BF$5,'Mezz 1 Amortization'!$S$4=BF$5),INDEX('Mezz 1 Amortization'!$B$19:$V$379,MATCH(BF$135,'Mezz 1 Amortization'!$E$19:$E$379,0),MATCH('Mezz 1 Amortization'!$R$19,'Mezz 1 Amortization'!$B$19:$V$19,0)),0),0)))</f>
        <v>0</v>
      </c>
      <c r="BG138" s="427">
        <f>-IF(OR('Financing Assumptions'!$P$8="No",BG$135&lt;='Financing Assumptions'!$P$26,BG$135&gt;'Mezz 1 Amortization'!$T$13),0,IF('Mezz 1 Amortization'!$T$4="Monthly",INDEX('Mezz 1 Amortization'!$B$19:$V$379,MATCH(BG$135,'Mezz 1 Amortization'!$E$19:$E$379,0),MATCH('Mezz 1 Amortization'!$R$19,'Mezz 1 Amortization'!$B$19:$V$19,0)),IF('Mezz 1 Amortization'!$T$4="Bi-Annual",IF(OR('Mezz 1 Amortization'!$R$4=BG$5,'Mezz 1 Amortization'!$S$4=BG$5),INDEX('Mezz 1 Amortization'!$B$19:$V$379,MATCH(BG$135,'Mezz 1 Amortization'!$E$19:$E$379,0),MATCH('Mezz 1 Amortization'!$R$19,'Mezz 1 Amortization'!$B$19:$V$19,0)),0),0)))</f>
        <v>0</v>
      </c>
      <c r="BH138" s="427">
        <f>-IF(OR('Financing Assumptions'!$P$8="No",BH$135&lt;='Financing Assumptions'!$P$26,BH$135&gt;'Mezz 1 Amortization'!$T$13),0,IF('Mezz 1 Amortization'!$T$4="Monthly",INDEX('Mezz 1 Amortization'!$B$19:$V$379,MATCH(BH$135,'Mezz 1 Amortization'!$E$19:$E$379,0),MATCH('Mezz 1 Amortization'!$R$19,'Mezz 1 Amortization'!$B$19:$V$19,0)),IF('Mezz 1 Amortization'!$T$4="Bi-Annual",IF(OR('Mezz 1 Amortization'!$R$4=BH$5,'Mezz 1 Amortization'!$S$4=BH$5),INDEX('Mezz 1 Amortization'!$B$19:$V$379,MATCH(BH$135,'Mezz 1 Amortization'!$E$19:$E$379,0),MATCH('Mezz 1 Amortization'!$R$19,'Mezz 1 Amortization'!$B$19:$V$19,0)),0),0)))</f>
        <v>0</v>
      </c>
      <c r="BI138" s="427">
        <f>-IF(OR('Financing Assumptions'!$P$8="No",BI$135&lt;='Financing Assumptions'!$P$26,BI$135&gt;'Mezz 1 Amortization'!$T$13),0,IF('Mezz 1 Amortization'!$T$4="Monthly",INDEX('Mezz 1 Amortization'!$B$19:$V$379,MATCH(BI$135,'Mezz 1 Amortization'!$E$19:$E$379,0),MATCH('Mezz 1 Amortization'!$R$19,'Mezz 1 Amortization'!$B$19:$V$19,0)),IF('Mezz 1 Amortization'!$T$4="Bi-Annual",IF(OR('Mezz 1 Amortization'!$R$4=BI$5,'Mezz 1 Amortization'!$S$4=BI$5),INDEX('Mezz 1 Amortization'!$B$19:$V$379,MATCH(BI$135,'Mezz 1 Amortization'!$E$19:$E$379,0),MATCH('Mezz 1 Amortization'!$R$19,'Mezz 1 Amortization'!$B$19:$V$19,0)),0),0)))</f>
        <v>0</v>
      </c>
      <c r="BJ138" s="427">
        <f>-IF(OR('Financing Assumptions'!$P$8="No",BJ$135&lt;='Financing Assumptions'!$P$26,BJ$135&gt;'Mezz 1 Amortization'!$T$13),0,IF('Mezz 1 Amortization'!$T$4="Monthly",INDEX('Mezz 1 Amortization'!$B$19:$V$379,MATCH(BJ$135,'Mezz 1 Amortization'!$E$19:$E$379,0),MATCH('Mezz 1 Amortization'!$R$19,'Mezz 1 Amortization'!$B$19:$V$19,0)),IF('Mezz 1 Amortization'!$T$4="Bi-Annual",IF(OR('Mezz 1 Amortization'!$R$4=BJ$5,'Mezz 1 Amortization'!$S$4=BJ$5),INDEX('Mezz 1 Amortization'!$B$19:$V$379,MATCH(BJ$135,'Mezz 1 Amortization'!$E$19:$E$379,0),MATCH('Mezz 1 Amortization'!$R$19,'Mezz 1 Amortization'!$B$19:$V$19,0)),0),0)))</f>
        <v>0</v>
      </c>
      <c r="BK138" s="427">
        <f>-IF(OR('Financing Assumptions'!$P$8="No",BK$135&lt;='Financing Assumptions'!$P$26,BK$135&gt;'Mezz 1 Amortization'!$T$13),0,IF('Mezz 1 Amortization'!$T$4="Monthly",INDEX('Mezz 1 Amortization'!$B$19:$V$379,MATCH(BK$135,'Mezz 1 Amortization'!$E$19:$E$379,0),MATCH('Mezz 1 Amortization'!$R$19,'Mezz 1 Amortization'!$B$19:$V$19,0)),IF('Mezz 1 Amortization'!$T$4="Bi-Annual",IF(OR('Mezz 1 Amortization'!$R$4=BK$5,'Mezz 1 Amortization'!$S$4=BK$5),INDEX('Mezz 1 Amortization'!$B$19:$V$379,MATCH(BK$135,'Mezz 1 Amortization'!$E$19:$E$379,0),MATCH('Mezz 1 Amortization'!$R$19,'Mezz 1 Amortization'!$B$19:$V$19,0)),0),0)))</f>
        <v>0</v>
      </c>
      <c r="BL138" s="427">
        <f>-IF(OR('Financing Assumptions'!$P$8="No",BL$135&lt;='Financing Assumptions'!$P$26,BL$135&gt;'Mezz 1 Amortization'!$T$13),0,IF('Mezz 1 Amortization'!$T$4="Monthly",INDEX('Mezz 1 Amortization'!$B$19:$V$379,MATCH(BL$135,'Mezz 1 Amortization'!$E$19:$E$379,0),MATCH('Mezz 1 Amortization'!$R$19,'Mezz 1 Amortization'!$B$19:$V$19,0)),IF('Mezz 1 Amortization'!$T$4="Bi-Annual",IF(OR('Mezz 1 Amortization'!$R$4=BL$5,'Mezz 1 Amortization'!$S$4=BL$5),INDEX('Mezz 1 Amortization'!$B$19:$V$379,MATCH(BL$135,'Mezz 1 Amortization'!$E$19:$E$379,0),MATCH('Mezz 1 Amortization'!$R$19,'Mezz 1 Amortization'!$B$19:$V$19,0)),0),0)))</f>
        <v>0</v>
      </c>
      <c r="BM138" s="427">
        <f>-IF(OR('Financing Assumptions'!$P$8="No",BM$135&lt;='Financing Assumptions'!$P$26,BM$135&gt;'Mezz 1 Amortization'!$T$13),0,IF('Mezz 1 Amortization'!$T$4="Monthly",INDEX('Mezz 1 Amortization'!$B$19:$V$379,MATCH(BM$135,'Mezz 1 Amortization'!$E$19:$E$379,0),MATCH('Mezz 1 Amortization'!$R$19,'Mezz 1 Amortization'!$B$19:$V$19,0)),IF('Mezz 1 Amortization'!$T$4="Bi-Annual",IF(OR('Mezz 1 Amortization'!$R$4=BM$5,'Mezz 1 Amortization'!$S$4=BM$5),INDEX('Mezz 1 Amortization'!$B$19:$V$379,MATCH(BM$135,'Mezz 1 Amortization'!$E$19:$E$379,0),MATCH('Mezz 1 Amortization'!$R$19,'Mezz 1 Amortization'!$B$19:$V$19,0)),0),0)))</f>
        <v>0</v>
      </c>
      <c r="BN138" s="427">
        <f>-IF(OR('Financing Assumptions'!$P$8="No",BN$135&lt;='Financing Assumptions'!$P$26,BN$135&gt;'Mezz 1 Amortization'!$T$13),0,IF('Mezz 1 Amortization'!$T$4="Monthly",INDEX('Mezz 1 Amortization'!$B$19:$V$379,MATCH(BN$135,'Mezz 1 Amortization'!$E$19:$E$379,0),MATCH('Mezz 1 Amortization'!$R$19,'Mezz 1 Amortization'!$B$19:$V$19,0)),IF('Mezz 1 Amortization'!$T$4="Bi-Annual",IF(OR('Mezz 1 Amortization'!$R$4=BN$5,'Mezz 1 Amortization'!$S$4=BN$5),INDEX('Mezz 1 Amortization'!$B$19:$V$379,MATCH(BN$135,'Mezz 1 Amortization'!$E$19:$E$379,0),MATCH('Mezz 1 Amortization'!$R$19,'Mezz 1 Amortization'!$B$19:$V$19,0)),0),0)))</f>
        <v>0</v>
      </c>
      <c r="BO138" s="427">
        <f>-IF(OR('Financing Assumptions'!$P$8="No",BO$135&lt;='Financing Assumptions'!$P$26,BO$135&gt;'Mezz 1 Amortization'!$T$13),0,IF('Mezz 1 Amortization'!$T$4="Monthly",INDEX('Mezz 1 Amortization'!$B$19:$V$379,MATCH(BO$135,'Mezz 1 Amortization'!$E$19:$E$379,0),MATCH('Mezz 1 Amortization'!$R$19,'Mezz 1 Amortization'!$B$19:$V$19,0)),IF('Mezz 1 Amortization'!$T$4="Bi-Annual",IF(OR('Mezz 1 Amortization'!$R$4=BO$5,'Mezz 1 Amortization'!$S$4=BO$5),INDEX('Mezz 1 Amortization'!$B$19:$V$379,MATCH(BO$135,'Mezz 1 Amortization'!$E$19:$E$379,0),MATCH('Mezz 1 Amortization'!$R$19,'Mezz 1 Amortization'!$B$19:$V$19,0)),0),0)))</f>
        <v>0</v>
      </c>
      <c r="BP138" s="427">
        <f>-IF(OR('Financing Assumptions'!$P$8="No",BP$135&lt;='Financing Assumptions'!$P$26,BP$135&gt;'Mezz 1 Amortization'!$T$13),0,IF('Mezz 1 Amortization'!$T$4="Monthly",INDEX('Mezz 1 Amortization'!$B$19:$V$379,MATCH(BP$135,'Mezz 1 Amortization'!$E$19:$E$379,0),MATCH('Mezz 1 Amortization'!$R$19,'Mezz 1 Amortization'!$B$19:$V$19,0)),IF('Mezz 1 Amortization'!$T$4="Bi-Annual",IF(OR('Mezz 1 Amortization'!$R$4=BP$5,'Mezz 1 Amortization'!$S$4=BP$5),INDEX('Mezz 1 Amortization'!$B$19:$V$379,MATCH(BP$135,'Mezz 1 Amortization'!$E$19:$E$379,0),MATCH('Mezz 1 Amortization'!$R$19,'Mezz 1 Amortization'!$B$19:$V$19,0)),0),0)))</f>
        <v>0</v>
      </c>
      <c r="BQ138" s="427">
        <f>-IF(OR('Financing Assumptions'!$P$8="No",BQ$135&lt;='Financing Assumptions'!$P$26,BQ$135&gt;'Mezz 1 Amortization'!$T$13),0,IF('Mezz 1 Amortization'!$T$4="Monthly",INDEX('Mezz 1 Amortization'!$B$19:$V$379,MATCH(BQ$135,'Mezz 1 Amortization'!$E$19:$E$379,0),MATCH('Mezz 1 Amortization'!$R$19,'Mezz 1 Amortization'!$B$19:$V$19,0)),IF('Mezz 1 Amortization'!$T$4="Bi-Annual",IF(OR('Mezz 1 Amortization'!$R$4=BQ$5,'Mezz 1 Amortization'!$S$4=BQ$5),INDEX('Mezz 1 Amortization'!$B$19:$V$379,MATCH(BQ$135,'Mezz 1 Amortization'!$E$19:$E$379,0),MATCH('Mezz 1 Amortization'!$R$19,'Mezz 1 Amortization'!$B$19:$V$19,0)),0),0)))</f>
        <v>0</v>
      </c>
      <c r="BR138" s="427">
        <f>-IF(OR('Financing Assumptions'!$P$8="No",BR$135&lt;='Financing Assumptions'!$P$26,BR$135&gt;'Mezz 1 Amortization'!$T$13),0,IF('Mezz 1 Amortization'!$T$4="Monthly",INDEX('Mezz 1 Amortization'!$B$19:$V$379,MATCH(BR$135,'Mezz 1 Amortization'!$E$19:$E$379,0),MATCH('Mezz 1 Amortization'!$R$19,'Mezz 1 Amortization'!$B$19:$V$19,0)),IF('Mezz 1 Amortization'!$T$4="Bi-Annual",IF(OR('Mezz 1 Amortization'!$R$4=BR$5,'Mezz 1 Amortization'!$S$4=BR$5),INDEX('Mezz 1 Amortization'!$B$19:$V$379,MATCH(BR$135,'Mezz 1 Amortization'!$E$19:$E$379,0),MATCH('Mezz 1 Amortization'!$R$19,'Mezz 1 Amortization'!$B$19:$V$19,0)),0),0)))</f>
        <v>0</v>
      </c>
      <c r="BS138" s="427">
        <f>-IF(OR('Financing Assumptions'!$P$8="No",BS$135&lt;='Financing Assumptions'!$P$26,BS$135&gt;'Mezz 1 Amortization'!$T$13),0,IF('Mezz 1 Amortization'!$T$4="Monthly",INDEX('Mezz 1 Amortization'!$B$19:$V$379,MATCH(BS$135,'Mezz 1 Amortization'!$E$19:$E$379,0),MATCH('Mezz 1 Amortization'!$R$19,'Mezz 1 Amortization'!$B$19:$V$19,0)),IF('Mezz 1 Amortization'!$T$4="Bi-Annual",IF(OR('Mezz 1 Amortization'!$R$4=BS$5,'Mezz 1 Amortization'!$S$4=BS$5),INDEX('Mezz 1 Amortization'!$B$19:$V$379,MATCH(BS$135,'Mezz 1 Amortization'!$E$19:$E$379,0),MATCH('Mezz 1 Amortization'!$R$19,'Mezz 1 Amortization'!$B$19:$V$19,0)),0),0)))</f>
        <v>0</v>
      </c>
      <c r="BT138" s="427">
        <f>-IF(OR('Financing Assumptions'!$P$8="No",BT$135&lt;='Financing Assumptions'!$P$26,BT$135&gt;'Mezz 1 Amortization'!$T$13),0,IF('Mezz 1 Amortization'!$T$4="Monthly",INDEX('Mezz 1 Amortization'!$B$19:$V$379,MATCH(BT$135,'Mezz 1 Amortization'!$E$19:$E$379,0),MATCH('Mezz 1 Amortization'!$R$19,'Mezz 1 Amortization'!$B$19:$V$19,0)),IF('Mezz 1 Amortization'!$T$4="Bi-Annual",IF(OR('Mezz 1 Amortization'!$R$4=BT$5,'Mezz 1 Amortization'!$S$4=BT$5),INDEX('Mezz 1 Amortization'!$B$19:$V$379,MATCH(BT$135,'Mezz 1 Amortization'!$E$19:$E$379,0),MATCH('Mezz 1 Amortization'!$R$19,'Mezz 1 Amortization'!$B$19:$V$19,0)),0),0)))</f>
        <v>0</v>
      </c>
      <c r="BU138" s="427">
        <f>-IF(OR('Financing Assumptions'!$P$8="No",BU$135&lt;='Financing Assumptions'!$P$26,BU$135&gt;'Mezz 1 Amortization'!$T$13),0,IF('Mezz 1 Amortization'!$T$4="Monthly",INDEX('Mezz 1 Amortization'!$B$19:$V$379,MATCH(BU$135,'Mezz 1 Amortization'!$E$19:$E$379,0),MATCH('Mezz 1 Amortization'!$R$19,'Mezz 1 Amortization'!$B$19:$V$19,0)),IF('Mezz 1 Amortization'!$T$4="Bi-Annual",IF(OR('Mezz 1 Amortization'!$R$4=BU$5,'Mezz 1 Amortization'!$S$4=BU$5),INDEX('Mezz 1 Amortization'!$B$19:$V$379,MATCH(BU$135,'Mezz 1 Amortization'!$E$19:$E$379,0),MATCH('Mezz 1 Amortization'!$R$19,'Mezz 1 Amortization'!$B$19:$V$19,0)),0),0)))</f>
        <v>0</v>
      </c>
      <c r="BV138" s="427">
        <f>-IF(OR('Financing Assumptions'!$P$8="No",BV$135&lt;='Financing Assumptions'!$P$26,BV$135&gt;'Mezz 1 Amortization'!$T$13),0,IF('Mezz 1 Amortization'!$T$4="Monthly",INDEX('Mezz 1 Amortization'!$B$19:$V$379,MATCH(BV$135,'Mezz 1 Amortization'!$E$19:$E$379,0),MATCH('Mezz 1 Amortization'!$R$19,'Mezz 1 Amortization'!$B$19:$V$19,0)),IF('Mezz 1 Amortization'!$T$4="Bi-Annual",IF(OR('Mezz 1 Amortization'!$R$4=BV$5,'Mezz 1 Amortization'!$S$4=BV$5),INDEX('Mezz 1 Amortization'!$B$19:$V$379,MATCH(BV$135,'Mezz 1 Amortization'!$E$19:$E$379,0),MATCH('Mezz 1 Amortization'!$R$19,'Mezz 1 Amortization'!$B$19:$V$19,0)),0),0)))</f>
        <v>0</v>
      </c>
      <c r="BW138" s="427">
        <f>-IF(OR('Financing Assumptions'!$P$8="No",BW$135&lt;='Financing Assumptions'!$P$26,BW$135&gt;'Mezz 1 Amortization'!$T$13),0,IF('Mezz 1 Amortization'!$T$4="Monthly",INDEX('Mezz 1 Amortization'!$B$19:$V$379,MATCH(BW$135,'Mezz 1 Amortization'!$E$19:$E$379,0),MATCH('Mezz 1 Amortization'!$R$19,'Mezz 1 Amortization'!$B$19:$V$19,0)),IF('Mezz 1 Amortization'!$T$4="Bi-Annual",IF(OR('Mezz 1 Amortization'!$R$4=BW$5,'Mezz 1 Amortization'!$S$4=BW$5),INDEX('Mezz 1 Amortization'!$B$19:$V$379,MATCH(BW$135,'Mezz 1 Amortization'!$E$19:$E$379,0),MATCH('Mezz 1 Amortization'!$R$19,'Mezz 1 Amortization'!$B$19:$V$19,0)),0),0)))</f>
        <v>0</v>
      </c>
      <c r="BX138" s="427">
        <f>-IF(OR('Financing Assumptions'!$P$8="No",BX$135&lt;='Financing Assumptions'!$P$26,BX$135&gt;'Mezz 1 Amortization'!$T$13),0,IF('Mezz 1 Amortization'!$T$4="Monthly",INDEX('Mezz 1 Amortization'!$B$19:$V$379,MATCH(BX$135,'Mezz 1 Amortization'!$E$19:$E$379,0),MATCH('Mezz 1 Amortization'!$R$19,'Mezz 1 Amortization'!$B$19:$V$19,0)),IF('Mezz 1 Amortization'!$T$4="Bi-Annual",IF(OR('Mezz 1 Amortization'!$R$4=BX$5,'Mezz 1 Amortization'!$S$4=BX$5),INDEX('Mezz 1 Amortization'!$B$19:$V$379,MATCH(BX$135,'Mezz 1 Amortization'!$E$19:$E$379,0),MATCH('Mezz 1 Amortization'!$R$19,'Mezz 1 Amortization'!$B$19:$V$19,0)),0),0)))</f>
        <v>0</v>
      </c>
      <c r="BY138" s="427">
        <f>-IF(OR('Financing Assumptions'!$P$8="No",BY$135&lt;='Financing Assumptions'!$P$26,BY$135&gt;'Mezz 1 Amortization'!$T$13),0,IF('Mezz 1 Amortization'!$T$4="Monthly",INDEX('Mezz 1 Amortization'!$B$19:$V$379,MATCH(BY$135,'Mezz 1 Amortization'!$E$19:$E$379,0),MATCH('Mezz 1 Amortization'!$R$19,'Mezz 1 Amortization'!$B$19:$V$19,0)),IF('Mezz 1 Amortization'!$T$4="Bi-Annual",IF(OR('Mezz 1 Amortization'!$R$4=BY$5,'Mezz 1 Amortization'!$S$4=BY$5),INDEX('Mezz 1 Amortization'!$B$19:$V$379,MATCH(BY$135,'Mezz 1 Amortization'!$E$19:$E$379,0),MATCH('Mezz 1 Amortization'!$R$19,'Mezz 1 Amortization'!$B$19:$V$19,0)),0),0)))</f>
        <v>0</v>
      </c>
      <c r="BZ138" s="427">
        <f>-IF(OR('Financing Assumptions'!$P$8="No",BZ$135&lt;='Financing Assumptions'!$P$26,BZ$135&gt;'Mezz 1 Amortization'!$T$13),0,IF('Mezz 1 Amortization'!$T$4="Monthly",INDEX('Mezz 1 Amortization'!$B$19:$V$379,MATCH(BZ$135,'Mezz 1 Amortization'!$E$19:$E$379,0),MATCH('Mezz 1 Amortization'!$R$19,'Mezz 1 Amortization'!$B$19:$V$19,0)),IF('Mezz 1 Amortization'!$T$4="Bi-Annual",IF(OR('Mezz 1 Amortization'!$R$4=BZ$5,'Mezz 1 Amortization'!$S$4=BZ$5),INDEX('Mezz 1 Amortization'!$B$19:$V$379,MATCH(BZ$135,'Mezz 1 Amortization'!$E$19:$E$379,0),MATCH('Mezz 1 Amortization'!$R$19,'Mezz 1 Amortization'!$B$19:$V$19,0)),0),0)))</f>
        <v>0</v>
      </c>
      <c r="CA138" s="427">
        <f>-IF(OR('Financing Assumptions'!$P$8="No",CA$135&lt;='Financing Assumptions'!$P$26,CA$135&gt;'Mezz 1 Amortization'!$T$13),0,IF('Mezz 1 Amortization'!$T$4="Monthly",INDEX('Mezz 1 Amortization'!$B$19:$V$379,MATCH(CA$135,'Mezz 1 Amortization'!$E$19:$E$379,0),MATCH('Mezz 1 Amortization'!$R$19,'Mezz 1 Amortization'!$B$19:$V$19,0)),IF('Mezz 1 Amortization'!$T$4="Bi-Annual",IF(OR('Mezz 1 Amortization'!$R$4=CA$5,'Mezz 1 Amortization'!$S$4=CA$5),INDEX('Mezz 1 Amortization'!$B$19:$V$379,MATCH(CA$135,'Mezz 1 Amortization'!$E$19:$E$379,0),MATCH('Mezz 1 Amortization'!$R$19,'Mezz 1 Amortization'!$B$19:$V$19,0)),0),0)))</f>
        <v>0</v>
      </c>
      <c r="CB138" s="427">
        <f>-IF(OR('Financing Assumptions'!$P$8="No",CB$135&lt;='Financing Assumptions'!$P$26,CB$135&gt;'Mezz 1 Amortization'!$T$13),0,IF('Mezz 1 Amortization'!$T$4="Monthly",INDEX('Mezz 1 Amortization'!$B$19:$V$379,MATCH(CB$135,'Mezz 1 Amortization'!$E$19:$E$379,0),MATCH('Mezz 1 Amortization'!$R$19,'Mezz 1 Amortization'!$B$19:$V$19,0)),IF('Mezz 1 Amortization'!$T$4="Bi-Annual",IF(OR('Mezz 1 Amortization'!$R$4=CB$5,'Mezz 1 Amortization'!$S$4=CB$5),INDEX('Mezz 1 Amortization'!$B$19:$V$379,MATCH(CB$135,'Mezz 1 Amortization'!$E$19:$E$379,0),MATCH('Mezz 1 Amortization'!$R$19,'Mezz 1 Amortization'!$B$19:$V$19,0)),0),0)))</f>
        <v>0</v>
      </c>
      <c r="CC138" s="427">
        <f>-IF(OR('Financing Assumptions'!$P$8="No",CC$135&lt;='Financing Assumptions'!$P$26,CC$135&gt;'Mezz 1 Amortization'!$T$13),0,IF('Mezz 1 Amortization'!$T$4="Monthly",INDEX('Mezz 1 Amortization'!$B$19:$V$379,MATCH(CC$135,'Mezz 1 Amortization'!$E$19:$E$379,0),MATCH('Mezz 1 Amortization'!$R$19,'Mezz 1 Amortization'!$B$19:$V$19,0)),IF('Mezz 1 Amortization'!$T$4="Bi-Annual",IF(OR('Mezz 1 Amortization'!$R$4=CC$5,'Mezz 1 Amortization'!$S$4=CC$5),INDEX('Mezz 1 Amortization'!$B$19:$V$379,MATCH(CC$135,'Mezz 1 Amortization'!$E$19:$E$379,0),MATCH('Mezz 1 Amortization'!$R$19,'Mezz 1 Amortization'!$B$19:$V$19,0)),0),0)))</f>
        <v>0</v>
      </c>
      <c r="CD138" s="427">
        <f>-IF(OR('Financing Assumptions'!$P$8="No",CD$135&lt;='Financing Assumptions'!$P$26,CD$135&gt;'Mezz 1 Amortization'!$T$13),0,IF('Mezz 1 Amortization'!$T$4="Monthly",INDEX('Mezz 1 Amortization'!$B$19:$V$379,MATCH(CD$135,'Mezz 1 Amortization'!$E$19:$E$379,0),MATCH('Mezz 1 Amortization'!$R$19,'Mezz 1 Amortization'!$B$19:$V$19,0)),IF('Mezz 1 Amortization'!$T$4="Bi-Annual",IF(OR('Mezz 1 Amortization'!$R$4=CD$5,'Mezz 1 Amortization'!$S$4=CD$5),INDEX('Mezz 1 Amortization'!$B$19:$V$379,MATCH(CD$135,'Mezz 1 Amortization'!$E$19:$E$379,0),MATCH('Mezz 1 Amortization'!$R$19,'Mezz 1 Amortization'!$B$19:$V$19,0)),0),0)))</f>
        <v>0</v>
      </c>
      <c r="CE138" s="427">
        <f>-IF(OR('Financing Assumptions'!$P$8="No",CE$135&lt;='Financing Assumptions'!$P$26,CE$135&gt;'Mezz 1 Amortization'!$T$13),0,IF('Mezz 1 Amortization'!$T$4="Monthly",INDEX('Mezz 1 Amortization'!$B$19:$V$379,MATCH(CE$135,'Mezz 1 Amortization'!$E$19:$E$379,0),MATCH('Mezz 1 Amortization'!$R$19,'Mezz 1 Amortization'!$B$19:$V$19,0)),IF('Mezz 1 Amortization'!$T$4="Bi-Annual",IF(OR('Mezz 1 Amortization'!$R$4=CE$5,'Mezz 1 Amortization'!$S$4=CE$5),INDEX('Mezz 1 Amortization'!$B$19:$V$379,MATCH(CE$135,'Mezz 1 Amortization'!$E$19:$E$379,0),MATCH('Mezz 1 Amortization'!$R$19,'Mezz 1 Amortization'!$B$19:$V$19,0)),0),0)))</f>
        <v>0</v>
      </c>
      <c r="CF138" s="427">
        <f>-IF(OR('Financing Assumptions'!$P$8="No",CF$135&lt;='Financing Assumptions'!$P$26,CF$135&gt;'Mezz 1 Amortization'!$T$13),0,IF('Mezz 1 Amortization'!$T$4="Monthly",INDEX('Mezz 1 Amortization'!$B$19:$V$379,MATCH(CF$135,'Mezz 1 Amortization'!$E$19:$E$379,0),MATCH('Mezz 1 Amortization'!$R$19,'Mezz 1 Amortization'!$B$19:$V$19,0)),IF('Mezz 1 Amortization'!$T$4="Bi-Annual",IF(OR('Mezz 1 Amortization'!$R$4=CF$5,'Mezz 1 Amortization'!$S$4=CF$5),INDEX('Mezz 1 Amortization'!$B$19:$V$379,MATCH(CF$135,'Mezz 1 Amortization'!$E$19:$E$379,0),MATCH('Mezz 1 Amortization'!$R$19,'Mezz 1 Amortization'!$B$19:$V$19,0)),0),0)))</f>
        <v>0</v>
      </c>
      <c r="CG138" s="427">
        <f>-IF(OR('Financing Assumptions'!$P$8="No",CG$135&lt;='Financing Assumptions'!$P$26,CG$135&gt;'Mezz 1 Amortization'!$T$13),0,IF('Mezz 1 Amortization'!$T$4="Monthly",INDEX('Mezz 1 Amortization'!$B$19:$V$379,MATCH(CG$135,'Mezz 1 Amortization'!$E$19:$E$379,0),MATCH('Mezz 1 Amortization'!$R$19,'Mezz 1 Amortization'!$B$19:$V$19,0)),IF('Mezz 1 Amortization'!$T$4="Bi-Annual",IF(OR('Mezz 1 Amortization'!$R$4=CG$5,'Mezz 1 Amortization'!$S$4=CG$5),INDEX('Mezz 1 Amortization'!$B$19:$V$379,MATCH(CG$135,'Mezz 1 Amortization'!$E$19:$E$379,0),MATCH('Mezz 1 Amortization'!$R$19,'Mezz 1 Amortization'!$B$19:$V$19,0)),0),0)))</f>
        <v>0</v>
      </c>
      <c r="CH138" s="427">
        <f>-IF(OR('Financing Assumptions'!$P$8="No",CH$135&lt;='Financing Assumptions'!$P$26,CH$135&gt;'Mezz 1 Amortization'!$T$13),0,IF('Mezz 1 Amortization'!$T$4="Monthly",INDEX('Mezz 1 Amortization'!$B$19:$V$379,MATCH(CH$135,'Mezz 1 Amortization'!$E$19:$E$379,0),MATCH('Mezz 1 Amortization'!$R$19,'Mezz 1 Amortization'!$B$19:$V$19,0)),IF('Mezz 1 Amortization'!$T$4="Bi-Annual",IF(OR('Mezz 1 Amortization'!$R$4=CH$5,'Mezz 1 Amortization'!$S$4=CH$5),INDEX('Mezz 1 Amortization'!$B$19:$V$379,MATCH(CH$135,'Mezz 1 Amortization'!$E$19:$E$379,0),MATCH('Mezz 1 Amortization'!$R$19,'Mezz 1 Amortization'!$B$19:$V$19,0)),0),0)))</f>
        <v>0</v>
      </c>
      <c r="CI138" s="427">
        <f>-IF(OR('Financing Assumptions'!$P$8="No",CI$135&lt;='Financing Assumptions'!$P$26,CI$135&gt;'Mezz 1 Amortization'!$T$13),0,IF('Mezz 1 Amortization'!$T$4="Monthly",INDEX('Mezz 1 Amortization'!$B$19:$V$379,MATCH(CI$135,'Mezz 1 Amortization'!$E$19:$E$379,0),MATCH('Mezz 1 Amortization'!$R$19,'Mezz 1 Amortization'!$B$19:$V$19,0)),IF('Mezz 1 Amortization'!$T$4="Bi-Annual",IF(OR('Mezz 1 Amortization'!$R$4=CI$5,'Mezz 1 Amortization'!$S$4=CI$5),INDEX('Mezz 1 Amortization'!$B$19:$V$379,MATCH(CI$135,'Mezz 1 Amortization'!$E$19:$E$379,0),MATCH('Mezz 1 Amortization'!$R$19,'Mezz 1 Amortization'!$B$19:$V$19,0)),0),0)))</f>
        <v>0</v>
      </c>
      <c r="CJ138" s="427">
        <f>-IF(OR('Financing Assumptions'!$P$8="No",CJ$135&lt;='Financing Assumptions'!$P$26,CJ$135&gt;'Mezz 1 Amortization'!$T$13),0,IF('Mezz 1 Amortization'!$T$4="Monthly",INDEX('Mezz 1 Amortization'!$B$19:$V$379,MATCH(CJ$135,'Mezz 1 Amortization'!$E$19:$E$379,0),MATCH('Mezz 1 Amortization'!$R$19,'Mezz 1 Amortization'!$B$19:$V$19,0)),IF('Mezz 1 Amortization'!$T$4="Bi-Annual",IF(OR('Mezz 1 Amortization'!$R$4=CJ$5,'Mezz 1 Amortization'!$S$4=CJ$5),INDEX('Mezz 1 Amortization'!$B$19:$V$379,MATCH(CJ$135,'Mezz 1 Amortization'!$E$19:$E$379,0),MATCH('Mezz 1 Amortization'!$R$19,'Mezz 1 Amortization'!$B$19:$V$19,0)),0),0)))</f>
        <v>0</v>
      </c>
      <c r="CK138" s="427">
        <f>-IF(OR('Financing Assumptions'!$P$8="No",CK$135&lt;='Financing Assumptions'!$P$26,CK$135&gt;'Mezz 1 Amortization'!$T$13),0,IF('Mezz 1 Amortization'!$T$4="Monthly",INDEX('Mezz 1 Amortization'!$B$19:$V$379,MATCH(CK$135,'Mezz 1 Amortization'!$E$19:$E$379,0),MATCH('Mezz 1 Amortization'!$R$19,'Mezz 1 Amortization'!$B$19:$V$19,0)),IF('Mezz 1 Amortization'!$T$4="Bi-Annual",IF(OR('Mezz 1 Amortization'!$R$4=CK$5,'Mezz 1 Amortization'!$S$4=CK$5),INDEX('Mezz 1 Amortization'!$B$19:$V$379,MATCH(CK$135,'Mezz 1 Amortization'!$E$19:$E$379,0),MATCH('Mezz 1 Amortization'!$R$19,'Mezz 1 Amortization'!$B$19:$V$19,0)),0),0)))</f>
        <v>0</v>
      </c>
      <c r="CL138" s="427">
        <f>-IF(OR('Financing Assumptions'!$P$8="No",CL$135&lt;='Financing Assumptions'!$P$26,CL$135&gt;'Mezz 1 Amortization'!$T$13),0,IF('Mezz 1 Amortization'!$T$4="Monthly",INDEX('Mezz 1 Amortization'!$B$19:$V$379,MATCH(CL$135,'Mezz 1 Amortization'!$E$19:$E$379,0),MATCH('Mezz 1 Amortization'!$R$19,'Mezz 1 Amortization'!$B$19:$V$19,0)),IF('Mezz 1 Amortization'!$T$4="Bi-Annual",IF(OR('Mezz 1 Amortization'!$R$4=CL$5,'Mezz 1 Amortization'!$S$4=CL$5),INDEX('Mezz 1 Amortization'!$B$19:$V$379,MATCH(CL$135,'Mezz 1 Amortization'!$E$19:$E$379,0),MATCH('Mezz 1 Amortization'!$R$19,'Mezz 1 Amortization'!$B$19:$V$19,0)),0),0)))</f>
        <v>0</v>
      </c>
      <c r="CM138" s="427">
        <f>-IF(OR('Financing Assumptions'!$P$8="No",CM$135&lt;='Financing Assumptions'!$P$26,CM$135&gt;'Mezz 1 Amortization'!$T$13),0,IF('Mezz 1 Amortization'!$T$4="Monthly",INDEX('Mezz 1 Amortization'!$B$19:$V$379,MATCH(CM$135,'Mezz 1 Amortization'!$E$19:$E$379,0),MATCH('Mezz 1 Amortization'!$R$19,'Mezz 1 Amortization'!$B$19:$V$19,0)),IF('Mezz 1 Amortization'!$T$4="Bi-Annual",IF(OR('Mezz 1 Amortization'!$R$4=CM$5,'Mezz 1 Amortization'!$S$4=CM$5),INDEX('Mezz 1 Amortization'!$B$19:$V$379,MATCH(CM$135,'Mezz 1 Amortization'!$E$19:$E$379,0),MATCH('Mezz 1 Amortization'!$R$19,'Mezz 1 Amortization'!$B$19:$V$19,0)),0),0)))</f>
        <v>0</v>
      </c>
      <c r="CN138" s="427">
        <f>-IF(OR('Financing Assumptions'!$P$8="No",CN$135&lt;='Financing Assumptions'!$P$26,CN$135&gt;'Mezz 1 Amortization'!$T$13),0,IF('Mezz 1 Amortization'!$T$4="Monthly",INDEX('Mezz 1 Amortization'!$B$19:$V$379,MATCH(CN$135,'Mezz 1 Amortization'!$E$19:$E$379,0),MATCH('Mezz 1 Amortization'!$R$19,'Mezz 1 Amortization'!$B$19:$V$19,0)),IF('Mezz 1 Amortization'!$T$4="Bi-Annual",IF(OR('Mezz 1 Amortization'!$R$4=CN$5,'Mezz 1 Amortization'!$S$4=CN$5),INDEX('Mezz 1 Amortization'!$B$19:$V$379,MATCH(CN$135,'Mezz 1 Amortization'!$E$19:$E$379,0),MATCH('Mezz 1 Amortization'!$R$19,'Mezz 1 Amortization'!$B$19:$V$19,0)),0),0)))</f>
        <v>0</v>
      </c>
      <c r="CO138" s="427">
        <f>-IF(OR('Financing Assumptions'!$P$8="No",CO$135&lt;='Financing Assumptions'!$P$26,CO$135&gt;'Mezz 1 Amortization'!$T$13),0,IF('Mezz 1 Amortization'!$T$4="Monthly",INDEX('Mezz 1 Amortization'!$B$19:$V$379,MATCH(CO$135,'Mezz 1 Amortization'!$E$19:$E$379,0),MATCH('Mezz 1 Amortization'!$R$19,'Mezz 1 Amortization'!$B$19:$V$19,0)),IF('Mezz 1 Amortization'!$T$4="Bi-Annual",IF(OR('Mezz 1 Amortization'!$R$4=CO$5,'Mezz 1 Amortization'!$S$4=CO$5),INDEX('Mezz 1 Amortization'!$B$19:$V$379,MATCH(CO$135,'Mezz 1 Amortization'!$E$19:$E$379,0),MATCH('Mezz 1 Amortization'!$R$19,'Mezz 1 Amortization'!$B$19:$V$19,0)),0),0)))</f>
        <v>0</v>
      </c>
      <c r="CP138" s="427">
        <f>-IF(OR('Financing Assumptions'!$P$8="No",CP$135&lt;='Financing Assumptions'!$P$26,CP$135&gt;'Mezz 1 Amortization'!$T$13),0,IF('Mezz 1 Amortization'!$T$4="Monthly",INDEX('Mezz 1 Amortization'!$B$19:$V$379,MATCH(CP$135,'Mezz 1 Amortization'!$E$19:$E$379,0),MATCH('Mezz 1 Amortization'!$R$19,'Mezz 1 Amortization'!$B$19:$V$19,0)),IF('Mezz 1 Amortization'!$T$4="Bi-Annual",IF(OR('Mezz 1 Amortization'!$R$4=CP$5,'Mezz 1 Amortization'!$S$4=CP$5),INDEX('Mezz 1 Amortization'!$B$19:$V$379,MATCH(CP$135,'Mezz 1 Amortization'!$E$19:$E$379,0),MATCH('Mezz 1 Amortization'!$R$19,'Mezz 1 Amortization'!$B$19:$V$19,0)),0),0)))</f>
        <v>0</v>
      </c>
      <c r="CQ138" s="427">
        <f>-IF(OR('Financing Assumptions'!$P$8="No",CQ$135&lt;='Financing Assumptions'!$P$26,CQ$135&gt;'Mezz 1 Amortization'!$T$13),0,IF('Mezz 1 Amortization'!$T$4="Monthly",INDEX('Mezz 1 Amortization'!$B$19:$V$379,MATCH(CQ$135,'Mezz 1 Amortization'!$E$19:$E$379,0),MATCH('Mezz 1 Amortization'!$R$19,'Mezz 1 Amortization'!$B$19:$V$19,0)),IF('Mezz 1 Amortization'!$T$4="Bi-Annual",IF(OR('Mezz 1 Amortization'!$R$4=CQ$5,'Mezz 1 Amortization'!$S$4=CQ$5),INDEX('Mezz 1 Amortization'!$B$19:$V$379,MATCH(CQ$135,'Mezz 1 Amortization'!$E$19:$E$379,0),MATCH('Mezz 1 Amortization'!$R$19,'Mezz 1 Amortization'!$B$19:$V$19,0)),0),0)))</f>
        <v>0</v>
      </c>
      <c r="CR138" s="427">
        <f>-IF(OR('Financing Assumptions'!$P$8="No",CR$135&lt;='Financing Assumptions'!$P$26,CR$135&gt;'Mezz 1 Amortization'!$T$13),0,IF('Mezz 1 Amortization'!$T$4="Monthly",INDEX('Mezz 1 Amortization'!$B$19:$V$379,MATCH(CR$135,'Mezz 1 Amortization'!$E$19:$E$379,0),MATCH('Mezz 1 Amortization'!$R$19,'Mezz 1 Amortization'!$B$19:$V$19,0)),IF('Mezz 1 Amortization'!$T$4="Bi-Annual",IF(OR('Mezz 1 Amortization'!$R$4=CR$5,'Mezz 1 Amortization'!$S$4=CR$5),INDEX('Mezz 1 Amortization'!$B$19:$V$379,MATCH(CR$135,'Mezz 1 Amortization'!$E$19:$E$379,0),MATCH('Mezz 1 Amortization'!$R$19,'Mezz 1 Amortization'!$B$19:$V$19,0)),0),0)))</f>
        <v>0</v>
      </c>
      <c r="CS138" s="427">
        <f>-IF(OR('Financing Assumptions'!$P$8="No",CS$135&lt;='Financing Assumptions'!$P$26,CS$135&gt;'Mezz 1 Amortization'!$T$13),0,IF('Mezz 1 Amortization'!$T$4="Monthly",INDEX('Mezz 1 Amortization'!$B$19:$V$379,MATCH(CS$135,'Mezz 1 Amortization'!$E$19:$E$379,0),MATCH('Mezz 1 Amortization'!$R$19,'Mezz 1 Amortization'!$B$19:$V$19,0)),IF('Mezz 1 Amortization'!$T$4="Bi-Annual",IF(OR('Mezz 1 Amortization'!$R$4=CS$5,'Mezz 1 Amortization'!$S$4=CS$5),INDEX('Mezz 1 Amortization'!$B$19:$V$379,MATCH(CS$135,'Mezz 1 Amortization'!$E$19:$E$379,0),MATCH('Mezz 1 Amortization'!$R$19,'Mezz 1 Amortization'!$B$19:$V$19,0)),0),0)))</f>
        <v>0</v>
      </c>
      <c r="CT138" s="427">
        <f>-IF(OR('Financing Assumptions'!$P$8="No",CT$135&lt;='Financing Assumptions'!$P$26,CT$135&gt;'Mezz 1 Amortization'!$T$13),0,IF('Mezz 1 Amortization'!$T$4="Monthly",INDEX('Mezz 1 Amortization'!$B$19:$V$379,MATCH(CT$135,'Mezz 1 Amortization'!$E$19:$E$379,0),MATCH('Mezz 1 Amortization'!$R$19,'Mezz 1 Amortization'!$B$19:$V$19,0)),IF('Mezz 1 Amortization'!$T$4="Bi-Annual",IF(OR('Mezz 1 Amortization'!$R$4=CT$5,'Mezz 1 Amortization'!$S$4=CT$5),INDEX('Mezz 1 Amortization'!$B$19:$V$379,MATCH(CT$135,'Mezz 1 Amortization'!$E$19:$E$379,0),MATCH('Mezz 1 Amortization'!$R$19,'Mezz 1 Amortization'!$B$19:$V$19,0)),0),0)))</f>
        <v>0</v>
      </c>
      <c r="CU138" s="427">
        <f>-IF(OR('Financing Assumptions'!$P$8="No",CU$135&lt;='Financing Assumptions'!$P$26,CU$135&gt;'Mezz 1 Amortization'!$T$13),0,IF('Mezz 1 Amortization'!$T$4="Monthly",INDEX('Mezz 1 Amortization'!$B$19:$V$379,MATCH(CU$135,'Mezz 1 Amortization'!$E$19:$E$379,0),MATCH('Mezz 1 Amortization'!$R$19,'Mezz 1 Amortization'!$B$19:$V$19,0)),IF('Mezz 1 Amortization'!$T$4="Bi-Annual",IF(OR('Mezz 1 Amortization'!$R$4=CU$5,'Mezz 1 Amortization'!$S$4=CU$5),INDEX('Mezz 1 Amortization'!$B$19:$V$379,MATCH(CU$135,'Mezz 1 Amortization'!$E$19:$E$379,0),MATCH('Mezz 1 Amortization'!$R$19,'Mezz 1 Amortization'!$B$19:$V$19,0)),0),0)))</f>
        <v>0</v>
      </c>
      <c r="CV138" s="427">
        <f>-IF(OR('Financing Assumptions'!$P$8="No",CV$135&lt;='Financing Assumptions'!$P$26,CV$135&gt;'Mezz 1 Amortization'!$T$13),0,IF('Mezz 1 Amortization'!$T$4="Monthly",INDEX('Mezz 1 Amortization'!$B$19:$V$379,MATCH(CV$135,'Mezz 1 Amortization'!$E$19:$E$379,0),MATCH('Mezz 1 Amortization'!$R$19,'Mezz 1 Amortization'!$B$19:$V$19,0)),IF('Mezz 1 Amortization'!$T$4="Bi-Annual",IF(OR('Mezz 1 Amortization'!$R$4=CV$5,'Mezz 1 Amortization'!$S$4=CV$5),INDEX('Mezz 1 Amortization'!$B$19:$V$379,MATCH(CV$135,'Mezz 1 Amortization'!$E$19:$E$379,0),MATCH('Mezz 1 Amortization'!$R$19,'Mezz 1 Amortization'!$B$19:$V$19,0)),0),0)))</f>
        <v>0</v>
      </c>
      <c r="CW138" s="427">
        <f>-IF(OR('Financing Assumptions'!$P$8="No",CW$135&lt;='Financing Assumptions'!$P$26,CW$135&gt;'Mezz 1 Amortization'!$T$13),0,IF('Mezz 1 Amortization'!$T$4="Monthly",INDEX('Mezz 1 Amortization'!$B$19:$V$379,MATCH(CW$135,'Mezz 1 Amortization'!$E$19:$E$379,0),MATCH('Mezz 1 Amortization'!$R$19,'Mezz 1 Amortization'!$B$19:$V$19,0)),IF('Mezz 1 Amortization'!$T$4="Bi-Annual",IF(OR('Mezz 1 Amortization'!$R$4=CW$5,'Mezz 1 Amortization'!$S$4=CW$5),INDEX('Mezz 1 Amortization'!$B$19:$V$379,MATCH(CW$135,'Mezz 1 Amortization'!$E$19:$E$379,0),MATCH('Mezz 1 Amortization'!$R$19,'Mezz 1 Amortization'!$B$19:$V$19,0)),0),0)))</f>
        <v>0</v>
      </c>
      <c r="CX138" s="427">
        <f>-IF(OR('Financing Assumptions'!$P$8="No",CX$135&lt;='Financing Assumptions'!$P$26,CX$135&gt;'Mezz 1 Amortization'!$T$13),0,IF('Mezz 1 Amortization'!$T$4="Monthly",INDEX('Mezz 1 Amortization'!$B$19:$V$379,MATCH(CX$135,'Mezz 1 Amortization'!$E$19:$E$379,0),MATCH('Mezz 1 Amortization'!$R$19,'Mezz 1 Amortization'!$B$19:$V$19,0)),IF('Mezz 1 Amortization'!$T$4="Bi-Annual",IF(OR('Mezz 1 Amortization'!$R$4=CX$5,'Mezz 1 Amortization'!$S$4=CX$5),INDEX('Mezz 1 Amortization'!$B$19:$V$379,MATCH(CX$135,'Mezz 1 Amortization'!$E$19:$E$379,0),MATCH('Mezz 1 Amortization'!$R$19,'Mezz 1 Amortization'!$B$19:$V$19,0)),0),0)))</f>
        <v>0</v>
      </c>
      <c r="CY138" s="427">
        <f>-IF(OR('Financing Assumptions'!$P$8="No",CY$135&lt;='Financing Assumptions'!$P$26,CY$135&gt;'Mezz 1 Amortization'!$T$13),0,IF('Mezz 1 Amortization'!$T$4="Monthly",INDEX('Mezz 1 Amortization'!$B$19:$V$379,MATCH(CY$135,'Mezz 1 Amortization'!$E$19:$E$379,0),MATCH('Mezz 1 Amortization'!$R$19,'Mezz 1 Amortization'!$B$19:$V$19,0)),IF('Mezz 1 Amortization'!$T$4="Bi-Annual",IF(OR('Mezz 1 Amortization'!$R$4=CY$5,'Mezz 1 Amortization'!$S$4=CY$5),INDEX('Mezz 1 Amortization'!$B$19:$V$379,MATCH(CY$135,'Mezz 1 Amortization'!$E$19:$E$379,0),MATCH('Mezz 1 Amortization'!$R$19,'Mezz 1 Amortization'!$B$19:$V$19,0)),0),0)))</f>
        <v>0</v>
      </c>
      <c r="CZ138" s="427">
        <f>-IF(OR('Financing Assumptions'!$P$8="No",CZ$135&lt;='Financing Assumptions'!$P$26,CZ$135&gt;'Mezz 1 Amortization'!$T$13),0,IF('Mezz 1 Amortization'!$T$4="Monthly",INDEX('Mezz 1 Amortization'!$B$19:$V$379,MATCH(CZ$135,'Mezz 1 Amortization'!$E$19:$E$379,0),MATCH('Mezz 1 Amortization'!$R$19,'Mezz 1 Amortization'!$B$19:$V$19,0)),IF('Mezz 1 Amortization'!$T$4="Bi-Annual",IF(OR('Mezz 1 Amortization'!$R$4=CZ$5,'Mezz 1 Amortization'!$S$4=CZ$5),INDEX('Mezz 1 Amortization'!$B$19:$V$379,MATCH(CZ$135,'Mezz 1 Amortization'!$E$19:$E$379,0),MATCH('Mezz 1 Amortization'!$R$19,'Mezz 1 Amortization'!$B$19:$V$19,0)),0),0)))</f>
        <v>0</v>
      </c>
      <c r="DA138" s="427">
        <f>-IF(OR('Financing Assumptions'!$P$8="No",DA$135&lt;='Financing Assumptions'!$P$26,DA$135&gt;'Mezz 1 Amortization'!$T$13),0,IF('Mezz 1 Amortization'!$T$4="Monthly",INDEX('Mezz 1 Amortization'!$B$19:$V$379,MATCH(DA$135,'Mezz 1 Amortization'!$E$19:$E$379,0),MATCH('Mezz 1 Amortization'!$R$19,'Mezz 1 Amortization'!$B$19:$V$19,0)),IF('Mezz 1 Amortization'!$T$4="Bi-Annual",IF(OR('Mezz 1 Amortization'!$R$4=DA$5,'Mezz 1 Amortization'!$S$4=DA$5),INDEX('Mezz 1 Amortization'!$B$19:$V$379,MATCH(DA$135,'Mezz 1 Amortization'!$E$19:$E$379,0),MATCH('Mezz 1 Amortization'!$R$19,'Mezz 1 Amortization'!$B$19:$V$19,0)),0),0)))</f>
        <v>0</v>
      </c>
      <c r="DB138" s="427">
        <f>-IF(OR('Financing Assumptions'!$P$8="No",DB$135&lt;='Financing Assumptions'!$P$26,DB$135&gt;'Mezz 1 Amortization'!$T$13),0,IF('Mezz 1 Amortization'!$T$4="Monthly",INDEX('Mezz 1 Amortization'!$B$19:$V$379,MATCH(DB$135,'Mezz 1 Amortization'!$E$19:$E$379,0),MATCH('Mezz 1 Amortization'!$R$19,'Mezz 1 Amortization'!$B$19:$V$19,0)),IF('Mezz 1 Amortization'!$T$4="Bi-Annual",IF(OR('Mezz 1 Amortization'!$R$4=DB$5,'Mezz 1 Amortization'!$S$4=DB$5),INDEX('Mezz 1 Amortization'!$B$19:$V$379,MATCH(DB$135,'Mezz 1 Amortization'!$E$19:$E$379,0),MATCH('Mezz 1 Amortization'!$R$19,'Mezz 1 Amortization'!$B$19:$V$19,0)),0),0)))</f>
        <v>0</v>
      </c>
      <c r="DC138" s="427">
        <f>-IF(OR('Financing Assumptions'!$P$8="No",DC$135&lt;='Financing Assumptions'!$P$26,DC$135&gt;'Mezz 1 Amortization'!$T$13),0,IF('Mezz 1 Amortization'!$T$4="Monthly",INDEX('Mezz 1 Amortization'!$B$19:$V$379,MATCH(DC$135,'Mezz 1 Amortization'!$E$19:$E$379,0),MATCH('Mezz 1 Amortization'!$R$19,'Mezz 1 Amortization'!$B$19:$V$19,0)),IF('Mezz 1 Amortization'!$T$4="Bi-Annual",IF(OR('Mezz 1 Amortization'!$R$4=DC$5,'Mezz 1 Amortization'!$S$4=DC$5),INDEX('Mezz 1 Amortization'!$B$19:$V$379,MATCH(DC$135,'Mezz 1 Amortization'!$E$19:$E$379,0),MATCH('Mezz 1 Amortization'!$R$19,'Mezz 1 Amortization'!$B$19:$V$19,0)),0),0)))</f>
        <v>0</v>
      </c>
      <c r="DD138" s="427">
        <f>-IF(OR('Financing Assumptions'!$P$8="No",DD$135&lt;='Financing Assumptions'!$P$26,DD$135&gt;'Mezz 1 Amortization'!$T$13),0,IF('Mezz 1 Amortization'!$T$4="Monthly",INDEX('Mezz 1 Amortization'!$B$19:$V$379,MATCH(DD$135,'Mezz 1 Amortization'!$E$19:$E$379,0),MATCH('Mezz 1 Amortization'!$R$19,'Mezz 1 Amortization'!$B$19:$V$19,0)),IF('Mezz 1 Amortization'!$T$4="Bi-Annual",IF(OR('Mezz 1 Amortization'!$R$4=DD$5,'Mezz 1 Amortization'!$S$4=DD$5),INDEX('Mezz 1 Amortization'!$B$19:$V$379,MATCH(DD$135,'Mezz 1 Amortization'!$E$19:$E$379,0),MATCH('Mezz 1 Amortization'!$R$19,'Mezz 1 Amortization'!$B$19:$V$19,0)),0),0)))</f>
        <v>0</v>
      </c>
      <c r="DE138" s="427">
        <f>-IF(OR('Financing Assumptions'!$P$8="No",DE$135&lt;='Financing Assumptions'!$P$26,DE$135&gt;'Mezz 1 Amortization'!$T$13),0,IF('Mezz 1 Amortization'!$T$4="Monthly",INDEX('Mezz 1 Amortization'!$B$19:$V$379,MATCH(DE$135,'Mezz 1 Amortization'!$E$19:$E$379,0),MATCH('Mezz 1 Amortization'!$R$19,'Mezz 1 Amortization'!$B$19:$V$19,0)),IF('Mezz 1 Amortization'!$T$4="Bi-Annual",IF(OR('Mezz 1 Amortization'!$R$4=DE$5,'Mezz 1 Amortization'!$S$4=DE$5),INDEX('Mezz 1 Amortization'!$B$19:$V$379,MATCH(DE$135,'Mezz 1 Amortization'!$E$19:$E$379,0),MATCH('Mezz 1 Amortization'!$R$19,'Mezz 1 Amortization'!$B$19:$V$19,0)),0),0)))</f>
        <v>0</v>
      </c>
      <c r="DF138" s="427">
        <f>-IF(OR('Financing Assumptions'!$P$8="No",DF$135&lt;='Financing Assumptions'!$P$26,DF$135&gt;'Mezz 1 Amortization'!$T$13),0,IF('Mezz 1 Amortization'!$T$4="Monthly",INDEX('Mezz 1 Amortization'!$B$19:$V$379,MATCH(DF$135,'Mezz 1 Amortization'!$E$19:$E$379,0),MATCH('Mezz 1 Amortization'!$R$19,'Mezz 1 Amortization'!$B$19:$V$19,0)),IF('Mezz 1 Amortization'!$T$4="Bi-Annual",IF(OR('Mezz 1 Amortization'!$R$4=DF$5,'Mezz 1 Amortization'!$S$4=DF$5),INDEX('Mezz 1 Amortization'!$B$19:$V$379,MATCH(DF$135,'Mezz 1 Amortization'!$E$19:$E$379,0),MATCH('Mezz 1 Amortization'!$R$19,'Mezz 1 Amortization'!$B$19:$V$19,0)),0),0)))</f>
        <v>0</v>
      </c>
      <c r="DG138" s="427">
        <f>-IF(OR('Financing Assumptions'!$P$8="No",DG$135&lt;='Financing Assumptions'!$P$26,DG$135&gt;'Mezz 1 Amortization'!$T$13),0,IF('Mezz 1 Amortization'!$T$4="Monthly",INDEX('Mezz 1 Amortization'!$B$19:$V$379,MATCH(DG$135,'Mezz 1 Amortization'!$E$19:$E$379,0),MATCH('Mezz 1 Amortization'!$R$19,'Mezz 1 Amortization'!$B$19:$V$19,0)),IF('Mezz 1 Amortization'!$T$4="Bi-Annual",IF(OR('Mezz 1 Amortization'!$R$4=DG$5,'Mezz 1 Amortization'!$S$4=DG$5),INDEX('Mezz 1 Amortization'!$B$19:$V$379,MATCH(DG$135,'Mezz 1 Amortization'!$E$19:$E$379,0),MATCH('Mezz 1 Amortization'!$R$19,'Mezz 1 Amortization'!$B$19:$V$19,0)),0),0)))</f>
        <v>0</v>
      </c>
      <c r="DH138" s="427">
        <f>-IF(OR('Financing Assumptions'!$P$8="No",DH$135&lt;='Financing Assumptions'!$P$26,DH$135&gt;'Mezz 1 Amortization'!$T$13),0,IF('Mezz 1 Amortization'!$T$4="Monthly",INDEX('Mezz 1 Amortization'!$B$19:$V$379,MATCH(DH$135,'Mezz 1 Amortization'!$E$19:$E$379,0),MATCH('Mezz 1 Amortization'!$R$19,'Mezz 1 Amortization'!$B$19:$V$19,0)),IF('Mezz 1 Amortization'!$T$4="Bi-Annual",IF(OR('Mezz 1 Amortization'!$R$4=DH$5,'Mezz 1 Amortization'!$S$4=DH$5),INDEX('Mezz 1 Amortization'!$B$19:$V$379,MATCH(DH$135,'Mezz 1 Amortization'!$E$19:$E$379,0),MATCH('Mezz 1 Amortization'!$R$19,'Mezz 1 Amortization'!$B$19:$V$19,0)),0),0)))</f>
        <v>0</v>
      </c>
      <c r="DI138" s="427">
        <f>-IF(OR('Financing Assumptions'!$P$8="No",DI$135&lt;='Financing Assumptions'!$P$26,DI$135&gt;'Mezz 1 Amortization'!$T$13),0,IF('Mezz 1 Amortization'!$T$4="Monthly",INDEX('Mezz 1 Amortization'!$B$19:$V$379,MATCH(DI$135,'Mezz 1 Amortization'!$E$19:$E$379,0),MATCH('Mezz 1 Amortization'!$R$19,'Mezz 1 Amortization'!$B$19:$V$19,0)),IF('Mezz 1 Amortization'!$T$4="Bi-Annual",IF(OR('Mezz 1 Amortization'!$R$4=DI$5,'Mezz 1 Amortization'!$S$4=DI$5),INDEX('Mezz 1 Amortization'!$B$19:$V$379,MATCH(DI$135,'Mezz 1 Amortization'!$E$19:$E$379,0),MATCH('Mezz 1 Amortization'!$R$19,'Mezz 1 Amortization'!$B$19:$V$19,0)),0),0)))</f>
        <v>0</v>
      </c>
      <c r="DJ138" s="427">
        <f>-IF(OR('Financing Assumptions'!$P$8="No",DJ$135&lt;='Financing Assumptions'!$P$26,DJ$135&gt;'Mezz 1 Amortization'!$T$13),0,IF('Mezz 1 Amortization'!$T$4="Monthly",INDEX('Mezz 1 Amortization'!$B$19:$V$379,MATCH(DJ$135,'Mezz 1 Amortization'!$E$19:$E$379,0),MATCH('Mezz 1 Amortization'!$R$19,'Mezz 1 Amortization'!$B$19:$V$19,0)),IF('Mezz 1 Amortization'!$T$4="Bi-Annual",IF(OR('Mezz 1 Amortization'!$R$4=DJ$5,'Mezz 1 Amortization'!$S$4=DJ$5),INDEX('Mezz 1 Amortization'!$B$19:$V$379,MATCH(DJ$135,'Mezz 1 Amortization'!$E$19:$E$379,0),MATCH('Mezz 1 Amortization'!$R$19,'Mezz 1 Amortization'!$B$19:$V$19,0)),0),0)))</f>
        <v>0</v>
      </c>
      <c r="DK138" s="427">
        <f>-IF(OR('Financing Assumptions'!$P$8="No",DK$135&lt;='Financing Assumptions'!$P$26,DK$135&gt;'Mezz 1 Amortization'!$T$13),0,IF('Mezz 1 Amortization'!$T$4="Monthly",INDEX('Mezz 1 Amortization'!$B$19:$V$379,MATCH(DK$135,'Mezz 1 Amortization'!$E$19:$E$379,0),MATCH('Mezz 1 Amortization'!$R$19,'Mezz 1 Amortization'!$B$19:$V$19,0)),IF('Mezz 1 Amortization'!$T$4="Bi-Annual",IF(OR('Mezz 1 Amortization'!$R$4=DK$5,'Mezz 1 Amortization'!$S$4=DK$5),INDEX('Mezz 1 Amortization'!$B$19:$V$379,MATCH(DK$135,'Mezz 1 Amortization'!$E$19:$E$379,0),MATCH('Mezz 1 Amortization'!$R$19,'Mezz 1 Amortization'!$B$19:$V$19,0)),0),0)))</f>
        <v>0</v>
      </c>
      <c r="DL138" s="427">
        <f>-IF(OR('Financing Assumptions'!$P$8="No",DL$135&lt;='Financing Assumptions'!$P$26,DL$135&gt;'Mezz 1 Amortization'!$T$13),0,IF('Mezz 1 Amortization'!$T$4="Monthly",INDEX('Mezz 1 Amortization'!$B$19:$V$379,MATCH(DL$135,'Mezz 1 Amortization'!$E$19:$E$379,0),MATCH('Mezz 1 Amortization'!$R$19,'Mezz 1 Amortization'!$B$19:$V$19,0)),IF('Mezz 1 Amortization'!$T$4="Bi-Annual",IF(OR('Mezz 1 Amortization'!$R$4=DL$5,'Mezz 1 Amortization'!$S$4=DL$5),INDEX('Mezz 1 Amortization'!$B$19:$V$379,MATCH(DL$135,'Mezz 1 Amortization'!$E$19:$E$379,0),MATCH('Mezz 1 Amortization'!$R$19,'Mezz 1 Amortization'!$B$19:$V$19,0)),0),0)))</f>
        <v>0</v>
      </c>
      <c r="DM138" s="427">
        <f>-IF(OR('Financing Assumptions'!$P$8="No",DM$135&lt;='Financing Assumptions'!$P$26,DM$135&gt;'Mezz 1 Amortization'!$T$13),0,IF('Mezz 1 Amortization'!$T$4="Monthly",INDEX('Mezz 1 Amortization'!$B$19:$V$379,MATCH(DM$135,'Mezz 1 Amortization'!$E$19:$E$379,0),MATCH('Mezz 1 Amortization'!$R$19,'Mezz 1 Amortization'!$B$19:$V$19,0)),IF('Mezz 1 Amortization'!$T$4="Bi-Annual",IF(OR('Mezz 1 Amortization'!$R$4=DM$5,'Mezz 1 Amortization'!$S$4=DM$5),INDEX('Mezz 1 Amortization'!$B$19:$V$379,MATCH(DM$135,'Mezz 1 Amortization'!$E$19:$E$379,0),MATCH('Mezz 1 Amortization'!$R$19,'Mezz 1 Amortization'!$B$19:$V$19,0)),0),0)))</f>
        <v>0</v>
      </c>
      <c r="DN138" s="427">
        <f>-IF(OR('Financing Assumptions'!$P$8="No",DN$135&lt;='Financing Assumptions'!$P$26,DN$135&gt;'Mezz 1 Amortization'!$T$13),0,IF('Mezz 1 Amortization'!$T$4="Monthly",INDEX('Mezz 1 Amortization'!$B$19:$V$379,MATCH(DN$135,'Mezz 1 Amortization'!$E$19:$E$379,0),MATCH('Mezz 1 Amortization'!$R$19,'Mezz 1 Amortization'!$B$19:$V$19,0)),IF('Mezz 1 Amortization'!$T$4="Bi-Annual",IF(OR('Mezz 1 Amortization'!$R$4=DN$5,'Mezz 1 Amortization'!$S$4=DN$5),INDEX('Mezz 1 Amortization'!$B$19:$V$379,MATCH(DN$135,'Mezz 1 Amortization'!$E$19:$E$379,0),MATCH('Mezz 1 Amortization'!$R$19,'Mezz 1 Amortization'!$B$19:$V$19,0)),0),0)))</f>
        <v>0</v>
      </c>
      <c r="DO138" s="427">
        <f>-IF(OR('Financing Assumptions'!$P$8="No",DO$135&lt;='Financing Assumptions'!$P$26,DO$135&gt;'Mezz 1 Amortization'!$T$13),0,IF('Mezz 1 Amortization'!$T$4="Monthly",INDEX('Mezz 1 Amortization'!$B$19:$V$379,MATCH(DO$135,'Mezz 1 Amortization'!$E$19:$E$379,0),MATCH('Mezz 1 Amortization'!$R$19,'Mezz 1 Amortization'!$B$19:$V$19,0)),IF('Mezz 1 Amortization'!$T$4="Bi-Annual",IF(OR('Mezz 1 Amortization'!$R$4=DO$5,'Mezz 1 Amortization'!$S$4=DO$5),INDEX('Mezz 1 Amortization'!$B$19:$V$379,MATCH(DO$135,'Mezz 1 Amortization'!$E$19:$E$379,0),MATCH('Mezz 1 Amortization'!$R$19,'Mezz 1 Amortization'!$B$19:$V$19,0)),0),0)))</f>
        <v>0</v>
      </c>
      <c r="DP138" s="427">
        <f>-IF(OR('Financing Assumptions'!$P$8="No",DP$135&lt;='Financing Assumptions'!$P$26,DP$135&gt;'Mezz 1 Amortization'!$T$13),0,IF('Mezz 1 Amortization'!$T$4="Monthly",INDEX('Mezz 1 Amortization'!$B$19:$V$379,MATCH(DP$135,'Mezz 1 Amortization'!$E$19:$E$379,0),MATCH('Mezz 1 Amortization'!$R$19,'Mezz 1 Amortization'!$B$19:$V$19,0)),IF('Mezz 1 Amortization'!$T$4="Bi-Annual",IF(OR('Mezz 1 Amortization'!$R$4=DP$5,'Mezz 1 Amortization'!$S$4=DP$5),INDEX('Mezz 1 Amortization'!$B$19:$V$379,MATCH(DP$135,'Mezz 1 Amortization'!$E$19:$E$379,0),MATCH('Mezz 1 Amortization'!$R$19,'Mezz 1 Amortization'!$B$19:$V$19,0)),0),0)))</f>
        <v>0</v>
      </c>
      <c r="DQ138" s="427">
        <f>-IF(OR('Financing Assumptions'!$P$8="No",DQ$135&lt;='Financing Assumptions'!$P$26,DQ$135&gt;'Mezz 1 Amortization'!$T$13),0,IF('Mezz 1 Amortization'!$T$4="Monthly",INDEX('Mezz 1 Amortization'!$B$19:$V$379,MATCH(DQ$135,'Mezz 1 Amortization'!$E$19:$E$379,0),MATCH('Mezz 1 Amortization'!$R$19,'Mezz 1 Amortization'!$B$19:$V$19,0)),IF('Mezz 1 Amortization'!$T$4="Bi-Annual",IF(OR('Mezz 1 Amortization'!$R$4=DQ$5,'Mezz 1 Amortization'!$S$4=DQ$5),INDEX('Mezz 1 Amortization'!$B$19:$V$379,MATCH(DQ$135,'Mezz 1 Amortization'!$E$19:$E$379,0),MATCH('Mezz 1 Amortization'!$R$19,'Mezz 1 Amortization'!$B$19:$V$19,0)),0),0)))</f>
        <v>0</v>
      </c>
      <c r="DR138" s="427">
        <f>-IF(OR('Financing Assumptions'!$P$8="No",DR$135&lt;='Financing Assumptions'!$P$26,DR$135&gt;'Mezz 1 Amortization'!$T$13),0,IF('Mezz 1 Amortization'!$T$4="Monthly",INDEX('Mezz 1 Amortization'!$B$19:$V$379,MATCH(DR$135,'Mezz 1 Amortization'!$E$19:$E$379,0),MATCH('Mezz 1 Amortization'!$R$19,'Mezz 1 Amortization'!$B$19:$V$19,0)),IF('Mezz 1 Amortization'!$T$4="Bi-Annual",IF(OR('Mezz 1 Amortization'!$R$4=DR$5,'Mezz 1 Amortization'!$S$4=DR$5),INDEX('Mezz 1 Amortization'!$B$19:$V$379,MATCH(DR$135,'Mezz 1 Amortization'!$E$19:$E$379,0),MATCH('Mezz 1 Amortization'!$R$19,'Mezz 1 Amortization'!$B$19:$V$19,0)),0),0)))</f>
        <v>0</v>
      </c>
      <c r="DS138" s="427">
        <f>-IF(OR('Financing Assumptions'!$P$8="No",DS$135&lt;='Financing Assumptions'!$P$26,DS$135&gt;'Mezz 1 Amortization'!$T$13),0,IF('Mezz 1 Amortization'!$T$4="Monthly",INDEX('Mezz 1 Amortization'!$B$19:$V$379,MATCH(DS$135,'Mezz 1 Amortization'!$E$19:$E$379,0),MATCH('Mezz 1 Amortization'!$R$19,'Mezz 1 Amortization'!$B$19:$V$19,0)),IF('Mezz 1 Amortization'!$T$4="Bi-Annual",IF(OR('Mezz 1 Amortization'!$R$4=DS$5,'Mezz 1 Amortization'!$S$4=DS$5),INDEX('Mezz 1 Amortization'!$B$19:$V$379,MATCH(DS$135,'Mezz 1 Amortization'!$E$19:$E$379,0),MATCH('Mezz 1 Amortization'!$R$19,'Mezz 1 Amortization'!$B$19:$V$19,0)),0),0)))</f>
        <v>0</v>
      </c>
      <c r="DT138" s="427">
        <f>-IF(OR('Financing Assumptions'!$P$8="No",DT$135&lt;='Financing Assumptions'!$P$26,DT$135&gt;'Mezz 1 Amortization'!$T$13),0,IF('Mezz 1 Amortization'!$T$4="Monthly",INDEX('Mezz 1 Amortization'!$B$19:$V$379,MATCH(DT$135,'Mezz 1 Amortization'!$E$19:$E$379,0),MATCH('Mezz 1 Amortization'!$R$19,'Mezz 1 Amortization'!$B$19:$V$19,0)),IF('Mezz 1 Amortization'!$T$4="Bi-Annual",IF(OR('Mezz 1 Amortization'!$R$4=DT$5,'Mezz 1 Amortization'!$S$4=DT$5),INDEX('Mezz 1 Amortization'!$B$19:$V$379,MATCH(DT$135,'Mezz 1 Amortization'!$E$19:$E$379,0),MATCH('Mezz 1 Amortization'!$R$19,'Mezz 1 Amortization'!$B$19:$V$19,0)),0),0)))</f>
        <v>0</v>
      </c>
      <c r="DU138" s="427">
        <f>-IF(OR('Financing Assumptions'!$P$8="No",DU$135&lt;='Financing Assumptions'!$P$26,DU$135&gt;'Mezz 1 Amortization'!$T$13),0,IF('Mezz 1 Amortization'!$T$4="Monthly",INDEX('Mezz 1 Amortization'!$B$19:$V$379,MATCH(DU$135,'Mezz 1 Amortization'!$E$19:$E$379,0),MATCH('Mezz 1 Amortization'!$R$19,'Mezz 1 Amortization'!$B$19:$V$19,0)),IF('Mezz 1 Amortization'!$T$4="Bi-Annual",IF(OR('Mezz 1 Amortization'!$R$4=DU$5,'Mezz 1 Amortization'!$S$4=DU$5),INDEX('Mezz 1 Amortization'!$B$19:$V$379,MATCH(DU$135,'Mezz 1 Amortization'!$E$19:$E$379,0),MATCH('Mezz 1 Amortization'!$R$19,'Mezz 1 Amortization'!$B$19:$V$19,0)),0),0)))</f>
        <v>0</v>
      </c>
      <c r="DV138" s="427">
        <f>-IF(OR('Financing Assumptions'!$P$8="No",DV$135&lt;='Financing Assumptions'!$P$26,DV$135&gt;'Mezz 1 Amortization'!$T$13),0,IF('Mezz 1 Amortization'!$T$4="Monthly",INDEX('Mezz 1 Amortization'!$B$19:$V$379,MATCH(DV$135,'Mezz 1 Amortization'!$E$19:$E$379,0),MATCH('Mezz 1 Amortization'!$R$19,'Mezz 1 Amortization'!$B$19:$V$19,0)),IF('Mezz 1 Amortization'!$T$4="Bi-Annual",IF(OR('Mezz 1 Amortization'!$R$4=DV$5,'Mezz 1 Amortization'!$S$4=DV$5),INDEX('Mezz 1 Amortization'!$B$19:$V$379,MATCH(DV$135,'Mezz 1 Amortization'!$E$19:$E$379,0),MATCH('Mezz 1 Amortization'!$R$19,'Mezz 1 Amortization'!$B$19:$V$19,0)),0),0)))</f>
        <v>0</v>
      </c>
      <c r="DW138" s="427">
        <f>-IF(OR('Financing Assumptions'!$P$8="No",DW$135&lt;='Financing Assumptions'!$P$26,DW$135&gt;'Mezz 1 Amortization'!$T$13),0,IF('Mezz 1 Amortization'!$T$4="Monthly",INDEX('Mezz 1 Amortization'!$B$19:$V$379,MATCH(DW$135,'Mezz 1 Amortization'!$E$19:$E$379,0),MATCH('Mezz 1 Amortization'!$R$19,'Mezz 1 Amortization'!$B$19:$V$19,0)),IF('Mezz 1 Amortization'!$T$4="Bi-Annual",IF(OR('Mezz 1 Amortization'!$R$4=DW$5,'Mezz 1 Amortization'!$S$4=DW$5),INDEX('Mezz 1 Amortization'!$B$19:$V$379,MATCH(DW$135,'Mezz 1 Amortization'!$E$19:$E$379,0),MATCH('Mezz 1 Amortization'!$R$19,'Mezz 1 Amortization'!$B$19:$V$19,0)),0),0)))</f>
        <v>0</v>
      </c>
      <c r="DX138" s="427">
        <f>-IF(OR('Financing Assumptions'!$P$8="No",DX$135&lt;='Financing Assumptions'!$P$26,DX$135&gt;'Mezz 1 Amortization'!$T$13),0,IF('Mezz 1 Amortization'!$T$4="Monthly",INDEX('Mezz 1 Amortization'!$B$19:$V$379,MATCH(DX$135,'Mezz 1 Amortization'!$E$19:$E$379,0),MATCH('Mezz 1 Amortization'!$R$19,'Mezz 1 Amortization'!$B$19:$V$19,0)),IF('Mezz 1 Amortization'!$T$4="Bi-Annual",IF(OR('Mezz 1 Amortization'!$R$4=DX$5,'Mezz 1 Amortization'!$S$4=DX$5),INDEX('Mezz 1 Amortization'!$B$19:$V$379,MATCH(DX$135,'Mezz 1 Amortization'!$E$19:$E$379,0),MATCH('Mezz 1 Amortization'!$R$19,'Mezz 1 Amortization'!$B$19:$V$19,0)),0),0)))</f>
        <v>0</v>
      </c>
      <c r="DY138" s="427">
        <f>-IF(OR('Financing Assumptions'!$P$8="No",DY$135&lt;='Financing Assumptions'!$P$26,DY$135&gt;'Mezz 1 Amortization'!$T$13),0,IF('Mezz 1 Amortization'!$T$4="Monthly",INDEX('Mezz 1 Amortization'!$B$19:$V$379,MATCH(DY$135,'Mezz 1 Amortization'!$E$19:$E$379,0),MATCH('Mezz 1 Amortization'!$R$19,'Mezz 1 Amortization'!$B$19:$V$19,0)),IF('Mezz 1 Amortization'!$T$4="Bi-Annual",IF(OR('Mezz 1 Amortization'!$R$4=DY$5,'Mezz 1 Amortization'!$S$4=DY$5),INDEX('Mezz 1 Amortization'!$B$19:$V$379,MATCH(DY$135,'Mezz 1 Amortization'!$E$19:$E$379,0),MATCH('Mezz 1 Amortization'!$R$19,'Mezz 1 Amortization'!$B$19:$V$19,0)),0),0)))</f>
        <v>0</v>
      </c>
      <c r="DZ138" s="427">
        <f>-IF(OR('Financing Assumptions'!$P$8="No",DZ$135&lt;='Financing Assumptions'!$P$26,DZ$135&gt;'Mezz 1 Amortization'!$T$13),0,IF('Mezz 1 Amortization'!$T$4="Monthly",INDEX('Mezz 1 Amortization'!$B$19:$V$379,MATCH(DZ$135,'Mezz 1 Amortization'!$E$19:$E$379,0),MATCH('Mezz 1 Amortization'!$R$19,'Mezz 1 Amortization'!$B$19:$V$19,0)),IF('Mezz 1 Amortization'!$T$4="Bi-Annual",IF(OR('Mezz 1 Amortization'!$R$4=DZ$5,'Mezz 1 Amortization'!$S$4=DZ$5),INDEX('Mezz 1 Amortization'!$B$19:$V$379,MATCH(DZ$135,'Mezz 1 Amortization'!$E$19:$E$379,0),MATCH('Mezz 1 Amortization'!$R$19,'Mezz 1 Amortization'!$B$19:$V$19,0)),0),0)))</f>
        <v>0</v>
      </c>
      <c r="EA138" s="427">
        <f>-IF(OR('Financing Assumptions'!$P$8="No",EA$135&lt;='Financing Assumptions'!$P$26,EA$135&gt;'Mezz 1 Amortization'!$T$13),0,IF('Mezz 1 Amortization'!$T$4="Monthly",INDEX('Mezz 1 Amortization'!$B$19:$V$379,MATCH(EA$135,'Mezz 1 Amortization'!$E$19:$E$379,0),MATCH('Mezz 1 Amortization'!$R$19,'Mezz 1 Amortization'!$B$19:$V$19,0)),IF('Mezz 1 Amortization'!$T$4="Bi-Annual",IF(OR('Mezz 1 Amortization'!$R$4=EA$5,'Mezz 1 Amortization'!$S$4=EA$5),INDEX('Mezz 1 Amortization'!$B$19:$V$379,MATCH(EA$135,'Mezz 1 Amortization'!$E$19:$E$379,0),MATCH('Mezz 1 Amortization'!$R$19,'Mezz 1 Amortization'!$B$19:$V$19,0)),0),0)))</f>
        <v>0</v>
      </c>
      <c r="EB138" s="427">
        <f>-IF(OR('Financing Assumptions'!$P$8="No",EB$135&lt;='Financing Assumptions'!$P$26,EB$135&gt;'Mezz 1 Amortization'!$T$13),0,IF('Mezz 1 Amortization'!$T$4="Monthly",INDEX('Mezz 1 Amortization'!$B$19:$V$379,MATCH(EB$135,'Mezz 1 Amortization'!$E$19:$E$379,0),MATCH('Mezz 1 Amortization'!$R$19,'Mezz 1 Amortization'!$B$19:$V$19,0)),IF('Mezz 1 Amortization'!$T$4="Bi-Annual",IF(OR('Mezz 1 Amortization'!$R$4=EB$5,'Mezz 1 Amortization'!$S$4=EB$5),INDEX('Mezz 1 Amortization'!$B$19:$V$379,MATCH(EB$135,'Mezz 1 Amortization'!$E$19:$E$379,0),MATCH('Mezz 1 Amortization'!$R$19,'Mezz 1 Amortization'!$B$19:$V$19,0)),0),0)))</f>
        <v>0</v>
      </c>
      <c r="EC138" s="427">
        <f>-IF(OR('Financing Assumptions'!$P$8="No",EC$135&lt;='Financing Assumptions'!$P$26,EC$135&gt;'Mezz 1 Amortization'!$T$13),0,IF('Mezz 1 Amortization'!$T$4="Monthly",INDEX('Mezz 1 Amortization'!$B$19:$V$379,MATCH(EC$135,'Mezz 1 Amortization'!$E$19:$E$379,0),MATCH('Mezz 1 Amortization'!$R$19,'Mezz 1 Amortization'!$B$19:$V$19,0)),IF('Mezz 1 Amortization'!$T$4="Bi-Annual",IF(OR('Mezz 1 Amortization'!$R$4=EC$5,'Mezz 1 Amortization'!$S$4=EC$5),INDEX('Mezz 1 Amortization'!$B$19:$V$379,MATCH(EC$135,'Mezz 1 Amortization'!$E$19:$E$379,0),MATCH('Mezz 1 Amortization'!$R$19,'Mezz 1 Amortization'!$B$19:$V$19,0)),0),0)))</f>
        <v>0</v>
      </c>
      <c r="ED138" s="427">
        <f>-IF(OR('Financing Assumptions'!$P$8="No",ED$135&lt;='Financing Assumptions'!$P$26,ED$135&gt;'Mezz 1 Amortization'!$T$13),0,IF('Mezz 1 Amortization'!$T$4="Monthly",INDEX('Mezz 1 Amortization'!$B$19:$V$379,MATCH(ED$135,'Mezz 1 Amortization'!$E$19:$E$379,0),MATCH('Mezz 1 Amortization'!$R$19,'Mezz 1 Amortization'!$B$19:$V$19,0)),IF('Mezz 1 Amortization'!$T$4="Bi-Annual",IF(OR('Mezz 1 Amortization'!$R$4=ED$5,'Mezz 1 Amortization'!$S$4=ED$5),INDEX('Mezz 1 Amortization'!$B$19:$V$379,MATCH(ED$135,'Mezz 1 Amortization'!$E$19:$E$379,0),MATCH('Mezz 1 Amortization'!$R$19,'Mezz 1 Amortization'!$B$19:$V$19,0)),0),0)))</f>
        <v>0</v>
      </c>
      <c r="EE138" s="427">
        <f>-IF(OR('Financing Assumptions'!$P$8="No",EE$135&lt;='Financing Assumptions'!$P$26,EE$135&gt;'Mezz 1 Amortization'!$T$13),0,IF('Mezz 1 Amortization'!$T$4="Monthly",INDEX('Mezz 1 Amortization'!$B$19:$V$379,MATCH(EE$135,'Mezz 1 Amortization'!$E$19:$E$379,0),MATCH('Mezz 1 Amortization'!$R$19,'Mezz 1 Amortization'!$B$19:$V$19,0)),IF('Mezz 1 Amortization'!$T$4="Bi-Annual",IF(OR('Mezz 1 Amortization'!$R$4=EE$5,'Mezz 1 Amortization'!$S$4=EE$5),INDEX('Mezz 1 Amortization'!$B$19:$V$379,MATCH(EE$135,'Mezz 1 Amortization'!$E$19:$E$379,0),MATCH('Mezz 1 Amortization'!$R$19,'Mezz 1 Amortization'!$B$19:$V$19,0)),0),0)))</f>
        <v>0</v>
      </c>
      <c r="EF138" s="427">
        <f>-IF(OR('Financing Assumptions'!$P$8="No",EF$135&lt;='Financing Assumptions'!$P$26,EF$135&gt;'Mezz 1 Amortization'!$T$13),0,IF('Mezz 1 Amortization'!$T$4="Monthly",INDEX('Mezz 1 Amortization'!$B$19:$V$379,MATCH(EF$135,'Mezz 1 Amortization'!$E$19:$E$379,0),MATCH('Mezz 1 Amortization'!$R$19,'Mezz 1 Amortization'!$B$19:$V$19,0)),IF('Mezz 1 Amortization'!$T$4="Bi-Annual",IF(OR('Mezz 1 Amortization'!$R$4=EF$5,'Mezz 1 Amortization'!$S$4=EF$5),INDEX('Mezz 1 Amortization'!$B$19:$V$379,MATCH(EF$135,'Mezz 1 Amortization'!$E$19:$E$379,0),MATCH('Mezz 1 Amortization'!$R$19,'Mezz 1 Amortization'!$B$19:$V$19,0)),0),0)))</f>
        <v>0</v>
      </c>
      <c r="EG138" s="427">
        <f>-IF(OR('Financing Assumptions'!$P$8="No",EG$135&lt;='Financing Assumptions'!$P$26,EG$135&gt;'Mezz 1 Amortization'!$T$13),0,IF('Mezz 1 Amortization'!$T$4="Monthly",INDEX('Mezz 1 Amortization'!$B$19:$V$379,MATCH(EG$135,'Mezz 1 Amortization'!$E$19:$E$379,0),MATCH('Mezz 1 Amortization'!$R$19,'Mezz 1 Amortization'!$B$19:$V$19,0)),IF('Mezz 1 Amortization'!$T$4="Bi-Annual",IF(OR('Mezz 1 Amortization'!$R$4=EG$5,'Mezz 1 Amortization'!$S$4=EG$5),INDEX('Mezz 1 Amortization'!$B$19:$V$379,MATCH(EG$135,'Mezz 1 Amortization'!$E$19:$E$379,0),MATCH('Mezz 1 Amortization'!$R$19,'Mezz 1 Amortization'!$B$19:$V$19,0)),0),0)))</f>
        <v>0</v>
      </c>
      <c r="EH138" s="427">
        <f>-IF(OR('Financing Assumptions'!$P$8="No",EH$135&lt;='Financing Assumptions'!$P$26,EH$135&gt;'Mezz 1 Amortization'!$T$13),0,IF('Mezz 1 Amortization'!$T$4="Monthly",INDEX('Mezz 1 Amortization'!$B$19:$V$379,MATCH(EH$135,'Mezz 1 Amortization'!$E$19:$E$379,0),MATCH('Mezz 1 Amortization'!$R$19,'Mezz 1 Amortization'!$B$19:$V$19,0)),IF('Mezz 1 Amortization'!$T$4="Bi-Annual",IF(OR('Mezz 1 Amortization'!$R$4=EH$5,'Mezz 1 Amortization'!$S$4=EH$5),INDEX('Mezz 1 Amortization'!$B$19:$V$379,MATCH(EH$135,'Mezz 1 Amortization'!$E$19:$E$379,0),MATCH('Mezz 1 Amortization'!$R$19,'Mezz 1 Amortization'!$B$19:$V$19,0)),0),0)))</f>
        <v>0</v>
      </c>
      <c r="EI138" s="427">
        <f>-IF(OR('Financing Assumptions'!$P$8="No",EI$135&lt;='Financing Assumptions'!$P$26,EI$135&gt;'Mezz 1 Amortization'!$T$13),0,IF('Mezz 1 Amortization'!$T$4="Monthly",INDEX('Mezz 1 Amortization'!$B$19:$V$379,MATCH(EI$135,'Mezz 1 Amortization'!$E$19:$E$379,0),MATCH('Mezz 1 Amortization'!$R$19,'Mezz 1 Amortization'!$B$19:$V$19,0)),IF('Mezz 1 Amortization'!$T$4="Bi-Annual",IF(OR('Mezz 1 Amortization'!$R$4=EI$5,'Mezz 1 Amortization'!$S$4=EI$5),INDEX('Mezz 1 Amortization'!$B$19:$V$379,MATCH(EI$135,'Mezz 1 Amortization'!$E$19:$E$379,0),MATCH('Mezz 1 Amortization'!$R$19,'Mezz 1 Amortization'!$B$19:$V$19,0)),0),0)))</f>
        <v>0</v>
      </c>
      <c r="EJ138" s="427">
        <f>-IF(OR('Financing Assumptions'!$P$8="No",EJ$135&lt;='Financing Assumptions'!$P$26,EJ$135&gt;'Mezz 1 Amortization'!$T$13),0,IF('Mezz 1 Amortization'!$T$4="Monthly",INDEX('Mezz 1 Amortization'!$B$19:$V$379,MATCH(EJ$135,'Mezz 1 Amortization'!$E$19:$E$379,0),MATCH('Mezz 1 Amortization'!$R$19,'Mezz 1 Amortization'!$B$19:$V$19,0)),IF('Mezz 1 Amortization'!$T$4="Bi-Annual",IF(OR('Mezz 1 Amortization'!$R$4=EJ$5,'Mezz 1 Amortization'!$S$4=EJ$5),INDEX('Mezz 1 Amortization'!$B$19:$V$379,MATCH(EJ$135,'Mezz 1 Amortization'!$E$19:$E$379,0),MATCH('Mezz 1 Amortization'!$R$19,'Mezz 1 Amortization'!$B$19:$V$19,0)),0),0)))</f>
        <v>0</v>
      </c>
      <c r="EK138" s="427">
        <f>-IF(OR('Financing Assumptions'!$P$8="No",EK$135&lt;='Financing Assumptions'!$P$26,EK$135&gt;'Mezz 1 Amortization'!$T$13),0,IF('Mezz 1 Amortization'!$T$4="Monthly",INDEX('Mezz 1 Amortization'!$B$19:$V$379,MATCH(EK$135,'Mezz 1 Amortization'!$E$19:$E$379,0),MATCH('Mezz 1 Amortization'!$R$19,'Mezz 1 Amortization'!$B$19:$V$19,0)),IF('Mezz 1 Amortization'!$T$4="Bi-Annual",IF(OR('Mezz 1 Amortization'!$R$4=EK$5,'Mezz 1 Amortization'!$S$4=EK$5),INDEX('Mezz 1 Amortization'!$B$19:$V$379,MATCH(EK$135,'Mezz 1 Amortization'!$E$19:$E$379,0),MATCH('Mezz 1 Amortization'!$R$19,'Mezz 1 Amortization'!$B$19:$V$19,0)),0),0)))</f>
        <v>0</v>
      </c>
      <c r="EL138" s="427">
        <f>-IF(OR('Financing Assumptions'!$P$8="No",EL$135&lt;='Financing Assumptions'!$P$26,EL$135&gt;'Mezz 1 Amortization'!$T$13),0,IF('Mezz 1 Amortization'!$T$4="Monthly",INDEX('Mezz 1 Amortization'!$B$19:$V$379,MATCH(EL$135,'Mezz 1 Amortization'!$E$19:$E$379,0),MATCH('Mezz 1 Amortization'!$R$19,'Mezz 1 Amortization'!$B$19:$V$19,0)),IF('Mezz 1 Amortization'!$T$4="Bi-Annual",IF(OR('Mezz 1 Amortization'!$R$4=EL$5,'Mezz 1 Amortization'!$S$4=EL$5),INDEX('Mezz 1 Amortization'!$B$19:$V$379,MATCH(EL$135,'Mezz 1 Amortization'!$E$19:$E$379,0),MATCH('Mezz 1 Amortization'!$R$19,'Mezz 1 Amortization'!$B$19:$V$19,0)),0),0)))</f>
        <v>0</v>
      </c>
      <c r="EM138" s="427">
        <f>-IF(OR('Financing Assumptions'!$P$8="No",EM$135&lt;='Financing Assumptions'!$P$26,EM$135&gt;'Mezz 1 Amortization'!$T$13),0,IF('Mezz 1 Amortization'!$T$4="Monthly",INDEX('Mezz 1 Amortization'!$B$19:$V$379,MATCH(EM$135,'Mezz 1 Amortization'!$E$19:$E$379,0),MATCH('Mezz 1 Amortization'!$R$19,'Mezz 1 Amortization'!$B$19:$V$19,0)),IF('Mezz 1 Amortization'!$T$4="Bi-Annual",IF(OR('Mezz 1 Amortization'!$R$4=EM$5,'Mezz 1 Amortization'!$S$4=EM$5),INDEX('Mezz 1 Amortization'!$B$19:$V$379,MATCH(EM$135,'Mezz 1 Amortization'!$E$19:$E$379,0),MATCH('Mezz 1 Amortization'!$R$19,'Mezz 1 Amortization'!$B$19:$V$19,0)),0),0)))</f>
        <v>0</v>
      </c>
      <c r="EN138" s="427">
        <f>-IF(OR('Financing Assumptions'!$P$8="No",EN$135&lt;='Financing Assumptions'!$P$26,EN$135&gt;'Mezz 1 Amortization'!$T$13),0,IF('Mezz 1 Amortization'!$T$4="Monthly",INDEX('Mezz 1 Amortization'!$B$19:$V$379,MATCH(EN$135,'Mezz 1 Amortization'!$E$19:$E$379,0),MATCH('Mezz 1 Amortization'!$R$19,'Mezz 1 Amortization'!$B$19:$V$19,0)),IF('Mezz 1 Amortization'!$T$4="Bi-Annual",IF(OR('Mezz 1 Amortization'!$R$4=EN$5,'Mezz 1 Amortization'!$S$4=EN$5),INDEX('Mezz 1 Amortization'!$B$19:$V$379,MATCH(EN$135,'Mezz 1 Amortization'!$E$19:$E$379,0),MATCH('Mezz 1 Amortization'!$R$19,'Mezz 1 Amortization'!$B$19:$V$19,0)),0),0)))</f>
        <v>0</v>
      </c>
      <c r="EO138" s="427">
        <f>-IF(OR('Financing Assumptions'!$P$8="No",EO$135&lt;='Financing Assumptions'!$P$26,EO$135&gt;'Mezz 1 Amortization'!$T$13),0,IF('Mezz 1 Amortization'!$T$4="Monthly",INDEX('Mezz 1 Amortization'!$B$19:$V$379,MATCH(EO$135,'Mezz 1 Amortization'!$E$19:$E$379,0),MATCH('Mezz 1 Amortization'!$R$19,'Mezz 1 Amortization'!$B$19:$V$19,0)),IF('Mezz 1 Amortization'!$T$4="Bi-Annual",IF(OR('Mezz 1 Amortization'!$R$4=EO$5,'Mezz 1 Amortization'!$S$4=EO$5),INDEX('Mezz 1 Amortization'!$B$19:$V$379,MATCH(EO$135,'Mezz 1 Amortization'!$E$19:$E$379,0),MATCH('Mezz 1 Amortization'!$R$19,'Mezz 1 Amortization'!$B$19:$V$19,0)),0),0)))</f>
        <v>0</v>
      </c>
      <c r="EP138" s="427">
        <f>-IF(OR('Financing Assumptions'!$P$8="No",EP$135&lt;='Financing Assumptions'!$P$26,EP$135&gt;'Mezz 1 Amortization'!$T$13),0,IF('Mezz 1 Amortization'!$T$4="Monthly",INDEX('Mezz 1 Amortization'!$B$19:$V$379,MATCH(EP$135,'Mezz 1 Amortization'!$E$19:$E$379,0),MATCH('Mezz 1 Amortization'!$R$19,'Mezz 1 Amortization'!$B$19:$V$19,0)),IF('Mezz 1 Amortization'!$T$4="Bi-Annual",IF(OR('Mezz 1 Amortization'!$R$4=EP$5,'Mezz 1 Amortization'!$S$4=EP$5),INDEX('Mezz 1 Amortization'!$B$19:$V$379,MATCH(EP$135,'Mezz 1 Amortization'!$E$19:$E$379,0),MATCH('Mezz 1 Amortization'!$R$19,'Mezz 1 Amortization'!$B$19:$V$19,0)),0),0)))</f>
        <v>0</v>
      </c>
      <c r="EQ138" s="427">
        <f>-IF(OR('Financing Assumptions'!$P$8="No",EQ$135&lt;='Financing Assumptions'!$P$26,EQ$135&gt;'Mezz 1 Amortization'!$T$13),0,IF('Mezz 1 Amortization'!$T$4="Monthly",INDEX('Mezz 1 Amortization'!$B$19:$V$379,MATCH(EQ$135,'Mezz 1 Amortization'!$E$19:$E$379,0),MATCH('Mezz 1 Amortization'!$R$19,'Mezz 1 Amortization'!$B$19:$V$19,0)),IF('Mezz 1 Amortization'!$T$4="Bi-Annual",IF(OR('Mezz 1 Amortization'!$R$4=EQ$5,'Mezz 1 Amortization'!$S$4=EQ$5),INDEX('Mezz 1 Amortization'!$B$19:$V$379,MATCH(EQ$135,'Mezz 1 Amortization'!$E$19:$E$379,0),MATCH('Mezz 1 Amortization'!$R$19,'Mezz 1 Amortization'!$B$19:$V$19,0)),0),0)))</f>
        <v>0</v>
      </c>
      <c r="ER138" s="427">
        <f>-IF(OR('Financing Assumptions'!$P$8="No",ER$135&lt;='Financing Assumptions'!$P$26,ER$135&gt;'Mezz 1 Amortization'!$T$13),0,IF('Mezz 1 Amortization'!$T$4="Monthly",INDEX('Mezz 1 Amortization'!$B$19:$V$379,MATCH(ER$135,'Mezz 1 Amortization'!$E$19:$E$379,0),MATCH('Mezz 1 Amortization'!$R$19,'Mezz 1 Amortization'!$B$19:$V$19,0)),IF('Mezz 1 Amortization'!$T$4="Bi-Annual",IF(OR('Mezz 1 Amortization'!$R$4=ER$5,'Mezz 1 Amortization'!$S$4=ER$5),INDEX('Mezz 1 Amortization'!$B$19:$V$379,MATCH(ER$135,'Mezz 1 Amortization'!$E$19:$E$379,0),MATCH('Mezz 1 Amortization'!$R$19,'Mezz 1 Amortization'!$B$19:$V$19,0)),0),0)))</f>
        <v>0</v>
      </c>
      <c r="ES138" s="427">
        <f>-IF(OR('Financing Assumptions'!$P$8="No",ES$135&lt;='Financing Assumptions'!$P$26,ES$135&gt;'Mezz 1 Amortization'!$T$13),0,IF('Mezz 1 Amortization'!$T$4="Monthly",INDEX('Mezz 1 Amortization'!$B$19:$V$379,MATCH(ES$135,'Mezz 1 Amortization'!$E$19:$E$379,0),MATCH('Mezz 1 Amortization'!$R$19,'Mezz 1 Amortization'!$B$19:$V$19,0)),IF('Mezz 1 Amortization'!$T$4="Bi-Annual",IF(OR('Mezz 1 Amortization'!$R$4=ES$5,'Mezz 1 Amortization'!$S$4=ES$5),INDEX('Mezz 1 Amortization'!$B$19:$V$379,MATCH(ES$135,'Mezz 1 Amortization'!$E$19:$E$379,0),MATCH('Mezz 1 Amortization'!$R$19,'Mezz 1 Amortization'!$B$19:$V$19,0)),0),0)))</f>
        <v>0</v>
      </c>
      <c r="ET138" s="427">
        <f>-IF(OR('Financing Assumptions'!$P$8="No",ET$135&lt;='Financing Assumptions'!$P$26,ET$135&gt;'Mezz 1 Amortization'!$T$13),0,IF('Mezz 1 Amortization'!$T$4="Monthly",INDEX('Mezz 1 Amortization'!$B$19:$V$379,MATCH(ET$135,'Mezz 1 Amortization'!$E$19:$E$379,0),MATCH('Mezz 1 Amortization'!$R$19,'Mezz 1 Amortization'!$B$19:$V$19,0)),IF('Mezz 1 Amortization'!$T$4="Bi-Annual",IF(OR('Mezz 1 Amortization'!$R$4=ET$5,'Mezz 1 Amortization'!$S$4=ET$5),INDEX('Mezz 1 Amortization'!$B$19:$V$379,MATCH(ET$135,'Mezz 1 Amortization'!$E$19:$E$379,0),MATCH('Mezz 1 Amortization'!$R$19,'Mezz 1 Amortization'!$B$19:$V$19,0)),0),0)))</f>
        <v>0</v>
      </c>
      <c r="EU138" s="427">
        <f>-IF(OR('Financing Assumptions'!$P$8="No",EU$135&lt;='Financing Assumptions'!$P$26,EU$135&gt;'Mezz 1 Amortization'!$T$13),0,IF('Mezz 1 Amortization'!$T$4="Monthly",INDEX('Mezz 1 Amortization'!$B$19:$V$379,MATCH(EU$135,'Mezz 1 Amortization'!$E$19:$E$379,0),MATCH('Mezz 1 Amortization'!$R$19,'Mezz 1 Amortization'!$B$19:$V$19,0)),IF('Mezz 1 Amortization'!$T$4="Bi-Annual",IF(OR('Mezz 1 Amortization'!$R$4=EU$5,'Mezz 1 Amortization'!$S$4=EU$5),INDEX('Mezz 1 Amortization'!$B$19:$V$379,MATCH(EU$135,'Mezz 1 Amortization'!$E$19:$E$379,0),MATCH('Mezz 1 Amortization'!$R$19,'Mezz 1 Amortization'!$B$19:$V$19,0)),0),0)))</f>
        <v>0</v>
      </c>
      <c r="EV138" s="427">
        <f>-IF(OR('Financing Assumptions'!$P$8="No",EV$135&lt;='Financing Assumptions'!$P$26,EV$135&gt;'Mezz 1 Amortization'!$T$13),0,IF('Mezz 1 Amortization'!$T$4="Monthly",INDEX('Mezz 1 Amortization'!$B$19:$V$379,MATCH(EV$135,'Mezz 1 Amortization'!$E$19:$E$379,0),MATCH('Mezz 1 Amortization'!$R$19,'Mezz 1 Amortization'!$B$19:$V$19,0)),IF('Mezz 1 Amortization'!$T$4="Bi-Annual",IF(OR('Mezz 1 Amortization'!$R$4=EV$5,'Mezz 1 Amortization'!$S$4=EV$5),INDEX('Mezz 1 Amortization'!$B$19:$V$379,MATCH(EV$135,'Mezz 1 Amortization'!$E$19:$E$379,0),MATCH('Mezz 1 Amortization'!$R$19,'Mezz 1 Amortization'!$B$19:$V$19,0)),0),0)))</f>
        <v>0</v>
      </c>
      <c r="EW138" s="427">
        <f>-IF(OR('Financing Assumptions'!$P$8="No",EW$135&lt;='Financing Assumptions'!$P$26,EW$135&gt;'Mezz 1 Amortization'!$T$13),0,IF('Mezz 1 Amortization'!$T$4="Monthly",INDEX('Mezz 1 Amortization'!$B$19:$V$379,MATCH(EW$135,'Mezz 1 Amortization'!$E$19:$E$379,0),MATCH('Mezz 1 Amortization'!$R$19,'Mezz 1 Amortization'!$B$19:$V$19,0)),IF('Mezz 1 Amortization'!$T$4="Bi-Annual",IF(OR('Mezz 1 Amortization'!$R$4=EW$5,'Mezz 1 Amortization'!$S$4=EW$5),INDEX('Mezz 1 Amortization'!$B$19:$V$379,MATCH(EW$135,'Mezz 1 Amortization'!$E$19:$E$379,0),MATCH('Mezz 1 Amortization'!$R$19,'Mezz 1 Amortization'!$B$19:$V$19,0)),0),0)))</f>
        <v>0</v>
      </c>
      <c r="EX138" s="427">
        <f>-IF(OR('Financing Assumptions'!$P$8="No",EX$135&lt;='Financing Assumptions'!$P$26,EX$135&gt;'Mezz 1 Amortization'!$T$13),0,IF('Mezz 1 Amortization'!$T$4="Monthly",INDEX('Mezz 1 Amortization'!$B$19:$V$379,MATCH(EX$135,'Mezz 1 Amortization'!$E$19:$E$379,0),MATCH('Mezz 1 Amortization'!$R$19,'Mezz 1 Amortization'!$B$19:$V$19,0)),IF('Mezz 1 Amortization'!$T$4="Bi-Annual",IF(OR('Mezz 1 Amortization'!$R$4=EX$5,'Mezz 1 Amortization'!$S$4=EX$5),INDEX('Mezz 1 Amortization'!$B$19:$V$379,MATCH(EX$135,'Mezz 1 Amortization'!$E$19:$E$379,0),MATCH('Mezz 1 Amortization'!$R$19,'Mezz 1 Amortization'!$B$19:$V$19,0)),0),0)))</f>
        <v>0</v>
      </c>
      <c r="EY138" s="427">
        <f>-IF(OR('Financing Assumptions'!$P$8="No",EY$135&lt;='Financing Assumptions'!$P$26,EY$135&gt;'Mezz 1 Amortization'!$T$13),0,IF('Mezz 1 Amortization'!$T$4="Monthly",INDEX('Mezz 1 Amortization'!$B$19:$V$379,MATCH(EY$135,'Mezz 1 Amortization'!$E$19:$E$379,0),MATCH('Mezz 1 Amortization'!$R$19,'Mezz 1 Amortization'!$B$19:$V$19,0)),IF('Mezz 1 Amortization'!$T$4="Bi-Annual",IF(OR('Mezz 1 Amortization'!$R$4=EY$5,'Mezz 1 Amortization'!$S$4=EY$5),INDEX('Mezz 1 Amortization'!$B$19:$V$379,MATCH(EY$135,'Mezz 1 Amortization'!$E$19:$E$379,0),MATCH('Mezz 1 Amortization'!$R$19,'Mezz 1 Amortization'!$B$19:$V$19,0)),0),0)))</f>
        <v>0</v>
      </c>
      <c r="EZ138" s="427">
        <f>-IF(OR('Financing Assumptions'!$P$8="No",EZ$135&lt;='Financing Assumptions'!$P$26,EZ$135&gt;'Mezz 1 Amortization'!$T$13),0,IF('Mezz 1 Amortization'!$T$4="Monthly",INDEX('Mezz 1 Amortization'!$B$19:$V$379,MATCH(EZ$135,'Mezz 1 Amortization'!$E$19:$E$379,0),MATCH('Mezz 1 Amortization'!$R$19,'Mezz 1 Amortization'!$B$19:$V$19,0)),IF('Mezz 1 Amortization'!$T$4="Bi-Annual",IF(OR('Mezz 1 Amortization'!$R$4=EZ$5,'Mezz 1 Amortization'!$S$4=EZ$5),INDEX('Mezz 1 Amortization'!$B$19:$V$379,MATCH(EZ$135,'Mezz 1 Amortization'!$E$19:$E$379,0),MATCH('Mezz 1 Amortization'!$R$19,'Mezz 1 Amortization'!$B$19:$V$19,0)),0),0)))</f>
        <v>0</v>
      </c>
      <c r="FA138" s="427">
        <f>-IF(OR('Financing Assumptions'!$P$8="No",FA$135&lt;='Financing Assumptions'!$P$26,FA$135&gt;'Mezz 1 Amortization'!$T$13),0,IF('Mezz 1 Amortization'!$T$4="Monthly",INDEX('Mezz 1 Amortization'!$B$19:$V$379,MATCH(FA$135,'Mezz 1 Amortization'!$E$19:$E$379,0),MATCH('Mezz 1 Amortization'!$R$19,'Mezz 1 Amortization'!$B$19:$V$19,0)),IF('Mezz 1 Amortization'!$T$4="Bi-Annual",IF(OR('Mezz 1 Amortization'!$R$4=FA$5,'Mezz 1 Amortization'!$S$4=FA$5),INDEX('Mezz 1 Amortization'!$B$19:$V$379,MATCH(FA$135,'Mezz 1 Amortization'!$E$19:$E$379,0),MATCH('Mezz 1 Amortization'!$R$19,'Mezz 1 Amortization'!$B$19:$V$19,0)),0),0)))</f>
        <v>0</v>
      </c>
      <c r="FB138" s="427">
        <f>-IF(OR('Financing Assumptions'!$P$8="No",FB$135&lt;='Financing Assumptions'!$P$26,FB$135&gt;'Mezz 1 Amortization'!$T$13),0,IF('Mezz 1 Amortization'!$T$4="Monthly",INDEX('Mezz 1 Amortization'!$B$19:$V$379,MATCH(FB$135,'Mezz 1 Amortization'!$E$19:$E$379,0),MATCH('Mezz 1 Amortization'!$R$19,'Mezz 1 Amortization'!$B$19:$V$19,0)),IF('Mezz 1 Amortization'!$T$4="Bi-Annual",IF(OR('Mezz 1 Amortization'!$R$4=FB$5,'Mezz 1 Amortization'!$S$4=FB$5),INDEX('Mezz 1 Amortization'!$B$19:$V$379,MATCH(FB$135,'Mezz 1 Amortization'!$E$19:$E$379,0),MATCH('Mezz 1 Amortization'!$R$19,'Mezz 1 Amortization'!$B$19:$V$19,0)),0),0)))</f>
        <v>0</v>
      </c>
      <c r="FC138" s="427">
        <f>-IF(OR('Financing Assumptions'!$P$8="No",FC$135&lt;='Financing Assumptions'!$P$26,FC$135&gt;'Mezz 1 Amortization'!$T$13),0,IF('Mezz 1 Amortization'!$T$4="Monthly",INDEX('Mezz 1 Amortization'!$B$19:$V$379,MATCH(FC$135,'Mezz 1 Amortization'!$E$19:$E$379,0),MATCH('Mezz 1 Amortization'!$R$19,'Mezz 1 Amortization'!$B$19:$V$19,0)),IF('Mezz 1 Amortization'!$T$4="Bi-Annual",IF(OR('Mezz 1 Amortization'!$R$4=FC$5,'Mezz 1 Amortization'!$S$4=FC$5),INDEX('Mezz 1 Amortization'!$B$19:$V$379,MATCH(FC$135,'Mezz 1 Amortization'!$E$19:$E$379,0),MATCH('Mezz 1 Amortization'!$R$19,'Mezz 1 Amortization'!$B$19:$V$19,0)),0),0)))</f>
        <v>0</v>
      </c>
      <c r="FD138" s="427">
        <f>-IF(OR('Financing Assumptions'!$P$8="No",FD$135&lt;='Financing Assumptions'!$P$26,FD$135&gt;'Mezz 1 Amortization'!$T$13),0,IF('Mezz 1 Amortization'!$T$4="Monthly",INDEX('Mezz 1 Amortization'!$B$19:$V$379,MATCH(FD$135,'Mezz 1 Amortization'!$E$19:$E$379,0),MATCH('Mezz 1 Amortization'!$R$19,'Mezz 1 Amortization'!$B$19:$V$19,0)),IF('Mezz 1 Amortization'!$T$4="Bi-Annual",IF(OR('Mezz 1 Amortization'!$R$4=FD$5,'Mezz 1 Amortization'!$S$4=FD$5),INDEX('Mezz 1 Amortization'!$B$19:$V$379,MATCH(FD$135,'Mezz 1 Amortization'!$E$19:$E$379,0),MATCH('Mezz 1 Amortization'!$R$19,'Mezz 1 Amortization'!$B$19:$V$19,0)),0),0)))</f>
        <v>0</v>
      </c>
      <c r="FE138" s="427">
        <f>-IF(OR('Financing Assumptions'!$P$8="No",FE$135&lt;='Financing Assumptions'!$P$26,FE$135&gt;'Mezz 1 Amortization'!$T$13),0,IF('Mezz 1 Amortization'!$T$4="Monthly",INDEX('Mezz 1 Amortization'!$B$19:$V$379,MATCH(FE$135,'Mezz 1 Amortization'!$E$19:$E$379,0),MATCH('Mezz 1 Amortization'!$R$19,'Mezz 1 Amortization'!$B$19:$V$19,0)),IF('Mezz 1 Amortization'!$T$4="Bi-Annual",IF(OR('Mezz 1 Amortization'!$R$4=FE$5,'Mezz 1 Amortization'!$S$4=FE$5),INDEX('Mezz 1 Amortization'!$B$19:$V$379,MATCH(FE$135,'Mezz 1 Amortization'!$E$19:$E$379,0),MATCH('Mezz 1 Amortization'!$R$19,'Mezz 1 Amortization'!$B$19:$V$19,0)),0),0)))</f>
        <v>0</v>
      </c>
      <c r="FF138" s="427">
        <f>-IF(OR('Financing Assumptions'!$P$8="No",FF$135&lt;='Financing Assumptions'!$P$26,FF$135&gt;'Mezz 1 Amortization'!$T$13),0,IF('Mezz 1 Amortization'!$T$4="Monthly",INDEX('Mezz 1 Amortization'!$B$19:$V$379,MATCH(FF$135,'Mezz 1 Amortization'!$E$19:$E$379,0),MATCH('Mezz 1 Amortization'!$R$19,'Mezz 1 Amortization'!$B$19:$V$19,0)),IF('Mezz 1 Amortization'!$T$4="Bi-Annual",IF(OR('Mezz 1 Amortization'!$R$4=FF$5,'Mezz 1 Amortization'!$S$4=FF$5),INDEX('Mezz 1 Amortization'!$B$19:$V$379,MATCH(FF$135,'Mezz 1 Amortization'!$E$19:$E$379,0),MATCH('Mezz 1 Amortization'!$R$19,'Mezz 1 Amortization'!$B$19:$V$19,0)),0),0)))</f>
        <v>0</v>
      </c>
      <c r="FG138" s="427">
        <f>-IF(OR('Financing Assumptions'!$P$8="No",FG$135&lt;='Financing Assumptions'!$P$26,FG$135&gt;'Mezz 1 Amortization'!$T$13),0,IF('Mezz 1 Amortization'!$T$4="Monthly",INDEX('Mezz 1 Amortization'!$B$19:$V$379,MATCH(FG$135,'Mezz 1 Amortization'!$E$19:$E$379,0),MATCH('Mezz 1 Amortization'!$R$19,'Mezz 1 Amortization'!$B$19:$V$19,0)),IF('Mezz 1 Amortization'!$T$4="Bi-Annual",IF(OR('Mezz 1 Amortization'!$R$4=FG$5,'Mezz 1 Amortization'!$S$4=FG$5),INDEX('Mezz 1 Amortization'!$B$19:$V$379,MATCH(FG$135,'Mezz 1 Amortization'!$E$19:$E$379,0),MATCH('Mezz 1 Amortization'!$R$19,'Mezz 1 Amortization'!$B$19:$V$19,0)),0),0)))</f>
        <v>0</v>
      </c>
      <c r="FH138" s="427">
        <f>-IF(OR('Financing Assumptions'!$P$8="No",FH$135&lt;='Financing Assumptions'!$P$26,FH$135&gt;'Mezz 1 Amortization'!$T$13),0,IF('Mezz 1 Amortization'!$T$4="Monthly",INDEX('Mezz 1 Amortization'!$B$19:$V$379,MATCH(FH$135,'Mezz 1 Amortization'!$E$19:$E$379,0),MATCH('Mezz 1 Amortization'!$R$19,'Mezz 1 Amortization'!$B$19:$V$19,0)),IF('Mezz 1 Amortization'!$T$4="Bi-Annual",IF(OR('Mezz 1 Amortization'!$R$4=FH$5,'Mezz 1 Amortization'!$S$4=FH$5),INDEX('Mezz 1 Amortization'!$B$19:$V$379,MATCH(FH$135,'Mezz 1 Amortization'!$E$19:$E$379,0),MATCH('Mezz 1 Amortization'!$R$19,'Mezz 1 Amortization'!$B$19:$V$19,0)),0),0)))</f>
        <v>0</v>
      </c>
      <c r="FI138" s="427">
        <f>-IF(OR('Financing Assumptions'!$P$8="No",FI$135&lt;='Financing Assumptions'!$P$26,FI$135&gt;'Mezz 1 Amortization'!$T$13),0,IF('Mezz 1 Amortization'!$T$4="Monthly",INDEX('Mezz 1 Amortization'!$B$19:$V$379,MATCH(FI$135,'Mezz 1 Amortization'!$E$19:$E$379,0),MATCH('Mezz 1 Amortization'!$R$19,'Mezz 1 Amortization'!$B$19:$V$19,0)),IF('Mezz 1 Amortization'!$T$4="Bi-Annual",IF(OR('Mezz 1 Amortization'!$R$4=FI$5,'Mezz 1 Amortization'!$S$4=FI$5),INDEX('Mezz 1 Amortization'!$B$19:$V$379,MATCH(FI$135,'Mezz 1 Amortization'!$E$19:$E$379,0),MATCH('Mezz 1 Amortization'!$R$19,'Mezz 1 Amortization'!$B$19:$V$19,0)),0),0)))</f>
        <v>0</v>
      </c>
      <c r="FJ138" s="427">
        <f>-IF(OR('Financing Assumptions'!$P$8="No",FJ$135&lt;='Financing Assumptions'!$P$26,FJ$135&gt;'Mezz 1 Amortization'!$T$13),0,IF('Mezz 1 Amortization'!$T$4="Monthly",INDEX('Mezz 1 Amortization'!$B$19:$V$379,MATCH(FJ$135,'Mezz 1 Amortization'!$E$19:$E$379,0),MATCH('Mezz 1 Amortization'!$R$19,'Mezz 1 Amortization'!$B$19:$V$19,0)),IF('Mezz 1 Amortization'!$T$4="Bi-Annual",IF(OR('Mezz 1 Amortization'!$R$4=FJ$5,'Mezz 1 Amortization'!$S$4=FJ$5),INDEX('Mezz 1 Amortization'!$B$19:$V$379,MATCH(FJ$135,'Mezz 1 Amortization'!$E$19:$E$379,0),MATCH('Mezz 1 Amortization'!$R$19,'Mezz 1 Amortization'!$B$19:$V$19,0)),0),0)))</f>
        <v>0</v>
      </c>
      <c r="FK138" s="427">
        <f>-IF(OR('Financing Assumptions'!$P$8="No",FK$135&lt;='Financing Assumptions'!$P$26,FK$135&gt;'Mezz 1 Amortization'!$T$13),0,IF('Mezz 1 Amortization'!$T$4="Monthly",INDEX('Mezz 1 Amortization'!$B$19:$V$379,MATCH(FK$135,'Mezz 1 Amortization'!$E$19:$E$379,0),MATCH('Mezz 1 Amortization'!$R$19,'Mezz 1 Amortization'!$B$19:$V$19,0)),IF('Mezz 1 Amortization'!$T$4="Bi-Annual",IF(OR('Mezz 1 Amortization'!$R$4=FK$5,'Mezz 1 Amortization'!$S$4=FK$5),INDEX('Mezz 1 Amortization'!$B$19:$V$379,MATCH(FK$135,'Mezz 1 Amortization'!$E$19:$E$379,0),MATCH('Mezz 1 Amortization'!$R$19,'Mezz 1 Amortization'!$B$19:$V$19,0)),0),0)))</f>
        <v>0</v>
      </c>
      <c r="FL138" s="427">
        <f>-IF(OR('Financing Assumptions'!$P$8="No",FL$135&lt;='Financing Assumptions'!$P$26,FL$135&gt;'Mezz 1 Amortization'!$T$13),0,IF('Mezz 1 Amortization'!$T$4="Monthly",INDEX('Mezz 1 Amortization'!$B$19:$V$379,MATCH(FL$135,'Mezz 1 Amortization'!$E$19:$E$379,0),MATCH('Mezz 1 Amortization'!$R$19,'Mezz 1 Amortization'!$B$19:$V$19,0)),IF('Mezz 1 Amortization'!$T$4="Bi-Annual",IF(OR('Mezz 1 Amortization'!$R$4=FL$5,'Mezz 1 Amortization'!$S$4=FL$5),INDEX('Mezz 1 Amortization'!$B$19:$V$379,MATCH(FL$135,'Mezz 1 Amortization'!$E$19:$E$379,0),MATCH('Mezz 1 Amortization'!$R$19,'Mezz 1 Amortization'!$B$19:$V$19,0)),0),0)))</f>
        <v>0</v>
      </c>
      <c r="FM138" s="427">
        <f>-IF(OR('Financing Assumptions'!$P$8="No",FM$135&lt;='Financing Assumptions'!$P$26,FM$135&gt;'Mezz 1 Amortization'!$T$13),0,IF('Mezz 1 Amortization'!$T$4="Monthly",INDEX('Mezz 1 Amortization'!$B$19:$V$379,MATCH(FM$135,'Mezz 1 Amortization'!$E$19:$E$379,0),MATCH('Mezz 1 Amortization'!$R$19,'Mezz 1 Amortization'!$B$19:$V$19,0)),IF('Mezz 1 Amortization'!$T$4="Bi-Annual",IF(OR('Mezz 1 Amortization'!$R$4=FM$5,'Mezz 1 Amortization'!$S$4=FM$5),INDEX('Mezz 1 Amortization'!$B$19:$V$379,MATCH(FM$135,'Mezz 1 Amortization'!$E$19:$E$379,0),MATCH('Mezz 1 Amortization'!$R$19,'Mezz 1 Amortization'!$B$19:$V$19,0)),0),0)))</f>
        <v>0</v>
      </c>
      <c r="FN138" s="427">
        <f>-IF(OR('Financing Assumptions'!$P$8="No",FN$135&lt;='Financing Assumptions'!$P$26,FN$135&gt;'Mezz 1 Amortization'!$T$13),0,IF('Mezz 1 Amortization'!$T$4="Monthly",INDEX('Mezz 1 Amortization'!$B$19:$V$379,MATCH(FN$135,'Mezz 1 Amortization'!$E$19:$E$379,0),MATCH('Mezz 1 Amortization'!$R$19,'Mezz 1 Amortization'!$B$19:$V$19,0)),IF('Mezz 1 Amortization'!$T$4="Bi-Annual",IF(OR('Mezz 1 Amortization'!$R$4=FN$5,'Mezz 1 Amortization'!$S$4=FN$5),INDEX('Mezz 1 Amortization'!$B$19:$V$379,MATCH(FN$135,'Mezz 1 Amortization'!$E$19:$E$379,0),MATCH('Mezz 1 Amortization'!$R$19,'Mezz 1 Amortization'!$B$19:$V$19,0)),0),0)))</f>
        <v>0</v>
      </c>
      <c r="FO138" s="427">
        <f>-IF(OR('Financing Assumptions'!$P$8="No",FO$135&lt;='Financing Assumptions'!$P$26,FO$135&gt;'Mezz 1 Amortization'!$T$13),0,IF('Mezz 1 Amortization'!$T$4="Monthly",INDEX('Mezz 1 Amortization'!$B$19:$V$379,MATCH(FO$135,'Mezz 1 Amortization'!$E$19:$E$379,0),MATCH('Mezz 1 Amortization'!$R$19,'Mezz 1 Amortization'!$B$19:$V$19,0)),IF('Mezz 1 Amortization'!$T$4="Bi-Annual",IF(OR('Mezz 1 Amortization'!$R$4=FO$5,'Mezz 1 Amortization'!$S$4=FO$5),INDEX('Mezz 1 Amortization'!$B$19:$V$379,MATCH(FO$135,'Mezz 1 Amortization'!$E$19:$E$379,0),MATCH('Mezz 1 Amortization'!$R$19,'Mezz 1 Amortization'!$B$19:$V$19,0)),0),0)))</f>
        <v>0</v>
      </c>
      <c r="FP138" s="427">
        <f>-IF(OR('Financing Assumptions'!$P$8="No",FP$135&lt;='Financing Assumptions'!$P$26,FP$135&gt;'Mezz 1 Amortization'!$T$13),0,IF('Mezz 1 Amortization'!$T$4="Monthly",INDEX('Mezz 1 Amortization'!$B$19:$V$379,MATCH(FP$135,'Mezz 1 Amortization'!$E$19:$E$379,0),MATCH('Mezz 1 Amortization'!$R$19,'Mezz 1 Amortization'!$B$19:$V$19,0)),IF('Mezz 1 Amortization'!$T$4="Bi-Annual",IF(OR('Mezz 1 Amortization'!$R$4=FP$5,'Mezz 1 Amortization'!$S$4=FP$5),INDEX('Mezz 1 Amortization'!$B$19:$V$379,MATCH(FP$135,'Mezz 1 Amortization'!$E$19:$E$379,0),MATCH('Mezz 1 Amortization'!$R$19,'Mezz 1 Amortization'!$B$19:$V$19,0)),0),0)))</f>
        <v>0</v>
      </c>
      <c r="FQ138" s="427">
        <f>-IF(OR('Financing Assumptions'!$P$8="No",FQ$135&lt;='Financing Assumptions'!$P$26,FQ$135&gt;'Mezz 1 Amortization'!$T$13),0,IF('Mezz 1 Amortization'!$T$4="Monthly",INDEX('Mezz 1 Amortization'!$B$19:$V$379,MATCH(FQ$135,'Mezz 1 Amortization'!$E$19:$E$379,0),MATCH('Mezz 1 Amortization'!$R$19,'Mezz 1 Amortization'!$B$19:$V$19,0)),IF('Mezz 1 Amortization'!$T$4="Bi-Annual",IF(OR('Mezz 1 Amortization'!$R$4=FQ$5,'Mezz 1 Amortization'!$S$4=FQ$5),INDEX('Mezz 1 Amortization'!$B$19:$V$379,MATCH(FQ$135,'Mezz 1 Amortization'!$E$19:$E$379,0),MATCH('Mezz 1 Amortization'!$R$19,'Mezz 1 Amortization'!$B$19:$V$19,0)),0),0)))</f>
        <v>0</v>
      </c>
      <c r="FR138" s="427">
        <f>-IF(OR('Financing Assumptions'!$P$8="No",FR$135&lt;='Financing Assumptions'!$P$26,FR$135&gt;'Mezz 1 Amortization'!$T$13),0,IF('Mezz 1 Amortization'!$T$4="Monthly",INDEX('Mezz 1 Amortization'!$B$19:$V$379,MATCH(FR$135,'Mezz 1 Amortization'!$E$19:$E$379,0),MATCH('Mezz 1 Amortization'!$R$19,'Mezz 1 Amortization'!$B$19:$V$19,0)),IF('Mezz 1 Amortization'!$T$4="Bi-Annual",IF(OR('Mezz 1 Amortization'!$R$4=FR$5,'Mezz 1 Amortization'!$S$4=FR$5),INDEX('Mezz 1 Amortization'!$B$19:$V$379,MATCH(FR$135,'Mezz 1 Amortization'!$E$19:$E$379,0),MATCH('Mezz 1 Amortization'!$R$19,'Mezz 1 Amortization'!$B$19:$V$19,0)),0),0)))</f>
        <v>0</v>
      </c>
      <c r="FS138" s="427">
        <f>-IF(OR('Financing Assumptions'!$P$8="No",FS$135&lt;='Financing Assumptions'!$P$26,FS$135&gt;'Mezz 1 Amortization'!$T$13),0,IF('Mezz 1 Amortization'!$T$4="Monthly",INDEX('Mezz 1 Amortization'!$B$19:$V$379,MATCH(FS$135,'Mezz 1 Amortization'!$E$19:$E$379,0),MATCH('Mezz 1 Amortization'!$R$19,'Mezz 1 Amortization'!$B$19:$V$19,0)),IF('Mezz 1 Amortization'!$T$4="Bi-Annual",IF(OR('Mezz 1 Amortization'!$R$4=FS$5,'Mezz 1 Amortization'!$S$4=FS$5),INDEX('Mezz 1 Amortization'!$B$19:$V$379,MATCH(FS$135,'Mezz 1 Amortization'!$E$19:$E$379,0),MATCH('Mezz 1 Amortization'!$R$19,'Mezz 1 Amortization'!$B$19:$V$19,0)),0),0)))</f>
        <v>0</v>
      </c>
      <c r="FT138" s="427">
        <f>-IF(OR('Financing Assumptions'!$P$8="No",FT$135&lt;='Financing Assumptions'!$P$26,FT$135&gt;'Mezz 1 Amortization'!$T$13),0,IF('Mezz 1 Amortization'!$T$4="Monthly",INDEX('Mezz 1 Amortization'!$B$19:$V$379,MATCH(FT$135,'Mezz 1 Amortization'!$E$19:$E$379,0),MATCH('Mezz 1 Amortization'!$R$19,'Mezz 1 Amortization'!$B$19:$V$19,0)),IF('Mezz 1 Amortization'!$T$4="Bi-Annual",IF(OR('Mezz 1 Amortization'!$R$4=FT$5,'Mezz 1 Amortization'!$S$4=FT$5),INDEX('Mezz 1 Amortization'!$B$19:$V$379,MATCH(FT$135,'Mezz 1 Amortization'!$E$19:$E$379,0),MATCH('Mezz 1 Amortization'!$R$19,'Mezz 1 Amortization'!$B$19:$V$19,0)),0),0)))</f>
        <v>0</v>
      </c>
      <c r="FU138" s="43"/>
      <c r="FV138" s="34"/>
      <c r="FW138" s="34"/>
      <c r="FX138" s="34"/>
      <c r="FY138" s="34"/>
      <c r="FZ138" s="34"/>
    </row>
    <row r="139" spans="1:182" s="89" customFormat="1" ht="13.5" x14ac:dyDescent="0.25">
      <c r="A139" s="34"/>
      <c r="B139" s="1271" t="s">
        <v>40</v>
      </c>
      <c r="C139" s="34"/>
      <c r="D139" s="34"/>
      <c r="E139" s="34"/>
      <c r="F139" s="434"/>
      <c r="G139" s="34"/>
      <c r="H139" s="1335">
        <f>IF(OR('Financing Assumptions'!$P$8="No",H$135&lt;='Financing Assumptions'!$P$26,H$135&gt;'Mezz 1 Amortization'!$T$13),0,IF('Mezz 1 Amortization'!$T$4="Monthly",INDEX('Mezz 1 Amortization'!$B$19:$V$379,MATCH(H$135,'Mezz 1 Amortization'!$E$19:$E$379,0),MATCH('Mezz 1 Amortization'!$U$19,'Mezz 1 Amortization'!$B$19:$V$19,0)),IF('Mezz 1 Amortization'!$T$4="Bi-Annual",IF(OR('Mezz 1 Amortization'!$R$4=H$5,'Mezz 1 Amortization'!$S$4=H$5),INDEX('Mezz 1 Amortization'!$B$19:$V$379,MATCH(H$135,'Mezz 1 Amortization'!$E$19:$E$379,0),MATCH('Mezz 1 Amortization'!$U$19,'Mezz 1 Amortization'!$B$19:$V$19,0)),0),0)))</f>
        <v>0</v>
      </c>
      <c r="I139" s="427">
        <f>IF(OR('Financing Assumptions'!$P$8="No",I$135&lt;='Financing Assumptions'!$P$26,I$135&gt;'Mezz 1 Amortization'!$T$13),0,IF('Mezz 1 Amortization'!$T$4="Monthly",INDEX('Mezz 1 Amortization'!$B$19:$V$379,MATCH(I$135,'Mezz 1 Amortization'!$E$19:$E$379,0),MATCH('Mezz 1 Amortization'!$U$19,'Mezz 1 Amortization'!$B$19:$V$19,0)),IF('Mezz 1 Amortization'!$T$4="Bi-Annual",IF(OR('Mezz 1 Amortization'!$R$4=I$5,'Mezz 1 Amortization'!$S$4=I$5),INDEX('Mezz 1 Amortization'!$B$19:$V$379,MATCH(I$135,'Mezz 1 Amortization'!$E$19:$E$379,0),MATCH('Mezz 1 Amortization'!$U$19,'Mezz 1 Amortization'!$B$19:$V$19,0)),0),0)))</f>
        <v>0</v>
      </c>
      <c r="J139" s="427">
        <f>IF(OR('Financing Assumptions'!$P$8="No",J$135&lt;='Financing Assumptions'!$P$26,J$135&gt;'Mezz 1 Amortization'!$T$13),0,IF('Mezz 1 Amortization'!$T$4="Monthly",INDEX('Mezz 1 Amortization'!$B$19:$V$379,MATCH(J$135,'Mezz 1 Amortization'!$E$19:$E$379,0),MATCH('Mezz 1 Amortization'!$U$19,'Mezz 1 Amortization'!$B$19:$V$19,0)),IF('Mezz 1 Amortization'!$T$4="Bi-Annual",IF(OR('Mezz 1 Amortization'!$R$4=J$5,'Mezz 1 Amortization'!$S$4=J$5),INDEX('Mezz 1 Amortization'!$B$19:$V$379,MATCH(J$135,'Mezz 1 Amortization'!$E$19:$E$379,0),MATCH('Mezz 1 Amortization'!$U$19,'Mezz 1 Amortization'!$B$19:$V$19,0)),0),0)))</f>
        <v>0</v>
      </c>
      <c r="K139" s="427">
        <f>IF(OR('Financing Assumptions'!$P$8="No",K$135&lt;='Financing Assumptions'!$P$26,K$135&gt;'Mezz 1 Amortization'!$T$13),0,IF('Mezz 1 Amortization'!$T$4="Monthly",INDEX('Mezz 1 Amortization'!$B$19:$V$379,MATCH(K$135,'Mezz 1 Amortization'!$E$19:$E$379,0),MATCH('Mezz 1 Amortization'!$U$19,'Mezz 1 Amortization'!$B$19:$V$19,0)),IF('Mezz 1 Amortization'!$T$4="Bi-Annual",IF(OR('Mezz 1 Amortization'!$R$4=K$5,'Mezz 1 Amortization'!$S$4=K$5),INDEX('Mezz 1 Amortization'!$B$19:$V$379,MATCH(K$135,'Mezz 1 Amortization'!$E$19:$E$379,0),MATCH('Mezz 1 Amortization'!$U$19,'Mezz 1 Amortization'!$B$19:$V$19,0)),0),0)))</f>
        <v>0</v>
      </c>
      <c r="L139" s="427">
        <f>IF(OR('Financing Assumptions'!$P$8="No",L$135&lt;='Financing Assumptions'!$P$26,L$135&gt;'Mezz 1 Amortization'!$T$13),0,IF('Mezz 1 Amortization'!$T$4="Monthly",INDEX('Mezz 1 Amortization'!$B$19:$V$379,MATCH(L$135,'Mezz 1 Amortization'!$E$19:$E$379,0),MATCH('Mezz 1 Amortization'!$U$19,'Mezz 1 Amortization'!$B$19:$V$19,0)),IF('Mezz 1 Amortization'!$T$4="Bi-Annual",IF(OR('Mezz 1 Amortization'!$R$4=L$5,'Mezz 1 Amortization'!$S$4=L$5),INDEX('Mezz 1 Amortization'!$B$19:$V$379,MATCH(L$135,'Mezz 1 Amortization'!$E$19:$E$379,0),MATCH('Mezz 1 Amortization'!$U$19,'Mezz 1 Amortization'!$B$19:$V$19,0)),0),0)))</f>
        <v>0</v>
      </c>
      <c r="M139" s="427">
        <f>IF(OR('Financing Assumptions'!$P$8="No",M$135&lt;='Financing Assumptions'!$P$26,M$135&gt;'Mezz 1 Amortization'!$T$13),0,IF('Mezz 1 Amortization'!$T$4="Monthly",INDEX('Mezz 1 Amortization'!$B$19:$V$379,MATCH(M$135,'Mezz 1 Amortization'!$E$19:$E$379,0),MATCH('Mezz 1 Amortization'!$U$19,'Mezz 1 Amortization'!$B$19:$V$19,0)),IF('Mezz 1 Amortization'!$T$4="Bi-Annual",IF(OR('Mezz 1 Amortization'!$R$4=M$5,'Mezz 1 Amortization'!$S$4=M$5),INDEX('Mezz 1 Amortization'!$B$19:$V$379,MATCH(M$135,'Mezz 1 Amortization'!$E$19:$E$379,0),MATCH('Mezz 1 Amortization'!$U$19,'Mezz 1 Amortization'!$B$19:$V$19,0)),0),0)))</f>
        <v>0</v>
      </c>
      <c r="N139" s="427">
        <f>IF(OR('Financing Assumptions'!$P$8="No",N$135&lt;='Financing Assumptions'!$P$26,N$135&gt;'Mezz 1 Amortization'!$T$13),0,IF('Mezz 1 Amortization'!$T$4="Monthly",INDEX('Mezz 1 Amortization'!$B$19:$V$379,MATCH(N$135,'Mezz 1 Amortization'!$E$19:$E$379,0),MATCH('Mezz 1 Amortization'!$U$19,'Mezz 1 Amortization'!$B$19:$V$19,0)),IF('Mezz 1 Amortization'!$T$4="Bi-Annual",IF(OR('Mezz 1 Amortization'!$R$4=N$5,'Mezz 1 Amortization'!$S$4=N$5),INDEX('Mezz 1 Amortization'!$B$19:$V$379,MATCH(N$135,'Mezz 1 Amortization'!$E$19:$E$379,0),MATCH('Mezz 1 Amortization'!$U$19,'Mezz 1 Amortization'!$B$19:$V$19,0)),0),0)))</f>
        <v>0</v>
      </c>
      <c r="O139" s="427">
        <f>IF(OR('Financing Assumptions'!$P$8="No",O$135&lt;='Financing Assumptions'!$P$26,O$135&gt;'Mezz 1 Amortization'!$T$13),0,IF('Mezz 1 Amortization'!$T$4="Monthly",INDEX('Mezz 1 Amortization'!$B$19:$V$379,MATCH(O$135,'Mezz 1 Amortization'!$E$19:$E$379,0),MATCH('Mezz 1 Amortization'!$U$19,'Mezz 1 Amortization'!$B$19:$V$19,0)),IF('Mezz 1 Amortization'!$T$4="Bi-Annual",IF(OR('Mezz 1 Amortization'!$R$4=O$5,'Mezz 1 Amortization'!$S$4=O$5),INDEX('Mezz 1 Amortization'!$B$19:$V$379,MATCH(O$135,'Mezz 1 Amortization'!$E$19:$E$379,0),MATCH('Mezz 1 Amortization'!$U$19,'Mezz 1 Amortization'!$B$19:$V$19,0)),0),0)))</f>
        <v>0</v>
      </c>
      <c r="P139" s="427">
        <f>IF(OR('Financing Assumptions'!$P$8="No",P$135&lt;='Financing Assumptions'!$P$26,P$135&gt;'Mezz 1 Amortization'!$T$13),0,IF('Mezz 1 Amortization'!$T$4="Monthly",INDEX('Mezz 1 Amortization'!$B$19:$V$379,MATCH(P$135,'Mezz 1 Amortization'!$E$19:$E$379,0),MATCH('Mezz 1 Amortization'!$U$19,'Mezz 1 Amortization'!$B$19:$V$19,0)),IF('Mezz 1 Amortization'!$T$4="Bi-Annual",IF(OR('Mezz 1 Amortization'!$R$4=P$5,'Mezz 1 Amortization'!$S$4=P$5),INDEX('Mezz 1 Amortization'!$B$19:$V$379,MATCH(P$135,'Mezz 1 Amortization'!$E$19:$E$379,0),MATCH('Mezz 1 Amortization'!$U$19,'Mezz 1 Amortization'!$B$19:$V$19,0)),0),0)))</f>
        <v>0</v>
      </c>
      <c r="Q139" s="427">
        <f>IF(OR('Financing Assumptions'!$P$8="No",Q$135&lt;='Financing Assumptions'!$P$26,Q$135&gt;'Mezz 1 Amortization'!$T$13),0,IF('Mezz 1 Amortization'!$T$4="Monthly",INDEX('Mezz 1 Amortization'!$B$19:$V$379,MATCH(Q$135,'Mezz 1 Amortization'!$E$19:$E$379,0),MATCH('Mezz 1 Amortization'!$U$19,'Mezz 1 Amortization'!$B$19:$V$19,0)),IF('Mezz 1 Amortization'!$T$4="Bi-Annual",IF(OR('Mezz 1 Amortization'!$R$4=Q$5,'Mezz 1 Amortization'!$S$4=Q$5),INDEX('Mezz 1 Amortization'!$B$19:$V$379,MATCH(Q$135,'Mezz 1 Amortization'!$E$19:$E$379,0),MATCH('Mezz 1 Amortization'!$U$19,'Mezz 1 Amortization'!$B$19:$V$19,0)),0),0)))</f>
        <v>0</v>
      </c>
      <c r="R139" s="427">
        <f>IF(OR('Financing Assumptions'!$P$8="No",R$135&lt;='Financing Assumptions'!$P$26,R$135&gt;'Mezz 1 Amortization'!$T$13),0,IF('Mezz 1 Amortization'!$T$4="Monthly",INDEX('Mezz 1 Amortization'!$B$19:$V$379,MATCH(R$135,'Mezz 1 Amortization'!$E$19:$E$379,0),MATCH('Mezz 1 Amortization'!$U$19,'Mezz 1 Amortization'!$B$19:$V$19,0)),IF('Mezz 1 Amortization'!$T$4="Bi-Annual",IF(OR('Mezz 1 Amortization'!$R$4=R$5,'Mezz 1 Amortization'!$S$4=R$5),INDEX('Mezz 1 Amortization'!$B$19:$V$379,MATCH(R$135,'Mezz 1 Amortization'!$E$19:$E$379,0),MATCH('Mezz 1 Amortization'!$U$19,'Mezz 1 Amortization'!$B$19:$V$19,0)),0),0)))</f>
        <v>0</v>
      </c>
      <c r="S139" s="427">
        <f>IF(OR('Financing Assumptions'!$P$8="No",S$135&lt;='Financing Assumptions'!$P$26,S$135&gt;'Mezz 1 Amortization'!$T$13),0,IF('Mezz 1 Amortization'!$T$4="Monthly",INDEX('Mezz 1 Amortization'!$B$19:$V$379,MATCH(S$135,'Mezz 1 Amortization'!$E$19:$E$379,0),MATCH('Mezz 1 Amortization'!$U$19,'Mezz 1 Amortization'!$B$19:$V$19,0)),IF('Mezz 1 Amortization'!$T$4="Bi-Annual",IF(OR('Mezz 1 Amortization'!$R$4=S$5,'Mezz 1 Amortization'!$S$4=S$5),INDEX('Mezz 1 Amortization'!$B$19:$V$379,MATCH(S$135,'Mezz 1 Amortization'!$E$19:$E$379,0),MATCH('Mezz 1 Amortization'!$U$19,'Mezz 1 Amortization'!$B$19:$V$19,0)),0),0)))</f>
        <v>0</v>
      </c>
      <c r="T139" s="427">
        <f>IF(OR('Financing Assumptions'!$P$8="No",T$135&lt;='Financing Assumptions'!$P$26,T$135&gt;'Mezz 1 Amortization'!$T$13),0,IF('Mezz 1 Amortization'!$T$4="Monthly",INDEX('Mezz 1 Amortization'!$B$19:$V$379,MATCH(T$135,'Mezz 1 Amortization'!$E$19:$E$379,0),MATCH('Mezz 1 Amortization'!$U$19,'Mezz 1 Amortization'!$B$19:$V$19,0)),IF('Mezz 1 Amortization'!$T$4="Bi-Annual",IF(OR('Mezz 1 Amortization'!$R$4=T$5,'Mezz 1 Amortization'!$S$4=T$5),INDEX('Mezz 1 Amortization'!$B$19:$V$379,MATCH(T$135,'Mezz 1 Amortization'!$E$19:$E$379,0),MATCH('Mezz 1 Amortization'!$U$19,'Mezz 1 Amortization'!$B$19:$V$19,0)),0),0)))</f>
        <v>0</v>
      </c>
      <c r="U139" s="427">
        <f>IF(OR('Financing Assumptions'!$P$8="No",U$135&lt;='Financing Assumptions'!$P$26,U$135&gt;'Mezz 1 Amortization'!$T$13),0,IF('Mezz 1 Amortization'!$T$4="Monthly",INDEX('Mezz 1 Amortization'!$B$19:$V$379,MATCH(U$135,'Mezz 1 Amortization'!$E$19:$E$379,0),MATCH('Mezz 1 Amortization'!$U$19,'Mezz 1 Amortization'!$B$19:$V$19,0)),IF('Mezz 1 Amortization'!$T$4="Bi-Annual",IF(OR('Mezz 1 Amortization'!$R$4=U$5,'Mezz 1 Amortization'!$S$4=U$5),INDEX('Mezz 1 Amortization'!$B$19:$V$379,MATCH(U$135,'Mezz 1 Amortization'!$E$19:$E$379,0),MATCH('Mezz 1 Amortization'!$U$19,'Mezz 1 Amortization'!$B$19:$V$19,0)),0),0)))</f>
        <v>0</v>
      </c>
      <c r="V139" s="427">
        <f>IF(OR('Financing Assumptions'!$P$8="No",V$135&lt;='Financing Assumptions'!$P$26,V$135&gt;'Mezz 1 Amortization'!$T$13),0,IF('Mezz 1 Amortization'!$T$4="Monthly",INDEX('Mezz 1 Amortization'!$B$19:$V$379,MATCH(V$135,'Mezz 1 Amortization'!$E$19:$E$379,0),MATCH('Mezz 1 Amortization'!$U$19,'Mezz 1 Amortization'!$B$19:$V$19,0)),IF('Mezz 1 Amortization'!$T$4="Bi-Annual",IF(OR('Mezz 1 Amortization'!$R$4=V$5,'Mezz 1 Amortization'!$S$4=V$5),INDEX('Mezz 1 Amortization'!$B$19:$V$379,MATCH(V$135,'Mezz 1 Amortization'!$E$19:$E$379,0),MATCH('Mezz 1 Amortization'!$U$19,'Mezz 1 Amortization'!$B$19:$V$19,0)),0),0)))</f>
        <v>0</v>
      </c>
      <c r="W139" s="427">
        <f>IF(OR('Financing Assumptions'!$P$8="No",W$135&lt;='Financing Assumptions'!$P$26,W$135&gt;'Mezz 1 Amortization'!$T$13),0,IF('Mezz 1 Amortization'!$T$4="Monthly",INDEX('Mezz 1 Amortization'!$B$19:$V$379,MATCH(W$135,'Mezz 1 Amortization'!$E$19:$E$379,0),MATCH('Mezz 1 Amortization'!$U$19,'Mezz 1 Amortization'!$B$19:$V$19,0)),IF('Mezz 1 Amortization'!$T$4="Bi-Annual",IF(OR('Mezz 1 Amortization'!$R$4=W$5,'Mezz 1 Amortization'!$S$4=W$5),INDEX('Mezz 1 Amortization'!$B$19:$V$379,MATCH(W$135,'Mezz 1 Amortization'!$E$19:$E$379,0),MATCH('Mezz 1 Amortization'!$U$19,'Mezz 1 Amortization'!$B$19:$V$19,0)),0),0)))</f>
        <v>0</v>
      </c>
      <c r="X139" s="427">
        <f>IF(OR('Financing Assumptions'!$P$8="No",X$135&lt;='Financing Assumptions'!$P$26,X$135&gt;'Mezz 1 Amortization'!$T$13),0,IF('Mezz 1 Amortization'!$T$4="Monthly",INDEX('Mezz 1 Amortization'!$B$19:$V$379,MATCH(X$135,'Mezz 1 Amortization'!$E$19:$E$379,0),MATCH('Mezz 1 Amortization'!$U$19,'Mezz 1 Amortization'!$B$19:$V$19,0)),IF('Mezz 1 Amortization'!$T$4="Bi-Annual",IF(OR('Mezz 1 Amortization'!$R$4=X$5,'Mezz 1 Amortization'!$S$4=X$5),INDEX('Mezz 1 Amortization'!$B$19:$V$379,MATCH(X$135,'Mezz 1 Amortization'!$E$19:$E$379,0),MATCH('Mezz 1 Amortization'!$U$19,'Mezz 1 Amortization'!$B$19:$V$19,0)),0),0)))</f>
        <v>0</v>
      </c>
      <c r="Y139" s="427">
        <f>IF(OR('Financing Assumptions'!$P$8="No",Y$135&lt;='Financing Assumptions'!$P$26,Y$135&gt;'Mezz 1 Amortization'!$T$13),0,IF('Mezz 1 Amortization'!$T$4="Monthly",INDEX('Mezz 1 Amortization'!$B$19:$V$379,MATCH(Y$135,'Mezz 1 Amortization'!$E$19:$E$379,0),MATCH('Mezz 1 Amortization'!$U$19,'Mezz 1 Amortization'!$B$19:$V$19,0)),IF('Mezz 1 Amortization'!$T$4="Bi-Annual",IF(OR('Mezz 1 Amortization'!$R$4=Y$5,'Mezz 1 Amortization'!$S$4=Y$5),INDEX('Mezz 1 Amortization'!$B$19:$V$379,MATCH(Y$135,'Mezz 1 Amortization'!$E$19:$E$379,0),MATCH('Mezz 1 Amortization'!$U$19,'Mezz 1 Amortization'!$B$19:$V$19,0)),0),0)))</f>
        <v>0</v>
      </c>
      <c r="Z139" s="427">
        <f>IF(OR('Financing Assumptions'!$P$8="No",Z$135&lt;='Financing Assumptions'!$P$26,Z$135&gt;'Mezz 1 Amortization'!$T$13),0,IF('Mezz 1 Amortization'!$T$4="Monthly",INDEX('Mezz 1 Amortization'!$B$19:$V$379,MATCH(Z$135,'Mezz 1 Amortization'!$E$19:$E$379,0),MATCH('Mezz 1 Amortization'!$U$19,'Mezz 1 Amortization'!$B$19:$V$19,0)),IF('Mezz 1 Amortization'!$T$4="Bi-Annual",IF(OR('Mezz 1 Amortization'!$R$4=Z$5,'Mezz 1 Amortization'!$S$4=Z$5),INDEX('Mezz 1 Amortization'!$B$19:$V$379,MATCH(Z$135,'Mezz 1 Amortization'!$E$19:$E$379,0),MATCH('Mezz 1 Amortization'!$U$19,'Mezz 1 Amortization'!$B$19:$V$19,0)),0),0)))</f>
        <v>0</v>
      </c>
      <c r="AA139" s="427">
        <f>IF(OR('Financing Assumptions'!$P$8="No",AA$135&lt;='Financing Assumptions'!$P$26,AA$135&gt;'Mezz 1 Amortization'!$T$13),0,IF('Mezz 1 Amortization'!$T$4="Monthly",INDEX('Mezz 1 Amortization'!$B$19:$V$379,MATCH(AA$135,'Mezz 1 Amortization'!$E$19:$E$379,0),MATCH('Mezz 1 Amortization'!$U$19,'Mezz 1 Amortization'!$B$19:$V$19,0)),IF('Mezz 1 Amortization'!$T$4="Bi-Annual",IF(OR('Mezz 1 Amortization'!$R$4=AA$5,'Mezz 1 Amortization'!$S$4=AA$5),INDEX('Mezz 1 Amortization'!$B$19:$V$379,MATCH(AA$135,'Mezz 1 Amortization'!$E$19:$E$379,0),MATCH('Mezz 1 Amortization'!$U$19,'Mezz 1 Amortization'!$B$19:$V$19,0)),0),0)))</f>
        <v>0</v>
      </c>
      <c r="AB139" s="427">
        <f>IF(OR('Financing Assumptions'!$P$8="No",AB$135&lt;='Financing Assumptions'!$P$26,AB$135&gt;'Mezz 1 Amortization'!$T$13),0,IF('Mezz 1 Amortization'!$T$4="Monthly",INDEX('Mezz 1 Amortization'!$B$19:$V$379,MATCH(AB$135,'Mezz 1 Amortization'!$E$19:$E$379,0),MATCH('Mezz 1 Amortization'!$U$19,'Mezz 1 Amortization'!$B$19:$V$19,0)),IF('Mezz 1 Amortization'!$T$4="Bi-Annual",IF(OR('Mezz 1 Amortization'!$R$4=AB$5,'Mezz 1 Amortization'!$S$4=AB$5),INDEX('Mezz 1 Amortization'!$B$19:$V$379,MATCH(AB$135,'Mezz 1 Amortization'!$E$19:$E$379,0),MATCH('Mezz 1 Amortization'!$U$19,'Mezz 1 Amortization'!$B$19:$V$19,0)),0),0)))</f>
        <v>0</v>
      </c>
      <c r="AC139" s="427">
        <f>IF(OR('Financing Assumptions'!$P$8="No",AC$135&lt;='Financing Assumptions'!$P$26,AC$135&gt;'Mezz 1 Amortization'!$T$13),0,IF('Mezz 1 Amortization'!$T$4="Monthly",INDEX('Mezz 1 Amortization'!$B$19:$V$379,MATCH(AC$135,'Mezz 1 Amortization'!$E$19:$E$379,0),MATCH('Mezz 1 Amortization'!$U$19,'Mezz 1 Amortization'!$B$19:$V$19,0)),IF('Mezz 1 Amortization'!$T$4="Bi-Annual",IF(OR('Mezz 1 Amortization'!$R$4=AC$5,'Mezz 1 Amortization'!$S$4=AC$5),INDEX('Mezz 1 Amortization'!$B$19:$V$379,MATCH(AC$135,'Mezz 1 Amortization'!$E$19:$E$379,0),MATCH('Mezz 1 Amortization'!$U$19,'Mezz 1 Amortization'!$B$19:$V$19,0)),0),0)))</f>
        <v>0</v>
      </c>
      <c r="AD139" s="427">
        <f>IF(OR('Financing Assumptions'!$P$8="No",AD$135&lt;='Financing Assumptions'!$P$26,AD$135&gt;'Mezz 1 Amortization'!$T$13),0,IF('Mezz 1 Amortization'!$T$4="Monthly",INDEX('Mezz 1 Amortization'!$B$19:$V$379,MATCH(AD$135,'Mezz 1 Amortization'!$E$19:$E$379,0),MATCH('Mezz 1 Amortization'!$U$19,'Mezz 1 Amortization'!$B$19:$V$19,0)),IF('Mezz 1 Amortization'!$T$4="Bi-Annual",IF(OR('Mezz 1 Amortization'!$R$4=AD$5,'Mezz 1 Amortization'!$S$4=AD$5),INDEX('Mezz 1 Amortization'!$B$19:$V$379,MATCH(AD$135,'Mezz 1 Amortization'!$E$19:$E$379,0),MATCH('Mezz 1 Amortization'!$U$19,'Mezz 1 Amortization'!$B$19:$V$19,0)),0),0)))</f>
        <v>0</v>
      </c>
      <c r="AE139" s="427">
        <f>IF(OR('Financing Assumptions'!$P$8="No",AE$135&lt;='Financing Assumptions'!$P$26,AE$135&gt;'Mezz 1 Amortization'!$T$13),0,IF('Mezz 1 Amortization'!$T$4="Monthly",INDEX('Mezz 1 Amortization'!$B$19:$V$379,MATCH(AE$135,'Mezz 1 Amortization'!$E$19:$E$379,0),MATCH('Mezz 1 Amortization'!$U$19,'Mezz 1 Amortization'!$B$19:$V$19,0)),IF('Mezz 1 Amortization'!$T$4="Bi-Annual",IF(OR('Mezz 1 Amortization'!$R$4=AE$5,'Mezz 1 Amortization'!$S$4=AE$5),INDEX('Mezz 1 Amortization'!$B$19:$V$379,MATCH(AE$135,'Mezz 1 Amortization'!$E$19:$E$379,0),MATCH('Mezz 1 Amortization'!$U$19,'Mezz 1 Amortization'!$B$19:$V$19,0)),0),0)))</f>
        <v>0</v>
      </c>
      <c r="AF139" s="427">
        <f>IF(OR('Financing Assumptions'!$P$8="No",AF$135&lt;='Financing Assumptions'!$P$26,AF$135&gt;'Mezz 1 Amortization'!$T$13),0,IF('Mezz 1 Amortization'!$T$4="Monthly",INDEX('Mezz 1 Amortization'!$B$19:$V$379,MATCH(AF$135,'Mezz 1 Amortization'!$E$19:$E$379,0),MATCH('Mezz 1 Amortization'!$U$19,'Mezz 1 Amortization'!$B$19:$V$19,0)),IF('Mezz 1 Amortization'!$T$4="Bi-Annual",IF(OR('Mezz 1 Amortization'!$R$4=AF$5,'Mezz 1 Amortization'!$S$4=AF$5),INDEX('Mezz 1 Amortization'!$B$19:$V$379,MATCH(AF$135,'Mezz 1 Amortization'!$E$19:$E$379,0),MATCH('Mezz 1 Amortization'!$U$19,'Mezz 1 Amortization'!$B$19:$V$19,0)),0),0)))</f>
        <v>0</v>
      </c>
      <c r="AG139" s="427">
        <f>IF(OR('Financing Assumptions'!$P$8="No",AG$135&lt;='Financing Assumptions'!$P$26,AG$135&gt;'Mezz 1 Amortization'!$T$13),0,IF('Mezz 1 Amortization'!$T$4="Monthly",INDEX('Mezz 1 Amortization'!$B$19:$V$379,MATCH(AG$135,'Mezz 1 Amortization'!$E$19:$E$379,0),MATCH('Mezz 1 Amortization'!$U$19,'Mezz 1 Amortization'!$B$19:$V$19,0)),IF('Mezz 1 Amortization'!$T$4="Bi-Annual",IF(OR('Mezz 1 Amortization'!$R$4=AG$5,'Mezz 1 Amortization'!$S$4=AG$5),INDEX('Mezz 1 Amortization'!$B$19:$V$379,MATCH(AG$135,'Mezz 1 Amortization'!$E$19:$E$379,0),MATCH('Mezz 1 Amortization'!$U$19,'Mezz 1 Amortization'!$B$19:$V$19,0)),0),0)))</f>
        <v>0</v>
      </c>
      <c r="AH139" s="427">
        <f>IF(OR('Financing Assumptions'!$P$8="No",AH$135&lt;='Financing Assumptions'!$P$26,AH$135&gt;'Mezz 1 Amortization'!$T$13),0,IF('Mezz 1 Amortization'!$T$4="Monthly",INDEX('Mezz 1 Amortization'!$B$19:$V$379,MATCH(AH$135,'Mezz 1 Amortization'!$E$19:$E$379,0),MATCH('Mezz 1 Amortization'!$U$19,'Mezz 1 Amortization'!$B$19:$V$19,0)),IF('Mezz 1 Amortization'!$T$4="Bi-Annual",IF(OR('Mezz 1 Amortization'!$R$4=AH$5,'Mezz 1 Amortization'!$S$4=AH$5),INDEX('Mezz 1 Amortization'!$B$19:$V$379,MATCH(AH$135,'Mezz 1 Amortization'!$E$19:$E$379,0),MATCH('Mezz 1 Amortization'!$U$19,'Mezz 1 Amortization'!$B$19:$V$19,0)),0),0)))</f>
        <v>0</v>
      </c>
      <c r="AI139" s="427">
        <f>IF(OR('Financing Assumptions'!$P$8="No",AI$135&lt;='Financing Assumptions'!$P$26,AI$135&gt;'Mezz 1 Amortization'!$T$13),0,IF('Mezz 1 Amortization'!$T$4="Monthly",INDEX('Mezz 1 Amortization'!$B$19:$V$379,MATCH(AI$135,'Mezz 1 Amortization'!$E$19:$E$379,0),MATCH('Mezz 1 Amortization'!$U$19,'Mezz 1 Amortization'!$B$19:$V$19,0)),IF('Mezz 1 Amortization'!$T$4="Bi-Annual",IF(OR('Mezz 1 Amortization'!$R$4=AI$5,'Mezz 1 Amortization'!$S$4=AI$5),INDEX('Mezz 1 Amortization'!$B$19:$V$379,MATCH(AI$135,'Mezz 1 Amortization'!$E$19:$E$379,0),MATCH('Mezz 1 Amortization'!$U$19,'Mezz 1 Amortization'!$B$19:$V$19,0)),0),0)))</f>
        <v>0</v>
      </c>
      <c r="AJ139" s="427">
        <f>IF(OR('Financing Assumptions'!$P$8="No",AJ$135&lt;='Financing Assumptions'!$P$26,AJ$135&gt;'Mezz 1 Amortization'!$T$13),0,IF('Mezz 1 Amortization'!$T$4="Monthly",INDEX('Mezz 1 Amortization'!$B$19:$V$379,MATCH(AJ$135,'Mezz 1 Amortization'!$E$19:$E$379,0),MATCH('Mezz 1 Amortization'!$U$19,'Mezz 1 Amortization'!$B$19:$V$19,0)),IF('Mezz 1 Amortization'!$T$4="Bi-Annual",IF(OR('Mezz 1 Amortization'!$R$4=AJ$5,'Mezz 1 Amortization'!$S$4=AJ$5),INDEX('Mezz 1 Amortization'!$B$19:$V$379,MATCH(AJ$135,'Mezz 1 Amortization'!$E$19:$E$379,0),MATCH('Mezz 1 Amortization'!$U$19,'Mezz 1 Amortization'!$B$19:$V$19,0)),0),0)))</f>
        <v>0</v>
      </c>
      <c r="AK139" s="427">
        <f>IF(OR('Financing Assumptions'!$P$8="No",AK$135&lt;='Financing Assumptions'!$P$26,AK$135&gt;'Mezz 1 Amortization'!$T$13),0,IF('Mezz 1 Amortization'!$T$4="Monthly",INDEX('Mezz 1 Amortization'!$B$19:$V$379,MATCH(AK$135,'Mezz 1 Amortization'!$E$19:$E$379,0),MATCH('Mezz 1 Amortization'!$U$19,'Mezz 1 Amortization'!$B$19:$V$19,0)),IF('Mezz 1 Amortization'!$T$4="Bi-Annual",IF(OR('Mezz 1 Amortization'!$R$4=AK$5,'Mezz 1 Amortization'!$S$4=AK$5),INDEX('Mezz 1 Amortization'!$B$19:$V$379,MATCH(AK$135,'Mezz 1 Amortization'!$E$19:$E$379,0),MATCH('Mezz 1 Amortization'!$U$19,'Mezz 1 Amortization'!$B$19:$V$19,0)),0),0)))</f>
        <v>0</v>
      </c>
      <c r="AL139" s="427">
        <f>IF(OR('Financing Assumptions'!$P$8="No",AL$135&lt;='Financing Assumptions'!$P$26,AL$135&gt;'Mezz 1 Amortization'!$T$13),0,IF('Mezz 1 Amortization'!$T$4="Monthly",INDEX('Mezz 1 Amortization'!$B$19:$V$379,MATCH(AL$135,'Mezz 1 Amortization'!$E$19:$E$379,0),MATCH('Mezz 1 Amortization'!$U$19,'Mezz 1 Amortization'!$B$19:$V$19,0)),IF('Mezz 1 Amortization'!$T$4="Bi-Annual",IF(OR('Mezz 1 Amortization'!$R$4=AL$5,'Mezz 1 Amortization'!$S$4=AL$5),INDEX('Mezz 1 Amortization'!$B$19:$V$379,MATCH(AL$135,'Mezz 1 Amortization'!$E$19:$E$379,0),MATCH('Mezz 1 Amortization'!$U$19,'Mezz 1 Amortization'!$B$19:$V$19,0)),0),0)))</f>
        <v>0</v>
      </c>
      <c r="AM139" s="427">
        <f>IF(OR('Financing Assumptions'!$P$8="No",AM$135&lt;='Financing Assumptions'!$P$26,AM$135&gt;'Mezz 1 Amortization'!$T$13),0,IF('Mezz 1 Amortization'!$T$4="Monthly",INDEX('Mezz 1 Amortization'!$B$19:$V$379,MATCH(AM$135,'Mezz 1 Amortization'!$E$19:$E$379,0),MATCH('Mezz 1 Amortization'!$U$19,'Mezz 1 Amortization'!$B$19:$V$19,0)),IF('Mezz 1 Amortization'!$T$4="Bi-Annual",IF(OR('Mezz 1 Amortization'!$R$4=AM$5,'Mezz 1 Amortization'!$S$4=AM$5),INDEX('Mezz 1 Amortization'!$B$19:$V$379,MATCH(AM$135,'Mezz 1 Amortization'!$E$19:$E$379,0),MATCH('Mezz 1 Amortization'!$U$19,'Mezz 1 Amortization'!$B$19:$V$19,0)),0),0)))</f>
        <v>0</v>
      </c>
      <c r="AN139" s="427">
        <f>IF(OR('Financing Assumptions'!$P$8="No",AN$135&lt;='Financing Assumptions'!$P$26,AN$135&gt;'Mezz 1 Amortization'!$T$13),0,IF('Mezz 1 Amortization'!$T$4="Monthly",INDEX('Mezz 1 Amortization'!$B$19:$V$379,MATCH(AN$135,'Mezz 1 Amortization'!$E$19:$E$379,0),MATCH('Mezz 1 Amortization'!$U$19,'Mezz 1 Amortization'!$B$19:$V$19,0)),IF('Mezz 1 Amortization'!$T$4="Bi-Annual",IF(OR('Mezz 1 Amortization'!$R$4=AN$5,'Mezz 1 Amortization'!$S$4=AN$5),INDEX('Mezz 1 Amortization'!$B$19:$V$379,MATCH(AN$135,'Mezz 1 Amortization'!$E$19:$E$379,0),MATCH('Mezz 1 Amortization'!$U$19,'Mezz 1 Amortization'!$B$19:$V$19,0)),0),0)))</f>
        <v>0</v>
      </c>
      <c r="AO139" s="427">
        <f>IF(OR('Financing Assumptions'!$P$8="No",AO$135&lt;='Financing Assumptions'!$P$26,AO$135&gt;'Mezz 1 Amortization'!$T$13),0,IF('Mezz 1 Amortization'!$T$4="Monthly",INDEX('Mezz 1 Amortization'!$B$19:$V$379,MATCH(AO$135,'Mezz 1 Amortization'!$E$19:$E$379,0),MATCH('Mezz 1 Amortization'!$U$19,'Mezz 1 Amortization'!$B$19:$V$19,0)),IF('Mezz 1 Amortization'!$T$4="Bi-Annual",IF(OR('Mezz 1 Amortization'!$R$4=AO$5,'Mezz 1 Amortization'!$S$4=AO$5),INDEX('Mezz 1 Amortization'!$B$19:$V$379,MATCH(AO$135,'Mezz 1 Amortization'!$E$19:$E$379,0),MATCH('Mezz 1 Amortization'!$U$19,'Mezz 1 Amortization'!$B$19:$V$19,0)),0),0)))</f>
        <v>0</v>
      </c>
      <c r="AP139" s="427">
        <f>IF(OR('Financing Assumptions'!$P$8="No",AP$135&lt;='Financing Assumptions'!$P$26,AP$135&gt;'Mezz 1 Amortization'!$T$13),0,IF('Mezz 1 Amortization'!$T$4="Monthly",INDEX('Mezz 1 Amortization'!$B$19:$V$379,MATCH(AP$135,'Mezz 1 Amortization'!$E$19:$E$379,0),MATCH('Mezz 1 Amortization'!$U$19,'Mezz 1 Amortization'!$B$19:$V$19,0)),IF('Mezz 1 Amortization'!$T$4="Bi-Annual",IF(OR('Mezz 1 Amortization'!$R$4=AP$5,'Mezz 1 Amortization'!$S$4=AP$5),INDEX('Mezz 1 Amortization'!$B$19:$V$379,MATCH(AP$135,'Mezz 1 Amortization'!$E$19:$E$379,0),MATCH('Mezz 1 Amortization'!$U$19,'Mezz 1 Amortization'!$B$19:$V$19,0)),0),0)))</f>
        <v>0</v>
      </c>
      <c r="AQ139" s="427">
        <f>IF(OR('Financing Assumptions'!$P$8="No",AQ$135&lt;='Financing Assumptions'!$P$26,AQ$135&gt;'Mezz 1 Amortization'!$T$13),0,IF('Mezz 1 Amortization'!$T$4="Monthly",INDEX('Mezz 1 Amortization'!$B$19:$V$379,MATCH(AQ$135,'Mezz 1 Amortization'!$E$19:$E$379,0),MATCH('Mezz 1 Amortization'!$U$19,'Mezz 1 Amortization'!$B$19:$V$19,0)),IF('Mezz 1 Amortization'!$T$4="Bi-Annual",IF(OR('Mezz 1 Amortization'!$R$4=AQ$5,'Mezz 1 Amortization'!$S$4=AQ$5),INDEX('Mezz 1 Amortization'!$B$19:$V$379,MATCH(AQ$135,'Mezz 1 Amortization'!$E$19:$E$379,0),MATCH('Mezz 1 Amortization'!$U$19,'Mezz 1 Amortization'!$B$19:$V$19,0)),0),0)))</f>
        <v>0</v>
      </c>
      <c r="AR139" s="427">
        <f>IF(OR('Financing Assumptions'!$P$8="No",AR$135&lt;='Financing Assumptions'!$P$26,AR$135&gt;'Mezz 1 Amortization'!$T$13),0,IF('Mezz 1 Amortization'!$T$4="Monthly",INDEX('Mezz 1 Amortization'!$B$19:$V$379,MATCH(AR$135,'Mezz 1 Amortization'!$E$19:$E$379,0),MATCH('Mezz 1 Amortization'!$U$19,'Mezz 1 Amortization'!$B$19:$V$19,0)),IF('Mezz 1 Amortization'!$T$4="Bi-Annual",IF(OR('Mezz 1 Amortization'!$R$4=AR$5,'Mezz 1 Amortization'!$S$4=AR$5),INDEX('Mezz 1 Amortization'!$B$19:$V$379,MATCH(AR$135,'Mezz 1 Amortization'!$E$19:$E$379,0),MATCH('Mezz 1 Amortization'!$U$19,'Mezz 1 Amortization'!$B$19:$V$19,0)),0),0)))</f>
        <v>0</v>
      </c>
      <c r="AS139" s="427">
        <f>IF(OR('Financing Assumptions'!$P$8="No",AS$135&lt;='Financing Assumptions'!$P$26,AS$135&gt;'Mezz 1 Amortization'!$T$13),0,IF('Mezz 1 Amortization'!$T$4="Monthly",INDEX('Mezz 1 Amortization'!$B$19:$V$379,MATCH(AS$135,'Mezz 1 Amortization'!$E$19:$E$379,0),MATCH('Mezz 1 Amortization'!$U$19,'Mezz 1 Amortization'!$B$19:$V$19,0)),IF('Mezz 1 Amortization'!$T$4="Bi-Annual",IF(OR('Mezz 1 Amortization'!$R$4=AS$5,'Mezz 1 Amortization'!$S$4=AS$5),INDEX('Mezz 1 Amortization'!$B$19:$V$379,MATCH(AS$135,'Mezz 1 Amortization'!$E$19:$E$379,0),MATCH('Mezz 1 Amortization'!$U$19,'Mezz 1 Amortization'!$B$19:$V$19,0)),0),0)))</f>
        <v>0</v>
      </c>
      <c r="AT139" s="427">
        <f>IF(OR('Financing Assumptions'!$P$8="No",AT$135&lt;='Financing Assumptions'!$P$26,AT$135&gt;'Mezz 1 Amortization'!$T$13),0,IF('Mezz 1 Amortization'!$T$4="Monthly",INDEX('Mezz 1 Amortization'!$B$19:$V$379,MATCH(AT$135,'Mezz 1 Amortization'!$E$19:$E$379,0),MATCH('Mezz 1 Amortization'!$U$19,'Mezz 1 Amortization'!$B$19:$V$19,0)),IF('Mezz 1 Amortization'!$T$4="Bi-Annual",IF(OR('Mezz 1 Amortization'!$R$4=AT$5,'Mezz 1 Amortization'!$S$4=AT$5),INDEX('Mezz 1 Amortization'!$B$19:$V$379,MATCH(AT$135,'Mezz 1 Amortization'!$E$19:$E$379,0),MATCH('Mezz 1 Amortization'!$U$19,'Mezz 1 Amortization'!$B$19:$V$19,0)),0),0)))</f>
        <v>0</v>
      </c>
      <c r="AU139" s="427">
        <f>IF(OR('Financing Assumptions'!$P$8="No",AU$135&lt;='Financing Assumptions'!$P$26,AU$135&gt;'Mezz 1 Amortization'!$T$13),0,IF('Mezz 1 Amortization'!$T$4="Monthly",INDEX('Mezz 1 Amortization'!$B$19:$V$379,MATCH(AU$135,'Mezz 1 Amortization'!$E$19:$E$379,0),MATCH('Mezz 1 Amortization'!$U$19,'Mezz 1 Amortization'!$B$19:$V$19,0)),IF('Mezz 1 Amortization'!$T$4="Bi-Annual",IF(OR('Mezz 1 Amortization'!$R$4=AU$5,'Mezz 1 Amortization'!$S$4=AU$5),INDEX('Mezz 1 Amortization'!$B$19:$V$379,MATCH(AU$135,'Mezz 1 Amortization'!$E$19:$E$379,0),MATCH('Mezz 1 Amortization'!$U$19,'Mezz 1 Amortization'!$B$19:$V$19,0)),0),0)))</f>
        <v>0</v>
      </c>
      <c r="AV139" s="427">
        <f>IF(OR('Financing Assumptions'!$P$8="No",AV$135&lt;='Financing Assumptions'!$P$26,AV$135&gt;'Mezz 1 Amortization'!$T$13),0,IF('Mezz 1 Amortization'!$T$4="Monthly",INDEX('Mezz 1 Amortization'!$B$19:$V$379,MATCH(AV$135,'Mezz 1 Amortization'!$E$19:$E$379,0),MATCH('Mezz 1 Amortization'!$U$19,'Mezz 1 Amortization'!$B$19:$V$19,0)),IF('Mezz 1 Amortization'!$T$4="Bi-Annual",IF(OR('Mezz 1 Amortization'!$R$4=AV$5,'Mezz 1 Amortization'!$S$4=AV$5),INDEX('Mezz 1 Amortization'!$B$19:$V$379,MATCH(AV$135,'Mezz 1 Amortization'!$E$19:$E$379,0),MATCH('Mezz 1 Amortization'!$U$19,'Mezz 1 Amortization'!$B$19:$V$19,0)),0),0)))</f>
        <v>0</v>
      </c>
      <c r="AW139" s="427">
        <f>IF(OR('Financing Assumptions'!$P$8="No",AW$135&lt;='Financing Assumptions'!$P$26,AW$135&gt;'Mezz 1 Amortization'!$T$13),0,IF('Mezz 1 Amortization'!$T$4="Monthly",INDEX('Mezz 1 Amortization'!$B$19:$V$379,MATCH(AW$135,'Mezz 1 Amortization'!$E$19:$E$379,0),MATCH('Mezz 1 Amortization'!$U$19,'Mezz 1 Amortization'!$B$19:$V$19,0)),IF('Mezz 1 Amortization'!$T$4="Bi-Annual",IF(OR('Mezz 1 Amortization'!$R$4=AW$5,'Mezz 1 Amortization'!$S$4=AW$5),INDEX('Mezz 1 Amortization'!$B$19:$V$379,MATCH(AW$135,'Mezz 1 Amortization'!$E$19:$E$379,0),MATCH('Mezz 1 Amortization'!$U$19,'Mezz 1 Amortization'!$B$19:$V$19,0)),0),0)))</f>
        <v>0</v>
      </c>
      <c r="AX139" s="427">
        <f>IF(OR('Financing Assumptions'!$P$8="No",AX$135&lt;='Financing Assumptions'!$P$26,AX$135&gt;'Mezz 1 Amortization'!$T$13),0,IF('Mezz 1 Amortization'!$T$4="Monthly",INDEX('Mezz 1 Amortization'!$B$19:$V$379,MATCH(AX$135,'Mezz 1 Amortization'!$E$19:$E$379,0),MATCH('Mezz 1 Amortization'!$U$19,'Mezz 1 Amortization'!$B$19:$V$19,0)),IF('Mezz 1 Amortization'!$T$4="Bi-Annual",IF(OR('Mezz 1 Amortization'!$R$4=AX$5,'Mezz 1 Amortization'!$S$4=AX$5),INDEX('Mezz 1 Amortization'!$B$19:$V$379,MATCH(AX$135,'Mezz 1 Amortization'!$E$19:$E$379,0),MATCH('Mezz 1 Amortization'!$U$19,'Mezz 1 Amortization'!$B$19:$V$19,0)),0),0)))</f>
        <v>0</v>
      </c>
      <c r="AY139" s="427">
        <f>IF(OR('Financing Assumptions'!$P$8="No",AY$135&lt;='Financing Assumptions'!$P$26,AY$135&gt;'Mezz 1 Amortization'!$T$13),0,IF('Mezz 1 Amortization'!$T$4="Monthly",INDEX('Mezz 1 Amortization'!$B$19:$V$379,MATCH(AY$135,'Mezz 1 Amortization'!$E$19:$E$379,0),MATCH('Mezz 1 Amortization'!$U$19,'Mezz 1 Amortization'!$B$19:$V$19,0)),IF('Mezz 1 Amortization'!$T$4="Bi-Annual",IF(OR('Mezz 1 Amortization'!$R$4=AY$5,'Mezz 1 Amortization'!$S$4=AY$5),INDEX('Mezz 1 Amortization'!$B$19:$V$379,MATCH(AY$135,'Mezz 1 Amortization'!$E$19:$E$379,0),MATCH('Mezz 1 Amortization'!$U$19,'Mezz 1 Amortization'!$B$19:$V$19,0)),0),0)))</f>
        <v>0</v>
      </c>
      <c r="AZ139" s="427">
        <f>IF(OR('Financing Assumptions'!$P$8="No",AZ$135&lt;='Financing Assumptions'!$P$26,AZ$135&gt;'Mezz 1 Amortization'!$T$13),0,IF('Mezz 1 Amortization'!$T$4="Monthly",INDEX('Mezz 1 Amortization'!$B$19:$V$379,MATCH(AZ$135,'Mezz 1 Amortization'!$E$19:$E$379,0),MATCH('Mezz 1 Amortization'!$U$19,'Mezz 1 Amortization'!$B$19:$V$19,0)),IF('Mezz 1 Amortization'!$T$4="Bi-Annual",IF(OR('Mezz 1 Amortization'!$R$4=AZ$5,'Mezz 1 Amortization'!$S$4=AZ$5),INDEX('Mezz 1 Amortization'!$B$19:$V$379,MATCH(AZ$135,'Mezz 1 Amortization'!$E$19:$E$379,0),MATCH('Mezz 1 Amortization'!$U$19,'Mezz 1 Amortization'!$B$19:$V$19,0)),0),0)))</f>
        <v>0</v>
      </c>
      <c r="BA139" s="427">
        <f>IF(OR('Financing Assumptions'!$P$8="No",BA$135&lt;='Financing Assumptions'!$P$26,BA$135&gt;'Mezz 1 Amortization'!$T$13),0,IF('Mezz 1 Amortization'!$T$4="Monthly",INDEX('Mezz 1 Amortization'!$B$19:$V$379,MATCH(BA$135,'Mezz 1 Amortization'!$E$19:$E$379,0),MATCH('Mezz 1 Amortization'!$U$19,'Mezz 1 Amortization'!$B$19:$V$19,0)),IF('Mezz 1 Amortization'!$T$4="Bi-Annual",IF(OR('Mezz 1 Amortization'!$R$4=BA$5,'Mezz 1 Amortization'!$S$4=BA$5),INDEX('Mezz 1 Amortization'!$B$19:$V$379,MATCH(BA$135,'Mezz 1 Amortization'!$E$19:$E$379,0),MATCH('Mezz 1 Amortization'!$U$19,'Mezz 1 Amortization'!$B$19:$V$19,0)),0),0)))</f>
        <v>0</v>
      </c>
      <c r="BB139" s="427">
        <f>IF(OR('Financing Assumptions'!$P$8="No",BB$135&lt;='Financing Assumptions'!$P$26,BB$135&gt;'Mezz 1 Amortization'!$T$13),0,IF('Mezz 1 Amortization'!$T$4="Monthly",INDEX('Mezz 1 Amortization'!$B$19:$V$379,MATCH(BB$135,'Mezz 1 Amortization'!$E$19:$E$379,0),MATCH('Mezz 1 Amortization'!$U$19,'Mezz 1 Amortization'!$B$19:$V$19,0)),IF('Mezz 1 Amortization'!$T$4="Bi-Annual",IF(OR('Mezz 1 Amortization'!$R$4=BB$5,'Mezz 1 Amortization'!$S$4=BB$5),INDEX('Mezz 1 Amortization'!$B$19:$V$379,MATCH(BB$135,'Mezz 1 Amortization'!$E$19:$E$379,0),MATCH('Mezz 1 Amortization'!$U$19,'Mezz 1 Amortization'!$B$19:$V$19,0)),0),0)))</f>
        <v>0</v>
      </c>
      <c r="BC139" s="427">
        <f>IF(OR('Financing Assumptions'!$P$8="No",BC$135&lt;='Financing Assumptions'!$P$26,BC$135&gt;'Mezz 1 Amortization'!$T$13),0,IF('Mezz 1 Amortization'!$T$4="Monthly",INDEX('Mezz 1 Amortization'!$B$19:$V$379,MATCH(BC$135,'Mezz 1 Amortization'!$E$19:$E$379,0),MATCH('Mezz 1 Amortization'!$U$19,'Mezz 1 Amortization'!$B$19:$V$19,0)),IF('Mezz 1 Amortization'!$T$4="Bi-Annual",IF(OR('Mezz 1 Amortization'!$R$4=BC$5,'Mezz 1 Amortization'!$S$4=BC$5),INDEX('Mezz 1 Amortization'!$B$19:$V$379,MATCH(BC$135,'Mezz 1 Amortization'!$E$19:$E$379,0),MATCH('Mezz 1 Amortization'!$U$19,'Mezz 1 Amortization'!$B$19:$V$19,0)),0),0)))</f>
        <v>0</v>
      </c>
      <c r="BD139" s="427">
        <f>IF(OR('Financing Assumptions'!$P$8="No",BD$135&lt;='Financing Assumptions'!$P$26,BD$135&gt;'Mezz 1 Amortization'!$T$13),0,IF('Mezz 1 Amortization'!$T$4="Monthly",INDEX('Mezz 1 Amortization'!$B$19:$V$379,MATCH(BD$135,'Mezz 1 Amortization'!$E$19:$E$379,0),MATCH('Mezz 1 Amortization'!$U$19,'Mezz 1 Amortization'!$B$19:$V$19,0)),IF('Mezz 1 Amortization'!$T$4="Bi-Annual",IF(OR('Mezz 1 Amortization'!$R$4=BD$5,'Mezz 1 Amortization'!$S$4=BD$5),INDEX('Mezz 1 Amortization'!$B$19:$V$379,MATCH(BD$135,'Mezz 1 Amortization'!$E$19:$E$379,0),MATCH('Mezz 1 Amortization'!$U$19,'Mezz 1 Amortization'!$B$19:$V$19,0)),0),0)))</f>
        <v>0</v>
      </c>
      <c r="BE139" s="427">
        <f>IF(OR('Financing Assumptions'!$P$8="No",BE$135&lt;='Financing Assumptions'!$P$26,BE$135&gt;'Mezz 1 Amortization'!$T$13),0,IF('Mezz 1 Amortization'!$T$4="Monthly",INDEX('Mezz 1 Amortization'!$B$19:$V$379,MATCH(BE$135,'Mezz 1 Amortization'!$E$19:$E$379,0),MATCH('Mezz 1 Amortization'!$U$19,'Mezz 1 Amortization'!$B$19:$V$19,0)),IF('Mezz 1 Amortization'!$T$4="Bi-Annual",IF(OR('Mezz 1 Amortization'!$R$4=BE$5,'Mezz 1 Amortization'!$S$4=BE$5),INDEX('Mezz 1 Amortization'!$B$19:$V$379,MATCH(BE$135,'Mezz 1 Amortization'!$E$19:$E$379,0),MATCH('Mezz 1 Amortization'!$U$19,'Mezz 1 Amortization'!$B$19:$V$19,0)),0),0)))</f>
        <v>0</v>
      </c>
      <c r="BF139" s="427">
        <f>IF(OR('Financing Assumptions'!$P$8="No",BF$135&lt;='Financing Assumptions'!$P$26,BF$135&gt;'Mezz 1 Amortization'!$T$13),0,IF('Mezz 1 Amortization'!$T$4="Monthly",INDEX('Mezz 1 Amortization'!$B$19:$V$379,MATCH(BF$135,'Mezz 1 Amortization'!$E$19:$E$379,0),MATCH('Mezz 1 Amortization'!$U$19,'Mezz 1 Amortization'!$B$19:$V$19,0)),IF('Mezz 1 Amortization'!$T$4="Bi-Annual",IF(OR('Mezz 1 Amortization'!$R$4=BF$5,'Mezz 1 Amortization'!$S$4=BF$5),INDEX('Mezz 1 Amortization'!$B$19:$V$379,MATCH(BF$135,'Mezz 1 Amortization'!$E$19:$E$379,0),MATCH('Mezz 1 Amortization'!$U$19,'Mezz 1 Amortization'!$B$19:$V$19,0)),0),0)))</f>
        <v>0</v>
      </c>
      <c r="BG139" s="427">
        <f>IF(OR('Financing Assumptions'!$P$8="No",BG$135&lt;='Financing Assumptions'!$P$26,BG$135&gt;'Mezz 1 Amortization'!$T$13),0,IF('Mezz 1 Amortization'!$T$4="Monthly",INDEX('Mezz 1 Amortization'!$B$19:$V$379,MATCH(BG$135,'Mezz 1 Amortization'!$E$19:$E$379,0),MATCH('Mezz 1 Amortization'!$U$19,'Mezz 1 Amortization'!$B$19:$V$19,0)),IF('Mezz 1 Amortization'!$T$4="Bi-Annual",IF(OR('Mezz 1 Amortization'!$R$4=BG$5,'Mezz 1 Amortization'!$S$4=BG$5),INDEX('Mezz 1 Amortization'!$B$19:$V$379,MATCH(BG$135,'Mezz 1 Amortization'!$E$19:$E$379,0),MATCH('Mezz 1 Amortization'!$U$19,'Mezz 1 Amortization'!$B$19:$V$19,0)),0),0)))</f>
        <v>0</v>
      </c>
      <c r="BH139" s="427">
        <f>IF(OR('Financing Assumptions'!$P$8="No",BH$135&lt;='Financing Assumptions'!$P$26,BH$135&gt;'Mezz 1 Amortization'!$T$13),0,IF('Mezz 1 Amortization'!$T$4="Monthly",INDEX('Mezz 1 Amortization'!$B$19:$V$379,MATCH(BH$135,'Mezz 1 Amortization'!$E$19:$E$379,0),MATCH('Mezz 1 Amortization'!$U$19,'Mezz 1 Amortization'!$B$19:$V$19,0)),IF('Mezz 1 Amortization'!$T$4="Bi-Annual",IF(OR('Mezz 1 Amortization'!$R$4=BH$5,'Mezz 1 Amortization'!$S$4=BH$5),INDEX('Mezz 1 Amortization'!$B$19:$V$379,MATCH(BH$135,'Mezz 1 Amortization'!$E$19:$E$379,0),MATCH('Mezz 1 Amortization'!$U$19,'Mezz 1 Amortization'!$B$19:$V$19,0)),0),0)))</f>
        <v>0</v>
      </c>
      <c r="BI139" s="427">
        <f>IF(OR('Financing Assumptions'!$P$8="No",BI$135&lt;='Financing Assumptions'!$P$26,BI$135&gt;'Mezz 1 Amortization'!$T$13),0,IF('Mezz 1 Amortization'!$T$4="Monthly",INDEX('Mezz 1 Amortization'!$B$19:$V$379,MATCH(BI$135,'Mezz 1 Amortization'!$E$19:$E$379,0),MATCH('Mezz 1 Amortization'!$U$19,'Mezz 1 Amortization'!$B$19:$V$19,0)),IF('Mezz 1 Amortization'!$T$4="Bi-Annual",IF(OR('Mezz 1 Amortization'!$R$4=BI$5,'Mezz 1 Amortization'!$S$4=BI$5),INDEX('Mezz 1 Amortization'!$B$19:$V$379,MATCH(BI$135,'Mezz 1 Amortization'!$E$19:$E$379,0),MATCH('Mezz 1 Amortization'!$U$19,'Mezz 1 Amortization'!$B$19:$V$19,0)),0),0)))</f>
        <v>0</v>
      </c>
      <c r="BJ139" s="427">
        <f>IF(OR('Financing Assumptions'!$P$8="No",BJ$135&lt;='Financing Assumptions'!$P$26,BJ$135&gt;'Mezz 1 Amortization'!$T$13),0,IF('Mezz 1 Amortization'!$T$4="Monthly",INDEX('Mezz 1 Amortization'!$B$19:$V$379,MATCH(BJ$135,'Mezz 1 Amortization'!$E$19:$E$379,0),MATCH('Mezz 1 Amortization'!$U$19,'Mezz 1 Amortization'!$B$19:$V$19,0)),IF('Mezz 1 Amortization'!$T$4="Bi-Annual",IF(OR('Mezz 1 Amortization'!$R$4=BJ$5,'Mezz 1 Amortization'!$S$4=BJ$5),INDEX('Mezz 1 Amortization'!$B$19:$V$379,MATCH(BJ$135,'Mezz 1 Amortization'!$E$19:$E$379,0),MATCH('Mezz 1 Amortization'!$U$19,'Mezz 1 Amortization'!$B$19:$V$19,0)),0),0)))</f>
        <v>0</v>
      </c>
      <c r="BK139" s="427">
        <f>IF(OR('Financing Assumptions'!$P$8="No",BK$135&lt;='Financing Assumptions'!$P$26,BK$135&gt;'Mezz 1 Amortization'!$T$13),0,IF('Mezz 1 Amortization'!$T$4="Monthly",INDEX('Mezz 1 Amortization'!$B$19:$V$379,MATCH(BK$135,'Mezz 1 Amortization'!$E$19:$E$379,0),MATCH('Mezz 1 Amortization'!$U$19,'Mezz 1 Amortization'!$B$19:$V$19,0)),IF('Mezz 1 Amortization'!$T$4="Bi-Annual",IF(OR('Mezz 1 Amortization'!$R$4=BK$5,'Mezz 1 Amortization'!$S$4=BK$5),INDEX('Mezz 1 Amortization'!$B$19:$V$379,MATCH(BK$135,'Mezz 1 Amortization'!$E$19:$E$379,0),MATCH('Mezz 1 Amortization'!$U$19,'Mezz 1 Amortization'!$B$19:$V$19,0)),0),0)))</f>
        <v>0</v>
      </c>
      <c r="BL139" s="427">
        <f>IF(OR('Financing Assumptions'!$P$8="No",BL$135&lt;='Financing Assumptions'!$P$26,BL$135&gt;'Mezz 1 Amortization'!$T$13),0,IF('Mezz 1 Amortization'!$T$4="Monthly",INDEX('Mezz 1 Amortization'!$B$19:$V$379,MATCH(BL$135,'Mezz 1 Amortization'!$E$19:$E$379,0),MATCH('Mezz 1 Amortization'!$U$19,'Mezz 1 Amortization'!$B$19:$V$19,0)),IF('Mezz 1 Amortization'!$T$4="Bi-Annual",IF(OR('Mezz 1 Amortization'!$R$4=BL$5,'Mezz 1 Amortization'!$S$4=BL$5),INDEX('Mezz 1 Amortization'!$B$19:$V$379,MATCH(BL$135,'Mezz 1 Amortization'!$E$19:$E$379,0),MATCH('Mezz 1 Amortization'!$U$19,'Mezz 1 Amortization'!$B$19:$V$19,0)),0),0)))</f>
        <v>0</v>
      </c>
      <c r="BM139" s="427">
        <f>IF(OR('Financing Assumptions'!$P$8="No",BM$135&lt;='Financing Assumptions'!$P$26,BM$135&gt;'Mezz 1 Amortization'!$T$13),0,IF('Mezz 1 Amortization'!$T$4="Monthly",INDEX('Mezz 1 Amortization'!$B$19:$V$379,MATCH(BM$135,'Mezz 1 Amortization'!$E$19:$E$379,0),MATCH('Mezz 1 Amortization'!$U$19,'Mezz 1 Amortization'!$B$19:$V$19,0)),IF('Mezz 1 Amortization'!$T$4="Bi-Annual",IF(OR('Mezz 1 Amortization'!$R$4=BM$5,'Mezz 1 Amortization'!$S$4=BM$5),INDEX('Mezz 1 Amortization'!$B$19:$V$379,MATCH(BM$135,'Mezz 1 Amortization'!$E$19:$E$379,0),MATCH('Mezz 1 Amortization'!$U$19,'Mezz 1 Amortization'!$B$19:$V$19,0)),0),0)))</f>
        <v>0</v>
      </c>
      <c r="BN139" s="427">
        <f>IF(OR('Financing Assumptions'!$P$8="No",BN$135&lt;='Financing Assumptions'!$P$26,BN$135&gt;'Mezz 1 Amortization'!$T$13),0,IF('Mezz 1 Amortization'!$T$4="Monthly",INDEX('Mezz 1 Amortization'!$B$19:$V$379,MATCH(BN$135,'Mezz 1 Amortization'!$E$19:$E$379,0),MATCH('Mezz 1 Amortization'!$U$19,'Mezz 1 Amortization'!$B$19:$V$19,0)),IF('Mezz 1 Amortization'!$T$4="Bi-Annual",IF(OR('Mezz 1 Amortization'!$R$4=BN$5,'Mezz 1 Amortization'!$S$4=BN$5),INDEX('Mezz 1 Amortization'!$B$19:$V$379,MATCH(BN$135,'Mezz 1 Amortization'!$E$19:$E$379,0),MATCH('Mezz 1 Amortization'!$U$19,'Mezz 1 Amortization'!$B$19:$V$19,0)),0),0)))</f>
        <v>0</v>
      </c>
      <c r="BO139" s="427">
        <f>IF(OR('Financing Assumptions'!$P$8="No",BO$135&lt;='Financing Assumptions'!$P$26,BO$135&gt;'Mezz 1 Amortization'!$T$13),0,IF('Mezz 1 Amortization'!$T$4="Monthly",INDEX('Mezz 1 Amortization'!$B$19:$V$379,MATCH(BO$135,'Mezz 1 Amortization'!$E$19:$E$379,0),MATCH('Mezz 1 Amortization'!$U$19,'Mezz 1 Amortization'!$B$19:$V$19,0)),IF('Mezz 1 Amortization'!$T$4="Bi-Annual",IF(OR('Mezz 1 Amortization'!$R$4=BO$5,'Mezz 1 Amortization'!$S$4=BO$5),INDEX('Mezz 1 Amortization'!$B$19:$V$379,MATCH(BO$135,'Mezz 1 Amortization'!$E$19:$E$379,0),MATCH('Mezz 1 Amortization'!$U$19,'Mezz 1 Amortization'!$B$19:$V$19,0)),0),0)))</f>
        <v>0</v>
      </c>
      <c r="BP139" s="427">
        <f>IF(OR('Financing Assumptions'!$P$8="No",BP$135&lt;='Financing Assumptions'!$P$26,BP$135&gt;'Mezz 1 Amortization'!$T$13),0,IF('Mezz 1 Amortization'!$T$4="Monthly",INDEX('Mezz 1 Amortization'!$B$19:$V$379,MATCH(BP$135,'Mezz 1 Amortization'!$E$19:$E$379,0),MATCH('Mezz 1 Amortization'!$U$19,'Mezz 1 Amortization'!$B$19:$V$19,0)),IF('Mezz 1 Amortization'!$T$4="Bi-Annual",IF(OR('Mezz 1 Amortization'!$R$4=BP$5,'Mezz 1 Amortization'!$S$4=BP$5),INDEX('Mezz 1 Amortization'!$B$19:$V$379,MATCH(BP$135,'Mezz 1 Amortization'!$E$19:$E$379,0),MATCH('Mezz 1 Amortization'!$U$19,'Mezz 1 Amortization'!$B$19:$V$19,0)),0),0)))</f>
        <v>0</v>
      </c>
      <c r="BQ139" s="427">
        <f>IF(OR('Financing Assumptions'!$P$8="No",BQ$135&lt;='Financing Assumptions'!$P$26,BQ$135&gt;'Mezz 1 Amortization'!$T$13),0,IF('Mezz 1 Amortization'!$T$4="Monthly",INDEX('Mezz 1 Amortization'!$B$19:$V$379,MATCH(BQ$135,'Mezz 1 Amortization'!$E$19:$E$379,0),MATCH('Mezz 1 Amortization'!$U$19,'Mezz 1 Amortization'!$B$19:$V$19,0)),IF('Mezz 1 Amortization'!$T$4="Bi-Annual",IF(OR('Mezz 1 Amortization'!$R$4=BQ$5,'Mezz 1 Amortization'!$S$4=BQ$5),INDEX('Mezz 1 Amortization'!$B$19:$V$379,MATCH(BQ$135,'Mezz 1 Amortization'!$E$19:$E$379,0),MATCH('Mezz 1 Amortization'!$U$19,'Mezz 1 Amortization'!$B$19:$V$19,0)),0),0)))</f>
        <v>0</v>
      </c>
      <c r="BR139" s="427">
        <f>IF(OR('Financing Assumptions'!$P$8="No",BR$135&lt;='Financing Assumptions'!$P$26,BR$135&gt;'Mezz 1 Amortization'!$T$13),0,IF('Mezz 1 Amortization'!$T$4="Monthly",INDEX('Mezz 1 Amortization'!$B$19:$V$379,MATCH(BR$135,'Mezz 1 Amortization'!$E$19:$E$379,0),MATCH('Mezz 1 Amortization'!$U$19,'Mezz 1 Amortization'!$B$19:$V$19,0)),IF('Mezz 1 Amortization'!$T$4="Bi-Annual",IF(OR('Mezz 1 Amortization'!$R$4=BR$5,'Mezz 1 Amortization'!$S$4=BR$5),INDEX('Mezz 1 Amortization'!$B$19:$V$379,MATCH(BR$135,'Mezz 1 Amortization'!$E$19:$E$379,0),MATCH('Mezz 1 Amortization'!$U$19,'Mezz 1 Amortization'!$B$19:$V$19,0)),0),0)))</f>
        <v>0</v>
      </c>
      <c r="BS139" s="427">
        <f>IF(OR('Financing Assumptions'!$P$8="No",BS$135&lt;='Financing Assumptions'!$P$26,BS$135&gt;'Mezz 1 Amortization'!$T$13),0,IF('Mezz 1 Amortization'!$T$4="Monthly",INDEX('Mezz 1 Amortization'!$B$19:$V$379,MATCH(BS$135,'Mezz 1 Amortization'!$E$19:$E$379,0),MATCH('Mezz 1 Amortization'!$U$19,'Mezz 1 Amortization'!$B$19:$V$19,0)),IF('Mezz 1 Amortization'!$T$4="Bi-Annual",IF(OR('Mezz 1 Amortization'!$R$4=BS$5,'Mezz 1 Amortization'!$S$4=BS$5),INDEX('Mezz 1 Amortization'!$B$19:$V$379,MATCH(BS$135,'Mezz 1 Amortization'!$E$19:$E$379,0),MATCH('Mezz 1 Amortization'!$U$19,'Mezz 1 Amortization'!$B$19:$V$19,0)),0),0)))</f>
        <v>0</v>
      </c>
      <c r="BT139" s="427">
        <f>IF(OR('Financing Assumptions'!$P$8="No",BT$135&lt;='Financing Assumptions'!$P$26,BT$135&gt;'Mezz 1 Amortization'!$T$13),0,IF('Mezz 1 Amortization'!$T$4="Monthly",INDEX('Mezz 1 Amortization'!$B$19:$V$379,MATCH(BT$135,'Mezz 1 Amortization'!$E$19:$E$379,0),MATCH('Mezz 1 Amortization'!$U$19,'Mezz 1 Amortization'!$B$19:$V$19,0)),IF('Mezz 1 Amortization'!$T$4="Bi-Annual",IF(OR('Mezz 1 Amortization'!$R$4=BT$5,'Mezz 1 Amortization'!$S$4=BT$5),INDEX('Mezz 1 Amortization'!$B$19:$V$379,MATCH(BT$135,'Mezz 1 Amortization'!$E$19:$E$379,0),MATCH('Mezz 1 Amortization'!$U$19,'Mezz 1 Amortization'!$B$19:$V$19,0)),0),0)))</f>
        <v>0</v>
      </c>
      <c r="BU139" s="427">
        <f>IF(OR('Financing Assumptions'!$P$8="No",BU$135&lt;='Financing Assumptions'!$P$26,BU$135&gt;'Mezz 1 Amortization'!$T$13),0,IF('Mezz 1 Amortization'!$T$4="Monthly",INDEX('Mezz 1 Amortization'!$B$19:$V$379,MATCH(BU$135,'Mezz 1 Amortization'!$E$19:$E$379,0),MATCH('Mezz 1 Amortization'!$U$19,'Mezz 1 Amortization'!$B$19:$V$19,0)),IF('Mezz 1 Amortization'!$T$4="Bi-Annual",IF(OR('Mezz 1 Amortization'!$R$4=BU$5,'Mezz 1 Amortization'!$S$4=BU$5),INDEX('Mezz 1 Amortization'!$B$19:$V$379,MATCH(BU$135,'Mezz 1 Amortization'!$E$19:$E$379,0),MATCH('Mezz 1 Amortization'!$U$19,'Mezz 1 Amortization'!$B$19:$V$19,0)),0),0)))</f>
        <v>0</v>
      </c>
      <c r="BV139" s="427">
        <f>IF(OR('Financing Assumptions'!$P$8="No",BV$135&lt;='Financing Assumptions'!$P$26,BV$135&gt;'Mezz 1 Amortization'!$T$13),0,IF('Mezz 1 Amortization'!$T$4="Monthly",INDEX('Mezz 1 Amortization'!$B$19:$V$379,MATCH(BV$135,'Mezz 1 Amortization'!$E$19:$E$379,0),MATCH('Mezz 1 Amortization'!$U$19,'Mezz 1 Amortization'!$B$19:$V$19,0)),IF('Mezz 1 Amortization'!$T$4="Bi-Annual",IF(OR('Mezz 1 Amortization'!$R$4=BV$5,'Mezz 1 Amortization'!$S$4=BV$5),INDEX('Mezz 1 Amortization'!$B$19:$V$379,MATCH(BV$135,'Mezz 1 Amortization'!$E$19:$E$379,0),MATCH('Mezz 1 Amortization'!$U$19,'Mezz 1 Amortization'!$B$19:$V$19,0)),0),0)))</f>
        <v>0</v>
      </c>
      <c r="BW139" s="427">
        <f>IF(OR('Financing Assumptions'!$P$8="No",BW$135&lt;='Financing Assumptions'!$P$26,BW$135&gt;'Mezz 1 Amortization'!$T$13),0,IF('Mezz 1 Amortization'!$T$4="Monthly",INDEX('Mezz 1 Amortization'!$B$19:$V$379,MATCH(BW$135,'Mezz 1 Amortization'!$E$19:$E$379,0),MATCH('Mezz 1 Amortization'!$U$19,'Mezz 1 Amortization'!$B$19:$V$19,0)),IF('Mezz 1 Amortization'!$T$4="Bi-Annual",IF(OR('Mezz 1 Amortization'!$R$4=BW$5,'Mezz 1 Amortization'!$S$4=BW$5),INDEX('Mezz 1 Amortization'!$B$19:$V$379,MATCH(BW$135,'Mezz 1 Amortization'!$E$19:$E$379,0),MATCH('Mezz 1 Amortization'!$U$19,'Mezz 1 Amortization'!$B$19:$V$19,0)),0),0)))</f>
        <v>0</v>
      </c>
      <c r="BX139" s="427">
        <f>IF(OR('Financing Assumptions'!$P$8="No",BX$135&lt;='Financing Assumptions'!$P$26,BX$135&gt;'Mezz 1 Amortization'!$T$13),0,IF('Mezz 1 Amortization'!$T$4="Monthly",INDEX('Mezz 1 Amortization'!$B$19:$V$379,MATCH(BX$135,'Mezz 1 Amortization'!$E$19:$E$379,0),MATCH('Mezz 1 Amortization'!$U$19,'Mezz 1 Amortization'!$B$19:$V$19,0)),IF('Mezz 1 Amortization'!$T$4="Bi-Annual",IF(OR('Mezz 1 Amortization'!$R$4=BX$5,'Mezz 1 Amortization'!$S$4=BX$5),INDEX('Mezz 1 Amortization'!$B$19:$V$379,MATCH(BX$135,'Mezz 1 Amortization'!$E$19:$E$379,0),MATCH('Mezz 1 Amortization'!$U$19,'Mezz 1 Amortization'!$B$19:$V$19,0)),0),0)))</f>
        <v>0</v>
      </c>
      <c r="BY139" s="427">
        <f>IF(OR('Financing Assumptions'!$P$8="No",BY$135&lt;='Financing Assumptions'!$P$26,BY$135&gt;'Mezz 1 Amortization'!$T$13),0,IF('Mezz 1 Amortization'!$T$4="Monthly",INDEX('Mezz 1 Amortization'!$B$19:$V$379,MATCH(BY$135,'Mezz 1 Amortization'!$E$19:$E$379,0),MATCH('Mezz 1 Amortization'!$U$19,'Mezz 1 Amortization'!$B$19:$V$19,0)),IF('Mezz 1 Amortization'!$T$4="Bi-Annual",IF(OR('Mezz 1 Amortization'!$R$4=BY$5,'Mezz 1 Amortization'!$S$4=BY$5),INDEX('Mezz 1 Amortization'!$B$19:$V$379,MATCH(BY$135,'Mezz 1 Amortization'!$E$19:$E$379,0),MATCH('Mezz 1 Amortization'!$U$19,'Mezz 1 Amortization'!$B$19:$V$19,0)),0),0)))</f>
        <v>0</v>
      </c>
      <c r="BZ139" s="427">
        <f>IF(OR('Financing Assumptions'!$P$8="No",BZ$135&lt;='Financing Assumptions'!$P$26,BZ$135&gt;'Mezz 1 Amortization'!$T$13),0,IF('Mezz 1 Amortization'!$T$4="Monthly",INDEX('Mezz 1 Amortization'!$B$19:$V$379,MATCH(BZ$135,'Mezz 1 Amortization'!$E$19:$E$379,0),MATCH('Mezz 1 Amortization'!$U$19,'Mezz 1 Amortization'!$B$19:$V$19,0)),IF('Mezz 1 Amortization'!$T$4="Bi-Annual",IF(OR('Mezz 1 Amortization'!$R$4=BZ$5,'Mezz 1 Amortization'!$S$4=BZ$5),INDEX('Mezz 1 Amortization'!$B$19:$V$379,MATCH(BZ$135,'Mezz 1 Amortization'!$E$19:$E$379,0),MATCH('Mezz 1 Amortization'!$U$19,'Mezz 1 Amortization'!$B$19:$V$19,0)),0),0)))</f>
        <v>0</v>
      </c>
      <c r="CA139" s="427">
        <f>IF(OR('Financing Assumptions'!$P$8="No",CA$135&lt;='Financing Assumptions'!$P$26,CA$135&gt;'Mezz 1 Amortization'!$T$13),0,IF('Mezz 1 Amortization'!$T$4="Monthly",INDEX('Mezz 1 Amortization'!$B$19:$V$379,MATCH(CA$135,'Mezz 1 Amortization'!$E$19:$E$379,0),MATCH('Mezz 1 Amortization'!$U$19,'Mezz 1 Amortization'!$B$19:$V$19,0)),IF('Mezz 1 Amortization'!$T$4="Bi-Annual",IF(OR('Mezz 1 Amortization'!$R$4=CA$5,'Mezz 1 Amortization'!$S$4=CA$5),INDEX('Mezz 1 Amortization'!$B$19:$V$379,MATCH(CA$135,'Mezz 1 Amortization'!$E$19:$E$379,0),MATCH('Mezz 1 Amortization'!$U$19,'Mezz 1 Amortization'!$B$19:$V$19,0)),0),0)))</f>
        <v>0</v>
      </c>
      <c r="CB139" s="427">
        <f>IF(OR('Financing Assumptions'!$P$8="No",CB$135&lt;='Financing Assumptions'!$P$26,CB$135&gt;'Mezz 1 Amortization'!$T$13),0,IF('Mezz 1 Amortization'!$T$4="Monthly",INDEX('Mezz 1 Amortization'!$B$19:$V$379,MATCH(CB$135,'Mezz 1 Amortization'!$E$19:$E$379,0),MATCH('Mezz 1 Amortization'!$U$19,'Mezz 1 Amortization'!$B$19:$V$19,0)),IF('Mezz 1 Amortization'!$T$4="Bi-Annual",IF(OR('Mezz 1 Amortization'!$R$4=CB$5,'Mezz 1 Amortization'!$S$4=CB$5),INDEX('Mezz 1 Amortization'!$B$19:$V$379,MATCH(CB$135,'Mezz 1 Amortization'!$E$19:$E$379,0),MATCH('Mezz 1 Amortization'!$U$19,'Mezz 1 Amortization'!$B$19:$V$19,0)),0),0)))</f>
        <v>0</v>
      </c>
      <c r="CC139" s="427">
        <f>IF(OR('Financing Assumptions'!$P$8="No",CC$135&lt;='Financing Assumptions'!$P$26,CC$135&gt;'Mezz 1 Amortization'!$T$13),0,IF('Mezz 1 Amortization'!$T$4="Monthly",INDEX('Mezz 1 Amortization'!$B$19:$V$379,MATCH(CC$135,'Mezz 1 Amortization'!$E$19:$E$379,0),MATCH('Mezz 1 Amortization'!$U$19,'Mezz 1 Amortization'!$B$19:$V$19,0)),IF('Mezz 1 Amortization'!$T$4="Bi-Annual",IF(OR('Mezz 1 Amortization'!$R$4=CC$5,'Mezz 1 Amortization'!$S$4=CC$5),INDEX('Mezz 1 Amortization'!$B$19:$V$379,MATCH(CC$135,'Mezz 1 Amortization'!$E$19:$E$379,0),MATCH('Mezz 1 Amortization'!$U$19,'Mezz 1 Amortization'!$B$19:$V$19,0)),0),0)))</f>
        <v>0</v>
      </c>
      <c r="CD139" s="427">
        <f>IF(OR('Financing Assumptions'!$P$8="No",CD$135&lt;='Financing Assumptions'!$P$26,CD$135&gt;'Mezz 1 Amortization'!$T$13),0,IF('Mezz 1 Amortization'!$T$4="Monthly",INDEX('Mezz 1 Amortization'!$B$19:$V$379,MATCH(CD$135,'Mezz 1 Amortization'!$E$19:$E$379,0),MATCH('Mezz 1 Amortization'!$U$19,'Mezz 1 Amortization'!$B$19:$V$19,0)),IF('Mezz 1 Amortization'!$T$4="Bi-Annual",IF(OR('Mezz 1 Amortization'!$R$4=CD$5,'Mezz 1 Amortization'!$S$4=CD$5),INDEX('Mezz 1 Amortization'!$B$19:$V$379,MATCH(CD$135,'Mezz 1 Amortization'!$E$19:$E$379,0),MATCH('Mezz 1 Amortization'!$U$19,'Mezz 1 Amortization'!$B$19:$V$19,0)),0),0)))</f>
        <v>0</v>
      </c>
      <c r="CE139" s="427">
        <f>IF(OR('Financing Assumptions'!$P$8="No",CE$135&lt;='Financing Assumptions'!$P$26,CE$135&gt;'Mezz 1 Amortization'!$T$13),0,IF('Mezz 1 Amortization'!$T$4="Monthly",INDEX('Mezz 1 Amortization'!$B$19:$V$379,MATCH(CE$135,'Mezz 1 Amortization'!$E$19:$E$379,0),MATCH('Mezz 1 Amortization'!$U$19,'Mezz 1 Amortization'!$B$19:$V$19,0)),IF('Mezz 1 Amortization'!$T$4="Bi-Annual",IF(OR('Mezz 1 Amortization'!$R$4=CE$5,'Mezz 1 Amortization'!$S$4=CE$5),INDEX('Mezz 1 Amortization'!$B$19:$V$379,MATCH(CE$135,'Mezz 1 Amortization'!$E$19:$E$379,0),MATCH('Mezz 1 Amortization'!$U$19,'Mezz 1 Amortization'!$B$19:$V$19,0)),0),0)))</f>
        <v>0</v>
      </c>
      <c r="CF139" s="427">
        <f>IF(OR('Financing Assumptions'!$P$8="No",CF$135&lt;='Financing Assumptions'!$P$26,CF$135&gt;'Mezz 1 Amortization'!$T$13),0,IF('Mezz 1 Amortization'!$T$4="Monthly",INDEX('Mezz 1 Amortization'!$B$19:$V$379,MATCH(CF$135,'Mezz 1 Amortization'!$E$19:$E$379,0),MATCH('Mezz 1 Amortization'!$U$19,'Mezz 1 Amortization'!$B$19:$V$19,0)),IF('Mezz 1 Amortization'!$T$4="Bi-Annual",IF(OR('Mezz 1 Amortization'!$R$4=CF$5,'Mezz 1 Amortization'!$S$4=CF$5),INDEX('Mezz 1 Amortization'!$B$19:$V$379,MATCH(CF$135,'Mezz 1 Amortization'!$E$19:$E$379,0),MATCH('Mezz 1 Amortization'!$U$19,'Mezz 1 Amortization'!$B$19:$V$19,0)),0),0)))</f>
        <v>0</v>
      </c>
      <c r="CG139" s="427">
        <f>IF(OR('Financing Assumptions'!$P$8="No",CG$135&lt;='Financing Assumptions'!$P$26,CG$135&gt;'Mezz 1 Amortization'!$T$13),0,IF('Mezz 1 Amortization'!$T$4="Monthly",INDEX('Mezz 1 Amortization'!$B$19:$V$379,MATCH(CG$135,'Mezz 1 Amortization'!$E$19:$E$379,0),MATCH('Mezz 1 Amortization'!$U$19,'Mezz 1 Amortization'!$B$19:$V$19,0)),IF('Mezz 1 Amortization'!$T$4="Bi-Annual",IF(OR('Mezz 1 Amortization'!$R$4=CG$5,'Mezz 1 Amortization'!$S$4=CG$5),INDEX('Mezz 1 Amortization'!$B$19:$V$379,MATCH(CG$135,'Mezz 1 Amortization'!$E$19:$E$379,0),MATCH('Mezz 1 Amortization'!$U$19,'Mezz 1 Amortization'!$B$19:$V$19,0)),0),0)))</f>
        <v>0</v>
      </c>
      <c r="CH139" s="427">
        <f>IF(OR('Financing Assumptions'!$P$8="No",CH$135&lt;='Financing Assumptions'!$P$26,CH$135&gt;'Mezz 1 Amortization'!$T$13),0,IF('Mezz 1 Amortization'!$T$4="Monthly",INDEX('Mezz 1 Amortization'!$B$19:$V$379,MATCH(CH$135,'Mezz 1 Amortization'!$E$19:$E$379,0),MATCH('Mezz 1 Amortization'!$U$19,'Mezz 1 Amortization'!$B$19:$V$19,0)),IF('Mezz 1 Amortization'!$T$4="Bi-Annual",IF(OR('Mezz 1 Amortization'!$R$4=CH$5,'Mezz 1 Amortization'!$S$4=CH$5),INDEX('Mezz 1 Amortization'!$B$19:$V$379,MATCH(CH$135,'Mezz 1 Amortization'!$E$19:$E$379,0),MATCH('Mezz 1 Amortization'!$U$19,'Mezz 1 Amortization'!$B$19:$V$19,0)),0),0)))</f>
        <v>0</v>
      </c>
      <c r="CI139" s="427">
        <f>IF(OR('Financing Assumptions'!$P$8="No",CI$135&lt;='Financing Assumptions'!$P$26,CI$135&gt;'Mezz 1 Amortization'!$T$13),0,IF('Mezz 1 Amortization'!$T$4="Monthly",INDEX('Mezz 1 Amortization'!$B$19:$V$379,MATCH(CI$135,'Mezz 1 Amortization'!$E$19:$E$379,0),MATCH('Mezz 1 Amortization'!$U$19,'Mezz 1 Amortization'!$B$19:$V$19,0)),IF('Mezz 1 Amortization'!$T$4="Bi-Annual",IF(OR('Mezz 1 Amortization'!$R$4=CI$5,'Mezz 1 Amortization'!$S$4=CI$5),INDEX('Mezz 1 Amortization'!$B$19:$V$379,MATCH(CI$135,'Mezz 1 Amortization'!$E$19:$E$379,0),MATCH('Mezz 1 Amortization'!$U$19,'Mezz 1 Amortization'!$B$19:$V$19,0)),0),0)))</f>
        <v>0</v>
      </c>
      <c r="CJ139" s="427">
        <f>IF(OR('Financing Assumptions'!$P$8="No",CJ$135&lt;='Financing Assumptions'!$P$26,CJ$135&gt;'Mezz 1 Amortization'!$T$13),0,IF('Mezz 1 Amortization'!$T$4="Monthly",INDEX('Mezz 1 Amortization'!$B$19:$V$379,MATCH(CJ$135,'Mezz 1 Amortization'!$E$19:$E$379,0),MATCH('Mezz 1 Amortization'!$U$19,'Mezz 1 Amortization'!$B$19:$V$19,0)),IF('Mezz 1 Amortization'!$T$4="Bi-Annual",IF(OR('Mezz 1 Amortization'!$R$4=CJ$5,'Mezz 1 Amortization'!$S$4=CJ$5),INDEX('Mezz 1 Amortization'!$B$19:$V$379,MATCH(CJ$135,'Mezz 1 Amortization'!$E$19:$E$379,0),MATCH('Mezz 1 Amortization'!$U$19,'Mezz 1 Amortization'!$B$19:$V$19,0)),0),0)))</f>
        <v>0</v>
      </c>
      <c r="CK139" s="427">
        <f>IF(OR('Financing Assumptions'!$P$8="No",CK$135&lt;='Financing Assumptions'!$P$26,CK$135&gt;'Mezz 1 Amortization'!$T$13),0,IF('Mezz 1 Amortization'!$T$4="Monthly",INDEX('Mezz 1 Amortization'!$B$19:$V$379,MATCH(CK$135,'Mezz 1 Amortization'!$E$19:$E$379,0),MATCH('Mezz 1 Amortization'!$U$19,'Mezz 1 Amortization'!$B$19:$V$19,0)),IF('Mezz 1 Amortization'!$T$4="Bi-Annual",IF(OR('Mezz 1 Amortization'!$R$4=CK$5,'Mezz 1 Amortization'!$S$4=CK$5),INDEX('Mezz 1 Amortization'!$B$19:$V$379,MATCH(CK$135,'Mezz 1 Amortization'!$E$19:$E$379,0),MATCH('Mezz 1 Amortization'!$U$19,'Mezz 1 Amortization'!$B$19:$V$19,0)),0),0)))</f>
        <v>0</v>
      </c>
      <c r="CL139" s="427">
        <f>IF(OR('Financing Assumptions'!$P$8="No",CL$135&lt;='Financing Assumptions'!$P$26,CL$135&gt;'Mezz 1 Amortization'!$T$13),0,IF('Mezz 1 Amortization'!$T$4="Monthly",INDEX('Mezz 1 Amortization'!$B$19:$V$379,MATCH(CL$135,'Mezz 1 Amortization'!$E$19:$E$379,0),MATCH('Mezz 1 Amortization'!$U$19,'Mezz 1 Amortization'!$B$19:$V$19,0)),IF('Mezz 1 Amortization'!$T$4="Bi-Annual",IF(OR('Mezz 1 Amortization'!$R$4=CL$5,'Mezz 1 Amortization'!$S$4=CL$5),INDEX('Mezz 1 Amortization'!$B$19:$V$379,MATCH(CL$135,'Mezz 1 Amortization'!$E$19:$E$379,0),MATCH('Mezz 1 Amortization'!$U$19,'Mezz 1 Amortization'!$B$19:$V$19,0)),0),0)))</f>
        <v>0</v>
      </c>
      <c r="CM139" s="427">
        <f>IF(OR('Financing Assumptions'!$P$8="No",CM$135&lt;='Financing Assumptions'!$P$26,CM$135&gt;'Mezz 1 Amortization'!$T$13),0,IF('Mezz 1 Amortization'!$T$4="Monthly",INDEX('Mezz 1 Amortization'!$B$19:$V$379,MATCH(CM$135,'Mezz 1 Amortization'!$E$19:$E$379,0),MATCH('Mezz 1 Amortization'!$U$19,'Mezz 1 Amortization'!$B$19:$V$19,0)),IF('Mezz 1 Amortization'!$T$4="Bi-Annual",IF(OR('Mezz 1 Amortization'!$R$4=CM$5,'Mezz 1 Amortization'!$S$4=CM$5),INDEX('Mezz 1 Amortization'!$B$19:$V$379,MATCH(CM$135,'Mezz 1 Amortization'!$E$19:$E$379,0),MATCH('Mezz 1 Amortization'!$U$19,'Mezz 1 Amortization'!$B$19:$V$19,0)),0),0)))</f>
        <v>0</v>
      </c>
      <c r="CN139" s="427">
        <f>IF(OR('Financing Assumptions'!$P$8="No",CN$135&lt;='Financing Assumptions'!$P$26,CN$135&gt;'Mezz 1 Amortization'!$T$13),0,IF('Mezz 1 Amortization'!$T$4="Monthly",INDEX('Mezz 1 Amortization'!$B$19:$V$379,MATCH(CN$135,'Mezz 1 Amortization'!$E$19:$E$379,0),MATCH('Mezz 1 Amortization'!$U$19,'Mezz 1 Amortization'!$B$19:$V$19,0)),IF('Mezz 1 Amortization'!$T$4="Bi-Annual",IF(OR('Mezz 1 Amortization'!$R$4=CN$5,'Mezz 1 Amortization'!$S$4=CN$5),INDEX('Mezz 1 Amortization'!$B$19:$V$379,MATCH(CN$135,'Mezz 1 Amortization'!$E$19:$E$379,0),MATCH('Mezz 1 Amortization'!$U$19,'Mezz 1 Amortization'!$B$19:$V$19,0)),0),0)))</f>
        <v>0</v>
      </c>
      <c r="CO139" s="427">
        <f>IF(OR('Financing Assumptions'!$P$8="No",CO$135&lt;='Financing Assumptions'!$P$26,CO$135&gt;'Mezz 1 Amortization'!$T$13),0,IF('Mezz 1 Amortization'!$T$4="Monthly",INDEX('Mezz 1 Amortization'!$B$19:$V$379,MATCH(CO$135,'Mezz 1 Amortization'!$E$19:$E$379,0),MATCH('Mezz 1 Amortization'!$U$19,'Mezz 1 Amortization'!$B$19:$V$19,0)),IF('Mezz 1 Amortization'!$T$4="Bi-Annual",IF(OR('Mezz 1 Amortization'!$R$4=CO$5,'Mezz 1 Amortization'!$S$4=CO$5),INDEX('Mezz 1 Amortization'!$B$19:$V$379,MATCH(CO$135,'Mezz 1 Amortization'!$E$19:$E$379,0),MATCH('Mezz 1 Amortization'!$U$19,'Mezz 1 Amortization'!$B$19:$V$19,0)),0),0)))</f>
        <v>0</v>
      </c>
      <c r="CP139" s="427">
        <f>IF(OR('Financing Assumptions'!$P$8="No",CP$135&lt;='Financing Assumptions'!$P$26,CP$135&gt;'Mezz 1 Amortization'!$T$13),0,IF('Mezz 1 Amortization'!$T$4="Monthly",INDEX('Mezz 1 Amortization'!$B$19:$V$379,MATCH(CP$135,'Mezz 1 Amortization'!$E$19:$E$379,0),MATCH('Mezz 1 Amortization'!$U$19,'Mezz 1 Amortization'!$B$19:$V$19,0)),IF('Mezz 1 Amortization'!$T$4="Bi-Annual",IF(OR('Mezz 1 Amortization'!$R$4=CP$5,'Mezz 1 Amortization'!$S$4=CP$5),INDEX('Mezz 1 Amortization'!$B$19:$V$379,MATCH(CP$135,'Mezz 1 Amortization'!$E$19:$E$379,0),MATCH('Mezz 1 Amortization'!$U$19,'Mezz 1 Amortization'!$B$19:$V$19,0)),0),0)))</f>
        <v>0</v>
      </c>
      <c r="CQ139" s="427">
        <f>IF(OR('Financing Assumptions'!$P$8="No",CQ$135&lt;='Financing Assumptions'!$P$26,CQ$135&gt;'Mezz 1 Amortization'!$T$13),0,IF('Mezz 1 Amortization'!$T$4="Monthly",INDEX('Mezz 1 Amortization'!$B$19:$V$379,MATCH(CQ$135,'Mezz 1 Amortization'!$E$19:$E$379,0),MATCH('Mezz 1 Amortization'!$U$19,'Mezz 1 Amortization'!$B$19:$V$19,0)),IF('Mezz 1 Amortization'!$T$4="Bi-Annual",IF(OR('Mezz 1 Amortization'!$R$4=CQ$5,'Mezz 1 Amortization'!$S$4=CQ$5),INDEX('Mezz 1 Amortization'!$B$19:$V$379,MATCH(CQ$135,'Mezz 1 Amortization'!$E$19:$E$379,0),MATCH('Mezz 1 Amortization'!$U$19,'Mezz 1 Amortization'!$B$19:$V$19,0)),0),0)))</f>
        <v>0</v>
      </c>
      <c r="CR139" s="427">
        <f>IF(OR('Financing Assumptions'!$P$8="No",CR$135&lt;='Financing Assumptions'!$P$26,CR$135&gt;'Mezz 1 Amortization'!$T$13),0,IF('Mezz 1 Amortization'!$T$4="Monthly",INDEX('Mezz 1 Amortization'!$B$19:$V$379,MATCH(CR$135,'Mezz 1 Amortization'!$E$19:$E$379,0),MATCH('Mezz 1 Amortization'!$U$19,'Mezz 1 Amortization'!$B$19:$V$19,0)),IF('Mezz 1 Amortization'!$T$4="Bi-Annual",IF(OR('Mezz 1 Amortization'!$R$4=CR$5,'Mezz 1 Amortization'!$S$4=CR$5),INDEX('Mezz 1 Amortization'!$B$19:$V$379,MATCH(CR$135,'Mezz 1 Amortization'!$E$19:$E$379,0),MATCH('Mezz 1 Amortization'!$U$19,'Mezz 1 Amortization'!$B$19:$V$19,0)),0),0)))</f>
        <v>0</v>
      </c>
      <c r="CS139" s="427">
        <f>IF(OR('Financing Assumptions'!$P$8="No",CS$135&lt;='Financing Assumptions'!$P$26,CS$135&gt;'Mezz 1 Amortization'!$T$13),0,IF('Mezz 1 Amortization'!$T$4="Monthly",INDEX('Mezz 1 Amortization'!$B$19:$V$379,MATCH(CS$135,'Mezz 1 Amortization'!$E$19:$E$379,0),MATCH('Mezz 1 Amortization'!$U$19,'Mezz 1 Amortization'!$B$19:$V$19,0)),IF('Mezz 1 Amortization'!$T$4="Bi-Annual",IF(OR('Mezz 1 Amortization'!$R$4=CS$5,'Mezz 1 Amortization'!$S$4=CS$5),INDEX('Mezz 1 Amortization'!$B$19:$V$379,MATCH(CS$135,'Mezz 1 Amortization'!$E$19:$E$379,0),MATCH('Mezz 1 Amortization'!$U$19,'Mezz 1 Amortization'!$B$19:$V$19,0)),0),0)))</f>
        <v>0</v>
      </c>
      <c r="CT139" s="427">
        <f>IF(OR('Financing Assumptions'!$P$8="No",CT$135&lt;='Financing Assumptions'!$P$26,CT$135&gt;'Mezz 1 Amortization'!$T$13),0,IF('Mezz 1 Amortization'!$T$4="Monthly",INDEX('Mezz 1 Amortization'!$B$19:$V$379,MATCH(CT$135,'Mezz 1 Amortization'!$E$19:$E$379,0),MATCH('Mezz 1 Amortization'!$U$19,'Mezz 1 Amortization'!$B$19:$V$19,0)),IF('Mezz 1 Amortization'!$T$4="Bi-Annual",IF(OR('Mezz 1 Amortization'!$R$4=CT$5,'Mezz 1 Amortization'!$S$4=CT$5),INDEX('Mezz 1 Amortization'!$B$19:$V$379,MATCH(CT$135,'Mezz 1 Amortization'!$E$19:$E$379,0),MATCH('Mezz 1 Amortization'!$U$19,'Mezz 1 Amortization'!$B$19:$V$19,0)),0),0)))</f>
        <v>0</v>
      </c>
      <c r="CU139" s="427">
        <f>IF(OR('Financing Assumptions'!$P$8="No",CU$135&lt;='Financing Assumptions'!$P$26,CU$135&gt;'Mezz 1 Amortization'!$T$13),0,IF('Mezz 1 Amortization'!$T$4="Monthly",INDEX('Mezz 1 Amortization'!$B$19:$V$379,MATCH(CU$135,'Mezz 1 Amortization'!$E$19:$E$379,0),MATCH('Mezz 1 Amortization'!$U$19,'Mezz 1 Amortization'!$B$19:$V$19,0)),IF('Mezz 1 Amortization'!$T$4="Bi-Annual",IF(OR('Mezz 1 Amortization'!$R$4=CU$5,'Mezz 1 Amortization'!$S$4=CU$5),INDEX('Mezz 1 Amortization'!$B$19:$V$379,MATCH(CU$135,'Mezz 1 Amortization'!$E$19:$E$379,0),MATCH('Mezz 1 Amortization'!$U$19,'Mezz 1 Amortization'!$B$19:$V$19,0)),0),0)))</f>
        <v>0</v>
      </c>
      <c r="CV139" s="427">
        <f>IF(OR('Financing Assumptions'!$P$8="No",CV$135&lt;='Financing Assumptions'!$P$26,CV$135&gt;'Mezz 1 Amortization'!$T$13),0,IF('Mezz 1 Amortization'!$T$4="Monthly",INDEX('Mezz 1 Amortization'!$B$19:$V$379,MATCH(CV$135,'Mezz 1 Amortization'!$E$19:$E$379,0),MATCH('Mezz 1 Amortization'!$U$19,'Mezz 1 Amortization'!$B$19:$V$19,0)),IF('Mezz 1 Amortization'!$T$4="Bi-Annual",IF(OR('Mezz 1 Amortization'!$R$4=CV$5,'Mezz 1 Amortization'!$S$4=CV$5),INDEX('Mezz 1 Amortization'!$B$19:$V$379,MATCH(CV$135,'Mezz 1 Amortization'!$E$19:$E$379,0),MATCH('Mezz 1 Amortization'!$U$19,'Mezz 1 Amortization'!$B$19:$V$19,0)),0),0)))</f>
        <v>0</v>
      </c>
      <c r="CW139" s="427">
        <f>IF(OR('Financing Assumptions'!$P$8="No",CW$135&lt;='Financing Assumptions'!$P$26,CW$135&gt;'Mezz 1 Amortization'!$T$13),0,IF('Mezz 1 Amortization'!$T$4="Monthly",INDEX('Mezz 1 Amortization'!$B$19:$V$379,MATCH(CW$135,'Mezz 1 Amortization'!$E$19:$E$379,0),MATCH('Mezz 1 Amortization'!$U$19,'Mezz 1 Amortization'!$B$19:$V$19,0)),IF('Mezz 1 Amortization'!$T$4="Bi-Annual",IF(OR('Mezz 1 Amortization'!$R$4=CW$5,'Mezz 1 Amortization'!$S$4=CW$5),INDEX('Mezz 1 Amortization'!$B$19:$V$379,MATCH(CW$135,'Mezz 1 Amortization'!$E$19:$E$379,0),MATCH('Mezz 1 Amortization'!$U$19,'Mezz 1 Amortization'!$B$19:$V$19,0)),0),0)))</f>
        <v>0</v>
      </c>
      <c r="CX139" s="427">
        <f>IF(OR('Financing Assumptions'!$P$8="No",CX$135&lt;='Financing Assumptions'!$P$26,CX$135&gt;'Mezz 1 Amortization'!$T$13),0,IF('Mezz 1 Amortization'!$T$4="Monthly",INDEX('Mezz 1 Amortization'!$B$19:$V$379,MATCH(CX$135,'Mezz 1 Amortization'!$E$19:$E$379,0),MATCH('Mezz 1 Amortization'!$U$19,'Mezz 1 Amortization'!$B$19:$V$19,0)),IF('Mezz 1 Amortization'!$T$4="Bi-Annual",IF(OR('Mezz 1 Amortization'!$R$4=CX$5,'Mezz 1 Amortization'!$S$4=CX$5),INDEX('Mezz 1 Amortization'!$B$19:$V$379,MATCH(CX$135,'Mezz 1 Amortization'!$E$19:$E$379,0),MATCH('Mezz 1 Amortization'!$U$19,'Mezz 1 Amortization'!$B$19:$V$19,0)),0),0)))</f>
        <v>0</v>
      </c>
      <c r="CY139" s="427">
        <f>IF(OR('Financing Assumptions'!$P$8="No",CY$135&lt;='Financing Assumptions'!$P$26,CY$135&gt;'Mezz 1 Amortization'!$T$13),0,IF('Mezz 1 Amortization'!$T$4="Monthly",INDEX('Mezz 1 Amortization'!$B$19:$V$379,MATCH(CY$135,'Mezz 1 Amortization'!$E$19:$E$379,0),MATCH('Mezz 1 Amortization'!$U$19,'Mezz 1 Amortization'!$B$19:$V$19,0)),IF('Mezz 1 Amortization'!$T$4="Bi-Annual",IF(OR('Mezz 1 Amortization'!$R$4=CY$5,'Mezz 1 Amortization'!$S$4=CY$5),INDEX('Mezz 1 Amortization'!$B$19:$V$379,MATCH(CY$135,'Mezz 1 Amortization'!$E$19:$E$379,0),MATCH('Mezz 1 Amortization'!$U$19,'Mezz 1 Amortization'!$B$19:$V$19,0)),0),0)))</f>
        <v>0</v>
      </c>
      <c r="CZ139" s="427">
        <f>IF(OR('Financing Assumptions'!$P$8="No",CZ$135&lt;='Financing Assumptions'!$P$26,CZ$135&gt;'Mezz 1 Amortization'!$T$13),0,IF('Mezz 1 Amortization'!$T$4="Monthly",INDEX('Mezz 1 Amortization'!$B$19:$V$379,MATCH(CZ$135,'Mezz 1 Amortization'!$E$19:$E$379,0),MATCH('Mezz 1 Amortization'!$U$19,'Mezz 1 Amortization'!$B$19:$V$19,0)),IF('Mezz 1 Amortization'!$T$4="Bi-Annual",IF(OR('Mezz 1 Amortization'!$R$4=CZ$5,'Mezz 1 Amortization'!$S$4=CZ$5),INDEX('Mezz 1 Amortization'!$B$19:$V$379,MATCH(CZ$135,'Mezz 1 Amortization'!$E$19:$E$379,0),MATCH('Mezz 1 Amortization'!$U$19,'Mezz 1 Amortization'!$B$19:$V$19,0)),0),0)))</f>
        <v>0</v>
      </c>
      <c r="DA139" s="427">
        <f>IF(OR('Financing Assumptions'!$P$8="No",DA$135&lt;='Financing Assumptions'!$P$26,DA$135&gt;'Mezz 1 Amortization'!$T$13),0,IF('Mezz 1 Amortization'!$T$4="Monthly",INDEX('Mezz 1 Amortization'!$B$19:$V$379,MATCH(DA$135,'Mezz 1 Amortization'!$E$19:$E$379,0),MATCH('Mezz 1 Amortization'!$U$19,'Mezz 1 Amortization'!$B$19:$V$19,0)),IF('Mezz 1 Amortization'!$T$4="Bi-Annual",IF(OR('Mezz 1 Amortization'!$R$4=DA$5,'Mezz 1 Amortization'!$S$4=DA$5),INDEX('Mezz 1 Amortization'!$B$19:$V$379,MATCH(DA$135,'Mezz 1 Amortization'!$E$19:$E$379,0),MATCH('Mezz 1 Amortization'!$U$19,'Mezz 1 Amortization'!$B$19:$V$19,0)),0),0)))</f>
        <v>0</v>
      </c>
      <c r="DB139" s="427">
        <f>IF(OR('Financing Assumptions'!$P$8="No",DB$135&lt;='Financing Assumptions'!$P$26,DB$135&gt;'Mezz 1 Amortization'!$T$13),0,IF('Mezz 1 Amortization'!$T$4="Monthly",INDEX('Mezz 1 Amortization'!$B$19:$V$379,MATCH(DB$135,'Mezz 1 Amortization'!$E$19:$E$379,0),MATCH('Mezz 1 Amortization'!$U$19,'Mezz 1 Amortization'!$B$19:$V$19,0)),IF('Mezz 1 Amortization'!$T$4="Bi-Annual",IF(OR('Mezz 1 Amortization'!$R$4=DB$5,'Mezz 1 Amortization'!$S$4=DB$5),INDEX('Mezz 1 Amortization'!$B$19:$V$379,MATCH(DB$135,'Mezz 1 Amortization'!$E$19:$E$379,0),MATCH('Mezz 1 Amortization'!$U$19,'Mezz 1 Amortization'!$B$19:$V$19,0)),0),0)))</f>
        <v>0</v>
      </c>
      <c r="DC139" s="427">
        <f>IF(OR('Financing Assumptions'!$P$8="No",DC$135&lt;='Financing Assumptions'!$P$26,DC$135&gt;'Mezz 1 Amortization'!$T$13),0,IF('Mezz 1 Amortization'!$T$4="Monthly",INDEX('Mezz 1 Amortization'!$B$19:$V$379,MATCH(DC$135,'Mezz 1 Amortization'!$E$19:$E$379,0),MATCH('Mezz 1 Amortization'!$U$19,'Mezz 1 Amortization'!$B$19:$V$19,0)),IF('Mezz 1 Amortization'!$T$4="Bi-Annual",IF(OR('Mezz 1 Amortization'!$R$4=DC$5,'Mezz 1 Amortization'!$S$4=DC$5),INDEX('Mezz 1 Amortization'!$B$19:$V$379,MATCH(DC$135,'Mezz 1 Amortization'!$E$19:$E$379,0),MATCH('Mezz 1 Amortization'!$U$19,'Mezz 1 Amortization'!$B$19:$V$19,0)),0),0)))</f>
        <v>0</v>
      </c>
      <c r="DD139" s="427">
        <f>IF(OR('Financing Assumptions'!$P$8="No",DD$135&lt;='Financing Assumptions'!$P$26,DD$135&gt;'Mezz 1 Amortization'!$T$13),0,IF('Mezz 1 Amortization'!$T$4="Monthly",INDEX('Mezz 1 Amortization'!$B$19:$V$379,MATCH(DD$135,'Mezz 1 Amortization'!$E$19:$E$379,0),MATCH('Mezz 1 Amortization'!$U$19,'Mezz 1 Amortization'!$B$19:$V$19,0)),IF('Mezz 1 Amortization'!$T$4="Bi-Annual",IF(OR('Mezz 1 Amortization'!$R$4=DD$5,'Mezz 1 Amortization'!$S$4=DD$5),INDEX('Mezz 1 Amortization'!$B$19:$V$379,MATCH(DD$135,'Mezz 1 Amortization'!$E$19:$E$379,0),MATCH('Mezz 1 Amortization'!$U$19,'Mezz 1 Amortization'!$B$19:$V$19,0)),0),0)))</f>
        <v>0</v>
      </c>
      <c r="DE139" s="427">
        <f>IF(OR('Financing Assumptions'!$P$8="No",DE$135&lt;='Financing Assumptions'!$P$26,DE$135&gt;'Mezz 1 Amortization'!$T$13),0,IF('Mezz 1 Amortization'!$T$4="Monthly",INDEX('Mezz 1 Amortization'!$B$19:$V$379,MATCH(DE$135,'Mezz 1 Amortization'!$E$19:$E$379,0),MATCH('Mezz 1 Amortization'!$U$19,'Mezz 1 Amortization'!$B$19:$V$19,0)),IF('Mezz 1 Amortization'!$T$4="Bi-Annual",IF(OR('Mezz 1 Amortization'!$R$4=DE$5,'Mezz 1 Amortization'!$S$4=DE$5),INDEX('Mezz 1 Amortization'!$B$19:$V$379,MATCH(DE$135,'Mezz 1 Amortization'!$E$19:$E$379,0),MATCH('Mezz 1 Amortization'!$U$19,'Mezz 1 Amortization'!$B$19:$V$19,0)),0),0)))</f>
        <v>0</v>
      </c>
      <c r="DF139" s="427">
        <f>IF(OR('Financing Assumptions'!$P$8="No",DF$135&lt;='Financing Assumptions'!$P$26,DF$135&gt;'Mezz 1 Amortization'!$T$13),0,IF('Mezz 1 Amortization'!$T$4="Monthly",INDEX('Mezz 1 Amortization'!$B$19:$V$379,MATCH(DF$135,'Mezz 1 Amortization'!$E$19:$E$379,0),MATCH('Mezz 1 Amortization'!$U$19,'Mezz 1 Amortization'!$B$19:$V$19,0)),IF('Mezz 1 Amortization'!$T$4="Bi-Annual",IF(OR('Mezz 1 Amortization'!$R$4=DF$5,'Mezz 1 Amortization'!$S$4=DF$5),INDEX('Mezz 1 Amortization'!$B$19:$V$379,MATCH(DF$135,'Mezz 1 Amortization'!$E$19:$E$379,0),MATCH('Mezz 1 Amortization'!$U$19,'Mezz 1 Amortization'!$B$19:$V$19,0)),0),0)))</f>
        <v>0</v>
      </c>
      <c r="DG139" s="427">
        <f>IF(OR('Financing Assumptions'!$P$8="No",DG$135&lt;='Financing Assumptions'!$P$26,DG$135&gt;'Mezz 1 Amortization'!$T$13),0,IF('Mezz 1 Amortization'!$T$4="Monthly",INDEX('Mezz 1 Amortization'!$B$19:$V$379,MATCH(DG$135,'Mezz 1 Amortization'!$E$19:$E$379,0),MATCH('Mezz 1 Amortization'!$U$19,'Mezz 1 Amortization'!$B$19:$V$19,0)),IF('Mezz 1 Amortization'!$T$4="Bi-Annual",IF(OR('Mezz 1 Amortization'!$R$4=DG$5,'Mezz 1 Amortization'!$S$4=DG$5),INDEX('Mezz 1 Amortization'!$B$19:$V$379,MATCH(DG$135,'Mezz 1 Amortization'!$E$19:$E$379,0),MATCH('Mezz 1 Amortization'!$U$19,'Mezz 1 Amortization'!$B$19:$V$19,0)),0),0)))</f>
        <v>0</v>
      </c>
      <c r="DH139" s="427">
        <f>IF(OR('Financing Assumptions'!$P$8="No",DH$135&lt;='Financing Assumptions'!$P$26,DH$135&gt;'Mezz 1 Amortization'!$T$13),0,IF('Mezz 1 Amortization'!$T$4="Monthly",INDEX('Mezz 1 Amortization'!$B$19:$V$379,MATCH(DH$135,'Mezz 1 Amortization'!$E$19:$E$379,0),MATCH('Mezz 1 Amortization'!$U$19,'Mezz 1 Amortization'!$B$19:$V$19,0)),IF('Mezz 1 Amortization'!$T$4="Bi-Annual",IF(OR('Mezz 1 Amortization'!$R$4=DH$5,'Mezz 1 Amortization'!$S$4=DH$5),INDEX('Mezz 1 Amortization'!$B$19:$V$379,MATCH(DH$135,'Mezz 1 Amortization'!$E$19:$E$379,0),MATCH('Mezz 1 Amortization'!$U$19,'Mezz 1 Amortization'!$B$19:$V$19,0)),0),0)))</f>
        <v>0</v>
      </c>
      <c r="DI139" s="427">
        <f>IF(OR('Financing Assumptions'!$P$8="No",DI$135&lt;='Financing Assumptions'!$P$26,DI$135&gt;'Mezz 1 Amortization'!$T$13),0,IF('Mezz 1 Amortization'!$T$4="Monthly",INDEX('Mezz 1 Amortization'!$B$19:$V$379,MATCH(DI$135,'Mezz 1 Amortization'!$E$19:$E$379,0),MATCH('Mezz 1 Amortization'!$U$19,'Mezz 1 Amortization'!$B$19:$V$19,0)),IF('Mezz 1 Amortization'!$T$4="Bi-Annual",IF(OR('Mezz 1 Amortization'!$R$4=DI$5,'Mezz 1 Amortization'!$S$4=DI$5),INDEX('Mezz 1 Amortization'!$B$19:$V$379,MATCH(DI$135,'Mezz 1 Amortization'!$E$19:$E$379,0),MATCH('Mezz 1 Amortization'!$U$19,'Mezz 1 Amortization'!$B$19:$V$19,0)),0),0)))</f>
        <v>0</v>
      </c>
      <c r="DJ139" s="427">
        <f>IF(OR('Financing Assumptions'!$P$8="No",DJ$135&lt;='Financing Assumptions'!$P$26,DJ$135&gt;'Mezz 1 Amortization'!$T$13),0,IF('Mezz 1 Amortization'!$T$4="Monthly",INDEX('Mezz 1 Amortization'!$B$19:$V$379,MATCH(DJ$135,'Mezz 1 Amortization'!$E$19:$E$379,0),MATCH('Mezz 1 Amortization'!$U$19,'Mezz 1 Amortization'!$B$19:$V$19,0)),IF('Mezz 1 Amortization'!$T$4="Bi-Annual",IF(OR('Mezz 1 Amortization'!$R$4=DJ$5,'Mezz 1 Amortization'!$S$4=DJ$5),INDEX('Mezz 1 Amortization'!$B$19:$V$379,MATCH(DJ$135,'Mezz 1 Amortization'!$E$19:$E$379,0),MATCH('Mezz 1 Amortization'!$U$19,'Mezz 1 Amortization'!$B$19:$V$19,0)),0),0)))</f>
        <v>0</v>
      </c>
      <c r="DK139" s="427">
        <f>IF(OR('Financing Assumptions'!$P$8="No",DK$135&lt;='Financing Assumptions'!$P$26,DK$135&gt;'Mezz 1 Amortization'!$T$13),0,IF('Mezz 1 Amortization'!$T$4="Monthly",INDEX('Mezz 1 Amortization'!$B$19:$V$379,MATCH(DK$135,'Mezz 1 Amortization'!$E$19:$E$379,0),MATCH('Mezz 1 Amortization'!$U$19,'Mezz 1 Amortization'!$B$19:$V$19,0)),IF('Mezz 1 Amortization'!$T$4="Bi-Annual",IF(OR('Mezz 1 Amortization'!$R$4=DK$5,'Mezz 1 Amortization'!$S$4=DK$5),INDEX('Mezz 1 Amortization'!$B$19:$V$379,MATCH(DK$135,'Mezz 1 Amortization'!$E$19:$E$379,0),MATCH('Mezz 1 Amortization'!$U$19,'Mezz 1 Amortization'!$B$19:$V$19,0)),0),0)))</f>
        <v>0</v>
      </c>
      <c r="DL139" s="427">
        <f>IF(OR('Financing Assumptions'!$P$8="No",DL$135&lt;='Financing Assumptions'!$P$26,DL$135&gt;'Mezz 1 Amortization'!$T$13),0,IF('Mezz 1 Amortization'!$T$4="Monthly",INDEX('Mezz 1 Amortization'!$B$19:$V$379,MATCH(DL$135,'Mezz 1 Amortization'!$E$19:$E$379,0),MATCH('Mezz 1 Amortization'!$U$19,'Mezz 1 Amortization'!$B$19:$V$19,0)),IF('Mezz 1 Amortization'!$T$4="Bi-Annual",IF(OR('Mezz 1 Amortization'!$R$4=DL$5,'Mezz 1 Amortization'!$S$4=DL$5),INDEX('Mezz 1 Amortization'!$B$19:$V$379,MATCH(DL$135,'Mezz 1 Amortization'!$E$19:$E$379,0),MATCH('Mezz 1 Amortization'!$U$19,'Mezz 1 Amortization'!$B$19:$V$19,0)),0),0)))</f>
        <v>0</v>
      </c>
      <c r="DM139" s="427">
        <f>IF(OR('Financing Assumptions'!$P$8="No",DM$135&lt;='Financing Assumptions'!$P$26,DM$135&gt;'Mezz 1 Amortization'!$T$13),0,IF('Mezz 1 Amortization'!$T$4="Monthly",INDEX('Mezz 1 Amortization'!$B$19:$V$379,MATCH(DM$135,'Mezz 1 Amortization'!$E$19:$E$379,0),MATCH('Mezz 1 Amortization'!$U$19,'Mezz 1 Amortization'!$B$19:$V$19,0)),IF('Mezz 1 Amortization'!$T$4="Bi-Annual",IF(OR('Mezz 1 Amortization'!$R$4=DM$5,'Mezz 1 Amortization'!$S$4=DM$5),INDEX('Mezz 1 Amortization'!$B$19:$V$379,MATCH(DM$135,'Mezz 1 Amortization'!$E$19:$E$379,0),MATCH('Mezz 1 Amortization'!$U$19,'Mezz 1 Amortization'!$B$19:$V$19,0)),0),0)))</f>
        <v>0</v>
      </c>
      <c r="DN139" s="427">
        <f>IF(OR('Financing Assumptions'!$P$8="No",DN$135&lt;='Financing Assumptions'!$P$26,DN$135&gt;'Mezz 1 Amortization'!$T$13),0,IF('Mezz 1 Amortization'!$T$4="Monthly",INDEX('Mezz 1 Amortization'!$B$19:$V$379,MATCH(DN$135,'Mezz 1 Amortization'!$E$19:$E$379,0),MATCH('Mezz 1 Amortization'!$U$19,'Mezz 1 Amortization'!$B$19:$V$19,0)),IF('Mezz 1 Amortization'!$T$4="Bi-Annual",IF(OR('Mezz 1 Amortization'!$R$4=DN$5,'Mezz 1 Amortization'!$S$4=DN$5),INDEX('Mezz 1 Amortization'!$B$19:$V$379,MATCH(DN$135,'Mezz 1 Amortization'!$E$19:$E$379,0),MATCH('Mezz 1 Amortization'!$U$19,'Mezz 1 Amortization'!$B$19:$V$19,0)),0),0)))</f>
        <v>0</v>
      </c>
      <c r="DO139" s="427">
        <f>IF(OR('Financing Assumptions'!$P$8="No",DO$135&lt;='Financing Assumptions'!$P$26,DO$135&gt;'Mezz 1 Amortization'!$T$13),0,IF('Mezz 1 Amortization'!$T$4="Monthly",INDEX('Mezz 1 Amortization'!$B$19:$V$379,MATCH(DO$135,'Mezz 1 Amortization'!$E$19:$E$379,0),MATCH('Mezz 1 Amortization'!$U$19,'Mezz 1 Amortization'!$B$19:$V$19,0)),IF('Mezz 1 Amortization'!$T$4="Bi-Annual",IF(OR('Mezz 1 Amortization'!$R$4=DO$5,'Mezz 1 Amortization'!$S$4=DO$5),INDEX('Mezz 1 Amortization'!$B$19:$V$379,MATCH(DO$135,'Mezz 1 Amortization'!$E$19:$E$379,0),MATCH('Mezz 1 Amortization'!$U$19,'Mezz 1 Amortization'!$B$19:$V$19,0)),0),0)))</f>
        <v>0</v>
      </c>
      <c r="DP139" s="427">
        <f>IF(OR('Financing Assumptions'!$P$8="No",DP$135&lt;='Financing Assumptions'!$P$26,DP$135&gt;'Mezz 1 Amortization'!$T$13),0,IF('Mezz 1 Amortization'!$T$4="Monthly",INDEX('Mezz 1 Amortization'!$B$19:$V$379,MATCH(DP$135,'Mezz 1 Amortization'!$E$19:$E$379,0),MATCH('Mezz 1 Amortization'!$U$19,'Mezz 1 Amortization'!$B$19:$V$19,0)),IF('Mezz 1 Amortization'!$T$4="Bi-Annual",IF(OR('Mezz 1 Amortization'!$R$4=DP$5,'Mezz 1 Amortization'!$S$4=DP$5),INDEX('Mezz 1 Amortization'!$B$19:$V$379,MATCH(DP$135,'Mezz 1 Amortization'!$E$19:$E$379,0),MATCH('Mezz 1 Amortization'!$U$19,'Mezz 1 Amortization'!$B$19:$V$19,0)),0),0)))</f>
        <v>0</v>
      </c>
      <c r="DQ139" s="427">
        <f>IF(OR('Financing Assumptions'!$P$8="No",DQ$135&lt;='Financing Assumptions'!$P$26,DQ$135&gt;'Mezz 1 Amortization'!$T$13),0,IF('Mezz 1 Amortization'!$T$4="Monthly",INDEX('Mezz 1 Amortization'!$B$19:$V$379,MATCH(DQ$135,'Mezz 1 Amortization'!$E$19:$E$379,0),MATCH('Mezz 1 Amortization'!$U$19,'Mezz 1 Amortization'!$B$19:$V$19,0)),IF('Mezz 1 Amortization'!$T$4="Bi-Annual",IF(OR('Mezz 1 Amortization'!$R$4=DQ$5,'Mezz 1 Amortization'!$S$4=DQ$5),INDEX('Mezz 1 Amortization'!$B$19:$V$379,MATCH(DQ$135,'Mezz 1 Amortization'!$E$19:$E$379,0),MATCH('Mezz 1 Amortization'!$U$19,'Mezz 1 Amortization'!$B$19:$V$19,0)),0),0)))</f>
        <v>0</v>
      </c>
      <c r="DR139" s="427">
        <f>IF(OR('Financing Assumptions'!$P$8="No",DR$135&lt;='Financing Assumptions'!$P$26,DR$135&gt;'Mezz 1 Amortization'!$T$13),0,IF('Mezz 1 Amortization'!$T$4="Monthly",INDEX('Mezz 1 Amortization'!$B$19:$V$379,MATCH(DR$135,'Mezz 1 Amortization'!$E$19:$E$379,0),MATCH('Mezz 1 Amortization'!$U$19,'Mezz 1 Amortization'!$B$19:$V$19,0)),IF('Mezz 1 Amortization'!$T$4="Bi-Annual",IF(OR('Mezz 1 Amortization'!$R$4=DR$5,'Mezz 1 Amortization'!$S$4=DR$5),INDEX('Mezz 1 Amortization'!$B$19:$V$379,MATCH(DR$135,'Mezz 1 Amortization'!$E$19:$E$379,0),MATCH('Mezz 1 Amortization'!$U$19,'Mezz 1 Amortization'!$B$19:$V$19,0)),0),0)))</f>
        <v>0</v>
      </c>
      <c r="DS139" s="427">
        <f>IF(OR('Financing Assumptions'!$P$8="No",DS$135&lt;='Financing Assumptions'!$P$26,DS$135&gt;'Mezz 1 Amortization'!$T$13),0,IF('Mezz 1 Amortization'!$T$4="Monthly",INDEX('Mezz 1 Amortization'!$B$19:$V$379,MATCH(DS$135,'Mezz 1 Amortization'!$E$19:$E$379,0),MATCH('Mezz 1 Amortization'!$U$19,'Mezz 1 Amortization'!$B$19:$V$19,0)),IF('Mezz 1 Amortization'!$T$4="Bi-Annual",IF(OR('Mezz 1 Amortization'!$R$4=DS$5,'Mezz 1 Amortization'!$S$4=DS$5),INDEX('Mezz 1 Amortization'!$B$19:$V$379,MATCH(DS$135,'Mezz 1 Amortization'!$E$19:$E$379,0),MATCH('Mezz 1 Amortization'!$U$19,'Mezz 1 Amortization'!$B$19:$V$19,0)),0),0)))</f>
        <v>0</v>
      </c>
      <c r="DT139" s="427">
        <f>IF(OR('Financing Assumptions'!$P$8="No",DT$135&lt;='Financing Assumptions'!$P$26,DT$135&gt;'Mezz 1 Amortization'!$T$13),0,IF('Mezz 1 Amortization'!$T$4="Monthly",INDEX('Mezz 1 Amortization'!$B$19:$V$379,MATCH(DT$135,'Mezz 1 Amortization'!$E$19:$E$379,0),MATCH('Mezz 1 Amortization'!$U$19,'Mezz 1 Amortization'!$B$19:$V$19,0)),IF('Mezz 1 Amortization'!$T$4="Bi-Annual",IF(OR('Mezz 1 Amortization'!$R$4=DT$5,'Mezz 1 Amortization'!$S$4=DT$5),INDEX('Mezz 1 Amortization'!$B$19:$V$379,MATCH(DT$135,'Mezz 1 Amortization'!$E$19:$E$379,0),MATCH('Mezz 1 Amortization'!$U$19,'Mezz 1 Amortization'!$B$19:$V$19,0)),0),0)))</f>
        <v>0</v>
      </c>
      <c r="DU139" s="427">
        <f>IF(OR('Financing Assumptions'!$P$8="No",DU$135&lt;='Financing Assumptions'!$P$26,DU$135&gt;'Mezz 1 Amortization'!$T$13),0,IF('Mezz 1 Amortization'!$T$4="Monthly",INDEX('Mezz 1 Amortization'!$B$19:$V$379,MATCH(DU$135,'Mezz 1 Amortization'!$E$19:$E$379,0),MATCH('Mezz 1 Amortization'!$U$19,'Mezz 1 Amortization'!$B$19:$V$19,0)),IF('Mezz 1 Amortization'!$T$4="Bi-Annual",IF(OR('Mezz 1 Amortization'!$R$4=DU$5,'Mezz 1 Amortization'!$S$4=DU$5),INDEX('Mezz 1 Amortization'!$B$19:$V$379,MATCH(DU$135,'Mezz 1 Amortization'!$E$19:$E$379,0),MATCH('Mezz 1 Amortization'!$U$19,'Mezz 1 Amortization'!$B$19:$V$19,0)),0),0)))</f>
        <v>0</v>
      </c>
      <c r="DV139" s="427">
        <f>IF(OR('Financing Assumptions'!$P$8="No",DV$135&lt;='Financing Assumptions'!$P$26,DV$135&gt;'Mezz 1 Amortization'!$T$13),0,IF('Mezz 1 Amortization'!$T$4="Monthly",INDEX('Mezz 1 Amortization'!$B$19:$V$379,MATCH(DV$135,'Mezz 1 Amortization'!$E$19:$E$379,0),MATCH('Mezz 1 Amortization'!$U$19,'Mezz 1 Amortization'!$B$19:$V$19,0)),IF('Mezz 1 Amortization'!$T$4="Bi-Annual",IF(OR('Mezz 1 Amortization'!$R$4=DV$5,'Mezz 1 Amortization'!$S$4=DV$5),INDEX('Mezz 1 Amortization'!$B$19:$V$379,MATCH(DV$135,'Mezz 1 Amortization'!$E$19:$E$379,0),MATCH('Mezz 1 Amortization'!$U$19,'Mezz 1 Amortization'!$B$19:$V$19,0)),0),0)))</f>
        <v>0</v>
      </c>
      <c r="DW139" s="427">
        <f>IF(OR('Financing Assumptions'!$P$8="No",DW$135&lt;='Financing Assumptions'!$P$26,DW$135&gt;'Mezz 1 Amortization'!$T$13),0,IF('Mezz 1 Amortization'!$T$4="Monthly",INDEX('Mezz 1 Amortization'!$B$19:$V$379,MATCH(DW$135,'Mezz 1 Amortization'!$E$19:$E$379,0),MATCH('Mezz 1 Amortization'!$U$19,'Mezz 1 Amortization'!$B$19:$V$19,0)),IF('Mezz 1 Amortization'!$T$4="Bi-Annual",IF(OR('Mezz 1 Amortization'!$R$4=DW$5,'Mezz 1 Amortization'!$S$4=DW$5),INDEX('Mezz 1 Amortization'!$B$19:$V$379,MATCH(DW$135,'Mezz 1 Amortization'!$E$19:$E$379,0),MATCH('Mezz 1 Amortization'!$U$19,'Mezz 1 Amortization'!$B$19:$V$19,0)),0),0)))</f>
        <v>0</v>
      </c>
      <c r="DX139" s="427">
        <f>IF(OR('Financing Assumptions'!$P$8="No",DX$135&lt;='Financing Assumptions'!$P$26,DX$135&gt;'Mezz 1 Amortization'!$T$13),0,IF('Mezz 1 Amortization'!$T$4="Monthly",INDEX('Mezz 1 Amortization'!$B$19:$V$379,MATCH(DX$135,'Mezz 1 Amortization'!$E$19:$E$379,0),MATCH('Mezz 1 Amortization'!$U$19,'Mezz 1 Amortization'!$B$19:$V$19,0)),IF('Mezz 1 Amortization'!$T$4="Bi-Annual",IF(OR('Mezz 1 Amortization'!$R$4=DX$5,'Mezz 1 Amortization'!$S$4=DX$5),INDEX('Mezz 1 Amortization'!$B$19:$V$379,MATCH(DX$135,'Mezz 1 Amortization'!$E$19:$E$379,0),MATCH('Mezz 1 Amortization'!$U$19,'Mezz 1 Amortization'!$B$19:$V$19,0)),0),0)))</f>
        <v>0</v>
      </c>
      <c r="DY139" s="427">
        <f>IF(OR('Financing Assumptions'!$P$8="No",DY$135&lt;='Financing Assumptions'!$P$26,DY$135&gt;'Mezz 1 Amortization'!$T$13),0,IF('Mezz 1 Amortization'!$T$4="Monthly",INDEX('Mezz 1 Amortization'!$B$19:$V$379,MATCH(DY$135,'Mezz 1 Amortization'!$E$19:$E$379,0),MATCH('Mezz 1 Amortization'!$U$19,'Mezz 1 Amortization'!$B$19:$V$19,0)),IF('Mezz 1 Amortization'!$T$4="Bi-Annual",IF(OR('Mezz 1 Amortization'!$R$4=DY$5,'Mezz 1 Amortization'!$S$4=DY$5),INDEX('Mezz 1 Amortization'!$B$19:$V$379,MATCH(DY$135,'Mezz 1 Amortization'!$E$19:$E$379,0),MATCH('Mezz 1 Amortization'!$U$19,'Mezz 1 Amortization'!$B$19:$V$19,0)),0),0)))</f>
        <v>0</v>
      </c>
      <c r="DZ139" s="427">
        <f>IF(OR('Financing Assumptions'!$P$8="No",DZ$135&lt;='Financing Assumptions'!$P$26,DZ$135&gt;'Mezz 1 Amortization'!$T$13),0,IF('Mezz 1 Amortization'!$T$4="Monthly",INDEX('Mezz 1 Amortization'!$B$19:$V$379,MATCH(DZ$135,'Mezz 1 Amortization'!$E$19:$E$379,0),MATCH('Mezz 1 Amortization'!$U$19,'Mezz 1 Amortization'!$B$19:$V$19,0)),IF('Mezz 1 Amortization'!$T$4="Bi-Annual",IF(OR('Mezz 1 Amortization'!$R$4=DZ$5,'Mezz 1 Amortization'!$S$4=DZ$5),INDEX('Mezz 1 Amortization'!$B$19:$V$379,MATCH(DZ$135,'Mezz 1 Amortization'!$E$19:$E$379,0),MATCH('Mezz 1 Amortization'!$U$19,'Mezz 1 Amortization'!$B$19:$V$19,0)),0),0)))</f>
        <v>0</v>
      </c>
      <c r="EA139" s="427">
        <f>IF(OR('Financing Assumptions'!$P$8="No",EA$135&lt;='Financing Assumptions'!$P$26,EA$135&gt;'Mezz 1 Amortization'!$T$13),0,IF('Mezz 1 Amortization'!$T$4="Monthly",INDEX('Mezz 1 Amortization'!$B$19:$V$379,MATCH(EA$135,'Mezz 1 Amortization'!$E$19:$E$379,0),MATCH('Mezz 1 Amortization'!$U$19,'Mezz 1 Amortization'!$B$19:$V$19,0)),IF('Mezz 1 Amortization'!$T$4="Bi-Annual",IF(OR('Mezz 1 Amortization'!$R$4=EA$5,'Mezz 1 Amortization'!$S$4=EA$5),INDEX('Mezz 1 Amortization'!$B$19:$V$379,MATCH(EA$135,'Mezz 1 Amortization'!$E$19:$E$379,0),MATCH('Mezz 1 Amortization'!$U$19,'Mezz 1 Amortization'!$B$19:$V$19,0)),0),0)))</f>
        <v>0</v>
      </c>
      <c r="EB139" s="427">
        <f>IF(OR('Financing Assumptions'!$P$8="No",EB$135&lt;='Financing Assumptions'!$P$26,EB$135&gt;'Mezz 1 Amortization'!$T$13),0,IF('Mezz 1 Amortization'!$T$4="Monthly",INDEX('Mezz 1 Amortization'!$B$19:$V$379,MATCH(EB$135,'Mezz 1 Amortization'!$E$19:$E$379,0),MATCH('Mezz 1 Amortization'!$U$19,'Mezz 1 Amortization'!$B$19:$V$19,0)),IF('Mezz 1 Amortization'!$T$4="Bi-Annual",IF(OR('Mezz 1 Amortization'!$R$4=EB$5,'Mezz 1 Amortization'!$S$4=EB$5),INDEX('Mezz 1 Amortization'!$B$19:$V$379,MATCH(EB$135,'Mezz 1 Amortization'!$E$19:$E$379,0),MATCH('Mezz 1 Amortization'!$U$19,'Mezz 1 Amortization'!$B$19:$V$19,0)),0),0)))</f>
        <v>0</v>
      </c>
      <c r="EC139" s="427">
        <f>IF(OR('Financing Assumptions'!$P$8="No",EC$135&lt;='Financing Assumptions'!$P$26,EC$135&gt;'Mezz 1 Amortization'!$T$13),0,IF('Mezz 1 Amortization'!$T$4="Monthly",INDEX('Mezz 1 Amortization'!$B$19:$V$379,MATCH(EC$135,'Mezz 1 Amortization'!$E$19:$E$379,0),MATCH('Mezz 1 Amortization'!$U$19,'Mezz 1 Amortization'!$B$19:$V$19,0)),IF('Mezz 1 Amortization'!$T$4="Bi-Annual",IF(OR('Mezz 1 Amortization'!$R$4=EC$5,'Mezz 1 Amortization'!$S$4=EC$5),INDEX('Mezz 1 Amortization'!$B$19:$V$379,MATCH(EC$135,'Mezz 1 Amortization'!$E$19:$E$379,0),MATCH('Mezz 1 Amortization'!$U$19,'Mezz 1 Amortization'!$B$19:$V$19,0)),0),0)))</f>
        <v>0</v>
      </c>
      <c r="ED139" s="427">
        <f>IF(OR('Financing Assumptions'!$P$8="No",ED$135&lt;='Financing Assumptions'!$P$26,ED$135&gt;'Mezz 1 Amortization'!$T$13),0,IF('Mezz 1 Amortization'!$T$4="Monthly",INDEX('Mezz 1 Amortization'!$B$19:$V$379,MATCH(ED$135,'Mezz 1 Amortization'!$E$19:$E$379,0),MATCH('Mezz 1 Amortization'!$U$19,'Mezz 1 Amortization'!$B$19:$V$19,0)),IF('Mezz 1 Amortization'!$T$4="Bi-Annual",IF(OR('Mezz 1 Amortization'!$R$4=ED$5,'Mezz 1 Amortization'!$S$4=ED$5),INDEX('Mezz 1 Amortization'!$B$19:$V$379,MATCH(ED$135,'Mezz 1 Amortization'!$E$19:$E$379,0),MATCH('Mezz 1 Amortization'!$U$19,'Mezz 1 Amortization'!$B$19:$V$19,0)),0),0)))</f>
        <v>0</v>
      </c>
      <c r="EE139" s="427">
        <f>IF(OR('Financing Assumptions'!$P$8="No",EE$135&lt;='Financing Assumptions'!$P$26,EE$135&gt;'Mezz 1 Amortization'!$T$13),0,IF('Mezz 1 Amortization'!$T$4="Monthly",INDEX('Mezz 1 Amortization'!$B$19:$V$379,MATCH(EE$135,'Mezz 1 Amortization'!$E$19:$E$379,0),MATCH('Mezz 1 Amortization'!$U$19,'Mezz 1 Amortization'!$B$19:$V$19,0)),IF('Mezz 1 Amortization'!$T$4="Bi-Annual",IF(OR('Mezz 1 Amortization'!$R$4=EE$5,'Mezz 1 Amortization'!$S$4=EE$5),INDEX('Mezz 1 Amortization'!$B$19:$V$379,MATCH(EE$135,'Mezz 1 Amortization'!$E$19:$E$379,0),MATCH('Mezz 1 Amortization'!$U$19,'Mezz 1 Amortization'!$B$19:$V$19,0)),0),0)))</f>
        <v>0</v>
      </c>
      <c r="EF139" s="427">
        <f>IF(OR('Financing Assumptions'!$P$8="No",EF$135&lt;='Financing Assumptions'!$P$26,EF$135&gt;'Mezz 1 Amortization'!$T$13),0,IF('Mezz 1 Amortization'!$T$4="Monthly",INDEX('Mezz 1 Amortization'!$B$19:$V$379,MATCH(EF$135,'Mezz 1 Amortization'!$E$19:$E$379,0),MATCH('Mezz 1 Amortization'!$U$19,'Mezz 1 Amortization'!$B$19:$V$19,0)),IF('Mezz 1 Amortization'!$T$4="Bi-Annual",IF(OR('Mezz 1 Amortization'!$R$4=EF$5,'Mezz 1 Amortization'!$S$4=EF$5),INDEX('Mezz 1 Amortization'!$B$19:$V$379,MATCH(EF$135,'Mezz 1 Amortization'!$E$19:$E$379,0),MATCH('Mezz 1 Amortization'!$U$19,'Mezz 1 Amortization'!$B$19:$V$19,0)),0),0)))</f>
        <v>0</v>
      </c>
      <c r="EG139" s="427">
        <f>IF(OR('Financing Assumptions'!$P$8="No",EG$135&lt;='Financing Assumptions'!$P$26,EG$135&gt;'Mezz 1 Amortization'!$T$13),0,IF('Mezz 1 Amortization'!$T$4="Monthly",INDEX('Mezz 1 Amortization'!$B$19:$V$379,MATCH(EG$135,'Mezz 1 Amortization'!$E$19:$E$379,0),MATCH('Mezz 1 Amortization'!$U$19,'Mezz 1 Amortization'!$B$19:$V$19,0)),IF('Mezz 1 Amortization'!$T$4="Bi-Annual",IF(OR('Mezz 1 Amortization'!$R$4=EG$5,'Mezz 1 Amortization'!$S$4=EG$5),INDEX('Mezz 1 Amortization'!$B$19:$V$379,MATCH(EG$135,'Mezz 1 Amortization'!$E$19:$E$379,0),MATCH('Mezz 1 Amortization'!$U$19,'Mezz 1 Amortization'!$B$19:$V$19,0)),0),0)))</f>
        <v>0</v>
      </c>
      <c r="EH139" s="427">
        <f>IF(OR('Financing Assumptions'!$P$8="No",EH$135&lt;='Financing Assumptions'!$P$26,EH$135&gt;'Mezz 1 Amortization'!$T$13),0,IF('Mezz 1 Amortization'!$T$4="Monthly",INDEX('Mezz 1 Amortization'!$B$19:$V$379,MATCH(EH$135,'Mezz 1 Amortization'!$E$19:$E$379,0),MATCH('Mezz 1 Amortization'!$U$19,'Mezz 1 Amortization'!$B$19:$V$19,0)),IF('Mezz 1 Amortization'!$T$4="Bi-Annual",IF(OR('Mezz 1 Amortization'!$R$4=EH$5,'Mezz 1 Amortization'!$S$4=EH$5),INDEX('Mezz 1 Amortization'!$B$19:$V$379,MATCH(EH$135,'Mezz 1 Amortization'!$E$19:$E$379,0),MATCH('Mezz 1 Amortization'!$U$19,'Mezz 1 Amortization'!$B$19:$V$19,0)),0),0)))</f>
        <v>0</v>
      </c>
      <c r="EI139" s="427">
        <f>IF(OR('Financing Assumptions'!$P$8="No",EI$135&lt;='Financing Assumptions'!$P$26,EI$135&gt;'Mezz 1 Amortization'!$T$13),0,IF('Mezz 1 Amortization'!$T$4="Monthly",INDEX('Mezz 1 Amortization'!$B$19:$V$379,MATCH(EI$135,'Mezz 1 Amortization'!$E$19:$E$379,0),MATCH('Mezz 1 Amortization'!$U$19,'Mezz 1 Amortization'!$B$19:$V$19,0)),IF('Mezz 1 Amortization'!$T$4="Bi-Annual",IF(OR('Mezz 1 Amortization'!$R$4=EI$5,'Mezz 1 Amortization'!$S$4=EI$5),INDEX('Mezz 1 Amortization'!$B$19:$V$379,MATCH(EI$135,'Mezz 1 Amortization'!$E$19:$E$379,0),MATCH('Mezz 1 Amortization'!$U$19,'Mezz 1 Amortization'!$B$19:$V$19,0)),0),0)))</f>
        <v>0</v>
      </c>
      <c r="EJ139" s="427">
        <f>IF(OR('Financing Assumptions'!$P$8="No",EJ$135&lt;='Financing Assumptions'!$P$26,EJ$135&gt;'Mezz 1 Amortization'!$T$13),0,IF('Mezz 1 Amortization'!$T$4="Monthly",INDEX('Mezz 1 Amortization'!$B$19:$V$379,MATCH(EJ$135,'Mezz 1 Amortization'!$E$19:$E$379,0),MATCH('Mezz 1 Amortization'!$U$19,'Mezz 1 Amortization'!$B$19:$V$19,0)),IF('Mezz 1 Amortization'!$T$4="Bi-Annual",IF(OR('Mezz 1 Amortization'!$R$4=EJ$5,'Mezz 1 Amortization'!$S$4=EJ$5),INDEX('Mezz 1 Amortization'!$B$19:$V$379,MATCH(EJ$135,'Mezz 1 Amortization'!$E$19:$E$379,0),MATCH('Mezz 1 Amortization'!$U$19,'Mezz 1 Amortization'!$B$19:$V$19,0)),0),0)))</f>
        <v>0</v>
      </c>
      <c r="EK139" s="427">
        <f>IF(OR('Financing Assumptions'!$P$8="No",EK$135&lt;='Financing Assumptions'!$P$26,EK$135&gt;'Mezz 1 Amortization'!$T$13),0,IF('Mezz 1 Amortization'!$T$4="Monthly",INDEX('Mezz 1 Amortization'!$B$19:$V$379,MATCH(EK$135,'Mezz 1 Amortization'!$E$19:$E$379,0),MATCH('Mezz 1 Amortization'!$U$19,'Mezz 1 Amortization'!$B$19:$V$19,0)),IF('Mezz 1 Amortization'!$T$4="Bi-Annual",IF(OR('Mezz 1 Amortization'!$R$4=EK$5,'Mezz 1 Amortization'!$S$4=EK$5),INDEX('Mezz 1 Amortization'!$B$19:$V$379,MATCH(EK$135,'Mezz 1 Amortization'!$E$19:$E$379,0),MATCH('Mezz 1 Amortization'!$U$19,'Mezz 1 Amortization'!$B$19:$V$19,0)),0),0)))</f>
        <v>0</v>
      </c>
      <c r="EL139" s="427">
        <f>IF(OR('Financing Assumptions'!$P$8="No",EL$135&lt;='Financing Assumptions'!$P$26,EL$135&gt;'Mezz 1 Amortization'!$T$13),0,IF('Mezz 1 Amortization'!$T$4="Monthly",INDEX('Mezz 1 Amortization'!$B$19:$V$379,MATCH(EL$135,'Mezz 1 Amortization'!$E$19:$E$379,0),MATCH('Mezz 1 Amortization'!$U$19,'Mezz 1 Amortization'!$B$19:$V$19,0)),IF('Mezz 1 Amortization'!$T$4="Bi-Annual",IF(OR('Mezz 1 Amortization'!$R$4=EL$5,'Mezz 1 Amortization'!$S$4=EL$5),INDEX('Mezz 1 Amortization'!$B$19:$V$379,MATCH(EL$135,'Mezz 1 Amortization'!$E$19:$E$379,0),MATCH('Mezz 1 Amortization'!$U$19,'Mezz 1 Amortization'!$B$19:$V$19,0)),0),0)))</f>
        <v>0</v>
      </c>
      <c r="EM139" s="427">
        <f>IF(OR('Financing Assumptions'!$P$8="No",EM$135&lt;='Financing Assumptions'!$P$26,EM$135&gt;'Mezz 1 Amortization'!$T$13),0,IF('Mezz 1 Amortization'!$T$4="Monthly",INDEX('Mezz 1 Amortization'!$B$19:$V$379,MATCH(EM$135,'Mezz 1 Amortization'!$E$19:$E$379,0),MATCH('Mezz 1 Amortization'!$U$19,'Mezz 1 Amortization'!$B$19:$V$19,0)),IF('Mezz 1 Amortization'!$T$4="Bi-Annual",IF(OR('Mezz 1 Amortization'!$R$4=EM$5,'Mezz 1 Amortization'!$S$4=EM$5),INDEX('Mezz 1 Amortization'!$B$19:$V$379,MATCH(EM$135,'Mezz 1 Amortization'!$E$19:$E$379,0),MATCH('Mezz 1 Amortization'!$U$19,'Mezz 1 Amortization'!$B$19:$V$19,0)),0),0)))</f>
        <v>0</v>
      </c>
      <c r="EN139" s="427">
        <f>IF(OR('Financing Assumptions'!$P$8="No",EN$135&lt;='Financing Assumptions'!$P$26,EN$135&gt;'Mezz 1 Amortization'!$T$13),0,IF('Mezz 1 Amortization'!$T$4="Monthly",INDEX('Mezz 1 Amortization'!$B$19:$V$379,MATCH(EN$135,'Mezz 1 Amortization'!$E$19:$E$379,0),MATCH('Mezz 1 Amortization'!$U$19,'Mezz 1 Amortization'!$B$19:$V$19,0)),IF('Mezz 1 Amortization'!$T$4="Bi-Annual",IF(OR('Mezz 1 Amortization'!$R$4=EN$5,'Mezz 1 Amortization'!$S$4=EN$5),INDEX('Mezz 1 Amortization'!$B$19:$V$379,MATCH(EN$135,'Mezz 1 Amortization'!$E$19:$E$379,0),MATCH('Mezz 1 Amortization'!$U$19,'Mezz 1 Amortization'!$B$19:$V$19,0)),0),0)))</f>
        <v>0</v>
      </c>
      <c r="EO139" s="427">
        <f>IF(OR('Financing Assumptions'!$P$8="No",EO$135&lt;='Financing Assumptions'!$P$26,EO$135&gt;'Mezz 1 Amortization'!$T$13),0,IF('Mezz 1 Amortization'!$T$4="Monthly",INDEX('Mezz 1 Amortization'!$B$19:$V$379,MATCH(EO$135,'Mezz 1 Amortization'!$E$19:$E$379,0),MATCH('Mezz 1 Amortization'!$U$19,'Mezz 1 Amortization'!$B$19:$V$19,0)),IF('Mezz 1 Amortization'!$T$4="Bi-Annual",IF(OR('Mezz 1 Amortization'!$R$4=EO$5,'Mezz 1 Amortization'!$S$4=EO$5),INDEX('Mezz 1 Amortization'!$B$19:$V$379,MATCH(EO$135,'Mezz 1 Amortization'!$E$19:$E$379,0),MATCH('Mezz 1 Amortization'!$U$19,'Mezz 1 Amortization'!$B$19:$V$19,0)),0),0)))</f>
        <v>0</v>
      </c>
      <c r="EP139" s="427">
        <f>IF(OR('Financing Assumptions'!$P$8="No",EP$135&lt;='Financing Assumptions'!$P$26,EP$135&gt;'Mezz 1 Amortization'!$T$13),0,IF('Mezz 1 Amortization'!$T$4="Monthly",INDEX('Mezz 1 Amortization'!$B$19:$V$379,MATCH(EP$135,'Mezz 1 Amortization'!$E$19:$E$379,0),MATCH('Mezz 1 Amortization'!$U$19,'Mezz 1 Amortization'!$B$19:$V$19,0)),IF('Mezz 1 Amortization'!$T$4="Bi-Annual",IF(OR('Mezz 1 Amortization'!$R$4=EP$5,'Mezz 1 Amortization'!$S$4=EP$5),INDEX('Mezz 1 Amortization'!$B$19:$V$379,MATCH(EP$135,'Mezz 1 Amortization'!$E$19:$E$379,0),MATCH('Mezz 1 Amortization'!$U$19,'Mezz 1 Amortization'!$B$19:$V$19,0)),0),0)))</f>
        <v>0</v>
      </c>
      <c r="EQ139" s="427">
        <f>IF(OR('Financing Assumptions'!$P$8="No",EQ$135&lt;='Financing Assumptions'!$P$26,EQ$135&gt;'Mezz 1 Amortization'!$T$13),0,IF('Mezz 1 Amortization'!$T$4="Monthly",INDEX('Mezz 1 Amortization'!$B$19:$V$379,MATCH(EQ$135,'Mezz 1 Amortization'!$E$19:$E$379,0),MATCH('Mezz 1 Amortization'!$U$19,'Mezz 1 Amortization'!$B$19:$V$19,0)),IF('Mezz 1 Amortization'!$T$4="Bi-Annual",IF(OR('Mezz 1 Amortization'!$R$4=EQ$5,'Mezz 1 Amortization'!$S$4=EQ$5),INDEX('Mezz 1 Amortization'!$B$19:$V$379,MATCH(EQ$135,'Mezz 1 Amortization'!$E$19:$E$379,0),MATCH('Mezz 1 Amortization'!$U$19,'Mezz 1 Amortization'!$B$19:$V$19,0)),0),0)))</f>
        <v>0</v>
      </c>
      <c r="ER139" s="427">
        <f>IF(OR('Financing Assumptions'!$P$8="No",ER$135&lt;='Financing Assumptions'!$P$26,ER$135&gt;'Mezz 1 Amortization'!$T$13),0,IF('Mezz 1 Amortization'!$T$4="Monthly",INDEX('Mezz 1 Amortization'!$B$19:$V$379,MATCH(ER$135,'Mezz 1 Amortization'!$E$19:$E$379,0),MATCH('Mezz 1 Amortization'!$U$19,'Mezz 1 Amortization'!$B$19:$V$19,0)),IF('Mezz 1 Amortization'!$T$4="Bi-Annual",IF(OR('Mezz 1 Amortization'!$R$4=ER$5,'Mezz 1 Amortization'!$S$4=ER$5),INDEX('Mezz 1 Amortization'!$B$19:$V$379,MATCH(ER$135,'Mezz 1 Amortization'!$E$19:$E$379,0),MATCH('Mezz 1 Amortization'!$U$19,'Mezz 1 Amortization'!$B$19:$V$19,0)),0),0)))</f>
        <v>0</v>
      </c>
      <c r="ES139" s="427">
        <f>IF(OR('Financing Assumptions'!$P$8="No",ES$135&lt;='Financing Assumptions'!$P$26,ES$135&gt;'Mezz 1 Amortization'!$T$13),0,IF('Mezz 1 Amortization'!$T$4="Monthly",INDEX('Mezz 1 Amortization'!$B$19:$V$379,MATCH(ES$135,'Mezz 1 Amortization'!$E$19:$E$379,0),MATCH('Mezz 1 Amortization'!$U$19,'Mezz 1 Amortization'!$B$19:$V$19,0)),IF('Mezz 1 Amortization'!$T$4="Bi-Annual",IF(OR('Mezz 1 Amortization'!$R$4=ES$5,'Mezz 1 Amortization'!$S$4=ES$5),INDEX('Mezz 1 Amortization'!$B$19:$V$379,MATCH(ES$135,'Mezz 1 Amortization'!$E$19:$E$379,0),MATCH('Mezz 1 Amortization'!$U$19,'Mezz 1 Amortization'!$B$19:$V$19,0)),0),0)))</f>
        <v>0</v>
      </c>
      <c r="ET139" s="427">
        <f>IF(OR('Financing Assumptions'!$P$8="No",ET$135&lt;='Financing Assumptions'!$P$26,ET$135&gt;'Mezz 1 Amortization'!$T$13),0,IF('Mezz 1 Amortization'!$T$4="Monthly",INDEX('Mezz 1 Amortization'!$B$19:$V$379,MATCH(ET$135,'Mezz 1 Amortization'!$E$19:$E$379,0),MATCH('Mezz 1 Amortization'!$U$19,'Mezz 1 Amortization'!$B$19:$V$19,0)),IF('Mezz 1 Amortization'!$T$4="Bi-Annual",IF(OR('Mezz 1 Amortization'!$R$4=ET$5,'Mezz 1 Amortization'!$S$4=ET$5),INDEX('Mezz 1 Amortization'!$B$19:$V$379,MATCH(ET$135,'Mezz 1 Amortization'!$E$19:$E$379,0),MATCH('Mezz 1 Amortization'!$U$19,'Mezz 1 Amortization'!$B$19:$V$19,0)),0),0)))</f>
        <v>0</v>
      </c>
      <c r="EU139" s="427">
        <f>IF(OR('Financing Assumptions'!$P$8="No",EU$135&lt;='Financing Assumptions'!$P$26,EU$135&gt;'Mezz 1 Amortization'!$T$13),0,IF('Mezz 1 Amortization'!$T$4="Monthly",INDEX('Mezz 1 Amortization'!$B$19:$V$379,MATCH(EU$135,'Mezz 1 Amortization'!$E$19:$E$379,0),MATCH('Mezz 1 Amortization'!$U$19,'Mezz 1 Amortization'!$B$19:$V$19,0)),IF('Mezz 1 Amortization'!$T$4="Bi-Annual",IF(OR('Mezz 1 Amortization'!$R$4=EU$5,'Mezz 1 Amortization'!$S$4=EU$5),INDEX('Mezz 1 Amortization'!$B$19:$V$379,MATCH(EU$135,'Mezz 1 Amortization'!$E$19:$E$379,0),MATCH('Mezz 1 Amortization'!$U$19,'Mezz 1 Amortization'!$B$19:$V$19,0)),0),0)))</f>
        <v>0</v>
      </c>
      <c r="EV139" s="427">
        <f>IF(OR('Financing Assumptions'!$P$8="No",EV$135&lt;='Financing Assumptions'!$P$26,EV$135&gt;'Mezz 1 Amortization'!$T$13),0,IF('Mezz 1 Amortization'!$T$4="Monthly",INDEX('Mezz 1 Amortization'!$B$19:$V$379,MATCH(EV$135,'Mezz 1 Amortization'!$E$19:$E$379,0),MATCH('Mezz 1 Amortization'!$U$19,'Mezz 1 Amortization'!$B$19:$V$19,0)),IF('Mezz 1 Amortization'!$T$4="Bi-Annual",IF(OR('Mezz 1 Amortization'!$R$4=EV$5,'Mezz 1 Amortization'!$S$4=EV$5),INDEX('Mezz 1 Amortization'!$B$19:$V$379,MATCH(EV$135,'Mezz 1 Amortization'!$E$19:$E$379,0),MATCH('Mezz 1 Amortization'!$U$19,'Mezz 1 Amortization'!$B$19:$V$19,0)),0),0)))</f>
        <v>0</v>
      </c>
      <c r="EW139" s="427">
        <f>IF(OR('Financing Assumptions'!$P$8="No",EW$135&lt;='Financing Assumptions'!$P$26,EW$135&gt;'Mezz 1 Amortization'!$T$13),0,IF('Mezz 1 Amortization'!$T$4="Monthly",INDEX('Mezz 1 Amortization'!$B$19:$V$379,MATCH(EW$135,'Mezz 1 Amortization'!$E$19:$E$379,0),MATCH('Mezz 1 Amortization'!$U$19,'Mezz 1 Amortization'!$B$19:$V$19,0)),IF('Mezz 1 Amortization'!$T$4="Bi-Annual",IF(OR('Mezz 1 Amortization'!$R$4=EW$5,'Mezz 1 Amortization'!$S$4=EW$5),INDEX('Mezz 1 Amortization'!$B$19:$V$379,MATCH(EW$135,'Mezz 1 Amortization'!$E$19:$E$379,0),MATCH('Mezz 1 Amortization'!$U$19,'Mezz 1 Amortization'!$B$19:$V$19,0)),0),0)))</f>
        <v>0</v>
      </c>
      <c r="EX139" s="427">
        <f>IF(OR('Financing Assumptions'!$P$8="No",EX$135&lt;='Financing Assumptions'!$P$26,EX$135&gt;'Mezz 1 Amortization'!$T$13),0,IF('Mezz 1 Amortization'!$T$4="Monthly",INDEX('Mezz 1 Amortization'!$B$19:$V$379,MATCH(EX$135,'Mezz 1 Amortization'!$E$19:$E$379,0),MATCH('Mezz 1 Amortization'!$U$19,'Mezz 1 Amortization'!$B$19:$V$19,0)),IF('Mezz 1 Amortization'!$T$4="Bi-Annual",IF(OR('Mezz 1 Amortization'!$R$4=EX$5,'Mezz 1 Amortization'!$S$4=EX$5),INDEX('Mezz 1 Amortization'!$B$19:$V$379,MATCH(EX$135,'Mezz 1 Amortization'!$E$19:$E$379,0),MATCH('Mezz 1 Amortization'!$U$19,'Mezz 1 Amortization'!$B$19:$V$19,0)),0),0)))</f>
        <v>0</v>
      </c>
      <c r="EY139" s="427">
        <f>IF(OR('Financing Assumptions'!$P$8="No",EY$135&lt;='Financing Assumptions'!$P$26,EY$135&gt;'Mezz 1 Amortization'!$T$13),0,IF('Mezz 1 Amortization'!$T$4="Monthly",INDEX('Mezz 1 Amortization'!$B$19:$V$379,MATCH(EY$135,'Mezz 1 Amortization'!$E$19:$E$379,0),MATCH('Mezz 1 Amortization'!$U$19,'Mezz 1 Amortization'!$B$19:$V$19,0)),IF('Mezz 1 Amortization'!$T$4="Bi-Annual",IF(OR('Mezz 1 Amortization'!$R$4=EY$5,'Mezz 1 Amortization'!$S$4=EY$5),INDEX('Mezz 1 Amortization'!$B$19:$V$379,MATCH(EY$135,'Mezz 1 Amortization'!$E$19:$E$379,0),MATCH('Mezz 1 Amortization'!$U$19,'Mezz 1 Amortization'!$B$19:$V$19,0)),0),0)))</f>
        <v>0</v>
      </c>
      <c r="EZ139" s="427">
        <f>IF(OR('Financing Assumptions'!$P$8="No",EZ$135&lt;='Financing Assumptions'!$P$26,EZ$135&gt;'Mezz 1 Amortization'!$T$13),0,IF('Mezz 1 Amortization'!$T$4="Monthly",INDEX('Mezz 1 Amortization'!$B$19:$V$379,MATCH(EZ$135,'Mezz 1 Amortization'!$E$19:$E$379,0),MATCH('Mezz 1 Amortization'!$U$19,'Mezz 1 Amortization'!$B$19:$V$19,0)),IF('Mezz 1 Amortization'!$T$4="Bi-Annual",IF(OR('Mezz 1 Amortization'!$R$4=EZ$5,'Mezz 1 Amortization'!$S$4=EZ$5),INDEX('Mezz 1 Amortization'!$B$19:$V$379,MATCH(EZ$135,'Mezz 1 Amortization'!$E$19:$E$379,0),MATCH('Mezz 1 Amortization'!$U$19,'Mezz 1 Amortization'!$B$19:$V$19,0)),0),0)))</f>
        <v>0</v>
      </c>
      <c r="FA139" s="427">
        <f>IF(OR('Financing Assumptions'!$P$8="No",FA$135&lt;='Financing Assumptions'!$P$26,FA$135&gt;'Mezz 1 Amortization'!$T$13),0,IF('Mezz 1 Amortization'!$T$4="Monthly",INDEX('Mezz 1 Amortization'!$B$19:$V$379,MATCH(FA$135,'Mezz 1 Amortization'!$E$19:$E$379,0),MATCH('Mezz 1 Amortization'!$U$19,'Mezz 1 Amortization'!$B$19:$V$19,0)),IF('Mezz 1 Amortization'!$T$4="Bi-Annual",IF(OR('Mezz 1 Amortization'!$R$4=FA$5,'Mezz 1 Amortization'!$S$4=FA$5),INDEX('Mezz 1 Amortization'!$B$19:$V$379,MATCH(FA$135,'Mezz 1 Amortization'!$E$19:$E$379,0),MATCH('Mezz 1 Amortization'!$U$19,'Mezz 1 Amortization'!$B$19:$V$19,0)),0),0)))</f>
        <v>0</v>
      </c>
      <c r="FB139" s="427">
        <f>IF(OR('Financing Assumptions'!$P$8="No",FB$135&lt;='Financing Assumptions'!$P$26,FB$135&gt;'Mezz 1 Amortization'!$T$13),0,IF('Mezz 1 Amortization'!$T$4="Monthly",INDEX('Mezz 1 Amortization'!$B$19:$V$379,MATCH(FB$135,'Mezz 1 Amortization'!$E$19:$E$379,0),MATCH('Mezz 1 Amortization'!$U$19,'Mezz 1 Amortization'!$B$19:$V$19,0)),IF('Mezz 1 Amortization'!$T$4="Bi-Annual",IF(OR('Mezz 1 Amortization'!$R$4=FB$5,'Mezz 1 Amortization'!$S$4=FB$5),INDEX('Mezz 1 Amortization'!$B$19:$V$379,MATCH(FB$135,'Mezz 1 Amortization'!$E$19:$E$379,0),MATCH('Mezz 1 Amortization'!$U$19,'Mezz 1 Amortization'!$B$19:$V$19,0)),0),0)))</f>
        <v>0</v>
      </c>
      <c r="FC139" s="427">
        <f>IF(OR('Financing Assumptions'!$P$8="No",FC$135&lt;='Financing Assumptions'!$P$26,FC$135&gt;'Mezz 1 Amortization'!$T$13),0,IF('Mezz 1 Amortization'!$T$4="Monthly",INDEX('Mezz 1 Amortization'!$B$19:$V$379,MATCH(FC$135,'Mezz 1 Amortization'!$E$19:$E$379,0),MATCH('Mezz 1 Amortization'!$U$19,'Mezz 1 Amortization'!$B$19:$V$19,0)),IF('Mezz 1 Amortization'!$T$4="Bi-Annual",IF(OR('Mezz 1 Amortization'!$R$4=FC$5,'Mezz 1 Amortization'!$S$4=FC$5),INDEX('Mezz 1 Amortization'!$B$19:$V$379,MATCH(FC$135,'Mezz 1 Amortization'!$E$19:$E$379,0),MATCH('Mezz 1 Amortization'!$U$19,'Mezz 1 Amortization'!$B$19:$V$19,0)),0),0)))</f>
        <v>0</v>
      </c>
      <c r="FD139" s="427">
        <f>IF(OR('Financing Assumptions'!$P$8="No",FD$135&lt;='Financing Assumptions'!$P$26,FD$135&gt;'Mezz 1 Amortization'!$T$13),0,IF('Mezz 1 Amortization'!$T$4="Monthly",INDEX('Mezz 1 Amortization'!$B$19:$V$379,MATCH(FD$135,'Mezz 1 Amortization'!$E$19:$E$379,0),MATCH('Mezz 1 Amortization'!$U$19,'Mezz 1 Amortization'!$B$19:$V$19,0)),IF('Mezz 1 Amortization'!$T$4="Bi-Annual",IF(OR('Mezz 1 Amortization'!$R$4=FD$5,'Mezz 1 Amortization'!$S$4=FD$5),INDEX('Mezz 1 Amortization'!$B$19:$V$379,MATCH(FD$135,'Mezz 1 Amortization'!$E$19:$E$379,0),MATCH('Mezz 1 Amortization'!$U$19,'Mezz 1 Amortization'!$B$19:$V$19,0)),0),0)))</f>
        <v>0</v>
      </c>
      <c r="FE139" s="427">
        <f>IF(OR('Financing Assumptions'!$P$8="No",FE$135&lt;='Financing Assumptions'!$P$26,FE$135&gt;'Mezz 1 Amortization'!$T$13),0,IF('Mezz 1 Amortization'!$T$4="Monthly",INDEX('Mezz 1 Amortization'!$B$19:$V$379,MATCH(FE$135,'Mezz 1 Amortization'!$E$19:$E$379,0),MATCH('Mezz 1 Amortization'!$U$19,'Mezz 1 Amortization'!$B$19:$V$19,0)),IF('Mezz 1 Amortization'!$T$4="Bi-Annual",IF(OR('Mezz 1 Amortization'!$R$4=FE$5,'Mezz 1 Amortization'!$S$4=FE$5),INDEX('Mezz 1 Amortization'!$B$19:$V$379,MATCH(FE$135,'Mezz 1 Amortization'!$E$19:$E$379,0),MATCH('Mezz 1 Amortization'!$U$19,'Mezz 1 Amortization'!$B$19:$V$19,0)),0),0)))</f>
        <v>0</v>
      </c>
      <c r="FF139" s="427">
        <f>IF(OR('Financing Assumptions'!$P$8="No",FF$135&lt;='Financing Assumptions'!$P$26,FF$135&gt;'Mezz 1 Amortization'!$T$13),0,IF('Mezz 1 Amortization'!$T$4="Monthly",INDEX('Mezz 1 Amortization'!$B$19:$V$379,MATCH(FF$135,'Mezz 1 Amortization'!$E$19:$E$379,0),MATCH('Mezz 1 Amortization'!$U$19,'Mezz 1 Amortization'!$B$19:$V$19,0)),IF('Mezz 1 Amortization'!$T$4="Bi-Annual",IF(OR('Mezz 1 Amortization'!$R$4=FF$5,'Mezz 1 Amortization'!$S$4=FF$5),INDEX('Mezz 1 Amortization'!$B$19:$V$379,MATCH(FF$135,'Mezz 1 Amortization'!$E$19:$E$379,0),MATCH('Mezz 1 Amortization'!$U$19,'Mezz 1 Amortization'!$B$19:$V$19,0)),0),0)))</f>
        <v>0</v>
      </c>
      <c r="FG139" s="427">
        <f>IF(OR('Financing Assumptions'!$P$8="No",FG$135&lt;='Financing Assumptions'!$P$26,FG$135&gt;'Mezz 1 Amortization'!$T$13),0,IF('Mezz 1 Amortization'!$T$4="Monthly",INDEX('Mezz 1 Amortization'!$B$19:$V$379,MATCH(FG$135,'Mezz 1 Amortization'!$E$19:$E$379,0),MATCH('Mezz 1 Amortization'!$U$19,'Mezz 1 Amortization'!$B$19:$V$19,0)),IF('Mezz 1 Amortization'!$T$4="Bi-Annual",IF(OR('Mezz 1 Amortization'!$R$4=FG$5,'Mezz 1 Amortization'!$S$4=FG$5),INDEX('Mezz 1 Amortization'!$B$19:$V$379,MATCH(FG$135,'Mezz 1 Amortization'!$E$19:$E$379,0),MATCH('Mezz 1 Amortization'!$U$19,'Mezz 1 Amortization'!$B$19:$V$19,0)),0),0)))</f>
        <v>0</v>
      </c>
      <c r="FH139" s="427">
        <f>IF(OR('Financing Assumptions'!$P$8="No",FH$135&lt;='Financing Assumptions'!$P$26,FH$135&gt;'Mezz 1 Amortization'!$T$13),0,IF('Mezz 1 Amortization'!$T$4="Monthly",INDEX('Mezz 1 Amortization'!$B$19:$V$379,MATCH(FH$135,'Mezz 1 Amortization'!$E$19:$E$379,0),MATCH('Mezz 1 Amortization'!$U$19,'Mezz 1 Amortization'!$B$19:$V$19,0)),IF('Mezz 1 Amortization'!$T$4="Bi-Annual",IF(OR('Mezz 1 Amortization'!$R$4=FH$5,'Mezz 1 Amortization'!$S$4=FH$5),INDEX('Mezz 1 Amortization'!$B$19:$V$379,MATCH(FH$135,'Mezz 1 Amortization'!$E$19:$E$379,0),MATCH('Mezz 1 Amortization'!$U$19,'Mezz 1 Amortization'!$B$19:$V$19,0)),0),0)))</f>
        <v>0</v>
      </c>
      <c r="FI139" s="427">
        <f>IF(OR('Financing Assumptions'!$P$8="No",FI$135&lt;='Financing Assumptions'!$P$26,FI$135&gt;'Mezz 1 Amortization'!$T$13),0,IF('Mezz 1 Amortization'!$T$4="Monthly",INDEX('Mezz 1 Amortization'!$B$19:$V$379,MATCH(FI$135,'Mezz 1 Amortization'!$E$19:$E$379,0),MATCH('Mezz 1 Amortization'!$U$19,'Mezz 1 Amortization'!$B$19:$V$19,0)),IF('Mezz 1 Amortization'!$T$4="Bi-Annual",IF(OR('Mezz 1 Amortization'!$R$4=FI$5,'Mezz 1 Amortization'!$S$4=FI$5),INDEX('Mezz 1 Amortization'!$B$19:$V$379,MATCH(FI$135,'Mezz 1 Amortization'!$E$19:$E$379,0),MATCH('Mezz 1 Amortization'!$U$19,'Mezz 1 Amortization'!$B$19:$V$19,0)),0),0)))</f>
        <v>0</v>
      </c>
      <c r="FJ139" s="427">
        <f>IF(OR('Financing Assumptions'!$P$8="No",FJ$135&lt;='Financing Assumptions'!$P$26,FJ$135&gt;'Mezz 1 Amortization'!$T$13),0,IF('Mezz 1 Amortization'!$T$4="Monthly",INDEX('Mezz 1 Amortization'!$B$19:$V$379,MATCH(FJ$135,'Mezz 1 Amortization'!$E$19:$E$379,0),MATCH('Mezz 1 Amortization'!$U$19,'Mezz 1 Amortization'!$B$19:$V$19,0)),IF('Mezz 1 Amortization'!$T$4="Bi-Annual",IF(OR('Mezz 1 Amortization'!$R$4=FJ$5,'Mezz 1 Amortization'!$S$4=FJ$5),INDEX('Mezz 1 Amortization'!$B$19:$V$379,MATCH(FJ$135,'Mezz 1 Amortization'!$E$19:$E$379,0),MATCH('Mezz 1 Amortization'!$U$19,'Mezz 1 Amortization'!$B$19:$V$19,0)),0),0)))</f>
        <v>0</v>
      </c>
      <c r="FK139" s="427">
        <f>IF(OR('Financing Assumptions'!$P$8="No",FK$135&lt;='Financing Assumptions'!$P$26,FK$135&gt;'Mezz 1 Amortization'!$T$13),0,IF('Mezz 1 Amortization'!$T$4="Monthly",INDEX('Mezz 1 Amortization'!$B$19:$V$379,MATCH(FK$135,'Mezz 1 Amortization'!$E$19:$E$379,0),MATCH('Mezz 1 Amortization'!$U$19,'Mezz 1 Amortization'!$B$19:$V$19,0)),IF('Mezz 1 Amortization'!$T$4="Bi-Annual",IF(OR('Mezz 1 Amortization'!$R$4=FK$5,'Mezz 1 Amortization'!$S$4=FK$5),INDEX('Mezz 1 Amortization'!$B$19:$V$379,MATCH(FK$135,'Mezz 1 Amortization'!$E$19:$E$379,0),MATCH('Mezz 1 Amortization'!$U$19,'Mezz 1 Amortization'!$B$19:$V$19,0)),0),0)))</f>
        <v>0</v>
      </c>
      <c r="FL139" s="427">
        <f>IF(OR('Financing Assumptions'!$P$8="No",FL$135&lt;='Financing Assumptions'!$P$26,FL$135&gt;'Mezz 1 Amortization'!$T$13),0,IF('Mezz 1 Amortization'!$T$4="Monthly",INDEX('Mezz 1 Amortization'!$B$19:$V$379,MATCH(FL$135,'Mezz 1 Amortization'!$E$19:$E$379,0),MATCH('Mezz 1 Amortization'!$U$19,'Mezz 1 Amortization'!$B$19:$V$19,0)),IF('Mezz 1 Amortization'!$T$4="Bi-Annual",IF(OR('Mezz 1 Amortization'!$R$4=FL$5,'Mezz 1 Amortization'!$S$4=FL$5),INDEX('Mezz 1 Amortization'!$B$19:$V$379,MATCH(FL$135,'Mezz 1 Amortization'!$E$19:$E$379,0),MATCH('Mezz 1 Amortization'!$U$19,'Mezz 1 Amortization'!$B$19:$V$19,0)),0),0)))</f>
        <v>0</v>
      </c>
      <c r="FM139" s="427">
        <f>IF(OR('Financing Assumptions'!$P$8="No",FM$135&lt;='Financing Assumptions'!$P$26,FM$135&gt;'Mezz 1 Amortization'!$T$13),0,IF('Mezz 1 Amortization'!$T$4="Monthly",INDEX('Mezz 1 Amortization'!$B$19:$V$379,MATCH(FM$135,'Mezz 1 Amortization'!$E$19:$E$379,0),MATCH('Mezz 1 Amortization'!$U$19,'Mezz 1 Amortization'!$B$19:$V$19,0)),IF('Mezz 1 Amortization'!$T$4="Bi-Annual",IF(OR('Mezz 1 Amortization'!$R$4=FM$5,'Mezz 1 Amortization'!$S$4=FM$5),INDEX('Mezz 1 Amortization'!$B$19:$V$379,MATCH(FM$135,'Mezz 1 Amortization'!$E$19:$E$379,0),MATCH('Mezz 1 Amortization'!$U$19,'Mezz 1 Amortization'!$B$19:$V$19,0)),0),0)))</f>
        <v>0</v>
      </c>
      <c r="FN139" s="427">
        <f>IF(OR('Financing Assumptions'!$P$8="No",FN$135&lt;='Financing Assumptions'!$P$26,FN$135&gt;'Mezz 1 Amortization'!$T$13),0,IF('Mezz 1 Amortization'!$T$4="Monthly",INDEX('Mezz 1 Amortization'!$B$19:$V$379,MATCH(FN$135,'Mezz 1 Amortization'!$E$19:$E$379,0),MATCH('Mezz 1 Amortization'!$U$19,'Mezz 1 Amortization'!$B$19:$V$19,0)),IF('Mezz 1 Amortization'!$T$4="Bi-Annual",IF(OR('Mezz 1 Amortization'!$R$4=FN$5,'Mezz 1 Amortization'!$S$4=FN$5),INDEX('Mezz 1 Amortization'!$B$19:$V$379,MATCH(FN$135,'Mezz 1 Amortization'!$E$19:$E$379,0),MATCH('Mezz 1 Amortization'!$U$19,'Mezz 1 Amortization'!$B$19:$V$19,0)),0),0)))</f>
        <v>0</v>
      </c>
      <c r="FO139" s="427">
        <f>IF(OR('Financing Assumptions'!$P$8="No",FO$135&lt;='Financing Assumptions'!$P$26,FO$135&gt;'Mezz 1 Amortization'!$T$13),0,IF('Mezz 1 Amortization'!$T$4="Monthly",INDEX('Mezz 1 Amortization'!$B$19:$V$379,MATCH(FO$135,'Mezz 1 Amortization'!$E$19:$E$379,0),MATCH('Mezz 1 Amortization'!$U$19,'Mezz 1 Amortization'!$B$19:$V$19,0)),IF('Mezz 1 Amortization'!$T$4="Bi-Annual",IF(OR('Mezz 1 Amortization'!$R$4=FO$5,'Mezz 1 Amortization'!$S$4=FO$5),INDEX('Mezz 1 Amortization'!$B$19:$V$379,MATCH(FO$135,'Mezz 1 Amortization'!$E$19:$E$379,0),MATCH('Mezz 1 Amortization'!$U$19,'Mezz 1 Amortization'!$B$19:$V$19,0)),0),0)))</f>
        <v>0</v>
      </c>
      <c r="FP139" s="427">
        <f>IF(OR('Financing Assumptions'!$P$8="No",FP$135&lt;='Financing Assumptions'!$P$26,FP$135&gt;'Mezz 1 Amortization'!$T$13),0,IF('Mezz 1 Amortization'!$T$4="Monthly",INDEX('Mezz 1 Amortization'!$B$19:$V$379,MATCH(FP$135,'Mezz 1 Amortization'!$E$19:$E$379,0),MATCH('Mezz 1 Amortization'!$U$19,'Mezz 1 Amortization'!$B$19:$V$19,0)),IF('Mezz 1 Amortization'!$T$4="Bi-Annual",IF(OR('Mezz 1 Amortization'!$R$4=FP$5,'Mezz 1 Amortization'!$S$4=FP$5),INDEX('Mezz 1 Amortization'!$B$19:$V$379,MATCH(FP$135,'Mezz 1 Amortization'!$E$19:$E$379,0),MATCH('Mezz 1 Amortization'!$U$19,'Mezz 1 Amortization'!$B$19:$V$19,0)),0),0)))</f>
        <v>0</v>
      </c>
      <c r="FQ139" s="427">
        <f>IF(OR('Financing Assumptions'!$P$8="No",FQ$135&lt;='Financing Assumptions'!$P$26,FQ$135&gt;'Mezz 1 Amortization'!$T$13),0,IF('Mezz 1 Amortization'!$T$4="Monthly",INDEX('Mezz 1 Amortization'!$B$19:$V$379,MATCH(FQ$135,'Mezz 1 Amortization'!$E$19:$E$379,0),MATCH('Mezz 1 Amortization'!$U$19,'Mezz 1 Amortization'!$B$19:$V$19,0)),IF('Mezz 1 Amortization'!$T$4="Bi-Annual",IF(OR('Mezz 1 Amortization'!$R$4=FQ$5,'Mezz 1 Amortization'!$S$4=FQ$5),INDEX('Mezz 1 Amortization'!$B$19:$V$379,MATCH(FQ$135,'Mezz 1 Amortization'!$E$19:$E$379,0),MATCH('Mezz 1 Amortization'!$U$19,'Mezz 1 Amortization'!$B$19:$V$19,0)),0),0)))</f>
        <v>0</v>
      </c>
      <c r="FR139" s="427">
        <f>IF(OR('Financing Assumptions'!$P$8="No",FR$135&lt;='Financing Assumptions'!$P$26,FR$135&gt;'Mezz 1 Amortization'!$T$13),0,IF('Mezz 1 Amortization'!$T$4="Monthly",INDEX('Mezz 1 Amortization'!$B$19:$V$379,MATCH(FR$135,'Mezz 1 Amortization'!$E$19:$E$379,0),MATCH('Mezz 1 Amortization'!$U$19,'Mezz 1 Amortization'!$B$19:$V$19,0)),IF('Mezz 1 Amortization'!$T$4="Bi-Annual",IF(OR('Mezz 1 Amortization'!$R$4=FR$5,'Mezz 1 Amortization'!$S$4=FR$5),INDEX('Mezz 1 Amortization'!$B$19:$V$379,MATCH(FR$135,'Mezz 1 Amortization'!$E$19:$E$379,0),MATCH('Mezz 1 Amortization'!$U$19,'Mezz 1 Amortization'!$B$19:$V$19,0)),0),0)))</f>
        <v>0</v>
      </c>
      <c r="FS139" s="427">
        <f>IF(OR('Financing Assumptions'!$P$8="No",FS$135&lt;='Financing Assumptions'!$P$26,FS$135&gt;'Mezz 1 Amortization'!$T$13),0,IF('Mezz 1 Amortization'!$T$4="Monthly",INDEX('Mezz 1 Amortization'!$B$19:$V$379,MATCH(FS$135,'Mezz 1 Amortization'!$E$19:$E$379,0),MATCH('Mezz 1 Amortization'!$U$19,'Mezz 1 Amortization'!$B$19:$V$19,0)),IF('Mezz 1 Amortization'!$T$4="Bi-Annual",IF(OR('Mezz 1 Amortization'!$R$4=FS$5,'Mezz 1 Amortization'!$S$4=FS$5),INDEX('Mezz 1 Amortization'!$B$19:$V$379,MATCH(FS$135,'Mezz 1 Amortization'!$E$19:$E$379,0),MATCH('Mezz 1 Amortization'!$U$19,'Mezz 1 Amortization'!$B$19:$V$19,0)),0),0)))</f>
        <v>0</v>
      </c>
      <c r="FT139" s="427">
        <f>IF(OR('Financing Assumptions'!$P$8="No",FT$135&lt;='Financing Assumptions'!$P$26,FT$135&gt;'Mezz 1 Amortization'!$T$13),0,IF('Mezz 1 Amortization'!$T$4="Monthly",INDEX('Mezz 1 Amortization'!$B$19:$V$379,MATCH(FT$135,'Mezz 1 Amortization'!$E$19:$E$379,0),MATCH('Mezz 1 Amortization'!$U$19,'Mezz 1 Amortization'!$B$19:$V$19,0)),IF('Mezz 1 Amortization'!$T$4="Bi-Annual",IF(OR('Mezz 1 Amortization'!$R$4=FT$5,'Mezz 1 Amortization'!$S$4=FT$5),INDEX('Mezz 1 Amortization'!$B$19:$V$379,MATCH(FT$135,'Mezz 1 Amortization'!$E$19:$E$379,0),MATCH('Mezz 1 Amortization'!$U$19,'Mezz 1 Amortization'!$B$19:$V$19,0)),0),0)))</f>
        <v>0</v>
      </c>
      <c r="FU139" s="43"/>
      <c r="FV139" s="34"/>
      <c r="FW139" s="34"/>
      <c r="FX139" s="34"/>
      <c r="FY139" s="34"/>
      <c r="FZ139" s="34"/>
    </row>
    <row r="140" spans="1:182" s="89" customFormat="1" ht="13.5" x14ac:dyDescent="0.25">
      <c r="A140" s="34"/>
      <c r="B140" s="126" t="s">
        <v>524</v>
      </c>
      <c r="C140" s="34"/>
      <c r="D140" s="34"/>
      <c r="E140" s="34"/>
      <c r="F140" s="434"/>
      <c r="G140" s="34"/>
      <c r="H140" s="1335">
        <f>IF('Financing Assumptions'!$P$8="No",0,IF(H$9&lt;'Financing Assumptions'!$O$26,0,IF(AND('Mezz 1 Amortization'!$T$4&lt;&gt;"Monthly",H9&lt;='Financing Assumptions'!$O$26),0,IF('Mezz 1 Amortization'!$T$4="Monthly",INDEX('Mezz 1 Amortization'!$B$19:$V$379,MATCH(H$11,'Mezz 1 Amortization'!$E$19:$E$379,0),MATCH('Mezz 1 Amortization'!$V$19,'Mezz 1 Amortization'!$B$19:$V$19,0)),IF(AND('Mezz 1 Amortization'!$T$4="Bi-Annual",H$5&lt;MIN('Mezz 1 Amortization'!$R$4,'Mezz 1 Amortization'!$S$4)),INDEX('Mezz 1 Amortization'!$B$19:$V$379,MATCH(DATE(H$7-1,MAX('Mezz 1 Amortization'!$R$4,'Mezz 1 Amortization'!$S$4),31),'Mezz 1 Amortization'!$E$19:$E$379,0),MATCH('Mezz 1 Amortization'!$V$19,'Mezz 1 Amortization'!$B$19:$V$19,0)),IF(AND('Mezz 1 Amortization'!$T$4="Bi-Annual",H$5&gt;MAX('Mezz 1 Amortization'!$R$4,'Mezz 1 Amortization'!$S$4)),INDEX('Mezz 1 Amortization'!$B$19:$V$379,MATCH(DATE(H$7,MAX('Mezz 1 Amortization'!$R$4,'Mezz 1 Amortization'!$S$4),31),'Mezz 1 Amortization'!$E$19:$E$379,0),MATCH('Mezz 1 Amortization'!$V$19,'Mezz 1 Amortization'!$B$19:$V$19,0)),IF(AND('Mezz 1 Amortization'!$T$4="Bi-Annual",H$5&gt;MIN('Mezz 1 Amortization'!$R$4,'Mezz 1 Amortization'!$S$4),H$5&lt;MAX('Mezz 1 Amortization'!$R$4,'Mezz 1 Amortization'!$S$4)),INDEX('Mezz 1 Amortization'!$B$19:$V$379,MATCH(DATE(H$7,MIN('Mezz 1 Amortization'!$R$4,'Mezz 1 Amortization'!$S$4),31),'Mezz 1 Amortization'!$E$19:$E$379,0),MATCH('Mezz 1 Amortization'!$V$19,'Mezz 1 Amortization'!$B$19:$V$19,0)),IF(AND('Mezz 1 Amortization'!$T$4="Bi-Annual",H$5='Mezz 1 Amortization'!$R$4),INDEX('Mezz 1 Amortization'!$B$19:$V$379,MATCH(DATE(H$7,'Mezz 1 Amortization'!$R$4,31),'Mezz 1 Amortization'!$E$19:$E$379,0),MATCH('Mezz 1 Amortization'!$V$19,'Mezz 1 Amortization'!$B$19:$V$19,0)),IF(AND('Mezz 1 Amortization'!$T$4="Bi-Annual",H$5='Mezz 1 Amortization'!$S$4),INDEX('Mezz 1 Amortization'!$B$19:$V$379,MATCH(DATE(H$7,'Mezz 1 Amortization'!$S$4,31),'Mezz 1 Amortization'!$E$19:$E$379,0),MATCH('Mezz 1 Amortization'!$V$19,'Mezz 1 Amortization'!$B$19:$V$19,0)))))))))))</f>
        <v>0</v>
      </c>
      <c r="I140" s="427">
        <f>IF('Financing Assumptions'!$P$8="No",0,IF(I$9&lt;'Financing Assumptions'!$O$26,0,IF(AND('Mezz 1 Amortization'!$T$4&lt;&gt;"Monthly",I9&lt;='Financing Assumptions'!$O$26),0,IF('Mezz 1 Amortization'!$T$4="Monthly",INDEX('Mezz 1 Amortization'!$B$19:$V$379,MATCH(I$11,'Mezz 1 Amortization'!$E$19:$E$379,0),MATCH('Mezz 1 Amortization'!$V$19,'Mezz 1 Amortization'!$B$19:$V$19,0)),IF(AND('Mezz 1 Amortization'!$T$4="Bi-Annual",I$5&lt;MIN('Mezz 1 Amortization'!$R$4,'Mezz 1 Amortization'!$S$4)),INDEX('Mezz 1 Amortization'!$B$19:$V$379,MATCH(DATE(I$7-1,MAX('Mezz 1 Amortization'!$R$4,'Mezz 1 Amortization'!$S$4),31),'Mezz 1 Amortization'!$E$19:$E$379,0),MATCH('Mezz 1 Amortization'!$V$19,'Mezz 1 Amortization'!$B$19:$V$19,0)),IF(AND('Mezz 1 Amortization'!$T$4="Bi-Annual",I$5&gt;MAX('Mezz 1 Amortization'!$R$4,'Mezz 1 Amortization'!$S$4)),INDEX('Mezz 1 Amortization'!$B$19:$V$379,MATCH(DATE(I$7,MAX('Mezz 1 Amortization'!$R$4,'Mezz 1 Amortization'!$S$4),31),'Mezz 1 Amortization'!$E$19:$E$379,0),MATCH('Mezz 1 Amortization'!$V$19,'Mezz 1 Amortization'!$B$19:$V$19,0)),IF(AND('Mezz 1 Amortization'!$T$4="Bi-Annual",I$5&gt;MIN('Mezz 1 Amortization'!$R$4,'Mezz 1 Amortization'!$S$4),I$5&lt;MAX('Mezz 1 Amortization'!$R$4,'Mezz 1 Amortization'!$S$4)),INDEX('Mezz 1 Amortization'!$B$19:$V$379,MATCH(DATE(I$7,MIN('Mezz 1 Amortization'!$R$4,'Mezz 1 Amortization'!$S$4),31),'Mezz 1 Amortization'!$E$19:$E$379,0),MATCH('Mezz 1 Amortization'!$V$19,'Mezz 1 Amortization'!$B$19:$V$19,0)),IF(AND('Mezz 1 Amortization'!$T$4="Bi-Annual",I$5='Mezz 1 Amortization'!$R$4),INDEX('Mezz 1 Amortization'!$B$19:$V$379,MATCH(DATE(I$7,'Mezz 1 Amortization'!$R$4,31),'Mezz 1 Amortization'!$E$19:$E$379,0),MATCH('Mezz 1 Amortization'!$V$19,'Mezz 1 Amortization'!$B$19:$V$19,0)),IF(AND('Mezz 1 Amortization'!$T$4="Bi-Annual",I$5='Mezz 1 Amortization'!$S$4),INDEX('Mezz 1 Amortization'!$B$19:$V$379,MATCH(DATE(I$7,'Mezz 1 Amortization'!$S$4,31),'Mezz 1 Amortization'!$E$19:$E$379,0),MATCH('Mezz 1 Amortization'!$V$19,'Mezz 1 Amortization'!$B$19:$V$19,0)))))))))))</f>
        <v>0</v>
      </c>
      <c r="J140" s="427">
        <f>IF('Financing Assumptions'!$P$8="No",0,IF(J$9&lt;'Financing Assumptions'!$O$26,0,IF(AND('Mezz 1 Amortization'!$T$4&lt;&gt;"Monthly",J9&lt;='Financing Assumptions'!$O$26),0,IF('Mezz 1 Amortization'!$T$4="Monthly",INDEX('Mezz 1 Amortization'!$B$19:$V$379,MATCH(J$11,'Mezz 1 Amortization'!$E$19:$E$379,0),MATCH('Mezz 1 Amortization'!$V$19,'Mezz 1 Amortization'!$B$19:$V$19,0)),IF(AND('Mezz 1 Amortization'!$T$4="Bi-Annual",J$5&lt;MIN('Mezz 1 Amortization'!$R$4,'Mezz 1 Amortization'!$S$4)),INDEX('Mezz 1 Amortization'!$B$19:$V$379,MATCH(DATE(J$7-1,MAX('Mezz 1 Amortization'!$R$4,'Mezz 1 Amortization'!$S$4),31),'Mezz 1 Amortization'!$E$19:$E$379,0),MATCH('Mezz 1 Amortization'!$V$19,'Mezz 1 Amortization'!$B$19:$V$19,0)),IF(AND('Mezz 1 Amortization'!$T$4="Bi-Annual",J$5&gt;MAX('Mezz 1 Amortization'!$R$4,'Mezz 1 Amortization'!$S$4)),INDEX('Mezz 1 Amortization'!$B$19:$V$379,MATCH(DATE(J$7,MAX('Mezz 1 Amortization'!$R$4,'Mezz 1 Amortization'!$S$4),31),'Mezz 1 Amortization'!$E$19:$E$379,0),MATCH('Mezz 1 Amortization'!$V$19,'Mezz 1 Amortization'!$B$19:$V$19,0)),IF(AND('Mezz 1 Amortization'!$T$4="Bi-Annual",J$5&gt;MIN('Mezz 1 Amortization'!$R$4,'Mezz 1 Amortization'!$S$4),J$5&lt;MAX('Mezz 1 Amortization'!$R$4,'Mezz 1 Amortization'!$S$4)),INDEX('Mezz 1 Amortization'!$B$19:$V$379,MATCH(DATE(J$7,MIN('Mezz 1 Amortization'!$R$4,'Mezz 1 Amortization'!$S$4),31),'Mezz 1 Amortization'!$E$19:$E$379,0),MATCH('Mezz 1 Amortization'!$V$19,'Mezz 1 Amortization'!$B$19:$V$19,0)),IF(AND('Mezz 1 Amortization'!$T$4="Bi-Annual",J$5='Mezz 1 Amortization'!$R$4),INDEX('Mezz 1 Amortization'!$B$19:$V$379,MATCH(DATE(J$7,'Mezz 1 Amortization'!$R$4,31),'Mezz 1 Amortization'!$E$19:$E$379,0),MATCH('Mezz 1 Amortization'!$V$19,'Mezz 1 Amortization'!$B$19:$V$19,0)),IF(AND('Mezz 1 Amortization'!$T$4="Bi-Annual",J$5='Mezz 1 Amortization'!$S$4),INDEX('Mezz 1 Amortization'!$B$19:$V$379,MATCH(DATE(J$7,'Mezz 1 Amortization'!$S$4,31),'Mezz 1 Amortization'!$E$19:$E$379,0),MATCH('Mezz 1 Amortization'!$V$19,'Mezz 1 Amortization'!$B$19:$V$19,0)))))))))))</f>
        <v>0</v>
      </c>
      <c r="K140" s="427">
        <f>IF('Financing Assumptions'!$P$8="No",0,IF(K$9&lt;'Financing Assumptions'!$O$26,0,IF(AND('Mezz 1 Amortization'!$T$4&lt;&gt;"Monthly",K9&lt;='Financing Assumptions'!$O$26),0,IF('Mezz 1 Amortization'!$T$4="Monthly",INDEX('Mezz 1 Amortization'!$B$19:$V$379,MATCH(K$11,'Mezz 1 Amortization'!$E$19:$E$379,0),MATCH('Mezz 1 Amortization'!$V$19,'Mezz 1 Amortization'!$B$19:$V$19,0)),IF(AND('Mezz 1 Amortization'!$T$4="Bi-Annual",K$5&lt;MIN('Mezz 1 Amortization'!$R$4,'Mezz 1 Amortization'!$S$4)),INDEX('Mezz 1 Amortization'!$B$19:$V$379,MATCH(DATE(K$7-1,MAX('Mezz 1 Amortization'!$R$4,'Mezz 1 Amortization'!$S$4),31),'Mezz 1 Amortization'!$E$19:$E$379,0),MATCH('Mezz 1 Amortization'!$V$19,'Mezz 1 Amortization'!$B$19:$V$19,0)),IF(AND('Mezz 1 Amortization'!$T$4="Bi-Annual",K$5&gt;MAX('Mezz 1 Amortization'!$R$4,'Mezz 1 Amortization'!$S$4)),INDEX('Mezz 1 Amortization'!$B$19:$V$379,MATCH(DATE(K$7,MAX('Mezz 1 Amortization'!$R$4,'Mezz 1 Amortization'!$S$4),31),'Mezz 1 Amortization'!$E$19:$E$379,0),MATCH('Mezz 1 Amortization'!$V$19,'Mezz 1 Amortization'!$B$19:$V$19,0)),IF(AND('Mezz 1 Amortization'!$T$4="Bi-Annual",K$5&gt;MIN('Mezz 1 Amortization'!$R$4,'Mezz 1 Amortization'!$S$4),K$5&lt;MAX('Mezz 1 Amortization'!$R$4,'Mezz 1 Amortization'!$S$4)),INDEX('Mezz 1 Amortization'!$B$19:$V$379,MATCH(DATE(K$7,MIN('Mezz 1 Amortization'!$R$4,'Mezz 1 Amortization'!$S$4),31),'Mezz 1 Amortization'!$E$19:$E$379,0),MATCH('Mezz 1 Amortization'!$V$19,'Mezz 1 Amortization'!$B$19:$V$19,0)),IF(AND('Mezz 1 Amortization'!$T$4="Bi-Annual",K$5='Mezz 1 Amortization'!$R$4),INDEX('Mezz 1 Amortization'!$B$19:$V$379,MATCH(DATE(K$7,'Mezz 1 Amortization'!$R$4,31),'Mezz 1 Amortization'!$E$19:$E$379,0),MATCH('Mezz 1 Amortization'!$V$19,'Mezz 1 Amortization'!$B$19:$V$19,0)),IF(AND('Mezz 1 Amortization'!$T$4="Bi-Annual",K$5='Mezz 1 Amortization'!$S$4),INDEX('Mezz 1 Amortization'!$B$19:$V$379,MATCH(DATE(K$7,'Mezz 1 Amortization'!$S$4,31),'Mezz 1 Amortization'!$E$19:$E$379,0),MATCH('Mezz 1 Amortization'!$V$19,'Mezz 1 Amortization'!$B$19:$V$19,0)))))))))))</f>
        <v>0</v>
      </c>
      <c r="L140" s="427">
        <f>IF('Financing Assumptions'!$P$8="No",0,IF(L$9&lt;'Financing Assumptions'!$O$26,0,IF(AND('Mezz 1 Amortization'!$T$4&lt;&gt;"Monthly",L9&lt;='Financing Assumptions'!$O$26),0,IF('Mezz 1 Amortization'!$T$4="Monthly",INDEX('Mezz 1 Amortization'!$B$19:$V$379,MATCH(L$11,'Mezz 1 Amortization'!$E$19:$E$379,0),MATCH('Mezz 1 Amortization'!$V$19,'Mezz 1 Amortization'!$B$19:$V$19,0)),IF(AND('Mezz 1 Amortization'!$T$4="Bi-Annual",L$5&lt;MIN('Mezz 1 Amortization'!$R$4,'Mezz 1 Amortization'!$S$4)),INDEX('Mezz 1 Amortization'!$B$19:$V$379,MATCH(DATE(L$7-1,MAX('Mezz 1 Amortization'!$R$4,'Mezz 1 Amortization'!$S$4),31),'Mezz 1 Amortization'!$E$19:$E$379,0),MATCH('Mezz 1 Amortization'!$V$19,'Mezz 1 Amortization'!$B$19:$V$19,0)),IF(AND('Mezz 1 Amortization'!$T$4="Bi-Annual",L$5&gt;MAX('Mezz 1 Amortization'!$R$4,'Mezz 1 Amortization'!$S$4)),INDEX('Mezz 1 Amortization'!$B$19:$V$379,MATCH(DATE(L$7,MAX('Mezz 1 Amortization'!$R$4,'Mezz 1 Amortization'!$S$4),31),'Mezz 1 Amortization'!$E$19:$E$379,0),MATCH('Mezz 1 Amortization'!$V$19,'Mezz 1 Amortization'!$B$19:$V$19,0)),IF(AND('Mezz 1 Amortization'!$T$4="Bi-Annual",L$5&gt;MIN('Mezz 1 Amortization'!$R$4,'Mezz 1 Amortization'!$S$4),L$5&lt;MAX('Mezz 1 Amortization'!$R$4,'Mezz 1 Amortization'!$S$4)),INDEX('Mezz 1 Amortization'!$B$19:$V$379,MATCH(DATE(L$7,MIN('Mezz 1 Amortization'!$R$4,'Mezz 1 Amortization'!$S$4),31),'Mezz 1 Amortization'!$E$19:$E$379,0),MATCH('Mezz 1 Amortization'!$V$19,'Mezz 1 Amortization'!$B$19:$V$19,0)),IF(AND('Mezz 1 Amortization'!$T$4="Bi-Annual",L$5='Mezz 1 Amortization'!$R$4),INDEX('Mezz 1 Amortization'!$B$19:$V$379,MATCH(DATE(L$7,'Mezz 1 Amortization'!$R$4,31),'Mezz 1 Amortization'!$E$19:$E$379,0),MATCH('Mezz 1 Amortization'!$V$19,'Mezz 1 Amortization'!$B$19:$V$19,0)),IF(AND('Mezz 1 Amortization'!$T$4="Bi-Annual",L$5='Mezz 1 Amortization'!$S$4),INDEX('Mezz 1 Amortization'!$B$19:$V$379,MATCH(DATE(L$7,'Mezz 1 Amortization'!$S$4,31),'Mezz 1 Amortization'!$E$19:$E$379,0),MATCH('Mezz 1 Amortization'!$V$19,'Mezz 1 Amortization'!$B$19:$V$19,0)))))))))))</f>
        <v>0</v>
      </c>
      <c r="M140" s="427">
        <f>IF('Financing Assumptions'!$P$8="No",0,IF(M$9&lt;'Financing Assumptions'!$O$26,0,IF(AND('Mezz 1 Amortization'!$T$4&lt;&gt;"Monthly",M9&lt;='Financing Assumptions'!$O$26),0,IF('Mezz 1 Amortization'!$T$4="Monthly",INDEX('Mezz 1 Amortization'!$B$19:$V$379,MATCH(M$11,'Mezz 1 Amortization'!$E$19:$E$379,0),MATCH('Mezz 1 Amortization'!$V$19,'Mezz 1 Amortization'!$B$19:$V$19,0)),IF(AND('Mezz 1 Amortization'!$T$4="Bi-Annual",M$5&lt;MIN('Mezz 1 Amortization'!$R$4,'Mezz 1 Amortization'!$S$4)),INDEX('Mezz 1 Amortization'!$B$19:$V$379,MATCH(DATE(M$7-1,MAX('Mezz 1 Amortization'!$R$4,'Mezz 1 Amortization'!$S$4),31),'Mezz 1 Amortization'!$E$19:$E$379,0),MATCH('Mezz 1 Amortization'!$V$19,'Mezz 1 Amortization'!$B$19:$V$19,0)),IF(AND('Mezz 1 Amortization'!$T$4="Bi-Annual",M$5&gt;MAX('Mezz 1 Amortization'!$R$4,'Mezz 1 Amortization'!$S$4)),INDEX('Mezz 1 Amortization'!$B$19:$V$379,MATCH(DATE(M$7,MAX('Mezz 1 Amortization'!$R$4,'Mezz 1 Amortization'!$S$4),31),'Mezz 1 Amortization'!$E$19:$E$379,0),MATCH('Mezz 1 Amortization'!$V$19,'Mezz 1 Amortization'!$B$19:$V$19,0)),IF(AND('Mezz 1 Amortization'!$T$4="Bi-Annual",M$5&gt;MIN('Mezz 1 Amortization'!$R$4,'Mezz 1 Amortization'!$S$4),M$5&lt;MAX('Mezz 1 Amortization'!$R$4,'Mezz 1 Amortization'!$S$4)),INDEX('Mezz 1 Amortization'!$B$19:$V$379,MATCH(DATE(M$7,MIN('Mezz 1 Amortization'!$R$4,'Mezz 1 Amortization'!$S$4),31),'Mezz 1 Amortization'!$E$19:$E$379,0),MATCH('Mezz 1 Amortization'!$V$19,'Mezz 1 Amortization'!$B$19:$V$19,0)),IF(AND('Mezz 1 Amortization'!$T$4="Bi-Annual",M$5='Mezz 1 Amortization'!$R$4),INDEX('Mezz 1 Amortization'!$B$19:$V$379,MATCH(DATE(M$7,'Mezz 1 Amortization'!$R$4,31),'Mezz 1 Amortization'!$E$19:$E$379,0),MATCH('Mezz 1 Amortization'!$V$19,'Mezz 1 Amortization'!$B$19:$V$19,0)),IF(AND('Mezz 1 Amortization'!$T$4="Bi-Annual",M$5='Mezz 1 Amortization'!$S$4),INDEX('Mezz 1 Amortization'!$B$19:$V$379,MATCH(DATE(M$7,'Mezz 1 Amortization'!$S$4,31),'Mezz 1 Amortization'!$E$19:$E$379,0),MATCH('Mezz 1 Amortization'!$V$19,'Mezz 1 Amortization'!$B$19:$V$19,0)))))))))))</f>
        <v>0</v>
      </c>
      <c r="N140" s="427">
        <f>IF('Financing Assumptions'!$P$8="No",0,IF(N$9&lt;'Financing Assumptions'!$O$26,0,IF(AND('Mezz 1 Amortization'!$T$4&lt;&gt;"Monthly",N9&lt;='Financing Assumptions'!$O$26),0,IF('Mezz 1 Amortization'!$T$4="Monthly",INDEX('Mezz 1 Amortization'!$B$19:$V$379,MATCH(N$11,'Mezz 1 Amortization'!$E$19:$E$379,0),MATCH('Mezz 1 Amortization'!$V$19,'Mezz 1 Amortization'!$B$19:$V$19,0)),IF(AND('Mezz 1 Amortization'!$T$4="Bi-Annual",N$5&lt;MIN('Mezz 1 Amortization'!$R$4,'Mezz 1 Amortization'!$S$4)),INDEX('Mezz 1 Amortization'!$B$19:$V$379,MATCH(DATE(N$7-1,MAX('Mezz 1 Amortization'!$R$4,'Mezz 1 Amortization'!$S$4),31),'Mezz 1 Amortization'!$E$19:$E$379,0),MATCH('Mezz 1 Amortization'!$V$19,'Mezz 1 Amortization'!$B$19:$V$19,0)),IF(AND('Mezz 1 Amortization'!$T$4="Bi-Annual",N$5&gt;MAX('Mezz 1 Amortization'!$R$4,'Mezz 1 Amortization'!$S$4)),INDEX('Mezz 1 Amortization'!$B$19:$V$379,MATCH(DATE(N$7,MAX('Mezz 1 Amortization'!$R$4,'Mezz 1 Amortization'!$S$4),31),'Mezz 1 Amortization'!$E$19:$E$379,0),MATCH('Mezz 1 Amortization'!$V$19,'Mezz 1 Amortization'!$B$19:$V$19,0)),IF(AND('Mezz 1 Amortization'!$T$4="Bi-Annual",N$5&gt;MIN('Mezz 1 Amortization'!$R$4,'Mezz 1 Amortization'!$S$4),N$5&lt;MAX('Mezz 1 Amortization'!$R$4,'Mezz 1 Amortization'!$S$4)),INDEX('Mezz 1 Amortization'!$B$19:$V$379,MATCH(DATE(N$7,MIN('Mezz 1 Amortization'!$R$4,'Mezz 1 Amortization'!$S$4),31),'Mezz 1 Amortization'!$E$19:$E$379,0),MATCH('Mezz 1 Amortization'!$V$19,'Mezz 1 Amortization'!$B$19:$V$19,0)),IF(AND('Mezz 1 Amortization'!$T$4="Bi-Annual",N$5='Mezz 1 Amortization'!$R$4),INDEX('Mezz 1 Amortization'!$B$19:$V$379,MATCH(DATE(N$7,'Mezz 1 Amortization'!$R$4,31),'Mezz 1 Amortization'!$E$19:$E$379,0),MATCH('Mezz 1 Amortization'!$V$19,'Mezz 1 Amortization'!$B$19:$V$19,0)),IF(AND('Mezz 1 Amortization'!$T$4="Bi-Annual",N$5='Mezz 1 Amortization'!$S$4),INDEX('Mezz 1 Amortization'!$B$19:$V$379,MATCH(DATE(N$7,'Mezz 1 Amortization'!$S$4,31),'Mezz 1 Amortization'!$E$19:$E$379,0),MATCH('Mezz 1 Amortization'!$V$19,'Mezz 1 Amortization'!$B$19:$V$19,0)))))))))))</f>
        <v>0</v>
      </c>
      <c r="O140" s="427">
        <f>IF('Financing Assumptions'!$P$8="No",0,IF(O$9&lt;'Financing Assumptions'!$O$26,0,IF(AND('Mezz 1 Amortization'!$T$4&lt;&gt;"Monthly",O9&lt;='Financing Assumptions'!$O$26),0,IF('Mezz 1 Amortization'!$T$4="Monthly",INDEX('Mezz 1 Amortization'!$B$19:$V$379,MATCH(O$11,'Mezz 1 Amortization'!$E$19:$E$379,0),MATCH('Mezz 1 Amortization'!$V$19,'Mezz 1 Amortization'!$B$19:$V$19,0)),IF(AND('Mezz 1 Amortization'!$T$4="Bi-Annual",O$5&lt;MIN('Mezz 1 Amortization'!$R$4,'Mezz 1 Amortization'!$S$4)),INDEX('Mezz 1 Amortization'!$B$19:$V$379,MATCH(DATE(O$7-1,MAX('Mezz 1 Amortization'!$R$4,'Mezz 1 Amortization'!$S$4),31),'Mezz 1 Amortization'!$E$19:$E$379,0),MATCH('Mezz 1 Amortization'!$V$19,'Mezz 1 Amortization'!$B$19:$V$19,0)),IF(AND('Mezz 1 Amortization'!$T$4="Bi-Annual",O$5&gt;MAX('Mezz 1 Amortization'!$R$4,'Mezz 1 Amortization'!$S$4)),INDEX('Mezz 1 Amortization'!$B$19:$V$379,MATCH(DATE(O$7,MAX('Mezz 1 Amortization'!$R$4,'Mezz 1 Amortization'!$S$4),31),'Mezz 1 Amortization'!$E$19:$E$379,0),MATCH('Mezz 1 Amortization'!$V$19,'Mezz 1 Amortization'!$B$19:$V$19,0)),IF(AND('Mezz 1 Amortization'!$T$4="Bi-Annual",O$5&gt;MIN('Mezz 1 Amortization'!$R$4,'Mezz 1 Amortization'!$S$4),O$5&lt;MAX('Mezz 1 Amortization'!$R$4,'Mezz 1 Amortization'!$S$4)),INDEX('Mezz 1 Amortization'!$B$19:$V$379,MATCH(DATE(O$7,MIN('Mezz 1 Amortization'!$R$4,'Mezz 1 Amortization'!$S$4),31),'Mezz 1 Amortization'!$E$19:$E$379,0),MATCH('Mezz 1 Amortization'!$V$19,'Mezz 1 Amortization'!$B$19:$V$19,0)),IF(AND('Mezz 1 Amortization'!$T$4="Bi-Annual",O$5='Mezz 1 Amortization'!$R$4),INDEX('Mezz 1 Amortization'!$B$19:$V$379,MATCH(DATE(O$7,'Mezz 1 Amortization'!$R$4,31),'Mezz 1 Amortization'!$E$19:$E$379,0),MATCH('Mezz 1 Amortization'!$V$19,'Mezz 1 Amortization'!$B$19:$V$19,0)),IF(AND('Mezz 1 Amortization'!$T$4="Bi-Annual",O$5='Mezz 1 Amortization'!$S$4),INDEX('Mezz 1 Amortization'!$B$19:$V$379,MATCH(DATE(O$7,'Mezz 1 Amortization'!$S$4,31),'Mezz 1 Amortization'!$E$19:$E$379,0),MATCH('Mezz 1 Amortization'!$V$19,'Mezz 1 Amortization'!$B$19:$V$19,0)))))))))))</f>
        <v>0</v>
      </c>
      <c r="P140" s="427">
        <f>IF('Financing Assumptions'!$P$8="No",0,IF(P$9&lt;'Financing Assumptions'!$O$26,0,IF(AND('Mezz 1 Amortization'!$T$4&lt;&gt;"Monthly",P9&lt;='Financing Assumptions'!$O$26),0,IF('Mezz 1 Amortization'!$T$4="Monthly",INDEX('Mezz 1 Amortization'!$B$19:$V$379,MATCH(P$11,'Mezz 1 Amortization'!$E$19:$E$379,0),MATCH('Mezz 1 Amortization'!$V$19,'Mezz 1 Amortization'!$B$19:$V$19,0)),IF(AND('Mezz 1 Amortization'!$T$4="Bi-Annual",P$5&lt;MIN('Mezz 1 Amortization'!$R$4,'Mezz 1 Amortization'!$S$4)),INDEX('Mezz 1 Amortization'!$B$19:$V$379,MATCH(DATE(P$7-1,MAX('Mezz 1 Amortization'!$R$4,'Mezz 1 Amortization'!$S$4),31),'Mezz 1 Amortization'!$E$19:$E$379,0),MATCH('Mezz 1 Amortization'!$V$19,'Mezz 1 Amortization'!$B$19:$V$19,0)),IF(AND('Mezz 1 Amortization'!$T$4="Bi-Annual",P$5&gt;MAX('Mezz 1 Amortization'!$R$4,'Mezz 1 Amortization'!$S$4)),INDEX('Mezz 1 Amortization'!$B$19:$V$379,MATCH(DATE(P$7,MAX('Mezz 1 Amortization'!$R$4,'Mezz 1 Amortization'!$S$4),31),'Mezz 1 Amortization'!$E$19:$E$379,0),MATCH('Mezz 1 Amortization'!$V$19,'Mezz 1 Amortization'!$B$19:$V$19,0)),IF(AND('Mezz 1 Amortization'!$T$4="Bi-Annual",P$5&gt;MIN('Mezz 1 Amortization'!$R$4,'Mezz 1 Amortization'!$S$4),P$5&lt;MAX('Mezz 1 Amortization'!$R$4,'Mezz 1 Amortization'!$S$4)),INDEX('Mezz 1 Amortization'!$B$19:$V$379,MATCH(DATE(P$7,MIN('Mezz 1 Amortization'!$R$4,'Mezz 1 Amortization'!$S$4),31),'Mezz 1 Amortization'!$E$19:$E$379,0),MATCH('Mezz 1 Amortization'!$V$19,'Mezz 1 Amortization'!$B$19:$V$19,0)),IF(AND('Mezz 1 Amortization'!$T$4="Bi-Annual",P$5='Mezz 1 Amortization'!$R$4),INDEX('Mezz 1 Amortization'!$B$19:$V$379,MATCH(DATE(P$7,'Mezz 1 Amortization'!$R$4,31),'Mezz 1 Amortization'!$E$19:$E$379,0),MATCH('Mezz 1 Amortization'!$V$19,'Mezz 1 Amortization'!$B$19:$V$19,0)),IF(AND('Mezz 1 Amortization'!$T$4="Bi-Annual",P$5='Mezz 1 Amortization'!$S$4),INDEX('Mezz 1 Amortization'!$B$19:$V$379,MATCH(DATE(P$7,'Mezz 1 Amortization'!$S$4,31),'Mezz 1 Amortization'!$E$19:$E$379,0),MATCH('Mezz 1 Amortization'!$V$19,'Mezz 1 Amortization'!$B$19:$V$19,0)))))))))))</f>
        <v>0</v>
      </c>
      <c r="Q140" s="427">
        <f>IF('Financing Assumptions'!$P$8="No",0,IF(Q$9&lt;'Financing Assumptions'!$O$26,0,IF(AND('Mezz 1 Amortization'!$T$4&lt;&gt;"Monthly",Q9&lt;='Financing Assumptions'!$O$26),0,IF('Mezz 1 Amortization'!$T$4="Monthly",INDEX('Mezz 1 Amortization'!$B$19:$V$379,MATCH(Q$11,'Mezz 1 Amortization'!$E$19:$E$379,0),MATCH('Mezz 1 Amortization'!$V$19,'Mezz 1 Amortization'!$B$19:$V$19,0)),IF(AND('Mezz 1 Amortization'!$T$4="Bi-Annual",Q$5&lt;MIN('Mezz 1 Amortization'!$R$4,'Mezz 1 Amortization'!$S$4)),INDEX('Mezz 1 Amortization'!$B$19:$V$379,MATCH(DATE(Q$7-1,MAX('Mezz 1 Amortization'!$R$4,'Mezz 1 Amortization'!$S$4),31),'Mezz 1 Amortization'!$E$19:$E$379,0),MATCH('Mezz 1 Amortization'!$V$19,'Mezz 1 Amortization'!$B$19:$V$19,0)),IF(AND('Mezz 1 Amortization'!$T$4="Bi-Annual",Q$5&gt;MAX('Mezz 1 Amortization'!$R$4,'Mezz 1 Amortization'!$S$4)),INDEX('Mezz 1 Amortization'!$B$19:$V$379,MATCH(DATE(Q$7,MAX('Mezz 1 Amortization'!$R$4,'Mezz 1 Amortization'!$S$4),31),'Mezz 1 Amortization'!$E$19:$E$379,0),MATCH('Mezz 1 Amortization'!$V$19,'Mezz 1 Amortization'!$B$19:$V$19,0)),IF(AND('Mezz 1 Amortization'!$T$4="Bi-Annual",Q$5&gt;MIN('Mezz 1 Amortization'!$R$4,'Mezz 1 Amortization'!$S$4),Q$5&lt;MAX('Mezz 1 Amortization'!$R$4,'Mezz 1 Amortization'!$S$4)),INDEX('Mezz 1 Amortization'!$B$19:$V$379,MATCH(DATE(Q$7,MIN('Mezz 1 Amortization'!$R$4,'Mezz 1 Amortization'!$S$4),31),'Mezz 1 Amortization'!$E$19:$E$379,0),MATCH('Mezz 1 Amortization'!$V$19,'Mezz 1 Amortization'!$B$19:$V$19,0)),IF(AND('Mezz 1 Amortization'!$T$4="Bi-Annual",Q$5='Mezz 1 Amortization'!$R$4),INDEX('Mezz 1 Amortization'!$B$19:$V$379,MATCH(DATE(Q$7,'Mezz 1 Amortization'!$R$4,31),'Mezz 1 Amortization'!$E$19:$E$379,0),MATCH('Mezz 1 Amortization'!$V$19,'Mezz 1 Amortization'!$B$19:$V$19,0)),IF(AND('Mezz 1 Amortization'!$T$4="Bi-Annual",Q$5='Mezz 1 Amortization'!$S$4),INDEX('Mezz 1 Amortization'!$B$19:$V$379,MATCH(DATE(Q$7,'Mezz 1 Amortization'!$S$4,31),'Mezz 1 Amortization'!$E$19:$E$379,0),MATCH('Mezz 1 Amortization'!$V$19,'Mezz 1 Amortization'!$B$19:$V$19,0)))))))))))</f>
        <v>0</v>
      </c>
      <c r="R140" s="427">
        <f>IF('Financing Assumptions'!$P$8="No",0,IF(R$9&lt;'Financing Assumptions'!$O$26,0,IF(AND('Mezz 1 Amortization'!$T$4&lt;&gt;"Monthly",R9&lt;='Financing Assumptions'!$O$26),0,IF('Mezz 1 Amortization'!$T$4="Monthly",INDEX('Mezz 1 Amortization'!$B$19:$V$379,MATCH(R$11,'Mezz 1 Amortization'!$E$19:$E$379,0),MATCH('Mezz 1 Amortization'!$V$19,'Mezz 1 Amortization'!$B$19:$V$19,0)),IF(AND('Mezz 1 Amortization'!$T$4="Bi-Annual",R$5&lt;MIN('Mezz 1 Amortization'!$R$4,'Mezz 1 Amortization'!$S$4)),INDEX('Mezz 1 Amortization'!$B$19:$V$379,MATCH(DATE(R$7-1,MAX('Mezz 1 Amortization'!$R$4,'Mezz 1 Amortization'!$S$4),31),'Mezz 1 Amortization'!$E$19:$E$379,0),MATCH('Mezz 1 Amortization'!$V$19,'Mezz 1 Amortization'!$B$19:$V$19,0)),IF(AND('Mezz 1 Amortization'!$T$4="Bi-Annual",R$5&gt;MAX('Mezz 1 Amortization'!$R$4,'Mezz 1 Amortization'!$S$4)),INDEX('Mezz 1 Amortization'!$B$19:$V$379,MATCH(DATE(R$7,MAX('Mezz 1 Amortization'!$R$4,'Mezz 1 Amortization'!$S$4),31),'Mezz 1 Amortization'!$E$19:$E$379,0),MATCH('Mezz 1 Amortization'!$V$19,'Mezz 1 Amortization'!$B$19:$V$19,0)),IF(AND('Mezz 1 Amortization'!$T$4="Bi-Annual",R$5&gt;MIN('Mezz 1 Amortization'!$R$4,'Mezz 1 Amortization'!$S$4),R$5&lt;MAX('Mezz 1 Amortization'!$R$4,'Mezz 1 Amortization'!$S$4)),INDEX('Mezz 1 Amortization'!$B$19:$V$379,MATCH(DATE(R$7,MIN('Mezz 1 Amortization'!$R$4,'Mezz 1 Amortization'!$S$4),31),'Mezz 1 Amortization'!$E$19:$E$379,0),MATCH('Mezz 1 Amortization'!$V$19,'Mezz 1 Amortization'!$B$19:$V$19,0)),IF(AND('Mezz 1 Amortization'!$T$4="Bi-Annual",R$5='Mezz 1 Amortization'!$R$4),INDEX('Mezz 1 Amortization'!$B$19:$V$379,MATCH(DATE(R$7,'Mezz 1 Amortization'!$R$4,31),'Mezz 1 Amortization'!$E$19:$E$379,0),MATCH('Mezz 1 Amortization'!$V$19,'Mezz 1 Amortization'!$B$19:$V$19,0)),IF(AND('Mezz 1 Amortization'!$T$4="Bi-Annual",R$5='Mezz 1 Amortization'!$S$4),INDEX('Mezz 1 Amortization'!$B$19:$V$379,MATCH(DATE(R$7,'Mezz 1 Amortization'!$S$4,31),'Mezz 1 Amortization'!$E$19:$E$379,0),MATCH('Mezz 1 Amortization'!$V$19,'Mezz 1 Amortization'!$B$19:$V$19,0)))))))))))</f>
        <v>0</v>
      </c>
      <c r="S140" s="427">
        <f>IF('Financing Assumptions'!$P$8="No",0,IF(S$9&lt;'Financing Assumptions'!$O$26,0,IF(AND('Mezz 1 Amortization'!$T$4&lt;&gt;"Monthly",S9&lt;='Financing Assumptions'!$O$26),0,IF('Mezz 1 Amortization'!$T$4="Monthly",INDEX('Mezz 1 Amortization'!$B$19:$V$379,MATCH(S$11,'Mezz 1 Amortization'!$E$19:$E$379,0),MATCH('Mezz 1 Amortization'!$V$19,'Mezz 1 Amortization'!$B$19:$V$19,0)),IF(AND('Mezz 1 Amortization'!$T$4="Bi-Annual",S$5&lt;MIN('Mezz 1 Amortization'!$R$4,'Mezz 1 Amortization'!$S$4)),INDEX('Mezz 1 Amortization'!$B$19:$V$379,MATCH(DATE(S$7-1,MAX('Mezz 1 Amortization'!$R$4,'Mezz 1 Amortization'!$S$4),31),'Mezz 1 Amortization'!$E$19:$E$379,0),MATCH('Mezz 1 Amortization'!$V$19,'Mezz 1 Amortization'!$B$19:$V$19,0)),IF(AND('Mezz 1 Amortization'!$T$4="Bi-Annual",S$5&gt;MAX('Mezz 1 Amortization'!$R$4,'Mezz 1 Amortization'!$S$4)),INDEX('Mezz 1 Amortization'!$B$19:$V$379,MATCH(DATE(S$7,MAX('Mezz 1 Amortization'!$R$4,'Mezz 1 Amortization'!$S$4),31),'Mezz 1 Amortization'!$E$19:$E$379,0),MATCH('Mezz 1 Amortization'!$V$19,'Mezz 1 Amortization'!$B$19:$V$19,0)),IF(AND('Mezz 1 Amortization'!$T$4="Bi-Annual",S$5&gt;MIN('Mezz 1 Amortization'!$R$4,'Mezz 1 Amortization'!$S$4),S$5&lt;MAX('Mezz 1 Amortization'!$R$4,'Mezz 1 Amortization'!$S$4)),INDEX('Mezz 1 Amortization'!$B$19:$V$379,MATCH(DATE(S$7,MIN('Mezz 1 Amortization'!$R$4,'Mezz 1 Amortization'!$S$4),31),'Mezz 1 Amortization'!$E$19:$E$379,0),MATCH('Mezz 1 Amortization'!$V$19,'Mezz 1 Amortization'!$B$19:$V$19,0)),IF(AND('Mezz 1 Amortization'!$T$4="Bi-Annual",S$5='Mezz 1 Amortization'!$R$4),INDEX('Mezz 1 Amortization'!$B$19:$V$379,MATCH(DATE(S$7,'Mezz 1 Amortization'!$R$4,31),'Mezz 1 Amortization'!$E$19:$E$379,0),MATCH('Mezz 1 Amortization'!$V$19,'Mezz 1 Amortization'!$B$19:$V$19,0)),IF(AND('Mezz 1 Amortization'!$T$4="Bi-Annual",S$5='Mezz 1 Amortization'!$S$4),INDEX('Mezz 1 Amortization'!$B$19:$V$379,MATCH(DATE(S$7,'Mezz 1 Amortization'!$S$4,31),'Mezz 1 Amortization'!$E$19:$E$379,0),MATCH('Mezz 1 Amortization'!$V$19,'Mezz 1 Amortization'!$B$19:$V$19,0)))))))))))</f>
        <v>0</v>
      </c>
      <c r="T140" s="427">
        <f>IF('Financing Assumptions'!$P$8="No",0,IF(T$9&lt;'Financing Assumptions'!$O$26,0,IF(AND('Mezz 1 Amortization'!$T$4&lt;&gt;"Monthly",T9&lt;='Financing Assumptions'!$O$26),0,IF('Mezz 1 Amortization'!$T$4="Monthly",INDEX('Mezz 1 Amortization'!$B$19:$V$379,MATCH(T$11,'Mezz 1 Amortization'!$E$19:$E$379,0),MATCH('Mezz 1 Amortization'!$V$19,'Mezz 1 Amortization'!$B$19:$V$19,0)),IF(AND('Mezz 1 Amortization'!$T$4="Bi-Annual",T$5&lt;MIN('Mezz 1 Amortization'!$R$4,'Mezz 1 Amortization'!$S$4)),INDEX('Mezz 1 Amortization'!$B$19:$V$379,MATCH(DATE(T$7-1,MAX('Mezz 1 Amortization'!$R$4,'Mezz 1 Amortization'!$S$4),31),'Mezz 1 Amortization'!$E$19:$E$379,0),MATCH('Mezz 1 Amortization'!$V$19,'Mezz 1 Amortization'!$B$19:$V$19,0)),IF(AND('Mezz 1 Amortization'!$T$4="Bi-Annual",T$5&gt;MAX('Mezz 1 Amortization'!$R$4,'Mezz 1 Amortization'!$S$4)),INDEX('Mezz 1 Amortization'!$B$19:$V$379,MATCH(DATE(T$7,MAX('Mezz 1 Amortization'!$R$4,'Mezz 1 Amortization'!$S$4),31),'Mezz 1 Amortization'!$E$19:$E$379,0),MATCH('Mezz 1 Amortization'!$V$19,'Mezz 1 Amortization'!$B$19:$V$19,0)),IF(AND('Mezz 1 Amortization'!$T$4="Bi-Annual",T$5&gt;MIN('Mezz 1 Amortization'!$R$4,'Mezz 1 Amortization'!$S$4),T$5&lt;MAX('Mezz 1 Amortization'!$R$4,'Mezz 1 Amortization'!$S$4)),INDEX('Mezz 1 Amortization'!$B$19:$V$379,MATCH(DATE(T$7,MIN('Mezz 1 Amortization'!$R$4,'Mezz 1 Amortization'!$S$4),31),'Mezz 1 Amortization'!$E$19:$E$379,0),MATCH('Mezz 1 Amortization'!$V$19,'Mezz 1 Amortization'!$B$19:$V$19,0)),IF(AND('Mezz 1 Amortization'!$T$4="Bi-Annual",T$5='Mezz 1 Amortization'!$R$4),INDEX('Mezz 1 Amortization'!$B$19:$V$379,MATCH(DATE(T$7,'Mezz 1 Amortization'!$R$4,31),'Mezz 1 Amortization'!$E$19:$E$379,0),MATCH('Mezz 1 Amortization'!$V$19,'Mezz 1 Amortization'!$B$19:$V$19,0)),IF(AND('Mezz 1 Amortization'!$T$4="Bi-Annual",T$5='Mezz 1 Amortization'!$S$4),INDEX('Mezz 1 Amortization'!$B$19:$V$379,MATCH(DATE(T$7,'Mezz 1 Amortization'!$S$4,31),'Mezz 1 Amortization'!$E$19:$E$379,0),MATCH('Mezz 1 Amortization'!$V$19,'Mezz 1 Amortization'!$B$19:$V$19,0)))))))))))</f>
        <v>0</v>
      </c>
      <c r="U140" s="427">
        <f>IF('Financing Assumptions'!$P$8="No",0,IF(U$9&lt;'Financing Assumptions'!$O$26,0,IF(AND('Mezz 1 Amortization'!$T$4&lt;&gt;"Monthly",U9&lt;='Financing Assumptions'!$O$26),0,IF('Mezz 1 Amortization'!$T$4="Monthly",INDEX('Mezz 1 Amortization'!$B$19:$V$379,MATCH(U$11,'Mezz 1 Amortization'!$E$19:$E$379,0),MATCH('Mezz 1 Amortization'!$V$19,'Mezz 1 Amortization'!$B$19:$V$19,0)),IF(AND('Mezz 1 Amortization'!$T$4="Bi-Annual",U$5&lt;MIN('Mezz 1 Amortization'!$R$4,'Mezz 1 Amortization'!$S$4)),INDEX('Mezz 1 Amortization'!$B$19:$V$379,MATCH(DATE(U$7-1,MAX('Mezz 1 Amortization'!$R$4,'Mezz 1 Amortization'!$S$4),31),'Mezz 1 Amortization'!$E$19:$E$379,0),MATCH('Mezz 1 Amortization'!$V$19,'Mezz 1 Amortization'!$B$19:$V$19,0)),IF(AND('Mezz 1 Amortization'!$T$4="Bi-Annual",U$5&gt;MAX('Mezz 1 Amortization'!$R$4,'Mezz 1 Amortization'!$S$4)),INDEX('Mezz 1 Amortization'!$B$19:$V$379,MATCH(DATE(U$7,MAX('Mezz 1 Amortization'!$R$4,'Mezz 1 Amortization'!$S$4),31),'Mezz 1 Amortization'!$E$19:$E$379,0),MATCH('Mezz 1 Amortization'!$V$19,'Mezz 1 Amortization'!$B$19:$V$19,0)),IF(AND('Mezz 1 Amortization'!$T$4="Bi-Annual",U$5&gt;MIN('Mezz 1 Amortization'!$R$4,'Mezz 1 Amortization'!$S$4),U$5&lt;MAX('Mezz 1 Amortization'!$R$4,'Mezz 1 Amortization'!$S$4)),INDEX('Mezz 1 Amortization'!$B$19:$V$379,MATCH(DATE(U$7,MIN('Mezz 1 Amortization'!$R$4,'Mezz 1 Amortization'!$S$4),31),'Mezz 1 Amortization'!$E$19:$E$379,0),MATCH('Mezz 1 Amortization'!$V$19,'Mezz 1 Amortization'!$B$19:$V$19,0)),IF(AND('Mezz 1 Amortization'!$T$4="Bi-Annual",U$5='Mezz 1 Amortization'!$R$4),INDEX('Mezz 1 Amortization'!$B$19:$V$379,MATCH(DATE(U$7,'Mezz 1 Amortization'!$R$4,31),'Mezz 1 Amortization'!$E$19:$E$379,0),MATCH('Mezz 1 Amortization'!$V$19,'Mezz 1 Amortization'!$B$19:$V$19,0)),IF(AND('Mezz 1 Amortization'!$T$4="Bi-Annual",U$5='Mezz 1 Amortization'!$S$4),INDEX('Mezz 1 Amortization'!$B$19:$V$379,MATCH(DATE(U$7,'Mezz 1 Amortization'!$S$4,31),'Mezz 1 Amortization'!$E$19:$E$379,0),MATCH('Mezz 1 Amortization'!$V$19,'Mezz 1 Amortization'!$B$19:$V$19,0)))))))))))</f>
        <v>0</v>
      </c>
      <c r="V140" s="427">
        <f>IF('Financing Assumptions'!$P$8="No",0,IF(V$9&lt;'Financing Assumptions'!$O$26,0,IF(AND('Mezz 1 Amortization'!$T$4&lt;&gt;"Monthly",V9&lt;='Financing Assumptions'!$O$26),0,IF('Mezz 1 Amortization'!$T$4="Monthly",INDEX('Mezz 1 Amortization'!$B$19:$V$379,MATCH(V$11,'Mezz 1 Amortization'!$E$19:$E$379,0),MATCH('Mezz 1 Amortization'!$V$19,'Mezz 1 Amortization'!$B$19:$V$19,0)),IF(AND('Mezz 1 Amortization'!$T$4="Bi-Annual",V$5&lt;MIN('Mezz 1 Amortization'!$R$4,'Mezz 1 Amortization'!$S$4)),INDEX('Mezz 1 Amortization'!$B$19:$V$379,MATCH(DATE(V$7-1,MAX('Mezz 1 Amortization'!$R$4,'Mezz 1 Amortization'!$S$4),31),'Mezz 1 Amortization'!$E$19:$E$379,0),MATCH('Mezz 1 Amortization'!$V$19,'Mezz 1 Amortization'!$B$19:$V$19,0)),IF(AND('Mezz 1 Amortization'!$T$4="Bi-Annual",V$5&gt;MAX('Mezz 1 Amortization'!$R$4,'Mezz 1 Amortization'!$S$4)),INDEX('Mezz 1 Amortization'!$B$19:$V$379,MATCH(DATE(V$7,MAX('Mezz 1 Amortization'!$R$4,'Mezz 1 Amortization'!$S$4),31),'Mezz 1 Amortization'!$E$19:$E$379,0),MATCH('Mezz 1 Amortization'!$V$19,'Mezz 1 Amortization'!$B$19:$V$19,0)),IF(AND('Mezz 1 Amortization'!$T$4="Bi-Annual",V$5&gt;MIN('Mezz 1 Amortization'!$R$4,'Mezz 1 Amortization'!$S$4),V$5&lt;MAX('Mezz 1 Amortization'!$R$4,'Mezz 1 Amortization'!$S$4)),INDEX('Mezz 1 Amortization'!$B$19:$V$379,MATCH(DATE(V$7,MIN('Mezz 1 Amortization'!$R$4,'Mezz 1 Amortization'!$S$4),31),'Mezz 1 Amortization'!$E$19:$E$379,0),MATCH('Mezz 1 Amortization'!$V$19,'Mezz 1 Amortization'!$B$19:$V$19,0)),IF(AND('Mezz 1 Amortization'!$T$4="Bi-Annual",V$5='Mezz 1 Amortization'!$R$4),INDEX('Mezz 1 Amortization'!$B$19:$V$379,MATCH(DATE(V$7,'Mezz 1 Amortization'!$R$4,31),'Mezz 1 Amortization'!$E$19:$E$379,0),MATCH('Mezz 1 Amortization'!$V$19,'Mezz 1 Amortization'!$B$19:$V$19,0)),IF(AND('Mezz 1 Amortization'!$T$4="Bi-Annual",V$5='Mezz 1 Amortization'!$S$4),INDEX('Mezz 1 Amortization'!$B$19:$V$379,MATCH(DATE(V$7,'Mezz 1 Amortization'!$S$4,31),'Mezz 1 Amortization'!$E$19:$E$379,0),MATCH('Mezz 1 Amortization'!$V$19,'Mezz 1 Amortization'!$B$19:$V$19,0)))))))))))</f>
        <v>0</v>
      </c>
      <c r="W140" s="427">
        <f>IF('Financing Assumptions'!$P$8="No",0,IF(W$9&lt;'Financing Assumptions'!$O$26,0,IF(AND('Mezz 1 Amortization'!$T$4&lt;&gt;"Monthly",W9&lt;='Financing Assumptions'!$O$26),0,IF('Mezz 1 Amortization'!$T$4="Monthly",INDEX('Mezz 1 Amortization'!$B$19:$V$379,MATCH(W$11,'Mezz 1 Amortization'!$E$19:$E$379,0),MATCH('Mezz 1 Amortization'!$V$19,'Mezz 1 Amortization'!$B$19:$V$19,0)),IF(AND('Mezz 1 Amortization'!$T$4="Bi-Annual",W$5&lt;MIN('Mezz 1 Amortization'!$R$4,'Mezz 1 Amortization'!$S$4)),INDEX('Mezz 1 Amortization'!$B$19:$V$379,MATCH(DATE(W$7-1,MAX('Mezz 1 Amortization'!$R$4,'Mezz 1 Amortization'!$S$4),31),'Mezz 1 Amortization'!$E$19:$E$379,0),MATCH('Mezz 1 Amortization'!$V$19,'Mezz 1 Amortization'!$B$19:$V$19,0)),IF(AND('Mezz 1 Amortization'!$T$4="Bi-Annual",W$5&gt;MAX('Mezz 1 Amortization'!$R$4,'Mezz 1 Amortization'!$S$4)),INDEX('Mezz 1 Amortization'!$B$19:$V$379,MATCH(DATE(W$7,MAX('Mezz 1 Amortization'!$R$4,'Mezz 1 Amortization'!$S$4),31),'Mezz 1 Amortization'!$E$19:$E$379,0),MATCH('Mezz 1 Amortization'!$V$19,'Mezz 1 Amortization'!$B$19:$V$19,0)),IF(AND('Mezz 1 Amortization'!$T$4="Bi-Annual",W$5&gt;MIN('Mezz 1 Amortization'!$R$4,'Mezz 1 Amortization'!$S$4),W$5&lt;MAX('Mezz 1 Amortization'!$R$4,'Mezz 1 Amortization'!$S$4)),INDEX('Mezz 1 Amortization'!$B$19:$V$379,MATCH(DATE(W$7,MIN('Mezz 1 Amortization'!$R$4,'Mezz 1 Amortization'!$S$4),31),'Mezz 1 Amortization'!$E$19:$E$379,0),MATCH('Mezz 1 Amortization'!$V$19,'Mezz 1 Amortization'!$B$19:$V$19,0)),IF(AND('Mezz 1 Amortization'!$T$4="Bi-Annual",W$5='Mezz 1 Amortization'!$R$4),INDEX('Mezz 1 Amortization'!$B$19:$V$379,MATCH(DATE(W$7,'Mezz 1 Amortization'!$R$4,31),'Mezz 1 Amortization'!$E$19:$E$379,0),MATCH('Mezz 1 Amortization'!$V$19,'Mezz 1 Amortization'!$B$19:$V$19,0)),IF(AND('Mezz 1 Amortization'!$T$4="Bi-Annual",W$5='Mezz 1 Amortization'!$S$4),INDEX('Mezz 1 Amortization'!$B$19:$V$379,MATCH(DATE(W$7,'Mezz 1 Amortization'!$S$4,31),'Mezz 1 Amortization'!$E$19:$E$379,0),MATCH('Mezz 1 Amortization'!$V$19,'Mezz 1 Amortization'!$B$19:$V$19,0)))))))))))</f>
        <v>0</v>
      </c>
      <c r="X140" s="427">
        <f>IF('Financing Assumptions'!$P$8="No",0,IF(X$9&lt;'Financing Assumptions'!$O$26,0,IF(AND('Mezz 1 Amortization'!$T$4&lt;&gt;"Monthly",X9&lt;='Financing Assumptions'!$O$26),0,IF('Mezz 1 Amortization'!$T$4="Monthly",INDEX('Mezz 1 Amortization'!$B$19:$V$379,MATCH(X$11,'Mezz 1 Amortization'!$E$19:$E$379,0),MATCH('Mezz 1 Amortization'!$V$19,'Mezz 1 Amortization'!$B$19:$V$19,0)),IF(AND('Mezz 1 Amortization'!$T$4="Bi-Annual",X$5&lt;MIN('Mezz 1 Amortization'!$R$4,'Mezz 1 Amortization'!$S$4)),INDEX('Mezz 1 Amortization'!$B$19:$V$379,MATCH(DATE(X$7-1,MAX('Mezz 1 Amortization'!$R$4,'Mezz 1 Amortization'!$S$4),31),'Mezz 1 Amortization'!$E$19:$E$379,0),MATCH('Mezz 1 Amortization'!$V$19,'Mezz 1 Amortization'!$B$19:$V$19,0)),IF(AND('Mezz 1 Amortization'!$T$4="Bi-Annual",X$5&gt;MAX('Mezz 1 Amortization'!$R$4,'Mezz 1 Amortization'!$S$4)),INDEX('Mezz 1 Amortization'!$B$19:$V$379,MATCH(DATE(X$7,MAX('Mezz 1 Amortization'!$R$4,'Mezz 1 Amortization'!$S$4),31),'Mezz 1 Amortization'!$E$19:$E$379,0),MATCH('Mezz 1 Amortization'!$V$19,'Mezz 1 Amortization'!$B$19:$V$19,0)),IF(AND('Mezz 1 Amortization'!$T$4="Bi-Annual",X$5&gt;MIN('Mezz 1 Amortization'!$R$4,'Mezz 1 Amortization'!$S$4),X$5&lt;MAX('Mezz 1 Amortization'!$R$4,'Mezz 1 Amortization'!$S$4)),INDEX('Mezz 1 Amortization'!$B$19:$V$379,MATCH(DATE(X$7,MIN('Mezz 1 Amortization'!$R$4,'Mezz 1 Amortization'!$S$4),31),'Mezz 1 Amortization'!$E$19:$E$379,0),MATCH('Mezz 1 Amortization'!$V$19,'Mezz 1 Amortization'!$B$19:$V$19,0)),IF(AND('Mezz 1 Amortization'!$T$4="Bi-Annual",X$5='Mezz 1 Amortization'!$R$4),INDEX('Mezz 1 Amortization'!$B$19:$V$379,MATCH(DATE(X$7,'Mezz 1 Amortization'!$R$4,31),'Mezz 1 Amortization'!$E$19:$E$379,0),MATCH('Mezz 1 Amortization'!$V$19,'Mezz 1 Amortization'!$B$19:$V$19,0)),IF(AND('Mezz 1 Amortization'!$T$4="Bi-Annual",X$5='Mezz 1 Amortization'!$S$4),INDEX('Mezz 1 Amortization'!$B$19:$V$379,MATCH(DATE(X$7,'Mezz 1 Amortization'!$S$4,31),'Mezz 1 Amortization'!$E$19:$E$379,0),MATCH('Mezz 1 Amortization'!$V$19,'Mezz 1 Amortization'!$B$19:$V$19,0)))))))))))</f>
        <v>0</v>
      </c>
      <c r="Y140" s="427">
        <f>IF('Financing Assumptions'!$P$8="No",0,IF(Y$9&lt;'Financing Assumptions'!$O$26,0,IF(AND('Mezz 1 Amortization'!$T$4&lt;&gt;"Monthly",Y9&lt;='Financing Assumptions'!$O$26),0,IF('Mezz 1 Amortization'!$T$4="Monthly",INDEX('Mezz 1 Amortization'!$B$19:$V$379,MATCH(Y$11,'Mezz 1 Amortization'!$E$19:$E$379,0),MATCH('Mezz 1 Amortization'!$V$19,'Mezz 1 Amortization'!$B$19:$V$19,0)),IF(AND('Mezz 1 Amortization'!$T$4="Bi-Annual",Y$5&lt;MIN('Mezz 1 Amortization'!$R$4,'Mezz 1 Amortization'!$S$4)),INDEX('Mezz 1 Amortization'!$B$19:$V$379,MATCH(DATE(Y$7-1,MAX('Mezz 1 Amortization'!$R$4,'Mezz 1 Amortization'!$S$4),31),'Mezz 1 Amortization'!$E$19:$E$379,0),MATCH('Mezz 1 Amortization'!$V$19,'Mezz 1 Amortization'!$B$19:$V$19,0)),IF(AND('Mezz 1 Amortization'!$T$4="Bi-Annual",Y$5&gt;MAX('Mezz 1 Amortization'!$R$4,'Mezz 1 Amortization'!$S$4)),INDEX('Mezz 1 Amortization'!$B$19:$V$379,MATCH(DATE(Y$7,MAX('Mezz 1 Amortization'!$R$4,'Mezz 1 Amortization'!$S$4),31),'Mezz 1 Amortization'!$E$19:$E$379,0),MATCH('Mezz 1 Amortization'!$V$19,'Mezz 1 Amortization'!$B$19:$V$19,0)),IF(AND('Mezz 1 Amortization'!$T$4="Bi-Annual",Y$5&gt;MIN('Mezz 1 Amortization'!$R$4,'Mezz 1 Amortization'!$S$4),Y$5&lt;MAX('Mezz 1 Amortization'!$R$4,'Mezz 1 Amortization'!$S$4)),INDEX('Mezz 1 Amortization'!$B$19:$V$379,MATCH(DATE(Y$7,MIN('Mezz 1 Amortization'!$R$4,'Mezz 1 Amortization'!$S$4),31),'Mezz 1 Amortization'!$E$19:$E$379,0),MATCH('Mezz 1 Amortization'!$V$19,'Mezz 1 Amortization'!$B$19:$V$19,0)),IF(AND('Mezz 1 Amortization'!$T$4="Bi-Annual",Y$5='Mezz 1 Amortization'!$R$4),INDEX('Mezz 1 Amortization'!$B$19:$V$379,MATCH(DATE(Y$7,'Mezz 1 Amortization'!$R$4,31),'Mezz 1 Amortization'!$E$19:$E$379,0),MATCH('Mezz 1 Amortization'!$V$19,'Mezz 1 Amortization'!$B$19:$V$19,0)),IF(AND('Mezz 1 Amortization'!$T$4="Bi-Annual",Y$5='Mezz 1 Amortization'!$S$4),INDEX('Mezz 1 Amortization'!$B$19:$V$379,MATCH(DATE(Y$7,'Mezz 1 Amortization'!$S$4,31),'Mezz 1 Amortization'!$E$19:$E$379,0),MATCH('Mezz 1 Amortization'!$V$19,'Mezz 1 Amortization'!$B$19:$V$19,0)))))))))))</f>
        <v>0</v>
      </c>
      <c r="Z140" s="427">
        <f>IF('Financing Assumptions'!$P$8="No",0,IF(Z$9&lt;'Financing Assumptions'!$O$26,0,IF(AND('Mezz 1 Amortization'!$T$4&lt;&gt;"Monthly",Z9&lt;='Financing Assumptions'!$O$26),0,IF('Mezz 1 Amortization'!$T$4="Monthly",INDEX('Mezz 1 Amortization'!$B$19:$V$379,MATCH(Z$11,'Mezz 1 Amortization'!$E$19:$E$379,0),MATCH('Mezz 1 Amortization'!$V$19,'Mezz 1 Amortization'!$B$19:$V$19,0)),IF(AND('Mezz 1 Amortization'!$T$4="Bi-Annual",Z$5&lt;MIN('Mezz 1 Amortization'!$R$4,'Mezz 1 Amortization'!$S$4)),INDEX('Mezz 1 Amortization'!$B$19:$V$379,MATCH(DATE(Z$7-1,MAX('Mezz 1 Amortization'!$R$4,'Mezz 1 Amortization'!$S$4),31),'Mezz 1 Amortization'!$E$19:$E$379,0),MATCH('Mezz 1 Amortization'!$V$19,'Mezz 1 Amortization'!$B$19:$V$19,0)),IF(AND('Mezz 1 Amortization'!$T$4="Bi-Annual",Z$5&gt;MAX('Mezz 1 Amortization'!$R$4,'Mezz 1 Amortization'!$S$4)),INDEX('Mezz 1 Amortization'!$B$19:$V$379,MATCH(DATE(Z$7,MAX('Mezz 1 Amortization'!$R$4,'Mezz 1 Amortization'!$S$4),31),'Mezz 1 Amortization'!$E$19:$E$379,0),MATCH('Mezz 1 Amortization'!$V$19,'Mezz 1 Amortization'!$B$19:$V$19,0)),IF(AND('Mezz 1 Amortization'!$T$4="Bi-Annual",Z$5&gt;MIN('Mezz 1 Amortization'!$R$4,'Mezz 1 Amortization'!$S$4),Z$5&lt;MAX('Mezz 1 Amortization'!$R$4,'Mezz 1 Amortization'!$S$4)),INDEX('Mezz 1 Amortization'!$B$19:$V$379,MATCH(DATE(Z$7,MIN('Mezz 1 Amortization'!$R$4,'Mezz 1 Amortization'!$S$4),31),'Mezz 1 Amortization'!$E$19:$E$379,0),MATCH('Mezz 1 Amortization'!$V$19,'Mezz 1 Amortization'!$B$19:$V$19,0)),IF(AND('Mezz 1 Amortization'!$T$4="Bi-Annual",Z$5='Mezz 1 Amortization'!$R$4),INDEX('Mezz 1 Amortization'!$B$19:$V$379,MATCH(DATE(Z$7,'Mezz 1 Amortization'!$R$4,31),'Mezz 1 Amortization'!$E$19:$E$379,0),MATCH('Mezz 1 Amortization'!$V$19,'Mezz 1 Amortization'!$B$19:$V$19,0)),IF(AND('Mezz 1 Amortization'!$T$4="Bi-Annual",Z$5='Mezz 1 Amortization'!$S$4),INDEX('Mezz 1 Amortization'!$B$19:$V$379,MATCH(DATE(Z$7,'Mezz 1 Amortization'!$S$4,31),'Mezz 1 Amortization'!$E$19:$E$379,0),MATCH('Mezz 1 Amortization'!$V$19,'Mezz 1 Amortization'!$B$19:$V$19,0)))))))))))</f>
        <v>0</v>
      </c>
      <c r="AA140" s="427">
        <f>IF('Financing Assumptions'!$P$8="No",0,IF(AA$9&lt;'Financing Assumptions'!$O$26,0,IF(AND('Mezz 1 Amortization'!$T$4&lt;&gt;"Monthly",AA9&lt;='Financing Assumptions'!$O$26),0,IF('Mezz 1 Amortization'!$T$4="Monthly",INDEX('Mezz 1 Amortization'!$B$19:$V$379,MATCH(AA$11,'Mezz 1 Amortization'!$E$19:$E$379,0),MATCH('Mezz 1 Amortization'!$V$19,'Mezz 1 Amortization'!$B$19:$V$19,0)),IF(AND('Mezz 1 Amortization'!$T$4="Bi-Annual",AA$5&lt;MIN('Mezz 1 Amortization'!$R$4,'Mezz 1 Amortization'!$S$4)),INDEX('Mezz 1 Amortization'!$B$19:$V$379,MATCH(DATE(AA$7-1,MAX('Mezz 1 Amortization'!$R$4,'Mezz 1 Amortization'!$S$4),31),'Mezz 1 Amortization'!$E$19:$E$379,0),MATCH('Mezz 1 Amortization'!$V$19,'Mezz 1 Amortization'!$B$19:$V$19,0)),IF(AND('Mezz 1 Amortization'!$T$4="Bi-Annual",AA$5&gt;MAX('Mezz 1 Amortization'!$R$4,'Mezz 1 Amortization'!$S$4)),INDEX('Mezz 1 Amortization'!$B$19:$V$379,MATCH(DATE(AA$7,MAX('Mezz 1 Amortization'!$R$4,'Mezz 1 Amortization'!$S$4),31),'Mezz 1 Amortization'!$E$19:$E$379,0),MATCH('Mezz 1 Amortization'!$V$19,'Mezz 1 Amortization'!$B$19:$V$19,0)),IF(AND('Mezz 1 Amortization'!$T$4="Bi-Annual",AA$5&gt;MIN('Mezz 1 Amortization'!$R$4,'Mezz 1 Amortization'!$S$4),AA$5&lt;MAX('Mezz 1 Amortization'!$R$4,'Mezz 1 Amortization'!$S$4)),INDEX('Mezz 1 Amortization'!$B$19:$V$379,MATCH(DATE(AA$7,MIN('Mezz 1 Amortization'!$R$4,'Mezz 1 Amortization'!$S$4),31),'Mezz 1 Amortization'!$E$19:$E$379,0),MATCH('Mezz 1 Amortization'!$V$19,'Mezz 1 Amortization'!$B$19:$V$19,0)),IF(AND('Mezz 1 Amortization'!$T$4="Bi-Annual",AA$5='Mezz 1 Amortization'!$R$4),INDEX('Mezz 1 Amortization'!$B$19:$V$379,MATCH(DATE(AA$7,'Mezz 1 Amortization'!$R$4,31),'Mezz 1 Amortization'!$E$19:$E$379,0),MATCH('Mezz 1 Amortization'!$V$19,'Mezz 1 Amortization'!$B$19:$V$19,0)),IF(AND('Mezz 1 Amortization'!$T$4="Bi-Annual",AA$5='Mezz 1 Amortization'!$S$4),INDEX('Mezz 1 Amortization'!$B$19:$V$379,MATCH(DATE(AA$7,'Mezz 1 Amortization'!$S$4,31),'Mezz 1 Amortization'!$E$19:$E$379,0),MATCH('Mezz 1 Amortization'!$V$19,'Mezz 1 Amortization'!$B$19:$V$19,0)))))))))))</f>
        <v>0</v>
      </c>
      <c r="AB140" s="427">
        <f>IF('Financing Assumptions'!$P$8="No",0,IF(AB$9&lt;'Financing Assumptions'!$O$26,0,IF(AND('Mezz 1 Amortization'!$T$4&lt;&gt;"Monthly",AB9&lt;='Financing Assumptions'!$O$26),0,IF('Mezz 1 Amortization'!$T$4="Monthly",INDEX('Mezz 1 Amortization'!$B$19:$V$379,MATCH(AB$11,'Mezz 1 Amortization'!$E$19:$E$379,0),MATCH('Mezz 1 Amortization'!$V$19,'Mezz 1 Amortization'!$B$19:$V$19,0)),IF(AND('Mezz 1 Amortization'!$T$4="Bi-Annual",AB$5&lt;MIN('Mezz 1 Amortization'!$R$4,'Mezz 1 Amortization'!$S$4)),INDEX('Mezz 1 Amortization'!$B$19:$V$379,MATCH(DATE(AB$7-1,MAX('Mezz 1 Amortization'!$R$4,'Mezz 1 Amortization'!$S$4),31),'Mezz 1 Amortization'!$E$19:$E$379,0),MATCH('Mezz 1 Amortization'!$V$19,'Mezz 1 Amortization'!$B$19:$V$19,0)),IF(AND('Mezz 1 Amortization'!$T$4="Bi-Annual",AB$5&gt;MAX('Mezz 1 Amortization'!$R$4,'Mezz 1 Amortization'!$S$4)),INDEX('Mezz 1 Amortization'!$B$19:$V$379,MATCH(DATE(AB$7,MAX('Mezz 1 Amortization'!$R$4,'Mezz 1 Amortization'!$S$4),31),'Mezz 1 Amortization'!$E$19:$E$379,0),MATCH('Mezz 1 Amortization'!$V$19,'Mezz 1 Amortization'!$B$19:$V$19,0)),IF(AND('Mezz 1 Amortization'!$T$4="Bi-Annual",AB$5&gt;MIN('Mezz 1 Amortization'!$R$4,'Mezz 1 Amortization'!$S$4),AB$5&lt;MAX('Mezz 1 Amortization'!$R$4,'Mezz 1 Amortization'!$S$4)),INDEX('Mezz 1 Amortization'!$B$19:$V$379,MATCH(DATE(AB$7,MIN('Mezz 1 Amortization'!$R$4,'Mezz 1 Amortization'!$S$4),31),'Mezz 1 Amortization'!$E$19:$E$379,0),MATCH('Mezz 1 Amortization'!$V$19,'Mezz 1 Amortization'!$B$19:$V$19,0)),IF(AND('Mezz 1 Amortization'!$T$4="Bi-Annual",AB$5='Mezz 1 Amortization'!$R$4),INDEX('Mezz 1 Amortization'!$B$19:$V$379,MATCH(DATE(AB$7,'Mezz 1 Amortization'!$R$4,31),'Mezz 1 Amortization'!$E$19:$E$379,0),MATCH('Mezz 1 Amortization'!$V$19,'Mezz 1 Amortization'!$B$19:$V$19,0)),IF(AND('Mezz 1 Amortization'!$T$4="Bi-Annual",AB$5='Mezz 1 Amortization'!$S$4),INDEX('Mezz 1 Amortization'!$B$19:$V$379,MATCH(DATE(AB$7,'Mezz 1 Amortization'!$S$4,31),'Mezz 1 Amortization'!$E$19:$E$379,0),MATCH('Mezz 1 Amortization'!$V$19,'Mezz 1 Amortization'!$B$19:$V$19,0)))))))))))</f>
        <v>0</v>
      </c>
      <c r="AC140" s="427">
        <f>IF('Financing Assumptions'!$P$8="No",0,IF(AC$9&lt;'Financing Assumptions'!$O$26,0,IF(AND('Mezz 1 Amortization'!$T$4&lt;&gt;"Monthly",AC9&lt;='Financing Assumptions'!$O$26),0,IF('Mezz 1 Amortization'!$T$4="Monthly",INDEX('Mezz 1 Amortization'!$B$19:$V$379,MATCH(AC$11,'Mezz 1 Amortization'!$E$19:$E$379,0),MATCH('Mezz 1 Amortization'!$V$19,'Mezz 1 Amortization'!$B$19:$V$19,0)),IF(AND('Mezz 1 Amortization'!$T$4="Bi-Annual",AC$5&lt;MIN('Mezz 1 Amortization'!$R$4,'Mezz 1 Amortization'!$S$4)),INDEX('Mezz 1 Amortization'!$B$19:$V$379,MATCH(DATE(AC$7-1,MAX('Mezz 1 Amortization'!$R$4,'Mezz 1 Amortization'!$S$4),31),'Mezz 1 Amortization'!$E$19:$E$379,0),MATCH('Mezz 1 Amortization'!$V$19,'Mezz 1 Amortization'!$B$19:$V$19,0)),IF(AND('Mezz 1 Amortization'!$T$4="Bi-Annual",AC$5&gt;MAX('Mezz 1 Amortization'!$R$4,'Mezz 1 Amortization'!$S$4)),INDEX('Mezz 1 Amortization'!$B$19:$V$379,MATCH(DATE(AC$7,MAX('Mezz 1 Amortization'!$R$4,'Mezz 1 Amortization'!$S$4),31),'Mezz 1 Amortization'!$E$19:$E$379,0),MATCH('Mezz 1 Amortization'!$V$19,'Mezz 1 Amortization'!$B$19:$V$19,0)),IF(AND('Mezz 1 Amortization'!$T$4="Bi-Annual",AC$5&gt;MIN('Mezz 1 Amortization'!$R$4,'Mezz 1 Amortization'!$S$4),AC$5&lt;MAX('Mezz 1 Amortization'!$R$4,'Mezz 1 Amortization'!$S$4)),INDEX('Mezz 1 Amortization'!$B$19:$V$379,MATCH(DATE(AC$7,MIN('Mezz 1 Amortization'!$R$4,'Mezz 1 Amortization'!$S$4),31),'Mezz 1 Amortization'!$E$19:$E$379,0),MATCH('Mezz 1 Amortization'!$V$19,'Mezz 1 Amortization'!$B$19:$V$19,0)),IF(AND('Mezz 1 Amortization'!$T$4="Bi-Annual",AC$5='Mezz 1 Amortization'!$R$4),INDEX('Mezz 1 Amortization'!$B$19:$V$379,MATCH(DATE(AC$7,'Mezz 1 Amortization'!$R$4,31),'Mezz 1 Amortization'!$E$19:$E$379,0),MATCH('Mezz 1 Amortization'!$V$19,'Mezz 1 Amortization'!$B$19:$V$19,0)),IF(AND('Mezz 1 Amortization'!$T$4="Bi-Annual",AC$5='Mezz 1 Amortization'!$S$4),INDEX('Mezz 1 Amortization'!$B$19:$V$379,MATCH(DATE(AC$7,'Mezz 1 Amortization'!$S$4,31),'Mezz 1 Amortization'!$E$19:$E$379,0),MATCH('Mezz 1 Amortization'!$V$19,'Mezz 1 Amortization'!$B$19:$V$19,0)))))))))))</f>
        <v>0</v>
      </c>
      <c r="AD140" s="427">
        <f>IF('Financing Assumptions'!$P$8="No",0,IF(AD$9&lt;'Financing Assumptions'!$O$26,0,IF(AND('Mezz 1 Amortization'!$T$4&lt;&gt;"Monthly",AD9&lt;='Financing Assumptions'!$O$26),0,IF('Mezz 1 Amortization'!$T$4="Monthly",INDEX('Mezz 1 Amortization'!$B$19:$V$379,MATCH(AD$11,'Mezz 1 Amortization'!$E$19:$E$379,0),MATCH('Mezz 1 Amortization'!$V$19,'Mezz 1 Amortization'!$B$19:$V$19,0)),IF(AND('Mezz 1 Amortization'!$T$4="Bi-Annual",AD$5&lt;MIN('Mezz 1 Amortization'!$R$4,'Mezz 1 Amortization'!$S$4)),INDEX('Mezz 1 Amortization'!$B$19:$V$379,MATCH(DATE(AD$7-1,MAX('Mezz 1 Amortization'!$R$4,'Mezz 1 Amortization'!$S$4),31),'Mezz 1 Amortization'!$E$19:$E$379,0),MATCH('Mezz 1 Amortization'!$V$19,'Mezz 1 Amortization'!$B$19:$V$19,0)),IF(AND('Mezz 1 Amortization'!$T$4="Bi-Annual",AD$5&gt;MAX('Mezz 1 Amortization'!$R$4,'Mezz 1 Amortization'!$S$4)),INDEX('Mezz 1 Amortization'!$B$19:$V$379,MATCH(DATE(AD$7,MAX('Mezz 1 Amortization'!$R$4,'Mezz 1 Amortization'!$S$4),31),'Mezz 1 Amortization'!$E$19:$E$379,0),MATCH('Mezz 1 Amortization'!$V$19,'Mezz 1 Amortization'!$B$19:$V$19,0)),IF(AND('Mezz 1 Amortization'!$T$4="Bi-Annual",AD$5&gt;MIN('Mezz 1 Amortization'!$R$4,'Mezz 1 Amortization'!$S$4),AD$5&lt;MAX('Mezz 1 Amortization'!$R$4,'Mezz 1 Amortization'!$S$4)),INDEX('Mezz 1 Amortization'!$B$19:$V$379,MATCH(DATE(AD$7,MIN('Mezz 1 Amortization'!$R$4,'Mezz 1 Amortization'!$S$4),31),'Mezz 1 Amortization'!$E$19:$E$379,0),MATCH('Mezz 1 Amortization'!$V$19,'Mezz 1 Amortization'!$B$19:$V$19,0)),IF(AND('Mezz 1 Amortization'!$T$4="Bi-Annual",AD$5='Mezz 1 Amortization'!$R$4),INDEX('Mezz 1 Amortization'!$B$19:$V$379,MATCH(DATE(AD$7,'Mezz 1 Amortization'!$R$4,31),'Mezz 1 Amortization'!$E$19:$E$379,0),MATCH('Mezz 1 Amortization'!$V$19,'Mezz 1 Amortization'!$B$19:$V$19,0)),IF(AND('Mezz 1 Amortization'!$T$4="Bi-Annual",AD$5='Mezz 1 Amortization'!$S$4),INDEX('Mezz 1 Amortization'!$B$19:$V$379,MATCH(DATE(AD$7,'Mezz 1 Amortization'!$S$4,31),'Mezz 1 Amortization'!$E$19:$E$379,0),MATCH('Mezz 1 Amortization'!$V$19,'Mezz 1 Amortization'!$B$19:$V$19,0)))))))))))</f>
        <v>0</v>
      </c>
      <c r="AE140" s="427">
        <f>IF('Financing Assumptions'!$P$8="No",0,IF(AE$9&lt;'Financing Assumptions'!$O$26,0,IF(AND('Mezz 1 Amortization'!$T$4&lt;&gt;"Monthly",AE9&lt;='Financing Assumptions'!$O$26),0,IF('Mezz 1 Amortization'!$T$4="Monthly",INDEX('Mezz 1 Amortization'!$B$19:$V$379,MATCH(AE$11,'Mezz 1 Amortization'!$E$19:$E$379,0),MATCH('Mezz 1 Amortization'!$V$19,'Mezz 1 Amortization'!$B$19:$V$19,0)),IF(AND('Mezz 1 Amortization'!$T$4="Bi-Annual",AE$5&lt;MIN('Mezz 1 Amortization'!$R$4,'Mezz 1 Amortization'!$S$4)),INDEX('Mezz 1 Amortization'!$B$19:$V$379,MATCH(DATE(AE$7-1,MAX('Mezz 1 Amortization'!$R$4,'Mezz 1 Amortization'!$S$4),31),'Mezz 1 Amortization'!$E$19:$E$379,0),MATCH('Mezz 1 Amortization'!$V$19,'Mezz 1 Amortization'!$B$19:$V$19,0)),IF(AND('Mezz 1 Amortization'!$T$4="Bi-Annual",AE$5&gt;MAX('Mezz 1 Amortization'!$R$4,'Mezz 1 Amortization'!$S$4)),INDEX('Mezz 1 Amortization'!$B$19:$V$379,MATCH(DATE(AE$7,MAX('Mezz 1 Amortization'!$R$4,'Mezz 1 Amortization'!$S$4),31),'Mezz 1 Amortization'!$E$19:$E$379,0),MATCH('Mezz 1 Amortization'!$V$19,'Mezz 1 Amortization'!$B$19:$V$19,0)),IF(AND('Mezz 1 Amortization'!$T$4="Bi-Annual",AE$5&gt;MIN('Mezz 1 Amortization'!$R$4,'Mezz 1 Amortization'!$S$4),AE$5&lt;MAX('Mezz 1 Amortization'!$R$4,'Mezz 1 Amortization'!$S$4)),INDEX('Mezz 1 Amortization'!$B$19:$V$379,MATCH(DATE(AE$7,MIN('Mezz 1 Amortization'!$R$4,'Mezz 1 Amortization'!$S$4),31),'Mezz 1 Amortization'!$E$19:$E$379,0),MATCH('Mezz 1 Amortization'!$V$19,'Mezz 1 Amortization'!$B$19:$V$19,0)),IF(AND('Mezz 1 Amortization'!$T$4="Bi-Annual",AE$5='Mezz 1 Amortization'!$R$4),INDEX('Mezz 1 Amortization'!$B$19:$V$379,MATCH(DATE(AE$7,'Mezz 1 Amortization'!$R$4,31),'Mezz 1 Amortization'!$E$19:$E$379,0),MATCH('Mezz 1 Amortization'!$V$19,'Mezz 1 Amortization'!$B$19:$V$19,0)),IF(AND('Mezz 1 Amortization'!$T$4="Bi-Annual",AE$5='Mezz 1 Amortization'!$S$4),INDEX('Mezz 1 Amortization'!$B$19:$V$379,MATCH(DATE(AE$7,'Mezz 1 Amortization'!$S$4,31),'Mezz 1 Amortization'!$E$19:$E$379,0),MATCH('Mezz 1 Amortization'!$V$19,'Mezz 1 Amortization'!$B$19:$V$19,0)))))))))))</f>
        <v>0</v>
      </c>
      <c r="AF140" s="427">
        <f>IF('Financing Assumptions'!$P$8="No",0,IF(AF$9&lt;'Financing Assumptions'!$O$26,0,IF(AND('Mezz 1 Amortization'!$T$4&lt;&gt;"Monthly",AF9&lt;='Financing Assumptions'!$O$26),0,IF('Mezz 1 Amortization'!$T$4="Monthly",INDEX('Mezz 1 Amortization'!$B$19:$V$379,MATCH(AF$11,'Mezz 1 Amortization'!$E$19:$E$379,0),MATCH('Mezz 1 Amortization'!$V$19,'Mezz 1 Amortization'!$B$19:$V$19,0)),IF(AND('Mezz 1 Amortization'!$T$4="Bi-Annual",AF$5&lt;MIN('Mezz 1 Amortization'!$R$4,'Mezz 1 Amortization'!$S$4)),INDEX('Mezz 1 Amortization'!$B$19:$V$379,MATCH(DATE(AF$7-1,MAX('Mezz 1 Amortization'!$R$4,'Mezz 1 Amortization'!$S$4),31),'Mezz 1 Amortization'!$E$19:$E$379,0),MATCH('Mezz 1 Amortization'!$V$19,'Mezz 1 Amortization'!$B$19:$V$19,0)),IF(AND('Mezz 1 Amortization'!$T$4="Bi-Annual",AF$5&gt;MAX('Mezz 1 Amortization'!$R$4,'Mezz 1 Amortization'!$S$4)),INDEX('Mezz 1 Amortization'!$B$19:$V$379,MATCH(DATE(AF$7,MAX('Mezz 1 Amortization'!$R$4,'Mezz 1 Amortization'!$S$4),31),'Mezz 1 Amortization'!$E$19:$E$379,0),MATCH('Mezz 1 Amortization'!$V$19,'Mezz 1 Amortization'!$B$19:$V$19,0)),IF(AND('Mezz 1 Amortization'!$T$4="Bi-Annual",AF$5&gt;MIN('Mezz 1 Amortization'!$R$4,'Mezz 1 Amortization'!$S$4),AF$5&lt;MAX('Mezz 1 Amortization'!$R$4,'Mezz 1 Amortization'!$S$4)),INDEX('Mezz 1 Amortization'!$B$19:$V$379,MATCH(DATE(AF$7,MIN('Mezz 1 Amortization'!$R$4,'Mezz 1 Amortization'!$S$4),31),'Mezz 1 Amortization'!$E$19:$E$379,0),MATCH('Mezz 1 Amortization'!$V$19,'Mezz 1 Amortization'!$B$19:$V$19,0)),IF(AND('Mezz 1 Amortization'!$T$4="Bi-Annual",AF$5='Mezz 1 Amortization'!$R$4),INDEX('Mezz 1 Amortization'!$B$19:$V$379,MATCH(DATE(AF$7,'Mezz 1 Amortization'!$R$4,31),'Mezz 1 Amortization'!$E$19:$E$379,0),MATCH('Mezz 1 Amortization'!$V$19,'Mezz 1 Amortization'!$B$19:$V$19,0)),IF(AND('Mezz 1 Amortization'!$T$4="Bi-Annual",AF$5='Mezz 1 Amortization'!$S$4),INDEX('Mezz 1 Amortization'!$B$19:$V$379,MATCH(DATE(AF$7,'Mezz 1 Amortization'!$S$4,31),'Mezz 1 Amortization'!$E$19:$E$379,0),MATCH('Mezz 1 Amortization'!$V$19,'Mezz 1 Amortization'!$B$19:$V$19,0)))))))))))</f>
        <v>0</v>
      </c>
      <c r="AG140" s="427">
        <f>IF('Financing Assumptions'!$P$8="No",0,IF(AG$9&lt;'Financing Assumptions'!$O$26,0,IF(AND('Mezz 1 Amortization'!$T$4&lt;&gt;"Monthly",AG9&lt;='Financing Assumptions'!$O$26),0,IF('Mezz 1 Amortization'!$T$4="Monthly",INDEX('Mezz 1 Amortization'!$B$19:$V$379,MATCH(AG$11,'Mezz 1 Amortization'!$E$19:$E$379,0),MATCH('Mezz 1 Amortization'!$V$19,'Mezz 1 Amortization'!$B$19:$V$19,0)),IF(AND('Mezz 1 Amortization'!$T$4="Bi-Annual",AG$5&lt;MIN('Mezz 1 Amortization'!$R$4,'Mezz 1 Amortization'!$S$4)),INDEX('Mezz 1 Amortization'!$B$19:$V$379,MATCH(DATE(AG$7-1,MAX('Mezz 1 Amortization'!$R$4,'Mezz 1 Amortization'!$S$4),31),'Mezz 1 Amortization'!$E$19:$E$379,0),MATCH('Mezz 1 Amortization'!$V$19,'Mezz 1 Amortization'!$B$19:$V$19,0)),IF(AND('Mezz 1 Amortization'!$T$4="Bi-Annual",AG$5&gt;MAX('Mezz 1 Amortization'!$R$4,'Mezz 1 Amortization'!$S$4)),INDEX('Mezz 1 Amortization'!$B$19:$V$379,MATCH(DATE(AG$7,MAX('Mezz 1 Amortization'!$R$4,'Mezz 1 Amortization'!$S$4),31),'Mezz 1 Amortization'!$E$19:$E$379,0),MATCH('Mezz 1 Amortization'!$V$19,'Mezz 1 Amortization'!$B$19:$V$19,0)),IF(AND('Mezz 1 Amortization'!$T$4="Bi-Annual",AG$5&gt;MIN('Mezz 1 Amortization'!$R$4,'Mezz 1 Amortization'!$S$4),AG$5&lt;MAX('Mezz 1 Amortization'!$R$4,'Mezz 1 Amortization'!$S$4)),INDEX('Mezz 1 Amortization'!$B$19:$V$379,MATCH(DATE(AG$7,MIN('Mezz 1 Amortization'!$R$4,'Mezz 1 Amortization'!$S$4),31),'Mezz 1 Amortization'!$E$19:$E$379,0),MATCH('Mezz 1 Amortization'!$V$19,'Mezz 1 Amortization'!$B$19:$V$19,0)),IF(AND('Mezz 1 Amortization'!$T$4="Bi-Annual",AG$5='Mezz 1 Amortization'!$R$4),INDEX('Mezz 1 Amortization'!$B$19:$V$379,MATCH(DATE(AG$7,'Mezz 1 Amortization'!$R$4,31),'Mezz 1 Amortization'!$E$19:$E$379,0),MATCH('Mezz 1 Amortization'!$V$19,'Mezz 1 Amortization'!$B$19:$V$19,0)),IF(AND('Mezz 1 Amortization'!$T$4="Bi-Annual",AG$5='Mezz 1 Amortization'!$S$4),INDEX('Mezz 1 Amortization'!$B$19:$V$379,MATCH(DATE(AG$7,'Mezz 1 Amortization'!$S$4,31),'Mezz 1 Amortization'!$E$19:$E$379,0),MATCH('Mezz 1 Amortization'!$V$19,'Mezz 1 Amortization'!$B$19:$V$19,0)))))))))))</f>
        <v>0</v>
      </c>
      <c r="AH140" s="427">
        <f>IF('Financing Assumptions'!$P$8="No",0,IF(AH$9&lt;'Financing Assumptions'!$O$26,0,IF(AND('Mezz 1 Amortization'!$T$4&lt;&gt;"Monthly",AH9&lt;='Financing Assumptions'!$O$26),0,IF('Mezz 1 Amortization'!$T$4="Monthly",INDEX('Mezz 1 Amortization'!$B$19:$V$379,MATCH(AH$11,'Mezz 1 Amortization'!$E$19:$E$379,0),MATCH('Mezz 1 Amortization'!$V$19,'Mezz 1 Amortization'!$B$19:$V$19,0)),IF(AND('Mezz 1 Amortization'!$T$4="Bi-Annual",AH$5&lt;MIN('Mezz 1 Amortization'!$R$4,'Mezz 1 Amortization'!$S$4)),INDEX('Mezz 1 Amortization'!$B$19:$V$379,MATCH(DATE(AH$7-1,MAX('Mezz 1 Amortization'!$R$4,'Mezz 1 Amortization'!$S$4),31),'Mezz 1 Amortization'!$E$19:$E$379,0),MATCH('Mezz 1 Amortization'!$V$19,'Mezz 1 Amortization'!$B$19:$V$19,0)),IF(AND('Mezz 1 Amortization'!$T$4="Bi-Annual",AH$5&gt;MAX('Mezz 1 Amortization'!$R$4,'Mezz 1 Amortization'!$S$4)),INDEX('Mezz 1 Amortization'!$B$19:$V$379,MATCH(DATE(AH$7,MAX('Mezz 1 Amortization'!$R$4,'Mezz 1 Amortization'!$S$4),31),'Mezz 1 Amortization'!$E$19:$E$379,0),MATCH('Mezz 1 Amortization'!$V$19,'Mezz 1 Amortization'!$B$19:$V$19,0)),IF(AND('Mezz 1 Amortization'!$T$4="Bi-Annual",AH$5&gt;MIN('Mezz 1 Amortization'!$R$4,'Mezz 1 Amortization'!$S$4),AH$5&lt;MAX('Mezz 1 Amortization'!$R$4,'Mezz 1 Amortization'!$S$4)),INDEX('Mezz 1 Amortization'!$B$19:$V$379,MATCH(DATE(AH$7,MIN('Mezz 1 Amortization'!$R$4,'Mezz 1 Amortization'!$S$4),31),'Mezz 1 Amortization'!$E$19:$E$379,0),MATCH('Mezz 1 Amortization'!$V$19,'Mezz 1 Amortization'!$B$19:$V$19,0)),IF(AND('Mezz 1 Amortization'!$T$4="Bi-Annual",AH$5='Mezz 1 Amortization'!$R$4),INDEX('Mezz 1 Amortization'!$B$19:$V$379,MATCH(DATE(AH$7,'Mezz 1 Amortization'!$R$4,31),'Mezz 1 Amortization'!$E$19:$E$379,0),MATCH('Mezz 1 Amortization'!$V$19,'Mezz 1 Amortization'!$B$19:$V$19,0)),IF(AND('Mezz 1 Amortization'!$T$4="Bi-Annual",AH$5='Mezz 1 Amortization'!$S$4),INDEX('Mezz 1 Amortization'!$B$19:$V$379,MATCH(DATE(AH$7,'Mezz 1 Amortization'!$S$4,31),'Mezz 1 Amortization'!$E$19:$E$379,0),MATCH('Mezz 1 Amortization'!$V$19,'Mezz 1 Amortization'!$B$19:$V$19,0)))))))))))</f>
        <v>0</v>
      </c>
      <c r="AI140" s="427">
        <f>IF('Financing Assumptions'!$P$8="No",0,IF(AI$9&lt;'Financing Assumptions'!$O$26,0,IF(AND('Mezz 1 Amortization'!$T$4&lt;&gt;"Monthly",AI9&lt;='Financing Assumptions'!$O$26),0,IF('Mezz 1 Amortization'!$T$4="Monthly",INDEX('Mezz 1 Amortization'!$B$19:$V$379,MATCH(AI$11,'Mezz 1 Amortization'!$E$19:$E$379,0),MATCH('Mezz 1 Amortization'!$V$19,'Mezz 1 Amortization'!$B$19:$V$19,0)),IF(AND('Mezz 1 Amortization'!$T$4="Bi-Annual",AI$5&lt;MIN('Mezz 1 Amortization'!$R$4,'Mezz 1 Amortization'!$S$4)),INDEX('Mezz 1 Amortization'!$B$19:$V$379,MATCH(DATE(AI$7-1,MAX('Mezz 1 Amortization'!$R$4,'Mezz 1 Amortization'!$S$4),31),'Mezz 1 Amortization'!$E$19:$E$379,0),MATCH('Mezz 1 Amortization'!$V$19,'Mezz 1 Amortization'!$B$19:$V$19,0)),IF(AND('Mezz 1 Amortization'!$T$4="Bi-Annual",AI$5&gt;MAX('Mezz 1 Amortization'!$R$4,'Mezz 1 Amortization'!$S$4)),INDEX('Mezz 1 Amortization'!$B$19:$V$379,MATCH(DATE(AI$7,MAX('Mezz 1 Amortization'!$R$4,'Mezz 1 Amortization'!$S$4),31),'Mezz 1 Amortization'!$E$19:$E$379,0),MATCH('Mezz 1 Amortization'!$V$19,'Mezz 1 Amortization'!$B$19:$V$19,0)),IF(AND('Mezz 1 Amortization'!$T$4="Bi-Annual",AI$5&gt;MIN('Mezz 1 Amortization'!$R$4,'Mezz 1 Amortization'!$S$4),AI$5&lt;MAX('Mezz 1 Amortization'!$R$4,'Mezz 1 Amortization'!$S$4)),INDEX('Mezz 1 Amortization'!$B$19:$V$379,MATCH(DATE(AI$7,MIN('Mezz 1 Amortization'!$R$4,'Mezz 1 Amortization'!$S$4),31),'Mezz 1 Amortization'!$E$19:$E$379,0),MATCH('Mezz 1 Amortization'!$V$19,'Mezz 1 Amortization'!$B$19:$V$19,0)),IF(AND('Mezz 1 Amortization'!$T$4="Bi-Annual",AI$5='Mezz 1 Amortization'!$R$4),INDEX('Mezz 1 Amortization'!$B$19:$V$379,MATCH(DATE(AI$7,'Mezz 1 Amortization'!$R$4,31),'Mezz 1 Amortization'!$E$19:$E$379,0),MATCH('Mezz 1 Amortization'!$V$19,'Mezz 1 Amortization'!$B$19:$V$19,0)),IF(AND('Mezz 1 Amortization'!$T$4="Bi-Annual",AI$5='Mezz 1 Amortization'!$S$4),INDEX('Mezz 1 Amortization'!$B$19:$V$379,MATCH(DATE(AI$7,'Mezz 1 Amortization'!$S$4,31),'Mezz 1 Amortization'!$E$19:$E$379,0),MATCH('Mezz 1 Amortization'!$V$19,'Mezz 1 Amortization'!$B$19:$V$19,0)))))))))))</f>
        <v>0</v>
      </c>
      <c r="AJ140" s="427">
        <f>IF('Financing Assumptions'!$P$8="No",0,IF(AJ$9&lt;'Financing Assumptions'!$O$26,0,IF(AND('Mezz 1 Amortization'!$T$4&lt;&gt;"Monthly",AJ9&lt;='Financing Assumptions'!$O$26),0,IF('Mezz 1 Amortization'!$T$4="Monthly",INDEX('Mezz 1 Amortization'!$B$19:$V$379,MATCH(AJ$11,'Mezz 1 Amortization'!$E$19:$E$379,0),MATCH('Mezz 1 Amortization'!$V$19,'Mezz 1 Amortization'!$B$19:$V$19,0)),IF(AND('Mezz 1 Amortization'!$T$4="Bi-Annual",AJ$5&lt;MIN('Mezz 1 Amortization'!$R$4,'Mezz 1 Amortization'!$S$4)),INDEX('Mezz 1 Amortization'!$B$19:$V$379,MATCH(DATE(AJ$7-1,MAX('Mezz 1 Amortization'!$R$4,'Mezz 1 Amortization'!$S$4),31),'Mezz 1 Amortization'!$E$19:$E$379,0),MATCH('Mezz 1 Amortization'!$V$19,'Mezz 1 Amortization'!$B$19:$V$19,0)),IF(AND('Mezz 1 Amortization'!$T$4="Bi-Annual",AJ$5&gt;MAX('Mezz 1 Amortization'!$R$4,'Mezz 1 Amortization'!$S$4)),INDEX('Mezz 1 Amortization'!$B$19:$V$379,MATCH(DATE(AJ$7,MAX('Mezz 1 Amortization'!$R$4,'Mezz 1 Amortization'!$S$4),31),'Mezz 1 Amortization'!$E$19:$E$379,0),MATCH('Mezz 1 Amortization'!$V$19,'Mezz 1 Amortization'!$B$19:$V$19,0)),IF(AND('Mezz 1 Amortization'!$T$4="Bi-Annual",AJ$5&gt;MIN('Mezz 1 Amortization'!$R$4,'Mezz 1 Amortization'!$S$4),AJ$5&lt;MAX('Mezz 1 Amortization'!$R$4,'Mezz 1 Amortization'!$S$4)),INDEX('Mezz 1 Amortization'!$B$19:$V$379,MATCH(DATE(AJ$7,MIN('Mezz 1 Amortization'!$R$4,'Mezz 1 Amortization'!$S$4),31),'Mezz 1 Amortization'!$E$19:$E$379,0),MATCH('Mezz 1 Amortization'!$V$19,'Mezz 1 Amortization'!$B$19:$V$19,0)),IF(AND('Mezz 1 Amortization'!$T$4="Bi-Annual",AJ$5='Mezz 1 Amortization'!$R$4),INDEX('Mezz 1 Amortization'!$B$19:$V$379,MATCH(DATE(AJ$7,'Mezz 1 Amortization'!$R$4,31),'Mezz 1 Amortization'!$E$19:$E$379,0),MATCH('Mezz 1 Amortization'!$V$19,'Mezz 1 Amortization'!$B$19:$V$19,0)),IF(AND('Mezz 1 Amortization'!$T$4="Bi-Annual",AJ$5='Mezz 1 Amortization'!$S$4),INDEX('Mezz 1 Amortization'!$B$19:$V$379,MATCH(DATE(AJ$7,'Mezz 1 Amortization'!$S$4,31),'Mezz 1 Amortization'!$E$19:$E$379,0),MATCH('Mezz 1 Amortization'!$V$19,'Mezz 1 Amortization'!$B$19:$V$19,0)))))))))))</f>
        <v>0</v>
      </c>
      <c r="AK140" s="427">
        <f>IF('Financing Assumptions'!$P$8="No",0,IF(AK$9&lt;'Financing Assumptions'!$O$26,0,IF(AND('Mezz 1 Amortization'!$T$4&lt;&gt;"Monthly",AK9&lt;='Financing Assumptions'!$O$26),0,IF('Mezz 1 Amortization'!$T$4="Monthly",INDEX('Mezz 1 Amortization'!$B$19:$V$379,MATCH(AK$11,'Mezz 1 Amortization'!$E$19:$E$379,0),MATCH('Mezz 1 Amortization'!$V$19,'Mezz 1 Amortization'!$B$19:$V$19,0)),IF(AND('Mezz 1 Amortization'!$T$4="Bi-Annual",AK$5&lt;MIN('Mezz 1 Amortization'!$R$4,'Mezz 1 Amortization'!$S$4)),INDEX('Mezz 1 Amortization'!$B$19:$V$379,MATCH(DATE(AK$7-1,MAX('Mezz 1 Amortization'!$R$4,'Mezz 1 Amortization'!$S$4),31),'Mezz 1 Amortization'!$E$19:$E$379,0),MATCH('Mezz 1 Amortization'!$V$19,'Mezz 1 Amortization'!$B$19:$V$19,0)),IF(AND('Mezz 1 Amortization'!$T$4="Bi-Annual",AK$5&gt;MAX('Mezz 1 Amortization'!$R$4,'Mezz 1 Amortization'!$S$4)),INDEX('Mezz 1 Amortization'!$B$19:$V$379,MATCH(DATE(AK$7,MAX('Mezz 1 Amortization'!$R$4,'Mezz 1 Amortization'!$S$4),31),'Mezz 1 Amortization'!$E$19:$E$379,0),MATCH('Mezz 1 Amortization'!$V$19,'Mezz 1 Amortization'!$B$19:$V$19,0)),IF(AND('Mezz 1 Amortization'!$T$4="Bi-Annual",AK$5&gt;MIN('Mezz 1 Amortization'!$R$4,'Mezz 1 Amortization'!$S$4),AK$5&lt;MAX('Mezz 1 Amortization'!$R$4,'Mezz 1 Amortization'!$S$4)),INDEX('Mezz 1 Amortization'!$B$19:$V$379,MATCH(DATE(AK$7,MIN('Mezz 1 Amortization'!$R$4,'Mezz 1 Amortization'!$S$4),31),'Mezz 1 Amortization'!$E$19:$E$379,0),MATCH('Mezz 1 Amortization'!$V$19,'Mezz 1 Amortization'!$B$19:$V$19,0)),IF(AND('Mezz 1 Amortization'!$T$4="Bi-Annual",AK$5='Mezz 1 Amortization'!$R$4),INDEX('Mezz 1 Amortization'!$B$19:$V$379,MATCH(DATE(AK$7,'Mezz 1 Amortization'!$R$4,31),'Mezz 1 Amortization'!$E$19:$E$379,0),MATCH('Mezz 1 Amortization'!$V$19,'Mezz 1 Amortization'!$B$19:$V$19,0)),IF(AND('Mezz 1 Amortization'!$T$4="Bi-Annual",AK$5='Mezz 1 Amortization'!$S$4),INDEX('Mezz 1 Amortization'!$B$19:$V$379,MATCH(DATE(AK$7,'Mezz 1 Amortization'!$S$4,31),'Mezz 1 Amortization'!$E$19:$E$379,0),MATCH('Mezz 1 Amortization'!$V$19,'Mezz 1 Amortization'!$B$19:$V$19,0)))))))))))</f>
        <v>0</v>
      </c>
      <c r="AL140" s="427">
        <f>IF('Financing Assumptions'!$P$8="No",0,IF(AL$9&lt;'Financing Assumptions'!$O$26,0,IF(AND('Mezz 1 Amortization'!$T$4&lt;&gt;"Monthly",AL9&lt;='Financing Assumptions'!$O$26),0,IF('Mezz 1 Amortization'!$T$4="Monthly",INDEX('Mezz 1 Amortization'!$B$19:$V$379,MATCH(AL$11,'Mezz 1 Amortization'!$E$19:$E$379,0),MATCH('Mezz 1 Amortization'!$V$19,'Mezz 1 Amortization'!$B$19:$V$19,0)),IF(AND('Mezz 1 Amortization'!$T$4="Bi-Annual",AL$5&lt;MIN('Mezz 1 Amortization'!$R$4,'Mezz 1 Amortization'!$S$4)),INDEX('Mezz 1 Amortization'!$B$19:$V$379,MATCH(DATE(AL$7-1,MAX('Mezz 1 Amortization'!$R$4,'Mezz 1 Amortization'!$S$4),31),'Mezz 1 Amortization'!$E$19:$E$379,0),MATCH('Mezz 1 Amortization'!$V$19,'Mezz 1 Amortization'!$B$19:$V$19,0)),IF(AND('Mezz 1 Amortization'!$T$4="Bi-Annual",AL$5&gt;MAX('Mezz 1 Amortization'!$R$4,'Mezz 1 Amortization'!$S$4)),INDEX('Mezz 1 Amortization'!$B$19:$V$379,MATCH(DATE(AL$7,MAX('Mezz 1 Amortization'!$R$4,'Mezz 1 Amortization'!$S$4),31),'Mezz 1 Amortization'!$E$19:$E$379,0),MATCH('Mezz 1 Amortization'!$V$19,'Mezz 1 Amortization'!$B$19:$V$19,0)),IF(AND('Mezz 1 Amortization'!$T$4="Bi-Annual",AL$5&gt;MIN('Mezz 1 Amortization'!$R$4,'Mezz 1 Amortization'!$S$4),AL$5&lt;MAX('Mezz 1 Amortization'!$R$4,'Mezz 1 Amortization'!$S$4)),INDEX('Mezz 1 Amortization'!$B$19:$V$379,MATCH(DATE(AL$7,MIN('Mezz 1 Amortization'!$R$4,'Mezz 1 Amortization'!$S$4),31),'Mezz 1 Amortization'!$E$19:$E$379,0),MATCH('Mezz 1 Amortization'!$V$19,'Mezz 1 Amortization'!$B$19:$V$19,0)),IF(AND('Mezz 1 Amortization'!$T$4="Bi-Annual",AL$5='Mezz 1 Amortization'!$R$4),INDEX('Mezz 1 Amortization'!$B$19:$V$379,MATCH(DATE(AL$7,'Mezz 1 Amortization'!$R$4,31),'Mezz 1 Amortization'!$E$19:$E$379,0),MATCH('Mezz 1 Amortization'!$V$19,'Mezz 1 Amortization'!$B$19:$V$19,0)),IF(AND('Mezz 1 Amortization'!$T$4="Bi-Annual",AL$5='Mezz 1 Amortization'!$S$4),INDEX('Mezz 1 Amortization'!$B$19:$V$379,MATCH(DATE(AL$7,'Mezz 1 Amortization'!$S$4,31),'Mezz 1 Amortization'!$E$19:$E$379,0),MATCH('Mezz 1 Amortization'!$V$19,'Mezz 1 Amortization'!$B$19:$V$19,0)))))))))))</f>
        <v>0</v>
      </c>
      <c r="AM140" s="427">
        <f>IF('Financing Assumptions'!$P$8="No",0,IF(AM$9&lt;'Financing Assumptions'!$O$26,0,IF(AND('Mezz 1 Amortization'!$T$4&lt;&gt;"Monthly",AM9&lt;='Financing Assumptions'!$O$26),0,IF('Mezz 1 Amortization'!$T$4="Monthly",INDEX('Mezz 1 Amortization'!$B$19:$V$379,MATCH(AM$11,'Mezz 1 Amortization'!$E$19:$E$379,0),MATCH('Mezz 1 Amortization'!$V$19,'Mezz 1 Amortization'!$B$19:$V$19,0)),IF(AND('Mezz 1 Amortization'!$T$4="Bi-Annual",AM$5&lt;MIN('Mezz 1 Amortization'!$R$4,'Mezz 1 Amortization'!$S$4)),INDEX('Mezz 1 Amortization'!$B$19:$V$379,MATCH(DATE(AM$7-1,MAX('Mezz 1 Amortization'!$R$4,'Mezz 1 Amortization'!$S$4),31),'Mezz 1 Amortization'!$E$19:$E$379,0),MATCH('Mezz 1 Amortization'!$V$19,'Mezz 1 Amortization'!$B$19:$V$19,0)),IF(AND('Mezz 1 Amortization'!$T$4="Bi-Annual",AM$5&gt;MAX('Mezz 1 Amortization'!$R$4,'Mezz 1 Amortization'!$S$4)),INDEX('Mezz 1 Amortization'!$B$19:$V$379,MATCH(DATE(AM$7,MAX('Mezz 1 Amortization'!$R$4,'Mezz 1 Amortization'!$S$4),31),'Mezz 1 Amortization'!$E$19:$E$379,0),MATCH('Mezz 1 Amortization'!$V$19,'Mezz 1 Amortization'!$B$19:$V$19,0)),IF(AND('Mezz 1 Amortization'!$T$4="Bi-Annual",AM$5&gt;MIN('Mezz 1 Amortization'!$R$4,'Mezz 1 Amortization'!$S$4),AM$5&lt;MAX('Mezz 1 Amortization'!$R$4,'Mezz 1 Amortization'!$S$4)),INDEX('Mezz 1 Amortization'!$B$19:$V$379,MATCH(DATE(AM$7,MIN('Mezz 1 Amortization'!$R$4,'Mezz 1 Amortization'!$S$4),31),'Mezz 1 Amortization'!$E$19:$E$379,0),MATCH('Mezz 1 Amortization'!$V$19,'Mezz 1 Amortization'!$B$19:$V$19,0)),IF(AND('Mezz 1 Amortization'!$T$4="Bi-Annual",AM$5='Mezz 1 Amortization'!$R$4),INDEX('Mezz 1 Amortization'!$B$19:$V$379,MATCH(DATE(AM$7,'Mezz 1 Amortization'!$R$4,31),'Mezz 1 Amortization'!$E$19:$E$379,0),MATCH('Mezz 1 Amortization'!$V$19,'Mezz 1 Amortization'!$B$19:$V$19,0)),IF(AND('Mezz 1 Amortization'!$T$4="Bi-Annual",AM$5='Mezz 1 Amortization'!$S$4),INDEX('Mezz 1 Amortization'!$B$19:$V$379,MATCH(DATE(AM$7,'Mezz 1 Amortization'!$S$4,31),'Mezz 1 Amortization'!$E$19:$E$379,0),MATCH('Mezz 1 Amortization'!$V$19,'Mezz 1 Amortization'!$B$19:$V$19,0)))))))))))</f>
        <v>0</v>
      </c>
      <c r="AN140" s="427">
        <f>IF('Financing Assumptions'!$P$8="No",0,IF(AN$9&lt;'Financing Assumptions'!$O$26,0,IF(AND('Mezz 1 Amortization'!$T$4&lt;&gt;"Monthly",AN9&lt;='Financing Assumptions'!$O$26),0,IF('Mezz 1 Amortization'!$T$4="Monthly",INDEX('Mezz 1 Amortization'!$B$19:$V$379,MATCH(AN$11,'Mezz 1 Amortization'!$E$19:$E$379,0),MATCH('Mezz 1 Amortization'!$V$19,'Mezz 1 Amortization'!$B$19:$V$19,0)),IF(AND('Mezz 1 Amortization'!$T$4="Bi-Annual",AN$5&lt;MIN('Mezz 1 Amortization'!$R$4,'Mezz 1 Amortization'!$S$4)),INDEX('Mezz 1 Amortization'!$B$19:$V$379,MATCH(DATE(AN$7-1,MAX('Mezz 1 Amortization'!$R$4,'Mezz 1 Amortization'!$S$4),31),'Mezz 1 Amortization'!$E$19:$E$379,0),MATCH('Mezz 1 Amortization'!$V$19,'Mezz 1 Amortization'!$B$19:$V$19,0)),IF(AND('Mezz 1 Amortization'!$T$4="Bi-Annual",AN$5&gt;MAX('Mezz 1 Amortization'!$R$4,'Mezz 1 Amortization'!$S$4)),INDEX('Mezz 1 Amortization'!$B$19:$V$379,MATCH(DATE(AN$7,MAX('Mezz 1 Amortization'!$R$4,'Mezz 1 Amortization'!$S$4),31),'Mezz 1 Amortization'!$E$19:$E$379,0),MATCH('Mezz 1 Amortization'!$V$19,'Mezz 1 Amortization'!$B$19:$V$19,0)),IF(AND('Mezz 1 Amortization'!$T$4="Bi-Annual",AN$5&gt;MIN('Mezz 1 Amortization'!$R$4,'Mezz 1 Amortization'!$S$4),AN$5&lt;MAX('Mezz 1 Amortization'!$R$4,'Mezz 1 Amortization'!$S$4)),INDEX('Mezz 1 Amortization'!$B$19:$V$379,MATCH(DATE(AN$7,MIN('Mezz 1 Amortization'!$R$4,'Mezz 1 Amortization'!$S$4),31),'Mezz 1 Amortization'!$E$19:$E$379,0),MATCH('Mezz 1 Amortization'!$V$19,'Mezz 1 Amortization'!$B$19:$V$19,0)),IF(AND('Mezz 1 Amortization'!$T$4="Bi-Annual",AN$5='Mezz 1 Amortization'!$R$4),INDEX('Mezz 1 Amortization'!$B$19:$V$379,MATCH(DATE(AN$7,'Mezz 1 Amortization'!$R$4,31),'Mezz 1 Amortization'!$E$19:$E$379,0),MATCH('Mezz 1 Amortization'!$V$19,'Mezz 1 Amortization'!$B$19:$V$19,0)),IF(AND('Mezz 1 Amortization'!$T$4="Bi-Annual",AN$5='Mezz 1 Amortization'!$S$4),INDEX('Mezz 1 Amortization'!$B$19:$V$379,MATCH(DATE(AN$7,'Mezz 1 Amortization'!$S$4,31),'Mezz 1 Amortization'!$E$19:$E$379,0),MATCH('Mezz 1 Amortization'!$V$19,'Mezz 1 Amortization'!$B$19:$V$19,0)))))))))))</f>
        <v>0</v>
      </c>
      <c r="AO140" s="427">
        <f>IF('Financing Assumptions'!$P$8="No",0,IF(AO$9&lt;'Financing Assumptions'!$O$26,0,IF(AND('Mezz 1 Amortization'!$T$4&lt;&gt;"Monthly",AO9&lt;='Financing Assumptions'!$O$26),0,IF('Mezz 1 Amortization'!$T$4="Monthly",INDEX('Mezz 1 Amortization'!$B$19:$V$379,MATCH(AO$11,'Mezz 1 Amortization'!$E$19:$E$379,0),MATCH('Mezz 1 Amortization'!$V$19,'Mezz 1 Amortization'!$B$19:$V$19,0)),IF(AND('Mezz 1 Amortization'!$T$4="Bi-Annual",AO$5&lt;MIN('Mezz 1 Amortization'!$R$4,'Mezz 1 Amortization'!$S$4)),INDEX('Mezz 1 Amortization'!$B$19:$V$379,MATCH(DATE(AO$7-1,MAX('Mezz 1 Amortization'!$R$4,'Mezz 1 Amortization'!$S$4),31),'Mezz 1 Amortization'!$E$19:$E$379,0),MATCH('Mezz 1 Amortization'!$V$19,'Mezz 1 Amortization'!$B$19:$V$19,0)),IF(AND('Mezz 1 Amortization'!$T$4="Bi-Annual",AO$5&gt;MAX('Mezz 1 Amortization'!$R$4,'Mezz 1 Amortization'!$S$4)),INDEX('Mezz 1 Amortization'!$B$19:$V$379,MATCH(DATE(AO$7,MAX('Mezz 1 Amortization'!$R$4,'Mezz 1 Amortization'!$S$4),31),'Mezz 1 Amortization'!$E$19:$E$379,0),MATCH('Mezz 1 Amortization'!$V$19,'Mezz 1 Amortization'!$B$19:$V$19,0)),IF(AND('Mezz 1 Amortization'!$T$4="Bi-Annual",AO$5&gt;MIN('Mezz 1 Amortization'!$R$4,'Mezz 1 Amortization'!$S$4),AO$5&lt;MAX('Mezz 1 Amortization'!$R$4,'Mezz 1 Amortization'!$S$4)),INDEX('Mezz 1 Amortization'!$B$19:$V$379,MATCH(DATE(AO$7,MIN('Mezz 1 Amortization'!$R$4,'Mezz 1 Amortization'!$S$4),31),'Mezz 1 Amortization'!$E$19:$E$379,0),MATCH('Mezz 1 Amortization'!$V$19,'Mezz 1 Amortization'!$B$19:$V$19,0)),IF(AND('Mezz 1 Amortization'!$T$4="Bi-Annual",AO$5='Mezz 1 Amortization'!$R$4),INDEX('Mezz 1 Amortization'!$B$19:$V$379,MATCH(DATE(AO$7,'Mezz 1 Amortization'!$R$4,31),'Mezz 1 Amortization'!$E$19:$E$379,0),MATCH('Mezz 1 Amortization'!$V$19,'Mezz 1 Amortization'!$B$19:$V$19,0)),IF(AND('Mezz 1 Amortization'!$T$4="Bi-Annual",AO$5='Mezz 1 Amortization'!$S$4),INDEX('Mezz 1 Amortization'!$B$19:$V$379,MATCH(DATE(AO$7,'Mezz 1 Amortization'!$S$4,31),'Mezz 1 Amortization'!$E$19:$E$379,0),MATCH('Mezz 1 Amortization'!$V$19,'Mezz 1 Amortization'!$B$19:$V$19,0)))))))))))</f>
        <v>0</v>
      </c>
      <c r="AP140" s="427">
        <f>IF('Financing Assumptions'!$P$8="No",0,IF(AP$9&lt;'Financing Assumptions'!$O$26,0,IF(AND('Mezz 1 Amortization'!$T$4&lt;&gt;"Monthly",AP9&lt;='Financing Assumptions'!$O$26),0,IF('Mezz 1 Amortization'!$T$4="Monthly",INDEX('Mezz 1 Amortization'!$B$19:$V$379,MATCH(AP$11,'Mezz 1 Amortization'!$E$19:$E$379,0),MATCH('Mezz 1 Amortization'!$V$19,'Mezz 1 Amortization'!$B$19:$V$19,0)),IF(AND('Mezz 1 Amortization'!$T$4="Bi-Annual",AP$5&lt;MIN('Mezz 1 Amortization'!$R$4,'Mezz 1 Amortization'!$S$4)),INDEX('Mezz 1 Amortization'!$B$19:$V$379,MATCH(DATE(AP$7-1,MAX('Mezz 1 Amortization'!$R$4,'Mezz 1 Amortization'!$S$4),31),'Mezz 1 Amortization'!$E$19:$E$379,0),MATCH('Mezz 1 Amortization'!$V$19,'Mezz 1 Amortization'!$B$19:$V$19,0)),IF(AND('Mezz 1 Amortization'!$T$4="Bi-Annual",AP$5&gt;MAX('Mezz 1 Amortization'!$R$4,'Mezz 1 Amortization'!$S$4)),INDEX('Mezz 1 Amortization'!$B$19:$V$379,MATCH(DATE(AP$7,MAX('Mezz 1 Amortization'!$R$4,'Mezz 1 Amortization'!$S$4),31),'Mezz 1 Amortization'!$E$19:$E$379,0),MATCH('Mezz 1 Amortization'!$V$19,'Mezz 1 Amortization'!$B$19:$V$19,0)),IF(AND('Mezz 1 Amortization'!$T$4="Bi-Annual",AP$5&gt;MIN('Mezz 1 Amortization'!$R$4,'Mezz 1 Amortization'!$S$4),AP$5&lt;MAX('Mezz 1 Amortization'!$R$4,'Mezz 1 Amortization'!$S$4)),INDEX('Mezz 1 Amortization'!$B$19:$V$379,MATCH(DATE(AP$7,MIN('Mezz 1 Amortization'!$R$4,'Mezz 1 Amortization'!$S$4),31),'Mezz 1 Amortization'!$E$19:$E$379,0),MATCH('Mezz 1 Amortization'!$V$19,'Mezz 1 Amortization'!$B$19:$V$19,0)),IF(AND('Mezz 1 Amortization'!$T$4="Bi-Annual",AP$5='Mezz 1 Amortization'!$R$4),INDEX('Mezz 1 Amortization'!$B$19:$V$379,MATCH(DATE(AP$7,'Mezz 1 Amortization'!$R$4,31),'Mezz 1 Amortization'!$E$19:$E$379,0),MATCH('Mezz 1 Amortization'!$V$19,'Mezz 1 Amortization'!$B$19:$V$19,0)),IF(AND('Mezz 1 Amortization'!$T$4="Bi-Annual",AP$5='Mezz 1 Amortization'!$S$4),INDEX('Mezz 1 Amortization'!$B$19:$V$379,MATCH(DATE(AP$7,'Mezz 1 Amortization'!$S$4,31),'Mezz 1 Amortization'!$E$19:$E$379,0),MATCH('Mezz 1 Amortization'!$V$19,'Mezz 1 Amortization'!$B$19:$V$19,0)))))))))))</f>
        <v>0</v>
      </c>
      <c r="AQ140" s="427">
        <f>IF('Financing Assumptions'!$P$8="No",0,IF(AQ$9&lt;'Financing Assumptions'!$O$26,0,IF(AND('Mezz 1 Amortization'!$T$4&lt;&gt;"Monthly",AQ9&lt;='Financing Assumptions'!$O$26),0,IF('Mezz 1 Amortization'!$T$4="Monthly",INDEX('Mezz 1 Amortization'!$B$19:$V$379,MATCH(AQ$11,'Mezz 1 Amortization'!$E$19:$E$379,0),MATCH('Mezz 1 Amortization'!$V$19,'Mezz 1 Amortization'!$B$19:$V$19,0)),IF(AND('Mezz 1 Amortization'!$T$4="Bi-Annual",AQ$5&lt;MIN('Mezz 1 Amortization'!$R$4,'Mezz 1 Amortization'!$S$4)),INDEX('Mezz 1 Amortization'!$B$19:$V$379,MATCH(DATE(AQ$7-1,MAX('Mezz 1 Amortization'!$R$4,'Mezz 1 Amortization'!$S$4),31),'Mezz 1 Amortization'!$E$19:$E$379,0),MATCH('Mezz 1 Amortization'!$V$19,'Mezz 1 Amortization'!$B$19:$V$19,0)),IF(AND('Mezz 1 Amortization'!$T$4="Bi-Annual",AQ$5&gt;MAX('Mezz 1 Amortization'!$R$4,'Mezz 1 Amortization'!$S$4)),INDEX('Mezz 1 Amortization'!$B$19:$V$379,MATCH(DATE(AQ$7,MAX('Mezz 1 Amortization'!$R$4,'Mezz 1 Amortization'!$S$4),31),'Mezz 1 Amortization'!$E$19:$E$379,0),MATCH('Mezz 1 Amortization'!$V$19,'Mezz 1 Amortization'!$B$19:$V$19,0)),IF(AND('Mezz 1 Amortization'!$T$4="Bi-Annual",AQ$5&gt;MIN('Mezz 1 Amortization'!$R$4,'Mezz 1 Amortization'!$S$4),AQ$5&lt;MAX('Mezz 1 Amortization'!$R$4,'Mezz 1 Amortization'!$S$4)),INDEX('Mezz 1 Amortization'!$B$19:$V$379,MATCH(DATE(AQ$7,MIN('Mezz 1 Amortization'!$R$4,'Mezz 1 Amortization'!$S$4),31),'Mezz 1 Amortization'!$E$19:$E$379,0),MATCH('Mezz 1 Amortization'!$V$19,'Mezz 1 Amortization'!$B$19:$V$19,0)),IF(AND('Mezz 1 Amortization'!$T$4="Bi-Annual",AQ$5='Mezz 1 Amortization'!$R$4),INDEX('Mezz 1 Amortization'!$B$19:$V$379,MATCH(DATE(AQ$7,'Mezz 1 Amortization'!$R$4,31),'Mezz 1 Amortization'!$E$19:$E$379,0),MATCH('Mezz 1 Amortization'!$V$19,'Mezz 1 Amortization'!$B$19:$V$19,0)),IF(AND('Mezz 1 Amortization'!$T$4="Bi-Annual",AQ$5='Mezz 1 Amortization'!$S$4),INDEX('Mezz 1 Amortization'!$B$19:$V$379,MATCH(DATE(AQ$7,'Mezz 1 Amortization'!$S$4,31),'Mezz 1 Amortization'!$E$19:$E$379,0),MATCH('Mezz 1 Amortization'!$V$19,'Mezz 1 Amortization'!$B$19:$V$19,0)))))))))))</f>
        <v>0</v>
      </c>
      <c r="AR140" s="427">
        <f>IF('Financing Assumptions'!$P$8="No",0,IF(AR$9&lt;'Financing Assumptions'!$O$26,0,IF(AND('Mezz 1 Amortization'!$T$4&lt;&gt;"Monthly",AR9&lt;='Financing Assumptions'!$O$26),0,IF('Mezz 1 Amortization'!$T$4="Monthly",INDEX('Mezz 1 Amortization'!$B$19:$V$379,MATCH(AR$11,'Mezz 1 Amortization'!$E$19:$E$379,0),MATCH('Mezz 1 Amortization'!$V$19,'Mezz 1 Amortization'!$B$19:$V$19,0)),IF(AND('Mezz 1 Amortization'!$T$4="Bi-Annual",AR$5&lt;MIN('Mezz 1 Amortization'!$R$4,'Mezz 1 Amortization'!$S$4)),INDEX('Mezz 1 Amortization'!$B$19:$V$379,MATCH(DATE(AR$7-1,MAX('Mezz 1 Amortization'!$R$4,'Mezz 1 Amortization'!$S$4),31),'Mezz 1 Amortization'!$E$19:$E$379,0),MATCH('Mezz 1 Amortization'!$V$19,'Mezz 1 Amortization'!$B$19:$V$19,0)),IF(AND('Mezz 1 Amortization'!$T$4="Bi-Annual",AR$5&gt;MAX('Mezz 1 Amortization'!$R$4,'Mezz 1 Amortization'!$S$4)),INDEX('Mezz 1 Amortization'!$B$19:$V$379,MATCH(DATE(AR$7,MAX('Mezz 1 Amortization'!$R$4,'Mezz 1 Amortization'!$S$4),31),'Mezz 1 Amortization'!$E$19:$E$379,0),MATCH('Mezz 1 Amortization'!$V$19,'Mezz 1 Amortization'!$B$19:$V$19,0)),IF(AND('Mezz 1 Amortization'!$T$4="Bi-Annual",AR$5&gt;MIN('Mezz 1 Amortization'!$R$4,'Mezz 1 Amortization'!$S$4),AR$5&lt;MAX('Mezz 1 Amortization'!$R$4,'Mezz 1 Amortization'!$S$4)),INDEX('Mezz 1 Amortization'!$B$19:$V$379,MATCH(DATE(AR$7,MIN('Mezz 1 Amortization'!$R$4,'Mezz 1 Amortization'!$S$4),31),'Mezz 1 Amortization'!$E$19:$E$379,0),MATCH('Mezz 1 Amortization'!$V$19,'Mezz 1 Amortization'!$B$19:$V$19,0)),IF(AND('Mezz 1 Amortization'!$T$4="Bi-Annual",AR$5='Mezz 1 Amortization'!$R$4),INDEX('Mezz 1 Amortization'!$B$19:$V$379,MATCH(DATE(AR$7,'Mezz 1 Amortization'!$R$4,31),'Mezz 1 Amortization'!$E$19:$E$379,0),MATCH('Mezz 1 Amortization'!$V$19,'Mezz 1 Amortization'!$B$19:$V$19,0)),IF(AND('Mezz 1 Amortization'!$T$4="Bi-Annual",AR$5='Mezz 1 Amortization'!$S$4),INDEX('Mezz 1 Amortization'!$B$19:$V$379,MATCH(DATE(AR$7,'Mezz 1 Amortization'!$S$4,31),'Mezz 1 Amortization'!$E$19:$E$379,0),MATCH('Mezz 1 Amortization'!$V$19,'Mezz 1 Amortization'!$B$19:$V$19,0)))))))))))</f>
        <v>0</v>
      </c>
      <c r="AS140" s="427">
        <f>IF('Financing Assumptions'!$P$8="No",0,IF(AS$9&lt;'Financing Assumptions'!$O$26,0,IF(AND('Mezz 1 Amortization'!$T$4&lt;&gt;"Monthly",AS9&lt;='Financing Assumptions'!$O$26),0,IF('Mezz 1 Amortization'!$T$4="Monthly",INDEX('Mezz 1 Amortization'!$B$19:$V$379,MATCH(AS$11,'Mezz 1 Amortization'!$E$19:$E$379,0),MATCH('Mezz 1 Amortization'!$V$19,'Mezz 1 Amortization'!$B$19:$V$19,0)),IF(AND('Mezz 1 Amortization'!$T$4="Bi-Annual",AS$5&lt;MIN('Mezz 1 Amortization'!$R$4,'Mezz 1 Amortization'!$S$4)),INDEX('Mezz 1 Amortization'!$B$19:$V$379,MATCH(DATE(AS$7-1,MAX('Mezz 1 Amortization'!$R$4,'Mezz 1 Amortization'!$S$4),31),'Mezz 1 Amortization'!$E$19:$E$379,0),MATCH('Mezz 1 Amortization'!$V$19,'Mezz 1 Amortization'!$B$19:$V$19,0)),IF(AND('Mezz 1 Amortization'!$T$4="Bi-Annual",AS$5&gt;MAX('Mezz 1 Amortization'!$R$4,'Mezz 1 Amortization'!$S$4)),INDEX('Mezz 1 Amortization'!$B$19:$V$379,MATCH(DATE(AS$7,MAX('Mezz 1 Amortization'!$R$4,'Mezz 1 Amortization'!$S$4),31),'Mezz 1 Amortization'!$E$19:$E$379,0),MATCH('Mezz 1 Amortization'!$V$19,'Mezz 1 Amortization'!$B$19:$V$19,0)),IF(AND('Mezz 1 Amortization'!$T$4="Bi-Annual",AS$5&gt;MIN('Mezz 1 Amortization'!$R$4,'Mezz 1 Amortization'!$S$4),AS$5&lt;MAX('Mezz 1 Amortization'!$R$4,'Mezz 1 Amortization'!$S$4)),INDEX('Mezz 1 Amortization'!$B$19:$V$379,MATCH(DATE(AS$7,MIN('Mezz 1 Amortization'!$R$4,'Mezz 1 Amortization'!$S$4),31),'Mezz 1 Amortization'!$E$19:$E$379,0),MATCH('Mezz 1 Amortization'!$V$19,'Mezz 1 Amortization'!$B$19:$V$19,0)),IF(AND('Mezz 1 Amortization'!$T$4="Bi-Annual",AS$5='Mezz 1 Amortization'!$R$4),INDEX('Mezz 1 Amortization'!$B$19:$V$379,MATCH(DATE(AS$7,'Mezz 1 Amortization'!$R$4,31),'Mezz 1 Amortization'!$E$19:$E$379,0),MATCH('Mezz 1 Amortization'!$V$19,'Mezz 1 Amortization'!$B$19:$V$19,0)),IF(AND('Mezz 1 Amortization'!$T$4="Bi-Annual",AS$5='Mezz 1 Amortization'!$S$4),INDEX('Mezz 1 Amortization'!$B$19:$V$379,MATCH(DATE(AS$7,'Mezz 1 Amortization'!$S$4,31),'Mezz 1 Amortization'!$E$19:$E$379,0),MATCH('Mezz 1 Amortization'!$V$19,'Mezz 1 Amortization'!$B$19:$V$19,0)))))))))))</f>
        <v>0</v>
      </c>
      <c r="AT140" s="427">
        <f>IF('Financing Assumptions'!$P$8="No",0,IF(AT$9&lt;'Financing Assumptions'!$O$26,0,IF(AND('Mezz 1 Amortization'!$T$4&lt;&gt;"Monthly",AT9&lt;='Financing Assumptions'!$O$26),0,IF('Mezz 1 Amortization'!$T$4="Monthly",INDEX('Mezz 1 Amortization'!$B$19:$V$379,MATCH(AT$11,'Mezz 1 Amortization'!$E$19:$E$379,0),MATCH('Mezz 1 Amortization'!$V$19,'Mezz 1 Amortization'!$B$19:$V$19,0)),IF(AND('Mezz 1 Amortization'!$T$4="Bi-Annual",AT$5&lt;MIN('Mezz 1 Amortization'!$R$4,'Mezz 1 Amortization'!$S$4)),INDEX('Mezz 1 Amortization'!$B$19:$V$379,MATCH(DATE(AT$7-1,MAX('Mezz 1 Amortization'!$R$4,'Mezz 1 Amortization'!$S$4),31),'Mezz 1 Amortization'!$E$19:$E$379,0),MATCH('Mezz 1 Amortization'!$V$19,'Mezz 1 Amortization'!$B$19:$V$19,0)),IF(AND('Mezz 1 Amortization'!$T$4="Bi-Annual",AT$5&gt;MAX('Mezz 1 Amortization'!$R$4,'Mezz 1 Amortization'!$S$4)),INDEX('Mezz 1 Amortization'!$B$19:$V$379,MATCH(DATE(AT$7,MAX('Mezz 1 Amortization'!$R$4,'Mezz 1 Amortization'!$S$4),31),'Mezz 1 Amortization'!$E$19:$E$379,0),MATCH('Mezz 1 Amortization'!$V$19,'Mezz 1 Amortization'!$B$19:$V$19,0)),IF(AND('Mezz 1 Amortization'!$T$4="Bi-Annual",AT$5&gt;MIN('Mezz 1 Amortization'!$R$4,'Mezz 1 Amortization'!$S$4),AT$5&lt;MAX('Mezz 1 Amortization'!$R$4,'Mezz 1 Amortization'!$S$4)),INDEX('Mezz 1 Amortization'!$B$19:$V$379,MATCH(DATE(AT$7,MIN('Mezz 1 Amortization'!$R$4,'Mezz 1 Amortization'!$S$4),31),'Mezz 1 Amortization'!$E$19:$E$379,0),MATCH('Mezz 1 Amortization'!$V$19,'Mezz 1 Amortization'!$B$19:$V$19,0)),IF(AND('Mezz 1 Amortization'!$T$4="Bi-Annual",AT$5='Mezz 1 Amortization'!$R$4),INDEX('Mezz 1 Amortization'!$B$19:$V$379,MATCH(DATE(AT$7,'Mezz 1 Amortization'!$R$4,31),'Mezz 1 Amortization'!$E$19:$E$379,0),MATCH('Mezz 1 Amortization'!$V$19,'Mezz 1 Amortization'!$B$19:$V$19,0)),IF(AND('Mezz 1 Amortization'!$T$4="Bi-Annual",AT$5='Mezz 1 Amortization'!$S$4),INDEX('Mezz 1 Amortization'!$B$19:$V$379,MATCH(DATE(AT$7,'Mezz 1 Amortization'!$S$4,31),'Mezz 1 Amortization'!$E$19:$E$379,0),MATCH('Mezz 1 Amortization'!$V$19,'Mezz 1 Amortization'!$B$19:$V$19,0)))))))))))</f>
        <v>0</v>
      </c>
      <c r="AU140" s="427">
        <f>IF('Financing Assumptions'!$P$8="No",0,IF(AU$9&lt;'Financing Assumptions'!$O$26,0,IF(AND('Mezz 1 Amortization'!$T$4&lt;&gt;"Monthly",AU9&lt;='Financing Assumptions'!$O$26),0,IF('Mezz 1 Amortization'!$T$4="Monthly",INDEX('Mezz 1 Amortization'!$B$19:$V$379,MATCH(AU$11,'Mezz 1 Amortization'!$E$19:$E$379,0),MATCH('Mezz 1 Amortization'!$V$19,'Mezz 1 Amortization'!$B$19:$V$19,0)),IF(AND('Mezz 1 Amortization'!$T$4="Bi-Annual",AU$5&lt;MIN('Mezz 1 Amortization'!$R$4,'Mezz 1 Amortization'!$S$4)),INDEX('Mezz 1 Amortization'!$B$19:$V$379,MATCH(DATE(AU$7-1,MAX('Mezz 1 Amortization'!$R$4,'Mezz 1 Amortization'!$S$4),31),'Mezz 1 Amortization'!$E$19:$E$379,0),MATCH('Mezz 1 Amortization'!$V$19,'Mezz 1 Amortization'!$B$19:$V$19,0)),IF(AND('Mezz 1 Amortization'!$T$4="Bi-Annual",AU$5&gt;MAX('Mezz 1 Amortization'!$R$4,'Mezz 1 Amortization'!$S$4)),INDEX('Mezz 1 Amortization'!$B$19:$V$379,MATCH(DATE(AU$7,MAX('Mezz 1 Amortization'!$R$4,'Mezz 1 Amortization'!$S$4),31),'Mezz 1 Amortization'!$E$19:$E$379,0),MATCH('Mezz 1 Amortization'!$V$19,'Mezz 1 Amortization'!$B$19:$V$19,0)),IF(AND('Mezz 1 Amortization'!$T$4="Bi-Annual",AU$5&gt;MIN('Mezz 1 Amortization'!$R$4,'Mezz 1 Amortization'!$S$4),AU$5&lt;MAX('Mezz 1 Amortization'!$R$4,'Mezz 1 Amortization'!$S$4)),INDEX('Mezz 1 Amortization'!$B$19:$V$379,MATCH(DATE(AU$7,MIN('Mezz 1 Amortization'!$R$4,'Mezz 1 Amortization'!$S$4),31),'Mezz 1 Amortization'!$E$19:$E$379,0),MATCH('Mezz 1 Amortization'!$V$19,'Mezz 1 Amortization'!$B$19:$V$19,0)),IF(AND('Mezz 1 Amortization'!$T$4="Bi-Annual",AU$5='Mezz 1 Amortization'!$R$4),INDEX('Mezz 1 Amortization'!$B$19:$V$379,MATCH(DATE(AU$7,'Mezz 1 Amortization'!$R$4,31),'Mezz 1 Amortization'!$E$19:$E$379,0),MATCH('Mezz 1 Amortization'!$V$19,'Mezz 1 Amortization'!$B$19:$V$19,0)),IF(AND('Mezz 1 Amortization'!$T$4="Bi-Annual",AU$5='Mezz 1 Amortization'!$S$4),INDEX('Mezz 1 Amortization'!$B$19:$V$379,MATCH(DATE(AU$7,'Mezz 1 Amortization'!$S$4,31),'Mezz 1 Amortization'!$E$19:$E$379,0),MATCH('Mezz 1 Amortization'!$V$19,'Mezz 1 Amortization'!$B$19:$V$19,0)))))))))))</f>
        <v>0</v>
      </c>
      <c r="AV140" s="427">
        <f>IF('Financing Assumptions'!$P$8="No",0,IF(AV$9&lt;'Financing Assumptions'!$O$26,0,IF(AND('Mezz 1 Amortization'!$T$4&lt;&gt;"Monthly",AV9&lt;='Financing Assumptions'!$O$26),0,IF('Mezz 1 Amortization'!$T$4="Monthly",INDEX('Mezz 1 Amortization'!$B$19:$V$379,MATCH(AV$11,'Mezz 1 Amortization'!$E$19:$E$379,0),MATCH('Mezz 1 Amortization'!$V$19,'Mezz 1 Amortization'!$B$19:$V$19,0)),IF(AND('Mezz 1 Amortization'!$T$4="Bi-Annual",AV$5&lt;MIN('Mezz 1 Amortization'!$R$4,'Mezz 1 Amortization'!$S$4)),INDEX('Mezz 1 Amortization'!$B$19:$V$379,MATCH(DATE(AV$7-1,MAX('Mezz 1 Amortization'!$R$4,'Mezz 1 Amortization'!$S$4),31),'Mezz 1 Amortization'!$E$19:$E$379,0),MATCH('Mezz 1 Amortization'!$V$19,'Mezz 1 Amortization'!$B$19:$V$19,0)),IF(AND('Mezz 1 Amortization'!$T$4="Bi-Annual",AV$5&gt;MAX('Mezz 1 Amortization'!$R$4,'Mezz 1 Amortization'!$S$4)),INDEX('Mezz 1 Amortization'!$B$19:$V$379,MATCH(DATE(AV$7,MAX('Mezz 1 Amortization'!$R$4,'Mezz 1 Amortization'!$S$4),31),'Mezz 1 Amortization'!$E$19:$E$379,0),MATCH('Mezz 1 Amortization'!$V$19,'Mezz 1 Amortization'!$B$19:$V$19,0)),IF(AND('Mezz 1 Amortization'!$T$4="Bi-Annual",AV$5&gt;MIN('Mezz 1 Amortization'!$R$4,'Mezz 1 Amortization'!$S$4),AV$5&lt;MAX('Mezz 1 Amortization'!$R$4,'Mezz 1 Amortization'!$S$4)),INDEX('Mezz 1 Amortization'!$B$19:$V$379,MATCH(DATE(AV$7,MIN('Mezz 1 Amortization'!$R$4,'Mezz 1 Amortization'!$S$4),31),'Mezz 1 Amortization'!$E$19:$E$379,0),MATCH('Mezz 1 Amortization'!$V$19,'Mezz 1 Amortization'!$B$19:$V$19,0)),IF(AND('Mezz 1 Amortization'!$T$4="Bi-Annual",AV$5='Mezz 1 Amortization'!$R$4),INDEX('Mezz 1 Amortization'!$B$19:$V$379,MATCH(DATE(AV$7,'Mezz 1 Amortization'!$R$4,31),'Mezz 1 Amortization'!$E$19:$E$379,0),MATCH('Mezz 1 Amortization'!$V$19,'Mezz 1 Amortization'!$B$19:$V$19,0)),IF(AND('Mezz 1 Amortization'!$T$4="Bi-Annual",AV$5='Mezz 1 Amortization'!$S$4),INDEX('Mezz 1 Amortization'!$B$19:$V$379,MATCH(DATE(AV$7,'Mezz 1 Amortization'!$S$4,31),'Mezz 1 Amortization'!$E$19:$E$379,0),MATCH('Mezz 1 Amortization'!$V$19,'Mezz 1 Amortization'!$B$19:$V$19,0)))))))))))</f>
        <v>0</v>
      </c>
      <c r="AW140" s="427">
        <f>IF('Financing Assumptions'!$P$8="No",0,IF(AW$9&lt;'Financing Assumptions'!$O$26,0,IF(AND('Mezz 1 Amortization'!$T$4&lt;&gt;"Monthly",AW9&lt;='Financing Assumptions'!$O$26),0,IF('Mezz 1 Amortization'!$T$4="Monthly",INDEX('Mezz 1 Amortization'!$B$19:$V$379,MATCH(AW$11,'Mezz 1 Amortization'!$E$19:$E$379,0),MATCH('Mezz 1 Amortization'!$V$19,'Mezz 1 Amortization'!$B$19:$V$19,0)),IF(AND('Mezz 1 Amortization'!$T$4="Bi-Annual",AW$5&lt;MIN('Mezz 1 Amortization'!$R$4,'Mezz 1 Amortization'!$S$4)),INDEX('Mezz 1 Amortization'!$B$19:$V$379,MATCH(DATE(AW$7-1,MAX('Mezz 1 Amortization'!$R$4,'Mezz 1 Amortization'!$S$4),31),'Mezz 1 Amortization'!$E$19:$E$379,0),MATCH('Mezz 1 Amortization'!$V$19,'Mezz 1 Amortization'!$B$19:$V$19,0)),IF(AND('Mezz 1 Amortization'!$T$4="Bi-Annual",AW$5&gt;MAX('Mezz 1 Amortization'!$R$4,'Mezz 1 Amortization'!$S$4)),INDEX('Mezz 1 Amortization'!$B$19:$V$379,MATCH(DATE(AW$7,MAX('Mezz 1 Amortization'!$R$4,'Mezz 1 Amortization'!$S$4),31),'Mezz 1 Amortization'!$E$19:$E$379,0),MATCH('Mezz 1 Amortization'!$V$19,'Mezz 1 Amortization'!$B$19:$V$19,0)),IF(AND('Mezz 1 Amortization'!$T$4="Bi-Annual",AW$5&gt;MIN('Mezz 1 Amortization'!$R$4,'Mezz 1 Amortization'!$S$4),AW$5&lt;MAX('Mezz 1 Amortization'!$R$4,'Mezz 1 Amortization'!$S$4)),INDEX('Mezz 1 Amortization'!$B$19:$V$379,MATCH(DATE(AW$7,MIN('Mezz 1 Amortization'!$R$4,'Mezz 1 Amortization'!$S$4),31),'Mezz 1 Amortization'!$E$19:$E$379,0),MATCH('Mezz 1 Amortization'!$V$19,'Mezz 1 Amortization'!$B$19:$V$19,0)),IF(AND('Mezz 1 Amortization'!$T$4="Bi-Annual",AW$5='Mezz 1 Amortization'!$R$4),INDEX('Mezz 1 Amortization'!$B$19:$V$379,MATCH(DATE(AW$7,'Mezz 1 Amortization'!$R$4,31),'Mezz 1 Amortization'!$E$19:$E$379,0),MATCH('Mezz 1 Amortization'!$V$19,'Mezz 1 Amortization'!$B$19:$V$19,0)),IF(AND('Mezz 1 Amortization'!$T$4="Bi-Annual",AW$5='Mezz 1 Amortization'!$S$4),INDEX('Mezz 1 Amortization'!$B$19:$V$379,MATCH(DATE(AW$7,'Mezz 1 Amortization'!$S$4,31),'Mezz 1 Amortization'!$E$19:$E$379,0),MATCH('Mezz 1 Amortization'!$V$19,'Mezz 1 Amortization'!$B$19:$V$19,0)))))))))))</f>
        <v>0</v>
      </c>
      <c r="AX140" s="427">
        <f>IF('Financing Assumptions'!$P$8="No",0,IF(AX$9&lt;'Financing Assumptions'!$O$26,0,IF(AND('Mezz 1 Amortization'!$T$4&lt;&gt;"Monthly",AX9&lt;='Financing Assumptions'!$O$26),0,IF('Mezz 1 Amortization'!$T$4="Monthly",INDEX('Mezz 1 Amortization'!$B$19:$V$379,MATCH(AX$11,'Mezz 1 Amortization'!$E$19:$E$379,0),MATCH('Mezz 1 Amortization'!$V$19,'Mezz 1 Amortization'!$B$19:$V$19,0)),IF(AND('Mezz 1 Amortization'!$T$4="Bi-Annual",AX$5&lt;MIN('Mezz 1 Amortization'!$R$4,'Mezz 1 Amortization'!$S$4)),INDEX('Mezz 1 Amortization'!$B$19:$V$379,MATCH(DATE(AX$7-1,MAX('Mezz 1 Amortization'!$R$4,'Mezz 1 Amortization'!$S$4),31),'Mezz 1 Amortization'!$E$19:$E$379,0),MATCH('Mezz 1 Amortization'!$V$19,'Mezz 1 Amortization'!$B$19:$V$19,0)),IF(AND('Mezz 1 Amortization'!$T$4="Bi-Annual",AX$5&gt;MAX('Mezz 1 Amortization'!$R$4,'Mezz 1 Amortization'!$S$4)),INDEX('Mezz 1 Amortization'!$B$19:$V$379,MATCH(DATE(AX$7,MAX('Mezz 1 Amortization'!$R$4,'Mezz 1 Amortization'!$S$4),31),'Mezz 1 Amortization'!$E$19:$E$379,0),MATCH('Mezz 1 Amortization'!$V$19,'Mezz 1 Amortization'!$B$19:$V$19,0)),IF(AND('Mezz 1 Amortization'!$T$4="Bi-Annual",AX$5&gt;MIN('Mezz 1 Amortization'!$R$4,'Mezz 1 Amortization'!$S$4),AX$5&lt;MAX('Mezz 1 Amortization'!$R$4,'Mezz 1 Amortization'!$S$4)),INDEX('Mezz 1 Amortization'!$B$19:$V$379,MATCH(DATE(AX$7,MIN('Mezz 1 Amortization'!$R$4,'Mezz 1 Amortization'!$S$4),31),'Mezz 1 Amortization'!$E$19:$E$379,0),MATCH('Mezz 1 Amortization'!$V$19,'Mezz 1 Amortization'!$B$19:$V$19,0)),IF(AND('Mezz 1 Amortization'!$T$4="Bi-Annual",AX$5='Mezz 1 Amortization'!$R$4),INDEX('Mezz 1 Amortization'!$B$19:$V$379,MATCH(DATE(AX$7,'Mezz 1 Amortization'!$R$4,31),'Mezz 1 Amortization'!$E$19:$E$379,0),MATCH('Mezz 1 Amortization'!$V$19,'Mezz 1 Amortization'!$B$19:$V$19,0)),IF(AND('Mezz 1 Amortization'!$T$4="Bi-Annual",AX$5='Mezz 1 Amortization'!$S$4),INDEX('Mezz 1 Amortization'!$B$19:$V$379,MATCH(DATE(AX$7,'Mezz 1 Amortization'!$S$4,31),'Mezz 1 Amortization'!$E$19:$E$379,0),MATCH('Mezz 1 Amortization'!$V$19,'Mezz 1 Amortization'!$B$19:$V$19,0)))))))))))</f>
        <v>0</v>
      </c>
      <c r="AY140" s="427">
        <f>IF('Financing Assumptions'!$P$8="No",0,IF(AY$9&lt;'Financing Assumptions'!$O$26,0,IF(AND('Mezz 1 Amortization'!$T$4&lt;&gt;"Monthly",AY9&lt;='Financing Assumptions'!$O$26),0,IF('Mezz 1 Amortization'!$T$4="Monthly",INDEX('Mezz 1 Amortization'!$B$19:$V$379,MATCH(AY$11,'Mezz 1 Amortization'!$E$19:$E$379,0),MATCH('Mezz 1 Amortization'!$V$19,'Mezz 1 Amortization'!$B$19:$V$19,0)),IF(AND('Mezz 1 Amortization'!$T$4="Bi-Annual",AY$5&lt;MIN('Mezz 1 Amortization'!$R$4,'Mezz 1 Amortization'!$S$4)),INDEX('Mezz 1 Amortization'!$B$19:$V$379,MATCH(DATE(AY$7-1,MAX('Mezz 1 Amortization'!$R$4,'Mezz 1 Amortization'!$S$4),31),'Mezz 1 Amortization'!$E$19:$E$379,0),MATCH('Mezz 1 Amortization'!$V$19,'Mezz 1 Amortization'!$B$19:$V$19,0)),IF(AND('Mezz 1 Amortization'!$T$4="Bi-Annual",AY$5&gt;MAX('Mezz 1 Amortization'!$R$4,'Mezz 1 Amortization'!$S$4)),INDEX('Mezz 1 Amortization'!$B$19:$V$379,MATCH(DATE(AY$7,MAX('Mezz 1 Amortization'!$R$4,'Mezz 1 Amortization'!$S$4),31),'Mezz 1 Amortization'!$E$19:$E$379,0),MATCH('Mezz 1 Amortization'!$V$19,'Mezz 1 Amortization'!$B$19:$V$19,0)),IF(AND('Mezz 1 Amortization'!$T$4="Bi-Annual",AY$5&gt;MIN('Mezz 1 Amortization'!$R$4,'Mezz 1 Amortization'!$S$4),AY$5&lt;MAX('Mezz 1 Amortization'!$R$4,'Mezz 1 Amortization'!$S$4)),INDEX('Mezz 1 Amortization'!$B$19:$V$379,MATCH(DATE(AY$7,MIN('Mezz 1 Amortization'!$R$4,'Mezz 1 Amortization'!$S$4),31),'Mezz 1 Amortization'!$E$19:$E$379,0),MATCH('Mezz 1 Amortization'!$V$19,'Mezz 1 Amortization'!$B$19:$V$19,0)),IF(AND('Mezz 1 Amortization'!$T$4="Bi-Annual",AY$5='Mezz 1 Amortization'!$R$4),INDEX('Mezz 1 Amortization'!$B$19:$V$379,MATCH(DATE(AY$7,'Mezz 1 Amortization'!$R$4,31),'Mezz 1 Amortization'!$E$19:$E$379,0),MATCH('Mezz 1 Amortization'!$V$19,'Mezz 1 Amortization'!$B$19:$V$19,0)),IF(AND('Mezz 1 Amortization'!$T$4="Bi-Annual",AY$5='Mezz 1 Amortization'!$S$4),INDEX('Mezz 1 Amortization'!$B$19:$V$379,MATCH(DATE(AY$7,'Mezz 1 Amortization'!$S$4,31),'Mezz 1 Amortization'!$E$19:$E$379,0),MATCH('Mezz 1 Amortization'!$V$19,'Mezz 1 Amortization'!$B$19:$V$19,0)))))))))))</f>
        <v>0</v>
      </c>
      <c r="AZ140" s="427">
        <f>IF('Financing Assumptions'!$P$8="No",0,IF(AZ$9&lt;'Financing Assumptions'!$O$26,0,IF(AND('Mezz 1 Amortization'!$T$4&lt;&gt;"Monthly",AZ9&lt;='Financing Assumptions'!$O$26),0,IF('Mezz 1 Amortization'!$T$4="Monthly",INDEX('Mezz 1 Amortization'!$B$19:$V$379,MATCH(AZ$11,'Mezz 1 Amortization'!$E$19:$E$379,0),MATCH('Mezz 1 Amortization'!$V$19,'Mezz 1 Amortization'!$B$19:$V$19,0)),IF(AND('Mezz 1 Amortization'!$T$4="Bi-Annual",AZ$5&lt;MIN('Mezz 1 Amortization'!$R$4,'Mezz 1 Amortization'!$S$4)),INDEX('Mezz 1 Amortization'!$B$19:$V$379,MATCH(DATE(AZ$7-1,MAX('Mezz 1 Amortization'!$R$4,'Mezz 1 Amortization'!$S$4),31),'Mezz 1 Amortization'!$E$19:$E$379,0),MATCH('Mezz 1 Amortization'!$V$19,'Mezz 1 Amortization'!$B$19:$V$19,0)),IF(AND('Mezz 1 Amortization'!$T$4="Bi-Annual",AZ$5&gt;MAX('Mezz 1 Amortization'!$R$4,'Mezz 1 Amortization'!$S$4)),INDEX('Mezz 1 Amortization'!$B$19:$V$379,MATCH(DATE(AZ$7,MAX('Mezz 1 Amortization'!$R$4,'Mezz 1 Amortization'!$S$4),31),'Mezz 1 Amortization'!$E$19:$E$379,0),MATCH('Mezz 1 Amortization'!$V$19,'Mezz 1 Amortization'!$B$19:$V$19,0)),IF(AND('Mezz 1 Amortization'!$T$4="Bi-Annual",AZ$5&gt;MIN('Mezz 1 Amortization'!$R$4,'Mezz 1 Amortization'!$S$4),AZ$5&lt;MAX('Mezz 1 Amortization'!$R$4,'Mezz 1 Amortization'!$S$4)),INDEX('Mezz 1 Amortization'!$B$19:$V$379,MATCH(DATE(AZ$7,MIN('Mezz 1 Amortization'!$R$4,'Mezz 1 Amortization'!$S$4),31),'Mezz 1 Amortization'!$E$19:$E$379,0),MATCH('Mezz 1 Amortization'!$V$19,'Mezz 1 Amortization'!$B$19:$V$19,0)),IF(AND('Mezz 1 Amortization'!$T$4="Bi-Annual",AZ$5='Mezz 1 Amortization'!$R$4),INDEX('Mezz 1 Amortization'!$B$19:$V$379,MATCH(DATE(AZ$7,'Mezz 1 Amortization'!$R$4,31),'Mezz 1 Amortization'!$E$19:$E$379,0),MATCH('Mezz 1 Amortization'!$V$19,'Mezz 1 Amortization'!$B$19:$V$19,0)),IF(AND('Mezz 1 Amortization'!$T$4="Bi-Annual",AZ$5='Mezz 1 Amortization'!$S$4),INDEX('Mezz 1 Amortization'!$B$19:$V$379,MATCH(DATE(AZ$7,'Mezz 1 Amortization'!$S$4,31),'Mezz 1 Amortization'!$E$19:$E$379,0),MATCH('Mezz 1 Amortization'!$V$19,'Mezz 1 Amortization'!$B$19:$V$19,0)))))))))))</f>
        <v>0</v>
      </c>
      <c r="BA140" s="427">
        <f>IF('Financing Assumptions'!$P$8="No",0,IF(BA$9&lt;'Financing Assumptions'!$O$26,0,IF(AND('Mezz 1 Amortization'!$T$4&lt;&gt;"Monthly",BA9&lt;='Financing Assumptions'!$O$26),0,IF('Mezz 1 Amortization'!$T$4="Monthly",INDEX('Mezz 1 Amortization'!$B$19:$V$379,MATCH(BA$11,'Mezz 1 Amortization'!$E$19:$E$379,0),MATCH('Mezz 1 Amortization'!$V$19,'Mezz 1 Amortization'!$B$19:$V$19,0)),IF(AND('Mezz 1 Amortization'!$T$4="Bi-Annual",BA$5&lt;MIN('Mezz 1 Amortization'!$R$4,'Mezz 1 Amortization'!$S$4)),INDEX('Mezz 1 Amortization'!$B$19:$V$379,MATCH(DATE(BA$7-1,MAX('Mezz 1 Amortization'!$R$4,'Mezz 1 Amortization'!$S$4),31),'Mezz 1 Amortization'!$E$19:$E$379,0),MATCH('Mezz 1 Amortization'!$V$19,'Mezz 1 Amortization'!$B$19:$V$19,0)),IF(AND('Mezz 1 Amortization'!$T$4="Bi-Annual",BA$5&gt;MAX('Mezz 1 Amortization'!$R$4,'Mezz 1 Amortization'!$S$4)),INDEX('Mezz 1 Amortization'!$B$19:$V$379,MATCH(DATE(BA$7,MAX('Mezz 1 Amortization'!$R$4,'Mezz 1 Amortization'!$S$4),31),'Mezz 1 Amortization'!$E$19:$E$379,0),MATCH('Mezz 1 Amortization'!$V$19,'Mezz 1 Amortization'!$B$19:$V$19,0)),IF(AND('Mezz 1 Amortization'!$T$4="Bi-Annual",BA$5&gt;MIN('Mezz 1 Amortization'!$R$4,'Mezz 1 Amortization'!$S$4),BA$5&lt;MAX('Mezz 1 Amortization'!$R$4,'Mezz 1 Amortization'!$S$4)),INDEX('Mezz 1 Amortization'!$B$19:$V$379,MATCH(DATE(BA$7,MIN('Mezz 1 Amortization'!$R$4,'Mezz 1 Amortization'!$S$4),31),'Mezz 1 Amortization'!$E$19:$E$379,0),MATCH('Mezz 1 Amortization'!$V$19,'Mezz 1 Amortization'!$B$19:$V$19,0)),IF(AND('Mezz 1 Amortization'!$T$4="Bi-Annual",BA$5='Mezz 1 Amortization'!$R$4),INDEX('Mezz 1 Amortization'!$B$19:$V$379,MATCH(DATE(BA$7,'Mezz 1 Amortization'!$R$4,31),'Mezz 1 Amortization'!$E$19:$E$379,0),MATCH('Mezz 1 Amortization'!$V$19,'Mezz 1 Amortization'!$B$19:$V$19,0)),IF(AND('Mezz 1 Amortization'!$T$4="Bi-Annual",BA$5='Mezz 1 Amortization'!$S$4),INDEX('Mezz 1 Amortization'!$B$19:$V$379,MATCH(DATE(BA$7,'Mezz 1 Amortization'!$S$4,31),'Mezz 1 Amortization'!$E$19:$E$379,0),MATCH('Mezz 1 Amortization'!$V$19,'Mezz 1 Amortization'!$B$19:$V$19,0)))))))))))</f>
        <v>0</v>
      </c>
      <c r="BB140" s="427">
        <f>IF('Financing Assumptions'!$P$8="No",0,IF(BB$9&lt;'Financing Assumptions'!$O$26,0,IF(AND('Mezz 1 Amortization'!$T$4&lt;&gt;"Monthly",BB9&lt;='Financing Assumptions'!$O$26),0,IF('Mezz 1 Amortization'!$T$4="Monthly",INDEX('Mezz 1 Amortization'!$B$19:$V$379,MATCH(BB$11,'Mezz 1 Amortization'!$E$19:$E$379,0),MATCH('Mezz 1 Amortization'!$V$19,'Mezz 1 Amortization'!$B$19:$V$19,0)),IF(AND('Mezz 1 Amortization'!$T$4="Bi-Annual",BB$5&lt;MIN('Mezz 1 Amortization'!$R$4,'Mezz 1 Amortization'!$S$4)),INDEX('Mezz 1 Amortization'!$B$19:$V$379,MATCH(DATE(BB$7-1,MAX('Mezz 1 Amortization'!$R$4,'Mezz 1 Amortization'!$S$4),31),'Mezz 1 Amortization'!$E$19:$E$379,0),MATCH('Mezz 1 Amortization'!$V$19,'Mezz 1 Amortization'!$B$19:$V$19,0)),IF(AND('Mezz 1 Amortization'!$T$4="Bi-Annual",BB$5&gt;MAX('Mezz 1 Amortization'!$R$4,'Mezz 1 Amortization'!$S$4)),INDEX('Mezz 1 Amortization'!$B$19:$V$379,MATCH(DATE(BB$7,MAX('Mezz 1 Amortization'!$R$4,'Mezz 1 Amortization'!$S$4),31),'Mezz 1 Amortization'!$E$19:$E$379,0),MATCH('Mezz 1 Amortization'!$V$19,'Mezz 1 Amortization'!$B$19:$V$19,0)),IF(AND('Mezz 1 Amortization'!$T$4="Bi-Annual",BB$5&gt;MIN('Mezz 1 Amortization'!$R$4,'Mezz 1 Amortization'!$S$4),BB$5&lt;MAX('Mezz 1 Amortization'!$R$4,'Mezz 1 Amortization'!$S$4)),INDEX('Mezz 1 Amortization'!$B$19:$V$379,MATCH(DATE(BB$7,MIN('Mezz 1 Amortization'!$R$4,'Mezz 1 Amortization'!$S$4),31),'Mezz 1 Amortization'!$E$19:$E$379,0),MATCH('Mezz 1 Amortization'!$V$19,'Mezz 1 Amortization'!$B$19:$V$19,0)),IF(AND('Mezz 1 Amortization'!$T$4="Bi-Annual",BB$5='Mezz 1 Amortization'!$R$4),INDEX('Mezz 1 Amortization'!$B$19:$V$379,MATCH(DATE(BB$7,'Mezz 1 Amortization'!$R$4,31),'Mezz 1 Amortization'!$E$19:$E$379,0),MATCH('Mezz 1 Amortization'!$V$19,'Mezz 1 Amortization'!$B$19:$V$19,0)),IF(AND('Mezz 1 Amortization'!$T$4="Bi-Annual",BB$5='Mezz 1 Amortization'!$S$4),INDEX('Mezz 1 Amortization'!$B$19:$V$379,MATCH(DATE(BB$7,'Mezz 1 Amortization'!$S$4,31),'Mezz 1 Amortization'!$E$19:$E$379,0),MATCH('Mezz 1 Amortization'!$V$19,'Mezz 1 Amortization'!$B$19:$V$19,0)))))))))))</f>
        <v>0</v>
      </c>
      <c r="BC140" s="427">
        <f>IF('Financing Assumptions'!$P$8="No",0,IF(BC$9&lt;'Financing Assumptions'!$O$26,0,IF(AND('Mezz 1 Amortization'!$T$4&lt;&gt;"Monthly",BC9&lt;='Financing Assumptions'!$O$26),0,IF('Mezz 1 Amortization'!$T$4="Monthly",INDEX('Mezz 1 Amortization'!$B$19:$V$379,MATCH(BC$11,'Mezz 1 Amortization'!$E$19:$E$379,0),MATCH('Mezz 1 Amortization'!$V$19,'Mezz 1 Amortization'!$B$19:$V$19,0)),IF(AND('Mezz 1 Amortization'!$T$4="Bi-Annual",BC$5&lt;MIN('Mezz 1 Amortization'!$R$4,'Mezz 1 Amortization'!$S$4)),INDEX('Mezz 1 Amortization'!$B$19:$V$379,MATCH(DATE(BC$7-1,MAX('Mezz 1 Amortization'!$R$4,'Mezz 1 Amortization'!$S$4),31),'Mezz 1 Amortization'!$E$19:$E$379,0),MATCH('Mezz 1 Amortization'!$V$19,'Mezz 1 Amortization'!$B$19:$V$19,0)),IF(AND('Mezz 1 Amortization'!$T$4="Bi-Annual",BC$5&gt;MAX('Mezz 1 Amortization'!$R$4,'Mezz 1 Amortization'!$S$4)),INDEX('Mezz 1 Amortization'!$B$19:$V$379,MATCH(DATE(BC$7,MAX('Mezz 1 Amortization'!$R$4,'Mezz 1 Amortization'!$S$4),31),'Mezz 1 Amortization'!$E$19:$E$379,0),MATCH('Mezz 1 Amortization'!$V$19,'Mezz 1 Amortization'!$B$19:$V$19,0)),IF(AND('Mezz 1 Amortization'!$T$4="Bi-Annual",BC$5&gt;MIN('Mezz 1 Amortization'!$R$4,'Mezz 1 Amortization'!$S$4),BC$5&lt;MAX('Mezz 1 Amortization'!$R$4,'Mezz 1 Amortization'!$S$4)),INDEX('Mezz 1 Amortization'!$B$19:$V$379,MATCH(DATE(BC$7,MIN('Mezz 1 Amortization'!$R$4,'Mezz 1 Amortization'!$S$4),31),'Mezz 1 Amortization'!$E$19:$E$379,0),MATCH('Mezz 1 Amortization'!$V$19,'Mezz 1 Amortization'!$B$19:$V$19,0)),IF(AND('Mezz 1 Amortization'!$T$4="Bi-Annual",BC$5='Mezz 1 Amortization'!$R$4),INDEX('Mezz 1 Amortization'!$B$19:$V$379,MATCH(DATE(BC$7,'Mezz 1 Amortization'!$R$4,31),'Mezz 1 Amortization'!$E$19:$E$379,0),MATCH('Mezz 1 Amortization'!$V$19,'Mezz 1 Amortization'!$B$19:$V$19,0)),IF(AND('Mezz 1 Amortization'!$T$4="Bi-Annual",BC$5='Mezz 1 Amortization'!$S$4),INDEX('Mezz 1 Amortization'!$B$19:$V$379,MATCH(DATE(BC$7,'Mezz 1 Amortization'!$S$4,31),'Mezz 1 Amortization'!$E$19:$E$379,0),MATCH('Mezz 1 Amortization'!$V$19,'Mezz 1 Amortization'!$B$19:$V$19,0)))))))))))</f>
        <v>0</v>
      </c>
      <c r="BD140" s="427">
        <f>IF('Financing Assumptions'!$P$8="No",0,IF(BD$9&lt;'Financing Assumptions'!$O$26,0,IF(AND('Mezz 1 Amortization'!$T$4&lt;&gt;"Monthly",BD9&lt;='Financing Assumptions'!$O$26),0,IF('Mezz 1 Amortization'!$T$4="Monthly",INDEX('Mezz 1 Amortization'!$B$19:$V$379,MATCH(BD$11,'Mezz 1 Amortization'!$E$19:$E$379,0),MATCH('Mezz 1 Amortization'!$V$19,'Mezz 1 Amortization'!$B$19:$V$19,0)),IF(AND('Mezz 1 Amortization'!$T$4="Bi-Annual",BD$5&lt;MIN('Mezz 1 Amortization'!$R$4,'Mezz 1 Amortization'!$S$4)),INDEX('Mezz 1 Amortization'!$B$19:$V$379,MATCH(DATE(BD$7-1,MAX('Mezz 1 Amortization'!$R$4,'Mezz 1 Amortization'!$S$4),31),'Mezz 1 Amortization'!$E$19:$E$379,0),MATCH('Mezz 1 Amortization'!$V$19,'Mezz 1 Amortization'!$B$19:$V$19,0)),IF(AND('Mezz 1 Amortization'!$T$4="Bi-Annual",BD$5&gt;MAX('Mezz 1 Amortization'!$R$4,'Mezz 1 Amortization'!$S$4)),INDEX('Mezz 1 Amortization'!$B$19:$V$379,MATCH(DATE(BD$7,MAX('Mezz 1 Amortization'!$R$4,'Mezz 1 Amortization'!$S$4),31),'Mezz 1 Amortization'!$E$19:$E$379,0),MATCH('Mezz 1 Amortization'!$V$19,'Mezz 1 Amortization'!$B$19:$V$19,0)),IF(AND('Mezz 1 Amortization'!$T$4="Bi-Annual",BD$5&gt;MIN('Mezz 1 Amortization'!$R$4,'Mezz 1 Amortization'!$S$4),BD$5&lt;MAX('Mezz 1 Amortization'!$R$4,'Mezz 1 Amortization'!$S$4)),INDEX('Mezz 1 Amortization'!$B$19:$V$379,MATCH(DATE(BD$7,MIN('Mezz 1 Amortization'!$R$4,'Mezz 1 Amortization'!$S$4),31),'Mezz 1 Amortization'!$E$19:$E$379,0),MATCH('Mezz 1 Amortization'!$V$19,'Mezz 1 Amortization'!$B$19:$V$19,0)),IF(AND('Mezz 1 Amortization'!$T$4="Bi-Annual",BD$5='Mezz 1 Amortization'!$R$4),INDEX('Mezz 1 Amortization'!$B$19:$V$379,MATCH(DATE(BD$7,'Mezz 1 Amortization'!$R$4,31),'Mezz 1 Amortization'!$E$19:$E$379,0),MATCH('Mezz 1 Amortization'!$V$19,'Mezz 1 Amortization'!$B$19:$V$19,0)),IF(AND('Mezz 1 Amortization'!$T$4="Bi-Annual",BD$5='Mezz 1 Amortization'!$S$4),INDEX('Mezz 1 Amortization'!$B$19:$V$379,MATCH(DATE(BD$7,'Mezz 1 Amortization'!$S$4,31),'Mezz 1 Amortization'!$E$19:$E$379,0),MATCH('Mezz 1 Amortization'!$V$19,'Mezz 1 Amortization'!$B$19:$V$19,0)))))))))))</f>
        <v>0</v>
      </c>
      <c r="BE140" s="427">
        <f>IF('Financing Assumptions'!$P$8="No",0,IF(BE$9&lt;'Financing Assumptions'!$O$26,0,IF(AND('Mezz 1 Amortization'!$T$4&lt;&gt;"Monthly",BE9&lt;='Financing Assumptions'!$O$26),0,IF('Mezz 1 Amortization'!$T$4="Monthly",INDEX('Mezz 1 Amortization'!$B$19:$V$379,MATCH(BE$11,'Mezz 1 Amortization'!$E$19:$E$379,0),MATCH('Mezz 1 Amortization'!$V$19,'Mezz 1 Amortization'!$B$19:$V$19,0)),IF(AND('Mezz 1 Amortization'!$T$4="Bi-Annual",BE$5&lt;MIN('Mezz 1 Amortization'!$R$4,'Mezz 1 Amortization'!$S$4)),INDEX('Mezz 1 Amortization'!$B$19:$V$379,MATCH(DATE(BE$7-1,MAX('Mezz 1 Amortization'!$R$4,'Mezz 1 Amortization'!$S$4),31),'Mezz 1 Amortization'!$E$19:$E$379,0),MATCH('Mezz 1 Amortization'!$V$19,'Mezz 1 Amortization'!$B$19:$V$19,0)),IF(AND('Mezz 1 Amortization'!$T$4="Bi-Annual",BE$5&gt;MAX('Mezz 1 Amortization'!$R$4,'Mezz 1 Amortization'!$S$4)),INDEX('Mezz 1 Amortization'!$B$19:$V$379,MATCH(DATE(BE$7,MAX('Mezz 1 Amortization'!$R$4,'Mezz 1 Amortization'!$S$4),31),'Mezz 1 Amortization'!$E$19:$E$379,0),MATCH('Mezz 1 Amortization'!$V$19,'Mezz 1 Amortization'!$B$19:$V$19,0)),IF(AND('Mezz 1 Amortization'!$T$4="Bi-Annual",BE$5&gt;MIN('Mezz 1 Amortization'!$R$4,'Mezz 1 Amortization'!$S$4),BE$5&lt;MAX('Mezz 1 Amortization'!$R$4,'Mezz 1 Amortization'!$S$4)),INDEX('Mezz 1 Amortization'!$B$19:$V$379,MATCH(DATE(BE$7,MIN('Mezz 1 Amortization'!$R$4,'Mezz 1 Amortization'!$S$4),31),'Mezz 1 Amortization'!$E$19:$E$379,0),MATCH('Mezz 1 Amortization'!$V$19,'Mezz 1 Amortization'!$B$19:$V$19,0)),IF(AND('Mezz 1 Amortization'!$T$4="Bi-Annual",BE$5='Mezz 1 Amortization'!$R$4),INDEX('Mezz 1 Amortization'!$B$19:$V$379,MATCH(DATE(BE$7,'Mezz 1 Amortization'!$R$4,31),'Mezz 1 Amortization'!$E$19:$E$379,0),MATCH('Mezz 1 Amortization'!$V$19,'Mezz 1 Amortization'!$B$19:$V$19,0)),IF(AND('Mezz 1 Amortization'!$T$4="Bi-Annual",BE$5='Mezz 1 Amortization'!$S$4),INDEX('Mezz 1 Amortization'!$B$19:$V$379,MATCH(DATE(BE$7,'Mezz 1 Amortization'!$S$4,31),'Mezz 1 Amortization'!$E$19:$E$379,0),MATCH('Mezz 1 Amortization'!$V$19,'Mezz 1 Amortization'!$B$19:$V$19,0)))))))))))</f>
        <v>0</v>
      </c>
      <c r="BF140" s="427">
        <f>IF('Financing Assumptions'!$P$8="No",0,IF(BF$9&lt;'Financing Assumptions'!$O$26,0,IF(AND('Mezz 1 Amortization'!$T$4&lt;&gt;"Monthly",BF9&lt;='Financing Assumptions'!$O$26),0,IF('Mezz 1 Amortization'!$T$4="Monthly",INDEX('Mezz 1 Amortization'!$B$19:$V$379,MATCH(BF$11,'Mezz 1 Amortization'!$E$19:$E$379,0),MATCH('Mezz 1 Amortization'!$V$19,'Mezz 1 Amortization'!$B$19:$V$19,0)),IF(AND('Mezz 1 Amortization'!$T$4="Bi-Annual",BF$5&lt;MIN('Mezz 1 Amortization'!$R$4,'Mezz 1 Amortization'!$S$4)),INDEX('Mezz 1 Amortization'!$B$19:$V$379,MATCH(DATE(BF$7-1,MAX('Mezz 1 Amortization'!$R$4,'Mezz 1 Amortization'!$S$4),31),'Mezz 1 Amortization'!$E$19:$E$379,0),MATCH('Mezz 1 Amortization'!$V$19,'Mezz 1 Amortization'!$B$19:$V$19,0)),IF(AND('Mezz 1 Amortization'!$T$4="Bi-Annual",BF$5&gt;MAX('Mezz 1 Amortization'!$R$4,'Mezz 1 Amortization'!$S$4)),INDEX('Mezz 1 Amortization'!$B$19:$V$379,MATCH(DATE(BF$7,MAX('Mezz 1 Amortization'!$R$4,'Mezz 1 Amortization'!$S$4),31),'Mezz 1 Amortization'!$E$19:$E$379,0),MATCH('Mezz 1 Amortization'!$V$19,'Mezz 1 Amortization'!$B$19:$V$19,0)),IF(AND('Mezz 1 Amortization'!$T$4="Bi-Annual",BF$5&gt;MIN('Mezz 1 Amortization'!$R$4,'Mezz 1 Amortization'!$S$4),BF$5&lt;MAX('Mezz 1 Amortization'!$R$4,'Mezz 1 Amortization'!$S$4)),INDEX('Mezz 1 Amortization'!$B$19:$V$379,MATCH(DATE(BF$7,MIN('Mezz 1 Amortization'!$R$4,'Mezz 1 Amortization'!$S$4),31),'Mezz 1 Amortization'!$E$19:$E$379,0),MATCH('Mezz 1 Amortization'!$V$19,'Mezz 1 Amortization'!$B$19:$V$19,0)),IF(AND('Mezz 1 Amortization'!$T$4="Bi-Annual",BF$5='Mezz 1 Amortization'!$R$4),INDEX('Mezz 1 Amortization'!$B$19:$V$379,MATCH(DATE(BF$7,'Mezz 1 Amortization'!$R$4,31),'Mezz 1 Amortization'!$E$19:$E$379,0),MATCH('Mezz 1 Amortization'!$V$19,'Mezz 1 Amortization'!$B$19:$V$19,0)),IF(AND('Mezz 1 Amortization'!$T$4="Bi-Annual",BF$5='Mezz 1 Amortization'!$S$4),INDEX('Mezz 1 Amortization'!$B$19:$V$379,MATCH(DATE(BF$7,'Mezz 1 Amortization'!$S$4,31),'Mezz 1 Amortization'!$E$19:$E$379,0),MATCH('Mezz 1 Amortization'!$V$19,'Mezz 1 Amortization'!$B$19:$V$19,0)))))))))))</f>
        <v>0</v>
      </c>
      <c r="BG140" s="427">
        <f>IF('Financing Assumptions'!$P$8="No",0,IF(BG$9&lt;'Financing Assumptions'!$O$26,0,IF(AND('Mezz 1 Amortization'!$T$4&lt;&gt;"Monthly",BG9&lt;='Financing Assumptions'!$O$26),0,IF('Mezz 1 Amortization'!$T$4="Monthly",INDEX('Mezz 1 Amortization'!$B$19:$V$379,MATCH(BG$11,'Mezz 1 Amortization'!$E$19:$E$379,0),MATCH('Mezz 1 Amortization'!$V$19,'Mezz 1 Amortization'!$B$19:$V$19,0)),IF(AND('Mezz 1 Amortization'!$T$4="Bi-Annual",BG$5&lt;MIN('Mezz 1 Amortization'!$R$4,'Mezz 1 Amortization'!$S$4)),INDEX('Mezz 1 Amortization'!$B$19:$V$379,MATCH(DATE(BG$7-1,MAX('Mezz 1 Amortization'!$R$4,'Mezz 1 Amortization'!$S$4),31),'Mezz 1 Amortization'!$E$19:$E$379,0),MATCH('Mezz 1 Amortization'!$V$19,'Mezz 1 Amortization'!$B$19:$V$19,0)),IF(AND('Mezz 1 Amortization'!$T$4="Bi-Annual",BG$5&gt;MAX('Mezz 1 Amortization'!$R$4,'Mezz 1 Amortization'!$S$4)),INDEX('Mezz 1 Amortization'!$B$19:$V$379,MATCH(DATE(BG$7,MAX('Mezz 1 Amortization'!$R$4,'Mezz 1 Amortization'!$S$4),31),'Mezz 1 Amortization'!$E$19:$E$379,0),MATCH('Mezz 1 Amortization'!$V$19,'Mezz 1 Amortization'!$B$19:$V$19,0)),IF(AND('Mezz 1 Amortization'!$T$4="Bi-Annual",BG$5&gt;MIN('Mezz 1 Amortization'!$R$4,'Mezz 1 Amortization'!$S$4),BG$5&lt;MAX('Mezz 1 Amortization'!$R$4,'Mezz 1 Amortization'!$S$4)),INDEX('Mezz 1 Amortization'!$B$19:$V$379,MATCH(DATE(BG$7,MIN('Mezz 1 Amortization'!$R$4,'Mezz 1 Amortization'!$S$4),31),'Mezz 1 Amortization'!$E$19:$E$379,0),MATCH('Mezz 1 Amortization'!$V$19,'Mezz 1 Amortization'!$B$19:$V$19,0)),IF(AND('Mezz 1 Amortization'!$T$4="Bi-Annual",BG$5='Mezz 1 Amortization'!$R$4),INDEX('Mezz 1 Amortization'!$B$19:$V$379,MATCH(DATE(BG$7,'Mezz 1 Amortization'!$R$4,31),'Mezz 1 Amortization'!$E$19:$E$379,0),MATCH('Mezz 1 Amortization'!$V$19,'Mezz 1 Amortization'!$B$19:$V$19,0)),IF(AND('Mezz 1 Amortization'!$T$4="Bi-Annual",BG$5='Mezz 1 Amortization'!$S$4),INDEX('Mezz 1 Amortization'!$B$19:$V$379,MATCH(DATE(BG$7,'Mezz 1 Amortization'!$S$4,31),'Mezz 1 Amortization'!$E$19:$E$379,0),MATCH('Mezz 1 Amortization'!$V$19,'Mezz 1 Amortization'!$B$19:$V$19,0)))))))))))</f>
        <v>0</v>
      </c>
      <c r="BH140" s="427">
        <f>IF('Financing Assumptions'!$P$8="No",0,IF(BH$9&lt;'Financing Assumptions'!$O$26,0,IF(AND('Mezz 1 Amortization'!$T$4&lt;&gt;"Monthly",BH9&lt;='Financing Assumptions'!$O$26),0,IF('Mezz 1 Amortization'!$T$4="Monthly",INDEX('Mezz 1 Amortization'!$B$19:$V$379,MATCH(BH$11,'Mezz 1 Amortization'!$E$19:$E$379,0),MATCH('Mezz 1 Amortization'!$V$19,'Mezz 1 Amortization'!$B$19:$V$19,0)),IF(AND('Mezz 1 Amortization'!$T$4="Bi-Annual",BH$5&lt;MIN('Mezz 1 Amortization'!$R$4,'Mezz 1 Amortization'!$S$4)),INDEX('Mezz 1 Amortization'!$B$19:$V$379,MATCH(DATE(BH$7-1,MAX('Mezz 1 Amortization'!$R$4,'Mezz 1 Amortization'!$S$4),31),'Mezz 1 Amortization'!$E$19:$E$379,0),MATCH('Mezz 1 Amortization'!$V$19,'Mezz 1 Amortization'!$B$19:$V$19,0)),IF(AND('Mezz 1 Amortization'!$T$4="Bi-Annual",BH$5&gt;MAX('Mezz 1 Amortization'!$R$4,'Mezz 1 Amortization'!$S$4)),INDEX('Mezz 1 Amortization'!$B$19:$V$379,MATCH(DATE(BH$7,MAX('Mezz 1 Amortization'!$R$4,'Mezz 1 Amortization'!$S$4),31),'Mezz 1 Amortization'!$E$19:$E$379,0),MATCH('Mezz 1 Amortization'!$V$19,'Mezz 1 Amortization'!$B$19:$V$19,0)),IF(AND('Mezz 1 Amortization'!$T$4="Bi-Annual",BH$5&gt;MIN('Mezz 1 Amortization'!$R$4,'Mezz 1 Amortization'!$S$4),BH$5&lt;MAX('Mezz 1 Amortization'!$R$4,'Mezz 1 Amortization'!$S$4)),INDEX('Mezz 1 Amortization'!$B$19:$V$379,MATCH(DATE(BH$7,MIN('Mezz 1 Amortization'!$R$4,'Mezz 1 Amortization'!$S$4),31),'Mezz 1 Amortization'!$E$19:$E$379,0),MATCH('Mezz 1 Amortization'!$V$19,'Mezz 1 Amortization'!$B$19:$V$19,0)),IF(AND('Mezz 1 Amortization'!$T$4="Bi-Annual",BH$5='Mezz 1 Amortization'!$R$4),INDEX('Mezz 1 Amortization'!$B$19:$V$379,MATCH(DATE(BH$7,'Mezz 1 Amortization'!$R$4,31),'Mezz 1 Amortization'!$E$19:$E$379,0),MATCH('Mezz 1 Amortization'!$V$19,'Mezz 1 Amortization'!$B$19:$V$19,0)),IF(AND('Mezz 1 Amortization'!$T$4="Bi-Annual",BH$5='Mezz 1 Amortization'!$S$4),INDEX('Mezz 1 Amortization'!$B$19:$V$379,MATCH(DATE(BH$7,'Mezz 1 Amortization'!$S$4,31),'Mezz 1 Amortization'!$E$19:$E$379,0),MATCH('Mezz 1 Amortization'!$V$19,'Mezz 1 Amortization'!$B$19:$V$19,0)))))))))))</f>
        <v>0</v>
      </c>
      <c r="BI140" s="427">
        <f>IF('Financing Assumptions'!$P$8="No",0,IF(BI$9&lt;'Financing Assumptions'!$O$26,0,IF(AND('Mezz 1 Amortization'!$T$4&lt;&gt;"Monthly",BI9&lt;='Financing Assumptions'!$O$26),0,IF('Mezz 1 Amortization'!$T$4="Monthly",INDEX('Mezz 1 Amortization'!$B$19:$V$379,MATCH(BI$11,'Mezz 1 Amortization'!$E$19:$E$379,0),MATCH('Mezz 1 Amortization'!$V$19,'Mezz 1 Amortization'!$B$19:$V$19,0)),IF(AND('Mezz 1 Amortization'!$T$4="Bi-Annual",BI$5&lt;MIN('Mezz 1 Amortization'!$R$4,'Mezz 1 Amortization'!$S$4)),INDEX('Mezz 1 Amortization'!$B$19:$V$379,MATCH(DATE(BI$7-1,MAX('Mezz 1 Amortization'!$R$4,'Mezz 1 Amortization'!$S$4),31),'Mezz 1 Amortization'!$E$19:$E$379,0),MATCH('Mezz 1 Amortization'!$V$19,'Mezz 1 Amortization'!$B$19:$V$19,0)),IF(AND('Mezz 1 Amortization'!$T$4="Bi-Annual",BI$5&gt;MAX('Mezz 1 Amortization'!$R$4,'Mezz 1 Amortization'!$S$4)),INDEX('Mezz 1 Amortization'!$B$19:$V$379,MATCH(DATE(BI$7,MAX('Mezz 1 Amortization'!$R$4,'Mezz 1 Amortization'!$S$4),31),'Mezz 1 Amortization'!$E$19:$E$379,0),MATCH('Mezz 1 Amortization'!$V$19,'Mezz 1 Amortization'!$B$19:$V$19,0)),IF(AND('Mezz 1 Amortization'!$T$4="Bi-Annual",BI$5&gt;MIN('Mezz 1 Amortization'!$R$4,'Mezz 1 Amortization'!$S$4),BI$5&lt;MAX('Mezz 1 Amortization'!$R$4,'Mezz 1 Amortization'!$S$4)),INDEX('Mezz 1 Amortization'!$B$19:$V$379,MATCH(DATE(BI$7,MIN('Mezz 1 Amortization'!$R$4,'Mezz 1 Amortization'!$S$4),31),'Mezz 1 Amortization'!$E$19:$E$379,0),MATCH('Mezz 1 Amortization'!$V$19,'Mezz 1 Amortization'!$B$19:$V$19,0)),IF(AND('Mezz 1 Amortization'!$T$4="Bi-Annual",BI$5='Mezz 1 Amortization'!$R$4),INDEX('Mezz 1 Amortization'!$B$19:$V$379,MATCH(DATE(BI$7,'Mezz 1 Amortization'!$R$4,31),'Mezz 1 Amortization'!$E$19:$E$379,0),MATCH('Mezz 1 Amortization'!$V$19,'Mezz 1 Amortization'!$B$19:$V$19,0)),IF(AND('Mezz 1 Amortization'!$T$4="Bi-Annual",BI$5='Mezz 1 Amortization'!$S$4),INDEX('Mezz 1 Amortization'!$B$19:$V$379,MATCH(DATE(BI$7,'Mezz 1 Amortization'!$S$4,31),'Mezz 1 Amortization'!$E$19:$E$379,0),MATCH('Mezz 1 Amortization'!$V$19,'Mezz 1 Amortization'!$B$19:$V$19,0)))))))))))</f>
        <v>0</v>
      </c>
      <c r="BJ140" s="427">
        <f>IF('Financing Assumptions'!$P$8="No",0,IF(BJ$9&lt;'Financing Assumptions'!$O$26,0,IF(AND('Mezz 1 Amortization'!$T$4&lt;&gt;"Monthly",BJ9&lt;='Financing Assumptions'!$O$26),0,IF('Mezz 1 Amortization'!$T$4="Monthly",INDEX('Mezz 1 Amortization'!$B$19:$V$379,MATCH(BJ$11,'Mezz 1 Amortization'!$E$19:$E$379,0),MATCH('Mezz 1 Amortization'!$V$19,'Mezz 1 Amortization'!$B$19:$V$19,0)),IF(AND('Mezz 1 Amortization'!$T$4="Bi-Annual",BJ$5&lt;MIN('Mezz 1 Amortization'!$R$4,'Mezz 1 Amortization'!$S$4)),INDEX('Mezz 1 Amortization'!$B$19:$V$379,MATCH(DATE(BJ$7-1,MAX('Mezz 1 Amortization'!$R$4,'Mezz 1 Amortization'!$S$4),31),'Mezz 1 Amortization'!$E$19:$E$379,0),MATCH('Mezz 1 Amortization'!$V$19,'Mezz 1 Amortization'!$B$19:$V$19,0)),IF(AND('Mezz 1 Amortization'!$T$4="Bi-Annual",BJ$5&gt;MAX('Mezz 1 Amortization'!$R$4,'Mezz 1 Amortization'!$S$4)),INDEX('Mezz 1 Amortization'!$B$19:$V$379,MATCH(DATE(BJ$7,MAX('Mezz 1 Amortization'!$R$4,'Mezz 1 Amortization'!$S$4),31),'Mezz 1 Amortization'!$E$19:$E$379,0),MATCH('Mezz 1 Amortization'!$V$19,'Mezz 1 Amortization'!$B$19:$V$19,0)),IF(AND('Mezz 1 Amortization'!$T$4="Bi-Annual",BJ$5&gt;MIN('Mezz 1 Amortization'!$R$4,'Mezz 1 Amortization'!$S$4),BJ$5&lt;MAX('Mezz 1 Amortization'!$R$4,'Mezz 1 Amortization'!$S$4)),INDEX('Mezz 1 Amortization'!$B$19:$V$379,MATCH(DATE(BJ$7,MIN('Mezz 1 Amortization'!$R$4,'Mezz 1 Amortization'!$S$4),31),'Mezz 1 Amortization'!$E$19:$E$379,0),MATCH('Mezz 1 Amortization'!$V$19,'Mezz 1 Amortization'!$B$19:$V$19,0)),IF(AND('Mezz 1 Amortization'!$T$4="Bi-Annual",BJ$5='Mezz 1 Amortization'!$R$4),INDEX('Mezz 1 Amortization'!$B$19:$V$379,MATCH(DATE(BJ$7,'Mezz 1 Amortization'!$R$4,31),'Mezz 1 Amortization'!$E$19:$E$379,0),MATCH('Mezz 1 Amortization'!$V$19,'Mezz 1 Amortization'!$B$19:$V$19,0)),IF(AND('Mezz 1 Amortization'!$T$4="Bi-Annual",BJ$5='Mezz 1 Amortization'!$S$4),INDEX('Mezz 1 Amortization'!$B$19:$V$379,MATCH(DATE(BJ$7,'Mezz 1 Amortization'!$S$4,31),'Mezz 1 Amortization'!$E$19:$E$379,0),MATCH('Mezz 1 Amortization'!$V$19,'Mezz 1 Amortization'!$B$19:$V$19,0)))))))))))</f>
        <v>0</v>
      </c>
      <c r="BK140" s="427">
        <f>IF('Financing Assumptions'!$P$8="No",0,IF(BK$9&lt;'Financing Assumptions'!$O$26,0,IF(AND('Mezz 1 Amortization'!$T$4&lt;&gt;"Monthly",BK9&lt;='Financing Assumptions'!$O$26),0,IF('Mezz 1 Amortization'!$T$4="Monthly",INDEX('Mezz 1 Amortization'!$B$19:$V$379,MATCH(BK$11,'Mezz 1 Amortization'!$E$19:$E$379,0),MATCH('Mezz 1 Amortization'!$V$19,'Mezz 1 Amortization'!$B$19:$V$19,0)),IF(AND('Mezz 1 Amortization'!$T$4="Bi-Annual",BK$5&lt;MIN('Mezz 1 Amortization'!$R$4,'Mezz 1 Amortization'!$S$4)),INDEX('Mezz 1 Amortization'!$B$19:$V$379,MATCH(DATE(BK$7-1,MAX('Mezz 1 Amortization'!$R$4,'Mezz 1 Amortization'!$S$4),31),'Mezz 1 Amortization'!$E$19:$E$379,0),MATCH('Mezz 1 Amortization'!$V$19,'Mezz 1 Amortization'!$B$19:$V$19,0)),IF(AND('Mezz 1 Amortization'!$T$4="Bi-Annual",BK$5&gt;MAX('Mezz 1 Amortization'!$R$4,'Mezz 1 Amortization'!$S$4)),INDEX('Mezz 1 Amortization'!$B$19:$V$379,MATCH(DATE(BK$7,MAX('Mezz 1 Amortization'!$R$4,'Mezz 1 Amortization'!$S$4),31),'Mezz 1 Amortization'!$E$19:$E$379,0),MATCH('Mezz 1 Amortization'!$V$19,'Mezz 1 Amortization'!$B$19:$V$19,0)),IF(AND('Mezz 1 Amortization'!$T$4="Bi-Annual",BK$5&gt;MIN('Mezz 1 Amortization'!$R$4,'Mezz 1 Amortization'!$S$4),BK$5&lt;MAX('Mezz 1 Amortization'!$R$4,'Mezz 1 Amortization'!$S$4)),INDEX('Mezz 1 Amortization'!$B$19:$V$379,MATCH(DATE(BK$7,MIN('Mezz 1 Amortization'!$R$4,'Mezz 1 Amortization'!$S$4),31),'Mezz 1 Amortization'!$E$19:$E$379,0),MATCH('Mezz 1 Amortization'!$V$19,'Mezz 1 Amortization'!$B$19:$V$19,0)),IF(AND('Mezz 1 Amortization'!$T$4="Bi-Annual",BK$5='Mezz 1 Amortization'!$R$4),INDEX('Mezz 1 Amortization'!$B$19:$V$379,MATCH(DATE(BK$7,'Mezz 1 Amortization'!$R$4,31),'Mezz 1 Amortization'!$E$19:$E$379,0),MATCH('Mezz 1 Amortization'!$V$19,'Mezz 1 Amortization'!$B$19:$V$19,0)),IF(AND('Mezz 1 Amortization'!$T$4="Bi-Annual",BK$5='Mezz 1 Amortization'!$S$4),INDEX('Mezz 1 Amortization'!$B$19:$V$379,MATCH(DATE(BK$7,'Mezz 1 Amortization'!$S$4,31),'Mezz 1 Amortization'!$E$19:$E$379,0),MATCH('Mezz 1 Amortization'!$V$19,'Mezz 1 Amortization'!$B$19:$V$19,0)))))))))))</f>
        <v>0</v>
      </c>
      <c r="BL140" s="427">
        <f>IF('Financing Assumptions'!$P$8="No",0,IF(BL$9&lt;'Financing Assumptions'!$O$26,0,IF(AND('Mezz 1 Amortization'!$T$4&lt;&gt;"Monthly",BL9&lt;='Financing Assumptions'!$O$26),0,IF('Mezz 1 Amortization'!$T$4="Monthly",INDEX('Mezz 1 Amortization'!$B$19:$V$379,MATCH(BL$11,'Mezz 1 Amortization'!$E$19:$E$379,0),MATCH('Mezz 1 Amortization'!$V$19,'Mezz 1 Amortization'!$B$19:$V$19,0)),IF(AND('Mezz 1 Amortization'!$T$4="Bi-Annual",BL$5&lt;MIN('Mezz 1 Amortization'!$R$4,'Mezz 1 Amortization'!$S$4)),INDEX('Mezz 1 Amortization'!$B$19:$V$379,MATCH(DATE(BL$7-1,MAX('Mezz 1 Amortization'!$R$4,'Mezz 1 Amortization'!$S$4),31),'Mezz 1 Amortization'!$E$19:$E$379,0),MATCH('Mezz 1 Amortization'!$V$19,'Mezz 1 Amortization'!$B$19:$V$19,0)),IF(AND('Mezz 1 Amortization'!$T$4="Bi-Annual",BL$5&gt;MAX('Mezz 1 Amortization'!$R$4,'Mezz 1 Amortization'!$S$4)),INDEX('Mezz 1 Amortization'!$B$19:$V$379,MATCH(DATE(BL$7,MAX('Mezz 1 Amortization'!$R$4,'Mezz 1 Amortization'!$S$4),31),'Mezz 1 Amortization'!$E$19:$E$379,0),MATCH('Mezz 1 Amortization'!$V$19,'Mezz 1 Amortization'!$B$19:$V$19,0)),IF(AND('Mezz 1 Amortization'!$T$4="Bi-Annual",BL$5&gt;MIN('Mezz 1 Amortization'!$R$4,'Mezz 1 Amortization'!$S$4),BL$5&lt;MAX('Mezz 1 Amortization'!$R$4,'Mezz 1 Amortization'!$S$4)),INDEX('Mezz 1 Amortization'!$B$19:$V$379,MATCH(DATE(BL$7,MIN('Mezz 1 Amortization'!$R$4,'Mezz 1 Amortization'!$S$4),31),'Mezz 1 Amortization'!$E$19:$E$379,0),MATCH('Mezz 1 Amortization'!$V$19,'Mezz 1 Amortization'!$B$19:$V$19,0)),IF(AND('Mezz 1 Amortization'!$T$4="Bi-Annual",BL$5='Mezz 1 Amortization'!$R$4),INDEX('Mezz 1 Amortization'!$B$19:$V$379,MATCH(DATE(BL$7,'Mezz 1 Amortization'!$R$4,31),'Mezz 1 Amortization'!$E$19:$E$379,0),MATCH('Mezz 1 Amortization'!$V$19,'Mezz 1 Amortization'!$B$19:$V$19,0)),IF(AND('Mezz 1 Amortization'!$T$4="Bi-Annual",BL$5='Mezz 1 Amortization'!$S$4),INDEX('Mezz 1 Amortization'!$B$19:$V$379,MATCH(DATE(BL$7,'Mezz 1 Amortization'!$S$4,31),'Mezz 1 Amortization'!$E$19:$E$379,0),MATCH('Mezz 1 Amortization'!$V$19,'Mezz 1 Amortization'!$B$19:$V$19,0)))))))))))</f>
        <v>0</v>
      </c>
      <c r="BM140" s="427">
        <f>IF('Financing Assumptions'!$P$8="No",0,IF(BM$9&lt;'Financing Assumptions'!$O$26,0,IF(AND('Mezz 1 Amortization'!$T$4&lt;&gt;"Monthly",BM9&lt;='Financing Assumptions'!$O$26),0,IF('Mezz 1 Amortization'!$T$4="Monthly",INDEX('Mezz 1 Amortization'!$B$19:$V$379,MATCH(BM$11,'Mezz 1 Amortization'!$E$19:$E$379,0),MATCH('Mezz 1 Amortization'!$V$19,'Mezz 1 Amortization'!$B$19:$V$19,0)),IF(AND('Mezz 1 Amortization'!$T$4="Bi-Annual",BM$5&lt;MIN('Mezz 1 Amortization'!$R$4,'Mezz 1 Amortization'!$S$4)),INDEX('Mezz 1 Amortization'!$B$19:$V$379,MATCH(DATE(BM$7-1,MAX('Mezz 1 Amortization'!$R$4,'Mezz 1 Amortization'!$S$4),31),'Mezz 1 Amortization'!$E$19:$E$379,0),MATCH('Mezz 1 Amortization'!$V$19,'Mezz 1 Amortization'!$B$19:$V$19,0)),IF(AND('Mezz 1 Amortization'!$T$4="Bi-Annual",BM$5&gt;MAX('Mezz 1 Amortization'!$R$4,'Mezz 1 Amortization'!$S$4)),INDEX('Mezz 1 Amortization'!$B$19:$V$379,MATCH(DATE(BM$7,MAX('Mezz 1 Amortization'!$R$4,'Mezz 1 Amortization'!$S$4),31),'Mezz 1 Amortization'!$E$19:$E$379,0),MATCH('Mezz 1 Amortization'!$V$19,'Mezz 1 Amortization'!$B$19:$V$19,0)),IF(AND('Mezz 1 Amortization'!$T$4="Bi-Annual",BM$5&gt;MIN('Mezz 1 Amortization'!$R$4,'Mezz 1 Amortization'!$S$4),BM$5&lt;MAX('Mezz 1 Amortization'!$R$4,'Mezz 1 Amortization'!$S$4)),INDEX('Mezz 1 Amortization'!$B$19:$V$379,MATCH(DATE(BM$7,MIN('Mezz 1 Amortization'!$R$4,'Mezz 1 Amortization'!$S$4),31),'Mezz 1 Amortization'!$E$19:$E$379,0),MATCH('Mezz 1 Amortization'!$V$19,'Mezz 1 Amortization'!$B$19:$V$19,0)),IF(AND('Mezz 1 Amortization'!$T$4="Bi-Annual",BM$5='Mezz 1 Amortization'!$R$4),INDEX('Mezz 1 Amortization'!$B$19:$V$379,MATCH(DATE(BM$7,'Mezz 1 Amortization'!$R$4,31),'Mezz 1 Amortization'!$E$19:$E$379,0),MATCH('Mezz 1 Amortization'!$V$19,'Mezz 1 Amortization'!$B$19:$V$19,0)),IF(AND('Mezz 1 Amortization'!$T$4="Bi-Annual",BM$5='Mezz 1 Amortization'!$S$4),INDEX('Mezz 1 Amortization'!$B$19:$V$379,MATCH(DATE(BM$7,'Mezz 1 Amortization'!$S$4,31),'Mezz 1 Amortization'!$E$19:$E$379,0),MATCH('Mezz 1 Amortization'!$V$19,'Mezz 1 Amortization'!$B$19:$V$19,0)))))))))))</f>
        <v>0</v>
      </c>
      <c r="BN140" s="427">
        <f>IF('Financing Assumptions'!$P$8="No",0,IF(BN$9&lt;'Financing Assumptions'!$O$26,0,IF(AND('Mezz 1 Amortization'!$T$4&lt;&gt;"Monthly",BN9&lt;='Financing Assumptions'!$O$26),0,IF('Mezz 1 Amortization'!$T$4="Monthly",INDEX('Mezz 1 Amortization'!$B$19:$V$379,MATCH(BN$11,'Mezz 1 Amortization'!$E$19:$E$379,0),MATCH('Mezz 1 Amortization'!$V$19,'Mezz 1 Amortization'!$B$19:$V$19,0)),IF(AND('Mezz 1 Amortization'!$T$4="Bi-Annual",BN$5&lt;MIN('Mezz 1 Amortization'!$R$4,'Mezz 1 Amortization'!$S$4)),INDEX('Mezz 1 Amortization'!$B$19:$V$379,MATCH(DATE(BN$7-1,MAX('Mezz 1 Amortization'!$R$4,'Mezz 1 Amortization'!$S$4),31),'Mezz 1 Amortization'!$E$19:$E$379,0),MATCH('Mezz 1 Amortization'!$V$19,'Mezz 1 Amortization'!$B$19:$V$19,0)),IF(AND('Mezz 1 Amortization'!$T$4="Bi-Annual",BN$5&gt;MAX('Mezz 1 Amortization'!$R$4,'Mezz 1 Amortization'!$S$4)),INDEX('Mezz 1 Amortization'!$B$19:$V$379,MATCH(DATE(BN$7,MAX('Mezz 1 Amortization'!$R$4,'Mezz 1 Amortization'!$S$4),31),'Mezz 1 Amortization'!$E$19:$E$379,0),MATCH('Mezz 1 Amortization'!$V$19,'Mezz 1 Amortization'!$B$19:$V$19,0)),IF(AND('Mezz 1 Amortization'!$T$4="Bi-Annual",BN$5&gt;MIN('Mezz 1 Amortization'!$R$4,'Mezz 1 Amortization'!$S$4),BN$5&lt;MAX('Mezz 1 Amortization'!$R$4,'Mezz 1 Amortization'!$S$4)),INDEX('Mezz 1 Amortization'!$B$19:$V$379,MATCH(DATE(BN$7,MIN('Mezz 1 Amortization'!$R$4,'Mezz 1 Amortization'!$S$4),31),'Mezz 1 Amortization'!$E$19:$E$379,0),MATCH('Mezz 1 Amortization'!$V$19,'Mezz 1 Amortization'!$B$19:$V$19,0)),IF(AND('Mezz 1 Amortization'!$T$4="Bi-Annual",BN$5='Mezz 1 Amortization'!$R$4),INDEX('Mezz 1 Amortization'!$B$19:$V$379,MATCH(DATE(BN$7,'Mezz 1 Amortization'!$R$4,31),'Mezz 1 Amortization'!$E$19:$E$379,0),MATCH('Mezz 1 Amortization'!$V$19,'Mezz 1 Amortization'!$B$19:$V$19,0)),IF(AND('Mezz 1 Amortization'!$T$4="Bi-Annual",BN$5='Mezz 1 Amortization'!$S$4),INDEX('Mezz 1 Amortization'!$B$19:$V$379,MATCH(DATE(BN$7,'Mezz 1 Amortization'!$S$4,31),'Mezz 1 Amortization'!$E$19:$E$379,0),MATCH('Mezz 1 Amortization'!$V$19,'Mezz 1 Amortization'!$B$19:$V$19,0)))))))))))</f>
        <v>0</v>
      </c>
      <c r="BO140" s="427">
        <f>IF('Financing Assumptions'!$P$8="No",0,IF(BO$9&lt;'Financing Assumptions'!$O$26,0,IF(AND('Mezz 1 Amortization'!$T$4&lt;&gt;"Monthly",BO9&lt;='Financing Assumptions'!$O$26),0,IF('Mezz 1 Amortization'!$T$4="Monthly",INDEX('Mezz 1 Amortization'!$B$19:$V$379,MATCH(BO$11,'Mezz 1 Amortization'!$E$19:$E$379,0),MATCH('Mezz 1 Amortization'!$V$19,'Mezz 1 Amortization'!$B$19:$V$19,0)),IF(AND('Mezz 1 Amortization'!$T$4="Bi-Annual",BO$5&lt;MIN('Mezz 1 Amortization'!$R$4,'Mezz 1 Amortization'!$S$4)),INDEX('Mezz 1 Amortization'!$B$19:$V$379,MATCH(DATE(BO$7-1,MAX('Mezz 1 Amortization'!$R$4,'Mezz 1 Amortization'!$S$4),31),'Mezz 1 Amortization'!$E$19:$E$379,0),MATCH('Mezz 1 Amortization'!$V$19,'Mezz 1 Amortization'!$B$19:$V$19,0)),IF(AND('Mezz 1 Amortization'!$T$4="Bi-Annual",BO$5&gt;MAX('Mezz 1 Amortization'!$R$4,'Mezz 1 Amortization'!$S$4)),INDEX('Mezz 1 Amortization'!$B$19:$V$379,MATCH(DATE(BO$7,MAX('Mezz 1 Amortization'!$R$4,'Mezz 1 Amortization'!$S$4),31),'Mezz 1 Amortization'!$E$19:$E$379,0),MATCH('Mezz 1 Amortization'!$V$19,'Mezz 1 Amortization'!$B$19:$V$19,0)),IF(AND('Mezz 1 Amortization'!$T$4="Bi-Annual",BO$5&gt;MIN('Mezz 1 Amortization'!$R$4,'Mezz 1 Amortization'!$S$4),BO$5&lt;MAX('Mezz 1 Amortization'!$R$4,'Mezz 1 Amortization'!$S$4)),INDEX('Mezz 1 Amortization'!$B$19:$V$379,MATCH(DATE(BO$7,MIN('Mezz 1 Amortization'!$R$4,'Mezz 1 Amortization'!$S$4),31),'Mezz 1 Amortization'!$E$19:$E$379,0),MATCH('Mezz 1 Amortization'!$V$19,'Mezz 1 Amortization'!$B$19:$V$19,0)),IF(AND('Mezz 1 Amortization'!$T$4="Bi-Annual",BO$5='Mezz 1 Amortization'!$R$4),INDEX('Mezz 1 Amortization'!$B$19:$V$379,MATCH(DATE(BO$7,'Mezz 1 Amortization'!$R$4,31),'Mezz 1 Amortization'!$E$19:$E$379,0),MATCH('Mezz 1 Amortization'!$V$19,'Mezz 1 Amortization'!$B$19:$V$19,0)),IF(AND('Mezz 1 Amortization'!$T$4="Bi-Annual",BO$5='Mezz 1 Amortization'!$S$4),INDEX('Mezz 1 Amortization'!$B$19:$V$379,MATCH(DATE(BO$7,'Mezz 1 Amortization'!$S$4,31),'Mezz 1 Amortization'!$E$19:$E$379,0),MATCH('Mezz 1 Amortization'!$V$19,'Mezz 1 Amortization'!$B$19:$V$19,0)))))))))))</f>
        <v>0</v>
      </c>
      <c r="BP140" s="427">
        <f>IF('Financing Assumptions'!$P$8="No",0,IF(BP$9&lt;'Financing Assumptions'!$O$26,0,IF(AND('Mezz 1 Amortization'!$T$4&lt;&gt;"Monthly",BP9&lt;='Financing Assumptions'!$O$26),0,IF('Mezz 1 Amortization'!$T$4="Monthly",INDEX('Mezz 1 Amortization'!$B$19:$V$379,MATCH(BP$11,'Mezz 1 Amortization'!$E$19:$E$379,0),MATCH('Mezz 1 Amortization'!$V$19,'Mezz 1 Amortization'!$B$19:$V$19,0)),IF(AND('Mezz 1 Amortization'!$T$4="Bi-Annual",BP$5&lt;MIN('Mezz 1 Amortization'!$R$4,'Mezz 1 Amortization'!$S$4)),INDEX('Mezz 1 Amortization'!$B$19:$V$379,MATCH(DATE(BP$7-1,MAX('Mezz 1 Amortization'!$R$4,'Mezz 1 Amortization'!$S$4),31),'Mezz 1 Amortization'!$E$19:$E$379,0),MATCH('Mezz 1 Amortization'!$V$19,'Mezz 1 Amortization'!$B$19:$V$19,0)),IF(AND('Mezz 1 Amortization'!$T$4="Bi-Annual",BP$5&gt;MAX('Mezz 1 Amortization'!$R$4,'Mezz 1 Amortization'!$S$4)),INDEX('Mezz 1 Amortization'!$B$19:$V$379,MATCH(DATE(BP$7,MAX('Mezz 1 Amortization'!$R$4,'Mezz 1 Amortization'!$S$4),31),'Mezz 1 Amortization'!$E$19:$E$379,0),MATCH('Mezz 1 Amortization'!$V$19,'Mezz 1 Amortization'!$B$19:$V$19,0)),IF(AND('Mezz 1 Amortization'!$T$4="Bi-Annual",BP$5&gt;MIN('Mezz 1 Amortization'!$R$4,'Mezz 1 Amortization'!$S$4),BP$5&lt;MAX('Mezz 1 Amortization'!$R$4,'Mezz 1 Amortization'!$S$4)),INDEX('Mezz 1 Amortization'!$B$19:$V$379,MATCH(DATE(BP$7,MIN('Mezz 1 Amortization'!$R$4,'Mezz 1 Amortization'!$S$4),31),'Mezz 1 Amortization'!$E$19:$E$379,0),MATCH('Mezz 1 Amortization'!$V$19,'Mezz 1 Amortization'!$B$19:$V$19,0)),IF(AND('Mezz 1 Amortization'!$T$4="Bi-Annual",BP$5='Mezz 1 Amortization'!$R$4),INDEX('Mezz 1 Amortization'!$B$19:$V$379,MATCH(DATE(BP$7,'Mezz 1 Amortization'!$R$4,31),'Mezz 1 Amortization'!$E$19:$E$379,0),MATCH('Mezz 1 Amortization'!$V$19,'Mezz 1 Amortization'!$B$19:$V$19,0)),IF(AND('Mezz 1 Amortization'!$T$4="Bi-Annual",BP$5='Mezz 1 Amortization'!$S$4),INDEX('Mezz 1 Amortization'!$B$19:$V$379,MATCH(DATE(BP$7,'Mezz 1 Amortization'!$S$4,31),'Mezz 1 Amortization'!$E$19:$E$379,0),MATCH('Mezz 1 Amortization'!$V$19,'Mezz 1 Amortization'!$B$19:$V$19,0)))))))))))</f>
        <v>0</v>
      </c>
      <c r="BQ140" s="427">
        <f>IF('Financing Assumptions'!$P$8="No",0,IF(BQ$9&lt;'Financing Assumptions'!$O$26,0,IF(AND('Mezz 1 Amortization'!$T$4&lt;&gt;"Monthly",BQ9&lt;='Financing Assumptions'!$O$26),0,IF('Mezz 1 Amortization'!$T$4="Monthly",INDEX('Mezz 1 Amortization'!$B$19:$V$379,MATCH(BQ$11,'Mezz 1 Amortization'!$E$19:$E$379,0),MATCH('Mezz 1 Amortization'!$V$19,'Mezz 1 Amortization'!$B$19:$V$19,0)),IF(AND('Mezz 1 Amortization'!$T$4="Bi-Annual",BQ$5&lt;MIN('Mezz 1 Amortization'!$R$4,'Mezz 1 Amortization'!$S$4)),INDEX('Mezz 1 Amortization'!$B$19:$V$379,MATCH(DATE(BQ$7-1,MAX('Mezz 1 Amortization'!$R$4,'Mezz 1 Amortization'!$S$4),31),'Mezz 1 Amortization'!$E$19:$E$379,0),MATCH('Mezz 1 Amortization'!$V$19,'Mezz 1 Amortization'!$B$19:$V$19,0)),IF(AND('Mezz 1 Amortization'!$T$4="Bi-Annual",BQ$5&gt;MAX('Mezz 1 Amortization'!$R$4,'Mezz 1 Amortization'!$S$4)),INDEX('Mezz 1 Amortization'!$B$19:$V$379,MATCH(DATE(BQ$7,MAX('Mezz 1 Amortization'!$R$4,'Mezz 1 Amortization'!$S$4),31),'Mezz 1 Amortization'!$E$19:$E$379,0),MATCH('Mezz 1 Amortization'!$V$19,'Mezz 1 Amortization'!$B$19:$V$19,0)),IF(AND('Mezz 1 Amortization'!$T$4="Bi-Annual",BQ$5&gt;MIN('Mezz 1 Amortization'!$R$4,'Mezz 1 Amortization'!$S$4),BQ$5&lt;MAX('Mezz 1 Amortization'!$R$4,'Mezz 1 Amortization'!$S$4)),INDEX('Mezz 1 Amortization'!$B$19:$V$379,MATCH(DATE(BQ$7,MIN('Mezz 1 Amortization'!$R$4,'Mezz 1 Amortization'!$S$4),31),'Mezz 1 Amortization'!$E$19:$E$379,0),MATCH('Mezz 1 Amortization'!$V$19,'Mezz 1 Amortization'!$B$19:$V$19,0)),IF(AND('Mezz 1 Amortization'!$T$4="Bi-Annual",BQ$5='Mezz 1 Amortization'!$R$4),INDEX('Mezz 1 Amortization'!$B$19:$V$379,MATCH(DATE(BQ$7,'Mezz 1 Amortization'!$R$4,31),'Mezz 1 Amortization'!$E$19:$E$379,0),MATCH('Mezz 1 Amortization'!$V$19,'Mezz 1 Amortization'!$B$19:$V$19,0)),IF(AND('Mezz 1 Amortization'!$T$4="Bi-Annual",BQ$5='Mezz 1 Amortization'!$S$4),INDEX('Mezz 1 Amortization'!$B$19:$V$379,MATCH(DATE(BQ$7,'Mezz 1 Amortization'!$S$4,31),'Mezz 1 Amortization'!$E$19:$E$379,0),MATCH('Mezz 1 Amortization'!$V$19,'Mezz 1 Amortization'!$B$19:$V$19,0)))))))))))</f>
        <v>0</v>
      </c>
      <c r="BR140" s="427">
        <f>IF('Financing Assumptions'!$P$8="No",0,IF(BR$9&lt;'Financing Assumptions'!$O$26,0,IF(AND('Mezz 1 Amortization'!$T$4&lt;&gt;"Monthly",BR9&lt;='Financing Assumptions'!$O$26),0,IF('Mezz 1 Amortization'!$T$4="Monthly",INDEX('Mezz 1 Amortization'!$B$19:$V$379,MATCH(BR$11,'Mezz 1 Amortization'!$E$19:$E$379,0),MATCH('Mezz 1 Amortization'!$V$19,'Mezz 1 Amortization'!$B$19:$V$19,0)),IF(AND('Mezz 1 Amortization'!$T$4="Bi-Annual",BR$5&lt;MIN('Mezz 1 Amortization'!$R$4,'Mezz 1 Amortization'!$S$4)),INDEX('Mezz 1 Amortization'!$B$19:$V$379,MATCH(DATE(BR$7-1,MAX('Mezz 1 Amortization'!$R$4,'Mezz 1 Amortization'!$S$4),31),'Mezz 1 Amortization'!$E$19:$E$379,0),MATCH('Mezz 1 Amortization'!$V$19,'Mezz 1 Amortization'!$B$19:$V$19,0)),IF(AND('Mezz 1 Amortization'!$T$4="Bi-Annual",BR$5&gt;MAX('Mezz 1 Amortization'!$R$4,'Mezz 1 Amortization'!$S$4)),INDEX('Mezz 1 Amortization'!$B$19:$V$379,MATCH(DATE(BR$7,MAX('Mezz 1 Amortization'!$R$4,'Mezz 1 Amortization'!$S$4),31),'Mezz 1 Amortization'!$E$19:$E$379,0),MATCH('Mezz 1 Amortization'!$V$19,'Mezz 1 Amortization'!$B$19:$V$19,0)),IF(AND('Mezz 1 Amortization'!$T$4="Bi-Annual",BR$5&gt;MIN('Mezz 1 Amortization'!$R$4,'Mezz 1 Amortization'!$S$4),BR$5&lt;MAX('Mezz 1 Amortization'!$R$4,'Mezz 1 Amortization'!$S$4)),INDEX('Mezz 1 Amortization'!$B$19:$V$379,MATCH(DATE(BR$7,MIN('Mezz 1 Amortization'!$R$4,'Mezz 1 Amortization'!$S$4),31),'Mezz 1 Amortization'!$E$19:$E$379,0),MATCH('Mezz 1 Amortization'!$V$19,'Mezz 1 Amortization'!$B$19:$V$19,0)),IF(AND('Mezz 1 Amortization'!$T$4="Bi-Annual",BR$5='Mezz 1 Amortization'!$R$4),INDEX('Mezz 1 Amortization'!$B$19:$V$379,MATCH(DATE(BR$7,'Mezz 1 Amortization'!$R$4,31),'Mezz 1 Amortization'!$E$19:$E$379,0),MATCH('Mezz 1 Amortization'!$V$19,'Mezz 1 Amortization'!$B$19:$V$19,0)),IF(AND('Mezz 1 Amortization'!$T$4="Bi-Annual",BR$5='Mezz 1 Amortization'!$S$4),INDEX('Mezz 1 Amortization'!$B$19:$V$379,MATCH(DATE(BR$7,'Mezz 1 Amortization'!$S$4,31),'Mezz 1 Amortization'!$E$19:$E$379,0),MATCH('Mezz 1 Amortization'!$V$19,'Mezz 1 Amortization'!$B$19:$V$19,0)))))))))))</f>
        <v>0</v>
      </c>
      <c r="BS140" s="427">
        <f>IF('Financing Assumptions'!$P$8="No",0,IF(BS$9&lt;'Financing Assumptions'!$O$26,0,IF(AND('Mezz 1 Amortization'!$T$4&lt;&gt;"Monthly",BS9&lt;='Financing Assumptions'!$O$26),0,IF('Mezz 1 Amortization'!$T$4="Monthly",INDEX('Mezz 1 Amortization'!$B$19:$V$379,MATCH(BS$11,'Mezz 1 Amortization'!$E$19:$E$379,0),MATCH('Mezz 1 Amortization'!$V$19,'Mezz 1 Amortization'!$B$19:$V$19,0)),IF(AND('Mezz 1 Amortization'!$T$4="Bi-Annual",BS$5&lt;MIN('Mezz 1 Amortization'!$R$4,'Mezz 1 Amortization'!$S$4)),INDEX('Mezz 1 Amortization'!$B$19:$V$379,MATCH(DATE(BS$7-1,MAX('Mezz 1 Amortization'!$R$4,'Mezz 1 Amortization'!$S$4),31),'Mezz 1 Amortization'!$E$19:$E$379,0),MATCH('Mezz 1 Amortization'!$V$19,'Mezz 1 Amortization'!$B$19:$V$19,0)),IF(AND('Mezz 1 Amortization'!$T$4="Bi-Annual",BS$5&gt;MAX('Mezz 1 Amortization'!$R$4,'Mezz 1 Amortization'!$S$4)),INDEX('Mezz 1 Amortization'!$B$19:$V$379,MATCH(DATE(BS$7,MAX('Mezz 1 Amortization'!$R$4,'Mezz 1 Amortization'!$S$4),31),'Mezz 1 Amortization'!$E$19:$E$379,0),MATCH('Mezz 1 Amortization'!$V$19,'Mezz 1 Amortization'!$B$19:$V$19,0)),IF(AND('Mezz 1 Amortization'!$T$4="Bi-Annual",BS$5&gt;MIN('Mezz 1 Amortization'!$R$4,'Mezz 1 Amortization'!$S$4),BS$5&lt;MAX('Mezz 1 Amortization'!$R$4,'Mezz 1 Amortization'!$S$4)),INDEX('Mezz 1 Amortization'!$B$19:$V$379,MATCH(DATE(BS$7,MIN('Mezz 1 Amortization'!$R$4,'Mezz 1 Amortization'!$S$4),31),'Mezz 1 Amortization'!$E$19:$E$379,0),MATCH('Mezz 1 Amortization'!$V$19,'Mezz 1 Amortization'!$B$19:$V$19,0)),IF(AND('Mezz 1 Amortization'!$T$4="Bi-Annual",BS$5='Mezz 1 Amortization'!$R$4),INDEX('Mezz 1 Amortization'!$B$19:$V$379,MATCH(DATE(BS$7,'Mezz 1 Amortization'!$R$4,31),'Mezz 1 Amortization'!$E$19:$E$379,0),MATCH('Mezz 1 Amortization'!$V$19,'Mezz 1 Amortization'!$B$19:$V$19,0)),IF(AND('Mezz 1 Amortization'!$T$4="Bi-Annual",BS$5='Mezz 1 Amortization'!$S$4),INDEX('Mezz 1 Amortization'!$B$19:$V$379,MATCH(DATE(BS$7,'Mezz 1 Amortization'!$S$4,31),'Mezz 1 Amortization'!$E$19:$E$379,0),MATCH('Mezz 1 Amortization'!$V$19,'Mezz 1 Amortization'!$B$19:$V$19,0)))))))))))</f>
        <v>0</v>
      </c>
      <c r="BT140" s="427">
        <f>IF('Financing Assumptions'!$P$8="No",0,IF(BT$9&lt;'Financing Assumptions'!$O$26,0,IF(AND('Mezz 1 Amortization'!$T$4&lt;&gt;"Monthly",BT9&lt;='Financing Assumptions'!$O$26),0,IF('Mezz 1 Amortization'!$T$4="Monthly",INDEX('Mezz 1 Amortization'!$B$19:$V$379,MATCH(BT$11,'Mezz 1 Amortization'!$E$19:$E$379,0),MATCH('Mezz 1 Amortization'!$V$19,'Mezz 1 Amortization'!$B$19:$V$19,0)),IF(AND('Mezz 1 Amortization'!$T$4="Bi-Annual",BT$5&lt;MIN('Mezz 1 Amortization'!$R$4,'Mezz 1 Amortization'!$S$4)),INDEX('Mezz 1 Amortization'!$B$19:$V$379,MATCH(DATE(BT$7-1,MAX('Mezz 1 Amortization'!$R$4,'Mezz 1 Amortization'!$S$4),31),'Mezz 1 Amortization'!$E$19:$E$379,0),MATCH('Mezz 1 Amortization'!$V$19,'Mezz 1 Amortization'!$B$19:$V$19,0)),IF(AND('Mezz 1 Amortization'!$T$4="Bi-Annual",BT$5&gt;MAX('Mezz 1 Amortization'!$R$4,'Mezz 1 Amortization'!$S$4)),INDEX('Mezz 1 Amortization'!$B$19:$V$379,MATCH(DATE(BT$7,MAX('Mezz 1 Amortization'!$R$4,'Mezz 1 Amortization'!$S$4),31),'Mezz 1 Amortization'!$E$19:$E$379,0),MATCH('Mezz 1 Amortization'!$V$19,'Mezz 1 Amortization'!$B$19:$V$19,0)),IF(AND('Mezz 1 Amortization'!$T$4="Bi-Annual",BT$5&gt;MIN('Mezz 1 Amortization'!$R$4,'Mezz 1 Amortization'!$S$4),BT$5&lt;MAX('Mezz 1 Amortization'!$R$4,'Mezz 1 Amortization'!$S$4)),INDEX('Mezz 1 Amortization'!$B$19:$V$379,MATCH(DATE(BT$7,MIN('Mezz 1 Amortization'!$R$4,'Mezz 1 Amortization'!$S$4),31),'Mezz 1 Amortization'!$E$19:$E$379,0),MATCH('Mezz 1 Amortization'!$V$19,'Mezz 1 Amortization'!$B$19:$V$19,0)),IF(AND('Mezz 1 Amortization'!$T$4="Bi-Annual",BT$5='Mezz 1 Amortization'!$R$4),INDEX('Mezz 1 Amortization'!$B$19:$V$379,MATCH(DATE(BT$7,'Mezz 1 Amortization'!$R$4,31),'Mezz 1 Amortization'!$E$19:$E$379,0),MATCH('Mezz 1 Amortization'!$V$19,'Mezz 1 Amortization'!$B$19:$V$19,0)),IF(AND('Mezz 1 Amortization'!$T$4="Bi-Annual",BT$5='Mezz 1 Amortization'!$S$4),INDEX('Mezz 1 Amortization'!$B$19:$V$379,MATCH(DATE(BT$7,'Mezz 1 Amortization'!$S$4,31),'Mezz 1 Amortization'!$E$19:$E$379,0),MATCH('Mezz 1 Amortization'!$V$19,'Mezz 1 Amortization'!$B$19:$V$19,0)))))))))))</f>
        <v>0</v>
      </c>
      <c r="BU140" s="427">
        <f>IF('Financing Assumptions'!$P$8="No",0,IF(BU$9&lt;'Financing Assumptions'!$O$26,0,IF(AND('Mezz 1 Amortization'!$T$4&lt;&gt;"Monthly",BU9&lt;='Financing Assumptions'!$O$26),0,IF('Mezz 1 Amortization'!$T$4="Monthly",INDEX('Mezz 1 Amortization'!$B$19:$V$379,MATCH(BU$11,'Mezz 1 Amortization'!$E$19:$E$379,0),MATCH('Mezz 1 Amortization'!$V$19,'Mezz 1 Amortization'!$B$19:$V$19,0)),IF(AND('Mezz 1 Amortization'!$T$4="Bi-Annual",BU$5&lt;MIN('Mezz 1 Amortization'!$R$4,'Mezz 1 Amortization'!$S$4)),INDEX('Mezz 1 Amortization'!$B$19:$V$379,MATCH(DATE(BU$7-1,MAX('Mezz 1 Amortization'!$R$4,'Mezz 1 Amortization'!$S$4),31),'Mezz 1 Amortization'!$E$19:$E$379,0),MATCH('Mezz 1 Amortization'!$V$19,'Mezz 1 Amortization'!$B$19:$V$19,0)),IF(AND('Mezz 1 Amortization'!$T$4="Bi-Annual",BU$5&gt;MAX('Mezz 1 Amortization'!$R$4,'Mezz 1 Amortization'!$S$4)),INDEX('Mezz 1 Amortization'!$B$19:$V$379,MATCH(DATE(BU$7,MAX('Mezz 1 Amortization'!$R$4,'Mezz 1 Amortization'!$S$4),31),'Mezz 1 Amortization'!$E$19:$E$379,0),MATCH('Mezz 1 Amortization'!$V$19,'Mezz 1 Amortization'!$B$19:$V$19,0)),IF(AND('Mezz 1 Amortization'!$T$4="Bi-Annual",BU$5&gt;MIN('Mezz 1 Amortization'!$R$4,'Mezz 1 Amortization'!$S$4),BU$5&lt;MAX('Mezz 1 Amortization'!$R$4,'Mezz 1 Amortization'!$S$4)),INDEX('Mezz 1 Amortization'!$B$19:$V$379,MATCH(DATE(BU$7,MIN('Mezz 1 Amortization'!$R$4,'Mezz 1 Amortization'!$S$4),31),'Mezz 1 Amortization'!$E$19:$E$379,0),MATCH('Mezz 1 Amortization'!$V$19,'Mezz 1 Amortization'!$B$19:$V$19,0)),IF(AND('Mezz 1 Amortization'!$T$4="Bi-Annual",BU$5='Mezz 1 Amortization'!$R$4),INDEX('Mezz 1 Amortization'!$B$19:$V$379,MATCH(DATE(BU$7,'Mezz 1 Amortization'!$R$4,31),'Mezz 1 Amortization'!$E$19:$E$379,0),MATCH('Mezz 1 Amortization'!$V$19,'Mezz 1 Amortization'!$B$19:$V$19,0)),IF(AND('Mezz 1 Amortization'!$T$4="Bi-Annual",BU$5='Mezz 1 Amortization'!$S$4),INDEX('Mezz 1 Amortization'!$B$19:$V$379,MATCH(DATE(BU$7,'Mezz 1 Amortization'!$S$4,31),'Mezz 1 Amortization'!$E$19:$E$379,0),MATCH('Mezz 1 Amortization'!$V$19,'Mezz 1 Amortization'!$B$19:$V$19,0)))))))))))</f>
        <v>0</v>
      </c>
      <c r="BV140" s="427">
        <f>IF('Financing Assumptions'!$P$8="No",0,IF(BV$9&lt;'Financing Assumptions'!$O$26,0,IF(AND('Mezz 1 Amortization'!$T$4&lt;&gt;"Monthly",BV9&lt;='Financing Assumptions'!$O$26),0,IF('Mezz 1 Amortization'!$T$4="Monthly",INDEX('Mezz 1 Amortization'!$B$19:$V$379,MATCH(BV$11,'Mezz 1 Amortization'!$E$19:$E$379,0),MATCH('Mezz 1 Amortization'!$V$19,'Mezz 1 Amortization'!$B$19:$V$19,0)),IF(AND('Mezz 1 Amortization'!$T$4="Bi-Annual",BV$5&lt;MIN('Mezz 1 Amortization'!$R$4,'Mezz 1 Amortization'!$S$4)),INDEX('Mezz 1 Amortization'!$B$19:$V$379,MATCH(DATE(BV$7-1,MAX('Mezz 1 Amortization'!$R$4,'Mezz 1 Amortization'!$S$4),31),'Mezz 1 Amortization'!$E$19:$E$379,0),MATCH('Mezz 1 Amortization'!$V$19,'Mezz 1 Amortization'!$B$19:$V$19,0)),IF(AND('Mezz 1 Amortization'!$T$4="Bi-Annual",BV$5&gt;MAX('Mezz 1 Amortization'!$R$4,'Mezz 1 Amortization'!$S$4)),INDEX('Mezz 1 Amortization'!$B$19:$V$379,MATCH(DATE(BV$7,MAX('Mezz 1 Amortization'!$R$4,'Mezz 1 Amortization'!$S$4),31),'Mezz 1 Amortization'!$E$19:$E$379,0),MATCH('Mezz 1 Amortization'!$V$19,'Mezz 1 Amortization'!$B$19:$V$19,0)),IF(AND('Mezz 1 Amortization'!$T$4="Bi-Annual",BV$5&gt;MIN('Mezz 1 Amortization'!$R$4,'Mezz 1 Amortization'!$S$4),BV$5&lt;MAX('Mezz 1 Amortization'!$R$4,'Mezz 1 Amortization'!$S$4)),INDEX('Mezz 1 Amortization'!$B$19:$V$379,MATCH(DATE(BV$7,MIN('Mezz 1 Amortization'!$R$4,'Mezz 1 Amortization'!$S$4),31),'Mezz 1 Amortization'!$E$19:$E$379,0),MATCH('Mezz 1 Amortization'!$V$19,'Mezz 1 Amortization'!$B$19:$V$19,0)),IF(AND('Mezz 1 Amortization'!$T$4="Bi-Annual",BV$5='Mezz 1 Amortization'!$R$4),INDEX('Mezz 1 Amortization'!$B$19:$V$379,MATCH(DATE(BV$7,'Mezz 1 Amortization'!$R$4,31),'Mezz 1 Amortization'!$E$19:$E$379,0),MATCH('Mezz 1 Amortization'!$V$19,'Mezz 1 Amortization'!$B$19:$V$19,0)),IF(AND('Mezz 1 Amortization'!$T$4="Bi-Annual",BV$5='Mezz 1 Amortization'!$S$4),INDEX('Mezz 1 Amortization'!$B$19:$V$379,MATCH(DATE(BV$7,'Mezz 1 Amortization'!$S$4,31),'Mezz 1 Amortization'!$E$19:$E$379,0),MATCH('Mezz 1 Amortization'!$V$19,'Mezz 1 Amortization'!$B$19:$V$19,0)))))))))))</f>
        <v>0</v>
      </c>
      <c r="BW140" s="427">
        <f>IF('Financing Assumptions'!$P$8="No",0,IF(BW$9&lt;'Financing Assumptions'!$O$26,0,IF(AND('Mezz 1 Amortization'!$T$4&lt;&gt;"Monthly",BW9&lt;='Financing Assumptions'!$O$26),0,IF('Mezz 1 Amortization'!$T$4="Monthly",INDEX('Mezz 1 Amortization'!$B$19:$V$379,MATCH(BW$11,'Mezz 1 Amortization'!$E$19:$E$379,0),MATCH('Mezz 1 Amortization'!$V$19,'Mezz 1 Amortization'!$B$19:$V$19,0)),IF(AND('Mezz 1 Amortization'!$T$4="Bi-Annual",BW$5&lt;MIN('Mezz 1 Amortization'!$R$4,'Mezz 1 Amortization'!$S$4)),INDEX('Mezz 1 Amortization'!$B$19:$V$379,MATCH(DATE(BW$7-1,MAX('Mezz 1 Amortization'!$R$4,'Mezz 1 Amortization'!$S$4),31),'Mezz 1 Amortization'!$E$19:$E$379,0),MATCH('Mezz 1 Amortization'!$V$19,'Mezz 1 Amortization'!$B$19:$V$19,0)),IF(AND('Mezz 1 Amortization'!$T$4="Bi-Annual",BW$5&gt;MAX('Mezz 1 Amortization'!$R$4,'Mezz 1 Amortization'!$S$4)),INDEX('Mezz 1 Amortization'!$B$19:$V$379,MATCH(DATE(BW$7,MAX('Mezz 1 Amortization'!$R$4,'Mezz 1 Amortization'!$S$4),31),'Mezz 1 Amortization'!$E$19:$E$379,0),MATCH('Mezz 1 Amortization'!$V$19,'Mezz 1 Amortization'!$B$19:$V$19,0)),IF(AND('Mezz 1 Amortization'!$T$4="Bi-Annual",BW$5&gt;MIN('Mezz 1 Amortization'!$R$4,'Mezz 1 Amortization'!$S$4),BW$5&lt;MAX('Mezz 1 Amortization'!$R$4,'Mezz 1 Amortization'!$S$4)),INDEX('Mezz 1 Amortization'!$B$19:$V$379,MATCH(DATE(BW$7,MIN('Mezz 1 Amortization'!$R$4,'Mezz 1 Amortization'!$S$4),31),'Mezz 1 Amortization'!$E$19:$E$379,0),MATCH('Mezz 1 Amortization'!$V$19,'Mezz 1 Amortization'!$B$19:$V$19,0)),IF(AND('Mezz 1 Amortization'!$T$4="Bi-Annual",BW$5='Mezz 1 Amortization'!$R$4),INDEX('Mezz 1 Amortization'!$B$19:$V$379,MATCH(DATE(BW$7,'Mezz 1 Amortization'!$R$4,31),'Mezz 1 Amortization'!$E$19:$E$379,0),MATCH('Mezz 1 Amortization'!$V$19,'Mezz 1 Amortization'!$B$19:$V$19,0)),IF(AND('Mezz 1 Amortization'!$T$4="Bi-Annual",BW$5='Mezz 1 Amortization'!$S$4),INDEX('Mezz 1 Amortization'!$B$19:$V$379,MATCH(DATE(BW$7,'Mezz 1 Amortization'!$S$4,31),'Mezz 1 Amortization'!$E$19:$E$379,0),MATCH('Mezz 1 Amortization'!$V$19,'Mezz 1 Amortization'!$B$19:$V$19,0)))))))))))</f>
        <v>0</v>
      </c>
      <c r="BX140" s="427">
        <f>IF('Financing Assumptions'!$P$8="No",0,IF(BX$9&lt;'Financing Assumptions'!$O$26,0,IF(AND('Mezz 1 Amortization'!$T$4&lt;&gt;"Monthly",BX9&lt;='Financing Assumptions'!$O$26),0,IF('Mezz 1 Amortization'!$T$4="Monthly",INDEX('Mezz 1 Amortization'!$B$19:$V$379,MATCH(BX$11,'Mezz 1 Amortization'!$E$19:$E$379,0),MATCH('Mezz 1 Amortization'!$V$19,'Mezz 1 Amortization'!$B$19:$V$19,0)),IF(AND('Mezz 1 Amortization'!$T$4="Bi-Annual",BX$5&lt;MIN('Mezz 1 Amortization'!$R$4,'Mezz 1 Amortization'!$S$4)),INDEX('Mezz 1 Amortization'!$B$19:$V$379,MATCH(DATE(BX$7-1,MAX('Mezz 1 Amortization'!$R$4,'Mezz 1 Amortization'!$S$4),31),'Mezz 1 Amortization'!$E$19:$E$379,0),MATCH('Mezz 1 Amortization'!$V$19,'Mezz 1 Amortization'!$B$19:$V$19,0)),IF(AND('Mezz 1 Amortization'!$T$4="Bi-Annual",BX$5&gt;MAX('Mezz 1 Amortization'!$R$4,'Mezz 1 Amortization'!$S$4)),INDEX('Mezz 1 Amortization'!$B$19:$V$379,MATCH(DATE(BX$7,MAX('Mezz 1 Amortization'!$R$4,'Mezz 1 Amortization'!$S$4),31),'Mezz 1 Amortization'!$E$19:$E$379,0),MATCH('Mezz 1 Amortization'!$V$19,'Mezz 1 Amortization'!$B$19:$V$19,0)),IF(AND('Mezz 1 Amortization'!$T$4="Bi-Annual",BX$5&gt;MIN('Mezz 1 Amortization'!$R$4,'Mezz 1 Amortization'!$S$4),BX$5&lt;MAX('Mezz 1 Amortization'!$R$4,'Mezz 1 Amortization'!$S$4)),INDEX('Mezz 1 Amortization'!$B$19:$V$379,MATCH(DATE(BX$7,MIN('Mezz 1 Amortization'!$R$4,'Mezz 1 Amortization'!$S$4),31),'Mezz 1 Amortization'!$E$19:$E$379,0),MATCH('Mezz 1 Amortization'!$V$19,'Mezz 1 Amortization'!$B$19:$V$19,0)),IF(AND('Mezz 1 Amortization'!$T$4="Bi-Annual",BX$5='Mezz 1 Amortization'!$R$4),INDEX('Mezz 1 Amortization'!$B$19:$V$379,MATCH(DATE(BX$7,'Mezz 1 Amortization'!$R$4,31),'Mezz 1 Amortization'!$E$19:$E$379,0),MATCH('Mezz 1 Amortization'!$V$19,'Mezz 1 Amortization'!$B$19:$V$19,0)),IF(AND('Mezz 1 Amortization'!$T$4="Bi-Annual",BX$5='Mezz 1 Amortization'!$S$4),INDEX('Mezz 1 Amortization'!$B$19:$V$379,MATCH(DATE(BX$7,'Mezz 1 Amortization'!$S$4,31),'Mezz 1 Amortization'!$E$19:$E$379,0),MATCH('Mezz 1 Amortization'!$V$19,'Mezz 1 Amortization'!$B$19:$V$19,0)))))))))))</f>
        <v>0</v>
      </c>
      <c r="BY140" s="427">
        <f>IF('Financing Assumptions'!$P$8="No",0,IF(BY$9&lt;'Financing Assumptions'!$O$26,0,IF(AND('Mezz 1 Amortization'!$T$4&lt;&gt;"Monthly",BY9&lt;='Financing Assumptions'!$O$26),0,IF('Mezz 1 Amortization'!$T$4="Monthly",INDEX('Mezz 1 Amortization'!$B$19:$V$379,MATCH(BY$11,'Mezz 1 Amortization'!$E$19:$E$379,0),MATCH('Mezz 1 Amortization'!$V$19,'Mezz 1 Amortization'!$B$19:$V$19,0)),IF(AND('Mezz 1 Amortization'!$T$4="Bi-Annual",BY$5&lt;MIN('Mezz 1 Amortization'!$R$4,'Mezz 1 Amortization'!$S$4)),INDEX('Mezz 1 Amortization'!$B$19:$V$379,MATCH(DATE(BY$7-1,MAX('Mezz 1 Amortization'!$R$4,'Mezz 1 Amortization'!$S$4),31),'Mezz 1 Amortization'!$E$19:$E$379,0),MATCH('Mezz 1 Amortization'!$V$19,'Mezz 1 Amortization'!$B$19:$V$19,0)),IF(AND('Mezz 1 Amortization'!$T$4="Bi-Annual",BY$5&gt;MAX('Mezz 1 Amortization'!$R$4,'Mezz 1 Amortization'!$S$4)),INDEX('Mezz 1 Amortization'!$B$19:$V$379,MATCH(DATE(BY$7,MAX('Mezz 1 Amortization'!$R$4,'Mezz 1 Amortization'!$S$4),31),'Mezz 1 Amortization'!$E$19:$E$379,0),MATCH('Mezz 1 Amortization'!$V$19,'Mezz 1 Amortization'!$B$19:$V$19,0)),IF(AND('Mezz 1 Amortization'!$T$4="Bi-Annual",BY$5&gt;MIN('Mezz 1 Amortization'!$R$4,'Mezz 1 Amortization'!$S$4),BY$5&lt;MAX('Mezz 1 Amortization'!$R$4,'Mezz 1 Amortization'!$S$4)),INDEX('Mezz 1 Amortization'!$B$19:$V$379,MATCH(DATE(BY$7,MIN('Mezz 1 Amortization'!$R$4,'Mezz 1 Amortization'!$S$4),31),'Mezz 1 Amortization'!$E$19:$E$379,0),MATCH('Mezz 1 Amortization'!$V$19,'Mezz 1 Amortization'!$B$19:$V$19,0)),IF(AND('Mezz 1 Amortization'!$T$4="Bi-Annual",BY$5='Mezz 1 Amortization'!$R$4),INDEX('Mezz 1 Amortization'!$B$19:$V$379,MATCH(DATE(BY$7,'Mezz 1 Amortization'!$R$4,31),'Mezz 1 Amortization'!$E$19:$E$379,0),MATCH('Mezz 1 Amortization'!$V$19,'Mezz 1 Amortization'!$B$19:$V$19,0)),IF(AND('Mezz 1 Amortization'!$T$4="Bi-Annual",BY$5='Mezz 1 Amortization'!$S$4),INDEX('Mezz 1 Amortization'!$B$19:$V$379,MATCH(DATE(BY$7,'Mezz 1 Amortization'!$S$4,31),'Mezz 1 Amortization'!$E$19:$E$379,0),MATCH('Mezz 1 Amortization'!$V$19,'Mezz 1 Amortization'!$B$19:$V$19,0)))))))))))</f>
        <v>0</v>
      </c>
      <c r="BZ140" s="427">
        <f>IF('Financing Assumptions'!$P$8="No",0,IF(BZ$9&lt;'Financing Assumptions'!$O$26,0,IF(AND('Mezz 1 Amortization'!$T$4&lt;&gt;"Monthly",BZ9&lt;='Financing Assumptions'!$O$26),0,IF('Mezz 1 Amortization'!$T$4="Monthly",INDEX('Mezz 1 Amortization'!$B$19:$V$379,MATCH(BZ$11,'Mezz 1 Amortization'!$E$19:$E$379,0),MATCH('Mezz 1 Amortization'!$V$19,'Mezz 1 Amortization'!$B$19:$V$19,0)),IF(AND('Mezz 1 Amortization'!$T$4="Bi-Annual",BZ$5&lt;MIN('Mezz 1 Amortization'!$R$4,'Mezz 1 Amortization'!$S$4)),INDEX('Mezz 1 Amortization'!$B$19:$V$379,MATCH(DATE(BZ$7-1,MAX('Mezz 1 Amortization'!$R$4,'Mezz 1 Amortization'!$S$4),31),'Mezz 1 Amortization'!$E$19:$E$379,0),MATCH('Mezz 1 Amortization'!$V$19,'Mezz 1 Amortization'!$B$19:$V$19,0)),IF(AND('Mezz 1 Amortization'!$T$4="Bi-Annual",BZ$5&gt;MAX('Mezz 1 Amortization'!$R$4,'Mezz 1 Amortization'!$S$4)),INDEX('Mezz 1 Amortization'!$B$19:$V$379,MATCH(DATE(BZ$7,MAX('Mezz 1 Amortization'!$R$4,'Mezz 1 Amortization'!$S$4),31),'Mezz 1 Amortization'!$E$19:$E$379,0),MATCH('Mezz 1 Amortization'!$V$19,'Mezz 1 Amortization'!$B$19:$V$19,0)),IF(AND('Mezz 1 Amortization'!$T$4="Bi-Annual",BZ$5&gt;MIN('Mezz 1 Amortization'!$R$4,'Mezz 1 Amortization'!$S$4),BZ$5&lt;MAX('Mezz 1 Amortization'!$R$4,'Mezz 1 Amortization'!$S$4)),INDEX('Mezz 1 Amortization'!$B$19:$V$379,MATCH(DATE(BZ$7,MIN('Mezz 1 Amortization'!$R$4,'Mezz 1 Amortization'!$S$4),31),'Mezz 1 Amortization'!$E$19:$E$379,0),MATCH('Mezz 1 Amortization'!$V$19,'Mezz 1 Amortization'!$B$19:$V$19,0)),IF(AND('Mezz 1 Amortization'!$T$4="Bi-Annual",BZ$5='Mezz 1 Amortization'!$R$4),INDEX('Mezz 1 Amortization'!$B$19:$V$379,MATCH(DATE(BZ$7,'Mezz 1 Amortization'!$R$4,31),'Mezz 1 Amortization'!$E$19:$E$379,0),MATCH('Mezz 1 Amortization'!$V$19,'Mezz 1 Amortization'!$B$19:$V$19,0)),IF(AND('Mezz 1 Amortization'!$T$4="Bi-Annual",BZ$5='Mezz 1 Amortization'!$S$4),INDEX('Mezz 1 Amortization'!$B$19:$V$379,MATCH(DATE(BZ$7,'Mezz 1 Amortization'!$S$4,31),'Mezz 1 Amortization'!$E$19:$E$379,0),MATCH('Mezz 1 Amortization'!$V$19,'Mezz 1 Amortization'!$B$19:$V$19,0)))))))))))</f>
        <v>0</v>
      </c>
      <c r="CA140" s="427">
        <f>IF('Financing Assumptions'!$P$8="No",0,IF(CA$9&lt;'Financing Assumptions'!$O$26,0,IF(AND('Mezz 1 Amortization'!$T$4&lt;&gt;"Monthly",CA9&lt;='Financing Assumptions'!$O$26),0,IF('Mezz 1 Amortization'!$T$4="Monthly",INDEX('Mezz 1 Amortization'!$B$19:$V$379,MATCH(CA$11,'Mezz 1 Amortization'!$E$19:$E$379,0),MATCH('Mezz 1 Amortization'!$V$19,'Mezz 1 Amortization'!$B$19:$V$19,0)),IF(AND('Mezz 1 Amortization'!$T$4="Bi-Annual",CA$5&lt;MIN('Mezz 1 Amortization'!$R$4,'Mezz 1 Amortization'!$S$4)),INDEX('Mezz 1 Amortization'!$B$19:$V$379,MATCH(DATE(CA$7-1,MAX('Mezz 1 Amortization'!$R$4,'Mezz 1 Amortization'!$S$4),31),'Mezz 1 Amortization'!$E$19:$E$379,0),MATCH('Mezz 1 Amortization'!$V$19,'Mezz 1 Amortization'!$B$19:$V$19,0)),IF(AND('Mezz 1 Amortization'!$T$4="Bi-Annual",CA$5&gt;MAX('Mezz 1 Amortization'!$R$4,'Mezz 1 Amortization'!$S$4)),INDEX('Mezz 1 Amortization'!$B$19:$V$379,MATCH(DATE(CA$7,MAX('Mezz 1 Amortization'!$R$4,'Mezz 1 Amortization'!$S$4),31),'Mezz 1 Amortization'!$E$19:$E$379,0),MATCH('Mezz 1 Amortization'!$V$19,'Mezz 1 Amortization'!$B$19:$V$19,0)),IF(AND('Mezz 1 Amortization'!$T$4="Bi-Annual",CA$5&gt;MIN('Mezz 1 Amortization'!$R$4,'Mezz 1 Amortization'!$S$4),CA$5&lt;MAX('Mezz 1 Amortization'!$R$4,'Mezz 1 Amortization'!$S$4)),INDEX('Mezz 1 Amortization'!$B$19:$V$379,MATCH(DATE(CA$7,MIN('Mezz 1 Amortization'!$R$4,'Mezz 1 Amortization'!$S$4),31),'Mezz 1 Amortization'!$E$19:$E$379,0),MATCH('Mezz 1 Amortization'!$V$19,'Mezz 1 Amortization'!$B$19:$V$19,0)),IF(AND('Mezz 1 Amortization'!$T$4="Bi-Annual",CA$5='Mezz 1 Amortization'!$R$4),INDEX('Mezz 1 Amortization'!$B$19:$V$379,MATCH(DATE(CA$7,'Mezz 1 Amortization'!$R$4,31),'Mezz 1 Amortization'!$E$19:$E$379,0),MATCH('Mezz 1 Amortization'!$V$19,'Mezz 1 Amortization'!$B$19:$V$19,0)),IF(AND('Mezz 1 Amortization'!$T$4="Bi-Annual",CA$5='Mezz 1 Amortization'!$S$4),INDEX('Mezz 1 Amortization'!$B$19:$V$379,MATCH(DATE(CA$7,'Mezz 1 Amortization'!$S$4,31),'Mezz 1 Amortization'!$E$19:$E$379,0),MATCH('Mezz 1 Amortization'!$V$19,'Mezz 1 Amortization'!$B$19:$V$19,0)))))))))))</f>
        <v>0</v>
      </c>
      <c r="CB140" s="427">
        <f>IF('Financing Assumptions'!$P$8="No",0,IF(CB$9&lt;'Financing Assumptions'!$O$26,0,IF(AND('Mezz 1 Amortization'!$T$4&lt;&gt;"Monthly",CB9&lt;='Financing Assumptions'!$O$26),0,IF('Mezz 1 Amortization'!$T$4="Monthly",INDEX('Mezz 1 Amortization'!$B$19:$V$379,MATCH(CB$11,'Mezz 1 Amortization'!$E$19:$E$379,0),MATCH('Mezz 1 Amortization'!$V$19,'Mezz 1 Amortization'!$B$19:$V$19,0)),IF(AND('Mezz 1 Amortization'!$T$4="Bi-Annual",CB$5&lt;MIN('Mezz 1 Amortization'!$R$4,'Mezz 1 Amortization'!$S$4)),INDEX('Mezz 1 Amortization'!$B$19:$V$379,MATCH(DATE(CB$7-1,MAX('Mezz 1 Amortization'!$R$4,'Mezz 1 Amortization'!$S$4),31),'Mezz 1 Amortization'!$E$19:$E$379,0),MATCH('Mezz 1 Amortization'!$V$19,'Mezz 1 Amortization'!$B$19:$V$19,0)),IF(AND('Mezz 1 Amortization'!$T$4="Bi-Annual",CB$5&gt;MAX('Mezz 1 Amortization'!$R$4,'Mezz 1 Amortization'!$S$4)),INDEX('Mezz 1 Amortization'!$B$19:$V$379,MATCH(DATE(CB$7,MAX('Mezz 1 Amortization'!$R$4,'Mezz 1 Amortization'!$S$4),31),'Mezz 1 Amortization'!$E$19:$E$379,0),MATCH('Mezz 1 Amortization'!$V$19,'Mezz 1 Amortization'!$B$19:$V$19,0)),IF(AND('Mezz 1 Amortization'!$T$4="Bi-Annual",CB$5&gt;MIN('Mezz 1 Amortization'!$R$4,'Mezz 1 Amortization'!$S$4),CB$5&lt;MAX('Mezz 1 Amortization'!$R$4,'Mezz 1 Amortization'!$S$4)),INDEX('Mezz 1 Amortization'!$B$19:$V$379,MATCH(DATE(CB$7,MIN('Mezz 1 Amortization'!$R$4,'Mezz 1 Amortization'!$S$4),31),'Mezz 1 Amortization'!$E$19:$E$379,0),MATCH('Mezz 1 Amortization'!$V$19,'Mezz 1 Amortization'!$B$19:$V$19,0)),IF(AND('Mezz 1 Amortization'!$T$4="Bi-Annual",CB$5='Mezz 1 Amortization'!$R$4),INDEX('Mezz 1 Amortization'!$B$19:$V$379,MATCH(DATE(CB$7,'Mezz 1 Amortization'!$R$4,31),'Mezz 1 Amortization'!$E$19:$E$379,0),MATCH('Mezz 1 Amortization'!$V$19,'Mezz 1 Amortization'!$B$19:$V$19,0)),IF(AND('Mezz 1 Amortization'!$T$4="Bi-Annual",CB$5='Mezz 1 Amortization'!$S$4),INDEX('Mezz 1 Amortization'!$B$19:$V$379,MATCH(DATE(CB$7,'Mezz 1 Amortization'!$S$4,31),'Mezz 1 Amortization'!$E$19:$E$379,0),MATCH('Mezz 1 Amortization'!$V$19,'Mezz 1 Amortization'!$B$19:$V$19,0)))))))))))</f>
        <v>0</v>
      </c>
      <c r="CC140" s="427">
        <f>IF('Financing Assumptions'!$P$8="No",0,IF(CC$9&lt;'Financing Assumptions'!$O$26,0,IF(AND('Mezz 1 Amortization'!$T$4&lt;&gt;"Monthly",CC9&lt;='Financing Assumptions'!$O$26),0,IF('Mezz 1 Amortization'!$T$4="Monthly",INDEX('Mezz 1 Amortization'!$B$19:$V$379,MATCH(CC$11,'Mezz 1 Amortization'!$E$19:$E$379,0),MATCH('Mezz 1 Amortization'!$V$19,'Mezz 1 Amortization'!$B$19:$V$19,0)),IF(AND('Mezz 1 Amortization'!$T$4="Bi-Annual",CC$5&lt;MIN('Mezz 1 Amortization'!$R$4,'Mezz 1 Amortization'!$S$4)),INDEX('Mezz 1 Amortization'!$B$19:$V$379,MATCH(DATE(CC$7-1,MAX('Mezz 1 Amortization'!$R$4,'Mezz 1 Amortization'!$S$4),31),'Mezz 1 Amortization'!$E$19:$E$379,0),MATCH('Mezz 1 Amortization'!$V$19,'Mezz 1 Amortization'!$B$19:$V$19,0)),IF(AND('Mezz 1 Amortization'!$T$4="Bi-Annual",CC$5&gt;MAX('Mezz 1 Amortization'!$R$4,'Mezz 1 Amortization'!$S$4)),INDEX('Mezz 1 Amortization'!$B$19:$V$379,MATCH(DATE(CC$7,MAX('Mezz 1 Amortization'!$R$4,'Mezz 1 Amortization'!$S$4),31),'Mezz 1 Amortization'!$E$19:$E$379,0),MATCH('Mezz 1 Amortization'!$V$19,'Mezz 1 Amortization'!$B$19:$V$19,0)),IF(AND('Mezz 1 Amortization'!$T$4="Bi-Annual",CC$5&gt;MIN('Mezz 1 Amortization'!$R$4,'Mezz 1 Amortization'!$S$4),CC$5&lt;MAX('Mezz 1 Amortization'!$R$4,'Mezz 1 Amortization'!$S$4)),INDEX('Mezz 1 Amortization'!$B$19:$V$379,MATCH(DATE(CC$7,MIN('Mezz 1 Amortization'!$R$4,'Mezz 1 Amortization'!$S$4),31),'Mezz 1 Amortization'!$E$19:$E$379,0),MATCH('Mezz 1 Amortization'!$V$19,'Mezz 1 Amortization'!$B$19:$V$19,0)),IF(AND('Mezz 1 Amortization'!$T$4="Bi-Annual",CC$5='Mezz 1 Amortization'!$R$4),INDEX('Mezz 1 Amortization'!$B$19:$V$379,MATCH(DATE(CC$7,'Mezz 1 Amortization'!$R$4,31),'Mezz 1 Amortization'!$E$19:$E$379,0),MATCH('Mezz 1 Amortization'!$V$19,'Mezz 1 Amortization'!$B$19:$V$19,0)),IF(AND('Mezz 1 Amortization'!$T$4="Bi-Annual",CC$5='Mezz 1 Amortization'!$S$4),INDEX('Mezz 1 Amortization'!$B$19:$V$379,MATCH(DATE(CC$7,'Mezz 1 Amortization'!$S$4,31),'Mezz 1 Amortization'!$E$19:$E$379,0),MATCH('Mezz 1 Amortization'!$V$19,'Mezz 1 Amortization'!$B$19:$V$19,0)))))))))))</f>
        <v>0</v>
      </c>
      <c r="CD140" s="427">
        <f>IF('Financing Assumptions'!$P$8="No",0,IF(CD$9&lt;'Financing Assumptions'!$O$26,0,IF(AND('Mezz 1 Amortization'!$T$4&lt;&gt;"Monthly",CD9&lt;='Financing Assumptions'!$O$26),0,IF('Mezz 1 Amortization'!$T$4="Monthly",INDEX('Mezz 1 Amortization'!$B$19:$V$379,MATCH(CD$11,'Mezz 1 Amortization'!$E$19:$E$379,0),MATCH('Mezz 1 Amortization'!$V$19,'Mezz 1 Amortization'!$B$19:$V$19,0)),IF(AND('Mezz 1 Amortization'!$T$4="Bi-Annual",CD$5&lt;MIN('Mezz 1 Amortization'!$R$4,'Mezz 1 Amortization'!$S$4)),INDEX('Mezz 1 Amortization'!$B$19:$V$379,MATCH(DATE(CD$7-1,MAX('Mezz 1 Amortization'!$R$4,'Mezz 1 Amortization'!$S$4),31),'Mezz 1 Amortization'!$E$19:$E$379,0),MATCH('Mezz 1 Amortization'!$V$19,'Mezz 1 Amortization'!$B$19:$V$19,0)),IF(AND('Mezz 1 Amortization'!$T$4="Bi-Annual",CD$5&gt;MAX('Mezz 1 Amortization'!$R$4,'Mezz 1 Amortization'!$S$4)),INDEX('Mezz 1 Amortization'!$B$19:$V$379,MATCH(DATE(CD$7,MAX('Mezz 1 Amortization'!$R$4,'Mezz 1 Amortization'!$S$4),31),'Mezz 1 Amortization'!$E$19:$E$379,0),MATCH('Mezz 1 Amortization'!$V$19,'Mezz 1 Amortization'!$B$19:$V$19,0)),IF(AND('Mezz 1 Amortization'!$T$4="Bi-Annual",CD$5&gt;MIN('Mezz 1 Amortization'!$R$4,'Mezz 1 Amortization'!$S$4),CD$5&lt;MAX('Mezz 1 Amortization'!$R$4,'Mezz 1 Amortization'!$S$4)),INDEX('Mezz 1 Amortization'!$B$19:$V$379,MATCH(DATE(CD$7,MIN('Mezz 1 Amortization'!$R$4,'Mezz 1 Amortization'!$S$4),31),'Mezz 1 Amortization'!$E$19:$E$379,0),MATCH('Mezz 1 Amortization'!$V$19,'Mezz 1 Amortization'!$B$19:$V$19,0)),IF(AND('Mezz 1 Amortization'!$T$4="Bi-Annual",CD$5='Mezz 1 Amortization'!$R$4),INDEX('Mezz 1 Amortization'!$B$19:$V$379,MATCH(DATE(CD$7,'Mezz 1 Amortization'!$R$4,31),'Mezz 1 Amortization'!$E$19:$E$379,0),MATCH('Mezz 1 Amortization'!$V$19,'Mezz 1 Amortization'!$B$19:$V$19,0)),IF(AND('Mezz 1 Amortization'!$T$4="Bi-Annual",CD$5='Mezz 1 Amortization'!$S$4),INDEX('Mezz 1 Amortization'!$B$19:$V$379,MATCH(DATE(CD$7,'Mezz 1 Amortization'!$S$4,31),'Mezz 1 Amortization'!$E$19:$E$379,0),MATCH('Mezz 1 Amortization'!$V$19,'Mezz 1 Amortization'!$B$19:$V$19,0)))))))))))</f>
        <v>0</v>
      </c>
      <c r="CE140" s="427">
        <f>IF('Financing Assumptions'!$P$8="No",0,IF(CE$9&lt;'Financing Assumptions'!$O$26,0,IF(AND('Mezz 1 Amortization'!$T$4&lt;&gt;"Monthly",CE9&lt;='Financing Assumptions'!$O$26),0,IF('Mezz 1 Amortization'!$T$4="Monthly",INDEX('Mezz 1 Amortization'!$B$19:$V$379,MATCH(CE$11,'Mezz 1 Amortization'!$E$19:$E$379,0),MATCH('Mezz 1 Amortization'!$V$19,'Mezz 1 Amortization'!$B$19:$V$19,0)),IF(AND('Mezz 1 Amortization'!$T$4="Bi-Annual",CE$5&lt;MIN('Mezz 1 Amortization'!$R$4,'Mezz 1 Amortization'!$S$4)),INDEX('Mezz 1 Amortization'!$B$19:$V$379,MATCH(DATE(CE$7-1,MAX('Mezz 1 Amortization'!$R$4,'Mezz 1 Amortization'!$S$4),31),'Mezz 1 Amortization'!$E$19:$E$379,0),MATCH('Mezz 1 Amortization'!$V$19,'Mezz 1 Amortization'!$B$19:$V$19,0)),IF(AND('Mezz 1 Amortization'!$T$4="Bi-Annual",CE$5&gt;MAX('Mezz 1 Amortization'!$R$4,'Mezz 1 Amortization'!$S$4)),INDEX('Mezz 1 Amortization'!$B$19:$V$379,MATCH(DATE(CE$7,MAX('Mezz 1 Amortization'!$R$4,'Mezz 1 Amortization'!$S$4),31),'Mezz 1 Amortization'!$E$19:$E$379,0),MATCH('Mezz 1 Amortization'!$V$19,'Mezz 1 Amortization'!$B$19:$V$19,0)),IF(AND('Mezz 1 Amortization'!$T$4="Bi-Annual",CE$5&gt;MIN('Mezz 1 Amortization'!$R$4,'Mezz 1 Amortization'!$S$4),CE$5&lt;MAX('Mezz 1 Amortization'!$R$4,'Mezz 1 Amortization'!$S$4)),INDEX('Mezz 1 Amortization'!$B$19:$V$379,MATCH(DATE(CE$7,MIN('Mezz 1 Amortization'!$R$4,'Mezz 1 Amortization'!$S$4),31),'Mezz 1 Amortization'!$E$19:$E$379,0),MATCH('Mezz 1 Amortization'!$V$19,'Mezz 1 Amortization'!$B$19:$V$19,0)),IF(AND('Mezz 1 Amortization'!$T$4="Bi-Annual",CE$5='Mezz 1 Amortization'!$R$4),INDEX('Mezz 1 Amortization'!$B$19:$V$379,MATCH(DATE(CE$7,'Mezz 1 Amortization'!$R$4,31),'Mezz 1 Amortization'!$E$19:$E$379,0),MATCH('Mezz 1 Amortization'!$V$19,'Mezz 1 Amortization'!$B$19:$V$19,0)),IF(AND('Mezz 1 Amortization'!$T$4="Bi-Annual",CE$5='Mezz 1 Amortization'!$S$4),INDEX('Mezz 1 Amortization'!$B$19:$V$379,MATCH(DATE(CE$7,'Mezz 1 Amortization'!$S$4,31),'Mezz 1 Amortization'!$E$19:$E$379,0),MATCH('Mezz 1 Amortization'!$V$19,'Mezz 1 Amortization'!$B$19:$V$19,0)))))))))))</f>
        <v>0</v>
      </c>
      <c r="CF140" s="427">
        <f>IF('Financing Assumptions'!$P$8="No",0,IF(CF$9&lt;'Financing Assumptions'!$O$26,0,IF(AND('Mezz 1 Amortization'!$T$4&lt;&gt;"Monthly",CF9&lt;='Financing Assumptions'!$O$26),0,IF('Mezz 1 Amortization'!$T$4="Monthly",INDEX('Mezz 1 Amortization'!$B$19:$V$379,MATCH(CF$11,'Mezz 1 Amortization'!$E$19:$E$379,0),MATCH('Mezz 1 Amortization'!$V$19,'Mezz 1 Amortization'!$B$19:$V$19,0)),IF(AND('Mezz 1 Amortization'!$T$4="Bi-Annual",CF$5&lt;MIN('Mezz 1 Amortization'!$R$4,'Mezz 1 Amortization'!$S$4)),INDEX('Mezz 1 Amortization'!$B$19:$V$379,MATCH(DATE(CF$7-1,MAX('Mezz 1 Amortization'!$R$4,'Mezz 1 Amortization'!$S$4),31),'Mezz 1 Amortization'!$E$19:$E$379,0),MATCH('Mezz 1 Amortization'!$V$19,'Mezz 1 Amortization'!$B$19:$V$19,0)),IF(AND('Mezz 1 Amortization'!$T$4="Bi-Annual",CF$5&gt;MAX('Mezz 1 Amortization'!$R$4,'Mezz 1 Amortization'!$S$4)),INDEX('Mezz 1 Amortization'!$B$19:$V$379,MATCH(DATE(CF$7,MAX('Mezz 1 Amortization'!$R$4,'Mezz 1 Amortization'!$S$4),31),'Mezz 1 Amortization'!$E$19:$E$379,0),MATCH('Mezz 1 Amortization'!$V$19,'Mezz 1 Amortization'!$B$19:$V$19,0)),IF(AND('Mezz 1 Amortization'!$T$4="Bi-Annual",CF$5&gt;MIN('Mezz 1 Amortization'!$R$4,'Mezz 1 Amortization'!$S$4),CF$5&lt;MAX('Mezz 1 Amortization'!$R$4,'Mezz 1 Amortization'!$S$4)),INDEX('Mezz 1 Amortization'!$B$19:$V$379,MATCH(DATE(CF$7,MIN('Mezz 1 Amortization'!$R$4,'Mezz 1 Amortization'!$S$4),31),'Mezz 1 Amortization'!$E$19:$E$379,0),MATCH('Mezz 1 Amortization'!$V$19,'Mezz 1 Amortization'!$B$19:$V$19,0)),IF(AND('Mezz 1 Amortization'!$T$4="Bi-Annual",CF$5='Mezz 1 Amortization'!$R$4),INDEX('Mezz 1 Amortization'!$B$19:$V$379,MATCH(DATE(CF$7,'Mezz 1 Amortization'!$R$4,31),'Mezz 1 Amortization'!$E$19:$E$379,0),MATCH('Mezz 1 Amortization'!$V$19,'Mezz 1 Amortization'!$B$19:$V$19,0)),IF(AND('Mezz 1 Amortization'!$T$4="Bi-Annual",CF$5='Mezz 1 Amortization'!$S$4),INDEX('Mezz 1 Amortization'!$B$19:$V$379,MATCH(DATE(CF$7,'Mezz 1 Amortization'!$S$4,31),'Mezz 1 Amortization'!$E$19:$E$379,0),MATCH('Mezz 1 Amortization'!$V$19,'Mezz 1 Amortization'!$B$19:$V$19,0)))))))))))</f>
        <v>0</v>
      </c>
      <c r="CG140" s="427">
        <f>IF('Financing Assumptions'!$P$8="No",0,IF(CG$9&lt;'Financing Assumptions'!$O$26,0,IF(AND('Mezz 1 Amortization'!$T$4&lt;&gt;"Monthly",CG9&lt;='Financing Assumptions'!$O$26),0,IF('Mezz 1 Amortization'!$T$4="Monthly",INDEX('Mezz 1 Amortization'!$B$19:$V$379,MATCH(CG$11,'Mezz 1 Amortization'!$E$19:$E$379,0),MATCH('Mezz 1 Amortization'!$V$19,'Mezz 1 Amortization'!$B$19:$V$19,0)),IF(AND('Mezz 1 Amortization'!$T$4="Bi-Annual",CG$5&lt;MIN('Mezz 1 Amortization'!$R$4,'Mezz 1 Amortization'!$S$4)),INDEX('Mezz 1 Amortization'!$B$19:$V$379,MATCH(DATE(CG$7-1,MAX('Mezz 1 Amortization'!$R$4,'Mezz 1 Amortization'!$S$4),31),'Mezz 1 Amortization'!$E$19:$E$379,0),MATCH('Mezz 1 Amortization'!$V$19,'Mezz 1 Amortization'!$B$19:$V$19,0)),IF(AND('Mezz 1 Amortization'!$T$4="Bi-Annual",CG$5&gt;MAX('Mezz 1 Amortization'!$R$4,'Mezz 1 Amortization'!$S$4)),INDEX('Mezz 1 Amortization'!$B$19:$V$379,MATCH(DATE(CG$7,MAX('Mezz 1 Amortization'!$R$4,'Mezz 1 Amortization'!$S$4),31),'Mezz 1 Amortization'!$E$19:$E$379,0),MATCH('Mezz 1 Amortization'!$V$19,'Mezz 1 Amortization'!$B$19:$V$19,0)),IF(AND('Mezz 1 Amortization'!$T$4="Bi-Annual",CG$5&gt;MIN('Mezz 1 Amortization'!$R$4,'Mezz 1 Amortization'!$S$4),CG$5&lt;MAX('Mezz 1 Amortization'!$R$4,'Mezz 1 Amortization'!$S$4)),INDEX('Mezz 1 Amortization'!$B$19:$V$379,MATCH(DATE(CG$7,MIN('Mezz 1 Amortization'!$R$4,'Mezz 1 Amortization'!$S$4),31),'Mezz 1 Amortization'!$E$19:$E$379,0),MATCH('Mezz 1 Amortization'!$V$19,'Mezz 1 Amortization'!$B$19:$V$19,0)),IF(AND('Mezz 1 Amortization'!$T$4="Bi-Annual",CG$5='Mezz 1 Amortization'!$R$4),INDEX('Mezz 1 Amortization'!$B$19:$V$379,MATCH(DATE(CG$7,'Mezz 1 Amortization'!$R$4,31),'Mezz 1 Amortization'!$E$19:$E$379,0),MATCH('Mezz 1 Amortization'!$V$19,'Mezz 1 Amortization'!$B$19:$V$19,0)),IF(AND('Mezz 1 Amortization'!$T$4="Bi-Annual",CG$5='Mezz 1 Amortization'!$S$4),INDEX('Mezz 1 Amortization'!$B$19:$V$379,MATCH(DATE(CG$7,'Mezz 1 Amortization'!$S$4,31),'Mezz 1 Amortization'!$E$19:$E$379,0),MATCH('Mezz 1 Amortization'!$V$19,'Mezz 1 Amortization'!$B$19:$V$19,0)))))))))))</f>
        <v>0</v>
      </c>
      <c r="CH140" s="427">
        <f>IF('Financing Assumptions'!$P$8="No",0,IF(CH$9&lt;'Financing Assumptions'!$O$26,0,IF(AND('Mezz 1 Amortization'!$T$4&lt;&gt;"Monthly",CH9&lt;='Financing Assumptions'!$O$26),0,IF('Mezz 1 Amortization'!$T$4="Monthly",INDEX('Mezz 1 Amortization'!$B$19:$V$379,MATCH(CH$11,'Mezz 1 Amortization'!$E$19:$E$379,0),MATCH('Mezz 1 Amortization'!$V$19,'Mezz 1 Amortization'!$B$19:$V$19,0)),IF(AND('Mezz 1 Amortization'!$T$4="Bi-Annual",CH$5&lt;MIN('Mezz 1 Amortization'!$R$4,'Mezz 1 Amortization'!$S$4)),INDEX('Mezz 1 Amortization'!$B$19:$V$379,MATCH(DATE(CH$7-1,MAX('Mezz 1 Amortization'!$R$4,'Mezz 1 Amortization'!$S$4),31),'Mezz 1 Amortization'!$E$19:$E$379,0),MATCH('Mezz 1 Amortization'!$V$19,'Mezz 1 Amortization'!$B$19:$V$19,0)),IF(AND('Mezz 1 Amortization'!$T$4="Bi-Annual",CH$5&gt;MAX('Mezz 1 Amortization'!$R$4,'Mezz 1 Amortization'!$S$4)),INDEX('Mezz 1 Amortization'!$B$19:$V$379,MATCH(DATE(CH$7,MAX('Mezz 1 Amortization'!$R$4,'Mezz 1 Amortization'!$S$4),31),'Mezz 1 Amortization'!$E$19:$E$379,0),MATCH('Mezz 1 Amortization'!$V$19,'Mezz 1 Amortization'!$B$19:$V$19,0)),IF(AND('Mezz 1 Amortization'!$T$4="Bi-Annual",CH$5&gt;MIN('Mezz 1 Amortization'!$R$4,'Mezz 1 Amortization'!$S$4),CH$5&lt;MAX('Mezz 1 Amortization'!$R$4,'Mezz 1 Amortization'!$S$4)),INDEX('Mezz 1 Amortization'!$B$19:$V$379,MATCH(DATE(CH$7,MIN('Mezz 1 Amortization'!$R$4,'Mezz 1 Amortization'!$S$4),31),'Mezz 1 Amortization'!$E$19:$E$379,0),MATCH('Mezz 1 Amortization'!$V$19,'Mezz 1 Amortization'!$B$19:$V$19,0)),IF(AND('Mezz 1 Amortization'!$T$4="Bi-Annual",CH$5='Mezz 1 Amortization'!$R$4),INDEX('Mezz 1 Amortization'!$B$19:$V$379,MATCH(DATE(CH$7,'Mezz 1 Amortization'!$R$4,31),'Mezz 1 Amortization'!$E$19:$E$379,0),MATCH('Mezz 1 Amortization'!$V$19,'Mezz 1 Amortization'!$B$19:$V$19,0)),IF(AND('Mezz 1 Amortization'!$T$4="Bi-Annual",CH$5='Mezz 1 Amortization'!$S$4),INDEX('Mezz 1 Amortization'!$B$19:$V$379,MATCH(DATE(CH$7,'Mezz 1 Amortization'!$S$4,31),'Mezz 1 Amortization'!$E$19:$E$379,0),MATCH('Mezz 1 Amortization'!$V$19,'Mezz 1 Amortization'!$B$19:$V$19,0)))))))))))</f>
        <v>0</v>
      </c>
      <c r="CI140" s="427">
        <f>IF('Financing Assumptions'!$P$8="No",0,IF(CI$9&lt;'Financing Assumptions'!$O$26,0,IF(AND('Mezz 1 Amortization'!$T$4&lt;&gt;"Monthly",CI9&lt;='Financing Assumptions'!$O$26),0,IF('Mezz 1 Amortization'!$T$4="Monthly",INDEX('Mezz 1 Amortization'!$B$19:$V$379,MATCH(CI$11,'Mezz 1 Amortization'!$E$19:$E$379,0),MATCH('Mezz 1 Amortization'!$V$19,'Mezz 1 Amortization'!$B$19:$V$19,0)),IF(AND('Mezz 1 Amortization'!$T$4="Bi-Annual",CI$5&lt;MIN('Mezz 1 Amortization'!$R$4,'Mezz 1 Amortization'!$S$4)),INDEX('Mezz 1 Amortization'!$B$19:$V$379,MATCH(DATE(CI$7-1,MAX('Mezz 1 Amortization'!$R$4,'Mezz 1 Amortization'!$S$4),31),'Mezz 1 Amortization'!$E$19:$E$379,0),MATCH('Mezz 1 Amortization'!$V$19,'Mezz 1 Amortization'!$B$19:$V$19,0)),IF(AND('Mezz 1 Amortization'!$T$4="Bi-Annual",CI$5&gt;MAX('Mezz 1 Amortization'!$R$4,'Mezz 1 Amortization'!$S$4)),INDEX('Mezz 1 Amortization'!$B$19:$V$379,MATCH(DATE(CI$7,MAX('Mezz 1 Amortization'!$R$4,'Mezz 1 Amortization'!$S$4),31),'Mezz 1 Amortization'!$E$19:$E$379,0),MATCH('Mezz 1 Amortization'!$V$19,'Mezz 1 Amortization'!$B$19:$V$19,0)),IF(AND('Mezz 1 Amortization'!$T$4="Bi-Annual",CI$5&gt;MIN('Mezz 1 Amortization'!$R$4,'Mezz 1 Amortization'!$S$4),CI$5&lt;MAX('Mezz 1 Amortization'!$R$4,'Mezz 1 Amortization'!$S$4)),INDEX('Mezz 1 Amortization'!$B$19:$V$379,MATCH(DATE(CI$7,MIN('Mezz 1 Amortization'!$R$4,'Mezz 1 Amortization'!$S$4),31),'Mezz 1 Amortization'!$E$19:$E$379,0),MATCH('Mezz 1 Amortization'!$V$19,'Mezz 1 Amortization'!$B$19:$V$19,0)),IF(AND('Mezz 1 Amortization'!$T$4="Bi-Annual",CI$5='Mezz 1 Amortization'!$R$4),INDEX('Mezz 1 Amortization'!$B$19:$V$379,MATCH(DATE(CI$7,'Mezz 1 Amortization'!$R$4,31),'Mezz 1 Amortization'!$E$19:$E$379,0),MATCH('Mezz 1 Amortization'!$V$19,'Mezz 1 Amortization'!$B$19:$V$19,0)),IF(AND('Mezz 1 Amortization'!$T$4="Bi-Annual",CI$5='Mezz 1 Amortization'!$S$4),INDEX('Mezz 1 Amortization'!$B$19:$V$379,MATCH(DATE(CI$7,'Mezz 1 Amortization'!$S$4,31),'Mezz 1 Amortization'!$E$19:$E$379,0),MATCH('Mezz 1 Amortization'!$V$19,'Mezz 1 Amortization'!$B$19:$V$19,0)))))))))))</f>
        <v>0</v>
      </c>
      <c r="CJ140" s="427">
        <f>IF('Financing Assumptions'!$P$8="No",0,IF(CJ$9&lt;'Financing Assumptions'!$O$26,0,IF(AND('Mezz 1 Amortization'!$T$4&lt;&gt;"Monthly",CJ9&lt;='Financing Assumptions'!$O$26),0,IF('Mezz 1 Amortization'!$T$4="Monthly",INDEX('Mezz 1 Amortization'!$B$19:$V$379,MATCH(CJ$11,'Mezz 1 Amortization'!$E$19:$E$379,0),MATCH('Mezz 1 Amortization'!$V$19,'Mezz 1 Amortization'!$B$19:$V$19,0)),IF(AND('Mezz 1 Amortization'!$T$4="Bi-Annual",CJ$5&lt;MIN('Mezz 1 Amortization'!$R$4,'Mezz 1 Amortization'!$S$4)),INDEX('Mezz 1 Amortization'!$B$19:$V$379,MATCH(DATE(CJ$7-1,MAX('Mezz 1 Amortization'!$R$4,'Mezz 1 Amortization'!$S$4),31),'Mezz 1 Amortization'!$E$19:$E$379,0),MATCH('Mezz 1 Amortization'!$V$19,'Mezz 1 Amortization'!$B$19:$V$19,0)),IF(AND('Mezz 1 Amortization'!$T$4="Bi-Annual",CJ$5&gt;MAX('Mezz 1 Amortization'!$R$4,'Mezz 1 Amortization'!$S$4)),INDEX('Mezz 1 Amortization'!$B$19:$V$379,MATCH(DATE(CJ$7,MAX('Mezz 1 Amortization'!$R$4,'Mezz 1 Amortization'!$S$4),31),'Mezz 1 Amortization'!$E$19:$E$379,0),MATCH('Mezz 1 Amortization'!$V$19,'Mezz 1 Amortization'!$B$19:$V$19,0)),IF(AND('Mezz 1 Amortization'!$T$4="Bi-Annual",CJ$5&gt;MIN('Mezz 1 Amortization'!$R$4,'Mezz 1 Amortization'!$S$4),CJ$5&lt;MAX('Mezz 1 Amortization'!$R$4,'Mezz 1 Amortization'!$S$4)),INDEX('Mezz 1 Amortization'!$B$19:$V$379,MATCH(DATE(CJ$7,MIN('Mezz 1 Amortization'!$R$4,'Mezz 1 Amortization'!$S$4),31),'Mezz 1 Amortization'!$E$19:$E$379,0),MATCH('Mezz 1 Amortization'!$V$19,'Mezz 1 Amortization'!$B$19:$V$19,0)),IF(AND('Mezz 1 Amortization'!$T$4="Bi-Annual",CJ$5='Mezz 1 Amortization'!$R$4),INDEX('Mezz 1 Amortization'!$B$19:$V$379,MATCH(DATE(CJ$7,'Mezz 1 Amortization'!$R$4,31),'Mezz 1 Amortization'!$E$19:$E$379,0),MATCH('Mezz 1 Amortization'!$V$19,'Mezz 1 Amortization'!$B$19:$V$19,0)),IF(AND('Mezz 1 Amortization'!$T$4="Bi-Annual",CJ$5='Mezz 1 Amortization'!$S$4),INDEX('Mezz 1 Amortization'!$B$19:$V$379,MATCH(DATE(CJ$7,'Mezz 1 Amortization'!$S$4,31),'Mezz 1 Amortization'!$E$19:$E$379,0),MATCH('Mezz 1 Amortization'!$V$19,'Mezz 1 Amortization'!$B$19:$V$19,0)))))))))))</f>
        <v>0</v>
      </c>
      <c r="CK140" s="427">
        <f>IF('Financing Assumptions'!$P$8="No",0,IF(CK$9&lt;'Financing Assumptions'!$O$26,0,IF(AND('Mezz 1 Amortization'!$T$4&lt;&gt;"Monthly",CK9&lt;='Financing Assumptions'!$O$26),0,IF('Mezz 1 Amortization'!$T$4="Monthly",INDEX('Mezz 1 Amortization'!$B$19:$V$379,MATCH(CK$11,'Mezz 1 Amortization'!$E$19:$E$379,0),MATCH('Mezz 1 Amortization'!$V$19,'Mezz 1 Amortization'!$B$19:$V$19,0)),IF(AND('Mezz 1 Amortization'!$T$4="Bi-Annual",CK$5&lt;MIN('Mezz 1 Amortization'!$R$4,'Mezz 1 Amortization'!$S$4)),INDEX('Mezz 1 Amortization'!$B$19:$V$379,MATCH(DATE(CK$7-1,MAX('Mezz 1 Amortization'!$R$4,'Mezz 1 Amortization'!$S$4),31),'Mezz 1 Amortization'!$E$19:$E$379,0),MATCH('Mezz 1 Amortization'!$V$19,'Mezz 1 Amortization'!$B$19:$V$19,0)),IF(AND('Mezz 1 Amortization'!$T$4="Bi-Annual",CK$5&gt;MAX('Mezz 1 Amortization'!$R$4,'Mezz 1 Amortization'!$S$4)),INDEX('Mezz 1 Amortization'!$B$19:$V$379,MATCH(DATE(CK$7,MAX('Mezz 1 Amortization'!$R$4,'Mezz 1 Amortization'!$S$4),31),'Mezz 1 Amortization'!$E$19:$E$379,0),MATCH('Mezz 1 Amortization'!$V$19,'Mezz 1 Amortization'!$B$19:$V$19,0)),IF(AND('Mezz 1 Amortization'!$T$4="Bi-Annual",CK$5&gt;MIN('Mezz 1 Amortization'!$R$4,'Mezz 1 Amortization'!$S$4),CK$5&lt;MAX('Mezz 1 Amortization'!$R$4,'Mezz 1 Amortization'!$S$4)),INDEX('Mezz 1 Amortization'!$B$19:$V$379,MATCH(DATE(CK$7,MIN('Mezz 1 Amortization'!$R$4,'Mezz 1 Amortization'!$S$4),31),'Mezz 1 Amortization'!$E$19:$E$379,0),MATCH('Mezz 1 Amortization'!$V$19,'Mezz 1 Amortization'!$B$19:$V$19,0)),IF(AND('Mezz 1 Amortization'!$T$4="Bi-Annual",CK$5='Mezz 1 Amortization'!$R$4),INDEX('Mezz 1 Amortization'!$B$19:$V$379,MATCH(DATE(CK$7,'Mezz 1 Amortization'!$R$4,31),'Mezz 1 Amortization'!$E$19:$E$379,0),MATCH('Mezz 1 Amortization'!$V$19,'Mezz 1 Amortization'!$B$19:$V$19,0)),IF(AND('Mezz 1 Amortization'!$T$4="Bi-Annual",CK$5='Mezz 1 Amortization'!$S$4),INDEX('Mezz 1 Amortization'!$B$19:$V$379,MATCH(DATE(CK$7,'Mezz 1 Amortization'!$S$4,31),'Mezz 1 Amortization'!$E$19:$E$379,0),MATCH('Mezz 1 Amortization'!$V$19,'Mezz 1 Amortization'!$B$19:$V$19,0)))))))))))</f>
        <v>0</v>
      </c>
      <c r="CL140" s="427">
        <f>IF('Financing Assumptions'!$P$8="No",0,IF(CL$9&lt;'Financing Assumptions'!$O$26,0,IF(AND('Mezz 1 Amortization'!$T$4&lt;&gt;"Monthly",CL9&lt;='Financing Assumptions'!$O$26),0,IF('Mezz 1 Amortization'!$T$4="Monthly",INDEX('Mezz 1 Amortization'!$B$19:$V$379,MATCH(CL$11,'Mezz 1 Amortization'!$E$19:$E$379,0),MATCH('Mezz 1 Amortization'!$V$19,'Mezz 1 Amortization'!$B$19:$V$19,0)),IF(AND('Mezz 1 Amortization'!$T$4="Bi-Annual",CL$5&lt;MIN('Mezz 1 Amortization'!$R$4,'Mezz 1 Amortization'!$S$4)),INDEX('Mezz 1 Amortization'!$B$19:$V$379,MATCH(DATE(CL$7-1,MAX('Mezz 1 Amortization'!$R$4,'Mezz 1 Amortization'!$S$4),31),'Mezz 1 Amortization'!$E$19:$E$379,0),MATCH('Mezz 1 Amortization'!$V$19,'Mezz 1 Amortization'!$B$19:$V$19,0)),IF(AND('Mezz 1 Amortization'!$T$4="Bi-Annual",CL$5&gt;MAX('Mezz 1 Amortization'!$R$4,'Mezz 1 Amortization'!$S$4)),INDEX('Mezz 1 Amortization'!$B$19:$V$379,MATCH(DATE(CL$7,MAX('Mezz 1 Amortization'!$R$4,'Mezz 1 Amortization'!$S$4),31),'Mezz 1 Amortization'!$E$19:$E$379,0),MATCH('Mezz 1 Amortization'!$V$19,'Mezz 1 Amortization'!$B$19:$V$19,0)),IF(AND('Mezz 1 Amortization'!$T$4="Bi-Annual",CL$5&gt;MIN('Mezz 1 Amortization'!$R$4,'Mezz 1 Amortization'!$S$4),CL$5&lt;MAX('Mezz 1 Amortization'!$R$4,'Mezz 1 Amortization'!$S$4)),INDEX('Mezz 1 Amortization'!$B$19:$V$379,MATCH(DATE(CL$7,MIN('Mezz 1 Amortization'!$R$4,'Mezz 1 Amortization'!$S$4),31),'Mezz 1 Amortization'!$E$19:$E$379,0),MATCH('Mezz 1 Amortization'!$V$19,'Mezz 1 Amortization'!$B$19:$V$19,0)),IF(AND('Mezz 1 Amortization'!$T$4="Bi-Annual",CL$5='Mezz 1 Amortization'!$R$4),INDEX('Mezz 1 Amortization'!$B$19:$V$379,MATCH(DATE(CL$7,'Mezz 1 Amortization'!$R$4,31),'Mezz 1 Amortization'!$E$19:$E$379,0),MATCH('Mezz 1 Amortization'!$V$19,'Mezz 1 Amortization'!$B$19:$V$19,0)),IF(AND('Mezz 1 Amortization'!$T$4="Bi-Annual",CL$5='Mezz 1 Amortization'!$S$4),INDEX('Mezz 1 Amortization'!$B$19:$V$379,MATCH(DATE(CL$7,'Mezz 1 Amortization'!$S$4,31),'Mezz 1 Amortization'!$E$19:$E$379,0),MATCH('Mezz 1 Amortization'!$V$19,'Mezz 1 Amortization'!$B$19:$V$19,0)))))))))))</f>
        <v>0</v>
      </c>
      <c r="CM140" s="427">
        <f>IF('Financing Assumptions'!$P$8="No",0,IF(CM$9&lt;'Financing Assumptions'!$O$26,0,IF(AND('Mezz 1 Amortization'!$T$4&lt;&gt;"Monthly",CM9&lt;='Financing Assumptions'!$O$26),0,IF('Mezz 1 Amortization'!$T$4="Monthly",INDEX('Mezz 1 Amortization'!$B$19:$V$379,MATCH(CM$11,'Mezz 1 Amortization'!$E$19:$E$379,0),MATCH('Mezz 1 Amortization'!$V$19,'Mezz 1 Amortization'!$B$19:$V$19,0)),IF(AND('Mezz 1 Amortization'!$T$4="Bi-Annual",CM$5&lt;MIN('Mezz 1 Amortization'!$R$4,'Mezz 1 Amortization'!$S$4)),INDEX('Mezz 1 Amortization'!$B$19:$V$379,MATCH(DATE(CM$7-1,MAX('Mezz 1 Amortization'!$R$4,'Mezz 1 Amortization'!$S$4),31),'Mezz 1 Amortization'!$E$19:$E$379,0),MATCH('Mezz 1 Amortization'!$V$19,'Mezz 1 Amortization'!$B$19:$V$19,0)),IF(AND('Mezz 1 Amortization'!$T$4="Bi-Annual",CM$5&gt;MAX('Mezz 1 Amortization'!$R$4,'Mezz 1 Amortization'!$S$4)),INDEX('Mezz 1 Amortization'!$B$19:$V$379,MATCH(DATE(CM$7,MAX('Mezz 1 Amortization'!$R$4,'Mezz 1 Amortization'!$S$4),31),'Mezz 1 Amortization'!$E$19:$E$379,0),MATCH('Mezz 1 Amortization'!$V$19,'Mezz 1 Amortization'!$B$19:$V$19,0)),IF(AND('Mezz 1 Amortization'!$T$4="Bi-Annual",CM$5&gt;MIN('Mezz 1 Amortization'!$R$4,'Mezz 1 Amortization'!$S$4),CM$5&lt;MAX('Mezz 1 Amortization'!$R$4,'Mezz 1 Amortization'!$S$4)),INDEX('Mezz 1 Amortization'!$B$19:$V$379,MATCH(DATE(CM$7,MIN('Mezz 1 Amortization'!$R$4,'Mezz 1 Amortization'!$S$4),31),'Mezz 1 Amortization'!$E$19:$E$379,0),MATCH('Mezz 1 Amortization'!$V$19,'Mezz 1 Amortization'!$B$19:$V$19,0)),IF(AND('Mezz 1 Amortization'!$T$4="Bi-Annual",CM$5='Mezz 1 Amortization'!$R$4),INDEX('Mezz 1 Amortization'!$B$19:$V$379,MATCH(DATE(CM$7,'Mezz 1 Amortization'!$R$4,31),'Mezz 1 Amortization'!$E$19:$E$379,0),MATCH('Mezz 1 Amortization'!$V$19,'Mezz 1 Amortization'!$B$19:$V$19,0)),IF(AND('Mezz 1 Amortization'!$T$4="Bi-Annual",CM$5='Mezz 1 Amortization'!$S$4),INDEX('Mezz 1 Amortization'!$B$19:$V$379,MATCH(DATE(CM$7,'Mezz 1 Amortization'!$S$4,31),'Mezz 1 Amortization'!$E$19:$E$379,0),MATCH('Mezz 1 Amortization'!$V$19,'Mezz 1 Amortization'!$B$19:$V$19,0)))))))))))</f>
        <v>0</v>
      </c>
      <c r="CN140" s="427">
        <f>IF('Financing Assumptions'!$P$8="No",0,IF(CN$9&lt;'Financing Assumptions'!$O$26,0,IF(AND('Mezz 1 Amortization'!$T$4&lt;&gt;"Monthly",CN9&lt;='Financing Assumptions'!$O$26),0,IF('Mezz 1 Amortization'!$T$4="Monthly",INDEX('Mezz 1 Amortization'!$B$19:$V$379,MATCH(CN$11,'Mezz 1 Amortization'!$E$19:$E$379,0),MATCH('Mezz 1 Amortization'!$V$19,'Mezz 1 Amortization'!$B$19:$V$19,0)),IF(AND('Mezz 1 Amortization'!$T$4="Bi-Annual",CN$5&lt;MIN('Mezz 1 Amortization'!$R$4,'Mezz 1 Amortization'!$S$4)),INDEX('Mezz 1 Amortization'!$B$19:$V$379,MATCH(DATE(CN$7-1,MAX('Mezz 1 Amortization'!$R$4,'Mezz 1 Amortization'!$S$4),31),'Mezz 1 Amortization'!$E$19:$E$379,0),MATCH('Mezz 1 Amortization'!$V$19,'Mezz 1 Amortization'!$B$19:$V$19,0)),IF(AND('Mezz 1 Amortization'!$T$4="Bi-Annual",CN$5&gt;MAX('Mezz 1 Amortization'!$R$4,'Mezz 1 Amortization'!$S$4)),INDEX('Mezz 1 Amortization'!$B$19:$V$379,MATCH(DATE(CN$7,MAX('Mezz 1 Amortization'!$R$4,'Mezz 1 Amortization'!$S$4),31),'Mezz 1 Amortization'!$E$19:$E$379,0),MATCH('Mezz 1 Amortization'!$V$19,'Mezz 1 Amortization'!$B$19:$V$19,0)),IF(AND('Mezz 1 Amortization'!$T$4="Bi-Annual",CN$5&gt;MIN('Mezz 1 Amortization'!$R$4,'Mezz 1 Amortization'!$S$4),CN$5&lt;MAX('Mezz 1 Amortization'!$R$4,'Mezz 1 Amortization'!$S$4)),INDEX('Mezz 1 Amortization'!$B$19:$V$379,MATCH(DATE(CN$7,MIN('Mezz 1 Amortization'!$R$4,'Mezz 1 Amortization'!$S$4),31),'Mezz 1 Amortization'!$E$19:$E$379,0),MATCH('Mezz 1 Amortization'!$V$19,'Mezz 1 Amortization'!$B$19:$V$19,0)),IF(AND('Mezz 1 Amortization'!$T$4="Bi-Annual",CN$5='Mezz 1 Amortization'!$R$4),INDEX('Mezz 1 Amortization'!$B$19:$V$379,MATCH(DATE(CN$7,'Mezz 1 Amortization'!$R$4,31),'Mezz 1 Amortization'!$E$19:$E$379,0),MATCH('Mezz 1 Amortization'!$V$19,'Mezz 1 Amortization'!$B$19:$V$19,0)),IF(AND('Mezz 1 Amortization'!$T$4="Bi-Annual",CN$5='Mezz 1 Amortization'!$S$4),INDEX('Mezz 1 Amortization'!$B$19:$V$379,MATCH(DATE(CN$7,'Mezz 1 Amortization'!$S$4,31),'Mezz 1 Amortization'!$E$19:$E$379,0),MATCH('Mezz 1 Amortization'!$V$19,'Mezz 1 Amortization'!$B$19:$V$19,0)))))))))))</f>
        <v>0</v>
      </c>
      <c r="CO140" s="427">
        <f>IF('Financing Assumptions'!$P$8="No",0,IF(CO$9&lt;'Financing Assumptions'!$O$26,0,IF(AND('Mezz 1 Amortization'!$T$4&lt;&gt;"Monthly",CO9&lt;='Financing Assumptions'!$O$26),0,IF('Mezz 1 Amortization'!$T$4="Monthly",INDEX('Mezz 1 Amortization'!$B$19:$V$379,MATCH(CO$11,'Mezz 1 Amortization'!$E$19:$E$379,0),MATCH('Mezz 1 Amortization'!$V$19,'Mezz 1 Amortization'!$B$19:$V$19,0)),IF(AND('Mezz 1 Amortization'!$T$4="Bi-Annual",CO$5&lt;MIN('Mezz 1 Amortization'!$R$4,'Mezz 1 Amortization'!$S$4)),INDEX('Mezz 1 Amortization'!$B$19:$V$379,MATCH(DATE(CO$7-1,MAX('Mezz 1 Amortization'!$R$4,'Mezz 1 Amortization'!$S$4),31),'Mezz 1 Amortization'!$E$19:$E$379,0),MATCH('Mezz 1 Amortization'!$V$19,'Mezz 1 Amortization'!$B$19:$V$19,0)),IF(AND('Mezz 1 Amortization'!$T$4="Bi-Annual",CO$5&gt;MAX('Mezz 1 Amortization'!$R$4,'Mezz 1 Amortization'!$S$4)),INDEX('Mezz 1 Amortization'!$B$19:$V$379,MATCH(DATE(CO$7,MAX('Mezz 1 Amortization'!$R$4,'Mezz 1 Amortization'!$S$4),31),'Mezz 1 Amortization'!$E$19:$E$379,0),MATCH('Mezz 1 Amortization'!$V$19,'Mezz 1 Amortization'!$B$19:$V$19,0)),IF(AND('Mezz 1 Amortization'!$T$4="Bi-Annual",CO$5&gt;MIN('Mezz 1 Amortization'!$R$4,'Mezz 1 Amortization'!$S$4),CO$5&lt;MAX('Mezz 1 Amortization'!$R$4,'Mezz 1 Amortization'!$S$4)),INDEX('Mezz 1 Amortization'!$B$19:$V$379,MATCH(DATE(CO$7,MIN('Mezz 1 Amortization'!$R$4,'Mezz 1 Amortization'!$S$4),31),'Mezz 1 Amortization'!$E$19:$E$379,0),MATCH('Mezz 1 Amortization'!$V$19,'Mezz 1 Amortization'!$B$19:$V$19,0)),IF(AND('Mezz 1 Amortization'!$T$4="Bi-Annual",CO$5='Mezz 1 Amortization'!$R$4),INDEX('Mezz 1 Amortization'!$B$19:$V$379,MATCH(DATE(CO$7,'Mezz 1 Amortization'!$R$4,31),'Mezz 1 Amortization'!$E$19:$E$379,0),MATCH('Mezz 1 Amortization'!$V$19,'Mezz 1 Amortization'!$B$19:$V$19,0)),IF(AND('Mezz 1 Amortization'!$T$4="Bi-Annual",CO$5='Mezz 1 Amortization'!$S$4),INDEX('Mezz 1 Amortization'!$B$19:$V$379,MATCH(DATE(CO$7,'Mezz 1 Amortization'!$S$4,31),'Mezz 1 Amortization'!$E$19:$E$379,0),MATCH('Mezz 1 Amortization'!$V$19,'Mezz 1 Amortization'!$B$19:$V$19,0)))))))))))</f>
        <v>0</v>
      </c>
      <c r="CP140" s="427">
        <f>IF('Financing Assumptions'!$P$8="No",0,IF(CP$9&lt;'Financing Assumptions'!$O$26,0,IF(AND('Mezz 1 Amortization'!$T$4&lt;&gt;"Monthly",CP9&lt;='Financing Assumptions'!$O$26),0,IF('Mezz 1 Amortization'!$T$4="Monthly",INDEX('Mezz 1 Amortization'!$B$19:$V$379,MATCH(CP$11,'Mezz 1 Amortization'!$E$19:$E$379,0),MATCH('Mezz 1 Amortization'!$V$19,'Mezz 1 Amortization'!$B$19:$V$19,0)),IF(AND('Mezz 1 Amortization'!$T$4="Bi-Annual",CP$5&lt;MIN('Mezz 1 Amortization'!$R$4,'Mezz 1 Amortization'!$S$4)),INDEX('Mezz 1 Amortization'!$B$19:$V$379,MATCH(DATE(CP$7-1,MAX('Mezz 1 Amortization'!$R$4,'Mezz 1 Amortization'!$S$4),31),'Mezz 1 Amortization'!$E$19:$E$379,0),MATCH('Mezz 1 Amortization'!$V$19,'Mezz 1 Amortization'!$B$19:$V$19,0)),IF(AND('Mezz 1 Amortization'!$T$4="Bi-Annual",CP$5&gt;MAX('Mezz 1 Amortization'!$R$4,'Mezz 1 Amortization'!$S$4)),INDEX('Mezz 1 Amortization'!$B$19:$V$379,MATCH(DATE(CP$7,MAX('Mezz 1 Amortization'!$R$4,'Mezz 1 Amortization'!$S$4),31),'Mezz 1 Amortization'!$E$19:$E$379,0),MATCH('Mezz 1 Amortization'!$V$19,'Mezz 1 Amortization'!$B$19:$V$19,0)),IF(AND('Mezz 1 Amortization'!$T$4="Bi-Annual",CP$5&gt;MIN('Mezz 1 Amortization'!$R$4,'Mezz 1 Amortization'!$S$4),CP$5&lt;MAX('Mezz 1 Amortization'!$R$4,'Mezz 1 Amortization'!$S$4)),INDEX('Mezz 1 Amortization'!$B$19:$V$379,MATCH(DATE(CP$7,MIN('Mezz 1 Amortization'!$R$4,'Mezz 1 Amortization'!$S$4),31),'Mezz 1 Amortization'!$E$19:$E$379,0),MATCH('Mezz 1 Amortization'!$V$19,'Mezz 1 Amortization'!$B$19:$V$19,0)),IF(AND('Mezz 1 Amortization'!$T$4="Bi-Annual",CP$5='Mezz 1 Amortization'!$R$4),INDEX('Mezz 1 Amortization'!$B$19:$V$379,MATCH(DATE(CP$7,'Mezz 1 Amortization'!$R$4,31),'Mezz 1 Amortization'!$E$19:$E$379,0),MATCH('Mezz 1 Amortization'!$V$19,'Mezz 1 Amortization'!$B$19:$V$19,0)),IF(AND('Mezz 1 Amortization'!$T$4="Bi-Annual",CP$5='Mezz 1 Amortization'!$S$4),INDEX('Mezz 1 Amortization'!$B$19:$V$379,MATCH(DATE(CP$7,'Mezz 1 Amortization'!$S$4,31),'Mezz 1 Amortization'!$E$19:$E$379,0),MATCH('Mezz 1 Amortization'!$V$19,'Mezz 1 Amortization'!$B$19:$V$19,0)))))))))))</f>
        <v>0</v>
      </c>
      <c r="CQ140" s="427">
        <f>IF('Financing Assumptions'!$P$8="No",0,IF(CQ$9&lt;'Financing Assumptions'!$O$26,0,IF(AND('Mezz 1 Amortization'!$T$4&lt;&gt;"Monthly",CQ9&lt;='Financing Assumptions'!$O$26),0,IF('Mezz 1 Amortization'!$T$4="Monthly",INDEX('Mezz 1 Amortization'!$B$19:$V$379,MATCH(CQ$11,'Mezz 1 Amortization'!$E$19:$E$379,0),MATCH('Mezz 1 Amortization'!$V$19,'Mezz 1 Amortization'!$B$19:$V$19,0)),IF(AND('Mezz 1 Amortization'!$T$4="Bi-Annual",CQ$5&lt;MIN('Mezz 1 Amortization'!$R$4,'Mezz 1 Amortization'!$S$4)),INDEX('Mezz 1 Amortization'!$B$19:$V$379,MATCH(DATE(CQ$7-1,MAX('Mezz 1 Amortization'!$R$4,'Mezz 1 Amortization'!$S$4),31),'Mezz 1 Amortization'!$E$19:$E$379,0),MATCH('Mezz 1 Amortization'!$V$19,'Mezz 1 Amortization'!$B$19:$V$19,0)),IF(AND('Mezz 1 Amortization'!$T$4="Bi-Annual",CQ$5&gt;MAX('Mezz 1 Amortization'!$R$4,'Mezz 1 Amortization'!$S$4)),INDEX('Mezz 1 Amortization'!$B$19:$V$379,MATCH(DATE(CQ$7,MAX('Mezz 1 Amortization'!$R$4,'Mezz 1 Amortization'!$S$4),31),'Mezz 1 Amortization'!$E$19:$E$379,0),MATCH('Mezz 1 Amortization'!$V$19,'Mezz 1 Amortization'!$B$19:$V$19,0)),IF(AND('Mezz 1 Amortization'!$T$4="Bi-Annual",CQ$5&gt;MIN('Mezz 1 Amortization'!$R$4,'Mezz 1 Amortization'!$S$4),CQ$5&lt;MAX('Mezz 1 Amortization'!$R$4,'Mezz 1 Amortization'!$S$4)),INDEX('Mezz 1 Amortization'!$B$19:$V$379,MATCH(DATE(CQ$7,MIN('Mezz 1 Amortization'!$R$4,'Mezz 1 Amortization'!$S$4),31),'Mezz 1 Amortization'!$E$19:$E$379,0),MATCH('Mezz 1 Amortization'!$V$19,'Mezz 1 Amortization'!$B$19:$V$19,0)),IF(AND('Mezz 1 Amortization'!$T$4="Bi-Annual",CQ$5='Mezz 1 Amortization'!$R$4),INDEX('Mezz 1 Amortization'!$B$19:$V$379,MATCH(DATE(CQ$7,'Mezz 1 Amortization'!$R$4,31),'Mezz 1 Amortization'!$E$19:$E$379,0),MATCH('Mezz 1 Amortization'!$V$19,'Mezz 1 Amortization'!$B$19:$V$19,0)),IF(AND('Mezz 1 Amortization'!$T$4="Bi-Annual",CQ$5='Mezz 1 Amortization'!$S$4),INDEX('Mezz 1 Amortization'!$B$19:$V$379,MATCH(DATE(CQ$7,'Mezz 1 Amortization'!$S$4,31),'Mezz 1 Amortization'!$E$19:$E$379,0),MATCH('Mezz 1 Amortization'!$V$19,'Mezz 1 Amortization'!$B$19:$V$19,0)))))))))))</f>
        <v>0</v>
      </c>
      <c r="CR140" s="427">
        <f>IF('Financing Assumptions'!$P$8="No",0,IF(CR$9&lt;'Financing Assumptions'!$O$26,0,IF(AND('Mezz 1 Amortization'!$T$4&lt;&gt;"Monthly",CR9&lt;='Financing Assumptions'!$O$26),0,IF('Mezz 1 Amortization'!$T$4="Monthly",INDEX('Mezz 1 Amortization'!$B$19:$V$379,MATCH(CR$11,'Mezz 1 Amortization'!$E$19:$E$379,0),MATCH('Mezz 1 Amortization'!$V$19,'Mezz 1 Amortization'!$B$19:$V$19,0)),IF(AND('Mezz 1 Amortization'!$T$4="Bi-Annual",CR$5&lt;MIN('Mezz 1 Amortization'!$R$4,'Mezz 1 Amortization'!$S$4)),INDEX('Mezz 1 Amortization'!$B$19:$V$379,MATCH(DATE(CR$7-1,MAX('Mezz 1 Amortization'!$R$4,'Mezz 1 Amortization'!$S$4),31),'Mezz 1 Amortization'!$E$19:$E$379,0),MATCH('Mezz 1 Amortization'!$V$19,'Mezz 1 Amortization'!$B$19:$V$19,0)),IF(AND('Mezz 1 Amortization'!$T$4="Bi-Annual",CR$5&gt;MAX('Mezz 1 Amortization'!$R$4,'Mezz 1 Amortization'!$S$4)),INDEX('Mezz 1 Amortization'!$B$19:$V$379,MATCH(DATE(CR$7,MAX('Mezz 1 Amortization'!$R$4,'Mezz 1 Amortization'!$S$4),31),'Mezz 1 Amortization'!$E$19:$E$379,0),MATCH('Mezz 1 Amortization'!$V$19,'Mezz 1 Amortization'!$B$19:$V$19,0)),IF(AND('Mezz 1 Amortization'!$T$4="Bi-Annual",CR$5&gt;MIN('Mezz 1 Amortization'!$R$4,'Mezz 1 Amortization'!$S$4),CR$5&lt;MAX('Mezz 1 Amortization'!$R$4,'Mezz 1 Amortization'!$S$4)),INDEX('Mezz 1 Amortization'!$B$19:$V$379,MATCH(DATE(CR$7,MIN('Mezz 1 Amortization'!$R$4,'Mezz 1 Amortization'!$S$4),31),'Mezz 1 Amortization'!$E$19:$E$379,0),MATCH('Mezz 1 Amortization'!$V$19,'Mezz 1 Amortization'!$B$19:$V$19,0)),IF(AND('Mezz 1 Amortization'!$T$4="Bi-Annual",CR$5='Mezz 1 Amortization'!$R$4),INDEX('Mezz 1 Amortization'!$B$19:$V$379,MATCH(DATE(CR$7,'Mezz 1 Amortization'!$R$4,31),'Mezz 1 Amortization'!$E$19:$E$379,0),MATCH('Mezz 1 Amortization'!$V$19,'Mezz 1 Amortization'!$B$19:$V$19,0)),IF(AND('Mezz 1 Amortization'!$T$4="Bi-Annual",CR$5='Mezz 1 Amortization'!$S$4),INDEX('Mezz 1 Amortization'!$B$19:$V$379,MATCH(DATE(CR$7,'Mezz 1 Amortization'!$S$4,31),'Mezz 1 Amortization'!$E$19:$E$379,0),MATCH('Mezz 1 Amortization'!$V$19,'Mezz 1 Amortization'!$B$19:$V$19,0)))))))))))</f>
        <v>0</v>
      </c>
      <c r="CS140" s="427">
        <f>IF('Financing Assumptions'!$P$8="No",0,IF(CS$9&lt;'Financing Assumptions'!$O$26,0,IF(AND('Mezz 1 Amortization'!$T$4&lt;&gt;"Monthly",CS9&lt;='Financing Assumptions'!$O$26),0,IF('Mezz 1 Amortization'!$T$4="Monthly",INDEX('Mezz 1 Amortization'!$B$19:$V$379,MATCH(CS$11,'Mezz 1 Amortization'!$E$19:$E$379,0),MATCH('Mezz 1 Amortization'!$V$19,'Mezz 1 Amortization'!$B$19:$V$19,0)),IF(AND('Mezz 1 Amortization'!$T$4="Bi-Annual",CS$5&lt;MIN('Mezz 1 Amortization'!$R$4,'Mezz 1 Amortization'!$S$4)),INDEX('Mezz 1 Amortization'!$B$19:$V$379,MATCH(DATE(CS$7-1,MAX('Mezz 1 Amortization'!$R$4,'Mezz 1 Amortization'!$S$4),31),'Mezz 1 Amortization'!$E$19:$E$379,0),MATCH('Mezz 1 Amortization'!$V$19,'Mezz 1 Amortization'!$B$19:$V$19,0)),IF(AND('Mezz 1 Amortization'!$T$4="Bi-Annual",CS$5&gt;MAX('Mezz 1 Amortization'!$R$4,'Mezz 1 Amortization'!$S$4)),INDEX('Mezz 1 Amortization'!$B$19:$V$379,MATCH(DATE(CS$7,MAX('Mezz 1 Amortization'!$R$4,'Mezz 1 Amortization'!$S$4),31),'Mezz 1 Amortization'!$E$19:$E$379,0),MATCH('Mezz 1 Amortization'!$V$19,'Mezz 1 Amortization'!$B$19:$V$19,0)),IF(AND('Mezz 1 Amortization'!$T$4="Bi-Annual",CS$5&gt;MIN('Mezz 1 Amortization'!$R$4,'Mezz 1 Amortization'!$S$4),CS$5&lt;MAX('Mezz 1 Amortization'!$R$4,'Mezz 1 Amortization'!$S$4)),INDEX('Mezz 1 Amortization'!$B$19:$V$379,MATCH(DATE(CS$7,MIN('Mezz 1 Amortization'!$R$4,'Mezz 1 Amortization'!$S$4),31),'Mezz 1 Amortization'!$E$19:$E$379,0),MATCH('Mezz 1 Amortization'!$V$19,'Mezz 1 Amortization'!$B$19:$V$19,0)),IF(AND('Mezz 1 Amortization'!$T$4="Bi-Annual",CS$5='Mezz 1 Amortization'!$R$4),INDEX('Mezz 1 Amortization'!$B$19:$V$379,MATCH(DATE(CS$7,'Mezz 1 Amortization'!$R$4,31),'Mezz 1 Amortization'!$E$19:$E$379,0),MATCH('Mezz 1 Amortization'!$V$19,'Mezz 1 Amortization'!$B$19:$V$19,0)),IF(AND('Mezz 1 Amortization'!$T$4="Bi-Annual",CS$5='Mezz 1 Amortization'!$S$4),INDEX('Mezz 1 Amortization'!$B$19:$V$379,MATCH(DATE(CS$7,'Mezz 1 Amortization'!$S$4,31),'Mezz 1 Amortization'!$E$19:$E$379,0),MATCH('Mezz 1 Amortization'!$V$19,'Mezz 1 Amortization'!$B$19:$V$19,0)))))))))))</f>
        <v>0</v>
      </c>
      <c r="CT140" s="427">
        <f>IF('Financing Assumptions'!$P$8="No",0,IF(CT$9&lt;'Financing Assumptions'!$O$26,0,IF(AND('Mezz 1 Amortization'!$T$4&lt;&gt;"Monthly",CT9&lt;='Financing Assumptions'!$O$26),0,IF('Mezz 1 Amortization'!$T$4="Monthly",INDEX('Mezz 1 Amortization'!$B$19:$V$379,MATCH(CT$11,'Mezz 1 Amortization'!$E$19:$E$379,0),MATCH('Mezz 1 Amortization'!$V$19,'Mezz 1 Amortization'!$B$19:$V$19,0)),IF(AND('Mezz 1 Amortization'!$T$4="Bi-Annual",CT$5&lt;MIN('Mezz 1 Amortization'!$R$4,'Mezz 1 Amortization'!$S$4)),INDEX('Mezz 1 Amortization'!$B$19:$V$379,MATCH(DATE(CT$7-1,MAX('Mezz 1 Amortization'!$R$4,'Mezz 1 Amortization'!$S$4),31),'Mezz 1 Amortization'!$E$19:$E$379,0),MATCH('Mezz 1 Amortization'!$V$19,'Mezz 1 Amortization'!$B$19:$V$19,0)),IF(AND('Mezz 1 Amortization'!$T$4="Bi-Annual",CT$5&gt;MAX('Mezz 1 Amortization'!$R$4,'Mezz 1 Amortization'!$S$4)),INDEX('Mezz 1 Amortization'!$B$19:$V$379,MATCH(DATE(CT$7,MAX('Mezz 1 Amortization'!$R$4,'Mezz 1 Amortization'!$S$4),31),'Mezz 1 Amortization'!$E$19:$E$379,0),MATCH('Mezz 1 Amortization'!$V$19,'Mezz 1 Amortization'!$B$19:$V$19,0)),IF(AND('Mezz 1 Amortization'!$T$4="Bi-Annual",CT$5&gt;MIN('Mezz 1 Amortization'!$R$4,'Mezz 1 Amortization'!$S$4),CT$5&lt;MAX('Mezz 1 Amortization'!$R$4,'Mezz 1 Amortization'!$S$4)),INDEX('Mezz 1 Amortization'!$B$19:$V$379,MATCH(DATE(CT$7,MIN('Mezz 1 Amortization'!$R$4,'Mezz 1 Amortization'!$S$4),31),'Mezz 1 Amortization'!$E$19:$E$379,0),MATCH('Mezz 1 Amortization'!$V$19,'Mezz 1 Amortization'!$B$19:$V$19,0)),IF(AND('Mezz 1 Amortization'!$T$4="Bi-Annual",CT$5='Mezz 1 Amortization'!$R$4),INDEX('Mezz 1 Amortization'!$B$19:$V$379,MATCH(DATE(CT$7,'Mezz 1 Amortization'!$R$4,31),'Mezz 1 Amortization'!$E$19:$E$379,0),MATCH('Mezz 1 Amortization'!$V$19,'Mezz 1 Amortization'!$B$19:$V$19,0)),IF(AND('Mezz 1 Amortization'!$T$4="Bi-Annual",CT$5='Mezz 1 Amortization'!$S$4),INDEX('Mezz 1 Amortization'!$B$19:$V$379,MATCH(DATE(CT$7,'Mezz 1 Amortization'!$S$4,31),'Mezz 1 Amortization'!$E$19:$E$379,0),MATCH('Mezz 1 Amortization'!$V$19,'Mezz 1 Amortization'!$B$19:$V$19,0)))))))))))</f>
        <v>0</v>
      </c>
      <c r="CU140" s="427">
        <f>IF('Financing Assumptions'!$P$8="No",0,IF(CU$9&lt;'Financing Assumptions'!$O$26,0,IF(AND('Mezz 1 Amortization'!$T$4&lt;&gt;"Monthly",CU9&lt;='Financing Assumptions'!$O$26),0,IF('Mezz 1 Amortization'!$T$4="Monthly",INDEX('Mezz 1 Amortization'!$B$19:$V$379,MATCH(CU$11,'Mezz 1 Amortization'!$E$19:$E$379,0),MATCH('Mezz 1 Amortization'!$V$19,'Mezz 1 Amortization'!$B$19:$V$19,0)),IF(AND('Mezz 1 Amortization'!$T$4="Bi-Annual",CU$5&lt;MIN('Mezz 1 Amortization'!$R$4,'Mezz 1 Amortization'!$S$4)),INDEX('Mezz 1 Amortization'!$B$19:$V$379,MATCH(DATE(CU$7-1,MAX('Mezz 1 Amortization'!$R$4,'Mezz 1 Amortization'!$S$4),31),'Mezz 1 Amortization'!$E$19:$E$379,0),MATCH('Mezz 1 Amortization'!$V$19,'Mezz 1 Amortization'!$B$19:$V$19,0)),IF(AND('Mezz 1 Amortization'!$T$4="Bi-Annual",CU$5&gt;MAX('Mezz 1 Amortization'!$R$4,'Mezz 1 Amortization'!$S$4)),INDEX('Mezz 1 Amortization'!$B$19:$V$379,MATCH(DATE(CU$7,MAX('Mezz 1 Amortization'!$R$4,'Mezz 1 Amortization'!$S$4),31),'Mezz 1 Amortization'!$E$19:$E$379,0),MATCH('Mezz 1 Amortization'!$V$19,'Mezz 1 Amortization'!$B$19:$V$19,0)),IF(AND('Mezz 1 Amortization'!$T$4="Bi-Annual",CU$5&gt;MIN('Mezz 1 Amortization'!$R$4,'Mezz 1 Amortization'!$S$4),CU$5&lt;MAX('Mezz 1 Amortization'!$R$4,'Mezz 1 Amortization'!$S$4)),INDEX('Mezz 1 Amortization'!$B$19:$V$379,MATCH(DATE(CU$7,MIN('Mezz 1 Amortization'!$R$4,'Mezz 1 Amortization'!$S$4),31),'Mezz 1 Amortization'!$E$19:$E$379,0),MATCH('Mezz 1 Amortization'!$V$19,'Mezz 1 Amortization'!$B$19:$V$19,0)),IF(AND('Mezz 1 Amortization'!$T$4="Bi-Annual",CU$5='Mezz 1 Amortization'!$R$4),INDEX('Mezz 1 Amortization'!$B$19:$V$379,MATCH(DATE(CU$7,'Mezz 1 Amortization'!$R$4,31),'Mezz 1 Amortization'!$E$19:$E$379,0),MATCH('Mezz 1 Amortization'!$V$19,'Mezz 1 Amortization'!$B$19:$V$19,0)),IF(AND('Mezz 1 Amortization'!$T$4="Bi-Annual",CU$5='Mezz 1 Amortization'!$S$4),INDEX('Mezz 1 Amortization'!$B$19:$V$379,MATCH(DATE(CU$7,'Mezz 1 Amortization'!$S$4,31),'Mezz 1 Amortization'!$E$19:$E$379,0),MATCH('Mezz 1 Amortization'!$V$19,'Mezz 1 Amortization'!$B$19:$V$19,0)))))))))))</f>
        <v>0</v>
      </c>
      <c r="CV140" s="427">
        <f>IF('Financing Assumptions'!$P$8="No",0,IF(CV$9&lt;'Financing Assumptions'!$O$26,0,IF(AND('Mezz 1 Amortization'!$T$4&lt;&gt;"Monthly",CV9&lt;='Financing Assumptions'!$O$26),0,IF('Mezz 1 Amortization'!$T$4="Monthly",INDEX('Mezz 1 Amortization'!$B$19:$V$379,MATCH(CV$11,'Mezz 1 Amortization'!$E$19:$E$379,0),MATCH('Mezz 1 Amortization'!$V$19,'Mezz 1 Amortization'!$B$19:$V$19,0)),IF(AND('Mezz 1 Amortization'!$T$4="Bi-Annual",CV$5&lt;MIN('Mezz 1 Amortization'!$R$4,'Mezz 1 Amortization'!$S$4)),INDEX('Mezz 1 Amortization'!$B$19:$V$379,MATCH(DATE(CV$7-1,MAX('Mezz 1 Amortization'!$R$4,'Mezz 1 Amortization'!$S$4),31),'Mezz 1 Amortization'!$E$19:$E$379,0),MATCH('Mezz 1 Amortization'!$V$19,'Mezz 1 Amortization'!$B$19:$V$19,0)),IF(AND('Mezz 1 Amortization'!$T$4="Bi-Annual",CV$5&gt;MAX('Mezz 1 Amortization'!$R$4,'Mezz 1 Amortization'!$S$4)),INDEX('Mezz 1 Amortization'!$B$19:$V$379,MATCH(DATE(CV$7,MAX('Mezz 1 Amortization'!$R$4,'Mezz 1 Amortization'!$S$4),31),'Mezz 1 Amortization'!$E$19:$E$379,0),MATCH('Mezz 1 Amortization'!$V$19,'Mezz 1 Amortization'!$B$19:$V$19,0)),IF(AND('Mezz 1 Amortization'!$T$4="Bi-Annual",CV$5&gt;MIN('Mezz 1 Amortization'!$R$4,'Mezz 1 Amortization'!$S$4),CV$5&lt;MAX('Mezz 1 Amortization'!$R$4,'Mezz 1 Amortization'!$S$4)),INDEX('Mezz 1 Amortization'!$B$19:$V$379,MATCH(DATE(CV$7,MIN('Mezz 1 Amortization'!$R$4,'Mezz 1 Amortization'!$S$4),31),'Mezz 1 Amortization'!$E$19:$E$379,0),MATCH('Mezz 1 Amortization'!$V$19,'Mezz 1 Amortization'!$B$19:$V$19,0)),IF(AND('Mezz 1 Amortization'!$T$4="Bi-Annual",CV$5='Mezz 1 Amortization'!$R$4),INDEX('Mezz 1 Amortization'!$B$19:$V$379,MATCH(DATE(CV$7,'Mezz 1 Amortization'!$R$4,31),'Mezz 1 Amortization'!$E$19:$E$379,0),MATCH('Mezz 1 Amortization'!$V$19,'Mezz 1 Amortization'!$B$19:$V$19,0)),IF(AND('Mezz 1 Amortization'!$T$4="Bi-Annual",CV$5='Mezz 1 Amortization'!$S$4),INDEX('Mezz 1 Amortization'!$B$19:$V$379,MATCH(DATE(CV$7,'Mezz 1 Amortization'!$S$4,31),'Mezz 1 Amortization'!$E$19:$E$379,0),MATCH('Mezz 1 Amortization'!$V$19,'Mezz 1 Amortization'!$B$19:$V$19,0)))))))))))</f>
        <v>0</v>
      </c>
      <c r="CW140" s="427">
        <f>IF('Financing Assumptions'!$P$8="No",0,IF(CW$9&lt;'Financing Assumptions'!$O$26,0,IF(AND('Mezz 1 Amortization'!$T$4&lt;&gt;"Monthly",CW9&lt;='Financing Assumptions'!$O$26),0,IF('Mezz 1 Amortization'!$T$4="Monthly",INDEX('Mezz 1 Amortization'!$B$19:$V$379,MATCH(CW$11,'Mezz 1 Amortization'!$E$19:$E$379,0),MATCH('Mezz 1 Amortization'!$V$19,'Mezz 1 Amortization'!$B$19:$V$19,0)),IF(AND('Mezz 1 Amortization'!$T$4="Bi-Annual",CW$5&lt;MIN('Mezz 1 Amortization'!$R$4,'Mezz 1 Amortization'!$S$4)),INDEX('Mezz 1 Amortization'!$B$19:$V$379,MATCH(DATE(CW$7-1,MAX('Mezz 1 Amortization'!$R$4,'Mezz 1 Amortization'!$S$4),31),'Mezz 1 Amortization'!$E$19:$E$379,0),MATCH('Mezz 1 Amortization'!$V$19,'Mezz 1 Amortization'!$B$19:$V$19,0)),IF(AND('Mezz 1 Amortization'!$T$4="Bi-Annual",CW$5&gt;MAX('Mezz 1 Amortization'!$R$4,'Mezz 1 Amortization'!$S$4)),INDEX('Mezz 1 Amortization'!$B$19:$V$379,MATCH(DATE(CW$7,MAX('Mezz 1 Amortization'!$R$4,'Mezz 1 Amortization'!$S$4),31),'Mezz 1 Amortization'!$E$19:$E$379,0),MATCH('Mezz 1 Amortization'!$V$19,'Mezz 1 Amortization'!$B$19:$V$19,0)),IF(AND('Mezz 1 Amortization'!$T$4="Bi-Annual",CW$5&gt;MIN('Mezz 1 Amortization'!$R$4,'Mezz 1 Amortization'!$S$4),CW$5&lt;MAX('Mezz 1 Amortization'!$R$4,'Mezz 1 Amortization'!$S$4)),INDEX('Mezz 1 Amortization'!$B$19:$V$379,MATCH(DATE(CW$7,MIN('Mezz 1 Amortization'!$R$4,'Mezz 1 Amortization'!$S$4),31),'Mezz 1 Amortization'!$E$19:$E$379,0),MATCH('Mezz 1 Amortization'!$V$19,'Mezz 1 Amortization'!$B$19:$V$19,0)),IF(AND('Mezz 1 Amortization'!$T$4="Bi-Annual",CW$5='Mezz 1 Amortization'!$R$4),INDEX('Mezz 1 Amortization'!$B$19:$V$379,MATCH(DATE(CW$7,'Mezz 1 Amortization'!$R$4,31),'Mezz 1 Amortization'!$E$19:$E$379,0),MATCH('Mezz 1 Amortization'!$V$19,'Mezz 1 Amortization'!$B$19:$V$19,0)),IF(AND('Mezz 1 Amortization'!$T$4="Bi-Annual",CW$5='Mezz 1 Amortization'!$S$4),INDEX('Mezz 1 Amortization'!$B$19:$V$379,MATCH(DATE(CW$7,'Mezz 1 Amortization'!$S$4,31),'Mezz 1 Amortization'!$E$19:$E$379,0),MATCH('Mezz 1 Amortization'!$V$19,'Mezz 1 Amortization'!$B$19:$V$19,0)))))))))))</f>
        <v>0</v>
      </c>
      <c r="CX140" s="427">
        <f>IF('Financing Assumptions'!$P$8="No",0,IF(CX$9&lt;'Financing Assumptions'!$O$26,0,IF(AND('Mezz 1 Amortization'!$T$4&lt;&gt;"Monthly",CX9&lt;='Financing Assumptions'!$O$26),0,IF('Mezz 1 Amortization'!$T$4="Monthly",INDEX('Mezz 1 Amortization'!$B$19:$V$379,MATCH(CX$11,'Mezz 1 Amortization'!$E$19:$E$379,0),MATCH('Mezz 1 Amortization'!$V$19,'Mezz 1 Amortization'!$B$19:$V$19,0)),IF(AND('Mezz 1 Amortization'!$T$4="Bi-Annual",CX$5&lt;MIN('Mezz 1 Amortization'!$R$4,'Mezz 1 Amortization'!$S$4)),INDEX('Mezz 1 Amortization'!$B$19:$V$379,MATCH(DATE(CX$7-1,MAX('Mezz 1 Amortization'!$R$4,'Mezz 1 Amortization'!$S$4),31),'Mezz 1 Amortization'!$E$19:$E$379,0),MATCH('Mezz 1 Amortization'!$V$19,'Mezz 1 Amortization'!$B$19:$V$19,0)),IF(AND('Mezz 1 Amortization'!$T$4="Bi-Annual",CX$5&gt;MAX('Mezz 1 Amortization'!$R$4,'Mezz 1 Amortization'!$S$4)),INDEX('Mezz 1 Amortization'!$B$19:$V$379,MATCH(DATE(CX$7,MAX('Mezz 1 Amortization'!$R$4,'Mezz 1 Amortization'!$S$4),31),'Mezz 1 Amortization'!$E$19:$E$379,0),MATCH('Mezz 1 Amortization'!$V$19,'Mezz 1 Amortization'!$B$19:$V$19,0)),IF(AND('Mezz 1 Amortization'!$T$4="Bi-Annual",CX$5&gt;MIN('Mezz 1 Amortization'!$R$4,'Mezz 1 Amortization'!$S$4),CX$5&lt;MAX('Mezz 1 Amortization'!$R$4,'Mezz 1 Amortization'!$S$4)),INDEX('Mezz 1 Amortization'!$B$19:$V$379,MATCH(DATE(CX$7,MIN('Mezz 1 Amortization'!$R$4,'Mezz 1 Amortization'!$S$4),31),'Mezz 1 Amortization'!$E$19:$E$379,0),MATCH('Mezz 1 Amortization'!$V$19,'Mezz 1 Amortization'!$B$19:$V$19,0)),IF(AND('Mezz 1 Amortization'!$T$4="Bi-Annual",CX$5='Mezz 1 Amortization'!$R$4),INDEX('Mezz 1 Amortization'!$B$19:$V$379,MATCH(DATE(CX$7,'Mezz 1 Amortization'!$R$4,31),'Mezz 1 Amortization'!$E$19:$E$379,0),MATCH('Mezz 1 Amortization'!$V$19,'Mezz 1 Amortization'!$B$19:$V$19,0)),IF(AND('Mezz 1 Amortization'!$T$4="Bi-Annual",CX$5='Mezz 1 Amortization'!$S$4),INDEX('Mezz 1 Amortization'!$B$19:$V$379,MATCH(DATE(CX$7,'Mezz 1 Amortization'!$S$4,31),'Mezz 1 Amortization'!$E$19:$E$379,0),MATCH('Mezz 1 Amortization'!$V$19,'Mezz 1 Amortization'!$B$19:$V$19,0)))))))))))</f>
        <v>0</v>
      </c>
      <c r="CY140" s="427">
        <f>IF('Financing Assumptions'!$P$8="No",0,IF(CY$9&lt;'Financing Assumptions'!$O$26,0,IF(AND('Mezz 1 Amortization'!$T$4&lt;&gt;"Monthly",CY9&lt;='Financing Assumptions'!$O$26),0,IF('Mezz 1 Amortization'!$T$4="Monthly",INDEX('Mezz 1 Amortization'!$B$19:$V$379,MATCH(CY$11,'Mezz 1 Amortization'!$E$19:$E$379,0),MATCH('Mezz 1 Amortization'!$V$19,'Mezz 1 Amortization'!$B$19:$V$19,0)),IF(AND('Mezz 1 Amortization'!$T$4="Bi-Annual",CY$5&lt;MIN('Mezz 1 Amortization'!$R$4,'Mezz 1 Amortization'!$S$4)),INDEX('Mezz 1 Amortization'!$B$19:$V$379,MATCH(DATE(CY$7-1,MAX('Mezz 1 Amortization'!$R$4,'Mezz 1 Amortization'!$S$4),31),'Mezz 1 Amortization'!$E$19:$E$379,0),MATCH('Mezz 1 Amortization'!$V$19,'Mezz 1 Amortization'!$B$19:$V$19,0)),IF(AND('Mezz 1 Amortization'!$T$4="Bi-Annual",CY$5&gt;MAX('Mezz 1 Amortization'!$R$4,'Mezz 1 Amortization'!$S$4)),INDEX('Mezz 1 Amortization'!$B$19:$V$379,MATCH(DATE(CY$7,MAX('Mezz 1 Amortization'!$R$4,'Mezz 1 Amortization'!$S$4),31),'Mezz 1 Amortization'!$E$19:$E$379,0),MATCH('Mezz 1 Amortization'!$V$19,'Mezz 1 Amortization'!$B$19:$V$19,0)),IF(AND('Mezz 1 Amortization'!$T$4="Bi-Annual",CY$5&gt;MIN('Mezz 1 Amortization'!$R$4,'Mezz 1 Amortization'!$S$4),CY$5&lt;MAX('Mezz 1 Amortization'!$R$4,'Mezz 1 Amortization'!$S$4)),INDEX('Mezz 1 Amortization'!$B$19:$V$379,MATCH(DATE(CY$7,MIN('Mezz 1 Amortization'!$R$4,'Mezz 1 Amortization'!$S$4),31),'Mezz 1 Amortization'!$E$19:$E$379,0),MATCH('Mezz 1 Amortization'!$V$19,'Mezz 1 Amortization'!$B$19:$V$19,0)),IF(AND('Mezz 1 Amortization'!$T$4="Bi-Annual",CY$5='Mezz 1 Amortization'!$R$4),INDEX('Mezz 1 Amortization'!$B$19:$V$379,MATCH(DATE(CY$7,'Mezz 1 Amortization'!$R$4,31),'Mezz 1 Amortization'!$E$19:$E$379,0),MATCH('Mezz 1 Amortization'!$V$19,'Mezz 1 Amortization'!$B$19:$V$19,0)),IF(AND('Mezz 1 Amortization'!$T$4="Bi-Annual",CY$5='Mezz 1 Amortization'!$S$4),INDEX('Mezz 1 Amortization'!$B$19:$V$379,MATCH(DATE(CY$7,'Mezz 1 Amortization'!$S$4,31),'Mezz 1 Amortization'!$E$19:$E$379,0),MATCH('Mezz 1 Amortization'!$V$19,'Mezz 1 Amortization'!$B$19:$V$19,0)))))))))))</f>
        <v>0</v>
      </c>
      <c r="CZ140" s="427">
        <f>IF('Financing Assumptions'!$P$8="No",0,IF(CZ$9&lt;'Financing Assumptions'!$O$26,0,IF(AND('Mezz 1 Amortization'!$T$4&lt;&gt;"Monthly",CZ9&lt;='Financing Assumptions'!$O$26),0,IF('Mezz 1 Amortization'!$T$4="Monthly",INDEX('Mezz 1 Amortization'!$B$19:$V$379,MATCH(CZ$11,'Mezz 1 Amortization'!$E$19:$E$379,0),MATCH('Mezz 1 Amortization'!$V$19,'Mezz 1 Amortization'!$B$19:$V$19,0)),IF(AND('Mezz 1 Amortization'!$T$4="Bi-Annual",CZ$5&lt;MIN('Mezz 1 Amortization'!$R$4,'Mezz 1 Amortization'!$S$4)),INDEX('Mezz 1 Amortization'!$B$19:$V$379,MATCH(DATE(CZ$7-1,MAX('Mezz 1 Amortization'!$R$4,'Mezz 1 Amortization'!$S$4),31),'Mezz 1 Amortization'!$E$19:$E$379,0),MATCH('Mezz 1 Amortization'!$V$19,'Mezz 1 Amortization'!$B$19:$V$19,0)),IF(AND('Mezz 1 Amortization'!$T$4="Bi-Annual",CZ$5&gt;MAX('Mezz 1 Amortization'!$R$4,'Mezz 1 Amortization'!$S$4)),INDEX('Mezz 1 Amortization'!$B$19:$V$379,MATCH(DATE(CZ$7,MAX('Mezz 1 Amortization'!$R$4,'Mezz 1 Amortization'!$S$4),31),'Mezz 1 Amortization'!$E$19:$E$379,0),MATCH('Mezz 1 Amortization'!$V$19,'Mezz 1 Amortization'!$B$19:$V$19,0)),IF(AND('Mezz 1 Amortization'!$T$4="Bi-Annual",CZ$5&gt;MIN('Mezz 1 Amortization'!$R$4,'Mezz 1 Amortization'!$S$4),CZ$5&lt;MAX('Mezz 1 Amortization'!$R$4,'Mezz 1 Amortization'!$S$4)),INDEX('Mezz 1 Amortization'!$B$19:$V$379,MATCH(DATE(CZ$7,MIN('Mezz 1 Amortization'!$R$4,'Mezz 1 Amortization'!$S$4),31),'Mezz 1 Amortization'!$E$19:$E$379,0),MATCH('Mezz 1 Amortization'!$V$19,'Mezz 1 Amortization'!$B$19:$V$19,0)),IF(AND('Mezz 1 Amortization'!$T$4="Bi-Annual",CZ$5='Mezz 1 Amortization'!$R$4),INDEX('Mezz 1 Amortization'!$B$19:$V$379,MATCH(DATE(CZ$7,'Mezz 1 Amortization'!$R$4,31),'Mezz 1 Amortization'!$E$19:$E$379,0),MATCH('Mezz 1 Amortization'!$V$19,'Mezz 1 Amortization'!$B$19:$V$19,0)),IF(AND('Mezz 1 Amortization'!$T$4="Bi-Annual",CZ$5='Mezz 1 Amortization'!$S$4),INDEX('Mezz 1 Amortization'!$B$19:$V$379,MATCH(DATE(CZ$7,'Mezz 1 Amortization'!$S$4,31),'Mezz 1 Amortization'!$E$19:$E$379,0),MATCH('Mezz 1 Amortization'!$V$19,'Mezz 1 Amortization'!$B$19:$V$19,0)))))))))))</f>
        <v>0</v>
      </c>
      <c r="DA140" s="427">
        <f>IF('Financing Assumptions'!$P$8="No",0,IF(DA$9&lt;'Financing Assumptions'!$O$26,0,IF(AND('Mezz 1 Amortization'!$T$4&lt;&gt;"Monthly",DA9&lt;='Financing Assumptions'!$O$26),0,IF('Mezz 1 Amortization'!$T$4="Monthly",INDEX('Mezz 1 Amortization'!$B$19:$V$379,MATCH(DA$11,'Mezz 1 Amortization'!$E$19:$E$379,0),MATCH('Mezz 1 Amortization'!$V$19,'Mezz 1 Amortization'!$B$19:$V$19,0)),IF(AND('Mezz 1 Amortization'!$T$4="Bi-Annual",DA$5&lt;MIN('Mezz 1 Amortization'!$R$4,'Mezz 1 Amortization'!$S$4)),INDEX('Mezz 1 Amortization'!$B$19:$V$379,MATCH(DATE(DA$7-1,MAX('Mezz 1 Amortization'!$R$4,'Mezz 1 Amortization'!$S$4),31),'Mezz 1 Amortization'!$E$19:$E$379,0),MATCH('Mezz 1 Amortization'!$V$19,'Mezz 1 Amortization'!$B$19:$V$19,0)),IF(AND('Mezz 1 Amortization'!$T$4="Bi-Annual",DA$5&gt;MAX('Mezz 1 Amortization'!$R$4,'Mezz 1 Amortization'!$S$4)),INDEX('Mezz 1 Amortization'!$B$19:$V$379,MATCH(DATE(DA$7,MAX('Mezz 1 Amortization'!$R$4,'Mezz 1 Amortization'!$S$4),31),'Mezz 1 Amortization'!$E$19:$E$379,0),MATCH('Mezz 1 Amortization'!$V$19,'Mezz 1 Amortization'!$B$19:$V$19,0)),IF(AND('Mezz 1 Amortization'!$T$4="Bi-Annual",DA$5&gt;MIN('Mezz 1 Amortization'!$R$4,'Mezz 1 Amortization'!$S$4),DA$5&lt;MAX('Mezz 1 Amortization'!$R$4,'Mezz 1 Amortization'!$S$4)),INDEX('Mezz 1 Amortization'!$B$19:$V$379,MATCH(DATE(DA$7,MIN('Mezz 1 Amortization'!$R$4,'Mezz 1 Amortization'!$S$4),31),'Mezz 1 Amortization'!$E$19:$E$379,0),MATCH('Mezz 1 Amortization'!$V$19,'Mezz 1 Amortization'!$B$19:$V$19,0)),IF(AND('Mezz 1 Amortization'!$T$4="Bi-Annual",DA$5='Mezz 1 Amortization'!$R$4),INDEX('Mezz 1 Amortization'!$B$19:$V$379,MATCH(DATE(DA$7,'Mezz 1 Amortization'!$R$4,31),'Mezz 1 Amortization'!$E$19:$E$379,0),MATCH('Mezz 1 Amortization'!$V$19,'Mezz 1 Amortization'!$B$19:$V$19,0)),IF(AND('Mezz 1 Amortization'!$T$4="Bi-Annual",DA$5='Mezz 1 Amortization'!$S$4),INDEX('Mezz 1 Amortization'!$B$19:$V$379,MATCH(DATE(DA$7,'Mezz 1 Amortization'!$S$4,31),'Mezz 1 Amortization'!$E$19:$E$379,0),MATCH('Mezz 1 Amortization'!$V$19,'Mezz 1 Amortization'!$B$19:$V$19,0)))))))))))</f>
        <v>0</v>
      </c>
      <c r="DB140" s="427">
        <f>IF('Financing Assumptions'!$P$8="No",0,IF(DB$9&lt;'Financing Assumptions'!$O$26,0,IF(AND('Mezz 1 Amortization'!$T$4&lt;&gt;"Monthly",DB9&lt;='Financing Assumptions'!$O$26),0,IF('Mezz 1 Amortization'!$T$4="Monthly",INDEX('Mezz 1 Amortization'!$B$19:$V$379,MATCH(DB$11,'Mezz 1 Amortization'!$E$19:$E$379,0),MATCH('Mezz 1 Amortization'!$V$19,'Mezz 1 Amortization'!$B$19:$V$19,0)),IF(AND('Mezz 1 Amortization'!$T$4="Bi-Annual",DB$5&lt;MIN('Mezz 1 Amortization'!$R$4,'Mezz 1 Amortization'!$S$4)),INDEX('Mezz 1 Amortization'!$B$19:$V$379,MATCH(DATE(DB$7-1,MAX('Mezz 1 Amortization'!$R$4,'Mezz 1 Amortization'!$S$4),31),'Mezz 1 Amortization'!$E$19:$E$379,0),MATCH('Mezz 1 Amortization'!$V$19,'Mezz 1 Amortization'!$B$19:$V$19,0)),IF(AND('Mezz 1 Amortization'!$T$4="Bi-Annual",DB$5&gt;MAX('Mezz 1 Amortization'!$R$4,'Mezz 1 Amortization'!$S$4)),INDEX('Mezz 1 Amortization'!$B$19:$V$379,MATCH(DATE(DB$7,MAX('Mezz 1 Amortization'!$R$4,'Mezz 1 Amortization'!$S$4),31),'Mezz 1 Amortization'!$E$19:$E$379,0),MATCH('Mezz 1 Amortization'!$V$19,'Mezz 1 Amortization'!$B$19:$V$19,0)),IF(AND('Mezz 1 Amortization'!$T$4="Bi-Annual",DB$5&gt;MIN('Mezz 1 Amortization'!$R$4,'Mezz 1 Amortization'!$S$4),DB$5&lt;MAX('Mezz 1 Amortization'!$R$4,'Mezz 1 Amortization'!$S$4)),INDEX('Mezz 1 Amortization'!$B$19:$V$379,MATCH(DATE(DB$7,MIN('Mezz 1 Amortization'!$R$4,'Mezz 1 Amortization'!$S$4),31),'Mezz 1 Amortization'!$E$19:$E$379,0),MATCH('Mezz 1 Amortization'!$V$19,'Mezz 1 Amortization'!$B$19:$V$19,0)),IF(AND('Mezz 1 Amortization'!$T$4="Bi-Annual",DB$5='Mezz 1 Amortization'!$R$4),INDEX('Mezz 1 Amortization'!$B$19:$V$379,MATCH(DATE(DB$7,'Mezz 1 Amortization'!$R$4,31),'Mezz 1 Amortization'!$E$19:$E$379,0),MATCH('Mezz 1 Amortization'!$V$19,'Mezz 1 Amortization'!$B$19:$V$19,0)),IF(AND('Mezz 1 Amortization'!$T$4="Bi-Annual",DB$5='Mezz 1 Amortization'!$S$4),INDEX('Mezz 1 Amortization'!$B$19:$V$379,MATCH(DATE(DB$7,'Mezz 1 Amortization'!$S$4,31),'Mezz 1 Amortization'!$E$19:$E$379,0),MATCH('Mezz 1 Amortization'!$V$19,'Mezz 1 Amortization'!$B$19:$V$19,0)))))))))))</f>
        <v>0</v>
      </c>
      <c r="DC140" s="427">
        <f>IF('Financing Assumptions'!$P$8="No",0,IF(DC$9&lt;'Financing Assumptions'!$O$26,0,IF(AND('Mezz 1 Amortization'!$T$4&lt;&gt;"Monthly",DC9&lt;='Financing Assumptions'!$O$26),0,IF('Mezz 1 Amortization'!$T$4="Monthly",INDEX('Mezz 1 Amortization'!$B$19:$V$379,MATCH(DC$11,'Mezz 1 Amortization'!$E$19:$E$379,0),MATCH('Mezz 1 Amortization'!$V$19,'Mezz 1 Amortization'!$B$19:$V$19,0)),IF(AND('Mezz 1 Amortization'!$T$4="Bi-Annual",DC$5&lt;MIN('Mezz 1 Amortization'!$R$4,'Mezz 1 Amortization'!$S$4)),INDEX('Mezz 1 Amortization'!$B$19:$V$379,MATCH(DATE(DC$7-1,MAX('Mezz 1 Amortization'!$R$4,'Mezz 1 Amortization'!$S$4),31),'Mezz 1 Amortization'!$E$19:$E$379,0),MATCH('Mezz 1 Amortization'!$V$19,'Mezz 1 Amortization'!$B$19:$V$19,0)),IF(AND('Mezz 1 Amortization'!$T$4="Bi-Annual",DC$5&gt;MAX('Mezz 1 Amortization'!$R$4,'Mezz 1 Amortization'!$S$4)),INDEX('Mezz 1 Amortization'!$B$19:$V$379,MATCH(DATE(DC$7,MAX('Mezz 1 Amortization'!$R$4,'Mezz 1 Amortization'!$S$4),31),'Mezz 1 Amortization'!$E$19:$E$379,0),MATCH('Mezz 1 Amortization'!$V$19,'Mezz 1 Amortization'!$B$19:$V$19,0)),IF(AND('Mezz 1 Amortization'!$T$4="Bi-Annual",DC$5&gt;MIN('Mezz 1 Amortization'!$R$4,'Mezz 1 Amortization'!$S$4),DC$5&lt;MAX('Mezz 1 Amortization'!$R$4,'Mezz 1 Amortization'!$S$4)),INDEX('Mezz 1 Amortization'!$B$19:$V$379,MATCH(DATE(DC$7,MIN('Mezz 1 Amortization'!$R$4,'Mezz 1 Amortization'!$S$4),31),'Mezz 1 Amortization'!$E$19:$E$379,0),MATCH('Mezz 1 Amortization'!$V$19,'Mezz 1 Amortization'!$B$19:$V$19,0)),IF(AND('Mezz 1 Amortization'!$T$4="Bi-Annual",DC$5='Mezz 1 Amortization'!$R$4),INDEX('Mezz 1 Amortization'!$B$19:$V$379,MATCH(DATE(DC$7,'Mezz 1 Amortization'!$R$4,31),'Mezz 1 Amortization'!$E$19:$E$379,0),MATCH('Mezz 1 Amortization'!$V$19,'Mezz 1 Amortization'!$B$19:$V$19,0)),IF(AND('Mezz 1 Amortization'!$T$4="Bi-Annual",DC$5='Mezz 1 Amortization'!$S$4),INDEX('Mezz 1 Amortization'!$B$19:$V$379,MATCH(DATE(DC$7,'Mezz 1 Amortization'!$S$4,31),'Mezz 1 Amortization'!$E$19:$E$379,0),MATCH('Mezz 1 Amortization'!$V$19,'Mezz 1 Amortization'!$B$19:$V$19,0)))))))))))</f>
        <v>0</v>
      </c>
      <c r="DD140" s="427">
        <f>IF('Financing Assumptions'!$P$8="No",0,IF(DD$9&lt;'Financing Assumptions'!$O$26,0,IF(AND('Mezz 1 Amortization'!$T$4&lt;&gt;"Monthly",DD9&lt;='Financing Assumptions'!$O$26),0,IF('Mezz 1 Amortization'!$T$4="Monthly",INDEX('Mezz 1 Amortization'!$B$19:$V$379,MATCH(DD$11,'Mezz 1 Amortization'!$E$19:$E$379,0),MATCH('Mezz 1 Amortization'!$V$19,'Mezz 1 Amortization'!$B$19:$V$19,0)),IF(AND('Mezz 1 Amortization'!$T$4="Bi-Annual",DD$5&lt;MIN('Mezz 1 Amortization'!$R$4,'Mezz 1 Amortization'!$S$4)),INDEX('Mezz 1 Amortization'!$B$19:$V$379,MATCH(DATE(DD$7-1,MAX('Mezz 1 Amortization'!$R$4,'Mezz 1 Amortization'!$S$4),31),'Mezz 1 Amortization'!$E$19:$E$379,0),MATCH('Mezz 1 Amortization'!$V$19,'Mezz 1 Amortization'!$B$19:$V$19,0)),IF(AND('Mezz 1 Amortization'!$T$4="Bi-Annual",DD$5&gt;MAX('Mezz 1 Amortization'!$R$4,'Mezz 1 Amortization'!$S$4)),INDEX('Mezz 1 Amortization'!$B$19:$V$379,MATCH(DATE(DD$7,MAX('Mezz 1 Amortization'!$R$4,'Mezz 1 Amortization'!$S$4),31),'Mezz 1 Amortization'!$E$19:$E$379,0),MATCH('Mezz 1 Amortization'!$V$19,'Mezz 1 Amortization'!$B$19:$V$19,0)),IF(AND('Mezz 1 Amortization'!$T$4="Bi-Annual",DD$5&gt;MIN('Mezz 1 Amortization'!$R$4,'Mezz 1 Amortization'!$S$4),DD$5&lt;MAX('Mezz 1 Amortization'!$R$4,'Mezz 1 Amortization'!$S$4)),INDEX('Mezz 1 Amortization'!$B$19:$V$379,MATCH(DATE(DD$7,MIN('Mezz 1 Amortization'!$R$4,'Mezz 1 Amortization'!$S$4),31),'Mezz 1 Amortization'!$E$19:$E$379,0),MATCH('Mezz 1 Amortization'!$V$19,'Mezz 1 Amortization'!$B$19:$V$19,0)),IF(AND('Mezz 1 Amortization'!$T$4="Bi-Annual",DD$5='Mezz 1 Amortization'!$R$4),INDEX('Mezz 1 Amortization'!$B$19:$V$379,MATCH(DATE(DD$7,'Mezz 1 Amortization'!$R$4,31),'Mezz 1 Amortization'!$E$19:$E$379,0),MATCH('Mezz 1 Amortization'!$V$19,'Mezz 1 Amortization'!$B$19:$V$19,0)),IF(AND('Mezz 1 Amortization'!$T$4="Bi-Annual",DD$5='Mezz 1 Amortization'!$S$4),INDEX('Mezz 1 Amortization'!$B$19:$V$379,MATCH(DATE(DD$7,'Mezz 1 Amortization'!$S$4,31),'Mezz 1 Amortization'!$E$19:$E$379,0),MATCH('Mezz 1 Amortization'!$V$19,'Mezz 1 Amortization'!$B$19:$V$19,0)))))))))))</f>
        <v>0</v>
      </c>
      <c r="DE140" s="427">
        <f>IF('Financing Assumptions'!$P$8="No",0,IF(DE$9&lt;'Financing Assumptions'!$O$26,0,IF(AND('Mezz 1 Amortization'!$T$4&lt;&gt;"Monthly",DE9&lt;='Financing Assumptions'!$O$26),0,IF('Mezz 1 Amortization'!$T$4="Monthly",INDEX('Mezz 1 Amortization'!$B$19:$V$379,MATCH(DE$11,'Mezz 1 Amortization'!$E$19:$E$379,0),MATCH('Mezz 1 Amortization'!$V$19,'Mezz 1 Amortization'!$B$19:$V$19,0)),IF(AND('Mezz 1 Amortization'!$T$4="Bi-Annual",DE$5&lt;MIN('Mezz 1 Amortization'!$R$4,'Mezz 1 Amortization'!$S$4)),INDEX('Mezz 1 Amortization'!$B$19:$V$379,MATCH(DATE(DE$7-1,MAX('Mezz 1 Amortization'!$R$4,'Mezz 1 Amortization'!$S$4),31),'Mezz 1 Amortization'!$E$19:$E$379,0),MATCH('Mezz 1 Amortization'!$V$19,'Mezz 1 Amortization'!$B$19:$V$19,0)),IF(AND('Mezz 1 Amortization'!$T$4="Bi-Annual",DE$5&gt;MAX('Mezz 1 Amortization'!$R$4,'Mezz 1 Amortization'!$S$4)),INDEX('Mezz 1 Amortization'!$B$19:$V$379,MATCH(DATE(DE$7,MAX('Mezz 1 Amortization'!$R$4,'Mezz 1 Amortization'!$S$4),31),'Mezz 1 Amortization'!$E$19:$E$379,0),MATCH('Mezz 1 Amortization'!$V$19,'Mezz 1 Amortization'!$B$19:$V$19,0)),IF(AND('Mezz 1 Amortization'!$T$4="Bi-Annual",DE$5&gt;MIN('Mezz 1 Amortization'!$R$4,'Mezz 1 Amortization'!$S$4),DE$5&lt;MAX('Mezz 1 Amortization'!$R$4,'Mezz 1 Amortization'!$S$4)),INDEX('Mezz 1 Amortization'!$B$19:$V$379,MATCH(DATE(DE$7,MIN('Mezz 1 Amortization'!$R$4,'Mezz 1 Amortization'!$S$4),31),'Mezz 1 Amortization'!$E$19:$E$379,0),MATCH('Mezz 1 Amortization'!$V$19,'Mezz 1 Amortization'!$B$19:$V$19,0)),IF(AND('Mezz 1 Amortization'!$T$4="Bi-Annual",DE$5='Mezz 1 Amortization'!$R$4),INDEX('Mezz 1 Amortization'!$B$19:$V$379,MATCH(DATE(DE$7,'Mezz 1 Amortization'!$R$4,31),'Mezz 1 Amortization'!$E$19:$E$379,0),MATCH('Mezz 1 Amortization'!$V$19,'Mezz 1 Amortization'!$B$19:$V$19,0)),IF(AND('Mezz 1 Amortization'!$T$4="Bi-Annual",DE$5='Mezz 1 Amortization'!$S$4),INDEX('Mezz 1 Amortization'!$B$19:$V$379,MATCH(DATE(DE$7,'Mezz 1 Amortization'!$S$4,31),'Mezz 1 Amortization'!$E$19:$E$379,0),MATCH('Mezz 1 Amortization'!$V$19,'Mezz 1 Amortization'!$B$19:$V$19,0)))))))))))</f>
        <v>0</v>
      </c>
      <c r="DF140" s="427">
        <f>IF('Financing Assumptions'!$P$8="No",0,IF(DF$9&lt;'Financing Assumptions'!$O$26,0,IF(AND('Mezz 1 Amortization'!$T$4&lt;&gt;"Monthly",DF9&lt;='Financing Assumptions'!$O$26),0,IF('Mezz 1 Amortization'!$T$4="Monthly",INDEX('Mezz 1 Amortization'!$B$19:$V$379,MATCH(DF$11,'Mezz 1 Amortization'!$E$19:$E$379,0),MATCH('Mezz 1 Amortization'!$V$19,'Mezz 1 Amortization'!$B$19:$V$19,0)),IF(AND('Mezz 1 Amortization'!$T$4="Bi-Annual",DF$5&lt;MIN('Mezz 1 Amortization'!$R$4,'Mezz 1 Amortization'!$S$4)),INDEX('Mezz 1 Amortization'!$B$19:$V$379,MATCH(DATE(DF$7-1,MAX('Mezz 1 Amortization'!$R$4,'Mezz 1 Amortization'!$S$4),31),'Mezz 1 Amortization'!$E$19:$E$379,0),MATCH('Mezz 1 Amortization'!$V$19,'Mezz 1 Amortization'!$B$19:$V$19,0)),IF(AND('Mezz 1 Amortization'!$T$4="Bi-Annual",DF$5&gt;MAX('Mezz 1 Amortization'!$R$4,'Mezz 1 Amortization'!$S$4)),INDEX('Mezz 1 Amortization'!$B$19:$V$379,MATCH(DATE(DF$7,MAX('Mezz 1 Amortization'!$R$4,'Mezz 1 Amortization'!$S$4),31),'Mezz 1 Amortization'!$E$19:$E$379,0),MATCH('Mezz 1 Amortization'!$V$19,'Mezz 1 Amortization'!$B$19:$V$19,0)),IF(AND('Mezz 1 Amortization'!$T$4="Bi-Annual",DF$5&gt;MIN('Mezz 1 Amortization'!$R$4,'Mezz 1 Amortization'!$S$4),DF$5&lt;MAX('Mezz 1 Amortization'!$R$4,'Mezz 1 Amortization'!$S$4)),INDEX('Mezz 1 Amortization'!$B$19:$V$379,MATCH(DATE(DF$7,MIN('Mezz 1 Amortization'!$R$4,'Mezz 1 Amortization'!$S$4),31),'Mezz 1 Amortization'!$E$19:$E$379,0),MATCH('Mezz 1 Amortization'!$V$19,'Mezz 1 Amortization'!$B$19:$V$19,0)),IF(AND('Mezz 1 Amortization'!$T$4="Bi-Annual",DF$5='Mezz 1 Amortization'!$R$4),INDEX('Mezz 1 Amortization'!$B$19:$V$379,MATCH(DATE(DF$7,'Mezz 1 Amortization'!$R$4,31),'Mezz 1 Amortization'!$E$19:$E$379,0),MATCH('Mezz 1 Amortization'!$V$19,'Mezz 1 Amortization'!$B$19:$V$19,0)),IF(AND('Mezz 1 Amortization'!$T$4="Bi-Annual",DF$5='Mezz 1 Amortization'!$S$4),INDEX('Mezz 1 Amortization'!$B$19:$V$379,MATCH(DATE(DF$7,'Mezz 1 Amortization'!$S$4,31),'Mezz 1 Amortization'!$E$19:$E$379,0),MATCH('Mezz 1 Amortization'!$V$19,'Mezz 1 Amortization'!$B$19:$V$19,0)))))))))))</f>
        <v>0</v>
      </c>
      <c r="DG140" s="427">
        <f>IF('Financing Assumptions'!$P$8="No",0,IF(DG$9&lt;'Financing Assumptions'!$O$26,0,IF(AND('Mezz 1 Amortization'!$T$4&lt;&gt;"Monthly",DG9&lt;='Financing Assumptions'!$O$26),0,IF('Mezz 1 Amortization'!$T$4="Monthly",INDEX('Mezz 1 Amortization'!$B$19:$V$379,MATCH(DG$11,'Mezz 1 Amortization'!$E$19:$E$379,0),MATCH('Mezz 1 Amortization'!$V$19,'Mezz 1 Amortization'!$B$19:$V$19,0)),IF(AND('Mezz 1 Amortization'!$T$4="Bi-Annual",DG$5&lt;MIN('Mezz 1 Amortization'!$R$4,'Mezz 1 Amortization'!$S$4)),INDEX('Mezz 1 Amortization'!$B$19:$V$379,MATCH(DATE(DG$7-1,MAX('Mezz 1 Amortization'!$R$4,'Mezz 1 Amortization'!$S$4),31),'Mezz 1 Amortization'!$E$19:$E$379,0),MATCH('Mezz 1 Amortization'!$V$19,'Mezz 1 Amortization'!$B$19:$V$19,0)),IF(AND('Mezz 1 Amortization'!$T$4="Bi-Annual",DG$5&gt;MAX('Mezz 1 Amortization'!$R$4,'Mezz 1 Amortization'!$S$4)),INDEX('Mezz 1 Amortization'!$B$19:$V$379,MATCH(DATE(DG$7,MAX('Mezz 1 Amortization'!$R$4,'Mezz 1 Amortization'!$S$4),31),'Mezz 1 Amortization'!$E$19:$E$379,0),MATCH('Mezz 1 Amortization'!$V$19,'Mezz 1 Amortization'!$B$19:$V$19,0)),IF(AND('Mezz 1 Amortization'!$T$4="Bi-Annual",DG$5&gt;MIN('Mezz 1 Amortization'!$R$4,'Mezz 1 Amortization'!$S$4),DG$5&lt;MAX('Mezz 1 Amortization'!$R$4,'Mezz 1 Amortization'!$S$4)),INDEX('Mezz 1 Amortization'!$B$19:$V$379,MATCH(DATE(DG$7,MIN('Mezz 1 Amortization'!$R$4,'Mezz 1 Amortization'!$S$4),31),'Mezz 1 Amortization'!$E$19:$E$379,0),MATCH('Mezz 1 Amortization'!$V$19,'Mezz 1 Amortization'!$B$19:$V$19,0)),IF(AND('Mezz 1 Amortization'!$T$4="Bi-Annual",DG$5='Mezz 1 Amortization'!$R$4),INDEX('Mezz 1 Amortization'!$B$19:$V$379,MATCH(DATE(DG$7,'Mezz 1 Amortization'!$R$4,31),'Mezz 1 Amortization'!$E$19:$E$379,0),MATCH('Mezz 1 Amortization'!$V$19,'Mezz 1 Amortization'!$B$19:$V$19,0)),IF(AND('Mezz 1 Amortization'!$T$4="Bi-Annual",DG$5='Mezz 1 Amortization'!$S$4),INDEX('Mezz 1 Amortization'!$B$19:$V$379,MATCH(DATE(DG$7,'Mezz 1 Amortization'!$S$4,31),'Mezz 1 Amortization'!$E$19:$E$379,0),MATCH('Mezz 1 Amortization'!$V$19,'Mezz 1 Amortization'!$B$19:$V$19,0)))))))))))</f>
        <v>0</v>
      </c>
      <c r="DH140" s="427">
        <f>IF('Financing Assumptions'!$P$8="No",0,IF(DH$9&lt;'Financing Assumptions'!$O$26,0,IF(AND('Mezz 1 Amortization'!$T$4&lt;&gt;"Monthly",DH9&lt;='Financing Assumptions'!$O$26),0,IF('Mezz 1 Amortization'!$T$4="Monthly",INDEX('Mezz 1 Amortization'!$B$19:$V$379,MATCH(DH$11,'Mezz 1 Amortization'!$E$19:$E$379,0),MATCH('Mezz 1 Amortization'!$V$19,'Mezz 1 Amortization'!$B$19:$V$19,0)),IF(AND('Mezz 1 Amortization'!$T$4="Bi-Annual",DH$5&lt;MIN('Mezz 1 Amortization'!$R$4,'Mezz 1 Amortization'!$S$4)),INDEX('Mezz 1 Amortization'!$B$19:$V$379,MATCH(DATE(DH$7-1,MAX('Mezz 1 Amortization'!$R$4,'Mezz 1 Amortization'!$S$4),31),'Mezz 1 Amortization'!$E$19:$E$379,0),MATCH('Mezz 1 Amortization'!$V$19,'Mezz 1 Amortization'!$B$19:$V$19,0)),IF(AND('Mezz 1 Amortization'!$T$4="Bi-Annual",DH$5&gt;MAX('Mezz 1 Amortization'!$R$4,'Mezz 1 Amortization'!$S$4)),INDEX('Mezz 1 Amortization'!$B$19:$V$379,MATCH(DATE(DH$7,MAX('Mezz 1 Amortization'!$R$4,'Mezz 1 Amortization'!$S$4),31),'Mezz 1 Amortization'!$E$19:$E$379,0),MATCH('Mezz 1 Amortization'!$V$19,'Mezz 1 Amortization'!$B$19:$V$19,0)),IF(AND('Mezz 1 Amortization'!$T$4="Bi-Annual",DH$5&gt;MIN('Mezz 1 Amortization'!$R$4,'Mezz 1 Amortization'!$S$4),DH$5&lt;MAX('Mezz 1 Amortization'!$R$4,'Mezz 1 Amortization'!$S$4)),INDEX('Mezz 1 Amortization'!$B$19:$V$379,MATCH(DATE(DH$7,MIN('Mezz 1 Amortization'!$R$4,'Mezz 1 Amortization'!$S$4),31),'Mezz 1 Amortization'!$E$19:$E$379,0),MATCH('Mezz 1 Amortization'!$V$19,'Mezz 1 Amortization'!$B$19:$V$19,0)),IF(AND('Mezz 1 Amortization'!$T$4="Bi-Annual",DH$5='Mezz 1 Amortization'!$R$4),INDEX('Mezz 1 Amortization'!$B$19:$V$379,MATCH(DATE(DH$7,'Mezz 1 Amortization'!$R$4,31),'Mezz 1 Amortization'!$E$19:$E$379,0),MATCH('Mezz 1 Amortization'!$V$19,'Mezz 1 Amortization'!$B$19:$V$19,0)),IF(AND('Mezz 1 Amortization'!$T$4="Bi-Annual",DH$5='Mezz 1 Amortization'!$S$4),INDEX('Mezz 1 Amortization'!$B$19:$V$379,MATCH(DATE(DH$7,'Mezz 1 Amortization'!$S$4,31),'Mezz 1 Amortization'!$E$19:$E$379,0),MATCH('Mezz 1 Amortization'!$V$19,'Mezz 1 Amortization'!$B$19:$V$19,0)))))))))))</f>
        <v>0</v>
      </c>
      <c r="DI140" s="427">
        <f>IF('Financing Assumptions'!$P$8="No",0,IF(DI$9&lt;'Financing Assumptions'!$O$26,0,IF(AND('Mezz 1 Amortization'!$T$4&lt;&gt;"Monthly",DI9&lt;='Financing Assumptions'!$O$26),0,IF('Mezz 1 Amortization'!$T$4="Monthly",INDEX('Mezz 1 Amortization'!$B$19:$V$379,MATCH(DI$11,'Mezz 1 Amortization'!$E$19:$E$379,0),MATCH('Mezz 1 Amortization'!$V$19,'Mezz 1 Amortization'!$B$19:$V$19,0)),IF(AND('Mezz 1 Amortization'!$T$4="Bi-Annual",DI$5&lt;MIN('Mezz 1 Amortization'!$R$4,'Mezz 1 Amortization'!$S$4)),INDEX('Mezz 1 Amortization'!$B$19:$V$379,MATCH(DATE(DI$7-1,MAX('Mezz 1 Amortization'!$R$4,'Mezz 1 Amortization'!$S$4),31),'Mezz 1 Amortization'!$E$19:$E$379,0),MATCH('Mezz 1 Amortization'!$V$19,'Mezz 1 Amortization'!$B$19:$V$19,0)),IF(AND('Mezz 1 Amortization'!$T$4="Bi-Annual",DI$5&gt;MAX('Mezz 1 Amortization'!$R$4,'Mezz 1 Amortization'!$S$4)),INDEX('Mezz 1 Amortization'!$B$19:$V$379,MATCH(DATE(DI$7,MAX('Mezz 1 Amortization'!$R$4,'Mezz 1 Amortization'!$S$4),31),'Mezz 1 Amortization'!$E$19:$E$379,0),MATCH('Mezz 1 Amortization'!$V$19,'Mezz 1 Amortization'!$B$19:$V$19,0)),IF(AND('Mezz 1 Amortization'!$T$4="Bi-Annual",DI$5&gt;MIN('Mezz 1 Amortization'!$R$4,'Mezz 1 Amortization'!$S$4),DI$5&lt;MAX('Mezz 1 Amortization'!$R$4,'Mezz 1 Amortization'!$S$4)),INDEX('Mezz 1 Amortization'!$B$19:$V$379,MATCH(DATE(DI$7,MIN('Mezz 1 Amortization'!$R$4,'Mezz 1 Amortization'!$S$4),31),'Mezz 1 Amortization'!$E$19:$E$379,0),MATCH('Mezz 1 Amortization'!$V$19,'Mezz 1 Amortization'!$B$19:$V$19,0)),IF(AND('Mezz 1 Amortization'!$T$4="Bi-Annual",DI$5='Mezz 1 Amortization'!$R$4),INDEX('Mezz 1 Amortization'!$B$19:$V$379,MATCH(DATE(DI$7,'Mezz 1 Amortization'!$R$4,31),'Mezz 1 Amortization'!$E$19:$E$379,0),MATCH('Mezz 1 Amortization'!$V$19,'Mezz 1 Amortization'!$B$19:$V$19,0)),IF(AND('Mezz 1 Amortization'!$T$4="Bi-Annual",DI$5='Mezz 1 Amortization'!$S$4),INDEX('Mezz 1 Amortization'!$B$19:$V$379,MATCH(DATE(DI$7,'Mezz 1 Amortization'!$S$4,31),'Mezz 1 Amortization'!$E$19:$E$379,0),MATCH('Mezz 1 Amortization'!$V$19,'Mezz 1 Amortization'!$B$19:$V$19,0)))))))))))</f>
        <v>0</v>
      </c>
      <c r="DJ140" s="427">
        <f>IF('Financing Assumptions'!$P$8="No",0,IF(DJ$9&lt;'Financing Assumptions'!$O$26,0,IF(AND('Mezz 1 Amortization'!$T$4&lt;&gt;"Monthly",DJ9&lt;='Financing Assumptions'!$O$26),0,IF('Mezz 1 Amortization'!$T$4="Monthly",INDEX('Mezz 1 Amortization'!$B$19:$V$379,MATCH(DJ$11,'Mezz 1 Amortization'!$E$19:$E$379,0),MATCH('Mezz 1 Amortization'!$V$19,'Mezz 1 Amortization'!$B$19:$V$19,0)),IF(AND('Mezz 1 Amortization'!$T$4="Bi-Annual",DJ$5&lt;MIN('Mezz 1 Amortization'!$R$4,'Mezz 1 Amortization'!$S$4)),INDEX('Mezz 1 Amortization'!$B$19:$V$379,MATCH(DATE(DJ$7-1,MAX('Mezz 1 Amortization'!$R$4,'Mezz 1 Amortization'!$S$4),31),'Mezz 1 Amortization'!$E$19:$E$379,0),MATCH('Mezz 1 Amortization'!$V$19,'Mezz 1 Amortization'!$B$19:$V$19,0)),IF(AND('Mezz 1 Amortization'!$T$4="Bi-Annual",DJ$5&gt;MAX('Mezz 1 Amortization'!$R$4,'Mezz 1 Amortization'!$S$4)),INDEX('Mezz 1 Amortization'!$B$19:$V$379,MATCH(DATE(DJ$7,MAX('Mezz 1 Amortization'!$R$4,'Mezz 1 Amortization'!$S$4),31),'Mezz 1 Amortization'!$E$19:$E$379,0),MATCH('Mezz 1 Amortization'!$V$19,'Mezz 1 Amortization'!$B$19:$V$19,0)),IF(AND('Mezz 1 Amortization'!$T$4="Bi-Annual",DJ$5&gt;MIN('Mezz 1 Amortization'!$R$4,'Mezz 1 Amortization'!$S$4),DJ$5&lt;MAX('Mezz 1 Amortization'!$R$4,'Mezz 1 Amortization'!$S$4)),INDEX('Mezz 1 Amortization'!$B$19:$V$379,MATCH(DATE(DJ$7,MIN('Mezz 1 Amortization'!$R$4,'Mezz 1 Amortization'!$S$4),31),'Mezz 1 Amortization'!$E$19:$E$379,0),MATCH('Mezz 1 Amortization'!$V$19,'Mezz 1 Amortization'!$B$19:$V$19,0)),IF(AND('Mezz 1 Amortization'!$T$4="Bi-Annual",DJ$5='Mezz 1 Amortization'!$R$4),INDEX('Mezz 1 Amortization'!$B$19:$V$379,MATCH(DATE(DJ$7,'Mezz 1 Amortization'!$R$4,31),'Mezz 1 Amortization'!$E$19:$E$379,0),MATCH('Mezz 1 Amortization'!$V$19,'Mezz 1 Amortization'!$B$19:$V$19,0)),IF(AND('Mezz 1 Amortization'!$T$4="Bi-Annual",DJ$5='Mezz 1 Amortization'!$S$4),INDEX('Mezz 1 Amortization'!$B$19:$V$379,MATCH(DATE(DJ$7,'Mezz 1 Amortization'!$S$4,31),'Mezz 1 Amortization'!$E$19:$E$379,0),MATCH('Mezz 1 Amortization'!$V$19,'Mezz 1 Amortization'!$B$19:$V$19,0)))))))))))</f>
        <v>0</v>
      </c>
      <c r="DK140" s="427">
        <f>IF('Financing Assumptions'!$P$8="No",0,IF(DK$9&lt;'Financing Assumptions'!$O$26,0,IF(AND('Mezz 1 Amortization'!$T$4&lt;&gt;"Monthly",DK9&lt;='Financing Assumptions'!$O$26),0,IF('Mezz 1 Amortization'!$T$4="Monthly",INDEX('Mezz 1 Amortization'!$B$19:$V$379,MATCH(DK$11,'Mezz 1 Amortization'!$E$19:$E$379,0),MATCH('Mezz 1 Amortization'!$V$19,'Mezz 1 Amortization'!$B$19:$V$19,0)),IF(AND('Mezz 1 Amortization'!$T$4="Bi-Annual",DK$5&lt;MIN('Mezz 1 Amortization'!$R$4,'Mezz 1 Amortization'!$S$4)),INDEX('Mezz 1 Amortization'!$B$19:$V$379,MATCH(DATE(DK$7-1,MAX('Mezz 1 Amortization'!$R$4,'Mezz 1 Amortization'!$S$4),31),'Mezz 1 Amortization'!$E$19:$E$379,0),MATCH('Mezz 1 Amortization'!$V$19,'Mezz 1 Amortization'!$B$19:$V$19,0)),IF(AND('Mezz 1 Amortization'!$T$4="Bi-Annual",DK$5&gt;MAX('Mezz 1 Amortization'!$R$4,'Mezz 1 Amortization'!$S$4)),INDEX('Mezz 1 Amortization'!$B$19:$V$379,MATCH(DATE(DK$7,MAX('Mezz 1 Amortization'!$R$4,'Mezz 1 Amortization'!$S$4),31),'Mezz 1 Amortization'!$E$19:$E$379,0),MATCH('Mezz 1 Amortization'!$V$19,'Mezz 1 Amortization'!$B$19:$V$19,0)),IF(AND('Mezz 1 Amortization'!$T$4="Bi-Annual",DK$5&gt;MIN('Mezz 1 Amortization'!$R$4,'Mezz 1 Amortization'!$S$4),DK$5&lt;MAX('Mezz 1 Amortization'!$R$4,'Mezz 1 Amortization'!$S$4)),INDEX('Mezz 1 Amortization'!$B$19:$V$379,MATCH(DATE(DK$7,MIN('Mezz 1 Amortization'!$R$4,'Mezz 1 Amortization'!$S$4),31),'Mezz 1 Amortization'!$E$19:$E$379,0),MATCH('Mezz 1 Amortization'!$V$19,'Mezz 1 Amortization'!$B$19:$V$19,0)),IF(AND('Mezz 1 Amortization'!$T$4="Bi-Annual",DK$5='Mezz 1 Amortization'!$R$4),INDEX('Mezz 1 Amortization'!$B$19:$V$379,MATCH(DATE(DK$7,'Mezz 1 Amortization'!$R$4,31),'Mezz 1 Amortization'!$E$19:$E$379,0),MATCH('Mezz 1 Amortization'!$V$19,'Mezz 1 Amortization'!$B$19:$V$19,0)),IF(AND('Mezz 1 Amortization'!$T$4="Bi-Annual",DK$5='Mezz 1 Amortization'!$S$4),INDEX('Mezz 1 Amortization'!$B$19:$V$379,MATCH(DATE(DK$7,'Mezz 1 Amortization'!$S$4,31),'Mezz 1 Amortization'!$E$19:$E$379,0),MATCH('Mezz 1 Amortization'!$V$19,'Mezz 1 Amortization'!$B$19:$V$19,0)))))))))))</f>
        <v>0</v>
      </c>
      <c r="DL140" s="427">
        <f>IF('Financing Assumptions'!$P$8="No",0,IF(DL$9&lt;'Financing Assumptions'!$O$26,0,IF(AND('Mezz 1 Amortization'!$T$4&lt;&gt;"Monthly",DL9&lt;='Financing Assumptions'!$O$26),0,IF('Mezz 1 Amortization'!$T$4="Monthly",INDEX('Mezz 1 Amortization'!$B$19:$V$379,MATCH(DL$11,'Mezz 1 Amortization'!$E$19:$E$379,0),MATCH('Mezz 1 Amortization'!$V$19,'Mezz 1 Amortization'!$B$19:$V$19,0)),IF(AND('Mezz 1 Amortization'!$T$4="Bi-Annual",DL$5&lt;MIN('Mezz 1 Amortization'!$R$4,'Mezz 1 Amortization'!$S$4)),INDEX('Mezz 1 Amortization'!$B$19:$V$379,MATCH(DATE(DL$7-1,MAX('Mezz 1 Amortization'!$R$4,'Mezz 1 Amortization'!$S$4),31),'Mezz 1 Amortization'!$E$19:$E$379,0),MATCH('Mezz 1 Amortization'!$V$19,'Mezz 1 Amortization'!$B$19:$V$19,0)),IF(AND('Mezz 1 Amortization'!$T$4="Bi-Annual",DL$5&gt;MAX('Mezz 1 Amortization'!$R$4,'Mezz 1 Amortization'!$S$4)),INDEX('Mezz 1 Amortization'!$B$19:$V$379,MATCH(DATE(DL$7,MAX('Mezz 1 Amortization'!$R$4,'Mezz 1 Amortization'!$S$4),31),'Mezz 1 Amortization'!$E$19:$E$379,0),MATCH('Mezz 1 Amortization'!$V$19,'Mezz 1 Amortization'!$B$19:$V$19,0)),IF(AND('Mezz 1 Amortization'!$T$4="Bi-Annual",DL$5&gt;MIN('Mezz 1 Amortization'!$R$4,'Mezz 1 Amortization'!$S$4),DL$5&lt;MAX('Mezz 1 Amortization'!$R$4,'Mezz 1 Amortization'!$S$4)),INDEX('Mezz 1 Amortization'!$B$19:$V$379,MATCH(DATE(DL$7,MIN('Mezz 1 Amortization'!$R$4,'Mezz 1 Amortization'!$S$4),31),'Mezz 1 Amortization'!$E$19:$E$379,0),MATCH('Mezz 1 Amortization'!$V$19,'Mezz 1 Amortization'!$B$19:$V$19,0)),IF(AND('Mezz 1 Amortization'!$T$4="Bi-Annual",DL$5='Mezz 1 Amortization'!$R$4),INDEX('Mezz 1 Amortization'!$B$19:$V$379,MATCH(DATE(DL$7,'Mezz 1 Amortization'!$R$4,31),'Mezz 1 Amortization'!$E$19:$E$379,0),MATCH('Mezz 1 Amortization'!$V$19,'Mezz 1 Amortization'!$B$19:$V$19,0)),IF(AND('Mezz 1 Amortization'!$T$4="Bi-Annual",DL$5='Mezz 1 Amortization'!$S$4),INDEX('Mezz 1 Amortization'!$B$19:$V$379,MATCH(DATE(DL$7,'Mezz 1 Amortization'!$S$4,31),'Mezz 1 Amortization'!$E$19:$E$379,0),MATCH('Mezz 1 Amortization'!$V$19,'Mezz 1 Amortization'!$B$19:$V$19,0)))))))))))</f>
        <v>0</v>
      </c>
      <c r="DM140" s="427">
        <f>IF('Financing Assumptions'!$P$8="No",0,IF(DM$9&lt;'Financing Assumptions'!$O$26,0,IF(AND('Mezz 1 Amortization'!$T$4&lt;&gt;"Monthly",DM9&lt;='Financing Assumptions'!$O$26),0,IF('Mezz 1 Amortization'!$T$4="Monthly",INDEX('Mezz 1 Amortization'!$B$19:$V$379,MATCH(DM$11,'Mezz 1 Amortization'!$E$19:$E$379,0),MATCH('Mezz 1 Amortization'!$V$19,'Mezz 1 Amortization'!$B$19:$V$19,0)),IF(AND('Mezz 1 Amortization'!$T$4="Bi-Annual",DM$5&lt;MIN('Mezz 1 Amortization'!$R$4,'Mezz 1 Amortization'!$S$4)),INDEX('Mezz 1 Amortization'!$B$19:$V$379,MATCH(DATE(DM$7-1,MAX('Mezz 1 Amortization'!$R$4,'Mezz 1 Amortization'!$S$4),31),'Mezz 1 Amortization'!$E$19:$E$379,0),MATCH('Mezz 1 Amortization'!$V$19,'Mezz 1 Amortization'!$B$19:$V$19,0)),IF(AND('Mezz 1 Amortization'!$T$4="Bi-Annual",DM$5&gt;MAX('Mezz 1 Amortization'!$R$4,'Mezz 1 Amortization'!$S$4)),INDEX('Mezz 1 Amortization'!$B$19:$V$379,MATCH(DATE(DM$7,MAX('Mezz 1 Amortization'!$R$4,'Mezz 1 Amortization'!$S$4),31),'Mezz 1 Amortization'!$E$19:$E$379,0),MATCH('Mezz 1 Amortization'!$V$19,'Mezz 1 Amortization'!$B$19:$V$19,0)),IF(AND('Mezz 1 Amortization'!$T$4="Bi-Annual",DM$5&gt;MIN('Mezz 1 Amortization'!$R$4,'Mezz 1 Amortization'!$S$4),DM$5&lt;MAX('Mezz 1 Amortization'!$R$4,'Mezz 1 Amortization'!$S$4)),INDEX('Mezz 1 Amortization'!$B$19:$V$379,MATCH(DATE(DM$7,MIN('Mezz 1 Amortization'!$R$4,'Mezz 1 Amortization'!$S$4),31),'Mezz 1 Amortization'!$E$19:$E$379,0),MATCH('Mezz 1 Amortization'!$V$19,'Mezz 1 Amortization'!$B$19:$V$19,0)),IF(AND('Mezz 1 Amortization'!$T$4="Bi-Annual",DM$5='Mezz 1 Amortization'!$R$4),INDEX('Mezz 1 Amortization'!$B$19:$V$379,MATCH(DATE(DM$7,'Mezz 1 Amortization'!$R$4,31),'Mezz 1 Amortization'!$E$19:$E$379,0),MATCH('Mezz 1 Amortization'!$V$19,'Mezz 1 Amortization'!$B$19:$V$19,0)),IF(AND('Mezz 1 Amortization'!$T$4="Bi-Annual",DM$5='Mezz 1 Amortization'!$S$4),INDEX('Mezz 1 Amortization'!$B$19:$V$379,MATCH(DATE(DM$7,'Mezz 1 Amortization'!$S$4,31),'Mezz 1 Amortization'!$E$19:$E$379,0),MATCH('Mezz 1 Amortization'!$V$19,'Mezz 1 Amortization'!$B$19:$V$19,0)))))))))))</f>
        <v>0</v>
      </c>
      <c r="DN140" s="427">
        <f>IF('Financing Assumptions'!$P$8="No",0,IF(DN$9&lt;'Financing Assumptions'!$O$26,0,IF(AND('Mezz 1 Amortization'!$T$4&lt;&gt;"Monthly",DN9&lt;='Financing Assumptions'!$O$26),0,IF('Mezz 1 Amortization'!$T$4="Monthly",INDEX('Mezz 1 Amortization'!$B$19:$V$379,MATCH(DN$11,'Mezz 1 Amortization'!$E$19:$E$379,0),MATCH('Mezz 1 Amortization'!$V$19,'Mezz 1 Amortization'!$B$19:$V$19,0)),IF(AND('Mezz 1 Amortization'!$T$4="Bi-Annual",DN$5&lt;MIN('Mezz 1 Amortization'!$R$4,'Mezz 1 Amortization'!$S$4)),INDEX('Mezz 1 Amortization'!$B$19:$V$379,MATCH(DATE(DN$7-1,MAX('Mezz 1 Amortization'!$R$4,'Mezz 1 Amortization'!$S$4),31),'Mezz 1 Amortization'!$E$19:$E$379,0),MATCH('Mezz 1 Amortization'!$V$19,'Mezz 1 Amortization'!$B$19:$V$19,0)),IF(AND('Mezz 1 Amortization'!$T$4="Bi-Annual",DN$5&gt;MAX('Mezz 1 Amortization'!$R$4,'Mezz 1 Amortization'!$S$4)),INDEX('Mezz 1 Amortization'!$B$19:$V$379,MATCH(DATE(DN$7,MAX('Mezz 1 Amortization'!$R$4,'Mezz 1 Amortization'!$S$4),31),'Mezz 1 Amortization'!$E$19:$E$379,0),MATCH('Mezz 1 Amortization'!$V$19,'Mezz 1 Amortization'!$B$19:$V$19,0)),IF(AND('Mezz 1 Amortization'!$T$4="Bi-Annual",DN$5&gt;MIN('Mezz 1 Amortization'!$R$4,'Mezz 1 Amortization'!$S$4),DN$5&lt;MAX('Mezz 1 Amortization'!$R$4,'Mezz 1 Amortization'!$S$4)),INDEX('Mezz 1 Amortization'!$B$19:$V$379,MATCH(DATE(DN$7,MIN('Mezz 1 Amortization'!$R$4,'Mezz 1 Amortization'!$S$4),31),'Mezz 1 Amortization'!$E$19:$E$379,0),MATCH('Mezz 1 Amortization'!$V$19,'Mezz 1 Amortization'!$B$19:$V$19,0)),IF(AND('Mezz 1 Amortization'!$T$4="Bi-Annual",DN$5='Mezz 1 Amortization'!$R$4),INDEX('Mezz 1 Amortization'!$B$19:$V$379,MATCH(DATE(DN$7,'Mezz 1 Amortization'!$R$4,31),'Mezz 1 Amortization'!$E$19:$E$379,0),MATCH('Mezz 1 Amortization'!$V$19,'Mezz 1 Amortization'!$B$19:$V$19,0)),IF(AND('Mezz 1 Amortization'!$T$4="Bi-Annual",DN$5='Mezz 1 Amortization'!$S$4),INDEX('Mezz 1 Amortization'!$B$19:$V$379,MATCH(DATE(DN$7,'Mezz 1 Amortization'!$S$4,31),'Mezz 1 Amortization'!$E$19:$E$379,0),MATCH('Mezz 1 Amortization'!$V$19,'Mezz 1 Amortization'!$B$19:$V$19,0)))))))))))</f>
        <v>0</v>
      </c>
      <c r="DO140" s="427">
        <f>IF('Financing Assumptions'!$P$8="No",0,IF(DO$9&lt;'Financing Assumptions'!$O$26,0,IF(AND('Mezz 1 Amortization'!$T$4&lt;&gt;"Monthly",DO9&lt;='Financing Assumptions'!$O$26),0,IF('Mezz 1 Amortization'!$T$4="Monthly",INDEX('Mezz 1 Amortization'!$B$19:$V$379,MATCH(DO$11,'Mezz 1 Amortization'!$E$19:$E$379,0),MATCH('Mezz 1 Amortization'!$V$19,'Mezz 1 Amortization'!$B$19:$V$19,0)),IF(AND('Mezz 1 Amortization'!$T$4="Bi-Annual",DO$5&lt;MIN('Mezz 1 Amortization'!$R$4,'Mezz 1 Amortization'!$S$4)),INDEX('Mezz 1 Amortization'!$B$19:$V$379,MATCH(DATE(DO$7-1,MAX('Mezz 1 Amortization'!$R$4,'Mezz 1 Amortization'!$S$4),31),'Mezz 1 Amortization'!$E$19:$E$379,0),MATCH('Mezz 1 Amortization'!$V$19,'Mezz 1 Amortization'!$B$19:$V$19,0)),IF(AND('Mezz 1 Amortization'!$T$4="Bi-Annual",DO$5&gt;MAX('Mezz 1 Amortization'!$R$4,'Mezz 1 Amortization'!$S$4)),INDEX('Mezz 1 Amortization'!$B$19:$V$379,MATCH(DATE(DO$7,MAX('Mezz 1 Amortization'!$R$4,'Mezz 1 Amortization'!$S$4),31),'Mezz 1 Amortization'!$E$19:$E$379,0),MATCH('Mezz 1 Amortization'!$V$19,'Mezz 1 Amortization'!$B$19:$V$19,0)),IF(AND('Mezz 1 Amortization'!$T$4="Bi-Annual",DO$5&gt;MIN('Mezz 1 Amortization'!$R$4,'Mezz 1 Amortization'!$S$4),DO$5&lt;MAX('Mezz 1 Amortization'!$R$4,'Mezz 1 Amortization'!$S$4)),INDEX('Mezz 1 Amortization'!$B$19:$V$379,MATCH(DATE(DO$7,MIN('Mezz 1 Amortization'!$R$4,'Mezz 1 Amortization'!$S$4),31),'Mezz 1 Amortization'!$E$19:$E$379,0),MATCH('Mezz 1 Amortization'!$V$19,'Mezz 1 Amortization'!$B$19:$V$19,0)),IF(AND('Mezz 1 Amortization'!$T$4="Bi-Annual",DO$5='Mezz 1 Amortization'!$R$4),INDEX('Mezz 1 Amortization'!$B$19:$V$379,MATCH(DATE(DO$7,'Mezz 1 Amortization'!$R$4,31),'Mezz 1 Amortization'!$E$19:$E$379,0),MATCH('Mezz 1 Amortization'!$V$19,'Mezz 1 Amortization'!$B$19:$V$19,0)),IF(AND('Mezz 1 Amortization'!$T$4="Bi-Annual",DO$5='Mezz 1 Amortization'!$S$4),INDEX('Mezz 1 Amortization'!$B$19:$V$379,MATCH(DATE(DO$7,'Mezz 1 Amortization'!$S$4,31),'Mezz 1 Amortization'!$E$19:$E$379,0),MATCH('Mezz 1 Amortization'!$V$19,'Mezz 1 Amortization'!$B$19:$V$19,0)))))))))))</f>
        <v>0</v>
      </c>
      <c r="DP140" s="427">
        <f>IF('Financing Assumptions'!$P$8="No",0,IF(DP$9&lt;'Financing Assumptions'!$O$26,0,IF(AND('Mezz 1 Amortization'!$T$4&lt;&gt;"Monthly",DP9&lt;='Financing Assumptions'!$O$26),0,IF('Mezz 1 Amortization'!$T$4="Monthly",INDEX('Mezz 1 Amortization'!$B$19:$V$379,MATCH(DP$11,'Mezz 1 Amortization'!$E$19:$E$379,0),MATCH('Mezz 1 Amortization'!$V$19,'Mezz 1 Amortization'!$B$19:$V$19,0)),IF(AND('Mezz 1 Amortization'!$T$4="Bi-Annual",DP$5&lt;MIN('Mezz 1 Amortization'!$R$4,'Mezz 1 Amortization'!$S$4)),INDEX('Mezz 1 Amortization'!$B$19:$V$379,MATCH(DATE(DP$7-1,MAX('Mezz 1 Amortization'!$R$4,'Mezz 1 Amortization'!$S$4),31),'Mezz 1 Amortization'!$E$19:$E$379,0),MATCH('Mezz 1 Amortization'!$V$19,'Mezz 1 Amortization'!$B$19:$V$19,0)),IF(AND('Mezz 1 Amortization'!$T$4="Bi-Annual",DP$5&gt;MAX('Mezz 1 Amortization'!$R$4,'Mezz 1 Amortization'!$S$4)),INDEX('Mezz 1 Amortization'!$B$19:$V$379,MATCH(DATE(DP$7,MAX('Mezz 1 Amortization'!$R$4,'Mezz 1 Amortization'!$S$4),31),'Mezz 1 Amortization'!$E$19:$E$379,0),MATCH('Mezz 1 Amortization'!$V$19,'Mezz 1 Amortization'!$B$19:$V$19,0)),IF(AND('Mezz 1 Amortization'!$T$4="Bi-Annual",DP$5&gt;MIN('Mezz 1 Amortization'!$R$4,'Mezz 1 Amortization'!$S$4),DP$5&lt;MAX('Mezz 1 Amortization'!$R$4,'Mezz 1 Amortization'!$S$4)),INDEX('Mezz 1 Amortization'!$B$19:$V$379,MATCH(DATE(DP$7,MIN('Mezz 1 Amortization'!$R$4,'Mezz 1 Amortization'!$S$4),31),'Mezz 1 Amortization'!$E$19:$E$379,0),MATCH('Mezz 1 Amortization'!$V$19,'Mezz 1 Amortization'!$B$19:$V$19,0)),IF(AND('Mezz 1 Amortization'!$T$4="Bi-Annual",DP$5='Mezz 1 Amortization'!$R$4),INDEX('Mezz 1 Amortization'!$B$19:$V$379,MATCH(DATE(DP$7,'Mezz 1 Amortization'!$R$4,31),'Mezz 1 Amortization'!$E$19:$E$379,0),MATCH('Mezz 1 Amortization'!$V$19,'Mezz 1 Amortization'!$B$19:$V$19,0)),IF(AND('Mezz 1 Amortization'!$T$4="Bi-Annual",DP$5='Mezz 1 Amortization'!$S$4),INDEX('Mezz 1 Amortization'!$B$19:$V$379,MATCH(DATE(DP$7,'Mezz 1 Amortization'!$S$4,31),'Mezz 1 Amortization'!$E$19:$E$379,0),MATCH('Mezz 1 Amortization'!$V$19,'Mezz 1 Amortization'!$B$19:$V$19,0)))))))))))</f>
        <v>0</v>
      </c>
      <c r="DQ140" s="427">
        <f>IF('Financing Assumptions'!$P$8="No",0,IF(DQ$9&lt;'Financing Assumptions'!$O$26,0,IF(AND('Mezz 1 Amortization'!$T$4&lt;&gt;"Monthly",DQ9&lt;='Financing Assumptions'!$O$26),0,IF('Mezz 1 Amortization'!$T$4="Monthly",INDEX('Mezz 1 Amortization'!$B$19:$V$379,MATCH(DQ$11,'Mezz 1 Amortization'!$E$19:$E$379,0),MATCH('Mezz 1 Amortization'!$V$19,'Mezz 1 Amortization'!$B$19:$V$19,0)),IF(AND('Mezz 1 Amortization'!$T$4="Bi-Annual",DQ$5&lt;MIN('Mezz 1 Amortization'!$R$4,'Mezz 1 Amortization'!$S$4)),INDEX('Mezz 1 Amortization'!$B$19:$V$379,MATCH(DATE(DQ$7-1,MAX('Mezz 1 Amortization'!$R$4,'Mezz 1 Amortization'!$S$4),31),'Mezz 1 Amortization'!$E$19:$E$379,0),MATCH('Mezz 1 Amortization'!$V$19,'Mezz 1 Amortization'!$B$19:$V$19,0)),IF(AND('Mezz 1 Amortization'!$T$4="Bi-Annual",DQ$5&gt;MAX('Mezz 1 Amortization'!$R$4,'Mezz 1 Amortization'!$S$4)),INDEX('Mezz 1 Amortization'!$B$19:$V$379,MATCH(DATE(DQ$7,MAX('Mezz 1 Amortization'!$R$4,'Mezz 1 Amortization'!$S$4),31),'Mezz 1 Amortization'!$E$19:$E$379,0),MATCH('Mezz 1 Amortization'!$V$19,'Mezz 1 Amortization'!$B$19:$V$19,0)),IF(AND('Mezz 1 Amortization'!$T$4="Bi-Annual",DQ$5&gt;MIN('Mezz 1 Amortization'!$R$4,'Mezz 1 Amortization'!$S$4),DQ$5&lt;MAX('Mezz 1 Amortization'!$R$4,'Mezz 1 Amortization'!$S$4)),INDEX('Mezz 1 Amortization'!$B$19:$V$379,MATCH(DATE(DQ$7,MIN('Mezz 1 Amortization'!$R$4,'Mezz 1 Amortization'!$S$4),31),'Mezz 1 Amortization'!$E$19:$E$379,0),MATCH('Mezz 1 Amortization'!$V$19,'Mezz 1 Amortization'!$B$19:$V$19,0)),IF(AND('Mezz 1 Amortization'!$T$4="Bi-Annual",DQ$5='Mezz 1 Amortization'!$R$4),INDEX('Mezz 1 Amortization'!$B$19:$V$379,MATCH(DATE(DQ$7,'Mezz 1 Amortization'!$R$4,31),'Mezz 1 Amortization'!$E$19:$E$379,0),MATCH('Mezz 1 Amortization'!$V$19,'Mezz 1 Amortization'!$B$19:$V$19,0)),IF(AND('Mezz 1 Amortization'!$T$4="Bi-Annual",DQ$5='Mezz 1 Amortization'!$S$4),INDEX('Mezz 1 Amortization'!$B$19:$V$379,MATCH(DATE(DQ$7,'Mezz 1 Amortization'!$S$4,31),'Mezz 1 Amortization'!$E$19:$E$379,0),MATCH('Mezz 1 Amortization'!$V$19,'Mezz 1 Amortization'!$B$19:$V$19,0)))))))))))</f>
        <v>0</v>
      </c>
      <c r="DR140" s="427">
        <f>IF('Financing Assumptions'!$P$8="No",0,IF(DR$9&lt;'Financing Assumptions'!$O$26,0,IF(AND('Mezz 1 Amortization'!$T$4&lt;&gt;"Monthly",DR9&lt;='Financing Assumptions'!$O$26),0,IF('Mezz 1 Amortization'!$T$4="Monthly",INDEX('Mezz 1 Amortization'!$B$19:$V$379,MATCH(DR$11,'Mezz 1 Amortization'!$E$19:$E$379,0),MATCH('Mezz 1 Amortization'!$V$19,'Mezz 1 Amortization'!$B$19:$V$19,0)),IF(AND('Mezz 1 Amortization'!$T$4="Bi-Annual",DR$5&lt;MIN('Mezz 1 Amortization'!$R$4,'Mezz 1 Amortization'!$S$4)),INDEX('Mezz 1 Amortization'!$B$19:$V$379,MATCH(DATE(DR$7-1,MAX('Mezz 1 Amortization'!$R$4,'Mezz 1 Amortization'!$S$4),31),'Mezz 1 Amortization'!$E$19:$E$379,0),MATCH('Mezz 1 Amortization'!$V$19,'Mezz 1 Amortization'!$B$19:$V$19,0)),IF(AND('Mezz 1 Amortization'!$T$4="Bi-Annual",DR$5&gt;MAX('Mezz 1 Amortization'!$R$4,'Mezz 1 Amortization'!$S$4)),INDEX('Mezz 1 Amortization'!$B$19:$V$379,MATCH(DATE(DR$7,MAX('Mezz 1 Amortization'!$R$4,'Mezz 1 Amortization'!$S$4),31),'Mezz 1 Amortization'!$E$19:$E$379,0),MATCH('Mezz 1 Amortization'!$V$19,'Mezz 1 Amortization'!$B$19:$V$19,0)),IF(AND('Mezz 1 Amortization'!$T$4="Bi-Annual",DR$5&gt;MIN('Mezz 1 Amortization'!$R$4,'Mezz 1 Amortization'!$S$4),DR$5&lt;MAX('Mezz 1 Amortization'!$R$4,'Mezz 1 Amortization'!$S$4)),INDEX('Mezz 1 Amortization'!$B$19:$V$379,MATCH(DATE(DR$7,MIN('Mezz 1 Amortization'!$R$4,'Mezz 1 Amortization'!$S$4),31),'Mezz 1 Amortization'!$E$19:$E$379,0),MATCH('Mezz 1 Amortization'!$V$19,'Mezz 1 Amortization'!$B$19:$V$19,0)),IF(AND('Mezz 1 Amortization'!$T$4="Bi-Annual",DR$5='Mezz 1 Amortization'!$R$4),INDEX('Mezz 1 Amortization'!$B$19:$V$379,MATCH(DATE(DR$7,'Mezz 1 Amortization'!$R$4,31),'Mezz 1 Amortization'!$E$19:$E$379,0),MATCH('Mezz 1 Amortization'!$V$19,'Mezz 1 Amortization'!$B$19:$V$19,0)),IF(AND('Mezz 1 Amortization'!$T$4="Bi-Annual",DR$5='Mezz 1 Amortization'!$S$4),INDEX('Mezz 1 Amortization'!$B$19:$V$379,MATCH(DATE(DR$7,'Mezz 1 Amortization'!$S$4,31),'Mezz 1 Amortization'!$E$19:$E$379,0),MATCH('Mezz 1 Amortization'!$V$19,'Mezz 1 Amortization'!$B$19:$V$19,0)))))))))))</f>
        <v>0</v>
      </c>
      <c r="DS140" s="427">
        <f>IF('Financing Assumptions'!$P$8="No",0,IF(DS$9&lt;'Financing Assumptions'!$O$26,0,IF(AND('Mezz 1 Amortization'!$T$4&lt;&gt;"Monthly",DS9&lt;='Financing Assumptions'!$O$26),0,IF('Mezz 1 Amortization'!$T$4="Monthly",INDEX('Mezz 1 Amortization'!$B$19:$V$379,MATCH(DS$11,'Mezz 1 Amortization'!$E$19:$E$379,0),MATCH('Mezz 1 Amortization'!$V$19,'Mezz 1 Amortization'!$B$19:$V$19,0)),IF(AND('Mezz 1 Amortization'!$T$4="Bi-Annual",DS$5&lt;MIN('Mezz 1 Amortization'!$R$4,'Mezz 1 Amortization'!$S$4)),INDEX('Mezz 1 Amortization'!$B$19:$V$379,MATCH(DATE(DS$7-1,MAX('Mezz 1 Amortization'!$R$4,'Mezz 1 Amortization'!$S$4),31),'Mezz 1 Amortization'!$E$19:$E$379,0),MATCH('Mezz 1 Amortization'!$V$19,'Mezz 1 Amortization'!$B$19:$V$19,0)),IF(AND('Mezz 1 Amortization'!$T$4="Bi-Annual",DS$5&gt;MAX('Mezz 1 Amortization'!$R$4,'Mezz 1 Amortization'!$S$4)),INDEX('Mezz 1 Amortization'!$B$19:$V$379,MATCH(DATE(DS$7,MAX('Mezz 1 Amortization'!$R$4,'Mezz 1 Amortization'!$S$4),31),'Mezz 1 Amortization'!$E$19:$E$379,0),MATCH('Mezz 1 Amortization'!$V$19,'Mezz 1 Amortization'!$B$19:$V$19,0)),IF(AND('Mezz 1 Amortization'!$T$4="Bi-Annual",DS$5&gt;MIN('Mezz 1 Amortization'!$R$4,'Mezz 1 Amortization'!$S$4),DS$5&lt;MAX('Mezz 1 Amortization'!$R$4,'Mezz 1 Amortization'!$S$4)),INDEX('Mezz 1 Amortization'!$B$19:$V$379,MATCH(DATE(DS$7,MIN('Mezz 1 Amortization'!$R$4,'Mezz 1 Amortization'!$S$4),31),'Mezz 1 Amortization'!$E$19:$E$379,0),MATCH('Mezz 1 Amortization'!$V$19,'Mezz 1 Amortization'!$B$19:$V$19,0)),IF(AND('Mezz 1 Amortization'!$T$4="Bi-Annual",DS$5='Mezz 1 Amortization'!$R$4),INDEX('Mezz 1 Amortization'!$B$19:$V$379,MATCH(DATE(DS$7,'Mezz 1 Amortization'!$R$4,31),'Mezz 1 Amortization'!$E$19:$E$379,0),MATCH('Mezz 1 Amortization'!$V$19,'Mezz 1 Amortization'!$B$19:$V$19,0)),IF(AND('Mezz 1 Amortization'!$T$4="Bi-Annual",DS$5='Mezz 1 Amortization'!$S$4),INDEX('Mezz 1 Amortization'!$B$19:$V$379,MATCH(DATE(DS$7,'Mezz 1 Amortization'!$S$4,31),'Mezz 1 Amortization'!$E$19:$E$379,0),MATCH('Mezz 1 Amortization'!$V$19,'Mezz 1 Amortization'!$B$19:$V$19,0)))))))))))</f>
        <v>0</v>
      </c>
      <c r="DT140" s="427">
        <f>IF('Financing Assumptions'!$P$8="No",0,IF(DT$9&lt;'Financing Assumptions'!$O$26,0,IF(AND('Mezz 1 Amortization'!$T$4&lt;&gt;"Monthly",DT9&lt;='Financing Assumptions'!$O$26),0,IF('Mezz 1 Amortization'!$T$4="Monthly",INDEX('Mezz 1 Amortization'!$B$19:$V$379,MATCH(DT$11,'Mezz 1 Amortization'!$E$19:$E$379,0),MATCH('Mezz 1 Amortization'!$V$19,'Mezz 1 Amortization'!$B$19:$V$19,0)),IF(AND('Mezz 1 Amortization'!$T$4="Bi-Annual",DT$5&lt;MIN('Mezz 1 Amortization'!$R$4,'Mezz 1 Amortization'!$S$4)),INDEX('Mezz 1 Amortization'!$B$19:$V$379,MATCH(DATE(DT$7-1,MAX('Mezz 1 Amortization'!$R$4,'Mezz 1 Amortization'!$S$4),31),'Mezz 1 Amortization'!$E$19:$E$379,0),MATCH('Mezz 1 Amortization'!$V$19,'Mezz 1 Amortization'!$B$19:$V$19,0)),IF(AND('Mezz 1 Amortization'!$T$4="Bi-Annual",DT$5&gt;MAX('Mezz 1 Amortization'!$R$4,'Mezz 1 Amortization'!$S$4)),INDEX('Mezz 1 Amortization'!$B$19:$V$379,MATCH(DATE(DT$7,MAX('Mezz 1 Amortization'!$R$4,'Mezz 1 Amortization'!$S$4),31),'Mezz 1 Amortization'!$E$19:$E$379,0),MATCH('Mezz 1 Amortization'!$V$19,'Mezz 1 Amortization'!$B$19:$V$19,0)),IF(AND('Mezz 1 Amortization'!$T$4="Bi-Annual",DT$5&gt;MIN('Mezz 1 Amortization'!$R$4,'Mezz 1 Amortization'!$S$4),DT$5&lt;MAX('Mezz 1 Amortization'!$R$4,'Mezz 1 Amortization'!$S$4)),INDEX('Mezz 1 Amortization'!$B$19:$V$379,MATCH(DATE(DT$7,MIN('Mezz 1 Amortization'!$R$4,'Mezz 1 Amortization'!$S$4),31),'Mezz 1 Amortization'!$E$19:$E$379,0),MATCH('Mezz 1 Amortization'!$V$19,'Mezz 1 Amortization'!$B$19:$V$19,0)),IF(AND('Mezz 1 Amortization'!$T$4="Bi-Annual",DT$5='Mezz 1 Amortization'!$R$4),INDEX('Mezz 1 Amortization'!$B$19:$V$379,MATCH(DATE(DT$7,'Mezz 1 Amortization'!$R$4,31),'Mezz 1 Amortization'!$E$19:$E$379,0),MATCH('Mezz 1 Amortization'!$V$19,'Mezz 1 Amortization'!$B$19:$V$19,0)),IF(AND('Mezz 1 Amortization'!$T$4="Bi-Annual",DT$5='Mezz 1 Amortization'!$S$4),INDEX('Mezz 1 Amortization'!$B$19:$V$379,MATCH(DATE(DT$7,'Mezz 1 Amortization'!$S$4,31),'Mezz 1 Amortization'!$E$19:$E$379,0),MATCH('Mezz 1 Amortization'!$V$19,'Mezz 1 Amortization'!$B$19:$V$19,0)))))))))))</f>
        <v>0</v>
      </c>
      <c r="DU140" s="427">
        <f>IF('Financing Assumptions'!$P$8="No",0,IF(DU$9&lt;'Financing Assumptions'!$O$26,0,IF(AND('Mezz 1 Amortization'!$T$4&lt;&gt;"Monthly",DU9&lt;='Financing Assumptions'!$O$26),0,IF('Mezz 1 Amortization'!$T$4="Monthly",INDEX('Mezz 1 Amortization'!$B$19:$V$379,MATCH(DU$11,'Mezz 1 Amortization'!$E$19:$E$379,0),MATCH('Mezz 1 Amortization'!$V$19,'Mezz 1 Amortization'!$B$19:$V$19,0)),IF(AND('Mezz 1 Amortization'!$T$4="Bi-Annual",DU$5&lt;MIN('Mezz 1 Amortization'!$R$4,'Mezz 1 Amortization'!$S$4)),INDEX('Mezz 1 Amortization'!$B$19:$V$379,MATCH(DATE(DU$7-1,MAX('Mezz 1 Amortization'!$R$4,'Mezz 1 Amortization'!$S$4),31),'Mezz 1 Amortization'!$E$19:$E$379,0),MATCH('Mezz 1 Amortization'!$V$19,'Mezz 1 Amortization'!$B$19:$V$19,0)),IF(AND('Mezz 1 Amortization'!$T$4="Bi-Annual",DU$5&gt;MAX('Mezz 1 Amortization'!$R$4,'Mezz 1 Amortization'!$S$4)),INDEX('Mezz 1 Amortization'!$B$19:$V$379,MATCH(DATE(DU$7,MAX('Mezz 1 Amortization'!$R$4,'Mezz 1 Amortization'!$S$4),31),'Mezz 1 Amortization'!$E$19:$E$379,0),MATCH('Mezz 1 Amortization'!$V$19,'Mezz 1 Amortization'!$B$19:$V$19,0)),IF(AND('Mezz 1 Amortization'!$T$4="Bi-Annual",DU$5&gt;MIN('Mezz 1 Amortization'!$R$4,'Mezz 1 Amortization'!$S$4),DU$5&lt;MAX('Mezz 1 Amortization'!$R$4,'Mezz 1 Amortization'!$S$4)),INDEX('Mezz 1 Amortization'!$B$19:$V$379,MATCH(DATE(DU$7,MIN('Mezz 1 Amortization'!$R$4,'Mezz 1 Amortization'!$S$4),31),'Mezz 1 Amortization'!$E$19:$E$379,0),MATCH('Mezz 1 Amortization'!$V$19,'Mezz 1 Amortization'!$B$19:$V$19,0)),IF(AND('Mezz 1 Amortization'!$T$4="Bi-Annual",DU$5='Mezz 1 Amortization'!$R$4),INDEX('Mezz 1 Amortization'!$B$19:$V$379,MATCH(DATE(DU$7,'Mezz 1 Amortization'!$R$4,31),'Mezz 1 Amortization'!$E$19:$E$379,0),MATCH('Mezz 1 Amortization'!$V$19,'Mezz 1 Amortization'!$B$19:$V$19,0)),IF(AND('Mezz 1 Amortization'!$T$4="Bi-Annual",DU$5='Mezz 1 Amortization'!$S$4),INDEX('Mezz 1 Amortization'!$B$19:$V$379,MATCH(DATE(DU$7,'Mezz 1 Amortization'!$S$4,31),'Mezz 1 Amortization'!$E$19:$E$379,0),MATCH('Mezz 1 Amortization'!$V$19,'Mezz 1 Amortization'!$B$19:$V$19,0)))))))))))</f>
        <v>0</v>
      </c>
      <c r="DV140" s="427">
        <f>IF('Financing Assumptions'!$P$8="No",0,IF(DV$9&lt;'Financing Assumptions'!$O$26,0,IF(AND('Mezz 1 Amortization'!$T$4&lt;&gt;"Monthly",DV9&lt;='Financing Assumptions'!$O$26),0,IF('Mezz 1 Amortization'!$T$4="Monthly",INDEX('Mezz 1 Amortization'!$B$19:$V$379,MATCH(DV$11,'Mezz 1 Amortization'!$E$19:$E$379,0),MATCH('Mezz 1 Amortization'!$V$19,'Mezz 1 Amortization'!$B$19:$V$19,0)),IF(AND('Mezz 1 Amortization'!$T$4="Bi-Annual",DV$5&lt;MIN('Mezz 1 Amortization'!$R$4,'Mezz 1 Amortization'!$S$4)),INDEX('Mezz 1 Amortization'!$B$19:$V$379,MATCH(DATE(DV$7-1,MAX('Mezz 1 Amortization'!$R$4,'Mezz 1 Amortization'!$S$4),31),'Mezz 1 Amortization'!$E$19:$E$379,0),MATCH('Mezz 1 Amortization'!$V$19,'Mezz 1 Amortization'!$B$19:$V$19,0)),IF(AND('Mezz 1 Amortization'!$T$4="Bi-Annual",DV$5&gt;MAX('Mezz 1 Amortization'!$R$4,'Mezz 1 Amortization'!$S$4)),INDEX('Mezz 1 Amortization'!$B$19:$V$379,MATCH(DATE(DV$7,MAX('Mezz 1 Amortization'!$R$4,'Mezz 1 Amortization'!$S$4),31),'Mezz 1 Amortization'!$E$19:$E$379,0),MATCH('Mezz 1 Amortization'!$V$19,'Mezz 1 Amortization'!$B$19:$V$19,0)),IF(AND('Mezz 1 Amortization'!$T$4="Bi-Annual",DV$5&gt;MIN('Mezz 1 Amortization'!$R$4,'Mezz 1 Amortization'!$S$4),DV$5&lt;MAX('Mezz 1 Amortization'!$R$4,'Mezz 1 Amortization'!$S$4)),INDEX('Mezz 1 Amortization'!$B$19:$V$379,MATCH(DATE(DV$7,MIN('Mezz 1 Amortization'!$R$4,'Mezz 1 Amortization'!$S$4),31),'Mezz 1 Amortization'!$E$19:$E$379,0),MATCH('Mezz 1 Amortization'!$V$19,'Mezz 1 Amortization'!$B$19:$V$19,0)),IF(AND('Mezz 1 Amortization'!$T$4="Bi-Annual",DV$5='Mezz 1 Amortization'!$R$4),INDEX('Mezz 1 Amortization'!$B$19:$V$379,MATCH(DATE(DV$7,'Mezz 1 Amortization'!$R$4,31),'Mezz 1 Amortization'!$E$19:$E$379,0),MATCH('Mezz 1 Amortization'!$V$19,'Mezz 1 Amortization'!$B$19:$V$19,0)),IF(AND('Mezz 1 Amortization'!$T$4="Bi-Annual",DV$5='Mezz 1 Amortization'!$S$4),INDEX('Mezz 1 Amortization'!$B$19:$V$379,MATCH(DATE(DV$7,'Mezz 1 Amortization'!$S$4,31),'Mezz 1 Amortization'!$E$19:$E$379,0),MATCH('Mezz 1 Amortization'!$V$19,'Mezz 1 Amortization'!$B$19:$V$19,0)))))))))))</f>
        <v>0</v>
      </c>
      <c r="DW140" s="427">
        <f>IF('Financing Assumptions'!$P$8="No",0,IF(DW$9&lt;'Financing Assumptions'!$O$26,0,IF(AND('Mezz 1 Amortization'!$T$4&lt;&gt;"Monthly",DW9&lt;='Financing Assumptions'!$O$26),0,IF('Mezz 1 Amortization'!$T$4="Monthly",INDEX('Mezz 1 Amortization'!$B$19:$V$379,MATCH(DW$11,'Mezz 1 Amortization'!$E$19:$E$379,0),MATCH('Mezz 1 Amortization'!$V$19,'Mezz 1 Amortization'!$B$19:$V$19,0)),IF(AND('Mezz 1 Amortization'!$T$4="Bi-Annual",DW$5&lt;MIN('Mezz 1 Amortization'!$R$4,'Mezz 1 Amortization'!$S$4)),INDEX('Mezz 1 Amortization'!$B$19:$V$379,MATCH(DATE(DW$7-1,MAX('Mezz 1 Amortization'!$R$4,'Mezz 1 Amortization'!$S$4),31),'Mezz 1 Amortization'!$E$19:$E$379,0),MATCH('Mezz 1 Amortization'!$V$19,'Mezz 1 Amortization'!$B$19:$V$19,0)),IF(AND('Mezz 1 Amortization'!$T$4="Bi-Annual",DW$5&gt;MAX('Mezz 1 Amortization'!$R$4,'Mezz 1 Amortization'!$S$4)),INDEX('Mezz 1 Amortization'!$B$19:$V$379,MATCH(DATE(DW$7,MAX('Mezz 1 Amortization'!$R$4,'Mezz 1 Amortization'!$S$4),31),'Mezz 1 Amortization'!$E$19:$E$379,0),MATCH('Mezz 1 Amortization'!$V$19,'Mezz 1 Amortization'!$B$19:$V$19,0)),IF(AND('Mezz 1 Amortization'!$T$4="Bi-Annual",DW$5&gt;MIN('Mezz 1 Amortization'!$R$4,'Mezz 1 Amortization'!$S$4),DW$5&lt;MAX('Mezz 1 Amortization'!$R$4,'Mezz 1 Amortization'!$S$4)),INDEX('Mezz 1 Amortization'!$B$19:$V$379,MATCH(DATE(DW$7,MIN('Mezz 1 Amortization'!$R$4,'Mezz 1 Amortization'!$S$4),31),'Mezz 1 Amortization'!$E$19:$E$379,0),MATCH('Mezz 1 Amortization'!$V$19,'Mezz 1 Amortization'!$B$19:$V$19,0)),IF(AND('Mezz 1 Amortization'!$T$4="Bi-Annual",DW$5='Mezz 1 Amortization'!$R$4),INDEX('Mezz 1 Amortization'!$B$19:$V$379,MATCH(DATE(DW$7,'Mezz 1 Amortization'!$R$4,31),'Mezz 1 Amortization'!$E$19:$E$379,0),MATCH('Mezz 1 Amortization'!$V$19,'Mezz 1 Amortization'!$B$19:$V$19,0)),IF(AND('Mezz 1 Amortization'!$T$4="Bi-Annual",DW$5='Mezz 1 Amortization'!$S$4),INDEX('Mezz 1 Amortization'!$B$19:$V$379,MATCH(DATE(DW$7,'Mezz 1 Amortization'!$S$4,31),'Mezz 1 Amortization'!$E$19:$E$379,0),MATCH('Mezz 1 Amortization'!$V$19,'Mezz 1 Amortization'!$B$19:$V$19,0)))))))))))</f>
        <v>0</v>
      </c>
      <c r="DX140" s="427">
        <f>IF('Financing Assumptions'!$P$8="No",0,IF(DX$9&lt;'Financing Assumptions'!$O$26,0,IF(AND('Mezz 1 Amortization'!$T$4&lt;&gt;"Monthly",DX9&lt;='Financing Assumptions'!$O$26),0,IF('Mezz 1 Amortization'!$T$4="Monthly",INDEX('Mezz 1 Amortization'!$B$19:$V$379,MATCH(DX$11,'Mezz 1 Amortization'!$E$19:$E$379,0),MATCH('Mezz 1 Amortization'!$V$19,'Mezz 1 Amortization'!$B$19:$V$19,0)),IF(AND('Mezz 1 Amortization'!$T$4="Bi-Annual",DX$5&lt;MIN('Mezz 1 Amortization'!$R$4,'Mezz 1 Amortization'!$S$4)),INDEX('Mezz 1 Amortization'!$B$19:$V$379,MATCH(DATE(DX$7-1,MAX('Mezz 1 Amortization'!$R$4,'Mezz 1 Amortization'!$S$4),31),'Mezz 1 Amortization'!$E$19:$E$379,0),MATCH('Mezz 1 Amortization'!$V$19,'Mezz 1 Amortization'!$B$19:$V$19,0)),IF(AND('Mezz 1 Amortization'!$T$4="Bi-Annual",DX$5&gt;MAX('Mezz 1 Amortization'!$R$4,'Mezz 1 Amortization'!$S$4)),INDEX('Mezz 1 Amortization'!$B$19:$V$379,MATCH(DATE(DX$7,MAX('Mezz 1 Amortization'!$R$4,'Mezz 1 Amortization'!$S$4),31),'Mezz 1 Amortization'!$E$19:$E$379,0),MATCH('Mezz 1 Amortization'!$V$19,'Mezz 1 Amortization'!$B$19:$V$19,0)),IF(AND('Mezz 1 Amortization'!$T$4="Bi-Annual",DX$5&gt;MIN('Mezz 1 Amortization'!$R$4,'Mezz 1 Amortization'!$S$4),DX$5&lt;MAX('Mezz 1 Amortization'!$R$4,'Mezz 1 Amortization'!$S$4)),INDEX('Mezz 1 Amortization'!$B$19:$V$379,MATCH(DATE(DX$7,MIN('Mezz 1 Amortization'!$R$4,'Mezz 1 Amortization'!$S$4),31),'Mezz 1 Amortization'!$E$19:$E$379,0),MATCH('Mezz 1 Amortization'!$V$19,'Mezz 1 Amortization'!$B$19:$V$19,0)),IF(AND('Mezz 1 Amortization'!$T$4="Bi-Annual",DX$5='Mezz 1 Amortization'!$R$4),INDEX('Mezz 1 Amortization'!$B$19:$V$379,MATCH(DATE(DX$7,'Mezz 1 Amortization'!$R$4,31),'Mezz 1 Amortization'!$E$19:$E$379,0),MATCH('Mezz 1 Amortization'!$V$19,'Mezz 1 Amortization'!$B$19:$V$19,0)),IF(AND('Mezz 1 Amortization'!$T$4="Bi-Annual",DX$5='Mezz 1 Amortization'!$S$4),INDEX('Mezz 1 Amortization'!$B$19:$V$379,MATCH(DATE(DX$7,'Mezz 1 Amortization'!$S$4,31),'Mezz 1 Amortization'!$E$19:$E$379,0),MATCH('Mezz 1 Amortization'!$V$19,'Mezz 1 Amortization'!$B$19:$V$19,0)))))))))))</f>
        <v>0</v>
      </c>
      <c r="DY140" s="427">
        <f>IF('Financing Assumptions'!$P$8="No",0,IF(DY$9&lt;'Financing Assumptions'!$O$26,0,IF(AND('Mezz 1 Amortization'!$T$4&lt;&gt;"Monthly",DY9&lt;='Financing Assumptions'!$O$26),0,IF('Mezz 1 Amortization'!$T$4="Monthly",INDEX('Mezz 1 Amortization'!$B$19:$V$379,MATCH(DY$11,'Mezz 1 Amortization'!$E$19:$E$379,0),MATCH('Mezz 1 Amortization'!$V$19,'Mezz 1 Amortization'!$B$19:$V$19,0)),IF(AND('Mezz 1 Amortization'!$T$4="Bi-Annual",DY$5&lt;MIN('Mezz 1 Amortization'!$R$4,'Mezz 1 Amortization'!$S$4)),INDEX('Mezz 1 Amortization'!$B$19:$V$379,MATCH(DATE(DY$7-1,MAX('Mezz 1 Amortization'!$R$4,'Mezz 1 Amortization'!$S$4),31),'Mezz 1 Amortization'!$E$19:$E$379,0),MATCH('Mezz 1 Amortization'!$V$19,'Mezz 1 Amortization'!$B$19:$V$19,0)),IF(AND('Mezz 1 Amortization'!$T$4="Bi-Annual",DY$5&gt;MAX('Mezz 1 Amortization'!$R$4,'Mezz 1 Amortization'!$S$4)),INDEX('Mezz 1 Amortization'!$B$19:$V$379,MATCH(DATE(DY$7,MAX('Mezz 1 Amortization'!$R$4,'Mezz 1 Amortization'!$S$4),31),'Mezz 1 Amortization'!$E$19:$E$379,0),MATCH('Mezz 1 Amortization'!$V$19,'Mezz 1 Amortization'!$B$19:$V$19,0)),IF(AND('Mezz 1 Amortization'!$T$4="Bi-Annual",DY$5&gt;MIN('Mezz 1 Amortization'!$R$4,'Mezz 1 Amortization'!$S$4),DY$5&lt;MAX('Mezz 1 Amortization'!$R$4,'Mezz 1 Amortization'!$S$4)),INDEX('Mezz 1 Amortization'!$B$19:$V$379,MATCH(DATE(DY$7,MIN('Mezz 1 Amortization'!$R$4,'Mezz 1 Amortization'!$S$4),31),'Mezz 1 Amortization'!$E$19:$E$379,0),MATCH('Mezz 1 Amortization'!$V$19,'Mezz 1 Amortization'!$B$19:$V$19,0)),IF(AND('Mezz 1 Amortization'!$T$4="Bi-Annual",DY$5='Mezz 1 Amortization'!$R$4),INDEX('Mezz 1 Amortization'!$B$19:$V$379,MATCH(DATE(DY$7,'Mezz 1 Amortization'!$R$4,31),'Mezz 1 Amortization'!$E$19:$E$379,0),MATCH('Mezz 1 Amortization'!$V$19,'Mezz 1 Amortization'!$B$19:$V$19,0)),IF(AND('Mezz 1 Amortization'!$T$4="Bi-Annual",DY$5='Mezz 1 Amortization'!$S$4),INDEX('Mezz 1 Amortization'!$B$19:$V$379,MATCH(DATE(DY$7,'Mezz 1 Amortization'!$S$4,31),'Mezz 1 Amortization'!$E$19:$E$379,0),MATCH('Mezz 1 Amortization'!$V$19,'Mezz 1 Amortization'!$B$19:$V$19,0)))))))))))</f>
        <v>0</v>
      </c>
      <c r="DZ140" s="427">
        <f>IF('Financing Assumptions'!$P$8="No",0,IF(DZ$9&lt;'Financing Assumptions'!$O$26,0,IF(AND('Mezz 1 Amortization'!$T$4&lt;&gt;"Monthly",DZ9&lt;='Financing Assumptions'!$O$26),0,IF('Mezz 1 Amortization'!$T$4="Monthly",INDEX('Mezz 1 Amortization'!$B$19:$V$379,MATCH(DZ$11,'Mezz 1 Amortization'!$E$19:$E$379,0),MATCH('Mezz 1 Amortization'!$V$19,'Mezz 1 Amortization'!$B$19:$V$19,0)),IF(AND('Mezz 1 Amortization'!$T$4="Bi-Annual",DZ$5&lt;MIN('Mezz 1 Amortization'!$R$4,'Mezz 1 Amortization'!$S$4)),INDEX('Mezz 1 Amortization'!$B$19:$V$379,MATCH(DATE(DZ$7-1,MAX('Mezz 1 Amortization'!$R$4,'Mezz 1 Amortization'!$S$4),31),'Mezz 1 Amortization'!$E$19:$E$379,0),MATCH('Mezz 1 Amortization'!$V$19,'Mezz 1 Amortization'!$B$19:$V$19,0)),IF(AND('Mezz 1 Amortization'!$T$4="Bi-Annual",DZ$5&gt;MAX('Mezz 1 Amortization'!$R$4,'Mezz 1 Amortization'!$S$4)),INDEX('Mezz 1 Amortization'!$B$19:$V$379,MATCH(DATE(DZ$7,MAX('Mezz 1 Amortization'!$R$4,'Mezz 1 Amortization'!$S$4),31),'Mezz 1 Amortization'!$E$19:$E$379,0),MATCH('Mezz 1 Amortization'!$V$19,'Mezz 1 Amortization'!$B$19:$V$19,0)),IF(AND('Mezz 1 Amortization'!$T$4="Bi-Annual",DZ$5&gt;MIN('Mezz 1 Amortization'!$R$4,'Mezz 1 Amortization'!$S$4),DZ$5&lt;MAX('Mezz 1 Amortization'!$R$4,'Mezz 1 Amortization'!$S$4)),INDEX('Mezz 1 Amortization'!$B$19:$V$379,MATCH(DATE(DZ$7,MIN('Mezz 1 Amortization'!$R$4,'Mezz 1 Amortization'!$S$4),31),'Mezz 1 Amortization'!$E$19:$E$379,0),MATCH('Mezz 1 Amortization'!$V$19,'Mezz 1 Amortization'!$B$19:$V$19,0)),IF(AND('Mezz 1 Amortization'!$T$4="Bi-Annual",DZ$5='Mezz 1 Amortization'!$R$4),INDEX('Mezz 1 Amortization'!$B$19:$V$379,MATCH(DATE(DZ$7,'Mezz 1 Amortization'!$R$4,31),'Mezz 1 Amortization'!$E$19:$E$379,0),MATCH('Mezz 1 Amortization'!$V$19,'Mezz 1 Amortization'!$B$19:$V$19,0)),IF(AND('Mezz 1 Amortization'!$T$4="Bi-Annual",DZ$5='Mezz 1 Amortization'!$S$4),INDEX('Mezz 1 Amortization'!$B$19:$V$379,MATCH(DATE(DZ$7,'Mezz 1 Amortization'!$S$4,31),'Mezz 1 Amortization'!$E$19:$E$379,0),MATCH('Mezz 1 Amortization'!$V$19,'Mezz 1 Amortization'!$B$19:$V$19,0)))))))))))</f>
        <v>0</v>
      </c>
      <c r="EA140" s="427">
        <f>IF('Financing Assumptions'!$P$8="No",0,IF(EA$9&lt;'Financing Assumptions'!$O$26,0,IF(AND('Mezz 1 Amortization'!$T$4&lt;&gt;"Monthly",EA9&lt;='Financing Assumptions'!$O$26),0,IF('Mezz 1 Amortization'!$T$4="Monthly",INDEX('Mezz 1 Amortization'!$B$19:$V$379,MATCH(EA$11,'Mezz 1 Amortization'!$E$19:$E$379,0),MATCH('Mezz 1 Amortization'!$V$19,'Mezz 1 Amortization'!$B$19:$V$19,0)),IF(AND('Mezz 1 Amortization'!$T$4="Bi-Annual",EA$5&lt;MIN('Mezz 1 Amortization'!$R$4,'Mezz 1 Amortization'!$S$4)),INDEX('Mezz 1 Amortization'!$B$19:$V$379,MATCH(DATE(EA$7-1,MAX('Mezz 1 Amortization'!$R$4,'Mezz 1 Amortization'!$S$4),31),'Mezz 1 Amortization'!$E$19:$E$379,0),MATCH('Mezz 1 Amortization'!$V$19,'Mezz 1 Amortization'!$B$19:$V$19,0)),IF(AND('Mezz 1 Amortization'!$T$4="Bi-Annual",EA$5&gt;MAX('Mezz 1 Amortization'!$R$4,'Mezz 1 Amortization'!$S$4)),INDEX('Mezz 1 Amortization'!$B$19:$V$379,MATCH(DATE(EA$7,MAX('Mezz 1 Amortization'!$R$4,'Mezz 1 Amortization'!$S$4),31),'Mezz 1 Amortization'!$E$19:$E$379,0),MATCH('Mezz 1 Amortization'!$V$19,'Mezz 1 Amortization'!$B$19:$V$19,0)),IF(AND('Mezz 1 Amortization'!$T$4="Bi-Annual",EA$5&gt;MIN('Mezz 1 Amortization'!$R$4,'Mezz 1 Amortization'!$S$4),EA$5&lt;MAX('Mezz 1 Amortization'!$R$4,'Mezz 1 Amortization'!$S$4)),INDEX('Mezz 1 Amortization'!$B$19:$V$379,MATCH(DATE(EA$7,MIN('Mezz 1 Amortization'!$R$4,'Mezz 1 Amortization'!$S$4),31),'Mezz 1 Amortization'!$E$19:$E$379,0),MATCH('Mezz 1 Amortization'!$V$19,'Mezz 1 Amortization'!$B$19:$V$19,0)),IF(AND('Mezz 1 Amortization'!$T$4="Bi-Annual",EA$5='Mezz 1 Amortization'!$R$4),INDEX('Mezz 1 Amortization'!$B$19:$V$379,MATCH(DATE(EA$7,'Mezz 1 Amortization'!$R$4,31),'Mezz 1 Amortization'!$E$19:$E$379,0),MATCH('Mezz 1 Amortization'!$V$19,'Mezz 1 Amortization'!$B$19:$V$19,0)),IF(AND('Mezz 1 Amortization'!$T$4="Bi-Annual",EA$5='Mezz 1 Amortization'!$S$4),INDEX('Mezz 1 Amortization'!$B$19:$V$379,MATCH(DATE(EA$7,'Mezz 1 Amortization'!$S$4,31),'Mezz 1 Amortization'!$E$19:$E$379,0),MATCH('Mezz 1 Amortization'!$V$19,'Mezz 1 Amortization'!$B$19:$V$19,0)))))))))))</f>
        <v>0</v>
      </c>
      <c r="EB140" s="427">
        <f>IF('Financing Assumptions'!$P$8="No",0,IF(EB$9&lt;'Financing Assumptions'!$O$26,0,IF(AND('Mezz 1 Amortization'!$T$4&lt;&gt;"Monthly",EB9&lt;='Financing Assumptions'!$O$26),0,IF('Mezz 1 Amortization'!$T$4="Monthly",INDEX('Mezz 1 Amortization'!$B$19:$V$379,MATCH(EB$11,'Mezz 1 Amortization'!$E$19:$E$379,0),MATCH('Mezz 1 Amortization'!$V$19,'Mezz 1 Amortization'!$B$19:$V$19,0)),IF(AND('Mezz 1 Amortization'!$T$4="Bi-Annual",EB$5&lt;MIN('Mezz 1 Amortization'!$R$4,'Mezz 1 Amortization'!$S$4)),INDEX('Mezz 1 Amortization'!$B$19:$V$379,MATCH(DATE(EB$7-1,MAX('Mezz 1 Amortization'!$R$4,'Mezz 1 Amortization'!$S$4),31),'Mezz 1 Amortization'!$E$19:$E$379,0),MATCH('Mezz 1 Amortization'!$V$19,'Mezz 1 Amortization'!$B$19:$V$19,0)),IF(AND('Mezz 1 Amortization'!$T$4="Bi-Annual",EB$5&gt;MAX('Mezz 1 Amortization'!$R$4,'Mezz 1 Amortization'!$S$4)),INDEX('Mezz 1 Amortization'!$B$19:$V$379,MATCH(DATE(EB$7,MAX('Mezz 1 Amortization'!$R$4,'Mezz 1 Amortization'!$S$4),31),'Mezz 1 Amortization'!$E$19:$E$379,0),MATCH('Mezz 1 Amortization'!$V$19,'Mezz 1 Amortization'!$B$19:$V$19,0)),IF(AND('Mezz 1 Amortization'!$T$4="Bi-Annual",EB$5&gt;MIN('Mezz 1 Amortization'!$R$4,'Mezz 1 Amortization'!$S$4),EB$5&lt;MAX('Mezz 1 Amortization'!$R$4,'Mezz 1 Amortization'!$S$4)),INDEX('Mezz 1 Amortization'!$B$19:$V$379,MATCH(DATE(EB$7,MIN('Mezz 1 Amortization'!$R$4,'Mezz 1 Amortization'!$S$4),31),'Mezz 1 Amortization'!$E$19:$E$379,0),MATCH('Mezz 1 Amortization'!$V$19,'Mezz 1 Amortization'!$B$19:$V$19,0)),IF(AND('Mezz 1 Amortization'!$T$4="Bi-Annual",EB$5='Mezz 1 Amortization'!$R$4),INDEX('Mezz 1 Amortization'!$B$19:$V$379,MATCH(DATE(EB$7,'Mezz 1 Amortization'!$R$4,31),'Mezz 1 Amortization'!$E$19:$E$379,0),MATCH('Mezz 1 Amortization'!$V$19,'Mezz 1 Amortization'!$B$19:$V$19,0)),IF(AND('Mezz 1 Amortization'!$T$4="Bi-Annual",EB$5='Mezz 1 Amortization'!$S$4),INDEX('Mezz 1 Amortization'!$B$19:$V$379,MATCH(DATE(EB$7,'Mezz 1 Amortization'!$S$4,31),'Mezz 1 Amortization'!$E$19:$E$379,0),MATCH('Mezz 1 Amortization'!$V$19,'Mezz 1 Amortization'!$B$19:$V$19,0)))))))))))</f>
        <v>0</v>
      </c>
      <c r="EC140" s="427">
        <f>IF('Financing Assumptions'!$P$8="No",0,IF(EC$9&lt;'Financing Assumptions'!$O$26,0,IF(AND('Mezz 1 Amortization'!$T$4&lt;&gt;"Monthly",EC9&lt;='Financing Assumptions'!$O$26),0,IF('Mezz 1 Amortization'!$T$4="Monthly",INDEX('Mezz 1 Amortization'!$B$19:$V$379,MATCH(EC$11,'Mezz 1 Amortization'!$E$19:$E$379,0),MATCH('Mezz 1 Amortization'!$V$19,'Mezz 1 Amortization'!$B$19:$V$19,0)),IF(AND('Mezz 1 Amortization'!$T$4="Bi-Annual",EC$5&lt;MIN('Mezz 1 Amortization'!$R$4,'Mezz 1 Amortization'!$S$4)),INDEX('Mezz 1 Amortization'!$B$19:$V$379,MATCH(DATE(EC$7-1,MAX('Mezz 1 Amortization'!$R$4,'Mezz 1 Amortization'!$S$4),31),'Mezz 1 Amortization'!$E$19:$E$379,0),MATCH('Mezz 1 Amortization'!$V$19,'Mezz 1 Amortization'!$B$19:$V$19,0)),IF(AND('Mezz 1 Amortization'!$T$4="Bi-Annual",EC$5&gt;MAX('Mezz 1 Amortization'!$R$4,'Mezz 1 Amortization'!$S$4)),INDEX('Mezz 1 Amortization'!$B$19:$V$379,MATCH(DATE(EC$7,MAX('Mezz 1 Amortization'!$R$4,'Mezz 1 Amortization'!$S$4),31),'Mezz 1 Amortization'!$E$19:$E$379,0),MATCH('Mezz 1 Amortization'!$V$19,'Mezz 1 Amortization'!$B$19:$V$19,0)),IF(AND('Mezz 1 Amortization'!$T$4="Bi-Annual",EC$5&gt;MIN('Mezz 1 Amortization'!$R$4,'Mezz 1 Amortization'!$S$4),EC$5&lt;MAX('Mezz 1 Amortization'!$R$4,'Mezz 1 Amortization'!$S$4)),INDEX('Mezz 1 Amortization'!$B$19:$V$379,MATCH(DATE(EC$7,MIN('Mezz 1 Amortization'!$R$4,'Mezz 1 Amortization'!$S$4),31),'Mezz 1 Amortization'!$E$19:$E$379,0),MATCH('Mezz 1 Amortization'!$V$19,'Mezz 1 Amortization'!$B$19:$V$19,0)),IF(AND('Mezz 1 Amortization'!$T$4="Bi-Annual",EC$5='Mezz 1 Amortization'!$R$4),INDEX('Mezz 1 Amortization'!$B$19:$V$379,MATCH(DATE(EC$7,'Mezz 1 Amortization'!$R$4,31),'Mezz 1 Amortization'!$E$19:$E$379,0),MATCH('Mezz 1 Amortization'!$V$19,'Mezz 1 Amortization'!$B$19:$V$19,0)),IF(AND('Mezz 1 Amortization'!$T$4="Bi-Annual",EC$5='Mezz 1 Amortization'!$S$4),INDEX('Mezz 1 Amortization'!$B$19:$V$379,MATCH(DATE(EC$7,'Mezz 1 Amortization'!$S$4,31),'Mezz 1 Amortization'!$E$19:$E$379,0),MATCH('Mezz 1 Amortization'!$V$19,'Mezz 1 Amortization'!$B$19:$V$19,0)))))))))))</f>
        <v>0</v>
      </c>
      <c r="ED140" s="427">
        <f>IF('Financing Assumptions'!$P$8="No",0,IF(ED$9&lt;'Financing Assumptions'!$O$26,0,IF(AND('Mezz 1 Amortization'!$T$4&lt;&gt;"Monthly",ED9&lt;='Financing Assumptions'!$O$26),0,IF('Mezz 1 Amortization'!$T$4="Monthly",INDEX('Mezz 1 Amortization'!$B$19:$V$379,MATCH(ED$11,'Mezz 1 Amortization'!$E$19:$E$379,0),MATCH('Mezz 1 Amortization'!$V$19,'Mezz 1 Amortization'!$B$19:$V$19,0)),IF(AND('Mezz 1 Amortization'!$T$4="Bi-Annual",ED$5&lt;MIN('Mezz 1 Amortization'!$R$4,'Mezz 1 Amortization'!$S$4)),INDEX('Mezz 1 Amortization'!$B$19:$V$379,MATCH(DATE(ED$7-1,MAX('Mezz 1 Amortization'!$R$4,'Mezz 1 Amortization'!$S$4),31),'Mezz 1 Amortization'!$E$19:$E$379,0),MATCH('Mezz 1 Amortization'!$V$19,'Mezz 1 Amortization'!$B$19:$V$19,0)),IF(AND('Mezz 1 Amortization'!$T$4="Bi-Annual",ED$5&gt;MAX('Mezz 1 Amortization'!$R$4,'Mezz 1 Amortization'!$S$4)),INDEX('Mezz 1 Amortization'!$B$19:$V$379,MATCH(DATE(ED$7,MAX('Mezz 1 Amortization'!$R$4,'Mezz 1 Amortization'!$S$4),31),'Mezz 1 Amortization'!$E$19:$E$379,0),MATCH('Mezz 1 Amortization'!$V$19,'Mezz 1 Amortization'!$B$19:$V$19,0)),IF(AND('Mezz 1 Amortization'!$T$4="Bi-Annual",ED$5&gt;MIN('Mezz 1 Amortization'!$R$4,'Mezz 1 Amortization'!$S$4),ED$5&lt;MAX('Mezz 1 Amortization'!$R$4,'Mezz 1 Amortization'!$S$4)),INDEX('Mezz 1 Amortization'!$B$19:$V$379,MATCH(DATE(ED$7,MIN('Mezz 1 Amortization'!$R$4,'Mezz 1 Amortization'!$S$4),31),'Mezz 1 Amortization'!$E$19:$E$379,0),MATCH('Mezz 1 Amortization'!$V$19,'Mezz 1 Amortization'!$B$19:$V$19,0)),IF(AND('Mezz 1 Amortization'!$T$4="Bi-Annual",ED$5='Mezz 1 Amortization'!$R$4),INDEX('Mezz 1 Amortization'!$B$19:$V$379,MATCH(DATE(ED$7,'Mezz 1 Amortization'!$R$4,31),'Mezz 1 Amortization'!$E$19:$E$379,0),MATCH('Mezz 1 Amortization'!$V$19,'Mezz 1 Amortization'!$B$19:$V$19,0)),IF(AND('Mezz 1 Amortization'!$T$4="Bi-Annual",ED$5='Mezz 1 Amortization'!$S$4),INDEX('Mezz 1 Amortization'!$B$19:$V$379,MATCH(DATE(ED$7,'Mezz 1 Amortization'!$S$4,31),'Mezz 1 Amortization'!$E$19:$E$379,0),MATCH('Mezz 1 Amortization'!$V$19,'Mezz 1 Amortization'!$B$19:$V$19,0)))))))))))</f>
        <v>0</v>
      </c>
      <c r="EE140" s="427">
        <f>IF('Financing Assumptions'!$P$8="No",0,IF(EE$9&lt;'Financing Assumptions'!$O$26,0,IF(AND('Mezz 1 Amortization'!$T$4&lt;&gt;"Monthly",EE9&lt;='Financing Assumptions'!$O$26),0,IF('Mezz 1 Amortization'!$T$4="Monthly",INDEX('Mezz 1 Amortization'!$B$19:$V$379,MATCH(EE$11,'Mezz 1 Amortization'!$E$19:$E$379,0),MATCH('Mezz 1 Amortization'!$V$19,'Mezz 1 Amortization'!$B$19:$V$19,0)),IF(AND('Mezz 1 Amortization'!$T$4="Bi-Annual",EE$5&lt;MIN('Mezz 1 Amortization'!$R$4,'Mezz 1 Amortization'!$S$4)),INDEX('Mezz 1 Amortization'!$B$19:$V$379,MATCH(DATE(EE$7-1,MAX('Mezz 1 Amortization'!$R$4,'Mezz 1 Amortization'!$S$4),31),'Mezz 1 Amortization'!$E$19:$E$379,0),MATCH('Mezz 1 Amortization'!$V$19,'Mezz 1 Amortization'!$B$19:$V$19,0)),IF(AND('Mezz 1 Amortization'!$T$4="Bi-Annual",EE$5&gt;MAX('Mezz 1 Amortization'!$R$4,'Mezz 1 Amortization'!$S$4)),INDEX('Mezz 1 Amortization'!$B$19:$V$379,MATCH(DATE(EE$7,MAX('Mezz 1 Amortization'!$R$4,'Mezz 1 Amortization'!$S$4),31),'Mezz 1 Amortization'!$E$19:$E$379,0),MATCH('Mezz 1 Amortization'!$V$19,'Mezz 1 Amortization'!$B$19:$V$19,0)),IF(AND('Mezz 1 Amortization'!$T$4="Bi-Annual",EE$5&gt;MIN('Mezz 1 Amortization'!$R$4,'Mezz 1 Amortization'!$S$4),EE$5&lt;MAX('Mezz 1 Amortization'!$R$4,'Mezz 1 Amortization'!$S$4)),INDEX('Mezz 1 Amortization'!$B$19:$V$379,MATCH(DATE(EE$7,MIN('Mezz 1 Amortization'!$R$4,'Mezz 1 Amortization'!$S$4),31),'Mezz 1 Amortization'!$E$19:$E$379,0),MATCH('Mezz 1 Amortization'!$V$19,'Mezz 1 Amortization'!$B$19:$V$19,0)),IF(AND('Mezz 1 Amortization'!$T$4="Bi-Annual",EE$5='Mezz 1 Amortization'!$R$4),INDEX('Mezz 1 Amortization'!$B$19:$V$379,MATCH(DATE(EE$7,'Mezz 1 Amortization'!$R$4,31),'Mezz 1 Amortization'!$E$19:$E$379,0),MATCH('Mezz 1 Amortization'!$V$19,'Mezz 1 Amortization'!$B$19:$V$19,0)),IF(AND('Mezz 1 Amortization'!$T$4="Bi-Annual",EE$5='Mezz 1 Amortization'!$S$4),INDEX('Mezz 1 Amortization'!$B$19:$V$379,MATCH(DATE(EE$7,'Mezz 1 Amortization'!$S$4,31),'Mezz 1 Amortization'!$E$19:$E$379,0),MATCH('Mezz 1 Amortization'!$V$19,'Mezz 1 Amortization'!$B$19:$V$19,0)))))))))))</f>
        <v>0</v>
      </c>
      <c r="EF140" s="427">
        <f>IF('Financing Assumptions'!$P$8="No",0,IF(EF$9&lt;'Financing Assumptions'!$O$26,0,IF(AND('Mezz 1 Amortization'!$T$4&lt;&gt;"Monthly",EF9&lt;='Financing Assumptions'!$O$26),0,IF('Mezz 1 Amortization'!$T$4="Monthly",INDEX('Mezz 1 Amortization'!$B$19:$V$379,MATCH(EF$11,'Mezz 1 Amortization'!$E$19:$E$379,0),MATCH('Mezz 1 Amortization'!$V$19,'Mezz 1 Amortization'!$B$19:$V$19,0)),IF(AND('Mezz 1 Amortization'!$T$4="Bi-Annual",EF$5&lt;MIN('Mezz 1 Amortization'!$R$4,'Mezz 1 Amortization'!$S$4)),INDEX('Mezz 1 Amortization'!$B$19:$V$379,MATCH(DATE(EF$7-1,MAX('Mezz 1 Amortization'!$R$4,'Mezz 1 Amortization'!$S$4),31),'Mezz 1 Amortization'!$E$19:$E$379,0),MATCH('Mezz 1 Amortization'!$V$19,'Mezz 1 Amortization'!$B$19:$V$19,0)),IF(AND('Mezz 1 Amortization'!$T$4="Bi-Annual",EF$5&gt;MAX('Mezz 1 Amortization'!$R$4,'Mezz 1 Amortization'!$S$4)),INDEX('Mezz 1 Amortization'!$B$19:$V$379,MATCH(DATE(EF$7,MAX('Mezz 1 Amortization'!$R$4,'Mezz 1 Amortization'!$S$4),31),'Mezz 1 Amortization'!$E$19:$E$379,0),MATCH('Mezz 1 Amortization'!$V$19,'Mezz 1 Amortization'!$B$19:$V$19,0)),IF(AND('Mezz 1 Amortization'!$T$4="Bi-Annual",EF$5&gt;MIN('Mezz 1 Amortization'!$R$4,'Mezz 1 Amortization'!$S$4),EF$5&lt;MAX('Mezz 1 Amortization'!$R$4,'Mezz 1 Amortization'!$S$4)),INDEX('Mezz 1 Amortization'!$B$19:$V$379,MATCH(DATE(EF$7,MIN('Mezz 1 Amortization'!$R$4,'Mezz 1 Amortization'!$S$4),31),'Mezz 1 Amortization'!$E$19:$E$379,0),MATCH('Mezz 1 Amortization'!$V$19,'Mezz 1 Amortization'!$B$19:$V$19,0)),IF(AND('Mezz 1 Amortization'!$T$4="Bi-Annual",EF$5='Mezz 1 Amortization'!$R$4),INDEX('Mezz 1 Amortization'!$B$19:$V$379,MATCH(DATE(EF$7,'Mezz 1 Amortization'!$R$4,31),'Mezz 1 Amortization'!$E$19:$E$379,0),MATCH('Mezz 1 Amortization'!$V$19,'Mezz 1 Amortization'!$B$19:$V$19,0)),IF(AND('Mezz 1 Amortization'!$T$4="Bi-Annual",EF$5='Mezz 1 Amortization'!$S$4),INDEX('Mezz 1 Amortization'!$B$19:$V$379,MATCH(DATE(EF$7,'Mezz 1 Amortization'!$S$4,31),'Mezz 1 Amortization'!$E$19:$E$379,0),MATCH('Mezz 1 Amortization'!$V$19,'Mezz 1 Amortization'!$B$19:$V$19,0)))))))))))</f>
        <v>0</v>
      </c>
      <c r="EG140" s="427">
        <f>IF('Financing Assumptions'!$P$8="No",0,IF(EG$9&lt;'Financing Assumptions'!$O$26,0,IF(AND('Mezz 1 Amortization'!$T$4&lt;&gt;"Monthly",EG9&lt;='Financing Assumptions'!$O$26),0,IF('Mezz 1 Amortization'!$T$4="Monthly",INDEX('Mezz 1 Amortization'!$B$19:$V$379,MATCH(EG$11,'Mezz 1 Amortization'!$E$19:$E$379,0),MATCH('Mezz 1 Amortization'!$V$19,'Mezz 1 Amortization'!$B$19:$V$19,0)),IF(AND('Mezz 1 Amortization'!$T$4="Bi-Annual",EG$5&lt;MIN('Mezz 1 Amortization'!$R$4,'Mezz 1 Amortization'!$S$4)),INDEX('Mezz 1 Amortization'!$B$19:$V$379,MATCH(DATE(EG$7-1,MAX('Mezz 1 Amortization'!$R$4,'Mezz 1 Amortization'!$S$4),31),'Mezz 1 Amortization'!$E$19:$E$379,0),MATCH('Mezz 1 Amortization'!$V$19,'Mezz 1 Amortization'!$B$19:$V$19,0)),IF(AND('Mezz 1 Amortization'!$T$4="Bi-Annual",EG$5&gt;MAX('Mezz 1 Amortization'!$R$4,'Mezz 1 Amortization'!$S$4)),INDEX('Mezz 1 Amortization'!$B$19:$V$379,MATCH(DATE(EG$7,MAX('Mezz 1 Amortization'!$R$4,'Mezz 1 Amortization'!$S$4),31),'Mezz 1 Amortization'!$E$19:$E$379,0),MATCH('Mezz 1 Amortization'!$V$19,'Mezz 1 Amortization'!$B$19:$V$19,0)),IF(AND('Mezz 1 Amortization'!$T$4="Bi-Annual",EG$5&gt;MIN('Mezz 1 Amortization'!$R$4,'Mezz 1 Amortization'!$S$4),EG$5&lt;MAX('Mezz 1 Amortization'!$R$4,'Mezz 1 Amortization'!$S$4)),INDEX('Mezz 1 Amortization'!$B$19:$V$379,MATCH(DATE(EG$7,MIN('Mezz 1 Amortization'!$R$4,'Mezz 1 Amortization'!$S$4),31),'Mezz 1 Amortization'!$E$19:$E$379,0),MATCH('Mezz 1 Amortization'!$V$19,'Mezz 1 Amortization'!$B$19:$V$19,0)),IF(AND('Mezz 1 Amortization'!$T$4="Bi-Annual",EG$5='Mezz 1 Amortization'!$R$4),INDEX('Mezz 1 Amortization'!$B$19:$V$379,MATCH(DATE(EG$7,'Mezz 1 Amortization'!$R$4,31),'Mezz 1 Amortization'!$E$19:$E$379,0),MATCH('Mezz 1 Amortization'!$V$19,'Mezz 1 Amortization'!$B$19:$V$19,0)),IF(AND('Mezz 1 Amortization'!$T$4="Bi-Annual",EG$5='Mezz 1 Amortization'!$S$4),INDEX('Mezz 1 Amortization'!$B$19:$V$379,MATCH(DATE(EG$7,'Mezz 1 Amortization'!$S$4,31),'Mezz 1 Amortization'!$E$19:$E$379,0),MATCH('Mezz 1 Amortization'!$V$19,'Mezz 1 Amortization'!$B$19:$V$19,0)))))))))))</f>
        <v>0</v>
      </c>
      <c r="EH140" s="427">
        <f>IF('Financing Assumptions'!$P$8="No",0,IF(EH$9&lt;'Financing Assumptions'!$O$26,0,IF(AND('Mezz 1 Amortization'!$T$4&lt;&gt;"Monthly",EH9&lt;='Financing Assumptions'!$O$26),0,IF('Mezz 1 Amortization'!$T$4="Monthly",INDEX('Mezz 1 Amortization'!$B$19:$V$379,MATCH(EH$11,'Mezz 1 Amortization'!$E$19:$E$379,0),MATCH('Mezz 1 Amortization'!$V$19,'Mezz 1 Amortization'!$B$19:$V$19,0)),IF(AND('Mezz 1 Amortization'!$T$4="Bi-Annual",EH$5&lt;MIN('Mezz 1 Amortization'!$R$4,'Mezz 1 Amortization'!$S$4)),INDEX('Mezz 1 Amortization'!$B$19:$V$379,MATCH(DATE(EH$7-1,MAX('Mezz 1 Amortization'!$R$4,'Mezz 1 Amortization'!$S$4),31),'Mezz 1 Amortization'!$E$19:$E$379,0),MATCH('Mezz 1 Amortization'!$V$19,'Mezz 1 Amortization'!$B$19:$V$19,0)),IF(AND('Mezz 1 Amortization'!$T$4="Bi-Annual",EH$5&gt;MAX('Mezz 1 Amortization'!$R$4,'Mezz 1 Amortization'!$S$4)),INDEX('Mezz 1 Amortization'!$B$19:$V$379,MATCH(DATE(EH$7,MAX('Mezz 1 Amortization'!$R$4,'Mezz 1 Amortization'!$S$4),31),'Mezz 1 Amortization'!$E$19:$E$379,0),MATCH('Mezz 1 Amortization'!$V$19,'Mezz 1 Amortization'!$B$19:$V$19,0)),IF(AND('Mezz 1 Amortization'!$T$4="Bi-Annual",EH$5&gt;MIN('Mezz 1 Amortization'!$R$4,'Mezz 1 Amortization'!$S$4),EH$5&lt;MAX('Mezz 1 Amortization'!$R$4,'Mezz 1 Amortization'!$S$4)),INDEX('Mezz 1 Amortization'!$B$19:$V$379,MATCH(DATE(EH$7,MIN('Mezz 1 Amortization'!$R$4,'Mezz 1 Amortization'!$S$4),31),'Mezz 1 Amortization'!$E$19:$E$379,0),MATCH('Mezz 1 Amortization'!$V$19,'Mezz 1 Amortization'!$B$19:$V$19,0)),IF(AND('Mezz 1 Amortization'!$T$4="Bi-Annual",EH$5='Mezz 1 Amortization'!$R$4),INDEX('Mezz 1 Amortization'!$B$19:$V$379,MATCH(DATE(EH$7,'Mezz 1 Amortization'!$R$4,31),'Mezz 1 Amortization'!$E$19:$E$379,0),MATCH('Mezz 1 Amortization'!$V$19,'Mezz 1 Amortization'!$B$19:$V$19,0)),IF(AND('Mezz 1 Amortization'!$T$4="Bi-Annual",EH$5='Mezz 1 Amortization'!$S$4),INDEX('Mezz 1 Amortization'!$B$19:$V$379,MATCH(DATE(EH$7,'Mezz 1 Amortization'!$S$4,31),'Mezz 1 Amortization'!$E$19:$E$379,0),MATCH('Mezz 1 Amortization'!$V$19,'Mezz 1 Amortization'!$B$19:$V$19,0)))))))))))</f>
        <v>0</v>
      </c>
      <c r="EI140" s="427">
        <f>IF('Financing Assumptions'!$P$8="No",0,IF(EI$9&lt;'Financing Assumptions'!$O$26,0,IF(AND('Mezz 1 Amortization'!$T$4&lt;&gt;"Monthly",EI9&lt;='Financing Assumptions'!$O$26),0,IF('Mezz 1 Amortization'!$T$4="Monthly",INDEX('Mezz 1 Amortization'!$B$19:$V$379,MATCH(EI$11,'Mezz 1 Amortization'!$E$19:$E$379,0),MATCH('Mezz 1 Amortization'!$V$19,'Mezz 1 Amortization'!$B$19:$V$19,0)),IF(AND('Mezz 1 Amortization'!$T$4="Bi-Annual",EI$5&lt;MIN('Mezz 1 Amortization'!$R$4,'Mezz 1 Amortization'!$S$4)),INDEX('Mezz 1 Amortization'!$B$19:$V$379,MATCH(DATE(EI$7-1,MAX('Mezz 1 Amortization'!$R$4,'Mezz 1 Amortization'!$S$4),31),'Mezz 1 Amortization'!$E$19:$E$379,0),MATCH('Mezz 1 Amortization'!$V$19,'Mezz 1 Amortization'!$B$19:$V$19,0)),IF(AND('Mezz 1 Amortization'!$T$4="Bi-Annual",EI$5&gt;MAX('Mezz 1 Amortization'!$R$4,'Mezz 1 Amortization'!$S$4)),INDEX('Mezz 1 Amortization'!$B$19:$V$379,MATCH(DATE(EI$7,MAX('Mezz 1 Amortization'!$R$4,'Mezz 1 Amortization'!$S$4),31),'Mezz 1 Amortization'!$E$19:$E$379,0),MATCH('Mezz 1 Amortization'!$V$19,'Mezz 1 Amortization'!$B$19:$V$19,0)),IF(AND('Mezz 1 Amortization'!$T$4="Bi-Annual",EI$5&gt;MIN('Mezz 1 Amortization'!$R$4,'Mezz 1 Amortization'!$S$4),EI$5&lt;MAX('Mezz 1 Amortization'!$R$4,'Mezz 1 Amortization'!$S$4)),INDEX('Mezz 1 Amortization'!$B$19:$V$379,MATCH(DATE(EI$7,MIN('Mezz 1 Amortization'!$R$4,'Mezz 1 Amortization'!$S$4),31),'Mezz 1 Amortization'!$E$19:$E$379,0),MATCH('Mezz 1 Amortization'!$V$19,'Mezz 1 Amortization'!$B$19:$V$19,0)),IF(AND('Mezz 1 Amortization'!$T$4="Bi-Annual",EI$5='Mezz 1 Amortization'!$R$4),INDEX('Mezz 1 Amortization'!$B$19:$V$379,MATCH(DATE(EI$7,'Mezz 1 Amortization'!$R$4,31),'Mezz 1 Amortization'!$E$19:$E$379,0),MATCH('Mezz 1 Amortization'!$V$19,'Mezz 1 Amortization'!$B$19:$V$19,0)),IF(AND('Mezz 1 Amortization'!$T$4="Bi-Annual",EI$5='Mezz 1 Amortization'!$S$4),INDEX('Mezz 1 Amortization'!$B$19:$V$379,MATCH(DATE(EI$7,'Mezz 1 Amortization'!$S$4,31),'Mezz 1 Amortization'!$E$19:$E$379,0),MATCH('Mezz 1 Amortization'!$V$19,'Mezz 1 Amortization'!$B$19:$V$19,0)))))))))))</f>
        <v>0</v>
      </c>
      <c r="EJ140" s="427">
        <f>IF('Financing Assumptions'!$P$8="No",0,IF(EJ$9&lt;'Financing Assumptions'!$O$26,0,IF(AND('Mezz 1 Amortization'!$T$4&lt;&gt;"Monthly",EJ9&lt;='Financing Assumptions'!$O$26),0,IF('Mezz 1 Amortization'!$T$4="Monthly",INDEX('Mezz 1 Amortization'!$B$19:$V$379,MATCH(EJ$11,'Mezz 1 Amortization'!$E$19:$E$379,0),MATCH('Mezz 1 Amortization'!$V$19,'Mezz 1 Amortization'!$B$19:$V$19,0)),IF(AND('Mezz 1 Amortization'!$T$4="Bi-Annual",EJ$5&lt;MIN('Mezz 1 Amortization'!$R$4,'Mezz 1 Amortization'!$S$4)),INDEX('Mezz 1 Amortization'!$B$19:$V$379,MATCH(DATE(EJ$7-1,MAX('Mezz 1 Amortization'!$R$4,'Mezz 1 Amortization'!$S$4),31),'Mezz 1 Amortization'!$E$19:$E$379,0),MATCH('Mezz 1 Amortization'!$V$19,'Mezz 1 Amortization'!$B$19:$V$19,0)),IF(AND('Mezz 1 Amortization'!$T$4="Bi-Annual",EJ$5&gt;MAX('Mezz 1 Amortization'!$R$4,'Mezz 1 Amortization'!$S$4)),INDEX('Mezz 1 Amortization'!$B$19:$V$379,MATCH(DATE(EJ$7,MAX('Mezz 1 Amortization'!$R$4,'Mezz 1 Amortization'!$S$4),31),'Mezz 1 Amortization'!$E$19:$E$379,0),MATCH('Mezz 1 Amortization'!$V$19,'Mezz 1 Amortization'!$B$19:$V$19,0)),IF(AND('Mezz 1 Amortization'!$T$4="Bi-Annual",EJ$5&gt;MIN('Mezz 1 Amortization'!$R$4,'Mezz 1 Amortization'!$S$4),EJ$5&lt;MAX('Mezz 1 Amortization'!$R$4,'Mezz 1 Amortization'!$S$4)),INDEX('Mezz 1 Amortization'!$B$19:$V$379,MATCH(DATE(EJ$7,MIN('Mezz 1 Amortization'!$R$4,'Mezz 1 Amortization'!$S$4),31),'Mezz 1 Amortization'!$E$19:$E$379,0),MATCH('Mezz 1 Amortization'!$V$19,'Mezz 1 Amortization'!$B$19:$V$19,0)),IF(AND('Mezz 1 Amortization'!$T$4="Bi-Annual",EJ$5='Mezz 1 Amortization'!$R$4),INDEX('Mezz 1 Amortization'!$B$19:$V$379,MATCH(DATE(EJ$7,'Mezz 1 Amortization'!$R$4,31),'Mezz 1 Amortization'!$E$19:$E$379,0),MATCH('Mezz 1 Amortization'!$V$19,'Mezz 1 Amortization'!$B$19:$V$19,0)),IF(AND('Mezz 1 Amortization'!$T$4="Bi-Annual",EJ$5='Mezz 1 Amortization'!$S$4),INDEX('Mezz 1 Amortization'!$B$19:$V$379,MATCH(DATE(EJ$7,'Mezz 1 Amortization'!$S$4,31),'Mezz 1 Amortization'!$E$19:$E$379,0),MATCH('Mezz 1 Amortization'!$V$19,'Mezz 1 Amortization'!$B$19:$V$19,0)))))))))))</f>
        <v>0</v>
      </c>
      <c r="EK140" s="427">
        <f>IF('Financing Assumptions'!$P$8="No",0,IF(EK$9&lt;'Financing Assumptions'!$O$26,0,IF(AND('Mezz 1 Amortization'!$T$4&lt;&gt;"Monthly",EK9&lt;='Financing Assumptions'!$O$26),0,IF('Mezz 1 Amortization'!$T$4="Monthly",INDEX('Mezz 1 Amortization'!$B$19:$V$379,MATCH(EK$11,'Mezz 1 Amortization'!$E$19:$E$379,0),MATCH('Mezz 1 Amortization'!$V$19,'Mezz 1 Amortization'!$B$19:$V$19,0)),IF(AND('Mezz 1 Amortization'!$T$4="Bi-Annual",EK$5&lt;MIN('Mezz 1 Amortization'!$R$4,'Mezz 1 Amortization'!$S$4)),INDEX('Mezz 1 Amortization'!$B$19:$V$379,MATCH(DATE(EK$7-1,MAX('Mezz 1 Amortization'!$R$4,'Mezz 1 Amortization'!$S$4),31),'Mezz 1 Amortization'!$E$19:$E$379,0),MATCH('Mezz 1 Amortization'!$V$19,'Mezz 1 Amortization'!$B$19:$V$19,0)),IF(AND('Mezz 1 Amortization'!$T$4="Bi-Annual",EK$5&gt;MAX('Mezz 1 Amortization'!$R$4,'Mezz 1 Amortization'!$S$4)),INDEX('Mezz 1 Amortization'!$B$19:$V$379,MATCH(DATE(EK$7,MAX('Mezz 1 Amortization'!$R$4,'Mezz 1 Amortization'!$S$4),31),'Mezz 1 Amortization'!$E$19:$E$379,0),MATCH('Mezz 1 Amortization'!$V$19,'Mezz 1 Amortization'!$B$19:$V$19,0)),IF(AND('Mezz 1 Amortization'!$T$4="Bi-Annual",EK$5&gt;MIN('Mezz 1 Amortization'!$R$4,'Mezz 1 Amortization'!$S$4),EK$5&lt;MAX('Mezz 1 Amortization'!$R$4,'Mezz 1 Amortization'!$S$4)),INDEX('Mezz 1 Amortization'!$B$19:$V$379,MATCH(DATE(EK$7,MIN('Mezz 1 Amortization'!$R$4,'Mezz 1 Amortization'!$S$4),31),'Mezz 1 Amortization'!$E$19:$E$379,0),MATCH('Mezz 1 Amortization'!$V$19,'Mezz 1 Amortization'!$B$19:$V$19,0)),IF(AND('Mezz 1 Amortization'!$T$4="Bi-Annual",EK$5='Mezz 1 Amortization'!$R$4),INDEX('Mezz 1 Amortization'!$B$19:$V$379,MATCH(DATE(EK$7,'Mezz 1 Amortization'!$R$4,31),'Mezz 1 Amortization'!$E$19:$E$379,0),MATCH('Mezz 1 Amortization'!$V$19,'Mezz 1 Amortization'!$B$19:$V$19,0)),IF(AND('Mezz 1 Amortization'!$T$4="Bi-Annual",EK$5='Mezz 1 Amortization'!$S$4),INDEX('Mezz 1 Amortization'!$B$19:$V$379,MATCH(DATE(EK$7,'Mezz 1 Amortization'!$S$4,31),'Mezz 1 Amortization'!$E$19:$E$379,0),MATCH('Mezz 1 Amortization'!$V$19,'Mezz 1 Amortization'!$B$19:$V$19,0)))))))))))</f>
        <v>0</v>
      </c>
      <c r="EL140" s="427">
        <f>IF('Financing Assumptions'!$P$8="No",0,IF(EL$9&lt;'Financing Assumptions'!$O$26,0,IF(AND('Mezz 1 Amortization'!$T$4&lt;&gt;"Monthly",EL9&lt;='Financing Assumptions'!$O$26),0,IF('Mezz 1 Amortization'!$T$4="Monthly",INDEX('Mezz 1 Amortization'!$B$19:$V$379,MATCH(EL$11,'Mezz 1 Amortization'!$E$19:$E$379,0),MATCH('Mezz 1 Amortization'!$V$19,'Mezz 1 Amortization'!$B$19:$V$19,0)),IF(AND('Mezz 1 Amortization'!$T$4="Bi-Annual",EL$5&lt;MIN('Mezz 1 Amortization'!$R$4,'Mezz 1 Amortization'!$S$4)),INDEX('Mezz 1 Amortization'!$B$19:$V$379,MATCH(DATE(EL$7-1,MAX('Mezz 1 Amortization'!$R$4,'Mezz 1 Amortization'!$S$4),31),'Mezz 1 Amortization'!$E$19:$E$379,0),MATCH('Mezz 1 Amortization'!$V$19,'Mezz 1 Amortization'!$B$19:$V$19,0)),IF(AND('Mezz 1 Amortization'!$T$4="Bi-Annual",EL$5&gt;MAX('Mezz 1 Amortization'!$R$4,'Mezz 1 Amortization'!$S$4)),INDEX('Mezz 1 Amortization'!$B$19:$V$379,MATCH(DATE(EL$7,MAX('Mezz 1 Amortization'!$R$4,'Mezz 1 Amortization'!$S$4),31),'Mezz 1 Amortization'!$E$19:$E$379,0),MATCH('Mezz 1 Amortization'!$V$19,'Mezz 1 Amortization'!$B$19:$V$19,0)),IF(AND('Mezz 1 Amortization'!$T$4="Bi-Annual",EL$5&gt;MIN('Mezz 1 Amortization'!$R$4,'Mezz 1 Amortization'!$S$4),EL$5&lt;MAX('Mezz 1 Amortization'!$R$4,'Mezz 1 Amortization'!$S$4)),INDEX('Mezz 1 Amortization'!$B$19:$V$379,MATCH(DATE(EL$7,MIN('Mezz 1 Amortization'!$R$4,'Mezz 1 Amortization'!$S$4),31),'Mezz 1 Amortization'!$E$19:$E$379,0),MATCH('Mezz 1 Amortization'!$V$19,'Mezz 1 Amortization'!$B$19:$V$19,0)),IF(AND('Mezz 1 Amortization'!$T$4="Bi-Annual",EL$5='Mezz 1 Amortization'!$R$4),INDEX('Mezz 1 Amortization'!$B$19:$V$379,MATCH(DATE(EL$7,'Mezz 1 Amortization'!$R$4,31),'Mezz 1 Amortization'!$E$19:$E$379,0),MATCH('Mezz 1 Amortization'!$V$19,'Mezz 1 Amortization'!$B$19:$V$19,0)),IF(AND('Mezz 1 Amortization'!$T$4="Bi-Annual",EL$5='Mezz 1 Amortization'!$S$4),INDEX('Mezz 1 Amortization'!$B$19:$V$379,MATCH(DATE(EL$7,'Mezz 1 Amortization'!$S$4,31),'Mezz 1 Amortization'!$E$19:$E$379,0),MATCH('Mezz 1 Amortization'!$V$19,'Mezz 1 Amortization'!$B$19:$V$19,0)))))))))))</f>
        <v>0</v>
      </c>
      <c r="EM140" s="427">
        <f>IF('Financing Assumptions'!$P$8="No",0,IF(EM$9&lt;'Financing Assumptions'!$O$26,0,IF(AND('Mezz 1 Amortization'!$T$4&lt;&gt;"Monthly",EM9&lt;='Financing Assumptions'!$O$26),0,IF('Mezz 1 Amortization'!$T$4="Monthly",INDEX('Mezz 1 Amortization'!$B$19:$V$379,MATCH(EM$11,'Mezz 1 Amortization'!$E$19:$E$379,0),MATCH('Mezz 1 Amortization'!$V$19,'Mezz 1 Amortization'!$B$19:$V$19,0)),IF(AND('Mezz 1 Amortization'!$T$4="Bi-Annual",EM$5&lt;MIN('Mezz 1 Amortization'!$R$4,'Mezz 1 Amortization'!$S$4)),INDEX('Mezz 1 Amortization'!$B$19:$V$379,MATCH(DATE(EM$7-1,MAX('Mezz 1 Amortization'!$R$4,'Mezz 1 Amortization'!$S$4),31),'Mezz 1 Amortization'!$E$19:$E$379,0),MATCH('Mezz 1 Amortization'!$V$19,'Mezz 1 Amortization'!$B$19:$V$19,0)),IF(AND('Mezz 1 Amortization'!$T$4="Bi-Annual",EM$5&gt;MAX('Mezz 1 Amortization'!$R$4,'Mezz 1 Amortization'!$S$4)),INDEX('Mezz 1 Amortization'!$B$19:$V$379,MATCH(DATE(EM$7,MAX('Mezz 1 Amortization'!$R$4,'Mezz 1 Amortization'!$S$4),31),'Mezz 1 Amortization'!$E$19:$E$379,0),MATCH('Mezz 1 Amortization'!$V$19,'Mezz 1 Amortization'!$B$19:$V$19,0)),IF(AND('Mezz 1 Amortization'!$T$4="Bi-Annual",EM$5&gt;MIN('Mezz 1 Amortization'!$R$4,'Mezz 1 Amortization'!$S$4),EM$5&lt;MAX('Mezz 1 Amortization'!$R$4,'Mezz 1 Amortization'!$S$4)),INDEX('Mezz 1 Amortization'!$B$19:$V$379,MATCH(DATE(EM$7,MIN('Mezz 1 Amortization'!$R$4,'Mezz 1 Amortization'!$S$4),31),'Mezz 1 Amortization'!$E$19:$E$379,0),MATCH('Mezz 1 Amortization'!$V$19,'Mezz 1 Amortization'!$B$19:$V$19,0)),IF(AND('Mezz 1 Amortization'!$T$4="Bi-Annual",EM$5='Mezz 1 Amortization'!$R$4),INDEX('Mezz 1 Amortization'!$B$19:$V$379,MATCH(DATE(EM$7,'Mezz 1 Amortization'!$R$4,31),'Mezz 1 Amortization'!$E$19:$E$379,0),MATCH('Mezz 1 Amortization'!$V$19,'Mezz 1 Amortization'!$B$19:$V$19,0)),IF(AND('Mezz 1 Amortization'!$T$4="Bi-Annual",EM$5='Mezz 1 Amortization'!$S$4),INDEX('Mezz 1 Amortization'!$B$19:$V$379,MATCH(DATE(EM$7,'Mezz 1 Amortization'!$S$4,31),'Mezz 1 Amortization'!$E$19:$E$379,0),MATCH('Mezz 1 Amortization'!$V$19,'Mezz 1 Amortization'!$B$19:$V$19,0)))))))))))</f>
        <v>0</v>
      </c>
      <c r="EN140" s="427">
        <f>IF('Financing Assumptions'!$P$8="No",0,IF(EN$9&lt;'Financing Assumptions'!$O$26,0,IF(AND('Mezz 1 Amortization'!$T$4&lt;&gt;"Monthly",EN9&lt;='Financing Assumptions'!$O$26),0,IF('Mezz 1 Amortization'!$T$4="Monthly",INDEX('Mezz 1 Amortization'!$B$19:$V$379,MATCH(EN$11,'Mezz 1 Amortization'!$E$19:$E$379,0),MATCH('Mezz 1 Amortization'!$V$19,'Mezz 1 Amortization'!$B$19:$V$19,0)),IF(AND('Mezz 1 Amortization'!$T$4="Bi-Annual",EN$5&lt;MIN('Mezz 1 Amortization'!$R$4,'Mezz 1 Amortization'!$S$4)),INDEX('Mezz 1 Amortization'!$B$19:$V$379,MATCH(DATE(EN$7-1,MAX('Mezz 1 Amortization'!$R$4,'Mezz 1 Amortization'!$S$4),31),'Mezz 1 Amortization'!$E$19:$E$379,0),MATCH('Mezz 1 Amortization'!$V$19,'Mezz 1 Amortization'!$B$19:$V$19,0)),IF(AND('Mezz 1 Amortization'!$T$4="Bi-Annual",EN$5&gt;MAX('Mezz 1 Amortization'!$R$4,'Mezz 1 Amortization'!$S$4)),INDEX('Mezz 1 Amortization'!$B$19:$V$379,MATCH(DATE(EN$7,MAX('Mezz 1 Amortization'!$R$4,'Mezz 1 Amortization'!$S$4),31),'Mezz 1 Amortization'!$E$19:$E$379,0),MATCH('Mezz 1 Amortization'!$V$19,'Mezz 1 Amortization'!$B$19:$V$19,0)),IF(AND('Mezz 1 Amortization'!$T$4="Bi-Annual",EN$5&gt;MIN('Mezz 1 Amortization'!$R$4,'Mezz 1 Amortization'!$S$4),EN$5&lt;MAX('Mezz 1 Amortization'!$R$4,'Mezz 1 Amortization'!$S$4)),INDEX('Mezz 1 Amortization'!$B$19:$V$379,MATCH(DATE(EN$7,MIN('Mezz 1 Amortization'!$R$4,'Mezz 1 Amortization'!$S$4),31),'Mezz 1 Amortization'!$E$19:$E$379,0),MATCH('Mezz 1 Amortization'!$V$19,'Mezz 1 Amortization'!$B$19:$V$19,0)),IF(AND('Mezz 1 Amortization'!$T$4="Bi-Annual",EN$5='Mezz 1 Amortization'!$R$4),INDEX('Mezz 1 Amortization'!$B$19:$V$379,MATCH(DATE(EN$7,'Mezz 1 Amortization'!$R$4,31),'Mezz 1 Amortization'!$E$19:$E$379,0),MATCH('Mezz 1 Amortization'!$V$19,'Mezz 1 Amortization'!$B$19:$V$19,0)),IF(AND('Mezz 1 Amortization'!$T$4="Bi-Annual",EN$5='Mezz 1 Amortization'!$S$4),INDEX('Mezz 1 Amortization'!$B$19:$V$379,MATCH(DATE(EN$7,'Mezz 1 Amortization'!$S$4,31),'Mezz 1 Amortization'!$E$19:$E$379,0),MATCH('Mezz 1 Amortization'!$V$19,'Mezz 1 Amortization'!$B$19:$V$19,0)))))))))))</f>
        <v>0</v>
      </c>
      <c r="EO140" s="427">
        <f>IF('Financing Assumptions'!$P$8="No",0,IF(EO$9&lt;'Financing Assumptions'!$O$26,0,IF(AND('Mezz 1 Amortization'!$T$4&lt;&gt;"Monthly",EO9&lt;='Financing Assumptions'!$O$26),0,IF('Mezz 1 Amortization'!$T$4="Monthly",INDEX('Mezz 1 Amortization'!$B$19:$V$379,MATCH(EO$11,'Mezz 1 Amortization'!$E$19:$E$379,0),MATCH('Mezz 1 Amortization'!$V$19,'Mezz 1 Amortization'!$B$19:$V$19,0)),IF(AND('Mezz 1 Amortization'!$T$4="Bi-Annual",EO$5&lt;MIN('Mezz 1 Amortization'!$R$4,'Mezz 1 Amortization'!$S$4)),INDEX('Mezz 1 Amortization'!$B$19:$V$379,MATCH(DATE(EO$7-1,MAX('Mezz 1 Amortization'!$R$4,'Mezz 1 Amortization'!$S$4),31),'Mezz 1 Amortization'!$E$19:$E$379,0),MATCH('Mezz 1 Amortization'!$V$19,'Mezz 1 Amortization'!$B$19:$V$19,0)),IF(AND('Mezz 1 Amortization'!$T$4="Bi-Annual",EO$5&gt;MAX('Mezz 1 Amortization'!$R$4,'Mezz 1 Amortization'!$S$4)),INDEX('Mezz 1 Amortization'!$B$19:$V$379,MATCH(DATE(EO$7,MAX('Mezz 1 Amortization'!$R$4,'Mezz 1 Amortization'!$S$4),31),'Mezz 1 Amortization'!$E$19:$E$379,0),MATCH('Mezz 1 Amortization'!$V$19,'Mezz 1 Amortization'!$B$19:$V$19,0)),IF(AND('Mezz 1 Amortization'!$T$4="Bi-Annual",EO$5&gt;MIN('Mezz 1 Amortization'!$R$4,'Mezz 1 Amortization'!$S$4),EO$5&lt;MAX('Mezz 1 Amortization'!$R$4,'Mezz 1 Amortization'!$S$4)),INDEX('Mezz 1 Amortization'!$B$19:$V$379,MATCH(DATE(EO$7,MIN('Mezz 1 Amortization'!$R$4,'Mezz 1 Amortization'!$S$4),31),'Mezz 1 Amortization'!$E$19:$E$379,0),MATCH('Mezz 1 Amortization'!$V$19,'Mezz 1 Amortization'!$B$19:$V$19,0)),IF(AND('Mezz 1 Amortization'!$T$4="Bi-Annual",EO$5='Mezz 1 Amortization'!$R$4),INDEX('Mezz 1 Amortization'!$B$19:$V$379,MATCH(DATE(EO$7,'Mezz 1 Amortization'!$R$4,31),'Mezz 1 Amortization'!$E$19:$E$379,0),MATCH('Mezz 1 Amortization'!$V$19,'Mezz 1 Amortization'!$B$19:$V$19,0)),IF(AND('Mezz 1 Amortization'!$T$4="Bi-Annual",EO$5='Mezz 1 Amortization'!$S$4),INDEX('Mezz 1 Amortization'!$B$19:$V$379,MATCH(DATE(EO$7,'Mezz 1 Amortization'!$S$4,31),'Mezz 1 Amortization'!$E$19:$E$379,0),MATCH('Mezz 1 Amortization'!$V$19,'Mezz 1 Amortization'!$B$19:$V$19,0)))))))))))</f>
        <v>0</v>
      </c>
      <c r="EP140" s="427">
        <f>IF('Financing Assumptions'!$P$8="No",0,IF(EP$9&lt;'Financing Assumptions'!$O$26,0,IF(AND('Mezz 1 Amortization'!$T$4&lt;&gt;"Monthly",EP9&lt;='Financing Assumptions'!$O$26),0,IF('Mezz 1 Amortization'!$T$4="Monthly",INDEX('Mezz 1 Amortization'!$B$19:$V$379,MATCH(EP$11,'Mezz 1 Amortization'!$E$19:$E$379,0),MATCH('Mezz 1 Amortization'!$V$19,'Mezz 1 Amortization'!$B$19:$V$19,0)),IF(AND('Mezz 1 Amortization'!$T$4="Bi-Annual",EP$5&lt;MIN('Mezz 1 Amortization'!$R$4,'Mezz 1 Amortization'!$S$4)),INDEX('Mezz 1 Amortization'!$B$19:$V$379,MATCH(DATE(EP$7-1,MAX('Mezz 1 Amortization'!$R$4,'Mezz 1 Amortization'!$S$4),31),'Mezz 1 Amortization'!$E$19:$E$379,0),MATCH('Mezz 1 Amortization'!$V$19,'Mezz 1 Amortization'!$B$19:$V$19,0)),IF(AND('Mezz 1 Amortization'!$T$4="Bi-Annual",EP$5&gt;MAX('Mezz 1 Amortization'!$R$4,'Mezz 1 Amortization'!$S$4)),INDEX('Mezz 1 Amortization'!$B$19:$V$379,MATCH(DATE(EP$7,MAX('Mezz 1 Amortization'!$R$4,'Mezz 1 Amortization'!$S$4),31),'Mezz 1 Amortization'!$E$19:$E$379,0),MATCH('Mezz 1 Amortization'!$V$19,'Mezz 1 Amortization'!$B$19:$V$19,0)),IF(AND('Mezz 1 Amortization'!$T$4="Bi-Annual",EP$5&gt;MIN('Mezz 1 Amortization'!$R$4,'Mezz 1 Amortization'!$S$4),EP$5&lt;MAX('Mezz 1 Amortization'!$R$4,'Mezz 1 Amortization'!$S$4)),INDEX('Mezz 1 Amortization'!$B$19:$V$379,MATCH(DATE(EP$7,MIN('Mezz 1 Amortization'!$R$4,'Mezz 1 Amortization'!$S$4),31),'Mezz 1 Amortization'!$E$19:$E$379,0),MATCH('Mezz 1 Amortization'!$V$19,'Mezz 1 Amortization'!$B$19:$V$19,0)),IF(AND('Mezz 1 Amortization'!$T$4="Bi-Annual",EP$5='Mezz 1 Amortization'!$R$4),INDEX('Mezz 1 Amortization'!$B$19:$V$379,MATCH(DATE(EP$7,'Mezz 1 Amortization'!$R$4,31),'Mezz 1 Amortization'!$E$19:$E$379,0),MATCH('Mezz 1 Amortization'!$V$19,'Mezz 1 Amortization'!$B$19:$V$19,0)),IF(AND('Mezz 1 Amortization'!$T$4="Bi-Annual",EP$5='Mezz 1 Amortization'!$S$4),INDEX('Mezz 1 Amortization'!$B$19:$V$379,MATCH(DATE(EP$7,'Mezz 1 Amortization'!$S$4,31),'Mezz 1 Amortization'!$E$19:$E$379,0),MATCH('Mezz 1 Amortization'!$V$19,'Mezz 1 Amortization'!$B$19:$V$19,0)))))))))))</f>
        <v>0</v>
      </c>
      <c r="EQ140" s="427">
        <f>IF('Financing Assumptions'!$P$8="No",0,IF(EQ$9&lt;'Financing Assumptions'!$O$26,0,IF(AND('Mezz 1 Amortization'!$T$4&lt;&gt;"Monthly",EQ9&lt;='Financing Assumptions'!$O$26),0,IF('Mezz 1 Amortization'!$T$4="Monthly",INDEX('Mezz 1 Amortization'!$B$19:$V$379,MATCH(EQ$11,'Mezz 1 Amortization'!$E$19:$E$379,0),MATCH('Mezz 1 Amortization'!$V$19,'Mezz 1 Amortization'!$B$19:$V$19,0)),IF(AND('Mezz 1 Amortization'!$T$4="Bi-Annual",EQ$5&lt;MIN('Mezz 1 Amortization'!$R$4,'Mezz 1 Amortization'!$S$4)),INDEX('Mezz 1 Amortization'!$B$19:$V$379,MATCH(DATE(EQ$7-1,MAX('Mezz 1 Amortization'!$R$4,'Mezz 1 Amortization'!$S$4),31),'Mezz 1 Amortization'!$E$19:$E$379,0),MATCH('Mezz 1 Amortization'!$V$19,'Mezz 1 Amortization'!$B$19:$V$19,0)),IF(AND('Mezz 1 Amortization'!$T$4="Bi-Annual",EQ$5&gt;MAX('Mezz 1 Amortization'!$R$4,'Mezz 1 Amortization'!$S$4)),INDEX('Mezz 1 Amortization'!$B$19:$V$379,MATCH(DATE(EQ$7,MAX('Mezz 1 Amortization'!$R$4,'Mezz 1 Amortization'!$S$4),31),'Mezz 1 Amortization'!$E$19:$E$379,0),MATCH('Mezz 1 Amortization'!$V$19,'Mezz 1 Amortization'!$B$19:$V$19,0)),IF(AND('Mezz 1 Amortization'!$T$4="Bi-Annual",EQ$5&gt;MIN('Mezz 1 Amortization'!$R$4,'Mezz 1 Amortization'!$S$4),EQ$5&lt;MAX('Mezz 1 Amortization'!$R$4,'Mezz 1 Amortization'!$S$4)),INDEX('Mezz 1 Amortization'!$B$19:$V$379,MATCH(DATE(EQ$7,MIN('Mezz 1 Amortization'!$R$4,'Mezz 1 Amortization'!$S$4),31),'Mezz 1 Amortization'!$E$19:$E$379,0),MATCH('Mezz 1 Amortization'!$V$19,'Mezz 1 Amortization'!$B$19:$V$19,0)),IF(AND('Mezz 1 Amortization'!$T$4="Bi-Annual",EQ$5='Mezz 1 Amortization'!$R$4),INDEX('Mezz 1 Amortization'!$B$19:$V$379,MATCH(DATE(EQ$7,'Mezz 1 Amortization'!$R$4,31),'Mezz 1 Amortization'!$E$19:$E$379,0),MATCH('Mezz 1 Amortization'!$V$19,'Mezz 1 Amortization'!$B$19:$V$19,0)),IF(AND('Mezz 1 Amortization'!$T$4="Bi-Annual",EQ$5='Mezz 1 Amortization'!$S$4),INDEX('Mezz 1 Amortization'!$B$19:$V$379,MATCH(DATE(EQ$7,'Mezz 1 Amortization'!$S$4,31),'Mezz 1 Amortization'!$E$19:$E$379,0),MATCH('Mezz 1 Amortization'!$V$19,'Mezz 1 Amortization'!$B$19:$V$19,0)))))))))))</f>
        <v>0</v>
      </c>
      <c r="ER140" s="427">
        <f>IF('Financing Assumptions'!$P$8="No",0,IF(ER$9&lt;'Financing Assumptions'!$O$26,0,IF(AND('Mezz 1 Amortization'!$T$4&lt;&gt;"Monthly",ER9&lt;='Financing Assumptions'!$O$26),0,IF('Mezz 1 Amortization'!$T$4="Monthly",INDEX('Mezz 1 Amortization'!$B$19:$V$379,MATCH(ER$11,'Mezz 1 Amortization'!$E$19:$E$379,0),MATCH('Mezz 1 Amortization'!$V$19,'Mezz 1 Amortization'!$B$19:$V$19,0)),IF(AND('Mezz 1 Amortization'!$T$4="Bi-Annual",ER$5&lt;MIN('Mezz 1 Amortization'!$R$4,'Mezz 1 Amortization'!$S$4)),INDEX('Mezz 1 Amortization'!$B$19:$V$379,MATCH(DATE(ER$7-1,MAX('Mezz 1 Amortization'!$R$4,'Mezz 1 Amortization'!$S$4),31),'Mezz 1 Amortization'!$E$19:$E$379,0),MATCH('Mezz 1 Amortization'!$V$19,'Mezz 1 Amortization'!$B$19:$V$19,0)),IF(AND('Mezz 1 Amortization'!$T$4="Bi-Annual",ER$5&gt;MAX('Mezz 1 Amortization'!$R$4,'Mezz 1 Amortization'!$S$4)),INDEX('Mezz 1 Amortization'!$B$19:$V$379,MATCH(DATE(ER$7,MAX('Mezz 1 Amortization'!$R$4,'Mezz 1 Amortization'!$S$4),31),'Mezz 1 Amortization'!$E$19:$E$379,0),MATCH('Mezz 1 Amortization'!$V$19,'Mezz 1 Amortization'!$B$19:$V$19,0)),IF(AND('Mezz 1 Amortization'!$T$4="Bi-Annual",ER$5&gt;MIN('Mezz 1 Amortization'!$R$4,'Mezz 1 Amortization'!$S$4),ER$5&lt;MAX('Mezz 1 Amortization'!$R$4,'Mezz 1 Amortization'!$S$4)),INDEX('Mezz 1 Amortization'!$B$19:$V$379,MATCH(DATE(ER$7,MIN('Mezz 1 Amortization'!$R$4,'Mezz 1 Amortization'!$S$4),31),'Mezz 1 Amortization'!$E$19:$E$379,0),MATCH('Mezz 1 Amortization'!$V$19,'Mezz 1 Amortization'!$B$19:$V$19,0)),IF(AND('Mezz 1 Amortization'!$T$4="Bi-Annual",ER$5='Mezz 1 Amortization'!$R$4),INDEX('Mezz 1 Amortization'!$B$19:$V$379,MATCH(DATE(ER$7,'Mezz 1 Amortization'!$R$4,31),'Mezz 1 Amortization'!$E$19:$E$379,0),MATCH('Mezz 1 Amortization'!$V$19,'Mezz 1 Amortization'!$B$19:$V$19,0)),IF(AND('Mezz 1 Amortization'!$T$4="Bi-Annual",ER$5='Mezz 1 Amortization'!$S$4),INDEX('Mezz 1 Amortization'!$B$19:$V$379,MATCH(DATE(ER$7,'Mezz 1 Amortization'!$S$4,31),'Mezz 1 Amortization'!$E$19:$E$379,0),MATCH('Mezz 1 Amortization'!$V$19,'Mezz 1 Amortization'!$B$19:$V$19,0)))))))))))</f>
        <v>0</v>
      </c>
      <c r="ES140" s="427">
        <f>IF('Financing Assumptions'!$P$8="No",0,IF(ES$9&lt;'Financing Assumptions'!$O$26,0,IF(AND('Mezz 1 Amortization'!$T$4&lt;&gt;"Monthly",ES9&lt;='Financing Assumptions'!$O$26),0,IF('Mezz 1 Amortization'!$T$4="Monthly",INDEX('Mezz 1 Amortization'!$B$19:$V$379,MATCH(ES$11,'Mezz 1 Amortization'!$E$19:$E$379,0),MATCH('Mezz 1 Amortization'!$V$19,'Mezz 1 Amortization'!$B$19:$V$19,0)),IF(AND('Mezz 1 Amortization'!$T$4="Bi-Annual",ES$5&lt;MIN('Mezz 1 Amortization'!$R$4,'Mezz 1 Amortization'!$S$4)),INDEX('Mezz 1 Amortization'!$B$19:$V$379,MATCH(DATE(ES$7-1,MAX('Mezz 1 Amortization'!$R$4,'Mezz 1 Amortization'!$S$4),31),'Mezz 1 Amortization'!$E$19:$E$379,0),MATCH('Mezz 1 Amortization'!$V$19,'Mezz 1 Amortization'!$B$19:$V$19,0)),IF(AND('Mezz 1 Amortization'!$T$4="Bi-Annual",ES$5&gt;MAX('Mezz 1 Amortization'!$R$4,'Mezz 1 Amortization'!$S$4)),INDEX('Mezz 1 Amortization'!$B$19:$V$379,MATCH(DATE(ES$7,MAX('Mezz 1 Amortization'!$R$4,'Mezz 1 Amortization'!$S$4),31),'Mezz 1 Amortization'!$E$19:$E$379,0),MATCH('Mezz 1 Amortization'!$V$19,'Mezz 1 Amortization'!$B$19:$V$19,0)),IF(AND('Mezz 1 Amortization'!$T$4="Bi-Annual",ES$5&gt;MIN('Mezz 1 Amortization'!$R$4,'Mezz 1 Amortization'!$S$4),ES$5&lt;MAX('Mezz 1 Amortization'!$R$4,'Mezz 1 Amortization'!$S$4)),INDEX('Mezz 1 Amortization'!$B$19:$V$379,MATCH(DATE(ES$7,MIN('Mezz 1 Amortization'!$R$4,'Mezz 1 Amortization'!$S$4),31),'Mezz 1 Amortization'!$E$19:$E$379,0),MATCH('Mezz 1 Amortization'!$V$19,'Mezz 1 Amortization'!$B$19:$V$19,0)),IF(AND('Mezz 1 Amortization'!$T$4="Bi-Annual",ES$5='Mezz 1 Amortization'!$R$4),INDEX('Mezz 1 Amortization'!$B$19:$V$379,MATCH(DATE(ES$7,'Mezz 1 Amortization'!$R$4,31),'Mezz 1 Amortization'!$E$19:$E$379,0),MATCH('Mezz 1 Amortization'!$V$19,'Mezz 1 Amortization'!$B$19:$V$19,0)),IF(AND('Mezz 1 Amortization'!$T$4="Bi-Annual",ES$5='Mezz 1 Amortization'!$S$4),INDEX('Mezz 1 Amortization'!$B$19:$V$379,MATCH(DATE(ES$7,'Mezz 1 Amortization'!$S$4,31),'Mezz 1 Amortization'!$E$19:$E$379,0),MATCH('Mezz 1 Amortization'!$V$19,'Mezz 1 Amortization'!$B$19:$V$19,0)))))))))))</f>
        <v>0</v>
      </c>
      <c r="ET140" s="427">
        <f>IF('Financing Assumptions'!$P$8="No",0,IF(ET$9&lt;'Financing Assumptions'!$O$26,0,IF(AND('Mezz 1 Amortization'!$T$4&lt;&gt;"Monthly",ET9&lt;='Financing Assumptions'!$O$26),0,IF('Mezz 1 Amortization'!$T$4="Monthly",INDEX('Mezz 1 Amortization'!$B$19:$V$379,MATCH(ET$11,'Mezz 1 Amortization'!$E$19:$E$379,0),MATCH('Mezz 1 Amortization'!$V$19,'Mezz 1 Amortization'!$B$19:$V$19,0)),IF(AND('Mezz 1 Amortization'!$T$4="Bi-Annual",ET$5&lt;MIN('Mezz 1 Amortization'!$R$4,'Mezz 1 Amortization'!$S$4)),INDEX('Mezz 1 Amortization'!$B$19:$V$379,MATCH(DATE(ET$7-1,MAX('Mezz 1 Amortization'!$R$4,'Mezz 1 Amortization'!$S$4),31),'Mezz 1 Amortization'!$E$19:$E$379,0),MATCH('Mezz 1 Amortization'!$V$19,'Mezz 1 Amortization'!$B$19:$V$19,0)),IF(AND('Mezz 1 Amortization'!$T$4="Bi-Annual",ET$5&gt;MAX('Mezz 1 Amortization'!$R$4,'Mezz 1 Amortization'!$S$4)),INDEX('Mezz 1 Amortization'!$B$19:$V$379,MATCH(DATE(ET$7,MAX('Mezz 1 Amortization'!$R$4,'Mezz 1 Amortization'!$S$4),31),'Mezz 1 Amortization'!$E$19:$E$379,0),MATCH('Mezz 1 Amortization'!$V$19,'Mezz 1 Amortization'!$B$19:$V$19,0)),IF(AND('Mezz 1 Amortization'!$T$4="Bi-Annual",ET$5&gt;MIN('Mezz 1 Amortization'!$R$4,'Mezz 1 Amortization'!$S$4),ET$5&lt;MAX('Mezz 1 Amortization'!$R$4,'Mezz 1 Amortization'!$S$4)),INDEX('Mezz 1 Amortization'!$B$19:$V$379,MATCH(DATE(ET$7,MIN('Mezz 1 Amortization'!$R$4,'Mezz 1 Amortization'!$S$4),31),'Mezz 1 Amortization'!$E$19:$E$379,0),MATCH('Mezz 1 Amortization'!$V$19,'Mezz 1 Amortization'!$B$19:$V$19,0)),IF(AND('Mezz 1 Amortization'!$T$4="Bi-Annual",ET$5='Mezz 1 Amortization'!$R$4),INDEX('Mezz 1 Amortization'!$B$19:$V$379,MATCH(DATE(ET$7,'Mezz 1 Amortization'!$R$4,31),'Mezz 1 Amortization'!$E$19:$E$379,0),MATCH('Mezz 1 Amortization'!$V$19,'Mezz 1 Amortization'!$B$19:$V$19,0)),IF(AND('Mezz 1 Amortization'!$T$4="Bi-Annual",ET$5='Mezz 1 Amortization'!$S$4),INDEX('Mezz 1 Amortization'!$B$19:$V$379,MATCH(DATE(ET$7,'Mezz 1 Amortization'!$S$4,31),'Mezz 1 Amortization'!$E$19:$E$379,0),MATCH('Mezz 1 Amortization'!$V$19,'Mezz 1 Amortization'!$B$19:$V$19,0)))))))))))</f>
        <v>0</v>
      </c>
      <c r="EU140" s="427">
        <f>IF('Financing Assumptions'!$P$8="No",0,IF(EU$9&lt;'Financing Assumptions'!$O$26,0,IF(AND('Mezz 1 Amortization'!$T$4&lt;&gt;"Monthly",EU9&lt;='Financing Assumptions'!$O$26),0,IF('Mezz 1 Amortization'!$T$4="Monthly",INDEX('Mezz 1 Amortization'!$B$19:$V$379,MATCH(EU$11,'Mezz 1 Amortization'!$E$19:$E$379,0),MATCH('Mezz 1 Amortization'!$V$19,'Mezz 1 Amortization'!$B$19:$V$19,0)),IF(AND('Mezz 1 Amortization'!$T$4="Bi-Annual",EU$5&lt;MIN('Mezz 1 Amortization'!$R$4,'Mezz 1 Amortization'!$S$4)),INDEX('Mezz 1 Amortization'!$B$19:$V$379,MATCH(DATE(EU$7-1,MAX('Mezz 1 Amortization'!$R$4,'Mezz 1 Amortization'!$S$4),31),'Mezz 1 Amortization'!$E$19:$E$379,0),MATCH('Mezz 1 Amortization'!$V$19,'Mezz 1 Amortization'!$B$19:$V$19,0)),IF(AND('Mezz 1 Amortization'!$T$4="Bi-Annual",EU$5&gt;MAX('Mezz 1 Amortization'!$R$4,'Mezz 1 Amortization'!$S$4)),INDEX('Mezz 1 Amortization'!$B$19:$V$379,MATCH(DATE(EU$7,MAX('Mezz 1 Amortization'!$R$4,'Mezz 1 Amortization'!$S$4),31),'Mezz 1 Amortization'!$E$19:$E$379,0),MATCH('Mezz 1 Amortization'!$V$19,'Mezz 1 Amortization'!$B$19:$V$19,0)),IF(AND('Mezz 1 Amortization'!$T$4="Bi-Annual",EU$5&gt;MIN('Mezz 1 Amortization'!$R$4,'Mezz 1 Amortization'!$S$4),EU$5&lt;MAX('Mezz 1 Amortization'!$R$4,'Mezz 1 Amortization'!$S$4)),INDEX('Mezz 1 Amortization'!$B$19:$V$379,MATCH(DATE(EU$7,MIN('Mezz 1 Amortization'!$R$4,'Mezz 1 Amortization'!$S$4),31),'Mezz 1 Amortization'!$E$19:$E$379,0),MATCH('Mezz 1 Amortization'!$V$19,'Mezz 1 Amortization'!$B$19:$V$19,0)),IF(AND('Mezz 1 Amortization'!$T$4="Bi-Annual",EU$5='Mezz 1 Amortization'!$R$4),INDEX('Mezz 1 Amortization'!$B$19:$V$379,MATCH(DATE(EU$7,'Mezz 1 Amortization'!$R$4,31),'Mezz 1 Amortization'!$E$19:$E$379,0),MATCH('Mezz 1 Amortization'!$V$19,'Mezz 1 Amortization'!$B$19:$V$19,0)),IF(AND('Mezz 1 Amortization'!$T$4="Bi-Annual",EU$5='Mezz 1 Amortization'!$S$4),INDEX('Mezz 1 Amortization'!$B$19:$V$379,MATCH(DATE(EU$7,'Mezz 1 Amortization'!$S$4,31),'Mezz 1 Amortization'!$E$19:$E$379,0),MATCH('Mezz 1 Amortization'!$V$19,'Mezz 1 Amortization'!$B$19:$V$19,0)))))))))))</f>
        <v>0</v>
      </c>
      <c r="EV140" s="427">
        <f>IF('Financing Assumptions'!$P$8="No",0,IF(EV$9&lt;'Financing Assumptions'!$O$26,0,IF(AND('Mezz 1 Amortization'!$T$4&lt;&gt;"Monthly",EV9&lt;='Financing Assumptions'!$O$26),0,IF('Mezz 1 Amortization'!$T$4="Monthly",INDEX('Mezz 1 Amortization'!$B$19:$V$379,MATCH(EV$11,'Mezz 1 Amortization'!$E$19:$E$379,0),MATCH('Mezz 1 Amortization'!$V$19,'Mezz 1 Amortization'!$B$19:$V$19,0)),IF(AND('Mezz 1 Amortization'!$T$4="Bi-Annual",EV$5&lt;MIN('Mezz 1 Amortization'!$R$4,'Mezz 1 Amortization'!$S$4)),INDEX('Mezz 1 Amortization'!$B$19:$V$379,MATCH(DATE(EV$7-1,MAX('Mezz 1 Amortization'!$R$4,'Mezz 1 Amortization'!$S$4),31),'Mezz 1 Amortization'!$E$19:$E$379,0),MATCH('Mezz 1 Amortization'!$V$19,'Mezz 1 Amortization'!$B$19:$V$19,0)),IF(AND('Mezz 1 Amortization'!$T$4="Bi-Annual",EV$5&gt;MAX('Mezz 1 Amortization'!$R$4,'Mezz 1 Amortization'!$S$4)),INDEX('Mezz 1 Amortization'!$B$19:$V$379,MATCH(DATE(EV$7,MAX('Mezz 1 Amortization'!$R$4,'Mezz 1 Amortization'!$S$4),31),'Mezz 1 Amortization'!$E$19:$E$379,0),MATCH('Mezz 1 Amortization'!$V$19,'Mezz 1 Amortization'!$B$19:$V$19,0)),IF(AND('Mezz 1 Amortization'!$T$4="Bi-Annual",EV$5&gt;MIN('Mezz 1 Amortization'!$R$4,'Mezz 1 Amortization'!$S$4),EV$5&lt;MAX('Mezz 1 Amortization'!$R$4,'Mezz 1 Amortization'!$S$4)),INDEX('Mezz 1 Amortization'!$B$19:$V$379,MATCH(DATE(EV$7,MIN('Mezz 1 Amortization'!$R$4,'Mezz 1 Amortization'!$S$4),31),'Mezz 1 Amortization'!$E$19:$E$379,0),MATCH('Mezz 1 Amortization'!$V$19,'Mezz 1 Amortization'!$B$19:$V$19,0)),IF(AND('Mezz 1 Amortization'!$T$4="Bi-Annual",EV$5='Mezz 1 Amortization'!$R$4),INDEX('Mezz 1 Amortization'!$B$19:$V$379,MATCH(DATE(EV$7,'Mezz 1 Amortization'!$R$4,31),'Mezz 1 Amortization'!$E$19:$E$379,0),MATCH('Mezz 1 Amortization'!$V$19,'Mezz 1 Amortization'!$B$19:$V$19,0)),IF(AND('Mezz 1 Amortization'!$T$4="Bi-Annual",EV$5='Mezz 1 Amortization'!$S$4),INDEX('Mezz 1 Amortization'!$B$19:$V$379,MATCH(DATE(EV$7,'Mezz 1 Amortization'!$S$4,31),'Mezz 1 Amortization'!$E$19:$E$379,0),MATCH('Mezz 1 Amortization'!$V$19,'Mezz 1 Amortization'!$B$19:$V$19,0)))))))))))</f>
        <v>0</v>
      </c>
      <c r="EW140" s="427">
        <f>IF('Financing Assumptions'!$P$8="No",0,IF(EW$9&lt;'Financing Assumptions'!$O$26,0,IF(AND('Mezz 1 Amortization'!$T$4&lt;&gt;"Monthly",EW9&lt;='Financing Assumptions'!$O$26),0,IF('Mezz 1 Amortization'!$T$4="Monthly",INDEX('Mezz 1 Amortization'!$B$19:$V$379,MATCH(EW$11,'Mezz 1 Amortization'!$E$19:$E$379,0),MATCH('Mezz 1 Amortization'!$V$19,'Mezz 1 Amortization'!$B$19:$V$19,0)),IF(AND('Mezz 1 Amortization'!$T$4="Bi-Annual",EW$5&lt;MIN('Mezz 1 Amortization'!$R$4,'Mezz 1 Amortization'!$S$4)),INDEX('Mezz 1 Amortization'!$B$19:$V$379,MATCH(DATE(EW$7-1,MAX('Mezz 1 Amortization'!$R$4,'Mezz 1 Amortization'!$S$4),31),'Mezz 1 Amortization'!$E$19:$E$379,0),MATCH('Mezz 1 Amortization'!$V$19,'Mezz 1 Amortization'!$B$19:$V$19,0)),IF(AND('Mezz 1 Amortization'!$T$4="Bi-Annual",EW$5&gt;MAX('Mezz 1 Amortization'!$R$4,'Mezz 1 Amortization'!$S$4)),INDEX('Mezz 1 Amortization'!$B$19:$V$379,MATCH(DATE(EW$7,MAX('Mezz 1 Amortization'!$R$4,'Mezz 1 Amortization'!$S$4),31),'Mezz 1 Amortization'!$E$19:$E$379,0),MATCH('Mezz 1 Amortization'!$V$19,'Mezz 1 Amortization'!$B$19:$V$19,0)),IF(AND('Mezz 1 Amortization'!$T$4="Bi-Annual",EW$5&gt;MIN('Mezz 1 Amortization'!$R$4,'Mezz 1 Amortization'!$S$4),EW$5&lt;MAX('Mezz 1 Amortization'!$R$4,'Mezz 1 Amortization'!$S$4)),INDEX('Mezz 1 Amortization'!$B$19:$V$379,MATCH(DATE(EW$7,MIN('Mezz 1 Amortization'!$R$4,'Mezz 1 Amortization'!$S$4),31),'Mezz 1 Amortization'!$E$19:$E$379,0),MATCH('Mezz 1 Amortization'!$V$19,'Mezz 1 Amortization'!$B$19:$V$19,0)),IF(AND('Mezz 1 Amortization'!$T$4="Bi-Annual",EW$5='Mezz 1 Amortization'!$R$4),INDEX('Mezz 1 Amortization'!$B$19:$V$379,MATCH(DATE(EW$7,'Mezz 1 Amortization'!$R$4,31),'Mezz 1 Amortization'!$E$19:$E$379,0),MATCH('Mezz 1 Amortization'!$V$19,'Mezz 1 Amortization'!$B$19:$V$19,0)),IF(AND('Mezz 1 Amortization'!$T$4="Bi-Annual",EW$5='Mezz 1 Amortization'!$S$4),INDEX('Mezz 1 Amortization'!$B$19:$V$379,MATCH(DATE(EW$7,'Mezz 1 Amortization'!$S$4,31),'Mezz 1 Amortization'!$E$19:$E$379,0),MATCH('Mezz 1 Amortization'!$V$19,'Mezz 1 Amortization'!$B$19:$V$19,0)))))))))))</f>
        <v>0</v>
      </c>
      <c r="EX140" s="427">
        <f>IF('Financing Assumptions'!$P$8="No",0,IF(EX$9&lt;'Financing Assumptions'!$O$26,0,IF(AND('Mezz 1 Amortization'!$T$4&lt;&gt;"Monthly",EX9&lt;='Financing Assumptions'!$O$26),0,IF('Mezz 1 Amortization'!$T$4="Monthly",INDEX('Mezz 1 Amortization'!$B$19:$V$379,MATCH(EX$11,'Mezz 1 Amortization'!$E$19:$E$379,0),MATCH('Mezz 1 Amortization'!$V$19,'Mezz 1 Amortization'!$B$19:$V$19,0)),IF(AND('Mezz 1 Amortization'!$T$4="Bi-Annual",EX$5&lt;MIN('Mezz 1 Amortization'!$R$4,'Mezz 1 Amortization'!$S$4)),INDEX('Mezz 1 Amortization'!$B$19:$V$379,MATCH(DATE(EX$7-1,MAX('Mezz 1 Amortization'!$R$4,'Mezz 1 Amortization'!$S$4),31),'Mezz 1 Amortization'!$E$19:$E$379,0),MATCH('Mezz 1 Amortization'!$V$19,'Mezz 1 Amortization'!$B$19:$V$19,0)),IF(AND('Mezz 1 Amortization'!$T$4="Bi-Annual",EX$5&gt;MAX('Mezz 1 Amortization'!$R$4,'Mezz 1 Amortization'!$S$4)),INDEX('Mezz 1 Amortization'!$B$19:$V$379,MATCH(DATE(EX$7,MAX('Mezz 1 Amortization'!$R$4,'Mezz 1 Amortization'!$S$4),31),'Mezz 1 Amortization'!$E$19:$E$379,0),MATCH('Mezz 1 Amortization'!$V$19,'Mezz 1 Amortization'!$B$19:$V$19,0)),IF(AND('Mezz 1 Amortization'!$T$4="Bi-Annual",EX$5&gt;MIN('Mezz 1 Amortization'!$R$4,'Mezz 1 Amortization'!$S$4),EX$5&lt;MAX('Mezz 1 Amortization'!$R$4,'Mezz 1 Amortization'!$S$4)),INDEX('Mezz 1 Amortization'!$B$19:$V$379,MATCH(DATE(EX$7,MIN('Mezz 1 Amortization'!$R$4,'Mezz 1 Amortization'!$S$4),31),'Mezz 1 Amortization'!$E$19:$E$379,0),MATCH('Mezz 1 Amortization'!$V$19,'Mezz 1 Amortization'!$B$19:$V$19,0)),IF(AND('Mezz 1 Amortization'!$T$4="Bi-Annual",EX$5='Mezz 1 Amortization'!$R$4),INDEX('Mezz 1 Amortization'!$B$19:$V$379,MATCH(DATE(EX$7,'Mezz 1 Amortization'!$R$4,31),'Mezz 1 Amortization'!$E$19:$E$379,0),MATCH('Mezz 1 Amortization'!$V$19,'Mezz 1 Amortization'!$B$19:$V$19,0)),IF(AND('Mezz 1 Amortization'!$T$4="Bi-Annual",EX$5='Mezz 1 Amortization'!$S$4),INDEX('Mezz 1 Amortization'!$B$19:$V$379,MATCH(DATE(EX$7,'Mezz 1 Amortization'!$S$4,31),'Mezz 1 Amortization'!$E$19:$E$379,0),MATCH('Mezz 1 Amortization'!$V$19,'Mezz 1 Amortization'!$B$19:$V$19,0)))))))))))</f>
        <v>0</v>
      </c>
      <c r="EY140" s="427">
        <f>IF('Financing Assumptions'!$P$8="No",0,IF(EY$9&lt;'Financing Assumptions'!$O$26,0,IF(AND('Mezz 1 Amortization'!$T$4&lt;&gt;"Monthly",EY9&lt;='Financing Assumptions'!$O$26),0,IF('Mezz 1 Amortization'!$T$4="Monthly",INDEX('Mezz 1 Amortization'!$B$19:$V$379,MATCH(EY$11,'Mezz 1 Amortization'!$E$19:$E$379,0),MATCH('Mezz 1 Amortization'!$V$19,'Mezz 1 Amortization'!$B$19:$V$19,0)),IF(AND('Mezz 1 Amortization'!$T$4="Bi-Annual",EY$5&lt;MIN('Mezz 1 Amortization'!$R$4,'Mezz 1 Amortization'!$S$4)),INDEX('Mezz 1 Amortization'!$B$19:$V$379,MATCH(DATE(EY$7-1,MAX('Mezz 1 Amortization'!$R$4,'Mezz 1 Amortization'!$S$4),31),'Mezz 1 Amortization'!$E$19:$E$379,0),MATCH('Mezz 1 Amortization'!$V$19,'Mezz 1 Amortization'!$B$19:$V$19,0)),IF(AND('Mezz 1 Amortization'!$T$4="Bi-Annual",EY$5&gt;MAX('Mezz 1 Amortization'!$R$4,'Mezz 1 Amortization'!$S$4)),INDEX('Mezz 1 Amortization'!$B$19:$V$379,MATCH(DATE(EY$7,MAX('Mezz 1 Amortization'!$R$4,'Mezz 1 Amortization'!$S$4),31),'Mezz 1 Amortization'!$E$19:$E$379,0),MATCH('Mezz 1 Amortization'!$V$19,'Mezz 1 Amortization'!$B$19:$V$19,0)),IF(AND('Mezz 1 Amortization'!$T$4="Bi-Annual",EY$5&gt;MIN('Mezz 1 Amortization'!$R$4,'Mezz 1 Amortization'!$S$4),EY$5&lt;MAX('Mezz 1 Amortization'!$R$4,'Mezz 1 Amortization'!$S$4)),INDEX('Mezz 1 Amortization'!$B$19:$V$379,MATCH(DATE(EY$7,MIN('Mezz 1 Amortization'!$R$4,'Mezz 1 Amortization'!$S$4),31),'Mezz 1 Amortization'!$E$19:$E$379,0),MATCH('Mezz 1 Amortization'!$V$19,'Mezz 1 Amortization'!$B$19:$V$19,0)),IF(AND('Mezz 1 Amortization'!$T$4="Bi-Annual",EY$5='Mezz 1 Amortization'!$R$4),INDEX('Mezz 1 Amortization'!$B$19:$V$379,MATCH(DATE(EY$7,'Mezz 1 Amortization'!$R$4,31),'Mezz 1 Amortization'!$E$19:$E$379,0),MATCH('Mezz 1 Amortization'!$V$19,'Mezz 1 Amortization'!$B$19:$V$19,0)),IF(AND('Mezz 1 Amortization'!$T$4="Bi-Annual",EY$5='Mezz 1 Amortization'!$S$4),INDEX('Mezz 1 Amortization'!$B$19:$V$379,MATCH(DATE(EY$7,'Mezz 1 Amortization'!$S$4,31),'Mezz 1 Amortization'!$E$19:$E$379,0),MATCH('Mezz 1 Amortization'!$V$19,'Mezz 1 Amortization'!$B$19:$V$19,0)))))))))))</f>
        <v>0</v>
      </c>
      <c r="EZ140" s="427">
        <f>IF('Financing Assumptions'!$P$8="No",0,IF(EZ$9&lt;'Financing Assumptions'!$O$26,0,IF(AND('Mezz 1 Amortization'!$T$4&lt;&gt;"Monthly",EZ9&lt;='Financing Assumptions'!$O$26),0,IF('Mezz 1 Amortization'!$T$4="Monthly",INDEX('Mezz 1 Amortization'!$B$19:$V$379,MATCH(EZ$11,'Mezz 1 Amortization'!$E$19:$E$379,0),MATCH('Mezz 1 Amortization'!$V$19,'Mezz 1 Amortization'!$B$19:$V$19,0)),IF(AND('Mezz 1 Amortization'!$T$4="Bi-Annual",EZ$5&lt;MIN('Mezz 1 Amortization'!$R$4,'Mezz 1 Amortization'!$S$4)),INDEX('Mezz 1 Amortization'!$B$19:$V$379,MATCH(DATE(EZ$7-1,MAX('Mezz 1 Amortization'!$R$4,'Mezz 1 Amortization'!$S$4),31),'Mezz 1 Amortization'!$E$19:$E$379,0),MATCH('Mezz 1 Amortization'!$V$19,'Mezz 1 Amortization'!$B$19:$V$19,0)),IF(AND('Mezz 1 Amortization'!$T$4="Bi-Annual",EZ$5&gt;MAX('Mezz 1 Amortization'!$R$4,'Mezz 1 Amortization'!$S$4)),INDEX('Mezz 1 Amortization'!$B$19:$V$379,MATCH(DATE(EZ$7,MAX('Mezz 1 Amortization'!$R$4,'Mezz 1 Amortization'!$S$4),31),'Mezz 1 Amortization'!$E$19:$E$379,0),MATCH('Mezz 1 Amortization'!$V$19,'Mezz 1 Amortization'!$B$19:$V$19,0)),IF(AND('Mezz 1 Amortization'!$T$4="Bi-Annual",EZ$5&gt;MIN('Mezz 1 Amortization'!$R$4,'Mezz 1 Amortization'!$S$4),EZ$5&lt;MAX('Mezz 1 Amortization'!$R$4,'Mezz 1 Amortization'!$S$4)),INDEX('Mezz 1 Amortization'!$B$19:$V$379,MATCH(DATE(EZ$7,MIN('Mezz 1 Amortization'!$R$4,'Mezz 1 Amortization'!$S$4),31),'Mezz 1 Amortization'!$E$19:$E$379,0),MATCH('Mezz 1 Amortization'!$V$19,'Mezz 1 Amortization'!$B$19:$V$19,0)),IF(AND('Mezz 1 Amortization'!$T$4="Bi-Annual",EZ$5='Mezz 1 Amortization'!$R$4),INDEX('Mezz 1 Amortization'!$B$19:$V$379,MATCH(DATE(EZ$7,'Mezz 1 Amortization'!$R$4,31),'Mezz 1 Amortization'!$E$19:$E$379,0),MATCH('Mezz 1 Amortization'!$V$19,'Mezz 1 Amortization'!$B$19:$V$19,0)),IF(AND('Mezz 1 Amortization'!$T$4="Bi-Annual",EZ$5='Mezz 1 Amortization'!$S$4),INDEX('Mezz 1 Amortization'!$B$19:$V$379,MATCH(DATE(EZ$7,'Mezz 1 Amortization'!$S$4,31),'Mezz 1 Amortization'!$E$19:$E$379,0),MATCH('Mezz 1 Amortization'!$V$19,'Mezz 1 Amortization'!$B$19:$V$19,0)))))))))))</f>
        <v>0</v>
      </c>
      <c r="FA140" s="427">
        <f>IF('Financing Assumptions'!$P$8="No",0,IF(FA$9&lt;'Financing Assumptions'!$O$26,0,IF(AND('Mezz 1 Amortization'!$T$4&lt;&gt;"Monthly",FA9&lt;='Financing Assumptions'!$O$26),0,IF('Mezz 1 Amortization'!$T$4="Monthly",INDEX('Mezz 1 Amortization'!$B$19:$V$379,MATCH(FA$11,'Mezz 1 Amortization'!$E$19:$E$379,0),MATCH('Mezz 1 Amortization'!$V$19,'Mezz 1 Amortization'!$B$19:$V$19,0)),IF(AND('Mezz 1 Amortization'!$T$4="Bi-Annual",FA$5&lt;MIN('Mezz 1 Amortization'!$R$4,'Mezz 1 Amortization'!$S$4)),INDEX('Mezz 1 Amortization'!$B$19:$V$379,MATCH(DATE(FA$7-1,MAX('Mezz 1 Amortization'!$R$4,'Mezz 1 Amortization'!$S$4),31),'Mezz 1 Amortization'!$E$19:$E$379,0),MATCH('Mezz 1 Amortization'!$V$19,'Mezz 1 Amortization'!$B$19:$V$19,0)),IF(AND('Mezz 1 Amortization'!$T$4="Bi-Annual",FA$5&gt;MAX('Mezz 1 Amortization'!$R$4,'Mezz 1 Amortization'!$S$4)),INDEX('Mezz 1 Amortization'!$B$19:$V$379,MATCH(DATE(FA$7,MAX('Mezz 1 Amortization'!$R$4,'Mezz 1 Amortization'!$S$4),31),'Mezz 1 Amortization'!$E$19:$E$379,0),MATCH('Mezz 1 Amortization'!$V$19,'Mezz 1 Amortization'!$B$19:$V$19,0)),IF(AND('Mezz 1 Amortization'!$T$4="Bi-Annual",FA$5&gt;MIN('Mezz 1 Amortization'!$R$4,'Mezz 1 Amortization'!$S$4),FA$5&lt;MAX('Mezz 1 Amortization'!$R$4,'Mezz 1 Amortization'!$S$4)),INDEX('Mezz 1 Amortization'!$B$19:$V$379,MATCH(DATE(FA$7,MIN('Mezz 1 Amortization'!$R$4,'Mezz 1 Amortization'!$S$4),31),'Mezz 1 Amortization'!$E$19:$E$379,0),MATCH('Mezz 1 Amortization'!$V$19,'Mezz 1 Amortization'!$B$19:$V$19,0)),IF(AND('Mezz 1 Amortization'!$T$4="Bi-Annual",FA$5='Mezz 1 Amortization'!$R$4),INDEX('Mezz 1 Amortization'!$B$19:$V$379,MATCH(DATE(FA$7,'Mezz 1 Amortization'!$R$4,31),'Mezz 1 Amortization'!$E$19:$E$379,0),MATCH('Mezz 1 Amortization'!$V$19,'Mezz 1 Amortization'!$B$19:$V$19,0)),IF(AND('Mezz 1 Amortization'!$T$4="Bi-Annual",FA$5='Mezz 1 Amortization'!$S$4),INDEX('Mezz 1 Amortization'!$B$19:$V$379,MATCH(DATE(FA$7,'Mezz 1 Amortization'!$S$4,31),'Mezz 1 Amortization'!$E$19:$E$379,0),MATCH('Mezz 1 Amortization'!$V$19,'Mezz 1 Amortization'!$B$19:$V$19,0)))))))))))</f>
        <v>0</v>
      </c>
      <c r="FB140" s="427">
        <f>IF('Financing Assumptions'!$P$8="No",0,IF(FB$9&lt;'Financing Assumptions'!$O$26,0,IF(AND('Mezz 1 Amortization'!$T$4&lt;&gt;"Monthly",FB9&lt;='Financing Assumptions'!$O$26),0,IF('Mezz 1 Amortization'!$T$4="Monthly",INDEX('Mezz 1 Amortization'!$B$19:$V$379,MATCH(FB$11,'Mezz 1 Amortization'!$E$19:$E$379,0),MATCH('Mezz 1 Amortization'!$V$19,'Mezz 1 Amortization'!$B$19:$V$19,0)),IF(AND('Mezz 1 Amortization'!$T$4="Bi-Annual",FB$5&lt;MIN('Mezz 1 Amortization'!$R$4,'Mezz 1 Amortization'!$S$4)),INDEX('Mezz 1 Amortization'!$B$19:$V$379,MATCH(DATE(FB$7-1,MAX('Mezz 1 Amortization'!$R$4,'Mezz 1 Amortization'!$S$4),31),'Mezz 1 Amortization'!$E$19:$E$379,0),MATCH('Mezz 1 Amortization'!$V$19,'Mezz 1 Amortization'!$B$19:$V$19,0)),IF(AND('Mezz 1 Amortization'!$T$4="Bi-Annual",FB$5&gt;MAX('Mezz 1 Amortization'!$R$4,'Mezz 1 Amortization'!$S$4)),INDEX('Mezz 1 Amortization'!$B$19:$V$379,MATCH(DATE(FB$7,MAX('Mezz 1 Amortization'!$R$4,'Mezz 1 Amortization'!$S$4),31),'Mezz 1 Amortization'!$E$19:$E$379,0),MATCH('Mezz 1 Amortization'!$V$19,'Mezz 1 Amortization'!$B$19:$V$19,0)),IF(AND('Mezz 1 Amortization'!$T$4="Bi-Annual",FB$5&gt;MIN('Mezz 1 Amortization'!$R$4,'Mezz 1 Amortization'!$S$4),FB$5&lt;MAX('Mezz 1 Amortization'!$R$4,'Mezz 1 Amortization'!$S$4)),INDEX('Mezz 1 Amortization'!$B$19:$V$379,MATCH(DATE(FB$7,MIN('Mezz 1 Amortization'!$R$4,'Mezz 1 Amortization'!$S$4),31),'Mezz 1 Amortization'!$E$19:$E$379,0),MATCH('Mezz 1 Amortization'!$V$19,'Mezz 1 Amortization'!$B$19:$V$19,0)),IF(AND('Mezz 1 Amortization'!$T$4="Bi-Annual",FB$5='Mezz 1 Amortization'!$R$4),INDEX('Mezz 1 Amortization'!$B$19:$V$379,MATCH(DATE(FB$7,'Mezz 1 Amortization'!$R$4,31),'Mezz 1 Amortization'!$E$19:$E$379,0),MATCH('Mezz 1 Amortization'!$V$19,'Mezz 1 Amortization'!$B$19:$V$19,0)),IF(AND('Mezz 1 Amortization'!$T$4="Bi-Annual",FB$5='Mezz 1 Amortization'!$S$4),INDEX('Mezz 1 Amortization'!$B$19:$V$379,MATCH(DATE(FB$7,'Mezz 1 Amortization'!$S$4,31),'Mezz 1 Amortization'!$E$19:$E$379,0),MATCH('Mezz 1 Amortization'!$V$19,'Mezz 1 Amortization'!$B$19:$V$19,0)))))))))))</f>
        <v>0</v>
      </c>
      <c r="FC140" s="427">
        <f>IF('Financing Assumptions'!$P$8="No",0,IF(FC$9&lt;'Financing Assumptions'!$O$26,0,IF(AND('Mezz 1 Amortization'!$T$4&lt;&gt;"Monthly",FC9&lt;='Financing Assumptions'!$O$26),0,IF('Mezz 1 Amortization'!$T$4="Monthly",INDEX('Mezz 1 Amortization'!$B$19:$V$379,MATCH(FC$11,'Mezz 1 Amortization'!$E$19:$E$379,0),MATCH('Mezz 1 Amortization'!$V$19,'Mezz 1 Amortization'!$B$19:$V$19,0)),IF(AND('Mezz 1 Amortization'!$T$4="Bi-Annual",FC$5&lt;MIN('Mezz 1 Amortization'!$R$4,'Mezz 1 Amortization'!$S$4)),INDEX('Mezz 1 Amortization'!$B$19:$V$379,MATCH(DATE(FC$7-1,MAX('Mezz 1 Amortization'!$R$4,'Mezz 1 Amortization'!$S$4),31),'Mezz 1 Amortization'!$E$19:$E$379,0),MATCH('Mezz 1 Amortization'!$V$19,'Mezz 1 Amortization'!$B$19:$V$19,0)),IF(AND('Mezz 1 Amortization'!$T$4="Bi-Annual",FC$5&gt;MAX('Mezz 1 Amortization'!$R$4,'Mezz 1 Amortization'!$S$4)),INDEX('Mezz 1 Amortization'!$B$19:$V$379,MATCH(DATE(FC$7,MAX('Mezz 1 Amortization'!$R$4,'Mezz 1 Amortization'!$S$4),31),'Mezz 1 Amortization'!$E$19:$E$379,0),MATCH('Mezz 1 Amortization'!$V$19,'Mezz 1 Amortization'!$B$19:$V$19,0)),IF(AND('Mezz 1 Amortization'!$T$4="Bi-Annual",FC$5&gt;MIN('Mezz 1 Amortization'!$R$4,'Mezz 1 Amortization'!$S$4),FC$5&lt;MAX('Mezz 1 Amortization'!$R$4,'Mezz 1 Amortization'!$S$4)),INDEX('Mezz 1 Amortization'!$B$19:$V$379,MATCH(DATE(FC$7,MIN('Mezz 1 Amortization'!$R$4,'Mezz 1 Amortization'!$S$4),31),'Mezz 1 Amortization'!$E$19:$E$379,0),MATCH('Mezz 1 Amortization'!$V$19,'Mezz 1 Amortization'!$B$19:$V$19,0)),IF(AND('Mezz 1 Amortization'!$T$4="Bi-Annual",FC$5='Mezz 1 Amortization'!$R$4),INDEX('Mezz 1 Amortization'!$B$19:$V$379,MATCH(DATE(FC$7,'Mezz 1 Amortization'!$R$4,31),'Mezz 1 Amortization'!$E$19:$E$379,0),MATCH('Mezz 1 Amortization'!$V$19,'Mezz 1 Amortization'!$B$19:$V$19,0)),IF(AND('Mezz 1 Amortization'!$T$4="Bi-Annual",FC$5='Mezz 1 Amortization'!$S$4),INDEX('Mezz 1 Amortization'!$B$19:$V$379,MATCH(DATE(FC$7,'Mezz 1 Amortization'!$S$4,31),'Mezz 1 Amortization'!$E$19:$E$379,0),MATCH('Mezz 1 Amortization'!$V$19,'Mezz 1 Amortization'!$B$19:$V$19,0)))))))))))</f>
        <v>0</v>
      </c>
      <c r="FD140" s="427">
        <f>IF('Financing Assumptions'!$P$8="No",0,IF(FD$9&lt;'Financing Assumptions'!$O$26,0,IF(AND('Mezz 1 Amortization'!$T$4&lt;&gt;"Monthly",FD9&lt;='Financing Assumptions'!$O$26),0,IF('Mezz 1 Amortization'!$T$4="Monthly",INDEX('Mezz 1 Amortization'!$B$19:$V$379,MATCH(FD$11,'Mezz 1 Amortization'!$E$19:$E$379,0),MATCH('Mezz 1 Amortization'!$V$19,'Mezz 1 Amortization'!$B$19:$V$19,0)),IF(AND('Mezz 1 Amortization'!$T$4="Bi-Annual",FD$5&lt;MIN('Mezz 1 Amortization'!$R$4,'Mezz 1 Amortization'!$S$4)),INDEX('Mezz 1 Amortization'!$B$19:$V$379,MATCH(DATE(FD$7-1,MAX('Mezz 1 Amortization'!$R$4,'Mezz 1 Amortization'!$S$4),31),'Mezz 1 Amortization'!$E$19:$E$379,0),MATCH('Mezz 1 Amortization'!$V$19,'Mezz 1 Amortization'!$B$19:$V$19,0)),IF(AND('Mezz 1 Amortization'!$T$4="Bi-Annual",FD$5&gt;MAX('Mezz 1 Amortization'!$R$4,'Mezz 1 Amortization'!$S$4)),INDEX('Mezz 1 Amortization'!$B$19:$V$379,MATCH(DATE(FD$7,MAX('Mezz 1 Amortization'!$R$4,'Mezz 1 Amortization'!$S$4),31),'Mezz 1 Amortization'!$E$19:$E$379,0),MATCH('Mezz 1 Amortization'!$V$19,'Mezz 1 Amortization'!$B$19:$V$19,0)),IF(AND('Mezz 1 Amortization'!$T$4="Bi-Annual",FD$5&gt;MIN('Mezz 1 Amortization'!$R$4,'Mezz 1 Amortization'!$S$4),FD$5&lt;MAX('Mezz 1 Amortization'!$R$4,'Mezz 1 Amortization'!$S$4)),INDEX('Mezz 1 Amortization'!$B$19:$V$379,MATCH(DATE(FD$7,MIN('Mezz 1 Amortization'!$R$4,'Mezz 1 Amortization'!$S$4),31),'Mezz 1 Amortization'!$E$19:$E$379,0),MATCH('Mezz 1 Amortization'!$V$19,'Mezz 1 Amortization'!$B$19:$V$19,0)),IF(AND('Mezz 1 Amortization'!$T$4="Bi-Annual",FD$5='Mezz 1 Amortization'!$R$4),INDEX('Mezz 1 Amortization'!$B$19:$V$379,MATCH(DATE(FD$7,'Mezz 1 Amortization'!$R$4,31),'Mezz 1 Amortization'!$E$19:$E$379,0),MATCH('Mezz 1 Amortization'!$V$19,'Mezz 1 Amortization'!$B$19:$V$19,0)),IF(AND('Mezz 1 Amortization'!$T$4="Bi-Annual",FD$5='Mezz 1 Amortization'!$S$4),INDEX('Mezz 1 Amortization'!$B$19:$V$379,MATCH(DATE(FD$7,'Mezz 1 Amortization'!$S$4,31),'Mezz 1 Amortization'!$E$19:$E$379,0),MATCH('Mezz 1 Amortization'!$V$19,'Mezz 1 Amortization'!$B$19:$V$19,0)))))))))))</f>
        <v>0</v>
      </c>
      <c r="FE140" s="427">
        <f>IF('Financing Assumptions'!$P$8="No",0,IF(FE$9&lt;'Financing Assumptions'!$O$26,0,IF(AND('Mezz 1 Amortization'!$T$4&lt;&gt;"Monthly",FE9&lt;='Financing Assumptions'!$O$26),0,IF('Mezz 1 Amortization'!$T$4="Monthly",INDEX('Mezz 1 Amortization'!$B$19:$V$379,MATCH(FE$11,'Mezz 1 Amortization'!$E$19:$E$379,0),MATCH('Mezz 1 Amortization'!$V$19,'Mezz 1 Amortization'!$B$19:$V$19,0)),IF(AND('Mezz 1 Amortization'!$T$4="Bi-Annual",FE$5&lt;MIN('Mezz 1 Amortization'!$R$4,'Mezz 1 Amortization'!$S$4)),INDEX('Mezz 1 Amortization'!$B$19:$V$379,MATCH(DATE(FE$7-1,MAX('Mezz 1 Amortization'!$R$4,'Mezz 1 Amortization'!$S$4),31),'Mezz 1 Amortization'!$E$19:$E$379,0),MATCH('Mezz 1 Amortization'!$V$19,'Mezz 1 Amortization'!$B$19:$V$19,0)),IF(AND('Mezz 1 Amortization'!$T$4="Bi-Annual",FE$5&gt;MAX('Mezz 1 Amortization'!$R$4,'Mezz 1 Amortization'!$S$4)),INDEX('Mezz 1 Amortization'!$B$19:$V$379,MATCH(DATE(FE$7,MAX('Mezz 1 Amortization'!$R$4,'Mezz 1 Amortization'!$S$4),31),'Mezz 1 Amortization'!$E$19:$E$379,0),MATCH('Mezz 1 Amortization'!$V$19,'Mezz 1 Amortization'!$B$19:$V$19,0)),IF(AND('Mezz 1 Amortization'!$T$4="Bi-Annual",FE$5&gt;MIN('Mezz 1 Amortization'!$R$4,'Mezz 1 Amortization'!$S$4),FE$5&lt;MAX('Mezz 1 Amortization'!$R$4,'Mezz 1 Amortization'!$S$4)),INDEX('Mezz 1 Amortization'!$B$19:$V$379,MATCH(DATE(FE$7,MIN('Mezz 1 Amortization'!$R$4,'Mezz 1 Amortization'!$S$4),31),'Mezz 1 Amortization'!$E$19:$E$379,0),MATCH('Mezz 1 Amortization'!$V$19,'Mezz 1 Amortization'!$B$19:$V$19,0)),IF(AND('Mezz 1 Amortization'!$T$4="Bi-Annual",FE$5='Mezz 1 Amortization'!$R$4),INDEX('Mezz 1 Amortization'!$B$19:$V$379,MATCH(DATE(FE$7,'Mezz 1 Amortization'!$R$4,31),'Mezz 1 Amortization'!$E$19:$E$379,0),MATCH('Mezz 1 Amortization'!$V$19,'Mezz 1 Amortization'!$B$19:$V$19,0)),IF(AND('Mezz 1 Amortization'!$T$4="Bi-Annual",FE$5='Mezz 1 Amortization'!$S$4),INDEX('Mezz 1 Amortization'!$B$19:$V$379,MATCH(DATE(FE$7,'Mezz 1 Amortization'!$S$4,31),'Mezz 1 Amortization'!$E$19:$E$379,0),MATCH('Mezz 1 Amortization'!$V$19,'Mezz 1 Amortization'!$B$19:$V$19,0)))))))))))</f>
        <v>0</v>
      </c>
      <c r="FF140" s="427">
        <f>IF('Financing Assumptions'!$P$8="No",0,IF(FF$9&lt;'Financing Assumptions'!$O$26,0,IF(AND('Mezz 1 Amortization'!$T$4&lt;&gt;"Monthly",FF9&lt;='Financing Assumptions'!$O$26),0,IF('Mezz 1 Amortization'!$T$4="Monthly",INDEX('Mezz 1 Amortization'!$B$19:$V$379,MATCH(FF$11,'Mezz 1 Amortization'!$E$19:$E$379,0),MATCH('Mezz 1 Amortization'!$V$19,'Mezz 1 Amortization'!$B$19:$V$19,0)),IF(AND('Mezz 1 Amortization'!$T$4="Bi-Annual",FF$5&lt;MIN('Mezz 1 Amortization'!$R$4,'Mezz 1 Amortization'!$S$4)),INDEX('Mezz 1 Amortization'!$B$19:$V$379,MATCH(DATE(FF$7-1,MAX('Mezz 1 Amortization'!$R$4,'Mezz 1 Amortization'!$S$4),31),'Mezz 1 Amortization'!$E$19:$E$379,0),MATCH('Mezz 1 Amortization'!$V$19,'Mezz 1 Amortization'!$B$19:$V$19,0)),IF(AND('Mezz 1 Amortization'!$T$4="Bi-Annual",FF$5&gt;MAX('Mezz 1 Amortization'!$R$4,'Mezz 1 Amortization'!$S$4)),INDEX('Mezz 1 Amortization'!$B$19:$V$379,MATCH(DATE(FF$7,MAX('Mezz 1 Amortization'!$R$4,'Mezz 1 Amortization'!$S$4),31),'Mezz 1 Amortization'!$E$19:$E$379,0),MATCH('Mezz 1 Amortization'!$V$19,'Mezz 1 Amortization'!$B$19:$V$19,0)),IF(AND('Mezz 1 Amortization'!$T$4="Bi-Annual",FF$5&gt;MIN('Mezz 1 Amortization'!$R$4,'Mezz 1 Amortization'!$S$4),FF$5&lt;MAX('Mezz 1 Amortization'!$R$4,'Mezz 1 Amortization'!$S$4)),INDEX('Mezz 1 Amortization'!$B$19:$V$379,MATCH(DATE(FF$7,MIN('Mezz 1 Amortization'!$R$4,'Mezz 1 Amortization'!$S$4),31),'Mezz 1 Amortization'!$E$19:$E$379,0),MATCH('Mezz 1 Amortization'!$V$19,'Mezz 1 Amortization'!$B$19:$V$19,0)),IF(AND('Mezz 1 Amortization'!$T$4="Bi-Annual",FF$5='Mezz 1 Amortization'!$R$4),INDEX('Mezz 1 Amortization'!$B$19:$V$379,MATCH(DATE(FF$7,'Mezz 1 Amortization'!$R$4,31),'Mezz 1 Amortization'!$E$19:$E$379,0),MATCH('Mezz 1 Amortization'!$V$19,'Mezz 1 Amortization'!$B$19:$V$19,0)),IF(AND('Mezz 1 Amortization'!$T$4="Bi-Annual",FF$5='Mezz 1 Amortization'!$S$4),INDEX('Mezz 1 Amortization'!$B$19:$V$379,MATCH(DATE(FF$7,'Mezz 1 Amortization'!$S$4,31),'Mezz 1 Amortization'!$E$19:$E$379,0),MATCH('Mezz 1 Amortization'!$V$19,'Mezz 1 Amortization'!$B$19:$V$19,0)))))))))))</f>
        <v>0</v>
      </c>
      <c r="FG140" s="427">
        <f>IF('Financing Assumptions'!$P$8="No",0,IF(FG$9&lt;'Financing Assumptions'!$O$26,0,IF(AND('Mezz 1 Amortization'!$T$4&lt;&gt;"Monthly",FG9&lt;='Financing Assumptions'!$O$26),0,IF('Mezz 1 Amortization'!$T$4="Monthly",INDEX('Mezz 1 Amortization'!$B$19:$V$379,MATCH(FG$11,'Mezz 1 Amortization'!$E$19:$E$379,0),MATCH('Mezz 1 Amortization'!$V$19,'Mezz 1 Amortization'!$B$19:$V$19,0)),IF(AND('Mezz 1 Amortization'!$T$4="Bi-Annual",FG$5&lt;MIN('Mezz 1 Amortization'!$R$4,'Mezz 1 Amortization'!$S$4)),INDEX('Mezz 1 Amortization'!$B$19:$V$379,MATCH(DATE(FG$7-1,MAX('Mezz 1 Amortization'!$R$4,'Mezz 1 Amortization'!$S$4),31),'Mezz 1 Amortization'!$E$19:$E$379,0),MATCH('Mezz 1 Amortization'!$V$19,'Mezz 1 Amortization'!$B$19:$V$19,0)),IF(AND('Mezz 1 Amortization'!$T$4="Bi-Annual",FG$5&gt;MAX('Mezz 1 Amortization'!$R$4,'Mezz 1 Amortization'!$S$4)),INDEX('Mezz 1 Amortization'!$B$19:$V$379,MATCH(DATE(FG$7,MAX('Mezz 1 Amortization'!$R$4,'Mezz 1 Amortization'!$S$4),31),'Mezz 1 Amortization'!$E$19:$E$379,0),MATCH('Mezz 1 Amortization'!$V$19,'Mezz 1 Amortization'!$B$19:$V$19,0)),IF(AND('Mezz 1 Amortization'!$T$4="Bi-Annual",FG$5&gt;MIN('Mezz 1 Amortization'!$R$4,'Mezz 1 Amortization'!$S$4),FG$5&lt;MAX('Mezz 1 Amortization'!$R$4,'Mezz 1 Amortization'!$S$4)),INDEX('Mezz 1 Amortization'!$B$19:$V$379,MATCH(DATE(FG$7,MIN('Mezz 1 Amortization'!$R$4,'Mezz 1 Amortization'!$S$4),31),'Mezz 1 Amortization'!$E$19:$E$379,0),MATCH('Mezz 1 Amortization'!$V$19,'Mezz 1 Amortization'!$B$19:$V$19,0)),IF(AND('Mezz 1 Amortization'!$T$4="Bi-Annual",FG$5='Mezz 1 Amortization'!$R$4),INDEX('Mezz 1 Amortization'!$B$19:$V$379,MATCH(DATE(FG$7,'Mezz 1 Amortization'!$R$4,31),'Mezz 1 Amortization'!$E$19:$E$379,0),MATCH('Mezz 1 Amortization'!$V$19,'Mezz 1 Amortization'!$B$19:$V$19,0)),IF(AND('Mezz 1 Amortization'!$T$4="Bi-Annual",FG$5='Mezz 1 Amortization'!$S$4),INDEX('Mezz 1 Amortization'!$B$19:$V$379,MATCH(DATE(FG$7,'Mezz 1 Amortization'!$S$4,31),'Mezz 1 Amortization'!$E$19:$E$379,0),MATCH('Mezz 1 Amortization'!$V$19,'Mezz 1 Amortization'!$B$19:$V$19,0)))))))))))</f>
        <v>0</v>
      </c>
      <c r="FH140" s="427">
        <f>IF('Financing Assumptions'!$P$8="No",0,IF(FH$9&lt;'Financing Assumptions'!$O$26,0,IF(AND('Mezz 1 Amortization'!$T$4&lt;&gt;"Monthly",FH9&lt;='Financing Assumptions'!$O$26),0,IF('Mezz 1 Amortization'!$T$4="Monthly",INDEX('Mezz 1 Amortization'!$B$19:$V$379,MATCH(FH$11,'Mezz 1 Amortization'!$E$19:$E$379,0),MATCH('Mezz 1 Amortization'!$V$19,'Mezz 1 Amortization'!$B$19:$V$19,0)),IF(AND('Mezz 1 Amortization'!$T$4="Bi-Annual",FH$5&lt;MIN('Mezz 1 Amortization'!$R$4,'Mezz 1 Amortization'!$S$4)),INDEX('Mezz 1 Amortization'!$B$19:$V$379,MATCH(DATE(FH$7-1,MAX('Mezz 1 Amortization'!$R$4,'Mezz 1 Amortization'!$S$4),31),'Mezz 1 Amortization'!$E$19:$E$379,0),MATCH('Mezz 1 Amortization'!$V$19,'Mezz 1 Amortization'!$B$19:$V$19,0)),IF(AND('Mezz 1 Amortization'!$T$4="Bi-Annual",FH$5&gt;MAX('Mezz 1 Amortization'!$R$4,'Mezz 1 Amortization'!$S$4)),INDEX('Mezz 1 Amortization'!$B$19:$V$379,MATCH(DATE(FH$7,MAX('Mezz 1 Amortization'!$R$4,'Mezz 1 Amortization'!$S$4),31),'Mezz 1 Amortization'!$E$19:$E$379,0),MATCH('Mezz 1 Amortization'!$V$19,'Mezz 1 Amortization'!$B$19:$V$19,0)),IF(AND('Mezz 1 Amortization'!$T$4="Bi-Annual",FH$5&gt;MIN('Mezz 1 Amortization'!$R$4,'Mezz 1 Amortization'!$S$4),FH$5&lt;MAX('Mezz 1 Amortization'!$R$4,'Mezz 1 Amortization'!$S$4)),INDEX('Mezz 1 Amortization'!$B$19:$V$379,MATCH(DATE(FH$7,MIN('Mezz 1 Amortization'!$R$4,'Mezz 1 Amortization'!$S$4),31),'Mezz 1 Amortization'!$E$19:$E$379,0),MATCH('Mezz 1 Amortization'!$V$19,'Mezz 1 Amortization'!$B$19:$V$19,0)),IF(AND('Mezz 1 Amortization'!$T$4="Bi-Annual",FH$5='Mezz 1 Amortization'!$R$4),INDEX('Mezz 1 Amortization'!$B$19:$V$379,MATCH(DATE(FH$7,'Mezz 1 Amortization'!$R$4,31),'Mezz 1 Amortization'!$E$19:$E$379,0),MATCH('Mezz 1 Amortization'!$V$19,'Mezz 1 Amortization'!$B$19:$V$19,0)),IF(AND('Mezz 1 Amortization'!$T$4="Bi-Annual",FH$5='Mezz 1 Amortization'!$S$4),INDEX('Mezz 1 Amortization'!$B$19:$V$379,MATCH(DATE(FH$7,'Mezz 1 Amortization'!$S$4,31),'Mezz 1 Amortization'!$E$19:$E$379,0),MATCH('Mezz 1 Amortization'!$V$19,'Mezz 1 Amortization'!$B$19:$V$19,0)))))))))))</f>
        <v>0</v>
      </c>
      <c r="FI140" s="427">
        <f>IF('Financing Assumptions'!$P$8="No",0,IF(FI$9&lt;'Financing Assumptions'!$O$26,0,IF(AND('Mezz 1 Amortization'!$T$4&lt;&gt;"Monthly",FI9&lt;='Financing Assumptions'!$O$26),0,IF('Mezz 1 Amortization'!$T$4="Monthly",INDEX('Mezz 1 Amortization'!$B$19:$V$379,MATCH(FI$11,'Mezz 1 Amortization'!$E$19:$E$379,0),MATCH('Mezz 1 Amortization'!$V$19,'Mezz 1 Amortization'!$B$19:$V$19,0)),IF(AND('Mezz 1 Amortization'!$T$4="Bi-Annual",FI$5&lt;MIN('Mezz 1 Amortization'!$R$4,'Mezz 1 Amortization'!$S$4)),INDEX('Mezz 1 Amortization'!$B$19:$V$379,MATCH(DATE(FI$7-1,MAX('Mezz 1 Amortization'!$R$4,'Mezz 1 Amortization'!$S$4),31),'Mezz 1 Amortization'!$E$19:$E$379,0),MATCH('Mezz 1 Amortization'!$V$19,'Mezz 1 Amortization'!$B$19:$V$19,0)),IF(AND('Mezz 1 Amortization'!$T$4="Bi-Annual",FI$5&gt;MAX('Mezz 1 Amortization'!$R$4,'Mezz 1 Amortization'!$S$4)),INDEX('Mezz 1 Amortization'!$B$19:$V$379,MATCH(DATE(FI$7,MAX('Mezz 1 Amortization'!$R$4,'Mezz 1 Amortization'!$S$4),31),'Mezz 1 Amortization'!$E$19:$E$379,0),MATCH('Mezz 1 Amortization'!$V$19,'Mezz 1 Amortization'!$B$19:$V$19,0)),IF(AND('Mezz 1 Amortization'!$T$4="Bi-Annual",FI$5&gt;MIN('Mezz 1 Amortization'!$R$4,'Mezz 1 Amortization'!$S$4),FI$5&lt;MAX('Mezz 1 Amortization'!$R$4,'Mezz 1 Amortization'!$S$4)),INDEX('Mezz 1 Amortization'!$B$19:$V$379,MATCH(DATE(FI$7,MIN('Mezz 1 Amortization'!$R$4,'Mezz 1 Amortization'!$S$4),31),'Mezz 1 Amortization'!$E$19:$E$379,0),MATCH('Mezz 1 Amortization'!$V$19,'Mezz 1 Amortization'!$B$19:$V$19,0)),IF(AND('Mezz 1 Amortization'!$T$4="Bi-Annual",FI$5='Mezz 1 Amortization'!$R$4),INDEX('Mezz 1 Amortization'!$B$19:$V$379,MATCH(DATE(FI$7,'Mezz 1 Amortization'!$R$4,31),'Mezz 1 Amortization'!$E$19:$E$379,0),MATCH('Mezz 1 Amortization'!$V$19,'Mezz 1 Amortization'!$B$19:$V$19,0)),IF(AND('Mezz 1 Amortization'!$T$4="Bi-Annual",FI$5='Mezz 1 Amortization'!$S$4),INDEX('Mezz 1 Amortization'!$B$19:$V$379,MATCH(DATE(FI$7,'Mezz 1 Amortization'!$S$4,31),'Mezz 1 Amortization'!$E$19:$E$379,0),MATCH('Mezz 1 Amortization'!$V$19,'Mezz 1 Amortization'!$B$19:$V$19,0)))))))))))</f>
        <v>0</v>
      </c>
      <c r="FJ140" s="427">
        <f>IF('Financing Assumptions'!$P$8="No",0,IF(FJ$9&lt;'Financing Assumptions'!$O$26,0,IF(AND('Mezz 1 Amortization'!$T$4&lt;&gt;"Monthly",FJ9&lt;='Financing Assumptions'!$O$26),0,IF('Mezz 1 Amortization'!$T$4="Monthly",INDEX('Mezz 1 Amortization'!$B$19:$V$379,MATCH(FJ$11,'Mezz 1 Amortization'!$E$19:$E$379,0),MATCH('Mezz 1 Amortization'!$V$19,'Mezz 1 Amortization'!$B$19:$V$19,0)),IF(AND('Mezz 1 Amortization'!$T$4="Bi-Annual",FJ$5&lt;MIN('Mezz 1 Amortization'!$R$4,'Mezz 1 Amortization'!$S$4)),INDEX('Mezz 1 Amortization'!$B$19:$V$379,MATCH(DATE(FJ$7-1,MAX('Mezz 1 Amortization'!$R$4,'Mezz 1 Amortization'!$S$4),31),'Mezz 1 Amortization'!$E$19:$E$379,0),MATCH('Mezz 1 Amortization'!$V$19,'Mezz 1 Amortization'!$B$19:$V$19,0)),IF(AND('Mezz 1 Amortization'!$T$4="Bi-Annual",FJ$5&gt;MAX('Mezz 1 Amortization'!$R$4,'Mezz 1 Amortization'!$S$4)),INDEX('Mezz 1 Amortization'!$B$19:$V$379,MATCH(DATE(FJ$7,MAX('Mezz 1 Amortization'!$R$4,'Mezz 1 Amortization'!$S$4),31),'Mezz 1 Amortization'!$E$19:$E$379,0),MATCH('Mezz 1 Amortization'!$V$19,'Mezz 1 Amortization'!$B$19:$V$19,0)),IF(AND('Mezz 1 Amortization'!$T$4="Bi-Annual",FJ$5&gt;MIN('Mezz 1 Amortization'!$R$4,'Mezz 1 Amortization'!$S$4),FJ$5&lt;MAX('Mezz 1 Amortization'!$R$4,'Mezz 1 Amortization'!$S$4)),INDEX('Mezz 1 Amortization'!$B$19:$V$379,MATCH(DATE(FJ$7,MIN('Mezz 1 Amortization'!$R$4,'Mezz 1 Amortization'!$S$4),31),'Mezz 1 Amortization'!$E$19:$E$379,0),MATCH('Mezz 1 Amortization'!$V$19,'Mezz 1 Amortization'!$B$19:$V$19,0)),IF(AND('Mezz 1 Amortization'!$T$4="Bi-Annual",FJ$5='Mezz 1 Amortization'!$R$4),INDEX('Mezz 1 Amortization'!$B$19:$V$379,MATCH(DATE(FJ$7,'Mezz 1 Amortization'!$R$4,31),'Mezz 1 Amortization'!$E$19:$E$379,0),MATCH('Mezz 1 Amortization'!$V$19,'Mezz 1 Amortization'!$B$19:$V$19,0)),IF(AND('Mezz 1 Amortization'!$T$4="Bi-Annual",FJ$5='Mezz 1 Amortization'!$S$4),INDEX('Mezz 1 Amortization'!$B$19:$V$379,MATCH(DATE(FJ$7,'Mezz 1 Amortization'!$S$4,31),'Mezz 1 Amortization'!$E$19:$E$379,0),MATCH('Mezz 1 Amortization'!$V$19,'Mezz 1 Amortization'!$B$19:$V$19,0)))))))))))</f>
        <v>0</v>
      </c>
      <c r="FK140" s="427">
        <f>IF('Financing Assumptions'!$P$8="No",0,IF(FK$9&lt;'Financing Assumptions'!$O$26,0,IF(AND('Mezz 1 Amortization'!$T$4&lt;&gt;"Monthly",FK9&lt;='Financing Assumptions'!$O$26),0,IF('Mezz 1 Amortization'!$T$4="Monthly",INDEX('Mezz 1 Amortization'!$B$19:$V$379,MATCH(FK$11,'Mezz 1 Amortization'!$E$19:$E$379,0),MATCH('Mezz 1 Amortization'!$V$19,'Mezz 1 Amortization'!$B$19:$V$19,0)),IF(AND('Mezz 1 Amortization'!$T$4="Bi-Annual",FK$5&lt;MIN('Mezz 1 Amortization'!$R$4,'Mezz 1 Amortization'!$S$4)),INDEX('Mezz 1 Amortization'!$B$19:$V$379,MATCH(DATE(FK$7-1,MAX('Mezz 1 Amortization'!$R$4,'Mezz 1 Amortization'!$S$4),31),'Mezz 1 Amortization'!$E$19:$E$379,0),MATCH('Mezz 1 Amortization'!$V$19,'Mezz 1 Amortization'!$B$19:$V$19,0)),IF(AND('Mezz 1 Amortization'!$T$4="Bi-Annual",FK$5&gt;MAX('Mezz 1 Amortization'!$R$4,'Mezz 1 Amortization'!$S$4)),INDEX('Mezz 1 Amortization'!$B$19:$V$379,MATCH(DATE(FK$7,MAX('Mezz 1 Amortization'!$R$4,'Mezz 1 Amortization'!$S$4),31),'Mezz 1 Amortization'!$E$19:$E$379,0),MATCH('Mezz 1 Amortization'!$V$19,'Mezz 1 Amortization'!$B$19:$V$19,0)),IF(AND('Mezz 1 Amortization'!$T$4="Bi-Annual",FK$5&gt;MIN('Mezz 1 Amortization'!$R$4,'Mezz 1 Amortization'!$S$4),FK$5&lt;MAX('Mezz 1 Amortization'!$R$4,'Mezz 1 Amortization'!$S$4)),INDEX('Mezz 1 Amortization'!$B$19:$V$379,MATCH(DATE(FK$7,MIN('Mezz 1 Amortization'!$R$4,'Mezz 1 Amortization'!$S$4),31),'Mezz 1 Amortization'!$E$19:$E$379,0),MATCH('Mezz 1 Amortization'!$V$19,'Mezz 1 Amortization'!$B$19:$V$19,0)),IF(AND('Mezz 1 Amortization'!$T$4="Bi-Annual",FK$5='Mezz 1 Amortization'!$R$4),INDEX('Mezz 1 Amortization'!$B$19:$V$379,MATCH(DATE(FK$7,'Mezz 1 Amortization'!$R$4,31),'Mezz 1 Amortization'!$E$19:$E$379,0),MATCH('Mezz 1 Amortization'!$V$19,'Mezz 1 Amortization'!$B$19:$V$19,0)),IF(AND('Mezz 1 Amortization'!$T$4="Bi-Annual",FK$5='Mezz 1 Amortization'!$S$4),INDEX('Mezz 1 Amortization'!$B$19:$V$379,MATCH(DATE(FK$7,'Mezz 1 Amortization'!$S$4,31),'Mezz 1 Amortization'!$E$19:$E$379,0),MATCH('Mezz 1 Amortization'!$V$19,'Mezz 1 Amortization'!$B$19:$V$19,0)))))))))))</f>
        <v>0</v>
      </c>
      <c r="FL140" s="427">
        <f>IF('Financing Assumptions'!$P$8="No",0,IF(FL$9&lt;'Financing Assumptions'!$O$26,0,IF(AND('Mezz 1 Amortization'!$T$4&lt;&gt;"Monthly",FL9&lt;='Financing Assumptions'!$O$26),0,IF('Mezz 1 Amortization'!$T$4="Monthly",INDEX('Mezz 1 Amortization'!$B$19:$V$379,MATCH(FL$11,'Mezz 1 Amortization'!$E$19:$E$379,0),MATCH('Mezz 1 Amortization'!$V$19,'Mezz 1 Amortization'!$B$19:$V$19,0)),IF(AND('Mezz 1 Amortization'!$T$4="Bi-Annual",FL$5&lt;MIN('Mezz 1 Amortization'!$R$4,'Mezz 1 Amortization'!$S$4)),INDEX('Mezz 1 Amortization'!$B$19:$V$379,MATCH(DATE(FL$7-1,MAX('Mezz 1 Amortization'!$R$4,'Mezz 1 Amortization'!$S$4),31),'Mezz 1 Amortization'!$E$19:$E$379,0),MATCH('Mezz 1 Amortization'!$V$19,'Mezz 1 Amortization'!$B$19:$V$19,0)),IF(AND('Mezz 1 Amortization'!$T$4="Bi-Annual",FL$5&gt;MAX('Mezz 1 Amortization'!$R$4,'Mezz 1 Amortization'!$S$4)),INDEX('Mezz 1 Amortization'!$B$19:$V$379,MATCH(DATE(FL$7,MAX('Mezz 1 Amortization'!$R$4,'Mezz 1 Amortization'!$S$4),31),'Mezz 1 Amortization'!$E$19:$E$379,0),MATCH('Mezz 1 Amortization'!$V$19,'Mezz 1 Amortization'!$B$19:$V$19,0)),IF(AND('Mezz 1 Amortization'!$T$4="Bi-Annual",FL$5&gt;MIN('Mezz 1 Amortization'!$R$4,'Mezz 1 Amortization'!$S$4),FL$5&lt;MAX('Mezz 1 Amortization'!$R$4,'Mezz 1 Amortization'!$S$4)),INDEX('Mezz 1 Amortization'!$B$19:$V$379,MATCH(DATE(FL$7,MIN('Mezz 1 Amortization'!$R$4,'Mezz 1 Amortization'!$S$4),31),'Mezz 1 Amortization'!$E$19:$E$379,0),MATCH('Mezz 1 Amortization'!$V$19,'Mezz 1 Amortization'!$B$19:$V$19,0)),IF(AND('Mezz 1 Amortization'!$T$4="Bi-Annual",FL$5='Mezz 1 Amortization'!$R$4),INDEX('Mezz 1 Amortization'!$B$19:$V$379,MATCH(DATE(FL$7,'Mezz 1 Amortization'!$R$4,31),'Mezz 1 Amortization'!$E$19:$E$379,0),MATCH('Mezz 1 Amortization'!$V$19,'Mezz 1 Amortization'!$B$19:$V$19,0)),IF(AND('Mezz 1 Amortization'!$T$4="Bi-Annual",FL$5='Mezz 1 Amortization'!$S$4),INDEX('Mezz 1 Amortization'!$B$19:$V$379,MATCH(DATE(FL$7,'Mezz 1 Amortization'!$S$4,31),'Mezz 1 Amortization'!$E$19:$E$379,0),MATCH('Mezz 1 Amortization'!$V$19,'Mezz 1 Amortization'!$B$19:$V$19,0)))))))))))</f>
        <v>0</v>
      </c>
      <c r="FM140" s="427">
        <f>IF('Financing Assumptions'!$P$8="No",0,IF(FM$9&lt;'Financing Assumptions'!$O$26,0,IF(AND('Mezz 1 Amortization'!$T$4&lt;&gt;"Monthly",FM9&lt;='Financing Assumptions'!$O$26),0,IF('Mezz 1 Amortization'!$T$4="Monthly",INDEX('Mezz 1 Amortization'!$B$19:$V$379,MATCH(FM$11,'Mezz 1 Amortization'!$E$19:$E$379,0),MATCH('Mezz 1 Amortization'!$V$19,'Mezz 1 Amortization'!$B$19:$V$19,0)),IF(AND('Mezz 1 Amortization'!$T$4="Bi-Annual",FM$5&lt;MIN('Mezz 1 Amortization'!$R$4,'Mezz 1 Amortization'!$S$4)),INDEX('Mezz 1 Amortization'!$B$19:$V$379,MATCH(DATE(FM$7-1,MAX('Mezz 1 Amortization'!$R$4,'Mezz 1 Amortization'!$S$4),31),'Mezz 1 Amortization'!$E$19:$E$379,0),MATCH('Mezz 1 Amortization'!$V$19,'Mezz 1 Amortization'!$B$19:$V$19,0)),IF(AND('Mezz 1 Amortization'!$T$4="Bi-Annual",FM$5&gt;MAX('Mezz 1 Amortization'!$R$4,'Mezz 1 Amortization'!$S$4)),INDEX('Mezz 1 Amortization'!$B$19:$V$379,MATCH(DATE(FM$7,MAX('Mezz 1 Amortization'!$R$4,'Mezz 1 Amortization'!$S$4),31),'Mezz 1 Amortization'!$E$19:$E$379,0),MATCH('Mezz 1 Amortization'!$V$19,'Mezz 1 Amortization'!$B$19:$V$19,0)),IF(AND('Mezz 1 Amortization'!$T$4="Bi-Annual",FM$5&gt;MIN('Mezz 1 Amortization'!$R$4,'Mezz 1 Amortization'!$S$4),FM$5&lt;MAX('Mezz 1 Amortization'!$R$4,'Mezz 1 Amortization'!$S$4)),INDEX('Mezz 1 Amortization'!$B$19:$V$379,MATCH(DATE(FM$7,MIN('Mezz 1 Amortization'!$R$4,'Mezz 1 Amortization'!$S$4),31),'Mezz 1 Amortization'!$E$19:$E$379,0),MATCH('Mezz 1 Amortization'!$V$19,'Mezz 1 Amortization'!$B$19:$V$19,0)),IF(AND('Mezz 1 Amortization'!$T$4="Bi-Annual",FM$5='Mezz 1 Amortization'!$R$4),INDEX('Mezz 1 Amortization'!$B$19:$V$379,MATCH(DATE(FM$7,'Mezz 1 Amortization'!$R$4,31),'Mezz 1 Amortization'!$E$19:$E$379,0),MATCH('Mezz 1 Amortization'!$V$19,'Mezz 1 Amortization'!$B$19:$V$19,0)),IF(AND('Mezz 1 Amortization'!$T$4="Bi-Annual",FM$5='Mezz 1 Amortization'!$S$4),INDEX('Mezz 1 Amortization'!$B$19:$V$379,MATCH(DATE(FM$7,'Mezz 1 Amortization'!$S$4,31),'Mezz 1 Amortization'!$E$19:$E$379,0),MATCH('Mezz 1 Amortization'!$V$19,'Mezz 1 Amortization'!$B$19:$V$19,0)))))))))))</f>
        <v>0</v>
      </c>
      <c r="FN140" s="427">
        <f>IF('Financing Assumptions'!$P$8="No",0,IF(FN$9&lt;'Financing Assumptions'!$O$26,0,IF(AND('Mezz 1 Amortization'!$T$4&lt;&gt;"Monthly",FN9&lt;='Financing Assumptions'!$O$26),0,IF('Mezz 1 Amortization'!$T$4="Monthly",INDEX('Mezz 1 Amortization'!$B$19:$V$379,MATCH(FN$11,'Mezz 1 Amortization'!$E$19:$E$379,0),MATCH('Mezz 1 Amortization'!$V$19,'Mezz 1 Amortization'!$B$19:$V$19,0)),IF(AND('Mezz 1 Amortization'!$T$4="Bi-Annual",FN$5&lt;MIN('Mezz 1 Amortization'!$R$4,'Mezz 1 Amortization'!$S$4)),INDEX('Mezz 1 Amortization'!$B$19:$V$379,MATCH(DATE(FN$7-1,MAX('Mezz 1 Amortization'!$R$4,'Mezz 1 Amortization'!$S$4),31),'Mezz 1 Amortization'!$E$19:$E$379,0),MATCH('Mezz 1 Amortization'!$V$19,'Mezz 1 Amortization'!$B$19:$V$19,0)),IF(AND('Mezz 1 Amortization'!$T$4="Bi-Annual",FN$5&gt;MAX('Mezz 1 Amortization'!$R$4,'Mezz 1 Amortization'!$S$4)),INDEX('Mezz 1 Amortization'!$B$19:$V$379,MATCH(DATE(FN$7,MAX('Mezz 1 Amortization'!$R$4,'Mezz 1 Amortization'!$S$4),31),'Mezz 1 Amortization'!$E$19:$E$379,0),MATCH('Mezz 1 Amortization'!$V$19,'Mezz 1 Amortization'!$B$19:$V$19,0)),IF(AND('Mezz 1 Amortization'!$T$4="Bi-Annual",FN$5&gt;MIN('Mezz 1 Amortization'!$R$4,'Mezz 1 Amortization'!$S$4),FN$5&lt;MAX('Mezz 1 Amortization'!$R$4,'Mezz 1 Amortization'!$S$4)),INDEX('Mezz 1 Amortization'!$B$19:$V$379,MATCH(DATE(FN$7,MIN('Mezz 1 Amortization'!$R$4,'Mezz 1 Amortization'!$S$4),31),'Mezz 1 Amortization'!$E$19:$E$379,0),MATCH('Mezz 1 Amortization'!$V$19,'Mezz 1 Amortization'!$B$19:$V$19,0)),IF(AND('Mezz 1 Amortization'!$T$4="Bi-Annual",FN$5='Mezz 1 Amortization'!$R$4),INDEX('Mezz 1 Amortization'!$B$19:$V$379,MATCH(DATE(FN$7,'Mezz 1 Amortization'!$R$4,31),'Mezz 1 Amortization'!$E$19:$E$379,0),MATCH('Mezz 1 Amortization'!$V$19,'Mezz 1 Amortization'!$B$19:$V$19,0)),IF(AND('Mezz 1 Amortization'!$T$4="Bi-Annual",FN$5='Mezz 1 Amortization'!$S$4),INDEX('Mezz 1 Amortization'!$B$19:$V$379,MATCH(DATE(FN$7,'Mezz 1 Amortization'!$S$4,31),'Mezz 1 Amortization'!$E$19:$E$379,0),MATCH('Mezz 1 Amortization'!$V$19,'Mezz 1 Amortization'!$B$19:$V$19,0)))))))))))</f>
        <v>0</v>
      </c>
      <c r="FO140" s="427">
        <f>IF('Financing Assumptions'!$P$8="No",0,IF(FO$9&lt;'Financing Assumptions'!$O$26,0,IF(AND('Mezz 1 Amortization'!$T$4&lt;&gt;"Monthly",FO9&lt;='Financing Assumptions'!$O$26),0,IF('Mezz 1 Amortization'!$T$4="Monthly",INDEX('Mezz 1 Amortization'!$B$19:$V$379,MATCH(FO$11,'Mezz 1 Amortization'!$E$19:$E$379,0),MATCH('Mezz 1 Amortization'!$V$19,'Mezz 1 Amortization'!$B$19:$V$19,0)),IF(AND('Mezz 1 Amortization'!$T$4="Bi-Annual",FO$5&lt;MIN('Mezz 1 Amortization'!$R$4,'Mezz 1 Amortization'!$S$4)),INDEX('Mezz 1 Amortization'!$B$19:$V$379,MATCH(DATE(FO$7-1,MAX('Mezz 1 Amortization'!$R$4,'Mezz 1 Amortization'!$S$4),31),'Mezz 1 Amortization'!$E$19:$E$379,0),MATCH('Mezz 1 Amortization'!$V$19,'Mezz 1 Amortization'!$B$19:$V$19,0)),IF(AND('Mezz 1 Amortization'!$T$4="Bi-Annual",FO$5&gt;MAX('Mezz 1 Amortization'!$R$4,'Mezz 1 Amortization'!$S$4)),INDEX('Mezz 1 Amortization'!$B$19:$V$379,MATCH(DATE(FO$7,MAX('Mezz 1 Amortization'!$R$4,'Mezz 1 Amortization'!$S$4),31),'Mezz 1 Amortization'!$E$19:$E$379,0),MATCH('Mezz 1 Amortization'!$V$19,'Mezz 1 Amortization'!$B$19:$V$19,0)),IF(AND('Mezz 1 Amortization'!$T$4="Bi-Annual",FO$5&gt;MIN('Mezz 1 Amortization'!$R$4,'Mezz 1 Amortization'!$S$4),FO$5&lt;MAX('Mezz 1 Amortization'!$R$4,'Mezz 1 Amortization'!$S$4)),INDEX('Mezz 1 Amortization'!$B$19:$V$379,MATCH(DATE(FO$7,MIN('Mezz 1 Amortization'!$R$4,'Mezz 1 Amortization'!$S$4),31),'Mezz 1 Amortization'!$E$19:$E$379,0),MATCH('Mezz 1 Amortization'!$V$19,'Mezz 1 Amortization'!$B$19:$V$19,0)),IF(AND('Mezz 1 Amortization'!$T$4="Bi-Annual",FO$5='Mezz 1 Amortization'!$R$4),INDEX('Mezz 1 Amortization'!$B$19:$V$379,MATCH(DATE(FO$7,'Mezz 1 Amortization'!$R$4,31),'Mezz 1 Amortization'!$E$19:$E$379,0),MATCH('Mezz 1 Amortization'!$V$19,'Mezz 1 Amortization'!$B$19:$V$19,0)),IF(AND('Mezz 1 Amortization'!$T$4="Bi-Annual",FO$5='Mezz 1 Amortization'!$S$4),INDEX('Mezz 1 Amortization'!$B$19:$V$379,MATCH(DATE(FO$7,'Mezz 1 Amortization'!$S$4,31),'Mezz 1 Amortization'!$E$19:$E$379,0),MATCH('Mezz 1 Amortization'!$V$19,'Mezz 1 Amortization'!$B$19:$V$19,0)))))))))))</f>
        <v>0</v>
      </c>
      <c r="FP140" s="427">
        <f>IF('Financing Assumptions'!$P$8="No",0,IF(FP$9&lt;'Financing Assumptions'!$O$26,0,IF(AND('Mezz 1 Amortization'!$T$4&lt;&gt;"Monthly",FP9&lt;='Financing Assumptions'!$O$26),0,IF('Mezz 1 Amortization'!$T$4="Monthly",INDEX('Mezz 1 Amortization'!$B$19:$V$379,MATCH(FP$11,'Mezz 1 Amortization'!$E$19:$E$379,0),MATCH('Mezz 1 Amortization'!$V$19,'Mezz 1 Amortization'!$B$19:$V$19,0)),IF(AND('Mezz 1 Amortization'!$T$4="Bi-Annual",FP$5&lt;MIN('Mezz 1 Amortization'!$R$4,'Mezz 1 Amortization'!$S$4)),INDEX('Mezz 1 Amortization'!$B$19:$V$379,MATCH(DATE(FP$7-1,MAX('Mezz 1 Amortization'!$R$4,'Mezz 1 Amortization'!$S$4),31),'Mezz 1 Amortization'!$E$19:$E$379,0),MATCH('Mezz 1 Amortization'!$V$19,'Mezz 1 Amortization'!$B$19:$V$19,0)),IF(AND('Mezz 1 Amortization'!$T$4="Bi-Annual",FP$5&gt;MAX('Mezz 1 Amortization'!$R$4,'Mezz 1 Amortization'!$S$4)),INDEX('Mezz 1 Amortization'!$B$19:$V$379,MATCH(DATE(FP$7,MAX('Mezz 1 Amortization'!$R$4,'Mezz 1 Amortization'!$S$4),31),'Mezz 1 Amortization'!$E$19:$E$379,0),MATCH('Mezz 1 Amortization'!$V$19,'Mezz 1 Amortization'!$B$19:$V$19,0)),IF(AND('Mezz 1 Amortization'!$T$4="Bi-Annual",FP$5&gt;MIN('Mezz 1 Amortization'!$R$4,'Mezz 1 Amortization'!$S$4),FP$5&lt;MAX('Mezz 1 Amortization'!$R$4,'Mezz 1 Amortization'!$S$4)),INDEX('Mezz 1 Amortization'!$B$19:$V$379,MATCH(DATE(FP$7,MIN('Mezz 1 Amortization'!$R$4,'Mezz 1 Amortization'!$S$4),31),'Mezz 1 Amortization'!$E$19:$E$379,0),MATCH('Mezz 1 Amortization'!$V$19,'Mezz 1 Amortization'!$B$19:$V$19,0)),IF(AND('Mezz 1 Amortization'!$T$4="Bi-Annual",FP$5='Mezz 1 Amortization'!$R$4),INDEX('Mezz 1 Amortization'!$B$19:$V$379,MATCH(DATE(FP$7,'Mezz 1 Amortization'!$R$4,31),'Mezz 1 Amortization'!$E$19:$E$379,0),MATCH('Mezz 1 Amortization'!$V$19,'Mezz 1 Amortization'!$B$19:$V$19,0)),IF(AND('Mezz 1 Amortization'!$T$4="Bi-Annual",FP$5='Mezz 1 Amortization'!$S$4),INDEX('Mezz 1 Amortization'!$B$19:$V$379,MATCH(DATE(FP$7,'Mezz 1 Amortization'!$S$4,31),'Mezz 1 Amortization'!$E$19:$E$379,0),MATCH('Mezz 1 Amortization'!$V$19,'Mezz 1 Amortization'!$B$19:$V$19,0)))))))))))</f>
        <v>0</v>
      </c>
      <c r="FQ140" s="427">
        <f>IF('Financing Assumptions'!$P$8="No",0,IF(FQ$9&lt;'Financing Assumptions'!$O$26,0,IF(AND('Mezz 1 Amortization'!$T$4&lt;&gt;"Monthly",FQ9&lt;='Financing Assumptions'!$O$26),0,IF('Mezz 1 Amortization'!$T$4="Monthly",INDEX('Mezz 1 Amortization'!$B$19:$V$379,MATCH(FQ$11,'Mezz 1 Amortization'!$E$19:$E$379,0),MATCH('Mezz 1 Amortization'!$V$19,'Mezz 1 Amortization'!$B$19:$V$19,0)),IF(AND('Mezz 1 Amortization'!$T$4="Bi-Annual",FQ$5&lt;MIN('Mezz 1 Amortization'!$R$4,'Mezz 1 Amortization'!$S$4)),INDEX('Mezz 1 Amortization'!$B$19:$V$379,MATCH(DATE(FQ$7-1,MAX('Mezz 1 Amortization'!$R$4,'Mezz 1 Amortization'!$S$4),31),'Mezz 1 Amortization'!$E$19:$E$379,0),MATCH('Mezz 1 Amortization'!$V$19,'Mezz 1 Amortization'!$B$19:$V$19,0)),IF(AND('Mezz 1 Amortization'!$T$4="Bi-Annual",FQ$5&gt;MAX('Mezz 1 Amortization'!$R$4,'Mezz 1 Amortization'!$S$4)),INDEX('Mezz 1 Amortization'!$B$19:$V$379,MATCH(DATE(FQ$7,MAX('Mezz 1 Amortization'!$R$4,'Mezz 1 Amortization'!$S$4),31),'Mezz 1 Amortization'!$E$19:$E$379,0),MATCH('Mezz 1 Amortization'!$V$19,'Mezz 1 Amortization'!$B$19:$V$19,0)),IF(AND('Mezz 1 Amortization'!$T$4="Bi-Annual",FQ$5&gt;MIN('Mezz 1 Amortization'!$R$4,'Mezz 1 Amortization'!$S$4),FQ$5&lt;MAX('Mezz 1 Amortization'!$R$4,'Mezz 1 Amortization'!$S$4)),INDEX('Mezz 1 Amortization'!$B$19:$V$379,MATCH(DATE(FQ$7,MIN('Mezz 1 Amortization'!$R$4,'Mezz 1 Amortization'!$S$4),31),'Mezz 1 Amortization'!$E$19:$E$379,0),MATCH('Mezz 1 Amortization'!$V$19,'Mezz 1 Amortization'!$B$19:$V$19,0)),IF(AND('Mezz 1 Amortization'!$T$4="Bi-Annual",FQ$5='Mezz 1 Amortization'!$R$4),INDEX('Mezz 1 Amortization'!$B$19:$V$379,MATCH(DATE(FQ$7,'Mezz 1 Amortization'!$R$4,31),'Mezz 1 Amortization'!$E$19:$E$379,0),MATCH('Mezz 1 Amortization'!$V$19,'Mezz 1 Amortization'!$B$19:$V$19,0)),IF(AND('Mezz 1 Amortization'!$T$4="Bi-Annual",FQ$5='Mezz 1 Amortization'!$S$4),INDEX('Mezz 1 Amortization'!$B$19:$V$379,MATCH(DATE(FQ$7,'Mezz 1 Amortization'!$S$4,31),'Mezz 1 Amortization'!$E$19:$E$379,0),MATCH('Mezz 1 Amortization'!$V$19,'Mezz 1 Amortization'!$B$19:$V$19,0)))))))))))</f>
        <v>0</v>
      </c>
      <c r="FR140" s="427">
        <f>IF('Financing Assumptions'!$P$8="No",0,IF(FR$9&lt;'Financing Assumptions'!$O$26,0,IF(AND('Mezz 1 Amortization'!$T$4&lt;&gt;"Monthly",FR9&lt;='Financing Assumptions'!$O$26),0,IF('Mezz 1 Amortization'!$T$4="Monthly",INDEX('Mezz 1 Amortization'!$B$19:$V$379,MATCH(FR$11,'Mezz 1 Amortization'!$E$19:$E$379,0),MATCH('Mezz 1 Amortization'!$V$19,'Mezz 1 Amortization'!$B$19:$V$19,0)),IF(AND('Mezz 1 Amortization'!$T$4="Bi-Annual",FR$5&lt;MIN('Mezz 1 Amortization'!$R$4,'Mezz 1 Amortization'!$S$4)),INDEX('Mezz 1 Amortization'!$B$19:$V$379,MATCH(DATE(FR$7-1,MAX('Mezz 1 Amortization'!$R$4,'Mezz 1 Amortization'!$S$4),31),'Mezz 1 Amortization'!$E$19:$E$379,0),MATCH('Mezz 1 Amortization'!$V$19,'Mezz 1 Amortization'!$B$19:$V$19,0)),IF(AND('Mezz 1 Amortization'!$T$4="Bi-Annual",FR$5&gt;MAX('Mezz 1 Amortization'!$R$4,'Mezz 1 Amortization'!$S$4)),INDEX('Mezz 1 Amortization'!$B$19:$V$379,MATCH(DATE(FR$7,MAX('Mezz 1 Amortization'!$R$4,'Mezz 1 Amortization'!$S$4),31),'Mezz 1 Amortization'!$E$19:$E$379,0),MATCH('Mezz 1 Amortization'!$V$19,'Mezz 1 Amortization'!$B$19:$V$19,0)),IF(AND('Mezz 1 Amortization'!$T$4="Bi-Annual",FR$5&gt;MIN('Mezz 1 Amortization'!$R$4,'Mezz 1 Amortization'!$S$4),FR$5&lt;MAX('Mezz 1 Amortization'!$R$4,'Mezz 1 Amortization'!$S$4)),INDEX('Mezz 1 Amortization'!$B$19:$V$379,MATCH(DATE(FR$7,MIN('Mezz 1 Amortization'!$R$4,'Mezz 1 Amortization'!$S$4),31),'Mezz 1 Amortization'!$E$19:$E$379,0),MATCH('Mezz 1 Amortization'!$V$19,'Mezz 1 Amortization'!$B$19:$V$19,0)),IF(AND('Mezz 1 Amortization'!$T$4="Bi-Annual",FR$5='Mezz 1 Amortization'!$R$4),INDEX('Mezz 1 Amortization'!$B$19:$V$379,MATCH(DATE(FR$7,'Mezz 1 Amortization'!$R$4,31),'Mezz 1 Amortization'!$E$19:$E$379,0),MATCH('Mezz 1 Amortization'!$V$19,'Mezz 1 Amortization'!$B$19:$V$19,0)),IF(AND('Mezz 1 Amortization'!$T$4="Bi-Annual",FR$5='Mezz 1 Amortization'!$S$4),INDEX('Mezz 1 Amortization'!$B$19:$V$379,MATCH(DATE(FR$7,'Mezz 1 Amortization'!$S$4,31),'Mezz 1 Amortization'!$E$19:$E$379,0),MATCH('Mezz 1 Amortization'!$V$19,'Mezz 1 Amortization'!$B$19:$V$19,0)))))))))))</f>
        <v>0</v>
      </c>
      <c r="FS140" s="427">
        <f>IF('Financing Assumptions'!$P$8="No",0,IF(FS$9&lt;'Financing Assumptions'!$O$26,0,IF(AND('Mezz 1 Amortization'!$T$4&lt;&gt;"Monthly",FS9&lt;='Financing Assumptions'!$O$26),0,IF('Mezz 1 Amortization'!$T$4="Monthly",INDEX('Mezz 1 Amortization'!$B$19:$V$379,MATCH(FS$11,'Mezz 1 Amortization'!$E$19:$E$379,0),MATCH('Mezz 1 Amortization'!$V$19,'Mezz 1 Amortization'!$B$19:$V$19,0)),IF(AND('Mezz 1 Amortization'!$T$4="Bi-Annual",FS$5&lt;MIN('Mezz 1 Amortization'!$R$4,'Mezz 1 Amortization'!$S$4)),INDEX('Mezz 1 Amortization'!$B$19:$V$379,MATCH(DATE(FS$7-1,MAX('Mezz 1 Amortization'!$R$4,'Mezz 1 Amortization'!$S$4),31),'Mezz 1 Amortization'!$E$19:$E$379,0),MATCH('Mezz 1 Amortization'!$V$19,'Mezz 1 Amortization'!$B$19:$V$19,0)),IF(AND('Mezz 1 Amortization'!$T$4="Bi-Annual",FS$5&gt;MAX('Mezz 1 Amortization'!$R$4,'Mezz 1 Amortization'!$S$4)),INDEX('Mezz 1 Amortization'!$B$19:$V$379,MATCH(DATE(FS$7,MAX('Mezz 1 Amortization'!$R$4,'Mezz 1 Amortization'!$S$4),31),'Mezz 1 Amortization'!$E$19:$E$379,0),MATCH('Mezz 1 Amortization'!$V$19,'Mezz 1 Amortization'!$B$19:$V$19,0)),IF(AND('Mezz 1 Amortization'!$T$4="Bi-Annual",FS$5&gt;MIN('Mezz 1 Amortization'!$R$4,'Mezz 1 Amortization'!$S$4),FS$5&lt;MAX('Mezz 1 Amortization'!$R$4,'Mezz 1 Amortization'!$S$4)),INDEX('Mezz 1 Amortization'!$B$19:$V$379,MATCH(DATE(FS$7,MIN('Mezz 1 Amortization'!$R$4,'Mezz 1 Amortization'!$S$4),31),'Mezz 1 Amortization'!$E$19:$E$379,0),MATCH('Mezz 1 Amortization'!$V$19,'Mezz 1 Amortization'!$B$19:$V$19,0)),IF(AND('Mezz 1 Amortization'!$T$4="Bi-Annual",FS$5='Mezz 1 Amortization'!$R$4),INDEX('Mezz 1 Amortization'!$B$19:$V$379,MATCH(DATE(FS$7,'Mezz 1 Amortization'!$R$4,31),'Mezz 1 Amortization'!$E$19:$E$379,0),MATCH('Mezz 1 Amortization'!$V$19,'Mezz 1 Amortization'!$B$19:$V$19,0)),IF(AND('Mezz 1 Amortization'!$T$4="Bi-Annual",FS$5='Mezz 1 Amortization'!$S$4),INDEX('Mezz 1 Amortization'!$B$19:$V$379,MATCH(DATE(FS$7,'Mezz 1 Amortization'!$S$4,31),'Mezz 1 Amortization'!$E$19:$E$379,0),MATCH('Mezz 1 Amortization'!$V$19,'Mezz 1 Amortization'!$B$19:$V$19,0)))))))))))</f>
        <v>0</v>
      </c>
      <c r="FT140" s="427">
        <f>IF('Financing Assumptions'!$P$8="No",0,IF(FT$9&lt;'Financing Assumptions'!$O$26,0,IF(AND('Mezz 1 Amortization'!$T$4&lt;&gt;"Monthly",FT9&lt;='Financing Assumptions'!$O$26),0,IF('Mezz 1 Amortization'!$T$4="Monthly",INDEX('Mezz 1 Amortization'!$B$19:$V$379,MATCH(FT$11,'Mezz 1 Amortization'!$E$19:$E$379,0),MATCH('Mezz 1 Amortization'!$V$19,'Mezz 1 Amortization'!$B$19:$V$19,0)),IF(AND('Mezz 1 Amortization'!$T$4="Bi-Annual",FT$5&lt;MIN('Mezz 1 Amortization'!$R$4,'Mezz 1 Amortization'!$S$4)),INDEX('Mezz 1 Amortization'!$B$19:$V$379,MATCH(DATE(FT$7-1,MAX('Mezz 1 Amortization'!$R$4,'Mezz 1 Amortization'!$S$4),31),'Mezz 1 Amortization'!$E$19:$E$379,0),MATCH('Mezz 1 Amortization'!$V$19,'Mezz 1 Amortization'!$B$19:$V$19,0)),IF(AND('Mezz 1 Amortization'!$T$4="Bi-Annual",FT$5&gt;MAX('Mezz 1 Amortization'!$R$4,'Mezz 1 Amortization'!$S$4)),INDEX('Mezz 1 Amortization'!$B$19:$V$379,MATCH(DATE(FT$7,MAX('Mezz 1 Amortization'!$R$4,'Mezz 1 Amortization'!$S$4),31),'Mezz 1 Amortization'!$E$19:$E$379,0),MATCH('Mezz 1 Amortization'!$V$19,'Mezz 1 Amortization'!$B$19:$V$19,0)),IF(AND('Mezz 1 Amortization'!$T$4="Bi-Annual",FT$5&gt;MIN('Mezz 1 Amortization'!$R$4,'Mezz 1 Amortization'!$S$4),FT$5&lt;MAX('Mezz 1 Amortization'!$R$4,'Mezz 1 Amortization'!$S$4)),INDEX('Mezz 1 Amortization'!$B$19:$V$379,MATCH(DATE(FT$7,MIN('Mezz 1 Amortization'!$R$4,'Mezz 1 Amortization'!$S$4),31),'Mezz 1 Amortization'!$E$19:$E$379,0),MATCH('Mezz 1 Amortization'!$V$19,'Mezz 1 Amortization'!$B$19:$V$19,0)),IF(AND('Mezz 1 Amortization'!$T$4="Bi-Annual",FT$5='Mezz 1 Amortization'!$R$4),INDEX('Mezz 1 Amortization'!$B$19:$V$379,MATCH(DATE(FT$7,'Mezz 1 Amortization'!$R$4,31),'Mezz 1 Amortization'!$E$19:$E$379,0),MATCH('Mezz 1 Amortization'!$V$19,'Mezz 1 Amortization'!$B$19:$V$19,0)),IF(AND('Mezz 1 Amortization'!$T$4="Bi-Annual",FT$5='Mezz 1 Amortization'!$S$4),INDEX('Mezz 1 Amortization'!$B$19:$V$379,MATCH(DATE(FT$7,'Mezz 1 Amortization'!$S$4,31),'Mezz 1 Amortization'!$E$19:$E$379,0),MATCH('Mezz 1 Amortization'!$V$19,'Mezz 1 Amortization'!$B$19:$V$19,0)))))))))))</f>
        <v>0</v>
      </c>
      <c r="FU140" s="43"/>
      <c r="FV140" s="34"/>
      <c r="FW140" s="34"/>
      <c r="FX140" s="34"/>
      <c r="FY140" s="34"/>
      <c r="FZ140" s="34"/>
    </row>
    <row r="141" spans="1:182" s="89" customFormat="1" ht="13.5" x14ac:dyDescent="0.25">
      <c r="A141" s="34"/>
      <c r="B141" s="142"/>
      <c r="C141" s="34"/>
      <c r="D141" s="34"/>
      <c r="E141" s="34"/>
      <c r="F141" s="428"/>
      <c r="G141" s="34"/>
      <c r="H141" s="800"/>
      <c r="I141" s="800"/>
      <c r="J141" s="800"/>
      <c r="K141" s="800"/>
      <c r="L141" s="800"/>
      <c r="M141" s="800"/>
      <c r="N141" s="800"/>
      <c r="O141" s="800"/>
      <c r="P141" s="800"/>
      <c r="Q141" s="800"/>
      <c r="R141" s="800"/>
      <c r="S141" s="800"/>
      <c r="T141" s="800"/>
      <c r="U141" s="800"/>
      <c r="V141" s="800"/>
      <c r="W141" s="800"/>
      <c r="X141" s="800"/>
      <c r="Y141" s="800"/>
      <c r="Z141" s="800"/>
      <c r="AA141" s="800"/>
      <c r="AB141" s="800"/>
      <c r="AC141" s="800"/>
      <c r="AD141" s="800"/>
      <c r="AE141" s="800"/>
      <c r="AF141" s="800"/>
      <c r="AG141" s="800"/>
      <c r="AH141" s="800"/>
      <c r="AI141" s="800"/>
      <c r="AJ141" s="800"/>
      <c r="AK141" s="800"/>
      <c r="AL141" s="800"/>
      <c r="AM141" s="800"/>
      <c r="AN141" s="800"/>
      <c r="AO141" s="800"/>
      <c r="AP141" s="800"/>
      <c r="AQ141" s="800"/>
      <c r="AR141" s="800"/>
      <c r="AS141" s="800"/>
      <c r="AT141" s="800"/>
      <c r="AU141" s="800"/>
      <c r="AV141" s="800"/>
      <c r="AW141" s="800"/>
      <c r="AX141" s="800"/>
      <c r="AY141" s="800"/>
      <c r="AZ141" s="800"/>
      <c r="BA141" s="800"/>
      <c r="BB141" s="800"/>
      <c r="BC141" s="800"/>
      <c r="BD141" s="800"/>
      <c r="BE141" s="800"/>
      <c r="BF141" s="800"/>
      <c r="BG141" s="800"/>
      <c r="BH141" s="800"/>
      <c r="BI141" s="800"/>
      <c r="BJ141" s="800"/>
      <c r="BK141" s="800"/>
      <c r="BL141" s="800"/>
      <c r="BM141" s="800"/>
      <c r="BN141" s="800"/>
      <c r="BO141" s="800"/>
      <c r="BP141" s="800"/>
      <c r="BQ141" s="800"/>
      <c r="BR141" s="800"/>
      <c r="BS141" s="800"/>
      <c r="BT141" s="800"/>
      <c r="BU141" s="800"/>
      <c r="BV141" s="800"/>
      <c r="BW141" s="800"/>
      <c r="BX141" s="800"/>
      <c r="BY141" s="800"/>
      <c r="BZ141" s="800"/>
      <c r="CA141" s="800"/>
      <c r="CB141" s="800"/>
      <c r="CC141" s="800"/>
      <c r="CD141" s="800"/>
      <c r="CE141" s="800"/>
      <c r="CF141" s="800"/>
      <c r="CG141" s="800"/>
      <c r="CH141" s="800"/>
      <c r="CI141" s="800"/>
      <c r="CJ141" s="800"/>
      <c r="CK141" s="800"/>
      <c r="CL141" s="800"/>
      <c r="CM141" s="800"/>
      <c r="CN141" s="800"/>
      <c r="CO141" s="800"/>
      <c r="CP141" s="800"/>
      <c r="CQ141" s="800"/>
      <c r="CR141" s="800"/>
      <c r="CS141" s="800"/>
      <c r="CT141" s="800"/>
      <c r="CU141" s="800"/>
      <c r="CV141" s="800"/>
      <c r="CW141" s="800"/>
      <c r="CX141" s="800"/>
      <c r="CY141" s="800"/>
      <c r="CZ141" s="800"/>
      <c r="DA141" s="800"/>
      <c r="DB141" s="800"/>
      <c r="DC141" s="800"/>
      <c r="DD141" s="800"/>
      <c r="DE141" s="800"/>
      <c r="DF141" s="800"/>
      <c r="DG141" s="800"/>
      <c r="DH141" s="800"/>
      <c r="DI141" s="800"/>
      <c r="DJ141" s="800"/>
      <c r="DK141" s="800"/>
      <c r="DL141" s="800"/>
      <c r="DM141" s="800"/>
      <c r="DN141" s="800"/>
      <c r="DO141" s="800"/>
      <c r="DP141" s="800"/>
      <c r="DQ141" s="800"/>
      <c r="DR141" s="800"/>
      <c r="DS141" s="800"/>
      <c r="DT141" s="800"/>
      <c r="DU141" s="800"/>
      <c r="DV141" s="800"/>
      <c r="DW141" s="800"/>
      <c r="DX141" s="800"/>
      <c r="DY141" s="800"/>
      <c r="DZ141" s="800"/>
      <c r="EA141" s="800"/>
      <c r="EB141" s="800"/>
      <c r="EC141" s="800"/>
      <c r="ED141" s="800"/>
      <c r="EE141" s="800"/>
      <c r="EF141" s="800"/>
      <c r="EG141" s="800"/>
      <c r="EH141" s="800"/>
      <c r="EI141" s="800"/>
      <c r="EJ141" s="800"/>
      <c r="EK141" s="800"/>
      <c r="EL141" s="800"/>
      <c r="EM141" s="800"/>
      <c r="EN141" s="800"/>
      <c r="EO141" s="800"/>
      <c r="EP141" s="800"/>
      <c r="EQ141" s="800"/>
      <c r="ER141" s="800"/>
      <c r="ES141" s="800"/>
      <c r="ET141" s="800"/>
      <c r="EU141" s="800"/>
      <c r="EV141" s="800"/>
      <c r="EW141" s="800"/>
      <c r="EX141" s="800"/>
      <c r="EY141" s="800"/>
      <c r="EZ141" s="800"/>
      <c r="FA141" s="800"/>
      <c r="FB141" s="800"/>
      <c r="FC141" s="800"/>
      <c r="FD141" s="800"/>
      <c r="FE141" s="800"/>
      <c r="FF141" s="800"/>
      <c r="FG141" s="800"/>
      <c r="FH141" s="800"/>
      <c r="FI141" s="800"/>
      <c r="FJ141" s="800"/>
      <c r="FK141" s="800"/>
      <c r="FL141" s="800"/>
      <c r="FM141" s="800"/>
      <c r="FN141" s="800"/>
      <c r="FO141" s="800"/>
      <c r="FP141" s="800"/>
      <c r="FQ141" s="800"/>
      <c r="FR141" s="800"/>
      <c r="FS141" s="800"/>
      <c r="FT141" s="800"/>
      <c r="FU141" s="43"/>
      <c r="FV141" s="34"/>
      <c r="FW141" s="34"/>
      <c r="FX141" s="34"/>
      <c r="FY141" s="34"/>
      <c r="FZ141" s="34"/>
    </row>
    <row r="142" spans="1:182" s="89" customFormat="1" ht="13.5" x14ac:dyDescent="0.25">
      <c r="A142" s="34"/>
      <c r="B142" s="1216" t="str">
        <f>'Financing Assumptions'!R8</f>
        <v>Mezz 2</v>
      </c>
      <c r="C142" s="34"/>
      <c r="D142" s="34"/>
      <c r="E142" s="34"/>
      <c r="F142" s="428"/>
      <c r="G142" s="34"/>
      <c r="H142" s="1270">
        <f>H$11</f>
        <v>46053</v>
      </c>
      <c r="I142" s="1270">
        <f t="shared" ref="I142:BT142" si="207">I$11</f>
        <v>46081</v>
      </c>
      <c r="J142" s="1270">
        <f t="shared" si="207"/>
        <v>46112</v>
      </c>
      <c r="K142" s="1270">
        <f t="shared" si="207"/>
        <v>46142</v>
      </c>
      <c r="L142" s="1270">
        <f t="shared" si="207"/>
        <v>46173</v>
      </c>
      <c r="M142" s="1270">
        <f t="shared" si="207"/>
        <v>46203</v>
      </c>
      <c r="N142" s="1270">
        <f t="shared" si="207"/>
        <v>46234</v>
      </c>
      <c r="O142" s="1270">
        <f t="shared" si="207"/>
        <v>46265</v>
      </c>
      <c r="P142" s="1270">
        <f t="shared" si="207"/>
        <v>46295</v>
      </c>
      <c r="Q142" s="1270">
        <f t="shared" si="207"/>
        <v>46326</v>
      </c>
      <c r="R142" s="1270">
        <f t="shared" si="207"/>
        <v>46356</v>
      </c>
      <c r="S142" s="1270">
        <f t="shared" si="207"/>
        <v>46387</v>
      </c>
      <c r="T142" s="1270">
        <f t="shared" si="207"/>
        <v>46418</v>
      </c>
      <c r="U142" s="1270">
        <f t="shared" si="207"/>
        <v>46446</v>
      </c>
      <c r="V142" s="1270">
        <f t="shared" si="207"/>
        <v>46477</v>
      </c>
      <c r="W142" s="1270">
        <f t="shared" si="207"/>
        <v>46507</v>
      </c>
      <c r="X142" s="1270">
        <f t="shared" si="207"/>
        <v>46538</v>
      </c>
      <c r="Y142" s="1270">
        <f t="shared" si="207"/>
        <v>46568</v>
      </c>
      <c r="Z142" s="1270">
        <f t="shared" si="207"/>
        <v>46599</v>
      </c>
      <c r="AA142" s="1270">
        <f t="shared" si="207"/>
        <v>46630</v>
      </c>
      <c r="AB142" s="1270">
        <f t="shared" si="207"/>
        <v>46660</v>
      </c>
      <c r="AC142" s="1270">
        <f t="shared" si="207"/>
        <v>46691</v>
      </c>
      <c r="AD142" s="1270">
        <f t="shared" si="207"/>
        <v>46721</v>
      </c>
      <c r="AE142" s="1270">
        <f t="shared" si="207"/>
        <v>46752</v>
      </c>
      <c r="AF142" s="1270">
        <f t="shared" si="207"/>
        <v>46783</v>
      </c>
      <c r="AG142" s="1270">
        <f t="shared" si="207"/>
        <v>46812</v>
      </c>
      <c r="AH142" s="1270">
        <f t="shared" si="207"/>
        <v>46843</v>
      </c>
      <c r="AI142" s="1270">
        <f t="shared" si="207"/>
        <v>46873</v>
      </c>
      <c r="AJ142" s="1270">
        <f t="shared" si="207"/>
        <v>46904</v>
      </c>
      <c r="AK142" s="1270">
        <f t="shared" si="207"/>
        <v>46934</v>
      </c>
      <c r="AL142" s="1270">
        <f t="shared" si="207"/>
        <v>46965</v>
      </c>
      <c r="AM142" s="1270">
        <f t="shared" si="207"/>
        <v>46996</v>
      </c>
      <c r="AN142" s="1270">
        <f t="shared" si="207"/>
        <v>47026</v>
      </c>
      <c r="AO142" s="1270">
        <f t="shared" si="207"/>
        <v>47057</v>
      </c>
      <c r="AP142" s="1270">
        <f t="shared" si="207"/>
        <v>47087</v>
      </c>
      <c r="AQ142" s="1270">
        <f t="shared" si="207"/>
        <v>47118</v>
      </c>
      <c r="AR142" s="1270">
        <f t="shared" si="207"/>
        <v>47149</v>
      </c>
      <c r="AS142" s="1270">
        <f t="shared" si="207"/>
        <v>47177</v>
      </c>
      <c r="AT142" s="1270">
        <f t="shared" si="207"/>
        <v>47208</v>
      </c>
      <c r="AU142" s="1270">
        <f t="shared" si="207"/>
        <v>47238</v>
      </c>
      <c r="AV142" s="1270">
        <f t="shared" si="207"/>
        <v>47269</v>
      </c>
      <c r="AW142" s="1270">
        <f t="shared" si="207"/>
        <v>47299</v>
      </c>
      <c r="AX142" s="1270">
        <f t="shared" si="207"/>
        <v>47330</v>
      </c>
      <c r="AY142" s="1270">
        <f t="shared" si="207"/>
        <v>47361</v>
      </c>
      <c r="AZ142" s="1270">
        <f t="shared" si="207"/>
        <v>47391</v>
      </c>
      <c r="BA142" s="1270">
        <f t="shared" si="207"/>
        <v>47422</v>
      </c>
      <c r="BB142" s="1270">
        <f t="shared" si="207"/>
        <v>47452</v>
      </c>
      <c r="BC142" s="1270">
        <f t="shared" si="207"/>
        <v>47483</v>
      </c>
      <c r="BD142" s="1270">
        <f t="shared" si="207"/>
        <v>47514</v>
      </c>
      <c r="BE142" s="1270">
        <f t="shared" si="207"/>
        <v>47542</v>
      </c>
      <c r="BF142" s="1270">
        <f t="shared" si="207"/>
        <v>47573</v>
      </c>
      <c r="BG142" s="1270">
        <f t="shared" si="207"/>
        <v>47603</v>
      </c>
      <c r="BH142" s="1270">
        <f t="shared" si="207"/>
        <v>47634</v>
      </c>
      <c r="BI142" s="1270">
        <f t="shared" si="207"/>
        <v>47664</v>
      </c>
      <c r="BJ142" s="1270">
        <f t="shared" si="207"/>
        <v>47695</v>
      </c>
      <c r="BK142" s="1270">
        <f t="shared" si="207"/>
        <v>47726</v>
      </c>
      <c r="BL142" s="1270">
        <f t="shared" si="207"/>
        <v>47756</v>
      </c>
      <c r="BM142" s="1270">
        <f t="shared" si="207"/>
        <v>47787</v>
      </c>
      <c r="BN142" s="1270">
        <f t="shared" si="207"/>
        <v>47817</v>
      </c>
      <c r="BO142" s="1270">
        <f t="shared" si="207"/>
        <v>47848</v>
      </c>
      <c r="BP142" s="1270">
        <f t="shared" si="207"/>
        <v>47879</v>
      </c>
      <c r="BQ142" s="1270">
        <f t="shared" si="207"/>
        <v>47907</v>
      </c>
      <c r="BR142" s="1270">
        <f t="shared" si="207"/>
        <v>47938</v>
      </c>
      <c r="BS142" s="1270">
        <f t="shared" si="207"/>
        <v>47968</v>
      </c>
      <c r="BT142" s="1270">
        <f t="shared" si="207"/>
        <v>47999</v>
      </c>
      <c r="BU142" s="1270">
        <f t="shared" ref="BU142:EF142" si="208">BU$11</f>
        <v>48029</v>
      </c>
      <c r="BV142" s="1270">
        <f t="shared" si="208"/>
        <v>48060</v>
      </c>
      <c r="BW142" s="1270">
        <f t="shared" si="208"/>
        <v>48091</v>
      </c>
      <c r="BX142" s="1270">
        <f t="shared" si="208"/>
        <v>48121</v>
      </c>
      <c r="BY142" s="1270">
        <f t="shared" si="208"/>
        <v>48152</v>
      </c>
      <c r="BZ142" s="1270">
        <f t="shared" si="208"/>
        <v>48182</v>
      </c>
      <c r="CA142" s="1270">
        <f t="shared" si="208"/>
        <v>48213</v>
      </c>
      <c r="CB142" s="1270">
        <f t="shared" si="208"/>
        <v>48244</v>
      </c>
      <c r="CC142" s="1270">
        <f t="shared" si="208"/>
        <v>48273</v>
      </c>
      <c r="CD142" s="1270">
        <f t="shared" si="208"/>
        <v>48304</v>
      </c>
      <c r="CE142" s="1270">
        <f t="shared" si="208"/>
        <v>48334</v>
      </c>
      <c r="CF142" s="1270">
        <f t="shared" si="208"/>
        <v>48365</v>
      </c>
      <c r="CG142" s="1270">
        <f t="shared" si="208"/>
        <v>48395</v>
      </c>
      <c r="CH142" s="1270">
        <f t="shared" si="208"/>
        <v>48426</v>
      </c>
      <c r="CI142" s="1270">
        <f t="shared" si="208"/>
        <v>48457</v>
      </c>
      <c r="CJ142" s="1270">
        <f t="shared" si="208"/>
        <v>48487</v>
      </c>
      <c r="CK142" s="1270">
        <f t="shared" si="208"/>
        <v>48518</v>
      </c>
      <c r="CL142" s="1270">
        <f t="shared" si="208"/>
        <v>48548</v>
      </c>
      <c r="CM142" s="1270">
        <f t="shared" si="208"/>
        <v>48579</v>
      </c>
      <c r="CN142" s="1270">
        <f t="shared" si="208"/>
        <v>48610</v>
      </c>
      <c r="CO142" s="1270">
        <f t="shared" si="208"/>
        <v>48638</v>
      </c>
      <c r="CP142" s="1270">
        <f t="shared" si="208"/>
        <v>48669</v>
      </c>
      <c r="CQ142" s="1270">
        <f t="shared" si="208"/>
        <v>48699</v>
      </c>
      <c r="CR142" s="1270">
        <f t="shared" si="208"/>
        <v>48730</v>
      </c>
      <c r="CS142" s="1270">
        <f t="shared" si="208"/>
        <v>48760</v>
      </c>
      <c r="CT142" s="1270">
        <f t="shared" si="208"/>
        <v>48791</v>
      </c>
      <c r="CU142" s="1270">
        <f t="shared" si="208"/>
        <v>48822</v>
      </c>
      <c r="CV142" s="1270">
        <f t="shared" si="208"/>
        <v>48852</v>
      </c>
      <c r="CW142" s="1270">
        <f t="shared" si="208"/>
        <v>48883</v>
      </c>
      <c r="CX142" s="1270">
        <f t="shared" si="208"/>
        <v>48913</v>
      </c>
      <c r="CY142" s="1270">
        <f t="shared" si="208"/>
        <v>48944</v>
      </c>
      <c r="CZ142" s="1270">
        <f t="shared" si="208"/>
        <v>48975</v>
      </c>
      <c r="DA142" s="1270">
        <f t="shared" si="208"/>
        <v>49003</v>
      </c>
      <c r="DB142" s="1270">
        <f t="shared" si="208"/>
        <v>49034</v>
      </c>
      <c r="DC142" s="1270">
        <f t="shared" si="208"/>
        <v>49064</v>
      </c>
      <c r="DD142" s="1270">
        <f t="shared" si="208"/>
        <v>49095</v>
      </c>
      <c r="DE142" s="1270">
        <f t="shared" si="208"/>
        <v>49125</v>
      </c>
      <c r="DF142" s="1270">
        <f t="shared" si="208"/>
        <v>49156</v>
      </c>
      <c r="DG142" s="1270">
        <f t="shared" si="208"/>
        <v>49187</v>
      </c>
      <c r="DH142" s="1270">
        <f t="shared" si="208"/>
        <v>49217</v>
      </c>
      <c r="DI142" s="1270">
        <f t="shared" si="208"/>
        <v>49248</v>
      </c>
      <c r="DJ142" s="1270">
        <f t="shared" si="208"/>
        <v>49278</v>
      </c>
      <c r="DK142" s="1270">
        <f t="shared" si="208"/>
        <v>49309</v>
      </c>
      <c r="DL142" s="1270">
        <f t="shared" si="208"/>
        <v>49340</v>
      </c>
      <c r="DM142" s="1270">
        <f t="shared" si="208"/>
        <v>49368</v>
      </c>
      <c r="DN142" s="1270">
        <f t="shared" si="208"/>
        <v>49399</v>
      </c>
      <c r="DO142" s="1270">
        <f t="shared" si="208"/>
        <v>49429</v>
      </c>
      <c r="DP142" s="1270">
        <f t="shared" si="208"/>
        <v>49460</v>
      </c>
      <c r="DQ142" s="1270">
        <f t="shared" si="208"/>
        <v>49490</v>
      </c>
      <c r="DR142" s="1270">
        <f t="shared" si="208"/>
        <v>49521</v>
      </c>
      <c r="DS142" s="1270">
        <f t="shared" si="208"/>
        <v>49552</v>
      </c>
      <c r="DT142" s="1270">
        <f t="shared" si="208"/>
        <v>49582</v>
      </c>
      <c r="DU142" s="1270">
        <f t="shared" si="208"/>
        <v>49613</v>
      </c>
      <c r="DV142" s="1270">
        <f t="shared" si="208"/>
        <v>49643</v>
      </c>
      <c r="DW142" s="1270">
        <f t="shared" si="208"/>
        <v>49674</v>
      </c>
      <c r="DX142" s="1270">
        <f t="shared" si="208"/>
        <v>49705</v>
      </c>
      <c r="DY142" s="1270">
        <f t="shared" si="208"/>
        <v>49734</v>
      </c>
      <c r="DZ142" s="1270">
        <f t="shared" si="208"/>
        <v>49765</v>
      </c>
      <c r="EA142" s="1270">
        <f t="shared" si="208"/>
        <v>49795</v>
      </c>
      <c r="EB142" s="1270">
        <f t="shared" si="208"/>
        <v>49826</v>
      </c>
      <c r="EC142" s="1270">
        <f t="shared" si="208"/>
        <v>49856</v>
      </c>
      <c r="ED142" s="1270">
        <f t="shared" si="208"/>
        <v>49887</v>
      </c>
      <c r="EE142" s="1270">
        <f t="shared" si="208"/>
        <v>49918</v>
      </c>
      <c r="EF142" s="1270">
        <f t="shared" si="208"/>
        <v>49948</v>
      </c>
      <c r="EG142" s="1270">
        <f t="shared" ref="EG142:FT142" si="209">EG$11</f>
        <v>49979</v>
      </c>
      <c r="EH142" s="1270">
        <f t="shared" si="209"/>
        <v>50009</v>
      </c>
      <c r="EI142" s="1270">
        <f t="shared" si="209"/>
        <v>50040</v>
      </c>
      <c r="EJ142" s="1270">
        <f t="shared" si="209"/>
        <v>50071</v>
      </c>
      <c r="EK142" s="1270">
        <f t="shared" si="209"/>
        <v>50099</v>
      </c>
      <c r="EL142" s="1270">
        <f t="shared" si="209"/>
        <v>50130</v>
      </c>
      <c r="EM142" s="1270">
        <f t="shared" si="209"/>
        <v>50160</v>
      </c>
      <c r="EN142" s="1270">
        <f t="shared" si="209"/>
        <v>50191</v>
      </c>
      <c r="EO142" s="1270">
        <f t="shared" si="209"/>
        <v>50221</v>
      </c>
      <c r="EP142" s="1270">
        <f t="shared" si="209"/>
        <v>50252</v>
      </c>
      <c r="EQ142" s="1270">
        <f t="shared" si="209"/>
        <v>50283</v>
      </c>
      <c r="ER142" s="1270">
        <f t="shared" si="209"/>
        <v>50313</v>
      </c>
      <c r="ES142" s="1270">
        <f t="shared" si="209"/>
        <v>50344</v>
      </c>
      <c r="ET142" s="1270">
        <f t="shared" si="209"/>
        <v>50374</v>
      </c>
      <c r="EU142" s="1270">
        <f t="shared" si="209"/>
        <v>50405</v>
      </c>
      <c r="EV142" s="1270">
        <f t="shared" si="209"/>
        <v>50436</v>
      </c>
      <c r="EW142" s="1270">
        <f t="shared" si="209"/>
        <v>50464</v>
      </c>
      <c r="EX142" s="1270">
        <f t="shared" si="209"/>
        <v>50495</v>
      </c>
      <c r="EY142" s="1270">
        <f t="shared" si="209"/>
        <v>50525</v>
      </c>
      <c r="EZ142" s="1270">
        <f t="shared" si="209"/>
        <v>50556</v>
      </c>
      <c r="FA142" s="1270">
        <f t="shared" si="209"/>
        <v>50586</v>
      </c>
      <c r="FB142" s="1270">
        <f t="shared" si="209"/>
        <v>50617</v>
      </c>
      <c r="FC142" s="1270">
        <f t="shared" si="209"/>
        <v>50648</v>
      </c>
      <c r="FD142" s="1270">
        <f t="shared" si="209"/>
        <v>50678</v>
      </c>
      <c r="FE142" s="1270">
        <f t="shared" si="209"/>
        <v>50709</v>
      </c>
      <c r="FF142" s="1270">
        <f t="shared" si="209"/>
        <v>50739</v>
      </c>
      <c r="FG142" s="1270">
        <f t="shared" si="209"/>
        <v>50770</v>
      </c>
      <c r="FH142" s="1270">
        <f t="shared" si="209"/>
        <v>50801</v>
      </c>
      <c r="FI142" s="1270">
        <f t="shared" si="209"/>
        <v>50829</v>
      </c>
      <c r="FJ142" s="1270">
        <f t="shared" si="209"/>
        <v>50860</v>
      </c>
      <c r="FK142" s="1270">
        <f t="shared" si="209"/>
        <v>50890</v>
      </c>
      <c r="FL142" s="1270">
        <f t="shared" si="209"/>
        <v>50921</v>
      </c>
      <c r="FM142" s="1270">
        <f t="shared" si="209"/>
        <v>50951</v>
      </c>
      <c r="FN142" s="1270">
        <f t="shared" si="209"/>
        <v>50982</v>
      </c>
      <c r="FO142" s="1270">
        <f t="shared" si="209"/>
        <v>51013</v>
      </c>
      <c r="FP142" s="1270">
        <f t="shared" si="209"/>
        <v>51043</v>
      </c>
      <c r="FQ142" s="1270">
        <f t="shared" si="209"/>
        <v>51074</v>
      </c>
      <c r="FR142" s="1270">
        <f t="shared" si="209"/>
        <v>51104</v>
      </c>
      <c r="FS142" s="1270">
        <f t="shared" si="209"/>
        <v>51135</v>
      </c>
      <c r="FT142" s="1270">
        <f t="shared" si="209"/>
        <v>51166</v>
      </c>
      <c r="FU142" s="43"/>
      <c r="FV142" s="34"/>
      <c r="FW142" s="34"/>
      <c r="FX142" s="34"/>
      <c r="FY142" s="34"/>
      <c r="FZ142" s="34"/>
    </row>
    <row r="143" spans="1:182" s="89" customFormat="1" ht="13.5" x14ac:dyDescent="0.25">
      <c r="A143" s="34"/>
      <c r="B143" s="382" t="s">
        <v>42</v>
      </c>
      <c r="C143" s="34"/>
      <c r="D143" s="34"/>
      <c r="E143" s="34"/>
      <c r="F143" s="1225">
        <f t="shared" ref="F143" si="210">SUM(H143:FT143)</f>
        <v>0</v>
      </c>
      <c r="G143" s="34"/>
      <c r="H143" s="825">
        <f>-IF(OR('Financing Assumptions'!$T$8="No",H$142&lt;='Financing Assumptions'!$T$26,H$142&gt;'Mezz 2 Amortization'!$T$13),0,IF('Mezz 2 Amortization'!$T$4="Monthly",INDEX('Mezz 2 Amortization'!$B$19:$V$379,MATCH(H$142,'Mezz 2 Amortization'!$E$19:$E$379,0),MATCH('Mezz 2 Amortization'!$O$19,'Mezz 2 Amortization'!$B$19:$V$19,0)),IF('Mezz 2 Amortization'!$T$4="Bi-Annual",IF(OR('Mezz 2 Amortization'!$R$4=H$5,'Mezz 2 Amortization'!$S$4=H$5),INDEX('Mezz 2 Amortization'!$B$19:$V$379,MATCH(H$142,'Mezz 2 Amortization'!$E$19:$E$379,0),MATCH('Mezz 2 Amortization'!$O$19,'Mezz 2 Amortization'!$B$19:$V$19,0)),0),0)))</f>
        <v>0</v>
      </c>
      <c r="I143" s="825">
        <f>-IF(OR('Financing Assumptions'!$T$8="No",I$142&lt;='Financing Assumptions'!$T$26,I$142&gt;'Mezz 2 Amortization'!$T$13),0,IF('Mezz 2 Amortization'!$T$4="Monthly",INDEX('Mezz 2 Amortization'!$B$19:$V$379,MATCH(I$142,'Mezz 2 Amortization'!$E$19:$E$379,0),MATCH('Mezz 2 Amortization'!$O$19,'Mezz 2 Amortization'!$B$19:$V$19,0)),IF('Mezz 2 Amortization'!$T$4="Bi-Annual",IF(OR('Mezz 2 Amortization'!$R$4=I$5,'Mezz 2 Amortization'!$S$4=I$5),INDEX('Mezz 2 Amortization'!$B$19:$V$379,MATCH(I$142,'Mezz 2 Amortization'!$E$19:$E$379,0),MATCH('Mezz 2 Amortization'!$O$19,'Mezz 2 Amortization'!$B$19:$V$19,0)),0),0)))</f>
        <v>0</v>
      </c>
      <c r="J143" s="825">
        <f>-IF(OR('Financing Assumptions'!$T$8="No",J$142&lt;='Financing Assumptions'!$T$26,J$142&gt;'Mezz 2 Amortization'!$T$13),0,IF('Mezz 2 Amortization'!$T$4="Monthly",INDEX('Mezz 2 Amortization'!$B$19:$V$379,MATCH(J$142,'Mezz 2 Amortization'!$E$19:$E$379,0),MATCH('Mezz 2 Amortization'!$O$19,'Mezz 2 Amortization'!$B$19:$V$19,0)),IF('Mezz 2 Amortization'!$T$4="Bi-Annual",IF(OR('Mezz 2 Amortization'!$R$4=J$5,'Mezz 2 Amortization'!$S$4=J$5),INDEX('Mezz 2 Amortization'!$B$19:$V$379,MATCH(J$142,'Mezz 2 Amortization'!$E$19:$E$379,0),MATCH('Mezz 2 Amortization'!$O$19,'Mezz 2 Amortization'!$B$19:$V$19,0)),0),0)))</f>
        <v>0</v>
      </c>
      <c r="K143" s="825">
        <f>-IF(OR('Financing Assumptions'!$T$8="No",K$142&lt;='Financing Assumptions'!$T$26,K$142&gt;'Mezz 2 Amortization'!$T$13),0,IF('Mezz 2 Amortization'!$T$4="Monthly",INDEX('Mezz 2 Amortization'!$B$19:$V$379,MATCH(K$142,'Mezz 2 Amortization'!$E$19:$E$379,0),MATCH('Mezz 2 Amortization'!$O$19,'Mezz 2 Amortization'!$B$19:$V$19,0)),IF('Mezz 2 Amortization'!$T$4="Bi-Annual",IF(OR('Mezz 2 Amortization'!$R$4=K$5,'Mezz 2 Amortization'!$S$4=K$5),INDEX('Mezz 2 Amortization'!$B$19:$V$379,MATCH(K$142,'Mezz 2 Amortization'!$E$19:$E$379,0),MATCH('Mezz 2 Amortization'!$O$19,'Mezz 2 Amortization'!$B$19:$V$19,0)),0),0)))</f>
        <v>0</v>
      </c>
      <c r="L143" s="825">
        <f>-IF(OR('Financing Assumptions'!$T$8="No",L$142&lt;='Financing Assumptions'!$T$26,L$142&gt;'Mezz 2 Amortization'!$T$13),0,IF('Mezz 2 Amortization'!$T$4="Monthly",INDEX('Mezz 2 Amortization'!$B$19:$V$379,MATCH(L$142,'Mezz 2 Amortization'!$E$19:$E$379,0),MATCH('Mezz 2 Amortization'!$O$19,'Mezz 2 Amortization'!$B$19:$V$19,0)),IF('Mezz 2 Amortization'!$T$4="Bi-Annual",IF(OR('Mezz 2 Amortization'!$R$4=L$5,'Mezz 2 Amortization'!$S$4=L$5),INDEX('Mezz 2 Amortization'!$B$19:$V$379,MATCH(L$142,'Mezz 2 Amortization'!$E$19:$E$379,0),MATCH('Mezz 2 Amortization'!$O$19,'Mezz 2 Amortization'!$B$19:$V$19,0)),0),0)))</f>
        <v>0</v>
      </c>
      <c r="M143" s="825">
        <f>-IF(OR('Financing Assumptions'!$T$8="No",M$142&lt;='Financing Assumptions'!$T$26,M$142&gt;'Mezz 2 Amortization'!$T$13),0,IF('Mezz 2 Amortization'!$T$4="Monthly",INDEX('Mezz 2 Amortization'!$B$19:$V$379,MATCH(M$142,'Mezz 2 Amortization'!$E$19:$E$379,0),MATCH('Mezz 2 Amortization'!$O$19,'Mezz 2 Amortization'!$B$19:$V$19,0)),IF('Mezz 2 Amortization'!$T$4="Bi-Annual",IF(OR('Mezz 2 Amortization'!$R$4=M$5,'Mezz 2 Amortization'!$S$4=M$5),INDEX('Mezz 2 Amortization'!$B$19:$V$379,MATCH(M$142,'Mezz 2 Amortization'!$E$19:$E$379,0),MATCH('Mezz 2 Amortization'!$O$19,'Mezz 2 Amortization'!$B$19:$V$19,0)),0),0)))</f>
        <v>0</v>
      </c>
      <c r="N143" s="825">
        <f>-IF(OR('Financing Assumptions'!$T$8="No",N$142&lt;='Financing Assumptions'!$T$26,N$142&gt;'Mezz 2 Amortization'!$T$13),0,IF('Mezz 2 Amortization'!$T$4="Monthly",INDEX('Mezz 2 Amortization'!$B$19:$V$379,MATCH(N$142,'Mezz 2 Amortization'!$E$19:$E$379,0),MATCH('Mezz 2 Amortization'!$O$19,'Mezz 2 Amortization'!$B$19:$V$19,0)),IF('Mezz 2 Amortization'!$T$4="Bi-Annual",IF(OR('Mezz 2 Amortization'!$R$4=N$5,'Mezz 2 Amortization'!$S$4=N$5),INDEX('Mezz 2 Amortization'!$B$19:$V$379,MATCH(N$142,'Mezz 2 Amortization'!$E$19:$E$379,0),MATCH('Mezz 2 Amortization'!$O$19,'Mezz 2 Amortization'!$B$19:$V$19,0)),0),0)))</f>
        <v>0</v>
      </c>
      <c r="O143" s="825">
        <f>-IF(OR('Financing Assumptions'!$T$8="No",O$142&lt;='Financing Assumptions'!$T$26,O$142&gt;'Mezz 2 Amortization'!$T$13),0,IF('Mezz 2 Amortization'!$T$4="Monthly",INDEX('Mezz 2 Amortization'!$B$19:$V$379,MATCH(O$142,'Mezz 2 Amortization'!$E$19:$E$379,0),MATCH('Mezz 2 Amortization'!$O$19,'Mezz 2 Amortization'!$B$19:$V$19,0)),IF('Mezz 2 Amortization'!$T$4="Bi-Annual",IF(OR('Mezz 2 Amortization'!$R$4=O$5,'Mezz 2 Amortization'!$S$4=O$5),INDEX('Mezz 2 Amortization'!$B$19:$V$379,MATCH(O$142,'Mezz 2 Amortization'!$E$19:$E$379,0),MATCH('Mezz 2 Amortization'!$O$19,'Mezz 2 Amortization'!$B$19:$V$19,0)),0),0)))</f>
        <v>0</v>
      </c>
      <c r="P143" s="825">
        <f>-IF(OR('Financing Assumptions'!$T$8="No",P$142&lt;='Financing Assumptions'!$T$26,P$142&gt;'Mezz 2 Amortization'!$T$13),0,IF('Mezz 2 Amortization'!$T$4="Monthly",INDEX('Mezz 2 Amortization'!$B$19:$V$379,MATCH(P$142,'Mezz 2 Amortization'!$E$19:$E$379,0),MATCH('Mezz 2 Amortization'!$O$19,'Mezz 2 Amortization'!$B$19:$V$19,0)),IF('Mezz 2 Amortization'!$T$4="Bi-Annual",IF(OR('Mezz 2 Amortization'!$R$4=P$5,'Mezz 2 Amortization'!$S$4=P$5),INDEX('Mezz 2 Amortization'!$B$19:$V$379,MATCH(P$142,'Mezz 2 Amortization'!$E$19:$E$379,0),MATCH('Mezz 2 Amortization'!$O$19,'Mezz 2 Amortization'!$B$19:$V$19,0)),0),0)))</f>
        <v>0</v>
      </c>
      <c r="Q143" s="825">
        <f>-IF(OR('Financing Assumptions'!$T$8="No",Q$142&lt;='Financing Assumptions'!$T$26,Q$142&gt;'Mezz 2 Amortization'!$T$13),0,IF('Mezz 2 Amortization'!$T$4="Monthly",INDEX('Mezz 2 Amortization'!$B$19:$V$379,MATCH(Q$142,'Mezz 2 Amortization'!$E$19:$E$379,0),MATCH('Mezz 2 Amortization'!$O$19,'Mezz 2 Amortization'!$B$19:$V$19,0)),IF('Mezz 2 Amortization'!$T$4="Bi-Annual",IF(OR('Mezz 2 Amortization'!$R$4=Q$5,'Mezz 2 Amortization'!$S$4=Q$5),INDEX('Mezz 2 Amortization'!$B$19:$V$379,MATCH(Q$142,'Mezz 2 Amortization'!$E$19:$E$379,0),MATCH('Mezz 2 Amortization'!$O$19,'Mezz 2 Amortization'!$B$19:$V$19,0)),0),0)))</f>
        <v>0</v>
      </c>
      <c r="R143" s="825">
        <f>-IF(OR('Financing Assumptions'!$T$8="No",R$142&lt;='Financing Assumptions'!$T$26,R$142&gt;'Mezz 2 Amortization'!$T$13),0,IF('Mezz 2 Amortization'!$T$4="Monthly",INDEX('Mezz 2 Amortization'!$B$19:$V$379,MATCH(R$142,'Mezz 2 Amortization'!$E$19:$E$379,0),MATCH('Mezz 2 Amortization'!$O$19,'Mezz 2 Amortization'!$B$19:$V$19,0)),IF('Mezz 2 Amortization'!$T$4="Bi-Annual",IF(OR('Mezz 2 Amortization'!$R$4=R$5,'Mezz 2 Amortization'!$S$4=R$5),INDEX('Mezz 2 Amortization'!$B$19:$V$379,MATCH(R$142,'Mezz 2 Amortization'!$E$19:$E$379,0),MATCH('Mezz 2 Amortization'!$O$19,'Mezz 2 Amortization'!$B$19:$V$19,0)),0),0)))</f>
        <v>0</v>
      </c>
      <c r="S143" s="825">
        <f>-IF(OR('Financing Assumptions'!$T$8="No",S$142&lt;='Financing Assumptions'!$T$26,S$142&gt;'Mezz 2 Amortization'!$T$13),0,IF('Mezz 2 Amortization'!$T$4="Monthly",INDEX('Mezz 2 Amortization'!$B$19:$V$379,MATCH(S$142,'Mezz 2 Amortization'!$E$19:$E$379,0),MATCH('Mezz 2 Amortization'!$O$19,'Mezz 2 Amortization'!$B$19:$V$19,0)),IF('Mezz 2 Amortization'!$T$4="Bi-Annual",IF(OR('Mezz 2 Amortization'!$R$4=S$5,'Mezz 2 Amortization'!$S$4=S$5),INDEX('Mezz 2 Amortization'!$B$19:$V$379,MATCH(S$142,'Mezz 2 Amortization'!$E$19:$E$379,0),MATCH('Mezz 2 Amortization'!$O$19,'Mezz 2 Amortization'!$B$19:$V$19,0)),0),0)))</f>
        <v>0</v>
      </c>
      <c r="T143" s="825">
        <f>-IF(OR('Financing Assumptions'!$T$8="No",T$142&lt;='Financing Assumptions'!$T$26,T$142&gt;'Mezz 2 Amortization'!$T$13),0,IF('Mezz 2 Amortization'!$T$4="Monthly",INDEX('Mezz 2 Amortization'!$B$19:$V$379,MATCH(T$142,'Mezz 2 Amortization'!$E$19:$E$379,0),MATCH('Mezz 2 Amortization'!$O$19,'Mezz 2 Amortization'!$B$19:$V$19,0)),IF('Mezz 2 Amortization'!$T$4="Bi-Annual",IF(OR('Mezz 2 Amortization'!$R$4=T$5,'Mezz 2 Amortization'!$S$4=T$5),INDEX('Mezz 2 Amortization'!$B$19:$V$379,MATCH(T$142,'Mezz 2 Amortization'!$E$19:$E$379,0),MATCH('Mezz 2 Amortization'!$O$19,'Mezz 2 Amortization'!$B$19:$V$19,0)),0),0)))</f>
        <v>0</v>
      </c>
      <c r="U143" s="825">
        <f>-IF(OR('Financing Assumptions'!$T$8="No",U$142&lt;='Financing Assumptions'!$T$26,U$142&gt;'Mezz 2 Amortization'!$T$13),0,IF('Mezz 2 Amortization'!$T$4="Monthly",INDEX('Mezz 2 Amortization'!$B$19:$V$379,MATCH(U$142,'Mezz 2 Amortization'!$E$19:$E$379,0),MATCH('Mezz 2 Amortization'!$O$19,'Mezz 2 Amortization'!$B$19:$V$19,0)),IF('Mezz 2 Amortization'!$T$4="Bi-Annual",IF(OR('Mezz 2 Amortization'!$R$4=U$5,'Mezz 2 Amortization'!$S$4=U$5),INDEX('Mezz 2 Amortization'!$B$19:$V$379,MATCH(U$142,'Mezz 2 Amortization'!$E$19:$E$379,0),MATCH('Mezz 2 Amortization'!$O$19,'Mezz 2 Amortization'!$B$19:$V$19,0)),0),0)))</f>
        <v>0</v>
      </c>
      <c r="V143" s="825">
        <f>-IF(OR('Financing Assumptions'!$T$8="No",V$142&lt;='Financing Assumptions'!$T$26,V$142&gt;'Mezz 2 Amortization'!$T$13),0,IF('Mezz 2 Amortization'!$T$4="Monthly",INDEX('Mezz 2 Amortization'!$B$19:$V$379,MATCH(V$142,'Mezz 2 Amortization'!$E$19:$E$379,0),MATCH('Mezz 2 Amortization'!$O$19,'Mezz 2 Amortization'!$B$19:$V$19,0)),IF('Mezz 2 Amortization'!$T$4="Bi-Annual",IF(OR('Mezz 2 Amortization'!$R$4=V$5,'Mezz 2 Amortization'!$S$4=V$5),INDEX('Mezz 2 Amortization'!$B$19:$V$379,MATCH(V$142,'Mezz 2 Amortization'!$E$19:$E$379,0),MATCH('Mezz 2 Amortization'!$O$19,'Mezz 2 Amortization'!$B$19:$V$19,0)),0),0)))</f>
        <v>0</v>
      </c>
      <c r="W143" s="825">
        <f>-IF(OR('Financing Assumptions'!$T$8="No",W$142&lt;='Financing Assumptions'!$T$26,W$142&gt;'Mezz 2 Amortization'!$T$13),0,IF('Mezz 2 Amortization'!$T$4="Monthly",INDEX('Mezz 2 Amortization'!$B$19:$V$379,MATCH(W$142,'Mezz 2 Amortization'!$E$19:$E$379,0),MATCH('Mezz 2 Amortization'!$O$19,'Mezz 2 Amortization'!$B$19:$V$19,0)),IF('Mezz 2 Amortization'!$T$4="Bi-Annual",IF(OR('Mezz 2 Amortization'!$R$4=W$5,'Mezz 2 Amortization'!$S$4=W$5),INDEX('Mezz 2 Amortization'!$B$19:$V$379,MATCH(W$142,'Mezz 2 Amortization'!$E$19:$E$379,0),MATCH('Mezz 2 Amortization'!$O$19,'Mezz 2 Amortization'!$B$19:$V$19,0)),0),0)))</f>
        <v>0</v>
      </c>
      <c r="X143" s="825">
        <f>-IF(OR('Financing Assumptions'!$T$8="No",X$142&lt;='Financing Assumptions'!$T$26,X$142&gt;'Mezz 2 Amortization'!$T$13),0,IF('Mezz 2 Amortization'!$T$4="Monthly",INDEX('Mezz 2 Amortization'!$B$19:$V$379,MATCH(X$142,'Mezz 2 Amortization'!$E$19:$E$379,0),MATCH('Mezz 2 Amortization'!$O$19,'Mezz 2 Amortization'!$B$19:$V$19,0)),IF('Mezz 2 Amortization'!$T$4="Bi-Annual",IF(OR('Mezz 2 Amortization'!$R$4=X$5,'Mezz 2 Amortization'!$S$4=X$5),INDEX('Mezz 2 Amortization'!$B$19:$V$379,MATCH(X$142,'Mezz 2 Amortization'!$E$19:$E$379,0),MATCH('Mezz 2 Amortization'!$O$19,'Mezz 2 Amortization'!$B$19:$V$19,0)),0),0)))</f>
        <v>0</v>
      </c>
      <c r="Y143" s="825">
        <f>-IF(OR('Financing Assumptions'!$T$8="No",Y$142&lt;='Financing Assumptions'!$T$26,Y$142&gt;'Mezz 2 Amortization'!$T$13),0,IF('Mezz 2 Amortization'!$T$4="Monthly",INDEX('Mezz 2 Amortization'!$B$19:$V$379,MATCH(Y$142,'Mezz 2 Amortization'!$E$19:$E$379,0),MATCH('Mezz 2 Amortization'!$O$19,'Mezz 2 Amortization'!$B$19:$V$19,0)),IF('Mezz 2 Amortization'!$T$4="Bi-Annual",IF(OR('Mezz 2 Amortization'!$R$4=Y$5,'Mezz 2 Amortization'!$S$4=Y$5),INDEX('Mezz 2 Amortization'!$B$19:$V$379,MATCH(Y$142,'Mezz 2 Amortization'!$E$19:$E$379,0),MATCH('Mezz 2 Amortization'!$O$19,'Mezz 2 Amortization'!$B$19:$V$19,0)),0),0)))</f>
        <v>0</v>
      </c>
      <c r="Z143" s="825">
        <f>-IF(OR('Financing Assumptions'!$T$8="No",Z$142&lt;='Financing Assumptions'!$T$26,Z$142&gt;'Mezz 2 Amortization'!$T$13),0,IF('Mezz 2 Amortization'!$T$4="Monthly",INDEX('Mezz 2 Amortization'!$B$19:$V$379,MATCH(Z$142,'Mezz 2 Amortization'!$E$19:$E$379,0),MATCH('Mezz 2 Amortization'!$O$19,'Mezz 2 Amortization'!$B$19:$V$19,0)),IF('Mezz 2 Amortization'!$T$4="Bi-Annual",IF(OR('Mezz 2 Amortization'!$R$4=Z$5,'Mezz 2 Amortization'!$S$4=Z$5),INDEX('Mezz 2 Amortization'!$B$19:$V$379,MATCH(Z$142,'Mezz 2 Amortization'!$E$19:$E$379,0),MATCH('Mezz 2 Amortization'!$O$19,'Mezz 2 Amortization'!$B$19:$V$19,0)),0),0)))</f>
        <v>0</v>
      </c>
      <c r="AA143" s="825">
        <f>-IF(OR('Financing Assumptions'!$T$8="No",AA$142&lt;='Financing Assumptions'!$T$26,AA$142&gt;'Mezz 2 Amortization'!$T$13),0,IF('Mezz 2 Amortization'!$T$4="Monthly",INDEX('Mezz 2 Amortization'!$B$19:$V$379,MATCH(AA$142,'Mezz 2 Amortization'!$E$19:$E$379,0),MATCH('Mezz 2 Amortization'!$O$19,'Mezz 2 Amortization'!$B$19:$V$19,0)),IF('Mezz 2 Amortization'!$T$4="Bi-Annual",IF(OR('Mezz 2 Amortization'!$R$4=AA$5,'Mezz 2 Amortization'!$S$4=AA$5),INDEX('Mezz 2 Amortization'!$B$19:$V$379,MATCH(AA$142,'Mezz 2 Amortization'!$E$19:$E$379,0),MATCH('Mezz 2 Amortization'!$O$19,'Mezz 2 Amortization'!$B$19:$V$19,0)),0),0)))</f>
        <v>0</v>
      </c>
      <c r="AB143" s="825">
        <f>-IF(OR('Financing Assumptions'!$T$8="No",AB$142&lt;='Financing Assumptions'!$T$26,AB$142&gt;'Mezz 2 Amortization'!$T$13),0,IF('Mezz 2 Amortization'!$T$4="Monthly",INDEX('Mezz 2 Amortization'!$B$19:$V$379,MATCH(AB$142,'Mezz 2 Amortization'!$E$19:$E$379,0),MATCH('Mezz 2 Amortization'!$O$19,'Mezz 2 Amortization'!$B$19:$V$19,0)),IF('Mezz 2 Amortization'!$T$4="Bi-Annual",IF(OR('Mezz 2 Amortization'!$R$4=AB$5,'Mezz 2 Amortization'!$S$4=AB$5),INDEX('Mezz 2 Amortization'!$B$19:$V$379,MATCH(AB$142,'Mezz 2 Amortization'!$E$19:$E$379,0),MATCH('Mezz 2 Amortization'!$O$19,'Mezz 2 Amortization'!$B$19:$V$19,0)),0),0)))</f>
        <v>0</v>
      </c>
      <c r="AC143" s="825">
        <f>-IF(OR('Financing Assumptions'!$T$8="No",AC$142&lt;='Financing Assumptions'!$T$26,AC$142&gt;'Mezz 2 Amortization'!$T$13),0,IF('Mezz 2 Amortization'!$T$4="Monthly",INDEX('Mezz 2 Amortization'!$B$19:$V$379,MATCH(AC$142,'Mezz 2 Amortization'!$E$19:$E$379,0),MATCH('Mezz 2 Amortization'!$O$19,'Mezz 2 Amortization'!$B$19:$V$19,0)),IF('Mezz 2 Amortization'!$T$4="Bi-Annual",IF(OR('Mezz 2 Amortization'!$R$4=AC$5,'Mezz 2 Amortization'!$S$4=AC$5),INDEX('Mezz 2 Amortization'!$B$19:$V$379,MATCH(AC$142,'Mezz 2 Amortization'!$E$19:$E$379,0),MATCH('Mezz 2 Amortization'!$O$19,'Mezz 2 Amortization'!$B$19:$V$19,0)),0),0)))</f>
        <v>0</v>
      </c>
      <c r="AD143" s="825">
        <f>-IF(OR('Financing Assumptions'!$T$8="No",AD$142&lt;='Financing Assumptions'!$T$26,AD$142&gt;'Mezz 2 Amortization'!$T$13),0,IF('Mezz 2 Amortization'!$T$4="Monthly",INDEX('Mezz 2 Amortization'!$B$19:$V$379,MATCH(AD$142,'Mezz 2 Amortization'!$E$19:$E$379,0),MATCH('Mezz 2 Amortization'!$O$19,'Mezz 2 Amortization'!$B$19:$V$19,0)),IF('Mezz 2 Amortization'!$T$4="Bi-Annual",IF(OR('Mezz 2 Amortization'!$R$4=AD$5,'Mezz 2 Amortization'!$S$4=AD$5),INDEX('Mezz 2 Amortization'!$B$19:$V$379,MATCH(AD$142,'Mezz 2 Amortization'!$E$19:$E$379,0),MATCH('Mezz 2 Amortization'!$O$19,'Mezz 2 Amortization'!$B$19:$V$19,0)),0),0)))</f>
        <v>0</v>
      </c>
      <c r="AE143" s="825">
        <f>-IF(OR('Financing Assumptions'!$T$8="No",AE$142&lt;='Financing Assumptions'!$T$26,AE$142&gt;'Mezz 2 Amortization'!$T$13),0,IF('Mezz 2 Amortization'!$T$4="Monthly",INDEX('Mezz 2 Amortization'!$B$19:$V$379,MATCH(AE$142,'Mezz 2 Amortization'!$E$19:$E$379,0),MATCH('Mezz 2 Amortization'!$O$19,'Mezz 2 Amortization'!$B$19:$V$19,0)),IF('Mezz 2 Amortization'!$T$4="Bi-Annual",IF(OR('Mezz 2 Amortization'!$R$4=AE$5,'Mezz 2 Amortization'!$S$4=AE$5),INDEX('Mezz 2 Amortization'!$B$19:$V$379,MATCH(AE$142,'Mezz 2 Amortization'!$E$19:$E$379,0),MATCH('Mezz 2 Amortization'!$O$19,'Mezz 2 Amortization'!$B$19:$V$19,0)),0),0)))</f>
        <v>0</v>
      </c>
      <c r="AF143" s="825">
        <f>-IF(OR('Financing Assumptions'!$T$8="No",AF$142&lt;='Financing Assumptions'!$T$26,AF$142&gt;'Mezz 2 Amortization'!$T$13),0,IF('Mezz 2 Amortization'!$T$4="Monthly",INDEX('Mezz 2 Amortization'!$B$19:$V$379,MATCH(AF$142,'Mezz 2 Amortization'!$E$19:$E$379,0),MATCH('Mezz 2 Amortization'!$O$19,'Mezz 2 Amortization'!$B$19:$V$19,0)),IF('Mezz 2 Amortization'!$T$4="Bi-Annual",IF(OR('Mezz 2 Amortization'!$R$4=AF$5,'Mezz 2 Amortization'!$S$4=AF$5),INDEX('Mezz 2 Amortization'!$B$19:$V$379,MATCH(AF$142,'Mezz 2 Amortization'!$E$19:$E$379,0),MATCH('Mezz 2 Amortization'!$O$19,'Mezz 2 Amortization'!$B$19:$V$19,0)),0),0)))</f>
        <v>0</v>
      </c>
      <c r="AG143" s="825">
        <f>-IF(OR('Financing Assumptions'!$T$8="No",AG$142&lt;='Financing Assumptions'!$T$26,AG$142&gt;'Mezz 2 Amortization'!$T$13),0,IF('Mezz 2 Amortization'!$T$4="Monthly",INDEX('Mezz 2 Amortization'!$B$19:$V$379,MATCH(AG$142,'Mezz 2 Amortization'!$E$19:$E$379,0),MATCH('Mezz 2 Amortization'!$O$19,'Mezz 2 Amortization'!$B$19:$V$19,0)),IF('Mezz 2 Amortization'!$T$4="Bi-Annual",IF(OR('Mezz 2 Amortization'!$R$4=AG$5,'Mezz 2 Amortization'!$S$4=AG$5),INDEX('Mezz 2 Amortization'!$B$19:$V$379,MATCH(AG$142,'Mezz 2 Amortization'!$E$19:$E$379,0),MATCH('Mezz 2 Amortization'!$O$19,'Mezz 2 Amortization'!$B$19:$V$19,0)),0),0)))</f>
        <v>0</v>
      </c>
      <c r="AH143" s="825">
        <f>-IF(OR('Financing Assumptions'!$T$8="No",AH$142&lt;='Financing Assumptions'!$T$26,AH$142&gt;'Mezz 2 Amortization'!$T$13),0,IF('Mezz 2 Amortization'!$T$4="Monthly",INDEX('Mezz 2 Amortization'!$B$19:$V$379,MATCH(AH$142,'Mezz 2 Amortization'!$E$19:$E$379,0),MATCH('Mezz 2 Amortization'!$O$19,'Mezz 2 Amortization'!$B$19:$V$19,0)),IF('Mezz 2 Amortization'!$T$4="Bi-Annual",IF(OR('Mezz 2 Amortization'!$R$4=AH$5,'Mezz 2 Amortization'!$S$4=AH$5),INDEX('Mezz 2 Amortization'!$B$19:$V$379,MATCH(AH$142,'Mezz 2 Amortization'!$E$19:$E$379,0),MATCH('Mezz 2 Amortization'!$O$19,'Mezz 2 Amortization'!$B$19:$V$19,0)),0),0)))</f>
        <v>0</v>
      </c>
      <c r="AI143" s="825">
        <f>-IF(OR('Financing Assumptions'!$T$8="No",AI$142&lt;='Financing Assumptions'!$T$26,AI$142&gt;'Mezz 2 Amortization'!$T$13),0,IF('Mezz 2 Amortization'!$T$4="Monthly",INDEX('Mezz 2 Amortization'!$B$19:$V$379,MATCH(AI$142,'Mezz 2 Amortization'!$E$19:$E$379,0),MATCH('Mezz 2 Amortization'!$O$19,'Mezz 2 Amortization'!$B$19:$V$19,0)),IF('Mezz 2 Amortization'!$T$4="Bi-Annual",IF(OR('Mezz 2 Amortization'!$R$4=AI$5,'Mezz 2 Amortization'!$S$4=AI$5),INDEX('Mezz 2 Amortization'!$B$19:$V$379,MATCH(AI$142,'Mezz 2 Amortization'!$E$19:$E$379,0),MATCH('Mezz 2 Amortization'!$O$19,'Mezz 2 Amortization'!$B$19:$V$19,0)),0),0)))</f>
        <v>0</v>
      </c>
      <c r="AJ143" s="825">
        <f>-IF(OR('Financing Assumptions'!$T$8="No",AJ$142&lt;='Financing Assumptions'!$T$26,AJ$142&gt;'Mezz 2 Amortization'!$T$13),0,IF('Mezz 2 Amortization'!$T$4="Monthly",INDEX('Mezz 2 Amortization'!$B$19:$V$379,MATCH(AJ$142,'Mezz 2 Amortization'!$E$19:$E$379,0),MATCH('Mezz 2 Amortization'!$O$19,'Mezz 2 Amortization'!$B$19:$V$19,0)),IF('Mezz 2 Amortization'!$T$4="Bi-Annual",IF(OR('Mezz 2 Amortization'!$R$4=AJ$5,'Mezz 2 Amortization'!$S$4=AJ$5),INDEX('Mezz 2 Amortization'!$B$19:$V$379,MATCH(AJ$142,'Mezz 2 Amortization'!$E$19:$E$379,0),MATCH('Mezz 2 Amortization'!$O$19,'Mezz 2 Amortization'!$B$19:$V$19,0)),0),0)))</f>
        <v>0</v>
      </c>
      <c r="AK143" s="825">
        <f>-IF(OR('Financing Assumptions'!$T$8="No",AK$142&lt;='Financing Assumptions'!$T$26,AK$142&gt;'Mezz 2 Amortization'!$T$13),0,IF('Mezz 2 Amortization'!$T$4="Monthly",INDEX('Mezz 2 Amortization'!$B$19:$V$379,MATCH(AK$142,'Mezz 2 Amortization'!$E$19:$E$379,0),MATCH('Mezz 2 Amortization'!$O$19,'Mezz 2 Amortization'!$B$19:$V$19,0)),IF('Mezz 2 Amortization'!$T$4="Bi-Annual",IF(OR('Mezz 2 Amortization'!$R$4=AK$5,'Mezz 2 Amortization'!$S$4=AK$5),INDEX('Mezz 2 Amortization'!$B$19:$V$379,MATCH(AK$142,'Mezz 2 Amortization'!$E$19:$E$379,0),MATCH('Mezz 2 Amortization'!$O$19,'Mezz 2 Amortization'!$B$19:$V$19,0)),0),0)))</f>
        <v>0</v>
      </c>
      <c r="AL143" s="825">
        <f>-IF(OR('Financing Assumptions'!$T$8="No",AL$142&lt;='Financing Assumptions'!$T$26,AL$142&gt;'Mezz 2 Amortization'!$T$13),0,IF('Mezz 2 Amortization'!$T$4="Monthly",INDEX('Mezz 2 Amortization'!$B$19:$V$379,MATCH(AL$142,'Mezz 2 Amortization'!$E$19:$E$379,0),MATCH('Mezz 2 Amortization'!$O$19,'Mezz 2 Amortization'!$B$19:$V$19,0)),IF('Mezz 2 Amortization'!$T$4="Bi-Annual",IF(OR('Mezz 2 Amortization'!$R$4=AL$5,'Mezz 2 Amortization'!$S$4=AL$5),INDEX('Mezz 2 Amortization'!$B$19:$V$379,MATCH(AL$142,'Mezz 2 Amortization'!$E$19:$E$379,0),MATCH('Mezz 2 Amortization'!$O$19,'Mezz 2 Amortization'!$B$19:$V$19,0)),0),0)))</f>
        <v>0</v>
      </c>
      <c r="AM143" s="825">
        <f>-IF(OR('Financing Assumptions'!$T$8="No",AM$142&lt;='Financing Assumptions'!$T$26,AM$142&gt;'Mezz 2 Amortization'!$T$13),0,IF('Mezz 2 Amortization'!$T$4="Monthly",INDEX('Mezz 2 Amortization'!$B$19:$V$379,MATCH(AM$142,'Mezz 2 Amortization'!$E$19:$E$379,0),MATCH('Mezz 2 Amortization'!$O$19,'Mezz 2 Amortization'!$B$19:$V$19,0)),IF('Mezz 2 Amortization'!$T$4="Bi-Annual",IF(OR('Mezz 2 Amortization'!$R$4=AM$5,'Mezz 2 Amortization'!$S$4=AM$5),INDEX('Mezz 2 Amortization'!$B$19:$V$379,MATCH(AM$142,'Mezz 2 Amortization'!$E$19:$E$379,0),MATCH('Mezz 2 Amortization'!$O$19,'Mezz 2 Amortization'!$B$19:$V$19,0)),0),0)))</f>
        <v>0</v>
      </c>
      <c r="AN143" s="825">
        <f>-IF(OR('Financing Assumptions'!$T$8="No",AN$142&lt;='Financing Assumptions'!$T$26,AN$142&gt;'Mezz 2 Amortization'!$T$13),0,IF('Mezz 2 Amortization'!$T$4="Monthly",INDEX('Mezz 2 Amortization'!$B$19:$V$379,MATCH(AN$142,'Mezz 2 Amortization'!$E$19:$E$379,0),MATCH('Mezz 2 Amortization'!$O$19,'Mezz 2 Amortization'!$B$19:$V$19,0)),IF('Mezz 2 Amortization'!$T$4="Bi-Annual",IF(OR('Mezz 2 Amortization'!$R$4=AN$5,'Mezz 2 Amortization'!$S$4=AN$5),INDEX('Mezz 2 Amortization'!$B$19:$V$379,MATCH(AN$142,'Mezz 2 Amortization'!$E$19:$E$379,0),MATCH('Mezz 2 Amortization'!$O$19,'Mezz 2 Amortization'!$B$19:$V$19,0)),0),0)))</f>
        <v>0</v>
      </c>
      <c r="AO143" s="825">
        <f>-IF(OR('Financing Assumptions'!$T$8="No",AO$142&lt;='Financing Assumptions'!$T$26,AO$142&gt;'Mezz 2 Amortization'!$T$13),0,IF('Mezz 2 Amortization'!$T$4="Monthly",INDEX('Mezz 2 Amortization'!$B$19:$V$379,MATCH(AO$142,'Mezz 2 Amortization'!$E$19:$E$379,0),MATCH('Mezz 2 Amortization'!$O$19,'Mezz 2 Amortization'!$B$19:$V$19,0)),IF('Mezz 2 Amortization'!$T$4="Bi-Annual",IF(OR('Mezz 2 Amortization'!$R$4=AO$5,'Mezz 2 Amortization'!$S$4=AO$5),INDEX('Mezz 2 Amortization'!$B$19:$V$379,MATCH(AO$142,'Mezz 2 Amortization'!$E$19:$E$379,0),MATCH('Mezz 2 Amortization'!$O$19,'Mezz 2 Amortization'!$B$19:$V$19,0)),0),0)))</f>
        <v>0</v>
      </c>
      <c r="AP143" s="825">
        <f>-IF(OR('Financing Assumptions'!$T$8="No",AP$142&lt;='Financing Assumptions'!$T$26,AP$142&gt;'Mezz 2 Amortization'!$T$13),0,IF('Mezz 2 Amortization'!$T$4="Monthly",INDEX('Mezz 2 Amortization'!$B$19:$V$379,MATCH(AP$142,'Mezz 2 Amortization'!$E$19:$E$379,0),MATCH('Mezz 2 Amortization'!$O$19,'Mezz 2 Amortization'!$B$19:$V$19,0)),IF('Mezz 2 Amortization'!$T$4="Bi-Annual",IF(OR('Mezz 2 Amortization'!$R$4=AP$5,'Mezz 2 Amortization'!$S$4=AP$5),INDEX('Mezz 2 Amortization'!$B$19:$V$379,MATCH(AP$142,'Mezz 2 Amortization'!$E$19:$E$379,0),MATCH('Mezz 2 Amortization'!$O$19,'Mezz 2 Amortization'!$B$19:$V$19,0)),0),0)))</f>
        <v>0</v>
      </c>
      <c r="AQ143" s="825">
        <f>-IF(OR('Financing Assumptions'!$T$8="No",AQ$142&lt;='Financing Assumptions'!$T$26,AQ$142&gt;'Mezz 2 Amortization'!$T$13),0,IF('Mezz 2 Amortization'!$T$4="Monthly",INDEX('Mezz 2 Amortization'!$B$19:$V$379,MATCH(AQ$142,'Mezz 2 Amortization'!$E$19:$E$379,0),MATCH('Mezz 2 Amortization'!$O$19,'Mezz 2 Amortization'!$B$19:$V$19,0)),IF('Mezz 2 Amortization'!$T$4="Bi-Annual",IF(OR('Mezz 2 Amortization'!$R$4=AQ$5,'Mezz 2 Amortization'!$S$4=AQ$5),INDEX('Mezz 2 Amortization'!$B$19:$V$379,MATCH(AQ$142,'Mezz 2 Amortization'!$E$19:$E$379,0),MATCH('Mezz 2 Amortization'!$O$19,'Mezz 2 Amortization'!$B$19:$V$19,0)),0),0)))</f>
        <v>0</v>
      </c>
      <c r="AR143" s="825">
        <f>-IF(OR('Financing Assumptions'!$T$8="No",AR$142&lt;='Financing Assumptions'!$T$26,AR$142&gt;'Mezz 2 Amortization'!$T$13),0,IF('Mezz 2 Amortization'!$T$4="Monthly",INDEX('Mezz 2 Amortization'!$B$19:$V$379,MATCH(AR$142,'Mezz 2 Amortization'!$E$19:$E$379,0),MATCH('Mezz 2 Amortization'!$O$19,'Mezz 2 Amortization'!$B$19:$V$19,0)),IF('Mezz 2 Amortization'!$T$4="Bi-Annual",IF(OR('Mezz 2 Amortization'!$R$4=AR$5,'Mezz 2 Amortization'!$S$4=AR$5),INDEX('Mezz 2 Amortization'!$B$19:$V$379,MATCH(AR$142,'Mezz 2 Amortization'!$E$19:$E$379,0),MATCH('Mezz 2 Amortization'!$O$19,'Mezz 2 Amortization'!$B$19:$V$19,0)),0),0)))</f>
        <v>0</v>
      </c>
      <c r="AS143" s="825">
        <f>-IF(OR('Financing Assumptions'!$T$8="No",AS$142&lt;='Financing Assumptions'!$T$26,AS$142&gt;'Mezz 2 Amortization'!$T$13),0,IF('Mezz 2 Amortization'!$T$4="Monthly",INDEX('Mezz 2 Amortization'!$B$19:$V$379,MATCH(AS$142,'Mezz 2 Amortization'!$E$19:$E$379,0),MATCH('Mezz 2 Amortization'!$O$19,'Mezz 2 Amortization'!$B$19:$V$19,0)),IF('Mezz 2 Amortization'!$T$4="Bi-Annual",IF(OR('Mezz 2 Amortization'!$R$4=AS$5,'Mezz 2 Amortization'!$S$4=AS$5),INDEX('Mezz 2 Amortization'!$B$19:$V$379,MATCH(AS$142,'Mezz 2 Amortization'!$E$19:$E$379,0),MATCH('Mezz 2 Amortization'!$O$19,'Mezz 2 Amortization'!$B$19:$V$19,0)),0),0)))</f>
        <v>0</v>
      </c>
      <c r="AT143" s="825">
        <f>-IF(OR('Financing Assumptions'!$T$8="No",AT$142&lt;='Financing Assumptions'!$T$26,AT$142&gt;'Mezz 2 Amortization'!$T$13),0,IF('Mezz 2 Amortization'!$T$4="Monthly",INDEX('Mezz 2 Amortization'!$B$19:$V$379,MATCH(AT$142,'Mezz 2 Amortization'!$E$19:$E$379,0),MATCH('Mezz 2 Amortization'!$O$19,'Mezz 2 Amortization'!$B$19:$V$19,0)),IF('Mezz 2 Amortization'!$T$4="Bi-Annual",IF(OR('Mezz 2 Amortization'!$R$4=AT$5,'Mezz 2 Amortization'!$S$4=AT$5),INDEX('Mezz 2 Amortization'!$B$19:$V$379,MATCH(AT$142,'Mezz 2 Amortization'!$E$19:$E$379,0),MATCH('Mezz 2 Amortization'!$O$19,'Mezz 2 Amortization'!$B$19:$V$19,0)),0),0)))</f>
        <v>0</v>
      </c>
      <c r="AU143" s="825">
        <f>-IF(OR('Financing Assumptions'!$T$8="No",AU$142&lt;='Financing Assumptions'!$T$26,AU$142&gt;'Mezz 2 Amortization'!$T$13),0,IF('Mezz 2 Amortization'!$T$4="Monthly",INDEX('Mezz 2 Amortization'!$B$19:$V$379,MATCH(AU$142,'Mezz 2 Amortization'!$E$19:$E$379,0),MATCH('Mezz 2 Amortization'!$O$19,'Mezz 2 Amortization'!$B$19:$V$19,0)),IF('Mezz 2 Amortization'!$T$4="Bi-Annual",IF(OR('Mezz 2 Amortization'!$R$4=AU$5,'Mezz 2 Amortization'!$S$4=AU$5),INDEX('Mezz 2 Amortization'!$B$19:$V$379,MATCH(AU$142,'Mezz 2 Amortization'!$E$19:$E$379,0),MATCH('Mezz 2 Amortization'!$O$19,'Mezz 2 Amortization'!$B$19:$V$19,0)),0),0)))</f>
        <v>0</v>
      </c>
      <c r="AV143" s="825">
        <f>-IF(OR('Financing Assumptions'!$T$8="No",AV$142&lt;='Financing Assumptions'!$T$26,AV$142&gt;'Mezz 2 Amortization'!$T$13),0,IF('Mezz 2 Amortization'!$T$4="Monthly",INDEX('Mezz 2 Amortization'!$B$19:$V$379,MATCH(AV$142,'Mezz 2 Amortization'!$E$19:$E$379,0),MATCH('Mezz 2 Amortization'!$O$19,'Mezz 2 Amortization'!$B$19:$V$19,0)),IF('Mezz 2 Amortization'!$T$4="Bi-Annual",IF(OR('Mezz 2 Amortization'!$R$4=AV$5,'Mezz 2 Amortization'!$S$4=AV$5),INDEX('Mezz 2 Amortization'!$B$19:$V$379,MATCH(AV$142,'Mezz 2 Amortization'!$E$19:$E$379,0),MATCH('Mezz 2 Amortization'!$O$19,'Mezz 2 Amortization'!$B$19:$V$19,0)),0),0)))</f>
        <v>0</v>
      </c>
      <c r="AW143" s="825">
        <f>-IF(OR('Financing Assumptions'!$T$8="No",AW$142&lt;='Financing Assumptions'!$T$26,AW$142&gt;'Mezz 2 Amortization'!$T$13),0,IF('Mezz 2 Amortization'!$T$4="Monthly",INDEX('Mezz 2 Amortization'!$B$19:$V$379,MATCH(AW$142,'Mezz 2 Amortization'!$E$19:$E$379,0),MATCH('Mezz 2 Amortization'!$O$19,'Mezz 2 Amortization'!$B$19:$V$19,0)),IF('Mezz 2 Amortization'!$T$4="Bi-Annual",IF(OR('Mezz 2 Amortization'!$R$4=AW$5,'Mezz 2 Amortization'!$S$4=AW$5),INDEX('Mezz 2 Amortization'!$B$19:$V$379,MATCH(AW$142,'Mezz 2 Amortization'!$E$19:$E$379,0),MATCH('Mezz 2 Amortization'!$O$19,'Mezz 2 Amortization'!$B$19:$V$19,0)),0),0)))</f>
        <v>0</v>
      </c>
      <c r="AX143" s="825">
        <f>-IF(OR('Financing Assumptions'!$T$8="No",AX$142&lt;='Financing Assumptions'!$T$26,AX$142&gt;'Mezz 2 Amortization'!$T$13),0,IF('Mezz 2 Amortization'!$T$4="Monthly",INDEX('Mezz 2 Amortization'!$B$19:$V$379,MATCH(AX$142,'Mezz 2 Amortization'!$E$19:$E$379,0),MATCH('Mezz 2 Amortization'!$O$19,'Mezz 2 Amortization'!$B$19:$V$19,0)),IF('Mezz 2 Amortization'!$T$4="Bi-Annual",IF(OR('Mezz 2 Amortization'!$R$4=AX$5,'Mezz 2 Amortization'!$S$4=AX$5),INDEX('Mezz 2 Amortization'!$B$19:$V$379,MATCH(AX$142,'Mezz 2 Amortization'!$E$19:$E$379,0),MATCH('Mezz 2 Amortization'!$O$19,'Mezz 2 Amortization'!$B$19:$V$19,0)),0),0)))</f>
        <v>0</v>
      </c>
      <c r="AY143" s="825">
        <f>-IF(OR('Financing Assumptions'!$T$8="No",AY$142&lt;='Financing Assumptions'!$T$26,AY$142&gt;'Mezz 2 Amortization'!$T$13),0,IF('Mezz 2 Amortization'!$T$4="Monthly",INDEX('Mezz 2 Amortization'!$B$19:$V$379,MATCH(AY$142,'Mezz 2 Amortization'!$E$19:$E$379,0),MATCH('Mezz 2 Amortization'!$O$19,'Mezz 2 Amortization'!$B$19:$V$19,0)),IF('Mezz 2 Amortization'!$T$4="Bi-Annual",IF(OR('Mezz 2 Amortization'!$R$4=AY$5,'Mezz 2 Amortization'!$S$4=AY$5),INDEX('Mezz 2 Amortization'!$B$19:$V$379,MATCH(AY$142,'Mezz 2 Amortization'!$E$19:$E$379,0),MATCH('Mezz 2 Amortization'!$O$19,'Mezz 2 Amortization'!$B$19:$V$19,0)),0),0)))</f>
        <v>0</v>
      </c>
      <c r="AZ143" s="825">
        <f>-IF(OR('Financing Assumptions'!$T$8="No",AZ$142&lt;='Financing Assumptions'!$T$26,AZ$142&gt;'Mezz 2 Amortization'!$T$13),0,IF('Mezz 2 Amortization'!$T$4="Monthly",INDEX('Mezz 2 Amortization'!$B$19:$V$379,MATCH(AZ$142,'Mezz 2 Amortization'!$E$19:$E$379,0),MATCH('Mezz 2 Amortization'!$O$19,'Mezz 2 Amortization'!$B$19:$V$19,0)),IF('Mezz 2 Amortization'!$T$4="Bi-Annual",IF(OR('Mezz 2 Amortization'!$R$4=AZ$5,'Mezz 2 Amortization'!$S$4=AZ$5),INDEX('Mezz 2 Amortization'!$B$19:$V$379,MATCH(AZ$142,'Mezz 2 Amortization'!$E$19:$E$379,0),MATCH('Mezz 2 Amortization'!$O$19,'Mezz 2 Amortization'!$B$19:$V$19,0)),0),0)))</f>
        <v>0</v>
      </c>
      <c r="BA143" s="825">
        <f>-IF(OR('Financing Assumptions'!$T$8="No",BA$142&lt;='Financing Assumptions'!$T$26,BA$142&gt;'Mezz 2 Amortization'!$T$13),0,IF('Mezz 2 Amortization'!$T$4="Monthly",INDEX('Mezz 2 Amortization'!$B$19:$V$379,MATCH(BA$142,'Mezz 2 Amortization'!$E$19:$E$379,0),MATCH('Mezz 2 Amortization'!$O$19,'Mezz 2 Amortization'!$B$19:$V$19,0)),IF('Mezz 2 Amortization'!$T$4="Bi-Annual",IF(OR('Mezz 2 Amortization'!$R$4=BA$5,'Mezz 2 Amortization'!$S$4=BA$5),INDEX('Mezz 2 Amortization'!$B$19:$V$379,MATCH(BA$142,'Mezz 2 Amortization'!$E$19:$E$379,0),MATCH('Mezz 2 Amortization'!$O$19,'Mezz 2 Amortization'!$B$19:$V$19,0)),0),0)))</f>
        <v>0</v>
      </c>
      <c r="BB143" s="825">
        <f>-IF(OR('Financing Assumptions'!$T$8="No",BB$142&lt;='Financing Assumptions'!$T$26,BB$142&gt;'Mezz 2 Amortization'!$T$13),0,IF('Mezz 2 Amortization'!$T$4="Monthly",INDEX('Mezz 2 Amortization'!$B$19:$V$379,MATCH(BB$142,'Mezz 2 Amortization'!$E$19:$E$379,0),MATCH('Mezz 2 Amortization'!$O$19,'Mezz 2 Amortization'!$B$19:$V$19,0)),IF('Mezz 2 Amortization'!$T$4="Bi-Annual",IF(OR('Mezz 2 Amortization'!$R$4=BB$5,'Mezz 2 Amortization'!$S$4=BB$5),INDEX('Mezz 2 Amortization'!$B$19:$V$379,MATCH(BB$142,'Mezz 2 Amortization'!$E$19:$E$379,0),MATCH('Mezz 2 Amortization'!$O$19,'Mezz 2 Amortization'!$B$19:$V$19,0)),0),0)))</f>
        <v>0</v>
      </c>
      <c r="BC143" s="825">
        <f>-IF(OR('Financing Assumptions'!$T$8="No",BC$142&lt;='Financing Assumptions'!$T$26,BC$142&gt;'Mezz 2 Amortization'!$T$13),0,IF('Mezz 2 Amortization'!$T$4="Monthly",INDEX('Mezz 2 Amortization'!$B$19:$V$379,MATCH(BC$142,'Mezz 2 Amortization'!$E$19:$E$379,0),MATCH('Mezz 2 Amortization'!$O$19,'Mezz 2 Amortization'!$B$19:$V$19,0)),IF('Mezz 2 Amortization'!$T$4="Bi-Annual",IF(OR('Mezz 2 Amortization'!$R$4=BC$5,'Mezz 2 Amortization'!$S$4=BC$5),INDEX('Mezz 2 Amortization'!$B$19:$V$379,MATCH(BC$142,'Mezz 2 Amortization'!$E$19:$E$379,0),MATCH('Mezz 2 Amortization'!$O$19,'Mezz 2 Amortization'!$B$19:$V$19,0)),0),0)))</f>
        <v>0</v>
      </c>
      <c r="BD143" s="825">
        <f>-IF(OR('Financing Assumptions'!$T$8="No",BD$142&lt;='Financing Assumptions'!$T$26,BD$142&gt;'Mezz 2 Amortization'!$T$13),0,IF('Mezz 2 Amortization'!$T$4="Monthly",INDEX('Mezz 2 Amortization'!$B$19:$V$379,MATCH(BD$142,'Mezz 2 Amortization'!$E$19:$E$379,0),MATCH('Mezz 2 Amortization'!$O$19,'Mezz 2 Amortization'!$B$19:$V$19,0)),IF('Mezz 2 Amortization'!$T$4="Bi-Annual",IF(OR('Mezz 2 Amortization'!$R$4=BD$5,'Mezz 2 Amortization'!$S$4=BD$5),INDEX('Mezz 2 Amortization'!$B$19:$V$379,MATCH(BD$142,'Mezz 2 Amortization'!$E$19:$E$379,0),MATCH('Mezz 2 Amortization'!$O$19,'Mezz 2 Amortization'!$B$19:$V$19,0)),0),0)))</f>
        <v>0</v>
      </c>
      <c r="BE143" s="825">
        <f>-IF(OR('Financing Assumptions'!$T$8="No",BE$142&lt;='Financing Assumptions'!$T$26,BE$142&gt;'Mezz 2 Amortization'!$T$13),0,IF('Mezz 2 Amortization'!$T$4="Monthly",INDEX('Mezz 2 Amortization'!$B$19:$V$379,MATCH(BE$142,'Mezz 2 Amortization'!$E$19:$E$379,0),MATCH('Mezz 2 Amortization'!$O$19,'Mezz 2 Amortization'!$B$19:$V$19,0)),IF('Mezz 2 Amortization'!$T$4="Bi-Annual",IF(OR('Mezz 2 Amortization'!$R$4=BE$5,'Mezz 2 Amortization'!$S$4=BE$5),INDEX('Mezz 2 Amortization'!$B$19:$V$379,MATCH(BE$142,'Mezz 2 Amortization'!$E$19:$E$379,0),MATCH('Mezz 2 Amortization'!$O$19,'Mezz 2 Amortization'!$B$19:$V$19,0)),0),0)))</f>
        <v>0</v>
      </c>
      <c r="BF143" s="825">
        <f>-IF(OR('Financing Assumptions'!$T$8="No",BF$142&lt;='Financing Assumptions'!$T$26,BF$142&gt;'Mezz 2 Amortization'!$T$13),0,IF('Mezz 2 Amortization'!$T$4="Monthly",INDEX('Mezz 2 Amortization'!$B$19:$V$379,MATCH(BF$142,'Mezz 2 Amortization'!$E$19:$E$379,0),MATCH('Mezz 2 Amortization'!$O$19,'Mezz 2 Amortization'!$B$19:$V$19,0)),IF('Mezz 2 Amortization'!$T$4="Bi-Annual",IF(OR('Mezz 2 Amortization'!$R$4=BF$5,'Mezz 2 Amortization'!$S$4=BF$5),INDEX('Mezz 2 Amortization'!$B$19:$V$379,MATCH(BF$142,'Mezz 2 Amortization'!$E$19:$E$379,0),MATCH('Mezz 2 Amortization'!$O$19,'Mezz 2 Amortization'!$B$19:$V$19,0)),0),0)))</f>
        <v>0</v>
      </c>
      <c r="BG143" s="825">
        <f>-IF(OR('Financing Assumptions'!$T$8="No",BG$142&lt;='Financing Assumptions'!$T$26,BG$142&gt;'Mezz 2 Amortization'!$T$13),0,IF('Mezz 2 Amortization'!$T$4="Monthly",INDEX('Mezz 2 Amortization'!$B$19:$V$379,MATCH(BG$142,'Mezz 2 Amortization'!$E$19:$E$379,0),MATCH('Mezz 2 Amortization'!$O$19,'Mezz 2 Amortization'!$B$19:$V$19,0)),IF('Mezz 2 Amortization'!$T$4="Bi-Annual",IF(OR('Mezz 2 Amortization'!$R$4=BG$5,'Mezz 2 Amortization'!$S$4=BG$5),INDEX('Mezz 2 Amortization'!$B$19:$V$379,MATCH(BG$142,'Mezz 2 Amortization'!$E$19:$E$379,0),MATCH('Mezz 2 Amortization'!$O$19,'Mezz 2 Amortization'!$B$19:$V$19,0)),0),0)))</f>
        <v>0</v>
      </c>
      <c r="BH143" s="825">
        <f>-IF(OR('Financing Assumptions'!$T$8="No",BH$142&lt;='Financing Assumptions'!$T$26,BH$142&gt;'Mezz 2 Amortization'!$T$13),0,IF('Mezz 2 Amortization'!$T$4="Monthly",INDEX('Mezz 2 Amortization'!$B$19:$V$379,MATCH(BH$142,'Mezz 2 Amortization'!$E$19:$E$379,0),MATCH('Mezz 2 Amortization'!$O$19,'Mezz 2 Amortization'!$B$19:$V$19,0)),IF('Mezz 2 Amortization'!$T$4="Bi-Annual",IF(OR('Mezz 2 Amortization'!$R$4=BH$5,'Mezz 2 Amortization'!$S$4=BH$5),INDEX('Mezz 2 Amortization'!$B$19:$V$379,MATCH(BH$142,'Mezz 2 Amortization'!$E$19:$E$379,0),MATCH('Mezz 2 Amortization'!$O$19,'Mezz 2 Amortization'!$B$19:$V$19,0)),0),0)))</f>
        <v>0</v>
      </c>
      <c r="BI143" s="825">
        <f>-IF(OR('Financing Assumptions'!$T$8="No",BI$142&lt;='Financing Assumptions'!$T$26,BI$142&gt;'Mezz 2 Amortization'!$T$13),0,IF('Mezz 2 Amortization'!$T$4="Monthly",INDEX('Mezz 2 Amortization'!$B$19:$V$379,MATCH(BI$142,'Mezz 2 Amortization'!$E$19:$E$379,0),MATCH('Mezz 2 Amortization'!$O$19,'Mezz 2 Amortization'!$B$19:$V$19,0)),IF('Mezz 2 Amortization'!$T$4="Bi-Annual",IF(OR('Mezz 2 Amortization'!$R$4=BI$5,'Mezz 2 Amortization'!$S$4=BI$5),INDEX('Mezz 2 Amortization'!$B$19:$V$379,MATCH(BI$142,'Mezz 2 Amortization'!$E$19:$E$379,0),MATCH('Mezz 2 Amortization'!$O$19,'Mezz 2 Amortization'!$B$19:$V$19,0)),0),0)))</f>
        <v>0</v>
      </c>
      <c r="BJ143" s="825">
        <f>-IF(OR('Financing Assumptions'!$T$8="No",BJ$142&lt;='Financing Assumptions'!$T$26,BJ$142&gt;'Mezz 2 Amortization'!$T$13),0,IF('Mezz 2 Amortization'!$T$4="Monthly",INDEX('Mezz 2 Amortization'!$B$19:$V$379,MATCH(BJ$142,'Mezz 2 Amortization'!$E$19:$E$379,0),MATCH('Mezz 2 Amortization'!$O$19,'Mezz 2 Amortization'!$B$19:$V$19,0)),IF('Mezz 2 Amortization'!$T$4="Bi-Annual",IF(OR('Mezz 2 Amortization'!$R$4=BJ$5,'Mezz 2 Amortization'!$S$4=BJ$5),INDEX('Mezz 2 Amortization'!$B$19:$V$379,MATCH(BJ$142,'Mezz 2 Amortization'!$E$19:$E$379,0),MATCH('Mezz 2 Amortization'!$O$19,'Mezz 2 Amortization'!$B$19:$V$19,0)),0),0)))</f>
        <v>0</v>
      </c>
      <c r="BK143" s="825">
        <f>-IF(OR('Financing Assumptions'!$T$8="No",BK$142&lt;='Financing Assumptions'!$T$26,BK$142&gt;'Mezz 2 Amortization'!$T$13),0,IF('Mezz 2 Amortization'!$T$4="Monthly",INDEX('Mezz 2 Amortization'!$B$19:$V$379,MATCH(BK$142,'Mezz 2 Amortization'!$E$19:$E$379,0),MATCH('Mezz 2 Amortization'!$O$19,'Mezz 2 Amortization'!$B$19:$V$19,0)),IF('Mezz 2 Amortization'!$T$4="Bi-Annual",IF(OR('Mezz 2 Amortization'!$R$4=BK$5,'Mezz 2 Amortization'!$S$4=BK$5),INDEX('Mezz 2 Amortization'!$B$19:$V$379,MATCH(BK$142,'Mezz 2 Amortization'!$E$19:$E$379,0),MATCH('Mezz 2 Amortization'!$O$19,'Mezz 2 Amortization'!$B$19:$V$19,0)),0),0)))</f>
        <v>0</v>
      </c>
      <c r="BL143" s="825">
        <f>-IF(OR('Financing Assumptions'!$T$8="No",BL$142&lt;='Financing Assumptions'!$T$26,BL$142&gt;'Mezz 2 Amortization'!$T$13),0,IF('Mezz 2 Amortization'!$T$4="Monthly",INDEX('Mezz 2 Amortization'!$B$19:$V$379,MATCH(BL$142,'Mezz 2 Amortization'!$E$19:$E$379,0),MATCH('Mezz 2 Amortization'!$O$19,'Mezz 2 Amortization'!$B$19:$V$19,0)),IF('Mezz 2 Amortization'!$T$4="Bi-Annual",IF(OR('Mezz 2 Amortization'!$R$4=BL$5,'Mezz 2 Amortization'!$S$4=BL$5),INDEX('Mezz 2 Amortization'!$B$19:$V$379,MATCH(BL$142,'Mezz 2 Amortization'!$E$19:$E$379,0),MATCH('Mezz 2 Amortization'!$O$19,'Mezz 2 Amortization'!$B$19:$V$19,0)),0),0)))</f>
        <v>0</v>
      </c>
      <c r="BM143" s="825">
        <f>-IF(OR('Financing Assumptions'!$T$8="No",BM$142&lt;='Financing Assumptions'!$T$26,BM$142&gt;'Mezz 2 Amortization'!$T$13),0,IF('Mezz 2 Amortization'!$T$4="Monthly",INDEX('Mezz 2 Amortization'!$B$19:$V$379,MATCH(BM$142,'Mezz 2 Amortization'!$E$19:$E$379,0),MATCH('Mezz 2 Amortization'!$O$19,'Mezz 2 Amortization'!$B$19:$V$19,0)),IF('Mezz 2 Amortization'!$T$4="Bi-Annual",IF(OR('Mezz 2 Amortization'!$R$4=BM$5,'Mezz 2 Amortization'!$S$4=BM$5),INDEX('Mezz 2 Amortization'!$B$19:$V$379,MATCH(BM$142,'Mezz 2 Amortization'!$E$19:$E$379,0),MATCH('Mezz 2 Amortization'!$O$19,'Mezz 2 Amortization'!$B$19:$V$19,0)),0),0)))</f>
        <v>0</v>
      </c>
      <c r="BN143" s="825">
        <f>-IF(OR('Financing Assumptions'!$T$8="No",BN$142&lt;='Financing Assumptions'!$T$26,BN$142&gt;'Mezz 2 Amortization'!$T$13),0,IF('Mezz 2 Amortization'!$T$4="Monthly",INDEX('Mezz 2 Amortization'!$B$19:$V$379,MATCH(BN$142,'Mezz 2 Amortization'!$E$19:$E$379,0),MATCH('Mezz 2 Amortization'!$O$19,'Mezz 2 Amortization'!$B$19:$V$19,0)),IF('Mezz 2 Amortization'!$T$4="Bi-Annual",IF(OR('Mezz 2 Amortization'!$R$4=BN$5,'Mezz 2 Amortization'!$S$4=BN$5),INDEX('Mezz 2 Amortization'!$B$19:$V$379,MATCH(BN$142,'Mezz 2 Amortization'!$E$19:$E$379,0),MATCH('Mezz 2 Amortization'!$O$19,'Mezz 2 Amortization'!$B$19:$V$19,0)),0),0)))</f>
        <v>0</v>
      </c>
      <c r="BO143" s="825">
        <f>-IF(OR('Financing Assumptions'!$T$8="No",BO$142&lt;='Financing Assumptions'!$T$26,BO$142&gt;'Mezz 2 Amortization'!$T$13),0,IF('Mezz 2 Amortization'!$T$4="Monthly",INDEX('Mezz 2 Amortization'!$B$19:$V$379,MATCH(BO$142,'Mezz 2 Amortization'!$E$19:$E$379,0),MATCH('Mezz 2 Amortization'!$O$19,'Mezz 2 Amortization'!$B$19:$V$19,0)),IF('Mezz 2 Amortization'!$T$4="Bi-Annual",IF(OR('Mezz 2 Amortization'!$R$4=BO$5,'Mezz 2 Amortization'!$S$4=BO$5),INDEX('Mezz 2 Amortization'!$B$19:$V$379,MATCH(BO$142,'Mezz 2 Amortization'!$E$19:$E$379,0),MATCH('Mezz 2 Amortization'!$O$19,'Mezz 2 Amortization'!$B$19:$V$19,0)),0),0)))</f>
        <v>0</v>
      </c>
      <c r="BP143" s="825">
        <f>-IF(OR('Financing Assumptions'!$T$8="No",BP$142&lt;='Financing Assumptions'!$T$26,BP$142&gt;'Mezz 2 Amortization'!$T$13),0,IF('Mezz 2 Amortization'!$T$4="Monthly",INDEX('Mezz 2 Amortization'!$B$19:$V$379,MATCH(BP$142,'Mezz 2 Amortization'!$E$19:$E$379,0),MATCH('Mezz 2 Amortization'!$O$19,'Mezz 2 Amortization'!$B$19:$V$19,0)),IF('Mezz 2 Amortization'!$T$4="Bi-Annual",IF(OR('Mezz 2 Amortization'!$R$4=BP$5,'Mezz 2 Amortization'!$S$4=BP$5),INDEX('Mezz 2 Amortization'!$B$19:$V$379,MATCH(BP$142,'Mezz 2 Amortization'!$E$19:$E$379,0),MATCH('Mezz 2 Amortization'!$O$19,'Mezz 2 Amortization'!$B$19:$V$19,0)),0),0)))</f>
        <v>0</v>
      </c>
      <c r="BQ143" s="825">
        <f>-IF(OR('Financing Assumptions'!$T$8="No",BQ$142&lt;='Financing Assumptions'!$T$26,BQ$142&gt;'Mezz 2 Amortization'!$T$13),0,IF('Mezz 2 Amortization'!$T$4="Monthly",INDEX('Mezz 2 Amortization'!$B$19:$V$379,MATCH(BQ$142,'Mezz 2 Amortization'!$E$19:$E$379,0),MATCH('Mezz 2 Amortization'!$O$19,'Mezz 2 Amortization'!$B$19:$V$19,0)),IF('Mezz 2 Amortization'!$T$4="Bi-Annual",IF(OR('Mezz 2 Amortization'!$R$4=BQ$5,'Mezz 2 Amortization'!$S$4=BQ$5),INDEX('Mezz 2 Amortization'!$B$19:$V$379,MATCH(BQ$142,'Mezz 2 Amortization'!$E$19:$E$379,0),MATCH('Mezz 2 Amortization'!$O$19,'Mezz 2 Amortization'!$B$19:$V$19,0)),0),0)))</f>
        <v>0</v>
      </c>
      <c r="BR143" s="825">
        <f>-IF(OR('Financing Assumptions'!$T$8="No",BR$142&lt;='Financing Assumptions'!$T$26,BR$142&gt;'Mezz 2 Amortization'!$T$13),0,IF('Mezz 2 Amortization'!$T$4="Monthly",INDEX('Mezz 2 Amortization'!$B$19:$V$379,MATCH(BR$142,'Mezz 2 Amortization'!$E$19:$E$379,0),MATCH('Mezz 2 Amortization'!$O$19,'Mezz 2 Amortization'!$B$19:$V$19,0)),IF('Mezz 2 Amortization'!$T$4="Bi-Annual",IF(OR('Mezz 2 Amortization'!$R$4=BR$5,'Mezz 2 Amortization'!$S$4=BR$5),INDEX('Mezz 2 Amortization'!$B$19:$V$379,MATCH(BR$142,'Mezz 2 Amortization'!$E$19:$E$379,0),MATCH('Mezz 2 Amortization'!$O$19,'Mezz 2 Amortization'!$B$19:$V$19,0)),0),0)))</f>
        <v>0</v>
      </c>
      <c r="BS143" s="825">
        <f>-IF(OR('Financing Assumptions'!$T$8="No",BS$142&lt;='Financing Assumptions'!$T$26,BS$142&gt;'Mezz 2 Amortization'!$T$13),0,IF('Mezz 2 Amortization'!$T$4="Monthly",INDEX('Mezz 2 Amortization'!$B$19:$V$379,MATCH(BS$142,'Mezz 2 Amortization'!$E$19:$E$379,0),MATCH('Mezz 2 Amortization'!$O$19,'Mezz 2 Amortization'!$B$19:$V$19,0)),IF('Mezz 2 Amortization'!$T$4="Bi-Annual",IF(OR('Mezz 2 Amortization'!$R$4=BS$5,'Mezz 2 Amortization'!$S$4=BS$5),INDEX('Mezz 2 Amortization'!$B$19:$V$379,MATCH(BS$142,'Mezz 2 Amortization'!$E$19:$E$379,0),MATCH('Mezz 2 Amortization'!$O$19,'Mezz 2 Amortization'!$B$19:$V$19,0)),0),0)))</f>
        <v>0</v>
      </c>
      <c r="BT143" s="825">
        <f>-IF(OR('Financing Assumptions'!$T$8="No",BT$142&lt;='Financing Assumptions'!$T$26,BT$142&gt;'Mezz 2 Amortization'!$T$13),0,IF('Mezz 2 Amortization'!$T$4="Monthly",INDEX('Mezz 2 Amortization'!$B$19:$V$379,MATCH(BT$142,'Mezz 2 Amortization'!$E$19:$E$379,0),MATCH('Mezz 2 Amortization'!$O$19,'Mezz 2 Amortization'!$B$19:$V$19,0)),IF('Mezz 2 Amortization'!$T$4="Bi-Annual",IF(OR('Mezz 2 Amortization'!$R$4=BT$5,'Mezz 2 Amortization'!$S$4=BT$5),INDEX('Mezz 2 Amortization'!$B$19:$V$379,MATCH(BT$142,'Mezz 2 Amortization'!$E$19:$E$379,0),MATCH('Mezz 2 Amortization'!$O$19,'Mezz 2 Amortization'!$B$19:$V$19,0)),0),0)))</f>
        <v>0</v>
      </c>
      <c r="BU143" s="825">
        <f>-IF(OR('Financing Assumptions'!$T$8="No",BU$142&lt;='Financing Assumptions'!$T$26,BU$142&gt;'Mezz 2 Amortization'!$T$13),0,IF('Mezz 2 Amortization'!$T$4="Monthly",INDEX('Mezz 2 Amortization'!$B$19:$V$379,MATCH(BU$142,'Mezz 2 Amortization'!$E$19:$E$379,0),MATCH('Mezz 2 Amortization'!$O$19,'Mezz 2 Amortization'!$B$19:$V$19,0)),IF('Mezz 2 Amortization'!$T$4="Bi-Annual",IF(OR('Mezz 2 Amortization'!$R$4=BU$5,'Mezz 2 Amortization'!$S$4=BU$5),INDEX('Mezz 2 Amortization'!$B$19:$V$379,MATCH(BU$142,'Mezz 2 Amortization'!$E$19:$E$379,0),MATCH('Mezz 2 Amortization'!$O$19,'Mezz 2 Amortization'!$B$19:$V$19,0)),0),0)))</f>
        <v>0</v>
      </c>
      <c r="BV143" s="825">
        <f>-IF(OR('Financing Assumptions'!$T$8="No",BV$142&lt;='Financing Assumptions'!$T$26,BV$142&gt;'Mezz 2 Amortization'!$T$13),0,IF('Mezz 2 Amortization'!$T$4="Monthly",INDEX('Mezz 2 Amortization'!$B$19:$V$379,MATCH(BV$142,'Mezz 2 Amortization'!$E$19:$E$379,0),MATCH('Mezz 2 Amortization'!$O$19,'Mezz 2 Amortization'!$B$19:$V$19,0)),IF('Mezz 2 Amortization'!$T$4="Bi-Annual",IF(OR('Mezz 2 Amortization'!$R$4=BV$5,'Mezz 2 Amortization'!$S$4=BV$5),INDEX('Mezz 2 Amortization'!$B$19:$V$379,MATCH(BV$142,'Mezz 2 Amortization'!$E$19:$E$379,0),MATCH('Mezz 2 Amortization'!$O$19,'Mezz 2 Amortization'!$B$19:$V$19,0)),0),0)))</f>
        <v>0</v>
      </c>
      <c r="BW143" s="825">
        <f>-IF(OR('Financing Assumptions'!$T$8="No",BW$142&lt;='Financing Assumptions'!$T$26,BW$142&gt;'Mezz 2 Amortization'!$T$13),0,IF('Mezz 2 Amortization'!$T$4="Monthly",INDEX('Mezz 2 Amortization'!$B$19:$V$379,MATCH(BW$142,'Mezz 2 Amortization'!$E$19:$E$379,0),MATCH('Mezz 2 Amortization'!$O$19,'Mezz 2 Amortization'!$B$19:$V$19,0)),IF('Mezz 2 Amortization'!$T$4="Bi-Annual",IF(OR('Mezz 2 Amortization'!$R$4=BW$5,'Mezz 2 Amortization'!$S$4=BW$5),INDEX('Mezz 2 Amortization'!$B$19:$V$379,MATCH(BW$142,'Mezz 2 Amortization'!$E$19:$E$379,0),MATCH('Mezz 2 Amortization'!$O$19,'Mezz 2 Amortization'!$B$19:$V$19,0)),0),0)))</f>
        <v>0</v>
      </c>
      <c r="BX143" s="825">
        <f>-IF(OR('Financing Assumptions'!$T$8="No",BX$142&lt;='Financing Assumptions'!$T$26,BX$142&gt;'Mezz 2 Amortization'!$T$13),0,IF('Mezz 2 Amortization'!$T$4="Monthly",INDEX('Mezz 2 Amortization'!$B$19:$V$379,MATCH(BX$142,'Mezz 2 Amortization'!$E$19:$E$379,0),MATCH('Mezz 2 Amortization'!$O$19,'Mezz 2 Amortization'!$B$19:$V$19,0)),IF('Mezz 2 Amortization'!$T$4="Bi-Annual",IF(OR('Mezz 2 Amortization'!$R$4=BX$5,'Mezz 2 Amortization'!$S$4=BX$5),INDEX('Mezz 2 Amortization'!$B$19:$V$379,MATCH(BX$142,'Mezz 2 Amortization'!$E$19:$E$379,0),MATCH('Mezz 2 Amortization'!$O$19,'Mezz 2 Amortization'!$B$19:$V$19,0)),0),0)))</f>
        <v>0</v>
      </c>
      <c r="BY143" s="825">
        <f>-IF(OR('Financing Assumptions'!$T$8="No",BY$142&lt;='Financing Assumptions'!$T$26,BY$142&gt;'Mezz 2 Amortization'!$T$13),0,IF('Mezz 2 Amortization'!$T$4="Monthly",INDEX('Mezz 2 Amortization'!$B$19:$V$379,MATCH(BY$142,'Mezz 2 Amortization'!$E$19:$E$379,0),MATCH('Mezz 2 Amortization'!$O$19,'Mezz 2 Amortization'!$B$19:$V$19,0)),IF('Mezz 2 Amortization'!$T$4="Bi-Annual",IF(OR('Mezz 2 Amortization'!$R$4=BY$5,'Mezz 2 Amortization'!$S$4=BY$5),INDEX('Mezz 2 Amortization'!$B$19:$V$379,MATCH(BY$142,'Mezz 2 Amortization'!$E$19:$E$379,0),MATCH('Mezz 2 Amortization'!$O$19,'Mezz 2 Amortization'!$B$19:$V$19,0)),0),0)))</f>
        <v>0</v>
      </c>
      <c r="BZ143" s="825">
        <f>-IF(OR('Financing Assumptions'!$T$8="No",BZ$142&lt;='Financing Assumptions'!$T$26,BZ$142&gt;'Mezz 2 Amortization'!$T$13),0,IF('Mezz 2 Amortization'!$T$4="Monthly",INDEX('Mezz 2 Amortization'!$B$19:$V$379,MATCH(BZ$142,'Mezz 2 Amortization'!$E$19:$E$379,0),MATCH('Mezz 2 Amortization'!$O$19,'Mezz 2 Amortization'!$B$19:$V$19,0)),IF('Mezz 2 Amortization'!$T$4="Bi-Annual",IF(OR('Mezz 2 Amortization'!$R$4=BZ$5,'Mezz 2 Amortization'!$S$4=BZ$5),INDEX('Mezz 2 Amortization'!$B$19:$V$379,MATCH(BZ$142,'Mezz 2 Amortization'!$E$19:$E$379,0),MATCH('Mezz 2 Amortization'!$O$19,'Mezz 2 Amortization'!$B$19:$V$19,0)),0),0)))</f>
        <v>0</v>
      </c>
      <c r="CA143" s="825">
        <f>-IF(OR('Financing Assumptions'!$T$8="No",CA$142&lt;='Financing Assumptions'!$T$26,CA$142&gt;'Mezz 2 Amortization'!$T$13),0,IF('Mezz 2 Amortization'!$T$4="Monthly",INDEX('Mezz 2 Amortization'!$B$19:$V$379,MATCH(CA$142,'Mezz 2 Amortization'!$E$19:$E$379,0),MATCH('Mezz 2 Amortization'!$O$19,'Mezz 2 Amortization'!$B$19:$V$19,0)),IF('Mezz 2 Amortization'!$T$4="Bi-Annual",IF(OR('Mezz 2 Amortization'!$R$4=CA$5,'Mezz 2 Amortization'!$S$4=CA$5),INDEX('Mezz 2 Amortization'!$B$19:$V$379,MATCH(CA$142,'Mezz 2 Amortization'!$E$19:$E$379,0),MATCH('Mezz 2 Amortization'!$O$19,'Mezz 2 Amortization'!$B$19:$V$19,0)),0),0)))</f>
        <v>0</v>
      </c>
      <c r="CB143" s="825">
        <f>-IF(OR('Financing Assumptions'!$T$8="No",CB$142&lt;='Financing Assumptions'!$T$26,CB$142&gt;'Mezz 2 Amortization'!$T$13),0,IF('Mezz 2 Amortization'!$T$4="Monthly",INDEX('Mezz 2 Amortization'!$B$19:$V$379,MATCH(CB$142,'Mezz 2 Amortization'!$E$19:$E$379,0),MATCH('Mezz 2 Amortization'!$O$19,'Mezz 2 Amortization'!$B$19:$V$19,0)),IF('Mezz 2 Amortization'!$T$4="Bi-Annual",IF(OR('Mezz 2 Amortization'!$R$4=CB$5,'Mezz 2 Amortization'!$S$4=CB$5),INDEX('Mezz 2 Amortization'!$B$19:$V$379,MATCH(CB$142,'Mezz 2 Amortization'!$E$19:$E$379,0),MATCH('Mezz 2 Amortization'!$O$19,'Mezz 2 Amortization'!$B$19:$V$19,0)),0),0)))</f>
        <v>0</v>
      </c>
      <c r="CC143" s="825">
        <f>-IF(OR('Financing Assumptions'!$T$8="No",CC$142&lt;='Financing Assumptions'!$T$26,CC$142&gt;'Mezz 2 Amortization'!$T$13),0,IF('Mezz 2 Amortization'!$T$4="Monthly",INDEX('Mezz 2 Amortization'!$B$19:$V$379,MATCH(CC$142,'Mezz 2 Amortization'!$E$19:$E$379,0),MATCH('Mezz 2 Amortization'!$O$19,'Mezz 2 Amortization'!$B$19:$V$19,0)),IF('Mezz 2 Amortization'!$T$4="Bi-Annual",IF(OR('Mezz 2 Amortization'!$R$4=CC$5,'Mezz 2 Amortization'!$S$4=CC$5),INDEX('Mezz 2 Amortization'!$B$19:$V$379,MATCH(CC$142,'Mezz 2 Amortization'!$E$19:$E$379,0),MATCH('Mezz 2 Amortization'!$O$19,'Mezz 2 Amortization'!$B$19:$V$19,0)),0),0)))</f>
        <v>0</v>
      </c>
      <c r="CD143" s="825">
        <f>-IF(OR('Financing Assumptions'!$T$8="No",CD$142&lt;='Financing Assumptions'!$T$26,CD$142&gt;'Mezz 2 Amortization'!$T$13),0,IF('Mezz 2 Amortization'!$T$4="Monthly",INDEX('Mezz 2 Amortization'!$B$19:$V$379,MATCH(CD$142,'Mezz 2 Amortization'!$E$19:$E$379,0),MATCH('Mezz 2 Amortization'!$O$19,'Mezz 2 Amortization'!$B$19:$V$19,0)),IF('Mezz 2 Amortization'!$T$4="Bi-Annual",IF(OR('Mezz 2 Amortization'!$R$4=CD$5,'Mezz 2 Amortization'!$S$4=CD$5),INDEX('Mezz 2 Amortization'!$B$19:$V$379,MATCH(CD$142,'Mezz 2 Amortization'!$E$19:$E$379,0),MATCH('Mezz 2 Amortization'!$O$19,'Mezz 2 Amortization'!$B$19:$V$19,0)),0),0)))</f>
        <v>0</v>
      </c>
      <c r="CE143" s="825">
        <f>-IF(OR('Financing Assumptions'!$T$8="No",CE$142&lt;='Financing Assumptions'!$T$26,CE$142&gt;'Mezz 2 Amortization'!$T$13),0,IF('Mezz 2 Amortization'!$T$4="Monthly",INDEX('Mezz 2 Amortization'!$B$19:$V$379,MATCH(CE$142,'Mezz 2 Amortization'!$E$19:$E$379,0),MATCH('Mezz 2 Amortization'!$O$19,'Mezz 2 Amortization'!$B$19:$V$19,0)),IF('Mezz 2 Amortization'!$T$4="Bi-Annual",IF(OR('Mezz 2 Amortization'!$R$4=CE$5,'Mezz 2 Amortization'!$S$4=CE$5),INDEX('Mezz 2 Amortization'!$B$19:$V$379,MATCH(CE$142,'Mezz 2 Amortization'!$E$19:$E$379,0),MATCH('Mezz 2 Amortization'!$O$19,'Mezz 2 Amortization'!$B$19:$V$19,0)),0),0)))</f>
        <v>0</v>
      </c>
      <c r="CF143" s="825">
        <f>-IF(OR('Financing Assumptions'!$T$8="No",CF$142&lt;='Financing Assumptions'!$T$26,CF$142&gt;'Mezz 2 Amortization'!$T$13),0,IF('Mezz 2 Amortization'!$T$4="Monthly",INDEX('Mezz 2 Amortization'!$B$19:$V$379,MATCH(CF$142,'Mezz 2 Amortization'!$E$19:$E$379,0),MATCH('Mezz 2 Amortization'!$O$19,'Mezz 2 Amortization'!$B$19:$V$19,0)),IF('Mezz 2 Amortization'!$T$4="Bi-Annual",IF(OR('Mezz 2 Amortization'!$R$4=CF$5,'Mezz 2 Amortization'!$S$4=CF$5),INDEX('Mezz 2 Amortization'!$B$19:$V$379,MATCH(CF$142,'Mezz 2 Amortization'!$E$19:$E$379,0),MATCH('Mezz 2 Amortization'!$O$19,'Mezz 2 Amortization'!$B$19:$V$19,0)),0),0)))</f>
        <v>0</v>
      </c>
      <c r="CG143" s="825">
        <f>-IF(OR('Financing Assumptions'!$T$8="No",CG$142&lt;='Financing Assumptions'!$T$26,CG$142&gt;'Mezz 2 Amortization'!$T$13),0,IF('Mezz 2 Amortization'!$T$4="Monthly",INDEX('Mezz 2 Amortization'!$B$19:$V$379,MATCH(CG$142,'Mezz 2 Amortization'!$E$19:$E$379,0),MATCH('Mezz 2 Amortization'!$O$19,'Mezz 2 Amortization'!$B$19:$V$19,0)),IF('Mezz 2 Amortization'!$T$4="Bi-Annual",IF(OR('Mezz 2 Amortization'!$R$4=CG$5,'Mezz 2 Amortization'!$S$4=CG$5),INDEX('Mezz 2 Amortization'!$B$19:$V$379,MATCH(CG$142,'Mezz 2 Amortization'!$E$19:$E$379,0),MATCH('Mezz 2 Amortization'!$O$19,'Mezz 2 Amortization'!$B$19:$V$19,0)),0),0)))</f>
        <v>0</v>
      </c>
      <c r="CH143" s="825">
        <f>-IF(OR('Financing Assumptions'!$T$8="No",CH$142&lt;='Financing Assumptions'!$T$26,CH$142&gt;'Mezz 2 Amortization'!$T$13),0,IF('Mezz 2 Amortization'!$T$4="Monthly",INDEX('Mezz 2 Amortization'!$B$19:$V$379,MATCH(CH$142,'Mezz 2 Amortization'!$E$19:$E$379,0),MATCH('Mezz 2 Amortization'!$O$19,'Mezz 2 Amortization'!$B$19:$V$19,0)),IF('Mezz 2 Amortization'!$T$4="Bi-Annual",IF(OR('Mezz 2 Amortization'!$R$4=CH$5,'Mezz 2 Amortization'!$S$4=CH$5),INDEX('Mezz 2 Amortization'!$B$19:$V$379,MATCH(CH$142,'Mezz 2 Amortization'!$E$19:$E$379,0),MATCH('Mezz 2 Amortization'!$O$19,'Mezz 2 Amortization'!$B$19:$V$19,0)),0),0)))</f>
        <v>0</v>
      </c>
      <c r="CI143" s="825">
        <f>-IF(OR('Financing Assumptions'!$T$8="No",CI$142&lt;='Financing Assumptions'!$T$26,CI$142&gt;'Mezz 2 Amortization'!$T$13),0,IF('Mezz 2 Amortization'!$T$4="Monthly",INDEX('Mezz 2 Amortization'!$B$19:$V$379,MATCH(CI$142,'Mezz 2 Amortization'!$E$19:$E$379,0),MATCH('Mezz 2 Amortization'!$O$19,'Mezz 2 Amortization'!$B$19:$V$19,0)),IF('Mezz 2 Amortization'!$T$4="Bi-Annual",IF(OR('Mezz 2 Amortization'!$R$4=CI$5,'Mezz 2 Amortization'!$S$4=CI$5),INDEX('Mezz 2 Amortization'!$B$19:$V$379,MATCH(CI$142,'Mezz 2 Amortization'!$E$19:$E$379,0),MATCH('Mezz 2 Amortization'!$O$19,'Mezz 2 Amortization'!$B$19:$V$19,0)),0),0)))</f>
        <v>0</v>
      </c>
      <c r="CJ143" s="825">
        <f>-IF(OR('Financing Assumptions'!$T$8="No",CJ$142&lt;='Financing Assumptions'!$T$26,CJ$142&gt;'Mezz 2 Amortization'!$T$13),0,IF('Mezz 2 Amortization'!$T$4="Monthly",INDEX('Mezz 2 Amortization'!$B$19:$V$379,MATCH(CJ$142,'Mezz 2 Amortization'!$E$19:$E$379,0),MATCH('Mezz 2 Amortization'!$O$19,'Mezz 2 Amortization'!$B$19:$V$19,0)),IF('Mezz 2 Amortization'!$T$4="Bi-Annual",IF(OR('Mezz 2 Amortization'!$R$4=CJ$5,'Mezz 2 Amortization'!$S$4=CJ$5),INDEX('Mezz 2 Amortization'!$B$19:$V$379,MATCH(CJ$142,'Mezz 2 Amortization'!$E$19:$E$379,0),MATCH('Mezz 2 Amortization'!$O$19,'Mezz 2 Amortization'!$B$19:$V$19,0)),0),0)))</f>
        <v>0</v>
      </c>
      <c r="CK143" s="825">
        <f>-IF(OR('Financing Assumptions'!$T$8="No",CK$142&lt;='Financing Assumptions'!$T$26,CK$142&gt;'Mezz 2 Amortization'!$T$13),0,IF('Mezz 2 Amortization'!$T$4="Monthly",INDEX('Mezz 2 Amortization'!$B$19:$V$379,MATCH(CK$142,'Mezz 2 Amortization'!$E$19:$E$379,0),MATCH('Mezz 2 Amortization'!$O$19,'Mezz 2 Amortization'!$B$19:$V$19,0)),IF('Mezz 2 Amortization'!$T$4="Bi-Annual",IF(OR('Mezz 2 Amortization'!$R$4=CK$5,'Mezz 2 Amortization'!$S$4=CK$5),INDEX('Mezz 2 Amortization'!$B$19:$V$379,MATCH(CK$142,'Mezz 2 Amortization'!$E$19:$E$379,0),MATCH('Mezz 2 Amortization'!$O$19,'Mezz 2 Amortization'!$B$19:$V$19,0)),0),0)))</f>
        <v>0</v>
      </c>
      <c r="CL143" s="825">
        <f>-IF(OR('Financing Assumptions'!$T$8="No",CL$142&lt;='Financing Assumptions'!$T$26,CL$142&gt;'Mezz 2 Amortization'!$T$13),0,IF('Mezz 2 Amortization'!$T$4="Monthly",INDEX('Mezz 2 Amortization'!$B$19:$V$379,MATCH(CL$142,'Mezz 2 Amortization'!$E$19:$E$379,0),MATCH('Mezz 2 Amortization'!$O$19,'Mezz 2 Amortization'!$B$19:$V$19,0)),IF('Mezz 2 Amortization'!$T$4="Bi-Annual",IF(OR('Mezz 2 Amortization'!$R$4=CL$5,'Mezz 2 Amortization'!$S$4=CL$5),INDEX('Mezz 2 Amortization'!$B$19:$V$379,MATCH(CL$142,'Mezz 2 Amortization'!$E$19:$E$379,0),MATCH('Mezz 2 Amortization'!$O$19,'Mezz 2 Amortization'!$B$19:$V$19,0)),0),0)))</f>
        <v>0</v>
      </c>
      <c r="CM143" s="825">
        <f>-IF(OR('Financing Assumptions'!$T$8="No",CM$142&lt;='Financing Assumptions'!$T$26,CM$142&gt;'Mezz 2 Amortization'!$T$13),0,IF('Mezz 2 Amortization'!$T$4="Monthly",INDEX('Mezz 2 Amortization'!$B$19:$V$379,MATCH(CM$142,'Mezz 2 Amortization'!$E$19:$E$379,0),MATCH('Mezz 2 Amortization'!$O$19,'Mezz 2 Amortization'!$B$19:$V$19,0)),IF('Mezz 2 Amortization'!$T$4="Bi-Annual",IF(OR('Mezz 2 Amortization'!$R$4=CM$5,'Mezz 2 Amortization'!$S$4=CM$5),INDEX('Mezz 2 Amortization'!$B$19:$V$379,MATCH(CM$142,'Mezz 2 Amortization'!$E$19:$E$379,0),MATCH('Mezz 2 Amortization'!$O$19,'Mezz 2 Amortization'!$B$19:$V$19,0)),0),0)))</f>
        <v>0</v>
      </c>
      <c r="CN143" s="825">
        <f>-IF(OR('Financing Assumptions'!$T$8="No",CN$142&lt;='Financing Assumptions'!$T$26,CN$142&gt;'Mezz 2 Amortization'!$T$13),0,IF('Mezz 2 Amortization'!$T$4="Monthly",INDEX('Mezz 2 Amortization'!$B$19:$V$379,MATCH(CN$142,'Mezz 2 Amortization'!$E$19:$E$379,0),MATCH('Mezz 2 Amortization'!$O$19,'Mezz 2 Amortization'!$B$19:$V$19,0)),IF('Mezz 2 Amortization'!$T$4="Bi-Annual",IF(OR('Mezz 2 Amortization'!$R$4=CN$5,'Mezz 2 Amortization'!$S$4=CN$5),INDEX('Mezz 2 Amortization'!$B$19:$V$379,MATCH(CN$142,'Mezz 2 Amortization'!$E$19:$E$379,0),MATCH('Mezz 2 Amortization'!$O$19,'Mezz 2 Amortization'!$B$19:$V$19,0)),0),0)))</f>
        <v>0</v>
      </c>
      <c r="CO143" s="825">
        <f>-IF(OR('Financing Assumptions'!$T$8="No",CO$142&lt;='Financing Assumptions'!$T$26,CO$142&gt;'Mezz 2 Amortization'!$T$13),0,IF('Mezz 2 Amortization'!$T$4="Monthly",INDEX('Mezz 2 Amortization'!$B$19:$V$379,MATCH(CO$142,'Mezz 2 Amortization'!$E$19:$E$379,0),MATCH('Mezz 2 Amortization'!$O$19,'Mezz 2 Amortization'!$B$19:$V$19,0)),IF('Mezz 2 Amortization'!$T$4="Bi-Annual",IF(OR('Mezz 2 Amortization'!$R$4=CO$5,'Mezz 2 Amortization'!$S$4=CO$5),INDEX('Mezz 2 Amortization'!$B$19:$V$379,MATCH(CO$142,'Mezz 2 Amortization'!$E$19:$E$379,0),MATCH('Mezz 2 Amortization'!$O$19,'Mezz 2 Amortization'!$B$19:$V$19,0)),0),0)))</f>
        <v>0</v>
      </c>
      <c r="CP143" s="825">
        <f>-IF(OR('Financing Assumptions'!$T$8="No",CP$142&lt;='Financing Assumptions'!$T$26,CP$142&gt;'Mezz 2 Amortization'!$T$13),0,IF('Mezz 2 Amortization'!$T$4="Monthly",INDEX('Mezz 2 Amortization'!$B$19:$V$379,MATCH(CP$142,'Mezz 2 Amortization'!$E$19:$E$379,0),MATCH('Mezz 2 Amortization'!$O$19,'Mezz 2 Amortization'!$B$19:$V$19,0)),IF('Mezz 2 Amortization'!$T$4="Bi-Annual",IF(OR('Mezz 2 Amortization'!$R$4=CP$5,'Mezz 2 Amortization'!$S$4=CP$5),INDEX('Mezz 2 Amortization'!$B$19:$V$379,MATCH(CP$142,'Mezz 2 Amortization'!$E$19:$E$379,0),MATCH('Mezz 2 Amortization'!$O$19,'Mezz 2 Amortization'!$B$19:$V$19,0)),0),0)))</f>
        <v>0</v>
      </c>
      <c r="CQ143" s="825">
        <f>-IF(OR('Financing Assumptions'!$T$8="No",CQ$142&lt;='Financing Assumptions'!$T$26,CQ$142&gt;'Mezz 2 Amortization'!$T$13),0,IF('Mezz 2 Amortization'!$T$4="Monthly",INDEX('Mezz 2 Amortization'!$B$19:$V$379,MATCH(CQ$142,'Mezz 2 Amortization'!$E$19:$E$379,0),MATCH('Mezz 2 Amortization'!$O$19,'Mezz 2 Amortization'!$B$19:$V$19,0)),IF('Mezz 2 Amortization'!$T$4="Bi-Annual",IF(OR('Mezz 2 Amortization'!$R$4=CQ$5,'Mezz 2 Amortization'!$S$4=CQ$5),INDEX('Mezz 2 Amortization'!$B$19:$V$379,MATCH(CQ$142,'Mezz 2 Amortization'!$E$19:$E$379,0),MATCH('Mezz 2 Amortization'!$O$19,'Mezz 2 Amortization'!$B$19:$V$19,0)),0),0)))</f>
        <v>0</v>
      </c>
      <c r="CR143" s="825">
        <f>-IF(OR('Financing Assumptions'!$T$8="No",CR$142&lt;='Financing Assumptions'!$T$26,CR$142&gt;'Mezz 2 Amortization'!$T$13),0,IF('Mezz 2 Amortization'!$T$4="Monthly",INDEX('Mezz 2 Amortization'!$B$19:$V$379,MATCH(CR$142,'Mezz 2 Amortization'!$E$19:$E$379,0),MATCH('Mezz 2 Amortization'!$O$19,'Mezz 2 Amortization'!$B$19:$V$19,0)),IF('Mezz 2 Amortization'!$T$4="Bi-Annual",IF(OR('Mezz 2 Amortization'!$R$4=CR$5,'Mezz 2 Amortization'!$S$4=CR$5),INDEX('Mezz 2 Amortization'!$B$19:$V$379,MATCH(CR$142,'Mezz 2 Amortization'!$E$19:$E$379,0),MATCH('Mezz 2 Amortization'!$O$19,'Mezz 2 Amortization'!$B$19:$V$19,0)),0),0)))</f>
        <v>0</v>
      </c>
      <c r="CS143" s="825">
        <f>-IF(OR('Financing Assumptions'!$T$8="No",CS$142&lt;='Financing Assumptions'!$T$26,CS$142&gt;'Mezz 2 Amortization'!$T$13),0,IF('Mezz 2 Amortization'!$T$4="Monthly",INDEX('Mezz 2 Amortization'!$B$19:$V$379,MATCH(CS$142,'Mezz 2 Amortization'!$E$19:$E$379,0),MATCH('Mezz 2 Amortization'!$O$19,'Mezz 2 Amortization'!$B$19:$V$19,0)),IF('Mezz 2 Amortization'!$T$4="Bi-Annual",IF(OR('Mezz 2 Amortization'!$R$4=CS$5,'Mezz 2 Amortization'!$S$4=CS$5),INDEX('Mezz 2 Amortization'!$B$19:$V$379,MATCH(CS$142,'Mezz 2 Amortization'!$E$19:$E$379,0),MATCH('Mezz 2 Amortization'!$O$19,'Mezz 2 Amortization'!$B$19:$V$19,0)),0),0)))</f>
        <v>0</v>
      </c>
      <c r="CT143" s="825">
        <f>-IF(OR('Financing Assumptions'!$T$8="No",CT$142&lt;='Financing Assumptions'!$T$26,CT$142&gt;'Mezz 2 Amortization'!$T$13),0,IF('Mezz 2 Amortization'!$T$4="Monthly",INDEX('Mezz 2 Amortization'!$B$19:$V$379,MATCH(CT$142,'Mezz 2 Amortization'!$E$19:$E$379,0),MATCH('Mezz 2 Amortization'!$O$19,'Mezz 2 Amortization'!$B$19:$V$19,0)),IF('Mezz 2 Amortization'!$T$4="Bi-Annual",IF(OR('Mezz 2 Amortization'!$R$4=CT$5,'Mezz 2 Amortization'!$S$4=CT$5),INDEX('Mezz 2 Amortization'!$B$19:$V$379,MATCH(CT$142,'Mezz 2 Amortization'!$E$19:$E$379,0),MATCH('Mezz 2 Amortization'!$O$19,'Mezz 2 Amortization'!$B$19:$V$19,0)),0),0)))</f>
        <v>0</v>
      </c>
      <c r="CU143" s="825">
        <f>-IF(OR('Financing Assumptions'!$T$8="No",CU$142&lt;='Financing Assumptions'!$T$26,CU$142&gt;'Mezz 2 Amortization'!$T$13),0,IF('Mezz 2 Amortization'!$T$4="Monthly",INDEX('Mezz 2 Amortization'!$B$19:$V$379,MATCH(CU$142,'Mezz 2 Amortization'!$E$19:$E$379,0),MATCH('Mezz 2 Amortization'!$O$19,'Mezz 2 Amortization'!$B$19:$V$19,0)),IF('Mezz 2 Amortization'!$T$4="Bi-Annual",IF(OR('Mezz 2 Amortization'!$R$4=CU$5,'Mezz 2 Amortization'!$S$4=CU$5),INDEX('Mezz 2 Amortization'!$B$19:$V$379,MATCH(CU$142,'Mezz 2 Amortization'!$E$19:$E$379,0),MATCH('Mezz 2 Amortization'!$O$19,'Mezz 2 Amortization'!$B$19:$V$19,0)),0),0)))</f>
        <v>0</v>
      </c>
      <c r="CV143" s="825">
        <f>-IF(OR('Financing Assumptions'!$T$8="No",CV$142&lt;='Financing Assumptions'!$T$26,CV$142&gt;'Mezz 2 Amortization'!$T$13),0,IF('Mezz 2 Amortization'!$T$4="Monthly",INDEX('Mezz 2 Amortization'!$B$19:$V$379,MATCH(CV$142,'Mezz 2 Amortization'!$E$19:$E$379,0),MATCH('Mezz 2 Amortization'!$O$19,'Mezz 2 Amortization'!$B$19:$V$19,0)),IF('Mezz 2 Amortization'!$T$4="Bi-Annual",IF(OR('Mezz 2 Amortization'!$R$4=CV$5,'Mezz 2 Amortization'!$S$4=CV$5),INDEX('Mezz 2 Amortization'!$B$19:$V$379,MATCH(CV$142,'Mezz 2 Amortization'!$E$19:$E$379,0),MATCH('Mezz 2 Amortization'!$O$19,'Mezz 2 Amortization'!$B$19:$V$19,0)),0),0)))</f>
        <v>0</v>
      </c>
      <c r="CW143" s="825">
        <f>-IF(OR('Financing Assumptions'!$T$8="No",CW$142&lt;='Financing Assumptions'!$T$26,CW$142&gt;'Mezz 2 Amortization'!$T$13),0,IF('Mezz 2 Amortization'!$T$4="Monthly",INDEX('Mezz 2 Amortization'!$B$19:$V$379,MATCH(CW$142,'Mezz 2 Amortization'!$E$19:$E$379,0),MATCH('Mezz 2 Amortization'!$O$19,'Mezz 2 Amortization'!$B$19:$V$19,0)),IF('Mezz 2 Amortization'!$T$4="Bi-Annual",IF(OR('Mezz 2 Amortization'!$R$4=CW$5,'Mezz 2 Amortization'!$S$4=CW$5),INDEX('Mezz 2 Amortization'!$B$19:$V$379,MATCH(CW$142,'Mezz 2 Amortization'!$E$19:$E$379,0),MATCH('Mezz 2 Amortization'!$O$19,'Mezz 2 Amortization'!$B$19:$V$19,0)),0),0)))</f>
        <v>0</v>
      </c>
      <c r="CX143" s="825">
        <f>-IF(OR('Financing Assumptions'!$T$8="No",CX$142&lt;='Financing Assumptions'!$T$26,CX$142&gt;'Mezz 2 Amortization'!$T$13),0,IF('Mezz 2 Amortization'!$T$4="Monthly",INDEX('Mezz 2 Amortization'!$B$19:$V$379,MATCH(CX$142,'Mezz 2 Amortization'!$E$19:$E$379,0),MATCH('Mezz 2 Amortization'!$O$19,'Mezz 2 Amortization'!$B$19:$V$19,0)),IF('Mezz 2 Amortization'!$T$4="Bi-Annual",IF(OR('Mezz 2 Amortization'!$R$4=CX$5,'Mezz 2 Amortization'!$S$4=CX$5),INDEX('Mezz 2 Amortization'!$B$19:$V$379,MATCH(CX$142,'Mezz 2 Amortization'!$E$19:$E$379,0),MATCH('Mezz 2 Amortization'!$O$19,'Mezz 2 Amortization'!$B$19:$V$19,0)),0),0)))</f>
        <v>0</v>
      </c>
      <c r="CY143" s="825">
        <f>-IF(OR('Financing Assumptions'!$T$8="No",CY$142&lt;='Financing Assumptions'!$T$26,CY$142&gt;'Mezz 2 Amortization'!$T$13),0,IF('Mezz 2 Amortization'!$T$4="Monthly",INDEX('Mezz 2 Amortization'!$B$19:$V$379,MATCH(CY$142,'Mezz 2 Amortization'!$E$19:$E$379,0),MATCH('Mezz 2 Amortization'!$O$19,'Mezz 2 Amortization'!$B$19:$V$19,0)),IF('Mezz 2 Amortization'!$T$4="Bi-Annual",IF(OR('Mezz 2 Amortization'!$R$4=CY$5,'Mezz 2 Amortization'!$S$4=CY$5),INDEX('Mezz 2 Amortization'!$B$19:$V$379,MATCH(CY$142,'Mezz 2 Amortization'!$E$19:$E$379,0),MATCH('Mezz 2 Amortization'!$O$19,'Mezz 2 Amortization'!$B$19:$V$19,0)),0),0)))</f>
        <v>0</v>
      </c>
      <c r="CZ143" s="825">
        <f>-IF(OR('Financing Assumptions'!$T$8="No",CZ$142&lt;='Financing Assumptions'!$T$26,CZ$142&gt;'Mezz 2 Amortization'!$T$13),0,IF('Mezz 2 Amortization'!$T$4="Monthly",INDEX('Mezz 2 Amortization'!$B$19:$V$379,MATCH(CZ$142,'Mezz 2 Amortization'!$E$19:$E$379,0),MATCH('Mezz 2 Amortization'!$O$19,'Mezz 2 Amortization'!$B$19:$V$19,0)),IF('Mezz 2 Amortization'!$T$4="Bi-Annual",IF(OR('Mezz 2 Amortization'!$R$4=CZ$5,'Mezz 2 Amortization'!$S$4=CZ$5),INDEX('Mezz 2 Amortization'!$B$19:$V$379,MATCH(CZ$142,'Mezz 2 Amortization'!$E$19:$E$379,0),MATCH('Mezz 2 Amortization'!$O$19,'Mezz 2 Amortization'!$B$19:$V$19,0)),0),0)))</f>
        <v>0</v>
      </c>
      <c r="DA143" s="825">
        <f>-IF(OR('Financing Assumptions'!$T$8="No",DA$142&lt;='Financing Assumptions'!$T$26,DA$142&gt;'Mezz 2 Amortization'!$T$13),0,IF('Mezz 2 Amortization'!$T$4="Monthly",INDEX('Mezz 2 Amortization'!$B$19:$V$379,MATCH(DA$142,'Mezz 2 Amortization'!$E$19:$E$379,0),MATCH('Mezz 2 Amortization'!$O$19,'Mezz 2 Amortization'!$B$19:$V$19,0)),IF('Mezz 2 Amortization'!$T$4="Bi-Annual",IF(OR('Mezz 2 Amortization'!$R$4=DA$5,'Mezz 2 Amortization'!$S$4=DA$5),INDEX('Mezz 2 Amortization'!$B$19:$V$379,MATCH(DA$142,'Mezz 2 Amortization'!$E$19:$E$379,0),MATCH('Mezz 2 Amortization'!$O$19,'Mezz 2 Amortization'!$B$19:$V$19,0)),0),0)))</f>
        <v>0</v>
      </c>
      <c r="DB143" s="825">
        <f>-IF(OR('Financing Assumptions'!$T$8="No",DB$142&lt;='Financing Assumptions'!$T$26,DB$142&gt;'Mezz 2 Amortization'!$T$13),0,IF('Mezz 2 Amortization'!$T$4="Monthly",INDEX('Mezz 2 Amortization'!$B$19:$V$379,MATCH(DB$142,'Mezz 2 Amortization'!$E$19:$E$379,0),MATCH('Mezz 2 Amortization'!$O$19,'Mezz 2 Amortization'!$B$19:$V$19,0)),IF('Mezz 2 Amortization'!$T$4="Bi-Annual",IF(OR('Mezz 2 Amortization'!$R$4=DB$5,'Mezz 2 Amortization'!$S$4=DB$5),INDEX('Mezz 2 Amortization'!$B$19:$V$379,MATCH(DB$142,'Mezz 2 Amortization'!$E$19:$E$379,0),MATCH('Mezz 2 Amortization'!$O$19,'Mezz 2 Amortization'!$B$19:$V$19,0)),0),0)))</f>
        <v>0</v>
      </c>
      <c r="DC143" s="825">
        <f>-IF(OR('Financing Assumptions'!$T$8="No",DC$142&lt;='Financing Assumptions'!$T$26,DC$142&gt;'Mezz 2 Amortization'!$T$13),0,IF('Mezz 2 Amortization'!$T$4="Monthly",INDEX('Mezz 2 Amortization'!$B$19:$V$379,MATCH(DC$142,'Mezz 2 Amortization'!$E$19:$E$379,0),MATCH('Mezz 2 Amortization'!$O$19,'Mezz 2 Amortization'!$B$19:$V$19,0)),IF('Mezz 2 Amortization'!$T$4="Bi-Annual",IF(OR('Mezz 2 Amortization'!$R$4=DC$5,'Mezz 2 Amortization'!$S$4=DC$5),INDEX('Mezz 2 Amortization'!$B$19:$V$379,MATCH(DC$142,'Mezz 2 Amortization'!$E$19:$E$379,0),MATCH('Mezz 2 Amortization'!$O$19,'Mezz 2 Amortization'!$B$19:$V$19,0)),0),0)))</f>
        <v>0</v>
      </c>
      <c r="DD143" s="825">
        <f>-IF(OR('Financing Assumptions'!$T$8="No",DD$142&lt;='Financing Assumptions'!$T$26,DD$142&gt;'Mezz 2 Amortization'!$T$13),0,IF('Mezz 2 Amortization'!$T$4="Monthly",INDEX('Mezz 2 Amortization'!$B$19:$V$379,MATCH(DD$142,'Mezz 2 Amortization'!$E$19:$E$379,0),MATCH('Mezz 2 Amortization'!$O$19,'Mezz 2 Amortization'!$B$19:$V$19,0)),IF('Mezz 2 Amortization'!$T$4="Bi-Annual",IF(OR('Mezz 2 Amortization'!$R$4=DD$5,'Mezz 2 Amortization'!$S$4=DD$5),INDEX('Mezz 2 Amortization'!$B$19:$V$379,MATCH(DD$142,'Mezz 2 Amortization'!$E$19:$E$379,0),MATCH('Mezz 2 Amortization'!$O$19,'Mezz 2 Amortization'!$B$19:$V$19,0)),0),0)))</f>
        <v>0</v>
      </c>
      <c r="DE143" s="825">
        <f>-IF(OR('Financing Assumptions'!$T$8="No",DE$142&lt;='Financing Assumptions'!$T$26,DE$142&gt;'Mezz 2 Amortization'!$T$13),0,IF('Mezz 2 Amortization'!$T$4="Monthly",INDEX('Mezz 2 Amortization'!$B$19:$V$379,MATCH(DE$142,'Mezz 2 Amortization'!$E$19:$E$379,0),MATCH('Mezz 2 Amortization'!$O$19,'Mezz 2 Amortization'!$B$19:$V$19,0)),IF('Mezz 2 Amortization'!$T$4="Bi-Annual",IF(OR('Mezz 2 Amortization'!$R$4=DE$5,'Mezz 2 Amortization'!$S$4=DE$5),INDEX('Mezz 2 Amortization'!$B$19:$V$379,MATCH(DE$142,'Mezz 2 Amortization'!$E$19:$E$379,0),MATCH('Mezz 2 Amortization'!$O$19,'Mezz 2 Amortization'!$B$19:$V$19,0)),0),0)))</f>
        <v>0</v>
      </c>
      <c r="DF143" s="825">
        <f>-IF(OR('Financing Assumptions'!$T$8="No",DF$142&lt;='Financing Assumptions'!$T$26,DF$142&gt;'Mezz 2 Amortization'!$T$13),0,IF('Mezz 2 Amortization'!$T$4="Monthly",INDEX('Mezz 2 Amortization'!$B$19:$V$379,MATCH(DF$142,'Mezz 2 Amortization'!$E$19:$E$379,0),MATCH('Mezz 2 Amortization'!$O$19,'Mezz 2 Amortization'!$B$19:$V$19,0)),IF('Mezz 2 Amortization'!$T$4="Bi-Annual",IF(OR('Mezz 2 Amortization'!$R$4=DF$5,'Mezz 2 Amortization'!$S$4=DF$5),INDEX('Mezz 2 Amortization'!$B$19:$V$379,MATCH(DF$142,'Mezz 2 Amortization'!$E$19:$E$379,0),MATCH('Mezz 2 Amortization'!$O$19,'Mezz 2 Amortization'!$B$19:$V$19,0)),0),0)))</f>
        <v>0</v>
      </c>
      <c r="DG143" s="825">
        <f>-IF(OR('Financing Assumptions'!$T$8="No",DG$142&lt;='Financing Assumptions'!$T$26,DG$142&gt;'Mezz 2 Amortization'!$T$13),0,IF('Mezz 2 Amortization'!$T$4="Monthly",INDEX('Mezz 2 Amortization'!$B$19:$V$379,MATCH(DG$142,'Mezz 2 Amortization'!$E$19:$E$379,0),MATCH('Mezz 2 Amortization'!$O$19,'Mezz 2 Amortization'!$B$19:$V$19,0)),IF('Mezz 2 Amortization'!$T$4="Bi-Annual",IF(OR('Mezz 2 Amortization'!$R$4=DG$5,'Mezz 2 Amortization'!$S$4=DG$5),INDEX('Mezz 2 Amortization'!$B$19:$V$379,MATCH(DG$142,'Mezz 2 Amortization'!$E$19:$E$379,0),MATCH('Mezz 2 Amortization'!$O$19,'Mezz 2 Amortization'!$B$19:$V$19,0)),0),0)))</f>
        <v>0</v>
      </c>
      <c r="DH143" s="825">
        <f>-IF(OR('Financing Assumptions'!$T$8="No",DH$142&lt;='Financing Assumptions'!$T$26,DH$142&gt;'Mezz 2 Amortization'!$T$13),0,IF('Mezz 2 Amortization'!$T$4="Monthly",INDEX('Mezz 2 Amortization'!$B$19:$V$379,MATCH(DH$142,'Mezz 2 Amortization'!$E$19:$E$379,0),MATCH('Mezz 2 Amortization'!$O$19,'Mezz 2 Amortization'!$B$19:$V$19,0)),IF('Mezz 2 Amortization'!$T$4="Bi-Annual",IF(OR('Mezz 2 Amortization'!$R$4=DH$5,'Mezz 2 Amortization'!$S$4=DH$5),INDEX('Mezz 2 Amortization'!$B$19:$V$379,MATCH(DH$142,'Mezz 2 Amortization'!$E$19:$E$379,0),MATCH('Mezz 2 Amortization'!$O$19,'Mezz 2 Amortization'!$B$19:$V$19,0)),0),0)))</f>
        <v>0</v>
      </c>
      <c r="DI143" s="825">
        <f>-IF(OR('Financing Assumptions'!$T$8="No",DI$142&lt;='Financing Assumptions'!$T$26,DI$142&gt;'Mezz 2 Amortization'!$T$13),0,IF('Mezz 2 Amortization'!$T$4="Monthly",INDEX('Mezz 2 Amortization'!$B$19:$V$379,MATCH(DI$142,'Mezz 2 Amortization'!$E$19:$E$379,0),MATCH('Mezz 2 Amortization'!$O$19,'Mezz 2 Amortization'!$B$19:$V$19,0)),IF('Mezz 2 Amortization'!$T$4="Bi-Annual",IF(OR('Mezz 2 Amortization'!$R$4=DI$5,'Mezz 2 Amortization'!$S$4=DI$5),INDEX('Mezz 2 Amortization'!$B$19:$V$379,MATCH(DI$142,'Mezz 2 Amortization'!$E$19:$E$379,0),MATCH('Mezz 2 Amortization'!$O$19,'Mezz 2 Amortization'!$B$19:$V$19,0)),0),0)))</f>
        <v>0</v>
      </c>
      <c r="DJ143" s="825">
        <f>-IF(OR('Financing Assumptions'!$T$8="No",DJ$142&lt;='Financing Assumptions'!$T$26,DJ$142&gt;'Mezz 2 Amortization'!$T$13),0,IF('Mezz 2 Amortization'!$T$4="Monthly",INDEX('Mezz 2 Amortization'!$B$19:$V$379,MATCH(DJ$142,'Mezz 2 Amortization'!$E$19:$E$379,0),MATCH('Mezz 2 Amortization'!$O$19,'Mezz 2 Amortization'!$B$19:$V$19,0)),IF('Mezz 2 Amortization'!$T$4="Bi-Annual",IF(OR('Mezz 2 Amortization'!$R$4=DJ$5,'Mezz 2 Amortization'!$S$4=DJ$5),INDEX('Mezz 2 Amortization'!$B$19:$V$379,MATCH(DJ$142,'Mezz 2 Amortization'!$E$19:$E$379,0),MATCH('Mezz 2 Amortization'!$O$19,'Mezz 2 Amortization'!$B$19:$V$19,0)),0),0)))</f>
        <v>0</v>
      </c>
      <c r="DK143" s="825">
        <f>-IF(OR('Financing Assumptions'!$T$8="No",DK$142&lt;='Financing Assumptions'!$T$26,DK$142&gt;'Mezz 2 Amortization'!$T$13),0,IF('Mezz 2 Amortization'!$T$4="Monthly",INDEX('Mezz 2 Amortization'!$B$19:$V$379,MATCH(DK$142,'Mezz 2 Amortization'!$E$19:$E$379,0),MATCH('Mezz 2 Amortization'!$O$19,'Mezz 2 Amortization'!$B$19:$V$19,0)),IF('Mezz 2 Amortization'!$T$4="Bi-Annual",IF(OR('Mezz 2 Amortization'!$R$4=DK$5,'Mezz 2 Amortization'!$S$4=DK$5),INDEX('Mezz 2 Amortization'!$B$19:$V$379,MATCH(DK$142,'Mezz 2 Amortization'!$E$19:$E$379,0),MATCH('Mezz 2 Amortization'!$O$19,'Mezz 2 Amortization'!$B$19:$V$19,0)),0),0)))</f>
        <v>0</v>
      </c>
      <c r="DL143" s="825">
        <f>-IF(OR('Financing Assumptions'!$T$8="No",DL$142&lt;='Financing Assumptions'!$T$26,DL$142&gt;'Mezz 2 Amortization'!$T$13),0,IF('Mezz 2 Amortization'!$T$4="Monthly",INDEX('Mezz 2 Amortization'!$B$19:$V$379,MATCH(DL$142,'Mezz 2 Amortization'!$E$19:$E$379,0),MATCH('Mezz 2 Amortization'!$O$19,'Mezz 2 Amortization'!$B$19:$V$19,0)),IF('Mezz 2 Amortization'!$T$4="Bi-Annual",IF(OR('Mezz 2 Amortization'!$R$4=DL$5,'Mezz 2 Amortization'!$S$4=DL$5),INDEX('Mezz 2 Amortization'!$B$19:$V$379,MATCH(DL$142,'Mezz 2 Amortization'!$E$19:$E$379,0),MATCH('Mezz 2 Amortization'!$O$19,'Mezz 2 Amortization'!$B$19:$V$19,0)),0),0)))</f>
        <v>0</v>
      </c>
      <c r="DM143" s="825">
        <f>-IF(OR('Financing Assumptions'!$T$8="No",DM$142&lt;='Financing Assumptions'!$T$26,DM$142&gt;'Mezz 2 Amortization'!$T$13),0,IF('Mezz 2 Amortization'!$T$4="Monthly",INDEX('Mezz 2 Amortization'!$B$19:$V$379,MATCH(DM$142,'Mezz 2 Amortization'!$E$19:$E$379,0),MATCH('Mezz 2 Amortization'!$O$19,'Mezz 2 Amortization'!$B$19:$V$19,0)),IF('Mezz 2 Amortization'!$T$4="Bi-Annual",IF(OR('Mezz 2 Amortization'!$R$4=DM$5,'Mezz 2 Amortization'!$S$4=DM$5),INDEX('Mezz 2 Amortization'!$B$19:$V$379,MATCH(DM$142,'Mezz 2 Amortization'!$E$19:$E$379,0),MATCH('Mezz 2 Amortization'!$O$19,'Mezz 2 Amortization'!$B$19:$V$19,0)),0),0)))</f>
        <v>0</v>
      </c>
      <c r="DN143" s="825">
        <f>-IF(OR('Financing Assumptions'!$T$8="No",DN$142&lt;='Financing Assumptions'!$T$26,DN$142&gt;'Mezz 2 Amortization'!$T$13),0,IF('Mezz 2 Amortization'!$T$4="Monthly",INDEX('Mezz 2 Amortization'!$B$19:$V$379,MATCH(DN$142,'Mezz 2 Amortization'!$E$19:$E$379,0),MATCH('Mezz 2 Amortization'!$O$19,'Mezz 2 Amortization'!$B$19:$V$19,0)),IF('Mezz 2 Amortization'!$T$4="Bi-Annual",IF(OR('Mezz 2 Amortization'!$R$4=DN$5,'Mezz 2 Amortization'!$S$4=DN$5),INDEX('Mezz 2 Amortization'!$B$19:$V$379,MATCH(DN$142,'Mezz 2 Amortization'!$E$19:$E$379,0),MATCH('Mezz 2 Amortization'!$O$19,'Mezz 2 Amortization'!$B$19:$V$19,0)),0),0)))</f>
        <v>0</v>
      </c>
      <c r="DO143" s="825">
        <f>-IF(OR('Financing Assumptions'!$T$8="No",DO$142&lt;='Financing Assumptions'!$T$26,DO$142&gt;'Mezz 2 Amortization'!$T$13),0,IF('Mezz 2 Amortization'!$T$4="Monthly",INDEX('Mezz 2 Amortization'!$B$19:$V$379,MATCH(DO$142,'Mezz 2 Amortization'!$E$19:$E$379,0),MATCH('Mezz 2 Amortization'!$O$19,'Mezz 2 Amortization'!$B$19:$V$19,0)),IF('Mezz 2 Amortization'!$T$4="Bi-Annual",IF(OR('Mezz 2 Amortization'!$R$4=DO$5,'Mezz 2 Amortization'!$S$4=DO$5),INDEX('Mezz 2 Amortization'!$B$19:$V$379,MATCH(DO$142,'Mezz 2 Amortization'!$E$19:$E$379,0),MATCH('Mezz 2 Amortization'!$O$19,'Mezz 2 Amortization'!$B$19:$V$19,0)),0),0)))</f>
        <v>0</v>
      </c>
      <c r="DP143" s="825">
        <f>-IF(OR('Financing Assumptions'!$T$8="No",DP$142&lt;='Financing Assumptions'!$T$26,DP$142&gt;'Mezz 2 Amortization'!$T$13),0,IF('Mezz 2 Amortization'!$T$4="Monthly",INDEX('Mezz 2 Amortization'!$B$19:$V$379,MATCH(DP$142,'Mezz 2 Amortization'!$E$19:$E$379,0),MATCH('Mezz 2 Amortization'!$O$19,'Mezz 2 Amortization'!$B$19:$V$19,0)),IF('Mezz 2 Amortization'!$T$4="Bi-Annual",IF(OR('Mezz 2 Amortization'!$R$4=DP$5,'Mezz 2 Amortization'!$S$4=DP$5),INDEX('Mezz 2 Amortization'!$B$19:$V$379,MATCH(DP$142,'Mezz 2 Amortization'!$E$19:$E$379,0),MATCH('Mezz 2 Amortization'!$O$19,'Mezz 2 Amortization'!$B$19:$V$19,0)),0),0)))</f>
        <v>0</v>
      </c>
      <c r="DQ143" s="825">
        <f>-IF(OR('Financing Assumptions'!$T$8="No",DQ$142&lt;='Financing Assumptions'!$T$26,DQ$142&gt;'Mezz 2 Amortization'!$T$13),0,IF('Mezz 2 Amortization'!$T$4="Monthly",INDEX('Mezz 2 Amortization'!$B$19:$V$379,MATCH(DQ$142,'Mezz 2 Amortization'!$E$19:$E$379,0),MATCH('Mezz 2 Amortization'!$O$19,'Mezz 2 Amortization'!$B$19:$V$19,0)),IF('Mezz 2 Amortization'!$T$4="Bi-Annual",IF(OR('Mezz 2 Amortization'!$R$4=DQ$5,'Mezz 2 Amortization'!$S$4=DQ$5),INDEX('Mezz 2 Amortization'!$B$19:$V$379,MATCH(DQ$142,'Mezz 2 Amortization'!$E$19:$E$379,0),MATCH('Mezz 2 Amortization'!$O$19,'Mezz 2 Amortization'!$B$19:$V$19,0)),0),0)))</f>
        <v>0</v>
      </c>
      <c r="DR143" s="825">
        <f>-IF(OR('Financing Assumptions'!$T$8="No",DR$142&lt;='Financing Assumptions'!$T$26,DR$142&gt;'Mezz 2 Amortization'!$T$13),0,IF('Mezz 2 Amortization'!$T$4="Monthly",INDEX('Mezz 2 Amortization'!$B$19:$V$379,MATCH(DR$142,'Mezz 2 Amortization'!$E$19:$E$379,0),MATCH('Mezz 2 Amortization'!$O$19,'Mezz 2 Amortization'!$B$19:$V$19,0)),IF('Mezz 2 Amortization'!$T$4="Bi-Annual",IF(OR('Mezz 2 Amortization'!$R$4=DR$5,'Mezz 2 Amortization'!$S$4=DR$5),INDEX('Mezz 2 Amortization'!$B$19:$V$379,MATCH(DR$142,'Mezz 2 Amortization'!$E$19:$E$379,0),MATCH('Mezz 2 Amortization'!$O$19,'Mezz 2 Amortization'!$B$19:$V$19,0)),0),0)))</f>
        <v>0</v>
      </c>
      <c r="DS143" s="825">
        <f>-IF(OR('Financing Assumptions'!$T$8="No",DS$142&lt;='Financing Assumptions'!$T$26,DS$142&gt;'Mezz 2 Amortization'!$T$13),0,IF('Mezz 2 Amortization'!$T$4="Monthly",INDEX('Mezz 2 Amortization'!$B$19:$V$379,MATCH(DS$142,'Mezz 2 Amortization'!$E$19:$E$379,0),MATCH('Mezz 2 Amortization'!$O$19,'Mezz 2 Amortization'!$B$19:$V$19,0)),IF('Mezz 2 Amortization'!$T$4="Bi-Annual",IF(OR('Mezz 2 Amortization'!$R$4=DS$5,'Mezz 2 Amortization'!$S$4=DS$5),INDEX('Mezz 2 Amortization'!$B$19:$V$379,MATCH(DS$142,'Mezz 2 Amortization'!$E$19:$E$379,0),MATCH('Mezz 2 Amortization'!$O$19,'Mezz 2 Amortization'!$B$19:$V$19,0)),0),0)))</f>
        <v>0</v>
      </c>
      <c r="DT143" s="825">
        <f>-IF(OR('Financing Assumptions'!$T$8="No",DT$142&lt;='Financing Assumptions'!$T$26,DT$142&gt;'Mezz 2 Amortization'!$T$13),0,IF('Mezz 2 Amortization'!$T$4="Monthly",INDEX('Mezz 2 Amortization'!$B$19:$V$379,MATCH(DT$142,'Mezz 2 Amortization'!$E$19:$E$379,0),MATCH('Mezz 2 Amortization'!$O$19,'Mezz 2 Amortization'!$B$19:$V$19,0)),IF('Mezz 2 Amortization'!$T$4="Bi-Annual",IF(OR('Mezz 2 Amortization'!$R$4=DT$5,'Mezz 2 Amortization'!$S$4=DT$5),INDEX('Mezz 2 Amortization'!$B$19:$V$379,MATCH(DT$142,'Mezz 2 Amortization'!$E$19:$E$379,0),MATCH('Mezz 2 Amortization'!$O$19,'Mezz 2 Amortization'!$B$19:$V$19,0)),0),0)))</f>
        <v>0</v>
      </c>
      <c r="DU143" s="825">
        <f>-IF(OR('Financing Assumptions'!$T$8="No",DU$142&lt;='Financing Assumptions'!$T$26,DU$142&gt;'Mezz 2 Amortization'!$T$13),0,IF('Mezz 2 Amortization'!$T$4="Monthly",INDEX('Mezz 2 Amortization'!$B$19:$V$379,MATCH(DU$142,'Mezz 2 Amortization'!$E$19:$E$379,0),MATCH('Mezz 2 Amortization'!$O$19,'Mezz 2 Amortization'!$B$19:$V$19,0)),IF('Mezz 2 Amortization'!$T$4="Bi-Annual",IF(OR('Mezz 2 Amortization'!$R$4=DU$5,'Mezz 2 Amortization'!$S$4=DU$5),INDEX('Mezz 2 Amortization'!$B$19:$V$379,MATCH(DU$142,'Mezz 2 Amortization'!$E$19:$E$379,0),MATCH('Mezz 2 Amortization'!$O$19,'Mezz 2 Amortization'!$B$19:$V$19,0)),0),0)))</f>
        <v>0</v>
      </c>
      <c r="DV143" s="825">
        <f>-IF(OR('Financing Assumptions'!$T$8="No",DV$142&lt;='Financing Assumptions'!$T$26,DV$142&gt;'Mezz 2 Amortization'!$T$13),0,IF('Mezz 2 Amortization'!$T$4="Monthly",INDEX('Mezz 2 Amortization'!$B$19:$V$379,MATCH(DV$142,'Mezz 2 Amortization'!$E$19:$E$379,0),MATCH('Mezz 2 Amortization'!$O$19,'Mezz 2 Amortization'!$B$19:$V$19,0)),IF('Mezz 2 Amortization'!$T$4="Bi-Annual",IF(OR('Mezz 2 Amortization'!$R$4=DV$5,'Mezz 2 Amortization'!$S$4=DV$5),INDEX('Mezz 2 Amortization'!$B$19:$V$379,MATCH(DV$142,'Mezz 2 Amortization'!$E$19:$E$379,0),MATCH('Mezz 2 Amortization'!$O$19,'Mezz 2 Amortization'!$B$19:$V$19,0)),0),0)))</f>
        <v>0</v>
      </c>
      <c r="DW143" s="825">
        <f>-IF(OR('Financing Assumptions'!$T$8="No",DW$142&lt;='Financing Assumptions'!$T$26,DW$142&gt;'Mezz 2 Amortization'!$T$13),0,IF('Mezz 2 Amortization'!$T$4="Monthly",INDEX('Mezz 2 Amortization'!$B$19:$V$379,MATCH(DW$142,'Mezz 2 Amortization'!$E$19:$E$379,0),MATCH('Mezz 2 Amortization'!$O$19,'Mezz 2 Amortization'!$B$19:$V$19,0)),IF('Mezz 2 Amortization'!$T$4="Bi-Annual",IF(OR('Mezz 2 Amortization'!$R$4=DW$5,'Mezz 2 Amortization'!$S$4=DW$5),INDEX('Mezz 2 Amortization'!$B$19:$V$379,MATCH(DW$142,'Mezz 2 Amortization'!$E$19:$E$379,0),MATCH('Mezz 2 Amortization'!$O$19,'Mezz 2 Amortization'!$B$19:$V$19,0)),0),0)))</f>
        <v>0</v>
      </c>
      <c r="DX143" s="825">
        <f>-IF(OR('Financing Assumptions'!$T$8="No",DX$142&lt;='Financing Assumptions'!$T$26,DX$142&gt;'Mezz 2 Amortization'!$T$13),0,IF('Mezz 2 Amortization'!$T$4="Monthly",INDEX('Mezz 2 Amortization'!$B$19:$V$379,MATCH(DX$142,'Mezz 2 Amortization'!$E$19:$E$379,0),MATCH('Mezz 2 Amortization'!$O$19,'Mezz 2 Amortization'!$B$19:$V$19,0)),IF('Mezz 2 Amortization'!$T$4="Bi-Annual",IF(OR('Mezz 2 Amortization'!$R$4=DX$5,'Mezz 2 Amortization'!$S$4=DX$5),INDEX('Mezz 2 Amortization'!$B$19:$V$379,MATCH(DX$142,'Mezz 2 Amortization'!$E$19:$E$379,0),MATCH('Mezz 2 Amortization'!$O$19,'Mezz 2 Amortization'!$B$19:$V$19,0)),0),0)))</f>
        <v>0</v>
      </c>
      <c r="DY143" s="825">
        <f>-IF(OR('Financing Assumptions'!$T$8="No",DY$142&lt;='Financing Assumptions'!$T$26,DY$142&gt;'Mezz 2 Amortization'!$T$13),0,IF('Mezz 2 Amortization'!$T$4="Monthly",INDEX('Mezz 2 Amortization'!$B$19:$V$379,MATCH(DY$142,'Mezz 2 Amortization'!$E$19:$E$379,0),MATCH('Mezz 2 Amortization'!$O$19,'Mezz 2 Amortization'!$B$19:$V$19,0)),IF('Mezz 2 Amortization'!$T$4="Bi-Annual",IF(OR('Mezz 2 Amortization'!$R$4=DY$5,'Mezz 2 Amortization'!$S$4=DY$5),INDEX('Mezz 2 Amortization'!$B$19:$V$379,MATCH(DY$142,'Mezz 2 Amortization'!$E$19:$E$379,0),MATCH('Mezz 2 Amortization'!$O$19,'Mezz 2 Amortization'!$B$19:$V$19,0)),0),0)))</f>
        <v>0</v>
      </c>
      <c r="DZ143" s="825">
        <f>-IF(OR('Financing Assumptions'!$T$8="No",DZ$142&lt;='Financing Assumptions'!$T$26,DZ$142&gt;'Mezz 2 Amortization'!$T$13),0,IF('Mezz 2 Amortization'!$T$4="Monthly",INDEX('Mezz 2 Amortization'!$B$19:$V$379,MATCH(DZ$142,'Mezz 2 Amortization'!$E$19:$E$379,0),MATCH('Mezz 2 Amortization'!$O$19,'Mezz 2 Amortization'!$B$19:$V$19,0)),IF('Mezz 2 Amortization'!$T$4="Bi-Annual",IF(OR('Mezz 2 Amortization'!$R$4=DZ$5,'Mezz 2 Amortization'!$S$4=DZ$5),INDEX('Mezz 2 Amortization'!$B$19:$V$379,MATCH(DZ$142,'Mezz 2 Amortization'!$E$19:$E$379,0),MATCH('Mezz 2 Amortization'!$O$19,'Mezz 2 Amortization'!$B$19:$V$19,0)),0),0)))</f>
        <v>0</v>
      </c>
      <c r="EA143" s="825">
        <f>-IF(OR('Financing Assumptions'!$T$8="No",EA$142&lt;='Financing Assumptions'!$T$26,EA$142&gt;'Mezz 2 Amortization'!$T$13),0,IF('Mezz 2 Amortization'!$T$4="Monthly",INDEX('Mezz 2 Amortization'!$B$19:$V$379,MATCH(EA$142,'Mezz 2 Amortization'!$E$19:$E$379,0),MATCH('Mezz 2 Amortization'!$O$19,'Mezz 2 Amortization'!$B$19:$V$19,0)),IF('Mezz 2 Amortization'!$T$4="Bi-Annual",IF(OR('Mezz 2 Amortization'!$R$4=EA$5,'Mezz 2 Amortization'!$S$4=EA$5),INDEX('Mezz 2 Amortization'!$B$19:$V$379,MATCH(EA$142,'Mezz 2 Amortization'!$E$19:$E$379,0),MATCH('Mezz 2 Amortization'!$O$19,'Mezz 2 Amortization'!$B$19:$V$19,0)),0),0)))</f>
        <v>0</v>
      </c>
      <c r="EB143" s="825">
        <f>-IF(OR('Financing Assumptions'!$T$8="No",EB$142&lt;='Financing Assumptions'!$T$26,EB$142&gt;'Mezz 2 Amortization'!$T$13),0,IF('Mezz 2 Amortization'!$T$4="Monthly",INDEX('Mezz 2 Amortization'!$B$19:$V$379,MATCH(EB$142,'Mezz 2 Amortization'!$E$19:$E$379,0),MATCH('Mezz 2 Amortization'!$O$19,'Mezz 2 Amortization'!$B$19:$V$19,0)),IF('Mezz 2 Amortization'!$T$4="Bi-Annual",IF(OR('Mezz 2 Amortization'!$R$4=EB$5,'Mezz 2 Amortization'!$S$4=EB$5),INDEX('Mezz 2 Amortization'!$B$19:$V$379,MATCH(EB$142,'Mezz 2 Amortization'!$E$19:$E$379,0),MATCH('Mezz 2 Amortization'!$O$19,'Mezz 2 Amortization'!$B$19:$V$19,0)),0),0)))</f>
        <v>0</v>
      </c>
      <c r="EC143" s="825">
        <f>-IF(OR('Financing Assumptions'!$T$8="No",EC$142&lt;='Financing Assumptions'!$T$26,EC$142&gt;'Mezz 2 Amortization'!$T$13),0,IF('Mezz 2 Amortization'!$T$4="Monthly",INDEX('Mezz 2 Amortization'!$B$19:$V$379,MATCH(EC$142,'Mezz 2 Amortization'!$E$19:$E$379,0),MATCH('Mezz 2 Amortization'!$O$19,'Mezz 2 Amortization'!$B$19:$V$19,0)),IF('Mezz 2 Amortization'!$T$4="Bi-Annual",IF(OR('Mezz 2 Amortization'!$R$4=EC$5,'Mezz 2 Amortization'!$S$4=EC$5),INDEX('Mezz 2 Amortization'!$B$19:$V$379,MATCH(EC$142,'Mezz 2 Amortization'!$E$19:$E$379,0),MATCH('Mezz 2 Amortization'!$O$19,'Mezz 2 Amortization'!$B$19:$V$19,0)),0),0)))</f>
        <v>0</v>
      </c>
      <c r="ED143" s="825">
        <f>-IF(OR('Financing Assumptions'!$T$8="No",ED$142&lt;='Financing Assumptions'!$T$26,ED$142&gt;'Mezz 2 Amortization'!$T$13),0,IF('Mezz 2 Amortization'!$T$4="Monthly",INDEX('Mezz 2 Amortization'!$B$19:$V$379,MATCH(ED$142,'Mezz 2 Amortization'!$E$19:$E$379,0),MATCH('Mezz 2 Amortization'!$O$19,'Mezz 2 Amortization'!$B$19:$V$19,0)),IF('Mezz 2 Amortization'!$T$4="Bi-Annual",IF(OR('Mezz 2 Amortization'!$R$4=ED$5,'Mezz 2 Amortization'!$S$4=ED$5),INDEX('Mezz 2 Amortization'!$B$19:$V$379,MATCH(ED$142,'Mezz 2 Amortization'!$E$19:$E$379,0),MATCH('Mezz 2 Amortization'!$O$19,'Mezz 2 Amortization'!$B$19:$V$19,0)),0),0)))</f>
        <v>0</v>
      </c>
      <c r="EE143" s="825">
        <f>-IF(OR('Financing Assumptions'!$T$8="No",EE$142&lt;='Financing Assumptions'!$T$26,EE$142&gt;'Mezz 2 Amortization'!$T$13),0,IF('Mezz 2 Amortization'!$T$4="Monthly",INDEX('Mezz 2 Amortization'!$B$19:$V$379,MATCH(EE$142,'Mezz 2 Amortization'!$E$19:$E$379,0),MATCH('Mezz 2 Amortization'!$O$19,'Mezz 2 Amortization'!$B$19:$V$19,0)),IF('Mezz 2 Amortization'!$T$4="Bi-Annual",IF(OR('Mezz 2 Amortization'!$R$4=EE$5,'Mezz 2 Amortization'!$S$4=EE$5),INDEX('Mezz 2 Amortization'!$B$19:$V$379,MATCH(EE$142,'Mezz 2 Amortization'!$E$19:$E$379,0),MATCH('Mezz 2 Amortization'!$O$19,'Mezz 2 Amortization'!$B$19:$V$19,0)),0),0)))</f>
        <v>0</v>
      </c>
      <c r="EF143" s="825">
        <f>-IF(OR('Financing Assumptions'!$T$8="No",EF$142&lt;='Financing Assumptions'!$T$26,EF$142&gt;'Mezz 2 Amortization'!$T$13),0,IF('Mezz 2 Amortization'!$T$4="Monthly",INDEX('Mezz 2 Amortization'!$B$19:$V$379,MATCH(EF$142,'Mezz 2 Amortization'!$E$19:$E$379,0),MATCH('Mezz 2 Amortization'!$O$19,'Mezz 2 Amortization'!$B$19:$V$19,0)),IF('Mezz 2 Amortization'!$T$4="Bi-Annual",IF(OR('Mezz 2 Amortization'!$R$4=EF$5,'Mezz 2 Amortization'!$S$4=EF$5),INDEX('Mezz 2 Amortization'!$B$19:$V$379,MATCH(EF$142,'Mezz 2 Amortization'!$E$19:$E$379,0),MATCH('Mezz 2 Amortization'!$O$19,'Mezz 2 Amortization'!$B$19:$V$19,0)),0),0)))</f>
        <v>0</v>
      </c>
      <c r="EG143" s="825">
        <f>-IF(OR('Financing Assumptions'!$T$8="No",EG$142&lt;='Financing Assumptions'!$T$26,EG$142&gt;'Mezz 2 Amortization'!$T$13),0,IF('Mezz 2 Amortization'!$T$4="Monthly",INDEX('Mezz 2 Amortization'!$B$19:$V$379,MATCH(EG$142,'Mezz 2 Amortization'!$E$19:$E$379,0),MATCH('Mezz 2 Amortization'!$O$19,'Mezz 2 Amortization'!$B$19:$V$19,0)),IF('Mezz 2 Amortization'!$T$4="Bi-Annual",IF(OR('Mezz 2 Amortization'!$R$4=EG$5,'Mezz 2 Amortization'!$S$4=EG$5),INDEX('Mezz 2 Amortization'!$B$19:$V$379,MATCH(EG$142,'Mezz 2 Amortization'!$E$19:$E$379,0),MATCH('Mezz 2 Amortization'!$O$19,'Mezz 2 Amortization'!$B$19:$V$19,0)),0),0)))</f>
        <v>0</v>
      </c>
      <c r="EH143" s="825">
        <f>-IF(OR('Financing Assumptions'!$T$8="No",EH$142&lt;='Financing Assumptions'!$T$26,EH$142&gt;'Mezz 2 Amortization'!$T$13),0,IF('Mezz 2 Amortization'!$T$4="Monthly",INDEX('Mezz 2 Amortization'!$B$19:$V$379,MATCH(EH$142,'Mezz 2 Amortization'!$E$19:$E$379,0),MATCH('Mezz 2 Amortization'!$O$19,'Mezz 2 Amortization'!$B$19:$V$19,0)),IF('Mezz 2 Amortization'!$T$4="Bi-Annual",IF(OR('Mezz 2 Amortization'!$R$4=EH$5,'Mezz 2 Amortization'!$S$4=EH$5),INDEX('Mezz 2 Amortization'!$B$19:$V$379,MATCH(EH$142,'Mezz 2 Amortization'!$E$19:$E$379,0),MATCH('Mezz 2 Amortization'!$O$19,'Mezz 2 Amortization'!$B$19:$V$19,0)),0),0)))</f>
        <v>0</v>
      </c>
      <c r="EI143" s="825">
        <f>-IF(OR('Financing Assumptions'!$T$8="No",EI$142&lt;='Financing Assumptions'!$T$26,EI$142&gt;'Mezz 2 Amortization'!$T$13),0,IF('Mezz 2 Amortization'!$T$4="Monthly",INDEX('Mezz 2 Amortization'!$B$19:$V$379,MATCH(EI$142,'Mezz 2 Amortization'!$E$19:$E$379,0),MATCH('Mezz 2 Amortization'!$O$19,'Mezz 2 Amortization'!$B$19:$V$19,0)),IF('Mezz 2 Amortization'!$T$4="Bi-Annual",IF(OR('Mezz 2 Amortization'!$R$4=EI$5,'Mezz 2 Amortization'!$S$4=EI$5),INDEX('Mezz 2 Amortization'!$B$19:$V$379,MATCH(EI$142,'Mezz 2 Amortization'!$E$19:$E$379,0),MATCH('Mezz 2 Amortization'!$O$19,'Mezz 2 Amortization'!$B$19:$V$19,0)),0),0)))</f>
        <v>0</v>
      </c>
      <c r="EJ143" s="825">
        <f>-IF(OR('Financing Assumptions'!$T$8="No",EJ$142&lt;='Financing Assumptions'!$T$26,EJ$142&gt;'Mezz 2 Amortization'!$T$13),0,IF('Mezz 2 Amortization'!$T$4="Monthly",INDEX('Mezz 2 Amortization'!$B$19:$V$379,MATCH(EJ$142,'Mezz 2 Amortization'!$E$19:$E$379,0),MATCH('Mezz 2 Amortization'!$O$19,'Mezz 2 Amortization'!$B$19:$V$19,0)),IF('Mezz 2 Amortization'!$T$4="Bi-Annual",IF(OR('Mezz 2 Amortization'!$R$4=EJ$5,'Mezz 2 Amortization'!$S$4=EJ$5),INDEX('Mezz 2 Amortization'!$B$19:$V$379,MATCH(EJ$142,'Mezz 2 Amortization'!$E$19:$E$379,0),MATCH('Mezz 2 Amortization'!$O$19,'Mezz 2 Amortization'!$B$19:$V$19,0)),0),0)))</f>
        <v>0</v>
      </c>
      <c r="EK143" s="825">
        <f>-IF(OR('Financing Assumptions'!$T$8="No",EK$142&lt;='Financing Assumptions'!$T$26,EK$142&gt;'Mezz 2 Amortization'!$T$13),0,IF('Mezz 2 Amortization'!$T$4="Monthly",INDEX('Mezz 2 Amortization'!$B$19:$V$379,MATCH(EK$142,'Mezz 2 Amortization'!$E$19:$E$379,0),MATCH('Mezz 2 Amortization'!$O$19,'Mezz 2 Amortization'!$B$19:$V$19,0)),IF('Mezz 2 Amortization'!$T$4="Bi-Annual",IF(OR('Mezz 2 Amortization'!$R$4=EK$5,'Mezz 2 Amortization'!$S$4=EK$5),INDEX('Mezz 2 Amortization'!$B$19:$V$379,MATCH(EK$142,'Mezz 2 Amortization'!$E$19:$E$379,0),MATCH('Mezz 2 Amortization'!$O$19,'Mezz 2 Amortization'!$B$19:$V$19,0)),0),0)))</f>
        <v>0</v>
      </c>
      <c r="EL143" s="825">
        <f>-IF(OR('Financing Assumptions'!$T$8="No",EL$142&lt;='Financing Assumptions'!$T$26,EL$142&gt;'Mezz 2 Amortization'!$T$13),0,IF('Mezz 2 Amortization'!$T$4="Monthly",INDEX('Mezz 2 Amortization'!$B$19:$V$379,MATCH(EL$142,'Mezz 2 Amortization'!$E$19:$E$379,0),MATCH('Mezz 2 Amortization'!$O$19,'Mezz 2 Amortization'!$B$19:$V$19,0)),IF('Mezz 2 Amortization'!$T$4="Bi-Annual",IF(OR('Mezz 2 Amortization'!$R$4=EL$5,'Mezz 2 Amortization'!$S$4=EL$5),INDEX('Mezz 2 Amortization'!$B$19:$V$379,MATCH(EL$142,'Mezz 2 Amortization'!$E$19:$E$379,0),MATCH('Mezz 2 Amortization'!$O$19,'Mezz 2 Amortization'!$B$19:$V$19,0)),0),0)))</f>
        <v>0</v>
      </c>
      <c r="EM143" s="825">
        <f>-IF(OR('Financing Assumptions'!$T$8="No",EM$142&lt;='Financing Assumptions'!$T$26,EM$142&gt;'Mezz 2 Amortization'!$T$13),0,IF('Mezz 2 Amortization'!$T$4="Monthly",INDEX('Mezz 2 Amortization'!$B$19:$V$379,MATCH(EM$142,'Mezz 2 Amortization'!$E$19:$E$379,0),MATCH('Mezz 2 Amortization'!$O$19,'Mezz 2 Amortization'!$B$19:$V$19,0)),IF('Mezz 2 Amortization'!$T$4="Bi-Annual",IF(OR('Mezz 2 Amortization'!$R$4=EM$5,'Mezz 2 Amortization'!$S$4=EM$5),INDEX('Mezz 2 Amortization'!$B$19:$V$379,MATCH(EM$142,'Mezz 2 Amortization'!$E$19:$E$379,0),MATCH('Mezz 2 Amortization'!$O$19,'Mezz 2 Amortization'!$B$19:$V$19,0)),0),0)))</f>
        <v>0</v>
      </c>
      <c r="EN143" s="825">
        <f>-IF(OR('Financing Assumptions'!$T$8="No",EN$142&lt;='Financing Assumptions'!$T$26,EN$142&gt;'Mezz 2 Amortization'!$T$13),0,IF('Mezz 2 Amortization'!$T$4="Monthly",INDEX('Mezz 2 Amortization'!$B$19:$V$379,MATCH(EN$142,'Mezz 2 Amortization'!$E$19:$E$379,0),MATCH('Mezz 2 Amortization'!$O$19,'Mezz 2 Amortization'!$B$19:$V$19,0)),IF('Mezz 2 Amortization'!$T$4="Bi-Annual",IF(OR('Mezz 2 Amortization'!$R$4=EN$5,'Mezz 2 Amortization'!$S$4=EN$5),INDEX('Mezz 2 Amortization'!$B$19:$V$379,MATCH(EN$142,'Mezz 2 Amortization'!$E$19:$E$379,0),MATCH('Mezz 2 Amortization'!$O$19,'Mezz 2 Amortization'!$B$19:$V$19,0)),0),0)))</f>
        <v>0</v>
      </c>
      <c r="EO143" s="825">
        <f>-IF(OR('Financing Assumptions'!$T$8="No",EO$142&lt;='Financing Assumptions'!$T$26,EO$142&gt;'Mezz 2 Amortization'!$T$13),0,IF('Mezz 2 Amortization'!$T$4="Monthly",INDEX('Mezz 2 Amortization'!$B$19:$V$379,MATCH(EO$142,'Mezz 2 Amortization'!$E$19:$E$379,0),MATCH('Mezz 2 Amortization'!$O$19,'Mezz 2 Amortization'!$B$19:$V$19,0)),IF('Mezz 2 Amortization'!$T$4="Bi-Annual",IF(OR('Mezz 2 Amortization'!$R$4=EO$5,'Mezz 2 Amortization'!$S$4=EO$5),INDEX('Mezz 2 Amortization'!$B$19:$V$379,MATCH(EO$142,'Mezz 2 Amortization'!$E$19:$E$379,0),MATCH('Mezz 2 Amortization'!$O$19,'Mezz 2 Amortization'!$B$19:$V$19,0)),0),0)))</f>
        <v>0</v>
      </c>
      <c r="EP143" s="825">
        <f>-IF(OR('Financing Assumptions'!$T$8="No",EP$142&lt;='Financing Assumptions'!$T$26,EP$142&gt;'Mezz 2 Amortization'!$T$13),0,IF('Mezz 2 Amortization'!$T$4="Monthly",INDEX('Mezz 2 Amortization'!$B$19:$V$379,MATCH(EP$142,'Mezz 2 Amortization'!$E$19:$E$379,0),MATCH('Mezz 2 Amortization'!$O$19,'Mezz 2 Amortization'!$B$19:$V$19,0)),IF('Mezz 2 Amortization'!$T$4="Bi-Annual",IF(OR('Mezz 2 Amortization'!$R$4=EP$5,'Mezz 2 Amortization'!$S$4=EP$5),INDEX('Mezz 2 Amortization'!$B$19:$V$379,MATCH(EP$142,'Mezz 2 Amortization'!$E$19:$E$379,0),MATCH('Mezz 2 Amortization'!$O$19,'Mezz 2 Amortization'!$B$19:$V$19,0)),0),0)))</f>
        <v>0</v>
      </c>
      <c r="EQ143" s="825">
        <f>-IF(OR('Financing Assumptions'!$T$8="No",EQ$142&lt;='Financing Assumptions'!$T$26,EQ$142&gt;'Mezz 2 Amortization'!$T$13),0,IF('Mezz 2 Amortization'!$T$4="Monthly",INDEX('Mezz 2 Amortization'!$B$19:$V$379,MATCH(EQ$142,'Mezz 2 Amortization'!$E$19:$E$379,0),MATCH('Mezz 2 Amortization'!$O$19,'Mezz 2 Amortization'!$B$19:$V$19,0)),IF('Mezz 2 Amortization'!$T$4="Bi-Annual",IF(OR('Mezz 2 Amortization'!$R$4=EQ$5,'Mezz 2 Amortization'!$S$4=EQ$5),INDEX('Mezz 2 Amortization'!$B$19:$V$379,MATCH(EQ$142,'Mezz 2 Amortization'!$E$19:$E$379,0),MATCH('Mezz 2 Amortization'!$O$19,'Mezz 2 Amortization'!$B$19:$V$19,0)),0),0)))</f>
        <v>0</v>
      </c>
      <c r="ER143" s="825">
        <f>-IF(OR('Financing Assumptions'!$T$8="No",ER$142&lt;='Financing Assumptions'!$T$26,ER$142&gt;'Mezz 2 Amortization'!$T$13),0,IF('Mezz 2 Amortization'!$T$4="Monthly",INDEX('Mezz 2 Amortization'!$B$19:$V$379,MATCH(ER$142,'Mezz 2 Amortization'!$E$19:$E$379,0),MATCH('Mezz 2 Amortization'!$O$19,'Mezz 2 Amortization'!$B$19:$V$19,0)),IF('Mezz 2 Amortization'!$T$4="Bi-Annual",IF(OR('Mezz 2 Amortization'!$R$4=ER$5,'Mezz 2 Amortization'!$S$4=ER$5),INDEX('Mezz 2 Amortization'!$B$19:$V$379,MATCH(ER$142,'Mezz 2 Amortization'!$E$19:$E$379,0),MATCH('Mezz 2 Amortization'!$O$19,'Mezz 2 Amortization'!$B$19:$V$19,0)),0),0)))</f>
        <v>0</v>
      </c>
      <c r="ES143" s="825">
        <f>-IF(OR('Financing Assumptions'!$T$8="No",ES$142&lt;='Financing Assumptions'!$T$26,ES$142&gt;'Mezz 2 Amortization'!$T$13),0,IF('Mezz 2 Amortization'!$T$4="Monthly",INDEX('Mezz 2 Amortization'!$B$19:$V$379,MATCH(ES$142,'Mezz 2 Amortization'!$E$19:$E$379,0),MATCH('Mezz 2 Amortization'!$O$19,'Mezz 2 Amortization'!$B$19:$V$19,0)),IF('Mezz 2 Amortization'!$T$4="Bi-Annual",IF(OR('Mezz 2 Amortization'!$R$4=ES$5,'Mezz 2 Amortization'!$S$4=ES$5),INDEX('Mezz 2 Amortization'!$B$19:$V$379,MATCH(ES$142,'Mezz 2 Amortization'!$E$19:$E$379,0),MATCH('Mezz 2 Amortization'!$O$19,'Mezz 2 Amortization'!$B$19:$V$19,0)),0),0)))</f>
        <v>0</v>
      </c>
      <c r="ET143" s="825">
        <f>-IF(OR('Financing Assumptions'!$T$8="No",ET$142&lt;='Financing Assumptions'!$T$26,ET$142&gt;'Mezz 2 Amortization'!$T$13),0,IF('Mezz 2 Amortization'!$T$4="Monthly",INDEX('Mezz 2 Amortization'!$B$19:$V$379,MATCH(ET$142,'Mezz 2 Amortization'!$E$19:$E$379,0),MATCH('Mezz 2 Amortization'!$O$19,'Mezz 2 Amortization'!$B$19:$V$19,0)),IF('Mezz 2 Amortization'!$T$4="Bi-Annual",IF(OR('Mezz 2 Amortization'!$R$4=ET$5,'Mezz 2 Amortization'!$S$4=ET$5),INDEX('Mezz 2 Amortization'!$B$19:$V$379,MATCH(ET$142,'Mezz 2 Amortization'!$E$19:$E$379,0),MATCH('Mezz 2 Amortization'!$O$19,'Mezz 2 Amortization'!$B$19:$V$19,0)),0),0)))</f>
        <v>0</v>
      </c>
      <c r="EU143" s="825">
        <f>-IF(OR('Financing Assumptions'!$T$8="No",EU$142&lt;='Financing Assumptions'!$T$26,EU$142&gt;'Mezz 2 Amortization'!$T$13),0,IF('Mezz 2 Amortization'!$T$4="Monthly",INDEX('Mezz 2 Amortization'!$B$19:$V$379,MATCH(EU$142,'Mezz 2 Amortization'!$E$19:$E$379,0),MATCH('Mezz 2 Amortization'!$O$19,'Mezz 2 Amortization'!$B$19:$V$19,0)),IF('Mezz 2 Amortization'!$T$4="Bi-Annual",IF(OR('Mezz 2 Amortization'!$R$4=EU$5,'Mezz 2 Amortization'!$S$4=EU$5),INDEX('Mezz 2 Amortization'!$B$19:$V$379,MATCH(EU$142,'Mezz 2 Amortization'!$E$19:$E$379,0),MATCH('Mezz 2 Amortization'!$O$19,'Mezz 2 Amortization'!$B$19:$V$19,0)),0),0)))</f>
        <v>0</v>
      </c>
      <c r="EV143" s="825">
        <f>-IF(OR('Financing Assumptions'!$T$8="No",EV$142&lt;='Financing Assumptions'!$T$26,EV$142&gt;'Mezz 2 Amortization'!$T$13),0,IF('Mezz 2 Amortization'!$T$4="Monthly",INDEX('Mezz 2 Amortization'!$B$19:$V$379,MATCH(EV$142,'Mezz 2 Amortization'!$E$19:$E$379,0),MATCH('Mezz 2 Amortization'!$O$19,'Mezz 2 Amortization'!$B$19:$V$19,0)),IF('Mezz 2 Amortization'!$T$4="Bi-Annual",IF(OR('Mezz 2 Amortization'!$R$4=EV$5,'Mezz 2 Amortization'!$S$4=EV$5),INDEX('Mezz 2 Amortization'!$B$19:$V$379,MATCH(EV$142,'Mezz 2 Amortization'!$E$19:$E$379,0),MATCH('Mezz 2 Amortization'!$O$19,'Mezz 2 Amortization'!$B$19:$V$19,0)),0),0)))</f>
        <v>0</v>
      </c>
      <c r="EW143" s="825">
        <f>-IF(OR('Financing Assumptions'!$T$8="No",EW$142&lt;='Financing Assumptions'!$T$26,EW$142&gt;'Mezz 2 Amortization'!$T$13),0,IF('Mezz 2 Amortization'!$T$4="Monthly",INDEX('Mezz 2 Amortization'!$B$19:$V$379,MATCH(EW$142,'Mezz 2 Amortization'!$E$19:$E$379,0),MATCH('Mezz 2 Amortization'!$O$19,'Mezz 2 Amortization'!$B$19:$V$19,0)),IF('Mezz 2 Amortization'!$T$4="Bi-Annual",IF(OR('Mezz 2 Amortization'!$R$4=EW$5,'Mezz 2 Amortization'!$S$4=EW$5),INDEX('Mezz 2 Amortization'!$B$19:$V$379,MATCH(EW$142,'Mezz 2 Amortization'!$E$19:$E$379,0),MATCH('Mezz 2 Amortization'!$O$19,'Mezz 2 Amortization'!$B$19:$V$19,0)),0),0)))</f>
        <v>0</v>
      </c>
      <c r="EX143" s="825">
        <f>-IF(OR('Financing Assumptions'!$T$8="No",EX$142&lt;='Financing Assumptions'!$T$26,EX$142&gt;'Mezz 2 Amortization'!$T$13),0,IF('Mezz 2 Amortization'!$T$4="Monthly",INDEX('Mezz 2 Amortization'!$B$19:$V$379,MATCH(EX$142,'Mezz 2 Amortization'!$E$19:$E$379,0),MATCH('Mezz 2 Amortization'!$O$19,'Mezz 2 Amortization'!$B$19:$V$19,0)),IF('Mezz 2 Amortization'!$T$4="Bi-Annual",IF(OR('Mezz 2 Amortization'!$R$4=EX$5,'Mezz 2 Amortization'!$S$4=EX$5),INDEX('Mezz 2 Amortization'!$B$19:$V$379,MATCH(EX$142,'Mezz 2 Amortization'!$E$19:$E$379,0),MATCH('Mezz 2 Amortization'!$O$19,'Mezz 2 Amortization'!$B$19:$V$19,0)),0),0)))</f>
        <v>0</v>
      </c>
      <c r="EY143" s="825">
        <f>-IF(OR('Financing Assumptions'!$T$8="No",EY$142&lt;='Financing Assumptions'!$T$26,EY$142&gt;'Mezz 2 Amortization'!$T$13),0,IF('Mezz 2 Amortization'!$T$4="Monthly",INDEX('Mezz 2 Amortization'!$B$19:$V$379,MATCH(EY$142,'Mezz 2 Amortization'!$E$19:$E$379,0),MATCH('Mezz 2 Amortization'!$O$19,'Mezz 2 Amortization'!$B$19:$V$19,0)),IF('Mezz 2 Amortization'!$T$4="Bi-Annual",IF(OR('Mezz 2 Amortization'!$R$4=EY$5,'Mezz 2 Amortization'!$S$4=EY$5),INDEX('Mezz 2 Amortization'!$B$19:$V$379,MATCH(EY$142,'Mezz 2 Amortization'!$E$19:$E$379,0),MATCH('Mezz 2 Amortization'!$O$19,'Mezz 2 Amortization'!$B$19:$V$19,0)),0),0)))</f>
        <v>0</v>
      </c>
      <c r="EZ143" s="825">
        <f>-IF(OR('Financing Assumptions'!$T$8="No",EZ$142&lt;='Financing Assumptions'!$T$26,EZ$142&gt;'Mezz 2 Amortization'!$T$13),0,IF('Mezz 2 Amortization'!$T$4="Monthly",INDEX('Mezz 2 Amortization'!$B$19:$V$379,MATCH(EZ$142,'Mezz 2 Amortization'!$E$19:$E$379,0),MATCH('Mezz 2 Amortization'!$O$19,'Mezz 2 Amortization'!$B$19:$V$19,0)),IF('Mezz 2 Amortization'!$T$4="Bi-Annual",IF(OR('Mezz 2 Amortization'!$R$4=EZ$5,'Mezz 2 Amortization'!$S$4=EZ$5),INDEX('Mezz 2 Amortization'!$B$19:$V$379,MATCH(EZ$142,'Mezz 2 Amortization'!$E$19:$E$379,0),MATCH('Mezz 2 Amortization'!$O$19,'Mezz 2 Amortization'!$B$19:$V$19,0)),0),0)))</f>
        <v>0</v>
      </c>
      <c r="FA143" s="825">
        <f>-IF(OR('Financing Assumptions'!$T$8="No",FA$142&lt;='Financing Assumptions'!$T$26,FA$142&gt;'Mezz 2 Amortization'!$T$13),0,IF('Mezz 2 Amortization'!$T$4="Monthly",INDEX('Mezz 2 Amortization'!$B$19:$V$379,MATCH(FA$142,'Mezz 2 Amortization'!$E$19:$E$379,0),MATCH('Mezz 2 Amortization'!$O$19,'Mezz 2 Amortization'!$B$19:$V$19,0)),IF('Mezz 2 Amortization'!$T$4="Bi-Annual",IF(OR('Mezz 2 Amortization'!$R$4=FA$5,'Mezz 2 Amortization'!$S$4=FA$5),INDEX('Mezz 2 Amortization'!$B$19:$V$379,MATCH(FA$142,'Mezz 2 Amortization'!$E$19:$E$379,0),MATCH('Mezz 2 Amortization'!$O$19,'Mezz 2 Amortization'!$B$19:$V$19,0)),0),0)))</f>
        <v>0</v>
      </c>
      <c r="FB143" s="825">
        <f>-IF(OR('Financing Assumptions'!$T$8="No",FB$142&lt;='Financing Assumptions'!$T$26,FB$142&gt;'Mezz 2 Amortization'!$T$13),0,IF('Mezz 2 Amortization'!$T$4="Monthly",INDEX('Mezz 2 Amortization'!$B$19:$V$379,MATCH(FB$142,'Mezz 2 Amortization'!$E$19:$E$379,0),MATCH('Mezz 2 Amortization'!$O$19,'Mezz 2 Amortization'!$B$19:$V$19,0)),IF('Mezz 2 Amortization'!$T$4="Bi-Annual",IF(OR('Mezz 2 Amortization'!$R$4=FB$5,'Mezz 2 Amortization'!$S$4=FB$5),INDEX('Mezz 2 Amortization'!$B$19:$V$379,MATCH(FB$142,'Mezz 2 Amortization'!$E$19:$E$379,0),MATCH('Mezz 2 Amortization'!$O$19,'Mezz 2 Amortization'!$B$19:$V$19,0)),0),0)))</f>
        <v>0</v>
      </c>
      <c r="FC143" s="825">
        <f>-IF(OR('Financing Assumptions'!$T$8="No",FC$142&lt;='Financing Assumptions'!$T$26,FC$142&gt;'Mezz 2 Amortization'!$T$13),0,IF('Mezz 2 Amortization'!$T$4="Monthly",INDEX('Mezz 2 Amortization'!$B$19:$V$379,MATCH(FC$142,'Mezz 2 Amortization'!$E$19:$E$379,0),MATCH('Mezz 2 Amortization'!$O$19,'Mezz 2 Amortization'!$B$19:$V$19,0)),IF('Mezz 2 Amortization'!$T$4="Bi-Annual",IF(OR('Mezz 2 Amortization'!$R$4=FC$5,'Mezz 2 Amortization'!$S$4=FC$5),INDEX('Mezz 2 Amortization'!$B$19:$V$379,MATCH(FC$142,'Mezz 2 Amortization'!$E$19:$E$379,0),MATCH('Mezz 2 Amortization'!$O$19,'Mezz 2 Amortization'!$B$19:$V$19,0)),0),0)))</f>
        <v>0</v>
      </c>
      <c r="FD143" s="825">
        <f>-IF(OR('Financing Assumptions'!$T$8="No",FD$142&lt;='Financing Assumptions'!$T$26,FD$142&gt;'Mezz 2 Amortization'!$T$13),0,IF('Mezz 2 Amortization'!$T$4="Monthly",INDEX('Mezz 2 Amortization'!$B$19:$V$379,MATCH(FD$142,'Mezz 2 Amortization'!$E$19:$E$379,0),MATCH('Mezz 2 Amortization'!$O$19,'Mezz 2 Amortization'!$B$19:$V$19,0)),IF('Mezz 2 Amortization'!$T$4="Bi-Annual",IF(OR('Mezz 2 Amortization'!$R$4=FD$5,'Mezz 2 Amortization'!$S$4=FD$5),INDEX('Mezz 2 Amortization'!$B$19:$V$379,MATCH(FD$142,'Mezz 2 Amortization'!$E$19:$E$379,0),MATCH('Mezz 2 Amortization'!$O$19,'Mezz 2 Amortization'!$B$19:$V$19,0)),0),0)))</f>
        <v>0</v>
      </c>
      <c r="FE143" s="825">
        <f>-IF(OR('Financing Assumptions'!$T$8="No",FE$142&lt;='Financing Assumptions'!$T$26,FE$142&gt;'Mezz 2 Amortization'!$T$13),0,IF('Mezz 2 Amortization'!$T$4="Monthly",INDEX('Mezz 2 Amortization'!$B$19:$V$379,MATCH(FE$142,'Mezz 2 Amortization'!$E$19:$E$379,0),MATCH('Mezz 2 Amortization'!$O$19,'Mezz 2 Amortization'!$B$19:$V$19,0)),IF('Mezz 2 Amortization'!$T$4="Bi-Annual",IF(OR('Mezz 2 Amortization'!$R$4=FE$5,'Mezz 2 Amortization'!$S$4=FE$5),INDEX('Mezz 2 Amortization'!$B$19:$V$379,MATCH(FE$142,'Mezz 2 Amortization'!$E$19:$E$379,0),MATCH('Mezz 2 Amortization'!$O$19,'Mezz 2 Amortization'!$B$19:$V$19,0)),0),0)))</f>
        <v>0</v>
      </c>
      <c r="FF143" s="825">
        <f>-IF(OR('Financing Assumptions'!$T$8="No",FF$142&lt;='Financing Assumptions'!$T$26,FF$142&gt;'Mezz 2 Amortization'!$T$13),0,IF('Mezz 2 Amortization'!$T$4="Monthly",INDEX('Mezz 2 Amortization'!$B$19:$V$379,MATCH(FF$142,'Mezz 2 Amortization'!$E$19:$E$379,0),MATCH('Mezz 2 Amortization'!$O$19,'Mezz 2 Amortization'!$B$19:$V$19,0)),IF('Mezz 2 Amortization'!$T$4="Bi-Annual",IF(OR('Mezz 2 Amortization'!$R$4=FF$5,'Mezz 2 Amortization'!$S$4=FF$5),INDEX('Mezz 2 Amortization'!$B$19:$V$379,MATCH(FF$142,'Mezz 2 Amortization'!$E$19:$E$379,0),MATCH('Mezz 2 Amortization'!$O$19,'Mezz 2 Amortization'!$B$19:$V$19,0)),0),0)))</f>
        <v>0</v>
      </c>
      <c r="FG143" s="825">
        <f>-IF(OR('Financing Assumptions'!$T$8="No",FG$142&lt;='Financing Assumptions'!$T$26,FG$142&gt;'Mezz 2 Amortization'!$T$13),0,IF('Mezz 2 Amortization'!$T$4="Monthly",INDEX('Mezz 2 Amortization'!$B$19:$V$379,MATCH(FG$142,'Mezz 2 Amortization'!$E$19:$E$379,0),MATCH('Mezz 2 Amortization'!$O$19,'Mezz 2 Amortization'!$B$19:$V$19,0)),IF('Mezz 2 Amortization'!$T$4="Bi-Annual",IF(OR('Mezz 2 Amortization'!$R$4=FG$5,'Mezz 2 Amortization'!$S$4=FG$5),INDEX('Mezz 2 Amortization'!$B$19:$V$379,MATCH(FG$142,'Mezz 2 Amortization'!$E$19:$E$379,0),MATCH('Mezz 2 Amortization'!$O$19,'Mezz 2 Amortization'!$B$19:$V$19,0)),0),0)))</f>
        <v>0</v>
      </c>
      <c r="FH143" s="825">
        <f>-IF(OR('Financing Assumptions'!$T$8="No",FH$142&lt;='Financing Assumptions'!$T$26,FH$142&gt;'Mezz 2 Amortization'!$T$13),0,IF('Mezz 2 Amortization'!$T$4="Monthly",INDEX('Mezz 2 Amortization'!$B$19:$V$379,MATCH(FH$142,'Mezz 2 Amortization'!$E$19:$E$379,0),MATCH('Mezz 2 Amortization'!$O$19,'Mezz 2 Amortization'!$B$19:$V$19,0)),IF('Mezz 2 Amortization'!$T$4="Bi-Annual",IF(OR('Mezz 2 Amortization'!$R$4=FH$5,'Mezz 2 Amortization'!$S$4=FH$5),INDEX('Mezz 2 Amortization'!$B$19:$V$379,MATCH(FH$142,'Mezz 2 Amortization'!$E$19:$E$379,0),MATCH('Mezz 2 Amortization'!$O$19,'Mezz 2 Amortization'!$B$19:$V$19,0)),0),0)))</f>
        <v>0</v>
      </c>
      <c r="FI143" s="825">
        <f>-IF(OR('Financing Assumptions'!$T$8="No",FI$142&lt;='Financing Assumptions'!$T$26,FI$142&gt;'Mezz 2 Amortization'!$T$13),0,IF('Mezz 2 Amortization'!$T$4="Monthly",INDEX('Mezz 2 Amortization'!$B$19:$V$379,MATCH(FI$142,'Mezz 2 Amortization'!$E$19:$E$379,0),MATCH('Mezz 2 Amortization'!$O$19,'Mezz 2 Amortization'!$B$19:$V$19,0)),IF('Mezz 2 Amortization'!$T$4="Bi-Annual",IF(OR('Mezz 2 Amortization'!$R$4=FI$5,'Mezz 2 Amortization'!$S$4=FI$5),INDEX('Mezz 2 Amortization'!$B$19:$V$379,MATCH(FI$142,'Mezz 2 Amortization'!$E$19:$E$379,0),MATCH('Mezz 2 Amortization'!$O$19,'Mezz 2 Amortization'!$B$19:$V$19,0)),0),0)))</f>
        <v>0</v>
      </c>
      <c r="FJ143" s="825">
        <f>-IF(OR('Financing Assumptions'!$T$8="No",FJ$142&lt;='Financing Assumptions'!$T$26,FJ$142&gt;'Mezz 2 Amortization'!$T$13),0,IF('Mezz 2 Amortization'!$T$4="Monthly",INDEX('Mezz 2 Amortization'!$B$19:$V$379,MATCH(FJ$142,'Mezz 2 Amortization'!$E$19:$E$379,0),MATCH('Mezz 2 Amortization'!$O$19,'Mezz 2 Amortization'!$B$19:$V$19,0)),IF('Mezz 2 Amortization'!$T$4="Bi-Annual",IF(OR('Mezz 2 Amortization'!$R$4=FJ$5,'Mezz 2 Amortization'!$S$4=FJ$5),INDEX('Mezz 2 Amortization'!$B$19:$V$379,MATCH(FJ$142,'Mezz 2 Amortization'!$E$19:$E$379,0),MATCH('Mezz 2 Amortization'!$O$19,'Mezz 2 Amortization'!$B$19:$V$19,0)),0),0)))</f>
        <v>0</v>
      </c>
      <c r="FK143" s="825">
        <f>-IF(OR('Financing Assumptions'!$T$8="No",FK$142&lt;='Financing Assumptions'!$T$26,FK$142&gt;'Mezz 2 Amortization'!$T$13),0,IF('Mezz 2 Amortization'!$T$4="Monthly",INDEX('Mezz 2 Amortization'!$B$19:$V$379,MATCH(FK$142,'Mezz 2 Amortization'!$E$19:$E$379,0),MATCH('Mezz 2 Amortization'!$O$19,'Mezz 2 Amortization'!$B$19:$V$19,0)),IF('Mezz 2 Amortization'!$T$4="Bi-Annual",IF(OR('Mezz 2 Amortization'!$R$4=FK$5,'Mezz 2 Amortization'!$S$4=FK$5),INDEX('Mezz 2 Amortization'!$B$19:$V$379,MATCH(FK$142,'Mezz 2 Amortization'!$E$19:$E$379,0),MATCH('Mezz 2 Amortization'!$O$19,'Mezz 2 Amortization'!$B$19:$V$19,0)),0),0)))</f>
        <v>0</v>
      </c>
      <c r="FL143" s="825">
        <f>-IF(OR('Financing Assumptions'!$T$8="No",FL$142&lt;='Financing Assumptions'!$T$26,FL$142&gt;'Mezz 2 Amortization'!$T$13),0,IF('Mezz 2 Amortization'!$T$4="Monthly",INDEX('Mezz 2 Amortization'!$B$19:$V$379,MATCH(FL$142,'Mezz 2 Amortization'!$E$19:$E$379,0),MATCH('Mezz 2 Amortization'!$O$19,'Mezz 2 Amortization'!$B$19:$V$19,0)),IF('Mezz 2 Amortization'!$T$4="Bi-Annual",IF(OR('Mezz 2 Amortization'!$R$4=FL$5,'Mezz 2 Amortization'!$S$4=FL$5),INDEX('Mezz 2 Amortization'!$B$19:$V$379,MATCH(FL$142,'Mezz 2 Amortization'!$E$19:$E$379,0),MATCH('Mezz 2 Amortization'!$O$19,'Mezz 2 Amortization'!$B$19:$V$19,0)),0),0)))</f>
        <v>0</v>
      </c>
      <c r="FM143" s="825">
        <f>-IF(OR('Financing Assumptions'!$T$8="No",FM$142&lt;='Financing Assumptions'!$T$26,FM$142&gt;'Mezz 2 Amortization'!$T$13),0,IF('Mezz 2 Amortization'!$T$4="Monthly",INDEX('Mezz 2 Amortization'!$B$19:$V$379,MATCH(FM$142,'Mezz 2 Amortization'!$E$19:$E$379,0),MATCH('Mezz 2 Amortization'!$O$19,'Mezz 2 Amortization'!$B$19:$V$19,0)),IF('Mezz 2 Amortization'!$T$4="Bi-Annual",IF(OR('Mezz 2 Amortization'!$R$4=FM$5,'Mezz 2 Amortization'!$S$4=FM$5),INDEX('Mezz 2 Amortization'!$B$19:$V$379,MATCH(FM$142,'Mezz 2 Amortization'!$E$19:$E$379,0),MATCH('Mezz 2 Amortization'!$O$19,'Mezz 2 Amortization'!$B$19:$V$19,0)),0),0)))</f>
        <v>0</v>
      </c>
      <c r="FN143" s="825">
        <f>-IF(OR('Financing Assumptions'!$T$8="No",FN$142&lt;='Financing Assumptions'!$T$26,FN$142&gt;'Mezz 2 Amortization'!$T$13),0,IF('Mezz 2 Amortization'!$T$4="Monthly",INDEX('Mezz 2 Amortization'!$B$19:$V$379,MATCH(FN$142,'Mezz 2 Amortization'!$E$19:$E$379,0),MATCH('Mezz 2 Amortization'!$O$19,'Mezz 2 Amortization'!$B$19:$V$19,0)),IF('Mezz 2 Amortization'!$T$4="Bi-Annual",IF(OR('Mezz 2 Amortization'!$R$4=FN$5,'Mezz 2 Amortization'!$S$4=FN$5),INDEX('Mezz 2 Amortization'!$B$19:$V$379,MATCH(FN$142,'Mezz 2 Amortization'!$E$19:$E$379,0),MATCH('Mezz 2 Amortization'!$O$19,'Mezz 2 Amortization'!$B$19:$V$19,0)),0),0)))</f>
        <v>0</v>
      </c>
      <c r="FO143" s="825">
        <f>-IF(OR('Financing Assumptions'!$T$8="No",FO$142&lt;='Financing Assumptions'!$T$26,FO$142&gt;'Mezz 2 Amortization'!$T$13),0,IF('Mezz 2 Amortization'!$T$4="Monthly",INDEX('Mezz 2 Amortization'!$B$19:$V$379,MATCH(FO$142,'Mezz 2 Amortization'!$E$19:$E$379,0),MATCH('Mezz 2 Amortization'!$O$19,'Mezz 2 Amortization'!$B$19:$V$19,0)),IF('Mezz 2 Amortization'!$T$4="Bi-Annual",IF(OR('Mezz 2 Amortization'!$R$4=FO$5,'Mezz 2 Amortization'!$S$4=FO$5),INDEX('Mezz 2 Amortization'!$B$19:$V$379,MATCH(FO$142,'Mezz 2 Amortization'!$E$19:$E$379,0),MATCH('Mezz 2 Amortization'!$O$19,'Mezz 2 Amortization'!$B$19:$V$19,0)),0),0)))</f>
        <v>0</v>
      </c>
      <c r="FP143" s="825">
        <f>-IF(OR('Financing Assumptions'!$T$8="No",FP$142&lt;='Financing Assumptions'!$T$26,FP$142&gt;'Mezz 2 Amortization'!$T$13),0,IF('Mezz 2 Amortization'!$T$4="Monthly",INDEX('Mezz 2 Amortization'!$B$19:$V$379,MATCH(FP$142,'Mezz 2 Amortization'!$E$19:$E$379,0),MATCH('Mezz 2 Amortization'!$O$19,'Mezz 2 Amortization'!$B$19:$V$19,0)),IF('Mezz 2 Amortization'!$T$4="Bi-Annual",IF(OR('Mezz 2 Amortization'!$R$4=FP$5,'Mezz 2 Amortization'!$S$4=FP$5),INDEX('Mezz 2 Amortization'!$B$19:$V$379,MATCH(FP$142,'Mezz 2 Amortization'!$E$19:$E$379,0),MATCH('Mezz 2 Amortization'!$O$19,'Mezz 2 Amortization'!$B$19:$V$19,0)),0),0)))</f>
        <v>0</v>
      </c>
      <c r="FQ143" s="825">
        <f>-IF(OR('Financing Assumptions'!$T$8="No",FQ$142&lt;='Financing Assumptions'!$T$26,FQ$142&gt;'Mezz 2 Amortization'!$T$13),0,IF('Mezz 2 Amortization'!$T$4="Monthly",INDEX('Mezz 2 Amortization'!$B$19:$V$379,MATCH(FQ$142,'Mezz 2 Amortization'!$E$19:$E$379,0),MATCH('Mezz 2 Amortization'!$O$19,'Mezz 2 Amortization'!$B$19:$V$19,0)),IF('Mezz 2 Amortization'!$T$4="Bi-Annual",IF(OR('Mezz 2 Amortization'!$R$4=FQ$5,'Mezz 2 Amortization'!$S$4=FQ$5),INDEX('Mezz 2 Amortization'!$B$19:$V$379,MATCH(FQ$142,'Mezz 2 Amortization'!$E$19:$E$379,0),MATCH('Mezz 2 Amortization'!$O$19,'Mezz 2 Amortization'!$B$19:$V$19,0)),0),0)))</f>
        <v>0</v>
      </c>
      <c r="FR143" s="825">
        <f>-IF(OR('Financing Assumptions'!$T$8="No",FR$142&lt;='Financing Assumptions'!$T$26,FR$142&gt;'Mezz 2 Amortization'!$T$13),0,IF('Mezz 2 Amortization'!$T$4="Monthly",INDEX('Mezz 2 Amortization'!$B$19:$V$379,MATCH(FR$142,'Mezz 2 Amortization'!$E$19:$E$379,0),MATCH('Mezz 2 Amortization'!$O$19,'Mezz 2 Amortization'!$B$19:$V$19,0)),IF('Mezz 2 Amortization'!$T$4="Bi-Annual",IF(OR('Mezz 2 Amortization'!$R$4=FR$5,'Mezz 2 Amortization'!$S$4=FR$5),INDEX('Mezz 2 Amortization'!$B$19:$V$379,MATCH(FR$142,'Mezz 2 Amortization'!$E$19:$E$379,0),MATCH('Mezz 2 Amortization'!$O$19,'Mezz 2 Amortization'!$B$19:$V$19,0)),0),0)))</f>
        <v>0</v>
      </c>
      <c r="FS143" s="825">
        <f>-IF(OR('Financing Assumptions'!$T$8="No",FS$142&lt;='Financing Assumptions'!$T$26,FS$142&gt;'Mezz 2 Amortization'!$T$13),0,IF('Mezz 2 Amortization'!$T$4="Monthly",INDEX('Mezz 2 Amortization'!$B$19:$V$379,MATCH(FS$142,'Mezz 2 Amortization'!$E$19:$E$379,0),MATCH('Mezz 2 Amortization'!$O$19,'Mezz 2 Amortization'!$B$19:$V$19,0)),IF('Mezz 2 Amortization'!$T$4="Bi-Annual",IF(OR('Mezz 2 Amortization'!$R$4=FS$5,'Mezz 2 Amortization'!$S$4=FS$5),INDEX('Mezz 2 Amortization'!$B$19:$V$379,MATCH(FS$142,'Mezz 2 Amortization'!$E$19:$E$379,0),MATCH('Mezz 2 Amortization'!$O$19,'Mezz 2 Amortization'!$B$19:$V$19,0)),0),0)))</f>
        <v>0</v>
      </c>
      <c r="FT143" s="825">
        <f>-IF(OR('Financing Assumptions'!$T$8="No",FT$142&lt;='Financing Assumptions'!$T$26,FT$142&gt;'Mezz 2 Amortization'!$T$13),0,IF('Mezz 2 Amortization'!$T$4="Monthly",INDEX('Mezz 2 Amortization'!$B$19:$V$379,MATCH(FT$142,'Mezz 2 Amortization'!$E$19:$E$379,0),MATCH('Mezz 2 Amortization'!$O$19,'Mezz 2 Amortization'!$B$19:$V$19,0)),IF('Mezz 2 Amortization'!$T$4="Bi-Annual",IF(OR('Mezz 2 Amortization'!$R$4=FT$5,'Mezz 2 Amortization'!$S$4=FT$5),INDEX('Mezz 2 Amortization'!$B$19:$V$379,MATCH(FT$142,'Mezz 2 Amortization'!$E$19:$E$379,0),MATCH('Mezz 2 Amortization'!$O$19,'Mezz 2 Amortization'!$B$19:$V$19,0)),0),0)))</f>
        <v>0</v>
      </c>
      <c r="FU143" s="43"/>
      <c r="FV143" s="34"/>
      <c r="FW143" s="34"/>
      <c r="FX143" s="34"/>
      <c r="FY143" s="34"/>
      <c r="FZ143" s="34"/>
    </row>
    <row r="144" spans="1:182" s="89" customFormat="1" ht="13.5" x14ac:dyDescent="0.25">
      <c r="A144" s="34"/>
      <c r="B144" s="1271" t="s">
        <v>601</v>
      </c>
      <c r="C144" s="34"/>
      <c r="D144" s="34"/>
      <c r="E144" s="34"/>
      <c r="F144" s="428"/>
      <c r="G144" s="34"/>
      <c r="H144" s="427">
        <f>-IF(OR('Financing Assumptions'!$T$8="No",H$142&lt;='Financing Assumptions'!$T$26,H$142&gt;'Mezz 2 Amortization'!$T$13),0,IF('Mezz 2 Amortization'!$T$4="Monthly",INDEX('Mezz 2 Amortization'!$B$19:$V$379,MATCH(H$142,'Mezz 2 Amortization'!$E$19:$E$379,0),MATCH('Mezz 2 Amortization'!$Q$19,'Mezz 2 Amortization'!$B$19:$V$19,0)),IF('Mezz 2 Amortization'!$T$4="Bi-Annual",IF(OR('Mezz 2 Amortization'!$R$4=H$5,'Mezz 2 Amortization'!$S$4=H$5),INDEX('Mezz 2 Amortization'!$B$19:$V$379,MATCH(H$142,'Mezz 2 Amortization'!$E$19:$E$379,0),MATCH('Mezz 2 Amortization'!$Q$19,'Mezz 2 Amortization'!$B$19:$V$19,0)),0),0)))</f>
        <v>0</v>
      </c>
      <c r="I144" s="427">
        <f>-IF(OR('Financing Assumptions'!$T$8="No",I$142&lt;='Financing Assumptions'!$T$26,I$142&gt;'Mezz 2 Amortization'!$T$13),0,IF('Mezz 2 Amortization'!$T$4="Monthly",INDEX('Mezz 2 Amortization'!$B$19:$V$379,MATCH(I$142,'Mezz 2 Amortization'!$E$19:$E$379,0),MATCH('Mezz 2 Amortization'!$Q$19,'Mezz 2 Amortization'!$B$19:$V$19,0)),IF('Mezz 2 Amortization'!$T$4="Bi-Annual",IF(OR('Mezz 2 Amortization'!$R$4=I$5,'Mezz 2 Amortization'!$S$4=I$5),INDEX('Mezz 2 Amortization'!$B$19:$V$379,MATCH(I$142,'Mezz 2 Amortization'!$E$19:$E$379,0),MATCH('Mezz 2 Amortization'!$Q$19,'Mezz 2 Amortization'!$B$19:$V$19,0)),0),0)))</f>
        <v>0</v>
      </c>
      <c r="J144" s="427">
        <f>-IF(OR('Financing Assumptions'!$T$8="No",J$142&lt;='Financing Assumptions'!$T$26,J$142&gt;'Mezz 2 Amortization'!$T$13),0,IF('Mezz 2 Amortization'!$T$4="Monthly",INDEX('Mezz 2 Amortization'!$B$19:$V$379,MATCH(J$142,'Mezz 2 Amortization'!$E$19:$E$379,0),MATCH('Mezz 2 Amortization'!$Q$19,'Mezz 2 Amortization'!$B$19:$V$19,0)),IF('Mezz 2 Amortization'!$T$4="Bi-Annual",IF(OR('Mezz 2 Amortization'!$R$4=J$5,'Mezz 2 Amortization'!$S$4=J$5),INDEX('Mezz 2 Amortization'!$B$19:$V$379,MATCH(J$142,'Mezz 2 Amortization'!$E$19:$E$379,0),MATCH('Mezz 2 Amortization'!$Q$19,'Mezz 2 Amortization'!$B$19:$V$19,0)),0),0)))</f>
        <v>0</v>
      </c>
      <c r="K144" s="427">
        <f>-IF(OR('Financing Assumptions'!$T$8="No",K$142&lt;='Financing Assumptions'!$T$26,K$142&gt;'Mezz 2 Amortization'!$T$13),0,IF('Mezz 2 Amortization'!$T$4="Monthly",INDEX('Mezz 2 Amortization'!$B$19:$V$379,MATCH(K$142,'Mezz 2 Amortization'!$E$19:$E$379,0),MATCH('Mezz 2 Amortization'!$Q$19,'Mezz 2 Amortization'!$B$19:$V$19,0)),IF('Mezz 2 Amortization'!$T$4="Bi-Annual",IF(OR('Mezz 2 Amortization'!$R$4=K$5,'Mezz 2 Amortization'!$S$4=K$5),INDEX('Mezz 2 Amortization'!$B$19:$V$379,MATCH(K$142,'Mezz 2 Amortization'!$E$19:$E$379,0),MATCH('Mezz 2 Amortization'!$Q$19,'Mezz 2 Amortization'!$B$19:$V$19,0)),0),0)))</f>
        <v>0</v>
      </c>
      <c r="L144" s="427">
        <f>-IF(OR('Financing Assumptions'!$T$8="No",L$142&lt;='Financing Assumptions'!$T$26,L$142&gt;'Mezz 2 Amortization'!$T$13),0,IF('Mezz 2 Amortization'!$T$4="Monthly",INDEX('Mezz 2 Amortization'!$B$19:$V$379,MATCH(L$142,'Mezz 2 Amortization'!$E$19:$E$379,0),MATCH('Mezz 2 Amortization'!$Q$19,'Mezz 2 Amortization'!$B$19:$V$19,0)),IF('Mezz 2 Amortization'!$T$4="Bi-Annual",IF(OR('Mezz 2 Amortization'!$R$4=L$5,'Mezz 2 Amortization'!$S$4=L$5),INDEX('Mezz 2 Amortization'!$B$19:$V$379,MATCH(L$142,'Mezz 2 Amortization'!$E$19:$E$379,0),MATCH('Mezz 2 Amortization'!$Q$19,'Mezz 2 Amortization'!$B$19:$V$19,0)),0),0)))</f>
        <v>0</v>
      </c>
      <c r="M144" s="427">
        <f>-IF(OR('Financing Assumptions'!$T$8="No",M$142&lt;='Financing Assumptions'!$T$26,M$142&gt;'Mezz 2 Amortization'!$T$13),0,IF('Mezz 2 Amortization'!$T$4="Monthly",INDEX('Mezz 2 Amortization'!$B$19:$V$379,MATCH(M$142,'Mezz 2 Amortization'!$E$19:$E$379,0),MATCH('Mezz 2 Amortization'!$Q$19,'Mezz 2 Amortization'!$B$19:$V$19,0)),IF('Mezz 2 Amortization'!$T$4="Bi-Annual",IF(OR('Mezz 2 Amortization'!$R$4=M$5,'Mezz 2 Amortization'!$S$4=M$5),INDEX('Mezz 2 Amortization'!$B$19:$V$379,MATCH(M$142,'Mezz 2 Amortization'!$E$19:$E$379,0),MATCH('Mezz 2 Amortization'!$Q$19,'Mezz 2 Amortization'!$B$19:$V$19,0)),0),0)))</f>
        <v>0</v>
      </c>
      <c r="N144" s="427">
        <f>-IF(OR('Financing Assumptions'!$T$8="No",N$142&lt;='Financing Assumptions'!$T$26,N$142&gt;'Mezz 2 Amortization'!$T$13),0,IF('Mezz 2 Amortization'!$T$4="Monthly",INDEX('Mezz 2 Amortization'!$B$19:$V$379,MATCH(N$142,'Mezz 2 Amortization'!$E$19:$E$379,0),MATCH('Mezz 2 Amortization'!$Q$19,'Mezz 2 Amortization'!$B$19:$V$19,0)),IF('Mezz 2 Amortization'!$T$4="Bi-Annual",IF(OR('Mezz 2 Amortization'!$R$4=N$5,'Mezz 2 Amortization'!$S$4=N$5),INDEX('Mezz 2 Amortization'!$B$19:$V$379,MATCH(N$142,'Mezz 2 Amortization'!$E$19:$E$379,0),MATCH('Mezz 2 Amortization'!$Q$19,'Mezz 2 Amortization'!$B$19:$V$19,0)),0),0)))</f>
        <v>0</v>
      </c>
      <c r="O144" s="427">
        <f>-IF(OR('Financing Assumptions'!$T$8="No",O$142&lt;='Financing Assumptions'!$T$26,O$142&gt;'Mezz 2 Amortization'!$T$13),0,IF('Mezz 2 Amortization'!$T$4="Monthly",INDEX('Mezz 2 Amortization'!$B$19:$V$379,MATCH(O$142,'Mezz 2 Amortization'!$E$19:$E$379,0),MATCH('Mezz 2 Amortization'!$Q$19,'Mezz 2 Amortization'!$B$19:$V$19,0)),IF('Mezz 2 Amortization'!$T$4="Bi-Annual",IF(OR('Mezz 2 Amortization'!$R$4=O$5,'Mezz 2 Amortization'!$S$4=O$5),INDEX('Mezz 2 Amortization'!$B$19:$V$379,MATCH(O$142,'Mezz 2 Amortization'!$E$19:$E$379,0),MATCH('Mezz 2 Amortization'!$Q$19,'Mezz 2 Amortization'!$B$19:$V$19,0)),0),0)))</f>
        <v>0</v>
      </c>
      <c r="P144" s="427">
        <f>-IF(OR('Financing Assumptions'!$T$8="No",P$142&lt;='Financing Assumptions'!$T$26,P$142&gt;'Mezz 2 Amortization'!$T$13),0,IF('Mezz 2 Amortization'!$T$4="Monthly",INDEX('Mezz 2 Amortization'!$B$19:$V$379,MATCH(P$142,'Mezz 2 Amortization'!$E$19:$E$379,0),MATCH('Mezz 2 Amortization'!$Q$19,'Mezz 2 Amortization'!$B$19:$V$19,0)),IF('Mezz 2 Amortization'!$T$4="Bi-Annual",IF(OR('Mezz 2 Amortization'!$R$4=P$5,'Mezz 2 Amortization'!$S$4=P$5),INDEX('Mezz 2 Amortization'!$B$19:$V$379,MATCH(P$142,'Mezz 2 Amortization'!$E$19:$E$379,0),MATCH('Mezz 2 Amortization'!$Q$19,'Mezz 2 Amortization'!$B$19:$V$19,0)),0),0)))</f>
        <v>0</v>
      </c>
      <c r="Q144" s="427">
        <f>-IF(OR('Financing Assumptions'!$T$8="No",Q$142&lt;='Financing Assumptions'!$T$26,Q$142&gt;'Mezz 2 Amortization'!$T$13),0,IF('Mezz 2 Amortization'!$T$4="Monthly",INDEX('Mezz 2 Amortization'!$B$19:$V$379,MATCH(Q$142,'Mezz 2 Amortization'!$E$19:$E$379,0),MATCH('Mezz 2 Amortization'!$Q$19,'Mezz 2 Amortization'!$B$19:$V$19,0)),IF('Mezz 2 Amortization'!$T$4="Bi-Annual",IF(OR('Mezz 2 Amortization'!$R$4=Q$5,'Mezz 2 Amortization'!$S$4=Q$5),INDEX('Mezz 2 Amortization'!$B$19:$V$379,MATCH(Q$142,'Mezz 2 Amortization'!$E$19:$E$379,0),MATCH('Mezz 2 Amortization'!$Q$19,'Mezz 2 Amortization'!$B$19:$V$19,0)),0),0)))</f>
        <v>0</v>
      </c>
      <c r="R144" s="427">
        <f>-IF(OR('Financing Assumptions'!$T$8="No",R$142&lt;='Financing Assumptions'!$T$26,R$142&gt;'Mezz 2 Amortization'!$T$13),0,IF('Mezz 2 Amortization'!$T$4="Monthly",INDEX('Mezz 2 Amortization'!$B$19:$V$379,MATCH(R$142,'Mezz 2 Amortization'!$E$19:$E$379,0),MATCH('Mezz 2 Amortization'!$Q$19,'Mezz 2 Amortization'!$B$19:$V$19,0)),IF('Mezz 2 Amortization'!$T$4="Bi-Annual",IF(OR('Mezz 2 Amortization'!$R$4=R$5,'Mezz 2 Amortization'!$S$4=R$5),INDEX('Mezz 2 Amortization'!$B$19:$V$379,MATCH(R$142,'Mezz 2 Amortization'!$E$19:$E$379,0),MATCH('Mezz 2 Amortization'!$Q$19,'Mezz 2 Amortization'!$B$19:$V$19,0)),0),0)))</f>
        <v>0</v>
      </c>
      <c r="S144" s="427">
        <f>-IF(OR('Financing Assumptions'!$T$8="No",S$142&lt;='Financing Assumptions'!$T$26,S$142&gt;'Mezz 2 Amortization'!$T$13),0,IF('Mezz 2 Amortization'!$T$4="Monthly",INDEX('Mezz 2 Amortization'!$B$19:$V$379,MATCH(S$142,'Mezz 2 Amortization'!$E$19:$E$379,0),MATCH('Mezz 2 Amortization'!$Q$19,'Mezz 2 Amortization'!$B$19:$V$19,0)),IF('Mezz 2 Amortization'!$T$4="Bi-Annual",IF(OR('Mezz 2 Amortization'!$R$4=S$5,'Mezz 2 Amortization'!$S$4=S$5),INDEX('Mezz 2 Amortization'!$B$19:$V$379,MATCH(S$142,'Mezz 2 Amortization'!$E$19:$E$379,0),MATCH('Mezz 2 Amortization'!$Q$19,'Mezz 2 Amortization'!$B$19:$V$19,0)),0),0)))</f>
        <v>0</v>
      </c>
      <c r="T144" s="427">
        <f>-IF(OR('Financing Assumptions'!$T$8="No",T$142&lt;='Financing Assumptions'!$T$26,T$142&gt;'Mezz 2 Amortization'!$T$13),0,IF('Mezz 2 Amortization'!$T$4="Monthly",INDEX('Mezz 2 Amortization'!$B$19:$V$379,MATCH(T$142,'Mezz 2 Amortization'!$E$19:$E$379,0),MATCH('Mezz 2 Amortization'!$Q$19,'Mezz 2 Amortization'!$B$19:$V$19,0)),IF('Mezz 2 Amortization'!$T$4="Bi-Annual",IF(OR('Mezz 2 Amortization'!$R$4=T$5,'Mezz 2 Amortization'!$S$4=T$5),INDEX('Mezz 2 Amortization'!$B$19:$V$379,MATCH(T$142,'Mezz 2 Amortization'!$E$19:$E$379,0),MATCH('Mezz 2 Amortization'!$Q$19,'Mezz 2 Amortization'!$B$19:$V$19,0)),0),0)))</f>
        <v>0</v>
      </c>
      <c r="U144" s="427">
        <f>-IF(OR('Financing Assumptions'!$T$8="No",U$142&lt;='Financing Assumptions'!$T$26,U$142&gt;'Mezz 2 Amortization'!$T$13),0,IF('Mezz 2 Amortization'!$T$4="Monthly",INDEX('Mezz 2 Amortization'!$B$19:$V$379,MATCH(U$142,'Mezz 2 Amortization'!$E$19:$E$379,0),MATCH('Mezz 2 Amortization'!$Q$19,'Mezz 2 Amortization'!$B$19:$V$19,0)),IF('Mezz 2 Amortization'!$T$4="Bi-Annual",IF(OR('Mezz 2 Amortization'!$R$4=U$5,'Mezz 2 Amortization'!$S$4=U$5),INDEX('Mezz 2 Amortization'!$B$19:$V$379,MATCH(U$142,'Mezz 2 Amortization'!$E$19:$E$379,0),MATCH('Mezz 2 Amortization'!$Q$19,'Mezz 2 Amortization'!$B$19:$V$19,0)),0),0)))</f>
        <v>0</v>
      </c>
      <c r="V144" s="427">
        <f>-IF(OR('Financing Assumptions'!$T$8="No",V$142&lt;='Financing Assumptions'!$T$26,V$142&gt;'Mezz 2 Amortization'!$T$13),0,IF('Mezz 2 Amortization'!$T$4="Monthly",INDEX('Mezz 2 Amortization'!$B$19:$V$379,MATCH(V$142,'Mezz 2 Amortization'!$E$19:$E$379,0),MATCH('Mezz 2 Amortization'!$Q$19,'Mezz 2 Amortization'!$B$19:$V$19,0)),IF('Mezz 2 Amortization'!$T$4="Bi-Annual",IF(OR('Mezz 2 Amortization'!$R$4=V$5,'Mezz 2 Amortization'!$S$4=V$5),INDEX('Mezz 2 Amortization'!$B$19:$V$379,MATCH(V$142,'Mezz 2 Amortization'!$E$19:$E$379,0),MATCH('Mezz 2 Amortization'!$Q$19,'Mezz 2 Amortization'!$B$19:$V$19,0)),0),0)))</f>
        <v>0</v>
      </c>
      <c r="W144" s="427">
        <f>-IF(OR('Financing Assumptions'!$T$8="No",W$142&lt;='Financing Assumptions'!$T$26,W$142&gt;'Mezz 2 Amortization'!$T$13),0,IF('Mezz 2 Amortization'!$T$4="Monthly",INDEX('Mezz 2 Amortization'!$B$19:$V$379,MATCH(W$142,'Mezz 2 Amortization'!$E$19:$E$379,0),MATCH('Mezz 2 Amortization'!$Q$19,'Mezz 2 Amortization'!$B$19:$V$19,0)),IF('Mezz 2 Amortization'!$T$4="Bi-Annual",IF(OR('Mezz 2 Amortization'!$R$4=W$5,'Mezz 2 Amortization'!$S$4=W$5),INDEX('Mezz 2 Amortization'!$B$19:$V$379,MATCH(W$142,'Mezz 2 Amortization'!$E$19:$E$379,0),MATCH('Mezz 2 Amortization'!$Q$19,'Mezz 2 Amortization'!$B$19:$V$19,0)),0),0)))</f>
        <v>0</v>
      </c>
      <c r="X144" s="427">
        <f>-IF(OR('Financing Assumptions'!$T$8="No",X$142&lt;='Financing Assumptions'!$T$26,X$142&gt;'Mezz 2 Amortization'!$T$13),0,IF('Mezz 2 Amortization'!$T$4="Monthly",INDEX('Mezz 2 Amortization'!$B$19:$V$379,MATCH(X$142,'Mezz 2 Amortization'!$E$19:$E$379,0),MATCH('Mezz 2 Amortization'!$Q$19,'Mezz 2 Amortization'!$B$19:$V$19,0)),IF('Mezz 2 Amortization'!$T$4="Bi-Annual",IF(OR('Mezz 2 Amortization'!$R$4=X$5,'Mezz 2 Amortization'!$S$4=X$5),INDEX('Mezz 2 Amortization'!$B$19:$V$379,MATCH(X$142,'Mezz 2 Amortization'!$E$19:$E$379,0),MATCH('Mezz 2 Amortization'!$Q$19,'Mezz 2 Amortization'!$B$19:$V$19,0)),0),0)))</f>
        <v>0</v>
      </c>
      <c r="Y144" s="427">
        <f>-IF(OR('Financing Assumptions'!$T$8="No",Y$142&lt;='Financing Assumptions'!$T$26,Y$142&gt;'Mezz 2 Amortization'!$T$13),0,IF('Mezz 2 Amortization'!$T$4="Monthly",INDEX('Mezz 2 Amortization'!$B$19:$V$379,MATCH(Y$142,'Mezz 2 Amortization'!$E$19:$E$379,0),MATCH('Mezz 2 Amortization'!$Q$19,'Mezz 2 Amortization'!$B$19:$V$19,0)),IF('Mezz 2 Amortization'!$T$4="Bi-Annual",IF(OR('Mezz 2 Amortization'!$R$4=Y$5,'Mezz 2 Amortization'!$S$4=Y$5),INDEX('Mezz 2 Amortization'!$B$19:$V$379,MATCH(Y$142,'Mezz 2 Amortization'!$E$19:$E$379,0),MATCH('Mezz 2 Amortization'!$Q$19,'Mezz 2 Amortization'!$B$19:$V$19,0)),0),0)))</f>
        <v>0</v>
      </c>
      <c r="Z144" s="427">
        <f>-IF(OR('Financing Assumptions'!$T$8="No",Z$142&lt;='Financing Assumptions'!$T$26,Z$142&gt;'Mezz 2 Amortization'!$T$13),0,IF('Mezz 2 Amortization'!$T$4="Monthly",INDEX('Mezz 2 Amortization'!$B$19:$V$379,MATCH(Z$142,'Mezz 2 Amortization'!$E$19:$E$379,0),MATCH('Mezz 2 Amortization'!$Q$19,'Mezz 2 Amortization'!$B$19:$V$19,0)),IF('Mezz 2 Amortization'!$T$4="Bi-Annual",IF(OR('Mezz 2 Amortization'!$R$4=Z$5,'Mezz 2 Amortization'!$S$4=Z$5),INDEX('Mezz 2 Amortization'!$B$19:$V$379,MATCH(Z$142,'Mezz 2 Amortization'!$E$19:$E$379,0),MATCH('Mezz 2 Amortization'!$Q$19,'Mezz 2 Amortization'!$B$19:$V$19,0)),0),0)))</f>
        <v>0</v>
      </c>
      <c r="AA144" s="427">
        <f>-IF(OR('Financing Assumptions'!$T$8="No",AA$142&lt;='Financing Assumptions'!$T$26,AA$142&gt;'Mezz 2 Amortization'!$T$13),0,IF('Mezz 2 Amortization'!$T$4="Monthly",INDEX('Mezz 2 Amortization'!$B$19:$V$379,MATCH(AA$142,'Mezz 2 Amortization'!$E$19:$E$379,0),MATCH('Mezz 2 Amortization'!$Q$19,'Mezz 2 Amortization'!$B$19:$V$19,0)),IF('Mezz 2 Amortization'!$T$4="Bi-Annual",IF(OR('Mezz 2 Amortization'!$R$4=AA$5,'Mezz 2 Amortization'!$S$4=AA$5),INDEX('Mezz 2 Amortization'!$B$19:$V$379,MATCH(AA$142,'Mezz 2 Amortization'!$E$19:$E$379,0),MATCH('Mezz 2 Amortization'!$Q$19,'Mezz 2 Amortization'!$B$19:$V$19,0)),0),0)))</f>
        <v>0</v>
      </c>
      <c r="AB144" s="427">
        <f>-IF(OR('Financing Assumptions'!$T$8="No",AB$142&lt;='Financing Assumptions'!$T$26,AB$142&gt;'Mezz 2 Amortization'!$T$13),0,IF('Mezz 2 Amortization'!$T$4="Monthly",INDEX('Mezz 2 Amortization'!$B$19:$V$379,MATCH(AB$142,'Mezz 2 Amortization'!$E$19:$E$379,0),MATCH('Mezz 2 Amortization'!$Q$19,'Mezz 2 Amortization'!$B$19:$V$19,0)),IF('Mezz 2 Amortization'!$T$4="Bi-Annual",IF(OR('Mezz 2 Amortization'!$R$4=AB$5,'Mezz 2 Amortization'!$S$4=AB$5),INDEX('Mezz 2 Amortization'!$B$19:$V$379,MATCH(AB$142,'Mezz 2 Amortization'!$E$19:$E$379,0),MATCH('Mezz 2 Amortization'!$Q$19,'Mezz 2 Amortization'!$B$19:$V$19,0)),0),0)))</f>
        <v>0</v>
      </c>
      <c r="AC144" s="427">
        <f>-IF(OR('Financing Assumptions'!$T$8="No",AC$142&lt;='Financing Assumptions'!$T$26,AC$142&gt;'Mezz 2 Amortization'!$T$13),0,IF('Mezz 2 Amortization'!$T$4="Monthly",INDEX('Mezz 2 Amortization'!$B$19:$V$379,MATCH(AC$142,'Mezz 2 Amortization'!$E$19:$E$379,0),MATCH('Mezz 2 Amortization'!$Q$19,'Mezz 2 Amortization'!$B$19:$V$19,0)),IF('Mezz 2 Amortization'!$T$4="Bi-Annual",IF(OR('Mezz 2 Amortization'!$R$4=AC$5,'Mezz 2 Amortization'!$S$4=AC$5),INDEX('Mezz 2 Amortization'!$B$19:$V$379,MATCH(AC$142,'Mezz 2 Amortization'!$E$19:$E$379,0),MATCH('Mezz 2 Amortization'!$Q$19,'Mezz 2 Amortization'!$B$19:$V$19,0)),0),0)))</f>
        <v>0</v>
      </c>
      <c r="AD144" s="427">
        <f>-IF(OR('Financing Assumptions'!$T$8="No",AD$142&lt;='Financing Assumptions'!$T$26,AD$142&gt;'Mezz 2 Amortization'!$T$13),0,IF('Mezz 2 Amortization'!$T$4="Monthly",INDEX('Mezz 2 Amortization'!$B$19:$V$379,MATCH(AD$142,'Mezz 2 Amortization'!$E$19:$E$379,0),MATCH('Mezz 2 Amortization'!$Q$19,'Mezz 2 Amortization'!$B$19:$V$19,0)),IF('Mezz 2 Amortization'!$T$4="Bi-Annual",IF(OR('Mezz 2 Amortization'!$R$4=AD$5,'Mezz 2 Amortization'!$S$4=AD$5),INDEX('Mezz 2 Amortization'!$B$19:$V$379,MATCH(AD$142,'Mezz 2 Amortization'!$E$19:$E$379,0),MATCH('Mezz 2 Amortization'!$Q$19,'Mezz 2 Amortization'!$B$19:$V$19,0)),0),0)))</f>
        <v>0</v>
      </c>
      <c r="AE144" s="427">
        <f>-IF(OR('Financing Assumptions'!$T$8="No",AE$142&lt;='Financing Assumptions'!$T$26,AE$142&gt;'Mezz 2 Amortization'!$T$13),0,IF('Mezz 2 Amortization'!$T$4="Monthly",INDEX('Mezz 2 Amortization'!$B$19:$V$379,MATCH(AE$142,'Mezz 2 Amortization'!$E$19:$E$379,0),MATCH('Mezz 2 Amortization'!$Q$19,'Mezz 2 Amortization'!$B$19:$V$19,0)),IF('Mezz 2 Amortization'!$T$4="Bi-Annual",IF(OR('Mezz 2 Amortization'!$R$4=AE$5,'Mezz 2 Amortization'!$S$4=AE$5),INDEX('Mezz 2 Amortization'!$B$19:$V$379,MATCH(AE$142,'Mezz 2 Amortization'!$E$19:$E$379,0),MATCH('Mezz 2 Amortization'!$Q$19,'Mezz 2 Amortization'!$B$19:$V$19,0)),0),0)))</f>
        <v>0</v>
      </c>
      <c r="AF144" s="427">
        <f>-IF(OR('Financing Assumptions'!$T$8="No",AF$142&lt;='Financing Assumptions'!$T$26,AF$142&gt;'Mezz 2 Amortization'!$T$13),0,IF('Mezz 2 Amortization'!$T$4="Monthly",INDEX('Mezz 2 Amortization'!$B$19:$V$379,MATCH(AF$142,'Mezz 2 Amortization'!$E$19:$E$379,0),MATCH('Mezz 2 Amortization'!$Q$19,'Mezz 2 Amortization'!$B$19:$V$19,0)),IF('Mezz 2 Amortization'!$T$4="Bi-Annual",IF(OR('Mezz 2 Amortization'!$R$4=AF$5,'Mezz 2 Amortization'!$S$4=AF$5),INDEX('Mezz 2 Amortization'!$B$19:$V$379,MATCH(AF$142,'Mezz 2 Amortization'!$E$19:$E$379,0),MATCH('Mezz 2 Amortization'!$Q$19,'Mezz 2 Amortization'!$B$19:$V$19,0)),0),0)))</f>
        <v>0</v>
      </c>
      <c r="AG144" s="427">
        <f>-IF(OR('Financing Assumptions'!$T$8="No",AG$142&lt;='Financing Assumptions'!$T$26,AG$142&gt;'Mezz 2 Amortization'!$T$13),0,IF('Mezz 2 Amortization'!$T$4="Monthly",INDEX('Mezz 2 Amortization'!$B$19:$V$379,MATCH(AG$142,'Mezz 2 Amortization'!$E$19:$E$379,0),MATCH('Mezz 2 Amortization'!$Q$19,'Mezz 2 Amortization'!$B$19:$V$19,0)),IF('Mezz 2 Amortization'!$T$4="Bi-Annual",IF(OR('Mezz 2 Amortization'!$R$4=AG$5,'Mezz 2 Amortization'!$S$4=AG$5),INDEX('Mezz 2 Amortization'!$B$19:$V$379,MATCH(AG$142,'Mezz 2 Amortization'!$E$19:$E$379,0),MATCH('Mezz 2 Amortization'!$Q$19,'Mezz 2 Amortization'!$B$19:$V$19,0)),0),0)))</f>
        <v>0</v>
      </c>
      <c r="AH144" s="427">
        <f>-IF(OR('Financing Assumptions'!$T$8="No",AH$142&lt;='Financing Assumptions'!$T$26,AH$142&gt;'Mezz 2 Amortization'!$T$13),0,IF('Mezz 2 Amortization'!$T$4="Monthly",INDEX('Mezz 2 Amortization'!$B$19:$V$379,MATCH(AH$142,'Mezz 2 Amortization'!$E$19:$E$379,0),MATCH('Mezz 2 Amortization'!$Q$19,'Mezz 2 Amortization'!$B$19:$V$19,0)),IF('Mezz 2 Amortization'!$T$4="Bi-Annual",IF(OR('Mezz 2 Amortization'!$R$4=AH$5,'Mezz 2 Amortization'!$S$4=AH$5),INDEX('Mezz 2 Amortization'!$B$19:$V$379,MATCH(AH$142,'Mezz 2 Amortization'!$E$19:$E$379,0),MATCH('Mezz 2 Amortization'!$Q$19,'Mezz 2 Amortization'!$B$19:$V$19,0)),0),0)))</f>
        <v>0</v>
      </c>
      <c r="AI144" s="427">
        <f>-IF(OR('Financing Assumptions'!$T$8="No",AI$142&lt;='Financing Assumptions'!$T$26,AI$142&gt;'Mezz 2 Amortization'!$T$13),0,IF('Mezz 2 Amortization'!$T$4="Monthly",INDEX('Mezz 2 Amortization'!$B$19:$V$379,MATCH(AI$142,'Mezz 2 Amortization'!$E$19:$E$379,0),MATCH('Mezz 2 Amortization'!$Q$19,'Mezz 2 Amortization'!$B$19:$V$19,0)),IF('Mezz 2 Amortization'!$T$4="Bi-Annual",IF(OR('Mezz 2 Amortization'!$R$4=AI$5,'Mezz 2 Amortization'!$S$4=AI$5),INDEX('Mezz 2 Amortization'!$B$19:$V$379,MATCH(AI$142,'Mezz 2 Amortization'!$E$19:$E$379,0),MATCH('Mezz 2 Amortization'!$Q$19,'Mezz 2 Amortization'!$B$19:$V$19,0)),0),0)))</f>
        <v>0</v>
      </c>
      <c r="AJ144" s="427">
        <f>-IF(OR('Financing Assumptions'!$T$8="No",AJ$142&lt;='Financing Assumptions'!$T$26,AJ$142&gt;'Mezz 2 Amortization'!$T$13),0,IF('Mezz 2 Amortization'!$T$4="Monthly",INDEX('Mezz 2 Amortization'!$B$19:$V$379,MATCH(AJ$142,'Mezz 2 Amortization'!$E$19:$E$379,0),MATCH('Mezz 2 Amortization'!$Q$19,'Mezz 2 Amortization'!$B$19:$V$19,0)),IF('Mezz 2 Amortization'!$T$4="Bi-Annual",IF(OR('Mezz 2 Amortization'!$R$4=AJ$5,'Mezz 2 Amortization'!$S$4=AJ$5),INDEX('Mezz 2 Amortization'!$B$19:$V$379,MATCH(AJ$142,'Mezz 2 Amortization'!$E$19:$E$379,0),MATCH('Mezz 2 Amortization'!$Q$19,'Mezz 2 Amortization'!$B$19:$V$19,0)),0),0)))</f>
        <v>0</v>
      </c>
      <c r="AK144" s="427">
        <f>-IF(OR('Financing Assumptions'!$T$8="No",AK$142&lt;='Financing Assumptions'!$T$26,AK$142&gt;'Mezz 2 Amortization'!$T$13),0,IF('Mezz 2 Amortization'!$T$4="Monthly",INDEX('Mezz 2 Amortization'!$B$19:$V$379,MATCH(AK$142,'Mezz 2 Amortization'!$E$19:$E$379,0),MATCH('Mezz 2 Amortization'!$Q$19,'Mezz 2 Amortization'!$B$19:$V$19,0)),IF('Mezz 2 Amortization'!$T$4="Bi-Annual",IF(OR('Mezz 2 Amortization'!$R$4=AK$5,'Mezz 2 Amortization'!$S$4=AK$5),INDEX('Mezz 2 Amortization'!$B$19:$V$379,MATCH(AK$142,'Mezz 2 Amortization'!$E$19:$E$379,0),MATCH('Mezz 2 Amortization'!$Q$19,'Mezz 2 Amortization'!$B$19:$V$19,0)),0),0)))</f>
        <v>0</v>
      </c>
      <c r="AL144" s="427">
        <f>-IF(OR('Financing Assumptions'!$T$8="No",AL$142&lt;='Financing Assumptions'!$T$26,AL$142&gt;'Mezz 2 Amortization'!$T$13),0,IF('Mezz 2 Amortization'!$T$4="Monthly",INDEX('Mezz 2 Amortization'!$B$19:$V$379,MATCH(AL$142,'Mezz 2 Amortization'!$E$19:$E$379,0),MATCH('Mezz 2 Amortization'!$Q$19,'Mezz 2 Amortization'!$B$19:$V$19,0)),IF('Mezz 2 Amortization'!$T$4="Bi-Annual",IF(OR('Mezz 2 Amortization'!$R$4=AL$5,'Mezz 2 Amortization'!$S$4=AL$5),INDEX('Mezz 2 Amortization'!$B$19:$V$379,MATCH(AL$142,'Mezz 2 Amortization'!$E$19:$E$379,0),MATCH('Mezz 2 Amortization'!$Q$19,'Mezz 2 Amortization'!$B$19:$V$19,0)),0),0)))</f>
        <v>0</v>
      </c>
      <c r="AM144" s="427">
        <f>-IF(OR('Financing Assumptions'!$T$8="No",AM$142&lt;='Financing Assumptions'!$T$26,AM$142&gt;'Mezz 2 Amortization'!$T$13),0,IF('Mezz 2 Amortization'!$T$4="Monthly",INDEX('Mezz 2 Amortization'!$B$19:$V$379,MATCH(AM$142,'Mezz 2 Amortization'!$E$19:$E$379,0),MATCH('Mezz 2 Amortization'!$Q$19,'Mezz 2 Amortization'!$B$19:$V$19,0)),IF('Mezz 2 Amortization'!$T$4="Bi-Annual",IF(OR('Mezz 2 Amortization'!$R$4=AM$5,'Mezz 2 Amortization'!$S$4=AM$5),INDEX('Mezz 2 Amortization'!$B$19:$V$379,MATCH(AM$142,'Mezz 2 Amortization'!$E$19:$E$379,0),MATCH('Mezz 2 Amortization'!$Q$19,'Mezz 2 Amortization'!$B$19:$V$19,0)),0),0)))</f>
        <v>0</v>
      </c>
      <c r="AN144" s="427">
        <f>-IF(OR('Financing Assumptions'!$T$8="No",AN$142&lt;='Financing Assumptions'!$T$26,AN$142&gt;'Mezz 2 Amortization'!$T$13),0,IF('Mezz 2 Amortization'!$T$4="Monthly",INDEX('Mezz 2 Amortization'!$B$19:$V$379,MATCH(AN$142,'Mezz 2 Amortization'!$E$19:$E$379,0),MATCH('Mezz 2 Amortization'!$Q$19,'Mezz 2 Amortization'!$B$19:$V$19,0)),IF('Mezz 2 Amortization'!$T$4="Bi-Annual",IF(OR('Mezz 2 Amortization'!$R$4=AN$5,'Mezz 2 Amortization'!$S$4=AN$5),INDEX('Mezz 2 Amortization'!$B$19:$V$379,MATCH(AN$142,'Mezz 2 Amortization'!$E$19:$E$379,0),MATCH('Mezz 2 Amortization'!$Q$19,'Mezz 2 Amortization'!$B$19:$V$19,0)),0),0)))</f>
        <v>0</v>
      </c>
      <c r="AO144" s="427">
        <f>-IF(OR('Financing Assumptions'!$T$8="No",AO$142&lt;='Financing Assumptions'!$T$26,AO$142&gt;'Mezz 2 Amortization'!$T$13),0,IF('Mezz 2 Amortization'!$T$4="Monthly",INDEX('Mezz 2 Amortization'!$B$19:$V$379,MATCH(AO$142,'Mezz 2 Amortization'!$E$19:$E$379,0),MATCH('Mezz 2 Amortization'!$Q$19,'Mezz 2 Amortization'!$B$19:$V$19,0)),IF('Mezz 2 Amortization'!$T$4="Bi-Annual",IF(OR('Mezz 2 Amortization'!$R$4=AO$5,'Mezz 2 Amortization'!$S$4=AO$5),INDEX('Mezz 2 Amortization'!$B$19:$V$379,MATCH(AO$142,'Mezz 2 Amortization'!$E$19:$E$379,0),MATCH('Mezz 2 Amortization'!$Q$19,'Mezz 2 Amortization'!$B$19:$V$19,0)),0),0)))</f>
        <v>0</v>
      </c>
      <c r="AP144" s="427">
        <f>-IF(OR('Financing Assumptions'!$T$8="No",AP$142&lt;='Financing Assumptions'!$T$26,AP$142&gt;'Mezz 2 Amortization'!$T$13),0,IF('Mezz 2 Amortization'!$T$4="Monthly",INDEX('Mezz 2 Amortization'!$B$19:$V$379,MATCH(AP$142,'Mezz 2 Amortization'!$E$19:$E$379,0),MATCH('Mezz 2 Amortization'!$Q$19,'Mezz 2 Amortization'!$B$19:$V$19,0)),IF('Mezz 2 Amortization'!$T$4="Bi-Annual",IF(OR('Mezz 2 Amortization'!$R$4=AP$5,'Mezz 2 Amortization'!$S$4=AP$5),INDEX('Mezz 2 Amortization'!$B$19:$V$379,MATCH(AP$142,'Mezz 2 Amortization'!$E$19:$E$379,0),MATCH('Mezz 2 Amortization'!$Q$19,'Mezz 2 Amortization'!$B$19:$V$19,0)),0),0)))</f>
        <v>0</v>
      </c>
      <c r="AQ144" s="427">
        <f>-IF(OR('Financing Assumptions'!$T$8="No",AQ$142&lt;='Financing Assumptions'!$T$26,AQ$142&gt;'Mezz 2 Amortization'!$T$13),0,IF('Mezz 2 Amortization'!$T$4="Monthly",INDEX('Mezz 2 Amortization'!$B$19:$V$379,MATCH(AQ$142,'Mezz 2 Amortization'!$E$19:$E$379,0),MATCH('Mezz 2 Amortization'!$Q$19,'Mezz 2 Amortization'!$B$19:$V$19,0)),IF('Mezz 2 Amortization'!$T$4="Bi-Annual",IF(OR('Mezz 2 Amortization'!$R$4=AQ$5,'Mezz 2 Amortization'!$S$4=AQ$5),INDEX('Mezz 2 Amortization'!$B$19:$V$379,MATCH(AQ$142,'Mezz 2 Amortization'!$E$19:$E$379,0),MATCH('Mezz 2 Amortization'!$Q$19,'Mezz 2 Amortization'!$B$19:$V$19,0)),0),0)))</f>
        <v>0</v>
      </c>
      <c r="AR144" s="427">
        <f>-IF(OR('Financing Assumptions'!$T$8="No",AR$142&lt;='Financing Assumptions'!$T$26,AR$142&gt;'Mezz 2 Amortization'!$T$13),0,IF('Mezz 2 Amortization'!$T$4="Monthly",INDEX('Mezz 2 Amortization'!$B$19:$V$379,MATCH(AR$142,'Mezz 2 Amortization'!$E$19:$E$379,0),MATCH('Mezz 2 Amortization'!$Q$19,'Mezz 2 Amortization'!$B$19:$V$19,0)),IF('Mezz 2 Amortization'!$T$4="Bi-Annual",IF(OR('Mezz 2 Amortization'!$R$4=AR$5,'Mezz 2 Amortization'!$S$4=AR$5),INDEX('Mezz 2 Amortization'!$B$19:$V$379,MATCH(AR$142,'Mezz 2 Amortization'!$E$19:$E$379,0),MATCH('Mezz 2 Amortization'!$Q$19,'Mezz 2 Amortization'!$B$19:$V$19,0)),0),0)))</f>
        <v>0</v>
      </c>
      <c r="AS144" s="427">
        <f>-IF(OR('Financing Assumptions'!$T$8="No",AS$142&lt;='Financing Assumptions'!$T$26,AS$142&gt;'Mezz 2 Amortization'!$T$13),0,IF('Mezz 2 Amortization'!$T$4="Monthly",INDEX('Mezz 2 Amortization'!$B$19:$V$379,MATCH(AS$142,'Mezz 2 Amortization'!$E$19:$E$379,0),MATCH('Mezz 2 Amortization'!$Q$19,'Mezz 2 Amortization'!$B$19:$V$19,0)),IF('Mezz 2 Amortization'!$T$4="Bi-Annual",IF(OR('Mezz 2 Amortization'!$R$4=AS$5,'Mezz 2 Amortization'!$S$4=AS$5),INDEX('Mezz 2 Amortization'!$B$19:$V$379,MATCH(AS$142,'Mezz 2 Amortization'!$E$19:$E$379,0),MATCH('Mezz 2 Amortization'!$Q$19,'Mezz 2 Amortization'!$B$19:$V$19,0)),0),0)))</f>
        <v>0</v>
      </c>
      <c r="AT144" s="427">
        <f>-IF(OR('Financing Assumptions'!$T$8="No",AT$142&lt;='Financing Assumptions'!$T$26,AT$142&gt;'Mezz 2 Amortization'!$T$13),0,IF('Mezz 2 Amortization'!$T$4="Monthly",INDEX('Mezz 2 Amortization'!$B$19:$V$379,MATCH(AT$142,'Mezz 2 Amortization'!$E$19:$E$379,0),MATCH('Mezz 2 Amortization'!$Q$19,'Mezz 2 Amortization'!$B$19:$V$19,0)),IF('Mezz 2 Amortization'!$T$4="Bi-Annual",IF(OR('Mezz 2 Amortization'!$R$4=AT$5,'Mezz 2 Amortization'!$S$4=AT$5),INDEX('Mezz 2 Amortization'!$B$19:$V$379,MATCH(AT$142,'Mezz 2 Amortization'!$E$19:$E$379,0),MATCH('Mezz 2 Amortization'!$Q$19,'Mezz 2 Amortization'!$B$19:$V$19,0)),0),0)))</f>
        <v>0</v>
      </c>
      <c r="AU144" s="427">
        <f>-IF(OR('Financing Assumptions'!$T$8="No",AU$142&lt;='Financing Assumptions'!$T$26,AU$142&gt;'Mezz 2 Amortization'!$T$13),0,IF('Mezz 2 Amortization'!$T$4="Monthly",INDEX('Mezz 2 Amortization'!$B$19:$V$379,MATCH(AU$142,'Mezz 2 Amortization'!$E$19:$E$379,0),MATCH('Mezz 2 Amortization'!$Q$19,'Mezz 2 Amortization'!$B$19:$V$19,0)),IF('Mezz 2 Amortization'!$T$4="Bi-Annual",IF(OR('Mezz 2 Amortization'!$R$4=AU$5,'Mezz 2 Amortization'!$S$4=AU$5),INDEX('Mezz 2 Amortization'!$B$19:$V$379,MATCH(AU$142,'Mezz 2 Amortization'!$E$19:$E$379,0),MATCH('Mezz 2 Amortization'!$Q$19,'Mezz 2 Amortization'!$B$19:$V$19,0)),0),0)))</f>
        <v>0</v>
      </c>
      <c r="AV144" s="427">
        <f>-IF(OR('Financing Assumptions'!$T$8="No",AV$142&lt;='Financing Assumptions'!$T$26,AV$142&gt;'Mezz 2 Amortization'!$T$13),0,IF('Mezz 2 Amortization'!$T$4="Monthly",INDEX('Mezz 2 Amortization'!$B$19:$V$379,MATCH(AV$142,'Mezz 2 Amortization'!$E$19:$E$379,0),MATCH('Mezz 2 Amortization'!$Q$19,'Mezz 2 Amortization'!$B$19:$V$19,0)),IF('Mezz 2 Amortization'!$T$4="Bi-Annual",IF(OR('Mezz 2 Amortization'!$R$4=AV$5,'Mezz 2 Amortization'!$S$4=AV$5),INDEX('Mezz 2 Amortization'!$B$19:$V$379,MATCH(AV$142,'Mezz 2 Amortization'!$E$19:$E$379,0),MATCH('Mezz 2 Amortization'!$Q$19,'Mezz 2 Amortization'!$B$19:$V$19,0)),0),0)))</f>
        <v>0</v>
      </c>
      <c r="AW144" s="427">
        <f>-IF(OR('Financing Assumptions'!$T$8="No",AW$142&lt;='Financing Assumptions'!$T$26,AW$142&gt;'Mezz 2 Amortization'!$T$13),0,IF('Mezz 2 Amortization'!$T$4="Monthly",INDEX('Mezz 2 Amortization'!$B$19:$V$379,MATCH(AW$142,'Mezz 2 Amortization'!$E$19:$E$379,0),MATCH('Mezz 2 Amortization'!$Q$19,'Mezz 2 Amortization'!$B$19:$V$19,0)),IF('Mezz 2 Amortization'!$T$4="Bi-Annual",IF(OR('Mezz 2 Amortization'!$R$4=AW$5,'Mezz 2 Amortization'!$S$4=AW$5),INDEX('Mezz 2 Amortization'!$B$19:$V$379,MATCH(AW$142,'Mezz 2 Amortization'!$E$19:$E$379,0),MATCH('Mezz 2 Amortization'!$Q$19,'Mezz 2 Amortization'!$B$19:$V$19,0)),0),0)))</f>
        <v>0</v>
      </c>
      <c r="AX144" s="427">
        <f>-IF(OR('Financing Assumptions'!$T$8="No",AX$142&lt;='Financing Assumptions'!$T$26,AX$142&gt;'Mezz 2 Amortization'!$T$13),0,IF('Mezz 2 Amortization'!$T$4="Monthly",INDEX('Mezz 2 Amortization'!$B$19:$V$379,MATCH(AX$142,'Mezz 2 Amortization'!$E$19:$E$379,0),MATCH('Mezz 2 Amortization'!$Q$19,'Mezz 2 Amortization'!$B$19:$V$19,0)),IF('Mezz 2 Amortization'!$T$4="Bi-Annual",IF(OR('Mezz 2 Amortization'!$R$4=AX$5,'Mezz 2 Amortization'!$S$4=AX$5),INDEX('Mezz 2 Amortization'!$B$19:$V$379,MATCH(AX$142,'Mezz 2 Amortization'!$E$19:$E$379,0),MATCH('Mezz 2 Amortization'!$Q$19,'Mezz 2 Amortization'!$B$19:$V$19,0)),0),0)))</f>
        <v>0</v>
      </c>
      <c r="AY144" s="427">
        <f>-IF(OR('Financing Assumptions'!$T$8="No",AY$142&lt;='Financing Assumptions'!$T$26,AY$142&gt;'Mezz 2 Amortization'!$T$13),0,IF('Mezz 2 Amortization'!$T$4="Monthly",INDEX('Mezz 2 Amortization'!$B$19:$V$379,MATCH(AY$142,'Mezz 2 Amortization'!$E$19:$E$379,0),MATCH('Mezz 2 Amortization'!$Q$19,'Mezz 2 Amortization'!$B$19:$V$19,0)),IF('Mezz 2 Amortization'!$T$4="Bi-Annual",IF(OR('Mezz 2 Amortization'!$R$4=AY$5,'Mezz 2 Amortization'!$S$4=AY$5),INDEX('Mezz 2 Amortization'!$B$19:$V$379,MATCH(AY$142,'Mezz 2 Amortization'!$E$19:$E$379,0),MATCH('Mezz 2 Amortization'!$Q$19,'Mezz 2 Amortization'!$B$19:$V$19,0)),0),0)))</f>
        <v>0</v>
      </c>
      <c r="AZ144" s="427">
        <f>-IF(OR('Financing Assumptions'!$T$8="No",AZ$142&lt;='Financing Assumptions'!$T$26,AZ$142&gt;'Mezz 2 Amortization'!$T$13),0,IF('Mezz 2 Amortization'!$T$4="Monthly",INDEX('Mezz 2 Amortization'!$B$19:$V$379,MATCH(AZ$142,'Mezz 2 Amortization'!$E$19:$E$379,0),MATCH('Mezz 2 Amortization'!$Q$19,'Mezz 2 Amortization'!$B$19:$V$19,0)),IF('Mezz 2 Amortization'!$T$4="Bi-Annual",IF(OR('Mezz 2 Amortization'!$R$4=AZ$5,'Mezz 2 Amortization'!$S$4=AZ$5),INDEX('Mezz 2 Amortization'!$B$19:$V$379,MATCH(AZ$142,'Mezz 2 Amortization'!$E$19:$E$379,0),MATCH('Mezz 2 Amortization'!$Q$19,'Mezz 2 Amortization'!$B$19:$V$19,0)),0),0)))</f>
        <v>0</v>
      </c>
      <c r="BA144" s="427">
        <f>-IF(OR('Financing Assumptions'!$T$8="No",BA$142&lt;='Financing Assumptions'!$T$26,BA$142&gt;'Mezz 2 Amortization'!$T$13),0,IF('Mezz 2 Amortization'!$T$4="Monthly",INDEX('Mezz 2 Amortization'!$B$19:$V$379,MATCH(BA$142,'Mezz 2 Amortization'!$E$19:$E$379,0),MATCH('Mezz 2 Amortization'!$Q$19,'Mezz 2 Amortization'!$B$19:$V$19,0)),IF('Mezz 2 Amortization'!$T$4="Bi-Annual",IF(OR('Mezz 2 Amortization'!$R$4=BA$5,'Mezz 2 Amortization'!$S$4=BA$5),INDEX('Mezz 2 Amortization'!$B$19:$V$379,MATCH(BA$142,'Mezz 2 Amortization'!$E$19:$E$379,0),MATCH('Mezz 2 Amortization'!$Q$19,'Mezz 2 Amortization'!$B$19:$V$19,0)),0),0)))</f>
        <v>0</v>
      </c>
      <c r="BB144" s="427">
        <f>-IF(OR('Financing Assumptions'!$T$8="No",BB$142&lt;='Financing Assumptions'!$T$26,BB$142&gt;'Mezz 2 Amortization'!$T$13),0,IF('Mezz 2 Amortization'!$T$4="Monthly",INDEX('Mezz 2 Amortization'!$B$19:$V$379,MATCH(BB$142,'Mezz 2 Amortization'!$E$19:$E$379,0),MATCH('Mezz 2 Amortization'!$Q$19,'Mezz 2 Amortization'!$B$19:$V$19,0)),IF('Mezz 2 Amortization'!$T$4="Bi-Annual",IF(OR('Mezz 2 Amortization'!$R$4=BB$5,'Mezz 2 Amortization'!$S$4=BB$5),INDEX('Mezz 2 Amortization'!$B$19:$V$379,MATCH(BB$142,'Mezz 2 Amortization'!$E$19:$E$379,0),MATCH('Mezz 2 Amortization'!$Q$19,'Mezz 2 Amortization'!$B$19:$V$19,0)),0),0)))</f>
        <v>0</v>
      </c>
      <c r="BC144" s="427">
        <f>-IF(OR('Financing Assumptions'!$T$8="No",BC$142&lt;='Financing Assumptions'!$T$26,BC$142&gt;'Mezz 2 Amortization'!$T$13),0,IF('Mezz 2 Amortization'!$T$4="Monthly",INDEX('Mezz 2 Amortization'!$B$19:$V$379,MATCH(BC$142,'Mezz 2 Amortization'!$E$19:$E$379,0),MATCH('Mezz 2 Amortization'!$Q$19,'Mezz 2 Amortization'!$B$19:$V$19,0)),IF('Mezz 2 Amortization'!$T$4="Bi-Annual",IF(OR('Mezz 2 Amortization'!$R$4=BC$5,'Mezz 2 Amortization'!$S$4=BC$5),INDEX('Mezz 2 Amortization'!$B$19:$V$379,MATCH(BC$142,'Mezz 2 Amortization'!$E$19:$E$379,0),MATCH('Mezz 2 Amortization'!$Q$19,'Mezz 2 Amortization'!$B$19:$V$19,0)),0),0)))</f>
        <v>0</v>
      </c>
      <c r="BD144" s="427">
        <f>-IF(OR('Financing Assumptions'!$T$8="No",BD$142&lt;='Financing Assumptions'!$T$26,BD$142&gt;'Mezz 2 Amortization'!$T$13),0,IF('Mezz 2 Amortization'!$T$4="Monthly",INDEX('Mezz 2 Amortization'!$B$19:$V$379,MATCH(BD$142,'Mezz 2 Amortization'!$E$19:$E$379,0),MATCH('Mezz 2 Amortization'!$Q$19,'Mezz 2 Amortization'!$B$19:$V$19,0)),IF('Mezz 2 Amortization'!$T$4="Bi-Annual",IF(OR('Mezz 2 Amortization'!$R$4=BD$5,'Mezz 2 Amortization'!$S$4=BD$5),INDEX('Mezz 2 Amortization'!$B$19:$V$379,MATCH(BD$142,'Mezz 2 Amortization'!$E$19:$E$379,0),MATCH('Mezz 2 Amortization'!$Q$19,'Mezz 2 Amortization'!$B$19:$V$19,0)),0),0)))</f>
        <v>0</v>
      </c>
      <c r="BE144" s="427">
        <f>-IF(OR('Financing Assumptions'!$T$8="No",BE$142&lt;='Financing Assumptions'!$T$26,BE$142&gt;'Mezz 2 Amortization'!$T$13),0,IF('Mezz 2 Amortization'!$T$4="Monthly",INDEX('Mezz 2 Amortization'!$B$19:$V$379,MATCH(BE$142,'Mezz 2 Amortization'!$E$19:$E$379,0),MATCH('Mezz 2 Amortization'!$Q$19,'Mezz 2 Amortization'!$B$19:$V$19,0)),IF('Mezz 2 Amortization'!$T$4="Bi-Annual",IF(OR('Mezz 2 Amortization'!$R$4=BE$5,'Mezz 2 Amortization'!$S$4=BE$5),INDEX('Mezz 2 Amortization'!$B$19:$V$379,MATCH(BE$142,'Mezz 2 Amortization'!$E$19:$E$379,0),MATCH('Mezz 2 Amortization'!$Q$19,'Mezz 2 Amortization'!$B$19:$V$19,0)),0),0)))</f>
        <v>0</v>
      </c>
      <c r="BF144" s="427">
        <f>-IF(OR('Financing Assumptions'!$T$8="No",BF$142&lt;='Financing Assumptions'!$T$26,BF$142&gt;'Mezz 2 Amortization'!$T$13),0,IF('Mezz 2 Amortization'!$T$4="Monthly",INDEX('Mezz 2 Amortization'!$B$19:$V$379,MATCH(BF$142,'Mezz 2 Amortization'!$E$19:$E$379,0),MATCH('Mezz 2 Amortization'!$Q$19,'Mezz 2 Amortization'!$B$19:$V$19,0)),IF('Mezz 2 Amortization'!$T$4="Bi-Annual",IF(OR('Mezz 2 Amortization'!$R$4=BF$5,'Mezz 2 Amortization'!$S$4=BF$5),INDEX('Mezz 2 Amortization'!$B$19:$V$379,MATCH(BF$142,'Mezz 2 Amortization'!$E$19:$E$379,0),MATCH('Mezz 2 Amortization'!$Q$19,'Mezz 2 Amortization'!$B$19:$V$19,0)),0),0)))</f>
        <v>0</v>
      </c>
      <c r="BG144" s="427">
        <f>-IF(OR('Financing Assumptions'!$T$8="No",BG$142&lt;='Financing Assumptions'!$T$26,BG$142&gt;'Mezz 2 Amortization'!$T$13),0,IF('Mezz 2 Amortization'!$T$4="Monthly",INDEX('Mezz 2 Amortization'!$B$19:$V$379,MATCH(BG$142,'Mezz 2 Amortization'!$E$19:$E$379,0),MATCH('Mezz 2 Amortization'!$Q$19,'Mezz 2 Amortization'!$B$19:$V$19,0)),IF('Mezz 2 Amortization'!$T$4="Bi-Annual",IF(OR('Mezz 2 Amortization'!$R$4=BG$5,'Mezz 2 Amortization'!$S$4=BG$5),INDEX('Mezz 2 Amortization'!$B$19:$V$379,MATCH(BG$142,'Mezz 2 Amortization'!$E$19:$E$379,0),MATCH('Mezz 2 Amortization'!$Q$19,'Mezz 2 Amortization'!$B$19:$V$19,0)),0),0)))</f>
        <v>0</v>
      </c>
      <c r="BH144" s="427">
        <f>-IF(OR('Financing Assumptions'!$T$8="No",BH$142&lt;='Financing Assumptions'!$T$26,BH$142&gt;'Mezz 2 Amortization'!$T$13),0,IF('Mezz 2 Amortization'!$T$4="Monthly",INDEX('Mezz 2 Amortization'!$B$19:$V$379,MATCH(BH$142,'Mezz 2 Amortization'!$E$19:$E$379,0),MATCH('Mezz 2 Amortization'!$Q$19,'Mezz 2 Amortization'!$B$19:$V$19,0)),IF('Mezz 2 Amortization'!$T$4="Bi-Annual",IF(OR('Mezz 2 Amortization'!$R$4=BH$5,'Mezz 2 Amortization'!$S$4=BH$5),INDEX('Mezz 2 Amortization'!$B$19:$V$379,MATCH(BH$142,'Mezz 2 Amortization'!$E$19:$E$379,0),MATCH('Mezz 2 Amortization'!$Q$19,'Mezz 2 Amortization'!$B$19:$V$19,0)),0),0)))</f>
        <v>0</v>
      </c>
      <c r="BI144" s="427">
        <f>-IF(OR('Financing Assumptions'!$T$8="No",BI$142&lt;='Financing Assumptions'!$T$26,BI$142&gt;'Mezz 2 Amortization'!$T$13),0,IF('Mezz 2 Amortization'!$T$4="Monthly",INDEX('Mezz 2 Amortization'!$B$19:$V$379,MATCH(BI$142,'Mezz 2 Amortization'!$E$19:$E$379,0),MATCH('Mezz 2 Amortization'!$Q$19,'Mezz 2 Amortization'!$B$19:$V$19,0)),IF('Mezz 2 Amortization'!$T$4="Bi-Annual",IF(OR('Mezz 2 Amortization'!$R$4=BI$5,'Mezz 2 Amortization'!$S$4=BI$5),INDEX('Mezz 2 Amortization'!$B$19:$V$379,MATCH(BI$142,'Mezz 2 Amortization'!$E$19:$E$379,0),MATCH('Mezz 2 Amortization'!$Q$19,'Mezz 2 Amortization'!$B$19:$V$19,0)),0),0)))</f>
        <v>0</v>
      </c>
      <c r="BJ144" s="427">
        <f>-IF(OR('Financing Assumptions'!$T$8="No",BJ$142&lt;='Financing Assumptions'!$T$26,BJ$142&gt;'Mezz 2 Amortization'!$T$13),0,IF('Mezz 2 Amortization'!$T$4="Monthly",INDEX('Mezz 2 Amortization'!$B$19:$V$379,MATCH(BJ$142,'Mezz 2 Amortization'!$E$19:$E$379,0),MATCH('Mezz 2 Amortization'!$Q$19,'Mezz 2 Amortization'!$B$19:$V$19,0)),IF('Mezz 2 Amortization'!$T$4="Bi-Annual",IF(OR('Mezz 2 Amortization'!$R$4=BJ$5,'Mezz 2 Amortization'!$S$4=BJ$5),INDEX('Mezz 2 Amortization'!$B$19:$V$379,MATCH(BJ$142,'Mezz 2 Amortization'!$E$19:$E$379,0),MATCH('Mezz 2 Amortization'!$Q$19,'Mezz 2 Amortization'!$B$19:$V$19,0)),0),0)))</f>
        <v>0</v>
      </c>
      <c r="BK144" s="427">
        <f>-IF(OR('Financing Assumptions'!$T$8="No",BK$142&lt;='Financing Assumptions'!$T$26,BK$142&gt;'Mezz 2 Amortization'!$T$13),0,IF('Mezz 2 Amortization'!$T$4="Monthly",INDEX('Mezz 2 Amortization'!$B$19:$V$379,MATCH(BK$142,'Mezz 2 Amortization'!$E$19:$E$379,0),MATCH('Mezz 2 Amortization'!$Q$19,'Mezz 2 Amortization'!$B$19:$V$19,0)),IF('Mezz 2 Amortization'!$T$4="Bi-Annual",IF(OR('Mezz 2 Amortization'!$R$4=BK$5,'Mezz 2 Amortization'!$S$4=BK$5),INDEX('Mezz 2 Amortization'!$B$19:$V$379,MATCH(BK$142,'Mezz 2 Amortization'!$E$19:$E$379,0),MATCH('Mezz 2 Amortization'!$Q$19,'Mezz 2 Amortization'!$B$19:$V$19,0)),0),0)))</f>
        <v>0</v>
      </c>
      <c r="BL144" s="427">
        <f>-IF(OR('Financing Assumptions'!$T$8="No",BL$142&lt;='Financing Assumptions'!$T$26,BL$142&gt;'Mezz 2 Amortization'!$T$13),0,IF('Mezz 2 Amortization'!$T$4="Monthly",INDEX('Mezz 2 Amortization'!$B$19:$V$379,MATCH(BL$142,'Mezz 2 Amortization'!$E$19:$E$379,0),MATCH('Mezz 2 Amortization'!$Q$19,'Mezz 2 Amortization'!$B$19:$V$19,0)),IF('Mezz 2 Amortization'!$T$4="Bi-Annual",IF(OR('Mezz 2 Amortization'!$R$4=BL$5,'Mezz 2 Amortization'!$S$4=BL$5),INDEX('Mezz 2 Amortization'!$B$19:$V$379,MATCH(BL$142,'Mezz 2 Amortization'!$E$19:$E$379,0),MATCH('Mezz 2 Amortization'!$Q$19,'Mezz 2 Amortization'!$B$19:$V$19,0)),0),0)))</f>
        <v>0</v>
      </c>
      <c r="BM144" s="427">
        <f>-IF(OR('Financing Assumptions'!$T$8="No",BM$142&lt;='Financing Assumptions'!$T$26,BM$142&gt;'Mezz 2 Amortization'!$T$13),0,IF('Mezz 2 Amortization'!$T$4="Monthly",INDEX('Mezz 2 Amortization'!$B$19:$V$379,MATCH(BM$142,'Mezz 2 Amortization'!$E$19:$E$379,0),MATCH('Mezz 2 Amortization'!$Q$19,'Mezz 2 Amortization'!$B$19:$V$19,0)),IF('Mezz 2 Amortization'!$T$4="Bi-Annual",IF(OR('Mezz 2 Amortization'!$R$4=BM$5,'Mezz 2 Amortization'!$S$4=BM$5),INDEX('Mezz 2 Amortization'!$B$19:$V$379,MATCH(BM$142,'Mezz 2 Amortization'!$E$19:$E$379,0),MATCH('Mezz 2 Amortization'!$Q$19,'Mezz 2 Amortization'!$B$19:$V$19,0)),0),0)))</f>
        <v>0</v>
      </c>
      <c r="BN144" s="427">
        <f>-IF(OR('Financing Assumptions'!$T$8="No",BN$142&lt;='Financing Assumptions'!$T$26,BN$142&gt;'Mezz 2 Amortization'!$T$13),0,IF('Mezz 2 Amortization'!$T$4="Monthly",INDEX('Mezz 2 Amortization'!$B$19:$V$379,MATCH(BN$142,'Mezz 2 Amortization'!$E$19:$E$379,0),MATCH('Mezz 2 Amortization'!$Q$19,'Mezz 2 Amortization'!$B$19:$V$19,0)),IF('Mezz 2 Amortization'!$T$4="Bi-Annual",IF(OR('Mezz 2 Amortization'!$R$4=BN$5,'Mezz 2 Amortization'!$S$4=BN$5),INDEX('Mezz 2 Amortization'!$B$19:$V$379,MATCH(BN$142,'Mezz 2 Amortization'!$E$19:$E$379,0),MATCH('Mezz 2 Amortization'!$Q$19,'Mezz 2 Amortization'!$B$19:$V$19,0)),0),0)))</f>
        <v>0</v>
      </c>
      <c r="BO144" s="427">
        <f>-IF(OR('Financing Assumptions'!$T$8="No",BO$142&lt;='Financing Assumptions'!$T$26,BO$142&gt;'Mezz 2 Amortization'!$T$13),0,IF('Mezz 2 Amortization'!$T$4="Monthly",INDEX('Mezz 2 Amortization'!$B$19:$V$379,MATCH(BO$142,'Mezz 2 Amortization'!$E$19:$E$379,0),MATCH('Mezz 2 Amortization'!$Q$19,'Mezz 2 Amortization'!$B$19:$V$19,0)),IF('Mezz 2 Amortization'!$T$4="Bi-Annual",IF(OR('Mezz 2 Amortization'!$R$4=BO$5,'Mezz 2 Amortization'!$S$4=BO$5),INDEX('Mezz 2 Amortization'!$B$19:$V$379,MATCH(BO$142,'Mezz 2 Amortization'!$E$19:$E$379,0),MATCH('Mezz 2 Amortization'!$Q$19,'Mezz 2 Amortization'!$B$19:$V$19,0)),0),0)))</f>
        <v>0</v>
      </c>
      <c r="BP144" s="427">
        <f>-IF(OR('Financing Assumptions'!$T$8="No",BP$142&lt;='Financing Assumptions'!$T$26,BP$142&gt;'Mezz 2 Amortization'!$T$13),0,IF('Mezz 2 Amortization'!$T$4="Monthly",INDEX('Mezz 2 Amortization'!$B$19:$V$379,MATCH(BP$142,'Mezz 2 Amortization'!$E$19:$E$379,0),MATCH('Mezz 2 Amortization'!$Q$19,'Mezz 2 Amortization'!$B$19:$V$19,0)),IF('Mezz 2 Amortization'!$T$4="Bi-Annual",IF(OR('Mezz 2 Amortization'!$R$4=BP$5,'Mezz 2 Amortization'!$S$4=BP$5),INDEX('Mezz 2 Amortization'!$B$19:$V$379,MATCH(BP$142,'Mezz 2 Amortization'!$E$19:$E$379,0),MATCH('Mezz 2 Amortization'!$Q$19,'Mezz 2 Amortization'!$B$19:$V$19,0)),0),0)))</f>
        <v>0</v>
      </c>
      <c r="BQ144" s="427">
        <f>-IF(OR('Financing Assumptions'!$T$8="No",BQ$142&lt;='Financing Assumptions'!$T$26,BQ$142&gt;'Mezz 2 Amortization'!$T$13),0,IF('Mezz 2 Amortization'!$T$4="Monthly",INDEX('Mezz 2 Amortization'!$B$19:$V$379,MATCH(BQ$142,'Mezz 2 Amortization'!$E$19:$E$379,0),MATCH('Mezz 2 Amortization'!$Q$19,'Mezz 2 Amortization'!$B$19:$V$19,0)),IF('Mezz 2 Amortization'!$T$4="Bi-Annual",IF(OR('Mezz 2 Amortization'!$R$4=BQ$5,'Mezz 2 Amortization'!$S$4=BQ$5),INDEX('Mezz 2 Amortization'!$B$19:$V$379,MATCH(BQ$142,'Mezz 2 Amortization'!$E$19:$E$379,0),MATCH('Mezz 2 Amortization'!$Q$19,'Mezz 2 Amortization'!$B$19:$V$19,0)),0),0)))</f>
        <v>0</v>
      </c>
      <c r="BR144" s="427">
        <f>-IF(OR('Financing Assumptions'!$T$8="No",BR$142&lt;='Financing Assumptions'!$T$26,BR$142&gt;'Mezz 2 Amortization'!$T$13),0,IF('Mezz 2 Amortization'!$T$4="Monthly",INDEX('Mezz 2 Amortization'!$B$19:$V$379,MATCH(BR$142,'Mezz 2 Amortization'!$E$19:$E$379,0),MATCH('Mezz 2 Amortization'!$Q$19,'Mezz 2 Amortization'!$B$19:$V$19,0)),IF('Mezz 2 Amortization'!$T$4="Bi-Annual",IF(OR('Mezz 2 Amortization'!$R$4=BR$5,'Mezz 2 Amortization'!$S$4=BR$5),INDEX('Mezz 2 Amortization'!$B$19:$V$379,MATCH(BR$142,'Mezz 2 Amortization'!$E$19:$E$379,0),MATCH('Mezz 2 Amortization'!$Q$19,'Mezz 2 Amortization'!$B$19:$V$19,0)),0),0)))</f>
        <v>0</v>
      </c>
      <c r="BS144" s="427">
        <f>-IF(OR('Financing Assumptions'!$T$8="No",BS$142&lt;='Financing Assumptions'!$T$26,BS$142&gt;'Mezz 2 Amortization'!$T$13),0,IF('Mezz 2 Amortization'!$T$4="Monthly",INDEX('Mezz 2 Amortization'!$B$19:$V$379,MATCH(BS$142,'Mezz 2 Amortization'!$E$19:$E$379,0),MATCH('Mezz 2 Amortization'!$Q$19,'Mezz 2 Amortization'!$B$19:$V$19,0)),IF('Mezz 2 Amortization'!$T$4="Bi-Annual",IF(OR('Mezz 2 Amortization'!$R$4=BS$5,'Mezz 2 Amortization'!$S$4=BS$5),INDEX('Mezz 2 Amortization'!$B$19:$V$379,MATCH(BS$142,'Mezz 2 Amortization'!$E$19:$E$379,0),MATCH('Mezz 2 Amortization'!$Q$19,'Mezz 2 Amortization'!$B$19:$V$19,0)),0),0)))</f>
        <v>0</v>
      </c>
      <c r="BT144" s="427">
        <f>-IF(OR('Financing Assumptions'!$T$8="No",BT$142&lt;='Financing Assumptions'!$T$26,BT$142&gt;'Mezz 2 Amortization'!$T$13),0,IF('Mezz 2 Amortization'!$T$4="Monthly",INDEX('Mezz 2 Amortization'!$B$19:$V$379,MATCH(BT$142,'Mezz 2 Amortization'!$E$19:$E$379,0),MATCH('Mezz 2 Amortization'!$Q$19,'Mezz 2 Amortization'!$B$19:$V$19,0)),IF('Mezz 2 Amortization'!$T$4="Bi-Annual",IF(OR('Mezz 2 Amortization'!$R$4=BT$5,'Mezz 2 Amortization'!$S$4=BT$5),INDEX('Mezz 2 Amortization'!$B$19:$V$379,MATCH(BT$142,'Mezz 2 Amortization'!$E$19:$E$379,0),MATCH('Mezz 2 Amortization'!$Q$19,'Mezz 2 Amortization'!$B$19:$V$19,0)),0),0)))</f>
        <v>0</v>
      </c>
      <c r="BU144" s="427">
        <f>-IF(OR('Financing Assumptions'!$T$8="No",BU$142&lt;='Financing Assumptions'!$T$26,BU$142&gt;'Mezz 2 Amortization'!$T$13),0,IF('Mezz 2 Amortization'!$T$4="Monthly",INDEX('Mezz 2 Amortization'!$B$19:$V$379,MATCH(BU$142,'Mezz 2 Amortization'!$E$19:$E$379,0),MATCH('Mezz 2 Amortization'!$Q$19,'Mezz 2 Amortization'!$B$19:$V$19,0)),IF('Mezz 2 Amortization'!$T$4="Bi-Annual",IF(OR('Mezz 2 Amortization'!$R$4=BU$5,'Mezz 2 Amortization'!$S$4=BU$5),INDEX('Mezz 2 Amortization'!$B$19:$V$379,MATCH(BU$142,'Mezz 2 Amortization'!$E$19:$E$379,0),MATCH('Mezz 2 Amortization'!$Q$19,'Mezz 2 Amortization'!$B$19:$V$19,0)),0),0)))</f>
        <v>0</v>
      </c>
      <c r="BV144" s="427">
        <f>-IF(OR('Financing Assumptions'!$T$8="No",BV$142&lt;='Financing Assumptions'!$T$26,BV$142&gt;'Mezz 2 Amortization'!$T$13),0,IF('Mezz 2 Amortization'!$T$4="Monthly",INDEX('Mezz 2 Amortization'!$B$19:$V$379,MATCH(BV$142,'Mezz 2 Amortization'!$E$19:$E$379,0),MATCH('Mezz 2 Amortization'!$Q$19,'Mezz 2 Amortization'!$B$19:$V$19,0)),IF('Mezz 2 Amortization'!$T$4="Bi-Annual",IF(OR('Mezz 2 Amortization'!$R$4=BV$5,'Mezz 2 Amortization'!$S$4=BV$5),INDEX('Mezz 2 Amortization'!$B$19:$V$379,MATCH(BV$142,'Mezz 2 Amortization'!$E$19:$E$379,0),MATCH('Mezz 2 Amortization'!$Q$19,'Mezz 2 Amortization'!$B$19:$V$19,0)),0),0)))</f>
        <v>0</v>
      </c>
      <c r="BW144" s="427">
        <f>-IF(OR('Financing Assumptions'!$T$8="No",BW$142&lt;='Financing Assumptions'!$T$26,BW$142&gt;'Mezz 2 Amortization'!$T$13),0,IF('Mezz 2 Amortization'!$T$4="Monthly",INDEX('Mezz 2 Amortization'!$B$19:$V$379,MATCH(BW$142,'Mezz 2 Amortization'!$E$19:$E$379,0),MATCH('Mezz 2 Amortization'!$Q$19,'Mezz 2 Amortization'!$B$19:$V$19,0)),IF('Mezz 2 Amortization'!$T$4="Bi-Annual",IF(OR('Mezz 2 Amortization'!$R$4=BW$5,'Mezz 2 Amortization'!$S$4=BW$5),INDEX('Mezz 2 Amortization'!$B$19:$V$379,MATCH(BW$142,'Mezz 2 Amortization'!$E$19:$E$379,0),MATCH('Mezz 2 Amortization'!$Q$19,'Mezz 2 Amortization'!$B$19:$V$19,0)),0),0)))</f>
        <v>0</v>
      </c>
      <c r="BX144" s="427">
        <f>-IF(OR('Financing Assumptions'!$T$8="No",BX$142&lt;='Financing Assumptions'!$T$26,BX$142&gt;'Mezz 2 Amortization'!$T$13),0,IF('Mezz 2 Amortization'!$T$4="Monthly",INDEX('Mezz 2 Amortization'!$B$19:$V$379,MATCH(BX$142,'Mezz 2 Amortization'!$E$19:$E$379,0),MATCH('Mezz 2 Amortization'!$Q$19,'Mezz 2 Amortization'!$B$19:$V$19,0)),IF('Mezz 2 Amortization'!$T$4="Bi-Annual",IF(OR('Mezz 2 Amortization'!$R$4=BX$5,'Mezz 2 Amortization'!$S$4=BX$5),INDEX('Mezz 2 Amortization'!$B$19:$V$379,MATCH(BX$142,'Mezz 2 Amortization'!$E$19:$E$379,0),MATCH('Mezz 2 Amortization'!$Q$19,'Mezz 2 Amortization'!$B$19:$V$19,0)),0),0)))</f>
        <v>0</v>
      </c>
      <c r="BY144" s="427">
        <f>-IF(OR('Financing Assumptions'!$T$8="No",BY$142&lt;='Financing Assumptions'!$T$26,BY$142&gt;'Mezz 2 Amortization'!$T$13),0,IF('Mezz 2 Amortization'!$T$4="Monthly",INDEX('Mezz 2 Amortization'!$B$19:$V$379,MATCH(BY$142,'Mezz 2 Amortization'!$E$19:$E$379,0),MATCH('Mezz 2 Amortization'!$Q$19,'Mezz 2 Amortization'!$B$19:$V$19,0)),IF('Mezz 2 Amortization'!$T$4="Bi-Annual",IF(OR('Mezz 2 Amortization'!$R$4=BY$5,'Mezz 2 Amortization'!$S$4=BY$5),INDEX('Mezz 2 Amortization'!$B$19:$V$379,MATCH(BY$142,'Mezz 2 Amortization'!$E$19:$E$379,0),MATCH('Mezz 2 Amortization'!$Q$19,'Mezz 2 Amortization'!$B$19:$V$19,0)),0),0)))</f>
        <v>0</v>
      </c>
      <c r="BZ144" s="427">
        <f>-IF(OR('Financing Assumptions'!$T$8="No",BZ$142&lt;='Financing Assumptions'!$T$26,BZ$142&gt;'Mezz 2 Amortization'!$T$13),0,IF('Mezz 2 Amortization'!$T$4="Monthly",INDEX('Mezz 2 Amortization'!$B$19:$V$379,MATCH(BZ$142,'Mezz 2 Amortization'!$E$19:$E$379,0),MATCH('Mezz 2 Amortization'!$Q$19,'Mezz 2 Amortization'!$B$19:$V$19,0)),IF('Mezz 2 Amortization'!$T$4="Bi-Annual",IF(OR('Mezz 2 Amortization'!$R$4=BZ$5,'Mezz 2 Amortization'!$S$4=BZ$5),INDEX('Mezz 2 Amortization'!$B$19:$V$379,MATCH(BZ$142,'Mezz 2 Amortization'!$E$19:$E$379,0),MATCH('Mezz 2 Amortization'!$Q$19,'Mezz 2 Amortization'!$B$19:$V$19,0)),0),0)))</f>
        <v>0</v>
      </c>
      <c r="CA144" s="427">
        <f>-IF(OR('Financing Assumptions'!$T$8="No",CA$142&lt;='Financing Assumptions'!$T$26,CA$142&gt;'Mezz 2 Amortization'!$T$13),0,IF('Mezz 2 Amortization'!$T$4="Monthly",INDEX('Mezz 2 Amortization'!$B$19:$V$379,MATCH(CA$142,'Mezz 2 Amortization'!$E$19:$E$379,0),MATCH('Mezz 2 Amortization'!$Q$19,'Mezz 2 Amortization'!$B$19:$V$19,0)),IF('Mezz 2 Amortization'!$T$4="Bi-Annual",IF(OR('Mezz 2 Amortization'!$R$4=CA$5,'Mezz 2 Amortization'!$S$4=CA$5),INDEX('Mezz 2 Amortization'!$B$19:$V$379,MATCH(CA$142,'Mezz 2 Amortization'!$E$19:$E$379,0),MATCH('Mezz 2 Amortization'!$Q$19,'Mezz 2 Amortization'!$B$19:$V$19,0)),0),0)))</f>
        <v>0</v>
      </c>
      <c r="CB144" s="427">
        <f>-IF(OR('Financing Assumptions'!$T$8="No",CB$142&lt;='Financing Assumptions'!$T$26,CB$142&gt;'Mezz 2 Amortization'!$T$13),0,IF('Mezz 2 Amortization'!$T$4="Monthly",INDEX('Mezz 2 Amortization'!$B$19:$V$379,MATCH(CB$142,'Mezz 2 Amortization'!$E$19:$E$379,0),MATCH('Mezz 2 Amortization'!$Q$19,'Mezz 2 Amortization'!$B$19:$V$19,0)),IF('Mezz 2 Amortization'!$T$4="Bi-Annual",IF(OR('Mezz 2 Amortization'!$R$4=CB$5,'Mezz 2 Amortization'!$S$4=CB$5),INDEX('Mezz 2 Amortization'!$B$19:$V$379,MATCH(CB$142,'Mezz 2 Amortization'!$E$19:$E$379,0),MATCH('Mezz 2 Amortization'!$Q$19,'Mezz 2 Amortization'!$B$19:$V$19,0)),0),0)))</f>
        <v>0</v>
      </c>
      <c r="CC144" s="427">
        <f>-IF(OR('Financing Assumptions'!$T$8="No",CC$142&lt;='Financing Assumptions'!$T$26,CC$142&gt;'Mezz 2 Amortization'!$T$13),0,IF('Mezz 2 Amortization'!$T$4="Monthly",INDEX('Mezz 2 Amortization'!$B$19:$V$379,MATCH(CC$142,'Mezz 2 Amortization'!$E$19:$E$379,0),MATCH('Mezz 2 Amortization'!$Q$19,'Mezz 2 Amortization'!$B$19:$V$19,0)),IF('Mezz 2 Amortization'!$T$4="Bi-Annual",IF(OR('Mezz 2 Amortization'!$R$4=CC$5,'Mezz 2 Amortization'!$S$4=CC$5),INDEX('Mezz 2 Amortization'!$B$19:$V$379,MATCH(CC$142,'Mezz 2 Amortization'!$E$19:$E$379,0),MATCH('Mezz 2 Amortization'!$Q$19,'Mezz 2 Amortization'!$B$19:$V$19,0)),0),0)))</f>
        <v>0</v>
      </c>
      <c r="CD144" s="427">
        <f>-IF(OR('Financing Assumptions'!$T$8="No",CD$142&lt;='Financing Assumptions'!$T$26,CD$142&gt;'Mezz 2 Amortization'!$T$13),0,IF('Mezz 2 Amortization'!$T$4="Monthly",INDEX('Mezz 2 Amortization'!$B$19:$V$379,MATCH(CD$142,'Mezz 2 Amortization'!$E$19:$E$379,0),MATCH('Mezz 2 Amortization'!$Q$19,'Mezz 2 Amortization'!$B$19:$V$19,0)),IF('Mezz 2 Amortization'!$T$4="Bi-Annual",IF(OR('Mezz 2 Amortization'!$R$4=CD$5,'Mezz 2 Amortization'!$S$4=CD$5),INDEX('Mezz 2 Amortization'!$B$19:$V$379,MATCH(CD$142,'Mezz 2 Amortization'!$E$19:$E$379,0),MATCH('Mezz 2 Amortization'!$Q$19,'Mezz 2 Amortization'!$B$19:$V$19,0)),0),0)))</f>
        <v>0</v>
      </c>
      <c r="CE144" s="427">
        <f>-IF(OR('Financing Assumptions'!$T$8="No",CE$142&lt;='Financing Assumptions'!$T$26,CE$142&gt;'Mezz 2 Amortization'!$T$13),0,IF('Mezz 2 Amortization'!$T$4="Monthly",INDEX('Mezz 2 Amortization'!$B$19:$V$379,MATCH(CE$142,'Mezz 2 Amortization'!$E$19:$E$379,0),MATCH('Mezz 2 Amortization'!$Q$19,'Mezz 2 Amortization'!$B$19:$V$19,0)),IF('Mezz 2 Amortization'!$T$4="Bi-Annual",IF(OR('Mezz 2 Amortization'!$R$4=CE$5,'Mezz 2 Amortization'!$S$4=CE$5),INDEX('Mezz 2 Amortization'!$B$19:$V$379,MATCH(CE$142,'Mezz 2 Amortization'!$E$19:$E$379,0),MATCH('Mezz 2 Amortization'!$Q$19,'Mezz 2 Amortization'!$B$19:$V$19,0)),0),0)))</f>
        <v>0</v>
      </c>
      <c r="CF144" s="427">
        <f>-IF(OR('Financing Assumptions'!$T$8="No",CF$142&lt;='Financing Assumptions'!$T$26,CF$142&gt;'Mezz 2 Amortization'!$T$13),0,IF('Mezz 2 Amortization'!$T$4="Monthly",INDEX('Mezz 2 Amortization'!$B$19:$V$379,MATCH(CF$142,'Mezz 2 Amortization'!$E$19:$E$379,0),MATCH('Mezz 2 Amortization'!$Q$19,'Mezz 2 Amortization'!$B$19:$V$19,0)),IF('Mezz 2 Amortization'!$T$4="Bi-Annual",IF(OR('Mezz 2 Amortization'!$R$4=CF$5,'Mezz 2 Amortization'!$S$4=CF$5),INDEX('Mezz 2 Amortization'!$B$19:$V$379,MATCH(CF$142,'Mezz 2 Amortization'!$E$19:$E$379,0),MATCH('Mezz 2 Amortization'!$Q$19,'Mezz 2 Amortization'!$B$19:$V$19,0)),0),0)))</f>
        <v>0</v>
      </c>
      <c r="CG144" s="427">
        <f>-IF(OR('Financing Assumptions'!$T$8="No",CG$142&lt;='Financing Assumptions'!$T$26,CG$142&gt;'Mezz 2 Amortization'!$T$13),0,IF('Mezz 2 Amortization'!$T$4="Monthly",INDEX('Mezz 2 Amortization'!$B$19:$V$379,MATCH(CG$142,'Mezz 2 Amortization'!$E$19:$E$379,0),MATCH('Mezz 2 Amortization'!$Q$19,'Mezz 2 Amortization'!$B$19:$V$19,0)),IF('Mezz 2 Amortization'!$T$4="Bi-Annual",IF(OR('Mezz 2 Amortization'!$R$4=CG$5,'Mezz 2 Amortization'!$S$4=CG$5),INDEX('Mezz 2 Amortization'!$B$19:$V$379,MATCH(CG$142,'Mezz 2 Amortization'!$E$19:$E$379,0),MATCH('Mezz 2 Amortization'!$Q$19,'Mezz 2 Amortization'!$B$19:$V$19,0)),0),0)))</f>
        <v>0</v>
      </c>
      <c r="CH144" s="427">
        <f>-IF(OR('Financing Assumptions'!$T$8="No",CH$142&lt;='Financing Assumptions'!$T$26,CH$142&gt;'Mezz 2 Amortization'!$T$13),0,IF('Mezz 2 Amortization'!$T$4="Monthly",INDEX('Mezz 2 Amortization'!$B$19:$V$379,MATCH(CH$142,'Mezz 2 Amortization'!$E$19:$E$379,0),MATCH('Mezz 2 Amortization'!$Q$19,'Mezz 2 Amortization'!$B$19:$V$19,0)),IF('Mezz 2 Amortization'!$T$4="Bi-Annual",IF(OR('Mezz 2 Amortization'!$R$4=CH$5,'Mezz 2 Amortization'!$S$4=CH$5),INDEX('Mezz 2 Amortization'!$B$19:$V$379,MATCH(CH$142,'Mezz 2 Amortization'!$E$19:$E$379,0),MATCH('Mezz 2 Amortization'!$Q$19,'Mezz 2 Amortization'!$B$19:$V$19,0)),0),0)))</f>
        <v>0</v>
      </c>
      <c r="CI144" s="427">
        <f>-IF(OR('Financing Assumptions'!$T$8="No",CI$142&lt;='Financing Assumptions'!$T$26,CI$142&gt;'Mezz 2 Amortization'!$T$13),0,IF('Mezz 2 Amortization'!$T$4="Monthly",INDEX('Mezz 2 Amortization'!$B$19:$V$379,MATCH(CI$142,'Mezz 2 Amortization'!$E$19:$E$379,0),MATCH('Mezz 2 Amortization'!$Q$19,'Mezz 2 Amortization'!$B$19:$V$19,0)),IF('Mezz 2 Amortization'!$T$4="Bi-Annual",IF(OR('Mezz 2 Amortization'!$R$4=CI$5,'Mezz 2 Amortization'!$S$4=CI$5),INDEX('Mezz 2 Amortization'!$B$19:$V$379,MATCH(CI$142,'Mezz 2 Amortization'!$E$19:$E$379,0),MATCH('Mezz 2 Amortization'!$Q$19,'Mezz 2 Amortization'!$B$19:$V$19,0)),0),0)))</f>
        <v>0</v>
      </c>
      <c r="CJ144" s="427">
        <f>-IF(OR('Financing Assumptions'!$T$8="No",CJ$142&lt;='Financing Assumptions'!$T$26,CJ$142&gt;'Mezz 2 Amortization'!$T$13),0,IF('Mezz 2 Amortization'!$T$4="Monthly",INDEX('Mezz 2 Amortization'!$B$19:$V$379,MATCH(CJ$142,'Mezz 2 Amortization'!$E$19:$E$379,0),MATCH('Mezz 2 Amortization'!$Q$19,'Mezz 2 Amortization'!$B$19:$V$19,0)),IF('Mezz 2 Amortization'!$T$4="Bi-Annual",IF(OR('Mezz 2 Amortization'!$R$4=CJ$5,'Mezz 2 Amortization'!$S$4=CJ$5),INDEX('Mezz 2 Amortization'!$B$19:$V$379,MATCH(CJ$142,'Mezz 2 Amortization'!$E$19:$E$379,0),MATCH('Mezz 2 Amortization'!$Q$19,'Mezz 2 Amortization'!$B$19:$V$19,0)),0),0)))</f>
        <v>0</v>
      </c>
      <c r="CK144" s="427">
        <f>-IF(OR('Financing Assumptions'!$T$8="No",CK$142&lt;='Financing Assumptions'!$T$26,CK$142&gt;'Mezz 2 Amortization'!$T$13),0,IF('Mezz 2 Amortization'!$T$4="Monthly",INDEX('Mezz 2 Amortization'!$B$19:$V$379,MATCH(CK$142,'Mezz 2 Amortization'!$E$19:$E$379,0),MATCH('Mezz 2 Amortization'!$Q$19,'Mezz 2 Amortization'!$B$19:$V$19,0)),IF('Mezz 2 Amortization'!$T$4="Bi-Annual",IF(OR('Mezz 2 Amortization'!$R$4=CK$5,'Mezz 2 Amortization'!$S$4=CK$5),INDEX('Mezz 2 Amortization'!$B$19:$V$379,MATCH(CK$142,'Mezz 2 Amortization'!$E$19:$E$379,0),MATCH('Mezz 2 Amortization'!$Q$19,'Mezz 2 Amortization'!$B$19:$V$19,0)),0),0)))</f>
        <v>0</v>
      </c>
      <c r="CL144" s="427">
        <f>-IF(OR('Financing Assumptions'!$T$8="No",CL$142&lt;='Financing Assumptions'!$T$26,CL$142&gt;'Mezz 2 Amortization'!$T$13),0,IF('Mezz 2 Amortization'!$T$4="Monthly",INDEX('Mezz 2 Amortization'!$B$19:$V$379,MATCH(CL$142,'Mezz 2 Amortization'!$E$19:$E$379,0),MATCH('Mezz 2 Amortization'!$Q$19,'Mezz 2 Amortization'!$B$19:$V$19,0)),IF('Mezz 2 Amortization'!$T$4="Bi-Annual",IF(OR('Mezz 2 Amortization'!$R$4=CL$5,'Mezz 2 Amortization'!$S$4=CL$5),INDEX('Mezz 2 Amortization'!$B$19:$V$379,MATCH(CL$142,'Mezz 2 Amortization'!$E$19:$E$379,0),MATCH('Mezz 2 Amortization'!$Q$19,'Mezz 2 Amortization'!$B$19:$V$19,0)),0),0)))</f>
        <v>0</v>
      </c>
      <c r="CM144" s="427">
        <f>-IF(OR('Financing Assumptions'!$T$8="No",CM$142&lt;='Financing Assumptions'!$T$26,CM$142&gt;'Mezz 2 Amortization'!$T$13),0,IF('Mezz 2 Amortization'!$T$4="Monthly",INDEX('Mezz 2 Amortization'!$B$19:$V$379,MATCH(CM$142,'Mezz 2 Amortization'!$E$19:$E$379,0),MATCH('Mezz 2 Amortization'!$Q$19,'Mezz 2 Amortization'!$B$19:$V$19,0)),IF('Mezz 2 Amortization'!$T$4="Bi-Annual",IF(OR('Mezz 2 Amortization'!$R$4=CM$5,'Mezz 2 Amortization'!$S$4=CM$5),INDEX('Mezz 2 Amortization'!$B$19:$V$379,MATCH(CM$142,'Mezz 2 Amortization'!$E$19:$E$379,0),MATCH('Mezz 2 Amortization'!$Q$19,'Mezz 2 Amortization'!$B$19:$V$19,0)),0),0)))</f>
        <v>0</v>
      </c>
      <c r="CN144" s="427">
        <f>-IF(OR('Financing Assumptions'!$T$8="No",CN$142&lt;='Financing Assumptions'!$T$26,CN$142&gt;'Mezz 2 Amortization'!$T$13),0,IF('Mezz 2 Amortization'!$T$4="Monthly",INDEX('Mezz 2 Amortization'!$B$19:$V$379,MATCH(CN$142,'Mezz 2 Amortization'!$E$19:$E$379,0),MATCH('Mezz 2 Amortization'!$Q$19,'Mezz 2 Amortization'!$B$19:$V$19,0)),IF('Mezz 2 Amortization'!$T$4="Bi-Annual",IF(OR('Mezz 2 Amortization'!$R$4=CN$5,'Mezz 2 Amortization'!$S$4=CN$5),INDEX('Mezz 2 Amortization'!$B$19:$V$379,MATCH(CN$142,'Mezz 2 Amortization'!$E$19:$E$379,0),MATCH('Mezz 2 Amortization'!$Q$19,'Mezz 2 Amortization'!$B$19:$V$19,0)),0),0)))</f>
        <v>0</v>
      </c>
      <c r="CO144" s="427">
        <f>-IF(OR('Financing Assumptions'!$T$8="No",CO$142&lt;='Financing Assumptions'!$T$26,CO$142&gt;'Mezz 2 Amortization'!$T$13),0,IF('Mezz 2 Amortization'!$T$4="Monthly",INDEX('Mezz 2 Amortization'!$B$19:$V$379,MATCH(CO$142,'Mezz 2 Amortization'!$E$19:$E$379,0),MATCH('Mezz 2 Amortization'!$Q$19,'Mezz 2 Amortization'!$B$19:$V$19,0)),IF('Mezz 2 Amortization'!$T$4="Bi-Annual",IF(OR('Mezz 2 Amortization'!$R$4=CO$5,'Mezz 2 Amortization'!$S$4=CO$5),INDEX('Mezz 2 Amortization'!$B$19:$V$379,MATCH(CO$142,'Mezz 2 Amortization'!$E$19:$E$379,0),MATCH('Mezz 2 Amortization'!$Q$19,'Mezz 2 Amortization'!$B$19:$V$19,0)),0),0)))</f>
        <v>0</v>
      </c>
      <c r="CP144" s="427">
        <f>-IF(OR('Financing Assumptions'!$T$8="No",CP$142&lt;='Financing Assumptions'!$T$26,CP$142&gt;'Mezz 2 Amortization'!$T$13),0,IF('Mezz 2 Amortization'!$T$4="Monthly",INDEX('Mezz 2 Amortization'!$B$19:$V$379,MATCH(CP$142,'Mezz 2 Amortization'!$E$19:$E$379,0),MATCH('Mezz 2 Amortization'!$Q$19,'Mezz 2 Amortization'!$B$19:$V$19,0)),IF('Mezz 2 Amortization'!$T$4="Bi-Annual",IF(OR('Mezz 2 Amortization'!$R$4=CP$5,'Mezz 2 Amortization'!$S$4=CP$5),INDEX('Mezz 2 Amortization'!$B$19:$V$379,MATCH(CP$142,'Mezz 2 Amortization'!$E$19:$E$379,0),MATCH('Mezz 2 Amortization'!$Q$19,'Mezz 2 Amortization'!$B$19:$V$19,0)),0),0)))</f>
        <v>0</v>
      </c>
      <c r="CQ144" s="427">
        <f>-IF(OR('Financing Assumptions'!$T$8="No",CQ$142&lt;='Financing Assumptions'!$T$26,CQ$142&gt;'Mezz 2 Amortization'!$T$13),0,IF('Mezz 2 Amortization'!$T$4="Monthly",INDEX('Mezz 2 Amortization'!$B$19:$V$379,MATCH(CQ$142,'Mezz 2 Amortization'!$E$19:$E$379,0),MATCH('Mezz 2 Amortization'!$Q$19,'Mezz 2 Amortization'!$B$19:$V$19,0)),IF('Mezz 2 Amortization'!$T$4="Bi-Annual",IF(OR('Mezz 2 Amortization'!$R$4=CQ$5,'Mezz 2 Amortization'!$S$4=CQ$5),INDEX('Mezz 2 Amortization'!$B$19:$V$379,MATCH(CQ$142,'Mezz 2 Amortization'!$E$19:$E$379,0),MATCH('Mezz 2 Amortization'!$Q$19,'Mezz 2 Amortization'!$B$19:$V$19,0)),0),0)))</f>
        <v>0</v>
      </c>
      <c r="CR144" s="427">
        <f>-IF(OR('Financing Assumptions'!$T$8="No",CR$142&lt;='Financing Assumptions'!$T$26,CR$142&gt;'Mezz 2 Amortization'!$T$13),0,IF('Mezz 2 Amortization'!$T$4="Monthly",INDEX('Mezz 2 Amortization'!$B$19:$V$379,MATCH(CR$142,'Mezz 2 Amortization'!$E$19:$E$379,0),MATCH('Mezz 2 Amortization'!$Q$19,'Mezz 2 Amortization'!$B$19:$V$19,0)),IF('Mezz 2 Amortization'!$T$4="Bi-Annual",IF(OR('Mezz 2 Amortization'!$R$4=CR$5,'Mezz 2 Amortization'!$S$4=CR$5),INDEX('Mezz 2 Amortization'!$B$19:$V$379,MATCH(CR$142,'Mezz 2 Amortization'!$E$19:$E$379,0),MATCH('Mezz 2 Amortization'!$Q$19,'Mezz 2 Amortization'!$B$19:$V$19,0)),0),0)))</f>
        <v>0</v>
      </c>
      <c r="CS144" s="427">
        <f>-IF(OR('Financing Assumptions'!$T$8="No",CS$142&lt;='Financing Assumptions'!$T$26,CS$142&gt;'Mezz 2 Amortization'!$T$13),0,IF('Mezz 2 Amortization'!$T$4="Monthly",INDEX('Mezz 2 Amortization'!$B$19:$V$379,MATCH(CS$142,'Mezz 2 Amortization'!$E$19:$E$379,0),MATCH('Mezz 2 Amortization'!$Q$19,'Mezz 2 Amortization'!$B$19:$V$19,0)),IF('Mezz 2 Amortization'!$T$4="Bi-Annual",IF(OR('Mezz 2 Amortization'!$R$4=CS$5,'Mezz 2 Amortization'!$S$4=CS$5),INDEX('Mezz 2 Amortization'!$B$19:$V$379,MATCH(CS$142,'Mezz 2 Amortization'!$E$19:$E$379,0),MATCH('Mezz 2 Amortization'!$Q$19,'Mezz 2 Amortization'!$B$19:$V$19,0)),0),0)))</f>
        <v>0</v>
      </c>
      <c r="CT144" s="427">
        <f>-IF(OR('Financing Assumptions'!$T$8="No",CT$142&lt;='Financing Assumptions'!$T$26,CT$142&gt;'Mezz 2 Amortization'!$T$13),0,IF('Mezz 2 Amortization'!$T$4="Monthly",INDEX('Mezz 2 Amortization'!$B$19:$V$379,MATCH(CT$142,'Mezz 2 Amortization'!$E$19:$E$379,0),MATCH('Mezz 2 Amortization'!$Q$19,'Mezz 2 Amortization'!$B$19:$V$19,0)),IF('Mezz 2 Amortization'!$T$4="Bi-Annual",IF(OR('Mezz 2 Amortization'!$R$4=CT$5,'Mezz 2 Amortization'!$S$4=CT$5),INDEX('Mezz 2 Amortization'!$B$19:$V$379,MATCH(CT$142,'Mezz 2 Amortization'!$E$19:$E$379,0),MATCH('Mezz 2 Amortization'!$Q$19,'Mezz 2 Amortization'!$B$19:$V$19,0)),0),0)))</f>
        <v>0</v>
      </c>
      <c r="CU144" s="427">
        <f>-IF(OR('Financing Assumptions'!$T$8="No",CU$142&lt;='Financing Assumptions'!$T$26,CU$142&gt;'Mezz 2 Amortization'!$T$13),0,IF('Mezz 2 Amortization'!$T$4="Monthly",INDEX('Mezz 2 Amortization'!$B$19:$V$379,MATCH(CU$142,'Mezz 2 Amortization'!$E$19:$E$379,0),MATCH('Mezz 2 Amortization'!$Q$19,'Mezz 2 Amortization'!$B$19:$V$19,0)),IF('Mezz 2 Amortization'!$T$4="Bi-Annual",IF(OR('Mezz 2 Amortization'!$R$4=CU$5,'Mezz 2 Amortization'!$S$4=CU$5),INDEX('Mezz 2 Amortization'!$B$19:$V$379,MATCH(CU$142,'Mezz 2 Amortization'!$E$19:$E$379,0),MATCH('Mezz 2 Amortization'!$Q$19,'Mezz 2 Amortization'!$B$19:$V$19,0)),0),0)))</f>
        <v>0</v>
      </c>
      <c r="CV144" s="427">
        <f>-IF(OR('Financing Assumptions'!$T$8="No",CV$142&lt;='Financing Assumptions'!$T$26,CV$142&gt;'Mezz 2 Amortization'!$T$13),0,IF('Mezz 2 Amortization'!$T$4="Monthly",INDEX('Mezz 2 Amortization'!$B$19:$V$379,MATCH(CV$142,'Mezz 2 Amortization'!$E$19:$E$379,0),MATCH('Mezz 2 Amortization'!$Q$19,'Mezz 2 Amortization'!$B$19:$V$19,0)),IF('Mezz 2 Amortization'!$T$4="Bi-Annual",IF(OR('Mezz 2 Amortization'!$R$4=CV$5,'Mezz 2 Amortization'!$S$4=CV$5),INDEX('Mezz 2 Amortization'!$B$19:$V$379,MATCH(CV$142,'Mezz 2 Amortization'!$E$19:$E$379,0),MATCH('Mezz 2 Amortization'!$Q$19,'Mezz 2 Amortization'!$B$19:$V$19,0)),0),0)))</f>
        <v>0</v>
      </c>
      <c r="CW144" s="427">
        <f>-IF(OR('Financing Assumptions'!$T$8="No",CW$142&lt;='Financing Assumptions'!$T$26,CW$142&gt;'Mezz 2 Amortization'!$T$13),0,IF('Mezz 2 Amortization'!$T$4="Monthly",INDEX('Mezz 2 Amortization'!$B$19:$V$379,MATCH(CW$142,'Mezz 2 Amortization'!$E$19:$E$379,0),MATCH('Mezz 2 Amortization'!$Q$19,'Mezz 2 Amortization'!$B$19:$V$19,0)),IF('Mezz 2 Amortization'!$T$4="Bi-Annual",IF(OR('Mezz 2 Amortization'!$R$4=CW$5,'Mezz 2 Amortization'!$S$4=CW$5),INDEX('Mezz 2 Amortization'!$B$19:$V$379,MATCH(CW$142,'Mezz 2 Amortization'!$E$19:$E$379,0),MATCH('Mezz 2 Amortization'!$Q$19,'Mezz 2 Amortization'!$B$19:$V$19,0)),0),0)))</f>
        <v>0</v>
      </c>
      <c r="CX144" s="427">
        <f>-IF(OR('Financing Assumptions'!$T$8="No",CX$142&lt;='Financing Assumptions'!$T$26,CX$142&gt;'Mezz 2 Amortization'!$T$13),0,IF('Mezz 2 Amortization'!$T$4="Monthly",INDEX('Mezz 2 Amortization'!$B$19:$V$379,MATCH(CX$142,'Mezz 2 Amortization'!$E$19:$E$379,0),MATCH('Mezz 2 Amortization'!$Q$19,'Mezz 2 Amortization'!$B$19:$V$19,0)),IF('Mezz 2 Amortization'!$T$4="Bi-Annual",IF(OR('Mezz 2 Amortization'!$R$4=CX$5,'Mezz 2 Amortization'!$S$4=CX$5),INDEX('Mezz 2 Amortization'!$B$19:$V$379,MATCH(CX$142,'Mezz 2 Amortization'!$E$19:$E$379,0),MATCH('Mezz 2 Amortization'!$Q$19,'Mezz 2 Amortization'!$B$19:$V$19,0)),0),0)))</f>
        <v>0</v>
      </c>
      <c r="CY144" s="427">
        <f>-IF(OR('Financing Assumptions'!$T$8="No",CY$142&lt;='Financing Assumptions'!$T$26,CY$142&gt;'Mezz 2 Amortization'!$T$13),0,IF('Mezz 2 Amortization'!$T$4="Monthly",INDEX('Mezz 2 Amortization'!$B$19:$V$379,MATCH(CY$142,'Mezz 2 Amortization'!$E$19:$E$379,0),MATCH('Mezz 2 Amortization'!$Q$19,'Mezz 2 Amortization'!$B$19:$V$19,0)),IF('Mezz 2 Amortization'!$T$4="Bi-Annual",IF(OR('Mezz 2 Amortization'!$R$4=CY$5,'Mezz 2 Amortization'!$S$4=CY$5),INDEX('Mezz 2 Amortization'!$B$19:$V$379,MATCH(CY$142,'Mezz 2 Amortization'!$E$19:$E$379,0),MATCH('Mezz 2 Amortization'!$Q$19,'Mezz 2 Amortization'!$B$19:$V$19,0)),0),0)))</f>
        <v>0</v>
      </c>
      <c r="CZ144" s="427">
        <f>-IF(OR('Financing Assumptions'!$T$8="No",CZ$142&lt;='Financing Assumptions'!$T$26,CZ$142&gt;'Mezz 2 Amortization'!$T$13),0,IF('Mezz 2 Amortization'!$T$4="Monthly",INDEX('Mezz 2 Amortization'!$B$19:$V$379,MATCH(CZ$142,'Mezz 2 Amortization'!$E$19:$E$379,0),MATCH('Mezz 2 Amortization'!$Q$19,'Mezz 2 Amortization'!$B$19:$V$19,0)),IF('Mezz 2 Amortization'!$T$4="Bi-Annual",IF(OR('Mezz 2 Amortization'!$R$4=CZ$5,'Mezz 2 Amortization'!$S$4=CZ$5),INDEX('Mezz 2 Amortization'!$B$19:$V$379,MATCH(CZ$142,'Mezz 2 Amortization'!$E$19:$E$379,0),MATCH('Mezz 2 Amortization'!$Q$19,'Mezz 2 Amortization'!$B$19:$V$19,0)),0),0)))</f>
        <v>0</v>
      </c>
      <c r="DA144" s="427">
        <f>-IF(OR('Financing Assumptions'!$T$8="No",DA$142&lt;='Financing Assumptions'!$T$26,DA$142&gt;'Mezz 2 Amortization'!$T$13),0,IF('Mezz 2 Amortization'!$T$4="Monthly",INDEX('Mezz 2 Amortization'!$B$19:$V$379,MATCH(DA$142,'Mezz 2 Amortization'!$E$19:$E$379,0),MATCH('Mezz 2 Amortization'!$Q$19,'Mezz 2 Amortization'!$B$19:$V$19,0)),IF('Mezz 2 Amortization'!$T$4="Bi-Annual",IF(OR('Mezz 2 Amortization'!$R$4=DA$5,'Mezz 2 Amortization'!$S$4=DA$5),INDEX('Mezz 2 Amortization'!$B$19:$V$379,MATCH(DA$142,'Mezz 2 Amortization'!$E$19:$E$379,0),MATCH('Mezz 2 Amortization'!$Q$19,'Mezz 2 Amortization'!$B$19:$V$19,0)),0),0)))</f>
        <v>0</v>
      </c>
      <c r="DB144" s="427">
        <f>-IF(OR('Financing Assumptions'!$T$8="No",DB$142&lt;='Financing Assumptions'!$T$26,DB$142&gt;'Mezz 2 Amortization'!$T$13),0,IF('Mezz 2 Amortization'!$T$4="Monthly",INDEX('Mezz 2 Amortization'!$B$19:$V$379,MATCH(DB$142,'Mezz 2 Amortization'!$E$19:$E$379,0),MATCH('Mezz 2 Amortization'!$Q$19,'Mezz 2 Amortization'!$B$19:$V$19,0)),IF('Mezz 2 Amortization'!$T$4="Bi-Annual",IF(OR('Mezz 2 Amortization'!$R$4=DB$5,'Mezz 2 Amortization'!$S$4=DB$5),INDEX('Mezz 2 Amortization'!$B$19:$V$379,MATCH(DB$142,'Mezz 2 Amortization'!$E$19:$E$379,0),MATCH('Mezz 2 Amortization'!$Q$19,'Mezz 2 Amortization'!$B$19:$V$19,0)),0),0)))</f>
        <v>0</v>
      </c>
      <c r="DC144" s="427">
        <f>-IF(OR('Financing Assumptions'!$T$8="No",DC$142&lt;='Financing Assumptions'!$T$26,DC$142&gt;'Mezz 2 Amortization'!$T$13),0,IF('Mezz 2 Amortization'!$T$4="Monthly",INDEX('Mezz 2 Amortization'!$B$19:$V$379,MATCH(DC$142,'Mezz 2 Amortization'!$E$19:$E$379,0),MATCH('Mezz 2 Amortization'!$Q$19,'Mezz 2 Amortization'!$B$19:$V$19,0)),IF('Mezz 2 Amortization'!$T$4="Bi-Annual",IF(OR('Mezz 2 Amortization'!$R$4=DC$5,'Mezz 2 Amortization'!$S$4=DC$5),INDEX('Mezz 2 Amortization'!$B$19:$V$379,MATCH(DC$142,'Mezz 2 Amortization'!$E$19:$E$379,0),MATCH('Mezz 2 Amortization'!$Q$19,'Mezz 2 Amortization'!$B$19:$V$19,0)),0),0)))</f>
        <v>0</v>
      </c>
      <c r="DD144" s="427">
        <f>-IF(OR('Financing Assumptions'!$T$8="No",DD$142&lt;='Financing Assumptions'!$T$26,DD$142&gt;'Mezz 2 Amortization'!$T$13),0,IF('Mezz 2 Amortization'!$T$4="Monthly",INDEX('Mezz 2 Amortization'!$B$19:$V$379,MATCH(DD$142,'Mezz 2 Amortization'!$E$19:$E$379,0),MATCH('Mezz 2 Amortization'!$Q$19,'Mezz 2 Amortization'!$B$19:$V$19,0)),IF('Mezz 2 Amortization'!$T$4="Bi-Annual",IF(OR('Mezz 2 Amortization'!$R$4=DD$5,'Mezz 2 Amortization'!$S$4=DD$5),INDEX('Mezz 2 Amortization'!$B$19:$V$379,MATCH(DD$142,'Mezz 2 Amortization'!$E$19:$E$379,0),MATCH('Mezz 2 Amortization'!$Q$19,'Mezz 2 Amortization'!$B$19:$V$19,0)),0),0)))</f>
        <v>0</v>
      </c>
      <c r="DE144" s="427">
        <f>-IF(OR('Financing Assumptions'!$T$8="No",DE$142&lt;='Financing Assumptions'!$T$26,DE$142&gt;'Mezz 2 Amortization'!$T$13),0,IF('Mezz 2 Amortization'!$T$4="Monthly",INDEX('Mezz 2 Amortization'!$B$19:$V$379,MATCH(DE$142,'Mezz 2 Amortization'!$E$19:$E$379,0),MATCH('Mezz 2 Amortization'!$Q$19,'Mezz 2 Amortization'!$B$19:$V$19,0)),IF('Mezz 2 Amortization'!$T$4="Bi-Annual",IF(OR('Mezz 2 Amortization'!$R$4=DE$5,'Mezz 2 Amortization'!$S$4=DE$5),INDEX('Mezz 2 Amortization'!$B$19:$V$379,MATCH(DE$142,'Mezz 2 Amortization'!$E$19:$E$379,0),MATCH('Mezz 2 Amortization'!$Q$19,'Mezz 2 Amortization'!$B$19:$V$19,0)),0),0)))</f>
        <v>0</v>
      </c>
      <c r="DF144" s="427">
        <f>-IF(OR('Financing Assumptions'!$T$8="No",DF$142&lt;='Financing Assumptions'!$T$26,DF$142&gt;'Mezz 2 Amortization'!$T$13),0,IF('Mezz 2 Amortization'!$T$4="Monthly",INDEX('Mezz 2 Amortization'!$B$19:$V$379,MATCH(DF$142,'Mezz 2 Amortization'!$E$19:$E$379,0),MATCH('Mezz 2 Amortization'!$Q$19,'Mezz 2 Amortization'!$B$19:$V$19,0)),IF('Mezz 2 Amortization'!$T$4="Bi-Annual",IF(OR('Mezz 2 Amortization'!$R$4=DF$5,'Mezz 2 Amortization'!$S$4=DF$5),INDEX('Mezz 2 Amortization'!$B$19:$V$379,MATCH(DF$142,'Mezz 2 Amortization'!$E$19:$E$379,0),MATCH('Mezz 2 Amortization'!$Q$19,'Mezz 2 Amortization'!$B$19:$V$19,0)),0),0)))</f>
        <v>0</v>
      </c>
      <c r="DG144" s="427">
        <f>-IF(OR('Financing Assumptions'!$T$8="No",DG$142&lt;='Financing Assumptions'!$T$26,DG$142&gt;'Mezz 2 Amortization'!$T$13),0,IF('Mezz 2 Amortization'!$T$4="Monthly",INDEX('Mezz 2 Amortization'!$B$19:$V$379,MATCH(DG$142,'Mezz 2 Amortization'!$E$19:$E$379,0),MATCH('Mezz 2 Amortization'!$Q$19,'Mezz 2 Amortization'!$B$19:$V$19,0)),IF('Mezz 2 Amortization'!$T$4="Bi-Annual",IF(OR('Mezz 2 Amortization'!$R$4=DG$5,'Mezz 2 Amortization'!$S$4=DG$5),INDEX('Mezz 2 Amortization'!$B$19:$V$379,MATCH(DG$142,'Mezz 2 Amortization'!$E$19:$E$379,0),MATCH('Mezz 2 Amortization'!$Q$19,'Mezz 2 Amortization'!$B$19:$V$19,0)),0),0)))</f>
        <v>0</v>
      </c>
      <c r="DH144" s="427">
        <f>-IF(OR('Financing Assumptions'!$T$8="No",DH$142&lt;='Financing Assumptions'!$T$26,DH$142&gt;'Mezz 2 Amortization'!$T$13),0,IF('Mezz 2 Amortization'!$T$4="Monthly",INDEX('Mezz 2 Amortization'!$B$19:$V$379,MATCH(DH$142,'Mezz 2 Amortization'!$E$19:$E$379,0),MATCH('Mezz 2 Amortization'!$Q$19,'Mezz 2 Amortization'!$B$19:$V$19,0)),IF('Mezz 2 Amortization'!$T$4="Bi-Annual",IF(OR('Mezz 2 Amortization'!$R$4=DH$5,'Mezz 2 Amortization'!$S$4=DH$5),INDEX('Mezz 2 Amortization'!$B$19:$V$379,MATCH(DH$142,'Mezz 2 Amortization'!$E$19:$E$379,0),MATCH('Mezz 2 Amortization'!$Q$19,'Mezz 2 Amortization'!$B$19:$V$19,0)),0),0)))</f>
        <v>0</v>
      </c>
      <c r="DI144" s="427">
        <f>-IF(OR('Financing Assumptions'!$T$8="No",DI$142&lt;='Financing Assumptions'!$T$26,DI$142&gt;'Mezz 2 Amortization'!$T$13),0,IF('Mezz 2 Amortization'!$T$4="Monthly",INDEX('Mezz 2 Amortization'!$B$19:$V$379,MATCH(DI$142,'Mezz 2 Amortization'!$E$19:$E$379,0),MATCH('Mezz 2 Amortization'!$Q$19,'Mezz 2 Amortization'!$B$19:$V$19,0)),IF('Mezz 2 Amortization'!$T$4="Bi-Annual",IF(OR('Mezz 2 Amortization'!$R$4=DI$5,'Mezz 2 Amortization'!$S$4=DI$5),INDEX('Mezz 2 Amortization'!$B$19:$V$379,MATCH(DI$142,'Mezz 2 Amortization'!$E$19:$E$379,0),MATCH('Mezz 2 Amortization'!$Q$19,'Mezz 2 Amortization'!$B$19:$V$19,0)),0),0)))</f>
        <v>0</v>
      </c>
      <c r="DJ144" s="427">
        <f>-IF(OR('Financing Assumptions'!$T$8="No",DJ$142&lt;='Financing Assumptions'!$T$26,DJ$142&gt;'Mezz 2 Amortization'!$T$13),0,IF('Mezz 2 Amortization'!$T$4="Monthly",INDEX('Mezz 2 Amortization'!$B$19:$V$379,MATCH(DJ$142,'Mezz 2 Amortization'!$E$19:$E$379,0),MATCH('Mezz 2 Amortization'!$Q$19,'Mezz 2 Amortization'!$B$19:$V$19,0)),IF('Mezz 2 Amortization'!$T$4="Bi-Annual",IF(OR('Mezz 2 Amortization'!$R$4=DJ$5,'Mezz 2 Amortization'!$S$4=DJ$5),INDEX('Mezz 2 Amortization'!$B$19:$V$379,MATCH(DJ$142,'Mezz 2 Amortization'!$E$19:$E$379,0),MATCH('Mezz 2 Amortization'!$Q$19,'Mezz 2 Amortization'!$B$19:$V$19,0)),0),0)))</f>
        <v>0</v>
      </c>
      <c r="DK144" s="427">
        <f>-IF(OR('Financing Assumptions'!$T$8="No",DK$142&lt;='Financing Assumptions'!$T$26,DK$142&gt;'Mezz 2 Amortization'!$T$13),0,IF('Mezz 2 Amortization'!$T$4="Monthly",INDEX('Mezz 2 Amortization'!$B$19:$V$379,MATCH(DK$142,'Mezz 2 Amortization'!$E$19:$E$379,0),MATCH('Mezz 2 Amortization'!$Q$19,'Mezz 2 Amortization'!$B$19:$V$19,0)),IF('Mezz 2 Amortization'!$T$4="Bi-Annual",IF(OR('Mezz 2 Amortization'!$R$4=DK$5,'Mezz 2 Amortization'!$S$4=DK$5),INDEX('Mezz 2 Amortization'!$B$19:$V$379,MATCH(DK$142,'Mezz 2 Amortization'!$E$19:$E$379,0),MATCH('Mezz 2 Amortization'!$Q$19,'Mezz 2 Amortization'!$B$19:$V$19,0)),0),0)))</f>
        <v>0</v>
      </c>
      <c r="DL144" s="427">
        <f>-IF(OR('Financing Assumptions'!$T$8="No",DL$142&lt;='Financing Assumptions'!$T$26,DL$142&gt;'Mezz 2 Amortization'!$T$13),0,IF('Mezz 2 Amortization'!$T$4="Monthly",INDEX('Mezz 2 Amortization'!$B$19:$V$379,MATCH(DL$142,'Mezz 2 Amortization'!$E$19:$E$379,0),MATCH('Mezz 2 Amortization'!$Q$19,'Mezz 2 Amortization'!$B$19:$V$19,0)),IF('Mezz 2 Amortization'!$T$4="Bi-Annual",IF(OR('Mezz 2 Amortization'!$R$4=DL$5,'Mezz 2 Amortization'!$S$4=DL$5),INDEX('Mezz 2 Amortization'!$B$19:$V$379,MATCH(DL$142,'Mezz 2 Amortization'!$E$19:$E$379,0),MATCH('Mezz 2 Amortization'!$Q$19,'Mezz 2 Amortization'!$B$19:$V$19,0)),0),0)))</f>
        <v>0</v>
      </c>
      <c r="DM144" s="427">
        <f>-IF(OR('Financing Assumptions'!$T$8="No",DM$142&lt;='Financing Assumptions'!$T$26,DM$142&gt;'Mezz 2 Amortization'!$T$13),0,IF('Mezz 2 Amortization'!$T$4="Monthly",INDEX('Mezz 2 Amortization'!$B$19:$V$379,MATCH(DM$142,'Mezz 2 Amortization'!$E$19:$E$379,0),MATCH('Mezz 2 Amortization'!$Q$19,'Mezz 2 Amortization'!$B$19:$V$19,0)),IF('Mezz 2 Amortization'!$T$4="Bi-Annual",IF(OR('Mezz 2 Amortization'!$R$4=DM$5,'Mezz 2 Amortization'!$S$4=DM$5),INDEX('Mezz 2 Amortization'!$B$19:$V$379,MATCH(DM$142,'Mezz 2 Amortization'!$E$19:$E$379,0),MATCH('Mezz 2 Amortization'!$Q$19,'Mezz 2 Amortization'!$B$19:$V$19,0)),0),0)))</f>
        <v>0</v>
      </c>
      <c r="DN144" s="427">
        <f>-IF(OR('Financing Assumptions'!$T$8="No",DN$142&lt;='Financing Assumptions'!$T$26,DN$142&gt;'Mezz 2 Amortization'!$T$13),0,IF('Mezz 2 Amortization'!$T$4="Monthly",INDEX('Mezz 2 Amortization'!$B$19:$V$379,MATCH(DN$142,'Mezz 2 Amortization'!$E$19:$E$379,0),MATCH('Mezz 2 Amortization'!$Q$19,'Mezz 2 Amortization'!$B$19:$V$19,0)),IF('Mezz 2 Amortization'!$T$4="Bi-Annual",IF(OR('Mezz 2 Amortization'!$R$4=DN$5,'Mezz 2 Amortization'!$S$4=DN$5),INDEX('Mezz 2 Amortization'!$B$19:$V$379,MATCH(DN$142,'Mezz 2 Amortization'!$E$19:$E$379,0),MATCH('Mezz 2 Amortization'!$Q$19,'Mezz 2 Amortization'!$B$19:$V$19,0)),0),0)))</f>
        <v>0</v>
      </c>
      <c r="DO144" s="427">
        <f>-IF(OR('Financing Assumptions'!$T$8="No",DO$142&lt;='Financing Assumptions'!$T$26,DO$142&gt;'Mezz 2 Amortization'!$T$13),0,IF('Mezz 2 Amortization'!$T$4="Monthly",INDEX('Mezz 2 Amortization'!$B$19:$V$379,MATCH(DO$142,'Mezz 2 Amortization'!$E$19:$E$379,0),MATCH('Mezz 2 Amortization'!$Q$19,'Mezz 2 Amortization'!$B$19:$V$19,0)),IF('Mezz 2 Amortization'!$T$4="Bi-Annual",IF(OR('Mezz 2 Amortization'!$R$4=DO$5,'Mezz 2 Amortization'!$S$4=DO$5),INDEX('Mezz 2 Amortization'!$B$19:$V$379,MATCH(DO$142,'Mezz 2 Amortization'!$E$19:$E$379,0),MATCH('Mezz 2 Amortization'!$Q$19,'Mezz 2 Amortization'!$B$19:$V$19,0)),0),0)))</f>
        <v>0</v>
      </c>
      <c r="DP144" s="427">
        <f>-IF(OR('Financing Assumptions'!$T$8="No",DP$142&lt;='Financing Assumptions'!$T$26,DP$142&gt;'Mezz 2 Amortization'!$T$13),0,IF('Mezz 2 Amortization'!$T$4="Monthly",INDEX('Mezz 2 Amortization'!$B$19:$V$379,MATCH(DP$142,'Mezz 2 Amortization'!$E$19:$E$379,0),MATCH('Mezz 2 Amortization'!$Q$19,'Mezz 2 Amortization'!$B$19:$V$19,0)),IF('Mezz 2 Amortization'!$T$4="Bi-Annual",IF(OR('Mezz 2 Amortization'!$R$4=DP$5,'Mezz 2 Amortization'!$S$4=DP$5),INDEX('Mezz 2 Amortization'!$B$19:$V$379,MATCH(DP$142,'Mezz 2 Amortization'!$E$19:$E$379,0),MATCH('Mezz 2 Amortization'!$Q$19,'Mezz 2 Amortization'!$B$19:$V$19,0)),0),0)))</f>
        <v>0</v>
      </c>
      <c r="DQ144" s="427">
        <f>-IF(OR('Financing Assumptions'!$T$8="No",DQ$142&lt;='Financing Assumptions'!$T$26,DQ$142&gt;'Mezz 2 Amortization'!$T$13),0,IF('Mezz 2 Amortization'!$T$4="Monthly",INDEX('Mezz 2 Amortization'!$B$19:$V$379,MATCH(DQ$142,'Mezz 2 Amortization'!$E$19:$E$379,0),MATCH('Mezz 2 Amortization'!$Q$19,'Mezz 2 Amortization'!$B$19:$V$19,0)),IF('Mezz 2 Amortization'!$T$4="Bi-Annual",IF(OR('Mezz 2 Amortization'!$R$4=DQ$5,'Mezz 2 Amortization'!$S$4=DQ$5),INDEX('Mezz 2 Amortization'!$B$19:$V$379,MATCH(DQ$142,'Mezz 2 Amortization'!$E$19:$E$379,0),MATCH('Mezz 2 Amortization'!$Q$19,'Mezz 2 Amortization'!$B$19:$V$19,0)),0),0)))</f>
        <v>0</v>
      </c>
      <c r="DR144" s="427">
        <f>-IF(OR('Financing Assumptions'!$T$8="No",DR$142&lt;='Financing Assumptions'!$T$26,DR$142&gt;'Mezz 2 Amortization'!$T$13),0,IF('Mezz 2 Amortization'!$T$4="Monthly",INDEX('Mezz 2 Amortization'!$B$19:$V$379,MATCH(DR$142,'Mezz 2 Amortization'!$E$19:$E$379,0),MATCH('Mezz 2 Amortization'!$Q$19,'Mezz 2 Amortization'!$B$19:$V$19,0)),IF('Mezz 2 Amortization'!$T$4="Bi-Annual",IF(OR('Mezz 2 Amortization'!$R$4=DR$5,'Mezz 2 Amortization'!$S$4=DR$5),INDEX('Mezz 2 Amortization'!$B$19:$V$379,MATCH(DR$142,'Mezz 2 Amortization'!$E$19:$E$379,0),MATCH('Mezz 2 Amortization'!$Q$19,'Mezz 2 Amortization'!$B$19:$V$19,0)),0),0)))</f>
        <v>0</v>
      </c>
      <c r="DS144" s="427">
        <f>-IF(OR('Financing Assumptions'!$T$8="No",DS$142&lt;='Financing Assumptions'!$T$26,DS$142&gt;'Mezz 2 Amortization'!$T$13),0,IF('Mezz 2 Amortization'!$T$4="Monthly",INDEX('Mezz 2 Amortization'!$B$19:$V$379,MATCH(DS$142,'Mezz 2 Amortization'!$E$19:$E$379,0),MATCH('Mezz 2 Amortization'!$Q$19,'Mezz 2 Amortization'!$B$19:$V$19,0)),IF('Mezz 2 Amortization'!$T$4="Bi-Annual",IF(OR('Mezz 2 Amortization'!$R$4=DS$5,'Mezz 2 Amortization'!$S$4=DS$5),INDEX('Mezz 2 Amortization'!$B$19:$V$379,MATCH(DS$142,'Mezz 2 Amortization'!$E$19:$E$379,0),MATCH('Mezz 2 Amortization'!$Q$19,'Mezz 2 Amortization'!$B$19:$V$19,0)),0),0)))</f>
        <v>0</v>
      </c>
      <c r="DT144" s="427">
        <f>-IF(OR('Financing Assumptions'!$T$8="No",DT$142&lt;='Financing Assumptions'!$T$26,DT$142&gt;'Mezz 2 Amortization'!$T$13),0,IF('Mezz 2 Amortization'!$T$4="Monthly",INDEX('Mezz 2 Amortization'!$B$19:$V$379,MATCH(DT$142,'Mezz 2 Amortization'!$E$19:$E$379,0),MATCH('Mezz 2 Amortization'!$Q$19,'Mezz 2 Amortization'!$B$19:$V$19,0)),IF('Mezz 2 Amortization'!$T$4="Bi-Annual",IF(OR('Mezz 2 Amortization'!$R$4=DT$5,'Mezz 2 Amortization'!$S$4=DT$5),INDEX('Mezz 2 Amortization'!$B$19:$V$379,MATCH(DT$142,'Mezz 2 Amortization'!$E$19:$E$379,0),MATCH('Mezz 2 Amortization'!$Q$19,'Mezz 2 Amortization'!$B$19:$V$19,0)),0),0)))</f>
        <v>0</v>
      </c>
      <c r="DU144" s="427">
        <f>-IF(OR('Financing Assumptions'!$T$8="No",DU$142&lt;='Financing Assumptions'!$T$26,DU$142&gt;'Mezz 2 Amortization'!$T$13),0,IF('Mezz 2 Amortization'!$T$4="Monthly",INDEX('Mezz 2 Amortization'!$B$19:$V$379,MATCH(DU$142,'Mezz 2 Amortization'!$E$19:$E$379,0),MATCH('Mezz 2 Amortization'!$Q$19,'Mezz 2 Amortization'!$B$19:$V$19,0)),IF('Mezz 2 Amortization'!$T$4="Bi-Annual",IF(OR('Mezz 2 Amortization'!$R$4=DU$5,'Mezz 2 Amortization'!$S$4=DU$5),INDEX('Mezz 2 Amortization'!$B$19:$V$379,MATCH(DU$142,'Mezz 2 Amortization'!$E$19:$E$379,0),MATCH('Mezz 2 Amortization'!$Q$19,'Mezz 2 Amortization'!$B$19:$V$19,0)),0),0)))</f>
        <v>0</v>
      </c>
      <c r="DV144" s="427">
        <f>-IF(OR('Financing Assumptions'!$T$8="No",DV$142&lt;='Financing Assumptions'!$T$26,DV$142&gt;'Mezz 2 Amortization'!$T$13),0,IF('Mezz 2 Amortization'!$T$4="Monthly",INDEX('Mezz 2 Amortization'!$B$19:$V$379,MATCH(DV$142,'Mezz 2 Amortization'!$E$19:$E$379,0),MATCH('Mezz 2 Amortization'!$Q$19,'Mezz 2 Amortization'!$B$19:$V$19,0)),IF('Mezz 2 Amortization'!$T$4="Bi-Annual",IF(OR('Mezz 2 Amortization'!$R$4=DV$5,'Mezz 2 Amortization'!$S$4=DV$5),INDEX('Mezz 2 Amortization'!$B$19:$V$379,MATCH(DV$142,'Mezz 2 Amortization'!$E$19:$E$379,0),MATCH('Mezz 2 Amortization'!$Q$19,'Mezz 2 Amortization'!$B$19:$V$19,0)),0),0)))</f>
        <v>0</v>
      </c>
      <c r="DW144" s="427">
        <f>-IF(OR('Financing Assumptions'!$T$8="No",DW$142&lt;='Financing Assumptions'!$T$26,DW$142&gt;'Mezz 2 Amortization'!$T$13),0,IF('Mezz 2 Amortization'!$T$4="Monthly",INDEX('Mezz 2 Amortization'!$B$19:$V$379,MATCH(DW$142,'Mezz 2 Amortization'!$E$19:$E$379,0),MATCH('Mezz 2 Amortization'!$Q$19,'Mezz 2 Amortization'!$B$19:$V$19,0)),IF('Mezz 2 Amortization'!$T$4="Bi-Annual",IF(OR('Mezz 2 Amortization'!$R$4=DW$5,'Mezz 2 Amortization'!$S$4=DW$5),INDEX('Mezz 2 Amortization'!$B$19:$V$379,MATCH(DW$142,'Mezz 2 Amortization'!$E$19:$E$379,0),MATCH('Mezz 2 Amortization'!$Q$19,'Mezz 2 Amortization'!$B$19:$V$19,0)),0),0)))</f>
        <v>0</v>
      </c>
      <c r="DX144" s="427">
        <f>-IF(OR('Financing Assumptions'!$T$8="No",DX$142&lt;='Financing Assumptions'!$T$26,DX$142&gt;'Mezz 2 Amortization'!$T$13),0,IF('Mezz 2 Amortization'!$T$4="Monthly",INDEX('Mezz 2 Amortization'!$B$19:$V$379,MATCH(DX$142,'Mezz 2 Amortization'!$E$19:$E$379,0),MATCH('Mezz 2 Amortization'!$Q$19,'Mezz 2 Amortization'!$B$19:$V$19,0)),IF('Mezz 2 Amortization'!$T$4="Bi-Annual",IF(OR('Mezz 2 Amortization'!$R$4=DX$5,'Mezz 2 Amortization'!$S$4=DX$5),INDEX('Mezz 2 Amortization'!$B$19:$V$379,MATCH(DX$142,'Mezz 2 Amortization'!$E$19:$E$379,0),MATCH('Mezz 2 Amortization'!$Q$19,'Mezz 2 Amortization'!$B$19:$V$19,0)),0),0)))</f>
        <v>0</v>
      </c>
      <c r="DY144" s="427">
        <f>-IF(OR('Financing Assumptions'!$T$8="No",DY$142&lt;='Financing Assumptions'!$T$26,DY$142&gt;'Mezz 2 Amortization'!$T$13),0,IF('Mezz 2 Amortization'!$T$4="Monthly",INDEX('Mezz 2 Amortization'!$B$19:$V$379,MATCH(DY$142,'Mezz 2 Amortization'!$E$19:$E$379,0),MATCH('Mezz 2 Amortization'!$Q$19,'Mezz 2 Amortization'!$B$19:$V$19,0)),IF('Mezz 2 Amortization'!$T$4="Bi-Annual",IF(OR('Mezz 2 Amortization'!$R$4=DY$5,'Mezz 2 Amortization'!$S$4=DY$5),INDEX('Mezz 2 Amortization'!$B$19:$V$379,MATCH(DY$142,'Mezz 2 Amortization'!$E$19:$E$379,0),MATCH('Mezz 2 Amortization'!$Q$19,'Mezz 2 Amortization'!$B$19:$V$19,0)),0),0)))</f>
        <v>0</v>
      </c>
      <c r="DZ144" s="427">
        <f>-IF(OR('Financing Assumptions'!$T$8="No",DZ$142&lt;='Financing Assumptions'!$T$26,DZ$142&gt;'Mezz 2 Amortization'!$T$13),0,IF('Mezz 2 Amortization'!$T$4="Monthly",INDEX('Mezz 2 Amortization'!$B$19:$V$379,MATCH(DZ$142,'Mezz 2 Amortization'!$E$19:$E$379,0),MATCH('Mezz 2 Amortization'!$Q$19,'Mezz 2 Amortization'!$B$19:$V$19,0)),IF('Mezz 2 Amortization'!$T$4="Bi-Annual",IF(OR('Mezz 2 Amortization'!$R$4=DZ$5,'Mezz 2 Amortization'!$S$4=DZ$5),INDEX('Mezz 2 Amortization'!$B$19:$V$379,MATCH(DZ$142,'Mezz 2 Amortization'!$E$19:$E$379,0),MATCH('Mezz 2 Amortization'!$Q$19,'Mezz 2 Amortization'!$B$19:$V$19,0)),0),0)))</f>
        <v>0</v>
      </c>
      <c r="EA144" s="427">
        <f>-IF(OR('Financing Assumptions'!$T$8="No",EA$142&lt;='Financing Assumptions'!$T$26,EA$142&gt;'Mezz 2 Amortization'!$T$13),0,IF('Mezz 2 Amortization'!$T$4="Monthly",INDEX('Mezz 2 Amortization'!$B$19:$V$379,MATCH(EA$142,'Mezz 2 Amortization'!$E$19:$E$379,0),MATCH('Mezz 2 Amortization'!$Q$19,'Mezz 2 Amortization'!$B$19:$V$19,0)),IF('Mezz 2 Amortization'!$T$4="Bi-Annual",IF(OR('Mezz 2 Amortization'!$R$4=EA$5,'Mezz 2 Amortization'!$S$4=EA$5),INDEX('Mezz 2 Amortization'!$B$19:$V$379,MATCH(EA$142,'Mezz 2 Amortization'!$E$19:$E$379,0),MATCH('Mezz 2 Amortization'!$Q$19,'Mezz 2 Amortization'!$B$19:$V$19,0)),0),0)))</f>
        <v>0</v>
      </c>
      <c r="EB144" s="427">
        <f>-IF(OR('Financing Assumptions'!$T$8="No",EB$142&lt;='Financing Assumptions'!$T$26,EB$142&gt;'Mezz 2 Amortization'!$T$13),0,IF('Mezz 2 Amortization'!$T$4="Monthly",INDEX('Mezz 2 Amortization'!$B$19:$V$379,MATCH(EB$142,'Mezz 2 Amortization'!$E$19:$E$379,0),MATCH('Mezz 2 Amortization'!$Q$19,'Mezz 2 Amortization'!$B$19:$V$19,0)),IF('Mezz 2 Amortization'!$T$4="Bi-Annual",IF(OR('Mezz 2 Amortization'!$R$4=EB$5,'Mezz 2 Amortization'!$S$4=EB$5),INDEX('Mezz 2 Amortization'!$B$19:$V$379,MATCH(EB$142,'Mezz 2 Amortization'!$E$19:$E$379,0),MATCH('Mezz 2 Amortization'!$Q$19,'Mezz 2 Amortization'!$B$19:$V$19,0)),0),0)))</f>
        <v>0</v>
      </c>
      <c r="EC144" s="427">
        <f>-IF(OR('Financing Assumptions'!$T$8="No",EC$142&lt;='Financing Assumptions'!$T$26,EC$142&gt;'Mezz 2 Amortization'!$T$13),0,IF('Mezz 2 Amortization'!$T$4="Monthly",INDEX('Mezz 2 Amortization'!$B$19:$V$379,MATCH(EC$142,'Mezz 2 Amortization'!$E$19:$E$379,0),MATCH('Mezz 2 Amortization'!$Q$19,'Mezz 2 Amortization'!$B$19:$V$19,0)),IF('Mezz 2 Amortization'!$T$4="Bi-Annual",IF(OR('Mezz 2 Amortization'!$R$4=EC$5,'Mezz 2 Amortization'!$S$4=EC$5),INDEX('Mezz 2 Amortization'!$B$19:$V$379,MATCH(EC$142,'Mezz 2 Amortization'!$E$19:$E$379,0),MATCH('Mezz 2 Amortization'!$Q$19,'Mezz 2 Amortization'!$B$19:$V$19,0)),0),0)))</f>
        <v>0</v>
      </c>
      <c r="ED144" s="427">
        <f>-IF(OR('Financing Assumptions'!$T$8="No",ED$142&lt;='Financing Assumptions'!$T$26,ED$142&gt;'Mezz 2 Amortization'!$T$13),0,IF('Mezz 2 Amortization'!$T$4="Monthly",INDEX('Mezz 2 Amortization'!$B$19:$V$379,MATCH(ED$142,'Mezz 2 Amortization'!$E$19:$E$379,0),MATCH('Mezz 2 Amortization'!$Q$19,'Mezz 2 Amortization'!$B$19:$V$19,0)),IF('Mezz 2 Amortization'!$T$4="Bi-Annual",IF(OR('Mezz 2 Amortization'!$R$4=ED$5,'Mezz 2 Amortization'!$S$4=ED$5),INDEX('Mezz 2 Amortization'!$B$19:$V$379,MATCH(ED$142,'Mezz 2 Amortization'!$E$19:$E$379,0),MATCH('Mezz 2 Amortization'!$Q$19,'Mezz 2 Amortization'!$B$19:$V$19,0)),0),0)))</f>
        <v>0</v>
      </c>
      <c r="EE144" s="427">
        <f>-IF(OR('Financing Assumptions'!$T$8="No",EE$142&lt;='Financing Assumptions'!$T$26,EE$142&gt;'Mezz 2 Amortization'!$T$13),0,IF('Mezz 2 Amortization'!$T$4="Monthly",INDEX('Mezz 2 Amortization'!$B$19:$V$379,MATCH(EE$142,'Mezz 2 Amortization'!$E$19:$E$379,0),MATCH('Mezz 2 Amortization'!$Q$19,'Mezz 2 Amortization'!$B$19:$V$19,0)),IF('Mezz 2 Amortization'!$T$4="Bi-Annual",IF(OR('Mezz 2 Amortization'!$R$4=EE$5,'Mezz 2 Amortization'!$S$4=EE$5),INDEX('Mezz 2 Amortization'!$B$19:$V$379,MATCH(EE$142,'Mezz 2 Amortization'!$E$19:$E$379,0),MATCH('Mezz 2 Amortization'!$Q$19,'Mezz 2 Amortization'!$B$19:$V$19,0)),0),0)))</f>
        <v>0</v>
      </c>
      <c r="EF144" s="427">
        <f>-IF(OR('Financing Assumptions'!$T$8="No",EF$142&lt;='Financing Assumptions'!$T$26,EF$142&gt;'Mezz 2 Amortization'!$T$13),0,IF('Mezz 2 Amortization'!$T$4="Monthly",INDEX('Mezz 2 Amortization'!$B$19:$V$379,MATCH(EF$142,'Mezz 2 Amortization'!$E$19:$E$379,0),MATCH('Mezz 2 Amortization'!$Q$19,'Mezz 2 Amortization'!$B$19:$V$19,0)),IF('Mezz 2 Amortization'!$T$4="Bi-Annual",IF(OR('Mezz 2 Amortization'!$R$4=EF$5,'Mezz 2 Amortization'!$S$4=EF$5),INDEX('Mezz 2 Amortization'!$B$19:$V$379,MATCH(EF$142,'Mezz 2 Amortization'!$E$19:$E$379,0),MATCH('Mezz 2 Amortization'!$Q$19,'Mezz 2 Amortization'!$B$19:$V$19,0)),0),0)))</f>
        <v>0</v>
      </c>
      <c r="EG144" s="427">
        <f>-IF(OR('Financing Assumptions'!$T$8="No",EG$142&lt;='Financing Assumptions'!$T$26,EG$142&gt;'Mezz 2 Amortization'!$T$13),0,IF('Mezz 2 Amortization'!$T$4="Monthly",INDEX('Mezz 2 Amortization'!$B$19:$V$379,MATCH(EG$142,'Mezz 2 Amortization'!$E$19:$E$379,0),MATCH('Mezz 2 Amortization'!$Q$19,'Mezz 2 Amortization'!$B$19:$V$19,0)),IF('Mezz 2 Amortization'!$T$4="Bi-Annual",IF(OR('Mezz 2 Amortization'!$R$4=EG$5,'Mezz 2 Amortization'!$S$4=EG$5),INDEX('Mezz 2 Amortization'!$B$19:$V$379,MATCH(EG$142,'Mezz 2 Amortization'!$E$19:$E$379,0),MATCH('Mezz 2 Amortization'!$Q$19,'Mezz 2 Amortization'!$B$19:$V$19,0)),0),0)))</f>
        <v>0</v>
      </c>
      <c r="EH144" s="427">
        <f>-IF(OR('Financing Assumptions'!$T$8="No",EH$142&lt;='Financing Assumptions'!$T$26,EH$142&gt;'Mezz 2 Amortization'!$T$13),0,IF('Mezz 2 Amortization'!$T$4="Monthly",INDEX('Mezz 2 Amortization'!$B$19:$V$379,MATCH(EH$142,'Mezz 2 Amortization'!$E$19:$E$379,0),MATCH('Mezz 2 Amortization'!$Q$19,'Mezz 2 Amortization'!$B$19:$V$19,0)),IF('Mezz 2 Amortization'!$T$4="Bi-Annual",IF(OR('Mezz 2 Amortization'!$R$4=EH$5,'Mezz 2 Amortization'!$S$4=EH$5),INDEX('Mezz 2 Amortization'!$B$19:$V$379,MATCH(EH$142,'Mezz 2 Amortization'!$E$19:$E$379,0),MATCH('Mezz 2 Amortization'!$Q$19,'Mezz 2 Amortization'!$B$19:$V$19,0)),0),0)))</f>
        <v>0</v>
      </c>
      <c r="EI144" s="427">
        <f>-IF(OR('Financing Assumptions'!$T$8="No",EI$142&lt;='Financing Assumptions'!$T$26,EI$142&gt;'Mezz 2 Amortization'!$T$13),0,IF('Mezz 2 Amortization'!$T$4="Monthly",INDEX('Mezz 2 Amortization'!$B$19:$V$379,MATCH(EI$142,'Mezz 2 Amortization'!$E$19:$E$379,0),MATCH('Mezz 2 Amortization'!$Q$19,'Mezz 2 Amortization'!$B$19:$V$19,0)),IF('Mezz 2 Amortization'!$T$4="Bi-Annual",IF(OR('Mezz 2 Amortization'!$R$4=EI$5,'Mezz 2 Amortization'!$S$4=EI$5),INDEX('Mezz 2 Amortization'!$B$19:$V$379,MATCH(EI$142,'Mezz 2 Amortization'!$E$19:$E$379,0),MATCH('Mezz 2 Amortization'!$Q$19,'Mezz 2 Amortization'!$B$19:$V$19,0)),0),0)))</f>
        <v>0</v>
      </c>
      <c r="EJ144" s="427">
        <f>-IF(OR('Financing Assumptions'!$T$8="No",EJ$142&lt;='Financing Assumptions'!$T$26,EJ$142&gt;'Mezz 2 Amortization'!$T$13),0,IF('Mezz 2 Amortization'!$T$4="Monthly",INDEX('Mezz 2 Amortization'!$B$19:$V$379,MATCH(EJ$142,'Mezz 2 Amortization'!$E$19:$E$379,0),MATCH('Mezz 2 Amortization'!$Q$19,'Mezz 2 Amortization'!$B$19:$V$19,0)),IF('Mezz 2 Amortization'!$T$4="Bi-Annual",IF(OR('Mezz 2 Amortization'!$R$4=EJ$5,'Mezz 2 Amortization'!$S$4=EJ$5),INDEX('Mezz 2 Amortization'!$B$19:$V$379,MATCH(EJ$142,'Mezz 2 Amortization'!$E$19:$E$379,0),MATCH('Mezz 2 Amortization'!$Q$19,'Mezz 2 Amortization'!$B$19:$V$19,0)),0),0)))</f>
        <v>0</v>
      </c>
      <c r="EK144" s="427">
        <f>-IF(OR('Financing Assumptions'!$T$8="No",EK$142&lt;='Financing Assumptions'!$T$26,EK$142&gt;'Mezz 2 Amortization'!$T$13),0,IF('Mezz 2 Amortization'!$T$4="Monthly",INDEX('Mezz 2 Amortization'!$B$19:$V$379,MATCH(EK$142,'Mezz 2 Amortization'!$E$19:$E$379,0),MATCH('Mezz 2 Amortization'!$Q$19,'Mezz 2 Amortization'!$B$19:$V$19,0)),IF('Mezz 2 Amortization'!$T$4="Bi-Annual",IF(OR('Mezz 2 Amortization'!$R$4=EK$5,'Mezz 2 Amortization'!$S$4=EK$5),INDEX('Mezz 2 Amortization'!$B$19:$V$379,MATCH(EK$142,'Mezz 2 Amortization'!$E$19:$E$379,0),MATCH('Mezz 2 Amortization'!$Q$19,'Mezz 2 Amortization'!$B$19:$V$19,0)),0),0)))</f>
        <v>0</v>
      </c>
      <c r="EL144" s="427">
        <f>-IF(OR('Financing Assumptions'!$T$8="No",EL$142&lt;='Financing Assumptions'!$T$26,EL$142&gt;'Mezz 2 Amortization'!$T$13),0,IF('Mezz 2 Amortization'!$T$4="Monthly",INDEX('Mezz 2 Amortization'!$B$19:$V$379,MATCH(EL$142,'Mezz 2 Amortization'!$E$19:$E$379,0),MATCH('Mezz 2 Amortization'!$Q$19,'Mezz 2 Amortization'!$B$19:$V$19,0)),IF('Mezz 2 Amortization'!$T$4="Bi-Annual",IF(OR('Mezz 2 Amortization'!$R$4=EL$5,'Mezz 2 Amortization'!$S$4=EL$5),INDEX('Mezz 2 Amortization'!$B$19:$V$379,MATCH(EL$142,'Mezz 2 Amortization'!$E$19:$E$379,0),MATCH('Mezz 2 Amortization'!$Q$19,'Mezz 2 Amortization'!$B$19:$V$19,0)),0),0)))</f>
        <v>0</v>
      </c>
      <c r="EM144" s="427">
        <f>-IF(OR('Financing Assumptions'!$T$8="No",EM$142&lt;='Financing Assumptions'!$T$26,EM$142&gt;'Mezz 2 Amortization'!$T$13),0,IF('Mezz 2 Amortization'!$T$4="Monthly",INDEX('Mezz 2 Amortization'!$B$19:$V$379,MATCH(EM$142,'Mezz 2 Amortization'!$E$19:$E$379,0),MATCH('Mezz 2 Amortization'!$Q$19,'Mezz 2 Amortization'!$B$19:$V$19,0)),IF('Mezz 2 Amortization'!$T$4="Bi-Annual",IF(OR('Mezz 2 Amortization'!$R$4=EM$5,'Mezz 2 Amortization'!$S$4=EM$5),INDEX('Mezz 2 Amortization'!$B$19:$V$379,MATCH(EM$142,'Mezz 2 Amortization'!$E$19:$E$379,0),MATCH('Mezz 2 Amortization'!$Q$19,'Mezz 2 Amortization'!$B$19:$V$19,0)),0),0)))</f>
        <v>0</v>
      </c>
      <c r="EN144" s="427">
        <f>-IF(OR('Financing Assumptions'!$T$8="No",EN$142&lt;='Financing Assumptions'!$T$26,EN$142&gt;'Mezz 2 Amortization'!$T$13),0,IF('Mezz 2 Amortization'!$T$4="Monthly",INDEX('Mezz 2 Amortization'!$B$19:$V$379,MATCH(EN$142,'Mezz 2 Amortization'!$E$19:$E$379,0),MATCH('Mezz 2 Amortization'!$Q$19,'Mezz 2 Amortization'!$B$19:$V$19,0)),IF('Mezz 2 Amortization'!$T$4="Bi-Annual",IF(OR('Mezz 2 Amortization'!$R$4=EN$5,'Mezz 2 Amortization'!$S$4=EN$5),INDEX('Mezz 2 Amortization'!$B$19:$V$379,MATCH(EN$142,'Mezz 2 Amortization'!$E$19:$E$379,0),MATCH('Mezz 2 Amortization'!$Q$19,'Mezz 2 Amortization'!$B$19:$V$19,0)),0),0)))</f>
        <v>0</v>
      </c>
      <c r="EO144" s="427">
        <f>-IF(OR('Financing Assumptions'!$T$8="No",EO$142&lt;='Financing Assumptions'!$T$26,EO$142&gt;'Mezz 2 Amortization'!$T$13),0,IF('Mezz 2 Amortization'!$T$4="Monthly",INDEX('Mezz 2 Amortization'!$B$19:$V$379,MATCH(EO$142,'Mezz 2 Amortization'!$E$19:$E$379,0),MATCH('Mezz 2 Amortization'!$Q$19,'Mezz 2 Amortization'!$B$19:$V$19,0)),IF('Mezz 2 Amortization'!$T$4="Bi-Annual",IF(OR('Mezz 2 Amortization'!$R$4=EO$5,'Mezz 2 Amortization'!$S$4=EO$5),INDEX('Mezz 2 Amortization'!$B$19:$V$379,MATCH(EO$142,'Mezz 2 Amortization'!$E$19:$E$379,0),MATCH('Mezz 2 Amortization'!$Q$19,'Mezz 2 Amortization'!$B$19:$V$19,0)),0),0)))</f>
        <v>0</v>
      </c>
      <c r="EP144" s="427">
        <f>-IF(OR('Financing Assumptions'!$T$8="No",EP$142&lt;='Financing Assumptions'!$T$26,EP$142&gt;'Mezz 2 Amortization'!$T$13),0,IF('Mezz 2 Amortization'!$T$4="Monthly",INDEX('Mezz 2 Amortization'!$B$19:$V$379,MATCH(EP$142,'Mezz 2 Amortization'!$E$19:$E$379,0),MATCH('Mezz 2 Amortization'!$Q$19,'Mezz 2 Amortization'!$B$19:$V$19,0)),IF('Mezz 2 Amortization'!$T$4="Bi-Annual",IF(OR('Mezz 2 Amortization'!$R$4=EP$5,'Mezz 2 Amortization'!$S$4=EP$5),INDEX('Mezz 2 Amortization'!$B$19:$V$379,MATCH(EP$142,'Mezz 2 Amortization'!$E$19:$E$379,0),MATCH('Mezz 2 Amortization'!$Q$19,'Mezz 2 Amortization'!$B$19:$V$19,0)),0),0)))</f>
        <v>0</v>
      </c>
      <c r="EQ144" s="427">
        <f>-IF(OR('Financing Assumptions'!$T$8="No",EQ$142&lt;='Financing Assumptions'!$T$26,EQ$142&gt;'Mezz 2 Amortization'!$T$13),0,IF('Mezz 2 Amortization'!$T$4="Monthly",INDEX('Mezz 2 Amortization'!$B$19:$V$379,MATCH(EQ$142,'Mezz 2 Amortization'!$E$19:$E$379,0),MATCH('Mezz 2 Amortization'!$Q$19,'Mezz 2 Amortization'!$B$19:$V$19,0)),IF('Mezz 2 Amortization'!$T$4="Bi-Annual",IF(OR('Mezz 2 Amortization'!$R$4=EQ$5,'Mezz 2 Amortization'!$S$4=EQ$5),INDEX('Mezz 2 Amortization'!$B$19:$V$379,MATCH(EQ$142,'Mezz 2 Amortization'!$E$19:$E$379,0),MATCH('Mezz 2 Amortization'!$Q$19,'Mezz 2 Amortization'!$B$19:$V$19,0)),0),0)))</f>
        <v>0</v>
      </c>
      <c r="ER144" s="427">
        <f>-IF(OR('Financing Assumptions'!$T$8="No",ER$142&lt;='Financing Assumptions'!$T$26,ER$142&gt;'Mezz 2 Amortization'!$T$13),0,IF('Mezz 2 Amortization'!$T$4="Monthly",INDEX('Mezz 2 Amortization'!$B$19:$V$379,MATCH(ER$142,'Mezz 2 Amortization'!$E$19:$E$379,0),MATCH('Mezz 2 Amortization'!$Q$19,'Mezz 2 Amortization'!$B$19:$V$19,0)),IF('Mezz 2 Amortization'!$T$4="Bi-Annual",IF(OR('Mezz 2 Amortization'!$R$4=ER$5,'Mezz 2 Amortization'!$S$4=ER$5),INDEX('Mezz 2 Amortization'!$B$19:$V$379,MATCH(ER$142,'Mezz 2 Amortization'!$E$19:$E$379,0),MATCH('Mezz 2 Amortization'!$Q$19,'Mezz 2 Amortization'!$B$19:$V$19,0)),0),0)))</f>
        <v>0</v>
      </c>
      <c r="ES144" s="427">
        <f>-IF(OR('Financing Assumptions'!$T$8="No",ES$142&lt;='Financing Assumptions'!$T$26,ES$142&gt;'Mezz 2 Amortization'!$T$13),0,IF('Mezz 2 Amortization'!$T$4="Monthly",INDEX('Mezz 2 Amortization'!$B$19:$V$379,MATCH(ES$142,'Mezz 2 Amortization'!$E$19:$E$379,0),MATCH('Mezz 2 Amortization'!$Q$19,'Mezz 2 Amortization'!$B$19:$V$19,0)),IF('Mezz 2 Amortization'!$T$4="Bi-Annual",IF(OR('Mezz 2 Amortization'!$R$4=ES$5,'Mezz 2 Amortization'!$S$4=ES$5),INDEX('Mezz 2 Amortization'!$B$19:$V$379,MATCH(ES$142,'Mezz 2 Amortization'!$E$19:$E$379,0),MATCH('Mezz 2 Amortization'!$Q$19,'Mezz 2 Amortization'!$B$19:$V$19,0)),0),0)))</f>
        <v>0</v>
      </c>
      <c r="ET144" s="427">
        <f>-IF(OR('Financing Assumptions'!$T$8="No",ET$142&lt;='Financing Assumptions'!$T$26,ET$142&gt;'Mezz 2 Amortization'!$T$13),0,IF('Mezz 2 Amortization'!$T$4="Monthly",INDEX('Mezz 2 Amortization'!$B$19:$V$379,MATCH(ET$142,'Mezz 2 Amortization'!$E$19:$E$379,0),MATCH('Mezz 2 Amortization'!$Q$19,'Mezz 2 Amortization'!$B$19:$V$19,0)),IF('Mezz 2 Amortization'!$T$4="Bi-Annual",IF(OR('Mezz 2 Amortization'!$R$4=ET$5,'Mezz 2 Amortization'!$S$4=ET$5),INDEX('Mezz 2 Amortization'!$B$19:$V$379,MATCH(ET$142,'Mezz 2 Amortization'!$E$19:$E$379,0),MATCH('Mezz 2 Amortization'!$Q$19,'Mezz 2 Amortization'!$B$19:$V$19,0)),0),0)))</f>
        <v>0</v>
      </c>
      <c r="EU144" s="427">
        <f>-IF(OR('Financing Assumptions'!$T$8="No",EU$142&lt;='Financing Assumptions'!$T$26,EU$142&gt;'Mezz 2 Amortization'!$T$13),0,IF('Mezz 2 Amortization'!$T$4="Monthly",INDEX('Mezz 2 Amortization'!$B$19:$V$379,MATCH(EU$142,'Mezz 2 Amortization'!$E$19:$E$379,0),MATCH('Mezz 2 Amortization'!$Q$19,'Mezz 2 Amortization'!$B$19:$V$19,0)),IF('Mezz 2 Amortization'!$T$4="Bi-Annual",IF(OR('Mezz 2 Amortization'!$R$4=EU$5,'Mezz 2 Amortization'!$S$4=EU$5),INDEX('Mezz 2 Amortization'!$B$19:$V$379,MATCH(EU$142,'Mezz 2 Amortization'!$E$19:$E$379,0),MATCH('Mezz 2 Amortization'!$Q$19,'Mezz 2 Amortization'!$B$19:$V$19,0)),0),0)))</f>
        <v>0</v>
      </c>
      <c r="EV144" s="427">
        <f>-IF(OR('Financing Assumptions'!$T$8="No",EV$142&lt;='Financing Assumptions'!$T$26,EV$142&gt;'Mezz 2 Amortization'!$T$13),0,IF('Mezz 2 Amortization'!$T$4="Monthly",INDEX('Mezz 2 Amortization'!$B$19:$V$379,MATCH(EV$142,'Mezz 2 Amortization'!$E$19:$E$379,0),MATCH('Mezz 2 Amortization'!$Q$19,'Mezz 2 Amortization'!$B$19:$V$19,0)),IF('Mezz 2 Amortization'!$T$4="Bi-Annual",IF(OR('Mezz 2 Amortization'!$R$4=EV$5,'Mezz 2 Amortization'!$S$4=EV$5),INDEX('Mezz 2 Amortization'!$B$19:$V$379,MATCH(EV$142,'Mezz 2 Amortization'!$E$19:$E$379,0),MATCH('Mezz 2 Amortization'!$Q$19,'Mezz 2 Amortization'!$B$19:$V$19,0)),0),0)))</f>
        <v>0</v>
      </c>
      <c r="EW144" s="427">
        <f>-IF(OR('Financing Assumptions'!$T$8="No",EW$142&lt;='Financing Assumptions'!$T$26,EW$142&gt;'Mezz 2 Amortization'!$T$13),0,IF('Mezz 2 Amortization'!$T$4="Monthly",INDEX('Mezz 2 Amortization'!$B$19:$V$379,MATCH(EW$142,'Mezz 2 Amortization'!$E$19:$E$379,0),MATCH('Mezz 2 Amortization'!$Q$19,'Mezz 2 Amortization'!$B$19:$V$19,0)),IF('Mezz 2 Amortization'!$T$4="Bi-Annual",IF(OR('Mezz 2 Amortization'!$R$4=EW$5,'Mezz 2 Amortization'!$S$4=EW$5),INDEX('Mezz 2 Amortization'!$B$19:$V$379,MATCH(EW$142,'Mezz 2 Amortization'!$E$19:$E$379,0),MATCH('Mezz 2 Amortization'!$Q$19,'Mezz 2 Amortization'!$B$19:$V$19,0)),0),0)))</f>
        <v>0</v>
      </c>
      <c r="EX144" s="427">
        <f>-IF(OR('Financing Assumptions'!$T$8="No",EX$142&lt;='Financing Assumptions'!$T$26,EX$142&gt;'Mezz 2 Amortization'!$T$13),0,IF('Mezz 2 Amortization'!$T$4="Monthly",INDEX('Mezz 2 Amortization'!$B$19:$V$379,MATCH(EX$142,'Mezz 2 Amortization'!$E$19:$E$379,0),MATCH('Mezz 2 Amortization'!$Q$19,'Mezz 2 Amortization'!$B$19:$V$19,0)),IF('Mezz 2 Amortization'!$T$4="Bi-Annual",IF(OR('Mezz 2 Amortization'!$R$4=EX$5,'Mezz 2 Amortization'!$S$4=EX$5),INDEX('Mezz 2 Amortization'!$B$19:$V$379,MATCH(EX$142,'Mezz 2 Amortization'!$E$19:$E$379,0),MATCH('Mezz 2 Amortization'!$Q$19,'Mezz 2 Amortization'!$B$19:$V$19,0)),0),0)))</f>
        <v>0</v>
      </c>
      <c r="EY144" s="427">
        <f>-IF(OR('Financing Assumptions'!$T$8="No",EY$142&lt;='Financing Assumptions'!$T$26,EY$142&gt;'Mezz 2 Amortization'!$T$13),0,IF('Mezz 2 Amortization'!$T$4="Monthly",INDEX('Mezz 2 Amortization'!$B$19:$V$379,MATCH(EY$142,'Mezz 2 Amortization'!$E$19:$E$379,0),MATCH('Mezz 2 Amortization'!$Q$19,'Mezz 2 Amortization'!$B$19:$V$19,0)),IF('Mezz 2 Amortization'!$T$4="Bi-Annual",IF(OR('Mezz 2 Amortization'!$R$4=EY$5,'Mezz 2 Amortization'!$S$4=EY$5),INDEX('Mezz 2 Amortization'!$B$19:$V$379,MATCH(EY$142,'Mezz 2 Amortization'!$E$19:$E$379,0),MATCH('Mezz 2 Amortization'!$Q$19,'Mezz 2 Amortization'!$B$19:$V$19,0)),0),0)))</f>
        <v>0</v>
      </c>
      <c r="EZ144" s="427">
        <f>-IF(OR('Financing Assumptions'!$T$8="No",EZ$142&lt;='Financing Assumptions'!$T$26,EZ$142&gt;'Mezz 2 Amortization'!$T$13),0,IF('Mezz 2 Amortization'!$T$4="Monthly",INDEX('Mezz 2 Amortization'!$B$19:$V$379,MATCH(EZ$142,'Mezz 2 Amortization'!$E$19:$E$379,0),MATCH('Mezz 2 Amortization'!$Q$19,'Mezz 2 Amortization'!$B$19:$V$19,0)),IF('Mezz 2 Amortization'!$T$4="Bi-Annual",IF(OR('Mezz 2 Amortization'!$R$4=EZ$5,'Mezz 2 Amortization'!$S$4=EZ$5),INDEX('Mezz 2 Amortization'!$B$19:$V$379,MATCH(EZ$142,'Mezz 2 Amortization'!$E$19:$E$379,0),MATCH('Mezz 2 Amortization'!$Q$19,'Mezz 2 Amortization'!$B$19:$V$19,0)),0),0)))</f>
        <v>0</v>
      </c>
      <c r="FA144" s="427">
        <f>-IF(OR('Financing Assumptions'!$T$8="No",FA$142&lt;='Financing Assumptions'!$T$26,FA$142&gt;'Mezz 2 Amortization'!$T$13),0,IF('Mezz 2 Amortization'!$T$4="Monthly",INDEX('Mezz 2 Amortization'!$B$19:$V$379,MATCH(FA$142,'Mezz 2 Amortization'!$E$19:$E$379,0),MATCH('Mezz 2 Amortization'!$Q$19,'Mezz 2 Amortization'!$B$19:$V$19,0)),IF('Mezz 2 Amortization'!$T$4="Bi-Annual",IF(OR('Mezz 2 Amortization'!$R$4=FA$5,'Mezz 2 Amortization'!$S$4=FA$5),INDEX('Mezz 2 Amortization'!$B$19:$V$379,MATCH(FA$142,'Mezz 2 Amortization'!$E$19:$E$379,0),MATCH('Mezz 2 Amortization'!$Q$19,'Mezz 2 Amortization'!$B$19:$V$19,0)),0),0)))</f>
        <v>0</v>
      </c>
      <c r="FB144" s="427">
        <f>-IF(OR('Financing Assumptions'!$T$8="No",FB$142&lt;='Financing Assumptions'!$T$26,FB$142&gt;'Mezz 2 Amortization'!$T$13),0,IF('Mezz 2 Amortization'!$T$4="Monthly",INDEX('Mezz 2 Amortization'!$B$19:$V$379,MATCH(FB$142,'Mezz 2 Amortization'!$E$19:$E$379,0),MATCH('Mezz 2 Amortization'!$Q$19,'Mezz 2 Amortization'!$B$19:$V$19,0)),IF('Mezz 2 Amortization'!$T$4="Bi-Annual",IF(OR('Mezz 2 Amortization'!$R$4=FB$5,'Mezz 2 Amortization'!$S$4=FB$5),INDEX('Mezz 2 Amortization'!$B$19:$V$379,MATCH(FB$142,'Mezz 2 Amortization'!$E$19:$E$379,0),MATCH('Mezz 2 Amortization'!$Q$19,'Mezz 2 Amortization'!$B$19:$V$19,0)),0),0)))</f>
        <v>0</v>
      </c>
      <c r="FC144" s="427">
        <f>-IF(OR('Financing Assumptions'!$T$8="No",FC$142&lt;='Financing Assumptions'!$T$26,FC$142&gt;'Mezz 2 Amortization'!$T$13),0,IF('Mezz 2 Amortization'!$T$4="Monthly",INDEX('Mezz 2 Amortization'!$B$19:$V$379,MATCH(FC$142,'Mezz 2 Amortization'!$E$19:$E$379,0),MATCH('Mezz 2 Amortization'!$Q$19,'Mezz 2 Amortization'!$B$19:$V$19,0)),IF('Mezz 2 Amortization'!$T$4="Bi-Annual",IF(OR('Mezz 2 Amortization'!$R$4=FC$5,'Mezz 2 Amortization'!$S$4=FC$5),INDEX('Mezz 2 Amortization'!$B$19:$V$379,MATCH(FC$142,'Mezz 2 Amortization'!$E$19:$E$379,0),MATCH('Mezz 2 Amortization'!$Q$19,'Mezz 2 Amortization'!$B$19:$V$19,0)),0),0)))</f>
        <v>0</v>
      </c>
      <c r="FD144" s="427">
        <f>-IF(OR('Financing Assumptions'!$T$8="No",FD$142&lt;='Financing Assumptions'!$T$26,FD$142&gt;'Mezz 2 Amortization'!$T$13),0,IF('Mezz 2 Amortization'!$T$4="Monthly",INDEX('Mezz 2 Amortization'!$B$19:$V$379,MATCH(FD$142,'Mezz 2 Amortization'!$E$19:$E$379,0),MATCH('Mezz 2 Amortization'!$Q$19,'Mezz 2 Amortization'!$B$19:$V$19,0)),IF('Mezz 2 Amortization'!$T$4="Bi-Annual",IF(OR('Mezz 2 Amortization'!$R$4=FD$5,'Mezz 2 Amortization'!$S$4=FD$5),INDEX('Mezz 2 Amortization'!$B$19:$V$379,MATCH(FD$142,'Mezz 2 Amortization'!$E$19:$E$379,0),MATCH('Mezz 2 Amortization'!$Q$19,'Mezz 2 Amortization'!$B$19:$V$19,0)),0),0)))</f>
        <v>0</v>
      </c>
      <c r="FE144" s="427">
        <f>-IF(OR('Financing Assumptions'!$T$8="No",FE$142&lt;='Financing Assumptions'!$T$26,FE$142&gt;'Mezz 2 Amortization'!$T$13),0,IF('Mezz 2 Amortization'!$T$4="Monthly",INDEX('Mezz 2 Amortization'!$B$19:$V$379,MATCH(FE$142,'Mezz 2 Amortization'!$E$19:$E$379,0),MATCH('Mezz 2 Amortization'!$Q$19,'Mezz 2 Amortization'!$B$19:$V$19,0)),IF('Mezz 2 Amortization'!$T$4="Bi-Annual",IF(OR('Mezz 2 Amortization'!$R$4=FE$5,'Mezz 2 Amortization'!$S$4=FE$5),INDEX('Mezz 2 Amortization'!$B$19:$V$379,MATCH(FE$142,'Mezz 2 Amortization'!$E$19:$E$379,0),MATCH('Mezz 2 Amortization'!$Q$19,'Mezz 2 Amortization'!$B$19:$V$19,0)),0),0)))</f>
        <v>0</v>
      </c>
      <c r="FF144" s="427">
        <f>-IF(OR('Financing Assumptions'!$T$8="No",FF$142&lt;='Financing Assumptions'!$T$26,FF$142&gt;'Mezz 2 Amortization'!$T$13),0,IF('Mezz 2 Amortization'!$T$4="Monthly",INDEX('Mezz 2 Amortization'!$B$19:$V$379,MATCH(FF$142,'Mezz 2 Amortization'!$E$19:$E$379,0),MATCH('Mezz 2 Amortization'!$Q$19,'Mezz 2 Amortization'!$B$19:$V$19,0)),IF('Mezz 2 Amortization'!$T$4="Bi-Annual",IF(OR('Mezz 2 Amortization'!$R$4=FF$5,'Mezz 2 Amortization'!$S$4=FF$5),INDEX('Mezz 2 Amortization'!$B$19:$V$379,MATCH(FF$142,'Mezz 2 Amortization'!$E$19:$E$379,0),MATCH('Mezz 2 Amortization'!$Q$19,'Mezz 2 Amortization'!$B$19:$V$19,0)),0),0)))</f>
        <v>0</v>
      </c>
      <c r="FG144" s="427">
        <f>-IF(OR('Financing Assumptions'!$T$8="No",FG$142&lt;='Financing Assumptions'!$T$26,FG$142&gt;'Mezz 2 Amortization'!$T$13),0,IF('Mezz 2 Amortization'!$T$4="Monthly",INDEX('Mezz 2 Amortization'!$B$19:$V$379,MATCH(FG$142,'Mezz 2 Amortization'!$E$19:$E$379,0),MATCH('Mezz 2 Amortization'!$Q$19,'Mezz 2 Amortization'!$B$19:$V$19,0)),IF('Mezz 2 Amortization'!$T$4="Bi-Annual",IF(OR('Mezz 2 Amortization'!$R$4=FG$5,'Mezz 2 Amortization'!$S$4=FG$5),INDEX('Mezz 2 Amortization'!$B$19:$V$379,MATCH(FG$142,'Mezz 2 Amortization'!$E$19:$E$379,0),MATCH('Mezz 2 Amortization'!$Q$19,'Mezz 2 Amortization'!$B$19:$V$19,0)),0),0)))</f>
        <v>0</v>
      </c>
      <c r="FH144" s="427">
        <f>-IF(OR('Financing Assumptions'!$T$8="No",FH$142&lt;='Financing Assumptions'!$T$26,FH$142&gt;'Mezz 2 Amortization'!$T$13),0,IF('Mezz 2 Amortization'!$T$4="Monthly",INDEX('Mezz 2 Amortization'!$B$19:$V$379,MATCH(FH$142,'Mezz 2 Amortization'!$E$19:$E$379,0),MATCH('Mezz 2 Amortization'!$Q$19,'Mezz 2 Amortization'!$B$19:$V$19,0)),IF('Mezz 2 Amortization'!$T$4="Bi-Annual",IF(OR('Mezz 2 Amortization'!$R$4=FH$5,'Mezz 2 Amortization'!$S$4=FH$5),INDEX('Mezz 2 Amortization'!$B$19:$V$379,MATCH(FH$142,'Mezz 2 Amortization'!$E$19:$E$379,0),MATCH('Mezz 2 Amortization'!$Q$19,'Mezz 2 Amortization'!$B$19:$V$19,0)),0),0)))</f>
        <v>0</v>
      </c>
      <c r="FI144" s="427">
        <f>-IF(OR('Financing Assumptions'!$T$8="No",FI$142&lt;='Financing Assumptions'!$T$26,FI$142&gt;'Mezz 2 Amortization'!$T$13),0,IF('Mezz 2 Amortization'!$T$4="Monthly",INDEX('Mezz 2 Amortization'!$B$19:$V$379,MATCH(FI$142,'Mezz 2 Amortization'!$E$19:$E$379,0),MATCH('Mezz 2 Amortization'!$Q$19,'Mezz 2 Amortization'!$B$19:$V$19,0)),IF('Mezz 2 Amortization'!$T$4="Bi-Annual",IF(OR('Mezz 2 Amortization'!$R$4=FI$5,'Mezz 2 Amortization'!$S$4=FI$5),INDEX('Mezz 2 Amortization'!$B$19:$V$379,MATCH(FI$142,'Mezz 2 Amortization'!$E$19:$E$379,0),MATCH('Mezz 2 Amortization'!$Q$19,'Mezz 2 Amortization'!$B$19:$V$19,0)),0),0)))</f>
        <v>0</v>
      </c>
      <c r="FJ144" s="427">
        <f>-IF(OR('Financing Assumptions'!$T$8="No",FJ$142&lt;='Financing Assumptions'!$T$26,FJ$142&gt;'Mezz 2 Amortization'!$T$13),0,IF('Mezz 2 Amortization'!$T$4="Monthly",INDEX('Mezz 2 Amortization'!$B$19:$V$379,MATCH(FJ$142,'Mezz 2 Amortization'!$E$19:$E$379,0),MATCH('Mezz 2 Amortization'!$Q$19,'Mezz 2 Amortization'!$B$19:$V$19,0)),IF('Mezz 2 Amortization'!$T$4="Bi-Annual",IF(OR('Mezz 2 Amortization'!$R$4=FJ$5,'Mezz 2 Amortization'!$S$4=FJ$5),INDEX('Mezz 2 Amortization'!$B$19:$V$379,MATCH(FJ$142,'Mezz 2 Amortization'!$E$19:$E$379,0),MATCH('Mezz 2 Amortization'!$Q$19,'Mezz 2 Amortization'!$B$19:$V$19,0)),0),0)))</f>
        <v>0</v>
      </c>
      <c r="FK144" s="427">
        <f>-IF(OR('Financing Assumptions'!$T$8="No",FK$142&lt;='Financing Assumptions'!$T$26,FK$142&gt;'Mezz 2 Amortization'!$T$13),0,IF('Mezz 2 Amortization'!$T$4="Monthly",INDEX('Mezz 2 Amortization'!$B$19:$V$379,MATCH(FK$142,'Mezz 2 Amortization'!$E$19:$E$379,0),MATCH('Mezz 2 Amortization'!$Q$19,'Mezz 2 Amortization'!$B$19:$V$19,0)),IF('Mezz 2 Amortization'!$T$4="Bi-Annual",IF(OR('Mezz 2 Amortization'!$R$4=FK$5,'Mezz 2 Amortization'!$S$4=FK$5),INDEX('Mezz 2 Amortization'!$B$19:$V$379,MATCH(FK$142,'Mezz 2 Amortization'!$E$19:$E$379,0),MATCH('Mezz 2 Amortization'!$Q$19,'Mezz 2 Amortization'!$B$19:$V$19,0)),0),0)))</f>
        <v>0</v>
      </c>
      <c r="FL144" s="427">
        <f>-IF(OR('Financing Assumptions'!$T$8="No",FL$142&lt;='Financing Assumptions'!$T$26,FL$142&gt;'Mezz 2 Amortization'!$T$13),0,IF('Mezz 2 Amortization'!$T$4="Monthly",INDEX('Mezz 2 Amortization'!$B$19:$V$379,MATCH(FL$142,'Mezz 2 Amortization'!$E$19:$E$379,0),MATCH('Mezz 2 Amortization'!$Q$19,'Mezz 2 Amortization'!$B$19:$V$19,0)),IF('Mezz 2 Amortization'!$T$4="Bi-Annual",IF(OR('Mezz 2 Amortization'!$R$4=FL$5,'Mezz 2 Amortization'!$S$4=FL$5),INDEX('Mezz 2 Amortization'!$B$19:$V$379,MATCH(FL$142,'Mezz 2 Amortization'!$E$19:$E$379,0),MATCH('Mezz 2 Amortization'!$Q$19,'Mezz 2 Amortization'!$B$19:$V$19,0)),0),0)))</f>
        <v>0</v>
      </c>
      <c r="FM144" s="427">
        <f>-IF(OR('Financing Assumptions'!$T$8="No",FM$142&lt;='Financing Assumptions'!$T$26,FM$142&gt;'Mezz 2 Amortization'!$T$13),0,IF('Mezz 2 Amortization'!$T$4="Monthly",INDEX('Mezz 2 Amortization'!$B$19:$V$379,MATCH(FM$142,'Mezz 2 Amortization'!$E$19:$E$379,0),MATCH('Mezz 2 Amortization'!$Q$19,'Mezz 2 Amortization'!$B$19:$V$19,0)),IF('Mezz 2 Amortization'!$T$4="Bi-Annual",IF(OR('Mezz 2 Amortization'!$R$4=FM$5,'Mezz 2 Amortization'!$S$4=FM$5),INDEX('Mezz 2 Amortization'!$B$19:$V$379,MATCH(FM$142,'Mezz 2 Amortization'!$E$19:$E$379,0),MATCH('Mezz 2 Amortization'!$Q$19,'Mezz 2 Amortization'!$B$19:$V$19,0)),0),0)))</f>
        <v>0</v>
      </c>
      <c r="FN144" s="427">
        <f>-IF(OR('Financing Assumptions'!$T$8="No",FN$142&lt;='Financing Assumptions'!$T$26,FN$142&gt;'Mezz 2 Amortization'!$T$13),0,IF('Mezz 2 Amortization'!$T$4="Monthly",INDEX('Mezz 2 Amortization'!$B$19:$V$379,MATCH(FN$142,'Mezz 2 Amortization'!$E$19:$E$379,0),MATCH('Mezz 2 Amortization'!$Q$19,'Mezz 2 Amortization'!$B$19:$V$19,0)),IF('Mezz 2 Amortization'!$T$4="Bi-Annual",IF(OR('Mezz 2 Amortization'!$R$4=FN$5,'Mezz 2 Amortization'!$S$4=FN$5),INDEX('Mezz 2 Amortization'!$B$19:$V$379,MATCH(FN$142,'Mezz 2 Amortization'!$E$19:$E$379,0),MATCH('Mezz 2 Amortization'!$Q$19,'Mezz 2 Amortization'!$B$19:$V$19,0)),0),0)))</f>
        <v>0</v>
      </c>
      <c r="FO144" s="427">
        <f>-IF(OR('Financing Assumptions'!$T$8="No",FO$142&lt;='Financing Assumptions'!$T$26,FO$142&gt;'Mezz 2 Amortization'!$T$13),0,IF('Mezz 2 Amortization'!$T$4="Monthly",INDEX('Mezz 2 Amortization'!$B$19:$V$379,MATCH(FO$142,'Mezz 2 Amortization'!$E$19:$E$379,0),MATCH('Mezz 2 Amortization'!$Q$19,'Mezz 2 Amortization'!$B$19:$V$19,0)),IF('Mezz 2 Amortization'!$T$4="Bi-Annual",IF(OR('Mezz 2 Amortization'!$R$4=FO$5,'Mezz 2 Amortization'!$S$4=FO$5),INDEX('Mezz 2 Amortization'!$B$19:$V$379,MATCH(FO$142,'Mezz 2 Amortization'!$E$19:$E$379,0),MATCH('Mezz 2 Amortization'!$Q$19,'Mezz 2 Amortization'!$B$19:$V$19,0)),0),0)))</f>
        <v>0</v>
      </c>
      <c r="FP144" s="427">
        <f>-IF(OR('Financing Assumptions'!$T$8="No",FP$142&lt;='Financing Assumptions'!$T$26,FP$142&gt;'Mezz 2 Amortization'!$T$13),0,IF('Mezz 2 Amortization'!$T$4="Monthly",INDEX('Mezz 2 Amortization'!$B$19:$V$379,MATCH(FP$142,'Mezz 2 Amortization'!$E$19:$E$379,0),MATCH('Mezz 2 Amortization'!$Q$19,'Mezz 2 Amortization'!$B$19:$V$19,0)),IF('Mezz 2 Amortization'!$T$4="Bi-Annual",IF(OR('Mezz 2 Amortization'!$R$4=FP$5,'Mezz 2 Amortization'!$S$4=FP$5),INDEX('Mezz 2 Amortization'!$B$19:$V$379,MATCH(FP$142,'Mezz 2 Amortization'!$E$19:$E$379,0),MATCH('Mezz 2 Amortization'!$Q$19,'Mezz 2 Amortization'!$B$19:$V$19,0)),0),0)))</f>
        <v>0</v>
      </c>
      <c r="FQ144" s="427">
        <f>-IF(OR('Financing Assumptions'!$T$8="No",FQ$142&lt;='Financing Assumptions'!$T$26,FQ$142&gt;'Mezz 2 Amortization'!$T$13),0,IF('Mezz 2 Amortization'!$T$4="Monthly",INDEX('Mezz 2 Amortization'!$B$19:$V$379,MATCH(FQ$142,'Mezz 2 Amortization'!$E$19:$E$379,0),MATCH('Mezz 2 Amortization'!$Q$19,'Mezz 2 Amortization'!$B$19:$V$19,0)),IF('Mezz 2 Amortization'!$T$4="Bi-Annual",IF(OR('Mezz 2 Amortization'!$R$4=FQ$5,'Mezz 2 Amortization'!$S$4=FQ$5),INDEX('Mezz 2 Amortization'!$B$19:$V$379,MATCH(FQ$142,'Mezz 2 Amortization'!$E$19:$E$379,0),MATCH('Mezz 2 Amortization'!$Q$19,'Mezz 2 Amortization'!$B$19:$V$19,0)),0),0)))</f>
        <v>0</v>
      </c>
      <c r="FR144" s="427">
        <f>-IF(OR('Financing Assumptions'!$T$8="No",FR$142&lt;='Financing Assumptions'!$T$26,FR$142&gt;'Mezz 2 Amortization'!$T$13),0,IF('Mezz 2 Amortization'!$T$4="Monthly",INDEX('Mezz 2 Amortization'!$B$19:$V$379,MATCH(FR$142,'Mezz 2 Amortization'!$E$19:$E$379,0),MATCH('Mezz 2 Amortization'!$Q$19,'Mezz 2 Amortization'!$B$19:$V$19,0)),IF('Mezz 2 Amortization'!$T$4="Bi-Annual",IF(OR('Mezz 2 Amortization'!$R$4=FR$5,'Mezz 2 Amortization'!$S$4=FR$5),INDEX('Mezz 2 Amortization'!$B$19:$V$379,MATCH(FR$142,'Mezz 2 Amortization'!$E$19:$E$379,0),MATCH('Mezz 2 Amortization'!$Q$19,'Mezz 2 Amortization'!$B$19:$V$19,0)),0),0)))</f>
        <v>0</v>
      </c>
      <c r="FS144" s="427">
        <f>-IF(OR('Financing Assumptions'!$T$8="No",FS$142&lt;='Financing Assumptions'!$T$26,FS$142&gt;'Mezz 2 Amortization'!$T$13),0,IF('Mezz 2 Amortization'!$T$4="Monthly",INDEX('Mezz 2 Amortization'!$B$19:$V$379,MATCH(FS$142,'Mezz 2 Amortization'!$E$19:$E$379,0),MATCH('Mezz 2 Amortization'!$Q$19,'Mezz 2 Amortization'!$B$19:$V$19,0)),IF('Mezz 2 Amortization'!$T$4="Bi-Annual",IF(OR('Mezz 2 Amortization'!$R$4=FS$5,'Mezz 2 Amortization'!$S$4=FS$5),INDEX('Mezz 2 Amortization'!$B$19:$V$379,MATCH(FS$142,'Mezz 2 Amortization'!$E$19:$E$379,0),MATCH('Mezz 2 Amortization'!$Q$19,'Mezz 2 Amortization'!$B$19:$V$19,0)),0),0)))</f>
        <v>0</v>
      </c>
      <c r="FT144" s="427">
        <f>-IF(OR('Financing Assumptions'!$T$8="No",FT$142&lt;='Financing Assumptions'!$T$26,FT$142&gt;'Mezz 2 Amortization'!$T$13),0,IF('Mezz 2 Amortization'!$T$4="Monthly",INDEX('Mezz 2 Amortization'!$B$19:$V$379,MATCH(FT$142,'Mezz 2 Amortization'!$E$19:$E$379,0),MATCH('Mezz 2 Amortization'!$Q$19,'Mezz 2 Amortization'!$B$19:$V$19,0)),IF('Mezz 2 Amortization'!$T$4="Bi-Annual",IF(OR('Mezz 2 Amortization'!$R$4=FT$5,'Mezz 2 Amortization'!$S$4=FT$5),INDEX('Mezz 2 Amortization'!$B$19:$V$379,MATCH(FT$142,'Mezz 2 Amortization'!$E$19:$E$379,0),MATCH('Mezz 2 Amortization'!$Q$19,'Mezz 2 Amortization'!$B$19:$V$19,0)),0),0)))</f>
        <v>0</v>
      </c>
      <c r="FU144" s="43"/>
      <c r="FV144" s="34"/>
      <c r="FW144" s="34"/>
      <c r="FX144" s="34"/>
      <c r="FY144" s="34"/>
      <c r="FZ144" s="34"/>
    </row>
    <row r="145" spans="1:182" s="89" customFormat="1" ht="13.5" x14ac:dyDescent="0.25">
      <c r="A145" s="34"/>
      <c r="B145" s="1271" t="s">
        <v>43</v>
      </c>
      <c r="C145" s="34"/>
      <c r="D145" s="34"/>
      <c r="E145" s="34"/>
      <c r="F145" s="428"/>
      <c r="G145" s="34"/>
      <c r="H145" s="427">
        <f>-IF(OR('Financing Assumptions'!$T$8="No",H$142&lt;='Financing Assumptions'!$T$26,H$142&gt;'Mezz 2 Amortization'!$T$13),0,IF('Mezz 2 Amortization'!$T$4="Monthly",INDEX('Mezz 2 Amortization'!$B$19:$V$379,MATCH(H$142,'Mezz 2 Amortization'!$E$19:$E$379,0),MATCH('Mezz 2 Amortization'!$R$19,'Mezz 2 Amortization'!$B$19:$V$19,0)),IF('Mezz 2 Amortization'!$T$4="Bi-Annual",IF(OR('Mezz 2 Amortization'!$R$4=H$5,'Mezz 2 Amortization'!$S$4=H$5),INDEX('Mezz 2 Amortization'!$B$19:$V$379,MATCH(H$142,'Mezz 2 Amortization'!$E$19:$E$379,0),MATCH('Mezz 2 Amortization'!$R$19,'Mezz 2 Amortization'!$B$19:$V$19,0)),0),0)))</f>
        <v>0</v>
      </c>
      <c r="I145" s="427">
        <f>-IF(OR('Financing Assumptions'!$T$8="No",I$142&lt;='Financing Assumptions'!$T$26,I$142&gt;'Mezz 2 Amortization'!$T$13),0,IF('Mezz 2 Amortization'!$T$4="Monthly",INDEX('Mezz 2 Amortization'!$B$19:$V$379,MATCH(I$142,'Mezz 2 Amortization'!$E$19:$E$379,0),MATCH('Mezz 2 Amortization'!$R$19,'Mezz 2 Amortization'!$B$19:$V$19,0)),IF('Mezz 2 Amortization'!$T$4="Bi-Annual",IF(OR('Mezz 2 Amortization'!$R$4=I$5,'Mezz 2 Amortization'!$S$4=I$5),INDEX('Mezz 2 Amortization'!$B$19:$V$379,MATCH(I$142,'Mezz 2 Amortization'!$E$19:$E$379,0),MATCH('Mezz 2 Amortization'!$R$19,'Mezz 2 Amortization'!$B$19:$V$19,0)),0),0)))</f>
        <v>0</v>
      </c>
      <c r="J145" s="427">
        <f>-IF(OR('Financing Assumptions'!$T$8="No",J$142&lt;='Financing Assumptions'!$T$26,J$142&gt;'Mezz 2 Amortization'!$T$13),0,IF('Mezz 2 Amortization'!$T$4="Monthly",INDEX('Mezz 2 Amortization'!$B$19:$V$379,MATCH(J$142,'Mezz 2 Amortization'!$E$19:$E$379,0),MATCH('Mezz 2 Amortization'!$R$19,'Mezz 2 Amortization'!$B$19:$V$19,0)),IF('Mezz 2 Amortization'!$T$4="Bi-Annual",IF(OR('Mezz 2 Amortization'!$R$4=J$5,'Mezz 2 Amortization'!$S$4=J$5),INDEX('Mezz 2 Amortization'!$B$19:$V$379,MATCH(J$142,'Mezz 2 Amortization'!$E$19:$E$379,0),MATCH('Mezz 2 Amortization'!$R$19,'Mezz 2 Amortization'!$B$19:$V$19,0)),0),0)))</f>
        <v>0</v>
      </c>
      <c r="K145" s="427">
        <f>-IF(OR('Financing Assumptions'!$T$8="No",K$142&lt;='Financing Assumptions'!$T$26,K$142&gt;'Mezz 2 Amortization'!$T$13),0,IF('Mezz 2 Amortization'!$T$4="Monthly",INDEX('Mezz 2 Amortization'!$B$19:$V$379,MATCH(K$142,'Mezz 2 Amortization'!$E$19:$E$379,0),MATCH('Mezz 2 Amortization'!$R$19,'Mezz 2 Amortization'!$B$19:$V$19,0)),IF('Mezz 2 Amortization'!$T$4="Bi-Annual",IF(OR('Mezz 2 Amortization'!$R$4=K$5,'Mezz 2 Amortization'!$S$4=K$5),INDEX('Mezz 2 Amortization'!$B$19:$V$379,MATCH(K$142,'Mezz 2 Amortization'!$E$19:$E$379,0),MATCH('Mezz 2 Amortization'!$R$19,'Mezz 2 Amortization'!$B$19:$V$19,0)),0),0)))</f>
        <v>0</v>
      </c>
      <c r="L145" s="427">
        <f>-IF(OR('Financing Assumptions'!$T$8="No",L$142&lt;='Financing Assumptions'!$T$26,L$142&gt;'Mezz 2 Amortization'!$T$13),0,IF('Mezz 2 Amortization'!$T$4="Monthly",INDEX('Mezz 2 Amortization'!$B$19:$V$379,MATCH(L$142,'Mezz 2 Amortization'!$E$19:$E$379,0),MATCH('Mezz 2 Amortization'!$R$19,'Mezz 2 Amortization'!$B$19:$V$19,0)),IF('Mezz 2 Amortization'!$T$4="Bi-Annual",IF(OR('Mezz 2 Amortization'!$R$4=L$5,'Mezz 2 Amortization'!$S$4=L$5),INDEX('Mezz 2 Amortization'!$B$19:$V$379,MATCH(L$142,'Mezz 2 Amortization'!$E$19:$E$379,0),MATCH('Mezz 2 Amortization'!$R$19,'Mezz 2 Amortization'!$B$19:$V$19,0)),0),0)))</f>
        <v>0</v>
      </c>
      <c r="M145" s="427">
        <f>-IF(OR('Financing Assumptions'!$T$8="No",M$142&lt;='Financing Assumptions'!$T$26,M$142&gt;'Mezz 2 Amortization'!$T$13),0,IF('Mezz 2 Amortization'!$T$4="Monthly",INDEX('Mezz 2 Amortization'!$B$19:$V$379,MATCH(M$142,'Mezz 2 Amortization'!$E$19:$E$379,0),MATCH('Mezz 2 Amortization'!$R$19,'Mezz 2 Amortization'!$B$19:$V$19,0)),IF('Mezz 2 Amortization'!$T$4="Bi-Annual",IF(OR('Mezz 2 Amortization'!$R$4=M$5,'Mezz 2 Amortization'!$S$4=M$5),INDEX('Mezz 2 Amortization'!$B$19:$V$379,MATCH(M$142,'Mezz 2 Amortization'!$E$19:$E$379,0),MATCH('Mezz 2 Amortization'!$R$19,'Mezz 2 Amortization'!$B$19:$V$19,0)),0),0)))</f>
        <v>0</v>
      </c>
      <c r="N145" s="427">
        <f>-IF(OR('Financing Assumptions'!$T$8="No",N$142&lt;='Financing Assumptions'!$T$26,N$142&gt;'Mezz 2 Amortization'!$T$13),0,IF('Mezz 2 Amortization'!$T$4="Monthly",INDEX('Mezz 2 Amortization'!$B$19:$V$379,MATCH(N$142,'Mezz 2 Amortization'!$E$19:$E$379,0),MATCH('Mezz 2 Amortization'!$R$19,'Mezz 2 Amortization'!$B$19:$V$19,0)),IF('Mezz 2 Amortization'!$T$4="Bi-Annual",IF(OR('Mezz 2 Amortization'!$R$4=N$5,'Mezz 2 Amortization'!$S$4=N$5),INDEX('Mezz 2 Amortization'!$B$19:$V$379,MATCH(N$142,'Mezz 2 Amortization'!$E$19:$E$379,0),MATCH('Mezz 2 Amortization'!$R$19,'Mezz 2 Amortization'!$B$19:$V$19,0)),0),0)))</f>
        <v>0</v>
      </c>
      <c r="O145" s="427">
        <f>-IF(OR('Financing Assumptions'!$T$8="No",O$142&lt;='Financing Assumptions'!$T$26,O$142&gt;'Mezz 2 Amortization'!$T$13),0,IF('Mezz 2 Amortization'!$T$4="Monthly",INDEX('Mezz 2 Amortization'!$B$19:$V$379,MATCH(O$142,'Mezz 2 Amortization'!$E$19:$E$379,0),MATCH('Mezz 2 Amortization'!$R$19,'Mezz 2 Amortization'!$B$19:$V$19,0)),IF('Mezz 2 Amortization'!$T$4="Bi-Annual",IF(OR('Mezz 2 Amortization'!$R$4=O$5,'Mezz 2 Amortization'!$S$4=O$5),INDEX('Mezz 2 Amortization'!$B$19:$V$379,MATCH(O$142,'Mezz 2 Amortization'!$E$19:$E$379,0),MATCH('Mezz 2 Amortization'!$R$19,'Mezz 2 Amortization'!$B$19:$V$19,0)),0),0)))</f>
        <v>0</v>
      </c>
      <c r="P145" s="427">
        <f>-IF(OR('Financing Assumptions'!$T$8="No",P$142&lt;='Financing Assumptions'!$T$26,P$142&gt;'Mezz 2 Amortization'!$T$13),0,IF('Mezz 2 Amortization'!$T$4="Monthly",INDEX('Mezz 2 Amortization'!$B$19:$V$379,MATCH(P$142,'Mezz 2 Amortization'!$E$19:$E$379,0),MATCH('Mezz 2 Amortization'!$R$19,'Mezz 2 Amortization'!$B$19:$V$19,0)),IF('Mezz 2 Amortization'!$T$4="Bi-Annual",IF(OR('Mezz 2 Amortization'!$R$4=P$5,'Mezz 2 Amortization'!$S$4=P$5),INDEX('Mezz 2 Amortization'!$B$19:$V$379,MATCH(P$142,'Mezz 2 Amortization'!$E$19:$E$379,0),MATCH('Mezz 2 Amortization'!$R$19,'Mezz 2 Amortization'!$B$19:$V$19,0)),0),0)))</f>
        <v>0</v>
      </c>
      <c r="Q145" s="427">
        <f>-IF(OR('Financing Assumptions'!$T$8="No",Q$142&lt;='Financing Assumptions'!$T$26,Q$142&gt;'Mezz 2 Amortization'!$T$13),0,IF('Mezz 2 Amortization'!$T$4="Monthly",INDEX('Mezz 2 Amortization'!$B$19:$V$379,MATCH(Q$142,'Mezz 2 Amortization'!$E$19:$E$379,0),MATCH('Mezz 2 Amortization'!$R$19,'Mezz 2 Amortization'!$B$19:$V$19,0)),IF('Mezz 2 Amortization'!$T$4="Bi-Annual",IF(OR('Mezz 2 Amortization'!$R$4=Q$5,'Mezz 2 Amortization'!$S$4=Q$5),INDEX('Mezz 2 Amortization'!$B$19:$V$379,MATCH(Q$142,'Mezz 2 Amortization'!$E$19:$E$379,0),MATCH('Mezz 2 Amortization'!$R$19,'Mezz 2 Amortization'!$B$19:$V$19,0)),0),0)))</f>
        <v>0</v>
      </c>
      <c r="R145" s="427">
        <f>-IF(OR('Financing Assumptions'!$T$8="No",R$142&lt;='Financing Assumptions'!$T$26,R$142&gt;'Mezz 2 Amortization'!$T$13),0,IF('Mezz 2 Amortization'!$T$4="Monthly",INDEX('Mezz 2 Amortization'!$B$19:$V$379,MATCH(R$142,'Mezz 2 Amortization'!$E$19:$E$379,0),MATCH('Mezz 2 Amortization'!$R$19,'Mezz 2 Amortization'!$B$19:$V$19,0)),IF('Mezz 2 Amortization'!$T$4="Bi-Annual",IF(OR('Mezz 2 Amortization'!$R$4=R$5,'Mezz 2 Amortization'!$S$4=R$5),INDEX('Mezz 2 Amortization'!$B$19:$V$379,MATCH(R$142,'Mezz 2 Amortization'!$E$19:$E$379,0),MATCH('Mezz 2 Amortization'!$R$19,'Mezz 2 Amortization'!$B$19:$V$19,0)),0),0)))</f>
        <v>0</v>
      </c>
      <c r="S145" s="427">
        <f>-IF(OR('Financing Assumptions'!$T$8="No",S$142&lt;='Financing Assumptions'!$T$26,S$142&gt;'Mezz 2 Amortization'!$T$13),0,IF('Mezz 2 Amortization'!$T$4="Monthly",INDEX('Mezz 2 Amortization'!$B$19:$V$379,MATCH(S$142,'Mezz 2 Amortization'!$E$19:$E$379,0),MATCH('Mezz 2 Amortization'!$R$19,'Mezz 2 Amortization'!$B$19:$V$19,0)),IF('Mezz 2 Amortization'!$T$4="Bi-Annual",IF(OR('Mezz 2 Amortization'!$R$4=S$5,'Mezz 2 Amortization'!$S$4=S$5),INDEX('Mezz 2 Amortization'!$B$19:$V$379,MATCH(S$142,'Mezz 2 Amortization'!$E$19:$E$379,0),MATCH('Mezz 2 Amortization'!$R$19,'Mezz 2 Amortization'!$B$19:$V$19,0)),0),0)))</f>
        <v>0</v>
      </c>
      <c r="T145" s="427">
        <f>-IF(OR('Financing Assumptions'!$T$8="No",T$142&lt;='Financing Assumptions'!$T$26,T$142&gt;'Mezz 2 Amortization'!$T$13),0,IF('Mezz 2 Amortization'!$T$4="Monthly",INDEX('Mezz 2 Amortization'!$B$19:$V$379,MATCH(T$142,'Mezz 2 Amortization'!$E$19:$E$379,0),MATCH('Mezz 2 Amortization'!$R$19,'Mezz 2 Amortization'!$B$19:$V$19,0)),IF('Mezz 2 Amortization'!$T$4="Bi-Annual",IF(OR('Mezz 2 Amortization'!$R$4=T$5,'Mezz 2 Amortization'!$S$4=T$5),INDEX('Mezz 2 Amortization'!$B$19:$V$379,MATCH(T$142,'Mezz 2 Amortization'!$E$19:$E$379,0),MATCH('Mezz 2 Amortization'!$R$19,'Mezz 2 Amortization'!$B$19:$V$19,0)),0),0)))</f>
        <v>0</v>
      </c>
      <c r="U145" s="427">
        <f>-IF(OR('Financing Assumptions'!$T$8="No",U$142&lt;='Financing Assumptions'!$T$26,U$142&gt;'Mezz 2 Amortization'!$T$13),0,IF('Mezz 2 Amortization'!$T$4="Monthly",INDEX('Mezz 2 Amortization'!$B$19:$V$379,MATCH(U$142,'Mezz 2 Amortization'!$E$19:$E$379,0),MATCH('Mezz 2 Amortization'!$R$19,'Mezz 2 Amortization'!$B$19:$V$19,0)),IF('Mezz 2 Amortization'!$T$4="Bi-Annual",IF(OR('Mezz 2 Amortization'!$R$4=U$5,'Mezz 2 Amortization'!$S$4=U$5),INDEX('Mezz 2 Amortization'!$B$19:$V$379,MATCH(U$142,'Mezz 2 Amortization'!$E$19:$E$379,0),MATCH('Mezz 2 Amortization'!$R$19,'Mezz 2 Amortization'!$B$19:$V$19,0)),0),0)))</f>
        <v>0</v>
      </c>
      <c r="V145" s="427">
        <f>-IF(OR('Financing Assumptions'!$T$8="No",V$142&lt;='Financing Assumptions'!$T$26,V$142&gt;'Mezz 2 Amortization'!$T$13),0,IF('Mezz 2 Amortization'!$T$4="Monthly",INDEX('Mezz 2 Amortization'!$B$19:$V$379,MATCH(V$142,'Mezz 2 Amortization'!$E$19:$E$379,0),MATCH('Mezz 2 Amortization'!$R$19,'Mezz 2 Amortization'!$B$19:$V$19,0)),IF('Mezz 2 Amortization'!$T$4="Bi-Annual",IF(OR('Mezz 2 Amortization'!$R$4=V$5,'Mezz 2 Amortization'!$S$4=V$5),INDEX('Mezz 2 Amortization'!$B$19:$V$379,MATCH(V$142,'Mezz 2 Amortization'!$E$19:$E$379,0),MATCH('Mezz 2 Amortization'!$R$19,'Mezz 2 Amortization'!$B$19:$V$19,0)),0),0)))</f>
        <v>0</v>
      </c>
      <c r="W145" s="427">
        <f>-IF(OR('Financing Assumptions'!$T$8="No",W$142&lt;='Financing Assumptions'!$T$26,W$142&gt;'Mezz 2 Amortization'!$T$13),0,IF('Mezz 2 Amortization'!$T$4="Monthly",INDEX('Mezz 2 Amortization'!$B$19:$V$379,MATCH(W$142,'Mezz 2 Amortization'!$E$19:$E$379,0),MATCH('Mezz 2 Amortization'!$R$19,'Mezz 2 Amortization'!$B$19:$V$19,0)),IF('Mezz 2 Amortization'!$T$4="Bi-Annual",IF(OR('Mezz 2 Amortization'!$R$4=W$5,'Mezz 2 Amortization'!$S$4=W$5),INDEX('Mezz 2 Amortization'!$B$19:$V$379,MATCH(W$142,'Mezz 2 Amortization'!$E$19:$E$379,0),MATCH('Mezz 2 Amortization'!$R$19,'Mezz 2 Amortization'!$B$19:$V$19,0)),0),0)))</f>
        <v>0</v>
      </c>
      <c r="X145" s="427">
        <f>-IF(OR('Financing Assumptions'!$T$8="No",X$142&lt;='Financing Assumptions'!$T$26,X$142&gt;'Mezz 2 Amortization'!$T$13),0,IF('Mezz 2 Amortization'!$T$4="Monthly",INDEX('Mezz 2 Amortization'!$B$19:$V$379,MATCH(X$142,'Mezz 2 Amortization'!$E$19:$E$379,0),MATCH('Mezz 2 Amortization'!$R$19,'Mezz 2 Amortization'!$B$19:$V$19,0)),IF('Mezz 2 Amortization'!$T$4="Bi-Annual",IF(OR('Mezz 2 Amortization'!$R$4=X$5,'Mezz 2 Amortization'!$S$4=X$5),INDEX('Mezz 2 Amortization'!$B$19:$V$379,MATCH(X$142,'Mezz 2 Amortization'!$E$19:$E$379,0),MATCH('Mezz 2 Amortization'!$R$19,'Mezz 2 Amortization'!$B$19:$V$19,0)),0),0)))</f>
        <v>0</v>
      </c>
      <c r="Y145" s="427">
        <f>-IF(OR('Financing Assumptions'!$T$8="No",Y$142&lt;='Financing Assumptions'!$T$26,Y$142&gt;'Mezz 2 Amortization'!$T$13),0,IF('Mezz 2 Amortization'!$T$4="Monthly",INDEX('Mezz 2 Amortization'!$B$19:$V$379,MATCH(Y$142,'Mezz 2 Amortization'!$E$19:$E$379,0),MATCH('Mezz 2 Amortization'!$R$19,'Mezz 2 Amortization'!$B$19:$V$19,0)),IF('Mezz 2 Amortization'!$T$4="Bi-Annual",IF(OR('Mezz 2 Amortization'!$R$4=Y$5,'Mezz 2 Amortization'!$S$4=Y$5),INDEX('Mezz 2 Amortization'!$B$19:$V$379,MATCH(Y$142,'Mezz 2 Amortization'!$E$19:$E$379,0),MATCH('Mezz 2 Amortization'!$R$19,'Mezz 2 Amortization'!$B$19:$V$19,0)),0),0)))</f>
        <v>0</v>
      </c>
      <c r="Z145" s="427">
        <f>-IF(OR('Financing Assumptions'!$T$8="No",Z$142&lt;='Financing Assumptions'!$T$26,Z$142&gt;'Mezz 2 Amortization'!$T$13),0,IF('Mezz 2 Amortization'!$T$4="Monthly",INDEX('Mezz 2 Amortization'!$B$19:$V$379,MATCH(Z$142,'Mezz 2 Amortization'!$E$19:$E$379,0),MATCH('Mezz 2 Amortization'!$R$19,'Mezz 2 Amortization'!$B$19:$V$19,0)),IF('Mezz 2 Amortization'!$T$4="Bi-Annual",IF(OR('Mezz 2 Amortization'!$R$4=Z$5,'Mezz 2 Amortization'!$S$4=Z$5),INDEX('Mezz 2 Amortization'!$B$19:$V$379,MATCH(Z$142,'Mezz 2 Amortization'!$E$19:$E$379,0),MATCH('Mezz 2 Amortization'!$R$19,'Mezz 2 Amortization'!$B$19:$V$19,0)),0),0)))</f>
        <v>0</v>
      </c>
      <c r="AA145" s="427">
        <f>-IF(OR('Financing Assumptions'!$T$8="No",AA$142&lt;='Financing Assumptions'!$T$26,AA$142&gt;'Mezz 2 Amortization'!$T$13),0,IF('Mezz 2 Amortization'!$T$4="Monthly",INDEX('Mezz 2 Amortization'!$B$19:$V$379,MATCH(AA$142,'Mezz 2 Amortization'!$E$19:$E$379,0),MATCH('Mezz 2 Amortization'!$R$19,'Mezz 2 Amortization'!$B$19:$V$19,0)),IF('Mezz 2 Amortization'!$T$4="Bi-Annual",IF(OR('Mezz 2 Amortization'!$R$4=AA$5,'Mezz 2 Amortization'!$S$4=AA$5),INDEX('Mezz 2 Amortization'!$B$19:$V$379,MATCH(AA$142,'Mezz 2 Amortization'!$E$19:$E$379,0),MATCH('Mezz 2 Amortization'!$R$19,'Mezz 2 Amortization'!$B$19:$V$19,0)),0),0)))</f>
        <v>0</v>
      </c>
      <c r="AB145" s="427">
        <f>-IF(OR('Financing Assumptions'!$T$8="No",AB$142&lt;='Financing Assumptions'!$T$26,AB$142&gt;'Mezz 2 Amortization'!$T$13),0,IF('Mezz 2 Amortization'!$T$4="Monthly",INDEX('Mezz 2 Amortization'!$B$19:$V$379,MATCH(AB$142,'Mezz 2 Amortization'!$E$19:$E$379,0),MATCH('Mezz 2 Amortization'!$R$19,'Mezz 2 Amortization'!$B$19:$V$19,0)),IF('Mezz 2 Amortization'!$T$4="Bi-Annual",IF(OR('Mezz 2 Amortization'!$R$4=AB$5,'Mezz 2 Amortization'!$S$4=AB$5),INDEX('Mezz 2 Amortization'!$B$19:$V$379,MATCH(AB$142,'Mezz 2 Amortization'!$E$19:$E$379,0),MATCH('Mezz 2 Amortization'!$R$19,'Mezz 2 Amortization'!$B$19:$V$19,0)),0),0)))</f>
        <v>0</v>
      </c>
      <c r="AC145" s="427">
        <f>-IF(OR('Financing Assumptions'!$T$8="No",AC$142&lt;='Financing Assumptions'!$T$26,AC$142&gt;'Mezz 2 Amortization'!$T$13),0,IF('Mezz 2 Amortization'!$T$4="Monthly",INDEX('Mezz 2 Amortization'!$B$19:$V$379,MATCH(AC$142,'Mezz 2 Amortization'!$E$19:$E$379,0),MATCH('Mezz 2 Amortization'!$R$19,'Mezz 2 Amortization'!$B$19:$V$19,0)),IF('Mezz 2 Amortization'!$T$4="Bi-Annual",IF(OR('Mezz 2 Amortization'!$R$4=AC$5,'Mezz 2 Amortization'!$S$4=AC$5),INDEX('Mezz 2 Amortization'!$B$19:$V$379,MATCH(AC$142,'Mezz 2 Amortization'!$E$19:$E$379,0),MATCH('Mezz 2 Amortization'!$R$19,'Mezz 2 Amortization'!$B$19:$V$19,0)),0),0)))</f>
        <v>0</v>
      </c>
      <c r="AD145" s="427">
        <f>-IF(OR('Financing Assumptions'!$T$8="No",AD$142&lt;='Financing Assumptions'!$T$26,AD$142&gt;'Mezz 2 Amortization'!$T$13),0,IF('Mezz 2 Amortization'!$T$4="Monthly",INDEX('Mezz 2 Amortization'!$B$19:$V$379,MATCH(AD$142,'Mezz 2 Amortization'!$E$19:$E$379,0),MATCH('Mezz 2 Amortization'!$R$19,'Mezz 2 Amortization'!$B$19:$V$19,0)),IF('Mezz 2 Amortization'!$T$4="Bi-Annual",IF(OR('Mezz 2 Amortization'!$R$4=AD$5,'Mezz 2 Amortization'!$S$4=AD$5),INDEX('Mezz 2 Amortization'!$B$19:$V$379,MATCH(AD$142,'Mezz 2 Amortization'!$E$19:$E$379,0),MATCH('Mezz 2 Amortization'!$R$19,'Mezz 2 Amortization'!$B$19:$V$19,0)),0),0)))</f>
        <v>0</v>
      </c>
      <c r="AE145" s="427">
        <f>-IF(OR('Financing Assumptions'!$T$8="No",AE$142&lt;='Financing Assumptions'!$T$26,AE$142&gt;'Mezz 2 Amortization'!$T$13),0,IF('Mezz 2 Amortization'!$T$4="Monthly",INDEX('Mezz 2 Amortization'!$B$19:$V$379,MATCH(AE$142,'Mezz 2 Amortization'!$E$19:$E$379,0),MATCH('Mezz 2 Amortization'!$R$19,'Mezz 2 Amortization'!$B$19:$V$19,0)),IF('Mezz 2 Amortization'!$T$4="Bi-Annual",IF(OR('Mezz 2 Amortization'!$R$4=AE$5,'Mezz 2 Amortization'!$S$4=AE$5),INDEX('Mezz 2 Amortization'!$B$19:$V$379,MATCH(AE$142,'Mezz 2 Amortization'!$E$19:$E$379,0),MATCH('Mezz 2 Amortization'!$R$19,'Mezz 2 Amortization'!$B$19:$V$19,0)),0),0)))</f>
        <v>0</v>
      </c>
      <c r="AF145" s="427">
        <f>-IF(OR('Financing Assumptions'!$T$8="No",AF$142&lt;='Financing Assumptions'!$T$26,AF$142&gt;'Mezz 2 Amortization'!$T$13),0,IF('Mezz 2 Amortization'!$T$4="Monthly",INDEX('Mezz 2 Amortization'!$B$19:$V$379,MATCH(AF$142,'Mezz 2 Amortization'!$E$19:$E$379,0),MATCH('Mezz 2 Amortization'!$R$19,'Mezz 2 Amortization'!$B$19:$V$19,0)),IF('Mezz 2 Amortization'!$T$4="Bi-Annual",IF(OR('Mezz 2 Amortization'!$R$4=AF$5,'Mezz 2 Amortization'!$S$4=AF$5),INDEX('Mezz 2 Amortization'!$B$19:$V$379,MATCH(AF$142,'Mezz 2 Amortization'!$E$19:$E$379,0),MATCH('Mezz 2 Amortization'!$R$19,'Mezz 2 Amortization'!$B$19:$V$19,0)),0),0)))</f>
        <v>0</v>
      </c>
      <c r="AG145" s="427">
        <f>-IF(OR('Financing Assumptions'!$T$8="No",AG$142&lt;='Financing Assumptions'!$T$26,AG$142&gt;'Mezz 2 Amortization'!$T$13),0,IF('Mezz 2 Amortization'!$T$4="Monthly",INDEX('Mezz 2 Amortization'!$B$19:$V$379,MATCH(AG$142,'Mezz 2 Amortization'!$E$19:$E$379,0),MATCH('Mezz 2 Amortization'!$R$19,'Mezz 2 Amortization'!$B$19:$V$19,0)),IF('Mezz 2 Amortization'!$T$4="Bi-Annual",IF(OR('Mezz 2 Amortization'!$R$4=AG$5,'Mezz 2 Amortization'!$S$4=AG$5),INDEX('Mezz 2 Amortization'!$B$19:$V$379,MATCH(AG$142,'Mezz 2 Amortization'!$E$19:$E$379,0),MATCH('Mezz 2 Amortization'!$R$19,'Mezz 2 Amortization'!$B$19:$V$19,0)),0),0)))</f>
        <v>0</v>
      </c>
      <c r="AH145" s="427">
        <f>-IF(OR('Financing Assumptions'!$T$8="No",AH$142&lt;='Financing Assumptions'!$T$26,AH$142&gt;'Mezz 2 Amortization'!$T$13),0,IF('Mezz 2 Amortization'!$T$4="Monthly",INDEX('Mezz 2 Amortization'!$B$19:$V$379,MATCH(AH$142,'Mezz 2 Amortization'!$E$19:$E$379,0),MATCH('Mezz 2 Amortization'!$R$19,'Mezz 2 Amortization'!$B$19:$V$19,0)),IF('Mezz 2 Amortization'!$T$4="Bi-Annual",IF(OR('Mezz 2 Amortization'!$R$4=AH$5,'Mezz 2 Amortization'!$S$4=AH$5),INDEX('Mezz 2 Amortization'!$B$19:$V$379,MATCH(AH$142,'Mezz 2 Amortization'!$E$19:$E$379,0),MATCH('Mezz 2 Amortization'!$R$19,'Mezz 2 Amortization'!$B$19:$V$19,0)),0),0)))</f>
        <v>0</v>
      </c>
      <c r="AI145" s="427">
        <f>-IF(OR('Financing Assumptions'!$T$8="No",AI$142&lt;='Financing Assumptions'!$T$26,AI$142&gt;'Mezz 2 Amortization'!$T$13),0,IF('Mezz 2 Amortization'!$T$4="Monthly",INDEX('Mezz 2 Amortization'!$B$19:$V$379,MATCH(AI$142,'Mezz 2 Amortization'!$E$19:$E$379,0),MATCH('Mezz 2 Amortization'!$R$19,'Mezz 2 Amortization'!$B$19:$V$19,0)),IF('Mezz 2 Amortization'!$T$4="Bi-Annual",IF(OR('Mezz 2 Amortization'!$R$4=AI$5,'Mezz 2 Amortization'!$S$4=AI$5),INDEX('Mezz 2 Amortization'!$B$19:$V$379,MATCH(AI$142,'Mezz 2 Amortization'!$E$19:$E$379,0),MATCH('Mezz 2 Amortization'!$R$19,'Mezz 2 Amortization'!$B$19:$V$19,0)),0),0)))</f>
        <v>0</v>
      </c>
      <c r="AJ145" s="427">
        <f>-IF(OR('Financing Assumptions'!$T$8="No",AJ$142&lt;='Financing Assumptions'!$T$26,AJ$142&gt;'Mezz 2 Amortization'!$T$13),0,IF('Mezz 2 Amortization'!$T$4="Monthly",INDEX('Mezz 2 Amortization'!$B$19:$V$379,MATCH(AJ$142,'Mezz 2 Amortization'!$E$19:$E$379,0),MATCH('Mezz 2 Amortization'!$R$19,'Mezz 2 Amortization'!$B$19:$V$19,0)),IF('Mezz 2 Amortization'!$T$4="Bi-Annual",IF(OR('Mezz 2 Amortization'!$R$4=AJ$5,'Mezz 2 Amortization'!$S$4=AJ$5),INDEX('Mezz 2 Amortization'!$B$19:$V$379,MATCH(AJ$142,'Mezz 2 Amortization'!$E$19:$E$379,0),MATCH('Mezz 2 Amortization'!$R$19,'Mezz 2 Amortization'!$B$19:$V$19,0)),0),0)))</f>
        <v>0</v>
      </c>
      <c r="AK145" s="427">
        <f>-IF(OR('Financing Assumptions'!$T$8="No",AK$142&lt;='Financing Assumptions'!$T$26,AK$142&gt;'Mezz 2 Amortization'!$T$13),0,IF('Mezz 2 Amortization'!$T$4="Monthly",INDEX('Mezz 2 Amortization'!$B$19:$V$379,MATCH(AK$142,'Mezz 2 Amortization'!$E$19:$E$379,0),MATCH('Mezz 2 Amortization'!$R$19,'Mezz 2 Amortization'!$B$19:$V$19,0)),IF('Mezz 2 Amortization'!$T$4="Bi-Annual",IF(OR('Mezz 2 Amortization'!$R$4=AK$5,'Mezz 2 Amortization'!$S$4=AK$5),INDEX('Mezz 2 Amortization'!$B$19:$V$379,MATCH(AK$142,'Mezz 2 Amortization'!$E$19:$E$379,0),MATCH('Mezz 2 Amortization'!$R$19,'Mezz 2 Amortization'!$B$19:$V$19,0)),0),0)))</f>
        <v>0</v>
      </c>
      <c r="AL145" s="427">
        <f>-IF(OR('Financing Assumptions'!$T$8="No",AL$142&lt;='Financing Assumptions'!$T$26,AL$142&gt;'Mezz 2 Amortization'!$T$13),0,IF('Mezz 2 Amortization'!$T$4="Monthly",INDEX('Mezz 2 Amortization'!$B$19:$V$379,MATCH(AL$142,'Mezz 2 Amortization'!$E$19:$E$379,0),MATCH('Mezz 2 Amortization'!$R$19,'Mezz 2 Amortization'!$B$19:$V$19,0)),IF('Mezz 2 Amortization'!$T$4="Bi-Annual",IF(OR('Mezz 2 Amortization'!$R$4=AL$5,'Mezz 2 Amortization'!$S$4=AL$5),INDEX('Mezz 2 Amortization'!$B$19:$V$379,MATCH(AL$142,'Mezz 2 Amortization'!$E$19:$E$379,0),MATCH('Mezz 2 Amortization'!$R$19,'Mezz 2 Amortization'!$B$19:$V$19,0)),0),0)))</f>
        <v>0</v>
      </c>
      <c r="AM145" s="427">
        <f>-IF(OR('Financing Assumptions'!$T$8="No",AM$142&lt;='Financing Assumptions'!$T$26,AM$142&gt;'Mezz 2 Amortization'!$T$13),0,IF('Mezz 2 Amortization'!$T$4="Monthly",INDEX('Mezz 2 Amortization'!$B$19:$V$379,MATCH(AM$142,'Mezz 2 Amortization'!$E$19:$E$379,0),MATCH('Mezz 2 Amortization'!$R$19,'Mezz 2 Amortization'!$B$19:$V$19,0)),IF('Mezz 2 Amortization'!$T$4="Bi-Annual",IF(OR('Mezz 2 Amortization'!$R$4=AM$5,'Mezz 2 Amortization'!$S$4=AM$5),INDEX('Mezz 2 Amortization'!$B$19:$V$379,MATCH(AM$142,'Mezz 2 Amortization'!$E$19:$E$379,0),MATCH('Mezz 2 Amortization'!$R$19,'Mezz 2 Amortization'!$B$19:$V$19,0)),0),0)))</f>
        <v>0</v>
      </c>
      <c r="AN145" s="427">
        <f>-IF(OR('Financing Assumptions'!$T$8="No",AN$142&lt;='Financing Assumptions'!$T$26,AN$142&gt;'Mezz 2 Amortization'!$T$13),0,IF('Mezz 2 Amortization'!$T$4="Monthly",INDEX('Mezz 2 Amortization'!$B$19:$V$379,MATCH(AN$142,'Mezz 2 Amortization'!$E$19:$E$379,0),MATCH('Mezz 2 Amortization'!$R$19,'Mezz 2 Amortization'!$B$19:$V$19,0)),IF('Mezz 2 Amortization'!$T$4="Bi-Annual",IF(OR('Mezz 2 Amortization'!$R$4=AN$5,'Mezz 2 Amortization'!$S$4=AN$5),INDEX('Mezz 2 Amortization'!$B$19:$V$379,MATCH(AN$142,'Mezz 2 Amortization'!$E$19:$E$379,0),MATCH('Mezz 2 Amortization'!$R$19,'Mezz 2 Amortization'!$B$19:$V$19,0)),0),0)))</f>
        <v>0</v>
      </c>
      <c r="AO145" s="427">
        <f>-IF(OR('Financing Assumptions'!$T$8="No",AO$142&lt;='Financing Assumptions'!$T$26,AO$142&gt;'Mezz 2 Amortization'!$T$13),0,IF('Mezz 2 Amortization'!$T$4="Monthly",INDEX('Mezz 2 Amortization'!$B$19:$V$379,MATCH(AO$142,'Mezz 2 Amortization'!$E$19:$E$379,0),MATCH('Mezz 2 Amortization'!$R$19,'Mezz 2 Amortization'!$B$19:$V$19,0)),IF('Mezz 2 Amortization'!$T$4="Bi-Annual",IF(OR('Mezz 2 Amortization'!$R$4=AO$5,'Mezz 2 Amortization'!$S$4=AO$5),INDEX('Mezz 2 Amortization'!$B$19:$V$379,MATCH(AO$142,'Mezz 2 Amortization'!$E$19:$E$379,0),MATCH('Mezz 2 Amortization'!$R$19,'Mezz 2 Amortization'!$B$19:$V$19,0)),0),0)))</f>
        <v>0</v>
      </c>
      <c r="AP145" s="427">
        <f>-IF(OR('Financing Assumptions'!$T$8="No",AP$142&lt;='Financing Assumptions'!$T$26,AP$142&gt;'Mezz 2 Amortization'!$T$13),0,IF('Mezz 2 Amortization'!$T$4="Monthly",INDEX('Mezz 2 Amortization'!$B$19:$V$379,MATCH(AP$142,'Mezz 2 Amortization'!$E$19:$E$379,0),MATCH('Mezz 2 Amortization'!$R$19,'Mezz 2 Amortization'!$B$19:$V$19,0)),IF('Mezz 2 Amortization'!$T$4="Bi-Annual",IF(OR('Mezz 2 Amortization'!$R$4=AP$5,'Mezz 2 Amortization'!$S$4=AP$5),INDEX('Mezz 2 Amortization'!$B$19:$V$379,MATCH(AP$142,'Mezz 2 Amortization'!$E$19:$E$379,0),MATCH('Mezz 2 Amortization'!$R$19,'Mezz 2 Amortization'!$B$19:$V$19,0)),0),0)))</f>
        <v>0</v>
      </c>
      <c r="AQ145" s="427">
        <f>-IF(OR('Financing Assumptions'!$T$8="No",AQ$142&lt;='Financing Assumptions'!$T$26,AQ$142&gt;'Mezz 2 Amortization'!$T$13),0,IF('Mezz 2 Amortization'!$T$4="Monthly",INDEX('Mezz 2 Amortization'!$B$19:$V$379,MATCH(AQ$142,'Mezz 2 Amortization'!$E$19:$E$379,0),MATCH('Mezz 2 Amortization'!$R$19,'Mezz 2 Amortization'!$B$19:$V$19,0)),IF('Mezz 2 Amortization'!$T$4="Bi-Annual",IF(OR('Mezz 2 Amortization'!$R$4=AQ$5,'Mezz 2 Amortization'!$S$4=AQ$5),INDEX('Mezz 2 Amortization'!$B$19:$V$379,MATCH(AQ$142,'Mezz 2 Amortization'!$E$19:$E$379,0),MATCH('Mezz 2 Amortization'!$R$19,'Mezz 2 Amortization'!$B$19:$V$19,0)),0),0)))</f>
        <v>0</v>
      </c>
      <c r="AR145" s="427">
        <f>-IF(OR('Financing Assumptions'!$T$8="No",AR$142&lt;='Financing Assumptions'!$T$26,AR$142&gt;'Mezz 2 Amortization'!$T$13),0,IF('Mezz 2 Amortization'!$T$4="Monthly",INDEX('Mezz 2 Amortization'!$B$19:$V$379,MATCH(AR$142,'Mezz 2 Amortization'!$E$19:$E$379,0),MATCH('Mezz 2 Amortization'!$R$19,'Mezz 2 Amortization'!$B$19:$V$19,0)),IF('Mezz 2 Amortization'!$T$4="Bi-Annual",IF(OR('Mezz 2 Amortization'!$R$4=AR$5,'Mezz 2 Amortization'!$S$4=AR$5),INDEX('Mezz 2 Amortization'!$B$19:$V$379,MATCH(AR$142,'Mezz 2 Amortization'!$E$19:$E$379,0),MATCH('Mezz 2 Amortization'!$R$19,'Mezz 2 Amortization'!$B$19:$V$19,0)),0),0)))</f>
        <v>0</v>
      </c>
      <c r="AS145" s="427">
        <f>-IF(OR('Financing Assumptions'!$T$8="No",AS$142&lt;='Financing Assumptions'!$T$26,AS$142&gt;'Mezz 2 Amortization'!$T$13),0,IF('Mezz 2 Amortization'!$T$4="Monthly",INDEX('Mezz 2 Amortization'!$B$19:$V$379,MATCH(AS$142,'Mezz 2 Amortization'!$E$19:$E$379,0),MATCH('Mezz 2 Amortization'!$R$19,'Mezz 2 Amortization'!$B$19:$V$19,0)),IF('Mezz 2 Amortization'!$T$4="Bi-Annual",IF(OR('Mezz 2 Amortization'!$R$4=AS$5,'Mezz 2 Amortization'!$S$4=AS$5),INDEX('Mezz 2 Amortization'!$B$19:$V$379,MATCH(AS$142,'Mezz 2 Amortization'!$E$19:$E$379,0),MATCH('Mezz 2 Amortization'!$R$19,'Mezz 2 Amortization'!$B$19:$V$19,0)),0),0)))</f>
        <v>0</v>
      </c>
      <c r="AT145" s="427">
        <f>-IF(OR('Financing Assumptions'!$T$8="No",AT$142&lt;='Financing Assumptions'!$T$26,AT$142&gt;'Mezz 2 Amortization'!$T$13),0,IF('Mezz 2 Amortization'!$T$4="Monthly",INDEX('Mezz 2 Amortization'!$B$19:$V$379,MATCH(AT$142,'Mezz 2 Amortization'!$E$19:$E$379,0),MATCH('Mezz 2 Amortization'!$R$19,'Mezz 2 Amortization'!$B$19:$V$19,0)),IF('Mezz 2 Amortization'!$T$4="Bi-Annual",IF(OR('Mezz 2 Amortization'!$R$4=AT$5,'Mezz 2 Amortization'!$S$4=AT$5),INDEX('Mezz 2 Amortization'!$B$19:$V$379,MATCH(AT$142,'Mezz 2 Amortization'!$E$19:$E$379,0),MATCH('Mezz 2 Amortization'!$R$19,'Mezz 2 Amortization'!$B$19:$V$19,0)),0),0)))</f>
        <v>0</v>
      </c>
      <c r="AU145" s="427">
        <f>-IF(OR('Financing Assumptions'!$T$8="No",AU$142&lt;='Financing Assumptions'!$T$26,AU$142&gt;'Mezz 2 Amortization'!$T$13),0,IF('Mezz 2 Amortization'!$T$4="Monthly",INDEX('Mezz 2 Amortization'!$B$19:$V$379,MATCH(AU$142,'Mezz 2 Amortization'!$E$19:$E$379,0),MATCH('Mezz 2 Amortization'!$R$19,'Mezz 2 Amortization'!$B$19:$V$19,0)),IF('Mezz 2 Amortization'!$T$4="Bi-Annual",IF(OR('Mezz 2 Amortization'!$R$4=AU$5,'Mezz 2 Amortization'!$S$4=AU$5),INDEX('Mezz 2 Amortization'!$B$19:$V$379,MATCH(AU$142,'Mezz 2 Amortization'!$E$19:$E$379,0),MATCH('Mezz 2 Amortization'!$R$19,'Mezz 2 Amortization'!$B$19:$V$19,0)),0),0)))</f>
        <v>0</v>
      </c>
      <c r="AV145" s="427">
        <f>-IF(OR('Financing Assumptions'!$T$8="No",AV$142&lt;='Financing Assumptions'!$T$26,AV$142&gt;'Mezz 2 Amortization'!$T$13),0,IF('Mezz 2 Amortization'!$T$4="Monthly",INDEX('Mezz 2 Amortization'!$B$19:$V$379,MATCH(AV$142,'Mezz 2 Amortization'!$E$19:$E$379,0),MATCH('Mezz 2 Amortization'!$R$19,'Mezz 2 Amortization'!$B$19:$V$19,0)),IF('Mezz 2 Amortization'!$T$4="Bi-Annual",IF(OR('Mezz 2 Amortization'!$R$4=AV$5,'Mezz 2 Amortization'!$S$4=AV$5),INDEX('Mezz 2 Amortization'!$B$19:$V$379,MATCH(AV$142,'Mezz 2 Amortization'!$E$19:$E$379,0),MATCH('Mezz 2 Amortization'!$R$19,'Mezz 2 Amortization'!$B$19:$V$19,0)),0),0)))</f>
        <v>0</v>
      </c>
      <c r="AW145" s="427">
        <f>-IF(OR('Financing Assumptions'!$T$8="No",AW$142&lt;='Financing Assumptions'!$T$26,AW$142&gt;'Mezz 2 Amortization'!$T$13),0,IF('Mezz 2 Amortization'!$T$4="Monthly",INDEX('Mezz 2 Amortization'!$B$19:$V$379,MATCH(AW$142,'Mezz 2 Amortization'!$E$19:$E$379,0),MATCH('Mezz 2 Amortization'!$R$19,'Mezz 2 Amortization'!$B$19:$V$19,0)),IF('Mezz 2 Amortization'!$T$4="Bi-Annual",IF(OR('Mezz 2 Amortization'!$R$4=AW$5,'Mezz 2 Amortization'!$S$4=AW$5),INDEX('Mezz 2 Amortization'!$B$19:$V$379,MATCH(AW$142,'Mezz 2 Amortization'!$E$19:$E$379,0),MATCH('Mezz 2 Amortization'!$R$19,'Mezz 2 Amortization'!$B$19:$V$19,0)),0),0)))</f>
        <v>0</v>
      </c>
      <c r="AX145" s="427">
        <f>-IF(OR('Financing Assumptions'!$T$8="No",AX$142&lt;='Financing Assumptions'!$T$26,AX$142&gt;'Mezz 2 Amortization'!$T$13),0,IF('Mezz 2 Amortization'!$T$4="Monthly",INDEX('Mezz 2 Amortization'!$B$19:$V$379,MATCH(AX$142,'Mezz 2 Amortization'!$E$19:$E$379,0),MATCH('Mezz 2 Amortization'!$R$19,'Mezz 2 Amortization'!$B$19:$V$19,0)),IF('Mezz 2 Amortization'!$T$4="Bi-Annual",IF(OR('Mezz 2 Amortization'!$R$4=AX$5,'Mezz 2 Amortization'!$S$4=AX$5),INDEX('Mezz 2 Amortization'!$B$19:$V$379,MATCH(AX$142,'Mezz 2 Amortization'!$E$19:$E$379,0),MATCH('Mezz 2 Amortization'!$R$19,'Mezz 2 Amortization'!$B$19:$V$19,0)),0),0)))</f>
        <v>0</v>
      </c>
      <c r="AY145" s="427">
        <f>-IF(OR('Financing Assumptions'!$T$8="No",AY$142&lt;='Financing Assumptions'!$T$26,AY$142&gt;'Mezz 2 Amortization'!$T$13),0,IF('Mezz 2 Amortization'!$T$4="Monthly",INDEX('Mezz 2 Amortization'!$B$19:$V$379,MATCH(AY$142,'Mezz 2 Amortization'!$E$19:$E$379,0),MATCH('Mezz 2 Amortization'!$R$19,'Mezz 2 Amortization'!$B$19:$V$19,0)),IF('Mezz 2 Amortization'!$T$4="Bi-Annual",IF(OR('Mezz 2 Amortization'!$R$4=AY$5,'Mezz 2 Amortization'!$S$4=AY$5),INDEX('Mezz 2 Amortization'!$B$19:$V$379,MATCH(AY$142,'Mezz 2 Amortization'!$E$19:$E$379,0),MATCH('Mezz 2 Amortization'!$R$19,'Mezz 2 Amortization'!$B$19:$V$19,0)),0),0)))</f>
        <v>0</v>
      </c>
      <c r="AZ145" s="427">
        <f>-IF(OR('Financing Assumptions'!$T$8="No",AZ$142&lt;='Financing Assumptions'!$T$26,AZ$142&gt;'Mezz 2 Amortization'!$T$13),0,IF('Mezz 2 Amortization'!$T$4="Monthly",INDEX('Mezz 2 Amortization'!$B$19:$V$379,MATCH(AZ$142,'Mezz 2 Amortization'!$E$19:$E$379,0),MATCH('Mezz 2 Amortization'!$R$19,'Mezz 2 Amortization'!$B$19:$V$19,0)),IF('Mezz 2 Amortization'!$T$4="Bi-Annual",IF(OR('Mezz 2 Amortization'!$R$4=AZ$5,'Mezz 2 Amortization'!$S$4=AZ$5),INDEX('Mezz 2 Amortization'!$B$19:$V$379,MATCH(AZ$142,'Mezz 2 Amortization'!$E$19:$E$379,0),MATCH('Mezz 2 Amortization'!$R$19,'Mezz 2 Amortization'!$B$19:$V$19,0)),0),0)))</f>
        <v>0</v>
      </c>
      <c r="BA145" s="427">
        <f>-IF(OR('Financing Assumptions'!$T$8="No",BA$142&lt;='Financing Assumptions'!$T$26,BA$142&gt;'Mezz 2 Amortization'!$T$13),0,IF('Mezz 2 Amortization'!$T$4="Monthly",INDEX('Mezz 2 Amortization'!$B$19:$V$379,MATCH(BA$142,'Mezz 2 Amortization'!$E$19:$E$379,0),MATCH('Mezz 2 Amortization'!$R$19,'Mezz 2 Amortization'!$B$19:$V$19,0)),IF('Mezz 2 Amortization'!$T$4="Bi-Annual",IF(OR('Mezz 2 Amortization'!$R$4=BA$5,'Mezz 2 Amortization'!$S$4=BA$5),INDEX('Mezz 2 Amortization'!$B$19:$V$379,MATCH(BA$142,'Mezz 2 Amortization'!$E$19:$E$379,0),MATCH('Mezz 2 Amortization'!$R$19,'Mezz 2 Amortization'!$B$19:$V$19,0)),0),0)))</f>
        <v>0</v>
      </c>
      <c r="BB145" s="427">
        <f>-IF(OR('Financing Assumptions'!$T$8="No",BB$142&lt;='Financing Assumptions'!$T$26,BB$142&gt;'Mezz 2 Amortization'!$T$13),0,IF('Mezz 2 Amortization'!$T$4="Monthly",INDEX('Mezz 2 Amortization'!$B$19:$V$379,MATCH(BB$142,'Mezz 2 Amortization'!$E$19:$E$379,0),MATCH('Mezz 2 Amortization'!$R$19,'Mezz 2 Amortization'!$B$19:$V$19,0)),IF('Mezz 2 Amortization'!$T$4="Bi-Annual",IF(OR('Mezz 2 Amortization'!$R$4=BB$5,'Mezz 2 Amortization'!$S$4=BB$5),INDEX('Mezz 2 Amortization'!$B$19:$V$379,MATCH(BB$142,'Mezz 2 Amortization'!$E$19:$E$379,0),MATCH('Mezz 2 Amortization'!$R$19,'Mezz 2 Amortization'!$B$19:$V$19,0)),0),0)))</f>
        <v>0</v>
      </c>
      <c r="BC145" s="427">
        <f>-IF(OR('Financing Assumptions'!$T$8="No",BC$142&lt;='Financing Assumptions'!$T$26,BC$142&gt;'Mezz 2 Amortization'!$T$13),0,IF('Mezz 2 Amortization'!$T$4="Monthly",INDEX('Mezz 2 Amortization'!$B$19:$V$379,MATCH(BC$142,'Mezz 2 Amortization'!$E$19:$E$379,0),MATCH('Mezz 2 Amortization'!$R$19,'Mezz 2 Amortization'!$B$19:$V$19,0)),IF('Mezz 2 Amortization'!$T$4="Bi-Annual",IF(OR('Mezz 2 Amortization'!$R$4=BC$5,'Mezz 2 Amortization'!$S$4=BC$5),INDEX('Mezz 2 Amortization'!$B$19:$V$379,MATCH(BC$142,'Mezz 2 Amortization'!$E$19:$E$379,0),MATCH('Mezz 2 Amortization'!$R$19,'Mezz 2 Amortization'!$B$19:$V$19,0)),0),0)))</f>
        <v>0</v>
      </c>
      <c r="BD145" s="427">
        <f>-IF(OR('Financing Assumptions'!$T$8="No",BD$142&lt;='Financing Assumptions'!$T$26,BD$142&gt;'Mezz 2 Amortization'!$T$13),0,IF('Mezz 2 Amortization'!$T$4="Monthly",INDEX('Mezz 2 Amortization'!$B$19:$V$379,MATCH(BD$142,'Mezz 2 Amortization'!$E$19:$E$379,0),MATCH('Mezz 2 Amortization'!$R$19,'Mezz 2 Amortization'!$B$19:$V$19,0)),IF('Mezz 2 Amortization'!$T$4="Bi-Annual",IF(OR('Mezz 2 Amortization'!$R$4=BD$5,'Mezz 2 Amortization'!$S$4=BD$5),INDEX('Mezz 2 Amortization'!$B$19:$V$379,MATCH(BD$142,'Mezz 2 Amortization'!$E$19:$E$379,0),MATCH('Mezz 2 Amortization'!$R$19,'Mezz 2 Amortization'!$B$19:$V$19,0)),0),0)))</f>
        <v>0</v>
      </c>
      <c r="BE145" s="427">
        <f>-IF(OR('Financing Assumptions'!$T$8="No",BE$142&lt;='Financing Assumptions'!$T$26,BE$142&gt;'Mezz 2 Amortization'!$T$13),0,IF('Mezz 2 Amortization'!$T$4="Monthly",INDEX('Mezz 2 Amortization'!$B$19:$V$379,MATCH(BE$142,'Mezz 2 Amortization'!$E$19:$E$379,0),MATCH('Mezz 2 Amortization'!$R$19,'Mezz 2 Amortization'!$B$19:$V$19,0)),IF('Mezz 2 Amortization'!$T$4="Bi-Annual",IF(OR('Mezz 2 Amortization'!$R$4=BE$5,'Mezz 2 Amortization'!$S$4=BE$5),INDEX('Mezz 2 Amortization'!$B$19:$V$379,MATCH(BE$142,'Mezz 2 Amortization'!$E$19:$E$379,0),MATCH('Mezz 2 Amortization'!$R$19,'Mezz 2 Amortization'!$B$19:$V$19,0)),0),0)))</f>
        <v>0</v>
      </c>
      <c r="BF145" s="427">
        <f>-IF(OR('Financing Assumptions'!$T$8="No",BF$142&lt;='Financing Assumptions'!$T$26,BF$142&gt;'Mezz 2 Amortization'!$T$13),0,IF('Mezz 2 Amortization'!$T$4="Monthly",INDEX('Mezz 2 Amortization'!$B$19:$V$379,MATCH(BF$142,'Mezz 2 Amortization'!$E$19:$E$379,0),MATCH('Mezz 2 Amortization'!$R$19,'Mezz 2 Amortization'!$B$19:$V$19,0)),IF('Mezz 2 Amortization'!$T$4="Bi-Annual",IF(OR('Mezz 2 Amortization'!$R$4=BF$5,'Mezz 2 Amortization'!$S$4=BF$5),INDEX('Mezz 2 Amortization'!$B$19:$V$379,MATCH(BF$142,'Mezz 2 Amortization'!$E$19:$E$379,0),MATCH('Mezz 2 Amortization'!$R$19,'Mezz 2 Amortization'!$B$19:$V$19,0)),0),0)))</f>
        <v>0</v>
      </c>
      <c r="BG145" s="427">
        <f>-IF(OR('Financing Assumptions'!$T$8="No",BG$142&lt;='Financing Assumptions'!$T$26,BG$142&gt;'Mezz 2 Amortization'!$T$13),0,IF('Mezz 2 Amortization'!$T$4="Monthly",INDEX('Mezz 2 Amortization'!$B$19:$V$379,MATCH(BG$142,'Mezz 2 Amortization'!$E$19:$E$379,0),MATCH('Mezz 2 Amortization'!$R$19,'Mezz 2 Amortization'!$B$19:$V$19,0)),IF('Mezz 2 Amortization'!$T$4="Bi-Annual",IF(OR('Mezz 2 Amortization'!$R$4=BG$5,'Mezz 2 Amortization'!$S$4=BG$5),INDEX('Mezz 2 Amortization'!$B$19:$V$379,MATCH(BG$142,'Mezz 2 Amortization'!$E$19:$E$379,0),MATCH('Mezz 2 Amortization'!$R$19,'Mezz 2 Amortization'!$B$19:$V$19,0)),0),0)))</f>
        <v>0</v>
      </c>
      <c r="BH145" s="427">
        <f>-IF(OR('Financing Assumptions'!$T$8="No",BH$142&lt;='Financing Assumptions'!$T$26,BH$142&gt;'Mezz 2 Amortization'!$T$13),0,IF('Mezz 2 Amortization'!$T$4="Monthly",INDEX('Mezz 2 Amortization'!$B$19:$V$379,MATCH(BH$142,'Mezz 2 Amortization'!$E$19:$E$379,0),MATCH('Mezz 2 Amortization'!$R$19,'Mezz 2 Amortization'!$B$19:$V$19,0)),IF('Mezz 2 Amortization'!$T$4="Bi-Annual",IF(OR('Mezz 2 Amortization'!$R$4=BH$5,'Mezz 2 Amortization'!$S$4=BH$5),INDEX('Mezz 2 Amortization'!$B$19:$V$379,MATCH(BH$142,'Mezz 2 Amortization'!$E$19:$E$379,0),MATCH('Mezz 2 Amortization'!$R$19,'Mezz 2 Amortization'!$B$19:$V$19,0)),0),0)))</f>
        <v>0</v>
      </c>
      <c r="BI145" s="427">
        <f>-IF(OR('Financing Assumptions'!$T$8="No",BI$142&lt;='Financing Assumptions'!$T$26,BI$142&gt;'Mezz 2 Amortization'!$T$13),0,IF('Mezz 2 Amortization'!$T$4="Monthly",INDEX('Mezz 2 Amortization'!$B$19:$V$379,MATCH(BI$142,'Mezz 2 Amortization'!$E$19:$E$379,0),MATCH('Mezz 2 Amortization'!$R$19,'Mezz 2 Amortization'!$B$19:$V$19,0)),IF('Mezz 2 Amortization'!$T$4="Bi-Annual",IF(OR('Mezz 2 Amortization'!$R$4=BI$5,'Mezz 2 Amortization'!$S$4=BI$5),INDEX('Mezz 2 Amortization'!$B$19:$V$379,MATCH(BI$142,'Mezz 2 Amortization'!$E$19:$E$379,0),MATCH('Mezz 2 Amortization'!$R$19,'Mezz 2 Amortization'!$B$19:$V$19,0)),0),0)))</f>
        <v>0</v>
      </c>
      <c r="BJ145" s="427">
        <f>-IF(OR('Financing Assumptions'!$T$8="No",BJ$142&lt;='Financing Assumptions'!$T$26,BJ$142&gt;'Mezz 2 Amortization'!$T$13),0,IF('Mezz 2 Amortization'!$T$4="Monthly",INDEX('Mezz 2 Amortization'!$B$19:$V$379,MATCH(BJ$142,'Mezz 2 Amortization'!$E$19:$E$379,0),MATCH('Mezz 2 Amortization'!$R$19,'Mezz 2 Amortization'!$B$19:$V$19,0)),IF('Mezz 2 Amortization'!$T$4="Bi-Annual",IF(OR('Mezz 2 Amortization'!$R$4=BJ$5,'Mezz 2 Amortization'!$S$4=BJ$5),INDEX('Mezz 2 Amortization'!$B$19:$V$379,MATCH(BJ$142,'Mezz 2 Amortization'!$E$19:$E$379,0),MATCH('Mezz 2 Amortization'!$R$19,'Mezz 2 Amortization'!$B$19:$V$19,0)),0),0)))</f>
        <v>0</v>
      </c>
      <c r="BK145" s="427">
        <f>-IF(OR('Financing Assumptions'!$T$8="No",BK$142&lt;='Financing Assumptions'!$T$26,BK$142&gt;'Mezz 2 Amortization'!$T$13),0,IF('Mezz 2 Amortization'!$T$4="Monthly",INDEX('Mezz 2 Amortization'!$B$19:$V$379,MATCH(BK$142,'Mezz 2 Amortization'!$E$19:$E$379,0),MATCH('Mezz 2 Amortization'!$R$19,'Mezz 2 Amortization'!$B$19:$V$19,0)),IF('Mezz 2 Amortization'!$T$4="Bi-Annual",IF(OR('Mezz 2 Amortization'!$R$4=BK$5,'Mezz 2 Amortization'!$S$4=BK$5),INDEX('Mezz 2 Amortization'!$B$19:$V$379,MATCH(BK$142,'Mezz 2 Amortization'!$E$19:$E$379,0),MATCH('Mezz 2 Amortization'!$R$19,'Mezz 2 Amortization'!$B$19:$V$19,0)),0),0)))</f>
        <v>0</v>
      </c>
      <c r="BL145" s="427">
        <f>-IF(OR('Financing Assumptions'!$T$8="No",BL$142&lt;='Financing Assumptions'!$T$26,BL$142&gt;'Mezz 2 Amortization'!$T$13),0,IF('Mezz 2 Amortization'!$T$4="Monthly",INDEX('Mezz 2 Amortization'!$B$19:$V$379,MATCH(BL$142,'Mezz 2 Amortization'!$E$19:$E$379,0),MATCH('Mezz 2 Amortization'!$R$19,'Mezz 2 Amortization'!$B$19:$V$19,0)),IF('Mezz 2 Amortization'!$T$4="Bi-Annual",IF(OR('Mezz 2 Amortization'!$R$4=BL$5,'Mezz 2 Amortization'!$S$4=BL$5),INDEX('Mezz 2 Amortization'!$B$19:$V$379,MATCH(BL$142,'Mezz 2 Amortization'!$E$19:$E$379,0),MATCH('Mezz 2 Amortization'!$R$19,'Mezz 2 Amortization'!$B$19:$V$19,0)),0),0)))</f>
        <v>0</v>
      </c>
      <c r="BM145" s="427">
        <f>-IF(OR('Financing Assumptions'!$T$8="No",BM$142&lt;='Financing Assumptions'!$T$26,BM$142&gt;'Mezz 2 Amortization'!$T$13),0,IF('Mezz 2 Amortization'!$T$4="Monthly",INDEX('Mezz 2 Amortization'!$B$19:$V$379,MATCH(BM$142,'Mezz 2 Amortization'!$E$19:$E$379,0),MATCH('Mezz 2 Amortization'!$R$19,'Mezz 2 Amortization'!$B$19:$V$19,0)),IF('Mezz 2 Amortization'!$T$4="Bi-Annual",IF(OR('Mezz 2 Amortization'!$R$4=BM$5,'Mezz 2 Amortization'!$S$4=BM$5),INDEX('Mezz 2 Amortization'!$B$19:$V$379,MATCH(BM$142,'Mezz 2 Amortization'!$E$19:$E$379,0),MATCH('Mezz 2 Amortization'!$R$19,'Mezz 2 Amortization'!$B$19:$V$19,0)),0),0)))</f>
        <v>0</v>
      </c>
      <c r="BN145" s="427">
        <f>-IF(OR('Financing Assumptions'!$T$8="No",BN$142&lt;='Financing Assumptions'!$T$26,BN$142&gt;'Mezz 2 Amortization'!$T$13),0,IF('Mezz 2 Amortization'!$T$4="Monthly",INDEX('Mezz 2 Amortization'!$B$19:$V$379,MATCH(BN$142,'Mezz 2 Amortization'!$E$19:$E$379,0),MATCH('Mezz 2 Amortization'!$R$19,'Mezz 2 Amortization'!$B$19:$V$19,0)),IF('Mezz 2 Amortization'!$T$4="Bi-Annual",IF(OR('Mezz 2 Amortization'!$R$4=BN$5,'Mezz 2 Amortization'!$S$4=BN$5),INDEX('Mezz 2 Amortization'!$B$19:$V$379,MATCH(BN$142,'Mezz 2 Amortization'!$E$19:$E$379,0),MATCH('Mezz 2 Amortization'!$R$19,'Mezz 2 Amortization'!$B$19:$V$19,0)),0),0)))</f>
        <v>0</v>
      </c>
      <c r="BO145" s="427">
        <f>-IF(OR('Financing Assumptions'!$T$8="No",BO$142&lt;='Financing Assumptions'!$T$26,BO$142&gt;'Mezz 2 Amortization'!$T$13),0,IF('Mezz 2 Amortization'!$T$4="Monthly",INDEX('Mezz 2 Amortization'!$B$19:$V$379,MATCH(BO$142,'Mezz 2 Amortization'!$E$19:$E$379,0),MATCH('Mezz 2 Amortization'!$R$19,'Mezz 2 Amortization'!$B$19:$V$19,0)),IF('Mezz 2 Amortization'!$T$4="Bi-Annual",IF(OR('Mezz 2 Amortization'!$R$4=BO$5,'Mezz 2 Amortization'!$S$4=BO$5),INDEX('Mezz 2 Amortization'!$B$19:$V$379,MATCH(BO$142,'Mezz 2 Amortization'!$E$19:$E$379,0),MATCH('Mezz 2 Amortization'!$R$19,'Mezz 2 Amortization'!$B$19:$V$19,0)),0),0)))</f>
        <v>0</v>
      </c>
      <c r="BP145" s="427">
        <f>-IF(OR('Financing Assumptions'!$T$8="No",BP$142&lt;='Financing Assumptions'!$T$26,BP$142&gt;'Mezz 2 Amortization'!$T$13),0,IF('Mezz 2 Amortization'!$T$4="Monthly",INDEX('Mezz 2 Amortization'!$B$19:$V$379,MATCH(BP$142,'Mezz 2 Amortization'!$E$19:$E$379,0),MATCH('Mezz 2 Amortization'!$R$19,'Mezz 2 Amortization'!$B$19:$V$19,0)),IF('Mezz 2 Amortization'!$T$4="Bi-Annual",IF(OR('Mezz 2 Amortization'!$R$4=BP$5,'Mezz 2 Amortization'!$S$4=BP$5),INDEX('Mezz 2 Amortization'!$B$19:$V$379,MATCH(BP$142,'Mezz 2 Amortization'!$E$19:$E$379,0),MATCH('Mezz 2 Amortization'!$R$19,'Mezz 2 Amortization'!$B$19:$V$19,0)),0),0)))</f>
        <v>0</v>
      </c>
      <c r="BQ145" s="427">
        <f>-IF(OR('Financing Assumptions'!$T$8="No",BQ$142&lt;='Financing Assumptions'!$T$26,BQ$142&gt;'Mezz 2 Amortization'!$T$13),0,IF('Mezz 2 Amortization'!$T$4="Monthly",INDEX('Mezz 2 Amortization'!$B$19:$V$379,MATCH(BQ$142,'Mezz 2 Amortization'!$E$19:$E$379,0),MATCH('Mezz 2 Amortization'!$R$19,'Mezz 2 Amortization'!$B$19:$V$19,0)),IF('Mezz 2 Amortization'!$T$4="Bi-Annual",IF(OR('Mezz 2 Amortization'!$R$4=BQ$5,'Mezz 2 Amortization'!$S$4=BQ$5),INDEX('Mezz 2 Amortization'!$B$19:$V$379,MATCH(BQ$142,'Mezz 2 Amortization'!$E$19:$E$379,0),MATCH('Mezz 2 Amortization'!$R$19,'Mezz 2 Amortization'!$B$19:$V$19,0)),0),0)))</f>
        <v>0</v>
      </c>
      <c r="BR145" s="427">
        <f>-IF(OR('Financing Assumptions'!$T$8="No",BR$142&lt;='Financing Assumptions'!$T$26,BR$142&gt;'Mezz 2 Amortization'!$T$13),0,IF('Mezz 2 Amortization'!$T$4="Monthly",INDEX('Mezz 2 Amortization'!$B$19:$V$379,MATCH(BR$142,'Mezz 2 Amortization'!$E$19:$E$379,0),MATCH('Mezz 2 Amortization'!$R$19,'Mezz 2 Amortization'!$B$19:$V$19,0)),IF('Mezz 2 Amortization'!$T$4="Bi-Annual",IF(OR('Mezz 2 Amortization'!$R$4=BR$5,'Mezz 2 Amortization'!$S$4=BR$5),INDEX('Mezz 2 Amortization'!$B$19:$V$379,MATCH(BR$142,'Mezz 2 Amortization'!$E$19:$E$379,0),MATCH('Mezz 2 Amortization'!$R$19,'Mezz 2 Amortization'!$B$19:$V$19,0)),0),0)))</f>
        <v>0</v>
      </c>
      <c r="BS145" s="427">
        <f>-IF(OR('Financing Assumptions'!$T$8="No",BS$142&lt;='Financing Assumptions'!$T$26,BS$142&gt;'Mezz 2 Amortization'!$T$13),0,IF('Mezz 2 Amortization'!$T$4="Monthly",INDEX('Mezz 2 Amortization'!$B$19:$V$379,MATCH(BS$142,'Mezz 2 Amortization'!$E$19:$E$379,0),MATCH('Mezz 2 Amortization'!$R$19,'Mezz 2 Amortization'!$B$19:$V$19,0)),IF('Mezz 2 Amortization'!$T$4="Bi-Annual",IF(OR('Mezz 2 Amortization'!$R$4=BS$5,'Mezz 2 Amortization'!$S$4=BS$5),INDEX('Mezz 2 Amortization'!$B$19:$V$379,MATCH(BS$142,'Mezz 2 Amortization'!$E$19:$E$379,0),MATCH('Mezz 2 Amortization'!$R$19,'Mezz 2 Amortization'!$B$19:$V$19,0)),0),0)))</f>
        <v>0</v>
      </c>
      <c r="BT145" s="427">
        <f>-IF(OR('Financing Assumptions'!$T$8="No",BT$142&lt;='Financing Assumptions'!$T$26,BT$142&gt;'Mezz 2 Amortization'!$T$13),0,IF('Mezz 2 Amortization'!$T$4="Monthly",INDEX('Mezz 2 Amortization'!$B$19:$V$379,MATCH(BT$142,'Mezz 2 Amortization'!$E$19:$E$379,0),MATCH('Mezz 2 Amortization'!$R$19,'Mezz 2 Amortization'!$B$19:$V$19,0)),IF('Mezz 2 Amortization'!$T$4="Bi-Annual",IF(OR('Mezz 2 Amortization'!$R$4=BT$5,'Mezz 2 Amortization'!$S$4=BT$5),INDEX('Mezz 2 Amortization'!$B$19:$V$379,MATCH(BT$142,'Mezz 2 Amortization'!$E$19:$E$379,0),MATCH('Mezz 2 Amortization'!$R$19,'Mezz 2 Amortization'!$B$19:$V$19,0)),0),0)))</f>
        <v>0</v>
      </c>
      <c r="BU145" s="427">
        <f>-IF(OR('Financing Assumptions'!$T$8="No",BU$142&lt;='Financing Assumptions'!$T$26,BU$142&gt;'Mezz 2 Amortization'!$T$13),0,IF('Mezz 2 Amortization'!$T$4="Monthly",INDEX('Mezz 2 Amortization'!$B$19:$V$379,MATCH(BU$142,'Mezz 2 Amortization'!$E$19:$E$379,0),MATCH('Mezz 2 Amortization'!$R$19,'Mezz 2 Amortization'!$B$19:$V$19,0)),IF('Mezz 2 Amortization'!$T$4="Bi-Annual",IF(OR('Mezz 2 Amortization'!$R$4=BU$5,'Mezz 2 Amortization'!$S$4=BU$5),INDEX('Mezz 2 Amortization'!$B$19:$V$379,MATCH(BU$142,'Mezz 2 Amortization'!$E$19:$E$379,0),MATCH('Mezz 2 Amortization'!$R$19,'Mezz 2 Amortization'!$B$19:$V$19,0)),0),0)))</f>
        <v>0</v>
      </c>
      <c r="BV145" s="427">
        <f>-IF(OR('Financing Assumptions'!$T$8="No",BV$142&lt;='Financing Assumptions'!$T$26,BV$142&gt;'Mezz 2 Amortization'!$T$13),0,IF('Mezz 2 Amortization'!$T$4="Monthly",INDEX('Mezz 2 Amortization'!$B$19:$V$379,MATCH(BV$142,'Mezz 2 Amortization'!$E$19:$E$379,0),MATCH('Mezz 2 Amortization'!$R$19,'Mezz 2 Amortization'!$B$19:$V$19,0)),IF('Mezz 2 Amortization'!$T$4="Bi-Annual",IF(OR('Mezz 2 Amortization'!$R$4=BV$5,'Mezz 2 Amortization'!$S$4=BV$5),INDEX('Mezz 2 Amortization'!$B$19:$V$379,MATCH(BV$142,'Mezz 2 Amortization'!$E$19:$E$379,0),MATCH('Mezz 2 Amortization'!$R$19,'Mezz 2 Amortization'!$B$19:$V$19,0)),0),0)))</f>
        <v>0</v>
      </c>
      <c r="BW145" s="427">
        <f>-IF(OR('Financing Assumptions'!$T$8="No",BW$142&lt;='Financing Assumptions'!$T$26,BW$142&gt;'Mezz 2 Amortization'!$T$13),0,IF('Mezz 2 Amortization'!$T$4="Monthly",INDEX('Mezz 2 Amortization'!$B$19:$V$379,MATCH(BW$142,'Mezz 2 Amortization'!$E$19:$E$379,0),MATCH('Mezz 2 Amortization'!$R$19,'Mezz 2 Amortization'!$B$19:$V$19,0)),IF('Mezz 2 Amortization'!$T$4="Bi-Annual",IF(OR('Mezz 2 Amortization'!$R$4=BW$5,'Mezz 2 Amortization'!$S$4=BW$5),INDEX('Mezz 2 Amortization'!$B$19:$V$379,MATCH(BW$142,'Mezz 2 Amortization'!$E$19:$E$379,0),MATCH('Mezz 2 Amortization'!$R$19,'Mezz 2 Amortization'!$B$19:$V$19,0)),0),0)))</f>
        <v>0</v>
      </c>
      <c r="BX145" s="427">
        <f>-IF(OR('Financing Assumptions'!$T$8="No",BX$142&lt;='Financing Assumptions'!$T$26,BX$142&gt;'Mezz 2 Amortization'!$T$13),0,IF('Mezz 2 Amortization'!$T$4="Monthly",INDEX('Mezz 2 Amortization'!$B$19:$V$379,MATCH(BX$142,'Mezz 2 Amortization'!$E$19:$E$379,0),MATCH('Mezz 2 Amortization'!$R$19,'Mezz 2 Amortization'!$B$19:$V$19,0)),IF('Mezz 2 Amortization'!$T$4="Bi-Annual",IF(OR('Mezz 2 Amortization'!$R$4=BX$5,'Mezz 2 Amortization'!$S$4=BX$5),INDEX('Mezz 2 Amortization'!$B$19:$V$379,MATCH(BX$142,'Mezz 2 Amortization'!$E$19:$E$379,0),MATCH('Mezz 2 Amortization'!$R$19,'Mezz 2 Amortization'!$B$19:$V$19,0)),0),0)))</f>
        <v>0</v>
      </c>
      <c r="BY145" s="427">
        <f>-IF(OR('Financing Assumptions'!$T$8="No",BY$142&lt;='Financing Assumptions'!$T$26,BY$142&gt;'Mezz 2 Amortization'!$T$13),0,IF('Mezz 2 Amortization'!$T$4="Monthly",INDEX('Mezz 2 Amortization'!$B$19:$V$379,MATCH(BY$142,'Mezz 2 Amortization'!$E$19:$E$379,0),MATCH('Mezz 2 Amortization'!$R$19,'Mezz 2 Amortization'!$B$19:$V$19,0)),IF('Mezz 2 Amortization'!$T$4="Bi-Annual",IF(OR('Mezz 2 Amortization'!$R$4=BY$5,'Mezz 2 Amortization'!$S$4=BY$5),INDEX('Mezz 2 Amortization'!$B$19:$V$379,MATCH(BY$142,'Mezz 2 Amortization'!$E$19:$E$379,0),MATCH('Mezz 2 Amortization'!$R$19,'Mezz 2 Amortization'!$B$19:$V$19,0)),0),0)))</f>
        <v>0</v>
      </c>
      <c r="BZ145" s="427">
        <f>-IF(OR('Financing Assumptions'!$T$8="No",BZ$142&lt;='Financing Assumptions'!$T$26,BZ$142&gt;'Mezz 2 Amortization'!$T$13),0,IF('Mezz 2 Amortization'!$T$4="Monthly",INDEX('Mezz 2 Amortization'!$B$19:$V$379,MATCH(BZ$142,'Mezz 2 Amortization'!$E$19:$E$379,0),MATCH('Mezz 2 Amortization'!$R$19,'Mezz 2 Amortization'!$B$19:$V$19,0)),IF('Mezz 2 Amortization'!$T$4="Bi-Annual",IF(OR('Mezz 2 Amortization'!$R$4=BZ$5,'Mezz 2 Amortization'!$S$4=BZ$5),INDEX('Mezz 2 Amortization'!$B$19:$V$379,MATCH(BZ$142,'Mezz 2 Amortization'!$E$19:$E$379,0),MATCH('Mezz 2 Amortization'!$R$19,'Mezz 2 Amortization'!$B$19:$V$19,0)),0),0)))</f>
        <v>0</v>
      </c>
      <c r="CA145" s="427">
        <f>-IF(OR('Financing Assumptions'!$T$8="No",CA$142&lt;='Financing Assumptions'!$T$26,CA$142&gt;'Mezz 2 Amortization'!$T$13),0,IF('Mezz 2 Amortization'!$T$4="Monthly",INDEX('Mezz 2 Amortization'!$B$19:$V$379,MATCH(CA$142,'Mezz 2 Amortization'!$E$19:$E$379,0),MATCH('Mezz 2 Amortization'!$R$19,'Mezz 2 Amortization'!$B$19:$V$19,0)),IF('Mezz 2 Amortization'!$T$4="Bi-Annual",IF(OR('Mezz 2 Amortization'!$R$4=CA$5,'Mezz 2 Amortization'!$S$4=CA$5),INDEX('Mezz 2 Amortization'!$B$19:$V$379,MATCH(CA$142,'Mezz 2 Amortization'!$E$19:$E$379,0),MATCH('Mezz 2 Amortization'!$R$19,'Mezz 2 Amortization'!$B$19:$V$19,0)),0),0)))</f>
        <v>0</v>
      </c>
      <c r="CB145" s="427">
        <f>-IF(OR('Financing Assumptions'!$T$8="No",CB$142&lt;='Financing Assumptions'!$T$26,CB$142&gt;'Mezz 2 Amortization'!$T$13),0,IF('Mezz 2 Amortization'!$T$4="Monthly",INDEX('Mezz 2 Amortization'!$B$19:$V$379,MATCH(CB$142,'Mezz 2 Amortization'!$E$19:$E$379,0),MATCH('Mezz 2 Amortization'!$R$19,'Mezz 2 Amortization'!$B$19:$V$19,0)),IF('Mezz 2 Amortization'!$T$4="Bi-Annual",IF(OR('Mezz 2 Amortization'!$R$4=CB$5,'Mezz 2 Amortization'!$S$4=CB$5),INDEX('Mezz 2 Amortization'!$B$19:$V$379,MATCH(CB$142,'Mezz 2 Amortization'!$E$19:$E$379,0),MATCH('Mezz 2 Amortization'!$R$19,'Mezz 2 Amortization'!$B$19:$V$19,0)),0),0)))</f>
        <v>0</v>
      </c>
      <c r="CC145" s="427">
        <f>-IF(OR('Financing Assumptions'!$T$8="No",CC$142&lt;='Financing Assumptions'!$T$26,CC$142&gt;'Mezz 2 Amortization'!$T$13),0,IF('Mezz 2 Amortization'!$T$4="Monthly",INDEX('Mezz 2 Amortization'!$B$19:$V$379,MATCH(CC$142,'Mezz 2 Amortization'!$E$19:$E$379,0),MATCH('Mezz 2 Amortization'!$R$19,'Mezz 2 Amortization'!$B$19:$V$19,0)),IF('Mezz 2 Amortization'!$T$4="Bi-Annual",IF(OR('Mezz 2 Amortization'!$R$4=CC$5,'Mezz 2 Amortization'!$S$4=CC$5),INDEX('Mezz 2 Amortization'!$B$19:$V$379,MATCH(CC$142,'Mezz 2 Amortization'!$E$19:$E$379,0),MATCH('Mezz 2 Amortization'!$R$19,'Mezz 2 Amortization'!$B$19:$V$19,0)),0),0)))</f>
        <v>0</v>
      </c>
      <c r="CD145" s="427">
        <f>-IF(OR('Financing Assumptions'!$T$8="No",CD$142&lt;='Financing Assumptions'!$T$26,CD$142&gt;'Mezz 2 Amortization'!$T$13),0,IF('Mezz 2 Amortization'!$T$4="Monthly",INDEX('Mezz 2 Amortization'!$B$19:$V$379,MATCH(CD$142,'Mezz 2 Amortization'!$E$19:$E$379,0),MATCH('Mezz 2 Amortization'!$R$19,'Mezz 2 Amortization'!$B$19:$V$19,0)),IF('Mezz 2 Amortization'!$T$4="Bi-Annual",IF(OR('Mezz 2 Amortization'!$R$4=CD$5,'Mezz 2 Amortization'!$S$4=CD$5),INDEX('Mezz 2 Amortization'!$B$19:$V$379,MATCH(CD$142,'Mezz 2 Amortization'!$E$19:$E$379,0),MATCH('Mezz 2 Amortization'!$R$19,'Mezz 2 Amortization'!$B$19:$V$19,0)),0),0)))</f>
        <v>0</v>
      </c>
      <c r="CE145" s="427">
        <f>-IF(OR('Financing Assumptions'!$T$8="No",CE$142&lt;='Financing Assumptions'!$T$26,CE$142&gt;'Mezz 2 Amortization'!$T$13),0,IF('Mezz 2 Amortization'!$T$4="Monthly",INDEX('Mezz 2 Amortization'!$B$19:$V$379,MATCH(CE$142,'Mezz 2 Amortization'!$E$19:$E$379,0),MATCH('Mezz 2 Amortization'!$R$19,'Mezz 2 Amortization'!$B$19:$V$19,0)),IF('Mezz 2 Amortization'!$T$4="Bi-Annual",IF(OR('Mezz 2 Amortization'!$R$4=CE$5,'Mezz 2 Amortization'!$S$4=CE$5),INDEX('Mezz 2 Amortization'!$B$19:$V$379,MATCH(CE$142,'Mezz 2 Amortization'!$E$19:$E$379,0),MATCH('Mezz 2 Amortization'!$R$19,'Mezz 2 Amortization'!$B$19:$V$19,0)),0),0)))</f>
        <v>0</v>
      </c>
      <c r="CF145" s="427">
        <f>-IF(OR('Financing Assumptions'!$T$8="No",CF$142&lt;='Financing Assumptions'!$T$26,CF$142&gt;'Mezz 2 Amortization'!$T$13),0,IF('Mezz 2 Amortization'!$T$4="Monthly",INDEX('Mezz 2 Amortization'!$B$19:$V$379,MATCH(CF$142,'Mezz 2 Amortization'!$E$19:$E$379,0),MATCH('Mezz 2 Amortization'!$R$19,'Mezz 2 Amortization'!$B$19:$V$19,0)),IF('Mezz 2 Amortization'!$T$4="Bi-Annual",IF(OR('Mezz 2 Amortization'!$R$4=CF$5,'Mezz 2 Amortization'!$S$4=CF$5),INDEX('Mezz 2 Amortization'!$B$19:$V$379,MATCH(CF$142,'Mezz 2 Amortization'!$E$19:$E$379,0),MATCH('Mezz 2 Amortization'!$R$19,'Mezz 2 Amortization'!$B$19:$V$19,0)),0),0)))</f>
        <v>0</v>
      </c>
      <c r="CG145" s="427">
        <f>-IF(OR('Financing Assumptions'!$T$8="No",CG$142&lt;='Financing Assumptions'!$T$26,CG$142&gt;'Mezz 2 Amortization'!$T$13),0,IF('Mezz 2 Amortization'!$T$4="Monthly",INDEX('Mezz 2 Amortization'!$B$19:$V$379,MATCH(CG$142,'Mezz 2 Amortization'!$E$19:$E$379,0),MATCH('Mezz 2 Amortization'!$R$19,'Mezz 2 Amortization'!$B$19:$V$19,0)),IF('Mezz 2 Amortization'!$T$4="Bi-Annual",IF(OR('Mezz 2 Amortization'!$R$4=CG$5,'Mezz 2 Amortization'!$S$4=CG$5),INDEX('Mezz 2 Amortization'!$B$19:$V$379,MATCH(CG$142,'Mezz 2 Amortization'!$E$19:$E$379,0),MATCH('Mezz 2 Amortization'!$R$19,'Mezz 2 Amortization'!$B$19:$V$19,0)),0),0)))</f>
        <v>0</v>
      </c>
      <c r="CH145" s="427">
        <f>-IF(OR('Financing Assumptions'!$T$8="No",CH$142&lt;='Financing Assumptions'!$T$26,CH$142&gt;'Mezz 2 Amortization'!$T$13),0,IF('Mezz 2 Amortization'!$T$4="Monthly",INDEX('Mezz 2 Amortization'!$B$19:$V$379,MATCH(CH$142,'Mezz 2 Amortization'!$E$19:$E$379,0),MATCH('Mezz 2 Amortization'!$R$19,'Mezz 2 Amortization'!$B$19:$V$19,0)),IF('Mezz 2 Amortization'!$T$4="Bi-Annual",IF(OR('Mezz 2 Amortization'!$R$4=CH$5,'Mezz 2 Amortization'!$S$4=CH$5),INDEX('Mezz 2 Amortization'!$B$19:$V$379,MATCH(CH$142,'Mezz 2 Amortization'!$E$19:$E$379,0),MATCH('Mezz 2 Amortization'!$R$19,'Mezz 2 Amortization'!$B$19:$V$19,0)),0),0)))</f>
        <v>0</v>
      </c>
      <c r="CI145" s="427">
        <f>-IF(OR('Financing Assumptions'!$T$8="No",CI$142&lt;='Financing Assumptions'!$T$26,CI$142&gt;'Mezz 2 Amortization'!$T$13),0,IF('Mezz 2 Amortization'!$T$4="Monthly",INDEX('Mezz 2 Amortization'!$B$19:$V$379,MATCH(CI$142,'Mezz 2 Amortization'!$E$19:$E$379,0),MATCH('Mezz 2 Amortization'!$R$19,'Mezz 2 Amortization'!$B$19:$V$19,0)),IF('Mezz 2 Amortization'!$T$4="Bi-Annual",IF(OR('Mezz 2 Amortization'!$R$4=CI$5,'Mezz 2 Amortization'!$S$4=CI$5),INDEX('Mezz 2 Amortization'!$B$19:$V$379,MATCH(CI$142,'Mezz 2 Amortization'!$E$19:$E$379,0),MATCH('Mezz 2 Amortization'!$R$19,'Mezz 2 Amortization'!$B$19:$V$19,0)),0),0)))</f>
        <v>0</v>
      </c>
      <c r="CJ145" s="427">
        <f>-IF(OR('Financing Assumptions'!$T$8="No",CJ$142&lt;='Financing Assumptions'!$T$26,CJ$142&gt;'Mezz 2 Amortization'!$T$13),0,IF('Mezz 2 Amortization'!$T$4="Monthly",INDEX('Mezz 2 Amortization'!$B$19:$V$379,MATCH(CJ$142,'Mezz 2 Amortization'!$E$19:$E$379,0),MATCH('Mezz 2 Amortization'!$R$19,'Mezz 2 Amortization'!$B$19:$V$19,0)),IF('Mezz 2 Amortization'!$T$4="Bi-Annual",IF(OR('Mezz 2 Amortization'!$R$4=CJ$5,'Mezz 2 Amortization'!$S$4=CJ$5),INDEX('Mezz 2 Amortization'!$B$19:$V$379,MATCH(CJ$142,'Mezz 2 Amortization'!$E$19:$E$379,0),MATCH('Mezz 2 Amortization'!$R$19,'Mezz 2 Amortization'!$B$19:$V$19,0)),0),0)))</f>
        <v>0</v>
      </c>
      <c r="CK145" s="427">
        <f>-IF(OR('Financing Assumptions'!$T$8="No",CK$142&lt;='Financing Assumptions'!$T$26,CK$142&gt;'Mezz 2 Amortization'!$T$13),0,IF('Mezz 2 Amortization'!$T$4="Monthly",INDEX('Mezz 2 Amortization'!$B$19:$V$379,MATCH(CK$142,'Mezz 2 Amortization'!$E$19:$E$379,0),MATCH('Mezz 2 Amortization'!$R$19,'Mezz 2 Amortization'!$B$19:$V$19,0)),IF('Mezz 2 Amortization'!$T$4="Bi-Annual",IF(OR('Mezz 2 Amortization'!$R$4=CK$5,'Mezz 2 Amortization'!$S$4=CK$5),INDEX('Mezz 2 Amortization'!$B$19:$V$379,MATCH(CK$142,'Mezz 2 Amortization'!$E$19:$E$379,0),MATCH('Mezz 2 Amortization'!$R$19,'Mezz 2 Amortization'!$B$19:$V$19,0)),0),0)))</f>
        <v>0</v>
      </c>
      <c r="CL145" s="427">
        <f>-IF(OR('Financing Assumptions'!$T$8="No",CL$142&lt;='Financing Assumptions'!$T$26,CL$142&gt;'Mezz 2 Amortization'!$T$13),0,IF('Mezz 2 Amortization'!$T$4="Monthly",INDEX('Mezz 2 Amortization'!$B$19:$V$379,MATCH(CL$142,'Mezz 2 Amortization'!$E$19:$E$379,0),MATCH('Mezz 2 Amortization'!$R$19,'Mezz 2 Amortization'!$B$19:$V$19,0)),IF('Mezz 2 Amortization'!$T$4="Bi-Annual",IF(OR('Mezz 2 Amortization'!$R$4=CL$5,'Mezz 2 Amortization'!$S$4=CL$5),INDEX('Mezz 2 Amortization'!$B$19:$V$379,MATCH(CL$142,'Mezz 2 Amortization'!$E$19:$E$379,0),MATCH('Mezz 2 Amortization'!$R$19,'Mezz 2 Amortization'!$B$19:$V$19,0)),0),0)))</f>
        <v>0</v>
      </c>
      <c r="CM145" s="427">
        <f>-IF(OR('Financing Assumptions'!$T$8="No",CM$142&lt;='Financing Assumptions'!$T$26,CM$142&gt;'Mezz 2 Amortization'!$T$13),0,IF('Mezz 2 Amortization'!$T$4="Monthly",INDEX('Mezz 2 Amortization'!$B$19:$V$379,MATCH(CM$142,'Mezz 2 Amortization'!$E$19:$E$379,0),MATCH('Mezz 2 Amortization'!$R$19,'Mezz 2 Amortization'!$B$19:$V$19,0)),IF('Mezz 2 Amortization'!$T$4="Bi-Annual",IF(OR('Mezz 2 Amortization'!$R$4=CM$5,'Mezz 2 Amortization'!$S$4=CM$5),INDEX('Mezz 2 Amortization'!$B$19:$V$379,MATCH(CM$142,'Mezz 2 Amortization'!$E$19:$E$379,0),MATCH('Mezz 2 Amortization'!$R$19,'Mezz 2 Amortization'!$B$19:$V$19,0)),0),0)))</f>
        <v>0</v>
      </c>
      <c r="CN145" s="427">
        <f>-IF(OR('Financing Assumptions'!$T$8="No",CN$142&lt;='Financing Assumptions'!$T$26,CN$142&gt;'Mezz 2 Amortization'!$T$13),0,IF('Mezz 2 Amortization'!$T$4="Monthly",INDEX('Mezz 2 Amortization'!$B$19:$V$379,MATCH(CN$142,'Mezz 2 Amortization'!$E$19:$E$379,0),MATCH('Mezz 2 Amortization'!$R$19,'Mezz 2 Amortization'!$B$19:$V$19,0)),IF('Mezz 2 Amortization'!$T$4="Bi-Annual",IF(OR('Mezz 2 Amortization'!$R$4=CN$5,'Mezz 2 Amortization'!$S$4=CN$5),INDEX('Mezz 2 Amortization'!$B$19:$V$379,MATCH(CN$142,'Mezz 2 Amortization'!$E$19:$E$379,0),MATCH('Mezz 2 Amortization'!$R$19,'Mezz 2 Amortization'!$B$19:$V$19,0)),0),0)))</f>
        <v>0</v>
      </c>
      <c r="CO145" s="427">
        <f>-IF(OR('Financing Assumptions'!$T$8="No",CO$142&lt;='Financing Assumptions'!$T$26,CO$142&gt;'Mezz 2 Amortization'!$T$13),0,IF('Mezz 2 Amortization'!$T$4="Monthly",INDEX('Mezz 2 Amortization'!$B$19:$V$379,MATCH(CO$142,'Mezz 2 Amortization'!$E$19:$E$379,0),MATCH('Mezz 2 Amortization'!$R$19,'Mezz 2 Amortization'!$B$19:$V$19,0)),IF('Mezz 2 Amortization'!$T$4="Bi-Annual",IF(OR('Mezz 2 Amortization'!$R$4=CO$5,'Mezz 2 Amortization'!$S$4=CO$5),INDEX('Mezz 2 Amortization'!$B$19:$V$379,MATCH(CO$142,'Mezz 2 Amortization'!$E$19:$E$379,0),MATCH('Mezz 2 Amortization'!$R$19,'Mezz 2 Amortization'!$B$19:$V$19,0)),0),0)))</f>
        <v>0</v>
      </c>
      <c r="CP145" s="427">
        <f>-IF(OR('Financing Assumptions'!$T$8="No",CP$142&lt;='Financing Assumptions'!$T$26,CP$142&gt;'Mezz 2 Amortization'!$T$13),0,IF('Mezz 2 Amortization'!$T$4="Monthly",INDEX('Mezz 2 Amortization'!$B$19:$V$379,MATCH(CP$142,'Mezz 2 Amortization'!$E$19:$E$379,0),MATCH('Mezz 2 Amortization'!$R$19,'Mezz 2 Amortization'!$B$19:$V$19,0)),IF('Mezz 2 Amortization'!$T$4="Bi-Annual",IF(OR('Mezz 2 Amortization'!$R$4=CP$5,'Mezz 2 Amortization'!$S$4=CP$5),INDEX('Mezz 2 Amortization'!$B$19:$V$379,MATCH(CP$142,'Mezz 2 Amortization'!$E$19:$E$379,0),MATCH('Mezz 2 Amortization'!$R$19,'Mezz 2 Amortization'!$B$19:$V$19,0)),0),0)))</f>
        <v>0</v>
      </c>
      <c r="CQ145" s="427">
        <f>-IF(OR('Financing Assumptions'!$T$8="No",CQ$142&lt;='Financing Assumptions'!$T$26,CQ$142&gt;'Mezz 2 Amortization'!$T$13),0,IF('Mezz 2 Amortization'!$T$4="Monthly",INDEX('Mezz 2 Amortization'!$B$19:$V$379,MATCH(CQ$142,'Mezz 2 Amortization'!$E$19:$E$379,0),MATCH('Mezz 2 Amortization'!$R$19,'Mezz 2 Amortization'!$B$19:$V$19,0)),IF('Mezz 2 Amortization'!$T$4="Bi-Annual",IF(OR('Mezz 2 Amortization'!$R$4=CQ$5,'Mezz 2 Amortization'!$S$4=CQ$5),INDEX('Mezz 2 Amortization'!$B$19:$V$379,MATCH(CQ$142,'Mezz 2 Amortization'!$E$19:$E$379,0),MATCH('Mezz 2 Amortization'!$R$19,'Mezz 2 Amortization'!$B$19:$V$19,0)),0),0)))</f>
        <v>0</v>
      </c>
      <c r="CR145" s="427">
        <f>-IF(OR('Financing Assumptions'!$T$8="No",CR$142&lt;='Financing Assumptions'!$T$26,CR$142&gt;'Mezz 2 Amortization'!$T$13),0,IF('Mezz 2 Amortization'!$T$4="Monthly",INDEX('Mezz 2 Amortization'!$B$19:$V$379,MATCH(CR$142,'Mezz 2 Amortization'!$E$19:$E$379,0),MATCH('Mezz 2 Amortization'!$R$19,'Mezz 2 Amortization'!$B$19:$V$19,0)),IF('Mezz 2 Amortization'!$T$4="Bi-Annual",IF(OR('Mezz 2 Amortization'!$R$4=CR$5,'Mezz 2 Amortization'!$S$4=CR$5),INDEX('Mezz 2 Amortization'!$B$19:$V$379,MATCH(CR$142,'Mezz 2 Amortization'!$E$19:$E$379,0),MATCH('Mezz 2 Amortization'!$R$19,'Mezz 2 Amortization'!$B$19:$V$19,0)),0),0)))</f>
        <v>0</v>
      </c>
      <c r="CS145" s="427">
        <f>-IF(OR('Financing Assumptions'!$T$8="No",CS$142&lt;='Financing Assumptions'!$T$26,CS$142&gt;'Mezz 2 Amortization'!$T$13),0,IF('Mezz 2 Amortization'!$T$4="Monthly",INDEX('Mezz 2 Amortization'!$B$19:$V$379,MATCH(CS$142,'Mezz 2 Amortization'!$E$19:$E$379,0),MATCH('Mezz 2 Amortization'!$R$19,'Mezz 2 Amortization'!$B$19:$V$19,0)),IF('Mezz 2 Amortization'!$T$4="Bi-Annual",IF(OR('Mezz 2 Amortization'!$R$4=CS$5,'Mezz 2 Amortization'!$S$4=CS$5),INDEX('Mezz 2 Amortization'!$B$19:$V$379,MATCH(CS$142,'Mezz 2 Amortization'!$E$19:$E$379,0),MATCH('Mezz 2 Amortization'!$R$19,'Mezz 2 Amortization'!$B$19:$V$19,0)),0),0)))</f>
        <v>0</v>
      </c>
      <c r="CT145" s="427">
        <f>-IF(OR('Financing Assumptions'!$T$8="No",CT$142&lt;='Financing Assumptions'!$T$26,CT$142&gt;'Mezz 2 Amortization'!$T$13),0,IF('Mezz 2 Amortization'!$T$4="Monthly",INDEX('Mezz 2 Amortization'!$B$19:$V$379,MATCH(CT$142,'Mezz 2 Amortization'!$E$19:$E$379,0),MATCH('Mezz 2 Amortization'!$R$19,'Mezz 2 Amortization'!$B$19:$V$19,0)),IF('Mezz 2 Amortization'!$T$4="Bi-Annual",IF(OR('Mezz 2 Amortization'!$R$4=CT$5,'Mezz 2 Amortization'!$S$4=CT$5),INDEX('Mezz 2 Amortization'!$B$19:$V$379,MATCH(CT$142,'Mezz 2 Amortization'!$E$19:$E$379,0),MATCH('Mezz 2 Amortization'!$R$19,'Mezz 2 Amortization'!$B$19:$V$19,0)),0),0)))</f>
        <v>0</v>
      </c>
      <c r="CU145" s="427">
        <f>-IF(OR('Financing Assumptions'!$T$8="No",CU$142&lt;='Financing Assumptions'!$T$26,CU$142&gt;'Mezz 2 Amortization'!$T$13),0,IF('Mezz 2 Amortization'!$T$4="Monthly",INDEX('Mezz 2 Amortization'!$B$19:$V$379,MATCH(CU$142,'Mezz 2 Amortization'!$E$19:$E$379,0),MATCH('Mezz 2 Amortization'!$R$19,'Mezz 2 Amortization'!$B$19:$V$19,0)),IF('Mezz 2 Amortization'!$T$4="Bi-Annual",IF(OR('Mezz 2 Amortization'!$R$4=CU$5,'Mezz 2 Amortization'!$S$4=CU$5),INDEX('Mezz 2 Amortization'!$B$19:$V$379,MATCH(CU$142,'Mezz 2 Amortization'!$E$19:$E$379,0),MATCH('Mezz 2 Amortization'!$R$19,'Mezz 2 Amortization'!$B$19:$V$19,0)),0),0)))</f>
        <v>0</v>
      </c>
      <c r="CV145" s="427">
        <f>-IF(OR('Financing Assumptions'!$T$8="No",CV$142&lt;='Financing Assumptions'!$T$26,CV$142&gt;'Mezz 2 Amortization'!$T$13),0,IF('Mezz 2 Amortization'!$T$4="Monthly",INDEX('Mezz 2 Amortization'!$B$19:$V$379,MATCH(CV$142,'Mezz 2 Amortization'!$E$19:$E$379,0),MATCH('Mezz 2 Amortization'!$R$19,'Mezz 2 Amortization'!$B$19:$V$19,0)),IF('Mezz 2 Amortization'!$T$4="Bi-Annual",IF(OR('Mezz 2 Amortization'!$R$4=CV$5,'Mezz 2 Amortization'!$S$4=CV$5),INDEX('Mezz 2 Amortization'!$B$19:$V$379,MATCH(CV$142,'Mezz 2 Amortization'!$E$19:$E$379,0),MATCH('Mezz 2 Amortization'!$R$19,'Mezz 2 Amortization'!$B$19:$V$19,0)),0),0)))</f>
        <v>0</v>
      </c>
      <c r="CW145" s="427">
        <f>-IF(OR('Financing Assumptions'!$T$8="No",CW$142&lt;='Financing Assumptions'!$T$26,CW$142&gt;'Mezz 2 Amortization'!$T$13),0,IF('Mezz 2 Amortization'!$T$4="Monthly",INDEX('Mezz 2 Amortization'!$B$19:$V$379,MATCH(CW$142,'Mezz 2 Amortization'!$E$19:$E$379,0),MATCH('Mezz 2 Amortization'!$R$19,'Mezz 2 Amortization'!$B$19:$V$19,0)),IF('Mezz 2 Amortization'!$T$4="Bi-Annual",IF(OR('Mezz 2 Amortization'!$R$4=CW$5,'Mezz 2 Amortization'!$S$4=CW$5),INDEX('Mezz 2 Amortization'!$B$19:$V$379,MATCH(CW$142,'Mezz 2 Amortization'!$E$19:$E$379,0),MATCH('Mezz 2 Amortization'!$R$19,'Mezz 2 Amortization'!$B$19:$V$19,0)),0),0)))</f>
        <v>0</v>
      </c>
      <c r="CX145" s="427">
        <f>-IF(OR('Financing Assumptions'!$T$8="No",CX$142&lt;='Financing Assumptions'!$T$26,CX$142&gt;'Mezz 2 Amortization'!$T$13),0,IF('Mezz 2 Amortization'!$T$4="Monthly",INDEX('Mezz 2 Amortization'!$B$19:$V$379,MATCH(CX$142,'Mezz 2 Amortization'!$E$19:$E$379,0),MATCH('Mezz 2 Amortization'!$R$19,'Mezz 2 Amortization'!$B$19:$V$19,0)),IF('Mezz 2 Amortization'!$T$4="Bi-Annual",IF(OR('Mezz 2 Amortization'!$R$4=CX$5,'Mezz 2 Amortization'!$S$4=CX$5),INDEX('Mezz 2 Amortization'!$B$19:$V$379,MATCH(CX$142,'Mezz 2 Amortization'!$E$19:$E$379,0),MATCH('Mezz 2 Amortization'!$R$19,'Mezz 2 Amortization'!$B$19:$V$19,0)),0),0)))</f>
        <v>0</v>
      </c>
      <c r="CY145" s="427">
        <f>-IF(OR('Financing Assumptions'!$T$8="No",CY$142&lt;='Financing Assumptions'!$T$26,CY$142&gt;'Mezz 2 Amortization'!$T$13),0,IF('Mezz 2 Amortization'!$T$4="Monthly",INDEX('Mezz 2 Amortization'!$B$19:$V$379,MATCH(CY$142,'Mezz 2 Amortization'!$E$19:$E$379,0),MATCH('Mezz 2 Amortization'!$R$19,'Mezz 2 Amortization'!$B$19:$V$19,0)),IF('Mezz 2 Amortization'!$T$4="Bi-Annual",IF(OR('Mezz 2 Amortization'!$R$4=CY$5,'Mezz 2 Amortization'!$S$4=CY$5),INDEX('Mezz 2 Amortization'!$B$19:$V$379,MATCH(CY$142,'Mezz 2 Amortization'!$E$19:$E$379,0),MATCH('Mezz 2 Amortization'!$R$19,'Mezz 2 Amortization'!$B$19:$V$19,0)),0),0)))</f>
        <v>0</v>
      </c>
      <c r="CZ145" s="427">
        <f>-IF(OR('Financing Assumptions'!$T$8="No",CZ$142&lt;='Financing Assumptions'!$T$26,CZ$142&gt;'Mezz 2 Amortization'!$T$13),0,IF('Mezz 2 Amortization'!$T$4="Monthly",INDEX('Mezz 2 Amortization'!$B$19:$V$379,MATCH(CZ$142,'Mezz 2 Amortization'!$E$19:$E$379,0),MATCH('Mezz 2 Amortization'!$R$19,'Mezz 2 Amortization'!$B$19:$V$19,0)),IF('Mezz 2 Amortization'!$T$4="Bi-Annual",IF(OR('Mezz 2 Amortization'!$R$4=CZ$5,'Mezz 2 Amortization'!$S$4=CZ$5),INDEX('Mezz 2 Amortization'!$B$19:$V$379,MATCH(CZ$142,'Mezz 2 Amortization'!$E$19:$E$379,0),MATCH('Mezz 2 Amortization'!$R$19,'Mezz 2 Amortization'!$B$19:$V$19,0)),0),0)))</f>
        <v>0</v>
      </c>
      <c r="DA145" s="427">
        <f>-IF(OR('Financing Assumptions'!$T$8="No",DA$142&lt;='Financing Assumptions'!$T$26,DA$142&gt;'Mezz 2 Amortization'!$T$13),0,IF('Mezz 2 Amortization'!$T$4="Monthly",INDEX('Mezz 2 Amortization'!$B$19:$V$379,MATCH(DA$142,'Mezz 2 Amortization'!$E$19:$E$379,0),MATCH('Mezz 2 Amortization'!$R$19,'Mezz 2 Amortization'!$B$19:$V$19,0)),IF('Mezz 2 Amortization'!$T$4="Bi-Annual",IF(OR('Mezz 2 Amortization'!$R$4=DA$5,'Mezz 2 Amortization'!$S$4=DA$5),INDEX('Mezz 2 Amortization'!$B$19:$V$379,MATCH(DA$142,'Mezz 2 Amortization'!$E$19:$E$379,0),MATCH('Mezz 2 Amortization'!$R$19,'Mezz 2 Amortization'!$B$19:$V$19,0)),0),0)))</f>
        <v>0</v>
      </c>
      <c r="DB145" s="427">
        <f>-IF(OR('Financing Assumptions'!$T$8="No",DB$142&lt;='Financing Assumptions'!$T$26,DB$142&gt;'Mezz 2 Amortization'!$T$13),0,IF('Mezz 2 Amortization'!$T$4="Monthly",INDEX('Mezz 2 Amortization'!$B$19:$V$379,MATCH(DB$142,'Mezz 2 Amortization'!$E$19:$E$379,0),MATCH('Mezz 2 Amortization'!$R$19,'Mezz 2 Amortization'!$B$19:$V$19,0)),IF('Mezz 2 Amortization'!$T$4="Bi-Annual",IF(OR('Mezz 2 Amortization'!$R$4=DB$5,'Mezz 2 Amortization'!$S$4=DB$5),INDEX('Mezz 2 Amortization'!$B$19:$V$379,MATCH(DB$142,'Mezz 2 Amortization'!$E$19:$E$379,0),MATCH('Mezz 2 Amortization'!$R$19,'Mezz 2 Amortization'!$B$19:$V$19,0)),0),0)))</f>
        <v>0</v>
      </c>
      <c r="DC145" s="427">
        <f>-IF(OR('Financing Assumptions'!$T$8="No",DC$142&lt;='Financing Assumptions'!$T$26,DC$142&gt;'Mezz 2 Amortization'!$T$13),0,IF('Mezz 2 Amortization'!$T$4="Monthly",INDEX('Mezz 2 Amortization'!$B$19:$V$379,MATCH(DC$142,'Mezz 2 Amortization'!$E$19:$E$379,0),MATCH('Mezz 2 Amortization'!$R$19,'Mezz 2 Amortization'!$B$19:$V$19,0)),IF('Mezz 2 Amortization'!$T$4="Bi-Annual",IF(OR('Mezz 2 Amortization'!$R$4=DC$5,'Mezz 2 Amortization'!$S$4=DC$5),INDEX('Mezz 2 Amortization'!$B$19:$V$379,MATCH(DC$142,'Mezz 2 Amortization'!$E$19:$E$379,0),MATCH('Mezz 2 Amortization'!$R$19,'Mezz 2 Amortization'!$B$19:$V$19,0)),0),0)))</f>
        <v>0</v>
      </c>
      <c r="DD145" s="427">
        <f>-IF(OR('Financing Assumptions'!$T$8="No",DD$142&lt;='Financing Assumptions'!$T$26,DD$142&gt;'Mezz 2 Amortization'!$T$13),0,IF('Mezz 2 Amortization'!$T$4="Monthly",INDEX('Mezz 2 Amortization'!$B$19:$V$379,MATCH(DD$142,'Mezz 2 Amortization'!$E$19:$E$379,0),MATCH('Mezz 2 Amortization'!$R$19,'Mezz 2 Amortization'!$B$19:$V$19,0)),IF('Mezz 2 Amortization'!$T$4="Bi-Annual",IF(OR('Mezz 2 Amortization'!$R$4=DD$5,'Mezz 2 Amortization'!$S$4=DD$5),INDEX('Mezz 2 Amortization'!$B$19:$V$379,MATCH(DD$142,'Mezz 2 Amortization'!$E$19:$E$379,0),MATCH('Mezz 2 Amortization'!$R$19,'Mezz 2 Amortization'!$B$19:$V$19,0)),0),0)))</f>
        <v>0</v>
      </c>
      <c r="DE145" s="427">
        <f>-IF(OR('Financing Assumptions'!$T$8="No",DE$142&lt;='Financing Assumptions'!$T$26,DE$142&gt;'Mezz 2 Amortization'!$T$13),0,IF('Mezz 2 Amortization'!$T$4="Monthly",INDEX('Mezz 2 Amortization'!$B$19:$V$379,MATCH(DE$142,'Mezz 2 Amortization'!$E$19:$E$379,0),MATCH('Mezz 2 Amortization'!$R$19,'Mezz 2 Amortization'!$B$19:$V$19,0)),IF('Mezz 2 Amortization'!$T$4="Bi-Annual",IF(OR('Mezz 2 Amortization'!$R$4=DE$5,'Mezz 2 Amortization'!$S$4=DE$5),INDEX('Mezz 2 Amortization'!$B$19:$V$379,MATCH(DE$142,'Mezz 2 Amortization'!$E$19:$E$379,0),MATCH('Mezz 2 Amortization'!$R$19,'Mezz 2 Amortization'!$B$19:$V$19,0)),0),0)))</f>
        <v>0</v>
      </c>
      <c r="DF145" s="427">
        <f>-IF(OR('Financing Assumptions'!$T$8="No",DF$142&lt;='Financing Assumptions'!$T$26,DF$142&gt;'Mezz 2 Amortization'!$T$13),0,IF('Mezz 2 Amortization'!$T$4="Monthly",INDEX('Mezz 2 Amortization'!$B$19:$V$379,MATCH(DF$142,'Mezz 2 Amortization'!$E$19:$E$379,0),MATCH('Mezz 2 Amortization'!$R$19,'Mezz 2 Amortization'!$B$19:$V$19,0)),IF('Mezz 2 Amortization'!$T$4="Bi-Annual",IF(OR('Mezz 2 Amortization'!$R$4=DF$5,'Mezz 2 Amortization'!$S$4=DF$5),INDEX('Mezz 2 Amortization'!$B$19:$V$379,MATCH(DF$142,'Mezz 2 Amortization'!$E$19:$E$379,0),MATCH('Mezz 2 Amortization'!$R$19,'Mezz 2 Amortization'!$B$19:$V$19,0)),0),0)))</f>
        <v>0</v>
      </c>
      <c r="DG145" s="427">
        <f>-IF(OR('Financing Assumptions'!$T$8="No",DG$142&lt;='Financing Assumptions'!$T$26,DG$142&gt;'Mezz 2 Amortization'!$T$13),0,IF('Mezz 2 Amortization'!$T$4="Monthly",INDEX('Mezz 2 Amortization'!$B$19:$V$379,MATCH(DG$142,'Mezz 2 Amortization'!$E$19:$E$379,0),MATCH('Mezz 2 Amortization'!$R$19,'Mezz 2 Amortization'!$B$19:$V$19,0)),IF('Mezz 2 Amortization'!$T$4="Bi-Annual",IF(OR('Mezz 2 Amortization'!$R$4=DG$5,'Mezz 2 Amortization'!$S$4=DG$5),INDEX('Mezz 2 Amortization'!$B$19:$V$379,MATCH(DG$142,'Mezz 2 Amortization'!$E$19:$E$379,0),MATCH('Mezz 2 Amortization'!$R$19,'Mezz 2 Amortization'!$B$19:$V$19,0)),0),0)))</f>
        <v>0</v>
      </c>
      <c r="DH145" s="427">
        <f>-IF(OR('Financing Assumptions'!$T$8="No",DH$142&lt;='Financing Assumptions'!$T$26,DH$142&gt;'Mezz 2 Amortization'!$T$13),0,IF('Mezz 2 Amortization'!$T$4="Monthly",INDEX('Mezz 2 Amortization'!$B$19:$V$379,MATCH(DH$142,'Mezz 2 Amortization'!$E$19:$E$379,0),MATCH('Mezz 2 Amortization'!$R$19,'Mezz 2 Amortization'!$B$19:$V$19,0)),IF('Mezz 2 Amortization'!$T$4="Bi-Annual",IF(OR('Mezz 2 Amortization'!$R$4=DH$5,'Mezz 2 Amortization'!$S$4=DH$5),INDEX('Mezz 2 Amortization'!$B$19:$V$379,MATCH(DH$142,'Mezz 2 Amortization'!$E$19:$E$379,0),MATCH('Mezz 2 Amortization'!$R$19,'Mezz 2 Amortization'!$B$19:$V$19,0)),0),0)))</f>
        <v>0</v>
      </c>
      <c r="DI145" s="427">
        <f>-IF(OR('Financing Assumptions'!$T$8="No",DI$142&lt;='Financing Assumptions'!$T$26,DI$142&gt;'Mezz 2 Amortization'!$T$13),0,IF('Mezz 2 Amortization'!$T$4="Monthly",INDEX('Mezz 2 Amortization'!$B$19:$V$379,MATCH(DI$142,'Mezz 2 Amortization'!$E$19:$E$379,0),MATCH('Mezz 2 Amortization'!$R$19,'Mezz 2 Amortization'!$B$19:$V$19,0)),IF('Mezz 2 Amortization'!$T$4="Bi-Annual",IF(OR('Mezz 2 Amortization'!$R$4=DI$5,'Mezz 2 Amortization'!$S$4=DI$5),INDEX('Mezz 2 Amortization'!$B$19:$V$379,MATCH(DI$142,'Mezz 2 Amortization'!$E$19:$E$379,0),MATCH('Mezz 2 Amortization'!$R$19,'Mezz 2 Amortization'!$B$19:$V$19,0)),0),0)))</f>
        <v>0</v>
      </c>
      <c r="DJ145" s="427">
        <f>-IF(OR('Financing Assumptions'!$T$8="No",DJ$142&lt;='Financing Assumptions'!$T$26,DJ$142&gt;'Mezz 2 Amortization'!$T$13),0,IF('Mezz 2 Amortization'!$T$4="Monthly",INDEX('Mezz 2 Amortization'!$B$19:$V$379,MATCH(DJ$142,'Mezz 2 Amortization'!$E$19:$E$379,0),MATCH('Mezz 2 Amortization'!$R$19,'Mezz 2 Amortization'!$B$19:$V$19,0)),IF('Mezz 2 Amortization'!$T$4="Bi-Annual",IF(OR('Mezz 2 Amortization'!$R$4=DJ$5,'Mezz 2 Amortization'!$S$4=DJ$5),INDEX('Mezz 2 Amortization'!$B$19:$V$379,MATCH(DJ$142,'Mezz 2 Amortization'!$E$19:$E$379,0),MATCH('Mezz 2 Amortization'!$R$19,'Mezz 2 Amortization'!$B$19:$V$19,0)),0),0)))</f>
        <v>0</v>
      </c>
      <c r="DK145" s="427">
        <f>-IF(OR('Financing Assumptions'!$T$8="No",DK$142&lt;='Financing Assumptions'!$T$26,DK$142&gt;'Mezz 2 Amortization'!$T$13),0,IF('Mezz 2 Amortization'!$T$4="Monthly",INDEX('Mezz 2 Amortization'!$B$19:$V$379,MATCH(DK$142,'Mezz 2 Amortization'!$E$19:$E$379,0),MATCH('Mezz 2 Amortization'!$R$19,'Mezz 2 Amortization'!$B$19:$V$19,0)),IF('Mezz 2 Amortization'!$T$4="Bi-Annual",IF(OR('Mezz 2 Amortization'!$R$4=DK$5,'Mezz 2 Amortization'!$S$4=DK$5),INDEX('Mezz 2 Amortization'!$B$19:$V$379,MATCH(DK$142,'Mezz 2 Amortization'!$E$19:$E$379,0),MATCH('Mezz 2 Amortization'!$R$19,'Mezz 2 Amortization'!$B$19:$V$19,0)),0),0)))</f>
        <v>0</v>
      </c>
      <c r="DL145" s="427">
        <f>-IF(OR('Financing Assumptions'!$T$8="No",DL$142&lt;='Financing Assumptions'!$T$26,DL$142&gt;'Mezz 2 Amortization'!$T$13),0,IF('Mezz 2 Amortization'!$T$4="Monthly",INDEX('Mezz 2 Amortization'!$B$19:$V$379,MATCH(DL$142,'Mezz 2 Amortization'!$E$19:$E$379,0),MATCH('Mezz 2 Amortization'!$R$19,'Mezz 2 Amortization'!$B$19:$V$19,0)),IF('Mezz 2 Amortization'!$T$4="Bi-Annual",IF(OR('Mezz 2 Amortization'!$R$4=DL$5,'Mezz 2 Amortization'!$S$4=DL$5),INDEX('Mezz 2 Amortization'!$B$19:$V$379,MATCH(DL$142,'Mezz 2 Amortization'!$E$19:$E$379,0),MATCH('Mezz 2 Amortization'!$R$19,'Mezz 2 Amortization'!$B$19:$V$19,0)),0),0)))</f>
        <v>0</v>
      </c>
      <c r="DM145" s="427">
        <f>-IF(OR('Financing Assumptions'!$T$8="No",DM$142&lt;='Financing Assumptions'!$T$26,DM$142&gt;'Mezz 2 Amortization'!$T$13),0,IF('Mezz 2 Amortization'!$T$4="Monthly",INDEX('Mezz 2 Amortization'!$B$19:$V$379,MATCH(DM$142,'Mezz 2 Amortization'!$E$19:$E$379,0),MATCH('Mezz 2 Amortization'!$R$19,'Mezz 2 Amortization'!$B$19:$V$19,0)),IF('Mezz 2 Amortization'!$T$4="Bi-Annual",IF(OR('Mezz 2 Amortization'!$R$4=DM$5,'Mezz 2 Amortization'!$S$4=DM$5),INDEX('Mezz 2 Amortization'!$B$19:$V$379,MATCH(DM$142,'Mezz 2 Amortization'!$E$19:$E$379,0),MATCH('Mezz 2 Amortization'!$R$19,'Mezz 2 Amortization'!$B$19:$V$19,0)),0),0)))</f>
        <v>0</v>
      </c>
      <c r="DN145" s="427">
        <f>-IF(OR('Financing Assumptions'!$T$8="No",DN$142&lt;='Financing Assumptions'!$T$26,DN$142&gt;'Mezz 2 Amortization'!$T$13),0,IF('Mezz 2 Amortization'!$T$4="Monthly",INDEX('Mezz 2 Amortization'!$B$19:$V$379,MATCH(DN$142,'Mezz 2 Amortization'!$E$19:$E$379,0),MATCH('Mezz 2 Amortization'!$R$19,'Mezz 2 Amortization'!$B$19:$V$19,0)),IF('Mezz 2 Amortization'!$T$4="Bi-Annual",IF(OR('Mezz 2 Amortization'!$R$4=DN$5,'Mezz 2 Amortization'!$S$4=DN$5),INDEX('Mezz 2 Amortization'!$B$19:$V$379,MATCH(DN$142,'Mezz 2 Amortization'!$E$19:$E$379,0),MATCH('Mezz 2 Amortization'!$R$19,'Mezz 2 Amortization'!$B$19:$V$19,0)),0),0)))</f>
        <v>0</v>
      </c>
      <c r="DO145" s="427">
        <f>-IF(OR('Financing Assumptions'!$T$8="No",DO$142&lt;='Financing Assumptions'!$T$26,DO$142&gt;'Mezz 2 Amortization'!$T$13),0,IF('Mezz 2 Amortization'!$T$4="Monthly",INDEX('Mezz 2 Amortization'!$B$19:$V$379,MATCH(DO$142,'Mezz 2 Amortization'!$E$19:$E$379,0),MATCH('Mezz 2 Amortization'!$R$19,'Mezz 2 Amortization'!$B$19:$V$19,0)),IF('Mezz 2 Amortization'!$T$4="Bi-Annual",IF(OR('Mezz 2 Amortization'!$R$4=DO$5,'Mezz 2 Amortization'!$S$4=DO$5),INDEX('Mezz 2 Amortization'!$B$19:$V$379,MATCH(DO$142,'Mezz 2 Amortization'!$E$19:$E$379,0),MATCH('Mezz 2 Amortization'!$R$19,'Mezz 2 Amortization'!$B$19:$V$19,0)),0),0)))</f>
        <v>0</v>
      </c>
      <c r="DP145" s="427">
        <f>-IF(OR('Financing Assumptions'!$T$8="No",DP$142&lt;='Financing Assumptions'!$T$26,DP$142&gt;'Mezz 2 Amortization'!$T$13),0,IF('Mezz 2 Amortization'!$T$4="Monthly",INDEX('Mezz 2 Amortization'!$B$19:$V$379,MATCH(DP$142,'Mezz 2 Amortization'!$E$19:$E$379,0),MATCH('Mezz 2 Amortization'!$R$19,'Mezz 2 Amortization'!$B$19:$V$19,0)),IF('Mezz 2 Amortization'!$T$4="Bi-Annual",IF(OR('Mezz 2 Amortization'!$R$4=DP$5,'Mezz 2 Amortization'!$S$4=DP$5),INDEX('Mezz 2 Amortization'!$B$19:$V$379,MATCH(DP$142,'Mezz 2 Amortization'!$E$19:$E$379,0),MATCH('Mezz 2 Amortization'!$R$19,'Mezz 2 Amortization'!$B$19:$V$19,0)),0),0)))</f>
        <v>0</v>
      </c>
      <c r="DQ145" s="427">
        <f>-IF(OR('Financing Assumptions'!$T$8="No",DQ$142&lt;='Financing Assumptions'!$T$26,DQ$142&gt;'Mezz 2 Amortization'!$T$13),0,IF('Mezz 2 Amortization'!$T$4="Monthly",INDEX('Mezz 2 Amortization'!$B$19:$V$379,MATCH(DQ$142,'Mezz 2 Amortization'!$E$19:$E$379,0),MATCH('Mezz 2 Amortization'!$R$19,'Mezz 2 Amortization'!$B$19:$V$19,0)),IF('Mezz 2 Amortization'!$T$4="Bi-Annual",IF(OR('Mezz 2 Amortization'!$R$4=DQ$5,'Mezz 2 Amortization'!$S$4=DQ$5),INDEX('Mezz 2 Amortization'!$B$19:$V$379,MATCH(DQ$142,'Mezz 2 Amortization'!$E$19:$E$379,0),MATCH('Mezz 2 Amortization'!$R$19,'Mezz 2 Amortization'!$B$19:$V$19,0)),0),0)))</f>
        <v>0</v>
      </c>
      <c r="DR145" s="427">
        <f>-IF(OR('Financing Assumptions'!$T$8="No",DR$142&lt;='Financing Assumptions'!$T$26,DR$142&gt;'Mezz 2 Amortization'!$T$13),0,IF('Mezz 2 Amortization'!$T$4="Monthly",INDEX('Mezz 2 Amortization'!$B$19:$V$379,MATCH(DR$142,'Mezz 2 Amortization'!$E$19:$E$379,0),MATCH('Mezz 2 Amortization'!$R$19,'Mezz 2 Amortization'!$B$19:$V$19,0)),IF('Mezz 2 Amortization'!$T$4="Bi-Annual",IF(OR('Mezz 2 Amortization'!$R$4=DR$5,'Mezz 2 Amortization'!$S$4=DR$5),INDEX('Mezz 2 Amortization'!$B$19:$V$379,MATCH(DR$142,'Mezz 2 Amortization'!$E$19:$E$379,0),MATCH('Mezz 2 Amortization'!$R$19,'Mezz 2 Amortization'!$B$19:$V$19,0)),0),0)))</f>
        <v>0</v>
      </c>
      <c r="DS145" s="427">
        <f>-IF(OR('Financing Assumptions'!$T$8="No",DS$142&lt;='Financing Assumptions'!$T$26,DS$142&gt;'Mezz 2 Amortization'!$T$13),0,IF('Mezz 2 Amortization'!$T$4="Monthly",INDEX('Mezz 2 Amortization'!$B$19:$V$379,MATCH(DS$142,'Mezz 2 Amortization'!$E$19:$E$379,0),MATCH('Mezz 2 Amortization'!$R$19,'Mezz 2 Amortization'!$B$19:$V$19,0)),IF('Mezz 2 Amortization'!$T$4="Bi-Annual",IF(OR('Mezz 2 Amortization'!$R$4=DS$5,'Mezz 2 Amortization'!$S$4=DS$5),INDEX('Mezz 2 Amortization'!$B$19:$V$379,MATCH(DS$142,'Mezz 2 Amortization'!$E$19:$E$379,0),MATCH('Mezz 2 Amortization'!$R$19,'Mezz 2 Amortization'!$B$19:$V$19,0)),0),0)))</f>
        <v>0</v>
      </c>
      <c r="DT145" s="427">
        <f>-IF(OR('Financing Assumptions'!$T$8="No",DT$142&lt;='Financing Assumptions'!$T$26,DT$142&gt;'Mezz 2 Amortization'!$T$13),0,IF('Mezz 2 Amortization'!$T$4="Monthly",INDEX('Mezz 2 Amortization'!$B$19:$V$379,MATCH(DT$142,'Mezz 2 Amortization'!$E$19:$E$379,0),MATCH('Mezz 2 Amortization'!$R$19,'Mezz 2 Amortization'!$B$19:$V$19,0)),IF('Mezz 2 Amortization'!$T$4="Bi-Annual",IF(OR('Mezz 2 Amortization'!$R$4=DT$5,'Mezz 2 Amortization'!$S$4=DT$5),INDEX('Mezz 2 Amortization'!$B$19:$V$379,MATCH(DT$142,'Mezz 2 Amortization'!$E$19:$E$379,0),MATCH('Mezz 2 Amortization'!$R$19,'Mezz 2 Amortization'!$B$19:$V$19,0)),0),0)))</f>
        <v>0</v>
      </c>
      <c r="DU145" s="427">
        <f>-IF(OR('Financing Assumptions'!$T$8="No",DU$142&lt;='Financing Assumptions'!$T$26,DU$142&gt;'Mezz 2 Amortization'!$T$13),0,IF('Mezz 2 Amortization'!$T$4="Monthly",INDEX('Mezz 2 Amortization'!$B$19:$V$379,MATCH(DU$142,'Mezz 2 Amortization'!$E$19:$E$379,0),MATCH('Mezz 2 Amortization'!$R$19,'Mezz 2 Amortization'!$B$19:$V$19,0)),IF('Mezz 2 Amortization'!$T$4="Bi-Annual",IF(OR('Mezz 2 Amortization'!$R$4=DU$5,'Mezz 2 Amortization'!$S$4=DU$5),INDEX('Mezz 2 Amortization'!$B$19:$V$379,MATCH(DU$142,'Mezz 2 Amortization'!$E$19:$E$379,0),MATCH('Mezz 2 Amortization'!$R$19,'Mezz 2 Amortization'!$B$19:$V$19,0)),0),0)))</f>
        <v>0</v>
      </c>
      <c r="DV145" s="427">
        <f>-IF(OR('Financing Assumptions'!$T$8="No",DV$142&lt;='Financing Assumptions'!$T$26,DV$142&gt;'Mezz 2 Amortization'!$T$13),0,IF('Mezz 2 Amortization'!$T$4="Monthly",INDEX('Mezz 2 Amortization'!$B$19:$V$379,MATCH(DV$142,'Mezz 2 Amortization'!$E$19:$E$379,0),MATCH('Mezz 2 Amortization'!$R$19,'Mezz 2 Amortization'!$B$19:$V$19,0)),IF('Mezz 2 Amortization'!$T$4="Bi-Annual",IF(OR('Mezz 2 Amortization'!$R$4=DV$5,'Mezz 2 Amortization'!$S$4=DV$5),INDEX('Mezz 2 Amortization'!$B$19:$V$379,MATCH(DV$142,'Mezz 2 Amortization'!$E$19:$E$379,0),MATCH('Mezz 2 Amortization'!$R$19,'Mezz 2 Amortization'!$B$19:$V$19,0)),0),0)))</f>
        <v>0</v>
      </c>
      <c r="DW145" s="427">
        <f>-IF(OR('Financing Assumptions'!$T$8="No",DW$142&lt;='Financing Assumptions'!$T$26,DW$142&gt;'Mezz 2 Amortization'!$T$13),0,IF('Mezz 2 Amortization'!$T$4="Monthly",INDEX('Mezz 2 Amortization'!$B$19:$V$379,MATCH(DW$142,'Mezz 2 Amortization'!$E$19:$E$379,0),MATCH('Mezz 2 Amortization'!$R$19,'Mezz 2 Amortization'!$B$19:$V$19,0)),IF('Mezz 2 Amortization'!$T$4="Bi-Annual",IF(OR('Mezz 2 Amortization'!$R$4=DW$5,'Mezz 2 Amortization'!$S$4=DW$5),INDEX('Mezz 2 Amortization'!$B$19:$V$379,MATCH(DW$142,'Mezz 2 Amortization'!$E$19:$E$379,0),MATCH('Mezz 2 Amortization'!$R$19,'Mezz 2 Amortization'!$B$19:$V$19,0)),0),0)))</f>
        <v>0</v>
      </c>
      <c r="DX145" s="427">
        <f>-IF(OR('Financing Assumptions'!$T$8="No",DX$142&lt;='Financing Assumptions'!$T$26,DX$142&gt;'Mezz 2 Amortization'!$T$13),0,IF('Mezz 2 Amortization'!$T$4="Monthly",INDEX('Mezz 2 Amortization'!$B$19:$V$379,MATCH(DX$142,'Mezz 2 Amortization'!$E$19:$E$379,0),MATCH('Mezz 2 Amortization'!$R$19,'Mezz 2 Amortization'!$B$19:$V$19,0)),IF('Mezz 2 Amortization'!$T$4="Bi-Annual",IF(OR('Mezz 2 Amortization'!$R$4=DX$5,'Mezz 2 Amortization'!$S$4=DX$5),INDEX('Mezz 2 Amortization'!$B$19:$V$379,MATCH(DX$142,'Mezz 2 Amortization'!$E$19:$E$379,0),MATCH('Mezz 2 Amortization'!$R$19,'Mezz 2 Amortization'!$B$19:$V$19,0)),0),0)))</f>
        <v>0</v>
      </c>
      <c r="DY145" s="427">
        <f>-IF(OR('Financing Assumptions'!$T$8="No",DY$142&lt;='Financing Assumptions'!$T$26,DY$142&gt;'Mezz 2 Amortization'!$T$13),0,IF('Mezz 2 Amortization'!$T$4="Monthly",INDEX('Mezz 2 Amortization'!$B$19:$V$379,MATCH(DY$142,'Mezz 2 Amortization'!$E$19:$E$379,0),MATCH('Mezz 2 Amortization'!$R$19,'Mezz 2 Amortization'!$B$19:$V$19,0)),IF('Mezz 2 Amortization'!$T$4="Bi-Annual",IF(OR('Mezz 2 Amortization'!$R$4=DY$5,'Mezz 2 Amortization'!$S$4=DY$5),INDEX('Mezz 2 Amortization'!$B$19:$V$379,MATCH(DY$142,'Mezz 2 Amortization'!$E$19:$E$379,0),MATCH('Mezz 2 Amortization'!$R$19,'Mezz 2 Amortization'!$B$19:$V$19,0)),0),0)))</f>
        <v>0</v>
      </c>
      <c r="DZ145" s="427">
        <f>-IF(OR('Financing Assumptions'!$T$8="No",DZ$142&lt;='Financing Assumptions'!$T$26,DZ$142&gt;'Mezz 2 Amortization'!$T$13),0,IF('Mezz 2 Amortization'!$T$4="Monthly",INDEX('Mezz 2 Amortization'!$B$19:$V$379,MATCH(DZ$142,'Mezz 2 Amortization'!$E$19:$E$379,0),MATCH('Mezz 2 Amortization'!$R$19,'Mezz 2 Amortization'!$B$19:$V$19,0)),IF('Mezz 2 Amortization'!$T$4="Bi-Annual",IF(OR('Mezz 2 Amortization'!$R$4=DZ$5,'Mezz 2 Amortization'!$S$4=DZ$5),INDEX('Mezz 2 Amortization'!$B$19:$V$379,MATCH(DZ$142,'Mezz 2 Amortization'!$E$19:$E$379,0),MATCH('Mezz 2 Amortization'!$R$19,'Mezz 2 Amortization'!$B$19:$V$19,0)),0),0)))</f>
        <v>0</v>
      </c>
      <c r="EA145" s="427">
        <f>-IF(OR('Financing Assumptions'!$T$8="No",EA$142&lt;='Financing Assumptions'!$T$26,EA$142&gt;'Mezz 2 Amortization'!$T$13),0,IF('Mezz 2 Amortization'!$T$4="Monthly",INDEX('Mezz 2 Amortization'!$B$19:$V$379,MATCH(EA$142,'Mezz 2 Amortization'!$E$19:$E$379,0),MATCH('Mezz 2 Amortization'!$R$19,'Mezz 2 Amortization'!$B$19:$V$19,0)),IF('Mezz 2 Amortization'!$T$4="Bi-Annual",IF(OR('Mezz 2 Amortization'!$R$4=EA$5,'Mezz 2 Amortization'!$S$4=EA$5),INDEX('Mezz 2 Amortization'!$B$19:$V$379,MATCH(EA$142,'Mezz 2 Amortization'!$E$19:$E$379,0),MATCH('Mezz 2 Amortization'!$R$19,'Mezz 2 Amortization'!$B$19:$V$19,0)),0),0)))</f>
        <v>0</v>
      </c>
      <c r="EB145" s="427">
        <f>-IF(OR('Financing Assumptions'!$T$8="No",EB$142&lt;='Financing Assumptions'!$T$26,EB$142&gt;'Mezz 2 Amortization'!$T$13),0,IF('Mezz 2 Amortization'!$T$4="Monthly",INDEX('Mezz 2 Amortization'!$B$19:$V$379,MATCH(EB$142,'Mezz 2 Amortization'!$E$19:$E$379,0),MATCH('Mezz 2 Amortization'!$R$19,'Mezz 2 Amortization'!$B$19:$V$19,0)),IF('Mezz 2 Amortization'!$T$4="Bi-Annual",IF(OR('Mezz 2 Amortization'!$R$4=EB$5,'Mezz 2 Amortization'!$S$4=EB$5),INDEX('Mezz 2 Amortization'!$B$19:$V$379,MATCH(EB$142,'Mezz 2 Amortization'!$E$19:$E$379,0),MATCH('Mezz 2 Amortization'!$R$19,'Mezz 2 Amortization'!$B$19:$V$19,0)),0),0)))</f>
        <v>0</v>
      </c>
      <c r="EC145" s="427">
        <f>-IF(OR('Financing Assumptions'!$T$8="No",EC$142&lt;='Financing Assumptions'!$T$26,EC$142&gt;'Mezz 2 Amortization'!$T$13),0,IF('Mezz 2 Amortization'!$T$4="Monthly",INDEX('Mezz 2 Amortization'!$B$19:$V$379,MATCH(EC$142,'Mezz 2 Amortization'!$E$19:$E$379,0),MATCH('Mezz 2 Amortization'!$R$19,'Mezz 2 Amortization'!$B$19:$V$19,0)),IF('Mezz 2 Amortization'!$T$4="Bi-Annual",IF(OR('Mezz 2 Amortization'!$R$4=EC$5,'Mezz 2 Amortization'!$S$4=EC$5),INDEX('Mezz 2 Amortization'!$B$19:$V$379,MATCH(EC$142,'Mezz 2 Amortization'!$E$19:$E$379,0),MATCH('Mezz 2 Amortization'!$R$19,'Mezz 2 Amortization'!$B$19:$V$19,0)),0),0)))</f>
        <v>0</v>
      </c>
      <c r="ED145" s="427">
        <f>-IF(OR('Financing Assumptions'!$T$8="No",ED$142&lt;='Financing Assumptions'!$T$26,ED$142&gt;'Mezz 2 Amortization'!$T$13),0,IF('Mezz 2 Amortization'!$T$4="Monthly",INDEX('Mezz 2 Amortization'!$B$19:$V$379,MATCH(ED$142,'Mezz 2 Amortization'!$E$19:$E$379,0),MATCH('Mezz 2 Amortization'!$R$19,'Mezz 2 Amortization'!$B$19:$V$19,0)),IF('Mezz 2 Amortization'!$T$4="Bi-Annual",IF(OR('Mezz 2 Amortization'!$R$4=ED$5,'Mezz 2 Amortization'!$S$4=ED$5),INDEX('Mezz 2 Amortization'!$B$19:$V$379,MATCH(ED$142,'Mezz 2 Amortization'!$E$19:$E$379,0),MATCH('Mezz 2 Amortization'!$R$19,'Mezz 2 Amortization'!$B$19:$V$19,0)),0),0)))</f>
        <v>0</v>
      </c>
      <c r="EE145" s="427">
        <f>-IF(OR('Financing Assumptions'!$T$8="No",EE$142&lt;='Financing Assumptions'!$T$26,EE$142&gt;'Mezz 2 Amortization'!$T$13),0,IF('Mezz 2 Amortization'!$T$4="Monthly",INDEX('Mezz 2 Amortization'!$B$19:$V$379,MATCH(EE$142,'Mezz 2 Amortization'!$E$19:$E$379,0),MATCH('Mezz 2 Amortization'!$R$19,'Mezz 2 Amortization'!$B$19:$V$19,0)),IF('Mezz 2 Amortization'!$T$4="Bi-Annual",IF(OR('Mezz 2 Amortization'!$R$4=EE$5,'Mezz 2 Amortization'!$S$4=EE$5),INDEX('Mezz 2 Amortization'!$B$19:$V$379,MATCH(EE$142,'Mezz 2 Amortization'!$E$19:$E$379,0),MATCH('Mezz 2 Amortization'!$R$19,'Mezz 2 Amortization'!$B$19:$V$19,0)),0),0)))</f>
        <v>0</v>
      </c>
      <c r="EF145" s="427">
        <f>-IF(OR('Financing Assumptions'!$T$8="No",EF$142&lt;='Financing Assumptions'!$T$26,EF$142&gt;'Mezz 2 Amortization'!$T$13),0,IF('Mezz 2 Amortization'!$T$4="Monthly",INDEX('Mezz 2 Amortization'!$B$19:$V$379,MATCH(EF$142,'Mezz 2 Amortization'!$E$19:$E$379,0),MATCH('Mezz 2 Amortization'!$R$19,'Mezz 2 Amortization'!$B$19:$V$19,0)),IF('Mezz 2 Amortization'!$T$4="Bi-Annual",IF(OR('Mezz 2 Amortization'!$R$4=EF$5,'Mezz 2 Amortization'!$S$4=EF$5),INDEX('Mezz 2 Amortization'!$B$19:$V$379,MATCH(EF$142,'Mezz 2 Amortization'!$E$19:$E$379,0),MATCH('Mezz 2 Amortization'!$R$19,'Mezz 2 Amortization'!$B$19:$V$19,0)),0),0)))</f>
        <v>0</v>
      </c>
      <c r="EG145" s="427">
        <f>-IF(OR('Financing Assumptions'!$T$8="No",EG$142&lt;='Financing Assumptions'!$T$26,EG$142&gt;'Mezz 2 Amortization'!$T$13),0,IF('Mezz 2 Amortization'!$T$4="Monthly",INDEX('Mezz 2 Amortization'!$B$19:$V$379,MATCH(EG$142,'Mezz 2 Amortization'!$E$19:$E$379,0),MATCH('Mezz 2 Amortization'!$R$19,'Mezz 2 Amortization'!$B$19:$V$19,0)),IF('Mezz 2 Amortization'!$T$4="Bi-Annual",IF(OR('Mezz 2 Amortization'!$R$4=EG$5,'Mezz 2 Amortization'!$S$4=EG$5),INDEX('Mezz 2 Amortization'!$B$19:$V$379,MATCH(EG$142,'Mezz 2 Amortization'!$E$19:$E$379,0),MATCH('Mezz 2 Amortization'!$R$19,'Mezz 2 Amortization'!$B$19:$V$19,0)),0),0)))</f>
        <v>0</v>
      </c>
      <c r="EH145" s="427">
        <f>-IF(OR('Financing Assumptions'!$T$8="No",EH$142&lt;='Financing Assumptions'!$T$26,EH$142&gt;'Mezz 2 Amortization'!$T$13),0,IF('Mezz 2 Amortization'!$T$4="Monthly",INDEX('Mezz 2 Amortization'!$B$19:$V$379,MATCH(EH$142,'Mezz 2 Amortization'!$E$19:$E$379,0),MATCH('Mezz 2 Amortization'!$R$19,'Mezz 2 Amortization'!$B$19:$V$19,0)),IF('Mezz 2 Amortization'!$T$4="Bi-Annual",IF(OR('Mezz 2 Amortization'!$R$4=EH$5,'Mezz 2 Amortization'!$S$4=EH$5),INDEX('Mezz 2 Amortization'!$B$19:$V$379,MATCH(EH$142,'Mezz 2 Amortization'!$E$19:$E$379,0),MATCH('Mezz 2 Amortization'!$R$19,'Mezz 2 Amortization'!$B$19:$V$19,0)),0),0)))</f>
        <v>0</v>
      </c>
      <c r="EI145" s="427">
        <f>-IF(OR('Financing Assumptions'!$T$8="No",EI$142&lt;='Financing Assumptions'!$T$26,EI$142&gt;'Mezz 2 Amortization'!$T$13),0,IF('Mezz 2 Amortization'!$T$4="Monthly",INDEX('Mezz 2 Amortization'!$B$19:$V$379,MATCH(EI$142,'Mezz 2 Amortization'!$E$19:$E$379,0),MATCH('Mezz 2 Amortization'!$R$19,'Mezz 2 Amortization'!$B$19:$V$19,0)),IF('Mezz 2 Amortization'!$T$4="Bi-Annual",IF(OR('Mezz 2 Amortization'!$R$4=EI$5,'Mezz 2 Amortization'!$S$4=EI$5),INDEX('Mezz 2 Amortization'!$B$19:$V$379,MATCH(EI$142,'Mezz 2 Amortization'!$E$19:$E$379,0),MATCH('Mezz 2 Amortization'!$R$19,'Mezz 2 Amortization'!$B$19:$V$19,0)),0),0)))</f>
        <v>0</v>
      </c>
      <c r="EJ145" s="427">
        <f>-IF(OR('Financing Assumptions'!$T$8="No",EJ$142&lt;='Financing Assumptions'!$T$26,EJ$142&gt;'Mezz 2 Amortization'!$T$13),0,IF('Mezz 2 Amortization'!$T$4="Monthly",INDEX('Mezz 2 Amortization'!$B$19:$V$379,MATCH(EJ$142,'Mezz 2 Amortization'!$E$19:$E$379,0),MATCH('Mezz 2 Amortization'!$R$19,'Mezz 2 Amortization'!$B$19:$V$19,0)),IF('Mezz 2 Amortization'!$T$4="Bi-Annual",IF(OR('Mezz 2 Amortization'!$R$4=EJ$5,'Mezz 2 Amortization'!$S$4=EJ$5),INDEX('Mezz 2 Amortization'!$B$19:$V$379,MATCH(EJ$142,'Mezz 2 Amortization'!$E$19:$E$379,0),MATCH('Mezz 2 Amortization'!$R$19,'Mezz 2 Amortization'!$B$19:$V$19,0)),0),0)))</f>
        <v>0</v>
      </c>
      <c r="EK145" s="427">
        <f>-IF(OR('Financing Assumptions'!$T$8="No",EK$142&lt;='Financing Assumptions'!$T$26,EK$142&gt;'Mezz 2 Amortization'!$T$13),0,IF('Mezz 2 Amortization'!$T$4="Monthly",INDEX('Mezz 2 Amortization'!$B$19:$V$379,MATCH(EK$142,'Mezz 2 Amortization'!$E$19:$E$379,0),MATCH('Mezz 2 Amortization'!$R$19,'Mezz 2 Amortization'!$B$19:$V$19,0)),IF('Mezz 2 Amortization'!$T$4="Bi-Annual",IF(OR('Mezz 2 Amortization'!$R$4=EK$5,'Mezz 2 Amortization'!$S$4=EK$5),INDEX('Mezz 2 Amortization'!$B$19:$V$379,MATCH(EK$142,'Mezz 2 Amortization'!$E$19:$E$379,0),MATCH('Mezz 2 Amortization'!$R$19,'Mezz 2 Amortization'!$B$19:$V$19,0)),0),0)))</f>
        <v>0</v>
      </c>
      <c r="EL145" s="427">
        <f>-IF(OR('Financing Assumptions'!$T$8="No",EL$142&lt;='Financing Assumptions'!$T$26,EL$142&gt;'Mezz 2 Amortization'!$T$13),0,IF('Mezz 2 Amortization'!$T$4="Monthly",INDEX('Mezz 2 Amortization'!$B$19:$V$379,MATCH(EL$142,'Mezz 2 Amortization'!$E$19:$E$379,0),MATCH('Mezz 2 Amortization'!$R$19,'Mezz 2 Amortization'!$B$19:$V$19,0)),IF('Mezz 2 Amortization'!$T$4="Bi-Annual",IF(OR('Mezz 2 Amortization'!$R$4=EL$5,'Mezz 2 Amortization'!$S$4=EL$5),INDEX('Mezz 2 Amortization'!$B$19:$V$379,MATCH(EL$142,'Mezz 2 Amortization'!$E$19:$E$379,0),MATCH('Mezz 2 Amortization'!$R$19,'Mezz 2 Amortization'!$B$19:$V$19,0)),0),0)))</f>
        <v>0</v>
      </c>
      <c r="EM145" s="427">
        <f>-IF(OR('Financing Assumptions'!$T$8="No",EM$142&lt;='Financing Assumptions'!$T$26,EM$142&gt;'Mezz 2 Amortization'!$T$13),0,IF('Mezz 2 Amortization'!$T$4="Monthly",INDEX('Mezz 2 Amortization'!$B$19:$V$379,MATCH(EM$142,'Mezz 2 Amortization'!$E$19:$E$379,0),MATCH('Mezz 2 Amortization'!$R$19,'Mezz 2 Amortization'!$B$19:$V$19,0)),IF('Mezz 2 Amortization'!$T$4="Bi-Annual",IF(OR('Mezz 2 Amortization'!$R$4=EM$5,'Mezz 2 Amortization'!$S$4=EM$5),INDEX('Mezz 2 Amortization'!$B$19:$V$379,MATCH(EM$142,'Mezz 2 Amortization'!$E$19:$E$379,0),MATCH('Mezz 2 Amortization'!$R$19,'Mezz 2 Amortization'!$B$19:$V$19,0)),0),0)))</f>
        <v>0</v>
      </c>
      <c r="EN145" s="427">
        <f>-IF(OR('Financing Assumptions'!$T$8="No",EN$142&lt;='Financing Assumptions'!$T$26,EN$142&gt;'Mezz 2 Amortization'!$T$13),0,IF('Mezz 2 Amortization'!$T$4="Monthly",INDEX('Mezz 2 Amortization'!$B$19:$V$379,MATCH(EN$142,'Mezz 2 Amortization'!$E$19:$E$379,0),MATCH('Mezz 2 Amortization'!$R$19,'Mezz 2 Amortization'!$B$19:$V$19,0)),IF('Mezz 2 Amortization'!$T$4="Bi-Annual",IF(OR('Mezz 2 Amortization'!$R$4=EN$5,'Mezz 2 Amortization'!$S$4=EN$5),INDEX('Mezz 2 Amortization'!$B$19:$V$379,MATCH(EN$142,'Mezz 2 Amortization'!$E$19:$E$379,0),MATCH('Mezz 2 Amortization'!$R$19,'Mezz 2 Amortization'!$B$19:$V$19,0)),0),0)))</f>
        <v>0</v>
      </c>
      <c r="EO145" s="427">
        <f>-IF(OR('Financing Assumptions'!$T$8="No",EO$142&lt;='Financing Assumptions'!$T$26,EO$142&gt;'Mezz 2 Amortization'!$T$13),0,IF('Mezz 2 Amortization'!$T$4="Monthly",INDEX('Mezz 2 Amortization'!$B$19:$V$379,MATCH(EO$142,'Mezz 2 Amortization'!$E$19:$E$379,0),MATCH('Mezz 2 Amortization'!$R$19,'Mezz 2 Amortization'!$B$19:$V$19,0)),IF('Mezz 2 Amortization'!$T$4="Bi-Annual",IF(OR('Mezz 2 Amortization'!$R$4=EO$5,'Mezz 2 Amortization'!$S$4=EO$5),INDEX('Mezz 2 Amortization'!$B$19:$V$379,MATCH(EO$142,'Mezz 2 Amortization'!$E$19:$E$379,0),MATCH('Mezz 2 Amortization'!$R$19,'Mezz 2 Amortization'!$B$19:$V$19,0)),0),0)))</f>
        <v>0</v>
      </c>
      <c r="EP145" s="427">
        <f>-IF(OR('Financing Assumptions'!$T$8="No",EP$142&lt;='Financing Assumptions'!$T$26,EP$142&gt;'Mezz 2 Amortization'!$T$13),0,IF('Mezz 2 Amortization'!$T$4="Monthly",INDEX('Mezz 2 Amortization'!$B$19:$V$379,MATCH(EP$142,'Mezz 2 Amortization'!$E$19:$E$379,0),MATCH('Mezz 2 Amortization'!$R$19,'Mezz 2 Amortization'!$B$19:$V$19,0)),IF('Mezz 2 Amortization'!$T$4="Bi-Annual",IF(OR('Mezz 2 Amortization'!$R$4=EP$5,'Mezz 2 Amortization'!$S$4=EP$5),INDEX('Mezz 2 Amortization'!$B$19:$V$379,MATCH(EP$142,'Mezz 2 Amortization'!$E$19:$E$379,0),MATCH('Mezz 2 Amortization'!$R$19,'Mezz 2 Amortization'!$B$19:$V$19,0)),0),0)))</f>
        <v>0</v>
      </c>
      <c r="EQ145" s="427">
        <f>-IF(OR('Financing Assumptions'!$T$8="No",EQ$142&lt;='Financing Assumptions'!$T$26,EQ$142&gt;'Mezz 2 Amortization'!$T$13),0,IF('Mezz 2 Amortization'!$T$4="Monthly",INDEX('Mezz 2 Amortization'!$B$19:$V$379,MATCH(EQ$142,'Mezz 2 Amortization'!$E$19:$E$379,0),MATCH('Mezz 2 Amortization'!$R$19,'Mezz 2 Amortization'!$B$19:$V$19,0)),IF('Mezz 2 Amortization'!$T$4="Bi-Annual",IF(OR('Mezz 2 Amortization'!$R$4=EQ$5,'Mezz 2 Amortization'!$S$4=EQ$5),INDEX('Mezz 2 Amortization'!$B$19:$V$379,MATCH(EQ$142,'Mezz 2 Amortization'!$E$19:$E$379,0),MATCH('Mezz 2 Amortization'!$R$19,'Mezz 2 Amortization'!$B$19:$V$19,0)),0),0)))</f>
        <v>0</v>
      </c>
      <c r="ER145" s="427">
        <f>-IF(OR('Financing Assumptions'!$T$8="No",ER$142&lt;='Financing Assumptions'!$T$26,ER$142&gt;'Mezz 2 Amortization'!$T$13),0,IF('Mezz 2 Amortization'!$T$4="Monthly",INDEX('Mezz 2 Amortization'!$B$19:$V$379,MATCH(ER$142,'Mezz 2 Amortization'!$E$19:$E$379,0),MATCH('Mezz 2 Amortization'!$R$19,'Mezz 2 Amortization'!$B$19:$V$19,0)),IF('Mezz 2 Amortization'!$T$4="Bi-Annual",IF(OR('Mezz 2 Amortization'!$R$4=ER$5,'Mezz 2 Amortization'!$S$4=ER$5),INDEX('Mezz 2 Amortization'!$B$19:$V$379,MATCH(ER$142,'Mezz 2 Amortization'!$E$19:$E$379,0),MATCH('Mezz 2 Amortization'!$R$19,'Mezz 2 Amortization'!$B$19:$V$19,0)),0),0)))</f>
        <v>0</v>
      </c>
      <c r="ES145" s="427">
        <f>-IF(OR('Financing Assumptions'!$T$8="No",ES$142&lt;='Financing Assumptions'!$T$26,ES$142&gt;'Mezz 2 Amortization'!$T$13),0,IF('Mezz 2 Amortization'!$T$4="Monthly",INDEX('Mezz 2 Amortization'!$B$19:$V$379,MATCH(ES$142,'Mezz 2 Amortization'!$E$19:$E$379,0),MATCH('Mezz 2 Amortization'!$R$19,'Mezz 2 Amortization'!$B$19:$V$19,0)),IF('Mezz 2 Amortization'!$T$4="Bi-Annual",IF(OR('Mezz 2 Amortization'!$R$4=ES$5,'Mezz 2 Amortization'!$S$4=ES$5),INDEX('Mezz 2 Amortization'!$B$19:$V$379,MATCH(ES$142,'Mezz 2 Amortization'!$E$19:$E$379,0),MATCH('Mezz 2 Amortization'!$R$19,'Mezz 2 Amortization'!$B$19:$V$19,0)),0),0)))</f>
        <v>0</v>
      </c>
      <c r="ET145" s="427">
        <f>-IF(OR('Financing Assumptions'!$T$8="No",ET$142&lt;='Financing Assumptions'!$T$26,ET$142&gt;'Mezz 2 Amortization'!$T$13),0,IF('Mezz 2 Amortization'!$T$4="Monthly",INDEX('Mezz 2 Amortization'!$B$19:$V$379,MATCH(ET$142,'Mezz 2 Amortization'!$E$19:$E$379,0),MATCH('Mezz 2 Amortization'!$R$19,'Mezz 2 Amortization'!$B$19:$V$19,0)),IF('Mezz 2 Amortization'!$T$4="Bi-Annual",IF(OR('Mezz 2 Amortization'!$R$4=ET$5,'Mezz 2 Amortization'!$S$4=ET$5),INDEX('Mezz 2 Amortization'!$B$19:$V$379,MATCH(ET$142,'Mezz 2 Amortization'!$E$19:$E$379,0),MATCH('Mezz 2 Amortization'!$R$19,'Mezz 2 Amortization'!$B$19:$V$19,0)),0),0)))</f>
        <v>0</v>
      </c>
      <c r="EU145" s="427">
        <f>-IF(OR('Financing Assumptions'!$T$8="No",EU$142&lt;='Financing Assumptions'!$T$26,EU$142&gt;'Mezz 2 Amortization'!$T$13),0,IF('Mezz 2 Amortization'!$T$4="Monthly",INDEX('Mezz 2 Amortization'!$B$19:$V$379,MATCH(EU$142,'Mezz 2 Amortization'!$E$19:$E$379,0),MATCH('Mezz 2 Amortization'!$R$19,'Mezz 2 Amortization'!$B$19:$V$19,0)),IF('Mezz 2 Amortization'!$T$4="Bi-Annual",IF(OR('Mezz 2 Amortization'!$R$4=EU$5,'Mezz 2 Amortization'!$S$4=EU$5),INDEX('Mezz 2 Amortization'!$B$19:$V$379,MATCH(EU$142,'Mezz 2 Amortization'!$E$19:$E$379,0),MATCH('Mezz 2 Amortization'!$R$19,'Mezz 2 Amortization'!$B$19:$V$19,0)),0),0)))</f>
        <v>0</v>
      </c>
      <c r="EV145" s="427">
        <f>-IF(OR('Financing Assumptions'!$T$8="No",EV$142&lt;='Financing Assumptions'!$T$26,EV$142&gt;'Mezz 2 Amortization'!$T$13),0,IF('Mezz 2 Amortization'!$T$4="Monthly",INDEX('Mezz 2 Amortization'!$B$19:$V$379,MATCH(EV$142,'Mezz 2 Amortization'!$E$19:$E$379,0),MATCH('Mezz 2 Amortization'!$R$19,'Mezz 2 Amortization'!$B$19:$V$19,0)),IF('Mezz 2 Amortization'!$T$4="Bi-Annual",IF(OR('Mezz 2 Amortization'!$R$4=EV$5,'Mezz 2 Amortization'!$S$4=EV$5),INDEX('Mezz 2 Amortization'!$B$19:$V$379,MATCH(EV$142,'Mezz 2 Amortization'!$E$19:$E$379,0),MATCH('Mezz 2 Amortization'!$R$19,'Mezz 2 Amortization'!$B$19:$V$19,0)),0),0)))</f>
        <v>0</v>
      </c>
      <c r="EW145" s="427">
        <f>-IF(OR('Financing Assumptions'!$T$8="No",EW$142&lt;='Financing Assumptions'!$T$26,EW$142&gt;'Mezz 2 Amortization'!$T$13),0,IF('Mezz 2 Amortization'!$T$4="Monthly",INDEX('Mezz 2 Amortization'!$B$19:$V$379,MATCH(EW$142,'Mezz 2 Amortization'!$E$19:$E$379,0),MATCH('Mezz 2 Amortization'!$R$19,'Mezz 2 Amortization'!$B$19:$V$19,0)),IF('Mezz 2 Amortization'!$T$4="Bi-Annual",IF(OR('Mezz 2 Amortization'!$R$4=EW$5,'Mezz 2 Amortization'!$S$4=EW$5),INDEX('Mezz 2 Amortization'!$B$19:$V$379,MATCH(EW$142,'Mezz 2 Amortization'!$E$19:$E$379,0),MATCH('Mezz 2 Amortization'!$R$19,'Mezz 2 Amortization'!$B$19:$V$19,0)),0),0)))</f>
        <v>0</v>
      </c>
      <c r="EX145" s="427">
        <f>-IF(OR('Financing Assumptions'!$T$8="No",EX$142&lt;='Financing Assumptions'!$T$26,EX$142&gt;'Mezz 2 Amortization'!$T$13),0,IF('Mezz 2 Amortization'!$T$4="Monthly",INDEX('Mezz 2 Amortization'!$B$19:$V$379,MATCH(EX$142,'Mezz 2 Amortization'!$E$19:$E$379,0),MATCH('Mezz 2 Amortization'!$R$19,'Mezz 2 Amortization'!$B$19:$V$19,0)),IF('Mezz 2 Amortization'!$T$4="Bi-Annual",IF(OR('Mezz 2 Amortization'!$R$4=EX$5,'Mezz 2 Amortization'!$S$4=EX$5),INDEX('Mezz 2 Amortization'!$B$19:$V$379,MATCH(EX$142,'Mezz 2 Amortization'!$E$19:$E$379,0),MATCH('Mezz 2 Amortization'!$R$19,'Mezz 2 Amortization'!$B$19:$V$19,0)),0),0)))</f>
        <v>0</v>
      </c>
      <c r="EY145" s="427">
        <f>-IF(OR('Financing Assumptions'!$T$8="No",EY$142&lt;='Financing Assumptions'!$T$26,EY$142&gt;'Mezz 2 Amortization'!$T$13),0,IF('Mezz 2 Amortization'!$T$4="Monthly",INDEX('Mezz 2 Amortization'!$B$19:$V$379,MATCH(EY$142,'Mezz 2 Amortization'!$E$19:$E$379,0),MATCH('Mezz 2 Amortization'!$R$19,'Mezz 2 Amortization'!$B$19:$V$19,0)),IF('Mezz 2 Amortization'!$T$4="Bi-Annual",IF(OR('Mezz 2 Amortization'!$R$4=EY$5,'Mezz 2 Amortization'!$S$4=EY$5),INDEX('Mezz 2 Amortization'!$B$19:$V$379,MATCH(EY$142,'Mezz 2 Amortization'!$E$19:$E$379,0),MATCH('Mezz 2 Amortization'!$R$19,'Mezz 2 Amortization'!$B$19:$V$19,0)),0),0)))</f>
        <v>0</v>
      </c>
      <c r="EZ145" s="427">
        <f>-IF(OR('Financing Assumptions'!$T$8="No",EZ$142&lt;='Financing Assumptions'!$T$26,EZ$142&gt;'Mezz 2 Amortization'!$T$13),0,IF('Mezz 2 Amortization'!$T$4="Monthly",INDEX('Mezz 2 Amortization'!$B$19:$V$379,MATCH(EZ$142,'Mezz 2 Amortization'!$E$19:$E$379,0),MATCH('Mezz 2 Amortization'!$R$19,'Mezz 2 Amortization'!$B$19:$V$19,0)),IF('Mezz 2 Amortization'!$T$4="Bi-Annual",IF(OR('Mezz 2 Amortization'!$R$4=EZ$5,'Mezz 2 Amortization'!$S$4=EZ$5),INDEX('Mezz 2 Amortization'!$B$19:$V$379,MATCH(EZ$142,'Mezz 2 Amortization'!$E$19:$E$379,0),MATCH('Mezz 2 Amortization'!$R$19,'Mezz 2 Amortization'!$B$19:$V$19,0)),0),0)))</f>
        <v>0</v>
      </c>
      <c r="FA145" s="427">
        <f>-IF(OR('Financing Assumptions'!$T$8="No",FA$142&lt;='Financing Assumptions'!$T$26,FA$142&gt;'Mezz 2 Amortization'!$T$13),0,IF('Mezz 2 Amortization'!$T$4="Monthly",INDEX('Mezz 2 Amortization'!$B$19:$V$379,MATCH(FA$142,'Mezz 2 Amortization'!$E$19:$E$379,0),MATCH('Mezz 2 Amortization'!$R$19,'Mezz 2 Amortization'!$B$19:$V$19,0)),IF('Mezz 2 Amortization'!$T$4="Bi-Annual",IF(OR('Mezz 2 Amortization'!$R$4=FA$5,'Mezz 2 Amortization'!$S$4=FA$5),INDEX('Mezz 2 Amortization'!$B$19:$V$379,MATCH(FA$142,'Mezz 2 Amortization'!$E$19:$E$379,0),MATCH('Mezz 2 Amortization'!$R$19,'Mezz 2 Amortization'!$B$19:$V$19,0)),0),0)))</f>
        <v>0</v>
      </c>
      <c r="FB145" s="427">
        <f>-IF(OR('Financing Assumptions'!$T$8="No",FB$142&lt;='Financing Assumptions'!$T$26,FB$142&gt;'Mezz 2 Amortization'!$T$13),0,IF('Mezz 2 Amortization'!$T$4="Monthly",INDEX('Mezz 2 Amortization'!$B$19:$V$379,MATCH(FB$142,'Mezz 2 Amortization'!$E$19:$E$379,0),MATCH('Mezz 2 Amortization'!$R$19,'Mezz 2 Amortization'!$B$19:$V$19,0)),IF('Mezz 2 Amortization'!$T$4="Bi-Annual",IF(OR('Mezz 2 Amortization'!$R$4=FB$5,'Mezz 2 Amortization'!$S$4=FB$5),INDEX('Mezz 2 Amortization'!$B$19:$V$379,MATCH(FB$142,'Mezz 2 Amortization'!$E$19:$E$379,0),MATCH('Mezz 2 Amortization'!$R$19,'Mezz 2 Amortization'!$B$19:$V$19,0)),0),0)))</f>
        <v>0</v>
      </c>
      <c r="FC145" s="427">
        <f>-IF(OR('Financing Assumptions'!$T$8="No",FC$142&lt;='Financing Assumptions'!$T$26,FC$142&gt;'Mezz 2 Amortization'!$T$13),0,IF('Mezz 2 Amortization'!$T$4="Monthly",INDEX('Mezz 2 Amortization'!$B$19:$V$379,MATCH(FC$142,'Mezz 2 Amortization'!$E$19:$E$379,0),MATCH('Mezz 2 Amortization'!$R$19,'Mezz 2 Amortization'!$B$19:$V$19,0)),IF('Mezz 2 Amortization'!$T$4="Bi-Annual",IF(OR('Mezz 2 Amortization'!$R$4=FC$5,'Mezz 2 Amortization'!$S$4=FC$5),INDEX('Mezz 2 Amortization'!$B$19:$V$379,MATCH(FC$142,'Mezz 2 Amortization'!$E$19:$E$379,0),MATCH('Mezz 2 Amortization'!$R$19,'Mezz 2 Amortization'!$B$19:$V$19,0)),0),0)))</f>
        <v>0</v>
      </c>
      <c r="FD145" s="427">
        <f>-IF(OR('Financing Assumptions'!$T$8="No",FD$142&lt;='Financing Assumptions'!$T$26,FD$142&gt;'Mezz 2 Amortization'!$T$13),0,IF('Mezz 2 Amortization'!$T$4="Monthly",INDEX('Mezz 2 Amortization'!$B$19:$V$379,MATCH(FD$142,'Mezz 2 Amortization'!$E$19:$E$379,0),MATCH('Mezz 2 Amortization'!$R$19,'Mezz 2 Amortization'!$B$19:$V$19,0)),IF('Mezz 2 Amortization'!$T$4="Bi-Annual",IF(OR('Mezz 2 Amortization'!$R$4=FD$5,'Mezz 2 Amortization'!$S$4=FD$5),INDEX('Mezz 2 Amortization'!$B$19:$V$379,MATCH(FD$142,'Mezz 2 Amortization'!$E$19:$E$379,0),MATCH('Mezz 2 Amortization'!$R$19,'Mezz 2 Amortization'!$B$19:$V$19,0)),0),0)))</f>
        <v>0</v>
      </c>
      <c r="FE145" s="427">
        <f>-IF(OR('Financing Assumptions'!$T$8="No",FE$142&lt;='Financing Assumptions'!$T$26,FE$142&gt;'Mezz 2 Amortization'!$T$13),0,IF('Mezz 2 Amortization'!$T$4="Monthly",INDEX('Mezz 2 Amortization'!$B$19:$V$379,MATCH(FE$142,'Mezz 2 Amortization'!$E$19:$E$379,0),MATCH('Mezz 2 Amortization'!$R$19,'Mezz 2 Amortization'!$B$19:$V$19,0)),IF('Mezz 2 Amortization'!$T$4="Bi-Annual",IF(OR('Mezz 2 Amortization'!$R$4=FE$5,'Mezz 2 Amortization'!$S$4=FE$5),INDEX('Mezz 2 Amortization'!$B$19:$V$379,MATCH(FE$142,'Mezz 2 Amortization'!$E$19:$E$379,0),MATCH('Mezz 2 Amortization'!$R$19,'Mezz 2 Amortization'!$B$19:$V$19,0)),0),0)))</f>
        <v>0</v>
      </c>
      <c r="FF145" s="427">
        <f>-IF(OR('Financing Assumptions'!$T$8="No",FF$142&lt;='Financing Assumptions'!$T$26,FF$142&gt;'Mezz 2 Amortization'!$T$13),0,IF('Mezz 2 Amortization'!$T$4="Monthly",INDEX('Mezz 2 Amortization'!$B$19:$V$379,MATCH(FF$142,'Mezz 2 Amortization'!$E$19:$E$379,0),MATCH('Mezz 2 Amortization'!$R$19,'Mezz 2 Amortization'!$B$19:$V$19,0)),IF('Mezz 2 Amortization'!$T$4="Bi-Annual",IF(OR('Mezz 2 Amortization'!$R$4=FF$5,'Mezz 2 Amortization'!$S$4=FF$5),INDEX('Mezz 2 Amortization'!$B$19:$V$379,MATCH(FF$142,'Mezz 2 Amortization'!$E$19:$E$379,0),MATCH('Mezz 2 Amortization'!$R$19,'Mezz 2 Amortization'!$B$19:$V$19,0)),0),0)))</f>
        <v>0</v>
      </c>
      <c r="FG145" s="427">
        <f>-IF(OR('Financing Assumptions'!$T$8="No",FG$142&lt;='Financing Assumptions'!$T$26,FG$142&gt;'Mezz 2 Amortization'!$T$13),0,IF('Mezz 2 Amortization'!$T$4="Monthly",INDEX('Mezz 2 Amortization'!$B$19:$V$379,MATCH(FG$142,'Mezz 2 Amortization'!$E$19:$E$379,0),MATCH('Mezz 2 Amortization'!$R$19,'Mezz 2 Amortization'!$B$19:$V$19,0)),IF('Mezz 2 Amortization'!$T$4="Bi-Annual",IF(OR('Mezz 2 Amortization'!$R$4=FG$5,'Mezz 2 Amortization'!$S$4=FG$5),INDEX('Mezz 2 Amortization'!$B$19:$V$379,MATCH(FG$142,'Mezz 2 Amortization'!$E$19:$E$379,0),MATCH('Mezz 2 Amortization'!$R$19,'Mezz 2 Amortization'!$B$19:$V$19,0)),0),0)))</f>
        <v>0</v>
      </c>
      <c r="FH145" s="427">
        <f>-IF(OR('Financing Assumptions'!$T$8="No",FH$142&lt;='Financing Assumptions'!$T$26,FH$142&gt;'Mezz 2 Amortization'!$T$13),0,IF('Mezz 2 Amortization'!$T$4="Monthly",INDEX('Mezz 2 Amortization'!$B$19:$V$379,MATCH(FH$142,'Mezz 2 Amortization'!$E$19:$E$379,0),MATCH('Mezz 2 Amortization'!$R$19,'Mezz 2 Amortization'!$B$19:$V$19,0)),IF('Mezz 2 Amortization'!$T$4="Bi-Annual",IF(OR('Mezz 2 Amortization'!$R$4=FH$5,'Mezz 2 Amortization'!$S$4=FH$5),INDEX('Mezz 2 Amortization'!$B$19:$V$379,MATCH(FH$142,'Mezz 2 Amortization'!$E$19:$E$379,0),MATCH('Mezz 2 Amortization'!$R$19,'Mezz 2 Amortization'!$B$19:$V$19,0)),0),0)))</f>
        <v>0</v>
      </c>
      <c r="FI145" s="427">
        <f>-IF(OR('Financing Assumptions'!$T$8="No",FI$142&lt;='Financing Assumptions'!$T$26,FI$142&gt;'Mezz 2 Amortization'!$T$13),0,IF('Mezz 2 Amortization'!$T$4="Monthly",INDEX('Mezz 2 Amortization'!$B$19:$V$379,MATCH(FI$142,'Mezz 2 Amortization'!$E$19:$E$379,0),MATCH('Mezz 2 Amortization'!$R$19,'Mezz 2 Amortization'!$B$19:$V$19,0)),IF('Mezz 2 Amortization'!$T$4="Bi-Annual",IF(OR('Mezz 2 Amortization'!$R$4=FI$5,'Mezz 2 Amortization'!$S$4=FI$5),INDEX('Mezz 2 Amortization'!$B$19:$V$379,MATCH(FI$142,'Mezz 2 Amortization'!$E$19:$E$379,0),MATCH('Mezz 2 Amortization'!$R$19,'Mezz 2 Amortization'!$B$19:$V$19,0)),0),0)))</f>
        <v>0</v>
      </c>
      <c r="FJ145" s="427">
        <f>-IF(OR('Financing Assumptions'!$T$8="No",FJ$142&lt;='Financing Assumptions'!$T$26,FJ$142&gt;'Mezz 2 Amortization'!$T$13),0,IF('Mezz 2 Amortization'!$T$4="Monthly",INDEX('Mezz 2 Amortization'!$B$19:$V$379,MATCH(FJ$142,'Mezz 2 Amortization'!$E$19:$E$379,0),MATCH('Mezz 2 Amortization'!$R$19,'Mezz 2 Amortization'!$B$19:$V$19,0)),IF('Mezz 2 Amortization'!$T$4="Bi-Annual",IF(OR('Mezz 2 Amortization'!$R$4=FJ$5,'Mezz 2 Amortization'!$S$4=FJ$5),INDEX('Mezz 2 Amortization'!$B$19:$V$379,MATCH(FJ$142,'Mezz 2 Amortization'!$E$19:$E$379,0),MATCH('Mezz 2 Amortization'!$R$19,'Mezz 2 Amortization'!$B$19:$V$19,0)),0),0)))</f>
        <v>0</v>
      </c>
      <c r="FK145" s="427">
        <f>-IF(OR('Financing Assumptions'!$T$8="No",FK$142&lt;='Financing Assumptions'!$T$26,FK$142&gt;'Mezz 2 Amortization'!$T$13),0,IF('Mezz 2 Amortization'!$T$4="Monthly",INDEX('Mezz 2 Amortization'!$B$19:$V$379,MATCH(FK$142,'Mezz 2 Amortization'!$E$19:$E$379,0),MATCH('Mezz 2 Amortization'!$R$19,'Mezz 2 Amortization'!$B$19:$V$19,0)),IF('Mezz 2 Amortization'!$T$4="Bi-Annual",IF(OR('Mezz 2 Amortization'!$R$4=FK$5,'Mezz 2 Amortization'!$S$4=FK$5),INDEX('Mezz 2 Amortization'!$B$19:$V$379,MATCH(FK$142,'Mezz 2 Amortization'!$E$19:$E$379,0),MATCH('Mezz 2 Amortization'!$R$19,'Mezz 2 Amortization'!$B$19:$V$19,0)),0),0)))</f>
        <v>0</v>
      </c>
      <c r="FL145" s="427">
        <f>-IF(OR('Financing Assumptions'!$T$8="No",FL$142&lt;='Financing Assumptions'!$T$26,FL$142&gt;'Mezz 2 Amortization'!$T$13),0,IF('Mezz 2 Amortization'!$T$4="Monthly",INDEX('Mezz 2 Amortization'!$B$19:$V$379,MATCH(FL$142,'Mezz 2 Amortization'!$E$19:$E$379,0),MATCH('Mezz 2 Amortization'!$R$19,'Mezz 2 Amortization'!$B$19:$V$19,0)),IF('Mezz 2 Amortization'!$T$4="Bi-Annual",IF(OR('Mezz 2 Amortization'!$R$4=FL$5,'Mezz 2 Amortization'!$S$4=FL$5),INDEX('Mezz 2 Amortization'!$B$19:$V$379,MATCH(FL$142,'Mezz 2 Amortization'!$E$19:$E$379,0),MATCH('Mezz 2 Amortization'!$R$19,'Mezz 2 Amortization'!$B$19:$V$19,0)),0),0)))</f>
        <v>0</v>
      </c>
      <c r="FM145" s="427">
        <f>-IF(OR('Financing Assumptions'!$T$8="No",FM$142&lt;='Financing Assumptions'!$T$26,FM$142&gt;'Mezz 2 Amortization'!$T$13),0,IF('Mezz 2 Amortization'!$T$4="Monthly",INDEX('Mezz 2 Amortization'!$B$19:$V$379,MATCH(FM$142,'Mezz 2 Amortization'!$E$19:$E$379,0),MATCH('Mezz 2 Amortization'!$R$19,'Mezz 2 Amortization'!$B$19:$V$19,0)),IF('Mezz 2 Amortization'!$T$4="Bi-Annual",IF(OR('Mezz 2 Amortization'!$R$4=FM$5,'Mezz 2 Amortization'!$S$4=FM$5),INDEX('Mezz 2 Amortization'!$B$19:$V$379,MATCH(FM$142,'Mezz 2 Amortization'!$E$19:$E$379,0),MATCH('Mezz 2 Amortization'!$R$19,'Mezz 2 Amortization'!$B$19:$V$19,0)),0),0)))</f>
        <v>0</v>
      </c>
      <c r="FN145" s="427">
        <f>-IF(OR('Financing Assumptions'!$T$8="No",FN$142&lt;='Financing Assumptions'!$T$26,FN$142&gt;'Mezz 2 Amortization'!$T$13),0,IF('Mezz 2 Amortization'!$T$4="Monthly",INDEX('Mezz 2 Amortization'!$B$19:$V$379,MATCH(FN$142,'Mezz 2 Amortization'!$E$19:$E$379,0),MATCH('Mezz 2 Amortization'!$R$19,'Mezz 2 Amortization'!$B$19:$V$19,0)),IF('Mezz 2 Amortization'!$T$4="Bi-Annual",IF(OR('Mezz 2 Amortization'!$R$4=FN$5,'Mezz 2 Amortization'!$S$4=FN$5),INDEX('Mezz 2 Amortization'!$B$19:$V$379,MATCH(FN$142,'Mezz 2 Amortization'!$E$19:$E$379,0),MATCH('Mezz 2 Amortization'!$R$19,'Mezz 2 Amortization'!$B$19:$V$19,0)),0),0)))</f>
        <v>0</v>
      </c>
      <c r="FO145" s="427">
        <f>-IF(OR('Financing Assumptions'!$T$8="No",FO$142&lt;='Financing Assumptions'!$T$26,FO$142&gt;'Mezz 2 Amortization'!$T$13),0,IF('Mezz 2 Amortization'!$T$4="Monthly",INDEX('Mezz 2 Amortization'!$B$19:$V$379,MATCH(FO$142,'Mezz 2 Amortization'!$E$19:$E$379,0),MATCH('Mezz 2 Amortization'!$R$19,'Mezz 2 Amortization'!$B$19:$V$19,0)),IF('Mezz 2 Amortization'!$T$4="Bi-Annual",IF(OR('Mezz 2 Amortization'!$R$4=FO$5,'Mezz 2 Amortization'!$S$4=FO$5),INDEX('Mezz 2 Amortization'!$B$19:$V$379,MATCH(FO$142,'Mezz 2 Amortization'!$E$19:$E$379,0),MATCH('Mezz 2 Amortization'!$R$19,'Mezz 2 Amortization'!$B$19:$V$19,0)),0),0)))</f>
        <v>0</v>
      </c>
      <c r="FP145" s="427">
        <f>-IF(OR('Financing Assumptions'!$T$8="No",FP$142&lt;='Financing Assumptions'!$T$26,FP$142&gt;'Mezz 2 Amortization'!$T$13),0,IF('Mezz 2 Amortization'!$T$4="Monthly",INDEX('Mezz 2 Amortization'!$B$19:$V$379,MATCH(FP$142,'Mezz 2 Amortization'!$E$19:$E$379,0),MATCH('Mezz 2 Amortization'!$R$19,'Mezz 2 Amortization'!$B$19:$V$19,0)),IF('Mezz 2 Amortization'!$T$4="Bi-Annual",IF(OR('Mezz 2 Amortization'!$R$4=FP$5,'Mezz 2 Amortization'!$S$4=FP$5),INDEX('Mezz 2 Amortization'!$B$19:$V$379,MATCH(FP$142,'Mezz 2 Amortization'!$E$19:$E$379,0),MATCH('Mezz 2 Amortization'!$R$19,'Mezz 2 Amortization'!$B$19:$V$19,0)),0),0)))</f>
        <v>0</v>
      </c>
      <c r="FQ145" s="427">
        <f>-IF(OR('Financing Assumptions'!$T$8="No",FQ$142&lt;='Financing Assumptions'!$T$26,FQ$142&gt;'Mezz 2 Amortization'!$T$13),0,IF('Mezz 2 Amortization'!$T$4="Monthly",INDEX('Mezz 2 Amortization'!$B$19:$V$379,MATCH(FQ$142,'Mezz 2 Amortization'!$E$19:$E$379,0),MATCH('Mezz 2 Amortization'!$R$19,'Mezz 2 Amortization'!$B$19:$V$19,0)),IF('Mezz 2 Amortization'!$T$4="Bi-Annual",IF(OR('Mezz 2 Amortization'!$R$4=FQ$5,'Mezz 2 Amortization'!$S$4=FQ$5),INDEX('Mezz 2 Amortization'!$B$19:$V$379,MATCH(FQ$142,'Mezz 2 Amortization'!$E$19:$E$379,0),MATCH('Mezz 2 Amortization'!$R$19,'Mezz 2 Amortization'!$B$19:$V$19,0)),0),0)))</f>
        <v>0</v>
      </c>
      <c r="FR145" s="427">
        <f>-IF(OR('Financing Assumptions'!$T$8="No",FR$142&lt;='Financing Assumptions'!$T$26,FR$142&gt;'Mezz 2 Amortization'!$T$13),0,IF('Mezz 2 Amortization'!$T$4="Monthly",INDEX('Mezz 2 Amortization'!$B$19:$V$379,MATCH(FR$142,'Mezz 2 Amortization'!$E$19:$E$379,0),MATCH('Mezz 2 Amortization'!$R$19,'Mezz 2 Amortization'!$B$19:$V$19,0)),IF('Mezz 2 Amortization'!$T$4="Bi-Annual",IF(OR('Mezz 2 Amortization'!$R$4=FR$5,'Mezz 2 Amortization'!$S$4=FR$5),INDEX('Mezz 2 Amortization'!$B$19:$V$379,MATCH(FR$142,'Mezz 2 Amortization'!$E$19:$E$379,0),MATCH('Mezz 2 Amortization'!$R$19,'Mezz 2 Amortization'!$B$19:$V$19,0)),0),0)))</f>
        <v>0</v>
      </c>
      <c r="FS145" s="427">
        <f>-IF(OR('Financing Assumptions'!$T$8="No",FS$142&lt;='Financing Assumptions'!$T$26,FS$142&gt;'Mezz 2 Amortization'!$T$13),0,IF('Mezz 2 Amortization'!$T$4="Monthly",INDEX('Mezz 2 Amortization'!$B$19:$V$379,MATCH(FS$142,'Mezz 2 Amortization'!$E$19:$E$379,0),MATCH('Mezz 2 Amortization'!$R$19,'Mezz 2 Amortization'!$B$19:$V$19,0)),IF('Mezz 2 Amortization'!$T$4="Bi-Annual",IF(OR('Mezz 2 Amortization'!$R$4=FS$5,'Mezz 2 Amortization'!$S$4=FS$5),INDEX('Mezz 2 Amortization'!$B$19:$V$379,MATCH(FS$142,'Mezz 2 Amortization'!$E$19:$E$379,0),MATCH('Mezz 2 Amortization'!$R$19,'Mezz 2 Amortization'!$B$19:$V$19,0)),0),0)))</f>
        <v>0</v>
      </c>
      <c r="FT145" s="427">
        <f>-IF(OR('Financing Assumptions'!$T$8="No",FT$142&lt;='Financing Assumptions'!$T$26,FT$142&gt;'Mezz 2 Amortization'!$T$13),0,IF('Mezz 2 Amortization'!$T$4="Monthly",INDEX('Mezz 2 Amortization'!$B$19:$V$379,MATCH(FT$142,'Mezz 2 Amortization'!$E$19:$E$379,0),MATCH('Mezz 2 Amortization'!$R$19,'Mezz 2 Amortization'!$B$19:$V$19,0)),IF('Mezz 2 Amortization'!$T$4="Bi-Annual",IF(OR('Mezz 2 Amortization'!$R$4=FT$5,'Mezz 2 Amortization'!$S$4=FT$5),INDEX('Mezz 2 Amortization'!$B$19:$V$379,MATCH(FT$142,'Mezz 2 Amortization'!$E$19:$E$379,0),MATCH('Mezz 2 Amortization'!$R$19,'Mezz 2 Amortization'!$B$19:$V$19,0)),0),0)))</f>
        <v>0</v>
      </c>
      <c r="FU145" s="43"/>
      <c r="FV145" s="34"/>
      <c r="FW145" s="34"/>
      <c r="FX145" s="34"/>
      <c r="FY145" s="34"/>
      <c r="FZ145" s="34"/>
    </row>
    <row r="146" spans="1:182" s="89" customFormat="1" ht="13.5" x14ac:dyDescent="0.25">
      <c r="A146" s="34"/>
      <c r="B146" s="1271" t="s">
        <v>40</v>
      </c>
      <c r="C146" s="34"/>
      <c r="D146" s="34"/>
      <c r="E146" s="34"/>
      <c r="F146" s="428"/>
      <c r="G146" s="34"/>
      <c r="H146" s="1335">
        <f>IF(OR('Financing Assumptions'!$T$8="No",H$142&lt;='Financing Assumptions'!$T$26,H$142&gt;'Mezz 2 Amortization'!$T$13),0,IF('Mezz 2 Amortization'!$T$4="Monthly",INDEX('Mezz 2 Amortization'!$B$19:$V$379,MATCH(H$142,'Mezz 2 Amortization'!$E$19:$E$379,0),MATCH('Mezz 2 Amortization'!$U$19,'Mezz 2 Amortization'!$B$19:$V$19,0)),IF('Mezz 2 Amortization'!$T$4="Bi-Annual",IF(OR('Mezz 2 Amortization'!$R$4=H$5,'Mezz 2 Amortization'!$S$4=H$5),INDEX('Mezz 2 Amortization'!$B$19:$V$379,MATCH(H$142,'Mezz 2 Amortization'!$E$19:$E$379,0),MATCH('Mezz 2 Amortization'!$U$19,'Mezz 2 Amortization'!$B$19:$V$19,0)),0),0)))</f>
        <v>0</v>
      </c>
      <c r="I146" s="427">
        <f>IF(OR('Financing Assumptions'!$T$8="No",I$142&lt;='Financing Assumptions'!$T$26,I$142&gt;'Mezz 2 Amortization'!$T$13),0,IF('Mezz 2 Amortization'!$T$4="Monthly",INDEX('Mezz 2 Amortization'!$B$19:$V$379,MATCH(I$142,'Mezz 2 Amortization'!$E$19:$E$379,0),MATCH('Mezz 2 Amortization'!$U$19,'Mezz 2 Amortization'!$B$19:$V$19,0)),IF('Mezz 2 Amortization'!$T$4="Bi-Annual",IF(OR('Mezz 2 Amortization'!$R$4=I$5,'Mezz 2 Amortization'!$S$4=I$5),INDEX('Mezz 2 Amortization'!$B$19:$V$379,MATCH(I$142,'Mezz 2 Amortization'!$E$19:$E$379,0),MATCH('Mezz 2 Amortization'!$U$19,'Mezz 2 Amortization'!$B$19:$V$19,0)),0),0)))</f>
        <v>0</v>
      </c>
      <c r="J146" s="427">
        <f>IF(OR('Financing Assumptions'!$T$8="No",J$142&lt;='Financing Assumptions'!$T$26,J$142&gt;'Mezz 2 Amortization'!$T$13),0,IF('Mezz 2 Amortization'!$T$4="Monthly",INDEX('Mezz 2 Amortization'!$B$19:$V$379,MATCH(J$142,'Mezz 2 Amortization'!$E$19:$E$379,0),MATCH('Mezz 2 Amortization'!$U$19,'Mezz 2 Amortization'!$B$19:$V$19,0)),IF('Mezz 2 Amortization'!$T$4="Bi-Annual",IF(OR('Mezz 2 Amortization'!$R$4=J$5,'Mezz 2 Amortization'!$S$4=J$5),INDEX('Mezz 2 Amortization'!$B$19:$V$379,MATCH(J$142,'Mezz 2 Amortization'!$E$19:$E$379,0),MATCH('Mezz 2 Amortization'!$U$19,'Mezz 2 Amortization'!$B$19:$V$19,0)),0),0)))</f>
        <v>0</v>
      </c>
      <c r="K146" s="427">
        <f>IF(OR('Financing Assumptions'!$T$8="No",K$142&lt;='Financing Assumptions'!$T$26,K$142&gt;'Mezz 2 Amortization'!$T$13),0,IF('Mezz 2 Amortization'!$T$4="Monthly",INDEX('Mezz 2 Amortization'!$B$19:$V$379,MATCH(K$142,'Mezz 2 Amortization'!$E$19:$E$379,0),MATCH('Mezz 2 Amortization'!$U$19,'Mezz 2 Amortization'!$B$19:$V$19,0)),IF('Mezz 2 Amortization'!$T$4="Bi-Annual",IF(OR('Mezz 2 Amortization'!$R$4=K$5,'Mezz 2 Amortization'!$S$4=K$5),INDEX('Mezz 2 Amortization'!$B$19:$V$379,MATCH(K$142,'Mezz 2 Amortization'!$E$19:$E$379,0),MATCH('Mezz 2 Amortization'!$U$19,'Mezz 2 Amortization'!$B$19:$V$19,0)),0),0)))</f>
        <v>0</v>
      </c>
      <c r="L146" s="427">
        <f>IF(OR('Financing Assumptions'!$T$8="No",L$142&lt;='Financing Assumptions'!$T$26,L$142&gt;'Mezz 2 Amortization'!$T$13),0,IF('Mezz 2 Amortization'!$T$4="Monthly",INDEX('Mezz 2 Amortization'!$B$19:$V$379,MATCH(L$142,'Mezz 2 Amortization'!$E$19:$E$379,0),MATCH('Mezz 2 Amortization'!$U$19,'Mezz 2 Amortization'!$B$19:$V$19,0)),IF('Mezz 2 Amortization'!$T$4="Bi-Annual",IF(OR('Mezz 2 Amortization'!$R$4=L$5,'Mezz 2 Amortization'!$S$4=L$5),INDEX('Mezz 2 Amortization'!$B$19:$V$379,MATCH(L$142,'Mezz 2 Amortization'!$E$19:$E$379,0),MATCH('Mezz 2 Amortization'!$U$19,'Mezz 2 Amortization'!$B$19:$V$19,0)),0),0)))</f>
        <v>0</v>
      </c>
      <c r="M146" s="427">
        <f>IF(OR('Financing Assumptions'!$T$8="No",M$142&lt;='Financing Assumptions'!$T$26,M$142&gt;'Mezz 2 Amortization'!$T$13),0,IF('Mezz 2 Amortization'!$T$4="Monthly",INDEX('Mezz 2 Amortization'!$B$19:$V$379,MATCH(M$142,'Mezz 2 Amortization'!$E$19:$E$379,0),MATCH('Mezz 2 Amortization'!$U$19,'Mezz 2 Amortization'!$B$19:$V$19,0)),IF('Mezz 2 Amortization'!$T$4="Bi-Annual",IF(OR('Mezz 2 Amortization'!$R$4=M$5,'Mezz 2 Amortization'!$S$4=M$5),INDEX('Mezz 2 Amortization'!$B$19:$V$379,MATCH(M$142,'Mezz 2 Amortization'!$E$19:$E$379,0),MATCH('Mezz 2 Amortization'!$U$19,'Mezz 2 Amortization'!$B$19:$V$19,0)),0),0)))</f>
        <v>0</v>
      </c>
      <c r="N146" s="427">
        <f>IF(OR('Financing Assumptions'!$T$8="No",N$142&lt;='Financing Assumptions'!$T$26,N$142&gt;'Mezz 2 Amortization'!$T$13),0,IF('Mezz 2 Amortization'!$T$4="Monthly",INDEX('Mezz 2 Amortization'!$B$19:$V$379,MATCH(N$142,'Mezz 2 Amortization'!$E$19:$E$379,0),MATCH('Mezz 2 Amortization'!$U$19,'Mezz 2 Amortization'!$B$19:$V$19,0)),IF('Mezz 2 Amortization'!$T$4="Bi-Annual",IF(OR('Mezz 2 Amortization'!$R$4=N$5,'Mezz 2 Amortization'!$S$4=N$5),INDEX('Mezz 2 Amortization'!$B$19:$V$379,MATCH(N$142,'Mezz 2 Amortization'!$E$19:$E$379,0),MATCH('Mezz 2 Amortization'!$U$19,'Mezz 2 Amortization'!$B$19:$V$19,0)),0),0)))</f>
        <v>0</v>
      </c>
      <c r="O146" s="427">
        <f>IF(OR('Financing Assumptions'!$T$8="No",O$142&lt;='Financing Assumptions'!$T$26,O$142&gt;'Mezz 2 Amortization'!$T$13),0,IF('Mezz 2 Amortization'!$T$4="Monthly",INDEX('Mezz 2 Amortization'!$B$19:$V$379,MATCH(O$142,'Mezz 2 Amortization'!$E$19:$E$379,0),MATCH('Mezz 2 Amortization'!$U$19,'Mezz 2 Amortization'!$B$19:$V$19,0)),IF('Mezz 2 Amortization'!$T$4="Bi-Annual",IF(OR('Mezz 2 Amortization'!$R$4=O$5,'Mezz 2 Amortization'!$S$4=O$5),INDEX('Mezz 2 Amortization'!$B$19:$V$379,MATCH(O$142,'Mezz 2 Amortization'!$E$19:$E$379,0),MATCH('Mezz 2 Amortization'!$U$19,'Mezz 2 Amortization'!$B$19:$V$19,0)),0),0)))</f>
        <v>0</v>
      </c>
      <c r="P146" s="427">
        <f>IF(OR('Financing Assumptions'!$T$8="No",P$142&lt;='Financing Assumptions'!$T$26,P$142&gt;'Mezz 2 Amortization'!$T$13),0,IF('Mezz 2 Amortization'!$T$4="Monthly",INDEX('Mezz 2 Amortization'!$B$19:$V$379,MATCH(P$142,'Mezz 2 Amortization'!$E$19:$E$379,0),MATCH('Mezz 2 Amortization'!$U$19,'Mezz 2 Amortization'!$B$19:$V$19,0)),IF('Mezz 2 Amortization'!$T$4="Bi-Annual",IF(OR('Mezz 2 Amortization'!$R$4=P$5,'Mezz 2 Amortization'!$S$4=P$5),INDEX('Mezz 2 Amortization'!$B$19:$V$379,MATCH(P$142,'Mezz 2 Amortization'!$E$19:$E$379,0),MATCH('Mezz 2 Amortization'!$U$19,'Mezz 2 Amortization'!$B$19:$V$19,0)),0),0)))</f>
        <v>0</v>
      </c>
      <c r="Q146" s="427">
        <f>IF(OR('Financing Assumptions'!$T$8="No",Q$142&lt;='Financing Assumptions'!$T$26,Q$142&gt;'Mezz 2 Amortization'!$T$13),0,IF('Mezz 2 Amortization'!$T$4="Monthly",INDEX('Mezz 2 Amortization'!$B$19:$V$379,MATCH(Q$142,'Mezz 2 Amortization'!$E$19:$E$379,0),MATCH('Mezz 2 Amortization'!$U$19,'Mezz 2 Amortization'!$B$19:$V$19,0)),IF('Mezz 2 Amortization'!$T$4="Bi-Annual",IF(OR('Mezz 2 Amortization'!$R$4=Q$5,'Mezz 2 Amortization'!$S$4=Q$5),INDEX('Mezz 2 Amortization'!$B$19:$V$379,MATCH(Q$142,'Mezz 2 Amortization'!$E$19:$E$379,0),MATCH('Mezz 2 Amortization'!$U$19,'Mezz 2 Amortization'!$B$19:$V$19,0)),0),0)))</f>
        <v>0</v>
      </c>
      <c r="R146" s="427">
        <f>IF(OR('Financing Assumptions'!$T$8="No",R$142&lt;='Financing Assumptions'!$T$26,R$142&gt;'Mezz 2 Amortization'!$T$13),0,IF('Mezz 2 Amortization'!$T$4="Monthly",INDEX('Mezz 2 Amortization'!$B$19:$V$379,MATCH(R$142,'Mezz 2 Amortization'!$E$19:$E$379,0),MATCH('Mezz 2 Amortization'!$U$19,'Mezz 2 Amortization'!$B$19:$V$19,0)),IF('Mezz 2 Amortization'!$T$4="Bi-Annual",IF(OR('Mezz 2 Amortization'!$R$4=R$5,'Mezz 2 Amortization'!$S$4=R$5),INDEX('Mezz 2 Amortization'!$B$19:$V$379,MATCH(R$142,'Mezz 2 Amortization'!$E$19:$E$379,0),MATCH('Mezz 2 Amortization'!$U$19,'Mezz 2 Amortization'!$B$19:$V$19,0)),0),0)))</f>
        <v>0</v>
      </c>
      <c r="S146" s="427">
        <f>IF(OR('Financing Assumptions'!$T$8="No",S$142&lt;='Financing Assumptions'!$T$26,S$142&gt;'Mezz 2 Amortization'!$T$13),0,IF('Mezz 2 Amortization'!$T$4="Monthly",INDEX('Mezz 2 Amortization'!$B$19:$V$379,MATCH(S$142,'Mezz 2 Amortization'!$E$19:$E$379,0),MATCH('Mezz 2 Amortization'!$U$19,'Mezz 2 Amortization'!$B$19:$V$19,0)),IF('Mezz 2 Amortization'!$T$4="Bi-Annual",IF(OR('Mezz 2 Amortization'!$R$4=S$5,'Mezz 2 Amortization'!$S$4=S$5),INDEX('Mezz 2 Amortization'!$B$19:$V$379,MATCH(S$142,'Mezz 2 Amortization'!$E$19:$E$379,0),MATCH('Mezz 2 Amortization'!$U$19,'Mezz 2 Amortization'!$B$19:$V$19,0)),0),0)))</f>
        <v>0</v>
      </c>
      <c r="T146" s="427">
        <f>IF(OR('Financing Assumptions'!$T$8="No",T$142&lt;='Financing Assumptions'!$T$26,T$142&gt;'Mezz 2 Amortization'!$T$13),0,IF('Mezz 2 Amortization'!$T$4="Monthly",INDEX('Mezz 2 Amortization'!$B$19:$V$379,MATCH(T$142,'Mezz 2 Amortization'!$E$19:$E$379,0),MATCH('Mezz 2 Amortization'!$U$19,'Mezz 2 Amortization'!$B$19:$V$19,0)),IF('Mezz 2 Amortization'!$T$4="Bi-Annual",IF(OR('Mezz 2 Amortization'!$R$4=T$5,'Mezz 2 Amortization'!$S$4=T$5),INDEX('Mezz 2 Amortization'!$B$19:$V$379,MATCH(T$142,'Mezz 2 Amortization'!$E$19:$E$379,0),MATCH('Mezz 2 Amortization'!$U$19,'Mezz 2 Amortization'!$B$19:$V$19,0)),0),0)))</f>
        <v>0</v>
      </c>
      <c r="U146" s="427">
        <f>IF(OR('Financing Assumptions'!$T$8="No",U$142&lt;='Financing Assumptions'!$T$26,U$142&gt;'Mezz 2 Amortization'!$T$13),0,IF('Mezz 2 Amortization'!$T$4="Monthly",INDEX('Mezz 2 Amortization'!$B$19:$V$379,MATCH(U$142,'Mezz 2 Amortization'!$E$19:$E$379,0),MATCH('Mezz 2 Amortization'!$U$19,'Mezz 2 Amortization'!$B$19:$V$19,0)),IF('Mezz 2 Amortization'!$T$4="Bi-Annual",IF(OR('Mezz 2 Amortization'!$R$4=U$5,'Mezz 2 Amortization'!$S$4=U$5),INDEX('Mezz 2 Amortization'!$B$19:$V$379,MATCH(U$142,'Mezz 2 Amortization'!$E$19:$E$379,0),MATCH('Mezz 2 Amortization'!$U$19,'Mezz 2 Amortization'!$B$19:$V$19,0)),0),0)))</f>
        <v>0</v>
      </c>
      <c r="V146" s="427">
        <f>IF(OR('Financing Assumptions'!$T$8="No",V$142&lt;='Financing Assumptions'!$T$26,V$142&gt;'Mezz 2 Amortization'!$T$13),0,IF('Mezz 2 Amortization'!$T$4="Monthly",INDEX('Mezz 2 Amortization'!$B$19:$V$379,MATCH(V$142,'Mezz 2 Amortization'!$E$19:$E$379,0),MATCH('Mezz 2 Amortization'!$U$19,'Mezz 2 Amortization'!$B$19:$V$19,0)),IF('Mezz 2 Amortization'!$T$4="Bi-Annual",IF(OR('Mezz 2 Amortization'!$R$4=V$5,'Mezz 2 Amortization'!$S$4=V$5),INDEX('Mezz 2 Amortization'!$B$19:$V$379,MATCH(V$142,'Mezz 2 Amortization'!$E$19:$E$379,0),MATCH('Mezz 2 Amortization'!$U$19,'Mezz 2 Amortization'!$B$19:$V$19,0)),0),0)))</f>
        <v>0</v>
      </c>
      <c r="W146" s="427">
        <f>IF(OR('Financing Assumptions'!$T$8="No",W$142&lt;='Financing Assumptions'!$T$26,W$142&gt;'Mezz 2 Amortization'!$T$13),0,IF('Mezz 2 Amortization'!$T$4="Monthly",INDEX('Mezz 2 Amortization'!$B$19:$V$379,MATCH(W$142,'Mezz 2 Amortization'!$E$19:$E$379,0),MATCH('Mezz 2 Amortization'!$U$19,'Mezz 2 Amortization'!$B$19:$V$19,0)),IF('Mezz 2 Amortization'!$T$4="Bi-Annual",IF(OR('Mezz 2 Amortization'!$R$4=W$5,'Mezz 2 Amortization'!$S$4=W$5),INDEX('Mezz 2 Amortization'!$B$19:$V$379,MATCH(W$142,'Mezz 2 Amortization'!$E$19:$E$379,0),MATCH('Mezz 2 Amortization'!$U$19,'Mezz 2 Amortization'!$B$19:$V$19,0)),0),0)))</f>
        <v>0</v>
      </c>
      <c r="X146" s="427">
        <f>IF(OR('Financing Assumptions'!$T$8="No",X$142&lt;='Financing Assumptions'!$T$26,X$142&gt;'Mezz 2 Amortization'!$T$13),0,IF('Mezz 2 Amortization'!$T$4="Monthly",INDEX('Mezz 2 Amortization'!$B$19:$V$379,MATCH(X$142,'Mezz 2 Amortization'!$E$19:$E$379,0),MATCH('Mezz 2 Amortization'!$U$19,'Mezz 2 Amortization'!$B$19:$V$19,0)),IF('Mezz 2 Amortization'!$T$4="Bi-Annual",IF(OR('Mezz 2 Amortization'!$R$4=X$5,'Mezz 2 Amortization'!$S$4=X$5),INDEX('Mezz 2 Amortization'!$B$19:$V$379,MATCH(X$142,'Mezz 2 Amortization'!$E$19:$E$379,0),MATCH('Mezz 2 Amortization'!$U$19,'Mezz 2 Amortization'!$B$19:$V$19,0)),0),0)))</f>
        <v>0</v>
      </c>
      <c r="Y146" s="427">
        <f>IF(OR('Financing Assumptions'!$T$8="No",Y$142&lt;='Financing Assumptions'!$T$26,Y$142&gt;'Mezz 2 Amortization'!$T$13),0,IF('Mezz 2 Amortization'!$T$4="Monthly",INDEX('Mezz 2 Amortization'!$B$19:$V$379,MATCH(Y$142,'Mezz 2 Amortization'!$E$19:$E$379,0),MATCH('Mezz 2 Amortization'!$U$19,'Mezz 2 Amortization'!$B$19:$V$19,0)),IF('Mezz 2 Amortization'!$T$4="Bi-Annual",IF(OR('Mezz 2 Amortization'!$R$4=Y$5,'Mezz 2 Amortization'!$S$4=Y$5),INDEX('Mezz 2 Amortization'!$B$19:$V$379,MATCH(Y$142,'Mezz 2 Amortization'!$E$19:$E$379,0),MATCH('Mezz 2 Amortization'!$U$19,'Mezz 2 Amortization'!$B$19:$V$19,0)),0),0)))</f>
        <v>0</v>
      </c>
      <c r="Z146" s="427">
        <f>IF(OR('Financing Assumptions'!$T$8="No",Z$142&lt;='Financing Assumptions'!$T$26,Z$142&gt;'Mezz 2 Amortization'!$T$13),0,IF('Mezz 2 Amortization'!$T$4="Monthly",INDEX('Mezz 2 Amortization'!$B$19:$V$379,MATCH(Z$142,'Mezz 2 Amortization'!$E$19:$E$379,0),MATCH('Mezz 2 Amortization'!$U$19,'Mezz 2 Amortization'!$B$19:$V$19,0)),IF('Mezz 2 Amortization'!$T$4="Bi-Annual",IF(OR('Mezz 2 Amortization'!$R$4=Z$5,'Mezz 2 Amortization'!$S$4=Z$5),INDEX('Mezz 2 Amortization'!$B$19:$V$379,MATCH(Z$142,'Mezz 2 Amortization'!$E$19:$E$379,0),MATCH('Mezz 2 Amortization'!$U$19,'Mezz 2 Amortization'!$B$19:$V$19,0)),0),0)))</f>
        <v>0</v>
      </c>
      <c r="AA146" s="427">
        <f>IF(OR('Financing Assumptions'!$T$8="No",AA$142&lt;='Financing Assumptions'!$T$26,AA$142&gt;'Mezz 2 Amortization'!$T$13),0,IF('Mezz 2 Amortization'!$T$4="Monthly",INDEX('Mezz 2 Amortization'!$B$19:$V$379,MATCH(AA$142,'Mezz 2 Amortization'!$E$19:$E$379,0),MATCH('Mezz 2 Amortization'!$U$19,'Mezz 2 Amortization'!$B$19:$V$19,0)),IF('Mezz 2 Amortization'!$T$4="Bi-Annual",IF(OR('Mezz 2 Amortization'!$R$4=AA$5,'Mezz 2 Amortization'!$S$4=AA$5),INDEX('Mezz 2 Amortization'!$B$19:$V$379,MATCH(AA$142,'Mezz 2 Amortization'!$E$19:$E$379,0),MATCH('Mezz 2 Amortization'!$U$19,'Mezz 2 Amortization'!$B$19:$V$19,0)),0),0)))</f>
        <v>0</v>
      </c>
      <c r="AB146" s="427">
        <f>IF(OR('Financing Assumptions'!$T$8="No",AB$142&lt;='Financing Assumptions'!$T$26,AB$142&gt;'Mezz 2 Amortization'!$T$13),0,IF('Mezz 2 Amortization'!$T$4="Monthly",INDEX('Mezz 2 Amortization'!$B$19:$V$379,MATCH(AB$142,'Mezz 2 Amortization'!$E$19:$E$379,0),MATCH('Mezz 2 Amortization'!$U$19,'Mezz 2 Amortization'!$B$19:$V$19,0)),IF('Mezz 2 Amortization'!$T$4="Bi-Annual",IF(OR('Mezz 2 Amortization'!$R$4=AB$5,'Mezz 2 Amortization'!$S$4=AB$5),INDEX('Mezz 2 Amortization'!$B$19:$V$379,MATCH(AB$142,'Mezz 2 Amortization'!$E$19:$E$379,0),MATCH('Mezz 2 Amortization'!$U$19,'Mezz 2 Amortization'!$B$19:$V$19,0)),0),0)))</f>
        <v>0</v>
      </c>
      <c r="AC146" s="427">
        <f>IF(OR('Financing Assumptions'!$T$8="No",AC$142&lt;='Financing Assumptions'!$T$26,AC$142&gt;'Mezz 2 Amortization'!$T$13),0,IF('Mezz 2 Amortization'!$T$4="Monthly",INDEX('Mezz 2 Amortization'!$B$19:$V$379,MATCH(AC$142,'Mezz 2 Amortization'!$E$19:$E$379,0),MATCH('Mezz 2 Amortization'!$U$19,'Mezz 2 Amortization'!$B$19:$V$19,0)),IF('Mezz 2 Amortization'!$T$4="Bi-Annual",IF(OR('Mezz 2 Amortization'!$R$4=AC$5,'Mezz 2 Amortization'!$S$4=AC$5),INDEX('Mezz 2 Amortization'!$B$19:$V$379,MATCH(AC$142,'Mezz 2 Amortization'!$E$19:$E$379,0),MATCH('Mezz 2 Amortization'!$U$19,'Mezz 2 Amortization'!$B$19:$V$19,0)),0),0)))</f>
        <v>0</v>
      </c>
      <c r="AD146" s="427">
        <f>IF(OR('Financing Assumptions'!$T$8="No",AD$142&lt;='Financing Assumptions'!$T$26,AD$142&gt;'Mezz 2 Amortization'!$T$13),0,IF('Mezz 2 Amortization'!$T$4="Monthly",INDEX('Mezz 2 Amortization'!$B$19:$V$379,MATCH(AD$142,'Mezz 2 Amortization'!$E$19:$E$379,0),MATCH('Mezz 2 Amortization'!$U$19,'Mezz 2 Amortization'!$B$19:$V$19,0)),IF('Mezz 2 Amortization'!$T$4="Bi-Annual",IF(OR('Mezz 2 Amortization'!$R$4=AD$5,'Mezz 2 Amortization'!$S$4=AD$5),INDEX('Mezz 2 Amortization'!$B$19:$V$379,MATCH(AD$142,'Mezz 2 Amortization'!$E$19:$E$379,0),MATCH('Mezz 2 Amortization'!$U$19,'Mezz 2 Amortization'!$B$19:$V$19,0)),0),0)))</f>
        <v>0</v>
      </c>
      <c r="AE146" s="427">
        <f>IF(OR('Financing Assumptions'!$T$8="No",AE$142&lt;='Financing Assumptions'!$T$26,AE$142&gt;'Mezz 2 Amortization'!$T$13),0,IF('Mezz 2 Amortization'!$T$4="Monthly",INDEX('Mezz 2 Amortization'!$B$19:$V$379,MATCH(AE$142,'Mezz 2 Amortization'!$E$19:$E$379,0),MATCH('Mezz 2 Amortization'!$U$19,'Mezz 2 Amortization'!$B$19:$V$19,0)),IF('Mezz 2 Amortization'!$T$4="Bi-Annual",IF(OR('Mezz 2 Amortization'!$R$4=AE$5,'Mezz 2 Amortization'!$S$4=AE$5),INDEX('Mezz 2 Amortization'!$B$19:$V$379,MATCH(AE$142,'Mezz 2 Amortization'!$E$19:$E$379,0),MATCH('Mezz 2 Amortization'!$U$19,'Mezz 2 Amortization'!$B$19:$V$19,0)),0),0)))</f>
        <v>0</v>
      </c>
      <c r="AF146" s="427">
        <f>IF(OR('Financing Assumptions'!$T$8="No",AF$142&lt;='Financing Assumptions'!$T$26,AF$142&gt;'Mezz 2 Amortization'!$T$13),0,IF('Mezz 2 Amortization'!$T$4="Monthly",INDEX('Mezz 2 Amortization'!$B$19:$V$379,MATCH(AF$142,'Mezz 2 Amortization'!$E$19:$E$379,0),MATCH('Mezz 2 Amortization'!$U$19,'Mezz 2 Amortization'!$B$19:$V$19,0)),IF('Mezz 2 Amortization'!$T$4="Bi-Annual",IF(OR('Mezz 2 Amortization'!$R$4=AF$5,'Mezz 2 Amortization'!$S$4=AF$5),INDEX('Mezz 2 Amortization'!$B$19:$V$379,MATCH(AF$142,'Mezz 2 Amortization'!$E$19:$E$379,0),MATCH('Mezz 2 Amortization'!$U$19,'Mezz 2 Amortization'!$B$19:$V$19,0)),0),0)))</f>
        <v>0</v>
      </c>
      <c r="AG146" s="427">
        <f>IF(OR('Financing Assumptions'!$T$8="No",AG$142&lt;='Financing Assumptions'!$T$26,AG$142&gt;'Mezz 2 Amortization'!$T$13),0,IF('Mezz 2 Amortization'!$T$4="Monthly",INDEX('Mezz 2 Amortization'!$B$19:$V$379,MATCH(AG$142,'Mezz 2 Amortization'!$E$19:$E$379,0),MATCH('Mezz 2 Amortization'!$U$19,'Mezz 2 Amortization'!$B$19:$V$19,0)),IF('Mezz 2 Amortization'!$T$4="Bi-Annual",IF(OR('Mezz 2 Amortization'!$R$4=AG$5,'Mezz 2 Amortization'!$S$4=AG$5),INDEX('Mezz 2 Amortization'!$B$19:$V$379,MATCH(AG$142,'Mezz 2 Amortization'!$E$19:$E$379,0),MATCH('Mezz 2 Amortization'!$U$19,'Mezz 2 Amortization'!$B$19:$V$19,0)),0),0)))</f>
        <v>0</v>
      </c>
      <c r="AH146" s="427">
        <f>IF(OR('Financing Assumptions'!$T$8="No",AH$142&lt;='Financing Assumptions'!$T$26,AH$142&gt;'Mezz 2 Amortization'!$T$13),0,IF('Mezz 2 Amortization'!$T$4="Monthly",INDEX('Mezz 2 Amortization'!$B$19:$V$379,MATCH(AH$142,'Mezz 2 Amortization'!$E$19:$E$379,0),MATCH('Mezz 2 Amortization'!$U$19,'Mezz 2 Amortization'!$B$19:$V$19,0)),IF('Mezz 2 Amortization'!$T$4="Bi-Annual",IF(OR('Mezz 2 Amortization'!$R$4=AH$5,'Mezz 2 Amortization'!$S$4=AH$5),INDEX('Mezz 2 Amortization'!$B$19:$V$379,MATCH(AH$142,'Mezz 2 Amortization'!$E$19:$E$379,0),MATCH('Mezz 2 Amortization'!$U$19,'Mezz 2 Amortization'!$B$19:$V$19,0)),0),0)))</f>
        <v>0</v>
      </c>
      <c r="AI146" s="427">
        <f>IF(OR('Financing Assumptions'!$T$8="No",AI$142&lt;='Financing Assumptions'!$T$26,AI$142&gt;'Mezz 2 Amortization'!$T$13),0,IF('Mezz 2 Amortization'!$T$4="Monthly",INDEX('Mezz 2 Amortization'!$B$19:$V$379,MATCH(AI$142,'Mezz 2 Amortization'!$E$19:$E$379,0),MATCH('Mezz 2 Amortization'!$U$19,'Mezz 2 Amortization'!$B$19:$V$19,0)),IF('Mezz 2 Amortization'!$T$4="Bi-Annual",IF(OR('Mezz 2 Amortization'!$R$4=AI$5,'Mezz 2 Amortization'!$S$4=AI$5),INDEX('Mezz 2 Amortization'!$B$19:$V$379,MATCH(AI$142,'Mezz 2 Amortization'!$E$19:$E$379,0),MATCH('Mezz 2 Amortization'!$U$19,'Mezz 2 Amortization'!$B$19:$V$19,0)),0),0)))</f>
        <v>0</v>
      </c>
      <c r="AJ146" s="427">
        <f>IF(OR('Financing Assumptions'!$T$8="No",AJ$142&lt;='Financing Assumptions'!$T$26,AJ$142&gt;'Mezz 2 Amortization'!$T$13),0,IF('Mezz 2 Amortization'!$T$4="Monthly",INDEX('Mezz 2 Amortization'!$B$19:$V$379,MATCH(AJ$142,'Mezz 2 Amortization'!$E$19:$E$379,0),MATCH('Mezz 2 Amortization'!$U$19,'Mezz 2 Amortization'!$B$19:$V$19,0)),IF('Mezz 2 Amortization'!$T$4="Bi-Annual",IF(OR('Mezz 2 Amortization'!$R$4=AJ$5,'Mezz 2 Amortization'!$S$4=AJ$5),INDEX('Mezz 2 Amortization'!$B$19:$V$379,MATCH(AJ$142,'Mezz 2 Amortization'!$E$19:$E$379,0),MATCH('Mezz 2 Amortization'!$U$19,'Mezz 2 Amortization'!$B$19:$V$19,0)),0),0)))</f>
        <v>0</v>
      </c>
      <c r="AK146" s="427">
        <f>IF(OR('Financing Assumptions'!$T$8="No",AK$142&lt;='Financing Assumptions'!$T$26,AK$142&gt;'Mezz 2 Amortization'!$T$13),0,IF('Mezz 2 Amortization'!$T$4="Monthly",INDEX('Mezz 2 Amortization'!$B$19:$V$379,MATCH(AK$142,'Mezz 2 Amortization'!$E$19:$E$379,0),MATCH('Mezz 2 Amortization'!$U$19,'Mezz 2 Amortization'!$B$19:$V$19,0)),IF('Mezz 2 Amortization'!$T$4="Bi-Annual",IF(OR('Mezz 2 Amortization'!$R$4=AK$5,'Mezz 2 Amortization'!$S$4=AK$5),INDEX('Mezz 2 Amortization'!$B$19:$V$379,MATCH(AK$142,'Mezz 2 Amortization'!$E$19:$E$379,0),MATCH('Mezz 2 Amortization'!$U$19,'Mezz 2 Amortization'!$B$19:$V$19,0)),0),0)))</f>
        <v>0</v>
      </c>
      <c r="AL146" s="427">
        <f>IF(OR('Financing Assumptions'!$T$8="No",AL$142&lt;='Financing Assumptions'!$T$26,AL$142&gt;'Mezz 2 Amortization'!$T$13),0,IF('Mezz 2 Amortization'!$T$4="Monthly",INDEX('Mezz 2 Amortization'!$B$19:$V$379,MATCH(AL$142,'Mezz 2 Amortization'!$E$19:$E$379,0),MATCH('Mezz 2 Amortization'!$U$19,'Mezz 2 Amortization'!$B$19:$V$19,0)),IF('Mezz 2 Amortization'!$T$4="Bi-Annual",IF(OR('Mezz 2 Amortization'!$R$4=AL$5,'Mezz 2 Amortization'!$S$4=AL$5),INDEX('Mezz 2 Amortization'!$B$19:$V$379,MATCH(AL$142,'Mezz 2 Amortization'!$E$19:$E$379,0),MATCH('Mezz 2 Amortization'!$U$19,'Mezz 2 Amortization'!$B$19:$V$19,0)),0),0)))</f>
        <v>0</v>
      </c>
      <c r="AM146" s="427">
        <f>IF(OR('Financing Assumptions'!$T$8="No",AM$142&lt;='Financing Assumptions'!$T$26,AM$142&gt;'Mezz 2 Amortization'!$T$13),0,IF('Mezz 2 Amortization'!$T$4="Monthly",INDEX('Mezz 2 Amortization'!$B$19:$V$379,MATCH(AM$142,'Mezz 2 Amortization'!$E$19:$E$379,0),MATCH('Mezz 2 Amortization'!$U$19,'Mezz 2 Amortization'!$B$19:$V$19,0)),IF('Mezz 2 Amortization'!$T$4="Bi-Annual",IF(OR('Mezz 2 Amortization'!$R$4=AM$5,'Mezz 2 Amortization'!$S$4=AM$5),INDEX('Mezz 2 Amortization'!$B$19:$V$379,MATCH(AM$142,'Mezz 2 Amortization'!$E$19:$E$379,0),MATCH('Mezz 2 Amortization'!$U$19,'Mezz 2 Amortization'!$B$19:$V$19,0)),0),0)))</f>
        <v>0</v>
      </c>
      <c r="AN146" s="427">
        <f>IF(OR('Financing Assumptions'!$T$8="No",AN$142&lt;='Financing Assumptions'!$T$26,AN$142&gt;'Mezz 2 Amortization'!$T$13),0,IF('Mezz 2 Amortization'!$T$4="Monthly",INDEX('Mezz 2 Amortization'!$B$19:$V$379,MATCH(AN$142,'Mezz 2 Amortization'!$E$19:$E$379,0),MATCH('Mezz 2 Amortization'!$U$19,'Mezz 2 Amortization'!$B$19:$V$19,0)),IF('Mezz 2 Amortization'!$T$4="Bi-Annual",IF(OR('Mezz 2 Amortization'!$R$4=AN$5,'Mezz 2 Amortization'!$S$4=AN$5),INDEX('Mezz 2 Amortization'!$B$19:$V$379,MATCH(AN$142,'Mezz 2 Amortization'!$E$19:$E$379,0),MATCH('Mezz 2 Amortization'!$U$19,'Mezz 2 Amortization'!$B$19:$V$19,0)),0),0)))</f>
        <v>0</v>
      </c>
      <c r="AO146" s="427">
        <f>IF(OR('Financing Assumptions'!$T$8="No",AO$142&lt;='Financing Assumptions'!$T$26,AO$142&gt;'Mezz 2 Amortization'!$T$13),0,IF('Mezz 2 Amortization'!$T$4="Monthly",INDEX('Mezz 2 Amortization'!$B$19:$V$379,MATCH(AO$142,'Mezz 2 Amortization'!$E$19:$E$379,0),MATCH('Mezz 2 Amortization'!$U$19,'Mezz 2 Amortization'!$B$19:$V$19,0)),IF('Mezz 2 Amortization'!$T$4="Bi-Annual",IF(OR('Mezz 2 Amortization'!$R$4=AO$5,'Mezz 2 Amortization'!$S$4=AO$5),INDEX('Mezz 2 Amortization'!$B$19:$V$379,MATCH(AO$142,'Mezz 2 Amortization'!$E$19:$E$379,0),MATCH('Mezz 2 Amortization'!$U$19,'Mezz 2 Amortization'!$B$19:$V$19,0)),0),0)))</f>
        <v>0</v>
      </c>
      <c r="AP146" s="427">
        <f>IF(OR('Financing Assumptions'!$T$8="No",AP$142&lt;='Financing Assumptions'!$T$26,AP$142&gt;'Mezz 2 Amortization'!$T$13),0,IF('Mezz 2 Amortization'!$T$4="Monthly",INDEX('Mezz 2 Amortization'!$B$19:$V$379,MATCH(AP$142,'Mezz 2 Amortization'!$E$19:$E$379,0),MATCH('Mezz 2 Amortization'!$U$19,'Mezz 2 Amortization'!$B$19:$V$19,0)),IF('Mezz 2 Amortization'!$T$4="Bi-Annual",IF(OR('Mezz 2 Amortization'!$R$4=AP$5,'Mezz 2 Amortization'!$S$4=AP$5),INDEX('Mezz 2 Amortization'!$B$19:$V$379,MATCH(AP$142,'Mezz 2 Amortization'!$E$19:$E$379,0),MATCH('Mezz 2 Amortization'!$U$19,'Mezz 2 Amortization'!$B$19:$V$19,0)),0),0)))</f>
        <v>0</v>
      </c>
      <c r="AQ146" s="427">
        <f>IF(OR('Financing Assumptions'!$T$8="No",AQ$142&lt;='Financing Assumptions'!$T$26,AQ$142&gt;'Mezz 2 Amortization'!$T$13),0,IF('Mezz 2 Amortization'!$T$4="Monthly",INDEX('Mezz 2 Amortization'!$B$19:$V$379,MATCH(AQ$142,'Mezz 2 Amortization'!$E$19:$E$379,0),MATCH('Mezz 2 Amortization'!$U$19,'Mezz 2 Amortization'!$B$19:$V$19,0)),IF('Mezz 2 Amortization'!$T$4="Bi-Annual",IF(OR('Mezz 2 Amortization'!$R$4=AQ$5,'Mezz 2 Amortization'!$S$4=AQ$5),INDEX('Mezz 2 Amortization'!$B$19:$V$379,MATCH(AQ$142,'Mezz 2 Amortization'!$E$19:$E$379,0),MATCH('Mezz 2 Amortization'!$U$19,'Mezz 2 Amortization'!$B$19:$V$19,0)),0),0)))</f>
        <v>0</v>
      </c>
      <c r="AR146" s="427">
        <f>IF(OR('Financing Assumptions'!$T$8="No",AR$142&lt;='Financing Assumptions'!$T$26,AR$142&gt;'Mezz 2 Amortization'!$T$13),0,IF('Mezz 2 Amortization'!$T$4="Monthly",INDEX('Mezz 2 Amortization'!$B$19:$V$379,MATCH(AR$142,'Mezz 2 Amortization'!$E$19:$E$379,0),MATCH('Mezz 2 Amortization'!$U$19,'Mezz 2 Amortization'!$B$19:$V$19,0)),IF('Mezz 2 Amortization'!$T$4="Bi-Annual",IF(OR('Mezz 2 Amortization'!$R$4=AR$5,'Mezz 2 Amortization'!$S$4=AR$5),INDEX('Mezz 2 Amortization'!$B$19:$V$379,MATCH(AR$142,'Mezz 2 Amortization'!$E$19:$E$379,0),MATCH('Mezz 2 Amortization'!$U$19,'Mezz 2 Amortization'!$B$19:$V$19,0)),0),0)))</f>
        <v>0</v>
      </c>
      <c r="AS146" s="427">
        <f>IF(OR('Financing Assumptions'!$T$8="No",AS$142&lt;='Financing Assumptions'!$T$26,AS$142&gt;'Mezz 2 Amortization'!$T$13),0,IF('Mezz 2 Amortization'!$T$4="Monthly",INDEX('Mezz 2 Amortization'!$B$19:$V$379,MATCH(AS$142,'Mezz 2 Amortization'!$E$19:$E$379,0),MATCH('Mezz 2 Amortization'!$U$19,'Mezz 2 Amortization'!$B$19:$V$19,0)),IF('Mezz 2 Amortization'!$T$4="Bi-Annual",IF(OR('Mezz 2 Amortization'!$R$4=AS$5,'Mezz 2 Amortization'!$S$4=AS$5),INDEX('Mezz 2 Amortization'!$B$19:$V$379,MATCH(AS$142,'Mezz 2 Amortization'!$E$19:$E$379,0),MATCH('Mezz 2 Amortization'!$U$19,'Mezz 2 Amortization'!$B$19:$V$19,0)),0),0)))</f>
        <v>0</v>
      </c>
      <c r="AT146" s="427">
        <f>IF(OR('Financing Assumptions'!$T$8="No",AT$142&lt;='Financing Assumptions'!$T$26,AT$142&gt;'Mezz 2 Amortization'!$T$13),0,IF('Mezz 2 Amortization'!$T$4="Monthly",INDEX('Mezz 2 Amortization'!$B$19:$V$379,MATCH(AT$142,'Mezz 2 Amortization'!$E$19:$E$379,0),MATCH('Mezz 2 Amortization'!$U$19,'Mezz 2 Amortization'!$B$19:$V$19,0)),IF('Mezz 2 Amortization'!$T$4="Bi-Annual",IF(OR('Mezz 2 Amortization'!$R$4=AT$5,'Mezz 2 Amortization'!$S$4=AT$5),INDEX('Mezz 2 Amortization'!$B$19:$V$379,MATCH(AT$142,'Mezz 2 Amortization'!$E$19:$E$379,0),MATCH('Mezz 2 Amortization'!$U$19,'Mezz 2 Amortization'!$B$19:$V$19,0)),0),0)))</f>
        <v>0</v>
      </c>
      <c r="AU146" s="427">
        <f>IF(OR('Financing Assumptions'!$T$8="No",AU$142&lt;='Financing Assumptions'!$T$26,AU$142&gt;'Mezz 2 Amortization'!$T$13),0,IF('Mezz 2 Amortization'!$T$4="Monthly",INDEX('Mezz 2 Amortization'!$B$19:$V$379,MATCH(AU$142,'Mezz 2 Amortization'!$E$19:$E$379,0),MATCH('Mezz 2 Amortization'!$U$19,'Mezz 2 Amortization'!$B$19:$V$19,0)),IF('Mezz 2 Amortization'!$T$4="Bi-Annual",IF(OR('Mezz 2 Amortization'!$R$4=AU$5,'Mezz 2 Amortization'!$S$4=AU$5),INDEX('Mezz 2 Amortization'!$B$19:$V$379,MATCH(AU$142,'Mezz 2 Amortization'!$E$19:$E$379,0),MATCH('Mezz 2 Amortization'!$U$19,'Mezz 2 Amortization'!$B$19:$V$19,0)),0),0)))</f>
        <v>0</v>
      </c>
      <c r="AV146" s="427">
        <f>IF(OR('Financing Assumptions'!$T$8="No",AV$142&lt;='Financing Assumptions'!$T$26,AV$142&gt;'Mezz 2 Amortization'!$T$13),0,IF('Mezz 2 Amortization'!$T$4="Monthly",INDEX('Mezz 2 Amortization'!$B$19:$V$379,MATCH(AV$142,'Mezz 2 Amortization'!$E$19:$E$379,0),MATCH('Mezz 2 Amortization'!$U$19,'Mezz 2 Amortization'!$B$19:$V$19,0)),IF('Mezz 2 Amortization'!$T$4="Bi-Annual",IF(OR('Mezz 2 Amortization'!$R$4=AV$5,'Mezz 2 Amortization'!$S$4=AV$5),INDEX('Mezz 2 Amortization'!$B$19:$V$379,MATCH(AV$142,'Mezz 2 Amortization'!$E$19:$E$379,0),MATCH('Mezz 2 Amortization'!$U$19,'Mezz 2 Amortization'!$B$19:$V$19,0)),0),0)))</f>
        <v>0</v>
      </c>
      <c r="AW146" s="427">
        <f>IF(OR('Financing Assumptions'!$T$8="No",AW$142&lt;='Financing Assumptions'!$T$26,AW$142&gt;'Mezz 2 Amortization'!$T$13),0,IF('Mezz 2 Amortization'!$T$4="Monthly",INDEX('Mezz 2 Amortization'!$B$19:$V$379,MATCH(AW$142,'Mezz 2 Amortization'!$E$19:$E$379,0),MATCH('Mezz 2 Amortization'!$U$19,'Mezz 2 Amortization'!$B$19:$V$19,0)),IF('Mezz 2 Amortization'!$T$4="Bi-Annual",IF(OR('Mezz 2 Amortization'!$R$4=AW$5,'Mezz 2 Amortization'!$S$4=AW$5),INDEX('Mezz 2 Amortization'!$B$19:$V$379,MATCH(AW$142,'Mezz 2 Amortization'!$E$19:$E$379,0),MATCH('Mezz 2 Amortization'!$U$19,'Mezz 2 Amortization'!$B$19:$V$19,0)),0),0)))</f>
        <v>0</v>
      </c>
      <c r="AX146" s="427">
        <f>IF(OR('Financing Assumptions'!$T$8="No",AX$142&lt;='Financing Assumptions'!$T$26,AX$142&gt;'Mezz 2 Amortization'!$T$13),0,IF('Mezz 2 Amortization'!$T$4="Monthly",INDEX('Mezz 2 Amortization'!$B$19:$V$379,MATCH(AX$142,'Mezz 2 Amortization'!$E$19:$E$379,0),MATCH('Mezz 2 Amortization'!$U$19,'Mezz 2 Amortization'!$B$19:$V$19,0)),IF('Mezz 2 Amortization'!$T$4="Bi-Annual",IF(OR('Mezz 2 Amortization'!$R$4=AX$5,'Mezz 2 Amortization'!$S$4=AX$5),INDEX('Mezz 2 Amortization'!$B$19:$V$379,MATCH(AX$142,'Mezz 2 Amortization'!$E$19:$E$379,0),MATCH('Mezz 2 Amortization'!$U$19,'Mezz 2 Amortization'!$B$19:$V$19,0)),0),0)))</f>
        <v>0</v>
      </c>
      <c r="AY146" s="427">
        <f>IF(OR('Financing Assumptions'!$T$8="No",AY$142&lt;='Financing Assumptions'!$T$26,AY$142&gt;'Mezz 2 Amortization'!$T$13),0,IF('Mezz 2 Amortization'!$T$4="Monthly",INDEX('Mezz 2 Amortization'!$B$19:$V$379,MATCH(AY$142,'Mezz 2 Amortization'!$E$19:$E$379,0),MATCH('Mezz 2 Amortization'!$U$19,'Mezz 2 Amortization'!$B$19:$V$19,0)),IF('Mezz 2 Amortization'!$T$4="Bi-Annual",IF(OR('Mezz 2 Amortization'!$R$4=AY$5,'Mezz 2 Amortization'!$S$4=AY$5),INDEX('Mezz 2 Amortization'!$B$19:$V$379,MATCH(AY$142,'Mezz 2 Amortization'!$E$19:$E$379,0),MATCH('Mezz 2 Amortization'!$U$19,'Mezz 2 Amortization'!$B$19:$V$19,0)),0),0)))</f>
        <v>0</v>
      </c>
      <c r="AZ146" s="427">
        <f>IF(OR('Financing Assumptions'!$T$8="No",AZ$142&lt;='Financing Assumptions'!$T$26,AZ$142&gt;'Mezz 2 Amortization'!$T$13),0,IF('Mezz 2 Amortization'!$T$4="Monthly",INDEX('Mezz 2 Amortization'!$B$19:$V$379,MATCH(AZ$142,'Mezz 2 Amortization'!$E$19:$E$379,0),MATCH('Mezz 2 Amortization'!$U$19,'Mezz 2 Amortization'!$B$19:$V$19,0)),IF('Mezz 2 Amortization'!$T$4="Bi-Annual",IF(OR('Mezz 2 Amortization'!$R$4=AZ$5,'Mezz 2 Amortization'!$S$4=AZ$5),INDEX('Mezz 2 Amortization'!$B$19:$V$379,MATCH(AZ$142,'Mezz 2 Amortization'!$E$19:$E$379,0),MATCH('Mezz 2 Amortization'!$U$19,'Mezz 2 Amortization'!$B$19:$V$19,0)),0),0)))</f>
        <v>0</v>
      </c>
      <c r="BA146" s="427">
        <f>IF(OR('Financing Assumptions'!$T$8="No",BA$142&lt;='Financing Assumptions'!$T$26,BA$142&gt;'Mezz 2 Amortization'!$T$13),0,IF('Mezz 2 Amortization'!$T$4="Monthly",INDEX('Mezz 2 Amortization'!$B$19:$V$379,MATCH(BA$142,'Mezz 2 Amortization'!$E$19:$E$379,0),MATCH('Mezz 2 Amortization'!$U$19,'Mezz 2 Amortization'!$B$19:$V$19,0)),IF('Mezz 2 Amortization'!$T$4="Bi-Annual",IF(OR('Mezz 2 Amortization'!$R$4=BA$5,'Mezz 2 Amortization'!$S$4=BA$5),INDEX('Mezz 2 Amortization'!$B$19:$V$379,MATCH(BA$142,'Mezz 2 Amortization'!$E$19:$E$379,0),MATCH('Mezz 2 Amortization'!$U$19,'Mezz 2 Amortization'!$B$19:$V$19,0)),0),0)))</f>
        <v>0</v>
      </c>
      <c r="BB146" s="427">
        <f>IF(OR('Financing Assumptions'!$T$8="No",BB$142&lt;='Financing Assumptions'!$T$26,BB$142&gt;'Mezz 2 Amortization'!$T$13),0,IF('Mezz 2 Amortization'!$T$4="Monthly",INDEX('Mezz 2 Amortization'!$B$19:$V$379,MATCH(BB$142,'Mezz 2 Amortization'!$E$19:$E$379,0),MATCH('Mezz 2 Amortization'!$U$19,'Mezz 2 Amortization'!$B$19:$V$19,0)),IF('Mezz 2 Amortization'!$T$4="Bi-Annual",IF(OR('Mezz 2 Amortization'!$R$4=BB$5,'Mezz 2 Amortization'!$S$4=BB$5),INDEX('Mezz 2 Amortization'!$B$19:$V$379,MATCH(BB$142,'Mezz 2 Amortization'!$E$19:$E$379,0),MATCH('Mezz 2 Amortization'!$U$19,'Mezz 2 Amortization'!$B$19:$V$19,0)),0),0)))</f>
        <v>0</v>
      </c>
      <c r="BC146" s="427">
        <f>IF(OR('Financing Assumptions'!$T$8="No",BC$142&lt;='Financing Assumptions'!$T$26,BC$142&gt;'Mezz 2 Amortization'!$T$13),0,IF('Mezz 2 Amortization'!$T$4="Monthly",INDEX('Mezz 2 Amortization'!$B$19:$V$379,MATCH(BC$142,'Mezz 2 Amortization'!$E$19:$E$379,0),MATCH('Mezz 2 Amortization'!$U$19,'Mezz 2 Amortization'!$B$19:$V$19,0)),IF('Mezz 2 Amortization'!$T$4="Bi-Annual",IF(OR('Mezz 2 Amortization'!$R$4=BC$5,'Mezz 2 Amortization'!$S$4=BC$5),INDEX('Mezz 2 Amortization'!$B$19:$V$379,MATCH(BC$142,'Mezz 2 Amortization'!$E$19:$E$379,0),MATCH('Mezz 2 Amortization'!$U$19,'Mezz 2 Amortization'!$B$19:$V$19,0)),0),0)))</f>
        <v>0</v>
      </c>
      <c r="BD146" s="427">
        <f>IF(OR('Financing Assumptions'!$T$8="No",BD$142&lt;='Financing Assumptions'!$T$26,BD$142&gt;'Mezz 2 Amortization'!$T$13),0,IF('Mezz 2 Amortization'!$T$4="Monthly",INDEX('Mezz 2 Amortization'!$B$19:$V$379,MATCH(BD$142,'Mezz 2 Amortization'!$E$19:$E$379,0),MATCH('Mezz 2 Amortization'!$U$19,'Mezz 2 Amortization'!$B$19:$V$19,0)),IF('Mezz 2 Amortization'!$T$4="Bi-Annual",IF(OR('Mezz 2 Amortization'!$R$4=BD$5,'Mezz 2 Amortization'!$S$4=BD$5),INDEX('Mezz 2 Amortization'!$B$19:$V$379,MATCH(BD$142,'Mezz 2 Amortization'!$E$19:$E$379,0),MATCH('Mezz 2 Amortization'!$U$19,'Mezz 2 Amortization'!$B$19:$V$19,0)),0),0)))</f>
        <v>0</v>
      </c>
      <c r="BE146" s="427">
        <f>IF(OR('Financing Assumptions'!$T$8="No",BE$142&lt;='Financing Assumptions'!$T$26,BE$142&gt;'Mezz 2 Amortization'!$T$13),0,IF('Mezz 2 Amortization'!$T$4="Monthly",INDEX('Mezz 2 Amortization'!$B$19:$V$379,MATCH(BE$142,'Mezz 2 Amortization'!$E$19:$E$379,0),MATCH('Mezz 2 Amortization'!$U$19,'Mezz 2 Amortization'!$B$19:$V$19,0)),IF('Mezz 2 Amortization'!$T$4="Bi-Annual",IF(OR('Mezz 2 Amortization'!$R$4=BE$5,'Mezz 2 Amortization'!$S$4=BE$5),INDEX('Mezz 2 Amortization'!$B$19:$V$379,MATCH(BE$142,'Mezz 2 Amortization'!$E$19:$E$379,0),MATCH('Mezz 2 Amortization'!$U$19,'Mezz 2 Amortization'!$B$19:$V$19,0)),0),0)))</f>
        <v>0</v>
      </c>
      <c r="BF146" s="427">
        <f>IF(OR('Financing Assumptions'!$T$8="No",BF$142&lt;='Financing Assumptions'!$T$26,BF$142&gt;'Mezz 2 Amortization'!$T$13),0,IF('Mezz 2 Amortization'!$T$4="Monthly",INDEX('Mezz 2 Amortization'!$B$19:$V$379,MATCH(BF$142,'Mezz 2 Amortization'!$E$19:$E$379,0),MATCH('Mezz 2 Amortization'!$U$19,'Mezz 2 Amortization'!$B$19:$V$19,0)),IF('Mezz 2 Amortization'!$T$4="Bi-Annual",IF(OR('Mezz 2 Amortization'!$R$4=BF$5,'Mezz 2 Amortization'!$S$4=BF$5),INDEX('Mezz 2 Amortization'!$B$19:$V$379,MATCH(BF$142,'Mezz 2 Amortization'!$E$19:$E$379,0),MATCH('Mezz 2 Amortization'!$U$19,'Mezz 2 Amortization'!$B$19:$V$19,0)),0),0)))</f>
        <v>0</v>
      </c>
      <c r="BG146" s="427">
        <f>IF(OR('Financing Assumptions'!$T$8="No",BG$142&lt;='Financing Assumptions'!$T$26,BG$142&gt;'Mezz 2 Amortization'!$T$13),0,IF('Mezz 2 Amortization'!$T$4="Monthly",INDEX('Mezz 2 Amortization'!$B$19:$V$379,MATCH(BG$142,'Mezz 2 Amortization'!$E$19:$E$379,0),MATCH('Mezz 2 Amortization'!$U$19,'Mezz 2 Amortization'!$B$19:$V$19,0)),IF('Mezz 2 Amortization'!$T$4="Bi-Annual",IF(OR('Mezz 2 Amortization'!$R$4=BG$5,'Mezz 2 Amortization'!$S$4=BG$5),INDEX('Mezz 2 Amortization'!$B$19:$V$379,MATCH(BG$142,'Mezz 2 Amortization'!$E$19:$E$379,0),MATCH('Mezz 2 Amortization'!$U$19,'Mezz 2 Amortization'!$B$19:$V$19,0)),0),0)))</f>
        <v>0</v>
      </c>
      <c r="BH146" s="427">
        <f>IF(OR('Financing Assumptions'!$T$8="No",BH$142&lt;='Financing Assumptions'!$T$26,BH$142&gt;'Mezz 2 Amortization'!$T$13),0,IF('Mezz 2 Amortization'!$T$4="Monthly",INDEX('Mezz 2 Amortization'!$B$19:$V$379,MATCH(BH$142,'Mezz 2 Amortization'!$E$19:$E$379,0),MATCH('Mezz 2 Amortization'!$U$19,'Mezz 2 Amortization'!$B$19:$V$19,0)),IF('Mezz 2 Amortization'!$T$4="Bi-Annual",IF(OR('Mezz 2 Amortization'!$R$4=BH$5,'Mezz 2 Amortization'!$S$4=BH$5),INDEX('Mezz 2 Amortization'!$B$19:$V$379,MATCH(BH$142,'Mezz 2 Amortization'!$E$19:$E$379,0),MATCH('Mezz 2 Amortization'!$U$19,'Mezz 2 Amortization'!$B$19:$V$19,0)),0),0)))</f>
        <v>0</v>
      </c>
      <c r="BI146" s="427">
        <f>IF(OR('Financing Assumptions'!$T$8="No",BI$142&lt;='Financing Assumptions'!$T$26,BI$142&gt;'Mezz 2 Amortization'!$T$13),0,IF('Mezz 2 Amortization'!$T$4="Monthly",INDEX('Mezz 2 Amortization'!$B$19:$V$379,MATCH(BI$142,'Mezz 2 Amortization'!$E$19:$E$379,0),MATCH('Mezz 2 Amortization'!$U$19,'Mezz 2 Amortization'!$B$19:$V$19,0)),IF('Mezz 2 Amortization'!$T$4="Bi-Annual",IF(OR('Mezz 2 Amortization'!$R$4=BI$5,'Mezz 2 Amortization'!$S$4=BI$5),INDEX('Mezz 2 Amortization'!$B$19:$V$379,MATCH(BI$142,'Mezz 2 Amortization'!$E$19:$E$379,0),MATCH('Mezz 2 Amortization'!$U$19,'Mezz 2 Amortization'!$B$19:$V$19,0)),0),0)))</f>
        <v>0</v>
      </c>
      <c r="BJ146" s="427">
        <f>IF(OR('Financing Assumptions'!$T$8="No",BJ$142&lt;='Financing Assumptions'!$T$26,BJ$142&gt;'Mezz 2 Amortization'!$T$13),0,IF('Mezz 2 Amortization'!$T$4="Monthly",INDEX('Mezz 2 Amortization'!$B$19:$V$379,MATCH(BJ$142,'Mezz 2 Amortization'!$E$19:$E$379,0),MATCH('Mezz 2 Amortization'!$U$19,'Mezz 2 Amortization'!$B$19:$V$19,0)),IF('Mezz 2 Amortization'!$T$4="Bi-Annual",IF(OR('Mezz 2 Amortization'!$R$4=BJ$5,'Mezz 2 Amortization'!$S$4=BJ$5),INDEX('Mezz 2 Amortization'!$B$19:$V$379,MATCH(BJ$142,'Mezz 2 Amortization'!$E$19:$E$379,0),MATCH('Mezz 2 Amortization'!$U$19,'Mezz 2 Amortization'!$B$19:$V$19,0)),0),0)))</f>
        <v>0</v>
      </c>
      <c r="BK146" s="427">
        <f>IF(OR('Financing Assumptions'!$T$8="No",BK$142&lt;='Financing Assumptions'!$T$26,BK$142&gt;'Mezz 2 Amortization'!$T$13),0,IF('Mezz 2 Amortization'!$T$4="Monthly",INDEX('Mezz 2 Amortization'!$B$19:$V$379,MATCH(BK$142,'Mezz 2 Amortization'!$E$19:$E$379,0),MATCH('Mezz 2 Amortization'!$U$19,'Mezz 2 Amortization'!$B$19:$V$19,0)),IF('Mezz 2 Amortization'!$T$4="Bi-Annual",IF(OR('Mezz 2 Amortization'!$R$4=BK$5,'Mezz 2 Amortization'!$S$4=BK$5),INDEX('Mezz 2 Amortization'!$B$19:$V$379,MATCH(BK$142,'Mezz 2 Amortization'!$E$19:$E$379,0),MATCH('Mezz 2 Amortization'!$U$19,'Mezz 2 Amortization'!$B$19:$V$19,0)),0),0)))</f>
        <v>0</v>
      </c>
      <c r="BL146" s="427">
        <f>IF(OR('Financing Assumptions'!$T$8="No",BL$142&lt;='Financing Assumptions'!$T$26,BL$142&gt;'Mezz 2 Amortization'!$T$13),0,IF('Mezz 2 Amortization'!$T$4="Monthly",INDEX('Mezz 2 Amortization'!$B$19:$V$379,MATCH(BL$142,'Mezz 2 Amortization'!$E$19:$E$379,0),MATCH('Mezz 2 Amortization'!$U$19,'Mezz 2 Amortization'!$B$19:$V$19,0)),IF('Mezz 2 Amortization'!$T$4="Bi-Annual",IF(OR('Mezz 2 Amortization'!$R$4=BL$5,'Mezz 2 Amortization'!$S$4=BL$5),INDEX('Mezz 2 Amortization'!$B$19:$V$379,MATCH(BL$142,'Mezz 2 Amortization'!$E$19:$E$379,0),MATCH('Mezz 2 Amortization'!$U$19,'Mezz 2 Amortization'!$B$19:$V$19,0)),0),0)))</f>
        <v>0</v>
      </c>
      <c r="BM146" s="427">
        <f>IF(OR('Financing Assumptions'!$T$8="No",BM$142&lt;='Financing Assumptions'!$T$26,BM$142&gt;'Mezz 2 Amortization'!$T$13),0,IF('Mezz 2 Amortization'!$T$4="Monthly",INDEX('Mezz 2 Amortization'!$B$19:$V$379,MATCH(BM$142,'Mezz 2 Amortization'!$E$19:$E$379,0),MATCH('Mezz 2 Amortization'!$U$19,'Mezz 2 Amortization'!$B$19:$V$19,0)),IF('Mezz 2 Amortization'!$T$4="Bi-Annual",IF(OR('Mezz 2 Amortization'!$R$4=BM$5,'Mezz 2 Amortization'!$S$4=BM$5),INDEX('Mezz 2 Amortization'!$B$19:$V$379,MATCH(BM$142,'Mezz 2 Amortization'!$E$19:$E$379,0),MATCH('Mezz 2 Amortization'!$U$19,'Mezz 2 Amortization'!$B$19:$V$19,0)),0),0)))</f>
        <v>0</v>
      </c>
      <c r="BN146" s="427">
        <f>IF(OR('Financing Assumptions'!$T$8="No",BN$142&lt;='Financing Assumptions'!$T$26,BN$142&gt;'Mezz 2 Amortization'!$T$13),0,IF('Mezz 2 Amortization'!$T$4="Monthly",INDEX('Mezz 2 Amortization'!$B$19:$V$379,MATCH(BN$142,'Mezz 2 Amortization'!$E$19:$E$379,0),MATCH('Mezz 2 Amortization'!$U$19,'Mezz 2 Amortization'!$B$19:$V$19,0)),IF('Mezz 2 Amortization'!$T$4="Bi-Annual",IF(OR('Mezz 2 Amortization'!$R$4=BN$5,'Mezz 2 Amortization'!$S$4=BN$5),INDEX('Mezz 2 Amortization'!$B$19:$V$379,MATCH(BN$142,'Mezz 2 Amortization'!$E$19:$E$379,0),MATCH('Mezz 2 Amortization'!$U$19,'Mezz 2 Amortization'!$B$19:$V$19,0)),0),0)))</f>
        <v>0</v>
      </c>
      <c r="BO146" s="427">
        <f>IF(OR('Financing Assumptions'!$T$8="No",BO$142&lt;='Financing Assumptions'!$T$26,BO$142&gt;'Mezz 2 Amortization'!$T$13),0,IF('Mezz 2 Amortization'!$T$4="Monthly",INDEX('Mezz 2 Amortization'!$B$19:$V$379,MATCH(BO$142,'Mezz 2 Amortization'!$E$19:$E$379,0),MATCH('Mezz 2 Amortization'!$U$19,'Mezz 2 Amortization'!$B$19:$V$19,0)),IF('Mezz 2 Amortization'!$T$4="Bi-Annual",IF(OR('Mezz 2 Amortization'!$R$4=BO$5,'Mezz 2 Amortization'!$S$4=BO$5),INDEX('Mezz 2 Amortization'!$B$19:$V$379,MATCH(BO$142,'Mezz 2 Amortization'!$E$19:$E$379,0),MATCH('Mezz 2 Amortization'!$U$19,'Mezz 2 Amortization'!$B$19:$V$19,0)),0),0)))</f>
        <v>0</v>
      </c>
      <c r="BP146" s="427">
        <f>IF(OR('Financing Assumptions'!$T$8="No",BP$142&lt;='Financing Assumptions'!$T$26,BP$142&gt;'Mezz 2 Amortization'!$T$13),0,IF('Mezz 2 Amortization'!$T$4="Monthly",INDEX('Mezz 2 Amortization'!$B$19:$V$379,MATCH(BP$142,'Mezz 2 Amortization'!$E$19:$E$379,0),MATCH('Mezz 2 Amortization'!$U$19,'Mezz 2 Amortization'!$B$19:$V$19,0)),IF('Mezz 2 Amortization'!$T$4="Bi-Annual",IF(OR('Mezz 2 Amortization'!$R$4=BP$5,'Mezz 2 Amortization'!$S$4=BP$5),INDEX('Mezz 2 Amortization'!$B$19:$V$379,MATCH(BP$142,'Mezz 2 Amortization'!$E$19:$E$379,0),MATCH('Mezz 2 Amortization'!$U$19,'Mezz 2 Amortization'!$B$19:$V$19,0)),0),0)))</f>
        <v>0</v>
      </c>
      <c r="BQ146" s="427">
        <f>IF(OR('Financing Assumptions'!$T$8="No",BQ$142&lt;='Financing Assumptions'!$T$26,BQ$142&gt;'Mezz 2 Amortization'!$T$13),0,IF('Mezz 2 Amortization'!$T$4="Monthly",INDEX('Mezz 2 Amortization'!$B$19:$V$379,MATCH(BQ$142,'Mezz 2 Amortization'!$E$19:$E$379,0),MATCH('Mezz 2 Amortization'!$U$19,'Mezz 2 Amortization'!$B$19:$V$19,0)),IF('Mezz 2 Amortization'!$T$4="Bi-Annual",IF(OR('Mezz 2 Amortization'!$R$4=BQ$5,'Mezz 2 Amortization'!$S$4=BQ$5),INDEX('Mezz 2 Amortization'!$B$19:$V$379,MATCH(BQ$142,'Mezz 2 Amortization'!$E$19:$E$379,0),MATCH('Mezz 2 Amortization'!$U$19,'Mezz 2 Amortization'!$B$19:$V$19,0)),0),0)))</f>
        <v>0</v>
      </c>
      <c r="BR146" s="427">
        <f>IF(OR('Financing Assumptions'!$T$8="No",BR$142&lt;='Financing Assumptions'!$T$26,BR$142&gt;'Mezz 2 Amortization'!$T$13),0,IF('Mezz 2 Amortization'!$T$4="Monthly",INDEX('Mezz 2 Amortization'!$B$19:$V$379,MATCH(BR$142,'Mezz 2 Amortization'!$E$19:$E$379,0),MATCH('Mezz 2 Amortization'!$U$19,'Mezz 2 Amortization'!$B$19:$V$19,0)),IF('Mezz 2 Amortization'!$T$4="Bi-Annual",IF(OR('Mezz 2 Amortization'!$R$4=BR$5,'Mezz 2 Amortization'!$S$4=BR$5),INDEX('Mezz 2 Amortization'!$B$19:$V$379,MATCH(BR$142,'Mezz 2 Amortization'!$E$19:$E$379,0),MATCH('Mezz 2 Amortization'!$U$19,'Mezz 2 Amortization'!$B$19:$V$19,0)),0),0)))</f>
        <v>0</v>
      </c>
      <c r="BS146" s="427">
        <f>IF(OR('Financing Assumptions'!$T$8="No",BS$142&lt;='Financing Assumptions'!$T$26,BS$142&gt;'Mezz 2 Amortization'!$T$13),0,IF('Mezz 2 Amortization'!$T$4="Monthly",INDEX('Mezz 2 Amortization'!$B$19:$V$379,MATCH(BS$142,'Mezz 2 Amortization'!$E$19:$E$379,0),MATCH('Mezz 2 Amortization'!$U$19,'Mezz 2 Amortization'!$B$19:$V$19,0)),IF('Mezz 2 Amortization'!$T$4="Bi-Annual",IF(OR('Mezz 2 Amortization'!$R$4=BS$5,'Mezz 2 Amortization'!$S$4=BS$5),INDEX('Mezz 2 Amortization'!$B$19:$V$379,MATCH(BS$142,'Mezz 2 Amortization'!$E$19:$E$379,0),MATCH('Mezz 2 Amortization'!$U$19,'Mezz 2 Amortization'!$B$19:$V$19,0)),0),0)))</f>
        <v>0</v>
      </c>
      <c r="BT146" s="427">
        <f>IF(OR('Financing Assumptions'!$T$8="No",BT$142&lt;='Financing Assumptions'!$T$26,BT$142&gt;'Mezz 2 Amortization'!$T$13),0,IF('Mezz 2 Amortization'!$T$4="Monthly",INDEX('Mezz 2 Amortization'!$B$19:$V$379,MATCH(BT$142,'Mezz 2 Amortization'!$E$19:$E$379,0),MATCH('Mezz 2 Amortization'!$U$19,'Mezz 2 Amortization'!$B$19:$V$19,0)),IF('Mezz 2 Amortization'!$T$4="Bi-Annual",IF(OR('Mezz 2 Amortization'!$R$4=BT$5,'Mezz 2 Amortization'!$S$4=BT$5),INDEX('Mezz 2 Amortization'!$B$19:$V$379,MATCH(BT$142,'Mezz 2 Amortization'!$E$19:$E$379,0),MATCH('Mezz 2 Amortization'!$U$19,'Mezz 2 Amortization'!$B$19:$V$19,0)),0),0)))</f>
        <v>0</v>
      </c>
      <c r="BU146" s="427">
        <f>IF(OR('Financing Assumptions'!$T$8="No",BU$142&lt;='Financing Assumptions'!$T$26,BU$142&gt;'Mezz 2 Amortization'!$T$13),0,IF('Mezz 2 Amortization'!$T$4="Monthly",INDEX('Mezz 2 Amortization'!$B$19:$V$379,MATCH(BU$142,'Mezz 2 Amortization'!$E$19:$E$379,0),MATCH('Mezz 2 Amortization'!$U$19,'Mezz 2 Amortization'!$B$19:$V$19,0)),IF('Mezz 2 Amortization'!$T$4="Bi-Annual",IF(OR('Mezz 2 Amortization'!$R$4=BU$5,'Mezz 2 Amortization'!$S$4=BU$5),INDEX('Mezz 2 Amortization'!$B$19:$V$379,MATCH(BU$142,'Mezz 2 Amortization'!$E$19:$E$379,0),MATCH('Mezz 2 Amortization'!$U$19,'Mezz 2 Amortization'!$B$19:$V$19,0)),0),0)))</f>
        <v>0</v>
      </c>
      <c r="BV146" s="427">
        <f>IF(OR('Financing Assumptions'!$T$8="No",BV$142&lt;='Financing Assumptions'!$T$26,BV$142&gt;'Mezz 2 Amortization'!$T$13),0,IF('Mezz 2 Amortization'!$T$4="Monthly",INDEX('Mezz 2 Amortization'!$B$19:$V$379,MATCH(BV$142,'Mezz 2 Amortization'!$E$19:$E$379,0),MATCH('Mezz 2 Amortization'!$U$19,'Mezz 2 Amortization'!$B$19:$V$19,0)),IF('Mezz 2 Amortization'!$T$4="Bi-Annual",IF(OR('Mezz 2 Amortization'!$R$4=BV$5,'Mezz 2 Amortization'!$S$4=BV$5),INDEX('Mezz 2 Amortization'!$B$19:$V$379,MATCH(BV$142,'Mezz 2 Amortization'!$E$19:$E$379,0),MATCH('Mezz 2 Amortization'!$U$19,'Mezz 2 Amortization'!$B$19:$V$19,0)),0),0)))</f>
        <v>0</v>
      </c>
      <c r="BW146" s="427">
        <f>IF(OR('Financing Assumptions'!$T$8="No",BW$142&lt;='Financing Assumptions'!$T$26,BW$142&gt;'Mezz 2 Amortization'!$T$13),0,IF('Mezz 2 Amortization'!$T$4="Monthly",INDEX('Mezz 2 Amortization'!$B$19:$V$379,MATCH(BW$142,'Mezz 2 Amortization'!$E$19:$E$379,0),MATCH('Mezz 2 Amortization'!$U$19,'Mezz 2 Amortization'!$B$19:$V$19,0)),IF('Mezz 2 Amortization'!$T$4="Bi-Annual",IF(OR('Mezz 2 Amortization'!$R$4=BW$5,'Mezz 2 Amortization'!$S$4=BW$5),INDEX('Mezz 2 Amortization'!$B$19:$V$379,MATCH(BW$142,'Mezz 2 Amortization'!$E$19:$E$379,0),MATCH('Mezz 2 Amortization'!$U$19,'Mezz 2 Amortization'!$B$19:$V$19,0)),0),0)))</f>
        <v>0</v>
      </c>
      <c r="BX146" s="427">
        <f>IF(OR('Financing Assumptions'!$T$8="No",BX$142&lt;='Financing Assumptions'!$T$26,BX$142&gt;'Mezz 2 Amortization'!$T$13),0,IF('Mezz 2 Amortization'!$T$4="Monthly",INDEX('Mezz 2 Amortization'!$B$19:$V$379,MATCH(BX$142,'Mezz 2 Amortization'!$E$19:$E$379,0),MATCH('Mezz 2 Amortization'!$U$19,'Mezz 2 Amortization'!$B$19:$V$19,0)),IF('Mezz 2 Amortization'!$T$4="Bi-Annual",IF(OR('Mezz 2 Amortization'!$R$4=BX$5,'Mezz 2 Amortization'!$S$4=BX$5),INDEX('Mezz 2 Amortization'!$B$19:$V$379,MATCH(BX$142,'Mezz 2 Amortization'!$E$19:$E$379,0),MATCH('Mezz 2 Amortization'!$U$19,'Mezz 2 Amortization'!$B$19:$V$19,0)),0),0)))</f>
        <v>0</v>
      </c>
      <c r="BY146" s="427">
        <f>IF(OR('Financing Assumptions'!$T$8="No",BY$142&lt;='Financing Assumptions'!$T$26,BY$142&gt;'Mezz 2 Amortization'!$T$13),0,IF('Mezz 2 Amortization'!$T$4="Monthly",INDEX('Mezz 2 Amortization'!$B$19:$V$379,MATCH(BY$142,'Mezz 2 Amortization'!$E$19:$E$379,0),MATCH('Mezz 2 Amortization'!$U$19,'Mezz 2 Amortization'!$B$19:$V$19,0)),IF('Mezz 2 Amortization'!$T$4="Bi-Annual",IF(OR('Mezz 2 Amortization'!$R$4=BY$5,'Mezz 2 Amortization'!$S$4=BY$5),INDEX('Mezz 2 Amortization'!$B$19:$V$379,MATCH(BY$142,'Mezz 2 Amortization'!$E$19:$E$379,0),MATCH('Mezz 2 Amortization'!$U$19,'Mezz 2 Amortization'!$B$19:$V$19,0)),0),0)))</f>
        <v>0</v>
      </c>
      <c r="BZ146" s="427">
        <f>IF(OR('Financing Assumptions'!$T$8="No",BZ$142&lt;='Financing Assumptions'!$T$26,BZ$142&gt;'Mezz 2 Amortization'!$T$13),0,IF('Mezz 2 Amortization'!$T$4="Monthly",INDEX('Mezz 2 Amortization'!$B$19:$V$379,MATCH(BZ$142,'Mezz 2 Amortization'!$E$19:$E$379,0),MATCH('Mezz 2 Amortization'!$U$19,'Mezz 2 Amortization'!$B$19:$V$19,0)),IF('Mezz 2 Amortization'!$T$4="Bi-Annual",IF(OR('Mezz 2 Amortization'!$R$4=BZ$5,'Mezz 2 Amortization'!$S$4=BZ$5),INDEX('Mezz 2 Amortization'!$B$19:$V$379,MATCH(BZ$142,'Mezz 2 Amortization'!$E$19:$E$379,0),MATCH('Mezz 2 Amortization'!$U$19,'Mezz 2 Amortization'!$B$19:$V$19,0)),0),0)))</f>
        <v>0</v>
      </c>
      <c r="CA146" s="427">
        <f>IF(OR('Financing Assumptions'!$T$8="No",CA$142&lt;='Financing Assumptions'!$T$26,CA$142&gt;'Mezz 2 Amortization'!$T$13),0,IF('Mezz 2 Amortization'!$T$4="Monthly",INDEX('Mezz 2 Amortization'!$B$19:$V$379,MATCH(CA$142,'Mezz 2 Amortization'!$E$19:$E$379,0),MATCH('Mezz 2 Amortization'!$U$19,'Mezz 2 Amortization'!$B$19:$V$19,0)),IF('Mezz 2 Amortization'!$T$4="Bi-Annual",IF(OR('Mezz 2 Amortization'!$R$4=CA$5,'Mezz 2 Amortization'!$S$4=CA$5),INDEX('Mezz 2 Amortization'!$B$19:$V$379,MATCH(CA$142,'Mezz 2 Amortization'!$E$19:$E$379,0),MATCH('Mezz 2 Amortization'!$U$19,'Mezz 2 Amortization'!$B$19:$V$19,0)),0),0)))</f>
        <v>0</v>
      </c>
      <c r="CB146" s="427">
        <f>IF(OR('Financing Assumptions'!$T$8="No",CB$142&lt;='Financing Assumptions'!$T$26,CB$142&gt;'Mezz 2 Amortization'!$T$13),0,IF('Mezz 2 Amortization'!$T$4="Monthly",INDEX('Mezz 2 Amortization'!$B$19:$V$379,MATCH(CB$142,'Mezz 2 Amortization'!$E$19:$E$379,0),MATCH('Mezz 2 Amortization'!$U$19,'Mezz 2 Amortization'!$B$19:$V$19,0)),IF('Mezz 2 Amortization'!$T$4="Bi-Annual",IF(OR('Mezz 2 Amortization'!$R$4=CB$5,'Mezz 2 Amortization'!$S$4=CB$5),INDEX('Mezz 2 Amortization'!$B$19:$V$379,MATCH(CB$142,'Mezz 2 Amortization'!$E$19:$E$379,0),MATCH('Mezz 2 Amortization'!$U$19,'Mezz 2 Amortization'!$B$19:$V$19,0)),0),0)))</f>
        <v>0</v>
      </c>
      <c r="CC146" s="427">
        <f>IF(OR('Financing Assumptions'!$T$8="No",CC$142&lt;='Financing Assumptions'!$T$26,CC$142&gt;'Mezz 2 Amortization'!$T$13),0,IF('Mezz 2 Amortization'!$T$4="Monthly",INDEX('Mezz 2 Amortization'!$B$19:$V$379,MATCH(CC$142,'Mezz 2 Amortization'!$E$19:$E$379,0),MATCH('Mezz 2 Amortization'!$U$19,'Mezz 2 Amortization'!$B$19:$V$19,0)),IF('Mezz 2 Amortization'!$T$4="Bi-Annual",IF(OR('Mezz 2 Amortization'!$R$4=CC$5,'Mezz 2 Amortization'!$S$4=CC$5),INDEX('Mezz 2 Amortization'!$B$19:$V$379,MATCH(CC$142,'Mezz 2 Amortization'!$E$19:$E$379,0),MATCH('Mezz 2 Amortization'!$U$19,'Mezz 2 Amortization'!$B$19:$V$19,0)),0),0)))</f>
        <v>0</v>
      </c>
      <c r="CD146" s="427">
        <f>IF(OR('Financing Assumptions'!$T$8="No",CD$142&lt;='Financing Assumptions'!$T$26,CD$142&gt;'Mezz 2 Amortization'!$T$13),0,IF('Mezz 2 Amortization'!$T$4="Monthly",INDEX('Mezz 2 Amortization'!$B$19:$V$379,MATCH(CD$142,'Mezz 2 Amortization'!$E$19:$E$379,0),MATCH('Mezz 2 Amortization'!$U$19,'Mezz 2 Amortization'!$B$19:$V$19,0)),IF('Mezz 2 Amortization'!$T$4="Bi-Annual",IF(OR('Mezz 2 Amortization'!$R$4=CD$5,'Mezz 2 Amortization'!$S$4=CD$5),INDEX('Mezz 2 Amortization'!$B$19:$V$379,MATCH(CD$142,'Mezz 2 Amortization'!$E$19:$E$379,0),MATCH('Mezz 2 Amortization'!$U$19,'Mezz 2 Amortization'!$B$19:$V$19,0)),0),0)))</f>
        <v>0</v>
      </c>
      <c r="CE146" s="427">
        <f>IF(OR('Financing Assumptions'!$T$8="No",CE$142&lt;='Financing Assumptions'!$T$26,CE$142&gt;'Mezz 2 Amortization'!$T$13),0,IF('Mezz 2 Amortization'!$T$4="Monthly",INDEX('Mezz 2 Amortization'!$B$19:$V$379,MATCH(CE$142,'Mezz 2 Amortization'!$E$19:$E$379,0),MATCH('Mezz 2 Amortization'!$U$19,'Mezz 2 Amortization'!$B$19:$V$19,0)),IF('Mezz 2 Amortization'!$T$4="Bi-Annual",IF(OR('Mezz 2 Amortization'!$R$4=CE$5,'Mezz 2 Amortization'!$S$4=CE$5),INDEX('Mezz 2 Amortization'!$B$19:$V$379,MATCH(CE$142,'Mezz 2 Amortization'!$E$19:$E$379,0),MATCH('Mezz 2 Amortization'!$U$19,'Mezz 2 Amortization'!$B$19:$V$19,0)),0),0)))</f>
        <v>0</v>
      </c>
      <c r="CF146" s="427">
        <f>IF(OR('Financing Assumptions'!$T$8="No",CF$142&lt;='Financing Assumptions'!$T$26,CF$142&gt;'Mezz 2 Amortization'!$T$13),0,IF('Mezz 2 Amortization'!$T$4="Monthly",INDEX('Mezz 2 Amortization'!$B$19:$V$379,MATCH(CF$142,'Mezz 2 Amortization'!$E$19:$E$379,0),MATCH('Mezz 2 Amortization'!$U$19,'Mezz 2 Amortization'!$B$19:$V$19,0)),IF('Mezz 2 Amortization'!$T$4="Bi-Annual",IF(OR('Mezz 2 Amortization'!$R$4=CF$5,'Mezz 2 Amortization'!$S$4=CF$5),INDEX('Mezz 2 Amortization'!$B$19:$V$379,MATCH(CF$142,'Mezz 2 Amortization'!$E$19:$E$379,0),MATCH('Mezz 2 Amortization'!$U$19,'Mezz 2 Amortization'!$B$19:$V$19,0)),0),0)))</f>
        <v>0</v>
      </c>
      <c r="CG146" s="427">
        <f>IF(OR('Financing Assumptions'!$T$8="No",CG$142&lt;='Financing Assumptions'!$T$26,CG$142&gt;'Mezz 2 Amortization'!$T$13),0,IF('Mezz 2 Amortization'!$T$4="Monthly",INDEX('Mezz 2 Amortization'!$B$19:$V$379,MATCH(CG$142,'Mezz 2 Amortization'!$E$19:$E$379,0),MATCH('Mezz 2 Amortization'!$U$19,'Mezz 2 Amortization'!$B$19:$V$19,0)),IF('Mezz 2 Amortization'!$T$4="Bi-Annual",IF(OR('Mezz 2 Amortization'!$R$4=CG$5,'Mezz 2 Amortization'!$S$4=CG$5),INDEX('Mezz 2 Amortization'!$B$19:$V$379,MATCH(CG$142,'Mezz 2 Amortization'!$E$19:$E$379,0),MATCH('Mezz 2 Amortization'!$U$19,'Mezz 2 Amortization'!$B$19:$V$19,0)),0),0)))</f>
        <v>0</v>
      </c>
      <c r="CH146" s="427">
        <f>IF(OR('Financing Assumptions'!$T$8="No",CH$142&lt;='Financing Assumptions'!$T$26,CH$142&gt;'Mezz 2 Amortization'!$T$13),0,IF('Mezz 2 Amortization'!$T$4="Monthly",INDEX('Mezz 2 Amortization'!$B$19:$V$379,MATCH(CH$142,'Mezz 2 Amortization'!$E$19:$E$379,0),MATCH('Mezz 2 Amortization'!$U$19,'Mezz 2 Amortization'!$B$19:$V$19,0)),IF('Mezz 2 Amortization'!$T$4="Bi-Annual",IF(OR('Mezz 2 Amortization'!$R$4=CH$5,'Mezz 2 Amortization'!$S$4=CH$5),INDEX('Mezz 2 Amortization'!$B$19:$V$379,MATCH(CH$142,'Mezz 2 Amortization'!$E$19:$E$379,0),MATCH('Mezz 2 Amortization'!$U$19,'Mezz 2 Amortization'!$B$19:$V$19,0)),0),0)))</f>
        <v>0</v>
      </c>
      <c r="CI146" s="427">
        <f>IF(OR('Financing Assumptions'!$T$8="No",CI$142&lt;='Financing Assumptions'!$T$26,CI$142&gt;'Mezz 2 Amortization'!$T$13),0,IF('Mezz 2 Amortization'!$T$4="Monthly",INDEX('Mezz 2 Amortization'!$B$19:$V$379,MATCH(CI$142,'Mezz 2 Amortization'!$E$19:$E$379,0),MATCH('Mezz 2 Amortization'!$U$19,'Mezz 2 Amortization'!$B$19:$V$19,0)),IF('Mezz 2 Amortization'!$T$4="Bi-Annual",IF(OR('Mezz 2 Amortization'!$R$4=CI$5,'Mezz 2 Amortization'!$S$4=CI$5),INDEX('Mezz 2 Amortization'!$B$19:$V$379,MATCH(CI$142,'Mezz 2 Amortization'!$E$19:$E$379,0),MATCH('Mezz 2 Amortization'!$U$19,'Mezz 2 Amortization'!$B$19:$V$19,0)),0),0)))</f>
        <v>0</v>
      </c>
      <c r="CJ146" s="427">
        <f>IF(OR('Financing Assumptions'!$T$8="No",CJ$142&lt;='Financing Assumptions'!$T$26,CJ$142&gt;'Mezz 2 Amortization'!$T$13),0,IF('Mezz 2 Amortization'!$T$4="Monthly",INDEX('Mezz 2 Amortization'!$B$19:$V$379,MATCH(CJ$142,'Mezz 2 Amortization'!$E$19:$E$379,0),MATCH('Mezz 2 Amortization'!$U$19,'Mezz 2 Amortization'!$B$19:$V$19,0)),IF('Mezz 2 Amortization'!$T$4="Bi-Annual",IF(OR('Mezz 2 Amortization'!$R$4=CJ$5,'Mezz 2 Amortization'!$S$4=CJ$5),INDEX('Mezz 2 Amortization'!$B$19:$V$379,MATCH(CJ$142,'Mezz 2 Amortization'!$E$19:$E$379,0),MATCH('Mezz 2 Amortization'!$U$19,'Mezz 2 Amortization'!$B$19:$V$19,0)),0),0)))</f>
        <v>0</v>
      </c>
      <c r="CK146" s="427">
        <f>IF(OR('Financing Assumptions'!$T$8="No",CK$142&lt;='Financing Assumptions'!$T$26,CK$142&gt;'Mezz 2 Amortization'!$T$13),0,IF('Mezz 2 Amortization'!$T$4="Monthly",INDEX('Mezz 2 Amortization'!$B$19:$V$379,MATCH(CK$142,'Mezz 2 Amortization'!$E$19:$E$379,0),MATCH('Mezz 2 Amortization'!$U$19,'Mezz 2 Amortization'!$B$19:$V$19,0)),IF('Mezz 2 Amortization'!$T$4="Bi-Annual",IF(OR('Mezz 2 Amortization'!$R$4=CK$5,'Mezz 2 Amortization'!$S$4=CK$5),INDEX('Mezz 2 Amortization'!$B$19:$V$379,MATCH(CK$142,'Mezz 2 Amortization'!$E$19:$E$379,0),MATCH('Mezz 2 Amortization'!$U$19,'Mezz 2 Amortization'!$B$19:$V$19,0)),0),0)))</f>
        <v>0</v>
      </c>
      <c r="CL146" s="427">
        <f>IF(OR('Financing Assumptions'!$T$8="No",CL$142&lt;='Financing Assumptions'!$T$26,CL$142&gt;'Mezz 2 Amortization'!$T$13),0,IF('Mezz 2 Amortization'!$T$4="Monthly",INDEX('Mezz 2 Amortization'!$B$19:$V$379,MATCH(CL$142,'Mezz 2 Amortization'!$E$19:$E$379,0),MATCH('Mezz 2 Amortization'!$U$19,'Mezz 2 Amortization'!$B$19:$V$19,0)),IF('Mezz 2 Amortization'!$T$4="Bi-Annual",IF(OR('Mezz 2 Amortization'!$R$4=CL$5,'Mezz 2 Amortization'!$S$4=CL$5),INDEX('Mezz 2 Amortization'!$B$19:$V$379,MATCH(CL$142,'Mezz 2 Amortization'!$E$19:$E$379,0),MATCH('Mezz 2 Amortization'!$U$19,'Mezz 2 Amortization'!$B$19:$V$19,0)),0),0)))</f>
        <v>0</v>
      </c>
      <c r="CM146" s="427">
        <f>IF(OR('Financing Assumptions'!$T$8="No",CM$142&lt;='Financing Assumptions'!$T$26,CM$142&gt;'Mezz 2 Amortization'!$T$13),0,IF('Mezz 2 Amortization'!$T$4="Monthly",INDEX('Mezz 2 Amortization'!$B$19:$V$379,MATCH(CM$142,'Mezz 2 Amortization'!$E$19:$E$379,0),MATCH('Mezz 2 Amortization'!$U$19,'Mezz 2 Amortization'!$B$19:$V$19,0)),IF('Mezz 2 Amortization'!$T$4="Bi-Annual",IF(OR('Mezz 2 Amortization'!$R$4=CM$5,'Mezz 2 Amortization'!$S$4=CM$5),INDEX('Mezz 2 Amortization'!$B$19:$V$379,MATCH(CM$142,'Mezz 2 Amortization'!$E$19:$E$379,0),MATCH('Mezz 2 Amortization'!$U$19,'Mezz 2 Amortization'!$B$19:$V$19,0)),0),0)))</f>
        <v>0</v>
      </c>
      <c r="CN146" s="427">
        <f>IF(OR('Financing Assumptions'!$T$8="No",CN$142&lt;='Financing Assumptions'!$T$26,CN$142&gt;'Mezz 2 Amortization'!$T$13),0,IF('Mezz 2 Amortization'!$T$4="Monthly",INDEX('Mezz 2 Amortization'!$B$19:$V$379,MATCH(CN$142,'Mezz 2 Amortization'!$E$19:$E$379,0),MATCH('Mezz 2 Amortization'!$U$19,'Mezz 2 Amortization'!$B$19:$V$19,0)),IF('Mezz 2 Amortization'!$T$4="Bi-Annual",IF(OR('Mezz 2 Amortization'!$R$4=CN$5,'Mezz 2 Amortization'!$S$4=CN$5),INDEX('Mezz 2 Amortization'!$B$19:$V$379,MATCH(CN$142,'Mezz 2 Amortization'!$E$19:$E$379,0),MATCH('Mezz 2 Amortization'!$U$19,'Mezz 2 Amortization'!$B$19:$V$19,0)),0),0)))</f>
        <v>0</v>
      </c>
      <c r="CO146" s="427">
        <f>IF(OR('Financing Assumptions'!$T$8="No",CO$142&lt;='Financing Assumptions'!$T$26,CO$142&gt;'Mezz 2 Amortization'!$T$13),0,IF('Mezz 2 Amortization'!$T$4="Monthly",INDEX('Mezz 2 Amortization'!$B$19:$V$379,MATCH(CO$142,'Mezz 2 Amortization'!$E$19:$E$379,0),MATCH('Mezz 2 Amortization'!$U$19,'Mezz 2 Amortization'!$B$19:$V$19,0)),IF('Mezz 2 Amortization'!$T$4="Bi-Annual",IF(OR('Mezz 2 Amortization'!$R$4=CO$5,'Mezz 2 Amortization'!$S$4=CO$5),INDEX('Mezz 2 Amortization'!$B$19:$V$379,MATCH(CO$142,'Mezz 2 Amortization'!$E$19:$E$379,0),MATCH('Mezz 2 Amortization'!$U$19,'Mezz 2 Amortization'!$B$19:$V$19,0)),0),0)))</f>
        <v>0</v>
      </c>
      <c r="CP146" s="427">
        <f>IF(OR('Financing Assumptions'!$T$8="No",CP$142&lt;='Financing Assumptions'!$T$26,CP$142&gt;'Mezz 2 Amortization'!$T$13),0,IF('Mezz 2 Amortization'!$T$4="Monthly",INDEX('Mezz 2 Amortization'!$B$19:$V$379,MATCH(CP$142,'Mezz 2 Amortization'!$E$19:$E$379,0),MATCH('Mezz 2 Amortization'!$U$19,'Mezz 2 Amortization'!$B$19:$V$19,0)),IF('Mezz 2 Amortization'!$T$4="Bi-Annual",IF(OR('Mezz 2 Amortization'!$R$4=CP$5,'Mezz 2 Amortization'!$S$4=CP$5),INDEX('Mezz 2 Amortization'!$B$19:$V$379,MATCH(CP$142,'Mezz 2 Amortization'!$E$19:$E$379,0),MATCH('Mezz 2 Amortization'!$U$19,'Mezz 2 Amortization'!$B$19:$V$19,0)),0),0)))</f>
        <v>0</v>
      </c>
      <c r="CQ146" s="427">
        <f>IF(OR('Financing Assumptions'!$T$8="No",CQ$142&lt;='Financing Assumptions'!$T$26,CQ$142&gt;'Mezz 2 Amortization'!$T$13),0,IF('Mezz 2 Amortization'!$T$4="Monthly",INDEX('Mezz 2 Amortization'!$B$19:$V$379,MATCH(CQ$142,'Mezz 2 Amortization'!$E$19:$E$379,0),MATCH('Mezz 2 Amortization'!$U$19,'Mezz 2 Amortization'!$B$19:$V$19,0)),IF('Mezz 2 Amortization'!$T$4="Bi-Annual",IF(OR('Mezz 2 Amortization'!$R$4=CQ$5,'Mezz 2 Amortization'!$S$4=CQ$5),INDEX('Mezz 2 Amortization'!$B$19:$V$379,MATCH(CQ$142,'Mezz 2 Amortization'!$E$19:$E$379,0),MATCH('Mezz 2 Amortization'!$U$19,'Mezz 2 Amortization'!$B$19:$V$19,0)),0),0)))</f>
        <v>0</v>
      </c>
      <c r="CR146" s="427">
        <f>IF(OR('Financing Assumptions'!$T$8="No",CR$142&lt;='Financing Assumptions'!$T$26,CR$142&gt;'Mezz 2 Amortization'!$T$13),0,IF('Mezz 2 Amortization'!$T$4="Monthly",INDEX('Mezz 2 Amortization'!$B$19:$V$379,MATCH(CR$142,'Mezz 2 Amortization'!$E$19:$E$379,0),MATCH('Mezz 2 Amortization'!$U$19,'Mezz 2 Amortization'!$B$19:$V$19,0)),IF('Mezz 2 Amortization'!$T$4="Bi-Annual",IF(OR('Mezz 2 Amortization'!$R$4=CR$5,'Mezz 2 Amortization'!$S$4=CR$5),INDEX('Mezz 2 Amortization'!$B$19:$V$379,MATCH(CR$142,'Mezz 2 Amortization'!$E$19:$E$379,0),MATCH('Mezz 2 Amortization'!$U$19,'Mezz 2 Amortization'!$B$19:$V$19,0)),0),0)))</f>
        <v>0</v>
      </c>
      <c r="CS146" s="427">
        <f>IF(OR('Financing Assumptions'!$T$8="No",CS$142&lt;='Financing Assumptions'!$T$26,CS$142&gt;'Mezz 2 Amortization'!$T$13),0,IF('Mezz 2 Amortization'!$T$4="Monthly",INDEX('Mezz 2 Amortization'!$B$19:$V$379,MATCH(CS$142,'Mezz 2 Amortization'!$E$19:$E$379,0),MATCH('Mezz 2 Amortization'!$U$19,'Mezz 2 Amortization'!$B$19:$V$19,0)),IF('Mezz 2 Amortization'!$T$4="Bi-Annual",IF(OR('Mezz 2 Amortization'!$R$4=CS$5,'Mezz 2 Amortization'!$S$4=CS$5),INDEX('Mezz 2 Amortization'!$B$19:$V$379,MATCH(CS$142,'Mezz 2 Amortization'!$E$19:$E$379,0),MATCH('Mezz 2 Amortization'!$U$19,'Mezz 2 Amortization'!$B$19:$V$19,0)),0),0)))</f>
        <v>0</v>
      </c>
      <c r="CT146" s="427">
        <f>IF(OR('Financing Assumptions'!$T$8="No",CT$142&lt;='Financing Assumptions'!$T$26,CT$142&gt;'Mezz 2 Amortization'!$T$13),0,IF('Mezz 2 Amortization'!$T$4="Monthly",INDEX('Mezz 2 Amortization'!$B$19:$V$379,MATCH(CT$142,'Mezz 2 Amortization'!$E$19:$E$379,0),MATCH('Mezz 2 Amortization'!$U$19,'Mezz 2 Amortization'!$B$19:$V$19,0)),IF('Mezz 2 Amortization'!$T$4="Bi-Annual",IF(OR('Mezz 2 Amortization'!$R$4=CT$5,'Mezz 2 Amortization'!$S$4=CT$5),INDEX('Mezz 2 Amortization'!$B$19:$V$379,MATCH(CT$142,'Mezz 2 Amortization'!$E$19:$E$379,0),MATCH('Mezz 2 Amortization'!$U$19,'Mezz 2 Amortization'!$B$19:$V$19,0)),0),0)))</f>
        <v>0</v>
      </c>
      <c r="CU146" s="427">
        <f>IF(OR('Financing Assumptions'!$T$8="No",CU$142&lt;='Financing Assumptions'!$T$26,CU$142&gt;'Mezz 2 Amortization'!$T$13),0,IF('Mezz 2 Amortization'!$T$4="Monthly",INDEX('Mezz 2 Amortization'!$B$19:$V$379,MATCH(CU$142,'Mezz 2 Amortization'!$E$19:$E$379,0),MATCH('Mezz 2 Amortization'!$U$19,'Mezz 2 Amortization'!$B$19:$V$19,0)),IF('Mezz 2 Amortization'!$T$4="Bi-Annual",IF(OR('Mezz 2 Amortization'!$R$4=CU$5,'Mezz 2 Amortization'!$S$4=CU$5),INDEX('Mezz 2 Amortization'!$B$19:$V$379,MATCH(CU$142,'Mezz 2 Amortization'!$E$19:$E$379,0),MATCH('Mezz 2 Amortization'!$U$19,'Mezz 2 Amortization'!$B$19:$V$19,0)),0),0)))</f>
        <v>0</v>
      </c>
      <c r="CV146" s="427">
        <f>IF(OR('Financing Assumptions'!$T$8="No",CV$142&lt;='Financing Assumptions'!$T$26,CV$142&gt;'Mezz 2 Amortization'!$T$13),0,IF('Mezz 2 Amortization'!$T$4="Monthly",INDEX('Mezz 2 Amortization'!$B$19:$V$379,MATCH(CV$142,'Mezz 2 Amortization'!$E$19:$E$379,0),MATCH('Mezz 2 Amortization'!$U$19,'Mezz 2 Amortization'!$B$19:$V$19,0)),IF('Mezz 2 Amortization'!$T$4="Bi-Annual",IF(OR('Mezz 2 Amortization'!$R$4=CV$5,'Mezz 2 Amortization'!$S$4=CV$5),INDEX('Mezz 2 Amortization'!$B$19:$V$379,MATCH(CV$142,'Mezz 2 Amortization'!$E$19:$E$379,0),MATCH('Mezz 2 Amortization'!$U$19,'Mezz 2 Amortization'!$B$19:$V$19,0)),0),0)))</f>
        <v>0</v>
      </c>
      <c r="CW146" s="427">
        <f>IF(OR('Financing Assumptions'!$T$8="No",CW$142&lt;='Financing Assumptions'!$T$26,CW$142&gt;'Mezz 2 Amortization'!$T$13),0,IF('Mezz 2 Amortization'!$T$4="Monthly",INDEX('Mezz 2 Amortization'!$B$19:$V$379,MATCH(CW$142,'Mezz 2 Amortization'!$E$19:$E$379,0),MATCH('Mezz 2 Amortization'!$U$19,'Mezz 2 Amortization'!$B$19:$V$19,0)),IF('Mezz 2 Amortization'!$T$4="Bi-Annual",IF(OR('Mezz 2 Amortization'!$R$4=CW$5,'Mezz 2 Amortization'!$S$4=CW$5),INDEX('Mezz 2 Amortization'!$B$19:$V$379,MATCH(CW$142,'Mezz 2 Amortization'!$E$19:$E$379,0),MATCH('Mezz 2 Amortization'!$U$19,'Mezz 2 Amortization'!$B$19:$V$19,0)),0),0)))</f>
        <v>0</v>
      </c>
      <c r="CX146" s="427">
        <f>IF(OR('Financing Assumptions'!$T$8="No",CX$142&lt;='Financing Assumptions'!$T$26,CX$142&gt;'Mezz 2 Amortization'!$T$13),0,IF('Mezz 2 Amortization'!$T$4="Monthly",INDEX('Mezz 2 Amortization'!$B$19:$V$379,MATCH(CX$142,'Mezz 2 Amortization'!$E$19:$E$379,0),MATCH('Mezz 2 Amortization'!$U$19,'Mezz 2 Amortization'!$B$19:$V$19,0)),IF('Mezz 2 Amortization'!$T$4="Bi-Annual",IF(OR('Mezz 2 Amortization'!$R$4=CX$5,'Mezz 2 Amortization'!$S$4=CX$5),INDEX('Mezz 2 Amortization'!$B$19:$V$379,MATCH(CX$142,'Mezz 2 Amortization'!$E$19:$E$379,0),MATCH('Mezz 2 Amortization'!$U$19,'Mezz 2 Amortization'!$B$19:$V$19,0)),0),0)))</f>
        <v>0</v>
      </c>
      <c r="CY146" s="427">
        <f>IF(OR('Financing Assumptions'!$T$8="No",CY$142&lt;='Financing Assumptions'!$T$26,CY$142&gt;'Mezz 2 Amortization'!$T$13),0,IF('Mezz 2 Amortization'!$T$4="Monthly",INDEX('Mezz 2 Amortization'!$B$19:$V$379,MATCH(CY$142,'Mezz 2 Amortization'!$E$19:$E$379,0),MATCH('Mezz 2 Amortization'!$U$19,'Mezz 2 Amortization'!$B$19:$V$19,0)),IF('Mezz 2 Amortization'!$T$4="Bi-Annual",IF(OR('Mezz 2 Amortization'!$R$4=CY$5,'Mezz 2 Amortization'!$S$4=CY$5),INDEX('Mezz 2 Amortization'!$B$19:$V$379,MATCH(CY$142,'Mezz 2 Amortization'!$E$19:$E$379,0),MATCH('Mezz 2 Amortization'!$U$19,'Mezz 2 Amortization'!$B$19:$V$19,0)),0),0)))</f>
        <v>0</v>
      </c>
      <c r="CZ146" s="427">
        <f>IF(OR('Financing Assumptions'!$T$8="No",CZ$142&lt;='Financing Assumptions'!$T$26,CZ$142&gt;'Mezz 2 Amortization'!$T$13),0,IF('Mezz 2 Amortization'!$T$4="Monthly",INDEX('Mezz 2 Amortization'!$B$19:$V$379,MATCH(CZ$142,'Mezz 2 Amortization'!$E$19:$E$379,0),MATCH('Mezz 2 Amortization'!$U$19,'Mezz 2 Amortization'!$B$19:$V$19,0)),IF('Mezz 2 Amortization'!$T$4="Bi-Annual",IF(OR('Mezz 2 Amortization'!$R$4=CZ$5,'Mezz 2 Amortization'!$S$4=CZ$5),INDEX('Mezz 2 Amortization'!$B$19:$V$379,MATCH(CZ$142,'Mezz 2 Amortization'!$E$19:$E$379,0),MATCH('Mezz 2 Amortization'!$U$19,'Mezz 2 Amortization'!$B$19:$V$19,0)),0),0)))</f>
        <v>0</v>
      </c>
      <c r="DA146" s="427">
        <f>IF(OR('Financing Assumptions'!$T$8="No",DA$142&lt;='Financing Assumptions'!$T$26,DA$142&gt;'Mezz 2 Amortization'!$T$13),0,IF('Mezz 2 Amortization'!$T$4="Monthly",INDEX('Mezz 2 Amortization'!$B$19:$V$379,MATCH(DA$142,'Mezz 2 Amortization'!$E$19:$E$379,0),MATCH('Mezz 2 Amortization'!$U$19,'Mezz 2 Amortization'!$B$19:$V$19,0)),IF('Mezz 2 Amortization'!$T$4="Bi-Annual",IF(OR('Mezz 2 Amortization'!$R$4=DA$5,'Mezz 2 Amortization'!$S$4=DA$5),INDEX('Mezz 2 Amortization'!$B$19:$V$379,MATCH(DA$142,'Mezz 2 Amortization'!$E$19:$E$379,0),MATCH('Mezz 2 Amortization'!$U$19,'Mezz 2 Amortization'!$B$19:$V$19,0)),0),0)))</f>
        <v>0</v>
      </c>
      <c r="DB146" s="427">
        <f>IF(OR('Financing Assumptions'!$T$8="No",DB$142&lt;='Financing Assumptions'!$T$26,DB$142&gt;'Mezz 2 Amortization'!$T$13),0,IF('Mezz 2 Amortization'!$T$4="Monthly",INDEX('Mezz 2 Amortization'!$B$19:$V$379,MATCH(DB$142,'Mezz 2 Amortization'!$E$19:$E$379,0),MATCH('Mezz 2 Amortization'!$U$19,'Mezz 2 Amortization'!$B$19:$V$19,0)),IF('Mezz 2 Amortization'!$T$4="Bi-Annual",IF(OR('Mezz 2 Amortization'!$R$4=DB$5,'Mezz 2 Amortization'!$S$4=DB$5),INDEX('Mezz 2 Amortization'!$B$19:$V$379,MATCH(DB$142,'Mezz 2 Amortization'!$E$19:$E$379,0),MATCH('Mezz 2 Amortization'!$U$19,'Mezz 2 Amortization'!$B$19:$V$19,0)),0),0)))</f>
        <v>0</v>
      </c>
      <c r="DC146" s="427">
        <f>IF(OR('Financing Assumptions'!$T$8="No",DC$142&lt;='Financing Assumptions'!$T$26,DC$142&gt;'Mezz 2 Amortization'!$T$13),0,IF('Mezz 2 Amortization'!$T$4="Monthly",INDEX('Mezz 2 Amortization'!$B$19:$V$379,MATCH(DC$142,'Mezz 2 Amortization'!$E$19:$E$379,0),MATCH('Mezz 2 Amortization'!$U$19,'Mezz 2 Amortization'!$B$19:$V$19,0)),IF('Mezz 2 Amortization'!$T$4="Bi-Annual",IF(OR('Mezz 2 Amortization'!$R$4=DC$5,'Mezz 2 Amortization'!$S$4=DC$5),INDEX('Mezz 2 Amortization'!$B$19:$V$379,MATCH(DC$142,'Mezz 2 Amortization'!$E$19:$E$379,0),MATCH('Mezz 2 Amortization'!$U$19,'Mezz 2 Amortization'!$B$19:$V$19,0)),0),0)))</f>
        <v>0</v>
      </c>
      <c r="DD146" s="427">
        <f>IF(OR('Financing Assumptions'!$T$8="No",DD$142&lt;='Financing Assumptions'!$T$26,DD$142&gt;'Mezz 2 Amortization'!$T$13),0,IF('Mezz 2 Amortization'!$T$4="Monthly",INDEX('Mezz 2 Amortization'!$B$19:$V$379,MATCH(DD$142,'Mezz 2 Amortization'!$E$19:$E$379,0),MATCH('Mezz 2 Amortization'!$U$19,'Mezz 2 Amortization'!$B$19:$V$19,0)),IF('Mezz 2 Amortization'!$T$4="Bi-Annual",IF(OR('Mezz 2 Amortization'!$R$4=DD$5,'Mezz 2 Amortization'!$S$4=DD$5),INDEX('Mezz 2 Amortization'!$B$19:$V$379,MATCH(DD$142,'Mezz 2 Amortization'!$E$19:$E$379,0),MATCH('Mezz 2 Amortization'!$U$19,'Mezz 2 Amortization'!$B$19:$V$19,0)),0),0)))</f>
        <v>0</v>
      </c>
      <c r="DE146" s="427">
        <f>IF(OR('Financing Assumptions'!$T$8="No",DE$142&lt;='Financing Assumptions'!$T$26,DE$142&gt;'Mezz 2 Amortization'!$T$13),0,IF('Mezz 2 Amortization'!$T$4="Monthly",INDEX('Mezz 2 Amortization'!$B$19:$V$379,MATCH(DE$142,'Mezz 2 Amortization'!$E$19:$E$379,0),MATCH('Mezz 2 Amortization'!$U$19,'Mezz 2 Amortization'!$B$19:$V$19,0)),IF('Mezz 2 Amortization'!$T$4="Bi-Annual",IF(OR('Mezz 2 Amortization'!$R$4=DE$5,'Mezz 2 Amortization'!$S$4=DE$5),INDEX('Mezz 2 Amortization'!$B$19:$V$379,MATCH(DE$142,'Mezz 2 Amortization'!$E$19:$E$379,0),MATCH('Mezz 2 Amortization'!$U$19,'Mezz 2 Amortization'!$B$19:$V$19,0)),0),0)))</f>
        <v>0</v>
      </c>
      <c r="DF146" s="427">
        <f>IF(OR('Financing Assumptions'!$T$8="No",DF$142&lt;='Financing Assumptions'!$T$26,DF$142&gt;'Mezz 2 Amortization'!$T$13),0,IF('Mezz 2 Amortization'!$T$4="Monthly",INDEX('Mezz 2 Amortization'!$B$19:$V$379,MATCH(DF$142,'Mezz 2 Amortization'!$E$19:$E$379,0),MATCH('Mezz 2 Amortization'!$U$19,'Mezz 2 Amortization'!$B$19:$V$19,0)),IF('Mezz 2 Amortization'!$T$4="Bi-Annual",IF(OR('Mezz 2 Amortization'!$R$4=DF$5,'Mezz 2 Amortization'!$S$4=DF$5),INDEX('Mezz 2 Amortization'!$B$19:$V$379,MATCH(DF$142,'Mezz 2 Amortization'!$E$19:$E$379,0),MATCH('Mezz 2 Amortization'!$U$19,'Mezz 2 Amortization'!$B$19:$V$19,0)),0),0)))</f>
        <v>0</v>
      </c>
      <c r="DG146" s="427">
        <f>IF(OR('Financing Assumptions'!$T$8="No",DG$142&lt;='Financing Assumptions'!$T$26,DG$142&gt;'Mezz 2 Amortization'!$T$13),0,IF('Mezz 2 Amortization'!$T$4="Monthly",INDEX('Mezz 2 Amortization'!$B$19:$V$379,MATCH(DG$142,'Mezz 2 Amortization'!$E$19:$E$379,0),MATCH('Mezz 2 Amortization'!$U$19,'Mezz 2 Amortization'!$B$19:$V$19,0)),IF('Mezz 2 Amortization'!$T$4="Bi-Annual",IF(OR('Mezz 2 Amortization'!$R$4=DG$5,'Mezz 2 Amortization'!$S$4=DG$5),INDEX('Mezz 2 Amortization'!$B$19:$V$379,MATCH(DG$142,'Mezz 2 Amortization'!$E$19:$E$379,0),MATCH('Mezz 2 Amortization'!$U$19,'Mezz 2 Amortization'!$B$19:$V$19,0)),0),0)))</f>
        <v>0</v>
      </c>
      <c r="DH146" s="427">
        <f>IF(OR('Financing Assumptions'!$T$8="No",DH$142&lt;='Financing Assumptions'!$T$26,DH$142&gt;'Mezz 2 Amortization'!$T$13),0,IF('Mezz 2 Amortization'!$T$4="Monthly",INDEX('Mezz 2 Amortization'!$B$19:$V$379,MATCH(DH$142,'Mezz 2 Amortization'!$E$19:$E$379,0),MATCH('Mezz 2 Amortization'!$U$19,'Mezz 2 Amortization'!$B$19:$V$19,0)),IF('Mezz 2 Amortization'!$T$4="Bi-Annual",IF(OR('Mezz 2 Amortization'!$R$4=DH$5,'Mezz 2 Amortization'!$S$4=DH$5),INDEX('Mezz 2 Amortization'!$B$19:$V$379,MATCH(DH$142,'Mezz 2 Amortization'!$E$19:$E$379,0),MATCH('Mezz 2 Amortization'!$U$19,'Mezz 2 Amortization'!$B$19:$V$19,0)),0),0)))</f>
        <v>0</v>
      </c>
      <c r="DI146" s="427">
        <f>IF(OR('Financing Assumptions'!$T$8="No",DI$142&lt;='Financing Assumptions'!$T$26,DI$142&gt;'Mezz 2 Amortization'!$T$13),0,IF('Mezz 2 Amortization'!$T$4="Monthly",INDEX('Mezz 2 Amortization'!$B$19:$V$379,MATCH(DI$142,'Mezz 2 Amortization'!$E$19:$E$379,0),MATCH('Mezz 2 Amortization'!$U$19,'Mezz 2 Amortization'!$B$19:$V$19,0)),IF('Mezz 2 Amortization'!$T$4="Bi-Annual",IF(OR('Mezz 2 Amortization'!$R$4=DI$5,'Mezz 2 Amortization'!$S$4=DI$5),INDEX('Mezz 2 Amortization'!$B$19:$V$379,MATCH(DI$142,'Mezz 2 Amortization'!$E$19:$E$379,0),MATCH('Mezz 2 Amortization'!$U$19,'Mezz 2 Amortization'!$B$19:$V$19,0)),0),0)))</f>
        <v>0</v>
      </c>
      <c r="DJ146" s="427">
        <f>IF(OR('Financing Assumptions'!$T$8="No",DJ$142&lt;='Financing Assumptions'!$T$26,DJ$142&gt;'Mezz 2 Amortization'!$T$13),0,IF('Mezz 2 Amortization'!$T$4="Monthly",INDEX('Mezz 2 Amortization'!$B$19:$V$379,MATCH(DJ$142,'Mezz 2 Amortization'!$E$19:$E$379,0),MATCH('Mezz 2 Amortization'!$U$19,'Mezz 2 Amortization'!$B$19:$V$19,0)),IF('Mezz 2 Amortization'!$T$4="Bi-Annual",IF(OR('Mezz 2 Amortization'!$R$4=DJ$5,'Mezz 2 Amortization'!$S$4=DJ$5),INDEX('Mezz 2 Amortization'!$B$19:$V$379,MATCH(DJ$142,'Mezz 2 Amortization'!$E$19:$E$379,0),MATCH('Mezz 2 Amortization'!$U$19,'Mezz 2 Amortization'!$B$19:$V$19,0)),0),0)))</f>
        <v>0</v>
      </c>
      <c r="DK146" s="427">
        <f>IF(OR('Financing Assumptions'!$T$8="No",DK$142&lt;='Financing Assumptions'!$T$26,DK$142&gt;'Mezz 2 Amortization'!$T$13),0,IF('Mezz 2 Amortization'!$T$4="Monthly",INDEX('Mezz 2 Amortization'!$B$19:$V$379,MATCH(DK$142,'Mezz 2 Amortization'!$E$19:$E$379,0),MATCH('Mezz 2 Amortization'!$U$19,'Mezz 2 Amortization'!$B$19:$V$19,0)),IF('Mezz 2 Amortization'!$T$4="Bi-Annual",IF(OR('Mezz 2 Amortization'!$R$4=DK$5,'Mezz 2 Amortization'!$S$4=DK$5),INDEX('Mezz 2 Amortization'!$B$19:$V$379,MATCH(DK$142,'Mezz 2 Amortization'!$E$19:$E$379,0),MATCH('Mezz 2 Amortization'!$U$19,'Mezz 2 Amortization'!$B$19:$V$19,0)),0),0)))</f>
        <v>0</v>
      </c>
      <c r="DL146" s="427">
        <f>IF(OR('Financing Assumptions'!$T$8="No",DL$142&lt;='Financing Assumptions'!$T$26,DL$142&gt;'Mezz 2 Amortization'!$T$13),0,IF('Mezz 2 Amortization'!$T$4="Monthly",INDEX('Mezz 2 Amortization'!$B$19:$V$379,MATCH(DL$142,'Mezz 2 Amortization'!$E$19:$E$379,0),MATCH('Mezz 2 Amortization'!$U$19,'Mezz 2 Amortization'!$B$19:$V$19,0)),IF('Mezz 2 Amortization'!$T$4="Bi-Annual",IF(OR('Mezz 2 Amortization'!$R$4=DL$5,'Mezz 2 Amortization'!$S$4=DL$5),INDEX('Mezz 2 Amortization'!$B$19:$V$379,MATCH(DL$142,'Mezz 2 Amortization'!$E$19:$E$379,0),MATCH('Mezz 2 Amortization'!$U$19,'Mezz 2 Amortization'!$B$19:$V$19,0)),0),0)))</f>
        <v>0</v>
      </c>
      <c r="DM146" s="427">
        <f>IF(OR('Financing Assumptions'!$T$8="No",DM$142&lt;='Financing Assumptions'!$T$26,DM$142&gt;'Mezz 2 Amortization'!$T$13),0,IF('Mezz 2 Amortization'!$T$4="Monthly",INDEX('Mezz 2 Amortization'!$B$19:$V$379,MATCH(DM$142,'Mezz 2 Amortization'!$E$19:$E$379,0),MATCH('Mezz 2 Amortization'!$U$19,'Mezz 2 Amortization'!$B$19:$V$19,0)),IF('Mezz 2 Amortization'!$T$4="Bi-Annual",IF(OR('Mezz 2 Amortization'!$R$4=DM$5,'Mezz 2 Amortization'!$S$4=DM$5),INDEX('Mezz 2 Amortization'!$B$19:$V$379,MATCH(DM$142,'Mezz 2 Amortization'!$E$19:$E$379,0),MATCH('Mezz 2 Amortization'!$U$19,'Mezz 2 Amortization'!$B$19:$V$19,0)),0),0)))</f>
        <v>0</v>
      </c>
      <c r="DN146" s="427">
        <f>IF(OR('Financing Assumptions'!$T$8="No",DN$142&lt;='Financing Assumptions'!$T$26,DN$142&gt;'Mezz 2 Amortization'!$T$13),0,IF('Mezz 2 Amortization'!$T$4="Monthly",INDEX('Mezz 2 Amortization'!$B$19:$V$379,MATCH(DN$142,'Mezz 2 Amortization'!$E$19:$E$379,0),MATCH('Mezz 2 Amortization'!$U$19,'Mezz 2 Amortization'!$B$19:$V$19,0)),IF('Mezz 2 Amortization'!$T$4="Bi-Annual",IF(OR('Mezz 2 Amortization'!$R$4=DN$5,'Mezz 2 Amortization'!$S$4=DN$5),INDEX('Mezz 2 Amortization'!$B$19:$V$379,MATCH(DN$142,'Mezz 2 Amortization'!$E$19:$E$379,0),MATCH('Mezz 2 Amortization'!$U$19,'Mezz 2 Amortization'!$B$19:$V$19,0)),0),0)))</f>
        <v>0</v>
      </c>
      <c r="DO146" s="427">
        <f>IF(OR('Financing Assumptions'!$T$8="No",DO$142&lt;='Financing Assumptions'!$T$26,DO$142&gt;'Mezz 2 Amortization'!$T$13),0,IF('Mezz 2 Amortization'!$T$4="Monthly",INDEX('Mezz 2 Amortization'!$B$19:$V$379,MATCH(DO$142,'Mezz 2 Amortization'!$E$19:$E$379,0),MATCH('Mezz 2 Amortization'!$U$19,'Mezz 2 Amortization'!$B$19:$V$19,0)),IF('Mezz 2 Amortization'!$T$4="Bi-Annual",IF(OR('Mezz 2 Amortization'!$R$4=DO$5,'Mezz 2 Amortization'!$S$4=DO$5),INDEX('Mezz 2 Amortization'!$B$19:$V$379,MATCH(DO$142,'Mezz 2 Amortization'!$E$19:$E$379,0),MATCH('Mezz 2 Amortization'!$U$19,'Mezz 2 Amortization'!$B$19:$V$19,0)),0),0)))</f>
        <v>0</v>
      </c>
      <c r="DP146" s="427">
        <f>IF(OR('Financing Assumptions'!$T$8="No",DP$142&lt;='Financing Assumptions'!$T$26,DP$142&gt;'Mezz 2 Amortization'!$T$13),0,IF('Mezz 2 Amortization'!$T$4="Monthly",INDEX('Mezz 2 Amortization'!$B$19:$V$379,MATCH(DP$142,'Mezz 2 Amortization'!$E$19:$E$379,0),MATCH('Mezz 2 Amortization'!$U$19,'Mezz 2 Amortization'!$B$19:$V$19,0)),IF('Mezz 2 Amortization'!$T$4="Bi-Annual",IF(OR('Mezz 2 Amortization'!$R$4=DP$5,'Mezz 2 Amortization'!$S$4=DP$5),INDEX('Mezz 2 Amortization'!$B$19:$V$379,MATCH(DP$142,'Mezz 2 Amortization'!$E$19:$E$379,0),MATCH('Mezz 2 Amortization'!$U$19,'Mezz 2 Amortization'!$B$19:$V$19,0)),0),0)))</f>
        <v>0</v>
      </c>
      <c r="DQ146" s="427">
        <f>IF(OR('Financing Assumptions'!$T$8="No",DQ$142&lt;='Financing Assumptions'!$T$26,DQ$142&gt;'Mezz 2 Amortization'!$T$13),0,IF('Mezz 2 Amortization'!$T$4="Monthly",INDEX('Mezz 2 Amortization'!$B$19:$V$379,MATCH(DQ$142,'Mezz 2 Amortization'!$E$19:$E$379,0),MATCH('Mezz 2 Amortization'!$U$19,'Mezz 2 Amortization'!$B$19:$V$19,0)),IF('Mezz 2 Amortization'!$T$4="Bi-Annual",IF(OR('Mezz 2 Amortization'!$R$4=DQ$5,'Mezz 2 Amortization'!$S$4=DQ$5),INDEX('Mezz 2 Amortization'!$B$19:$V$379,MATCH(DQ$142,'Mezz 2 Amortization'!$E$19:$E$379,0),MATCH('Mezz 2 Amortization'!$U$19,'Mezz 2 Amortization'!$B$19:$V$19,0)),0),0)))</f>
        <v>0</v>
      </c>
      <c r="DR146" s="427">
        <f>IF(OR('Financing Assumptions'!$T$8="No",DR$142&lt;='Financing Assumptions'!$T$26,DR$142&gt;'Mezz 2 Amortization'!$T$13),0,IF('Mezz 2 Amortization'!$T$4="Monthly",INDEX('Mezz 2 Amortization'!$B$19:$V$379,MATCH(DR$142,'Mezz 2 Amortization'!$E$19:$E$379,0),MATCH('Mezz 2 Amortization'!$U$19,'Mezz 2 Amortization'!$B$19:$V$19,0)),IF('Mezz 2 Amortization'!$T$4="Bi-Annual",IF(OR('Mezz 2 Amortization'!$R$4=DR$5,'Mezz 2 Amortization'!$S$4=DR$5),INDEX('Mezz 2 Amortization'!$B$19:$V$379,MATCH(DR$142,'Mezz 2 Amortization'!$E$19:$E$379,0),MATCH('Mezz 2 Amortization'!$U$19,'Mezz 2 Amortization'!$B$19:$V$19,0)),0),0)))</f>
        <v>0</v>
      </c>
      <c r="DS146" s="427">
        <f>IF(OR('Financing Assumptions'!$T$8="No",DS$142&lt;='Financing Assumptions'!$T$26,DS$142&gt;'Mezz 2 Amortization'!$T$13),0,IF('Mezz 2 Amortization'!$T$4="Monthly",INDEX('Mezz 2 Amortization'!$B$19:$V$379,MATCH(DS$142,'Mezz 2 Amortization'!$E$19:$E$379,0),MATCH('Mezz 2 Amortization'!$U$19,'Mezz 2 Amortization'!$B$19:$V$19,0)),IF('Mezz 2 Amortization'!$T$4="Bi-Annual",IF(OR('Mezz 2 Amortization'!$R$4=DS$5,'Mezz 2 Amortization'!$S$4=DS$5),INDEX('Mezz 2 Amortization'!$B$19:$V$379,MATCH(DS$142,'Mezz 2 Amortization'!$E$19:$E$379,0),MATCH('Mezz 2 Amortization'!$U$19,'Mezz 2 Amortization'!$B$19:$V$19,0)),0),0)))</f>
        <v>0</v>
      </c>
      <c r="DT146" s="427">
        <f>IF(OR('Financing Assumptions'!$T$8="No",DT$142&lt;='Financing Assumptions'!$T$26,DT$142&gt;'Mezz 2 Amortization'!$T$13),0,IF('Mezz 2 Amortization'!$T$4="Monthly",INDEX('Mezz 2 Amortization'!$B$19:$V$379,MATCH(DT$142,'Mezz 2 Amortization'!$E$19:$E$379,0),MATCH('Mezz 2 Amortization'!$U$19,'Mezz 2 Amortization'!$B$19:$V$19,0)),IF('Mezz 2 Amortization'!$T$4="Bi-Annual",IF(OR('Mezz 2 Amortization'!$R$4=DT$5,'Mezz 2 Amortization'!$S$4=DT$5),INDEX('Mezz 2 Amortization'!$B$19:$V$379,MATCH(DT$142,'Mezz 2 Amortization'!$E$19:$E$379,0),MATCH('Mezz 2 Amortization'!$U$19,'Mezz 2 Amortization'!$B$19:$V$19,0)),0),0)))</f>
        <v>0</v>
      </c>
      <c r="DU146" s="427">
        <f>IF(OR('Financing Assumptions'!$T$8="No",DU$142&lt;='Financing Assumptions'!$T$26,DU$142&gt;'Mezz 2 Amortization'!$T$13),0,IF('Mezz 2 Amortization'!$T$4="Monthly",INDEX('Mezz 2 Amortization'!$B$19:$V$379,MATCH(DU$142,'Mezz 2 Amortization'!$E$19:$E$379,0),MATCH('Mezz 2 Amortization'!$U$19,'Mezz 2 Amortization'!$B$19:$V$19,0)),IF('Mezz 2 Amortization'!$T$4="Bi-Annual",IF(OR('Mezz 2 Amortization'!$R$4=DU$5,'Mezz 2 Amortization'!$S$4=DU$5),INDEX('Mezz 2 Amortization'!$B$19:$V$379,MATCH(DU$142,'Mezz 2 Amortization'!$E$19:$E$379,0),MATCH('Mezz 2 Amortization'!$U$19,'Mezz 2 Amortization'!$B$19:$V$19,0)),0),0)))</f>
        <v>0</v>
      </c>
      <c r="DV146" s="427">
        <f>IF(OR('Financing Assumptions'!$T$8="No",DV$142&lt;='Financing Assumptions'!$T$26,DV$142&gt;'Mezz 2 Amortization'!$T$13),0,IF('Mezz 2 Amortization'!$T$4="Monthly",INDEX('Mezz 2 Amortization'!$B$19:$V$379,MATCH(DV$142,'Mezz 2 Amortization'!$E$19:$E$379,0),MATCH('Mezz 2 Amortization'!$U$19,'Mezz 2 Amortization'!$B$19:$V$19,0)),IF('Mezz 2 Amortization'!$T$4="Bi-Annual",IF(OR('Mezz 2 Amortization'!$R$4=DV$5,'Mezz 2 Amortization'!$S$4=DV$5),INDEX('Mezz 2 Amortization'!$B$19:$V$379,MATCH(DV$142,'Mezz 2 Amortization'!$E$19:$E$379,0),MATCH('Mezz 2 Amortization'!$U$19,'Mezz 2 Amortization'!$B$19:$V$19,0)),0),0)))</f>
        <v>0</v>
      </c>
      <c r="DW146" s="427">
        <f>IF(OR('Financing Assumptions'!$T$8="No",DW$142&lt;='Financing Assumptions'!$T$26,DW$142&gt;'Mezz 2 Amortization'!$T$13),0,IF('Mezz 2 Amortization'!$T$4="Monthly",INDEX('Mezz 2 Amortization'!$B$19:$V$379,MATCH(DW$142,'Mezz 2 Amortization'!$E$19:$E$379,0),MATCH('Mezz 2 Amortization'!$U$19,'Mezz 2 Amortization'!$B$19:$V$19,0)),IF('Mezz 2 Amortization'!$T$4="Bi-Annual",IF(OR('Mezz 2 Amortization'!$R$4=DW$5,'Mezz 2 Amortization'!$S$4=DW$5),INDEX('Mezz 2 Amortization'!$B$19:$V$379,MATCH(DW$142,'Mezz 2 Amortization'!$E$19:$E$379,0),MATCH('Mezz 2 Amortization'!$U$19,'Mezz 2 Amortization'!$B$19:$V$19,0)),0),0)))</f>
        <v>0</v>
      </c>
      <c r="DX146" s="427">
        <f>IF(OR('Financing Assumptions'!$T$8="No",DX$142&lt;='Financing Assumptions'!$T$26,DX$142&gt;'Mezz 2 Amortization'!$T$13),0,IF('Mezz 2 Amortization'!$T$4="Monthly",INDEX('Mezz 2 Amortization'!$B$19:$V$379,MATCH(DX$142,'Mezz 2 Amortization'!$E$19:$E$379,0),MATCH('Mezz 2 Amortization'!$U$19,'Mezz 2 Amortization'!$B$19:$V$19,0)),IF('Mezz 2 Amortization'!$T$4="Bi-Annual",IF(OR('Mezz 2 Amortization'!$R$4=DX$5,'Mezz 2 Amortization'!$S$4=DX$5),INDEX('Mezz 2 Amortization'!$B$19:$V$379,MATCH(DX$142,'Mezz 2 Amortization'!$E$19:$E$379,0),MATCH('Mezz 2 Amortization'!$U$19,'Mezz 2 Amortization'!$B$19:$V$19,0)),0),0)))</f>
        <v>0</v>
      </c>
      <c r="DY146" s="427">
        <f>IF(OR('Financing Assumptions'!$T$8="No",DY$142&lt;='Financing Assumptions'!$T$26,DY$142&gt;'Mezz 2 Amortization'!$T$13),0,IF('Mezz 2 Amortization'!$T$4="Monthly",INDEX('Mezz 2 Amortization'!$B$19:$V$379,MATCH(DY$142,'Mezz 2 Amortization'!$E$19:$E$379,0),MATCH('Mezz 2 Amortization'!$U$19,'Mezz 2 Amortization'!$B$19:$V$19,0)),IF('Mezz 2 Amortization'!$T$4="Bi-Annual",IF(OR('Mezz 2 Amortization'!$R$4=DY$5,'Mezz 2 Amortization'!$S$4=DY$5),INDEX('Mezz 2 Amortization'!$B$19:$V$379,MATCH(DY$142,'Mezz 2 Amortization'!$E$19:$E$379,0),MATCH('Mezz 2 Amortization'!$U$19,'Mezz 2 Amortization'!$B$19:$V$19,0)),0),0)))</f>
        <v>0</v>
      </c>
      <c r="DZ146" s="427">
        <f>IF(OR('Financing Assumptions'!$T$8="No",DZ$142&lt;='Financing Assumptions'!$T$26,DZ$142&gt;'Mezz 2 Amortization'!$T$13),0,IF('Mezz 2 Amortization'!$T$4="Monthly",INDEX('Mezz 2 Amortization'!$B$19:$V$379,MATCH(DZ$142,'Mezz 2 Amortization'!$E$19:$E$379,0),MATCH('Mezz 2 Amortization'!$U$19,'Mezz 2 Amortization'!$B$19:$V$19,0)),IF('Mezz 2 Amortization'!$T$4="Bi-Annual",IF(OR('Mezz 2 Amortization'!$R$4=DZ$5,'Mezz 2 Amortization'!$S$4=DZ$5),INDEX('Mezz 2 Amortization'!$B$19:$V$379,MATCH(DZ$142,'Mezz 2 Amortization'!$E$19:$E$379,0),MATCH('Mezz 2 Amortization'!$U$19,'Mezz 2 Amortization'!$B$19:$V$19,0)),0),0)))</f>
        <v>0</v>
      </c>
      <c r="EA146" s="427">
        <f>IF(OR('Financing Assumptions'!$T$8="No",EA$142&lt;='Financing Assumptions'!$T$26,EA$142&gt;'Mezz 2 Amortization'!$T$13),0,IF('Mezz 2 Amortization'!$T$4="Monthly",INDEX('Mezz 2 Amortization'!$B$19:$V$379,MATCH(EA$142,'Mezz 2 Amortization'!$E$19:$E$379,0),MATCH('Mezz 2 Amortization'!$U$19,'Mezz 2 Amortization'!$B$19:$V$19,0)),IF('Mezz 2 Amortization'!$T$4="Bi-Annual",IF(OR('Mezz 2 Amortization'!$R$4=EA$5,'Mezz 2 Amortization'!$S$4=EA$5),INDEX('Mezz 2 Amortization'!$B$19:$V$379,MATCH(EA$142,'Mezz 2 Amortization'!$E$19:$E$379,0),MATCH('Mezz 2 Amortization'!$U$19,'Mezz 2 Amortization'!$B$19:$V$19,0)),0),0)))</f>
        <v>0</v>
      </c>
      <c r="EB146" s="427">
        <f>IF(OR('Financing Assumptions'!$T$8="No",EB$142&lt;='Financing Assumptions'!$T$26,EB$142&gt;'Mezz 2 Amortization'!$T$13),0,IF('Mezz 2 Amortization'!$T$4="Monthly",INDEX('Mezz 2 Amortization'!$B$19:$V$379,MATCH(EB$142,'Mezz 2 Amortization'!$E$19:$E$379,0),MATCH('Mezz 2 Amortization'!$U$19,'Mezz 2 Amortization'!$B$19:$V$19,0)),IF('Mezz 2 Amortization'!$T$4="Bi-Annual",IF(OR('Mezz 2 Amortization'!$R$4=EB$5,'Mezz 2 Amortization'!$S$4=EB$5),INDEX('Mezz 2 Amortization'!$B$19:$V$379,MATCH(EB$142,'Mezz 2 Amortization'!$E$19:$E$379,0),MATCH('Mezz 2 Amortization'!$U$19,'Mezz 2 Amortization'!$B$19:$V$19,0)),0),0)))</f>
        <v>0</v>
      </c>
      <c r="EC146" s="427">
        <f>IF(OR('Financing Assumptions'!$T$8="No",EC$142&lt;='Financing Assumptions'!$T$26,EC$142&gt;'Mezz 2 Amortization'!$T$13),0,IF('Mezz 2 Amortization'!$T$4="Monthly",INDEX('Mezz 2 Amortization'!$B$19:$V$379,MATCH(EC$142,'Mezz 2 Amortization'!$E$19:$E$379,0),MATCH('Mezz 2 Amortization'!$U$19,'Mezz 2 Amortization'!$B$19:$V$19,0)),IF('Mezz 2 Amortization'!$T$4="Bi-Annual",IF(OR('Mezz 2 Amortization'!$R$4=EC$5,'Mezz 2 Amortization'!$S$4=EC$5),INDEX('Mezz 2 Amortization'!$B$19:$V$379,MATCH(EC$142,'Mezz 2 Amortization'!$E$19:$E$379,0),MATCH('Mezz 2 Amortization'!$U$19,'Mezz 2 Amortization'!$B$19:$V$19,0)),0),0)))</f>
        <v>0</v>
      </c>
      <c r="ED146" s="427">
        <f>IF(OR('Financing Assumptions'!$T$8="No",ED$142&lt;='Financing Assumptions'!$T$26,ED$142&gt;'Mezz 2 Amortization'!$T$13),0,IF('Mezz 2 Amortization'!$T$4="Monthly",INDEX('Mezz 2 Amortization'!$B$19:$V$379,MATCH(ED$142,'Mezz 2 Amortization'!$E$19:$E$379,0),MATCH('Mezz 2 Amortization'!$U$19,'Mezz 2 Amortization'!$B$19:$V$19,0)),IF('Mezz 2 Amortization'!$T$4="Bi-Annual",IF(OR('Mezz 2 Amortization'!$R$4=ED$5,'Mezz 2 Amortization'!$S$4=ED$5),INDEX('Mezz 2 Amortization'!$B$19:$V$379,MATCH(ED$142,'Mezz 2 Amortization'!$E$19:$E$379,0),MATCH('Mezz 2 Amortization'!$U$19,'Mezz 2 Amortization'!$B$19:$V$19,0)),0),0)))</f>
        <v>0</v>
      </c>
      <c r="EE146" s="427">
        <f>IF(OR('Financing Assumptions'!$T$8="No",EE$142&lt;='Financing Assumptions'!$T$26,EE$142&gt;'Mezz 2 Amortization'!$T$13),0,IF('Mezz 2 Amortization'!$T$4="Monthly",INDEX('Mezz 2 Amortization'!$B$19:$V$379,MATCH(EE$142,'Mezz 2 Amortization'!$E$19:$E$379,0),MATCH('Mezz 2 Amortization'!$U$19,'Mezz 2 Amortization'!$B$19:$V$19,0)),IF('Mezz 2 Amortization'!$T$4="Bi-Annual",IF(OR('Mezz 2 Amortization'!$R$4=EE$5,'Mezz 2 Amortization'!$S$4=EE$5),INDEX('Mezz 2 Amortization'!$B$19:$V$379,MATCH(EE$142,'Mezz 2 Amortization'!$E$19:$E$379,0),MATCH('Mezz 2 Amortization'!$U$19,'Mezz 2 Amortization'!$B$19:$V$19,0)),0),0)))</f>
        <v>0</v>
      </c>
      <c r="EF146" s="427">
        <f>IF(OR('Financing Assumptions'!$T$8="No",EF$142&lt;='Financing Assumptions'!$T$26,EF$142&gt;'Mezz 2 Amortization'!$T$13),0,IF('Mezz 2 Amortization'!$T$4="Monthly",INDEX('Mezz 2 Amortization'!$B$19:$V$379,MATCH(EF$142,'Mezz 2 Amortization'!$E$19:$E$379,0),MATCH('Mezz 2 Amortization'!$U$19,'Mezz 2 Amortization'!$B$19:$V$19,0)),IF('Mezz 2 Amortization'!$T$4="Bi-Annual",IF(OR('Mezz 2 Amortization'!$R$4=EF$5,'Mezz 2 Amortization'!$S$4=EF$5),INDEX('Mezz 2 Amortization'!$B$19:$V$379,MATCH(EF$142,'Mezz 2 Amortization'!$E$19:$E$379,0),MATCH('Mezz 2 Amortization'!$U$19,'Mezz 2 Amortization'!$B$19:$V$19,0)),0),0)))</f>
        <v>0</v>
      </c>
      <c r="EG146" s="427">
        <f>IF(OR('Financing Assumptions'!$T$8="No",EG$142&lt;='Financing Assumptions'!$T$26,EG$142&gt;'Mezz 2 Amortization'!$T$13),0,IF('Mezz 2 Amortization'!$T$4="Monthly",INDEX('Mezz 2 Amortization'!$B$19:$V$379,MATCH(EG$142,'Mezz 2 Amortization'!$E$19:$E$379,0),MATCH('Mezz 2 Amortization'!$U$19,'Mezz 2 Amortization'!$B$19:$V$19,0)),IF('Mezz 2 Amortization'!$T$4="Bi-Annual",IF(OR('Mezz 2 Amortization'!$R$4=EG$5,'Mezz 2 Amortization'!$S$4=EG$5),INDEX('Mezz 2 Amortization'!$B$19:$V$379,MATCH(EG$142,'Mezz 2 Amortization'!$E$19:$E$379,0),MATCH('Mezz 2 Amortization'!$U$19,'Mezz 2 Amortization'!$B$19:$V$19,0)),0),0)))</f>
        <v>0</v>
      </c>
      <c r="EH146" s="427">
        <f>IF(OR('Financing Assumptions'!$T$8="No",EH$142&lt;='Financing Assumptions'!$T$26,EH$142&gt;'Mezz 2 Amortization'!$T$13),0,IF('Mezz 2 Amortization'!$T$4="Monthly",INDEX('Mezz 2 Amortization'!$B$19:$V$379,MATCH(EH$142,'Mezz 2 Amortization'!$E$19:$E$379,0),MATCH('Mezz 2 Amortization'!$U$19,'Mezz 2 Amortization'!$B$19:$V$19,0)),IF('Mezz 2 Amortization'!$T$4="Bi-Annual",IF(OR('Mezz 2 Amortization'!$R$4=EH$5,'Mezz 2 Amortization'!$S$4=EH$5),INDEX('Mezz 2 Amortization'!$B$19:$V$379,MATCH(EH$142,'Mezz 2 Amortization'!$E$19:$E$379,0),MATCH('Mezz 2 Amortization'!$U$19,'Mezz 2 Amortization'!$B$19:$V$19,0)),0),0)))</f>
        <v>0</v>
      </c>
      <c r="EI146" s="427">
        <f>IF(OR('Financing Assumptions'!$T$8="No",EI$142&lt;='Financing Assumptions'!$T$26,EI$142&gt;'Mezz 2 Amortization'!$T$13),0,IF('Mezz 2 Amortization'!$T$4="Monthly",INDEX('Mezz 2 Amortization'!$B$19:$V$379,MATCH(EI$142,'Mezz 2 Amortization'!$E$19:$E$379,0),MATCH('Mezz 2 Amortization'!$U$19,'Mezz 2 Amortization'!$B$19:$V$19,0)),IF('Mezz 2 Amortization'!$T$4="Bi-Annual",IF(OR('Mezz 2 Amortization'!$R$4=EI$5,'Mezz 2 Amortization'!$S$4=EI$5),INDEX('Mezz 2 Amortization'!$B$19:$V$379,MATCH(EI$142,'Mezz 2 Amortization'!$E$19:$E$379,0),MATCH('Mezz 2 Amortization'!$U$19,'Mezz 2 Amortization'!$B$19:$V$19,0)),0),0)))</f>
        <v>0</v>
      </c>
      <c r="EJ146" s="427">
        <f>IF(OR('Financing Assumptions'!$T$8="No",EJ$142&lt;='Financing Assumptions'!$T$26,EJ$142&gt;'Mezz 2 Amortization'!$T$13),0,IF('Mezz 2 Amortization'!$T$4="Monthly",INDEX('Mezz 2 Amortization'!$B$19:$V$379,MATCH(EJ$142,'Mezz 2 Amortization'!$E$19:$E$379,0),MATCH('Mezz 2 Amortization'!$U$19,'Mezz 2 Amortization'!$B$19:$V$19,0)),IF('Mezz 2 Amortization'!$T$4="Bi-Annual",IF(OR('Mezz 2 Amortization'!$R$4=EJ$5,'Mezz 2 Amortization'!$S$4=EJ$5),INDEX('Mezz 2 Amortization'!$B$19:$V$379,MATCH(EJ$142,'Mezz 2 Amortization'!$E$19:$E$379,0),MATCH('Mezz 2 Amortization'!$U$19,'Mezz 2 Amortization'!$B$19:$V$19,0)),0),0)))</f>
        <v>0</v>
      </c>
      <c r="EK146" s="427">
        <f>IF(OR('Financing Assumptions'!$T$8="No",EK$142&lt;='Financing Assumptions'!$T$26,EK$142&gt;'Mezz 2 Amortization'!$T$13),0,IF('Mezz 2 Amortization'!$T$4="Monthly",INDEX('Mezz 2 Amortization'!$B$19:$V$379,MATCH(EK$142,'Mezz 2 Amortization'!$E$19:$E$379,0),MATCH('Mezz 2 Amortization'!$U$19,'Mezz 2 Amortization'!$B$19:$V$19,0)),IF('Mezz 2 Amortization'!$T$4="Bi-Annual",IF(OR('Mezz 2 Amortization'!$R$4=EK$5,'Mezz 2 Amortization'!$S$4=EK$5),INDEX('Mezz 2 Amortization'!$B$19:$V$379,MATCH(EK$142,'Mezz 2 Amortization'!$E$19:$E$379,0),MATCH('Mezz 2 Amortization'!$U$19,'Mezz 2 Amortization'!$B$19:$V$19,0)),0),0)))</f>
        <v>0</v>
      </c>
      <c r="EL146" s="427">
        <f>IF(OR('Financing Assumptions'!$T$8="No",EL$142&lt;='Financing Assumptions'!$T$26,EL$142&gt;'Mezz 2 Amortization'!$T$13),0,IF('Mezz 2 Amortization'!$T$4="Monthly",INDEX('Mezz 2 Amortization'!$B$19:$V$379,MATCH(EL$142,'Mezz 2 Amortization'!$E$19:$E$379,0),MATCH('Mezz 2 Amortization'!$U$19,'Mezz 2 Amortization'!$B$19:$V$19,0)),IF('Mezz 2 Amortization'!$T$4="Bi-Annual",IF(OR('Mezz 2 Amortization'!$R$4=EL$5,'Mezz 2 Amortization'!$S$4=EL$5),INDEX('Mezz 2 Amortization'!$B$19:$V$379,MATCH(EL$142,'Mezz 2 Amortization'!$E$19:$E$379,0),MATCH('Mezz 2 Amortization'!$U$19,'Mezz 2 Amortization'!$B$19:$V$19,0)),0),0)))</f>
        <v>0</v>
      </c>
      <c r="EM146" s="427">
        <f>IF(OR('Financing Assumptions'!$T$8="No",EM$142&lt;='Financing Assumptions'!$T$26,EM$142&gt;'Mezz 2 Amortization'!$T$13),0,IF('Mezz 2 Amortization'!$T$4="Monthly",INDEX('Mezz 2 Amortization'!$B$19:$V$379,MATCH(EM$142,'Mezz 2 Amortization'!$E$19:$E$379,0),MATCH('Mezz 2 Amortization'!$U$19,'Mezz 2 Amortization'!$B$19:$V$19,0)),IF('Mezz 2 Amortization'!$T$4="Bi-Annual",IF(OR('Mezz 2 Amortization'!$R$4=EM$5,'Mezz 2 Amortization'!$S$4=EM$5),INDEX('Mezz 2 Amortization'!$B$19:$V$379,MATCH(EM$142,'Mezz 2 Amortization'!$E$19:$E$379,0),MATCH('Mezz 2 Amortization'!$U$19,'Mezz 2 Amortization'!$B$19:$V$19,0)),0),0)))</f>
        <v>0</v>
      </c>
      <c r="EN146" s="427">
        <f>IF(OR('Financing Assumptions'!$T$8="No",EN$142&lt;='Financing Assumptions'!$T$26,EN$142&gt;'Mezz 2 Amortization'!$T$13),0,IF('Mezz 2 Amortization'!$T$4="Monthly",INDEX('Mezz 2 Amortization'!$B$19:$V$379,MATCH(EN$142,'Mezz 2 Amortization'!$E$19:$E$379,0),MATCH('Mezz 2 Amortization'!$U$19,'Mezz 2 Amortization'!$B$19:$V$19,0)),IF('Mezz 2 Amortization'!$T$4="Bi-Annual",IF(OR('Mezz 2 Amortization'!$R$4=EN$5,'Mezz 2 Amortization'!$S$4=EN$5),INDEX('Mezz 2 Amortization'!$B$19:$V$379,MATCH(EN$142,'Mezz 2 Amortization'!$E$19:$E$379,0),MATCH('Mezz 2 Amortization'!$U$19,'Mezz 2 Amortization'!$B$19:$V$19,0)),0),0)))</f>
        <v>0</v>
      </c>
      <c r="EO146" s="427">
        <f>IF(OR('Financing Assumptions'!$T$8="No",EO$142&lt;='Financing Assumptions'!$T$26,EO$142&gt;'Mezz 2 Amortization'!$T$13),0,IF('Mezz 2 Amortization'!$T$4="Monthly",INDEX('Mezz 2 Amortization'!$B$19:$V$379,MATCH(EO$142,'Mezz 2 Amortization'!$E$19:$E$379,0),MATCH('Mezz 2 Amortization'!$U$19,'Mezz 2 Amortization'!$B$19:$V$19,0)),IF('Mezz 2 Amortization'!$T$4="Bi-Annual",IF(OR('Mezz 2 Amortization'!$R$4=EO$5,'Mezz 2 Amortization'!$S$4=EO$5),INDEX('Mezz 2 Amortization'!$B$19:$V$379,MATCH(EO$142,'Mezz 2 Amortization'!$E$19:$E$379,0),MATCH('Mezz 2 Amortization'!$U$19,'Mezz 2 Amortization'!$B$19:$V$19,0)),0),0)))</f>
        <v>0</v>
      </c>
      <c r="EP146" s="427">
        <f>IF(OR('Financing Assumptions'!$T$8="No",EP$142&lt;='Financing Assumptions'!$T$26,EP$142&gt;'Mezz 2 Amortization'!$T$13),0,IF('Mezz 2 Amortization'!$T$4="Monthly",INDEX('Mezz 2 Amortization'!$B$19:$V$379,MATCH(EP$142,'Mezz 2 Amortization'!$E$19:$E$379,0),MATCH('Mezz 2 Amortization'!$U$19,'Mezz 2 Amortization'!$B$19:$V$19,0)),IF('Mezz 2 Amortization'!$T$4="Bi-Annual",IF(OR('Mezz 2 Amortization'!$R$4=EP$5,'Mezz 2 Amortization'!$S$4=EP$5),INDEX('Mezz 2 Amortization'!$B$19:$V$379,MATCH(EP$142,'Mezz 2 Amortization'!$E$19:$E$379,0),MATCH('Mezz 2 Amortization'!$U$19,'Mezz 2 Amortization'!$B$19:$V$19,0)),0),0)))</f>
        <v>0</v>
      </c>
      <c r="EQ146" s="427">
        <f>IF(OR('Financing Assumptions'!$T$8="No",EQ$142&lt;='Financing Assumptions'!$T$26,EQ$142&gt;'Mezz 2 Amortization'!$T$13),0,IF('Mezz 2 Amortization'!$T$4="Monthly",INDEX('Mezz 2 Amortization'!$B$19:$V$379,MATCH(EQ$142,'Mezz 2 Amortization'!$E$19:$E$379,0),MATCH('Mezz 2 Amortization'!$U$19,'Mezz 2 Amortization'!$B$19:$V$19,0)),IF('Mezz 2 Amortization'!$T$4="Bi-Annual",IF(OR('Mezz 2 Amortization'!$R$4=EQ$5,'Mezz 2 Amortization'!$S$4=EQ$5),INDEX('Mezz 2 Amortization'!$B$19:$V$379,MATCH(EQ$142,'Mezz 2 Amortization'!$E$19:$E$379,0),MATCH('Mezz 2 Amortization'!$U$19,'Mezz 2 Amortization'!$B$19:$V$19,0)),0),0)))</f>
        <v>0</v>
      </c>
      <c r="ER146" s="427">
        <f>IF(OR('Financing Assumptions'!$T$8="No",ER$142&lt;='Financing Assumptions'!$T$26,ER$142&gt;'Mezz 2 Amortization'!$T$13),0,IF('Mezz 2 Amortization'!$T$4="Monthly",INDEX('Mezz 2 Amortization'!$B$19:$V$379,MATCH(ER$142,'Mezz 2 Amortization'!$E$19:$E$379,0),MATCH('Mezz 2 Amortization'!$U$19,'Mezz 2 Amortization'!$B$19:$V$19,0)),IF('Mezz 2 Amortization'!$T$4="Bi-Annual",IF(OR('Mezz 2 Amortization'!$R$4=ER$5,'Mezz 2 Amortization'!$S$4=ER$5),INDEX('Mezz 2 Amortization'!$B$19:$V$379,MATCH(ER$142,'Mezz 2 Amortization'!$E$19:$E$379,0),MATCH('Mezz 2 Amortization'!$U$19,'Mezz 2 Amortization'!$B$19:$V$19,0)),0),0)))</f>
        <v>0</v>
      </c>
      <c r="ES146" s="427">
        <f>IF(OR('Financing Assumptions'!$T$8="No",ES$142&lt;='Financing Assumptions'!$T$26,ES$142&gt;'Mezz 2 Amortization'!$T$13),0,IF('Mezz 2 Amortization'!$T$4="Monthly",INDEX('Mezz 2 Amortization'!$B$19:$V$379,MATCH(ES$142,'Mezz 2 Amortization'!$E$19:$E$379,0),MATCH('Mezz 2 Amortization'!$U$19,'Mezz 2 Amortization'!$B$19:$V$19,0)),IF('Mezz 2 Amortization'!$T$4="Bi-Annual",IF(OR('Mezz 2 Amortization'!$R$4=ES$5,'Mezz 2 Amortization'!$S$4=ES$5),INDEX('Mezz 2 Amortization'!$B$19:$V$379,MATCH(ES$142,'Mezz 2 Amortization'!$E$19:$E$379,0),MATCH('Mezz 2 Amortization'!$U$19,'Mezz 2 Amortization'!$B$19:$V$19,0)),0),0)))</f>
        <v>0</v>
      </c>
      <c r="ET146" s="427">
        <f>IF(OR('Financing Assumptions'!$T$8="No",ET$142&lt;='Financing Assumptions'!$T$26,ET$142&gt;'Mezz 2 Amortization'!$T$13),0,IF('Mezz 2 Amortization'!$T$4="Monthly",INDEX('Mezz 2 Amortization'!$B$19:$V$379,MATCH(ET$142,'Mezz 2 Amortization'!$E$19:$E$379,0),MATCH('Mezz 2 Amortization'!$U$19,'Mezz 2 Amortization'!$B$19:$V$19,0)),IF('Mezz 2 Amortization'!$T$4="Bi-Annual",IF(OR('Mezz 2 Amortization'!$R$4=ET$5,'Mezz 2 Amortization'!$S$4=ET$5),INDEX('Mezz 2 Amortization'!$B$19:$V$379,MATCH(ET$142,'Mezz 2 Amortization'!$E$19:$E$379,0),MATCH('Mezz 2 Amortization'!$U$19,'Mezz 2 Amortization'!$B$19:$V$19,0)),0),0)))</f>
        <v>0</v>
      </c>
      <c r="EU146" s="427">
        <f>IF(OR('Financing Assumptions'!$T$8="No",EU$142&lt;='Financing Assumptions'!$T$26,EU$142&gt;'Mezz 2 Amortization'!$T$13),0,IF('Mezz 2 Amortization'!$T$4="Monthly",INDEX('Mezz 2 Amortization'!$B$19:$V$379,MATCH(EU$142,'Mezz 2 Amortization'!$E$19:$E$379,0),MATCH('Mezz 2 Amortization'!$U$19,'Mezz 2 Amortization'!$B$19:$V$19,0)),IF('Mezz 2 Amortization'!$T$4="Bi-Annual",IF(OR('Mezz 2 Amortization'!$R$4=EU$5,'Mezz 2 Amortization'!$S$4=EU$5),INDEX('Mezz 2 Amortization'!$B$19:$V$379,MATCH(EU$142,'Mezz 2 Amortization'!$E$19:$E$379,0),MATCH('Mezz 2 Amortization'!$U$19,'Mezz 2 Amortization'!$B$19:$V$19,0)),0),0)))</f>
        <v>0</v>
      </c>
      <c r="EV146" s="427">
        <f>IF(OR('Financing Assumptions'!$T$8="No",EV$142&lt;='Financing Assumptions'!$T$26,EV$142&gt;'Mezz 2 Amortization'!$T$13),0,IF('Mezz 2 Amortization'!$T$4="Monthly",INDEX('Mezz 2 Amortization'!$B$19:$V$379,MATCH(EV$142,'Mezz 2 Amortization'!$E$19:$E$379,0),MATCH('Mezz 2 Amortization'!$U$19,'Mezz 2 Amortization'!$B$19:$V$19,0)),IF('Mezz 2 Amortization'!$T$4="Bi-Annual",IF(OR('Mezz 2 Amortization'!$R$4=EV$5,'Mezz 2 Amortization'!$S$4=EV$5),INDEX('Mezz 2 Amortization'!$B$19:$V$379,MATCH(EV$142,'Mezz 2 Amortization'!$E$19:$E$379,0),MATCH('Mezz 2 Amortization'!$U$19,'Mezz 2 Amortization'!$B$19:$V$19,0)),0),0)))</f>
        <v>0</v>
      </c>
      <c r="EW146" s="427">
        <f>IF(OR('Financing Assumptions'!$T$8="No",EW$142&lt;='Financing Assumptions'!$T$26,EW$142&gt;'Mezz 2 Amortization'!$T$13),0,IF('Mezz 2 Amortization'!$T$4="Monthly",INDEX('Mezz 2 Amortization'!$B$19:$V$379,MATCH(EW$142,'Mezz 2 Amortization'!$E$19:$E$379,0),MATCH('Mezz 2 Amortization'!$U$19,'Mezz 2 Amortization'!$B$19:$V$19,0)),IF('Mezz 2 Amortization'!$T$4="Bi-Annual",IF(OR('Mezz 2 Amortization'!$R$4=EW$5,'Mezz 2 Amortization'!$S$4=EW$5),INDEX('Mezz 2 Amortization'!$B$19:$V$379,MATCH(EW$142,'Mezz 2 Amortization'!$E$19:$E$379,0),MATCH('Mezz 2 Amortization'!$U$19,'Mezz 2 Amortization'!$B$19:$V$19,0)),0),0)))</f>
        <v>0</v>
      </c>
      <c r="EX146" s="427">
        <f>IF(OR('Financing Assumptions'!$T$8="No",EX$142&lt;='Financing Assumptions'!$T$26,EX$142&gt;'Mezz 2 Amortization'!$T$13),0,IF('Mezz 2 Amortization'!$T$4="Monthly",INDEX('Mezz 2 Amortization'!$B$19:$V$379,MATCH(EX$142,'Mezz 2 Amortization'!$E$19:$E$379,0),MATCH('Mezz 2 Amortization'!$U$19,'Mezz 2 Amortization'!$B$19:$V$19,0)),IF('Mezz 2 Amortization'!$T$4="Bi-Annual",IF(OR('Mezz 2 Amortization'!$R$4=EX$5,'Mezz 2 Amortization'!$S$4=EX$5),INDEX('Mezz 2 Amortization'!$B$19:$V$379,MATCH(EX$142,'Mezz 2 Amortization'!$E$19:$E$379,0),MATCH('Mezz 2 Amortization'!$U$19,'Mezz 2 Amortization'!$B$19:$V$19,0)),0),0)))</f>
        <v>0</v>
      </c>
      <c r="EY146" s="427">
        <f>IF(OR('Financing Assumptions'!$T$8="No",EY$142&lt;='Financing Assumptions'!$T$26,EY$142&gt;'Mezz 2 Amortization'!$T$13),0,IF('Mezz 2 Amortization'!$T$4="Monthly",INDEX('Mezz 2 Amortization'!$B$19:$V$379,MATCH(EY$142,'Mezz 2 Amortization'!$E$19:$E$379,0),MATCH('Mezz 2 Amortization'!$U$19,'Mezz 2 Amortization'!$B$19:$V$19,0)),IF('Mezz 2 Amortization'!$T$4="Bi-Annual",IF(OR('Mezz 2 Amortization'!$R$4=EY$5,'Mezz 2 Amortization'!$S$4=EY$5),INDEX('Mezz 2 Amortization'!$B$19:$V$379,MATCH(EY$142,'Mezz 2 Amortization'!$E$19:$E$379,0),MATCH('Mezz 2 Amortization'!$U$19,'Mezz 2 Amortization'!$B$19:$V$19,0)),0),0)))</f>
        <v>0</v>
      </c>
      <c r="EZ146" s="427">
        <f>IF(OR('Financing Assumptions'!$T$8="No",EZ$142&lt;='Financing Assumptions'!$T$26,EZ$142&gt;'Mezz 2 Amortization'!$T$13),0,IF('Mezz 2 Amortization'!$T$4="Monthly",INDEX('Mezz 2 Amortization'!$B$19:$V$379,MATCH(EZ$142,'Mezz 2 Amortization'!$E$19:$E$379,0),MATCH('Mezz 2 Amortization'!$U$19,'Mezz 2 Amortization'!$B$19:$V$19,0)),IF('Mezz 2 Amortization'!$T$4="Bi-Annual",IF(OR('Mezz 2 Amortization'!$R$4=EZ$5,'Mezz 2 Amortization'!$S$4=EZ$5),INDEX('Mezz 2 Amortization'!$B$19:$V$379,MATCH(EZ$142,'Mezz 2 Amortization'!$E$19:$E$379,0),MATCH('Mezz 2 Amortization'!$U$19,'Mezz 2 Amortization'!$B$19:$V$19,0)),0),0)))</f>
        <v>0</v>
      </c>
      <c r="FA146" s="427">
        <f>IF(OR('Financing Assumptions'!$T$8="No",FA$142&lt;='Financing Assumptions'!$T$26,FA$142&gt;'Mezz 2 Amortization'!$T$13),0,IF('Mezz 2 Amortization'!$T$4="Monthly",INDEX('Mezz 2 Amortization'!$B$19:$V$379,MATCH(FA$142,'Mezz 2 Amortization'!$E$19:$E$379,0),MATCH('Mezz 2 Amortization'!$U$19,'Mezz 2 Amortization'!$B$19:$V$19,0)),IF('Mezz 2 Amortization'!$T$4="Bi-Annual",IF(OR('Mezz 2 Amortization'!$R$4=FA$5,'Mezz 2 Amortization'!$S$4=FA$5),INDEX('Mezz 2 Amortization'!$B$19:$V$379,MATCH(FA$142,'Mezz 2 Amortization'!$E$19:$E$379,0),MATCH('Mezz 2 Amortization'!$U$19,'Mezz 2 Amortization'!$B$19:$V$19,0)),0),0)))</f>
        <v>0</v>
      </c>
      <c r="FB146" s="427">
        <f>IF(OR('Financing Assumptions'!$T$8="No",FB$142&lt;='Financing Assumptions'!$T$26,FB$142&gt;'Mezz 2 Amortization'!$T$13),0,IF('Mezz 2 Amortization'!$T$4="Monthly",INDEX('Mezz 2 Amortization'!$B$19:$V$379,MATCH(FB$142,'Mezz 2 Amortization'!$E$19:$E$379,0),MATCH('Mezz 2 Amortization'!$U$19,'Mezz 2 Amortization'!$B$19:$V$19,0)),IF('Mezz 2 Amortization'!$T$4="Bi-Annual",IF(OR('Mezz 2 Amortization'!$R$4=FB$5,'Mezz 2 Amortization'!$S$4=FB$5),INDEX('Mezz 2 Amortization'!$B$19:$V$379,MATCH(FB$142,'Mezz 2 Amortization'!$E$19:$E$379,0),MATCH('Mezz 2 Amortization'!$U$19,'Mezz 2 Amortization'!$B$19:$V$19,0)),0),0)))</f>
        <v>0</v>
      </c>
      <c r="FC146" s="427">
        <f>IF(OR('Financing Assumptions'!$T$8="No",FC$142&lt;='Financing Assumptions'!$T$26,FC$142&gt;'Mezz 2 Amortization'!$T$13),0,IF('Mezz 2 Amortization'!$T$4="Monthly",INDEX('Mezz 2 Amortization'!$B$19:$V$379,MATCH(FC$142,'Mezz 2 Amortization'!$E$19:$E$379,0),MATCH('Mezz 2 Amortization'!$U$19,'Mezz 2 Amortization'!$B$19:$V$19,0)),IF('Mezz 2 Amortization'!$T$4="Bi-Annual",IF(OR('Mezz 2 Amortization'!$R$4=FC$5,'Mezz 2 Amortization'!$S$4=FC$5),INDEX('Mezz 2 Amortization'!$B$19:$V$379,MATCH(FC$142,'Mezz 2 Amortization'!$E$19:$E$379,0),MATCH('Mezz 2 Amortization'!$U$19,'Mezz 2 Amortization'!$B$19:$V$19,0)),0),0)))</f>
        <v>0</v>
      </c>
      <c r="FD146" s="427">
        <f>IF(OR('Financing Assumptions'!$T$8="No",FD$142&lt;='Financing Assumptions'!$T$26,FD$142&gt;'Mezz 2 Amortization'!$T$13),0,IF('Mezz 2 Amortization'!$T$4="Monthly",INDEX('Mezz 2 Amortization'!$B$19:$V$379,MATCH(FD$142,'Mezz 2 Amortization'!$E$19:$E$379,0),MATCH('Mezz 2 Amortization'!$U$19,'Mezz 2 Amortization'!$B$19:$V$19,0)),IF('Mezz 2 Amortization'!$T$4="Bi-Annual",IF(OR('Mezz 2 Amortization'!$R$4=FD$5,'Mezz 2 Amortization'!$S$4=FD$5),INDEX('Mezz 2 Amortization'!$B$19:$V$379,MATCH(FD$142,'Mezz 2 Amortization'!$E$19:$E$379,0),MATCH('Mezz 2 Amortization'!$U$19,'Mezz 2 Amortization'!$B$19:$V$19,0)),0),0)))</f>
        <v>0</v>
      </c>
      <c r="FE146" s="427">
        <f>IF(OR('Financing Assumptions'!$T$8="No",FE$142&lt;='Financing Assumptions'!$T$26,FE$142&gt;'Mezz 2 Amortization'!$T$13),0,IF('Mezz 2 Amortization'!$T$4="Monthly",INDEX('Mezz 2 Amortization'!$B$19:$V$379,MATCH(FE$142,'Mezz 2 Amortization'!$E$19:$E$379,0),MATCH('Mezz 2 Amortization'!$U$19,'Mezz 2 Amortization'!$B$19:$V$19,0)),IF('Mezz 2 Amortization'!$T$4="Bi-Annual",IF(OR('Mezz 2 Amortization'!$R$4=FE$5,'Mezz 2 Amortization'!$S$4=FE$5),INDEX('Mezz 2 Amortization'!$B$19:$V$379,MATCH(FE$142,'Mezz 2 Amortization'!$E$19:$E$379,0),MATCH('Mezz 2 Amortization'!$U$19,'Mezz 2 Amortization'!$B$19:$V$19,0)),0),0)))</f>
        <v>0</v>
      </c>
      <c r="FF146" s="427">
        <f>IF(OR('Financing Assumptions'!$T$8="No",FF$142&lt;='Financing Assumptions'!$T$26,FF$142&gt;'Mezz 2 Amortization'!$T$13),0,IF('Mezz 2 Amortization'!$T$4="Monthly",INDEX('Mezz 2 Amortization'!$B$19:$V$379,MATCH(FF$142,'Mezz 2 Amortization'!$E$19:$E$379,0),MATCH('Mezz 2 Amortization'!$U$19,'Mezz 2 Amortization'!$B$19:$V$19,0)),IF('Mezz 2 Amortization'!$T$4="Bi-Annual",IF(OR('Mezz 2 Amortization'!$R$4=FF$5,'Mezz 2 Amortization'!$S$4=FF$5),INDEX('Mezz 2 Amortization'!$B$19:$V$379,MATCH(FF$142,'Mezz 2 Amortization'!$E$19:$E$379,0),MATCH('Mezz 2 Amortization'!$U$19,'Mezz 2 Amortization'!$B$19:$V$19,0)),0),0)))</f>
        <v>0</v>
      </c>
      <c r="FG146" s="427">
        <f>IF(OR('Financing Assumptions'!$T$8="No",FG$142&lt;='Financing Assumptions'!$T$26,FG$142&gt;'Mezz 2 Amortization'!$T$13),0,IF('Mezz 2 Amortization'!$T$4="Monthly",INDEX('Mezz 2 Amortization'!$B$19:$V$379,MATCH(FG$142,'Mezz 2 Amortization'!$E$19:$E$379,0),MATCH('Mezz 2 Amortization'!$U$19,'Mezz 2 Amortization'!$B$19:$V$19,0)),IF('Mezz 2 Amortization'!$T$4="Bi-Annual",IF(OR('Mezz 2 Amortization'!$R$4=FG$5,'Mezz 2 Amortization'!$S$4=FG$5),INDEX('Mezz 2 Amortization'!$B$19:$V$379,MATCH(FG$142,'Mezz 2 Amortization'!$E$19:$E$379,0),MATCH('Mezz 2 Amortization'!$U$19,'Mezz 2 Amortization'!$B$19:$V$19,0)),0),0)))</f>
        <v>0</v>
      </c>
      <c r="FH146" s="427">
        <f>IF(OR('Financing Assumptions'!$T$8="No",FH$142&lt;='Financing Assumptions'!$T$26,FH$142&gt;'Mezz 2 Amortization'!$T$13),0,IF('Mezz 2 Amortization'!$T$4="Monthly",INDEX('Mezz 2 Amortization'!$B$19:$V$379,MATCH(FH$142,'Mezz 2 Amortization'!$E$19:$E$379,0),MATCH('Mezz 2 Amortization'!$U$19,'Mezz 2 Amortization'!$B$19:$V$19,0)),IF('Mezz 2 Amortization'!$T$4="Bi-Annual",IF(OR('Mezz 2 Amortization'!$R$4=FH$5,'Mezz 2 Amortization'!$S$4=FH$5),INDEX('Mezz 2 Amortization'!$B$19:$V$379,MATCH(FH$142,'Mezz 2 Amortization'!$E$19:$E$379,0),MATCH('Mezz 2 Amortization'!$U$19,'Mezz 2 Amortization'!$B$19:$V$19,0)),0),0)))</f>
        <v>0</v>
      </c>
      <c r="FI146" s="427">
        <f>IF(OR('Financing Assumptions'!$T$8="No",FI$142&lt;='Financing Assumptions'!$T$26,FI$142&gt;'Mezz 2 Amortization'!$T$13),0,IF('Mezz 2 Amortization'!$T$4="Monthly",INDEX('Mezz 2 Amortization'!$B$19:$V$379,MATCH(FI$142,'Mezz 2 Amortization'!$E$19:$E$379,0),MATCH('Mezz 2 Amortization'!$U$19,'Mezz 2 Amortization'!$B$19:$V$19,0)),IF('Mezz 2 Amortization'!$T$4="Bi-Annual",IF(OR('Mezz 2 Amortization'!$R$4=FI$5,'Mezz 2 Amortization'!$S$4=FI$5),INDEX('Mezz 2 Amortization'!$B$19:$V$379,MATCH(FI$142,'Mezz 2 Amortization'!$E$19:$E$379,0),MATCH('Mezz 2 Amortization'!$U$19,'Mezz 2 Amortization'!$B$19:$V$19,0)),0),0)))</f>
        <v>0</v>
      </c>
      <c r="FJ146" s="427">
        <f>IF(OR('Financing Assumptions'!$T$8="No",FJ$142&lt;='Financing Assumptions'!$T$26,FJ$142&gt;'Mezz 2 Amortization'!$T$13),0,IF('Mezz 2 Amortization'!$T$4="Monthly",INDEX('Mezz 2 Amortization'!$B$19:$V$379,MATCH(FJ$142,'Mezz 2 Amortization'!$E$19:$E$379,0),MATCH('Mezz 2 Amortization'!$U$19,'Mezz 2 Amortization'!$B$19:$V$19,0)),IF('Mezz 2 Amortization'!$T$4="Bi-Annual",IF(OR('Mezz 2 Amortization'!$R$4=FJ$5,'Mezz 2 Amortization'!$S$4=FJ$5),INDEX('Mezz 2 Amortization'!$B$19:$V$379,MATCH(FJ$142,'Mezz 2 Amortization'!$E$19:$E$379,0),MATCH('Mezz 2 Amortization'!$U$19,'Mezz 2 Amortization'!$B$19:$V$19,0)),0),0)))</f>
        <v>0</v>
      </c>
      <c r="FK146" s="427">
        <f>IF(OR('Financing Assumptions'!$T$8="No",FK$142&lt;='Financing Assumptions'!$T$26,FK$142&gt;'Mezz 2 Amortization'!$T$13),0,IF('Mezz 2 Amortization'!$T$4="Monthly",INDEX('Mezz 2 Amortization'!$B$19:$V$379,MATCH(FK$142,'Mezz 2 Amortization'!$E$19:$E$379,0),MATCH('Mezz 2 Amortization'!$U$19,'Mezz 2 Amortization'!$B$19:$V$19,0)),IF('Mezz 2 Amortization'!$T$4="Bi-Annual",IF(OR('Mezz 2 Amortization'!$R$4=FK$5,'Mezz 2 Amortization'!$S$4=FK$5),INDEX('Mezz 2 Amortization'!$B$19:$V$379,MATCH(FK$142,'Mezz 2 Amortization'!$E$19:$E$379,0),MATCH('Mezz 2 Amortization'!$U$19,'Mezz 2 Amortization'!$B$19:$V$19,0)),0),0)))</f>
        <v>0</v>
      </c>
      <c r="FL146" s="427">
        <f>IF(OR('Financing Assumptions'!$T$8="No",FL$142&lt;='Financing Assumptions'!$T$26,FL$142&gt;'Mezz 2 Amortization'!$T$13),0,IF('Mezz 2 Amortization'!$T$4="Monthly",INDEX('Mezz 2 Amortization'!$B$19:$V$379,MATCH(FL$142,'Mezz 2 Amortization'!$E$19:$E$379,0),MATCH('Mezz 2 Amortization'!$U$19,'Mezz 2 Amortization'!$B$19:$V$19,0)),IF('Mezz 2 Amortization'!$T$4="Bi-Annual",IF(OR('Mezz 2 Amortization'!$R$4=FL$5,'Mezz 2 Amortization'!$S$4=FL$5),INDEX('Mezz 2 Amortization'!$B$19:$V$379,MATCH(FL$142,'Mezz 2 Amortization'!$E$19:$E$379,0),MATCH('Mezz 2 Amortization'!$U$19,'Mezz 2 Amortization'!$B$19:$V$19,0)),0),0)))</f>
        <v>0</v>
      </c>
      <c r="FM146" s="427">
        <f>IF(OR('Financing Assumptions'!$T$8="No",FM$142&lt;='Financing Assumptions'!$T$26,FM$142&gt;'Mezz 2 Amortization'!$T$13),0,IF('Mezz 2 Amortization'!$T$4="Monthly",INDEX('Mezz 2 Amortization'!$B$19:$V$379,MATCH(FM$142,'Mezz 2 Amortization'!$E$19:$E$379,0),MATCH('Mezz 2 Amortization'!$U$19,'Mezz 2 Amortization'!$B$19:$V$19,0)),IF('Mezz 2 Amortization'!$T$4="Bi-Annual",IF(OR('Mezz 2 Amortization'!$R$4=FM$5,'Mezz 2 Amortization'!$S$4=FM$5),INDEX('Mezz 2 Amortization'!$B$19:$V$379,MATCH(FM$142,'Mezz 2 Amortization'!$E$19:$E$379,0),MATCH('Mezz 2 Amortization'!$U$19,'Mezz 2 Amortization'!$B$19:$V$19,0)),0),0)))</f>
        <v>0</v>
      </c>
      <c r="FN146" s="427">
        <f>IF(OR('Financing Assumptions'!$T$8="No",FN$142&lt;='Financing Assumptions'!$T$26,FN$142&gt;'Mezz 2 Amortization'!$T$13),0,IF('Mezz 2 Amortization'!$T$4="Monthly",INDEX('Mezz 2 Amortization'!$B$19:$V$379,MATCH(FN$142,'Mezz 2 Amortization'!$E$19:$E$379,0),MATCH('Mezz 2 Amortization'!$U$19,'Mezz 2 Amortization'!$B$19:$V$19,0)),IF('Mezz 2 Amortization'!$T$4="Bi-Annual",IF(OR('Mezz 2 Amortization'!$R$4=FN$5,'Mezz 2 Amortization'!$S$4=FN$5),INDEX('Mezz 2 Amortization'!$B$19:$V$379,MATCH(FN$142,'Mezz 2 Amortization'!$E$19:$E$379,0),MATCH('Mezz 2 Amortization'!$U$19,'Mezz 2 Amortization'!$B$19:$V$19,0)),0),0)))</f>
        <v>0</v>
      </c>
      <c r="FO146" s="427">
        <f>IF(OR('Financing Assumptions'!$T$8="No",FO$142&lt;='Financing Assumptions'!$T$26,FO$142&gt;'Mezz 2 Amortization'!$T$13),0,IF('Mezz 2 Amortization'!$T$4="Monthly",INDEX('Mezz 2 Amortization'!$B$19:$V$379,MATCH(FO$142,'Mezz 2 Amortization'!$E$19:$E$379,0),MATCH('Mezz 2 Amortization'!$U$19,'Mezz 2 Amortization'!$B$19:$V$19,0)),IF('Mezz 2 Amortization'!$T$4="Bi-Annual",IF(OR('Mezz 2 Amortization'!$R$4=FO$5,'Mezz 2 Amortization'!$S$4=FO$5),INDEX('Mezz 2 Amortization'!$B$19:$V$379,MATCH(FO$142,'Mezz 2 Amortization'!$E$19:$E$379,0),MATCH('Mezz 2 Amortization'!$U$19,'Mezz 2 Amortization'!$B$19:$V$19,0)),0),0)))</f>
        <v>0</v>
      </c>
      <c r="FP146" s="427">
        <f>IF(OR('Financing Assumptions'!$T$8="No",FP$142&lt;='Financing Assumptions'!$T$26,FP$142&gt;'Mezz 2 Amortization'!$T$13),0,IF('Mezz 2 Amortization'!$T$4="Monthly",INDEX('Mezz 2 Amortization'!$B$19:$V$379,MATCH(FP$142,'Mezz 2 Amortization'!$E$19:$E$379,0),MATCH('Mezz 2 Amortization'!$U$19,'Mezz 2 Amortization'!$B$19:$V$19,0)),IF('Mezz 2 Amortization'!$T$4="Bi-Annual",IF(OR('Mezz 2 Amortization'!$R$4=FP$5,'Mezz 2 Amortization'!$S$4=FP$5),INDEX('Mezz 2 Amortization'!$B$19:$V$379,MATCH(FP$142,'Mezz 2 Amortization'!$E$19:$E$379,0),MATCH('Mezz 2 Amortization'!$U$19,'Mezz 2 Amortization'!$B$19:$V$19,0)),0),0)))</f>
        <v>0</v>
      </c>
      <c r="FQ146" s="427">
        <f>IF(OR('Financing Assumptions'!$T$8="No",FQ$142&lt;='Financing Assumptions'!$T$26,FQ$142&gt;'Mezz 2 Amortization'!$T$13),0,IF('Mezz 2 Amortization'!$T$4="Monthly",INDEX('Mezz 2 Amortization'!$B$19:$V$379,MATCH(FQ$142,'Mezz 2 Amortization'!$E$19:$E$379,0),MATCH('Mezz 2 Amortization'!$U$19,'Mezz 2 Amortization'!$B$19:$V$19,0)),IF('Mezz 2 Amortization'!$T$4="Bi-Annual",IF(OR('Mezz 2 Amortization'!$R$4=FQ$5,'Mezz 2 Amortization'!$S$4=FQ$5),INDEX('Mezz 2 Amortization'!$B$19:$V$379,MATCH(FQ$142,'Mezz 2 Amortization'!$E$19:$E$379,0),MATCH('Mezz 2 Amortization'!$U$19,'Mezz 2 Amortization'!$B$19:$V$19,0)),0),0)))</f>
        <v>0</v>
      </c>
      <c r="FR146" s="427">
        <f>IF(OR('Financing Assumptions'!$T$8="No",FR$142&lt;='Financing Assumptions'!$T$26,FR$142&gt;'Mezz 2 Amortization'!$T$13),0,IF('Mezz 2 Amortization'!$T$4="Monthly",INDEX('Mezz 2 Amortization'!$B$19:$V$379,MATCH(FR$142,'Mezz 2 Amortization'!$E$19:$E$379,0),MATCH('Mezz 2 Amortization'!$U$19,'Mezz 2 Amortization'!$B$19:$V$19,0)),IF('Mezz 2 Amortization'!$T$4="Bi-Annual",IF(OR('Mezz 2 Amortization'!$R$4=FR$5,'Mezz 2 Amortization'!$S$4=FR$5),INDEX('Mezz 2 Amortization'!$B$19:$V$379,MATCH(FR$142,'Mezz 2 Amortization'!$E$19:$E$379,0),MATCH('Mezz 2 Amortization'!$U$19,'Mezz 2 Amortization'!$B$19:$V$19,0)),0),0)))</f>
        <v>0</v>
      </c>
      <c r="FS146" s="427">
        <f>IF(OR('Financing Assumptions'!$T$8="No",FS$142&lt;='Financing Assumptions'!$T$26,FS$142&gt;'Mezz 2 Amortization'!$T$13),0,IF('Mezz 2 Amortization'!$T$4="Monthly",INDEX('Mezz 2 Amortization'!$B$19:$V$379,MATCH(FS$142,'Mezz 2 Amortization'!$E$19:$E$379,0),MATCH('Mezz 2 Amortization'!$U$19,'Mezz 2 Amortization'!$B$19:$V$19,0)),IF('Mezz 2 Amortization'!$T$4="Bi-Annual",IF(OR('Mezz 2 Amortization'!$R$4=FS$5,'Mezz 2 Amortization'!$S$4=FS$5),INDEX('Mezz 2 Amortization'!$B$19:$V$379,MATCH(FS$142,'Mezz 2 Amortization'!$E$19:$E$379,0),MATCH('Mezz 2 Amortization'!$U$19,'Mezz 2 Amortization'!$B$19:$V$19,0)),0),0)))</f>
        <v>0</v>
      </c>
      <c r="FT146" s="427">
        <f>IF(OR('Financing Assumptions'!$T$8="No",FT$142&lt;='Financing Assumptions'!$T$26,FT$142&gt;'Mezz 2 Amortization'!$T$13),0,IF('Mezz 2 Amortization'!$T$4="Monthly",INDEX('Mezz 2 Amortization'!$B$19:$V$379,MATCH(FT$142,'Mezz 2 Amortization'!$E$19:$E$379,0),MATCH('Mezz 2 Amortization'!$U$19,'Mezz 2 Amortization'!$B$19:$V$19,0)),IF('Mezz 2 Amortization'!$T$4="Bi-Annual",IF(OR('Mezz 2 Amortization'!$R$4=FT$5,'Mezz 2 Amortization'!$S$4=FT$5),INDEX('Mezz 2 Amortization'!$B$19:$V$379,MATCH(FT$142,'Mezz 2 Amortization'!$E$19:$E$379,0),MATCH('Mezz 2 Amortization'!$U$19,'Mezz 2 Amortization'!$B$19:$V$19,0)),0),0)))</f>
        <v>0</v>
      </c>
      <c r="FU146" s="43"/>
      <c r="FV146" s="34"/>
      <c r="FW146" s="34"/>
      <c r="FX146" s="34"/>
      <c r="FY146" s="34"/>
      <c r="FZ146" s="34"/>
    </row>
    <row r="147" spans="1:182" s="89" customFormat="1" ht="13.5" x14ac:dyDescent="0.25">
      <c r="A147" s="34"/>
      <c r="B147" s="1271" t="s">
        <v>524</v>
      </c>
      <c r="C147" s="34"/>
      <c r="D147" s="34"/>
      <c r="E147" s="34"/>
      <c r="F147" s="428"/>
      <c r="G147" s="34"/>
      <c r="H147" s="1335">
        <f>IF('Financing Assumptions'!$T$8="No",0,IF(H$9&lt;'Financing Assumptions'!$S$26,0,IF(AND('Mezz 2 Amortization'!$T$4&lt;&gt;"Monthly",H9&lt;='Financing Assumptions'!$S$26),0,IF('Mezz 2 Amortization'!$T$4="Monthly",INDEX('Mezz 2 Amortization'!$B$19:$V$379,MATCH(H$11,'Mezz 2 Amortization'!$E$19:$E$379,0),MATCH('Mezz 2 Amortization'!$V$19,'Mezz 2 Amortization'!$B$19:$V$19,0)),IF(AND('Mezz 2 Amortization'!$T$4="Bi-Annual",H$5&lt;MIN('Mezz 2 Amortization'!$R$4,'Mezz 2 Amortization'!$S$4)),INDEX('Mezz 2 Amortization'!$B$19:$V$379,MATCH(DATE(H$7-1,MAX('Mezz 2 Amortization'!$R$4,'Mezz 2 Amortization'!$S$4),31),'Mezz 2 Amortization'!$E$19:$E$379,0),MATCH('Mezz 2 Amortization'!$V$19,'Mezz 2 Amortization'!$B$19:$V$19,0)),IF(AND('Mezz 2 Amortization'!$T$4="Bi-Annual",H$5&gt;MAX('Mezz 2 Amortization'!$R$4,'Mezz 2 Amortization'!$S$4)),INDEX('Mezz 2 Amortization'!$B$19:$V$379,MATCH(DATE(H$7,MAX('Mezz 2 Amortization'!$R$4,'Mezz 2 Amortization'!$S$4),31),'Mezz 2 Amortization'!$E$19:$E$379,0),MATCH('Mezz 2 Amortization'!$V$19,'Mezz 2 Amortization'!$B$19:$V$19,0)),IF(AND('Mezz 2 Amortization'!$T$4="Bi-Annual",H$5&gt;MIN('Mezz 2 Amortization'!$R$4,'Mezz 2 Amortization'!$S$4),H$5&lt;MAX('Mezz 2 Amortization'!$R$4,'Mezz 2 Amortization'!$S$4)),INDEX('Mezz 2 Amortization'!$B$19:$V$379,MATCH(DATE(H$7,MIN('Mezz 2 Amortization'!$R$4,'Mezz 2 Amortization'!$S$4),31),'Mezz 2 Amortization'!$E$19:$E$379,0),MATCH('Mezz 2 Amortization'!$V$19,'Mezz 2 Amortization'!$B$19:$V$19,0)),IF(AND('Mezz 2 Amortization'!$T$4="Bi-Annual",H$5='Mezz 2 Amortization'!$R$4),INDEX('Mezz 2 Amortization'!$B$19:$V$379,MATCH(DATE(H$7,'Mezz 2 Amortization'!$R$4,31),'Mezz 2 Amortization'!$E$19:$E$379,0),MATCH('Mezz 2 Amortization'!$V$19,'Mezz 2 Amortization'!$B$19:$V$19,0)),IF(AND('Mezz 2 Amortization'!$T$4="Bi-Annual",H$5='Mezz 2 Amortization'!$S$4),INDEX('Mezz 2 Amortization'!$B$19:$V$379,MATCH(DATE(H$7,'Mezz 2 Amortization'!$S$4,31),'Mezz 2 Amortization'!$E$19:$E$379,0),MATCH('Mezz 2 Amortization'!$V$19,'Mezz 2 Amortization'!$B$19:$V$19,0)))))))))))</f>
        <v>0</v>
      </c>
      <c r="I147" s="427">
        <f>IF('Financing Assumptions'!$T$8="No",0,IF(I$9&lt;'Financing Assumptions'!$S$26,0,IF(AND('Mezz 2 Amortization'!$T$4&lt;&gt;"Monthly",I9&lt;='Financing Assumptions'!$S$26),0,IF('Mezz 2 Amortization'!$T$4="Monthly",INDEX('Mezz 2 Amortization'!$B$19:$V$379,MATCH(I$11,'Mezz 2 Amortization'!$E$19:$E$379,0),MATCH('Mezz 2 Amortization'!$V$19,'Mezz 2 Amortization'!$B$19:$V$19,0)),IF(AND('Mezz 2 Amortization'!$T$4="Bi-Annual",I$5&lt;MIN('Mezz 2 Amortization'!$R$4,'Mezz 2 Amortization'!$S$4)),INDEX('Mezz 2 Amortization'!$B$19:$V$379,MATCH(DATE(I$7-1,MAX('Mezz 2 Amortization'!$R$4,'Mezz 2 Amortization'!$S$4),31),'Mezz 2 Amortization'!$E$19:$E$379,0),MATCH('Mezz 2 Amortization'!$V$19,'Mezz 2 Amortization'!$B$19:$V$19,0)),IF(AND('Mezz 2 Amortization'!$T$4="Bi-Annual",I$5&gt;MAX('Mezz 2 Amortization'!$R$4,'Mezz 2 Amortization'!$S$4)),INDEX('Mezz 2 Amortization'!$B$19:$V$379,MATCH(DATE(I$7,MAX('Mezz 2 Amortization'!$R$4,'Mezz 2 Amortization'!$S$4),31),'Mezz 2 Amortization'!$E$19:$E$379,0),MATCH('Mezz 2 Amortization'!$V$19,'Mezz 2 Amortization'!$B$19:$V$19,0)),IF(AND('Mezz 2 Amortization'!$T$4="Bi-Annual",I$5&gt;MIN('Mezz 2 Amortization'!$R$4,'Mezz 2 Amortization'!$S$4),I$5&lt;MAX('Mezz 2 Amortization'!$R$4,'Mezz 2 Amortization'!$S$4)),INDEX('Mezz 2 Amortization'!$B$19:$V$379,MATCH(DATE(I$7,MIN('Mezz 2 Amortization'!$R$4,'Mezz 2 Amortization'!$S$4),31),'Mezz 2 Amortization'!$E$19:$E$379,0),MATCH('Mezz 2 Amortization'!$V$19,'Mezz 2 Amortization'!$B$19:$V$19,0)),IF(AND('Mezz 2 Amortization'!$T$4="Bi-Annual",I$5='Mezz 2 Amortization'!$R$4),INDEX('Mezz 2 Amortization'!$B$19:$V$379,MATCH(DATE(I$7,'Mezz 2 Amortization'!$R$4,31),'Mezz 2 Amortization'!$E$19:$E$379,0),MATCH('Mezz 2 Amortization'!$V$19,'Mezz 2 Amortization'!$B$19:$V$19,0)),IF(AND('Mezz 2 Amortization'!$T$4="Bi-Annual",I$5='Mezz 2 Amortization'!$S$4),INDEX('Mezz 2 Amortization'!$B$19:$V$379,MATCH(DATE(I$7,'Mezz 2 Amortization'!$S$4,31),'Mezz 2 Amortization'!$E$19:$E$379,0),MATCH('Mezz 2 Amortization'!$V$19,'Mezz 2 Amortization'!$B$19:$V$19,0)))))))))))</f>
        <v>0</v>
      </c>
      <c r="J147" s="427">
        <f>IF('Financing Assumptions'!$T$8="No",0,IF(J$9&lt;'Financing Assumptions'!$S$26,0,IF(AND('Mezz 2 Amortization'!$T$4&lt;&gt;"Monthly",J9&lt;='Financing Assumptions'!$S$26),0,IF('Mezz 2 Amortization'!$T$4="Monthly",INDEX('Mezz 2 Amortization'!$B$19:$V$379,MATCH(J$11,'Mezz 2 Amortization'!$E$19:$E$379,0),MATCH('Mezz 2 Amortization'!$V$19,'Mezz 2 Amortization'!$B$19:$V$19,0)),IF(AND('Mezz 2 Amortization'!$T$4="Bi-Annual",J$5&lt;MIN('Mezz 2 Amortization'!$R$4,'Mezz 2 Amortization'!$S$4)),INDEX('Mezz 2 Amortization'!$B$19:$V$379,MATCH(DATE(J$7-1,MAX('Mezz 2 Amortization'!$R$4,'Mezz 2 Amortization'!$S$4),31),'Mezz 2 Amortization'!$E$19:$E$379,0),MATCH('Mezz 2 Amortization'!$V$19,'Mezz 2 Amortization'!$B$19:$V$19,0)),IF(AND('Mezz 2 Amortization'!$T$4="Bi-Annual",J$5&gt;MAX('Mezz 2 Amortization'!$R$4,'Mezz 2 Amortization'!$S$4)),INDEX('Mezz 2 Amortization'!$B$19:$V$379,MATCH(DATE(J$7,MAX('Mezz 2 Amortization'!$R$4,'Mezz 2 Amortization'!$S$4),31),'Mezz 2 Amortization'!$E$19:$E$379,0),MATCH('Mezz 2 Amortization'!$V$19,'Mezz 2 Amortization'!$B$19:$V$19,0)),IF(AND('Mezz 2 Amortization'!$T$4="Bi-Annual",J$5&gt;MIN('Mezz 2 Amortization'!$R$4,'Mezz 2 Amortization'!$S$4),J$5&lt;MAX('Mezz 2 Amortization'!$R$4,'Mezz 2 Amortization'!$S$4)),INDEX('Mezz 2 Amortization'!$B$19:$V$379,MATCH(DATE(J$7,MIN('Mezz 2 Amortization'!$R$4,'Mezz 2 Amortization'!$S$4),31),'Mezz 2 Amortization'!$E$19:$E$379,0),MATCH('Mezz 2 Amortization'!$V$19,'Mezz 2 Amortization'!$B$19:$V$19,0)),IF(AND('Mezz 2 Amortization'!$T$4="Bi-Annual",J$5='Mezz 2 Amortization'!$R$4),INDEX('Mezz 2 Amortization'!$B$19:$V$379,MATCH(DATE(J$7,'Mezz 2 Amortization'!$R$4,31),'Mezz 2 Amortization'!$E$19:$E$379,0),MATCH('Mezz 2 Amortization'!$V$19,'Mezz 2 Amortization'!$B$19:$V$19,0)),IF(AND('Mezz 2 Amortization'!$T$4="Bi-Annual",J$5='Mezz 2 Amortization'!$S$4),INDEX('Mezz 2 Amortization'!$B$19:$V$379,MATCH(DATE(J$7,'Mezz 2 Amortization'!$S$4,31),'Mezz 2 Amortization'!$E$19:$E$379,0),MATCH('Mezz 2 Amortization'!$V$19,'Mezz 2 Amortization'!$B$19:$V$19,0)))))))))))</f>
        <v>0</v>
      </c>
      <c r="K147" s="427">
        <f>IF('Financing Assumptions'!$T$8="No",0,IF(K$9&lt;'Financing Assumptions'!$S$26,0,IF(AND('Mezz 2 Amortization'!$T$4&lt;&gt;"Monthly",K9&lt;='Financing Assumptions'!$S$26),0,IF('Mezz 2 Amortization'!$T$4="Monthly",INDEX('Mezz 2 Amortization'!$B$19:$V$379,MATCH(K$11,'Mezz 2 Amortization'!$E$19:$E$379,0),MATCH('Mezz 2 Amortization'!$V$19,'Mezz 2 Amortization'!$B$19:$V$19,0)),IF(AND('Mezz 2 Amortization'!$T$4="Bi-Annual",K$5&lt;MIN('Mezz 2 Amortization'!$R$4,'Mezz 2 Amortization'!$S$4)),INDEX('Mezz 2 Amortization'!$B$19:$V$379,MATCH(DATE(K$7-1,MAX('Mezz 2 Amortization'!$R$4,'Mezz 2 Amortization'!$S$4),31),'Mezz 2 Amortization'!$E$19:$E$379,0),MATCH('Mezz 2 Amortization'!$V$19,'Mezz 2 Amortization'!$B$19:$V$19,0)),IF(AND('Mezz 2 Amortization'!$T$4="Bi-Annual",K$5&gt;MAX('Mezz 2 Amortization'!$R$4,'Mezz 2 Amortization'!$S$4)),INDEX('Mezz 2 Amortization'!$B$19:$V$379,MATCH(DATE(K$7,MAX('Mezz 2 Amortization'!$R$4,'Mezz 2 Amortization'!$S$4),31),'Mezz 2 Amortization'!$E$19:$E$379,0),MATCH('Mezz 2 Amortization'!$V$19,'Mezz 2 Amortization'!$B$19:$V$19,0)),IF(AND('Mezz 2 Amortization'!$T$4="Bi-Annual",K$5&gt;MIN('Mezz 2 Amortization'!$R$4,'Mezz 2 Amortization'!$S$4),K$5&lt;MAX('Mezz 2 Amortization'!$R$4,'Mezz 2 Amortization'!$S$4)),INDEX('Mezz 2 Amortization'!$B$19:$V$379,MATCH(DATE(K$7,MIN('Mezz 2 Amortization'!$R$4,'Mezz 2 Amortization'!$S$4),31),'Mezz 2 Amortization'!$E$19:$E$379,0),MATCH('Mezz 2 Amortization'!$V$19,'Mezz 2 Amortization'!$B$19:$V$19,0)),IF(AND('Mezz 2 Amortization'!$T$4="Bi-Annual",K$5='Mezz 2 Amortization'!$R$4),INDEX('Mezz 2 Amortization'!$B$19:$V$379,MATCH(DATE(K$7,'Mezz 2 Amortization'!$R$4,31),'Mezz 2 Amortization'!$E$19:$E$379,0),MATCH('Mezz 2 Amortization'!$V$19,'Mezz 2 Amortization'!$B$19:$V$19,0)),IF(AND('Mezz 2 Amortization'!$T$4="Bi-Annual",K$5='Mezz 2 Amortization'!$S$4),INDEX('Mezz 2 Amortization'!$B$19:$V$379,MATCH(DATE(K$7,'Mezz 2 Amortization'!$S$4,31),'Mezz 2 Amortization'!$E$19:$E$379,0),MATCH('Mezz 2 Amortization'!$V$19,'Mezz 2 Amortization'!$B$19:$V$19,0)))))))))))</f>
        <v>0</v>
      </c>
      <c r="L147" s="427">
        <f>IF('Financing Assumptions'!$T$8="No",0,IF(L$9&lt;'Financing Assumptions'!$S$26,0,IF(AND('Mezz 2 Amortization'!$T$4&lt;&gt;"Monthly",L9&lt;='Financing Assumptions'!$S$26),0,IF('Mezz 2 Amortization'!$T$4="Monthly",INDEX('Mezz 2 Amortization'!$B$19:$V$379,MATCH(L$11,'Mezz 2 Amortization'!$E$19:$E$379,0),MATCH('Mezz 2 Amortization'!$V$19,'Mezz 2 Amortization'!$B$19:$V$19,0)),IF(AND('Mezz 2 Amortization'!$T$4="Bi-Annual",L$5&lt;MIN('Mezz 2 Amortization'!$R$4,'Mezz 2 Amortization'!$S$4)),INDEX('Mezz 2 Amortization'!$B$19:$V$379,MATCH(DATE(L$7-1,MAX('Mezz 2 Amortization'!$R$4,'Mezz 2 Amortization'!$S$4),31),'Mezz 2 Amortization'!$E$19:$E$379,0),MATCH('Mezz 2 Amortization'!$V$19,'Mezz 2 Amortization'!$B$19:$V$19,0)),IF(AND('Mezz 2 Amortization'!$T$4="Bi-Annual",L$5&gt;MAX('Mezz 2 Amortization'!$R$4,'Mezz 2 Amortization'!$S$4)),INDEX('Mezz 2 Amortization'!$B$19:$V$379,MATCH(DATE(L$7,MAX('Mezz 2 Amortization'!$R$4,'Mezz 2 Amortization'!$S$4),31),'Mezz 2 Amortization'!$E$19:$E$379,0),MATCH('Mezz 2 Amortization'!$V$19,'Mezz 2 Amortization'!$B$19:$V$19,0)),IF(AND('Mezz 2 Amortization'!$T$4="Bi-Annual",L$5&gt;MIN('Mezz 2 Amortization'!$R$4,'Mezz 2 Amortization'!$S$4),L$5&lt;MAX('Mezz 2 Amortization'!$R$4,'Mezz 2 Amortization'!$S$4)),INDEX('Mezz 2 Amortization'!$B$19:$V$379,MATCH(DATE(L$7,MIN('Mezz 2 Amortization'!$R$4,'Mezz 2 Amortization'!$S$4),31),'Mezz 2 Amortization'!$E$19:$E$379,0),MATCH('Mezz 2 Amortization'!$V$19,'Mezz 2 Amortization'!$B$19:$V$19,0)),IF(AND('Mezz 2 Amortization'!$T$4="Bi-Annual",L$5='Mezz 2 Amortization'!$R$4),INDEX('Mezz 2 Amortization'!$B$19:$V$379,MATCH(DATE(L$7,'Mezz 2 Amortization'!$R$4,31),'Mezz 2 Amortization'!$E$19:$E$379,0),MATCH('Mezz 2 Amortization'!$V$19,'Mezz 2 Amortization'!$B$19:$V$19,0)),IF(AND('Mezz 2 Amortization'!$T$4="Bi-Annual",L$5='Mezz 2 Amortization'!$S$4),INDEX('Mezz 2 Amortization'!$B$19:$V$379,MATCH(DATE(L$7,'Mezz 2 Amortization'!$S$4,31),'Mezz 2 Amortization'!$E$19:$E$379,0),MATCH('Mezz 2 Amortization'!$V$19,'Mezz 2 Amortization'!$B$19:$V$19,0)))))))))))</f>
        <v>0</v>
      </c>
      <c r="M147" s="427">
        <f>IF('Financing Assumptions'!$T$8="No",0,IF(M$9&lt;'Financing Assumptions'!$S$26,0,IF(AND('Mezz 2 Amortization'!$T$4&lt;&gt;"Monthly",M9&lt;='Financing Assumptions'!$S$26),0,IF('Mezz 2 Amortization'!$T$4="Monthly",INDEX('Mezz 2 Amortization'!$B$19:$V$379,MATCH(M$11,'Mezz 2 Amortization'!$E$19:$E$379,0),MATCH('Mezz 2 Amortization'!$V$19,'Mezz 2 Amortization'!$B$19:$V$19,0)),IF(AND('Mezz 2 Amortization'!$T$4="Bi-Annual",M$5&lt;MIN('Mezz 2 Amortization'!$R$4,'Mezz 2 Amortization'!$S$4)),INDEX('Mezz 2 Amortization'!$B$19:$V$379,MATCH(DATE(M$7-1,MAX('Mezz 2 Amortization'!$R$4,'Mezz 2 Amortization'!$S$4),31),'Mezz 2 Amortization'!$E$19:$E$379,0),MATCH('Mezz 2 Amortization'!$V$19,'Mezz 2 Amortization'!$B$19:$V$19,0)),IF(AND('Mezz 2 Amortization'!$T$4="Bi-Annual",M$5&gt;MAX('Mezz 2 Amortization'!$R$4,'Mezz 2 Amortization'!$S$4)),INDEX('Mezz 2 Amortization'!$B$19:$V$379,MATCH(DATE(M$7,MAX('Mezz 2 Amortization'!$R$4,'Mezz 2 Amortization'!$S$4),31),'Mezz 2 Amortization'!$E$19:$E$379,0),MATCH('Mezz 2 Amortization'!$V$19,'Mezz 2 Amortization'!$B$19:$V$19,0)),IF(AND('Mezz 2 Amortization'!$T$4="Bi-Annual",M$5&gt;MIN('Mezz 2 Amortization'!$R$4,'Mezz 2 Amortization'!$S$4),M$5&lt;MAX('Mezz 2 Amortization'!$R$4,'Mezz 2 Amortization'!$S$4)),INDEX('Mezz 2 Amortization'!$B$19:$V$379,MATCH(DATE(M$7,MIN('Mezz 2 Amortization'!$R$4,'Mezz 2 Amortization'!$S$4),31),'Mezz 2 Amortization'!$E$19:$E$379,0),MATCH('Mezz 2 Amortization'!$V$19,'Mezz 2 Amortization'!$B$19:$V$19,0)),IF(AND('Mezz 2 Amortization'!$T$4="Bi-Annual",M$5='Mezz 2 Amortization'!$R$4),INDEX('Mezz 2 Amortization'!$B$19:$V$379,MATCH(DATE(M$7,'Mezz 2 Amortization'!$R$4,31),'Mezz 2 Amortization'!$E$19:$E$379,0),MATCH('Mezz 2 Amortization'!$V$19,'Mezz 2 Amortization'!$B$19:$V$19,0)),IF(AND('Mezz 2 Amortization'!$T$4="Bi-Annual",M$5='Mezz 2 Amortization'!$S$4),INDEX('Mezz 2 Amortization'!$B$19:$V$379,MATCH(DATE(M$7,'Mezz 2 Amortization'!$S$4,31),'Mezz 2 Amortization'!$E$19:$E$379,0),MATCH('Mezz 2 Amortization'!$V$19,'Mezz 2 Amortization'!$B$19:$V$19,0)))))))))))</f>
        <v>0</v>
      </c>
      <c r="N147" s="427">
        <f>IF('Financing Assumptions'!$T$8="No",0,IF(N$9&lt;'Financing Assumptions'!$S$26,0,IF(AND('Mezz 2 Amortization'!$T$4&lt;&gt;"Monthly",N9&lt;='Financing Assumptions'!$S$26),0,IF('Mezz 2 Amortization'!$T$4="Monthly",INDEX('Mezz 2 Amortization'!$B$19:$V$379,MATCH(N$11,'Mezz 2 Amortization'!$E$19:$E$379,0),MATCH('Mezz 2 Amortization'!$V$19,'Mezz 2 Amortization'!$B$19:$V$19,0)),IF(AND('Mezz 2 Amortization'!$T$4="Bi-Annual",N$5&lt;MIN('Mezz 2 Amortization'!$R$4,'Mezz 2 Amortization'!$S$4)),INDEX('Mezz 2 Amortization'!$B$19:$V$379,MATCH(DATE(N$7-1,MAX('Mezz 2 Amortization'!$R$4,'Mezz 2 Amortization'!$S$4),31),'Mezz 2 Amortization'!$E$19:$E$379,0),MATCH('Mezz 2 Amortization'!$V$19,'Mezz 2 Amortization'!$B$19:$V$19,0)),IF(AND('Mezz 2 Amortization'!$T$4="Bi-Annual",N$5&gt;MAX('Mezz 2 Amortization'!$R$4,'Mezz 2 Amortization'!$S$4)),INDEX('Mezz 2 Amortization'!$B$19:$V$379,MATCH(DATE(N$7,MAX('Mezz 2 Amortization'!$R$4,'Mezz 2 Amortization'!$S$4),31),'Mezz 2 Amortization'!$E$19:$E$379,0),MATCH('Mezz 2 Amortization'!$V$19,'Mezz 2 Amortization'!$B$19:$V$19,0)),IF(AND('Mezz 2 Amortization'!$T$4="Bi-Annual",N$5&gt;MIN('Mezz 2 Amortization'!$R$4,'Mezz 2 Amortization'!$S$4),N$5&lt;MAX('Mezz 2 Amortization'!$R$4,'Mezz 2 Amortization'!$S$4)),INDEX('Mezz 2 Amortization'!$B$19:$V$379,MATCH(DATE(N$7,MIN('Mezz 2 Amortization'!$R$4,'Mezz 2 Amortization'!$S$4),31),'Mezz 2 Amortization'!$E$19:$E$379,0),MATCH('Mezz 2 Amortization'!$V$19,'Mezz 2 Amortization'!$B$19:$V$19,0)),IF(AND('Mezz 2 Amortization'!$T$4="Bi-Annual",N$5='Mezz 2 Amortization'!$R$4),INDEX('Mezz 2 Amortization'!$B$19:$V$379,MATCH(DATE(N$7,'Mezz 2 Amortization'!$R$4,31),'Mezz 2 Amortization'!$E$19:$E$379,0),MATCH('Mezz 2 Amortization'!$V$19,'Mezz 2 Amortization'!$B$19:$V$19,0)),IF(AND('Mezz 2 Amortization'!$T$4="Bi-Annual",N$5='Mezz 2 Amortization'!$S$4),INDEX('Mezz 2 Amortization'!$B$19:$V$379,MATCH(DATE(N$7,'Mezz 2 Amortization'!$S$4,31),'Mezz 2 Amortization'!$E$19:$E$379,0),MATCH('Mezz 2 Amortization'!$V$19,'Mezz 2 Amortization'!$B$19:$V$19,0)))))))))))</f>
        <v>0</v>
      </c>
      <c r="O147" s="427">
        <f>IF('Financing Assumptions'!$T$8="No",0,IF(O$9&lt;'Financing Assumptions'!$S$26,0,IF(AND('Mezz 2 Amortization'!$T$4&lt;&gt;"Monthly",O9&lt;='Financing Assumptions'!$S$26),0,IF('Mezz 2 Amortization'!$T$4="Monthly",INDEX('Mezz 2 Amortization'!$B$19:$V$379,MATCH(O$11,'Mezz 2 Amortization'!$E$19:$E$379,0),MATCH('Mezz 2 Amortization'!$V$19,'Mezz 2 Amortization'!$B$19:$V$19,0)),IF(AND('Mezz 2 Amortization'!$T$4="Bi-Annual",O$5&lt;MIN('Mezz 2 Amortization'!$R$4,'Mezz 2 Amortization'!$S$4)),INDEX('Mezz 2 Amortization'!$B$19:$V$379,MATCH(DATE(O$7-1,MAX('Mezz 2 Amortization'!$R$4,'Mezz 2 Amortization'!$S$4),31),'Mezz 2 Amortization'!$E$19:$E$379,0),MATCH('Mezz 2 Amortization'!$V$19,'Mezz 2 Amortization'!$B$19:$V$19,0)),IF(AND('Mezz 2 Amortization'!$T$4="Bi-Annual",O$5&gt;MAX('Mezz 2 Amortization'!$R$4,'Mezz 2 Amortization'!$S$4)),INDEX('Mezz 2 Amortization'!$B$19:$V$379,MATCH(DATE(O$7,MAX('Mezz 2 Amortization'!$R$4,'Mezz 2 Amortization'!$S$4),31),'Mezz 2 Amortization'!$E$19:$E$379,0),MATCH('Mezz 2 Amortization'!$V$19,'Mezz 2 Amortization'!$B$19:$V$19,0)),IF(AND('Mezz 2 Amortization'!$T$4="Bi-Annual",O$5&gt;MIN('Mezz 2 Amortization'!$R$4,'Mezz 2 Amortization'!$S$4),O$5&lt;MAX('Mezz 2 Amortization'!$R$4,'Mezz 2 Amortization'!$S$4)),INDEX('Mezz 2 Amortization'!$B$19:$V$379,MATCH(DATE(O$7,MIN('Mezz 2 Amortization'!$R$4,'Mezz 2 Amortization'!$S$4),31),'Mezz 2 Amortization'!$E$19:$E$379,0),MATCH('Mezz 2 Amortization'!$V$19,'Mezz 2 Amortization'!$B$19:$V$19,0)),IF(AND('Mezz 2 Amortization'!$T$4="Bi-Annual",O$5='Mezz 2 Amortization'!$R$4),INDEX('Mezz 2 Amortization'!$B$19:$V$379,MATCH(DATE(O$7,'Mezz 2 Amortization'!$R$4,31),'Mezz 2 Amortization'!$E$19:$E$379,0),MATCH('Mezz 2 Amortization'!$V$19,'Mezz 2 Amortization'!$B$19:$V$19,0)),IF(AND('Mezz 2 Amortization'!$T$4="Bi-Annual",O$5='Mezz 2 Amortization'!$S$4),INDEX('Mezz 2 Amortization'!$B$19:$V$379,MATCH(DATE(O$7,'Mezz 2 Amortization'!$S$4,31),'Mezz 2 Amortization'!$E$19:$E$379,0),MATCH('Mezz 2 Amortization'!$V$19,'Mezz 2 Amortization'!$B$19:$V$19,0)))))))))))</f>
        <v>0</v>
      </c>
      <c r="P147" s="427">
        <f>IF('Financing Assumptions'!$T$8="No",0,IF(P$9&lt;'Financing Assumptions'!$S$26,0,IF(AND('Mezz 2 Amortization'!$T$4&lt;&gt;"Monthly",P9&lt;='Financing Assumptions'!$S$26),0,IF('Mezz 2 Amortization'!$T$4="Monthly",INDEX('Mezz 2 Amortization'!$B$19:$V$379,MATCH(P$11,'Mezz 2 Amortization'!$E$19:$E$379,0),MATCH('Mezz 2 Amortization'!$V$19,'Mezz 2 Amortization'!$B$19:$V$19,0)),IF(AND('Mezz 2 Amortization'!$T$4="Bi-Annual",P$5&lt;MIN('Mezz 2 Amortization'!$R$4,'Mezz 2 Amortization'!$S$4)),INDEX('Mezz 2 Amortization'!$B$19:$V$379,MATCH(DATE(P$7-1,MAX('Mezz 2 Amortization'!$R$4,'Mezz 2 Amortization'!$S$4),31),'Mezz 2 Amortization'!$E$19:$E$379,0),MATCH('Mezz 2 Amortization'!$V$19,'Mezz 2 Amortization'!$B$19:$V$19,0)),IF(AND('Mezz 2 Amortization'!$T$4="Bi-Annual",P$5&gt;MAX('Mezz 2 Amortization'!$R$4,'Mezz 2 Amortization'!$S$4)),INDEX('Mezz 2 Amortization'!$B$19:$V$379,MATCH(DATE(P$7,MAX('Mezz 2 Amortization'!$R$4,'Mezz 2 Amortization'!$S$4),31),'Mezz 2 Amortization'!$E$19:$E$379,0),MATCH('Mezz 2 Amortization'!$V$19,'Mezz 2 Amortization'!$B$19:$V$19,0)),IF(AND('Mezz 2 Amortization'!$T$4="Bi-Annual",P$5&gt;MIN('Mezz 2 Amortization'!$R$4,'Mezz 2 Amortization'!$S$4),P$5&lt;MAX('Mezz 2 Amortization'!$R$4,'Mezz 2 Amortization'!$S$4)),INDEX('Mezz 2 Amortization'!$B$19:$V$379,MATCH(DATE(P$7,MIN('Mezz 2 Amortization'!$R$4,'Mezz 2 Amortization'!$S$4),31),'Mezz 2 Amortization'!$E$19:$E$379,0),MATCH('Mezz 2 Amortization'!$V$19,'Mezz 2 Amortization'!$B$19:$V$19,0)),IF(AND('Mezz 2 Amortization'!$T$4="Bi-Annual",P$5='Mezz 2 Amortization'!$R$4),INDEX('Mezz 2 Amortization'!$B$19:$V$379,MATCH(DATE(P$7,'Mezz 2 Amortization'!$R$4,31),'Mezz 2 Amortization'!$E$19:$E$379,0),MATCH('Mezz 2 Amortization'!$V$19,'Mezz 2 Amortization'!$B$19:$V$19,0)),IF(AND('Mezz 2 Amortization'!$T$4="Bi-Annual",P$5='Mezz 2 Amortization'!$S$4),INDEX('Mezz 2 Amortization'!$B$19:$V$379,MATCH(DATE(P$7,'Mezz 2 Amortization'!$S$4,31),'Mezz 2 Amortization'!$E$19:$E$379,0),MATCH('Mezz 2 Amortization'!$V$19,'Mezz 2 Amortization'!$B$19:$V$19,0)))))))))))</f>
        <v>0</v>
      </c>
      <c r="Q147" s="427">
        <f>IF('Financing Assumptions'!$T$8="No",0,IF(Q$9&lt;'Financing Assumptions'!$S$26,0,IF(AND('Mezz 2 Amortization'!$T$4&lt;&gt;"Monthly",Q9&lt;='Financing Assumptions'!$S$26),0,IF('Mezz 2 Amortization'!$T$4="Monthly",INDEX('Mezz 2 Amortization'!$B$19:$V$379,MATCH(Q$11,'Mezz 2 Amortization'!$E$19:$E$379,0),MATCH('Mezz 2 Amortization'!$V$19,'Mezz 2 Amortization'!$B$19:$V$19,0)),IF(AND('Mezz 2 Amortization'!$T$4="Bi-Annual",Q$5&lt;MIN('Mezz 2 Amortization'!$R$4,'Mezz 2 Amortization'!$S$4)),INDEX('Mezz 2 Amortization'!$B$19:$V$379,MATCH(DATE(Q$7-1,MAX('Mezz 2 Amortization'!$R$4,'Mezz 2 Amortization'!$S$4),31),'Mezz 2 Amortization'!$E$19:$E$379,0),MATCH('Mezz 2 Amortization'!$V$19,'Mezz 2 Amortization'!$B$19:$V$19,0)),IF(AND('Mezz 2 Amortization'!$T$4="Bi-Annual",Q$5&gt;MAX('Mezz 2 Amortization'!$R$4,'Mezz 2 Amortization'!$S$4)),INDEX('Mezz 2 Amortization'!$B$19:$V$379,MATCH(DATE(Q$7,MAX('Mezz 2 Amortization'!$R$4,'Mezz 2 Amortization'!$S$4),31),'Mezz 2 Amortization'!$E$19:$E$379,0),MATCH('Mezz 2 Amortization'!$V$19,'Mezz 2 Amortization'!$B$19:$V$19,0)),IF(AND('Mezz 2 Amortization'!$T$4="Bi-Annual",Q$5&gt;MIN('Mezz 2 Amortization'!$R$4,'Mezz 2 Amortization'!$S$4),Q$5&lt;MAX('Mezz 2 Amortization'!$R$4,'Mezz 2 Amortization'!$S$4)),INDEX('Mezz 2 Amortization'!$B$19:$V$379,MATCH(DATE(Q$7,MIN('Mezz 2 Amortization'!$R$4,'Mezz 2 Amortization'!$S$4),31),'Mezz 2 Amortization'!$E$19:$E$379,0),MATCH('Mezz 2 Amortization'!$V$19,'Mezz 2 Amortization'!$B$19:$V$19,0)),IF(AND('Mezz 2 Amortization'!$T$4="Bi-Annual",Q$5='Mezz 2 Amortization'!$R$4),INDEX('Mezz 2 Amortization'!$B$19:$V$379,MATCH(DATE(Q$7,'Mezz 2 Amortization'!$R$4,31),'Mezz 2 Amortization'!$E$19:$E$379,0),MATCH('Mezz 2 Amortization'!$V$19,'Mezz 2 Amortization'!$B$19:$V$19,0)),IF(AND('Mezz 2 Amortization'!$T$4="Bi-Annual",Q$5='Mezz 2 Amortization'!$S$4),INDEX('Mezz 2 Amortization'!$B$19:$V$379,MATCH(DATE(Q$7,'Mezz 2 Amortization'!$S$4,31),'Mezz 2 Amortization'!$E$19:$E$379,0),MATCH('Mezz 2 Amortization'!$V$19,'Mezz 2 Amortization'!$B$19:$V$19,0)))))))))))</f>
        <v>0</v>
      </c>
      <c r="R147" s="427">
        <f>IF('Financing Assumptions'!$T$8="No",0,IF(R$9&lt;'Financing Assumptions'!$S$26,0,IF(AND('Mezz 2 Amortization'!$T$4&lt;&gt;"Monthly",R9&lt;='Financing Assumptions'!$S$26),0,IF('Mezz 2 Amortization'!$T$4="Monthly",INDEX('Mezz 2 Amortization'!$B$19:$V$379,MATCH(R$11,'Mezz 2 Amortization'!$E$19:$E$379,0),MATCH('Mezz 2 Amortization'!$V$19,'Mezz 2 Amortization'!$B$19:$V$19,0)),IF(AND('Mezz 2 Amortization'!$T$4="Bi-Annual",R$5&lt;MIN('Mezz 2 Amortization'!$R$4,'Mezz 2 Amortization'!$S$4)),INDEX('Mezz 2 Amortization'!$B$19:$V$379,MATCH(DATE(R$7-1,MAX('Mezz 2 Amortization'!$R$4,'Mezz 2 Amortization'!$S$4),31),'Mezz 2 Amortization'!$E$19:$E$379,0),MATCH('Mezz 2 Amortization'!$V$19,'Mezz 2 Amortization'!$B$19:$V$19,0)),IF(AND('Mezz 2 Amortization'!$T$4="Bi-Annual",R$5&gt;MAX('Mezz 2 Amortization'!$R$4,'Mezz 2 Amortization'!$S$4)),INDEX('Mezz 2 Amortization'!$B$19:$V$379,MATCH(DATE(R$7,MAX('Mezz 2 Amortization'!$R$4,'Mezz 2 Amortization'!$S$4),31),'Mezz 2 Amortization'!$E$19:$E$379,0),MATCH('Mezz 2 Amortization'!$V$19,'Mezz 2 Amortization'!$B$19:$V$19,0)),IF(AND('Mezz 2 Amortization'!$T$4="Bi-Annual",R$5&gt;MIN('Mezz 2 Amortization'!$R$4,'Mezz 2 Amortization'!$S$4),R$5&lt;MAX('Mezz 2 Amortization'!$R$4,'Mezz 2 Amortization'!$S$4)),INDEX('Mezz 2 Amortization'!$B$19:$V$379,MATCH(DATE(R$7,MIN('Mezz 2 Amortization'!$R$4,'Mezz 2 Amortization'!$S$4),31),'Mezz 2 Amortization'!$E$19:$E$379,0),MATCH('Mezz 2 Amortization'!$V$19,'Mezz 2 Amortization'!$B$19:$V$19,0)),IF(AND('Mezz 2 Amortization'!$T$4="Bi-Annual",R$5='Mezz 2 Amortization'!$R$4),INDEX('Mezz 2 Amortization'!$B$19:$V$379,MATCH(DATE(R$7,'Mezz 2 Amortization'!$R$4,31),'Mezz 2 Amortization'!$E$19:$E$379,0),MATCH('Mezz 2 Amortization'!$V$19,'Mezz 2 Amortization'!$B$19:$V$19,0)),IF(AND('Mezz 2 Amortization'!$T$4="Bi-Annual",R$5='Mezz 2 Amortization'!$S$4),INDEX('Mezz 2 Amortization'!$B$19:$V$379,MATCH(DATE(R$7,'Mezz 2 Amortization'!$S$4,31),'Mezz 2 Amortization'!$E$19:$E$379,0),MATCH('Mezz 2 Amortization'!$V$19,'Mezz 2 Amortization'!$B$19:$V$19,0)))))))))))</f>
        <v>0</v>
      </c>
      <c r="S147" s="427">
        <f>IF('Financing Assumptions'!$T$8="No",0,IF(S$9&lt;'Financing Assumptions'!$S$26,0,IF(AND('Mezz 2 Amortization'!$T$4&lt;&gt;"Monthly",S9&lt;='Financing Assumptions'!$S$26),0,IF('Mezz 2 Amortization'!$T$4="Monthly",INDEX('Mezz 2 Amortization'!$B$19:$V$379,MATCH(S$11,'Mezz 2 Amortization'!$E$19:$E$379,0),MATCH('Mezz 2 Amortization'!$V$19,'Mezz 2 Amortization'!$B$19:$V$19,0)),IF(AND('Mezz 2 Amortization'!$T$4="Bi-Annual",S$5&lt;MIN('Mezz 2 Amortization'!$R$4,'Mezz 2 Amortization'!$S$4)),INDEX('Mezz 2 Amortization'!$B$19:$V$379,MATCH(DATE(S$7-1,MAX('Mezz 2 Amortization'!$R$4,'Mezz 2 Amortization'!$S$4),31),'Mezz 2 Amortization'!$E$19:$E$379,0),MATCH('Mezz 2 Amortization'!$V$19,'Mezz 2 Amortization'!$B$19:$V$19,0)),IF(AND('Mezz 2 Amortization'!$T$4="Bi-Annual",S$5&gt;MAX('Mezz 2 Amortization'!$R$4,'Mezz 2 Amortization'!$S$4)),INDEX('Mezz 2 Amortization'!$B$19:$V$379,MATCH(DATE(S$7,MAX('Mezz 2 Amortization'!$R$4,'Mezz 2 Amortization'!$S$4),31),'Mezz 2 Amortization'!$E$19:$E$379,0),MATCH('Mezz 2 Amortization'!$V$19,'Mezz 2 Amortization'!$B$19:$V$19,0)),IF(AND('Mezz 2 Amortization'!$T$4="Bi-Annual",S$5&gt;MIN('Mezz 2 Amortization'!$R$4,'Mezz 2 Amortization'!$S$4),S$5&lt;MAX('Mezz 2 Amortization'!$R$4,'Mezz 2 Amortization'!$S$4)),INDEX('Mezz 2 Amortization'!$B$19:$V$379,MATCH(DATE(S$7,MIN('Mezz 2 Amortization'!$R$4,'Mezz 2 Amortization'!$S$4),31),'Mezz 2 Amortization'!$E$19:$E$379,0),MATCH('Mezz 2 Amortization'!$V$19,'Mezz 2 Amortization'!$B$19:$V$19,0)),IF(AND('Mezz 2 Amortization'!$T$4="Bi-Annual",S$5='Mezz 2 Amortization'!$R$4),INDEX('Mezz 2 Amortization'!$B$19:$V$379,MATCH(DATE(S$7,'Mezz 2 Amortization'!$R$4,31),'Mezz 2 Amortization'!$E$19:$E$379,0),MATCH('Mezz 2 Amortization'!$V$19,'Mezz 2 Amortization'!$B$19:$V$19,0)),IF(AND('Mezz 2 Amortization'!$T$4="Bi-Annual",S$5='Mezz 2 Amortization'!$S$4),INDEX('Mezz 2 Amortization'!$B$19:$V$379,MATCH(DATE(S$7,'Mezz 2 Amortization'!$S$4,31),'Mezz 2 Amortization'!$E$19:$E$379,0),MATCH('Mezz 2 Amortization'!$V$19,'Mezz 2 Amortization'!$B$19:$V$19,0)))))))))))</f>
        <v>0</v>
      </c>
      <c r="T147" s="427">
        <f>IF('Financing Assumptions'!$T$8="No",0,IF(T$9&lt;'Financing Assumptions'!$S$26,0,IF(AND('Mezz 2 Amortization'!$T$4&lt;&gt;"Monthly",T9&lt;='Financing Assumptions'!$S$26),0,IF('Mezz 2 Amortization'!$T$4="Monthly",INDEX('Mezz 2 Amortization'!$B$19:$V$379,MATCH(T$11,'Mezz 2 Amortization'!$E$19:$E$379,0),MATCH('Mezz 2 Amortization'!$V$19,'Mezz 2 Amortization'!$B$19:$V$19,0)),IF(AND('Mezz 2 Amortization'!$T$4="Bi-Annual",T$5&lt;MIN('Mezz 2 Amortization'!$R$4,'Mezz 2 Amortization'!$S$4)),INDEX('Mezz 2 Amortization'!$B$19:$V$379,MATCH(DATE(T$7-1,MAX('Mezz 2 Amortization'!$R$4,'Mezz 2 Amortization'!$S$4),31),'Mezz 2 Amortization'!$E$19:$E$379,0),MATCH('Mezz 2 Amortization'!$V$19,'Mezz 2 Amortization'!$B$19:$V$19,0)),IF(AND('Mezz 2 Amortization'!$T$4="Bi-Annual",T$5&gt;MAX('Mezz 2 Amortization'!$R$4,'Mezz 2 Amortization'!$S$4)),INDEX('Mezz 2 Amortization'!$B$19:$V$379,MATCH(DATE(T$7,MAX('Mezz 2 Amortization'!$R$4,'Mezz 2 Amortization'!$S$4),31),'Mezz 2 Amortization'!$E$19:$E$379,0),MATCH('Mezz 2 Amortization'!$V$19,'Mezz 2 Amortization'!$B$19:$V$19,0)),IF(AND('Mezz 2 Amortization'!$T$4="Bi-Annual",T$5&gt;MIN('Mezz 2 Amortization'!$R$4,'Mezz 2 Amortization'!$S$4),T$5&lt;MAX('Mezz 2 Amortization'!$R$4,'Mezz 2 Amortization'!$S$4)),INDEX('Mezz 2 Amortization'!$B$19:$V$379,MATCH(DATE(T$7,MIN('Mezz 2 Amortization'!$R$4,'Mezz 2 Amortization'!$S$4),31),'Mezz 2 Amortization'!$E$19:$E$379,0),MATCH('Mezz 2 Amortization'!$V$19,'Mezz 2 Amortization'!$B$19:$V$19,0)),IF(AND('Mezz 2 Amortization'!$T$4="Bi-Annual",T$5='Mezz 2 Amortization'!$R$4),INDEX('Mezz 2 Amortization'!$B$19:$V$379,MATCH(DATE(T$7,'Mezz 2 Amortization'!$R$4,31),'Mezz 2 Amortization'!$E$19:$E$379,0),MATCH('Mezz 2 Amortization'!$V$19,'Mezz 2 Amortization'!$B$19:$V$19,0)),IF(AND('Mezz 2 Amortization'!$T$4="Bi-Annual",T$5='Mezz 2 Amortization'!$S$4),INDEX('Mezz 2 Amortization'!$B$19:$V$379,MATCH(DATE(T$7,'Mezz 2 Amortization'!$S$4,31),'Mezz 2 Amortization'!$E$19:$E$379,0),MATCH('Mezz 2 Amortization'!$V$19,'Mezz 2 Amortization'!$B$19:$V$19,0)))))))))))</f>
        <v>0</v>
      </c>
      <c r="U147" s="427">
        <f>IF('Financing Assumptions'!$T$8="No",0,IF(U$9&lt;'Financing Assumptions'!$S$26,0,IF(AND('Mezz 2 Amortization'!$T$4&lt;&gt;"Monthly",U9&lt;='Financing Assumptions'!$S$26),0,IF('Mezz 2 Amortization'!$T$4="Monthly",INDEX('Mezz 2 Amortization'!$B$19:$V$379,MATCH(U$11,'Mezz 2 Amortization'!$E$19:$E$379,0),MATCH('Mezz 2 Amortization'!$V$19,'Mezz 2 Amortization'!$B$19:$V$19,0)),IF(AND('Mezz 2 Amortization'!$T$4="Bi-Annual",U$5&lt;MIN('Mezz 2 Amortization'!$R$4,'Mezz 2 Amortization'!$S$4)),INDEX('Mezz 2 Amortization'!$B$19:$V$379,MATCH(DATE(U$7-1,MAX('Mezz 2 Amortization'!$R$4,'Mezz 2 Amortization'!$S$4),31),'Mezz 2 Amortization'!$E$19:$E$379,0),MATCH('Mezz 2 Amortization'!$V$19,'Mezz 2 Amortization'!$B$19:$V$19,0)),IF(AND('Mezz 2 Amortization'!$T$4="Bi-Annual",U$5&gt;MAX('Mezz 2 Amortization'!$R$4,'Mezz 2 Amortization'!$S$4)),INDEX('Mezz 2 Amortization'!$B$19:$V$379,MATCH(DATE(U$7,MAX('Mezz 2 Amortization'!$R$4,'Mezz 2 Amortization'!$S$4),31),'Mezz 2 Amortization'!$E$19:$E$379,0),MATCH('Mezz 2 Amortization'!$V$19,'Mezz 2 Amortization'!$B$19:$V$19,0)),IF(AND('Mezz 2 Amortization'!$T$4="Bi-Annual",U$5&gt;MIN('Mezz 2 Amortization'!$R$4,'Mezz 2 Amortization'!$S$4),U$5&lt;MAX('Mezz 2 Amortization'!$R$4,'Mezz 2 Amortization'!$S$4)),INDEX('Mezz 2 Amortization'!$B$19:$V$379,MATCH(DATE(U$7,MIN('Mezz 2 Amortization'!$R$4,'Mezz 2 Amortization'!$S$4),31),'Mezz 2 Amortization'!$E$19:$E$379,0),MATCH('Mezz 2 Amortization'!$V$19,'Mezz 2 Amortization'!$B$19:$V$19,0)),IF(AND('Mezz 2 Amortization'!$T$4="Bi-Annual",U$5='Mezz 2 Amortization'!$R$4),INDEX('Mezz 2 Amortization'!$B$19:$V$379,MATCH(DATE(U$7,'Mezz 2 Amortization'!$R$4,31),'Mezz 2 Amortization'!$E$19:$E$379,0),MATCH('Mezz 2 Amortization'!$V$19,'Mezz 2 Amortization'!$B$19:$V$19,0)),IF(AND('Mezz 2 Amortization'!$T$4="Bi-Annual",U$5='Mezz 2 Amortization'!$S$4),INDEX('Mezz 2 Amortization'!$B$19:$V$379,MATCH(DATE(U$7,'Mezz 2 Amortization'!$S$4,31),'Mezz 2 Amortization'!$E$19:$E$379,0),MATCH('Mezz 2 Amortization'!$V$19,'Mezz 2 Amortization'!$B$19:$V$19,0)))))))))))</f>
        <v>0</v>
      </c>
      <c r="V147" s="427">
        <f>IF('Financing Assumptions'!$T$8="No",0,IF(V$9&lt;'Financing Assumptions'!$S$26,0,IF(AND('Mezz 2 Amortization'!$T$4&lt;&gt;"Monthly",V9&lt;='Financing Assumptions'!$S$26),0,IF('Mezz 2 Amortization'!$T$4="Monthly",INDEX('Mezz 2 Amortization'!$B$19:$V$379,MATCH(V$11,'Mezz 2 Amortization'!$E$19:$E$379,0),MATCH('Mezz 2 Amortization'!$V$19,'Mezz 2 Amortization'!$B$19:$V$19,0)),IF(AND('Mezz 2 Amortization'!$T$4="Bi-Annual",V$5&lt;MIN('Mezz 2 Amortization'!$R$4,'Mezz 2 Amortization'!$S$4)),INDEX('Mezz 2 Amortization'!$B$19:$V$379,MATCH(DATE(V$7-1,MAX('Mezz 2 Amortization'!$R$4,'Mezz 2 Amortization'!$S$4),31),'Mezz 2 Amortization'!$E$19:$E$379,0),MATCH('Mezz 2 Amortization'!$V$19,'Mezz 2 Amortization'!$B$19:$V$19,0)),IF(AND('Mezz 2 Amortization'!$T$4="Bi-Annual",V$5&gt;MAX('Mezz 2 Amortization'!$R$4,'Mezz 2 Amortization'!$S$4)),INDEX('Mezz 2 Amortization'!$B$19:$V$379,MATCH(DATE(V$7,MAX('Mezz 2 Amortization'!$R$4,'Mezz 2 Amortization'!$S$4),31),'Mezz 2 Amortization'!$E$19:$E$379,0),MATCH('Mezz 2 Amortization'!$V$19,'Mezz 2 Amortization'!$B$19:$V$19,0)),IF(AND('Mezz 2 Amortization'!$T$4="Bi-Annual",V$5&gt;MIN('Mezz 2 Amortization'!$R$4,'Mezz 2 Amortization'!$S$4),V$5&lt;MAX('Mezz 2 Amortization'!$R$4,'Mezz 2 Amortization'!$S$4)),INDEX('Mezz 2 Amortization'!$B$19:$V$379,MATCH(DATE(V$7,MIN('Mezz 2 Amortization'!$R$4,'Mezz 2 Amortization'!$S$4),31),'Mezz 2 Amortization'!$E$19:$E$379,0),MATCH('Mezz 2 Amortization'!$V$19,'Mezz 2 Amortization'!$B$19:$V$19,0)),IF(AND('Mezz 2 Amortization'!$T$4="Bi-Annual",V$5='Mezz 2 Amortization'!$R$4),INDEX('Mezz 2 Amortization'!$B$19:$V$379,MATCH(DATE(V$7,'Mezz 2 Amortization'!$R$4,31),'Mezz 2 Amortization'!$E$19:$E$379,0),MATCH('Mezz 2 Amortization'!$V$19,'Mezz 2 Amortization'!$B$19:$V$19,0)),IF(AND('Mezz 2 Amortization'!$T$4="Bi-Annual",V$5='Mezz 2 Amortization'!$S$4),INDEX('Mezz 2 Amortization'!$B$19:$V$379,MATCH(DATE(V$7,'Mezz 2 Amortization'!$S$4,31),'Mezz 2 Amortization'!$E$19:$E$379,0),MATCH('Mezz 2 Amortization'!$V$19,'Mezz 2 Amortization'!$B$19:$V$19,0)))))))))))</f>
        <v>0</v>
      </c>
      <c r="W147" s="427">
        <f>IF('Financing Assumptions'!$T$8="No",0,IF(W$9&lt;'Financing Assumptions'!$S$26,0,IF(AND('Mezz 2 Amortization'!$T$4&lt;&gt;"Monthly",W9&lt;='Financing Assumptions'!$S$26),0,IF('Mezz 2 Amortization'!$T$4="Monthly",INDEX('Mezz 2 Amortization'!$B$19:$V$379,MATCH(W$11,'Mezz 2 Amortization'!$E$19:$E$379,0),MATCH('Mezz 2 Amortization'!$V$19,'Mezz 2 Amortization'!$B$19:$V$19,0)),IF(AND('Mezz 2 Amortization'!$T$4="Bi-Annual",W$5&lt;MIN('Mezz 2 Amortization'!$R$4,'Mezz 2 Amortization'!$S$4)),INDEX('Mezz 2 Amortization'!$B$19:$V$379,MATCH(DATE(W$7-1,MAX('Mezz 2 Amortization'!$R$4,'Mezz 2 Amortization'!$S$4),31),'Mezz 2 Amortization'!$E$19:$E$379,0),MATCH('Mezz 2 Amortization'!$V$19,'Mezz 2 Amortization'!$B$19:$V$19,0)),IF(AND('Mezz 2 Amortization'!$T$4="Bi-Annual",W$5&gt;MAX('Mezz 2 Amortization'!$R$4,'Mezz 2 Amortization'!$S$4)),INDEX('Mezz 2 Amortization'!$B$19:$V$379,MATCH(DATE(W$7,MAX('Mezz 2 Amortization'!$R$4,'Mezz 2 Amortization'!$S$4),31),'Mezz 2 Amortization'!$E$19:$E$379,0),MATCH('Mezz 2 Amortization'!$V$19,'Mezz 2 Amortization'!$B$19:$V$19,0)),IF(AND('Mezz 2 Amortization'!$T$4="Bi-Annual",W$5&gt;MIN('Mezz 2 Amortization'!$R$4,'Mezz 2 Amortization'!$S$4),W$5&lt;MAX('Mezz 2 Amortization'!$R$4,'Mezz 2 Amortization'!$S$4)),INDEX('Mezz 2 Amortization'!$B$19:$V$379,MATCH(DATE(W$7,MIN('Mezz 2 Amortization'!$R$4,'Mezz 2 Amortization'!$S$4),31),'Mezz 2 Amortization'!$E$19:$E$379,0),MATCH('Mezz 2 Amortization'!$V$19,'Mezz 2 Amortization'!$B$19:$V$19,0)),IF(AND('Mezz 2 Amortization'!$T$4="Bi-Annual",W$5='Mezz 2 Amortization'!$R$4),INDEX('Mezz 2 Amortization'!$B$19:$V$379,MATCH(DATE(W$7,'Mezz 2 Amortization'!$R$4,31),'Mezz 2 Amortization'!$E$19:$E$379,0),MATCH('Mezz 2 Amortization'!$V$19,'Mezz 2 Amortization'!$B$19:$V$19,0)),IF(AND('Mezz 2 Amortization'!$T$4="Bi-Annual",W$5='Mezz 2 Amortization'!$S$4),INDEX('Mezz 2 Amortization'!$B$19:$V$379,MATCH(DATE(W$7,'Mezz 2 Amortization'!$S$4,31),'Mezz 2 Amortization'!$E$19:$E$379,0),MATCH('Mezz 2 Amortization'!$V$19,'Mezz 2 Amortization'!$B$19:$V$19,0)))))))))))</f>
        <v>0</v>
      </c>
      <c r="X147" s="427">
        <f>IF('Financing Assumptions'!$T$8="No",0,IF(X$9&lt;'Financing Assumptions'!$S$26,0,IF(AND('Mezz 2 Amortization'!$T$4&lt;&gt;"Monthly",X9&lt;='Financing Assumptions'!$S$26),0,IF('Mezz 2 Amortization'!$T$4="Monthly",INDEX('Mezz 2 Amortization'!$B$19:$V$379,MATCH(X$11,'Mezz 2 Amortization'!$E$19:$E$379,0),MATCH('Mezz 2 Amortization'!$V$19,'Mezz 2 Amortization'!$B$19:$V$19,0)),IF(AND('Mezz 2 Amortization'!$T$4="Bi-Annual",X$5&lt;MIN('Mezz 2 Amortization'!$R$4,'Mezz 2 Amortization'!$S$4)),INDEX('Mezz 2 Amortization'!$B$19:$V$379,MATCH(DATE(X$7-1,MAX('Mezz 2 Amortization'!$R$4,'Mezz 2 Amortization'!$S$4),31),'Mezz 2 Amortization'!$E$19:$E$379,0),MATCH('Mezz 2 Amortization'!$V$19,'Mezz 2 Amortization'!$B$19:$V$19,0)),IF(AND('Mezz 2 Amortization'!$T$4="Bi-Annual",X$5&gt;MAX('Mezz 2 Amortization'!$R$4,'Mezz 2 Amortization'!$S$4)),INDEX('Mezz 2 Amortization'!$B$19:$V$379,MATCH(DATE(X$7,MAX('Mezz 2 Amortization'!$R$4,'Mezz 2 Amortization'!$S$4),31),'Mezz 2 Amortization'!$E$19:$E$379,0),MATCH('Mezz 2 Amortization'!$V$19,'Mezz 2 Amortization'!$B$19:$V$19,0)),IF(AND('Mezz 2 Amortization'!$T$4="Bi-Annual",X$5&gt;MIN('Mezz 2 Amortization'!$R$4,'Mezz 2 Amortization'!$S$4),X$5&lt;MAX('Mezz 2 Amortization'!$R$4,'Mezz 2 Amortization'!$S$4)),INDEX('Mezz 2 Amortization'!$B$19:$V$379,MATCH(DATE(X$7,MIN('Mezz 2 Amortization'!$R$4,'Mezz 2 Amortization'!$S$4),31),'Mezz 2 Amortization'!$E$19:$E$379,0),MATCH('Mezz 2 Amortization'!$V$19,'Mezz 2 Amortization'!$B$19:$V$19,0)),IF(AND('Mezz 2 Amortization'!$T$4="Bi-Annual",X$5='Mezz 2 Amortization'!$R$4),INDEX('Mezz 2 Amortization'!$B$19:$V$379,MATCH(DATE(X$7,'Mezz 2 Amortization'!$R$4,31),'Mezz 2 Amortization'!$E$19:$E$379,0),MATCH('Mezz 2 Amortization'!$V$19,'Mezz 2 Amortization'!$B$19:$V$19,0)),IF(AND('Mezz 2 Amortization'!$T$4="Bi-Annual",X$5='Mezz 2 Amortization'!$S$4),INDEX('Mezz 2 Amortization'!$B$19:$V$379,MATCH(DATE(X$7,'Mezz 2 Amortization'!$S$4,31),'Mezz 2 Amortization'!$E$19:$E$379,0),MATCH('Mezz 2 Amortization'!$V$19,'Mezz 2 Amortization'!$B$19:$V$19,0)))))))))))</f>
        <v>0</v>
      </c>
      <c r="Y147" s="427">
        <f>IF('Financing Assumptions'!$T$8="No",0,IF(Y$9&lt;'Financing Assumptions'!$S$26,0,IF(AND('Mezz 2 Amortization'!$T$4&lt;&gt;"Monthly",Y9&lt;='Financing Assumptions'!$S$26),0,IF('Mezz 2 Amortization'!$T$4="Monthly",INDEX('Mezz 2 Amortization'!$B$19:$V$379,MATCH(Y$11,'Mezz 2 Amortization'!$E$19:$E$379,0),MATCH('Mezz 2 Amortization'!$V$19,'Mezz 2 Amortization'!$B$19:$V$19,0)),IF(AND('Mezz 2 Amortization'!$T$4="Bi-Annual",Y$5&lt;MIN('Mezz 2 Amortization'!$R$4,'Mezz 2 Amortization'!$S$4)),INDEX('Mezz 2 Amortization'!$B$19:$V$379,MATCH(DATE(Y$7-1,MAX('Mezz 2 Amortization'!$R$4,'Mezz 2 Amortization'!$S$4),31),'Mezz 2 Amortization'!$E$19:$E$379,0),MATCH('Mezz 2 Amortization'!$V$19,'Mezz 2 Amortization'!$B$19:$V$19,0)),IF(AND('Mezz 2 Amortization'!$T$4="Bi-Annual",Y$5&gt;MAX('Mezz 2 Amortization'!$R$4,'Mezz 2 Amortization'!$S$4)),INDEX('Mezz 2 Amortization'!$B$19:$V$379,MATCH(DATE(Y$7,MAX('Mezz 2 Amortization'!$R$4,'Mezz 2 Amortization'!$S$4),31),'Mezz 2 Amortization'!$E$19:$E$379,0),MATCH('Mezz 2 Amortization'!$V$19,'Mezz 2 Amortization'!$B$19:$V$19,0)),IF(AND('Mezz 2 Amortization'!$T$4="Bi-Annual",Y$5&gt;MIN('Mezz 2 Amortization'!$R$4,'Mezz 2 Amortization'!$S$4),Y$5&lt;MAX('Mezz 2 Amortization'!$R$4,'Mezz 2 Amortization'!$S$4)),INDEX('Mezz 2 Amortization'!$B$19:$V$379,MATCH(DATE(Y$7,MIN('Mezz 2 Amortization'!$R$4,'Mezz 2 Amortization'!$S$4),31),'Mezz 2 Amortization'!$E$19:$E$379,0),MATCH('Mezz 2 Amortization'!$V$19,'Mezz 2 Amortization'!$B$19:$V$19,0)),IF(AND('Mezz 2 Amortization'!$T$4="Bi-Annual",Y$5='Mezz 2 Amortization'!$R$4),INDEX('Mezz 2 Amortization'!$B$19:$V$379,MATCH(DATE(Y$7,'Mezz 2 Amortization'!$R$4,31),'Mezz 2 Amortization'!$E$19:$E$379,0),MATCH('Mezz 2 Amortization'!$V$19,'Mezz 2 Amortization'!$B$19:$V$19,0)),IF(AND('Mezz 2 Amortization'!$T$4="Bi-Annual",Y$5='Mezz 2 Amortization'!$S$4),INDEX('Mezz 2 Amortization'!$B$19:$V$379,MATCH(DATE(Y$7,'Mezz 2 Amortization'!$S$4,31),'Mezz 2 Amortization'!$E$19:$E$379,0),MATCH('Mezz 2 Amortization'!$V$19,'Mezz 2 Amortization'!$B$19:$V$19,0)))))))))))</f>
        <v>0</v>
      </c>
      <c r="Z147" s="427">
        <f>IF('Financing Assumptions'!$T$8="No",0,IF(Z$9&lt;'Financing Assumptions'!$S$26,0,IF(AND('Mezz 2 Amortization'!$T$4&lt;&gt;"Monthly",Z9&lt;='Financing Assumptions'!$S$26),0,IF('Mezz 2 Amortization'!$T$4="Monthly",INDEX('Mezz 2 Amortization'!$B$19:$V$379,MATCH(Z$11,'Mezz 2 Amortization'!$E$19:$E$379,0),MATCH('Mezz 2 Amortization'!$V$19,'Mezz 2 Amortization'!$B$19:$V$19,0)),IF(AND('Mezz 2 Amortization'!$T$4="Bi-Annual",Z$5&lt;MIN('Mezz 2 Amortization'!$R$4,'Mezz 2 Amortization'!$S$4)),INDEX('Mezz 2 Amortization'!$B$19:$V$379,MATCH(DATE(Z$7-1,MAX('Mezz 2 Amortization'!$R$4,'Mezz 2 Amortization'!$S$4),31),'Mezz 2 Amortization'!$E$19:$E$379,0),MATCH('Mezz 2 Amortization'!$V$19,'Mezz 2 Amortization'!$B$19:$V$19,0)),IF(AND('Mezz 2 Amortization'!$T$4="Bi-Annual",Z$5&gt;MAX('Mezz 2 Amortization'!$R$4,'Mezz 2 Amortization'!$S$4)),INDEX('Mezz 2 Amortization'!$B$19:$V$379,MATCH(DATE(Z$7,MAX('Mezz 2 Amortization'!$R$4,'Mezz 2 Amortization'!$S$4),31),'Mezz 2 Amortization'!$E$19:$E$379,0),MATCH('Mezz 2 Amortization'!$V$19,'Mezz 2 Amortization'!$B$19:$V$19,0)),IF(AND('Mezz 2 Amortization'!$T$4="Bi-Annual",Z$5&gt;MIN('Mezz 2 Amortization'!$R$4,'Mezz 2 Amortization'!$S$4),Z$5&lt;MAX('Mezz 2 Amortization'!$R$4,'Mezz 2 Amortization'!$S$4)),INDEX('Mezz 2 Amortization'!$B$19:$V$379,MATCH(DATE(Z$7,MIN('Mezz 2 Amortization'!$R$4,'Mezz 2 Amortization'!$S$4),31),'Mezz 2 Amortization'!$E$19:$E$379,0),MATCH('Mezz 2 Amortization'!$V$19,'Mezz 2 Amortization'!$B$19:$V$19,0)),IF(AND('Mezz 2 Amortization'!$T$4="Bi-Annual",Z$5='Mezz 2 Amortization'!$R$4),INDEX('Mezz 2 Amortization'!$B$19:$V$379,MATCH(DATE(Z$7,'Mezz 2 Amortization'!$R$4,31),'Mezz 2 Amortization'!$E$19:$E$379,0),MATCH('Mezz 2 Amortization'!$V$19,'Mezz 2 Amortization'!$B$19:$V$19,0)),IF(AND('Mezz 2 Amortization'!$T$4="Bi-Annual",Z$5='Mezz 2 Amortization'!$S$4),INDEX('Mezz 2 Amortization'!$B$19:$V$379,MATCH(DATE(Z$7,'Mezz 2 Amortization'!$S$4,31),'Mezz 2 Amortization'!$E$19:$E$379,0),MATCH('Mezz 2 Amortization'!$V$19,'Mezz 2 Amortization'!$B$19:$V$19,0)))))))))))</f>
        <v>0</v>
      </c>
      <c r="AA147" s="427">
        <f>IF('Financing Assumptions'!$T$8="No",0,IF(AA$9&lt;'Financing Assumptions'!$S$26,0,IF(AND('Mezz 2 Amortization'!$T$4&lt;&gt;"Monthly",AA9&lt;='Financing Assumptions'!$S$26),0,IF('Mezz 2 Amortization'!$T$4="Monthly",INDEX('Mezz 2 Amortization'!$B$19:$V$379,MATCH(AA$11,'Mezz 2 Amortization'!$E$19:$E$379,0),MATCH('Mezz 2 Amortization'!$V$19,'Mezz 2 Amortization'!$B$19:$V$19,0)),IF(AND('Mezz 2 Amortization'!$T$4="Bi-Annual",AA$5&lt;MIN('Mezz 2 Amortization'!$R$4,'Mezz 2 Amortization'!$S$4)),INDEX('Mezz 2 Amortization'!$B$19:$V$379,MATCH(DATE(AA$7-1,MAX('Mezz 2 Amortization'!$R$4,'Mezz 2 Amortization'!$S$4),31),'Mezz 2 Amortization'!$E$19:$E$379,0),MATCH('Mezz 2 Amortization'!$V$19,'Mezz 2 Amortization'!$B$19:$V$19,0)),IF(AND('Mezz 2 Amortization'!$T$4="Bi-Annual",AA$5&gt;MAX('Mezz 2 Amortization'!$R$4,'Mezz 2 Amortization'!$S$4)),INDEX('Mezz 2 Amortization'!$B$19:$V$379,MATCH(DATE(AA$7,MAX('Mezz 2 Amortization'!$R$4,'Mezz 2 Amortization'!$S$4),31),'Mezz 2 Amortization'!$E$19:$E$379,0),MATCH('Mezz 2 Amortization'!$V$19,'Mezz 2 Amortization'!$B$19:$V$19,0)),IF(AND('Mezz 2 Amortization'!$T$4="Bi-Annual",AA$5&gt;MIN('Mezz 2 Amortization'!$R$4,'Mezz 2 Amortization'!$S$4),AA$5&lt;MAX('Mezz 2 Amortization'!$R$4,'Mezz 2 Amortization'!$S$4)),INDEX('Mezz 2 Amortization'!$B$19:$V$379,MATCH(DATE(AA$7,MIN('Mezz 2 Amortization'!$R$4,'Mezz 2 Amortization'!$S$4),31),'Mezz 2 Amortization'!$E$19:$E$379,0),MATCH('Mezz 2 Amortization'!$V$19,'Mezz 2 Amortization'!$B$19:$V$19,0)),IF(AND('Mezz 2 Amortization'!$T$4="Bi-Annual",AA$5='Mezz 2 Amortization'!$R$4),INDEX('Mezz 2 Amortization'!$B$19:$V$379,MATCH(DATE(AA$7,'Mezz 2 Amortization'!$R$4,31),'Mezz 2 Amortization'!$E$19:$E$379,0),MATCH('Mezz 2 Amortization'!$V$19,'Mezz 2 Amortization'!$B$19:$V$19,0)),IF(AND('Mezz 2 Amortization'!$T$4="Bi-Annual",AA$5='Mezz 2 Amortization'!$S$4),INDEX('Mezz 2 Amortization'!$B$19:$V$379,MATCH(DATE(AA$7,'Mezz 2 Amortization'!$S$4,31),'Mezz 2 Amortization'!$E$19:$E$379,0),MATCH('Mezz 2 Amortization'!$V$19,'Mezz 2 Amortization'!$B$19:$V$19,0)))))))))))</f>
        <v>0</v>
      </c>
      <c r="AB147" s="427">
        <f>IF('Financing Assumptions'!$T$8="No",0,IF(AB$9&lt;'Financing Assumptions'!$S$26,0,IF(AND('Mezz 2 Amortization'!$T$4&lt;&gt;"Monthly",AB9&lt;='Financing Assumptions'!$S$26),0,IF('Mezz 2 Amortization'!$T$4="Monthly",INDEX('Mezz 2 Amortization'!$B$19:$V$379,MATCH(AB$11,'Mezz 2 Amortization'!$E$19:$E$379,0),MATCH('Mezz 2 Amortization'!$V$19,'Mezz 2 Amortization'!$B$19:$V$19,0)),IF(AND('Mezz 2 Amortization'!$T$4="Bi-Annual",AB$5&lt;MIN('Mezz 2 Amortization'!$R$4,'Mezz 2 Amortization'!$S$4)),INDEX('Mezz 2 Amortization'!$B$19:$V$379,MATCH(DATE(AB$7-1,MAX('Mezz 2 Amortization'!$R$4,'Mezz 2 Amortization'!$S$4),31),'Mezz 2 Amortization'!$E$19:$E$379,0),MATCH('Mezz 2 Amortization'!$V$19,'Mezz 2 Amortization'!$B$19:$V$19,0)),IF(AND('Mezz 2 Amortization'!$T$4="Bi-Annual",AB$5&gt;MAX('Mezz 2 Amortization'!$R$4,'Mezz 2 Amortization'!$S$4)),INDEX('Mezz 2 Amortization'!$B$19:$V$379,MATCH(DATE(AB$7,MAX('Mezz 2 Amortization'!$R$4,'Mezz 2 Amortization'!$S$4),31),'Mezz 2 Amortization'!$E$19:$E$379,0),MATCH('Mezz 2 Amortization'!$V$19,'Mezz 2 Amortization'!$B$19:$V$19,0)),IF(AND('Mezz 2 Amortization'!$T$4="Bi-Annual",AB$5&gt;MIN('Mezz 2 Amortization'!$R$4,'Mezz 2 Amortization'!$S$4),AB$5&lt;MAX('Mezz 2 Amortization'!$R$4,'Mezz 2 Amortization'!$S$4)),INDEX('Mezz 2 Amortization'!$B$19:$V$379,MATCH(DATE(AB$7,MIN('Mezz 2 Amortization'!$R$4,'Mezz 2 Amortization'!$S$4),31),'Mezz 2 Amortization'!$E$19:$E$379,0),MATCH('Mezz 2 Amortization'!$V$19,'Mezz 2 Amortization'!$B$19:$V$19,0)),IF(AND('Mezz 2 Amortization'!$T$4="Bi-Annual",AB$5='Mezz 2 Amortization'!$R$4),INDEX('Mezz 2 Amortization'!$B$19:$V$379,MATCH(DATE(AB$7,'Mezz 2 Amortization'!$R$4,31),'Mezz 2 Amortization'!$E$19:$E$379,0),MATCH('Mezz 2 Amortization'!$V$19,'Mezz 2 Amortization'!$B$19:$V$19,0)),IF(AND('Mezz 2 Amortization'!$T$4="Bi-Annual",AB$5='Mezz 2 Amortization'!$S$4),INDEX('Mezz 2 Amortization'!$B$19:$V$379,MATCH(DATE(AB$7,'Mezz 2 Amortization'!$S$4,31),'Mezz 2 Amortization'!$E$19:$E$379,0),MATCH('Mezz 2 Amortization'!$V$19,'Mezz 2 Amortization'!$B$19:$V$19,0)))))))))))</f>
        <v>0</v>
      </c>
      <c r="AC147" s="427">
        <f>IF('Financing Assumptions'!$T$8="No",0,IF(AC$9&lt;'Financing Assumptions'!$S$26,0,IF(AND('Mezz 2 Amortization'!$T$4&lt;&gt;"Monthly",AC9&lt;='Financing Assumptions'!$S$26),0,IF('Mezz 2 Amortization'!$T$4="Monthly",INDEX('Mezz 2 Amortization'!$B$19:$V$379,MATCH(AC$11,'Mezz 2 Amortization'!$E$19:$E$379,0),MATCH('Mezz 2 Amortization'!$V$19,'Mezz 2 Amortization'!$B$19:$V$19,0)),IF(AND('Mezz 2 Amortization'!$T$4="Bi-Annual",AC$5&lt;MIN('Mezz 2 Amortization'!$R$4,'Mezz 2 Amortization'!$S$4)),INDEX('Mezz 2 Amortization'!$B$19:$V$379,MATCH(DATE(AC$7-1,MAX('Mezz 2 Amortization'!$R$4,'Mezz 2 Amortization'!$S$4),31),'Mezz 2 Amortization'!$E$19:$E$379,0),MATCH('Mezz 2 Amortization'!$V$19,'Mezz 2 Amortization'!$B$19:$V$19,0)),IF(AND('Mezz 2 Amortization'!$T$4="Bi-Annual",AC$5&gt;MAX('Mezz 2 Amortization'!$R$4,'Mezz 2 Amortization'!$S$4)),INDEX('Mezz 2 Amortization'!$B$19:$V$379,MATCH(DATE(AC$7,MAX('Mezz 2 Amortization'!$R$4,'Mezz 2 Amortization'!$S$4),31),'Mezz 2 Amortization'!$E$19:$E$379,0),MATCH('Mezz 2 Amortization'!$V$19,'Mezz 2 Amortization'!$B$19:$V$19,0)),IF(AND('Mezz 2 Amortization'!$T$4="Bi-Annual",AC$5&gt;MIN('Mezz 2 Amortization'!$R$4,'Mezz 2 Amortization'!$S$4),AC$5&lt;MAX('Mezz 2 Amortization'!$R$4,'Mezz 2 Amortization'!$S$4)),INDEX('Mezz 2 Amortization'!$B$19:$V$379,MATCH(DATE(AC$7,MIN('Mezz 2 Amortization'!$R$4,'Mezz 2 Amortization'!$S$4),31),'Mezz 2 Amortization'!$E$19:$E$379,0),MATCH('Mezz 2 Amortization'!$V$19,'Mezz 2 Amortization'!$B$19:$V$19,0)),IF(AND('Mezz 2 Amortization'!$T$4="Bi-Annual",AC$5='Mezz 2 Amortization'!$R$4),INDEX('Mezz 2 Amortization'!$B$19:$V$379,MATCH(DATE(AC$7,'Mezz 2 Amortization'!$R$4,31),'Mezz 2 Amortization'!$E$19:$E$379,0),MATCH('Mezz 2 Amortization'!$V$19,'Mezz 2 Amortization'!$B$19:$V$19,0)),IF(AND('Mezz 2 Amortization'!$T$4="Bi-Annual",AC$5='Mezz 2 Amortization'!$S$4),INDEX('Mezz 2 Amortization'!$B$19:$V$379,MATCH(DATE(AC$7,'Mezz 2 Amortization'!$S$4,31),'Mezz 2 Amortization'!$E$19:$E$379,0),MATCH('Mezz 2 Amortization'!$V$19,'Mezz 2 Amortization'!$B$19:$V$19,0)))))))))))</f>
        <v>0</v>
      </c>
      <c r="AD147" s="427">
        <f>IF('Financing Assumptions'!$T$8="No",0,IF(AD$9&lt;'Financing Assumptions'!$S$26,0,IF(AND('Mezz 2 Amortization'!$T$4&lt;&gt;"Monthly",AD9&lt;='Financing Assumptions'!$S$26),0,IF('Mezz 2 Amortization'!$T$4="Monthly",INDEX('Mezz 2 Amortization'!$B$19:$V$379,MATCH(AD$11,'Mezz 2 Amortization'!$E$19:$E$379,0),MATCH('Mezz 2 Amortization'!$V$19,'Mezz 2 Amortization'!$B$19:$V$19,0)),IF(AND('Mezz 2 Amortization'!$T$4="Bi-Annual",AD$5&lt;MIN('Mezz 2 Amortization'!$R$4,'Mezz 2 Amortization'!$S$4)),INDEX('Mezz 2 Amortization'!$B$19:$V$379,MATCH(DATE(AD$7-1,MAX('Mezz 2 Amortization'!$R$4,'Mezz 2 Amortization'!$S$4),31),'Mezz 2 Amortization'!$E$19:$E$379,0),MATCH('Mezz 2 Amortization'!$V$19,'Mezz 2 Amortization'!$B$19:$V$19,0)),IF(AND('Mezz 2 Amortization'!$T$4="Bi-Annual",AD$5&gt;MAX('Mezz 2 Amortization'!$R$4,'Mezz 2 Amortization'!$S$4)),INDEX('Mezz 2 Amortization'!$B$19:$V$379,MATCH(DATE(AD$7,MAX('Mezz 2 Amortization'!$R$4,'Mezz 2 Amortization'!$S$4),31),'Mezz 2 Amortization'!$E$19:$E$379,0),MATCH('Mezz 2 Amortization'!$V$19,'Mezz 2 Amortization'!$B$19:$V$19,0)),IF(AND('Mezz 2 Amortization'!$T$4="Bi-Annual",AD$5&gt;MIN('Mezz 2 Amortization'!$R$4,'Mezz 2 Amortization'!$S$4),AD$5&lt;MAX('Mezz 2 Amortization'!$R$4,'Mezz 2 Amortization'!$S$4)),INDEX('Mezz 2 Amortization'!$B$19:$V$379,MATCH(DATE(AD$7,MIN('Mezz 2 Amortization'!$R$4,'Mezz 2 Amortization'!$S$4),31),'Mezz 2 Amortization'!$E$19:$E$379,0),MATCH('Mezz 2 Amortization'!$V$19,'Mezz 2 Amortization'!$B$19:$V$19,0)),IF(AND('Mezz 2 Amortization'!$T$4="Bi-Annual",AD$5='Mezz 2 Amortization'!$R$4),INDEX('Mezz 2 Amortization'!$B$19:$V$379,MATCH(DATE(AD$7,'Mezz 2 Amortization'!$R$4,31),'Mezz 2 Amortization'!$E$19:$E$379,0),MATCH('Mezz 2 Amortization'!$V$19,'Mezz 2 Amortization'!$B$19:$V$19,0)),IF(AND('Mezz 2 Amortization'!$T$4="Bi-Annual",AD$5='Mezz 2 Amortization'!$S$4),INDEX('Mezz 2 Amortization'!$B$19:$V$379,MATCH(DATE(AD$7,'Mezz 2 Amortization'!$S$4,31),'Mezz 2 Amortization'!$E$19:$E$379,0),MATCH('Mezz 2 Amortization'!$V$19,'Mezz 2 Amortization'!$B$19:$V$19,0)))))))))))</f>
        <v>0</v>
      </c>
      <c r="AE147" s="427">
        <f>IF('Financing Assumptions'!$T$8="No",0,IF(AE$9&lt;'Financing Assumptions'!$S$26,0,IF(AND('Mezz 2 Amortization'!$T$4&lt;&gt;"Monthly",AE9&lt;='Financing Assumptions'!$S$26),0,IF('Mezz 2 Amortization'!$T$4="Monthly",INDEX('Mezz 2 Amortization'!$B$19:$V$379,MATCH(AE$11,'Mezz 2 Amortization'!$E$19:$E$379,0),MATCH('Mezz 2 Amortization'!$V$19,'Mezz 2 Amortization'!$B$19:$V$19,0)),IF(AND('Mezz 2 Amortization'!$T$4="Bi-Annual",AE$5&lt;MIN('Mezz 2 Amortization'!$R$4,'Mezz 2 Amortization'!$S$4)),INDEX('Mezz 2 Amortization'!$B$19:$V$379,MATCH(DATE(AE$7-1,MAX('Mezz 2 Amortization'!$R$4,'Mezz 2 Amortization'!$S$4),31),'Mezz 2 Amortization'!$E$19:$E$379,0),MATCH('Mezz 2 Amortization'!$V$19,'Mezz 2 Amortization'!$B$19:$V$19,0)),IF(AND('Mezz 2 Amortization'!$T$4="Bi-Annual",AE$5&gt;MAX('Mezz 2 Amortization'!$R$4,'Mezz 2 Amortization'!$S$4)),INDEX('Mezz 2 Amortization'!$B$19:$V$379,MATCH(DATE(AE$7,MAX('Mezz 2 Amortization'!$R$4,'Mezz 2 Amortization'!$S$4),31),'Mezz 2 Amortization'!$E$19:$E$379,0),MATCH('Mezz 2 Amortization'!$V$19,'Mezz 2 Amortization'!$B$19:$V$19,0)),IF(AND('Mezz 2 Amortization'!$T$4="Bi-Annual",AE$5&gt;MIN('Mezz 2 Amortization'!$R$4,'Mezz 2 Amortization'!$S$4),AE$5&lt;MAX('Mezz 2 Amortization'!$R$4,'Mezz 2 Amortization'!$S$4)),INDEX('Mezz 2 Amortization'!$B$19:$V$379,MATCH(DATE(AE$7,MIN('Mezz 2 Amortization'!$R$4,'Mezz 2 Amortization'!$S$4),31),'Mezz 2 Amortization'!$E$19:$E$379,0),MATCH('Mezz 2 Amortization'!$V$19,'Mezz 2 Amortization'!$B$19:$V$19,0)),IF(AND('Mezz 2 Amortization'!$T$4="Bi-Annual",AE$5='Mezz 2 Amortization'!$R$4),INDEX('Mezz 2 Amortization'!$B$19:$V$379,MATCH(DATE(AE$7,'Mezz 2 Amortization'!$R$4,31),'Mezz 2 Amortization'!$E$19:$E$379,0),MATCH('Mezz 2 Amortization'!$V$19,'Mezz 2 Amortization'!$B$19:$V$19,0)),IF(AND('Mezz 2 Amortization'!$T$4="Bi-Annual",AE$5='Mezz 2 Amortization'!$S$4),INDEX('Mezz 2 Amortization'!$B$19:$V$379,MATCH(DATE(AE$7,'Mezz 2 Amortization'!$S$4,31),'Mezz 2 Amortization'!$E$19:$E$379,0),MATCH('Mezz 2 Amortization'!$V$19,'Mezz 2 Amortization'!$B$19:$V$19,0)))))))))))</f>
        <v>0</v>
      </c>
      <c r="AF147" s="427">
        <f>IF('Financing Assumptions'!$T$8="No",0,IF(AF$9&lt;'Financing Assumptions'!$S$26,0,IF(AND('Mezz 2 Amortization'!$T$4&lt;&gt;"Monthly",AF9&lt;='Financing Assumptions'!$S$26),0,IF('Mezz 2 Amortization'!$T$4="Monthly",INDEX('Mezz 2 Amortization'!$B$19:$V$379,MATCH(AF$11,'Mezz 2 Amortization'!$E$19:$E$379,0),MATCH('Mezz 2 Amortization'!$V$19,'Mezz 2 Amortization'!$B$19:$V$19,0)),IF(AND('Mezz 2 Amortization'!$T$4="Bi-Annual",AF$5&lt;MIN('Mezz 2 Amortization'!$R$4,'Mezz 2 Amortization'!$S$4)),INDEX('Mezz 2 Amortization'!$B$19:$V$379,MATCH(DATE(AF$7-1,MAX('Mezz 2 Amortization'!$R$4,'Mezz 2 Amortization'!$S$4),31),'Mezz 2 Amortization'!$E$19:$E$379,0),MATCH('Mezz 2 Amortization'!$V$19,'Mezz 2 Amortization'!$B$19:$V$19,0)),IF(AND('Mezz 2 Amortization'!$T$4="Bi-Annual",AF$5&gt;MAX('Mezz 2 Amortization'!$R$4,'Mezz 2 Amortization'!$S$4)),INDEX('Mezz 2 Amortization'!$B$19:$V$379,MATCH(DATE(AF$7,MAX('Mezz 2 Amortization'!$R$4,'Mezz 2 Amortization'!$S$4),31),'Mezz 2 Amortization'!$E$19:$E$379,0),MATCH('Mezz 2 Amortization'!$V$19,'Mezz 2 Amortization'!$B$19:$V$19,0)),IF(AND('Mezz 2 Amortization'!$T$4="Bi-Annual",AF$5&gt;MIN('Mezz 2 Amortization'!$R$4,'Mezz 2 Amortization'!$S$4),AF$5&lt;MAX('Mezz 2 Amortization'!$R$4,'Mezz 2 Amortization'!$S$4)),INDEX('Mezz 2 Amortization'!$B$19:$V$379,MATCH(DATE(AF$7,MIN('Mezz 2 Amortization'!$R$4,'Mezz 2 Amortization'!$S$4),31),'Mezz 2 Amortization'!$E$19:$E$379,0),MATCH('Mezz 2 Amortization'!$V$19,'Mezz 2 Amortization'!$B$19:$V$19,0)),IF(AND('Mezz 2 Amortization'!$T$4="Bi-Annual",AF$5='Mezz 2 Amortization'!$R$4),INDEX('Mezz 2 Amortization'!$B$19:$V$379,MATCH(DATE(AF$7,'Mezz 2 Amortization'!$R$4,31),'Mezz 2 Amortization'!$E$19:$E$379,0),MATCH('Mezz 2 Amortization'!$V$19,'Mezz 2 Amortization'!$B$19:$V$19,0)),IF(AND('Mezz 2 Amortization'!$T$4="Bi-Annual",AF$5='Mezz 2 Amortization'!$S$4),INDEX('Mezz 2 Amortization'!$B$19:$V$379,MATCH(DATE(AF$7,'Mezz 2 Amortization'!$S$4,31),'Mezz 2 Amortization'!$E$19:$E$379,0),MATCH('Mezz 2 Amortization'!$V$19,'Mezz 2 Amortization'!$B$19:$V$19,0)))))))))))</f>
        <v>0</v>
      </c>
      <c r="AG147" s="427">
        <f>IF('Financing Assumptions'!$T$8="No",0,IF(AG$9&lt;'Financing Assumptions'!$S$26,0,IF(AND('Mezz 2 Amortization'!$T$4&lt;&gt;"Monthly",AG9&lt;='Financing Assumptions'!$S$26),0,IF('Mezz 2 Amortization'!$T$4="Monthly",INDEX('Mezz 2 Amortization'!$B$19:$V$379,MATCH(AG$11,'Mezz 2 Amortization'!$E$19:$E$379,0),MATCH('Mezz 2 Amortization'!$V$19,'Mezz 2 Amortization'!$B$19:$V$19,0)),IF(AND('Mezz 2 Amortization'!$T$4="Bi-Annual",AG$5&lt;MIN('Mezz 2 Amortization'!$R$4,'Mezz 2 Amortization'!$S$4)),INDEX('Mezz 2 Amortization'!$B$19:$V$379,MATCH(DATE(AG$7-1,MAX('Mezz 2 Amortization'!$R$4,'Mezz 2 Amortization'!$S$4),31),'Mezz 2 Amortization'!$E$19:$E$379,0),MATCH('Mezz 2 Amortization'!$V$19,'Mezz 2 Amortization'!$B$19:$V$19,0)),IF(AND('Mezz 2 Amortization'!$T$4="Bi-Annual",AG$5&gt;MAX('Mezz 2 Amortization'!$R$4,'Mezz 2 Amortization'!$S$4)),INDEX('Mezz 2 Amortization'!$B$19:$V$379,MATCH(DATE(AG$7,MAX('Mezz 2 Amortization'!$R$4,'Mezz 2 Amortization'!$S$4),31),'Mezz 2 Amortization'!$E$19:$E$379,0),MATCH('Mezz 2 Amortization'!$V$19,'Mezz 2 Amortization'!$B$19:$V$19,0)),IF(AND('Mezz 2 Amortization'!$T$4="Bi-Annual",AG$5&gt;MIN('Mezz 2 Amortization'!$R$4,'Mezz 2 Amortization'!$S$4),AG$5&lt;MAX('Mezz 2 Amortization'!$R$4,'Mezz 2 Amortization'!$S$4)),INDEX('Mezz 2 Amortization'!$B$19:$V$379,MATCH(DATE(AG$7,MIN('Mezz 2 Amortization'!$R$4,'Mezz 2 Amortization'!$S$4),31),'Mezz 2 Amortization'!$E$19:$E$379,0),MATCH('Mezz 2 Amortization'!$V$19,'Mezz 2 Amortization'!$B$19:$V$19,0)),IF(AND('Mezz 2 Amortization'!$T$4="Bi-Annual",AG$5='Mezz 2 Amortization'!$R$4),INDEX('Mezz 2 Amortization'!$B$19:$V$379,MATCH(DATE(AG$7,'Mezz 2 Amortization'!$R$4,31),'Mezz 2 Amortization'!$E$19:$E$379,0),MATCH('Mezz 2 Amortization'!$V$19,'Mezz 2 Amortization'!$B$19:$V$19,0)),IF(AND('Mezz 2 Amortization'!$T$4="Bi-Annual",AG$5='Mezz 2 Amortization'!$S$4),INDEX('Mezz 2 Amortization'!$B$19:$V$379,MATCH(DATE(AG$7,'Mezz 2 Amortization'!$S$4,31),'Mezz 2 Amortization'!$E$19:$E$379,0),MATCH('Mezz 2 Amortization'!$V$19,'Mezz 2 Amortization'!$B$19:$V$19,0)))))))))))</f>
        <v>0</v>
      </c>
      <c r="AH147" s="427">
        <f>IF('Financing Assumptions'!$T$8="No",0,IF(AH$9&lt;'Financing Assumptions'!$S$26,0,IF(AND('Mezz 2 Amortization'!$T$4&lt;&gt;"Monthly",AH9&lt;='Financing Assumptions'!$S$26),0,IF('Mezz 2 Amortization'!$T$4="Monthly",INDEX('Mezz 2 Amortization'!$B$19:$V$379,MATCH(AH$11,'Mezz 2 Amortization'!$E$19:$E$379,0),MATCH('Mezz 2 Amortization'!$V$19,'Mezz 2 Amortization'!$B$19:$V$19,0)),IF(AND('Mezz 2 Amortization'!$T$4="Bi-Annual",AH$5&lt;MIN('Mezz 2 Amortization'!$R$4,'Mezz 2 Amortization'!$S$4)),INDEX('Mezz 2 Amortization'!$B$19:$V$379,MATCH(DATE(AH$7-1,MAX('Mezz 2 Amortization'!$R$4,'Mezz 2 Amortization'!$S$4),31),'Mezz 2 Amortization'!$E$19:$E$379,0),MATCH('Mezz 2 Amortization'!$V$19,'Mezz 2 Amortization'!$B$19:$V$19,0)),IF(AND('Mezz 2 Amortization'!$T$4="Bi-Annual",AH$5&gt;MAX('Mezz 2 Amortization'!$R$4,'Mezz 2 Amortization'!$S$4)),INDEX('Mezz 2 Amortization'!$B$19:$V$379,MATCH(DATE(AH$7,MAX('Mezz 2 Amortization'!$R$4,'Mezz 2 Amortization'!$S$4),31),'Mezz 2 Amortization'!$E$19:$E$379,0),MATCH('Mezz 2 Amortization'!$V$19,'Mezz 2 Amortization'!$B$19:$V$19,0)),IF(AND('Mezz 2 Amortization'!$T$4="Bi-Annual",AH$5&gt;MIN('Mezz 2 Amortization'!$R$4,'Mezz 2 Amortization'!$S$4),AH$5&lt;MAX('Mezz 2 Amortization'!$R$4,'Mezz 2 Amortization'!$S$4)),INDEX('Mezz 2 Amortization'!$B$19:$V$379,MATCH(DATE(AH$7,MIN('Mezz 2 Amortization'!$R$4,'Mezz 2 Amortization'!$S$4),31),'Mezz 2 Amortization'!$E$19:$E$379,0),MATCH('Mezz 2 Amortization'!$V$19,'Mezz 2 Amortization'!$B$19:$V$19,0)),IF(AND('Mezz 2 Amortization'!$T$4="Bi-Annual",AH$5='Mezz 2 Amortization'!$R$4),INDEX('Mezz 2 Amortization'!$B$19:$V$379,MATCH(DATE(AH$7,'Mezz 2 Amortization'!$R$4,31),'Mezz 2 Amortization'!$E$19:$E$379,0),MATCH('Mezz 2 Amortization'!$V$19,'Mezz 2 Amortization'!$B$19:$V$19,0)),IF(AND('Mezz 2 Amortization'!$T$4="Bi-Annual",AH$5='Mezz 2 Amortization'!$S$4),INDEX('Mezz 2 Amortization'!$B$19:$V$379,MATCH(DATE(AH$7,'Mezz 2 Amortization'!$S$4,31),'Mezz 2 Amortization'!$E$19:$E$379,0),MATCH('Mezz 2 Amortization'!$V$19,'Mezz 2 Amortization'!$B$19:$V$19,0)))))))))))</f>
        <v>0</v>
      </c>
      <c r="AI147" s="427">
        <f>IF('Financing Assumptions'!$T$8="No",0,IF(AI$9&lt;'Financing Assumptions'!$S$26,0,IF(AND('Mezz 2 Amortization'!$T$4&lt;&gt;"Monthly",AI9&lt;='Financing Assumptions'!$S$26),0,IF('Mezz 2 Amortization'!$T$4="Monthly",INDEX('Mezz 2 Amortization'!$B$19:$V$379,MATCH(AI$11,'Mezz 2 Amortization'!$E$19:$E$379,0),MATCH('Mezz 2 Amortization'!$V$19,'Mezz 2 Amortization'!$B$19:$V$19,0)),IF(AND('Mezz 2 Amortization'!$T$4="Bi-Annual",AI$5&lt;MIN('Mezz 2 Amortization'!$R$4,'Mezz 2 Amortization'!$S$4)),INDEX('Mezz 2 Amortization'!$B$19:$V$379,MATCH(DATE(AI$7-1,MAX('Mezz 2 Amortization'!$R$4,'Mezz 2 Amortization'!$S$4),31),'Mezz 2 Amortization'!$E$19:$E$379,0),MATCH('Mezz 2 Amortization'!$V$19,'Mezz 2 Amortization'!$B$19:$V$19,0)),IF(AND('Mezz 2 Amortization'!$T$4="Bi-Annual",AI$5&gt;MAX('Mezz 2 Amortization'!$R$4,'Mezz 2 Amortization'!$S$4)),INDEX('Mezz 2 Amortization'!$B$19:$V$379,MATCH(DATE(AI$7,MAX('Mezz 2 Amortization'!$R$4,'Mezz 2 Amortization'!$S$4),31),'Mezz 2 Amortization'!$E$19:$E$379,0),MATCH('Mezz 2 Amortization'!$V$19,'Mezz 2 Amortization'!$B$19:$V$19,0)),IF(AND('Mezz 2 Amortization'!$T$4="Bi-Annual",AI$5&gt;MIN('Mezz 2 Amortization'!$R$4,'Mezz 2 Amortization'!$S$4),AI$5&lt;MAX('Mezz 2 Amortization'!$R$4,'Mezz 2 Amortization'!$S$4)),INDEX('Mezz 2 Amortization'!$B$19:$V$379,MATCH(DATE(AI$7,MIN('Mezz 2 Amortization'!$R$4,'Mezz 2 Amortization'!$S$4),31),'Mezz 2 Amortization'!$E$19:$E$379,0),MATCH('Mezz 2 Amortization'!$V$19,'Mezz 2 Amortization'!$B$19:$V$19,0)),IF(AND('Mezz 2 Amortization'!$T$4="Bi-Annual",AI$5='Mezz 2 Amortization'!$R$4),INDEX('Mezz 2 Amortization'!$B$19:$V$379,MATCH(DATE(AI$7,'Mezz 2 Amortization'!$R$4,31),'Mezz 2 Amortization'!$E$19:$E$379,0),MATCH('Mezz 2 Amortization'!$V$19,'Mezz 2 Amortization'!$B$19:$V$19,0)),IF(AND('Mezz 2 Amortization'!$T$4="Bi-Annual",AI$5='Mezz 2 Amortization'!$S$4),INDEX('Mezz 2 Amortization'!$B$19:$V$379,MATCH(DATE(AI$7,'Mezz 2 Amortization'!$S$4,31),'Mezz 2 Amortization'!$E$19:$E$379,0),MATCH('Mezz 2 Amortization'!$V$19,'Mezz 2 Amortization'!$B$19:$V$19,0)))))))))))</f>
        <v>0</v>
      </c>
      <c r="AJ147" s="427">
        <f>IF('Financing Assumptions'!$T$8="No",0,IF(AJ$9&lt;'Financing Assumptions'!$S$26,0,IF(AND('Mezz 2 Amortization'!$T$4&lt;&gt;"Monthly",AJ9&lt;='Financing Assumptions'!$S$26),0,IF('Mezz 2 Amortization'!$T$4="Monthly",INDEX('Mezz 2 Amortization'!$B$19:$V$379,MATCH(AJ$11,'Mezz 2 Amortization'!$E$19:$E$379,0),MATCH('Mezz 2 Amortization'!$V$19,'Mezz 2 Amortization'!$B$19:$V$19,0)),IF(AND('Mezz 2 Amortization'!$T$4="Bi-Annual",AJ$5&lt;MIN('Mezz 2 Amortization'!$R$4,'Mezz 2 Amortization'!$S$4)),INDEX('Mezz 2 Amortization'!$B$19:$V$379,MATCH(DATE(AJ$7-1,MAX('Mezz 2 Amortization'!$R$4,'Mezz 2 Amortization'!$S$4),31),'Mezz 2 Amortization'!$E$19:$E$379,0),MATCH('Mezz 2 Amortization'!$V$19,'Mezz 2 Amortization'!$B$19:$V$19,0)),IF(AND('Mezz 2 Amortization'!$T$4="Bi-Annual",AJ$5&gt;MAX('Mezz 2 Amortization'!$R$4,'Mezz 2 Amortization'!$S$4)),INDEX('Mezz 2 Amortization'!$B$19:$V$379,MATCH(DATE(AJ$7,MAX('Mezz 2 Amortization'!$R$4,'Mezz 2 Amortization'!$S$4),31),'Mezz 2 Amortization'!$E$19:$E$379,0),MATCH('Mezz 2 Amortization'!$V$19,'Mezz 2 Amortization'!$B$19:$V$19,0)),IF(AND('Mezz 2 Amortization'!$T$4="Bi-Annual",AJ$5&gt;MIN('Mezz 2 Amortization'!$R$4,'Mezz 2 Amortization'!$S$4),AJ$5&lt;MAX('Mezz 2 Amortization'!$R$4,'Mezz 2 Amortization'!$S$4)),INDEX('Mezz 2 Amortization'!$B$19:$V$379,MATCH(DATE(AJ$7,MIN('Mezz 2 Amortization'!$R$4,'Mezz 2 Amortization'!$S$4),31),'Mezz 2 Amortization'!$E$19:$E$379,0),MATCH('Mezz 2 Amortization'!$V$19,'Mezz 2 Amortization'!$B$19:$V$19,0)),IF(AND('Mezz 2 Amortization'!$T$4="Bi-Annual",AJ$5='Mezz 2 Amortization'!$R$4),INDEX('Mezz 2 Amortization'!$B$19:$V$379,MATCH(DATE(AJ$7,'Mezz 2 Amortization'!$R$4,31),'Mezz 2 Amortization'!$E$19:$E$379,0),MATCH('Mezz 2 Amortization'!$V$19,'Mezz 2 Amortization'!$B$19:$V$19,0)),IF(AND('Mezz 2 Amortization'!$T$4="Bi-Annual",AJ$5='Mezz 2 Amortization'!$S$4),INDEX('Mezz 2 Amortization'!$B$19:$V$379,MATCH(DATE(AJ$7,'Mezz 2 Amortization'!$S$4,31),'Mezz 2 Amortization'!$E$19:$E$379,0),MATCH('Mezz 2 Amortization'!$V$19,'Mezz 2 Amortization'!$B$19:$V$19,0)))))))))))</f>
        <v>0</v>
      </c>
      <c r="AK147" s="427">
        <f>IF('Financing Assumptions'!$T$8="No",0,IF(AK$9&lt;'Financing Assumptions'!$S$26,0,IF(AND('Mezz 2 Amortization'!$T$4&lt;&gt;"Monthly",AK9&lt;='Financing Assumptions'!$S$26),0,IF('Mezz 2 Amortization'!$T$4="Monthly",INDEX('Mezz 2 Amortization'!$B$19:$V$379,MATCH(AK$11,'Mezz 2 Amortization'!$E$19:$E$379,0),MATCH('Mezz 2 Amortization'!$V$19,'Mezz 2 Amortization'!$B$19:$V$19,0)),IF(AND('Mezz 2 Amortization'!$T$4="Bi-Annual",AK$5&lt;MIN('Mezz 2 Amortization'!$R$4,'Mezz 2 Amortization'!$S$4)),INDEX('Mezz 2 Amortization'!$B$19:$V$379,MATCH(DATE(AK$7-1,MAX('Mezz 2 Amortization'!$R$4,'Mezz 2 Amortization'!$S$4),31),'Mezz 2 Amortization'!$E$19:$E$379,0),MATCH('Mezz 2 Amortization'!$V$19,'Mezz 2 Amortization'!$B$19:$V$19,0)),IF(AND('Mezz 2 Amortization'!$T$4="Bi-Annual",AK$5&gt;MAX('Mezz 2 Amortization'!$R$4,'Mezz 2 Amortization'!$S$4)),INDEX('Mezz 2 Amortization'!$B$19:$V$379,MATCH(DATE(AK$7,MAX('Mezz 2 Amortization'!$R$4,'Mezz 2 Amortization'!$S$4),31),'Mezz 2 Amortization'!$E$19:$E$379,0),MATCH('Mezz 2 Amortization'!$V$19,'Mezz 2 Amortization'!$B$19:$V$19,0)),IF(AND('Mezz 2 Amortization'!$T$4="Bi-Annual",AK$5&gt;MIN('Mezz 2 Amortization'!$R$4,'Mezz 2 Amortization'!$S$4),AK$5&lt;MAX('Mezz 2 Amortization'!$R$4,'Mezz 2 Amortization'!$S$4)),INDEX('Mezz 2 Amortization'!$B$19:$V$379,MATCH(DATE(AK$7,MIN('Mezz 2 Amortization'!$R$4,'Mezz 2 Amortization'!$S$4),31),'Mezz 2 Amortization'!$E$19:$E$379,0),MATCH('Mezz 2 Amortization'!$V$19,'Mezz 2 Amortization'!$B$19:$V$19,0)),IF(AND('Mezz 2 Amortization'!$T$4="Bi-Annual",AK$5='Mezz 2 Amortization'!$R$4),INDEX('Mezz 2 Amortization'!$B$19:$V$379,MATCH(DATE(AK$7,'Mezz 2 Amortization'!$R$4,31),'Mezz 2 Amortization'!$E$19:$E$379,0),MATCH('Mezz 2 Amortization'!$V$19,'Mezz 2 Amortization'!$B$19:$V$19,0)),IF(AND('Mezz 2 Amortization'!$T$4="Bi-Annual",AK$5='Mezz 2 Amortization'!$S$4),INDEX('Mezz 2 Amortization'!$B$19:$V$379,MATCH(DATE(AK$7,'Mezz 2 Amortization'!$S$4,31),'Mezz 2 Amortization'!$E$19:$E$379,0),MATCH('Mezz 2 Amortization'!$V$19,'Mezz 2 Amortization'!$B$19:$V$19,0)))))))))))</f>
        <v>0</v>
      </c>
      <c r="AL147" s="427">
        <f>IF('Financing Assumptions'!$T$8="No",0,IF(AL$9&lt;'Financing Assumptions'!$S$26,0,IF(AND('Mezz 2 Amortization'!$T$4&lt;&gt;"Monthly",AL9&lt;='Financing Assumptions'!$S$26),0,IF('Mezz 2 Amortization'!$T$4="Monthly",INDEX('Mezz 2 Amortization'!$B$19:$V$379,MATCH(AL$11,'Mezz 2 Amortization'!$E$19:$E$379,0),MATCH('Mezz 2 Amortization'!$V$19,'Mezz 2 Amortization'!$B$19:$V$19,0)),IF(AND('Mezz 2 Amortization'!$T$4="Bi-Annual",AL$5&lt;MIN('Mezz 2 Amortization'!$R$4,'Mezz 2 Amortization'!$S$4)),INDEX('Mezz 2 Amortization'!$B$19:$V$379,MATCH(DATE(AL$7-1,MAX('Mezz 2 Amortization'!$R$4,'Mezz 2 Amortization'!$S$4),31),'Mezz 2 Amortization'!$E$19:$E$379,0),MATCH('Mezz 2 Amortization'!$V$19,'Mezz 2 Amortization'!$B$19:$V$19,0)),IF(AND('Mezz 2 Amortization'!$T$4="Bi-Annual",AL$5&gt;MAX('Mezz 2 Amortization'!$R$4,'Mezz 2 Amortization'!$S$4)),INDEX('Mezz 2 Amortization'!$B$19:$V$379,MATCH(DATE(AL$7,MAX('Mezz 2 Amortization'!$R$4,'Mezz 2 Amortization'!$S$4),31),'Mezz 2 Amortization'!$E$19:$E$379,0),MATCH('Mezz 2 Amortization'!$V$19,'Mezz 2 Amortization'!$B$19:$V$19,0)),IF(AND('Mezz 2 Amortization'!$T$4="Bi-Annual",AL$5&gt;MIN('Mezz 2 Amortization'!$R$4,'Mezz 2 Amortization'!$S$4),AL$5&lt;MAX('Mezz 2 Amortization'!$R$4,'Mezz 2 Amortization'!$S$4)),INDEX('Mezz 2 Amortization'!$B$19:$V$379,MATCH(DATE(AL$7,MIN('Mezz 2 Amortization'!$R$4,'Mezz 2 Amortization'!$S$4),31),'Mezz 2 Amortization'!$E$19:$E$379,0),MATCH('Mezz 2 Amortization'!$V$19,'Mezz 2 Amortization'!$B$19:$V$19,0)),IF(AND('Mezz 2 Amortization'!$T$4="Bi-Annual",AL$5='Mezz 2 Amortization'!$R$4),INDEX('Mezz 2 Amortization'!$B$19:$V$379,MATCH(DATE(AL$7,'Mezz 2 Amortization'!$R$4,31),'Mezz 2 Amortization'!$E$19:$E$379,0),MATCH('Mezz 2 Amortization'!$V$19,'Mezz 2 Amortization'!$B$19:$V$19,0)),IF(AND('Mezz 2 Amortization'!$T$4="Bi-Annual",AL$5='Mezz 2 Amortization'!$S$4),INDEX('Mezz 2 Amortization'!$B$19:$V$379,MATCH(DATE(AL$7,'Mezz 2 Amortization'!$S$4,31),'Mezz 2 Amortization'!$E$19:$E$379,0),MATCH('Mezz 2 Amortization'!$V$19,'Mezz 2 Amortization'!$B$19:$V$19,0)))))))))))</f>
        <v>0</v>
      </c>
      <c r="AM147" s="427">
        <f>IF('Financing Assumptions'!$T$8="No",0,IF(AM$9&lt;'Financing Assumptions'!$S$26,0,IF(AND('Mezz 2 Amortization'!$T$4&lt;&gt;"Monthly",AM9&lt;='Financing Assumptions'!$S$26),0,IF('Mezz 2 Amortization'!$T$4="Monthly",INDEX('Mezz 2 Amortization'!$B$19:$V$379,MATCH(AM$11,'Mezz 2 Amortization'!$E$19:$E$379,0),MATCH('Mezz 2 Amortization'!$V$19,'Mezz 2 Amortization'!$B$19:$V$19,0)),IF(AND('Mezz 2 Amortization'!$T$4="Bi-Annual",AM$5&lt;MIN('Mezz 2 Amortization'!$R$4,'Mezz 2 Amortization'!$S$4)),INDEX('Mezz 2 Amortization'!$B$19:$V$379,MATCH(DATE(AM$7-1,MAX('Mezz 2 Amortization'!$R$4,'Mezz 2 Amortization'!$S$4),31),'Mezz 2 Amortization'!$E$19:$E$379,0),MATCH('Mezz 2 Amortization'!$V$19,'Mezz 2 Amortization'!$B$19:$V$19,0)),IF(AND('Mezz 2 Amortization'!$T$4="Bi-Annual",AM$5&gt;MAX('Mezz 2 Amortization'!$R$4,'Mezz 2 Amortization'!$S$4)),INDEX('Mezz 2 Amortization'!$B$19:$V$379,MATCH(DATE(AM$7,MAX('Mezz 2 Amortization'!$R$4,'Mezz 2 Amortization'!$S$4),31),'Mezz 2 Amortization'!$E$19:$E$379,0),MATCH('Mezz 2 Amortization'!$V$19,'Mezz 2 Amortization'!$B$19:$V$19,0)),IF(AND('Mezz 2 Amortization'!$T$4="Bi-Annual",AM$5&gt;MIN('Mezz 2 Amortization'!$R$4,'Mezz 2 Amortization'!$S$4),AM$5&lt;MAX('Mezz 2 Amortization'!$R$4,'Mezz 2 Amortization'!$S$4)),INDEX('Mezz 2 Amortization'!$B$19:$V$379,MATCH(DATE(AM$7,MIN('Mezz 2 Amortization'!$R$4,'Mezz 2 Amortization'!$S$4),31),'Mezz 2 Amortization'!$E$19:$E$379,0),MATCH('Mezz 2 Amortization'!$V$19,'Mezz 2 Amortization'!$B$19:$V$19,0)),IF(AND('Mezz 2 Amortization'!$T$4="Bi-Annual",AM$5='Mezz 2 Amortization'!$R$4),INDEX('Mezz 2 Amortization'!$B$19:$V$379,MATCH(DATE(AM$7,'Mezz 2 Amortization'!$R$4,31),'Mezz 2 Amortization'!$E$19:$E$379,0),MATCH('Mezz 2 Amortization'!$V$19,'Mezz 2 Amortization'!$B$19:$V$19,0)),IF(AND('Mezz 2 Amortization'!$T$4="Bi-Annual",AM$5='Mezz 2 Amortization'!$S$4),INDEX('Mezz 2 Amortization'!$B$19:$V$379,MATCH(DATE(AM$7,'Mezz 2 Amortization'!$S$4,31),'Mezz 2 Amortization'!$E$19:$E$379,0),MATCH('Mezz 2 Amortization'!$V$19,'Mezz 2 Amortization'!$B$19:$V$19,0)))))))))))</f>
        <v>0</v>
      </c>
      <c r="AN147" s="427">
        <f>IF('Financing Assumptions'!$T$8="No",0,IF(AN$9&lt;'Financing Assumptions'!$S$26,0,IF(AND('Mezz 2 Amortization'!$T$4&lt;&gt;"Monthly",AN9&lt;='Financing Assumptions'!$S$26),0,IF('Mezz 2 Amortization'!$T$4="Monthly",INDEX('Mezz 2 Amortization'!$B$19:$V$379,MATCH(AN$11,'Mezz 2 Amortization'!$E$19:$E$379,0),MATCH('Mezz 2 Amortization'!$V$19,'Mezz 2 Amortization'!$B$19:$V$19,0)),IF(AND('Mezz 2 Amortization'!$T$4="Bi-Annual",AN$5&lt;MIN('Mezz 2 Amortization'!$R$4,'Mezz 2 Amortization'!$S$4)),INDEX('Mezz 2 Amortization'!$B$19:$V$379,MATCH(DATE(AN$7-1,MAX('Mezz 2 Amortization'!$R$4,'Mezz 2 Amortization'!$S$4),31),'Mezz 2 Amortization'!$E$19:$E$379,0),MATCH('Mezz 2 Amortization'!$V$19,'Mezz 2 Amortization'!$B$19:$V$19,0)),IF(AND('Mezz 2 Amortization'!$T$4="Bi-Annual",AN$5&gt;MAX('Mezz 2 Amortization'!$R$4,'Mezz 2 Amortization'!$S$4)),INDEX('Mezz 2 Amortization'!$B$19:$V$379,MATCH(DATE(AN$7,MAX('Mezz 2 Amortization'!$R$4,'Mezz 2 Amortization'!$S$4),31),'Mezz 2 Amortization'!$E$19:$E$379,0),MATCH('Mezz 2 Amortization'!$V$19,'Mezz 2 Amortization'!$B$19:$V$19,0)),IF(AND('Mezz 2 Amortization'!$T$4="Bi-Annual",AN$5&gt;MIN('Mezz 2 Amortization'!$R$4,'Mezz 2 Amortization'!$S$4),AN$5&lt;MAX('Mezz 2 Amortization'!$R$4,'Mezz 2 Amortization'!$S$4)),INDEX('Mezz 2 Amortization'!$B$19:$V$379,MATCH(DATE(AN$7,MIN('Mezz 2 Amortization'!$R$4,'Mezz 2 Amortization'!$S$4),31),'Mezz 2 Amortization'!$E$19:$E$379,0),MATCH('Mezz 2 Amortization'!$V$19,'Mezz 2 Amortization'!$B$19:$V$19,0)),IF(AND('Mezz 2 Amortization'!$T$4="Bi-Annual",AN$5='Mezz 2 Amortization'!$R$4),INDEX('Mezz 2 Amortization'!$B$19:$V$379,MATCH(DATE(AN$7,'Mezz 2 Amortization'!$R$4,31),'Mezz 2 Amortization'!$E$19:$E$379,0),MATCH('Mezz 2 Amortization'!$V$19,'Mezz 2 Amortization'!$B$19:$V$19,0)),IF(AND('Mezz 2 Amortization'!$T$4="Bi-Annual",AN$5='Mezz 2 Amortization'!$S$4),INDEX('Mezz 2 Amortization'!$B$19:$V$379,MATCH(DATE(AN$7,'Mezz 2 Amortization'!$S$4,31),'Mezz 2 Amortization'!$E$19:$E$379,0),MATCH('Mezz 2 Amortization'!$V$19,'Mezz 2 Amortization'!$B$19:$V$19,0)))))))))))</f>
        <v>0</v>
      </c>
      <c r="AO147" s="427">
        <f>IF('Financing Assumptions'!$T$8="No",0,IF(AO$9&lt;'Financing Assumptions'!$S$26,0,IF(AND('Mezz 2 Amortization'!$T$4&lt;&gt;"Monthly",AO9&lt;='Financing Assumptions'!$S$26),0,IF('Mezz 2 Amortization'!$T$4="Monthly",INDEX('Mezz 2 Amortization'!$B$19:$V$379,MATCH(AO$11,'Mezz 2 Amortization'!$E$19:$E$379,0),MATCH('Mezz 2 Amortization'!$V$19,'Mezz 2 Amortization'!$B$19:$V$19,0)),IF(AND('Mezz 2 Amortization'!$T$4="Bi-Annual",AO$5&lt;MIN('Mezz 2 Amortization'!$R$4,'Mezz 2 Amortization'!$S$4)),INDEX('Mezz 2 Amortization'!$B$19:$V$379,MATCH(DATE(AO$7-1,MAX('Mezz 2 Amortization'!$R$4,'Mezz 2 Amortization'!$S$4),31),'Mezz 2 Amortization'!$E$19:$E$379,0),MATCH('Mezz 2 Amortization'!$V$19,'Mezz 2 Amortization'!$B$19:$V$19,0)),IF(AND('Mezz 2 Amortization'!$T$4="Bi-Annual",AO$5&gt;MAX('Mezz 2 Amortization'!$R$4,'Mezz 2 Amortization'!$S$4)),INDEX('Mezz 2 Amortization'!$B$19:$V$379,MATCH(DATE(AO$7,MAX('Mezz 2 Amortization'!$R$4,'Mezz 2 Amortization'!$S$4),31),'Mezz 2 Amortization'!$E$19:$E$379,0),MATCH('Mezz 2 Amortization'!$V$19,'Mezz 2 Amortization'!$B$19:$V$19,0)),IF(AND('Mezz 2 Amortization'!$T$4="Bi-Annual",AO$5&gt;MIN('Mezz 2 Amortization'!$R$4,'Mezz 2 Amortization'!$S$4),AO$5&lt;MAX('Mezz 2 Amortization'!$R$4,'Mezz 2 Amortization'!$S$4)),INDEX('Mezz 2 Amortization'!$B$19:$V$379,MATCH(DATE(AO$7,MIN('Mezz 2 Amortization'!$R$4,'Mezz 2 Amortization'!$S$4),31),'Mezz 2 Amortization'!$E$19:$E$379,0),MATCH('Mezz 2 Amortization'!$V$19,'Mezz 2 Amortization'!$B$19:$V$19,0)),IF(AND('Mezz 2 Amortization'!$T$4="Bi-Annual",AO$5='Mezz 2 Amortization'!$R$4),INDEX('Mezz 2 Amortization'!$B$19:$V$379,MATCH(DATE(AO$7,'Mezz 2 Amortization'!$R$4,31),'Mezz 2 Amortization'!$E$19:$E$379,0),MATCH('Mezz 2 Amortization'!$V$19,'Mezz 2 Amortization'!$B$19:$V$19,0)),IF(AND('Mezz 2 Amortization'!$T$4="Bi-Annual",AO$5='Mezz 2 Amortization'!$S$4),INDEX('Mezz 2 Amortization'!$B$19:$V$379,MATCH(DATE(AO$7,'Mezz 2 Amortization'!$S$4,31),'Mezz 2 Amortization'!$E$19:$E$379,0),MATCH('Mezz 2 Amortization'!$V$19,'Mezz 2 Amortization'!$B$19:$V$19,0)))))))))))</f>
        <v>0</v>
      </c>
      <c r="AP147" s="427">
        <f>IF('Financing Assumptions'!$T$8="No",0,IF(AP$9&lt;'Financing Assumptions'!$S$26,0,IF(AND('Mezz 2 Amortization'!$T$4&lt;&gt;"Monthly",AP9&lt;='Financing Assumptions'!$S$26),0,IF('Mezz 2 Amortization'!$T$4="Monthly",INDEX('Mezz 2 Amortization'!$B$19:$V$379,MATCH(AP$11,'Mezz 2 Amortization'!$E$19:$E$379,0),MATCH('Mezz 2 Amortization'!$V$19,'Mezz 2 Amortization'!$B$19:$V$19,0)),IF(AND('Mezz 2 Amortization'!$T$4="Bi-Annual",AP$5&lt;MIN('Mezz 2 Amortization'!$R$4,'Mezz 2 Amortization'!$S$4)),INDEX('Mezz 2 Amortization'!$B$19:$V$379,MATCH(DATE(AP$7-1,MAX('Mezz 2 Amortization'!$R$4,'Mezz 2 Amortization'!$S$4),31),'Mezz 2 Amortization'!$E$19:$E$379,0),MATCH('Mezz 2 Amortization'!$V$19,'Mezz 2 Amortization'!$B$19:$V$19,0)),IF(AND('Mezz 2 Amortization'!$T$4="Bi-Annual",AP$5&gt;MAX('Mezz 2 Amortization'!$R$4,'Mezz 2 Amortization'!$S$4)),INDEX('Mezz 2 Amortization'!$B$19:$V$379,MATCH(DATE(AP$7,MAX('Mezz 2 Amortization'!$R$4,'Mezz 2 Amortization'!$S$4),31),'Mezz 2 Amortization'!$E$19:$E$379,0),MATCH('Mezz 2 Amortization'!$V$19,'Mezz 2 Amortization'!$B$19:$V$19,0)),IF(AND('Mezz 2 Amortization'!$T$4="Bi-Annual",AP$5&gt;MIN('Mezz 2 Amortization'!$R$4,'Mezz 2 Amortization'!$S$4),AP$5&lt;MAX('Mezz 2 Amortization'!$R$4,'Mezz 2 Amortization'!$S$4)),INDEX('Mezz 2 Amortization'!$B$19:$V$379,MATCH(DATE(AP$7,MIN('Mezz 2 Amortization'!$R$4,'Mezz 2 Amortization'!$S$4),31),'Mezz 2 Amortization'!$E$19:$E$379,0),MATCH('Mezz 2 Amortization'!$V$19,'Mezz 2 Amortization'!$B$19:$V$19,0)),IF(AND('Mezz 2 Amortization'!$T$4="Bi-Annual",AP$5='Mezz 2 Amortization'!$R$4),INDEX('Mezz 2 Amortization'!$B$19:$V$379,MATCH(DATE(AP$7,'Mezz 2 Amortization'!$R$4,31),'Mezz 2 Amortization'!$E$19:$E$379,0),MATCH('Mezz 2 Amortization'!$V$19,'Mezz 2 Amortization'!$B$19:$V$19,0)),IF(AND('Mezz 2 Amortization'!$T$4="Bi-Annual",AP$5='Mezz 2 Amortization'!$S$4),INDEX('Mezz 2 Amortization'!$B$19:$V$379,MATCH(DATE(AP$7,'Mezz 2 Amortization'!$S$4,31),'Mezz 2 Amortization'!$E$19:$E$379,0),MATCH('Mezz 2 Amortization'!$V$19,'Mezz 2 Amortization'!$B$19:$V$19,0)))))))))))</f>
        <v>0</v>
      </c>
      <c r="AQ147" s="427">
        <f>IF('Financing Assumptions'!$T$8="No",0,IF(AQ$9&lt;'Financing Assumptions'!$S$26,0,IF(AND('Mezz 2 Amortization'!$T$4&lt;&gt;"Monthly",AQ9&lt;='Financing Assumptions'!$S$26),0,IF('Mezz 2 Amortization'!$T$4="Monthly",INDEX('Mezz 2 Amortization'!$B$19:$V$379,MATCH(AQ$11,'Mezz 2 Amortization'!$E$19:$E$379,0),MATCH('Mezz 2 Amortization'!$V$19,'Mezz 2 Amortization'!$B$19:$V$19,0)),IF(AND('Mezz 2 Amortization'!$T$4="Bi-Annual",AQ$5&lt;MIN('Mezz 2 Amortization'!$R$4,'Mezz 2 Amortization'!$S$4)),INDEX('Mezz 2 Amortization'!$B$19:$V$379,MATCH(DATE(AQ$7-1,MAX('Mezz 2 Amortization'!$R$4,'Mezz 2 Amortization'!$S$4),31),'Mezz 2 Amortization'!$E$19:$E$379,0),MATCH('Mezz 2 Amortization'!$V$19,'Mezz 2 Amortization'!$B$19:$V$19,0)),IF(AND('Mezz 2 Amortization'!$T$4="Bi-Annual",AQ$5&gt;MAX('Mezz 2 Amortization'!$R$4,'Mezz 2 Amortization'!$S$4)),INDEX('Mezz 2 Amortization'!$B$19:$V$379,MATCH(DATE(AQ$7,MAX('Mezz 2 Amortization'!$R$4,'Mezz 2 Amortization'!$S$4),31),'Mezz 2 Amortization'!$E$19:$E$379,0),MATCH('Mezz 2 Amortization'!$V$19,'Mezz 2 Amortization'!$B$19:$V$19,0)),IF(AND('Mezz 2 Amortization'!$T$4="Bi-Annual",AQ$5&gt;MIN('Mezz 2 Amortization'!$R$4,'Mezz 2 Amortization'!$S$4),AQ$5&lt;MAX('Mezz 2 Amortization'!$R$4,'Mezz 2 Amortization'!$S$4)),INDEX('Mezz 2 Amortization'!$B$19:$V$379,MATCH(DATE(AQ$7,MIN('Mezz 2 Amortization'!$R$4,'Mezz 2 Amortization'!$S$4),31),'Mezz 2 Amortization'!$E$19:$E$379,0),MATCH('Mezz 2 Amortization'!$V$19,'Mezz 2 Amortization'!$B$19:$V$19,0)),IF(AND('Mezz 2 Amortization'!$T$4="Bi-Annual",AQ$5='Mezz 2 Amortization'!$R$4),INDEX('Mezz 2 Amortization'!$B$19:$V$379,MATCH(DATE(AQ$7,'Mezz 2 Amortization'!$R$4,31),'Mezz 2 Amortization'!$E$19:$E$379,0),MATCH('Mezz 2 Amortization'!$V$19,'Mezz 2 Amortization'!$B$19:$V$19,0)),IF(AND('Mezz 2 Amortization'!$T$4="Bi-Annual",AQ$5='Mezz 2 Amortization'!$S$4),INDEX('Mezz 2 Amortization'!$B$19:$V$379,MATCH(DATE(AQ$7,'Mezz 2 Amortization'!$S$4,31),'Mezz 2 Amortization'!$E$19:$E$379,0),MATCH('Mezz 2 Amortization'!$V$19,'Mezz 2 Amortization'!$B$19:$V$19,0)))))))))))</f>
        <v>0</v>
      </c>
      <c r="AR147" s="427">
        <f>IF('Financing Assumptions'!$T$8="No",0,IF(AR$9&lt;'Financing Assumptions'!$S$26,0,IF(AND('Mezz 2 Amortization'!$T$4&lt;&gt;"Monthly",AR9&lt;='Financing Assumptions'!$S$26),0,IF('Mezz 2 Amortization'!$T$4="Monthly",INDEX('Mezz 2 Amortization'!$B$19:$V$379,MATCH(AR$11,'Mezz 2 Amortization'!$E$19:$E$379,0),MATCH('Mezz 2 Amortization'!$V$19,'Mezz 2 Amortization'!$B$19:$V$19,0)),IF(AND('Mezz 2 Amortization'!$T$4="Bi-Annual",AR$5&lt;MIN('Mezz 2 Amortization'!$R$4,'Mezz 2 Amortization'!$S$4)),INDEX('Mezz 2 Amortization'!$B$19:$V$379,MATCH(DATE(AR$7-1,MAX('Mezz 2 Amortization'!$R$4,'Mezz 2 Amortization'!$S$4),31),'Mezz 2 Amortization'!$E$19:$E$379,0),MATCH('Mezz 2 Amortization'!$V$19,'Mezz 2 Amortization'!$B$19:$V$19,0)),IF(AND('Mezz 2 Amortization'!$T$4="Bi-Annual",AR$5&gt;MAX('Mezz 2 Amortization'!$R$4,'Mezz 2 Amortization'!$S$4)),INDEX('Mezz 2 Amortization'!$B$19:$V$379,MATCH(DATE(AR$7,MAX('Mezz 2 Amortization'!$R$4,'Mezz 2 Amortization'!$S$4),31),'Mezz 2 Amortization'!$E$19:$E$379,0),MATCH('Mezz 2 Amortization'!$V$19,'Mezz 2 Amortization'!$B$19:$V$19,0)),IF(AND('Mezz 2 Amortization'!$T$4="Bi-Annual",AR$5&gt;MIN('Mezz 2 Amortization'!$R$4,'Mezz 2 Amortization'!$S$4),AR$5&lt;MAX('Mezz 2 Amortization'!$R$4,'Mezz 2 Amortization'!$S$4)),INDEX('Mezz 2 Amortization'!$B$19:$V$379,MATCH(DATE(AR$7,MIN('Mezz 2 Amortization'!$R$4,'Mezz 2 Amortization'!$S$4),31),'Mezz 2 Amortization'!$E$19:$E$379,0),MATCH('Mezz 2 Amortization'!$V$19,'Mezz 2 Amortization'!$B$19:$V$19,0)),IF(AND('Mezz 2 Amortization'!$T$4="Bi-Annual",AR$5='Mezz 2 Amortization'!$R$4),INDEX('Mezz 2 Amortization'!$B$19:$V$379,MATCH(DATE(AR$7,'Mezz 2 Amortization'!$R$4,31),'Mezz 2 Amortization'!$E$19:$E$379,0),MATCH('Mezz 2 Amortization'!$V$19,'Mezz 2 Amortization'!$B$19:$V$19,0)),IF(AND('Mezz 2 Amortization'!$T$4="Bi-Annual",AR$5='Mezz 2 Amortization'!$S$4),INDEX('Mezz 2 Amortization'!$B$19:$V$379,MATCH(DATE(AR$7,'Mezz 2 Amortization'!$S$4,31),'Mezz 2 Amortization'!$E$19:$E$379,0),MATCH('Mezz 2 Amortization'!$V$19,'Mezz 2 Amortization'!$B$19:$V$19,0)))))))))))</f>
        <v>0</v>
      </c>
      <c r="AS147" s="427">
        <f>IF('Financing Assumptions'!$T$8="No",0,IF(AS$9&lt;'Financing Assumptions'!$S$26,0,IF(AND('Mezz 2 Amortization'!$T$4&lt;&gt;"Monthly",AS9&lt;='Financing Assumptions'!$S$26),0,IF('Mezz 2 Amortization'!$T$4="Monthly",INDEX('Mezz 2 Amortization'!$B$19:$V$379,MATCH(AS$11,'Mezz 2 Amortization'!$E$19:$E$379,0),MATCH('Mezz 2 Amortization'!$V$19,'Mezz 2 Amortization'!$B$19:$V$19,0)),IF(AND('Mezz 2 Amortization'!$T$4="Bi-Annual",AS$5&lt;MIN('Mezz 2 Amortization'!$R$4,'Mezz 2 Amortization'!$S$4)),INDEX('Mezz 2 Amortization'!$B$19:$V$379,MATCH(DATE(AS$7-1,MAX('Mezz 2 Amortization'!$R$4,'Mezz 2 Amortization'!$S$4),31),'Mezz 2 Amortization'!$E$19:$E$379,0),MATCH('Mezz 2 Amortization'!$V$19,'Mezz 2 Amortization'!$B$19:$V$19,0)),IF(AND('Mezz 2 Amortization'!$T$4="Bi-Annual",AS$5&gt;MAX('Mezz 2 Amortization'!$R$4,'Mezz 2 Amortization'!$S$4)),INDEX('Mezz 2 Amortization'!$B$19:$V$379,MATCH(DATE(AS$7,MAX('Mezz 2 Amortization'!$R$4,'Mezz 2 Amortization'!$S$4),31),'Mezz 2 Amortization'!$E$19:$E$379,0),MATCH('Mezz 2 Amortization'!$V$19,'Mezz 2 Amortization'!$B$19:$V$19,0)),IF(AND('Mezz 2 Amortization'!$T$4="Bi-Annual",AS$5&gt;MIN('Mezz 2 Amortization'!$R$4,'Mezz 2 Amortization'!$S$4),AS$5&lt;MAX('Mezz 2 Amortization'!$R$4,'Mezz 2 Amortization'!$S$4)),INDEX('Mezz 2 Amortization'!$B$19:$V$379,MATCH(DATE(AS$7,MIN('Mezz 2 Amortization'!$R$4,'Mezz 2 Amortization'!$S$4),31),'Mezz 2 Amortization'!$E$19:$E$379,0),MATCH('Mezz 2 Amortization'!$V$19,'Mezz 2 Amortization'!$B$19:$V$19,0)),IF(AND('Mezz 2 Amortization'!$T$4="Bi-Annual",AS$5='Mezz 2 Amortization'!$R$4),INDEX('Mezz 2 Amortization'!$B$19:$V$379,MATCH(DATE(AS$7,'Mezz 2 Amortization'!$R$4,31),'Mezz 2 Amortization'!$E$19:$E$379,0),MATCH('Mezz 2 Amortization'!$V$19,'Mezz 2 Amortization'!$B$19:$V$19,0)),IF(AND('Mezz 2 Amortization'!$T$4="Bi-Annual",AS$5='Mezz 2 Amortization'!$S$4),INDEX('Mezz 2 Amortization'!$B$19:$V$379,MATCH(DATE(AS$7,'Mezz 2 Amortization'!$S$4,31),'Mezz 2 Amortization'!$E$19:$E$379,0),MATCH('Mezz 2 Amortization'!$V$19,'Mezz 2 Amortization'!$B$19:$V$19,0)))))))))))</f>
        <v>0</v>
      </c>
      <c r="AT147" s="427">
        <f>IF('Financing Assumptions'!$T$8="No",0,IF(AT$9&lt;'Financing Assumptions'!$S$26,0,IF(AND('Mezz 2 Amortization'!$T$4&lt;&gt;"Monthly",AT9&lt;='Financing Assumptions'!$S$26),0,IF('Mezz 2 Amortization'!$T$4="Monthly",INDEX('Mezz 2 Amortization'!$B$19:$V$379,MATCH(AT$11,'Mezz 2 Amortization'!$E$19:$E$379,0),MATCH('Mezz 2 Amortization'!$V$19,'Mezz 2 Amortization'!$B$19:$V$19,0)),IF(AND('Mezz 2 Amortization'!$T$4="Bi-Annual",AT$5&lt;MIN('Mezz 2 Amortization'!$R$4,'Mezz 2 Amortization'!$S$4)),INDEX('Mezz 2 Amortization'!$B$19:$V$379,MATCH(DATE(AT$7-1,MAX('Mezz 2 Amortization'!$R$4,'Mezz 2 Amortization'!$S$4),31),'Mezz 2 Amortization'!$E$19:$E$379,0),MATCH('Mezz 2 Amortization'!$V$19,'Mezz 2 Amortization'!$B$19:$V$19,0)),IF(AND('Mezz 2 Amortization'!$T$4="Bi-Annual",AT$5&gt;MAX('Mezz 2 Amortization'!$R$4,'Mezz 2 Amortization'!$S$4)),INDEX('Mezz 2 Amortization'!$B$19:$V$379,MATCH(DATE(AT$7,MAX('Mezz 2 Amortization'!$R$4,'Mezz 2 Amortization'!$S$4),31),'Mezz 2 Amortization'!$E$19:$E$379,0),MATCH('Mezz 2 Amortization'!$V$19,'Mezz 2 Amortization'!$B$19:$V$19,0)),IF(AND('Mezz 2 Amortization'!$T$4="Bi-Annual",AT$5&gt;MIN('Mezz 2 Amortization'!$R$4,'Mezz 2 Amortization'!$S$4),AT$5&lt;MAX('Mezz 2 Amortization'!$R$4,'Mezz 2 Amortization'!$S$4)),INDEX('Mezz 2 Amortization'!$B$19:$V$379,MATCH(DATE(AT$7,MIN('Mezz 2 Amortization'!$R$4,'Mezz 2 Amortization'!$S$4),31),'Mezz 2 Amortization'!$E$19:$E$379,0),MATCH('Mezz 2 Amortization'!$V$19,'Mezz 2 Amortization'!$B$19:$V$19,0)),IF(AND('Mezz 2 Amortization'!$T$4="Bi-Annual",AT$5='Mezz 2 Amortization'!$R$4),INDEX('Mezz 2 Amortization'!$B$19:$V$379,MATCH(DATE(AT$7,'Mezz 2 Amortization'!$R$4,31),'Mezz 2 Amortization'!$E$19:$E$379,0),MATCH('Mezz 2 Amortization'!$V$19,'Mezz 2 Amortization'!$B$19:$V$19,0)),IF(AND('Mezz 2 Amortization'!$T$4="Bi-Annual",AT$5='Mezz 2 Amortization'!$S$4),INDEX('Mezz 2 Amortization'!$B$19:$V$379,MATCH(DATE(AT$7,'Mezz 2 Amortization'!$S$4,31),'Mezz 2 Amortization'!$E$19:$E$379,0),MATCH('Mezz 2 Amortization'!$V$19,'Mezz 2 Amortization'!$B$19:$V$19,0)))))))))))</f>
        <v>0</v>
      </c>
      <c r="AU147" s="427">
        <f>IF('Financing Assumptions'!$T$8="No",0,IF(AU$9&lt;'Financing Assumptions'!$S$26,0,IF(AND('Mezz 2 Amortization'!$T$4&lt;&gt;"Monthly",AU9&lt;='Financing Assumptions'!$S$26),0,IF('Mezz 2 Amortization'!$T$4="Monthly",INDEX('Mezz 2 Amortization'!$B$19:$V$379,MATCH(AU$11,'Mezz 2 Amortization'!$E$19:$E$379,0),MATCH('Mezz 2 Amortization'!$V$19,'Mezz 2 Amortization'!$B$19:$V$19,0)),IF(AND('Mezz 2 Amortization'!$T$4="Bi-Annual",AU$5&lt;MIN('Mezz 2 Amortization'!$R$4,'Mezz 2 Amortization'!$S$4)),INDEX('Mezz 2 Amortization'!$B$19:$V$379,MATCH(DATE(AU$7-1,MAX('Mezz 2 Amortization'!$R$4,'Mezz 2 Amortization'!$S$4),31),'Mezz 2 Amortization'!$E$19:$E$379,0),MATCH('Mezz 2 Amortization'!$V$19,'Mezz 2 Amortization'!$B$19:$V$19,0)),IF(AND('Mezz 2 Amortization'!$T$4="Bi-Annual",AU$5&gt;MAX('Mezz 2 Amortization'!$R$4,'Mezz 2 Amortization'!$S$4)),INDEX('Mezz 2 Amortization'!$B$19:$V$379,MATCH(DATE(AU$7,MAX('Mezz 2 Amortization'!$R$4,'Mezz 2 Amortization'!$S$4),31),'Mezz 2 Amortization'!$E$19:$E$379,0),MATCH('Mezz 2 Amortization'!$V$19,'Mezz 2 Amortization'!$B$19:$V$19,0)),IF(AND('Mezz 2 Amortization'!$T$4="Bi-Annual",AU$5&gt;MIN('Mezz 2 Amortization'!$R$4,'Mezz 2 Amortization'!$S$4),AU$5&lt;MAX('Mezz 2 Amortization'!$R$4,'Mezz 2 Amortization'!$S$4)),INDEX('Mezz 2 Amortization'!$B$19:$V$379,MATCH(DATE(AU$7,MIN('Mezz 2 Amortization'!$R$4,'Mezz 2 Amortization'!$S$4),31),'Mezz 2 Amortization'!$E$19:$E$379,0),MATCH('Mezz 2 Amortization'!$V$19,'Mezz 2 Amortization'!$B$19:$V$19,0)),IF(AND('Mezz 2 Amortization'!$T$4="Bi-Annual",AU$5='Mezz 2 Amortization'!$R$4),INDEX('Mezz 2 Amortization'!$B$19:$V$379,MATCH(DATE(AU$7,'Mezz 2 Amortization'!$R$4,31),'Mezz 2 Amortization'!$E$19:$E$379,0),MATCH('Mezz 2 Amortization'!$V$19,'Mezz 2 Amortization'!$B$19:$V$19,0)),IF(AND('Mezz 2 Amortization'!$T$4="Bi-Annual",AU$5='Mezz 2 Amortization'!$S$4),INDEX('Mezz 2 Amortization'!$B$19:$V$379,MATCH(DATE(AU$7,'Mezz 2 Amortization'!$S$4,31),'Mezz 2 Amortization'!$E$19:$E$379,0),MATCH('Mezz 2 Amortization'!$V$19,'Mezz 2 Amortization'!$B$19:$V$19,0)))))))))))</f>
        <v>0</v>
      </c>
      <c r="AV147" s="427">
        <f>IF('Financing Assumptions'!$T$8="No",0,IF(AV$9&lt;'Financing Assumptions'!$S$26,0,IF(AND('Mezz 2 Amortization'!$T$4&lt;&gt;"Monthly",AV9&lt;='Financing Assumptions'!$S$26),0,IF('Mezz 2 Amortization'!$T$4="Monthly",INDEX('Mezz 2 Amortization'!$B$19:$V$379,MATCH(AV$11,'Mezz 2 Amortization'!$E$19:$E$379,0),MATCH('Mezz 2 Amortization'!$V$19,'Mezz 2 Amortization'!$B$19:$V$19,0)),IF(AND('Mezz 2 Amortization'!$T$4="Bi-Annual",AV$5&lt;MIN('Mezz 2 Amortization'!$R$4,'Mezz 2 Amortization'!$S$4)),INDEX('Mezz 2 Amortization'!$B$19:$V$379,MATCH(DATE(AV$7-1,MAX('Mezz 2 Amortization'!$R$4,'Mezz 2 Amortization'!$S$4),31),'Mezz 2 Amortization'!$E$19:$E$379,0),MATCH('Mezz 2 Amortization'!$V$19,'Mezz 2 Amortization'!$B$19:$V$19,0)),IF(AND('Mezz 2 Amortization'!$T$4="Bi-Annual",AV$5&gt;MAX('Mezz 2 Amortization'!$R$4,'Mezz 2 Amortization'!$S$4)),INDEX('Mezz 2 Amortization'!$B$19:$V$379,MATCH(DATE(AV$7,MAX('Mezz 2 Amortization'!$R$4,'Mezz 2 Amortization'!$S$4),31),'Mezz 2 Amortization'!$E$19:$E$379,0),MATCH('Mezz 2 Amortization'!$V$19,'Mezz 2 Amortization'!$B$19:$V$19,0)),IF(AND('Mezz 2 Amortization'!$T$4="Bi-Annual",AV$5&gt;MIN('Mezz 2 Amortization'!$R$4,'Mezz 2 Amortization'!$S$4),AV$5&lt;MAX('Mezz 2 Amortization'!$R$4,'Mezz 2 Amortization'!$S$4)),INDEX('Mezz 2 Amortization'!$B$19:$V$379,MATCH(DATE(AV$7,MIN('Mezz 2 Amortization'!$R$4,'Mezz 2 Amortization'!$S$4),31),'Mezz 2 Amortization'!$E$19:$E$379,0),MATCH('Mezz 2 Amortization'!$V$19,'Mezz 2 Amortization'!$B$19:$V$19,0)),IF(AND('Mezz 2 Amortization'!$T$4="Bi-Annual",AV$5='Mezz 2 Amortization'!$R$4),INDEX('Mezz 2 Amortization'!$B$19:$V$379,MATCH(DATE(AV$7,'Mezz 2 Amortization'!$R$4,31),'Mezz 2 Amortization'!$E$19:$E$379,0),MATCH('Mezz 2 Amortization'!$V$19,'Mezz 2 Amortization'!$B$19:$V$19,0)),IF(AND('Mezz 2 Amortization'!$T$4="Bi-Annual",AV$5='Mezz 2 Amortization'!$S$4),INDEX('Mezz 2 Amortization'!$B$19:$V$379,MATCH(DATE(AV$7,'Mezz 2 Amortization'!$S$4,31),'Mezz 2 Amortization'!$E$19:$E$379,0),MATCH('Mezz 2 Amortization'!$V$19,'Mezz 2 Amortization'!$B$19:$V$19,0)))))))))))</f>
        <v>0</v>
      </c>
      <c r="AW147" s="427">
        <f>IF('Financing Assumptions'!$T$8="No",0,IF(AW$9&lt;'Financing Assumptions'!$S$26,0,IF(AND('Mezz 2 Amortization'!$T$4&lt;&gt;"Monthly",AW9&lt;='Financing Assumptions'!$S$26),0,IF('Mezz 2 Amortization'!$T$4="Monthly",INDEX('Mezz 2 Amortization'!$B$19:$V$379,MATCH(AW$11,'Mezz 2 Amortization'!$E$19:$E$379,0),MATCH('Mezz 2 Amortization'!$V$19,'Mezz 2 Amortization'!$B$19:$V$19,0)),IF(AND('Mezz 2 Amortization'!$T$4="Bi-Annual",AW$5&lt;MIN('Mezz 2 Amortization'!$R$4,'Mezz 2 Amortization'!$S$4)),INDEX('Mezz 2 Amortization'!$B$19:$V$379,MATCH(DATE(AW$7-1,MAX('Mezz 2 Amortization'!$R$4,'Mezz 2 Amortization'!$S$4),31),'Mezz 2 Amortization'!$E$19:$E$379,0),MATCH('Mezz 2 Amortization'!$V$19,'Mezz 2 Amortization'!$B$19:$V$19,0)),IF(AND('Mezz 2 Amortization'!$T$4="Bi-Annual",AW$5&gt;MAX('Mezz 2 Amortization'!$R$4,'Mezz 2 Amortization'!$S$4)),INDEX('Mezz 2 Amortization'!$B$19:$V$379,MATCH(DATE(AW$7,MAX('Mezz 2 Amortization'!$R$4,'Mezz 2 Amortization'!$S$4),31),'Mezz 2 Amortization'!$E$19:$E$379,0),MATCH('Mezz 2 Amortization'!$V$19,'Mezz 2 Amortization'!$B$19:$V$19,0)),IF(AND('Mezz 2 Amortization'!$T$4="Bi-Annual",AW$5&gt;MIN('Mezz 2 Amortization'!$R$4,'Mezz 2 Amortization'!$S$4),AW$5&lt;MAX('Mezz 2 Amortization'!$R$4,'Mezz 2 Amortization'!$S$4)),INDEX('Mezz 2 Amortization'!$B$19:$V$379,MATCH(DATE(AW$7,MIN('Mezz 2 Amortization'!$R$4,'Mezz 2 Amortization'!$S$4),31),'Mezz 2 Amortization'!$E$19:$E$379,0),MATCH('Mezz 2 Amortization'!$V$19,'Mezz 2 Amortization'!$B$19:$V$19,0)),IF(AND('Mezz 2 Amortization'!$T$4="Bi-Annual",AW$5='Mezz 2 Amortization'!$R$4),INDEX('Mezz 2 Amortization'!$B$19:$V$379,MATCH(DATE(AW$7,'Mezz 2 Amortization'!$R$4,31),'Mezz 2 Amortization'!$E$19:$E$379,0),MATCH('Mezz 2 Amortization'!$V$19,'Mezz 2 Amortization'!$B$19:$V$19,0)),IF(AND('Mezz 2 Amortization'!$T$4="Bi-Annual",AW$5='Mezz 2 Amortization'!$S$4),INDEX('Mezz 2 Amortization'!$B$19:$V$379,MATCH(DATE(AW$7,'Mezz 2 Amortization'!$S$4,31),'Mezz 2 Amortization'!$E$19:$E$379,0),MATCH('Mezz 2 Amortization'!$V$19,'Mezz 2 Amortization'!$B$19:$V$19,0)))))))))))</f>
        <v>0</v>
      </c>
      <c r="AX147" s="427">
        <f>IF('Financing Assumptions'!$T$8="No",0,IF(AX$9&lt;'Financing Assumptions'!$S$26,0,IF(AND('Mezz 2 Amortization'!$T$4&lt;&gt;"Monthly",AX9&lt;='Financing Assumptions'!$S$26),0,IF('Mezz 2 Amortization'!$T$4="Monthly",INDEX('Mezz 2 Amortization'!$B$19:$V$379,MATCH(AX$11,'Mezz 2 Amortization'!$E$19:$E$379,0),MATCH('Mezz 2 Amortization'!$V$19,'Mezz 2 Amortization'!$B$19:$V$19,0)),IF(AND('Mezz 2 Amortization'!$T$4="Bi-Annual",AX$5&lt;MIN('Mezz 2 Amortization'!$R$4,'Mezz 2 Amortization'!$S$4)),INDEX('Mezz 2 Amortization'!$B$19:$V$379,MATCH(DATE(AX$7-1,MAX('Mezz 2 Amortization'!$R$4,'Mezz 2 Amortization'!$S$4),31),'Mezz 2 Amortization'!$E$19:$E$379,0),MATCH('Mezz 2 Amortization'!$V$19,'Mezz 2 Amortization'!$B$19:$V$19,0)),IF(AND('Mezz 2 Amortization'!$T$4="Bi-Annual",AX$5&gt;MAX('Mezz 2 Amortization'!$R$4,'Mezz 2 Amortization'!$S$4)),INDEX('Mezz 2 Amortization'!$B$19:$V$379,MATCH(DATE(AX$7,MAX('Mezz 2 Amortization'!$R$4,'Mezz 2 Amortization'!$S$4),31),'Mezz 2 Amortization'!$E$19:$E$379,0),MATCH('Mezz 2 Amortization'!$V$19,'Mezz 2 Amortization'!$B$19:$V$19,0)),IF(AND('Mezz 2 Amortization'!$T$4="Bi-Annual",AX$5&gt;MIN('Mezz 2 Amortization'!$R$4,'Mezz 2 Amortization'!$S$4),AX$5&lt;MAX('Mezz 2 Amortization'!$R$4,'Mezz 2 Amortization'!$S$4)),INDEX('Mezz 2 Amortization'!$B$19:$V$379,MATCH(DATE(AX$7,MIN('Mezz 2 Amortization'!$R$4,'Mezz 2 Amortization'!$S$4),31),'Mezz 2 Amortization'!$E$19:$E$379,0),MATCH('Mezz 2 Amortization'!$V$19,'Mezz 2 Amortization'!$B$19:$V$19,0)),IF(AND('Mezz 2 Amortization'!$T$4="Bi-Annual",AX$5='Mezz 2 Amortization'!$R$4),INDEX('Mezz 2 Amortization'!$B$19:$V$379,MATCH(DATE(AX$7,'Mezz 2 Amortization'!$R$4,31),'Mezz 2 Amortization'!$E$19:$E$379,0),MATCH('Mezz 2 Amortization'!$V$19,'Mezz 2 Amortization'!$B$19:$V$19,0)),IF(AND('Mezz 2 Amortization'!$T$4="Bi-Annual",AX$5='Mezz 2 Amortization'!$S$4),INDEX('Mezz 2 Amortization'!$B$19:$V$379,MATCH(DATE(AX$7,'Mezz 2 Amortization'!$S$4,31),'Mezz 2 Amortization'!$E$19:$E$379,0),MATCH('Mezz 2 Amortization'!$V$19,'Mezz 2 Amortization'!$B$19:$V$19,0)))))))))))</f>
        <v>0</v>
      </c>
      <c r="AY147" s="427">
        <f>IF('Financing Assumptions'!$T$8="No",0,IF(AY$9&lt;'Financing Assumptions'!$S$26,0,IF(AND('Mezz 2 Amortization'!$T$4&lt;&gt;"Monthly",AY9&lt;='Financing Assumptions'!$S$26),0,IF('Mezz 2 Amortization'!$T$4="Monthly",INDEX('Mezz 2 Amortization'!$B$19:$V$379,MATCH(AY$11,'Mezz 2 Amortization'!$E$19:$E$379,0),MATCH('Mezz 2 Amortization'!$V$19,'Mezz 2 Amortization'!$B$19:$V$19,0)),IF(AND('Mezz 2 Amortization'!$T$4="Bi-Annual",AY$5&lt;MIN('Mezz 2 Amortization'!$R$4,'Mezz 2 Amortization'!$S$4)),INDEX('Mezz 2 Amortization'!$B$19:$V$379,MATCH(DATE(AY$7-1,MAX('Mezz 2 Amortization'!$R$4,'Mezz 2 Amortization'!$S$4),31),'Mezz 2 Amortization'!$E$19:$E$379,0),MATCH('Mezz 2 Amortization'!$V$19,'Mezz 2 Amortization'!$B$19:$V$19,0)),IF(AND('Mezz 2 Amortization'!$T$4="Bi-Annual",AY$5&gt;MAX('Mezz 2 Amortization'!$R$4,'Mezz 2 Amortization'!$S$4)),INDEX('Mezz 2 Amortization'!$B$19:$V$379,MATCH(DATE(AY$7,MAX('Mezz 2 Amortization'!$R$4,'Mezz 2 Amortization'!$S$4),31),'Mezz 2 Amortization'!$E$19:$E$379,0),MATCH('Mezz 2 Amortization'!$V$19,'Mezz 2 Amortization'!$B$19:$V$19,0)),IF(AND('Mezz 2 Amortization'!$T$4="Bi-Annual",AY$5&gt;MIN('Mezz 2 Amortization'!$R$4,'Mezz 2 Amortization'!$S$4),AY$5&lt;MAX('Mezz 2 Amortization'!$R$4,'Mezz 2 Amortization'!$S$4)),INDEX('Mezz 2 Amortization'!$B$19:$V$379,MATCH(DATE(AY$7,MIN('Mezz 2 Amortization'!$R$4,'Mezz 2 Amortization'!$S$4),31),'Mezz 2 Amortization'!$E$19:$E$379,0),MATCH('Mezz 2 Amortization'!$V$19,'Mezz 2 Amortization'!$B$19:$V$19,0)),IF(AND('Mezz 2 Amortization'!$T$4="Bi-Annual",AY$5='Mezz 2 Amortization'!$R$4),INDEX('Mezz 2 Amortization'!$B$19:$V$379,MATCH(DATE(AY$7,'Mezz 2 Amortization'!$R$4,31),'Mezz 2 Amortization'!$E$19:$E$379,0),MATCH('Mezz 2 Amortization'!$V$19,'Mezz 2 Amortization'!$B$19:$V$19,0)),IF(AND('Mezz 2 Amortization'!$T$4="Bi-Annual",AY$5='Mezz 2 Amortization'!$S$4),INDEX('Mezz 2 Amortization'!$B$19:$V$379,MATCH(DATE(AY$7,'Mezz 2 Amortization'!$S$4,31),'Mezz 2 Amortization'!$E$19:$E$379,0),MATCH('Mezz 2 Amortization'!$V$19,'Mezz 2 Amortization'!$B$19:$V$19,0)))))))))))</f>
        <v>0</v>
      </c>
      <c r="AZ147" s="427">
        <f>IF('Financing Assumptions'!$T$8="No",0,IF(AZ$9&lt;'Financing Assumptions'!$S$26,0,IF(AND('Mezz 2 Amortization'!$T$4&lt;&gt;"Monthly",AZ9&lt;='Financing Assumptions'!$S$26),0,IF('Mezz 2 Amortization'!$T$4="Monthly",INDEX('Mezz 2 Amortization'!$B$19:$V$379,MATCH(AZ$11,'Mezz 2 Amortization'!$E$19:$E$379,0),MATCH('Mezz 2 Amortization'!$V$19,'Mezz 2 Amortization'!$B$19:$V$19,0)),IF(AND('Mezz 2 Amortization'!$T$4="Bi-Annual",AZ$5&lt;MIN('Mezz 2 Amortization'!$R$4,'Mezz 2 Amortization'!$S$4)),INDEX('Mezz 2 Amortization'!$B$19:$V$379,MATCH(DATE(AZ$7-1,MAX('Mezz 2 Amortization'!$R$4,'Mezz 2 Amortization'!$S$4),31),'Mezz 2 Amortization'!$E$19:$E$379,0),MATCH('Mezz 2 Amortization'!$V$19,'Mezz 2 Amortization'!$B$19:$V$19,0)),IF(AND('Mezz 2 Amortization'!$T$4="Bi-Annual",AZ$5&gt;MAX('Mezz 2 Amortization'!$R$4,'Mezz 2 Amortization'!$S$4)),INDEX('Mezz 2 Amortization'!$B$19:$V$379,MATCH(DATE(AZ$7,MAX('Mezz 2 Amortization'!$R$4,'Mezz 2 Amortization'!$S$4),31),'Mezz 2 Amortization'!$E$19:$E$379,0),MATCH('Mezz 2 Amortization'!$V$19,'Mezz 2 Amortization'!$B$19:$V$19,0)),IF(AND('Mezz 2 Amortization'!$T$4="Bi-Annual",AZ$5&gt;MIN('Mezz 2 Amortization'!$R$4,'Mezz 2 Amortization'!$S$4),AZ$5&lt;MAX('Mezz 2 Amortization'!$R$4,'Mezz 2 Amortization'!$S$4)),INDEX('Mezz 2 Amortization'!$B$19:$V$379,MATCH(DATE(AZ$7,MIN('Mezz 2 Amortization'!$R$4,'Mezz 2 Amortization'!$S$4),31),'Mezz 2 Amortization'!$E$19:$E$379,0),MATCH('Mezz 2 Amortization'!$V$19,'Mezz 2 Amortization'!$B$19:$V$19,0)),IF(AND('Mezz 2 Amortization'!$T$4="Bi-Annual",AZ$5='Mezz 2 Amortization'!$R$4),INDEX('Mezz 2 Amortization'!$B$19:$V$379,MATCH(DATE(AZ$7,'Mezz 2 Amortization'!$R$4,31),'Mezz 2 Amortization'!$E$19:$E$379,0),MATCH('Mezz 2 Amortization'!$V$19,'Mezz 2 Amortization'!$B$19:$V$19,0)),IF(AND('Mezz 2 Amortization'!$T$4="Bi-Annual",AZ$5='Mezz 2 Amortization'!$S$4),INDEX('Mezz 2 Amortization'!$B$19:$V$379,MATCH(DATE(AZ$7,'Mezz 2 Amortization'!$S$4,31),'Mezz 2 Amortization'!$E$19:$E$379,0),MATCH('Mezz 2 Amortization'!$V$19,'Mezz 2 Amortization'!$B$19:$V$19,0)))))))))))</f>
        <v>0</v>
      </c>
      <c r="BA147" s="427">
        <f>IF('Financing Assumptions'!$T$8="No",0,IF(BA$9&lt;'Financing Assumptions'!$S$26,0,IF(AND('Mezz 2 Amortization'!$T$4&lt;&gt;"Monthly",BA9&lt;='Financing Assumptions'!$S$26),0,IF('Mezz 2 Amortization'!$T$4="Monthly",INDEX('Mezz 2 Amortization'!$B$19:$V$379,MATCH(BA$11,'Mezz 2 Amortization'!$E$19:$E$379,0),MATCH('Mezz 2 Amortization'!$V$19,'Mezz 2 Amortization'!$B$19:$V$19,0)),IF(AND('Mezz 2 Amortization'!$T$4="Bi-Annual",BA$5&lt;MIN('Mezz 2 Amortization'!$R$4,'Mezz 2 Amortization'!$S$4)),INDEX('Mezz 2 Amortization'!$B$19:$V$379,MATCH(DATE(BA$7-1,MAX('Mezz 2 Amortization'!$R$4,'Mezz 2 Amortization'!$S$4),31),'Mezz 2 Amortization'!$E$19:$E$379,0),MATCH('Mezz 2 Amortization'!$V$19,'Mezz 2 Amortization'!$B$19:$V$19,0)),IF(AND('Mezz 2 Amortization'!$T$4="Bi-Annual",BA$5&gt;MAX('Mezz 2 Amortization'!$R$4,'Mezz 2 Amortization'!$S$4)),INDEX('Mezz 2 Amortization'!$B$19:$V$379,MATCH(DATE(BA$7,MAX('Mezz 2 Amortization'!$R$4,'Mezz 2 Amortization'!$S$4),31),'Mezz 2 Amortization'!$E$19:$E$379,0),MATCH('Mezz 2 Amortization'!$V$19,'Mezz 2 Amortization'!$B$19:$V$19,0)),IF(AND('Mezz 2 Amortization'!$T$4="Bi-Annual",BA$5&gt;MIN('Mezz 2 Amortization'!$R$4,'Mezz 2 Amortization'!$S$4),BA$5&lt;MAX('Mezz 2 Amortization'!$R$4,'Mezz 2 Amortization'!$S$4)),INDEX('Mezz 2 Amortization'!$B$19:$V$379,MATCH(DATE(BA$7,MIN('Mezz 2 Amortization'!$R$4,'Mezz 2 Amortization'!$S$4),31),'Mezz 2 Amortization'!$E$19:$E$379,0),MATCH('Mezz 2 Amortization'!$V$19,'Mezz 2 Amortization'!$B$19:$V$19,0)),IF(AND('Mezz 2 Amortization'!$T$4="Bi-Annual",BA$5='Mezz 2 Amortization'!$R$4),INDEX('Mezz 2 Amortization'!$B$19:$V$379,MATCH(DATE(BA$7,'Mezz 2 Amortization'!$R$4,31),'Mezz 2 Amortization'!$E$19:$E$379,0),MATCH('Mezz 2 Amortization'!$V$19,'Mezz 2 Amortization'!$B$19:$V$19,0)),IF(AND('Mezz 2 Amortization'!$T$4="Bi-Annual",BA$5='Mezz 2 Amortization'!$S$4),INDEX('Mezz 2 Amortization'!$B$19:$V$379,MATCH(DATE(BA$7,'Mezz 2 Amortization'!$S$4,31),'Mezz 2 Amortization'!$E$19:$E$379,0),MATCH('Mezz 2 Amortization'!$V$19,'Mezz 2 Amortization'!$B$19:$V$19,0)))))))))))</f>
        <v>0</v>
      </c>
      <c r="BB147" s="427">
        <f>IF('Financing Assumptions'!$T$8="No",0,IF(BB$9&lt;'Financing Assumptions'!$S$26,0,IF(AND('Mezz 2 Amortization'!$T$4&lt;&gt;"Monthly",BB9&lt;='Financing Assumptions'!$S$26),0,IF('Mezz 2 Amortization'!$T$4="Monthly",INDEX('Mezz 2 Amortization'!$B$19:$V$379,MATCH(BB$11,'Mezz 2 Amortization'!$E$19:$E$379,0),MATCH('Mezz 2 Amortization'!$V$19,'Mezz 2 Amortization'!$B$19:$V$19,0)),IF(AND('Mezz 2 Amortization'!$T$4="Bi-Annual",BB$5&lt;MIN('Mezz 2 Amortization'!$R$4,'Mezz 2 Amortization'!$S$4)),INDEX('Mezz 2 Amortization'!$B$19:$V$379,MATCH(DATE(BB$7-1,MAX('Mezz 2 Amortization'!$R$4,'Mezz 2 Amortization'!$S$4),31),'Mezz 2 Amortization'!$E$19:$E$379,0),MATCH('Mezz 2 Amortization'!$V$19,'Mezz 2 Amortization'!$B$19:$V$19,0)),IF(AND('Mezz 2 Amortization'!$T$4="Bi-Annual",BB$5&gt;MAX('Mezz 2 Amortization'!$R$4,'Mezz 2 Amortization'!$S$4)),INDEX('Mezz 2 Amortization'!$B$19:$V$379,MATCH(DATE(BB$7,MAX('Mezz 2 Amortization'!$R$4,'Mezz 2 Amortization'!$S$4),31),'Mezz 2 Amortization'!$E$19:$E$379,0),MATCH('Mezz 2 Amortization'!$V$19,'Mezz 2 Amortization'!$B$19:$V$19,0)),IF(AND('Mezz 2 Amortization'!$T$4="Bi-Annual",BB$5&gt;MIN('Mezz 2 Amortization'!$R$4,'Mezz 2 Amortization'!$S$4),BB$5&lt;MAX('Mezz 2 Amortization'!$R$4,'Mezz 2 Amortization'!$S$4)),INDEX('Mezz 2 Amortization'!$B$19:$V$379,MATCH(DATE(BB$7,MIN('Mezz 2 Amortization'!$R$4,'Mezz 2 Amortization'!$S$4),31),'Mezz 2 Amortization'!$E$19:$E$379,0),MATCH('Mezz 2 Amortization'!$V$19,'Mezz 2 Amortization'!$B$19:$V$19,0)),IF(AND('Mezz 2 Amortization'!$T$4="Bi-Annual",BB$5='Mezz 2 Amortization'!$R$4),INDEX('Mezz 2 Amortization'!$B$19:$V$379,MATCH(DATE(BB$7,'Mezz 2 Amortization'!$R$4,31),'Mezz 2 Amortization'!$E$19:$E$379,0),MATCH('Mezz 2 Amortization'!$V$19,'Mezz 2 Amortization'!$B$19:$V$19,0)),IF(AND('Mezz 2 Amortization'!$T$4="Bi-Annual",BB$5='Mezz 2 Amortization'!$S$4),INDEX('Mezz 2 Amortization'!$B$19:$V$379,MATCH(DATE(BB$7,'Mezz 2 Amortization'!$S$4,31),'Mezz 2 Amortization'!$E$19:$E$379,0),MATCH('Mezz 2 Amortization'!$V$19,'Mezz 2 Amortization'!$B$19:$V$19,0)))))))))))</f>
        <v>0</v>
      </c>
      <c r="BC147" s="427">
        <f>IF('Financing Assumptions'!$T$8="No",0,IF(BC$9&lt;'Financing Assumptions'!$S$26,0,IF(AND('Mezz 2 Amortization'!$T$4&lt;&gt;"Monthly",BC9&lt;='Financing Assumptions'!$S$26),0,IF('Mezz 2 Amortization'!$T$4="Monthly",INDEX('Mezz 2 Amortization'!$B$19:$V$379,MATCH(BC$11,'Mezz 2 Amortization'!$E$19:$E$379,0),MATCH('Mezz 2 Amortization'!$V$19,'Mezz 2 Amortization'!$B$19:$V$19,0)),IF(AND('Mezz 2 Amortization'!$T$4="Bi-Annual",BC$5&lt;MIN('Mezz 2 Amortization'!$R$4,'Mezz 2 Amortization'!$S$4)),INDEX('Mezz 2 Amortization'!$B$19:$V$379,MATCH(DATE(BC$7-1,MAX('Mezz 2 Amortization'!$R$4,'Mezz 2 Amortization'!$S$4),31),'Mezz 2 Amortization'!$E$19:$E$379,0),MATCH('Mezz 2 Amortization'!$V$19,'Mezz 2 Amortization'!$B$19:$V$19,0)),IF(AND('Mezz 2 Amortization'!$T$4="Bi-Annual",BC$5&gt;MAX('Mezz 2 Amortization'!$R$4,'Mezz 2 Amortization'!$S$4)),INDEX('Mezz 2 Amortization'!$B$19:$V$379,MATCH(DATE(BC$7,MAX('Mezz 2 Amortization'!$R$4,'Mezz 2 Amortization'!$S$4),31),'Mezz 2 Amortization'!$E$19:$E$379,0),MATCH('Mezz 2 Amortization'!$V$19,'Mezz 2 Amortization'!$B$19:$V$19,0)),IF(AND('Mezz 2 Amortization'!$T$4="Bi-Annual",BC$5&gt;MIN('Mezz 2 Amortization'!$R$4,'Mezz 2 Amortization'!$S$4),BC$5&lt;MAX('Mezz 2 Amortization'!$R$4,'Mezz 2 Amortization'!$S$4)),INDEX('Mezz 2 Amortization'!$B$19:$V$379,MATCH(DATE(BC$7,MIN('Mezz 2 Amortization'!$R$4,'Mezz 2 Amortization'!$S$4),31),'Mezz 2 Amortization'!$E$19:$E$379,0),MATCH('Mezz 2 Amortization'!$V$19,'Mezz 2 Amortization'!$B$19:$V$19,0)),IF(AND('Mezz 2 Amortization'!$T$4="Bi-Annual",BC$5='Mezz 2 Amortization'!$R$4),INDEX('Mezz 2 Amortization'!$B$19:$V$379,MATCH(DATE(BC$7,'Mezz 2 Amortization'!$R$4,31),'Mezz 2 Amortization'!$E$19:$E$379,0),MATCH('Mezz 2 Amortization'!$V$19,'Mezz 2 Amortization'!$B$19:$V$19,0)),IF(AND('Mezz 2 Amortization'!$T$4="Bi-Annual",BC$5='Mezz 2 Amortization'!$S$4),INDEX('Mezz 2 Amortization'!$B$19:$V$379,MATCH(DATE(BC$7,'Mezz 2 Amortization'!$S$4,31),'Mezz 2 Amortization'!$E$19:$E$379,0),MATCH('Mezz 2 Amortization'!$V$19,'Mezz 2 Amortization'!$B$19:$V$19,0)))))))))))</f>
        <v>0</v>
      </c>
      <c r="BD147" s="427">
        <f>IF('Financing Assumptions'!$T$8="No",0,IF(BD$9&lt;'Financing Assumptions'!$S$26,0,IF(AND('Mezz 2 Amortization'!$T$4&lt;&gt;"Monthly",BD9&lt;='Financing Assumptions'!$S$26),0,IF('Mezz 2 Amortization'!$T$4="Monthly",INDEX('Mezz 2 Amortization'!$B$19:$V$379,MATCH(BD$11,'Mezz 2 Amortization'!$E$19:$E$379,0),MATCH('Mezz 2 Amortization'!$V$19,'Mezz 2 Amortization'!$B$19:$V$19,0)),IF(AND('Mezz 2 Amortization'!$T$4="Bi-Annual",BD$5&lt;MIN('Mezz 2 Amortization'!$R$4,'Mezz 2 Amortization'!$S$4)),INDEX('Mezz 2 Amortization'!$B$19:$V$379,MATCH(DATE(BD$7-1,MAX('Mezz 2 Amortization'!$R$4,'Mezz 2 Amortization'!$S$4),31),'Mezz 2 Amortization'!$E$19:$E$379,0),MATCH('Mezz 2 Amortization'!$V$19,'Mezz 2 Amortization'!$B$19:$V$19,0)),IF(AND('Mezz 2 Amortization'!$T$4="Bi-Annual",BD$5&gt;MAX('Mezz 2 Amortization'!$R$4,'Mezz 2 Amortization'!$S$4)),INDEX('Mezz 2 Amortization'!$B$19:$V$379,MATCH(DATE(BD$7,MAX('Mezz 2 Amortization'!$R$4,'Mezz 2 Amortization'!$S$4),31),'Mezz 2 Amortization'!$E$19:$E$379,0),MATCH('Mezz 2 Amortization'!$V$19,'Mezz 2 Amortization'!$B$19:$V$19,0)),IF(AND('Mezz 2 Amortization'!$T$4="Bi-Annual",BD$5&gt;MIN('Mezz 2 Amortization'!$R$4,'Mezz 2 Amortization'!$S$4),BD$5&lt;MAX('Mezz 2 Amortization'!$R$4,'Mezz 2 Amortization'!$S$4)),INDEX('Mezz 2 Amortization'!$B$19:$V$379,MATCH(DATE(BD$7,MIN('Mezz 2 Amortization'!$R$4,'Mezz 2 Amortization'!$S$4),31),'Mezz 2 Amortization'!$E$19:$E$379,0),MATCH('Mezz 2 Amortization'!$V$19,'Mezz 2 Amortization'!$B$19:$V$19,0)),IF(AND('Mezz 2 Amortization'!$T$4="Bi-Annual",BD$5='Mezz 2 Amortization'!$R$4),INDEX('Mezz 2 Amortization'!$B$19:$V$379,MATCH(DATE(BD$7,'Mezz 2 Amortization'!$R$4,31),'Mezz 2 Amortization'!$E$19:$E$379,0),MATCH('Mezz 2 Amortization'!$V$19,'Mezz 2 Amortization'!$B$19:$V$19,0)),IF(AND('Mezz 2 Amortization'!$T$4="Bi-Annual",BD$5='Mezz 2 Amortization'!$S$4),INDEX('Mezz 2 Amortization'!$B$19:$V$379,MATCH(DATE(BD$7,'Mezz 2 Amortization'!$S$4,31),'Mezz 2 Amortization'!$E$19:$E$379,0),MATCH('Mezz 2 Amortization'!$V$19,'Mezz 2 Amortization'!$B$19:$V$19,0)))))))))))</f>
        <v>0</v>
      </c>
      <c r="BE147" s="427">
        <f>IF('Financing Assumptions'!$T$8="No",0,IF(BE$9&lt;'Financing Assumptions'!$S$26,0,IF(AND('Mezz 2 Amortization'!$T$4&lt;&gt;"Monthly",BE9&lt;='Financing Assumptions'!$S$26),0,IF('Mezz 2 Amortization'!$T$4="Monthly",INDEX('Mezz 2 Amortization'!$B$19:$V$379,MATCH(BE$11,'Mezz 2 Amortization'!$E$19:$E$379,0),MATCH('Mezz 2 Amortization'!$V$19,'Mezz 2 Amortization'!$B$19:$V$19,0)),IF(AND('Mezz 2 Amortization'!$T$4="Bi-Annual",BE$5&lt;MIN('Mezz 2 Amortization'!$R$4,'Mezz 2 Amortization'!$S$4)),INDEX('Mezz 2 Amortization'!$B$19:$V$379,MATCH(DATE(BE$7-1,MAX('Mezz 2 Amortization'!$R$4,'Mezz 2 Amortization'!$S$4),31),'Mezz 2 Amortization'!$E$19:$E$379,0),MATCH('Mezz 2 Amortization'!$V$19,'Mezz 2 Amortization'!$B$19:$V$19,0)),IF(AND('Mezz 2 Amortization'!$T$4="Bi-Annual",BE$5&gt;MAX('Mezz 2 Amortization'!$R$4,'Mezz 2 Amortization'!$S$4)),INDEX('Mezz 2 Amortization'!$B$19:$V$379,MATCH(DATE(BE$7,MAX('Mezz 2 Amortization'!$R$4,'Mezz 2 Amortization'!$S$4),31),'Mezz 2 Amortization'!$E$19:$E$379,0),MATCH('Mezz 2 Amortization'!$V$19,'Mezz 2 Amortization'!$B$19:$V$19,0)),IF(AND('Mezz 2 Amortization'!$T$4="Bi-Annual",BE$5&gt;MIN('Mezz 2 Amortization'!$R$4,'Mezz 2 Amortization'!$S$4),BE$5&lt;MAX('Mezz 2 Amortization'!$R$4,'Mezz 2 Amortization'!$S$4)),INDEX('Mezz 2 Amortization'!$B$19:$V$379,MATCH(DATE(BE$7,MIN('Mezz 2 Amortization'!$R$4,'Mezz 2 Amortization'!$S$4),31),'Mezz 2 Amortization'!$E$19:$E$379,0),MATCH('Mezz 2 Amortization'!$V$19,'Mezz 2 Amortization'!$B$19:$V$19,0)),IF(AND('Mezz 2 Amortization'!$T$4="Bi-Annual",BE$5='Mezz 2 Amortization'!$R$4),INDEX('Mezz 2 Amortization'!$B$19:$V$379,MATCH(DATE(BE$7,'Mezz 2 Amortization'!$R$4,31),'Mezz 2 Amortization'!$E$19:$E$379,0),MATCH('Mezz 2 Amortization'!$V$19,'Mezz 2 Amortization'!$B$19:$V$19,0)),IF(AND('Mezz 2 Amortization'!$T$4="Bi-Annual",BE$5='Mezz 2 Amortization'!$S$4),INDEX('Mezz 2 Amortization'!$B$19:$V$379,MATCH(DATE(BE$7,'Mezz 2 Amortization'!$S$4,31),'Mezz 2 Amortization'!$E$19:$E$379,0),MATCH('Mezz 2 Amortization'!$V$19,'Mezz 2 Amortization'!$B$19:$V$19,0)))))))))))</f>
        <v>0</v>
      </c>
      <c r="BF147" s="427">
        <f>IF('Financing Assumptions'!$T$8="No",0,IF(BF$9&lt;'Financing Assumptions'!$S$26,0,IF(AND('Mezz 2 Amortization'!$T$4&lt;&gt;"Monthly",BF9&lt;='Financing Assumptions'!$S$26),0,IF('Mezz 2 Amortization'!$T$4="Monthly",INDEX('Mezz 2 Amortization'!$B$19:$V$379,MATCH(BF$11,'Mezz 2 Amortization'!$E$19:$E$379,0),MATCH('Mezz 2 Amortization'!$V$19,'Mezz 2 Amortization'!$B$19:$V$19,0)),IF(AND('Mezz 2 Amortization'!$T$4="Bi-Annual",BF$5&lt;MIN('Mezz 2 Amortization'!$R$4,'Mezz 2 Amortization'!$S$4)),INDEX('Mezz 2 Amortization'!$B$19:$V$379,MATCH(DATE(BF$7-1,MAX('Mezz 2 Amortization'!$R$4,'Mezz 2 Amortization'!$S$4),31),'Mezz 2 Amortization'!$E$19:$E$379,0),MATCH('Mezz 2 Amortization'!$V$19,'Mezz 2 Amortization'!$B$19:$V$19,0)),IF(AND('Mezz 2 Amortization'!$T$4="Bi-Annual",BF$5&gt;MAX('Mezz 2 Amortization'!$R$4,'Mezz 2 Amortization'!$S$4)),INDEX('Mezz 2 Amortization'!$B$19:$V$379,MATCH(DATE(BF$7,MAX('Mezz 2 Amortization'!$R$4,'Mezz 2 Amortization'!$S$4),31),'Mezz 2 Amortization'!$E$19:$E$379,0),MATCH('Mezz 2 Amortization'!$V$19,'Mezz 2 Amortization'!$B$19:$V$19,0)),IF(AND('Mezz 2 Amortization'!$T$4="Bi-Annual",BF$5&gt;MIN('Mezz 2 Amortization'!$R$4,'Mezz 2 Amortization'!$S$4),BF$5&lt;MAX('Mezz 2 Amortization'!$R$4,'Mezz 2 Amortization'!$S$4)),INDEX('Mezz 2 Amortization'!$B$19:$V$379,MATCH(DATE(BF$7,MIN('Mezz 2 Amortization'!$R$4,'Mezz 2 Amortization'!$S$4),31),'Mezz 2 Amortization'!$E$19:$E$379,0),MATCH('Mezz 2 Amortization'!$V$19,'Mezz 2 Amortization'!$B$19:$V$19,0)),IF(AND('Mezz 2 Amortization'!$T$4="Bi-Annual",BF$5='Mezz 2 Amortization'!$R$4),INDEX('Mezz 2 Amortization'!$B$19:$V$379,MATCH(DATE(BF$7,'Mezz 2 Amortization'!$R$4,31),'Mezz 2 Amortization'!$E$19:$E$379,0),MATCH('Mezz 2 Amortization'!$V$19,'Mezz 2 Amortization'!$B$19:$V$19,0)),IF(AND('Mezz 2 Amortization'!$T$4="Bi-Annual",BF$5='Mezz 2 Amortization'!$S$4),INDEX('Mezz 2 Amortization'!$B$19:$V$379,MATCH(DATE(BF$7,'Mezz 2 Amortization'!$S$4,31),'Mezz 2 Amortization'!$E$19:$E$379,0),MATCH('Mezz 2 Amortization'!$V$19,'Mezz 2 Amortization'!$B$19:$V$19,0)))))))))))</f>
        <v>0</v>
      </c>
      <c r="BG147" s="427">
        <f>IF('Financing Assumptions'!$T$8="No",0,IF(BG$9&lt;'Financing Assumptions'!$S$26,0,IF(AND('Mezz 2 Amortization'!$T$4&lt;&gt;"Monthly",BG9&lt;='Financing Assumptions'!$S$26),0,IF('Mezz 2 Amortization'!$T$4="Monthly",INDEX('Mezz 2 Amortization'!$B$19:$V$379,MATCH(BG$11,'Mezz 2 Amortization'!$E$19:$E$379,0),MATCH('Mezz 2 Amortization'!$V$19,'Mezz 2 Amortization'!$B$19:$V$19,0)),IF(AND('Mezz 2 Amortization'!$T$4="Bi-Annual",BG$5&lt;MIN('Mezz 2 Amortization'!$R$4,'Mezz 2 Amortization'!$S$4)),INDEX('Mezz 2 Amortization'!$B$19:$V$379,MATCH(DATE(BG$7-1,MAX('Mezz 2 Amortization'!$R$4,'Mezz 2 Amortization'!$S$4),31),'Mezz 2 Amortization'!$E$19:$E$379,0),MATCH('Mezz 2 Amortization'!$V$19,'Mezz 2 Amortization'!$B$19:$V$19,0)),IF(AND('Mezz 2 Amortization'!$T$4="Bi-Annual",BG$5&gt;MAX('Mezz 2 Amortization'!$R$4,'Mezz 2 Amortization'!$S$4)),INDEX('Mezz 2 Amortization'!$B$19:$V$379,MATCH(DATE(BG$7,MAX('Mezz 2 Amortization'!$R$4,'Mezz 2 Amortization'!$S$4),31),'Mezz 2 Amortization'!$E$19:$E$379,0),MATCH('Mezz 2 Amortization'!$V$19,'Mezz 2 Amortization'!$B$19:$V$19,0)),IF(AND('Mezz 2 Amortization'!$T$4="Bi-Annual",BG$5&gt;MIN('Mezz 2 Amortization'!$R$4,'Mezz 2 Amortization'!$S$4),BG$5&lt;MAX('Mezz 2 Amortization'!$R$4,'Mezz 2 Amortization'!$S$4)),INDEX('Mezz 2 Amortization'!$B$19:$V$379,MATCH(DATE(BG$7,MIN('Mezz 2 Amortization'!$R$4,'Mezz 2 Amortization'!$S$4),31),'Mezz 2 Amortization'!$E$19:$E$379,0),MATCH('Mezz 2 Amortization'!$V$19,'Mezz 2 Amortization'!$B$19:$V$19,0)),IF(AND('Mezz 2 Amortization'!$T$4="Bi-Annual",BG$5='Mezz 2 Amortization'!$R$4),INDEX('Mezz 2 Amortization'!$B$19:$V$379,MATCH(DATE(BG$7,'Mezz 2 Amortization'!$R$4,31),'Mezz 2 Amortization'!$E$19:$E$379,0),MATCH('Mezz 2 Amortization'!$V$19,'Mezz 2 Amortization'!$B$19:$V$19,0)),IF(AND('Mezz 2 Amortization'!$T$4="Bi-Annual",BG$5='Mezz 2 Amortization'!$S$4),INDEX('Mezz 2 Amortization'!$B$19:$V$379,MATCH(DATE(BG$7,'Mezz 2 Amortization'!$S$4,31),'Mezz 2 Amortization'!$E$19:$E$379,0),MATCH('Mezz 2 Amortization'!$V$19,'Mezz 2 Amortization'!$B$19:$V$19,0)))))))))))</f>
        <v>0</v>
      </c>
      <c r="BH147" s="427">
        <f>IF('Financing Assumptions'!$T$8="No",0,IF(BH$9&lt;'Financing Assumptions'!$S$26,0,IF(AND('Mezz 2 Amortization'!$T$4&lt;&gt;"Monthly",BH9&lt;='Financing Assumptions'!$S$26),0,IF('Mezz 2 Amortization'!$T$4="Monthly",INDEX('Mezz 2 Amortization'!$B$19:$V$379,MATCH(BH$11,'Mezz 2 Amortization'!$E$19:$E$379,0),MATCH('Mezz 2 Amortization'!$V$19,'Mezz 2 Amortization'!$B$19:$V$19,0)),IF(AND('Mezz 2 Amortization'!$T$4="Bi-Annual",BH$5&lt;MIN('Mezz 2 Amortization'!$R$4,'Mezz 2 Amortization'!$S$4)),INDEX('Mezz 2 Amortization'!$B$19:$V$379,MATCH(DATE(BH$7-1,MAX('Mezz 2 Amortization'!$R$4,'Mezz 2 Amortization'!$S$4),31),'Mezz 2 Amortization'!$E$19:$E$379,0),MATCH('Mezz 2 Amortization'!$V$19,'Mezz 2 Amortization'!$B$19:$V$19,0)),IF(AND('Mezz 2 Amortization'!$T$4="Bi-Annual",BH$5&gt;MAX('Mezz 2 Amortization'!$R$4,'Mezz 2 Amortization'!$S$4)),INDEX('Mezz 2 Amortization'!$B$19:$V$379,MATCH(DATE(BH$7,MAX('Mezz 2 Amortization'!$R$4,'Mezz 2 Amortization'!$S$4),31),'Mezz 2 Amortization'!$E$19:$E$379,0),MATCH('Mezz 2 Amortization'!$V$19,'Mezz 2 Amortization'!$B$19:$V$19,0)),IF(AND('Mezz 2 Amortization'!$T$4="Bi-Annual",BH$5&gt;MIN('Mezz 2 Amortization'!$R$4,'Mezz 2 Amortization'!$S$4),BH$5&lt;MAX('Mezz 2 Amortization'!$R$4,'Mezz 2 Amortization'!$S$4)),INDEX('Mezz 2 Amortization'!$B$19:$V$379,MATCH(DATE(BH$7,MIN('Mezz 2 Amortization'!$R$4,'Mezz 2 Amortization'!$S$4),31),'Mezz 2 Amortization'!$E$19:$E$379,0),MATCH('Mezz 2 Amortization'!$V$19,'Mezz 2 Amortization'!$B$19:$V$19,0)),IF(AND('Mezz 2 Amortization'!$T$4="Bi-Annual",BH$5='Mezz 2 Amortization'!$R$4),INDEX('Mezz 2 Amortization'!$B$19:$V$379,MATCH(DATE(BH$7,'Mezz 2 Amortization'!$R$4,31),'Mezz 2 Amortization'!$E$19:$E$379,0),MATCH('Mezz 2 Amortization'!$V$19,'Mezz 2 Amortization'!$B$19:$V$19,0)),IF(AND('Mezz 2 Amortization'!$T$4="Bi-Annual",BH$5='Mezz 2 Amortization'!$S$4),INDEX('Mezz 2 Amortization'!$B$19:$V$379,MATCH(DATE(BH$7,'Mezz 2 Amortization'!$S$4,31),'Mezz 2 Amortization'!$E$19:$E$379,0),MATCH('Mezz 2 Amortization'!$V$19,'Mezz 2 Amortization'!$B$19:$V$19,0)))))))))))</f>
        <v>0</v>
      </c>
      <c r="BI147" s="427">
        <f>IF('Financing Assumptions'!$T$8="No",0,IF(BI$9&lt;'Financing Assumptions'!$S$26,0,IF(AND('Mezz 2 Amortization'!$T$4&lt;&gt;"Monthly",BI9&lt;='Financing Assumptions'!$S$26),0,IF('Mezz 2 Amortization'!$T$4="Monthly",INDEX('Mezz 2 Amortization'!$B$19:$V$379,MATCH(BI$11,'Mezz 2 Amortization'!$E$19:$E$379,0),MATCH('Mezz 2 Amortization'!$V$19,'Mezz 2 Amortization'!$B$19:$V$19,0)),IF(AND('Mezz 2 Amortization'!$T$4="Bi-Annual",BI$5&lt;MIN('Mezz 2 Amortization'!$R$4,'Mezz 2 Amortization'!$S$4)),INDEX('Mezz 2 Amortization'!$B$19:$V$379,MATCH(DATE(BI$7-1,MAX('Mezz 2 Amortization'!$R$4,'Mezz 2 Amortization'!$S$4),31),'Mezz 2 Amortization'!$E$19:$E$379,0),MATCH('Mezz 2 Amortization'!$V$19,'Mezz 2 Amortization'!$B$19:$V$19,0)),IF(AND('Mezz 2 Amortization'!$T$4="Bi-Annual",BI$5&gt;MAX('Mezz 2 Amortization'!$R$4,'Mezz 2 Amortization'!$S$4)),INDEX('Mezz 2 Amortization'!$B$19:$V$379,MATCH(DATE(BI$7,MAX('Mezz 2 Amortization'!$R$4,'Mezz 2 Amortization'!$S$4),31),'Mezz 2 Amortization'!$E$19:$E$379,0),MATCH('Mezz 2 Amortization'!$V$19,'Mezz 2 Amortization'!$B$19:$V$19,0)),IF(AND('Mezz 2 Amortization'!$T$4="Bi-Annual",BI$5&gt;MIN('Mezz 2 Amortization'!$R$4,'Mezz 2 Amortization'!$S$4),BI$5&lt;MAX('Mezz 2 Amortization'!$R$4,'Mezz 2 Amortization'!$S$4)),INDEX('Mezz 2 Amortization'!$B$19:$V$379,MATCH(DATE(BI$7,MIN('Mezz 2 Amortization'!$R$4,'Mezz 2 Amortization'!$S$4),31),'Mezz 2 Amortization'!$E$19:$E$379,0),MATCH('Mezz 2 Amortization'!$V$19,'Mezz 2 Amortization'!$B$19:$V$19,0)),IF(AND('Mezz 2 Amortization'!$T$4="Bi-Annual",BI$5='Mezz 2 Amortization'!$R$4),INDEX('Mezz 2 Amortization'!$B$19:$V$379,MATCH(DATE(BI$7,'Mezz 2 Amortization'!$R$4,31),'Mezz 2 Amortization'!$E$19:$E$379,0),MATCH('Mezz 2 Amortization'!$V$19,'Mezz 2 Amortization'!$B$19:$V$19,0)),IF(AND('Mezz 2 Amortization'!$T$4="Bi-Annual",BI$5='Mezz 2 Amortization'!$S$4),INDEX('Mezz 2 Amortization'!$B$19:$V$379,MATCH(DATE(BI$7,'Mezz 2 Amortization'!$S$4,31),'Mezz 2 Amortization'!$E$19:$E$379,0),MATCH('Mezz 2 Amortization'!$V$19,'Mezz 2 Amortization'!$B$19:$V$19,0)))))))))))</f>
        <v>0</v>
      </c>
      <c r="BJ147" s="427">
        <f>IF('Financing Assumptions'!$T$8="No",0,IF(BJ$9&lt;'Financing Assumptions'!$S$26,0,IF(AND('Mezz 2 Amortization'!$T$4&lt;&gt;"Monthly",BJ9&lt;='Financing Assumptions'!$S$26),0,IF('Mezz 2 Amortization'!$T$4="Monthly",INDEX('Mezz 2 Amortization'!$B$19:$V$379,MATCH(BJ$11,'Mezz 2 Amortization'!$E$19:$E$379,0),MATCH('Mezz 2 Amortization'!$V$19,'Mezz 2 Amortization'!$B$19:$V$19,0)),IF(AND('Mezz 2 Amortization'!$T$4="Bi-Annual",BJ$5&lt;MIN('Mezz 2 Amortization'!$R$4,'Mezz 2 Amortization'!$S$4)),INDEX('Mezz 2 Amortization'!$B$19:$V$379,MATCH(DATE(BJ$7-1,MAX('Mezz 2 Amortization'!$R$4,'Mezz 2 Amortization'!$S$4),31),'Mezz 2 Amortization'!$E$19:$E$379,0),MATCH('Mezz 2 Amortization'!$V$19,'Mezz 2 Amortization'!$B$19:$V$19,0)),IF(AND('Mezz 2 Amortization'!$T$4="Bi-Annual",BJ$5&gt;MAX('Mezz 2 Amortization'!$R$4,'Mezz 2 Amortization'!$S$4)),INDEX('Mezz 2 Amortization'!$B$19:$V$379,MATCH(DATE(BJ$7,MAX('Mezz 2 Amortization'!$R$4,'Mezz 2 Amortization'!$S$4),31),'Mezz 2 Amortization'!$E$19:$E$379,0),MATCH('Mezz 2 Amortization'!$V$19,'Mezz 2 Amortization'!$B$19:$V$19,0)),IF(AND('Mezz 2 Amortization'!$T$4="Bi-Annual",BJ$5&gt;MIN('Mezz 2 Amortization'!$R$4,'Mezz 2 Amortization'!$S$4),BJ$5&lt;MAX('Mezz 2 Amortization'!$R$4,'Mezz 2 Amortization'!$S$4)),INDEX('Mezz 2 Amortization'!$B$19:$V$379,MATCH(DATE(BJ$7,MIN('Mezz 2 Amortization'!$R$4,'Mezz 2 Amortization'!$S$4),31),'Mezz 2 Amortization'!$E$19:$E$379,0),MATCH('Mezz 2 Amortization'!$V$19,'Mezz 2 Amortization'!$B$19:$V$19,0)),IF(AND('Mezz 2 Amortization'!$T$4="Bi-Annual",BJ$5='Mezz 2 Amortization'!$R$4),INDEX('Mezz 2 Amortization'!$B$19:$V$379,MATCH(DATE(BJ$7,'Mezz 2 Amortization'!$R$4,31),'Mezz 2 Amortization'!$E$19:$E$379,0),MATCH('Mezz 2 Amortization'!$V$19,'Mezz 2 Amortization'!$B$19:$V$19,0)),IF(AND('Mezz 2 Amortization'!$T$4="Bi-Annual",BJ$5='Mezz 2 Amortization'!$S$4),INDEX('Mezz 2 Amortization'!$B$19:$V$379,MATCH(DATE(BJ$7,'Mezz 2 Amortization'!$S$4,31),'Mezz 2 Amortization'!$E$19:$E$379,0),MATCH('Mezz 2 Amortization'!$V$19,'Mezz 2 Amortization'!$B$19:$V$19,0)))))))))))</f>
        <v>0</v>
      </c>
      <c r="BK147" s="427">
        <f>IF('Financing Assumptions'!$T$8="No",0,IF(BK$9&lt;'Financing Assumptions'!$S$26,0,IF(AND('Mezz 2 Amortization'!$T$4&lt;&gt;"Monthly",BK9&lt;='Financing Assumptions'!$S$26),0,IF('Mezz 2 Amortization'!$T$4="Monthly",INDEX('Mezz 2 Amortization'!$B$19:$V$379,MATCH(BK$11,'Mezz 2 Amortization'!$E$19:$E$379,0),MATCH('Mezz 2 Amortization'!$V$19,'Mezz 2 Amortization'!$B$19:$V$19,0)),IF(AND('Mezz 2 Amortization'!$T$4="Bi-Annual",BK$5&lt;MIN('Mezz 2 Amortization'!$R$4,'Mezz 2 Amortization'!$S$4)),INDEX('Mezz 2 Amortization'!$B$19:$V$379,MATCH(DATE(BK$7-1,MAX('Mezz 2 Amortization'!$R$4,'Mezz 2 Amortization'!$S$4),31),'Mezz 2 Amortization'!$E$19:$E$379,0),MATCH('Mezz 2 Amortization'!$V$19,'Mezz 2 Amortization'!$B$19:$V$19,0)),IF(AND('Mezz 2 Amortization'!$T$4="Bi-Annual",BK$5&gt;MAX('Mezz 2 Amortization'!$R$4,'Mezz 2 Amortization'!$S$4)),INDEX('Mezz 2 Amortization'!$B$19:$V$379,MATCH(DATE(BK$7,MAX('Mezz 2 Amortization'!$R$4,'Mezz 2 Amortization'!$S$4),31),'Mezz 2 Amortization'!$E$19:$E$379,0),MATCH('Mezz 2 Amortization'!$V$19,'Mezz 2 Amortization'!$B$19:$V$19,0)),IF(AND('Mezz 2 Amortization'!$T$4="Bi-Annual",BK$5&gt;MIN('Mezz 2 Amortization'!$R$4,'Mezz 2 Amortization'!$S$4),BK$5&lt;MAX('Mezz 2 Amortization'!$R$4,'Mezz 2 Amortization'!$S$4)),INDEX('Mezz 2 Amortization'!$B$19:$V$379,MATCH(DATE(BK$7,MIN('Mezz 2 Amortization'!$R$4,'Mezz 2 Amortization'!$S$4),31),'Mezz 2 Amortization'!$E$19:$E$379,0),MATCH('Mezz 2 Amortization'!$V$19,'Mezz 2 Amortization'!$B$19:$V$19,0)),IF(AND('Mezz 2 Amortization'!$T$4="Bi-Annual",BK$5='Mezz 2 Amortization'!$R$4),INDEX('Mezz 2 Amortization'!$B$19:$V$379,MATCH(DATE(BK$7,'Mezz 2 Amortization'!$R$4,31),'Mezz 2 Amortization'!$E$19:$E$379,0),MATCH('Mezz 2 Amortization'!$V$19,'Mezz 2 Amortization'!$B$19:$V$19,0)),IF(AND('Mezz 2 Amortization'!$T$4="Bi-Annual",BK$5='Mezz 2 Amortization'!$S$4),INDEX('Mezz 2 Amortization'!$B$19:$V$379,MATCH(DATE(BK$7,'Mezz 2 Amortization'!$S$4,31),'Mezz 2 Amortization'!$E$19:$E$379,0),MATCH('Mezz 2 Amortization'!$V$19,'Mezz 2 Amortization'!$B$19:$V$19,0)))))))))))</f>
        <v>0</v>
      </c>
      <c r="BL147" s="427">
        <f>IF('Financing Assumptions'!$T$8="No",0,IF(BL$9&lt;'Financing Assumptions'!$S$26,0,IF(AND('Mezz 2 Amortization'!$T$4&lt;&gt;"Monthly",BL9&lt;='Financing Assumptions'!$S$26),0,IF('Mezz 2 Amortization'!$T$4="Monthly",INDEX('Mezz 2 Amortization'!$B$19:$V$379,MATCH(BL$11,'Mezz 2 Amortization'!$E$19:$E$379,0),MATCH('Mezz 2 Amortization'!$V$19,'Mezz 2 Amortization'!$B$19:$V$19,0)),IF(AND('Mezz 2 Amortization'!$T$4="Bi-Annual",BL$5&lt;MIN('Mezz 2 Amortization'!$R$4,'Mezz 2 Amortization'!$S$4)),INDEX('Mezz 2 Amortization'!$B$19:$V$379,MATCH(DATE(BL$7-1,MAX('Mezz 2 Amortization'!$R$4,'Mezz 2 Amortization'!$S$4),31),'Mezz 2 Amortization'!$E$19:$E$379,0),MATCH('Mezz 2 Amortization'!$V$19,'Mezz 2 Amortization'!$B$19:$V$19,0)),IF(AND('Mezz 2 Amortization'!$T$4="Bi-Annual",BL$5&gt;MAX('Mezz 2 Amortization'!$R$4,'Mezz 2 Amortization'!$S$4)),INDEX('Mezz 2 Amortization'!$B$19:$V$379,MATCH(DATE(BL$7,MAX('Mezz 2 Amortization'!$R$4,'Mezz 2 Amortization'!$S$4),31),'Mezz 2 Amortization'!$E$19:$E$379,0),MATCH('Mezz 2 Amortization'!$V$19,'Mezz 2 Amortization'!$B$19:$V$19,0)),IF(AND('Mezz 2 Amortization'!$T$4="Bi-Annual",BL$5&gt;MIN('Mezz 2 Amortization'!$R$4,'Mezz 2 Amortization'!$S$4),BL$5&lt;MAX('Mezz 2 Amortization'!$R$4,'Mezz 2 Amortization'!$S$4)),INDEX('Mezz 2 Amortization'!$B$19:$V$379,MATCH(DATE(BL$7,MIN('Mezz 2 Amortization'!$R$4,'Mezz 2 Amortization'!$S$4),31),'Mezz 2 Amortization'!$E$19:$E$379,0),MATCH('Mezz 2 Amortization'!$V$19,'Mezz 2 Amortization'!$B$19:$V$19,0)),IF(AND('Mezz 2 Amortization'!$T$4="Bi-Annual",BL$5='Mezz 2 Amortization'!$R$4),INDEX('Mezz 2 Amortization'!$B$19:$V$379,MATCH(DATE(BL$7,'Mezz 2 Amortization'!$R$4,31),'Mezz 2 Amortization'!$E$19:$E$379,0),MATCH('Mezz 2 Amortization'!$V$19,'Mezz 2 Amortization'!$B$19:$V$19,0)),IF(AND('Mezz 2 Amortization'!$T$4="Bi-Annual",BL$5='Mezz 2 Amortization'!$S$4),INDEX('Mezz 2 Amortization'!$B$19:$V$379,MATCH(DATE(BL$7,'Mezz 2 Amortization'!$S$4,31),'Mezz 2 Amortization'!$E$19:$E$379,0),MATCH('Mezz 2 Amortization'!$V$19,'Mezz 2 Amortization'!$B$19:$V$19,0)))))))))))</f>
        <v>0</v>
      </c>
      <c r="BM147" s="427">
        <f>IF('Financing Assumptions'!$T$8="No",0,IF(BM$9&lt;'Financing Assumptions'!$S$26,0,IF(AND('Mezz 2 Amortization'!$T$4&lt;&gt;"Monthly",BM9&lt;='Financing Assumptions'!$S$26),0,IF('Mezz 2 Amortization'!$T$4="Monthly",INDEX('Mezz 2 Amortization'!$B$19:$V$379,MATCH(BM$11,'Mezz 2 Amortization'!$E$19:$E$379,0),MATCH('Mezz 2 Amortization'!$V$19,'Mezz 2 Amortization'!$B$19:$V$19,0)),IF(AND('Mezz 2 Amortization'!$T$4="Bi-Annual",BM$5&lt;MIN('Mezz 2 Amortization'!$R$4,'Mezz 2 Amortization'!$S$4)),INDEX('Mezz 2 Amortization'!$B$19:$V$379,MATCH(DATE(BM$7-1,MAX('Mezz 2 Amortization'!$R$4,'Mezz 2 Amortization'!$S$4),31),'Mezz 2 Amortization'!$E$19:$E$379,0),MATCH('Mezz 2 Amortization'!$V$19,'Mezz 2 Amortization'!$B$19:$V$19,0)),IF(AND('Mezz 2 Amortization'!$T$4="Bi-Annual",BM$5&gt;MAX('Mezz 2 Amortization'!$R$4,'Mezz 2 Amortization'!$S$4)),INDEX('Mezz 2 Amortization'!$B$19:$V$379,MATCH(DATE(BM$7,MAX('Mezz 2 Amortization'!$R$4,'Mezz 2 Amortization'!$S$4),31),'Mezz 2 Amortization'!$E$19:$E$379,0),MATCH('Mezz 2 Amortization'!$V$19,'Mezz 2 Amortization'!$B$19:$V$19,0)),IF(AND('Mezz 2 Amortization'!$T$4="Bi-Annual",BM$5&gt;MIN('Mezz 2 Amortization'!$R$4,'Mezz 2 Amortization'!$S$4),BM$5&lt;MAX('Mezz 2 Amortization'!$R$4,'Mezz 2 Amortization'!$S$4)),INDEX('Mezz 2 Amortization'!$B$19:$V$379,MATCH(DATE(BM$7,MIN('Mezz 2 Amortization'!$R$4,'Mezz 2 Amortization'!$S$4),31),'Mezz 2 Amortization'!$E$19:$E$379,0),MATCH('Mezz 2 Amortization'!$V$19,'Mezz 2 Amortization'!$B$19:$V$19,0)),IF(AND('Mezz 2 Amortization'!$T$4="Bi-Annual",BM$5='Mezz 2 Amortization'!$R$4),INDEX('Mezz 2 Amortization'!$B$19:$V$379,MATCH(DATE(BM$7,'Mezz 2 Amortization'!$R$4,31),'Mezz 2 Amortization'!$E$19:$E$379,0),MATCH('Mezz 2 Amortization'!$V$19,'Mezz 2 Amortization'!$B$19:$V$19,0)),IF(AND('Mezz 2 Amortization'!$T$4="Bi-Annual",BM$5='Mezz 2 Amortization'!$S$4),INDEX('Mezz 2 Amortization'!$B$19:$V$379,MATCH(DATE(BM$7,'Mezz 2 Amortization'!$S$4,31),'Mezz 2 Amortization'!$E$19:$E$379,0),MATCH('Mezz 2 Amortization'!$V$19,'Mezz 2 Amortization'!$B$19:$V$19,0)))))))))))</f>
        <v>0</v>
      </c>
      <c r="BN147" s="427">
        <f>IF('Financing Assumptions'!$T$8="No",0,IF(BN$9&lt;'Financing Assumptions'!$S$26,0,IF(AND('Mezz 2 Amortization'!$T$4&lt;&gt;"Monthly",BN9&lt;='Financing Assumptions'!$S$26),0,IF('Mezz 2 Amortization'!$T$4="Monthly",INDEX('Mezz 2 Amortization'!$B$19:$V$379,MATCH(BN$11,'Mezz 2 Amortization'!$E$19:$E$379,0),MATCH('Mezz 2 Amortization'!$V$19,'Mezz 2 Amortization'!$B$19:$V$19,0)),IF(AND('Mezz 2 Amortization'!$T$4="Bi-Annual",BN$5&lt;MIN('Mezz 2 Amortization'!$R$4,'Mezz 2 Amortization'!$S$4)),INDEX('Mezz 2 Amortization'!$B$19:$V$379,MATCH(DATE(BN$7-1,MAX('Mezz 2 Amortization'!$R$4,'Mezz 2 Amortization'!$S$4),31),'Mezz 2 Amortization'!$E$19:$E$379,0),MATCH('Mezz 2 Amortization'!$V$19,'Mezz 2 Amortization'!$B$19:$V$19,0)),IF(AND('Mezz 2 Amortization'!$T$4="Bi-Annual",BN$5&gt;MAX('Mezz 2 Amortization'!$R$4,'Mezz 2 Amortization'!$S$4)),INDEX('Mezz 2 Amortization'!$B$19:$V$379,MATCH(DATE(BN$7,MAX('Mezz 2 Amortization'!$R$4,'Mezz 2 Amortization'!$S$4),31),'Mezz 2 Amortization'!$E$19:$E$379,0),MATCH('Mezz 2 Amortization'!$V$19,'Mezz 2 Amortization'!$B$19:$V$19,0)),IF(AND('Mezz 2 Amortization'!$T$4="Bi-Annual",BN$5&gt;MIN('Mezz 2 Amortization'!$R$4,'Mezz 2 Amortization'!$S$4),BN$5&lt;MAX('Mezz 2 Amortization'!$R$4,'Mezz 2 Amortization'!$S$4)),INDEX('Mezz 2 Amortization'!$B$19:$V$379,MATCH(DATE(BN$7,MIN('Mezz 2 Amortization'!$R$4,'Mezz 2 Amortization'!$S$4),31),'Mezz 2 Amortization'!$E$19:$E$379,0),MATCH('Mezz 2 Amortization'!$V$19,'Mezz 2 Amortization'!$B$19:$V$19,0)),IF(AND('Mezz 2 Amortization'!$T$4="Bi-Annual",BN$5='Mezz 2 Amortization'!$R$4),INDEX('Mezz 2 Amortization'!$B$19:$V$379,MATCH(DATE(BN$7,'Mezz 2 Amortization'!$R$4,31),'Mezz 2 Amortization'!$E$19:$E$379,0),MATCH('Mezz 2 Amortization'!$V$19,'Mezz 2 Amortization'!$B$19:$V$19,0)),IF(AND('Mezz 2 Amortization'!$T$4="Bi-Annual",BN$5='Mezz 2 Amortization'!$S$4),INDEX('Mezz 2 Amortization'!$B$19:$V$379,MATCH(DATE(BN$7,'Mezz 2 Amortization'!$S$4,31),'Mezz 2 Amortization'!$E$19:$E$379,0),MATCH('Mezz 2 Amortization'!$V$19,'Mezz 2 Amortization'!$B$19:$V$19,0)))))))))))</f>
        <v>0</v>
      </c>
      <c r="BO147" s="427">
        <f>IF('Financing Assumptions'!$T$8="No",0,IF(BO$9&lt;'Financing Assumptions'!$S$26,0,IF(AND('Mezz 2 Amortization'!$T$4&lt;&gt;"Monthly",BO9&lt;='Financing Assumptions'!$S$26),0,IF('Mezz 2 Amortization'!$T$4="Monthly",INDEX('Mezz 2 Amortization'!$B$19:$V$379,MATCH(BO$11,'Mezz 2 Amortization'!$E$19:$E$379,0),MATCH('Mezz 2 Amortization'!$V$19,'Mezz 2 Amortization'!$B$19:$V$19,0)),IF(AND('Mezz 2 Amortization'!$T$4="Bi-Annual",BO$5&lt;MIN('Mezz 2 Amortization'!$R$4,'Mezz 2 Amortization'!$S$4)),INDEX('Mezz 2 Amortization'!$B$19:$V$379,MATCH(DATE(BO$7-1,MAX('Mezz 2 Amortization'!$R$4,'Mezz 2 Amortization'!$S$4),31),'Mezz 2 Amortization'!$E$19:$E$379,0),MATCH('Mezz 2 Amortization'!$V$19,'Mezz 2 Amortization'!$B$19:$V$19,0)),IF(AND('Mezz 2 Amortization'!$T$4="Bi-Annual",BO$5&gt;MAX('Mezz 2 Amortization'!$R$4,'Mezz 2 Amortization'!$S$4)),INDEX('Mezz 2 Amortization'!$B$19:$V$379,MATCH(DATE(BO$7,MAX('Mezz 2 Amortization'!$R$4,'Mezz 2 Amortization'!$S$4),31),'Mezz 2 Amortization'!$E$19:$E$379,0),MATCH('Mezz 2 Amortization'!$V$19,'Mezz 2 Amortization'!$B$19:$V$19,0)),IF(AND('Mezz 2 Amortization'!$T$4="Bi-Annual",BO$5&gt;MIN('Mezz 2 Amortization'!$R$4,'Mezz 2 Amortization'!$S$4),BO$5&lt;MAX('Mezz 2 Amortization'!$R$4,'Mezz 2 Amortization'!$S$4)),INDEX('Mezz 2 Amortization'!$B$19:$V$379,MATCH(DATE(BO$7,MIN('Mezz 2 Amortization'!$R$4,'Mezz 2 Amortization'!$S$4),31),'Mezz 2 Amortization'!$E$19:$E$379,0),MATCH('Mezz 2 Amortization'!$V$19,'Mezz 2 Amortization'!$B$19:$V$19,0)),IF(AND('Mezz 2 Amortization'!$T$4="Bi-Annual",BO$5='Mezz 2 Amortization'!$R$4),INDEX('Mezz 2 Amortization'!$B$19:$V$379,MATCH(DATE(BO$7,'Mezz 2 Amortization'!$R$4,31),'Mezz 2 Amortization'!$E$19:$E$379,0),MATCH('Mezz 2 Amortization'!$V$19,'Mezz 2 Amortization'!$B$19:$V$19,0)),IF(AND('Mezz 2 Amortization'!$T$4="Bi-Annual",BO$5='Mezz 2 Amortization'!$S$4),INDEX('Mezz 2 Amortization'!$B$19:$V$379,MATCH(DATE(BO$7,'Mezz 2 Amortization'!$S$4,31),'Mezz 2 Amortization'!$E$19:$E$379,0),MATCH('Mezz 2 Amortization'!$V$19,'Mezz 2 Amortization'!$B$19:$V$19,0)))))))))))</f>
        <v>0</v>
      </c>
      <c r="BP147" s="427">
        <f>IF('Financing Assumptions'!$T$8="No",0,IF(BP$9&lt;'Financing Assumptions'!$S$26,0,IF(AND('Mezz 2 Amortization'!$T$4&lt;&gt;"Monthly",BP9&lt;='Financing Assumptions'!$S$26),0,IF('Mezz 2 Amortization'!$T$4="Monthly",INDEX('Mezz 2 Amortization'!$B$19:$V$379,MATCH(BP$11,'Mezz 2 Amortization'!$E$19:$E$379,0),MATCH('Mezz 2 Amortization'!$V$19,'Mezz 2 Amortization'!$B$19:$V$19,0)),IF(AND('Mezz 2 Amortization'!$T$4="Bi-Annual",BP$5&lt;MIN('Mezz 2 Amortization'!$R$4,'Mezz 2 Amortization'!$S$4)),INDEX('Mezz 2 Amortization'!$B$19:$V$379,MATCH(DATE(BP$7-1,MAX('Mezz 2 Amortization'!$R$4,'Mezz 2 Amortization'!$S$4),31),'Mezz 2 Amortization'!$E$19:$E$379,0),MATCH('Mezz 2 Amortization'!$V$19,'Mezz 2 Amortization'!$B$19:$V$19,0)),IF(AND('Mezz 2 Amortization'!$T$4="Bi-Annual",BP$5&gt;MAX('Mezz 2 Amortization'!$R$4,'Mezz 2 Amortization'!$S$4)),INDEX('Mezz 2 Amortization'!$B$19:$V$379,MATCH(DATE(BP$7,MAX('Mezz 2 Amortization'!$R$4,'Mezz 2 Amortization'!$S$4),31),'Mezz 2 Amortization'!$E$19:$E$379,0),MATCH('Mezz 2 Amortization'!$V$19,'Mezz 2 Amortization'!$B$19:$V$19,0)),IF(AND('Mezz 2 Amortization'!$T$4="Bi-Annual",BP$5&gt;MIN('Mezz 2 Amortization'!$R$4,'Mezz 2 Amortization'!$S$4),BP$5&lt;MAX('Mezz 2 Amortization'!$R$4,'Mezz 2 Amortization'!$S$4)),INDEX('Mezz 2 Amortization'!$B$19:$V$379,MATCH(DATE(BP$7,MIN('Mezz 2 Amortization'!$R$4,'Mezz 2 Amortization'!$S$4),31),'Mezz 2 Amortization'!$E$19:$E$379,0),MATCH('Mezz 2 Amortization'!$V$19,'Mezz 2 Amortization'!$B$19:$V$19,0)),IF(AND('Mezz 2 Amortization'!$T$4="Bi-Annual",BP$5='Mezz 2 Amortization'!$R$4),INDEX('Mezz 2 Amortization'!$B$19:$V$379,MATCH(DATE(BP$7,'Mezz 2 Amortization'!$R$4,31),'Mezz 2 Amortization'!$E$19:$E$379,0),MATCH('Mezz 2 Amortization'!$V$19,'Mezz 2 Amortization'!$B$19:$V$19,0)),IF(AND('Mezz 2 Amortization'!$T$4="Bi-Annual",BP$5='Mezz 2 Amortization'!$S$4),INDEX('Mezz 2 Amortization'!$B$19:$V$379,MATCH(DATE(BP$7,'Mezz 2 Amortization'!$S$4,31),'Mezz 2 Amortization'!$E$19:$E$379,0),MATCH('Mezz 2 Amortization'!$V$19,'Mezz 2 Amortization'!$B$19:$V$19,0)))))))))))</f>
        <v>0</v>
      </c>
      <c r="BQ147" s="427">
        <f>IF('Financing Assumptions'!$T$8="No",0,IF(BQ$9&lt;'Financing Assumptions'!$S$26,0,IF(AND('Mezz 2 Amortization'!$T$4&lt;&gt;"Monthly",BQ9&lt;='Financing Assumptions'!$S$26),0,IF('Mezz 2 Amortization'!$T$4="Monthly",INDEX('Mezz 2 Amortization'!$B$19:$V$379,MATCH(BQ$11,'Mezz 2 Amortization'!$E$19:$E$379,0),MATCH('Mezz 2 Amortization'!$V$19,'Mezz 2 Amortization'!$B$19:$V$19,0)),IF(AND('Mezz 2 Amortization'!$T$4="Bi-Annual",BQ$5&lt;MIN('Mezz 2 Amortization'!$R$4,'Mezz 2 Amortization'!$S$4)),INDEX('Mezz 2 Amortization'!$B$19:$V$379,MATCH(DATE(BQ$7-1,MAX('Mezz 2 Amortization'!$R$4,'Mezz 2 Amortization'!$S$4),31),'Mezz 2 Amortization'!$E$19:$E$379,0),MATCH('Mezz 2 Amortization'!$V$19,'Mezz 2 Amortization'!$B$19:$V$19,0)),IF(AND('Mezz 2 Amortization'!$T$4="Bi-Annual",BQ$5&gt;MAX('Mezz 2 Amortization'!$R$4,'Mezz 2 Amortization'!$S$4)),INDEX('Mezz 2 Amortization'!$B$19:$V$379,MATCH(DATE(BQ$7,MAX('Mezz 2 Amortization'!$R$4,'Mezz 2 Amortization'!$S$4),31),'Mezz 2 Amortization'!$E$19:$E$379,0),MATCH('Mezz 2 Amortization'!$V$19,'Mezz 2 Amortization'!$B$19:$V$19,0)),IF(AND('Mezz 2 Amortization'!$T$4="Bi-Annual",BQ$5&gt;MIN('Mezz 2 Amortization'!$R$4,'Mezz 2 Amortization'!$S$4),BQ$5&lt;MAX('Mezz 2 Amortization'!$R$4,'Mezz 2 Amortization'!$S$4)),INDEX('Mezz 2 Amortization'!$B$19:$V$379,MATCH(DATE(BQ$7,MIN('Mezz 2 Amortization'!$R$4,'Mezz 2 Amortization'!$S$4),31),'Mezz 2 Amortization'!$E$19:$E$379,0),MATCH('Mezz 2 Amortization'!$V$19,'Mezz 2 Amortization'!$B$19:$V$19,0)),IF(AND('Mezz 2 Amortization'!$T$4="Bi-Annual",BQ$5='Mezz 2 Amortization'!$R$4),INDEX('Mezz 2 Amortization'!$B$19:$V$379,MATCH(DATE(BQ$7,'Mezz 2 Amortization'!$R$4,31),'Mezz 2 Amortization'!$E$19:$E$379,0),MATCH('Mezz 2 Amortization'!$V$19,'Mezz 2 Amortization'!$B$19:$V$19,0)),IF(AND('Mezz 2 Amortization'!$T$4="Bi-Annual",BQ$5='Mezz 2 Amortization'!$S$4),INDEX('Mezz 2 Amortization'!$B$19:$V$379,MATCH(DATE(BQ$7,'Mezz 2 Amortization'!$S$4,31),'Mezz 2 Amortization'!$E$19:$E$379,0),MATCH('Mezz 2 Amortization'!$V$19,'Mezz 2 Amortization'!$B$19:$V$19,0)))))))))))</f>
        <v>0</v>
      </c>
      <c r="BR147" s="427">
        <f>IF('Financing Assumptions'!$T$8="No",0,IF(BR$9&lt;'Financing Assumptions'!$S$26,0,IF(AND('Mezz 2 Amortization'!$T$4&lt;&gt;"Monthly",BR9&lt;='Financing Assumptions'!$S$26),0,IF('Mezz 2 Amortization'!$T$4="Monthly",INDEX('Mezz 2 Amortization'!$B$19:$V$379,MATCH(BR$11,'Mezz 2 Amortization'!$E$19:$E$379,0),MATCH('Mezz 2 Amortization'!$V$19,'Mezz 2 Amortization'!$B$19:$V$19,0)),IF(AND('Mezz 2 Amortization'!$T$4="Bi-Annual",BR$5&lt;MIN('Mezz 2 Amortization'!$R$4,'Mezz 2 Amortization'!$S$4)),INDEX('Mezz 2 Amortization'!$B$19:$V$379,MATCH(DATE(BR$7-1,MAX('Mezz 2 Amortization'!$R$4,'Mezz 2 Amortization'!$S$4),31),'Mezz 2 Amortization'!$E$19:$E$379,0),MATCH('Mezz 2 Amortization'!$V$19,'Mezz 2 Amortization'!$B$19:$V$19,0)),IF(AND('Mezz 2 Amortization'!$T$4="Bi-Annual",BR$5&gt;MAX('Mezz 2 Amortization'!$R$4,'Mezz 2 Amortization'!$S$4)),INDEX('Mezz 2 Amortization'!$B$19:$V$379,MATCH(DATE(BR$7,MAX('Mezz 2 Amortization'!$R$4,'Mezz 2 Amortization'!$S$4),31),'Mezz 2 Amortization'!$E$19:$E$379,0),MATCH('Mezz 2 Amortization'!$V$19,'Mezz 2 Amortization'!$B$19:$V$19,0)),IF(AND('Mezz 2 Amortization'!$T$4="Bi-Annual",BR$5&gt;MIN('Mezz 2 Amortization'!$R$4,'Mezz 2 Amortization'!$S$4),BR$5&lt;MAX('Mezz 2 Amortization'!$R$4,'Mezz 2 Amortization'!$S$4)),INDEX('Mezz 2 Amortization'!$B$19:$V$379,MATCH(DATE(BR$7,MIN('Mezz 2 Amortization'!$R$4,'Mezz 2 Amortization'!$S$4),31),'Mezz 2 Amortization'!$E$19:$E$379,0),MATCH('Mezz 2 Amortization'!$V$19,'Mezz 2 Amortization'!$B$19:$V$19,0)),IF(AND('Mezz 2 Amortization'!$T$4="Bi-Annual",BR$5='Mezz 2 Amortization'!$R$4),INDEX('Mezz 2 Amortization'!$B$19:$V$379,MATCH(DATE(BR$7,'Mezz 2 Amortization'!$R$4,31),'Mezz 2 Amortization'!$E$19:$E$379,0),MATCH('Mezz 2 Amortization'!$V$19,'Mezz 2 Amortization'!$B$19:$V$19,0)),IF(AND('Mezz 2 Amortization'!$T$4="Bi-Annual",BR$5='Mezz 2 Amortization'!$S$4),INDEX('Mezz 2 Amortization'!$B$19:$V$379,MATCH(DATE(BR$7,'Mezz 2 Amortization'!$S$4,31),'Mezz 2 Amortization'!$E$19:$E$379,0),MATCH('Mezz 2 Amortization'!$V$19,'Mezz 2 Amortization'!$B$19:$V$19,0)))))))))))</f>
        <v>0</v>
      </c>
      <c r="BS147" s="427">
        <f>IF('Financing Assumptions'!$T$8="No",0,IF(BS$9&lt;'Financing Assumptions'!$S$26,0,IF(AND('Mezz 2 Amortization'!$T$4&lt;&gt;"Monthly",BS9&lt;='Financing Assumptions'!$S$26),0,IF('Mezz 2 Amortization'!$T$4="Monthly",INDEX('Mezz 2 Amortization'!$B$19:$V$379,MATCH(BS$11,'Mezz 2 Amortization'!$E$19:$E$379,0),MATCH('Mezz 2 Amortization'!$V$19,'Mezz 2 Amortization'!$B$19:$V$19,0)),IF(AND('Mezz 2 Amortization'!$T$4="Bi-Annual",BS$5&lt;MIN('Mezz 2 Amortization'!$R$4,'Mezz 2 Amortization'!$S$4)),INDEX('Mezz 2 Amortization'!$B$19:$V$379,MATCH(DATE(BS$7-1,MAX('Mezz 2 Amortization'!$R$4,'Mezz 2 Amortization'!$S$4),31),'Mezz 2 Amortization'!$E$19:$E$379,0),MATCH('Mezz 2 Amortization'!$V$19,'Mezz 2 Amortization'!$B$19:$V$19,0)),IF(AND('Mezz 2 Amortization'!$T$4="Bi-Annual",BS$5&gt;MAX('Mezz 2 Amortization'!$R$4,'Mezz 2 Amortization'!$S$4)),INDEX('Mezz 2 Amortization'!$B$19:$V$379,MATCH(DATE(BS$7,MAX('Mezz 2 Amortization'!$R$4,'Mezz 2 Amortization'!$S$4),31),'Mezz 2 Amortization'!$E$19:$E$379,0),MATCH('Mezz 2 Amortization'!$V$19,'Mezz 2 Amortization'!$B$19:$V$19,0)),IF(AND('Mezz 2 Amortization'!$T$4="Bi-Annual",BS$5&gt;MIN('Mezz 2 Amortization'!$R$4,'Mezz 2 Amortization'!$S$4),BS$5&lt;MAX('Mezz 2 Amortization'!$R$4,'Mezz 2 Amortization'!$S$4)),INDEX('Mezz 2 Amortization'!$B$19:$V$379,MATCH(DATE(BS$7,MIN('Mezz 2 Amortization'!$R$4,'Mezz 2 Amortization'!$S$4),31),'Mezz 2 Amortization'!$E$19:$E$379,0),MATCH('Mezz 2 Amortization'!$V$19,'Mezz 2 Amortization'!$B$19:$V$19,0)),IF(AND('Mezz 2 Amortization'!$T$4="Bi-Annual",BS$5='Mezz 2 Amortization'!$R$4),INDEX('Mezz 2 Amortization'!$B$19:$V$379,MATCH(DATE(BS$7,'Mezz 2 Amortization'!$R$4,31),'Mezz 2 Amortization'!$E$19:$E$379,0),MATCH('Mezz 2 Amortization'!$V$19,'Mezz 2 Amortization'!$B$19:$V$19,0)),IF(AND('Mezz 2 Amortization'!$T$4="Bi-Annual",BS$5='Mezz 2 Amortization'!$S$4),INDEX('Mezz 2 Amortization'!$B$19:$V$379,MATCH(DATE(BS$7,'Mezz 2 Amortization'!$S$4,31),'Mezz 2 Amortization'!$E$19:$E$379,0),MATCH('Mezz 2 Amortization'!$V$19,'Mezz 2 Amortization'!$B$19:$V$19,0)))))))))))</f>
        <v>0</v>
      </c>
      <c r="BT147" s="427">
        <f>IF('Financing Assumptions'!$T$8="No",0,IF(BT$9&lt;'Financing Assumptions'!$S$26,0,IF(AND('Mezz 2 Amortization'!$T$4&lt;&gt;"Monthly",BT9&lt;='Financing Assumptions'!$S$26),0,IF('Mezz 2 Amortization'!$T$4="Monthly",INDEX('Mezz 2 Amortization'!$B$19:$V$379,MATCH(BT$11,'Mezz 2 Amortization'!$E$19:$E$379,0),MATCH('Mezz 2 Amortization'!$V$19,'Mezz 2 Amortization'!$B$19:$V$19,0)),IF(AND('Mezz 2 Amortization'!$T$4="Bi-Annual",BT$5&lt;MIN('Mezz 2 Amortization'!$R$4,'Mezz 2 Amortization'!$S$4)),INDEX('Mezz 2 Amortization'!$B$19:$V$379,MATCH(DATE(BT$7-1,MAX('Mezz 2 Amortization'!$R$4,'Mezz 2 Amortization'!$S$4),31),'Mezz 2 Amortization'!$E$19:$E$379,0),MATCH('Mezz 2 Amortization'!$V$19,'Mezz 2 Amortization'!$B$19:$V$19,0)),IF(AND('Mezz 2 Amortization'!$T$4="Bi-Annual",BT$5&gt;MAX('Mezz 2 Amortization'!$R$4,'Mezz 2 Amortization'!$S$4)),INDEX('Mezz 2 Amortization'!$B$19:$V$379,MATCH(DATE(BT$7,MAX('Mezz 2 Amortization'!$R$4,'Mezz 2 Amortization'!$S$4),31),'Mezz 2 Amortization'!$E$19:$E$379,0),MATCH('Mezz 2 Amortization'!$V$19,'Mezz 2 Amortization'!$B$19:$V$19,0)),IF(AND('Mezz 2 Amortization'!$T$4="Bi-Annual",BT$5&gt;MIN('Mezz 2 Amortization'!$R$4,'Mezz 2 Amortization'!$S$4),BT$5&lt;MAX('Mezz 2 Amortization'!$R$4,'Mezz 2 Amortization'!$S$4)),INDEX('Mezz 2 Amortization'!$B$19:$V$379,MATCH(DATE(BT$7,MIN('Mezz 2 Amortization'!$R$4,'Mezz 2 Amortization'!$S$4),31),'Mezz 2 Amortization'!$E$19:$E$379,0),MATCH('Mezz 2 Amortization'!$V$19,'Mezz 2 Amortization'!$B$19:$V$19,0)),IF(AND('Mezz 2 Amortization'!$T$4="Bi-Annual",BT$5='Mezz 2 Amortization'!$R$4),INDEX('Mezz 2 Amortization'!$B$19:$V$379,MATCH(DATE(BT$7,'Mezz 2 Amortization'!$R$4,31),'Mezz 2 Amortization'!$E$19:$E$379,0),MATCH('Mezz 2 Amortization'!$V$19,'Mezz 2 Amortization'!$B$19:$V$19,0)),IF(AND('Mezz 2 Amortization'!$T$4="Bi-Annual",BT$5='Mezz 2 Amortization'!$S$4),INDEX('Mezz 2 Amortization'!$B$19:$V$379,MATCH(DATE(BT$7,'Mezz 2 Amortization'!$S$4,31),'Mezz 2 Amortization'!$E$19:$E$379,0),MATCH('Mezz 2 Amortization'!$V$19,'Mezz 2 Amortization'!$B$19:$V$19,0)))))))))))</f>
        <v>0</v>
      </c>
      <c r="BU147" s="427">
        <f>IF('Financing Assumptions'!$T$8="No",0,IF(BU$9&lt;'Financing Assumptions'!$S$26,0,IF(AND('Mezz 2 Amortization'!$T$4&lt;&gt;"Monthly",BU9&lt;='Financing Assumptions'!$S$26),0,IF('Mezz 2 Amortization'!$T$4="Monthly",INDEX('Mezz 2 Amortization'!$B$19:$V$379,MATCH(BU$11,'Mezz 2 Amortization'!$E$19:$E$379,0),MATCH('Mezz 2 Amortization'!$V$19,'Mezz 2 Amortization'!$B$19:$V$19,0)),IF(AND('Mezz 2 Amortization'!$T$4="Bi-Annual",BU$5&lt;MIN('Mezz 2 Amortization'!$R$4,'Mezz 2 Amortization'!$S$4)),INDEX('Mezz 2 Amortization'!$B$19:$V$379,MATCH(DATE(BU$7-1,MAX('Mezz 2 Amortization'!$R$4,'Mezz 2 Amortization'!$S$4),31),'Mezz 2 Amortization'!$E$19:$E$379,0),MATCH('Mezz 2 Amortization'!$V$19,'Mezz 2 Amortization'!$B$19:$V$19,0)),IF(AND('Mezz 2 Amortization'!$T$4="Bi-Annual",BU$5&gt;MAX('Mezz 2 Amortization'!$R$4,'Mezz 2 Amortization'!$S$4)),INDEX('Mezz 2 Amortization'!$B$19:$V$379,MATCH(DATE(BU$7,MAX('Mezz 2 Amortization'!$R$4,'Mezz 2 Amortization'!$S$4),31),'Mezz 2 Amortization'!$E$19:$E$379,0),MATCH('Mezz 2 Amortization'!$V$19,'Mezz 2 Amortization'!$B$19:$V$19,0)),IF(AND('Mezz 2 Amortization'!$T$4="Bi-Annual",BU$5&gt;MIN('Mezz 2 Amortization'!$R$4,'Mezz 2 Amortization'!$S$4),BU$5&lt;MAX('Mezz 2 Amortization'!$R$4,'Mezz 2 Amortization'!$S$4)),INDEX('Mezz 2 Amortization'!$B$19:$V$379,MATCH(DATE(BU$7,MIN('Mezz 2 Amortization'!$R$4,'Mezz 2 Amortization'!$S$4),31),'Mezz 2 Amortization'!$E$19:$E$379,0),MATCH('Mezz 2 Amortization'!$V$19,'Mezz 2 Amortization'!$B$19:$V$19,0)),IF(AND('Mezz 2 Amortization'!$T$4="Bi-Annual",BU$5='Mezz 2 Amortization'!$R$4),INDEX('Mezz 2 Amortization'!$B$19:$V$379,MATCH(DATE(BU$7,'Mezz 2 Amortization'!$R$4,31),'Mezz 2 Amortization'!$E$19:$E$379,0),MATCH('Mezz 2 Amortization'!$V$19,'Mezz 2 Amortization'!$B$19:$V$19,0)),IF(AND('Mezz 2 Amortization'!$T$4="Bi-Annual",BU$5='Mezz 2 Amortization'!$S$4),INDEX('Mezz 2 Amortization'!$B$19:$V$379,MATCH(DATE(BU$7,'Mezz 2 Amortization'!$S$4,31),'Mezz 2 Amortization'!$E$19:$E$379,0),MATCH('Mezz 2 Amortization'!$V$19,'Mezz 2 Amortization'!$B$19:$V$19,0)))))))))))</f>
        <v>0</v>
      </c>
      <c r="BV147" s="427">
        <f>IF('Financing Assumptions'!$T$8="No",0,IF(BV$9&lt;'Financing Assumptions'!$S$26,0,IF(AND('Mezz 2 Amortization'!$T$4&lt;&gt;"Monthly",BV9&lt;='Financing Assumptions'!$S$26),0,IF('Mezz 2 Amortization'!$T$4="Monthly",INDEX('Mezz 2 Amortization'!$B$19:$V$379,MATCH(BV$11,'Mezz 2 Amortization'!$E$19:$E$379,0),MATCH('Mezz 2 Amortization'!$V$19,'Mezz 2 Amortization'!$B$19:$V$19,0)),IF(AND('Mezz 2 Amortization'!$T$4="Bi-Annual",BV$5&lt;MIN('Mezz 2 Amortization'!$R$4,'Mezz 2 Amortization'!$S$4)),INDEX('Mezz 2 Amortization'!$B$19:$V$379,MATCH(DATE(BV$7-1,MAX('Mezz 2 Amortization'!$R$4,'Mezz 2 Amortization'!$S$4),31),'Mezz 2 Amortization'!$E$19:$E$379,0),MATCH('Mezz 2 Amortization'!$V$19,'Mezz 2 Amortization'!$B$19:$V$19,0)),IF(AND('Mezz 2 Amortization'!$T$4="Bi-Annual",BV$5&gt;MAX('Mezz 2 Amortization'!$R$4,'Mezz 2 Amortization'!$S$4)),INDEX('Mezz 2 Amortization'!$B$19:$V$379,MATCH(DATE(BV$7,MAX('Mezz 2 Amortization'!$R$4,'Mezz 2 Amortization'!$S$4),31),'Mezz 2 Amortization'!$E$19:$E$379,0),MATCH('Mezz 2 Amortization'!$V$19,'Mezz 2 Amortization'!$B$19:$V$19,0)),IF(AND('Mezz 2 Amortization'!$T$4="Bi-Annual",BV$5&gt;MIN('Mezz 2 Amortization'!$R$4,'Mezz 2 Amortization'!$S$4),BV$5&lt;MAX('Mezz 2 Amortization'!$R$4,'Mezz 2 Amortization'!$S$4)),INDEX('Mezz 2 Amortization'!$B$19:$V$379,MATCH(DATE(BV$7,MIN('Mezz 2 Amortization'!$R$4,'Mezz 2 Amortization'!$S$4),31),'Mezz 2 Amortization'!$E$19:$E$379,0),MATCH('Mezz 2 Amortization'!$V$19,'Mezz 2 Amortization'!$B$19:$V$19,0)),IF(AND('Mezz 2 Amortization'!$T$4="Bi-Annual",BV$5='Mezz 2 Amortization'!$R$4),INDEX('Mezz 2 Amortization'!$B$19:$V$379,MATCH(DATE(BV$7,'Mezz 2 Amortization'!$R$4,31),'Mezz 2 Amortization'!$E$19:$E$379,0),MATCH('Mezz 2 Amortization'!$V$19,'Mezz 2 Amortization'!$B$19:$V$19,0)),IF(AND('Mezz 2 Amortization'!$T$4="Bi-Annual",BV$5='Mezz 2 Amortization'!$S$4),INDEX('Mezz 2 Amortization'!$B$19:$V$379,MATCH(DATE(BV$7,'Mezz 2 Amortization'!$S$4,31),'Mezz 2 Amortization'!$E$19:$E$379,0),MATCH('Mezz 2 Amortization'!$V$19,'Mezz 2 Amortization'!$B$19:$V$19,0)))))))))))</f>
        <v>0</v>
      </c>
      <c r="BW147" s="427">
        <f>IF('Financing Assumptions'!$T$8="No",0,IF(BW$9&lt;'Financing Assumptions'!$S$26,0,IF(AND('Mezz 2 Amortization'!$T$4&lt;&gt;"Monthly",BW9&lt;='Financing Assumptions'!$S$26),0,IF('Mezz 2 Amortization'!$T$4="Monthly",INDEX('Mezz 2 Amortization'!$B$19:$V$379,MATCH(BW$11,'Mezz 2 Amortization'!$E$19:$E$379,0),MATCH('Mezz 2 Amortization'!$V$19,'Mezz 2 Amortization'!$B$19:$V$19,0)),IF(AND('Mezz 2 Amortization'!$T$4="Bi-Annual",BW$5&lt;MIN('Mezz 2 Amortization'!$R$4,'Mezz 2 Amortization'!$S$4)),INDEX('Mezz 2 Amortization'!$B$19:$V$379,MATCH(DATE(BW$7-1,MAX('Mezz 2 Amortization'!$R$4,'Mezz 2 Amortization'!$S$4),31),'Mezz 2 Amortization'!$E$19:$E$379,0),MATCH('Mezz 2 Amortization'!$V$19,'Mezz 2 Amortization'!$B$19:$V$19,0)),IF(AND('Mezz 2 Amortization'!$T$4="Bi-Annual",BW$5&gt;MAX('Mezz 2 Amortization'!$R$4,'Mezz 2 Amortization'!$S$4)),INDEX('Mezz 2 Amortization'!$B$19:$V$379,MATCH(DATE(BW$7,MAX('Mezz 2 Amortization'!$R$4,'Mezz 2 Amortization'!$S$4),31),'Mezz 2 Amortization'!$E$19:$E$379,0),MATCH('Mezz 2 Amortization'!$V$19,'Mezz 2 Amortization'!$B$19:$V$19,0)),IF(AND('Mezz 2 Amortization'!$T$4="Bi-Annual",BW$5&gt;MIN('Mezz 2 Amortization'!$R$4,'Mezz 2 Amortization'!$S$4),BW$5&lt;MAX('Mezz 2 Amortization'!$R$4,'Mezz 2 Amortization'!$S$4)),INDEX('Mezz 2 Amortization'!$B$19:$V$379,MATCH(DATE(BW$7,MIN('Mezz 2 Amortization'!$R$4,'Mezz 2 Amortization'!$S$4),31),'Mezz 2 Amortization'!$E$19:$E$379,0),MATCH('Mezz 2 Amortization'!$V$19,'Mezz 2 Amortization'!$B$19:$V$19,0)),IF(AND('Mezz 2 Amortization'!$T$4="Bi-Annual",BW$5='Mezz 2 Amortization'!$R$4),INDEX('Mezz 2 Amortization'!$B$19:$V$379,MATCH(DATE(BW$7,'Mezz 2 Amortization'!$R$4,31),'Mezz 2 Amortization'!$E$19:$E$379,0),MATCH('Mezz 2 Amortization'!$V$19,'Mezz 2 Amortization'!$B$19:$V$19,0)),IF(AND('Mezz 2 Amortization'!$T$4="Bi-Annual",BW$5='Mezz 2 Amortization'!$S$4),INDEX('Mezz 2 Amortization'!$B$19:$V$379,MATCH(DATE(BW$7,'Mezz 2 Amortization'!$S$4,31),'Mezz 2 Amortization'!$E$19:$E$379,0),MATCH('Mezz 2 Amortization'!$V$19,'Mezz 2 Amortization'!$B$19:$V$19,0)))))))))))</f>
        <v>0</v>
      </c>
      <c r="BX147" s="427">
        <f>IF('Financing Assumptions'!$T$8="No",0,IF(BX$9&lt;'Financing Assumptions'!$S$26,0,IF(AND('Mezz 2 Amortization'!$T$4&lt;&gt;"Monthly",BX9&lt;='Financing Assumptions'!$S$26),0,IF('Mezz 2 Amortization'!$T$4="Monthly",INDEX('Mezz 2 Amortization'!$B$19:$V$379,MATCH(BX$11,'Mezz 2 Amortization'!$E$19:$E$379,0),MATCH('Mezz 2 Amortization'!$V$19,'Mezz 2 Amortization'!$B$19:$V$19,0)),IF(AND('Mezz 2 Amortization'!$T$4="Bi-Annual",BX$5&lt;MIN('Mezz 2 Amortization'!$R$4,'Mezz 2 Amortization'!$S$4)),INDEX('Mezz 2 Amortization'!$B$19:$V$379,MATCH(DATE(BX$7-1,MAX('Mezz 2 Amortization'!$R$4,'Mezz 2 Amortization'!$S$4),31),'Mezz 2 Amortization'!$E$19:$E$379,0),MATCH('Mezz 2 Amortization'!$V$19,'Mezz 2 Amortization'!$B$19:$V$19,0)),IF(AND('Mezz 2 Amortization'!$T$4="Bi-Annual",BX$5&gt;MAX('Mezz 2 Amortization'!$R$4,'Mezz 2 Amortization'!$S$4)),INDEX('Mezz 2 Amortization'!$B$19:$V$379,MATCH(DATE(BX$7,MAX('Mezz 2 Amortization'!$R$4,'Mezz 2 Amortization'!$S$4),31),'Mezz 2 Amortization'!$E$19:$E$379,0),MATCH('Mezz 2 Amortization'!$V$19,'Mezz 2 Amortization'!$B$19:$V$19,0)),IF(AND('Mezz 2 Amortization'!$T$4="Bi-Annual",BX$5&gt;MIN('Mezz 2 Amortization'!$R$4,'Mezz 2 Amortization'!$S$4),BX$5&lt;MAX('Mezz 2 Amortization'!$R$4,'Mezz 2 Amortization'!$S$4)),INDEX('Mezz 2 Amortization'!$B$19:$V$379,MATCH(DATE(BX$7,MIN('Mezz 2 Amortization'!$R$4,'Mezz 2 Amortization'!$S$4),31),'Mezz 2 Amortization'!$E$19:$E$379,0),MATCH('Mezz 2 Amortization'!$V$19,'Mezz 2 Amortization'!$B$19:$V$19,0)),IF(AND('Mezz 2 Amortization'!$T$4="Bi-Annual",BX$5='Mezz 2 Amortization'!$R$4),INDEX('Mezz 2 Amortization'!$B$19:$V$379,MATCH(DATE(BX$7,'Mezz 2 Amortization'!$R$4,31),'Mezz 2 Amortization'!$E$19:$E$379,0),MATCH('Mezz 2 Amortization'!$V$19,'Mezz 2 Amortization'!$B$19:$V$19,0)),IF(AND('Mezz 2 Amortization'!$T$4="Bi-Annual",BX$5='Mezz 2 Amortization'!$S$4),INDEX('Mezz 2 Amortization'!$B$19:$V$379,MATCH(DATE(BX$7,'Mezz 2 Amortization'!$S$4,31),'Mezz 2 Amortization'!$E$19:$E$379,0),MATCH('Mezz 2 Amortization'!$V$19,'Mezz 2 Amortization'!$B$19:$V$19,0)))))))))))</f>
        <v>0</v>
      </c>
      <c r="BY147" s="427">
        <f>IF('Financing Assumptions'!$T$8="No",0,IF(BY$9&lt;'Financing Assumptions'!$S$26,0,IF(AND('Mezz 2 Amortization'!$T$4&lt;&gt;"Monthly",BY9&lt;='Financing Assumptions'!$S$26),0,IF('Mezz 2 Amortization'!$T$4="Monthly",INDEX('Mezz 2 Amortization'!$B$19:$V$379,MATCH(BY$11,'Mezz 2 Amortization'!$E$19:$E$379,0),MATCH('Mezz 2 Amortization'!$V$19,'Mezz 2 Amortization'!$B$19:$V$19,0)),IF(AND('Mezz 2 Amortization'!$T$4="Bi-Annual",BY$5&lt;MIN('Mezz 2 Amortization'!$R$4,'Mezz 2 Amortization'!$S$4)),INDEX('Mezz 2 Amortization'!$B$19:$V$379,MATCH(DATE(BY$7-1,MAX('Mezz 2 Amortization'!$R$4,'Mezz 2 Amortization'!$S$4),31),'Mezz 2 Amortization'!$E$19:$E$379,0),MATCH('Mezz 2 Amortization'!$V$19,'Mezz 2 Amortization'!$B$19:$V$19,0)),IF(AND('Mezz 2 Amortization'!$T$4="Bi-Annual",BY$5&gt;MAX('Mezz 2 Amortization'!$R$4,'Mezz 2 Amortization'!$S$4)),INDEX('Mezz 2 Amortization'!$B$19:$V$379,MATCH(DATE(BY$7,MAX('Mezz 2 Amortization'!$R$4,'Mezz 2 Amortization'!$S$4),31),'Mezz 2 Amortization'!$E$19:$E$379,0),MATCH('Mezz 2 Amortization'!$V$19,'Mezz 2 Amortization'!$B$19:$V$19,0)),IF(AND('Mezz 2 Amortization'!$T$4="Bi-Annual",BY$5&gt;MIN('Mezz 2 Amortization'!$R$4,'Mezz 2 Amortization'!$S$4),BY$5&lt;MAX('Mezz 2 Amortization'!$R$4,'Mezz 2 Amortization'!$S$4)),INDEX('Mezz 2 Amortization'!$B$19:$V$379,MATCH(DATE(BY$7,MIN('Mezz 2 Amortization'!$R$4,'Mezz 2 Amortization'!$S$4),31),'Mezz 2 Amortization'!$E$19:$E$379,0),MATCH('Mezz 2 Amortization'!$V$19,'Mezz 2 Amortization'!$B$19:$V$19,0)),IF(AND('Mezz 2 Amortization'!$T$4="Bi-Annual",BY$5='Mezz 2 Amortization'!$R$4),INDEX('Mezz 2 Amortization'!$B$19:$V$379,MATCH(DATE(BY$7,'Mezz 2 Amortization'!$R$4,31),'Mezz 2 Amortization'!$E$19:$E$379,0),MATCH('Mezz 2 Amortization'!$V$19,'Mezz 2 Amortization'!$B$19:$V$19,0)),IF(AND('Mezz 2 Amortization'!$T$4="Bi-Annual",BY$5='Mezz 2 Amortization'!$S$4),INDEX('Mezz 2 Amortization'!$B$19:$V$379,MATCH(DATE(BY$7,'Mezz 2 Amortization'!$S$4,31),'Mezz 2 Amortization'!$E$19:$E$379,0),MATCH('Mezz 2 Amortization'!$V$19,'Mezz 2 Amortization'!$B$19:$V$19,0)))))))))))</f>
        <v>0</v>
      </c>
      <c r="BZ147" s="427">
        <f>IF('Financing Assumptions'!$T$8="No",0,IF(BZ$9&lt;'Financing Assumptions'!$S$26,0,IF(AND('Mezz 2 Amortization'!$T$4&lt;&gt;"Monthly",BZ9&lt;='Financing Assumptions'!$S$26),0,IF('Mezz 2 Amortization'!$T$4="Monthly",INDEX('Mezz 2 Amortization'!$B$19:$V$379,MATCH(BZ$11,'Mezz 2 Amortization'!$E$19:$E$379,0),MATCH('Mezz 2 Amortization'!$V$19,'Mezz 2 Amortization'!$B$19:$V$19,0)),IF(AND('Mezz 2 Amortization'!$T$4="Bi-Annual",BZ$5&lt;MIN('Mezz 2 Amortization'!$R$4,'Mezz 2 Amortization'!$S$4)),INDEX('Mezz 2 Amortization'!$B$19:$V$379,MATCH(DATE(BZ$7-1,MAX('Mezz 2 Amortization'!$R$4,'Mezz 2 Amortization'!$S$4),31),'Mezz 2 Amortization'!$E$19:$E$379,0),MATCH('Mezz 2 Amortization'!$V$19,'Mezz 2 Amortization'!$B$19:$V$19,0)),IF(AND('Mezz 2 Amortization'!$T$4="Bi-Annual",BZ$5&gt;MAX('Mezz 2 Amortization'!$R$4,'Mezz 2 Amortization'!$S$4)),INDEX('Mezz 2 Amortization'!$B$19:$V$379,MATCH(DATE(BZ$7,MAX('Mezz 2 Amortization'!$R$4,'Mezz 2 Amortization'!$S$4),31),'Mezz 2 Amortization'!$E$19:$E$379,0),MATCH('Mezz 2 Amortization'!$V$19,'Mezz 2 Amortization'!$B$19:$V$19,0)),IF(AND('Mezz 2 Amortization'!$T$4="Bi-Annual",BZ$5&gt;MIN('Mezz 2 Amortization'!$R$4,'Mezz 2 Amortization'!$S$4),BZ$5&lt;MAX('Mezz 2 Amortization'!$R$4,'Mezz 2 Amortization'!$S$4)),INDEX('Mezz 2 Amortization'!$B$19:$V$379,MATCH(DATE(BZ$7,MIN('Mezz 2 Amortization'!$R$4,'Mezz 2 Amortization'!$S$4),31),'Mezz 2 Amortization'!$E$19:$E$379,0),MATCH('Mezz 2 Amortization'!$V$19,'Mezz 2 Amortization'!$B$19:$V$19,0)),IF(AND('Mezz 2 Amortization'!$T$4="Bi-Annual",BZ$5='Mezz 2 Amortization'!$R$4),INDEX('Mezz 2 Amortization'!$B$19:$V$379,MATCH(DATE(BZ$7,'Mezz 2 Amortization'!$R$4,31),'Mezz 2 Amortization'!$E$19:$E$379,0),MATCH('Mezz 2 Amortization'!$V$19,'Mezz 2 Amortization'!$B$19:$V$19,0)),IF(AND('Mezz 2 Amortization'!$T$4="Bi-Annual",BZ$5='Mezz 2 Amortization'!$S$4),INDEX('Mezz 2 Amortization'!$B$19:$V$379,MATCH(DATE(BZ$7,'Mezz 2 Amortization'!$S$4,31),'Mezz 2 Amortization'!$E$19:$E$379,0),MATCH('Mezz 2 Amortization'!$V$19,'Mezz 2 Amortization'!$B$19:$V$19,0)))))))))))</f>
        <v>0</v>
      </c>
      <c r="CA147" s="427">
        <f>IF('Financing Assumptions'!$T$8="No",0,IF(CA$9&lt;'Financing Assumptions'!$S$26,0,IF(AND('Mezz 2 Amortization'!$T$4&lt;&gt;"Monthly",CA9&lt;='Financing Assumptions'!$S$26),0,IF('Mezz 2 Amortization'!$T$4="Monthly",INDEX('Mezz 2 Amortization'!$B$19:$V$379,MATCH(CA$11,'Mezz 2 Amortization'!$E$19:$E$379,0),MATCH('Mezz 2 Amortization'!$V$19,'Mezz 2 Amortization'!$B$19:$V$19,0)),IF(AND('Mezz 2 Amortization'!$T$4="Bi-Annual",CA$5&lt;MIN('Mezz 2 Amortization'!$R$4,'Mezz 2 Amortization'!$S$4)),INDEX('Mezz 2 Amortization'!$B$19:$V$379,MATCH(DATE(CA$7-1,MAX('Mezz 2 Amortization'!$R$4,'Mezz 2 Amortization'!$S$4),31),'Mezz 2 Amortization'!$E$19:$E$379,0),MATCH('Mezz 2 Amortization'!$V$19,'Mezz 2 Amortization'!$B$19:$V$19,0)),IF(AND('Mezz 2 Amortization'!$T$4="Bi-Annual",CA$5&gt;MAX('Mezz 2 Amortization'!$R$4,'Mezz 2 Amortization'!$S$4)),INDEX('Mezz 2 Amortization'!$B$19:$V$379,MATCH(DATE(CA$7,MAX('Mezz 2 Amortization'!$R$4,'Mezz 2 Amortization'!$S$4),31),'Mezz 2 Amortization'!$E$19:$E$379,0),MATCH('Mezz 2 Amortization'!$V$19,'Mezz 2 Amortization'!$B$19:$V$19,0)),IF(AND('Mezz 2 Amortization'!$T$4="Bi-Annual",CA$5&gt;MIN('Mezz 2 Amortization'!$R$4,'Mezz 2 Amortization'!$S$4),CA$5&lt;MAX('Mezz 2 Amortization'!$R$4,'Mezz 2 Amortization'!$S$4)),INDEX('Mezz 2 Amortization'!$B$19:$V$379,MATCH(DATE(CA$7,MIN('Mezz 2 Amortization'!$R$4,'Mezz 2 Amortization'!$S$4),31),'Mezz 2 Amortization'!$E$19:$E$379,0),MATCH('Mezz 2 Amortization'!$V$19,'Mezz 2 Amortization'!$B$19:$V$19,0)),IF(AND('Mezz 2 Amortization'!$T$4="Bi-Annual",CA$5='Mezz 2 Amortization'!$R$4),INDEX('Mezz 2 Amortization'!$B$19:$V$379,MATCH(DATE(CA$7,'Mezz 2 Amortization'!$R$4,31),'Mezz 2 Amortization'!$E$19:$E$379,0),MATCH('Mezz 2 Amortization'!$V$19,'Mezz 2 Amortization'!$B$19:$V$19,0)),IF(AND('Mezz 2 Amortization'!$T$4="Bi-Annual",CA$5='Mezz 2 Amortization'!$S$4),INDEX('Mezz 2 Amortization'!$B$19:$V$379,MATCH(DATE(CA$7,'Mezz 2 Amortization'!$S$4,31),'Mezz 2 Amortization'!$E$19:$E$379,0),MATCH('Mezz 2 Amortization'!$V$19,'Mezz 2 Amortization'!$B$19:$V$19,0)))))))))))</f>
        <v>0</v>
      </c>
      <c r="CB147" s="427">
        <f>IF('Financing Assumptions'!$T$8="No",0,IF(CB$9&lt;'Financing Assumptions'!$S$26,0,IF(AND('Mezz 2 Amortization'!$T$4&lt;&gt;"Monthly",CB9&lt;='Financing Assumptions'!$S$26),0,IF('Mezz 2 Amortization'!$T$4="Monthly",INDEX('Mezz 2 Amortization'!$B$19:$V$379,MATCH(CB$11,'Mezz 2 Amortization'!$E$19:$E$379,0),MATCH('Mezz 2 Amortization'!$V$19,'Mezz 2 Amortization'!$B$19:$V$19,0)),IF(AND('Mezz 2 Amortization'!$T$4="Bi-Annual",CB$5&lt;MIN('Mezz 2 Amortization'!$R$4,'Mezz 2 Amortization'!$S$4)),INDEX('Mezz 2 Amortization'!$B$19:$V$379,MATCH(DATE(CB$7-1,MAX('Mezz 2 Amortization'!$R$4,'Mezz 2 Amortization'!$S$4),31),'Mezz 2 Amortization'!$E$19:$E$379,0),MATCH('Mezz 2 Amortization'!$V$19,'Mezz 2 Amortization'!$B$19:$V$19,0)),IF(AND('Mezz 2 Amortization'!$T$4="Bi-Annual",CB$5&gt;MAX('Mezz 2 Amortization'!$R$4,'Mezz 2 Amortization'!$S$4)),INDEX('Mezz 2 Amortization'!$B$19:$V$379,MATCH(DATE(CB$7,MAX('Mezz 2 Amortization'!$R$4,'Mezz 2 Amortization'!$S$4),31),'Mezz 2 Amortization'!$E$19:$E$379,0),MATCH('Mezz 2 Amortization'!$V$19,'Mezz 2 Amortization'!$B$19:$V$19,0)),IF(AND('Mezz 2 Amortization'!$T$4="Bi-Annual",CB$5&gt;MIN('Mezz 2 Amortization'!$R$4,'Mezz 2 Amortization'!$S$4),CB$5&lt;MAX('Mezz 2 Amortization'!$R$4,'Mezz 2 Amortization'!$S$4)),INDEX('Mezz 2 Amortization'!$B$19:$V$379,MATCH(DATE(CB$7,MIN('Mezz 2 Amortization'!$R$4,'Mezz 2 Amortization'!$S$4),31),'Mezz 2 Amortization'!$E$19:$E$379,0),MATCH('Mezz 2 Amortization'!$V$19,'Mezz 2 Amortization'!$B$19:$V$19,0)),IF(AND('Mezz 2 Amortization'!$T$4="Bi-Annual",CB$5='Mezz 2 Amortization'!$R$4),INDEX('Mezz 2 Amortization'!$B$19:$V$379,MATCH(DATE(CB$7,'Mezz 2 Amortization'!$R$4,31),'Mezz 2 Amortization'!$E$19:$E$379,0),MATCH('Mezz 2 Amortization'!$V$19,'Mezz 2 Amortization'!$B$19:$V$19,0)),IF(AND('Mezz 2 Amortization'!$T$4="Bi-Annual",CB$5='Mezz 2 Amortization'!$S$4),INDEX('Mezz 2 Amortization'!$B$19:$V$379,MATCH(DATE(CB$7,'Mezz 2 Amortization'!$S$4,31),'Mezz 2 Amortization'!$E$19:$E$379,0),MATCH('Mezz 2 Amortization'!$V$19,'Mezz 2 Amortization'!$B$19:$V$19,0)))))))))))</f>
        <v>0</v>
      </c>
      <c r="CC147" s="427">
        <f>IF('Financing Assumptions'!$T$8="No",0,IF(CC$9&lt;'Financing Assumptions'!$S$26,0,IF(AND('Mezz 2 Amortization'!$T$4&lt;&gt;"Monthly",CC9&lt;='Financing Assumptions'!$S$26),0,IF('Mezz 2 Amortization'!$T$4="Monthly",INDEX('Mezz 2 Amortization'!$B$19:$V$379,MATCH(CC$11,'Mezz 2 Amortization'!$E$19:$E$379,0),MATCH('Mezz 2 Amortization'!$V$19,'Mezz 2 Amortization'!$B$19:$V$19,0)),IF(AND('Mezz 2 Amortization'!$T$4="Bi-Annual",CC$5&lt;MIN('Mezz 2 Amortization'!$R$4,'Mezz 2 Amortization'!$S$4)),INDEX('Mezz 2 Amortization'!$B$19:$V$379,MATCH(DATE(CC$7-1,MAX('Mezz 2 Amortization'!$R$4,'Mezz 2 Amortization'!$S$4),31),'Mezz 2 Amortization'!$E$19:$E$379,0),MATCH('Mezz 2 Amortization'!$V$19,'Mezz 2 Amortization'!$B$19:$V$19,0)),IF(AND('Mezz 2 Amortization'!$T$4="Bi-Annual",CC$5&gt;MAX('Mezz 2 Amortization'!$R$4,'Mezz 2 Amortization'!$S$4)),INDEX('Mezz 2 Amortization'!$B$19:$V$379,MATCH(DATE(CC$7,MAX('Mezz 2 Amortization'!$R$4,'Mezz 2 Amortization'!$S$4),31),'Mezz 2 Amortization'!$E$19:$E$379,0),MATCH('Mezz 2 Amortization'!$V$19,'Mezz 2 Amortization'!$B$19:$V$19,0)),IF(AND('Mezz 2 Amortization'!$T$4="Bi-Annual",CC$5&gt;MIN('Mezz 2 Amortization'!$R$4,'Mezz 2 Amortization'!$S$4),CC$5&lt;MAX('Mezz 2 Amortization'!$R$4,'Mezz 2 Amortization'!$S$4)),INDEX('Mezz 2 Amortization'!$B$19:$V$379,MATCH(DATE(CC$7,MIN('Mezz 2 Amortization'!$R$4,'Mezz 2 Amortization'!$S$4),31),'Mezz 2 Amortization'!$E$19:$E$379,0),MATCH('Mezz 2 Amortization'!$V$19,'Mezz 2 Amortization'!$B$19:$V$19,0)),IF(AND('Mezz 2 Amortization'!$T$4="Bi-Annual",CC$5='Mezz 2 Amortization'!$R$4),INDEX('Mezz 2 Amortization'!$B$19:$V$379,MATCH(DATE(CC$7,'Mezz 2 Amortization'!$R$4,31),'Mezz 2 Amortization'!$E$19:$E$379,0),MATCH('Mezz 2 Amortization'!$V$19,'Mezz 2 Amortization'!$B$19:$V$19,0)),IF(AND('Mezz 2 Amortization'!$T$4="Bi-Annual",CC$5='Mezz 2 Amortization'!$S$4),INDEX('Mezz 2 Amortization'!$B$19:$V$379,MATCH(DATE(CC$7,'Mezz 2 Amortization'!$S$4,31),'Mezz 2 Amortization'!$E$19:$E$379,0),MATCH('Mezz 2 Amortization'!$V$19,'Mezz 2 Amortization'!$B$19:$V$19,0)))))))))))</f>
        <v>0</v>
      </c>
      <c r="CD147" s="427">
        <f>IF('Financing Assumptions'!$T$8="No",0,IF(CD$9&lt;'Financing Assumptions'!$S$26,0,IF(AND('Mezz 2 Amortization'!$T$4&lt;&gt;"Monthly",CD9&lt;='Financing Assumptions'!$S$26),0,IF('Mezz 2 Amortization'!$T$4="Monthly",INDEX('Mezz 2 Amortization'!$B$19:$V$379,MATCH(CD$11,'Mezz 2 Amortization'!$E$19:$E$379,0),MATCH('Mezz 2 Amortization'!$V$19,'Mezz 2 Amortization'!$B$19:$V$19,0)),IF(AND('Mezz 2 Amortization'!$T$4="Bi-Annual",CD$5&lt;MIN('Mezz 2 Amortization'!$R$4,'Mezz 2 Amortization'!$S$4)),INDEX('Mezz 2 Amortization'!$B$19:$V$379,MATCH(DATE(CD$7-1,MAX('Mezz 2 Amortization'!$R$4,'Mezz 2 Amortization'!$S$4),31),'Mezz 2 Amortization'!$E$19:$E$379,0),MATCH('Mezz 2 Amortization'!$V$19,'Mezz 2 Amortization'!$B$19:$V$19,0)),IF(AND('Mezz 2 Amortization'!$T$4="Bi-Annual",CD$5&gt;MAX('Mezz 2 Amortization'!$R$4,'Mezz 2 Amortization'!$S$4)),INDEX('Mezz 2 Amortization'!$B$19:$V$379,MATCH(DATE(CD$7,MAX('Mezz 2 Amortization'!$R$4,'Mezz 2 Amortization'!$S$4),31),'Mezz 2 Amortization'!$E$19:$E$379,0),MATCH('Mezz 2 Amortization'!$V$19,'Mezz 2 Amortization'!$B$19:$V$19,0)),IF(AND('Mezz 2 Amortization'!$T$4="Bi-Annual",CD$5&gt;MIN('Mezz 2 Amortization'!$R$4,'Mezz 2 Amortization'!$S$4),CD$5&lt;MAX('Mezz 2 Amortization'!$R$4,'Mezz 2 Amortization'!$S$4)),INDEX('Mezz 2 Amortization'!$B$19:$V$379,MATCH(DATE(CD$7,MIN('Mezz 2 Amortization'!$R$4,'Mezz 2 Amortization'!$S$4),31),'Mezz 2 Amortization'!$E$19:$E$379,0),MATCH('Mezz 2 Amortization'!$V$19,'Mezz 2 Amortization'!$B$19:$V$19,0)),IF(AND('Mezz 2 Amortization'!$T$4="Bi-Annual",CD$5='Mezz 2 Amortization'!$R$4),INDEX('Mezz 2 Amortization'!$B$19:$V$379,MATCH(DATE(CD$7,'Mezz 2 Amortization'!$R$4,31),'Mezz 2 Amortization'!$E$19:$E$379,0),MATCH('Mezz 2 Amortization'!$V$19,'Mezz 2 Amortization'!$B$19:$V$19,0)),IF(AND('Mezz 2 Amortization'!$T$4="Bi-Annual",CD$5='Mezz 2 Amortization'!$S$4),INDEX('Mezz 2 Amortization'!$B$19:$V$379,MATCH(DATE(CD$7,'Mezz 2 Amortization'!$S$4,31),'Mezz 2 Amortization'!$E$19:$E$379,0),MATCH('Mezz 2 Amortization'!$V$19,'Mezz 2 Amortization'!$B$19:$V$19,0)))))))))))</f>
        <v>0</v>
      </c>
      <c r="CE147" s="427">
        <f>IF('Financing Assumptions'!$T$8="No",0,IF(CE$9&lt;'Financing Assumptions'!$S$26,0,IF(AND('Mezz 2 Amortization'!$T$4&lt;&gt;"Monthly",CE9&lt;='Financing Assumptions'!$S$26),0,IF('Mezz 2 Amortization'!$T$4="Monthly",INDEX('Mezz 2 Amortization'!$B$19:$V$379,MATCH(CE$11,'Mezz 2 Amortization'!$E$19:$E$379,0),MATCH('Mezz 2 Amortization'!$V$19,'Mezz 2 Amortization'!$B$19:$V$19,0)),IF(AND('Mezz 2 Amortization'!$T$4="Bi-Annual",CE$5&lt;MIN('Mezz 2 Amortization'!$R$4,'Mezz 2 Amortization'!$S$4)),INDEX('Mezz 2 Amortization'!$B$19:$V$379,MATCH(DATE(CE$7-1,MAX('Mezz 2 Amortization'!$R$4,'Mezz 2 Amortization'!$S$4),31),'Mezz 2 Amortization'!$E$19:$E$379,0),MATCH('Mezz 2 Amortization'!$V$19,'Mezz 2 Amortization'!$B$19:$V$19,0)),IF(AND('Mezz 2 Amortization'!$T$4="Bi-Annual",CE$5&gt;MAX('Mezz 2 Amortization'!$R$4,'Mezz 2 Amortization'!$S$4)),INDEX('Mezz 2 Amortization'!$B$19:$V$379,MATCH(DATE(CE$7,MAX('Mezz 2 Amortization'!$R$4,'Mezz 2 Amortization'!$S$4),31),'Mezz 2 Amortization'!$E$19:$E$379,0),MATCH('Mezz 2 Amortization'!$V$19,'Mezz 2 Amortization'!$B$19:$V$19,0)),IF(AND('Mezz 2 Amortization'!$T$4="Bi-Annual",CE$5&gt;MIN('Mezz 2 Amortization'!$R$4,'Mezz 2 Amortization'!$S$4),CE$5&lt;MAX('Mezz 2 Amortization'!$R$4,'Mezz 2 Amortization'!$S$4)),INDEX('Mezz 2 Amortization'!$B$19:$V$379,MATCH(DATE(CE$7,MIN('Mezz 2 Amortization'!$R$4,'Mezz 2 Amortization'!$S$4),31),'Mezz 2 Amortization'!$E$19:$E$379,0),MATCH('Mezz 2 Amortization'!$V$19,'Mezz 2 Amortization'!$B$19:$V$19,0)),IF(AND('Mezz 2 Amortization'!$T$4="Bi-Annual",CE$5='Mezz 2 Amortization'!$R$4),INDEX('Mezz 2 Amortization'!$B$19:$V$379,MATCH(DATE(CE$7,'Mezz 2 Amortization'!$R$4,31),'Mezz 2 Amortization'!$E$19:$E$379,0),MATCH('Mezz 2 Amortization'!$V$19,'Mezz 2 Amortization'!$B$19:$V$19,0)),IF(AND('Mezz 2 Amortization'!$T$4="Bi-Annual",CE$5='Mezz 2 Amortization'!$S$4),INDEX('Mezz 2 Amortization'!$B$19:$V$379,MATCH(DATE(CE$7,'Mezz 2 Amortization'!$S$4,31),'Mezz 2 Amortization'!$E$19:$E$379,0),MATCH('Mezz 2 Amortization'!$V$19,'Mezz 2 Amortization'!$B$19:$V$19,0)))))))))))</f>
        <v>0</v>
      </c>
      <c r="CF147" s="427">
        <f>IF('Financing Assumptions'!$T$8="No",0,IF(CF$9&lt;'Financing Assumptions'!$S$26,0,IF(AND('Mezz 2 Amortization'!$T$4&lt;&gt;"Monthly",CF9&lt;='Financing Assumptions'!$S$26),0,IF('Mezz 2 Amortization'!$T$4="Monthly",INDEX('Mezz 2 Amortization'!$B$19:$V$379,MATCH(CF$11,'Mezz 2 Amortization'!$E$19:$E$379,0),MATCH('Mezz 2 Amortization'!$V$19,'Mezz 2 Amortization'!$B$19:$V$19,0)),IF(AND('Mezz 2 Amortization'!$T$4="Bi-Annual",CF$5&lt;MIN('Mezz 2 Amortization'!$R$4,'Mezz 2 Amortization'!$S$4)),INDEX('Mezz 2 Amortization'!$B$19:$V$379,MATCH(DATE(CF$7-1,MAX('Mezz 2 Amortization'!$R$4,'Mezz 2 Amortization'!$S$4),31),'Mezz 2 Amortization'!$E$19:$E$379,0),MATCH('Mezz 2 Amortization'!$V$19,'Mezz 2 Amortization'!$B$19:$V$19,0)),IF(AND('Mezz 2 Amortization'!$T$4="Bi-Annual",CF$5&gt;MAX('Mezz 2 Amortization'!$R$4,'Mezz 2 Amortization'!$S$4)),INDEX('Mezz 2 Amortization'!$B$19:$V$379,MATCH(DATE(CF$7,MAX('Mezz 2 Amortization'!$R$4,'Mezz 2 Amortization'!$S$4),31),'Mezz 2 Amortization'!$E$19:$E$379,0),MATCH('Mezz 2 Amortization'!$V$19,'Mezz 2 Amortization'!$B$19:$V$19,0)),IF(AND('Mezz 2 Amortization'!$T$4="Bi-Annual",CF$5&gt;MIN('Mezz 2 Amortization'!$R$4,'Mezz 2 Amortization'!$S$4),CF$5&lt;MAX('Mezz 2 Amortization'!$R$4,'Mezz 2 Amortization'!$S$4)),INDEX('Mezz 2 Amortization'!$B$19:$V$379,MATCH(DATE(CF$7,MIN('Mezz 2 Amortization'!$R$4,'Mezz 2 Amortization'!$S$4),31),'Mezz 2 Amortization'!$E$19:$E$379,0),MATCH('Mezz 2 Amortization'!$V$19,'Mezz 2 Amortization'!$B$19:$V$19,0)),IF(AND('Mezz 2 Amortization'!$T$4="Bi-Annual",CF$5='Mezz 2 Amortization'!$R$4),INDEX('Mezz 2 Amortization'!$B$19:$V$379,MATCH(DATE(CF$7,'Mezz 2 Amortization'!$R$4,31),'Mezz 2 Amortization'!$E$19:$E$379,0),MATCH('Mezz 2 Amortization'!$V$19,'Mezz 2 Amortization'!$B$19:$V$19,0)),IF(AND('Mezz 2 Amortization'!$T$4="Bi-Annual",CF$5='Mezz 2 Amortization'!$S$4),INDEX('Mezz 2 Amortization'!$B$19:$V$379,MATCH(DATE(CF$7,'Mezz 2 Amortization'!$S$4,31),'Mezz 2 Amortization'!$E$19:$E$379,0),MATCH('Mezz 2 Amortization'!$V$19,'Mezz 2 Amortization'!$B$19:$V$19,0)))))))))))</f>
        <v>0</v>
      </c>
      <c r="CG147" s="427">
        <f>IF('Financing Assumptions'!$T$8="No",0,IF(CG$9&lt;'Financing Assumptions'!$S$26,0,IF(AND('Mezz 2 Amortization'!$T$4&lt;&gt;"Monthly",CG9&lt;='Financing Assumptions'!$S$26),0,IF('Mezz 2 Amortization'!$T$4="Monthly",INDEX('Mezz 2 Amortization'!$B$19:$V$379,MATCH(CG$11,'Mezz 2 Amortization'!$E$19:$E$379,0),MATCH('Mezz 2 Amortization'!$V$19,'Mezz 2 Amortization'!$B$19:$V$19,0)),IF(AND('Mezz 2 Amortization'!$T$4="Bi-Annual",CG$5&lt;MIN('Mezz 2 Amortization'!$R$4,'Mezz 2 Amortization'!$S$4)),INDEX('Mezz 2 Amortization'!$B$19:$V$379,MATCH(DATE(CG$7-1,MAX('Mezz 2 Amortization'!$R$4,'Mezz 2 Amortization'!$S$4),31),'Mezz 2 Amortization'!$E$19:$E$379,0),MATCH('Mezz 2 Amortization'!$V$19,'Mezz 2 Amortization'!$B$19:$V$19,0)),IF(AND('Mezz 2 Amortization'!$T$4="Bi-Annual",CG$5&gt;MAX('Mezz 2 Amortization'!$R$4,'Mezz 2 Amortization'!$S$4)),INDEX('Mezz 2 Amortization'!$B$19:$V$379,MATCH(DATE(CG$7,MAX('Mezz 2 Amortization'!$R$4,'Mezz 2 Amortization'!$S$4),31),'Mezz 2 Amortization'!$E$19:$E$379,0),MATCH('Mezz 2 Amortization'!$V$19,'Mezz 2 Amortization'!$B$19:$V$19,0)),IF(AND('Mezz 2 Amortization'!$T$4="Bi-Annual",CG$5&gt;MIN('Mezz 2 Amortization'!$R$4,'Mezz 2 Amortization'!$S$4),CG$5&lt;MAX('Mezz 2 Amortization'!$R$4,'Mezz 2 Amortization'!$S$4)),INDEX('Mezz 2 Amortization'!$B$19:$V$379,MATCH(DATE(CG$7,MIN('Mezz 2 Amortization'!$R$4,'Mezz 2 Amortization'!$S$4),31),'Mezz 2 Amortization'!$E$19:$E$379,0),MATCH('Mezz 2 Amortization'!$V$19,'Mezz 2 Amortization'!$B$19:$V$19,0)),IF(AND('Mezz 2 Amortization'!$T$4="Bi-Annual",CG$5='Mezz 2 Amortization'!$R$4),INDEX('Mezz 2 Amortization'!$B$19:$V$379,MATCH(DATE(CG$7,'Mezz 2 Amortization'!$R$4,31),'Mezz 2 Amortization'!$E$19:$E$379,0),MATCH('Mezz 2 Amortization'!$V$19,'Mezz 2 Amortization'!$B$19:$V$19,0)),IF(AND('Mezz 2 Amortization'!$T$4="Bi-Annual",CG$5='Mezz 2 Amortization'!$S$4),INDEX('Mezz 2 Amortization'!$B$19:$V$379,MATCH(DATE(CG$7,'Mezz 2 Amortization'!$S$4,31),'Mezz 2 Amortization'!$E$19:$E$379,0),MATCH('Mezz 2 Amortization'!$V$19,'Mezz 2 Amortization'!$B$19:$V$19,0)))))))))))</f>
        <v>0</v>
      </c>
      <c r="CH147" s="427">
        <f>IF('Financing Assumptions'!$T$8="No",0,IF(CH$9&lt;'Financing Assumptions'!$S$26,0,IF(AND('Mezz 2 Amortization'!$T$4&lt;&gt;"Monthly",CH9&lt;='Financing Assumptions'!$S$26),0,IF('Mezz 2 Amortization'!$T$4="Monthly",INDEX('Mezz 2 Amortization'!$B$19:$V$379,MATCH(CH$11,'Mezz 2 Amortization'!$E$19:$E$379,0),MATCH('Mezz 2 Amortization'!$V$19,'Mezz 2 Amortization'!$B$19:$V$19,0)),IF(AND('Mezz 2 Amortization'!$T$4="Bi-Annual",CH$5&lt;MIN('Mezz 2 Amortization'!$R$4,'Mezz 2 Amortization'!$S$4)),INDEX('Mezz 2 Amortization'!$B$19:$V$379,MATCH(DATE(CH$7-1,MAX('Mezz 2 Amortization'!$R$4,'Mezz 2 Amortization'!$S$4),31),'Mezz 2 Amortization'!$E$19:$E$379,0),MATCH('Mezz 2 Amortization'!$V$19,'Mezz 2 Amortization'!$B$19:$V$19,0)),IF(AND('Mezz 2 Amortization'!$T$4="Bi-Annual",CH$5&gt;MAX('Mezz 2 Amortization'!$R$4,'Mezz 2 Amortization'!$S$4)),INDEX('Mezz 2 Amortization'!$B$19:$V$379,MATCH(DATE(CH$7,MAX('Mezz 2 Amortization'!$R$4,'Mezz 2 Amortization'!$S$4),31),'Mezz 2 Amortization'!$E$19:$E$379,0),MATCH('Mezz 2 Amortization'!$V$19,'Mezz 2 Amortization'!$B$19:$V$19,0)),IF(AND('Mezz 2 Amortization'!$T$4="Bi-Annual",CH$5&gt;MIN('Mezz 2 Amortization'!$R$4,'Mezz 2 Amortization'!$S$4),CH$5&lt;MAX('Mezz 2 Amortization'!$R$4,'Mezz 2 Amortization'!$S$4)),INDEX('Mezz 2 Amortization'!$B$19:$V$379,MATCH(DATE(CH$7,MIN('Mezz 2 Amortization'!$R$4,'Mezz 2 Amortization'!$S$4),31),'Mezz 2 Amortization'!$E$19:$E$379,0),MATCH('Mezz 2 Amortization'!$V$19,'Mezz 2 Amortization'!$B$19:$V$19,0)),IF(AND('Mezz 2 Amortization'!$T$4="Bi-Annual",CH$5='Mezz 2 Amortization'!$R$4),INDEX('Mezz 2 Amortization'!$B$19:$V$379,MATCH(DATE(CH$7,'Mezz 2 Amortization'!$R$4,31),'Mezz 2 Amortization'!$E$19:$E$379,0),MATCH('Mezz 2 Amortization'!$V$19,'Mezz 2 Amortization'!$B$19:$V$19,0)),IF(AND('Mezz 2 Amortization'!$T$4="Bi-Annual",CH$5='Mezz 2 Amortization'!$S$4),INDEX('Mezz 2 Amortization'!$B$19:$V$379,MATCH(DATE(CH$7,'Mezz 2 Amortization'!$S$4,31),'Mezz 2 Amortization'!$E$19:$E$379,0),MATCH('Mezz 2 Amortization'!$V$19,'Mezz 2 Amortization'!$B$19:$V$19,0)))))))))))</f>
        <v>0</v>
      </c>
      <c r="CI147" s="427">
        <f>IF('Financing Assumptions'!$T$8="No",0,IF(CI$9&lt;'Financing Assumptions'!$S$26,0,IF(AND('Mezz 2 Amortization'!$T$4&lt;&gt;"Monthly",CI9&lt;='Financing Assumptions'!$S$26),0,IF('Mezz 2 Amortization'!$T$4="Monthly",INDEX('Mezz 2 Amortization'!$B$19:$V$379,MATCH(CI$11,'Mezz 2 Amortization'!$E$19:$E$379,0),MATCH('Mezz 2 Amortization'!$V$19,'Mezz 2 Amortization'!$B$19:$V$19,0)),IF(AND('Mezz 2 Amortization'!$T$4="Bi-Annual",CI$5&lt;MIN('Mezz 2 Amortization'!$R$4,'Mezz 2 Amortization'!$S$4)),INDEX('Mezz 2 Amortization'!$B$19:$V$379,MATCH(DATE(CI$7-1,MAX('Mezz 2 Amortization'!$R$4,'Mezz 2 Amortization'!$S$4),31),'Mezz 2 Amortization'!$E$19:$E$379,0),MATCH('Mezz 2 Amortization'!$V$19,'Mezz 2 Amortization'!$B$19:$V$19,0)),IF(AND('Mezz 2 Amortization'!$T$4="Bi-Annual",CI$5&gt;MAX('Mezz 2 Amortization'!$R$4,'Mezz 2 Amortization'!$S$4)),INDEX('Mezz 2 Amortization'!$B$19:$V$379,MATCH(DATE(CI$7,MAX('Mezz 2 Amortization'!$R$4,'Mezz 2 Amortization'!$S$4),31),'Mezz 2 Amortization'!$E$19:$E$379,0),MATCH('Mezz 2 Amortization'!$V$19,'Mezz 2 Amortization'!$B$19:$V$19,0)),IF(AND('Mezz 2 Amortization'!$T$4="Bi-Annual",CI$5&gt;MIN('Mezz 2 Amortization'!$R$4,'Mezz 2 Amortization'!$S$4),CI$5&lt;MAX('Mezz 2 Amortization'!$R$4,'Mezz 2 Amortization'!$S$4)),INDEX('Mezz 2 Amortization'!$B$19:$V$379,MATCH(DATE(CI$7,MIN('Mezz 2 Amortization'!$R$4,'Mezz 2 Amortization'!$S$4),31),'Mezz 2 Amortization'!$E$19:$E$379,0),MATCH('Mezz 2 Amortization'!$V$19,'Mezz 2 Amortization'!$B$19:$V$19,0)),IF(AND('Mezz 2 Amortization'!$T$4="Bi-Annual",CI$5='Mezz 2 Amortization'!$R$4),INDEX('Mezz 2 Amortization'!$B$19:$V$379,MATCH(DATE(CI$7,'Mezz 2 Amortization'!$R$4,31),'Mezz 2 Amortization'!$E$19:$E$379,0),MATCH('Mezz 2 Amortization'!$V$19,'Mezz 2 Amortization'!$B$19:$V$19,0)),IF(AND('Mezz 2 Amortization'!$T$4="Bi-Annual",CI$5='Mezz 2 Amortization'!$S$4),INDEX('Mezz 2 Amortization'!$B$19:$V$379,MATCH(DATE(CI$7,'Mezz 2 Amortization'!$S$4,31),'Mezz 2 Amortization'!$E$19:$E$379,0),MATCH('Mezz 2 Amortization'!$V$19,'Mezz 2 Amortization'!$B$19:$V$19,0)))))))))))</f>
        <v>0</v>
      </c>
      <c r="CJ147" s="427">
        <f>IF('Financing Assumptions'!$T$8="No",0,IF(CJ$9&lt;'Financing Assumptions'!$S$26,0,IF(AND('Mezz 2 Amortization'!$T$4&lt;&gt;"Monthly",CJ9&lt;='Financing Assumptions'!$S$26),0,IF('Mezz 2 Amortization'!$T$4="Monthly",INDEX('Mezz 2 Amortization'!$B$19:$V$379,MATCH(CJ$11,'Mezz 2 Amortization'!$E$19:$E$379,0),MATCH('Mezz 2 Amortization'!$V$19,'Mezz 2 Amortization'!$B$19:$V$19,0)),IF(AND('Mezz 2 Amortization'!$T$4="Bi-Annual",CJ$5&lt;MIN('Mezz 2 Amortization'!$R$4,'Mezz 2 Amortization'!$S$4)),INDEX('Mezz 2 Amortization'!$B$19:$V$379,MATCH(DATE(CJ$7-1,MAX('Mezz 2 Amortization'!$R$4,'Mezz 2 Amortization'!$S$4),31),'Mezz 2 Amortization'!$E$19:$E$379,0),MATCH('Mezz 2 Amortization'!$V$19,'Mezz 2 Amortization'!$B$19:$V$19,0)),IF(AND('Mezz 2 Amortization'!$T$4="Bi-Annual",CJ$5&gt;MAX('Mezz 2 Amortization'!$R$4,'Mezz 2 Amortization'!$S$4)),INDEX('Mezz 2 Amortization'!$B$19:$V$379,MATCH(DATE(CJ$7,MAX('Mezz 2 Amortization'!$R$4,'Mezz 2 Amortization'!$S$4),31),'Mezz 2 Amortization'!$E$19:$E$379,0),MATCH('Mezz 2 Amortization'!$V$19,'Mezz 2 Amortization'!$B$19:$V$19,0)),IF(AND('Mezz 2 Amortization'!$T$4="Bi-Annual",CJ$5&gt;MIN('Mezz 2 Amortization'!$R$4,'Mezz 2 Amortization'!$S$4),CJ$5&lt;MAX('Mezz 2 Amortization'!$R$4,'Mezz 2 Amortization'!$S$4)),INDEX('Mezz 2 Amortization'!$B$19:$V$379,MATCH(DATE(CJ$7,MIN('Mezz 2 Amortization'!$R$4,'Mezz 2 Amortization'!$S$4),31),'Mezz 2 Amortization'!$E$19:$E$379,0),MATCH('Mezz 2 Amortization'!$V$19,'Mezz 2 Amortization'!$B$19:$V$19,0)),IF(AND('Mezz 2 Amortization'!$T$4="Bi-Annual",CJ$5='Mezz 2 Amortization'!$R$4),INDEX('Mezz 2 Amortization'!$B$19:$V$379,MATCH(DATE(CJ$7,'Mezz 2 Amortization'!$R$4,31),'Mezz 2 Amortization'!$E$19:$E$379,0),MATCH('Mezz 2 Amortization'!$V$19,'Mezz 2 Amortization'!$B$19:$V$19,0)),IF(AND('Mezz 2 Amortization'!$T$4="Bi-Annual",CJ$5='Mezz 2 Amortization'!$S$4),INDEX('Mezz 2 Amortization'!$B$19:$V$379,MATCH(DATE(CJ$7,'Mezz 2 Amortization'!$S$4,31),'Mezz 2 Amortization'!$E$19:$E$379,0),MATCH('Mezz 2 Amortization'!$V$19,'Mezz 2 Amortization'!$B$19:$V$19,0)))))))))))</f>
        <v>0</v>
      </c>
      <c r="CK147" s="427">
        <f>IF('Financing Assumptions'!$T$8="No",0,IF(CK$9&lt;'Financing Assumptions'!$S$26,0,IF(AND('Mezz 2 Amortization'!$T$4&lt;&gt;"Monthly",CK9&lt;='Financing Assumptions'!$S$26),0,IF('Mezz 2 Amortization'!$T$4="Monthly",INDEX('Mezz 2 Amortization'!$B$19:$V$379,MATCH(CK$11,'Mezz 2 Amortization'!$E$19:$E$379,0),MATCH('Mezz 2 Amortization'!$V$19,'Mezz 2 Amortization'!$B$19:$V$19,0)),IF(AND('Mezz 2 Amortization'!$T$4="Bi-Annual",CK$5&lt;MIN('Mezz 2 Amortization'!$R$4,'Mezz 2 Amortization'!$S$4)),INDEX('Mezz 2 Amortization'!$B$19:$V$379,MATCH(DATE(CK$7-1,MAX('Mezz 2 Amortization'!$R$4,'Mezz 2 Amortization'!$S$4),31),'Mezz 2 Amortization'!$E$19:$E$379,0),MATCH('Mezz 2 Amortization'!$V$19,'Mezz 2 Amortization'!$B$19:$V$19,0)),IF(AND('Mezz 2 Amortization'!$T$4="Bi-Annual",CK$5&gt;MAX('Mezz 2 Amortization'!$R$4,'Mezz 2 Amortization'!$S$4)),INDEX('Mezz 2 Amortization'!$B$19:$V$379,MATCH(DATE(CK$7,MAX('Mezz 2 Amortization'!$R$4,'Mezz 2 Amortization'!$S$4),31),'Mezz 2 Amortization'!$E$19:$E$379,0),MATCH('Mezz 2 Amortization'!$V$19,'Mezz 2 Amortization'!$B$19:$V$19,0)),IF(AND('Mezz 2 Amortization'!$T$4="Bi-Annual",CK$5&gt;MIN('Mezz 2 Amortization'!$R$4,'Mezz 2 Amortization'!$S$4),CK$5&lt;MAX('Mezz 2 Amortization'!$R$4,'Mezz 2 Amortization'!$S$4)),INDEX('Mezz 2 Amortization'!$B$19:$V$379,MATCH(DATE(CK$7,MIN('Mezz 2 Amortization'!$R$4,'Mezz 2 Amortization'!$S$4),31),'Mezz 2 Amortization'!$E$19:$E$379,0),MATCH('Mezz 2 Amortization'!$V$19,'Mezz 2 Amortization'!$B$19:$V$19,0)),IF(AND('Mezz 2 Amortization'!$T$4="Bi-Annual",CK$5='Mezz 2 Amortization'!$R$4),INDEX('Mezz 2 Amortization'!$B$19:$V$379,MATCH(DATE(CK$7,'Mezz 2 Amortization'!$R$4,31),'Mezz 2 Amortization'!$E$19:$E$379,0),MATCH('Mezz 2 Amortization'!$V$19,'Mezz 2 Amortization'!$B$19:$V$19,0)),IF(AND('Mezz 2 Amortization'!$T$4="Bi-Annual",CK$5='Mezz 2 Amortization'!$S$4),INDEX('Mezz 2 Amortization'!$B$19:$V$379,MATCH(DATE(CK$7,'Mezz 2 Amortization'!$S$4,31),'Mezz 2 Amortization'!$E$19:$E$379,0),MATCH('Mezz 2 Amortization'!$V$19,'Mezz 2 Amortization'!$B$19:$V$19,0)))))))))))</f>
        <v>0</v>
      </c>
      <c r="CL147" s="427">
        <f>IF('Financing Assumptions'!$T$8="No",0,IF(CL$9&lt;'Financing Assumptions'!$S$26,0,IF(AND('Mezz 2 Amortization'!$T$4&lt;&gt;"Monthly",CL9&lt;='Financing Assumptions'!$S$26),0,IF('Mezz 2 Amortization'!$T$4="Monthly",INDEX('Mezz 2 Amortization'!$B$19:$V$379,MATCH(CL$11,'Mezz 2 Amortization'!$E$19:$E$379,0),MATCH('Mezz 2 Amortization'!$V$19,'Mezz 2 Amortization'!$B$19:$V$19,0)),IF(AND('Mezz 2 Amortization'!$T$4="Bi-Annual",CL$5&lt;MIN('Mezz 2 Amortization'!$R$4,'Mezz 2 Amortization'!$S$4)),INDEX('Mezz 2 Amortization'!$B$19:$V$379,MATCH(DATE(CL$7-1,MAX('Mezz 2 Amortization'!$R$4,'Mezz 2 Amortization'!$S$4),31),'Mezz 2 Amortization'!$E$19:$E$379,0),MATCH('Mezz 2 Amortization'!$V$19,'Mezz 2 Amortization'!$B$19:$V$19,0)),IF(AND('Mezz 2 Amortization'!$T$4="Bi-Annual",CL$5&gt;MAX('Mezz 2 Amortization'!$R$4,'Mezz 2 Amortization'!$S$4)),INDEX('Mezz 2 Amortization'!$B$19:$V$379,MATCH(DATE(CL$7,MAX('Mezz 2 Amortization'!$R$4,'Mezz 2 Amortization'!$S$4),31),'Mezz 2 Amortization'!$E$19:$E$379,0),MATCH('Mezz 2 Amortization'!$V$19,'Mezz 2 Amortization'!$B$19:$V$19,0)),IF(AND('Mezz 2 Amortization'!$T$4="Bi-Annual",CL$5&gt;MIN('Mezz 2 Amortization'!$R$4,'Mezz 2 Amortization'!$S$4),CL$5&lt;MAX('Mezz 2 Amortization'!$R$4,'Mezz 2 Amortization'!$S$4)),INDEX('Mezz 2 Amortization'!$B$19:$V$379,MATCH(DATE(CL$7,MIN('Mezz 2 Amortization'!$R$4,'Mezz 2 Amortization'!$S$4),31),'Mezz 2 Amortization'!$E$19:$E$379,0),MATCH('Mezz 2 Amortization'!$V$19,'Mezz 2 Amortization'!$B$19:$V$19,0)),IF(AND('Mezz 2 Amortization'!$T$4="Bi-Annual",CL$5='Mezz 2 Amortization'!$R$4),INDEX('Mezz 2 Amortization'!$B$19:$V$379,MATCH(DATE(CL$7,'Mezz 2 Amortization'!$R$4,31),'Mezz 2 Amortization'!$E$19:$E$379,0),MATCH('Mezz 2 Amortization'!$V$19,'Mezz 2 Amortization'!$B$19:$V$19,0)),IF(AND('Mezz 2 Amortization'!$T$4="Bi-Annual",CL$5='Mezz 2 Amortization'!$S$4),INDEX('Mezz 2 Amortization'!$B$19:$V$379,MATCH(DATE(CL$7,'Mezz 2 Amortization'!$S$4,31),'Mezz 2 Amortization'!$E$19:$E$379,0),MATCH('Mezz 2 Amortization'!$V$19,'Mezz 2 Amortization'!$B$19:$V$19,0)))))))))))</f>
        <v>0</v>
      </c>
      <c r="CM147" s="427">
        <f>IF('Financing Assumptions'!$T$8="No",0,IF(CM$9&lt;'Financing Assumptions'!$S$26,0,IF(AND('Mezz 2 Amortization'!$T$4&lt;&gt;"Monthly",CM9&lt;='Financing Assumptions'!$S$26),0,IF('Mezz 2 Amortization'!$T$4="Monthly",INDEX('Mezz 2 Amortization'!$B$19:$V$379,MATCH(CM$11,'Mezz 2 Amortization'!$E$19:$E$379,0),MATCH('Mezz 2 Amortization'!$V$19,'Mezz 2 Amortization'!$B$19:$V$19,0)),IF(AND('Mezz 2 Amortization'!$T$4="Bi-Annual",CM$5&lt;MIN('Mezz 2 Amortization'!$R$4,'Mezz 2 Amortization'!$S$4)),INDEX('Mezz 2 Amortization'!$B$19:$V$379,MATCH(DATE(CM$7-1,MAX('Mezz 2 Amortization'!$R$4,'Mezz 2 Amortization'!$S$4),31),'Mezz 2 Amortization'!$E$19:$E$379,0),MATCH('Mezz 2 Amortization'!$V$19,'Mezz 2 Amortization'!$B$19:$V$19,0)),IF(AND('Mezz 2 Amortization'!$T$4="Bi-Annual",CM$5&gt;MAX('Mezz 2 Amortization'!$R$4,'Mezz 2 Amortization'!$S$4)),INDEX('Mezz 2 Amortization'!$B$19:$V$379,MATCH(DATE(CM$7,MAX('Mezz 2 Amortization'!$R$4,'Mezz 2 Amortization'!$S$4),31),'Mezz 2 Amortization'!$E$19:$E$379,0),MATCH('Mezz 2 Amortization'!$V$19,'Mezz 2 Amortization'!$B$19:$V$19,0)),IF(AND('Mezz 2 Amortization'!$T$4="Bi-Annual",CM$5&gt;MIN('Mezz 2 Amortization'!$R$4,'Mezz 2 Amortization'!$S$4),CM$5&lt;MAX('Mezz 2 Amortization'!$R$4,'Mezz 2 Amortization'!$S$4)),INDEX('Mezz 2 Amortization'!$B$19:$V$379,MATCH(DATE(CM$7,MIN('Mezz 2 Amortization'!$R$4,'Mezz 2 Amortization'!$S$4),31),'Mezz 2 Amortization'!$E$19:$E$379,0),MATCH('Mezz 2 Amortization'!$V$19,'Mezz 2 Amortization'!$B$19:$V$19,0)),IF(AND('Mezz 2 Amortization'!$T$4="Bi-Annual",CM$5='Mezz 2 Amortization'!$R$4),INDEX('Mezz 2 Amortization'!$B$19:$V$379,MATCH(DATE(CM$7,'Mezz 2 Amortization'!$R$4,31),'Mezz 2 Amortization'!$E$19:$E$379,0),MATCH('Mezz 2 Amortization'!$V$19,'Mezz 2 Amortization'!$B$19:$V$19,0)),IF(AND('Mezz 2 Amortization'!$T$4="Bi-Annual",CM$5='Mezz 2 Amortization'!$S$4),INDEX('Mezz 2 Amortization'!$B$19:$V$379,MATCH(DATE(CM$7,'Mezz 2 Amortization'!$S$4,31),'Mezz 2 Amortization'!$E$19:$E$379,0),MATCH('Mezz 2 Amortization'!$V$19,'Mezz 2 Amortization'!$B$19:$V$19,0)))))))))))</f>
        <v>0</v>
      </c>
      <c r="CN147" s="427">
        <f>IF('Financing Assumptions'!$T$8="No",0,IF(CN$9&lt;'Financing Assumptions'!$S$26,0,IF(AND('Mezz 2 Amortization'!$T$4&lt;&gt;"Monthly",CN9&lt;='Financing Assumptions'!$S$26),0,IF('Mezz 2 Amortization'!$T$4="Monthly",INDEX('Mezz 2 Amortization'!$B$19:$V$379,MATCH(CN$11,'Mezz 2 Amortization'!$E$19:$E$379,0),MATCH('Mezz 2 Amortization'!$V$19,'Mezz 2 Amortization'!$B$19:$V$19,0)),IF(AND('Mezz 2 Amortization'!$T$4="Bi-Annual",CN$5&lt;MIN('Mezz 2 Amortization'!$R$4,'Mezz 2 Amortization'!$S$4)),INDEX('Mezz 2 Amortization'!$B$19:$V$379,MATCH(DATE(CN$7-1,MAX('Mezz 2 Amortization'!$R$4,'Mezz 2 Amortization'!$S$4),31),'Mezz 2 Amortization'!$E$19:$E$379,0),MATCH('Mezz 2 Amortization'!$V$19,'Mezz 2 Amortization'!$B$19:$V$19,0)),IF(AND('Mezz 2 Amortization'!$T$4="Bi-Annual",CN$5&gt;MAX('Mezz 2 Amortization'!$R$4,'Mezz 2 Amortization'!$S$4)),INDEX('Mezz 2 Amortization'!$B$19:$V$379,MATCH(DATE(CN$7,MAX('Mezz 2 Amortization'!$R$4,'Mezz 2 Amortization'!$S$4),31),'Mezz 2 Amortization'!$E$19:$E$379,0),MATCH('Mezz 2 Amortization'!$V$19,'Mezz 2 Amortization'!$B$19:$V$19,0)),IF(AND('Mezz 2 Amortization'!$T$4="Bi-Annual",CN$5&gt;MIN('Mezz 2 Amortization'!$R$4,'Mezz 2 Amortization'!$S$4),CN$5&lt;MAX('Mezz 2 Amortization'!$R$4,'Mezz 2 Amortization'!$S$4)),INDEX('Mezz 2 Amortization'!$B$19:$V$379,MATCH(DATE(CN$7,MIN('Mezz 2 Amortization'!$R$4,'Mezz 2 Amortization'!$S$4),31),'Mezz 2 Amortization'!$E$19:$E$379,0),MATCH('Mezz 2 Amortization'!$V$19,'Mezz 2 Amortization'!$B$19:$V$19,0)),IF(AND('Mezz 2 Amortization'!$T$4="Bi-Annual",CN$5='Mezz 2 Amortization'!$R$4),INDEX('Mezz 2 Amortization'!$B$19:$V$379,MATCH(DATE(CN$7,'Mezz 2 Amortization'!$R$4,31),'Mezz 2 Amortization'!$E$19:$E$379,0),MATCH('Mezz 2 Amortization'!$V$19,'Mezz 2 Amortization'!$B$19:$V$19,0)),IF(AND('Mezz 2 Amortization'!$T$4="Bi-Annual",CN$5='Mezz 2 Amortization'!$S$4),INDEX('Mezz 2 Amortization'!$B$19:$V$379,MATCH(DATE(CN$7,'Mezz 2 Amortization'!$S$4,31),'Mezz 2 Amortization'!$E$19:$E$379,0),MATCH('Mezz 2 Amortization'!$V$19,'Mezz 2 Amortization'!$B$19:$V$19,0)))))))))))</f>
        <v>0</v>
      </c>
      <c r="CO147" s="427">
        <f>IF('Financing Assumptions'!$T$8="No",0,IF(CO$9&lt;'Financing Assumptions'!$S$26,0,IF(AND('Mezz 2 Amortization'!$T$4&lt;&gt;"Monthly",CO9&lt;='Financing Assumptions'!$S$26),0,IF('Mezz 2 Amortization'!$T$4="Monthly",INDEX('Mezz 2 Amortization'!$B$19:$V$379,MATCH(CO$11,'Mezz 2 Amortization'!$E$19:$E$379,0),MATCH('Mezz 2 Amortization'!$V$19,'Mezz 2 Amortization'!$B$19:$V$19,0)),IF(AND('Mezz 2 Amortization'!$T$4="Bi-Annual",CO$5&lt;MIN('Mezz 2 Amortization'!$R$4,'Mezz 2 Amortization'!$S$4)),INDEX('Mezz 2 Amortization'!$B$19:$V$379,MATCH(DATE(CO$7-1,MAX('Mezz 2 Amortization'!$R$4,'Mezz 2 Amortization'!$S$4),31),'Mezz 2 Amortization'!$E$19:$E$379,0),MATCH('Mezz 2 Amortization'!$V$19,'Mezz 2 Amortization'!$B$19:$V$19,0)),IF(AND('Mezz 2 Amortization'!$T$4="Bi-Annual",CO$5&gt;MAX('Mezz 2 Amortization'!$R$4,'Mezz 2 Amortization'!$S$4)),INDEX('Mezz 2 Amortization'!$B$19:$V$379,MATCH(DATE(CO$7,MAX('Mezz 2 Amortization'!$R$4,'Mezz 2 Amortization'!$S$4),31),'Mezz 2 Amortization'!$E$19:$E$379,0),MATCH('Mezz 2 Amortization'!$V$19,'Mezz 2 Amortization'!$B$19:$V$19,0)),IF(AND('Mezz 2 Amortization'!$T$4="Bi-Annual",CO$5&gt;MIN('Mezz 2 Amortization'!$R$4,'Mezz 2 Amortization'!$S$4),CO$5&lt;MAX('Mezz 2 Amortization'!$R$4,'Mezz 2 Amortization'!$S$4)),INDEX('Mezz 2 Amortization'!$B$19:$V$379,MATCH(DATE(CO$7,MIN('Mezz 2 Amortization'!$R$4,'Mezz 2 Amortization'!$S$4),31),'Mezz 2 Amortization'!$E$19:$E$379,0),MATCH('Mezz 2 Amortization'!$V$19,'Mezz 2 Amortization'!$B$19:$V$19,0)),IF(AND('Mezz 2 Amortization'!$T$4="Bi-Annual",CO$5='Mezz 2 Amortization'!$R$4),INDEX('Mezz 2 Amortization'!$B$19:$V$379,MATCH(DATE(CO$7,'Mezz 2 Amortization'!$R$4,31),'Mezz 2 Amortization'!$E$19:$E$379,0),MATCH('Mezz 2 Amortization'!$V$19,'Mezz 2 Amortization'!$B$19:$V$19,0)),IF(AND('Mezz 2 Amortization'!$T$4="Bi-Annual",CO$5='Mezz 2 Amortization'!$S$4),INDEX('Mezz 2 Amortization'!$B$19:$V$379,MATCH(DATE(CO$7,'Mezz 2 Amortization'!$S$4,31),'Mezz 2 Amortization'!$E$19:$E$379,0),MATCH('Mezz 2 Amortization'!$V$19,'Mezz 2 Amortization'!$B$19:$V$19,0)))))))))))</f>
        <v>0</v>
      </c>
      <c r="CP147" s="427">
        <f>IF('Financing Assumptions'!$T$8="No",0,IF(CP$9&lt;'Financing Assumptions'!$S$26,0,IF(AND('Mezz 2 Amortization'!$T$4&lt;&gt;"Monthly",CP9&lt;='Financing Assumptions'!$S$26),0,IF('Mezz 2 Amortization'!$T$4="Monthly",INDEX('Mezz 2 Amortization'!$B$19:$V$379,MATCH(CP$11,'Mezz 2 Amortization'!$E$19:$E$379,0),MATCH('Mezz 2 Amortization'!$V$19,'Mezz 2 Amortization'!$B$19:$V$19,0)),IF(AND('Mezz 2 Amortization'!$T$4="Bi-Annual",CP$5&lt;MIN('Mezz 2 Amortization'!$R$4,'Mezz 2 Amortization'!$S$4)),INDEX('Mezz 2 Amortization'!$B$19:$V$379,MATCH(DATE(CP$7-1,MAX('Mezz 2 Amortization'!$R$4,'Mezz 2 Amortization'!$S$4),31),'Mezz 2 Amortization'!$E$19:$E$379,0),MATCH('Mezz 2 Amortization'!$V$19,'Mezz 2 Amortization'!$B$19:$V$19,0)),IF(AND('Mezz 2 Amortization'!$T$4="Bi-Annual",CP$5&gt;MAX('Mezz 2 Amortization'!$R$4,'Mezz 2 Amortization'!$S$4)),INDEX('Mezz 2 Amortization'!$B$19:$V$379,MATCH(DATE(CP$7,MAX('Mezz 2 Amortization'!$R$4,'Mezz 2 Amortization'!$S$4),31),'Mezz 2 Amortization'!$E$19:$E$379,0),MATCH('Mezz 2 Amortization'!$V$19,'Mezz 2 Amortization'!$B$19:$V$19,0)),IF(AND('Mezz 2 Amortization'!$T$4="Bi-Annual",CP$5&gt;MIN('Mezz 2 Amortization'!$R$4,'Mezz 2 Amortization'!$S$4),CP$5&lt;MAX('Mezz 2 Amortization'!$R$4,'Mezz 2 Amortization'!$S$4)),INDEX('Mezz 2 Amortization'!$B$19:$V$379,MATCH(DATE(CP$7,MIN('Mezz 2 Amortization'!$R$4,'Mezz 2 Amortization'!$S$4),31),'Mezz 2 Amortization'!$E$19:$E$379,0),MATCH('Mezz 2 Amortization'!$V$19,'Mezz 2 Amortization'!$B$19:$V$19,0)),IF(AND('Mezz 2 Amortization'!$T$4="Bi-Annual",CP$5='Mezz 2 Amortization'!$R$4),INDEX('Mezz 2 Amortization'!$B$19:$V$379,MATCH(DATE(CP$7,'Mezz 2 Amortization'!$R$4,31),'Mezz 2 Amortization'!$E$19:$E$379,0),MATCH('Mezz 2 Amortization'!$V$19,'Mezz 2 Amortization'!$B$19:$V$19,0)),IF(AND('Mezz 2 Amortization'!$T$4="Bi-Annual",CP$5='Mezz 2 Amortization'!$S$4),INDEX('Mezz 2 Amortization'!$B$19:$V$379,MATCH(DATE(CP$7,'Mezz 2 Amortization'!$S$4,31),'Mezz 2 Amortization'!$E$19:$E$379,0),MATCH('Mezz 2 Amortization'!$V$19,'Mezz 2 Amortization'!$B$19:$V$19,0)))))))))))</f>
        <v>0</v>
      </c>
      <c r="CQ147" s="427">
        <f>IF('Financing Assumptions'!$T$8="No",0,IF(CQ$9&lt;'Financing Assumptions'!$S$26,0,IF(AND('Mezz 2 Amortization'!$T$4&lt;&gt;"Monthly",CQ9&lt;='Financing Assumptions'!$S$26),0,IF('Mezz 2 Amortization'!$T$4="Monthly",INDEX('Mezz 2 Amortization'!$B$19:$V$379,MATCH(CQ$11,'Mezz 2 Amortization'!$E$19:$E$379,0),MATCH('Mezz 2 Amortization'!$V$19,'Mezz 2 Amortization'!$B$19:$V$19,0)),IF(AND('Mezz 2 Amortization'!$T$4="Bi-Annual",CQ$5&lt;MIN('Mezz 2 Amortization'!$R$4,'Mezz 2 Amortization'!$S$4)),INDEX('Mezz 2 Amortization'!$B$19:$V$379,MATCH(DATE(CQ$7-1,MAX('Mezz 2 Amortization'!$R$4,'Mezz 2 Amortization'!$S$4),31),'Mezz 2 Amortization'!$E$19:$E$379,0),MATCH('Mezz 2 Amortization'!$V$19,'Mezz 2 Amortization'!$B$19:$V$19,0)),IF(AND('Mezz 2 Amortization'!$T$4="Bi-Annual",CQ$5&gt;MAX('Mezz 2 Amortization'!$R$4,'Mezz 2 Amortization'!$S$4)),INDEX('Mezz 2 Amortization'!$B$19:$V$379,MATCH(DATE(CQ$7,MAX('Mezz 2 Amortization'!$R$4,'Mezz 2 Amortization'!$S$4),31),'Mezz 2 Amortization'!$E$19:$E$379,0),MATCH('Mezz 2 Amortization'!$V$19,'Mezz 2 Amortization'!$B$19:$V$19,0)),IF(AND('Mezz 2 Amortization'!$T$4="Bi-Annual",CQ$5&gt;MIN('Mezz 2 Amortization'!$R$4,'Mezz 2 Amortization'!$S$4),CQ$5&lt;MAX('Mezz 2 Amortization'!$R$4,'Mezz 2 Amortization'!$S$4)),INDEX('Mezz 2 Amortization'!$B$19:$V$379,MATCH(DATE(CQ$7,MIN('Mezz 2 Amortization'!$R$4,'Mezz 2 Amortization'!$S$4),31),'Mezz 2 Amortization'!$E$19:$E$379,0),MATCH('Mezz 2 Amortization'!$V$19,'Mezz 2 Amortization'!$B$19:$V$19,0)),IF(AND('Mezz 2 Amortization'!$T$4="Bi-Annual",CQ$5='Mezz 2 Amortization'!$R$4),INDEX('Mezz 2 Amortization'!$B$19:$V$379,MATCH(DATE(CQ$7,'Mezz 2 Amortization'!$R$4,31),'Mezz 2 Amortization'!$E$19:$E$379,0),MATCH('Mezz 2 Amortization'!$V$19,'Mezz 2 Amortization'!$B$19:$V$19,0)),IF(AND('Mezz 2 Amortization'!$T$4="Bi-Annual",CQ$5='Mezz 2 Amortization'!$S$4),INDEX('Mezz 2 Amortization'!$B$19:$V$379,MATCH(DATE(CQ$7,'Mezz 2 Amortization'!$S$4,31),'Mezz 2 Amortization'!$E$19:$E$379,0),MATCH('Mezz 2 Amortization'!$V$19,'Mezz 2 Amortization'!$B$19:$V$19,0)))))))))))</f>
        <v>0</v>
      </c>
      <c r="CR147" s="427">
        <f>IF('Financing Assumptions'!$T$8="No",0,IF(CR$9&lt;'Financing Assumptions'!$S$26,0,IF(AND('Mezz 2 Amortization'!$T$4&lt;&gt;"Monthly",CR9&lt;='Financing Assumptions'!$S$26),0,IF('Mezz 2 Amortization'!$T$4="Monthly",INDEX('Mezz 2 Amortization'!$B$19:$V$379,MATCH(CR$11,'Mezz 2 Amortization'!$E$19:$E$379,0),MATCH('Mezz 2 Amortization'!$V$19,'Mezz 2 Amortization'!$B$19:$V$19,0)),IF(AND('Mezz 2 Amortization'!$T$4="Bi-Annual",CR$5&lt;MIN('Mezz 2 Amortization'!$R$4,'Mezz 2 Amortization'!$S$4)),INDEX('Mezz 2 Amortization'!$B$19:$V$379,MATCH(DATE(CR$7-1,MAX('Mezz 2 Amortization'!$R$4,'Mezz 2 Amortization'!$S$4),31),'Mezz 2 Amortization'!$E$19:$E$379,0),MATCH('Mezz 2 Amortization'!$V$19,'Mezz 2 Amortization'!$B$19:$V$19,0)),IF(AND('Mezz 2 Amortization'!$T$4="Bi-Annual",CR$5&gt;MAX('Mezz 2 Amortization'!$R$4,'Mezz 2 Amortization'!$S$4)),INDEX('Mezz 2 Amortization'!$B$19:$V$379,MATCH(DATE(CR$7,MAX('Mezz 2 Amortization'!$R$4,'Mezz 2 Amortization'!$S$4),31),'Mezz 2 Amortization'!$E$19:$E$379,0),MATCH('Mezz 2 Amortization'!$V$19,'Mezz 2 Amortization'!$B$19:$V$19,0)),IF(AND('Mezz 2 Amortization'!$T$4="Bi-Annual",CR$5&gt;MIN('Mezz 2 Amortization'!$R$4,'Mezz 2 Amortization'!$S$4),CR$5&lt;MAX('Mezz 2 Amortization'!$R$4,'Mezz 2 Amortization'!$S$4)),INDEX('Mezz 2 Amortization'!$B$19:$V$379,MATCH(DATE(CR$7,MIN('Mezz 2 Amortization'!$R$4,'Mezz 2 Amortization'!$S$4),31),'Mezz 2 Amortization'!$E$19:$E$379,0),MATCH('Mezz 2 Amortization'!$V$19,'Mezz 2 Amortization'!$B$19:$V$19,0)),IF(AND('Mezz 2 Amortization'!$T$4="Bi-Annual",CR$5='Mezz 2 Amortization'!$R$4),INDEX('Mezz 2 Amortization'!$B$19:$V$379,MATCH(DATE(CR$7,'Mezz 2 Amortization'!$R$4,31),'Mezz 2 Amortization'!$E$19:$E$379,0),MATCH('Mezz 2 Amortization'!$V$19,'Mezz 2 Amortization'!$B$19:$V$19,0)),IF(AND('Mezz 2 Amortization'!$T$4="Bi-Annual",CR$5='Mezz 2 Amortization'!$S$4),INDEX('Mezz 2 Amortization'!$B$19:$V$379,MATCH(DATE(CR$7,'Mezz 2 Amortization'!$S$4,31),'Mezz 2 Amortization'!$E$19:$E$379,0),MATCH('Mezz 2 Amortization'!$V$19,'Mezz 2 Amortization'!$B$19:$V$19,0)))))))))))</f>
        <v>0</v>
      </c>
      <c r="CS147" s="427">
        <f>IF('Financing Assumptions'!$T$8="No",0,IF(CS$9&lt;'Financing Assumptions'!$S$26,0,IF(AND('Mezz 2 Amortization'!$T$4&lt;&gt;"Monthly",CS9&lt;='Financing Assumptions'!$S$26),0,IF('Mezz 2 Amortization'!$T$4="Monthly",INDEX('Mezz 2 Amortization'!$B$19:$V$379,MATCH(CS$11,'Mezz 2 Amortization'!$E$19:$E$379,0),MATCH('Mezz 2 Amortization'!$V$19,'Mezz 2 Amortization'!$B$19:$V$19,0)),IF(AND('Mezz 2 Amortization'!$T$4="Bi-Annual",CS$5&lt;MIN('Mezz 2 Amortization'!$R$4,'Mezz 2 Amortization'!$S$4)),INDEX('Mezz 2 Amortization'!$B$19:$V$379,MATCH(DATE(CS$7-1,MAX('Mezz 2 Amortization'!$R$4,'Mezz 2 Amortization'!$S$4),31),'Mezz 2 Amortization'!$E$19:$E$379,0),MATCH('Mezz 2 Amortization'!$V$19,'Mezz 2 Amortization'!$B$19:$V$19,0)),IF(AND('Mezz 2 Amortization'!$T$4="Bi-Annual",CS$5&gt;MAX('Mezz 2 Amortization'!$R$4,'Mezz 2 Amortization'!$S$4)),INDEX('Mezz 2 Amortization'!$B$19:$V$379,MATCH(DATE(CS$7,MAX('Mezz 2 Amortization'!$R$4,'Mezz 2 Amortization'!$S$4),31),'Mezz 2 Amortization'!$E$19:$E$379,0),MATCH('Mezz 2 Amortization'!$V$19,'Mezz 2 Amortization'!$B$19:$V$19,0)),IF(AND('Mezz 2 Amortization'!$T$4="Bi-Annual",CS$5&gt;MIN('Mezz 2 Amortization'!$R$4,'Mezz 2 Amortization'!$S$4),CS$5&lt;MAX('Mezz 2 Amortization'!$R$4,'Mezz 2 Amortization'!$S$4)),INDEX('Mezz 2 Amortization'!$B$19:$V$379,MATCH(DATE(CS$7,MIN('Mezz 2 Amortization'!$R$4,'Mezz 2 Amortization'!$S$4),31),'Mezz 2 Amortization'!$E$19:$E$379,0),MATCH('Mezz 2 Amortization'!$V$19,'Mezz 2 Amortization'!$B$19:$V$19,0)),IF(AND('Mezz 2 Amortization'!$T$4="Bi-Annual",CS$5='Mezz 2 Amortization'!$R$4),INDEX('Mezz 2 Amortization'!$B$19:$V$379,MATCH(DATE(CS$7,'Mezz 2 Amortization'!$R$4,31),'Mezz 2 Amortization'!$E$19:$E$379,0),MATCH('Mezz 2 Amortization'!$V$19,'Mezz 2 Amortization'!$B$19:$V$19,0)),IF(AND('Mezz 2 Amortization'!$T$4="Bi-Annual",CS$5='Mezz 2 Amortization'!$S$4),INDEX('Mezz 2 Amortization'!$B$19:$V$379,MATCH(DATE(CS$7,'Mezz 2 Amortization'!$S$4,31),'Mezz 2 Amortization'!$E$19:$E$379,0),MATCH('Mezz 2 Amortization'!$V$19,'Mezz 2 Amortization'!$B$19:$V$19,0)))))))))))</f>
        <v>0</v>
      </c>
      <c r="CT147" s="427">
        <f>IF('Financing Assumptions'!$T$8="No",0,IF(CT$9&lt;'Financing Assumptions'!$S$26,0,IF(AND('Mezz 2 Amortization'!$T$4&lt;&gt;"Monthly",CT9&lt;='Financing Assumptions'!$S$26),0,IF('Mezz 2 Amortization'!$T$4="Monthly",INDEX('Mezz 2 Amortization'!$B$19:$V$379,MATCH(CT$11,'Mezz 2 Amortization'!$E$19:$E$379,0),MATCH('Mezz 2 Amortization'!$V$19,'Mezz 2 Amortization'!$B$19:$V$19,0)),IF(AND('Mezz 2 Amortization'!$T$4="Bi-Annual",CT$5&lt;MIN('Mezz 2 Amortization'!$R$4,'Mezz 2 Amortization'!$S$4)),INDEX('Mezz 2 Amortization'!$B$19:$V$379,MATCH(DATE(CT$7-1,MAX('Mezz 2 Amortization'!$R$4,'Mezz 2 Amortization'!$S$4),31),'Mezz 2 Amortization'!$E$19:$E$379,0),MATCH('Mezz 2 Amortization'!$V$19,'Mezz 2 Amortization'!$B$19:$V$19,0)),IF(AND('Mezz 2 Amortization'!$T$4="Bi-Annual",CT$5&gt;MAX('Mezz 2 Amortization'!$R$4,'Mezz 2 Amortization'!$S$4)),INDEX('Mezz 2 Amortization'!$B$19:$V$379,MATCH(DATE(CT$7,MAX('Mezz 2 Amortization'!$R$4,'Mezz 2 Amortization'!$S$4),31),'Mezz 2 Amortization'!$E$19:$E$379,0),MATCH('Mezz 2 Amortization'!$V$19,'Mezz 2 Amortization'!$B$19:$V$19,0)),IF(AND('Mezz 2 Amortization'!$T$4="Bi-Annual",CT$5&gt;MIN('Mezz 2 Amortization'!$R$4,'Mezz 2 Amortization'!$S$4),CT$5&lt;MAX('Mezz 2 Amortization'!$R$4,'Mezz 2 Amortization'!$S$4)),INDEX('Mezz 2 Amortization'!$B$19:$V$379,MATCH(DATE(CT$7,MIN('Mezz 2 Amortization'!$R$4,'Mezz 2 Amortization'!$S$4),31),'Mezz 2 Amortization'!$E$19:$E$379,0),MATCH('Mezz 2 Amortization'!$V$19,'Mezz 2 Amortization'!$B$19:$V$19,0)),IF(AND('Mezz 2 Amortization'!$T$4="Bi-Annual",CT$5='Mezz 2 Amortization'!$R$4),INDEX('Mezz 2 Amortization'!$B$19:$V$379,MATCH(DATE(CT$7,'Mezz 2 Amortization'!$R$4,31),'Mezz 2 Amortization'!$E$19:$E$379,0),MATCH('Mezz 2 Amortization'!$V$19,'Mezz 2 Amortization'!$B$19:$V$19,0)),IF(AND('Mezz 2 Amortization'!$T$4="Bi-Annual",CT$5='Mezz 2 Amortization'!$S$4),INDEX('Mezz 2 Amortization'!$B$19:$V$379,MATCH(DATE(CT$7,'Mezz 2 Amortization'!$S$4,31),'Mezz 2 Amortization'!$E$19:$E$379,0),MATCH('Mezz 2 Amortization'!$V$19,'Mezz 2 Amortization'!$B$19:$V$19,0)))))))))))</f>
        <v>0</v>
      </c>
      <c r="CU147" s="427">
        <f>IF('Financing Assumptions'!$T$8="No",0,IF(CU$9&lt;'Financing Assumptions'!$S$26,0,IF(AND('Mezz 2 Amortization'!$T$4&lt;&gt;"Monthly",CU9&lt;='Financing Assumptions'!$S$26),0,IF('Mezz 2 Amortization'!$T$4="Monthly",INDEX('Mezz 2 Amortization'!$B$19:$V$379,MATCH(CU$11,'Mezz 2 Amortization'!$E$19:$E$379,0),MATCH('Mezz 2 Amortization'!$V$19,'Mezz 2 Amortization'!$B$19:$V$19,0)),IF(AND('Mezz 2 Amortization'!$T$4="Bi-Annual",CU$5&lt;MIN('Mezz 2 Amortization'!$R$4,'Mezz 2 Amortization'!$S$4)),INDEX('Mezz 2 Amortization'!$B$19:$V$379,MATCH(DATE(CU$7-1,MAX('Mezz 2 Amortization'!$R$4,'Mezz 2 Amortization'!$S$4),31),'Mezz 2 Amortization'!$E$19:$E$379,0),MATCH('Mezz 2 Amortization'!$V$19,'Mezz 2 Amortization'!$B$19:$V$19,0)),IF(AND('Mezz 2 Amortization'!$T$4="Bi-Annual",CU$5&gt;MAX('Mezz 2 Amortization'!$R$4,'Mezz 2 Amortization'!$S$4)),INDEX('Mezz 2 Amortization'!$B$19:$V$379,MATCH(DATE(CU$7,MAX('Mezz 2 Amortization'!$R$4,'Mezz 2 Amortization'!$S$4),31),'Mezz 2 Amortization'!$E$19:$E$379,0),MATCH('Mezz 2 Amortization'!$V$19,'Mezz 2 Amortization'!$B$19:$V$19,0)),IF(AND('Mezz 2 Amortization'!$T$4="Bi-Annual",CU$5&gt;MIN('Mezz 2 Amortization'!$R$4,'Mezz 2 Amortization'!$S$4),CU$5&lt;MAX('Mezz 2 Amortization'!$R$4,'Mezz 2 Amortization'!$S$4)),INDEX('Mezz 2 Amortization'!$B$19:$V$379,MATCH(DATE(CU$7,MIN('Mezz 2 Amortization'!$R$4,'Mezz 2 Amortization'!$S$4),31),'Mezz 2 Amortization'!$E$19:$E$379,0),MATCH('Mezz 2 Amortization'!$V$19,'Mezz 2 Amortization'!$B$19:$V$19,0)),IF(AND('Mezz 2 Amortization'!$T$4="Bi-Annual",CU$5='Mezz 2 Amortization'!$R$4),INDEX('Mezz 2 Amortization'!$B$19:$V$379,MATCH(DATE(CU$7,'Mezz 2 Amortization'!$R$4,31),'Mezz 2 Amortization'!$E$19:$E$379,0),MATCH('Mezz 2 Amortization'!$V$19,'Mezz 2 Amortization'!$B$19:$V$19,0)),IF(AND('Mezz 2 Amortization'!$T$4="Bi-Annual",CU$5='Mezz 2 Amortization'!$S$4),INDEX('Mezz 2 Amortization'!$B$19:$V$379,MATCH(DATE(CU$7,'Mezz 2 Amortization'!$S$4,31),'Mezz 2 Amortization'!$E$19:$E$379,0),MATCH('Mezz 2 Amortization'!$V$19,'Mezz 2 Amortization'!$B$19:$V$19,0)))))))))))</f>
        <v>0</v>
      </c>
      <c r="CV147" s="427">
        <f>IF('Financing Assumptions'!$T$8="No",0,IF(CV$9&lt;'Financing Assumptions'!$S$26,0,IF(AND('Mezz 2 Amortization'!$T$4&lt;&gt;"Monthly",CV9&lt;='Financing Assumptions'!$S$26),0,IF('Mezz 2 Amortization'!$T$4="Monthly",INDEX('Mezz 2 Amortization'!$B$19:$V$379,MATCH(CV$11,'Mezz 2 Amortization'!$E$19:$E$379,0),MATCH('Mezz 2 Amortization'!$V$19,'Mezz 2 Amortization'!$B$19:$V$19,0)),IF(AND('Mezz 2 Amortization'!$T$4="Bi-Annual",CV$5&lt;MIN('Mezz 2 Amortization'!$R$4,'Mezz 2 Amortization'!$S$4)),INDEX('Mezz 2 Amortization'!$B$19:$V$379,MATCH(DATE(CV$7-1,MAX('Mezz 2 Amortization'!$R$4,'Mezz 2 Amortization'!$S$4),31),'Mezz 2 Amortization'!$E$19:$E$379,0),MATCH('Mezz 2 Amortization'!$V$19,'Mezz 2 Amortization'!$B$19:$V$19,0)),IF(AND('Mezz 2 Amortization'!$T$4="Bi-Annual",CV$5&gt;MAX('Mezz 2 Amortization'!$R$4,'Mezz 2 Amortization'!$S$4)),INDEX('Mezz 2 Amortization'!$B$19:$V$379,MATCH(DATE(CV$7,MAX('Mezz 2 Amortization'!$R$4,'Mezz 2 Amortization'!$S$4),31),'Mezz 2 Amortization'!$E$19:$E$379,0),MATCH('Mezz 2 Amortization'!$V$19,'Mezz 2 Amortization'!$B$19:$V$19,0)),IF(AND('Mezz 2 Amortization'!$T$4="Bi-Annual",CV$5&gt;MIN('Mezz 2 Amortization'!$R$4,'Mezz 2 Amortization'!$S$4),CV$5&lt;MAX('Mezz 2 Amortization'!$R$4,'Mezz 2 Amortization'!$S$4)),INDEX('Mezz 2 Amortization'!$B$19:$V$379,MATCH(DATE(CV$7,MIN('Mezz 2 Amortization'!$R$4,'Mezz 2 Amortization'!$S$4),31),'Mezz 2 Amortization'!$E$19:$E$379,0),MATCH('Mezz 2 Amortization'!$V$19,'Mezz 2 Amortization'!$B$19:$V$19,0)),IF(AND('Mezz 2 Amortization'!$T$4="Bi-Annual",CV$5='Mezz 2 Amortization'!$R$4),INDEX('Mezz 2 Amortization'!$B$19:$V$379,MATCH(DATE(CV$7,'Mezz 2 Amortization'!$R$4,31),'Mezz 2 Amortization'!$E$19:$E$379,0),MATCH('Mezz 2 Amortization'!$V$19,'Mezz 2 Amortization'!$B$19:$V$19,0)),IF(AND('Mezz 2 Amortization'!$T$4="Bi-Annual",CV$5='Mezz 2 Amortization'!$S$4),INDEX('Mezz 2 Amortization'!$B$19:$V$379,MATCH(DATE(CV$7,'Mezz 2 Amortization'!$S$4,31),'Mezz 2 Amortization'!$E$19:$E$379,0),MATCH('Mezz 2 Amortization'!$V$19,'Mezz 2 Amortization'!$B$19:$V$19,0)))))))))))</f>
        <v>0</v>
      </c>
      <c r="CW147" s="427">
        <f>IF('Financing Assumptions'!$T$8="No",0,IF(CW$9&lt;'Financing Assumptions'!$S$26,0,IF(AND('Mezz 2 Amortization'!$T$4&lt;&gt;"Monthly",CW9&lt;='Financing Assumptions'!$S$26),0,IF('Mezz 2 Amortization'!$T$4="Monthly",INDEX('Mezz 2 Amortization'!$B$19:$V$379,MATCH(CW$11,'Mezz 2 Amortization'!$E$19:$E$379,0),MATCH('Mezz 2 Amortization'!$V$19,'Mezz 2 Amortization'!$B$19:$V$19,0)),IF(AND('Mezz 2 Amortization'!$T$4="Bi-Annual",CW$5&lt;MIN('Mezz 2 Amortization'!$R$4,'Mezz 2 Amortization'!$S$4)),INDEX('Mezz 2 Amortization'!$B$19:$V$379,MATCH(DATE(CW$7-1,MAX('Mezz 2 Amortization'!$R$4,'Mezz 2 Amortization'!$S$4),31),'Mezz 2 Amortization'!$E$19:$E$379,0),MATCH('Mezz 2 Amortization'!$V$19,'Mezz 2 Amortization'!$B$19:$V$19,0)),IF(AND('Mezz 2 Amortization'!$T$4="Bi-Annual",CW$5&gt;MAX('Mezz 2 Amortization'!$R$4,'Mezz 2 Amortization'!$S$4)),INDEX('Mezz 2 Amortization'!$B$19:$V$379,MATCH(DATE(CW$7,MAX('Mezz 2 Amortization'!$R$4,'Mezz 2 Amortization'!$S$4),31),'Mezz 2 Amortization'!$E$19:$E$379,0),MATCH('Mezz 2 Amortization'!$V$19,'Mezz 2 Amortization'!$B$19:$V$19,0)),IF(AND('Mezz 2 Amortization'!$T$4="Bi-Annual",CW$5&gt;MIN('Mezz 2 Amortization'!$R$4,'Mezz 2 Amortization'!$S$4),CW$5&lt;MAX('Mezz 2 Amortization'!$R$4,'Mezz 2 Amortization'!$S$4)),INDEX('Mezz 2 Amortization'!$B$19:$V$379,MATCH(DATE(CW$7,MIN('Mezz 2 Amortization'!$R$4,'Mezz 2 Amortization'!$S$4),31),'Mezz 2 Amortization'!$E$19:$E$379,0),MATCH('Mezz 2 Amortization'!$V$19,'Mezz 2 Amortization'!$B$19:$V$19,0)),IF(AND('Mezz 2 Amortization'!$T$4="Bi-Annual",CW$5='Mezz 2 Amortization'!$R$4),INDEX('Mezz 2 Amortization'!$B$19:$V$379,MATCH(DATE(CW$7,'Mezz 2 Amortization'!$R$4,31),'Mezz 2 Amortization'!$E$19:$E$379,0),MATCH('Mezz 2 Amortization'!$V$19,'Mezz 2 Amortization'!$B$19:$V$19,0)),IF(AND('Mezz 2 Amortization'!$T$4="Bi-Annual",CW$5='Mezz 2 Amortization'!$S$4),INDEX('Mezz 2 Amortization'!$B$19:$V$379,MATCH(DATE(CW$7,'Mezz 2 Amortization'!$S$4,31),'Mezz 2 Amortization'!$E$19:$E$379,0),MATCH('Mezz 2 Amortization'!$V$19,'Mezz 2 Amortization'!$B$19:$V$19,0)))))))))))</f>
        <v>0</v>
      </c>
      <c r="CX147" s="427">
        <f>IF('Financing Assumptions'!$T$8="No",0,IF(CX$9&lt;'Financing Assumptions'!$S$26,0,IF(AND('Mezz 2 Amortization'!$T$4&lt;&gt;"Monthly",CX9&lt;='Financing Assumptions'!$S$26),0,IF('Mezz 2 Amortization'!$T$4="Monthly",INDEX('Mezz 2 Amortization'!$B$19:$V$379,MATCH(CX$11,'Mezz 2 Amortization'!$E$19:$E$379,0),MATCH('Mezz 2 Amortization'!$V$19,'Mezz 2 Amortization'!$B$19:$V$19,0)),IF(AND('Mezz 2 Amortization'!$T$4="Bi-Annual",CX$5&lt;MIN('Mezz 2 Amortization'!$R$4,'Mezz 2 Amortization'!$S$4)),INDEX('Mezz 2 Amortization'!$B$19:$V$379,MATCH(DATE(CX$7-1,MAX('Mezz 2 Amortization'!$R$4,'Mezz 2 Amortization'!$S$4),31),'Mezz 2 Amortization'!$E$19:$E$379,0),MATCH('Mezz 2 Amortization'!$V$19,'Mezz 2 Amortization'!$B$19:$V$19,0)),IF(AND('Mezz 2 Amortization'!$T$4="Bi-Annual",CX$5&gt;MAX('Mezz 2 Amortization'!$R$4,'Mezz 2 Amortization'!$S$4)),INDEX('Mezz 2 Amortization'!$B$19:$V$379,MATCH(DATE(CX$7,MAX('Mezz 2 Amortization'!$R$4,'Mezz 2 Amortization'!$S$4),31),'Mezz 2 Amortization'!$E$19:$E$379,0),MATCH('Mezz 2 Amortization'!$V$19,'Mezz 2 Amortization'!$B$19:$V$19,0)),IF(AND('Mezz 2 Amortization'!$T$4="Bi-Annual",CX$5&gt;MIN('Mezz 2 Amortization'!$R$4,'Mezz 2 Amortization'!$S$4),CX$5&lt;MAX('Mezz 2 Amortization'!$R$4,'Mezz 2 Amortization'!$S$4)),INDEX('Mezz 2 Amortization'!$B$19:$V$379,MATCH(DATE(CX$7,MIN('Mezz 2 Amortization'!$R$4,'Mezz 2 Amortization'!$S$4),31),'Mezz 2 Amortization'!$E$19:$E$379,0),MATCH('Mezz 2 Amortization'!$V$19,'Mezz 2 Amortization'!$B$19:$V$19,0)),IF(AND('Mezz 2 Amortization'!$T$4="Bi-Annual",CX$5='Mezz 2 Amortization'!$R$4),INDEX('Mezz 2 Amortization'!$B$19:$V$379,MATCH(DATE(CX$7,'Mezz 2 Amortization'!$R$4,31),'Mezz 2 Amortization'!$E$19:$E$379,0),MATCH('Mezz 2 Amortization'!$V$19,'Mezz 2 Amortization'!$B$19:$V$19,0)),IF(AND('Mezz 2 Amortization'!$T$4="Bi-Annual",CX$5='Mezz 2 Amortization'!$S$4),INDEX('Mezz 2 Amortization'!$B$19:$V$379,MATCH(DATE(CX$7,'Mezz 2 Amortization'!$S$4,31),'Mezz 2 Amortization'!$E$19:$E$379,0),MATCH('Mezz 2 Amortization'!$V$19,'Mezz 2 Amortization'!$B$19:$V$19,0)))))))))))</f>
        <v>0</v>
      </c>
      <c r="CY147" s="427">
        <f>IF('Financing Assumptions'!$T$8="No",0,IF(CY$9&lt;'Financing Assumptions'!$S$26,0,IF(AND('Mezz 2 Amortization'!$T$4&lt;&gt;"Monthly",CY9&lt;='Financing Assumptions'!$S$26),0,IF('Mezz 2 Amortization'!$T$4="Monthly",INDEX('Mezz 2 Amortization'!$B$19:$V$379,MATCH(CY$11,'Mezz 2 Amortization'!$E$19:$E$379,0),MATCH('Mezz 2 Amortization'!$V$19,'Mezz 2 Amortization'!$B$19:$V$19,0)),IF(AND('Mezz 2 Amortization'!$T$4="Bi-Annual",CY$5&lt;MIN('Mezz 2 Amortization'!$R$4,'Mezz 2 Amortization'!$S$4)),INDEX('Mezz 2 Amortization'!$B$19:$V$379,MATCH(DATE(CY$7-1,MAX('Mezz 2 Amortization'!$R$4,'Mezz 2 Amortization'!$S$4),31),'Mezz 2 Amortization'!$E$19:$E$379,0),MATCH('Mezz 2 Amortization'!$V$19,'Mezz 2 Amortization'!$B$19:$V$19,0)),IF(AND('Mezz 2 Amortization'!$T$4="Bi-Annual",CY$5&gt;MAX('Mezz 2 Amortization'!$R$4,'Mezz 2 Amortization'!$S$4)),INDEX('Mezz 2 Amortization'!$B$19:$V$379,MATCH(DATE(CY$7,MAX('Mezz 2 Amortization'!$R$4,'Mezz 2 Amortization'!$S$4),31),'Mezz 2 Amortization'!$E$19:$E$379,0),MATCH('Mezz 2 Amortization'!$V$19,'Mezz 2 Amortization'!$B$19:$V$19,0)),IF(AND('Mezz 2 Amortization'!$T$4="Bi-Annual",CY$5&gt;MIN('Mezz 2 Amortization'!$R$4,'Mezz 2 Amortization'!$S$4),CY$5&lt;MAX('Mezz 2 Amortization'!$R$4,'Mezz 2 Amortization'!$S$4)),INDEX('Mezz 2 Amortization'!$B$19:$V$379,MATCH(DATE(CY$7,MIN('Mezz 2 Amortization'!$R$4,'Mezz 2 Amortization'!$S$4),31),'Mezz 2 Amortization'!$E$19:$E$379,0),MATCH('Mezz 2 Amortization'!$V$19,'Mezz 2 Amortization'!$B$19:$V$19,0)),IF(AND('Mezz 2 Amortization'!$T$4="Bi-Annual",CY$5='Mezz 2 Amortization'!$R$4),INDEX('Mezz 2 Amortization'!$B$19:$V$379,MATCH(DATE(CY$7,'Mezz 2 Amortization'!$R$4,31),'Mezz 2 Amortization'!$E$19:$E$379,0),MATCH('Mezz 2 Amortization'!$V$19,'Mezz 2 Amortization'!$B$19:$V$19,0)),IF(AND('Mezz 2 Amortization'!$T$4="Bi-Annual",CY$5='Mezz 2 Amortization'!$S$4),INDEX('Mezz 2 Amortization'!$B$19:$V$379,MATCH(DATE(CY$7,'Mezz 2 Amortization'!$S$4,31),'Mezz 2 Amortization'!$E$19:$E$379,0),MATCH('Mezz 2 Amortization'!$V$19,'Mezz 2 Amortization'!$B$19:$V$19,0)))))))))))</f>
        <v>0</v>
      </c>
      <c r="CZ147" s="427">
        <f>IF('Financing Assumptions'!$T$8="No",0,IF(CZ$9&lt;'Financing Assumptions'!$S$26,0,IF(AND('Mezz 2 Amortization'!$T$4&lt;&gt;"Monthly",CZ9&lt;='Financing Assumptions'!$S$26),0,IF('Mezz 2 Amortization'!$T$4="Monthly",INDEX('Mezz 2 Amortization'!$B$19:$V$379,MATCH(CZ$11,'Mezz 2 Amortization'!$E$19:$E$379,0),MATCH('Mezz 2 Amortization'!$V$19,'Mezz 2 Amortization'!$B$19:$V$19,0)),IF(AND('Mezz 2 Amortization'!$T$4="Bi-Annual",CZ$5&lt;MIN('Mezz 2 Amortization'!$R$4,'Mezz 2 Amortization'!$S$4)),INDEX('Mezz 2 Amortization'!$B$19:$V$379,MATCH(DATE(CZ$7-1,MAX('Mezz 2 Amortization'!$R$4,'Mezz 2 Amortization'!$S$4),31),'Mezz 2 Amortization'!$E$19:$E$379,0),MATCH('Mezz 2 Amortization'!$V$19,'Mezz 2 Amortization'!$B$19:$V$19,0)),IF(AND('Mezz 2 Amortization'!$T$4="Bi-Annual",CZ$5&gt;MAX('Mezz 2 Amortization'!$R$4,'Mezz 2 Amortization'!$S$4)),INDEX('Mezz 2 Amortization'!$B$19:$V$379,MATCH(DATE(CZ$7,MAX('Mezz 2 Amortization'!$R$4,'Mezz 2 Amortization'!$S$4),31),'Mezz 2 Amortization'!$E$19:$E$379,0),MATCH('Mezz 2 Amortization'!$V$19,'Mezz 2 Amortization'!$B$19:$V$19,0)),IF(AND('Mezz 2 Amortization'!$T$4="Bi-Annual",CZ$5&gt;MIN('Mezz 2 Amortization'!$R$4,'Mezz 2 Amortization'!$S$4),CZ$5&lt;MAX('Mezz 2 Amortization'!$R$4,'Mezz 2 Amortization'!$S$4)),INDEX('Mezz 2 Amortization'!$B$19:$V$379,MATCH(DATE(CZ$7,MIN('Mezz 2 Amortization'!$R$4,'Mezz 2 Amortization'!$S$4),31),'Mezz 2 Amortization'!$E$19:$E$379,0),MATCH('Mezz 2 Amortization'!$V$19,'Mezz 2 Amortization'!$B$19:$V$19,0)),IF(AND('Mezz 2 Amortization'!$T$4="Bi-Annual",CZ$5='Mezz 2 Amortization'!$R$4),INDEX('Mezz 2 Amortization'!$B$19:$V$379,MATCH(DATE(CZ$7,'Mezz 2 Amortization'!$R$4,31),'Mezz 2 Amortization'!$E$19:$E$379,0),MATCH('Mezz 2 Amortization'!$V$19,'Mezz 2 Amortization'!$B$19:$V$19,0)),IF(AND('Mezz 2 Amortization'!$T$4="Bi-Annual",CZ$5='Mezz 2 Amortization'!$S$4),INDEX('Mezz 2 Amortization'!$B$19:$V$379,MATCH(DATE(CZ$7,'Mezz 2 Amortization'!$S$4,31),'Mezz 2 Amortization'!$E$19:$E$379,0),MATCH('Mezz 2 Amortization'!$V$19,'Mezz 2 Amortization'!$B$19:$V$19,0)))))))))))</f>
        <v>0</v>
      </c>
      <c r="DA147" s="427">
        <f>IF('Financing Assumptions'!$T$8="No",0,IF(DA$9&lt;'Financing Assumptions'!$S$26,0,IF(AND('Mezz 2 Amortization'!$T$4&lt;&gt;"Monthly",DA9&lt;='Financing Assumptions'!$S$26),0,IF('Mezz 2 Amortization'!$T$4="Monthly",INDEX('Mezz 2 Amortization'!$B$19:$V$379,MATCH(DA$11,'Mezz 2 Amortization'!$E$19:$E$379,0),MATCH('Mezz 2 Amortization'!$V$19,'Mezz 2 Amortization'!$B$19:$V$19,0)),IF(AND('Mezz 2 Amortization'!$T$4="Bi-Annual",DA$5&lt;MIN('Mezz 2 Amortization'!$R$4,'Mezz 2 Amortization'!$S$4)),INDEX('Mezz 2 Amortization'!$B$19:$V$379,MATCH(DATE(DA$7-1,MAX('Mezz 2 Amortization'!$R$4,'Mezz 2 Amortization'!$S$4),31),'Mezz 2 Amortization'!$E$19:$E$379,0),MATCH('Mezz 2 Amortization'!$V$19,'Mezz 2 Amortization'!$B$19:$V$19,0)),IF(AND('Mezz 2 Amortization'!$T$4="Bi-Annual",DA$5&gt;MAX('Mezz 2 Amortization'!$R$4,'Mezz 2 Amortization'!$S$4)),INDEX('Mezz 2 Amortization'!$B$19:$V$379,MATCH(DATE(DA$7,MAX('Mezz 2 Amortization'!$R$4,'Mezz 2 Amortization'!$S$4),31),'Mezz 2 Amortization'!$E$19:$E$379,0),MATCH('Mezz 2 Amortization'!$V$19,'Mezz 2 Amortization'!$B$19:$V$19,0)),IF(AND('Mezz 2 Amortization'!$T$4="Bi-Annual",DA$5&gt;MIN('Mezz 2 Amortization'!$R$4,'Mezz 2 Amortization'!$S$4),DA$5&lt;MAX('Mezz 2 Amortization'!$R$4,'Mezz 2 Amortization'!$S$4)),INDEX('Mezz 2 Amortization'!$B$19:$V$379,MATCH(DATE(DA$7,MIN('Mezz 2 Amortization'!$R$4,'Mezz 2 Amortization'!$S$4),31),'Mezz 2 Amortization'!$E$19:$E$379,0),MATCH('Mezz 2 Amortization'!$V$19,'Mezz 2 Amortization'!$B$19:$V$19,0)),IF(AND('Mezz 2 Amortization'!$T$4="Bi-Annual",DA$5='Mezz 2 Amortization'!$R$4),INDEX('Mezz 2 Amortization'!$B$19:$V$379,MATCH(DATE(DA$7,'Mezz 2 Amortization'!$R$4,31),'Mezz 2 Amortization'!$E$19:$E$379,0),MATCH('Mezz 2 Amortization'!$V$19,'Mezz 2 Amortization'!$B$19:$V$19,0)),IF(AND('Mezz 2 Amortization'!$T$4="Bi-Annual",DA$5='Mezz 2 Amortization'!$S$4),INDEX('Mezz 2 Amortization'!$B$19:$V$379,MATCH(DATE(DA$7,'Mezz 2 Amortization'!$S$4,31),'Mezz 2 Amortization'!$E$19:$E$379,0),MATCH('Mezz 2 Amortization'!$V$19,'Mezz 2 Amortization'!$B$19:$V$19,0)))))))))))</f>
        <v>0</v>
      </c>
      <c r="DB147" s="427">
        <f>IF('Financing Assumptions'!$T$8="No",0,IF(DB$9&lt;'Financing Assumptions'!$S$26,0,IF(AND('Mezz 2 Amortization'!$T$4&lt;&gt;"Monthly",DB9&lt;='Financing Assumptions'!$S$26),0,IF('Mezz 2 Amortization'!$T$4="Monthly",INDEX('Mezz 2 Amortization'!$B$19:$V$379,MATCH(DB$11,'Mezz 2 Amortization'!$E$19:$E$379,0),MATCH('Mezz 2 Amortization'!$V$19,'Mezz 2 Amortization'!$B$19:$V$19,0)),IF(AND('Mezz 2 Amortization'!$T$4="Bi-Annual",DB$5&lt;MIN('Mezz 2 Amortization'!$R$4,'Mezz 2 Amortization'!$S$4)),INDEX('Mezz 2 Amortization'!$B$19:$V$379,MATCH(DATE(DB$7-1,MAX('Mezz 2 Amortization'!$R$4,'Mezz 2 Amortization'!$S$4),31),'Mezz 2 Amortization'!$E$19:$E$379,0),MATCH('Mezz 2 Amortization'!$V$19,'Mezz 2 Amortization'!$B$19:$V$19,0)),IF(AND('Mezz 2 Amortization'!$T$4="Bi-Annual",DB$5&gt;MAX('Mezz 2 Amortization'!$R$4,'Mezz 2 Amortization'!$S$4)),INDEX('Mezz 2 Amortization'!$B$19:$V$379,MATCH(DATE(DB$7,MAX('Mezz 2 Amortization'!$R$4,'Mezz 2 Amortization'!$S$4),31),'Mezz 2 Amortization'!$E$19:$E$379,0),MATCH('Mezz 2 Amortization'!$V$19,'Mezz 2 Amortization'!$B$19:$V$19,0)),IF(AND('Mezz 2 Amortization'!$T$4="Bi-Annual",DB$5&gt;MIN('Mezz 2 Amortization'!$R$4,'Mezz 2 Amortization'!$S$4),DB$5&lt;MAX('Mezz 2 Amortization'!$R$4,'Mezz 2 Amortization'!$S$4)),INDEX('Mezz 2 Amortization'!$B$19:$V$379,MATCH(DATE(DB$7,MIN('Mezz 2 Amortization'!$R$4,'Mezz 2 Amortization'!$S$4),31),'Mezz 2 Amortization'!$E$19:$E$379,0),MATCH('Mezz 2 Amortization'!$V$19,'Mezz 2 Amortization'!$B$19:$V$19,0)),IF(AND('Mezz 2 Amortization'!$T$4="Bi-Annual",DB$5='Mezz 2 Amortization'!$R$4),INDEX('Mezz 2 Amortization'!$B$19:$V$379,MATCH(DATE(DB$7,'Mezz 2 Amortization'!$R$4,31),'Mezz 2 Amortization'!$E$19:$E$379,0),MATCH('Mezz 2 Amortization'!$V$19,'Mezz 2 Amortization'!$B$19:$V$19,0)),IF(AND('Mezz 2 Amortization'!$T$4="Bi-Annual",DB$5='Mezz 2 Amortization'!$S$4),INDEX('Mezz 2 Amortization'!$B$19:$V$379,MATCH(DATE(DB$7,'Mezz 2 Amortization'!$S$4,31),'Mezz 2 Amortization'!$E$19:$E$379,0),MATCH('Mezz 2 Amortization'!$V$19,'Mezz 2 Amortization'!$B$19:$V$19,0)))))))))))</f>
        <v>0</v>
      </c>
      <c r="DC147" s="427">
        <f>IF('Financing Assumptions'!$T$8="No",0,IF(DC$9&lt;'Financing Assumptions'!$S$26,0,IF(AND('Mezz 2 Amortization'!$T$4&lt;&gt;"Monthly",DC9&lt;='Financing Assumptions'!$S$26),0,IF('Mezz 2 Amortization'!$T$4="Monthly",INDEX('Mezz 2 Amortization'!$B$19:$V$379,MATCH(DC$11,'Mezz 2 Amortization'!$E$19:$E$379,0),MATCH('Mezz 2 Amortization'!$V$19,'Mezz 2 Amortization'!$B$19:$V$19,0)),IF(AND('Mezz 2 Amortization'!$T$4="Bi-Annual",DC$5&lt;MIN('Mezz 2 Amortization'!$R$4,'Mezz 2 Amortization'!$S$4)),INDEX('Mezz 2 Amortization'!$B$19:$V$379,MATCH(DATE(DC$7-1,MAX('Mezz 2 Amortization'!$R$4,'Mezz 2 Amortization'!$S$4),31),'Mezz 2 Amortization'!$E$19:$E$379,0),MATCH('Mezz 2 Amortization'!$V$19,'Mezz 2 Amortization'!$B$19:$V$19,0)),IF(AND('Mezz 2 Amortization'!$T$4="Bi-Annual",DC$5&gt;MAX('Mezz 2 Amortization'!$R$4,'Mezz 2 Amortization'!$S$4)),INDEX('Mezz 2 Amortization'!$B$19:$V$379,MATCH(DATE(DC$7,MAX('Mezz 2 Amortization'!$R$4,'Mezz 2 Amortization'!$S$4),31),'Mezz 2 Amortization'!$E$19:$E$379,0),MATCH('Mezz 2 Amortization'!$V$19,'Mezz 2 Amortization'!$B$19:$V$19,0)),IF(AND('Mezz 2 Amortization'!$T$4="Bi-Annual",DC$5&gt;MIN('Mezz 2 Amortization'!$R$4,'Mezz 2 Amortization'!$S$4),DC$5&lt;MAX('Mezz 2 Amortization'!$R$4,'Mezz 2 Amortization'!$S$4)),INDEX('Mezz 2 Amortization'!$B$19:$V$379,MATCH(DATE(DC$7,MIN('Mezz 2 Amortization'!$R$4,'Mezz 2 Amortization'!$S$4),31),'Mezz 2 Amortization'!$E$19:$E$379,0),MATCH('Mezz 2 Amortization'!$V$19,'Mezz 2 Amortization'!$B$19:$V$19,0)),IF(AND('Mezz 2 Amortization'!$T$4="Bi-Annual",DC$5='Mezz 2 Amortization'!$R$4),INDEX('Mezz 2 Amortization'!$B$19:$V$379,MATCH(DATE(DC$7,'Mezz 2 Amortization'!$R$4,31),'Mezz 2 Amortization'!$E$19:$E$379,0),MATCH('Mezz 2 Amortization'!$V$19,'Mezz 2 Amortization'!$B$19:$V$19,0)),IF(AND('Mezz 2 Amortization'!$T$4="Bi-Annual",DC$5='Mezz 2 Amortization'!$S$4),INDEX('Mezz 2 Amortization'!$B$19:$V$379,MATCH(DATE(DC$7,'Mezz 2 Amortization'!$S$4,31),'Mezz 2 Amortization'!$E$19:$E$379,0),MATCH('Mezz 2 Amortization'!$V$19,'Mezz 2 Amortization'!$B$19:$V$19,0)))))))))))</f>
        <v>0</v>
      </c>
      <c r="DD147" s="427">
        <f>IF('Financing Assumptions'!$T$8="No",0,IF(DD$9&lt;'Financing Assumptions'!$S$26,0,IF(AND('Mezz 2 Amortization'!$T$4&lt;&gt;"Monthly",DD9&lt;='Financing Assumptions'!$S$26),0,IF('Mezz 2 Amortization'!$T$4="Monthly",INDEX('Mezz 2 Amortization'!$B$19:$V$379,MATCH(DD$11,'Mezz 2 Amortization'!$E$19:$E$379,0),MATCH('Mezz 2 Amortization'!$V$19,'Mezz 2 Amortization'!$B$19:$V$19,0)),IF(AND('Mezz 2 Amortization'!$T$4="Bi-Annual",DD$5&lt;MIN('Mezz 2 Amortization'!$R$4,'Mezz 2 Amortization'!$S$4)),INDEX('Mezz 2 Amortization'!$B$19:$V$379,MATCH(DATE(DD$7-1,MAX('Mezz 2 Amortization'!$R$4,'Mezz 2 Amortization'!$S$4),31),'Mezz 2 Amortization'!$E$19:$E$379,0),MATCH('Mezz 2 Amortization'!$V$19,'Mezz 2 Amortization'!$B$19:$V$19,0)),IF(AND('Mezz 2 Amortization'!$T$4="Bi-Annual",DD$5&gt;MAX('Mezz 2 Amortization'!$R$4,'Mezz 2 Amortization'!$S$4)),INDEX('Mezz 2 Amortization'!$B$19:$V$379,MATCH(DATE(DD$7,MAX('Mezz 2 Amortization'!$R$4,'Mezz 2 Amortization'!$S$4),31),'Mezz 2 Amortization'!$E$19:$E$379,0),MATCH('Mezz 2 Amortization'!$V$19,'Mezz 2 Amortization'!$B$19:$V$19,0)),IF(AND('Mezz 2 Amortization'!$T$4="Bi-Annual",DD$5&gt;MIN('Mezz 2 Amortization'!$R$4,'Mezz 2 Amortization'!$S$4),DD$5&lt;MAX('Mezz 2 Amortization'!$R$4,'Mezz 2 Amortization'!$S$4)),INDEX('Mezz 2 Amortization'!$B$19:$V$379,MATCH(DATE(DD$7,MIN('Mezz 2 Amortization'!$R$4,'Mezz 2 Amortization'!$S$4),31),'Mezz 2 Amortization'!$E$19:$E$379,0),MATCH('Mezz 2 Amortization'!$V$19,'Mezz 2 Amortization'!$B$19:$V$19,0)),IF(AND('Mezz 2 Amortization'!$T$4="Bi-Annual",DD$5='Mezz 2 Amortization'!$R$4),INDEX('Mezz 2 Amortization'!$B$19:$V$379,MATCH(DATE(DD$7,'Mezz 2 Amortization'!$R$4,31),'Mezz 2 Amortization'!$E$19:$E$379,0),MATCH('Mezz 2 Amortization'!$V$19,'Mezz 2 Amortization'!$B$19:$V$19,0)),IF(AND('Mezz 2 Amortization'!$T$4="Bi-Annual",DD$5='Mezz 2 Amortization'!$S$4),INDEX('Mezz 2 Amortization'!$B$19:$V$379,MATCH(DATE(DD$7,'Mezz 2 Amortization'!$S$4,31),'Mezz 2 Amortization'!$E$19:$E$379,0),MATCH('Mezz 2 Amortization'!$V$19,'Mezz 2 Amortization'!$B$19:$V$19,0)))))))))))</f>
        <v>0</v>
      </c>
      <c r="DE147" s="427">
        <f>IF('Financing Assumptions'!$T$8="No",0,IF(DE$9&lt;'Financing Assumptions'!$S$26,0,IF(AND('Mezz 2 Amortization'!$T$4&lt;&gt;"Monthly",DE9&lt;='Financing Assumptions'!$S$26),0,IF('Mezz 2 Amortization'!$T$4="Monthly",INDEX('Mezz 2 Amortization'!$B$19:$V$379,MATCH(DE$11,'Mezz 2 Amortization'!$E$19:$E$379,0),MATCH('Mezz 2 Amortization'!$V$19,'Mezz 2 Amortization'!$B$19:$V$19,0)),IF(AND('Mezz 2 Amortization'!$T$4="Bi-Annual",DE$5&lt;MIN('Mezz 2 Amortization'!$R$4,'Mezz 2 Amortization'!$S$4)),INDEX('Mezz 2 Amortization'!$B$19:$V$379,MATCH(DATE(DE$7-1,MAX('Mezz 2 Amortization'!$R$4,'Mezz 2 Amortization'!$S$4),31),'Mezz 2 Amortization'!$E$19:$E$379,0),MATCH('Mezz 2 Amortization'!$V$19,'Mezz 2 Amortization'!$B$19:$V$19,0)),IF(AND('Mezz 2 Amortization'!$T$4="Bi-Annual",DE$5&gt;MAX('Mezz 2 Amortization'!$R$4,'Mezz 2 Amortization'!$S$4)),INDEX('Mezz 2 Amortization'!$B$19:$V$379,MATCH(DATE(DE$7,MAX('Mezz 2 Amortization'!$R$4,'Mezz 2 Amortization'!$S$4),31),'Mezz 2 Amortization'!$E$19:$E$379,0),MATCH('Mezz 2 Amortization'!$V$19,'Mezz 2 Amortization'!$B$19:$V$19,0)),IF(AND('Mezz 2 Amortization'!$T$4="Bi-Annual",DE$5&gt;MIN('Mezz 2 Amortization'!$R$4,'Mezz 2 Amortization'!$S$4),DE$5&lt;MAX('Mezz 2 Amortization'!$R$4,'Mezz 2 Amortization'!$S$4)),INDEX('Mezz 2 Amortization'!$B$19:$V$379,MATCH(DATE(DE$7,MIN('Mezz 2 Amortization'!$R$4,'Mezz 2 Amortization'!$S$4),31),'Mezz 2 Amortization'!$E$19:$E$379,0),MATCH('Mezz 2 Amortization'!$V$19,'Mezz 2 Amortization'!$B$19:$V$19,0)),IF(AND('Mezz 2 Amortization'!$T$4="Bi-Annual",DE$5='Mezz 2 Amortization'!$R$4),INDEX('Mezz 2 Amortization'!$B$19:$V$379,MATCH(DATE(DE$7,'Mezz 2 Amortization'!$R$4,31),'Mezz 2 Amortization'!$E$19:$E$379,0),MATCH('Mezz 2 Amortization'!$V$19,'Mezz 2 Amortization'!$B$19:$V$19,0)),IF(AND('Mezz 2 Amortization'!$T$4="Bi-Annual",DE$5='Mezz 2 Amortization'!$S$4),INDEX('Mezz 2 Amortization'!$B$19:$V$379,MATCH(DATE(DE$7,'Mezz 2 Amortization'!$S$4,31),'Mezz 2 Amortization'!$E$19:$E$379,0),MATCH('Mezz 2 Amortization'!$V$19,'Mezz 2 Amortization'!$B$19:$V$19,0)))))))))))</f>
        <v>0</v>
      </c>
      <c r="DF147" s="427">
        <f>IF('Financing Assumptions'!$T$8="No",0,IF(DF$9&lt;'Financing Assumptions'!$S$26,0,IF(AND('Mezz 2 Amortization'!$T$4&lt;&gt;"Monthly",DF9&lt;='Financing Assumptions'!$S$26),0,IF('Mezz 2 Amortization'!$T$4="Monthly",INDEX('Mezz 2 Amortization'!$B$19:$V$379,MATCH(DF$11,'Mezz 2 Amortization'!$E$19:$E$379,0),MATCH('Mezz 2 Amortization'!$V$19,'Mezz 2 Amortization'!$B$19:$V$19,0)),IF(AND('Mezz 2 Amortization'!$T$4="Bi-Annual",DF$5&lt;MIN('Mezz 2 Amortization'!$R$4,'Mezz 2 Amortization'!$S$4)),INDEX('Mezz 2 Amortization'!$B$19:$V$379,MATCH(DATE(DF$7-1,MAX('Mezz 2 Amortization'!$R$4,'Mezz 2 Amortization'!$S$4),31),'Mezz 2 Amortization'!$E$19:$E$379,0),MATCH('Mezz 2 Amortization'!$V$19,'Mezz 2 Amortization'!$B$19:$V$19,0)),IF(AND('Mezz 2 Amortization'!$T$4="Bi-Annual",DF$5&gt;MAX('Mezz 2 Amortization'!$R$4,'Mezz 2 Amortization'!$S$4)),INDEX('Mezz 2 Amortization'!$B$19:$V$379,MATCH(DATE(DF$7,MAX('Mezz 2 Amortization'!$R$4,'Mezz 2 Amortization'!$S$4),31),'Mezz 2 Amortization'!$E$19:$E$379,0),MATCH('Mezz 2 Amortization'!$V$19,'Mezz 2 Amortization'!$B$19:$V$19,0)),IF(AND('Mezz 2 Amortization'!$T$4="Bi-Annual",DF$5&gt;MIN('Mezz 2 Amortization'!$R$4,'Mezz 2 Amortization'!$S$4),DF$5&lt;MAX('Mezz 2 Amortization'!$R$4,'Mezz 2 Amortization'!$S$4)),INDEX('Mezz 2 Amortization'!$B$19:$V$379,MATCH(DATE(DF$7,MIN('Mezz 2 Amortization'!$R$4,'Mezz 2 Amortization'!$S$4),31),'Mezz 2 Amortization'!$E$19:$E$379,0),MATCH('Mezz 2 Amortization'!$V$19,'Mezz 2 Amortization'!$B$19:$V$19,0)),IF(AND('Mezz 2 Amortization'!$T$4="Bi-Annual",DF$5='Mezz 2 Amortization'!$R$4),INDEX('Mezz 2 Amortization'!$B$19:$V$379,MATCH(DATE(DF$7,'Mezz 2 Amortization'!$R$4,31),'Mezz 2 Amortization'!$E$19:$E$379,0),MATCH('Mezz 2 Amortization'!$V$19,'Mezz 2 Amortization'!$B$19:$V$19,0)),IF(AND('Mezz 2 Amortization'!$T$4="Bi-Annual",DF$5='Mezz 2 Amortization'!$S$4),INDEX('Mezz 2 Amortization'!$B$19:$V$379,MATCH(DATE(DF$7,'Mezz 2 Amortization'!$S$4,31),'Mezz 2 Amortization'!$E$19:$E$379,0),MATCH('Mezz 2 Amortization'!$V$19,'Mezz 2 Amortization'!$B$19:$V$19,0)))))))))))</f>
        <v>0</v>
      </c>
      <c r="DG147" s="427">
        <f>IF('Financing Assumptions'!$T$8="No",0,IF(DG$9&lt;'Financing Assumptions'!$S$26,0,IF(AND('Mezz 2 Amortization'!$T$4&lt;&gt;"Monthly",DG9&lt;='Financing Assumptions'!$S$26),0,IF('Mezz 2 Amortization'!$T$4="Monthly",INDEX('Mezz 2 Amortization'!$B$19:$V$379,MATCH(DG$11,'Mezz 2 Amortization'!$E$19:$E$379,0),MATCH('Mezz 2 Amortization'!$V$19,'Mezz 2 Amortization'!$B$19:$V$19,0)),IF(AND('Mezz 2 Amortization'!$T$4="Bi-Annual",DG$5&lt;MIN('Mezz 2 Amortization'!$R$4,'Mezz 2 Amortization'!$S$4)),INDEX('Mezz 2 Amortization'!$B$19:$V$379,MATCH(DATE(DG$7-1,MAX('Mezz 2 Amortization'!$R$4,'Mezz 2 Amortization'!$S$4),31),'Mezz 2 Amortization'!$E$19:$E$379,0),MATCH('Mezz 2 Amortization'!$V$19,'Mezz 2 Amortization'!$B$19:$V$19,0)),IF(AND('Mezz 2 Amortization'!$T$4="Bi-Annual",DG$5&gt;MAX('Mezz 2 Amortization'!$R$4,'Mezz 2 Amortization'!$S$4)),INDEX('Mezz 2 Amortization'!$B$19:$V$379,MATCH(DATE(DG$7,MAX('Mezz 2 Amortization'!$R$4,'Mezz 2 Amortization'!$S$4),31),'Mezz 2 Amortization'!$E$19:$E$379,0),MATCH('Mezz 2 Amortization'!$V$19,'Mezz 2 Amortization'!$B$19:$V$19,0)),IF(AND('Mezz 2 Amortization'!$T$4="Bi-Annual",DG$5&gt;MIN('Mezz 2 Amortization'!$R$4,'Mezz 2 Amortization'!$S$4),DG$5&lt;MAX('Mezz 2 Amortization'!$R$4,'Mezz 2 Amortization'!$S$4)),INDEX('Mezz 2 Amortization'!$B$19:$V$379,MATCH(DATE(DG$7,MIN('Mezz 2 Amortization'!$R$4,'Mezz 2 Amortization'!$S$4),31),'Mezz 2 Amortization'!$E$19:$E$379,0),MATCH('Mezz 2 Amortization'!$V$19,'Mezz 2 Amortization'!$B$19:$V$19,0)),IF(AND('Mezz 2 Amortization'!$T$4="Bi-Annual",DG$5='Mezz 2 Amortization'!$R$4),INDEX('Mezz 2 Amortization'!$B$19:$V$379,MATCH(DATE(DG$7,'Mezz 2 Amortization'!$R$4,31),'Mezz 2 Amortization'!$E$19:$E$379,0),MATCH('Mezz 2 Amortization'!$V$19,'Mezz 2 Amortization'!$B$19:$V$19,0)),IF(AND('Mezz 2 Amortization'!$T$4="Bi-Annual",DG$5='Mezz 2 Amortization'!$S$4),INDEX('Mezz 2 Amortization'!$B$19:$V$379,MATCH(DATE(DG$7,'Mezz 2 Amortization'!$S$4,31),'Mezz 2 Amortization'!$E$19:$E$379,0),MATCH('Mezz 2 Amortization'!$V$19,'Mezz 2 Amortization'!$B$19:$V$19,0)))))))))))</f>
        <v>0</v>
      </c>
      <c r="DH147" s="427">
        <f>IF('Financing Assumptions'!$T$8="No",0,IF(DH$9&lt;'Financing Assumptions'!$S$26,0,IF(AND('Mezz 2 Amortization'!$T$4&lt;&gt;"Monthly",DH9&lt;='Financing Assumptions'!$S$26),0,IF('Mezz 2 Amortization'!$T$4="Monthly",INDEX('Mezz 2 Amortization'!$B$19:$V$379,MATCH(DH$11,'Mezz 2 Amortization'!$E$19:$E$379,0),MATCH('Mezz 2 Amortization'!$V$19,'Mezz 2 Amortization'!$B$19:$V$19,0)),IF(AND('Mezz 2 Amortization'!$T$4="Bi-Annual",DH$5&lt;MIN('Mezz 2 Amortization'!$R$4,'Mezz 2 Amortization'!$S$4)),INDEX('Mezz 2 Amortization'!$B$19:$V$379,MATCH(DATE(DH$7-1,MAX('Mezz 2 Amortization'!$R$4,'Mezz 2 Amortization'!$S$4),31),'Mezz 2 Amortization'!$E$19:$E$379,0),MATCH('Mezz 2 Amortization'!$V$19,'Mezz 2 Amortization'!$B$19:$V$19,0)),IF(AND('Mezz 2 Amortization'!$T$4="Bi-Annual",DH$5&gt;MAX('Mezz 2 Amortization'!$R$4,'Mezz 2 Amortization'!$S$4)),INDEX('Mezz 2 Amortization'!$B$19:$V$379,MATCH(DATE(DH$7,MAX('Mezz 2 Amortization'!$R$4,'Mezz 2 Amortization'!$S$4),31),'Mezz 2 Amortization'!$E$19:$E$379,0),MATCH('Mezz 2 Amortization'!$V$19,'Mezz 2 Amortization'!$B$19:$V$19,0)),IF(AND('Mezz 2 Amortization'!$T$4="Bi-Annual",DH$5&gt;MIN('Mezz 2 Amortization'!$R$4,'Mezz 2 Amortization'!$S$4),DH$5&lt;MAX('Mezz 2 Amortization'!$R$4,'Mezz 2 Amortization'!$S$4)),INDEX('Mezz 2 Amortization'!$B$19:$V$379,MATCH(DATE(DH$7,MIN('Mezz 2 Amortization'!$R$4,'Mezz 2 Amortization'!$S$4),31),'Mezz 2 Amortization'!$E$19:$E$379,0),MATCH('Mezz 2 Amortization'!$V$19,'Mezz 2 Amortization'!$B$19:$V$19,0)),IF(AND('Mezz 2 Amortization'!$T$4="Bi-Annual",DH$5='Mezz 2 Amortization'!$R$4),INDEX('Mezz 2 Amortization'!$B$19:$V$379,MATCH(DATE(DH$7,'Mezz 2 Amortization'!$R$4,31),'Mezz 2 Amortization'!$E$19:$E$379,0),MATCH('Mezz 2 Amortization'!$V$19,'Mezz 2 Amortization'!$B$19:$V$19,0)),IF(AND('Mezz 2 Amortization'!$T$4="Bi-Annual",DH$5='Mezz 2 Amortization'!$S$4),INDEX('Mezz 2 Amortization'!$B$19:$V$379,MATCH(DATE(DH$7,'Mezz 2 Amortization'!$S$4,31),'Mezz 2 Amortization'!$E$19:$E$379,0),MATCH('Mezz 2 Amortization'!$V$19,'Mezz 2 Amortization'!$B$19:$V$19,0)))))))))))</f>
        <v>0</v>
      </c>
      <c r="DI147" s="427">
        <f>IF('Financing Assumptions'!$T$8="No",0,IF(DI$9&lt;'Financing Assumptions'!$S$26,0,IF(AND('Mezz 2 Amortization'!$T$4&lt;&gt;"Monthly",DI9&lt;='Financing Assumptions'!$S$26),0,IF('Mezz 2 Amortization'!$T$4="Monthly",INDEX('Mezz 2 Amortization'!$B$19:$V$379,MATCH(DI$11,'Mezz 2 Amortization'!$E$19:$E$379,0),MATCH('Mezz 2 Amortization'!$V$19,'Mezz 2 Amortization'!$B$19:$V$19,0)),IF(AND('Mezz 2 Amortization'!$T$4="Bi-Annual",DI$5&lt;MIN('Mezz 2 Amortization'!$R$4,'Mezz 2 Amortization'!$S$4)),INDEX('Mezz 2 Amortization'!$B$19:$V$379,MATCH(DATE(DI$7-1,MAX('Mezz 2 Amortization'!$R$4,'Mezz 2 Amortization'!$S$4),31),'Mezz 2 Amortization'!$E$19:$E$379,0),MATCH('Mezz 2 Amortization'!$V$19,'Mezz 2 Amortization'!$B$19:$V$19,0)),IF(AND('Mezz 2 Amortization'!$T$4="Bi-Annual",DI$5&gt;MAX('Mezz 2 Amortization'!$R$4,'Mezz 2 Amortization'!$S$4)),INDEX('Mezz 2 Amortization'!$B$19:$V$379,MATCH(DATE(DI$7,MAX('Mezz 2 Amortization'!$R$4,'Mezz 2 Amortization'!$S$4),31),'Mezz 2 Amortization'!$E$19:$E$379,0),MATCH('Mezz 2 Amortization'!$V$19,'Mezz 2 Amortization'!$B$19:$V$19,0)),IF(AND('Mezz 2 Amortization'!$T$4="Bi-Annual",DI$5&gt;MIN('Mezz 2 Amortization'!$R$4,'Mezz 2 Amortization'!$S$4),DI$5&lt;MAX('Mezz 2 Amortization'!$R$4,'Mezz 2 Amortization'!$S$4)),INDEX('Mezz 2 Amortization'!$B$19:$V$379,MATCH(DATE(DI$7,MIN('Mezz 2 Amortization'!$R$4,'Mezz 2 Amortization'!$S$4),31),'Mezz 2 Amortization'!$E$19:$E$379,0),MATCH('Mezz 2 Amortization'!$V$19,'Mezz 2 Amortization'!$B$19:$V$19,0)),IF(AND('Mezz 2 Amortization'!$T$4="Bi-Annual",DI$5='Mezz 2 Amortization'!$R$4),INDEX('Mezz 2 Amortization'!$B$19:$V$379,MATCH(DATE(DI$7,'Mezz 2 Amortization'!$R$4,31),'Mezz 2 Amortization'!$E$19:$E$379,0),MATCH('Mezz 2 Amortization'!$V$19,'Mezz 2 Amortization'!$B$19:$V$19,0)),IF(AND('Mezz 2 Amortization'!$T$4="Bi-Annual",DI$5='Mezz 2 Amortization'!$S$4),INDEX('Mezz 2 Amortization'!$B$19:$V$379,MATCH(DATE(DI$7,'Mezz 2 Amortization'!$S$4,31),'Mezz 2 Amortization'!$E$19:$E$379,0),MATCH('Mezz 2 Amortization'!$V$19,'Mezz 2 Amortization'!$B$19:$V$19,0)))))))))))</f>
        <v>0</v>
      </c>
      <c r="DJ147" s="427">
        <f>IF('Financing Assumptions'!$T$8="No",0,IF(DJ$9&lt;'Financing Assumptions'!$S$26,0,IF(AND('Mezz 2 Amortization'!$T$4&lt;&gt;"Monthly",DJ9&lt;='Financing Assumptions'!$S$26),0,IF('Mezz 2 Amortization'!$T$4="Monthly",INDEX('Mezz 2 Amortization'!$B$19:$V$379,MATCH(DJ$11,'Mezz 2 Amortization'!$E$19:$E$379,0),MATCH('Mezz 2 Amortization'!$V$19,'Mezz 2 Amortization'!$B$19:$V$19,0)),IF(AND('Mezz 2 Amortization'!$T$4="Bi-Annual",DJ$5&lt;MIN('Mezz 2 Amortization'!$R$4,'Mezz 2 Amortization'!$S$4)),INDEX('Mezz 2 Amortization'!$B$19:$V$379,MATCH(DATE(DJ$7-1,MAX('Mezz 2 Amortization'!$R$4,'Mezz 2 Amortization'!$S$4),31),'Mezz 2 Amortization'!$E$19:$E$379,0),MATCH('Mezz 2 Amortization'!$V$19,'Mezz 2 Amortization'!$B$19:$V$19,0)),IF(AND('Mezz 2 Amortization'!$T$4="Bi-Annual",DJ$5&gt;MAX('Mezz 2 Amortization'!$R$4,'Mezz 2 Amortization'!$S$4)),INDEX('Mezz 2 Amortization'!$B$19:$V$379,MATCH(DATE(DJ$7,MAX('Mezz 2 Amortization'!$R$4,'Mezz 2 Amortization'!$S$4),31),'Mezz 2 Amortization'!$E$19:$E$379,0),MATCH('Mezz 2 Amortization'!$V$19,'Mezz 2 Amortization'!$B$19:$V$19,0)),IF(AND('Mezz 2 Amortization'!$T$4="Bi-Annual",DJ$5&gt;MIN('Mezz 2 Amortization'!$R$4,'Mezz 2 Amortization'!$S$4),DJ$5&lt;MAX('Mezz 2 Amortization'!$R$4,'Mezz 2 Amortization'!$S$4)),INDEX('Mezz 2 Amortization'!$B$19:$V$379,MATCH(DATE(DJ$7,MIN('Mezz 2 Amortization'!$R$4,'Mezz 2 Amortization'!$S$4),31),'Mezz 2 Amortization'!$E$19:$E$379,0),MATCH('Mezz 2 Amortization'!$V$19,'Mezz 2 Amortization'!$B$19:$V$19,0)),IF(AND('Mezz 2 Amortization'!$T$4="Bi-Annual",DJ$5='Mezz 2 Amortization'!$R$4),INDEX('Mezz 2 Amortization'!$B$19:$V$379,MATCH(DATE(DJ$7,'Mezz 2 Amortization'!$R$4,31),'Mezz 2 Amortization'!$E$19:$E$379,0),MATCH('Mezz 2 Amortization'!$V$19,'Mezz 2 Amortization'!$B$19:$V$19,0)),IF(AND('Mezz 2 Amortization'!$T$4="Bi-Annual",DJ$5='Mezz 2 Amortization'!$S$4),INDEX('Mezz 2 Amortization'!$B$19:$V$379,MATCH(DATE(DJ$7,'Mezz 2 Amortization'!$S$4,31),'Mezz 2 Amortization'!$E$19:$E$379,0),MATCH('Mezz 2 Amortization'!$V$19,'Mezz 2 Amortization'!$B$19:$V$19,0)))))))))))</f>
        <v>0</v>
      </c>
      <c r="DK147" s="427">
        <f>IF('Financing Assumptions'!$T$8="No",0,IF(DK$9&lt;'Financing Assumptions'!$S$26,0,IF(AND('Mezz 2 Amortization'!$T$4&lt;&gt;"Monthly",DK9&lt;='Financing Assumptions'!$S$26),0,IF('Mezz 2 Amortization'!$T$4="Monthly",INDEX('Mezz 2 Amortization'!$B$19:$V$379,MATCH(DK$11,'Mezz 2 Amortization'!$E$19:$E$379,0),MATCH('Mezz 2 Amortization'!$V$19,'Mezz 2 Amortization'!$B$19:$V$19,0)),IF(AND('Mezz 2 Amortization'!$T$4="Bi-Annual",DK$5&lt;MIN('Mezz 2 Amortization'!$R$4,'Mezz 2 Amortization'!$S$4)),INDEX('Mezz 2 Amortization'!$B$19:$V$379,MATCH(DATE(DK$7-1,MAX('Mezz 2 Amortization'!$R$4,'Mezz 2 Amortization'!$S$4),31),'Mezz 2 Amortization'!$E$19:$E$379,0),MATCH('Mezz 2 Amortization'!$V$19,'Mezz 2 Amortization'!$B$19:$V$19,0)),IF(AND('Mezz 2 Amortization'!$T$4="Bi-Annual",DK$5&gt;MAX('Mezz 2 Amortization'!$R$4,'Mezz 2 Amortization'!$S$4)),INDEX('Mezz 2 Amortization'!$B$19:$V$379,MATCH(DATE(DK$7,MAX('Mezz 2 Amortization'!$R$4,'Mezz 2 Amortization'!$S$4),31),'Mezz 2 Amortization'!$E$19:$E$379,0),MATCH('Mezz 2 Amortization'!$V$19,'Mezz 2 Amortization'!$B$19:$V$19,0)),IF(AND('Mezz 2 Amortization'!$T$4="Bi-Annual",DK$5&gt;MIN('Mezz 2 Amortization'!$R$4,'Mezz 2 Amortization'!$S$4),DK$5&lt;MAX('Mezz 2 Amortization'!$R$4,'Mezz 2 Amortization'!$S$4)),INDEX('Mezz 2 Amortization'!$B$19:$V$379,MATCH(DATE(DK$7,MIN('Mezz 2 Amortization'!$R$4,'Mezz 2 Amortization'!$S$4),31),'Mezz 2 Amortization'!$E$19:$E$379,0),MATCH('Mezz 2 Amortization'!$V$19,'Mezz 2 Amortization'!$B$19:$V$19,0)),IF(AND('Mezz 2 Amortization'!$T$4="Bi-Annual",DK$5='Mezz 2 Amortization'!$R$4),INDEX('Mezz 2 Amortization'!$B$19:$V$379,MATCH(DATE(DK$7,'Mezz 2 Amortization'!$R$4,31),'Mezz 2 Amortization'!$E$19:$E$379,0),MATCH('Mezz 2 Amortization'!$V$19,'Mezz 2 Amortization'!$B$19:$V$19,0)),IF(AND('Mezz 2 Amortization'!$T$4="Bi-Annual",DK$5='Mezz 2 Amortization'!$S$4),INDEX('Mezz 2 Amortization'!$B$19:$V$379,MATCH(DATE(DK$7,'Mezz 2 Amortization'!$S$4,31),'Mezz 2 Amortization'!$E$19:$E$379,0),MATCH('Mezz 2 Amortization'!$V$19,'Mezz 2 Amortization'!$B$19:$V$19,0)))))))))))</f>
        <v>0</v>
      </c>
      <c r="DL147" s="427">
        <f>IF('Financing Assumptions'!$T$8="No",0,IF(DL$9&lt;'Financing Assumptions'!$S$26,0,IF(AND('Mezz 2 Amortization'!$T$4&lt;&gt;"Monthly",DL9&lt;='Financing Assumptions'!$S$26),0,IF('Mezz 2 Amortization'!$T$4="Monthly",INDEX('Mezz 2 Amortization'!$B$19:$V$379,MATCH(DL$11,'Mezz 2 Amortization'!$E$19:$E$379,0),MATCH('Mezz 2 Amortization'!$V$19,'Mezz 2 Amortization'!$B$19:$V$19,0)),IF(AND('Mezz 2 Amortization'!$T$4="Bi-Annual",DL$5&lt;MIN('Mezz 2 Amortization'!$R$4,'Mezz 2 Amortization'!$S$4)),INDEX('Mezz 2 Amortization'!$B$19:$V$379,MATCH(DATE(DL$7-1,MAX('Mezz 2 Amortization'!$R$4,'Mezz 2 Amortization'!$S$4),31),'Mezz 2 Amortization'!$E$19:$E$379,0),MATCH('Mezz 2 Amortization'!$V$19,'Mezz 2 Amortization'!$B$19:$V$19,0)),IF(AND('Mezz 2 Amortization'!$T$4="Bi-Annual",DL$5&gt;MAX('Mezz 2 Amortization'!$R$4,'Mezz 2 Amortization'!$S$4)),INDEX('Mezz 2 Amortization'!$B$19:$V$379,MATCH(DATE(DL$7,MAX('Mezz 2 Amortization'!$R$4,'Mezz 2 Amortization'!$S$4),31),'Mezz 2 Amortization'!$E$19:$E$379,0),MATCH('Mezz 2 Amortization'!$V$19,'Mezz 2 Amortization'!$B$19:$V$19,0)),IF(AND('Mezz 2 Amortization'!$T$4="Bi-Annual",DL$5&gt;MIN('Mezz 2 Amortization'!$R$4,'Mezz 2 Amortization'!$S$4),DL$5&lt;MAX('Mezz 2 Amortization'!$R$4,'Mezz 2 Amortization'!$S$4)),INDEX('Mezz 2 Amortization'!$B$19:$V$379,MATCH(DATE(DL$7,MIN('Mezz 2 Amortization'!$R$4,'Mezz 2 Amortization'!$S$4),31),'Mezz 2 Amortization'!$E$19:$E$379,0),MATCH('Mezz 2 Amortization'!$V$19,'Mezz 2 Amortization'!$B$19:$V$19,0)),IF(AND('Mezz 2 Amortization'!$T$4="Bi-Annual",DL$5='Mezz 2 Amortization'!$R$4),INDEX('Mezz 2 Amortization'!$B$19:$V$379,MATCH(DATE(DL$7,'Mezz 2 Amortization'!$R$4,31),'Mezz 2 Amortization'!$E$19:$E$379,0),MATCH('Mezz 2 Amortization'!$V$19,'Mezz 2 Amortization'!$B$19:$V$19,0)),IF(AND('Mezz 2 Amortization'!$T$4="Bi-Annual",DL$5='Mezz 2 Amortization'!$S$4),INDEX('Mezz 2 Amortization'!$B$19:$V$379,MATCH(DATE(DL$7,'Mezz 2 Amortization'!$S$4,31),'Mezz 2 Amortization'!$E$19:$E$379,0),MATCH('Mezz 2 Amortization'!$V$19,'Mezz 2 Amortization'!$B$19:$V$19,0)))))))))))</f>
        <v>0</v>
      </c>
      <c r="DM147" s="427">
        <f>IF('Financing Assumptions'!$T$8="No",0,IF(DM$9&lt;'Financing Assumptions'!$S$26,0,IF(AND('Mezz 2 Amortization'!$T$4&lt;&gt;"Monthly",DM9&lt;='Financing Assumptions'!$S$26),0,IF('Mezz 2 Amortization'!$T$4="Monthly",INDEX('Mezz 2 Amortization'!$B$19:$V$379,MATCH(DM$11,'Mezz 2 Amortization'!$E$19:$E$379,0),MATCH('Mezz 2 Amortization'!$V$19,'Mezz 2 Amortization'!$B$19:$V$19,0)),IF(AND('Mezz 2 Amortization'!$T$4="Bi-Annual",DM$5&lt;MIN('Mezz 2 Amortization'!$R$4,'Mezz 2 Amortization'!$S$4)),INDEX('Mezz 2 Amortization'!$B$19:$V$379,MATCH(DATE(DM$7-1,MAX('Mezz 2 Amortization'!$R$4,'Mezz 2 Amortization'!$S$4),31),'Mezz 2 Amortization'!$E$19:$E$379,0),MATCH('Mezz 2 Amortization'!$V$19,'Mezz 2 Amortization'!$B$19:$V$19,0)),IF(AND('Mezz 2 Amortization'!$T$4="Bi-Annual",DM$5&gt;MAX('Mezz 2 Amortization'!$R$4,'Mezz 2 Amortization'!$S$4)),INDEX('Mezz 2 Amortization'!$B$19:$V$379,MATCH(DATE(DM$7,MAX('Mezz 2 Amortization'!$R$4,'Mezz 2 Amortization'!$S$4),31),'Mezz 2 Amortization'!$E$19:$E$379,0),MATCH('Mezz 2 Amortization'!$V$19,'Mezz 2 Amortization'!$B$19:$V$19,0)),IF(AND('Mezz 2 Amortization'!$T$4="Bi-Annual",DM$5&gt;MIN('Mezz 2 Amortization'!$R$4,'Mezz 2 Amortization'!$S$4),DM$5&lt;MAX('Mezz 2 Amortization'!$R$4,'Mezz 2 Amortization'!$S$4)),INDEX('Mezz 2 Amortization'!$B$19:$V$379,MATCH(DATE(DM$7,MIN('Mezz 2 Amortization'!$R$4,'Mezz 2 Amortization'!$S$4),31),'Mezz 2 Amortization'!$E$19:$E$379,0),MATCH('Mezz 2 Amortization'!$V$19,'Mezz 2 Amortization'!$B$19:$V$19,0)),IF(AND('Mezz 2 Amortization'!$T$4="Bi-Annual",DM$5='Mezz 2 Amortization'!$R$4),INDEX('Mezz 2 Amortization'!$B$19:$V$379,MATCH(DATE(DM$7,'Mezz 2 Amortization'!$R$4,31),'Mezz 2 Amortization'!$E$19:$E$379,0),MATCH('Mezz 2 Amortization'!$V$19,'Mezz 2 Amortization'!$B$19:$V$19,0)),IF(AND('Mezz 2 Amortization'!$T$4="Bi-Annual",DM$5='Mezz 2 Amortization'!$S$4),INDEX('Mezz 2 Amortization'!$B$19:$V$379,MATCH(DATE(DM$7,'Mezz 2 Amortization'!$S$4,31),'Mezz 2 Amortization'!$E$19:$E$379,0),MATCH('Mezz 2 Amortization'!$V$19,'Mezz 2 Amortization'!$B$19:$V$19,0)))))))))))</f>
        <v>0</v>
      </c>
      <c r="DN147" s="427">
        <f>IF('Financing Assumptions'!$T$8="No",0,IF(DN$9&lt;'Financing Assumptions'!$S$26,0,IF(AND('Mezz 2 Amortization'!$T$4&lt;&gt;"Monthly",DN9&lt;='Financing Assumptions'!$S$26),0,IF('Mezz 2 Amortization'!$T$4="Monthly",INDEX('Mezz 2 Amortization'!$B$19:$V$379,MATCH(DN$11,'Mezz 2 Amortization'!$E$19:$E$379,0),MATCH('Mezz 2 Amortization'!$V$19,'Mezz 2 Amortization'!$B$19:$V$19,0)),IF(AND('Mezz 2 Amortization'!$T$4="Bi-Annual",DN$5&lt;MIN('Mezz 2 Amortization'!$R$4,'Mezz 2 Amortization'!$S$4)),INDEX('Mezz 2 Amortization'!$B$19:$V$379,MATCH(DATE(DN$7-1,MAX('Mezz 2 Amortization'!$R$4,'Mezz 2 Amortization'!$S$4),31),'Mezz 2 Amortization'!$E$19:$E$379,0),MATCH('Mezz 2 Amortization'!$V$19,'Mezz 2 Amortization'!$B$19:$V$19,0)),IF(AND('Mezz 2 Amortization'!$T$4="Bi-Annual",DN$5&gt;MAX('Mezz 2 Amortization'!$R$4,'Mezz 2 Amortization'!$S$4)),INDEX('Mezz 2 Amortization'!$B$19:$V$379,MATCH(DATE(DN$7,MAX('Mezz 2 Amortization'!$R$4,'Mezz 2 Amortization'!$S$4),31),'Mezz 2 Amortization'!$E$19:$E$379,0),MATCH('Mezz 2 Amortization'!$V$19,'Mezz 2 Amortization'!$B$19:$V$19,0)),IF(AND('Mezz 2 Amortization'!$T$4="Bi-Annual",DN$5&gt;MIN('Mezz 2 Amortization'!$R$4,'Mezz 2 Amortization'!$S$4),DN$5&lt;MAX('Mezz 2 Amortization'!$R$4,'Mezz 2 Amortization'!$S$4)),INDEX('Mezz 2 Amortization'!$B$19:$V$379,MATCH(DATE(DN$7,MIN('Mezz 2 Amortization'!$R$4,'Mezz 2 Amortization'!$S$4),31),'Mezz 2 Amortization'!$E$19:$E$379,0),MATCH('Mezz 2 Amortization'!$V$19,'Mezz 2 Amortization'!$B$19:$V$19,0)),IF(AND('Mezz 2 Amortization'!$T$4="Bi-Annual",DN$5='Mezz 2 Amortization'!$R$4),INDEX('Mezz 2 Amortization'!$B$19:$V$379,MATCH(DATE(DN$7,'Mezz 2 Amortization'!$R$4,31),'Mezz 2 Amortization'!$E$19:$E$379,0),MATCH('Mezz 2 Amortization'!$V$19,'Mezz 2 Amortization'!$B$19:$V$19,0)),IF(AND('Mezz 2 Amortization'!$T$4="Bi-Annual",DN$5='Mezz 2 Amortization'!$S$4),INDEX('Mezz 2 Amortization'!$B$19:$V$379,MATCH(DATE(DN$7,'Mezz 2 Amortization'!$S$4,31),'Mezz 2 Amortization'!$E$19:$E$379,0),MATCH('Mezz 2 Amortization'!$V$19,'Mezz 2 Amortization'!$B$19:$V$19,0)))))))))))</f>
        <v>0</v>
      </c>
      <c r="DO147" s="427">
        <f>IF('Financing Assumptions'!$T$8="No",0,IF(DO$9&lt;'Financing Assumptions'!$S$26,0,IF(AND('Mezz 2 Amortization'!$T$4&lt;&gt;"Monthly",DO9&lt;='Financing Assumptions'!$S$26),0,IF('Mezz 2 Amortization'!$T$4="Monthly",INDEX('Mezz 2 Amortization'!$B$19:$V$379,MATCH(DO$11,'Mezz 2 Amortization'!$E$19:$E$379,0),MATCH('Mezz 2 Amortization'!$V$19,'Mezz 2 Amortization'!$B$19:$V$19,0)),IF(AND('Mezz 2 Amortization'!$T$4="Bi-Annual",DO$5&lt;MIN('Mezz 2 Amortization'!$R$4,'Mezz 2 Amortization'!$S$4)),INDEX('Mezz 2 Amortization'!$B$19:$V$379,MATCH(DATE(DO$7-1,MAX('Mezz 2 Amortization'!$R$4,'Mezz 2 Amortization'!$S$4),31),'Mezz 2 Amortization'!$E$19:$E$379,0),MATCH('Mezz 2 Amortization'!$V$19,'Mezz 2 Amortization'!$B$19:$V$19,0)),IF(AND('Mezz 2 Amortization'!$T$4="Bi-Annual",DO$5&gt;MAX('Mezz 2 Amortization'!$R$4,'Mezz 2 Amortization'!$S$4)),INDEX('Mezz 2 Amortization'!$B$19:$V$379,MATCH(DATE(DO$7,MAX('Mezz 2 Amortization'!$R$4,'Mezz 2 Amortization'!$S$4),31),'Mezz 2 Amortization'!$E$19:$E$379,0),MATCH('Mezz 2 Amortization'!$V$19,'Mezz 2 Amortization'!$B$19:$V$19,0)),IF(AND('Mezz 2 Amortization'!$T$4="Bi-Annual",DO$5&gt;MIN('Mezz 2 Amortization'!$R$4,'Mezz 2 Amortization'!$S$4),DO$5&lt;MAX('Mezz 2 Amortization'!$R$4,'Mezz 2 Amortization'!$S$4)),INDEX('Mezz 2 Amortization'!$B$19:$V$379,MATCH(DATE(DO$7,MIN('Mezz 2 Amortization'!$R$4,'Mezz 2 Amortization'!$S$4),31),'Mezz 2 Amortization'!$E$19:$E$379,0),MATCH('Mezz 2 Amortization'!$V$19,'Mezz 2 Amortization'!$B$19:$V$19,0)),IF(AND('Mezz 2 Amortization'!$T$4="Bi-Annual",DO$5='Mezz 2 Amortization'!$R$4),INDEX('Mezz 2 Amortization'!$B$19:$V$379,MATCH(DATE(DO$7,'Mezz 2 Amortization'!$R$4,31),'Mezz 2 Amortization'!$E$19:$E$379,0),MATCH('Mezz 2 Amortization'!$V$19,'Mezz 2 Amortization'!$B$19:$V$19,0)),IF(AND('Mezz 2 Amortization'!$T$4="Bi-Annual",DO$5='Mezz 2 Amortization'!$S$4),INDEX('Mezz 2 Amortization'!$B$19:$V$379,MATCH(DATE(DO$7,'Mezz 2 Amortization'!$S$4,31),'Mezz 2 Amortization'!$E$19:$E$379,0),MATCH('Mezz 2 Amortization'!$V$19,'Mezz 2 Amortization'!$B$19:$V$19,0)))))))))))</f>
        <v>0</v>
      </c>
      <c r="DP147" s="427">
        <f>IF('Financing Assumptions'!$T$8="No",0,IF(DP$9&lt;'Financing Assumptions'!$S$26,0,IF(AND('Mezz 2 Amortization'!$T$4&lt;&gt;"Monthly",DP9&lt;='Financing Assumptions'!$S$26),0,IF('Mezz 2 Amortization'!$T$4="Monthly",INDEX('Mezz 2 Amortization'!$B$19:$V$379,MATCH(DP$11,'Mezz 2 Amortization'!$E$19:$E$379,0),MATCH('Mezz 2 Amortization'!$V$19,'Mezz 2 Amortization'!$B$19:$V$19,0)),IF(AND('Mezz 2 Amortization'!$T$4="Bi-Annual",DP$5&lt;MIN('Mezz 2 Amortization'!$R$4,'Mezz 2 Amortization'!$S$4)),INDEX('Mezz 2 Amortization'!$B$19:$V$379,MATCH(DATE(DP$7-1,MAX('Mezz 2 Amortization'!$R$4,'Mezz 2 Amortization'!$S$4),31),'Mezz 2 Amortization'!$E$19:$E$379,0),MATCH('Mezz 2 Amortization'!$V$19,'Mezz 2 Amortization'!$B$19:$V$19,0)),IF(AND('Mezz 2 Amortization'!$T$4="Bi-Annual",DP$5&gt;MAX('Mezz 2 Amortization'!$R$4,'Mezz 2 Amortization'!$S$4)),INDEX('Mezz 2 Amortization'!$B$19:$V$379,MATCH(DATE(DP$7,MAX('Mezz 2 Amortization'!$R$4,'Mezz 2 Amortization'!$S$4),31),'Mezz 2 Amortization'!$E$19:$E$379,0),MATCH('Mezz 2 Amortization'!$V$19,'Mezz 2 Amortization'!$B$19:$V$19,0)),IF(AND('Mezz 2 Amortization'!$T$4="Bi-Annual",DP$5&gt;MIN('Mezz 2 Amortization'!$R$4,'Mezz 2 Amortization'!$S$4),DP$5&lt;MAX('Mezz 2 Amortization'!$R$4,'Mezz 2 Amortization'!$S$4)),INDEX('Mezz 2 Amortization'!$B$19:$V$379,MATCH(DATE(DP$7,MIN('Mezz 2 Amortization'!$R$4,'Mezz 2 Amortization'!$S$4),31),'Mezz 2 Amortization'!$E$19:$E$379,0),MATCH('Mezz 2 Amortization'!$V$19,'Mezz 2 Amortization'!$B$19:$V$19,0)),IF(AND('Mezz 2 Amortization'!$T$4="Bi-Annual",DP$5='Mezz 2 Amortization'!$R$4),INDEX('Mezz 2 Amortization'!$B$19:$V$379,MATCH(DATE(DP$7,'Mezz 2 Amortization'!$R$4,31),'Mezz 2 Amortization'!$E$19:$E$379,0),MATCH('Mezz 2 Amortization'!$V$19,'Mezz 2 Amortization'!$B$19:$V$19,0)),IF(AND('Mezz 2 Amortization'!$T$4="Bi-Annual",DP$5='Mezz 2 Amortization'!$S$4),INDEX('Mezz 2 Amortization'!$B$19:$V$379,MATCH(DATE(DP$7,'Mezz 2 Amortization'!$S$4,31),'Mezz 2 Amortization'!$E$19:$E$379,0),MATCH('Mezz 2 Amortization'!$V$19,'Mezz 2 Amortization'!$B$19:$V$19,0)))))))))))</f>
        <v>0</v>
      </c>
      <c r="DQ147" s="427">
        <f>IF('Financing Assumptions'!$T$8="No",0,IF(DQ$9&lt;'Financing Assumptions'!$S$26,0,IF(AND('Mezz 2 Amortization'!$T$4&lt;&gt;"Monthly",DQ9&lt;='Financing Assumptions'!$S$26),0,IF('Mezz 2 Amortization'!$T$4="Monthly",INDEX('Mezz 2 Amortization'!$B$19:$V$379,MATCH(DQ$11,'Mezz 2 Amortization'!$E$19:$E$379,0),MATCH('Mezz 2 Amortization'!$V$19,'Mezz 2 Amortization'!$B$19:$V$19,0)),IF(AND('Mezz 2 Amortization'!$T$4="Bi-Annual",DQ$5&lt;MIN('Mezz 2 Amortization'!$R$4,'Mezz 2 Amortization'!$S$4)),INDEX('Mezz 2 Amortization'!$B$19:$V$379,MATCH(DATE(DQ$7-1,MAX('Mezz 2 Amortization'!$R$4,'Mezz 2 Amortization'!$S$4),31),'Mezz 2 Amortization'!$E$19:$E$379,0),MATCH('Mezz 2 Amortization'!$V$19,'Mezz 2 Amortization'!$B$19:$V$19,0)),IF(AND('Mezz 2 Amortization'!$T$4="Bi-Annual",DQ$5&gt;MAX('Mezz 2 Amortization'!$R$4,'Mezz 2 Amortization'!$S$4)),INDEX('Mezz 2 Amortization'!$B$19:$V$379,MATCH(DATE(DQ$7,MAX('Mezz 2 Amortization'!$R$4,'Mezz 2 Amortization'!$S$4),31),'Mezz 2 Amortization'!$E$19:$E$379,0),MATCH('Mezz 2 Amortization'!$V$19,'Mezz 2 Amortization'!$B$19:$V$19,0)),IF(AND('Mezz 2 Amortization'!$T$4="Bi-Annual",DQ$5&gt;MIN('Mezz 2 Amortization'!$R$4,'Mezz 2 Amortization'!$S$4),DQ$5&lt;MAX('Mezz 2 Amortization'!$R$4,'Mezz 2 Amortization'!$S$4)),INDEX('Mezz 2 Amortization'!$B$19:$V$379,MATCH(DATE(DQ$7,MIN('Mezz 2 Amortization'!$R$4,'Mezz 2 Amortization'!$S$4),31),'Mezz 2 Amortization'!$E$19:$E$379,0),MATCH('Mezz 2 Amortization'!$V$19,'Mezz 2 Amortization'!$B$19:$V$19,0)),IF(AND('Mezz 2 Amortization'!$T$4="Bi-Annual",DQ$5='Mezz 2 Amortization'!$R$4),INDEX('Mezz 2 Amortization'!$B$19:$V$379,MATCH(DATE(DQ$7,'Mezz 2 Amortization'!$R$4,31),'Mezz 2 Amortization'!$E$19:$E$379,0),MATCH('Mezz 2 Amortization'!$V$19,'Mezz 2 Amortization'!$B$19:$V$19,0)),IF(AND('Mezz 2 Amortization'!$T$4="Bi-Annual",DQ$5='Mezz 2 Amortization'!$S$4),INDEX('Mezz 2 Amortization'!$B$19:$V$379,MATCH(DATE(DQ$7,'Mezz 2 Amortization'!$S$4,31),'Mezz 2 Amortization'!$E$19:$E$379,0),MATCH('Mezz 2 Amortization'!$V$19,'Mezz 2 Amortization'!$B$19:$V$19,0)))))))))))</f>
        <v>0</v>
      </c>
      <c r="DR147" s="427">
        <f>IF('Financing Assumptions'!$T$8="No",0,IF(DR$9&lt;'Financing Assumptions'!$S$26,0,IF(AND('Mezz 2 Amortization'!$T$4&lt;&gt;"Monthly",DR9&lt;='Financing Assumptions'!$S$26),0,IF('Mezz 2 Amortization'!$T$4="Monthly",INDEX('Mezz 2 Amortization'!$B$19:$V$379,MATCH(DR$11,'Mezz 2 Amortization'!$E$19:$E$379,0),MATCH('Mezz 2 Amortization'!$V$19,'Mezz 2 Amortization'!$B$19:$V$19,0)),IF(AND('Mezz 2 Amortization'!$T$4="Bi-Annual",DR$5&lt;MIN('Mezz 2 Amortization'!$R$4,'Mezz 2 Amortization'!$S$4)),INDEX('Mezz 2 Amortization'!$B$19:$V$379,MATCH(DATE(DR$7-1,MAX('Mezz 2 Amortization'!$R$4,'Mezz 2 Amortization'!$S$4),31),'Mezz 2 Amortization'!$E$19:$E$379,0),MATCH('Mezz 2 Amortization'!$V$19,'Mezz 2 Amortization'!$B$19:$V$19,0)),IF(AND('Mezz 2 Amortization'!$T$4="Bi-Annual",DR$5&gt;MAX('Mezz 2 Amortization'!$R$4,'Mezz 2 Amortization'!$S$4)),INDEX('Mezz 2 Amortization'!$B$19:$V$379,MATCH(DATE(DR$7,MAX('Mezz 2 Amortization'!$R$4,'Mezz 2 Amortization'!$S$4),31),'Mezz 2 Amortization'!$E$19:$E$379,0),MATCH('Mezz 2 Amortization'!$V$19,'Mezz 2 Amortization'!$B$19:$V$19,0)),IF(AND('Mezz 2 Amortization'!$T$4="Bi-Annual",DR$5&gt;MIN('Mezz 2 Amortization'!$R$4,'Mezz 2 Amortization'!$S$4),DR$5&lt;MAX('Mezz 2 Amortization'!$R$4,'Mezz 2 Amortization'!$S$4)),INDEX('Mezz 2 Amortization'!$B$19:$V$379,MATCH(DATE(DR$7,MIN('Mezz 2 Amortization'!$R$4,'Mezz 2 Amortization'!$S$4),31),'Mezz 2 Amortization'!$E$19:$E$379,0),MATCH('Mezz 2 Amortization'!$V$19,'Mezz 2 Amortization'!$B$19:$V$19,0)),IF(AND('Mezz 2 Amortization'!$T$4="Bi-Annual",DR$5='Mezz 2 Amortization'!$R$4),INDEX('Mezz 2 Amortization'!$B$19:$V$379,MATCH(DATE(DR$7,'Mezz 2 Amortization'!$R$4,31),'Mezz 2 Amortization'!$E$19:$E$379,0),MATCH('Mezz 2 Amortization'!$V$19,'Mezz 2 Amortization'!$B$19:$V$19,0)),IF(AND('Mezz 2 Amortization'!$T$4="Bi-Annual",DR$5='Mezz 2 Amortization'!$S$4),INDEX('Mezz 2 Amortization'!$B$19:$V$379,MATCH(DATE(DR$7,'Mezz 2 Amortization'!$S$4,31),'Mezz 2 Amortization'!$E$19:$E$379,0),MATCH('Mezz 2 Amortization'!$V$19,'Mezz 2 Amortization'!$B$19:$V$19,0)))))))))))</f>
        <v>0</v>
      </c>
      <c r="DS147" s="427">
        <f>IF('Financing Assumptions'!$T$8="No",0,IF(DS$9&lt;'Financing Assumptions'!$S$26,0,IF(AND('Mezz 2 Amortization'!$T$4&lt;&gt;"Monthly",DS9&lt;='Financing Assumptions'!$S$26),0,IF('Mezz 2 Amortization'!$T$4="Monthly",INDEX('Mezz 2 Amortization'!$B$19:$V$379,MATCH(DS$11,'Mezz 2 Amortization'!$E$19:$E$379,0),MATCH('Mezz 2 Amortization'!$V$19,'Mezz 2 Amortization'!$B$19:$V$19,0)),IF(AND('Mezz 2 Amortization'!$T$4="Bi-Annual",DS$5&lt;MIN('Mezz 2 Amortization'!$R$4,'Mezz 2 Amortization'!$S$4)),INDEX('Mezz 2 Amortization'!$B$19:$V$379,MATCH(DATE(DS$7-1,MAX('Mezz 2 Amortization'!$R$4,'Mezz 2 Amortization'!$S$4),31),'Mezz 2 Amortization'!$E$19:$E$379,0),MATCH('Mezz 2 Amortization'!$V$19,'Mezz 2 Amortization'!$B$19:$V$19,0)),IF(AND('Mezz 2 Amortization'!$T$4="Bi-Annual",DS$5&gt;MAX('Mezz 2 Amortization'!$R$4,'Mezz 2 Amortization'!$S$4)),INDEX('Mezz 2 Amortization'!$B$19:$V$379,MATCH(DATE(DS$7,MAX('Mezz 2 Amortization'!$R$4,'Mezz 2 Amortization'!$S$4),31),'Mezz 2 Amortization'!$E$19:$E$379,0),MATCH('Mezz 2 Amortization'!$V$19,'Mezz 2 Amortization'!$B$19:$V$19,0)),IF(AND('Mezz 2 Amortization'!$T$4="Bi-Annual",DS$5&gt;MIN('Mezz 2 Amortization'!$R$4,'Mezz 2 Amortization'!$S$4),DS$5&lt;MAX('Mezz 2 Amortization'!$R$4,'Mezz 2 Amortization'!$S$4)),INDEX('Mezz 2 Amortization'!$B$19:$V$379,MATCH(DATE(DS$7,MIN('Mezz 2 Amortization'!$R$4,'Mezz 2 Amortization'!$S$4),31),'Mezz 2 Amortization'!$E$19:$E$379,0),MATCH('Mezz 2 Amortization'!$V$19,'Mezz 2 Amortization'!$B$19:$V$19,0)),IF(AND('Mezz 2 Amortization'!$T$4="Bi-Annual",DS$5='Mezz 2 Amortization'!$R$4),INDEX('Mezz 2 Amortization'!$B$19:$V$379,MATCH(DATE(DS$7,'Mezz 2 Amortization'!$R$4,31),'Mezz 2 Amortization'!$E$19:$E$379,0),MATCH('Mezz 2 Amortization'!$V$19,'Mezz 2 Amortization'!$B$19:$V$19,0)),IF(AND('Mezz 2 Amortization'!$T$4="Bi-Annual",DS$5='Mezz 2 Amortization'!$S$4),INDEX('Mezz 2 Amortization'!$B$19:$V$379,MATCH(DATE(DS$7,'Mezz 2 Amortization'!$S$4,31),'Mezz 2 Amortization'!$E$19:$E$379,0),MATCH('Mezz 2 Amortization'!$V$19,'Mezz 2 Amortization'!$B$19:$V$19,0)))))))))))</f>
        <v>0</v>
      </c>
      <c r="DT147" s="427">
        <f>IF('Financing Assumptions'!$T$8="No",0,IF(DT$9&lt;'Financing Assumptions'!$S$26,0,IF(AND('Mezz 2 Amortization'!$T$4&lt;&gt;"Monthly",DT9&lt;='Financing Assumptions'!$S$26),0,IF('Mezz 2 Amortization'!$T$4="Monthly",INDEX('Mezz 2 Amortization'!$B$19:$V$379,MATCH(DT$11,'Mezz 2 Amortization'!$E$19:$E$379,0),MATCH('Mezz 2 Amortization'!$V$19,'Mezz 2 Amortization'!$B$19:$V$19,0)),IF(AND('Mezz 2 Amortization'!$T$4="Bi-Annual",DT$5&lt;MIN('Mezz 2 Amortization'!$R$4,'Mezz 2 Amortization'!$S$4)),INDEX('Mezz 2 Amortization'!$B$19:$V$379,MATCH(DATE(DT$7-1,MAX('Mezz 2 Amortization'!$R$4,'Mezz 2 Amortization'!$S$4),31),'Mezz 2 Amortization'!$E$19:$E$379,0),MATCH('Mezz 2 Amortization'!$V$19,'Mezz 2 Amortization'!$B$19:$V$19,0)),IF(AND('Mezz 2 Amortization'!$T$4="Bi-Annual",DT$5&gt;MAX('Mezz 2 Amortization'!$R$4,'Mezz 2 Amortization'!$S$4)),INDEX('Mezz 2 Amortization'!$B$19:$V$379,MATCH(DATE(DT$7,MAX('Mezz 2 Amortization'!$R$4,'Mezz 2 Amortization'!$S$4),31),'Mezz 2 Amortization'!$E$19:$E$379,0),MATCH('Mezz 2 Amortization'!$V$19,'Mezz 2 Amortization'!$B$19:$V$19,0)),IF(AND('Mezz 2 Amortization'!$T$4="Bi-Annual",DT$5&gt;MIN('Mezz 2 Amortization'!$R$4,'Mezz 2 Amortization'!$S$4),DT$5&lt;MAX('Mezz 2 Amortization'!$R$4,'Mezz 2 Amortization'!$S$4)),INDEX('Mezz 2 Amortization'!$B$19:$V$379,MATCH(DATE(DT$7,MIN('Mezz 2 Amortization'!$R$4,'Mezz 2 Amortization'!$S$4),31),'Mezz 2 Amortization'!$E$19:$E$379,0),MATCH('Mezz 2 Amortization'!$V$19,'Mezz 2 Amortization'!$B$19:$V$19,0)),IF(AND('Mezz 2 Amortization'!$T$4="Bi-Annual",DT$5='Mezz 2 Amortization'!$R$4),INDEX('Mezz 2 Amortization'!$B$19:$V$379,MATCH(DATE(DT$7,'Mezz 2 Amortization'!$R$4,31),'Mezz 2 Amortization'!$E$19:$E$379,0),MATCH('Mezz 2 Amortization'!$V$19,'Mezz 2 Amortization'!$B$19:$V$19,0)),IF(AND('Mezz 2 Amortization'!$T$4="Bi-Annual",DT$5='Mezz 2 Amortization'!$S$4),INDEX('Mezz 2 Amortization'!$B$19:$V$379,MATCH(DATE(DT$7,'Mezz 2 Amortization'!$S$4,31),'Mezz 2 Amortization'!$E$19:$E$379,0),MATCH('Mezz 2 Amortization'!$V$19,'Mezz 2 Amortization'!$B$19:$V$19,0)))))))))))</f>
        <v>0</v>
      </c>
      <c r="DU147" s="427">
        <f>IF('Financing Assumptions'!$T$8="No",0,IF(DU$9&lt;'Financing Assumptions'!$S$26,0,IF(AND('Mezz 2 Amortization'!$T$4&lt;&gt;"Monthly",DU9&lt;='Financing Assumptions'!$S$26),0,IF('Mezz 2 Amortization'!$T$4="Monthly",INDEX('Mezz 2 Amortization'!$B$19:$V$379,MATCH(DU$11,'Mezz 2 Amortization'!$E$19:$E$379,0),MATCH('Mezz 2 Amortization'!$V$19,'Mezz 2 Amortization'!$B$19:$V$19,0)),IF(AND('Mezz 2 Amortization'!$T$4="Bi-Annual",DU$5&lt;MIN('Mezz 2 Amortization'!$R$4,'Mezz 2 Amortization'!$S$4)),INDEX('Mezz 2 Amortization'!$B$19:$V$379,MATCH(DATE(DU$7-1,MAX('Mezz 2 Amortization'!$R$4,'Mezz 2 Amortization'!$S$4),31),'Mezz 2 Amortization'!$E$19:$E$379,0),MATCH('Mezz 2 Amortization'!$V$19,'Mezz 2 Amortization'!$B$19:$V$19,0)),IF(AND('Mezz 2 Amortization'!$T$4="Bi-Annual",DU$5&gt;MAX('Mezz 2 Amortization'!$R$4,'Mezz 2 Amortization'!$S$4)),INDEX('Mezz 2 Amortization'!$B$19:$V$379,MATCH(DATE(DU$7,MAX('Mezz 2 Amortization'!$R$4,'Mezz 2 Amortization'!$S$4),31),'Mezz 2 Amortization'!$E$19:$E$379,0),MATCH('Mezz 2 Amortization'!$V$19,'Mezz 2 Amortization'!$B$19:$V$19,0)),IF(AND('Mezz 2 Amortization'!$T$4="Bi-Annual",DU$5&gt;MIN('Mezz 2 Amortization'!$R$4,'Mezz 2 Amortization'!$S$4),DU$5&lt;MAX('Mezz 2 Amortization'!$R$4,'Mezz 2 Amortization'!$S$4)),INDEX('Mezz 2 Amortization'!$B$19:$V$379,MATCH(DATE(DU$7,MIN('Mezz 2 Amortization'!$R$4,'Mezz 2 Amortization'!$S$4),31),'Mezz 2 Amortization'!$E$19:$E$379,0),MATCH('Mezz 2 Amortization'!$V$19,'Mezz 2 Amortization'!$B$19:$V$19,0)),IF(AND('Mezz 2 Amortization'!$T$4="Bi-Annual",DU$5='Mezz 2 Amortization'!$R$4),INDEX('Mezz 2 Amortization'!$B$19:$V$379,MATCH(DATE(DU$7,'Mezz 2 Amortization'!$R$4,31),'Mezz 2 Amortization'!$E$19:$E$379,0),MATCH('Mezz 2 Amortization'!$V$19,'Mezz 2 Amortization'!$B$19:$V$19,0)),IF(AND('Mezz 2 Amortization'!$T$4="Bi-Annual",DU$5='Mezz 2 Amortization'!$S$4),INDEX('Mezz 2 Amortization'!$B$19:$V$379,MATCH(DATE(DU$7,'Mezz 2 Amortization'!$S$4,31),'Mezz 2 Amortization'!$E$19:$E$379,0),MATCH('Mezz 2 Amortization'!$V$19,'Mezz 2 Amortization'!$B$19:$V$19,0)))))))))))</f>
        <v>0</v>
      </c>
      <c r="DV147" s="427">
        <f>IF('Financing Assumptions'!$T$8="No",0,IF(DV$9&lt;'Financing Assumptions'!$S$26,0,IF(AND('Mezz 2 Amortization'!$T$4&lt;&gt;"Monthly",DV9&lt;='Financing Assumptions'!$S$26),0,IF('Mezz 2 Amortization'!$T$4="Monthly",INDEX('Mezz 2 Amortization'!$B$19:$V$379,MATCH(DV$11,'Mezz 2 Amortization'!$E$19:$E$379,0),MATCH('Mezz 2 Amortization'!$V$19,'Mezz 2 Amortization'!$B$19:$V$19,0)),IF(AND('Mezz 2 Amortization'!$T$4="Bi-Annual",DV$5&lt;MIN('Mezz 2 Amortization'!$R$4,'Mezz 2 Amortization'!$S$4)),INDEX('Mezz 2 Amortization'!$B$19:$V$379,MATCH(DATE(DV$7-1,MAX('Mezz 2 Amortization'!$R$4,'Mezz 2 Amortization'!$S$4),31),'Mezz 2 Amortization'!$E$19:$E$379,0),MATCH('Mezz 2 Amortization'!$V$19,'Mezz 2 Amortization'!$B$19:$V$19,0)),IF(AND('Mezz 2 Amortization'!$T$4="Bi-Annual",DV$5&gt;MAX('Mezz 2 Amortization'!$R$4,'Mezz 2 Amortization'!$S$4)),INDEX('Mezz 2 Amortization'!$B$19:$V$379,MATCH(DATE(DV$7,MAX('Mezz 2 Amortization'!$R$4,'Mezz 2 Amortization'!$S$4),31),'Mezz 2 Amortization'!$E$19:$E$379,0),MATCH('Mezz 2 Amortization'!$V$19,'Mezz 2 Amortization'!$B$19:$V$19,0)),IF(AND('Mezz 2 Amortization'!$T$4="Bi-Annual",DV$5&gt;MIN('Mezz 2 Amortization'!$R$4,'Mezz 2 Amortization'!$S$4),DV$5&lt;MAX('Mezz 2 Amortization'!$R$4,'Mezz 2 Amortization'!$S$4)),INDEX('Mezz 2 Amortization'!$B$19:$V$379,MATCH(DATE(DV$7,MIN('Mezz 2 Amortization'!$R$4,'Mezz 2 Amortization'!$S$4),31),'Mezz 2 Amortization'!$E$19:$E$379,0),MATCH('Mezz 2 Amortization'!$V$19,'Mezz 2 Amortization'!$B$19:$V$19,0)),IF(AND('Mezz 2 Amortization'!$T$4="Bi-Annual",DV$5='Mezz 2 Amortization'!$R$4),INDEX('Mezz 2 Amortization'!$B$19:$V$379,MATCH(DATE(DV$7,'Mezz 2 Amortization'!$R$4,31),'Mezz 2 Amortization'!$E$19:$E$379,0),MATCH('Mezz 2 Amortization'!$V$19,'Mezz 2 Amortization'!$B$19:$V$19,0)),IF(AND('Mezz 2 Amortization'!$T$4="Bi-Annual",DV$5='Mezz 2 Amortization'!$S$4),INDEX('Mezz 2 Amortization'!$B$19:$V$379,MATCH(DATE(DV$7,'Mezz 2 Amortization'!$S$4,31),'Mezz 2 Amortization'!$E$19:$E$379,0),MATCH('Mezz 2 Amortization'!$V$19,'Mezz 2 Amortization'!$B$19:$V$19,0)))))))))))</f>
        <v>0</v>
      </c>
      <c r="DW147" s="427">
        <f>IF('Financing Assumptions'!$T$8="No",0,IF(DW$9&lt;'Financing Assumptions'!$S$26,0,IF(AND('Mezz 2 Amortization'!$T$4&lt;&gt;"Monthly",DW9&lt;='Financing Assumptions'!$S$26),0,IF('Mezz 2 Amortization'!$T$4="Monthly",INDEX('Mezz 2 Amortization'!$B$19:$V$379,MATCH(DW$11,'Mezz 2 Amortization'!$E$19:$E$379,0),MATCH('Mezz 2 Amortization'!$V$19,'Mezz 2 Amortization'!$B$19:$V$19,0)),IF(AND('Mezz 2 Amortization'!$T$4="Bi-Annual",DW$5&lt;MIN('Mezz 2 Amortization'!$R$4,'Mezz 2 Amortization'!$S$4)),INDEX('Mezz 2 Amortization'!$B$19:$V$379,MATCH(DATE(DW$7-1,MAX('Mezz 2 Amortization'!$R$4,'Mezz 2 Amortization'!$S$4),31),'Mezz 2 Amortization'!$E$19:$E$379,0),MATCH('Mezz 2 Amortization'!$V$19,'Mezz 2 Amortization'!$B$19:$V$19,0)),IF(AND('Mezz 2 Amortization'!$T$4="Bi-Annual",DW$5&gt;MAX('Mezz 2 Amortization'!$R$4,'Mezz 2 Amortization'!$S$4)),INDEX('Mezz 2 Amortization'!$B$19:$V$379,MATCH(DATE(DW$7,MAX('Mezz 2 Amortization'!$R$4,'Mezz 2 Amortization'!$S$4),31),'Mezz 2 Amortization'!$E$19:$E$379,0),MATCH('Mezz 2 Amortization'!$V$19,'Mezz 2 Amortization'!$B$19:$V$19,0)),IF(AND('Mezz 2 Amortization'!$T$4="Bi-Annual",DW$5&gt;MIN('Mezz 2 Amortization'!$R$4,'Mezz 2 Amortization'!$S$4),DW$5&lt;MAX('Mezz 2 Amortization'!$R$4,'Mezz 2 Amortization'!$S$4)),INDEX('Mezz 2 Amortization'!$B$19:$V$379,MATCH(DATE(DW$7,MIN('Mezz 2 Amortization'!$R$4,'Mezz 2 Amortization'!$S$4),31),'Mezz 2 Amortization'!$E$19:$E$379,0),MATCH('Mezz 2 Amortization'!$V$19,'Mezz 2 Amortization'!$B$19:$V$19,0)),IF(AND('Mezz 2 Amortization'!$T$4="Bi-Annual",DW$5='Mezz 2 Amortization'!$R$4),INDEX('Mezz 2 Amortization'!$B$19:$V$379,MATCH(DATE(DW$7,'Mezz 2 Amortization'!$R$4,31),'Mezz 2 Amortization'!$E$19:$E$379,0),MATCH('Mezz 2 Amortization'!$V$19,'Mezz 2 Amortization'!$B$19:$V$19,0)),IF(AND('Mezz 2 Amortization'!$T$4="Bi-Annual",DW$5='Mezz 2 Amortization'!$S$4),INDEX('Mezz 2 Amortization'!$B$19:$V$379,MATCH(DATE(DW$7,'Mezz 2 Amortization'!$S$4,31),'Mezz 2 Amortization'!$E$19:$E$379,0),MATCH('Mezz 2 Amortization'!$V$19,'Mezz 2 Amortization'!$B$19:$V$19,0)))))))))))</f>
        <v>0</v>
      </c>
      <c r="DX147" s="427">
        <f>IF('Financing Assumptions'!$T$8="No",0,IF(DX$9&lt;'Financing Assumptions'!$S$26,0,IF(AND('Mezz 2 Amortization'!$T$4&lt;&gt;"Monthly",DX9&lt;='Financing Assumptions'!$S$26),0,IF('Mezz 2 Amortization'!$T$4="Monthly",INDEX('Mezz 2 Amortization'!$B$19:$V$379,MATCH(DX$11,'Mezz 2 Amortization'!$E$19:$E$379,0),MATCH('Mezz 2 Amortization'!$V$19,'Mezz 2 Amortization'!$B$19:$V$19,0)),IF(AND('Mezz 2 Amortization'!$T$4="Bi-Annual",DX$5&lt;MIN('Mezz 2 Amortization'!$R$4,'Mezz 2 Amortization'!$S$4)),INDEX('Mezz 2 Amortization'!$B$19:$V$379,MATCH(DATE(DX$7-1,MAX('Mezz 2 Amortization'!$R$4,'Mezz 2 Amortization'!$S$4),31),'Mezz 2 Amortization'!$E$19:$E$379,0),MATCH('Mezz 2 Amortization'!$V$19,'Mezz 2 Amortization'!$B$19:$V$19,0)),IF(AND('Mezz 2 Amortization'!$T$4="Bi-Annual",DX$5&gt;MAX('Mezz 2 Amortization'!$R$4,'Mezz 2 Amortization'!$S$4)),INDEX('Mezz 2 Amortization'!$B$19:$V$379,MATCH(DATE(DX$7,MAX('Mezz 2 Amortization'!$R$4,'Mezz 2 Amortization'!$S$4),31),'Mezz 2 Amortization'!$E$19:$E$379,0),MATCH('Mezz 2 Amortization'!$V$19,'Mezz 2 Amortization'!$B$19:$V$19,0)),IF(AND('Mezz 2 Amortization'!$T$4="Bi-Annual",DX$5&gt;MIN('Mezz 2 Amortization'!$R$4,'Mezz 2 Amortization'!$S$4),DX$5&lt;MAX('Mezz 2 Amortization'!$R$4,'Mezz 2 Amortization'!$S$4)),INDEX('Mezz 2 Amortization'!$B$19:$V$379,MATCH(DATE(DX$7,MIN('Mezz 2 Amortization'!$R$4,'Mezz 2 Amortization'!$S$4),31),'Mezz 2 Amortization'!$E$19:$E$379,0),MATCH('Mezz 2 Amortization'!$V$19,'Mezz 2 Amortization'!$B$19:$V$19,0)),IF(AND('Mezz 2 Amortization'!$T$4="Bi-Annual",DX$5='Mezz 2 Amortization'!$R$4),INDEX('Mezz 2 Amortization'!$B$19:$V$379,MATCH(DATE(DX$7,'Mezz 2 Amortization'!$R$4,31),'Mezz 2 Amortization'!$E$19:$E$379,0),MATCH('Mezz 2 Amortization'!$V$19,'Mezz 2 Amortization'!$B$19:$V$19,0)),IF(AND('Mezz 2 Amortization'!$T$4="Bi-Annual",DX$5='Mezz 2 Amortization'!$S$4),INDEX('Mezz 2 Amortization'!$B$19:$V$379,MATCH(DATE(DX$7,'Mezz 2 Amortization'!$S$4,31),'Mezz 2 Amortization'!$E$19:$E$379,0),MATCH('Mezz 2 Amortization'!$V$19,'Mezz 2 Amortization'!$B$19:$V$19,0)))))))))))</f>
        <v>0</v>
      </c>
      <c r="DY147" s="427">
        <f>IF('Financing Assumptions'!$T$8="No",0,IF(DY$9&lt;'Financing Assumptions'!$S$26,0,IF(AND('Mezz 2 Amortization'!$T$4&lt;&gt;"Monthly",DY9&lt;='Financing Assumptions'!$S$26),0,IF('Mezz 2 Amortization'!$T$4="Monthly",INDEX('Mezz 2 Amortization'!$B$19:$V$379,MATCH(DY$11,'Mezz 2 Amortization'!$E$19:$E$379,0),MATCH('Mezz 2 Amortization'!$V$19,'Mezz 2 Amortization'!$B$19:$V$19,0)),IF(AND('Mezz 2 Amortization'!$T$4="Bi-Annual",DY$5&lt;MIN('Mezz 2 Amortization'!$R$4,'Mezz 2 Amortization'!$S$4)),INDEX('Mezz 2 Amortization'!$B$19:$V$379,MATCH(DATE(DY$7-1,MAX('Mezz 2 Amortization'!$R$4,'Mezz 2 Amortization'!$S$4),31),'Mezz 2 Amortization'!$E$19:$E$379,0),MATCH('Mezz 2 Amortization'!$V$19,'Mezz 2 Amortization'!$B$19:$V$19,0)),IF(AND('Mezz 2 Amortization'!$T$4="Bi-Annual",DY$5&gt;MAX('Mezz 2 Amortization'!$R$4,'Mezz 2 Amortization'!$S$4)),INDEX('Mezz 2 Amortization'!$B$19:$V$379,MATCH(DATE(DY$7,MAX('Mezz 2 Amortization'!$R$4,'Mezz 2 Amortization'!$S$4),31),'Mezz 2 Amortization'!$E$19:$E$379,0),MATCH('Mezz 2 Amortization'!$V$19,'Mezz 2 Amortization'!$B$19:$V$19,0)),IF(AND('Mezz 2 Amortization'!$T$4="Bi-Annual",DY$5&gt;MIN('Mezz 2 Amortization'!$R$4,'Mezz 2 Amortization'!$S$4),DY$5&lt;MAX('Mezz 2 Amortization'!$R$4,'Mezz 2 Amortization'!$S$4)),INDEX('Mezz 2 Amortization'!$B$19:$V$379,MATCH(DATE(DY$7,MIN('Mezz 2 Amortization'!$R$4,'Mezz 2 Amortization'!$S$4),31),'Mezz 2 Amortization'!$E$19:$E$379,0),MATCH('Mezz 2 Amortization'!$V$19,'Mezz 2 Amortization'!$B$19:$V$19,0)),IF(AND('Mezz 2 Amortization'!$T$4="Bi-Annual",DY$5='Mezz 2 Amortization'!$R$4),INDEX('Mezz 2 Amortization'!$B$19:$V$379,MATCH(DATE(DY$7,'Mezz 2 Amortization'!$R$4,31),'Mezz 2 Amortization'!$E$19:$E$379,0),MATCH('Mezz 2 Amortization'!$V$19,'Mezz 2 Amortization'!$B$19:$V$19,0)),IF(AND('Mezz 2 Amortization'!$T$4="Bi-Annual",DY$5='Mezz 2 Amortization'!$S$4),INDEX('Mezz 2 Amortization'!$B$19:$V$379,MATCH(DATE(DY$7,'Mezz 2 Amortization'!$S$4,31),'Mezz 2 Amortization'!$E$19:$E$379,0),MATCH('Mezz 2 Amortization'!$V$19,'Mezz 2 Amortization'!$B$19:$V$19,0)))))))))))</f>
        <v>0</v>
      </c>
      <c r="DZ147" s="427">
        <f>IF('Financing Assumptions'!$T$8="No",0,IF(DZ$9&lt;'Financing Assumptions'!$S$26,0,IF(AND('Mezz 2 Amortization'!$T$4&lt;&gt;"Monthly",DZ9&lt;='Financing Assumptions'!$S$26),0,IF('Mezz 2 Amortization'!$T$4="Monthly",INDEX('Mezz 2 Amortization'!$B$19:$V$379,MATCH(DZ$11,'Mezz 2 Amortization'!$E$19:$E$379,0),MATCH('Mezz 2 Amortization'!$V$19,'Mezz 2 Amortization'!$B$19:$V$19,0)),IF(AND('Mezz 2 Amortization'!$T$4="Bi-Annual",DZ$5&lt;MIN('Mezz 2 Amortization'!$R$4,'Mezz 2 Amortization'!$S$4)),INDEX('Mezz 2 Amortization'!$B$19:$V$379,MATCH(DATE(DZ$7-1,MAX('Mezz 2 Amortization'!$R$4,'Mezz 2 Amortization'!$S$4),31),'Mezz 2 Amortization'!$E$19:$E$379,0),MATCH('Mezz 2 Amortization'!$V$19,'Mezz 2 Amortization'!$B$19:$V$19,0)),IF(AND('Mezz 2 Amortization'!$T$4="Bi-Annual",DZ$5&gt;MAX('Mezz 2 Amortization'!$R$4,'Mezz 2 Amortization'!$S$4)),INDEX('Mezz 2 Amortization'!$B$19:$V$379,MATCH(DATE(DZ$7,MAX('Mezz 2 Amortization'!$R$4,'Mezz 2 Amortization'!$S$4),31),'Mezz 2 Amortization'!$E$19:$E$379,0),MATCH('Mezz 2 Amortization'!$V$19,'Mezz 2 Amortization'!$B$19:$V$19,0)),IF(AND('Mezz 2 Amortization'!$T$4="Bi-Annual",DZ$5&gt;MIN('Mezz 2 Amortization'!$R$4,'Mezz 2 Amortization'!$S$4),DZ$5&lt;MAX('Mezz 2 Amortization'!$R$4,'Mezz 2 Amortization'!$S$4)),INDEX('Mezz 2 Amortization'!$B$19:$V$379,MATCH(DATE(DZ$7,MIN('Mezz 2 Amortization'!$R$4,'Mezz 2 Amortization'!$S$4),31),'Mezz 2 Amortization'!$E$19:$E$379,0),MATCH('Mezz 2 Amortization'!$V$19,'Mezz 2 Amortization'!$B$19:$V$19,0)),IF(AND('Mezz 2 Amortization'!$T$4="Bi-Annual",DZ$5='Mezz 2 Amortization'!$R$4),INDEX('Mezz 2 Amortization'!$B$19:$V$379,MATCH(DATE(DZ$7,'Mezz 2 Amortization'!$R$4,31),'Mezz 2 Amortization'!$E$19:$E$379,0),MATCH('Mezz 2 Amortization'!$V$19,'Mezz 2 Amortization'!$B$19:$V$19,0)),IF(AND('Mezz 2 Amortization'!$T$4="Bi-Annual",DZ$5='Mezz 2 Amortization'!$S$4),INDEX('Mezz 2 Amortization'!$B$19:$V$379,MATCH(DATE(DZ$7,'Mezz 2 Amortization'!$S$4,31),'Mezz 2 Amortization'!$E$19:$E$379,0),MATCH('Mezz 2 Amortization'!$V$19,'Mezz 2 Amortization'!$B$19:$V$19,0)))))))))))</f>
        <v>0</v>
      </c>
      <c r="EA147" s="427">
        <f>IF('Financing Assumptions'!$T$8="No",0,IF(EA$9&lt;'Financing Assumptions'!$S$26,0,IF(AND('Mezz 2 Amortization'!$T$4&lt;&gt;"Monthly",EA9&lt;='Financing Assumptions'!$S$26),0,IF('Mezz 2 Amortization'!$T$4="Monthly",INDEX('Mezz 2 Amortization'!$B$19:$V$379,MATCH(EA$11,'Mezz 2 Amortization'!$E$19:$E$379,0),MATCH('Mezz 2 Amortization'!$V$19,'Mezz 2 Amortization'!$B$19:$V$19,0)),IF(AND('Mezz 2 Amortization'!$T$4="Bi-Annual",EA$5&lt;MIN('Mezz 2 Amortization'!$R$4,'Mezz 2 Amortization'!$S$4)),INDEX('Mezz 2 Amortization'!$B$19:$V$379,MATCH(DATE(EA$7-1,MAX('Mezz 2 Amortization'!$R$4,'Mezz 2 Amortization'!$S$4),31),'Mezz 2 Amortization'!$E$19:$E$379,0),MATCH('Mezz 2 Amortization'!$V$19,'Mezz 2 Amortization'!$B$19:$V$19,0)),IF(AND('Mezz 2 Amortization'!$T$4="Bi-Annual",EA$5&gt;MAX('Mezz 2 Amortization'!$R$4,'Mezz 2 Amortization'!$S$4)),INDEX('Mezz 2 Amortization'!$B$19:$V$379,MATCH(DATE(EA$7,MAX('Mezz 2 Amortization'!$R$4,'Mezz 2 Amortization'!$S$4),31),'Mezz 2 Amortization'!$E$19:$E$379,0),MATCH('Mezz 2 Amortization'!$V$19,'Mezz 2 Amortization'!$B$19:$V$19,0)),IF(AND('Mezz 2 Amortization'!$T$4="Bi-Annual",EA$5&gt;MIN('Mezz 2 Amortization'!$R$4,'Mezz 2 Amortization'!$S$4),EA$5&lt;MAX('Mezz 2 Amortization'!$R$4,'Mezz 2 Amortization'!$S$4)),INDEX('Mezz 2 Amortization'!$B$19:$V$379,MATCH(DATE(EA$7,MIN('Mezz 2 Amortization'!$R$4,'Mezz 2 Amortization'!$S$4),31),'Mezz 2 Amortization'!$E$19:$E$379,0),MATCH('Mezz 2 Amortization'!$V$19,'Mezz 2 Amortization'!$B$19:$V$19,0)),IF(AND('Mezz 2 Amortization'!$T$4="Bi-Annual",EA$5='Mezz 2 Amortization'!$R$4),INDEX('Mezz 2 Amortization'!$B$19:$V$379,MATCH(DATE(EA$7,'Mezz 2 Amortization'!$R$4,31),'Mezz 2 Amortization'!$E$19:$E$379,0),MATCH('Mezz 2 Amortization'!$V$19,'Mezz 2 Amortization'!$B$19:$V$19,0)),IF(AND('Mezz 2 Amortization'!$T$4="Bi-Annual",EA$5='Mezz 2 Amortization'!$S$4),INDEX('Mezz 2 Amortization'!$B$19:$V$379,MATCH(DATE(EA$7,'Mezz 2 Amortization'!$S$4,31),'Mezz 2 Amortization'!$E$19:$E$379,0),MATCH('Mezz 2 Amortization'!$V$19,'Mezz 2 Amortization'!$B$19:$V$19,0)))))))))))</f>
        <v>0</v>
      </c>
      <c r="EB147" s="427">
        <f>IF('Financing Assumptions'!$T$8="No",0,IF(EB$9&lt;'Financing Assumptions'!$S$26,0,IF(AND('Mezz 2 Amortization'!$T$4&lt;&gt;"Monthly",EB9&lt;='Financing Assumptions'!$S$26),0,IF('Mezz 2 Amortization'!$T$4="Monthly",INDEX('Mezz 2 Amortization'!$B$19:$V$379,MATCH(EB$11,'Mezz 2 Amortization'!$E$19:$E$379,0),MATCH('Mezz 2 Amortization'!$V$19,'Mezz 2 Amortization'!$B$19:$V$19,0)),IF(AND('Mezz 2 Amortization'!$T$4="Bi-Annual",EB$5&lt;MIN('Mezz 2 Amortization'!$R$4,'Mezz 2 Amortization'!$S$4)),INDEX('Mezz 2 Amortization'!$B$19:$V$379,MATCH(DATE(EB$7-1,MAX('Mezz 2 Amortization'!$R$4,'Mezz 2 Amortization'!$S$4),31),'Mezz 2 Amortization'!$E$19:$E$379,0),MATCH('Mezz 2 Amortization'!$V$19,'Mezz 2 Amortization'!$B$19:$V$19,0)),IF(AND('Mezz 2 Amortization'!$T$4="Bi-Annual",EB$5&gt;MAX('Mezz 2 Amortization'!$R$4,'Mezz 2 Amortization'!$S$4)),INDEX('Mezz 2 Amortization'!$B$19:$V$379,MATCH(DATE(EB$7,MAX('Mezz 2 Amortization'!$R$4,'Mezz 2 Amortization'!$S$4),31),'Mezz 2 Amortization'!$E$19:$E$379,0),MATCH('Mezz 2 Amortization'!$V$19,'Mezz 2 Amortization'!$B$19:$V$19,0)),IF(AND('Mezz 2 Amortization'!$T$4="Bi-Annual",EB$5&gt;MIN('Mezz 2 Amortization'!$R$4,'Mezz 2 Amortization'!$S$4),EB$5&lt;MAX('Mezz 2 Amortization'!$R$4,'Mezz 2 Amortization'!$S$4)),INDEX('Mezz 2 Amortization'!$B$19:$V$379,MATCH(DATE(EB$7,MIN('Mezz 2 Amortization'!$R$4,'Mezz 2 Amortization'!$S$4),31),'Mezz 2 Amortization'!$E$19:$E$379,0),MATCH('Mezz 2 Amortization'!$V$19,'Mezz 2 Amortization'!$B$19:$V$19,0)),IF(AND('Mezz 2 Amortization'!$T$4="Bi-Annual",EB$5='Mezz 2 Amortization'!$R$4),INDEX('Mezz 2 Amortization'!$B$19:$V$379,MATCH(DATE(EB$7,'Mezz 2 Amortization'!$R$4,31),'Mezz 2 Amortization'!$E$19:$E$379,0),MATCH('Mezz 2 Amortization'!$V$19,'Mezz 2 Amortization'!$B$19:$V$19,0)),IF(AND('Mezz 2 Amortization'!$T$4="Bi-Annual",EB$5='Mezz 2 Amortization'!$S$4),INDEX('Mezz 2 Amortization'!$B$19:$V$379,MATCH(DATE(EB$7,'Mezz 2 Amortization'!$S$4,31),'Mezz 2 Amortization'!$E$19:$E$379,0),MATCH('Mezz 2 Amortization'!$V$19,'Mezz 2 Amortization'!$B$19:$V$19,0)))))))))))</f>
        <v>0</v>
      </c>
      <c r="EC147" s="427">
        <f>IF('Financing Assumptions'!$T$8="No",0,IF(EC$9&lt;'Financing Assumptions'!$S$26,0,IF(AND('Mezz 2 Amortization'!$T$4&lt;&gt;"Monthly",EC9&lt;='Financing Assumptions'!$S$26),0,IF('Mezz 2 Amortization'!$T$4="Monthly",INDEX('Mezz 2 Amortization'!$B$19:$V$379,MATCH(EC$11,'Mezz 2 Amortization'!$E$19:$E$379,0),MATCH('Mezz 2 Amortization'!$V$19,'Mezz 2 Amortization'!$B$19:$V$19,0)),IF(AND('Mezz 2 Amortization'!$T$4="Bi-Annual",EC$5&lt;MIN('Mezz 2 Amortization'!$R$4,'Mezz 2 Amortization'!$S$4)),INDEX('Mezz 2 Amortization'!$B$19:$V$379,MATCH(DATE(EC$7-1,MAX('Mezz 2 Amortization'!$R$4,'Mezz 2 Amortization'!$S$4),31),'Mezz 2 Amortization'!$E$19:$E$379,0),MATCH('Mezz 2 Amortization'!$V$19,'Mezz 2 Amortization'!$B$19:$V$19,0)),IF(AND('Mezz 2 Amortization'!$T$4="Bi-Annual",EC$5&gt;MAX('Mezz 2 Amortization'!$R$4,'Mezz 2 Amortization'!$S$4)),INDEX('Mezz 2 Amortization'!$B$19:$V$379,MATCH(DATE(EC$7,MAX('Mezz 2 Amortization'!$R$4,'Mezz 2 Amortization'!$S$4),31),'Mezz 2 Amortization'!$E$19:$E$379,0),MATCH('Mezz 2 Amortization'!$V$19,'Mezz 2 Amortization'!$B$19:$V$19,0)),IF(AND('Mezz 2 Amortization'!$T$4="Bi-Annual",EC$5&gt;MIN('Mezz 2 Amortization'!$R$4,'Mezz 2 Amortization'!$S$4),EC$5&lt;MAX('Mezz 2 Amortization'!$R$4,'Mezz 2 Amortization'!$S$4)),INDEX('Mezz 2 Amortization'!$B$19:$V$379,MATCH(DATE(EC$7,MIN('Mezz 2 Amortization'!$R$4,'Mezz 2 Amortization'!$S$4),31),'Mezz 2 Amortization'!$E$19:$E$379,0),MATCH('Mezz 2 Amortization'!$V$19,'Mezz 2 Amortization'!$B$19:$V$19,0)),IF(AND('Mezz 2 Amortization'!$T$4="Bi-Annual",EC$5='Mezz 2 Amortization'!$R$4),INDEX('Mezz 2 Amortization'!$B$19:$V$379,MATCH(DATE(EC$7,'Mezz 2 Amortization'!$R$4,31),'Mezz 2 Amortization'!$E$19:$E$379,0),MATCH('Mezz 2 Amortization'!$V$19,'Mezz 2 Amortization'!$B$19:$V$19,0)),IF(AND('Mezz 2 Amortization'!$T$4="Bi-Annual",EC$5='Mezz 2 Amortization'!$S$4),INDEX('Mezz 2 Amortization'!$B$19:$V$379,MATCH(DATE(EC$7,'Mezz 2 Amortization'!$S$4,31),'Mezz 2 Amortization'!$E$19:$E$379,0),MATCH('Mezz 2 Amortization'!$V$19,'Mezz 2 Amortization'!$B$19:$V$19,0)))))))))))</f>
        <v>0</v>
      </c>
      <c r="ED147" s="427">
        <f>IF('Financing Assumptions'!$T$8="No",0,IF(ED$9&lt;'Financing Assumptions'!$S$26,0,IF(AND('Mezz 2 Amortization'!$T$4&lt;&gt;"Monthly",ED9&lt;='Financing Assumptions'!$S$26),0,IF('Mezz 2 Amortization'!$T$4="Monthly",INDEX('Mezz 2 Amortization'!$B$19:$V$379,MATCH(ED$11,'Mezz 2 Amortization'!$E$19:$E$379,0),MATCH('Mezz 2 Amortization'!$V$19,'Mezz 2 Amortization'!$B$19:$V$19,0)),IF(AND('Mezz 2 Amortization'!$T$4="Bi-Annual",ED$5&lt;MIN('Mezz 2 Amortization'!$R$4,'Mezz 2 Amortization'!$S$4)),INDEX('Mezz 2 Amortization'!$B$19:$V$379,MATCH(DATE(ED$7-1,MAX('Mezz 2 Amortization'!$R$4,'Mezz 2 Amortization'!$S$4),31),'Mezz 2 Amortization'!$E$19:$E$379,0),MATCH('Mezz 2 Amortization'!$V$19,'Mezz 2 Amortization'!$B$19:$V$19,0)),IF(AND('Mezz 2 Amortization'!$T$4="Bi-Annual",ED$5&gt;MAX('Mezz 2 Amortization'!$R$4,'Mezz 2 Amortization'!$S$4)),INDEX('Mezz 2 Amortization'!$B$19:$V$379,MATCH(DATE(ED$7,MAX('Mezz 2 Amortization'!$R$4,'Mezz 2 Amortization'!$S$4),31),'Mezz 2 Amortization'!$E$19:$E$379,0),MATCH('Mezz 2 Amortization'!$V$19,'Mezz 2 Amortization'!$B$19:$V$19,0)),IF(AND('Mezz 2 Amortization'!$T$4="Bi-Annual",ED$5&gt;MIN('Mezz 2 Amortization'!$R$4,'Mezz 2 Amortization'!$S$4),ED$5&lt;MAX('Mezz 2 Amortization'!$R$4,'Mezz 2 Amortization'!$S$4)),INDEX('Mezz 2 Amortization'!$B$19:$V$379,MATCH(DATE(ED$7,MIN('Mezz 2 Amortization'!$R$4,'Mezz 2 Amortization'!$S$4),31),'Mezz 2 Amortization'!$E$19:$E$379,0),MATCH('Mezz 2 Amortization'!$V$19,'Mezz 2 Amortization'!$B$19:$V$19,0)),IF(AND('Mezz 2 Amortization'!$T$4="Bi-Annual",ED$5='Mezz 2 Amortization'!$R$4),INDEX('Mezz 2 Amortization'!$B$19:$V$379,MATCH(DATE(ED$7,'Mezz 2 Amortization'!$R$4,31),'Mezz 2 Amortization'!$E$19:$E$379,0),MATCH('Mezz 2 Amortization'!$V$19,'Mezz 2 Amortization'!$B$19:$V$19,0)),IF(AND('Mezz 2 Amortization'!$T$4="Bi-Annual",ED$5='Mezz 2 Amortization'!$S$4),INDEX('Mezz 2 Amortization'!$B$19:$V$379,MATCH(DATE(ED$7,'Mezz 2 Amortization'!$S$4,31),'Mezz 2 Amortization'!$E$19:$E$379,0),MATCH('Mezz 2 Amortization'!$V$19,'Mezz 2 Amortization'!$B$19:$V$19,0)))))))))))</f>
        <v>0</v>
      </c>
      <c r="EE147" s="427">
        <f>IF('Financing Assumptions'!$T$8="No",0,IF(EE$9&lt;'Financing Assumptions'!$S$26,0,IF(AND('Mezz 2 Amortization'!$T$4&lt;&gt;"Monthly",EE9&lt;='Financing Assumptions'!$S$26),0,IF('Mezz 2 Amortization'!$T$4="Monthly",INDEX('Mezz 2 Amortization'!$B$19:$V$379,MATCH(EE$11,'Mezz 2 Amortization'!$E$19:$E$379,0),MATCH('Mezz 2 Amortization'!$V$19,'Mezz 2 Amortization'!$B$19:$V$19,0)),IF(AND('Mezz 2 Amortization'!$T$4="Bi-Annual",EE$5&lt;MIN('Mezz 2 Amortization'!$R$4,'Mezz 2 Amortization'!$S$4)),INDEX('Mezz 2 Amortization'!$B$19:$V$379,MATCH(DATE(EE$7-1,MAX('Mezz 2 Amortization'!$R$4,'Mezz 2 Amortization'!$S$4),31),'Mezz 2 Amortization'!$E$19:$E$379,0),MATCH('Mezz 2 Amortization'!$V$19,'Mezz 2 Amortization'!$B$19:$V$19,0)),IF(AND('Mezz 2 Amortization'!$T$4="Bi-Annual",EE$5&gt;MAX('Mezz 2 Amortization'!$R$4,'Mezz 2 Amortization'!$S$4)),INDEX('Mezz 2 Amortization'!$B$19:$V$379,MATCH(DATE(EE$7,MAX('Mezz 2 Amortization'!$R$4,'Mezz 2 Amortization'!$S$4),31),'Mezz 2 Amortization'!$E$19:$E$379,0),MATCH('Mezz 2 Amortization'!$V$19,'Mezz 2 Amortization'!$B$19:$V$19,0)),IF(AND('Mezz 2 Amortization'!$T$4="Bi-Annual",EE$5&gt;MIN('Mezz 2 Amortization'!$R$4,'Mezz 2 Amortization'!$S$4),EE$5&lt;MAX('Mezz 2 Amortization'!$R$4,'Mezz 2 Amortization'!$S$4)),INDEX('Mezz 2 Amortization'!$B$19:$V$379,MATCH(DATE(EE$7,MIN('Mezz 2 Amortization'!$R$4,'Mezz 2 Amortization'!$S$4),31),'Mezz 2 Amortization'!$E$19:$E$379,0),MATCH('Mezz 2 Amortization'!$V$19,'Mezz 2 Amortization'!$B$19:$V$19,0)),IF(AND('Mezz 2 Amortization'!$T$4="Bi-Annual",EE$5='Mezz 2 Amortization'!$R$4),INDEX('Mezz 2 Amortization'!$B$19:$V$379,MATCH(DATE(EE$7,'Mezz 2 Amortization'!$R$4,31),'Mezz 2 Amortization'!$E$19:$E$379,0),MATCH('Mezz 2 Amortization'!$V$19,'Mezz 2 Amortization'!$B$19:$V$19,0)),IF(AND('Mezz 2 Amortization'!$T$4="Bi-Annual",EE$5='Mezz 2 Amortization'!$S$4),INDEX('Mezz 2 Amortization'!$B$19:$V$379,MATCH(DATE(EE$7,'Mezz 2 Amortization'!$S$4,31),'Mezz 2 Amortization'!$E$19:$E$379,0),MATCH('Mezz 2 Amortization'!$V$19,'Mezz 2 Amortization'!$B$19:$V$19,0)))))))))))</f>
        <v>0</v>
      </c>
      <c r="EF147" s="427">
        <f>IF('Financing Assumptions'!$T$8="No",0,IF(EF$9&lt;'Financing Assumptions'!$S$26,0,IF(AND('Mezz 2 Amortization'!$T$4&lt;&gt;"Monthly",EF9&lt;='Financing Assumptions'!$S$26),0,IF('Mezz 2 Amortization'!$T$4="Monthly",INDEX('Mezz 2 Amortization'!$B$19:$V$379,MATCH(EF$11,'Mezz 2 Amortization'!$E$19:$E$379,0),MATCH('Mezz 2 Amortization'!$V$19,'Mezz 2 Amortization'!$B$19:$V$19,0)),IF(AND('Mezz 2 Amortization'!$T$4="Bi-Annual",EF$5&lt;MIN('Mezz 2 Amortization'!$R$4,'Mezz 2 Amortization'!$S$4)),INDEX('Mezz 2 Amortization'!$B$19:$V$379,MATCH(DATE(EF$7-1,MAX('Mezz 2 Amortization'!$R$4,'Mezz 2 Amortization'!$S$4),31),'Mezz 2 Amortization'!$E$19:$E$379,0),MATCH('Mezz 2 Amortization'!$V$19,'Mezz 2 Amortization'!$B$19:$V$19,0)),IF(AND('Mezz 2 Amortization'!$T$4="Bi-Annual",EF$5&gt;MAX('Mezz 2 Amortization'!$R$4,'Mezz 2 Amortization'!$S$4)),INDEX('Mezz 2 Amortization'!$B$19:$V$379,MATCH(DATE(EF$7,MAX('Mezz 2 Amortization'!$R$4,'Mezz 2 Amortization'!$S$4),31),'Mezz 2 Amortization'!$E$19:$E$379,0),MATCH('Mezz 2 Amortization'!$V$19,'Mezz 2 Amortization'!$B$19:$V$19,0)),IF(AND('Mezz 2 Amortization'!$T$4="Bi-Annual",EF$5&gt;MIN('Mezz 2 Amortization'!$R$4,'Mezz 2 Amortization'!$S$4),EF$5&lt;MAX('Mezz 2 Amortization'!$R$4,'Mezz 2 Amortization'!$S$4)),INDEX('Mezz 2 Amortization'!$B$19:$V$379,MATCH(DATE(EF$7,MIN('Mezz 2 Amortization'!$R$4,'Mezz 2 Amortization'!$S$4),31),'Mezz 2 Amortization'!$E$19:$E$379,0),MATCH('Mezz 2 Amortization'!$V$19,'Mezz 2 Amortization'!$B$19:$V$19,0)),IF(AND('Mezz 2 Amortization'!$T$4="Bi-Annual",EF$5='Mezz 2 Amortization'!$R$4),INDEX('Mezz 2 Amortization'!$B$19:$V$379,MATCH(DATE(EF$7,'Mezz 2 Amortization'!$R$4,31),'Mezz 2 Amortization'!$E$19:$E$379,0),MATCH('Mezz 2 Amortization'!$V$19,'Mezz 2 Amortization'!$B$19:$V$19,0)),IF(AND('Mezz 2 Amortization'!$T$4="Bi-Annual",EF$5='Mezz 2 Amortization'!$S$4),INDEX('Mezz 2 Amortization'!$B$19:$V$379,MATCH(DATE(EF$7,'Mezz 2 Amortization'!$S$4,31),'Mezz 2 Amortization'!$E$19:$E$379,0),MATCH('Mezz 2 Amortization'!$V$19,'Mezz 2 Amortization'!$B$19:$V$19,0)))))))))))</f>
        <v>0</v>
      </c>
      <c r="EG147" s="427">
        <f>IF('Financing Assumptions'!$T$8="No",0,IF(EG$9&lt;'Financing Assumptions'!$S$26,0,IF(AND('Mezz 2 Amortization'!$T$4&lt;&gt;"Monthly",EG9&lt;='Financing Assumptions'!$S$26),0,IF('Mezz 2 Amortization'!$T$4="Monthly",INDEX('Mezz 2 Amortization'!$B$19:$V$379,MATCH(EG$11,'Mezz 2 Amortization'!$E$19:$E$379,0),MATCH('Mezz 2 Amortization'!$V$19,'Mezz 2 Amortization'!$B$19:$V$19,0)),IF(AND('Mezz 2 Amortization'!$T$4="Bi-Annual",EG$5&lt;MIN('Mezz 2 Amortization'!$R$4,'Mezz 2 Amortization'!$S$4)),INDEX('Mezz 2 Amortization'!$B$19:$V$379,MATCH(DATE(EG$7-1,MAX('Mezz 2 Amortization'!$R$4,'Mezz 2 Amortization'!$S$4),31),'Mezz 2 Amortization'!$E$19:$E$379,0),MATCH('Mezz 2 Amortization'!$V$19,'Mezz 2 Amortization'!$B$19:$V$19,0)),IF(AND('Mezz 2 Amortization'!$T$4="Bi-Annual",EG$5&gt;MAX('Mezz 2 Amortization'!$R$4,'Mezz 2 Amortization'!$S$4)),INDEX('Mezz 2 Amortization'!$B$19:$V$379,MATCH(DATE(EG$7,MAX('Mezz 2 Amortization'!$R$4,'Mezz 2 Amortization'!$S$4),31),'Mezz 2 Amortization'!$E$19:$E$379,0),MATCH('Mezz 2 Amortization'!$V$19,'Mezz 2 Amortization'!$B$19:$V$19,0)),IF(AND('Mezz 2 Amortization'!$T$4="Bi-Annual",EG$5&gt;MIN('Mezz 2 Amortization'!$R$4,'Mezz 2 Amortization'!$S$4),EG$5&lt;MAX('Mezz 2 Amortization'!$R$4,'Mezz 2 Amortization'!$S$4)),INDEX('Mezz 2 Amortization'!$B$19:$V$379,MATCH(DATE(EG$7,MIN('Mezz 2 Amortization'!$R$4,'Mezz 2 Amortization'!$S$4),31),'Mezz 2 Amortization'!$E$19:$E$379,0),MATCH('Mezz 2 Amortization'!$V$19,'Mezz 2 Amortization'!$B$19:$V$19,0)),IF(AND('Mezz 2 Amortization'!$T$4="Bi-Annual",EG$5='Mezz 2 Amortization'!$R$4),INDEX('Mezz 2 Amortization'!$B$19:$V$379,MATCH(DATE(EG$7,'Mezz 2 Amortization'!$R$4,31),'Mezz 2 Amortization'!$E$19:$E$379,0),MATCH('Mezz 2 Amortization'!$V$19,'Mezz 2 Amortization'!$B$19:$V$19,0)),IF(AND('Mezz 2 Amortization'!$T$4="Bi-Annual",EG$5='Mezz 2 Amortization'!$S$4),INDEX('Mezz 2 Amortization'!$B$19:$V$379,MATCH(DATE(EG$7,'Mezz 2 Amortization'!$S$4,31),'Mezz 2 Amortization'!$E$19:$E$379,0),MATCH('Mezz 2 Amortization'!$V$19,'Mezz 2 Amortization'!$B$19:$V$19,0)))))))))))</f>
        <v>0</v>
      </c>
      <c r="EH147" s="427">
        <f>IF('Financing Assumptions'!$T$8="No",0,IF(EH$9&lt;'Financing Assumptions'!$S$26,0,IF(AND('Mezz 2 Amortization'!$T$4&lt;&gt;"Monthly",EH9&lt;='Financing Assumptions'!$S$26),0,IF('Mezz 2 Amortization'!$T$4="Monthly",INDEX('Mezz 2 Amortization'!$B$19:$V$379,MATCH(EH$11,'Mezz 2 Amortization'!$E$19:$E$379,0),MATCH('Mezz 2 Amortization'!$V$19,'Mezz 2 Amortization'!$B$19:$V$19,0)),IF(AND('Mezz 2 Amortization'!$T$4="Bi-Annual",EH$5&lt;MIN('Mezz 2 Amortization'!$R$4,'Mezz 2 Amortization'!$S$4)),INDEX('Mezz 2 Amortization'!$B$19:$V$379,MATCH(DATE(EH$7-1,MAX('Mezz 2 Amortization'!$R$4,'Mezz 2 Amortization'!$S$4),31),'Mezz 2 Amortization'!$E$19:$E$379,0),MATCH('Mezz 2 Amortization'!$V$19,'Mezz 2 Amortization'!$B$19:$V$19,0)),IF(AND('Mezz 2 Amortization'!$T$4="Bi-Annual",EH$5&gt;MAX('Mezz 2 Amortization'!$R$4,'Mezz 2 Amortization'!$S$4)),INDEX('Mezz 2 Amortization'!$B$19:$V$379,MATCH(DATE(EH$7,MAX('Mezz 2 Amortization'!$R$4,'Mezz 2 Amortization'!$S$4),31),'Mezz 2 Amortization'!$E$19:$E$379,0),MATCH('Mezz 2 Amortization'!$V$19,'Mezz 2 Amortization'!$B$19:$V$19,0)),IF(AND('Mezz 2 Amortization'!$T$4="Bi-Annual",EH$5&gt;MIN('Mezz 2 Amortization'!$R$4,'Mezz 2 Amortization'!$S$4),EH$5&lt;MAX('Mezz 2 Amortization'!$R$4,'Mezz 2 Amortization'!$S$4)),INDEX('Mezz 2 Amortization'!$B$19:$V$379,MATCH(DATE(EH$7,MIN('Mezz 2 Amortization'!$R$4,'Mezz 2 Amortization'!$S$4),31),'Mezz 2 Amortization'!$E$19:$E$379,0),MATCH('Mezz 2 Amortization'!$V$19,'Mezz 2 Amortization'!$B$19:$V$19,0)),IF(AND('Mezz 2 Amortization'!$T$4="Bi-Annual",EH$5='Mezz 2 Amortization'!$R$4),INDEX('Mezz 2 Amortization'!$B$19:$V$379,MATCH(DATE(EH$7,'Mezz 2 Amortization'!$R$4,31),'Mezz 2 Amortization'!$E$19:$E$379,0),MATCH('Mezz 2 Amortization'!$V$19,'Mezz 2 Amortization'!$B$19:$V$19,0)),IF(AND('Mezz 2 Amortization'!$T$4="Bi-Annual",EH$5='Mezz 2 Amortization'!$S$4),INDEX('Mezz 2 Amortization'!$B$19:$V$379,MATCH(DATE(EH$7,'Mezz 2 Amortization'!$S$4,31),'Mezz 2 Amortization'!$E$19:$E$379,0),MATCH('Mezz 2 Amortization'!$V$19,'Mezz 2 Amortization'!$B$19:$V$19,0)))))))))))</f>
        <v>0</v>
      </c>
      <c r="EI147" s="427">
        <f>IF('Financing Assumptions'!$T$8="No",0,IF(EI$9&lt;'Financing Assumptions'!$S$26,0,IF(AND('Mezz 2 Amortization'!$T$4&lt;&gt;"Monthly",EI9&lt;='Financing Assumptions'!$S$26),0,IF('Mezz 2 Amortization'!$T$4="Monthly",INDEX('Mezz 2 Amortization'!$B$19:$V$379,MATCH(EI$11,'Mezz 2 Amortization'!$E$19:$E$379,0),MATCH('Mezz 2 Amortization'!$V$19,'Mezz 2 Amortization'!$B$19:$V$19,0)),IF(AND('Mezz 2 Amortization'!$T$4="Bi-Annual",EI$5&lt;MIN('Mezz 2 Amortization'!$R$4,'Mezz 2 Amortization'!$S$4)),INDEX('Mezz 2 Amortization'!$B$19:$V$379,MATCH(DATE(EI$7-1,MAX('Mezz 2 Amortization'!$R$4,'Mezz 2 Amortization'!$S$4),31),'Mezz 2 Amortization'!$E$19:$E$379,0),MATCH('Mezz 2 Amortization'!$V$19,'Mezz 2 Amortization'!$B$19:$V$19,0)),IF(AND('Mezz 2 Amortization'!$T$4="Bi-Annual",EI$5&gt;MAX('Mezz 2 Amortization'!$R$4,'Mezz 2 Amortization'!$S$4)),INDEX('Mezz 2 Amortization'!$B$19:$V$379,MATCH(DATE(EI$7,MAX('Mezz 2 Amortization'!$R$4,'Mezz 2 Amortization'!$S$4),31),'Mezz 2 Amortization'!$E$19:$E$379,0),MATCH('Mezz 2 Amortization'!$V$19,'Mezz 2 Amortization'!$B$19:$V$19,0)),IF(AND('Mezz 2 Amortization'!$T$4="Bi-Annual",EI$5&gt;MIN('Mezz 2 Amortization'!$R$4,'Mezz 2 Amortization'!$S$4),EI$5&lt;MAX('Mezz 2 Amortization'!$R$4,'Mezz 2 Amortization'!$S$4)),INDEX('Mezz 2 Amortization'!$B$19:$V$379,MATCH(DATE(EI$7,MIN('Mezz 2 Amortization'!$R$4,'Mezz 2 Amortization'!$S$4),31),'Mezz 2 Amortization'!$E$19:$E$379,0),MATCH('Mezz 2 Amortization'!$V$19,'Mezz 2 Amortization'!$B$19:$V$19,0)),IF(AND('Mezz 2 Amortization'!$T$4="Bi-Annual",EI$5='Mezz 2 Amortization'!$R$4),INDEX('Mezz 2 Amortization'!$B$19:$V$379,MATCH(DATE(EI$7,'Mezz 2 Amortization'!$R$4,31),'Mezz 2 Amortization'!$E$19:$E$379,0),MATCH('Mezz 2 Amortization'!$V$19,'Mezz 2 Amortization'!$B$19:$V$19,0)),IF(AND('Mezz 2 Amortization'!$T$4="Bi-Annual",EI$5='Mezz 2 Amortization'!$S$4),INDEX('Mezz 2 Amortization'!$B$19:$V$379,MATCH(DATE(EI$7,'Mezz 2 Amortization'!$S$4,31),'Mezz 2 Amortization'!$E$19:$E$379,0),MATCH('Mezz 2 Amortization'!$V$19,'Mezz 2 Amortization'!$B$19:$V$19,0)))))))))))</f>
        <v>0</v>
      </c>
      <c r="EJ147" s="427">
        <f>IF('Financing Assumptions'!$T$8="No",0,IF(EJ$9&lt;'Financing Assumptions'!$S$26,0,IF(AND('Mezz 2 Amortization'!$T$4&lt;&gt;"Monthly",EJ9&lt;='Financing Assumptions'!$S$26),0,IF('Mezz 2 Amortization'!$T$4="Monthly",INDEX('Mezz 2 Amortization'!$B$19:$V$379,MATCH(EJ$11,'Mezz 2 Amortization'!$E$19:$E$379,0),MATCH('Mezz 2 Amortization'!$V$19,'Mezz 2 Amortization'!$B$19:$V$19,0)),IF(AND('Mezz 2 Amortization'!$T$4="Bi-Annual",EJ$5&lt;MIN('Mezz 2 Amortization'!$R$4,'Mezz 2 Amortization'!$S$4)),INDEX('Mezz 2 Amortization'!$B$19:$V$379,MATCH(DATE(EJ$7-1,MAX('Mezz 2 Amortization'!$R$4,'Mezz 2 Amortization'!$S$4),31),'Mezz 2 Amortization'!$E$19:$E$379,0),MATCH('Mezz 2 Amortization'!$V$19,'Mezz 2 Amortization'!$B$19:$V$19,0)),IF(AND('Mezz 2 Amortization'!$T$4="Bi-Annual",EJ$5&gt;MAX('Mezz 2 Amortization'!$R$4,'Mezz 2 Amortization'!$S$4)),INDEX('Mezz 2 Amortization'!$B$19:$V$379,MATCH(DATE(EJ$7,MAX('Mezz 2 Amortization'!$R$4,'Mezz 2 Amortization'!$S$4),31),'Mezz 2 Amortization'!$E$19:$E$379,0),MATCH('Mezz 2 Amortization'!$V$19,'Mezz 2 Amortization'!$B$19:$V$19,0)),IF(AND('Mezz 2 Amortization'!$T$4="Bi-Annual",EJ$5&gt;MIN('Mezz 2 Amortization'!$R$4,'Mezz 2 Amortization'!$S$4),EJ$5&lt;MAX('Mezz 2 Amortization'!$R$4,'Mezz 2 Amortization'!$S$4)),INDEX('Mezz 2 Amortization'!$B$19:$V$379,MATCH(DATE(EJ$7,MIN('Mezz 2 Amortization'!$R$4,'Mezz 2 Amortization'!$S$4),31),'Mezz 2 Amortization'!$E$19:$E$379,0),MATCH('Mezz 2 Amortization'!$V$19,'Mezz 2 Amortization'!$B$19:$V$19,0)),IF(AND('Mezz 2 Amortization'!$T$4="Bi-Annual",EJ$5='Mezz 2 Amortization'!$R$4),INDEX('Mezz 2 Amortization'!$B$19:$V$379,MATCH(DATE(EJ$7,'Mezz 2 Amortization'!$R$4,31),'Mezz 2 Amortization'!$E$19:$E$379,0),MATCH('Mezz 2 Amortization'!$V$19,'Mezz 2 Amortization'!$B$19:$V$19,0)),IF(AND('Mezz 2 Amortization'!$T$4="Bi-Annual",EJ$5='Mezz 2 Amortization'!$S$4),INDEX('Mezz 2 Amortization'!$B$19:$V$379,MATCH(DATE(EJ$7,'Mezz 2 Amortization'!$S$4,31),'Mezz 2 Amortization'!$E$19:$E$379,0),MATCH('Mezz 2 Amortization'!$V$19,'Mezz 2 Amortization'!$B$19:$V$19,0)))))))))))</f>
        <v>0</v>
      </c>
      <c r="EK147" s="427">
        <f>IF('Financing Assumptions'!$T$8="No",0,IF(EK$9&lt;'Financing Assumptions'!$S$26,0,IF(AND('Mezz 2 Amortization'!$T$4&lt;&gt;"Monthly",EK9&lt;='Financing Assumptions'!$S$26),0,IF('Mezz 2 Amortization'!$T$4="Monthly",INDEX('Mezz 2 Amortization'!$B$19:$V$379,MATCH(EK$11,'Mezz 2 Amortization'!$E$19:$E$379,0),MATCH('Mezz 2 Amortization'!$V$19,'Mezz 2 Amortization'!$B$19:$V$19,0)),IF(AND('Mezz 2 Amortization'!$T$4="Bi-Annual",EK$5&lt;MIN('Mezz 2 Amortization'!$R$4,'Mezz 2 Amortization'!$S$4)),INDEX('Mezz 2 Amortization'!$B$19:$V$379,MATCH(DATE(EK$7-1,MAX('Mezz 2 Amortization'!$R$4,'Mezz 2 Amortization'!$S$4),31),'Mezz 2 Amortization'!$E$19:$E$379,0),MATCH('Mezz 2 Amortization'!$V$19,'Mezz 2 Amortization'!$B$19:$V$19,0)),IF(AND('Mezz 2 Amortization'!$T$4="Bi-Annual",EK$5&gt;MAX('Mezz 2 Amortization'!$R$4,'Mezz 2 Amortization'!$S$4)),INDEX('Mezz 2 Amortization'!$B$19:$V$379,MATCH(DATE(EK$7,MAX('Mezz 2 Amortization'!$R$4,'Mezz 2 Amortization'!$S$4),31),'Mezz 2 Amortization'!$E$19:$E$379,0),MATCH('Mezz 2 Amortization'!$V$19,'Mezz 2 Amortization'!$B$19:$V$19,0)),IF(AND('Mezz 2 Amortization'!$T$4="Bi-Annual",EK$5&gt;MIN('Mezz 2 Amortization'!$R$4,'Mezz 2 Amortization'!$S$4),EK$5&lt;MAX('Mezz 2 Amortization'!$R$4,'Mezz 2 Amortization'!$S$4)),INDEX('Mezz 2 Amortization'!$B$19:$V$379,MATCH(DATE(EK$7,MIN('Mezz 2 Amortization'!$R$4,'Mezz 2 Amortization'!$S$4),31),'Mezz 2 Amortization'!$E$19:$E$379,0),MATCH('Mezz 2 Amortization'!$V$19,'Mezz 2 Amortization'!$B$19:$V$19,0)),IF(AND('Mezz 2 Amortization'!$T$4="Bi-Annual",EK$5='Mezz 2 Amortization'!$R$4),INDEX('Mezz 2 Amortization'!$B$19:$V$379,MATCH(DATE(EK$7,'Mezz 2 Amortization'!$R$4,31),'Mezz 2 Amortization'!$E$19:$E$379,0),MATCH('Mezz 2 Amortization'!$V$19,'Mezz 2 Amortization'!$B$19:$V$19,0)),IF(AND('Mezz 2 Amortization'!$T$4="Bi-Annual",EK$5='Mezz 2 Amortization'!$S$4),INDEX('Mezz 2 Amortization'!$B$19:$V$379,MATCH(DATE(EK$7,'Mezz 2 Amortization'!$S$4,31),'Mezz 2 Amortization'!$E$19:$E$379,0),MATCH('Mezz 2 Amortization'!$V$19,'Mezz 2 Amortization'!$B$19:$V$19,0)))))))))))</f>
        <v>0</v>
      </c>
      <c r="EL147" s="427">
        <f>IF('Financing Assumptions'!$T$8="No",0,IF(EL$9&lt;'Financing Assumptions'!$S$26,0,IF(AND('Mezz 2 Amortization'!$T$4&lt;&gt;"Monthly",EL9&lt;='Financing Assumptions'!$S$26),0,IF('Mezz 2 Amortization'!$T$4="Monthly",INDEX('Mezz 2 Amortization'!$B$19:$V$379,MATCH(EL$11,'Mezz 2 Amortization'!$E$19:$E$379,0),MATCH('Mezz 2 Amortization'!$V$19,'Mezz 2 Amortization'!$B$19:$V$19,0)),IF(AND('Mezz 2 Amortization'!$T$4="Bi-Annual",EL$5&lt;MIN('Mezz 2 Amortization'!$R$4,'Mezz 2 Amortization'!$S$4)),INDEX('Mezz 2 Amortization'!$B$19:$V$379,MATCH(DATE(EL$7-1,MAX('Mezz 2 Amortization'!$R$4,'Mezz 2 Amortization'!$S$4),31),'Mezz 2 Amortization'!$E$19:$E$379,0),MATCH('Mezz 2 Amortization'!$V$19,'Mezz 2 Amortization'!$B$19:$V$19,0)),IF(AND('Mezz 2 Amortization'!$T$4="Bi-Annual",EL$5&gt;MAX('Mezz 2 Amortization'!$R$4,'Mezz 2 Amortization'!$S$4)),INDEX('Mezz 2 Amortization'!$B$19:$V$379,MATCH(DATE(EL$7,MAX('Mezz 2 Amortization'!$R$4,'Mezz 2 Amortization'!$S$4),31),'Mezz 2 Amortization'!$E$19:$E$379,0),MATCH('Mezz 2 Amortization'!$V$19,'Mezz 2 Amortization'!$B$19:$V$19,0)),IF(AND('Mezz 2 Amortization'!$T$4="Bi-Annual",EL$5&gt;MIN('Mezz 2 Amortization'!$R$4,'Mezz 2 Amortization'!$S$4),EL$5&lt;MAX('Mezz 2 Amortization'!$R$4,'Mezz 2 Amortization'!$S$4)),INDEX('Mezz 2 Amortization'!$B$19:$V$379,MATCH(DATE(EL$7,MIN('Mezz 2 Amortization'!$R$4,'Mezz 2 Amortization'!$S$4),31),'Mezz 2 Amortization'!$E$19:$E$379,0),MATCH('Mezz 2 Amortization'!$V$19,'Mezz 2 Amortization'!$B$19:$V$19,0)),IF(AND('Mezz 2 Amortization'!$T$4="Bi-Annual",EL$5='Mezz 2 Amortization'!$R$4),INDEX('Mezz 2 Amortization'!$B$19:$V$379,MATCH(DATE(EL$7,'Mezz 2 Amortization'!$R$4,31),'Mezz 2 Amortization'!$E$19:$E$379,0),MATCH('Mezz 2 Amortization'!$V$19,'Mezz 2 Amortization'!$B$19:$V$19,0)),IF(AND('Mezz 2 Amortization'!$T$4="Bi-Annual",EL$5='Mezz 2 Amortization'!$S$4),INDEX('Mezz 2 Amortization'!$B$19:$V$379,MATCH(DATE(EL$7,'Mezz 2 Amortization'!$S$4,31),'Mezz 2 Amortization'!$E$19:$E$379,0),MATCH('Mezz 2 Amortization'!$V$19,'Mezz 2 Amortization'!$B$19:$V$19,0)))))))))))</f>
        <v>0</v>
      </c>
      <c r="EM147" s="427">
        <f>IF('Financing Assumptions'!$T$8="No",0,IF(EM$9&lt;'Financing Assumptions'!$S$26,0,IF(AND('Mezz 2 Amortization'!$T$4&lt;&gt;"Monthly",EM9&lt;='Financing Assumptions'!$S$26),0,IF('Mezz 2 Amortization'!$T$4="Monthly",INDEX('Mezz 2 Amortization'!$B$19:$V$379,MATCH(EM$11,'Mezz 2 Amortization'!$E$19:$E$379,0),MATCH('Mezz 2 Amortization'!$V$19,'Mezz 2 Amortization'!$B$19:$V$19,0)),IF(AND('Mezz 2 Amortization'!$T$4="Bi-Annual",EM$5&lt;MIN('Mezz 2 Amortization'!$R$4,'Mezz 2 Amortization'!$S$4)),INDEX('Mezz 2 Amortization'!$B$19:$V$379,MATCH(DATE(EM$7-1,MAX('Mezz 2 Amortization'!$R$4,'Mezz 2 Amortization'!$S$4),31),'Mezz 2 Amortization'!$E$19:$E$379,0),MATCH('Mezz 2 Amortization'!$V$19,'Mezz 2 Amortization'!$B$19:$V$19,0)),IF(AND('Mezz 2 Amortization'!$T$4="Bi-Annual",EM$5&gt;MAX('Mezz 2 Amortization'!$R$4,'Mezz 2 Amortization'!$S$4)),INDEX('Mezz 2 Amortization'!$B$19:$V$379,MATCH(DATE(EM$7,MAX('Mezz 2 Amortization'!$R$4,'Mezz 2 Amortization'!$S$4),31),'Mezz 2 Amortization'!$E$19:$E$379,0),MATCH('Mezz 2 Amortization'!$V$19,'Mezz 2 Amortization'!$B$19:$V$19,0)),IF(AND('Mezz 2 Amortization'!$T$4="Bi-Annual",EM$5&gt;MIN('Mezz 2 Amortization'!$R$4,'Mezz 2 Amortization'!$S$4),EM$5&lt;MAX('Mezz 2 Amortization'!$R$4,'Mezz 2 Amortization'!$S$4)),INDEX('Mezz 2 Amortization'!$B$19:$V$379,MATCH(DATE(EM$7,MIN('Mezz 2 Amortization'!$R$4,'Mezz 2 Amortization'!$S$4),31),'Mezz 2 Amortization'!$E$19:$E$379,0),MATCH('Mezz 2 Amortization'!$V$19,'Mezz 2 Amortization'!$B$19:$V$19,0)),IF(AND('Mezz 2 Amortization'!$T$4="Bi-Annual",EM$5='Mezz 2 Amortization'!$R$4),INDEX('Mezz 2 Amortization'!$B$19:$V$379,MATCH(DATE(EM$7,'Mezz 2 Amortization'!$R$4,31),'Mezz 2 Amortization'!$E$19:$E$379,0),MATCH('Mezz 2 Amortization'!$V$19,'Mezz 2 Amortization'!$B$19:$V$19,0)),IF(AND('Mezz 2 Amortization'!$T$4="Bi-Annual",EM$5='Mezz 2 Amortization'!$S$4),INDEX('Mezz 2 Amortization'!$B$19:$V$379,MATCH(DATE(EM$7,'Mezz 2 Amortization'!$S$4,31),'Mezz 2 Amortization'!$E$19:$E$379,0),MATCH('Mezz 2 Amortization'!$V$19,'Mezz 2 Amortization'!$B$19:$V$19,0)))))))))))</f>
        <v>0</v>
      </c>
      <c r="EN147" s="427">
        <f>IF('Financing Assumptions'!$T$8="No",0,IF(EN$9&lt;'Financing Assumptions'!$S$26,0,IF(AND('Mezz 2 Amortization'!$T$4&lt;&gt;"Monthly",EN9&lt;='Financing Assumptions'!$S$26),0,IF('Mezz 2 Amortization'!$T$4="Monthly",INDEX('Mezz 2 Amortization'!$B$19:$V$379,MATCH(EN$11,'Mezz 2 Amortization'!$E$19:$E$379,0),MATCH('Mezz 2 Amortization'!$V$19,'Mezz 2 Amortization'!$B$19:$V$19,0)),IF(AND('Mezz 2 Amortization'!$T$4="Bi-Annual",EN$5&lt;MIN('Mezz 2 Amortization'!$R$4,'Mezz 2 Amortization'!$S$4)),INDEX('Mezz 2 Amortization'!$B$19:$V$379,MATCH(DATE(EN$7-1,MAX('Mezz 2 Amortization'!$R$4,'Mezz 2 Amortization'!$S$4),31),'Mezz 2 Amortization'!$E$19:$E$379,0),MATCH('Mezz 2 Amortization'!$V$19,'Mezz 2 Amortization'!$B$19:$V$19,0)),IF(AND('Mezz 2 Amortization'!$T$4="Bi-Annual",EN$5&gt;MAX('Mezz 2 Amortization'!$R$4,'Mezz 2 Amortization'!$S$4)),INDEX('Mezz 2 Amortization'!$B$19:$V$379,MATCH(DATE(EN$7,MAX('Mezz 2 Amortization'!$R$4,'Mezz 2 Amortization'!$S$4),31),'Mezz 2 Amortization'!$E$19:$E$379,0),MATCH('Mezz 2 Amortization'!$V$19,'Mezz 2 Amortization'!$B$19:$V$19,0)),IF(AND('Mezz 2 Amortization'!$T$4="Bi-Annual",EN$5&gt;MIN('Mezz 2 Amortization'!$R$4,'Mezz 2 Amortization'!$S$4),EN$5&lt;MAX('Mezz 2 Amortization'!$R$4,'Mezz 2 Amortization'!$S$4)),INDEX('Mezz 2 Amortization'!$B$19:$V$379,MATCH(DATE(EN$7,MIN('Mezz 2 Amortization'!$R$4,'Mezz 2 Amortization'!$S$4),31),'Mezz 2 Amortization'!$E$19:$E$379,0),MATCH('Mezz 2 Amortization'!$V$19,'Mezz 2 Amortization'!$B$19:$V$19,0)),IF(AND('Mezz 2 Amortization'!$T$4="Bi-Annual",EN$5='Mezz 2 Amortization'!$R$4),INDEX('Mezz 2 Amortization'!$B$19:$V$379,MATCH(DATE(EN$7,'Mezz 2 Amortization'!$R$4,31),'Mezz 2 Amortization'!$E$19:$E$379,0),MATCH('Mezz 2 Amortization'!$V$19,'Mezz 2 Amortization'!$B$19:$V$19,0)),IF(AND('Mezz 2 Amortization'!$T$4="Bi-Annual",EN$5='Mezz 2 Amortization'!$S$4),INDEX('Mezz 2 Amortization'!$B$19:$V$379,MATCH(DATE(EN$7,'Mezz 2 Amortization'!$S$4,31),'Mezz 2 Amortization'!$E$19:$E$379,0),MATCH('Mezz 2 Amortization'!$V$19,'Mezz 2 Amortization'!$B$19:$V$19,0)))))))))))</f>
        <v>0</v>
      </c>
      <c r="EO147" s="427">
        <f>IF('Financing Assumptions'!$T$8="No",0,IF(EO$9&lt;'Financing Assumptions'!$S$26,0,IF(AND('Mezz 2 Amortization'!$T$4&lt;&gt;"Monthly",EO9&lt;='Financing Assumptions'!$S$26),0,IF('Mezz 2 Amortization'!$T$4="Monthly",INDEX('Mezz 2 Amortization'!$B$19:$V$379,MATCH(EO$11,'Mezz 2 Amortization'!$E$19:$E$379,0),MATCH('Mezz 2 Amortization'!$V$19,'Mezz 2 Amortization'!$B$19:$V$19,0)),IF(AND('Mezz 2 Amortization'!$T$4="Bi-Annual",EO$5&lt;MIN('Mezz 2 Amortization'!$R$4,'Mezz 2 Amortization'!$S$4)),INDEX('Mezz 2 Amortization'!$B$19:$V$379,MATCH(DATE(EO$7-1,MAX('Mezz 2 Amortization'!$R$4,'Mezz 2 Amortization'!$S$4),31),'Mezz 2 Amortization'!$E$19:$E$379,0),MATCH('Mezz 2 Amortization'!$V$19,'Mezz 2 Amortization'!$B$19:$V$19,0)),IF(AND('Mezz 2 Amortization'!$T$4="Bi-Annual",EO$5&gt;MAX('Mezz 2 Amortization'!$R$4,'Mezz 2 Amortization'!$S$4)),INDEX('Mezz 2 Amortization'!$B$19:$V$379,MATCH(DATE(EO$7,MAX('Mezz 2 Amortization'!$R$4,'Mezz 2 Amortization'!$S$4),31),'Mezz 2 Amortization'!$E$19:$E$379,0),MATCH('Mezz 2 Amortization'!$V$19,'Mezz 2 Amortization'!$B$19:$V$19,0)),IF(AND('Mezz 2 Amortization'!$T$4="Bi-Annual",EO$5&gt;MIN('Mezz 2 Amortization'!$R$4,'Mezz 2 Amortization'!$S$4),EO$5&lt;MAX('Mezz 2 Amortization'!$R$4,'Mezz 2 Amortization'!$S$4)),INDEX('Mezz 2 Amortization'!$B$19:$V$379,MATCH(DATE(EO$7,MIN('Mezz 2 Amortization'!$R$4,'Mezz 2 Amortization'!$S$4),31),'Mezz 2 Amortization'!$E$19:$E$379,0),MATCH('Mezz 2 Amortization'!$V$19,'Mezz 2 Amortization'!$B$19:$V$19,0)),IF(AND('Mezz 2 Amortization'!$T$4="Bi-Annual",EO$5='Mezz 2 Amortization'!$R$4),INDEX('Mezz 2 Amortization'!$B$19:$V$379,MATCH(DATE(EO$7,'Mezz 2 Amortization'!$R$4,31),'Mezz 2 Amortization'!$E$19:$E$379,0),MATCH('Mezz 2 Amortization'!$V$19,'Mezz 2 Amortization'!$B$19:$V$19,0)),IF(AND('Mezz 2 Amortization'!$T$4="Bi-Annual",EO$5='Mezz 2 Amortization'!$S$4),INDEX('Mezz 2 Amortization'!$B$19:$V$379,MATCH(DATE(EO$7,'Mezz 2 Amortization'!$S$4,31),'Mezz 2 Amortization'!$E$19:$E$379,0),MATCH('Mezz 2 Amortization'!$V$19,'Mezz 2 Amortization'!$B$19:$V$19,0)))))))))))</f>
        <v>0</v>
      </c>
      <c r="EP147" s="427">
        <f>IF('Financing Assumptions'!$T$8="No",0,IF(EP$9&lt;'Financing Assumptions'!$S$26,0,IF(AND('Mezz 2 Amortization'!$T$4&lt;&gt;"Monthly",EP9&lt;='Financing Assumptions'!$S$26),0,IF('Mezz 2 Amortization'!$T$4="Monthly",INDEX('Mezz 2 Amortization'!$B$19:$V$379,MATCH(EP$11,'Mezz 2 Amortization'!$E$19:$E$379,0),MATCH('Mezz 2 Amortization'!$V$19,'Mezz 2 Amortization'!$B$19:$V$19,0)),IF(AND('Mezz 2 Amortization'!$T$4="Bi-Annual",EP$5&lt;MIN('Mezz 2 Amortization'!$R$4,'Mezz 2 Amortization'!$S$4)),INDEX('Mezz 2 Amortization'!$B$19:$V$379,MATCH(DATE(EP$7-1,MAX('Mezz 2 Amortization'!$R$4,'Mezz 2 Amortization'!$S$4),31),'Mezz 2 Amortization'!$E$19:$E$379,0),MATCH('Mezz 2 Amortization'!$V$19,'Mezz 2 Amortization'!$B$19:$V$19,0)),IF(AND('Mezz 2 Amortization'!$T$4="Bi-Annual",EP$5&gt;MAX('Mezz 2 Amortization'!$R$4,'Mezz 2 Amortization'!$S$4)),INDEX('Mezz 2 Amortization'!$B$19:$V$379,MATCH(DATE(EP$7,MAX('Mezz 2 Amortization'!$R$4,'Mezz 2 Amortization'!$S$4),31),'Mezz 2 Amortization'!$E$19:$E$379,0),MATCH('Mezz 2 Amortization'!$V$19,'Mezz 2 Amortization'!$B$19:$V$19,0)),IF(AND('Mezz 2 Amortization'!$T$4="Bi-Annual",EP$5&gt;MIN('Mezz 2 Amortization'!$R$4,'Mezz 2 Amortization'!$S$4),EP$5&lt;MAX('Mezz 2 Amortization'!$R$4,'Mezz 2 Amortization'!$S$4)),INDEX('Mezz 2 Amortization'!$B$19:$V$379,MATCH(DATE(EP$7,MIN('Mezz 2 Amortization'!$R$4,'Mezz 2 Amortization'!$S$4),31),'Mezz 2 Amortization'!$E$19:$E$379,0),MATCH('Mezz 2 Amortization'!$V$19,'Mezz 2 Amortization'!$B$19:$V$19,0)),IF(AND('Mezz 2 Amortization'!$T$4="Bi-Annual",EP$5='Mezz 2 Amortization'!$R$4),INDEX('Mezz 2 Amortization'!$B$19:$V$379,MATCH(DATE(EP$7,'Mezz 2 Amortization'!$R$4,31),'Mezz 2 Amortization'!$E$19:$E$379,0),MATCH('Mezz 2 Amortization'!$V$19,'Mezz 2 Amortization'!$B$19:$V$19,0)),IF(AND('Mezz 2 Amortization'!$T$4="Bi-Annual",EP$5='Mezz 2 Amortization'!$S$4),INDEX('Mezz 2 Amortization'!$B$19:$V$379,MATCH(DATE(EP$7,'Mezz 2 Amortization'!$S$4,31),'Mezz 2 Amortization'!$E$19:$E$379,0),MATCH('Mezz 2 Amortization'!$V$19,'Mezz 2 Amortization'!$B$19:$V$19,0)))))))))))</f>
        <v>0</v>
      </c>
      <c r="EQ147" s="427">
        <f>IF('Financing Assumptions'!$T$8="No",0,IF(EQ$9&lt;'Financing Assumptions'!$S$26,0,IF(AND('Mezz 2 Amortization'!$T$4&lt;&gt;"Monthly",EQ9&lt;='Financing Assumptions'!$S$26),0,IF('Mezz 2 Amortization'!$T$4="Monthly",INDEX('Mezz 2 Amortization'!$B$19:$V$379,MATCH(EQ$11,'Mezz 2 Amortization'!$E$19:$E$379,0),MATCH('Mezz 2 Amortization'!$V$19,'Mezz 2 Amortization'!$B$19:$V$19,0)),IF(AND('Mezz 2 Amortization'!$T$4="Bi-Annual",EQ$5&lt;MIN('Mezz 2 Amortization'!$R$4,'Mezz 2 Amortization'!$S$4)),INDEX('Mezz 2 Amortization'!$B$19:$V$379,MATCH(DATE(EQ$7-1,MAX('Mezz 2 Amortization'!$R$4,'Mezz 2 Amortization'!$S$4),31),'Mezz 2 Amortization'!$E$19:$E$379,0),MATCH('Mezz 2 Amortization'!$V$19,'Mezz 2 Amortization'!$B$19:$V$19,0)),IF(AND('Mezz 2 Amortization'!$T$4="Bi-Annual",EQ$5&gt;MAX('Mezz 2 Amortization'!$R$4,'Mezz 2 Amortization'!$S$4)),INDEX('Mezz 2 Amortization'!$B$19:$V$379,MATCH(DATE(EQ$7,MAX('Mezz 2 Amortization'!$R$4,'Mezz 2 Amortization'!$S$4),31),'Mezz 2 Amortization'!$E$19:$E$379,0),MATCH('Mezz 2 Amortization'!$V$19,'Mezz 2 Amortization'!$B$19:$V$19,0)),IF(AND('Mezz 2 Amortization'!$T$4="Bi-Annual",EQ$5&gt;MIN('Mezz 2 Amortization'!$R$4,'Mezz 2 Amortization'!$S$4),EQ$5&lt;MAX('Mezz 2 Amortization'!$R$4,'Mezz 2 Amortization'!$S$4)),INDEX('Mezz 2 Amortization'!$B$19:$V$379,MATCH(DATE(EQ$7,MIN('Mezz 2 Amortization'!$R$4,'Mezz 2 Amortization'!$S$4),31),'Mezz 2 Amortization'!$E$19:$E$379,0),MATCH('Mezz 2 Amortization'!$V$19,'Mezz 2 Amortization'!$B$19:$V$19,0)),IF(AND('Mezz 2 Amortization'!$T$4="Bi-Annual",EQ$5='Mezz 2 Amortization'!$R$4),INDEX('Mezz 2 Amortization'!$B$19:$V$379,MATCH(DATE(EQ$7,'Mezz 2 Amortization'!$R$4,31),'Mezz 2 Amortization'!$E$19:$E$379,0),MATCH('Mezz 2 Amortization'!$V$19,'Mezz 2 Amortization'!$B$19:$V$19,0)),IF(AND('Mezz 2 Amortization'!$T$4="Bi-Annual",EQ$5='Mezz 2 Amortization'!$S$4),INDEX('Mezz 2 Amortization'!$B$19:$V$379,MATCH(DATE(EQ$7,'Mezz 2 Amortization'!$S$4,31),'Mezz 2 Amortization'!$E$19:$E$379,0),MATCH('Mezz 2 Amortization'!$V$19,'Mezz 2 Amortization'!$B$19:$V$19,0)))))))))))</f>
        <v>0</v>
      </c>
      <c r="ER147" s="427">
        <f>IF('Financing Assumptions'!$T$8="No",0,IF(ER$9&lt;'Financing Assumptions'!$S$26,0,IF(AND('Mezz 2 Amortization'!$T$4&lt;&gt;"Monthly",ER9&lt;='Financing Assumptions'!$S$26),0,IF('Mezz 2 Amortization'!$T$4="Monthly",INDEX('Mezz 2 Amortization'!$B$19:$V$379,MATCH(ER$11,'Mezz 2 Amortization'!$E$19:$E$379,0),MATCH('Mezz 2 Amortization'!$V$19,'Mezz 2 Amortization'!$B$19:$V$19,0)),IF(AND('Mezz 2 Amortization'!$T$4="Bi-Annual",ER$5&lt;MIN('Mezz 2 Amortization'!$R$4,'Mezz 2 Amortization'!$S$4)),INDEX('Mezz 2 Amortization'!$B$19:$V$379,MATCH(DATE(ER$7-1,MAX('Mezz 2 Amortization'!$R$4,'Mezz 2 Amortization'!$S$4),31),'Mezz 2 Amortization'!$E$19:$E$379,0),MATCH('Mezz 2 Amortization'!$V$19,'Mezz 2 Amortization'!$B$19:$V$19,0)),IF(AND('Mezz 2 Amortization'!$T$4="Bi-Annual",ER$5&gt;MAX('Mezz 2 Amortization'!$R$4,'Mezz 2 Amortization'!$S$4)),INDEX('Mezz 2 Amortization'!$B$19:$V$379,MATCH(DATE(ER$7,MAX('Mezz 2 Amortization'!$R$4,'Mezz 2 Amortization'!$S$4),31),'Mezz 2 Amortization'!$E$19:$E$379,0),MATCH('Mezz 2 Amortization'!$V$19,'Mezz 2 Amortization'!$B$19:$V$19,0)),IF(AND('Mezz 2 Amortization'!$T$4="Bi-Annual",ER$5&gt;MIN('Mezz 2 Amortization'!$R$4,'Mezz 2 Amortization'!$S$4),ER$5&lt;MAX('Mezz 2 Amortization'!$R$4,'Mezz 2 Amortization'!$S$4)),INDEX('Mezz 2 Amortization'!$B$19:$V$379,MATCH(DATE(ER$7,MIN('Mezz 2 Amortization'!$R$4,'Mezz 2 Amortization'!$S$4),31),'Mezz 2 Amortization'!$E$19:$E$379,0),MATCH('Mezz 2 Amortization'!$V$19,'Mezz 2 Amortization'!$B$19:$V$19,0)),IF(AND('Mezz 2 Amortization'!$T$4="Bi-Annual",ER$5='Mezz 2 Amortization'!$R$4),INDEX('Mezz 2 Amortization'!$B$19:$V$379,MATCH(DATE(ER$7,'Mezz 2 Amortization'!$R$4,31),'Mezz 2 Amortization'!$E$19:$E$379,0),MATCH('Mezz 2 Amortization'!$V$19,'Mezz 2 Amortization'!$B$19:$V$19,0)),IF(AND('Mezz 2 Amortization'!$T$4="Bi-Annual",ER$5='Mezz 2 Amortization'!$S$4),INDEX('Mezz 2 Amortization'!$B$19:$V$379,MATCH(DATE(ER$7,'Mezz 2 Amortization'!$S$4,31),'Mezz 2 Amortization'!$E$19:$E$379,0),MATCH('Mezz 2 Amortization'!$V$19,'Mezz 2 Amortization'!$B$19:$V$19,0)))))))))))</f>
        <v>0</v>
      </c>
      <c r="ES147" s="427">
        <f>IF('Financing Assumptions'!$T$8="No",0,IF(ES$9&lt;'Financing Assumptions'!$S$26,0,IF(AND('Mezz 2 Amortization'!$T$4&lt;&gt;"Monthly",ES9&lt;='Financing Assumptions'!$S$26),0,IF('Mezz 2 Amortization'!$T$4="Monthly",INDEX('Mezz 2 Amortization'!$B$19:$V$379,MATCH(ES$11,'Mezz 2 Amortization'!$E$19:$E$379,0),MATCH('Mezz 2 Amortization'!$V$19,'Mezz 2 Amortization'!$B$19:$V$19,0)),IF(AND('Mezz 2 Amortization'!$T$4="Bi-Annual",ES$5&lt;MIN('Mezz 2 Amortization'!$R$4,'Mezz 2 Amortization'!$S$4)),INDEX('Mezz 2 Amortization'!$B$19:$V$379,MATCH(DATE(ES$7-1,MAX('Mezz 2 Amortization'!$R$4,'Mezz 2 Amortization'!$S$4),31),'Mezz 2 Amortization'!$E$19:$E$379,0),MATCH('Mezz 2 Amortization'!$V$19,'Mezz 2 Amortization'!$B$19:$V$19,0)),IF(AND('Mezz 2 Amortization'!$T$4="Bi-Annual",ES$5&gt;MAX('Mezz 2 Amortization'!$R$4,'Mezz 2 Amortization'!$S$4)),INDEX('Mezz 2 Amortization'!$B$19:$V$379,MATCH(DATE(ES$7,MAX('Mezz 2 Amortization'!$R$4,'Mezz 2 Amortization'!$S$4),31),'Mezz 2 Amortization'!$E$19:$E$379,0),MATCH('Mezz 2 Amortization'!$V$19,'Mezz 2 Amortization'!$B$19:$V$19,0)),IF(AND('Mezz 2 Amortization'!$T$4="Bi-Annual",ES$5&gt;MIN('Mezz 2 Amortization'!$R$4,'Mezz 2 Amortization'!$S$4),ES$5&lt;MAX('Mezz 2 Amortization'!$R$4,'Mezz 2 Amortization'!$S$4)),INDEX('Mezz 2 Amortization'!$B$19:$V$379,MATCH(DATE(ES$7,MIN('Mezz 2 Amortization'!$R$4,'Mezz 2 Amortization'!$S$4),31),'Mezz 2 Amortization'!$E$19:$E$379,0),MATCH('Mezz 2 Amortization'!$V$19,'Mezz 2 Amortization'!$B$19:$V$19,0)),IF(AND('Mezz 2 Amortization'!$T$4="Bi-Annual",ES$5='Mezz 2 Amortization'!$R$4),INDEX('Mezz 2 Amortization'!$B$19:$V$379,MATCH(DATE(ES$7,'Mezz 2 Amortization'!$R$4,31),'Mezz 2 Amortization'!$E$19:$E$379,0),MATCH('Mezz 2 Amortization'!$V$19,'Mezz 2 Amortization'!$B$19:$V$19,0)),IF(AND('Mezz 2 Amortization'!$T$4="Bi-Annual",ES$5='Mezz 2 Amortization'!$S$4),INDEX('Mezz 2 Amortization'!$B$19:$V$379,MATCH(DATE(ES$7,'Mezz 2 Amortization'!$S$4,31),'Mezz 2 Amortization'!$E$19:$E$379,0),MATCH('Mezz 2 Amortization'!$V$19,'Mezz 2 Amortization'!$B$19:$V$19,0)))))))))))</f>
        <v>0</v>
      </c>
      <c r="ET147" s="427">
        <f>IF('Financing Assumptions'!$T$8="No",0,IF(ET$9&lt;'Financing Assumptions'!$S$26,0,IF(AND('Mezz 2 Amortization'!$T$4&lt;&gt;"Monthly",ET9&lt;='Financing Assumptions'!$S$26),0,IF('Mezz 2 Amortization'!$T$4="Monthly",INDEX('Mezz 2 Amortization'!$B$19:$V$379,MATCH(ET$11,'Mezz 2 Amortization'!$E$19:$E$379,0),MATCH('Mezz 2 Amortization'!$V$19,'Mezz 2 Amortization'!$B$19:$V$19,0)),IF(AND('Mezz 2 Amortization'!$T$4="Bi-Annual",ET$5&lt;MIN('Mezz 2 Amortization'!$R$4,'Mezz 2 Amortization'!$S$4)),INDEX('Mezz 2 Amortization'!$B$19:$V$379,MATCH(DATE(ET$7-1,MAX('Mezz 2 Amortization'!$R$4,'Mezz 2 Amortization'!$S$4),31),'Mezz 2 Amortization'!$E$19:$E$379,0),MATCH('Mezz 2 Amortization'!$V$19,'Mezz 2 Amortization'!$B$19:$V$19,0)),IF(AND('Mezz 2 Amortization'!$T$4="Bi-Annual",ET$5&gt;MAX('Mezz 2 Amortization'!$R$4,'Mezz 2 Amortization'!$S$4)),INDEX('Mezz 2 Amortization'!$B$19:$V$379,MATCH(DATE(ET$7,MAX('Mezz 2 Amortization'!$R$4,'Mezz 2 Amortization'!$S$4),31),'Mezz 2 Amortization'!$E$19:$E$379,0),MATCH('Mezz 2 Amortization'!$V$19,'Mezz 2 Amortization'!$B$19:$V$19,0)),IF(AND('Mezz 2 Amortization'!$T$4="Bi-Annual",ET$5&gt;MIN('Mezz 2 Amortization'!$R$4,'Mezz 2 Amortization'!$S$4),ET$5&lt;MAX('Mezz 2 Amortization'!$R$4,'Mezz 2 Amortization'!$S$4)),INDEX('Mezz 2 Amortization'!$B$19:$V$379,MATCH(DATE(ET$7,MIN('Mezz 2 Amortization'!$R$4,'Mezz 2 Amortization'!$S$4),31),'Mezz 2 Amortization'!$E$19:$E$379,0),MATCH('Mezz 2 Amortization'!$V$19,'Mezz 2 Amortization'!$B$19:$V$19,0)),IF(AND('Mezz 2 Amortization'!$T$4="Bi-Annual",ET$5='Mezz 2 Amortization'!$R$4),INDEX('Mezz 2 Amortization'!$B$19:$V$379,MATCH(DATE(ET$7,'Mezz 2 Amortization'!$R$4,31),'Mezz 2 Amortization'!$E$19:$E$379,0),MATCH('Mezz 2 Amortization'!$V$19,'Mezz 2 Amortization'!$B$19:$V$19,0)),IF(AND('Mezz 2 Amortization'!$T$4="Bi-Annual",ET$5='Mezz 2 Amortization'!$S$4),INDEX('Mezz 2 Amortization'!$B$19:$V$379,MATCH(DATE(ET$7,'Mezz 2 Amortization'!$S$4,31),'Mezz 2 Amortization'!$E$19:$E$379,0),MATCH('Mezz 2 Amortization'!$V$19,'Mezz 2 Amortization'!$B$19:$V$19,0)))))))))))</f>
        <v>0</v>
      </c>
      <c r="EU147" s="427">
        <f>IF('Financing Assumptions'!$T$8="No",0,IF(EU$9&lt;'Financing Assumptions'!$S$26,0,IF(AND('Mezz 2 Amortization'!$T$4&lt;&gt;"Monthly",EU9&lt;='Financing Assumptions'!$S$26),0,IF('Mezz 2 Amortization'!$T$4="Monthly",INDEX('Mezz 2 Amortization'!$B$19:$V$379,MATCH(EU$11,'Mezz 2 Amortization'!$E$19:$E$379,0),MATCH('Mezz 2 Amortization'!$V$19,'Mezz 2 Amortization'!$B$19:$V$19,0)),IF(AND('Mezz 2 Amortization'!$T$4="Bi-Annual",EU$5&lt;MIN('Mezz 2 Amortization'!$R$4,'Mezz 2 Amortization'!$S$4)),INDEX('Mezz 2 Amortization'!$B$19:$V$379,MATCH(DATE(EU$7-1,MAX('Mezz 2 Amortization'!$R$4,'Mezz 2 Amortization'!$S$4),31),'Mezz 2 Amortization'!$E$19:$E$379,0),MATCH('Mezz 2 Amortization'!$V$19,'Mezz 2 Amortization'!$B$19:$V$19,0)),IF(AND('Mezz 2 Amortization'!$T$4="Bi-Annual",EU$5&gt;MAX('Mezz 2 Amortization'!$R$4,'Mezz 2 Amortization'!$S$4)),INDEX('Mezz 2 Amortization'!$B$19:$V$379,MATCH(DATE(EU$7,MAX('Mezz 2 Amortization'!$R$4,'Mezz 2 Amortization'!$S$4),31),'Mezz 2 Amortization'!$E$19:$E$379,0),MATCH('Mezz 2 Amortization'!$V$19,'Mezz 2 Amortization'!$B$19:$V$19,0)),IF(AND('Mezz 2 Amortization'!$T$4="Bi-Annual",EU$5&gt;MIN('Mezz 2 Amortization'!$R$4,'Mezz 2 Amortization'!$S$4),EU$5&lt;MAX('Mezz 2 Amortization'!$R$4,'Mezz 2 Amortization'!$S$4)),INDEX('Mezz 2 Amortization'!$B$19:$V$379,MATCH(DATE(EU$7,MIN('Mezz 2 Amortization'!$R$4,'Mezz 2 Amortization'!$S$4),31),'Mezz 2 Amortization'!$E$19:$E$379,0),MATCH('Mezz 2 Amortization'!$V$19,'Mezz 2 Amortization'!$B$19:$V$19,0)),IF(AND('Mezz 2 Amortization'!$T$4="Bi-Annual",EU$5='Mezz 2 Amortization'!$R$4),INDEX('Mezz 2 Amortization'!$B$19:$V$379,MATCH(DATE(EU$7,'Mezz 2 Amortization'!$R$4,31),'Mezz 2 Amortization'!$E$19:$E$379,0),MATCH('Mezz 2 Amortization'!$V$19,'Mezz 2 Amortization'!$B$19:$V$19,0)),IF(AND('Mezz 2 Amortization'!$T$4="Bi-Annual",EU$5='Mezz 2 Amortization'!$S$4),INDEX('Mezz 2 Amortization'!$B$19:$V$379,MATCH(DATE(EU$7,'Mezz 2 Amortization'!$S$4,31),'Mezz 2 Amortization'!$E$19:$E$379,0),MATCH('Mezz 2 Amortization'!$V$19,'Mezz 2 Amortization'!$B$19:$V$19,0)))))))))))</f>
        <v>0</v>
      </c>
      <c r="EV147" s="427">
        <f>IF('Financing Assumptions'!$T$8="No",0,IF(EV$9&lt;'Financing Assumptions'!$S$26,0,IF(AND('Mezz 2 Amortization'!$T$4&lt;&gt;"Monthly",EV9&lt;='Financing Assumptions'!$S$26),0,IF('Mezz 2 Amortization'!$T$4="Monthly",INDEX('Mezz 2 Amortization'!$B$19:$V$379,MATCH(EV$11,'Mezz 2 Amortization'!$E$19:$E$379,0),MATCH('Mezz 2 Amortization'!$V$19,'Mezz 2 Amortization'!$B$19:$V$19,0)),IF(AND('Mezz 2 Amortization'!$T$4="Bi-Annual",EV$5&lt;MIN('Mezz 2 Amortization'!$R$4,'Mezz 2 Amortization'!$S$4)),INDEX('Mezz 2 Amortization'!$B$19:$V$379,MATCH(DATE(EV$7-1,MAX('Mezz 2 Amortization'!$R$4,'Mezz 2 Amortization'!$S$4),31),'Mezz 2 Amortization'!$E$19:$E$379,0),MATCH('Mezz 2 Amortization'!$V$19,'Mezz 2 Amortization'!$B$19:$V$19,0)),IF(AND('Mezz 2 Amortization'!$T$4="Bi-Annual",EV$5&gt;MAX('Mezz 2 Amortization'!$R$4,'Mezz 2 Amortization'!$S$4)),INDEX('Mezz 2 Amortization'!$B$19:$V$379,MATCH(DATE(EV$7,MAX('Mezz 2 Amortization'!$R$4,'Mezz 2 Amortization'!$S$4),31),'Mezz 2 Amortization'!$E$19:$E$379,0),MATCH('Mezz 2 Amortization'!$V$19,'Mezz 2 Amortization'!$B$19:$V$19,0)),IF(AND('Mezz 2 Amortization'!$T$4="Bi-Annual",EV$5&gt;MIN('Mezz 2 Amortization'!$R$4,'Mezz 2 Amortization'!$S$4),EV$5&lt;MAX('Mezz 2 Amortization'!$R$4,'Mezz 2 Amortization'!$S$4)),INDEX('Mezz 2 Amortization'!$B$19:$V$379,MATCH(DATE(EV$7,MIN('Mezz 2 Amortization'!$R$4,'Mezz 2 Amortization'!$S$4),31),'Mezz 2 Amortization'!$E$19:$E$379,0),MATCH('Mezz 2 Amortization'!$V$19,'Mezz 2 Amortization'!$B$19:$V$19,0)),IF(AND('Mezz 2 Amortization'!$T$4="Bi-Annual",EV$5='Mezz 2 Amortization'!$R$4),INDEX('Mezz 2 Amortization'!$B$19:$V$379,MATCH(DATE(EV$7,'Mezz 2 Amortization'!$R$4,31),'Mezz 2 Amortization'!$E$19:$E$379,0),MATCH('Mezz 2 Amortization'!$V$19,'Mezz 2 Amortization'!$B$19:$V$19,0)),IF(AND('Mezz 2 Amortization'!$T$4="Bi-Annual",EV$5='Mezz 2 Amortization'!$S$4),INDEX('Mezz 2 Amortization'!$B$19:$V$379,MATCH(DATE(EV$7,'Mezz 2 Amortization'!$S$4,31),'Mezz 2 Amortization'!$E$19:$E$379,0),MATCH('Mezz 2 Amortization'!$V$19,'Mezz 2 Amortization'!$B$19:$V$19,0)))))))))))</f>
        <v>0</v>
      </c>
      <c r="EW147" s="427">
        <f>IF('Financing Assumptions'!$T$8="No",0,IF(EW$9&lt;'Financing Assumptions'!$S$26,0,IF(AND('Mezz 2 Amortization'!$T$4&lt;&gt;"Monthly",EW9&lt;='Financing Assumptions'!$S$26),0,IF('Mezz 2 Amortization'!$T$4="Monthly",INDEX('Mezz 2 Amortization'!$B$19:$V$379,MATCH(EW$11,'Mezz 2 Amortization'!$E$19:$E$379,0),MATCH('Mezz 2 Amortization'!$V$19,'Mezz 2 Amortization'!$B$19:$V$19,0)),IF(AND('Mezz 2 Amortization'!$T$4="Bi-Annual",EW$5&lt;MIN('Mezz 2 Amortization'!$R$4,'Mezz 2 Amortization'!$S$4)),INDEX('Mezz 2 Amortization'!$B$19:$V$379,MATCH(DATE(EW$7-1,MAX('Mezz 2 Amortization'!$R$4,'Mezz 2 Amortization'!$S$4),31),'Mezz 2 Amortization'!$E$19:$E$379,0),MATCH('Mezz 2 Amortization'!$V$19,'Mezz 2 Amortization'!$B$19:$V$19,0)),IF(AND('Mezz 2 Amortization'!$T$4="Bi-Annual",EW$5&gt;MAX('Mezz 2 Amortization'!$R$4,'Mezz 2 Amortization'!$S$4)),INDEX('Mezz 2 Amortization'!$B$19:$V$379,MATCH(DATE(EW$7,MAX('Mezz 2 Amortization'!$R$4,'Mezz 2 Amortization'!$S$4),31),'Mezz 2 Amortization'!$E$19:$E$379,0),MATCH('Mezz 2 Amortization'!$V$19,'Mezz 2 Amortization'!$B$19:$V$19,0)),IF(AND('Mezz 2 Amortization'!$T$4="Bi-Annual",EW$5&gt;MIN('Mezz 2 Amortization'!$R$4,'Mezz 2 Amortization'!$S$4),EW$5&lt;MAX('Mezz 2 Amortization'!$R$4,'Mezz 2 Amortization'!$S$4)),INDEX('Mezz 2 Amortization'!$B$19:$V$379,MATCH(DATE(EW$7,MIN('Mezz 2 Amortization'!$R$4,'Mezz 2 Amortization'!$S$4),31),'Mezz 2 Amortization'!$E$19:$E$379,0),MATCH('Mezz 2 Amortization'!$V$19,'Mezz 2 Amortization'!$B$19:$V$19,0)),IF(AND('Mezz 2 Amortization'!$T$4="Bi-Annual",EW$5='Mezz 2 Amortization'!$R$4),INDEX('Mezz 2 Amortization'!$B$19:$V$379,MATCH(DATE(EW$7,'Mezz 2 Amortization'!$R$4,31),'Mezz 2 Amortization'!$E$19:$E$379,0),MATCH('Mezz 2 Amortization'!$V$19,'Mezz 2 Amortization'!$B$19:$V$19,0)),IF(AND('Mezz 2 Amortization'!$T$4="Bi-Annual",EW$5='Mezz 2 Amortization'!$S$4),INDEX('Mezz 2 Amortization'!$B$19:$V$379,MATCH(DATE(EW$7,'Mezz 2 Amortization'!$S$4,31),'Mezz 2 Amortization'!$E$19:$E$379,0),MATCH('Mezz 2 Amortization'!$V$19,'Mezz 2 Amortization'!$B$19:$V$19,0)))))))))))</f>
        <v>0</v>
      </c>
      <c r="EX147" s="427">
        <f>IF('Financing Assumptions'!$T$8="No",0,IF(EX$9&lt;'Financing Assumptions'!$S$26,0,IF(AND('Mezz 2 Amortization'!$T$4&lt;&gt;"Monthly",EX9&lt;='Financing Assumptions'!$S$26),0,IF('Mezz 2 Amortization'!$T$4="Monthly",INDEX('Mezz 2 Amortization'!$B$19:$V$379,MATCH(EX$11,'Mezz 2 Amortization'!$E$19:$E$379,0),MATCH('Mezz 2 Amortization'!$V$19,'Mezz 2 Amortization'!$B$19:$V$19,0)),IF(AND('Mezz 2 Amortization'!$T$4="Bi-Annual",EX$5&lt;MIN('Mezz 2 Amortization'!$R$4,'Mezz 2 Amortization'!$S$4)),INDEX('Mezz 2 Amortization'!$B$19:$V$379,MATCH(DATE(EX$7-1,MAX('Mezz 2 Amortization'!$R$4,'Mezz 2 Amortization'!$S$4),31),'Mezz 2 Amortization'!$E$19:$E$379,0),MATCH('Mezz 2 Amortization'!$V$19,'Mezz 2 Amortization'!$B$19:$V$19,0)),IF(AND('Mezz 2 Amortization'!$T$4="Bi-Annual",EX$5&gt;MAX('Mezz 2 Amortization'!$R$4,'Mezz 2 Amortization'!$S$4)),INDEX('Mezz 2 Amortization'!$B$19:$V$379,MATCH(DATE(EX$7,MAX('Mezz 2 Amortization'!$R$4,'Mezz 2 Amortization'!$S$4),31),'Mezz 2 Amortization'!$E$19:$E$379,0),MATCH('Mezz 2 Amortization'!$V$19,'Mezz 2 Amortization'!$B$19:$V$19,0)),IF(AND('Mezz 2 Amortization'!$T$4="Bi-Annual",EX$5&gt;MIN('Mezz 2 Amortization'!$R$4,'Mezz 2 Amortization'!$S$4),EX$5&lt;MAX('Mezz 2 Amortization'!$R$4,'Mezz 2 Amortization'!$S$4)),INDEX('Mezz 2 Amortization'!$B$19:$V$379,MATCH(DATE(EX$7,MIN('Mezz 2 Amortization'!$R$4,'Mezz 2 Amortization'!$S$4),31),'Mezz 2 Amortization'!$E$19:$E$379,0),MATCH('Mezz 2 Amortization'!$V$19,'Mezz 2 Amortization'!$B$19:$V$19,0)),IF(AND('Mezz 2 Amortization'!$T$4="Bi-Annual",EX$5='Mezz 2 Amortization'!$R$4),INDEX('Mezz 2 Amortization'!$B$19:$V$379,MATCH(DATE(EX$7,'Mezz 2 Amortization'!$R$4,31),'Mezz 2 Amortization'!$E$19:$E$379,0),MATCH('Mezz 2 Amortization'!$V$19,'Mezz 2 Amortization'!$B$19:$V$19,0)),IF(AND('Mezz 2 Amortization'!$T$4="Bi-Annual",EX$5='Mezz 2 Amortization'!$S$4),INDEX('Mezz 2 Amortization'!$B$19:$V$379,MATCH(DATE(EX$7,'Mezz 2 Amortization'!$S$4,31),'Mezz 2 Amortization'!$E$19:$E$379,0),MATCH('Mezz 2 Amortization'!$V$19,'Mezz 2 Amortization'!$B$19:$V$19,0)))))))))))</f>
        <v>0</v>
      </c>
      <c r="EY147" s="427">
        <f>IF('Financing Assumptions'!$T$8="No",0,IF(EY$9&lt;'Financing Assumptions'!$S$26,0,IF(AND('Mezz 2 Amortization'!$T$4&lt;&gt;"Monthly",EY9&lt;='Financing Assumptions'!$S$26),0,IF('Mezz 2 Amortization'!$T$4="Monthly",INDEX('Mezz 2 Amortization'!$B$19:$V$379,MATCH(EY$11,'Mezz 2 Amortization'!$E$19:$E$379,0),MATCH('Mezz 2 Amortization'!$V$19,'Mezz 2 Amortization'!$B$19:$V$19,0)),IF(AND('Mezz 2 Amortization'!$T$4="Bi-Annual",EY$5&lt;MIN('Mezz 2 Amortization'!$R$4,'Mezz 2 Amortization'!$S$4)),INDEX('Mezz 2 Amortization'!$B$19:$V$379,MATCH(DATE(EY$7-1,MAX('Mezz 2 Amortization'!$R$4,'Mezz 2 Amortization'!$S$4),31),'Mezz 2 Amortization'!$E$19:$E$379,0),MATCH('Mezz 2 Amortization'!$V$19,'Mezz 2 Amortization'!$B$19:$V$19,0)),IF(AND('Mezz 2 Amortization'!$T$4="Bi-Annual",EY$5&gt;MAX('Mezz 2 Amortization'!$R$4,'Mezz 2 Amortization'!$S$4)),INDEX('Mezz 2 Amortization'!$B$19:$V$379,MATCH(DATE(EY$7,MAX('Mezz 2 Amortization'!$R$4,'Mezz 2 Amortization'!$S$4),31),'Mezz 2 Amortization'!$E$19:$E$379,0),MATCH('Mezz 2 Amortization'!$V$19,'Mezz 2 Amortization'!$B$19:$V$19,0)),IF(AND('Mezz 2 Amortization'!$T$4="Bi-Annual",EY$5&gt;MIN('Mezz 2 Amortization'!$R$4,'Mezz 2 Amortization'!$S$4),EY$5&lt;MAX('Mezz 2 Amortization'!$R$4,'Mezz 2 Amortization'!$S$4)),INDEX('Mezz 2 Amortization'!$B$19:$V$379,MATCH(DATE(EY$7,MIN('Mezz 2 Amortization'!$R$4,'Mezz 2 Amortization'!$S$4),31),'Mezz 2 Amortization'!$E$19:$E$379,0),MATCH('Mezz 2 Amortization'!$V$19,'Mezz 2 Amortization'!$B$19:$V$19,0)),IF(AND('Mezz 2 Amortization'!$T$4="Bi-Annual",EY$5='Mezz 2 Amortization'!$R$4),INDEX('Mezz 2 Amortization'!$B$19:$V$379,MATCH(DATE(EY$7,'Mezz 2 Amortization'!$R$4,31),'Mezz 2 Amortization'!$E$19:$E$379,0),MATCH('Mezz 2 Amortization'!$V$19,'Mezz 2 Amortization'!$B$19:$V$19,0)),IF(AND('Mezz 2 Amortization'!$T$4="Bi-Annual",EY$5='Mezz 2 Amortization'!$S$4),INDEX('Mezz 2 Amortization'!$B$19:$V$379,MATCH(DATE(EY$7,'Mezz 2 Amortization'!$S$4,31),'Mezz 2 Amortization'!$E$19:$E$379,0),MATCH('Mezz 2 Amortization'!$V$19,'Mezz 2 Amortization'!$B$19:$V$19,0)))))))))))</f>
        <v>0</v>
      </c>
      <c r="EZ147" s="427">
        <f>IF('Financing Assumptions'!$T$8="No",0,IF(EZ$9&lt;'Financing Assumptions'!$S$26,0,IF(AND('Mezz 2 Amortization'!$T$4&lt;&gt;"Monthly",EZ9&lt;='Financing Assumptions'!$S$26),0,IF('Mezz 2 Amortization'!$T$4="Monthly",INDEX('Mezz 2 Amortization'!$B$19:$V$379,MATCH(EZ$11,'Mezz 2 Amortization'!$E$19:$E$379,0),MATCH('Mezz 2 Amortization'!$V$19,'Mezz 2 Amortization'!$B$19:$V$19,0)),IF(AND('Mezz 2 Amortization'!$T$4="Bi-Annual",EZ$5&lt;MIN('Mezz 2 Amortization'!$R$4,'Mezz 2 Amortization'!$S$4)),INDEX('Mezz 2 Amortization'!$B$19:$V$379,MATCH(DATE(EZ$7-1,MAX('Mezz 2 Amortization'!$R$4,'Mezz 2 Amortization'!$S$4),31),'Mezz 2 Amortization'!$E$19:$E$379,0),MATCH('Mezz 2 Amortization'!$V$19,'Mezz 2 Amortization'!$B$19:$V$19,0)),IF(AND('Mezz 2 Amortization'!$T$4="Bi-Annual",EZ$5&gt;MAX('Mezz 2 Amortization'!$R$4,'Mezz 2 Amortization'!$S$4)),INDEX('Mezz 2 Amortization'!$B$19:$V$379,MATCH(DATE(EZ$7,MAX('Mezz 2 Amortization'!$R$4,'Mezz 2 Amortization'!$S$4),31),'Mezz 2 Amortization'!$E$19:$E$379,0),MATCH('Mezz 2 Amortization'!$V$19,'Mezz 2 Amortization'!$B$19:$V$19,0)),IF(AND('Mezz 2 Amortization'!$T$4="Bi-Annual",EZ$5&gt;MIN('Mezz 2 Amortization'!$R$4,'Mezz 2 Amortization'!$S$4),EZ$5&lt;MAX('Mezz 2 Amortization'!$R$4,'Mezz 2 Amortization'!$S$4)),INDEX('Mezz 2 Amortization'!$B$19:$V$379,MATCH(DATE(EZ$7,MIN('Mezz 2 Amortization'!$R$4,'Mezz 2 Amortization'!$S$4),31),'Mezz 2 Amortization'!$E$19:$E$379,0),MATCH('Mezz 2 Amortization'!$V$19,'Mezz 2 Amortization'!$B$19:$V$19,0)),IF(AND('Mezz 2 Amortization'!$T$4="Bi-Annual",EZ$5='Mezz 2 Amortization'!$R$4),INDEX('Mezz 2 Amortization'!$B$19:$V$379,MATCH(DATE(EZ$7,'Mezz 2 Amortization'!$R$4,31),'Mezz 2 Amortization'!$E$19:$E$379,0),MATCH('Mezz 2 Amortization'!$V$19,'Mezz 2 Amortization'!$B$19:$V$19,0)),IF(AND('Mezz 2 Amortization'!$T$4="Bi-Annual",EZ$5='Mezz 2 Amortization'!$S$4),INDEX('Mezz 2 Amortization'!$B$19:$V$379,MATCH(DATE(EZ$7,'Mezz 2 Amortization'!$S$4,31),'Mezz 2 Amortization'!$E$19:$E$379,0),MATCH('Mezz 2 Amortization'!$V$19,'Mezz 2 Amortization'!$B$19:$V$19,0)))))))))))</f>
        <v>0</v>
      </c>
      <c r="FA147" s="427">
        <f>IF('Financing Assumptions'!$T$8="No",0,IF(FA$9&lt;'Financing Assumptions'!$S$26,0,IF(AND('Mezz 2 Amortization'!$T$4&lt;&gt;"Monthly",FA9&lt;='Financing Assumptions'!$S$26),0,IF('Mezz 2 Amortization'!$T$4="Monthly",INDEX('Mezz 2 Amortization'!$B$19:$V$379,MATCH(FA$11,'Mezz 2 Amortization'!$E$19:$E$379,0),MATCH('Mezz 2 Amortization'!$V$19,'Mezz 2 Amortization'!$B$19:$V$19,0)),IF(AND('Mezz 2 Amortization'!$T$4="Bi-Annual",FA$5&lt;MIN('Mezz 2 Amortization'!$R$4,'Mezz 2 Amortization'!$S$4)),INDEX('Mezz 2 Amortization'!$B$19:$V$379,MATCH(DATE(FA$7-1,MAX('Mezz 2 Amortization'!$R$4,'Mezz 2 Amortization'!$S$4),31),'Mezz 2 Amortization'!$E$19:$E$379,0),MATCH('Mezz 2 Amortization'!$V$19,'Mezz 2 Amortization'!$B$19:$V$19,0)),IF(AND('Mezz 2 Amortization'!$T$4="Bi-Annual",FA$5&gt;MAX('Mezz 2 Amortization'!$R$4,'Mezz 2 Amortization'!$S$4)),INDEX('Mezz 2 Amortization'!$B$19:$V$379,MATCH(DATE(FA$7,MAX('Mezz 2 Amortization'!$R$4,'Mezz 2 Amortization'!$S$4),31),'Mezz 2 Amortization'!$E$19:$E$379,0),MATCH('Mezz 2 Amortization'!$V$19,'Mezz 2 Amortization'!$B$19:$V$19,0)),IF(AND('Mezz 2 Amortization'!$T$4="Bi-Annual",FA$5&gt;MIN('Mezz 2 Amortization'!$R$4,'Mezz 2 Amortization'!$S$4),FA$5&lt;MAX('Mezz 2 Amortization'!$R$4,'Mezz 2 Amortization'!$S$4)),INDEX('Mezz 2 Amortization'!$B$19:$V$379,MATCH(DATE(FA$7,MIN('Mezz 2 Amortization'!$R$4,'Mezz 2 Amortization'!$S$4),31),'Mezz 2 Amortization'!$E$19:$E$379,0),MATCH('Mezz 2 Amortization'!$V$19,'Mezz 2 Amortization'!$B$19:$V$19,0)),IF(AND('Mezz 2 Amortization'!$T$4="Bi-Annual",FA$5='Mezz 2 Amortization'!$R$4),INDEX('Mezz 2 Amortization'!$B$19:$V$379,MATCH(DATE(FA$7,'Mezz 2 Amortization'!$R$4,31),'Mezz 2 Amortization'!$E$19:$E$379,0),MATCH('Mezz 2 Amortization'!$V$19,'Mezz 2 Amortization'!$B$19:$V$19,0)),IF(AND('Mezz 2 Amortization'!$T$4="Bi-Annual",FA$5='Mezz 2 Amortization'!$S$4),INDEX('Mezz 2 Amortization'!$B$19:$V$379,MATCH(DATE(FA$7,'Mezz 2 Amortization'!$S$4,31),'Mezz 2 Amortization'!$E$19:$E$379,0),MATCH('Mezz 2 Amortization'!$V$19,'Mezz 2 Amortization'!$B$19:$V$19,0)))))))))))</f>
        <v>0</v>
      </c>
      <c r="FB147" s="427">
        <f>IF('Financing Assumptions'!$T$8="No",0,IF(FB$9&lt;'Financing Assumptions'!$S$26,0,IF(AND('Mezz 2 Amortization'!$T$4&lt;&gt;"Monthly",FB9&lt;='Financing Assumptions'!$S$26),0,IF('Mezz 2 Amortization'!$T$4="Monthly",INDEX('Mezz 2 Amortization'!$B$19:$V$379,MATCH(FB$11,'Mezz 2 Amortization'!$E$19:$E$379,0),MATCH('Mezz 2 Amortization'!$V$19,'Mezz 2 Amortization'!$B$19:$V$19,0)),IF(AND('Mezz 2 Amortization'!$T$4="Bi-Annual",FB$5&lt;MIN('Mezz 2 Amortization'!$R$4,'Mezz 2 Amortization'!$S$4)),INDEX('Mezz 2 Amortization'!$B$19:$V$379,MATCH(DATE(FB$7-1,MAX('Mezz 2 Amortization'!$R$4,'Mezz 2 Amortization'!$S$4),31),'Mezz 2 Amortization'!$E$19:$E$379,0),MATCH('Mezz 2 Amortization'!$V$19,'Mezz 2 Amortization'!$B$19:$V$19,0)),IF(AND('Mezz 2 Amortization'!$T$4="Bi-Annual",FB$5&gt;MAX('Mezz 2 Amortization'!$R$4,'Mezz 2 Amortization'!$S$4)),INDEX('Mezz 2 Amortization'!$B$19:$V$379,MATCH(DATE(FB$7,MAX('Mezz 2 Amortization'!$R$4,'Mezz 2 Amortization'!$S$4),31),'Mezz 2 Amortization'!$E$19:$E$379,0),MATCH('Mezz 2 Amortization'!$V$19,'Mezz 2 Amortization'!$B$19:$V$19,0)),IF(AND('Mezz 2 Amortization'!$T$4="Bi-Annual",FB$5&gt;MIN('Mezz 2 Amortization'!$R$4,'Mezz 2 Amortization'!$S$4),FB$5&lt;MAX('Mezz 2 Amortization'!$R$4,'Mezz 2 Amortization'!$S$4)),INDEX('Mezz 2 Amortization'!$B$19:$V$379,MATCH(DATE(FB$7,MIN('Mezz 2 Amortization'!$R$4,'Mezz 2 Amortization'!$S$4),31),'Mezz 2 Amortization'!$E$19:$E$379,0),MATCH('Mezz 2 Amortization'!$V$19,'Mezz 2 Amortization'!$B$19:$V$19,0)),IF(AND('Mezz 2 Amortization'!$T$4="Bi-Annual",FB$5='Mezz 2 Amortization'!$R$4),INDEX('Mezz 2 Amortization'!$B$19:$V$379,MATCH(DATE(FB$7,'Mezz 2 Amortization'!$R$4,31),'Mezz 2 Amortization'!$E$19:$E$379,0),MATCH('Mezz 2 Amortization'!$V$19,'Mezz 2 Amortization'!$B$19:$V$19,0)),IF(AND('Mezz 2 Amortization'!$T$4="Bi-Annual",FB$5='Mezz 2 Amortization'!$S$4),INDEX('Mezz 2 Amortization'!$B$19:$V$379,MATCH(DATE(FB$7,'Mezz 2 Amortization'!$S$4,31),'Mezz 2 Amortization'!$E$19:$E$379,0),MATCH('Mezz 2 Amortization'!$V$19,'Mezz 2 Amortization'!$B$19:$V$19,0)))))))))))</f>
        <v>0</v>
      </c>
      <c r="FC147" s="427">
        <f>IF('Financing Assumptions'!$T$8="No",0,IF(FC$9&lt;'Financing Assumptions'!$S$26,0,IF(AND('Mezz 2 Amortization'!$T$4&lt;&gt;"Monthly",FC9&lt;='Financing Assumptions'!$S$26),0,IF('Mezz 2 Amortization'!$T$4="Monthly",INDEX('Mezz 2 Amortization'!$B$19:$V$379,MATCH(FC$11,'Mezz 2 Amortization'!$E$19:$E$379,0),MATCH('Mezz 2 Amortization'!$V$19,'Mezz 2 Amortization'!$B$19:$V$19,0)),IF(AND('Mezz 2 Amortization'!$T$4="Bi-Annual",FC$5&lt;MIN('Mezz 2 Amortization'!$R$4,'Mezz 2 Amortization'!$S$4)),INDEX('Mezz 2 Amortization'!$B$19:$V$379,MATCH(DATE(FC$7-1,MAX('Mezz 2 Amortization'!$R$4,'Mezz 2 Amortization'!$S$4),31),'Mezz 2 Amortization'!$E$19:$E$379,0),MATCH('Mezz 2 Amortization'!$V$19,'Mezz 2 Amortization'!$B$19:$V$19,0)),IF(AND('Mezz 2 Amortization'!$T$4="Bi-Annual",FC$5&gt;MAX('Mezz 2 Amortization'!$R$4,'Mezz 2 Amortization'!$S$4)),INDEX('Mezz 2 Amortization'!$B$19:$V$379,MATCH(DATE(FC$7,MAX('Mezz 2 Amortization'!$R$4,'Mezz 2 Amortization'!$S$4),31),'Mezz 2 Amortization'!$E$19:$E$379,0),MATCH('Mezz 2 Amortization'!$V$19,'Mezz 2 Amortization'!$B$19:$V$19,0)),IF(AND('Mezz 2 Amortization'!$T$4="Bi-Annual",FC$5&gt;MIN('Mezz 2 Amortization'!$R$4,'Mezz 2 Amortization'!$S$4),FC$5&lt;MAX('Mezz 2 Amortization'!$R$4,'Mezz 2 Amortization'!$S$4)),INDEX('Mezz 2 Amortization'!$B$19:$V$379,MATCH(DATE(FC$7,MIN('Mezz 2 Amortization'!$R$4,'Mezz 2 Amortization'!$S$4),31),'Mezz 2 Amortization'!$E$19:$E$379,0),MATCH('Mezz 2 Amortization'!$V$19,'Mezz 2 Amortization'!$B$19:$V$19,0)),IF(AND('Mezz 2 Amortization'!$T$4="Bi-Annual",FC$5='Mezz 2 Amortization'!$R$4),INDEX('Mezz 2 Amortization'!$B$19:$V$379,MATCH(DATE(FC$7,'Mezz 2 Amortization'!$R$4,31),'Mezz 2 Amortization'!$E$19:$E$379,0),MATCH('Mezz 2 Amortization'!$V$19,'Mezz 2 Amortization'!$B$19:$V$19,0)),IF(AND('Mezz 2 Amortization'!$T$4="Bi-Annual",FC$5='Mezz 2 Amortization'!$S$4),INDEX('Mezz 2 Amortization'!$B$19:$V$379,MATCH(DATE(FC$7,'Mezz 2 Amortization'!$S$4,31),'Mezz 2 Amortization'!$E$19:$E$379,0),MATCH('Mezz 2 Amortization'!$V$19,'Mezz 2 Amortization'!$B$19:$V$19,0)))))))))))</f>
        <v>0</v>
      </c>
      <c r="FD147" s="427">
        <f>IF('Financing Assumptions'!$T$8="No",0,IF(FD$9&lt;'Financing Assumptions'!$S$26,0,IF(AND('Mezz 2 Amortization'!$T$4&lt;&gt;"Monthly",FD9&lt;='Financing Assumptions'!$S$26),0,IF('Mezz 2 Amortization'!$T$4="Monthly",INDEX('Mezz 2 Amortization'!$B$19:$V$379,MATCH(FD$11,'Mezz 2 Amortization'!$E$19:$E$379,0),MATCH('Mezz 2 Amortization'!$V$19,'Mezz 2 Amortization'!$B$19:$V$19,0)),IF(AND('Mezz 2 Amortization'!$T$4="Bi-Annual",FD$5&lt;MIN('Mezz 2 Amortization'!$R$4,'Mezz 2 Amortization'!$S$4)),INDEX('Mezz 2 Amortization'!$B$19:$V$379,MATCH(DATE(FD$7-1,MAX('Mezz 2 Amortization'!$R$4,'Mezz 2 Amortization'!$S$4),31),'Mezz 2 Amortization'!$E$19:$E$379,0),MATCH('Mezz 2 Amortization'!$V$19,'Mezz 2 Amortization'!$B$19:$V$19,0)),IF(AND('Mezz 2 Amortization'!$T$4="Bi-Annual",FD$5&gt;MAX('Mezz 2 Amortization'!$R$4,'Mezz 2 Amortization'!$S$4)),INDEX('Mezz 2 Amortization'!$B$19:$V$379,MATCH(DATE(FD$7,MAX('Mezz 2 Amortization'!$R$4,'Mezz 2 Amortization'!$S$4),31),'Mezz 2 Amortization'!$E$19:$E$379,0),MATCH('Mezz 2 Amortization'!$V$19,'Mezz 2 Amortization'!$B$19:$V$19,0)),IF(AND('Mezz 2 Amortization'!$T$4="Bi-Annual",FD$5&gt;MIN('Mezz 2 Amortization'!$R$4,'Mezz 2 Amortization'!$S$4),FD$5&lt;MAX('Mezz 2 Amortization'!$R$4,'Mezz 2 Amortization'!$S$4)),INDEX('Mezz 2 Amortization'!$B$19:$V$379,MATCH(DATE(FD$7,MIN('Mezz 2 Amortization'!$R$4,'Mezz 2 Amortization'!$S$4),31),'Mezz 2 Amortization'!$E$19:$E$379,0),MATCH('Mezz 2 Amortization'!$V$19,'Mezz 2 Amortization'!$B$19:$V$19,0)),IF(AND('Mezz 2 Amortization'!$T$4="Bi-Annual",FD$5='Mezz 2 Amortization'!$R$4),INDEX('Mezz 2 Amortization'!$B$19:$V$379,MATCH(DATE(FD$7,'Mezz 2 Amortization'!$R$4,31),'Mezz 2 Amortization'!$E$19:$E$379,0),MATCH('Mezz 2 Amortization'!$V$19,'Mezz 2 Amortization'!$B$19:$V$19,0)),IF(AND('Mezz 2 Amortization'!$T$4="Bi-Annual",FD$5='Mezz 2 Amortization'!$S$4),INDEX('Mezz 2 Amortization'!$B$19:$V$379,MATCH(DATE(FD$7,'Mezz 2 Amortization'!$S$4,31),'Mezz 2 Amortization'!$E$19:$E$379,0),MATCH('Mezz 2 Amortization'!$V$19,'Mezz 2 Amortization'!$B$19:$V$19,0)))))))))))</f>
        <v>0</v>
      </c>
      <c r="FE147" s="427">
        <f>IF('Financing Assumptions'!$T$8="No",0,IF(FE$9&lt;'Financing Assumptions'!$S$26,0,IF(AND('Mezz 2 Amortization'!$T$4&lt;&gt;"Monthly",FE9&lt;='Financing Assumptions'!$S$26),0,IF('Mezz 2 Amortization'!$T$4="Monthly",INDEX('Mezz 2 Amortization'!$B$19:$V$379,MATCH(FE$11,'Mezz 2 Amortization'!$E$19:$E$379,0),MATCH('Mezz 2 Amortization'!$V$19,'Mezz 2 Amortization'!$B$19:$V$19,0)),IF(AND('Mezz 2 Amortization'!$T$4="Bi-Annual",FE$5&lt;MIN('Mezz 2 Amortization'!$R$4,'Mezz 2 Amortization'!$S$4)),INDEX('Mezz 2 Amortization'!$B$19:$V$379,MATCH(DATE(FE$7-1,MAX('Mezz 2 Amortization'!$R$4,'Mezz 2 Amortization'!$S$4),31),'Mezz 2 Amortization'!$E$19:$E$379,0),MATCH('Mezz 2 Amortization'!$V$19,'Mezz 2 Amortization'!$B$19:$V$19,0)),IF(AND('Mezz 2 Amortization'!$T$4="Bi-Annual",FE$5&gt;MAX('Mezz 2 Amortization'!$R$4,'Mezz 2 Amortization'!$S$4)),INDEX('Mezz 2 Amortization'!$B$19:$V$379,MATCH(DATE(FE$7,MAX('Mezz 2 Amortization'!$R$4,'Mezz 2 Amortization'!$S$4),31),'Mezz 2 Amortization'!$E$19:$E$379,0),MATCH('Mezz 2 Amortization'!$V$19,'Mezz 2 Amortization'!$B$19:$V$19,0)),IF(AND('Mezz 2 Amortization'!$T$4="Bi-Annual",FE$5&gt;MIN('Mezz 2 Amortization'!$R$4,'Mezz 2 Amortization'!$S$4),FE$5&lt;MAX('Mezz 2 Amortization'!$R$4,'Mezz 2 Amortization'!$S$4)),INDEX('Mezz 2 Amortization'!$B$19:$V$379,MATCH(DATE(FE$7,MIN('Mezz 2 Amortization'!$R$4,'Mezz 2 Amortization'!$S$4),31),'Mezz 2 Amortization'!$E$19:$E$379,0),MATCH('Mezz 2 Amortization'!$V$19,'Mezz 2 Amortization'!$B$19:$V$19,0)),IF(AND('Mezz 2 Amortization'!$T$4="Bi-Annual",FE$5='Mezz 2 Amortization'!$R$4),INDEX('Mezz 2 Amortization'!$B$19:$V$379,MATCH(DATE(FE$7,'Mezz 2 Amortization'!$R$4,31),'Mezz 2 Amortization'!$E$19:$E$379,0),MATCH('Mezz 2 Amortization'!$V$19,'Mezz 2 Amortization'!$B$19:$V$19,0)),IF(AND('Mezz 2 Amortization'!$T$4="Bi-Annual",FE$5='Mezz 2 Amortization'!$S$4),INDEX('Mezz 2 Amortization'!$B$19:$V$379,MATCH(DATE(FE$7,'Mezz 2 Amortization'!$S$4,31),'Mezz 2 Amortization'!$E$19:$E$379,0),MATCH('Mezz 2 Amortization'!$V$19,'Mezz 2 Amortization'!$B$19:$V$19,0)))))))))))</f>
        <v>0</v>
      </c>
      <c r="FF147" s="427">
        <f>IF('Financing Assumptions'!$T$8="No",0,IF(FF$9&lt;'Financing Assumptions'!$S$26,0,IF(AND('Mezz 2 Amortization'!$T$4&lt;&gt;"Monthly",FF9&lt;='Financing Assumptions'!$S$26),0,IF('Mezz 2 Amortization'!$T$4="Monthly",INDEX('Mezz 2 Amortization'!$B$19:$V$379,MATCH(FF$11,'Mezz 2 Amortization'!$E$19:$E$379,0),MATCH('Mezz 2 Amortization'!$V$19,'Mezz 2 Amortization'!$B$19:$V$19,0)),IF(AND('Mezz 2 Amortization'!$T$4="Bi-Annual",FF$5&lt;MIN('Mezz 2 Amortization'!$R$4,'Mezz 2 Amortization'!$S$4)),INDEX('Mezz 2 Amortization'!$B$19:$V$379,MATCH(DATE(FF$7-1,MAX('Mezz 2 Amortization'!$R$4,'Mezz 2 Amortization'!$S$4),31),'Mezz 2 Amortization'!$E$19:$E$379,0),MATCH('Mezz 2 Amortization'!$V$19,'Mezz 2 Amortization'!$B$19:$V$19,0)),IF(AND('Mezz 2 Amortization'!$T$4="Bi-Annual",FF$5&gt;MAX('Mezz 2 Amortization'!$R$4,'Mezz 2 Amortization'!$S$4)),INDEX('Mezz 2 Amortization'!$B$19:$V$379,MATCH(DATE(FF$7,MAX('Mezz 2 Amortization'!$R$4,'Mezz 2 Amortization'!$S$4),31),'Mezz 2 Amortization'!$E$19:$E$379,0),MATCH('Mezz 2 Amortization'!$V$19,'Mezz 2 Amortization'!$B$19:$V$19,0)),IF(AND('Mezz 2 Amortization'!$T$4="Bi-Annual",FF$5&gt;MIN('Mezz 2 Amortization'!$R$4,'Mezz 2 Amortization'!$S$4),FF$5&lt;MAX('Mezz 2 Amortization'!$R$4,'Mezz 2 Amortization'!$S$4)),INDEX('Mezz 2 Amortization'!$B$19:$V$379,MATCH(DATE(FF$7,MIN('Mezz 2 Amortization'!$R$4,'Mezz 2 Amortization'!$S$4),31),'Mezz 2 Amortization'!$E$19:$E$379,0),MATCH('Mezz 2 Amortization'!$V$19,'Mezz 2 Amortization'!$B$19:$V$19,0)),IF(AND('Mezz 2 Amortization'!$T$4="Bi-Annual",FF$5='Mezz 2 Amortization'!$R$4),INDEX('Mezz 2 Amortization'!$B$19:$V$379,MATCH(DATE(FF$7,'Mezz 2 Amortization'!$R$4,31),'Mezz 2 Amortization'!$E$19:$E$379,0),MATCH('Mezz 2 Amortization'!$V$19,'Mezz 2 Amortization'!$B$19:$V$19,0)),IF(AND('Mezz 2 Amortization'!$T$4="Bi-Annual",FF$5='Mezz 2 Amortization'!$S$4),INDEX('Mezz 2 Amortization'!$B$19:$V$379,MATCH(DATE(FF$7,'Mezz 2 Amortization'!$S$4,31),'Mezz 2 Amortization'!$E$19:$E$379,0),MATCH('Mezz 2 Amortization'!$V$19,'Mezz 2 Amortization'!$B$19:$V$19,0)))))))))))</f>
        <v>0</v>
      </c>
      <c r="FG147" s="427">
        <f>IF('Financing Assumptions'!$T$8="No",0,IF(FG$9&lt;'Financing Assumptions'!$S$26,0,IF(AND('Mezz 2 Amortization'!$T$4&lt;&gt;"Monthly",FG9&lt;='Financing Assumptions'!$S$26),0,IF('Mezz 2 Amortization'!$T$4="Monthly",INDEX('Mezz 2 Amortization'!$B$19:$V$379,MATCH(FG$11,'Mezz 2 Amortization'!$E$19:$E$379,0),MATCH('Mezz 2 Amortization'!$V$19,'Mezz 2 Amortization'!$B$19:$V$19,0)),IF(AND('Mezz 2 Amortization'!$T$4="Bi-Annual",FG$5&lt;MIN('Mezz 2 Amortization'!$R$4,'Mezz 2 Amortization'!$S$4)),INDEX('Mezz 2 Amortization'!$B$19:$V$379,MATCH(DATE(FG$7-1,MAX('Mezz 2 Amortization'!$R$4,'Mezz 2 Amortization'!$S$4),31),'Mezz 2 Amortization'!$E$19:$E$379,0),MATCH('Mezz 2 Amortization'!$V$19,'Mezz 2 Amortization'!$B$19:$V$19,0)),IF(AND('Mezz 2 Amortization'!$T$4="Bi-Annual",FG$5&gt;MAX('Mezz 2 Amortization'!$R$4,'Mezz 2 Amortization'!$S$4)),INDEX('Mezz 2 Amortization'!$B$19:$V$379,MATCH(DATE(FG$7,MAX('Mezz 2 Amortization'!$R$4,'Mezz 2 Amortization'!$S$4),31),'Mezz 2 Amortization'!$E$19:$E$379,0),MATCH('Mezz 2 Amortization'!$V$19,'Mezz 2 Amortization'!$B$19:$V$19,0)),IF(AND('Mezz 2 Amortization'!$T$4="Bi-Annual",FG$5&gt;MIN('Mezz 2 Amortization'!$R$4,'Mezz 2 Amortization'!$S$4),FG$5&lt;MAX('Mezz 2 Amortization'!$R$4,'Mezz 2 Amortization'!$S$4)),INDEX('Mezz 2 Amortization'!$B$19:$V$379,MATCH(DATE(FG$7,MIN('Mezz 2 Amortization'!$R$4,'Mezz 2 Amortization'!$S$4),31),'Mezz 2 Amortization'!$E$19:$E$379,0),MATCH('Mezz 2 Amortization'!$V$19,'Mezz 2 Amortization'!$B$19:$V$19,0)),IF(AND('Mezz 2 Amortization'!$T$4="Bi-Annual",FG$5='Mezz 2 Amortization'!$R$4),INDEX('Mezz 2 Amortization'!$B$19:$V$379,MATCH(DATE(FG$7,'Mezz 2 Amortization'!$R$4,31),'Mezz 2 Amortization'!$E$19:$E$379,0),MATCH('Mezz 2 Amortization'!$V$19,'Mezz 2 Amortization'!$B$19:$V$19,0)),IF(AND('Mezz 2 Amortization'!$T$4="Bi-Annual",FG$5='Mezz 2 Amortization'!$S$4),INDEX('Mezz 2 Amortization'!$B$19:$V$379,MATCH(DATE(FG$7,'Mezz 2 Amortization'!$S$4,31),'Mezz 2 Amortization'!$E$19:$E$379,0),MATCH('Mezz 2 Amortization'!$V$19,'Mezz 2 Amortization'!$B$19:$V$19,0)))))))))))</f>
        <v>0</v>
      </c>
      <c r="FH147" s="427">
        <f>IF('Financing Assumptions'!$T$8="No",0,IF(FH$9&lt;'Financing Assumptions'!$S$26,0,IF(AND('Mezz 2 Amortization'!$T$4&lt;&gt;"Monthly",FH9&lt;='Financing Assumptions'!$S$26),0,IF('Mezz 2 Amortization'!$T$4="Monthly",INDEX('Mezz 2 Amortization'!$B$19:$V$379,MATCH(FH$11,'Mezz 2 Amortization'!$E$19:$E$379,0),MATCH('Mezz 2 Amortization'!$V$19,'Mezz 2 Amortization'!$B$19:$V$19,0)),IF(AND('Mezz 2 Amortization'!$T$4="Bi-Annual",FH$5&lt;MIN('Mezz 2 Amortization'!$R$4,'Mezz 2 Amortization'!$S$4)),INDEX('Mezz 2 Amortization'!$B$19:$V$379,MATCH(DATE(FH$7-1,MAX('Mezz 2 Amortization'!$R$4,'Mezz 2 Amortization'!$S$4),31),'Mezz 2 Amortization'!$E$19:$E$379,0),MATCH('Mezz 2 Amortization'!$V$19,'Mezz 2 Amortization'!$B$19:$V$19,0)),IF(AND('Mezz 2 Amortization'!$T$4="Bi-Annual",FH$5&gt;MAX('Mezz 2 Amortization'!$R$4,'Mezz 2 Amortization'!$S$4)),INDEX('Mezz 2 Amortization'!$B$19:$V$379,MATCH(DATE(FH$7,MAX('Mezz 2 Amortization'!$R$4,'Mezz 2 Amortization'!$S$4),31),'Mezz 2 Amortization'!$E$19:$E$379,0),MATCH('Mezz 2 Amortization'!$V$19,'Mezz 2 Amortization'!$B$19:$V$19,0)),IF(AND('Mezz 2 Amortization'!$T$4="Bi-Annual",FH$5&gt;MIN('Mezz 2 Amortization'!$R$4,'Mezz 2 Amortization'!$S$4),FH$5&lt;MAX('Mezz 2 Amortization'!$R$4,'Mezz 2 Amortization'!$S$4)),INDEX('Mezz 2 Amortization'!$B$19:$V$379,MATCH(DATE(FH$7,MIN('Mezz 2 Amortization'!$R$4,'Mezz 2 Amortization'!$S$4),31),'Mezz 2 Amortization'!$E$19:$E$379,0),MATCH('Mezz 2 Amortization'!$V$19,'Mezz 2 Amortization'!$B$19:$V$19,0)),IF(AND('Mezz 2 Amortization'!$T$4="Bi-Annual",FH$5='Mezz 2 Amortization'!$R$4),INDEX('Mezz 2 Amortization'!$B$19:$V$379,MATCH(DATE(FH$7,'Mezz 2 Amortization'!$R$4,31),'Mezz 2 Amortization'!$E$19:$E$379,0),MATCH('Mezz 2 Amortization'!$V$19,'Mezz 2 Amortization'!$B$19:$V$19,0)),IF(AND('Mezz 2 Amortization'!$T$4="Bi-Annual",FH$5='Mezz 2 Amortization'!$S$4),INDEX('Mezz 2 Amortization'!$B$19:$V$379,MATCH(DATE(FH$7,'Mezz 2 Amortization'!$S$4,31),'Mezz 2 Amortization'!$E$19:$E$379,0),MATCH('Mezz 2 Amortization'!$V$19,'Mezz 2 Amortization'!$B$19:$V$19,0)))))))))))</f>
        <v>0</v>
      </c>
      <c r="FI147" s="427">
        <f>IF('Financing Assumptions'!$T$8="No",0,IF(FI$9&lt;'Financing Assumptions'!$S$26,0,IF(AND('Mezz 2 Amortization'!$T$4&lt;&gt;"Monthly",FI9&lt;='Financing Assumptions'!$S$26),0,IF('Mezz 2 Amortization'!$T$4="Monthly",INDEX('Mezz 2 Amortization'!$B$19:$V$379,MATCH(FI$11,'Mezz 2 Amortization'!$E$19:$E$379,0),MATCH('Mezz 2 Amortization'!$V$19,'Mezz 2 Amortization'!$B$19:$V$19,0)),IF(AND('Mezz 2 Amortization'!$T$4="Bi-Annual",FI$5&lt;MIN('Mezz 2 Amortization'!$R$4,'Mezz 2 Amortization'!$S$4)),INDEX('Mezz 2 Amortization'!$B$19:$V$379,MATCH(DATE(FI$7-1,MAX('Mezz 2 Amortization'!$R$4,'Mezz 2 Amortization'!$S$4),31),'Mezz 2 Amortization'!$E$19:$E$379,0),MATCH('Mezz 2 Amortization'!$V$19,'Mezz 2 Amortization'!$B$19:$V$19,0)),IF(AND('Mezz 2 Amortization'!$T$4="Bi-Annual",FI$5&gt;MAX('Mezz 2 Amortization'!$R$4,'Mezz 2 Amortization'!$S$4)),INDEX('Mezz 2 Amortization'!$B$19:$V$379,MATCH(DATE(FI$7,MAX('Mezz 2 Amortization'!$R$4,'Mezz 2 Amortization'!$S$4),31),'Mezz 2 Amortization'!$E$19:$E$379,0),MATCH('Mezz 2 Amortization'!$V$19,'Mezz 2 Amortization'!$B$19:$V$19,0)),IF(AND('Mezz 2 Amortization'!$T$4="Bi-Annual",FI$5&gt;MIN('Mezz 2 Amortization'!$R$4,'Mezz 2 Amortization'!$S$4),FI$5&lt;MAX('Mezz 2 Amortization'!$R$4,'Mezz 2 Amortization'!$S$4)),INDEX('Mezz 2 Amortization'!$B$19:$V$379,MATCH(DATE(FI$7,MIN('Mezz 2 Amortization'!$R$4,'Mezz 2 Amortization'!$S$4),31),'Mezz 2 Amortization'!$E$19:$E$379,0),MATCH('Mezz 2 Amortization'!$V$19,'Mezz 2 Amortization'!$B$19:$V$19,0)),IF(AND('Mezz 2 Amortization'!$T$4="Bi-Annual",FI$5='Mezz 2 Amortization'!$R$4),INDEX('Mezz 2 Amortization'!$B$19:$V$379,MATCH(DATE(FI$7,'Mezz 2 Amortization'!$R$4,31),'Mezz 2 Amortization'!$E$19:$E$379,0),MATCH('Mezz 2 Amortization'!$V$19,'Mezz 2 Amortization'!$B$19:$V$19,0)),IF(AND('Mezz 2 Amortization'!$T$4="Bi-Annual",FI$5='Mezz 2 Amortization'!$S$4),INDEX('Mezz 2 Amortization'!$B$19:$V$379,MATCH(DATE(FI$7,'Mezz 2 Amortization'!$S$4,31),'Mezz 2 Amortization'!$E$19:$E$379,0),MATCH('Mezz 2 Amortization'!$V$19,'Mezz 2 Amortization'!$B$19:$V$19,0)))))))))))</f>
        <v>0</v>
      </c>
      <c r="FJ147" s="427">
        <f>IF('Financing Assumptions'!$T$8="No",0,IF(FJ$9&lt;'Financing Assumptions'!$S$26,0,IF(AND('Mezz 2 Amortization'!$T$4&lt;&gt;"Monthly",FJ9&lt;='Financing Assumptions'!$S$26),0,IF('Mezz 2 Amortization'!$T$4="Monthly",INDEX('Mezz 2 Amortization'!$B$19:$V$379,MATCH(FJ$11,'Mezz 2 Amortization'!$E$19:$E$379,0),MATCH('Mezz 2 Amortization'!$V$19,'Mezz 2 Amortization'!$B$19:$V$19,0)),IF(AND('Mezz 2 Amortization'!$T$4="Bi-Annual",FJ$5&lt;MIN('Mezz 2 Amortization'!$R$4,'Mezz 2 Amortization'!$S$4)),INDEX('Mezz 2 Amortization'!$B$19:$V$379,MATCH(DATE(FJ$7-1,MAX('Mezz 2 Amortization'!$R$4,'Mezz 2 Amortization'!$S$4),31),'Mezz 2 Amortization'!$E$19:$E$379,0),MATCH('Mezz 2 Amortization'!$V$19,'Mezz 2 Amortization'!$B$19:$V$19,0)),IF(AND('Mezz 2 Amortization'!$T$4="Bi-Annual",FJ$5&gt;MAX('Mezz 2 Amortization'!$R$4,'Mezz 2 Amortization'!$S$4)),INDEX('Mezz 2 Amortization'!$B$19:$V$379,MATCH(DATE(FJ$7,MAX('Mezz 2 Amortization'!$R$4,'Mezz 2 Amortization'!$S$4),31),'Mezz 2 Amortization'!$E$19:$E$379,0),MATCH('Mezz 2 Amortization'!$V$19,'Mezz 2 Amortization'!$B$19:$V$19,0)),IF(AND('Mezz 2 Amortization'!$T$4="Bi-Annual",FJ$5&gt;MIN('Mezz 2 Amortization'!$R$4,'Mezz 2 Amortization'!$S$4),FJ$5&lt;MAX('Mezz 2 Amortization'!$R$4,'Mezz 2 Amortization'!$S$4)),INDEX('Mezz 2 Amortization'!$B$19:$V$379,MATCH(DATE(FJ$7,MIN('Mezz 2 Amortization'!$R$4,'Mezz 2 Amortization'!$S$4),31),'Mezz 2 Amortization'!$E$19:$E$379,0),MATCH('Mezz 2 Amortization'!$V$19,'Mezz 2 Amortization'!$B$19:$V$19,0)),IF(AND('Mezz 2 Amortization'!$T$4="Bi-Annual",FJ$5='Mezz 2 Amortization'!$R$4),INDEX('Mezz 2 Amortization'!$B$19:$V$379,MATCH(DATE(FJ$7,'Mezz 2 Amortization'!$R$4,31),'Mezz 2 Amortization'!$E$19:$E$379,0),MATCH('Mezz 2 Amortization'!$V$19,'Mezz 2 Amortization'!$B$19:$V$19,0)),IF(AND('Mezz 2 Amortization'!$T$4="Bi-Annual",FJ$5='Mezz 2 Amortization'!$S$4),INDEX('Mezz 2 Amortization'!$B$19:$V$379,MATCH(DATE(FJ$7,'Mezz 2 Amortization'!$S$4,31),'Mezz 2 Amortization'!$E$19:$E$379,0),MATCH('Mezz 2 Amortization'!$V$19,'Mezz 2 Amortization'!$B$19:$V$19,0)))))))))))</f>
        <v>0</v>
      </c>
      <c r="FK147" s="427">
        <f>IF('Financing Assumptions'!$T$8="No",0,IF(FK$9&lt;'Financing Assumptions'!$S$26,0,IF(AND('Mezz 2 Amortization'!$T$4&lt;&gt;"Monthly",FK9&lt;='Financing Assumptions'!$S$26),0,IF('Mezz 2 Amortization'!$T$4="Monthly",INDEX('Mezz 2 Amortization'!$B$19:$V$379,MATCH(FK$11,'Mezz 2 Amortization'!$E$19:$E$379,0),MATCH('Mezz 2 Amortization'!$V$19,'Mezz 2 Amortization'!$B$19:$V$19,0)),IF(AND('Mezz 2 Amortization'!$T$4="Bi-Annual",FK$5&lt;MIN('Mezz 2 Amortization'!$R$4,'Mezz 2 Amortization'!$S$4)),INDEX('Mezz 2 Amortization'!$B$19:$V$379,MATCH(DATE(FK$7-1,MAX('Mezz 2 Amortization'!$R$4,'Mezz 2 Amortization'!$S$4),31),'Mezz 2 Amortization'!$E$19:$E$379,0),MATCH('Mezz 2 Amortization'!$V$19,'Mezz 2 Amortization'!$B$19:$V$19,0)),IF(AND('Mezz 2 Amortization'!$T$4="Bi-Annual",FK$5&gt;MAX('Mezz 2 Amortization'!$R$4,'Mezz 2 Amortization'!$S$4)),INDEX('Mezz 2 Amortization'!$B$19:$V$379,MATCH(DATE(FK$7,MAX('Mezz 2 Amortization'!$R$4,'Mezz 2 Amortization'!$S$4),31),'Mezz 2 Amortization'!$E$19:$E$379,0),MATCH('Mezz 2 Amortization'!$V$19,'Mezz 2 Amortization'!$B$19:$V$19,0)),IF(AND('Mezz 2 Amortization'!$T$4="Bi-Annual",FK$5&gt;MIN('Mezz 2 Amortization'!$R$4,'Mezz 2 Amortization'!$S$4),FK$5&lt;MAX('Mezz 2 Amortization'!$R$4,'Mezz 2 Amortization'!$S$4)),INDEX('Mezz 2 Amortization'!$B$19:$V$379,MATCH(DATE(FK$7,MIN('Mezz 2 Amortization'!$R$4,'Mezz 2 Amortization'!$S$4),31),'Mezz 2 Amortization'!$E$19:$E$379,0),MATCH('Mezz 2 Amortization'!$V$19,'Mezz 2 Amortization'!$B$19:$V$19,0)),IF(AND('Mezz 2 Amortization'!$T$4="Bi-Annual",FK$5='Mezz 2 Amortization'!$R$4),INDEX('Mezz 2 Amortization'!$B$19:$V$379,MATCH(DATE(FK$7,'Mezz 2 Amortization'!$R$4,31),'Mezz 2 Amortization'!$E$19:$E$379,0),MATCH('Mezz 2 Amortization'!$V$19,'Mezz 2 Amortization'!$B$19:$V$19,0)),IF(AND('Mezz 2 Amortization'!$T$4="Bi-Annual",FK$5='Mezz 2 Amortization'!$S$4),INDEX('Mezz 2 Amortization'!$B$19:$V$379,MATCH(DATE(FK$7,'Mezz 2 Amortization'!$S$4,31),'Mezz 2 Amortization'!$E$19:$E$379,0),MATCH('Mezz 2 Amortization'!$V$19,'Mezz 2 Amortization'!$B$19:$V$19,0)))))))))))</f>
        <v>0</v>
      </c>
      <c r="FL147" s="427">
        <f>IF('Financing Assumptions'!$T$8="No",0,IF(FL$9&lt;'Financing Assumptions'!$S$26,0,IF(AND('Mezz 2 Amortization'!$T$4&lt;&gt;"Monthly",FL9&lt;='Financing Assumptions'!$S$26),0,IF('Mezz 2 Amortization'!$T$4="Monthly",INDEX('Mezz 2 Amortization'!$B$19:$V$379,MATCH(FL$11,'Mezz 2 Amortization'!$E$19:$E$379,0),MATCH('Mezz 2 Amortization'!$V$19,'Mezz 2 Amortization'!$B$19:$V$19,0)),IF(AND('Mezz 2 Amortization'!$T$4="Bi-Annual",FL$5&lt;MIN('Mezz 2 Amortization'!$R$4,'Mezz 2 Amortization'!$S$4)),INDEX('Mezz 2 Amortization'!$B$19:$V$379,MATCH(DATE(FL$7-1,MAX('Mezz 2 Amortization'!$R$4,'Mezz 2 Amortization'!$S$4),31),'Mezz 2 Amortization'!$E$19:$E$379,0),MATCH('Mezz 2 Amortization'!$V$19,'Mezz 2 Amortization'!$B$19:$V$19,0)),IF(AND('Mezz 2 Amortization'!$T$4="Bi-Annual",FL$5&gt;MAX('Mezz 2 Amortization'!$R$4,'Mezz 2 Amortization'!$S$4)),INDEX('Mezz 2 Amortization'!$B$19:$V$379,MATCH(DATE(FL$7,MAX('Mezz 2 Amortization'!$R$4,'Mezz 2 Amortization'!$S$4),31),'Mezz 2 Amortization'!$E$19:$E$379,0),MATCH('Mezz 2 Amortization'!$V$19,'Mezz 2 Amortization'!$B$19:$V$19,0)),IF(AND('Mezz 2 Amortization'!$T$4="Bi-Annual",FL$5&gt;MIN('Mezz 2 Amortization'!$R$4,'Mezz 2 Amortization'!$S$4),FL$5&lt;MAX('Mezz 2 Amortization'!$R$4,'Mezz 2 Amortization'!$S$4)),INDEX('Mezz 2 Amortization'!$B$19:$V$379,MATCH(DATE(FL$7,MIN('Mezz 2 Amortization'!$R$4,'Mezz 2 Amortization'!$S$4),31),'Mezz 2 Amortization'!$E$19:$E$379,0),MATCH('Mezz 2 Amortization'!$V$19,'Mezz 2 Amortization'!$B$19:$V$19,0)),IF(AND('Mezz 2 Amortization'!$T$4="Bi-Annual",FL$5='Mezz 2 Amortization'!$R$4),INDEX('Mezz 2 Amortization'!$B$19:$V$379,MATCH(DATE(FL$7,'Mezz 2 Amortization'!$R$4,31),'Mezz 2 Amortization'!$E$19:$E$379,0),MATCH('Mezz 2 Amortization'!$V$19,'Mezz 2 Amortization'!$B$19:$V$19,0)),IF(AND('Mezz 2 Amortization'!$T$4="Bi-Annual",FL$5='Mezz 2 Amortization'!$S$4),INDEX('Mezz 2 Amortization'!$B$19:$V$379,MATCH(DATE(FL$7,'Mezz 2 Amortization'!$S$4,31),'Mezz 2 Amortization'!$E$19:$E$379,0),MATCH('Mezz 2 Amortization'!$V$19,'Mezz 2 Amortization'!$B$19:$V$19,0)))))))))))</f>
        <v>0</v>
      </c>
      <c r="FM147" s="427">
        <f>IF('Financing Assumptions'!$T$8="No",0,IF(FM$9&lt;'Financing Assumptions'!$S$26,0,IF(AND('Mezz 2 Amortization'!$T$4&lt;&gt;"Monthly",FM9&lt;='Financing Assumptions'!$S$26),0,IF('Mezz 2 Amortization'!$T$4="Monthly",INDEX('Mezz 2 Amortization'!$B$19:$V$379,MATCH(FM$11,'Mezz 2 Amortization'!$E$19:$E$379,0),MATCH('Mezz 2 Amortization'!$V$19,'Mezz 2 Amortization'!$B$19:$V$19,0)),IF(AND('Mezz 2 Amortization'!$T$4="Bi-Annual",FM$5&lt;MIN('Mezz 2 Amortization'!$R$4,'Mezz 2 Amortization'!$S$4)),INDEX('Mezz 2 Amortization'!$B$19:$V$379,MATCH(DATE(FM$7-1,MAX('Mezz 2 Amortization'!$R$4,'Mezz 2 Amortization'!$S$4),31),'Mezz 2 Amortization'!$E$19:$E$379,0),MATCH('Mezz 2 Amortization'!$V$19,'Mezz 2 Amortization'!$B$19:$V$19,0)),IF(AND('Mezz 2 Amortization'!$T$4="Bi-Annual",FM$5&gt;MAX('Mezz 2 Amortization'!$R$4,'Mezz 2 Amortization'!$S$4)),INDEX('Mezz 2 Amortization'!$B$19:$V$379,MATCH(DATE(FM$7,MAX('Mezz 2 Amortization'!$R$4,'Mezz 2 Amortization'!$S$4),31),'Mezz 2 Amortization'!$E$19:$E$379,0),MATCH('Mezz 2 Amortization'!$V$19,'Mezz 2 Amortization'!$B$19:$V$19,0)),IF(AND('Mezz 2 Amortization'!$T$4="Bi-Annual",FM$5&gt;MIN('Mezz 2 Amortization'!$R$4,'Mezz 2 Amortization'!$S$4),FM$5&lt;MAX('Mezz 2 Amortization'!$R$4,'Mezz 2 Amortization'!$S$4)),INDEX('Mezz 2 Amortization'!$B$19:$V$379,MATCH(DATE(FM$7,MIN('Mezz 2 Amortization'!$R$4,'Mezz 2 Amortization'!$S$4),31),'Mezz 2 Amortization'!$E$19:$E$379,0),MATCH('Mezz 2 Amortization'!$V$19,'Mezz 2 Amortization'!$B$19:$V$19,0)),IF(AND('Mezz 2 Amortization'!$T$4="Bi-Annual",FM$5='Mezz 2 Amortization'!$R$4),INDEX('Mezz 2 Amortization'!$B$19:$V$379,MATCH(DATE(FM$7,'Mezz 2 Amortization'!$R$4,31),'Mezz 2 Amortization'!$E$19:$E$379,0),MATCH('Mezz 2 Amortization'!$V$19,'Mezz 2 Amortization'!$B$19:$V$19,0)),IF(AND('Mezz 2 Amortization'!$T$4="Bi-Annual",FM$5='Mezz 2 Amortization'!$S$4),INDEX('Mezz 2 Amortization'!$B$19:$V$379,MATCH(DATE(FM$7,'Mezz 2 Amortization'!$S$4,31),'Mezz 2 Amortization'!$E$19:$E$379,0),MATCH('Mezz 2 Amortization'!$V$19,'Mezz 2 Amortization'!$B$19:$V$19,0)))))))))))</f>
        <v>0</v>
      </c>
      <c r="FN147" s="427">
        <f>IF('Financing Assumptions'!$T$8="No",0,IF(FN$9&lt;'Financing Assumptions'!$S$26,0,IF(AND('Mezz 2 Amortization'!$T$4&lt;&gt;"Monthly",FN9&lt;='Financing Assumptions'!$S$26),0,IF('Mezz 2 Amortization'!$T$4="Monthly",INDEX('Mezz 2 Amortization'!$B$19:$V$379,MATCH(FN$11,'Mezz 2 Amortization'!$E$19:$E$379,0),MATCH('Mezz 2 Amortization'!$V$19,'Mezz 2 Amortization'!$B$19:$V$19,0)),IF(AND('Mezz 2 Amortization'!$T$4="Bi-Annual",FN$5&lt;MIN('Mezz 2 Amortization'!$R$4,'Mezz 2 Amortization'!$S$4)),INDEX('Mezz 2 Amortization'!$B$19:$V$379,MATCH(DATE(FN$7-1,MAX('Mezz 2 Amortization'!$R$4,'Mezz 2 Amortization'!$S$4),31),'Mezz 2 Amortization'!$E$19:$E$379,0),MATCH('Mezz 2 Amortization'!$V$19,'Mezz 2 Amortization'!$B$19:$V$19,0)),IF(AND('Mezz 2 Amortization'!$T$4="Bi-Annual",FN$5&gt;MAX('Mezz 2 Amortization'!$R$4,'Mezz 2 Amortization'!$S$4)),INDEX('Mezz 2 Amortization'!$B$19:$V$379,MATCH(DATE(FN$7,MAX('Mezz 2 Amortization'!$R$4,'Mezz 2 Amortization'!$S$4),31),'Mezz 2 Amortization'!$E$19:$E$379,0),MATCH('Mezz 2 Amortization'!$V$19,'Mezz 2 Amortization'!$B$19:$V$19,0)),IF(AND('Mezz 2 Amortization'!$T$4="Bi-Annual",FN$5&gt;MIN('Mezz 2 Amortization'!$R$4,'Mezz 2 Amortization'!$S$4),FN$5&lt;MAX('Mezz 2 Amortization'!$R$4,'Mezz 2 Amortization'!$S$4)),INDEX('Mezz 2 Amortization'!$B$19:$V$379,MATCH(DATE(FN$7,MIN('Mezz 2 Amortization'!$R$4,'Mezz 2 Amortization'!$S$4),31),'Mezz 2 Amortization'!$E$19:$E$379,0),MATCH('Mezz 2 Amortization'!$V$19,'Mezz 2 Amortization'!$B$19:$V$19,0)),IF(AND('Mezz 2 Amortization'!$T$4="Bi-Annual",FN$5='Mezz 2 Amortization'!$R$4),INDEX('Mezz 2 Amortization'!$B$19:$V$379,MATCH(DATE(FN$7,'Mezz 2 Amortization'!$R$4,31),'Mezz 2 Amortization'!$E$19:$E$379,0),MATCH('Mezz 2 Amortization'!$V$19,'Mezz 2 Amortization'!$B$19:$V$19,0)),IF(AND('Mezz 2 Amortization'!$T$4="Bi-Annual",FN$5='Mezz 2 Amortization'!$S$4),INDEX('Mezz 2 Amortization'!$B$19:$V$379,MATCH(DATE(FN$7,'Mezz 2 Amortization'!$S$4,31),'Mezz 2 Amortization'!$E$19:$E$379,0),MATCH('Mezz 2 Amortization'!$V$19,'Mezz 2 Amortization'!$B$19:$V$19,0)))))))))))</f>
        <v>0</v>
      </c>
      <c r="FO147" s="427">
        <f>IF('Financing Assumptions'!$T$8="No",0,IF(FO$9&lt;'Financing Assumptions'!$S$26,0,IF(AND('Mezz 2 Amortization'!$T$4&lt;&gt;"Monthly",FO9&lt;='Financing Assumptions'!$S$26),0,IF('Mezz 2 Amortization'!$T$4="Monthly",INDEX('Mezz 2 Amortization'!$B$19:$V$379,MATCH(FO$11,'Mezz 2 Amortization'!$E$19:$E$379,0),MATCH('Mezz 2 Amortization'!$V$19,'Mezz 2 Amortization'!$B$19:$V$19,0)),IF(AND('Mezz 2 Amortization'!$T$4="Bi-Annual",FO$5&lt;MIN('Mezz 2 Amortization'!$R$4,'Mezz 2 Amortization'!$S$4)),INDEX('Mezz 2 Amortization'!$B$19:$V$379,MATCH(DATE(FO$7-1,MAX('Mezz 2 Amortization'!$R$4,'Mezz 2 Amortization'!$S$4),31),'Mezz 2 Amortization'!$E$19:$E$379,0),MATCH('Mezz 2 Amortization'!$V$19,'Mezz 2 Amortization'!$B$19:$V$19,0)),IF(AND('Mezz 2 Amortization'!$T$4="Bi-Annual",FO$5&gt;MAX('Mezz 2 Amortization'!$R$4,'Mezz 2 Amortization'!$S$4)),INDEX('Mezz 2 Amortization'!$B$19:$V$379,MATCH(DATE(FO$7,MAX('Mezz 2 Amortization'!$R$4,'Mezz 2 Amortization'!$S$4),31),'Mezz 2 Amortization'!$E$19:$E$379,0),MATCH('Mezz 2 Amortization'!$V$19,'Mezz 2 Amortization'!$B$19:$V$19,0)),IF(AND('Mezz 2 Amortization'!$T$4="Bi-Annual",FO$5&gt;MIN('Mezz 2 Amortization'!$R$4,'Mezz 2 Amortization'!$S$4),FO$5&lt;MAX('Mezz 2 Amortization'!$R$4,'Mezz 2 Amortization'!$S$4)),INDEX('Mezz 2 Amortization'!$B$19:$V$379,MATCH(DATE(FO$7,MIN('Mezz 2 Amortization'!$R$4,'Mezz 2 Amortization'!$S$4),31),'Mezz 2 Amortization'!$E$19:$E$379,0),MATCH('Mezz 2 Amortization'!$V$19,'Mezz 2 Amortization'!$B$19:$V$19,0)),IF(AND('Mezz 2 Amortization'!$T$4="Bi-Annual",FO$5='Mezz 2 Amortization'!$R$4),INDEX('Mezz 2 Amortization'!$B$19:$V$379,MATCH(DATE(FO$7,'Mezz 2 Amortization'!$R$4,31),'Mezz 2 Amortization'!$E$19:$E$379,0),MATCH('Mezz 2 Amortization'!$V$19,'Mezz 2 Amortization'!$B$19:$V$19,0)),IF(AND('Mezz 2 Amortization'!$T$4="Bi-Annual",FO$5='Mezz 2 Amortization'!$S$4),INDEX('Mezz 2 Amortization'!$B$19:$V$379,MATCH(DATE(FO$7,'Mezz 2 Amortization'!$S$4,31),'Mezz 2 Amortization'!$E$19:$E$379,0),MATCH('Mezz 2 Amortization'!$V$19,'Mezz 2 Amortization'!$B$19:$V$19,0)))))))))))</f>
        <v>0</v>
      </c>
      <c r="FP147" s="427">
        <f>IF('Financing Assumptions'!$T$8="No",0,IF(FP$9&lt;'Financing Assumptions'!$S$26,0,IF(AND('Mezz 2 Amortization'!$T$4&lt;&gt;"Monthly",FP9&lt;='Financing Assumptions'!$S$26),0,IF('Mezz 2 Amortization'!$T$4="Monthly",INDEX('Mezz 2 Amortization'!$B$19:$V$379,MATCH(FP$11,'Mezz 2 Amortization'!$E$19:$E$379,0),MATCH('Mezz 2 Amortization'!$V$19,'Mezz 2 Amortization'!$B$19:$V$19,0)),IF(AND('Mezz 2 Amortization'!$T$4="Bi-Annual",FP$5&lt;MIN('Mezz 2 Amortization'!$R$4,'Mezz 2 Amortization'!$S$4)),INDEX('Mezz 2 Amortization'!$B$19:$V$379,MATCH(DATE(FP$7-1,MAX('Mezz 2 Amortization'!$R$4,'Mezz 2 Amortization'!$S$4),31),'Mezz 2 Amortization'!$E$19:$E$379,0),MATCH('Mezz 2 Amortization'!$V$19,'Mezz 2 Amortization'!$B$19:$V$19,0)),IF(AND('Mezz 2 Amortization'!$T$4="Bi-Annual",FP$5&gt;MAX('Mezz 2 Amortization'!$R$4,'Mezz 2 Amortization'!$S$4)),INDEX('Mezz 2 Amortization'!$B$19:$V$379,MATCH(DATE(FP$7,MAX('Mezz 2 Amortization'!$R$4,'Mezz 2 Amortization'!$S$4),31),'Mezz 2 Amortization'!$E$19:$E$379,0),MATCH('Mezz 2 Amortization'!$V$19,'Mezz 2 Amortization'!$B$19:$V$19,0)),IF(AND('Mezz 2 Amortization'!$T$4="Bi-Annual",FP$5&gt;MIN('Mezz 2 Amortization'!$R$4,'Mezz 2 Amortization'!$S$4),FP$5&lt;MAX('Mezz 2 Amortization'!$R$4,'Mezz 2 Amortization'!$S$4)),INDEX('Mezz 2 Amortization'!$B$19:$V$379,MATCH(DATE(FP$7,MIN('Mezz 2 Amortization'!$R$4,'Mezz 2 Amortization'!$S$4),31),'Mezz 2 Amortization'!$E$19:$E$379,0),MATCH('Mezz 2 Amortization'!$V$19,'Mezz 2 Amortization'!$B$19:$V$19,0)),IF(AND('Mezz 2 Amortization'!$T$4="Bi-Annual",FP$5='Mezz 2 Amortization'!$R$4),INDEX('Mezz 2 Amortization'!$B$19:$V$379,MATCH(DATE(FP$7,'Mezz 2 Amortization'!$R$4,31),'Mezz 2 Amortization'!$E$19:$E$379,0),MATCH('Mezz 2 Amortization'!$V$19,'Mezz 2 Amortization'!$B$19:$V$19,0)),IF(AND('Mezz 2 Amortization'!$T$4="Bi-Annual",FP$5='Mezz 2 Amortization'!$S$4),INDEX('Mezz 2 Amortization'!$B$19:$V$379,MATCH(DATE(FP$7,'Mezz 2 Amortization'!$S$4,31),'Mezz 2 Amortization'!$E$19:$E$379,0),MATCH('Mezz 2 Amortization'!$V$19,'Mezz 2 Amortization'!$B$19:$V$19,0)))))))))))</f>
        <v>0</v>
      </c>
      <c r="FQ147" s="427">
        <f>IF('Financing Assumptions'!$T$8="No",0,IF(FQ$9&lt;'Financing Assumptions'!$S$26,0,IF(AND('Mezz 2 Amortization'!$T$4&lt;&gt;"Monthly",FQ9&lt;='Financing Assumptions'!$S$26),0,IF('Mezz 2 Amortization'!$T$4="Monthly",INDEX('Mezz 2 Amortization'!$B$19:$V$379,MATCH(FQ$11,'Mezz 2 Amortization'!$E$19:$E$379,0),MATCH('Mezz 2 Amortization'!$V$19,'Mezz 2 Amortization'!$B$19:$V$19,0)),IF(AND('Mezz 2 Amortization'!$T$4="Bi-Annual",FQ$5&lt;MIN('Mezz 2 Amortization'!$R$4,'Mezz 2 Amortization'!$S$4)),INDEX('Mezz 2 Amortization'!$B$19:$V$379,MATCH(DATE(FQ$7-1,MAX('Mezz 2 Amortization'!$R$4,'Mezz 2 Amortization'!$S$4),31),'Mezz 2 Amortization'!$E$19:$E$379,0),MATCH('Mezz 2 Amortization'!$V$19,'Mezz 2 Amortization'!$B$19:$V$19,0)),IF(AND('Mezz 2 Amortization'!$T$4="Bi-Annual",FQ$5&gt;MAX('Mezz 2 Amortization'!$R$4,'Mezz 2 Amortization'!$S$4)),INDEX('Mezz 2 Amortization'!$B$19:$V$379,MATCH(DATE(FQ$7,MAX('Mezz 2 Amortization'!$R$4,'Mezz 2 Amortization'!$S$4),31),'Mezz 2 Amortization'!$E$19:$E$379,0),MATCH('Mezz 2 Amortization'!$V$19,'Mezz 2 Amortization'!$B$19:$V$19,0)),IF(AND('Mezz 2 Amortization'!$T$4="Bi-Annual",FQ$5&gt;MIN('Mezz 2 Amortization'!$R$4,'Mezz 2 Amortization'!$S$4),FQ$5&lt;MAX('Mezz 2 Amortization'!$R$4,'Mezz 2 Amortization'!$S$4)),INDEX('Mezz 2 Amortization'!$B$19:$V$379,MATCH(DATE(FQ$7,MIN('Mezz 2 Amortization'!$R$4,'Mezz 2 Amortization'!$S$4),31),'Mezz 2 Amortization'!$E$19:$E$379,0),MATCH('Mezz 2 Amortization'!$V$19,'Mezz 2 Amortization'!$B$19:$V$19,0)),IF(AND('Mezz 2 Amortization'!$T$4="Bi-Annual",FQ$5='Mezz 2 Amortization'!$R$4),INDEX('Mezz 2 Amortization'!$B$19:$V$379,MATCH(DATE(FQ$7,'Mezz 2 Amortization'!$R$4,31),'Mezz 2 Amortization'!$E$19:$E$379,0),MATCH('Mezz 2 Amortization'!$V$19,'Mezz 2 Amortization'!$B$19:$V$19,0)),IF(AND('Mezz 2 Amortization'!$T$4="Bi-Annual",FQ$5='Mezz 2 Amortization'!$S$4),INDEX('Mezz 2 Amortization'!$B$19:$V$379,MATCH(DATE(FQ$7,'Mezz 2 Amortization'!$S$4,31),'Mezz 2 Amortization'!$E$19:$E$379,0),MATCH('Mezz 2 Amortization'!$V$19,'Mezz 2 Amortization'!$B$19:$V$19,0)))))))))))</f>
        <v>0</v>
      </c>
      <c r="FR147" s="427">
        <f>IF('Financing Assumptions'!$T$8="No",0,IF(FR$9&lt;'Financing Assumptions'!$S$26,0,IF(AND('Mezz 2 Amortization'!$T$4&lt;&gt;"Monthly",FR9&lt;='Financing Assumptions'!$S$26),0,IF('Mezz 2 Amortization'!$T$4="Monthly",INDEX('Mezz 2 Amortization'!$B$19:$V$379,MATCH(FR$11,'Mezz 2 Amortization'!$E$19:$E$379,0),MATCH('Mezz 2 Amortization'!$V$19,'Mezz 2 Amortization'!$B$19:$V$19,0)),IF(AND('Mezz 2 Amortization'!$T$4="Bi-Annual",FR$5&lt;MIN('Mezz 2 Amortization'!$R$4,'Mezz 2 Amortization'!$S$4)),INDEX('Mezz 2 Amortization'!$B$19:$V$379,MATCH(DATE(FR$7-1,MAX('Mezz 2 Amortization'!$R$4,'Mezz 2 Amortization'!$S$4),31),'Mezz 2 Amortization'!$E$19:$E$379,0),MATCH('Mezz 2 Amortization'!$V$19,'Mezz 2 Amortization'!$B$19:$V$19,0)),IF(AND('Mezz 2 Amortization'!$T$4="Bi-Annual",FR$5&gt;MAX('Mezz 2 Amortization'!$R$4,'Mezz 2 Amortization'!$S$4)),INDEX('Mezz 2 Amortization'!$B$19:$V$379,MATCH(DATE(FR$7,MAX('Mezz 2 Amortization'!$R$4,'Mezz 2 Amortization'!$S$4),31),'Mezz 2 Amortization'!$E$19:$E$379,0),MATCH('Mezz 2 Amortization'!$V$19,'Mezz 2 Amortization'!$B$19:$V$19,0)),IF(AND('Mezz 2 Amortization'!$T$4="Bi-Annual",FR$5&gt;MIN('Mezz 2 Amortization'!$R$4,'Mezz 2 Amortization'!$S$4),FR$5&lt;MAX('Mezz 2 Amortization'!$R$4,'Mezz 2 Amortization'!$S$4)),INDEX('Mezz 2 Amortization'!$B$19:$V$379,MATCH(DATE(FR$7,MIN('Mezz 2 Amortization'!$R$4,'Mezz 2 Amortization'!$S$4),31),'Mezz 2 Amortization'!$E$19:$E$379,0),MATCH('Mezz 2 Amortization'!$V$19,'Mezz 2 Amortization'!$B$19:$V$19,0)),IF(AND('Mezz 2 Amortization'!$T$4="Bi-Annual",FR$5='Mezz 2 Amortization'!$R$4),INDEX('Mezz 2 Amortization'!$B$19:$V$379,MATCH(DATE(FR$7,'Mezz 2 Amortization'!$R$4,31),'Mezz 2 Amortization'!$E$19:$E$379,0),MATCH('Mezz 2 Amortization'!$V$19,'Mezz 2 Amortization'!$B$19:$V$19,0)),IF(AND('Mezz 2 Amortization'!$T$4="Bi-Annual",FR$5='Mezz 2 Amortization'!$S$4),INDEX('Mezz 2 Amortization'!$B$19:$V$379,MATCH(DATE(FR$7,'Mezz 2 Amortization'!$S$4,31),'Mezz 2 Amortization'!$E$19:$E$379,0),MATCH('Mezz 2 Amortization'!$V$19,'Mezz 2 Amortization'!$B$19:$V$19,0)))))))))))</f>
        <v>0</v>
      </c>
      <c r="FS147" s="427">
        <f>IF('Financing Assumptions'!$T$8="No",0,IF(FS$9&lt;'Financing Assumptions'!$S$26,0,IF(AND('Mezz 2 Amortization'!$T$4&lt;&gt;"Monthly",FS9&lt;='Financing Assumptions'!$S$26),0,IF('Mezz 2 Amortization'!$T$4="Monthly",INDEX('Mezz 2 Amortization'!$B$19:$V$379,MATCH(FS$11,'Mezz 2 Amortization'!$E$19:$E$379,0),MATCH('Mezz 2 Amortization'!$V$19,'Mezz 2 Amortization'!$B$19:$V$19,0)),IF(AND('Mezz 2 Amortization'!$T$4="Bi-Annual",FS$5&lt;MIN('Mezz 2 Amortization'!$R$4,'Mezz 2 Amortization'!$S$4)),INDEX('Mezz 2 Amortization'!$B$19:$V$379,MATCH(DATE(FS$7-1,MAX('Mezz 2 Amortization'!$R$4,'Mezz 2 Amortization'!$S$4),31),'Mezz 2 Amortization'!$E$19:$E$379,0),MATCH('Mezz 2 Amortization'!$V$19,'Mezz 2 Amortization'!$B$19:$V$19,0)),IF(AND('Mezz 2 Amortization'!$T$4="Bi-Annual",FS$5&gt;MAX('Mezz 2 Amortization'!$R$4,'Mezz 2 Amortization'!$S$4)),INDEX('Mezz 2 Amortization'!$B$19:$V$379,MATCH(DATE(FS$7,MAX('Mezz 2 Amortization'!$R$4,'Mezz 2 Amortization'!$S$4),31),'Mezz 2 Amortization'!$E$19:$E$379,0),MATCH('Mezz 2 Amortization'!$V$19,'Mezz 2 Amortization'!$B$19:$V$19,0)),IF(AND('Mezz 2 Amortization'!$T$4="Bi-Annual",FS$5&gt;MIN('Mezz 2 Amortization'!$R$4,'Mezz 2 Amortization'!$S$4),FS$5&lt;MAX('Mezz 2 Amortization'!$R$4,'Mezz 2 Amortization'!$S$4)),INDEX('Mezz 2 Amortization'!$B$19:$V$379,MATCH(DATE(FS$7,MIN('Mezz 2 Amortization'!$R$4,'Mezz 2 Amortization'!$S$4),31),'Mezz 2 Amortization'!$E$19:$E$379,0),MATCH('Mezz 2 Amortization'!$V$19,'Mezz 2 Amortization'!$B$19:$V$19,0)),IF(AND('Mezz 2 Amortization'!$T$4="Bi-Annual",FS$5='Mezz 2 Amortization'!$R$4),INDEX('Mezz 2 Amortization'!$B$19:$V$379,MATCH(DATE(FS$7,'Mezz 2 Amortization'!$R$4,31),'Mezz 2 Amortization'!$E$19:$E$379,0),MATCH('Mezz 2 Amortization'!$V$19,'Mezz 2 Amortization'!$B$19:$V$19,0)),IF(AND('Mezz 2 Amortization'!$T$4="Bi-Annual",FS$5='Mezz 2 Amortization'!$S$4),INDEX('Mezz 2 Amortization'!$B$19:$V$379,MATCH(DATE(FS$7,'Mezz 2 Amortization'!$S$4,31),'Mezz 2 Amortization'!$E$19:$E$379,0),MATCH('Mezz 2 Amortization'!$V$19,'Mezz 2 Amortization'!$B$19:$V$19,0)))))))))))</f>
        <v>0</v>
      </c>
      <c r="FT147" s="427">
        <f>IF('Financing Assumptions'!$T$8="No",0,IF(FT$9&lt;'Financing Assumptions'!$S$26,0,IF(AND('Mezz 2 Amortization'!$T$4&lt;&gt;"Monthly",FT9&lt;='Financing Assumptions'!$S$26),0,IF('Mezz 2 Amortization'!$T$4="Monthly",INDEX('Mezz 2 Amortization'!$B$19:$V$379,MATCH(FT$11,'Mezz 2 Amortization'!$E$19:$E$379,0),MATCH('Mezz 2 Amortization'!$V$19,'Mezz 2 Amortization'!$B$19:$V$19,0)),IF(AND('Mezz 2 Amortization'!$T$4="Bi-Annual",FT$5&lt;MIN('Mezz 2 Amortization'!$R$4,'Mezz 2 Amortization'!$S$4)),INDEX('Mezz 2 Amortization'!$B$19:$V$379,MATCH(DATE(FT$7-1,MAX('Mezz 2 Amortization'!$R$4,'Mezz 2 Amortization'!$S$4),31),'Mezz 2 Amortization'!$E$19:$E$379,0),MATCH('Mezz 2 Amortization'!$V$19,'Mezz 2 Amortization'!$B$19:$V$19,0)),IF(AND('Mezz 2 Amortization'!$T$4="Bi-Annual",FT$5&gt;MAX('Mezz 2 Amortization'!$R$4,'Mezz 2 Amortization'!$S$4)),INDEX('Mezz 2 Amortization'!$B$19:$V$379,MATCH(DATE(FT$7,MAX('Mezz 2 Amortization'!$R$4,'Mezz 2 Amortization'!$S$4),31),'Mezz 2 Amortization'!$E$19:$E$379,0),MATCH('Mezz 2 Amortization'!$V$19,'Mezz 2 Amortization'!$B$19:$V$19,0)),IF(AND('Mezz 2 Amortization'!$T$4="Bi-Annual",FT$5&gt;MIN('Mezz 2 Amortization'!$R$4,'Mezz 2 Amortization'!$S$4),FT$5&lt;MAX('Mezz 2 Amortization'!$R$4,'Mezz 2 Amortization'!$S$4)),INDEX('Mezz 2 Amortization'!$B$19:$V$379,MATCH(DATE(FT$7,MIN('Mezz 2 Amortization'!$R$4,'Mezz 2 Amortization'!$S$4),31),'Mezz 2 Amortization'!$E$19:$E$379,0),MATCH('Mezz 2 Amortization'!$V$19,'Mezz 2 Amortization'!$B$19:$V$19,0)),IF(AND('Mezz 2 Amortization'!$T$4="Bi-Annual",FT$5='Mezz 2 Amortization'!$R$4),INDEX('Mezz 2 Amortization'!$B$19:$V$379,MATCH(DATE(FT$7,'Mezz 2 Amortization'!$R$4,31),'Mezz 2 Amortization'!$E$19:$E$379,0),MATCH('Mezz 2 Amortization'!$V$19,'Mezz 2 Amortization'!$B$19:$V$19,0)),IF(AND('Mezz 2 Amortization'!$T$4="Bi-Annual",FT$5='Mezz 2 Amortization'!$S$4),INDEX('Mezz 2 Amortization'!$B$19:$V$379,MATCH(DATE(FT$7,'Mezz 2 Amortization'!$S$4,31),'Mezz 2 Amortization'!$E$19:$E$379,0),MATCH('Mezz 2 Amortization'!$V$19,'Mezz 2 Amortization'!$B$19:$V$19,0)))))))))))</f>
        <v>0</v>
      </c>
      <c r="FU147" s="43"/>
      <c r="FV147" s="34"/>
      <c r="FW147" s="34"/>
      <c r="FX147" s="34"/>
      <c r="FY147" s="34"/>
      <c r="FZ147" s="34"/>
    </row>
    <row r="148" spans="1:182" s="89" customFormat="1" ht="13.5" x14ac:dyDescent="0.25">
      <c r="A148" s="34"/>
      <c r="B148" s="142"/>
      <c r="C148" s="34"/>
      <c r="D148" s="34"/>
      <c r="E148" s="34"/>
      <c r="F148" s="428"/>
      <c r="G148" s="34"/>
      <c r="H148" s="800"/>
      <c r="I148" s="800"/>
      <c r="J148" s="800"/>
      <c r="K148" s="800"/>
      <c r="L148" s="800"/>
      <c r="M148" s="800"/>
      <c r="N148" s="800"/>
      <c r="O148" s="800"/>
      <c r="P148" s="800"/>
      <c r="Q148" s="800"/>
      <c r="R148" s="800"/>
      <c r="S148" s="800"/>
      <c r="T148" s="800"/>
      <c r="U148" s="800"/>
      <c r="V148" s="800"/>
      <c r="W148" s="800"/>
      <c r="X148" s="800"/>
      <c r="Y148" s="800"/>
      <c r="Z148" s="800"/>
      <c r="AA148" s="800"/>
      <c r="AB148" s="800"/>
      <c r="AC148" s="800"/>
      <c r="AD148" s="800"/>
      <c r="AE148" s="800"/>
      <c r="AF148" s="800"/>
      <c r="AG148" s="800"/>
      <c r="AH148" s="800"/>
      <c r="AI148" s="800"/>
      <c r="AJ148" s="800"/>
      <c r="AK148" s="800"/>
      <c r="AL148" s="800"/>
      <c r="AM148" s="800"/>
      <c r="AN148" s="800"/>
      <c r="AO148" s="800"/>
      <c r="AP148" s="800"/>
      <c r="AQ148" s="800"/>
      <c r="AR148" s="800"/>
      <c r="AS148" s="800"/>
      <c r="AT148" s="800"/>
      <c r="AU148" s="800"/>
      <c r="AV148" s="800"/>
      <c r="AW148" s="800"/>
      <c r="AX148" s="800"/>
      <c r="AY148" s="800"/>
      <c r="AZ148" s="800"/>
      <c r="BA148" s="800"/>
      <c r="BB148" s="800"/>
      <c r="BC148" s="800"/>
      <c r="BD148" s="800"/>
      <c r="BE148" s="800"/>
      <c r="BF148" s="800"/>
      <c r="BG148" s="800"/>
      <c r="BH148" s="800"/>
      <c r="BI148" s="800"/>
      <c r="BJ148" s="800"/>
      <c r="BK148" s="800"/>
      <c r="BL148" s="800"/>
      <c r="BM148" s="800"/>
      <c r="BN148" s="800"/>
      <c r="BO148" s="800"/>
      <c r="BP148" s="800"/>
      <c r="BQ148" s="800"/>
      <c r="BR148" s="800"/>
      <c r="BS148" s="800"/>
      <c r="BT148" s="800"/>
      <c r="BU148" s="800"/>
      <c r="BV148" s="800"/>
      <c r="BW148" s="800"/>
      <c r="BX148" s="800"/>
      <c r="BY148" s="800"/>
      <c r="BZ148" s="800"/>
      <c r="CA148" s="800"/>
      <c r="CB148" s="800"/>
      <c r="CC148" s="800"/>
      <c r="CD148" s="800"/>
      <c r="CE148" s="800"/>
      <c r="CF148" s="800"/>
      <c r="CG148" s="800"/>
      <c r="CH148" s="800"/>
      <c r="CI148" s="800"/>
      <c r="CJ148" s="800"/>
      <c r="CK148" s="800"/>
      <c r="CL148" s="800"/>
      <c r="CM148" s="800"/>
      <c r="CN148" s="800"/>
      <c r="CO148" s="800"/>
      <c r="CP148" s="800"/>
      <c r="CQ148" s="800"/>
      <c r="CR148" s="800"/>
      <c r="CS148" s="800"/>
      <c r="CT148" s="800"/>
      <c r="CU148" s="800"/>
      <c r="CV148" s="800"/>
      <c r="CW148" s="800"/>
      <c r="CX148" s="800"/>
      <c r="CY148" s="800"/>
      <c r="CZ148" s="800"/>
      <c r="DA148" s="800"/>
      <c r="DB148" s="800"/>
      <c r="DC148" s="800"/>
      <c r="DD148" s="800"/>
      <c r="DE148" s="800"/>
      <c r="DF148" s="800"/>
      <c r="DG148" s="800"/>
      <c r="DH148" s="800"/>
      <c r="DI148" s="800"/>
      <c r="DJ148" s="800"/>
      <c r="DK148" s="800"/>
      <c r="DL148" s="800"/>
      <c r="DM148" s="800"/>
      <c r="DN148" s="800"/>
      <c r="DO148" s="800"/>
      <c r="DP148" s="800"/>
      <c r="DQ148" s="800"/>
      <c r="DR148" s="800"/>
      <c r="DS148" s="800"/>
      <c r="DT148" s="800"/>
      <c r="DU148" s="800"/>
      <c r="DV148" s="800"/>
      <c r="DW148" s="800"/>
      <c r="DX148" s="800"/>
      <c r="DY148" s="800"/>
      <c r="DZ148" s="800"/>
      <c r="EA148" s="800"/>
      <c r="EB148" s="800"/>
      <c r="EC148" s="800"/>
      <c r="ED148" s="800"/>
      <c r="EE148" s="800"/>
      <c r="EF148" s="800"/>
      <c r="EG148" s="800"/>
      <c r="EH148" s="800"/>
      <c r="EI148" s="800"/>
      <c r="EJ148" s="800"/>
      <c r="EK148" s="800"/>
      <c r="EL148" s="800"/>
      <c r="EM148" s="800"/>
      <c r="EN148" s="800"/>
      <c r="EO148" s="800"/>
      <c r="EP148" s="800"/>
      <c r="EQ148" s="800"/>
      <c r="ER148" s="800"/>
      <c r="ES148" s="800"/>
      <c r="ET148" s="800"/>
      <c r="EU148" s="800"/>
      <c r="EV148" s="800"/>
      <c r="EW148" s="800"/>
      <c r="EX148" s="800"/>
      <c r="EY148" s="800"/>
      <c r="EZ148" s="800"/>
      <c r="FA148" s="800"/>
      <c r="FB148" s="800"/>
      <c r="FC148" s="800"/>
      <c r="FD148" s="800"/>
      <c r="FE148" s="800"/>
      <c r="FF148" s="800"/>
      <c r="FG148" s="800"/>
      <c r="FH148" s="800"/>
      <c r="FI148" s="800"/>
      <c r="FJ148" s="800"/>
      <c r="FK148" s="800"/>
      <c r="FL148" s="800"/>
      <c r="FM148" s="800"/>
      <c r="FN148" s="800"/>
      <c r="FO148" s="800"/>
      <c r="FP148" s="800"/>
      <c r="FQ148" s="800"/>
      <c r="FR148" s="800"/>
      <c r="FS148" s="800"/>
      <c r="FT148" s="800"/>
      <c r="FU148" s="43"/>
      <c r="FV148" s="34"/>
      <c r="FW148" s="34"/>
      <c r="FX148" s="34"/>
      <c r="FY148" s="34"/>
      <c r="FZ148" s="34"/>
    </row>
    <row r="149" spans="1:182" s="89" customFormat="1" ht="13.5" x14ac:dyDescent="0.25">
      <c r="A149" s="34"/>
      <c r="B149" s="142" t="s">
        <v>575</v>
      </c>
      <c r="C149" s="34"/>
      <c r="D149" s="34"/>
      <c r="E149" s="34"/>
      <c r="F149" s="429">
        <f t="shared" ref="F149" si="211">SUM(H149:FT149)</f>
        <v>39724164.164150499</v>
      </c>
      <c r="G149" s="34"/>
      <c r="H149" s="431">
        <f>SUM(H127,H136,H143)</f>
        <v>0</v>
      </c>
      <c r="I149" s="431">
        <f t="shared" ref="I149:AM149" si="212">SUM(I127,I136,I143)</f>
        <v>0</v>
      </c>
      <c r="J149" s="431">
        <f t="shared" si="212"/>
        <v>0</v>
      </c>
      <c r="K149" s="431">
        <f t="shared" si="212"/>
        <v>0</v>
      </c>
      <c r="L149" s="431">
        <f t="shared" si="212"/>
        <v>0</v>
      </c>
      <c r="M149" s="431">
        <f t="shared" si="212"/>
        <v>0</v>
      </c>
      <c r="N149" s="431">
        <f t="shared" si="212"/>
        <v>0</v>
      </c>
      <c r="O149" s="431">
        <f t="shared" si="212"/>
        <v>0</v>
      </c>
      <c r="P149" s="431">
        <f t="shared" si="212"/>
        <v>0</v>
      </c>
      <c r="Q149" s="431">
        <f>SUM(Q127,Q136,Q143)</f>
        <v>0</v>
      </c>
      <c r="R149" s="431">
        <f t="shared" si="212"/>
        <v>0</v>
      </c>
      <c r="S149" s="431">
        <f t="shared" si="212"/>
        <v>0</v>
      </c>
      <c r="T149" s="431">
        <f t="shared" si="212"/>
        <v>0</v>
      </c>
      <c r="U149" s="431">
        <f t="shared" si="212"/>
        <v>0</v>
      </c>
      <c r="V149" s="431">
        <f t="shared" si="212"/>
        <v>0</v>
      </c>
      <c r="W149" s="431">
        <f t="shared" si="212"/>
        <v>0</v>
      </c>
      <c r="X149" s="431">
        <f t="shared" si="212"/>
        <v>0</v>
      </c>
      <c r="Y149" s="431">
        <f t="shared" si="212"/>
        <v>0</v>
      </c>
      <c r="Z149" s="431">
        <f t="shared" si="212"/>
        <v>0</v>
      </c>
      <c r="AA149" s="431">
        <f t="shared" si="212"/>
        <v>0</v>
      </c>
      <c r="AB149" s="431">
        <f t="shared" si="212"/>
        <v>0</v>
      </c>
      <c r="AC149" s="431">
        <f t="shared" si="212"/>
        <v>0</v>
      </c>
      <c r="AD149" s="431">
        <f t="shared" si="212"/>
        <v>0</v>
      </c>
      <c r="AE149" s="431">
        <f>SUM(AE127,AE136,AE143)</f>
        <v>0</v>
      </c>
      <c r="AF149" s="431">
        <f t="shared" si="212"/>
        <v>0</v>
      </c>
      <c r="AG149" s="431">
        <f t="shared" si="212"/>
        <v>0</v>
      </c>
      <c r="AH149" s="431">
        <f t="shared" si="212"/>
        <v>0</v>
      </c>
      <c r="AI149" s="431">
        <f t="shared" si="212"/>
        <v>0</v>
      </c>
      <c r="AJ149" s="431">
        <f t="shared" si="212"/>
        <v>0</v>
      </c>
      <c r="AK149" s="431">
        <f t="shared" si="212"/>
        <v>235653.12499999997</v>
      </c>
      <c r="AL149" s="431">
        <f t="shared" si="212"/>
        <v>235653.12499999997</v>
      </c>
      <c r="AM149" s="431">
        <f t="shared" si="212"/>
        <v>235653.12499999997</v>
      </c>
      <c r="AN149" s="431">
        <f t="shared" ref="AN149:BS149" si="213">SUM(AN127,AN136,AN143)</f>
        <v>235653.12499999997</v>
      </c>
      <c r="AO149" s="431">
        <f t="shared" si="213"/>
        <v>235653.12499999997</v>
      </c>
      <c r="AP149" s="431">
        <f t="shared" si="213"/>
        <v>235653.12499999997</v>
      </c>
      <c r="AQ149" s="431">
        <f t="shared" si="213"/>
        <v>235653.12499999997</v>
      </c>
      <c r="AR149" s="431">
        <f t="shared" si="213"/>
        <v>235653.12499999997</v>
      </c>
      <c r="AS149" s="431">
        <f t="shared" si="213"/>
        <v>235653.12499999997</v>
      </c>
      <c r="AT149" s="431">
        <f t="shared" si="213"/>
        <v>235653.12499999997</v>
      </c>
      <c r="AU149" s="431">
        <f t="shared" si="213"/>
        <v>235653.12499999997</v>
      </c>
      <c r="AV149" s="431">
        <f t="shared" si="213"/>
        <v>235653.12499999997</v>
      </c>
      <c r="AW149" s="431">
        <f t="shared" si="213"/>
        <v>235653.12499999997</v>
      </c>
      <c r="AX149" s="431">
        <f t="shared" si="213"/>
        <v>235653.12499999997</v>
      </c>
      <c r="AY149" s="431">
        <f t="shared" si="213"/>
        <v>235653.12499999997</v>
      </c>
      <c r="AZ149" s="431">
        <f t="shared" si="213"/>
        <v>235653.12499999997</v>
      </c>
      <c r="BA149" s="431">
        <f t="shared" si="213"/>
        <v>235653.12499999997</v>
      </c>
      <c r="BB149" s="431">
        <f t="shared" si="213"/>
        <v>235653.12499999997</v>
      </c>
      <c r="BC149" s="431">
        <f t="shared" si="213"/>
        <v>235653.12499999997</v>
      </c>
      <c r="BD149" s="431">
        <f t="shared" si="213"/>
        <v>235653.12499999997</v>
      </c>
      <c r="BE149" s="431">
        <f t="shared" si="213"/>
        <v>235653.12499999997</v>
      </c>
      <c r="BF149" s="431">
        <f t="shared" si="213"/>
        <v>235653.12499999997</v>
      </c>
      <c r="BG149" s="431">
        <f t="shared" si="213"/>
        <v>235653.12499999997</v>
      </c>
      <c r="BH149" s="431">
        <f t="shared" si="213"/>
        <v>235653.12499999997</v>
      </c>
      <c r="BI149" s="431">
        <f t="shared" si="213"/>
        <v>235653.12499999997</v>
      </c>
      <c r="BJ149" s="431">
        <f t="shared" si="213"/>
        <v>235653.12499999997</v>
      </c>
      <c r="BK149" s="431">
        <f t="shared" si="213"/>
        <v>235653.12499999997</v>
      </c>
      <c r="BL149" s="431">
        <f t="shared" si="213"/>
        <v>235653.12499999997</v>
      </c>
      <c r="BM149" s="431">
        <f t="shared" si="213"/>
        <v>235653.12499999997</v>
      </c>
      <c r="BN149" s="431">
        <f t="shared" si="213"/>
        <v>235653.12499999997</v>
      </c>
      <c r="BO149" s="431">
        <f t="shared" si="213"/>
        <v>235653.12499999997</v>
      </c>
      <c r="BP149" s="431">
        <f t="shared" si="213"/>
        <v>235653.12499999997</v>
      </c>
      <c r="BQ149" s="431">
        <f t="shared" si="213"/>
        <v>235653.12499999997</v>
      </c>
      <c r="BR149" s="431">
        <f t="shared" si="213"/>
        <v>235653.12499999997</v>
      </c>
      <c r="BS149" s="431">
        <f t="shared" si="213"/>
        <v>235653.12499999997</v>
      </c>
      <c r="BT149" s="431">
        <f t="shared" ref="BT149:CY149" si="214">SUM(BT127,BT136,BT143)</f>
        <v>235653.12499999997</v>
      </c>
      <c r="BU149" s="431">
        <f t="shared" si="214"/>
        <v>235653.12499999997</v>
      </c>
      <c r="BV149" s="431">
        <f t="shared" si="214"/>
        <v>235653.12499999997</v>
      </c>
      <c r="BW149" s="431">
        <f t="shared" si="214"/>
        <v>235653.12499999997</v>
      </c>
      <c r="BX149" s="431">
        <f t="shared" si="214"/>
        <v>235653.12499999997</v>
      </c>
      <c r="BY149" s="431">
        <f t="shared" si="214"/>
        <v>235653.12499999997</v>
      </c>
      <c r="BZ149" s="431">
        <f t="shared" si="214"/>
        <v>235653.12499999997</v>
      </c>
      <c r="CA149" s="431">
        <f t="shared" si="214"/>
        <v>235653.12499999997</v>
      </c>
      <c r="CB149" s="431">
        <f t="shared" si="214"/>
        <v>235653.12499999997</v>
      </c>
      <c r="CC149" s="431">
        <f t="shared" si="214"/>
        <v>235653.12499999997</v>
      </c>
      <c r="CD149" s="431">
        <f t="shared" si="214"/>
        <v>235653.12499999997</v>
      </c>
      <c r="CE149" s="431">
        <f t="shared" si="214"/>
        <v>307277.87674628111</v>
      </c>
      <c r="CF149" s="431">
        <f t="shared" si="214"/>
        <v>307277.87674628111</v>
      </c>
      <c r="CG149" s="431">
        <f t="shared" si="214"/>
        <v>307277.87674628111</v>
      </c>
      <c r="CH149" s="431">
        <f t="shared" si="214"/>
        <v>307277.87674628111</v>
      </c>
      <c r="CI149" s="431">
        <f t="shared" si="214"/>
        <v>307277.87674628111</v>
      </c>
      <c r="CJ149" s="431">
        <f t="shared" si="214"/>
        <v>307277.87674628111</v>
      </c>
      <c r="CK149" s="431">
        <f t="shared" si="214"/>
        <v>307277.87674628111</v>
      </c>
      <c r="CL149" s="431">
        <f t="shared" si="214"/>
        <v>307277.87674628111</v>
      </c>
      <c r="CM149" s="431">
        <f t="shared" si="214"/>
        <v>307277.87674628111</v>
      </c>
      <c r="CN149" s="431">
        <f t="shared" si="214"/>
        <v>307277.87674628111</v>
      </c>
      <c r="CO149" s="431">
        <f t="shared" si="214"/>
        <v>307277.87674628111</v>
      </c>
      <c r="CP149" s="431">
        <f t="shared" si="214"/>
        <v>307277.87674628111</v>
      </c>
      <c r="CQ149" s="431">
        <f t="shared" si="214"/>
        <v>307277.87674628111</v>
      </c>
      <c r="CR149" s="431">
        <f t="shared" si="214"/>
        <v>307277.87674628111</v>
      </c>
      <c r="CS149" s="431">
        <f t="shared" si="214"/>
        <v>307277.87674628111</v>
      </c>
      <c r="CT149" s="431">
        <f t="shared" si="214"/>
        <v>307277.87674628111</v>
      </c>
      <c r="CU149" s="431">
        <f t="shared" si="214"/>
        <v>307277.87674628111</v>
      </c>
      <c r="CV149" s="431">
        <f t="shared" si="214"/>
        <v>307277.87674628111</v>
      </c>
      <c r="CW149" s="431">
        <f t="shared" si="214"/>
        <v>307277.87674628111</v>
      </c>
      <c r="CX149" s="431">
        <f t="shared" si="214"/>
        <v>307277.87674628111</v>
      </c>
      <c r="CY149" s="431">
        <f t="shared" si="214"/>
        <v>307277.87674628111</v>
      </c>
      <c r="CZ149" s="431">
        <f t="shared" ref="CZ149:EE149" si="215">SUM(CZ127,CZ136,CZ143)</f>
        <v>307277.87674628111</v>
      </c>
      <c r="DA149" s="431">
        <f t="shared" si="215"/>
        <v>307277.87674628111</v>
      </c>
      <c r="DB149" s="431">
        <f t="shared" si="215"/>
        <v>307277.87674628111</v>
      </c>
      <c r="DC149" s="431">
        <f t="shared" si="215"/>
        <v>307277.87674628111</v>
      </c>
      <c r="DD149" s="431">
        <f t="shared" si="215"/>
        <v>307277.87674628111</v>
      </c>
      <c r="DE149" s="431">
        <f t="shared" si="215"/>
        <v>307277.87674628111</v>
      </c>
      <c r="DF149" s="431">
        <f t="shared" si="215"/>
        <v>307277.87674628111</v>
      </c>
      <c r="DG149" s="431">
        <f t="shared" si="215"/>
        <v>307277.87674628111</v>
      </c>
      <c r="DH149" s="431">
        <f t="shared" si="215"/>
        <v>307277.87674628111</v>
      </c>
      <c r="DI149" s="431">
        <f t="shared" si="215"/>
        <v>307277.87674628111</v>
      </c>
      <c r="DJ149" s="431">
        <f t="shared" si="215"/>
        <v>307277.87674628111</v>
      </c>
      <c r="DK149" s="431">
        <f t="shared" si="215"/>
        <v>307277.87674628111</v>
      </c>
      <c r="DL149" s="431">
        <f t="shared" si="215"/>
        <v>307277.87674628111</v>
      </c>
      <c r="DM149" s="431">
        <f t="shared" si="215"/>
        <v>307277.87674628111</v>
      </c>
      <c r="DN149" s="431">
        <f t="shared" si="215"/>
        <v>307277.87674628111</v>
      </c>
      <c r="DO149" s="431">
        <f t="shared" si="215"/>
        <v>307277.87674628111</v>
      </c>
      <c r="DP149" s="431">
        <f t="shared" si="215"/>
        <v>307277.87674628111</v>
      </c>
      <c r="DQ149" s="431">
        <f t="shared" si="215"/>
        <v>307277.87674628111</v>
      </c>
      <c r="DR149" s="431">
        <f t="shared" si="215"/>
        <v>307277.87674628111</v>
      </c>
      <c r="DS149" s="431">
        <f t="shared" si="215"/>
        <v>307277.87674628111</v>
      </c>
      <c r="DT149" s="431">
        <f t="shared" si="215"/>
        <v>307277.87674628111</v>
      </c>
      <c r="DU149" s="431">
        <f t="shared" si="215"/>
        <v>307277.87674628111</v>
      </c>
      <c r="DV149" s="431">
        <f t="shared" si="215"/>
        <v>307277.87674628111</v>
      </c>
      <c r="DW149" s="431">
        <f t="shared" si="215"/>
        <v>307277.87674628111</v>
      </c>
      <c r="DX149" s="431">
        <f t="shared" si="215"/>
        <v>307277.87674628111</v>
      </c>
      <c r="DY149" s="431">
        <f t="shared" si="215"/>
        <v>307277.87674628111</v>
      </c>
      <c r="DZ149" s="431">
        <f t="shared" si="215"/>
        <v>307277.87674628111</v>
      </c>
      <c r="EA149" s="431">
        <f t="shared" si="215"/>
        <v>307277.87674628111</v>
      </c>
      <c r="EB149" s="431">
        <f t="shared" si="215"/>
        <v>307277.87674628111</v>
      </c>
      <c r="EC149" s="431">
        <f t="shared" si="215"/>
        <v>307277.87674628111</v>
      </c>
      <c r="ED149" s="431">
        <f t="shared" si="215"/>
        <v>307277.87674628111</v>
      </c>
      <c r="EE149" s="431">
        <f t="shared" si="215"/>
        <v>307277.87674628111</v>
      </c>
      <c r="EF149" s="431">
        <f t="shared" ref="EF149:FK149" si="216">SUM(EF127,EF136,EF143)</f>
        <v>307277.87674628111</v>
      </c>
      <c r="EG149" s="431">
        <f t="shared" si="216"/>
        <v>307277.87674628111</v>
      </c>
      <c r="EH149" s="431">
        <f t="shared" si="216"/>
        <v>307277.87674628111</v>
      </c>
      <c r="EI149" s="431">
        <f t="shared" si="216"/>
        <v>307277.87674628111</v>
      </c>
      <c r="EJ149" s="431">
        <f t="shared" si="216"/>
        <v>307277.87674628111</v>
      </c>
      <c r="EK149" s="431">
        <f t="shared" si="216"/>
        <v>307277.87674628111</v>
      </c>
      <c r="EL149" s="431">
        <f t="shared" si="216"/>
        <v>307277.87674628111</v>
      </c>
      <c r="EM149" s="431">
        <f t="shared" si="216"/>
        <v>307277.87674628111</v>
      </c>
      <c r="EN149" s="431">
        <f t="shared" si="216"/>
        <v>307277.87674628111</v>
      </c>
      <c r="EO149" s="431">
        <f t="shared" si="216"/>
        <v>307277.87674628111</v>
      </c>
      <c r="EP149" s="431">
        <f t="shared" si="216"/>
        <v>307277.87674628111</v>
      </c>
      <c r="EQ149" s="431">
        <f t="shared" si="216"/>
        <v>307277.87674628111</v>
      </c>
      <c r="ER149" s="431">
        <f t="shared" si="216"/>
        <v>307277.87674628111</v>
      </c>
      <c r="ES149" s="431">
        <f t="shared" si="216"/>
        <v>307277.87674628111</v>
      </c>
      <c r="ET149" s="431">
        <f t="shared" si="216"/>
        <v>307277.87674628111</v>
      </c>
      <c r="EU149" s="431">
        <f t="shared" si="216"/>
        <v>307277.87674628111</v>
      </c>
      <c r="EV149" s="431">
        <f t="shared" si="216"/>
        <v>307277.87674628111</v>
      </c>
      <c r="EW149" s="431">
        <f t="shared" si="216"/>
        <v>307277.87674628111</v>
      </c>
      <c r="EX149" s="431">
        <f t="shared" si="216"/>
        <v>307277.87674628111</v>
      </c>
      <c r="EY149" s="431">
        <f t="shared" si="216"/>
        <v>307277.87674628111</v>
      </c>
      <c r="EZ149" s="431">
        <f t="shared" si="216"/>
        <v>307277.87674628111</v>
      </c>
      <c r="FA149" s="431">
        <f t="shared" si="216"/>
        <v>307277.87674628111</v>
      </c>
      <c r="FB149" s="431">
        <f t="shared" si="216"/>
        <v>307277.87674628111</v>
      </c>
      <c r="FC149" s="431">
        <f t="shared" si="216"/>
        <v>307277.87674628111</v>
      </c>
      <c r="FD149" s="431">
        <f t="shared" si="216"/>
        <v>307277.87674628111</v>
      </c>
      <c r="FE149" s="431">
        <f t="shared" si="216"/>
        <v>307277.87674628111</v>
      </c>
      <c r="FF149" s="431">
        <f t="shared" si="216"/>
        <v>307277.87674628111</v>
      </c>
      <c r="FG149" s="431">
        <f t="shared" si="216"/>
        <v>307277.87674628111</v>
      </c>
      <c r="FH149" s="431">
        <f t="shared" si="216"/>
        <v>307277.87674628111</v>
      </c>
      <c r="FI149" s="431">
        <f t="shared" si="216"/>
        <v>307277.87674628111</v>
      </c>
      <c r="FJ149" s="431">
        <f t="shared" si="216"/>
        <v>307277.87674628111</v>
      </c>
      <c r="FK149" s="431">
        <f t="shared" si="216"/>
        <v>307277.87674628111</v>
      </c>
      <c r="FL149" s="431">
        <f t="shared" ref="FL149:FT149" si="217">SUM(FL127,FL136,FL143)</f>
        <v>307277.87674628111</v>
      </c>
      <c r="FM149" s="431">
        <f t="shared" si="217"/>
        <v>307277.87674628111</v>
      </c>
      <c r="FN149" s="431">
        <f t="shared" si="217"/>
        <v>307277.87674628111</v>
      </c>
      <c r="FO149" s="431">
        <f t="shared" si="217"/>
        <v>307277.87674628111</v>
      </c>
      <c r="FP149" s="431">
        <f t="shared" si="217"/>
        <v>307277.87674628111</v>
      </c>
      <c r="FQ149" s="431">
        <f t="shared" si="217"/>
        <v>307277.87674628111</v>
      </c>
      <c r="FR149" s="431">
        <f t="shared" si="217"/>
        <v>307277.87674628111</v>
      </c>
      <c r="FS149" s="431">
        <f t="shared" si="217"/>
        <v>307277.87674628111</v>
      </c>
      <c r="FT149" s="430">
        <f t="shared" si="217"/>
        <v>307277.87674628111</v>
      </c>
      <c r="FU149" s="43"/>
      <c r="FV149" s="34"/>
      <c r="FW149" s="34"/>
      <c r="FX149" s="34"/>
      <c r="FY149" s="34"/>
      <c r="FZ149" s="34"/>
    </row>
    <row r="150" spans="1:182" s="89" customFormat="1" ht="13.5" x14ac:dyDescent="0.25">
      <c r="A150" s="34"/>
      <c r="B150" s="142"/>
      <c r="C150" s="34"/>
      <c r="D150" s="34"/>
      <c r="E150" s="34"/>
      <c r="F150" s="428"/>
      <c r="G150" s="34"/>
      <c r="H150" s="800"/>
      <c r="I150" s="800"/>
      <c r="J150" s="800"/>
      <c r="K150" s="800"/>
      <c r="L150" s="800"/>
      <c r="M150" s="800"/>
      <c r="N150" s="800"/>
      <c r="O150" s="800"/>
      <c r="P150" s="800"/>
      <c r="Q150" s="800"/>
      <c r="R150" s="800"/>
      <c r="S150" s="800"/>
      <c r="T150" s="800"/>
      <c r="U150" s="800"/>
      <c r="V150" s="800"/>
      <c r="W150" s="800"/>
      <c r="X150" s="800"/>
      <c r="Y150" s="800"/>
      <c r="Z150" s="800"/>
      <c r="AA150" s="800"/>
      <c r="AB150" s="800"/>
      <c r="AC150" s="800"/>
      <c r="AD150" s="800"/>
      <c r="AE150" s="800"/>
      <c r="AF150" s="800"/>
      <c r="AG150" s="800"/>
      <c r="AH150" s="800"/>
      <c r="AI150" s="800"/>
      <c r="AJ150" s="800"/>
      <c r="AK150" s="800"/>
      <c r="AL150" s="800"/>
      <c r="AM150" s="800"/>
      <c r="AN150" s="800"/>
      <c r="AO150" s="800"/>
      <c r="AP150" s="800"/>
      <c r="AQ150" s="800"/>
      <c r="AR150" s="800"/>
      <c r="AS150" s="800"/>
      <c r="AT150" s="800"/>
      <c r="AU150" s="800"/>
      <c r="AV150" s="800"/>
      <c r="AW150" s="800"/>
      <c r="AX150" s="800"/>
      <c r="AY150" s="800"/>
      <c r="AZ150" s="800"/>
      <c r="BA150" s="800"/>
      <c r="BB150" s="800"/>
      <c r="BC150" s="800"/>
      <c r="BD150" s="800"/>
      <c r="BE150" s="800"/>
      <c r="BF150" s="800"/>
      <c r="BG150" s="800"/>
      <c r="BH150" s="800"/>
      <c r="BI150" s="800"/>
      <c r="BJ150" s="800"/>
      <c r="BK150" s="800"/>
      <c r="BL150" s="800"/>
      <c r="BM150" s="800"/>
      <c r="BN150" s="800"/>
      <c r="BO150" s="800"/>
      <c r="BP150" s="800"/>
      <c r="BQ150" s="800"/>
      <c r="BR150" s="800"/>
      <c r="BS150" s="800"/>
      <c r="BT150" s="800"/>
      <c r="BU150" s="800"/>
      <c r="BV150" s="800"/>
      <c r="BW150" s="800"/>
      <c r="BX150" s="800"/>
      <c r="BY150" s="800"/>
      <c r="BZ150" s="800"/>
      <c r="CA150" s="800"/>
      <c r="CB150" s="800"/>
      <c r="CC150" s="800"/>
      <c r="CD150" s="800"/>
      <c r="CE150" s="800"/>
      <c r="CF150" s="800"/>
      <c r="CG150" s="800"/>
      <c r="CH150" s="800"/>
      <c r="CI150" s="800"/>
      <c r="CJ150" s="800"/>
      <c r="CK150" s="800"/>
      <c r="CL150" s="800"/>
      <c r="CM150" s="800"/>
      <c r="CN150" s="800"/>
      <c r="CO150" s="800"/>
      <c r="CP150" s="800"/>
      <c r="CQ150" s="800"/>
      <c r="CR150" s="800"/>
      <c r="CS150" s="800"/>
      <c r="CT150" s="800"/>
      <c r="CU150" s="800"/>
      <c r="CV150" s="800"/>
      <c r="CW150" s="800"/>
      <c r="CX150" s="800"/>
      <c r="CY150" s="800"/>
      <c r="CZ150" s="800"/>
      <c r="DA150" s="800"/>
      <c r="DB150" s="800"/>
      <c r="DC150" s="800"/>
      <c r="DD150" s="800"/>
      <c r="DE150" s="800"/>
      <c r="DF150" s="800"/>
      <c r="DG150" s="800"/>
      <c r="DH150" s="800"/>
      <c r="DI150" s="800"/>
      <c r="DJ150" s="800"/>
      <c r="DK150" s="800"/>
      <c r="DL150" s="800"/>
      <c r="DM150" s="800"/>
      <c r="DN150" s="800"/>
      <c r="DO150" s="800"/>
      <c r="DP150" s="800"/>
      <c r="DQ150" s="800"/>
      <c r="DR150" s="800"/>
      <c r="DS150" s="800"/>
      <c r="DT150" s="800"/>
      <c r="DU150" s="800"/>
      <c r="DV150" s="800"/>
      <c r="DW150" s="800"/>
      <c r="DX150" s="800"/>
      <c r="DY150" s="800"/>
      <c r="DZ150" s="800"/>
      <c r="EA150" s="800"/>
      <c r="EB150" s="800"/>
      <c r="EC150" s="800"/>
      <c r="ED150" s="800"/>
      <c r="EE150" s="800"/>
      <c r="EF150" s="800"/>
      <c r="EG150" s="800"/>
      <c r="EH150" s="800"/>
      <c r="EI150" s="800"/>
      <c r="EJ150" s="800"/>
      <c r="EK150" s="800"/>
      <c r="EL150" s="800"/>
      <c r="EM150" s="800"/>
      <c r="EN150" s="800"/>
      <c r="EO150" s="800"/>
      <c r="EP150" s="800"/>
      <c r="EQ150" s="800"/>
      <c r="ER150" s="800"/>
      <c r="ES150" s="800"/>
      <c r="ET150" s="800"/>
      <c r="EU150" s="800"/>
      <c r="EV150" s="800"/>
      <c r="EW150" s="800"/>
      <c r="EX150" s="800"/>
      <c r="EY150" s="800"/>
      <c r="EZ150" s="800"/>
      <c r="FA150" s="800"/>
      <c r="FB150" s="800"/>
      <c r="FC150" s="800"/>
      <c r="FD150" s="800"/>
      <c r="FE150" s="800"/>
      <c r="FF150" s="800"/>
      <c r="FG150" s="800"/>
      <c r="FH150" s="800"/>
      <c r="FI150" s="800"/>
      <c r="FJ150" s="800"/>
      <c r="FK150" s="800"/>
      <c r="FL150" s="800"/>
      <c r="FM150" s="800"/>
      <c r="FN150" s="800"/>
      <c r="FO150" s="800"/>
      <c r="FP150" s="800"/>
      <c r="FQ150" s="800"/>
      <c r="FR150" s="800"/>
      <c r="FS150" s="800"/>
      <c r="FT150" s="800"/>
      <c r="FU150" s="43"/>
      <c r="FV150" s="34"/>
      <c r="FW150" s="34"/>
      <c r="FX150" s="34"/>
      <c r="FY150" s="34"/>
      <c r="FZ150" s="34"/>
    </row>
    <row r="151" spans="1:182" s="89" customFormat="1" ht="14.25" thickBot="1" x14ac:dyDescent="0.3">
      <c r="A151" s="34"/>
      <c r="B151" s="142"/>
      <c r="C151" s="34"/>
      <c r="D151" s="34"/>
      <c r="E151" s="34"/>
      <c r="F151" s="428"/>
      <c r="G151" s="34"/>
      <c r="H151" s="800"/>
      <c r="I151" s="800"/>
      <c r="J151" s="800"/>
      <c r="K151" s="800"/>
      <c r="L151" s="800"/>
      <c r="M151" s="800"/>
      <c r="N151" s="800"/>
      <c r="O151" s="800"/>
      <c r="P151" s="800"/>
      <c r="Q151" s="800"/>
      <c r="R151" s="800"/>
      <c r="S151" s="800"/>
      <c r="T151" s="800"/>
      <c r="U151" s="800"/>
      <c r="V151" s="800"/>
      <c r="W151" s="800"/>
      <c r="X151" s="800"/>
      <c r="Y151" s="800"/>
      <c r="Z151" s="800"/>
      <c r="AA151" s="800"/>
      <c r="AB151" s="800"/>
      <c r="AC151" s="800"/>
      <c r="AD151" s="800"/>
      <c r="AE151" s="800"/>
      <c r="AF151" s="800"/>
      <c r="AG151" s="800"/>
      <c r="AH151" s="800"/>
      <c r="AI151" s="800"/>
      <c r="AJ151" s="800"/>
      <c r="AK151" s="800"/>
      <c r="AL151" s="800"/>
      <c r="AM151" s="800"/>
      <c r="AN151" s="800"/>
      <c r="AO151" s="800"/>
      <c r="AP151" s="800"/>
      <c r="AQ151" s="800"/>
      <c r="AR151" s="800"/>
      <c r="AS151" s="800"/>
      <c r="AT151" s="800"/>
      <c r="AU151" s="800"/>
      <c r="AV151" s="800"/>
      <c r="AW151" s="800"/>
      <c r="AX151" s="800"/>
      <c r="AY151" s="800"/>
      <c r="AZ151" s="800"/>
      <c r="BA151" s="800"/>
      <c r="BB151" s="800"/>
      <c r="BC151" s="800"/>
      <c r="BD151" s="800"/>
      <c r="BE151" s="800"/>
      <c r="BF151" s="800"/>
      <c r="BG151" s="800"/>
      <c r="BH151" s="800"/>
      <c r="BI151" s="800"/>
      <c r="BJ151" s="800"/>
      <c r="BK151" s="800"/>
      <c r="BL151" s="800"/>
      <c r="BM151" s="800"/>
      <c r="BN151" s="800"/>
      <c r="BO151" s="800"/>
      <c r="BP151" s="800"/>
      <c r="BQ151" s="800"/>
      <c r="BR151" s="800"/>
      <c r="BS151" s="800"/>
      <c r="BT151" s="800"/>
      <c r="BU151" s="800"/>
      <c r="BV151" s="800"/>
      <c r="BW151" s="800"/>
      <c r="BX151" s="800"/>
      <c r="BY151" s="800"/>
      <c r="BZ151" s="800"/>
      <c r="CA151" s="800"/>
      <c r="CB151" s="800"/>
      <c r="CC151" s="800"/>
      <c r="CD151" s="800"/>
      <c r="CE151" s="800"/>
      <c r="CF151" s="800"/>
      <c r="CG151" s="800"/>
      <c r="CH151" s="800"/>
      <c r="CI151" s="800"/>
      <c r="CJ151" s="800"/>
      <c r="CK151" s="800"/>
      <c r="CL151" s="800"/>
      <c r="CM151" s="800"/>
      <c r="CN151" s="800"/>
      <c r="CO151" s="800"/>
      <c r="CP151" s="800"/>
      <c r="CQ151" s="800"/>
      <c r="CR151" s="800"/>
      <c r="CS151" s="800"/>
      <c r="CT151" s="800"/>
      <c r="CU151" s="800"/>
      <c r="CV151" s="800"/>
      <c r="CW151" s="800"/>
      <c r="CX151" s="800"/>
      <c r="CY151" s="800"/>
      <c r="CZ151" s="800"/>
      <c r="DA151" s="800"/>
      <c r="DB151" s="800"/>
      <c r="DC151" s="800"/>
      <c r="DD151" s="800"/>
      <c r="DE151" s="800"/>
      <c r="DF151" s="800"/>
      <c r="DG151" s="800"/>
      <c r="DH151" s="800"/>
      <c r="DI151" s="800"/>
      <c r="DJ151" s="800"/>
      <c r="DK151" s="800"/>
      <c r="DL151" s="800"/>
      <c r="DM151" s="800"/>
      <c r="DN151" s="800"/>
      <c r="DO151" s="800"/>
      <c r="DP151" s="800"/>
      <c r="DQ151" s="800"/>
      <c r="DR151" s="800"/>
      <c r="DS151" s="800"/>
      <c r="DT151" s="800"/>
      <c r="DU151" s="800"/>
      <c r="DV151" s="800"/>
      <c r="DW151" s="800"/>
      <c r="DX151" s="800"/>
      <c r="DY151" s="800"/>
      <c r="DZ151" s="800"/>
      <c r="EA151" s="800"/>
      <c r="EB151" s="800"/>
      <c r="EC151" s="800"/>
      <c r="ED151" s="800"/>
      <c r="EE151" s="800"/>
      <c r="EF151" s="800"/>
      <c r="EG151" s="800"/>
      <c r="EH151" s="800"/>
      <c r="EI151" s="800"/>
      <c r="EJ151" s="800"/>
      <c r="EK151" s="800"/>
      <c r="EL151" s="800"/>
      <c r="EM151" s="800"/>
      <c r="EN151" s="800"/>
      <c r="EO151" s="800"/>
      <c r="EP151" s="800"/>
      <c r="EQ151" s="800"/>
      <c r="ER151" s="800"/>
      <c r="ES151" s="800"/>
      <c r="ET151" s="800"/>
      <c r="EU151" s="800"/>
      <c r="EV151" s="800"/>
      <c r="EW151" s="800"/>
      <c r="EX151" s="800"/>
      <c r="EY151" s="800"/>
      <c r="EZ151" s="800"/>
      <c r="FA151" s="800"/>
      <c r="FB151" s="800"/>
      <c r="FC151" s="800"/>
      <c r="FD151" s="800"/>
      <c r="FE151" s="800"/>
      <c r="FF151" s="800"/>
      <c r="FG151" s="800"/>
      <c r="FH151" s="800"/>
      <c r="FI151" s="800"/>
      <c r="FJ151" s="800"/>
      <c r="FK151" s="800"/>
      <c r="FL151" s="800"/>
      <c r="FM151" s="800"/>
      <c r="FN151" s="800"/>
      <c r="FO151" s="800"/>
      <c r="FP151" s="800"/>
      <c r="FQ151" s="800"/>
      <c r="FR151" s="800"/>
      <c r="FS151" s="800"/>
      <c r="FT151" s="800"/>
      <c r="FU151" s="43"/>
      <c r="FV151" s="34"/>
      <c r="FW151" s="34"/>
      <c r="FX151" s="34"/>
      <c r="FY151" s="34"/>
      <c r="FZ151" s="34"/>
    </row>
    <row r="152" spans="1:182" s="89" customFormat="1" ht="13.5" x14ac:dyDescent="0.25">
      <c r="A152" s="34"/>
      <c r="B152" s="142" t="s">
        <v>650</v>
      </c>
      <c r="C152" s="34"/>
      <c r="D152" s="34"/>
      <c r="E152" s="34"/>
      <c r="F152" s="428"/>
      <c r="G152" s="34"/>
      <c r="H152" s="1224">
        <f>H118-H149</f>
        <v>0</v>
      </c>
      <c r="I152" s="1224">
        <f t="shared" ref="I152:BT152" si="218">I118-I149</f>
        <v>0</v>
      </c>
      <c r="J152" s="1224">
        <f t="shared" si="218"/>
        <v>0</v>
      </c>
      <c r="K152" s="1224">
        <f t="shared" si="218"/>
        <v>0</v>
      </c>
      <c r="L152" s="1224">
        <f t="shared" si="218"/>
        <v>0</v>
      </c>
      <c r="M152" s="1224">
        <f t="shared" si="218"/>
        <v>0</v>
      </c>
      <c r="N152" s="1224">
        <f t="shared" si="218"/>
        <v>0</v>
      </c>
      <c r="O152" s="1224">
        <f t="shared" si="218"/>
        <v>0</v>
      </c>
      <c r="P152" s="1224">
        <f t="shared" si="218"/>
        <v>0</v>
      </c>
      <c r="Q152" s="1224">
        <f t="shared" si="218"/>
        <v>0</v>
      </c>
      <c r="R152" s="1224">
        <f t="shared" si="218"/>
        <v>0</v>
      </c>
      <c r="S152" s="1224">
        <f t="shared" si="218"/>
        <v>0</v>
      </c>
      <c r="T152" s="1224">
        <f t="shared" si="218"/>
        <v>0</v>
      </c>
      <c r="U152" s="1224">
        <f t="shared" si="218"/>
        <v>0</v>
      </c>
      <c r="V152" s="1224">
        <f t="shared" si="218"/>
        <v>0</v>
      </c>
      <c r="W152" s="1224">
        <f t="shared" si="218"/>
        <v>0</v>
      </c>
      <c r="X152" s="1224">
        <f t="shared" si="218"/>
        <v>0</v>
      </c>
      <c r="Y152" s="1224">
        <f t="shared" si="218"/>
        <v>32851.263232537996</v>
      </c>
      <c r="Z152" s="1224">
        <f t="shared" si="218"/>
        <v>64138.180596859886</v>
      </c>
      <c r="AA152" s="1224">
        <f t="shared" si="218"/>
        <v>95425.097961181775</v>
      </c>
      <c r="AB152" s="1224">
        <f t="shared" si="218"/>
        <v>126712.01532550369</v>
      </c>
      <c r="AC152" s="1224">
        <f t="shared" si="218"/>
        <v>157998.93268982557</v>
      </c>
      <c r="AD152" s="1224">
        <f t="shared" si="218"/>
        <v>189285.85005414748</v>
      </c>
      <c r="AE152" s="1224">
        <f t="shared" si="218"/>
        <v>195543.23352701182</v>
      </c>
      <c r="AF152" s="1224">
        <f t="shared" si="218"/>
        <v>200135.34819755208</v>
      </c>
      <c r="AG152" s="1224">
        <f t="shared" si="218"/>
        <v>200135.34819755208</v>
      </c>
      <c r="AH152" s="1224">
        <f t="shared" si="218"/>
        <v>232157.00390916044</v>
      </c>
      <c r="AI152" s="1224">
        <f t="shared" si="218"/>
        <v>264178.65962076874</v>
      </c>
      <c r="AJ152" s="1224">
        <f t="shared" si="218"/>
        <v>296200.3153323771</v>
      </c>
      <c r="AK152" s="1224">
        <f t="shared" si="218"/>
        <v>92568.846043985424</v>
      </c>
      <c r="AL152" s="1224">
        <f t="shared" si="218"/>
        <v>124590.50175559378</v>
      </c>
      <c r="AM152" s="1224">
        <f t="shared" si="218"/>
        <v>124613.3092552333</v>
      </c>
      <c r="AN152" s="1224">
        <f t="shared" si="218"/>
        <v>124613.3092552333</v>
      </c>
      <c r="AO152" s="1224">
        <f t="shared" si="218"/>
        <v>124613.3092552333</v>
      </c>
      <c r="AP152" s="1224">
        <f t="shared" si="218"/>
        <v>124613.3092552333</v>
      </c>
      <c r="AQ152" s="1224">
        <f t="shared" si="218"/>
        <v>124613.3092552333</v>
      </c>
      <c r="AR152" s="1224">
        <f t="shared" si="218"/>
        <v>132959.70992690467</v>
      </c>
      <c r="AS152" s="1224">
        <f t="shared" si="218"/>
        <v>132959.70992690467</v>
      </c>
      <c r="AT152" s="1224">
        <f t="shared" si="218"/>
        <v>132959.70992690467</v>
      </c>
      <c r="AU152" s="1224">
        <f t="shared" si="218"/>
        <v>132959.70992690467</v>
      </c>
      <c r="AV152" s="1224">
        <f t="shared" si="218"/>
        <v>132959.70992690467</v>
      </c>
      <c r="AW152" s="1224">
        <f t="shared" si="218"/>
        <v>132959.70992690467</v>
      </c>
      <c r="AX152" s="1224">
        <f t="shared" si="218"/>
        <v>132959.70992690467</v>
      </c>
      <c r="AY152" s="1224">
        <f t="shared" si="218"/>
        <v>132959.70992690467</v>
      </c>
      <c r="AZ152" s="1224">
        <f t="shared" si="218"/>
        <v>132959.70992690467</v>
      </c>
      <c r="BA152" s="1224">
        <f t="shared" si="218"/>
        <v>132959.70992690467</v>
      </c>
      <c r="BB152" s="1224">
        <f t="shared" si="218"/>
        <v>132959.70992690467</v>
      </c>
      <c r="BC152" s="1224">
        <f t="shared" si="218"/>
        <v>132959.70992690467</v>
      </c>
      <c r="BD152" s="1224">
        <f t="shared" si="218"/>
        <v>141306.11059857576</v>
      </c>
      <c r="BE152" s="1224">
        <f t="shared" si="218"/>
        <v>141306.11059857576</v>
      </c>
      <c r="BF152" s="1224">
        <f t="shared" si="218"/>
        <v>141306.11059857576</v>
      </c>
      <c r="BG152" s="1224">
        <f t="shared" si="218"/>
        <v>141306.11059857576</v>
      </c>
      <c r="BH152" s="1224">
        <f t="shared" si="218"/>
        <v>141306.11059857576</v>
      </c>
      <c r="BI152" s="1224">
        <f t="shared" si="218"/>
        <v>141306.11059857576</v>
      </c>
      <c r="BJ152" s="1224">
        <f t="shared" si="218"/>
        <v>141306.11059857576</v>
      </c>
      <c r="BK152" s="1224">
        <f t="shared" si="218"/>
        <v>141306.11059857576</v>
      </c>
      <c r="BL152" s="1224">
        <f t="shared" si="218"/>
        <v>141306.11059857576</v>
      </c>
      <c r="BM152" s="1224">
        <f t="shared" si="218"/>
        <v>141306.11059857576</v>
      </c>
      <c r="BN152" s="1224">
        <f t="shared" si="218"/>
        <v>141306.11059857576</v>
      </c>
      <c r="BO152" s="1224">
        <f t="shared" si="218"/>
        <v>141306.11059857576</v>
      </c>
      <c r="BP152" s="1224">
        <f t="shared" si="218"/>
        <v>149652.51127024714</v>
      </c>
      <c r="BQ152" s="1224">
        <f t="shared" si="218"/>
        <v>149652.51127024714</v>
      </c>
      <c r="BR152" s="1224">
        <f t="shared" si="218"/>
        <v>149652.51127024714</v>
      </c>
      <c r="BS152" s="1224">
        <f t="shared" si="218"/>
        <v>149652.51127024714</v>
      </c>
      <c r="BT152" s="1224">
        <f t="shared" si="218"/>
        <v>149652.51127024714</v>
      </c>
      <c r="BU152" s="1224">
        <f t="shared" ref="BU152:EF152" si="219">BU118-BU149</f>
        <v>149652.51127024714</v>
      </c>
      <c r="BV152" s="1224">
        <f t="shared" si="219"/>
        <v>149652.51127024714</v>
      </c>
      <c r="BW152" s="1224">
        <f t="shared" si="219"/>
        <v>149652.51127024714</v>
      </c>
      <c r="BX152" s="1224">
        <f t="shared" si="219"/>
        <v>149652.51127024714</v>
      </c>
      <c r="BY152" s="1224">
        <f t="shared" si="219"/>
        <v>149652.51127024714</v>
      </c>
      <c r="BZ152" s="1224">
        <f t="shared" si="219"/>
        <v>149652.51127024714</v>
      </c>
      <c r="CA152" s="1224">
        <f t="shared" si="219"/>
        <v>149652.51127024714</v>
      </c>
      <c r="CB152" s="1224">
        <f t="shared" si="219"/>
        <v>157998.91194191846</v>
      </c>
      <c r="CC152" s="1224">
        <f t="shared" si="219"/>
        <v>157998.91194191846</v>
      </c>
      <c r="CD152" s="1224">
        <f t="shared" si="219"/>
        <v>157998.91194191846</v>
      </c>
      <c r="CE152" s="1224">
        <f t="shared" si="219"/>
        <v>86374.16019563732</v>
      </c>
      <c r="CF152" s="1224">
        <f t="shared" si="219"/>
        <v>86374.16019563732</v>
      </c>
      <c r="CG152" s="1224">
        <f t="shared" si="219"/>
        <v>86374.16019563732</v>
      </c>
      <c r="CH152" s="1224">
        <f t="shared" si="219"/>
        <v>86374.16019563732</v>
      </c>
      <c r="CI152" s="1224">
        <f t="shared" si="219"/>
        <v>86374.16019563732</v>
      </c>
      <c r="CJ152" s="1224">
        <f t="shared" si="219"/>
        <v>86374.16019563732</v>
      </c>
      <c r="CK152" s="1224">
        <f t="shared" si="219"/>
        <v>86374.16019563732</v>
      </c>
      <c r="CL152" s="1224">
        <f t="shared" si="219"/>
        <v>86374.16019563732</v>
      </c>
      <c r="CM152" s="1224">
        <f t="shared" si="219"/>
        <v>86374.16019563732</v>
      </c>
      <c r="CN152" s="1224">
        <f t="shared" si="219"/>
        <v>94720.560867308464</v>
      </c>
      <c r="CO152" s="1224">
        <f t="shared" si="219"/>
        <v>94720.560867308464</v>
      </c>
      <c r="CP152" s="1224">
        <f t="shared" si="219"/>
        <v>94720.560867308464</v>
      </c>
      <c r="CQ152" s="1224">
        <f t="shared" si="219"/>
        <v>94720.560867308464</v>
      </c>
      <c r="CR152" s="1224">
        <f t="shared" si="219"/>
        <v>94720.560867308464</v>
      </c>
      <c r="CS152" s="1224">
        <f t="shared" si="219"/>
        <v>94720.560867308464</v>
      </c>
      <c r="CT152" s="1224">
        <f t="shared" si="219"/>
        <v>94720.560867308464</v>
      </c>
      <c r="CU152" s="1224">
        <f t="shared" si="219"/>
        <v>94720.560867308464</v>
      </c>
      <c r="CV152" s="1224">
        <f t="shared" si="219"/>
        <v>94720.560867308464</v>
      </c>
      <c r="CW152" s="1224">
        <f t="shared" si="219"/>
        <v>94720.560867308464</v>
      </c>
      <c r="CX152" s="1224">
        <f t="shared" si="219"/>
        <v>94720.560867308464</v>
      </c>
      <c r="CY152" s="1224">
        <f t="shared" si="219"/>
        <v>94720.560867308464</v>
      </c>
      <c r="CZ152" s="1224">
        <f t="shared" si="219"/>
        <v>103066.96153897973</v>
      </c>
      <c r="DA152" s="1224">
        <f t="shared" si="219"/>
        <v>103066.96153897973</v>
      </c>
      <c r="DB152" s="1224">
        <f t="shared" si="219"/>
        <v>103066.96153897973</v>
      </c>
      <c r="DC152" s="1224">
        <f t="shared" si="219"/>
        <v>103066.96153897973</v>
      </c>
      <c r="DD152" s="1224">
        <f t="shared" si="219"/>
        <v>103066.96153897973</v>
      </c>
      <c r="DE152" s="1224">
        <f t="shared" si="219"/>
        <v>103066.96153897973</v>
      </c>
      <c r="DF152" s="1224">
        <f t="shared" si="219"/>
        <v>103066.96153897973</v>
      </c>
      <c r="DG152" s="1224">
        <f t="shared" si="219"/>
        <v>103066.96153897973</v>
      </c>
      <c r="DH152" s="1224">
        <f t="shared" si="219"/>
        <v>103066.96153897973</v>
      </c>
      <c r="DI152" s="1224">
        <f t="shared" si="219"/>
        <v>103066.96153897973</v>
      </c>
      <c r="DJ152" s="1224">
        <f t="shared" si="219"/>
        <v>103066.96153897973</v>
      </c>
      <c r="DK152" s="1224">
        <f t="shared" si="219"/>
        <v>103066.96153897973</v>
      </c>
      <c r="DL152" s="1224">
        <f t="shared" si="219"/>
        <v>111413.36221065099</v>
      </c>
      <c r="DM152" s="1224">
        <f t="shared" si="219"/>
        <v>111413.36221065099</v>
      </c>
      <c r="DN152" s="1224">
        <f t="shared" si="219"/>
        <v>111413.36221065099</v>
      </c>
      <c r="DO152" s="1224">
        <f t="shared" si="219"/>
        <v>111413.36221065099</v>
      </c>
      <c r="DP152" s="1224">
        <f t="shared" si="219"/>
        <v>111413.36221065099</v>
      </c>
      <c r="DQ152" s="1224">
        <f t="shared" si="219"/>
        <v>111413.36221065099</v>
      </c>
      <c r="DR152" s="1224">
        <f t="shared" si="219"/>
        <v>111413.36221065099</v>
      </c>
      <c r="DS152" s="1224">
        <f t="shared" si="219"/>
        <v>111413.36221065099</v>
      </c>
      <c r="DT152" s="1224">
        <f t="shared" si="219"/>
        <v>111413.36221065099</v>
      </c>
      <c r="DU152" s="1224">
        <f t="shared" si="219"/>
        <v>111413.36221065099</v>
      </c>
      <c r="DV152" s="1224">
        <f t="shared" si="219"/>
        <v>111413.36221065099</v>
      </c>
      <c r="DW152" s="1224">
        <f t="shared" si="219"/>
        <v>111413.36221065099</v>
      </c>
      <c r="DX152" s="1224">
        <f t="shared" si="219"/>
        <v>119759.76288232225</v>
      </c>
      <c r="DY152" s="1224">
        <f t="shared" si="219"/>
        <v>119759.76288232225</v>
      </c>
      <c r="DZ152" s="1224">
        <f t="shared" si="219"/>
        <v>119759.76288232225</v>
      </c>
      <c r="EA152" s="1224">
        <f t="shared" si="219"/>
        <v>119759.76288232225</v>
      </c>
      <c r="EB152" s="1224">
        <f t="shared" si="219"/>
        <v>119759.76288232225</v>
      </c>
      <c r="EC152" s="1224">
        <f t="shared" si="219"/>
        <v>119759.76288232225</v>
      </c>
      <c r="ED152" s="1224">
        <f t="shared" si="219"/>
        <v>119759.76288232225</v>
      </c>
      <c r="EE152" s="1224">
        <f t="shared" si="219"/>
        <v>119759.76288232225</v>
      </c>
      <c r="EF152" s="1224">
        <f t="shared" si="219"/>
        <v>119759.76288232225</v>
      </c>
      <c r="EG152" s="1224">
        <f t="shared" ref="EG152:FT152" si="220">EG118-EG149</f>
        <v>119759.76288232225</v>
      </c>
      <c r="EH152" s="1224">
        <f t="shared" si="220"/>
        <v>119759.76288232225</v>
      </c>
      <c r="EI152" s="1224">
        <f t="shared" si="220"/>
        <v>119759.76288232225</v>
      </c>
      <c r="EJ152" s="1224">
        <f t="shared" si="220"/>
        <v>128106.16355399351</v>
      </c>
      <c r="EK152" s="1224">
        <f t="shared" si="220"/>
        <v>128106.16355399351</v>
      </c>
      <c r="EL152" s="1224">
        <f t="shared" si="220"/>
        <v>128106.16355399351</v>
      </c>
      <c r="EM152" s="1224">
        <f t="shared" si="220"/>
        <v>128106.16355399351</v>
      </c>
      <c r="EN152" s="1224">
        <f t="shared" si="220"/>
        <v>128106.16355399351</v>
      </c>
      <c r="EO152" s="1224">
        <f t="shared" si="220"/>
        <v>128106.16355399351</v>
      </c>
      <c r="EP152" s="1224">
        <f t="shared" si="220"/>
        <v>128106.16355399351</v>
      </c>
      <c r="EQ152" s="1224">
        <f t="shared" si="220"/>
        <v>128106.16355399351</v>
      </c>
      <c r="ER152" s="1224">
        <f t="shared" si="220"/>
        <v>128106.16355399351</v>
      </c>
      <c r="ES152" s="1224">
        <f t="shared" si="220"/>
        <v>128106.16355399351</v>
      </c>
      <c r="ET152" s="1224">
        <f t="shared" si="220"/>
        <v>128106.16355399351</v>
      </c>
      <c r="EU152" s="1224">
        <f t="shared" si="220"/>
        <v>128106.16355399351</v>
      </c>
      <c r="EV152" s="1224">
        <f t="shared" si="220"/>
        <v>-307277.87674628111</v>
      </c>
      <c r="EW152" s="1224">
        <f t="shared" si="220"/>
        <v>-307277.87674628111</v>
      </c>
      <c r="EX152" s="1224">
        <f t="shared" si="220"/>
        <v>-307277.87674628111</v>
      </c>
      <c r="EY152" s="1224">
        <f t="shared" si="220"/>
        <v>-307277.87674628111</v>
      </c>
      <c r="EZ152" s="1224">
        <f t="shared" si="220"/>
        <v>-307277.87674628111</v>
      </c>
      <c r="FA152" s="1224">
        <f t="shared" si="220"/>
        <v>-307277.87674628111</v>
      </c>
      <c r="FB152" s="1224">
        <f t="shared" si="220"/>
        <v>-307277.87674628111</v>
      </c>
      <c r="FC152" s="1224">
        <f t="shared" si="220"/>
        <v>-307277.87674628111</v>
      </c>
      <c r="FD152" s="1224">
        <f t="shared" si="220"/>
        <v>-307277.87674628111</v>
      </c>
      <c r="FE152" s="1224">
        <f t="shared" si="220"/>
        <v>-307277.87674628111</v>
      </c>
      <c r="FF152" s="1224">
        <f t="shared" si="220"/>
        <v>-307277.87674628111</v>
      </c>
      <c r="FG152" s="1224">
        <f t="shared" si="220"/>
        <v>-307277.87674628111</v>
      </c>
      <c r="FH152" s="1224">
        <f t="shared" si="220"/>
        <v>-307277.87674628111</v>
      </c>
      <c r="FI152" s="1224">
        <f t="shared" si="220"/>
        <v>-307277.87674628111</v>
      </c>
      <c r="FJ152" s="1224">
        <f t="shared" si="220"/>
        <v>-307277.87674628111</v>
      </c>
      <c r="FK152" s="1224">
        <f t="shared" si="220"/>
        <v>-307277.87674628111</v>
      </c>
      <c r="FL152" s="1224">
        <f t="shared" si="220"/>
        <v>-307277.87674628111</v>
      </c>
      <c r="FM152" s="1224">
        <f t="shared" si="220"/>
        <v>-307277.87674628111</v>
      </c>
      <c r="FN152" s="1224">
        <f t="shared" si="220"/>
        <v>-307277.87674628111</v>
      </c>
      <c r="FO152" s="1224">
        <f t="shared" si="220"/>
        <v>-307277.87674628111</v>
      </c>
      <c r="FP152" s="1224">
        <f t="shared" si="220"/>
        <v>-307277.87674628111</v>
      </c>
      <c r="FQ152" s="1224">
        <f t="shared" si="220"/>
        <v>-307277.87674628111</v>
      </c>
      <c r="FR152" s="1224">
        <f t="shared" si="220"/>
        <v>-307277.87674628111</v>
      </c>
      <c r="FS152" s="1224">
        <f t="shared" si="220"/>
        <v>-307277.87674628111</v>
      </c>
      <c r="FT152" s="1224">
        <f t="shared" si="220"/>
        <v>-307277.87674628111</v>
      </c>
      <c r="FU152" s="43"/>
      <c r="FV152" s="34"/>
      <c r="FW152" s="34"/>
      <c r="FX152" s="34"/>
      <c r="FY152" s="34"/>
      <c r="FZ152" s="34"/>
    </row>
    <row r="153" spans="1:182" s="89" customFormat="1" ht="13.5" x14ac:dyDescent="0.25">
      <c r="A153" s="34"/>
      <c r="B153" s="142"/>
      <c r="C153" s="34"/>
      <c r="D153" s="34"/>
      <c r="E153" s="34"/>
      <c r="F153" s="428"/>
      <c r="G153" s="34"/>
      <c r="H153" s="800"/>
      <c r="I153" s="800"/>
      <c r="J153" s="800"/>
      <c r="K153" s="800"/>
      <c r="L153" s="800"/>
      <c r="M153" s="800"/>
      <c r="N153" s="800"/>
      <c r="O153" s="800"/>
      <c r="P153" s="800"/>
      <c r="Q153" s="800"/>
      <c r="R153" s="800"/>
      <c r="S153" s="800"/>
      <c r="T153" s="800"/>
      <c r="U153" s="800"/>
      <c r="V153" s="800"/>
      <c r="W153" s="800"/>
      <c r="X153" s="800"/>
      <c r="Y153" s="800"/>
      <c r="Z153" s="800"/>
      <c r="AA153" s="800"/>
      <c r="AB153" s="800"/>
      <c r="AC153" s="800"/>
      <c r="AD153" s="800"/>
      <c r="AE153" s="800"/>
      <c r="AF153" s="800"/>
      <c r="AG153" s="800"/>
      <c r="AH153" s="800"/>
      <c r="AI153" s="800"/>
      <c r="AJ153" s="800"/>
      <c r="AK153" s="800"/>
      <c r="AL153" s="800"/>
      <c r="AM153" s="800"/>
      <c r="AN153" s="800"/>
      <c r="AO153" s="800"/>
      <c r="AP153" s="800"/>
      <c r="AQ153" s="800"/>
      <c r="AR153" s="800"/>
      <c r="AS153" s="800"/>
      <c r="AT153" s="800"/>
      <c r="AU153" s="800"/>
      <c r="AV153" s="800"/>
      <c r="AW153" s="800"/>
      <c r="AX153" s="800"/>
      <c r="AY153" s="800"/>
      <c r="AZ153" s="800"/>
      <c r="BA153" s="800"/>
      <c r="BB153" s="800"/>
      <c r="BC153" s="800"/>
      <c r="BD153" s="800"/>
      <c r="BE153" s="800"/>
      <c r="BF153" s="800"/>
      <c r="BG153" s="800"/>
      <c r="BH153" s="800"/>
      <c r="BI153" s="800"/>
      <c r="BJ153" s="800"/>
      <c r="BK153" s="800"/>
      <c r="BL153" s="800"/>
      <c r="BM153" s="800"/>
      <c r="BN153" s="800"/>
      <c r="BO153" s="800"/>
      <c r="BP153" s="800"/>
      <c r="BQ153" s="800"/>
      <c r="BR153" s="800"/>
      <c r="BS153" s="800"/>
      <c r="BT153" s="800"/>
      <c r="BU153" s="800"/>
      <c r="BV153" s="800"/>
      <c r="BW153" s="800"/>
      <c r="BX153" s="800"/>
      <c r="BY153" s="800"/>
      <c r="BZ153" s="800"/>
      <c r="CA153" s="800"/>
      <c r="CB153" s="800"/>
      <c r="CC153" s="800"/>
      <c r="CD153" s="800"/>
      <c r="CE153" s="800"/>
      <c r="CF153" s="800"/>
      <c r="CG153" s="800"/>
      <c r="CH153" s="800"/>
      <c r="CI153" s="800"/>
      <c r="CJ153" s="800"/>
      <c r="CK153" s="800"/>
      <c r="CL153" s="800"/>
      <c r="CM153" s="800"/>
      <c r="CN153" s="800"/>
      <c r="CO153" s="800"/>
      <c r="CP153" s="800"/>
      <c r="CQ153" s="800"/>
      <c r="CR153" s="800"/>
      <c r="CS153" s="800"/>
      <c r="CT153" s="800"/>
      <c r="CU153" s="800"/>
      <c r="CV153" s="800"/>
      <c r="CW153" s="800"/>
      <c r="CX153" s="800"/>
      <c r="CY153" s="800"/>
      <c r="CZ153" s="800"/>
      <c r="DA153" s="800"/>
      <c r="DB153" s="800"/>
      <c r="DC153" s="800"/>
      <c r="DD153" s="800"/>
      <c r="DE153" s="800"/>
      <c r="DF153" s="800"/>
      <c r="DG153" s="800"/>
      <c r="DH153" s="800"/>
      <c r="DI153" s="800"/>
      <c r="DJ153" s="800"/>
      <c r="DK153" s="800"/>
      <c r="DL153" s="800"/>
      <c r="DM153" s="800"/>
      <c r="DN153" s="800"/>
      <c r="DO153" s="800"/>
      <c r="DP153" s="800"/>
      <c r="DQ153" s="800"/>
      <c r="DR153" s="800"/>
      <c r="DS153" s="800"/>
      <c r="DT153" s="800"/>
      <c r="DU153" s="800"/>
      <c r="DV153" s="800"/>
      <c r="DW153" s="800"/>
      <c r="DX153" s="800"/>
      <c r="DY153" s="800"/>
      <c r="DZ153" s="800"/>
      <c r="EA153" s="800"/>
      <c r="EB153" s="800"/>
      <c r="EC153" s="800"/>
      <c r="ED153" s="800"/>
      <c r="EE153" s="800"/>
      <c r="EF153" s="800"/>
      <c r="EG153" s="800"/>
      <c r="EH153" s="800"/>
      <c r="EI153" s="800"/>
      <c r="EJ153" s="800"/>
      <c r="EK153" s="800"/>
      <c r="EL153" s="800"/>
      <c r="EM153" s="800"/>
      <c r="EN153" s="800"/>
      <c r="EO153" s="800"/>
      <c r="EP153" s="800"/>
      <c r="EQ153" s="800"/>
      <c r="ER153" s="800"/>
      <c r="ES153" s="800"/>
      <c r="ET153" s="800"/>
      <c r="EU153" s="800"/>
      <c r="EV153" s="800"/>
      <c r="EW153" s="800"/>
      <c r="EX153" s="800"/>
      <c r="EY153" s="800"/>
      <c r="EZ153" s="800"/>
      <c r="FA153" s="800"/>
      <c r="FB153" s="800"/>
      <c r="FC153" s="800"/>
      <c r="FD153" s="800"/>
      <c r="FE153" s="800"/>
      <c r="FF153" s="800"/>
      <c r="FG153" s="800"/>
      <c r="FH153" s="800"/>
      <c r="FI153" s="800"/>
      <c r="FJ153" s="800"/>
      <c r="FK153" s="800"/>
      <c r="FL153" s="800"/>
      <c r="FM153" s="800"/>
      <c r="FN153" s="800"/>
      <c r="FO153" s="800"/>
      <c r="FP153" s="800"/>
      <c r="FQ153" s="800"/>
      <c r="FR153" s="800"/>
      <c r="FS153" s="800"/>
      <c r="FT153" s="800"/>
      <c r="FU153" s="43"/>
      <c r="FV153" s="34"/>
      <c r="FW153" s="34"/>
      <c r="FX153" s="34"/>
      <c r="FY153" s="34"/>
      <c r="FZ153" s="34"/>
    </row>
    <row r="154" spans="1:182" s="89" customFormat="1" ht="13.5" x14ac:dyDescent="0.25">
      <c r="A154" s="34"/>
      <c r="B154" s="142"/>
      <c r="C154" s="34"/>
      <c r="D154" s="34"/>
      <c r="E154" s="34"/>
      <c r="F154" s="428"/>
      <c r="G154" s="34"/>
      <c r="H154" s="800"/>
      <c r="I154" s="800"/>
      <c r="J154" s="800"/>
      <c r="K154" s="800"/>
      <c r="L154" s="800"/>
      <c r="M154" s="800"/>
      <c r="N154" s="800"/>
      <c r="O154" s="800"/>
      <c r="P154" s="800"/>
      <c r="Q154" s="800"/>
      <c r="R154" s="800"/>
      <c r="S154" s="800"/>
      <c r="T154" s="800"/>
      <c r="U154" s="800"/>
      <c r="V154" s="800"/>
      <c r="W154" s="800"/>
      <c r="X154" s="800"/>
      <c r="Y154" s="800"/>
      <c r="Z154" s="800"/>
      <c r="AA154" s="800"/>
      <c r="AB154" s="800"/>
      <c r="AC154" s="800"/>
      <c r="AD154" s="800"/>
      <c r="AE154" s="800"/>
      <c r="AF154" s="800"/>
      <c r="AG154" s="800"/>
      <c r="AH154" s="800"/>
      <c r="AI154" s="800"/>
      <c r="AJ154" s="800"/>
      <c r="AK154" s="800"/>
      <c r="AL154" s="800"/>
      <c r="AM154" s="800"/>
      <c r="AN154" s="800"/>
      <c r="AO154" s="800"/>
      <c r="AP154" s="800"/>
      <c r="AQ154" s="800"/>
      <c r="AR154" s="800"/>
      <c r="AS154" s="800"/>
      <c r="AT154" s="800"/>
      <c r="AU154" s="800"/>
      <c r="AV154" s="800"/>
      <c r="AW154" s="800"/>
      <c r="AX154" s="800"/>
      <c r="AY154" s="800"/>
      <c r="AZ154" s="800"/>
      <c r="BA154" s="800"/>
      <c r="BB154" s="800"/>
      <c r="BC154" s="800"/>
      <c r="BD154" s="800"/>
      <c r="BE154" s="800"/>
      <c r="BF154" s="800"/>
      <c r="BG154" s="800"/>
      <c r="BH154" s="800"/>
      <c r="BI154" s="800"/>
      <c r="BJ154" s="800"/>
      <c r="BK154" s="800"/>
      <c r="BL154" s="800"/>
      <c r="BM154" s="800"/>
      <c r="BN154" s="800"/>
      <c r="BO154" s="800"/>
      <c r="BP154" s="800"/>
      <c r="BQ154" s="800"/>
      <c r="BR154" s="800"/>
      <c r="BS154" s="800"/>
      <c r="BT154" s="800"/>
      <c r="BU154" s="800"/>
      <c r="BV154" s="800"/>
      <c r="BW154" s="800"/>
      <c r="BX154" s="800"/>
      <c r="BY154" s="800"/>
      <c r="BZ154" s="800"/>
      <c r="CA154" s="800"/>
      <c r="CB154" s="800"/>
      <c r="CC154" s="800"/>
      <c r="CD154" s="800"/>
      <c r="CE154" s="800"/>
      <c r="CF154" s="800"/>
      <c r="CG154" s="800"/>
      <c r="CH154" s="800"/>
      <c r="CI154" s="800"/>
      <c r="CJ154" s="800"/>
      <c r="CK154" s="800"/>
      <c r="CL154" s="800"/>
      <c r="CM154" s="800"/>
      <c r="CN154" s="800"/>
      <c r="CO154" s="800"/>
      <c r="CP154" s="800"/>
      <c r="CQ154" s="800"/>
      <c r="CR154" s="800"/>
      <c r="CS154" s="800"/>
      <c r="CT154" s="800"/>
      <c r="CU154" s="800"/>
      <c r="CV154" s="800"/>
      <c r="CW154" s="800"/>
      <c r="CX154" s="800"/>
      <c r="CY154" s="800"/>
      <c r="CZ154" s="800"/>
      <c r="DA154" s="800"/>
      <c r="DB154" s="800"/>
      <c r="DC154" s="800"/>
      <c r="DD154" s="800"/>
      <c r="DE154" s="800"/>
      <c r="DF154" s="800"/>
      <c r="DG154" s="800"/>
      <c r="DH154" s="800"/>
      <c r="DI154" s="800"/>
      <c r="DJ154" s="800"/>
      <c r="DK154" s="800"/>
      <c r="DL154" s="800"/>
      <c r="DM154" s="800"/>
      <c r="DN154" s="800"/>
      <c r="DO154" s="800"/>
      <c r="DP154" s="800"/>
      <c r="DQ154" s="800"/>
      <c r="DR154" s="800"/>
      <c r="DS154" s="800"/>
      <c r="DT154" s="800"/>
      <c r="DU154" s="800"/>
      <c r="DV154" s="800"/>
      <c r="DW154" s="800"/>
      <c r="DX154" s="800"/>
      <c r="DY154" s="800"/>
      <c r="DZ154" s="800"/>
      <c r="EA154" s="800"/>
      <c r="EB154" s="800"/>
      <c r="EC154" s="800"/>
      <c r="ED154" s="800"/>
      <c r="EE154" s="800"/>
      <c r="EF154" s="800"/>
      <c r="EG154" s="800"/>
      <c r="EH154" s="800"/>
      <c r="EI154" s="800"/>
      <c r="EJ154" s="800"/>
      <c r="EK154" s="800"/>
      <c r="EL154" s="800"/>
      <c r="EM154" s="800"/>
      <c r="EN154" s="800"/>
      <c r="EO154" s="800"/>
      <c r="EP154" s="800"/>
      <c r="EQ154" s="800"/>
      <c r="ER154" s="800"/>
      <c r="ES154" s="800"/>
      <c r="ET154" s="800"/>
      <c r="EU154" s="800"/>
      <c r="EV154" s="800"/>
      <c r="EW154" s="800"/>
      <c r="EX154" s="800"/>
      <c r="EY154" s="800"/>
      <c r="EZ154" s="800"/>
      <c r="FA154" s="800"/>
      <c r="FB154" s="800"/>
      <c r="FC154" s="800"/>
      <c r="FD154" s="800"/>
      <c r="FE154" s="800"/>
      <c r="FF154" s="800"/>
      <c r="FG154" s="800"/>
      <c r="FH154" s="800"/>
      <c r="FI154" s="800"/>
      <c r="FJ154" s="800"/>
      <c r="FK154" s="800"/>
      <c r="FL154" s="800"/>
      <c r="FM154" s="800"/>
      <c r="FN154" s="800"/>
      <c r="FO154" s="800"/>
      <c r="FP154" s="800"/>
      <c r="FQ154" s="800"/>
      <c r="FR154" s="800"/>
      <c r="FS154" s="800"/>
      <c r="FT154" s="800"/>
      <c r="FU154" s="43"/>
      <c r="FV154" s="34"/>
      <c r="FW154" s="34"/>
      <c r="FX154" s="34"/>
      <c r="FY154" s="34"/>
      <c r="FZ154" s="34"/>
    </row>
    <row r="155" spans="1:182" s="89" customFormat="1" ht="13.5" x14ac:dyDescent="0.25">
      <c r="A155" s="34"/>
      <c r="B155" s="382" t="s">
        <v>5</v>
      </c>
      <c r="C155" s="34"/>
      <c r="D155" s="34"/>
      <c r="E155" s="34"/>
      <c r="F155" s="428"/>
      <c r="G155" s="34"/>
      <c r="H155" s="431">
        <f>IF(OR('Financing Assumptions'!$H$44="No",H$11&lt;&gt;'Financing Assumptions'!$H$47),0,'Financing Assumptions'!$H$54)</f>
        <v>0</v>
      </c>
      <c r="I155" s="431">
        <f>IF(OR('Financing Assumptions'!$H$44="No",I$11&lt;&gt;'Financing Assumptions'!$H$47),0,'Financing Assumptions'!$H$54)</f>
        <v>0</v>
      </c>
      <c r="J155" s="431">
        <f>IF(OR('Financing Assumptions'!$H$44="No",J$11&lt;&gt;'Financing Assumptions'!$H$47),0,'Financing Assumptions'!$H$54)</f>
        <v>0</v>
      </c>
      <c r="K155" s="431">
        <f>IF(OR('Financing Assumptions'!$H$44="No",K$11&lt;&gt;'Financing Assumptions'!$H$47),0,'Financing Assumptions'!$H$54)</f>
        <v>0</v>
      </c>
      <c r="L155" s="431">
        <f>IF(OR('Financing Assumptions'!$H$44="No",L$11&lt;&gt;'Financing Assumptions'!$H$47),0,'Financing Assumptions'!$H$54)</f>
        <v>0</v>
      </c>
      <c r="M155" s="431">
        <f>IF(OR('Financing Assumptions'!$H$44="No",M$11&lt;&gt;'Financing Assumptions'!$H$47),0,'Financing Assumptions'!$H$54)</f>
        <v>0</v>
      </c>
      <c r="N155" s="431">
        <f>IF(OR('Financing Assumptions'!$H$44="No",N$11&lt;&gt;'Financing Assumptions'!$H$47),0,'Financing Assumptions'!$H$54)</f>
        <v>0</v>
      </c>
      <c r="O155" s="431">
        <f>IF(OR('Financing Assumptions'!$H$44="No",O$11&lt;&gt;'Financing Assumptions'!$H$47),0,'Financing Assumptions'!$H$54)</f>
        <v>0</v>
      </c>
      <c r="P155" s="431">
        <f>IF(OR('Financing Assumptions'!$H$44="No",P$11&lt;&gt;'Financing Assumptions'!$H$47),0,'Financing Assumptions'!$H$54)</f>
        <v>0</v>
      </c>
      <c r="Q155" s="431">
        <f>IF(OR('Financing Assumptions'!$H$44="No",Q$11&lt;&gt;'Financing Assumptions'!$H$47),0,'Financing Assumptions'!$H$54)</f>
        <v>0</v>
      </c>
      <c r="R155" s="431">
        <f>IF(OR('Financing Assumptions'!$H$44="No",R$11&lt;&gt;'Financing Assumptions'!$H$47),0,'Financing Assumptions'!$H$54)</f>
        <v>0</v>
      </c>
      <c r="S155" s="431">
        <f>IF(OR('Financing Assumptions'!$H$44="No",S$11&lt;&gt;'Financing Assumptions'!$H$47),0,'Financing Assumptions'!$H$54)</f>
        <v>0</v>
      </c>
      <c r="T155" s="431">
        <f>IF(OR('Financing Assumptions'!$H$44="No",T$11&lt;&gt;'Financing Assumptions'!$H$47),0,'Financing Assumptions'!$H$54)</f>
        <v>0</v>
      </c>
      <c r="U155" s="431">
        <f>IF(OR('Financing Assumptions'!$H$44="No",U$11&lt;&gt;'Financing Assumptions'!$H$47),0,'Financing Assumptions'!$H$54)</f>
        <v>0</v>
      </c>
      <c r="V155" s="431">
        <f>IF(OR('Financing Assumptions'!$H$44="No",V$11&lt;&gt;'Financing Assumptions'!$H$47),0,'Financing Assumptions'!$H$54)</f>
        <v>0</v>
      </c>
      <c r="W155" s="431">
        <f>IF(OR('Financing Assumptions'!$H$44="No",W$11&lt;&gt;'Financing Assumptions'!$H$47),0,'Financing Assumptions'!$H$54)</f>
        <v>0</v>
      </c>
      <c r="X155" s="431">
        <f>IF(OR('Financing Assumptions'!$H$44="No",X$11&lt;&gt;'Financing Assumptions'!$H$47),0,'Financing Assumptions'!$H$54)</f>
        <v>0</v>
      </c>
      <c r="Y155" s="431">
        <f>IF(OR('Financing Assumptions'!$H$44="No",Y$11&lt;&gt;'Financing Assumptions'!$H$47),0,'Financing Assumptions'!$H$54)</f>
        <v>0</v>
      </c>
      <c r="Z155" s="431">
        <f>IF(OR('Financing Assumptions'!$H$44="No",Z$11&lt;&gt;'Financing Assumptions'!$H$47),0,'Financing Assumptions'!$H$54)</f>
        <v>0</v>
      </c>
      <c r="AA155" s="431">
        <f>IF(OR('Financing Assumptions'!$H$44="No",AA$11&lt;&gt;'Financing Assumptions'!$H$47),0,'Financing Assumptions'!$H$54)</f>
        <v>0</v>
      </c>
      <c r="AB155" s="431">
        <f>IF(OR('Financing Assumptions'!$H$44="No",AB$11&lt;&gt;'Financing Assumptions'!$H$47),0,'Financing Assumptions'!$H$54)</f>
        <v>0</v>
      </c>
      <c r="AC155" s="431">
        <f>IF(OR('Financing Assumptions'!$H$44="No",AC$11&lt;&gt;'Financing Assumptions'!$H$47),0,'Financing Assumptions'!$H$54)</f>
        <v>0</v>
      </c>
      <c r="AD155" s="431">
        <f>IF(OR('Financing Assumptions'!$H$44="No",AD$11&lt;&gt;'Financing Assumptions'!$H$47),0,'Financing Assumptions'!$H$54)</f>
        <v>0</v>
      </c>
      <c r="AE155" s="431">
        <f>IF(OR('Financing Assumptions'!$H$44="No",AE$11&lt;&gt;'Financing Assumptions'!$H$47),0,'Financing Assumptions'!$H$54)</f>
        <v>0</v>
      </c>
      <c r="AF155" s="431">
        <f>IF(OR('Financing Assumptions'!$H$44="No",AF$11&lt;&gt;'Financing Assumptions'!$H$47),0,'Financing Assumptions'!$H$54)</f>
        <v>0</v>
      </c>
      <c r="AG155" s="431">
        <f>IF(OR('Financing Assumptions'!$H$44="No",AG$11&lt;&gt;'Financing Assumptions'!$H$47),0,'Financing Assumptions'!$H$54)</f>
        <v>0</v>
      </c>
      <c r="AH155" s="431">
        <f>IF(OR('Financing Assumptions'!$H$44="No",AH$11&lt;&gt;'Financing Assumptions'!$H$47),0,'Financing Assumptions'!$H$54)</f>
        <v>0</v>
      </c>
      <c r="AI155" s="431">
        <f>IF(OR('Financing Assumptions'!$H$44="No",AI$11&lt;&gt;'Financing Assumptions'!$H$47),0,'Financing Assumptions'!$H$54)</f>
        <v>0</v>
      </c>
      <c r="AJ155" s="431">
        <f>IF(OR('Financing Assumptions'!$H$44="No",AJ$11&lt;&gt;'Financing Assumptions'!$H$47),0,'Financing Assumptions'!$H$54)</f>
        <v>0</v>
      </c>
      <c r="AK155" s="431">
        <f>IF(OR('Financing Assumptions'!$H$44="No",AK$11&lt;&gt;'Financing Assumptions'!$H$47),0,'Financing Assumptions'!$H$54)</f>
        <v>0</v>
      </c>
      <c r="AL155" s="431">
        <f>IF(OR('Financing Assumptions'!$H$44="No",AL$11&lt;&gt;'Financing Assumptions'!$H$47),0,'Financing Assumptions'!$H$54)</f>
        <v>0</v>
      </c>
      <c r="AM155" s="431">
        <f>IF(OR('Financing Assumptions'!$H$44="No",AM$11&lt;&gt;'Financing Assumptions'!$H$47),0,'Financing Assumptions'!$H$54)</f>
        <v>0</v>
      </c>
      <c r="AN155" s="431">
        <f>IF(OR('Financing Assumptions'!$H$44="No",AN$11&lt;&gt;'Financing Assumptions'!$H$47),0,'Financing Assumptions'!$H$54)</f>
        <v>0</v>
      </c>
      <c r="AO155" s="431">
        <f>IF(OR('Financing Assumptions'!$H$44="No",AO$11&lt;&gt;'Financing Assumptions'!$H$47),0,'Financing Assumptions'!$H$54)</f>
        <v>0</v>
      </c>
      <c r="AP155" s="431">
        <f>IF(OR('Financing Assumptions'!$H$44="No",AP$11&lt;&gt;'Financing Assumptions'!$H$47),0,'Financing Assumptions'!$H$54)</f>
        <v>0</v>
      </c>
      <c r="AQ155" s="431">
        <f>IF(OR('Financing Assumptions'!$H$44="No",AQ$11&lt;&gt;'Financing Assumptions'!$H$47),0,'Financing Assumptions'!$H$54)</f>
        <v>0</v>
      </c>
      <c r="AR155" s="431">
        <f>IF(OR('Financing Assumptions'!$H$44="No",AR$11&lt;&gt;'Financing Assumptions'!$H$47),0,'Financing Assumptions'!$H$54)</f>
        <v>0</v>
      </c>
      <c r="AS155" s="431">
        <f>IF(OR('Financing Assumptions'!$H$44="No",AS$11&lt;&gt;'Financing Assumptions'!$H$47),0,'Financing Assumptions'!$H$54)</f>
        <v>0</v>
      </c>
      <c r="AT155" s="431">
        <f>IF(OR('Financing Assumptions'!$H$44="No",AT$11&lt;&gt;'Financing Assumptions'!$H$47),0,'Financing Assumptions'!$H$54)</f>
        <v>0</v>
      </c>
      <c r="AU155" s="431">
        <f>IF(OR('Financing Assumptions'!$H$44="No",AU$11&lt;&gt;'Financing Assumptions'!$H$47),0,'Financing Assumptions'!$H$54)</f>
        <v>0</v>
      </c>
      <c r="AV155" s="431">
        <f>IF(OR('Financing Assumptions'!$H$44="No",AV$11&lt;&gt;'Financing Assumptions'!$H$47),0,'Financing Assumptions'!$H$54)</f>
        <v>0</v>
      </c>
      <c r="AW155" s="431">
        <f>IF(OR('Financing Assumptions'!$H$44="No",AW$11&lt;&gt;'Financing Assumptions'!$H$47),0,'Financing Assumptions'!$H$54)</f>
        <v>0</v>
      </c>
      <c r="AX155" s="431">
        <f>IF(OR('Financing Assumptions'!$H$44="No",AX$11&lt;&gt;'Financing Assumptions'!$H$47),0,'Financing Assumptions'!$H$54)</f>
        <v>0</v>
      </c>
      <c r="AY155" s="431">
        <f>IF(OR('Financing Assumptions'!$H$44="No",AY$11&lt;&gt;'Financing Assumptions'!$H$47),0,'Financing Assumptions'!$H$54)</f>
        <v>0</v>
      </c>
      <c r="AZ155" s="431">
        <f>IF(OR('Financing Assumptions'!$H$44="No",AZ$11&lt;&gt;'Financing Assumptions'!$H$47),0,'Financing Assumptions'!$H$54)</f>
        <v>0</v>
      </c>
      <c r="BA155" s="431">
        <f>IF(OR('Financing Assumptions'!$H$44="No",BA$11&lt;&gt;'Financing Assumptions'!$H$47),0,'Financing Assumptions'!$H$54)</f>
        <v>0</v>
      </c>
      <c r="BB155" s="431">
        <f>IF(OR('Financing Assumptions'!$H$44="No",BB$11&lt;&gt;'Financing Assumptions'!$H$47),0,'Financing Assumptions'!$H$54)</f>
        <v>0</v>
      </c>
      <c r="BC155" s="431">
        <f>IF(OR('Financing Assumptions'!$H$44="No",BC$11&lt;&gt;'Financing Assumptions'!$H$47),0,'Financing Assumptions'!$H$54)</f>
        <v>0</v>
      </c>
      <c r="BD155" s="431">
        <f>IF(OR('Financing Assumptions'!$H$44="No",BD$11&lt;&gt;'Financing Assumptions'!$H$47),0,'Financing Assumptions'!$H$54)</f>
        <v>0</v>
      </c>
      <c r="BE155" s="431">
        <f>IF(OR('Financing Assumptions'!$H$44="No",BE$11&lt;&gt;'Financing Assumptions'!$H$47),0,'Financing Assumptions'!$H$54)</f>
        <v>0</v>
      </c>
      <c r="BF155" s="431">
        <f>IF(OR('Financing Assumptions'!$H$44="No",BF$11&lt;&gt;'Financing Assumptions'!$H$47),0,'Financing Assumptions'!$H$54)</f>
        <v>0</v>
      </c>
      <c r="BG155" s="431">
        <f>IF(OR('Financing Assumptions'!$H$44="No",BG$11&lt;&gt;'Financing Assumptions'!$H$47),0,'Financing Assumptions'!$H$54)</f>
        <v>0</v>
      </c>
      <c r="BH155" s="431">
        <f>IF(OR('Financing Assumptions'!$H$44="No",BH$11&lt;&gt;'Financing Assumptions'!$H$47),0,'Financing Assumptions'!$H$54)</f>
        <v>0</v>
      </c>
      <c r="BI155" s="431">
        <f>IF(OR('Financing Assumptions'!$H$44="No",BI$11&lt;&gt;'Financing Assumptions'!$H$47),0,'Financing Assumptions'!$H$54)</f>
        <v>0</v>
      </c>
      <c r="BJ155" s="431">
        <f>IF(OR('Financing Assumptions'!$H$44="No",BJ$11&lt;&gt;'Financing Assumptions'!$H$47),0,'Financing Assumptions'!$H$54)</f>
        <v>0</v>
      </c>
      <c r="BK155" s="431">
        <f>IF(OR('Financing Assumptions'!$H$44="No",BK$11&lt;&gt;'Financing Assumptions'!$H$47),0,'Financing Assumptions'!$H$54)</f>
        <v>0</v>
      </c>
      <c r="BL155" s="431">
        <f>IF(OR('Financing Assumptions'!$H$44="No",BL$11&lt;&gt;'Financing Assumptions'!$H$47),0,'Financing Assumptions'!$H$54)</f>
        <v>0</v>
      </c>
      <c r="BM155" s="431">
        <f>IF(OR('Financing Assumptions'!$H$44="No",BM$11&lt;&gt;'Financing Assumptions'!$H$47),0,'Financing Assumptions'!$H$54)</f>
        <v>0</v>
      </c>
      <c r="BN155" s="431">
        <f>IF(OR('Financing Assumptions'!$H$44="No",BN$11&lt;&gt;'Financing Assumptions'!$H$47),0,'Financing Assumptions'!$H$54)</f>
        <v>0</v>
      </c>
      <c r="BO155" s="431">
        <f>IF(OR('Financing Assumptions'!$H$44="No",BO$11&lt;&gt;'Financing Assumptions'!$H$47),0,'Financing Assumptions'!$H$54)</f>
        <v>0</v>
      </c>
      <c r="BP155" s="431">
        <f>IF(OR('Financing Assumptions'!$H$44="No",BP$11&lt;&gt;'Financing Assumptions'!$H$47),0,'Financing Assumptions'!$H$54)</f>
        <v>0</v>
      </c>
      <c r="BQ155" s="431">
        <f>IF(OR('Financing Assumptions'!$H$44="No",BQ$11&lt;&gt;'Financing Assumptions'!$H$47),0,'Financing Assumptions'!$H$54)</f>
        <v>0</v>
      </c>
      <c r="BR155" s="431">
        <f>IF(OR('Financing Assumptions'!$H$44="No",BR$11&lt;&gt;'Financing Assumptions'!$H$47),0,'Financing Assumptions'!$H$54)</f>
        <v>0</v>
      </c>
      <c r="BS155" s="431">
        <f>IF(OR('Financing Assumptions'!$H$44="No",BS$11&lt;&gt;'Financing Assumptions'!$H$47),0,'Financing Assumptions'!$H$54)</f>
        <v>0</v>
      </c>
      <c r="BT155" s="431">
        <f>IF(OR('Financing Assumptions'!$H$44="No",BT$11&lt;&gt;'Financing Assumptions'!$H$47),0,'Financing Assumptions'!$H$54)</f>
        <v>0</v>
      </c>
      <c r="BU155" s="431">
        <f>IF(OR('Financing Assumptions'!$H$44="No",BU$11&lt;&gt;'Financing Assumptions'!$H$47),0,'Financing Assumptions'!$H$54)</f>
        <v>0</v>
      </c>
      <c r="BV155" s="431">
        <f>IF(OR('Financing Assumptions'!$H$44="No",BV$11&lt;&gt;'Financing Assumptions'!$H$47),0,'Financing Assumptions'!$H$54)</f>
        <v>0</v>
      </c>
      <c r="BW155" s="431">
        <f>IF(OR('Financing Assumptions'!$H$44="No",BW$11&lt;&gt;'Financing Assumptions'!$H$47),0,'Financing Assumptions'!$H$54)</f>
        <v>0</v>
      </c>
      <c r="BX155" s="431">
        <f>IF(OR('Financing Assumptions'!$H$44="No",BX$11&lt;&gt;'Financing Assumptions'!$H$47),0,'Financing Assumptions'!$H$54)</f>
        <v>0</v>
      </c>
      <c r="BY155" s="431">
        <f>IF(OR('Financing Assumptions'!$H$44="No",BY$11&lt;&gt;'Financing Assumptions'!$H$47),0,'Financing Assumptions'!$H$54)</f>
        <v>0</v>
      </c>
      <c r="BZ155" s="431">
        <f>IF(OR('Financing Assumptions'!$H$44="No",BZ$11&lt;&gt;'Financing Assumptions'!$H$47),0,'Financing Assumptions'!$H$54)</f>
        <v>0</v>
      </c>
      <c r="CA155" s="431">
        <f>IF(OR('Financing Assumptions'!$H$44="No",CA$11&lt;&gt;'Financing Assumptions'!$H$47),0,'Financing Assumptions'!$H$54)</f>
        <v>0</v>
      </c>
      <c r="CB155" s="431">
        <f>IF(OR('Financing Assumptions'!$H$44="No",CB$11&lt;&gt;'Financing Assumptions'!$H$47),0,'Financing Assumptions'!$H$54)</f>
        <v>0</v>
      </c>
      <c r="CC155" s="431">
        <f>IF(OR('Financing Assumptions'!$H$44="No",CC$11&lt;&gt;'Financing Assumptions'!$H$47),0,'Financing Assumptions'!$H$54)</f>
        <v>0</v>
      </c>
      <c r="CD155" s="431">
        <f>IF(OR('Financing Assumptions'!$H$44="No",CD$11&lt;&gt;'Financing Assumptions'!$H$47),0,'Financing Assumptions'!$H$54)</f>
        <v>0</v>
      </c>
      <c r="CE155" s="431">
        <f>IF(OR('Financing Assumptions'!$H$44="No",CE$11&lt;&gt;'Financing Assumptions'!$H$47),0,'Financing Assumptions'!$H$54)</f>
        <v>0</v>
      </c>
      <c r="CF155" s="431">
        <f>IF(OR('Financing Assumptions'!$H$44="No",CF$11&lt;&gt;'Financing Assumptions'!$H$47),0,'Financing Assumptions'!$H$54)</f>
        <v>0</v>
      </c>
      <c r="CG155" s="431">
        <f>IF(OR('Financing Assumptions'!$H$44="No",CG$11&lt;&gt;'Financing Assumptions'!$H$47),0,'Financing Assumptions'!$H$54)</f>
        <v>0</v>
      </c>
      <c r="CH155" s="431">
        <f>IF(OR('Financing Assumptions'!$H$44="No",CH$11&lt;&gt;'Financing Assumptions'!$H$47),0,'Financing Assumptions'!$H$54)</f>
        <v>0</v>
      </c>
      <c r="CI155" s="431">
        <f>IF(OR('Financing Assumptions'!$H$44="No",CI$11&lt;&gt;'Financing Assumptions'!$H$47),0,'Financing Assumptions'!$H$54)</f>
        <v>0</v>
      </c>
      <c r="CJ155" s="431">
        <f>IF(OR('Financing Assumptions'!$H$44="No",CJ$11&lt;&gt;'Financing Assumptions'!$H$47),0,'Financing Assumptions'!$H$54)</f>
        <v>0</v>
      </c>
      <c r="CK155" s="431">
        <f>IF(OR('Financing Assumptions'!$H$44="No",CK$11&lt;&gt;'Financing Assumptions'!$H$47),0,'Financing Assumptions'!$H$54)</f>
        <v>0</v>
      </c>
      <c r="CL155" s="431">
        <f>IF(OR('Financing Assumptions'!$H$44="No",CL$11&lt;&gt;'Financing Assumptions'!$H$47),0,'Financing Assumptions'!$H$54)</f>
        <v>0</v>
      </c>
      <c r="CM155" s="431">
        <f>IF(OR('Financing Assumptions'!$H$44="No",CM$11&lt;&gt;'Financing Assumptions'!$H$47),0,'Financing Assumptions'!$H$54)</f>
        <v>0</v>
      </c>
      <c r="CN155" s="431">
        <f>IF(OR('Financing Assumptions'!$H$44="No",CN$11&lt;&gt;'Financing Assumptions'!$H$47),0,'Financing Assumptions'!$H$54)</f>
        <v>0</v>
      </c>
      <c r="CO155" s="431">
        <f>IF(OR('Financing Assumptions'!$H$44="No",CO$11&lt;&gt;'Financing Assumptions'!$H$47),0,'Financing Assumptions'!$H$54)</f>
        <v>0</v>
      </c>
      <c r="CP155" s="431">
        <f>IF(OR('Financing Assumptions'!$H$44="No",CP$11&lt;&gt;'Financing Assumptions'!$H$47),0,'Financing Assumptions'!$H$54)</f>
        <v>0</v>
      </c>
      <c r="CQ155" s="431">
        <f>IF(OR('Financing Assumptions'!$H$44="No",CQ$11&lt;&gt;'Financing Assumptions'!$H$47),0,'Financing Assumptions'!$H$54)</f>
        <v>0</v>
      </c>
      <c r="CR155" s="431">
        <f>IF(OR('Financing Assumptions'!$H$44="No",CR$11&lt;&gt;'Financing Assumptions'!$H$47),0,'Financing Assumptions'!$H$54)</f>
        <v>0</v>
      </c>
      <c r="CS155" s="431">
        <f>IF(OR('Financing Assumptions'!$H$44="No",CS$11&lt;&gt;'Financing Assumptions'!$H$47),0,'Financing Assumptions'!$H$54)</f>
        <v>0</v>
      </c>
      <c r="CT155" s="431">
        <f>IF(OR('Financing Assumptions'!$H$44="No",CT$11&lt;&gt;'Financing Assumptions'!$H$47),0,'Financing Assumptions'!$H$54)</f>
        <v>0</v>
      </c>
      <c r="CU155" s="431">
        <f>IF(OR('Financing Assumptions'!$H$44="No",CU$11&lt;&gt;'Financing Assumptions'!$H$47),0,'Financing Assumptions'!$H$54)</f>
        <v>0</v>
      </c>
      <c r="CV155" s="431">
        <f>IF(OR('Financing Assumptions'!$H$44="No",CV$11&lt;&gt;'Financing Assumptions'!$H$47),0,'Financing Assumptions'!$H$54)</f>
        <v>0</v>
      </c>
      <c r="CW155" s="431">
        <f>IF(OR('Financing Assumptions'!$H$44="No",CW$11&lt;&gt;'Financing Assumptions'!$H$47),0,'Financing Assumptions'!$H$54)</f>
        <v>0</v>
      </c>
      <c r="CX155" s="431">
        <f>IF(OR('Financing Assumptions'!$H$44="No",CX$11&lt;&gt;'Financing Assumptions'!$H$47),0,'Financing Assumptions'!$H$54)</f>
        <v>0</v>
      </c>
      <c r="CY155" s="431">
        <f>IF(OR('Financing Assumptions'!$H$44="No",CY$11&lt;&gt;'Financing Assumptions'!$H$47),0,'Financing Assumptions'!$H$54)</f>
        <v>0</v>
      </c>
      <c r="CZ155" s="431">
        <f>IF(OR('Financing Assumptions'!$H$44="No",CZ$11&lt;&gt;'Financing Assumptions'!$H$47),0,'Financing Assumptions'!$H$54)</f>
        <v>0</v>
      </c>
      <c r="DA155" s="431">
        <f>IF(OR('Financing Assumptions'!$H$44="No",DA$11&lt;&gt;'Financing Assumptions'!$H$47),0,'Financing Assumptions'!$H$54)</f>
        <v>0</v>
      </c>
      <c r="DB155" s="431">
        <f>IF(OR('Financing Assumptions'!$H$44="No",DB$11&lt;&gt;'Financing Assumptions'!$H$47),0,'Financing Assumptions'!$H$54)</f>
        <v>0</v>
      </c>
      <c r="DC155" s="431">
        <f>IF(OR('Financing Assumptions'!$H$44="No",DC$11&lt;&gt;'Financing Assumptions'!$H$47),0,'Financing Assumptions'!$H$54)</f>
        <v>0</v>
      </c>
      <c r="DD155" s="431">
        <f>IF(OR('Financing Assumptions'!$H$44="No",DD$11&lt;&gt;'Financing Assumptions'!$H$47),0,'Financing Assumptions'!$H$54)</f>
        <v>0</v>
      </c>
      <c r="DE155" s="431">
        <f>IF(OR('Financing Assumptions'!$H$44="No",DE$11&lt;&gt;'Financing Assumptions'!$H$47),0,'Financing Assumptions'!$H$54)</f>
        <v>0</v>
      </c>
      <c r="DF155" s="431">
        <f>IF(OR('Financing Assumptions'!$H$44="No",DF$11&lt;&gt;'Financing Assumptions'!$H$47),0,'Financing Assumptions'!$H$54)</f>
        <v>0</v>
      </c>
      <c r="DG155" s="431">
        <f>IF(OR('Financing Assumptions'!$H$44="No",DG$11&lt;&gt;'Financing Assumptions'!$H$47),0,'Financing Assumptions'!$H$54)</f>
        <v>0</v>
      </c>
      <c r="DH155" s="431">
        <f>IF(OR('Financing Assumptions'!$H$44="No",DH$11&lt;&gt;'Financing Assumptions'!$H$47),0,'Financing Assumptions'!$H$54)</f>
        <v>0</v>
      </c>
      <c r="DI155" s="431">
        <f>IF(OR('Financing Assumptions'!$H$44="No",DI$11&lt;&gt;'Financing Assumptions'!$H$47),0,'Financing Assumptions'!$H$54)</f>
        <v>0</v>
      </c>
      <c r="DJ155" s="431">
        <f>IF(OR('Financing Assumptions'!$H$44="No",DJ$11&lt;&gt;'Financing Assumptions'!$H$47),0,'Financing Assumptions'!$H$54)</f>
        <v>0</v>
      </c>
      <c r="DK155" s="431">
        <f>IF(OR('Financing Assumptions'!$H$44="No",DK$11&lt;&gt;'Financing Assumptions'!$H$47),0,'Financing Assumptions'!$H$54)</f>
        <v>0</v>
      </c>
      <c r="DL155" s="431">
        <f>IF(OR('Financing Assumptions'!$H$44="No",DL$11&lt;&gt;'Financing Assumptions'!$H$47),0,'Financing Assumptions'!$H$54)</f>
        <v>0</v>
      </c>
      <c r="DM155" s="431">
        <f>IF(OR('Financing Assumptions'!$H$44="No",DM$11&lt;&gt;'Financing Assumptions'!$H$47),0,'Financing Assumptions'!$H$54)</f>
        <v>0</v>
      </c>
      <c r="DN155" s="431">
        <f>IF(OR('Financing Assumptions'!$H$44="No",DN$11&lt;&gt;'Financing Assumptions'!$H$47),0,'Financing Assumptions'!$H$54)</f>
        <v>0</v>
      </c>
      <c r="DO155" s="431">
        <f>IF(OR('Financing Assumptions'!$H$44="No",DO$11&lt;&gt;'Financing Assumptions'!$H$47),0,'Financing Assumptions'!$H$54)</f>
        <v>0</v>
      </c>
      <c r="DP155" s="431">
        <f>IF(OR('Financing Assumptions'!$H$44="No",DP$11&lt;&gt;'Financing Assumptions'!$H$47),0,'Financing Assumptions'!$H$54)</f>
        <v>0</v>
      </c>
      <c r="DQ155" s="431">
        <f>IF(OR('Financing Assumptions'!$H$44="No",DQ$11&lt;&gt;'Financing Assumptions'!$H$47),0,'Financing Assumptions'!$H$54)</f>
        <v>0</v>
      </c>
      <c r="DR155" s="431">
        <f>IF(OR('Financing Assumptions'!$H$44="No",DR$11&lt;&gt;'Financing Assumptions'!$H$47),0,'Financing Assumptions'!$H$54)</f>
        <v>0</v>
      </c>
      <c r="DS155" s="431">
        <f>IF(OR('Financing Assumptions'!$H$44="No",DS$11&lt;&gt;'Financing Assumptions'!$H$47),0,'Financing Assumptions'!$H$54)</f>
        <v>0</v>
      </c>
      <c r="DT155" s="431">
        <f>IF(OR('Financing Assumptions'!$H$44="No",DT$11&lt;&gt;'Financing Assumptions'!$H$47),0,'Financing Assumptions'!$H$54)</f>
        <v>0</v>
      </c>
      <c r="DU155" s="431">
        <f>IF(OR('Financing Assumptions'!$H$44="No",DU$11&lt;&gt;'Financing Assumptions'!$H$47),0,'Financing Assumptions'!$H$54)</f>
        <v>0</v>
      </c>
      <c r="DV155" s="431">
        <f>IF(OR('Financing Assumptions'!$H$44="No",DV$11&lt;&gt;'Financing Assumptions'!$H$47),0,'Financing Assumptions'!$H$54)</f>
        <v>0</v>
      </c>
      <c r="DW155" s="431">
        <f>IF(OR('Financing Assumptions'!$H$44="No",DW$11&lt;&gt;'Financing Assumptions'!$H$47),0,'Financing Assumptions'!$H$54)</f>
        <v>0</v>
      </c>
      <c r="DX155" s="431">
        <f>IF(OR('Financing Assumptions'!$H$44="No",DX$11&lt;&gt;'Financing Assumptions'!$H$47),0,'Financing Assumptions'!$H$54)</f>
        <v>0</v>
      </c>
      <c r="DY155" s="431">
        <f>IF(OR('Financing Assumptions'!$H$44="No",DY$11&lt;&gt;'Financing Assumptions'!$H$47),0,'Financing Assumptions'!$H$54)</f>
        <v>0</v>
      </c>
      <c r="DZ155" s="431">
        <f>IF(OR('Financing Assumptions'!$H$44="No",DZ$11&lt;&gt;'Financing Assumptions'!$H$47),0,'Financing Assumptions'!$H$54)</f>
        <v>0</v>
      </c>
      <c r="EA155" s="431">
        <f>IF(OR('Financing Assumptions'!$H$44="No",EA$11&lt;&gt;'Financing Assumptions'!$H$47),0,'Financing Assumptions'!$H$54)</f>
        <v>0</v>
      </c>
      <c r="EB155" s="431">
        <f>IF(OR('Financing Assumptions'!$H$44="No",EB$11&lt;&gt;'Financing Assumptions'!$H$47),0,'Financing Assumptions'!$H$54)</f>
        <v>0</v>
      </c>
      <c r="EC155" s="431">
        <f>IF(OR('Financing Assumptions'!$H$44="No",EC$11&lt;&gt;'Financing Assumptions'!$H$47),0,'Financing Assumptions'!$H$54)</f>
        <v>0</v>
      </c>
      <c r="ED155" s="431">
        <f>IF(OR('Financing Assumptions'!$H$44="No",ED$11&lt;&gt;'Financing Assumptions'!$H$47),0,'Financing Assumptions'!$H$54)</f>
        <v>0</v>
      </c>
      <c r="EE155" s="431">
        <f>IF(OR('Financing Assumptions'!$H$44="No",EE$11&lt;&gt;'Financing Assumptions'!$H$47),0,'Financing Assumptions'!$H$54)</f>
        <v>0</v>
      </c>
      <c r="EF155" s="431">
        <f>IF(OR('Financing Assumptions'!$H$44="No",EF$11&lt;&gt;'Financing Assumptions'!$H$47),0,'Financing Assumptions'!$H$54)</f>
        <v>0</v>
      </c>
      <c r="EG155" s="431">
        <f>IF(OR('Financing Assumptions'!$H$44="No",EG$11&lt;&gt;'Financing Assumptions'!$H$47),0,'Financing Assumptions'!$H$54)</f>
        <v>0</v>
      </c>
      <c r="EH155" s="431">
        <f>IF(OR('Financing Assumptions'!$H$44="No",EH$11&lt;&gt;'Financing Assumptions'!$H$47),0,'Financing Assumptions'!$H$54)</f>
        <v>0</v>
      </c>
      <c r="EI155" s="431">
        <f>IF(OR('Financing Assumptions'!$H$44="No",EI$11&lt;&gt;'Financing Assumptions'!$H$47),0,'Financing Assumptions'!$H$54)</f>
        <v>0</v>
      </c>
      <c r="EJ155" s="431">
        <f>IF(OR('Financing Assumptions'!$H$44="No",EJ$11&lt;&gt;'Financing Assumptions'!$H$47),0,'Financing Assumptions'!$H$54)</f>
        <v>0</v>
      </c>
      <c r="EK155" s="431">
        <f>IF(OR('Financing Assumptions'!$H$44="No",EK$11&lt;&gt;'Financing Assumptions'!$H$47),0,'Financing Assumptions'!$H$54)</f>
        <v>0</v>
      </c>
      <c r="EL155" s="431">
        <f>IF(OR('Financing Assumptions'!$H$44="No",EL$11&lt;&gt;'Financing Assumptions'!$H$47),0,'Financing Assumptions'!$H$54)</f>
        <v>0</v>
      </c>
      <c r="EM155" s="431">
        <f>IF(OR('Financing Assumptions'!$H$44="No",EM$11&lt;&gt;'Financing Assumptions'!$H$47),0,'Financing Assumptions'!$H$54)</f>
        <v>0</v>
      </c>
      <c r="EN155" s="431">
        <f>IF(OR('Financing Assumptions'!$H$44="No",EN$11&lt;&gt;'Financing Assumptions'!$H$47),0,'Financing Assumptions'!$H$54)</f>
        <v>0</v>
      </c>
      <c r="EO155" s="431">
        <f>IF(OR('Financing Assumptions'!$H$44="No",EO$11&lt;&gt;'Financing Assumptions'!$H$47),0,'Financing Assumptions'!$H$54)</f>
        <v>0</v>
      </c>
      <c r="EP155" s="431">
        <f>IF(OR('Financing Assumptions'!$H$44="No",EP$11&lt;&gt;'Financing Assumptions'!$H$47),0,'Financing Assumptions'!$H$54)</f>
        <v>0</v>
      </c>
      <c r="EQ155" s="431">
        <f>IF(OR('Financing Assumptions'!$H$44="No",EQ$11&lt;&gt;'Financing Assumptions'!$H$47),0,'Financing Assumptions'!$H$54)</f>
        <v>0</v>
      </c>
      <c r="ER155" s="431">
        <f>IF(OR('Financing Assumptions'!$H$44="No",ER$11&lt;&gt;'Financing Assumptions'!$H$47),0,'Financing Assumptions'!$H$54)</f>
        <v>0</v>
      </c>
      <c r="ES155" s="431">
        <f>IF(OR('Financing Assumptions'!$H$44="No",ES$11&lt;&gt;'Financing Assumptions'!$H$47),0,'Financing Assumptions'!$H$54)</f>
        <v>0</v>
      </c>
      <c r="ET155" s="431">
        <f>IF(OR('Financing Assumptions'!$H$44="No",ET$11&lt;&gt;'Financing Assumptions'!$H$47),0,'Financing Assumptions'!$H$54)</f>
        <v>0</v>
      </c>
      <c r="EU155" s="431">
        <f>IF(OR('Financing Assumptions'!$H$44="No",EU$11&lt;&gt;'Financing Assumptions'!$H$47),0,'Financing Assumptions'!$H$54)</f>
        <v>0</v>
      </c>
      <c r="EV155" s="431">
        <f>IF(OR('Financing Assumptions'!$H$44="No",EV$11&lt;&gt;'Financing Assumptions'!$H$47),0,'Financing Assumptions'!$H$54)</f>
        <v>0</v>
      </c>
      <c r="EW155" s="431">
        <f>IF(OR('Financing Assumptions'!$H$44="No",EW$11&lt;&gt;'Financing Assumptions'!$H$47),0,'Financing Assumptions'!$H$54)</f>
        <v>0</v>
      </c>
      <c r="EX155" s="431">
        <f>IF(OR('Financing Assumptions'!$H$44="No",EX$11&lt;&gt;'Financing Assumptions'!$H$47),0,'Financing Assumptions'!$H$54)</f>
        <v>0</v>
      </c>
      <c r="EY155" s="431">
        <f>IF(OR('Financing Assumptions'!$H$44="No",EY$11&lt;&gt;'Financing Assumptions'!$H$47),0,'Financing Assumptions'!$H$54)</f>
        <v>0</v>
      </c>
      <c r="EZ155" s="431">
        <f>IF(OR('Financing Assumptions'!$H$44="No",EZ$11&lt;&gt;'Financing Assumptions'!$H$47),0,'Financing Assumptions'!$H$54)</f>
        <v>0</v>
      </c>
      <c r="FA155" s="431">
        <f>IF(OR('Financing Assumptions'!$H$44="No",FA$11&lt;&gt;'Financing Assumptions'!$H$47),0,'Financing Assumptions'!$H$54)</f>
        <v>0</v>
      </c>
      <c r="FB155" s="431">
        <f>IF(OR('Financing Assumptions'!$H$44="No",FB$11&lt;&gt;'Financing Assumptions'!$H$47),0,'Financing Assumptions'!$H$54)</f>
        <v>0</v>
      </c>
      <c r="FC155" s="431">
        <f>IF(OR('Financing Assumptions'!$H$44="No",FC$11&lt;&gt;'Financing Assumptions'!$H$47),0,'Financing Assumptions'!$H$54)</f>
        <v>0</v>
      </c>
      <c r="FD155" s="431">
        <f>IF(OR('Financing Assumptions'!$H$44="No",FD$11&lt;&gt;'Financing Assumptions'!$H$47),0,'Financing Assumptions'!$H$54)</f>
        <v>0</v>
      </c>
      <c r="FE155" s="431">
        <f>IF(OR('Financing Assumptions'!$H$44="No",FE$11&lt;&gt;'Financing Assumptions'!$H$47),0,'Financing Assumptions'!$H$54)</f>
        <v>0</v>
      </c>
      <c r="FF155" s="431">
        <f>IF(OR('Financing Assumptions'!$H$44="No",FF$11&lt;&gt;'Financing Assumptions'!$H$47),0,'Financing Assumptions'!$H$54)</f>
        <v>0</v>
      </c>
      <c r="FG155" s="431">
        <f>IF(OR('Financing Assumptions'!$H$44="No",FG$11&lt;&gt;'Financing Assumptions'!$H$47),0,'Financing Assumptions'!$H$54)</f>
        <v>0</v>
      </c>
      <c r="FH155" s="431">
        <f>IF(OR('Financing Assumptions'!$H$44="No",FH$11&lt;&gt;'Financing Assumptions'!$H$47),0,'Financing Assumptions'!$H$54)</f>
        <v>0</v>
      </c>
      <c r="FI155" s="431">
        <f>IF(OR('Financing Assumptions'!$H$44="No",FI$11&lt;&gt;'Financing Assumptions'!$H$47),0,'Financing Assumptions'!$H$54)</f>
        <v>0</v>
      </c>
      <c r="FJ155" s="431">
        <f>IF(OR('Financing Assumptions'!$H$44="No",FJ$11&lt;&gt;'Financing Assumptions'!$H$47),0,'Financing Assumptions'!$H$54)</f>
        <v>0</v>
      </c>
      <c r="FK155" s="431">
        <f>IF(OR('Financing Assumptions'!$H$44="No",FK$11&lt;&gt;'Financing Assumptions'!$H$47),0,'Financing Assumptions'!$H$54)</f>
        <v>0</v>
      </c>
      <c r="FL155" s="431">
        <f>IF(OR('Financing Assumptions'!$H$44="No",FL$11&lt;&gt;'Financing Assumptions'!$H$47),0,'Financing Assumptions'!$H$54)</f>
        <v>0</v>
      </c>
      <c r="FM155" s="431">
        <f>IF(OR('Financing Assumptions'!$H$44="No",FM$11&lt;&gt;'Financing Assumptions'!$H$47),0,'Financing Assumptions'!$H$54)</f>
        <v>0</v>
      </c>
      <c r="FN155" s="431">
        <f>IF(OR('Financing Assumptions'!$H$44="No",FN$11&lt;&gt;'Financing Assumptions'!$H$47),0,'Financing Assumptions'!$H$54)</f>
        <v>0</v>
      </c>
      <c r="FO155" s="431">
        <f>IF(OR('Financing Assumptions'!$H$44="No",FO$11&lt;&gt;'Financing Assumptions'!$H$47),0,'Financing Assumptions'!$H$54)</f>
        <v>0</v>
      </c>
      <c r="FP155" s="431">
        <f>IF(OR('Financing Assumptions'!$H$44="No",FP$11&lt;&gt;'Financing Assumptions'!$H$47),0,'Financing Assumptions'!$H$54)</f>
        <v>0</v>
      </c>
      <c r="FQ155" s="431">
        <f>IF(OR('Financing Assumptions'!$H$44="No",FQ$11&lt;&gt;'Financing Assumptions'!$H$47),0,'Financing Assumptions'!$H$54)</f>
        <v>0</v>
      </c>
      <c r="FR155" s="431">
        <f>IF(OR('Financing Assumptions'!$H$44="No",FR$11&lt;&gt;'Financing Assumptions'!$H$47),0,'Financing Assumptions'!$H$54)</f>
        <v>0</v>
      </c>
      <c r="FS155" s="431">
        <f>IF(OR('Financing Assumptions'!$H$44="No",FS$11&lt;&gt;'Financing Assumptions'!$H$47),0,'Financing Assumptions'!$H$54)</f>
        <v>0</v>
      </c>
      <c r="FT155" s="431">
        <f>IF(OR('Financing Assumptions'!$H$44="No",FT$11&lt;&gt;'Financing Assumptions'!$H$47),0,'Financing Assumptions'!$H$54)</f>
        <v>0</v>
      </c>
      <c r="FU155" s="43"/>
      <c r="FV155" s="34"/>
      <c r="FW155" s="34"/>
      <c r="FX155" s="34"/>
      <c r="FY155" s="34"/>
      <c r="FZ155" s="34"/>
    </row>
    <row r="156" spans="1:182" s="89" customFormat="1" ht="13.5" x14ac:dyDescent="0.25">
      <c r="A156" s="34"/>
      <c r="B156" s="142"/>
      <c r="C156" s="34"/>
      <c r="D156" s="34"/>
      <c r="E156" s="34"/>
      <c r="F156" s="428"/>
      <c r="G156" s="34"/>
      <c r="H156" s="800"/>
      <c r="I156" s="800"/>
      <c r="J156" s="800"/>
      <c r="K156" s="800"/>
      <c r="L156" s="800"/>
      <c r="M156" s="800"/>
      <c r="N156" s="800"/>
      <c r="O156" s="800"/>
      <c r="P156" s="800"/>
      <c r="Q156" s="800"/>
      <c r="R156" s="800"/>
      <c r="S156" s="800"/>
      <c r="T156" s="800"/>
      <c r="U156" s="800"/>
      <c r="V156" s="800"/>
      <c r="W156" s="800"/>
      <c r="X156" s="800"/>
      <c r="Y156" s="800"/>
      <c r="Z156" s="800"/>
      <c r="AA156" s="800"/>
      <c r="AB156" s="800"/>
      <c r="AC156" s="800"/>
      <c r="AD156" s="800"/>
      <c r="AE156" s="800"/>
      <c r="AF156" s="800"/>
      <c r="AG156" s="800"/>
      <c r="AH156" s="800"/>
      <c r="AI156" s="800"/>
      <c r="AJ156" s="800"/>
      <c r="AK156" s="800"/>
      <c r="AL156" s="800"/>
      <c r="AM156" s="800"/>
      <c r="AN156" s="800"/>
      <c r="AO156" s="800"/>
      <c r="AP156" s="800"/>
      <c r="AQ156" s="800"/>
      <c r="AR156" s="800"/>
      <c r="AS156" s="800"/>
      <c r="AT156" s="800"/>
      <c r="AU156" s="800"/>
      <c r="AV156" s="800"/>
      <c r="AW156" s="800"/>
      <c r="AX156" s="800"/>
      <c r="AY156" s="800"/>
      <c r="AZ156" s="800"/>
      <c r="BA156" s="800"/>
      <c r="BB156" s="800"/>
      <c r="BC156" s="800"/>
      <c r="BD156" s="800"/>
      <c r="BE156" s="800"/>
      <c r="BF156" s="800"/>
      <c r="BG156" s="800"/>
      <c r="BH156" s="800"/>
      <c r="BI156" s="800"/>
      <c r="BJ156" s="800"/>
      <c r="BK156" s="800"/>
      <c r="BL156" s="800"/>
      <c r="BM156" s="800"/>
      <c r="BN156" s="800"/>
      <c r="BO156" s="800"/>
      <c r="BP156" s="800"/>
      <c r="BQ156" s="800"/>
      <c r="BR156" s="800"/>
      <c r="BS156" s="800"/>
      <c r="BT156" s="800"/>
      <c r="BU156" s="800"/>
      <c r="BV156" s="800"/>
      <c r="BW156" s="800"/>
      <c r="BX156" s="800"/>
      <c r="BY156" s="800"/>
      <c r="BZ156" s="800"/>
      <c r="CA156" s="800"/>
      <c r="CB156" s="800"/>
      <c r="CC156" s="800"/>
      <c r="CD156" s="800"/>
      <c r="CE156" s="800"/>
      <c r="CF156" s="800"/>
      <c r="CG156" s="800"/>
      <c r="CH156" s="800"/>
      <c r="CI156" s="800"/>
      <c r="CJ156" s="800"/>
      <c r="CK156" s="800"/>
      <c r="CL156" s="800"/>
      <c r="CM156" s="800"/>
      <c r="CN156" s="800"/>
      <c r="CO156" s="800"/>
      <c r="CP156" s="800"/>
      <c r="CQ156" s="800"/>
      <c r="CR156" s="800"/>
      <c r="CS156" s="800"/>
      <c r="CT156" s="800"/>
      <c r="CU156" s="800"/>
      <c r="CV156" s="800"/>
      <c r="CW156" s="800"/>
      <c r="CX156" s="800"/>
      <c r="CY156" s="800"/>
      <c r="CZ156" s="800"/>
      <c r="DA156" s="800"/>
      <c r="DB156" s="800"/>
      <c r="DC156" s="800"/>
      <c r="DD156" s="800"/>
      <c r="DE156" s="800"/>
      <c r="DF156" s="800"/>
      <c r="DG156" s="800"/>
      <c r="DH156" s="800"/>
      <c r="DI156" s="800"/>
      <c r="DJ156" s="800"/>
      <c r="DK156" s="800"/>
      <c r="DL156" s="800"/>
      <c r="DM156" s="800"/>
      <c r="DN156" s="800"/>
      <c r="DO156" s="800"/>
      <c r="DP156" s="800"/>
      <c r="DQ156" s="800"/>
      <c r="DR156" s="800"/>
      <c r="DS156" s="800"/>
      <c r="DT156" s="800"/>
      <c r="DU156" s="800"/>
      <c r="DV156" s="800"/>
      <c r="DW156" s="800"/>
      <c r="DX156" s="800"/>
      <c r="DY156" s="800"/>
      <c r="DZ156" s="800"/>
      <c r="EA156" s="800"/>
      <c r="EB156" s="800"/>
      <c r="EC156" s="800"/>
      <c r="ED156" s="800"/>
      <c r="EE156" s="800"/>
      <c r="EF156" s="800"/>
      <c r="EG156" s="800"/>
      <c r="EH156" s="800"/>
      <c r="EI156" s="800"/>
      <c r="EJ156" s="800"/>
      <c r="EK156" s="800"/>
      <c r="EL156" s="800"/>
      <c r="EM156" s="800"/>
      <c r="EN156" s="800"/>
      <c r="EO156" s="800"/>
      <c r="EP156" s="800"/>
      <c r="EQ156" s="800"/>
      <c r="ER156" s="800"/>
      <c r="ES156" s="800"/>
      <c r="ET156" s="800"/>
      <c r="EU156" s="800"/>
      <c r="EV156" s="800"/>
      <c r="EW156" s="800"/>
      <c r="EX156" s="800"/>
      <c r="EY156" s="800"/>
      <c r="EZ156" s="800"/>
      <c r="FA156" s="800"/>
      <c r="FB156" s="800"/>
      <c r="FC156" s="800"/>
      <c r="FD156" s="800"/>
      <c r="FE156" s="800"/>
      <c r="FF156" s="800"/>
      <c r="FG156" s="800"/>
      <c r="FH156" s="800"/>
      <c r="FI156" s="800"/>
      <c r="FJ156" s="800"/>
      <c r="FK156" s="800"/>
      <c r="FL156" s="800"/>
      <c r="FM156" s="800"/>
      <c r="FN156" s="800"/>
      <c r="FO156" s="800"/>
      <c r="FP156" s="800"/>
      <c r="FQ156" s="800"/>
      <c r="FR156" s="800"/>
      <c r="FS156" s="800"/>
      <c r="FT156" s="800"/>
      <c r="FU156" s="43"/>
      <c r="FV156" s="34"/>
      <c r="FW156" s="34"/>
      <c r="FX156" s="34"/>
      <c r="FY156" s="34"/>
      <c r="FZ156" s="34"/>
    </row>
    <row r="157" spans="1:182" s="89" customFormat="1" ht="13.5" x14ac:dyDescent="0.25">
      <c r="A157" s="34"/>
      <c r="B157" s="142" t="s">
        <v>590</v>
      </c>
      <c r="C157" s="34"/>
      <c r="D157" s="34"/>
      <c r="E157" s="34"/>
      <c r="F157" s="428"/>
      <c r="G157" s="34"/>
      <c r="H157" s="800"/>
      <c r="I157" s="800"/>
      <c r="J157" s="800"/>
      <c r="K157" s="800"/>
      <c r="L157" s="800"/>
      <c r="M157" s="800"/>
      <c r="N157" s="800"/>
      <c r="O157" s="800"/>
      <c r="P157" s="800"/>
      <c r="Q157" s="800"/>
      <c r="R157" s="800"/>
      <c r="S157" s="800"/>
      <c r="T157" s="800"/>
      <c r="U157" s="800"/>
      <c r="V157" s="800"/>
      <c r="W157" s="800"/>
      <c r="X157" s="800"/>
      <c r="Y157" s="800"/>
      <c r="Z157" s="800"/>
      <c r="AA157" s="800"/>
      <c r="AB157" s="800"/>
      <c r="AC157" s="800"/>
      <c r="AD157" s="800"/>
      <c r="AE157" s="800"/>
      <c r="AF157" s="800"/>
      <c r="AG157" s="800"/>
      <c r="AH157" s="800"/>
      <c r="AI157" s="800"/>
      <c r="AJ157" s="800"/>
      <c r="AK157" s="800"/>
      <c r="AL157" s="800"/>
      <c r="AM157" s="800"/>
      <c r="AN157" s="800"/>
      <c r="AO157" s="800"/>
      <c r="AP157" s="800"/>
      <c r="AQ157" s="800"/>
      <c r="AR157" s="800"/>
      <c r="AS157" s="800"/>
      <c r="AT157" s="800"/>
      <c r="AU157" s="800"/>
      <c r="AV157" s="800"/>
      <c r="AW157" s="800"/>
      <c r="AX157" s="800"/>
      <c r="AY157" s="800"/>
      <c r="AZ157" s="800"/>
      <c r="BA157" s="800"/>
      <c r="BB157" s="800"/>
      <c r="BC157" s="800"/>
      <c r="BD157" s="800"/>
      <c r="BE157" s="800"/>
      <c r="BF157" s="800"/>
      <c r="BG157" s="800"/>
      <c r="BH157" s="800"/>
      <c r="BI157" s="800"/>
      <c r="BJ157" s="800"/>
      <c r="BK157" s="800"/>
      <c r="BL157" s="800"/>
      <c r="BM157" s="800"/>
      <c r="BN157" s="800"/>
      <c r="BO157" s="800"/>
      <c r="BP157" s="800"/>
      <c r="BQ157" s="800"/>
      <c r="BR157" s="800"/>
      <c r="BS157" s="800"/>
      <c r="BT157" s="800"/>
      <c r="BU157" s="800"/>
      <c r="BV157" s="800"/>
      <c r="BW157" s="800"/>
      <c r="BX157" s="800"/>
      <c r="BY157" s="800"/>
      <c r="BZ157" s="800"/>
      <c r="CA157" s="800"/>
      <c r="CB157" s="800"/>
      <c r="CC157" s="800"/>
      <c r="CD157" s="800"/>
      <c r="CE157" s="800"/>
      <c r="CF157" s="800"/>
      <c r="CG157" s="800"/>
      <c r="CH157" s="800"/>
      <c r="CI157" s="800"/>
      <c r="CJ157" s="800"/>
      <c r="CK157" s="800"/>
      <c r="CL157" s="800"/>
      <c r="CM157" s="800"/>
      <c r="CN157" s="800"/>
      <c r="CO157" s="800"/>
      <c r="CP157" s="800"/>
      <c r="CQ157" s="800"/>
      <c r="CR157" s="800"/>
      <c r="CS157" s="800"/>
      <c r="CT157" s="800"/>
      <c r="CU157" s="800"/>
      <c r="CV157" s="800"/>
      <c r="CW157" s="800"/>
      <c r="CX157" s="800"/>
      <c r="CY157" s="800"/>
      <c r="CZ157" s="800"/>
      <c r="DA157" s="800"/>
      <c r="DB157" s="800"/>
      <c r="DC157" s="800"/>
      <c r="DD157" s="800"/>
      <c r="DE157" s="800"/>
      <c r="DF157" s="800"/>
      <c r="DG157" s="800"/>
      <c r="DH157" s="800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  <c r="DV157" s="800"/>
      <c r="DW157" s="800"/>
      <c r="DX157" s="800"/>
      <c r="DY157" s="800"/>
      <c r="DZ157" s="800"/>
      <c r="EA157" s="800"/>
      <c r="EB157" s="800"/>
      <c r="EC157" s="800"/>
      <c r="ED157" s="800"/>
      <c r="EE157" s="800"/>
      <c r="EF157" s="800"/>
      <c r="EG157" s="800"/>
      <c r="EH157" s="800"/>
      <c r="EI157" s="800"/>
      <c r="EJ157" s="800"/>
      <c r="EK157" s="800"/>
      <c r="EL157" s="800"/>
      <c r="EM157" s="800"/>
      <c r="EN157" s="800"/>
      <c r="EO157" s="800"/>
      <c r="EP157" s="800"/>
      <c r="EQ157" s="800"/>
      <c r="ER157" s="800"/>
      <c r="ES157" s="800"/>
      <c r="ET157" s="800"/>
      <c r="EU157" s="800"/>
      <c r="EV157" s="800"/>
      <c r="EW157" s="800"/>
      <c r="EX157" s="800"/>
      <c r="EY157" s="800"/>
      <c r="EZ157" s="800"/>
      <c r="FA157" s="800"/>
      <c r="FB157" s="800"/>
      <c r="FC157" s="800"/>
      <c r="FD157" s="800"/>
      <c r="FE157" s="800"/>
      <c r="FF157" s="800"/>
      <c r="FG157" s="800"/>
      <c r="FH157" s="800"/>
      <c r="FI157" s="800"/>
      <c r="FJ157" s="800"/>
      <c r="FK157" s="800"/>
      <c r="FL157" s="800"/>
      <c r="FM157" s="800"/>
      <c r="FN157" s="800"/>
      <c r="FO157" s="800"/>
      <c r="FP157" s="800"/>
      <c r="FQ157" s="800"/>
      <c r="FR157" s="800"/>
      <c r="FS157" s="800"/>
      <c r="FT157" s="800"/>
      <c r="FU157" s="43"/>
      <c r="FV157" s="34"/>
      <c r="FW157" s="34"/>
      <c r="FX157" s="34"/>
      <c r="FY157" s="34"/>
      <c r="FZ157" s="34"/>
    </row>
    <row r="158" spans="1:182" s="89" customFormat="1" ht="14.25" thickBot="1" x14ac:dyDescent="0.3">
      <c r="A158" s="34"/>
      <c r="B158" s="142"/>
      <c r="C158" s="34"/>
      <c r="D158" s="34"/>
      <c r="E158" s="34"/>
      <c r="F158" s="428"/>
      <c r="G158" s="34"/>
      <c r="H158" s="800"/>
      <c r="I158" s="800"/>
      <c r="J158" s="800"/>
      <c r="K158" s="800"/>
      <c r="L158" s="800"/>
      <c r="M158" s="800"/>
      <c r="N158" s="800"/>
      <c r="O158" s="800"/>
      <c r="P158" s="800"/>
      <c r="Q158" s="800"/>
      <c r="R158" s="800"/>
      <c r="S158" s="800"/>
      <c r="T158" s="800"/>
      <c r="U158" s="800"/>
      <c r="V158" s="800"/>
      <c r="W158" s="800"/>
      <c r="X158" s="800"/>
      <c r="Y158" s="800"/>
      <c r="Z158" s="800"/>
      <c r="AA158" s="800"/>
      <c r="AB158" s="800"/>
      <c r="AC158" s="800"/>
      <c r="AD158" s="800"/>
      <c r="AE158" s="800"/>
      <c r="AF158" s="800"/>
      <c r="AG158" s="800"/>
      <c r="AH158" s="800"/>
      <c r="AI158" s="800"/>
      <c r="AJ158" s="800"/>
      <c r="AK158" s="800"/>
      <c r="AL158" s="800"/>
      <c r="AM158" s="800"/>
      <c r="AN158" s="800"/>
      <c r="AO158" s="800"/>
      <c r="AP158" s="800"/>
      <c r="AQ158" s="800"/>
      <c r="AR158" s="800"/>
      <c r="AS158" s="800"/>
      <c r="AT158" s="800"/>
      <c r="AU158" s="800"/>
      <c r="AV158" s="800"/>
      <c r="AW158" s="800"/>
      <c r="AX158" s="800"/>
      <c r="AY158" s="800"/>
      <c r="AZ158" s="800"/>
      <c r="BA158" s="800"/>
      <c r="BB158" s="800"/>
      <c r="BC158" s="800"/>
      <c r="BD158" s="800"/>
      <c r="BE158" s="800"/>
      <c r="BF158" s="800"/>
      <c r="BG158" s="800"/>
      <c r="BH158" s="800"/>
      <c r="BI158" s="800"/>
      <c r="BJ158" s="800"/>
      <c r="BK158" s="800"/>
      <c r="BL158" s="800"/>
      <c r="BM158" s="800"/>
      <c r="BN158" s="800"/>
      <c r="BO158" s="800"/>
      <c r="BP158" s="800"/>
      <c r="BQ158" s="800"/>
      <c r="BR158" s="800"/>
      <c r="BS158" s="800"/>
      <c r="BT158" s="800"/>
      <c r="BU158" s="800"/>
      <c r="BV158" s="800"/>
      <c r="BW158" s="800"/>
      <c r="BX158" s="800"/>
      <c r="BY158" s="800"/>
      <c r="BZ158" s="800"/>
      <c r="CA158" s="800"/>
      <c r="CB158" s="800"/>
      <c r="CC158" s="800"/>
      <c r="CD158" s="800"/>
      <c r="CE158" s="800"/>
      <c r="CF158" s="800"/>
      <c r="CG158" s="800"/>
      <c r="CH158" s="800"/>
      <c r="CI158" s="800"/>
      <c r="CJ158" s="800"/>
      <c r="CK158" s="800"/>
      <c r="CL158" s="800"/>
      <c r="CM158" s="800"/>
      <c r="CN158" s="800"/>
      <c r="CO158" s="800"/>
      <c r="CP158" s="800"/>
      <c r="CQ158" s="800"/>
      <c r="CR158" s="800"/>
      <c r="CS158" s="800"/>
      <c r="CT158" s="800"/>
      <c r="CU158" s="800"/>
      <c r="CV158" s="800"/>
      <c r="CW158" s="800"/>
      <c r="CX158" s="800"/>
      <c r="CY158" s="800"/>
      <c r="CZ158" s="800"/>
      <c r="DA158" s="800"/>
      <c r="DB158" s="800"/>
      <c r="DC158" s="800"/>
      <c r="DD158" s="800"/>
      <c r="DE158" s="800"/>
      <c r="DF158" s="800"/>
      <c r="DG158" s="800"/>
      <c r="DH158" s="800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  <c r="DV158" s="800"/>
      <c r="DW158" s="800"/>
      <c r="DX158" s="800"/>
      <c r="DY158" s="800"/>
      <c r="DZ158" s="800"/>
      <c r="EA158" s="800"/>
      <c r="EB158" s="800"/>
      <c r="EC158" s="800"/>
      <c r="ED158" s="800"/>
      <c r="EE158" s="800"/>
      <c r="EF158" s="800"/>
      <c r="EG158" s="800"/>
      <c r="EH158" s="800"/>
      <c r="EI158" s="800"/>
      <c r="EJ158" s="800"/>
      <c r="EK158" s="800"/>
      <c r="EL158" s="800"/>
      <c r="EM158" s="800"/>
      <c r="EN158" s="800"/>
      <c r="EO158" s="800"/>
      <c r="EP158" s="800"/>
      <c r="EQ158" s="800"/>
      <c r="ER158" s="800"/>
      <c r="ES158" s="800"/>
      <c r="ET158" s="800"/>
      <c r="EU158" s="800"/>
      <c r="EV158" s="800"/>
      <c r="EW158" s="800"/>
      <c r="EX158" s="800"/>
      <c r="EY158" s="800"/>
      <c r="EZ158" s="800"/>
      <c r="FA158" s="800"/>
      <c r="FB158" s="800"/>
      <c r="FC158" s="800"/>
      <c r="FD158" s="800"/>
      <c r="FE158" s="800"/>
      <c r="FF158" s="800"/>
      <c r="FG158" s="800"/>
      <c r="FH158" s="800"/>
      <c r="FI158" s="800"/>
      <c r="FJ158" s="800"/>
      <c r="FK158" s="800"/>
      <c r="FL158" s="800"/>
      <c r="FM158" s="800"/>
      <c r="FN158" s="800"/>
      <c r="FO158" s="800"/>
      <c r="FP158" s="800"/>
      <c r="FQ158" s="800"/>
      <c r="FR158" s="800"/>
      <c r="FS158" s="800"/>
      <c r="FT158" s="800"/>
      <c r="FU158" s="43"/>
      <c r="FV158" s="34"/>
      <c r="FW158" s="34"/>
      <c r="FX158" s="34"/>
      <c r="FY158" s="34"/>
      <c r="FZ158" s="34"/>
    </row>
    <row r="159" spans="1:182" s="89" customFormat="1" ht="13.5" x14ac:dyDescent="0.25">
      <c r="A159" s="34"/>
      <c r="B159" s="142" t="s">
        <v>7</v>
      </c>
      <c r="C159" s="34"/>
      <c r="D159" s="34"/>
      <c r="E159" s="34"/>
      <c r="F159" s="1226">
        <f t="shared" ref="F159" si="221">SUM(H159:FT159)</f>
        <v>8236226.115837465</v>
      </c>
      <c r="G159" s="34"/>
      <c r="H159" s="1224">
        <f>(H118+H155)-H149</f>
        <v>0</v>
      </c>
      <c r="I159" s="1224">
        <f t="shared" ref="I159:BT159" si="222">(I118+I155)-I149</f>
        <v>0</v>
      </c>
      <c r="J159" s="1224">
        <f t="shared" si="222"/>
        <v>0</v>
      </c>
      <c r="K159" s="1224">
        <f t="shared" si="222"/>
        <v>0</v>
      </c>
      <c r="L159" s="1224">
        <f t="shared" si="222"/>
        <v>0</v>
      </c>
      <c r="M159" s="1224">
        <f t="shared" si="222"/>
        <v>0</v>
      </c>
      <c r="N159" s="1224">
        <f t="shared" si="222"/>
        <v>0</v>
      </c>
      <c r="O159" s="1224">
        <f t="shared" si="222"/>
        <v>0</v>
      </c>
      <c r="P159" s="1224">
        <f t="shared" si="222"/>
        <v>0</v>
      </c>
      <c r="Q159" s="1224">
        <f>(Q118+Q155)-Q149</f>
        <v>0</v>
      </c>
      <c r="R159" s="1224">
        <f t="shared" si="222"/>
        <v>0</v>
      </c>
      <c r="S159" s="1224">
        <f t="shared" si="222"/>
        <v>0</v>
      </c>
      <c r="T159" s="1224">
        <f t="shared" si="222"/>
        <v>0</v>
      </c>
      <c r="U159" s="1224">
        <f t="shared" si="222"/>
        <v>0</v>
      </c>
      <c r="V159" s="1224">
        <f t="shared" si="222"/>
        <v>0</v>
      </c>
      <c r="W159" s="1224">
        <f t="shared" si="222"/>
        <v>0</v>
      </c>
      <c r="X159" s="1224">
        <f t="shared" si="222"/>
        <v>0</v>
      </c>
      <c r="Y159" s="1224">
        <f t="shared" si="222"/>
        <v>32851.263232537996</v>
      </c>
      <c r="Z159" s="1224">
        <f t="shared" si="222"/>
        <v>64138.180596859886</v>
      </c>
      <c r="AA159" s="1224">
        <f t="shared" si="222"/>
        <v>95425.097961181775</v>
      </c>
      <c r="AB159" s="1224">
        <f t="shared" si="222"/>
        <v>126712.01532550369</v>
      </c>
      <c r="AC159" s="1224">
        <f t="shared" si="222"/>
        <v>157998.93268982557</v>
      </c>
      <c r="AD159" s="1224">
        <f t="shared" si="222"/>
        <v>189285.85005414748</v>
      </c>
      <c r="AE159" s="1224">
        <f t="shared" si="222"/>
        <v>195543.23352701182</v>
      </c>
      <c r="AF159" s="1224">
        <f t="shared" si="222"/>
        <v>200135.34819755208</v>
      </c>
      <c r="AG159" s="1224">
        <f t="shared" si="222"/>
        <v>200135.34819755208</v>
      </c>
      <c r="AH159" s="1224">
        <f t="shared" si="222"/>
        <v>232157.00390916044</v>
      </c>
      <c r="AI159" s="1224">
        <f t="shared" si="222"/>
        <v>264178.65962076874</v>
      </c>
      <c r="AJ159" s="1224">
        <f t="shared" si="222"/>
        <v>296200.3153323771</v>
      </c>
      <c r="AK159" s="1224">
        <f t="shared" si="222"/>
        <v>92568.846043985424</v>
      </c>
      <c r="AL159" s="1224">
        <f t="shared" si="222"/>
        <v>124590.50175559378</v>
      </c>
      <c r="AM159" s="1224">
        <f t="shared" si="222"/>
        <v>124613.3092552333</v>
      </c>
      <c r="AN159" s="1224">
        <f t="shared" si="222"/>
        <v>124613.3092552333</v>
      </c>
      <c r="AO159" s="1224">
        <f t="shared" si="222"/>
        <v>124613.3092552333</v>
      </c>
      <c r="AP159" s="1224">
        <f t="shared" si="222"/>
        <v>124613.3092552333</v>
      </c>
      <c r="AQ159" s="1224">
        <f t="shared" si="222"/>
        <v>124613.3092552333</v>
      </c>
      <c r="AR159" s="1224">
        <f t="shared" si="222"/>
        <v>132959.70992690467</v>
      </c>
      <c r="AS159" s="1224">
        <f t="shared" si="222"/>
        <v>132959.70992690467</v>
      </c>
      <c r="AT159" s="1224">
        <f t="shared" si="222"/>
        <v>132959.70992690467</v>
      </c>
      <c r="AU159" s="1224">
        <f t="shared" si="222"/>
        <v>132959.70992690467</v>
      </c>
      <c r="AV159" s="1224">
        <f t="shared" si="222"/>
        <v>132959.70992690467</v>
      </c>
      <c r="AW159" s="1224">
        <f t="shared" si="222"/>
        <v>132959.70992690467</v>
      </c>
      <c r="AX159" s="1224">
        <f t="shared" si="222"/>
        <v>132959.70992690467</v>
      </c>
      <c r="AY159" s="1224">
        <f t="shared" si="222"/>
        <v>132959.70992690467</v>
      </c>
      <c r="AZ159" s="1224">
        <f t="shared" si="222"/>
        <v>132959.70992690467</v>
      </c>
      <c r="BA159" s="1224">
        <f t="shared" si="222"/>
        <v>132959.70992690467</v>
      </c>
      <c r="BB159" s="1224">
        <f t="shared" si="222"/>
        <v>132959.70992690467</v>
      </c>
      <c r="BC159" s="1224">
        <f t="shared" si="222"/>
        <v>132959.70992690467</v>
      </c>
      <c r="BD159" s="1224">
        <f t="shared" si="222"/>
        <v>141306.11059857576</v>
      </c>
      <c r="BE159" s="1224">
        <f t="shared" si="222"/>
        <v>141306.11059857576</v>
      </c>
      <c r="BF159" s="1224">
        <f t="shared" si="222"/>
        <v>141306.11059857576</v>
      </c>
      <c r="BG159" s="1224">
        <f t="shared" si="222"/>
        <v>141306.11059857576</v>
      </c>
      <c r="BH159" s="1224">
        <f t="shared" si="222"/>
        <v>141306.11059857576</v>
      </c>
      <c r="BI159" s="1224">
        <f t="shared" si="222"/>
        <v>141306.11059857576</v>
      </c>
      <c r="BJ159" s="1224">
        <f t="shared" si="222"/>
        <v>141306.11059857576</v>
      </c>
      <c r="BK159" s="1224">
        <f t="shared" si="222"/>
        <v>141306.11059857576</v>
      </c>
      <c r="BL159" s="1224">
        <f t="shared" si="222"/>
        <v>141306.11059857576</v>
      </c>
      <c r="BM159" s="1224">
        <f t="shared" si="222"/>
        <v>141306.11059857576</v>
      </c>
      <c r="BN159" s="1224">
        <f t="shared" si="222"/>
        <v>141306.11059857576</v>
      </c>
      <c r="BO159" s="1224">
        <f t="shared" si="222"/>
        <v>141306.11059857576</v>
      </c>
      <c r="BP159" s="1224">
        <f t="shared" si="222"/>
        <v>149652.51127024714</v>
      </c>
      <c r="BQ159" s="1224">
        <f t="shared" si="222"/>
        <v>149652.51127024714</v>
      </c>
      <c r="BR159" s="1224">
        <f t="shared" si="222"/>
        <v>149652.51127024714</v>
      </c>
      <c r="BS159" s="1224">
        <f t="shared" si="222"/>
        <v>149652.51127024714</v>
      </c>
      <c r="BT159" s="1224">
        <f t="shared" si="222"/>
        <v>149652.51127024714</v>
      </c>
      <c r="BU159" s="1224">
        <f t="shared" ref="BU159:EF159" si="223">(BU118+BU155)-BU149</f>
        <v>149652.51127024714</v>
      </c>
      <c r="BV159" s="1224">
        <f t="shared" si="223"/>
        <v>149652.51127024714</v>
      </c>
      <c r="BW159" s="1224">
        <f t="shared" si="223"/>
        <v>149652.51127024714</v>
      </c>
      <c r="BX159" s="1224">
        <f t="shared" si="223"/>
        <v>149652.51127024714</v>
      </c>
      <c r="BY159" s="1224">
        <f t="shared" si="223"/>
        <v>149652.51127024714</v>
      </c>
      <c r="BZ159" s="1224">
        <f t="shared" si="223"/>
        <v>149652.51127024714</v>
      </c>
      <c r="CA159" s="1224">
        <f t="shared" si="223"/>
        <v>149652.51127024714</v>
      </c>
      <c r="CB159" s="1224">
        <f t="shared" si="223"/>
        <v>157998.91194191846</v>
      </c>
      <c r="CC159" s="1224">
        <f t="shared" si="223"/>
        <v>157998.91194191846</v>
      </c>
      <c r="CD159" s="1224">
        <f t="shared" si="223"/>
        <v>157998.91194191846</v>
      </c>
      <c r="CE159" s="1224">
        <f t="shared" si="223"/>
        <v>86374.16019563732</v>
      </c>
      <c r="CF159" s="1224">
        <f t="shared" si="223"/>
        <v>86374.16019563732</v>
      </c>
      <c r="CG159" s="1224">
        <f t="shared" si="223"/>
        <v>86374.16019563732</v>
      </c>
      <c r="CH159" s="1224">
        <f t="shared" si="223"/>
        <v>86374.16019563732</v>
      </c>
      <c r="CI159" s="1224">
        <f t="shared" si="223"/>
        <v>86374.16019563732</v>
      </c>
      <c r="CJ159" s="1224">
        <f t="shared" si="223"/>
        <v>86374.16019563732</v>
      </c>
      <c r="CK159" s="1224">
        <f t="shared" si="223"/>
        <v>86374.16019563732</v>
      </c>
      <c r="CL159" s="1224">
        <f t="shared" si="223"/>
        <v>86374.16019563732</v>
      </c>
      <c r="CM159" s="1224">
        <f t="shared" si="223"/>
        <v>86374.16019563732</v>
      </c>
      <c r="CN159" s="1224">
        <f t="shared" si="223"/>
        <v>94720.560867308464</v>
      </c>
      <c r="CO159" s="1224">
        <f t="shared" si="223"/>
        <v>94720.560867308464</v>
      </c>
      <c r="CP159" s="1224">
        <f t="shared" si="223"/>
        <v>94720.560867308464</v>
      </c>
      <c r="CQ159" s="1224">
        <f t="shared" si="223"/>
        <v>94720.560867308464</v>
      </c>
      <c r="CR159" s="1224">
        <f t="shared" si="223"/>
        <v>94720.560867308464</v>
      </c>
      <c r="CS159" s="1224">
        <f t="shared" si="223"/>
        <v>94720.560867308464</v>
      </c>
      <c r="CT159" s="1224">
        <f t="shared" si="223"/>
        <v>94720.560867308464</v>
      </c>
      <c r="CU159" s="1224">
        <f t="shared" si="223"/>
        <v>94720.560867308464</v>
      </c>
      <c r="CV159" s="1224">
        <f t="shared" si="223"/>
        <v>94720.560867308464</v>
      </c>
      <c r="CW159" s="1224">
        <f t="shared" si="223"/>
        <v>94720.560867308464</v>
      </c>
      <c r="CX159" s="1224">
        <f t="shared" si="223"/>
        <v>94720.560867308464</v>
      </c>
      <c r="CY159" s="1224">
        <f t="shared" si="223"/>
        <v>94720.560867308464</v>
      </c>
      <c r="CZ159" s="1224">
        <f t="shared" si="223"/>
        <v>103066.96153897973</v>
      </c>
      <c r="DA159" s="1224">
        <f t="shared" si="223"/>
        <v>103066.96153897973</v>
      </c>
      <c r="DB159" s="1224">
        <f t="shared" si="223"/>
        <v>103066.96153897973</v>
      </c>
      <c r="DC159" s="1224">
        <f t="shared" si="223"/>
        <v>103066.96153897973</v>
      </c>
      <c r="DD159" s="1224">
        <f t="shared" si="223"/>
        <v>103066.96153897973</v>
      </c>
      <c r="DE159" s="1224">
        <f t="shared" si="223"/>
        <v>103066.96153897973</v>
      </c>
      <c r="DF159" s="1224">
        <f t="shared" si="223"/>
        <v>103066.96153897973</v>
      </c>
      <c r="DG159" s="1224">
        <f t="shared" si="223"/>
        <v>103066.96153897973</v>
      </c>
      <c r="DH159" s="1224">
        <f t="shared" si="223"/>
        <v>103066.96153897973</v>
      </c>
      <c r="DI159" s="1224">
        <f t="shared" si="223"/>
        <v>103066.96153897973</v>
      </c>
      <c r="DJ159" s="1224">
        <f t="shared" si="223"/>
        <v>103066.96153897973</v>
      </c>
      <c r="DK159" s="1224">
        <f t="shared" si="223"/>
        <v>103066.96153897973</v>
      </c>
      <c r="DL159" s="1224">
        <f t="shared" si="223"/>
        <v>111413.36221065099</v>
      </c>
      <c r="DM159" s="1224">
        <f t="shared" si="223"/>
        <v>111413.36221065099</v>
      </c>
      <c r="DN159" s="1224">
        <f t="shared" si="223"/>
        <v>111413.36221065099</v>
      </c>
      <c r="DO159" s="1224">
        <f t="shared" si="223"/>
        <v>111413.36221065099</v>
      </c>
      <c r="DP159" s="1224">
        <f t="shared" si="223"/>
        <v>111413.36221065099</v>
      </c>
      <c r="DQ159" s="1224">
        <f t="shared" si="223"/>
        <v>111413.36221065099</v>
      </c>
      <c r="DR159" s="1224">
        <f t="shared" si="223"/>
        <v>111413.36221065099</v>
      </c>
      <c r="DS159" s="1224">
        <f t="shared" si="223"/>
        <v>111413.36221065099</v>
      </c>
      <c r="DT159" s="1224">
        <f t="shared" si="223"/>
        <v>111413.36221065099</v>
      </c>
      <c r="DU159" s="1224">
        <f t="shared" si="223"/>
        <v>111413.36221065099</v>
      </c>
      <c r="DV159" s="1224">
        <f t="shared" si="223"/>
        <v>111413.36221065099</v>
      </c>
      <c r="DW159" s="1224">
        <f t="shared" si="223"/>
        <v>111413.36221065099</v>
      </c>
      <c r="DX159" s="1224">
        <f t="shared" si="223"/>
        <v>119759.76288232225</v>
      </c>
      <c r="DY159" s="1224">
        <f t="shared" si="223"/>
        <v>119759.76288232225</v>
      </c>
      <c r="DZ159" s="1224">
        <f t="shared" si="223"/>
        <v>119759.76288232225</v>
      </c>
      <c r="EA159" s="1224">
        <f t="shared" si="223"/>
        <v>119759.76288232225</v>
      </c>
      <c r="EB159" s="1224">
        <f t="shared" si="223"/>
        <v>119759.76288232225</v>
      </c>
      <c r="EC159" s="1224">
        <f t="shared" si="223"/>
        <v>119759.76288232225</v>
      </c>
      <c r="ED159" s="1224">
        <f t="shared" si="223"/>
        <v>119759.76288232225</v>
      </c>
      <c r="EE159" s="1224">
        <f t="shared" si="223"/>
        <v>119759.76288232225</v>
      </c>
      <c r="EF159" s="1224">
        <f t="shared" si="223"/>
        <v>119759.76288232225</v>
      </c>
      <c r="EG159" s="1224">
        <f t="shared" ref="EG159:FT159" si="224">(EG118+EG155)-EG149</f>
        <v>119759.76288232225</v>
      </c>
      <c r="EH159" s="1224">
        <f t="shared" si="224"/>
        <v>119759.76288232225</v>
      </c>
      <c r="EI159" s="1224">
        <f t="shared" si="224"/>
        <v>119759.76288232225</v>
      </c>
      <c r="EJ159" s="1224">
        <f t="shared" si="224"/>
        <v>128106.16355399351</v>
      </c>
      <c r="EK159" s="1224">
        <f t="shared" si="224"/>
        <v>128106.16355399351</v>
      </c>
      <c r="EL159" s="1224">
        <f t="shared" si="224"/>
        <v>128106.16355399351</v>
      </c>
      <c r="EM159" s="1224">
        <f t="shared" si="224"/>
        <v>128106.16355399351</v>
      </c>
      <c r="EN159" s="1224">
        <f t="shared" si="224"/>
        <v>128106.16355399351</v>
      </c>
      <c r="EO159" s="1224">
        <f t="shared" si="224"/>
        <v>128106.16355399351</v>
      </c>
      <c r="EP159" s="1224">
        <f t="shared" si="224"/>
        <v>128106.16355399351</v>
      </c>
      <c r="EQ159" s="1224">
        <f t="shared" si="224"/>
        <v>128106.16355399351</v>
      </c>
      <c r="ER159" s="1224">
        <f t="shared" si="224"/>
        <v>128106.16355399351</v>
      </c>
      <c r="ES159" s="1224">
        <f t="shared" si="224"/>
        <v>128106.16355399351</v>
      </c>
      <c r="ET159" s="1224">
        <f t="shared" si="224"/>
        <v>128106.16355399351</v>
      </c>
      <c r="EU159" s="1224">
        <f t="shared" si="224"/>
        <v>128106.16355399351</v>
      </c>
      <c r="EV159" s="1224">
        <f t="shared" si="224"/>
        <v>-307277.87674628111</v>
      </c>
      <c r="EW159" s="1224">
        <f t="shared" si="224"/>
        <v>-307277.87674628111</v>
      </c>
      <c r="EX159" s="1224">
        <f t="shared" si="224"/>
        <v>-307277.87674628111</v>
      </c>
      <c r="EY159" s="1224">
        <f t="shared" si="224"/>
        <v>-307277.87674628111</v>
      </c>
      <c r="EZ159" s="1224">
        <f t="shared" si="224"/>
        <v>-307277.87674628111</v>
      </c>
      <c r="FA159" s="1224">
        <f t="shared" si="224"/>
        <v>-307277.87674628111</v>
      </c>
      <c r="FB159" s="1224">
        <f t="shared" si="224"/>
        <v>-307277.87674628111</v>
      </c>
      <c r="FC159" s="1224">
        <f t="shared" si="224"/>
        <v>-307277.87674628111</v>
      </c>
      <c r="FD159" s="1224">
        <f t="shared" si="224"/>
        <v>-307277.87674628111</v>
      </c>
      <c r="FE159" s="1224">
        <f t="shared" si="224"/>
        <v>-307277.87674628111</v>
      </c>
      <c r="FF159" s="1224">
        <f t="shared" si="224"/>
        <v>-307277.87674628111</v>
      </c>
      <c r="FG159" s="1224">
        <f t="shared" si="224"/>
        <v>-307277.87674628111</v>
      </c>
      <c r="FH159" s="1224">
        <f t="shared" si="224"/>
        <v>-307277.87674628111</v>
      </c>
      <c r="FI159" s="1224">
        <f t="shared" si="224"/>
        <v>-307277.87674628111</v>
      </c>
      <c r="FJ159" s="1224">
        <f t="shared" si="224"/>
        <v>-307277.87674628111</v>
      </c>
      <c r="FK159" s="1224">
        <f t="shared" si="224"/>
        <v>-307277.87674628111</v>
      </c>
      <c r="FL159" s="1224">
        <f t="shared" si="224"/>
        <v>-307277.87674628111</v>
      </c>
      <c r="FM159" s="1224">
        <f t="shared" si="224"/>
        <v>-307277.87674628111</v>
      </c>
      <c r="FN159" s="1224">
        <f t="shared" si="224"/>
        <v>-307277.87674628111</v>
      </c>
      <c r="FO159" s="1224">
        <f t="shared" si="224"/>
        <v>-307277.87674628111</v>
      </c>
      <c r="FP159" s="1224">
        <f t="shared" si="224"/>
        <v>-307277.87674628111</v>
      </c>
      <c r="FQ159" s="1224">
        <f t="shared" si="224"/>
        <v>-307277.87674628111</v>
      </c>
      <c r="FR159" s="1224">
        <f t="shared" si="224"/>
        <v>-307277.87674628111</v>
      </c>
      <c r="FS159" s="1224">
        <f t="shared" si="224"/>
        <v>-307277.87674628111</v>
      </c>
      <c r="FT159" s="1224">
        <f t="shared" si="224"/>
        <v>-307277.87674628111</v>
      </c>
      <c r="FU159" s="43"/>
      <c r="FV159" s="34"/>
      <c r="FW159" s="34"/>
      <c r="FX159" s="34"/>
      <c r="FY159" s="34"/>
      <c r="FZ159" s="34"/>
    </row>
    <row r="160" spans="1:182" s="89" customFormat="1" ht="13.5" x14ac:dyDescent="0.25">
      <c r="A160" s="34"/>
      <c r="B160" s="142"/>
      <c r="C160" s="34"/>
      <c r="D160" s="34"/>
      <c r="E160" s="34"/>
      <c r="F160" s="428"/>
      <c r="G160" s="34"/>
      <c r="H160" s="800"/>
      <c r="I160" s="800"/>
      <c r="J160" s="800"/>
      <c r="K160" s="800"/>
      <c r="L160" s="800"/>
      <c r="M160" s="800"/>
      <c r="N160" s="800"/>
      <c r="O160" s="800"/>
      <c r="P160" s="800"/>
      <c r="Q160" s="800"/>
      <c r="R160" s="800"/>
      <c r="S160" s="800"/>
      <c r="T160" s="800"/>
      <c r="U160" s="800"/>
      <c r="V160" s="800"/>
      <c r="W160" s="800"/>
      <c r="X160" s="800"/>
      <c r="Y160" s="800"/>
      <c r="Z160" s="800"/>
      <c r="AA160" s="800"/>
      <c r="AB160" s="800"/>
      <c r="AC160" s="800"/>
      <c r="AD160" s="800"/>
      <c r="AE160" s="800"/>
      <c r="AF160" s="800"/>
      <c r="AG160" s="800"/>
      <c r="AH160" s="800"/>
      <c r="AI160" s="800"/>
      <c r="AJ160" s="800"/>
      <c r="AK160" s="800"/>
      <c r="AL160" s="800"/>
      <c r="AM160" s="800"/>
      <c r="AN160" s="800"/>
      <c r="AO160" s="800"/>
      <c r="AP160" s="800"/>
      <c r="AQ160" s="800"/>
      <c r="AR160" s="800"/>
      <c r="AS160" s="800"/>
      <c r="AT160" s="800"/>
      <c r="AU160" s="800"/>
      <c r="AV160" s="800"/>
      <c r="AW160" s="800"/>
      <c r="AX160" s="800"/>
      <c r="AY160" s="800"/>
      <c r="AZ160" s="800"/>
      <c r="BA160" s="800"/>
      <c r="BB160" s="800"/>
      <c r="BC160" s="800"/>
      <c r="BD160" s="800"/>
      <c r="BE160" s="800"/>
      <c r="BF160" s="800"/>
      <c r="BG160" s="800"/>
      <c r="BH160" s="800"/>
      <c r="BI160" s="800"/>
      <c r="BJ160" s="800"/>
      <c r="BK160" s="800"/>
      <c r="BL160" s="800"/>
      <c r="BM160" s="800"/>
      <c r="BN160" s="800"/>
      <c r="BO160" s="800"/>
      <c r="BP160" s="800"/>
      <c r="BQ160" s="800"/>
      <c r="BR160" s="800"/>
      <c r="BS160" s="800"/>
      <c r="BT160" s="800"/>
      <c r="BU160" s="800"/>
      <c r="BV160" s="800"/>
      <c r="BW160" s="800"/>
      <c r="BX160" s="800"/>
      <c r="BY160" s="800"/>
      <c r="BZ160" s="800"/>
      <c r="CA160" s="800"/>
      <c r="CB160" s="800"/>
      <c r="CC160" s="800"/>
      <c r="CD160" s="800"/>
      <c r="CE160" s="800"/>
      <c r="CF160" s="800"/>
      <c r="CG160" s="800"/>
      <c r="CH160" s="800"/>
      <c r="CI160" s="800"/>
      <c r="CJ160" s="800"/>
      <c r="CK160" s="800"/>
      <c r="CL160" s="800"/>
      <c r="CM160" s="800"/>
      <c r="CN160" s="800"/>
      <c r="CO160" s="800"/>
      <c r="CP160" s="800"/>
      <c r="CQ160" s="800"/>
      <c r="CR160" s="800"/>
      <c r="CS160" s="800"/>
      <c r="CT160" s="800"/>
      <c r="CU160" s="800"/>
      <c r="CV160" s="800"/>
      <c r="CW160" s="800"/>
      <c r="CX160" s="800"/>
      <c r="CY160" s="800"/>
      <c r="CZ160" s="800"/>
      <c r="DA160" s="800"/>
      <c r="DB160" s="800"/>
      <c r="DC160" s="800"/>
      <c r="DD160" s="800"/>
      <c r="DE160" s="800"/>
      <c r="DF160" s="800"/>
      <c r="DG160" s="800"/>
      <c r="DH160" s="800"/>
      <c r="DI160" s="800"/>
      <c r="DJ160" s="800"/>
      <c r="DK160" s="800"/>
      <c r="DL160" s="800"/>
      <c r="DM160" s="800"/>
      <c r="DN160" s="800"/>
      <c r="DO160" s="800"/>
      <c r="DP160" s="800"/>
      <c r="DQ160" s="800"/>
      <c r="DR160" s="800"/>
      <c r="DS160" s="800"/>
      <c r="DT160" s="800"/>
      <c r="DU160" s="800"/>
      <c r="DV160" s="800"/>
      <c r="DW160" s="800"/>
      <c r="DX160" s="800"/>
      <c r="DY160" s="800"/>
      <c r="DZ160" s="800"/>
      <c r="EA160" s="800"/>
      <c r="EB160" s="800"/>
      <c r="EC160" s="800"/>
      <c r="ED160" s="800"/>
      <c r="EE160" s="800"/>
      <c r="EF160" s="800"/>
      <c r="EG160" s="800"/>
      <c r="EH160" s="800"/>
      <c r="EI160" s="800"/>
      <c r="EJ160" s="800"/>
      <c r="EK160" s="800"/>
      <c r="EL160" s="800"/>
      <c r="EM160" s="800"/>
      <c r="EN160" s="800"/>
      <c r="EO160" s="800"/>
      <c r="EP160" s="800"/>
      <c r="EQ160" s="800"/>
      <c r="ER160" s="800"/>
      <c r="ES160" s="800"/>
      <c r="ET160" s="800"/>
      <c r="EU160" s="800"/>
      <c r="EV160" s="800"/>
      <c r="EW160" s="800"/>
      <c r="EX160" s="800"/>
      <c r="EY160" s="800"/>
      <c r="EZ160" s="800"/>
      <c r="FA160" s="800"/>
      <c r="FB160" s="800"/>
      <c r="FC160" s="800"/>
      <c r="FD160" s="800"/>
      <c r="FE160" s="800"/>
      <c r="FF160" s="800"/>
      <c r="FG160" s="800"/>
      <c r="FH160" s="800"/>
      <c r="FI160" s="800"/>
      <c r="FJ160" s="800"/>
      <c r="FK160" s="800"/>
      <c r="FL160" s="800"/>
      <c r="FM160" s="800"/>
      <c r="FN160" s="800"/>
      <c r="FO160" s="800"/>
      <c r="FP160" s="800"/>
      <c r="FQ160" s="800"/>
      <c r="FR160" s="800"/>
      <c r="FS160" s="800"/>
      <c r="FT160" s="800"/>
      <c r="FU160" s="43"/>
      <c r="FV160" s="34"/>
      <c r="FW160" s="34"/>
      <c r="FX160" s="34"/>
      <c r="FY160" s="34"/>
      <c r="FZ160" s="34"/>
    </row>
    <row r="161" spans="1:182" s="89" customFormat="1" ht="14.25" thickBot="1" x14ac:dyDescent="0.3">
      <c r="A161" s="34"/>
      <c r="B161" s="142"/>
      <c r="C161" s="34"/>
      <c r="D161" s="34"/>
      <c r="E161" s="34"/>
      <c r="F161" s="428"/>
      <c r="G161" s="34"/>
      <c r="H161" s="800"/>
      <c r="I161" s="800"/>
      <c r="J161" s="800"/>
      <c r="K161" s="800"/>
      <c r="L161" s="800"/>
      <c r="M161" s="800"/>
      <c r="N161" s="800"/>
      <c r="O161" s="800"/>
      <c r="P161" s="800"/>
      <c r="Q161" s="800"/>
      <c r="R161" s="800"/>
      <c r="S161" s="800"/>
      <c r="T161" s="800"/>
      <c r="U161" s="800"/>
      <c r="V161" s="800"/>
      <c r="W161" s="800"/>
      <c r="X161" s="800"/>
      <c r="Y161" s="800"/>
      <c r="Z161" s="800"/>
      <c r="AA161" s="800"/>
      <c r="AB161" s="800"/>
      <c r="AC161" s="800"/>
      <c r="AD161" s="800"/>
      <c r="AE161" s="800"/>
      <c r="AF161" s="800"/>
      <c r="AG161" s="800"/>
      <c r="AH161" s="800"/>
      <c r="AI161" s="800"/>
      <c r="AJ161" s="800"/>
      <c r="AK161" s="800"/>
      <c r="AL161" s="800"/>
      <c r="AM161" s="800"/>
      <c r="AN161" s="800"/>
      <c r="AO161" s="800"/>
      <c r="AP161" s="800"/>
      <c r="AQ161" s="800"/>
      <c r="AR161" s="800"/>
      <c r="AS161" s="800"/>
      <c r="AT161" s="800"/>
      <c r="AU161" s="800"/>
      <c r="AV161" s="800"/>
      <c r="AW161" s="800"/>
      <c r="AX161" s="800"/>
      <c r="AY161" s="800"/>
      <c r="AZ161" s="800"/>
      <c r="BA161" s="800"/>
      <c r="BB161" s="800"/>
      <c r="BC161" s="800"/>
      <c r="BD161" s="800"/>
      <c r="BE161" s="800"/>
      <c r="BF161" s="800"/>
      <c r="BG161" s="800"/>
      <c r="BH161" s="800"/>
      <c r="BI161" s="800"/>
      <c r="BJ161" s="800"/>
      <c r="BK161" s="800"/>
      <c r="BL161" s="800"/>
      <c r="BM161" s="800"/>
      <c r="BN161" s="800"/>
      <c r="BO161" s="800"/>
      <c r="BP161" s="800"/>
      <c r="BQ161" s="800"/>
      <c r="BR161" s="800"/>
      <c r="BS161" s="800"/>
      <c r="BT161" s="800"/>
      <c r="BU161" s="800"/>
      <c r="BV161" s="800"/>
      <c r="BW161" s="800"/>
      <c r="BX161" s="800"/>
      <c r="BY161" s="800"/>
      <c r="BZ161" s="800"/>
      <c r="CA161" s="800"/>
      <c r="CB161" s="800"/>
      <c r="CC161" s="800"/>
      <c r="CD161" s="800"/>
      <c r="CE161" s="800"/>
      <c r="CF161" s="800"/>
      <c r="CG161" s="800"/>
      <c r="CH161" s="800"/>
      <c r="CI161" s="800"/>
      <c r="CJ161" s="800"/>
      <c r="CK161" s="800"/>
      <c r="CL161" s="800"/>
      <c r="CM161" s="800"/>
      <c r="CN161" s="800"/>
      <c r="CO161" s="800"/>
      <c r="CP161" s="800"/>
      <c r="CQ161" s="800"/>
      <c r="CR161" s="800"/>
      <c r="CS161" s="800"/>
      <c r="CT161" s="800"/>
      <c r="CU161" s="800"/>
      <c r="CV161" s="800"/>
      <c r="CW161" s="800"/>
      <c r="CX161" s="800"/>
      <c r="CY161" s="800"/>
      <c r="CZ161" s="800"/>
      <c r="DA161" s="800"/>
      <c r="DB161" s="800"/>
      <c r="DC161" s="800"/>
      <c r="DD161" s="800"/>
      <c r="DE161" s="800"/>
      <c r="DF161" s="800"/>
      <c r="DG161" s="800"/>
      <c r="DH161" s="800"/>
      <c r="DI161" s="800"/>
      <c r="DJ161" s="800"/>
      <c r="DK161" s="800"/>
      <c r="DL161" s="800"/>
      <c r="DM161" s="800"/>
      <c r="DN161" s="800"/>
      <c r="DO161" s="800"/>
      <c r="DP161" s="800"/>
      <c r="DQ161" s="800"/>
      <c r="DR161" s="800"/>
      <c r="DS161" s="800"/>
      <c r="DT161" s="800"/>
      <c r="DU161" s="800"/>
      <c r="DV161" s="800"/>
      <c r="DW161" s="800"/>
      <c r="DX161" s="800"/>
      <c r="DY161" s="800"/>
      <c r="DZ161" s="800"/>
      <c r="EA161" s="800"/>
      <c r="EB161" s="800"/>
      <c r="EC161" s="800"/>
      <c r="ED161" s="800"/>
      <c r="EE161" s="800"/>
      <c r="EF161" s="800"/>
      <c r="EG161" s="800"/>
      <c r="EH161" s="800"/>
      <c r="EI161" s="800"/>
      <c r="EJ161" s="800"/>
      <c r="EK161" s="800"/>
      <c r="EL161" s="800"/>
      <c r="EM161" s="800"/>
      <c r="EN161" s="800"/>
      <c r="EO161" s="800"/>
      <c r="EP161" s="800"/>
      <c r="EQ161" s="800"/>
      <c r="ER161" s="800"/>
      <c r="ES161" s="800"/>
      <c r="ET161" s="800"/>
      <c r="EU161" s="800"/>
      <c r="EV161" s="800"/>
      <c r="EW161" s="800"/>
      <c r="EX161" s="800"/>
      <c r="EY161" s="800"/>
      <c r="EZ161" s="800"/>
      <c r="FA161" s="800"/>
      <c r="FB161" s="800"/>
      <c r="FC161" s="800"/>
      <c r="FD161" s="800"/>
      <c r="FE161" s="800"/>
      <c r="FF161" s="800"/>
      <c r="FG161" s="800"/>
      <c r="FH161" s="800"/>
      <c r="FI161" s="800"/>
      <c r="FJ161" s="800"/>
      <c r="FK161" s="800"/>
      <c r="FL161" s="800"/>
      <c r="FM161" s="800"/>
      <c r="FN161" s="800"/>
      <c r="FO161" s="800"/>
      <c r="FP161" s="800"/>
      <c r="FQ161" s="800"/>
      <c r="FR161" s="800"/>
      <c r="FS161" s="800"/>
      <c r="FT161" s="800"/>
      <c r="FU161" s="43"/>
      <c r="FV161" s="34"/>
      <c r="FW161" s="34"/>
      <c r="FX161" s="34"/>
      <c r="FY161" s="34"/>
      <c r="FZ161" s="34"/>
    </row>
    <row r="162" spans="1:182" s="89" customFormat="1" ht="13.5" x14ac:dyDescent="0.25">
      <c r="A162" s="34"/>
      <c r="B162" s="142" t="s">
        <v>757</v>
      </c>
      <c r="C162" s="34"/>
      <c r="D162" s="34"/>
      <c r="E162" s="34"/>
      <c r="F162" s="1226">
        <f t="shared" ref="F162" si="225">SUM(H162:FT162)</f>
        <v>2295487.5584960007</v>
      </c>
      <c r="G162" s="34"/>
      <c r="H162" s="800">
        <f>IF(H11&lt;'Operating Assumptions'!$D$45,0,IF(H11&gt;=ROI!$O$19,0,IF(AND(H11&gt;='Operating Assumptions'!$D$45,H11&lt;ROI!$O$19),('Financing Assumptions'!$L$19*0.08)/12)))</f>
        <v>0</v>
      </c>
      <c r="I162" s="800">
        <f>IF(I11&lt;'Operating Assumptions'!$D$45,0,IF(I11&gt;=ROI!$O$19,0,IF(AND(I11&gt;='Operating Assumptions'!$D$45,I11&lt;ROI!$O$19),('Financing Assumptions'!$L$19*0.08)/12)))</f>
        <v>0</v>
      </c>
      <c r="J162" s="800">
        <f>IF(J11&lt;'Operating Assumptions'!$D$45,0,IF(J11&gt;=ROI!$O$19,0,IF(AND(J11&gt;='Operating Assumptions'!$D$45,J11&lt;ROI!$O$19),('Financing Assumptions'!$L$19*0.08)/12)))</f>
        <v>69560.22904533337</v>
      </c>
      <c r="K162" s="800">
        <f>IF(K11&lt;'Operating Assumptions'!$D$45,0,IF(K11&gt;=ROI!$O$19,0,IF(AND(K11&gt;='Operating Assumptions'!$D$45,K11&lt;ROI!$O$19),('Financing Assumptions'!$L$19*0.08)/12)))</f>
        <v>69560.22904533337</v>
      </c>
      <c r="L162" s="800">
        <f>IF(L11&lt;'Operating Assumptions'!$D$45,0,IF(L11&gt;=ROI!$O$19,0,IF(AND(L11&gt;='Operating Assumptions'!$D$45,L11&lt;ROI!$O$19),('Financing Assumptions'!$L$19*0.08)/12)))</f>
        <v>69560.22904533337</v>
      </c>
      <c r="M162" s="800">
        <f>IF(M11&lt;'Operating Assumptions'!$D$45,0,IF(M11&gt;=ROI!$O$19,0,IF(AND(M11&gt;='Operating Assumptions'!$D$45,M11&lt;ROI!$O$19),('Financing Assumptions'!$L$19*0.08)/12)))</f>
        <v>69560.22904533337</v>
      </c>
      <c r="N162" s="800">
        <f>IF(N11&lt;'Operating Assumptions'!$D$45,0,IF(N11&gt;=ROI!$O$19,0,IF(AND(N11&gt;='Operating Assumptions'!$D$45,N11&lt;ROI!$O$19),('Financing Assumptions'!$L$19*0.08)/12)))</f>
        <v>69560.22904533337</v>
      </c>
      <c r="O162" s="800">
        <f>IF(O11&lt;'Operating Assumptions'!$D$45,0,IF(O11&gt;=ROI!$O$19,0,IF(AND(O11&gt;='Operating Assumptions'!$D$45,O11&lt;ROI!$O$19),('Financing Assumptions'!$L$19*0.08)/12)))</f>
        <v>69560.22904533337</v>
      </c>
      <c r="P162" s="800">
        <f>IF(P11&lt;'Operating Assumptions'!$D$45,0,IF(P11&gt;=ROI!$O$19,0,IF(AND(P11&gt;='Operating Assumptions'!$D$45,P11&lt;ROI!$O$19),('Financing Assumptions'!$L$19*0.08)/12)))</f>
        <v>69560.22904533337</v>
      </c>
      <c r="Q162" s="800">
        <f>IF(Q11&lt;'Operating Assumptions'!$D$45,0,IF(Q11&gt;=ROI!$O$19,0,IF(AND(Q11&gt;='Operating Assumptions'!$D$45,Q11&lt;ROI!$O$19),('Financing Assumptions'!$L$19*0.08)/12)))</f>
        <v>69560.22904533337</v>
      </c>
      <c r="R162" s="800">
        <f>IF(R11&lt;'Operating Assumptions'!$D$45,0,IF(R11&gt;=ROI!$O$19,0,IF(AND(R11&gt;='Operating Assumptions'!$D$45,R11&lt;ROI!$O$19),('Financing Assumptions'!$L$19*0.08)/12)))</f>
        <v>69560.22904533337</v>
      </c>
      <c r="S162" s="800">
        <f>IF(S11&lt;'Operating Assumptions'!$D$45,0,IF(S11&gt;=ROI!$O$19,0,IF(AND(S11&gt;='Operating Assumptions'!$D$45,S11&lt;ROI!$O$19),('Financing Assumptions'!$L$19*0.08)/12)))</f>
        <v>69560.22904533337</v>
      </c>
      <c r="T162" s="800">
        <f>IF(T11&lt;'Operating Assumptions'!$D$45,0,IF(T11&gt;=ROI!$O$19,0,IF(AND(T11&gt;='Operating Assumptions'!$D$45,T11&lt;ROI!$O$19),('Financing Assumptions'!$L$19*0.08)/12)))</f>
        <v>69560.22904533337</v>
      </c>
      <c r="U162" s="800">
        <f>IF(U11&lt;'Operating Assumptions'!$D$45,0,IF(U11&gt;=ROI!$O$19,0,IF(AND(U11&gt;='Operating Assumptions'!$D$45,U11&lt;ROI!$O$19),('Financing Assumptions'!$L$19*0.08)/12)))</f>
        <v>69560.22904533337</v>
      </c>
      <c r="V162" s="800">
        <f>IF(V11&lt;'Operating Assumptions'!$D$45,0,IF(V11&gt;=ROI!$O$19,0,IF(AND(V11&gt;='Operating Assumptions'!$D$45,V11&lt;ROI!$O$19),('Financing Assumptions'!$L$19*0.08)/12)))</f>
        <v>69560.22904533337</v>
      </c>
      <c r="W162" s="800">
        <f>IF(W11&lt;'Operating Assumptions'!$D$45,0,IF(W11&gt;=ROI!$O$19,0,IF(AND(W11&gt;='Operating Assumptions'!$D$45,W11&lt;ROI!$O$19),('Financing Assumptions'!$L$19*0.08)/12)))</f>
        <v>69560.22904533337</v>
      </c>
      <c r="X162" s="800">
        <f>IF(X11&lt;'Operating Assumptions'!$D$45,0,IF(X11&gt;=ROI!$O$19,0,IF(AND(X11&gt;='Operating Assumptions'!$D$45,X11&lt;ROI!$O$19),('Financing Assumptions'!$L$19*0.08)/12)))</f>
        <v>69560.22904533337</v>
      </c>
      <c r="Y162" s="800">
        <f>IF(Y11&lt;'Operating Assumptions'!$D$45,0,IF(Y11&gt;=ROI!$O$19,0,IF(AND(Y11&gt;='Operating Assumptions'!$D$45,Y11&lt;ROI!$O$19),('Financing Assumptions'!$L$19*0.08)/12)))</f>
        <v>69560.22904533337</v>
      </c>
      <c r="Z162" s="800">
        <f>IF(Z11&lt;'Operating Assumptions'!$D$45,0,IF(Z11&gt;=ROI!$O$19,0,IF(AND(Z11&gt;='Operating Assumptions'!$D$45,Z11&lt;ROI!$O$19),('Financing Assumptions'!$L$19*0.08)/12)))</f>
        <v>69560.22904533337</v>
      </c>
      <c r="AA162" s="800">
        <f>IF(AA11&lt;'Operating Assumptions'!$D$45,0,IF(AA11&gt;=ROI!$O$19,0,IF(AND(AA11&gt;='Operating Assumptions'!$D$45,AA11&lt;ROI!$O$19),('Financing Assumptions'!$L$19*0.08)/12)))</f>
        <v>69560.22904533337</v>
      </c>
      <c r="AB162" s="800">
        <f>IF(AB11&lt;'Operating Assumptions'!$D$45,0,IF(AB11&gt;=ROI!$O$19,0,IF(AND(AB11&gt;='Operating Assumptions'!$D$45,AB11&lt;ROI!$O$19),('Financing Assumptions'!$L$19*0.08)/12)))</f>
        <v>69560.22904533337</v>
      </c>
      <c r="AC162" s="800">
        <f>IF(AC11&lt;'Operating Assumptions'!$D$45,0,IF(AC11&gt;=ROI!$O$19,0,IF(AND(AC11&gt;='Operating Assumptions'!$D$45,AC11&lt;ROI!$O$19),('Financing Assumptions'!$L$19*0.08)/12)))</f>
        <v>69560.22904533337</v>
      </c>
      <c r="AD162" s="800">
        <f>IF(AD11&lt;'Operating Assumptions'!$D$45,0,IF(AD11&gt;=ROI!$O$19,0,IF(AND(AD11&gt;='Operating Assumptions'!$D$45,AD11&lt;ROI!$O$19),('Financing Assumptions'!$L$19*0.08)/12)))</f>
        <v>69560.22904533337</v>
      </c>
      <c r="AE162" s="800">
        <f>IF(AE11&lt;'Operating Assumptions'!$D$45,0,IF(AE11&gt;=ROI!$O$19,0,IF(AND(AE11&gt;='Operating Assumptions'!$D$45,AE11&lt;ROI!$O$19),('Financing Assumptions'!$L$19*0.08)/12)))</f>
        <v>69560.22904533337</v>
      </c>
      <c r="AF162" s="800">
        <f>IF(AF11&lt;'Operating Assumptions'!$D$45,0,IF(AF11&gt;=ROI!$O$19,0,IF(AND(AF11&gt;='Operating Assumptions'!$D$45,AF11&lt;ROI!$O$19),('Financing Assumptions'!$L$19*0.08)/12)))</f>
        <v>69560.22904533337</v>
      </c>
      <c r="AG162" s="800">
        <f>IF(AG11&lt;'Operating Assumptions'!$D$45,0,IF(AG11&gt;=ROI!$O$19,0,IF(AND(AG11&gt;='Operating Assumptions'!$D$45,AG11&lt;ROI!$O$19),('Financing Assumptions'!$L$19*0.08)/12)))</f>
        <v>69560.22904533337</v>
      </c>
      <c r="AH162" s="800">
        <f>IF(AH11&lt;'Operating Assumptions'!$D$45,0,IF(AH11&gt;=ROI!$O$19,0,IF(AND(AH11&gt;='Operating Assumptions'!$D$45,AH11&lt;ROI!$O$19),('Financing Assumptions'!$L$19*0.08)/12)))</f>
        <v>69560.22904533337</v>
      </c>
      <c r="AI162" s="800">
        <f>IF(AI11&lt;'Operating Assumptions'!$D$45,0,IF(AI11&gt;=ROI!$O$19,0,IF(AND(AI11&gt;='Operating Assumptions'!$D$45,AI11&lt;ROI!$O$19),('Financing Assumptions'!$L$19*0.08)/12)))</f>
        <v>69560.22904533337</v>
      </c>
      <c r="AJ162" s="800">
        <f>IF(AJ11&lt;'Operating Assumptions'!$D$45,0,IF(AJ11&gt;=ROI!$O$19,0,IF(AND(AJ11&gt;='Operating Assumptions'!$D$45,AJ11&lt;ROI!$O$19),('Financing Assumptions'!$L$19*0.08)/12)))</f>
        <v>69560.22904533337</v>
      </c>
      <c r="AK162" s="800">
        <f>IF(AK11&lt;'Operating Assumptions'!$D$45,0,IF(AK11&gt;=ROI!$O$19,0,IF(AND(AK11&gt;='Operating Assumptions'!$D$45,AK11&lt;ROI!$O$19),('Financing Assumptions'!$L$19*0.08)/12)))</f>
        <v>69560.22904533337</v>
      </c>
      <c r="AL162" s="800">
        <f>IF(AL11&lt;'Operating Assumptions'!$D$45,0,IF(AL11&gt;=ROI!$O$19,0,IF(AND(AL11&gt;='Operating Assumptions'!$D$45,AL11&lt;ROI!$O$19),('Financing Assumptions'!$L$19*0.08)/12)))</f>
        <v>69560.22904533337</v>
      </c>
      <c r="AM162" s="800">
        <f>IF(AM11&lt;'Operating Assumptions'!$D$45,0,IF(AM11&gt;=ROI!$O$19,0,IF(AND(AM11&gt;='Operating Assumptions'!$D$45,AM11&lt;ROI!$O$19),('Financing Assumptions'!$L$19*0.08)/12)))</f>
        <v>69560.22904533337</v>
      </c>
      <c r="AN162" s="800">
        <f>IF(AN11&lt;'Operating Assumptions'!$D$45,0,IF(AN11&gt;=ROI!$O$19,0,IF(AND(AN11&gt;='Operating Assumptions'!$D$45,AN11&lt;ROI!$O$19),('Financing Assumptions'!$L$19*0.08)/12)))</f>
        <v>69560.22904533337</v>
      </c>
      <c r="AO162" s="800">
        <f>IF(AO11&lt;'Operating Assumptions'!$D$45,0,IF(AO11&gt;=ROI!$O$19,0,IF(AND(AO11&gt;='Operating Assumptions'!$D$45,AO11&lt;ROI!$O$19),('Financing Assumptions'!$L$19*0.08)/12)))</f>
        <v>69560.22904533337</v>
      </c>
      <c r="AP162" s="800">
        <f>IF(AP11&lt;'Operating Assumptions'!$D$45,0,IF(AP11&gt;=ROI!$O$19,0,IF(AND(AP11&gt;='Operating Assumptions'!$D$45,AP11&lt;ROI!$O$19),('Financing Assumptions'!$L$19*0.08)/12)))</f>
        <v>69560.22904533337</v>
      </c>
      <c r="AQ162" s="800">
        <f>IF(AQ11&lt;'Operating Assumptions'!$D$45,0,IF(AQ11&gt;=ROI!$O$19,0,IF(AND(AQ11&gt;='Operating Assumptions'!$D$45,AQ11&lt;ROI!$O$19),('Financing Assumptions'!$L$19*0.08)/12)))</f>
        <v>0</v>
      </c>
      <c r="AR162" s="800">
        <f>IF(AR11&lt;'Operating Assumptions'!$D$45,0,IF(AR11&gt;=ROI!$O$19,0,IF(AND(AR11&gt;='Operating Assumptions'!$D$45,AR11&lt;ROI!$O$19),('Financing Assumptions'!$L$19*0.08)/12)))</f>
        <v>0</v>
      </c>
      <c r="AS162" s="800">
        <f>IF(AS11&lt;'Operating Assumptions'!$D$45,0,IF(AS11&gt;=ROI!$O$19,0,IF(AND(AS11&gt;='Operating Assumptions'!$D$45,AS11&lt;ROI!$O$19),('Financing Assumptions'!$L$19*0.08)/12)))</f>
        <v>0</v>
      </c>
      <c r="AT162" s="800">
        <f>IF(AT11&lt;'Operating Assumptions'!$D$45,0,IF(AT11&gt;=ROI!$O$19,0,IF(AND(AT11&gt;='Operating Assumptions'!$D$45,AT11&lt;ROI!$O$19),('Financing Assumptions'!$L$19*0.08)/12)))</f>
        <v>0</v>
      </c>
      <c r="AU162" s="800">
        <f>IF(AU11&lt;'Operating Assumptions'!$D$45,0,IF(AU11&gt;=ROI!$O$19,0,IF(AND(AU11&gt;='Operating Assumptions'!$D$45,AU11&lt;ROI!$O$19),('Financing Assumptions'!$L$19*0.08)/12)))</f>
        <v>0</v>
      </c>
      <c r="AV162" s="800">
        <f>IF(AV11&lt;'Operating Assumptions'!$D$45,0,IF(AV11&gt;=ROI!$O$19,0,IF(AND(AV11&gt;='Operating Assumptions'!$D$45,AV11&lt;ROI!$O$19),('Financing Assumptions'!$L$19*0.08)/12)))</f>
        <v>0</v>
      </c>
      <c r="AW162" s="800">
        <f>IF(AW11&lt;'Operating Assumptions'!$D$45,0,IF(AW11&gt;=ROI!$O$19,0,IF(AND(AW11&gt;='Operating Assumptions'!$D$45,AW11&lt;ROI!$O$19),('Financing Assumptions'!$L$19*0.08)/12)))</f>
        <v>0</v>
      </c>
      <c r="AX162" s="800">
        <f>IF(AX11&lt;'Operating Assumptions'!$D$45,0,IF(AX11&gt;=ROI!$O$19,0,IF(AND(AX11&gt;='Operating Assumptions'!$D$45,AX11&lt;ROI!$O$19),('Financing Assumptions'!$L$19*0.08)/12)))</f>
        <v>0</v>
      </c>
      <c r="AY162" s="800">
        <f>IF(AY11&lt;'Operating Assumptions'!$D$45,0,IF(AY11&gt;=ROI!$O$19,0,IF(AND(AY11&gt;='Operating Assumptions'!$D$45,AY11&lt;ROI!$O$19),('Financing Assumptions'!$L$19*0.08)/12)))</f>
        <v>0</v>
      </c>
      <c r="AZ162" s="800">
        <f>IF(AZ11&lt;'Operating Assumptions'!$D$45,0,IF(AZ11&gt;=ROI!$O$19,0,IF(AND(AZ11&gt;='Operating Assumptions'!$D$45,AZ11&lt;ROI!$O$19),('Financing Assumptions'!$L$19*0.08)/12)))</f>
        <v>0</v>
      </c>
      <c r="BA162" s="800">
        <f>IF(BA11&lt;'Operating Assumptions'!$D$45,0,IF(BA11&gt;=ROI!$O$19,0,IF(AND(BA11&gt;='Operating Assumptions'!$D$45,BA11&lt;ROI!$O$19),('Financing Assumptions'!$L$19*0.08)/12)))</f>
        <v>0</v>
      </c>
      <c r="BB162" s="800">
        <f>IF(BB11&lt;'Operating Assumptions'!$D$45,0,IF(BB11&gt;=ROI!$O$19,0,IF(AND(BB11&gt;='Operating Assumptions'!$D$45,BB11&lt;ROI!$O$19),('Financing Assumptions'!$L$19*0.08)/12)))</f>
        <v>0</v>
      </c>
      <c r="BC162" s="800">
        <f>IF(BC11&lt;'Operating Assumptions'!$D$45,0,IF(BC11&gt;=ROI!$O$19,0,IF(AND(BC11&gt;='Operating Assumptions'!$D$45,BC11&lt;ROI!$O$19),('Financing Assumptions'!$L$19*0.08)/12)))</f>
        <v>0</v>
      </c>
      <c r="BD162" s="800">
        <f>IF(BD11&lt;'Operating Assumptions'!$D$45,0,IF(BD11&gt;=ROI!$O$19,0,IF(AND(BD11&gt;='Operating Assumptions'!$D$45,BD11&lt;ROI!$O$19),('Financing Assumptions'!$L$19*0.08)/12)))</f>
        <v>0</v>
      </c>
      <c r="BE162" s="800">
        <f>IF(BE11&lt;'Operating Assumptions'!$D$45,0,IF(BE11&gt;=ROI!$O$19,0,IF(AND(BE11&gt;='Operating Assumptions'!$D$45,BE11&lt;ROI!$O$19),('Financing Assumptions'!$L$19*0.08)/12)))</f>
        <v>0</v>
      </c>
      <c r="BF162" s="800"/>
      <c r="BG162" s="800"/>
      <c r="BH162" s="800"/>
      <c r="BI162" s="800"/>
      <c r="BJ162" s="800"/>
      <c r="BK162" s="800"/>
      <c r="BL162" s="800"/>
      <c r="BM162" s="800"/>
      <c r="BN162" s="800"/>
      <c r="BO162" s="800"/>
      <c r="BP162" s="800"/>
      <c r="BQ162" s="800"/>
      <c r="BR162" s="800"/>
      <c r="BS162" s="800"/>
      <c r="BT162" s="800"/>
      <c r="BU162" s="800"/>
      <c r="BV162" s="800"/>
      <c r="BW162" s="800"/>
      <c r="BX162" s="800"/>
      <c r="BY162" s="800"/>
      <c r="BZ162" s="800"/>
      <c r="CA162" s="800"/>
      <c r="CB162" s="800"/>
      <c r="CC162" s="800"/>
      <c r="CD162" s="800"/>
      <c r="CE162" s="800"/>
      <c r="CF162" s="800"/>
      <c r="CG162" s="800"/>
      <c r="CH162" s="800"/>
      <c r="CI162" s="800"/>
      <c r="CJ162" s="800"/>
      <c r="CK162" s="800"/>
      <c r="CL162" s="800"/>
      <c r="CM162" s="800"/>
      <c r="CN162" s="800"/>
      <c r="CO162" s="800"/>
      <c r="CP162" s="800"/>
      <c r="CQ162" s="800"/>
      <c r="CR162" s="800"/>
      <c r="CS162" s="800"/>
      <c r="CT162" s="800"/>
      <c r="CU162" s="800"/>
      <c r="CV162" s="800"/>
      <c r="CW162" s="800"/>
      <c r="CX162" s="800"/>
      <c r="CY162" s="800"/>
      <c r="CZ162" s="800"/>
      <c r="DA162" s="800"/>
      <c r="DB162" s="800"/>
      <c r="DC162" s="800"/>
      <c r="DD162" s="800"/>
      <c r="DE162" s="800"/>
      <c r="DF162" s="800"/>
      <c r="DG162" s="800"/>
      <c r="DH162" s="800"/>
      <c r="DI162" s="800"/>
      <c r="DJ162" s="800"/>
      <c r="DK162" s="800"/>
      <c r="DL162" s="800"/>
      <c r="DM162" s="800"/>
      <c r="DN162" s="800"/>
      <c r="DO162" s="800"/>
      <c r="DP162" s="800"/>
      <c r="DQ162" s="800"/>
      <c r="DR162" s="800"/>
      <c r="DS162" s="800"/>
      <c r="DT162" s="800"/>
      <c r="DU162" s="800"/>
      <c r="DV162" s="800"/>
      <c r="DW162" s="800"/>
      <c r="DX162" s="800"/>
      <c r="DY162" s="800"/>
      <c r="DZ162" s="800"/>
      <c r="EA162" s="800"/>
      <c r="EB162" s="800"/>
      <c r="EC162" s="800"/>
      <c r="ED162" s="800"/>
      <c r="EE162" s="800"/>
      <c r="EF162" s="800"/>
      <c r="EG162" s="800"/>
      <c r="EH162" s="800"/>
      <c r="EI162" s="800"/>
      <c r="EJ162" s="800"/>
      <c r="EK162" s="800"/>
      <c r="EL162" s="800"/>
      <c r="EM162" s="800"/>
      <c r="EN162" s="800"/>
      <c r="EO162" s="800"/>
      <c r="EP162" s="800"/>
      <c r="EQ162" s="800"/>
      <c r="ER162" s="800"/>
      <c r="ES162" s="800"/>
      <c r="ET162" s="800"/>
      <c r="EU162" s="800"/>
      <c r="EV162" s="800"/>
      <c r="EW162" s="800"/>
      <c r="EX162" s="800"/>
      <c r="EY162" s="800"/>
      <c r="EZ162" s="800"/>
      <c r="FA162" s="800"/>
      <c r="FB162" s="800"/>
      <c r="FC162" s="800"/>
      <c r="FD162" s="800"/>
      <c r="FE162" s="800"/>
      <c r="FF162" s="800"/>
      <c r="FG162" s="800"/>
      <c r="FH162" s="800"/>
      <c r="FI162" s="800"/>
      <c r="FJ162" s="800"/>
      <c r="FK162" s="800"/>
      <c r="FL162" s="800"/>
      <c r="FM162" s="800"/>
      <c r="FN162" s="800"/>
      <c r="FO162" s="800"/>
      <c r="FP162" s="800"/>
      <c r="FQ162" s="800"/>
      <c r="FR162" s="800"/>
      <c r="FS162" s="800"/>
      <c r="FT162" s="800"/>
      <c r="FU162" s="43"/>
      <c r="FV162" s="34"/>
      <c r="FW162" s="34"/>
      <c r="FX162" s="34"/>
      <c r="FY162" s="34"/>
      <c r="FZ162" s="34"/>
    </row>
    <row r="163" spans="1:182" s="89" customFormat="1" ht="13.5" x14ac:dyDescent="0.25">
      <c r="A163" s="34"/>
      <c r="B163" s="142"/>
      <c r="C163" s="34"/>
      <c r="D163" s="34"/>
      <c r="E163" s="34"/>
      <c r="F163" s="428"/>
      <c r="G163" s="34"/>
      <c r="H163" s="800"/>
      <c r="I163" s="800"/>
      <c r="J163" s="800"/>
      <c r="K163" s="800"/>
      <c r="L163" s="800"/>
      <c r="M163" s="800"/>
      <c r="N163" s="800"/>
      <c r="O163" s="800"/>
      <c r="P163" s="800"/>
      <c r="Q163" s="800"/>
      <c r="R163" s="800"/>
      <c r="S163" s="800"/>
      <c r="T163" s="800"/>
      <c r="U163" s="800"/>
      <c r="V163" s="800"/>
      <c r="W163" s="800"/>
      <c r="X163" s="800"/>
      <c r="Y163" s="800"/>
      <c r="Z163" s="800"/>
      <c r="AA163" s="800"/>
      <c r="AB163" s="800"/>
      <c r="AC163" s="800"/>
      <c r="AD163" s="800"/>
      <c r="AE163" s="800"/>
      <c r="AF163" s="800"/>
      <c r="AG163" s="800"/>
      <c r="AH163" s="800"/>
      <c r="AI163" s="800"/>
      <c r="AJ163" s="800"/>
      <c r="AK163" s="800"/>
      <c r="AL163" s="800"/>
      <c r="AM163" s="800"/>
      <c r="AN163" s="800"/>
      <c r="AO163" s="800"/>
      <c r="AP163" s="800"/>
      <c r="AQ163" s="800"/>
      <c r="AR163" s="800"/>
      <c r="AS163" s="800"/>
      <c r="AT163" s="800"/>
      <c r="AU163" s="800"/>
      <c r="AV163" s="800"/>
      <c r="AW163" s="800"/>
      <c r="AX163" s="800"/>
      <c r="AY163" s="800"/>
      <c r="AZ163" s="800"/>
      <c r="BA163" s="800"/>
      <c r="BB163" s="800"/>
      <c r="BC163" s="800"/>
      <c r="BD163" s="800"/>
      <c r="BE163" s="800"/>
      <c r="BF163" s="800"/>
      <c r="BG163" s="800"/>
      <c r="BH163" s="800"/>
      <c r="BI163" s="800"/>
      <c r="BJ163" s="800"/>
      <c r="BK163" s="800"/>
      <c r="BL163" s="800"/>
      <c r="BM163" s="800"/>
      <c r="BN163" s="800"/>
      <c r="BO163" s="800"/>
      <c r="BP163" s="800"/>
      <c r="BQ163" s="800"/>
      <c r="BR163" s="800"/>
      <c r="BS163" s="800"/>
      <c r="BT163" s="800"/>
      <c r="BU163" s="800"/>
      <c r="BV163" s="800"/>
      <c r="BW163" s="800"/>
      <c r="BX163" s="800"/>
      <c r="BY163" s="800"/>
      <c r="BZ163" s="800"/>
      <c r="CA163" s="800"/>
      <c r="CB163" s="800"/>
      <c r="CC163" s="800"/>
      <c r="CD163" s="800"/>
      <c r="CE163" s="800"/>
      <c r="CF163" s="800"/>
      <c r="CG163" s="800"/>
      <c r="CH163" s="800"/>
      <c r="CI163" s="800"/>
      <c r="CJ163" s="800"/>
      <c r="CK163" s="800"/>
      <c r="CL163" s="800"/>
      <c r="CM163" s="800"/>
      <c r="CN163" s="800"/>
      <c r="CO163" s="800"/>
      <c r="CP163" s="800"/>
      <c r="CQ163" s="800"/>
      <c r="CR163" s="800"/>
      <c r="CS163" s="800"/>
      <c r="CT163" s="800"/>
      <c r="CU163" s="800"/>
      <c r="CV163" s="800"/>
      <c r="CW163" s="800"/>
      <c r="CX163" s="800"/>
      <c r="CY163" s="800"/>
      <c r="CZ163" s="800"/>
      <c r="DA163" s="800"/>
      <c r="DB163" s="800"/>
      <c r="DC163" s="800"/>
      <c r="DD163" s="800"/>
      <c r="DE163" s="800"/>
      <c r="DF163" s="800"/>
      <c r="DG163" s="800"/>
      <c r="DH163" s="800"/>
      <c r="DI163" s="800"/>
      <c r="DJ163" s="800"/>
      <c r="DK163" s="800"/>
      <c r="DL163" s="800"/>
      <c r="DM163" s="800"/>
      <c r="DN163" s="800"/>
      <c r="DO163" s="800"/>
      <c r="DP163" s="800"/>
      <c r="DQ163" s="800"/>
      <c r="DR163" s="800"/>
      <c r="DS163" s="800"/>
      <c r="DT163" s="800"/>
      <c r="DU163" s="800"/>
      <c r="DV163" s="800"/>
      <c r="DW163" s="800"/>
      <c r="DX163" s="800"/>
      <c r="DY163" s="800"/>
      <c r="DZ163" s="800"/>
      <c r="EA163" s="800"/>
      <c r="EB163" s="800"/>
      <c r="EC163" s="800"/>
      <c r="ED163" s="800"/>
      <c r="EE163" s="800"/>
      <c r="EF163" s="800"/>
      <c r="EG163" s="800"/>
      <c r="EH163" s="800"/>
      <c r="EI163" s="800"/>
      <c r="EJ163" s="800"/>
      <c r="EK163" s="800"/>
      <c r="EL163" s="800"/>
      <c r="EM163" s="800"/>
      <c r="EN163" s="800"/>
      <c r="EO163" s="800"/>
      <c r="EP163" s="800"/>
      <c r="EQ163" s="800"/>
      <c r="ER163" s="800"/>
      <c r="ES163" s="800"/>
      <c r="ET163" s="800"/>
      <c r="EU163" s="800"/>
      <c r="EV163" s="800"/>
      <c r="EW163" s="800"/>
      <c r="EX163" s="800"/>
      <c r="EY163" s="800"/>
      <c r="EZ163" s="800"/>
      <c r="FA163" s="800"/>
      <c r="FB163" s="800"/>
      <c r="FC163" s="800"/>
      <c r="FD163" s="800"/>
      <c r="FE163" s="800"/>
      <c r="FF163" s="800"/>
      <c r="FG163" s="800"/>
      <c r="FH163" s="800"/>
      <c r="FI163" s="800"/>
      <c r="FJ163" s="800"/>
      <c r="FK163" s="800"/>
      <c r="FL163" s="800"/>
      <c r="FM163" s="800"/>
      <c r="FN163" s="800"/>
      <c r="FO163" s="800"/>
      <c r="FP163" s="800"/>
      <c r="FQ163" s="800"/>
      <c r="FR163" s="800"/>
      <c r="FS163" s="800"/>
      <c r="FT163" s="800"/>
      <c r="FU163" s="43"/>
      <c r="FV163" s="34"/>
      <c r="FW163" s="34"/>
      <c r="FX163" s="34"/>
      <c r="FY163" s="34"/>
      <c r="FZ163" s="34"/>
    </row>
    <row r="164" spans="1:182" s="89" customFormat="1" ht="13.5" x14ac:dyDescent="0.25">
      <c r="A164" s="34"/>
      <c r="B164" s="43"/>
      <c r="C164" s="34"/>
      <c r="D164" s="34"/>
      <c r="E164" s="34"/>
      <c r="F164" s="5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  <c r="FJ164" s="34"/>
      <c r="FK164" s="34"/>
      <c r="FL164" s="34"/>
      <c r="FM164" s="34"/>
      <c r="FN164" s="34"/>
      <c r="FO164" s="34"/>
      <c r="FP164" s="34"/>
      <c r="FQ164" s="34"/>
      <c r="FR164" s="34"/>
      <c r="FS164" s="34"/>
      <c r="FT164" s="34"/>
      <c r="FU164" s="43"/>
      <c r="FV164" s="34"/>
      <c r="FW164" s="34"/>
      <c r="FX164" s="34"/>
      <c r="FY164" s="34"/>
      <c r="FZ164" s="34"/>
    </row>
    <row r="165" spans="1:182" s="89" customFormat="1" ht="13.5" x14ac:dyDescent="0.25">
      <c r="A165" s="34"/>
      <c r="B165" s="114"/>
      <c r="C165" s="113"/>
      <c r="D165" s="113"/>
      <c r="E165" s="113"/>
      <c r="F165" s="112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  <c r="BA165" s="113"/>
      <c r="BB165" s="113"/>
      <c r="BC165" s="113"/>
      <c r="BD165" s="113"/>
      <c r="BE165" s="113"/>
      <c r="BF165" s="113"/>
      <c r="BG165" s="113"/>
      <c r="BH165" s="113"/>
      <c r="BI165" s="113"/>
      <c r="BJ165" s="113"/>
      <c r="BK165" s="113"/>
      <c r="BL165" s="113"/>
      <c r="BM165" s="113"/>
      <c r="BN165" s="113"/>
      <c r="BO165" s="113"/>
      <c r="BP165" s="113"/>
      <c r="BQ165" s="113"/>
      <c r="BR165" s="113"/>
      <c r="BS165" s="113"/>
      <c r="BT165" s="113"/>
      <c r="BU165" s="113"/>
      <c r="BV165" s="113"/>
      <c r="BW165" s="113"/>
      <c r="BX165" s="113"/>
      <c r="BY165" s="113"/>
      <c r="BZ165" s="113"/>
      <c r="CA165" s="113"/>
      <c r="CB165" s="113"/>
      <c r="CC165" s="113"/>
      <c r="CD165" s="113"/>
      <c r="CE165" s="113"/>
      <c r="CF165" s="113"/>
      <c r="CG165" s="113"/>
      <c r="CH165" s="113"/>
      <c r="CI165" s="113"/>
      <c r="CJ165" s="113"/>
      <c r="CK165" s="113"/>
      <c r="CL165" s="113"/>
      <c r="CM165" s="113"/>
      <c r="CN165" s="113"/>
      <c r="CO165" s="113"/>
      <c r="CP165" s="113"/>
      <c r="CQ165" s="113"/>
      <c r="CR165" s="113"/>
      <c r="CS165" s="113"/>
      <c r="CT165" s="113"/>
      <c r="CU165" s="113"/>
      <c r="CV165" s="113"/>
      <c r="CW165" s="113"/>
      <c r="CX165" s="113"/>
      <c r="CY165" s="113"/>
      <c r="CZ165" s="113"/>
      <c r="DA165" s="113"/>
      <c r="DB165" s="113"/>
      <c r="DC165" s="113"/>
      <c r="DD165" s="113"/>
      <c r="DE165" s="113"/>
      <c r="DF165" s="113"/>
      <c r="DG165" s="113"/>
      <c r="DH165" s="113"/>
      <c r="DI165" s="113"/>
      <c r="DJ165" s="113"/>
      <c r="DK165" s="113"/>
      <c r="DL165" s="113"/>
      <c r="DM165" s="113"/>
      <c r="DN165" s="113"/>
      <c r="DO165" s="113"/>
      <c r="DP165" s="113"/>
      <c r="DQ165" s="113"/>
      <c r="DR165" s="113"/>
      <c r="DS165" s="113"/>
      <c r="DT165" s="113"/>
      <c r="DU165" s="113"/>
      <c r="DV165" s="113"/>
      <c r="DW165" s="113"/>
      <c r="DX165" s="113"/>
      <c r="DY165" s="113"/>
      <c r="DZ165" s="113"/>
      <c r="EA165" s="113"/>
      <c r="EB165" s="113"/>
      <c r="EC165" s="113"/>
      <c r="ED165" s="113"/>
      <c r="EE165" s="113"/>
      <c r="EF165" s="113"/>
      <c r="EG165" s="113"/>
      <c r="EH165" s="113"/>
      <c r="EI165" s="113"/>
      <c r="EJ165" s="113"/>
      <c r="EK165" s="113"/>
      <c r="EL165" s="113"/>
      <c r="EM165" s="113"/>
      <c r="EN165" s="113"/>
      <c r="EO165" s="113"/>
      <c r="EP165" s="113"/>
      <c r="EQ165" s="113"/>
      <c r="ER165" s="113"/>
      <c r="ES165" s="113"/>
      <c r="ET165" s="113"/>
      <c r="EU165" s="113"/>
      <c r="EV165" s="113"/>
      <c r="EW165" s="113"/>
      <c r="EX165" s="113"/>
      <c r="EY165" s="113"/>
      <c r="EZ165" s="113"/>
      <c r="FA165" s="113"/>
      <c r="FB165" s="113"/>
      <c r="FC165" s="113"/>
      <c r="FD165" s="113"/>
      <c r="FE165" s="113"/>
      <c r="FF165" s="113"/>
      <c r="FG165" s="113"/>
      <c r="FH165" s="113"/>
      <c r="FI165" s="113"/>
      <c r="FJ165" s="113"/>
      <c r="FK165" s="113"/>
      <c r="FL165" s="113"/>
      <c r="FM165" s="113"/>
      <c r="FN165" s="113"/>
      <c r="FO165" s="113"/>
      <c r="FP165" s="113"/>
      <c r="FQ165" s="113"/>
      <c r="FR165" s="113"/>
      <c r="FS165" s="113"/>
      <c r="FT165" s="402"/>
      <c r="FU165" s="43"/>
      <c r="FV165" s="34"/>
      <c r="FW165" s="34"/>
      <c r="FX165" s="34"/>
      <c r="FY165" s="34"/>
      <c r="FZ165" s="34"/>
    </row>
    <row r="166" spans="1:182" s="89" customFormat="1" ht="13.5" hidden="1" outlineLevel="1" x14ac:dyDescent="0.25">
      <c r="A166" s="34"/>
      <c r="B166" s="73" t="s">
        <v>248</v>
      </c>
      <c r="C166" s="34"/>
      <c r="D166" s="34"/>
      <c r="E166" s="34"/>
      <c r="F166" s="5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43"/>
      <c r="FV166" s="34"/>
      <c r="FW166" s="34"/>
      <c r="FX166" s="34"/>
      <c r="FY166" s="34"/>
      <c r="FZ166" s="34"/>
    </row>
    <row r="167" spans="1:182" s="89" customFormat="1" ht="13.5" hidden="1" outlineLevel="1" x14ac:dyDescent="0.25">
      <c r="A167" s="34"/>
      <c r="B167" s="43"/>
      <c r="C167" s="34"/>
      <c r="D167" s="34"/>
      <c r="E167" s="34"/>
      <c r="F167" s="5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43"/>
      <c r="FV167" s="34"/>
      <c r="FW167" s="34"/>
      <c r="FX167" s="34"/>
      <c r="FY167" s="34"/>
      <c r="FZ167" s="34"/>
    </row>
    <row r="168" spans="1:182" s="89" customFormat="1" ht="13.5" hidden="1" outlineLevel="1" x14ac:dyDescent="0.25">
      <c r="A168" s="498"/>
      <c r="B168" s="73" t="s">
        <v>357</v>
      </c>
      <c r="C168" s="34"/>
      <c r="D168" s="34"/>
      <c r="E168" s="34"/>
      <c r="F168" s="5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43"/>
      <c r="FV168" s="34"/>
      <c r="FW168" s="34"/>
      <c r="FX168" s="34"/>
      <c r="FY168" s="34"/>
      <c r="FZ168" s="34"/>
    </row>
    <row r="169" spans="1:182" s="89" customFormat="1" ht="13.5" hidden="1" outlineLevel="1" x14ac:dyDescent="0.25">
      <c r="A169" s="498"/>
      <c r="B169" s="43" t="str">
        <f>'Construction Budget'!B11</f>
        <v>Land /Acquisition Cost</v>
      </c>
      <c r="C169" s="34"/>
      <c r="D169" s="34"/>
      <c r="E169" s="34"/>
      <c r="F169" s="434">
        <f>SUM(H169:FT169)</f>
        <v>-2500000</v>
      </c>
      <c r="G169" s="34"/>
      <c r="H169" s="427">
        <f>-IF(AND(H$11&gt;=EOMONTH('Construction Budget'!$K11,0),H$11&lt;=EOMONTH('Construction Budget'!$M11,0)),('Construction Budget'!$G11+SUM($G169:G169))/ROUND(((EOMONTH('Construction Budget'!$M11,0)-EOMONTH(H$11,0))/30)+1,0),0)</f>
        <v>0</v>
      </c>
      <c r="I169" s="427">
        <f>-IF(AND(I$11&gt;=EOMONTH('Construction Budget'!$K11,0),I$11&lt;=EOMONTH('Construction Budget'!$M11,0)),('Construction Budget'!$G11+SUM($G169:H169))/ROUND(((EOMONTH('Construction Budget'!$M11,0)-EOMONTH(I$11,0))/30)+1,0),0)</f>
        <v>0</v>
      </c>
      <c r="J169" s="427">
        <f>-IF(AND(J$11&gt;=EOMONTH('Construction Budget'!$K11,0),J$11&lt;=EOMONTH('Construction Budget'!$M11,0)),('Construction Budget'!$G11+SUM($G169:I169))/ROUND(((EOMONTH('Construction Budget'!$M11,0)-EOMONTH(J$11,0))/30)+1,0),0)</f>
        <v>-2500000</v>
      </c>
      <c r="K169" s="427">
        <f>-IF(AND(K$11&gt;=EOMONTH('Construction Budget'!$K11,0),K$11&lt;=EOMONTH('Construction Budget'!$M11,0)),('Construction Budget'!$G11+SUM($G169:J169))/ROUND(((EOMONTH('Construction Budget'!$M11,0)-EOMONTH(K$11,0))/30)+1,0),0)</f>
        <v>0</v>
      </c>
      <c r="L169" s="427">
        <f>-IF(AND(L$11&gt;=EOMONTH('Construction Budget'!$K11,0),L$11&lt;=EOMONTH('Construction Budget'!$M11,0)),('Construction Budget'!$G11+SUM($G169:K169))/ROUND(((EOMONTH('Construction Budget'!$M11,0)-EOMONTH(L$11,0))/30)+1,0),0)</f>
        <v>0</v>
      </c>
      <c r="M169" s="427">
        <f>-IF(AND(M$11&gt;=EOMONTH('Construction Budget'!$K11,0),M$11&lt;=EOMONTH('Construction Budget'!$M11,0)),('Construction Budget'!$G11+SUM($G169:L169))/ROUND(((EOMONTH('Construction Budget'!$M11,0)-EOMONTH(M$11,0))/30)+1,0),0)</f>
        <v>0</v>
      </c>
      <c r="N169" s="427">
        <f>-IF(AND(N$11&gt;=EOMONTH('Construction Budget'!$K11,0),N$11&lt;=EOMONTH('Construction Budget'!$M11,0)),('Construction Budget'!$G11+SUM($G169:M169))/ROUND(((EOMONTH('Construction Budget'!$M11,0)-EOMONTH(N$11,0))/30)+1,0),0)</f>
        <v>0</v>
      </c>
      <c r="O169" s="427">
        <f>-IF(AND(O$11&gt;=EOMONTH('Construction Budget'!$K11,0),O$11&lt;=EOMONTH('Construction Budget'!$M11,0)),('Construction Budget'!$G11+SUM($G169:N169))/ROUND(((EOMONTH('Construction Budget'!$M11,0)-EOMONTH(O$11,0))/30)+1,0),0)</f>
        <v>0</v>
      </c>
      <c r="P169" s="427">
        <f>-IF(AND(P$11&gt;=EOMONTH('Construction Budget'!$K11,0),P$11&lt;=EOMONTH('Construction Budget'!$M11,0)),('Construction Budget'!$G11+SUM($G169:O169))/ROUND(((EOMONTH('Construction Budget'!$M11,0)-EOMONTH(P$11,0))/30)+1,0),0)</f>
        <v>0</v>
      </c>
      <c r="Q169" s="427">
        <f>-IF(AND(Q$11&gt;=EOMONTH('Construction Budget'!$K11,0),Q$11&lt;=EOMONTH('Construction Budget'!$M11,0)),('Construction Budget'!$G11+SUM($G169:P169))/ROUND(((EOMONTH('Construction Budget'!$M11,0)-EOMONTH(Q$11,0))/30)+1,0),0)</f>
        <v>0</v>
      </c>
      <c r="R169" s="427">
        <f>-IF(AND(R$11&gt;=EOMONTH('Construction Budget'!$K11,0),R$11&lt;=EOMONTH('Construction Budget'!$M11,0)),('Construction Budget'!$G11+SUM($G169:Q169))/ROUND(((EOMONTH('Construction Budget'!$M11,0)-EOMONTH(R$11,0))/30)+1,0),0)</f>
        <v>0</v>
      </c>
      <c r="S169" s="427">
        <f>-IF(AND(S$11&gt;=EOMONTH('Construction Budget'!$K11,0),S$11&lt;=EOMONTH('Construction Budget'!$M11,0)),('Construction Budget'!$G11+SUM($G169:R169))/ROUND(((EOMONTH('Construction Budget'!$M11,0)-EOMONTH(S$11,0))/30)+1,0),0)</f>
        <v>0</v>
      </c>
      <c r="T169" s="427">
        <f>-IF(AND(T$11&gt;=EOMONTH('Construction Budget'!$K11,0),T$11&lt;=EOMONTH('Construction Budget'!$M11,0)),('Construction Budget'!$G11+SUM($G169:S169))/ROUND(((EOMONTH('Construction Budget'!$M11,0)-EOMONTH(T$11,0))/30)+1,0),0)</f>
        <v>0</v>
      </c>
      <c r="U169" s="427">
        <f>-IF(AND(U$11&gt;=EOMONTH('Construction Budget'!$K11,0),U$11&lt;=EOMONTH('Construction Budget'!$M11,0)),('Construction Budget'!$G11+SUM($G169:T169))/ROUND(((EOMONTH('Construction Budget'!$M11,0)-EOMONTH(U$11,0))/30)+1,0),0)</f>
        <v>0</v>
      </c>
      <c r="V169" s="427">
        <f>-IF(AND(V$11&gt;=EOMONTH('Construction Budget'!$K11,0),V$11&lt;=EOMONTH('Construction Budget'!$M11,0)),('Construction Budget'!$G11+SUM($G169:U169))/ROUND(((EOMONTH('Construction Budget'!$M11,0)-EOMONTH(V$11,0))/30)+1,0),0)</f>
        <v>0</v>
      </c>
      <c r="W169" s="427">
        <f>-IF(AND(W$11&gt;=EOMONTH('Construction Budget'!$K11,0),W$11&lt;=EOMONTH('Construction Budget'!$M11,0)),('Construction Budget'!$G11+SUM($G169:V169))/ROUND(((EOMONTH('Construction Budget'!$M11,0)-EOMONTH(W$11,0))/30)+1,0),0)</f>
        <v>0</v>
      </c>
      <c r="X169" s="427">
        <f>-IF(AND(X$11&gt;=EOMONTH('Construction Budget'!$K11,0),X$11&lt;=EOMONTH('Construction Budget'!$M11,0)),('Construction Budget'!$G11+SUM($G169:W169))/ROUND(((EOMONTH('Construction Budget'!$M11,0)-EOMONTH(X$11,0))/30)+1,0),0)</f>
        <v>0</v>
      </c>
      <c r="Y169" s="427">
        <f>-IF(AND(Y$11&gt;=EOMONTH('Construction Budget'!$K11,0),Y$11&lt;=EOMONTH('Construction Budget'!$M11,0)),('Construction Budget'!$G11+SUM($G169:X169))/ROUND(((EOMONTH('Construction Budget'!$M11,0)-EOMONTH(Y$11,0))/30)+1,0),0)</f>
        <v>0</v>
      </c>
      <c r="Z169" s="427">
        <f>-IF(AND(Z$11&gt;=EOMONTH('Construction Budget'!$K11,0),Z$11&lt;=EOMONTH('Construction Budget'!$M11,0)),('Construction Budget'!$G11+SUM($G169:Y169))/ROUND(((EOMONTH('Construction Budget'!$M11,0)-EOMONTH(Z$11,0))/30)+1,0),0)</f>
        <v>0</v>
      </c>
      <c r="AA169" s="427">
        <f>-IF(AND(AA$11&gt;=EOMONTH('Construction Budget'!$K11,0),AA$11&lt;=EOMONTH('Construction Budget'!$M11,0)),('Construction Budget'!$G11+SUM($G169:Z169))/ROUND(((EOMONTH('Construction Budget'!$M11,0)-EOMONTH(AA$11,0))/30)+1,0),0)</f>
        <v>0</v>
      </c>
      <c r="AB169" s="427">
        <f>-IF(AND(AB$11&gt;=EOMONTH('Construction Budget'!$K11,0),AB$11&lt;=EOMONTH('Construction Budget'!$M11,0)),('Construction Budget'!$G11+SUM($G169:AA169))/ROUND(((EOMONTH('Construction Budget'!$M11,0)-EOMONTH(AB$11,0))/30)+1,0),0)</f>
        <v>0</v>
      </c>
      <c r="AC169" s="427">
        <f>-IF(AND(AC$11&gt;=EOMONTH('Construction Budget'!$K11,0),AC$11&lt;=EOMONTH('Construction Budget'!$M11,0)),('Construction Budget'!$G11+SUM($G169:AB169))/ROUND(((EOMONTH('Construction Budget'!$M11,0)-EOMONTH(AC$11,0))/30)+1,0),0)</f>
        <v>0</v>
      </c>
      <c r="AD169" s="427">
        <f>-IF(AND(AD$11&gt;=EOMONTH('Construction Budget'!$K11,0),AD$11&lt;=EOMONTH('Construction Budget'!$M11,0)),('Construction Budget'!$G11+SUM($G169:AC169))/ROUND(((EOMONTH('Construction Budget'!$M11,0)-EOMONTH(AD$11,0))/30)+1,0),0)</f>
        <v>0</v>
      </c>
      <c r="AE169" s="427">
        <f>-IF(AND(AE$11&gt;=EOMONTH('Construction Budget'!$K11,0),AE$11&lt;=EOMONTH('Construction Budget'!$M11,0)),('Construction Budget'!$G11+SUM($G169:AD169))/ROUND(((EOMONTH('Construction Budget'!$M11,0)-EOMONTH(AE$11,0))/30)+1,0),0)</f>
        <v>0</v>
      </c>
      <c r="AF169" s="427">
        <f>-IF(AND(AF$11&gt;=EOMONTH('Construction Budget'!$K11,0),AF$11&lt;=EOMONTH('Construction Budget'!$M11,0)),('Construction Budget'!$G11+SUM($G169:AE169))/ROUND(((EOMONTH('Construction Budget'!$M11,0)-EOMONTH(AF$11,0))/30)+1,0),0)</f>
        <v>0</v>
      </c>
      <c r="AG169" s="427">
        <f>-IF(AND(AG$11&gt;=EOMONTH('Construction Budget'!$K11,0),AG$11&lt;=EOMONTH('Construction Budget'!$M11,0)),('Construction Budget'!$G11+SUM($G169:AF169))/ROUND(((EOMONTH('Construction Budget'!$M11,0)-EOMONTH(AG$11,0))/30)+1,0),0)</f>
        <v>0</v>
      </c>
      <c r="AH169" s="427">
        <f>-IF(AND(AH$11&gt;=EOMONTH('Construction Budget'!$K11,0),AH$11&lt;=EOMONTH('Construction Budget'!$M11,0)),('Construction Budget'!$G11+SUM($G169:AG169))/ROUND(((EOMONTH('Construction Budget'!$M11,0)-EOMONTH(AH$11,0))/30)+1,0),0)</f>
        <v>0</v>
      </c>
      <c r="AI169" s="427">
        <f>-IF(AND(AI$11&gt;=EOMONTH('Construction Budget'!$K11,0),AI$11&lt;=EOMONTH('Construction Budget'!$M11,0)),('Construction Budget'!$G11+SUM($G169:AH169))/ROUND(((EOMONTH('Construction Budget'!$M11,0)-EOMONTH(AI$11,0))/30)+1,0),0)</f>
        <v>0</v>
      </c>
      <c r="AJ169" s="427">
        <f>-IF(AND(AJ$11&gt;=EOMONTH('Construction Budget'!$K11,0),AJ$11&lt;=EOMONTH('Construction Budget'!$M11,0)),('Construction Budget'!$G11+SUM($G169:AI169))/ROUND(((EOMONTH('Construction Budget'!$M11,0)-EOMONTH(AJ$11,0))/30)+1,0),0)</f>
        <v>0</v>
      </c>
      <c r="AK169" s="427">
        <f>-IF(AND(AK$11&gt;=EOMONTH('Construction Budget'!$K11,0),AK$11&lt;=EOMONTH('Construction Budget'!$M11,0)),('Construction Budget'!$G11+SUM($G169:AJ169))/ROUND(((EOMONTH('Construction Budget'!$M11,0)-EOMONTH(AK$11,0))/30)+1,0),0)</f>
        <v>0</v>
      </c>
      <c r="AL169" s="427">
        <f>-IF(AND(AL$11&gt;=EOMONTH('Construction Budget'!$K11,0),AL$11&lt;=EOMONTH('Construction Budget'!$M11,0)),('Construction Budget'!$G11+SUM($G169:AK169))/ROUND(((EOMONTH('Construction Budget'!$M11,0)-EOMONTH(AL$11,0))/30)+1,0),0)</f>
        <v>0</v>
      </c>
      <c r="AM169" s="427">
        <f>-IF(AND(AM$11&gt;=EOMONTH('Construction Budget'!$K11,0),AM$11&lt;=EOMONTH('Construction Budget'!$M11,0)),('Construction Budget'!$G11+SUM($G169:AL169))/ROUND(((EOMONTH('Construction Budget'!$M11,0)-EOMONTH(AM$11,0))/30)+1,0),0)</f>
        <v>0</v>
      </c>
      <c r="AN169" s="427">
        <f>-IF(AND(AN$11&gt;=EOMONTH('Construction Budget'!$K11,0),AN$11&lt;=EOMONTH('Construction Budget'!$M11,0)),('Construction Budget'!$G11+SUM($G169:AM169))/ROUND(((EOMONTH('Construction Budget'!$M11,0)-EOMONTH(AN$11,0))/30)+1,0),0)</f>
        <v>0</v>
      </c>
      <c r="AO169" s="427">
        <f>-IF(AND(AO$11&gt;=EOMONTH('Construction Budget'!$K11,0),AO$11&lt;=EOMONTH('Construction Budget'!$M11,0)),('Construction Budget'!$G11+SUM($G169:AN169))/ROUND(((EOMONTH('Construction Budget'!$M11,0)-EOMONTH(AO$11,0))/30)+1,0),0)</f>
        <v>0</v>
      </c>
      <c r="AP169" s="427">
        <f>-IF(AND(AP$11&gt;=EOMONTH('Construction Budget'!$K11,0),AP$11&lt;=EOMONTH('Construction Budget'!$M11,0)),('Construction Budget'!$G11+SUM($G169:AO169))/ROUND(((EOMONTH('Construction Budget'!$M11,0)-EOMONTH(AP$11,0))/30)+1,0),0)</f>
        <v>0</v>
      </c>
      <c r="AQ169" s="427">
        <f>-IF(AND(AQ$11&gt;=EOMONTH('Construction Budget'!$K11,0),AQ$11&lt;=EOMONTH('Construction Budget'!$M11,0)),('Construction Budget'!$G11+SUM($G169:AP169))/ROUND(((EOMONTH('Construction Budget'!$M11,0)-EOMONTH(AQ$11,0))/30)+1,0),0)</f>
        <v>0</v>
      </c>
      <c r="AR169" s="427">
        <f>-IF(AND(AR$11&gt;=EOMONTH('Construction Budget'!$K11,0),AR$11&lt;=EOMONTH('Construction Budget'!$M11,0)),('Construction Budget'!$G11+SUM($G169:AQ169))/ROUND(((EOMONTH('Construction Budget'!$M11,0)-EOMONTH(AR$11,0))/30)+1,0),0)</f>
        <v>0</v>
      </c>
      <c r="AS169" s="427">
        <f>-IF(AND(AS$11&gt;=EOMONTH('Construction Budget'!$K11,0),AS$11&lt;=EOMONTH('Construction Budget'!$M11,0)),('Construction Budget'!$G11+SUM($G169:AR169))/ROUND(((EOMONTH('Construction Budget'!$M11,0)-EOMONTH(AS$11,0))/30)+1,0),0)</f>
        <v>0</v>
      </c>
      <c r="AT169" s="427">
        <f>-IF(AND(AT$11&gt;=EOMONTH('Construction Budget'!$K11,0),AT$11&lt;=EOMONTH('Construction Budget'!$M11,0)),('Construction Budget'!$G11+SUM($G169:AS169))/ROUND(((EOMONTH('Construction Budget'!$M11,0)-EOMONTH(AT$11,0))/30)+1,0),0)</f>
        <v>0</v>
      </c>
      <c r="AU169" s="427">
        <f>-IF(AND(AU$11&gt;=EOMONTH('Construction Budget'!$K11,0),AU$11&lt;=EOMONTH('Construction Budget'!$M11,0)),('Construction Budget'!$G11+SUM($G169:AT169))/ROUND(((EOMONTH('Construction Budget'!$M11,0)-EOMONTH(AU$11,0))/30)+1,0),0)</f>
        <v>0</v>
      </c>
      <c r="AV169" s="427">
        <f>-IF(AND(AV$11&gt;=EOMONTH('Construction Budget'!$K11,0),AV$11&lt;=EOMONTH('Construction Budget'!$M11,0)),('Construction Budget'!$G11+SUM($G169:AU169))/ROUND(((EOMONTH('Construction Budget'!$M11,0)-EOMONTH(AV$11,0))/30)+1,0),0)</f>
        <v>0</v>
      </c>
      <c r="AW169" s="427">
        <f>-IF(AND(AW$11&gt;=EOMONTH('Construction Budget'!$K11,0),AW$11&lt;=EOMONTH('Construction Budget'!$M11,0)),('Construction Budget'!$G11+SUM($G169:AV169))/ROUND(((EOMONTH('Construction Budget'!$M11,0)-EOMONTH(AW$11,0))/30)+1,0),0)</f>
        <v>0</v>
      </c>
      <c r="AX169" s="427">
        <f>-IF(AND(AX$11&gt;=EOMONTH('Construction Budget'!$K11,0),AX$11&lt;=EOMONTH('Construction Budget'!$M11,0)),('Construction Budget'!$G11+SUM($G169:AW169))/ROUND(((EOMONTH('Construction Budget'!$M11,0)-EOMONTH(AX$11,0))/30)+1,0),0)</f>
        <v>0</v>
      </c>
      <c r="AY169" s="427">
        <f>-IF(AND(AY$11&gt;=EOMONTH('Construction Budget'!$K11,0),AY$11&lt;=EOMONTH('Construction Budget'!$M11,0)),('Construction Budget'!$G11+SUM($G169:AX169))/ROUND(((EOMONTH('Construction Budget'!$M11,0)-EOMONTH(AY$11,0))/30)+1,0),0)</f>
        <v>0</v>
      </c>
      <c r="AZ169" s="427">
        <f>-IF(AND(AZ$11&gt;=EOMONTH('Construction Budget'!$K11,0),AZ$11&lt;=EOMONTH('Construction Budget'!$M11,0)),('Construction Budget'!$G11+SUM($G169:AY169))/ROUND(((EOMONTH('Construction Budget'!$M11,0)-EOMONTH(AZ$11,0))/30)+1,0),0)</f>
        <v>0</v>
      </c>
      <c r="BA169" s="427">
        <f>-IF(AND(BA$11&gt;=EOMONTH('Construction Budget'!$K11,0),BA$11&lt;=EOMONTH('Construction Budget'!$M11,0)),('Construction Budget'!$G11+SUM($G169:AZ169))/ROUND(((EOMONTH('Construction Budget'!$M11,0)-EOMONTH(BA$11,0))/30)+1,0),0)</f>
        <v>0</v>
      </c>
      <c r="BB169" s="427">
        <f>-IF(AND(BB$11&gt;=EOMONTH('Construction Budget'!$K11,0),BB$11&lt;=EOMONTH('Construction Budget'!$M11,0)),('Construction Budget'!$G11+SUM($G169:BA169))/ROUND(((EOMONTH('Construction Budget'!$M11,0)-EOMONTH(BB$11,0))/30)+1,0),0)</f>
        <v>0</v>
      </c>
      <c r="BC169" s="427">
        <f>-IF(AND(BC$11&gt;=EOMONTH('Construction Budget'!$K11,0),BC$11&lt;=EOMONTH('Construction Budget'!$M11,0)),('Construction Budget'!$G11+SUM($G169:BB169))/ROUND(((EOMONTH('Construction Budget'!$M11,0)-EOMONTH(BC$11,0))/30)+1,0),0)</f>
        <v>0</v>
      </c>
      <c r="BD169" s="427">
        <f>-IF(AND(BD$11&gt;=EOMONTH('Construction Budget'!$K11,0),BD$11&lt;=EOMONTH('Construction Budget'!$M11,0)),('Construction Budget'!$G11+SUM($G169:BC169))/ROUND(((EOMONTH('Construction Budget'!$M11,0)-EOMONTH(BD$11,0))/30)+1,0),0)</f>
        <v>0</v>
      </c>
      <c r="BE169" s="427">
        <f>-IF(AND(BE$11&gt;=EOMONTH('Construction Budget'!$K11,0),BE$11&lt;=EOMONTH('Construction Budget'!$M11,0)),('Construction Budget'!$G11+SUM($G169:BD169))/ROUND(((EOMONTH('Construction Budget'!$M11,0)-EOMONTH(BE$11,0))/30)+1,0),0)</f>
        <v>0</v>
      </c>
      <c r="BF169" s="427">
        <f>-IF(AND(BF$11&gt;=EOMONTH('Construction Budget'!$K11,0),BF$11&lt;=EOMONTH('Construction Budget'!$M11,0)),('Construction Budget'!$G11+SUM($G169:BE169))/ROUND(((EOMONTH('Construction Budget'!$M11,0)-EOMONTH(BF$11,0))/30)+1,0),0)</f>
        <v>0</v>
      </c>
      <c r="BG169" s="427">
        <f>-IF(AND(BG$11&gt;=EOMONTH('Construction Budget'!$K11,0),BG$11&lt;=EOMONTH('Construction Budget'!$M11,0)),('Construction Budget'!$G11+SUM($G169:BF169))/ROUND(((EOMONTH('Construction Budget'!$M11,0)-EOMONTH(BG$11,0))/30)+1,0),0)</f>
        <v>0</v>
      </c>
      <c r="BH169" s="427">
        <f>-IF(AND(BH$11&gt;=EOMONTH('Construction Budget'!$K11,0),BH$11&lt;=EOMONTH('Construction Budget'!$M11,0)),('Construction Budget'!$G11+SUM($G169:BG169))/ROUND(((EOMONTH('Construction Budget'!$M11,0)-EOMONTH(BH$11,0))/30)+1,0),0)</f>
        <v>0</v>
      </c>
      <c r="BI169" s="427">
        <f>-IF(AND(BI$11&gt;=EOMONTH('Construction Budget'!$K11,0),BI$11&lt;=EOMONTH('Construction Budget'!$M11,0)),('Construction Budget'!$G11+SUM($G169:BH169))/ROUND(((EOMONTH('Construction Budget'!$M11,0)-EOMONTH(BI$11,0))/30)+1,0),0)</f>
        <v>0</v>
      </c>
      <c r="BJ169" s="427">
        <f>-IF(AND(BJ$11&gt;=EOMONTH('Construction Budget'!$K11,0),BJ$11&lt;=EOMONTH('Construction Budget'!$M11,0)),('Construction Budget'!$G11+SUM($G169:BI169))/ROUND(((EOMONTH('Construction Budget'!$M11,0)-EOMONTH(BJ$11,0))/30)+1,0),0)</f>
        <v>0</v>
      </c>
      <c r="BK169" s="427">
        <f>-IF(AND(BK$11&gt;=EOMONTH('Construction Budget'!$K11,0),BK$11&lt;=EOMONTH('Construction Budget'!$M11,0)),('Construction Budget'!$G11+SUM($G169:BJ169))/ROUND(((EOMONTH('Construction Budget'!$M11,0)-EOMONTH(BK$11,0))/30)+1,0),0)</f>
        <v>0</v>
      </c>
      <c r="BL169" s="427">
        <f>-IF(AND(BL$11&gt;=EOMONTH('Construction Budget'!$K11,0),BL$11&lt;=EOMONTH('Construction Budget'!$M11,0)),('Construction Budget'!$G11+SUM($G169:BK169))/ROUND(((EOMONTH('Construction Budget'!$M11,0)-EOMONTH(BL$11,0))/30)+1,0),0)</f>
        <v>0</v>
      </c>
      <c r="BM169" s="427">
        <f>-IF(AND(BM$11&gt;=EOMONTH('Construction Budget'!$K11,0),BM$11&lt;=EOMONTH('Construction Budget'!$M11,0)),('Construction Budget'!$G11+SUM($G169:BL169))/ROUND(((EOMONTH('Construction Budget'!$M11,0)-EOMONTH(BM$11,0))/30)+1,0),0)</f>
        <v>0</v>
      </c>
      <c r="BN169" s="427">
        <f>-IF(AND(BN$11&gt;=EOMONTH('Construction Budget'!$K11,0),BN$11&lt;=EOMONTH('Construction Budget'!$M11,0)),('Construction Budget'!$G11+SUM($G169:BM169))/ROUND(((EOMONTH('Construction Budget'!$M11,0)-EOMONTH(BN$11,0))/30)+1,0),0)</f>
        <v>0</v>
      </c>
      <c r="BO169" s="427">
        <f>-IF(AND(BO$11&gt;=EOMONTH('Construction Budget'!$K11,0),BO$11&lt;=EOMONTH('Construction Budget'!$M11,0)),('Construction Budget'!$G11+SUM($G169:BN169))/ROUND(((EOMONTH('Construction Budget'!$M11,0)-EOMONTH(BO$11,0))/30)+1,0),0)</f>
        <v>0</v>
      </c>
      <c r="BP169" s="427">
        <f>-IF(AND(BP$11&gt;=EOMONTH('Construction Budget'!$K11,0),BP$11&lt;=EOMONTH('Construction Budget'!$M11,0)),('Construction Budget'!$G11+SUM($G169:BO169))/ROUND(((EOMONTH('Construction Budget'!$M11,0)-EOMONTH(BP$11,0))/30)+1,0),0)</f>
        <v>0</v>
      </c>
      <c r="BQ169" s="427">
        <f>-IF(AND(BQ$11&gt;=EOMONTH('Construction Budget'!$K11,0),BQ$11&lt;=EOMONTH('Construction Budget'!$M11,0)),('Construction Budget'!$G11+SUM($G169:BP169))/ROUND(((EOMONTH('Construction Budget'!$M11,0)-EOMONTH(BQ$11,0))/30)+1,0),0)</f>
        <v>0</v>
      </c>
      <c r="BR169" s="427">
        <f>-IF(AND(BR$11&gt;=EOMONTH('Construction Budget'!$K11,0),BR$11&lt;=EOMONTH('Construction Budget'!$M11,0)),('Construction Budget'!$G11+SUM($G169:BQ169))/ROUND(((EOMONTH('Construction Budget'!$M11,0)-EOMONTH(BR$11,0))/30)+1,0),0)</f>
        <v>0</v>
      </c>
      <c r="BS169" s="427">
        <f>-IF(AND(BS$11&gt;=EOMONTH('Construction Budget'!$K11,0),BS$11&lt;=EOMONTH('Construction Budget'!$M11,0)),('Construction Budget'!$G11+SUM($G169:BR169))/ROUND(((EOMONTH('Construction Budget'!$M11,0)-EOMONTH(BS$11,0))/30)+1,0),0)</f>
        <v>0</v>
      </c>
      <c r="BT169" s="427">
        <f>-IF(AND(BT$11&gt;=EOMONTH('Construction Budget'!$K11,0),BT$11&lt;=EOMONTH('Construction Budget'!$M11,0)),('Construction Budget'!$G11+SUM($G169:BS169))/ROUND(((EOMONTH('Construction Budget'!$M11,0)-EOMONTH(BT$11,0))/30)+1,0),0)</f>
        <v>0</v>
      </c>
      <c r="BU169" s="427">
        <f>-IF(AND(BU$11&gt;=EOMONTH('Construction Budget'!$K11,0),BU$11&lt;=EOMONTH('Construction Budget'!$M11,0)),('Construction Budget'!$G11+SUM($G169:BT169))/ROUND(((EOMONTH('Construction Budget'!$M11,0)-EOMONTH(BU$11,0))/30)+1,0),0)</f>
        <v>0</v>
      </c>
      <c r="BV169" s="427">
        <f>-IF(AND(BV$11&gt;=EOMONTH('Construction Budget'!$K11,0),BV$11&lt;=EOMONTH('Construction Budget'!$M11,0)),('Construction Budget'!$G11+SUM($G169:BU169))/ROUND(((EOMONTH('Construction Budget'!$M11,0)-EOMONTH(BV$11,0))/30)+1,0),0)</f>
        <v>0</v>
      </c>
      <c r="BW169" s="427">
        <f>-IF(AND(BW$11&gt;=EOMONTH('Construction Budget'!$K11,0),BW$11&lt;=EOMONTH('Construction Budget'!$M11,0)),('Construction Budget'!$G11+SUM($G169:BV169))/ROUND(((EOMONTH('Construction Budget'!$M11,0)-EOMONTH(BW$11,0))/30)+1,0),0)</f>
        <v>0</v>
      </c>
      <c r="BX169" s="427">
        <f>-IF(AND(BX$11&gt;=EOMONTH('Construction Budget'!$K11,0),BX$11&lt;=EOMONTH('Construction Budget'!$M11,0)),('Construction Budget'!$G11+SUM($G169:BW169))/ROUND(((EOMONTH('Construction Budget'!$M11,0)-EOMONTH(BX$11,0))/30)+1,0),0)</f>
        <v>0</v>
      </c>
      <c r="BY169" s="427">
        <f>-IF(AND(BY$11&gt;=EOMONTH('Construction Budget'!$K11,0),BY$11&lt;=EOMONTH('Construction Budget'!$M11,0)),('Construction Budget'!$G11+SUM($G169:BX169))/ROUND(((EOMONTH('Construction Budget'!$M11,0)-EOMONTH(BY$11,0))/30)+1,0),0)</f>
        <v>0</v>
      </c>
      <c r="BZ169" s="427">
        <f>-IF(AND(BZ$11&gt;=EOMONTH('Construction Budget'!$K11,0),BZ$11&lt;=EOMONTH('Construction Budget'!$M11,0)),('Construction Budget'!$G11+SUM($G169:BY169))/ROUND(((EOMONTH('Construction Budget'!$M11,0)-EOMONTH(BZ$11,0))/30)+1,0),0)</f>
        <v>0</v>
      </c>
      <c r="CA169" s="427">
        <f>-IF(AND(CA$11&gt;=EOMONTH('Construction Budget'!$K11,0),CA$11&lt;=EOMONTH('Construction Budget'!$M11,0)),('Construction Budget'!$G11+SUM($G169:BZ169))/ROUND(((EOMONTH('Construction Budget'!$M11,0)-EOMONTH(CA$11,0))/30)+1,0),0)</f>
        <v>0</v>
      </c>
      <c r="CB169" s="427">
        <f>-IF(AND(CB$11&gt;=EOMONTH('Construction Budget'!$K11,0),CB$11&lt;=EOMONTH('Construction Budget'!$M11,0)),('Construction Budget'!$G11+SUM($G169:CA169))/ROUND(((EOMONTH('Construction Budget'!$M11,0)-EOMONTH(CB$11,0))/30)+1,0),0)</f>
        <v>0</v>
      </c>
      <c r="CC169" s="427">
        <f>-IF(AND(CC$11&gt;=EOMONTH('Construction Budget'!$K11,0),CC$11&lt;=EOMONTH('Construction Budget'!$M11,0)),('Construction Budget'!$G11+SUM($G169:CB169))/ROUND(((EOMONTH('Construction Budget'!$M11,0)-EOMONTH(CC$11,0))/30)+1,0),0)</f>
        <v>0</v>
      </c>
      <c r="CD169" s="427">
        <f>-IF(AND(CD$11&gt;=EOMONTH('Construction Budget'!$K11,0),CD$11&lt;=EOMONTH('Construction Budget'!$M11,0)),('Construction Budget'!$G11+SUM($G169:CC169))/ROUND(((EOMONTH('Construction Budget'!$M11,0)-EOMONTH(CD$11,0))/30)+1,0),0)</f>
        <v>0</v>
      </c>
      <c r="CE169" s="427">
        <f>-IF(AND(CE$11&gt;=EOMONTH('Construction Budget'!$K11,0),CE$11&lt;=EOMONTH('Construction Budget'!$M11,0)),('Construction Budget'!$G11+SUM($G169:CD169))/ROUND(((EOMONTH('Construction Budget'!$M11,0)-EOMONTH(CE$11,0))/30)+1,0),0)</f>
        <v>0</v>
      </c>
      <c r="CF169" s="427">
        <f>-IF(AND(CF$11&gt;=EOMONTH('Construction Budget'!$K11,0),CF$11&lt;=EOMONTH('Construction Budget'!$M11,0)),('Construction Budget'!$G11+SUM($G169:CE169))/ROUND(((EOMONTH('Construction Budget'!$M11,0)-EOMONTH(CF$11,0))/30)+1,0),0)</f>
        <v>0</v>
      </c>
      <c r="CG169" s="427">
        <f>-IF(AND(CG$11&gt;=EOMONTH('Construction Budget'!$K11,0),CG$11&lt;=EOMONTH('Construction Budget'!$M11,0)),('Construction Budget'!$G11+SUM($G169:CF169))/ROUND(((EOMONTH('Construction Budget'!$M11,0)-EOMONTH(CG$11,0))/30)+1,0),0)</f>
        <v>0</v>
      </c>
      <c r="CH169" s="427">
        <f>-IF(AND(CH$11&gt;=EOMONTH('Construction Budget'!$K11,0),CH$11&lt;=EOMONTH('Construction Budget'!$M11,0)),('Construction Budget'!$G11+SUM($G169:CG169))/ROUND(((EOMONTH('Construction Budget'!$M11,0)-EOMONTH(CH$11,0))/30)+1,0),0)</f>
        <v>0</v>
      </c>
      <c r="CI169" s="427">
        <f>-IF(AND(CI$11&gt;=EOMONTH('Construction Budget'!$K11,0),CI$11&lt;=EOMONTH('Construction Budget'!$M11,0)),('Construction Budget'!$G11+SUM($G169:CH169))/ROUND(((EOMONTH('Construction Budget'!$M11,0)-EOMONTH(CI$11,0))/30)+1,0),0)</f>
        <v>0</v>
      </c>
      <c r="CJ169" s="427">
        <f>-IF(AND(CJ$11&gt;=EOMONTH('Construction Budget'!$K11,0),CJ$11&lt;=EOMONTH('Construction Budget'!$M11,0)),('Construction Budget'!$G11+SUM($G169:CI169))/ROUND(((EOMONTH('Construction Budget'!$M11,0)-EOMONTH(CJ$11,0))/30)+1,0),0)</f>
        <v>0</v>
      </c>
      <c r="CK169" s="427">
        <f>-IF(AND(CK$11&gt;=EOMONTH('Construction Budget'!$K11,0),CK$11&lt;=EOMONTH('Construction Budget'!$M11,0)),('Construction Budget'!$G11+SUM($G169:CJ169))/ROUND(((EOMONTH('Construction Budget'!$M11,0)-EOMONTH(CK$11,0))/30)+1,0),0)</f>
        <v>0</v>
      </c>
      <c r="CL169" s="427">
        <f>-IF(AND(CL$11&gt;=EOMONTH('Construction Budget'!$K11,0),CL$11&lt;=EOMONTH('Construction Budget'!$M11,0)),('Construction Budget'!$G11+SUM($G169:CK169))/ROUND(((EOMONTH('Construction Budget'!$M11,0)-EOMONTH(CL$11,0))/30)+1,0),0)</f>
        <v>0</v>
      </c>
      <c r="CM169" s="427">
        <f>-IF(AND(CM$11&gt;=EOMONTH('Construction Budget'!$K11,0),CM$11&lt;=EOMONTH('Construction Budget'!$M11,0)),('Construction Budget'!$G11+SUM($G169:CL169))/ROUND(((EOMONTH('Construction Budget'!$M11,0)-EOMONTH(CM$11,0))/30)+1,0),0)</f>
        <v>0</v>
      </c>
      <c r="CN169" s="427">
        <f>-IF(AND(CN$11&gt;=EOMONTH('Construction Budget'!$K11,0),CN$11&lt;=EOMONTH('Construction Budget'!$M11,0)),('Construction Budget'!$G11+SUM($G169:CM169))/ROUND(((EOMONTH('Construction Budget'!$M11,0)-EOMONTH(CN$11,0))/30)+1,0),0)</f>
        <v>0</v>
      </c>
      <c r="CO169" s="427">
        <f>-IF(AND(CO$11&gt;=EOMONTH('Construction Budget'!$K11,0),CO$11&lt;=EOMONTH('Construction Budget'!$M11,0)),('Construction Budget'!$G11+SUM($G169:CN169))/ROUND(((EOMONTH('Construction Budget'!$M11,0)-EOMONTH(CO$11,0))/30)+1,0),0)</f>
        <v>0</v>
      </c>
      <c r="CP169" s="427">
        <f>-IF(AND(CP$11&gt;=EOMONTH('Construction Budget'!$K11,0),CP$11&lt;=EOMONTH('Construction Budget'!$M11,0)),('Construction Budget'!$G11+SUM($G169:CO169))/ROUND(((EOMONTH('Construction Budget'!$M11,0)-EOMONTH(CP$11,0))/30)+1,0),0)</f>
        <v>0</v>
      </c>
      <c r="CQ169" s="427">
        <f>-IF(AND(CQ$11&gt;=EOMONTH('Construction Budget'!$K11,0),CQ$11&lt;=EOMONTH('Construction Budget'!$M11,0)),('Construction Budget'!$G11+SUM($G169:CP169))/ROUND(((EOMONTH('Construction Budget'!$M11,0)-EOMONTH(CQ$11,0))/30)+1,0),0)</f>
        <v>0</v>
      </c>
      <c r="CR169" s="427">
        <f>-IF(AND(CR$11&gt;=EOMONTH('Construction Budget'!$K11,0),CR$11&lt;=EOMONTH('Construction Budget'!$M11,0)),('Construction Budget'!$G11+SUM($G169:CQ169))/ROUND(((EOMONTH('Construction Budget'!$M11,0)-EOMONTH(CR$11,0))/30)+1,0),0)</f>
        <v>0</v>
      </c>
      <c r="CS169" s="427">
        <f>-IF(AND(CS$11&gt;=EOMONTH('Construction Budget'!$K11,0),CS$11&lt;=EOMONTH('Construction Budget'!$M11,0)),('Construction Budget'!$G11+SUM($G169:CR169))/ROUND(((EOMONTH('Construction Budget'!$M11,0)-EOMONTH(CS$11,0))/30)+1,0),0)</f>
        <v>0</v>
      </c>
      <c r="CT169" s="427">
        <f>-IF(AND(CT$11&gt;=EOMONTH('Construction Budget'!$K11,0),CT$11&lt;=EOMONTH('Construction Budget'!$M11,0)),('Construction Budget'!$G11+SUM($G169:CS169))/ROUND(((EOMONTH('Construction Budget'!$M11,0)-EOMONTH(CT$11,0))/30)+1,0),0)</f>
        <v>0</v>
      </c>
      <c r="CU169" s="427">
        <f>-IF(AND(CU$11&gt;=EOMONTH('Construction Budget'!$K11,0),CU$11&lt;=EOMONTH('Construction Budget'!$M11,0)),('Construction Budget'!$G11+SUM($G169:CT169))/ROUND(((EOMONTH('Construction Budget'!$M11,0)-EOMONTH(CU$11,0))/30)+1,0),0)</f>
        <v>0</v>
      </c>
      <c r="CV169" s="427">
        <f>-IF(AND(CV$11&gt;=EOMONTH('Construction Budget'!$K11,0),CV$11&lt;=EOMONTH('Construction Budget'!$M11,0)),('Construction Budget'!$G11+SUM($G169:CU169))/ROUND(((EOMONTH('Construction Budget'!$M11,0)-EOMONTH(CV$11,0))/30)+1,0),0)</f>
        <v>0</v>
      </c>
      <c r="CW169" s="427">
        <f>-IF(AND(CW$11&gt;=EOMONTH('Construction Budget'!$K11,0),CW$11&lt;=EOMONTH('Construction Budget'!$M11,0)),('Construction Budget'!$G11+SUM($G169:CV169))/ROUND(((EOMONTH('Construction Budget'!$M11,0)-EOMONTH(CW$11,0))/30)+1,0),0)</f>
        <v>0</v>
      </c>
      <c r="CX169" s="427">
        <f>-IF(AND(CX$11&gt;=EOMONTH('Construction Budget'!$K11,0),CX$11&lt;=EOMONTH('Construction Budget'!$M11,0)),('Construction Budget'!$G11+SUM($G169:CW169))/ROUND(((EOMONTH('Construction Budget'!$M11,0)-EOMONTH(CX$11,0))/30)+1,0),0)</f>
        <v>0</v>
      </c>
      <c r="CY169" s="427">
        <f>-IF(AND(CY$11&gt;=EOMONTH('Construction Budget'!$K11,0),CY$11&lt;=EOMONTH('Construction Budget'!$M11,0)),('Construction Budget'!$G11+SUM($G169:CX169))/ROUND(((EOMONTH('Construction Budget'!$M11,0)-EOMONTH(CY$11,0))/30)+1,0),0)</f>
        <v>0</v>
      </c>
      <c r="CZ169" s="427">
        <f>-IF(AND(CZ$11&gt;=EOMONTH('Construction Budget'!$K11,0),CZ$11&lt;=EOMONTH('Construction Budget'!$M11,0)),('Construction Budget'!$G11+SUM($G169:CY169))/ROUND(((EOMONTH('Construction Budget'!$M11,0)-EOMONTH(CZ$11,0))/30)+1,0),0)</f>
        <v>0</v>
      </c>
      <c r="DA169" s="427">
        <f>-IF(AND(DA$11&gt;=EOMONTH('Construction Budget'!$K11,0),DA$11&lt;=EOMONTH('Construction Budget'!$M11,0)),('Construction Budget'!$G11+SUM($G169:CZ169))/ROUND(((EOMONTH('Construction Budget'!$M11,0)-EOMONTH(DA$11,0))/30)+1,0),0)</f>
        <v>0</v>
      </c>
      <c r="DB169" s="427">
        <f>-IF(AND(DB$11&gt;=EOMONTH('Construction Budget'!$K11,0),DB$11&lt;=EOMONTH('Construction Budget'!$M11,0)),('Construction Budget'!$G11+SUM($G169:DA169))/ROUND(((EOMONTH('Construction Budget'!$M11,0)-EOMONTH(DB$11,0))/30)+1,0),0)</f>
        <v>0</v>
      </c>
      <c r="DC169" s="427">
        <f>-IF(AND(DC$11&gt;=EOMONTH('Construction Budget'!$K11,0),DC$11&lt;=EOMONTH('Construction Budget'!$M11,0)),('Construction Budget'!$G11+SUM($G169:DB169))/ROUND(((EOMONTH('Construction Budget'!$M11,0)-EOMONTH(DC$11,0))/30)+1,0),0)</f>
        <v>0</v>
      </c>
      <c r="DD169" s="427">
        <f>-IF(AND(DD$11&gt;=EOMONTH('Construction Budget'!$K11,0),DD$11&lt;=EOMONTH('Construction Budget'!$M11,0)),('Construction Budget'!$G11+SUM($G169:DC169))/ROUND(((EOMONTH('Construction Budget'!$M11,0)-EOMONTH(DD$11,0))/30)+1,0),0)</f>
        <v>0</v>
      </c>
      <c r="DE169" s="427">
        <f>-IF(AND(DE$11&gt;=EOMONTH('Construction Budget'!$K11,0),DE$11&lt;=EOMONTH('Construction Budget'!$M11,0)),('Construction Budget'!$G11+SUM($G169:DD169))/ROUND(((EOMONTH('Construction Budget'!$M11,0)-EOMONTH(DE$11,0))/30)+1,0),0)</f>
        <v>0</v>
      </c>
      <c r="DF169" s="427">
        <f>-IF(AND(DF$11&gt;=EOMONTH('Construction Budget'!$K11,0),DF$11&lt;=EOMONTH('Construction Budget'!$M11,0)),('Construction Budget'!$G11+SUM($G169:DE169))/ROUND(((EOMONTH('Construction Budget'!$M11,0)-EOMONTH(DF$11,0))/30)+1,0),0)</f>
        <v>0</v>
      </c>
      <c r="DG169" s="427">
        <f>-IF(AND(DG$11&gt;=EOMONTH('Construction Budget'!$K11,0),DG$11&lt;=EOMONTH('Construction Budget'!$M11,0)),('Construction Budget'!$G11+SUM($G169:DF169))/ROUND(((EOMONTH('Construction Budget'!$M11,0)-EOMONTH(DG$11,0))/30)+1,0),0)</f>
        <v>0</v>
      </c>
      <c r="DH169" s="427">
        <f>-IF(AND(DH$11&gt;=EOMONTH('Construction Budget'!$K11,0),DH$11&lt;=EOMONTH('Construction Budget'!$M11,0)),('Construction Budget'!$G11+SUM($G169:DG169))/ROUND(((EOMONTH('Construction Budget'!$M11,0)-EOMONTH(DH$11,0))/30)+1,0),0)</f>
        <v>0</v>
      </c>
      <c r="DI169" s="427">
        <f>-IF(AND(DI$11&gt;=EOMONTH('Construction Budget'!$K11,0),DI$11&lt;=EOMONTH('Construction Budget'!$M11,0)),('Construction Budget'!$G11+SUM($G169:DH169))/ROUND(((EOMONTH('Construction Budget'!$M11,0)-EOMONTH(DI$11,0))/30)+1,0),0)</f>
        <v>0</v>
      </c>
      <c r="DJ169" s="427">
        <f>-IF(AND(DJ$11&gt;=EOMONTH('Construction Budget'!$K11,0),DJ$11&lt;=EOMONTH('Construction Budget'!$M11,0)),('Construction Budget'!$G11+SUM($G169:DI169))/ROUND(((EOMONTH('Construction Budget'!$M11,0)-EOMONTH(DJ$11,0))/30)+1,0),0)</f>
        <v>0</v>
      </c>
      <c r="DK169" s="427">
        <f>-IF(AND(DK$11&gt;=EOMONTH('Construction Budget'!$K11,0),DK$11&lt;=EOMONTH('Construction Budget'!$M11,0)),('Construction Budget'!$G11+SUM($G169:DJ169))/ROUND(((EOMONTH('Construction Budget'!$M11,0)-EOMONTH(DK$11,0))/30)+1,0),0)</f>
        <v>0</v>
      </c>
      <c r="DL169" s="427">
        <f>-IF(AND(DL$11&gt;=EOMONTH('Construction Budget'!$K11,0),DL$11&lt;=EOMONTH('Construction Budget'!$M11,0)),('Construction Budget'!$G11+SUM($G169:DK169))/ROUND(((EOMONTH('Construction Budget'!$M11,0)-EOMONTH(DL$11,0))/30)+1,0),0)</f>
        <v>0</v>
      </c>
      <c r="DM169" s="427">
        <f>-IF(AND(DM$11&gt;=EOMONTH('Construction Budget'!$K11,0),DM$11&lt;=EOMONTH('Construction Budget'!$M11,0)),('Construction Budget'!$G11+SUM($G169:DL169))/ROUND(((EOMONTH('Construction Budget'!$M11,0)-EOMONTH(DM$11,0))/30)+1,0),0)</f>
        <v>0</v>
      </c>
      <c r="DN169" s="427">
        <f>-IF(AND(DN$11&gt;=EOMONTH('Construction Budget'!$K11,0),DN$11&lt;=EOMONTH('Construction Budget'!$M11,0)),('Construction Budget'!$G11+SUM($G169:DM169))/ROUND(((EOMONTH('Construction Budget'!$M11,0)-EOMONTH(DN$11,0))/30)+1,0),0)</f>
        <v>0</v>
      </c>
      <c r="DO169" s="427">
        <f>-IF(AND(DO$11&gt;=EOMONTH('Construction Budget'!$K11,0),DO$11&lt;=EOMONTH('Construction Budget'!$M11,0)),('Construction Budget'!$G11+SUM($G169:DN169))/ROUND(((EOMONTH('Construction Budget'!$M11,0)-EOMONTH(DO$11,0))/30)+1,0),0)</f>
        <v>0</v>
      </c>
      <c r="DP169" s="427">
        <f>-IF(AND(DP$11&gt;=EOMONTH('Construction Budget'!$K11,0),DP$11&lt;=EOMONTH('Construction Budget'!$M11,0)),('Construction Budget'!$G11+SUM($G169:DO169))/ROUND(((EOMONTH('Construction Budget'!$M11,0)-EOMONTH(DP$11,0))/30)+1,0),0)</f>
        <v>0</v>
      </c>
      <c r="DQ169" s="427">
        <f>-IF(AND(DQ$11&gt;=EOMONTH('Construction Budget'!$K11,0),DQ$11&lt;=EOMONTH('Construction Budget'!$M11,0)),('Construction Budget'!$G11+SUM($G169:DP169))/ROUND(((EOMONTH('Construction Budget'!$M11,0)-EOMONTH(DQ$11,0))/30)+1,0),0)</f>
        <v>0</v>
      </c>
      <c r="DR169" s="427">
        <f>-IF(AND(DR$11&gt;=EOMONTH('Construction Budget'!$K11,0),DR$11&lt;=EOMONTH('Construction Budget'!$M11,0)),('Construction Budget'!$G11+SUM($G169:DQ169))/ROUND(((EOMONTH('Construction Budget'!$M11,0)-EOMONTH(DR$11,0))/30)+1,0),0)</f>
        <v>0</v>
      </c>
      <c r="DS169" s="427">
        <f>-IF(AND(DS$11&gt;=EOMONTH('Construction Budget'!$K11,0),DS$11&lt;=EOMONTH('Construction Budget'!$M11,0)),('Construction Budget'!$G11+SUM($G169:DR169))/ROUND(((EOMONTH('Construction Budget'!$M11,0)-EOMONTH(DS$11,0))/30)+1,0),0)</f>
        <v>0</v>
      </c>
      <c r="DT169" s="427">
        <f>-IF(AND(DT$11&gt;=EOMONTH('Construction Budget'!$K11,0),DT$11&lt;=EOMONTH('Construction Budget'!$M11,0)),('Construction Budget'!$G11+SUM($G169:DS169))/ROUND(((EOMONTH('Construction Budget'!$M11,0)-EOMONTH(DT$11,0))/30)+1,0),0)</f>
        <v>0</v>
      </c>
      <c r="DU169" s="427">
        <f>-IF(AND(DU$11&gt;=EOMONTH('Construction Budget'!$K11,0),DU$11&lt;=EOMONTH('Construction Budget'!$M11,0)),('Construction Budget'!$G11+SUM($G169:DT169))/ROUND(((EOMONTH('Construction Budget'!$M11,0)-EOMONTH(DU$11,0))/30)+1,0),0)</f>
        <v>0</v>
      </c>
      <c r="DV169" s="427">
        <f>-IF(AND(DV$11&gt;=EOMONTH('Construction Budget'!$K11,0),DV$11&lt;=EOMONTH('Construction Budget'!$M11,0)),('Construction Budget'!$G11+SUM($G169:DU169))/ROUND(((EOMONTH('Construction Budget'!$M11,0)-EOMONTH(DV$11,0))/30)+1,0),0)</f>
        <v>0</v>
      </c>
      <c r="DW169" s="427">
        <f>-IF(AND(DW$11&gt;=EOMONTH('Construction Budget'!$K11,0),DW$11&lt;=EOMONTH('Construction Budget'!$M11,0)),('Construction Budget'!$G11+SUM($G169:DV169))/ROUND(((EOMONTH('Construction Budget'!$M11,0)-EOMONTH(DW$11,0))/30)+1,0),0)</f>
        <v>0</v>
      </c>
      <c r="DX169" s="427">
        <f>-IF(AND(DX$11&gt;=EOMONTH('Construction Budget'!$K11,0),DX$11&lt;=EOMONTH('Construction Budget'!$M11,0)),('Construction Budget'!$G11+SUM($G169:DW169))/ROUND(((EOMONTH('Construction Budget'!$M11,0)-EOMONTH(DX$11,0))/30)+1,0),0)</f>
        <v>0</v>
      </c>
      <c r="DY169" s="427">
        <f>-IF(AND(DY$11&gt;=EOMONTH('Construction Budget'!$K11,0),DY$11&lt;=EOMONTH('Construction Budget'!$M11,0)),('Construction Budget'!$G11+SUM($G169:DX169))/ROUND(((EOMONTH('Construction Budget'!$M11,0)-EOMONTH(DY$11,0))/30)+1,0),0)</f>
        <v>0</v>
      </c>
      <c r="DZ169" s="427">
        <f>-IF(AND(DZ$11&gt;=EOMONTH('Construction Budget'!$K11,0),DZ$11&lt;=EOMONTH('Construction Budget'!$M11,0)),('Construction Budget'!$G11+SUM($G169:DY169))/ROUND(((EOMONTH('Construction Budget'!$M11,0)-EOMONTH(DZ$11,0))/30)+1,0),0)</f>
        <v>0</v>
      </c>
      <c r="EA169" s="427">
        <f>-IF(AND(EA$11&gt;=EOMONTH('Construction Budget'!$K11,0),EA$11&lt;=EOMONTH('Construction Budget'!$M11,0)),('Construction Budget'!$G11+SUM($G169:DZ169))/ROUND(((EOMONTH('Construction Budget'!$M11,0)-EOMONTH(EA$11,0))/30)+1,0),0)</f>
        <v>0</v>
      </c>
      <c r="EB169" s="427">
        <f>-IF(AND(EB$11&gt;=EOMONTH('Construction Budget'!$K11,0),EB$11&lt;=EOMONTH('Construction Budget'!$M11,0)),('Construction Budget'!$G11+SUM($G169:EA169))/ROUND(((EOMONTH('Construction Budget'!$M11,0)-EOMONTH(EB$11,0))/30)+1,0),0)</f>
        <v>0</v>
      </c>
      <c r="EC169" s="427">
        <f>-IF(AND(EC$11&gt;=EOMONTH('Construction Budget'!$K11,0),EC$11&lt;=EOMONTH('Construction Budget'!$M11,0)),('Construction Budget'!$G11+SUM($G169:EB169))/ROUND(((EOMONTH('Construction Budget'!$M11,0)-EOMONTH(EC$11,0))/30)+1,0),0)</f>
        <v>0</v>
      </c>
      <c r="ED169" s="427">
        <f>-IF(AND(ED$11&gt;=EOMONTH('Construction Budget'!$K11,0),ED$11&lt;=EOMONTH('Construction Budget'!$M11,0)),('Construction Budget'!$G11+SUM($G169:EC169))/ROUND(((EOMONTH('Construction Budget'!$M11,0)-EOMONTH(ED$11,0))/30)+1,0),0)</f>
        <v>0</v>
      </c>
      <c r="EE169" s="427">
        <f>-IF(AND(EE$11&gt;=EOMONTH('Construction Budget'!$K11,0),EE$11&lt;=EOMONTH('Construction Budget'!$M11,0)),('Construction Budget'!$G11+SUM($G169:ED169))/ROUND(((EOMONTH('Construction Budget'!$M11,0)-EOMONTH(EE$11,0))/30)+1,0),0)</f>
        <v>0</v>
      </c>
      <c r="EF169" s="427">
        <f>-IF(AND(EF$11&gt;=EOMONTH('Construction Budget'!$K11,0),EF$11&lt;=EOMONTH('Construction Budget'!$M11,0)),('Construction Budget'!$G11+SUM($G169:EE169))/ROUND(((EOMONTH('Construction Budget'!$M11,0)-EOMONTH(EF$11,0))/30)+1,0),0)</f>
        <v>0</v>
      </c>
      <c r="EG169" s="427">
        <f>-IF(AND(EG$11&gt;=EOMONTH('Construction Budget'!$K11,0),EG$11&lt;=EOMONTH('Construction Budget'!$M11,0)),('Construction Budget'!$G11+SUM($G169:EF169))/ROUND(((EOMONTH('Construction Budget'!$M11,0)-EOMONTH(EG$11,0))/30)+1,0),0)</f>
        <v>0</v>
      </c>
      <c r="EH169" s="427">
        <f>-IF(AND(EH$11&gt;=EOMONTH('Construction Budget'!$K11,0),EH$11&lt;=EOMONTH('Construction Budget'!$M11,0)),('Construction Budget'!$G11+SUM($G169:EG169))/ROUND(((EOMONTH('Construction Budget'!$M11,0)-EOMONTH(EH$11,0))/30)+1,0),0)</f>
        <v>0</v>
      </c>
      <c r="EI169" s="427">
        <f>-IF(AND(EI$11&gt;=EOMONTH('Construction Budget'!$K11,0),EI$11&lt;=EOMONTH('Construction Budget'!$M11,0)),('Construction Budget'!$G11+SUM($G169:EH169))/ROUND(((EOMONTH('Construction Budget'!$M11,0)-EOMONTH(EI$11,0))/30)+1,0),0)</f>
        <v>0</v>
      </c>
      <c r="EJ169" s="427">
        <f>-IF(AND(EJ$11&gt;=EOMONTH('Construction Budget'!$K11,0),EJ$11&lt;=EOMONTH('Construction Budget'!$M11,0)),('Construction Budget'!$G11+SUM($G169:EI169))/ROUND(((EOMONTH('Construction Budget'!$M11,0)-EOMONTH(EJ$11,0))/30)+1,0),0)</f>
        <v>0</v>
      </c>
      <c r="EK169" s="427">
        <f>-IF(AND(EK$11&gt;=EOMONTH('Construction Budget'!$K11,0),EK$11&lt;=EOMONTH('Construction Budget'!$M11,0)),('Construction Budget'!$G11+SUM($G169:EJ169))/ROUND(((EOMONTH('Construction Budget'!$M11,0)-EOMONTH(EK$11,0))/30)+1,0),0)</f>
        <v>0</v>
      </c>
      <c r="EL169" s="427">
        <f>-IF(AND(EL$11&gt;=EOMONTH('Construction Budget'!$K11,0),EL$11&lt;=EOMONTH('Construction Budget'!$M11,0)),('Construction Budget'!$G11+SUM($G169:EK169))/ROUND(((EOMONTH('Construction Budget'!$M11,0)-EOMONTH(EL$11,0))/30)+1,0),0)</f>
        <v>0</v>
      </c>
      <c r="EM169" s="427">
        <f>-IF(AND(EM$11&gt;=EOMONTH('Construction Budget'!$K11,0),EM$11&lt;=EOMONTH('Construction Budget'!$M11,0)),('Construction Budget'!$G11+SUM($G169:EL169))/ROUND(((EOMONTH('Construction Budget'!$M11,0)-EOMONTH(EM$11,0))/30)+1,0),0)</f>
        <v>0</v>
      </c>
      <c r="EN169" s="427">
        <f>-IF(AND(EN$11&gt;=EOMONTH('Construction Budget'!$K11,0),EN$11&lt;=EOMONTH('Construction Budget'!$M11,0)),('Construction Budget'!$G11+SUM($G169:EM169))/ROUND(((EOMONTH('Construction Budget'!$M11,0)-EOMONTH(EN$11,0))/30)+1,0),0)</f>
        <v>0</v>
      </c>
      <c r="EO169" s="427">
        <f>-IF(AND(EO$11&gt;=EOMONTH('Construction Budget'!$K11,0),EO$11&lt;=EOMONTH('Construction Budget'!$M11,0)),('Construction Budget'!$G11+SUM($G169:EN169))/ROUND(((EOMONTH('Construction Budget'!$M11,0)-EOMONTH(EO$11,0))/30)+1,0),0)</f>
        <v>0</v>
      </c>
      <c r="EP169" s="427">
        <f>-IF(AND(EP$11&gt;=EOMONTH('Construction Budget'!$K11,0),EP$11&lt;=EOMONTH('Construction Budget'!$M11,0)),('Construction Budget'!$G11+SUM($G169:EO169))/ROUND(((EOMONTH('Construction Budget'!$M11,0)-EOMONTH(EP$11,0))/30)+1,0),0)</f>
        <v>0</v>
      </c>
      <c r="EQ169" s="427">
        <f>-IF(AND(EQ$11&gt;=EOMONTH('Construction Budget'!$K11,0),EQ$11&lt;=EOMONTH('Construction Budget'!$M11,0)),('Construction Budget'!$G11+SUM($G169:EP169))/ROUND(((EOMONTH('Construction Budget'!$M11,0)-EOMONTH(EQ$11,0))/30)+1,0),0)</f>
        <v>0</v>
      </c>
      <c r="ER169" s="427">
        <f>-IF(AND(ER$11&gt;=EOMONTH('Construction Budget'!$K11,0),ER$11&lt;=EOMONTH('Construction Budget'!$M11,0)),('Construction Budget'!$G11+SUM($G169:EQ169))/ROUND(((EOMONTH('Construction Budget'!$M11,0)-EOMONTH(ER$11,0))/30)+1,0),0)</f>
        <v>0</v>
      </c>
      <c r="ES169" s="427">
        <f>-IF(AND(ES$11&gt;=EOMONTH('Construction Budget'!$K11,0),ES$11&lt;=EOMONTH('Construction Budget'!$M11,0)),('Construction Budget'!$G11+SUM($G169:ER169))/ROUND(((EOMONTH('Construction Budget'!$M11,0)-EOMONTH(ES$11,0))/30)+1,0),0)</f>
        <v>0</v>
      </c>
      <c r="ET169" s="427">
        <f>-IF(AND(ET$11&gt;=EOMONTH('Construction Budget'!$K11,0),ET$11&lt;=EOMONTH('Construction Budget'!$M11,0)),('Construction Budget'!$G11+SUM($G169:ES169))/ROUND(((EOMONTH('Construction Budget'!$M11,0)-EOMONTH(ET$11,0))/30)+1,0),0)</f>
        <v>0</v>
      </c>
      <c r="EU169" s="427">
        <f>-IF(AND(EU$11&gt;=EOMONTH('Construction Budget'!$K11,0),EU$11&lt;=EOMONTH('Construction Budget'!$M11,0)),('Construction Budget'!$G11+SUM($G169:ET169))/ROUND(((EOMONTH('Construction Budget'!$M11,0)-EOMONTH(EU$11,0))/30)+1,0),0)</f>
        <v>0</v>
      </c>
      <c r="EV169" s="427">
        <f>-IF(AND(EV$11&gt;=EOMONTH('Construction Budget'!$K11,0),EV$11&lt;=EOMONTH('Construction Budget'!$M11,0)),('Construction Budget'!$G11+SUM($G169:EU169))/ROUND(((EOMONTH('Construction Budget'!$M11,0)-EOMONTH(EV$11,0))/30)+1,0),0)</f>
        <v>0</v>
      </c>
      <c r="EW169" s="427">
        <f>-IF(AND(EW$11&gt;=EOMONTH('Construction Budget'!$K11,0),EW$11&lt;=EOMONTH('Construction Budget'!$M11,0)),('Construction Budget'!$G11+SUM($G169:EV169))/ROUND(((EOMONTH('Construction Budget'!$M11,0)-EOMONTH(EW$11,0))/30)+1,0),0)</f>
        <v>0</v>
      </c>
      <c r="EX169" s="427">
        <f>-IF(AND(EX$11&gt;=EOMONTH('Construction Budget'!$K11,0),EX$11&lt;=EOMONTH('Construction Budget'!$M11,0)),('Construction Budget'!$G11+SUM($G169:EW169))/ROUND(((EOMONTH('Construction Budget'!$M11,0)-EOMONTH(EX$11,0))/30)+1,0),0)</f>
        <v>0</v>
      </c>
      <c r="EY169" s="427">
        <f>-IF(AND(EY$11&gt;=EOMONTH('Construction Budget'!$K11,0),EY$11&lt;=EOMONTH('Construction Budget'!$M11,0)),('Construction Budget'!$G11+SUM($G169:EX169))/ROUND(((EOMONTH('Construction Budget'!$M11,0)-EOMONTH(EY$11,0))/30)+1,0),0)</f>
        <v>0</v>
      </c>
      <c r="EZ169" s="427">
        <f>-IF(AND(EZ$11&gt;=EOMONTH('Construction Budget'!$K11,0),EZ$11&lt;=EOMONTH('Construction Budget'!$M11,0)),('Construction Budget'!$G11+SUM($G169:EY169))/ROUND(((EOMONTH('Construction Budget'!$M11,0)-EOMONTH(EZ$11,0))/30)+1,0),0)</f>
        <v>0</v>
      </c>
      <c r="FA169" s="427">
        <f>-IF(AND(FA$11&gt;=EOMONTH('Construction Budget'!$K11,0),FA$11&lt;=EOMONTH('Construction Budget'!$M11,0)),('Construction Budget'!$G11+SUM($G169:EZ169))/ROUND(((EOMONTH('Construction Budget'!$M11,0)-EOMONTH(FA$11,0))/30)+1,0),0)</f>
        <v>0</v>
      </c>
      <c r="FB169" s="427">
        <f>-IF(AND(FB$11&gt;=EOMONTH('Construction Budget'!$K11,0),FB$11&lt;=EOMONTH('Construction Budget'!$M11,0)),('Construction Budget'!$G11+SUM($G169:FA169))/ROUND(((EOMONTH('Construction Budget'!$M11,0)-EOMONTH(FB$11,0))/30)+1,0),0)</f>
        <v>0</v>
      </c>
      <c r="FC169" s="427">
        <f>-IF(AND(FC$11&gt;=EOMONTH('Construction Budget'!$K11,0),FC$11&lt;=EOMONTH('Construction Budget'!$M11,0)),('Construction Budget'!$G11+SUM($G169:FB169))/ROUND(((EOMONTH('Construction Budget'!$M11,0)-EOMONTH(FC$11,0))/30)+1,0),0)</f>
        <v>0</v>
      </c>
      <c r="FD169" s="427">
        <f>-IF(AND(FD$11&gt;=EOMONTH('Construction Budget'!$K11,0),FD$11&lt;=EOMONTH('Construction Budget'!$M11,0)),('Construction Budget'!$G11+SUM($G169:FC169))/ROUND(((EOMONTH('Construction Budget'!$M11,0)-EOMONTH(FD$11,0))/30)+1,0),0)</f>
        <v>0</v>
      </c>
      <c r="FE169" s="427">
        <f>-IF(AND(FE$11&gt;=EOMONTH('Construction Budget'!$K11,0),FE$11&lt;=EOMONTH('Construction Budget'!$M11,0)),('Construction Budget'!$G11+SUM($G169:FD169))/ROUND(((EOMONTH('Construction Budget'!$M11,0)-EOMONTH(FE$11,0))/30)+1,0),0)</f>
        <v>0</v>
      </c>
      <c r="FF169" s="427">
        <f>-IF(AND(FF$11&gt;=EOMONTH('Construction Budget'!$K11,0),FF$11&lt;=EOMONTH('Construction Budget'!$M11,0)),('Construction Budget'!$G11+SUM($G169:FE169))/ROUND(((EOMONTH('Construction Budget'!$M11,0)-EOMONTH(FF$11,0))/30)+1,0),0)</f>
        <v>0</v>
      </c>
      <c r="FG169" s="427">
        <f>-IF(AND(FG$11&gt;=EOMONTH('Construction Budget'!$K11,0),FG$11&lt;=EOMONTH('Construction Budget'!$M11,0)),('Construction Budget'!$G11+SUM($G169:FF169))/ROUND(((EOMONTH('Construction Budget'!$M11,0)-EOMONTH(FG$11,0))/30)+1,0),0)</f>
        <v>0</v>
      </c>
      <c r="FH169" s="427">
        <f>-IF(AND(FH$11&gt;=EOMONTH('Construction Budget'!$K11,0),FH$11&lt;=EOMONTH('Construction Budget'!$M11,0)),('Construction Budget'!$G11+SUM($G169:FG169))/ROUND(((EOMONTH('Construction Budget'!$M11,0)-EOMONTH(FH$11,0))/30)+1,0),0)</f>
        <v>0</v>
      </c>
      <c r="FI169" s="427">
        <f>-IF(AND(FI$11&gt;=EOMONTH('Construction Budget'!$K11,0),FI$11&lt;=EOMONTH('Construction Budget'!$M11,0)),('Construction Budget'!$G11+SUM($G169:FH169))/ROUND(((EOMONTH('Construction Budget'!$M11,0)-EOMONTH(FI$11,0))/30)+1,0),0)</f>
        <v>0</v>
      </c>
      <c r="FJ169" s="427">
        <f>-IF(AND(FJ$11&gt;=EOMONTH('Construction Budget'!$K11,0),FJ$11&lt;=EOMONTH('Construction Budget'!$M11,0)),('Construction Budget'!$G11+SUM($G169:FI169))/ROUND(((EOMONTH('Construction Budget'!$M11,0)-EOMONTH(FJ$11,0))/30)+1,0),0)</f>
        <v>0</v>
      </c>
      <c r="FK169" s="427">
        <f>-IF(AND(FK$11&gt;=EOMONTH('Construction Budget'!$K11,0),FK$11&lt;=EOMONTH('Construction Budget'!$M11,0)),('Construction Budget'!$G11+SUM($G169:FJ169))/ROUND(((EOMONTH('Construction Budget'!$M11,0)-EOMONTH(FK$11,0))/30)+1,0),0)</f>
        <v>0</v>
      </c>
      <c r="FL169" s="427">
        <f>-IF(AND(FL$11&gt;=EOMONTH('Construction Budget'!$K11,0),FL$11&lt;=EOMONTH('Construction Budget'!$M11,0)),('Construction Budget'!$G11+SUM($G169:FK169))/ROUND(((EOMONTH('Construction Budget'!$M11,0)-EOMONTH(FL$11,0))/30)+1,0),0)</f>
        <v>0</v>
      </c>
      <c r="FM169" s="427">
        <f>-IF(AND(FM$11&gt;=EOMONTH('Construction Budget'!$K11,0),FM$11&lt;=EOMONTH('Construction Budget'!$M11,0)),('Construction Budget'!$G11+SUM($G169:FL169))/ROUND(((EOMONTH('Construction Budget'!$M11,0)-EOMONTH(FM$11,0))/30)+1,0),0)</f>
        <v>0</v>
      </c>
      <c r="FN169" s="427">
        <f>-IF(AND(FN$11&gt;=EOMONTH('Construction Budget'!$K11,0),FN$11&lt;=EOMONTH('Construction Budget'!$M11,0)),('Construction Budget'!$G11+SUM($G169:FM169))/ROUND(((EOMONTH('Construction Budget'!$M11,0)-EOMONTH(FN$11,0))/30)+1,0),0)</f>
        <v>0</v>
      </c>
      <c r="FO169" s="427">
        <f>-IF(AND(FO$11&gt;=EOMONTH('Construction Budget'!$K11,0),FO$11&lt;=EOMONTH('Construction Budget'!$M11,0)),('Construction Budget'!$G11+SUM($G169:FN169))/ROUND(((EOMONTH('Construction Budget'!$M11,0)-EOMONTH(FO$11,0))/30)+1,0),0)</f>
        <v>0</v>
      </c>
      <c r="FP169" s="427">
        <f>-IF(AND(FP$11&gt;=EOMONTH('Construction Budget'!$K11,0),FP$11&lt;=EOMONTH('Construction Budget'!$M11,0)),('Construction Budget'!$G11+SUM($G169:FO169))/ROUND(((EOMONTH('Construction Budget'!$M11,0)-EOMONTH(FP$11,0))/30)+1,0),0)</f>
        <v>0</v>
      </c>
      <c r="FQ169" s="427">
        <f>-IF(AND(FQ$11&gt;=EOMONTH('Construction Budget'!$K11,0),FQ$11&lt;=EOMONTH('Construction Budget'!$M11,0)),('Construction Budget'!$G11+SUM($G169:FP169))/ROUND(((EOMONTH('Construction Budget'!$M11,0)-EOMONTH(FQ$11,0))/30)+1,0),0)</f>
        <v>0</v>
      </c>
      <c r="FR169" s="427">
        <f>-IF(AND(FR$11&gt;=EOMONTH('Construction Budget'!$K11,0),FR$11&lt;=EOMONTH('Construction Budget'!$M11,0)),('Construction Budget'!$G11+SUM($G169:FQ169))/ROUND(((EOMONTH('Construction Budget'!$M11,0)-EOMONTH(FR$11,0))/30)+1,0),0)</f>
        <v>0</v>
      </c>
      <c r="FS169" s="427">
        <f>-IF(AND(FS$11&gt;=EOMONTH('Construction Budget'!$K11,0),FS$11&lt;=EOMONTH('Construction Budget'!$M11,0)),('Construction Budget'!$G11+SUM($G169:FR169))/ROUND(((EOMONTH('Construction Budget'!$M11,0)-EOMONTH(FS$11,0))/30)+1,0),0)</f>
        <v>0</v>
      </c>
      <c r="FT169" s="427">
        <f>-IF(AND(FT$11&gt;=EOMONTH('Construction Budget'!$K11,0),FT$11&lt;=EOMONTH('Construction Budget'!$M11,0)),('Construction Budget'!$G11+SUM($G169:FS169))/ROUND(((EOMONTH('Construction Budget'!$M11,0)-EOMONTH(FT$11,0))/30)+1,0),0)</f>
        <v>0</v>
      </c>
      <c r="FU169" s="43"/>
      <c r="FV169" s="34"/>
      <c r="FW169" s="34"/>
      <c r="FX169" s="34"/>
      <c r="FY169" s="34"/>
      <c r="FZ169" s="34"/>
    </row>
    <row r="170" spans="1:182" s="89" customFormat="1" ht="13.5" hidden="1" outlineLevel="1" x14ac:dyDescent="0.25">
      <c r="A170" s="498"/>
      <c r="B170" s="50" t="s">
        <v>358</v>
      </c>
      <c r="C170" s="34"/>
      <c r="D170" s="34"/>
      <c r="E170" s="34"/>
      <c r="F170" s="429">
        <f>SUM(H170:FT170)</f>
        <v>-2500000</v>
      </c>
      <c r="G170" s="34"/>
      <c r="H170" s="431">
        <f t="shared" ref="H170:AM170" si="226">SUM(H169:H169)</f>
        <v>0</v>
      </c>
      <c r="I170" s="431">
        <f t="shared" si="226"/>
        <v>0</v>
      </c>
      <c r="J170" s="431">
        <f t="shared" si="226"/>
        <v>-2500000</v>
      </c>
      <c r="K170" s="431">
        <f t="shared" si="226"/>
        <v>0</v>
      </c>
      <c r="L170" s="431">
        <f t="shared" si="226"/>
        <v>0</v>
      </c>
      <c r="M170" s="431">
        <f t="shared" si="226"/>
        <v>0</v>
      </c>
      <c r="N170" s="431">
        <f t="shared" si="226"/>
        <v>0</v>
      </c>
      <c r="O170" s="431">
        <f t="shared" si="226"/>
        <v>0</v>
      </c>
      <c r="P170" s="431">
        <f t="shared" si="226"/>
        <v>0</v>
      </c>
      <c r="Q170" s="431">
        <f t="shared" si="226"/>
        <v>0</v>
      </c>
      <c r="R170" s="431">
        <f t="shared" si="226"/>
        <v>0</v>
      </c>
      <c r="S170" s="431">
        <f t="shared" si="226"/>
        <v>0</v>
      </c>
      <c r="T170" s="431">
        <f t="shared" si="226"/>
        <v>0</v>
      </c>
      <c r="U170" s="431">
        <f t="shared" si="226"/>
        <v>0</v>
      </c>
      <c r="V170" s="431">
        <f t="shared" si="226"/>
        <v>0</v>
      </c>
      <c r="W170" s="431">
        <f t="shared" si="226"/>
        <v>0</v>
      </c>
      <c r="X170" s="431">
        <f t="shared" si="226"/>
        <v>0</v>
      </c>
      <c r="Y170" s="431">
        <f t="shared" si="226"/>
        <v>0</v>
      </c>
      <c r="Z170" s="431">
        <f t="shared" si="226"/>
        <v>0</v>
      </c>
      <c r="AA170" s="431">
        <f t="shared" si="226"/>
        <v>0</v>
      </c>
      <c r="AB170" s="431">
        <f t="shared" si="226"/>
        <v>0</v>
      </c>
      <c r="AC170" s="431">
        <f t="shared" si="226"/>
        <v>0</v>
      </c>
      <c r="AD170" s="431">
        <f t="shared" si="226"/>
        <v>0</v>
      </c>
      <c r="AE170" s="431">
        <f t="shared" si="226"/>
        <v>0</v>
      </c>
      <c r="AF170" s="431">
        <f t="shared" si="226"/>
        <v>0</v>
      </c>
      <c r="AG170" s="431">
        <f t="shared" si="226"/>
        <v>0</v>
      </c>
      <c r="AH170" s="431">
        <f t="shared" si="226"/>
        <v>0</v>
      </c>
      <c r="AI170" s="431">
        <f t="shared" si="226"/>
        <v>0</v>
      </c>
      <c r="AJ170" s="431">
        <f t="shared" si="226"/>
        <v>0</v>
      </c>
      <c r="AK170" s="431">
        <f t="shared" si="226"/>
        <v>0</v>
      </c>
      <c r="AL170" s="431">
        <f t="shared" si="226"/>
        <v>0</v>
      </c>
      <c r="AM170" s="431">
        <f t="shared" si="226"/>
        <v>0</v>
      </c>
      <c r="AN170" s="431">
        <f t="shared" ref="AN170:BS170" si="227">SUM(AN169:AN169)</f>
        <v>0</v>
      </c>
      <c r="AO170" s="431">
        <f t="shared" si="227"/>
        <v>0</v>
      </c>
      <c r="AP170" s="431">
        <f t="shared" si="227"/>
        <v>0</v>
      </c>
      <c r="AQ170" s="431">
        <f t="shared" si="227"/>
        <v>0</v>
      </c>
      <c r="AR170" s="431">
        <f t="shared" si="227"/>
        <v>0</v>
      </c>
      <c r="AS170" s="431">
        <f t="shared" si="227"/>
        <v>0</v>
      </c>
      <c r="AT170" s="431">
        <f t="shared" si="227"/>
        <v>0</v>
      </c>
      <c r="AU170" s="431">
        <f t="shared" si="227"/>
        <v>0</v>
      </c>
      <c r="AV170" s="431">
        <f t="shared" si="227"/>
        <v>0</v>
      </c>
      <c r="AW170" s="431">
        <f t="shared" si="227"/>
        <v>0</v>
      </c>
      <c r="AX170" s="431">
        <f t="shared" si="227"/>
        <v>0</v>
      </c>
      <c r="AY170" s="431">
        <f t="shared" si="227"/>
        <v>0</v>
      </c>
      <c r="AZ170" s="431">
        <f t="shared" si="227"/>
        <v>0</v>
      </c>
      <c r="BA170" s="431">
        <f t="shared" si="227"/>
        <v>0</v>
      </c>
      <c r="BB170" s="431">
        <f t="shared" si="227"/>
        <v>0</v>
      </c>
      <c r="BC170" s="431">
        <f t="shared" si="227"/>
        <v>0</v>
      </c>
      <c r="BD170" s="431">
        <f t="shared" si="227"/>
        <v>0</v>
      </c>
      <c r="BE170" s="431">
        <f t="shared" si="227"/>
        <v>0</v>
      </c>
      <c r="BF170" s="431">
        <f t="shared" si="227"/>
        <v>0</v>
      </c>
      <c r="BG170" s="431">
        <f t="shared" si="227"/>
        <v>0</v>
      </c>
      <c r="BH170" s="431">
        <f t="shared" si="227"/>
        <v>0</v>
      </c>
      <c r="BI170" s="431">
        <f t="shared" si="227"/>
        <v>0</v>
      </c>
      <c r="BJ170" s="431">
        <f t="shared" si="227"/>
        <v>0</v>
      </c>
      <c r="BK170" s="431">
        <f t="shared" si="227"/>
        <v>0</v>
      </c>
      <c r="BL170" s="431">
        <f t="shared" si="227"/>
        <v>0</v>
      </c>
      <c r="BM170" s="431">
        <f t="shared" si="227"/>
        <v>0</v>
      </c>
      <c r="BN170" s="431">
        <f t="shared" si="227"/>
        <v>0</v>
      </c>
      <c r="BO170" s="431">
        <f t="shared" si="227"/>
        <v>0</v>
      </c>
      <c r="BP170" s="431">
        <f t="shared" si="227"/>
        <v>0</v>
      </c>
      <c r="BQ170" s="431">
        <f t="shared" si="227"/>
        <v>0</v>
      </c>
      <c r="BR170" s="431">
        <f t="shared" si="227"/>
        <v>0</v>
      </c>
      <c r="BS170" s="431">
        <f t="shared" si="227"/>
        <v>0</v>
      </c>
      <c r="BT170" s="431">
        <f t="shared" ref="BT170:CY170" si="228">SUM(BT169:BT169)</f>
        <v>0</v>
      </c>
      <c r="BU170" s="431">
        <f t="shared" si="228"/>
        <v>0</v>
      </c>
      <c r="BV170" s="431">
        <f t="shared" si="228"/>
        <v>0</v>
      </c>
      <c r="BW170" s="431">
        <f t="shared" si="228"/>
        <v>0</v>
      </c>
      <c r="BX170" s="431">
        <f t="shared" si="228"/>
        <v>0</v>
      </c>
      <c r="BY170" s="431">
        <f t="shared" si="228"/>
        <v>0</v>
      </c>
      <c r="BZ170" s="431">
        <f t="shared" si="228"/>
        <v>0</v>
      </c>
      <c r="CA170" s="431">
        <f t="shared" si="228"/>
        <v>0</v>
      </c>
      <c r="CB170" s="431">
        <f t="shared" si="228"/>
        <v>0</v>
      </c>
      <c r="CC170" s="431">
        <f t="shared" si="228"/>
        <v>0</v>
      </c>
      <c r="CD170" s="431">
        <f t="shared" si="228"/>
        <v>0</v>
      </c>
      <c r="CE170" s="431">
        <f t="shared" si="228"/>
        <v>0</v>
      </c>
      <c r="CF170" s="431">
        <f t="shared" si="228"/>
        <v>0</v>
      </c>
      <c r="CG170" s="431">
        <f t="shared" si="228"/>
        <v>0</v>
      </c>
      <c r="CH170" s="431">
        <f t="shared" si="228"/>
        <v>0</v>
      </c>
      <c r="CI170" s="431">
        <f t="shared" si="228"/>
        <v>0</v>
      </c>
      <c r="CJ170" s="431">
        <f t="shared" si="228"/>
        <v>0</v>
      </c>
      <c r="CK170" s="431">
        <f t="shared" si="228"/>
        <v>0</v>
      </c>
      <c r="CL170" s="431">
        <f t="shared" si="228"/>
        <v>0</v>
      </c>
      <c r="CM170" s="431">
        <f t="shared" si="228"/>
        <v>0</v>
      </c>
      <c r="CN170" s="431">
        <f t="shared" si="228"/>
        <v>0</v>
      </c>
      <c r="CO170" s="431">
        <f t="shared" si="228"/>
        <v>0</v>
      </c>
      <c r="CP170" s="431">
        <f t="shared" si="228"/>
        <v>0</v>
      </c>
      <c r="CQ170" s="431">
        <f t="shared" si="228"/>
        <v>0</v>
      </c>
      <c r="CR170" s="431">
        <f t="shared" si="228"/>
        <v>0</v>
      </c>
      <c r="CS170" s="431">
        <f t="shared" si="228"/>
        <v>0</v>
      </c>
      <c r="CT170" s="431">
        <f t="shared" si="228"/>
        <v>0</v>
      </c>
      <c r="CU170" s="431">
        <f t="shared" si="228"/>
        <v>0</v>
      </c>
      <c r="CV170" s="431">
        <f t="shared" si="228"/>
        <v>0</v>
      </c>
      <c r="CW170" s="431">
        <f t="shared" si="228"/>
        <v>0</v>
      </c>
      <c r="CX170" s="431">
        <f t="shared" si="228"/>
        <v>0</v>
      </c>
      <c r="CY170" s="431">
        <f t="shared" si="228"/>
        <v>0</v>
      </c>
      <c r="CZ170" s="431">
        <f t="shared" ref="CZ170:EE170" si="229">SUM(CZ169:CZ169)</f>
        <v>0</v>
      </c>
      <c r="DA170" s="431">
        <f t="shared" si="229"/>
        <v>0</v>
      </c>
      <c r="DB170" s="431">
        <f t="shared" si="229"/>
        <v>0</v>
      </c>
      <c r="DC170" s="431">
        <f t="shared" si="229"/>
        <v>0</v>
      </c>
      <c r="DD170" s="431">
        <f t="shared" si="229"/>
        <v>0</v>
      </c>
      <c r="DE170" s="431">
        <f t="shared" si="229"/>
        <v>0</v>
      </c>
      <c r="DF170" s="431">
        <f t="shared" si="229"/>
        <v>0</v>
      </c>
      <c r="DG170" s="431">
        <f t="shared" si="229"/>
        <v>0</v>
      </c>
      <c r="DH170" s="431">
        <f t="shared" si="229"/>
        <v>0</v>
      </c>
      <c r="DI170" s="431">
        <f t="shared" si="229"/>
        <v>0</v>
      </c>
      <c r="DJ170" s="431">
        <f t="shared" si="229"/>
        <v>0</v>
      </c>
      <c r="DK170" s="431">
        <f t="shared" si="229"/>
        <v>0</v>
      </c>
      <c r="DL170" s="431">
        <f t="shared" si="229"/>
        <v>0</v>
      </c>
      <c r="DM170" s="431">
        <f t="shared" si="229"/>
        <v>0</v>
      </c>
      <c r="DN170" s="431">
        <f t="shared" si="229"/>
        <v>0</v>
      </c>
      <c r="DO170" s="431">
        <f t="shared" si="229"/>
        <v>0</v>
      </c>
      <c r="DP170" s="431">
        <f t="shared" si="229"/>
        <v>0</v>
      </c>
      <c r="DQ170" s="431">
        <f t="shared" si="229"/>
        <v>0</v>
      </c>
      <c r="DR170" s="431">
        <f t="shared" si="229"/>
        <v>0</v>
      </c>
      <c r="DS170" s="431">
        <f t="shared" si="229"/>
        <v>0</v>
      </c>
      <c r="DT170" s="431">
        <f t="shared" si="229"/>
        <v>0</v>
      </c>
      <c r="DU170" s="431">
        <f t="shared" si="229"/>
        <v>0</v>
      </c>
      <c r="DV170" s="431">
        <f t="shared" si="229"/>
        <v>0</v>
      </c>
      <c r="DW170" s="431">
        <f t="shared" si="229"/>
        <v>0</v>
      </c>
      <c r="DX170" s="431">
        <f t="shared" si="229"/>
        <v>0</v>
      </c>
      <c r="DY170" s="431">
        <f t="shared" si="229"/>
        <v>0</v>
      </c>
      <c r="DZ170" s="431">
        <f t="shared" si="229"/>
        <v>0</v>
      </c>
      <c r="EA170" s="431">
        <f t="shared" si="229"/>
        <v>0</v>
      </c>
      <c r="EB170" s="431">
        <f t="shared" si="229"/>
        <v>0</v>
      </c>
      <c r="EC170" s="431">
        <f t="shared" si="229"/>
        <v>0</v>
      </c>
      <c r="ED170" s="431">
        <f t="shared" si="229"/>
        <v>0</v>
      </c>
      <c r="EE170" s="431">
        <f t="shared" si="229"/>
        <v>0</v>
      </c>
      <c r="EF170" s="431">
        <f t="shared" ref="EF170:FK170" si="230">SUM(EF169:EF169)</f>
        <v>0</v>
      </c>
      <c r="EG170" s="431">
        <f t="shared" si="230"/>
        <v>0</v>
      </c>
      <c r="EH170" s="431">
        <f t="shared" si="230"/>
        <v>0</v>
      </c>
      <c r="EI170" s="431">
        <f t="shared" si="230"/>
        <v>0</v>
      </c>
      <c r="EJ170" s="431">
        <f t="shared" si="230"/>
        <v>0</v>
      </c>
      <c r="EK170" s="431">
        <f t="shared" si="230"/>
        <v>0</v>
      </c>
      <c r="EL170" s="431">
        <f t="shared" si="230"/>
        <v>0</v>
      </c>
      <c r="EM170" s="431">
        <f t="shared" si="230"/>
        <v>0</v>
      </c>
      <c r="EN170" s="431">
        <f t="shared" si="230"/>
        <v>0</v>
      </c>
      <c r="EO170" s="431">
        <f t="shared" si="230"/>
        <v>0</v>
      </c>
      <c r="EP170" s="431">
        <f t="shared" si="230"/>
        <v>0</v>
      </c>
      <c r="EQ170" s="431">
        <f t="shared" si="230"/>
        <v>0</v>
      </c>
      <c r="ER170" s="431">
        <f t="shared" si="230"/>
        <v>0</v>
      </c>
      <c r="ES170" s="431">
        <f t="shared" si="230"/>
        <v>0</v>
      </c>
      <c r="ET170" s="431">
        <f t="shared" si="230"/>
        <v>0</v>
      </c>
      <c r="EU170" s="431">
        <f t="shared" si="230"/>
        <v>0</v>
      </c>
      <c r="EV170" s="431">
        <f t="shared" si="230"/>
        <v>0</v>
      </c>
      <c r="EW170" s="431">
        <f t="shared" si="230"/>
        <v>0</v>
      </c>
      <c r="EX170" s="431">
        <f t="shared" si="230"/>
        <v>0</v>
      </c>
      <c r="EY170" s="431">
        <f t="shared" si="230"/>
        <v>0</v>
      </c>
      <c r="EZ170" s="431">
        <f t="shared" si="230"/>
        <v>0</v>
      </c>
      <c r="FA170" s="431">
        <f t="shared" si="230"/>
        <v>0</v>
      </c>
      <c r="FB170" s="431">
        <f t="shared" si="230"/>
        <v>0</v>
      </c>
      <c r="FC170" s="431">
        <f t="shared" si="230"/>
        <v>0</v>
      </c>
      <c r="FD170" s="431">
        <f t="shared" si="230"/>
        <v>0</v>
      </c>
      <c r="FE170" s="431">
        <f t="shared" si="230"/>
        <v>0</v>
      </c>
      <c r="FF170" s="431">
        <f t="shared" si="230"/>
        <v>0</v>
      </c>
      <c r="FG170" s="431">
        <f t="shared" si="230"/>
        <v>0</v>
      </c>
      <c r="FH170" s="431">
        <f t="shared" si="230"/>
        <v>0</v>
      </c>
      <c r="FI170" s="431">
        <f t="shared" si="230"/>
        <v>0</v>
      </c>
      <c r="FJ170" s="431">
        <f t="shared" si="230"/>
        <v>0</v>
      </c>
      <c r="FK170" s="431">
        <f t="shared" si="230"/>
        <v>0</v>
      </c>
      <c r="FL170" s="431">
        <f t="shared" ref="FL170:FT170" si="231">SUM(FL169:FL169)</f>
        <v>0</v>
      </c>
      <c r="FM170" s="431">
        <f t="shared" si="231"/>
        <v>0</v>
      </c>
      <c r="FN170" s="431">
        <f t="shared" si="231"/>
        <v>0</v>
      </c>
      <c r="FO170" s="431">
        <f t="shared" si="231"/>
        <v>0</v>
      </c>
      <c r="FP170" s="431">
        <f t="shared" si="231"/>
        <v>0</v>
      </c>
      <c r="FQ170" s="431">
        <f t="shared" si="231"/>
        <v>0</v>
      </c>
      <c r="FR170" s="431">
        <f t="shared" si="231"/>
        <v>0</v>
      </c>
      <c r="FS170" s="431">
        <f t="shared" si="231"/>
        <v>0</v>
      </c>
      <c r="FT170" s="431">
        <f t="shared" si="231"/>
        <v>0</v>
      </c>
      <c r="FU170" s="43"/>
      <c r="FV170" s="34"/>
      <c r="FW170" s="34"/>
      <c r="FX170" s="34"/>
      <c r="FY170" s="34"/>
      <c r="FZ170" s="34"/>
    </row>
    <row r="171" spans="1:182" s="89" customFormat="1" ht="13.5" hidden="1" outlineLevel="1" x14ac:dyDescent="0.25">
      <c r="A171" s="498"/>
      <c r="B171" s="43"/>
      <c r="C171" s="34"/>
      <c r="D171" s="34"/>
      <c r="E171" s="34"/>
      <c r="F171" s="5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  <c r="FI171" s="34"/>
      <c r="FJ171" s="34"/>
      <c r="FK171" s="34"/>
      <c r="FL171" s="34"/>
      <c r="FM171" s="34"/>
      <c r="FN171" s="34"/>
      <c r="FO171" s="34"/>
      <c r="FP171" s="34"/>
      <c r="FQ171" s="34"/>
      <c r="FR171" s="34"/>
      <c r="FS171" s="34"/>
      <c r="FT171" s="34"/>
      <c r="FU171" s="43"/>
      <c r="FV171" s="34"/>
      <c r="FW171" s="34"/>
      <c r="FX171" s="34"/>
      <c r="FY171" s="34"/>
      <c r="FZ171" s="34"/>
    </row>
    <row r="172" spans="1:182" s="89" customFormat="1" ht="13.5" hidden="1" outlineLevel="1" x14ac:dyDescent="0.25">
      <c r="A172" s="498"/>
      <c r="B172" s="73" t="s">
        <v>361</v>
      </c>
      <c r="C172" s="34"/>
      <c r="D172" s="34"/>
      <c r="E172" s="34"/>
      <c r="F172" s="429">
        <f>SUM(H172:FT172)</f>
        <v>-2009385.9368</v>
      </c>
      <c r="G172" s="34"/>
      <c r="H172" s="431">
        <f>-IF(AND(H$11&gt;=EOMONTH('Construction Budget'!$K75,0),H$11&lt;=EOMONTH('Construction Budget'!$M75,0)),('Construction Budget'!$G75+SUM($G172:G172))/ROUND(((EOMONTH('Construction Budget'!$M75,0)-EOMONTH(H$11,0))/30)+1,0),0)</f>
        <v>0</v>
      </c>
      <c r="I172" s="431">
        <f>-IF(AND(I$11&gt;=EOMONTH('Construction Budget'!$K75,0),I$11&lt;=EOMONTH('Construction Budget'!$M75,0)),('Construction Budget'!$G75+SUM($G172:H172))/ROUND(((EOMONTH('Construction Budget'!$M75,0)-EOMONTH(I$11,0))/30)+1,0),0)</f>
        <v>0</v>
      </c>
      <c r="J172" s="431">
        <f>-IF(AND(J$11&gt;=EOMONTH('Construction Budget'!$K75,0),J$11&lt;=EOMONTH('Construction Budget'!$M75,0)),('Construction Budget'!$G75+SUM($G172:I172))/ROUND(((EOMONTH('Construction Budget'!$M75,0)-EOMONTH(J$11,0))/30)+1,0),0)</f>
        <v>-83724.414033333334</v>
      </c>
      <c r="K172" s="431">
        <f>-IF(AND(K$11&gt;=EOMONTH('Construction Budget'!$K75,0),K$11&lt;=EOMONTH('Construction Budget'!$M75,0)),('Construction Budget'!$G75+SUM($G172:J172))/ROUND(((EOMONTH('Construction Budget'!$M75,0)-EOMONTH(K$11,0))/30)+1,0),0)</f>
        <v>-83724.414033333334</v>
      </c>
      <c r="L172" s="431">
        <f>-IF(AND(L$11&gt;=EOMONTH('Construction Budget'!$K75,0),L$11&lt;=EOMONTH('Construction Budget'!$M75,0)),('Construction Budget'!$G75+SUM($G172:K172))/ROUND(((EOMONTH('Construction Budget'!$M75,0)-EOMONTH(L$11,0))/30)+1,0),0)</f>
        <v>-83724.414033333334</v>
      </c>
      <c r="M172" s="431">
        <f>-IF(AND(M$11&gt;=EOMONTH('Construction Budget'!$K75,0),M$11&lt;=EOMONTH('Construction Budget'!$M75,0)),('Construction Budget'!$G75+SUM($G172:L172))/ROUND(((EOMONTH('Construction Budget'!$M75,0)-EOMONTH(M$11,0))/30)+1,0),0)</f>
        <v>-83724.414033333334</v>
      </c>
      <c r="N172" s="431">
        <f>-IF(AND(N$11&gt;=EOMONTH('Construction Budget'!$K75,0),N$11&lt;=EOMONTH('Construction Budget'!$M75,0)),('Construction Budget'!$G75+SUM($G172:M172))/ROUND(((EOMONTH('Construction Budget'!$M75,0)-EOMONTH(N$11,0))/30)+1,0),0)</f>
        <v>-83724.414033333334</v>
      </c>
      <c r="O172" s="431">
        <f>-IF(AND(O$11&gt;=EOMONTH('Construction Budget'!$K75,0),O$11&lt;=EOMONTH('Construction Budget'!$M75,0)),('Construction Budget'!$G75+SUM($G172:N172))/ROUND(((EOMONTH('Construction Budget'!$M75,0)-EOMONTH(O$11,0))/30)+1,0),0)</f>
        <v>-83724.414033333334</v>
      </c>
      <c r="P172" s="431">
        <f>-IF(AND(P$11&gt;=EOMONTH('Construction Budget'!$K75,0),P$11&lt;=EOMONTH('Construction Budget'!$M75,0)),('Construction Budget'!$G75+SUM($G172:O172))/ROUND(((EOMONTH('Construction Budget'!$M75,0)-EOMONTH(P$11,0))/30)+1,0),0)</f>
        <v>-83724.414033333334</v>
      </c>
      <c r="Q172" s="431">
        <f>-IF(AND(Q$11&gt;=EOMONTH('Construction Budget'!$K75,0),Q$11&lt;=EOMONTH('Construction Budget'!$M75,0)),('Construction Budget'!$G75+SUM($G172:P172))/ROUND(((EOMONTH('Construction Budget'!$M75,0)-EOMONTH(Q$11,0))/30)+1,0),0)</f>
        <v>-83724.414033333334</v>
      </c>
      <c r="R172" s="431">
        <f>-IF(AND(R$11&gt;=EOMONTH('Construction Budget'!$K75,0),R$11&lt;=EOMONTH('Construction Budget'!$M75,0)),('Construction Budget'!$G75+SUM($G172:Q172))/ROUND(((EOMONTH('Construction Budget'!$M75,0)-EOMONTH(R$11,0))/30)+1,0),0)</f>
        <v>-83724.414033333334</v>
      </c>
      <c r="S172" s="431">
        <f>-IF(AND(S$11&gt;=EOMONTH('Construction Budget'!$K75,0),S$11&lt;=EOMONTH('Construction Budget'!$M75,0)),('Construction Budget'!$G75+SUM($G172:R172))/ROUND(((EOMONTH('Construction Budget'!$M75,0)-EOMONTH(S$11,0))/30)+1,0),0)</f>
        <v>-83724.414033333334</v>
      </c>
      <c r="T172" s="431">
        <f>-IF(AND(T$11&gt;=EOMONTH('Construction Budget'!$K75,0),T$11&lt;=EOMONTH('Construction Budget'!$M75,0)),('Construction Budget'!$G75+SUM($G172:S172))/ROUND(((EOMONTH('Construction Budget'!$M75,0)-EOMONTH(T$11,0))/30)+1,0),0)</f>
        <v>-83724.414033333334</v>
      </c>
      <c r="U172" s="431">
        <f>-IF(AND(U$11&gt;=EOMONTH('Construction Budget'!$K75,0),U$11&lt;=EOMONTH('Construction Budget'!$M75,0)),('Construction Budget'!$G75+SUM($G172:T172))/ROUND(((EOMONTH('Construction Budget'!$M75,0)-EOMONTH(U$11,0))/30)+1,0),0)</f>
        <v>-83724.414033333334</v>
      </c>
      <c r="V172" s="431">
        <f>-IF(AND(V$11&gt;=EOMONTH('Construction Budget'!$K75,0),V$11&lt;=EOMONTH('Construction Budget'!$M75,0)),('Construction Budget'!$G75+SUM($G172:U172))/ROUND(((EOMONTH('Construction Budget'!$M75,0)-EOMONTH(V$11,0))/30)+1,0),0)</f>
        <v>-83724.414033333349</v>
      </c>
      <c r="W172" s="431">
        <f>-IF(AND(W$11&gt;=EOMONTH('Construction Budget'!$K75,0),W$11&lt;=EOMONTH('Construction Budget'!$M75,0)),('Construction Budget'!$G75+SUM($G172:V172))/ROUND(((EOMONTH('Construction Budget'!$M75,0)-EOMONTH(W$11,0))/30)+1,0),0)</f>
        <v>-83724.414033333349</v>
      </c>
      <c r="X172" s="431">
        <f>-IF(AND(X$11&gt;=EOMONTH('Construction Budget'!$K75,0),X$11&lt;=EOMONTH('Construction Budget'!$M75,0)),('Construction Budget'!$G75+SUM($G172:W172))/ROUND(((EOMONTH('Construction Budget'!$M75,0)-EOMONTH(X$11,0))/30)+1,0),0)</f>
        <v>-83724.414033333349</v>
      </c>
      <c r="Y172" s="431">
        <f>-IF(AND(Y$11&gt;=EOMONTH('Construction Budget'!$K75,0),Y$11&lt;=EOMONTH('Construction Budget'!$M75,0)),('Construction Budget'!$G75+SUM($G172:X172))/ROUND(((EOMONTH('Construction Budget'!$M75,0)-EOMONTH(Y$11,0))/30)+1,0),0)</f>
        <v>-83724.414033333363</v>
      </c>
      <c r="Z172" s="431">
        <f>-IF(AND(Z$11&gt;=EOMONTH('Construction Budget'!$K75,0),Z$11&lt;=EOMONTH('Construction Budget'!$M75,0)),('Construction Budget'!$G75+SUM($G172:Y172))/ROUND(((EOMONTH('Construction Budget'!$M75,0)-EOMONTH(Z$11,0))/30)+1,0),0)</f>
        <v>-83724.414033333363</v>
      </c>
      <c r="AA172" s="431">
        <f>-IF(AND(AA$11&gt;=EOMONTH('Construction Budget'!$K75,0),AA$11&lt;=EOMONTH('Construction Budget'!$M75,0)),('Construction Budget'!$G75+SUM($G172:Z172))/ROUND(((EOMONTH('Construction Budget'!$M75,0)-EOMONTH(AA$11,0))/30)+1,0),0)</f>
        <v>-83724.414033333378</v>
      </c>
      <c r="AB172" s="431">
        <f>-IF(AND(AB$11&gt;=EOMONTH('Construction Budget'!$K75,0),AB$11&lt;=EOMONTH('Construction Budget'!$M75,0)),('Construction Budget'!$G75+SUM($G172:AA172))/ROUND(((EOMONTH('Construction Budget'!$M75,0)-EOMONTH(AB$11,0))/30)+1,0),0)</f>
        <v>-83724.414033333378</v>
      </c>
      <c r="AC172" s="431">
        <f>-IF(AND(AC$11&gt;=EOMONTH('Construction Budget'!$K75,0),AC$11&lt;=EOMONTH('Construction Budget'!$M75,0)),('Construction Budget'!$G75+SUM($G172:AB172))/ROUND(((EOMONTH('Construction Budget'!$M75,0)-EOMONTH(AC$11,0))/30)+1,0),0)</f>
        <v>-83724.414033333393</v>
      </c>
      <c r="AD172" s="431">
        <f>-IF(AND(AD$11&gt;=EOMONTH('Construction Budget'!$K75,0),AD$11&lt;=EOMONTH('Construction Budget'!$M75,0)),('Construction Budget'!$G75+SUM($G172:AC172))/ROUND(((EOMONTH('Construction Budget'!$M75,0)-EOMONTH(AD$11,0))/30)+1,0),0)</f>
        <v>-83724.414033333422</v>
      </c>
      <c r="AE172" s="431">
        <f>-IF(AND(AE$11&gt;=EOMONTH('Construction Budget'!$K75,0),AE$11&lt;=EOMONTH('Construction Budget'!$M75,0)),('Construction Budget'!$G75+SUM($G172:AD172))/ROUND(((EOMONTH('Construction Budget'!$M75,0)-EOMONTH(AE$11,0))/30)+1,0),0)</f>
        <v>-83724.414033333378</v>
      </c>
      <c r="AF172" s="431">
        <f>-IF(AND(AF$11&gt;=EOMONTH('Construction Budget'!$K75,0),AF$11&lt;=EOMONTH('Construction Budget'!$M75,0)),('Construction Budget'!$G75+SUM($G172:AE172))/ROUND(((EOMONTH('Construction Budget'!$M75,0)-EOMONTH(AF$11,0))/30)+1,0),0)</f>
        <v>-83724.414033333422</v>
      </c>
      <c r="AG172" s="431">
        <f>-IF(AND(AG$11&gt;=EOMONTH('Construction Budget'!$K75,0),AG$11&lt;=EOMONTH('Construction Budget'!$M75,0)),('Construction Budget'!$G75+SUM($G172:AF172))/ROUND(((EOMONTH('Construction Budget'!$M75,0)-EOMONTH(AG$11,0))/30)+1,0),0)</f>
        <v>-83724.414033333538</v>
      </c>
      <c r="AH172" s="431">
        <f>-IF(AND(AH$11&gt;=EOMONTH('Construction Budget'!$K75,0),AH$11&lt;=EOMONTH('Construction Budget'!$M75,0)),('Construction Budget'!$G75+SUM($G172:AG172))/ROUND(((EOMONTH('Construction Budget'!$M75,0)-EOMONTH(AH$11,0))/30)+1,0),0)</f>
        <v>0</v>
      </c>
      <c r="AI172" s="431">
        <f>-IF(AND(AI$11&gt;=EOMONTH('Construction Budget'!$K75,0),AI$11&lt;=EOMONTH('Construction Budget'!$M75,0)),('Construction Budget'!$G75+SUM($G172:AH172))/ROUND(((EOMONTH('Construction Budget'!$M75,0)-EOMONTH(AI$11,0))/30)+1,0),0)</f>
        <v>0</v>
      </c>
      <c r="AJ172" s="431">
        <f>-IF(AND(AJ$11&gt;=EOMONTH('Construction Budget'!$K75,0),AJ$11&lt;=EOMONTH('Construction Budget'!$M75,0)),('Construction Budget'!$G75+SUM($G172:AI172))/ROUND(((EOMONTH('Construction Budget'!$M75,0)-EOMONTH(AJ$11,0))/30)+1,0),0)</f>
        <v>0</v>
      </c>
      <c r="AK172" s="431">
        <f>-IF(AND(AK$11&gt;=EOMONTH('Construction Budget'!$K75,0),AK$11&lt;=EOMONTH('Construction Budget'!$M75,0)),('Construction Budget'!$G75+SUM($G172:AJ172))/ROUND(((EOMONTH('Construction Budget'!$M75,0)-EOMONTH(AK$11,0))/30)+1,0),0)</f>
        <v>0</v>
      </c>
      <c r="AL172" s="431">
        <f>-IF(AND(AL$11&gt;=EOMONTH('Construction Budget'!$K75,0),AL$11&lt;=EOMONTH('Construction Budget'!$M75,0)),('Construction Budget'!$G75+SUM($G172:AK172))/ROUND(((EOMONTH('Construction Budget'!$M75,0)-EOMONTH(AL$11,0))/30)+1,0),0)</f>
        <v>0</v>
      </c>
      <c r="AM172" s="431">
        <f>-IF(AND(AM$11&gt;=EOMONTH('Construction Budget'!$K75,0),AM$11&lt;=EOMONTH('Construction Budget'!$M75,0)),('Construction Budget'!$G75+SUM($G172:AL172))/ROUND(((EOMONTH('Construction Budget'!$M75,0)-EOMONTH(AM$11,0))/30)+1,0),0)</f>
        <v>0</v>
      </c>
      <c r="AN172" s="431">
        <f>-IF(AND(AN$11&gt;=EOMONTH('Construction Budget'!$K75,0),AN$11&lt;=EOMONTH('Construction Budget'!$M75,0)),('Construction Budget'!$G75+SUM($G172:AM172))/ROUND(((EOMONTH('Construction Budget'!$M75,0)-EOMONTH(AN$11,0))/30)+1,0),0)</f>
        <v>0</v>
      </c>
      <c r="AO172" s="431">
        <f>-IF(AND(AO$11&gt;=EOMONTH('Construction Budget'!$K75,0),AO$11&lt;=EOMONTH('Construction Budget'!$M75,0)),('Construction Budget'!$G75+SUM($G172:AN172))/ROUND(((EOMONTH('Construction Budget'!$M75,0)-EOMONTH(AO$11,0))/30)+1,0),0)</f>
        <v>0</v>
      </c>
      <c r="AP172" s="431">
        <f>-IF(AND(AP$11&gt;=EOMONTH('Construction Budget'!$K75,0),AP$11&lt;=EOMONTH('Construction Budget'!$M75,0)),('Construction Budget'!$G75+SUM($G172:AO172))/ROUND(((EOMONTH('Construction Budget'!$M75,0)-EOMONTH(AP$11,0))/30)+1,0),0)</f>
        <v>0</v>
      </c>
      <c r="AQ172" s="431">
        <f>-IF(AND(AQ$11&gt;=EOMONTH('Construction Budget'!$K75,0),AQ$11&lt;=EOMONTH('Construction Budget'!$M75,0)),('Construction Budget'!$G75+SUM($G172:AP172))/ROUND(((EOMONTH('Construction Budget'!$M75,0)-EOMONTH(AQ$11,0))/30)+1,0),0)</f>
        <v>0</v>
      </c>
      <c r="AR172" s="431">
        <f>-IF(AND(AR$11&gt;=EOMONTH('Construction Budget'!$K75,0),AR$11&lt;=EOMONTH('Construction Budget'!$M75,0)),('Construction Budget'!$G75+SUM($G172:AQ172))/ROUND(((EOMONTH('Construction Budget'!$M75,0)-EOMONTH(AR$11,0))/30)+1,0),0)</f>
        <v>0</v>
      </c>
      <c r="AS172" s="431">
        <f>-IF(AND(AS$11&gt;=EOMONTH('Construction Budget'!$K75,0),AS$11&lt;=EOMONTH('Construction Budget'!$M75,0)),('Construction Budget'!$G75+SUM($G172:AR172))/ROUND(((EOMONTH('Construction Budget'!$M75,0)-EOMONTH(AS$11,0))/30)+1,0),0)</f>
        <v>0</v>
      </c>
      <c r="AT172" s="431">
        <f>-IF(AND(AT$11&gt;=EOMONTH('Construction Budget'!$K75,0),AT$11&lt;=EOMONTH('Construction Budget'!$M75,0)),('Construction Budget'!$G75+SUM($G172:AS172))/ROUND(((EOMONTH('Construction Budget'!$M75,0)-EOMONTH(AT$11,0))/30)+1,0),0)</f>
        <v>0</v>
      </c>
      <c r="AU172" s="431">
        <f>-IF(AND(AU$11&gt;=EOMONTH('Construction Budget'!$K75,0),AU$11&lt;=EOMONTH('Construction Budget'!$M75,0)),('Construction Budget'!$G75+SUM($G172:AT172))/ROUND(((EOMONTH('Construction Budget'!$M75,0)-EOMONTH(AU$11,0))/30)+1,0),0)</f>
        <v>0</v>
      </c>
      <c r="AV172" s="431">
        <f>-IF(AND(AV$11&gt;=EOMONTH('Construction Budget'!$K75,0),AV$11&lt;=EOMONTH('Construction Budget'!$M75,0)),('Construction Budget'!$G75+SUM($G172:AU172))/ROUND(((EOMONTH('Construction Budget'!$M75,0)-EOMONTH(AV$11,0))/30)+1,0),0)</f>
        <v>0</v>
      </c>
      <c r="AW172" s="431">
        <f>-IF(AND(AW$11&gt;=EOMONTH('Construction Budget'!$K75,0),AW$11&lt;=EOMONTH('Construction Budget'!$M75,0)),('Construction Budget'!$G75+SUM($G172:AV172))/ROUND(((EOMONTH('Construction Budget'!$M75,0)-EOMONTH(AW$11,0))/30)+1,0),0)</f>
        <v>0</v>
      </c>
      <c r="AX172" s="431">
        <f>-IF(AND(AX$11&gt;=EOMONTH('Construction Budget'!$K75,0),AX$11&lt;=EOMONTH('Construction Budget'!$M75,0)),('Construction Budget'!$G75+SUM($G172:AW172))/ROUND(((EOMONTH('Construction Budget'!$M75,0)-EOMONTH(AX$11,0))/30)+1,0),0)</f>
        <v>0</v>
      </c>
      <c r="AY172" s="431">
        <f>-IF(AND(AY$11&gt;=EOMONTH('Construction Budget'!$K75,0),AY$11&lt;=EOMONTH('Construction Budget'!$M75,0)),('Construction Budget'!$G75+SUM($G172:AX172))/ROUND(((EOMONTH('Construction Budget'!$M75,0)-EOMONTH(AY$11,0))/30)+1,0),0)</f>
        <v>0</v>
      </c>
      <c r="AZ172" s="431">
        <f>-IF(AND(AZ$11&gt;=EOMONTH('Construction Budget'!$K75,0),AZ$11&lt;=EOMONTH('Construction Budget'!$M75,0)),('Construction Budget'!$G75+SUM($G172:AY172))/ROUND(((EOMONTH('Construction Budget'!$M75,0)-EOMONTH(AZ$11,0))/30)+1,0),0)</f>
        <v>0</v>
      </c>
      <c r="BA172" s="431">
        <f>-IF(AND(BA$11&gt;=EOMONTH('Construction Budget'!$K75,0),BA$11&lt;=EOMONTH('Construction Budget'!$M75,0)),('Construction Budget'!$G75+SUM($G172:AZ172))/ROUND(((EOMONTH('Construction Budget'!$M75,0)-EOMONTH(BA$11,0))/30)+1,0),0)</f>
        <v>0</v>
      </c>
      <c r="BB172" s="431">
        <f>-IF(AND(BB$11&gt;=EOMONTH('Construction Budget'!$K75,0),BB$11&lt;=EOMONTH('Construction Budget'!$M75,0)),('Construction Budget'!$G75+SUM($G172:BA172))/ROUND(((EOMONTH('Construction Budget'!$M75,0)-EOMONTH(BB$11,0))/30)+1,0),0)</f>
        <v>0</v>
      </c>
      <c r="BC172" s="431">
        <f>-IF(AND(BC$11&gt;=EOMONTH('Construction Budget'!$K75,0),BC$11&lt;=EOMONTH('Construction Budget'!$M75,0)),('Construction Budget'!$G75+SUM($G172:BB172))/ROUND(((EOMONTH('Construction Budget'!$M75,0)-EOMONTH(BC$11,0))/30)+1,0),0)</f>
        <v>0</v>
      </c>
      <c r="BD172" s="431">
        <f>-IF(AND(BD$11&gt;=EOMONTH('Construction Budget'!$K75,0),BD$11&lt;=EOMONTH('Construction Budget'!$M75,0)),('Construction Budget'!$G75+SUM($G172:BC172))/ROUND(((EOMONTH('Construction Budget'!$M75,0)-EOMONTH(BD$11,0))/30)+1,0),0)</f>
        <v>0</v>
      </c>
      <c r="BE172" s="431">
        <f>-IF(AND(BE$11&gt;=EOMONTH('Construction Budget'!$K75,0),BE$11&lt;=EOMONTH('Construction Budget'!$M75,0)),('Construction Budget'!$G75+SUM($G172:BD172))/ROUND(((EOMONTH('Construction Budget'!$M75,0)-EOMONTH(BE$11,0))/30)+1,0),0)</f>
        <v>0</v>
      </c>
      <c r="BF172" s="431">
        <f>-IF(AND(BF$11&gt;=EOMONTH('Construction Budget'!$K75,0),BF$11&lt;=EOMONTH('Construction Budget'!$M75,0)),('Construction Budget'!$G75+SUM($G172:BE172))/ROUND(((EOMONTH('Construction Budget'!$M75,0)-EOMONTH(BF$11,0))/30)+1,0),0)</f>
        <v>0</v>
      </c>
      <c r="BG172" s="431">
        <f>-IF(AND(BG$11&gt;=EOMONTH('Construction Budget'!$K75,0),BG$11&lt;=EOMONTH('Construction Budget'!$M75,0)),('Construction Budget'!$G75+SUM($G172:BF172))/ROUND(((EOMONTH('Construction Budget'!$M75,0)-EOMONTH(BG$11,0))/30)+1,0),0)</f>
        <v>0</v>
      </c>
      <c r="BH172" s="431">
        <f>-IF(AND(BH$11&gt;=EOMONTH('Construction Budget'!$K75,0),BH$11&lt;=EOMONTH('Construction Budget'!$M75,0)),('Construction Budget'!$G75+SUM($G172:BG172))/ROUND(((EOMONTH('Construction Budget'!$M75,0)-EOMONTH(BH$11,0))/30)+1,0),0)</f>
        <v>0</v>
      </c>
      <c r="BI172" s="431">
        <f>-IF(AND(BI$11&gt;=EOMONTH('Construction Budget'!$K75,0),BI$11&lt;=EOMONTH('Construction Budget'!$M75,0)),('Construction Budget'!$G75+SUM($G172:BH172))/ROUND(((EOMONTH('Construction Budget'!$M75,0)-EOMONTH(BI$11,0))/30)+1,0),0)</f>
        <v>0</v>
      </c>
      <c r="BJ172" s="431">
        <f>-IF(AND(BJ$11&gt;=EOMONTH('Construction Budget'!$K75,0),BJ$11&lt;=EOMONTH('Construction Budget'!$M75,0)),('Construction Budget'!$G75+SUM($G172:BI172))/ROUND(((EOMONTH('Construction Budget'!$M75,0)-EOMONTH(BJ$11,0))/30)+1,0),0)</f>
        <v>0</v>
      </c>
      <c r="BK172" s="431">
        <f>-IF(AND(BK$11&gt;=EOMONTH('Construction Budget'!$K75,0),BK$11&lt;=EOMONTH('Construction Budget'!$M75,0)),('Construction Budget'!$G75+SUM($G172:BJ172))/ROUND(((EOMONTH('Construction Budget'!$M75,0)-EOMONTH(BK$11,0))/30)+1,0),0)</f>
        <v>0</v>
      </c>
      <c r="BL172" s="431">
        <f>-IF(AND(BL$11&gt;=EOMONTH('Construction Budget'!$K75,0),BL$11&lt;=EOMONTH('Construction Budget'!$M75,0)),('Construction Budget'!$G75+SUM($G172:BK172))/ROUND(((EOMONTH('Construction Budget'!$M75,0)-EOMONTH(BL$11,0))/30)+1,0),0)</f>
        <v>0</v>
      </c>
      <c r="BM172" s="431">
        <f>-IF(AND(BM$11&gt;=EOMONTH('Construction Budget'!$K75,0),BM$11&lt;=EOMONTH('Construction Budget'!$M75,0)),('Construction Budget'!$G75+SUM($G172:BL172))/ROUND(((EOMONTH('Construction Budget'!$M75,0)-EOMONTH(BM$11,0))/30)+1,0),0)</f>
        <v>0</v>
      </c>
      <c r="BN172" s="431">
        <f>-IF(AND(BN$11&gt;=EOMONTH('Construction Budget'!$K75,0),BN$11&lt;=EOMONTH('Construction Budget'!$M75,0)),('Construction Budget'!$G75+SUM($G172:BM172))/ROUND(((EOMONTH('Construction Budget'!$M75,0)-EOMONTH(BN$11,0))/30)+1,0),0)</f>
        <v>0</v>
      </c>
      <c r="BO172" s="431">
        <f>-IF(AND(BO$11&gt;=EOMONTH('Construction Budget'!$K75,0),BO$11&lt;=EOMONTH('Construction Budget'!$M75,0)),('Construction Budget'!$G75+SUM($G172:BN172))/ROUND(((EOMONTH('Construction Budget'!$M75,0)-EOMONTH(BO$11,0))/30)+1,0),0)</f>
        <v>0</v>
      </c>
      <c r="BP172" s="431">
        <f>-IF(AND(BP$11&gt;=EOMONTH('Construction Budget'!$K75,0),BP$11&lt;=EOMONTH('Construction Budget'!$M75,0)),('Construction Budget'!$G75+SUM($G172:BO172))/ROUND(((EOMONTH('Construction Budget'!$M75,0)-EOMONTH(BP$11,0))/30)+1,0),0)</f>
        <v>0</v>
      </c>
      <c r="BQ172" s="431">
        <f>-IF(AND(BQ$11&gt;=EOMONTH('Construction Budget'!$K75,0),BQ$11&lt;=EOMONTH('Construction Budget'!$M75,0)),('Construction Budget'!$G75+SUM($G172:BP172))/ROUND(((EOMONTH('Construction Budget'!$M75,0)-EOMONTH(BQ$11,0))/30)+1,0),0)</f>
        <v>0</v>
      </c>
      <c r="BR172" s="431">
        <f>-IF(AND(BR$11&gt;=EOMONTH('Construction Budget'!$K75,0),BR$11&lt;=EOMONTH('Construction Budget'!$M75,0)),('Construction Budget'!$G75+SUM($G172:BQ172))/ROUND(((EOMONTH('Construction Budget'!$M75,0)-EOMONTH(BR$11,0))/30)+1,0),0)</f>
        <v>0</v>
      </c>
      <c r="BS172" s="431">
        <f>-IF(AND(BS$11&gt;=EOMONTH('Construction Budget'!$K75,0),BS$11&lt;=EOMONTH('Construction Budget'!$M75,0)),('Construction Budget'!$G75+SUM($G172:BR172))/ROUND(((EOMONTH('Construction Budget'!$M75,0)-EOMONTH(BS$11,0))/30)+1,0),0)</f>
        <v>0</v>
      </c>
      <c r="BT172" s="431">
        <f>-IF(AND(BT$11&gt;=EOMONTH('Construction Budget'!$K75,0),BT$11&lt;=EOMONTH('Construction Budget'!$M75,0)),('Construction Budget'!$G75+SUM($G172:BS172))/ROUND(((EOMONTH('Construction Budget'!$M75,0)-EOMONTH(BT$11,0))/30)+1,0),0)</f>
        <v>0</v>
      </c>
      <c r="BU172" s="431">
        <f>-IF(AND(BU$11&gt;=EOMONTH('Construction Budget'!$K75,0),BU$11&lt;=EOMONTH('Construction Budget'!$M75,0)),('Construction Budget'!$G75+SUM($G172:BT172))/ROUND(((EOMONTH('Construction Budget'!$M75,0)-EOMONTH(BU$11,0))/30)+1,0),0)</f>
        <v>0</v>
      </c>
      <c r="BV172" s="431">
        <f>-IF(AND(BV$11&gt;=EOMONTH('Construction Budget'!$K75,0),BV$11&lt;=EOMONTH('Construction Budget'!$M75,0)),('Construction Budget'!$G75+SUM($G172:BU172))/ROUND(((EOMONTH('Construction Budget'!$M75,0)-EOMONTH(BV$11,0))/30)+1,0),0)</f>
        <v>0</v>
      </c>
      <c r="BW172" s="431">
        <f>-IF(AND(BW$11&gt;=EOMONTH('Construction Budget'!$K75,0),BW$11&lt;=EOMONTH('Construction Budget'!$M75,0)),('Construction Budget'!$G75+SUM($G172:BV172))/ROUND(((EOMONTH('Construction Budget'!$M75,0)-EOMONTH(BW$11,0))/30)+1,0),0)</f>
        <v>0</v>
      </c>
      <c r="BX172" s="431">
        <f>-IF(AND(BX$11&gt;=EOMONTH('Construction Budget'!$K75,0),BX$11&lt;=EOMONTH('Construction Budget'!$M75,0)),('Construction Budget'!$G75+SUM($G172:BW172))/ROUND(((EOMONTH('Construction Budget'!$M75,0)-EOMONTH(BX$11,0))/30)+1,0),0)</f>
        <v>0</v>
      </c>
      <c r="BY172" s="431">
        <f>-IF(AND(BY$11&gt;=EOMONTH('Construction Budget'!$K75,0),BY$11&lt;=EOMONTH('Construction Budget'!$M75,0)),('Construction Budget'!$G75+SUM($G172:BX172))/ROUND(((EOMONTH('Construction Budget'!$M75,0)-EOMONTH(BY$11,0))/30)+1,0),0)</f>
        <v>0</v>
      </c>
      <c r="BZ172" s="431">
        <f>-IF(AND(BZ$11&gt;=EOMONTH('Construction Budget'!$K75,0),BZ$11&lt;=EOMONTH('Construction Budget'!$M75,0)),('Construction Budget'!$G75+SUM($G172:BY172))/ROUND(((EOMONTH('Construction Budget'!$M75,0)-EOMONTH(BZ$11,0))/30)+1,0),0)</f>
        <v>0</v>
      </c>
      <c r="CA172" s="431">
        <f>-IF(AND(CA$11&gt;=EOMONTH('Construction Budget'!$K75,0),CA$11&lt;=EOMONTH('Construction Budget'!$M75,0)),('Construction Budget'!$G75+SUM($G172:BZ172))/ROUND(((EOMONTH('Construction Budget'!$M75,0)-EOMONTH(CA$11,0))/30)+1,0),0)</f>
        <v>0</v>
      </c>
      <c r="CB172" s="431">
        <f>-IF(AND(CB$11&gt;=EOMONTH('Construction Budget'!$K75,0),CB$11&lt;=EOMONTH('Construction Budget'!$M75,0)),('Construction Budget'!$G75+SUM($G172:CA172))/ROUND(((EOMONTH('Construction Budget'!$M75,0)-EOMONTH(CB$11,0))/30)+1,0),0)</f>
        <v>0</v>
      </c>
      <c r="CC172" s="431">
        <f>-IF(AND(CC$11&gt;=EOMONTH('Construction Budget'!$K75,0),CC$11&lt;=EOMONTH('Construction Budget'!$M75,0)),('Construction Budget'!$G75+SUM($G172:CB172))/ROUND(((EOMONTH('Construction Budget'!$M75,0)-EOMONTH(CC$11,0))/30)+1,0),0)</f>
        <v>0</v>
      </c>
      <c r="CD172" s="431">
        <f>-IF(AND(CD$11&gt;=EOMONTH('Construction Budget'!$K75,0),CD$11&lt;=EOMONTH('Construction Budget'!$M75,0)),('Construction Budget'!$G75+SUM($G172:CC172))/ROUND(((EOMONTH('Construction Budget'!$M75,0)-EOMONTH(CD$11,0))/30)+1,0),0)</f>
        <v>0</v>
      </c>
      <c r="CE172" s="431">
        <f>-IF(AND(CE$11&gt;=EOMONTH('Construction Budget'!$K75,0),CE$11&lt;=EOMONTH('Construction Budget'!$M75,0)),('Construction Budget'!$G75+SUM($G172:CD172))/ROUND(((EOMONTH('Construction Budget'!$M75,0)-EOMONTH(CE$11,0))/30)+1,0),0)</f>
        <v>0</v>
      </c>
      <c r="CF172" s="431">
        <f>-IF(AND(CF$11&gt;=EOMONTH('Construction Budget'!$K75,0),CF$11&lt;=EOMONTH('Construction Budget'!$M75,0)),('Construction Budget'!$G75+SUM($G172:CE172))/ROUND(((EOMONTH('Construction Budget'!$M75,0)-EOMONTH(CF$11,0))/30)+1,0),0)</f>
        <v>0</v>
      </c>
      <c r="CG172" s="431">
        <f>-IF(AND(CG$11&gt;=EOMONTH('Construction Budget'!$K75,0),CG$11&lt;=EOMONTH('Construction Budget'!$M75,0)),('Construction Budget'!$G75+SUM($G172:CF172))/ROUND(((EOMONTH('Construction Budget'!$M75,0)-EOMONTH(CG$11,0))/30)+1,0),0)</f>
        <v>0</v>
      </c>
      <c r="CH172" s="431">
        <f>-IF(AND(CH$11&gt;=EOMONTH('Construction Budget'!$K75,0),CH$11&lt;=EOMONTH('Construction Budget'!$M75,0)),('Construction Budget'!$G75+SUM($G172:CG172))/ROUND(((EOMONTH('Construction Budget'!$M75,0)-EOMONTH(CH$11,0))/30)+1,0),0)</f>
        <v>0</v>
      </c>
      <c r="CI172" s="431">
        <f>-IF(AND(CI$11&gt;=EOMONTH('Construction Budget'!$K75,0),CI$11&lt;=EOMONTH('Construction Budget'!$M75,0)),('Construction Budget'!$G75+SUM($G172:CH172))/ROUND(((EOMONTH('Construction Budget'!$M75,0)-EOMONTH(CI$11,0))/30)+1,0),0)</f>
        <v>0</v>
      </c>
      <c r="CJ172" s="431">
        <f>-IF(AND(CJ$11&gt;=EOMONTH('Construction Budget'!$K75,0),CJ$11&lt;=EOMONTH('Construction Budget'!$M75,0)),('Construction Budget'!$G75+SUM($G172:CI172))/ROUND(((EOMONTH('Construction Budget'!$M75,0)-EOMONTH(CJ$11,0))/30)+1,0),0)</f>
        <v>0</v>
      </c>
      <c r="CK172" s="431">
        <f>-IF(AND(CK$11&gt;=EOMONTH('Construction Budget'!$K75,0),CK$11&lt;=EOMONTH('Construction Budget'!$M75,0)),('Construction Budget'!$G75+SUM($G172:CJ172))/ROUND(((EOMONTH('Construction Budget'!$M75,0)-EOMONTH(CK$11,0))/30)+1,0),0)</f>
        <v>0</v>
      </c>
      <c r="CL172" s="431">
        <f>-IF(AND(CL$11&gt;=EOMONTH('Construction Budget'!$K75,0),CL$11&lt;=EOMONTH('Construction Budget'!$M75,0)),('Construction Budget'!$G75+SUM($G172:CK172))/ROUND(((EOMONTH('Construction Budget'!$M75,0)-EOMONTH(CL$11,0))/30)+1,0),0)</f>
        <v>0</v>
      </c>
      <c r="CM172" s="431">
        <f>-IF(AND(CM$11&gt;=EOMONTH('Construction Budget'!$K75,0),CM$11&lt;=EOMONTH('Construction Budget'!$M75,0)),('Construction Budget'!$G75+SUM($G172:CL172))/ROUND(((EOMONTH('Construction Budget'!$M75,0)-EOMONTH(CM$11,0))/30)+1,0),0)</f>
        <v>0</v>
      </c>
      <c r="CN172" s="431">
        <f>-IF(AND(CN$11&gt;=EOMONTH('Construction Budget'!$K75,0),CN$11&lt;=EOMONTH('Construction Budget'!$M75,0)),('Construction Budget'!$G75+SUM($G172:CM172))/ROUND(((EOMONTH('Construction Budget'!$M75,0)-EOMONTH(CN$11,0))/30)+1,0),0)</f>
        <v>0</v>
      </c>
      <c r="CO172" s="431">
        <f>-IF(AND(CO$11&gt;=EOMONTH('Construction Budget'!$K75,0),CO$11&lt;=EOMONTH('Construction Budget'!$M75,0)),('Construction Budget'!$G75+SUM($G172:CN172))/ROUND(((EOMONTH('Construction Budget'!$M75,0)-EOMONTH(CO$11,0))/30)+1,0),0)</f>
        <v>0</v>
      </c>
      <c r="CP172" s="431">
        <f>-IF(AND(CP$11&gt;=EOMONTH('Construction Budget'!$K75,0),CP$11&lt;=EOMONTH('Construction Budget'!$M75,0)),('Construction Budget'!$G75+SUM($G172:CO172))/ROUND(((EOMONTH('Construction Budget'!$M75,0)-EOMONTH(CP$11,0))/30)+1,0),0)</f>
        <v>0</v>
      </c>
      <c r="CQ172" s="431">
        <f>-IF(AND(CQ$11&gt;=EOMONTH('Construction Budget'!$K75,0),CQ$11&lt;=EOMONTH('Construction Budget'!$M75,0)),('Construction Budget'!$G75+SUM($G172:CP172))/ROUND(((EOMONTH('Construction Budget'!$M75,0)-EOMONTH(CQ$11,0))/30)+1,0),0)</f>
        <v>0</v>
      </c>
      <c r="CR172" s="431">
        <f>-IF(AND(CR$11&gt;=EOMONTH('Construction Budget'!$K75,0),CR$11&lt;=EOMONTH('Construction Budget'!$M75,0)),('Construction Budget'!$G75+SUM($G172:CQ172))/ROUND(((EOMONTH('Construction Budget'!$M75,0)-EOMONTH(CR$11,0))/30)+1,0),0)</f>
        <v>0</v>
      </c>
      <c r="CS172" s="431">
        <f>-IF(AND(CS$11&gt;=EOMONTH('Construction Budget'!$K75,0),CS$11&lt;=EOMONTH('Construction Budget'!$M75,0)),('Construction Budget'!$G75+SUM($G172:CR172))/ROUND(((EOMONTH('Construction Budget'!$M75,0)-EOMONTH(CS$11,0))/30)+1,0),0)</f>
        <v>0</v>
      </c>
      <c r="CT172" s="431">
        <f>-IF(AND(CT$11&gt;=EOMONTH('Construction Budget'!$K75,0),CT$11&lt;=EOMONTH('Construction Budget'!$M75,0)),('Construction Budget'!$G75+SUM($G172:CS172))/ROUND(((EOMONTH('Construction Budget'!$M75,0)-EOMONTH(CT$11,0))/30)+1,0),0)</f>
        <v>0</v>
      </c>
      <c r="CU172" s="431">
        <f>-IF(AND(CU$11&gt;=EOMONTH('Construction Budget'!$K75,0),CU$11&lt;=EOMONTH('Construction Budget'!$M75,0)),('Construction Budget'!$G75+SUM($G172:CT172))/ROUND(((EOMONTH('Construction Budget'!$M75,0)-EOMONTH(CU$11,0))/30)+1,0),0)</f>
        <v>0</v>
      </c>
      <c r="CV172" s="431">
        <f>-IF(AND(CV$11&gt;=EOMONTH('Construction Budget'!$K75,0),CV$11&lt;=EOMONTH('Construction Budget'!$M75,0)),('Construction Budget'!$G75+SUM($G172:CU172))/ROUND(((EOMONTH('Construction Budget'!$M75,0)-EOMONTH(CV$11,0))/30)+1,0),0)</f>
        <v>0</v>
      </c>
      <c r="CW172" s="431">
        <f>-IF(AND(CW$11&gt;=EOMONTH('Construction Budget'!$K75,0),CW$11&lt;=EOMONTH('Construction Budget'!$M75,0)),('Construction Budget'!$G75+SUM($G172:CV172))/ROUND(((EOMONTH('Construction Budget'!$M75,0)-EOMONTH(CW$11,0))/30)+1,0),0)</f>
        <v>0</v>
      </c>
      <c r="CX172" s="431">
        <f>-IF(AND(CX$11&gt;=EOMONTH('Construction Budget'!$K75,0),CX$11&lt;=EOMONTH('Construction Budget'!$M75,0)),('Construction Budget'!$G75+SUM($G172:CW172))/ROUND(((EOMONTH('Construction Budget'!$M75,0)-EOMONTH(CX$11,0))/30)+1,0),0)</f>
        <v>0</v>
      </c>
      <c r="CY172" s="431">
        <f>-IF(AND(CY$11&gt;=EOMONTH('Construction Budget'!$K75,0),CY$11&lt;=EOMONTH('Construction Budget'!$M75,0)),('Construction Budget'!$G75+SUM($G172:CX172))/ROUND(((EOMONTH('Construction Budget'!$M75,0)-EOMONTH(CY$11,0))/30)+1,0),0)</f>
        <v>0</v>
      </c>
      <c r="CZ172" s="431">
        <f>-IF(AND(CZ$11&gt;=EOMONTH('Construction Budget'!$K75,0),CZ$11&lt;=EOMONTH('Construction Budget'!$M75,0)),('Construction Budget'!$G75+SUM($G172:CY172))/ROUND(((EOMONTH('Construction Budget'!$M75,0)-EOMONTH(CZ$11,0))/30)+1,0),0)</f>
        <v>0</v>
      </c>
      <c r="DA172" s="431">
        <f>-IF(AND(DA$11&gt;=EOMONTH('Construction Budget'!$K75,0),DA$11&lt;=EOMONTH('Construction Budget'!$M75,0)),('Construction Budget'!$G75+SUM($G172:CZ172))/ROUND(((EOMONTH('Construction Budget'!$M75,0)-EOMONTH(DA$11,0))/30)+1,0),0)</f>
        <v>0</v>
      </c>
      <c r="DB172" s="431">
        <f>-IF(AND(DB$11&gt;=EOMONTH('Construction Budget'!$K75,0),DB$11&lt;=EOMONTH('Construction Budget'!$M75,0)),('Construction Budget'!$G75+SUM($G172:DA172))/ROUND(((EOMONTH('Construction Budget'!$M75,0)-EOMONTH(DB$11,0))/30)+1,0),0)</f>
        <v>0</v>
      </c>
      <c r="DC172" s="431">
        <f>-IF(AND(DC$11&gt;=EOMONTH('Construction Budget'!$K75,0),DC$11&lt;=EOMONTH('Construction Budget'!$M75,0)),('Construction Budget'!$G75+SUM($G172:DB172))/ROUND(((EOMONTH('Construction Budget'!$M75,0)-EOMONTH(DC$11,0))/30)+1,0),0)</f>
        <v>0</v>
      </c>
      <c r="DD172" s="431">
        <f>-IF(AND(DD$11&gt;=EOMONTH('Construction Budget'!$K75,0),DD$11&lt;=EOMONTH('Construction Budget'!$M75,0)),('Construction Budget'!$G75+SUM($G172:DC172))/ROUND(((EOMONTH('Construction Budget'!$M75,0)-EOMONTH(DD$11,0))/30)+1,0),0)</f>
        <v>0</v>
      </c>
      <c r="DE172" s="431">
        <f>-IF(AND(DE$11&gt;=EOMONTH('Construction Budget'!$K75,0),DE$11&lt;=EOMONTH('Construction Budget'!$M75,0)),('Construction Budget'!$G75+SUM($G172:DD172))/ROUND(((EOMONTH('Construction Budget'!$M75,0)-EOMONTH(DE$11,0))/30)+1,0),0)</f>
        <v>0</v>
      </c>
      <c r="DF172" s="431">
        <f>-IF(AND(DF$11&gt;=EOMONTH('Construction Budget'!$K75,0),DF$11&lt;=EOMONTH('Construction Budget'!$M75,0)),('Construction Budget'!$G75+SUM($G172:DE172))/ROUND(((EOMONTH('Construction Budget'!$M75,0)-EOMONTH(DF$11,0))/30)+1,0),0)</f>
        <v>0</v>
      </c>
      <c r="DG172" s="431">
        <f>-IF(AND(DG$11&gt;=EOMONTH('Construction Budget'!$K75,0),DG$11&lt;=EOMONTH('Construction Budget'!$M75,0)),('Construction Budget'!$G75+SUM($G172:DF172))/ROUND(((EOMONTH('Construction Budget'!$M75,0)-EOMONTH(DG$11,0))/30)+1,0),0)</f>
        <v>0</v>
      </c>
      <c r="DH172" s="431">
        <f>-IF(AND(DH$11&gt;=EOMONTH('Construction Budget'!$K75,0),DH$11&lt;=EOMONTH('Construction Budget'!$M75,0)),('Construction Budget'!$G75+SUM($G172:DG172))/ROUND(((EOMONTH('Construction Budget'!$M75,0)-EOMONTH(DH$11,0))/30)+1,0),0)</f>
        <v>0</v>
      </c>
      <c r="DI172" s="431">
        <f>-IF(AND(DI$11&gt;=EOMONTH('Construction Budget'!$K75,0),DI$11&lt;=EOMONTH('Construction Budget'!$M75,0)),('Construction Budget'!$G75+SUM($G172:DH172))/ROUND(((EOMONTH('Construction Budget'!$M75,0)-EOMONTH(DI$11,0))/30)+1,0),0)</f>
        <v>0</v>
      </c>
      <c r="DJ172" s="431">
        <f>-IF(AND(DJ$11&gt;=EOMONTH('Construction Budget'!$K75,0),DJ$11&lt;=EOMONTH('Construction Budget'!$M75,0)),('Construction Budget'!$G75+SUM($G172:DI172))/ROUND(((EOMONTH('Construction Budget'!$M75,0)-EOMONTH(DJ$11,0))/30)+1,0),0)</f>
        <v>0</v>
      </c>
      <c r="DK172" s="431">
        <f>-IF(AND(DK$11&gt;=EOMONTH('Construction Budget'!$K75,0),DK$11&lt;=EOMONTH('Construction Budget'!$M75,0)),('Construction Budget'!$G75+SUM($G172:DJ172))/ROUND(((EOMONTH('Construction Budget'!$M75,0)-EOMONTH(DK$11,0))/30)+1,0),0)</f>
        <v>0</v>
      </c>
      <c r="DL172" s="431">
        <f>-IF(AND(DL$11&gt;=EOMONTH('Construction Budget'!$K75,0),DL$11&lt;=EOMONTH('Construction Budget'!$M75,0)),('Construction Budget'!$G75+SUM($G172:DK172))/ROUND(((EOMONTH('Construction Budget'!$M75,0)-EOMONTH(DL$11,0))/30)+1,0),0)</f>
        <v>0</v>
      </c>
      <c r="DM172" s="431">
        <f>-IF(AND(DM$11&gt;=EOMONTH('Construction Budget'!$K75,0),DM$11&lt;=EOMONTH('Construction Budget'!$M75,0)),('Construction Budget'!$G75+SUM($G172:DL172))/ROUND(((EOMONTH('Construction Budget'!$M75,0)-EOMONTH(DM$11,0))/30)+1,0),0)</f>
        <v>0</v>
      </c>
      <c r="DN172" s="431">
        <f>-IF(AND(DN$11&gt;=EOMONTH('Construction Budget'!$K75,0),DN$11&lt;=EOMONTH('Construction Budget'!$M75,0)),('Construction Budget'!$G75+SUM($G172:DM172))/ROUND(((EOMONTH('Construction Budget'!$M75,0)-EOMONTH(DN$11,0))/30)+1,0),0)</f>
        <v>0</v>
      </c>
      <c r="DO172" s="431">
        <f>-IF(AND(DO$11&gt;=EOMONTH('Construction Budget'!$K75,0),DO$11&lt;=EOMONTH('Construction Budget'!$M75,0)),('Construction Budget'!$G75+SUM($G172:DN172))/ROUND(((EOMONTH('Construction Budget'!$M75,0)-EOMONTH(DO$11,0))/30)+1,0),0)</f>
        <v>0</v>
      </c>
      <c r="DP172" s="431">
        <f>-IF(AND(DP$11&gt;=EOMONTH('Construction Budget'!$K75,0),DP$11&lt;=EOMONTH('Construction Budget'!$M75,0)),('Construction Budget'!$G75+SUM($G172:DO172))/ROUND(((EOMONTH('Construction Budget'!$M75,0)-EOMONTH(DP$11,0))/30)+1,0),0)</f>
        <v>0</v>
      </c>
      <c r="DQ172" s="431">
        <f>-IF(AND(DQ$11&gt;=EOMONTH('Construction Budget'!$K75,0),DQ$11&lt;=EOMONTH('Construction Budget'!$M75,0)),('Construction Budget'!$G75+SUM($G172:DP172))/ROUND(((EOMONTH('Construction Budget'!$M75,0)-EOMONTH(DQ$11,0))/30)+1,0),0)</f>
        <v>0</v>
      </c>
      <c r="DR172" s="431">
        <f>-IF(AND(DR$11&gt;=EOMONTH('Construction Budget'!$K75,0),DR$11&lt;=EOMONTH('Construction Budget'!$M75,0)),('Construction Budget'!$G75+SUM($G172:DQ172))/ROUND(((EOMONTH('Construction Budget'!$M75,0)-EOMONTH(DR$11,0))/30)+1,0),0)</f>
        <v>0</v>
      </c>
      <c r="DS172" s="431">
        <f>-IF(AND(DS$11&gt;=EOMONTH('Construction Budget'!$K75,0),DS$11&lt;=EOMONTH('Construction Budget'!$M75,0)),('Construction Budget'!$G75+SUM($G172:DR172))/ROUND(((EOMONTH('Construction Budget'!$M75,0)-EOMONTH(DS$11,0))/30)+1,0),0)</f>
        <v>0</v>
      </c>
      <c r="DT172" s="431">
        <f>-IF(AND(DT$11&gt;=EOMONTH('Construction Budget'!$K75,0),DT$11&lt;=EOMONTH('Construction Budget'!$M75,0)),('Construction Budget'!$G75+SUM($G172:DS172))/ROUND(((EOMONTH('Construction Budget'!$M75,0)-EOMONTH(DT$11,0))/30)+1,0),0)</f>
        <v>0</v>
      </c>
      <c r="DU172" s="431">
        <f>-IF(AND(DU$11&gt;=EOMONTH('Construction Budget'!$K75,0),DU$11&lt;=EOMONTH('Construction Budget'!$M75,0)),('Construction Budget'!$G75+SUM($G172:DT172))/ROUND(((EOMONTH('Construction Budget'!$M75,0)-EOMONTH(DU$11,0))/30)+1,0),0)</f>
        <v>0</v>
      </c>
      <c r="DV172" s="431">
        <f>-IF(AND(DV$11&gt;=EOMONTH('Construction Budget'!$K75,0),DV$11&lt;=EOMONTH('Construction Budget'!$M75,0)),('Construction Budget'!$G75+SUM($G172:DU172))/ROUND(((EOMONTH('Construction Budget'!$M75,0)-EOMONTH(DV$11,0))/30)+1,0),0)</f>
        <v>0</v>
      </c>
      <c r="DW172" s="431">
        <f>-IF(AND(DW$11&gt;=EOMONTH('Construction Budget'!$K75,0),DW$11&lt;=EOMONTH('Construction Budget'!$M75,0)),('Construction Budget'!$G75+SUM($G172:DV172))/ROUND(((EOMONTH('Construction Budget'!$M75,0)-EOMONTH(DW$11,0))/30)+1,0),0)</f>
        <v>0</v>
      </c>
      <c r="DX172" s="431">
        <f>-IF(AND(DX$11&gt;=EOMONTH('Construction Budget'!$K75,0),DX$11&lt;=EOMONTH('Construction Budget'!$M75,0)),('Construction Budget'!$G75+SUM($G172:DW172))/ROUND(((EOMONTH('Construction Budget'!$M75,0)-EOMONTH(DX$11,0))/30)+1,0),0)</f>
        <v>0</v>
      </c>
      <c r="DY172" s="431">
        <f>-IF(AND(DY$11&gt;=EOMONTH('Construction Budget'!$K75,0),DY$11&lt;=EOMONTH('Construction Budget'!$M75,0)),('Construction Budget'!$G75+SUM($G172:DX172))/ROUND(((EOMONTH('Construction Budget'!$M75,0)-EOMONTH(DY$11,0))/30)+1,0),0)</f>
        <v>0</v>
      </c>
      <c r="DZ172" s="431">
        <f>-IF(AND(DZ$11&gt;=EOMONTH('Construction Budget'!$K75,0),DZ$11&lt;=EOMONTH('Construction Budget'!$M75,0)),('Construction Budget'!$G75+SUM($G172:DY172))/ROUND(((EOMONTH('Construction Budget'!$M75,0)-EOMONTH(DZ$11,0))/30)+1,0),0)</f>
        <v>0</v>
      </c>
      <c r="EA172" s="431">
        <f>-IF(AND(EA$11&gt;=EOMONTH('Construction Budget'!$K75,0),EA$11&lt;=EOMONTH('Construction Budget'!$M75,0)),('Construction Budget'!$G75+SUM($G172:DZ172))/ROUND(((EOMONTH('Construction Budget'!$M75,0)-EOMONTH(EA$11,0))/30)+1,0),0)</f>
        <v>0</v>
      </c>
      <c r="EB172" s="431">
        <f>-IF(AND(EB$11&gt;=EOMONTH('Construction Budget'!$K75,0),EB$11&lt;=EOMONTH('Construction Budget'!$M75,0)),('Construction Budget'!$G75+SUM($G172:EA172))/ROUND(((EOMONTH('Construction Budget'!$M75,0)-EOMONTH(EB$11,0))/30)+1,0),0)</f>
        <v>0</v>
      </c>
      <c r="EC172" s="431">
        <f>-IF(AND(EC$11&gt;=EOMONTH('Construction Budget'!$K75,0),EC$11&lt;=EOMONTH('Construction Budget'!$M75,0)),('Construction Budget'!$G75+SUM($G172:EB172))/ROUND(((EOMONTH('Construction Budget'!$M75,0)-EOMONTH(EC$11,0))/30)+1,0),0)</f>
        <v>0</v>
      </c>
      <c r="ED172" s="431">
        <f>-IF(AND(ED$11&gt;=EOMONTH('Construction Budget'!$K75,0),ED$11&lt;=EOMONTH('Construction Budget'!$M75,0)),('Construction Budget'!$G75+SUM($G172:EC172))/ROUND(((EOMONTH('Construction Budget'!$M75,0)-EOMONTH(ED$11,0))/30)+1,0),0)</f>
        <v>0</v>
      </c>
      <c r="EE172" s="431">
        <f>-IF(AND(EE$11&gt;=EOMONTH('Construction Budget'!$K75,0),EE$11&lt;=EOMONTH('Construction Budget'!$M75,0)),('Construction Budget'!$G75+SUM($G172:ED172))/ROUND(((EOMONTH('Construction Budget'!$M75,0)-EOMONTH(EE$11,0))/30)+1,0),0)</f>
        <v>0</v>
      </c>
      <c r="EF172" s="431">
        <f>-IF(AND(EF$11&gt;=EOMONTH('Construction Budget'!$K75,0),EF$11&lt;=EOMONTH('Construction Budget'!$M75,0)),('Construction Budget'!$G75+SUM($G172:EE172))/ROUND(((EOMONTH('Construction Budget'!$M75,0)-EOMONTH(EF$11,0))/30)+1,0),0)</f>
        <v>0</v>
      </c>
      <c r="EG172" s="431">
        <f>-IF(AND(EG$11&gt;=EOMONTH('Construction Budget'!$K75,0),EG$11&lt;=EOMONTH('Construction Budget'!$M75,0)),('Construction Budget'!$G75+SUM($G172:EF172))/ROUND(((EOMONTH('Construction Budget'!$M75,0)-EOMONTH(EG$11,0))/30)+1,0),0)</f>
        <v>0</v>
      </c>
      <c r="EH172" s="431">
        <f>-IF(AND(EH$11&gt;=EOMONTH('Construction Budget'!$K75,0),EH$11&lt;=EOMONTH('Construction Budget'!$M75,0)),('Construction Budget'!$G75+SUM($G172:EG172))/ROUND(((EOMONTH('Construction Budget'!$M75,0)-EOMONTH(EH$11,0))/30)+1,0),0)</f>
        <v>0</v>
      </c>
      <c r="EI172" s="431">
        <f>-IF(AND(EI$11&gt;=EOMONTH('Construction Budget'!$K75,0),EI$11&lt;=EOMONTH('Construction Budget'!$M75,0)),('Construction Budget'!$G75+SUM($G172:EH172))/ROUND(((EOMONTH('Construction Budget'!$M75,0)-EOMONTH(EI$11,0))/30)+1,0),0)</f>
        <v>0</v>
      </c>
      <c r="EJ172" s="431">
        <f>-IF(AND(EJ$11&gt;=EOMONTH('Construction Budget'!$K75,0),EJ$11&lt;=EOMONTH('Construction Budget'!$M75,0)),('Construction Budget'!$G75+SUM($G172:EI172))/ROUND(((EOMONTH('Construction Budget'!$M75,0)-EOMONTH(EJ$11,0))/30)+1,0),0)</f>
        <v>0</v>
      </c>
      <c r="EK172" s="431">
        <f>-IF(AND(EK$11&gt;=EOMONTH('Construction Budget'!$K75,0),EK$11&lt;=EOMONTH('Construction Budget'!$M75,0)),('Construction Budget'!$G75+SUM($G172:EJ172))/ROUND(((EOMONTH('Construction Budget'!$M75,0)-EOMONTH(EK$11,0))/30)+1,0),0)</f>
        <v>0</v>
      </c>
      <c r="EL172" s="431">
        <f>-IF(AND(EL$11&gt;=EOMONTH('Construction Budget'!$K75,0),EL$11&lt;=EOMONTH('Construction Budget'!$M75,0)),('Construction Budget'!$G75+SUM($G172:EK172))/ROUND(((EOMONTH('Construction Budget'!$M75,0)-EOMONTH(EL$11,0))/30)+1,0),0)</f>
        <v>0</v>
      </c>
      <c r="EM172" s="431">
        <f>-IF(AND(EM$11&gt;=EOMONTH('Construction Budget'!$K75,0),EM$11&lt;=EOMONTH('Construction Budget'!$M75,0)),('Construction Budget'!$G75+SUM($G172:EL172))/ROUND(((EOMONTH('Construction Budget'!$M75,0)-EOMONTH(EM$11,0))/30)+1,0),0)</f>
        <v>0</v>
      </c>
      <c r="EN172" s="431">
        <f>-IF(AND(EN$11&gt;=EOMONTH('Construction Budget'!$K75,0),EN$11&lt;=EOMONTH('Construction Budget'!$M75,0)),('Construction Budget'!$G75+SUM($G172:EM172))/ROUND(((EOMONTH('Construction Budget'!$M75,0)-EOMONTH(EN$11,0))/30)+1,0),0)</f>
        <v>0</v>
      </c>
      <c r="EO172" s="431">
        <f>-IF(AND(EO$11&gt;=EOMONTH('Construction Budget'!$K75,0),EO$11&lt;=EOMONTH('Construction Budget'!$M75,0)),('Construction Budget'!$G75+SUM($G172:EN172))/ROUND(((EOMONTH('Construction Budget'!$M75,0)-EOMONTH(EO$11,0))/30)+1,0),0)</f>
        <v>0</v>
      </c>
      <c r="EP172" s="431">
        <f>-IF(AND(EP$11&gt;=EOMONTH('Construction Budget'!$K75,0),EP$11&lt;=EOMONTH('Construction Budget'!$M75,0)),('Construction Budget'!$G75+SUM($G172:EO172))/ROUND(((EOMONTH('Construction Budget'!$M75,0)-EOMONTH(EP$11,0))/30)+1,0),0)</f>
        <v>0</v>
      </c>
      <c r="EQ172" s="431">
        <f>-IF(AND(EQ$11&gt;=EOMONTH('Construction Budget'!$K75,0),EQ$11&lt;=EOMONTH('Construction Budget'!$M75,0)),('Construction Budget'!$G75+SUM($G172:EP172))/ROUND(((EOMONTH('Construction Budget'!$M75,0)-EOMONTH(EQ$11,0))/30)+1,0),0)</f>
        <v>0</v>
      </c>
      <c r="ER172" s="431">
        <f>-IF(AND(ER$11&gt;=EOMONTH('Construction Budget'!$K75,0),ER$11&lt;=EOMONTH('Construction Budget'!$M75,0)),('Construction Budget'!$G75+SUM($G172:EQ172))/ROUND(((EOMONTH('Construction Budget'!$M75,0)-EOMONTH(ER$11,0))/30)+1,0),0)</f>
        <v>0</v>
      </c>
      <c r="ES172" s="431">
        <f>-IF(AND(ES$11&gt;=EOMONTH('Construction Budget'!$K75,0),ES$11&lt;=EOMONTH('Construction Budget'!$M75,0)),('Construction Budget'!$G75+SUM($G172:ER172))/ROUND(((EOMONTH('Construction Budget'!$M75,0)-EOMONTH(ES$11,0))/30)+1,0),0)</f>
        <v>0</v>
      </c>
      <c r="ET172" s="431">
        <f>-IF(AND(ET$11&gt;=EOMONTH('Construction Budget'!$K75,0),ET$11&lt;=EOMONTH('Construction Budget'!$M75,0)),('Construction Budget'!$G75+SUM($G172:ES172))/ROUND(((EOMONTH('Construction Budget'!$M75,0)-EOMONTH(ET$11,0))/30)+1,0),0)</f>
        <v>0</v>
      </c>
      <c r="EU172" s="431">
        <f>-IF(AND(EU$11&gt;=EOMONTH('Construction Budget'!$K75,0),EU$11&lt;=EOMONTH('Construction Budget'!$M75,0)),('Construction Budget'!$G75+SUM($G172:ET172))/ROUND(((EOMONTH('Construction Budget'!$M75,0)-EOMONTH(EU$11,0))/30)+1,0),0)</f>
        <v>0</v>
      </c>
      <c r="EV172" s="431">
        <f>-IF(AND(EV$11&gt;=EOMONTH('Construction Budget'!$K75,0),EV$11&lt;=EOMONTH('Construction Budget'!$M75,0)),('Construction Budget'!$G75+SUM($G172:EU172))/ROUND(((EOMONTH('Construction Budget'!$M75,0)-EOMONTH(EV$11,0))/30)+1,0),0)</f>
        <v>0</v>
      </c>
      <c r="EW172" s="431">
        <f>-IF(AND(EW$11&gt;=EOMONTH('Construction Budget'!$K75,0),EW$11&lt;=EOMONTH('Construction Budget'!$M75,0)),('Construction Budget'!$G75+SUM($G172:EV172))/ROUND(((EOMONTH('Construction Budget'!$M75,0)-EOMONTH(EW$11,0))/30)+1,0),0)</f>
        <v>0</v>
      </c>
      <c r="EX172" s="431">
        <f>-IF(AND(EX$11&gt;=EOMONTH('Construction Budget'!$K75,0),EX$11&lt;=EOMONTH('Construction Budget'!$M75,0)),('Construction Budget'!$G75+SUM($G172:EW172))/ROUND(((EOMONTH('Construction Budget'!$M75,0)-EOMONTH(EX$11,0))/30)+1,0),0)</f>
        <v>0</v>
      </c>
      <c r="EY172" s="431">
        <f>-IF(AND(EY$11&gt;=EOMONTH('Construction Budget'!$K75,0),EY$11&lt;=EOMONTH('Construction Budget'!$M75,0)),('Construction Budget'!$G75+SUM($G172:EX172))/ROUND(((EOMONTH('Construction Budget'!$M75,0)-EOMONTH(EY$11,0))/30)+1,0),0)</f>
        <v>0</v>
      </c>
      <c r="EZ172" s="431">
        <f>-IF(AND(EZ$11&gt;=EOMONTH('Construction Budget'!$K75,0),EZ$11&lt;=EOMONTH('Construction Budget'!$M75,0)),('Construction Budget'!$G75+SUM($G172:EY172))/ROUND(((EOMONTH('Construction Budget'!$M75,0)-EOMONTH(EZ$11,0))/30)+1,0),0)</f>
        <v>0</v>
      </c>
      <c r="FA172" s="431">
        <f>-IF(AND(FA$11&gt;=EOMONTH('Construction Budget'!$K75,0),FA$11&lt;=EOMONTH('Construction Budget'!$M75,0)),('Construction Budget'!$G75+SUM($G172:EZ172))/ROUND(((EOMONTH('Construction Budget'!$M75,0)-EOMONTH(FA$11,0))/30)+1,0),0)</f>
        <v>0</v>
      </c>
      <c r="FB172" s="431">
        <f>-IF(AND(FB$11&gt;=EOMONTH('Construction Budget'!$K75,0),FB$11&lt;=EOMONTH('Construction Budget'!$M75,0)),('Construction Budget'!$G75+SUM($G172:FA172))/ROUND(((EOMONTH('Construction Budget'!$M75,0)-EOMONTH(FB$11,0))/30)+1,0),0)</f>
        <v>0</v>
      </c>
      <c r="FC172" s="431">
        <f>-IF(AND(FC$11&gt;=EOMONTH('Construction Budget'!$K75,0),FC$11&lt;=EOMONTH('Construction Budget'!$M75,0)),('Construction Budget'!$G75+SUM($G172:FB172))/ROUND(((EOMONTH('Construction Budget'!$M75,0)-EOMONTH(FC$11,0))/30)+1,0),0)</f>
        <v>0</v>
      </c>
      <c r="FD172" s="431">
        <f>-IF(AND(FD$11&gt;=EOMONTH('Construction Budget'!$K75,0),FD$11&lt;=EOMONTH('Construction Budget'!$M75,0)),('Construction Budget'!$G75+SUM($G172:FC172))/ROUND(((EOMONTH('Construction Budget'!$M75,0)-EOMONTH(FD$11,0))/30)+1,0),0)</f>
        <v>0</v>
      </c>
      <c r="FE172" s="431">
        <f>-IF(AND(FE$11&gt;=EOMONTH('Construction Budget'!$K75,0),FE$11&lt;=EOMONTH('Construction Budget'!$M75,0)),('Construction Budget'!$G75+SUM($G172:FD172))/ROUND(((EOMONTH('Construction Budget'!$M75,0)-EOMONTH(FE$11,0))/30)+1,0),0)</f>
        <v>0</v>
      </c>
      <c r="FF172" s="431">
        <f>-IF(AND(FF$11&gt;=EOMONTH('Construction Budget'!$K75,0),FF$11&lt;=EOMONTH('Construction Budget'!$M75,0)),('Construction Budget'!$G75+SUM($G172:FE172))/ROUND(((EOMONTH('Construction Budget'!$M75,0)-EOMONTH(FF$11,0))/30)+1,0),0)</f>
        <v>0</v>
      </c>
      <c r="FG172" s="431">
        <f>-IF(AND(FG$11&gt;=EOMONTH('Construction Budget'!$K75,0),FG$11&lt;=EOMONTH('Construction Budget'!$M75,0)),('Construction Budget'!$G75+SUM($G172:FF172))/ROUND(((EOMONTH('Construction Budget'!$M75,0)-EOMONTH(FG$11,0))/30)+1,0),0)</f>
        <v>0</v>
      </c>
      <c r="FH172" s="431">
        <f>-IF(AND(FH$11&gt;=EOMONTH('Construction Budget'!$K75,0),FH$11&lt;=EOMONTH('Construction Budget'!$M75,0)),('Construction Budget'!$G75+SUM($G172:FG172))/ROUND(((EOMONTH('Construction Budget'!$M75,0)-EOMONTH(FH$11,0))/30)+1,0),0)</f>
        <v>0</v>
      </c>
      <c r="FI172" s="431">
        <f>-IF(AND(FI$11&gt;=EOMONTH('Construction Budget'!$K75,0),FI$11&lt;=EOMONTH('Construction Budget'!$M75,0)),('Construction Budget'!$G75+SUM($G172:FH172))/ROUND(((EOMONTH('Construction Budget'!$M75,0)-EOMONTH(FI$11,0))/30)+1,0),0)</f>
        <v>0</v>
      </c>
      <c r="FJ172" s="431">
        <f>-IF(AND(FJ$11&gt;=EOMONTH('Construction Budget'!$K75,0),FJ$11&lt;=EOMONTH('Construction Budget'!$M75,0)),('Construction Budget'!$G75+SUM($G172:FI172))/ROUND(((EOMONTH('Construction Budget'!$M75,0)-EOMONTH(FJ$11,0))/30)+1,0),0)</f>
        <v>0</v>
      </c>
      <c r="FK172" s="431">
        <f>-IF(AND(FK$11&gt;=EOMONTH('Construction Budget'!$K75,0),FK$11&lt;=EOMONTH('Construction Budget'!$M75,0)),('Construction Budget'!$G75+SUM($G172:FJ172))/ROUND(((EOMONTH('Construction Budget'!$M75,0)-EOMONTH(FK$11,0))/30)+1,0),0)</f>
        <v>0</v>
      </c>
      <c r="FL172" s="431">
        <f>-IF(AND(FL$11&gt;=EOMONTH('Construction Budget'!$K75,0),FL$11&lt;=EOMONTH('Construction Budget'!$M75,0)),('Construction Budget'!$G75+SUM($G172:FK172))/ROUND(((EOMONTH('Construction Budget'!$M75,0)-EOMONTH(FL$11,0))/30)+1,0),0)</f>
        <v>0</v>
      </c>
      <c r="FM172" s="431">
        <f>-IF(AND(FM$11&gt;=EOMONTH('Construction Budget'!$K75,0),FM$11&lt;=EOMONTH('Construction Budget'!$M75,0)),('Construction Budget'!$G75+SUM($G172:FL172))/ROUND(((EOMONTH('Construction Budget'!$M75,0)-EOMONTH(FM$11,0))/30)+1,0),0)</f>
        <v>0</v>
      </c>
      <c r="FN172" s="431">
        <f>-IF(AND(FN$11&gt;=EOMONTH('Construction Budget'!$K75,0),FN$11&lt;=EOMONTH('Construction Budget'!$M75,0)),('Construction Budget'!$G75+SUM($G172:FM172))/ROUND(((EOMONTH('Construction Budget'!$M75,0)-EOMONTH(FN$11,0))/30)+1,0),0)</f>
        <v>0</v>
      </c>
      <c r="FO172" s="431">
        <f>-IF(AND(FO$11&gt;=EOMONTH('Construction Budget'!$K75,0),FO$11&lt;=EOMONTH('Construction Budget'!$M75,0)),('Construction Budget'!$G75+SUM($G172:FN172))/ROUND(((EOMONTH('Construction Budget'!$M75,0)-EOMONTH(FO$11,0))/30)+1,0),0)</f>
        <v>0</v>
      </c>
      <c r="FP172" s="431">
        <f>-IF(AND(FP$11&gt;=EOMONTH('Construction Budget'!$K75,0),FP$11&lt;=EOMONTH('Construction Budget'!$M75,0)),('Construction Budget'!$G75+SUM($G172:FO172))/ROUND(((EOMONTH('Construction Budget'!$M75,0)-EOMONTH(FP$11,0))/30)+1,0),0)</f>
        <v>0</v>
      </c>
      <c r="FQ172" s="431">
        <f>-IF(AND(FQ$11&gt;=EOMONTH('Construction Budget'!$K75,0),FQ$11&lt;=EOMONTH('Construction Budget'!$M75,0)),('Construction Budget'!$G75+SUM($G172:FP172))/ROUND(((EOMONTH('Construction Budget'!$M75,0)-EOMONTH(FQ$11,0))/30)+1,0),0)</f>
        <v>0</v>
      </c>
      <c r="FR172" s="431">
        <f>-IF(AND(FR$11&gt;=EOMONTH('Construction Budget'!$K75,0),FR$11&lt;=EOMONTH('Construction Budget'!$M75,0)),('Construction Budget'!$G75+SUM($G172:FQ172))/ROUND(((EOMONTH('Construction Budget'!$M75,0)-EOMONTH(FR$11,0))/30)+1,0),0)</f>
        <v>0</v>
      </c>
      <c r="FS172" s="431">
        <f>-IF(AND(FS$11&gt;=EOMONTH('Construction Budget'!$K75,0),FS$11&lt;=EOMONTH('Construction Budget'!$M75,0)),('Construction Budget'!$G75+SUM($G172:FR172))/ROUND(((EOMONTH('Construction Budget'!$M75,0)-EOMONTH(FS$11,0))/30)+1,0),0)</f>
        <v>0</v>
      </c>
      <c r="FT172" s="431">
        <f>-IF(AND(FT$11&gt;=EOMONTH('Construction Budget'!$K75,0),FT$11&lt;=EOMONTH('Construction Budget'!$M75,0)),('Construction Budget'!$G75+SUM($G172:FS172))/ROUND(((EOMONTH('Construction Budget'!$M75,0)-EOMONTH(FT$11,0))/30)+1,0),0)</f>
        <v>0</v>
      </c>
      <c r="FU172" s="43"/>
      <c r="FV172" s="34"/>
      <c r="FW172" s="34"/>
      <c r="FX172" s="34"/>
      <c r="FY172" s="34"/>
      <c r="FZ172" s="34"/>
    </row>
    <row r="173" spans="1:182" s="89" customFormat="1" ht="13.5" hidden="1" outlineLevel="1" x14ac:dyDescent="0.25">
      <c r="A173" s="498"/>
      <c r="B173" s="43"/>
      <c r="C173" s="34"/>
      <c r="D173" s="34"/>
      <c r="E173" s="34"/>
      <c r="F173" s="5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  <c r="FH173" s="34"/>
      <c r="FI173" s="34"/>
      <c r="FJ173" s="34"/>
      <c r="FK173" s="34"/>
      <c r="FL173" s="34"/>
      <c r="FM173" s="34"/>
      <c r="FN173" s="34"/>
      <c r="FO173" s="34"/>
      <c r="FP173" s="34"/>
      <c r="FQ173" s="34"/>
      <c r="FR173" s="34"/>
      <c r="FS173" s="34"/>
      <c r="FT173" s="34"/>
      <c r="FU173" s="43"/>
      <c r="FV173" s="34"/>
      <c r="FW173" s="34"/>
      <c r="FX173" s="34"/>
      <c r="FY173" s="34"/>
      <c r="FZ173" s="34"/>
    </row>
    <row r="174" spans="1:182" s="89" customFormat="1" ht="13.5" hidden="1" outlineLevel="1" x14ac:dyDescent="0.25">
      <c r="A174" s="498"/>
      <c r="B174" s="73" t="s">
        <v>249</v>
      </c>
      <c r="C174" s="34"/>
      <c r="D174" s="34"/>
      <c r="E174" s="34"/>
      <c r="F174" s="5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  <c r="FH174" s="34"/>
      <c r="FI174" s="34"/>
      <c r="FJ174" s="34"/>
      <c r="FK174" s="34"/>
      <c r="FL174" s="34"/>
      <c r="FM174" s="34"/>
      <c r="FN174" s="34"/>
      <c r="FO174" s="34"/>
      <c r="FP174" s="34"/>
      <c r="FQ174" s="34"/>
      <c r="FR174" s="34"/>
      <c r="FS174" s="34"/>
      <c r="FT174" s="34"/>
      <c r="FU174" s="43"/>
      <c r="FV174" s="34"/>
      <c r="FW174" s="34"/>
      <c r="FX174" s="34"/>
      <c r="FY174" s="34"/>
      <c r="FZ174" s="34"/>
    </row>
    <row r="175" spans="1:182" s="89" customFormat="1" ht="13.5" hidden="1" outlineLevel="1" x14ac:dyDescent="0.25">
      <c r="A175" s="498"/>
      <c r="B175" s="128" t="str">
        <f>'Construction Budget'!B29</f>
        <v>Due Diligence</v>
      </c>
      <c r="C175" s="34"/>
      <c r="D175" s="34"/>
      <c r="E175" s="34"/>
      <c r="F175" s="434">
        <f>SUM(H175:FT175)</f>
        <v>-200000</v>
      </c>
      <c r="G175" s="34"/>
      <c r="H175" s="427">
        <f>-IF(AND(H$11&gt;=EOMONTH('Construction Budget'!$K29,0),H$11&lt;=EOMONTH('Construction Budget'!$M29,0)),('Construction Budget'!$G29+SUM($G175:G175))/ROUND(((EOMONTH('Construction Budget'!$M29,0)-EOMONTH(H$11,0))/30)+1,0),0)</f>
        <v>0</v>
      </c>
      <c r="I175" s="427">
        <f>-IF(AND(I$11&gt;=EOMONTH('Construction Budget'!$K29,0),I$11&lt;=EOMONTH('Construction Budget'!$M29,0)),('Construction Budget'!$G29+SUM($G175:H175))/ROUND(((EOMONTH('Construction Budget'!$M29,0)-EOMONTH(I$11,0))/30)+1,0),0)</f>
        <v>0</v>
      </c>
      <c r="J175" s="427">
        <f>-IF(AND(J$11&gt;=EOMONTH('Construction Budget'!$K29,0),J$11&lt;=EOMONTH('Construction Budget'!$M29,0)),('Construction Budget'!$G29+SUM($G175:I175))/ROUND(((EOMONTH('Construction Budget'!$M29,0)-EOMONTH(J$11,0))/30)+1,0),0)</f>
        <v>-22222.222222222223</v>
      </c>
      <c r="K175" s="427">
        <f>-IF(AND(K$11&gt;=EOMONTH('Construction Budget'!$K29,0),K$11&lt;=EOMONTH('Construction Budget'!$M29,0)),('Construction Budget'!$G29+SUM($G175:J175))/ROUND(((EOMONTH('Construction Budget'!$M29,0)-EOMONTH(K$11,0))/30)+1,0),0)</f>
        <v>-22222.222222222223</v>
      </c>
      <c r="L175" s="427">
        <f>-IF(AND(L$11&gt;=EOMONTH('Construction Budget'!$K29,0),L$11&lt;=EOMONTH('Construction Budget'!$M29,0)),('Construction Budget'!$G29+SUM($G175:K175))/ROUND(((EOMONTH('Construction Budget'!$M29,0)-EOMONTH(L$11,0))/30)+1,0),0)</f>
        <v>-22222.222222222223</v>
      </c>
      <c r="M175" s="427">
        <f>-IF(AND(M$11&gt;=EOMONTH('Construction Budget'!$K29,0),M$11&lt;=EOMONTH('Construction Budget'!$M29,0)),('Construction Budget'!$G29+SUM($G175:L175))/ROUND(((EOMONTH('Construction Budget'!$M29,0)-EOMONTH(M$11,0))/30)+1,0),0)</f>
        <v>-22222.222222222219</v>
      </c>
      <c r="N175" s="427">
        <f>-IF(AND(N$11&gt;=EOMONTH('Construction Budget'!$K29,0),N$11&lt;=EOMONTH('Construction Budget'!$M29,0)),('Construction Budget'!$G29+SUM($G175:M175))/ROUND(((EOMONTH('Construction Budget'!$M29,0)-EOMONTH(N$11,0))/30)+1,0),0)</f>
        <v>-22222.222222222223</v>
      </c>
      <c r="O175" s="427">
        <f>-IF(AND(O$11&gt;=EOMONTH('Construction Budget'!$K29,0),O$11&lt;=EOMONTH('Construction Budget'!$M29,0)),('Construction Budget'!$G29+SUM($G175:N175))/ROUND(((EOMONTH('Construction Budget'!$M29,0)-EOMONTH(O$11,0))/30)+1,0),0)</f>
        <v>-22222.222222222223</v>
      </c>
      <c r="P175" s="427">
        <f>-IF(AND(P$11&gt;=EOMONTH('Construction Budget'!$K29,0),P$11&lt;=EOMONTH('Construction Budget'!$M29,0)),('Construction Budget'!$G29+SUM($G175:O175))/ROUND(((EOMONTH('Construction Budget'!$M29,0)-EOMONTH(P$11,0))/30)+1,0),0)</f>
        <v>-22222.222222222219</v>
      </c>
      <c r="Q175" s="427">
        <f>-IF(AND(Q$11&gt;=EOMONTH('Construction Budget'!$K29,0),Q$11&lt;=EOMONTH('Construction Budget'!$M29,0)),('Construction Budget'!$G29+SUM($G175:P175))/ROUND(((EOMONTH('Construction Budget'!$M29,0)-EOMONTH(Q$11,0))/30)+1,0),0)</f>
        <v>-22222.222222222219</v>
      </c>
      <c r="R175" s="427">
        <f>-IF(AND(R$11&gt;=EOMONTH('Construction Budget'!$K29,0),R$11&lt;=EOMONTH('Construction Budget'!$M29,0)),('Construction Budget'!$G29+SUM($G175:Q175))/ROUND(((EOMONTH('Construction Budget'!$M29,0)-EOMONTH(R$11,0))/30)+1,0),0)</f>
        <v>-22222.222222222219</v>
      </c>
      <c r="S175" s="427">
        <f>-IF(AND(S$11&gt;=EOMONTH('Construction Budget'!$K29,0),S$11&lt;=EOMONTH('Construction Budget'!$M29,0)),('Construction Budget'!$G29+SUM($G175:R175))/ROUND(((EOMONTH('Construction Budget'!$M29,0)-EOMONTH(S$11,0))/30)+1,0),0)</f>
        <v>0</v>
      </c>
      <c r="T175" s="427">
        <f>-IF(AND(T$11&gt;=EOMONTH('Construction Budget'!$K29,0),T$11&lt;=EOMONTH('Construction Budget'!$M29,0)),('Construction Budget'!$G29+SUM($G175:S175))/ROUND(((EOMONTH('Construction Budget'!$M29,0)-EOMONTH(T$11,0))/30)+1,0),0)</f>
        <v>0</v>
      </c>
      <c r="U175" s="427">
        <f>-IF(AND(U$11&gt;=EOMONTH('Construction Budget'!$K29,0),U$11&lt;=EOMONTH('Construction Budget'!$M29,0)),('Construction Budget'!$G29+SUM($G175:T175))/ROUND(((EOMONTH('Construction Budget'!$M29,0)-EOMONTH(U$11,0))/30)+1,0),0)</f>
        <v>0</v>
      </c>
      <c r="V175" s="427">
        <f>-IF(AND(V$11&gt;=EOMONTH('Construction Budget'!$K29,0),V$11&lt;=EOMONTH('Construction Budget'!$M29,0)),('Construction Budget'!$G29+SUM($G175:U175))/ROUND(((EOMONTH('Construction Budget'!$M29,0)-EOMONTH(V$11,0))/30)+1,0),0)</f>
        <v>0</v>
      </c>
      <c r="W175" s="427">
        <f>-IF(AND(W$11&gt;=EOMONTH('Construction Budget'!$K29,0),W$11&lt;=EOMONTH('Construction Budget'!$M29,0)),('Construction Budget'!$G29+SUM($G175:V175))/ROUND(((EOMONTH('Construction Budget'!$M29,0)-EOMONTH(W$11,0))/30)+1,0),0)</f>
        <v>0</v>
      </c>
      <c r="X175" s="427">
        <f>-IF(AND(X$11&gt;=EOMONTH('Construction Budget'!$K29,0),X$11&lt;=EOMONTH('Construction Budget'!$M29,0)),('Construction Budget'!$G29+SUM($G175:W175))/ROUND(((EOMONTH('Construction Budget'!$M29,0)-EOMONTH(X$11,0))/30)+1,0),0)</f>
        <v>0</v>
      </c>
      <c r="Y175" s="427">
        <f>-IF(AND(Y$11&gt;=EOMONTH('Construction Budget'!$K29,0),Y$11&lt;=EOMONTH('Construction Budget'!$M29,0)),('Construction Budget'!$G29+SUM($G175:X175))/ROUND(((EOMONTH('Construction Budget'!$M29,0)-EOMONTH(Y$11,0))/30)+1,0),0)</f>
        <v>0</v>
      </c>
      <c r="Z175" s="427">
        <f>-IF(AND(Z$11&gt;=EOMONTH('Construction Budget'!$K29,0),Z$11&lt;=EOMONTH('Construction Budget'!$M29,0)),('Construction Budget'!$G29+SUM($G175:Y175))/ROUND(((EOMONTH('Construction Budget'!$M29,0)-EOMONTH(Z$11,0))/30)+1,0),0)</f>
        <v>0</v>
      </c>
      <c r="AA175" s="427">
        <f>-IF(AND(AA$11&gt;=EOMONTH('Construction Budget'!$K29,0),AA$11&lt;=EOMONTH('Construction Budget'!$M29,0)),('Construction Budget'!$G29+SUM($G175:Z175))/ROUND(((EOMONTH('Construction Budget'!$M29,0)-EOMONTH(AA$11,0))/30)+1,0),0)</f>
        <v>0</v>
      </c>
      <c r="AB175" s="427">
        <f>-IF(AND(AB$11&gt;=EOMONTH('Construction Budget'!$K29,0),AB$11&lt;=EOMONTH('Construction Budget'!$M29,0)),('Construction Budget'!$G29+SUM($G175:AA175))/ROUND(((EOMONTH('Construction Budget'!$M29,0)-EOMONTH(AB$11,0))/30)+1,0),0)</f>
        <v>0</v>
      </c>
      <c r="AC175" s="427">
        <f>-IF(AND(AC$11&gt;=EOMONTH('Construction Budget'!$K29,0),AC$11&lt;=EOMONTH('Construction Budget'!$M29,0)),('Construction Budget'!$G29+SUM($G175:AB175))/ROUND(((EOMONTH('Construction Budget'!$M29,0)-EOMONTH(AC$11,0))/30)+1,0),0)</f>
        <v>0</v>
      </c>
      <c r="AD175" s="427">
        <f>-IF(AND(AD$11&gt;=EOMONTH('Construction Budget'!$K29,0),AD$11&lt;=EOMONTH('Construction Budget'!$M29,0)),('Construction Budget'!$G29+SUM($G175:AC175))/ROUND(((EOMONTH('Construction Budget'!$M29,0)-EOMONTH(AD$11,0))/30)+1,0),0)</f>
        <v>0</v>
      </c>
      <c r="AE175" s="427">
        <f>-IF(AND(AE$11&gt;=EOMONTH('Construction Budget'!$K29,0),AE$11&lt;=EOMONTH('Construction Budget'!$M29,0)),('Construction Budget'!$G29+SUM($G175:AD175))/ROUND(((EOMONTH('Construction Budget'!$M29,0)-EOMONTH(AE$11,0))/30)+1,0),0)</f>
        <v>0</v>
      </c>
      <c r="AF175" s="427">
        <f>-IF(AND(AF$11&gt;=EOMONTH('Construction Budget'!$K29,0),AF$11&lt;=EOMONTH('Construction Budget'!$M29,0)),('Construction Budget'!$G29+SUM($G175:AE175))/ROUND(((EOMONTH('Construction Budget'!$M29,0)-EOMONTH(AF$11,0))/30)+1,0),0)</f>
        <v>0</v>
      </c>
      <c r="AG175" s="427">
        <f>-IF(AND(AG$11&gt;=EOMONTH('Construction Budget'!$K29,0),AG$11&lt;=EOMONTH('Construction Budget'!$M29,0)),('Construction Budget'!$G29+SUM($G175:AF175))/ROUND(((EOMONTH('Construction Budget'!$M29,0)-EOMONTH(AG$11,0))/30)+1,0),0)</f>
        <v>0</v>
      </c>
      <c r="AH175" s="427">
        <f>-IF(AND(AH$11&gt;=EOMONTH('Construction Budget'!$K29,0),AH$11&lt;=EOMONTH('Construction Budget'!$M29,0)),('Construction Budget'!$G29+SUM($G175:AG175))/ROUND(((EOMONTH('Construction Budget'!$M29,0)-EOMONTH(AH$11,0))/30)+1,0),0)</f>
        <v>0</v>
      </c>
      <c r="AI175" s="427">
        <f>-IF(AND(AI$11&gt;=EOMONTH('Construction Budget'!$K29,0),AI$11&lt;=EOMONTH('Construction Budget'!$M29,0)),('Construction Budget'!$G29+SUM($G175:AH175))/ROUND(((EOMONTH('Construction Budget'!$M29,0)-EOMONTH(AI$11,0))/30)+1,0),0)</f>
        <v>0</v>
      </c>
      <c r="AJ175" s="427">
        <f>-IF(AND(AJ$11&gt;=EOMONTH('Construction Budget'!$K29,0),AJ$11&lt;=EOMONTH('Construction Budget'!$M29,0)),('Construction Budget'!$G29+SUM($G175:AI175))/ROUND(((EOMONTH('Construction Budget'!$M29,0)-EOMONTH(AJ$11,0))/30)+1,0),0)</f>
        <v>0</v>
      </c>
      <c r="AK175" s="427">
        <f>-IF(AND(AK$11&gt;=EOMONTH('Construction Budget'!$K29,0),AK$11&lt;=EOMONTH('Construction Budget'!$M29,0)),('Construction Budget'!$G29+SUM($G175:AJ175))/ROUND(((EOMONTH('Construction Budget'!$M29,0)-EOMONTH(AK$11,0))/30)+1,0),0)</f>
        <v>0</v>
      </c>
      <c r="AL175" s="427">
        <f>-IF(AND(AL$11&gt;=EOMONTH('Construction Budget'!$K29,0),AL$11&lt;=EOMONTH('Construction Budget'!$M29,0)),('Construction Budget'!$G29+SUM($G175:AK175))/ROUND(((EOMONTH('Construction Budget'!$M29,0)-EOMONTH(AL$11,0))/30)+1,0),0)</f>
        <v>0</v>
      </c>
      <c r="AM175" s="427">
        <f>-IF(AND(AM$11&gt;=EOMONTH('Construction Budget'!$K29,0),AM$11&lt;=EOMONTH('Construction Budget'!$M29,0)),('Construction Budget'!$G29+SUM($G175:AL175))/ROUND(((EOMONTH('Construction Budget'!$M29,0)-EOMONTH(AM$11,0))/30)+1,0),0)</f>
        <v>0</v>
      </c>
      <c r="AN175" s="427">
        <f>-IF(AND(AN$11&gt;=EOMONTH('Construction Budget'!$K29,0),AN$11&lt;=EOMONTH('Construction Budget'!$M29,0)),('Construction Budget'!$G29+SUM($G175:AM175))/ROUND(((EOMONTH('Construction Budget'!$M29,0)-EOMONTH(AN$11,0))/30)+1,0),0)</f>
        <v>0</v>
      </c>
      <c r="AO175" s="427">
        <f>-IF(AND(AO$11&gt;=EOMONTH('Construction Budget'!$K29,0),AO$11&lt;=EOMONTH('Construction Budget'!$M29,0)),('Construction Budget'!$G29+SUM($G175:AN175))/ROUND(((EOMONTH('Construction Budget'!$M29,0)-EOMONTH(AO$11,0))/30)+1,0),0)</f>
        <v>0</v>
      </c>
      <c r="AP175" s="427">
        <f>-IF(AND(AP$11&gt;=EOMONTH('Construction Budget'!$K29,0),AP$11&lt;=EOMONTH('Construction Budget'!$M29,0)),('Construction Budget'!$G29+SUM($G175:AO175))/ROUND(((EOMONTH('Construction Budget'!$M29,0)-EOMONTH(AP$11,0))/30)+1,0),0)</f>
        <v>0</v>
      </c>
      <c r="AQ175" s="427">
        <f>-IF(AND(AQ$11&gt;=EOMONTH('Construction Budget'!$K29,0),AQ$11&lt;=EOMONTH('Construction Budget'!$M29,0)),('Construction Budget'!$G29+SUM($G175:AP175))/ROUND(((EOMONTH('Construction Budget'!$M29,0)-EOMONTH(AQ$11,0))/30)+1,0),0)</f>
        <v>0</v>
      </c>
      <c r="AR175" s="427">
        <f>-IF(AND(AR$11&gt;=EOMONTH('Construction Budget'!$K29,0),AR$11&lt;=EOMONTH('Construction Budget'!$M29,0)),('Construction Budget'!$G29+SUM($G175:AQ175))/ROUND(((EOMONTH('Construction Budget'!$M29,0)-EOMONTH(AR$11,0))/30)+1,0),0)</f>
        <v>0</v>
      </c>
      <c r="AS175" s="427">
        <f>-IF(AND(AS$11&gt;=EOMONTH('Construction Budget'!$K29,0),AS$11&lt;=EOMONTH('Construction Budget'!$M29,0)),('Construction Budget'!$G29+SUM($G175:AR175))/ROUND(((EOMONTH('Construction Budget'!$M29,0)-EOMONTH(AS$11,0))/30)+1,0),0)</f>
        <v>0</v>
      </c>
      <c r="AT175" s="427">
        <f>-IF(AND(AT$11&gt;=EOMONTH('Construction Budget'!$K29,0),AT$11&lt;=EOMONTH('Construction Budget'!$M29,0)),('Construction Budget'!$G29+SUM($G175:AS175))/ROUND(((EOMONTH('Construction Budget'!$M29,0)-EOMONTH(AT$11,0))/30)+1,0),0)</f>
        <v>0</v>
      </c>
      <c r="AU175" s="427">
        <f>-IF(AND(AU$11&gt;=EOMONTH('Construction Budget'!$K29,0),AU$11&lt;=EOMONTH('Construction Budget'!$M29,0)),('Construction Budget'!$G29+SUM($G175:AT175))/ROUND(((EOMONTH('Construction Budget'!$M29,0)-EOMONTH(AU$11,0))/30)+1,0),0)</f>
        <v>0</v>
      </c>
      <c r="AV175" s="427">
        <f>-IF(AND(AV$11&gt;=EOMONTH('Construction Budget'!$K29,0),AV$11&lt;=EOMONTH('Construction Budget'!$M29,0)),('Construction Budget'!$G29+SUM($G175:AU175))/ROUND(((EOMONTH('Construction Budget'!$M29,0)-EOMONTH(AV$11,0))/30)+1,0),0)</f>
        <v>0</v>
      </c>
      <c r="AW175" s="427">
        <f>-IF(AND(AW$11&gt;=EOMONTH('Construction Budget'!$K29,0),AW$11&lt;=EOMONTH('Construction Budget'!$M29,0)),('Construction Budget'!$G29+SUM($G175:AV175))/ROUND(((EOMONTH('Construction Budget'!$M29,0)-EOMONTH(AW$11,0))/30)+1,0),0)</f>
        <v>0</v>
      </c>
      <c r="AX175" s="427">
        <f>-IF(AND(AX$11&gt;=EOMONTH('Construction Budget'!$K29,0),AX$11&lt;=EOMONTH('Construction Budget'!$M29,0)),('Construction Budget'!$G29+SUM($G175:AW175))/ROUND(((EOMONTH('Construction Budget'!$M29,0)-EOMONTH(AX$11,0))/30)+1,0),0)</f>
        <v>0</v>
      </c>
      <c r="AY175" s="427">
        <f>-IF(AND(AY$11&gt;=EOMONTH('Construction Budget'!$K29,0),AY$11&lt;=EOMONTH('Construction Budget'!$M29,0)),('Construction Budget'!$G29+SUM($G175:AX175))/ROUND(((EOMONTH('Construction Budget'!$M29,0)-EOMONTH(AY$11,0))/30)+1,0),0)</f>
        <v>0</v>
      </c>
      <c r="AZ175" s="427">
        <f>-IF(AND(AZ$11&gt;=EOMONTH('Construction Budget'!$K29,0),AZ$11&lt;=EOMONTH('Construction Budget'!$M29,0)),('Construction Budget'!$G29+SUM($G175:AY175))/ROUND(((EOMONTH('Construction Budget'!$M29,0)-EOMONTH(AZ$11,0))/30)+1,0),0)</f>
        <v>0</v>
      </c>
      <c r="BA175" s="427">
        <f>-IF(AND(BA$11&gt;=EOMONTH('Construction Budget'!$K29,0),BA$11&lt;=EOMONTH('Construction Budget'!$M29,0)),('Construction Budget'!$G29+SUM($G175:AZ175))/ROUND(((EOMONTH('Construction Budget'!$M29,0)-EOMONTH(BA$11,0))/30)+1,0),0)</f>
        <v>0</v>
      </c>
      <c r="BB175" s="427">
        <f>-IF(AND(BB$11&gt;=EOMONTH('Construction Budget'!$K29,0),BB$11&lt;=EOMONTH('Construction Budget'!$M29,0)),('Construction Budget'!$G29+SUM($G175:BA175))/ROUND(((EOMONTH('Construction Budget'!$M29,0)-EOMONTH(BB$11,0))/30)+1,0),0)</f>
        <v>0</v>
      </c>
      <c r="BC175" s="427">
        <f>-IF(AND(BC$11&gt;=EOMONTH('Construction Budget'!$K29,0),BC$11&lt;=EOMONTH('Construction Budget'!$M29,0)),('Construction Budget'!$G29+SUM($G175:BB175))/ROUND(((EOMONTH('Construction Budget'!$M29,0)-EOMONTH(BC$11,0))/30)+1,0),0)</f>
        <v>0</v>
      </c>
      <c r="BD175" s="427">
        <f>-IF(AND(BD$11&gt;=EOMONTH('Construction Budget'!$K29,0),BD$11&lt;=EOMONTH('Construction Budget'!$M29,0)),('Construction Budget'!$G29+SUM($G175:BC175))/ROUND(((EOMONTH('Construction Budget'!$M29,0)-EOMONTH(BD$11,0))/30)+1,0),0)</f>
        <v>0</v>
      </c>
      <c r="BE175" s="427">
        <f>-IF(AND(BE$11&gt;=EOMONTH('Construction Budget'!$K29,0),BE$11&lt;=EOMONTH('Construction Budget'!$M29,0)),('Construction Budget'!$G29+SUM($G175:BD175))/ROUND(((EOMONTH('Construction Budget'!$M29,0)-EOMONTH(BE$11,0))/30)+1,0),0)</f>
        <v>0</v>
      </c>
      <c r="BF175" s="427">
        <f>-IF(AND(BF$11&gt;=EOMONTH('Construction Budget'!$K29,0),BF$11&lt;=EOMONTH('Construction Budget'!$M29,0)),('Construction Budget'!$G29+SUM($G175:BE175))/ROUND(((EOMONTH('Construction Budget'!$M29,0)-EOMONTH(BF$11,0))/30)+1,0),0)</f>
        <v>0</v>
      </c>
      <c r="BG175" s="427">
        <f>-IF(AND(BG$11&gt;=EOMONTH('Construction Budget'!$K29,0),BG$11&lt;=EOMONTH('Construction Budget'!$M29,0)),('Construction Budget'!$G29+SUM($G175:BF175))/ROUND(((EOMONTH('Construction Budget'!$M29,0)-EOMONTH(BG$11,0))/30)+1,0),0)</f>
        <v>0</v>
      </c>
      <c r="BH175" s="427">
        <f>-IF(AND(BH$11&gt;=EOMONTH('Construction Budget'!$K29,0),BH$11&lt;=EOMONTH('Construction Budget'!$M29,0)),('Construction Budget'!$G29+SUM($G175:BG175))/ROUND(((EOMONTH('Construction Budget'!$M29,0)-EOMONTH(BH$11,0))/30)+1,0),0)</f>
        <v>0</v>
      </c>
      <c r="BI175" s="427">
        <f>-IF(AND(BI$11&gt;=EOMONTH('Construction Budget'!$K29,0),BI$11&lt;=EOMONTH('Construction Budget'!$M29,0)),('Construction Budget'!$G29+SUM($G175:BH175))/ROUND(((EOMONTH('Construction Budget'!$M29,0)-EOMONTH(BI$11,0))/30)+1,0),0)</f>
        <v>0</v>
      </c>
      <c r="BJ175" s="427">
        <f>-IF(AND(BJ$11&gt;=EOMONTH('Construction Budget'!$K29,0),BJ$11&lt;=EOMONTH('Construction Budget'!$M29,0)),('Construction Budget'!$G29+SUM($G175:BI175))/ROUND(((EOMONTH('Construction Budget'!$M29,0)-EOMONTH(BJ$11,0))/30)+1,0),0)</f>
        <v>0</v>
      </c>
      <c r="BK175" s="427">
        <f>-IF(AND(BK$11&gt;=EOMONTH('Construction Budget'!$K29,0),BK$11&lt;=EOMONTH('Construction Budget'!$M29,0)),('Construction Budget'!$G29+SUM($G175:BJ175))/ROUND(((EOMONTH('Construction Budget'!$M29,0)-EOMONTH(BK$11,0))/30)+1,0),0)</f>
        <v>0</v>
      </c>
      <c r="BL175" s="427">
        <f>-IF(AND(BL$11&gt;=EOMONTH('Construction Budget'!$K29,0),BL$11&lt;=EOMONTH('Construction Budget'!$M29,0)),('Construction Budget'!$G29+SUM($G175:BK175))/ROUND(((EOMONTH('Construction Budget'!$M29,0)-EOMONTH(BL$11,0))/30)+1,0),0)</f>
        <v>0</v>
      </c>
      <c r="BM175" s="427">
        <f>-IF(AND(BM$11&gt;=EOMONTH('Construction Budget'!$K29,0),BM$11&lt;=EOMONTH('Construction Budget'!$M29,0)),('Construction Budget'!$G29+SUM($G175:BL175))/ROUND(((EOMONTH('Construction Budget'!$M29,0)-EOMONTH(BM$11,0))/30)+1,0),0)</f>
        <v>0</v>
      </c>
      <c r="BN175" s="427">
        <f>-IF(AND(BN$11&gt;=EOMONTH('Construction Budget'!$K29,0),BN$11&lt;=EOMONTH('Construction Budget'!$M29,0)),('Construction Budget'!$G29+SUM($G175:BM175))/ROUND(((EOMONTH('Construction Budget'!$M29,0)-EOMONTH(BN$11,0))/30)+1,0),0)</f>
        <v>0</v>
      </c>
      <c r="BO175" s="427">
        <f>-IF(AND(BO$11&gt;=EOMONTH('Construction Budget'!$K29,0),BO$11&lt;=EOMONTH('Construction Budget'!$M29,0)),('Construction Budget'!$G29+SUM($G175:BN175))/ROUND(((EOMONTH('Construction Budget'!$M29,0)-EOMONTH(BO$11,0))/30)+1,0),0)</f>
        <v>0</v>
      </c>
      <c r="BP175" s="427">
        <f>-IF(AND(BP$11&gt;=EOMONTH('Construction Budget'!$K29,0),BP$11&lt;=EOMONTH('Construction Budget'!$M29,0)),('Construction Budget'!$G29+SUM($G175:BO175))/ROUND(((EOMONTH('Construction Budget'!$M29,0)-EOMONTH(BP$11,0))/30)+1,0),0)</f>
        <v>0</v>
      </c>
      <c r="BQ175" s="427">
        <f>-IF(AND(BQ$11&gt;=EOMONTH('Construction Budget'!$K29,0),BQ$11&lt;=EOMONTH('Construction Budget'!$M29,0)),('Construction Budget'!$G29+SUM($G175:BP175))/ROUND(((EOMONTH('Construction Budget'!$M29,0)-EOMONTH(BQ$11,0))/30)+1,0),0)</f>
        <v>0</v>
      </c>
      <c r="BR175" s="427">
        <f>-IF(AND(BR$11&gt;=EOMONTH('Construction Budget'!$K29,0),BR$11&lt;=EOMONTH('Construction Budget'!$M29,0)),('Construction Budget'!$G29+SUM($G175:BQ175))/ROUND(((EOMONTH('Construction Budget'!$M29,0)-EOMONTH(BR$11,0))/30)+1,0),0)</f>
        <v>0</v>
      </c>
      <c r="BS175" s="427">
        <f>-IF(AND(BS$11&gt;=EOMONTH('Construction Budget'!$K29,0),BS$11&lt;=EOMONTH('Construction Budget'!$M29,0)),('Construction Budget'!$G29+SUM($G175:BR175))/ROUND(((EOMONTH('Construction Budget'!$M29,0)-EOMONTH(BS$11,0))/30)+1,0),0)</f>
        <v>0</v>
      </c>
      <c r="BT175" s="427">
        <f>-IF(AND(BT$11&gt;=EOMONTH('Construction Budget'!$K29,0),BT$11&lt;=EOMONTH('Construction Budget'!$M29,0)),('Construction Budget'!$G29+SUM($G175:BS175))/ROUND(((EOMONTH('Construction Budget'!$M29,0)-EOMONTH(BT$11,0))/30)+1,0),0)</f>
        <v>0</v>
      </c>
      <c r="BU175" s="427">
        <f>-IF(AND(BU$11&gt;=EOMONTH('Construction Budget'!$K29,0),BU$11&lt;=EOMONTH('Construction Budget'!$M29,0)),('Construction Budget'!$G29+SUM($G175:BT175))/ROUND(((EOMONTH('Construction Budget'!$M29,0)-EOMONTH(BU$11,0))/30)+1,0),0)</f>
        <v>0</v>
      </c>
      <c r="BV175" s="427">
        <f>-IF(AND(BV$11&gt;=EOMONTH('Construction Budget'!$K29,0),BV$11&lt;=EOMONTH('Construction Budget'!$M29,0)),('Construction Budget'!$G29+SUM($G175:BU175))/ROUND(((EOMONTH('Construction Budget'!$M29,0)-EOMONTH(BV$11,0))/30)+1,0),0)</f>
        <v>0</v>
      </c>
      <c r="BW175" s="427">
        <f>-IF(AND(BW$11&gt;=EOMONTH('Construction Budget'!$K29,0),BW$11&lt;=EOMONTH('Construction Budget'!$M29,0)),('Construction Budget'!$G29+SUM($G175:BV175))/ROUND(((EOMONTH('Construction Budget'!$M29,0)-EOMONTH(BW$11,0))/30)+1,0),0)</f>
        <v>0</v>
      </c>
      <c r="BX175" s="427">
        <f>-IF(AND(BX$11&gt;=EOMONTH('Construction Budget'!$K29,0),BX$11&lt;=EOMONTH('Construction Budget'!$M29,0)),('Construction Budget'!$G29+SUM($G175:BW175))/ROUND(((EOMONTH('Construction Budget'!$M29,0)-EOMONTH(BX$11,0))/30)+1,0),0)</f>
        <v>0</v>
      </c>
      <c r="BY175" s="427">
        <f>-IF(AND(BY$11&gt;=EOMONTH('Construction Budget'!$K29,0),BY$11&lt;=EOMONTH('Construction Budget'!$M29,0)),('Construction Budget'!$G29+SUM($G175:BX175))/ROUND(((EOMONTH('Construction Budget'!$M29,0)-EOMONTH(BY$11,0))/30)+1,0),0)</f>
        <v>0</v>
      </c>
      <c r="BZ175" s="427">
        <f>-IF(AND(BZ$11&gt;=EOMONTH('Construction Budget'!$K29,0),BZ$11&lt;=EOMONTH('Construction Budget'!$M29,0)),('Construction Budget'!$G29+SUM($G175:BY175))/ROUND(((EOMONTH('Construction Budget'!$M29,0)-EOMONTH(BZ$11,0))/30)+1,0),0)</f>
        <v>0</v>
      </c>
      <c r="CA175" s="427">
        <f>-IF(AND(CA$11&gt;=EOMONTH('Construction Budget'!$K29,0),CA$11&lt;=EOMONTH('Construction Budget'!$M29,0)),('Construction Budget'!$G29+SUM($G175:BZ175))/ROUND(((EOMONTH('Construction Budget'!$M29,0)-EOMONTH(CA$11,0))/30)+1,0),0)</f>
        <v>0</v>
      </c>
      <c r="CB175" s="427">
        <f>-IF(AND(CB$11&gt;=EOMONTH('Construction Budget'!$K29,0),CB$11&lt;=EOMONTH('Construction Budget'!$M29,0)),('Construction Budget'!$G29+SUM($G175:CA175))/ROUND(((EOMONTH('Construction Budget'!$M29,0)-EOMONTH(CB$11,0))/30)+1,0),0)</f>
        <v>0</v>
      </c>
      <c r="CC175" s="427">
        <f>-IF(AND(CC$11&gt;=EOMONTH('Construction Budget'!$K29,0),CC$11&lt;=EOMONTH('Construction Budget'!$M29,0)),('Construction Budget'!$G29+SUM($G175:CB175))/ROUND(((EOMONTH('Construction Budget'!$M29,0)-EOMONTH(CC$11,0))/30)+1,0),0)</f>
        <v>0</v>
      </c>
      <c r="CD175" s="427">
        <f>-IF(AND(CD$11&gt;=EOMONTH('Construction Budget'!$K29,0),CD$11&lt;=EOMONTH('Construction Budget'!$M29,0)),('Construction Budget'!$G29+SUM($G175:CC175))/ROUND(((EOMONTH('Construction Budget'!$M29,0)-EOMONTH(CD$11,0))/30)+1,0),0)</f>
        <v>0</v>
      </c>
      <c r="CE175" s="427">
        <f>-IF(AND(CE$11&gt;=EOMONTH('Construction Budget'!$K29,0),CE$11&lt;=EOMONTH('Construction Budget'!$M29,0)),('Construction Budget'!$G29+SUM($G175:CD175))/ROUND(((EOMONTH('Construction Budget'!$M29,0)-EOMONTH(CE$11,0))/30)+1,0),0)</f>
        <v>0</v>
      </c>
      <c r="CF175" s="427">
        <f>-IF(AND(CF$11&gt;=EOMONTH('Construction Budget'!$K29,0),CF$11&lt;=EOMONTH('Construction Budget'!$M29,0)),('Construction Budget'!$G29+SUM($G175:CE175))/ROUND(((EOMONTH('Construction Budget'!$M29,0)-EOMONTH(CF$11,0))/30)+1,0),0)</f>
        <v>0</v>
      </c>
      <c r="CG175" s="427">
        <f>-IF(AND(CG$11&gt;=EOMONTH('Construction Budget'!$K29,0),CG$11&lt;=EOMONTH('Construction Budget'!$M29,0)),('Construction Budget'!$G29+SUM($G175:CF175))/ROUND(((EOMONTH('Construction Budget'!$M29,0)-EOMONTH(CG$11,0))/30)+1,0),0)</f>
        <v>0</v>
      </c>
      <c r="CH175" s="427">
        <f>-IF(AND(CH$11&gt;=EOMONTH('Construction Budget'!$K29,0),CH$11&lt;=EOMONTH('Construction Budget'!$M29,0)),('Construction Budget'!$G29+SUM($G175:CG175))/ROUND(((EOMONTH('Construction Budget'!$M29,0)-EOMONTH(CH$11,0))/30)+1,0),0)</f>
        <v>0</v>
      </c>
      <c r="CI175" s="427">
        <f>-IF(AND(CI$11&gt;=EOMONTH('Construction Budget'!$K29,0),CI$11&lt;=EOMONTH('Construction Budget'!$M29,0)),('Construction Budget'!$G29+SUM($G175:CH175))/ROUND(((EOMONTH('Construction Budget'!$M29,0)-EOMONTH(CI$11,0))/30)+1,0),0)</f>
        <v>0</v>
      </c>
      <c r="CJ175" s="427">
        <f>-IF(AND(CJ$11&gt;=EOMONTH('Construction Budget'!$K29,0),CJ$11&lt;=EOMONTH('Construction Budget'!$M29,0)),('Construction Budget'!$G29+SUM($G175:CI175))/ROUND(((EOMONTH('Construction Budget'!$M29,0)-EOMONTH(CJ$11,0))/30)+1,0),0)</f>
        <v>0</v>
      </c>
      <c r="CK175" s="427">
        <f>-IF(AND(CK$11&gt;=EOMONTH('Construction Budget'!$K29,0),CK$11&lt;=EOMONTH('Construction Budget'!$M29,0)),('Construction Budget'!$G29+SUM($G175:CJ175))/ROUND(((EOMONTH('Construction Budget'!$M29,0)-EOMONTH(CK$11,0))/30)+1,0),0)</f>
        <v>0</v>
      </c>
      <c r="CL175" s="427">
        <f>-IF(AND(CL$11&gt;=EOMONTH('Construction Budget'!$K29,0),CL$11&lt;=EOMONTH('Construction Budget'!$M29,0)),('Construction Budget'!$G29+SUM($G175:CK175))/ROUND(((EOMONTH('Construction Budget'!$M29,0)-EOMONTH(CL$11,0))/30)+1,0),0)</f>
        <v>0</v>
      </c>
      <c r="CM175" s="427">
        <f>-IF(AND(CM$11&gt;=EOMONTH('Construction Budget'!$K29,0),CM$11&lt;=EOMONTH('Construction Budget'!$M29,0)),('Construction Budget'!$G29+SUM($G175:CL175))/ROUND(((EOMONTH('Construction Budget'!$M29,0)-EOMONTH(CM$11,0))/30)+1,0),0)</f>
        <v>0</v>
      </c>
      <c r="CN175" s="427">
        <f>-IF(AND(CN$11&gt;=EOMONTH('Construction Budget'!$K29,0),CN$11&lt;=EOMONTH('Construction Budget'!$M29,0)),('Construction Budget'!$G29+SUM($G175:CM175))/ROUND(((EOMONTH('Construction Budget'!$M29,0)-EOMONTH(CN$11,0))/30)+1,0),0)</f>
        <v>0</v>
      </c>
      <c r="CO175" s="427">
        <f>-IF(AND(CO$11&gt;=EOMONTH('Construction Budget'!$K29,0),CO$11&lt;=EOMONTH('Construction Budget'!$M29,0)),('Construction Budget'!$G29+SUM($G175:CN175))/ROUND(((EOMONTH('Construction Budget'!$M29,0)-EOMONTH(CO$11,0))/30)+1,0),0)</f>
        <v>0</v>
      </c>
      <c r="CP175" s="427">
        <f>-IF(AND(CP$11&gt;=EOMONTH('Construction Budget'!$K29,0),CP$11&lt;=EOMONTH('Construction Budget'!$M29,0)),('Construction Budget'!$G29+SUM($G175:CO175))/ROUND(((EOMONTH('Construction Budget'!$M29,0)-EOMONTH(CP$11,0))/30)+1,0),0)</f>
        <v>0</v>
      </c>
      <c r="CQ175" s="427">
        <f>-IF(AND(CQ$11&gt;=EOMONTH('Construction Budget'!$K29,0),CQ$11&lt;=EOMONTH('Construction Budget'!$M29,0)),('Construction Budget'!$G29+SUM($G175:CP175))/ROUND(((EOMONTH('Construction Budget'!$M29,0)-EOMONTH(CQ$11,0))/30)+1,0),0)</f>
        <v>0</v>
      </c>
      <c r="CR175" s="427">
        <f>-IF(AND(CR$11&gt;=EOMONTH('Construction Budget'!$K29,0),CR$11&lt;=EOMONTH('Construction Budget'!$M29,0)),('Construction Budget'!$G29+SUM($G175:CQ175))/ROUND(((EOMONTH('Construction Budget'!$M29,0)-EOMONTH(CR$11,0))/30)+1,0),0)</f>
        <v>0</v>
      </c>
      <c r="CS175" s="427">
        <f>-IF(AND(CS$11&gt;=EOMONTH('Construction Budget'!$K29,0),CS$11&lt;=EOMONTH('Construction Budget'!$M29,0)),('Construction Budget'!$G29+SUM($G175:CR175))/ROUND(((EOMONTH('Construction Budget'!$M29,0)-EOMONTH(CS$11,0))/30)+1,0),0)</f>
        <v>0</v>
      </c>
      <c r="CT175" s="427">
        <f>-IF(AND(CT$11&gt;=EOMONTH('Construction Budget'!$K29,0),CT$11&lt;=EOMONTH('Construction Budget'!$M29,0)),('Construction Budget'!$G29+SUM($G175:CS175))/ROUND(((EOMONTH('Construction Budget'!$M29,0)-EOMONTH(CT$11,0))/30)+1,0),0)</f>
        <v>0</v>
      </c>
      <c r="CU175" s="427">
        <f>-IF(AND(CU$11&gt;=EOMONTH('Construction Budget'!$K29,0),CU$11&lt;=EOMONTH('Construction Budget'!$M29,0)),('Construction Budget'!$G29+SUM($G175:CT175))/ROUND(((EOMONTH('Construction Budget'!$M29,0)-EOMONTH(CU$11,0))/30)+1,0),0)</f>
        <v>0</v>
      </c>
      <c r="CV175" s="427">
        <f>-IF(AND(CV$11&gt;=EOMONTH('Construction Budget'!$K29,0),CV$11&lt;=EOMONTH('Construction Budget'!$M29,0)),('Construction Budget'!$G29+SUM($G175:CU175))/ROUND(((EOMONTH('Construction Budget'!$M29,0)-EOMONTH(CV$11,0))/30)+1,0),0)</f>
        <v>0</v>
      </c>
      <c r="CW175" s="427">
        <f>-IF(AND(CW$11&gt;=EOMONTH('Construction Budget'!$K29,0),CW$11&lt;=EOMONTH('Construction Budget'!$M29,0)),('Construction Budget'!$G29+SUM($G175:CV175))/ROUND(((EOMONTH('Construction Budget'!$M29,0)-EOMONTH(CW$11,0))/30)+1,0),0)</f>
        <v>0</v>
      </c>
      <c r="CX175" s="427">
        <f>-IF(AND(CX$11&gt;=EOMONTH('Construction Budget'!$K29,0),CX$11&lt;=EOMONTH('Construction Budget'!$M29,0)),('Construction Budget'!$G29+SUM($G175:CW175))/ROUND(((EOMONTH('Construction Budget'!$M29,0)-EOMONTH(CX$11,0))/30)+1,0),0)</f>
        <v>0</v>
      </c>
      <c r="CY175" s="427">
        <f>-IF(AND(CY$11&gt;=EOMONTH('Construction Budget'!$K29,0),CY$11&lt;=EOMONTH('Construction Budget'!$M29,0)),('Construction Budget'!$G29+SUM($G175:CX175))/ROUND(((EOMONTH('Construction Budget'!$M29,0)-EOMONTH(CY$11,0))/30)+1,0),0)</f>
        <v>0</v>
      </c>
      <c r="CZ175" s="427">
        <f>-IF(AND(CZ$11&gt;=EOMONTH('Construction Budget'!$K29,0),CZ$11&lt;=EOMONTH('Construction Budget'!$M29,0)),('Construction Budget'!$G29+SUM($G175:CY175))/ROUND(((EOMONTH('Construction Budget'!$M29,0)-EOMONTH(CZ$11,0))/30)+1,0),0)</f>
        <v>0</v>
      </c>
      <c r="DA175" s="427">
        <f>-IF(AND(DA$11&gt;=EOMONTH('Construction Budget'!$K29,0),DA$11&lt;=EOMONTH('Construction Budget'!$M29,0)),('Construction Budget'!$G29+SUM($G175:CZ175))/ROUND(((EOMONTH('Construction Budget'!$M29,0)-EOMONTH(DA$11,0))/30)+1,0),0)</f>
        <v>0</v>
      </c>
      <c r="DB175" s="427">
        <f>-IF(AND(DB$11&gt;=EOMONTH('Construction Budget'!$K29,0),DB$11&lt;=EOMONTH('Construction Budget'!$M29,0)),('Construction Budget'!$G29+SUM($G175:DA175))/ROUND(((EOMONTH('Construction Budget'!$M29,0)-EOMONTH(DB$11,0))/30)+1,0),0)</f>
        <v>0</v>
      </c>
      <c r="DC175" s="427">
        <f>-IF(AND(DC$11&gt;=EOMONTH('Construction Budget'!$K29,0),DC$11&lt;=EOMONTH('Construction Budget'!$M29,0)),('Construction Budget'!$G29+SUM($G175:DB175))/ROUND(((EOMONTH('Construction Budget'!$M29,0)-EOMONTH(DC$11,0))/30)+1,0),0)</f>
        <v>0</v>
      </c>
      <c r="DD175" s="427">
        <f>-IF(AND(DD$11&gt;=EOMONTH('Construction Budget'!$K29,0),DD$11&lt;=EOMONTH('Construction Budget'!$M29,0)),('Construction Budget'!$G29+SUM($G175:DC175))/ROUND(((EOMONTH('Construction Budget'!$M29,0)-EOMONTH(DD$11,0))/30)+1,0),0)</f>
        <v>0</v>
      </c>
      <c r="DE175" s="427">
        <f>-IF(AND(DE$11&gt;=EOMONTH('Construction Budget'!$K29,0),DE$11&lt;=EOMONTH('Construction Budget'!$M29,0)),('Construction Budget'!$G29+SUM($G175:DD175))/ROUND(((EOMONTH('Construction Budget'!$M29,0)-EOMONTH(DE$11,0))/30)+1,0),0)</f>
        <v>0</v>
      </c>
      <c r="DF175" s="427">
        <f>-IF(AND(DF$11&gt;=EOMONTH('Construction Budget'!$K29,0),DF$11&lt;=EOMONTH('Construction Budget'!$M29,0)),('Construction Budget'!$G29+SUM($G175:DE175))/ROUND(((EOMONTH('Construction Budget'!$M29,0)-EOMONTH(DF$11,0))/30)+1,0),0)</f>
        <v>0</v>
      </c>
      <c r="DG175" s="427">
        <f>-IF(AND(DG$11&gt;=EOMONTH('Construction Budget'!$K29,0),DG$11&lt;=EOMONTH('Construction Budget'!$M29,0)),('Construction Budget'!$G29+SUM($G175:DF175))/ROUND(((EOMONTH('Construction Budget'!$M29,0)-EOMONTH(DG$11,0))/30)+1,0),0)</f>
        <v>0</v>
      </c>
      <c r="DH175" s="427">
        <f>-IF(AND(DH$11&gt;=EOMONTH('Construction Budget'!$K29,0),DH$11&lt;=EOMONTH('Construction Budget'!$M29,0)),('Construction Budget'!$G29+SUM($G175:DG175))/ROUND(((EOMONTH('Construction Budget'!$M29,0)-EOMONTH(DH$11,0))/30)+1,0),0)</f>
        <v>0</v>
      </c>
      <c r="DI175" s="427">
        <f>-IF(AND(DI$11&gt;=EOMONTH('Construction Budget'!$K29,0),DI$11&lt;=EOMONTH('Construction Budget'!$M29,0)),('Construction Budget'!$G29+SUM($G175:DH175))/ROUND(((EOMONTH('Construction Budget'!$M29,0)-EOMONTH(DI$11,0))/30)+1,0),0)</f>
        <v>0</v>
      </c>
      <c r="DJ175" s="427">
        <f>-IF(AND(DJ$11&gt;=EOMONTH('Construction Budget'!$K29,0),DJ$11&lt;=EOMONTH('Construction Budget'!$M29,0)),('Construction Budget'!$G29+SUM($G175:DI175))/ROUND(((EOMONTH('Construction Budget'!$M29,0)-EOMONTH(DJ$11,0))/30)+1,0),0)</f>
        <v>0</v>
      </c>
      <c r="DK175" s="427">
        <f>-IF(AND(DK$11&gt;=EOMONTH('Construction Budget'!$K29,0),DK$11&lt;=EOMONTH('Construction Budget'!$M29,0)),('Construction Budget'!$G29+SUM($G175:DJ175))/ROUND(((EOMONTH('Construction Budget'!$M29,0)-EOMONTH(DK$11,0))/30)+1,0),0)</f>
        <v>0</v>
      </c>
      <c r="DL175" s="427">
        <f>-IF(AND(DL$11&gt;=EOMONTH('Construction Budget'!$K29,0),DL$11&lt;=EOMONTH('Construction Budget'!$M29,0)),('Construction Budget'!$G29+SUM($G175:DK175))/ROUND(((EOMONTH('Construction Budget'!$M29,0)-EOMONTH(DL$11,0))/30)+1,0),0)</f>
        <v>0</v>
      </c>
      <c r="DM175" s="427">
        <f>-IF(AND(DM$11&gt;=EOMONTH('Construction Budget'!$K29,0),DM$11&lt;=EOMONTH('Construction Budget'!$M29,0)),('Construction Budget'!$G29+SUM($G175:DL175))/ROUND(((EOMONTH('Construction Budget'!$M29,0)-EOMONTH(DM$11,0))/30)+1,0),0)</f>
        <v>0</v>
      </c>
      <c r="DN175" s="427">
        <f>-IF(AND(DN$11&gt;=EOMONTH('Construction Budget'!$K29,0),DN$11&lt;=EOMONTH('Construction Budget'!$M29,0)),('Construction Budget'!$G29+SUM($G175:DM175))/ROUND(((EOMONTH('Construction Budget'!$M29,0)-EOMONTH(DN$11,0))/30)+1,0),0)</f>
        <v>0</v>
      </c>
      <c r="DO175" s="427">
        <f>-IF(AND(DO$11&gt;=EOMONTH('Construction Budget'!$K29,0),DO$11&lt;=EOMONTH('Construction Budget'!$M29,0)),('Construction Budget'!$G29+SUM($G175:DN175))/ROUND(((EOMONTH('Construction Budget'!$M29,0)-EOMONTH(DO$11,0))/30)+1,0),0)</f>
        <v>0</v>
      </c>
      <c r="DP175" s="427">
        <f>-IF(AND(DP$11&gt;=EOMONTH('Construction Budget'!$K29,0),DP$11&lt;=EOMONTH('Construction Budget'!$M29,0)),('Construction Budget'!$G29+SUM($G175:DO175))/ROUND(((EOMONTH('Construction Budget'!$M29,0)-EOMONTH(DP$11,0))/30)+1,0),0)</f>
        <v>0</v>
      </c>
      <c r="DQ175" s="427">
        <f>-IF(AND(DQ$11&gt;=EOMONTH('Construction Budget'!$K29,0),DQ$11&lt;=EOMONTH('Construction Budget'!$M29,0)),('Construction Budget'!$G29+SUM($G175:DP175))/ROUND(((EOMONTH('Construction Budget'!$M29,0)-EOMONTH(DQ$11,0))/30)+1,0),0)</f>
        <v>0</v>
      </c>
      <c r="DR175" s="427">
        <f>-IF(AND(DR$11&gt;=EOMONTH('Construction Budget'!$K29,0),DR$11&lt;=EOMONTH('Construction Budget'!$M29,0)),('Construction Budget'!$G29+SUM($G175:DQ175))/ROUND(((EOMONTH('Construction Budget'!$M29,0)-EOMONTH(DR$11,0))/30)+1,0),0)</f>
        <v>0</v>
      </c>
      <c r="DS175" s="427">
        <f>-IF(AND(DS$11&gt;=EOMONTH('Construction Budget'!$K29,0),DS$11&lt;=EOMONTH('Construction Budget'!$M29,0)),('Construction Budget'!$G29+SUM($G175:DR175))/ROUND(((EOMONTH('Construction Budget'!$M29,0)-EOMONTH(DS$11,0))/30)+1,0),0)</f>
        <v>0</v>
      </c>
      <c r="DT175" s="427">
        <f>-IF(AND(DT$11&gt;=EOMONTH('Construction Budget'!$K29,0),DT$11&lt;=EOMONTH('Construction Budget'!$M29,0)),('Construction Budget'!$G29+SUM($G175:DS175))/ROUND(((EOMONTH('Construction Budget'!$M29,0)-EOMONTH(DT$11,0))/30)+1,0),0)</f>
        <v>0</v>
      </c>
      <c r="DU175" s="427">
        <f>-IF(AND(DU$11&gt;=EOMONTH('Construction Budget'!$K29,0),DU$11&lt;=EOMONTH('Construction Budget'!$M29,0)),('Construction Budget'!$G29+SUM($G175:DT175))/ROUND(((EOMONTH('Construction Budget'!$M29,0)-EOMONTH(DU$11,0))/30)+1,0),0)</f>
        <v>0</v>
      </c>
      <c r="DV175" s="427">
        <f>-IF(AND(DV$11&gt;=EOMONTH('Construction Budget'!$K29,0),DV$11&lt;=EOMONTH('Construction Budget'!$M29,0)),('Construction Budget'!$G29+SUM($G175:DU175))/ROUND(((EOMONTH('Construction Budget'!$M29,0)-EOMONTH(DV$11,0))/30)+1,0),0)</f>
        <v>0</v>
      </c>
      <c r="DW175" s="427">
        <f>-IF(AND(DW$11&gt;=EOMONTH('Construction Budget'!$K29,0),DW$11&lt;=EOMONTH('Construction Budget'!$M29,0)),('Construction Budget'!$G29+SUM($G175:DV175))/ROUND(((EOMONTH('Construction Budget'!$M29,0)-EOMONTH(DW$11,0))/30)+1,0),0)</f>
        <v>0</v>
      </c>
      <c r="DX175" s="427">
        <f>-IF(AND(DX$11&gt;=EOMONTH('Construction Budget'!$K29,0),DX$11&lt;=EOMONTH('Construction Budget'!$M29,0)),('Construction Budget'!$G29+SUM($G175:DW175))/ROUND(((EOMONTH('Construction Budget'!$M29,0)-EOMONTH(DX$11,0))/30)+1,0),0)</f>
        <v>0</v>
      </c>
      <c r="DY175" s="427">
        <f>-IF(AND(DY$11&gt;=EOMONTH('Construction Budget'!$K29,0),DY$11&lt;=EOMONTH('Construction Budget'!$M29,0)),('Construction Budget'!$G29+SUM($G175:DX175))/ROUND(((EOMONTH('Construction Budget'!$M29,0)-EOMONTH(DY$11,0))/30)+1,0),0)</f>
        <v>0</v>
      </c>
      <c r="DZ175" s="427">
        <f>-IF(AND(DZ$11&gt;=EOMONTH('Construction Budget'!$K29,0),DZ$11&lt;=EOMONTH('Construction Budget'!$M29,0)),('Construction Budget'!$G29+SUM($G175:DY175))/ROUND(((EOMONTH('Construction Budget'!$M29,0)-EOMONTH(DZ$11,0))/30)+1,0),0)</f>
        <v>0</v>
      </c>
      <c r="EA175" s="427">
        <f>-IF(AND(EA$11&gt;=EOMONTH('Construction Budget'!$K29,0),EA$11&lt;=EOMONTH('Construction Budget'!$M29,0)),('Construction Budget'!$G29+SUM($G175:DZ175))/ROUND(((EOMONTH('Construction Budget'!$M29,0)-EOMONTH(EA$11,0))/30)+1,0),0)</f>
        <v>0</v>
      </c>
      <c r="EB175" s="427">
        <f>-IF(AND(EB$11&gt;=EOMONTH('Construction Budget'!$K29,0),EB$11&lt;=EOMONTH('Construction Budget'!$M29,0)),('Construction Budget'!$G29+SUM($G175:EA175))/ROUND(((EOMONTH('Construction Budget'!$M29,0)-EOMONTH(EB$11,0))/30)+1,0),0)</f>
        <v>0</v>
      </c>
      <c r="EC175" s="427">
        <f>-IF(AND(EC$11&gt;=EOMONTH('Construction Budget'!$K29,0),EC$11&lt;=EOMONTH('Construction Budget'!$M29,0)),('Construction Budget'!$G29+SUM($G175:EB175))/ROUND(((EOMONTH('Construction Budget'!$M29,0)-EOMONTH(EC$11,0))/30)+1,0),0)</f>
        <v>0</v>
      </c>
      <c r="ED175" s="427">
        <f>-IF(AND(ED$11&gt;=EOMONTH('Construction Budget'!$K29,0),ED$11&lt;=EOMONTH('Construction Budget'!$M29,0)),('Construction Budget'!$G29+SUM($G175:EC175))/ROUND(((EOMONTH('Construction Budget'!$M29,0)-EOMONTH(ED$11,0))/30)+1,0),0)</f>
        <v>0</v>
      </c>
      <c r="EE175" s="427">
        <f>-IF(AND(EE$11&gt;=EOMONTH('Construction Budget'!$K29,0),EE$11&lt;=EOMONTH('Construction Budget'!$M29,0)),('Construction Budget'!$G29+SUM($G175:ED175))/ROUND(((EOMONTH('Construction Budget'!$M29,0)-EOMONTH(EE$11,0))/30)+1,0),0)</f>
        <v>0</v>
      </c>
      <c r="EF175" s="427">
        <f>-IF(AND(EF$11&gt;=EOMONTH('Construction Budget'!$K29,0),EF$11&lt;=EOMONTH('Construction Budget'!$M29,0)),('Construction Budget'!$G29+SUM($G175:EE175))/ROUND(((EOMONTH('Construction Budget'!$M29,0)-EOMONTH(EF$11,0))/30)+1,0),0)</f>
        <v>0</v>
      </c>
      <c r="EG175" s="427">
        <f>-IF(AND(EG$11&gt;=EOMONTH('Construction Budget'!$K29,0),EG$11&lt;=EOMONTH('Construction Budget'!$M29,0)),('Construction Budget'!$G29+SUM($G175:EF175))/ROUND(((EOMONTH('Construction Budget'!$M29,0)-EOMONTH(EG$11,0))/30)+1,0),0)</f>
        <v>0</v>
      </c>
      <c r="EH175" s="427">
        <f>-IF(AND(EH$11&gt;=EOMONTH('Construction Budget'!$K29,0),EH$11&lt;=EOMONTH('Construction Budget'!$M29,0)),('Construction Budget'!$G29+SUM($G175:EG175))/ROUND(((EOMONTH('Construction Budget'!$M29,0)-EOMONTH(EH$11,0))/30)+1,0),0)</f>
        <v>0</v>
      </c>
      <c r="EI175" s="427">
        <f>-IF(AND(EI$11&gt;=EOMONTH('Construction Budget'!$K29,0),EI$11&lt;=EOMONTH('Construction Budget'!$M29,0)),('Construction Budget'!$G29+SUM($G175:EH175))/ROUND(((EOMONTH('Construction Budget'!$M29,0)-EOMONTH(EI$11,0))/30)+1,0),0)</f>
        <v>0</v>
      </c>
      <c r="EJ175" s="427">
        <f>-IF(AND(EJ$11&gt;=EOMONTH('Construction Budget'!$K29,0),EJ$11&lt;=EOMONTH('Construction Budget'!$M29,0)),('Construction Budget'!$G29+SUM($G175:EI175))/ROUND(((EOMONTH('Construction Budget'!$M29,0)-EOMONTH(EJ$11,0))/30)+1,0),0)</f>
        <v>0</v>
      </c>
      <c r="EK175" s="427">
        <f>-IF(AND(EK$11&gt;=EOMONTH('Construction Budget'!$K29,0),EK$11&lt;=EOMONTH('Construction Budget'!$M29,0)),('Construction Budget'!$G29+SUM($G175:EJ175))/ROUND(((EOMONTH('Construction Budget'!$M29,0)-EOMONTH(EK$11,0))/30)+1,0),0)</f>
        <v>0</v>
      </c>
      <c r="EL175" s="427">
        <f>-IF(AND(EL$11&gt;=EOMONTH('Construction Budget'!$K29,0),EL$11&lt;=EOMONTH('Construction Budget'!$M29,0)),('Construction Budget'!$G29+SUM($G175:EK175))/ROUND(((EOMONTH('Construction Budget'!$M29,0)-EOMONTH(EL$11,0))/30)+1,0),0)</f>
        <v>0</v>
      </c>
      <c r="EM175" s="427">
        <f>-IF(AND(EM$11&gt;=EOMONTH('Construction Budget'!$K29,0),EM$11&lt;=EOMONTH('Construction Budget'!$M29,0)),('Construction Budget'!$G29+SUM($G175:EL175))/ROUND(((EOMONTH('Construction Budget'!$M29,0)-EOMONTH(EM$11,0))/30)+1,0),0)</f>
        <v>0</v>
      </c>
      <c r="EN175" s="427">
        <f>-IF(AND(EN$11&gt;=EOMONTH('Construction Budget'!$K29,0),EN$11&lt;=EOMONTH('Construction Budget'!$M29,0)),('Construction Budget'!$G29+SUM($G175:EM175))/ROUND(((EOMONTH('Construction Budget'!$M29,0)-EOMONTH(EN$11,0))/30)+1,0),0)</f>
        <v>0</v>
      </c>
      <c r="EO175" s="427">
        <f>-IF(AND(EO$11&gt;=EOMONTH('Construction Budget'!$K29,0),EO$11&lt;=EOMONTH('Construction Budget'!$M29,0)),('Construction Budget'!$G29+SUM($G175:EN175))/ROUND(((EOMONTH('Construction Budget'!$M29,0)-EOMONTH(EO$11,0))/30)+1,0),0)</f>
        <v>0</v>
      </c>
      <c r="EP175" s="427">
        <f>-IF(AND(EP$11&gt;=EOMONTH('Construction Budget'!$K29,0),EP$11&lt;=EOMONTH('Construction Budget'!$M29,0)),('Construction Budget'!$G29+SUM($G175:EO175))/ROUND(((EOMONTH('Construction Budget'!$M29,0)-EOMONTH(EP$11,0))/30)+1,0),0)</f>
        <v>0</v>
      </c>
      <c r="EQ175" s="427">
        <f>-IF(AND(EQ$11&gt;=EOMONTH('Construction Budget'!$K29,0),EQ$11&lt;=EOMONTH('Construction Budget'!$M29,0)),('Construction Budget'!$G29+SUM($G175:EP175))/ROUND(((EOMONTH('Construction Budget'!$M29,0)-EOMONTH(EQ$11,0))/30)+1,0),0)</f>
        <v>0</v>
      </c>
      <c r="ER175" s="427">
        <f>-IF(AND(ER$11&gt;=EOMONTH('Construction Budget'!$K29,0),ER$11&lt;=EOMONTH('Construction Budget'!$M29,0)),('Construction Budget'!$G29+SUM($G175:EQ175))/ROUND(((EOMONTH('Construction Budget'!$M29,0)-EOMONTH(ER$11,0))/30)+1,0),0)</f>
        <v>0</v>
      </c>
      <c r="ES175" s="427">
        <f>-IF(AND(ES$11&gt;=EOMONTH('Construction Budget'!$K29,0),ES$11&lt;=EOMONTH('Construction Budget'!$M29,0)),('Construction Budget'!$G29+SUM($G175:ER175))/ROUND(((EOMONTH('Construction Budget'!$M29,0)-EOMONTH(ES$11,0))/30)+1,0),0)</f>
        <v>0</v>
      </c>
      <c r="ET175" s="427">
        <f>-IF(AND(ET$11&gt;=EOMONTH('Construction Budget'!$K29,0),ET$11&lt;=EOMONTH('Construction Budget'!$M29,0)),('Construction Budget'!$G29+SUM($G175:ES175))/ROUND(((EOMONTH('Construction Budget'!$M29,0)-EOMONTH(ET$11,0))/30)+1,0),0)</f>
        <v>0</v>
      </c>
      <c r="EU175" s="427">
        <f>-IF(AND(EU$11&gt;=EOMONTH('Construction Budget'!$K29,0),EU$11&lt;=EOMONTH('Construction Budget'!$M29,0)),('Construction Budget'!$G29+SUM($G175:ET175))/ROUND(((EOMONTH('Construction Budget'!$M29,0)-EOMONTH(EU$11,0))/30)+1,0),0)</f>
        <v>0</v>
      </c>
      <c r="EV175" s="427">
        <f>-IF(AND(EV$11&gt;=EOMONTH('Construction Budget'!$K29,0),EV$11&lt;=EOMONTH('Construction Budget'!$M29,0)),('Construction Budget'!$G29+SUM($G175:EU175))/ROUND(((EOMONTH('Construction Budget'!$M29,0)-EOMONTH(EV$11,0))/30)+1,0),0)</f>
        <v>0</v>
      </c>
      <c r="EW175" s="427">
        <f>-IF(AND(EW$11&gt;=EOMONTH('Construction Budget'!$K29,0),EW$11&lt;=EOMONTH('Construction Budget'!$M29,0)),('Construction Budget'!$G29+SUM($G175:EV175))/ROUND(((EOMONTH('Construction Budget'!$M29,0)-EOMONTH(EW$11,0))/30)+1,0),0)</f>
        <v>0</v>
      </c>
      <c r="EX175" s="427">
        <f>-IF(AND(EX$11&gt;=EOMONTH('Construction Budget'!$K29,0),EX$11&lt;=EOMONTH('Construction Budget'!$M29,0)),('Construction Budget'!$G29+SUM($G175:EW175))/ROUND(((EOMONTH('Construction Budget'!$M29,0)-EOMONTH(EX$11,0))/30)+1,0),0)</f>
        <v>0</v>
      </c>
      <c r="EY175" s="427">
        <f>-IF(AND(EY$11&gt;=EOMONTH('Construction Budget'!$K29,0),EY$11&lt;=EOMONTH('Construction Budget'!$M29,0)),('Construction Budget'!$G29+SUM($G175:EX175))/ROUND(((EOMONTH('Construction Budget'!$M29,0)-EOMONTH(EY$11,0))/30)+1,0),0)</f>
        <v>0</v>
      </c>
      <c r="EZ175" s="427">
        <f>-IF(AND(EZ$11&gt;=EOMONTH('Construction Budget'!$K29,0),EZ$11&lt;=EOMONTH('Construction Budget'!$M29,0)),('Construction Budget'!$G29+SUM($G175:EY175))/ROUND(((EOMONTH('Construction Budget'!$M29,0)-EOMONTH(EZ$11,0))/30)+1,0),0)</f>
        <v>0</v>
      </c>
      <c r="FA175" s="427">
        <f>-IF(AND(FA$11&gt;=EOMONTH('Construction Budget'!$K29,0),FA$11&lt;=EOMONTH('Construction Budget'!$M29,0)),('Construction Budget'!$G29+SUM($G175:EZ175))/ROUND(((EOMONTH('Construction Budget'!$M29,0)-EOMONTH(FA$11,0))/30)+1,0),0)</f>
        <v>0</v>
      </c>
      <c r="FB175" s="427">
        <f>-IF(AND(FB$11&gt;=EOMONTH('Construction Budget'!$K29,0),FB$11&lt;=EOMONTH('Construction Budget'!$M29,0)),('Construction Budget'!$G29+SUM($G175:FA175))/ROUND(((EOMONTH('Construction Budget'!$M29,0)-EOMONTH(FB$11,0))/30)+1,0),0)</f>
        <v>0</v>
      </c>
      <c r="FC175" s="427">
        <f>-IF(AND(FC$11&gt;=EOMONTH('Construction Budget'!$K29,0),FC$11&lt;=EOMONTH('Construction Budget'!$M29,0)),('Construction Budget'!$G29+SUM($G175:FB175))/ROUND(((EOMONTH('Construction Budget'!$M29,0)-EOMONTH(FC$11,0))/30)+1,0),0)</f>
        <v>0</v>
      </c>
      <c r="FD175" s="427">
        <f>-IF(AND(FD$11&gt;=EOMONTH('Construction Budget'!$K29,0),FD$11&lt;=EOMONTH('Construction Budget'!$M29,0)),('Construction Budget'!$G29+SUM($G175:FC175))/ROUND(((EOMONTH('Construction Budget'!$M29,0)-EOMONTH(FD$11,0))/30)+1,0),0)</f>
        <v>0</v>
      </c>
      <c r="FE175" s="427">
        <f>-IF(AND(FE$11&gt;=EOMONTH('Construction Budget'!$K29,0),FE$11&lt;=EOMONTH('Construction Budget'!$M29,0)),('Construction Budget'!$G29+SUM($G175:FD175))/ROUND(((EOMONTH('Construction Budget'!$M29,0)-EOMONTH(FE$11,0))/30)+1,0),0)</f>
        <v>0</v>
      </c>
      <c r="FF175" s="427">
        <f>-IF(AND(FF$11&gt;=EOMONTH('Construction Budget'!$K29,0),FF$11&lt;=EOMONTH('Construction Budget'!$M29,0)),('Construction Budget'!$G29+SUM($G175:FE175))/ROUND(((EOMONTH('Construction Budget'!$M29,0)-EOMONTH(FF$11,0))/30)+1,0),0)</f>
        <v>0</v>
      </c>
      <c r="FG175" s="427">
        <f>-IF(AND(FG$11&gt;=EOMONTH('Construction Budget'!$K29,0),FG$11&lt;=EOMONTH('Construction Budget'!$M29,0)),('Construction Budget'!$G29+SUM($G175:FF175))/ROUND(((EOMONTH('Construction Budget'!$M29,0)-EOMONTH(FG$11,0))/30)+1,0),0)</f>
        <v>0</v>
      </c>
      <c r="FH175" s="427">
        <f>-IF(AND(FH$11&gt;=EOMONTH('Construction Budget'!$K29,0),FH$11&lt;=EOMONTH('Construction Budget'!$M29,0)),('Construction Budget'!$G29+SUM($G175:FG175))/ROUND(((EOMONTH('Construction Budget'!$M29,0)-EOMONTH(FH$11,0))/30)+1,0),0)</f>
        <v>0</v>
      </c>
      <c r="FI175" s="427">
        <f>-IF(AND(FI$11&gt;=EOMONTH('Construction Budget'!$K29,0),FI$11&lt;=EOMONTH('Construction Budget'!$M29,0)),('Construction Budget'!$G29+SUM($G175:FH175))/ROUND(((EOMONTH('Construction Budget'!$M29,0)-EOMONTH(FI$11,0))/30)+1,0),0)</f>
        <v>0</v>
      </c>
      <c r="FJ175" s="427">
        <f>-IF(AND(FJ$11&gt;=EOMONTH('Construction Budget'!$K29,0),FJ$11&lt;=EOMONTH('Construction Budget'!$M29,0)),('Construction Budget'!$G29+SUM($G175:FI175))/ROUND(((EOMONTH('Construction Budget'!$M29,0)-EOMONTH(FJ$11,0))/30)+1,0),0)</f>
        <v>0</v>
      </c>
      <c r="FK175" s="427">
        <f>-IF(AND(FK$11&gt;=EOMONTH('Construction Budget'!$K29,0),FK$11&lt;=EOMONTH('Construction Budget'!$M29,0)),('Construction Budget'!$G29+SUM($G175:FJ175))/ROUND(((EOMONTH('Construction Budget'!$M29,0)-EOMONTH(FK$11,0))/30)+1,0),0)</f>
        <v>0</v>
      </c>
      <c r="FL175" s="427">
        <f>-IF(AND(FL$11&gt;=EOMONTH('Construction Budget'!$K29,0),FL$11&lt;=EOMONTH('Construction Budget'!$M29,0)),('Construction Budget'!$G29+SUM($G175:FK175))/ROUND(((EOMONTH('Construction Budget'!$M29,0)-EOMONTH(FL$11,0))/30)+1,0),0)</f>
        <v>0</v>
      </c>
      <c r="FM175" s="427">
        <f>-IF(AND(FM$11&gt;=EOMONTH('Construction Budget'!$K29,0),FM$11&lt;=EOMONTH('Construction Budget'!$M29,0)),('Construction Budget'!$G29+SUM($G175:FL175))/ROUND(((EOMONTH('Construction Budget'!$M29,0)-EOMONTH(FM$11,0))/30)+1,0),0)</f>
        <v>0</v>
      </c>
      <c r="FN175" s="427">
        <f>-IF(AND(FN$11&gt;=EOMONTH('Construction Budget'!$K29,0),FN$11&lt;=EOMONTH('Construction Budget'!$M29,0)),('Construction Budget'!$G29+SUM($G175:FM175))/ROUND(((EOMONTH('Construction Budget'!$M29,0)-EOMONTH(FN$11,0))/30)+1,0),0)</f>
        <v>0</v>
      </c>
      <c r="FO175" s="427">
        <f>-IF(AND(FO$11&gt;=EOMONTH('Construction Budget'!$K29,0),FO$11&lt;=EOMONTH('Construction Budget'!$M29,0)),('Construction Budget'!$G29+SUM($G175:FN175))/ROUND(((EOMONTH('Construction Budget'!$M29,0)-EOMONTH(FO$11,0))/30)+1,0),0)</f>
        <v>0</v>
      </c>
      <c r="FP175" s="427">
        <f>-IF(AND(FP$11&gt;=EOMONTH('Construction Budget'!$K29,0),FP$11&lt;=EOMONTH('Construction Budget'!$M29,0)),('Construction Budget'!$G29+SUM($G175:FO175))/ROUND(((EOMONTH('Construction Budget'!$M29,0)-EOMONTH(FP$11,0))/30)+1,0),0)</f>
        <v>0</v>
      </c>
      <c r="FQ175" s="427">
        <f>-IF(AND(FQ$11&gt;=EOMONTH('Construction Budget'!$K29,0),FQ$11&lt;=EOMONTH('Construction Budget'!$M29,0)),('Construction Budget'!$G29+SUM($G175:FP175))/ROUND(((EOMONTH('Construction Budget'!$M29,0)-EOMONTH(FQ$11,0))/30)+1,0),0)</f>
        <v>0</v>
      </c>
      <c r="FR175" s="427">
        <f>-IF(AND(FR$11&gt;=EOMONTH('Construction Budget'!$K29,0),FR$11&lt;=EOMONTH('Construction Budget'!$M29,0)),('Construction Budget'!$G29+SUM($G175:FQ175))/ROUND(((EOMONTH('Construction Budget'!$M29,0)-EOMONTH(FR$11,0))/30)+1,0),0)</f>
        <v>0</v>
      </c>
      <c r="FS175" s="427">
        <f>-IF(AND(FS$11&gt;=EOMONTH('Construction Budget'!$K29,0),FS$11&lt;=EOMONTH('Construction Budget'!$M29,0)),('Construction Budget'!$G29+SUM($G175:FR175))/ROUND(((EOMONTH('Construction Budget'!$M29,0)-EOMONTH(FS$11,0))/30)+1,0),0)</f>
        <v>0</v>
      </c>
      <c r="FT175" s="427">
        <f>-IF(AND(FT$11&gt;=EOMONTH('Construction Budget'!$K29,0),FT$11&lt;=EOMONTH('Construction Budget'!$M29,0)),('Construction Budget'!$G29+SUM($G175:FS175))/ROUND(((EOMONTH('Construction Budget'!$M29,0)-EOMONTH(FT$11,0))/30)+1,0),0)</f>
        <v>0</v>
      </c>
      <c r="FU175" s="43"/>
      <c r="FV175" s="34"/>
      <c r="FW175" s="34"/>
      <c r="FX175" s="34"/>
      <c r="FY175" s="34"/>
      <c r="FZ175" s="34"/>
    </row>
    <row r="176" spans="1:182" s="89" customFormat="1" ht="13.5" hidden="1" outlineLevel="1" x14ac:dyDescent="0.25">
      <c r="A176" s="498"/>
      <c r="B176" s="128" t="str">
        <f>'Construction Budget'!B30</f>
        <v>Legal</v>
      </c>
      <c r="C176" s="34"/>
      <c r="D176" s="34"/>
      <c r="E176" s="34"/>
      <c r="F176" s="434">
        <f t="shared" ref="F176:F196" si="232">SUM(H176:FT176)</f>
        <v>-300000</v>
      </c>
      <c r="G176" s="34"/>
      <c r="H176" s="427">
        <f>-IF(AND(H$11&gt;=EOMONTH('Construction Budget'!$K30,0),H$11&lt;=EOMONTH('Construction Budget'!$M30,0)),('Construction Budget'!$G30+SUM($G176:G176))/ROUND(((EOMONTH('Construction Budget'!$M30,0)-EOMONTH(H$11,0))/30)+1,0),0)</f>
        <v>0</v>
      </c>
      <c r="I176" s="427">
        <f>-IF(AND(I$11&gt;=EOMONTH('Construction Budget'!$K30,0),I$11&lt;=EOMONTH('Construction Budget'!$M30,0)),('Construction Budget'!$G30+SUM($G176:H176))/ROUND(((EOMONTH('Construction Budget'!$M30,0)-EOMONTH(I$11,0))/30)+1,0),0)</f>
        <v>0</v>
      </c>
      <c r="J176" s="427">
        <f>-IF(AND(J$11&gt;=EOMONTH('Construction Budget'!$K30,0),J$11&lt;=EOMONTH('Construction Budget'!$M30,0)),('Construction Budget'!$G30+SUM($G176:I176))/ROUND(((EOMONTH('Construction Budget'!$M30,0)-EOMONTH(J$11,0))/30)+1,0),0)</f>
        <v>-25000</v>
      </c>
      <c r="K176" s="427">
        <f>-IF(AND(K$11&gt;=EOMONTH('Construction Budget'!$K30,0),K$11&lt;=EOMONTH('Construction Budget'!$M30,0)),('Construction Budget'!$G30+SUM($G176:J176))/ROUND(((EOMONTH('Construction Budget'!$M30,0)-EOMONTH(K$11,0))/30)+1,0),0)</f>
        <v>-25000</v>
      </c>
      <c r="L176" s="427">
        <f>-IF(AND(L$11&gt;=EOMONTH('Construction Budget'!$K30,0),L$11&lt;=EOMONTH('Construction Budget'!$M30,0)),('Construction Budget'!$G30+SUM($G176:K176))/ROUND(((EOMONTH('Construction Budget'!$M30,0)-EOMONTH(L$11,0))/30)+1,0),0)</f>
        <v>-25000</v>
      </c>
      <c r="M176" s="427">
        <f>-IF(AND(M$11&gt;=EOMONTH('Construction Budget'!$K30,0),M$11&lt;=EOMONTH('Construction Budget'!$M30,0)),('Construction Budget'!$G30+SUM($G176:L176))/ROUND(((EOMONTH('Construction Budget'!$M30,0)-EOMONTH(M$11,0))/30)+1,0),0)</f>
        <v>-25000</v>
      </c>
      <c r="N176" s="427">
        <f>-IF(AND(N$11&gt;=EOMONTH('Construction Budget'!$K30,0),N$11&lt;=EOMONTH('Construction Budget'!$M30,0)),('Construction Budget'!$G30+SUM($G176:M176))/ROUND(((EOMONTH('Construction Budget'!$M30,0)-EOMONTH(N$11,0))/30)+1,0),0)</f>
        <v>-25000</v>
      </c>
      <c r="O176" s="427">
        <f>-IF(AND(O$11&gt;=EOMONTH('Construction Budget'!$K30,0),O$11&lt;=EOMONTH('Construction Budget'!$M30,0)),('Construction Budget'!$G30+SUM($G176:N176))/ROUND(((EOMONTH('Construction Budget'!$M30,0)-EOMONTH(O$11,0))/30)+1,0),0)</f>
        <v>-25000</v>
      </c>
      <c r="P176" s="427">
        <f>-IF(AND(P$11&gt;=EOMONTH('Construction Budget'!$K30,0),P$11&lt;=EOMONTH('Construction Budget'!$M30,0)),('Construction Budget'!$G30+SUM($G176:O176))/ROUND(((EOMONTH('Construction Budget'!$M30,0)-EOMONTH(P$11,0))/30)+1,0),0)</f>
        <v>-25000</v>
      </c>
      <c r="Q176" s="427">
        <f>-IF(AND(Q$11&gt;=EOMONTH('Construction Budget'!$K30,0),Q$11&lt;=EOMONTH('Construction Budget'!$M30,0)),('Construction Budget'!$G30+SUM($G176:P176))/ROUND(((EOMONTH('Construction Budget'!$M30,0)-EOMONTH(Q$11,0))/30)+1,0),0)</f>
        <v>-25000</v>
      </c>
      <c r="R176" s="427">
        <f>-IF(AND(R$11&gt;=EOMONTH('Construction Budget'!$K30,0),R$11&lt;=EOMONTH('Construction Budget'!$M30,0)),('Construction Budget'!$G30+SUM($G176:Q176))/ROUND(((EOMONTH('Construction Budget'!$M30,0)-EOMONTH(R$11,0))/30)+1,0),0)</f>
        <v>-25000</v>
      </c>
      <c r="S176" s="427">
        <f>-IF(AND(S$11&gt;=EOMONTH('Construction Budget'!$K30,0),S$11&lt;=EOMONTH('Construction Budget'!$M30,0)),('Construction Budget'!$G30+SUM($G176:R176))/ROUND(((EOMONTH('Construction Budget'!$M30,0)-EOMONTH(S$11,0))/30)+1,0),0)</f>
        <v>-25000</v>
      </c>
      <c r="T176" s="427">
        <f>-IF(AND(T$11&gt;=EOMONTH('Construction Budget'!$K30,0),T$11&lt;=EOMONTH('Construction Budget'!$M30,0)),('Construction Budget'!$G30+SUM($G176:S176))/ROUND(((EOMONTH('Construction Budget'!$M30,0)-EOMONTH(T$11,0))/30)+1,0),0)</f>
        <v>-25000</v>
      </c>
      <c r="U176" s="427">
        <f>-IF(AND(U$11&gt;=EOMONTH('Construction Budget'!$K30,0),U$11&lt;=EOMONTH('Construction Budget'!$M30,0)),('Construction Budget'!$G30+SUM($G176:T176))/ROUND(((EOMONTH('Construction Budget'!$M30,0)-EOMONTH(U$11,0))/30)+1,0),0)</f>
        <v>-25000</v>
      </c>
      <c r="V176" s="427">
        <f>-IF(AND(V$11&gt;=EOMONTH('Construction Budget'!$K30,0),V$11&lt;=EOMONTH('Construction Budget'!$M30,0)),('Construction Budget'!$G30+SUM($G176:U176))/ROUND(((EOMONTH('Construction Budget'!$M30,0)-EOMONTH(V$11,0))/30)+1,0),0)</f>
        <v>0</v>
      </c>
      <c r="W176" s="427">
        <f>-IF(AND(W$11&gt;=EOMONTH('Construction Budget'!$K30,0),W$11&lt;=EOMONTH('Construction Budget'!$M30,0)),('Construction Budget'!$G30+SUM($G176:V176))/ROUND(((EOMONTH('Construction Budget'!$M30,0)-EOMONTH(W$11,0))/30)+1,0),0)</f>
        <v>0</v>
      </c>
      <c r="X176" s="427">
        <f>-IF(AND(X$11&gt;=EOMONTH('Construction Budget'!$K30,0),X$11&lt;=EOMONTH('Construction Budget'!$M30,0)),('Construction Budget'!$G30+SUM($G176:W176))/ROUND(((EOMONTH('Construction Budget'!$M30,0)-EOMONTH(X$11,0))/30)+1,0),0)</f>
        <v>0</v>
      </c>
      <c r="Y176" s="427">
        <f>-IF(AND(Y$11&gt;=EOMONTH('Construction Budget'!$K30,0),Y$11&lt;=EOMONTH('Construction Budget'!$M30,0)),('Construction Budget'!$G30+SUM($G176:X176))/ROUND(((EOMONTH('Construction Budget'!$M30,0)-EOMONTH(Y$11,0))/30)+1,0),0)</f>
        <v>0</v>
      </c>
      <c r="Z176" s="427">
        <f>-IF(AND(Z$11&gt;=EOMONTH('Construction Budget'!$K30,0),Z$11&lt;=EOMONTH('Construction Budget'!$M30,0)),('Construction Budget'!$G30+SUM($G176:Y176))/ROUND(((EOMONTH('Construction Budget'!$M30,0)-EOMONTH(Z$11,0))/30)+1,0),0)</f>
        <v>0</v>
      </c>
      <c r="AA176" s="427">
        <f>-IF(AND(AA$11&gt;=EOMONTH('Construction Budget'!$K30,0),AA$11&lt;=EOMONTH('Construction Budget'!$M30,0)),('Construction Budget'!$G30+SUM($G176:Z176))/ROUND(((EOMONTH('Construction Budget'!$M30,0)-EOMONTH(AA$11,0))/30)+1,0),0)</f>
        <v>0</v>
      </c>
      <c r="AB176" s="427">
        <f>-IF(AND(AB$11&gt;=EOMONTH('Construction Budget'!$K30,0),AB$11&lt;=EOMONTH('Construction Budget'!$M30,0)),('Construction Budget'!$G30+SUM($G176:AA176))/ROUND(((EOMONTH('Construction Budget'!$M30,0)-EOMONTH(AB$11,0))/30)+1,0),0)</f>
        <v>0</v>
      </c>
      <c r="AC176" s="427">
        <f>-IF(AND(AC$11&gt;=EOMONTH('Construction Budget'!$K30,0),AC$11&lt;=EOMONTH('Construction Budget'!$M30,0)),('Construction Budget'!$G30+SUM($G176:AB176))/ROUND(((EOMONTH('Construction Budget'!$M30,0)-EOMONTH(AC$11,0))/30)+1,0),0)</f>
        <v>0</v>
      </c>
      <c r="AD176" s="427">
        <f>-IF(AND(AD$11&gt;=EOMONTH('Construction Budget'!$K30,0),AD$11&lt;=EOMONTH('Construction Budget'!$M30,0)),('Construction Budget'!$G30+SUM($G176:AC176))/ROUND(((EOMONTH('Construction Budget'!$M30,0)-EOMONTH(AD$11,0))/30)+1,0),0)</f>
        <v>0</v>
      </c>
      <c r="AE176" s="427">
        <f>-IF(AND(AE$11&gt;=EOMONTH('Construction Budget'!$K30,0),AE$11&lt;=EOMONTH('Construction Budget'!$M30,0)),('Construction Budget'!$G30+SUM($G176:AD176))/ROUND(((EOMONTH('Construction Budget'!$M30,0)-EOMONTH(AE$11,0))/30)+1,0),0)</f>
        <v>0</v>
      </c>
      <c r="AF176" s="427">
        <f>-IF(AND(AF$11&gt;=EOMONTH('Construction Budget'!$K30,0),AF$11&lt;=EOMONTH('Construction Budget'!$M30,0)),('Construction Budget'!$G30+SUM($G176:AE176))/ROUND(((EOMONTH('Construction Budget'!$M30,0)-EOMONTH(AF$11,0))/30)+1,0),0)</f>
        <v>0</v>
      </c>
      <c r="AG176" s="427">
        <f>-IF(AND(AG$11&gt;=EOMONTH('Construction Budget'!$K30,0),AG$11&lt;=EOMONTH('Construction Budget'!$M30,0)),('Construction Budget'!$G30+SUM($G176:AF176))/ROUND(((EOMONTH('Construction Budget'!$M30,0)-EOMONTH(AG$11,0))/30)+1,0),0)</f>
        <v>0</v>
      </c>
      <c r="AH176" s="427">
        <f>-IF(AND(AH$11&gt;=EOMONTH('Construction Budget'!$K30,0),AH$11&lt;=EOMONTH('Construction Budget'!$M30,0)),('Construction Budget'!$G30+SUM($G176:AG176))/ROUND(((EOMONTH('Construction Budget'!$M30,0)-EOMONTH(AH$11,0))/30)+1,0),0)</f>
        <v>0</v>
      </c>
      <c r="AI176" s="427">
        <f>-IF(AND(AI$11&gt;=EOMONTH('Construction Budget'!$K30,0),AI$11&lt;=EOMONTH('Construction Budget'!$M30,0)),('Construction Budget'!$G30+SUM($G176:AH176))/ROUND(((EOMONTH('Construction Budget'!$M30,0)-EOMONTH(AI$11,0))/30)+1,0),0)</f>
        <v>0</v>
      </c>
      <c r="AJ176" s="427">
        <f>-IF(AND(AJ$11&gt;=EOMONTH('Construction Budget'!$K30,0),AJ$11&lt;=EOMONTH('Construction Budget'!$M30,0)),('Construction Budget'!$G30+SUM($G176:AI176))/ROUND(((EOMONTH('Construction Budget'!$M30,0)-EOMONTH(AJ$11,0))/30)+1,0),0)</f>
        <v>0</v>
      </c>
      <c r="AK176" s="427">
        <f>-IF(AND(AK$11&gt;=EOMONTH('Construction Budget'!$K30,0),AK$11&lt;=EOMONTH('Construction Budget'!$M30,0)),('Construction Budget'!$G30+SUM($G176:AJ176))/ROUND(((EOMONTH('Construction Budget'!$M30,0)-EOMONTH(AK$11,0))/30)+1,0),0)</f>
        <v>0</v>
      </c>
      <c r="AL176" s="427">
        <f>-IF(AND(AL$11&gt;=EOMONTH('Construction Budget'!$K30,0),AL$11&lt;=EOMONTH('Construction Budget'!$M30,0)),('Construction Budget'!$G30+SUM($G176:AK176))/ROUND(((EOMONTH('Construction Budget'!$M30,0)-EOMONTH(AL$11,0))/30)+1,0),0)</f>
        <v>0</v>
      </c>
      <c r="AM176" s="427">
        <f>-IF(AND(AM$11&gt;=EOMONTH('Construction Budget'!$K30,0),AM$11&lt;=EOMONTH('Construction Budget'!$M30,0)),('Construction Budget'!$G30+SUM($G176:AL176))/ROUND(((EOMONTH('Construction Budget'!$M30,0)-EOMONTH(AM$11,0))/30)+1,0),0)</f>
        <v>0</v>
      </c>
      <c r="AN176" s="427">
        <f>-IF(AND(AN$11&gt;=EOMONTH('Construction Budget'!$K30,0),AN$11&lt;=EOMONTH('Construction Budget'!$M30,0)),('Construction Budget'!$G30+SUM($G176:AM176))/ROUND(((EOMONTH('Construction Budget'!$M30,0)-EOMONTH(AN$11,0))/30)+1,0),0)</f>
        <v>0</v>
      </c>
      <c r="AO176" s="427">
        <f>-IF(AND(AO$11&gt;=EOMONTH('Construction Budget'!$K30,0),AO$11&lt;=EOMONTH('Construction Budget'!$M30,0)),('Construction Budget'!$G30+SUM($G176:AN176))/ROUND(((EOMONTH('Construction Budget'!$M30,0)-EOMONTH(AO$11,0))/30)+1,0),0)</f>
        <v>0</v>
      </c>
      <c r="AP176" s="427">
        <f>-IF(AND(AP$11&gt;=EOMONTH('Construction Budget'!$K30,0),AP$11&lt;=EOMONTH('Construction Budget'!$M30,0)),('Construction Budget'!$G30+SUM($G176:AO176))/ROUND(((EOMONTH('Construction Budget'!$M30,0)-EOMONTH(AP$11,0))/30)+1,0),0)</f>
        <v>0</v>
      </c>
      <c r="AQ176" s="427">
        <f>-IF(AND(AQ$11&gt;=EOMONTH('Construction Budget'!$K30,0),AQ$11&lt;=EOMONTH('Construction Budget'!$M30,0)),('Construction Budget'!$G30+SUM($G176:AP176))/ROUND(((EOMONTH('Construction Budget'!$M30,0)-EOMONTH(AQ$11,0))/30)+1,0),0)</f>
        <v>0</v>
      </c>
      <c r="AR176" s="427">
        <f>-IF(AND(AR$11&gt;=EOMONTH('Construction Budget'!$K30,0),AR$11&lt;=EOMONTH('Construction Budget'!$M30,0)),('Construction Budget'!$G30+SUM($G176:AQ176))/ROUND(((EOMONTH('Construction Budget'!$M30,0)-EOMONTH(AR$11,0))/30)+1,0),0)</f>
        <v>0</v>
      </c>
      <c r="AS176" s="427">
        <f>-IF(AND(AS$11&gt;=EOMONTH('Construction Budget'!$K30,0),AS$11&lt;=EOMONTH('Construction Budget'!$M30,0)),('Construction Budget'!$G30+SUM($G176:AR176))/ROUND(((EOMONTH('Construction Budget'!$M30,0)-EOMONTH(AS$11,0))/30)+1,0),0)</f>
        <v>0</v>
      </c>
      <c r="AT176" s="427">
        <f>-IF(AND(AT$11&gt;=EOMONTH('Construction Budget'!$K30,0),AT$11&lt;=EOMONTH('Construction Budget'!$M30,0)),('Construction Budget'!$G30+SUM($G176:AS176))/ROUND(((EOMONTH('Construction Budget'!$M30,0)-EOMONTH(AT$11,0))/30)+1,0),0)</f>
        <v>0</v>
      </c>
      <c r="AU176" s="427">
        <f>-IF(AND(AU$11&gt;=EOMONTH('Construction Budget'!$K30,0),AU$11&lt;=EOMONTH('Construction Budget'!$M30,0)),('Construction Budget'!$G30+SUM($G176:AT176))/ROUND(((EOMONTH('Construction Budget'!$M30,0)-EOMONTH(AU$11,0))/30)+1,0),0)</f>
        <v>0</v>
      </c>
      <c r="AV176" s="427">
        <f>-IF(AND(AV$11&gt;=EOMONTH('Construction Budget'!$K30,0),AV$11&lt;=EOMONTH('Construction Budget'!$M30,0)),('Construction Budget'!$G30+SUM($G176:AU176))/ROUND(((EOMONTH('Construction Budget'!$M30,0)-EOMONTH(AV$11,0))/30)+1,0),0)</f>
        <v>0</v>
      </c>
      <c r="AW176" s="427">
        <f>-IF(AND(AW$11&gt;=EOMONTH('Construction Budget'!$K30,0),AW$11&lt;=EOMONTH('Construction Budget'!$M30,0)),('Construction Budget'!$G30+SUM($G176:AV176))/ROUND(((EOMONTH('Construction Budget'!$M30,0)-EOMONTH(AW$11,0))/30)+1,0),0)</f>
        <v>0</v>
      </c>
      <c r="AX176" s="427">
        <f>-IF(AND(AX$11&gt;=EOMONTH('Construction Budget'!$K30,0),AX$11&lt;=EOMONTH('Construction Budget'!$M30,0)),('Construction Budget'!$G30+SUM($G176:AW176))/ROUND(((EOMONTH('Construction Budget'!$M30,0)-EOMONTH(AX$11,0))/30)+1,0),0)</f>
        <v>0</v>
      </c>
      <c r="AY176" s="427">
        <f>-IF(AND(AY$11&gt;=EOMONTH('Construction Budget'!$K30,0),AY$11&lt;=EOMONTH('Construction Budget'!$M30,0)),('Construction Budget'!$G30+SUM($G176:AX176))/ROUND(((EOMONTH('Construction Budget'!$M30,0)-EOMONTH(AY$11,0))/30)+1,0),0)</f>
        <v>0</v>
      </c>
      <c r="AZ176" s="427">
        <f>-IF(AND(AZ$11&gt;=EOMONTH('Construction Budget'!$K30,0),AZ$11&lt;=EOMONTH('Construction Budget'!$M30,0)),('Construction Budget'!$G30+SUM($G176:AY176))/ROUND(((EOMONTH('Construction Budget'!$M30,0)-EOMONTH(AZ$11,0))/30)+1,0),0)</f>
        <v>0</v>
      </c>
      <c r="BA176" s="427">
        <f>-IF(AND(BA$11&gt;=EOMONTH('Construction Budget'!$K30,0),BA$11&lt;=EOMONTH('Construction Budget'!$M30,0)),('Construction Budget'!$G30+SUM($G176:AZ176))/ROUND(((EOMONTH('Construction Budget'!$M30,0)-EOMONTH(BA$11,0))/30)+1,0),0)</f>
        <v>0</v>
      </c>
      <c r="BB176" s="427">
        <f>-IF(AND(BB$11&gt;=EOMONTH('Construction Budget'!$K30,0),BB$11&lt;=EOMONTH('Construction Budget'!$M30,0)),('Construction Budget'!$G30+SUM($G176:BA176))/ROUND(((EOMONTH('Construction Budget'!$M30,0)-EOMONTH(BB$11,0))/30)+1,0),0)</f>
        <v>0</v>
      </c>
      <c r="BC176" s="427">
        <f>-IF(AND(BC$11&gt;=EOMONTH('Construction Budget'!$K30,0),BC$11&lt;=EOMONTH('Construction Budget'!$M30,0)),('Construction Budget'!$G30+SUM($G176:BB176))/ROUND(((EOMONTH('Construction Budget'!$M30,0)-EOMONTH(BC$11,0))/30)+1,0),0)</f>
        <v>0</v>
      </c>
      <c r="BD176" s="427">
        <f>-IF(AND(BD$11&gt;=EOMONTH('Construction Budget'!$K30,0),BD$11&lt;=EOMONTH('Construction Budget'!$M30,0)),('Construction Budget'!$G30+SUM($G176:BC176))/ROUND(((EOMONTH('Construction Budget'!$M30,0)-EOMONTH(BD$11,0))/30)+1,0),0)</f>
        <v>0</v>
      </c>
      <c r="BE176" s="427">
        <f>-IF(AND(BE$11&gt;=EOMONTH('Construction Budget'!$K30,0),BE$11&lt;=EOMONTH('Construction Budget'!$M30,0)),('Construction Budget'!$G30+SUM($G176:BD176))/ROUND(((EOMONTH('Construction Budget'!$M30,0)-EOMONTH(BE$11,0))/30)+1,0),0)</f>
        <v>0</v>
      </c>
      <c r="BF176" s="427">
        <f>-IF(AND(BF$11&gt;=EOMONTH('Construction Budget'!$K30,0),BF$11&lt;=EOMONTH('Construction Budget'!$M30,0)),('Construction Budget'!$G30+SUM($G176:BE176))/ROUND(((EOMONTH('Construction Budget'!$M30,0)-EOMONTH(BF$11,0))/30)+1,0),0)</f>
        <v>0</v>
      </c>
      <c r="BG176" s="427">
        <f>-IF(AND(BG$11&gt;=EOMONTH('Construction Budget'!$K30,0),BG$11&lt;=EOMONTH('Construction Budget'!$M30,0)),('Construction Budget'!$G30+SUM($G176:BF176))/ROUND(((EOMONTH('Construction Budget'!$M30,0)-EOMONTH(BG$11,0))/30)+1,0),0)</f>
        <v>0</v>
      </c>
      <c r="BH176" s="427">
        <f>-IF(AND(BH$11&gt;=EOMONTH('Construction Budget'!$K30,0),BH$11&lt;=EOMONTH('Construction Budget'!$M30,0)),('Construction Budget'!$G30+SUM($G176:BG176))/ROUND(((EOMONTH('Construction Budget'!$M30,0)-EOMONTH(BH$11,0))/30)+1,0),0)</f>
        <v>0</v>
      </c>
      <c r="BI176" s="427">
        <f>-IF(AND(BI$11&gt;=EOMONTH('Construction Budget'!$K30,0),BI$11&lt;=EOMONTH('Construction Budget'!$M30,0)),('Construction Budget'!$G30+SUM($G176:BH176))/ROUND(((EOMONTH('Construction Budget'!$M30,0)-EOMONTH(BI$11,0))/30)+1,0),0)</f>
        <v>0</v>
      </c>
      <c r="BJ176" s="427">
        <f>-IF(AND(BJ$11&gt;=EOMONTH('Construction Budget'!$K30,0),BJ$11&lt;=EOMONTH('Construction Budget'!$M30,0)),('Construction Budget'!$G30+SUM($G176:BI176))/ROUND(((EOMONTH('Construction Budget'!$M30,0)-EOMONTH(BJ$11,0))/30)+1,0),0)</f>
        <v>0</v>
      </c>
      <c r="BK176" s="427">
        <f>-IF(AND(BK$11&gt;=EOMONTH('Construction Budget'!$K30,0),BK$11&lt;=EOMONTH('Construction Budget'!$M30,0)),('Construction Budget'!$G30+SUM($G176:BJ176))/ROUND(((EOMONTH('Construction Budget'!$M30,0)-EOMONTH(BK$11,0))/30)+1,0),0)</f>
        <v>0</v>
      </c>
      <c r="BL176" s="427">
        <f>-IF(AND(BL$11&gt;=EOMONTH('Construction Budget'!$K30,0),BL$11&lt;=EOMONTH('Construction Budget'!$M30,0)),('Construction Budget'!$G30+SUM($G176:BK176))/ROUND(((EOMONTH('Construction Budget'!$M30,0)-EOMONTH(BL$11,0))/30)+1,0),0)</f>
        <v>0</v>
      </c>
      <c r="BM176" s="427">
        <f>-IF(AND(BM$11&gt;=EOMONTH('Construction Budget'!$K30,0),BM$11&lt;=EOMONTH('Construction Budget'!$M30,0)),('Construction Budget'!$G30+SUM($G176:BL176))/ROUND(((EOMONTH('Construction Budget'!$M30,0)-EOMONTH(BM$11,0))/30)+1,0),0)</f>
        <v>0</v>
      </c>
      <c r="BN176" s="427">
        <f>-IF(AND(BN$11&gt;=EOMONTH('Construction Budget'!$K30,0),BN$11&lt;=EOMONTH('Construction Budget'!$M30,0)),('Construction Budget'!$G30+SUM($G176:BM176))/ROUND(((EOMONTH('Construction Budget'!$M30,0)-EOMONTH(BN$11,0))/30)+1,0),0)</f>
        <v>0</v>
      </c>
      <c r="BO176" s="427">
        <f>-IF(AND(BO$11&gt;=EOMONTH('Construction Budget'!$K30,0),BO$11&lt;=EOMONTH('Construction Budget'!$M30,0)),('Construction Budget'!$G30+SUM($G176:BN176))/ROUND(((EOMONTH('Construction Budget'!$M30,0)-EOMONTH(BO$11,0))/30)+1,0),0)</f>
        <v>0</v>
      </c>
      <c r="BP176" s="427">
        <f>-IF(AND(BP$11&gt;=EOMONTH('Construction Budget'!$K30,0),BP$11&lt;=EOMONTH('Construction Budget'!$M30,0)),('Construction Budget'!$G30+SUM($G176:BO176))/ROUND(((EOMONTH('Construction Budget'!$M30,0)-EOMONTH(BP$11,0))/30)+1,0),0)</f>
        <v>0</v>
      </c>
      <c r="BQ176" s="427">
        <f>-IF(AND(BQ$11&gt;=EOMONTH('Construction Budget'!$K30,0),BQ$11&lt;=EOMONTH('Construction Budget'!$M30,0)),('Construction Budget'!$G30+SUM($G176:BP176))/ROUND(((EOMONTH('Construction Budget'!$M30,0)-EOMONTH(BQ$11,0))/30)+1,0),0)</f>
        <v>0</v>
      </c>
      <c r="BR176" s="427">
        <f>-IF(AND(BR$11&gt;=EOMONTH('Construction Budget'!$K30,0),BR$11&lt;=EOMONTH('Construction Budget'!$M30,0)),('Construction Budget'!$G30+SUM($G176:BQ176))/ROUND(((EOMONTH('Construction Budget'!$M30,0)-EOMONTH(BR$11,0))/30)+1,0),0)</f>
        <v>0</v>
      </c>
      <c r="BS176" s="427">
        <f>-IF(AND(BS$11&gt;=EOMONTH('Construction Budget'!$K30,0),BS$11&lt;=EOMONTH('Construction Budget'!$M30,0)),('Construction Budget'!$G30+SUM($G176:BR176))/ROUND(((EOMONTH('Construction Budget'!$M30,0)-EOMONTH(BS$11,0))/30)+1,0),0)</f>
        <v>0</v>
      </c>
      <c r="BT176" s="427">
        <f>-IF(AND(BT$11&gt;=EOMONTH('Construction Budget'!$K30,0),BT$11&lt;=EOMONTH('Construction Budget'!$M30,0)),('Construction Budget'!$G30+SUM($G176:BS176))/ROUND(((EOMONTH('Construction Budget'!$M30,0)-EOMONTH(BT$11,0))/30)+1,0),0)</f>
        <v>0</v>
      </c>
      <c r="BU176" s="427">
        <f>-IF(AND(BU$11&gt;=EOMONTH('Construction Budget'!$K30,0),BU$11&lt;=EOMONTH('Construction Budget'!$M30,0)),('Construction Budget'!$G30+SUM($G176:BT176))/ROUND(((EOMONTH('Construction Budget'!$M30,0)-EOMONTH(BU$11,0))/30)+1,0),0)</f>
        <v>0</v>
      </c>
      <c r="BV176" s="427">
        <f>-IF(AND(BV$11&gt;=EOMONTH('Construction Budget'!$K30,0),BV$11&lt;=EOMONTH('Construction Budget'!$M30,0)),('Construction Budget'!$G30+SUM($G176:BU176))/ROUND(((EOMONTH('Construction Budget'!$M30,0)-EOMONTH(BV$11,0))/30)+1,0),0)</f>
        <v>0</v>
      </c>
      <c r="BW176" s="427">
        <f>-IF(AND(BW$11&gt;=EOMONTH('Construction Budget'!$K30,0),BW$11&lt;=EOMONTH('Construction Budget'!$M30,0)),('Construction Budget'!$G30+SUM($G176:BV176))/ROUND(((EOMONTH('Construction Budget'!$M30,0)-EOMONTH(BW$11,0))/30)+1,0),0)</f>
        <v>0</v>
      </c>
      <c r="BX176" s="427">
        <f>-IF(AND(BX$11&gt;=EOMONTH('Construction Budget'!$K30,0),BX$11&lt;=EOMONTH('Construction Budget'!$M30,0)),('Construction Budget'!$G30+SUM($G176:BW176))/ROUND(((EOMONTH('Construction Budget'!$M30,0)-EOMONTH(BX$11,0))/30)+1,0),0)</f>
        <v>0</v>
      </c>
      <c r="BY176" s="427">
        <f>-IF(AND(BY$11&gt;=EOMONTH('Construction Budget'!$K30,0),BY$11&lt;=EOMONTH('Construction Budget'!$M30,0)),('Construction Budget'!$G30+SUM($G176:BX176))/ROUND(((EOMONTH('Construction Budget'!$M30,0)-EOMONTH(BY$11,0))/30)+1,0),0)</f>
        <v>0</v>
      </c>
      <c r="BZ176" s="427">
        <f>-IF(AND(BZ$11&gt;=EOMONTH('Construction Budget'!$K30,0),BZ$11&lt;=EOMONTH('Construction Budget'!$M30,0)),('Construction Budget'!$G30+SUM($G176:BY176))/ROUND(((EOMONTH('Construction Budget'!$M30,0)-EOMONTH(BZ$11,0))/30)+1,0),0)</f>
        <v>0</v>
      </c>
      <c r="CA176" s="427">
        <f>-IF(AND(CA$11&gt;=EOMONTH('Construction Budget'!$K30,0),CA$11&lt;=EOMONTH('Construction Budget'!$M30,0)),('Construction Budget'!$G30+SUM($G176:BZ176))/ROUND(((EOMONTH('Construction Budget'!$M30,0)-EOMONTH(CA$11,0))/30)+1,0),0)</f>
        <v>0</v>
      </c>
      <c r="CB176" s="427">
        <f>-IF(AND(CB$11&gt;=EOMONTH('Construction Budget'!$K30,0),CB$11&lt;=EOMONTH('Construction Budget'!$M30,0)),('Construction Budget'!$G30+SUM($G176:CA176))/ROUND(((EOMONTH('Construction Budget'!$M30,0)-EOMONTH(CB$11,0))/30)+1,0),0)</f>
        <v>0</v>
      </c>
      <c r="CC176" s="427">
        <f>-IF(AND(CC$11&gt;=EOMONTH('Construction Budget'!$K30,0),CC$11&lt;=EOMONTH('Construction Budget'!$M30,0)),('Construction Budget'!$G30+SUM($G176:CB176))/ROUND(((EOMONTH('Construction Budget'!$M30,0)-EOMONTH(CC$11,0))/30)+1,0),0)</f>
        <v>0</v>
      </c>
      <c r="CD176" s="427">
        <f>-IF(AND(CD$11&gt;=EOMONTH('Construction Budget'!$K30,0),CD$11&lt;=EOMONTH('Construction Budget'!$M30,0)),('Construction Budget'!$G30+SUM($G176:CC176))/ROUND(((EOMONTH('Construction Budget'!$M30,0)-EOMONTH(CD$11,0))/30)+1,0),0)</f>
        <v>0</v>
      </c>
      <c r="CE176" s="427">
        <f>-IF(AND(CE$11&gt;=EOMONTH('Construction Budget'!$K30,0),CE$11&lt;=EOMONTH('Construction Budget'!$M30,0)),('Construction Budget'!$G30+SUM($G176:CD176))/ROUND(((EOMONTH('Construction Budget'!$M30,0)-EOMONTH(CE$11,0))/30)+1,0),0)</f>
        <v>0</v>
      </c>
      <c r="CF176" s="427">
        <f>-IF(AND(CF$11&gt;=EOMONTH('Construction Budget'!$K30,0),CF$11&lt;=EOMONTH('Construction Budget'!$M30,0)),('Construction Budget'!$G30+SUM($G176:CE176))/ROUND(((EOMONTH('Construction Budget'!$M30,0)-EOMONTH(CF$11,0))/30)+1,0),0)</f>
        <v>0</v>
      </c>
      <c r="CG176" s="427">
        <f>-IF(AND(CG$11&gt;=EOMONTH('Construction Budget'!$K30,0),CG$11&lt;=EOMONTH('Construction Budget'!$M30,0)),('Construction Budget'!$G30+SUM($G176:CF176))/ROUND(((EOMONTH('Construction Budget'!$M30,0)-EOMONTH(CG$11,0))/30)+1,0),0)</f>
        <v>0</v>
      </c>
      <c r="CH176" s="427">
        <f>-IF(AND(CH$11&gt;=EOMONTH('Construction Budget'!$K30,0),CH$11&lt;=EOMONTH('Construction Budget'!$M30,0)),('Construction Budget'!$G30+SUM($G176:CG176))/ROUND(((EOMONTH('Construction Budget'!$M30,0)-EOMONTH(CH$11,0))/30)+1,0),0)</f>
        <v>0</v>
      </c>
      <c r="CI176" s="427">
        <f>-IF(AND(CI$11&gt;=EOMONTH('Construction Budget'!$K30,0),CI$11&lt;=EOMONTH('Construction Budget'!$M30,0)),('Construction Budget'!$G30+SUM($G176:CH176))/ROUND(((EOMONTH('Construction Budget'!$M30,0)-EOMONTH(CI$11,0))/30)+1,0),0)</f>
        <v>0</v>
      </c>
      <c r="CJ176" s="427">
        <f>-IF(AND(CJ$11&gt;=EOMONTH('Construction Budget'!$K30,0),CJ$11&lt;=EOMONTH('Construction Budget'!$M30,0)),('Construction Budget'!$G30+SUM($G176:CI176))/ROUND(((EOMONTH('Construction Budget'!$M30,0)-EOMONTH(CJ$11,0))/30)+1,0),0)</f>
        <v>0</v>
      </c>
      <c r="CK176" s="427">
        <f>-IF(AND(CK$11&gt;=EOMONTH('Construction Budget'!$K30,0),CK$11&lt;=EOMONTH('Construction Budget'!$M30,0)),('Construction Budget'!$G30+SUM($G176:CJ176))/ROUND(((EOMONTH('Construction Budget'!$M30,0)-EOMONTH(CK$11,0))/30)+1,0),0)</f>
        <v>0</v>
      </c>
      <c r="CL176" s="427">
        <f>-IF(AND(CL$11&gt;=EOMONTH('Construction Budget'!$K30,0),CL$11&lt;=EOMONTH('Construction Budget'!$M30,0)),('Construction Budget'!$G30+SUM($G176:CK176))/ROUND(((EOMONTH('Construction Budget'!$M30,0)-EOMONTH(CL$11,0))/30)+1,0),0)</f>
        <v>0</v>
      </c>
      <c r="CM176" s="427">
        <f>-IF(AND(CM$11&gt;=EOMONTH('Construction Budget'!$K30,0),CM$11&lt;=EOMONTH('Construction Budget'!$M30,0)),('Construction Budget'!$G30+SUM($G176:CL176))/ROUND(((EOMONTH('Construction Budget'!$M30,0)-EOMONTH(CM$11,0))/30)+1,0),0)</f>
        <v>0</v>
      </c>
      <c r="CN176" s="427">
        <f>-IF(AND(CN$11&gt;=EOMONTH('Construction Budget'!$K30,0),CN$11&lt;=EOMONTH('Construction Budget'!$M30,0)),('Construction Budget'!$G30+SUM($G176:CM176))/ROUND(((EOMONTH('Construction Budget'!$M30,0)-EOMONTH(CN$11,0))/30)+1,0),0)</f>
        <v>0</v>
      </c>
      <c r="CO176" s="427">
        <f>-IF(AND(CO$11&gt;=EOMONTH('Construction Budget'!$K30,0),CO$11&lt;=EOMONTH('Construction Budget'!$M30,0)),('Construction Budget'!$G30+SUM($G176:CN176))/ROUND(((EOMONTH('Construction Budget'!$M30,0)-EOMONTH(CO$11,0))/30)+1,0),0)</f>
        <v>0</v>
      </c>
      <c r="CP176" s="427">
        <f>-IF(AND(CP$11&gt;=EOMONTH('Construction Budget'!$K30,0),CP$11&lt;=EOMONTH('Construction Budget'!$M30,0)),('Construction Budget'!$G30+SUM($G176:CO176))/ROUND(((EOMONTH('Construction Budget'!$M30,0)-EOMONTH(CP$11,0))/30)+1,0),0)</f>
        <v>0</v>
      </c>
      <c r="CQ176" s="427">
        <f>-IF(AND(CQ$11&gt;=EOMONTH('Construction Budget'!$K30,0),CQ$11&lt;=EOMONTH('Construction Budget'!$M30,0)),('Construction Budget'!$G30+SUM($G176:CP176))/ROUND(((EOMONTH('Construction Budget'!$M30,0)-EOMONTH(CQ$11,0))/30)+1,0),0)</f>
        <v>0</v>
      </c>
      <c r="CR176" s="427">
        <f>-IF(AND(CR$11&gt;=EOMONTH('Construction Budget'!$K30,0),CR$11&lt;=EOMONTH('Construction Budget'!$M30,0)),('Construction Budget'!$G30+SUM($G176:CQ176))/ROUND(((EOMONTH('Construction Budget'!$M30,0)-EOMONTH(CR$11,0))/30)+1,0),0)</f>
        <v>0</v>
      </c>
      <c r="CS176" s="427">
        <f>-IF(AND(CS$11&gt;=EOMONTH('Construction Budget'!$K30,0),CS$11&lt;=EOMONTH('Construction Budget'!$M30,0)),('Construction Budget'!$G30+SUM($G176:CR176))/ROUND(((EOMONTH('Construction Budget'!$M30,0)-EOMONTH(CS$11,0))/30)+1,0),0)</f>
        <v>0</v>
      </c>
      <c r="CT176" s="427">
        <f>-IF(AND(CT$11&gt;=EOMONTH('Construction Budget'!$K30,0),CT$11&lt;=EOMONTH('Construction Budget'!$M30,0)),('Construction Budget'!$G30+SUM($G176:CS176))/ROUND(((EOMONTH('Construction Budget'!$M30,0)-EOMONTH(CT$11,0))/30)+1,0),0)</f>
        <v>0</v>
      </c>
      <c r="CU176" s="427">
        <f>-IF(AND(CU$11&gt;=EOMONTH('Construction Budget'!$K30,0),CU$11&lt;=EOMONTH('Construction Budget'!$M30,0)),('Construction Budget'!$G30+SUM($G176:CT176))/ROUND(((EOMONTH('Construction Budget'!$M30,0)-EOMONTH(CU$11,0))/30)+1,0),0)</f>
        <v>0</v>
      </c>
      <c r="CV176" s="427">
        <f>-IF(AND(CV$11&gt;=EOMONTH('Construction Budget'!$K30,0),CV$11&lt;=EOMONTH('Construction Budget'!$M30,0)),('Construction Budget'!$G30+SUM($G176:CU176))/ROUND(((EOMONTH('Construction Budget'!$M30,0)-EOMONTH(CV$11,0))/30)+1,0),0)</f>
        <v>0</v>
      </c>
      <c r="CW176" s="427">
        <f>-IF(AND(CW$11&gt;=EOMONTH('Construction Budget'!$K30,0),CW$11&lt;=EOMONTH('Construction Budget'!$M30,0)),('Construction Budget'!$G30+SUM($G176:CV176))/ROUND(((EOMONTH('Construction Budget'!$M30,0)-EOMONTH(CW$11,0))/30)+1,0),0)</f>
        <v>0</v>
      </c>
      <c r="CX176" s="427">
        <f>-IF(AND(CX$11&gt;=EOMONTH('Construction Budget'!$K30,0),CX$11&lt;=EOMONTH('Construction Budget'!$M30,0)),('Construction Budget'!$G30+SUM($G176:CW176))/ROUND(((EOMONTH('Construction Budget'!$M30,0)-EOMONTH(CX$11,0))/30)+1,0),0)</f>
        <v>0</v>
      </c>
      <c r="CY176" s="427">
        <f>-IF(AND(CY$11&gt;=EOMONTH('Construction Budget'!$K30,0),CY$11&lt;=EOMONTH('Construction Budget'!$M30,0)),('Construction Budget'!$G30+SUM($G176:CX176))/ROUND(((EOMONTH('Construction Budget'!$M30,0)-EOMONTH(CY$11,0))/30)+1,0),0)</f>
        <v>0</v>
      </c>
      <c r="CZ176" s="427">
        <f>-IF(AND(CZ$11&gt;=EOMONTH('Construction Budget'!$K30,0),CZ$11&lt;=EOMONTH('Construction Budget'!$M30,0)),('Construction Budget'!$G30+SUM($G176:CY176))/ROUND(((EOMONTH('Construction Budget'!$M30,0)-EOMONTH(CZ$11,0))/30)+1,0),0)</f>
        <v>0</v>
      </c>
      <c r="DA176" s="427">
        <f>-IF(AND(DA$11&gt;=EOMONTH('Construction Budget'!$K30,0),DA$11&lt;=EOMONTH('Construction Budget'!$M30,0)),('Construction Budget'!$G30+SUM($G176:CZ176))/ROUND(((EOMONTH('Construction Budget'!$M30,0)-EOMONTH(DA$11,0))/30)+1,0),0)</f>
        <v>0</v>
      </c>
      <c r="DB176" s="427">
        <f>-IF(AND(DB$11&gt;=EOMONTH('Construction Budget'!$K30,0),DB$11&lt;=EOMONTH('Construction Budget'!$M30,0)),('Construction Budget'!$G30+SUM($G176:DA176))/ROUND(((EOMONTH('Construction Budget'!$M30,0)-EOMONTH(DB$11,0))/30)+1,0),0)</f>
        <v>0</v>
      </c>
      <c r="DC176" s="427">
        <f>-IF(AND(DC$11&gt;=EOMONTH('Construction Budget'!$K30,0),DC$11&lt;=EOMONTH('Construction Budget'!$M30,0)),('Construction Budget'!$G30+SUM($G176:DB176))/ROUND(((EOMONTH('Construction Budget'!$M30,0)-EOMONTH(DC$11,0))/30)+1,0),0)</f>
        <v>0</v>
      </c>
      <c r="DD176" s="427">
        <f>-IF(AND(DD$11&gt;=EOMONTH('Construction Budget'!$K30,0),DD$11&lt;=EOMONTH('Construction Budget'!$M30,0)),('Construction Budget'!$G30+SUM($G176:DC176))/ROUND(((EOMONTH('Construction Budget'!$M30,0)-EOMONTH(DD$11,0))/30)+1,0),0)</f>
        <v>0</v>
      </c>
      <c r="DE176" s="427">
        <f>-IF(AND(DE$11&gt;=EOMONTH('Construction Budget'!$K30,0),DE$11&lt;=EOMONTH('Construction Budget'!$M30,0)),('Construction Budget'!$G30+SUM($G176:DD176))/ROUND(((EOMONTH('Construction Budget'!$M30,0)-EOMONTH(DE$11,0))/30)+1,0),0)</f>
        <v>0</v>
      </c>
      <c r="DF176" s="427">
        <f>-IF(AND(DF$11&gt;=EOMONTH('Construction Budget'!$K30,0),DF$11&lt;=EOMONTH('Construction Budget'!$M30,0)),('Construction Budget'!$G30+SUM($G176:DE176))/ROUND(((EOMONTH('Construction Budget'!$M30,0)-EOMONTH(DF$11,0))/30)+1,0),0)</f>
        <v>0</v>
      </c>
      <c r="DG176" s="427">
        <f>-IF(AND(DG$11&gt;=EOMONTH('Construction Budget'!$K30,0),DG$11&lt;=EOMONTH('Construction Budget'!$M30,0)),('Construction Budget'!$G30+SUM($G176:DF176))/ROUND(((EOMONTH('Construction Budget'!$M30,0)-EOMONTH(DG$11,0))/30)+1,0),0)</f>
        <v>0</v>
      </c>
      <c r="DH176" s="427">
        <f>-IF(AND(DH$11&gt;=EOMONTH('Construction Budget'!$K30,0),DH$11&lt;=EOMONTH('Construction Budget'!$M30,0)),('Construction Budget'!$G30+SUM($G176:DG176))/ROUND(((EOMONTH('Construction Budget'!$M30,0)-EOMONTH(DH$11,0))/30)+1,0),0)</f>
        <v>0</v>
      </c>
      <c r="DI176" s="427">
        <f>-IF(AND(DI$11&gt;=EOMONTH('Construction Budget'!$K30,0),DI$11&lt;=EOMONTH('Construction Budget'!$M30,0)),('Construction Budget'!$G30+SUM($G176:DH176))/ROUND(((EOMONTH('Construction Budget'!$M30,0)-EOMONTH(DI$11,0))/30)+1,0),0)</f>
        <v>0</v>
      </c>
      <c r="DJ176" s="427">
        <f>-IF(AND(DJ$11&gt;=EOMONTH('Construction Budget'!$K30,0),DJ$11&lt;=EOMONTH('Construction Budget'!$M30,0)),('Construction Budget'!$G30+SUM($G176:DI176))/ROUND(((EOMONTH('Construction Budget'!$M30,0)-EOMONTH(DJ$11,0))/30)+1,0),0)</f>
        <v>0</v>
      </c>
      <c r="DK176" s="427">
        <f>-IF(AND(DK$11&gt;=EOMONTH('Construction Budget'!$K30,0),DK$11&lt;=EOMONTH('Construction Budget'!$M30,0)),('Construction Budget'!$G30+SUM($G176:DJ176))/ROUND(((EOMONTH('Construction Budget'!$M30,0)-EOMONTH(DK$11,0))/30)+1,0),0)</f>
        <v>0</v>
      </c>
      <c r="DL176" s="427">
        <f>-IF(AND(DL$11&gt;=EOMONTH('Construction Budget'!$K30,0),DL$11&lt;=EOMONTH('Construction Budget'!$M30,0)),('Construction Budget'!$G30+SUM($G176:DK176))/ROUND(((EOMONTH('Construction Budget'!$M30,0)-EOMONTH(DL$11,0))/30)+1,0),0)</f>
        <v>0</v>
      </c>
      <c r="DM176" s="427">
        <f>-IF(AND(DM$11&gt;=EOMONTH('Construction Budget'!$K30,0),DM$11&lt;=EOMONTH('Construction Budget'!$M30,0)),('Construction Budget'!$G30+SUM($G176:DL176))/ROUND(((EOMONTH('Construction Budget'!$M30,0)-EOMONTH(DM$11,0))/30)+1,0),0)</f>
        <v>0</v>
      </c>
      <c r="DN176" s="427">
        <f>-IF(AND(DN$11&gt;=EOMONTH('Construction Budget'!$K30,0),DN$11&lt;=EOMONTH('Construction Budget'!$M30,0)),('Construction Budget'!$G30+SUM($G176:DM176))/ROUND(((EOMONTH('Construction Budget'!$M30,0)-EOMONTH(DN$11,0))/30)+1,0),0)</f>
        <v>0</v>
      </c>
      <c r="DO176" s="427">
        <f>-IF(AND(DO$11&gt;=EOMONTH('Construction Budget'!$K30,0),DO$11&lt;=EOMONTH('Construction Budget'!$M30,0)),('Construction Budget'!$G30+SUM($G176:DN176))/ROUND(((EOMONTH('Construction Budget'!$M30,0)-EOMONTH(DO$11,0))/30)+1,0),0)</f>
        <v>0</v>
      </c>
      <c r="DP176" s="427">
        <f>-IF(AND(DP$11&gt;=EOMONTH('Construction Budget'!$K30,0),DP$11&lt;=EOMONTH('Construction Budget'!$M30,0)),('Construction Budget'!$G30+SUM($G176:DO176))/ROUND(((EOMONTH('Construction Budget'!$M30,0)-EOMONTH(DP$11,0))/30)+1,0),0)</f>
        <v>0</v>
      </c>
      <c r="DQ176" s="427">
        <f>-IF(AND(DQ$11&gt;=EOMONTH('Construction Budget'!$K30,0),DQ$11&lt;=EOMONTH('Construction Budget'!$M30,0)),('Construction Budget'!$G30+SUM($G176:DP176))/ROUND(((EOMONTH('Construction Budget'!$M30,0)-EOMONTH(DQ$11,0))/30)+1,0),0)</f>
        <v>0</v>
      </c>
      <c r="DR176" s="427">
        <f>-IF(AND(DR$11&gt;=EOMONTH('Construction Budget'!$K30,0),DR$11&lt;=EOMONTH('Construction Budget'!$M30,0)),('Construction Budget'!$G30+SUM($G176:DQ176))/ROUND(((EOMONTH('Construction Budget'!$M30,0)-EOMONTH(DR$11,0))/30)+1,0),0)</f>
        <v>0</v>
      </c>
      <c r="DS176" s="427">
        <f>-IF(AND(DS$11&gt;=EOMONTH('Construction Budget'!$K30,0),DS$11&lt;=EOMONTH('Construction Budget'!$M30,0)),('Construction Budget'!$G30+SUM($G176:DR176))/ROUND(((EOMONTH('Construction Budget'!$M30,0)-EOMONTH(DS$11,0))/30)+1,0),0)</f>
        <v>0</v>
      </c>
      <c r="DT176" s="427">
        <f>-IF(AND(DT$11&gt;=EOMONTH('Construction Budget'!$K30,0),DT$11&lt;=EOMONTH('Construction Budget'!$M30,0)),('Construction Budget'!$G30+SUM($G176:DS176))/ROUND(((EOMONTH('Construction Budget'!$M30,0)-EOMONTH(DT$11,0))/30)+1,0),0)</f>
        <v>0</v>
      </c>
      <c r="DU176" s="427">
        <f>-IF(AND(DU$11&gt;=EOMONTH('Construction Budget'!$K30,0),DU$11&lt;=EOMONTH('Construction Budget'!$M30,0)),('Construction Budget'!$G30+SUM($G176:DT176))/ROUND(((EOMONTH('Construction Budget'!$M30,0)-EOMONTH(DU$11,0))/30)+1,0),0)</f>
        <v>0</v>
      </c>
      <c r="DV176" s="427">
        <f>-IF(AND(DV$11&gt;=EOMONTH('Construction Budget'!$K30,0),DV$11&lt;=EOMONTH('Construction Budget'!$M30,0)),('Construction Budget'!$G30+SUM($G176:DU176))/ROUND(((EOMONTH('Construction Budget'!$M30,0)-EOMONTH(DV$11,0))/30)+1,0),0)</f>
        <v>0</v>
      </c>
      <c r="DW176" s="427">
        <f>-IF(AND(DW$11&gt;=EOMONTH('Construction Budget'!$K30,0),DW$11&lt;=EOMONTH('Construction Budget'!$M30,0)),('Construction Budget'!$G30+SUM($G176:DV176))/ROUND(((EOMONTH('Construction Budget'!$M30,0)-EOMONTH(DW$11,0))/30)+1,0),0)</f>
        <v>0</v>
      </c>
      <c r="DX176" s="427">
        <f>-IF(AND(DX$11&gt;=EOMONTH('Construction Budget'!$K30,0),DX$11&lt;=EOMONTH('Construction Budget'!$M30,0)),('Construction Budget'!$G30+SUM($G176:DW176))/ROUND(((EOMONTH('Construction Budget'!$M30,0)-EOMONTH(DX$11,0))/30)+1,0),0)</f>
        <v>0</v>
      </c>
      <c r="DY176" s="427">
        <f>-IF(AND(DY$11&gt;=EOMONTH('Construction Budget'!$K30,0),DY$11&lt;=EOMONTH('Construction Budget'!$M30,0)),('Construction Budget'!$G30+SUM($G176:DX176))/ROUND(((EOMONTH('Construction Budget'!$M30,0)-EOMONTH(DY$11,0))/30)+1,0),0)</f>
        <v>0</v>
      </c>
      <c r="DZ176" s="427">
        <f>-IF(AND(DZ$11&gt;=EOMONTH('Construction Budget'!$K30,0),DZ$11&lt;=EOMONTH('Construction Budget'!$M30,0)),('Construction Budget'!$G30+SUM($G176:DY176))/ROUND(((EOMONTH('Construction Budget'!$M30,0)-EOMONTH(DZ$11,0))/30)+1,0),0)</f>
        <v>0</v>
      </c>
      <c r="EA176" s="427">
        <f>-IF(AND(EA$11&gt;=EOMONTH('Construction Budget'!$K30,0),EA$11&lt;=EOMONTH('Construction Budget'!$M30,0)),('Construction Budget'!$G30+SUM($G176:DZ176))/ROUND(((EOMONTH('Construction Budget'!$M30,0)-EOMONTH(EA$11,0))/30)+1,0),0)</f>
        <v>0</v>
      </c>
      <c r="EB176" s="427">
        <f>-IF(AND(EB$11&gt;=EOMONTH('Construction Budget'!$K30,0),EB$11&lt;=EOMONTH('Construction Budget'!$M30,0)),('Construction Budget'!$G30+SUM($G176:EA176))/ROUND(((EOMONTH('Construction Budget'!$M30,0)-EOMONTH(EB$11,0))/30)+1,0),0)</f>
        <v>0</v>
      </c>
      <c r="EC176" s="427">
        <f>-IF(AND(EC$11&gt;=EOMONTH('Construction Budget'!$K30,0),EC$11&lt;=EOMONTH('Construction Budget'!$M30,0)),('Construction Budget'!$G30+SUM($G176:EB176))/ROUND(((EOMONTH('Construction Budget'!$M30,0)-EOMONTH(EC$11,0))/30)+1,0),0)</f>
        <v>0</v>
      </c>
      <c r="ED176" s="427">
        <f>-IF(AND(ED$11&gt;=EOMONTH('Construction Budget'!$K30,0),ED$11&lt;=EOMONTH('Construction Budget'!$M30,0)),('Construction Budget'!$G30+SUM($G176:EC176))/ROUND(((EOMONTH('Construction Budget'!$M30,0)-EOMONTH(ED$11,0))/30)+1,0),0)</f>
        <v>0</v>
      </c>
      <c r="EE176" s="427">
        <f>-IF(AND(EE$11&gt;=EOMONTH('Construction Budget'!$K30,0),EE$11&lt;=EOMONTH('Construction Budget'!$M30,0)),('Construction Budget'!$G30+SUM($G176:ED176))/ROUND(((EOMONTH('Construction Budget'!$M30,0)-EOMONTH(EE$11,0))/30)+1,0),0)</f>
        <v>0</v>
      </c>
      <c r="EF176" s="427">
        <f>-IF(AND(EF$11&gt;=EOMONTH('Construction Budget'!$K30,0),EF$11&lt;=EOMONTH('Construction Budget'!$M30,0)),('Construction Budget'!$G30+SUM($G176:EE176))/ROUND(((EOMONTH('Construction Budget'!$M30,0)-EOMONTH(EF$11,0))/30)+1,0),0)</f>
        <v>0</v>
      </c>
      <c r="EG176" s="427">
        <f>-IF(AND(EG$11&gt;=EOMONTH('Construction Budget'!$K30,0),EG$11&lt;=EOMONTH('Construction Budget'!$M30,0)),('Construction Budget'!$G30+SUM($G176:EF176))/ROUND(((EOMONTH('Construction Budget'!$M30,0)-EOMONTH(EG$11,0))/30)+1,0),0)</f>
        <v>0</v>
      </c>
      <c r="EH176" s="427">
        <f>-IF(AND(EH$11&gt;=EOMONTH('Construction Budget'!$K30,0),EH$11&lt;=EOMONTH('Construction Budget'!$M30,0)),('Construction Budget'!$G30+SUM($G176:EG176))/ROUND(((EOMONTH('Construction Budget'!$M30,0)-EOMONTH(EH$11,0))/30)+1,0),0)</f>
        <v>0</v>
      </c>
      <c r="EI176" s="427">
        <f>-IF(AND(EI$11&gt;=EOMONTH('Construction Budget'!$K30,0),EI$11&lt;=EOMONTH('Construction Budget'!$M30,0)),('Construction Budget'!$G30+SUM($G176:EH176))/ROUND(((EOMONTH('Construction Budget'!$M30,0)-EOMONTH(EI$11,0))/30)+1,0),0)</f>
        <v>0</v>
      </c>
      <c r="EJ176" s="427">
        <f>-IF(AND(EJ$11&gt;=EOMONTH('Construction Budget'!$K30,0),EJ$11&lt;=EOMONTH('Construction Budget'!$M30,0)),('Construction Budget'!$G30+SUM($G176:EI176))/ROUND(((EOMONTH('Construction Budget'!$M30,0)-EOMONTH(EJ$11,0))/30)+1,0),0)</f>
        <v>0</v>
      </c>
      <c r="EK176" s="427">
        <f>-IF(AND(EK$11&gt;=EOMONTH('Construction Budget'!$K30,0),EK$11&lt;=EOMONTH('Construction Budget'!$M30,0)),('Construction Budget'!$G30+SUM($G176:EJ176))/ROUND(((EOMONTH('Construction Budget'!$M30,0)-EOMONTH(EK$11,0))/30)+1,0),0)</f>
        <v>0</v>
      </c>
      <c r="EL176" s="427">
        <f>-IF(AND(EL$11&gt;=EOMONTH('Construction Budget'!$K30,0),EL$11&lt;=EOMONTH('Construction Budget'!$M30,0)),('Construction Budget'!$G30+SUM($G176:EK176))/ROUND(((EOMONTH('Construction Budget'!$M30,0)-EOMONTH(EL$11,0))/30)+1,0),0)</f>
        <v>0</v>
      </c>
      <c r="EM176" s="427">
        <f>-IF(AND(EM$11&gt;=EOMONTH('Construction Budget'!$K30,0),EM$11&lt;=EOMONTH('Construction Budget'!$M30,0)),('Construction Budget'!$G30+SUM($G176:EL176))/ROUND(((EOMONTH('Construction Budget'!$M30,0)-EOMONTH(EM$11,0))/30)+1,0),0)</f>
        <v>0</v>
      </c>
      <c r="EN176" s="427">
        <f>-IF(AND(EN$11&gt;=EOMONTH('Construction Budget'!$K30,0),EN$11&lt;=EOMONTH('Construction Budget'!$M30,0)),('Construction Budget'!$G30+SUM($G176:EM176))/ROUND(((EOMONTH('Construction Budget'!$M30,0)-EOMONTH(EN$11,0))/30)+1,0),0)</f>
        <v>0</v>
      </c>
      <c r="EO176" s="427">
        <f>-IF(AND(EO$11&gt;=EOMONTH('Construction Budget'!$K30,0),EO$11&lt;=EOMONTH('Construction Budget'!$M30,0)),('Construction Budget'!$G30+SUM($G176:EN176))/ROUND(((EOMONTH('Construction Budget'!$M30,0)-EOMONTH(EO$11,0))/30)+1,0),0)</f>
        <v>0</v>
      </c>
      <c r="EP176" s="427">
        <f>-IF(AND(EP$11&gt;=EOMONTH('Construction Budget'!$K30,0),EP$11&lt;=EOMONTH('Construction Budget'!$M30,0)),('Construction Budget'!$G30+SUM($G176:EO176))/ROUND(((EOMONTH('Construction Budget'!$M30,0)-EOMONTH(EP$11,0))/30)+1,0),0)</f>
        <v>0</v>
      </c>
      <c r="EQ176" s="427">
        <f>-IF(AND(EQ$11&gt;=EOMONTH('Construction Budget'!$K30,0),EQ$11&lt;=EOMONTH('Construction Budget'!$M30,0)),('Construction Budget'!$G30+SUM($G176:EP176))/ROUND(((EOMONTH('Construction Budget'!$M30,0)-EOMONTH(EQ$11,0))/30)+1,0),0)</f>
        <v>0</v>
      </c>
      <c r="ER176" s="427">
        <f>-IF(AND(ER$11&gt;=EOMONTH('Construction Budget'!$K30,0),ER$11&lt;=EOMONTH('Construction Budget'!$M30,0)),('Construction Budget'!$G30+SUM($G176:EQ176))/ROUND(((EOMONTH('Construction Budget'!$M30,0)-EOMONTH(ER$11,0))/30)+1,0),0)</f>
        <v>0</v>
      </c>
      <c r="ES176" s="427">
        <f>-IF(AND(ES$11&gt;=EOMONTH('Construction Budget'!$K30,0),ES$11&lt;=EOMONTH('Construction Budget'!$M30,0)),('Construction Budget'!$G30+SUM($G176:ER176))/ROUND(((EOMONTH('Construction Budget'!$M30,0)-EOMONTH(ES$11,0))/30)+1,0),0)</f>
        <v>0</v>
      </c>
      <c r="ET176" s="427">
        <f>-IF(AND(ET$11&gt;=EOMONTH('Construction Budget'!$K30,0),ET$11&lt;=EOMONTH('Construction Budget'!$M30,0)),('Construction Budget'!$G30+SUM($G176:ES176))/ROUND(((EOMONTH('Construction Budget'!$M30,0)-EOMONTH(ET$11,0))/30)+1,0),0)</f>
        <v>0</v>
      </c>
      <c r="EU176" s="427">
        <f>-IF(AND(EU$11&gt;=EOMONTH('Construction Budget'!$K30,0),EU$11&lt;=EOMONTH('Construction Budget'!$M30,0)),('Construction Budget'!$G30+SUM($G176:ET176))/ROUND(((EOMONTH('Construction Budget'!$M30,0)-EOMONTH(EU$11,0))/30)+1,0),0)</f>
        <v>0</v>
      </c>
      <c r="EV176" s="427">
        <f>-IF(AND(EV$11&gt;=EOMONTH('Construction Budget'!$K30,0),EV$11&lt;=EOMONTH('Construction Budget'!$M30,0)),('Construction Budget'!$G30+SUM($G176:EU176))/ROUND(((EOMONTH('Construction Budget'!$M30,0)-EOMONTH(EV$11,0))/30)+1,0),0)</f>
        <v>0</v>
      </c>
      <c r="EW176" s="427">
        <f>-IF(AND(EW$11&gt;=EOMONTH('Construction Budget'!$K30,0),EW$11&lt;=EOMONTH('Construction Budget'!$M30,0)),('Construction Budget'!$G30+SUM($G176:EV176))/ROUND(((EOMONTH('Construction Budget'!$M30,0)-EOMONTH(EW$11,0))/30)+1,0),0)</f>
        <v>0</v>
      </c>
      <c r="EX176" s="427">
        <f>-IF(AND(EX$11&gt;=EOMONTH('Construction Budget'!$K30,0),EX$11&lt;=EOMONTH('Construction Budget'!$M30,0)),('Construction Budget'!$G30+SUM($G176:EW176))/ROUND(((EOMONTH('Construction Budget'!$M30,0)-EOMONTH(EX$11,0))/30)+1,0),0)</f>
        <v>0</v>
      </c>
      <c r="EY176" s="427">
        <f>-IF(AND(EY$11&gt;=EOMONTH('Construction Budget'!$K30,0),EY$11&lt;=EOMONTH('Construction Budget'!$M30,0)),('Construction Budget'!$G30+SUM($G176:EX176))/ROUND(((EOMONTH('Construction Budget'!$M30,0)-EOMONTH(EY$11,0))/30)+1,0),0)</f>
        <v>0</v>
      </c>
      <c r="EZ176" s="427">
        <f>-IF(AND(EZ$11&gt;=EOMONTH('Construction Budget'!$K30,0),EZ$11&lt;=EOMONTH('Construction Budget'!$M30,0)),('Construction Budget'!$G30+SUM($G176:EY176))/ROUND(((EOMONTH('Construction Budget'!$M30,0)-EOMONTH(EZ$11,0))/30)+1,0),0)</f>
        <v>0</v>
      </c>
      <c r="FA176" s="427">
        <f>-IF(AND(FA$11&gt;=EOMONTH('Construction Budget'!$K30,0),FA$11&lt;=EOMONTH('Construction Budget'!$M30,0)),('Construction Budget'!$G30+SUM($G176:EZ176))/ROUND(((EOMONTH('Construction Budget'!$M30,0)-EOMONTH(FA$11,0))/30)+1,0),0)</f>
        <v>0</v>
      </c>
      <c r="FB176" s="427">
        <f>-IF(AND(FB$11&gt;=EOMONTH('Construction Budget'!$K30,0),FB$11&lt;=EOMONTH('Construction Budget'!$M30,0)),('Construction Budget'!$G30+SUM($G176:FA176))/ROUND(((EOMONTH('Construction Budget'!$M30,0)-EOMONTH(FB$11,0))/30)+1,0),0)</f>
        <v>0</v>
      </c>
      <c r="FC176" s="427">
        <f>-IF(AND(FC$11&gt;=EOMONTH('Construction Budget'!$K30,0),FC$11&lt;=EOMONTH('Construction Budget'!$M30,0)),('Construction Budget'!$G30+SUM($G176:FB176))/ROUND(((EOMONTH('Construction Budget'!$M30,0)-EOMONTH(FC$11,0))/30)+1,0),0)</f>
        <v>0</v>
      </c>
      <c r="FD176" s="427">
        <f>-IF(AND(FD$11&gt;=EOMONTH('Construction Budget'!$K30,0),FD$11&lt;=EOMONTH('Construction Budget'!$M30,0)),('Construction Budget'!$G30+SUM($G176:FC176))/ROUND(((EOMONTH('Construction Budget'!$M30,0)-EOMONTH(FD$11,0))/30)+1,0),0)</f>
        <v>0</v>
      </c>
      <c r="FE176" s="427">
        <f>-IF(AND(FE$11&gt;=EOMONTH('Construction Budget'!$K30,0),FE$11&lt;=EOMONTH('Construction Budget'!$M30,0)),('Construction Budget'!$G30+SUM($G176:FD176))/ROUND(((EOMONTH('Construction Budget'!$M30,0)-EOMONTH(FE$11,0))/30)+1,0),0)</f>
        <v>0</v>
      </c>
      <c r="FF176" s="427">
        <f>-IF(AND(FF$11&gt;=EOMONTH('Construction Budget'!$K30,0),FF$11&lt;=EOMONTH('Construction Budget'!$M30,0)),('Construction Budget'!$G30+SUM($G176:FE176))/ROUND(((EOMONTH('Construction Budget'!$M30,0)-EOMONTH(FF$11,0))/30)+1,0),0)</f>
        <v>0</v>
      </c>
      <c r="FG176" s="427">
        <f>-IF(AND(FG$11&gt;=EOMONTH('Construction Budget'!$K30,0),FG$11&lt;=EOMONTH('Construction Budget'!$M30,0)),('Construction Budget'!$G30+SUM($G176:FF176))/ROUND(((EOMONTH('Construction Budget'!$M30,0)-EOMONTH(FG$11,0))/30)+1,0),0)</f>
        <v>0</v>
      </c>
      <c r="FH176" s="427">
        <f>-IF(AND(FH$11&gt;=EOMONTH('Construction Budget'!$K30,0),FH$11&lt;=EOMONTH('Construction Budget'!$M30,0)),('Construction Budget'!$G30+SUM($G176:FG176))/ROUND(((EOMONTH('Construction Budget'!$M30,0)-EOMONTH(FH$11,0))/30)+1,0),0)</f>
        <v>0</v>
      </c>
      <c r="FI176" s="427">
        <f>-IF(AND(FI$11&gt;=EOMONTH('Construction Budget'!$K30,0),FI$11&lt;=EOMONTH('Construction Budget'!$M30,0)),('Construction Budget'!$G30+SUM($G176:FH176))/ROUND(((EOMONTH('Construction Budget'!$M30,0)-EOMONTH(FI$11,0))/30)+1,0),0)</f>
        <v>0</v>
      </c>
      <c r="FJ176" s="427">
        <f>-IF(AND(FJ$11&gt;=EOMONTH('Construction Budget'!$K30,0),FJ$11&lt;=EOMONTH('Construction Budget'!$M30,0)),('Construction Budget'!$G30+SUM($G176:FI176))/ROUND(((EOMONTH('Construction Budget'!$M30,0)-EOMONTH(FJ$11,0))/30)+1,0),0)</f>
        <v>0</v>
      </c>
      <c r="FK176" s="427">
        <f>-IF(AND(FK$11&gt;=EOMONTH('Construction Budget'!$K30,0),FK$11&lt;=EOMONTH('Construction Budget'!$M30,0)),('Construction Budget'!$G30+SUM($G176:FJ176))/ROUND(((EOMONTH('Construction Budget'!$M30,0)-EOMONTH(FK$11,0))/30)+1,0),0)</f>
        <v>0</v>
      </c>
      <c r="FL176" s="427">
        <f>-IF(AND(FL$11&gt;=EOMONTH('Construction Budget'!$K30,0),FL$11&lt;=EOMONTH('Construction Budget'!$M30,0)),('Construction Budget'!$G30+SUM($G176:FK176))/ROUND(((EOMONTH('Construction Budget'!$M30,0)-EOMONTH(FL$11,0))/30)+1,0),0)</f>
        <v>0</v>
      </c>
      <c r="FM176" s="427">
        <f>-IF(AND(FM$11&gt;=EOMONTH('Construction Budget'!$K30,0),FM$11&lt;=EOMONTH('Construction Budget'!$M30,0)),('Construction Budget'!$G30+SUM($G176:FL176))/ROUND(((EOMONTH('Construction Budget'!$M30,0)-EOMONTH(FM$11,0))/30)+1,0),0)</f>
        <v>0</v>
      </c>
      <c r="FN176" s="427">
        <f>-IF(AND(FN$11&gt;=EOMONTH('Construction Budget'!$K30,0),FN$11&lt;=EOMONTH('Construction Budget'!$M30,0)),('Construction Budget'!$G30+SUM($G176:FM176))/ROUND(((EOMONTH('Construction Budget'!$M30,0)-EOMONTH(FN$11,0))/30)+1,0),0)</f>
        <v>0</v>
      </c>
      <c r="FO176" s="427">
        <f>-IF(AND(FO$11&gt;=EOMONTH('Construction Budget'!$K30,0),FO$11&lt;=EOMONTH('Construction Budget'!$M30,0)),('Construction Budget'!$G30+SUM($G176:FN176))/ROUND(((EOMONTH('Construction Budget'!$M30,0)-EOMONTH(FO$11,0))/30)+1,0),0)</f>
        <v>0</v>
      </c>
      <c r="FP176" s="427">
        <f>-IF(AND(FP$11&gt;=EOMONTH('Construction Budget'!$K30,0),FP$11&lt;=EOMONTH('Construction Budget'!$M30,0)),('Construction Budget'!$G30+SUM($G176:FO176))/ROUND(((EOMONTH('Construction Budget'!$M30,0)-EOMONTH(FP$11,0))/30)+1,0),0)</f>
        <v>0</v>
      </c>
      <c r="FQ176" s="427">
        <f>-IF(AND(FQ$11&gt;=EOMONTH('Construction Budget'!$K30,0),FQ$11&lt;=EOMONTH('Construction Budget'!$M30,0)),('Construction Budget'!$G30+SUM($G176:FP176))/ROUND(((EOMONTH('Construction Budget'!$M30,0)-EOMONTH(FQ$11,0))/30)+1,0),0)</f>
        <v>0</v>
      </c>
      <c r="FR176" s="427">
        <f>-IF(AND(FR$11&gt;=EOMONTH('Construction Budget'!$K30,0),FR$11&lt;=EOMONTH('Construction Budget'!$M30,0)),('Construction Budget'!$G30+SUM($G176:FQ176))/ROUND(((EOMONTH('Construction Budget'!$M30,0)-EOMONTH(FR$11,0))/30)+1,0),0)</f>
        <v>0</v>
      </c>
      <c r="FS176" s="427">
        <f>-IF(AND(FS$11&gt;=EOMONTH('Construction Budget'!$K30,0),FS$11&lt;=EOMONTH('Construction Budget'!$M30,0)),('Construction Budget'!$G30+SUM($G176:FR176))/ROUND(((EOMONTH('Construction Budget'!$M30,0)-EOMONTH(FS$11,0))/30)+1,0),0)</f>
        <v>0</v>
      </c>
      <c r="FT176" s="427">
        <f>-IF(AND(FT$11&gt;=EOMONTH('Construction Budget'!$K30,0),FT$11&lt;=EOMONTH('Construction Budget'!$M30,0)),('Construction Budget'!$G30+SUM($G176:FS176))/ROUND(((EOMONTH('Construction Budget'!$M30,0)-EOMONTH(FT$11,0))/30)+1,0),0)</f>
        <v>0</v>
      </c>
      <c r="FU176" s="43"/>
      <c r="FV176" s="34"/>
      <c r="FW176" s="34"/>
      <c r="FX176" s="34"/>
      <c r="FY176" s="34"/>
      <c r="FZ176" s="34"/>
    </row>
    <row r="177" spans="1:182" s="89" customFormat="1" ht="13.5" hidden="1" outlineLevel="1" x14ac:dyDescent="0.25">
      <c r="A177" s="498"/>
      <c r="B177" s="128" t="str">
        <f>'Construction Budget'!B31</f>
        <v>Taxes Insurance &amp; Assoc Fees</v>
      </c>
      <c r="C177" s="34"/>
      <c r="D177" s="34"/>
      <c r="E177" s="34"/>
      <c r="F177" s="434">
        <f t="shared" si="232"/>
        <v>-345000</v>
      </c>
      <c r="G177" s="34"/>
      <c r="H177" s="427">
        <f>-IF(AND(H$11&gt;=EOMONTH('Construction Budget'!$K31,0),H$11&lt;=EOMONTH('Construction Budget'!$M31,0)),('Construction Budget'!$G31+SUM($G177:G177))/ROUND(((EOMONTH('Construction Budget'!$M31,0)-EOMONTH(H$11,0))/30)+1,0),0)</f>
        <v>0</v>
      </c>
      <c r="I177" s="427">
        <f>-IF(AND(I$11&gt;=EOMONTH('Construction Budget'!$K31,0),I$11&lt;=EOMONTH('Construction Budget'!$M31,0)),('Construction Budget'!$G31+SUM($G177:H177))/ROUND(((EOMONTH('Construction Budget'!$M31,0)-EOMONTH(I$11,0))/30)+1,0),0)</f>
        <v>0</v>
      </c>
      <c r="J177" s="427">
        <f>-IF(AND(J$11&gt;=EOMONTH('Construction Budget'!$K31,0),J$11&lt;=EOMONTH('Construction Budget'!$M31,0)),('Construction Budget'!$G31+SUM($G177:I177))/ROUND(((EOMONTH('Construction Budget'!$M31,0)-EOMONTH(J$11,0))/30)+1,0),0)</f>
        <v>-14375</v>
      </c>
      <c r="K177" s="427">
        <f>-IF(AND(K$11&gt;=EOMONTH('Construction Budget'!$K31,0),K$11&lt;=EOMONTH('Construction Budget'!$M31,0)),('Construction Budget'!$G31+SUM($G177:J177))/ROUND(((EOMONTH('Construction Budget'!$M31,0)-EOMONTH(K$11,0))/30)+1,0),0)</f>
        <v>-14375</v>
      </c>
      <c r="L177" s="427">
        <f>-IF(AND(L$11&gt;=EOMONTH('Construction Budget'!$K31,0),L$11&lt;=EOMONTH('Construction Budget'!$M31,0)),('Construction Budget'!$G31+SUM($G177:K177))/ROUND(((EOMONTH('Construction Budget'!$M31,0)-EOMONTH(L$11,0))/30)+1,0),0)</f>
        <v>-14375</v>
      </c>
      <c r="M177" s="427">
        <f>-IF(AND(M$11&gt;=EOMONTH('Construction Budget'!$K31,0),M$11&lt;=EOMONTH('Construction Budget'!$M31,0)),('Construction Budget'!$G31+SUM($G177:L177))/ROUND(((EOMONTH('Construction Budget'!$M31,0)-EOMONTH(M$11,0))/30)+1,0),0)</f>
        <v>-14375</v>
      </c>
      <c r="N177" s="427">
        <f>-IF(AND(N$11&gt;=EOMONTH('Construction Budget'!$K31,0),N$11&lt;=EOMONTH('Construction Budget'!$M31,0)),('Construction Budget'!$G31+SUM($G177:M177))/ROUND(((EOMONTH('Construction Budget'!$M31,0)-EOMONTH(N$11,0))/30)+1,0),0)</f>
        <v>-14375</v>
      </c>
      <c r="O177" s="427">
        <f>-IF(AND(O$11&gt;=EOMONTH('Construction Budget'!$K31,0),O$11&lt;=EOMONTH('Construction Budget'!$M31,0)),('Construction Budget'!$G31+SUM($G177:N177))/ROUND(((EOMONTH('Construction Budget'!$M31,0)-EOMONTH(O$11,0))/30)+1,0),0)</f>
        <v>-14375</v>
      </c>
      <c r="P177" s="427">
        <f>-IF(AND(P$11&gt;=EOMONTH('Construction Budget'!$K31,0),P$11&lt;=EOMONTH('Construction Budget'!$M31,0)),('Construction Budget'!$G31+SUM($G177:O177))/ROUND(((EOMONTH('Construction Budget'!$M31,0)-EOMONTH(P$11,0))/30)+1,0),0)</f>
        <v>-14375</v>
      </c>
      <c r="Q177" s="427">
        <f>-IF(AND(Q$11&gt;=EOMONTH('Construction Budget'!$K31,0),Q$11&lt;=EOMONTH('Construction Budget'!$M31,0)),('Construction Budget'!$G31+SUM($G177:P177))/ROUND(((EOMONTH('Construction Budget'!$M31,0)-EOMONTH(Q$11,0))/30)+1,0),0)</f>
        <v>-14375</v>
      </c>
      <c r="R177" s="427">
        <f>-IF(AND(R$11&gt;=EOMONTH('Construction Budget'!$K31,0),R$11&lt;=EOMONTH('Construction Budget'!$M31,0)),('Construction Budget'!$G31+SUM($G177:Q177))/ROUND(((EOMONTH('Construction Budget'!$M31,0)-EOMONTH(R$11,0))/30)+1,0),0)</f>
        <v>-14375</v>
      </c>
      <c r="S177" s="427">
        <f>-IF(AND(S$11&gt;=EOMONTH('Construction Budget'!$K31,0),S$11&lt;=EOMONTH('Construction Budget'!$M31,0)),('Construction Budget'!$G31+SUM($G177:R177))/ROUND(((EOMONTH('Construction Budget'!$M31,0)-EOMONTH(S$11,0))/30)+1,0),0)</f>
        <v>-14375</v>
      </c>
      <c r="T177" s="427">
        <f>-IF(AND(T$11&gt;=EOMONTH('Construction Budget'!$K31,0),T$11&lt;=EOMONTH('Construction Budget'!$M31,0)),('Construction Budget'!$G31+SUM($G177:S177))/ROUND(((EOMONTH('Construction Budget'!$M31,0)-EOMONTH(T$11,0))/30)+1,0),0)</f>
        <v>-14375</v>
      </c>
      <c r="U177" s="427">
        <f>-IF(AND(U$11&gt;=EOMONTH('Construction Budget'!$K31,0),U$11&lt;=EOMONTH('Construction Budget'!$M31,0)),('Construction Budget'!$G31+SUM($G177:T177))/ROUND(((EOMONTH('Construction Budget'!$M31,0)-EOMONTH(U$11,0))/30)+1,0),0)</f>
        <v>-14375</v>
      </c>
      <c r="V177" s="427">
        <f>-IF(AND(V$11&gt;=EOMONTH('Construction Budget'!$K31,0),V$11&lt;=EOMONTH('Construction Budget'!$M31,0)),('Construction Budget'!$G31+SUM($G177:U177))/ROUND(((EOMONTH('Construction Budget'!$M31,0)-EOMONTH(V$11,0))/30)+1,0),0)</f>
        <v>-14375</v>
      </c>
      <c r="W177" s="427">
        <f>-IF(AND(W$11&gt;=EOMONTH('Construction Budget'!$K31,0),W$11&lt;=EOMONTH('Construction Budget'!$M31,0)),('Construction Budget'!$G31+SUM($G177:V177))/ROUND(((EOMONTH('Construction Budget'!$M31,0)-EOMONTH(W$11,0))/30)+1,0),0)</f>
        <v>-14375</v>
      </c>
      <c r="X177" s="427">
        <f>-IF(AND(X$11&gt;=EOMONTH('Construction Budget'!$K31,0),X$11&lt;=EOMONTH('Construction Budget'!$M31,0)),('Construction Budget'!$G31+SUM($G177:W177))/ROUND(((EOMONTH('Construction Budget'!$M31,0)-EOMONTH(X$11,0))/30)+1,0),0)</f>
        <v>-14375</v>
      </c>
      <c r="Y177" s="427">
        <f>-IF(AND(Y$11&gt;=EOMONTH('Construction Budget'!$K31,0),Y$11&lt;=EOMONTH('Construction Budget'!$M31,0)),('Construction Budget'!$G31+SUM($G177:X177))/ROUND(((EOMONTH('Construction Budget'!$M31,0)-EOMONTH(Y$11,0))/30)+1,0),0)</f>
        <v>-14375</v>
      </c>
      <c r="Z177" s="427">
        <f>-IF(AND(Z$11&gt;=EOMONTH('Construction Budget'!$K31,0),Z$11&lt;=EOMONTH('Construction Budget'!$M31,0)),('Construction Budget'!$G31+SUM($G177:Y177))/ROUND(((EOMONTH('Construction Budget'!$M31,0)-EOMONTH(Z$11,0))/30)+1,0),0)</f>
        <v>-14375</v>
      </c>
      <c r="AA177" s="427">
        <f>-IF(AND(AA$11&gt;=EOMONTH('Construction Budget'!$K31,0),AA$11&lt;=EOMONTH('Construction Budget'!$M31,0)),('Construction Budget'!$G31+SUM($G177:Z177))/ROUND(((EOMONTH('Construction Budget'!$M31,0)-EOMONTH(AA$11,0))/30)+1,0),0)</f>
        <v>-14375</v>
      </c>
      <c r="AB177" s="427">
        <f>-IF(AND(AB$11&gt;=EOMONTH('Construction Budget'!$K31,0),AB$11&lt;=EOMONTH('Construction Budget'!$M31,0)),('Construction Budget'!$G31+SUM($G177:AA177))/ROUND(((EOMONTH('Construction Budget'!$M31,0)-EOMONTH(AB$11,0))/30)+1,0),0)</f>
        <v>-14375</v>
      </c>
      <c r="AC177" s="427">
        <f>-IF(AND(AC$11&gt;=EOMONTH('Construction Budget'!$K31,0),AC$11&lt;=EOMONTH('Construction Budget'!$M31,0)),('Construction Budget'!$G31+SUM($G177:AB177))/ROUND(((EOMONTH('Construction Budget'!$M31,0)-EOMONTH(AC$11,0))/30)+1,0),0)</f>
        <v>-14375</v>
      </c>
      <c r="AD177" s="427">
        <f>-IF(AND(AD$11&gt;=EOMONTH('Construction Budget'!$K31,0),AD$11&lt;=EOMONTH('Construction Budget'!$M31,0)),('Construction Budget'!$G31+SUM($G177:AC177))/ROUND(((EOMONTH('Construction Budget'!$M31,0)-EOMONTH(AD$11,0))/30)+1,0),0)</f>
        <v>-14375</v>
      </c>
      <c r="AE177" s="427">
        <f>-IF(AND(AE$11&gt;=EOMONTH('Construction Budget'!$K31,0),AE$11&lt;=EOMONTH('Construction Budget'!$M31,0)),('Construction Budget'!$G31+SUM($G177:AD177))/ROUND(((EOMONTH('Construction Budget'!$M31,0)-EOMONTH(AE$11,0))/30)+1,0),0)</f>
        <v>-14375</v>
      </c>
      <c r="AF177" s="427">
        <f>-IF(AND(AF$11&gt;=EOMONTH('Construction Budget'!$K31,0),AF$11&lt;=EOMONTH('Construction Budget'!$M31,0)),('Construction Budget'!$G31+SUM($G177:AE177))/ROUND(((EOMONTH('Construction Budget'!$M31,0)-EOMONTH(AF$11,0))/30)+1,0),0)</f>
        <v>-14375</v>
      </c>
      <c r="AG177" s="427">
        <f>-IF(AND(AG$11&gt;=EOMONTH('Construction Budget'!$K31,0),AG$11&lt;=EOMONTH('Construction Budget'!$M31,0)),('Construction Budget'!$G31+SUM($G177:AF177))/ROUND(((EOMONTH('Construction Budget'!$M31,0)-EOMONTH(AG$11,0))/30)+1,0),0)</f>
        <v>-14375</v>
      </c>
      <c r="AH177" s="427">
        <f>-IF(AND(AH$11&gt;=EOMONTH('Construction Budget'!$K31,0),AH$11&lt;=EOMONTH('Construction Budget'!$M31,0)),('Construction Budget'!$G31+SUM($G177:AG177))/ROUND(((EOMONTH('Construction Budget'!$M31,0)-EOMONTH(AH$11,0))/30)+1,0),0)</f>
        <v>0</v>
      </c>
      <c r="AI177" s="427">
        <f>-IF(AND(AI$11&gt;=EOMONTH('Construction Budget'!$K31,0),AI$11&lt;=EOMONTH('Construction Budget'!$M31,0)),('Construction Budget'!$G31+SUM($G177:AH177))/ROUND(((EOMONTH('Construction Budget'!$M31,0)-EOMONTH(AI$11,0))/30)+1,0),0)</f>
        <v>0</v>
      </c>
      <c r="AJ177" s="427">
        <f>-IF(AND(AJ$11&gt;=EOMONTH('Construction Budget'!$K31,0),AJ$11&lt;=EOMONTH('Construction Budget'!$M31,0)),('Construction Budget'!$G31+SUM($G177:AI177))/ROUND(((EOMONTH('Construction Budget'!$M31,0)-EOMONTH(AJ$11,0))/30)+1,0),0)</f>
        <v>0</v>
      </c>
      <c r="AK177" s="427">
        <f>-IF(AND(AK$11&gt;=EOMONTH('Construction Budget'!$K31,0),AK$11&lt;=EOMONTH('Construction Budget'!$M31,0)),('Construction Budget'!$G31+SUM($G177:AJ177))/ROUND(((EOMONTH('Construction Budget'!$M31,0)-EOMONTH(AK$11,0))/30)+1,0),0)</f>
        <v>0</v>
      </c>
      <c r="AL177" s="427">
        <f>-IF(AND(AL$11&gt;=EOMONTH('Construction Budget'!$K31,0),AL$11&lt;=EOMONTH('Construction Budget'!$M31,0)),('Construction Budget'!$G31+SUM($G177:AK177))/ROUND(((EOMONTH('Construction Budget'!$M31,0)-EOMONTH(AL$11,0))/30)+1,0),0)</f>
        <v>0</v>
      </c>
      <c r="AM177" s="427">
        <f>-IF(AND(AM$11&gt;=EOMONTH('Construction Budget'!$K31,0),AM$11&lt;=EOMONTH('Construction Budget'!$M31,0)),('Construction Budget'!$G31+SUM($G177:AL177))/ROUND(((EOMONTH('Construction Budget'!$M31,0)-EOMONTH(AM$11,0))/30)+1,0),0)</f>
        <v>0</v>
      </c>
      <c r="AN177" s="427">
        <f>-IF(AND(AN$11&gt;=EOMONTH('Construction Budget'!$K31,0),AN$11&lt;=EOMONTH('Construction Budget'!$M31,0)),('Construction Budget'!$G31+SUM($G177:AM177))/ROUND(((EOMONTH('Construction Budget'!$M31,0)-EOMONTH(AN$11,0))/30)+1,0),0)</f>
        <v>0</v>
      </c>
      <c r="AO177" s="427">
        <f>-IF(AND(AO$11&gt;=EOMONTH('Construction Budget'!$K31,0),AO$11&lt;=EOMONTH('Construction Budget'!$M31,0)),('Construction Budget'!$G31+SUM($G177:AN177))/ROUND(((EOMONTH('Construction Budget'!$M31,0)-EOMONTH(AO$11,0))/30)+1,0),0)</f>
        <v>0</v>
      </c>
      <c r="AP177" s="427">
        <f>-IF(AND(AP$11&gt;=EOMONTH('Construction Budget'!$K31,0),AP$11&lt;=EOMONTH('Construction Budget'!$M31,0)),('Construction Budget'!$G31+SUM($G177:AO177))/ROUND(((EOMONTH('Construction Budget'!$M31,0)-EOMONTH(AP$11,0))/30)+1,0),0)</f>
        <v>0</v>
      </c>
      <c r="AQ177" s="427">
        <f>-IF(AND(AQ$11&gt;=EOMONTH('Construction Budget'!$K31,0),AQ$11&lt;=EOMONTH('Construction Budget'!$M31,0)),('Construction Budget'!$G31+SUM($G177:AP177))/ROUND(((EOMONTH('Construction Budget'!$M31,0)-EOMONTH(AQ$11,0))/30)+1,0),0)</f>
        <v>0</v>
      </c>
      <c r="AR177" s="427">
        <f>-IF(AND(AR$11&gt;=EOMONTH('Construction Budget'!$K31,0),AR$11&lt;=EOMONTH('Construction Budget'!$M31,0)),('Construction Budget'!$G31+SUM($G177:AQ177))/ROUND(((EOMONTH('Construction Budget'!$M31,0)-EOMONTH(AR$11,0))/30)+1,0),0)</f>
        <v>0</v>
      </c>
      <c r="AS177" s="427">
        <f>-IF(AND(AS$11&gt;=EOMONTH('Construction Budget'!$K31,0),AS$11&lt;=EOMONTH('Construction Budget'!$M31,0)),('Construction Budget'!$G31+SUM($G177:AR177))/ROUND(((EOMONTH('Construction Budget'!$M31,0)-EOMONTH(AS$11,0))/30)+1,0),0)</f>
        <v>0</v>
      </c>
      <c r="AT177" s="427">
        <f>-IF(AND(AT$11&gt;=EOMONTH('Construction Budget'!$K31,0),AT$11&lt;=EOMONTH('Construction Budget'!$M31,0)),('Construction Budget'!$G31+SUM($G177:AS177))/ROUND(((EOMONTH('Construction Budget'!$M31,0)-EOMONTH(AT$11,0))/30)+1,0),0)</f>
        <v>0</v>
      </c>
      <c r="AU177" s="427">
        <f>-IF(AND(AU$11&gt;=EOMONTH('Construction Budget'!$K31,0),AU$11&lt;=EOMONTH('Construction Budget'!$M31,0)),('Construction Budget'!$G31+SUM($G177:AT177))/ROUND(((EOMONTH('Construction Budget'!$M31,0)-EOMONTH(AU$11,0))/30)+1,0),0)</f>
        <v>0</v>
      </c>
      <c r="AV177" s="427">
        <f>-IF(AND(AV$11&gt;=EOMONTH('Construction Budget'!$K31,0),AV$11&lt;=EOMONTH('Construction Budget'!$M31,0)),('Construction Budget'!$G31+SUM($G177:AU177))/ROUND(((EOMONTH('Construction Budget'!$M31,0)-EOMONTH(AV$11,0))/30)+1,0),0)</f>
        <v>0</v>
      </c>
      <c r="AW177" s="427">
        <f>-IF(AND(AW$11&gt;=EOMONTH('Construction Budget'!$K31,0),AW$11&lt;=EOMONTH('Construction Budget'!$M31,0)),('Construction Budget'!$G31+SUM($G177:AV177))/ROUND(((EOMONTH('Construction Budget'!$M31,0)-EOMONTH(AW$11,0))/30)+1,0),0)</f>
        <v>0</v>
      </c>
      <c r="AX177" s="427">
        <f>-IF(AND(AX$11&gt;=EOMONTH('Construction Budget'!$K31,0),AX$11&lt;=EOMONTH('Construction Budget'!$M31,0)),('Construction Budget'!$G31+SUM($G177:AW177))/ROUND(((EOMONTH('Construction Budget'!$M31,0)-EOMONTH(AX$11,0))/30)+1,0),0)</f>
        <v>0</v>
      </c>
      <c r="AY177" s="427">
        <f>-IF(AND(AY$11&gt;=EOMONTH('Construction Budget'!$K31,0),AY$11&lt;=EOMONTH('Construction Budget'!$M31,0)),('Construction Budget'!$G31+SUM($G177:AX177))/ROUND(((EOMONTH('Construction Budget'!$M31,0)-EOMONTH(AY$11,0))/30)+1,0),0)</f>
        <v>0</v>
      </c>
      <c r="AZ177" s="427">
        <f>-IF(AND(AZ$11&gt;=EOMONTH('Construction Budget'!$K31,0),AZ$11&lt;=EOMONTH('Construction Budget'!$M31,0)),('Construction Budget'!$G31+SUM($G177:AY177))/ROUND(((EOMONTH('Construction Budget'!$M31,0)-EOMONTH(AZ$11,0))/30)+1,0),0)</f>
        <v>0</v>
      </c>
      <c r="BA177" s="427">
        <f>-IF(AND(BA$11&gt;=EOMONTH('Construction Budget'!$K31,0),BA$11&lt;=EOMONTH('Construction Budget'!$M31,0)),('Construction Budget'!$G31+SUM($G177:AZ177))/ROUND(((EOMONTH('Construction Budget'!$M31,0)-EOMONTH(BA$11,0))/30)+1,0),0)</f>
        <v>0</v>
      </c>
      <c r="BB177" s="427">
        <f>-IF(AND(BB$11&gt;=EOMONTH('Construction Budget'!$K31,0),BB$11&lt;=EOMONTH('Construction Budget'!$M31,0)),('Construction Budget'!$G31+SUM($G177:BA177))/ROUND(((EOMONTH('Construction Budget'!$M31,0)-EOMONTH(BB$11,0))/30)+1,0),0)</f>
        <v>0</v>
      </c>
      <c r="BC177" s="427">
        <f>-IF(AND(BC$11&gt;=EOMONTH('Construction Budget'!$K31,0),BC$11&lt;=EOMONTH('Construction Budget'!$M31,0)),('Construction Budget'!$G31+SUM($G177:BB177))/ROUND(((EOMONTH('Construction Budget'!$M31,0)-EOMONTH(BC$11,0))/30)+1,0),0)</f>
        <v>0</v>
      </c>
      <c r="BD177" s="427">
        <f>-IF(AND(BD$11&gt;=EOMONTH('Construction Budget'!$K31,0),BD$11&lt;=EOMONTH('Construction Budget'!$M31,0)),('Construction Budget'!$G31+SUM($G177:BC177))/ROUND(((EOMONTH('Construction Budget'!$M31,0)-EOMONTH(BD$11,0))/30)+1,0),0)</f>
        <v>0</v>
      </c>
      <c r="BE177" s="427">
        <f>-IF(AND(BE$11&gt;=EOMONTH('Construction Budget'!$K31,0),BE$11&lt;=EOMONTH('Construction Budget'!$M31,0)),('Construction Budget'!$G31+SUM($G177:BD177))/ROUND(((EOMONTH('Construction Budget'!$M31,0)-EOMONTH(BE$11,0))/30)+1,0),0)</f>
        <v>0</v>
      </c>
      <c r="BF177" s="427">
        <f>-IF(AND(BF$11&gt;=EOMONTH('Construction Budget'!$K31,0),BF$11&lt;=EOMONTH('Construction Budget'!$M31,0)),('Construction Budget'!$G31+SUM($G177:BE177))/ROUND(((EOMONTH('Construction Budget'!$M31,0)-EOMONTH(BF$11,0))/30)+1,0),0)</f>
        <v>0</v>
      </c>
      <c r="BG177" s="427">
        <f>-IF(AND(BG$11&gt;=EOMONTH('Construction Budget'!$K31,0),BG$11&lt;=EOMONTH('Construction Budget'!$M31,0)),('Construction Budget'!$G31+SUM($G177:BF177))/ROUND(((EOMONTH('Construction Budget'!$M31,0)-EOMONTH(BG$11,0))/30)+1,0),0)</f>
        <v>0</v>
      </c>
      <c r="BH177" s="427">
        <f>-IF(AND(BH$11&gt;=EOMONTH('Construction Budget'!$K31,0),BH$11&lt;=EOMONTH('Construction Budget'!$M31,0)),('Construction Budget'!$G31+SUM($G177:BG177))/ROUND(((EOMONTH('Construction Budget'!$M31,0)-EOMONTH(BH$11,0))/30)+1,0),0)</f>
        <v>0</v>
      </c>
      <c r="BI177" s="427">
        <f>-IF(AND(BI$11&gt;=EOMONTH('Construction Budget'!$K31,0),BI$11&lt;=EOMONTH('Construction Budget'!$M31,0)),('Construction Budget'!$G31+SUM($G177:BH177))/ROUND(((EOMONTH('Construction Budget'!$M31,0)-EOMONTH(BI$11,0))/30)+1,0),0)</f>
        <v>0</v>
      </c>
      <c r="BJ177" s="427">
        <f>-IF(AND(BJ$11&gt;=EOMONTH('Construction Budget'!$K31,0),BJ$11&lt;=EOMONTH('Construction Budget'!$M31,0)),('Construction Budget'!$G31+SUM($G177:BI177))/ROUND(((EOMONTH('Construction Budget'!$M31,0)-EOMONTH(BJ$11,0))/30)+1,0),0)</f>
        <v>0</v>
      </c>
      <c r="BK177" s="427">
        <f>-IF(AND(BK$11&gt;=EOMONTH('Construction Budget'!$K31,0),BK$11&lt;=EOMONTH('Construction Budget'!$M31,0)),('Construction Budget'!$G31+SUM($G177:BJ177))/ROUND(((EOMONTH('Construction Budget'!$M31,0)-EOMONTH(BK$11,0))/30)+1,0),0)</f>
        <v>0</v>
      </c>
      <c r="BL177" s="427">
        <f>-IF(AND(BL$11&gt;=EOMONTH('Construction Budget'!$K31,0),BL$11&lt;=EOMONTH('Construction Budget'!$M31,0)),('Construction Budget'!$G31+SUM($G177:BK177))/ROUND(((EOMONTH('Construction Budget'!$M31,0)-EOMONTH(BL$11,0))/30)+1,0),0)</f>
        <v>0</v>
      </c>
      <c r="BM177" s="427">
        <f>-IF(AND(BM$11&gt;=EOMONTH('Construction Budget'!$K31,0),BM$11&lt;=EOMONTH('Construction Budget'!$M31,0)),('Construction Budget'!$G31+SUM($G177:BL177))/ROUND(((EOMONTH('Construction Budget'!$M31,0)-EOMONTH(BM$11,0))/30)+1,0),0)</f>
        <v>0</v>
      </c>
      <c r="BN177" s="427">
        <f>-IF(AND(BN$11&gt;=EOMONTH('Construction Budget'!$K31,0),BN$11&lt;=EOMONTH('Construction Budget'!$M31,0)),('Construction Budget'!$G31+SUM($G177:BM177))/ROUND(((EOMONTH('Construction Budget'!$M31,0)-EOMONTH(BN$11,0))/30)+1,0),0)</f>
        <v>0</v>
      </c>
      <c r="BO177" s="427">
        <f>-IF(AND(BO$11&gt;=EOMONTH('Construction Budget'!$K31,0),BO$11&lt;=EOMONTH('Construction Budget'!$M31,0)),('Construction Budget'!$G31+SUM($G177:BN177))/ROUND(((EOMONTH('Construction Budget'!$M31,0)-EOMONTH(BO$11,0))/30)+1,0),0)</f>
        <v>0</v>
      </c>
      <c r="BP177" s="427">
        <f>-IF(AND(BP$11&gt;=EOMONTH('Construction Budget'!$K31,0),BP$11&lt;=EOMONTH('Construction Budget'!$M31,0)),('Construction Budget'!$G31+SUM($G177:BO177))/ROUND(((EOMONTH('Construction Budget'!$M31,0)-EOMONTH(BP$11,0))/30)+1,0),0)</f>
        <v>0</v>
      </c>
      <c r="BQ177" s="427">
        <f>-IF(AND(BQ$11&gt;=EOMONTH('Construction Budget'!$K31,0),BQ$11&lt;=EOMONTH('Construction Budget'!$M31,0)),('Construction Budget'!$G31+SUM($G177:BP177))/ROUND(((EOMONTH('Construction Budget'!$M31,0)-EOMONTH(BQ$11,0))/30)+1,0),0)</f>
        <v>0</v>
      </c>
      <c r="BR177" s="427">
        <f>-IF(AND(BR$11&gt;=EOMONTH('Construction Budget'!$K31,0),BR$11&lt;=EOMONTH('Construction Budget'!$M31,0)),('Construction Budget'!$G31+SUM($G177:BQ177))/ROUND(((EOMONTH('Construction Budget'!$M31,0)-EOMONTH(BR$11,0))/30)+1,0),0)</f>
        <v>0</v>
      </c>
      <c r="BS177" s="427">
        <f>-IF(AND(BS$11&gt;=EOMONTH('Construction Budget'!$K31,0),BS$11&lt;=EOMONTH('Construction Budget'!$M31,0)),('Construction Budget'!$G31+SUM($G177:BR177))/ROUND(((EOMONTH('Construction Budget'!$M31,0)-EOMONTH(BS$11,0))/30)+1,0),0)</f>
        <v>0</v>
      </c>
      <c r="BT177" s="427">
        <f>-IF(AND(BT$11&gt;=EOMONTH('Construction Budget'!$K31,0),BT$11&lt;=EOMONTH('Construction Budget'!$M31,0)),('Construction Budget'!$G31+SUM($G177:BS177))/ROUND(((EOMONTH('Construction Budget'!$M31,0)-EOMONTH(BT$11,0))/30)+1,0),0)</f>
        <v>0</v>
      </c>
      <c r="BU177" s="427">
        <f>-IF(AND(BU$11&gt;=EOMONTH('Construction Budget'!$K31,0),BU$11&lt;=EOMONTH('Construction Budget'!$M31,0)),('Construction Budget'!$G31+SUM($G177:BT177))/ROUND(((EOMONTH('Construction Budget'!$M31,0)-EOMONTH(BU$11,0))/30)+1,0),0)</f>
        <v>0</v>
      </c>
      <c r="BV177" s="427">
        <f>-IF(AND(BV$11&gt;=EOMONTH('Construction Budget'!$K31,0),BV$11&lt;=EOMONTH('Construction Budget'!$M31,0)),('Construction Budget'!$G31+SUM($G177:BU177))/ROUND(((EOMONTH('Construction Budget'!$M31,0)-EOMONTH(BV$11,0))/30)+1,0),0)</f>
        <v>0</v>
      </c>
      <c r="BW177" s="427">
        <f>-IF(AND(BW$11&gt;=EOMONTH('Construction Budget'!$K31,0),BW$11&lt;=EOMONTH('Construction Budget'!$M31,0)),('Construction Budget'!$G31+SUM($G177:BV177))/ROUND(((EOMONTH('Construction Budget'!$M31,0)-EOMONTH(BW$11,0))/30)+1,0),0)</f>
        <v>0</v>
      </c>
      <c r="BX177" s="427">
        <f>-IF(AND(BX$11&gt;=EOMONTH('Construction Budget'!$K31,0),BX$11&lt;=EOMONTH('Construction Budget'!$M31,0)),('Construction Budget'!$G31+SUM($G177:BW177))/ROUND(((EOMONTH('Construction Budget'!$M31,0)-EOMONTH(BX$11,0))/30)+1,0),0)</f>
        <v>0</v>
      </c>
      <c r="BY177" s="427">
        <f>-IF(AND(BY$11&gt;=EOMONTH('Construction Budget'!$K31,0),BY$11&lt;=EOMONTH('Construction Budget'!$M31,0)),('Construction Budget'!$G31+SUM($G177:BX177))/ROUND(((EOMONTH('Construction Budget'!$M31,0)-EOMONTH(BY$11,0))/30)+1,0),0)</f>
        <v>0</v>
      </c>
      <c r="BZ177" s="427">
        <f>-IF(AND(BZ$11&gt;=EOMONTH('Construction Budget'!$K31,0),BZ$11&lt;=EOMONTH('Construction Budget'!$M31,0)),('Construction Budget'!$G31+SUM($G177:BY177))/ROUND(((EOMONTH('Construction Budget'!$M31,0)-EOMONTH(BZ$11,0))/30)+1,0),0)</f>
        <v>0</v>
      </c>
      <c r="CA177" s="427">
        <f>-IF(AND(CA$11&gt;=EOMONTH('Construction Budget'!$K31,0),CA$11&lt;=EOMONTH('Construction Budget'!$M31,0)),('Construction Budget'!$G31+SUM($G177:BZ177))/ROUND(((EOMONTH('Construction Budget'!$M31,0)-EOMONTH(CA$11,0))/30)+1,0),0)</f>
        <v>0</v>
      </c>
      <c r="CB177" s="427">
        <f>-IF(AND(CB$11&gt;=EOMONTH('Construction Budget'!$K31,0),CB$11&lt;=EOMONTH('Construction Budget'!$M31,0)),('Construction Budget'!$G31+SUM($G177:CA177))/ROUND(((EOMONTH('Construction Budget'!$M31,0)-EOMONTH(CB$11,0))/30)+1,0),0)</f>
        <v>0</v>
      </c>
      <c r="CC177" s="427">
        <f>-IF(AND(CC$11&gt;=EOMONTH('Construction Budget'!$K31,0),CC$11&lt;=EOMONTH('Construction Budget'!$M31,0)),('Construction Budget'!$G31+SUM($G177:CB177))/ROUND(((EOMONTH('Construction Budget'!$M31,0)-EOMONTH(CC$11,0))/30)+1,0),0)</f>
        <v>0</v>
      </c>
      <c r="CD177" s="427">
        <f>-IF(AND(CD$11&gt;=EOMONTH('Construction Budget'!$K31,0),CD$11&lt;=EOMONTH('Construction Budget'!$M31,0)),('Construction Budget'!$G31+SUM($G177:CC177))/ROUND(((EOMONTH('Construction Budget'!$M31,0)-EOMONTH(CD$11,0))/30)+1,0),0)</f>
        <v>0</v>
      </c>
      <c r="CE177" s="427">
        <f>-IF(AND(CE$11&gt;=EOMONTH('Construction Budget'!$K31,0),CE$11&lt;=EOMONTH('Construction Budget'!$M31,0)),('Construction Budget'!$G31+SUM($G177:CD177))/ROUND(((EOMONTH('Construction Budget'!$M31,0)-EOMONTH(CE$11,0))/30)+1,0),0)</f>
        <v>0</v>
      </c>
      <c r="CF177" s="427">
        <f>-IF(AND(CF$11&gt;=EOMONTH('Construction Budget'!$K31,0),CF$11&lt;=EOMONTH('Construction Budget'!$M31,0)),('Construction Budget'!$G31+SUM($G177:CE177))/ROUND(((EOMONTH('Construction Budget'!$M31,0)-EOMONTH(CF$11,0))/30)+1,0),0)</f>
        <v>0</v>
      </c>
      <c r="CG177" s="427">
        <f>-IF(AND(CG$11&gt;=EOMONTH('Construction Budget'!$K31,0),CG$11&lt;=EOMONTH('Construction Budget'!$M31,0)),('Construction Budget'!$G31+SUM($G177:CF177))/ROUND(((EOMONTH('Construction Budget'!$M31,0)-EOMONTH(CG$11,0))/30)+1,0),0)</f>
        <v>0</v>
      </c>
      <c r="CH177" s="427">
        <f>-IF(AND(CH$11&gt;=EOMONTH('Construction Budget'!$K31,0),CH$11&lt;=EOMONTH('Construction Budget'!$M31,0)),('Construction Budget'!$G31+SUM($G177:CG177))/ROUND(((EOMONTH('Construction Budget'!$M31,0)-EOMONTH(CH$11,0))/30)+1,0),0)</f>
        <v>0</v>
      </c>
      <c r="CI177" s="427">
        <f>-IF(AND(CI$11&gt;=EOMONTH('Construction Budget'!$K31,0),CI$11&lt;=EOMONTH('Construction Budget'!$M31,0)),('Construction Budget'!$G31+SUM($G177:CH177))/ROUND(((EOMONTH('Construction Budget'!$M31,0)-EOMONTH(CI$11,0))/30)+1,0),0)</f>
        <v>0</v>
      </c>
      <c r="CJ177" s="427">
        <f>-IF(AND(CJ$11&gt;=EOMONTH('Construction Budget'!$K31,0),CJ$11&lt;=EOMONTH('Construction Budget'!$M31,0)),('Construction Budget'!$G31+SUM($G177:CI177))/ROUND(((EOMONTH('Construction Budget'!$M31,0)-EOMONTH(CJ$11,0))/30)+1,0),0)</f>
        <v>0</v>
      </c>
      <c r="CK177" s="427">
        <f>-IF(AND(CK$11&gt;=EOMONTH('Construction Budget'!$K31,0),CK$11&lt;=EOMONTH('Construction Budget'!$M31,0)),('Construction Budget'!$G31+SUM($G177:CJ177))/ROUND(((EOMONTH('Construction Budget'!$M31,0)-EOMONTH(CK$11,0))/30)+1,0),0)</f>
        <v>0</v>
      </c>
      <c r="CL177" s="427">
        <f>-IF(AND(CL$11&gt;=EOMONTH('Construction Budget'!$K31,0),CL$11&lt;=EOMONTH('Construction Budget'!$M31,0)),('Construction Budget'!$G31+SUM($G177:CK177))/ROUND(((EOMONTH('Construction Budget'!$M31,0)-EOMONTH(CL$11,0))/30)+1,0),0)</f>
        <v>0</v>
      </c>
      <c r="CM177" s="427">
        <f>-IF(AND(CM$11&gt;=EOMONTH('Construction Budget'!$K31,0),CM$11&lt;=EOMONTH('Construction Budget'!$M31,0)),('Construction Budget'!$G31+SUM($G177:CL177))/ROUND(((EOMONTH('Construction Budget'!$M31,0)-EOMONTH(CM$11,0))/30)+1,0),0)</f>
        <v>0</v>
      </c>
      <c r="CN177" s="427">
        <f>-IF(AND(CN$11&gt;=EOMONTH('Construction Budget'!$K31,0),CN$11&lt;=EOMONTH('Construction Budget'!$M31,0)),('Construction Budget'!$G31+SUM($G177:CM177))/ROUND(((EOMONTH('Construction Budget'!$M31,0)-EOMONTH(CN$11,0))/30)+1,0),0)</f>
        <v>0</v>
      </c>
      <c r="CO177" s="427">
        <f>-IF(AND(CO$11&gt;=EOMONTH('Construction Budget'!$K31,0),CO$11&lt;=EOMONTH('Construction Budget'!$M31,0)),('Construction Budget'!$G31+SUM($G177:CN177))/ROUND(((EOMONTH('Construction Budget'!$M31,0)-EOMONTH(CO$11,0))/30)+1,0),0)</f>
        <v>0</v>
      </c>
      <c r="CP177" s="427">
        <f>-IF(AND(CP$11&gt;=EOMONTH('Construction Budget'!$K31,0),CP$11&lt;=EOMONTH('Construction Budget'!$M31,0)),('Construction Budget'!$G31+SUM($G177:CO177))/ROUND(((EOMONTH('Construction Budget'!$M31,0)-EOMONTH(CP$11,0))/30)+1,0),0)</f>
        <v>0</v>
      </c>
      <c r="CQ177" s="427">
        <f>-IF(AND(CQ$11&gt;=EOMONTH('Construction Budget'!$K31,0),CQ$11&lt;=EOMONTH('Construction Budget'!$M31,0)),('Construction Budget'!$G31+SUM($G177:CP177))/ROUND(((EOMONTH('Construction Budget'!$M31,0)-EOMONTH(CQ$11,0))/30)+1,0),0)</f>
        <v>0</v>
      </c>
      <c r="CR177" s="427">
        <f>-IF(AND(CR$11&gt;=EOMONTH('Construction Budget'!$K31,0),CR$11&lt;=EOMONTH('Construction Budget'!$M31,0)),('Construction Budget'!$G31+SUM($G177:CQ177))/ROUND(((EOMONTH('Construction Budget'!$M31,0)-EOMONTH(CR$11,0))/30)+1,0),0)</f>
        <v>0</v>
      </c>
      <c r="CS177" s="427">
        <f>-IF(AND(CS$11&gt;=EOMONTH('Construction Budget'!$K31,0),CS$11&lt;=EOMONTH('Construction Budget'!$M31,0)),('Construction Budget'!$G31+SUM($G177:CR177))/ROUND(((EOMONTH('Construction Budget'!$M31,0)-EOMONTH(CS$11,0))/30)+1,0),0)</f>
        <v>0</v>
      </c>
      <c r="CT177" s="427">
        <f>-IF(AND(CT$11&gt;=EOMONTH('Construction Budget'!$K31,0),CT$11&lt;=EOMONTH('Construction Budget'!$M31,0)),('Construction Budget'!$G31+SUM($G177:CS177))/ROUND(((EOMONTH('Construction Budget'!$M31,0)-EOMONTH(CT$11,0))/30)+1,0),0)</f>
        <v>0</v>
      </c>
      <c r="CU177" s="427">
        <f>-IF(AND(CU$11&gt;=EOMONTH('Construction Budget'!$K31,0),CU$11&lt;=EOMONTH('Construction Budget'!$M31,0)),('Construction Budget'!$G31+SUM($G177:CT177))/ROUND(((EOMONTH('Construction Budget'!$M31,0)-EOMONTH(CU$11,0))/30)+1,0),0)</f>
        <v>0</v>
      </c>
      <c r="CV177" s="427">
        <f>-IF(AND(CV$11&gt;=EOMONTH('Construction Budget'!$K31,0),CV$11&lt;=EOMONTH('Construction Budget'!$M31,0)),('Construction Budget'!$G31+SUM($G177:CU177))/ROUND(((EOMONTH('Construction Budget'!$M31,0)-EOMONTH(CV$11,0))/30)+1,0),0)</f>
        <v>0</v>
      </c>
      <c r="CW177" s="427">
        <f>-IF(AND(CW$11&gt;=EOMONTH('Construction Budget'!$K31,0),CW$11&lt;=EOMONTH('Construction Budget'!$M31,0)),('Construction Budget'!$G31+SUM($G177:CV177))/ROUND(((EOMONTH('Construction Budget'!$M31,0)-EOMONTH(CW$11,0))/30)+1,0),0)</f>
        <v>0</v>
      </c>
      <c r="CX177" s="427">
        <f>-IF(AND(CX$11&gt;=EOMONTH('Construction Budget'!$K31,0),CX$11&lt;=EOMONTH('Construction Budget'!$M31,0)),('Construction Budget'!$G31+SUM($G177:CW177))/ROUND(((EOMONTH('Construction Budget'!$M31,0)-EOMONTH(CX$11,0))/30)+1,0),0)</f>
        <v>0</v>
      </c>
      <c r="CY177" s="427">
        <f>-IF(AND(CY$11&gt;=EOMONTH('Construction Budget'!$K31,0),CY$11&lt;=EOMONTH('Construction Budget'!$M31,0)),('Construction Budget'!$G31+SUM($G177:CX177))/ROUND(((EOMONTH('Construction Budget'!$M31,0)-EOMONTH(CY$11,0))/30)+1,0),0)</f>
        <v>0</v>
      </c>
      <c r="CZ177" s="427">
        <f>-IF(AND(CZ$11&gt;=EOMONTH('Construction Budget'!$K31,0),CZ$11&lt;=EOMONTH('Construction Budget'!$M31,0)),('Construction Budget'!$G31+SUM($G177:CY177))/ROUND(((EOMONTH('Construction Budget'!$M31,0)-EOMONTH(CZ$11,0))/30)+1,0),0)</f>
        <v>0</v>
      </c>
      <c r="DA177" s="427">
        <f>-IF(AND(DA$11&gt;=EOMONTH('Construction Budget'!$K31,0),DA$11&lt;=EOMONTH('Construction Budget'!$M31,0)),('Construction Budget'!$G31+SUM($G177:CZ177))/ROUND(((EOMONTH('Construction Budget'!$M31,0)-EOMONTH(DA$11,0))/30)+1,0),0)</f>
        <v>0</v>
      </c>
      <c r="DB177" s="427">
        <f>-IF(AND(DB$11&gt;=EOMONTH('Construction Budget'!$K31,0),DB$11&lt;=EOMONTH('Construction Budget'!$M31,0)),('Construction Budget'!$G31+SUM($G177:DA177))/ROUND(((EOMONTH('Construction Budget'!$M31,0)-EOMONTH(DB$11,0))/30)+1,0),0)</f>
        <v>0</v>
      </c>
      <c r="DC177" s="427">
        <f>-IF(AND(DC$11&gt;=EOMONTH('Construction Budget'!$K31,0),DC$11&lt;=EOMONTH('Construction Budget'!$M31,0)),('Construction Budget'!$G31+SUM($G177:DB177))/ROUND(((EOMONTH('Construction Budget'!$M31,0)-EOMONTH(DC$11,0))/30)+1,0),0)</f>
        <v>0</v>
      </c>
      <c r="DD177" s="427">
        <f>-IF(AND(DD$11&gt;=EOMONTH('Construction Budget'!$K31,0),DD$11&lt;=EOMONTH('Construction Budget'!$M31,0)),('Construction Budget'!$G31+SUM($G177:DC177))/ROUND(((EOMONTH('Construction Budget'!$M31,0)-EOMONTH(DD$11,0))/30)+1,0),0)</f>
        <v>0</v>
      </c>
      <c r="DE177" s="427">
        <f>-IF(AND(DE$11&gt;=EOMONTH('Construction Budget'!$K31,0),DE$11&lt;=EOMONTH('Construction Budget'!$M31,0)),('Construction Budget'!$G31+SUM($G177:DD177))/ROUND(((EOMONTH('Construction Budget'!$M31,0)-EOMONTH(DE$11,0))/30)+1,0),0)</f>
        <v>0</v>
      </c>
      <c r="DF177" s="427">
        <f>-IF(AND(DF$11&gt;=EOMONTH('Construction Budget'!$K31,0),DF$11&lt;=EOMONTH('Construction Budget'!$M31,0)),('Construction Budget'!$G31+SUM($G177:DE177))/ROUND(((EOMONTH('Construction Budget'!$M31,0)-EOMONTH(DF$11,0))/30)+1,0),0)</f>
        <v>0</v>
      </c>
      <c r="DG177" s="427">
        <f>-IF(AND(DG$11&gt;=EOMONTH('Construction Budget'!$K31,0),DG$11&lt;=EOMONTH('Construction Budget'!$M31,0)),('Construction Budget'!$G31+SUM($G177:DF177))/ROUND(((EOMONTH('Construction Budget'!$M31,0)-EOMONTH(DG$11,0))/30)+1,0),0)</f>
        <v>0</v>
      </c>
      <c r="DH177" s="427">
        <f>-IF(AND(DH$11&gt;=EOMONTH('Construction Budget'!$K31,0),DH$11&lt;=EOMONTH('Construction Budget'!$M31,0)),('Construction Budget'!$G31+SUM($G177:DG177))/ROUND(((EOMONTH('Construction Budget'!$M31,0)-EOMONTH(DH$11,0))/30)+1,0),0)</f>
        <v>0</v>
      </c>
      <c r="DI177" s="427">
        <f>-IF(AND(DI$11&gt;=EOMONTH('Construction Budget'!$K31,0),DI$11&lt;=EOMONTH('Construction Budget'!$M31,0)),('Construction Budget'!$G31+SUM($G177:DH177))/ROUND(((EOMONTH('Construction Budget'!$M31,0)-EOMONTH(DI$11,0))/30)+1,0),0)</f>
        <v>0</v>
      </c>
      <c r="DJ177" s="427">
        <f>-IF(AND(DJ$11&gt;=EOMONTH('Construction Budget'!$K31,0),DJ$11&lt;=EOMONTH('Construction Budget'!$M31,0)),('Construction Budget'!$G31+SUM($G177:DI177))/ROUND(((EOMONTH('Construction Budget'!$M31,0)-EOMONTH(DJ$11,0))/30)+1,0),0)</f>
        <v>0</v>
      </c>
      <c r="DK177" s="427">
        <f>-IF(AND(DK$11&gt;=EOMONTH('Construction Budget'!$K31,0),DK$11&lt;=EOMONTH('Construction Budget'!$M31,0)),('Construction Budget'!$G31+SUM($G177:DJ177))/ROUND(((EOMONTH('Construction Budget'!$M31,0)-EOMONTH(DK$11,0))/30)+1,0),0)</f>
        <v>0</v>
      </c>
      <c r="DL177" s="427">
        <f>-IF(AND(DL$11&gt;=EOMONTH('Construction Budget'!$K31,0),DL$11&lt;=EOMONTH('Construction Budget'!$M31,0)),('Construction Budget'!$G31+SUM($G177:DK177))/ROUND(((EOMONTH('Construction Budget'!$M31,0)-EOMONTH(DL$11,0))/30)+1,0),0)</f>
        <v>0</v>
      </c>
      <c r="DM177" s="427">
        <f>-IF(AND(DM$11&gt;=EOMONTH('Construction Budget'!$K31,0),DM$11&lt;=EOMONTH('Construction Budget'!$M31,0)),('Construction Budget'!$G31+SUM($G177:DL177))/ROUND(((EOMONTH('Construction Budget'!$M31,0)-EOMONTH(DM$11,0))/30)+1,0),0)</f>
        <v>0</v>
      </c>
      <c r="DN177" s="427">
        <f>-IF(AND(DN$11&gt;=EOMONTH('Construction Budget'!$K31,0),DN$11&lt;=EOMONTH('Construction Budget'!$M31,0)),('Construction Budget'!$G31+SUM($G177:DM177))/ROUND(((EOMONTH('Construction Budget'!$M31,0)-EOMONTH(DN$11,0))/30)+1,0),0)</f>
        <v>0</v>
      </c>
      <c r="DO177" s="427">
        <f>-IF(AND(DO$11&gt;=EOMONTH('Construction Budget'!$K31,0),DO$11&lt;=EOMONTH('Construction Budget'!$M31,0)),('Construction Budget'!$G31+SUM($G177:DN177))/ROUND(((EOMONTH('Construction Budget'!$M31,0)-EOMONTH(DO$11,0))/30)+1,0),0)</f>
        <v>0</v>
      </c>
      <c r="DP177" s="427">
        <f>-IF(AND(DP$11&gt;=EOMONTH('Construction Budget'!$K31,0),DP$11&lt;=EOMONTH('Construction Budget'!$M31,0)),('Construction Budget'!$G31+SUM($G177:DO177))/ROUND(((EOMONTH('Construction Budget'!$M31,0)-EOMONTH(DP$11,0))/30)+1,0),0)</f>
        <v>0</v>
      </c>
      <c r="DQ177" s="427">
        <f>-IF(AND(DQ$11&gt;=EOMONTH('Construction Budget'!$K31,0),DQ$11&lt;=EOMONTH('Construction Budget'!$M31,0)),('Construction Budget'!$G31+SUM($G177:DP177))/ROUND(((EOMONTH('Construction Budget'!$M31,0)-EOMONTH(DQ$11,0))/30)+1,0),0)</f>
        <v>0</v>
      </c>
      <c r="DR177" s="427">
        <f>-IF(AND(DR$11&gt;=EOMONTH('Construction Budget'!$K31,0),DR$11&lt;=EOMONTH('Construction Budget'!$M31,0)),('Construction Budget'!$G31+SUM($G177:DQ177))/ROUND(((EOMONTH('Construction Budget'!$M31,0)-EOMONTH(DR$11,0))/30)+1,0),0)</f>
        <v>0</v>
      </c>
      <c r="DS177" s="427">
        <f>-IF(AND(DS$11&gt;=EOMONTH('Construction Budget'!$K31,0),DS$11&lt;=EOMONTH('Construction Budget'!$M31,0)),('Construction Budget'!$G31+SUM($G177:DR177))/ROUND(((EOMONTH('Construction Budget'!$M31,0)-EOMONTH(DS$11,0))/30)+1,0),0)</f>
        <v>0</v>
      </c>
      <c r="DT177" s="427">
        <f>-IF(AND(DT$11&gt;=EOMONTH('Construction Budget'!$K31,0),DT$11&lt;=EOMONTH('Construction Budget'!$M31,0)),('Construction Budget'!$G31+SUM($G177:DS177))/ROUND(((EOMONTH('Construction Budget'!$M31,0)-EOMONTH(DT$11,0))/30)+1,0),0)</f>
        <v>0</v>
      </c>
      <c r="DU177" s="427">
        <f>-IF(AND(DU$11&gt;=EOMONTH('Construction Budget'!$K31,0),DU$11&lt;=EOMONTH('Construction Budget'!$M31,0)),('Construction Budget'!$G31+SUM($G177:DT177))/ROUND(((EOMONTH('Construction Budget'!$M31,0)-EOMONTH(DU$11,0))/30)+1,0),0)</f>
        <v>0</v>
      </c>
      <c r="DV177" s="427">
        <f>-IF(AND(DV$11&gt;=EOMONTH('Construction Budget'!$K31,0),DV$11&lt;=EOMONTH('Construction Budget'!$M31,0)),('Construction Budget'!$G31+SUM($G177:DU177))/ROUND(((EOMONTH('Construction Budget'!$M31,0)-EOMONTH(DV$11,0))/30)+1,0),0)</f>
        <v>0</v>
      </c>
      <c r="DW177" s="427">
        <f>-IF(AND(DW$11&gt;=EOMONTH('Construction Budget'!$K31,0),DW$11&lt;=EOMONTH('Construction Budget'!$M31,0)),('Construction Budget'!$G31+SUM($G177:DV177))/ROUND(((EOMONTH('Construction Budget'!$M31,0)-EOMONTH(DW$11,0))/30)+1,0),0)</f>
        <v>0</v>
      </c>
      <c r="DX177" s="427">
        <f>-IF(AND(DX$11&gt;=EOMONTH('Construction Budget'!$K31,0),DX$11&lt;=EOMONTH('Construction Budget'!$M31,0)),('Construction Budget'!$G31+SUM($G177:DW177))/ROUND(((EOMONTH('Construction Budget'!$M31,0)-EOMONTH(DX$11,0))/30)+1,0),0)</f>
        <v>0</v>
      </c>
      <c r="DY177" s="427">
        <f>-IF(AND(DY$11&gt;=EOMONTH('Construction Budget'!$K31,0),DY$11&lt;=EOMONTH('Construction Budget'!$M31,0)),('Construction Budget'!$G31+SUM($G177:DX177))/ROUND(((EOMONTH('Construction Budget'!$M31,0)-EOMONTH(DY$11,0))/30)+1,0),0)</f>
        <v>0</v>
      </c>
      <c r="DZ177" s="427">
        <f>-IF(AND(DZ$11&gt;=EOMONTH('Construction Budget'!$K31,0),DZ$11&lt;=EOMONTH('Construction Budget'!$M31,0)),('Construction Budget'!$G31+SUM($G177:DY177))/ROUND(((EOMONTH('Construction Budget'!$M31,0)-EOMONTH(DZ$11,0))/30)+1,0),0)</f>
        <v>0</v>
      </c>
      <c r="EA177" s="427">
        <f>-IF(AND(EA$11&gt;=EOMONTH('Construction Budget'!$K31,0),EA$11&lt;=EOMONTH('Construction Budget'!$M31,0)),('Construction Budget'!$G31+SUM($G177:DZ177))/ROUND(((EOMONTH('Construction Budget'!$M31,0)-EOMONTH(EA$11,0))/30)+1,0),0)</f>
        <v>0</v>
      </c>
      <c r="EB177" s="427">
        <f>-IF(AND(EB$11&gt;=EOMONTH('Construction Budget'!$K31,0),EB$11&lt;=EOMONTH('Construction Budget'!$M31,0)),('Construction Budget'!$G31+SUM($G177:EA177))/ROUND(((EOMONTH('Construction Budget'!$M31,0)-EOMONTH(EB$11,0))/30)+1,0),0)</f>
        <v>0</v>
      </c>
      <c r="EC177" s="427">
        <f>-IF(AND(EC$11&gt;=EOMONTH('Construction Budget'!$K31,0),EC$11&lt;=EOMONTH('Construction Budget'!$M31,0)),('Construction Budget'!$G31+SUM($G177:EB177))/ROUND(((EOMONTH('Construction Budget'!$M31,0)-EOMONTH(EC$11,0))/30)+1,0),0)</f>
        <v>0</v>
      </c>
      <c r="ED177" s="427">
        <f>-IF(AND(ED$11&gt;=EOMONTH('Construction Budget'!$K31,0),ED$11&lt;=EOMONTH('Construction Budget'!$M31,0)),('Construction Budget'!$G31+SUM($G177:EC177))/ROUND(((EOMONTH('Construction Budget'!$M31,0)-EOMONTH(ED$11,0))/30)+1,0),0)</f>
        <v>0</v>
      </c>
      <c r="EE177" s="427">
        <f>-IF(AND(EE$11&gt;=EOMONTH('Construction Budget'!$K31,0),EE$11&lt;=EOMONTH('Construction Budget'!$M31,0)),('Construction Budget'!$G31+SUM($G177:ED177))/ROUND(((EOMONTH('Construction Budget'!$M31,0)-EOMONTH(EE$11,0))/30)+1,0),0)</f>
        <v>0</v>
      </c>
      <c r="EF177" s="427">
        <f>-IF(AND(EF$11&gt;=EOMONTH('Construction Budget'!$K31,0),EF$11&lt;=EOMONTH('Construction Budget'!$M31,0)),('Construction Budget'!$G31+SUM($G177:EE177))/ROUND(((EOMONTH('Construction Budget'!$M31,0)-EOMONTH(EF$11,0))/30)+1,0),0)</f>
        <v>0</v>
      </c>
      <c r="EG177" s="427">
        <f>-IF(AND(EG$11&gt;=EOMONTH('Construction Budget'!$K31,0),EG$11&lt;=EOMONTH('Construction Budget'!$M31,0)),('Construction Budget'!$G31+SUM($G177:EF177))/ROUND(((EOMONTH('Construction Budget'!$M31,0)-EOMONTH(EG$11,0))/30)+1,0),0)</f>
        <v>0</v>
      </c>
      <c r="EH177" s="427">
        <f>-IF(AND(EH$11&gt;=EOMONTH('Construction Budget'!$K31,0),EH$11&lt;=EOMONTH('Construction Budget'!$M31,0)),('Construction Budget'!$G31+SUM($G177:EG177))/ROUND(((EOMONTH('Construction Budget'!$M31,0)-EOMONTH(EH$11,0))/30)+1,0),0)</f>
        <v>0</v>
      </c>
      <c r="EI177" s="427">
        <f>-IF(AND(EI$11&gt;=EOMONTH('Construction Budget'!$K31,0),EI$11&lt;=EOMONTH('Construction Budget'!$M31,0)),('Construction Budget'!$G31+SUM($G177:EH177))/ROUND(((EOMONTH('Construction Budget'!$M31,0)-EOMONTH(EI$11,0))/30)+1,0),0)</f>
        <v>0</v>
      </c>
      <c r="EJ177" s="427">
        <f>-IF(AND(EJ$11&gt;=EOMONTH('Construction Budget'!$K31,0),EJ$11&lt;=EOMONTH('Construction Budget'!$M31,0)),('Construction Budget'!$G31+SUM($G177:EI177))/ROUND(((EOMONTH('Construction Budget'!$M31,0)-EOMONTH(EJ$11,0))/30)+1,0),0)</f>
        <v>0</v>
      </c>
      <c r="EK177" s="427">
        <f>-IF(AND(EK$11&gt;=EOMONTH('Construction Budget'!$K31,0),EK$11&lt;=EOMONTH('Construction Budget'!$M31,0)),('Construction Budget'!$G31+SUM($G177:EJ177))/ROUND(((EOMONTH('Construction Budget'!$M31,0)-EOMONTH(EK$11,0))/30)+1,0),0)</f>
        <v>0</v>
      </c>
      <c r="EL177" s="427">
        <f>-IF(AND(EL$11&gt;=EOMONTH('Construction Budget'!$K31,0),EL$11&lt;=EOMONTH('Construction Budget'!$M31,0)),('Construction Budget'!$G31+SUM($G177:EK177))/ROUND(((EOMONTH('Construction Budget'!$M31,0)-EOMONTH(EL$11,0))/30)+1,0),0)</f>
        <v>0</v>
      </c>
      <c r="EM177" s="427">
        <f>-IF(AND(EM$11&gt;=EOMONTH('Construction Budget'!$K31,0),EM$11&lt;=EOMONTH('Construction Budget'!$M31,0)),('Construction Budget'!$G31+SUM($G177:EL177))/ROUND(((EOMONTH('Construction Budget'!$M31,0)-EOMONTH(EM$11,0))/30)+1,0),0)</f>
        <v>0</v>
      </c>
      <c r="EN177" s="427">
        <f>-IF(AND(EN$11&gt;=EOMONTH('Construction Budget'!$K31,0),EN$11&lt;=EOMONTH('Construction Budget'!$M31,0)),('Construction Budget'!$G31+SUM($G177:EM177))/ROUND(((EOMONTH('Construction Budget'!$M31,0)-EOMONTH(EN$11,0))/30)+1,0),0)</f>
        <v>0</v>
      </c>
      <c r="EO177" s="427">
        <f>-IF(AND(EO$11&gt;=EOMONTH('Construction Budget'!$K31,0),EO$11&lt;=EOMONTH('Construction Budget'!$M31,0)),('Construction Budget'!$G31+SUM($G177:EN177))/ROUND(((EOMONTH('Construction Budget'!$M31,0)-EOMONTH(EO$11,0))/30)+1,0),0)</f>
        <v>0</v>
      </c>
      <c r="EP177" s="427">
        <f>-IF(AND(EP$11&gt;=EOMONTH('Construction Budget'!$K31,0),EP$11&lt;=EOMONTH('Construction Budget'!$M31,0)),('Construction Budget'!$G31+SUM($G177:EO177))/ROUND(((EOMONTH('Construction Budget'!$M31,0)-EOMONTH(EP$11,0))/30)+1,0),0)</f>
        <v>0</v>
      </c>
      <c r="EQ177" s="427">
        <f>-IF(AND(EQ$11&gt;=EOMONTH('Construction Budget'!$K31,0),EQ$11&lt;=EOMONTH('Construction Budget'!$M31,0)),('Construction Budget'!$G31+SUM($G177:EP177))/ROUND(((EOMONTH('Construction Budget'!$M31,0)-EOMONTH(EQ$11,0))/30)+1,0),0)</f>
        <v>0</v>
      </c>
      <c r="ER177" s="427">
        <f>-IF(AND(ER$11&gt;=EOMONTH('Construction Budget'!$K31,0),ER$11&lt;=EOMONTH('Construction Budget'!$M31,0)),('Construction Budget'!$G31+SUM($G177:EQ177))/ROUND(((EOMONTH('Construction Budget'!$M31,0)-EOMONTH(ER$11,0))/30)+1,0),0)</f>
        <v>0</v>
      </c>
      <c r="ES177" s="427">
        <f>-IF(AND(ES$11&gt;=EOMONTH('Construction Budget'!$K31,0),ES$11&lt;=EOMONTH('Construction Budget'!$M31,0)),('Construction Budget'!$G31+SUM($G177:ER177))/ROUND(((EOMONTH('Construction Budget'!$M31,0)-EOMONTH(ES$11,0))/30)+1,0),0)</f>
        <v>0</v>
      </c>
      <c r="ET177" s="427">
        <f>-IF(AND(ET$11&gt;=EOMONTH('Construction Budget'!$K31,0),ET$11&lt;=EOMONTH('Construction Budget'!$M31,0)),('Construction Budget'!$G31+SUM($G177:ES177))/ROUND(((EOMONTH('Construction Budget'!$M31,0)-EOMONTH(ET$11,0))/30)+1,0),0)</f>
        <v>0</v>
      </c>
      <c r="EU177" s="427">
        <f>-IF(AND(EU$11&gt;=EOMONTH('Construction Budget'!$K31,0),EU$11&lt;=EOMONTH('Construction Budget'!$M31,0)),('Construction Budget'!$G31+SUM($G177:ET177))/ROUND(((EOMONTH('Construction Budget'!$M31,0)-EOMONTH(EU$11,0))/30)+1,0),0)</f>
        <v>0</v>
      </c>
      <c r="EV177" s="427">
        <f>-IF(AND(EV$11&gt;=EOMONTH('Construction Budget'!$K31,0),EV$11&lt;=EOMONTH('Construction Budget'!$M31,0)),('Construction Budget'!$G31+SUM($G177:EU177))/ROUND(((EOMONTH('Construction Budget'!$M31,0)-EOMONTH(EV$11,0))/30)+1,0),0)</f>
        <v>0</v>
      </c>
      <c r="EW177" s="427">
        <f>-IF(AND(EW$11&gt;=EOMONTH('Construction Budget'!$K31,0),EW$11&lt;=EOMONTH('Construction Budget'!$M31,0)),('Construction Budget'!$G31+SUM($G177:EV177))/ROUND(((EOMONTH('Construction Budget'!$M31,0)-EOMONTH(EW$11,0))/30)+1,0),0)</f>
        <v>0</v>
      </c>
      <c r="EX177" s="427">
        <f>-IF(AND(EX$11&gt;=EOMONTH('Construction Budget'!$K31,0),EX$11&lt;=EOMONTH('Construction Budget'!$M31,0)),('Construction Budget'!$G31+SUM($G177:EW177))/ROUND(((EOMONTH('Construction Budget'!$M31,0)-EOMONTH(EX$11,0))/30)+1,0),0)</f>
        <v>0</v>
      </c>
      <c r="EY177" s="427">
        <f>-IF(AND(EY$11&gt;=EOMONTH('Construction Budget'!$K31,0),EY$11&lt;=EOMONTH('Construction Budget'!$M31,0)),('Construction Budget'!$G31+SUM($G177:EX177))/ROUND(((EOMONTH('Construction Budget'!$M31,0)-EOMONTH(EY$11,0))/30)+1,0),0)</f>
        <v>0</v>
      </c>
      <c r="EZ177" s="427">
        <f>-IF(AND(EZ$11&gt;=EOMONTH('Construction Budget'!$K31,0),EZ$11&lt;=EOMONTH('Construction Budget'!$M31,0)),('Construction Budget'!$G31+SUM($G177:EY177))/ROUND(((EOMONTH('Construction Budget'!$M31,0)-EOMONTH(EZ$11,0))/30)+1,0),0)</f>
        <v>0</v>
      </c>
      <c r="FA177" s="427">
        <f>-IF(AND(FA$11&gt;=EOMONTH('Construction Budget'!$K31,0),FA$11&lt;=EOMONTH('Construction Budget'!$M31,0)),('Construction Budget'!$G31+SUM($G177:EZ177))/ROUND(((EOMONTH('Construction Budget'!$M31,0)-EOMONTH(FA$11,0))/30)+1,0),0)</f>
        <v>0</v>
      </c>
      <c r="FB177" s="427">
        <f>-IF(AND(FB$11&gt;=EOMONTH('Construction Budget'!$K31,0),FB$11&lt;=EOMONTH('Construction Budget'!$M31,0)),('Construction Budget'!$G31+SUM($G177:FA177))/ROUND(((EOMONTH('Construction Budget'!$M31,0)-EOMONTH(FB$11,0))/30)+1,0),0)</f>
        <v>0</v>
      </c>
      <c r="FC177" s="427">
        <f>-IF(AND(FC$11&gt;=EOMONTH('Construction Budget'!$K31,0),FC$11&lt;=EOMONTH('Construction Budget'!$M31,0)),('Construction Budget'!$G31+SUM($G177:FB177))/ROUND(((EOMONTH('Construction Budget'!$M31,0)-EOMONTH(FC$11,0))/30)+1,0),0)</f>
        <v>0</v>
      </c>
      <c r="FD177" s="427">
        <f>-IF(AND(FD$11&gt;=EOMONTH('Construction Budget'!$K31,0),FD$11&lt;=EOMONTH('Construction Budget'!$M31,0)),('Construction Budget'!$G31+SUM($G177:FC177))/ROUND(((EOMONTH('Construction Budget'!$M31,0)-EOMONTH(FD$11,0))/30)+1,0),0)</f>
        <v>0</v>
      </c>
      <c r="FE177" s="427">
        <f>-IF(AND(FE$11&gt;=EOMONTH('Construction Budget'!$K31,0),FE$11&lt;=EOMONTH('Construction Budget'!$M31,0)),('Construction Budget'!$G31+SUM($G177:FD177))/ROUND(((EOMONTH('Construction Budget'!$M31,0)-EOMONTH(FE$11,0))/30)+1,0),0)</f>
        <v>0</v>
      </c>
      <c r="FF177" s="427">
        <f>-IF(AND(FF$11&gt;=EOMONTH('Construction Budget'!$K31,0),FF$11&lt;=EOMONTH('Construction Budget'!$M31,0)),('Construction Budget'!$G31+SUM($G177:FE177))/ROUND(((EOMONTH('Construction Budget'!$M31,0)-EOMONTH(FF$11,0))/30)+1,0),0)</f>
        <v>0</v>
      </c>
      <c r="FG177" s="427">
        <f>-IF(AND(FG$11&gt;=EOMONTH('Construction Budget'!$K31,0),FG$11&lt;=EOMONTH('Construction Budget'!$M31,0)),('Construction Budget'!$G31+SUM($G177:FF177))/ROUND(((EOMONTH('Construction Budget'!$M31,0)-EOMONTH(FG$11,0))/30)+1,0),0)</f>
        <v>0</v>
      </c>
      <c r="FH177" s="427">
        <f>-IF(AND(FH$11&gt;=EOMONTH('Construction Budget'!$K31,0),FH$11&lt;=EOMONTH('Construction Budget'!$M31,0)),('Construction Budget'!$G31+SUM($G177:FG177))/ROUND(((EOMONTH('Construction Budget'!$M31,0)-EOMONTH(FH$11,0))/30)+1,0),0)</f>
        <v>0</v>
      </c>
      <c r="FI177" s="427">
        <f>-IF(AND(FI$11&gt;=EOMONTH('Construction Budget'!$K31,0),FI$11&lt;=EOMONTH('Construction Budget'!$M31,0)),('Construction Budget'!$G31+SUM($G177:FH177))/ROUND(((EOMONTH('Construction Budget'!$M31,0)-EOMONTH(FI$11,0))/30)+1,0),0)</f>
        <v>0</v>
      </c>
      <c r="FJ177" s="427">
        <f>-IF(AND(FJ$11&gt;=EOMONTH('Construction Budget'!$K31,0),FJ$11&lt;=EOMONTH('Construction Budget'!$M31,0)),('Construction Budget'!$G31+SUM($G177:FI177))/ROUND(((EOMONTH('Construction Budget'!$M31,0)-EOMONTH(FJ$11,0))/30)+1,0),0)</f>
        <v>0</v>
      </c>
      <c r="FK177" s="427">
        <f>-IF(AND(FK$11&gt;=EOMONTH('Construction Budget'!$K31,0),FK$11&lt;=EOMONTH('Construction Budget'!$M31,0)),('Construction Budget'!$G31+SUM($G177:FJ177))/ROUND(((EOMONTH('Construction Budget'!$M31,0)-EOMONTH(FK$11,0))/30)+1,0),0)</f>
        <v>0</v>
      </c>
      <c r="FL177" s="427">
        <f>-IF(AND(FL$11&gt;=EOMONTH('Construction Budget'!$K31,0),FL$11&lt;=EOMONTH('Construction Budget'!$M31,0)),('Construction Budget'!$G31+SUM($G177:FK177))/ROUND(((EOMONTH('Construction Budget'!$M31,0)-EOMONTH(FL$11,0))/30)+1,0),0)</f>
        <v>0</v>
      </c>
      <c r="FM177" s="427">
        <f>-IF(AND(FM$11&gt;=EOMONTH('Construction Budget'!$K31,0),FM$11&lt;=EOMONTH('Construction Budget'!$M31,0)),('Construction Budget'!$G31+SUM($G177:FL177))/ROUND(((EOMONTH('Construction Budget'!$M31,0)-EOMONTH(FM$11,0))/30)+1,0),0)</f>
        <v>0</v>
      </c>
      <c r="FN177" s="427">
        <f>-IF(AND(FN$11&gt;=EOMONTH('Construction Budget'!$K31,0),FN$11&lt;=EOMONTH('Construction Budget'!$M31,0)),('Construction Budget'!$G31+SUM($G177:FM177))/ROUND(((EOMONTH('Construction Budget'!$M31,0)-EOMONTH(FN$11,0))/30)+1,0),0)</f>
        <v>0</v>
      </c>
      <c r="FO177" s="427">
        <f>-IF(AND(FO$11&gt;=EOMONTH('Construction Budget'!$K31,0),FO$11&lt;=EOMONTH('Construction Budget'!$M31,0)),('Construction Budget'!$G31+SUM($G177:FN177))/ROUND(((EOMONTH('Construction Budget'!$M31,0)-EOMONTH(FO$11,0))/30)+1,0),0)</f>
        <v>0</v>
      </c>
      <c r="FP177" s="427">
        <f>-IF(AND(FP$11&gt;=EOMONTH('Construction Budget'!$K31,0),FP$11&lt;=EOMONTH('Construction Budget'!$M31,0)),('Construction Budget'!$G31+SUM($G177:FO177))/ROUND(((EOMONTH('Construction Budget'!$M31,0)-EOMONTH(FP$11,0))/30)+1,0),0)</f>
        <v>0</v>
      </c>
      <c r="FQ177" s="427">
        <f>-IF(AND(FQ$11&gt;=EOMONTH('Construction Budget'!$K31,0),FQ$11&lt;=EOMONTH('Construction Budget'!$M31,0)),('Construction Budget'!$G31+SUM($G177:FP177))/ROUND(((EOMONTH('Construction Budget'!$M31,0)-EOMONTH(FQ$11,0))/30)+1,0),0)</f>
        <v>0</v>
      </c>
      <c r="FR177" s="427">
        <f>-IF(AND(FR$11&gt;=EOMONTH('Construction Budget'!$K31,0),FR$11&lt;=EOMONTH('Construction Budget'!$M31,0)),('Construction Budget'!$G31+SUM($G177:FQ177))/ROUND(((EOMONTH('Construction Budget'!$M31,0)-EOMONTH(FR$11,0))/30)+1,0),0)</f>
        <v>0</v>
      </c>
      <c r="FS177" s="427">
        <f>-IF(AND(FS$11&gt;=EOMONTH('Construction Budget'!$K31,0),FS$11&lt;=EOMONTH('Construction Budget'!$M31,0)),('Construction Budget'!$G31+SUM($G177:FR177))/ROUND(((EOMONTH('Construction Budget'!$M31,0)-EOMONTH(FS$11,0))/30)+1,0),0)</f>
        <v>0</v>
      </c>
      <c r="FT177" s="427">
        <f>-IF(AND(FT$11&gt;=EOMONTH('Construction Budget'!$K31,0),FT$11&lt;=EOMONTH('Construction Budget'!$M31,0)),('Construction Budget'!$G31+SUM($G177:FS177))/ROUND(((EOMONTH('Construction Budget'!$M31,0)-EOMONTH(FT$11,0))/30)+1,0),0)</f>
        <v>0</v>
      </c>
      <c r="FU177" s="43"/>
      <c r="FV177" s="34"/>
      <c r="FW177" s="34"/>
      <c r="FX177" s="34"/>
      <c r="FY177" s="34"/>
      <c r="FZ177" s="34"/>
    </row>
    <row r="178" spans="1:182" s="89" customFormat="1" ht="13.5" hidden="1" outlineLevel="1" x14ac:dyDescent="0.25">
      <c r="A178" s="498"/>
      <c r="B178" s="128" t="str">
        <f>'Construction Budget'!B32</f>
        <v>Impact &amp; Permits Fees</v>
      </c>
      <c r="C178" s="34"/>
      <c r="D178" s="34"/>
      <c r="E178" s="34"/>
      <c r="F178" s="434">
        <f t="shared" si="232"/>
        <v>-1500000</v>
      </c>
      <c r="G178" s="34"/>
      <c r="H178" s="427">
        <f>-IF(AND(H$11&gt;=EOMONTH('Construction Budget'!$K32,0),H$11&lt;=EOMONTH('Construction Budget'!$M32,0)),('Construction Budget'!$G32+SUM($G178:G178))/ROUND(((EOMONTH('Construction Budget'!$M32,0)-EOMONTH(H$11,0))/30)+1,0),0)</f>
        <v>0</v>
      </c>
      <c r="I178" s="427">
        <f>-IF(AND(I$11&gt;=EOMONTH('Construction Budget'!$K32,0),I$11&lt;=EOMONTH('Construction Budget'!$M32,0)),('Construction Budget'!$G32+SUM($G178:H178))/ROUND(((EOMONTH('Construction Budget'!$M32,0)-EOMONTH(I$11,0))/30)+1,0),0)</f>
        <v>0</v>
      </c>
      <c r="J178" s="427">
        <f>-IF(AND(J$11&gt;=EOMONTH('Construction Budget'!$K32,0),J$11&lt;=EOMONTH('Construction Budget'!$M32,0)),('Construction Budget'!$G32+SUM($G178:I178))/ROUND(((EOMONTH('Construction Budget'!$M32,0)-EOMONTH(J$11,0))/30)+1,0),0)</f>
        <v>-125000</v>
      </c>
      <c r="K178" s="427">
        <f>-IF(AND(K$11&gt;=EOMONTH('Construction Budget'!$K32,0),K$11&lt;=EOMONTH('Construction Budget'!$M32,0)),('Construction Budget'!$G32+SUM($G178:J178))/ROUND(((EOMONTH('Construction Budget'!$M32,0)-EOMONTH(K$11,0))/30)+1,0),0)</f>
        <v>-125000</v>
      </c>
      <c r="L178" s="427">
        <f>-IF(AND(L$11&gt;=EOMONTH('Construction Budget'!$K32,0),L$11&lt;=EOMONTH('Construction Budget'!$M32,0)),('Construction Budget'!$G32+SUM($G178:K178))/ROUND(((EOMONTH('Construction Budget'!$M32,0)-EOMONTH(L$11,0))/30)+1,0),0)</f>
        <v>-125000</v>
      </c>
      <c r="M178" s="427">
        <f>-IF(AND(M$11&gt;=EOMONTH('Construction Budget'!$K32,0),M$11&lt;=EOMONTH('Construction Budget'!$M32,0)),('Construction Budget'!$G32+SUM($G178:L178))/ROUND(((EOMONTH('Construction Budget'!$M32,0)-EOMONTH(M$11,0))/30)+1,0),0)</f>
        <v>-125000</v>
      </c>
      <c r="N178" s="427">
        <f>-IF(AND(N$11&gt;=EOMONTH('Construction Budget'!$K32,0),N$11&lt;=EOMONTH('Construction Budget'!$M32,0)),('Construction Budget'!$G32+SUM($G178:M178))/ROUND(((EOMONTH('Construction Budget'!$M32,0)-EOMONTH(N$11,0))/30)+1,0),0)</f>
        <v>-125000</v>
      </c>
      <c r="O178" s="427">
        <f>-IF(AND(O$11&gt;=EOMONTH('Construction Budget'!$K32,0),O$11&lt;=EOMONTH('Construction Budget'!$M32,0)),('Construction Budget'!$G32+SUM($G178:N178))/ROUND(((EOMONTH('Construction Budget'!$M32,0)-EOMONTH(O$11,0))/30)+1,0),0)</f>
        <v>-125000</v>
      </c>
      <c r="P178" s="427">
        <f>-IF(AND(P$11&gt;=EOMONTH('Construction Budget'!$K32,0),P$11&lt;=EOMONTH('Construction Budget'!$M32,0)),('Construction Budget'!$G32+SUM($G178:O178))/ROUND(((EOMONTH('Construction Budget'!$M32,0)-EOMONTH(P$11,0))/30)+1,0),0)</f>
        <v>-125000</v>
      </c>
      <c r="Q178" s="427">
        <f>-IF(AND(Q$11&gt;=EOMONTH('Construction Budget'!$K32,0),Q$11&lt;=EOMONTH('Construction Budget'!$M32,0)),('Construction Budget'!$G32+SUM($G178:P178))/ROUND(((EOMONTH('Construction Budget'!$M32,0)-EOMONTH(Q$11,0))/30)+1,0),0)</f>
        <v>-125000</v>
      </c>
      <c r="R178" s="427">
        <f>-IF(AND(R$11&gt;=EOMONTH('Construction Budget'!$K32,0),R$11&lt;=EOMONTH('Construction Budget'!$M32,0)),('Construction Budget'!$G32+SUM($G178:Q178))/ROUND(((EOMONTH('Construction Budget'!$M32,0)-EOMONTH(R$11,0))/30)+1,0),0)</f>
        <v>-125000</v>
      </c>
      <c r="S178" s="427">
        <f>-IF(AND(S$11&gt;=EOMONTH('Construction Budget'!$K32,0),S$11&lt;=EOMONTH('Construction Budget'!$M32,0)),('Construction Budget'!$G32+SUM($G178:R178))/ROUND(((EOMONTH('Construction Budget'!$M32,0)-EOMONTH(S$11,0))/30)+1,0),0)</f>
        <v>-125000</v>
      </c>
      <c r="T178" s="427">
        <f>-IF(AND(T$11&gt;=EOMONTH('Construction Budget'!$K32,0),T$11&lt;=EOMONTH('Construction Budget'!$M32,0)),('Construction Budget'!$G32+SUM($G178:S178))/ROUND(((EOMONTH('Construction Budget'!$M32,0)-EOMONTH(T$11,0))/30)+1,0),0)</f>
        <v>-125000</v>
      </c>
      <c r="U178" s="427">
        <f>-IF(AND(U$11&gt;=EOMONTH('Construction Budget'!$K32,0),U$11&lt;=EOMONTH('Construction Budget'!$M32,0)),('Construction Budget'!$G32+SUM($G178:T178))/ROUND(((EOMONTH('Construction Budget'!$M32,0)-EOMONTH(U$11,0))/30)+1,0),0)</f>
        <v>-125000</v>
      </c>
      <c r="V178" s="427">
        <f>-IF(AND(V$11&gt;=EOMONTH('Construction Budget'!$K32,0),V$11&lt;=EOMONTH('Construction Budget'!$M32,0)),('Construction Budget'!$G32+SUM($G178:U178))/ROUND(((EOMONTH('Construction Budget'!$M32,0)-EOMONTH(V$11,0))/30)+1,0),0)</f>
        <v>0</v>
      </c>
      <c r="W178" s="427">
        <f>-IF(AND(W$11&gt;=EOMONTH('Construction Budget'!$K32,0),W$11&lt;=EOMONTH('Construction Budget'!$M32,0)),('Construction Budget'!$G32+SUM($G178:V178))/ROUND(((EOMONTH('Construction Budget'!$M32,0)-EOMONTH(W$11,0))/30)+1,0),0)</f>
        <v>0</v>
      </c>
      <c r="X178" s="427">
        <f>-IF(AND(X$11&gt;=EOMONTH('Construction Budget'!$K32,0),X$11&lt;=EOMONTH('Construction Budget'!$M32,0)),('Construction Budget'!$G32+SUM($G178:W178))/ROUND(((EOMONTH('Construction Budget'!$M32,0)-EOMONTH(X$11,0))/30)+1,0),0)</f>
        <v>0</v>
      </c>
      <c r="Y178" s="427">
        <f>-IF(AND(Y$11&gt;=EOMONTH('Construction Budget'!$K32,0),Y$11&lt;=EOMONTH('Construction Budget'!$M32,0)),('Construction Budget'!$G32+SUM($G178:X178))/ROUND(((EOMONTH('Construction Budget'!$M32,0)-EOMONTH(Y$11,0))/30)+1,0),0)</f>
        <v>0</v>
      </c>
      <c r="Z178" s="427">
        <f>-IF(AND(Z$11&gt;=EOMONTH('Construction Budget'!$K32,0),Z$11&lt;=EOMONTH('Construction Budget'!$M32,0)),('Construction Budget'!$G32+SUM($G178:Y178))/ROUND(((EOMONTH('Construction Budget'!$M32,0)-EOMONTH(Z$11,0))/30)+1,0),0)</f>
        <v>0</v>
      </c>
      <c r="AA178" s="427">
        <f>-IF(AND(AA$11&gt;=EOMONTH('Construction Budget'!$K32,0),AA$11&lt;=EOMONTH('Construction Budget'!$M32,0)),('Construction Budget'!$G32+SUM($G178:Z178))/ROUND(((EOMONTH('Construction Budget'!$M32,0)-EOMONTH(AA$11,0))/30)+1,0),0)</f>
        <v>0</v>
      </c>
      <c r="AB178" s="427">
        <f>-IF(AND(AB$11&gt;=EOMONTH('Construction Budget'!$K32,0),AB$11&lt;=EOMONTH('Construction Budget'!$M32,0)),('Construction Budget'!$G32+SUM($G178:AA178))/ROUND(((EOMONTH('Construction Budget'!$M32,0)-EOMONTH(AB$11,0))/30)+1,0),0)</f>
        <v>0</v>
      </c>
      <c r="AC178" s="427">
        <f>-IF(AND(AC$11&gt;=EOMONTH('Construction Budget'!$K32,0),AC$11&lt;=EOMONTH('Construction Budget'!$M32,0)),('Construction Budget'!$G32+SUM($G178:AB178))/ROUND(((EOMONTH('Construction Budget'!$M32,0)-EOMONTH(AC$11,0))/30)+1,0),0)</f>
        <v>0</v>
      </c>
      <c r="AD178" s="427">
        <f>-IF(AND(AD$11&gt;=EOMONTH('Construction Budget'!$K32,0),AD$11&lt;=EOMONTH('Construction Budget'!$M32,0)),('Construction Budget'!$G32+SUM($G178:AC178))/ROUND(((EOMONTH('Construction Budget'!$M32,0)-EOMONTH(AD$11,0))/30)+1,0),0)</f>
        <v>0</v>
      </c>
      <c r="AE178" s="427">
        <f>-IF(AND(AE$11&gt;=EOMONTH('Construction Budget'!$K32,0),AE$11&lt;=EOMONTH('Construction Budget'!$M32,0)),('Construction Budget'!$G32+SUM($G178:AD178))/ROUND(((EOMONTH('Construction Budget'!$M32,0)-EOMONTH(AE$11,0))/30)+1,0),0)</f>
        <v>0</v>
      </c>
      <c r="AF178" s="427">
        <f>-IF(AND(AF$11&gt;=EOMONTH('Construction Budget'!$K32,0),AF$11&lt;=EOMONTH('Construction Budget'!$M32,0)),('Construction Budget'!$G32+SUM($G178:AE178))/ROUND(((EOMONTH('Construction Budget'!$M32,0)-EOMONTH(AF$11,0))/30)+1,0),0)</f>
        <v>0</v>
      </c>
      <c r="AG178" s="427">
        <f>-IF(AND(AG$11&gt;=EOMONTH('Construction Budget'!$K32,0),AG$11&lt;=EOMONTH('Construction Budget'!$M32,0)),('Construction Budget'!$G32+SUM($G178:AF178))/ROUND(((EOMONTH('Construction Budget'!$M32,0)-EOMONTH(AG$11,0))/30)+1,0),0)</f>
        <v>0</v>
      </c>
      <c r="AH178" s="427">
        <f>-IF(AND(AH$11&gt;=EOMONTH('Construction Budget'!$K32,0),AH$11&lt;=EOMONTH('Construction Budget'!$M32,0)),('Construction Budget'!$G32+SUM($G178:AG178))/ROUND(((EOMONTH('Construction Budget'!$M32,0)-EOMONTH(AH$11,0))/30)+1,0),0)</f>
        <v>0</v>
      </c>
      <c r="AI178" s="427">
        <f>-IF(AND(AI$11&gt;=EOMONTH('Construction Budget'!$K32,0),AI$11&lt;=EOMONTH('Construction Budget'!$M32,0)),('Construction Budget'!$G32+SUM($G178:AH178))/ROUND(((EOMONTH('Construction Budget'!$M32,0)-EOMONTH(AI$11,0))/30)+1,0),0)</f>
        <v>0</v>
      </c>
      <c r="AJ178" s="427">
        <f>-IF(AND(AJ$11&gt;=EOMONTH('Construction Budget'!$K32,0),AJ$11&lt;=EOMONTH('Construction Budget'!$M32,0)),('Construction Budget'!$G32+SUM($G178:AI178))/ROUND(((EOMONTH('Construction Budget'!$M32,0)-EOMONTH(AJ$11,0))/30)+1,0),0)</f>
        <v>0</v>
      </c>
      <c r="AK178" s="427">
        <f>-IF(AND(AK$11&gt;=EOMONTH('Construction Budget'!$K32,0),AK$11&lt;=EOMONTH('Construction Budget'!$M32,0)),('Construction Budget'!$G32+SUM($G178:AJ178))/ROUND(((EOMONTH('Construction Budget'!$M32,0)-EOMONTH(AK$11,0))/30)+1,0),0)</f>
        <v>0</v>
      </c>
      <c r="AL178" s="427">
        <f>-IF(AND(AL$11&gt;=EOMONTH('Construction Budget'!$K32,0),AL$11&lt;=EOMONTH('Construction Budget'!$M32,0)),('Construction Budget'!$G32+SUM($G178:AK178))/ROUND(((EOMONTH('Construction Budget'!$M32,0)-EOMONTH(AL$11,0))/30)+1,0),0)</f>
        <v>0</v>
      </c>
      <c r="AM178" s="427">
        <f>-IF(AND(AM$11&gt;=EOMONTH('Construction Budget'!$K32,0),AM$11&lt;=EOMONTH('Construction Budget'!$M32,0)),('Construction Budget'!$G32+SUM($G178:AL178))/ROUND(((EOMONTH('Construction Budget'!$M32,0)-EOMONTH(AM$11,0))/30)+1,0),0)</f>
        <v>0</v>
      </c>
      <c r="AN178" s="427">
        <f>-IF(AND(AN$11&gt;=EOMONTH('Construction Budget'!$K32,0),AN$11&lt;=EOMONTH('Construction Budget'!$M32,0)),('Construction Budget'!$G32+SUM($G178:AM178))/ROUND(((EOMONTH('Construction Budget'!$M32,0)-EOMONTH(AN$11,0))/30)+1,0),0)</f>
        <v>0</v>
      </c>
      <c r="AO178" s="427">
        <f>-IF(AND(AO$11&gt;=EOMONTH('Construction Budget'!$K32,0),AO$11&lt;=EOMONTH('Construction Budget'!$M32,0)),('Construction Budget'!$G32+SUM($G178:AN178))/ROUND(((EOMONTH('Construction Budget'!$M32,0)-EOMONTH(AO$11,0))/30)+1,0),0)</f>
        <v>0</v>
      </c>
      <c r="AP178" s="427">
        <f>-IF(AND(AP$11&gt;=EOMONTH('Construction Budget'!$K32,0),AP$11&lt;=EOMONTH('Construction Budget'!$M32,0)),('Construction Budget'!$G32+SUM($G178:AO178))/ROUND(((EOMONTH('Construction Budget'!$M32,0)-EOMONTH(AP$11,0))/30)+1,0),0)</f>
        <v>0</v>
      </c>
      <c r="AQ178" s="427">
        <f>-IF(AND(AQ$11&gt;=EOMONTH('Construction Budget'!$K32,0),AQ$11&lt;=EOMONTH('Construction Budget'!$M32,0)),('Construction Budget'!$G32+SUM($G178:AP178))/ROUND(((EOMONTH('Construction Budget'!$M32,0)-EOMONTH(AQ$11,0))/30)+1,0),0)</f>
        <v>0</v>
      </c>
      <c r="AR178" s="427">
        <f>-IF(AND(AR$11&gt;=EOMONTH('Construction Budget'!$K32,0),AR$11&lt;=EOMONTH('Construction Budget'!$M32,0)),('Construction Budget'!$G32+SUM($G178:AQ178))/ROUND(((EOMONTH('Construction Budget'!$M32,0)-EOMONTH(AR$11,0))/30)+1,0),0)</f>
        <v>0</v>
      </c>
      <c r="AS178" s="427">
        <f>-IF(AND(AS$11&gt;=EOMONTH('Construction Budget'!$K32,0),AS$11&lt;=EOMONTH('Construction Budget'!$M32,0)),('Construction Budget'!$G32+SUM($G178:AR178))/ROUND(((EOMONTH('Construction Budget'!$M32,0)-EOMONTH(AS$11,0))/30)+1,0),0)</f>
        <v>0</v>
      </c>
      <c r="AT178" s="427">
        <f>-IF(AND(AT$11&gt;=EOMONTH('Construction Budget'!$K32,0),AT$11&lt;=EOMONTH('Construction Budget'!$M32,0)),('Construction Budget'!$G32+SUM($G178:AS178))/ROUND(((EOMONTH('Construction Budget'!$M32,0)-EOMONTH(AT$11,0))/30)+1,0),0)</f>
        <v>0</v>
      </c>
      <c r="AU178" s="427">
        <f>-IF(AND(AU$11&gt;=EOMONTH('Construction Budget'!$K32,0),AU$11&lt;=EOMONTH('Construction Budget'!$M32,0)),('Construction Budget'!$G32+SUM($G178:AT178))/ROUND(((EOMONTH('Construction Budget'!$M32,0)-EOMONTH(AU$11,0))/30)+1,0),0)</f>
        <v>0</v>
      </c>
      <c r="AV178" s="427">
        <f>-IF(AND(AV$11&gt;=EOMONTH('Construction Budget'!$K32,0),AV$11&lt;=EOMONTH('Construction Budget'!$M32,0)),('Construction Budget'!$G32+SUM($G178:AU178))/ROUND(((EOMONTH('Construction Budget'!$M32,0)-EOMONTH(AV$11,0))/30)+1,0),0)</f>
        <v>0</v>
      </c>
      <c r="AW178" s="427">
        <f>-IF(AND(AW$11&gt;=EOMONTH('Construction Budget'!$K32,0),AW$11&lt;=EOMONTH('Construction Budget'!$M32,0)),('Construction Budget'!$G32+SUM($G178:AV178))/ROUND(((EOMONTH('Construction Budget'!$M32,0)-EOMONTH(AW$11,0))/30)+1,0),0)</f>
        <v>0</v>
      </c>
      <c r="AX178" s="427">
        <f>-IF(AND(AX$11&gt;=EOMONTH('Construction Budget'!$K32,0),AX$11&lt;=EOMONTH('Construction Budget'!$M32,0)),('Construction Budget'!$G32+SUM($G178:AW178))/ROUND(((EOMONTH('Construction Budget'!$M32,0)-EOMONTH(AX$11,0))/30)+1,0),0)</f>
        <v>0</v>
      </c>
      <c r="AY178" s="427">
        <f>-IF(AND(AY$11&gt;=EOMONTH('Construction Budget'!$K32,0),AY$11&lt;=EOMONTH('Construction Budget'!$M32,0)),('Construction Budget'!$G32+SUM($G178:AX178))/ROUND(((EOMONTH('Construction Budget'!$M32,0)-EOMONTH(AY$11,0))/30)+1,0),0)</f>
        <v>0</v>
      </c>
      <c r="AZ178" s="427">
        <f>-IF(AND(AZ$11&gt;=EOMONTH('Construction Budget'!$K32,0),AZ$11&lt;=EOMONTH('Construction Budget'!$M32,0)),('Construction Budget'!$G32+SUM($G178:AY178))/ROUND(((EOMONTH('Construction Budget'!$M32,0)-EOMONTH(AZ$11,0))/30)+1,0),0)</f>
        <v>0</v>
      </c>
      <c r="BA178" s="427">
        <f>-IF(AND(BA$11&gt;=EOMONTH('Construction Budget'!$K32,0),BA$11&lt;=EOMONTH('Construction Budget'!$M32,0)),('Construction Budget'!$G32+SUM($G178:AZ178))/ROUND(((EOMONTH('Construction Budget'!$M32,0)-EOMONTH(BA$11,0))/30)+1,0),0)</f>
        <v>0</v>
      </c>
      <c r="BB178" s="427">
        <f>-IF(AND(BB$11&gt;=EOMONTH('Construction Budget'!$K32,0),BB$11&lt;=EOMONTH('Construction Budget'!$M32,0)),('Construction Budget'!$G32+SUM($G178:BA178))/ROUND(((EOMONTH('Construction Budget'!$M32,0)-EOMONTH(BB$11,0))/30)+1,0),0)</f>
        <v>0</v>
      </c>
      <c r="BC178" s="427">
        <f>-IF(AND(BC$11&gt;=EOMONTH('Construction Budget'!$K32,0),BC$11&lt;=EOMONTH('Construction Budget'!$M32,0)),('Construction Budget'!$G32+SUM($G178:BB178))/ROUND(((EOMONTH('Construction Budget'!$M32,0)-EOMONTH(BC$11,0))/30)+1,0),0)</f>
        <v>0</v>
      </c>
      <c r="BD178" s="427">
        <f>-IF(AND(BD$11&gt;=EOMONTH('Construction Budget'!$K32,0),BD$11&lt;=EOMONTH('Construction Budget'!$M32,0)),('Construction Budget'!$G32+SUM($G178:BC178))/ROUND(((EOMONTH('Construction Budget'!$M32,0)-EOMONTH(BD$11,0))/30)+1,0),0)</f>
        <v>0</v>
      </c>
      <c r="BE178" s="427">
        <f>-IF(AND(BE$11&gt;=EOMONTH('Construction Budget'!$K32,0),BE$11&lt;=EOMONTH('Construction Budget'!$M32,0)),('Construction Budget'!$G32+SUM($G178:BD178))/ROUND(((EOMONTH('Construction Budget'!$M32,0)-EOMONTH(BE$11,0))/30)+1,0),0)</f>
        <v>0</v>
      </c>
      <c r="BF178" s="427">
        <f>-IF(AND(BF$11&gt;=EOMONTH('Construction Budget'!$K32,0),BF$11&lt;=EOMONTH('Construction Budget'!$M32,0)),('Construction Budget'!$G32+SUM($G178:BE178))/ROUND(((EOMONTH('Construction Budget'!$M32,0)-EOMONTH(BF$11,0))/30)+1,0),0)</f>
        <v>0</v>
      </c>
      <c r="BG178" s="427">
        <f>-IF(AND(BG$11&gt;=EOMONTH('Construction Budget'!$K32,0),BG$11&lt;=EOMONTH('Construction Budget'!$M32,0)),('Construction Budget'!$G32+SUM($G178:BF178))/ROUND(((EOMONTH('Construction Budget'!$M32,0)-EOMONTH(BG$11,0))/30)+1,0),0)</f>
        <v>0</v>
      </c>
      <c r="BH178" s="427">
        <f>-IF(AND(BH$11&gt;=EOMONTH('Construction Budget'!$K32,0),BH$11&lt;=EOMONTH('Construction Budget'!$M32,0)),('Construction Budget'!$G32+SUM($G178:BG178))/ROUND(((EOMONTH('Construction Budget'!$M32,0)-EOMONTH(BH$11,0))/30)+1,0),0)</f>
        <v>0</v>
      </c>
      <c r="BI178" s="427">
        <f>-IF(AND(BI$11&gt;=EOMONTH('Construction Budget'!$K32,0),BI$11&lt;=EOMONTH('Construction Budget'!$M32,0)),('Construction Budget'!$G32+SUM($G178:BH178))/ROUND(((EOMONTH('Construction Budget'!$M32,0)-EOMONTH(BI$11,0))/30)+1,0),0)</f>
        <v>0</v>
      </c>
      <c r="BJ178" s="427">
        <f>-IF(AND(BJ$11&gt;=EOMONTH('Construction Budget'!$K32,0),BJ$11&lt;=EOMONTH('Construction Budget'!$M32,0)),('Construction Budget'!$G32+SUM($G178:BI178))/ROUND(((EOMONTH('Construction Budget'!$M32,0)-EOMONTH(BJ$11,0))/30)+1,0),0)</f>
        <v>0</v>
      </c>
      <c r="BK178" s="427">
        <f>-IF(AND(BK$11&gt;=EOMONTH('Construction Budget'!$K32,0),BK$11&lt;=EOMONTH('Construction Budget'!$M32,0)),('Construction Budget'!$G32+SUM($G178:BJ178))/ROUND(((EOMONTH('Construction Budget'!$M32,0)-EOMONTH(BK$11,0))/30)+1,0),0)</f>
        <v>0</v>
      </c>
      <c r="BL178" s="427">
        <f>-IF(AND(BL$11&gt;=EOMONTH('Construction Budget'!$K32,0),BL$11&lt;=EOMONTH('Construction Budget'!$M32,0)),('Construction Budget'!$G32+SUM($G178:BK178))/ROUND(((EOMONTH('Construction Budget'!$M32,0)-EOMONTH(BL$11,0))/30)+1,0),0)</f>
        <v>0</v>
      </c>
      <c r="BM178" s="427">
        <f>-IF(AND(BM$11&gt;=EOMONTH('Construction Budget'!$K32,0),BM$11&lt;=EOMONTH('Construction Budget'!$M32,0)),('Construction Budget'!$G32+SUM($G178:BL178))/ROUND(((EOMONTH('Construction Budget'!$M32,0)-EOMONTH(BM$11,0))/30)+1,0),0)</f>
        <v>0</v>
      </c>
      <c r="BN178" s="427">
        <f>-IF(AND(BN$11&gt;=EOMONTH('Construction Budget'!$K32,0),BN$11&lt;=EOMONTH('Construction Budget'!$M32,0)),('Construction Budget'!$G32+SUM($G178:BM178))/ROUND(((EOMONTH('Construction Budget'!$M32,0)-EOMONTH(BN$11,0))/30)+1,0),0)</f>
        <v>0</v>
      </c>
      <c r="BO178" s="427">
        <f>-IF(AND(BO$11&gt;=EOMONTH('Construction Budget'!$K32,0),BO$11&lt;=EOMONTH('Construction Budget'!$M32,0)),('Construction Budget'!$G32+SUM($G178:BN178))/ROUND(((EOMONTH('Construction Budget'!$M32,0)-EOMONTH(BO$11,0))/30)+1,0),0)</f>
        <v>0</v>
      </c>
      <c r="BP178" s="427">
        <f>-IF(AND(BP$11&gt;=EOMONTH('Construction Budget'!$K32,0),BP$11&lt;=EOMONTH('Construction Budget'!$M32,0)),('Construction Budget'!$G32+SUM($G178:BO178))/ROUND(((EOMONTH('Construction Budget'!$M32,0)-EOMONTH(BP$11,0))/30)+1,0),0)</f>
        <v>0</v>
      </c>
      <c r="BQ178" s="427">
        <f>-IF(AND(BQ$11&gt;=EOMONTH('Construction Budget'!$K32,0),BQ$11&lt;=EOMONTH('Construction Budget'!$M32,0)),('Construction Budget'!$G32+SUM($G178:BP178))/ROUND(((EOMONTH('Construction Budget'!$M32,0)-EOMONTH(BQ$11,0))/30)+1,0),0)</f>
        <v>0</v>
      </c>
      <c r="BR178" s="427">
        <f>-IF(AND(BR$11&gt;=EOMONTH('Construction Budget'!$K32,0),BR$11&lt;=EOMONTH('Construction Budget'!$M32,0)),('Construction Budget'!$G32+SUM($G178:BQ178))/ROUND(((EOMONTH('Construction Budget'!$M32,0)-EOMONTH(BR$11,0))/30)+1,0),0)</f>
        <v>0</v>
      </c>
      <c r="BS178" s="427">
        <f>-IF(AND(BS$11&gt;=EOMONTH('Construction Budget'!$K32,0),BS$11&lt;=EOMONTH('Construction Budget'!$M32,0)),('Construction Budget'!$G32+SUM($G178:BR178))/ROUND(((EOMONTH('Construction Budget'!$M32,0)-EOMONTH(BS$11,0))/30)+1,0),0)</f>
        <v>0</v>
      </c>
      <c r="BT178" s="427">
        <f>-IF(AND(BT$11&gt;=EOMONTH('Construction Budget'!$K32,0),BT$11&lt;=EOMONTH('Construction Budget'!$M32,0)),('Construction Budget'!$G32+SUM($G178:BS178))/ROUND(((EOMONTH('Construction Budget'!$M32,0)-EOMONTH(BT$11,0))/30)+1,0),0)</f>
        <v>0</v>
      </c>
      <c r="BU178" s="427">
        <f>-IF(AND(BU$11&gt;=EOMONTH('Construction Budget'!$K32,0),BU$11&lt;=EOMONTH('Construction Budget'!$M32,0)),('Construction Budget'!$G32+SUM($G178:BT178))/ROUND(((EOMONTH('Construction Budget'!$M32,0)-EOMONTH(BU$11,0))/30)+1,0),0)</f>
        <v>0</v>
      </c>
      <c r="BV178" s="427">
        <f>-IF(AND(BV$11&gt;=EOMONTH('Construction Budget'!$K32,0),BV$11&lt;=EOMONTH('Construction Budget'!$M32,0)),('Construction Budget'!$G32+SUM($G178:BU178))/ROUND(((EOMONTH('Construction Budget'!$M32,0)-EOMONTH(BV$11,0))/30)+1,0),0)</f>
        <v>0</v>
      </c>
      <c r="BW178" s="427">
        <f>-IF(AND(BW$11&gt;=EOMONTH('Construction Budget'!$K32,0),BW$11&lt;=EOMONTH('Construction Budget'!$M32,0)),('Construction Budget'!$G32+SUM($G178:BV178))/ROUND(((EOMONTH('Construction Budget'!$M32,0)-EOMONTH(BW$11,0))/30)+1,0),0)</f>
        <v>0</v>
      </c>
      <c r="BX178" s="427">
        <f>-IF(AND(BX$11&gt;=EOMONTH('Construction Budget'!$K32,0),BX$11&lt;=EOMONTH('Construction Budget'!$M32,0)),('Construction Budget'!$G32+SUM($G178:BW178))/ROUND(((EOMONTH('Construction Budget'!$M32,0)-EOMONTH(BX$11,0))/30)+1,0),0)</f>
        <v>0</v>
      </c>
      <c r="BY178" s="427">
        <f>-IF(AND(BY$11&gt;=EOMONTH('Construction Budget'!$K32,0),BY$11&lt;=EOMONTH('Construction Budget'!$M32,0)),('Construction Budget'!$G32+SUM($G178:BX178))/ROUND(((EOMONTH('Construction Budget'!$M32,0)-EOMONTH(BY$11,0))/30)+1,0),0)</f>
        <v>0</v>
      </c>
      <c r="BZ178" s="427">
        <f>-IF(AND(BZ$11&gt;=EOMONTH('Construction Budget'!$K32,0),BZ$11&lt;=EOMONTH('Construction Budget'!$M32,0)),('Construction Budget'!$G32+SUM($G178:BY178))/ROUND(((EOMONTH('Construction Budget'!$M32,0)-EOMONTH(BZ$11,0))/30)+1,0),0)</f>
        <v>0</v>
      </c>
      <c r="CA178" s="427">
        <f>-IF(AND(CA$11&gt;=EOMONTH('Construction Budget'!$K32,0),CA$11&lt;=EOMONTH('Construction Budget'!$M32,0)),('Construction Budget'!$G32+SUM($G178:BZ178))/ROUND(((EOMONTH('Construction Budget'!$M32,0)-EOMONTH(CA$11,0))/30)+1,0),0)</f>
        <v>0</v>
      </c>
      <c r="CB178" s="427">
        <f>-IF(AND(CB$11&gt;=EOMONTH('Construction Budget'!$K32,0),CB$11&lt;=EOMONTH('Construction Budget'!$M32,0)),('Construction Budget'!$G32+SUM($G178:CA178))/ROUND(((EOMONTH('Construction Budget'!$M32,0)-EOMONTH(CB$11,0))/30)+1,0),0)</f>
        <v>0</v>
      </c>
      <c r="CC178" s="427">
        <f>-IF(AND(CC$11&gt;=EOMONTH('Construction Budget'!$K32,0),CC$11&lt;=EOMONTH('Construction Budget'!$M32,0)),('Construction Budget'!$G32+SUM($G178:CB178))/ROUND(((EOMONTH('Construction Budget'!$M32,0)-EOMONTH(CC$11,0))/30)+1,0),0)</f>
        <v>0</v>
      </c>
      <c r="CD178" s="427">
        <f>-IF(AND(CD$11&gt;=EOMONTH('Construction Budget'!$K32,0),CD$11&lt;=EOMONTH('Construction Budget'!$M32,0)),('Construction Budget'!$G32+SUM($G178:CC178))/ROUND(((EOMONTH('Construction Budget'!$M32,0)-EOMONTH(CD$11,0))/30)+1,0),0)</f>
        <v>0</v>
      </c>
      <c r="CE178" s="427">
        <f>-IF(AND(CE$11&gt;=EOMONTH('Construction Budget'!$K32,0),CE$11&lt;=EOMONTH('Construction Budget'!$M32,0)),('Construction Budget'!$G32+SUM($G178:CD178))/ROUND(((EOMONTH('Construction Budget'!$M32,0)-EOMONTH(CE$11,0))/30)+1,0),0)</f>
        <v>0</v>
      </c>
      <c r="CF178" s="427">
        <f>-IF(AND(CF$11&gt;=EOMONTH('Construction Budget'!$K32,0),CF$11&lt;=EOMONTH('Construction Budget'!$M32,0)),('Construction Budget'!$G32+SUM($G178:CE178))/ROUND(((EOMONTH('Construction Budget'!$M32,0)-EOMONTH(CF$11,0))/30)+1,0),0)</f>
        <v>0</v>
      </c>
      <c r="CG178" s="427">
        <f>-IF(AND(CG$11&gt;=EOMONTH('Construction Budget'!$K32,0),CG$11&lt;=EOMONTH('Construction Budget'!$M32,0)),('Construction Budget'!$G32+SUM($G178:CF178))/ROUND(((EOMONTH('Construction Budget'!$M32,0)-EOMONTH(CG$11,0))/30)+1,0),0)</f>
        <v>0</v>
      </c>
      <c r="CH178" s="427">
        <f>-IF(AND(CH$11&gt;=EOMONTH('Construction Budget'!$K32,0),CH$11&lt;=EOMONTH('Construction Budget'!$M32,0)),('Construction Budget'!$G32+SUM($G178:CG178))/ROUND(((EOMONTH('Construction Budget'!$M32,0)-EOMONTH(CH$11,0))/30)+1,0),0)</f>
        <v>0</v>
      </c>
      <c r="CI178" s="427">
        <f>-IF(AND(CI$11&gt;=EOMONTH('Construction Budget'!$K32,0),CI$11&lt;=EOMONTH('Construction Budget'!$M32,0)),('Construction Budget'!$G32+SUM($G178:CH178))/ROUND(((EOMONTH('Construction Budget'!$M32,0)-EOMONTH(CI$11,0))/30)+1,0),0)</f>
        <v>0</v>
      </c>
      <c r="CJ178" s="427">
        <f>-IF(AND(CJ$11&gt;=EOMONTH('Construction Budget'!$K32,0),CJ$11&lt;=EOMONTH('Construction Budget'!$M32,0)),('Construction Budget'!$G32+SUM($G178:CI178))/ROUND(((EOMONTH('Construction Budget'!$M32,0)-EOMONTH(CJ$11,0))/30)+1,0),0)</f>
        <v>0</v>
      </c>
      <c r="CK178" s="427">
        <f>-IF(AND(CK$11&gt;=EOMONTH('Construction Budget'!$K32,0),CK$11&lt;=EOMONTH('Construction Budget'!$M32,0)),('Construction Budget'!$G32+SUM($G178:CJ178))/ROUND(((EOMONTH('Construction Budget'!$M32,0)-EOMONTH(CK$11,0))/30)+1,0),0)</f>
        <v>0</v>
      </c>
      <c r="CL178" s="427">
        <f>-IF(AND(CL$11&gt;=EOMONTH('Construction Budget'!$K32,0),CL$11&lt;=EOMONTH('Construction Budget'!$M32,0)),('Construction Budget'!$G32+SUM($G178:CK178))/ROUND(((EOMONTH('Construction Budget'!$M32,0)-EOMONTH(CL$11,0))/30)+1,0),0)</f>
        <v>0</v>
      </c>
      <c r="CM178" s="427">
        <f>-IF(AND(CM$11&gt;=EOMONTH('Construction Budget'!$K32,0),CM$11&lt;=EOMONTH('Construction Budget'!$M32,0)),('Construction Budget'!$G32+SUM($G178:CL178))/ROUND(((EOMONTH('Construction Budget'!$M32,0)-EOMONTH(CM$11,0))/30)+1,0),0)</f>
        <v>0</v>
      </c>
      <c r="CN178" s="427">
        <f>-IF(AND(CN$11&gt;=EOMONTH('Construction Budget'!$K32,0),CN$11&lt;=EOMONTH('Construction Budget'!$M32,0)),('Construction Budget'!$G32+SUM($G178:CM178))/ROUND(((EOMONTH('Construction Budget'!$M32,0)-EOMONTH(CN$11,0))/30)+1,0),0)</f>
        <v>0</v>
      </c>
      <c r="CO178" s="427">
        <f>-IF(AND(CO$11&gt;=EOMONTH('Construction Budget'!$K32,0),CO$11&lt;=EOMONTH('Construction Budget'!$M32,0)),('Construction Budget'!$G32+SUM($G178:CN178))/ROUND(((EOMONTH('Construction Budget'!$M32,0)-EOMONTH(CO$11,0))/30)+1,0),0)</f>
        <v>0</v>
      </c>
      <c r="CP178" s="427">
        <f>-IF(AND(CP$11&gt;=EOMONTH('Construction Budget'!$K32,0),CP$11&lt;=EOMONTH('Construction Budget'!$M32,0)),('Construction Budget'!$G32+SUM($G178:CO178))/ROUND(((EOMONTH('Construction Budget'!$M32,0)-EOMONTH(CP$11,0))/30)+1,0),0)</f>
        <v>0</v>
      </c>
      <c r="CQ178" s="427">
        <f>-IF(AND(CQ$11&gt;=EOMONTH('Construction Budget'!$K32,0),CQ$11&lt;=EOMONTH('Construction Budget'!$M32,0)),('Construction Budget'!$G32+SUM($G178:CP178))/ROUND(((EOMONTH('Construction Budget'!$M32,0)-EOMONTH(CQ$11,0))/30)+1,0),0)</f>
        <v>0</v>
      </c>
      <c r="CR178" s="427">
        <f>-IF(AND(CR$11&gt;=EOMONTH('Construction Budget'!$K32,0),CR$11&lt;=EOMONTH('Construction Budget'!$M32,0)),('Construction Budget'!$G32+SUM($G178:CQ178))/ROUND(((EOMONTH('Construction Budget'!$M32,0)-EOMONTH(CR$11,0))/30)+1,0),0)</f>
        <v>0</v>
      </c>
      <c r="CS178" s="427">
        <f>-IF(AND(CS$11&gt;=EOMONTH('Construction Budget'!$K32,0),CS$11&lt;=EOMONTH('Construction Budget'!$M32,0)),('Construction Budget'!$G32+SUM($G178:CR178))/ROUND(((EOMONTH('Construction Budget'!$M32,0)-EOMONTH(CS$11,0))/30)+1,0),0)</f>
        <v>0</v>
      </c>
      <c r="CT178" s="427">
        <f>-IF(AND(CT$11&gt;=EOMONTH('Construction Budget'!$K32,0),CT$11&lt;=EOMONTH('Construction Budget'!$M32,0)),('Construction Budget'!$G32+SUM($G178:CS178))/ROUND(((EOMONTH('Construction Budget'!$M32,0)-EOMONTH(CT$11,0))/30)+1,0),0)</f>
        <v>0</v>
      </c>
      <c r="CU178" s="427">
        <f>-IF(AND(CU$11&gt;=EOMONTH('Construction Budget'!$K32,0),CU$11&lt;=EOMONTH('Construction Budget'!$M32,0)),('Construction Budget'!$G32+SUM($G178:CT178))/ROUND(((EOMONTH('Construction Budget'!$M32,0)-EOMONTH(CU$11,0))/30)+1,0),0)</f>
        <v>0</v>
      </c>
      <c r="CV178" s="427">
        <f>-IF(AND(CV$11&gt;=EOMONTH('Construction Budget'!$K32,0),CV$11&lt;=EOMONTH('Construction Budget'!$M32,0)),('Construction Budget'!$G32+SUM($G178:CU178))/ROUND(((EOMONTH('Construction Budget'!$M32,0)-EOMONTH(CV$11,0))/30)+1,0),0)</f>
        <v>0</v>
      </c>
      <c r="CW178" s="427">
        <f>-IF(AND(CW$11&gt;=EOMONTH('Construction Budget'!$K32,0),CW$11&lt;=EOMONTH('Construction Budget'!$M32,0)),('Construction Budget'!$G32+SUM($G178:CV178))/ROUND(((EOMONTH('Construction Budget'!$M32,0)-EOMONTH(CW$11,0))/30)+1,0),0)</f>
        <v>0</v>
      </c>
      <c r="CX178" s="427">
        <f>-IF(AND(CX$11&gt;=EOMONTH('Construction Budget'!$K32,0),CX$11&lt;=EOMONTH('Construction Budget'!$M32,0)),('Construction Budget'!$G32+SUM($G178:CW178))/ROUND(((EOMONTH('Construction Budget'!$M32,0)-EOMONTH(CX$11,0))/30)+1,0),0)</f>
        <v>0</v>
      </c>
      <c r="CY178" s="427">
        <f>-IF(AND(CY$11&gt;=EOMONTH('Construction Budget'!$K32,0),CY$11&lt;=EOMONTH('Construction Budget'!$M32,0)),('Construction Budget'!$G32+SUM($G178:CX178))/ROUND(((EOMONTH('Construction Budget'!$M32,0)-EOMONTH(CY$11,0))/30)+1,0),0)</f>
        <v>0</v>
      </c>
      <c r="CZ178" s="427">
        <f>-IF(AND(CZ$11&gt;=EOMONTH('Construction Budget'!$K32,0),CZ$11&lt;=EOMONTH('Construction Budget'!$M32,0)),('Construction Budget'!$G32+SUM($G178:CY178))/ROUND(((EOMONTH('Construction Budget'!$M32,0)-EOMONTH(CZ$11,0))/30)+1,0),0)</f>
        <v>0</v>
      </c>
      <c r="DA178" s="427">
        <f>-IF(AND(DA$11&gt;=EOMONTH('Construction Budget'!$K32,0),DA$11&lt;=EOMONTH('Construction Budget'!$M32,0)),('Construction Budget'!$G32+SUM($G178:CZ178))/ROUND(((EOMONTH('Construction Budget'!$M32,0)-EOMONTH(DA$11,0))/30)+1,0),0)</f>
        <v>0</v>
      </c>
      <c r="DB178" s="427">
        <f>-IF(AND(DB$11&gt;=EOMONTH('Construction Budget'!$K32,0),DB$11&lt;=EOMONTH('Construction Budget'!$M32,0)),('Construction Budget'!$G32+SUM($G178:DA178))/ROUND(((EOMONTH('Construction Budget'!$M32,0)-EOMONTH(DB$11,0))/30)+1,0),0)</f>
        <v>0</v>
      </c>
      <c r="DC178" s="427">
        <f>-IF(AND(DC$11&gt;=EOMONTH('Construction Budget'!$K32,0),DC$11&lt;=EOMONTH('Construction Budget'!$M32,0)),('Construction Budget'!$G32+SUM($G178:DB178))/ROUND(((EOMONTH('Construction Budget'!$M32,0)-EOMONTH(DC$11,0))/30)+1,0),0)</f>
        <v>0</v>
      </c>
      <c r="DD178" s="427">
        <f>-IF(AND(DD$11&gt;=EOMONTH('Construction Budget'!$K32,0),DD$11&lt;=EOMONTH('Construction Budget'!$M32,0)),('Construction Budget'!$G32+SUM($G178:DC178))/ROUND(((EOMONTH('Construction Budget'!$M32,0)-EOMONTH(DD$11,0))/30)+1,0),0)</f>
        <v>0</v>
      </c>
      <c r="DE178" s="427">
        <f>-IF(AND(DE$11&gt;=EOMONTH('Construction Budget'!$K32,0),DE$11&lt;=EOMONTH('Construction Budget'!$M32,0)),('Construction Budget'!$G32+SUM($G178:DD178))/ROUND(((EOMONTH('Construction Budget'!$M32,0)-EOMONTH(DE$11,0))/30)+1,0),0)</f>
        <v>0</v>
      </c>
      <c r="DF178" s="427">
        <f>-IF(AND(DF$11&gt;=EOMONTH('Construction Budget'!$K32,0),DF$11&lt;=EOMONTH('Construction Budget'!$M32,0)),('Construction Budget'!$G32+SUM($G178:DE178))/ROUND(((EOMONTH('Construction Budget'!$M32,0)-EOMONTH(DF$11,0))/30)+1,0),0)</f>
        <v>0</v>
      </c>
      <c r="DG178" s="427">
        <f>-IF(AND(DG$11&gt;=EOMONTH('Construction Budget'!$K32,0),DG$11&lt;=EOMONTH('Construction Budget'!$M32,0)),('Construction Budget'!$G32+SUM($G178:DF178))/ROUND(((EOMONTH('Construction Budget'!$M32,0)-EOMONTH(DG$11,0))/30)+1,0),0)</f>
        <v>0</v>
      </c>
      <c r="DH178" s="427">
        <f>-IF(AND(DH$11&gt;=EOMONTH('Construction Budget'!$K32,0),DH$11&lt;=EOMONTH('Construction Budget'!$M32,0)),('Construction Budget'!$G32+SUM($G178:DG178))/ROUND(((EOMONTH('Construction Budget'!$M32,0)-EOMONTH(DH$11,0))/30)+1,0),0)</f>
        <v>0</v>
      </c>
      <c r="DI178" s="427">
        <f>-IF(AND(DI$11&gt;=EOMONTH('Construction Budget'!$K32,0),DI$11&lt;=EOMONTH('Construction Budget'!$M32,0)),('Construction Budget'!$G32+SUM($G178:DH178))/ROUND(((EOMONTH('Construction Budget'!$M32,0)-EOMONTH(DI$11,0))/30)+1,0),0)</f>
        <v>0</v>
      </c>
      <c r="DJ178" s="427">
        <f>-IF(AND(DJ$11&gt;=EOMONTH('Construction Budget'!$K32,0),DJ$11&lt;=EOMONTH('Construction Budget'!$M32,0)),('Construction Budget'!$G32+SUM($G178:DI178))/ROUND(((EOMONTH('Construction Budget'!$M32,0)-EOMONTH(DJ$11,0))/30)+1,0),0)</f>
        <v>0</v>
      </c>
      <c r="DK178" s="427">
        <f>-IF(AND(DK$11&gt;=EOMONTH('Construction Budget'!$K32,0),DK$11&lt;=EOMONTH('Construction Budget'!$M32,0)),('Construction Budget'!$G32+SUM($G178:DJ178))/ROUND(((EOMONTH('Construction Budget'!$M32,0)-EOMONTH(DK$11,0))/30)+1,0),0)</f>
        <v>0</v>
      </c>
      <c r="DL178" s="427">
        <f>-IF(AND(DL$11&gt;=EOMONTH('Construction Budget'!$K32,0),DL$11&lt;=EOMONTH('Construction Budget'!$M32,0)),('Construction Budget'!$G32+SUM($G178:DK178))/ROUND(((EOMONTH('Construction Budget'!$M32,0)-EOMONTH(DL$11,0))/30)+1,0),0)</f>
        <v>0</v>
      </c>
      <c r="DM178" s="427">
        <f>-IF(AND(DM$11&gt;=EOMONTH('Construction Budget'!$K32,0),DM$11&lt;=EOMONTH('Construction Budget'!$M32,0)),('Construction Budget'!$G32+SUM($G178:DL178))/ROUND(((EOMONTH('Construction Budget'!$M32,0)-EOMONTH(DM$11,0))/30)+1,0),0)</f>
        <v>0</v>
      </c>
      <c r="DN178" s="427">
        <f>-IF(AND(DN$11&gt;=EOMONTH('Construction Budget'!$K32,0),DN$11&lt;=EOMONTH('Construction Budget'!$M32,0)),('Construction Budget'!$G32+SUM($G178:DM178))/ROUND(((EOMONTH('Construction Budget'!$M32,0)-EOMONTH(DN$11,0))/30)+1,0),0)</f>
        <v>0</v>
      </c>
      <c r="DO178" s="427">
        <f>-IF(AND(DO$11&gt;=EOMONTH('Construction Budget'!$K32,0),DO$11&lt;=EOMONTH('Construction Budget'!$M32,0)),('Construction Budget'!$G32+SUM($G178:DN178))/ROUND(((EOMONTH('Construction Budget'!$M32,0)-EOMONTH(DO$11,0))/30)+1,0),0)</f>
        <v>0</v>
      </c>
      <c r="DP178" s="427">
        <f>-IF(AND(DP$11&gt;=EOMONTH('Construction Budget'!$K32,0),DP$11&lt;=EOMONTH('Construction Budget'!$M32,0)),('Construction Budget'!$G32+SUM($G178:DO178))/ROUND(((EOMONTH('Construction Budget'!$M32,0)-EOMONTH(DP$11,0))/30)+1,0),0)</f>
        <v>0</v>
      </c>
      <c r="DQ178" s="427">
        <f>-IF(AND(DQ$11&gt;=EOMONTH('Construction Budget'!$K32,0),DQ$11&lt;=EOMONTH('Construction Budget'!$M32,0)),('Construction Budget'!$G32+SUM($G178:DP178))/ROUND(((EOMONTH('Construction Budget'!$M32,0)-EOMONTH(DQ$11,0))/30)+1,0),0)</f>
        <v>0</v>
      </c>
      <c r="DR178" s="427">
        <f>-IF(AND(DR$11&gt;=EOMONTH('Construction Budget'!$K32,0),DR$11&lt;=EOMONTH('Construction Budget'!$M32,0)),('Construction Budget'!$G32+SUM($G178:DQ178))/ROUND(((EOMONTH('Construction Budget'!$M32,0)-EOMONTH(DR$11,0))/30)+1,0),0)</f>
        <v>0</v>
      </c>
      <c r="DS178" s="427">
        <f>-IF(AND(DS$11&gt;=EOMONTH('Construction Budget'!$K32,0),DS$11&lt;=EOMONTH('Construction Budget'!$M32,0)),('Construction Budget'!$G32+SUM($G178:DR178))/ROUND(((EOMONTH('Construction Budget'!$M32,0)-EOMONTH(DS$11,0))/30)+1,0),0)</f>
        <v>0</v>
      </c>
      <c r="DT178" s="427">
        <f>-IF(AND(DT$11&gt;=EOMONTH('Construction Budget'!$K32,0),DT$11&lt;=EOMONTH('Construction Budget'!$M32,0)),('Construction Budget'!$G32+SUM($G178:DS178))/ROUND(((EOMONTH('Construction Budget'!$M32,0)-EOMONTH(DT$11,0))/30)+1,0),0)</f>
        <v>0</v>
      </c>
      <c r="DU178" s="427">
        <f>-IF(AND(DU$11&gt;=EOMONTH('Construction Budget'!$K32,0),DU$11&lt;=EOMONTH('Construction Budget'!$M32,0)),('Construction Budget'!$G32+SUM($G178:DT178))/ROUND(((EOMONTH('Construction Budget'!$M32,0)-EOMONTH(DU$11,0))/30)+1,0),0)</f>
        <v>0</v>
      </c>
      <c r="DV178" s="427">
        <f>-IF(AND(DV$11&gt;=EOMONTH('Construction Budget'!$K32,0),DV$11&lt;=EOMONTH('Construction Budget'!$M32,0)),('Construction Budget'!$G32+SUM($G178:DU178))/ROUND(((EOMONTH('Construction Budget'!$M32,0)-EOMONTH(DV$11,0))/30)+1,0),0)</f>
        <v>0</v>
      </c>
      <c r="DW178" s="427">
        <f>-IF(AND(DW$11&gt;=EOMONTH('Construction Budget'!$K32,0),DW$11&lt;=EOMONTH('Construction Budget'!$M32,0)),('Construction Budget'!$G32+SUM($G178:DV178))/ROUND(((EOMONTH('Construction Budget'!$M32,0)-EOMONTH(DW$11,0))/30)+1,0),0)</f>
        <v>0</v>
      </c>
      <c r="DX178" s="427">
        <f>-IF(AND(DX$11&gt;=EOMONTH('Construction Budget'!$K32,0),DX$11&lt;=EOMONTH('Construction Budget'!$M32,0)),('Construction Budget'!$G32+SUM($G178:DW178))/ROUND(((EOMONTH('Construction Budget'!$M32,0)-EOMONTH(DX$11,0))/30)+1,0),0)</f>
        <v>0</v>
      </c>
      <c r="DY178" s="427">
        <f>-IF(AND(DY$11&gt;=EOMONTH('Construction Budget'!$K32,0),DY$11&lt;=EOMONTH('Construction Budget'!$M32,0)),('Construction Budget'!$G32+SUM($G178:DX178))/ROUND(((EOMONTH('Construction Budget'!$M32,0)-EOMONTH(DY$11,0))/30)+1,0),0)</f>
        <v>0</v>
      </c>
      <c r="DZ178" s="427">
        <f>-IF(AND(DZ$11&gt;=EOMONTH('Construction Budget'!$K32,0),DZ$11&lt;=EOMONTH('Construction Budget'!$M32,0)),('Construction Budget'!$G32+SUM($G178:DY178))/ROUND(((EOMONTH('Construction Budget'!$M32,0)-EOMONTH(DZ$11,0))/30)+1,0),0)</f>
        <v>0</v>
      </c>
      <c r="EA178" s="427">
        <f>-IF(AND(EA$11&gt;=EOMONTH('Construction Budget'!$K32,0),EA$11&lt;=EOMONTH('Construction Budget'!$M32,0)),('Construction Budget'!$G32+SUM($G178:DZ178))/ROUND(((EOMONTH('Construction Budget'!$M32,0)-EOMONTH(EA$11,0))/30)+1,0),0)</f>
        <v>0</v>
      </c>
      <c r="EB178" s="427">
        <f>-IF(AND(EB$11&gt;=EOMONTH('Construction Budget'!$K32,0),EB$11&lt;=EOMONTH('Construction Budget'!$M32,0)),('Construction Budget'!$G32+SUM($G178:EA178))/ROUND(((EOMONTH('Construction Budget'!$M32,0)-EOMONTH(EB$11,0))/30)+1,0),0)</f>
        <v>0</v>
      </c>
      <c r="EC178" s="427">
        <f>-IF(AND(EC$11&gt;=EOMONTH('Construction Budget'!$K32,0),EC$11&lt;=EOMONTH('Construction Budget'!$M32,0)),('Construction Budget'!$G32+SUM($G178:EB178))/ROUND(((EOMONTH('Construction Budget'!$M32,0)-EOMONTH(EC$11,0))/30)+1,0),0)</f>
        <v>0</v>
      </c>
      <c r="ED178" s="427">
        <f>-IF(AND(ED$11&gt;=EOMONTH('Construction Budget'!$K32,0),ED$11&lt;=EOMONTH('Construction Budget'!$M32,0)),('Construction Budget'!$G32+SUM($G178:EC178))/ROUND(((EOMONTH('Construction Budget'!$M32,0)-EOMONTH(ED$11,0))/30)+1,0),0)</f>
        <v>0</v>
      </c>
      <c r="EE178" s="427">
        <f>-IF(AND(EE$11&gt;=EOMONTH('Construction Budget'!$K32,0),EE$11&lt;=EOMONTH('Construction Budget'!$M32,0)),('Construction Budget'!$G32+SUM($G178:ED178))/ROUND(((EOMONTH('Construction Budget'!$M32,0)-EOMONTH(EE$11,0))/30)+1,0),0)</f>
        <v>0</v>
      </c>
      <c r="EF178" s="427">
        <f>-IF(AND(EF$11&gt;=EOMONTH('Construction Budget'!$K32,0),EF$11&lt;=EOMONTH('Construction Budget'!$M32,0)),('Construction Budget'!$G32+SUM($G178:EE178))/ROUND(((EOMONTH('Construction Budget'!$M32,0)-EOMONTH(EF$11,0))/30)+1,0),0)</f>
        <v>0</v>
      </c>
      <c r="EG178" s="427">
        <f>-IF(AND(EG$11&gt;=EOMONTH('Construction Budget'!$K32,0),EG$11&lt;=EOMONTH('Construction Budget'!$M32,0)),('Construction Budget'!$G32+SUM($G178:EF178))/ROUND(((EOMONTH('Construction Budget'!$M32,0)-EOMONTH(EG$11,0))/30)+1,0),0)</f>
        <v>0</v>
      </c>
      <c r="EH178" s="427">
        <f>-IF(AND(EH$11&gt;=EOMONTH('Construction Budget'!$K32,0),EH$11&lt;=EOMONTH('Construction Budget'!$M32,0)),('Construction Budget'!$G32+SUM($G178:EG178))/ROUND(((EOMONTH('Construction Budget'!$M32,0)-EOMONTH(EH$11,0))/30)+1,0),0)</f>
        <v>0</v>
      </c>
      <c r="EI178" s="427">
        <f>-IF(AND(EI$11&gt;=EOMONTH('Construction Budget'!$K32,0),EI$11&lt;=EOMONTH('Construction Budget'!$M32,0)),('Construction Budget'!$G32+SUM($G178:EH178))/ROUND(((EOMONTH('Construction Budget'!$M32,0)-EOMONTH(EI$11,0))/30)+1,0),0)</f>
        <v>0</v>
      </c>
      <c r="EJ178" s="427">
        <f>-IF(AND(EJ$11&gt;=EOMONTH('Construction Budget'!$K32,0),EJ$11&lt;=EOMONTH('Construction Budget'!$M32,0)),('Construction Budget'!$G32+SUM($G178:EI178))/ROUND(((EOMONTH('Construction Budget'!$M32,0)-EOMONTH(EJ$11,0))/30)+1,0),0)</f>
        <v>0</v>
      </c>
      <c r="EK178" s="427">
        <f>-IF(AND(EK$11&gt;=EOMONTH('Construction Budget'!$K32,0),EK$11&lt;=EOMONTH('Construction Budget'!$M32,0)),('Construction Budget'!$G32+SUM($G178:EJ178))/ROUND(((EOMONTH('Construction Budget'!$M32,0)-EOMONTH(EK$11,0))/30)+1,0),0)</f>
        <v>0</v>
      </c>
      <c r="EL178" s="427">
        <f>-IF(AND(EL$11&gt;=EOMONTH('Construction Budget'!$K32,0),EL$11&lt;=EOMONTH('Construction Budget'!$M32,0)),('Construction Budget'!$G32+SUM($G178:EK178))/ROUND(((EOMONTH('Construction Budget'!$M32,0)-EOMONTH(EL$11,0))/30)+1,0),0)</f>
        <v>0</v>
      </c>
      <c r="EM178" s="427">
        <f>-IF(AND(EM$11&gt;=EOMONTH('Construction Budget'!$K32,0),EM$11&lt;=EOMONTH('Construction Budget'!$M32,0)),('Construction Budget'!$G32+SUM($G178:EL178))/ROUND(((EOMONTH('Construction Budget'!$M32,0)-EOMONTH(EM$11,0))/30)+1,0),0)</f>
        <v>0</v>
      </c>
      <c r="EN178" s="427">
        <f>-IF(AND(EN$11&gt;=EOMONTH('Construction Budget'!$K32,0),EN$11&lt;=EOMONTH('Construction Budget'!$M32,0)),('Construction Budget'!$G32+SUM($G178:EM178))/ROUND(((EOMONTH('Construction Budget'!$M32,0)-EOMONTH(EN$11,0))/30)+1,0),0)</f>
        <v>0</v>
      </c>
      <c r="EO178" s="427">
        <f>-IF(AND(EO$11&gt;=EOMONTH('Construction Budget'!$K32,0),EO$11&lt;=EOMONTH('Construction Budget'!$M32,0)),('Construction Budget'!$G32+SUM($G178:EN178))/ROUND(((EOMONTH('Construction Budget'!$M32,0)-EOMONTH(EO$11,0))/30)+1,0),0)</f>
        <v>0</v>
      </c>
      <c r="EP178" s="427">
        <f>-IF(AND(EP$11&gt;=EOMONTH('Construction Budget'!$K32,0),EP$11&lt;=EOMONTH('Construction Budget'!$M32,0)),('Construction Budget'!$G32+SUM($G178:EO178))/ROUND(((EOMONTH('Construction Budget'!$M32,0)-EOMONTH(EP$11,0))/30)+1,0),0)</f>
        <v>0</v>
      </c>
      <c r="EQ178" s="427">
        <f>-IF(AND(EQ$11&gt;=EOMONTH('Construction Budget'!$K32,0),EQ$11&lt;=EOMONTH('Construction Budget'!$M32,0)),('Construction Budget'!$G32+SUM($G178:EP178))/ROUND(((EOMONTH('Construction Budget'!$M32,0)-EOMONTH(EQ$11,0))/30)+1,0),0)</f>
        <v>0</v>
      </c>
      <c r="ER178" s="427">
        <f>-IF(AND(ER$11&gt;=EOMONTH('Construction Budget'!$K32,0),ER$11&lt;=EOMONTH('Construction Budget'!$M32,0)),('Construction Budget'!$G32+SUM($G178:EQ178))/ROUND(((EOMONTH('Construction Budget'!$M32,0)-EOMONTH(ER$11,0))/30)+1,0),0)</f>
        <v>0</v>
      </c>
      <c r="ES178" s="427">
        <f>-IF(AND(ES$11&gt;=EOMONTH('Construction Budget'!$K32,0),ES$11&lt;=EOMONTH('Construction Budget'!$M32,0)),('Construction Budget'!$G32+SUM($G178:ER178))/ROUND(((EOMONTH('Construction Budget'!$M32,0)-EOMONTH(ES$11,0))/30)+1,0),0)</f>
        <v>0</v>
      </c>
      <c r="ET178" s="427">
        <f>-IF(AND(ET$11&gt;=EOMONTH('Construction Budget'!$K32,0),ET$11&lt;=EOMONTH('Construction Budget'!$M32,0)),('Construction Budget'!$G32+SUM($G178:ES178))/ROUND(((EOMONTH('Construction Budget'!$M32,0)-EOMONTH(ET$11,0))/30)+1,0),0)</f>
        <v>0</v>
      </c>
      <c r="EU178" s="427">
        <f>-IF(AND(EU$11&gt;=EOMONTH('Construction Budget'!$K32,0),EU$11&lt;=EOMONTH('Construction Budget'!$M32,0)),('Construction Budget'!$G32+SUM($G178:ET178))/ROUND(((EOMONTH('Construction Budget'!$M32,0)-EOMONTH(EU$11,0))/30)+1,0),0)</f>
        <v>0</v>
      </c>
      <c r="EV178" s="427">
        <f>-IF(AND(EV$11&gt;=EOMONTH('Construction Budget'!$K32,0),EV$11&lt;=EOMONTH('Construction Budget'!$M32,0)),('Construction Budget'!$G32+SUM($G178:EU178))/ROUND(((EOMONTH('Construction Budget'!$M32,0)-EOMONTH(EV$11,0))/30)+1,0),0)</f>
        <v>0</v>
      </c>
      <c r="EW178" s="427">
        <f>-IF(AND(EW$11&gt;=EOMONTH('Construction Budget'!$K32,0),EW$11&lt;=EOMONTH('Construction Budget'!$M32,0)),('Construction Budget'!$G32+SUM($G178:EV178))/ROUND(((EOMONTH('Construction Budget'!$M32,0)-EOMONTH(EW$11,0))/30)+1,0),0)</f>
        <v>0</v>
      </c>
      <c r="EX178" s="427">
        <f>-IF(AND(EX$11&gt;=EOMONTH('Construction Budget'!$K32,0),EX$11&lt;=EOMONTH('Construction Budget'!$M32,0)),('Construction Budget'!$G32+SUM($G178:EW178))/ROUND(((EOMONTH('Construction Budget'!$M32,0)-EOMONTH(EX$11,0))/30)+1,0),0)</f>
        <v>0</v>
      </c>
      <c r="EY178" s="427">
        <f>-IF(AND(EY$11&gt;=EOMONTH('Construction Budget'!$K32,0),EY$11&lt;=EOMONTH('Construction Budget'!$M32,0)),('Construction Budget'!$G32+SUM($G178:EX178))/ROUND(((EOMONTH('Construction Budget'!$M32,0)-EOMONTH(EY$11,0))/30)+1,0),0)</f>
        <v>0</v>
      </c>
      <c r="EZ178" s="427">
        <f>-IF(AND(EZ$11&gt;=EOMONTH('Construction Budget'!$K32,0),EZ$11&lt;=EOMONTH('Construction Budget'!$M32,0)),('Construction Budget'!$G32+SUM($G178:EY178))/ROUND(((EOMONTH('Construction Budget'!$M32,0)-EOMONTH(EZ$11,0))/30)+1,0),0)</f>
        <v>0</v>
      </c>
      <c r="FA178" s="427">
        <f>-IF(AND(FA$11&gt;=EOMONTH('Construction Budget'!$K32,0),FA$11&lt;=EOMONTH('Construction Budget'!$M32,0)),('Construction Budget'!$G32+SUM($G178:EZ178))/ROUND(((EOMONTH('Construction Budget'!$M32,0)-EOMONTH(FA$11,0))/30)+1,0),0)</f>
        <v>0</v>
      </c>
      <c r="FB178" s="427">
        <f>-IF(AND(FB$11&gt;=EOMONTH('Construction Budget'!$K32,0),FB$11&lt;=EOMONTH('Construction Budget'!$M32,0)),('Construction Budget'!$G32+SUM($G178:FA178))/ROUND(((EOMONTH('Construction Budget'!$M32,0)-EOMONTH(FB$11,0))/30)+1,0),0)</f>
        <v>0</v>
      </c>
      <c r="FC178" s="427">
        <f>-IF(AND(FC$11&gt;=EOMONTH('Construction Budget'!$K32,0),FC$11&lt;=EOMONTH('Construction Budget'!$M32,0)),('Construction Budget'!$G32+SUM($G178:FB178))/ROUND(((EOMONTH('Construction Budget'!$M32,0)-EOMONTH(FC$11,0))/30)+1,0),0)</f>
        <v>0</v>
      </c>
      <c r="FD178" s="427">
        <f>-IF(AND(FD$11&gt;=EOMONTH('Construction Budget'!$K32,0),FD$11&lt;=EOMONTH('Construction Budget'!$M32,0)),('Construction Budget'!$G32+SUM($G178:FC178))/ROUND(((EOMONTH('Construction Budget'!$M32,0)-EOMONTH(FD$11,0))/30)+1,0),0)</f>
        <v>0</v>
      </c>
      <c r="FE178" s="427">
        <f>-IF(AND(FE$11&gt;=EOMONTH('Construction Budget'!$K32,0),FE$11&lt;=EOMONTH('Construction Budget'!$M32,0)),('Construction Budget'!$G32+SUM($G178:FD178))/ROUND(((EOMONTH('Construction Budget'!$M32,0)-EOMONTH(FE$11,0))/30)+1,0),0)</f>
        <v>0</v>
      </c>
      <c r="FF178" s="427">
        <f>-IF(AND(FF$11&gt;=EOMONTH('Construction Budget'!$K32,0),FF$11&lt;=EOMONTH('Construction Budget'!$M32,0)),('Construction Budget'!$G32+SUM($G178:FE178))/ROUND(((EOMONTH('Construction Budget'!$M32,0)-EOMONTH(FF$11,0))/30)+1,0),0)</f>
        <v>0</v>
      </c>
      <c r="FG178" s="427">
        <f>-IF(AND(FG$11&gt;=EOMONTH('Construction Budget'!$K32,0),FG$11&lt;=EOMONTH('Construction Budget'!$M32,0)),('Construction Budget'!$G32+SUM($G178:FF178))/ROUND(((EOMONTH('Construction Budget'!$M32,0)-EOMONTH(FG$11,0))/30)+1,0),0)</f>
        <v>0</v>
      </c>
      <c r="FH178" s="427">
        <f>-IF(AND(FH$11&gt;=EOMONTH('Construction Budget'!$K32,0),FH$11&lt;=EOMONTH('Construction Budget'!$M32,0)),('Construction Budget'!$G32+SUM($G178:FG178))/ROUND(((EOMONTH('Construction Budget'!$M32,0)-EOMONTH(FH$11,0))/30)+1,0),0)</f>
        <v>0</v>
      </c>
      <c r="FI178" s="427">
        <f>-IF(AND(FI$11&gt;=EOMONTH('Construction Budget'!$K32,0),FI$11&lt;=EOMONTH('Construction Budget'!$M32,0)),('Construction Budget'!$G32+SUM($G178:FH178))/ROUND(((EOMONTH('Construction Budget'!$M32,0)-EOMONTH(FI$11,0))/30)+1,0),0)</f>
        <v>0</v>
      </c>
      <c r="FJ178" s="427">
        <f>-IF(AND(FJ$11&gt;=EOMONTH('Construction Budget'!$K32,0),FJ$11&lt;=EOMONTH('Construction Budget'!$M32,0)),('Construction Budget'!$G32+SUM($G178:FI178))/ROUND(((EOMONTH('Construction Budget'!$M32,0)-EOMONTH(FJ$11,0))/30)+1,0),0)</f>
        <v>0</v>
      </c>
      <c r="FK178" s="427">
        <f>-IF(AND(FK$11&gt;=EOMONTH('Construction Budget'!$K32,0),FK$11&lt;=EOMONTH('Construction Budget'!$M32,0)),('Construction Budget'!$G32+SUM($G178:FJ178))/ROUND(((EOMONTH('Construction Budget'!$M32,0)-EOMONTH(FK$11,0))/30)+1,0),0)</f>
        <v>0</v>
      </c>
      <c r="FL178" s="427">
        <f>-IF(AND(FL$11&gt;=EOMONTH('Construction Budget'!$K32,0),FL$11&lt;=EOMONTH('Construction Budget'!$M32,0)),('Construction Budget'!$G32+SUM($G178:FK178))/ROUND(((EOMONTH('Construction Budget'!$M32,0)-EOMONTH(FL$11,0))/30)+1,0),0)</f>
        <v>0</v>
      </c>
      <c r="FM178" s="427">
        <f>-IF(AND(FM$11&gt;=EOMONTH('Construction Budget'!$K32,0),FM$11&lt;=EOMONTH('Construction Budget'!$M32,0)),('Construction Budget'!$G32+SUM($G178:FL178))/ROUND(((EOMONTH('Construction Budget'!$M32,0)-EOMONTH(FM$11,0))/30)+1,0),0)</f>
        <v>0</v>
      </c>
      <c r="FN178" s="427">
        <f>-IF(AND(FN$11&gt;=EOMONTH('Construction Budget'!$K32,0),FN$11&lt;=EOMONTH('Construction Budget'!$M32,0)),('Construction Budget'!$G32+SUM($G178:FM178))/ROUND(((EOMONTH('Construction Budget'!$M32,0)-EOMONTH(FN$11,0))/30)+1,0),0)</f>
        <v>0</v>
      </c>
      <c r="FO178" s="427">
        <f>-IF(AND(FO$11&gt;=EOMONTH('Construction Budget'!$K32,0),FO$11&lt;=EOMONTH('Construction Budget'!$M32,0)),('Construction Budget'!$G32+SUM($G178:FN178))/ROUND(((EOMONTH('Construction Budget'!$M32,0)-EOMONTH(FO$11,0))/30)+1,0),0)</f>
        <v>0</v>
      </c>
      <c r="FP178" s="427">
        <f>-IF(AND(FP$11&gt;=EOMONTH('Construction Budget'!$K32,0),FP$11&lt;=EOMONTH('Construction Budget'!$M32,0)),('Construction Budget'!$G32+SUM($G178:FO178))/ROUND(((EOMONTH('Construction Budget'!$M32,0)-EOMONTH(FP$11,0))/30)+1,0),0)</f>
        <v>0</v>
      </c>
      <c r="FQ178" s="427">
        <f>-IF(AND(FQ$11&gt;=EOMONTH('Construction Budget'!$K32,0),FQ$11&lt;=EOMONTH('Construction Budget'!$M32,0)),('Construction Budget'!$G32+SUM($G178:FP178))/ROUND(((EOMONTH('Construction Budget'!$M32,0)-EOMONTH(FQ$11,0))/30)+1,0),0)</f>
        <v>0</v>
      </c>
      <c r="FR178" s="427">
        <f>-IF(AND(FR$11&gt;=EOMONTH('Construction Budget'!$K32,0),FR$11&lt;=EOMONTH('Construction Budget'!$M32,0)),('Construction Budget'!$G32+SUM($G178:FQ178))/ROUND(((EOMONTH('Construction Budget'!$M32,0)-EOMONTH(FR$11,0))/30)+1,0),0)</f>
        <v>0</v>
      </c>
      <c r="FS178" s="427">
        <f>-IF(AND(FS$11&gt;=EOMONTH('Construction Budget'!$K32,0),FS$11&lt;=EOMONTH('Construction Budget'!$M32,0)),('Construction Budget'!$G32+SUM($G178:FR178))/ROUND(((EOMONTH('Construction Budget'!$M32,0)-EOMONTH(FS$11,0))/30)+1,0),0)</f>
        <v>0</v>
      </c>
      <c r="FT178" s="427">
        <f>-IF(AND(FT$11&gt;=EOMONTH('Construction Budget'!$K32,0),FT$11&lt;=EOMONTH('Construction Budget'!$M32,0)),('Construction Budget'!$G32+SUM($G178:FS178))/ROUND(((EOMONTH('Construction Budget'!$M32,0)-EOMONTH(FT$11,0))/30)+1,0),0)</f>
        <v>0</v>
      </c>
      <c r="FU178" s="43"/>
      <c r="FV178" s="34"/>
      <c r="FW178" s="34"/>
      <c r="FX178" s="34"/>
      <c r="FY178" s="34"/>
      <c r="FZ178" s="34"/>
    </row>
    <row r="179" spans="1:182" s="89" customFormat="1" ht="13.5" hidden="1" outlineLevel="1" x14ac:dyDescent="0.25">
      <c r="A179" s="498"/>
      <c r="B179" s="128" t="str">
        <f>'Construction Budget'!B33</f>
        <v>Architecture, Engineering &amp; Survey</v>
      </c>
      <c r="C179" s="34"/>
      <c r="D179" s="34"/>
      <c r="E179" s="34"/>
      <c r="F179" s="434">
        <f t="shared" si="232"/>
        <v>-830000</v>
      </c>
      <c r="G179" s="34"/>
      <c r="H179" s="427">
        <f>-IF(AND(H$11&gt;=EOMONTH('Construction Budget'!$K33,0),H$11&lt;=EOMONTH('Construction Budget'!$M33,0)),('Construction Budget'!$G33+SUM($G179:G179))/ROUND(((EOMONTH('Construction Budget'!$M33,0)-EOMONTH(H$11,0))/30)+1,0),0)</f>
        <v>0</v>
      </c>
      <c r="I179" s="427">
        <f>-IF(AND(I$11&gt;=EOMONTH('Construction Budget'!$K33,0),I$11&lt;=EOMONTH('Construction Budget'!$M33,0)),('Construction Budget'!$G33+SUM($G179:H179))/ROUND(((EOMONTH('Construction Budget'!$M33,0)-EOMONTH(I$11,0))/30)+1,0),0)</f>
        <v>0</v>
      </c>
      <c r="J179" s="427">
        <f>-IF(AND(J$11&gt;=EOMONTH('Construction Budget'!$K33,0),J$11&lt;=EOMONTH('Construction Budget'!$M33,0)),('Construction Budget'!$G33+SUM($G179:I179))/ROUND(((EOMONTH('Construction Budget'!$M33,0)-EOMONTH(J$11,0))/30)+1,0),0)</f>
        <v>-92222.222222222219</v>
      </c>
      <c r="K179" s="427">
        <f>-IF(AND(K$11&gt;=EOMONTH('Construction Budget'!$K33,0),K$11&lt;=EOMONTH('Construction Budget'!$M33,0)),('Construction Budget'!$G33+SUM($G179:J179))/ROUND(((EOMONTH('Construction Budget'!$M33,0)-EOMONTH(K$11,0))/30)+1,0),0)</f>
        <v>-92222.222222222219</v>
      </c>
      <c r="L179" s="427">
        <f>-IF(AND(L$11&gt;=EOMONTH('Construction Budget'!$K33,0),L$11&lt;=EOMONTH('Construction Budget'!$M33,0)),('Construction Budget'!$G33+SUM($G179:K179))/ROUND(((EOMONTH('Construction Budget'!$M33,0)-EOMONTH(L$11,0))/30)+1,0),0)</f>
        <v>-92222.222222222219</v>
      </c>
      <c r="M179" s="427">
        <f>-IF(AND(M$11&gt;=EOMONTH('Construction Budget'!$K33,0),M$11&lt;=EOMONTH('Construction Budget'!$M33,0)),('Construction Budget'!$G33+SUM($G179:L179))/ROUND(((EOMONTH('Construction Budget'!$M33,0)-EOMONTH(M$11,0))/30)+1,0),0)</f>
        <v>-92222.222222222234</v>
      </c>
      <c r="N179" s="427">
        <f>-IF(AND(N$11&gt;=EOMONTH('Construction Budget'!$K33,0),N$11&lt;=EOMONTH('Construction Budget'!$M33,0)),('Construction Budget'!$G33+SUM($G179:M179))/ROUND(((EOMONTH('Construction Budget'!$M33,0)-EOMONTH(N$11,0))/30)+1,0),0)</f>
        <v>-92222.222222222219</v>
      </c>
      <c r="O179" s="427">
        <f>-IF(AND(O$11&gt;=EOMONTH('Construction Budget'!$K33,0),O$11&lt;=EOMONTH('Construction Budget'!$M33,0)),('Construction Budget'!$G33+SUM($G179:N179))/ROUND(((EOMONTH('Construction Budget'!$M33,0)-EOMONTH(O$11,0))/30)+1,0),0)</f>
        <v>-92222.222222222219</v>
      </c>
      <c r="P179" s="427">
        <f>-IF(AND(P$11&gt;=EOMONTH('Construction Budget'!$K33,0),P$11&lt;=EOMONTH('Construction Budget'!$M33,0)),('Construction Budget'!$G33+SUM($G179:O179))/ROUND(((EOMONTH('Construction Budget'!$M33,0)-EOMONTH(P$11,0))/30)+1,0),0)</f>
        <v>-92222.222222222204</v>
      </c>
      <c r="Q179" s="427">
        <f>-IF(AND(Q$11&gt;=EOMONTH('Construction Budget'!$K33,0),Q$11&lt;=EOMONTH('Construction Budget'!$M33,0)),('Construction Budget'!$G33+SUM($G179:P179))/ROUND(((EOMONTH('Construction Budget'!$M33,0)-EOMONTH(Q$11,0))/30)+1,0),0)</f>
        <v>-92222.22222222219</v>
      </c>
      <c r="R179" s="427">
        <f>-IF(AND(R$11&gt;=EOMONTH('Construction Budget'!$K33,0),R$11&lt;=EOMONTH('Construction Budget'!$M33,0)),('Construction Budget'!$G33+SUM($G179:Q179))/ROUND(((EOMONTH('Construction Budget'!$M33,0)-EOMONTH(R$11,0))/30)+1,0),0)</f>
        <v>-92222.222222222248</v>
      </c>
      <c r="S179" s="427">
        <f>-IF(AND(S$11&gt;=EOMONTH('Construction Budget'!$K33,0),S$11&lt;=EOMONTH('Construction Budget'!$M33,0)),('Construction Budget'!$G33+SUM($G179:R179))/ROUND(((EOMONTH('Construction Budget'!$M33,0)-EOMONTH(S$11,0))/30)+1,0),0)</f>
        <v>0</v>
      </c>
      <c r="T179" s="427">
        <f>-IF(AND(T$11&gt;=EOMONTH('Construction Budget'!$K33,0),T$11&lt;=EOMONTH('Construction Budget'!$M33,0)),('Construction Budget'!$G33+SUM($G179:S179))/ROUND(((EOMONTH('Construction Budget'!$M33,0)-EOMONTH(T$11,0))/30)+1,0),0)</f>
        <v>0</v>
      </c>
      <c r="U179" s="427">
        <f>-IF(AND(U$11&gt;=EOMONTH('Construction Budget'!$K33,0),U$11&lt;=EOMONTH('Construction Budget'!$M33,0)),('Construction Budget'!$G33+SUM($G179:T179))/ROUND(((EOMONTH('Construction Budget'!$M33,0)-EOMONTH(U$11,0))/30)+1,0),0)</f>
        <v>0</v>
      </c>
      <c r="V179" s="427">
        <f>-IF(AND(V$11&gt;=EOMONTH('Construction Budget'!$K33,0),V$11&lt;=EOMONTH('Construction Budget'!$M33,0)),('Construction Budget'!$G33+SUM($G179:U179))/ROUND(((EOMONTH('Construction Budget'!$M33,0)-EOMONTH(V$11,0))/30)+1,0),0)</f>
        <v>0</v>
      </c>
      <c r="W179" s="427">
        <f>-IF(AND(W$11&gt;=EOMONTH('Construction Budget'!$K33,0),W$11&lt;=EOMONTH('Construction Budget'!$M33,0)),('Construction Budget'!$G33+SUM($G179:V179))/ROUND(((EOMONTH('Construction Budget'!$M33,0)-EOMONTH(W$11,0))/30)+1,0),0)</f>
        <v>0</v>
      </c>
      <c r="X179" s="427">
        <f>-IF(AND(X$11&gt;=EOMONTH('Construction Budget'!$K33,0),X$11&lt;=EOMONTH('Construction Budget'!$M33,0)),('Construction Budget'!$G33+SUM($G179:W179))/ROUND(((EOMONTH('Construction Budget'!$M33,0)-EOMONTH(X$11,0))/30)+1,0),0)</f>
        <v>0</v>
      </c>
      <c r="Y179" s="427">
        <f>-IF(AND(Y$11&gt;=EOMONTH('Construction Budget'!$K33,0),Y$11&lt;=EOMONTH('Construction Budget'!$M33,0)),('Construction Budget'!$G33+SUM($G179:X179))/ROUND(((EOMONTH('Construction Budget'!$M33,0)-EOMONTH(Y$11,0))/30)+1,0),0)</f>
        <v>0</v>
      </c>
      <c r="Z179" s="427">
        <f>-IF(AND(Z$11&gt;=EOMONTH('Construction Budget'!$K33,0),Z$11&lt;=EOMONTH('Construction Budget'!$M33,0)),('Construction Budget'!$G33+SUM($G179:Y179))/ROUND(((EOMONTH('Construction Budget'!$M33,0)-EOMONTH(Z$11,0))/30)+1,0),0)</f>
        <v>0</v>
      </c>
      <c r="AA179" s="427">
        <f>-IF(AND(AA$11&gt;=EOMONTH('Construction Budget'!$K33,0),AA$11&lt;=EOMONTH('Construction Budget'!$M33,0)),('Construction Budget'!$G33+SUM($G179:Z179))/ROUND(((EOMONTH('Construction Budget'!$M33,0)-EOMONTH(AA$11,0))/30)+1,0),0)</f>
        <v>0</v>
      </c>
      <c r="AB179" s="427">
        <f>-IF(AND(AB$11&gt;=EOMONTH('Construction Budget'!$K33,0),AB$11&lt;=EOMONTH('Construction Budget'!$M33,0)),('Construction Budget'!$G33+SUM($G179:AA179))/ROUND(((EOMONTH('Construction Budget'!$M33,0)-EOMONTH(AB$11,0))/30)+1,0),0)</f>
        <v>0</v>
      </c>
      <c r="AC179" s="427">
        <f>-IF(AND(AC$11&gt;=EOMONTH('Construction Budget'!$K33,0),AC$11&lt;=EOMONTH('Construction Budget'!$M33,0)),('Construction Budget'!$G33+SUM($G179:AB179))/ROUND(((EOMONTH('Construction Budget'!$M33,0)-EOMONTH(AC$11,0))/30)+1,0),0)</f>
        <v>0</v>
      </c>
      <c r="AD179" s="427">
        <f>-IF(AND(AD$11&gt;=EOMONTH('Construction Budget'!$K33,0),AD$11&lt;=EOMONTH('Construction Budget'!$M33,0)),('Construction Budget'!$G33+SUM($G179:AC179))/ROUND(((EOMONTH('Construction Budget'!$M33,0)-EOMONTH(AD$11,0))/30)+1,0),0)</f>
        <v>0</v>
      </c>
      <c r="AE179" s="427">
        <f>-IF(AND(AE$11&gt;=EOMONTH('Construction Budget'!$K33,0),AE$11&lt;=EOMONTH('Construction Budget'!$M33,0)),('Construction Budget'!$G33+SUM($G179:AD179))/ROUND(((EOMONTH('Construction Budget'!$M33,0)-EOMONTH(AE$11,0))/30)+1,0),0)</f>
        <v>0</v>
      </c>
      <c r="AF179" s="427">
        <f>-IF(AND(AF$11&gt;=EOMONTH('Construction Budget'!$K33,0),AF$11&lt;=EOMONTH('Construction Budget'!$M33,0)),('Construction Budget'!$G33+SUM($G179:AE179))/ROUND(((EOMONTH('Construction Budget'!$M33,0)-EOMONTH(AF$11,0))/30)+1,0),0)</f>
        <v>0</v>
      </c>
      <c r="AG179" s="427">
        <f>-IF(AND(AG$11&gt;=EOMONTH('Construction Budget'!$K33,0),AG$11&lt;=EOMONTH('Construction Budget'!$M33,0)),('Construction Budget'!$G33+SUM($G179:AF179))/ROUND(((EOMONTH('Construction Budget'!$M33,0)-EOMONTH(AG$11,0))/30)+1,0),0)</f>
        <v>0</v>
      </c>
      <c r="AH179" s="427">
        <f>-IF(AND(AH$11&gt;=EOMONTH('Construction Budget'!$K33,0),AH$11&lt;=EOMONTH('Construction Budget'!$M33,0)),('Construction Budget'!$G33+SUM($G179:AG179))/ROUND(((EOMONTH('Construction Budget'!$M33,0)-EOMONTH(AH$11,0))/30)+1,0),0)</f>
        <v>0</v>
      </c>
      <c r="AI179" s="427">
        <f>-IF(AND(AI$11&gt;=EOMONTH('Construction Budget'!$K33,0),AI$11&lt;=EOMONTH('Construction Budget'!$M33,0)),('Construction Budget'!$G33+SUM($G179:AH179))/ROUND(((EOMONTH('Construction Budget'!$M33,0)-EOMONTH(AI$11,0))/30)+1,0),0)</f>
        <v>0</v>
      </c>
      <c r="AJ179" s="427">
        <f>-IF(AND(AJ$11&gt;=EOMONTH('Construction Budget'!$K33,0),AJ$11&lt;=EOMONTH('Construction Budget'!$M33,0)),('Construction Budget'!$G33+SUM($G179:AI179))/ROUND(((EOMONTH('Construction Budget'!$M33,0)-EOMONTH(AJ$11,0))/30)+1,0),0)</f>
        <v>0</v>
      </c>
      <c r="AK179" s="427">
        <f>-IF(AND(AK$11&gt;=EOMONTH('Construction Budget'!$K33,0),AK$11&lt;=EOMONTH('Construction Budget'!$M33,0)),('Construction Budget'!$G33+SUM($G179:AJ179))/ROUND(((EOMONTH('Construction Budget'!$M33,0)-EOMONTH(AK$11,0))/30)+1,0),0)</f>
        <v>0</v>
      </c>
      <c r="AL179" s="427">
        <f>-IF(AND(AL$11&gt;=EOMONTH('Construction Budget'!$K33,0),AL$11&lt;=EOMONTH('Construction Budget'!$M33,0)),('Construction Budget'!$G33+SUM($G179:AK179))/ROUND(((EOMONTH('Construction Budget'!$M33,0)-EOMONTH(AL$11,0))/30)+1,0),0)</f>
        <v>0</v>
      </c>
      <c r="AM179" s="427">
        <f>-IF(AND(AM$11&gt;=EOMONTH('Construction Budget'!$K33,0),AM$11&lt;=EOMONTH('Construction Budget'!$M33,0)),('Construction Budget'!$G33+SUM($G179:AL179))/ROUND(((EOMONTH('Construction Budget'!$M33,0)-EOMONTH(AM$11,0))/30)+1,0),0)</f>
        <v>0</v>
      </c>
      <c r="AN179" s="427">
        <f>-IF(AND(AN$11&gt;=EOMONTH('Construction Budget'!$K33,0),AN$11&lt;=EOMONTH('Construction Budget'!$M33,0)),('Construction Budget'!$G33+SUM($G179:AM179))/ROUND(((EOMONTH('Construction Budget'!$M33,0)-EOMONTH(AN$11,0))/30)+1,0),0)</f>
        <v>0</v>
      </c>
      <c r="AO179" s="427">
        <f>-IF(AND(AO$11&gt;=EOMONTH('Construction Budget'!$K33,0),AO$11&lt;=EOMONTH('Construction Budget'!$M33,0)),('Construction Budget'!$G33+SUM($G179:AN179))/ROUND(((EOMONTH('Construction Budget'!$M33,0)-EOMONTH(AO$11,0))/30)+1,0),0)</f>
        <v>0</v>
      </c>
      <c r="AP179" s="427">
        <f>-IF(AND(AP$11&gt;=EOMONTH('Construction Budget'!$K33,0),AP$11&lt;=EOMONTH('Construction Budget'!$M33,0)),('Construction Budget'!$G33+SUM($G179:AO179))/ROUND(((EOMONTH('Construction Budget'!$M33,0)-EOMONTH(AP$11,0))/30)+1,0),0)</f>
        <v>0</v>
      </c>
      <c r="AQ179" s="427">
        <f>-IF(AND(AQ$11&gt;=EOMONTH('Construction Budget'!$K33,0),AQ$11&lt;=EOMONTH('Construction Budget'!$M33,0)),('Construction Budget'!$G33+SUM($G179:AP179))/ROUND(((EOMONTH('Construction Budget'!$M33,0)-EOMONTH(AQ$11,0))/30)+1,0),0)</f>
        <v>0</v>
      </c>
      <c r="AR179" s="427">
        <f>-IF(AND(AR$11&gt;=EOMONTH('Construction Budget'!$K33,0),AR$11&lt;=EOMONTH('Construction Budget'!$M33,0)),('Construction Budget'!$G33+SUM($G179:AQ179))/ROUND(((EOMONTH('Construction Budget'!$M33,0)-EOMONTH(AR$11,0))/30)+1,0),0)</f>
        <v>0</v>
      </c>
      <c r="AS179" s="427">
        <f>-IF(AND(AS$11&gt;=EOMONTH('Construction Budget'!$K33,0),AS$11&lt;=EOMONTH('Construction Budget'!$M33,0)),('Construction Budget'!$G33+SUM($G179:AR179))/ROUND(((EOMONTH('Construction Budget'!$M33,0)-EOMONTH(AS$11,0))/30)+1,0),0)</f>
        <v>0</v>
      </c>
      <c r="AT179" s="427">
        <f>-IF(AND(AT$11&gt;=EOMONTH('Construction Budget'!$K33,0),AT$11&lt;=EOMONTH('Construction Budget'!$M33,0)),('Construction Budget'!$G33+SUM($G179:AS179))/ROUND(((EOMONTH('Construction Budget'!$M33,0)-EOMONTH(AT$11,0))/30)+1,0),0)</f>
        <v>0</v>
      </c>
      <c r="AU179" s="427">
        <f>-IF(AND(AU$11&gt;=EOMONTH('Construction Budget'!$K33,0),AU$11&lt;=EOMONTH('Construction Budget'!$M33,0)),('Construction Budget'!$G33+SUM($G179:AT179))/ROUND(((EOMONTH('Construction Budget'!$M33,0)-EOMONTH(AU$11,0))/30)+1,0),0)</f>
        <v>0</v>
      </c>
      <c r="AV179" s="427">
        <f>-IF(AND(AV$11&gt;=EOMONTH('Construction Budget'!$K33,0),AV$11&lt;=EOMONTH('Construction Budget'!$M33,0)),('Construction Budget'!$G33+SUM($G179:AU179))/ROUND(((EOMONTH('Construction Budget'!$M33,0)-EOMONTH(AV$11,0))/30)+1,0),0)</f>
        <v>0</v>
      </c>
      <c r="AW179" s="427">
        <f>-IF(AND(AW$11&gt;=EOMONTH('Construction Budget'!$K33,0),AW$11&lt;=EOMONTH('Construction Budget'!$M33,0)),('Construction Budget'!$G33+SUM($G179:AV179))/ROUND(((EOMONTH('Construction Budget'!$M33,0)-EOMONTH(AW$11,0))/30)+1,0),0)</f>
        <v>0</v>
      </c>
      <c r="AX179" s="427">
        <f>-IF(AND(AX$11&gt;=EOMONTH('Construction Budget'!$K33,0),AX$11&lt;=EOMONTH('Construction Budget'!$M33,0)),('Construction Budget'!$G33+SUM($G179:AW179))/ROUND(((EOMONTH('Construction Budget'!$M33,0)-EOMONTH(AX$11,0))/30)+1,0),0)</f>
        <v>0</v>
      </c>
      <c r="AY179" s="427">
        <f>-IF(AND(AY$11&gt;=EOMONTH('Construction Budget'!$K33,0),AY$11&lt;=EOMONTH('Construction Budget'!$M33,0)),('Construction Budget'!$G33+SUM($G179:AX179))/ROUND(((EOMONTH('Construction Budget'!$M33,0)-EOMONTH(AY$11,0))/30)+1,0),0)</f>
        <v>0</v>
      </c>
      <c r="AZ179" s="427">
        <f>-IF(AND(AZ$11&gt;=EOMONTH('Construction Budget'!$K33,0),AZ$11&lt;=EOMONTH('Construction Budget'!$M33,0)),('Construction Budget'!$G33+SUM($G179:AY179))/ROUND(((EOMONTH('Construction Budget'!$M33,0)-EOMONTH(AZ$11,0))/30)+1,0),0)</f>
        <v>0</v>
      </c>
      <c r="BA179" s="427">
        <f>-IF(AND(BA$11&gt;=EOMONTH('Construction Budget'!$K33,0),BA$11&lt;=EOMONTH('Construction Budget'!$M33,0)),('Construction Budget'!$G33+SUM($G179:AZ179))/ROUND(((EOMONTH('Construction Budget'!$M33,0)-EOMONTH(BA$11,0))/30)+1,0),0)</f>
        <v>0</v>
      </c>
      <c r="BB179" s="427">
        <f>-IF(AND(BB$11&gt;=EOMONTH('Construction Budget'!$K33,0),BB$11&lt;=EOMONTH('Construction Budget'!$M33,0)),('Construction Budget'!$G33+SUM($G179:BA179))/ROUND(((EOMONTH('Construction Budget'!$M33,0)-EOMONTH(BB$11,0))/30)+1,0),0)</f>
        <v>0</v>
      </c>
      <c r="BC179" s="427">
        <f>-IF(AND(BC$11&gt;=EOMONTH('Construction Budget'!$K33,0),BC$11&lt;=EOMONTH('Construction Budget'!$M33,0)),('Construction Budget'!$G33+SUM($G179:BB179))/ROUND(((EOMONTH('Construction Budget'!$M33,0)-EOMONTH(BC$11,0))/30)+1,0),0)</f>
        <v>0</v>
      </c>
      <c r="BD179" s="427">
        <f>-IF(AND(BD$11&gt;=EOMONTH('Construction Budget'!$K33,0),BD$11&lt;=EOMONTH('Construction Budget'!$M33,0)),('Construction Budget'!$G33+SUM($G179:BC179))/ROUND(((EOMONTH('Construction Budget'!$M33,0)-EOMONTH(BD$11,0))/30)+1,0),0)</f>
        <v>0</v>
      </c>
      <c r="BE179" s="427">
        <f>-IF(AND(BE$11&gt;=EOMONTH('Construction Budget'!$K33,0),BE$11&lt;=EOMONTH('Construction Budget'!$M33,0)),('Construction Budget'!$G33+SUM($G179:BD179))/ROUND(((EOMONTH('Construction Budget'!$M33,0)-EOMONTH(BE$11,0))/30)+1,0),0)</f>
        <v>0</v>
      </c>
      <c r="BF179" s="427">
        <f>-IF(AND(BF$11&gt;=EOMONTH('Construction Budget'!$K33,0),BF$11&lt;=EOMONTH('Construction Budget'!$M33,0)),('Construction Budget'!$G33+SUM($G179:BE179))/ROUND(((EOMONTH('Construction Budget'!$M33,0)-EOMONTH(BF$11,0))/30)+1,0),0)</f>
        <v>0</v>
      </c>
      <c r="BG179" s="427">
        <f>-IF(AND(BG$11&gt;=EOMONTH('Construction Budget'!$K33,0),BG$11&lt;=EOMONTH('Construction Budget'!$M33,0)),('Construction Budget'!$G33+SUM($G179:BF179))/ROUND(((EOMONTH('Construction Budget'!$M33,0)-EOMONTH(BG$11,0))/30)+1,0),0)</f>
        <v>0</v>
      </c>
      <c r="BH179" s="427">
        <f>-IF(AND(BH$11&gt;=EOMONTH('Construction Budget'!$K33,0),BH$11&lt;=EOMONTH('Construction Budget'!$M33,0)),('Construction Budget'!$G33+SUM($G179:BG179))/ROUND(((EOMONTH('Construction Budget'!$M33,0)-EOMONTH(BH$11,0))/30)+1,0),0)</f>
        <v>0</v>
      </c>
      <c r="BI179" s="427">
        <f>-IF(AND(BI$11&gt;=EOMONTH('Construction Budget'!$K33,0),BI$11&lt;=EOMONTH('Construction Budget'!$M33,0)),('Construction Budget'!$G33+SUM($G179:BH179))/ROUND(((EOMONTH('Construction Budget'!$M33,0)-EOMONTH(BI$11,0))/30)+1,0),0)</f>
        <v>0</v>
      </c>
      <c r="BJ179" s="427">
        <f>-IF(AND(BJ$11&gt;=EOMONTH('Construction Budget'!$K33,0),BJ$11&lt;=EOMONTH('Construction Budget'!$M33,0)),('Construction Budget'!$G33+SUM($G179:BI179))/ROUND(((EOMONTH('Construction Budget'!$M33,0)-EOMONTH(BJ$11,0))/30)+1,0),0)</f>
        <v>0</v>
      </c>
      <c r="BK179" s="427">
        <f>-IF(AND(BK$11&gt;=EOMONTH('Construction Budget'!$K33,0),BK$11&lt;=EOMONTH('Construction Budget'!$M33,0)),('Construction Budget'!$G33+SUM($G179:BJ179))/ROUND(((EOMONTH('Construction Budget'!$M33,0)-EOMONTH(BK$11,0))/30)+1,0),0)</f>
        <v>0</v>
      </c>
      <c r="BL179" s="427">
        <f>-IF(AND(BL$11&gt;=EOMONTH('Construction Budget'!$K33,0),BL$11&lt;=EOMONTH('Construction Budget'!$M33,0)),('Construction Budget'!$G33+SUM($G179:BK179))/ROUND(((EOMONTH('Construction Budget'!$M33,0)-EOMONTH(BL$11,0))/30)+1,0),0)</f>
        <v>0</v>
      </c>
      <c r="BM179" s="427">
        <f>-IF(AND(BM$11&gt;=EOMONTH('Construction Budget'!$K33,0),BM$11&lt;=EOMONTH('Construction Budget'!$M33,0)),('Construction Budget'!$G33+SUM($G179:BL179))/ROUND(((EOMONTH('Construction Budget'!$M33,0)-EOMONTH(BM$11,0))/30)+1,0),0)</f>
        <v>0</v>
      </c>
      <c r="BN179" s="427">
        <f>-IF(AND(BN$11&gt;=EOMONTH('Construction Budget'!$K33,0),BN$11&lt;=EOMONTH('Construction Budget'!$M33,0)),('Construction Budget'!$G33+SUM($G179:BM179))/ROUND(((EOMONTH('Construction Budget'!$M33,0)-EOMONTH(BN$11,0))/30)+1,0),0)</f>
        <v>0</v>
      </c>
      <c r="BO179" s="427">
        <f>-IF(AND(BO$11&gt;=EOMONTH('Construction Budget'!$K33,0),BO$11&lt;=EOMONTH('Construction Budget'!$M33,0)),('Construction Budget'!$G33+SUM($G179:BN179))/ROUND(((EOMONTH('Construction Budget'!$M33,0)-EOMONTH(BO$11,0))/30)+1,0),0)</f>
        <v>0</v>
      </c>
      <c r="BP179" s="427">
        <f>-IF(AND(BP$11&gt;=EOMONTH('Construction Budget'!$K33,0),BP$11&lt;=EOMONTH('Construction Budget'!$M33,0)),('Construction Budget'!$G33+SUM($G179:BO179))/ROUND(((EOMONTH('Construction Budget'!$M33,0)-EOMONTH(BP$11,0))/30)+1,0),0)</f>
        <v>0</v>
      </c>
      <c r="BQ179" s="427">
        <f>-IF(AND(BQ$11&gt;=EOMONTH('Construction Budget'!$K33,0),BQ$11&lt;=EOMONTH('Construction Budget'!$M33,0)),('Construction Budget'!$G33+SUM($G179:BP179))/ROUND(((EOMONTH('Construction Budget'!$M33,0)-EOMONTH(BQ$11,0))/30)+1,0),0)</f>
        <v>0</v>
      </c>
      <c r="BR179" s="427">
        <f>-IF(AND(BR$11&gt;=EOMONTH('Construction Budget'!$K33,0),BR$11&lt;=EOMONTH('Construction Budget'!$M33,0)),('Construction Budget'!$G33+SUM($G179:BQ179))/ROUND(((EOMONTH('Construction Budget'!$M33,0)-EOMONTH(BR$11,0))/30)+1,0),0)</f>
        <v>0</v>
      </c>
      <c r="BS179" s="427">
        <f>-IF(AND(BS$11&gt;=EOMONTH('Construction Budget'!$K33,0),BS$11&lt;=EOMONTH('Construction Budget'!$M33,0)),('Construction Budget'!$G33+SUM($G179:BR179))/ROUND(((EOMONTH('Construction Budget'!$M33,0)-EOMONTH(BS$11,0))/30)+1,0),0)</f>
        <v>0</v>
      </c>
      <c r="BT179" s="427">
        <f>-IF(AND(BT$11&gt;=EOMONTH('Construction Budget'!$K33,0),BT$11&lt;=EOMONTH('Construction Budget'!$M33,0)),('Construction Budget'!$G33+SUM($G179:BS179))/ROUND(((EOMONTH('Construction Budget'!$M33,0)-EOMONTH(BT$11,0))/30)+1,0),0)</f>
        <v>0</v>
      </c>
      <c r="BU179" s="427">
        <f>-IF(AND(BU$11&gt;=EOMONTH('Construction Budget'!$K33,0),BU$11&lt;=EOMONTH('Construction Budget'!$M33,0)),('Construction Budget'!$G33+SUM($G179:BT179))/ROUND(((EOMONTH('Construction Budget'!$M33,0)-EOMONTH(BU$11,0))/30)+1,0),0)</f>
        <v>0</v>
      </c>
      <c r="BV179" s="427">
        <f>-IF(AND(BV$11&gt;=EOMONTH('Construction Budget'!$K33,0),BV$11&lt;=EOMONTH('Construction Budget'!$M33,0)),('Construction Budget'!$G33+SUM($G179:BU179))/ROUND(((EOMONTH('Construction Budget'!$M33,0)-EOMONTH(BV$11,0))/30)+1,0),0)</f>
        <v>0</v>
      </c>
      <c r="BW179" s="427">
        <f>-IF(AND(BW$11&gt;=EOMONTH('Construction Budget'!$K33,0),BW$11&lt;=EOMONTH('Construction Budget'!$M33,0)),('Construction Budget'!$G33+SUM($G179:BV179))/ROUND(((EOMONTH('Construction Budget'!$M33,0)-EOMONTH(BW$11,0))/30)+1,0),0)</f>
        <v>0</v>
      </c>
      <c r="BX179" s="427">
        <f>-IF(AND(BX$11&gt;=EOMONTH('Construction Budget'!$K33,0),BX$11&lt;=EOMONTH('Construction Budget'!$M33,0)),('Construction Budget'!$G33+SUM($G179:BW179))/ROUND(((EOMONTH('Construction Budget'!$M33,0)-EOMONTH(BX$11,0))/30)+1,0),0)</f>
        <v>0</v>
      </c>
      <c r="BY179" s="427">
        <f>-IF(AND(BY$11&gt;=EOMONTH('Construction Budget'!$K33,0),BY$11&lt;=EOMONTH('Construction Budget'!$M33,0)),('Construction Budget'!$G33+SUM($G179:BX179))/ROUND(((EOMONTH('Construction Budget'!$M33,0)-EOMONTH(BY$11,0))/30)+1,0),0)</f>
        <v>0</v>
      </c>
      <c r="BZ179" s="427">
        <f>-IF(AND(BZ$11&gt;=EOMONTH('Construction Budget'!$K33,0),BZ$11&lt;=EOMONTH('Construction Budget'!$M33,0)),('Construction Budget'!$G33+SUM($G179:BY179))/ROUND(((EOMONTH('Construction Budget'!$M33,0)-EOMONTH(BZ$11,0))/30)+1,0),0)</f>
        <v>0</v>
      </c>
      <c r="CA179" s="427">
        <f>-IF(AND(CA$11&gt;=EOMONTH('Construction Budget'!$K33,0),CA$11&lt;=EOMONTH('Construction Budget'!$M33,0)),('Construction Budget'!$G33+SUM($G179:BZ179))/ROUND(((EOMONTH('Construction Budget'!$M33,0)-EOMONTH(CA$11,0))/30)+1,0),0)</f>
        <v>0</v>
      </c>
      <c r="CB179" s="427">
        <f>-IF(AND(CB$11&gt;=EOMONTH('Construction Budget'!$K33,0),CB$11&lt;=EOMONTH('Construction Budget'!$M33,0)),('Construction Budget'!$G33+SUM($G179:CA179))/ROUND(((EOMONTH('Construction Budget'!$M33,0)-EOMONTH(CB$11,0))/30)+1,0),0)</f>
        <v>0</v>
      </c>
      <c r="CC179" s="427">
        <f>-IF(AND(CC$11&gt;=EOMONTH('Construction Budget'!$K33,0),CC$11&lt;=EOMONTH('Construction Budget'!$M33,0)),('Construction Budget'!$G33+SUM($G179:CB179))/ROUND(((EOMONTH('Construction Budget'!$M33,0)-EOMONTH(CC$11,0))/30)+1,0),0)</f>
        <v>0</v>
      </c>
      <c r="CD179" s="427">
        <f>-IF(AND(CD$11&gt;=EOMONTH('Construction Budget'!$K33,0),CD$11&lt;=EOMONTH('Construction Budget'!$M33,0)),('Construction Budget'!$G33+SUM($G179:CC179))/ROUND(((EOMONTH('Construction Budget'!$M33,0)-EOMONTH(CD$11,0))/30)+1,0),0)</f>
        <v>0</v>
      </c>
      <c r="CE179" s="427">
        <f>-IF(AND(CE$11&gt;=EOMONTH('Construction Budget'!$K33,0),CE$11&lt;=EOMONTH('Construction Budget'!$M33,0)),('Construction Budget'!$G33+SUM($G179:CD179))/ROUND(((EOMONTH('Construction Budget'!$M33,0)-EOMONTH(CE$11,0))/30)+1,0),0)</f>
        <v>0</v>
      </c>
      <c r="CF179" s="427">
        <f>-IF(AND(CF$11&gt;=EOMONTH('Construction Budget'!$K33,0),CF$11&lt;=EOMONTH('Construction Budget'!$M33,0)),('Construction Budget'!$G33+SUM($G179:CE179))/ROUND(((EOMONTH('Construction Budget'!$M33,0)-EOMONTH(CF$11,0))/30)+1,0),0)</f>
        <v>0</v>
      </c>
      <c r="CG179" s="427">
        <f>-IF(AND(CG$11&gt;=EOMONTH('Construction Budget'!$K33,0),CG$11&lt;=EOMONTH('Construction Budget'!$M33,0)),('Construction Budget'!$G33+SUM($G179:CF179))/ROUND(((EOMONTH('Construction Budget'!$M33,0)-EOMONTH(CG$11,0))/30)+1,0),0)</f>
        <v>0</v>
      </c>
      <c r="CH179" s="427">
        <f>-IF(AND(CH$11&gt;=EOMONTH('Construction Budget'!$K33,0),CH$11&lt;=EOMONTH('Construction Budget'!$M33,0)),('Construction Budget'!$G33+SUM($G179:CG179))/ROUND(((EOMONTH('Construction Budget'!$M33,0)-EOMONTH(CH$11,0))/30)+1,0),0)</f>
        <v>0</v>
      </c>
      <c r="CI179" s="427">
        <f>-IF(AND(CI$11&gt;=EOMONTH('Construction Budget'!$K33,0),CI$11&lt;=EOMONTH('Construction Budget'!$M33,0)),('Construction Budget'!$G33+SUM($G179:CH179))/ROUND(((EOMONTH('Construction Budget'!$M33,0)-EOMONTH(CI$11,0))/30)+1,0),0)</f>
        <v>0</v>
      </c>
      <c r="CJ179" s="427">
        <f>-IF(AND(CJ$11&gt;=EOMONTH('Construction Budget'!$K33,0),CJ$11&lt;=EOMONTH('Construction Budget'!$M33,0)),('Construction Budget'!$G33+SUM($G179:CI179))/ROUND(((EOMONTH('Construction Budget'!$M33,0)-EOMONTH(CJ$11,0))/30)+1,0),0)</f>
        <v>0</v>
      </c>
      <c r="CK179" s="427">
        <f>-IF(AND(CK$11&gt;=EOMONTH('Construction Budget'!$K33,0),CK$11&lt;=EOMONTH('Construction Budget'!$M33,0)),('Construction Budget'!$G33+SUM($G179:CJ179))/ROUND(((EOMONTH('Construction Budget'!$M33,0)-EOMONTH(CK$11,0))/30)+1,0),0)</f>
        <v>0</v>
      </c>
      <c r="CL179" s="427">
        <f>-IF(AND(CL$11&gt;=EOMONTH('Construction Budget'!$K33,0),CL$11&lt;=EOMONTH('Construction Budget'!$M33,0)),('Construction Budget'!$G33+SUM($G179:CK179))/ROUND(((EOMONTH('Construction Budget'!$M33,0)-EOMONTH(CL$11,0))/30)+1,0),0)</f>
        <v>0</v>
      </c>
      <c r="CM179" s="427">
        <f>-IF(AND(CM$11&gt;=EOMONTH('Construction Budget'!$K33,0),CM$11&lt;=EOMONTH('Construction Budget'!$M33,0)),('Construction Budget'!$G33+SUM($G179:CL179))/ROUND(((EOMONTH('Construction Budget'!$M33,0)-EOMONTH(CM$11,0))/30)+1,0),0)</f>
        <v>0</v>
      </c>
      <c r="CN179" s="427">
        <f>-IF(AND(CN$11&gt;=EOMONTH('Construction Budget'!$K33,0),CN$11&lt;=EOMONTH('Construction Budget'!$M33,0)),('Construction Budget'!$G33+SUM($G179:CM179))/ROUND(((EOMONTH('Construction Budget'!$M33,0)-EOMONTH(CN$11,0))/30)+1,0),0)</f>
        <v>0</v>
      </c>
      <c r="CO179" s="427">
        <f>-IF(AND(CO$11&gt;=EOMONTH('Construction Budget'!$K33,0),CO$11&lt;=EOMONTH('Construction Budget'!$M33,0)),('Construction Budget'!$G33+SUM($G179:CN179))/ROUND(((EOMONTH('Construction Budget'!$M33,0)-EOMONTH(CO$11,0))/30)+1,0),0)</f>
        <v>0</v>
      </c>
      <c r="CP179" s="427">
        <f>-IF(AND(CP$11&gt;=EOMONTH('Construction Budget'!$K33,0),CP$11&lt;=EOMONTH('Construction Budget'!$M33,0)),('Construction Budget'!$G33+SUM($G179:CO179))/ROUND(((EOMONTH('Construction Budget'!$M33,0)-EOMONTH(CP$11,0))/30)+1,0),0)</f>
        <v>0</v>
      </c>
      <c r="CQ179" s="427">
        <f>-IF(AND(CQ$11&gt;=EOMONTH('Construction Budget'!$K33,0),CQ$11&lt;=EOMONTH('Construction Budget'!$M33,0)),('Construction Budget'!$G33+SUM($G179:CP179))/ROUND(((EOMONTH('Construction Budget'!$M33,0)-EOMONTH(CQ$11,0))/30)+1,0),0)</f>
        <v>0</v>
      </c>
      <c r="CR179" s="427">
        <f>-IF(AND(CR$11&gt;=EOMONTH('Construction Budget'!$K33,0),CR$11&lt;=EOMONTH('Construction Budget'!$M33,0)),('Construction Budget'!$G33+SUM($G179:CQ179))/ROUND(((EOMONTH('Construction Budget'!$M33,0)-EOMONTH(CR$11,0))/30)+1,0),0)</f>
        <v>0</v>
      </c>
      <c r="CS179" s="427">
        <f>-IF(AND(CS$11&gt;=EOMONTH('Construction Budget'!$K33,0),CS$11&lt;=EOMONTH('Construction Budget'!$M33,0)),('Construction Budget'!$G33+SUM($G179:CR179))/ROUND(((EOMONTH('Construction Budget'!$M33,0)-EOMONTH(CS$11,0))/30)+1,0),0)</f>
        <v>0</v>
      </c>
      <c r="CT179" s="427">
        <f>-IF(AND(CT$11&gt;=EOMONTH('Construction Budget'!$K33,0),CT$11&lt;=EOMONTH('Construction Budget'!$M33,0)),('Construction Budget'!$G33+SUM($G179:CS179))/ROUND(((EOMONTH('Construction Budget'!$M33,0)-EOMONTH(CT$11,0))/30)+1,0),0)</f>
        <v>0</v>
      </c>
      <c r="CU179" s="427">
        <f>-IF(AND(CU$11&gt;=EOMONTH('Construction Budget'!$K33,0),CU$11&lt;=EOMONTH('Construction Budget'!$M33,0)),('Construction Budget'!$G33+SUM($G179:CT179))/ROUND(((EOMONTH('Construction Budget'!$M33,0)-EOMONTH(CU$11,0))/30)+1,0),0)</f>
        <v>0</v>
      </c>
      <c r="CV179" s="427">
        <f>-IF(AND(CV$11&gt;=EOMONTH('Construction Budget'!$K33,0),CV$11&lt;=EOMONTH('Construction Budget'!$M33,0)),('Construction Budget'!$G33+SUM($G179:CU179))/ROUND(((EOMONTH('Construction Budget'!$M33,0)-EOMONTH(CV$11,0))/30)+1,0),0)</f>
        <v>0</v>
      </c>
      <c r="CW179" s="427">
        <f>-IF(AND(CW$11&gt;=EOMONTH('Construction Budget'!$K33,0),CW$11&lt;=EOMONTH('Construction Budget'!$M33,0)),('Construction Budget'!$G33+SUM($G179:CV179))/ROUND(((EOMONTH('Construction Budget'!$M33,0)-EOMONTH(CW$11,0))/30)+1,0),0)</f>
        <v>0</v>
      </c>
      <c r="CX179" s="427">
        <f>-IF(AND(CX$11&gt;=EOMONTH('Construction Budget'!$K33,0),CX$11&lt;=EOMONTH('Construction Budget'!$M33,0)),('Construction Budget'!$G33+SUM($G179:CW179))/ROUND(((EOMONTH('Construction Budget'!$M33,0)-EOMONTH(CX$11,0))/30)+1,0),0)</f>
        <v>0</v>
      </c>
      <c r="CY179" s="427">
        <f>-IF(AND(CY$11&gt;=EOMONTH('Construction Budget'!$K33,0),CY$11&lt;=EOMONTH('Construction Budget'!$M33,0)),('Construction Budget'!$G33+SUM($G179:CX179))/ROUND(((EOMONTH('Construction Budget'!$M33,0)-EOMONTH(CY$11,0))/30)+1,0),0)</f>
        <v>0</v>
      </c>
      <c r="CZ179" s="427">
        <f>-IF(AND(CZ$11&gt;=EOMONTH('Construction Budget'!$K33,0),CZ$11&lt;=EOMONTH('Construction Budget'!$M33,0)),('Construction Budget'!$G33+SUM($G179:CY179))/ROUND(((EOMONTH('Construction Budget'!$M33,0)-EOMONTH(CZ$11,0))/30)+1,0),0)</f>
        <v>0</v>
      </c>
      <c r="DA179" s="427">
        <f>-IF(AND(DA$11&gt;=EOMONTH('Construction Budget'!$K33,0),DA$11&lt;=EOMONTH('Construction Budget'!$M33,0)),('Construction Budget'!$G33+SUM($G179:CZ179))/ROUND(((EOMONTH('Construction Budget'!$M33,0)-EOMONTH(DA$11,0))/30)+1,0),0)</f>
        <v>0</v>
      </c>
      <c r="DB179" s="427">
        <f>-IF(AND(DB$11&gt;=EOMONTH('Construction Budget'!$K33,0),DB$11&lt;=EOMONTH('Construction Budget'!$M33,0)),('Construction Budget'!$G33+SUM($G179:DA179))/ROUND(((EOMONTH('Construction Budget'!$M33,0)-EOMONTH(DB$11,0))/30)+1,0),0)</f>
        <v>0</v>
      </c>
      <c r="DC179" s="427">
        <f>-IF(AND(DC$11&gt;=EOMONTH('Construction Budget'!$K33,0),DC$11&lt;=EOMONTH('Construction Budget'!$M33,0)),('Construction Budget'!$G33+SUM($G179:DB179))/ROUND(((EOMONTH('Construction Budget'!$M33,0)-EOMONTH(DC$11,0))/30)+1,0),0)</f>
        <v>0</v>
      </c>
      <c r="DD179" s="427">
        <f>-IF(AND(DD$11&gt;=EOMONTH('Construction Budget'!$K33,0),DD$11&lt;=EOMONTH('Construction Budget'!$M33,0)),('Construction Budget'!$G33+SUM($G179:DC179))/ROUND(((EOMONTH('Construction Budget'!$M33,0)-EOMONTH(DD$11,0))/30)+1,0),0)</f>
        <v>0</v>
      </c>
      <c r="DE179" s="427">
        <f>-IF(AND(DE$11&gt;=EOMONTH('Construction Budget'!$K33,0),DE$11&lt;=EOMONTH('Construction Budget'!$M33,0)),('Construction Budget'!$G33+SUM($G179:DD179))/ROUND(((EOMONTH('Construction Budget'!$M33,0)-EOMONTH(DE$11,0))/30)+1,0),0)</f>
        <v>0</v>
      </c>
      <c r="DF179" s="427">
        <f>-IF(AND(DF$11&gt;=EOMONTH('Construction Budget'!$K33,0),DF$11&lt;=EOMONTH('Construction Budget'!$M33,0)),('Construction Budget'!$G33+SUM($G179:DE179))/ROUND(((EOMONTH('Construction Budget'!$M33,0)-EOMONTH(DF$11,0))/30)+1,0),0)</f>
        <v>0</v>
      </c>
      <c r="DG179" s="427">
        <f>-IF(AND(DG$11&gt;=EOMONTH('Construction Budget'!$K33,0),DG$11&lt;=EOMONTH('Construction Budget'!$M33,0)),('Construction Budget'!$G33+SUM($G179:DF179))/ROUND(((EOMONTH('Construction Budget'!$M33,0)-EOMONTH(DG$11,0))/30)+1,0),0)</f>
        <v>0</v>
      </c>
      <c r="DH179" s="427">
        <f>-IF(AND(DH$11&gt;=EOMONTH('Construction Budget'!$K33,0),DH$11&lt;=EOMONTH('Construction Budget'!$M33,0)),('Construction Budget'!$G33+SUM($G179:DG179))/ROUND(((EOMONTH('Construction Budget'!$M33,0)-EOMONTH(DH$11,0))/30)+1,0),0)</f>
        <v>0</v>
      </c>
      <c r="DI179" s="427">
        <f>-IF(AND(DI$11&gt;=EOMONTH('Construction Budget'!$K33,0),DI$11&lt;=EOMONTH('Construction Budget'!$M33,0)),('Construction Budget'!$G33+SUM($G179:DH179))/ROUND(((EOMONTH('Construction Budget'!$M33,0)-EOMONTH(DI$11,0))/30)+1,0),0)</f>
        <v>0</v>
      </c>
      <c r="DJ179" s="427">
        <f>-IF(AND(DJ$11&gt;=EOMONTH('Construction Budget'!$K33,0),DJ$11&lt;=EOMONTH('Construction Budget'!$M33,0)),('Construction Budget'!$G33+SUM($G179:DI179))/ROUND(((EOMONTH('Construction Budget'!$M33,0)-EOMONTH(DJ$11,0))/30)+1,0),0)</f>
        <v>0</v>
      </c>
      <c r="DK179" s="427">
        <f>-IF(AND(DK$11&gt;=EOMONTH('Construction Budget'!$K33,0),DK$11&lt;=EOMONTH('Construction Budget'!$M33,0)),('Construction Budget'!$G33+SUM($G179:DJ179))/ROUND(((EOMONTH('Construction Budget'!$M33,0)-EOMONTH(DK$11,0))/30)+1,0),0)</f>
        <v>0</v>
      </c>
      <c r="DL179" s="427">
        <f>-IF(AND(DL$11&gt;=EOMONTH('Construction Budget'!$K33,0),DL$11&lt;=EOMONTH('Construction Budget'!$M33,0)),('Construction Budget'!$G33+SUM($G179:DK179))/ROUND(((EOMONTH('Construction Budget'!$M33,0)-EOMONTH(DL$11,0))/30)+1,0),0)</f>
        <v>0</v>
      </c>
      <c r="DM179" s="427">
        <f>-IF(AND(DM$11&gt;=EOMONTH('Construction Budget'!$K33,0),DM$11&lt;=EOMONTH('Construction Budget'!$M33,0)),('Construction Budget'!$G33+SUM($G179:DL179))/ROUND(((EOMONTH('Construction Budget'!$M33,0)-EOMONTH(DM$11,0))/30)+1,0),0)</f>
        <v>0</v>
      </c>
      <c r="DN179" s="427">
        <f>-IF(AND(DN$11&gt;=EOMONTH('Construction Budget'!$K33,0),DN$11&lt;=EOMONTH('Construction Budget'!$M33,0)),('Construction Budget'!$G33+SUM($G179:DM179))/ROUND(((EOMONTH('Construction Budget'!$M33,0)-EOMONTH(DN$11,0))/30)+1,0),0)</f>
        <v>0</v>
      </c>
      <c r="DO179" s="427">
        <f>-IF(AND(DO$11&gt;=EOMONTH('Construction Budget'!$K33,0),DO$11&lt;=EOMONTH('Construction Budget'!$M33,0)),('Construction Budget'!$G33+SUM($G179:DN179))/ROUND(((EOMONTH('Construction Budget'!$M33,0)-EOMONTH(DO$11,0))/30)+1,0),0)</f>
        <v>0</v>
      </c>
      <c r="DP179" s="427">
        <f>-IF(AND(DP$11&gt;=EOMONTH('Construction Budget'!$K33,0),DP$11&lt;=EOMONTH('Construction Budget'!$M33,0)),('Construction Budget'!$G33+SUM($G179:DO179))/ROUND(((EOMONTH('Construction Budget'!$M33,0)-EOMONTH(DP$11,0))/30)+1,0),0)</f>
        <v>0</v>
      </c>
      <c r="DQ179" s="427">
        <f>-IF(AND(DQ$11&gt;=EOMONTH('Construction Budget'!$K33,0),DQ$11&lt;=EOMONTH('Construction Budget'!$M33,0)),('Construction Budget'!$G33+SUM($G179:DP179))/ROUND(((EOMONTH('Construction Budget'!$M33,0)-EOMONTH(DQ$11,0))/30)+1,0),0)</f>
        <v>0</v>
      </c>
      <c r="DR179" s="427">
        <f>-IF(AND(DR$11&gt;=EOMONTH('Construction Budget'!$K33,0),DR$11&lt;=EOMONTH('Construction Budget'!$M33,0)),('Construction Budget'!$G33+SUM($G179:DQ179))/ROUND(((EOMONTH('Construction Budget'!$M33,0)-EOMONTH(DR$11,0))/30)+1,0),0)</f>
        <v>0</v>
      </c>
      <c r="DS179" s="427">
        <f>-IF(AND(DS$11&gt;=EOMONTH('Construction Budget'!$K33,0),DS$11&lt;=EOMONTH('Construction Budget'!$M33,0)),('Construction Budget'!$G33+SUM($G179:DR179))/ROUND(((EOMONTH('Construction Budget'!$M33,0)-EOMONTH(DS$11,0))/30)+1,0),0)</f>
        <v>0</v>
      </c>
      <c r="DT179" s="427">
        <f>-IF(AND(DT$11&gt;=EOMONTH('Construction Budget'!$K33,0),DT$11&lt;=EOMONTH('Construction Budget'!$M33,0)),('Construction Budget'!$G33+SUM($G179:DS179))/ROUND(((EOMONTH('Construction Budget'!$M33,0)-EOMONTH(DT$11,0))/30)+1,0),0)</f>
        <v>0</v>
      </c>
      <c r="DU179" s="427">
        <f>-IF(AND(DU$11&gt;=EOMONTH('Construction Budget'!$K33,0),DU$11&lt;=EOMONTH('Construction Budget'!$M33,0)),('Construction Budget'!$G33+SUM($G179:DT179))/ROUND(((EOMONTH('Construction Budget'!$M33,0)-EOMONTH(DU$11,0))/30)+1,0),0)</f>
        <v>0</v>
      </c>
      <c r="DV179" s="427">
        <f>-IF(AND(DV$11&gt;=EOMONTH('Construction Budget'!$K33,0),DV$11&lt;=EOMONTH('Construction Budget'!$M33,0)),('Construction Budget'!$G33+SUM($G179:DU179))/ROUND(((EOMONTH('Construction Budget'!$M33,0)-EOMONTH(DV$11,0))/30)+1,0),0)</f>
        <v>0</v>
      </c>
      <c r="DW179" s="427">
        <f>-IF(AND(DW$11&gt;=EOMONTH('Construction Budget'!$K33,0),DW$11&lt;=EOMONTH('Construction Budget'!$M33,0)),('Construction Budget'!$G33+SUM($G179:DV179))/ROUND(((EOMONTH('Construction Budget'!$M33,0)-EOMONTH(DW$11,0))/30)+1,0),0)</f>
        <v>0</v>
      </c>
      <c r="DX179" s="427">
        <f>-IF(AND(DX$11&gt;=EOMONTH('Construction Budget'!$K33,0),DX$11&lt;=EOMONTH('Construction Budget'!$M33,0)),('Construction Budget'!$G33+SUM($G179:DW179))/ROUND(((EOMONTH('Construction Budget'!$M33,0)-EOMONTH(DX$11,0))/30)+1,0),0)</f>
        <v>0</v>
      </c>
      <c r="DY179" s="427">
        <f>-IF(AND(DY$11&gt;=EOMONTH('Construction Budget'!$K33,0),DY$11&lt;=EOMONTH('Construction Budget'!$M33,0)),('Construction Budget'!$G33+SUM($G179:DX179))/ROUND(((EOMONTH('Construction Budget'!$M33,0)-EOMONTH(DY$11,0))/30)+1,0),0)</f>
        <v>0</v>
      </c>
      <c r="DZ179" s="427">
        <f>-IF(AND(DZ$11&gt;=EOMONTH('Construction Budget'!$K33,0),DZ$11&lt;=EOMONTH('Construction Budget'!$M33,0)),('Construction Budget'!$G33+SUM($G179:DY179))/ROUND(((EOMONTH('Construction Budget'!$M33,0)-EOMONTH(DZ$11,0))/30)+1,0),0)</f>
        <v>0</v>
      </c>
      <c r="EA179" s="427">
        <f>-IF(AND(EA$11&gt;=EOMONTH('Construction Budget'!$K33,0),EA$11&lt;=EOMONTH('Construction Budget'!$M33,0)),('Construction Budget'!$G33+SUM($G179:DZ179))/ROUND(((EOMONTH('Construction Budget'!$M33,0)-EOMONTH(EA$11,0))/30)+1,0),0)</f>
        <v>0</v>
      </c>
      <c r="EB179" s="427">
        <f>-IF(AND(EB$11&gt;=EOMONTH('Construction Budget'!$K33,0),EB$11&lt;=EOMONTH('Construction Budget'!$M33,0)),('Construction Budget'!$G33+SUM($G179:EA179))/ROUND(((EOMONTH('Construction Budget'!$M33,0)-EOMONTH(EB$11,0))/30)+1,0),0)</f>
        <v>0</v>
      </c>
      <c r="EC179" s="427">
        <f>-IF(AND(EC$11&gt;=EOMONTH('Construction Budget'!$K33,0),EC$11&lt;=EOMONTH('Construction Budget'!$M33,0)),('Construction Budget'!$G33+SUM($G179:EB179))/ROUND(((EOMONTH('Construction Budget'!$M33,0)-EOMONTH(EC$11,0))/30)+1,0),0)</f>
        <v>0</v>
      </c>
      <c r="ED179" s="427">
        <f>-IF(AND(ED$11&gt;=EOMONTH('Construction Budget'!$K33,0),ED$11&lt;=EOMONTH('Construction Budget'!$M33,0)),('Construction Budget'!$G33+SUM($G179:EC179))/ROUND(((EOMONTH('Construction Budget'!$M33,0)-EOMONTH(ED$11,0))/30)+1,0),0)</f>
        <v>0</v>
      </c>
      <c r="EE179" s="427">
        <f>-IF(AND(EE$11&gt;=EOMONTH('Construction Budget'!$K33,0),EE$11&lt;=EOMONTH('Construction Budget'!$M33,0)),('Construction Budget'!$G33+SUM($G179:ED179))/ROUND(((EOMONTH('Construction Budget'!$M33,0)-EOMONTH(EE$11,0))/30)+1,0),0)</f>
        <v>0</v>
      </c>
      <c r="EF179" s="427">
        <f>-IF(AND(EF$11&gt;=EOMONTH('Construction Budget'!$K33,0),EF$11&lt;=EOMONTH('Construction Budget'!$M33,0)),('Construction Budget'!$G33+SUM($G179:EE179))/ROUND(((EOMONTH('Construction Budget'!$M33,0)-EOMONTH(EF$11,0))/30)+1,0),0)</f>
        <v>0</v>
      </c>
      <c r="EG179" s="427">
        <f>-IF(AND(EG$11&gt;=EOMONTH('Construction Budget'!$K33,0),EG$11&lt;=EOMONTH('Construction Budget'!$M33,0)),('Construction Budget'!$G33+SUM($G179:EF179))/ROUND(((EOMONTH('Construction Budget'!$M33,0)-EOMONTH(EG$11,0))/30)+1,0),0)</f>
        <v>0</v>
      </c>
      <c r="EH179" s="427">
        <f>-IF(AND(EH$11&gt;=EOMONTH('Construction Budget'!$K33,0),EH$11&lt;=EOMONTH('Construction Budget'!$M33,0)),('Construction Budget'!$G33+SUM($G179:EG179))/ROUND(((EOMONTH('Construction Budget'!$M33,0)-EOMONTH(EH$11,0))/30)+1,0),0)</f>
        <v>0</v>
      </c>
      <c r="EI179" s="427">
        <f>-IF(AND(EI$11&gt;=EOMONTH('Construction Budget'!$K33,0),EI$11&lt;=EOMONTH('Construction Budget'!$M33,0)),('Construction Budget'!$G33+SUM($G179:EH179))/ROUND(((EOMONTH('Construction Budget'!$M33,0)-EOMONTH(EI$11,0))/30)+1,0),0)</f>
        <v>0</v>
      </c>
      <c r="EJ179" s="427">
        <f>-IF(AND(EJ$11&gt;=EOMONTH('Construction Budget'!$K33,0),EJ$11&lt;=EOMONTH('Construction Budget'!$M33,0)),('Construction Budget'!$G33+SUM($G179:EI179))/ROUND(((EOMONTH('Construction Budget'!$M33,0)-EOMONTH(EJ$11,0))/30)+1,0),0)</f>
        <v>0</v>
      </c>
      <c r="EK179" s="427">
        <f>-IF(AND(EK$11&gt;=EOMONTH('Construction Budget'!$K33,0),EK$11&lt;=EOMONTH('Construction Budget'!$M33,0)),('Construction Budget'!$G33+SUM($G179:EJ179))/ROUND(((EOMONTH('Construction Budget'!$M33,0)-EOMONTH(EK$11,0))/30)+1,0),0)</f>
        <v>0</v>
      </c>
      <c r="EL179" s="427">
        <f>-IF(AND(EL$11&gt;=EOMONTH('Construction Budget'!$K33,0),EL$11&lt;=EOMONTH('Construction Budget'!$M33,0)),('Construction Budget'!$G33+SUM($G179:EK179))/ROUND(((EOMONTH('Construction Budget'!$M33,0)-EOMONTH(EL$11,0))/30)+1,0),0)</f>
        <v>0</v>
      </c>
      <c r="EM179" s="427">
        <f>-IF(AND(EM$11&gt;=EOMONTH('Construction Budget'!$K33,0),EM$11&lt;=EOMONTH('Construction Budget'!$M33,0)),('Construction Budget'!$G33+SUM($G179:EL179))/ROUND(((EOMONTH('Construction Budget'!$M33,0)-EOMONTH(EM$11,0))/30)+1,0),0)</f>
        <v>0</v>
      </c>
      <c r="EN179" s="427">
        <f>-IF(AND(EN$11&gt;=EOMONTH('Construction Budget'!$K33,0),EN$11&lt;=EOMONTH('Construction Budget'!$M33,0)),('Construction Budget'!$G33+SUM($G179:EM179))/ROUND(((EOMONTH('Construction Budget'!$M33,0)-EOMONTH(EN$11,0))/30)+1,0),0)</f>
        <v>0</v>
      </c>
      <c r="EO179" s="427">
        <f>-IF(AND(EO$11&gt;=EOMONTH('Construction Budget'!$K33,0),EO$11&lt;=EOMONTH('Construction Budget'!$M33,0)),('Construction Budget'!$G33+SUM($G179:EN179))/ROUND(((EOMONTH('Construction Budget'!$M33,0)-EOMONTH(EO$11,0))/30)+1,0),0)</f>
        <v>0</v>
      </c>
      <c r="EP179" s="427">
        <f>-IF(AND(EP$11&gt;=EOMONTH('Construction Budget'!$K33,0),EP$11&lt;=EOMONTH('Construction Budget'!$M33,0)),('Construction Budget'!$G33+SUM($G179:EO179))/ROUND(((EOMONTH('Construction Budget'!$M33,0)-EOMONTH(EP$11,0))/30)+1,0),0)</f>
        <v>0</v>
      </c>
      <c r="EQ179" s="427">
        <f>-IF(AND(EQ$11&gt;=EOMONTH('Construction Budget'!$K33,0),EQ$11&lt;=EOMONTH('Construction Budget'!$M33,0)),('Construction Budget'!$G33+SUM($G179:EP179))/ROUND(((EOMONTH('Construction Budget'!$M33,0)-EOMONTH(EQ$11,0))/30)+1,0),0)</f>
        <v>0</v>
      </c>
      <c r="ER179" s="427">
        <f>-IF(AND(ER$11&gt;=EOMONTH('Construction Budget'!$K33,0),ER$11&lt;=EOMONTH('Construction Budget'!$M33,0)),('Construction Budget'!$G33+SUM($G179:EQ179))/ROUND(((EOMONTH('Construction Budget'!$M33,0)-EOMONTH(ER$11,0))/30)+1,0),0)</f>
        <v>0</v>
      </c>
      <c r="ES179" s="427">
        <f>-IF(AND(ES$11&gt;=EOMONTH('Construction Budget'!$K33,0),ES$11&lt;=EOMONTH('Construction Budget'!$M33,0)),('Construction Budget'!$G33+SUM($G179:ER179))/ROUND(((EOMONTH('Construction Budget'!$M33,0)-EOMONTH(ES$11,0))/30)+1,0),0)</f>
        <v>0</v>
      </c>
      <c r="ET179" s="427">
        <f>-IF(AND(ET$11&gt;=EOMONTH('Construction Budget'!$K33,0),ET$11&lt;=EOMONTH('Construction Budget'!$M33,0)),('Construction Budget'!$G33+SUM($G179:ES179))/ROUND(((EOMONTH('Construction Budget'!$M33,0)-EOMONTH(ET$11,0))/30)+1,0),0)</f>
        <v>0</v>
      </c>
      <c r="EU179" s="427">
        <f>-IF(AND(EU$11&gt;=EOMONTH('Construction Budget'!$K33,0),EU$11&lt;=EOMONTH('Construction Budget'!$M33,0)),('Construction Budget'!$G33+SUM($G179:ET179))/ROUND(((EOMONTH('Construction Budget'!$M33,0)-EOMONTH(EU$11,0))/30)+1,0),0)</f>
        <v>0</v>
      </c>
      <c r="EV179" s="427">
        <f>-IF(AND(EV$11&gt;=EOMONTH('Construction Budget'!$K33,0),EV$11&lt;=EOMONTH('Construction Budget'!$M33,0)),('Construction Budget'!$G33+SUM($G179:EU179))/ROUND(((EOMONTH('Construction Budget'!$M33,0)-EOMONTH(EV$11,0))/30)+1,0),0)</f>
        <v>0</v>
      </c>
      <c r="EW179" s="427">
        <f>-IF(AND(EW$11&gt;=EOMONTH('Construction Budget'!$K33,0),EW$11&lt;=EOMONTH('Construction Budget'!$M33,0)),('Construction Budget'!$G33+SUM($G179:EV179))/ROUND(((EOMONTH('Construction Budget'!$M33,0)-EOMONTH(EW$11,0))/30)+1,0),0)</f>
        <v>0</v>
      </c>
      <c r="EX179" s="427">
        <f>-IF(AND(EX$11&gt;=EOMONTH('Construction Budget'!$K33,0),EX$11&lt;=EOMONTH('Construction Budget'!$M33,0)),('Construction Budget'!$G33+SUM($G179:EW179))/ROUND(((EOMONTH('Construction Budget'!$M33,0)-EOMONTH(EX$11,0))/30)+1,0),0)</f>
        <v>0</v>
      </c>
      <c r="EY179" s="427">
        <f>-IF(AND(EY$11&gt;=EOMONTH('Construction Budget'!$K33,0),EY$11&lt;=EOMONTH('Construction Budget'!$M33,0)),('Construction Budget'!$G33+SUM($G179:EX179))/ROUND(((EOMONTH('Construction Budget'!$M33,0)-EOMONTH(EY$11,0))/30)+1,0),0)</f>
        <v>0</v>
      </c>
      <c r="EZ179" s="427">
        <f>-IF(AND(EZ$11&gt;=EOMONTH('Construction Budget'!$K33,0),EZ$11&lt;=EOMONTH('Construction Budget'!$M33,0)),('Construction Budget'!$G33+SUM($G179:EY179))/ROUND(((EOMONTH('Construction Budget'!$M33,0)-EOMONTH(EZ$11,0))/30)+1,0),0)</f>
        <v>0</v>
      </c>
      <c r="FA179" s="427">
        <f>-IF(AND(FA$11&gt;=EOMONTH('Construction Budget'!$K33,0),FA$11&lt;=EOMONTH('Construction Budget'!$M33,0)),('Construction Budget'!$G33+SUM($G179:EZ179))/ROUND(((EOMONTH('Construction Budget'!$M33,0)-EOMONTH(FA$11,0))/30)+1,0),0)</f>
        <v>0</v>
      </c>
      <c r="FB179" s="427">
        <f>-IF(AND(FB$11&gt;=EOMONTH('Construction Budget'!$K33,0),FB$11&lt;=EOMONTH('Construction Budget'!$M33,0)),('Construction Budget'!$G33+SUM($G179:FA179))/ROUND(((EOMONTH('Construction Budget'!$M33,0)-EOMONTH(FB$11,0))/30)+1,0),0)</f>
        <v>0</v>
      </c>
      <c r="FC179" s="427">
        <f>-IF(AND(FC$11&gt;=EOMONTH('Construction Budget'!$K33,0),FC$11&lt;=EOMONTH('Construction Budget'!$M33,0)),('Construction Budget'!$G33+SUM($G179:FB179))/ROUND(((EOMONTH('Construction Budget'!$M33,0)-EOMONTH(FC$11,0))/30)+1,0),0)</f>
        <v>0</v>
      </c>
      <c r="FD179" s="427">
        <f>-IF(AND(FD$11&gt;=EOMONTH('Construction Budget'!$K33,0),FD$11&lt;=EOMONTH('Construction Budget'!$M33,0)),('Construction Budget'!$G33+SUM($G179:FC179))/ROUND(((EOMONTH('Construction Budget'!$M33,0)-EOMONTH(FD$11,0))/30)+1,0),0)</f>
        <v>0</v>
      </c>
      <c r="FE179" s="427">
        <f>-IF(AND(FE$11&gt;=EOMONTH('Construction Budget'!$K33,0),FE$11&lt;=EOMONTH('Construction Budget'!$M33,0)),('Construction Budget'!$G33+SUM($G179:FD179))/ROUND(((EOMONTH('Construction Budget'!$M33,0)-EOMONTH(FE$11,0))/30)+1,0),0)</f>
        <v>0</v>
      </c>
      <c r="FF179" s="427">
        <f>-IF(AND(FF$11&gt;=EOMONTH('Construction Budget'!$K33,0),FF$11&lt;=EOMONTH('Construction Budget'!$M33,0)),('Construction Budget'!$G33+SUM($G179:FE179))/ROUND(((EOMONTH('Construction Budget'!$M33,0)-EOMONTH(FF$11,0))/30)+1,0),0)</f>
        <v>0</v>
      </c>
      <c r="FG179" s="427">
        <f>-IF(AND(FG$11&gt;=EOMONTH('Construction Budget'!$K33,0),FG$11&lt;=EOMONTH('Construction Budget'!$M33,0)),('Construction Budget'!$G33+SUM($G179:FF179))/ROUND(((EOMONTH('Construction Budget'!$M33,0)-EOMONTH(FG$11,0))/30)+1,0),0)</f>
        <v>0</v>
      </c>
      <c r="FH179" s="427">
        <f>-IF(AND(FH$11&gt;=EOMONTH('Construction Budget'!$K33,0),FH$11&lt;=EOMONTH('Construction Budget'!$M33,0)),('Construction Budget'!$G33+SUM($G179:FG179))/ROUND(((EOMONTH('Construction Budget'!$M33,0)-EOMONTH(FH$11,0))/30)+1,0),0)</f>
        <v>0</v>
      </c>
      <c r="FI179" s="427">
        <f>-IF(AND(FI$11&gt;=EOMONTH('Construction Budget'!$K33,0),FI$11&lt;=EOMONTH('Construction Budget'!$M33,0)),('Construction Budget'!$G33+SUM($G179:FH179))/ROUND(((EOMONTH('Construction Budget'!$M33,0)-EOMONTH(FI$11,0))/30)+1,0),0)</f>
        <v>0</v>
      </c>
      <c r="FJ179" s="427">
        <f>-IF(AND(FJ$11&gt;=EOMONTH('Construction Budget'!$K33,0),FJ$11&lt;=EOMONTH('Construction Budget'!$M33,0)),('Construction Budget'!$G33+SUM($G179:FI179))/ROUND(((EOMONTH('Construction Budget'!$M33,0)-EOMONTH(FJ$11,0))/30)+1,0),0)</f>
        <v>0</v>
      </c>
      <c r="FK179" s="427">
        <f>-IF(AND(FK$11&gt;=EOMONTH('Construction Budget'!$K33,0),FK$11&lt;=EOMONTH('Construction Budget'!$M33,0)),('Construction Budget'!$G33+SUM($G179:FJ179))/ROUND(((EOMONTH('Construction Budget'!$M33,0)-EOMONTH(FK$11,0))/30)+1,0),0)</f>
        <v>0</v>
      </c>
      <c r="FL179" s="427">
        <f>-IF(AND(FL$11&gt;=EOMONTH('Construction Budget'!$K33,0),FL$11&lt;=EOMONTH('Construction Budget'!$M33,0)),('Construction Budget'!$G33+SUM($G179:FK179))/ROUND(((EOMONTH('Construction Budget'!$M33,0)-EOMONTH(FL$11,0))/30)+1,0),0)</f>
        <v>0</v>
      </c>
      <c r="FM179" s="427">
        <f>-IF(AND(FM$11&gt;=EOMONTH('Construction Budget'!$K33,0),FM$11&lt;=EOMONTH('Construction Budget'!$M33,0)),('Construction Budget'!$G33+SUM($G179:FL179))/ROUND(((EOMONTH('Construction Budget'!$M33,0)-EOMONTH(FM$11,0))/30)+1,0),0)</f>
        <v>0</v>
      </c>
      <c r="FN179" s="427">
        <f>-IF(AND(FN$11&gt;=EOMONTH('Construction Budget'!$K33,0),FN$11&lt;=EOMONTH('Construction Budget'!$M33,0)),('Construction Budget'!$G33+SUM($G179:FM179))/ROUND(((EOMONTH('Construction Budget'!$M33,0)-EOMONTH(FN$11,0))/30)+1,0),0)</f>
        <v>0</v>
      </c>
      <c r="FO179" s="427">
        <f>-IF(AND(FO$11&gt;=EOMONTH('Construction Budget'!$K33,0),FO$11&lt;=EOMONTH('Construction Budget'!$M33,0)),('Construction Budget'!$G33+SUM($G179:FN179))/ROUND(((EOMONTH('Construction Budget'!$M33,0)-EOMONTH(FO$11,0))/30)+1,0),0)</f>
        <v>0</v>
      </c>
      <c r="FP179" s="427">
        <f>-IF(AND(FP$11&gt;=EOMONTH('Construction Budget'!$K33,0),FP$11&lt;=EOMONTH('Construction Budget'!$M33,0)),('Construction Budget'!$G33+SUM($G179:FO179))/ROUND(((EOMONTH('Construction Budget'!$M33,0)-EOMONTH(FP$11,0))/30)+1,0),0)</f>
        <v>0</v>
      </c>
      <c r="FQ179" s="427">
        <f>-IF(AND(FQ$11&gt;=EOMONTH('Construction Budget'!$K33,0),FQ$11&lt;=EOMONTH('Construction Budget'!$M33,0)),('Construction Budget'!$G33+SUM($G179:FP179))/ROUND(((EOMONTH('Construction Budget'!$M33,0)-EOMONTH(FQ$11,0))/30)+1,0),0)</f>
        <v>0</v>
      </c>
      <c r="FR179" s="427">
        <f>-IF(AND(FR$11&gt;=EOMONTH('Construction Budget'!$K33,0),FR$11&lt;=EOMONTH('Construction Budget'!$M33,0)),('Construction Budget'!$G33+SUM($G179:FQ179))/ROUND(((EOMONTH('Construction Budget'!$M33,0)-EOMONTH(FR$11,0))/30)+1,0),0)</f>
        <v>0</v>
      </c>
      <c r="FS179" s="427">
        <f>-IF(AND(FS$11&gt;=EOMONTH('Construction Budget'!$K33,0),FS$11&lt;=EOMONTH('Construction Budget'!$M33,0)),('Construction Budget'!$G33+SUM($G179:FR179))/ROUND(((EOMONTH('Construction Budget'!$M33,0)-EOMONTH(FS$11,0))/30)+1,0),0)</f>
        <v>0</v>
      </c>
      <c r="FT179" s="427">
        <f>-IF(AND(FT$11&gt;=EOMONTH('Construction Budget'!$K33,0),FT$11&lt;=EOMONTH('Construction Budget'!$M33,0)),('Construction Budget'!$G33+SUM($G179:FS179))/ROUND(((EOMONTH('Construction Budget'!$M33,0)-EOMONTH(FT$11,0))/30)+1,0),0)</f>
        <v>0</v>
      </c>
      <c r="FU179" s="43"/>
      <c r="FV179" s="34"/>
      <c r="FW179" s="34"/>
      <c r="FX179" s="34"/>
      <c r="FY179" s="34"/>
      <c r="FZ179" s="34"/>
    </row>
    <row r="180" spans="1:182" s="89" customFormat="1" ht="13.5" hidden="1" outlineLevel="1" x14ac:dyDescent="0.25">
      <c r="A180" s="498"/>
      <c r="B180" s="128" t="str">
        <f>'Construction Budget'!B34</f>
        <v>Consultants</v>
      </c>
      <c r="C180" s="34"/>
      <c r="D180" s="34"/>
      <c r="E180" s="34"/>
      <c r="F180" s="434">
        <f t="shared" si="232"/>
        <v>-100000</v>
      </c>
      <c r="G180" s="34"/>
      <c r="H180" s="427">
        <f>-IF(AND(H$11&gt;=EOMONTH('Construction Budget'!$K34,0),H$11&lt;=EOMONTH('Construction Budget'!$M34,0)),('Construction Budget'!$G34+SUM($G180:G180))/ROUND(((EOMONTH('Construction Budget'!$M34,0)-EOMONTH(H$11,0))/30)+1,0),0)</f>
        <v>0</v>
      </c>
      <c r="I180" s="427">
        <f>-IF(AND(I$11&gt;=EOMONTH('Construction Budget'!$K34,0),I$11&lt;=EOMONTH('Construction Budget'!$M34,0)),('Construction Budget'!$G34+SUM($G180:H180))/ROUND(((EOMONTH('Construction Budget'!$M34,0)-EOMONTH(I$11,0))/30)+1,0),0)</f>
        <v>0</v>
      </c>
      <c r="J180" s="427">
        <f>-IF(AND(J$11&gt;=EOMONTH('Construction Budget'!$K34,0),J$11&lt;=EOMONTH('Construction Budget'!$M34,0)),('Construction Budget'!$G34+SUM($G180:I180))/ROUND(((EOMONTH('Construction Budget'!$M34,0)-EOMONTH(J$11,0))/30)+1,0),0)</f>
        <v>-16666.666666666668</v>
      </c>
      <c r="K180" s="427">
        <f>-IF(AND(K$11&gt;=EOMONTH('Construction Budget'!$K34,0),K$11&lt;=EOMONTH('Construction Budget'!$M34,0)),('Construction Budget'!$G34+SUM($G180:J180))/ROUND(((EOMONTH('Construction Budget'!$M34,0)-EOMONTH(K$11,0))/30)+1,0),0)</f>
        <v>-16666.666666666664</v>
      </c>
      <c r="L180" s="427">
        <f>-IF(AND(L$11&gt;=EOMONTH('Construction Budget'!$K34,0),L$11&lt;=EOMONTH('Construction Budget'!$M34,0)),('Construction Budget'!$G34+SUM($G180:K180))/ROUND(((EOMONTH('Construction Budget'!$M34,0)-EOMONTH(L$11,0))/30)+1,0),0)</f>
        <v>-16666.666666666668</v>
      </c>
      <c r="M180" s="427">
        <f>-IF(AND(M$11&gt;=EOMONTH('Construction Budget'!$K34,0),M$11&lt;=EOMONTH('Construction Budget'!$M34,0)),('Construction Budget'!$G34+SUM($G180:L180))/ROUND(((EOMONTH('Construction Budget'!$M34,0)-EOMONTH(M$11,0))/30)+1,0),0)</f>
        <v>-16666.666666666668</v>
      </c>
      <c r="N180" s="427">
        <f>-IF(AND(N$11&gt;=EOMONTH('Construction Budget'!$K34,0),N$11&lt;=EOMONTH('Construction Budget'!$M34,0)),('Construction Budget'!$G34+SUM($G180:M180))/ROUND(((EOMONTH('Construction Budget'!$M34,0)-EOMONTH(N$11,0))/30)+1,0),0)</f>
        <v>-16666.666666666664</v>
      </c>
      <c r="O180" s="427">
        <f>-IF(AND(O$11&gt;=EOMONTH('Construction Budget'!$K34,0),O$11&lt;=EOMONTH('Construction Budget'!$M34,0)),('Construction Budget'!$G34+SUM($G180:N180))/ROUND(((EOMONTH('Construction Budget'!$M34,0)-EOMONTH(O$11,0))/30)+1,0),0)</f>
        <v>-16666.666666666657</v>
      </c>
      <c r="P180" s="427">
        <f>-IF(AND(P$11&gt;=EOMONTH('Construction Budget'!$K34,0),P$11&lt;=EOMONTH('Construction Budget'!$M34,0)),('Construction Budget'!$G34+SUM($G180:O180))/ROUND(((EOMONTH('Construction Budget'!$M34,0)-EOMONTH(P$11,0))/30)+1,0),0)</f>
        <v>0</v>
      </c>
      <c r="Q180" s="427">
        <f>-IF(AND(Q$11&gt;=EOMONTH('Construction Budget'!$K34,0),Q$11&lt;=EOMONTH('Construction Budget'!$M34,0)),('Construction Budget'!$G34+SUM($G180:P180))/ROUND(((EOMONTH('Construction Budget'!$M34,0)-EOMONTH(Q$11,0))/30)+1,0),0)</f>
        <v>0</v>
      </c>
      <c r="R180" s="427">
        <f>-IF(AND(R$11&gt;=EOMONTH('Construction Budget'!$K34,0),R$11&lt;=EOMONTH('Construction Budget'!$M34,0)),('Construction Budget'!$G34+SUM($G180:Q180))/ROUND(((EOMONTH('Construction Budget'!$M34,0)-EOMONTH(R$11,0))/30)+1,0),0)</f>
        <v>0</v>
      </c>
      <c r="S180" s="427">
        <f>-IF(AND(S$11&gt;=EOMONTH('Construction Budget'!$K34,0),S$11&lt;=EOMONTH('Construction Budget'!$M34,0)),('Construction Budget'!$G34+SUM($G180:R180))/ROUND(((EOMONTH('Construction Budget'!$M34,0)-EOMONTH(S$11,0))/30)+1,0),0)</f>
        <v>0</v>
      </c>
      <c r="T180" s="427">
        <f>-IF(AND(T$11&gt;=EOMONTH('Construction Budget'!$K34,0),T$11&lt;=EOMONTH('Construction Budget'!$M34,0)),('Construction Budget'!$G34+SUM($G180:S180))/ROUND(((EOMONTH('Construction Budget'!$M34,0)-EOMONTH(T$11,0))/30)+1,0),0)</f>
        <v>0</v>
      </c>
      <c r="U180" s="427">
        <f>-IF(AND(U$11&gt;=EOMONTH('Construction Budget'!$K34,0),U$11&lt;=EOMONTH('Construction Budget'!$M34,0)),('Construction Budget'!$G34+SUM($G180:T180))/ROUND(((EOMONTH('Construction Budget'!$M34,0)-EOMONTH(U$11,0))/30)+1,0),0)</f>
        <v>0</v>
      </c>
      <c r="V180" s="427">
        <f>-IF(AND(V$11&gt;=EOMONTH('Construction Budget'!$K34,0),V$11&lt;=EOMONTH('Construction Budget'!$M34,0)),('Construction Budget'!$G34+SUM($G180:U180))/ROUND(((EOMONTH('Construction Budget'!$M34,0)-EOMONTH(V$11,0))/30)+1,0),0)</f>
        <v>0</v>
      </c>
      <c r="W180" s="427">
        <f>-IF(AND(W$11&gt;=EOMONTH('Construction Budget'!$K34,0),W$11&lt;=EOMONTH('Construction Budget'!$M34,0)),('Construction Budget'!$G34+SUM($G180:V180))/ROUND(((EOMONTH('Construction Budget'!$M34,0)-EOMONTH(W$11,0))/30)+1,0),0)</f>
        <v>0</v>
      </c>
      <c r="X180" s="427">
        <f>-IF(AND(X$11&gt;=EOMONTH('Construction Budget'!$K34,0),X$11&lt;=EOMONTH('Construction Budget'!$M34,0)),('Construction Budget'!$G34+SUM($G180:W180))/ROUND(((EOMONTH('Construction Budget'!$M34,0)-EOMONTH(X$11,0))/30)+1,0),0)</f>
        <v>0</v>
      </c>
      <c r="Y180" s="427">
        <f>-IF(AND(Y$11&gt;=EOMONTH('Construction Budget'!$K34,0),Y$11&lt;=EOMONTH('Construction Budget'!$M34,0)),('Construction Budget'!$G34+SUM($G180:X180))/ROUND(((EOMONTH('Construction Budget'!$M34,0)-EOMONTH(Y$11,0))/30)+1,0),0)</f>
        <v>0</v>
      </c>
      <c r="Z180" s="427">
        <f>-IF(AND(Z$11&gt;=EOMONTH('Construction Budget'!$K34,0),Z$11&lt;=EOMONTH('Construction Budget'!$M34,0)),('Construction Budget'!$G34+SUM($G180:Y180))/ROUND(((EOMONTH('Construction Budget'!$M34,0)-EOMONTH(Z$11,0))/30)+1,0),0)</f>
        <v>0</v>
      </c>
      <c r="AA180" s="427">
        <f>-IF(AND(AA$11&gt;=EOMONTH('Construction Budget'!$K34,0),AA$11&lt;=EOMONTH('Construction Budget'!$M34,0)),('Construction Budget'!$G34+SUM($G180:Z180))/ROUND(((EOMONTH('Construction Budget'!$M34,0)-EOMONTH(AA$11,0))/30)+1,0),0)</f>
        <v>0</v>
      </c>
      <c r="AB180" s="427">
        <f>-IF(AND(AB$11&gt;=EOMONTH('Construction Budget'!$K34,0),AB$11&lt;=EOMONTH('Construction Budget'!$M34,0)),('Construction Budget'!$G34+SUM($G180:AA180))/ROUND(((EOMONTH('Construction Budget'!$M34,0)-EOMONTH(AB$11,0))/30)+1,0),0)</f>
        <v>0</v>
      </c>
      <c r="AC180" s="427">
        <f>-IF(AND(AC$11&gt;=EOMONTH('Construction Budget'!$K34,0),AC$11&lt;=EOMONTH('Construction Budget'!$M34,0)),('Construction Budget'!$G34+SUM($G180:AB180))/ROUND(((EOMONTH('Construction Budget'!$M34,0)-EOMONTH(AC$11,0))/30)+1,0),0)</f>
        <v>0</v>
      </c>
      <c r="AD180" s="427">
        <f>-IF(AND(AD$11&gt;=EOMONTH('Construction Budget'!$K34,0),AD$11&lt;=EOMONTH('Construction Budget'!$M34,0)),('Construction Budget'!$G34+SUM($G180:AC180))/ROUND(((EOMONTH('Construction Budget'!$M34,0)-EOMONTH(AD$11,0))/30)+1,0),0)</f>
        <v>0</v>
      </c>
      <c r="AE180" s="427">
        <f>-IF(AND(AE$11&gt;=EOMONTH('Construction Budget'!$K34,0),AE$11&lt;=EOMONTH('Construction Budget'!$M34,0)),('Construction Budget'!$G34+SUM($G180:AD180))/ROUND(((EOMONTH('Construction Budget'!$M34,0)-EOMONTH(AE$11,0))/30)+1,0),0)</f>
        <v>0</v>
      </c>
      <c r="AF180" s="427">
        <f>-IF(AND(AF$11&gt;=EOMONTH('Construction Budget'!$K34,0),AF$11&lt;=EOMONTH('Construction Budget'!$M34,0)),('Construction Budget'!$G34+SUM($G180:AE180))/ROUND(((EOMONTH('Construction Budget'!$M34,0)-EOMONTH(AF$11,0))/30)+1,0),0)</f>
        <v>0</v>
      </c>
      <c r="AG180" s="427">
        <f>-IF(AND(AG$11&gt;=EOMONTH('Construction Budget'!$K34,0),AG$11&lt;=EOMONTH('Construction Budget'!$M34,0)),('Construction Budget'!$G34+SUM($G180:AF180))/ROUND(((EOMONTH('Construction Budget'!$M34,0)-EOMONTH(AG$11,0))/30)+1,0),0)</f>
        <v>0</v>
      </c>
      <c r="AH180" s="427">
        <f>-IF(AND(AH$11&gt;=EOMONTH('Construction Budget'!$K34,0),AH$11&lt;=EOMONTH('Construction Budget'!$M34,0)),('Construction Budget'!$G34+SUM($G180:AG180))/ROUND(((EOMONTH('Construction Budget'!$M34,0)-EOMONTH(AH$11,0))/30)+1,0),0)</f>
        <v>0</v>
      </c>
      <c r="AI180" s="427">
        <f>-IF(AND(AI$11&gt;=EOMONTH('Construction Budget'!$K34,0),AI$11&lt;=EOMONTH('Construction Budget'!$M34,0)),('Construction Budget'!$G34+SUM($G180:AH180))/ROUND(((EOMONTH('Construction Budget'!$M34,0)-EOMONTH(AI$11,0))/30)+1,0),0)</f>
        <v>0</v>
      </c>
      <c r="AJ180" s="427">
        <f>-IF(AND(AJ$11&gt;=EOMONTH('Construction Budget'!$K34,0),AJ$11&lt;=EOMONTH('Construction Budget'!$M34,0)),('Construction Budget'!$G34+SUM($G180:AI180))/ROUND(((EOMONTH('Construction Budget'!$M34,0)-EOMONTH(AJ$11,0))/30)+1,0),0)</f>
        <v>0</v>
      </c>
      <c r="AK180" s="427">
        <f>-IF(AND(AK$11&gt;=EOMONTH('Construction Budget'!$K34,0),AK$11&lt;=EOMONTH('Construction Budget'!$M34,0)),('Construction Budget'!$G34+SUM($G180:AJ180))/ROUND(((EOMONTH('Construction Budget'!$M34,0)-EOMONTH(AK$11,0))/30)+1,0),0)</f>
        <v>0</v>
      </c>
      <c r="AL180" s="427">
        <f>-IF(AND(AL$11&gt;=EOMONTH('Construction Budget'!$K34,0),AL$11&lt;=EOMONTH('Construction Budget'!$M34,0)),('Construction Budget'!$G34+SUM($G180:AK180))/ROUND(((EOMONTH('Construction Budget'!$M34,0)-EOMONTH(AL$11,0))/30)+1,0),0)</f>
        <v>0</v>
      </c>
      <c r="AM180" s="427">
        <f>-IF(AND(AM$11&gt;=EOMONTH('Construction Budget'!$K34,0),AM$11&lt;=EOMONTH('Construction Budget'!$M34,0)),('Construction Budget'!$G34+SUM($G180:AL180))/ROUND(((EOMONTH('Construction Budget'!$M34,0)-EOMONTH(AM$11,0))/30)+1,0),0)</f>
        <v>0</v>
      </c>
      <c r="AN180" s="427">
        <f>-IF(AND(AN$11&gt;=EOMONTH('Construction Budget'!$K34,0),AN$11&lt;=EOMONTH('Construction Budget'!$M34,0)),('Construction Budget'!$G34+SUM($G180:AM180))/ROUND(((EOMONTH('Construction Budget'!$M34,0)-EOMONTH(AN$11,0))/30)+1,0),0)</f>
        <v>0</v>
      </c>
      <c r="AO180" s="427">
        <f>-IF(AND(AO$11&gt;=EOMONTH('Construction Budget'!$K34,0),AO$11&lt;=EOMONTH('Construction Budget'!$M34,0)),('Construction Budget'!$G34+SUM($G180:AN180))/ROUND(((EOMONTH('Construction Budget'!$M34,0)-EOMONTH(AO$11,0))/30)+1,0),0)</f>
        <v>0</v>
      </c>
      <c r="AP180" s="427">
        <f>-IF(AND(AP$11&gt;=EOMONTH('Construction Budget'!$K34,0),AP$11&lt;=EOMONTH('Construction Budget'!$M34,0)),('Construction Budget'!$G34+SUM($G180:AO180))/ROUND(((EOMONTH('Construction Budget'!$M34,0)-EOMONTH(AP$11,0))/30)+1,0),0)</f>
        <v>0</v>
      </c>
      <c r="AQ180" s="427">
        <f>-IF(AND(AQ$11&gt;=EOMONTH('Construction Budget'!$K34,0),AQ$11&lt;=EOMONTH('Construction Budget'!$M34,0)),('Construction Budget'!$G34+SUM($G180:AP180))/ROUND(((EOMONTH('Construction Budget'!$M34,0)-EOMONTH(AQ$11,0))/30)+1,0),0)</f>
        <v>0</v>
      </c>
      <c r="AR180" s="427">
        <f>-IF(AND(AR$11&gt;=EOMONTH('Construction Budget'!$K34,0),AR$11&lt;=EOMONTH('Construction Budget'!$M34,0)),('Construction Budget'!$G34+SUM($G180:AQ180))/ROUND(((EOMONTH('Construction Budget'!$M34,0)-EOMONTH(AR$11,0))/30)+1,0),0)</f>
        <v>0</v>
      </c>
      <c r="AS180" s="427">
        <f>-IF(AND(AS$11&gt;=EOMONTH('Construction Budget'!$K34,0),AS$11&lt;=EOMONTH('Construction Budget'!$M34,0)),('Construction Budget'!$G34+SUM($G180:AR180))/ROUND(((EOMONTH('Construction Budget'!$M34,0)-EOMONTH(AS$11,0))/30)+1,0),0)</f>
        <v>0</v>
      </c>
      <c r="AT180" s="427">
        <f>-IF(AND(AT$11&gt;=EOMONTH('Construction Budget'!$K34,0),AT$11&lt;=EOMONTH('Construction Budget'!$M34,0)),('Construction Budget'!$G34+SUM($G180:AS180))/ROUND(((EOMONTH('Construction Budget'!$M34,0)-EOMONTH(AT$11,0))/30)+1,0),0)</f>
        <v>0</v>
      </c>
      <c r="AU180" s="427">
        <f>-IF(AND(AU$11&gt;=EOMONTH('Construction Budget'!$K34,0),AU$11&lt;=EOMONTH('Construction Budget'!$M34,0)),('Construction Budget'!$G34+SUM($G180:AT180))/ROUND(((EOMONTH('Construction Budget'!$M34,0)-EOMONTH(AU$11,0))/30)+1,0),0)</f>
        <v>0</v>
      </c>
      <c r="AV180" s="427">
        <f>-IF(AND(AV$11&gt;=EOMONTH('Construction Budget'!$K34,0),AV$11&lt;=EOMONTH('Construction Budget'!$M34,0)),('Construction Budget'!$G34+SUM($G180:AU180))/ROUND(((EOMONTH('Construction Budget'!$M34,0)-EOMONTH(AV$11,0))/30)+1,0),0)</f>
        <v>0</v>
      </c>
      <c r="AW180" s="427">
        <f>-IF(AND(AW$11&gt;=EOMONTH('Construction Budget'!$K34,0),AW$11&lt;=EOMONTH('Construction Budget'!$M34,0)),('Construction Budget'!$G34+SUM($G180:AV180))/ROUND(((EOMONTH('Construction Budget'!$M34,0)-EOMONTH(AW$11,0))/30)+1,0),0)</f>
        <v>0</v>
      </c>
      <c r="AX180" s="427">
        <f>-IF(AND(AX$11&gt;=EOMONTH('Construction Budget'!$K34,0),AX$11&lt;=EOMONTH('Construction Budget'!$M34,0)),('Construction Budget'!$G34+SUM($G180:AW180))/ROUND(((EOMONTH('Construction Budget'!$M34,0)-EOMONTH(AX$11,0))/30)+1,0),0)</f>
        <v>0</v>
      </c>
      <c r="AY180" s="427">
        <f>-IF(AND(AY$11&gt;=EOMONTH('Construction Budget'!$K34,0),AY$11&lt;=EOMONTH('Construction Budget'!$M34,0)),('Construction Budget'!$G34+SUM($G180:AX180))/ROUND(((EOMONTH('Construction Budget'!$M34,0)-EOMONTH(AY$11,0))/30)+1,0),0)</f>
        <v>0</v>
      </c>
      <c r="AZ180" s="427">
        <f>-IF(AND(AZ$11&gt;=EOMONTH('Construction Budget'!$K34,0),AZ$11&lt;=EOMONTH('Construction Budget'!$M34,0)),('Construction Budget'!$G34+SUM($G180:AY180))/ROUND(((EOMONTH('Construction Budget'!$M34,0)-EOMONTH(AZ$11,0))/30)+1,0),0)</f>
        <v>0</v>
      </c>
      <c r="BA180" s="427">
        <f>-IF(AND(BA$11&gt;=EOMONTH('Construction Budget'!$K34,0),BA$11&lt;=EOMONTH('Construction Budget'!$M34,0)),('Construction Budget'!$G34+SUM($G180:AZ180))/ROUND(((EOMONTH('Construction Budget'!$M34,0)-EOMONTH(BA$11,0))/30)+1,0),0)</f>
        <v>0</v>
      </c>
      <c r="BB180" s="427">
        <f>-IF(AND(BB$11&gt;=EOMONTH('Construction Budget'!$K34,0),BB$11&lt;=EOMONTH('Construction Budget'!$M34,0)),('Construction Budget'!$G34+SUM($G180:BA180))/ROUND(((EOMONTH('Construction Budget'!$M34,0)-EOMONTH(BB$11,0))/30)+1,0),0)</f>
        <v>0</v>
      </c>
      <c r="BC180" s="427">
        <f>-IF(AND(BC$11&gt;=EOMONTH('Construction Budget'!$K34,0),BC$11&lt;=EOMONTH('Construction Budget'!$M34,0)),('Construction Budget'!$G34+SUM($G180:BB180))/ROUND(((EOMONTH('Construction Budget'!$M34,0)-EOMONTH(BC$11,0))/30)+1,0),0)</f>
        <v>0</v>
      </c>
      <c r="BD180" s="427">
        <f>-IF(AND(BD$11&gt;=EOMONTH('Construction Budget'!$K34,0),BD$11&lt;=EOMONTH('Construction Budget'!$M34,0)),('Construction Budget'!$G34+SUM($G180:BC180))/ROUND(((EOMONTH('Construction Budget'!$M34,0)-EOMONTH(BD$11,0))/30)+1,0),0)</f>
        <v>0</v>
      </c>
      <c r="BE180" s="427">
        <f>-IF(AND(BE$11&gt;=EOMONTH('Construction Budget'!$K34,0),BE$11&lt;=EOMONTH('Construction Budget'!$M34,0)),('Construction Budget'!$G34+SUM($G180:BD180))/ROUND(((EOMONTH('Construction Budget'!$M34,0)-EOMONTH(BE$11,0))/30)+1,0),0)</f>
        <v>0</v>
      </c>
      <c r="BF180" s="427">
        <f>-IF(AND(BF$11&gt;=EOMONTH('Construction Budget'!$K34,0),BF$11&lt;=EOMONTH('Construction Budget'!$M34,0)),('Construction Budget'!$G34+SUM($G180:BE180))/ROUND(((EOMONTH('Construction Budget'!$M34,0)-EOMONTH(BF$11,0))/30)+1,0),0)</f>
        <v>0</v>
      </c>
      <c r="BG180" s="427">
        <f>-IF(AND(BG$11&gt;=EOMONTH('Construction Budget'!$K34,0),BG$11&lt;=EOMONTH('Construction Budget'!$M34,0)),('Construction Budget'!$G34+SUM($G180:BF180))/ROUND(((EOMONTH('Construction Budget'!$M34,0)-EOMONTH(BG$11,0))/30)+1,0),0)</f>
        <v>0</v>
      </c>
      <c r="BH180" s="427">
        <f>-IF(AND(BH$11&gt;=EOMONTH('Construction Budget'!$K34,0),BH$11&lt;=EOMONTH('Construction Budget'!$M34,0)),('Construction Budget'!$G34+SUM($G180:BG180))/ROUND(((EOMONTH('Construction Budget'!$M34,0)-EOMONTH(BH$11,0))/30)+1,0),0)</f>
        <v>0</v>
      </c>
      <c r="BI180" s="427">
        <f>-IF(AND(BI$11&gt;=EOMONTH('Construction Budget'!$K34,0),BI$11&lt;=EOMONTH('Construction Budget'!$M34,0)),('Construction Budget'!$G34+SUM($G180:BH180))/ROUND(((EOMONTH('Construction Budget'!$M34,0)-EOMONTH(BI$11,0))/30)+1,0),0)</f>
        <v>0</v>
      </c>
      <c r="BJ180" s="427">
        <f>-IF(AND(BJ$11&gt;=EOMONTH('Construction Budget'!$K34,0),BJ$11&lt;=EOMONTH('Construction Budget'!$M34,0)),('Construction Budget'!$G34+SUM($G180:BI180))/ROUND(((EOMONTH('Construction Budget'!$M34,0)-EOMONTH(BJ$11,0))/30)+1,0),0)</f>
        <v>0</v>
      </c>
      <c r="BK180" s="427">
        <f>-IF(AND(BK$11&gt;=EOMONTH('Construction Budget'!$K34,0),BK$11&lt;=EOMONTH('Construction Budget'!$M34,0)),('Construction Budget'!$G34+SUM($G180:BJ180))/ROUND(((EOMONTH('Construction Budget'!$M34,0)-EOMONTH(BK$11,0))/30)+1,0),0)</f>
        <v>0</v>
      </c>
      <c r="BL180" s="427">
        <f>-IF(AND(BL$11&gt;=EOMONTH('Construction Budget'!$K34,0),BL$11&lt;=EOMONTH('Construction Budget'!$M34,0)),('Construction Budget'!$G34+SUM($G180:BK180))/ROUND(((EOMONTH('Construction Budget'!$M34,0)-EOMONTH(BL$11,0))/30)+1,0),0)</f>
        <v>0</v>
      </c>
      <c r="BM180" s="427">
        <f>-IF(AND(BM$11&gt;=EOMONTH('Construction Budget'!$K34,0),BM$11&lt;=EOMONTH('Construction Budget'!$M34,0)),('Construction Budget'!$G34+SUM($G180:BL180))/ROUND(((EOMONTH('Construction Budget'!$M34,0)-EOMONTH(BM$11,0))/30)+1,0),0)</f>
        <v>0</v>
      </c>
      <c r="BN180" s="427">
        <f>-IF(AND(BN$11&gt;=EOMONTH('Construction Budget'!$K34,0),BN$11&lt;=EOMONTH('Construction Budget'!$M34,0)),('Construction Budget'!$G34+SUM($G180:BM180))/ROUND(((EOMONTH('Construction Budget'!$M34,0)-EOMONTH(BN$11,0))/30)+1,0),0)</f>
        <v>0</v>
      </c>
      <c r="BO180" s="427">
        <f>-IF(AND(BO$11&gt;=EOMONTH('Construction Budget'!$K34,0),BO$11&lt;=EOMONTH('Construction Budget'!$M34,0)),('Construction Budget'!$G34+SUM($G180:BN180))/ROUND(((EOMONTH('Construction Budget'!$M34,0)-EOMONTH(BO$11,0))/30)+1,0),0)</f>
        <v>0</v>
      </c>
      <c r="BP180" s="427">
        <f>-IF(AND(BP$11&gt;=EOMONTH('Construction Budget'!$K34,0),BP$11&lt;=EOMONTH('Construction Budget'!$M34,0)),('Construction Budget'!$G34+SUM($G180:BO180))/ROUND(((EOMONTH('Construction Budget'!$M34,0)-EOMONTH(BP$11,0))/30)+1,0),0)</f>
        <v>0</v>
      </c>
      <c r="BQ180" s="427">
        <f>-IF(AND(BQ$11&gt;=EOMONTH('Construction Budget'!$K34,0),BQ$11&lt;=EOMONTH('Construction Budget'!$M34,0)),('Construction Budget'!$G34+SUM($G180:BP180))/ROUND(((EOMONTH('Construction Budget'!$M34,0)-EOMONTH(BQ$11,0))/30)+1,0),0)</f>
        <v>0</v>
      </c>
      <c r="BR180" s="427">
        <f>-IF(AND(BR$11&gt;=EOMONTH('Construction Budget'!$K34,0),BR$11&lt;=EOMONTH('Construction Budget'!$M34,0)),('Construction Budget'!$G34+SUM($G180:BQ180))/ROUND(((EOMONTH('Construction Budget'!$M34,0)-EOMONTH(BR$11,0))/30)+1,0),0)</f>
        <v>0</v>
      </c>
      <c r="BS180" s="427">
        <f>-IF(AND(BS$11&gt;=EOMONTH('Construction Budget'!$K34,0),BS$11&lt;=EOMONTH('Construction Budget'!$M34,0)),('Construction Budget'!$G34+SUM($G180:BR180))/ROUND(((EOMONTH('Construction Budget'!$M34,0)-EOMONTH(BS$11,0))/30)+1,0),0)</f>
        <v>0</v>
      </c>
      <c r="BT180" s="427">
        <f>-IF(AND(BT$11&gt;=EOMONTH('Construction Budget'!$K34,0),BT$11&lt;=EOMONTH('Construction Budget'!$M34,0)),('Construction Budget'!$G34+SUM($G180:BS180))/ROUND(((EOMONTH('Construction Budget'!$M34,0)-EOMONTH(BT$11,0))/30)+1,0),0)</f>
        <v>0</v>
      </c>
      <c r="BU180" s="427">
        <f>-IF(AND(BU$11&gt;=EOMONTH('Construction Budget'!$K34,0),BU$11&lt;=EOMONTH('Construction Budget'!$M34,0)),('Construction Budget'!$G34+SUM($G180:BT180))/ROUND(((EOMONTH('Construction Budget'!$M34,0)-EOMONTH(BU$11,0))/30)+1,0),0)</f>
        <v>0</v>
      </c>
      <c r="BV180" s="427">
        <f>-IF(AND(BV$11&gt;=EOMONTH('Construction Budget'!$K34,0),BV$11&lt;=EOMONTH('Construction Budget'!$M34,0)),('Construction Budget'!$G34+SUM($G180:BU180))/ROUND(((EOMONTH('Construction Budget'!$M34,0)-EOMONTH(BV$11,0))/30)+1,0),0)</f>
        <v>0</v>
      </c>
      <c r="BW180" s="427">
        <f>-IF(AND(BW$11&gt;=EOMONTH('Construction Budget'!$K34,0),BW$11&lt;=EOMONTH('Construction Budget'!$M34,0)),('Construction Budget'!$G34+SUM($G180:BV180))/ROUND(((EOMONTH('Construction Budget'!$M34,0)-EOMONTH(BW$11,0))/30)+1,0),0)</f>
        <v>0</v>
      </c>
      <c r="BX180" s="427">
        <f>-IF(AND(BX$11&gt;=EOMONTH('Construction Budget'!$K34,0),BX$11&lt;=EOMONTH('Construction Budget'!$M34,0)),('Construction Budget'!$G34+SUM($G180:BW180))/ROUND(((EOMONTH('Construction Budget'!$M34,0)-EOMONTH(BX$11,0))/30)+1,0),0)</f>
        <v>0</v>
      </c>
      <c r="BY180" s="427">
        <f>-IF(AND(BY$11&gt;=EOMONTH('Construction Budget'!$K34,0),BY$11&lt;=EOMONTH('Construction Budget'!$M34,0)),('Construction Budget'!$G34+SUM($G180:BX180))/ROUND(((EOMONTH('Construction Budget'!$M34,0)-EOMONTH(BY$11,0))/30)+1,0),0)</f>
        <v>0</v>
      </c>
      <c r="BZ180" s="427">
        <f>-IF(AND(BZ$11&gt;=EOMONTH('Construction Budget'!$K34,0),BZ$11&lt;=EOMONTH('Construction Budget'!$M34,0)),('Construction Budget'!$G34+SUM($G180:BY180))/ROUND(((EOMONTH('Construction Budget'!$M34,0)-EOMONTH(BZ$11,0))/30)+1,0),0)</f>
        <v>0</v>
      </c>
      <c r="CA180" s="427">
        <f>-IF(AND(CA$11&gt;=EOMONTH('Construction Budget'!$K34,0),CA$11&lt;=EOMONTH('Construction Budget'!$M34,0)),('Construction Budget'!$G34+SUM($G180:BZ180))/ROUND(((EOMONTH('Construction Budget'!$M34,0)-EOMONTH(CA$11,0))/30)+1,0),0)</f>
        <v>0</v>
      </c>
      <c r="CB180" s="427">
        <f>-IF(AND(CB$11&gt;=EOMONTH('Construction Budget'!$K34,0),CB$11&lt;=EOMONTH('Construction Budget'!$M34,0)),('Construction Budget'!$G34+SUM($G180:CA180))/ROUND(((EOMONTH('Construction Budget'!$M34,0)-EOMONTH(CB$11,0))/30)+1,0),0)</f>
        <v>0</v>
      </c>
      <c r="CC180" s="427">
        <f>-IF(AND(CC$11&gt;=EOMONTH('Construction Budget'!$K34,0),CC$11&lt;=EOMONTH('Construction Budget'!$M34,0)),('Construction Budget'!$G34+SUM($G180:CB180))/ROUND(((EOMONTH('Construction Budget'!$M34,0)-EOMONTH(CC$11,0))/30)+1,0),0)</f>
        <v>0</v>
      </c>
      <c r="CD180" s="427">
        <f>-IF(AND(CD$11&gt;=EOMONTH('Construction Budget'!$K34,0),CD$11&lt;=EOMONTH('Construction Budget'!$M34,0)),('Construction Budget'!$G34+SUM($G180:CC180))/ROUND(((EOMONTH('Construction Budget'!$M34,0)-EOMONTH(CD$11,0))/30)+1,0),0)</f>
        <v>0</v>
      </c>
      <c r="CE180" s="427">
        <f>-IF(AND(CE$11&gt;=EOMONTH('Construction Budget'!$K34,0),CE$11&lt;=EOMONTH('Construction Budget'!$M34,0)),('Construction Budget'!$G34+SUM($G180:CD180))/ROUND(((EOMONTH('Construction Budget'!$M34,0)-EOMONTH(CE$11,0))/30)+1,0),0)</f>
        <v>0</v>
      </c>
      <c r="CF180" s="427">
        <f>-IF(AND(CF$11&gt;=EOMONTH('Construction Budget'!$K34,0),CF$11&lt;=EOMONTH('Construction Budget'!$M34,0)),('Construction Budget'!$G34+SUM($G180:CE180))/ROUND(((EOMONTH('Construction Budget'!$M34,0)-EOMONTH(CF$11,0))/30)+1,0),0)</f>
        <v>0</v>
      </c>
      <c r="CG180" s="427">
        <f>-IF(AND(CG$11&gt;=EOMONTH('Construction Budget'!$K34,0),CG$11&lt;=EOMONTH('Construction Budget'!$M34,0)),('Construction Budget'!$G34+SUM($G180:CF180))/ROUND(((EOMONTH('Construction Budget'!$M34,0)-EOMONTH(CG$11,0))/30)+1,0),0)</f>
        <v>0</v>
      </c>
      <c r="CH180" s="427">
        <f>-IF(AND(CH$11&gt;=EOMONTH('Construction Budget'!$K34,0),CH$11&lt;=EOMONTH('Construction Budget'!$M34,0)),('Construction Budget'!$G34+SUM($G180:CG180))/ROUND(((EOMONTH('Construction Budget'!$M34,0)-EOMONTH(CH$11,0))/30)+1,0),0)</f>
        <v>0</v>
      </c>
      <c r="CI180" s="427">
        <f>-IF(AND(CI$11&gt;=EOMONTH('Construction Budget'!$K34,0),CI$11&lt;=EOMONTH('Construction Budget'!$M34,0)),('Construction Budget'!$G34+SUM($G180:CH180))/ROUND(((EOMONTH('Construction Budget'!$M34,0)-EOMONTH(CI$11,0))/30)+1,0),0)</f>
        <v>0</v>
      </c>
      <c r="CJ180" s="427">
        <f>-IF(AND(CJ$11&gt;=EOMONTH('Construction Budget'!$K34,0),CJ$11&lt;=EOMONTH('Construction Budget'!$M34,0)),('Construction Budget'!$G34+SUM($G180:CI180))/ROUND(((EOMONTH('Construction Budget'!$M34,0)-EOMONTH(CJ$11,0))/30)+1,0),0)</f>
        <v>0</v>
      </c>
      <c r="CK180" s="427">
        <f>-IF(AND(CK$11&gt;=EOMONTH('Construction Budget'!$K34,0),CK$11&lt;=EOMONTH('Construction Budget'!$M34,0)),('Construction Budget'!$G34+SUM($G180:CJ180))/ROUND(((EOMONTH('Construction Budget'!$M34,0)-EOMONTH(CK$11,0))/30)+1,0),0)</f>
        <v>0</v>
      </c>
      <c r="CL180" s="427">
        <f>-IF(AND(CL$11&gt;=EOMONTH('Construction Budget'!$K34,0),CL$11&lt;=EOMONTH('Construction Budget'!$M34,0)),('Construction Budget'!$G34+SUM($G180:CK180))/ROUND(((EOMONTH('Construction Budget'!$M34,0)-EOMONTH(CL$11,0))/30)+1,0),0)</f>
        <v>0</v>
      </c>
      <c r="CM180" s="427">
        <f>-IF(AND(CM$11&gt;=EOMONTH('Construction Budget'!$K34,0),CM$11&lt;=EOMONTH('Construction Budget'!$M34,0)),('Construction Budget'!$G34+SUM($G180:CL180))/ROUND(((EOMONTH('Construction Budget'!$M34,0)-EOMONTH(CM$11,0))/30)+1,0),0)</f>
        <v>0</v>
      </c>
      <c r="CN180" s="427">
        <f>-IF(AND(CN$11&gt;=EOMONTH('Construction Budget'!$K34,0),CN$11&lt;=EOMONTH('Construction Budget'!$M34,0)),('Construction Budget'!$G34+SUM($G180:CM180))/ROUND(((EOMONTH('Construction Budget'!$M34,0)-EOMONTH(CN$11,0))/30)+1,0),0)</f>
        <v>0</v>
      </c>
      <c r="CO180" s="427">
        <f>-IF(AND(CO$11&gt;=EOMONTH('Construction Budget'!$K34,0),CO$11&lt;=EOMONTH('Construction Budget'!$M34,0)),('Construction Budget'!$G34+SUM($G180:CN180))/ROUND(((EOMONTH('Construction Budget'!$M34,0)-EOMONTH(CO$11,0))/30)+1,0),0)</f>
        <v>0</v>
      </c>
      <c r="CP180" s="427">
        <f>-IF(AND(CP$11&gt;=EOMONTH('Construction Budget'!$K34,0),CP$11&lt;=EOMONTH('Construction Budget'!$M34,0)),('Construction Budget'!$G34+SUM($G180:CO180))/ROUND(((EOMONTH('Construction Budget'!$M34,0)-EOMONTH(CP$11,0))/30)+1,0),0)</f>
        <v>0</v>
      </c>
      <c r="CQ180" s="427">
        <f>-IF(AND(CQ$11&gt;=EOMONTH('Construction Budget'!$K34,0),CQ$11&lt;=EOMONTH('Construction Budget'!$M34,0)),('Construction Budget'!$G34+SUM($G180:CP180))/ROUND(((EOMONTH('Construction Budget'!$M34,0)-EOMONTH(CQ$11,0))/30)+1,0),0)</f>
        <v>0</v>
      </c>
      <c r="CR180" s="427">
        <f>-IF(AND(CR$11&gt;=EOMONTH('Construction Budget'!$K34,0),CR$11&lt;=EOMONTH('Construction Budget'!$M34,0)),('Construction Budget'!$G34+SUM($G180:CQ180))/ROUND(((EOMONTH('Construction Budget'!$M34,0)-EOMONTH(CR$11,0))/30)+1,0),0)</f>
        <v>0</v>
      </c>
      <c r="CS180" s="427">
        <f>-IF(AND(CS$11&gt;=EOMONTH('Construction Budget'!$K34,0),CS$11&lt;=EOMONTH('Construction Budget'!$M34,0)),('Construction Budget'!$G34+SUM($G180:CR180))/ROUND(((EOMONTH('Construction Budget'!$M34,0)-EOMONTH(CS$11,0))/30)+1,0),0)</f>
        <v>0</v>
      </c>
      <c r="CT180" s="427">
        <f>-IF(AND(CT$11&gt;=EOMONTH('Construction Budget'!$K34,0),CT$11&lt;=EOMONTH('Construction Budget'!$M34,0)),('Construction Budget'!$G34+SUM($G180:CS180))/ROUND(((EOMONTH('Construction Budget'!$M34,0)-EOMONTH(CT$11,0))/30)+1,0),0)</f>
        <v>0</v>
      </c>
      <c r="CU180" s="427">
        <f>-IF(AND(CU$11&gt;=EOMONTH('Construction Budget'!$K34,0),CU$11&lt;=EOMONTH('Construction Budget'!$M34,0)),('Construction Budget'!$G34+SUM($G180:CT180))/ROUND(((EOMONTH('Construction Budget'!$M34,0)-EOMONTH(CU$11,0))/30)+1,0),0)</f>
        <v>0</v>
      </c>
      <c r="CV180" s="427">
        <f>-IF(AND(CV$11&gt;=EOMONTH('Construction Budget'!$K34,0),CV$11&lt;=EOMONTH('Construction Budget'!$M34,0)),('Construction Budget'!$G34+SUM($G180:CU180))/ROUND(((EOMONTH('Construction Budget'!$M34,0)-EOMONTH(CV$11,0))/30)+1,0),0)</f>
        <v>0</v>
      </c>
      <c r="CW180" s="427">
        <f>-IF(AND(CW$11&gt;=EOMONTH('Construction Budget'!$K34,0),CW$11&lt;=EOMONTH('Construction Budget'!$M34,0)),('Construction Budget'!$G34+SUM($G180:CV180))/ROUND(((EOMONTH('Construction Budget'!$M34,0)-EOMONTH(CW$11,0))/30)+1,0),0)</f>
        <v>0</v>
      </c>
      <c r="CX180" s="427">
        <f>-IF(AND(CX$11&gt;=EOMONTH('Construction Budget'!$K34,0),CX$11&lt;=EOMONTH('Construction Budget'!$M34,0)),('Construction Budget'!$G34+SUM($G180:CW180))/ROUND(((EOMONTH('Construction Budget'!$M34,0)-EOMONTH(CX$11,0))/30)+1,0),0)</f>
        <v>0</v>
      </c>
      <c r="CY180" s="427">
        <f>-IF(AND(CY$11&gt;=EOMONTH('Construction Budget'!$K34,0),CY$11&lt;=EOMONTH('Construction Budget'!$M34,0)),('Construction Budget'!$G34+SUM($G180:CX180))/ROUND(((EOMONTH('Construction Budget'!$M34,0)-EOMONTH(CY$11,0))/30)+1,0),0)</f>
        <v>0</v>
      </c>
      <c r="CZ180" s="427">
        <f>-IF(AND(CZ$11&gt;=EOMONTH('Construction Budget'!$K34,0),CZ$11&lt;=EOMONTH('Construction Budget'!$M34,0)),('Construction Budget'!$G34+SUM($G180:CY180))/ROUND(((EOMONTH('Construction Budget'!$M34,0)-EOMONTH(CZ$11,0))/30)+1,0),0)</f>
        <v>0</v>
      </c>
      <c r="DA180" s="427">
        <f>-IF(AND(DA$11&gt;=EOMONTH('Construction Budget'!$K34,0),DA$11&lt;=EOMONTH('Construction Budget'!$M34,0)),('Construction Budget'!$G34+SUM($G180:CZ180))/ROUND(((EOMONTH('Construction Budget'!$M34,0)-EOMONTH(DA$11,0))/30)+1,0),0)</f>
        <v>0</v>
      </c>
      <c r="DB180" s="427">
        <f>-IF(AND(DB$11&gt;=EOMONTH('Construction Budget'!$K34,0),DB$11&lt;=EOMONTH('Construction Budget'!$M34,0)),('Construction Budget'!$G34+SUM($G180:DA180))/ROUND(((EOMONTH('Construction Budget'!$M34,0)-EOMONTH(DB$11,0))/30)+1,0),0)</f>
        <v>0</v>
      </c>
      <c r="DC180" s="427">
        <f>-IF(AND(DC$11&gt;=EOMONTH('Construction Budget'!$K34,0),DC$11&lt;=EOMONTH('Construction Budget'!$M34,0)),('Construction Budget'!$G34+SUM($G180:DB180))/ROUND(((EOMONTH('Construction Budget'!$M34,0)-EOMONTH(DC$11,0))/30)+1,0),0)</f>
        <v>0</v>
      </c>
      <c r="DD180" s="427">
        <f>-IF(AND(DD$11&gt;=EOMONTH('Construction Budget'!$K34,0),DD$11&lt;=EOMONTH('Construction Budget'!$M34,0)),('Construction Budget'!$G34+SUM($G180:DC180))/ROUND(((EOMONTH('Construction Budget'!$M34,0)-EOMONTH(DD$11,0))/30)+1,0),0)</f>
        <v>0</v>
      </c>
      <c r="DE180" s="427">
        <f>-IF(AND(DE$11&gt;=EOMONTH('Construction Budget'!$K34,0),DE$11&lt;=EOMONTH('Construction Budget'!$M34,0)),('Construction Budget'!$G34+SUM($G180:DD180))/ROUND(((EOMONTH('Construction Budget'!$M34,0)-EOMONTH(DE$11,0))/30)+1,0),0)</f>
        <v>0</v>
      </c>
      <c r="DF180" s="427">
        <f>-IF(AND(DF$11&gt;=EOMONTH('Construction Budget'!$K34,0),DF$11&lt;=EOMONTH('Construction Budget'!$M34,0)),('Construction Budget'!$G34+SUM($G180:DE180))/ROUND(((EOMONTH('Construction Budget'!$M34,0)-EOMONTH(DF$11,0))/30)+1,0),0)</f>
        <v>0</v>
      </c>
      <c r="DG180" s="427">
        <f>-IF(AND(DG$11&gt;=EOMONTH('Construction Budget'!$K34,0),DG$11&lt;=EOMONTH('Construction Budget'!$M34,0)),('Construction Budget'!$G34+SUM($G180:DF180))/ROUND(((EOMONTH('Construction Budget'!$M34,0)-EOMONTH(DG$11,0))/30)+1,0),0)</f>
        <v>0</v>
      </c>
      <c r="DH180" s="427">
        <f>-IF(AND(DH$11&gt;=EOMONTH('Construction Budget'!$K34,0),DH$11&lt;=EOMONTH('Construction Budget'!$M34,0)),('Construction Budget'!$G34+SUM($G180:DG180))/ROUND(((EOMONTH('Construction Budget'!$M34,0)-EOMONTH(DH$11,0))/30)+1,0),0)</f>
        <v>0</v>
      </c>
      <c r="DI180" s="427">
        <f>-IF(AND(DI$11&gt;=EOMONTH('Construction Budget'!$K34,0),DI$11&lt;=EOMONTH('Construction Budget'!$M34,0)),('Construction Budget'!$G34+SUM($G180:DH180))/ROUND(((EOMONTH('Construction Budget'!$M34,0)-EOMONTH(DI$11,0))/30)+1,0),0)</f>
        <v>0</v>
      </c>
      <c r="DJ180" s="427">
        <f>-IF(AND(DJ$11&gt;=EOMONTH('Construction Budget'!$K34,0),DJ$11&lt;=EOMONTH('Construction Budget'!$M34,0)),('Construction Budget'!$G34+SUM($G180:DI180))/ROUND(((EOMONTH('Construction Budget'!$M34,0)-EOMONTH(DJ$11,0))/30)+1,0),0)</f>
        <v>0</v>
      </c>
      <c r="DK180" s="427">
        <f>-IF(AND(DK$11&gt;=EOMONTH('Construction Budget'!$K34,0),DK$11&lt;=EOMONTH('Construction Budget'!$M34,0)),('Construction Budget'!$G34+SUM($G180:DJ180))/ROUND(((EOMONTH('Construction Budget'!$M34,0)-EOMONTH(DK$11,0))/30)+1,0),0)</f>
        <v>0</v>
      </c>
      <c r="DL180" s="427">
        <f>-IF(AND(DL$11&gt;=EOMONTH('Construction Budget'!$K34,0),DL$11&lt;=EOMONTH('Construction Budget'!$M34,0)),('Construction Budget'!$G34+SUM($G180:DK180))/ROUND(((EOMONTH('Construction Budget'!$M34,0)-EOMONTH(DL$11,0))/30)+1,0),0)</f>
        <v>0</v>
      </c>
      <c r="DM180" s="427">
        <f>-IF(AND(DM$11&gt;=EOMONTH('Construction Budget'!$K34,0),DM$11&lt;=EOMONTH('Construction Budget'!$M34,0)),('Construction Budget'!$G34+SUM($G180:DL180))/ROUND(((EOMONTH('Construction Budget'!$M34,0)-EOMONTH(DM$11,0))/30)+1,0),0)</f>
        <v>0</v>
      </c>
      <c r="DN180" s="427">
        <f>-IF(AND(DN$11&gt;=EOMONTH('Construction Budget'!$K34,0),DN$11&lt;=EOMONTH('Construction Budget'!$M34,0)),('Construction Budget'!$G34+SUM($G180:DM180))/ROUND(((EOMONTH('Construction Budget'!$M34,0)-EOMONTH(DN$11,0))/30)+1,0),0)</f>
        <v>0</v>
      </c>
      <c r="DO180" s="427">
        <f>-IF(AND(DO$11&gt;=EOMONTH('Construction Budget'!$K34,0),DO$11&lt;=EOMONTH('Construction Budget'!$M34,0)),('Construction Budget'!$G34+SUM($G180:DN180))/ROUND(((EOMONTH('Construction Budget'!$M34,0)-EOMONTH(DO$11,0))/30)+1,0),0)</f>
        <v>0</v>
      </c>
      <c r="DP180" s="427">
        <f>-IF(AND(DP$11&gt;=EOMONTH('Construction Budget'!$K34,0),DP$11&lt;=EOMONTH('Construction Budget'!$M34,0)),('Construction Budget'!$G34+SUM($G180:DO180))/ROUND(((EOMONTH('Construction Budget'!$M34,0)-EOMONTH(DP$11,0))/30)+1,0),0)</f>
        <v>0</v>
      </c>
      <c r="DQ180" s="427">
        <f>-IF(AND(DQ$11&gt;=EOMONTH('Construction Budget'!$K34,0),DQ$11&lt;=EOMONTH('Construction Budget'!$M34,0)),('Construction Budget'!$G34+SUM($G180:DP180))/ROUND(((EOMONTH('Construction Budget'!$M34,0)-EOMONTH(DQ$11,0))/30)+1,0),0)</f>
        <v>0</v>
      </c>
      <c r="DR180" s="427">
        <f>-IF(AND(DR$11&gt;=EOMONTH('Construction Budget'!$K34,0),DR$11&lt;=EOMONTH('Construction Budget'!$M34,0)),('Construction Budget'!$G34+SUM($G180:DQ180))/ROUND(((EOMONTH('Construction Budget'!$M34,0)-EOMONTH(DR$11,0))/30)+1,0),0)</f>
        <v>0</v>
      </c>
      <c r="DS180" s="427">
        <f>-IF(AND(DS$11&gt;=EOMONTH('Construction Budget'!$K34,0),DS$11&lt;=EOMONTH('Construction Budget'!$M34,0)),('Construction Budget'!$G34+SUM($G180:DR180))/ROUND(((EOMONTH('Construction Budget'!$M34,0)-EOMONTH(DS$11,0))/30)+1,0),0)</f>
        <v>0</v>
      </c>
      <c r="DT180" s="427">
        <f>-IF(AND(DT$11&gt;=EOMONTH('Construction Budget'!$K34,0),DT$11&lt;=EOMONTH('Construction Budget'!$M34,0)),('Construction Budget'!$G34+SUM($G180:DS180))/ROUND(((EOMONTH('Construction Budget'!$M34,0)-EOMONTH(DT$11,0))/30)+1,0),0)</f>
        <v>0</v>
      </c>
      <c r="DU180" s="427">
        <f>-IF(AND(DU$11&gt;=EOMONTH('Construction Budget'!$K34,0),DU$11&lt;=EOMONTH('Construction Budget'!$M34,0)),('Construction Budget'!$G34+SUM($G180:DT180))/ROUND(((EOMONTH('Construction Budget'!$M34,0)-EOMONTH(DU$11,0))/30)+1,0),0)</f>
        <v>0</v>
      </c>
      <c r="DV180" s="427">
        <f>-IF(AND(DV$11&gt;=EOMONTH('Construction Budget'!$K34,0),DV$11&lt;=EOMONTH('Construction Budget'!$M34,0)),('Construction Budget'!$G34+SUM($G180:DU180))/ROUND(((EOMONTH('Construction Budget'!$M34,0)-EOMONTH(DV$11,0))/30)+1,0),0)</f>
        <v>0</v>
      </c>
      <c r="DW180" s="427">
        <f>-IF(AND(DW$11&gt;=EOMONTH('Construction Budget'!$K34,0),DW$11&lt;=EOMONTH('Construction Budget'!$M34,0)),('Construction Budget'!$G34+SUM($G180:DV180))/ROUND(((EOMONTH('Construction Budget'!$M34,0)-EOMONTH(DW$11,0))/30)+1,0),0)</f>
        <v>0</v>
      </c>
      <c r="DX180" s="427">
        <f>-IF(AND(DX$11&gt;=EOMONTH('Construction Budget'!$K34,0),DX$11&lt;=EOMONTH('Construction Budget'!$M34,0)),('Construction Budget'!$G34+SUM($G180:DW180))/ROUND(((EOMONTH('Construction Budget'!$M34,0)-EOMONTH(DX$11,0))/30)+1,0),0)</f>
        <v>0</v>
      </c>
      <c r="DY180" s="427">
        <f>-IF(AND(DY$11&gt;=EOMONTH('Construction Budget'!$K34,0),DY$11&lt;=EOMONTH('Construction Budget'!$M34,0)),('Construction Budget'!$G34+SUM($G180:DX180))/ROUND(((EOMONTH('Construction Budget'!$M34,0)-EOMONTH(DY$11,0))/30)+1,0),0)</f>
        <v>0</v>
      </c>
      <c r="DZ180" s="427">
        <f>-IF(AND(DZ$11&gt;=EOMONTH('Construction Budget'!$K34,0),DZ$11&lt;=EOMONTH('Construction Budget'!$M34,0)),('Construction Budget'!$G34+SUM($G180:DY180))/ROUND(((EOMONTH('Construction Budget'!$M34,0)-EOMONTH(DZ$11,0))/30)+1,0),0)</f>
        <v>0</v>
      </c>
      <c r="EA180" s="427">
        <f>-IF(AND(EA$11&gt;=EOMONTH('Construction Budget'!$K34,0),EA$11&lt;=EOMONTH('Construction Budget'!$M34,0)),('Construction Budget'!$G34+SUM($G180:DZ180))/ROUND(((EOMONTH('Construction Budget'!$M34,0)-EOMONTH(EA$11,0))/30)+1,0),0)</f>
        <v>0</v>
      </c>
      <c r="EB180" s="427">
        <f>-IF(AND(EB$11&gt;=EOMONTH('Construction Budget'!$K34,0),EB$11&lt;=EOMONTH('Construction Budget'!$M34,0)),('Construction Budget'!$G34+SUM($G180:EA180))/ROUND(((EOMONTH('Construction Budget'!$M34,0)-EOMONTH(EB$11,0))/30)+1,0),0)</f>
        <v>0</v>
      </c>
      <c r="EC180" s="427">
        <f>-IF(AND(EC$11&gt;=EOMONTH('Construction Budget'!$K34,0),EC$11&lt;=EOMONTH('Construction Budget'!$M34,0)),('Construction Budget'!$G34+SUM($G180:EB180))/ROUND(((EOMONTH('Construction Budget'!$M34,0)-EOMONTH(EC$11,0))/30)+1,0),0)</f>
        <v>0</v>
      </c>
      <c r="ED180" s="427">
        <f>-IF(AND(ED$11&gt;=EOMONTH('Construction Budget'!$K34,0),ED$11&lt;=EOMONTH('Construction Budget'!$M34,0)),('Construction Budget'!$G34+SUM($G180:EC180))/ROUND(((EOMONTH('Construction Budget'!$M34,0)-EOMONTH(ED$11,0))/30)+1,0),0)</f>
        <v>0</v>
      </c>
      <c r="EE180" s="427">
        <f>-IF(AND(EE$11&gt;=EOMONTH('Construction Budget'!$K34,0),EE$11&lt;=EOMONTH('Construction Budget'!$M34,0)),('Construction Budget'!$G34+SUM($G180:ED180))/ROUND(((EOMONTH('Construction Budget'!$M34,0)-EOMONTH(EE$11,0))/30)+1,0),0)</f>
        <v>0</v>
      </c>
      <c r="EF180" s="427">
        <f>-IF(AND(EF$11&gt;=EOMONTH('Construction Budget'!$K34,0),EF$11&lt;=EOMONTH('Construction Budget'!$M34,0)),('Construction Budget'!$G34+SUM($G180:EE180))/ROUND(((EOMONTH('Construction Budget'!$M34,0)-EOMONTH(EF$11,0))/30)+1,0),0)</f>
        <v>0</v>
      </c>
      <c r="EG180" s="427">
        <f>-IF(AND(EG$11&gt;=EOMONTH('Construction Budget'!$K34,0),EG$11&lt;=EOMONTH('Construction Budget'!$M34,0)),('Construction Budget'!$G34+SUM($G180:EF180))/ROUND(((EOMONTH('Construction Budget'!$M34,0)-EOMONTH(EG$11,0))/30)+1,0),0)</f>
        <v>0</v>
      </c>
      <c r="EH180" s="427">
        <f>-IF(AND(EH$11&gt;=EOMONTH('Construction Budget'!$K34,0),EH$11&lt;=EOMONTH('Construction Budget'!$M34,0)),('Construction Budget'!$G34+SUM($G180:EG180))/ROUND(((EOMONTH('Construction Budget'!$M34,0)-EOMONTH(EH$11,0))/30)+1,0),0)</f>
        <v>0</v>
      </c>
      <c r="EI180" s="427">
        <f>-IF(AND(EI$11&gt;=EOMONTH('Construction Budget'!$K34,0),EI$11&lt;=EOMONTH('Construction Budget'!$M34,0)),('Construction Budget'!$G34+SUM($G180:EH180))/ROUND(((EOMONTH('Construction Budget'!$M34,0)-EOMONTH(EI$11,0))/30)+1,0),0)</f>
        <v>0</v>
      </c>
      <c r="EJ180" s="427">
        <f>-IF(AND(EJ$11&gt;=EOMONTH('Construction Budget'!$K34,0),EJ$11&lt;=EOMONTH('Construction Budget'!$M34,0)),('Construction Budget'!$G34+SUM($G180:EI180))/ROUND(((EOMONTH('Construction Budget'!$M34,0)-EOMONTH(EJ$11,0))/30)+1,0),0)</f>
        <v>0</v>
      </c>
      <c r="EK180" s="427">
        <f>-IF(AND(EK$11&gt;=EOMONTH('Construction Budget'!$K34,0),EK$11&lt;=EOMONTH('Construction Budget'!$M34,0)),('Construction Budget'!$G34+SUM($G180:EJ180))/ROUND(((EOMONTH('Construction Budget'!$M34,0)-EOMONTH(EK$11,0))/30)+1,0),0)</f>
        <v>0</v>
      </c>
      <c r="EL180" s="427">
        <f>-IF(AND(EL$11&gt;=EOMONTH('Construction Budget'!$K34,0),EL$11&lt;=EOMONTH('Construction Budget'!$M34,0)),('Construction Budget'!$G34+SUM($G180:EK180))/ROUND(((EOMONTH('Construction Budget'!$M34,0)-EOMONTH(EL$11,0))/30)+1,0),0)</f>
        <v>0</v>
      </c>
      <c r="EM180" s="427">
        <f>-IF(AND(EM$11&gt;=EOMONTH('Construction Budget'!$K34,0),EM$11&lt;=EOMONTH('Construction Budget'!$M34,0)),('Construction Budget'!$G34+SUM($G180:EL180))/ROUND(((EOMONTH('Construction Budget'!$M34,0)-EOMONTH(EM$11,0))/30)+1,0),0)</f>
        <v>0</v>
      </c>
      <c r="EN180" s="427">
        <f>-IF(AND(EN$11&gt;=EOMONTH('Construction Budget'!$K34,0),EN$11&lt;=EOMONTH('Construction Budget'!$M34,0)),('Construction Budget'!$G34+SUM($G180:EM180))/ROUND(((EOMONTH('Construction Budget'!$M34,0)-EOMONTH(EN$11,0))/30)+1,0),0)</f>
        <v>0</v>
      </c>
      <c r="EO180" s="427">
        <f>-IF(AND(EO$11&gt;=EOMONTH('Construction Budget'!$K34,0),EO$11&lt;=EOMONTH('Construction Budget'!$M34,0)),('Construction Budget'!$G34+SUM($G180:EN180))/ROUND(((EOMONTH('Construction Budget'!$M34,0)-EOMONTH(EO$11,0))/30)+1,0),0)</f>
        <v>0</v>
      </c>
      <c r="EP180" s="427">
        <f>-IF(AND(EP$11&gt;=EOMONTH('Construction Budget'!$K34,0),EP$11&lt;=EOMONTH('Construction Budget'!$M34,0)),('Construction Budget'!$G34+SUM($G180:EO180))/ROUND(((EOMONTH('Construction Budget'!$M34,0)-EOMONTH(EP$11,0))/30)+1,0),0)</f>
        <v>0</v>
      </c>
      <c r="EQ180" s="427">
        <f>-IF(AND(EQ$11&gt;=EOMONTH('Construction Budget'!$K34,0),EQ$11&lt;=EOMONTH('Construction Budget'!$M34,0)),('Construction Budget'!$G34+SUM($G180:EP180))/ROUND(((EOMONTH('Construction Budget'!$M34,0)-EOMONTH(EQ$11,0))/30)+1,0),0)</f>
        <v>0</v>
      </c>
      <c r="ER180" s="427">
        <f>-IF(AND(ER$11&gt;=EOMONTH('Construction Budget'!$K34,0),ER$11&lt;=EOMONTH('Construction Budget'!$M34,0)),('Construction Budget'!$G34+SUM($G180:EQ180))/ROUND(((EOMONTH('Construction Budget'!$M34,0)-EOMONTH(ER$11,0))/30)+1,0),0)</f>
        <v>0</v>
      </c>
      <c r="ES180" s="427">
        <f>-IF(AND(ES$11&gt;=EOMONTH('Construction Budget'!$K34,0),ES$11&lt;=EOMONTH('Construction Budget'!$M34,0)),('Construction Budget'!$G34+SUM($G180:ER180))/ROUND(((EOMONTH('Construction Budget'!$M34,0)-EOMONTH(ES$11,0))/30)+1,0),0)</f>
        <v>0</v>
      </c>
      <c r="ET180" s="427">
        <f>-IF(AND(ET$11&gt;=EOMONTH('Construction Budget'!$K34,0),ET$11&lt;=EOMONTH('Construction Budget'!$M34,0)),('Construction Budget'!$G34+SUM($G180:ES180))/ROUND(((EOMONTH('Construction Budget'!$M34,0)-EOMONTH(ET$11,0))/30)+1,0),0)</f>
        <v>0</v>
      </c>
      <c r="EU180" s="427">
        <f>-IF(AND(EU$11&gt;=EOMONTH('Construction Budget'!$K34,0),EU$11&lt;=EOMONTH('Construction Budget'!$M34,0)),('Construction Budget'!$G34+SUM($G180:ET180))/ROUND(((EOMONTH('Construction Budget'!$M34,0)-EOMONTH(EU$11,0))/30)+1,0),0)</f>
        <v>0</v>
      </c>
      <c r="EV180" s="427">
        <f>-IF(AND(EV$11&gt;=EOMONTH('Construction Budget'!$K34,0),EV$11&lt;=EOMONTH('Construction Budget'!$M34,0)),('Construction Budget'!$G34+SUM($G180:EU180))/ROUND(((EOMONTH('Construction Budget'!$M34,0)-EOMONTH(EV$11,0))/30)+1,0),0)</f>
        <v>0</v>
      </c>
      <c r="EW180" s="427">
        <f>-IF(AND(EW$11&gt;=EOMONTH('Construction Budget'!$K34,0),EW$11&lt;=EOMONTH('Construction Budget'!$M34,0)),('Construction Budget'!$G34+SUM($G180:EV180))/ROUND(((EOMONTH('Construction Budget'!$M34,0)-EOMONTH(EW$11,0))/30)+1,0),0)</f>
        <v>0</v>
      </c>
      <c r="EX180" s="427">
        <f>-IF(AND(EX$11&gt;=EOMONTH('Construction Budget'!$K34,0),EX$11&lt;=EOMONTH('Construction Budget'!$M34,0)),('Construction Budget'!$G34+SUM($G180:EW180))/ROUND(((EOMONTH('Construction Budget'!$M34,0)-EOMONTH(EX$11,0))/30)+1,0),0)</f>
        <v>0</v>
      </c>
      <c r="EY180" s="427">
        <f>-IF(AND(EY$11&gt;=EOMONTH('Construction Budget'!$K34,0),EY$11&lt;=EOMONTH('Construction Budget'!$M34,0)),('Construction Budget'!$G34+SUM($G180:EX180))/ROUND(((EOMONTH('Construction Budget'!$M34,0)-EOMONTH(EY$11,0))/30)+1,0),0)</f>
        <v>0</v>
      </c>
      <c r="EZ180" s="427">
        <f>-IF(AND(EZ$11&gt;=EOMONTH('Construction Budget'!$K34,0),EZ$11&lt;=EOMONTH('Construction Budget'!$M34,0)),('Construction Budget'!$G34+SUM($G180:EY180))/ROUND(((EOMONTH('Construction Budget'!$M34,0)-EOMONTH(EZ$11,0))/30)+1,0),0)</f>
        <v>0</v>
      </c>
      <c r="FA180" s="427">
        <f>-IF(AND(FA$11&gt;=EOMONTH('Construction Budget'!$K34,0),FA$11&lt;=EOMONTH('Construction Budget'!$M34,0)),('Construction Budget'!$G34+SUM($G180:EZ180))/ROUND(((EOMONTH('Construction Budget'!$M34,0)-EOMONTH(FA$11,0))/30)+1,0),0)</f>
        <v>0</v>
      </c>
      <c r="FB180" s="427">
        <f>-IF(AND(FB$11&gt;=EOMONTH('Construction Budget'!$K34,0),FB$11&lt;=EOMONTH('Construction Budget'!$M34,0)),('Construction Budget'!$G34+SUM($G180:FA180))/ROUND(((EOMONTH('Construction Budget'!$M34,0)-EOMONTH(FB$11,0))/30)+1,0),0)</f>
        <v>0</v>
      </c>
      <c r="FC180" s="427">
        <f>-IF(AND(FC$11&gt;=EOMONTH('Construction Budget'!$K34,0),FC$11&lt;=EOMONTH('Construction Budget'!$M34,0)),('Construction Budget'!$G34+SUM($G180:FB180))/ROUND(((EOMONTH('Construction Budget'!$M34,0)-EOMONTH(FC$11,0))/30)+1,0),0)</f>
        <v>0</v>
      </c>
      <c r="FD180" s="427">
        <f>-IF(AND(FD$11&gt;=EOMONTH('Construction Budget'!$K34,0),FD$11&lt;=EOMONTH('Construction Budget'!$M34,0)),('Construction Budget'!$G34+SUM($G180:FC180))/ROUND(((EOMONTH('Construction Budget'!$M34,0)-EOMONTH(FD$11,0))/30)+1,0),0)</f>
        <v>0</v>
      </c>
      <c r="FE180" s="427">
        <f>-IF(AND(FE$11&gt;=EOMONTH('Construction Budget'!$K34,0),FE$11&lt;=EOMONTH('Construction Budget'!$M34,0)),('Construction Budget'!$G34+SUM($G180:FD180))/ROUND(((EOMONTH('Construction Budget'!$M34,0)-EOMONTH(FE$11,0))/30)+1,0),0)</f>
        <v>0</v>
      </c>
      <c r="FF180" s="427">
        <f>-IF(AND(FF$11&gt;=EOMONTH('Construction Budget'!$K34,0),FF$11&lt;=EOMONTH('Construction Budget'!$M34,0)),('Construction Budget'!$G34+SUM($G180:FE180))/ROUND(((EOMONTH('Construction Budget'!$M34,0)-EOMONTH(FF$11,0))/30)+1,0),0)</f>
        <v>0</v>
      </c>
      <c r="FG180" s="427">
        <f>-IF(AND(FG$11&gt;=EOMONTH('Construction Budget'!$K34,0),FG$11&lt;=EOMONTH('Construction Budget'!$M34,0)),('Construction Budget'!$G34+SUM($G180:FF180))/ROUND(((EOMONTH('Construction Budget'!$M34,0)-EOMONTH(FG$11,0))/30)+1,0),0)</f>
        <v>0</v>
      </c>
      <c r="FH180" s="427">
        <f>-IF(AND(FH$11&gt;=EOMONTH('Construction Budget'!$K34,0),FH$11&lt;=EOMONTH('Construction Budget'!$M34,0)),('Construction Budget'!$G34+SUM($G180:FG180))/ROUND(((EOMONTH('Construction Budget'!$M34,0)-EOMONTH(FH$11,0))/30)+1,0),0)</f>
        <v>0</v>
      </c>
      <c r="FI180" s="427">
        <f>-IF(AND(FI$11&gt;=EOMONTH('Construction Budget'!$K34,0),FI$11&lt;=EOMONTH('Construction Budget'!$M34,0)),('Construction Budget'!$G34+SUM($G180:FH180))/ROUND(((EOMONTH('Construction Budget'!$M34,0)-EOMONTH(FI$11,0))/30)+1,0),0)</f>
        <v>0</v>
      </c>
      <c r="FJ180" s="427">
        <f>-IF(AND(FJ$11&gt;=EOMONTH('Construction Budget'!$K34,0),FJ$11&lt;=EOMONTH('Construction Budget'!$M34,0)),('Construction Budget'!$G34+SUM($G180:FI180))/ROUND(((EOMONTH('Construction Budget'!$M34,0)-EOMONTH(FJ$11,0))/30)+1,0),0)</f>
        <v>0</v>
      </c>
      <c r="FK180" s="427">
        <f>-IF(AND(FK$11&gt;=EOMONTH('Construction Budget'!$K34,0),FK$11&lt;=EOMONTH('Construction Budget'!$M34,0)),('Construction Budget'!$G34+SUM($G180:FJ180))/ROUND(((EOMONTH('Construction Budget'!$M34,0)-EOMONTH(FK$11,0))/30)+1,0),0)</f>
        <v>0</v>
      </c>
      <c r="FL180" s="427">
        <f>-IF(AND(FL$11&gt;=EOMONTH('Construction Budget'!$K34,0),FL$11&lt;=EOMONTH('Construction Budget'!$M34,0)),('Construction Budget'!$G34+SUM($G180:FK180))/ROUND(((EOMONTH('Construction Budget'!$M34,0)-EOMONTH(FL$11,0))/30)+1,0),0)</f>
        <v>0</v>
      </c>
      <c r="FM180" s="427">
        <f>-IF(AND(FM$11&gt;=EOMONTH('Construction Budget'!$K34,0),FM$11&lt;=EOMONTH('Construction Budget'!$M34,0)),('Construction Budget'!$G34+SUM($G180:FL180))/ROUND(((EOMONTH('Construction Budget'!$M34,0)-EOMONTH(FM$11,0))/30)+1,0),0)</f>
        <v>0</v>
      </c>
      <c r="FN180" s="427">
        <f>-IF(AND(FN$11&gt;=EOMONTH('Construction Budget'!$K34,0),FN$11&lt;=EOMONTH('Construction Budget'!$M34,0)),('Construction Budget'!$G34+SUM($G180:FM180))/ROUND(((EOMONTH('Construction Budget'!$M34,0)-EOMONTH(FN$11,0))/30)+1,0),0)</f>
        <v>0</v>
      </c>
      <c r="FO180" s="427">
        <f>-IF(AND(FO$11&gt;=EOMONTH('Construction Budget'!$K34,0),FO$11&lt;=EOMONTH('Construction Budget'!$M34,0)),('Construction Budget'!$G34+SUM($G180:FN180))/ROUND(((EOMONTH('Construction Budget'!$M34,0)-EOMONTH(FO$11,0))/30)+1,0),0)</f>
        <v>0</v>
      </c>
      <c r="FP180" s="427">
        <f>-IF(AND(FP$11&gt;=EOMONTH('Construction Budget'!$K34,0),FP$11&lt;=EOMONTH('Construction Budget'!$M34,0)),('Construction Budget'!$G34+SUM($G180:FO180))/ROUND(((EOMONTH('Construction Budget'!$M34,0)-EOMONTH(FP$11,0))/30)+1,0),0)</f>
        <v>0</v>
      </c>
      <c r="FQ180" s="427">
        <f>-IF(AND(FQ$11&gt;=EOMONTH('Construction Budget'!$K34,0),FQ$11&lt;=EOMONTH('Construction Budget'!$M34,0)),('Construction Budget'!$G34+SUM($G180:FP180))/ROUND(((EOMONTH('Construction Budget'!$M34,0)-EOMONTH(FQ$11,0))/30)+1,0),0)</f>
        <v>0</v>
      </c>
      <c r="FR180" s="427">
        <f>-IF(AND(FR$11&gt;=EOMONTH('Construction Budget'!$K34,0),FR$11&lt;=EOMONTH('Construction Budget'!$M34,0)),('Construction Budget'!$G34+SUM($G180:FQ180))/ROUND(((EOMONTH('Construction Budget'!$M34,0)-EOMONTH(FR$11,0))/30)+1,0),0)</f>
        <v>0</v>
      </c>
      <c r="FS180" s="427">
        <f>-IF(AND(FS$11&gt;=EOMONTH('Construction Budget'!$K34,0),FS$11&lt;=EOMONTH('Construction Budget'!$M34,0)),('Construction Budget'!$G34+SUM($G180:FR180))/ROUND(((EOMONTH('Construction Budget'!$M34,0)-EOMONTH(FS$11,0))/30)+1,0),0)</f>
        <v>0</v>
      </c>
      <c r="FT180" s="427">
        <f>-IF(AND(FT$11&gt;=EOMONTH('Construction Budget'!$K34,0),FT$11&lt;=EOMONTH('Construction Budget'!$M34,0)),('Construction Budget'!$G34+SUM($G180:FS180))/ROUND(((EOMONTH('Construction Budget'!$M34,0)-EOMONTH(FT$11,0))/30)+1,0),0)</f>
        <v>0</v>
      </c>
      <c r="FU180" s="43"/>
      <c r="FV180" s="34"/>
      <c r="FW180" s="34"/>
      <c r="FX180" s="34"/>
      <c r="FY180" s="34"/>
      <c r="FZ180" s="34"/>
    </row>
    <row r="181" spans="1:182" s="89" customFormat="1" ht="13.5" hidden="1" outlineLevel="1" x14ac:dyDescent="0.25">
      <c r="A181" s="498"/>
      <c r="B181" s="128" t="str">
        <f>'Construction Budget'!B37</f>
        <v>Management Start Up Cost</v>
      </c>
      <c r="C181" s="34"/>
      <c r="D181" s="34"/>
      <c r="E181" s="34"/>
      <c r="F181" s="434">
        <f t="shared" si="232"/>
        <v>-250000</v>
      </c>
      <c r="G181" s="34"/>
      <c r="H181" s="427">
        <f>-IF(AND(H$11&gt;=EOMONTH('Construction Budget'!$K37,0),H$11&lt;=EOMONTH('Construction Budget'!$M37,0)),('Construction Budget'!$G37+SUM($G181:G181))/ROUND(((EOMONTH('Construction Budget'!$M37,0)-EOMONTH(H$11,0))/30)+1,0),0)</f>
        <v>0</v>
      </c>
      <c r="I181" s="427">
        <f>-IF(AND(I$11&gt;=EOMONTH('Construction Budget'!$K37,0),I$11&lt;=EOMONTH('Construction Budget'!$M37,0)),('Construction Budget'!$G37+SUM($G181:H181))/ROUND(((EOMONTH('Construction Budget'!$M37,0)-EOMONTH(I$11,0))/30)+1,0),0)</f>
        <v>0</v>
      </c>
      <c r="J181" s="427">
        <f>-IF(AND(J$11&gt;=EOMONTH('Construction Budget'!$K37,0),J$11&lt;=EOMONTH('Construction Budget'!$M37,0)),('Construction Budget'!$G37+SUM($G181:I181))/ROUND(((EOMONTH('Construction Budget'!$M37,0)-EOMONTH(J$11,0))/30)+1,0),0)</f>
        <v>0</v>
      </c>
      <c r="K181" s="427">
        <f>-IF(AND(K$11&gt;=EOMONTH('Construction Budget'!$K37,0),K$11&lt;=EOMONTH('Construction Budget'!$M37,0)),('Construction Budget'!$G37+SUM($G181:J181))/ROUND(((EOMONTH('Construction Budget'!$M37,0)-EOMONTH(K$11,0))/30)+1,0),0)</f>
        <v>0</v>
      </c>
      <c r="L181" s="427">
        <f>-IF(AND(L$11&gt;=EOMONTH('Construction Budget'!$K37,0),L$11&lt;=EOMONTH('Construction Budget'!$M37,0)),('Construction Budget'!$G37+SUM($G181:K181))/ROUND(((EOMONTH('Construction Budget'!$M37,0)-EOMONTH(L$11,0))/30)+1,0),0)</f>
        <v>0</v>
      </c>
      <c r="M181" s="427">
        <f>-IF(AND(M$11&gt;=EOMONTH('Construction Budget'!$K37,0),M$11&lt;=EOMONTH('Construction Budget'!$M37,0)),('Construction Budget'!$G37+SUM($G181:L181))/ROUND(((EOMONTH('Construction Budget'!$M37,0)-EOMONTH(M$11,0))/30)+1,0),0)</f>
        <v>0</v>
      </c>
      <c r="N181" s="427">
        <f>-IF(AND(N$11&gt;=EOMONTH('Construction Budget'!$K37,0),N$11&lt;=EOMONTH('Construction Budget'!$M37,0)),('Construction Budget'!$G37+SUM($G181:M181))/ROUND(((EOMONTH('Construction Budget'!$M37,0)-EOMONTH(N$11,0))/30)+1,0),0)</f>
        <v>0</v>
      </c>
      <c r="O181" s="427">
        <f>-IF(AND(O$11&gt;=EOMONTH('Construction Budget'!$K37,0),O$11&lt;=EOMONTH('Construction Budget'!$M37,0)),('Construction Budget'!$G37+SUM($G181:N181))/ROUND(((EOMONTH('Construction Budget'!$M37,0)-EOMONTH(O$11,0))/30)+1,0),0)</f>
        <v>0</v>
      </c>
      <c r="P181" s="427">
        <f>-IF(AND(P$11&gt;=EOMONTH('Construction Budget'!$K37,0),P$11&lt;=EOMONTH('Construction Budget'!$M37,0)),('Construction Budget'!$G37+SUM($G181:O181))/ROUND(((EOMONTH('Construction Budget'!$M37,0)-EOMONTH(P$11,0))/30)+1,0),0)</f>
        <v>0</v>
      </c>
      <c r="Q181" s="427">
        <f>-IF(AND(Q$11&gt;=EOMONTH('Construction Budget'!$K37,0),Q$11&lt;=EOMONTH('Construction Budget'!$M37,0)),('Construction Budget'!$G37+SUM($G181:P181))/ROUND(((EOMONTH('Construction Budget'!$M37,0)-EOMONTH(Q$11,0))/30)+1,0),0)</f>
        <v>0</v>
      </c>
      <c r="R181" s="427">
        <f>-IF(AND(R$11&gt;=EOMONTH('Construction Budget'!$K37,0),R$11&lt;=EOMONTH('Construction Budget'!$M37,0)),('Construction Budget'!$G37+SUM($G181:Q181))/ROUND(((EOMONTH('Construction Budget'!$M37,0)-EOMONTH(R$11,0))/30)+1,0),0)</f>
        <v>0</v>
      </c>
      <c r="S181" s="427">
        <f>-IF(AND(S$11&gt;=EOMONTH('Construction Budget'!$K37,0),S$11&lt;=EOMONTH('Construction Budget'!$M37,0)),('Construction Budget'!$G37+SUM($G181:R181))/ROUND(((EOMONTH('Construction Budget'!$M37,0)-EOMONTH(S$11,0))/30)+1,0),0)</f>
        <v>0</v>
      </c>
      <c r="T181" s="427">
        <f>-IF(AND(T$11&gt;=EOMONTH('Construction Budget'!$K37,0),T$11&lt;=EOMONTH('Construction Budget'!$M37,0)),('Construction Budget'!$G37+SUM($G181:S181))/ROUND(((EOMONTH('Construction Budget'!$M37,0)-EOMONTH(T$11,0))/30)+1,0),0)</f>
        <v>0</v>
      </c>
      <c r="U181" s="427">
        <f>-IF(AND(U$11&gt;=EOMONTH('Construction Budget'!$K37,0),U$11&lt;=EOMONTH('Construction Budget'!$M37,0)),('Construction Budget'!$G37+SUM($G181:T181))/ROUND(((EOMONTH('Construction Budget'!$M37,0)-EOMONTH(U$11,0))/30)+1,0),0)</f>
        <v>0</v>
      </c>
      <c r="V181" s="427">
        <f>-IF(AND(V$11&gt;=EOMONTH('Construction Budget'!$K37,0),V$11&lt;=EOMONTH('Construction Budget'!$M37,0)),('Construction Budget'!$G37+SUM($G181:U181))/ROUND(((EOMONTH('Construction Budget'!$M37,0)-EOMONTH(V$11,0))/30)+1,0),0)</f>
        <v>-20833.333333333332</v>
      </c>
      <c r="W181" s="427">
        <f>-IF(AND(W$11&gt;=EOMONTH('Construction Budget'!$K37,0),W$11&lt;=EOMONTH('Construction Budget'!$M37,0)),('Construction Budget'!$G37+SUM($G181:V181))/ROUND(((EOMONTH('Construction Budget'!$M37,0)-EOMONTH(W$11,0))/30)+1,0),0)</f>
        <v>-20833.333333333332</v>
      </c>
      <c r="X181" s="427">
        <f>-IF(AND(X$11&gt;=EOMONTH('Construction Budget'!$K37,0),X$11&lt;=EOMONTH('Construction Budget'!$M37,0)),('Construction Budget'!$G37+SUM($G181:W181))/ROUND(((EOMONTH('Construction Budget'!$M37,0)-EOMONTH(X$11,0))/30)+1,0),0)</f>
        <v>-20833.333333333336</v>
      </c>
      <c r="Y181" s="427">
        <f>-IF(AND(Y$11&gt;=EOMONTH('Construction Budget'!$K37,0),Y$11&lt;=EOMONTH('Construction Budget'!$M37,0)),('Construction Budget'!$G37+SUM($G181:X181))/ROUND(((EOMONTH('Construction Budget'!$M37,0)-EOMONTH(Y$11,0))/30)+1,0),0)</f>
        <v>-20833.333333333332</v>
      </c>
      <c r="Z181" s="427">
        <f>-IF(AND(Z$11&gt;=EOMONTH('Construction Budget'!$K37,0),Z$11&lt;=EOMONTH('Construction Budget'!$M37,0)),('Construction Budget'!$G37+SUM($G181:Y181))/ROUND(((EOMONTH('Construction Budget'!$M37,0)-EOMONTH(Z$11,0))/30)+1,0),0)</f>
        <v>-20833.333333333336</v>
      </c>
      <c r="AA181" s="427">
        <f>-IF(AND(AA$11&gt;=EOMONTH('Construction Budget'!$K37,0),AA$11&lt;=EOMONTH('Construction Budget'!$M37,0)),('Construction Budget'!$G37+SUM($G181:Z181))/ROUND(((EOMONTH('Construction Budget'!$M37,0)-EOMONTH(AA$11,0))/30)+1,0),0)</f>
        <v>-20833.333333333336</v>
      </c>
      <c r="AB181" s="427">
        <f>-IF(AND(AB$11&gt;=EOMONTH('Construction Budget'!$K37,0),AB$11&lt;=EOMONTH('Construction Budget'!$M37,0)),('Construction Budget'!$G37+SUM($G181:AA181))/ROUND(((EOMONTH('Construction Budget'!$M37,0)-EOMONTH(AB$11,0))/30)+1,0),0)</f>
        <v>-20833.333333333332</v>
      </c>
      <c r="AC181" s="427">
        <f>-IF(AND(AC$11&gt;=EOMONTH('Construction Budget'!$K37,0),AC$11&lt;=EOMONTH('Construction Budget'!$M37,0)),('Construction Budget'!$G37+SUM($G181:AB181))/ROUND(((EOMONTH('Construction Budget'!$M37,0)-EOMONTH(AC$11,0))/30)+1,0),0)</f>
        <v>-20833.333333333332</v>
      </c>
      <c r="AD181" s="427">
        <f>-IF(AND(AD$11&gt;=EOMONTH('Construction Budget'!$K37,0),AD$11&lt;=EOMONTH('Construction Budget'!$M37,0)),('Construction Budget'!$G37+SUM($G181:AC181))/ROUND(((EOMONTH('Construction Budget'!$M37,0)-EOMONTH(AD$11,0))/30)+1,0),0)</f>
        <v>-20833.333333333328</v>
      </c>
      <c r="AE181" s="427">
        <f>-IF(AND(AE$11&gt;=EOMONTH('Construction Budget'!$K37,0),AE$11&lt;=EOMONTH('Construction Budget'!$M37,0)),('Construction Budget'!$G37+SUM($G181:AD181))/ROUND(((EOMONTH('Construction Budget'!$M37,0)-EOMONTH(AE$11,0))/30)+1,0),0)</f>
        <v>-20833.333333333332</v>
      </c>
      <c r="AF181" s="427">
        <f>-IF(AND(AF$11&gt;=EOMONTH('Construction Budget'!$K37,0),AF$11&lt;=EOMONTH('Construction Budget'!$M37,0)),('Construction Budget'!$G37+SUM($G181:AE181))/ROUND(((EOMONTH('Construction Budget'!$M37,0)-EOMONTH(AF$11,0))/30)+1,0),0)</f>
        <v>-20833.333333333328</v>
      </c>
      <c r="AG181" s="427">
        <f>-IF(AND(AG$11&gt;=EOMONTH('Construction Budget'!$K37,0),AG$11&lt;=EOMONTH('Construction Budget'!$M37,0)),('Construction Budget'!$G37+SUM($G181:AF181))/ROUND(((EOMONTH('Construction Budget'!$M37,0)-EOMONTH(AG$11,0))/30)+1,0),0)</f>
        <v>-20833.333333333314</v>
      </c>
      <c r="AH181" s="427">
        <f>-IF(AND(AH$11&gt;=EOMONTH('Construction Budget'!$K37,0),AH$11&lt;=EOMONTH('Construction Budget'!$M37,0)),('Construction Budget'!$G37+SUM($G181:AG181))/ROUND(((EOMONTH('Construction Budget'!$M37,0)-EOMONTH(AH$11,0))/30)+1,0),0)</f>
        <v>0</v>
      </c>
      <c r="AI181" s="427">
        <f>-IF(AND(AI$11&gt;=EOMONTH('Construction Budget'!$K37,0),AI$11&lt;=EOMONTH('Construction Budget'!$M37,0)),('Construction Budget'!$G37+SUM($G181:AH181))/ROUND(((EOMONTH('Construction Budget'!$M37,0)-EOMONTH(AI$11,0))/30)+1,0),0)</f>
        <v>0</v>
      </c>
      <c r="AJ181" s="427">
        <f>-IF(AND(AJ$11&gt;=EOMONTH('Construction Budget'!$K37,0),AJ$11&lt;=EOMONTH('Construction Budget'!$M37,0)),('Construction Budget'!$G37+SUM($G181:AI181))/ROUND(((EOMONTH('Construction Budget'!$M37,0)-EOMONTH(AJ$11,0))/30)+1,0),0)</f>
        <v>0</v>
      </c>
      <c r="AK181" s="427">
        <f>-IF(AND(AK$11&gt;=EOMONTH('Construction Budget'!$K37,0),AK$11&lt;=EOMONTH('Construction Budget'!$M37,0)),('Construction Budget'!$G37+SUM($G181:AJ181))/ROUND(((EOMONTH('Construction Budget'!$M37,0)-EOMONTH(AK$11,0))/30)+1,0),0)</f>
        <v>0</v>
      </c>
      <c r="AL181" s="427">
        <f>-IF(AND(AL$11&gt;=EOMONTH('Construction Budget'!$K37,0),AL$11&lt;=EOMONTH('Construction Budget'!$M37,0)),('Construction Budget'!$G37+SUM($G181:AK181))/ROUND(((EOMONTH('Construction Budget'!$M37,0)-EOMONTH(AL$11,0))/30)+1,0),0)</f>
        <v>0</v>
      </c>
      <c r="AM181" s="427">
        <f>-IF(AND(AM$11&gt;=EOMONTH('Construction Budget'!$K37,0),AM$11&lt;=EOMONTH('Construction Budget'!$M37,0)),('Construction Budget'!$G37+SUM($G181:AL181))/ROUND(((EOMONTH('Construction Budget'!$M37,0)-EOMONTH(AM$11,0))/30)+1,0),0)</f>
        <v>0</v>
      </c>
      <c r="AN181" s="427">
        <f>-IF(AND(AN$11&gt;=EOMONTH('Construction Budget'!$K37,0),AN$11&lt;=EOMONTH('Construction Budget'!$M37,0)),('Construction Budget'!$G37+SUM($G181:AM181))/ROUND(((EOMONTH('Construction Budget'!$M37,0)-EOMONTH(AN$11,0))/30)+1,0),0)</f>
        <v>0</v>
      </c>
      <c r="AO181" s="427">
        <f>-IF(AND(AO$11&gt;=EOMONTH('Construction Budget'!$K37,0),AO$11&lt;=EOMONTH('Construction Budget'!$M37,0)),('Construction Budget'!$G37+SUM($G181:AN181))/ROUND(((EOMONTH('Construction Budget'!$M37,0)-EOMONTH(AO$11,0))/30)+1,0),0)</f>
        <v>0</v>
      </c>
      <c r="AP181" s="427">
        <f>-IF(AND(AP$11&gt;=EOMONTH('Construction Budget'!$K37,0),AP$11&lt;=EOMONTH('Construction Budget'!$M37,0)),('Construction Budget'!$G37+SUM($G181:AO181))/ROUND(((EOMONTH('Construction Budget'!$M37,0)-EOMONTH(AP$11,0))/30)+1,0),0)</f>
        <v>0</v>
      </c>
      <c r="AQ181" s="427">
        <f>-IF(AND(AQ$11&gt;=EOMONTH('Construction Budget'!$K37,0),AQ$11&lt;=EOMONTH('Construction Budget'!$M37,0)),('Construction Budget'!$G37+SUM($G181:AP181))/ROUND(((EOMONTH('Construction Budget'!$M37,0)-EOMONTH(AQ$11,0))/30)+1,0),0)</f>
        <v>0</v>
      </c>
      <c r="AR181" s="427">
        <f>-IF(AND(AR$11&gt;=EOMONTH('Construction Budget'!$K37,0),AR$11&lt;=EOMONTH('Construction Budget'!$M37,0)),('Construction Budget'!$G37+SUM($G181:AQ181))/ROUND(((EOMONTH('Construction Budget'!$M37,0)-EOMONTH(AR$11,0))/30)+1,0),0)</f>
        <v>0</v>
      </c>
      <c r="AS181" s="427">
        <f>-IF(AND(AS$11&gt;=EOMONTH('Construction Budget'!$K37,0),AS$11&lt;=EOMONTH('Construction Budget'!$M37,0)),('Construction Budget'!$G37+SUM($G181:AR181))/ROUND(((EOMONTH('Construction Budget'!$M37,0)-EOMONTH(AS$11,0))/30)+1,0),0)</f>
        <v>0</v>
      </c>
      <c r="AT181" s="427">
        <f>-IF(AND(AT$11&gt;=EOMONTH('Construction Budget'!$K37,0),AT$11&lt;=EOMONTH('Construction Budget'!$M37,0)),('Construction Budget'!$G37+SUM($G181:AS181))/ROUND(((EOMONTH('Construction Budget'!$M37,0)-EOMONTH(AT$11,0))/30)+1,0),0)</f>
        <v>0</v>
      </c>
      <c r="AU181" s="427">
        <f>-IF(AND(AU$11&gt;=EOMONTH('Construction Budget'!$K37,0),AU$11&lt;=EOMONTH('Construction Budget'!$M37,0)),('Construction Budget'!$G37+SUM($G181:AT181))/ROUND(((EOMONTH('Construction Budget'!$M37,0)-EOMONTH(AU$11,0))/30)+1,0),0)</f>
        <v>0</v>
      </c>
      <c r="AV181" s="427">
        <f>-IF(AND(AV$11&gt;=EOMONTH('Construction Budget'!$K37,0),AV$11&lt;=EOMONTH('Construction Budget'!$M37,0)),('Construction Budget'!$G37+SUM($G181:AU181))/ROUND(((EOMONTH('Construction Budget'!$M37,0)-EOMONTH(AV$11,0))/30)+1,0),0)</f>
        <v>0</v>
      </c>
      <c r="AW181" s="427">
        <f>-IF(AND(AW$11&gt;=EOMONTH('Construction Budget'!$K37,0),AW$11&lt;=EOMONTH('Construction Budget'!$M37,0)),('Construction Budget'!$G37+SUM($G181:AV181))/ROUND(((EOMONTH('Construction Budget'!$M37,0)-EOMONTH(AW$11,0))/30)+1,0),0)</f>
        <v>0</v>
      </c>
      <c r="AX181" s="427">
        <f>-IF(AND(AX$11&gt;=EOMONTH('Construction Budget'!$K37,0),AX$11&lt;=EOMONTH('Construction Budget'!$M37,0)),('Construction Budget'!$G37+SUM($G181:AW181))/ROUND(((EOMONTH('Construction Budget'!$M37,0)-EOMONTH(AX$11,0))/30)+1,0),0)</f>
        <v>0</v>
      </c>
      <c r="AY181" s="427">
        <f>-IF(AND(AY$11&gt;=EOMONTH('Construction Budget'!$K37,0),AY$11&lt;=EOMONTH('Construction Budget'!$M37,0)),('Construction Budget'!$G37+SUM($G181:AX181))/ROUND(((EOMONTH('Construction Budget'!$M37,0)-EOMONTH(AY$11,0))/30)+1,0),0)</f>
        <v>0</v>
      </c>
      <c r="AZ181" s="427">
        <f>-IF(AND(AZ$11&gt;=EOMONTH('Construction Budget'!$K37,0),AZ$11&lt;=EOMONTH('Construction Budget'!$M37,0)),('Construction Budget'!$G37+SUM($G181:AY181))/ROUND(((EOMONTH('Construction Budget'!$M37,0)-EOMONTH(AZ$11,0))/30)+1,0),0)</f>
        <v>0</v>
      </c>
      <c r="BA181" s="427">
        <f>-IF(AND(BA$11&gt;=EOMONTH('Construction Budget'!$K37,0),BA$11&lt;=EOMONTH('Construction Budget'!$M37,0)),('Construction Budget'!$G37+SUM($G181:AZ181))/ROUND(((EOMONTH('Construction Budget'!$M37,0)-EOMONTH(BA$11,0))/30)+1,0),0)</f>
        <v>0</v>
      </c>
      <c r="BB181" s="427">
        <f>-IF(AND(BB$11&gt;=EOMONTH('Construction Budget'!$K37,0),BB$11&lt;=EOMONTH('Construction Budget'!$M37,0)),('Construction Budget'!$G37+SUM($G181:BA181))/ROUND(((EOMONTH('Construction Budget'!$M37,0)-EOMONTH(BB$11,0))/30)+1,0),0)</f>
        <v>0</v>
      </c>
      <c r="BC181" s="427">
        <f>-IF(AND(BC$11&gt;=EOMONTH('Construction Budget'!$K37,0),BC$11&lt;=EOMONTH('Construction Budget'!$M37,0)),('Construction Budget'!$G37+SUM($G181:BB181))/ROUND(((EOMONTH('Construction Budget'!$M37,0)-EOMONTH(BC$11,0))/30)+1,0),0)</f>
        <v>0</v>
      </c>
      <c r="BD181" s="427">
        <f>-IF(AND(BD$11&gt;=EOMONTH('Construction Budget'!$K37,0),BD$11&lt;=EOMONTH('Construction Budget'!$M37,0)),('Construction Budget'!$G37+SUM($G181:BC181))/ROUND(((EOMONTH('Construction Budget'!$M37,0)-EOMONTH(BD$11,0))/30)+1,0),0)</f>
        <v>0</v>
      </c>
      <c r="BE181" s="427">
        <f>-IF(AND(BE$11&gt;=EOMONTH('Construction Budget'!$K37,0),BE$11&lt;=EOMONTH('Construction Budget'!$M37,0)),('Construction Budget'!$G37+SUM($G181:BD181))/ROUND(((EOMONTH('Construction Budget'!$M37,0)-EOMONTH(BE$11,0))/30)+1,0),0)</f>
        <v>0</v>
      </c>
      <c r="BF181" s="427">
        <f>-IF(AND(BF$11&gt;=EOMONTH('Construction Budget'!$K37,0),BF$11&lt;=EOMONTH('Construction Budget'!$M37,0)),('Construction Budget'!$G37+SUM($G181:BE181))/ROUND(((EOMONTH('Construction Budget'!$M37,0)-EOMONTH(BF$11,0))/30)+1,0),0)</f>
        <v>0</v>
      </c>
      <c r="BG181" s="427">
        <f>-IF(AND(BG$11&gt;=EOMONTH('Construction Budget'!$K37,0),BG$11&lt;=EOMONTH('Construction Budget'!$M37,0)),('Construction Budget'!$G37+SUM($G181:BF181))/ROUND(((EOMONTH('Construction Budget'!$M37,0)-EOMONTH(BG$11,0))/30)+1,0),0)</f>
        <v>0</v>
      </c>
      <c r="BH181" s="427">
        <f>-IF(AND(BH$11&gt;=EOMONTH('Construction Budget'!$K37,0),BH$11&lt;=EOMONTH('Construction Budget'!$M37,0)),('Construction Budget'!$G37+SUM($G181:BG181))/ROUND(((EOMONTH('Construction Budget'!$M37,0)-EOMONTH(BH$11,0))/30)+1,0),0)</f>
        <v>0</v>
      </c>
      <c r="BI181" s="427">
        <f>-IF(AND(BI$11&gt;=EOMONTH('Construction Budget'!$K37,0),BI$11&lt;=EOMONTH('Construction Budget'!$M37,0)),('Construction Budget'!$G37+SUM($G181:BH181))/ROUND(((EOMONTH('Construction Budget'!$M37,0)-EOMONTH(BI$11,0))/30)+1,0),0)</f>
        <v>0</v>
      </c>
      <c r="BJ181" s="427">
        <f>-IF(AND(BJ$11&gt;=EOMONTH('Construction Budget'!$K37,0),BJ$11&lt;=EOMONTH('Construction Budget'!$M37,0)),('Construction Budget'!$G37+SUM($G181:BI181))/ROUND(((EOMONTH('Construction Budget'!$M37,0)-EOMONTH(BJ$11,0))/30)+1,0),0)</f>
        <v>0</v>
      </c>
      <c r="BK181" s="427">
        <f>-IF(AND(BK$11&gt;=EOMONTH('Construction Budget'!$K37,0),BK$11&lt;=EOMONTH('Construction Budget'!$M37,0)),('Construction Budget'!$G37+SUM($G181:BJ181))/ROUND(((EOMONTH('Construction Budget'!$M37,0)-EOMONTH(BK$11,0))/30)+1,0),0)</f>
        <v>0</v>
      </c>
      <c r="BL181" s="427">
        <f>-IF(AND(BL$11&gt;=EOMONTH('Construction Budget'!$K37,0),BL$11&lt;=EOMONTH('Construction Budget'!$M37,0)),('Construction Budget'!$G37+SUM($G181:BK181))/ROUND(((EOMONTH('Construction Budget'!$M37,0)-EOMONTH(BL$11,0))/30)+1,0),0)</f>
        <v>0</v>
      </c>
      <c r="BM181" s="427">
        <f>-IF(AND(BM$11&gt;=EOMONTH('Construction Budget'!$K37,0),BM$11&lt;=EOMONTH('Construction Budget'!$M37,0)),('Construction Budget'!$G37+SUM($G181:BL181))/ROUND(((EOMONTH('Construction Budget'!$M37,0)-EOMONTH(BM$11,0))/30)+1,0),0)</f>
        <v>0</v>
      </c>
      <c r="BN181" s="427">
        <f>-IF(AND(BN$11&gt;=EOMONTH('Construction Budget'!$K37,0),BN$11&lt;=EOMONTH('Construction Budget'!$M37,0)),('Construction Budget'!$G37+SUM($G181:BM181))/ROUND(((EOMONTH('Construction Budget'!$M37,0)-EOMONTH(BN$11,0))/30)+1,0),0)</f>
        <v>0</v>
      </c>
      <c r="BO181" s="427">
        <f>-IF(AND(BO$11&gt;=EOMONTH('Construction Budget'!$K37,0),BO$11&lt;=EOMONTH('Construction Budget'!$M37,0)),('Construction Budget'!$G37+SUM($G181:BN181))/ROUND(((EOMONTH('Construction Budget'!$M37,0)-EOMONTH(BO$11,0))/30)+1,0),0)</f>
        <v>0</v>
      </c>
      <c r="BP181" s="427">
        <f>-IF(AND(BP$11&gt;=EOMONTH('Construction Budget'!$K37,0),BP$11&lt;=EOMONTH('Construction Budget'!$M37,0)),('Construction Budget'!$G37+SUM($G181:BO181))/ROUND(((EOMONTH('Construction Budget'!$M37,0)-EOMONTH(BP$11,0))/30)+1,0),0)</f>
        <v>0</v>
      </c>
      <c r="BQ181" s="427">
        <f>-IF(AND(BQ$11&gt;=EOMONTH('Construction Budget'!$K37,0),BQ$11&lt;=EOMONTH('Construction Budget'!$M37,0)),('Construction Budget'!$G37+SUM($G181:BP181))/ROUND(((EOMONTH('Construction Budget'!$M37,0)-EOMONTH(BQ$11,0))/30)+1,0),0)</f>
        <v>0</v>
      </c>
      <c r="BR181" s="427">
        <f>-IF(AND(BR$11&gt;=EOMONTH('Construction Budget'!$K37,0),BR$11&lt;=EOMONTH('Construction Budget'!$M37,0)),('Construction Budget'!$G37+SUM($G181:BQ181))/ROUND(((EOMONTH('Construction Budget'!$M37,0)-EOMONTH(BR$11,0))/30)+1,0),0)</f>
        <v>0</v>
      </c>
      <c r="BS181" s="427">
        <f>-IF(AND(BS$11&gt;=EOMONTH('Construction Budget'!$K37,0),BS$11&lt;=EOMONTH('Construction Budget'!$M37,0)),('Construction Budget'!$G37+SUM($G181:BR181))/ROUND(((EOMONTH('Construction Budget'!$M37,0)-EOMONTH(BS$11,0))/30)+1,0),0)</f>
        <v>0</v>
      </c>
      <c r="BT181" s="427">
        <f>-IF(AND(BT$11&gt;=EOMONTH('Construction Budget'!$K37,0),BT$11&lt;=EOMONTH('Construction Budget'!$M37,0)),('Construction Budget'!$G37+SUM($G181:BS181))/ROUND(((EOMONTH('Construction Budget'!$M37,0)-EOMONTH(BT$11,0))/30)+1,0),0)</f>
        <v>0</v>
      </c>
      <c r="BU181" s="427">
        <f>-IF(AND(BU$11&gt;=EOMONTH('Construction Budget'!$K37,0),BU$11&lt;=EOMONTH('Construction Budget'!$M37,0)),('Construction Budget'!$G37+SUM($G181:BT181))/ROUND(((EOMONTH('Construction Budget'!$M37,0)-EOMONTH(BU$11,0))/30)+1,0),0)</f>
        <v>0</v>
      </c>
      <c r="BV181" s="427">
        <f>-IF(AND(BV$11&gt;=EOMONTH('Construction Budget'!$K37,0),BV$11&lt;=EOMONTH('Construction Budget'!$M37,0)),('Construction Budget'!$G37+SUM($G181:BU181))/ROUND(((EOMONTH('Construction Budget'!$M37,0)-EOMONTH(BV$11,0))/30)+1,0),0)</f>
        <v>0</v>
      </c>
      <c r="BW181" s="427">
        <f>-IF(AND(BW$11&gt;=EOMONTH('Construction Budget'!$K37,0),BW$11&lt;=EOMONTH('Construction Budget'!$M37,0)),('Construction Budget'!$G37+SUM($G181:BV181))/ROUND(((EOMONTH('Construction Budget'!$M37,0)-EOMONTH(BW$11,0))/30)+1,0),0)</f>
        <v>0</v>
      </c>
      <c r="BX181" s="427">
        <f>-IF(AND(BX$11&gt;=EOMONTH('Construction Budget'!$K37,0),BX$11&lt;=EOMONTH('Construction Budget'!$M37,0)),('Construction Budget'!$G37+SUM($G181:BW181))/ROUND(((EOMONTH('Construction Budget'!$M37,0)-EOMONTH(BX$11,0))/30)+1,0),0)</f>
        <v>0</v>
      </c>
      <c r="BY181" s="427">
        <f>-IF(AND(BY$11&gt;=EOMONTH('Construction Budget'!$K37,0),BY$11&lt;=EOMONTH('Construction Budget'!$M37,0)),('Construction Budget'!$G37+SUM($G181:BX181))/ROUND(((EOMONTH('Construction Budget'!$M37,0)-EOMONTH(BY$11,0))/30)+1,0),0)</f>
        <v>0</v>
      </c>
      <c r="BZ181" s="427">
        <f>-IF(AND(BZ$11&gt;=EOMONTH('Construction Budget'!$K37,0),BZ$11&lt;=EOMONTH('Construction Budget'!$M37,0)),('Construction Budget'!$G37+SUM($G181:BY181))/ROUND(((EOMONTH('Construction Budget'!$M37,0)-EOMONTH(BZ$11,0))/30)+1,0),0)</f>
        <v>0</v>
      </c>
      <c r="CA181" s="427">
        <f>-IF(AND(CA$11&gt;=EOMONTH('Construction Budget'!$K37,0),CA$11&lt;=EOMONTH('Construction Budget'!$M37,0)),('Construction Budget'!$G37+SUM($G181:BZ181))/ROUND(((EOMONTH('Construction Budget'!$M37,0)-EOMONTH(CA$11,0))/30)+1,0),0)</f>
        <v>0</v>
      </c>
      <c r="CB181" s="427">
        <f>-IF(AND(CB$11&gt;=EOMONTH('Construction Budget'!$K37,0),CB$11&lt;=EOMONTH('Construction Budget'!$M37,0)),('Construction Budget'!$G37+SUM($G181:CA181))/ROUND(((EOMONTH('Construction Budget'!$M37,0)-EOMONTH(CB$11,0))/30)+1,0),0)</f>
        <v>0</v>
      </c>
      <c r="CC181" s="427">
        <f>-IF(AND(CC$11&gt;=EOMONTH('Construction Budget'!$K37,0),CC$11&lt;=EOMONTH('Construction Budget'!$M37,0)),('Construction Budget'!$G37+SUM($G181:CB181))/ROUND(((EOMONTH('Construction Budget'!$M37,0)-EOMONTH(CC$11,0))/30)+1,0),0)</f>
        <v>0</v>
      </c>
      <c r="CD181" s="427">
        <f>-IF(AND(CD$11&gt;=EOMONTH('Construction Budget'!$K37,0),CD$11&lt;=EOMONTH('Construction Budget'!$M37,0)),('Construction Budget'!$G37+SUM($G181:CC181))/ROUND(((EOMONTH('Construction Budget'!$M37,0)-EOMONTH(CD$11,0))/30)+1,0),0)</f>
        <v>0</v>
      </c>
      <c r="CE181" s="427">
        <f>-IF(AND(CE$11&gt;=EOMONTH('Construction Budget'!$K37,0),CE$11&lt;=EOMONTH('Construction Budget'!$M37,0)),('Construction Budget'!$G37+SUM($G181:CD181))/ROUND(((EOMONTH('Construction Budget'!$M37,0)-EOMONTH(CE$11,0))/30)+1,0),0)</f>
        <v>0</v>
      </c>
      <c r="CF181" s="427">
        <f>-IF(AND(CF$11&gt;=EOMONTH('Construction Budget'!$K37,0),CF$11&lt;=EOMONTH('Construction Budget'!$M37,0)),('Construction Budget'!$G37+SUM($G181:CE181))/ROUND(((EOMONTH('Construction Budget'!$M37,0)-EOMONTH(CF$11,0))/30)+1,0),0)</f>
        <v>0</v>
      </c>
      <c r="CG181" s="427">
        <f>-IF(AND(CG$11&gt;=EOMONTH('Construction Budget'!$K37,0),CG$11&lt;=EOMONTH('Construction Budget'!$M37,0)),('Construction Budget'!$G37+SUM($G181:CF181))/ROUND(((EOMONTH('Construction Budget'!$M37,0)-EOMONTH(CG$11,0))/30)+1,0),0)</f>
        <v>0</v>
      </c>
      <c r="CH181" s="427">
        <f>-IF(AND(CH$11&gt;=EOMONTH('Construction Budget'!$K37,0),CH$11&lt;=EOMONTH('Construction Budget'!$M37,0)),('Construction Budget'!$G37+SUM($G181:CG181))/ROUND(((EOMONTH('Construction Budget'!$M37,0)-EOMONTH(CH$11,0))/30)+1,0),0)</f>
        <v>0</v>
      </c>
      <c r="CI181" s="427">
        <f>-IF(AND(CI$11&gt;=EOMONTH('Construction Budget'!$K37,0),CI$11&lt;=EOMONTH('Construction Budget'!$M37,0)),('Construction Budget'!$G37+SUM($G181:CH181))/ROUND(((EOMONTH('Construction Budget'!$M37,0)-EOMONTH(CI$11,0))/30)+1,0),0)</f>
        <v>0</v>
      </c>
      <c r="CJ181" s="427">
        <f>-IF(AND(CJ$11&gt;=EOMONTH('Construction Budget'!$K37,0),CJ$11&lt;=EOMONTH('Construction Budget'!$M37,0)),('Construction Budget'!$G37+SUM($G181:CI181))/ROUND(((EOMONTH('Construction Budget'!$M37,0)-EOMONTH(CJ$11,0))/30)+1,0),0)</f>
        <v>0</v>
      </c>
      <c r="CK181" s="427">
        <f>-IF(AND(CK$11&gt;=EOMONTH('Construction Budget'!$K37,0),CK$11&lt;=EOMONTH('Construction Budget'!$M37,0)),('Construction Budget'!$G37+SUM($G181:CJ181))/ROUND(((EOMONTH('Construction Budget'!$M37,0)-EOMONTH(CK$11,0))/30)+1,0),0)</f>
        <v>0</v>
      </c>
      <c r="CL181" s="427">
        <f>-IF(AND(CL$11&gt;=EOMONTH('Construction Budget'!$K37,0),CL$11&lt;=EOMONTH('Construction Budget'!$M37,0)),('Construction Budget'!$G37+SUM($G181:CK181))/ROUND(((EOMONTH('Construction Budget'!$M37,0)-EOMONTH(CL$11,0))/30)+1,0),0)</f>
        <v>0</v>
      </c>
      <c r="CM181" s="427">
        <f>-IF(AND(CM$11&gt;=EOMONTH('Construction Budget'!$K37,0),CM$11&lt;=EOMONTH('Construction Budget'!$M37,0)),('Construction Budget'!$G37+SUM($G181:CL181))/ROUND(((EOMONTH('Construction Budget'!$M37,0)-EOMONTH(CM$11,0))/30)+1,0),0)</f>
        <v>0</v>
      </c>
      <c r="CN181" s="427">
        <f>-IF(AND(CN$11&gt;=EOMONTH('Construction Budget'!$K37,0),CN$11&lt;=EOMONTH('Construction Budget'!$M37,0)),('Construction Budget'!$G37+SUM($G181:CM181))/ROUND(((EOMONTH('Construction Budget'!$M37,0)-EOMONTH(CN$11,0))/30)+1,0),0)</f>
        <v>0</v>
      </c>
      <c r="CO181" s="427">
        <f>-IF(AND(CO$11&gt;=EOMONTH('Construction Budget'!$K37,0),CO$11&lt;=EOMONTH('Construction Budget'!$M37,0)),('Construction Budget'!$G37+SUM($G181:CN181))/ROUND(((EOMONTH('Construction Budget'!$M37,0)-EOMONTH(CO$11,0))/30)+1,0),0)</f>
        <v>0</v>
      </c>
      <c r="CP181" s="427">
        <f>-IF(AND(CP$11&gt;=EOMONTH('Construction Budget'!$K37,0),CP$11&lt;=EOMONTH('Construction Budget'!$M37,0)),('Construction Budget'!$G37+SUM($G181:CO181))/ROUND(((EOMONTH('Construction Budget'!$M37,0)-EOMONTH(CP$11,0))/30)+1,0),0)</f>
        <v>0</v>
      </c>
      <c r="CQ181" s="427">
        <f>-IF(AND(CQ$11&gt;=EOMONTH('Construction Budget'!$K37,0),CQ$11&lt;=EOMONTH('Construction Budget'!$M37,0)),('Construction Budget'!$G37+SUM($G181:CP181))/ROUND(((EOMONTH('Construction Budget'!$M37,0)-EOMONTH(CQ$11,0))/30)+1,0),0)</f>
        <v>0</v>
      </c>
      <c r="CR181" s="427">
        <f>-IF(AND(CR$11&gt;=EOMONTH('Construction Budget'!$K37,0),CR$11&lt;=EOMONTH('Construction Budget'!$M37,0)),('Construction Budget'!$G37+SUM($G181:CQ181))/ROUND(((EOMONTH('Construction Budget'!$M37,0)-EOMONTH(CR$11,0))/30)+1,0),0)</f>
        <v>0</v>
      </c>
      <c r="CS181" s="427">
        <f>-IF(AND(CS$11&gt;=EOMONTH('Construction Budget'!$K37,0),CS$11&lt;=EOMONTH('Construction Budget'!$M37,0)),('Construction Budget'!$G37+SUM($G181:CR181))/ROUND(((EOMONTH('Construction Budget'!$M37,0)-EOMONTH(CS$11,0))/30)+1,0),0)</f>
        <v>0</v>
      </c>
      <c r="CT181" s="427">
        <f>-IF(AND(CT$11&gt;=EOMONTH('Construction Budget'!$K37,0),CT$11&lt;=EOMONTH('Construction Budget'!$M37,0)),('Construction Budget'!$G37+SUM($G181:CS181))/ROUND(((EOMONTH('Construction Budget'!$M37,0)-EOMONTH(CT$11,0))/30)+1,0),0)</f>
        <v>0</v>
      </c>
      <c r="CU181" s="427">
        <f>-IF(AND(CU$11&gt;=EOMONTH('Construction Budget'!$K37,0),CU$11&lt;=EOMONTH('Construction Budget'!$M37,0)),('Construction Budget'!$G37+SUM($G181:CT181))/ROUND(((EOMONTH('Construction Budget'!$M37,0)-EOMONTH(CU$11,0))/30)+1,0),0)</f>
        <v>0</v>
      </c>
      <c r="CV181" s="427">
        <f>-IF(AND(CV$11&gt;=EOMONTH('Construction Budget'!$K37,0),CV$11&lt;=EOMONTH('Construction Budget'!$M37,0)),('Construction Budget'!$G37+SUM($G181:CU181))/ROUND(((EOMONTH('Construction Budget'!$M37,0)-EOMONTH(CV$11,0))/30)+1,0),0)</f>
        <v>0</v>
      </c>
      <c r="CW181" s="427">
        <f>-IF(AND(CW$11&gt;=EOMONTH('Construction Budget'!$K37,0),CW$11&lt;=EOMONTH('Construction Budget'!$M37,0)),('Construction Budget'!$G37+SUM($G181:CV181))/ROUND(((EOMONTH('Construction Budget'!$M37,0)-EOMONTH(CW$11,0))/30)+1,0),0)</f>
        <v>0</v>
      </c>
      <c r="CX181" s="427">
        <f>-IF(AND(CX$11&gt;=EOMONTH('Construction Budget'!$K37,0),CX$11&lt;=EOMONTH('Construction Budget'!$M37,0)),('Construction Budget'!$G37+SUM($G181:CW181))/ROUND(((EOMONTH('Construction Budget'!$M37,0)-EOMONTH(CX$11,0))/30)+1,0),0)</f>
        <v>0</v>
      </c>
      <c r="CY181" s="427">
        <f>-IF(AND(CY$11&gt;=EOMONTH('Construction Budget'!$K37,0),CY$11&lt;=EOMONTH('Construction Budget'!$M37,0)),('Construction Budget'!$G37+SUM($G181:CX181))/ROUND(((EOMONTH('Construction Budget'!$M37,0)-EOMONTH(CY$11,0))/30)+1,0),0)</f>
        <v>0</v>
      </c>
      <c r="CZ181" s="427">
        <f>-IF(AND(CZ$11&gt;=EOMONTH('Construction Budget'!$K37,0),CZ$11&lt;=EOMONTH('Construction Budget'!$M37,0)),('Construction Budget'!$G37+SUM($G181:CY181))/ROUND(((EOMONTH('Construction Budget'!$M37,0)-EOMONTH(CZ$11,0))/30)+1,0),0)</f>
        <v>0</v>
      </c>
      <c r="DA181" s="427">
        <f>-IF(AND(DA$11&gt;=EOMONTH('Construction Budget'!$K37,0),DA$11&lt;=EOMONTH('Construction Budget'!$M37,0)),('Construction Budget'!$G37+SUM($G181:CZ181))/ROUND(((EOMONTH('Construction Budget'!$M37,0)-EOMONTH(DA$11,0))/30)+1,0),0)</f>
        <v>0</v>
      </c>
      <c r="DB181" s="427">
        <f>-IF(AND(DB$11&gt;=EOMONTH('Construction Budget'!$K37,0),DB$11&lt;=EOMONTH('Construction Budget'!$M37,0)),('Construction Budget'!$G37+SUM($G181:DA181))/ROUND(((EOMONTH('Construction Budget'!$M37,0)-EOMONTH(DB$11,0))/30)+1,0),0)</f>
        <v>0</v>
      </c>
      <c r="DC181" s="427">
        <f>-IF(AND(DC$11&gt;=EOMONTH('Construction Budget'!$K37,0),DC$11&lt;=EOMONTH('Construction Budget'!$M37,0)),('Construction Budget'!$G37+SUM($G181:DB181))/ROUND(((EOMONTH('Construction Budget'!$M37,0)-EOMONTH(DC$11,0))/30)+1,0),0)</f>
        <v>0</v>
      </c>
      <c r="DD181" s="427">
        <f>-IF(AND(DD$11&gt;=EOMONTH('Construction Budget'!$K37,0),DD$11&lt;=EOMONTH('Construction Budget'!$M37,0)),('Construction Budget'!$G37+SUM($G181:DC181))/ROUND(((EOMONTH('Construction Budget'!$M37,0)-EOMONTH(DD$11,0))/30)+1,0),0)</f>
        <v>0</v>
      </c>
      <c r="DE181" s="427">
        <f>-IF(AND(DE$11&gt;=EOMONTH('Construction Budget'!$K37,0),DE$11&lt;=EOMONTH('Construction Budget'!$M37,0)),('Construction Budget'!$G37+SUM($G181:DD181))/ROUND(((EOMONTH('Construction Budget'!$M37,0)-EOMONTH(DE$11,0))/30)+1,0),0)</f>
        <v>0</v>
      </c>
      <c r="DF181" s="427">
        <f>-IF(AND(DF$11&gt;=EOMONTH('Construction Budget'!$K37,0),DF$11&lt;=EOMONTH('Construction Budget'!$M37,0)),('Construction Budget'!$G37+SUM($G181:DE181))/ROUND(((EOMONTH('Construction Budget'!$M37,0)-EOMONTH(DF$11,0))/30)+1,0),0)</f>
        <v>0</v>
      </c>
      <c r="DG181" s="427">
        <f>-IF(AND(DG$11&gt;=EOMONTH('Construction Budget'!$K37,0),DG$11&lt;=EOMONTH('Construction Budget'!$M37,0)),('Construction Budget'!$G37+SUM($G181:DF181))/ROUND(((EOMONTH('Construction Budget'!$M37,0)-EOMONTH(DG$11,0))/30)+1,0),0)</f>
        <v>0</v>
      </c>
      <c r="DH181" s="427">
        <f>-IF(AND(DH$11&gt;=EOMONTH('Construction Budget'!$K37,0),DH$11&lt;=EOMONTH('Construction Budget'!$M37,0)),('Construction Budget'!$G37+SUM($G181:DG181))/ROUND(((EOMONTH('Construction Budget'!$M37,0)-EOMONTH(DH$11,0))/30)+1,0),0)</f>
        <v>0</v>
      </c>
      <c r="DI181" s="427">
        <f>-IF(AND(DI$11&gt;=EOMONTH('Construction Budget'!$K37,0),DI$11&lt;=EOMONTH('Construction Budget'!$M37,0)),('Construction Budget'!$G37+SUM($G181:DH181))/ROUND(((EOMONTH('Construction Budget'!$M37,0)-EOMONTH(DI$11,0))/30)+1,0),0)</f>
        <v>0</v>
      </c>
      <c r="DJ181" s="427">
        <f>-IF(AND(DJ$11&gt;=EOMONTH('Construction Budget'!$K37,0),DJ$11&lt;=EOMONTH('Construction Budget'!$M37,0)),('Construction Budget'!$G37+SUM($G181:DI181))/ROUND(((EOMONTH('Construction Budget'!$M37,0)-EOMONTH(DJ$11,0))/30)+1,0),0)</f>
        <v>0</v>
      </c>
      <c r="DK181" s="427">
        <f>-IF(AND(DK$11&gt;=EOMONTH('Construction Budget'!$K37,0),DK$11&lt;=EOMONTH('Construction Budget'!$M37,0)),('Construction Budget'!$G37+SUM($G181:DJ181))/ROUND(((EOMONTH('Construction Budget'!$M37,0)-EOMONTH(DK$11,0))/30)+1,0),0)</f>
        <v>0</v>
      </c>
      <c r="DL181" s="427">
        <f>-IF(AND(DL$11&gt;=EOMONTH('Construction Budget'!$K37,0),DL$11&lt;=EOMONTH('Construction Budget'!$M37,0)),('Construction Budget'!$G37+SUM($G181:DK181))/ROUND(((EOMONTH('Construction Budget'!$M37,0)-EOMONTH(DL$11,0))/30)+1,0),0)</f>
        <v>0</v>
      </c>
      <c r="DM181" s="427">
        <f>-IF(AND(DM$11&gt;=EOMONTH('Construction Budget'!$K37,0),DM$11&lt;=EOMONTH('Construction Budget'!$M37,0)),('Construction Budget'!$G37+SUM($G181:DL181))/ROUND(((EOMONTH('Construction Budget'!$M37,0)-EOMONTH(DM$11,0))/30)+1,0),0)</f>
        <v>0</v>
      </c>
      <c r="DN181" s="427">
        <f>-IF(AND(DN$11&gt;=EOMONTH('Construction Budget'!$K37,0),DN$11&lt;=EOMONTH('Construction Budget'!$M37,0)),('Construction Budget'!$G37+SUM($G181:DM181))/ROUND(((EOMONTH('Construction Budget'!$M37,0)-EOMONTH(DN$11,0))/30)+1,0),0)</f>
        <v>0</v>
      </c>
      <c r="DO181" s="427">
        <f>-IF(AND(DO$11&gt;=EOMONTH('Construction Budget'!$K37,0),DO$11&lt;=EOMONTH('Construction Budget'!$M37,0)),('Construction Budget'!$G37+SUM($G181:DN181))/ROUND(((EOMONTH('Construction Budget'!$M37,0)-EOMONTH(DO$11,0))/30)+1,0),0)</f>
        <v>0</v>
      </c>
      <c r="DP181" s="427">
        <f>-IF(AND(DP$11&gt;=EOMONTH('Construction Budget'!$K37,0),DP$11&lt;=EOMONTH('Construction Budget'!$M37,0)),('Construction Budget'!$G37+SUM($G181:DO181))/ROUND(((EOMONTH('Construction Budget'!$M37,0)-EOMONTH(DP$11,0))/30)+1,0),0)</f>
        <v>0</v>
      </c>
      <c r="DQ181" s="427">
        <f>-IF(AND(DQ$11&gt;=EOMONTH('Construction Budget'!$K37,0),DQ$11&lt;=EOMONTH('Construction Budget'!$M37,0)),('Construction Budget'!$G37+SUM($G181:DP181))/ROUND(((EOMONTH('Construction Budget'!$M37,0)-EOMONTH(DQ$11,0))/30)+1,0),0)</f>
        <v>0</v>
      </c>
      <c r="DR181" s="427">
        <f>-IF(AND(DR$11&gt;=EOMONTH('Construction Budget'!$K37,0),DR$11&lt;=EOMONTH('Construction Budget'!$M37,0)),('Construction Budget'!$G37+SUM($G181:DQ181))/ROUND(((EOMONTH('Construction Budget'!$M37,0)-EOMONTH(DR$11,0))/30)+1,0),0)</f>
        <v>0</v>
      </c>
      <c r="DS181" s="427">
        <f>-IF(AND(DS$11&gt;=EOMONTH('Construction Budget'!$K37,0),DS$11&lt;=EOMONTH('Construction Budget'!$M37,0)),('Construction Budget'!$G37+SUM($G181:DR181))/ROUND(((EOMONTH('Construction Budget'!$M37,0)-EOMONTH(DS$11,0))/30)+1,0),0)</f>
        <v>0</v>
      </c>
      <c r="DT181" s="427">
        <f>-IF(AND(DT$11&gt;=EOMONTH('Construction Budget'!$K37,0),DT$11&lt;=EOMONTH('Construction Budget'!$M37,0)),('Construction Budget'!$G37+SUM($G181:DS181))/ROUND(((EOMONTH('Construction Budget'!$M37,0)-EOMONTH(DT$11,0))/30)+1,0),0)</f>
        <v>0</v>
      </c>
      <c r="DU181" s="427">
        <f>-IF(AND(DU$11&gt;=EOMONTH('Construction Budget'!$K37,0),DU$11&lt;=EOMONTH('Construction Budget'!$M37,0)),('Construction Budget'!$G37+SUM($G181:DT181))/ROUND(((EOMONTH('Construction Budget'!$M37,0)-EOMONTH(DU$11,0))/30)+1,0),0)</f>
        <v>0</v>
      </c>
      <c r="DV181" s="427">
        <f>-IF(AND(DV$11&gt;=EOMONTH('Construction Budget'!$K37,0),DV$11&lt;=EOMONTH('Construction Budget'!$M37,0)),('Construction Budget'!$G37+SUM($G181:DU181))/ROUND(((EOMONTH('Construction Budget'!$M37,0)-EOMONTH(DV$11,0))/30)+1,0),0)</f>
        <v>0</v>
      </c>
      <c r="DW181" s="427">
        <f>-IF(AND(DW$11&gt;=EOMONTH('Construction Budget'!$K37,0),DW$11&lt;=EOMONTH('Construction Budget'!$M37,0)),('Construction Budget'!$G37+SUM($G181:DV181))/ROUND(((EOMONTH('Construction Budget'!$M37,0)-EOMONTH(DW$11,0))/30)+1,0),0)</f>
        <v>0</v>
      </c>
      <c r="DX181" s="427">
        <f>-IF(AND(DX$11&gt;=EOMONTH('Construction Budget'!$K37,0),DX$11&lt;=EOMONTH('Construction Budget'!$M37,0)),('Construction Budget'!$G37+SUM($G181:DW181))/ROUND(((EOMONTH('Construction Budget'!$M37,0)-EOMONTH(DX$11,0))/30)+1,0),0)</f>
        <v>0</v>
      </c>
      <c r="DY181" s="427">
        <f>-IF(AND(DY$11&gt;=EOMONTH('Construction Budget'!$K37,0),DY$11&lt;=EOMONTH('Construction Budget'!$M37,0)),('Construction Budget'!$G37+SUM($G181:DX181))/ROUND(((EOMONTH('Construction Budget'!$M37,0)-EOMONTH(DY$11,0))/30)+1,0),0)</f>
        <v>0</v>
      </c>
      <c r="DZ181" s="427">
        <f>-IF(AND(DZ$11&gt;=EOMONTH('Construction Budget'!$K37,0),DZ$11&lt;=EOMONTH('Construction Budget'!$M37,0)),('Construction Budget'!$G37+SUM($G181:DY181))/ROUND(((EOMONTH('Construction Budget'!$M37,0)-EOMONTH(DZ$11,0))/30)+1,0),0)</f>
        <v>0</v>
      </c>
      <c r="EA181" s="427">
        <f>-IF(AND(EA$11&gt;=EOMONTH('Construction Budget'!$K37,0),EA$11&lt;=EOMONTH('Construction Budget'!$M37,0)),('Construction Budget'!$G37+SUM($G181:DZ181))/ROUND(((EOMONTH('Construction Budget'!$M37,0)-EOMONTH(EA$11,0))/30)+1,0),0)</f>
        <v>0</v>
      </c>
      <c r="EB181" s="427">
        <f>-IF(AND(EB$11&gt;=EOMONTH('Construction Budget'!$K37,0),EB$11&lt;=EOMONTH('Construction Budget'!$M37,0)),('Construction Budget'!$G37+SUM($G181:EA181))/ROUND(((EOMONTH('Construction Budget'!$M37,0)-EOMONTH(EB$11,0))/30)+1,0),0)</f>
        <v>0</v>
      </c>
      <c r="EC181" s="427">
        <f>-IF(AND(EC$11&gt;=EOMONTH('Construction Budget'!$K37,0),EC$11&lt;=EOMONTH('Construction Budget'!$M37,0)),('Construction Budget'!$G37+SUM($G181:EB181))/ROUND(((EOMONTH('Construction Budget'!$M37,0)-EOMONTH(EC$11,0))/30)+1,0),0)</f>
        <v>0</v>
      </c>
      <c r="ED181" s="427">
        <f>-IF(AND(ED$11&gt;=EOMONTH('Construction Budget'!$K37,0),ED$11&lt;=EOMONTH('Construction Budget'!$M37,0)),('Construction Budget'!$G37+SUM($G181:EC181))/ROUND(((EOMONTH('Construction Budget'!$M37,0)-EOMONTH(ED$11,0))/30)+1,0),0)</f>
        <v>0</v>
      </c>
      <c r="EE181" s="427">
        <f>-IF(AND(EE$11&gt;=EOMONTH('Construction Budget'!$K37,0),EE$11&lt;=EOMONTH('Construction Budget'!$M37,0)),('Construction Budget'!$G37+SUM($G181:ED181))/ROUND(((EOMONTH('Construction Budget'!$M37,0)-EOMONTH(EE$11,0))/30)+1,0),0)</f>
        <v>0</v>
      </c>
      <c r="EF181" s="427">
        <f>-IF(AND(EF$11&gt;=EOMONTH('Construction Budget'!$K37,0),EF$11&lt;=EOMONTH('Construction Budget'!$M37,0)),('Construction Budget'!$G37+SUM($G181:EE181))/ROUND(((EOMONTH('Construction Budget'!$M37,0)-EOMONTH(EF$11,0))/30)+1,0),0)</f>
        <v>0</v>
      </c>
      <c r="EG181" s="427">
        <f>-IF(AND(EG$11&gt;=EOMONTH('Construction Budget'!$K37,0),EG$11&lt;=EOMONTH('Construction Budget'!$M37,0)),('Construction Budget'!$G37+SUM($G181:EF181))/ROUND(((EOMONTH('Construction Budget'!$M37,0)-EOMONTH(EG$11,0))/30)+1,0),0)</f>
        <v>0</v>
      </c>
      <c r="EH181" s="427">
        <f>-IF(AND(EH$11&gt;=EOMONTH('Construction Budget'!$K37,0),EH$11&lt;=EOMONTH('Construction Budget'!$M37,0)),('Construction Budget'!$G37+SUM($G181:EG181))/ROUND(((EOMONTH('Construction Budget'!$M37,0)-EOMONTH(EH$11,0))/30)+1,0),0)</f>
        <v>0</v>
      </c>
      <c r="EI181" s="427">
        <f>-IF(AND(EI$11&gt;=EOMONTH('Construction Budget'!$K37,0),EI$11&lt;=EOMONTH('Construction Budget'!$M37,0)),('Construction Budget'!$G37+SUM($G181:EH181))/ROUND(((EOMONTH('Construction Budget'!$M37,0)-EOMONTH(EI$11,0))/30)+1,0),0)</f>
        <v>0</v>
      </c>
      <c r="EJ181" s="427">
        <f>-IF(AND(EJ$11&gt;=EOMONTH('Construction Budget'!$K37,0),EJ$11&lt;=EOMONTH('Construction Budget'!$M37,0)),('Construction Budget'!$G37+SUM($G181:EI181))/ROUND(((EOMONTH('Construction Budget'!$M37,0)-EOMONTH(EJ$11,0))/30)+1,0),0)</f>
        <v>0</v>
      </c>
      <c r="EK181" s="427">
        <f>-IF(AND(EK$11&gt;=EOMONTH('Construction Budget'!$K37,0),EK$11&lt;=EOMONTH('Construction Budget'!$M37,0)),('Construction Budget'!$G37+SUM($G181:EJ181))/ROUND(((EOMONTH('Construction Budget'!$M37,0)-EOMONTH(EK$11,0))/30)+1,0),0)</f>
        <v>0</v>
      </c>
      <c r="EL181" s="427">
        <f>-IF(AND(EL$11&gt;=EOMONTH('Construction Budget'!$K37,0),EL$11&lt;=EOMONTH('Construction Budget'!$M37,0)),('Construction Budget'!$G37+SUM($G181:EK181))/ROUND(((EOMONTH('Construction Budget'!$M37,0)-EOMONTH(EL$11,0))/30)+1,0),0)</f>
        <v>0</v>
      </c>
      <c r="EM181" s="427">
        <f>-IF(AND(EM$11&gt;=EOMONTH('Construction Budget'!$K37,0),EM$11&lt;=EOMONTH('Construction Budget'!$M37,0)),('Construction Budget'!$G37+SUM($G181:EL181))/ROUND(((EOMONTH('Construction Budget'!$M37,0)-EOMONTH(EM$11,0))/30)+1,0),0)</f>
        <v>0</v>
      </c>
      <c r="EN181" s="427">
        <f>-IF(AND(EN$11&gt;=EOMONTH('Construction Budget'!$K37,0),EN$11&lt;=EOMONTH('Construction Budget'!$M37,0)),('Construction Budget'!$G37+SUM($G181:EM181))/ROUND(((EOMONTH('Construction Budget'!$M37,0)-EOMONTH(EN$11,0))/30)+1,0),0)</f>
        <v>0</v>
      </c>
      <c r="EO181" s="427">
        <f>-IF(AND(EO$11&gt;=EOMONTH('Construction Budget'!$K37,0),EO$11&lt;=EOMONTH('Construction Budget'!$M37,0)),('Construction Budget'!$G37+SUM($G181:EN181))/ROUND(((EOMONTH('Construction Budget'!$M37,0)-EOMONTH(EO$11,0))/30)+1,0),0)</f>
        <v>0</v>
      </c>
      <c r="EP181" s="427">
        <f>-IF(AND(EP$11&gt;=EOMONTH('Construction Budget'!$K37,0),EP$11&lt;=EOMONTH('Construction Budget'!$M37,0)),('Construction Budget'!$G37+SUM($G181:EO181))/ROUND(((EOMONTH('Construction Budget'!$M37,0)-EOMONTH(EP$11,0))/30)+1,0),0)</f>
        <v>0</v>
      </c>
      <c r="EQ181" s="427">
        <f>-IF(AND(EQ$11&gt;=EOMONTH('Construction Budget'!$K37,0),EQ$11&lt;=EOMONTH('Construction Budget'!$M37,0)),('Construction Budget'!$G37+SUM($G181:EP181))/ROUND(((EOMONTH('Construction Budget'!$M37,0)-EOMONTH(EQ$11,0))/30)+1,0),0)</f>
        <v>0</v>
      </c>
      <c r="ER181" s="427">
        <f>-IF(AND(ER$11&gt;=EOMONTH('Construction Budget'!$K37,0),ER$11&lt;=EOMONTH('Construction Budget'!$M37,0)),('Construction Budget'!$G37+SUM($G181:EQ181))/ROUND(((EOMONTH('Construction Budget'!$M37,0)-EOMONTH(ER$11,0))/30)+1,0),0)</f>
        <v>0</v>
      </c>
      <c r="ES181" s="427">
        <f>-IF(AND(ES$11&gt;=EOMONTH('Construction Budget'!$K37,0),ES$11&lt;=EOMONTH('Construction Budget'!$M37,0)),('Construction Budget'!$G37+SUM($G181:ER181))/ROUND(((EOMONTH('Construction Budget'!$M37,0)-EOMONTH(ES$11,0))/30)+1,0),0)</f>
        <v>0</v>
      </c>
      <c r="ET181" s="427">
        <f>-IF(AND(ET$11&gt;=EOMONTH('Construction Budget'!$K37,0),ET$11&lt;=EOMONTH('Construction Budget'!$M37,0)),('Construction Budget'!$G37+SUM($G181:ES181))/ROUND(((EOMONTH('Construction Budget'!$M37,0)-EOMONTH(ET$11,0))/30)+1,0),0)</f>
        <v>0</v>
      </c>
      <c r="EU181" s="427">
        <f>-IF(AND(EU$11&gt;=EOMONTH('Construction Budget'!$K37,0),EU$11&lt;=EOMONTH('Construction Budget'!$M37,0)),('Construction Budget'!$G37+SUM($G181:ET181))/ROUND(((EOMONTH('Construction Budget'!$M37,0)-EOMONTH(EU$11,0))/30)+1,0),0)</f>
        <v>0</v>
      </c>
      <c r="EV181" s="427">
        <f>-IF(AND(EV$11&gt;=EOMONTH('Construction Budget'!$K37,0),EV$11&lt;=EOMONTH('Construction Budget'!$M37,0)),('Construction Budget'!$G37+SUM($G181:EU181))/ROUND(((EOMONTH('Construction Budget'!$M37,0)-EOMONTH(EV$11,0))/30)+1,0),0)</f>
        <v>0</v>
      </c>
      <c r="EW181" s="427">
        <f>-IF(AND(EW$11&gt;=EOMONTH('Construction Budget'!$K37,0),EW$11&lt;=EOMONTH('Construction Budget'!$M37,0)),('Construction Budget'!$G37+SUM($G181:EV181))/ROUND(((EOMONTH('Construction Budget'!$M37,0)-EOMONTH(EW$11,0))/30)+1,0),0)</f>
        <v>0</v>
      </c>
      <c r="EX181" s="427">
        <f>-IF(AND(EX$11&gt;=EOMONTH('Construction Budget'!$K37,0),EX$11&lt;=EOMONTH('Construction Budget'!$M37,0)),('Construction Budget'!$G37+SUM($G181:EW181))/ROUND(((EOMONTH('Construction Budget'!$M37,0)-EOMONTH(EX$11,0))/30)+1,0),0)</f>
        <v>0</v>
      </c>
      <c r="EY181" s="427">
        <f>-IF(AND(EY$11&gt;=EOMONTH('Construction Budget'!$K37,0),EY$11&lt;=EOMONTH('Construction Budget'!$M37,0)),('Construction Budget'!$G37+SUM($G181:EX181))/ROUND(((EOMONTH('Construction Budget'!$M37,0)-EOMONTH(EY$11,0))/30)+1,0),0)</f>
        <v>0</v>
      </c>
      <c r="EZ181" s="427">
        <f>-IF(AND(EZ$11&gt;=EOMONTH('Construction Budget'!$K37,0),EZ$11&lt;=EOMONTH('Construction Budget'!$M37,0)),('Construction Budget'!$G37+SUM($G181:EY181))/ROUND(((EOMONTH('Construction Budget'!$M37,0)-EOMONTH(EZ$11,0))/30)+1,0),0)</f>
        <v>0</v>
      </c>
      <c r="FA181" s="427">
        <f>-IF(AND(FA$11&gt;=EOMONTH('Construction Budget'!$K37,0),FA$11&lt;=EOMONTH('Construction Budget'!$M37,0)),('Construction Budget'!$G37+SUM($G181:EZ181))/ROUND(((EOMONTH('Construction Budget'!$M37,0)-EOMONTH(FA$11,0))/30)+1,0),0)</f>
        <v>0</v>
      </c>
      <c r="FB181" s="427">
        <f>-IF(AND(FB$11&gt;=EOMONTH('Construction Budget'!$K37,0),FB$11&lt;=EOMONTH('Construction Budget'!$M37,0)),('Construction Budget'!$G37+SUM($G181:FA181))/ROUND(((EOMONTH('Construction Budget'!$M37,0)-EOMONTH(FB$11,0))/30)+1,0),0)</f>
        <v>0</v>
      </c>
      <c r="FC181" s="427">
        <f>-IF(AND(FC$11&gt;=EOMONTH('Construction Budget'!$K37,0),FC$11&lt;=EOMONTH('Construction Budget'!$M37,0)),('Construction Budget'!$G37+SUM($G181:FB181))/ROUND(((EOMONTH('Construction Budget'!$M37,0)-EOMONTH(FC$11,0))/30)+1,0),0)</f>
        <v>0</v>
      </c>
      <c r="FD181" s="427">
        <f>-IF(AND(FD$11&gt;=EOMONTH('Construction Budget'!$K37,0),FD$11&lt;=EOMONTH('Construction Budget'!$M37,0)),('Construction Budget'!$G37+SUM($G181:FC181))/ROUND(((EOMONTH('Construction Budget'!$M37,0)-EOMONTH(FD$11,0))/30)+1,0),0)</f>
        <v>0</v>
      </c>
      <c r="FE181" s="427">
        <f>-IF(AND(FE$11&gt;=EOMONTH('Construction Budget'!$K37,0),FE$11&lt;=EOMONTH('Construction Budget'!$M37,0)),('Construction Budget'!$G37+SUM($G181:FD181))/ROUND(((EOMONTH('Construction Budget'!$M37,0)-EOMONTH(FE$11,0))/30)+1,0),0)</f>
        <v>0</v>
      </c>
      <c r="FF181" s="427">
        <f>-IF(AND(FF$11&gt;=EOMONTH('Construction Budget'!$K37,0),FF$11&lt;=EOMONTH('Construction Budget'!$M37,0)),('Construction Budget'!$G37+SUM($G181:FE181))/ROUND(((EOMONTH('Construction Budget'!$M37,0)-EOMONTH(FF$11,0))/30)+1,0),0)</f>
        <v>0</v>
      </c>
      <c r="FG181" s="427">
        <f>-IF(AND(FG$11&gt;=EOMONTH('Construction Budget'!$K37,0),FG$11&lt;=EOMONTH('Construction Budget'!$M37,0)),('Construction Budget'!$G37+SUM($G181:FF181))/ROUND(((EOMONTH('Construction Budget'!$M37,0)-EOMONTH(FG$11,0))/30)+1,0),0)</f>
        <v>0</v>
      </c>
      <c r="FH181" s="427">
        <f>-IF(AND(FH$11&gt;=EOMONTH('Construction Budget'!$K37,0),FH$11&lt;=EOMONTH('Construction Budget'!$M37,0)),('Construction Budget'!$G37+SUM($G181:FG181))/ROUND(((EOMONTH('Construction Budget'!$M37,0)-EOMONTH(FH$11,0))/30)+1,0),0)</f>
        <v>0</v>
      </c>
      <c r="FI181" s="427">
        <f>-IF(AND(FI$11&gt;=EOMONTH('Construction Budget'!$K37,0),FI$11&lt;=EOMONTH('Construction Budget'!$M37,0)),('Construction Budget'!$G37+SUM($G181:FH181))/ROUND(((EOMONTH('Construction Budget'!$M37,0)-EOMONTH(FI$11,0))/30)+1,0),0)</f>
        <v>0</v>
      </c>
      <c r="FJ181" s="427">
        <f>-IF(AND(FJ$11&gt;=EOMONTH('Construction Budget'!$K37,0),FJ$11&lt;=EOMONTH('Construction Budget'!$M37,0)),('Construction Budget'!$G37+SUM($G181:FI181))/ROUND(((EOMONTH('Construction Budget'!$M37,0)-EOMONTH(FJ$11,0))/30)+1,0),0)</f>
        <v>0</v>
      </c>
      <c r="FK181" s="427">
        <f>-IF(AND(FK$11&gt;=EOMONTH('Construction Budget'!$K37,0),FK$11&lt;=EOMONTH('Construction Budget'!$M37,0)),('Construction Budget'!$G37+SUM($G181:FJ181))/ROUND(((EOMONTH('Construction Budget'!$M37,0)-EOMONTH(FK$11,0))/30)+1,0),0)</f>
        <v>0</v>
      </c>
      <c r="FL181" s="427">
        <f>-IF(AND(FL$11&gt;=EOMONTH('Construction Budget'!$K37,0),FL$11&lt;=EOMONTH('Construction Budget'!$M37,0)),('Construction Budget'!$G37+SUM($G181:FK181))/ROUND(((EOMONTH('Construction Budget'!$M37,0)-EOMONTH(FL$11,0))/30)+1,0),0)</f>
        <v>0</v>
      </c>
      <c r="FM181" s="427">
        <f>-IF(AND(FM$11&gt;=EOMONTH('Construction Budget'!$K37,0),FM$11&lt;=EOMONTH('Construction Budget'!$M37,0)),('Construction Budget'!$G37+SUM($G181:FL181))/ROUND(((EOMONTH('Construction Budget'!$M37,0)-EOMONTH(FM$11,0))/30)+1,0),0)</f>
        <v>0</v>
      </c>
      <c r="FN181" s="427">
        <f>-IF(AND(FN$11&gt;=EOMONTH('Construction Budget'!$K37,0),FN$11&lt;=EOMONTH('Construction Budget'!$M37,0)),('Construction Budget'!$G37+SUM($G181:FM181))/ROUND(((EOMONTH('Construction Budget'!$M37,0)-EOMONTH(FN$11,0))/30)+1,0),0)</f>
        <v>0</v>
      </c>
      <c r="FO181" s="427">
        <f>-IF(AND(FO$11&gt;=EOMONTH('Construction Budget'!$K37,0),FO$11&lt;=EOMONTH('Construction Budget'!$M37,0)),('Construction Budget'!$G37+SUM($G181:FN181))/ROUND(((EOMONTH('Construction Budget'!$M37,0)-EOMONTH(FO$11,0))/30)+1,0),0)</f>
        <v>0</v>
      </c>
      <c r="FP181" s="427">
        <f>-IF(AND(FP$11&gt;=EOMONTH('Construction Budget'!$K37,0),FP$11&lt;=EOMONTH('Construction Budget'!$M37,0)),('Construction Budget'!$G37+SUM($G181:FO181))/ROUND(((EOMONTH('Construction Budget'!$M37,0)-EOMONTH(FP$11,0))/30)+1,0),0)</f>
        <v>0</v>
      </c>
      <c r="FQ181" s="427">
        <f>-IF(AND(FQ$11&gt;=EOMONTH('Construction Budget'!$K37,0),FQ$11&lt;=EOMONTH('Construction Budget'!$M37,0)),('Construction Budget'!$G37+SUM($G181:FP181))/ROUND(((EOMONTH('Construction Budget'!$M37,0)-EOMONTH(FQ$11,0))/30)+1,0),0)</f>
        <v>0</v>
      </c>
      <c r="FR181" s="427">
        <f>-IF(AND(FR$11&gt;=EOMONTH('Construction Budget'!$K37,0),FR$11&lt;=EOMONTH('Construction Budget'!$M37,0)),('Construction Budget'!$G37+SUM($G181:FQ181))/ROUND(((EOMONTH('Construction Budget'!$M37,0)-EOMONTH(FR$11,0))/30)+1,0),0)</f>
        <v>0</v>
      </c>
      <c r="FS181" s="427">
        <f>-IF(AND(FS$11&gt;=EOMONTH('Construction Budget'!$K37,0),FS$11&lt;=EOMONTH('Construction Budget'!$M37,0)),('Construction Budget'!$G37+SUM($G181:FR181))/ROUND(((EOMONTH('Construction Budget'!$M37,0)-EOMONTH(FS$11,0))/30)+1,0),0)</f>
        <v>0</v>
      </c>
      <c r="FT181" s="427">
        <f>-IF(AND(FT$11&gt;=EOMONTH('Construction Budget'!$K37,0),FT$11&lt;=EOMONTH('Construction Budget'!$M37,0)),('Construction Budget'!$G37+SUM($G181:FS181))/ROUND(((EOMONTH('Construction Budget'!$M37,0)-EOMONTH(FT$11,0))/30)+1,0),0)</f>
        <v>0</v>
      </c>
      <c r="FU181" s="43"/>
      <c r="FV181" s="34"/>
      <c r="FW181" s="34"/>
      <c r="FX181" s="34"/>
      <c r="FY181" s="34"/>
      <c r="FZ181" s="34"/>
    </row>
    <row r="182" spans="1:182" s="89" customFormat="1" ht="13.5" hidden="1" outlineLevel="1" x14ac:dyDescent="0.25">
      <c r="A182" s="498"/>
      <c r="B182" s="128" t="str">
        <f>'Construction Budget'!B38</f>
        <v>Blank</v>
      </c>
      <c r="C182" s="34"/>
      <c r="D182" s="34"/>
      <c r="E182" s="34"/>
      <c r="F182" s="434">
        <f t="shared" si="232"/>
        <v>0</v>
      </c>
      <c r="G182" s="34"/>
      <c r="H182" s="427">
        <f>-IF(AND(H$11&gt;=EOMONTH('Construction Budget'!$K38,0),H$11&lt;=EOMONTH('Construction Budget'!$M38,0)),('Construction Budget'!$G38+SUM($G182:G182))/ROUND(((EOMONTH('Construction Budget'!$M38,0)-EOMONTH(H$11,0))/30)+1,0),0)</f>
        <v>0</v>
      </c>
      <c r="I182" s="427">
        <f>-IF(AND(I$11&gt;=EOMONTH('Construction Budget'!$K38,0),I$11&lt;=EOMONTH('Construction Budget'!$M38,0)),('Construction Budget'!$G38+SUM($G182:H182))/ROUND(((EOMONTH('Construction Budget'!$M38,0)-EOMONTH(I$11,0))/30)+1,0),0)</f>
        <v>0</v>
      </c>
      <c r="J182" s="427">
        <f>-IF(AND(J$11&gt;=EOMONTH('Construction Budget'!$K38,0),J$11&lt;=EOMONTH('Construction Budget'!$M38,0)),('Construction Budget'!$G38+SUM($G182:I182))/ROUND(((EOMONTH('Construction Budget'!$M38,0)-EOMONTH(J$11,0))/30)+1,0),0)</f>
        <v>0</v>
      </c>
      <c r="K182" s="427">
        <f>-IF(AND(K$11&gt;=EOMONTH('Construction Budget'!$K38,0),K$11&lt;=EOMONTH('Construction Budget'!$M38,0)),('Construction Budget'!$G38+SUM($G182:J182))/ROUND(((EOMONTH('Construction Budget'!$M38,0)-EOMONTH(K$11,0))/30)+1,0),0)</f>
        <v>0</v>
      </c>
      <c r="L182" s="427">
        <f>-IF(AND(L$11&gt;=EOMONTH('Construction Budget'!$K38,0),L$11&lt;=EOMONTH('Construction Budget'!$M38,0)),('Construction Budget'!$G38+SUM($G182:K182))/ROUND(((EOMONTH('Construction Budget'!$M38,0)-EOMONTH(L$11,0))/30)+1,0),0)</f>
        <v>0</v>
      </c>
      <c r="M182" s="427">
        <f>-IF(AND(M$11&gt;=EOMONTH('Construction Budget'!$K38,0),M$11&lt;=EOMONTH('Construction Budget'!$M38,0)),('Construction Budget'!$G38+SUM($G182:L182))/ROUND(((EOMONTH('Construction Budget'!$M38,0)-EOMONTH(M$11,0))/30)+1,0),0)</f>
        <v>0</v>
      </c>
      <c r="N182" s="427">
        <f>-IF(AND(N$11&gt;=EOMONTH('Construction Budget'!$K38,0),N$11&lt;=EOMONTH('Construction Budget'!$M38,0)),('Construction Budget'!$G38+SUM($G182:M182))/ROUND(((EOMONTH('Construction Budget'!$M38,0)-EOMONTH(N$11,0))/30)+1,0),0)</f>
        <v>0</v>
      </c>
      <c r="O182" s="427">
        <f>-IF(AND(O$11&gt;=EOMONTH('Construction Budget'!$K38,0),O$11&lt;=EOMONTH('Construction Budget'!$M38,0)),('Construction Budget'!$G38+SUM($G182:N182))/ROUND(((EOMONTH('Construction Budget'!$M38,0)-EOMONTH(O$11,0))/30)+1,0),0)</f>
        <v>0</v>
      </c>
      <c r="P182" s="427">
        <f>-IF(AND(P$11&gt;=EOMONTH('Construction Budget'!$K38,0),P$11&lt;=EOMONTH('Construction Budget'!$M38,0)),('Construction Budget'!$G38+SUM($G182:O182))/ROUND(((EOMONTH('Construction Budget'!$M38,0)-EOMONTH(P$11,0))/30)+1,0),0)</f>
        <v>0</v>
      </c>
      <c r="Q182" s="427">
        <f>-IF(AND(Q$11&gt;=EOMONTH('Construction Budget'!$K38,0),Q$11&lt;=EOMONTH('Construction Budget'!$M38,0)),('Construction Budget'!$G38+SUM($G182:P182))/ROUND(((EOMONTH('Construction Budget'!$M38,0)-EOMONTH(Q$11,0))/30)+1,0),0)</f>
        <v>0</v>
      </c>
      <c r="R182" s="427">
        <f>-IF(AND(R$11&gt;=EOMONTH('Construction Budget'!$K38,0),R$11&lt;=EOMONTH('Construction Budget'!$M38,0)),('Construction Budget'!$G38+SUM($G182:Q182))/ROUND(((EOMONTH('Construction Budget'!$M38,0)-EOMONTH(R$11,0))/30)+1,0),0)</f>
        <v>0</v>
      </c>
      <c r="S182" s="427">
        <f>-IF(AND(S$11&gt;=EOMONTH('Construction Budget'!$K38,0),S$11&lt;=EOMONTH('Construction Budget'!$M38,0)),('Construction Budget'!$G38+SUM($G182:R182))/ROUND(((EOMONTH('Construction Budget'!$M38,0)-EOMONTH(S$11,0))/30)+1,0),0)</f>
        <v>0</v>
      </c>
      <c r="T182" s="427">
        <f>-IF(AND(T$11&gt;=EOMONTH('Construction Budget'!$K38,0),T$11&lt;=EOMONTH('Construction Budget'!$M38,0)),('Construction Budget'!$G38+SUM($G182:S182))/ROUND(((EOMONTH('Construction Budget'!$M38,0)-EOMONTH(T$11,0))/30)+1,0),0)</f>
        <v>0</v>
      </c>
      <c r="U182" s="427">
        <f>-IF(AND(U$11&gt;=EOMONTH('Construction Budget'!$K38,0),U$11&lt;=EOMONTH('Construction Budget'!$M38,0)),('Construction Budget'!$G38+SUM($G182:T182))/ROUND(((EOMONTH('Construction Budget'!$M38,0)-EOMONTH(U$11,0))/30)+1,0),0)</f>
        <v>0</v>
      </c>
      <c r="V182" s="427">
        <f>-IF(AND(V$11&gt;=EOMONTH('Construction Budget'!$K38,0),V$11&lt;=EOMONTH('Construction Budget'!$M38,0)),('Construction Budget'!$G38+SUM($G182:U182))/ROUND(((EOMONTH('Construction Budget'!$M38,0)-EOMONTH(V$11,0))/30)+1,0),0)</f>
        <v>0</v>
      </c>
      <c r="W182" s="427">
        <f>-IF(AND(W$11&gt;=EOMONTH('Construction Budget'!$K38,0),W$11&lt;=EOMONTH('Construction Budget'!$M38,0)),('Construction Budget'!$G38+SUM($G182:V182))/ROUND(((EOMONTH('Construction Budget'!$M38,0)-EOMONTH(W$11,0))/30)+1,0),0)</f>
        <v>0</v>
      </c>
      <c r="X182" s="427">
        <f>-IF(AND(X$11&gt;=EOMONTH('Construction Budget'!$K38,0),X$11&lt;=EOMONTH('Construction Budget'!$M38,0)),('Construction Budget'!$G38+SUM($G182:W182))/ROUND(((EOMONTH('Construction Budget'!$M38,0)-EOMONTH(X$11,0))/30)+1,0),0)</f>
        <v>0</v>
      </c>
      <c r="Y182" s="427">
        <f>-IF(AND(Y$11&gt;=EOMONTH('Construction Budget'!$K38,0),Y$11&lt;=EOMONTH('Construction Budget'!$M38,0)),('Construction Budget'!$G38+SUM($G182:X182))/ROUND(((EOMONTH('Construction Budget'!$M38,0)-EOMONTH(Y$11,0))/30)+1,0),0)</f>
        <v>0</v>
      </c>
      <c r="Z182" s="427">
        <f>-IF(AND(Z$11&gt;=EOMONTH('Construction Budget'!$K38,0),Z$11&lt;=EOMONTH('Construction Budget'!$M38,0)),('Construction Budget'!$G38+SUM($G182:Y182))/ROUND(((EOMONTH('Construction Budget'!$M38,0)-EOMONTH(Z$11,0))/30)+1,0),0)</f>
        <v>0</v>
      </c>
      <c r="AA182" s="427">
        <f>-IF(AND(AA$11&gt;=EOMONTH('Construction Budget'!$K38,0),AA$11&lt;=EOMONTH('Construction Budget'!$M38,0)),('Construction Budget'!$G38+SUM($G182:Z182))/ROUND(((EOMONTH('Construction Budget'!$M38,0)-EOMONTH(AA$11,0))/30)+1,0),0)</f>
        <v>0</v>
      </c>
      <c r="AB182" s="427">
        <f>-IF(AND(AB$11&gt;=EOMONTH('Construction Budget'!$K38,0),AB$11&lt;=EOMONTH('Construction Budget'!$M38,0)),('Construction Budget'!$G38+SUM($G182:AA182))/ROUND(((EOMONTH('Construction Budget'!$M38,0)-EOMONTH(AB$11,0))/30)+1,0),0)</f>
        <v>0</v>
      </c>
      <c r="AC182" s="427">
        <f>-IF(AND(AC$11&gt;=EOMONTH('Construction Budget'!$K38,0),AC$11&lt;=EOMONTH('Construction Budget'!$M38,0)),('Construction Budget'!$G38+SUM($G182:AB182))/ROUND(((EOMONTH('Construction Budget'!$M38,0)-EOMONTH(AC$11,0))/30)+1,0),0)</f>
        <v>0</v>
      </c>
      <c r="AD182" s="427">
        <f>-IF(AND(AD$11&gt;=EOMONTH('Construction Budget'!$K38,0),AD$11&lt;=EOMONTH('Construction Budget'!$M38,0)),('Construction Budget'!$G38+SUM($G182:AC182))/ROUND(((EOMONTH('Construction Budget'!$M38,0)-EOMONTH(AD$11,0))/30)+1,0),0)</f>
        <v>0</v>
      </c>
      <c r="AE182" s="427">
        <f>-IF(AND(AE$11&gt;=EOMONTH('Construction Budget'!$K38,0),AE$11&lt;=EOMONTH('Construction Budget'!$M38,0)),('Construction Budget'!$G38+SUM($G182:AD182))/ROUND(((EOMONTH('Construction Budget'!$M38,0)-EOMONTH(AE$11,0))/30)+1,0),0)</f>
        <v>0</v>
      </c>
      <c r="AF182" s="427">
        <f>-IF(AND(AF$11&gt;=EOMONTH('Construction Budget'!$K38,0),AF$11&lt;=EOMONTH('Construction Budget'!$M38,0)),('Construction Budget'!$G38+SUM($G182:AE182))/ROUND(((EOMONTH('Construction Budget'!$M38,0)-EOMONTH(AF$11,0))/30)+1,0),0)</f>
        <v>0</v>
      </c>
      <c r="AG182" s="427">
        <f>-IF(AND(AG$11&gt;=EOMONTH('Construction Budget'!$K38,0),AG$11&lt;=EOMONTH('Construction Budget'!$M38,0)),('Construction Budget'!$G38+SUM($G182:AF182))/ROUND(((EOMONTH('Construction Budget'!$M38,0)-EOMONTH(AG$11,0))/30)+1,0),0)</f>
        <v>0</v>
      </c>
      <c r="AH182" s="427">
        <f>-IF(AND(AH$11&gt;=EOMONTH('Construction Budget'!$K38,0),AH$11&lt;=EOMONTH('Construction Budget'!$M38,0)),('Construction Budget'!$G38+SUM($G182:AG182))/ROUND(((EOMONTH('Construction Budget'!$M38,0)-EOMONTH(AH$11,0))/30)+1,0),0)</f>
        <v>0</v>
      </c>
      <c r="AI182" s="427">
        <f>-IF(AND(AI$11&gt;=EOMONTH('Construction Budget'!$K38,0),AI$11&lt;=EOMONTH('Construction Budget'!$M38,0)),('Construction Budget'!$G38+SUM($G182:AH182))/ROUND(((EOMONTH('Construction Budget'!$M38,0)-EOMONTH(AI$11,0))/30)+1,0),0)</f>
        <v>0</v>
      </c>
      <c r="AJ182" s="427">
        <f>-IF(AND(AJ$11&gt;=EOMONTH('Construction Budget'!$K38,0),AJ$11&lt;=EOMONTH('Construction Budget'!$M38,0)),('Construction Budget'!$G38+SUM($G182:AI182))/ROUND(((EOMONTH('Construction Budget'!$M38,0)-EOMONTH(AJ$11,0))/30)+1,0),0)</f>
        <v>0</v>
      </c>
      <c r="AK182" s="427">
        <f>-IF(AND(AK$11&gt;=EOMONTH('Construction Budget'!$K38,0),AK$11&lt;=EOMONTH('Construction Budget'!$M38,0)),('Construction Budget'!$G38+SUM($G182:AJ182))/ROUND(((EOMONTH('Construction Budget'!$M38,0)-EOMONTH(AK$11,0))/30)+1,0),0)</f>
        <v>0</v>
      </c>
      <c r="AL182" s="427">
        <f>-IF(AND(AL$11&gt;=EOMONTH('Construction Budget'!$K38,0),AL$11&lt;=EOMONTH('Construction Budget'!$M38,0)),('Construction Budget'!$G38+SUM($G182:AK182))/ROUND(((EOMONTH('Construction Budget'!$M38,0)-EOMONTH(AL$11,0))/30)+1,0),0)</f>
        <v>0</v>
      </c>
      <c r="AM182" s="427">
        <f>-IF(AND(AM$11&gt;=EOMONTH('Construction Budget'!$K38,0),AM$11&lt;=EOMONTH('Construction Budget'!$M38,0)),('Construction Budget'!$G38+SUM($G182:AL182))/ROUND(((EOMONTH('Construction Budget'!$M38,0)-EOMONTH(AM$11,0))/30)+1,0),0)</f>
        <v>0</v>
      </c>
      <c r="AN182" s="427">
        <f>-IF(AND(AN$11&gt;=EOMONTH('Construction Budget'!$K38,0),AN$11&lt;=EOMONTH('Construction Budget'!$M38,0)),('Construction Budget'!$G38+SUM($G182:AM182))/ROUND(((EOMONTH('Construction Budget'!$M38,0)-EOMONTH(AN$11,0))/30)+1,0),0)</f>
        <v>0</v>
      </c>
      <c r="AO182" s="427">
        <f>-IF(AND(AO$11&gt;=EOMONTH('Construction Budget'!$K38,0),AO$11&lt;=EOMONTH('Construction Budget'!$M38,0)),('Construction Budget'!$G38+SUM($G182:AN182))/ROUND(((EOMONTH('Construction Budget'!$M38,0)-EOMONTH(AO$11,0))/30)+1,0),0)</f>
        <v>0</v>
      </c>
      <c r="AP182" s="427">
        <f>-IF(AND(AP$11&gt;=EOMONTH('Construction Budget'!$K38,0),AP$11&lt;=EOMONTH('Construction Budget'!$M38,0)),('Construction Budget'!$G38+SUM($G182:AO182))/ROUND(((EOMONTH('Construction Budget'!$M38,0)-EOMONTH(AP$11,0))/30)+1,0),0)</f>
        <v>0</v>
      </c>
      <c r="AQ182" s="427">
        <f>-IF(AND(AQ$11&gt;=EOMONTH('Construction Budget'!$K38,0),AQ$11&lt;=EOMONTH('Construction Budget'!$M38,0)),('Construction Budget'!$G38+SUM($G182:AP182))/ROUND(((EOMONTH('Construction Budget'!$M38,0)-EOMONTH(AQ$11,0))/30)+1,0),0)</f>
        <v>0</v>
      </c>
      <c r="AR182" s="427">
        <f>-IF(AND(AR$11&gt;=EOMONTH('Construction Budget'!$K38,0),AR$11&lt;=EOMONTH('Construction Budget'!$M38,0)),('Construction Budget'!$G38+SUM($G182:AQ182))/ROUND(((EOMONTH('Construction Budget'!$M38,0)-EOMONTH(AR$11,0))/30)+1,0),0)</f>
        <v>0</v>
      </c>
      <c r="AS182" s="427">
        <f>-IF(AND(AS$11&gt;=EOMONTH('Construction Budget'!$K38,0),AS$11&lt;=EOMONTH('Construction Budget'!$M38,0)),('Construction Budget'!$G38+SUM($G182:AR182))/ROUND(((EOMONTH('Construction Budget'!$M38,0)-EOMONTH(AS$11,0))/30)+1,0),0)</f>
        <v>0</v>
      </c>
      <c r="AT182" s="427">
        <f>-IF(AND(AT$11&gt;=EOMONTH('Construction Budget'!$K38,0),AT$11&lt;=EOMONTH('Construction Budget'!$M38,0)),('Construction Budget'!$G38+SUM($G182:AS182))/ROUND(((EOMONTH('Construction Budget'!$M38,0)-EOMONTH(AT$11,0))/30)+1,0),0)</f>
        <v>0</v>
      </c>
      <c r="AU182" s="427">
        <f>-IF(AND(AU$11&gt;=EOMONTH('Construction Budget'!$K38,0),AU$11&lt;=EOMONTH('Construction Budget'!$M38,0)),('Construction Budget'!$G38+SUM($G182:AT182))/ROUND(((EOMONTH('Construction Budget'!$M38,0)-EOMONTH(AU$11,0))/30)+1,0),0)</f>
        <v>0</v>
      </c>
      <c r="AV182" s="427">
        <f>-IF(AND(AV$11&gt;=EOMONTH('Construction Budget'!$K38,0),AV$11&lt;=EOMONTH('Construction Budget'!$M38,0)),('Construction Budget'!$G38+SUM($G182:AU182))/ROUND(((EOMONTH('Construction Budget'!$M38,0)-EOMONTH(AV$11,0))/30)+1,0),0)</f>
        <v>0</v>
      </c>
      <c r="AW182" s="427">
        <f>-IF(AND(AW$11&gt;=EOMONTH('Construction Budget'!$K38,0),AW$11&lt;=EOMONTH('Construction Budget'!$M38,0)),('Construction Budget'!$G38+SUM($G182:AV182))/ROUND(((EOMONTH('Construction Budget'!$M38,0)-EOMONTH(AW$11,0))/30)+1,0),0)</f>
        <v>0</v>
      </c>
      <c r="AX182" s="427">
        <f>-IF(AND(AX$11&gt;=EOMONTH('Construction Budget'!$K38,0),AX$11&lt;=EOMONTH('Construction Budget'!$M38,0)),('Construction Budget'!$G38+SUM($G182:AW182))/ROUND(((EOMONTH('Construction Budget'!$M38,0)-EOMONTH(AX$11,0))/30)+1,0),0)</f>
        <v>0</v>
      </c>
      <c r="AY182" s="427">
        <f>-IF(AND(AY$11&gt;=EOMONTH('Construction Budget'!$K38,0),AY$11&lt;=EOMONTH('Construction Budget'!$M38,0)),('Construction Budget'!$G38+SUM($G182:AX182))/ROUND(((EOMONTH('Construction Budget'!$M38,0)-EOMONTH(AY$11,0))/30)+1,0),0)</f>
        <v>0</v>
      </c>
      <c r="AZ182" s="427">
        <f>-IF(AND(AZ$11&gt;=EOMONTH('Construction Budget'!$K38,0),AZ$11&lt;=EOMONTH('Construction Budget'!$M38,0)),('Construction Budget'!$G38+SUM($G182:AY182))/ROUND(((EOMONTH('Construction Budget'!$M38,0)-EOMONTH(AZ$11,0))/30)+1,0),0)</f>
        <v>0</v>
      </c>
      <c r="BA182" s="427">
        <f>-IF(AND(BA$11&gt;=EOMONTH('Construction Budget'!$K38,0),BA$11&lt;=EOMONTH('Construction Budget'!$M38,0)),('Construction Budget'!$G38+SUM($G182:AZ182))/ROUND(((EOMONTH('Construction Budget'!$M38,0)-EOMONTH(BA$11,0))/30)+1,0),0)</f>
        <v>0</v>
      </c>
      <c r="BB182" s="427">
        <f>-IF(AND(BB$11&gt;=EOMONTH('Construction Budget'!$K38,0),BB$11&lt;=EOMONTH('Construction Budget'!$M38,0)),('Construction Budget'!$G38+SUM($G182:BA182))/ROUND(((EOMONTH('Construction Budget'!$M38,0)-EOMONTH(BB$11,0))/30)+1,0),0)</f>
        <v>0</v>
      </c>
      <c r="BC182" s="427">
        <f>-IF(AND(BC$11&gt;=EOMONTH('Construction Budget'!$K38,0),BC$11&lt;=EOMONTH('Construction Budget'!$M38,0)),('Construction Budget'!$G38+SUM($G182:BB182))/ROUND(((EOMONTH('Construction Budget'!$M38,0)-EOMONTH(BC$11,0))/30)+1,0),0)</f>
        <v>0</v>
      </c>
      <c r="BD182" s="427">
        <f>-IF(AND(BD$11&gt;=EOMONTH('Construction Budget'!$K38,0),BD$11&lt;=EOMONTH('Construction Budget'!$M38,0)),('Construction Budget'!$G38+SUM($G182:BC182))/ROUND(((EOMONTH('Construction Budget'!$M38,0)-EOMONTH(BD$11,0))/30)+1,0),0)</f>
        <v>0</v>
      </c>
      <c r="BE182" s="427">
        <f>-IF(AND(BE$11&gt;=EOMONTH('Construction Budget'!$K38,0),BE$11&lt;=EOMONTH('Construction Budget'!$M38,0)),('Construction Budget'!$G38+SUM($G182:BD182))/ROUND(((EOMONTH('Construction Budget'!$M38,0)-EOMONTH(BE$11,0))/30)+1,0),0)</f>
        <v>0</v>
      </c>
      <c r="BF182" s="427">
        <f>-IF(AND(BF$11&gt;=EOMONTH('Construction Budget'!$K38,0),BF$11&lt;=EOMONTH('Construction Budget'!$M38,0)),('Construction Budget'!$G38+SUM($G182:BE182))/ROUND(((EOMONTH('Construction Budget'!$M38,0)-EOMONTH(BF$11,0))/30)+1,0),0)</f>
        <v>0</v>
      </c>
      <c r="BG182" s="427">
        <f>-IF(AND(BG$11&gt;=EOMONTH('Construction Budget'!$K38,0),BG$11&lt;=EOMONTH('Construction Budget'!$M38,0)),('Construction Budget'!$G38+SUM($G182:BF182))/ROUND(((EOMONTH('Construction Budget'!$M38,0)-EOMONTH(BG$11,0))/30)+1,0),0)</f>
        <v>0</v>
      </c>
      <c r="BH182" s="427">
        <f>-IF(AND(BH$11&gt;=EOMONTH('Construction Budget'!$K38,0),BH$11&lt;=EOMONTH('Construction Budget'!$M38,0)),('Construction Budget'!$G38+SUM($G182:BG182))/ROUND(((EOMONTH('Construction Budget'!$M38,0)-EOMONTH(BH$11,0))/30)+1,0),0)</f>
        <v>0</v>
      </c>
      <c r="BI182" s="427">
        <f>-IF(AND(BI$11&gt;=EOMONTH('Construction Budget'!$K38,0),BI$11&lt;=EOMONTH('Construction Budget'!$M38,0)),('Construction Budget'!$G38+SUM($G182:BH182))/ROUND(((EOMONTH('Construction Budget'!$M38,0)-EOMONTH(BI$11,0))/30)+1,0),0)</f>
        <v>0</v>
      </c>
      <c r="BJ182" s="427">
        <f>-IF(AND(BJ$11&gt;=EOMONTH('Construction Budget'!$K38,0),BJ$11&lt;=EOMONTH('Construction Budget'!$M38,0)),('Construction Budget'!$G38+SUM($G182:BI182))/ROUND(((EOMONTH('Construction Budget'!$M38,0)-EOMONTH(BJ$11,0))/30)+1,0),0)</f>
        <v>0</v>
      </c>
      <c r="BK182" s="427">
        <f>-IF(AND(BK$11&gt;=EOMONTH('Construction Budget'!$K38,0),BK$11&lt;=EOMONTH('Construction Budget'!$M38,0)),('Construction Budget'!$G38+SUM($G182:BJ182))/ROUND(((EOMONTH('Construction Budget'!$M38,0)-EOMONTH(BK$11,0))/30)+1,0),0)</f>
        <v>0</v>
      </c>
      <c r="BL182" s="427">
        <f>-IF(AND(BL$11&gt;=EOMONTH('Construction Budget'!$K38,0),BL$11&lt;=EOMONTH('Construction Budget'!$M38,0)),('Construction Budget'!$G38+SUM($G182:BK182))/ROUND(((EOMONTH('Construction Budget'!$M38,0)-EOMONTH(BL$11,0))/30)+1,0),0)</f>
        <v>0</v>
      </c>
      <c r="BM182" s="427">
        <f>-IF(AND(BM$11&gt;=EOMONTH('Construction Budget'!$K38,0),BM$11&lt;=EOMONTH('Construction Budget'!$M38,0)),('Construction Budget'!$G38+SUM($G182:BL182))/ROUND(((EOMONTH('Construction Budget'!$M38,0)-EOMONTH(BM$11,0))/30)+1,0),0)</f>
        <v>0</v>
      </c>
      <c r="BN182" s="427">
        <f>-IF(AND(BN$11&gt;=EOMONTH('Construction Budget'!$K38,0),BN$11&lt;=EOMONTH('Construction Budget'!$M38,0)),('Construction Budget'!$G38+SUM($G182:BM182))/ROUND(((EOMONTH('Construction Budget'!$M38,0)-EOMONTH(BN$11,0))/30)+1,0),0)</f>
        <v>0</v>
      </c>
      <c r="BO182" s="427">
        <f>-IF(AND(BO$11&gt;=EOMONTH('Construction Budget'!$K38,0),BO$11&lt;=EOMONTH('Construction Budget'!$M38,0)),('Construction Budget'!$G38+SUM($G182:BN182))/ROUND(((EOMONTH('Construction Budget'!$M38,0)-EOMONTH(BO$11,0))/30)+1,0),0)</f>
        <v>0</v>
      </c>
      <c r="BP182" s="427">
        <f>-IF(AND(BP$11&gt;=EOMONTH('Construction Budget'!$K38,0),BP$11&lt;=EOMONTH('Construction Budget'!$M38,0)),('Construction Budget'!$G38+SUM($G182:BO182))/ROUND(((EOMONTH('Construction Budget'!$M38,0)-EOMONTH(BP$11,0))/30)+1,0),0)</f>
        <v>0</v>
      </c>
      <c r="BQ182" s="427">
        <f>-IF(AND(BQ$11&gt;=EOMONTH('Construction Budget'!$K38,0),BQ$11&lt;=EOMONTH('Construction Budget'!$M38,0)),('Construction Budget'!$G38+SUM($G182:BP182))/ROUND(((EOMONTH('Construction Budget'!$M38,0)-EOMONTH(BQ$11,0))/30)+1,0),0)</f>
        <v>0</v>
      </c>
      <c r="BR182" s="427">
        <f>-IF(AND(BR$11&gt;=EOMONTH('Construction Budget'!$K38,0),BR$11&lt;=EOMONTH('Construction Budget'!$M38,0)),('Construction Budget'!$G38+SUM($G182:BQ182))/ROUND(((EOMONTH('Construction Budget'!$M38,0)-EOMONTH(BR$11,0))/30)+1,0),0)</f>
        <v>0</v>
      </c>
      <c r="BS182" s="427">
        <f>-IF(AND(BS$11&gt;=EOMONTH('Construction Budget'!$K38,0),BS$11&lt;=EOMONTH('Construction Budget'!$M38,0)),('Construction Budget'!$G38+SUM($G182:BR182))/ROUND(((EOMONTH('Construction Budget'!$M38,0)-EOMONTH(BS$11,0))/30)+1,0),0)</f>
        <v>0</v>
      </c>
      <c r="BT182" s="427">
        <f>-IF(AND(BT$11&gt;=EOMONTH('Construction Budget'!$K38,0),BT$11&lt;=EOMONTH('Construction Budget'!$M38,0)),('Construction Budget'!$G38+SUM($G182:BS182))/ROUND(((EOMONTH('Construction Budget'!$M38,0)-EOMONTH(BT$11,0))/30)+1,0),0)</f>
        <v>0</v>
      </c>
      <c r="BU182" s="427">
        <f>-IF(AND(BU$11&gt;=EOMONTH('Construction Budget'!$K38,0),BU$11&lt;=EOMONTH('Construction Budget'!$M38,0)),('Construction Budget'!$G38+SUM($G182:BT182))/ROUND(((EOMONTH('Construction Budget'!$M38,0)-EOMONTH(BU$11,0))/30)+1,0),0)</f>
        <v>0</v>
      </c>
      <c r="BV182" s="427">
        <f>-IF(AND(BV$11&gt;=EOMONTH('Construction Budget'!$K38,0),BV$11&lt;=EOMONTH('Construction Budget'!$M38,0)),('Construction Budget'!$G38+SUM($G182:BU182))/ROUND(((EOMONTH('Construction Budget'!$M38,0)-EOMONTH(BV$11,0))/30)+1,0),0)</f>
        <v>0</v>
      </c>
      <c r="BW182" s="427">
        <f>-IF(AND(BW$11&gt;=EOMONTH('Construction Budget'!$K38,0),BW$11&lt;=EOMONTH('Construction Budget'!$M38,0)),('Construction Budget'!$G38+SUM($G182:BV182))/ROUND(((EOMONTH('Construction Budget'!$M38,0)-EOMONTH(BW$11,0))/30)+1,0),0)</f>
        <v>0</v>
      </c>
      <c r="BX182" s="427">
        <f>-IF(AND(BX$11&gt;=EOMONTH('Construction Budget'!$K38,0),BX$11&lt;=EOMONTH('Construction Budget'!$M38,0)),('Construction Budget'!$G38+SUM($G182:BW182))/ROUND(((EOMONTH('Construction Budget'!$M38,0)-EOMONTH(BX$11,0))/30)+1,0),0)</f>
        <v>0</v>
      </c>
      <c r="BY182" s="427">
        <f>-IF(AND(BY$11&gt;=EOMONTH('Construction Budget'!$K38,0),BY$11&lt;=EOMONTH('Construction Budget'!$M38,0)),('Construction Budget'!$G38+SUM($G182:BX182))/ROUND(((EOMONTH('Construction Budget'!$M38,0)-EOMONTH(BY$11,0))/30)+1,0),0)</f>
        <v>0</v>
      </c>
      <c r="BZ182" s="427">
        <f>-IF(AND(BZ$11&gt;=EOMONTH('Construction Budget'!$K38,0),BZ$11&lt;=EOMONTH('Construction Budget'!$M38,0)),('Construction Budget'!$G38+SUM($G182:BY182))/ROUND(((EOMONTH('Construction Budget'!$M38,0)-EOMONTH(BZ$11,0))/30)+1,0),0)</f>
        <v>0</v>
      </c>
      <c r="CA182" s="427">
        <f>-IF(AND(CA$11&gt;=EOMONTH('Construction Budget'!$K38,0),CA$11&lt;=EOMONTH('Construction Budget'!$M38,0)),('Construction Budget'!$G38+SUM($G182:BZ182))/ROUND(((EOMONTH('Construction Budget'!$M38,0)-EOMONTH(CA$11,0))/30)+1,0),0)</f>
        <v>0</v>
      </c>
      <c r="CB182" s="427">
        <f>-IF(AND(CB$11&gt;=EOMONTH('Construction Budget'!$K38,0),CB$11&lt;=EOMONTH('Construction Budget'!$M38,0)),('Construction Budget'!$G38+SUM($G182:CA182))/ROUND(((EOMONTH('Construction Budget'!$M38,0)-EOMONTH(CB$11,0))/30)+1,0),0)</f>
        <v>0</v>
      </c>
      <c r="CC182" s="427">
        <f>-IF(AND(CC$11&gt;=EOMONTH('Construction Budget'!$K38,0),CC$11&lt;=EOMONTH('Construction Budget'!$M38,0)),('Construction Budget'!$G38+SUM($G182:CB182))/ROUND(((EOMONTH('Construction Budget'!$M38,0)-EOMONTH(CC$11,0))/30)+1,0),0)</f>
        <v>0</v>
      </c>
      <c r="CD182" s="427">
        <f>-IF(AND(CD$11&gt;=EOMONTH('Construction Budget'!$K38,0),CD$11&lt;=EOMONTH('Construction Budget'!$M38,0)),('Construction Budget'!$G38+SUM($G182:CC182))/ROUND(((EOMONTH('Construction Budget'!$M38,0)-EOMONTH(CD$11,0))/30)+1,0),0)</f>
        <v>0</v>
      </c>
      <c r="CE182" s="427">
        <f>-IF(AND(CE$11&gt;=EOMONTH('Construction Budget'!$K38,0),CE$11&lt;=EOMONTH('Construction Budget'!$M38,0)),('Construction Budget'!$G38+SUM($G182:CD182))/ROUND(((EOMONTH('Construction Budget'!$M38,0)-EOMONTH(CE$11,0))/30)+1,0),0)</f>
        <v>0</v>
      </c>
      <c r="CF182" s="427">
        <f>-IF(AND(CF$11&gt;=EOMONTH('Construction Budget'!$K38,0),CF$11&lt;=EOMONTH('Construction Budget'!$M38,0)),('Construction Budget'!$G38+SUM($G182:CE182))/ROUND(((EOMONTH('Construction Budget'!$M38,0)-EOMONTH(CF$11,0))/30)+1,0),0)</f>
        <v>0</v>
      </c>
      <c r="CG182" s="427">
        <f>-IF(AND(CG$11&gt;=EOMONTH('Construction Budget'!$K38,0),CG$11&lt;=EOMONTH('Construction Budget'!$M38,0)),('Construction Budget'!$G38+SUM($G182:CF182))/ROUND(((EOMONTH('Construction Budget'!$M38,0)-EOMONTH(CG$11,0))/30)+1,0),0)</f>
        <v>0</v>
      </c>
      <c r="CH182" s="427">
        <f>-IF(AND(CH$11&gt;=EOMONTH('Construction Budget'!$K38,0),CH$11&lt;=EOMONTH('Construction Budget'!$M38,0)),('Construction Budget'!$G38+SUM($G182:CG182))/ROUND(((EOMONTH('Construction Budget'!$M38,0)-EOMONTH(CH$11,0))/30)+1,0),0)</f>
        <v>0</v>
      </c>
      <c r="CI182" s="427">
        <f>-IF(AND(CI$11&gt;=EOMONTH('Construction Budget'!$K38,0),CI$11&lt;=EOMONTH('Construction Budget'!$M38,0)),('Construction Budget'!$G38+SUM($G182:CH182))/ROUND(((EOMONTH('Construction Budget'!$M38,0)-EOMONTH(CI$11,0))/30)+1,0),0)</f>
        <v>0</v>
      </c>
      <c r="CJ182" s="427">
        <f>-IF(AND(CJ$11&gt;=EOMONTH('Construction Budget'!$K38,0),CJ$11&lt;=EOMONTH('Construction Budget'!$M38,0)),('Construction Budget'!$G38+SUM($G182:CI182))/ROUND(((EOMONTH('Construction Budget'!$M38,0)-EOMONTH(CJ$11,0))/30)+1,0),0)</f>
        <v>0</v>
      </c>
      <c r="CK182" s="427">
        <f>-IF(AND(CK$11&gt;=EOMONTH('Construction Budget'!$K38,0),CK$11&lt;=EOMONTH('Construction Budget'!$M38,0)),('Construction Budget'!$G38+SUM($G182:CJ182))/ROUND(((EOMONTH('Construction Budget'!$M38,0)-EOMONTH(CK$11,0))/30)+1,0),0)</f>
        <v>0</v>
      </c>
      <c r="CL182" s="427">
        <f>-IF(AND(CL$11&gt;=EOMONTH('Construction Budget'!$K38,0),CL$11&lt;=EOMONTH('Construction Budget'!$M38,0)),('Construction Budget'!$G38+SUM($G182:CK182))/ROUND(((EOMONTH('Construction Budget'!$M38,0)-EOMONTH(CL$11,0))/30)+1,0),0)</f>
        <v>0</v>
      </c>
      <c r="CM182" s="427">
        <f>-IF(AND(CM$11&gt;=EOMONTH('Construction Budget'!$K38,0),CM$11&lt;=EOMONTH('Construction Budget'!$M38,0)),('Construction Budget'!$G38+SUM($G182:CL182))/ROUND(((EOMONTH('Construction Budget'!$M38,0)-EOMONTH(CM$11,0))/30)+1,0),0)</f>
        <v>0</v>
      </c>
      <c r="CN182" s="427">
        <f>-IF(AND(CN$11&gt;=EOMONTH('Construction Budget'!$K38,0),CN$11&lt;=EOMONTH('Construction Budget'!$M38,0)),('Construction Budget'!$G38+SUM($G182:CM182))/ROUND(((EOMONTH('Construction Budget'!$M38,0)-EOMONTH(CN$11,0))/30)+1,0),0)</f>
        <v>0</v>
      </c>
      <c r="CO182" s="427">
        <f>-IF(AND(CO$11&gt;=EOMONTH('Construction Budget'!$K38,0),CO$11&lt;=EOMONTH('Construction Budget'!$M38,0)),('Construction Budget'!$G38+SUM($G182:CN182))/ROUND(((EOMONTH('Construction Budget'!$M38,0)-EOMONTH(CO$11,0))/30)+1,0),0)</f>
        <v>0</v>
      </c>
      <c r="CP182" s="427">
        <f>-IF(AND(CP$11&gt;=EOMONTH('Construction Budget'!$K38,0),CP$11&lt;=EOMONTH('Construction Budget'!$M38,0)),('Construction Budget'!$G38+SUM($G182:CO182))/ROUND(((EOMONTH('Construction Budget'!$M38,0)-EOMONTH(CP$11,0))/30)+1,0),0)</f>
        <v>0</v>
      </c>
      <c r="CQ182" s="427">
        <f>-IF(AND(CQ$11&gt;=EOMONTH('Construction Budget'!$K38,0),CQ$11&lt;=EOMONTH('Construction Budget'!$M38,0)),('Construction Budget'!$G38+SUM($G182:CP182))/ROUND(((EOMONTH('Construction Budget'!$M38,0)-EOMONTH(CQ$11,0))/30)+1,0),0)</f>
        <v>0</v>
      </c>
      <c r="CR182" s="427">
        <f>-IF(AND(CR$11&gt;=EOMONTH('Construction Budget'!$K38,0),CR$11&lt;=EOMONTH('Construction Budget'!$M38,0)),('Construction Budget'!$G38+SUM($G182:CQ182))/ROUND(((EOMONTH('Construction Budget'!$M38,0)-EOMONTH(CR$11,0))/30)+1,0),0)</f>
        <v>0</v>
      </c>
      <c r="CS182" s="427">
        <f>-IF(AND(CS$11&gt;=EOMONTH('Construction Budget'!$K38,0),CS$11&lt;=EOMONTH('Construction Budget'!$M38,0)),('Construction Budget'!$G38+SUM($G182:CR182))/ROUND(((EOMONTH('Construction Budget'!$M38,0)-EOMONTH(CS$11,0))/30)+1,0),0)</f>
        <v>0</v>
      </c>
      <c r="CT182" s="427">
        <f>-IF(AND(CT$11&gt;=EOMONTH('Construction Budget'!$K38,0),CT$11&lt;=EOMONTH('Construction Budget'!$M38,0)),('Construction Budget'!$G38+SUM($G182:CS182))/ROUND(((EOMONTH('Construction Budget'!$M38,0)-EOMONTH(CT$11,0))/30)+1,0),0)</f>
        <v>0</v>
      </c>
      <c r="CU182" s="427">
        <f>-IF(AND(CU$11&gt;=EOMONTH('Construction Budget'!$K38,0),CU$11&lt;=EOMONTH('Construction Budget'!$M38,0)),('Construction Budget'!$G38+SUM($G182:CT182))/ROUND(((EOMONTH('Construction Budget'!$M38,0)-EOMONTH(CU$11,0))/30)+1,0),0)</f>
        <v>0</v>
      </c>
      <c r="CV182" s="427">
        <f>-IF(AND(CV$11&gt;=EOMONTH('Construction Budget'!$K38,0),CV$11&lt;=EOMONTH('Construction Budget'!$M38,0)),('Construction Budget'!$G38+SUM($G182:CU182))/ROUND(((EOMONTH('Construction Budget'!$M38,0)-EOMONTH(CV$11,0))/30)+1,0),0)</f>
        <v>0</v>
      </c>
      <c r="CW182" s="427">
        <f>-IF(AND(CW$11&gt;=EOMONTH('Construction Budget'!$K38,0),CW$11&lt;=EOMONTH('Construction Budget'!$M38,0)),('Construction Budget'!$G38+SUM($G182:CV182))/ROUND(((EOMONTH('Construction Budget'!$M38,0)-EOMONTH(CW$11,0))/30)+1,0),0)</f>
        <v>0</v>
      </c>
      <c r="CX182" s="427">
        <f>-IF(AND(CX$11&gt;=EOMONTH('Construction Budget'!$K38,0),CX$11&lt;=EOMONTH('Construction Budget'!$M38,0)),('Construction Budget'!$G38+SUM($G182:CW182))/ROUND(((EOMONTH('Construction Budget'!$M38,0)-EOMONTH(CX$11,0))/30)+1,0),0)</f>
        <v>0</v>
      </c>
      <c r="CY182" s="427">
        <f>-IF(AND(CY$11&gt;=EOMONTH('Construction Budget'!$K38,0),CY$11&lt;=EOMONTH('Construction Budget'!$M38,0)),('Construction Budget'!$G38+SUM($G182:CX182))/ROUND(((EOMONTH('Construction Budget'!$M38,0)-EOMONTH(CY$11,0))/30)+1,0),0)</f>
        <v>0</v>
      </c>
      <c r="CZ182" s="427">
        <f>-IF(AND(CZ$11&gt;=EOMONTH('Construction Budget'!$K38,0),CZ$11&lt;=EOMONTH('Construction Budget'!$M38,0)),('Construction Budget'!$G38+SUM($G182:CY182))/ROUND(((EOMONTH('Construction Budget'!$M38,0)-EOMONTH(CZ$11,0))/30)+1,0),0)</f>
        <v>0</v>
      </c>
      <c r="DA182" s="427">
        <f>-IF(AND(DA$11&gt;=EOMONTH('Construction Budget'!$K38,0),DA$11&lt;=EOMONTH('Construction Budget'!$M38,0)),('Construction Budget'!$G38+SUM($G182:CZ182))/ROUND(((EOMONTH('Construction Budget'!$M38,0)-EOMONTH(DA$11,0))/30)+1,0),0)</f>
        <v>0</v>
      </c>
      <c r="DB182" s="427">
        <f>-IF(AND(DB$11&gt;=EOMONTH('Construction Budget'!$K38,0),DB$11&lt;=EOMONTH('Construction Budget'!$M38,0)),('Construction Budget'!$G38+SUM($G182:DA182))/ROUND(((EOMONTH('Construction Budget'!$M38,0)-EOMONTH(DB$11,0))/30)+1,0),0)</f>
        <v>0</v>
      </c>
      <c r="DC182" s="427">
        <f>-IF(AND(DC$11&gt;=EOMONTH('Construction Budget'!$K38,0),DC$11&lt;=EOMONTH('Construction Budget'!$M38,0)),('Construction Budget'!$G38+SUM($G182:DB182))/ROUND(((EOMONTH('Construction Budget'!$M38,0)-EOMONTH(DC$11,0))/30)+1,0),0)</f>
        <v>0</v>
      </c>
      <c r="DD182" s="427">
        <f>-IF(AND(DD$11&gt;=EOMONTH('Construction Budget'!$K38,0),DD$11&lt;=EOMONTH('Construction Budget'!$M38,0)),('Construction Budget'!$G38+SUM($G182:DC182))/ROUND(((EOMONTH('Construction Budget'!$M38,0)-EOMONTH(DD$11,0))/30)+1,0),0)</f>
        <v>0</v>
      </c>
      <c r="DE182" s="427">
        <f>-IF(AND(DE$11&gt;=EOMONTH('Construction Budget'!$K38,0),DE$11&lt;=EOMONTH('Construction Budget'!$M38,0)),('Construction Budget'!$G38+SUM($G182:DD182))/ROUND(((EOMONTH('Construction Budget'!$M38,0)-EOMONTH(DE$11,0))/30)+1,0),0)</f>
        <v>0</v>
      </c>
      <c r="DF182" s="427">
        <f>-IF(AND(DF$11&gt;=EOMONTH('Construction Budget'!$K38,0),DF$11&lt;=EOMONTH('Construction Budget'!$M38,0)),('Construction Budget'!$G38+SUM($G182:DE182))/ROUND(((EOMONTH('Construction Budget'!$M38,0)-EOMONTH(DF$11,0))/30)+1,0),0)</f>
        <v>0</v>
      </c>
      <c r="DG182" s="427">
        <f>-IF(AND(DG$11&gt;=EOMONTH('Construction Budget'!$K38,0),DG$11&lt;=EOMONTH('Construction Budget'!$M38,0)),('Construction Budget'!$G38+SUM($G182:DF182))/ROUND(((EOMONTH('Construction Budget'!$M38,0)-EOMONTH(DG$11,0))/30)+1,0),0)</f>
        <v>0</v>
      </c>
      <c r="DH182" s="427">
        <f>-IF(AND(DH$11&gt;=EOMONTH('Construction Budget'!$K38,0),DH$11&lt;=EOMONTH('Construction Budget'!$M38,0)),('Construction Budget'!$G38+SUM($G182:DG182))/ROUND(((EOMONTH('Construction Budget'!$M38,0)-EOMONTH(DH$11,0))/30)+1,0),0)</f>
        <v>0</v>
      </c>
      <c r="DI182" s="427">
        <f>-IF(AND(DI$11&gt;=EOMONTH('Construction Budget'!$K38,0),DI$11&lt;=EOMONTH('Construction Budget'!$M38,0)),('Construction Budget'!$G38+SUM($G182:DH182))/ROUND(((EOMONTH('Construction Budget'!$M38,0)-EOMONTH(DI$11,0))/30)+1,0),0)</f>
        <v>0</v>
      </c>
      <c r="DJ182" s="427">
        <f>-IF(AND(DJ$11&gt;=EOMONTH('Construction Budget'!$K38,0),DJ$11&lt;=EOMONTH('Construction Budget'!$M38,0)),('Construction Budget'!$G38+SUM($G182:DI182))/ROUND(((EOMONTH('Construction Budget'!$M38,0)-EOMONTH(DJ$11,0))/30)+1,0),0)</f>
        <v>0</v>
      </c>
      <c r="DK182" s="427">
        <f>-IF(AND(DK$11&gt;=EOMONTH('Construction Budget'!$K38,0),DK$11&lt;=EOMONTH('Construction Budget'!$M38,0)),('Construction Budget'!$G38+SUM($G182:DJ182))/ROUND(((EOMONTH('Construction Budget'!$M38,0)-EOMONTH(DK$11,0))/30)+1,0),0)</f>
        <v>0</v>
      </c>
      <c r="DL182" s="427">
        <f>-IF(AND(DL$11&gt;=EOMONTH('Construction Budget'!$K38,0),DL$11&lt;=EOMONTH('Construction Budget'!$M38,0)),('Construction Budget'!$G38+SUM($G182:DK182))/ROUND(((EOMONTH('Construction Budget'!$M38,0)-EOMONTH(DL$11,0))/30)+1,0),0)</f>
        <v>0</v>
      </c>
      <c r="DM182" s="427">
        <f>-IF(AND(DM$11&gt;=EOMONTH('Construction Budget'!$K38,0),DM$11&lt;=EOMONTH('Construction Budget'!$M38,0)),('Construction Budget'!$G38+SUM($G182:DL182))/ROUND(((EOMONTH('Construction Budget'!$M38,0)-EOMONTH(DM$11,0))/30)+1,0),0)</f>
        <v>0</v>
      </c>
      <c r="DN182" s="427">
        <f>-IF(AND(DN$11&gt;=EOMONTH('Construction Budget'!$K38,0),DN$11&lt;=EOMONTH('Construction Budget'!$M38,0)),('Construction Budget'!$G38+SUM($G182:DM182))/ROUND(((EOMONTH('Construction Budget'!$M38,0)-EOMONTH(DN$11,0))/30)+1,0),0)</f>
        <v>0</v>
      </c>
      <c r="DO182" s="427">
        <f>-IF(AND(DO$11&gt;=EOMONTH('Construction Budget'!$K38,0),DO$11&lt;=EOMONTH('Construction Budget'!$M38,0)),('Construction Budget'!$G38+SUM($G182:DN182))/ROUND(((EOMONTH('Construction Budget'!$M38,0)-EOMONTH(DO$11,0))/30)+1,0),0)</f>
        <v>0</v>
      </c>
      <c r="DP182" s="427">
        <f>-IF(AND(DP$11&gt;=EOMONTH('Construction Budget'!$K38,0),DP$11&lt;=EOMONTH('Construction Budget'!$M38,0)),('Construction Budget'!$G38+SUM($G182:DO182))/ROUND(((EOMONTH('Construction Budget'!$M38,0)-EOMONTH(DP$11,0))/30)+1,0),0)</f>
        <v>0</v>
      </c>
      <c r="DQ182" s="427">
        <f>-IF(AND(DQ$11&gt;=EOMONTH('Construction Budget'!$K38,0),DQ$11&lt;=EOMONTH('Construction Budget'!$M38,0)),('Construction Budget'!$G38+SUM($G182:DP182))/ROUND(((EOMONTH('Construction Budget'!$M38,0)-EOMONTH(DQ$11,0))/30)+1,0),0)</f>
        <v>0</v>
      </c>
      <c r="DR182" s="427">
        <f>-IF(AND(DR$11&gt;=EOMONTH('Construction Budget'!$K38,0),DR$11&lt;=EOMONTH('Construction Budget'!$M38,0)),('Construction Budget'!$G38+SUM($G182:DQ182))/ROUND(((EOMONTH('Construction Budget'!$M38,0)-EOMONTH(DR$11,0))/30)+1,0),0)</f>
        <v>0</v>
      </c>
      <c r="DS182" s="427">
        <f>-IF(AND(DS$11&gt;=EOMONTH('Construction Budget'!$K38,0),DS$11&lt;=EOMONTH('Construction Budget'!$M38,0)),('Construction Budget'!$G38+SUM($G182:DR182))/ROUND(((EOMONTH('Construction Budget'!$M38,0)-EOMONTH(DS$11,0))/30)+1,0),0)</f>
        <v>0</v>
      </c>
      <c r="DT182" s="427">
        <f>-IF(AND(DT$11&gt;=EOMONTH('Construction Budget'!$K38,0),DT$11&lt;=EOMONTH('Construction Budget'!$M38,0)),('Construction Budget'!$G38+SUM($G182:DS182))/ROUND(((EOMONTH('Construction Budget'!$M38,0)-EOMONTH(DT$11,0))/30)+1,0),0)</f>
        <v>0</v>
      </c>
      <c r="DU182" s="427">
        <f>-IF(AND(DU$11&gt;=EOMONTH('Construction Budget'!$K38,0),DU$11&lt;=EOMONTH('Construction Budget'!$M38,0)),('Construction Budget'!$G38+SUM($G182:DT182))/ROUND(((EOMONTH('Construction Budget'!$M38,0)-EOMONTH(DU$11,0))/30)+1,0),0)</f>
        <v>0</v>
      </c>
      <c r="DV182" s="427">
        <f>-IF(AND(DV$11&gt;=EOMONTH('Construction Budget'!$K38,0),DV$11&lt;=EOMONTH('Construction Budget'!$M38,0)),('Construction Budget'!$G38+SUM($G182:DU182))/ROUND(((EOMONTH('Construction Budget'!$M38,0)-EOMONTH(DV$11,0))/30)+1,0),0)</f>
        <v>0</v>
      </c>
      <c r="DW182" s="427">
        <f>-IF(AND(DW$11&gt;=EOMONTH('Construction Budget'!$K38,0),DW$11&lt;=EOMONTH('Construction Budget'!$M38,0)),('Construction Budget'!$G38+SUM($G182:DV182))/ROUND(((EOMONTH('Construction Budget'!$M38,0)-EOMONTH(DW$11,0))/30)+1,0),0)</f>
        <v>0</v>
      </c>
      <c r="DX182" s="427">
        <f>-IF(AND(DX$11&gt;=EOMONTH('Construction Budget'!$K38,0),DX$11&lt;=EOMONTH('Construction Budget'!$M38,0)),('Construction Budget'!$G38+SUM($G182:DW182))/ROUND(((EOMONTH('Construction Budget'!$M38,0)-EOMONTH(DX$11,0))/30)+1,0),0)</f>
        <v>0</v>
      </c>
      <c r="DY182" s="427">
        <f>-IF(AND(DY$11&gt;=EOMONTH('Construction Budget'!$K38,0),DY$11&lt;=EOMONTH('Construction Budget'!$M38,0)),('Construction Budget'!$G38+SUM($G182:DX182))/ROUND(((EOMONTH('Construction Budget'!$M38,0)-EOMONTH(DY$11,0))/30)+1,0),0)</f>
        <v>0</v>
      </c>
      <c r="DZ182" s="427">
        <f>-IF(AND(DZ$11&gt;=EOMONTH('Construction Budget'!$K38,0),DZ$11&lt;=EOMONTH('Construction Budget'!$M38,0)),('Construction Budget'!$G38+SUM($G182:DY182))/ROUND(((EOMONTH('Construction Budget'!$M38,0)-EOMONTH(DZ$11,0))/30)+1,0),0)</f>
        <v>0</v>
      </c>
      <c r="EA182" s="427">
        <f>-IF(AND(EA$11&gt;=EOMONTH('Construction Budget'!$K38,0),EA$11&lt;=EOMONTH('Construction Budget'!$M38,0)),('Construction Budget'!$G38+SUM($G182:DZ182))/ROUND(((EOMONTH('Construction Budget'!$M38,0)-EOMONTH(EA$11,0))/30)+1,0),0)</f>
        <v>0</v>
      </c>
      <c r="EB182" s="427">
        <f>-IF(AND(EB$11&gt;=EOMONTH('Construction Budget'!$K38,0),EB$11&lt;=EOMONTH('Construction Budget'!$M38,0)),('Construction Budget'!$G38+SUM($G182:EA182))/ROUND(((EOMONTH('Construction Budget'!$M38,0)-EOMONTH(EB$11,0))/30)+1,0),0)</f>
        <v>0</v>
      </c>
      <c r="EC182" s="427">
        <f>-IF(AND(EC$11&gt;=EOMONTH('Construction Budget'!$K38,0),EC$11&lt;=EOMONTH('Construction Budget'!$M38,0)),('Construction Budget'!$G38+SUM($G182:EB182))/ROUND(((EOMONTH('Construction Budget'!$M38,0)-EOMONTH(EC$11,0))/30)+1,0),0)</f>
        <v>0</v>
      </c>
      <c r="ED182" s="427">
        <f>-IF(AND(ED$11&gt;=EOMONTH('Construction Budget'!$K38,0),ED$11&lt;=EOMONTH('Construction Budget'!$M38,0)),('Construction Budget'!$G38+SUM($G182:EC182))/ROUND(((EOMONTH('Construction Budget'!$M38,0)-EOMONTH(ED$11,0))/30)+1,0),0)</f>
        <v>0</v>
      </c>
      <c r="EE182" s="427">
        <f>-IF(AND(EE$11&gt;=EOMONTH('Construction Budget'!$K38,0),EE$11&lt;=EOMONTH('Construction Budget'!$M38,0)),('Construction Budget'!$G38+SUM($G182:ED182))/ROUND(((EOMONTH('Construction Budget'!$M38,0)-EOMONTH(EE$11,0))/30)+1,0),0)</f>
        <v>0</v>
      </c>
      <c r="EF182" s="427">
        <f>-IF(AND(EF$11&gt;=EOMONTH('Construction Budget'!$K38,0),EF$11&lt;=EOMONTH('Construction Budget'!$M38,0)),('Construction Budget'!$G38+SUM($G182:EE182))/ROUND(((EOMONTH('Construction Budget'!$M38,0)-EOMONTH(EF$11,0))/30)+1,0),0)</f>
        <v>0</v>
      </c>
      <c r="EG182" s="427">
        <f>-IF(AND(EG$11&gt;=EOMONTH('Construction Budget'!$K38,0),EG$11&lt;=EOMONTH('Construction Budget'!$M38,0)),('Construction Budget'!$G38+SUM($G182:EF182))/ROUND(((EOMONTH('Construction Budget'!$M38,0)-EOMONTH(EG$11,0))/30)+1,0),0)</f>
        <v>0</v>
      </c>
      <c r="EH182" s="427">
        <f>-IF(AND(EH$11&gt;=EOMONTH('Construction Budget'!$K38,0),EH$11&lt;=EOMONTH('Construction Budget'!$M38,0)),('Construction Budget'!$G38+SUM($G182:EG182))/ROUND(((EOMONTH('Construction Budget'!$M38,0)-EOMONTH(EH$11,0))/30)+1,0),0)</f>
        <v>0</v>
      </c>
      <c r="EI182" s="427">
        <f>-IF(AND(EI$11&gt;=EOMONTH('Construction Budget'!$K38,0),EI$11&lt;=EOMONTH('Construction Budget'!$M38,0)),('Construction Budget'!$G38+SUM($G182:EH182))/ROUND(((EOMONTH('Construction Budget'!$M38,0)-EOMONTH(EI$11,0))/30)+1,0),0)</f>
        <v>0</v>
      </c>
      <c r="EJ182" s="427">
        <f>-IF(AND(EJ$11&gt;=EOMONTH('Construction Budget'!$K38,0),EJ$11&lt;=EOMONTH('Construction Budget'!$M38,0)),('Construction Budget'!$G38+SUM($G182:EI182))/ROUND(((EOMONTH('Construction Budget'!$M38,0)-EOMONTH(EJ$11,0))/30)+1,0),0)</f>
        <v>0</v>
      </c>
      <c r="EK182" s="427">
        <f>-IF(AND(EK$11&gt;=EOMONTH('Construction Budget'!$K38,0),EK$11&lt;=EOMONTH('Construction Budget'!$M38,0)),('Construction Budget'!$G38+SUM($G182:EJ182))/ROUND(((EOMONTH('Construction Budget'!$M38,0)-EOMONTH(EK$11,0))/30)+1,0),0)</f>
        <v>0</v>
      </c>
      <c r="EL182" s="427">
        <f>-IF(AND(EL$11&gt;=EOMONTH('Construction Budget'!$K38,0),EL$11&lt;=EOMONTH('Construction Budget'!$M38,0)),('Construction Budget'!$G38+SUM($G182:EK182))/ROUND(((EOMONTH('Construction Budget'!$M38,0)-EOMONTH(EL$11,0))/30)+1,0),0)</f>
        <v>0</v>
      </c>
      <c r="EM182" s="427">
        <f>-IF(AND(EM$11&gt;=EOMONTH('Construction Budget'!$K38,0),EM$11&lt;=EOMONTH('Construction Budget'!$M38,0)),('Construction Budget'!$G38+SUM($G182:EL182))/ROUND(((EOMONTH('Construction Budget'!$M38,0)-EOMONTH(EM$11,0))/30)+1,0),0)</f>
        <v>0</v>
      </c>
      <c r="EN182" s="427">
        <f>-IF(AND(EN$11&gt;=EOMONTH('Construction Budget'!$K38,0),EN$11&lt;=EOMONTH('Construction Budget'!$M38,0)),('Construction Budget'!$G38+SUM($G182:EM182))/ROUND(((EOMONTH('Construction Budget'!$M38,0)-EOMONTH(EN$11,0))/30)+1,0),0)</f>
        <v>0</v>
      </c>
      <c r="EO182" s="427">
        <f>-IF(AND(EO$11&gt;=EOMONTH('Construction Budget'!$K38,0),EO$11&lt;=EOMONTH('Construction Budget'!$M38,0)),('Construction Budget'!$G38+SUM($G182:EN182))/ROUND(((EOMONTH('Construction Budget'!$M38,0)-EOMONTH(EO$11,0))/30)+1,0),0)</f>
        <v>0</v>
      </c>
      <c r="EP182" s="427">
        <f>-IF(AND(EP$11&gt;=EOMONTH('Construction Budget'!$K38,0),EP$11&lt;=EOMONTH('Construction Budget'!$M38,0)),('Construction Budget'!$G38+SUM($G182:EO182))/ROUND(((EOMONTH('Construction Budget'!$M38,0)-EOMONTH(EP$11,0))/30)+1,0),0)</f>
        <v>0</v>
      </c>
      <c r="EQ182" s="427">
        <f>-IF(AND(EQ$11&gt;=EOMONTH('Construction Budget'!$K38,0),EQ$11&lt;=EOMONTH('Construction Budget'!$M38,0)),('Construction Budget'!$G38+SUM($G182:EP182))/ROUND(((EOMONTH('Construction Budget'!$M38,0)-EOMONTH(EQ$11,0))/30)+1,0),0)</f>
        <v>0</v>
      </c>
      <c r="ER182" s="427">
        <f>-IF(AND(ER$11&gt;=EOMONTH('Construction Budget'!$K38,0),ER$11&lt;=EOMONTH('Construction Budget'!$M38,0)),('Construction Budget'!$G38+SUM($G182:EQ182))/ROUND(((EOMONTH('Construction Budget'!$M38,0)-EOMONTH(ER$11,0))/30)+1,0),0)</f>
        <v>0</v>
      </c>
      <c r="ES182" s="427">
        <f>-IF(AND(ES$11&gt;=EOMONTH('Construction Budget'!$K38,0),ES$11&lt;=EOMONTH('Construction Budget'!$M38,0)),('Construction Budget'!$G38+SUM($G182:ER182))/ROUND(((EOMONTH('Construction Budget'!$M38,0)-EOMONTH(ES$11,0))/30)+1,0),0)</f>
        <v>0</v>
      </c>
      <c r="ET182" s="427">
        <f>-IF(AND(ET$11&gt;=EOMONTH('Construction Budget'!$K38,0),ET$11&lt;=EOMONTH('Construction Budget'!$M38,0)),('Construction Budget'!$G38+SUM($G182:ES182))/ROUND(((EOMONTH('Construction Budget'!$M38,0)-EOMONTH(ET$11,0))/30)+1,0),0)</f>
        <v>0</v>
      </c>
      <c r="EU182" s="427">
        <f>-IF(AND(EU$11&gt;=EOMONTH('Construction Budget'!$K38,0),EU$11&lt;=EOMONTH('Construction Budget'!$M38,0)),('Construction Budget'!$G38+SUM($G182:ET182))/ROUND(((EOMONTH('Construction Budget'!$M38,0)-EOMONTH(EU$11,0))/30)+1,0),0)</f>
        <v>0</v>
      </c>
      <c r="EV182" s="427">
        <f>-IF(AND(EV$11&gt;=EOMONTH('Construction Budget'!$K38,0),EV$11&lt;=EOMONTH('Construction Budget'!$M38,0)),('Construction Budget'!$G38+SUM($G182:EU182))/ROUND(((EOMONTH('Construction Budget'!$M38,0)-EOMONTH(EV$11,0))/30)+1,0),0)</f>
        <v>0</v>
      </c>
      <c r="EW182" s="427">
        <f>-IF(AND(EW$11&gt;=EOMONTH('Construction Budget'!$K38,0),EW$11&lt;=EOMONTH('Construction Budget'!$M38,0)),('Construction Budget'!$G38+SUM($G182:EV182))/ROUND(((EOMONTH('Construction Budget'!$M38,0)-EOMONTH(EW$11,0))/30)+1,0),0)</f>
        <v>0</v>
      </c>
      <c r="EX182" s="427">
        <f>-IF(AND(EX$11&gt;=EOMONTH('Construction Budget'!$K38,0),EX$11&lt;=EOMONTH('Construction Budget'!$M38,0)),('Construction Budget'!$G38+SUM($G182:EW182))/ROUND(((EOMONTH('Construction Budget'!$M38,0)-EOMONTH(EX$11,0))/30)+1,0),0)</f>
        <v>0</v>
      </c>
      <c r="EY182" s="427">
        <f>-IF(AND(EY$11&gt;=EOMONTH('Construction Budget'!$K38,0),EY$11&lt;=EOMONTH('Construction Budget'!$M38,0)),('Construction Budget'!$G38+SUM($G182:EX182))/ROUND(((EOMONTH('Construction Budget'!$M38,0)-EOMONTH(EY$11,0))/30)+1,0),0)</f>
        <v>0</v>
      </c>
      <c r="EZ182" s="427">
        <f>-IF(AND(EZ$11&gt;=EOMONTH('Construction Budget'!$K38,0),EZ$11&lt;=EOMONTH('Construction Budget'!$M38,0)),('Construction Budget'!$G38+SUM($G182:EY182))/ROUND(((EOMONTH('Construction Budget'!$M38,0)-EOMONTH(EZ$11,0))/30)+1,0),0)</f>
        <v>0</v>
      </c>
      <c r="FA182" s="427">
        <f>-IF(AND(FA$11&gt;=EOMONTH('Construction Budget'!$K38,0),FA$11&lt;=EOMONTH('Construction Budget'!$M38,0)),('Construction Budget'!$G38+SUM($G182:EZ182))/ROUND(((EOMONTH('Construction Budget'!$M38,0)-EOMONTH(FA$11,0))/30)+1,0),0)</f>
        <v>0</v>
      </c>
      <c r="FB182" s="427">
        <f>-IF(AND(FB$11&gt;=EOMONTH('Construction Budget'!$K38,0),FB$11&lt;=EOMONTH('Construction Budget'!$M38,0)),('Construction Budget'!$G38+SUM($G182:FA182))/ROUND(((EOMONTH('Construction Budget'!$M38,0)-EOMONTH(FB$11,0))/30)+1,0),0)</f>
        <v>0</v>
      </c>
      <c r="FC182" s="427">
        <f>-IF(AND(FC$11&gt;=EOMONTH('Construction Budget'!$K38,0),FC$11&lt;=EOMONTH('Construction Budget'!$M38,0)),('Construction Budget'!$G38+SUM($G182:FB182))/ROUND(((EOMONTH('Construction Budget'!$M38,0)-EOMONTH(FC$11,0))/30)+1,0),0)</f>
        <v>0</v>
      </c>
      <c r="FD182" s="427">
        <f>-IF(AND(FD$11&gt;=EOMONTH('Construction Budget'!$K38,0),FD$11&lt;=EOMONTH('Construction Budget'!$M38,0)),('Construction Budget'!$G38+SUM($G182:FC182))/ROUND(((EOMONTH('Construction Budget'!$M38,0)-EOMONTH(FD$11,0))/30)+1,0),0)</f>
        <v>0</v>
      </c>
      <c r="FE182" s="427">
        <f>-IF(AND(FE$11&gt;=EOMONTH('Construction Budget'!$K38,0),FE$11&lt;=EOMONTH('Construction Budget'!$M38,0)),('Construction Budget'!$G38+SUM($G182:FD182))/ROUND(((EOMONTH('Construction Budget'!$M38,0)-EOMONTH(FE$11,0))/30)+1,0),0)</f>
        <v>0</v>
      </c>
      <c r="FF182" s="427">
        <f>-IF(AND(FF$11&gt;=EOMONTH('Construction Budget'!$K38,0),FF$11&lt;=EOMONTH('Construction Budget'!$M38,0)),('Construction Budget'!$G38+SUM($G182:FE182))/ROUND(((EOMONTH('Construction Budget'!$M38,0)-EOMONTH(FF$11,0))/30)+1,0),0)</f>
        <v>0</v>
      </c>
      <c r="FG182" s="427">
        <f>-IF(AND(FG$11&gt;=EOMONTH('Construction Budget'!$K38,0),FG$11&lt;=EOMONTH('Construction Budget'!$M38,0)),('Construction Budget'!$G38+SUM($G182:FF182))/ROUND(((EOMONTH('Construction Budget'!$M38,0)-EOMONTH(FG$11,0))/30)+1,0),0)</f>
        <v>0</v>
      </c>
      <c r="FH182" s="427">
        <f>-IF(AND(FH$11&gt;=EOMONTH('Construction Budget'!$K38,0),FH$11&lt;=EOMONTH('Construction Budget'!$M38,0)),('Construction Budget'!$G38+SUM($G182:FG182))/ROUND(((EOMONTH('Construction Budget'!$M38,0)-EOMONTH(FH$11,0))/30)+1,0),0)</f>
        <v>0</v>
      </c>
      <c r="FI182" s="427">
        <f>-IF(AND(FI$11&gt;=EOMONTH('Construction Budget'!$K38,0),FI$11&lt;=EOMONTH('Construction Budget'!$M38,0)),('Construction Budget'!$G38+SUM($G182:FH182))/ROUND(((EOMONTH('Construction Budget'!$M38,0)-EOMONTH(FI$11,0))/30)+1,0),0)</f>
        <v>0</v>
      </c>
      <c r="FJ182" s="427">
        <f>-IF(AND(FJ$11&gt;=EOMONTH('Construction Budget'!$K38,0),FJ$11&lt;=EOMONTH('Construction Budget'!$M38,0)),('Construction Budget'!$G38+SUM($G182:FI182))/ROUND(((EOMONTH('Construction Budget'!$M38,0)-EOMONTH(FJ$11,0))/30)+1,0),0)</f>
        <v>0</v>
      </c>
      <c r="FK182" s="427">
        <f>-IF(AND(FK$11&gt;=EOMONTH('Construction Budget'!$K38,0),FK$11&lt;=EOMONTH('Construction Budget'!$M38,0)),('Construction Budget'!$G38+SUM($G182:FJ182))/ROUND(((EOMONTH('Construction Budget'!$M38,0)-EOMONTH(FK$11,0))/30)+1,0),0)</f>
        <v>0</v>
      </c>
      <c r="FL182" s="427">
        <f>-IF(AND(FL$11&gt;=EOMONTH('Construction Budget'!$K38,0),FL$11&lt;=EOMONTH('Construction Budget'!$M38,0)),('Construction Budget'!$G38+SUM($G182:FK182))/ROUND(((EOMONTH('Construction Budget'!$M38,0)-EOMONTH(FL$11,0))/30)+1,0),0)</f>
        <v>0</v>
      </c>
      <c r="FM182" s="427">
        <f>-IF(AND(FM$11&gt;=EOMONTH('Construction Budget'!$K38,0),FM$11&lt;=EOMONTH('Construction Budget'!$M38,0)),('Construction Budget'!$G38+SUM($G182:FL182))/ROUND(((EOMONTH('Construction Budget'!$M38,0)-EOMONTH(FM$11,0))/30)+1,0),0)</f>
        <v>0</v>
      </c>
      <c r="FN182" s="427">
        <f>-IF(AND(FN$11&gt;=EOMONTH('Construction Budget'!$K38,0),FN$11&lt;=EOMONTH('Construction Budget'!$M38,0)),('Construction Budget'!$G38+SUM($G182:FM182))/ROUND(((EOMONTH('Construction Budget'!$M38,0)-EOMONTH(FN$11,0))/30)+1,0),0)</f>
        <v>0</v>
      </c>
      <c r="FO182" s="427">
        <f>-IF(AND(FO$11&gt;=EOMONTH('Construction Budget'!$K38,0),FO$11&lt;=EOMONTH('Construction Budget'!$M38,0)),('Construction Budget'!$G38+SUM($G182:FN182))/ROUND(((EOMONTH('Construction Budget'!$M38,0)-EOMONTH(FO$11,0))/30)+1,0),0)</f>
        <v>0</v>
      </c>
      <c r="FP182" s="427">
        <f>-IF(AND(FP$11&gt;=EOMONTH('Construction Budget'!$K38,0),FP$11&lt;=EOMONTH('Construction Budget'!$M38,0)),('Construction Budget'!$G38+SUM($G182:FO182))/ROUND(((EOMONTH('Construction Budget'!$M38,0)-EOMONTH(FP$11,0))/30)+1,0),0)</f>
        <v>0</v>
      </c>
      <c r="FQ182" s="427">
        <f>-IF(AND(FQ$11&gt;=EOMONTH('Construction Budget'!$K38,0),FQ$11&lt;=EOMONTH('Construction Budget'!$M38,0)),('Construction Budget'!$G38+SUM($G182:FP182))/ROUND(((EOMONTH('Construction Budget'!$M38,0)-EOMONTH(FQ$11,0))/30)+1,0),0)</f>
        <v>0</v>
      </c>
      <c r="FR182" s="427">
        <f>-IF(AND(FR$11&gt;=EOMONTH('Construction Budget'!$K38,0),FR$11&lt;=EOMONTH('Construction Budget'!$M38,0)),('Construction Budget'!$G38+SUM($G182:FQ182))/ROUND(((EOMONTH('Construction Budget'!$M38,0)-EOMONTH(FR$11,0))/30)+1,0),0)</f>
        <v>0</v>
      </c>
      <c r="FS182" s="427">
        <f>-IF(AND(FS$11&gt;=EOMONTH('Construction Budget'!$K38,0),FS$11&lt;=EOMONTH('Construction Budget'!$M38,0)),('Construction Budget'!$G38+SUM($G182:FR182))/ROUND(((EOMONTH('Construction Budget'!$M38,0)-EOMONTH(FS$11,0))/30)+1,0),0)</f>
        <v>0</v>
      </c>
      <c r="FT182" s="427">
        <f>-IF(AND(FT$11&gt;=EOMONTH('Construction Budget'!$K38,0),FT$11&lt;=EOMONTH('Construction Budget'!$M38,0)),('Construction Budget'!$G38+SUM($G182:FS182))/ROUND(((EOMONTH('Construction Budget'!$M38,0)-EOMONTH(FT$11,0))/30)+1,0),0)</f>
        <v>0</v>
      </c>
      <c r="FU182" s="43"/>
      <c r="FV182" s="34"/>
      <c r="FW182" s="34"/>
      <c r="FX182" s="34"/>
      <c r="FY182" s="34"/>
      <c r="FZ182" s="34"/>
    </row>
    <row r="183" spans="1:182" s="89" customFormat="1" ht="13.5" hidden="1" outlineLevel="1" x14ac:dyDescent="0.25">
      <c r="A183" s="498"/>
      <c r="B183" s="128" t="str">
        <f>'Construction Budget'!B39</f>
        <v>Blank</v>
      </c>
      <c r="C183" s="34"/>
      <c r="D183" s="34"/>
      <c r="E183" s="34"/>
      <c r="F183" s="434">
        <f t="shared" si="232"/>
        <v>0</v>
      </c>
      <c r="G183" s="34"/>
      <c r="H183" s="427">
        <f>-IF(AND(H$11&gt;=EOMONTH('Construction Budget'!$K39,0),H$11&lt;=EOMONTH('Construction Budget'!$M39,0)),('Construction Budget'!$G39+SUM($G183:G183))/ROUND(((EOMONTH('Construction Budget'!$M39,0)-EOMONTH(H$11,0))/30)+1,0),0)</f>
        <v>0</v>
      </c>
      <c r="I183" s="427">
        <f>-IF(AND(I$11&gt;=EOMONTH('Construction Budget'!$K39,0),I$11&lt;=EOMONTH('Construction Budget'!$M39,0)),('Construction Budget'!$G39+SUM($G183:H183))/ROUND(((EOMONTH('Construction Budget'!$M39,0)-EOMONTH(I$11,0))/30)+1,0),0)</f>
        <v>0</v>
      </c>
      <c r="J183" s="427">
        <f>-IF(AND(J$11&gt;=EOMONTH('Construction Budget'!$K39,0),J$11&lt;=EOMONTH('Construction Budget'!$M39,0)),('Construction Budget'!$G39+SUM($G183:I183))/ROUND(((EOMONTH('Construction Budget'!$M39,0)-EOMONTH(J$11,0))/30)+1,0),0)</f>
        <v>0</v>
      </c>
      <c r="K183" s="427">
        <f>-IF(AND(K$11&gt;=EOMONTH('Construction Budget'!$K39,0),K$11&lt;=EOMONTH('Construction Budget'!$M39,0)),('Construction Budget'!$G39+SUM($G183:J183))/ROUND(((EOMONTH('Construction Budget'!$M39,0)-EOMONTH(K$11,0))/30)+1,0),0)</f>
        <v>0</v>
      </c>
      <c r="L183" s="427">
        <f>-IF(AND(L$11&gt;=EOMONTH('Construction Budget'!$K39,0),L$11&lt;=EOMONTH('Construction Budget'!$M39,0)),('Construction Budget'!$G39+SUM($G183:K183))/ROUND(((EOMONTH('Construction Budget'!$M39,0)-EOMONTH(L$11,0))/30)+1,0),0)</f>
        <v>0</v>
      </c>
      <c r="M183" s="427">
        <f>-IF(AND(M$11&gt;=EOMONTH('Construction Budget'!$K39,0),M$11&lt;=EOMONTH('Construction Budget'!$M39,0)),('Construction Budget'!$G39+SUM($G183:L183))/ROUND(((EOMONTH('Construction Budget'!$M39,0)-EOMONTH(M$11,0))/30)+1,0),0)</f>
        <v>0</v>
      </c>
      <c r="N183" s="427">
        <f>-IF(AND(N$11&gt;=EOMONTH('Construction Budget'!$K39,0),N$11&lt;=EOMONTH('Construction Budget'!$M39,0)),('Construction Budget'!$G39+SUM($G183:M183))/ROUND(((EOMONTH('Construction Budget'!$M39,0)-EOMONTH(N$11,0))/30)+1,0),0)</f>
        <v>0</v>
      </c>
      <c r="O183" s="427">
        <f>-IF(AND(O$11&gt;=EOMONTH('Construction Budget'!$K39,0),O$11&lt;=EOMONTH('Construction Budget'!$M39,0)),('Construction Budget'!$G39+SUM($G183:N183))/ROUND(((EOMONTH('Construction Budget'!$M39,0)-EOMONTH(O$11,0))/30)+1,0),0)</f>
        <v>0</v>
      </c>
      <c r="P183" s="427">
        <f>-IF(AND(P$11&gt;=EOMONTH('Construction Budget'!$K39,0),P$11&lt;=EOMONTH('Construction Budget'!$M39,0)),('Construction Budget'!$G39+SUM($G183:O183))/ROUND(((EOMONTH('Construction Budget'!$M39,0)-EOMONTH(P$11,0))/30)+1,0),0)</f>
        <v>0</v>
      </c>
      <c r="Q183" s="427">
        <f>-IF(AND(Q$11&gt;=EOMONTH('Construction Budget'!$K39,0),Q$11&lt;=EOMONTH('Construction Budget'!$M39,0)),('Construction Budget'!$G39+SUM($G183:P183))/ROUND(((EOMONTH('Construction Budget'!$M39,0)-EOMONTH(Q$11,0))/30)+1,0),0)</f>
        <v>0</v>
      </c>
      <c r="R183" s="427">
        <f>-IF(AND(R$11&gt;=EOMONTH('Construction Budget'!$K39,0),R$11&lt;=EOMONTH('Construction Budget'!$M39,0)),('Construction Budget'!$G39+SUM($G183:Q183))/ROUND(((EOMONTH('Construction Budget'!$M39,0)-EOMONTH(R$11,0))/30)+1,0),0)</f>
        <v>0</v>
      </c>
      <c r="S183" s="427">
        <f>-IF(AND(S$11&gt;=EOMONTH('Construction Budget'!$K39,0),S$11&lt;=EOMONTH('Construction Budget'!$M39,0)),('Construction Budget'!$G39+SUM($G183:R183))/ROUND(((EOMONTH('Construction Budget'!$M39,0)-EOMONTH(S$11,0))/30)+1,0),0)</f>
        <v>0</v>
      </c>
      <c r="T183" s="427">
        <f>-IF(AND(T$11&gt;=EOMONTH('Construction Budget'!$K39,0),T$11&lt;=EOMONTH('Construction Budget'!$M39,0)),('Construction Budget'!$G39+SUM($G183:S183))/ROUND(((EOMONTH('Construction Budget'!$M39,0)-EOMONTH(T$11,0))/30)+1,0),0)</f>
        <v>0</v>
      </c>
      <c r="U183" s="427">
        <f>-IF(AND(U$11&gt;=EOMONTH('Construction Budget'!$K39,0),U$11&lt;=EOMONTH('Construction Budget'!$M39,0)),('Construction Budget'!$G39+SUM($G183:T183))/ROUND(((EOMONTH('Construction Budget'!$M39,0)-EOMONTH(U$11,0))/30)+1,0),0)</f>
        <v>0</v>
      </c>
      <c r="V183" s="427">
        <f>-IF(AND(V$11&gt;=EOMONTH('Construction Budget'!$K39,0),V$11&lt;=EOMONTH('Construction Budget'!$M39,0)),('Construction Budget'!$G39+SUM($G183:U183))/ROUND(((EOMONTH('Construction Budget'!$M39,0)-EOMONTH(V$11,0))/30)+1,0),0)</f>
        <v>0</v>
      </c>
      <c r="W183" s="427">
        <f>-IF(AND(W$11&gt;=EOMONTH('Construction Budget'!$K39,0),W$11&lt;=EOMONTH('Construction Budget'!$M39,0)),('Construction Budget'!$G39+SUM($G183:V183))/ROUND(((EOMONTH('Construction Budget'!$M39,0)-EOMONTH(W$11,0))/30)+1,0),0)</f>
        <v>0</v>
      </c>
      <c r="X183" s="427">
        <f>-IF(AND(X$11&gt;=EOMONTH('Construction Budget'!$K39,0),X$11&lt;=EOMONTH('Construction Budget'!$M39,0)),('Construction Budget'!$G39+SUM($G183:W183))/ROUND(((EOMONTH('Construction Budget'!$M39,0)-EOMONTH(X$11,0))/30)+1,0),0)</f>
        <v>0</v>
      </c>
      <c r="Y183" s="427">
        <f>-IF(AND(Y$11&gt;=EOMONTH('Construction Budget'!$K39,0),Y$11&lt;=EOMONTH('Construction Budget'!$M39,0)),('Construction Budget'!$G39+SUM($G183:X183))/ROUND(((EOMONTH('Construction Budget'!$M39,0)-EOMONTH(Y$11,0))/30)+1,0),0)</f>
        <v>0</v>
      </c>
      <c r="Z183" s="427">
        <f>-IF(AND(Z$11&gt;=EOMONTH('Construction Budget'!$K39,0),Z$11&lt;=EOMONTH('Construction Budget'!$M39,0)),('Construction Budget'!$G39+SUM($G183:Y183))/ROUND(((EOMONTH('Construction Budget'!$M39,0)-EOMONTH(Z$11,0))/30)+1,0),0)</f>
        <v>0</v>
      </c>
      <c r="AA183" s="427">
        <f>-IF(AND(AA$11&gt;=EOMONTH('Construction Budget'!$K39,0),AA$11&lt;=EOMONTH('Construction Budget'!$M39,0)),('Construction Budget'!$G39+SUM($G183:Z183))/ROUND(((EOMONTH('Construction Budget'!$M39,0)-EOMONTH(AA$11,0))/30)+1,0),0)</f>
        <v>0</v>
      </c>
      <c r="AB183" s="427">
        <f>-IF(AND(AB$11&gt;=EOMONTH('Construction Budget'!$K39,0),AB$11&lt;=EOMONTH('Construction Budget'!$M39,0)),('Construction Budget'!$G39+SUM($G183:AA183))/ROUND(((EOMONTH('Construction Budget'!$M39,0)-EOMONTH(AB$11,0))/30)+1,0),0)</f>
        <v>0</v>
      </c>
      <c r="AC183" s="427">
        <f>-IF(AND(AC$11&gt;=EOMONTH('Construction Budget'!$K39,0),AC$11&lt;=EOMONTH('Construction Budget'!$M39,0)),('Construction Budget'!$G39+SUM($G183:AB183))/ROUND(((EOMONTH('Construction Budget'!$M39,0)-EOMONTH(AC$11,0))/30)+1,0),0)</f>
        <v>0</v>
      </c>
      <c r="AD183" s="427">
        <f>-IF(AND(AD$11&gt;=EOMONTH('Construction Budget'!$K39,0),AD$11&lt;=EOMONTH('Construction Budget'!$M39,0)),('Construction Budget'!$G39+SUM($G183:AC183))/ROUND(((EOMONTH('Construction Budget'!$M39,0)-EOMONTH(AD$11,0))/30)+1,0),0)</f>
        <v>0</v>
      </c>
      <c r="AE183" s="427">
        <f>-IF(AND(AE$11&gt;=EOMONTH('Construction Budget'!$K39,0),AE$11&lt;=EOMONTH('Construction Budget'!$M39,0)),('Construction Budget'!$G39+SUM($G183:AD183))/ROUND(((EOMONTH('Construction Budget'!$M39,0)-EOMONTH(AE$11,0))/30)+1,0),0)</f>
        <v>0</v>
      </c>
      <c r="AF183" s="427">
        <f>-IF(AND(AF$11&gt;=EOMONTH('Construction Budget'!$K39,0),AF$11&lt;=EOMONTH('Construction Budget'!$M39,0)),('Construction Budget'!$G39+SUM($G183:AE183))/ROUND(((EOMONTH('Construction Budget'!$M39,0)-EOMONTH(AF$11,0))/30)+1,0),0)</f>
        <v>0</v>
      </c>
      <c r="AG183" s="427">
        <f>-IF(AND(AG$11&gt;=EOMONTH('Construction Budget'!$K39,0),AG$11&lt;=EOMONTH('Construction Budget'!$M39,0)),('Construction Budget'!$G39+SUM($G183:AF183))/ROUND(((EOMONTH('Construction Budget'!$M39,0)-EOMONTH(AG$11,0))/30)+1,0),0)</f>
        <v>0</v>
      </c>
      <c r="AH183" s="427">
        <f>-IF(AND(AH$11&gt;=EOMONTH('Construction Budget'!$K39,0),AH$11&lt;=EOMONTH('Construction Budget'!$M39,0)),('Construction Budget'!$G39+SUM($G183:AG183))/ROUND(((EOMONTH('Construction Budget'!$M39,0)-EOMONTH(AH$11,0))/30)+1,0),0)</f>
        <v>0</v>
      </c>
      <c r="AI183" s="427">
        <f>-IF(AND(AI$11&gt;=EOMONTH('Construction Budget'!$K39,0),AI$11&lt;=EOMONTH('Construction Budget'!$M39,0)),('Construction Budget'!$G39+SUM($G183:AH183))/ROUND(((EOMONTH('Construction Budget'!$M39,0)-EOMONTH(AI$11,0))/30)+1,0),0)</f>
        <v>0</v>
      </c>
      <c r="AJ183" s="427">
        <f>-IF(AND(AJ$11&gt;=EOMONTH('Construction Budget'!$K39,0),AJ$11&lt;=EOMONTH('Construction Budget'!$M39,0)),('Construction Budget'!$G39+SUM($G183:AI183))/ROUND(((EOMONTH('Construction Budget'!$M39,0)-EOMONTH(AJ$11,0))/30)+1,0),0)</f>
        <v>0</v>
      </c>
      <c r="AK183" s="427">
        <f>-IF(AND(AK$11&gt;=EOMONTH('Construction Budget'!$K39,0),AK$11&lt;=EOMONTH('Construction Budget'!$M39,0)),('Construction Budget'!$G39+SUM($G183:AJ183))/ROUND(((EOMONTH('Construction Budget'!$M39,0)-EOMONTH(AK$11,0))/30)+1,0),0)</f>
        <v>0</v>
      </c>
      <c r="AL183" s="427">
        <f>-IF(AND(AL$11&gt;=EOMONTH('Construction Budget'!$K39,0),AL$11&lt;=EOMONTH('Construction Budget'!$M39,0)),('Construction Budget'!$G39+SUM($G183:AK183))/ROUND(((EOMONTH('Construction Budget'!$M39,0)-EOMONTH(AL$11,0))/30)+1,0),0)</f>
        <v>0</v>
      </c>
      <c r="AM183" s="427">
        <f>-IF(AND(AM$11&gt;=EOMONTH('Construction Budget'!$K39,0),AM$11&lt;=EOMONTH('Construction Budget'!$M39,0)),('Construction Budget'!$G39+SUM($G183:AL183))/ROUND(((EOMONTH('Construction Budget'!$M39,0)-EOMONTH(AM$11,0))/30)+1,0),0)</f>
        <v>0</v>
      </c>
      <c r="AN183" s="427">
        <f>-IF(AND(AN$11&gt;=EOMONTH('Construction Budget'!$K39,0),AN$11&lt;=EOMONTH('Construction Budget'!$M39,0)),('Construction Budget'!$G39+SUM($G183:AM183))/ROUND(((EOMONTH('Construction Budget'!$M39,0)-EOMONTH(AN$11,0))/30)+1,0),0)</f>
        <v>0</v>
      </c>
      <c r="AO183" s="427">
        <f>-IF(AND(AO$11&gt;=EOMONTH('Construction Budget'!$K39,0),AO$11&lt;=EOMONTH('Construction Budget'!$M39,0)),('Construction Budget'!$G39+SUM($G183:AN183))/ROUND(((EOMONTH('Construction Budget'!$M39,0)-EOMONTH(AO$11,0))/30)+1,0),0)</f>
        <v>0</v>
      </c>
      <c r="AP183" s="427">
        <f>-IF(AND(AP$11&gt;=EOMONTH('Construction Budget'!$K39,0),AP$11&lt;=EOMONTH('Construction Budget'!$M39,0)),('Construction Budget'!$G39+SUM($G183:AO183))/ROUND(((EOMONTH('Construction Budget'!$M39,0)-EOMONTH(AP$11,0))/30)+1,0),0)</f>
        <v>0</v>
      </c>
      <c r="AQ183" s="427">
        <f>-IF(AND(AQ$11&gt;=EOMONTH('Construction Budget'!$K39,0),AQ$11&lt;=EOMONTH('Construction Budget'!$M39,0)),('Construction Budget'!$G39+SUM($G183:AP183))/ROUND(((EOMONTH('Construction Budget'!$M39,0)-EOMONTH(AQ$11,0))/30)+1,0),0)</f>
        <v>0</v>
      </c>
      <c r="AR183" s="427">
        <f>-IF(AND(AR$11&gt;=EOMONTH('Construction Budget'!$K39,0),AR$11&lt;=EOMONTH('Construction Budget'!$M39,0)),('Construction Budget'!$G39+SUM($G183:AQ183))/ROUND(((EOMONTH('Construction Budget'!$M39,0)-EOMONTH(AR$11,0))/30)+1,0),0)</f>
        <v>0</v>
      </c>
      <c r="AS183" s="427">
        <f>-IF(AND(AS$11&gt;=EOMONTH('Construction Budget'!$K39,0),AS$11&lt;=EOMONTH('Construction Budget'!$M39,0)),('Construction Budget'!$G39+SUM($G183:AR183))/ROUND(((EOMONTH('Construction Budget'!$M39,0)-EOMONTH(AS$11,0))/30)+1,0),0)</f>
        <v>0</v>
      </c>
      <c r="AT183" s="427">
        <f>-IF(AND(AT$11&gt;=EOMONTH('Construction Budget'!$K39,0),AT$11&lt;=EOMONTH('Construction Budget'!$M39,0)),('Construction Budget'!$G39+SUM($G183:AS183))/ROUND(((EOMONTH('Construction Budget'!$M39,0)-EOMONTH(AT$11,0))/30)+1,0),0)</f>
        <v>0</v>
      </c>
      <c r="AU183" s="427">
        <f>-IF(AND(AU$11&gt;=EOMONTH('Construction Budget'!$K39,0),AU$11&lt;=EOMONTH('Construction Budget'!$M39,0)),('Construction Budget'!$G39+SUM($G183:AT183))/ROUND(((EOMONTH('Construction Budget'!$M39,0)-EOMONTH(AU$11,0))/30)+1,0),0)</f>
        <v>0</v>
      </c>
      <c r="AV183" s="427">
        <f>-IF(AND(AV$11&gt;=EOMONTH('Construction Budget'!$K39,0),AV$11&lt;=EOMONTH('Construction Budget'!$M39,0)),('Construction Budget'!$G39+SUM($G183:AU183))/ROUND(((EOMONTH('Construction Budget'!$M39,0)-EOMONTH(AV$11,0))/30)+1,0),0)</f>
        <v>0</v>
      </c>
      <c r="AW183" s="427">
        <f>-IF(AND(AW$11&gt;=EOMONTH('Construction Budget'!$K39,0),AW$11&lt;=EOMONTH('Construction Budget'!$M39,0)),('Construction Budget'!$G39+SUM($G183:AV183))/ROUND(((EOMONTH('Construction Budget'!$M39,0)-EOMONTH(AW$11,0))/30)+1,0),0)</f>
        <v>0</v>
      </c>
      <c r="AX183" s="427">
        <f>-IF(AND(AX$11&gt;=EOMONTH('Construction Budget'!$K39,0),AX$11&lt;=EOMONTH('Construction Budget'!$M39,0)),('Construction Budget'!$G39+SUM($G183:AW183))/ROUND(((EOMONTH('Construction Budget'!$M39,0)-EOMONTH(AX$11,0))/30)+1,0),0)</f>
        <v>0</v>
      </c>
      <c r="AY183" s="427">
        <f>-IF(AND(AY$11&gt;=EOMONTH('Construction Budget'!$K39,0),AY$11&lt;=EOMONTH('Construction Budget'!$M39,0)),('Construction Budget'!$G39+SUM($G183:AX183))/ROUND(((EOMONTH('Construction Budget'!$M39,0)-EOMONTH(AY$11,0))/30)+1,0),0)</f>
        <v>0</v>
      </c>
      <c r="AZ183" s="427">
        <f>-IF(AND(AZ$11&gt;=EOMONTH('Construction Budget'!$K39,0),AZ$11&lt;=EOMONTH('Construction Budget'!$M39,0)),('Construction Budget'!$G39+SUM($G183:AY183))/ROUND(((EOMONTH('Construction Budget'!$M39,0)-EOMONTH(AZ$11,0))/30)+1,0),0)</f>
        <v>0</v>
      </c>
      <c r="BA183" s="427">
        <f>-IF(AND(BA$11&gt;=EOMONTH('Construction Budget'!$K39,0),BA$11&lt;=EOMONTH('Construction Budget'!$M39,0)),('Construction Budget'!$G39+SUM($G183:AZ183))/ROUND(((EOMONTH('Construction Budget'!$M39,0)-EOMONTH(BA$11,0))/30)+1,0),0)</f>
        <v>0</v>
      </c>
      <c r="BB183" s="427">
        <f>-IF(AND(BB$11&gt;=EOMONTH('Construction Budget'!$K39,0),BB$11&lt;=EOMONTH('Construction Budget'!$M39,0)),('Construction Budget'!$G39+SUM($G183:BA183))/ROUND(((EOMONTH('Construction Budget'!$M39,0)-EOMONTH(BB$11,0))/30)+1,0),0)</f>
        <v>0</v>
      </c>
      <c r="BC183" s="427">
        <f>-IF(AND(BC$11&gt;=EOMONTH('Construction Budget'!$K39,0),BC$11&lt;=EOMONTH('Construction Budget'!$M39,0)),('Construction Budget'!$G39+SUM($G183:BB183))/ROUND(((EOMONTH('Construction Budget'!$M39,0)-EOMONTH(BC$11,0))/30)+1,0),0)</f>
        <v>0</v>
      </c>
      <c r="BD183" s="427">
        <f>-IF(AND(BD$11&gt;=EOMONTH('Construction Budget'!$K39,0),BD$11&lt;=EOMONTH('Construction Budget'!$M39,0)),('Construction Budget'!$G39+SUM($G183:BC183))/ROUND(((EOMONTH('Construction Budget'!$M39,0)-EOMONTH(BD$11,0))/30)+1,0),0)</f>
        <v>0</v>
      </c>
      <c r="BE183" s="427">
        <f>-IF(AND(BE$11&gt;=EOMONTH('Construction Budget'!$K39,0),BE$11&lt;=EOMONTH('Construction Budget'!$M39,0)),('Construction Budget'!$G39+SUM($G183:BD183))/ROUND(((EOMONTH('Construction Budget'!$M39,0)-EOMONTH(BE$11,0))/30)+1,0),0)</f>
        <v>0</v>
      </c>
      <c r="BF183" s="427">
        <f>-IF(AND(BF$11&gt;=EOMONTH('Construction Budget'!$K39,0),BF$11&lt;=EOMONTH('Construction Budget'!$M39,0)),('Construction Budget'!$G39+SUM($G183:BE183))/ROUND(((EOMONTH('Construction Budget'!$M39,0)-EOMONTH(BF$11,0))/30)+1,0),0)</f>
        <v>0</v>
      </c>
      <c r="BG183" s="427">
        <f>-IF(AND(BG$11&gt;=EOMONTH('Construction Budget'!$K39,0),BG$11&lt;=EOMONTH('Construction Budget'!$M39,0)),('Construction Budget'!$G39+SUM($G183:BF183))/ROUND(((EOMONTH('Construction Budget'!$M39,0)-EOMONTH(BG$11,0))/30)+1,0),0)</f>
        <v>0</v>
      </c>
      <c r="BH183" s="427">
        <f>-IF(AND(BH$11&gt;=EOMONTH('Construction Budget'!$K39,0),BH$11&lt;=EOMONTH('Construction Budget'!$M39,0)),('Construction Budget'!$G39+SUM($G183:BG183))/ROUND(((EOMONTH('Construction Budget'!$M39,0)-EOMONTH(BH$11,0))/30)+1,0),0)</f>
        <v>0</v>
      </c>
      <c r="BI183" s="427">
        <f>-IF(AND(BI$11&gt;=EOMONTH('Construction Budget'!$K39,0),BI$11&lt;=EOMONTH('Construction Budget'!$M39,0)),('Construction Budget'!$G39+SUM($G183:BH183))/ROUND(((EOMONTH('Construction Budget'!$M39,0)-EOMONTH(BI$11,0))/30)+1,0),0)</f>
        <v>0</v>
      </c>
      <c r="BJ183" s="427">
        <f>-IF(AND(BJ$11&gt;=EOMONTH('Construction Budget'!$K39,0),BJ$11&lt;=EOMONTH('Construction Budget'!$M39,0)),('Construction Budget'!$G39+SUM($G183:BI183))/ROUND(((EOMONTH('Construction Budget'!$M39,0)-EOMONTH(BJ$11,0))/30)+1,0),0)</f>
        <v>0</v>
      </c>
      <c r="BK183" s="427">
        <f>-IF(AND(BK$11&gt;=EOMONTH('Construction Budget'!$K39,0),BK$11&lt;=EOMONTH('Construction Budget'!$M39,0)),('Construction Budget'!$G39+SUM($G183:BJ183))/ROUND(((EOMONTH('Construction Budget'!$M39,0)-EOMONTH(BK$11,0))/30)+1,0),0)</f>
        <v>0</v>
      </c>
      <c r="BL183" s="427">
        <f>-IF(AND(BL$11&gt;=EOMONTH('Construction Budget'!$K39,0),BL$11&lt;=EOMONTH('Construction Budget'!$M39,0)),('Construction Budget'!$G39+SUM($G183:BK183))/ROUND(((EOMONTH('Construction Budget'!$M39,0)-EOMONTH(BL$11,0))/30)+1,0),0)</f>
        <v>0</v>
      </c>
      <c r="BM183" s="427">
        <f>-IF(AND(BM$11&gt;=EOMONTH('Construction Budget'!$K39,0),BM$11&lt;=EOMONTH('Construction Budget'!$M39,0)),('Construction Budget'!$G39+SUM($G183:BL183))/ROUND(((EOMONTH('Construction Budget'!$M39,0)-EOMONTH(BM$11,0))/30)+1,0),0)</f>
        <v>0</v>
      </c>
      <c r="BN183" s="427">
        <f>-IF(AND(BN$11&gt;=EOMONTH('Construction Budget'!$K39,0),BN$11&lt;=EOMONTH('Construction Budget'!$M39,0)),('Construction Budget'!$G39+SUM($G183:BM183))/ROUND(((EOMONTH('Construction Budget'!$M39,0)-EOMONTH(BN$11,0))/30)+1,0),0)</f>
        <v>0</v>
      </c>
      <c r="BO183" s="427">
        <f>-IF(AND(BO$11&gt;=EOMONTH('Construction Budget'!$K39,0),BO$11&lt;=EOMONTH('Construction Budget'!$M39,0)),('Construction Budget'!$G39+SUM($G183:BN183))/ROUND(((EOMONTH('Construction Budget'!$M39,0)-EOMONTH(BO$11,0))/30)+1,0),0)</f>
        <v>0</v>
      </c>
      <c r="BP183" s="427">
        <f>-IF(AND(BP$11&gt;=EOMONTH('Construction Budget'!$K39,0),BP$11&lt;=EOMONTH('Construction Budget'!$M39,0)),('Construction Budget'!$G39+SUM($G183:BO183))/ROUND(((EOMONTH('Construction Budget'!$M39,0)-EOMONTH(BP$11,0))/30)+1,0),0)</f>
        <v>0</v>
      </c>
      <c r="BQ183" s="427">
        <f>-IF(AND(BQ$11&gt;=EOMONTH('Construction Budget'!$K39,0),BQ$11&lt;=EOMONTH('Construction Budget'!$M39,0)),('Construction Budget'!$G39+SUM($G183:BP183))/ROUND(((EOMONTH('Construction Budget'!$M39,0)-EOMONTH(BQ$11,0))/30)+1,0),0)</f>
        <v>0</v>
      </c>
      <c r="BR183" s="427">
        <f>-IF(AND(BR$11&gt;=EOMONTH('Construction Budget'!$K39,0),BR$11&lt;=EOMONTH('Construction Budget'!$M39,0)),('Construction Budget'!$G39+SUM($G183:BQ183))/ROUND(((EOMONTH('Construction Budget'!$M39,0)-EOMONTH(BR$11,0))/30)+1,0),0)</f>
        <v>0</v>
      </c>
      <c r="BS183" s="427">
        <f>-IF(AND(BS$11&gt;=EOMONTH('Construction Budget'!$K39,0),BS$11&lt;=EOMONTH('Construction Budget'!$M39,0)),('Construction Budget'!$G39+SUM($G183:BR183))/ROUND(((EOMONTH('Construction Budget'!$M39,0)-EOMONTH(BS$11,0))/30)+1,0),0)</f>
        <v>0</v>
      </c>
      <c r="BT183" s="427">
        <f>-IF(AND(BT$11&gt;=EOMONTH('Construction Budget'!$K39,0),BT$11&lt;=EOMONTH('Construction Budget'!$M39,0)),('Construction Budget'!$G39+SUM($G183:BS183))/ROUND(((EOMONTH('Construction Budget'!$M39,0)-EOMONTH(BT$11,0))/30)+1,0),0)</f>
        <v>0</v>
      </c>
      <c r="BU183" s="427">
        <f>-IF(AND(BU$11&gt;=EOMONTH('Construction Budget'!$K39,0),BU$11&lt;=EOMONTH('Construction Budget'!$M39,0)),('Construction Budget'!$G39+SUM($G183:BT183))/ROUND(((EOMONTH('Construction Budget'!$M39,0)-EOMONTH(BU$11,0))/30)+1,0),0)</f>
        <v>0</v>
      </c>
      <c r="BV183" s="427">
        <f>-IF(AND(BV$11&gt;=EOMONTH('Construction Budget'!$K39,0),BV$11&lt;=EOMONTH('Construction Budget'!$M39,0)),('Construction Budget'!$G39+SUM($G183:BU183))/ROUND(((EOMONTH('Construction Budget'!$M39,0)-EOMONTH(BV$11,0))/30)+1,0),0)</f>
        <v>0</v>
      </c>
      <c r="BW183" s="427">
        <f>-IF(AND(BW$11&gt;=EOMONTH('Construction Budget'!$K39,0),BW$11&lt;=EOMONTH('Construction Budget'!$M39,0)),('Construction Budget'!$G39+SUM($G183:BV183))/ROUND(((EOMONTH('Construction Budget'!$M39,0)-EOMONTH(BW$11,0))/30)+1,0),0)</f>
        <v>0</v>
      </c>
      <c r="BX183" s="427">
        <f>-IF(AND(BX$11&gt;=EOMONTH('Construction Budget'!$K39,0),BX$11&lt;=EOMONTH('Construction Budget'!$M39,0)),('Construction Budget'!$G39+SUM($G183:BW183))/ROUND(((EOMONTH('Construction Budget'!$M39,0)-EOMONTH(BX$11,0))/30)+1,0),0)</f>
        <v>0</v>
      </c>
      <c r="BY183" s="427">
        <f>-IF(AND(BY$11&gt;=EOMONTH('Construction Budget'!$K39,0),BY$11&lt;=EOMONTH('Construction Budget'!$M39,0)),('Construction Budget'!$G39+SUM($G183:BX183))/ROUND(((EOMONTH('Construction Budget'!$M39,0)-EOMONTH(BY$11,0))/30)+1,0),0)</f>
        <v>0</v>
      </c>
      <c r="BZ183" s="427">
        <f>-IF(AND(BZ$11&gt;=EOMONTH('Construction Budget'!$K39,0),BZ$11&lt;=EOMONTH('Construction Budget'!$M39,0)),('Construction Budget'!$G39+SUM($G183:BY183))/ROUND(((EOMONTH('Construction Budget'!$M39,0)-EOMONTH(BZ$11,0))/30)+1,0),0)</f>
        <v>0</v>
      </c>
      <c r="CA183" s="427">
        <f>-IF(AND(CA$11&gt;=EOMONTH('Construction Budget'!$K39,0),CA$11&lt;=EOMONTH('Construction Budget'!$M39,0)),('Construction Budget'!$G39+SUM($G183:BZ183))/ROUND(((EOMONTH('Construction Budget'!$M39,0)-EOMONTH(CA$11,0))/30)+1,0),0)</f>
        <v>0</v>
      </c>
      <c r="CB183" s="427">
        <f>-IF(AND(CB$11&gt;=EOMONTH('Construction Budget'!$K39,0),CB$11&lt;=EOMONTH('Construction Budget'!$M39,0)),('Construction Budget'!$G39+SUM($G183:CA183))/ROUND(((EOMONTH('Construction Budget'!$M39,0)-EOMONTH(CB$11,0))/30)+1,0),0)</f>
        <v>0</v>
      </c>
      <c r="CC183" s="427">
        <f>-IF(AND(CC$11&gt;=EOMONTH('Construction Budget'!$K39,0),CC$11&lt;=EOMONTH('Construction Budget'!$M39,0)),('Construction Budget'!$G39+SUM($G183:CB183))/ROUND(((EOMONTH('Construction Budget'!$M39,0)-EOMONTH(CC$11,0))/30)+1,0),0)</f>
        <v>0</v>
      </c>
      <c r="CD183" s="427">
        <f>-IF(AND(CD$11&gt;=EOMONTH('Construction Budget'!$K39,0),CD$11&lt;=EOMONTH('Construction Budget'!$M39,0)),('Construction Budget'!$G39+SUM($G183:CC183))/ROUND(((EOMONTH('Construction Budget'!$M39,0)-EOMONTH(CD$11,0))/30)+1,0),0)</f>
        <v>0</v>
      </c>
      <c r="CE183" s="427">
        <f>-IF(AND(CE$11&gt;=EOMONTH('Construction Budget'!$K39,0),CE$11&lt;=EOMONTH('Construction Budget'!$M39,0)),('Construction Budget'!$G39+SUM($G183:CD183))/ROUND(((EOMONTH('Construction Budget'!$M39,0)-EOMONTH(CE$11,0))/30)+1,0),0)</f>
        <v>0</v>
      </c>
      <c r="CF183" s="427">
        <f>-IF(AND(CF$11&gt;=EOMONTH('Construction Budget'!$K39,0),CF$11&lt;=EOMONTH('Construction Budget'!$M39,0)),('Construction Budget'!$G39+SUM($G183:CE183))/ROUND(((EOMONTH('Construction Budget'!$M39,0)-EOMONTH(CF$11,0))/30)+1,0),0)</f>
        <v>0</v>
      </c>
      <c r="CG183" s="427">
        <f>-IF(AND(CG$11&gt;=EOMONTH('Construction Budget'!$K39,0),CG$11&lt;=EOMONTH('Construction Budget'!$M39,0)),('Construction Budget'!$G39+SUM($G183:CF183))/ROUND(((EOMONTH('Construction Budget'!$M39,0)-EOMONTH(CG$11,0))/30)+1,0),0)</f>
        <v>0</v>
      </c>
      <c r="CH183" s="427">
        <f>-IF(AND(CH$11&gt;=EOMONTH('Construction Budget'!$K39,0),CH$11&lt;=EOMONTH('Construction Budget'!$M39,0)),('Construction Budget'!$G39+SUM($G183:CG183))/ROUND(((EOMONTH('Construction Budget'!$M39,0)-EOMONTH(CH$11,0))/30)+1,0),0)</f>
        <v>0</v>
      </c>
      <c r="CI183" s="427">
        <f>-IF(AND(CI$11&gt;=EOMONTH('Construction Budget'!$K39,0),CI$11&lt;=EOMONTH('Construction Budget'!$M39,0)),('Construction Budget'!$G39+SUM($G183:CH183))/ROUND(((EOMONTH('Construction Budget'!$M39,0)-EOMONTH(CI$11,0))/30)+1,0),0)</f>
        <v>0</v>
      </c>
      <c r="CJ183" s="427">
        <f>-IF(AND(CJ$11&gt;=EOMONTH('Construction Budget'!$K39,0),CJ$11&lt;=EOMONTH('Construction Budget'!$M39,0)),('Construction Budget'!$G39+SUM($G183:CI183))/ROUND(((EOMONTH('Construction Budget'!$M39,0)-EOMONTH(CJ$11,0))/30)+1,0),0)</f>
        <v>0</v>
      </c>
      <c r="CK183" s="427">
        <f>-IF(AND(CK$11&gt;=EOMONTH('Construction Budget'!$K39,0),CK$11&lt;=EOMONTH('Construction Budget'!$M39,0)),('Construction Budget'!$G39+SUM($G183:CJ183))/ROUND(((EOMONTH('Construction Budget'!$M39,0)-EOMONTH(CK$11,0))/30)+1,0),0)</f>
        <v>0</v>
      </c>
      <c r="CL183" s="427">
        <f>-IF(AND(CL$11&gt;=EOMONTH('Construction Budget'!$K39,0),CL$11&lt;=EOMONTH('Construction Budget'!$M39,0)),('Construction Budget'!$G39+SUM($G183:CK183))/ROUND(((EOMONTH('Construction Budget'!$M39,0)-EOMONTH(CL$11,0))/30)+1,0),0)</f>
        <v>0</v>
      </c>
      <c r="CM183" s="427">
        <f>-IF(AND(CM$11&gt;=EOMONTH('Construction Budget'!$K39,0),CM$11&lt;=EOMONTH('Construction Budget'!$M39,0)),('Construction Budget'!$G39+SUM($G183:CL183))/ROUND(((EOMONTH('Construction Budget'!$M39,0)-EOMONTH(CM$11,0))/30)+1,0),0)</f>
        <v>0</v>
      </c>
      <c r="CN183" s="427">
        <f>-IF(AND(CN$11&gt;=EOMONTH('Construction Budget'!$K39,0),CN$11&lt;=EOMONTH('Construction Budget'!$M39,0)),('Construction Budget'!$G39+SUM($G183:CM183))/ROUND(((EOMONTH('Construction Budget'!$M39,0)-EOMONTH(CN$11,0))/30)+1,0),0)</f>
        <v>0</v>
      </c>
      <c r="CO183" s="427">
        <f>-IF(AND(CO$11&gt;=EOMONTH('Construction Budget'!$K39,0),CO$11&lt;=EOMONTH('Construction Budget'!$M39,0)),('Construction Budget'!$G39+SUM($G183:CN183))/ROUND(((EOMONTH('Construction Budget'!$M39,0)-EOMONTH(CO$11,0))/30)+1,0),0)</f>
        <v>0</v>
      </c>
      <c r="CP183" s="427">
        <f>-IF(AND(CP$11&gt;=EOMONTH('Construction Budget'!$K39,0),CP$11&lt;=EOMONTH('Construction Budget'!$M39,0)),('Construction Budget'!$G39+SUM($G183:CO183))/ROUND(((EOMONTH('Construction Budget'!$M39,0)-EOMONTH(CP$11,0))/30)+1,0),0)</f>
        <v>0</v>
      </c>
      <c r="CQ183" s="427">
        <f>-IF(AND(CQ$11&gt;=EOMONTH('Construction Budget'!$K39,0),CQ$11&lt;=EOMONTH('Construction Budget'!$M39,0)),('Construction Budget'!$G39+SUM($G183:CP183))/ROUND(((EOMONTH('Construction Budget'!$M39,0)-EOMONTH(CQ$11,0))/30)+1,0),0)</f>
        <v>0</v>
      </c>
      <c r="CR183" s="427">
        <f>-IF(AND(CR$11&gt;=EOMONTH('Construction Budget'!$K39,0),CR$11&lt;=EOMONTH('Construction Budget'!$M39,0)),('Construction Budget'!$G39+SUM($G183:CQ183))/ROUND(((EOMONTH('Construction Budget'!$M39,0)-EOMONTH(CR$11,0))/30)+1,0),0)</f>
        <v>0</v>
      </c>
      <c r="CS183" s="427">
        <f>-IF(AND(CS$11&gt;=EOMONTH('Construction Budget'!$K39,0),CS$11&lt;=EOMONTH('Construction Budget'!$M39,0)),('Construction Budget'!$G39+SUM($G183:CR183))/ROUND(((EOMONTH('Construction Budget'!$M39,0)-EOMONTH(CS$11,0))/30)+1,0),0)</f>
        <v>0</v>
      </c>
      <c r="CT183" s="427">
        <f>-IF(AND(CT$11&gt;=EOMONTH('Construction Budget'!$K39,0),CT$11&lt;=EOMONTH('Construction Budget'!$M39,0)),('Construction Budget'!$G39+SUM($G183:CS183))/ROUND(((EOMONTH('Construction Budget'!$M39,0)-EOMONTH(CT$11,0))/30)+1,0),0)</f>
        <v>0</v>
      </c>
      <c r="CU183" s="427">
        <f>-IF(AND(CU$11&gt;=EOMONTH('Construction Budget'!$K39,0),CU$11&lt;=EOMONTH('Construction Budget'!$M39,0)),('Construction Budget'!$G39+SUM($G183:CT183))/ROUND(((EOMONTH('Construction Budget'!$M39,0)-EOMONTH(CU$11,0))/30)+1,0),0)</f>
        <v>0</v>
      </c>
      <c r="CV183" s="427">
        <f>-IF(AND(CV$11&gt;=EOMONTH('Construction Budget'!$K39,0),CV$11&lt;=EOMONTH('Construction Budget'!$M39,0)),('Construction Budget'!$G39+SUM($G183:CU183))/ROUND(((EOMONTH('Construction Budget'!$M39,0)-EOMONTH(CV$11,0))/30)+1,0),0)</f>
        <v>0</v>
      </c>
      <c r="CW183" s="427">
        <f>-IF(AND(CW$11&gt;=EOMONTH('Construction Budget'!$K39,0),CW$11&lt;=EOMONTH('Construction Budget'!$M39,0)),('Construction Budget'!$G39+SUM($G183:CV183))/ROUND(((EOMONTH('Construction Budget'!$M39,0)-EOMONTH(CW$11,0))/30)+1,0),0)</f>
        <v>0</v>
      </c>
      <c r="CX183" s="427">
        <f>-IF(AND(CX$11&gt;=EOMONTH('Construction Budget'!$K39,0),CX$11&lt;=EOMONTH('Construction Budget'!$M39,0)),('Construction Budget'!$G39+SUM($G183:CW183))/ROUND(((EOMONTH('Construction Budget'!$M39,0)-EOMONTH(CX$11,0))/30)+1,0),0)</f>
        <v>0</v>
      </c>
      <c r="CY183" s="427">
        <f>-IF(AND(CY$11&gt;=EOMONTH('Construction Budget'!$K39,0),CY$11&lt;=EOMONTH('Construction Budget'!$M39,0)),('Construction Budget'!$G39+SUM($G183:CX183))/ROUND(((EOMONTH('Construction Budget'!$M39,0)-EOMONTH(CY$11,0))/30)+1,0),0)</f>
        <v>0</v>
      </c>
      <c r="CZ183" s="427">
        <f>-IF(AND(CZ$11&gt;=EOMONTH('Construction Budget'!$K39,0),CZ$11&lt;=EOMONTH('Construction Budget'!$M39,0)),('Construction Budget'!$G39+SUM($G183:CY183))/ROUND(((EOMONTH('Construction Budget'!$M39,0)-EOMONTH(CZ$11,0))/30)+1,0),0)</f>
        <v>0</v>
      </c>
      <c r="DA183" s="427">
        <f>-IF(AND(DA$11&gt;=EOMONTH('Construction Budget'!$K39,0),DA$11&lt;=EOMONTH('Construction Budget'!$M39,0)),('Construction Budget'!$G39+SUM($G183:CZ183))/ROUND(((EOMONTH('Construction Budget'!$M39,0)-EOMONTH(DA$11,0))/30)+1,0),0)</f>
        <v>0</v>
      </c>
      <c r="DB183" s="427">
        <f>-IF(AND(DB$11&gt;=EOMONTH('Construction Budget'!$K39,0),DB$11&lt;=EOMONTH('Construction Budget'!$M39,0)),('Construction Budget'!$G39+SUM($G183:DA183))/ROUND(((EOMONTH('Construction Budget'!$M39,0)-EOMONTH(DB$11,0))/30)+1,0),0)</f>
        <v>0</v>
      </c>
      <c r="DC183" s="427">
        <f>-IF(AND(DC$11&gt;=EOMONTH('Construction Budget'!$K39,0),DC$11&lt;=EOMONTH('Construction Budget'!$M39,0)),('Construction Budget'!$G39+SUM($G183:DB183))/ROUND(((EOMONTH('Construction Budget'!$M39,0)-EOMONTH(DC$11,0))/30)+1,0),0)</f>
        <v>0</v>
      </c>
      <c r="DD183" s="427">
        <f>-IF(AND(DD$11&gt;=EOMONTH('Construction Budget'!$K39,0),DD$11&lt;=EOMONTH('Construction Budget'!$M39,0)),('Construction Budget'!$G39+SUM($G183:DC183))/ROUND(((EOMONTH('Construction Budget'!$M39,0)-EOMONTH(DD$11,0))/30)+1,0),0)</f>
        <v>0</v>
      </c>
      <c r="DE183" s="427">
        <f>-IF(AND(DE$11&gt;=EOMONTH('Construction Budget'!$K39,0),DE$11&lt;=EOMONTH('Construction Budget'!$M39,0)),('Construction Budget'!$G39+SUM($G183:DD183))/ROUND(((EOMONTH('Construction Budget'!$M39,0)-EOMONTH(DE$11,0))/30)+1,0),0)</f>
        <v>0</v>
      </c>
      <c r="DF183" s="427">
        <f>-IF(AND(DF$11&gt;=EOMONTH('Construction Budget'!$K39,0),DF$11&lt;=EOMONTH('Construction Budget'!$M39,0)),('Construction Budget'!$G39+SUM($G183:DE183))/ROUND(((EOMONTH('Construction Budget'!$M39,0)-EOMONTH(DF$11,0))/30)+1,0),0)</f>
        <v>0</v>
      </c>
      <c r="DG183" s="427">
        <f>-IF(AND(DG$11&gt;=EOMONTH('Construction Budget'!$K39,0),DG$11&lt;=EOMONTH('Construction Budget'!$M39,0)),('Construction Budget'!$G39+SUM($G183:DF183))/ROUND(((EOMONTH('Construction Budget'!$M39,0)-EOMONTH(DG$11,0))/30)+1,0),0)</f>
        <v>0</v>
      </c>
      <c r="DH183" s="427">
        <f>-IF(AND(DH$11&gt;=EOMONTH('Construction Budget'!$K39,0),DH$11&lt;=EOMONTH('Construction Budget'!$M39,0)),('Construction Budget'!$G39+SUM($G183:DG183))/ROUND(((EOMONTH('Construction Budget'!$M39,0)-EOMONTH(DH$11,0))/30)+1,0),0)</f>
        <v>0</v>
      </c>
      <c r="DI183" s="427">
        <f>-IF(AND(DI$11&gt;=EOMONTH('Construction Budget'!$K39,0),DI$11&lt;=EOMONTH('Construction Budget'!$M39,0)),('Construction Budget'!$G39+SUM($G183:DH183))/ROUND(((EOMONTH('Construction Budget'!$M39,0)-EOMONTH(DI$11,0))/30)+1,0),0)</f>
        <v>0</v>
      </c>
      <c r="DJ183" s="427">
        <f>-IF(AND(DJ$11&gt;=EOMONTH('Construction Budget'!$K39,0),DJ$11&lt;=EOMONTH('Construction Budget'!$M39,0)),('Construction Budget'!$G39+SUM($G183:DI183))/ROUND(((EOMONTH('Construction Budget'!$M39,0)-EOMONTH(DJ$11,0))/30)+1,0),0)</f>
        <v>0</v>
      </c>
      <c r="DK183" s="427">
        <f>-IF(AND(DK$11&gt;=EOMONTH('Construction Budget'!$K39,0),DK$11&lt;=EOMONTH('Construction Budget'!$M39,0)),('Construction Budget'!$G39+SUM($G183:DJ183))/ROUND(((EOMONTH('Construction Budget'!$M39,0)-EOMONTH(DK$11,0))/30)+1,0),0)</f>
        <v>0</v>
      </c>
      <c r="DL183" s="427">
        <f>-IF(AND(DL$11&gt;=EOMONTH('Construction Budget'!$K39,0),DL$11&lt;=EOMONTH('Construction Budget'!$M39,0)),('Construction Budget'!$G39+SUM($G183:DK183))/ROUND(((EOMONTH('Construction Budget'!$M39,0)-EOMONTH(DL$11,0))/30)+1,0),0)</f>
        <v>0</v>
      </c>
      <c r="DM183" s="427">
        <f>-IF(AND(DM$11&gt;=EOMONTH('Construction Budget'!$K39,0),DM$11&lt;=EOMONTH('Construction Budget'!$M39,0)),('Construction Budget'!$G39+SUM($G183:DL183))/ROUND(((EOMONTH('Construction Budget'!$M39,0)-EOMONTH(DM$11,0))/30)+1,0),0)</f>
        <v>0</v>
      </c>
      <c r="DN183" s="427">
        <f>-IF(AND(DN$11&gt;=EOMONTH('Construction Budget'!$K39,0),DN$11&lt;=EOMONTH('Construction Budget'!$M39,0)),('Construction Budget'!$G39+SUM($G183:DM183))/ROUND(((EOMONTH('Construction Budget'!$M39,0)-EOMONTH(DN$11,0))/30)+1,0),0)</f>
        <v>0</v>
      </c>
      <c r="DO183" s="427">
        <f>-IF(AND(DO$11&gt;=EOMONTH('Construction Budget'!$K39,0),DO$11&lt;=EOMONTH('Construction Budget'!$M39,0)),('Construction Budget'!$G39+SUM($G183:DN183))/ROUND(((EOMONTH('Construction Budget'!$M39,0)-EOMONTH(DO$11,0))/30)+1,0),0)</f>
        <v>0</v>
      </c>
      <c r="DP183" s="427">
        <f>-IF(AND(DP$11&gt;=EOMONTH('Construction Budget'!$K39,0),DP$11&lt;=EOMONTH('Construction Budget'!$M39,0)),('Construction Budget'!$G39+SUM($G183:DO183))/ROUND(((EOMONTH('Construction Budget'!$M39,0)-EOMONTH(DP$11,0))/30)+1,0),0)</f>
        <v>0</v>
      </c>
      <c r="DQ183" s="427">
        <f>-IF(AND(DQ$11&gt;=EOMONTH('Construction Budget'!$K39,0),DQ$11&lt;=EOMONTH('Construction Budget'!$M39,0)),('Construction Budget'!$G39+SUM($G183:DP183))/ROUND(((EOMONTH('Construction Budget'!$M39,0)-EOMONTH(DQ$11,0))/30)+1,0),0)</f>
        <v>0</v>
      </c>
      <c r="DR183" s="427">
        <f>-IF(AND(DR$11&gt;=EOMONTH('Construction Budget'!$K39,0),DR$11&lt;=EOMONTH('Construction Budget'!$M39,0)),('Construction Budget'!$G39+SUM($G183:DQ183))/ROUND(((EOMONTH('Construction Budget'!$M39,0)-EOMONTH(DR$11,0))/30)+1,0),0)</f>
        <v>0</v>
      </c>
      <c r="DS183" s="427">
        <f>-IF(AND(DS$11&gt;=EOMONTH('Construction Budget'!$K39,0),DS$11&lt;=EOMONTH('Construction Budget'!$M39,0)),('Construction Budget'!$G39+SUM($G183:DR183))/ROUND(((EOMONTH('Construction Budget'!$M39,0)-EOMONTH(DS$11,0))/30)+1,0),0)</f>
        <v>0</v>
      </c>
      <c r="DT183" s="427">
        <f>-IF(AND(DT$11&gt;=EOMONTH('Construction Budget'!$K39,0),DT$11&lt;=EOMONTH('Construction Budget'!$M39,0)),('Construction Budget'!$G39+SUM($G183:DS183))/ROUND(((EOMONTH('Construction Budget'!$M39,0)-EOMONTH(DT$11,0))/30)+1,0),0)</f>
        <v>0</v>
      </c>
      <c r="DU183" s="427">
        <f>-IF(AND(DU$11&gt;=EOMONTH('Construction Budget'!$K39,0),DU$11&lt;=EOMONTH('Construction Budget'!$M39,0)),('Construction Budget'!$G39+SUM($G183:DT183))/ROUND(((EOMONTH('Construction Budget'!$M39,0)-EOMONTH(DU$11,0))/30)+1,0),0)</f>
        <v>0</v>
      </c>
      <c r="DV183" s="427">
        <f>-IF(AND(DV$11&gt;=EOMONTH('Construction Budget'!$K39,0),DV$11&lt;=EOMONTH('Construction Budget'!$M39,0)),('Construction Budget'!$G39+SUM($G183:DU183))/ROUND(((EOMONTH('Construction Budget'!$M39,0)-EOMONTH(DV$11,0))/30)+1,0),0)</f>
        <v>0</v>
      </c>
      <c r="DW183" s="427">
        <f>-IF(AND(DW$11&gt;=EOMONTH('Construction Budget'!$K39,0),DW$11&lt;=EOMONTH('Construction Budget'!$M39,0)),('Construction Budget'!$G39+SUM($G183:DV183))/ROUND(((EOMONTH('Construction Budget'!$M39,0)-EOMONTH(DW$11,0))/30)+1,0),0)</f>
        <v>0</v>
      </c>
      <c r="DX183" s="427">
        <f>-IF(AND(DX$11&gt;=EOMONTH('Construction Budget'!$K39,0),DX$11&lt;=EOMONTH('Construction Budget'!$M39,0)),('Construction Budget'!$G39+SUM($G183:DW183))/ROUND(((EOMONTH('Construction Budget'!$M39,0)-EOMONTH(DX$11,0))/30)+1,0),0)</f>
        <v>0</v>
      </c>
      <c r="DY183" s="427">
        <f>-IF(AND(DY$11&gt;=EOMONTH('Construction Budget'!$K39,0),DY$11&lt;=EOMONTH('Construction Budget'!$M39,0)),('Construction Budget'!$G39+SUM($G183:DX183))/ROUND(((EOMONTH('Construction Budget'!$M39,0)-EOMONTH(DY$11,0))/30)+1,0),0)</f>
        <v>0</v>
      </c>
      <c r="DZ183" s="427">
        <f>-IF(AND(DZ$11&gt;=EOMONTH('Construction Budget'!$K39,0),DZ$11&lt;=EOMONTH('Construction Budget'!$M39,0)),('Construction Budget'!$G39+SUM($G183:DY183))/ROUND(((EOMONTH('Construction Budget'!$M39,0)-EOMONTH(DZ$11,0))/30)+1,0),0)</f>
        <v>0</v>
      </c>
      <c r="EA183" s="427">
        <f>-IF(AND(EA$11&gt;=EOMONTH('Construction Budget'!$K39,0),EA$11&lt;=EOMONTH('Construction Budget'!$M39,0)),('Construction Budget'!$G39+SUM($G183:DZ183))/ROUND(((EOMONTH('Construction Budget'!$M39,0)-EOMONTH(EA$11,0))/30)+1,0),0)</f>
        <v>0</v>
      </c>
      <c r="EB183" s="427">
        <f>-IF(AND(EB$11&gt;=EOMONTH('Construction Budget'!$K39,0),EB$11&lt;=EOMONTH('Construction Budget'!$M39,0)),('Construction Budget'!$G39+SUM($G183:EA183))/ROUND(((EOMONTH('Construction Budget'!$M39,0)-EOMONTH(EB$11,0))/30)+1,0),0)</f>
        <v>0</v>
      </c>
      <c r="EC183" s="427">
        <f>-IF(AND(EC$11&gt;=EOMONTH('Construction Budget'!$K39,0),EC$11&lt;=EOMONTH('Construction Budget'!$M39,0)),('Construction Budget'!$G39+SUM($G183:EB183))/ROUND(((EOMONTH('Construction Budget'!$M39,0)-EOMONTH(EC$11,0))/30)+1,0),0)</f>
        <v>0</v>
      </c>
      <c r="ED183" s="427">
        <f>-IF(AND(ED$11&gt;=EOMONTH('Construction Budget'!$K39,0),ED$11&lt;=EOMONTH('Construction Budget'!$M39,0)),('Construction Budget'!$G39+SUM($G183:EC183))/ROUND(((EOMONTH('Construction Budget'!$M39,0)-EOMONTH(ED$11,0))/30)+1,0),0)</f>
        <v>0</v>
      </c>
      <c r="EE183" s="427">
        <f>-IF(AND(EE$11&gt;=EOMONTH('Construction Budget'!$K39,0),EE$11&lt;=EOMONTH('Construction Budget'!$M39,0)),('Construction Budget'!$G39+SUM($G183:ED183))/ROUND(((EOMONTH('Construction Budget'!$M39,0)-EOMONTH(EE$11,0))/30)+1,0),0)</f>
        <v>0</v>
      </c>
      <c r="EF183" s="427">
        <f>-IF(AND(EF$11&gt;=EOMONTH('Construction Budget'!$K39,0),EF$11&lt;=EOMONTH('Construction Budget'!$M39,0)),('Construction Budget'!$G39+SUM($G183:EE183))/ROUND(((EOMONTH('Construction Budget'!$M39,0)-EOMONTH(EF$11,0))/30)+1,0),0)</f>
        <v>0</v>
      </c>
      <c r="EG183" s="427">
        <f>-IF(AND(EG$11&gt;=EOMONTH('Construction Budget'!$K39,0),EG$11&lt;=EOMONTH('Construction Budget'!$M39,0)),('Construction Budget'!$G39+SUM($G183:EF183))/ROUND(((EOMONTH('Construction Budget'!$M39,0)-EOMONTH(EG$11,0))/30)+1,0),0)</f>
        <v>0</v>
      </c>
      <c r="EH183" s="427">
        <f>-IF(AND(EH$11&gt;=EOMONTH('Construction Budget'!$K39,0),EH$11&lt;=EOMONTH('Construction Budget'!$M39,0)),('Construction Budget'!$G39+SUM($G183:EG183))/ROUND(((EOMONTH('Construction Budget'!$M39,0)-EOMONTH(EH$11,0))/30)+1,0),0)</f>
        <v>0</v>
      </c>
      <c r="EI183" s="427">
        <f>-IF(AND(EI$11&gt;=EOMONTH('Construction Budget'!$K39,0),EI$11&lt;=EOMONTH('Construction Budget'!$M39,0)),('Construction Budget'!$G39+SUM($G183:EH183))/ROUND(((EOMONTH('Construction Budget'!$M39,0)-EOMONTH(EI$11,0))/30)+1,0),0)</f>
        <v>0</v>
      </c>
      <c r="EJ183" s="427">
        <f>-IF(AND(EJ$11&gt;=EOMONTH('Construction Budget'!$K39,0),EJ$11&lt;=EOMONTH('Construction Budget'!$M39,0)),('Construction Budget'!$G39+SUM($G183:EI183))/ROUND(((EOMONTH('Construction Budget'!$M39,0)-EOMONTH(EJ$11,0))/30)+1,0),0)</f>
        <v>0</v>
      </c>
      <c r="EK183" s="427">
        <f>-IF(AND(EK$11&gt;=EOMONTH('Construction Budget'!$K39,0),EK$11&lt;=EOMONTH('Construction Budget'!$M39,0)),('Construction Budget'!$G39+SUM($G183:EJ183))/ROUND(((EOMONTH('Construction Budget'!$M39,0)-EOMONTH(EK$11,0))/30)+1,0),0)</f>
        <v>0</v>
      </c>
      <c r="EL183" s="427">
        <f>-IF(AND(EL$11&gt;=EOMONTH('Construction Budget'!$K39,0),EL$11&lt;=EOMONTH('Construction Budget'!$M39,0)),('Construction Budget'!$G39+SUM($G183:EK183))/ROUND(((EOMONTH('Construction Budget'!$M39,0)-EOMONTH(EL$11,0))/30)+1,0),0)</f>
        <v>0</v>
      </c>
      <c r="EM183" s="427">
        <f>-IF(AND(EM$11&gt;=EOMONTH('Construction Budget'!$K39,0),EM$11&lt;=EOMONTH('Construction Budget'!$M39,0)),('Construction Budget'!$G39+SUM($G183:EL183))/ROUND(((EOMONTH('Construction Budget'!$M39,0)-EOMONTH(EM$11,0))/30)+1,0),0)</f>
        <v>0</v>
      </c>
      <c r="EN183" s="427">
        <f>-IF(AND(EN$11&gt;=EOMONTH('Construction Budget'!$K39,0),EN$11&lt;=EOMONTH('Construction Budget'!$M39,0)),('Construction Budget'!$G39+SUM($G183:EM183))/ROUND(((EOMONTH('Construction Budget'!$M39,0)-EOMONTH(EN$11,0))/30)+1,0),0)</f>
        <v>0</v>
      </c>
      <c r="EO183" s="427">
        <f>-IF(AND(EO$11&gt;=EOMONTH('Construction Budget'!$K39,0),EO$11&lt;=EOMONTH('Construction Budget'!$M39,0)),('Construction Budget'!$G39+SUM($G183:EN183))/ROUND(((EOMONTH('Construction Budget'!$M39,0)-EOMONTH(EO$11,0))/30)+1,0),0)</f>
        <v>0</v>
      </c>
      <c r="EP183" s="427">
        <f>-IF(AND(EP$11&gt;=EOMONTH('Construction Budget'!$K39,0),EP$11&lt;=EOMONTH('Construction Budget'!$M39,0)),('Construction Budget'!$G39+SUM($G183:EO183))/ROUND(((EOMONTH('Construction Budget'!$M39,0)-EOMONTH(EP$11,0))/30)+1,0),0)</f>
        <v>0</v>
      </c>
      <c r="EQ183" s="427">
        <f>-IF(AND(EQ$11&gt;=EOMONTH('Construction Budget'!$K39,0),EQ$11&lt;=EOMONTH('Construction Budget'!$M39,0)),('Construction Budget'!$G39+SUM($G183:EP183))/ROUND(((EOMONTH('Construction Budget'!$M39,0)-EOMONTH(EQ$11,0))/30)+1,0),0)</f>
        <v>0</v>
      </c>
      <c r="ER183" s="427">
        <f>-IF(AND(ER$11&gt;=EOMONTH('Construction Budget'!$K39,0),ER$11&lt;=EOMONTH('Construction Budget'!$M39,0)),('Construction Budget'!$G39+SUM($G183:EQ183))/ROUND(((EOMONTH('Construction Budget'!$M39,0)-EOMONTH(ER$11,0))/30)+1,0),0)</f>
        <v>0</v>
      </c>
      <c r="ES183" s="427">
        <f>-IF(AND(ES$11&gt;=EOMONTH('Construction Budget'!$K39,0),ES$11&lt;=EOMONTH('Construction Budget'!$M39,0)),('Construction Budget'!$G39+SUM($G183:ER183))/ROUND(((EOMONTH('Construction Budget'!$M39,0)-EOMONTH(ES$11,0))/30)+1,0),0)</f>
        <v>0</v>
      </c>
      <c r="ET183" s="427">
        <f>-IF(AND(ET$11&gt;=EOMONTH('Construction Budget'!$K39,0),ET$11&lt;=EOMONTH('Construction Budget'!$M39,0)),('Construction Budget'!$G39+SUM($G183:ES183))/ROUND(((EOMONTH('Construction Budget'!$M39,0)-EOMONTH(ET$11,0))/30)+1,0),0)</f>
        <v>0</v>
      </c>
      <c r="EU183" s="427">
        <f>-IF(AND(EU$11&gt;=EOMONTH('Construction Budget'!$K39,0),EU$11&lt;=EOMONTH('Construction Budget'!$M39,0)),('Construction Budget'!$G39+SUM($G183:ET183))/ROUND(((EOMONTH('Construction Budget'!$M39,0)-EOMONTH(EU$11,0))/30)+1,0),0)</f>
        <v>0</v>
      </c>
      <c r="EV183" s="427">
        <f>-IF(AND(EV$11&gt;=EOMONTH('Construction Budget'!$K39,0),EV$11&lt;=EOMONTH('Construction Budget'!$M39,0)),('Construction Budget'!$G39+SUM($G183:EU183))/ROUND(((EOMONTH('Construction Budget'!$M39,0)-EOMONTH(EV$11,0))/30)+1,0),0)</f>
        <v>0</v>
      </c>
      <c r="EW183" s="427">
        <f>-IF(AND(EW$11&gt;=EOMONTH('Construction Budget'!$K39,0),EW$11&lt;=EOMONTH('Construction Budget'!$M39,0)),('Construction Budget'!$G39+SUM($G183:EV183))/ROUND(((EOMONTH('Construction Budget'!$M39,0)-EOMONTH(EW$11,0))/30)+1,0),0)</f>
        <v>0</v>
      </c>
      <c r="EX183" s="427">
        <f>-IF(AND(EX$11&gt;=EOMONTH('Construction Budget'!$K39,0),EX$11&lt;=EOMONTH('Construction Budget'!$M39,0)),('Construction Budget'!$G39+SUM($G183:EW183))/ROUND(((EOMONTH('Construction Budget'!$M39,0)-EOMONTH(EX$11,0))/30)+1,0),0)</f>
        <v>0</v>
      </c>
      <c r="EY183" s="427">
        <f>-IF(AND(EY$11&gt;=EOMONTH('Construction Budget'!$K39,0),EY$11&lt;=EOMONTH('Construction Budget'!$M39,0)),('Construction Budget'!$G39+SUM($G183:EX183))/ROUND(((EOMONTH('Construction Budget'!$M39,0)-EOMONTH(EY$11,0))/30)+1,0),0)</f>
        <v>0</v>
      </c>
      <c r="EZ183" s="427">
        <f>-IF(AND(EZ$11&gt;=EOMONTH('Construction Budget'!$K39,0),EZ$11&lt;=EOMONTH('Construction Budget'!$M39,0)),('Construction Budget'!$G39+SUM($G183:EY183))/ROUND(((EOMONTH('Construction Budget'!$M39,0)-EOMONTH(EZ$11,0))/30)+1,0),0)</f>
        <v>0</v>
      </c>
      <c r="FA183" s="427">
        <f>-IF(AND(FA$11&gt;=EOMONTH('Construction Budget'!$K39,0),FA$11&lt;=EOMONTH('Construction Budget'!$M39,0)),('Construction Budget'!$G39+SUM($G183:EZ183))/ROUND(((EOMONTH('Construction Budget'!$M39,0)-EOMONTH(FA$11,0))/30)+1,0),0)</f>
        <v>0</v>
      </c>
      <c r="FB183" s="427">
        <f>-IF(AND(FB$11&gt;=EOMONTH('Construction Budget'!$K39,0),FB$11&lt;=EOMONTH('Construction Budget'!$M39,0)),('Construction Budget'!$G39+SUM($G183:FA183))/ROUND(((EOMONTH('Construction Budget'!$M39,0)-EOMONTH(FB$11,0))/30)+1,0),0)</f>
        <v>0</v>
      </c>
      <c r="FC183" s="427">
        <f>-IF(AND(FC$11&gt;=EOMONTH('Construction Budget'!$K39,0),FC$11&lt;=EOMONTH('Construction Budget'!$M39,0)),('Construction Budget'!$G39+SUM($G183:FB183))/ROUND(((EOMONTH('Construction Budget'!$M39,0)-EOMONTH(FC$11,0))/30)+1,0),0)</f>
        <v>0</v>
      </c>
      <c r="FD183" s="427">
        <f>-IF(AND(FD$11&gt;=EOMONTH('Construction Budget'!$K39,0),FD$11&lt;=EOMONTH('Construction Budget'!$M39,0)),('Construction Budget'!$G39+SUM($G183:FC183))/ROUND(((EOMONTH('Construction Budget'!$M39,0)-EOMONTH(FD$11,0))/30)+1,0),0)</f>
        <v>0</v>
      </c>
      <c r="FE183" s="427">
        <f>-IF(AND(FE$11&gt;=EOMONTH('Construction Budget'!$K39,0),FE$11&lt;=EOMONTH('Construction Budget'!$M39,0)),('Construction Budget'!$G39+SUM($G183:FD183))/ROUND(((EOMONTH('Construction Budget'!$M39,0)-EOMONTH(FE$11,0))/30)+1,0),0)</f>
        <v>0</v>
      </c>
      <c r="FF183" s="427">
        <f>-IF(AND(FF$11&gt;=EOMONTH('Construction Budget'!$K39,0),FF$11&lt;=EOMONTH('Construction Budget'!$M39,0)),('Construction Budget'!$G39+SUM($G183:FE183))/ROUND(((EOMONTH('Construction Budget'!$M39,0)-EOMONTH(FF$11,0))/30)+1,0),0)</f>
        <v>0</v>
      </c>
      <c r="FG183" s="427">
        <f>-IF(AND(FG$11&gt;=EOMONTH('Construction Budget'!$K39,0),FG$11&lt;=EOMONTH('Construction Budget'!$M39,0)),('Construction Budget'!$G39+SUM($G183:FF183))/ROUND(((EOMONTH('Construction Budget'!$M39,0)-EOMONTH(FG$11,0))/30)+1,0),0)</f>
        <v>0</v>
      </c>
      <c r="FH183" s="427">
        <f>-IF(AND(FH$11&gt;=EOMONTH('Construction Budget'!$K39,0),FH$11&lt;=EOMONTH('Construction Budget'!$M39,0)),('Construction Budget'!$G39+SUM($G183:FG183))/ROUND(((EOMONTH('Construction Budget'!$M39,0)-EOMONTH(FH$11,0))/30)+1,0),0)</f>
        <v>0</v>
      </c>
      <c r="FI183" s="427">
        <f>-IF(AND(FI$11&gt;=EOMONTH('Construction Budget'!$K39,0),FI$11&lt;=EOMONTH('Construction Budget'!$M39,0)),('Construction Budget'!$G39+SUM($G183:FH183))/ROUND(((EOMONTH('Construction Budget'!$M39,0)-EOMONTH(FI$11,0))/30)+1,0),0)</f>
        <v>0</v>
      </c>
      <c r="FJ183" s="427">
        <f>-IF(AND(FJ$11&gt;=EOMONTH('Construction Budget'!$K39,0),FJ$11&lt;=EOMONTH('Construction Budget'!$M39,0)),('Construction Budget'!$G39+SUM($G183:FI183))/ROUND(((EOMONTH('Construction Budget'!$M39,0)-EOMONTH(FJ$11,0))/30)+1,0),0)</f>
        <v>0</v>
      </c>
      <c r="FK183" s="427">
        <f>-IF(AND(FK$11&gt;=EOMONTH('Construction Budget'!$K39,0),FK$11&lt;=EOMONTH('Construction Budget'!$M39,0)),('Construction Budget'!$G39+SUM($G183:FJ183))/ROUND(((EOMONTH('Construction Budget'!$M39,0)-EOMONTH(FK$11,0))/30)+1,0),0)</f>
        <v>0</v>
      </c>
      <c r="FL183" s="427">
        <f>-IF(AND(FL$11&gt;=EOMONTH('Construction Budget'!$K39,0),FL$11&lt;=EOMONTH('Construction Budget'!$M39,0)),('Construction Budget'!$G39+SUM($G183:FK183))/ROUND(((EOMONTH('Construction Budget'!$M39,0)-EOMONTH(FL$11,0))/30)+1,0),0)</f>
        <v>0</v>
      </c>
      <c r="FM183" s="427">
        <f>-IF(AND(FM$11&gt;=EOMONTH('Construction Budget'!$K39,0),FM$11&lt;=EOMONTH('Construction Budget'!$M39,0)),('Construction Budget'!$G39+SUM($G183:FL183))/ROUND(((EOMONTH('Construction Budget'!$M39,0)-EOMONTH(FM$11,0))/30)+1,0),0)</f>
        <v>0</v>
      </c>
      <c r="FN183" s="427">
        <f>-IF(AND(FN$11&gt;=EOMONTH('Construction Budget'!$K39,0),FN$11&lt;=EOMONTH('Construction Budget'!$M39,0)),('Construction Budget'!$G39+SUM($G183:FM183))/ROUND(((EOMONTH('Construction Budget'!$M39,0)-EOMONTH(FN$11,0))/30)+1,0),0)</f>
        <v>0</v>
      </c>
      <c r="FO183" s="427">
        <f>-IF(AND(FO$11&gt;=EOMONTH('Construction Budget'!$K39,0),FO$11&lt;=EOMONTH('Construction Budget'!$M39,0)),('Construction Budget'!$G39+SUM($G183:FN183))/ROUND(((EOMONTH('Construction Budget'!$M39,0)-EOMONTH(FO$11,0))/30)+1,0),0)</f>
        <v>0</v>
      </c>
      <c r="FP183" s="427">
        <f>-IF(AND(FP$11&gt;=EOMONTH('Construction Budget'!$K39,0),FP$11&lt;=EOMONTH('Construction Budget'!$M39,0)),('Construction Budget'!$G39+SUM($G183:FO183))/ROUND(((EOMONTH('Construction Budget'!$M39,0)-EOMONTH(FP$11,0))/30)+1,0),0)</f>
        <v>0</v>
      </c>
      <c r="FQ183" s="427">
        <f>-IF(AND(FQ$11&gt;=EOMONTH('Construction Budget'!$K39,0),FQ$11&lt;=EOMONTH('Construction Budget'!$M39,0)),('Construction Budget'!$G39+SUM($G183:FP183))/ROUND(((EOMONTH('Construction Budget'!$M39,0)-EOMONTH(FQ$11,0))/30)+1,0),0)</f>
        <v>0</v>
      </c>
      <c r="FR183" s="427">
        <f>-IF(AND(FR$11&gt;=EOMONTH('Construction Budget'!$K39,0),FR$11&lt;=EOMONTH('Construction Budget'!$M39,0)),('Construction Budget'!$G39+SUM($G183:FQ183))/ROUND(((EOMONTH('Construction Budget'!$M39,0)-EOMONTH(FR$11,0))/30)+1,0),0)</f>
        <v>0</v>
      </c>
      <c r="FS183" s="427">
        <f>-IF(AND(FS$11&gt;=EOMONTH('Construction Budget'!$K39,0),FS$11&lt;=EOMONTH('Construction Budget'!$M39,0)),('Construction Budget'!$G39+SUM($G183:FR183))/ROUND(((EOMONTH('Construction Budget'!$M39,0)-EOMONTH(FS$11,0))/30)+1,0),0)</f>
        <v>0</v>
      </c>
      <c r="FT183" s="427">
        <f>-IF(AND(FT$11&gt;=EOMONTH('Construction Budget'!$K39,0),FT$11&lt;=EOMONTH('Construction Budget'!$M39,0)),('Construction Budget'!$G39+SUM($G183:FS183))/ROUND(((EOMONTH('Construction Budget'!$M39,0)-EOMONTH(FT$11,0))/30)+1,0),0)</f>
        <v>0</v>
      </c>
      <c r="FU183" s="43"/>
      <c r="FV183" s="34"/>
      <c r="FW183" s="34"/>
      <c r="FX183" s="34"/>
      <c r="FY183" s="34"/>
      <c r="FZ183" s="34"/>
    </row>
    <row r="184" spans="1:182" s="89" customFormat="1" ht="13.5" hidden="1" outlineLevel="1" x14ac:dyDescent="0.25">
      <c r="A184" s="498"/>
      <c r="B184" s="128" t="str">
        <f>'Construction Budget'!B40</f>
        <v>Blank</v>
      </c>
      <c r="C184" s="34"/>
      <c r="D184" s="34"/>
      <c r="E184" s="34"/>
      <c r="F184" s="434">
        <f t="shared" si="232"/>
        <v>0</v>
      </c>
      <c r="G184" s="34"/>
      <c r="H184" s="427">
        <f>-IF(AND(H$11&gt;=EOMONTH('Construction Budget'!$K40,0),H$11&lt;=EOMONTH('Construction Budget'!$M40,0)),('Construction Budget'!$G40+SUM($G184:G184))/ROUND(((EOMONTH('Construction Budget'!$M40,0)-EOMONTH(H$11,0))/30)+1,0),0)</f>
        <v>0</v>
      </c>
      <c r="I184" s="427">
        <f>-IF(AND(I$11&gt;=EOMONTH('Construction Budget'!$K40,0),I$11&lt;=EOMONTH('Construction Budget'!$M40,0)),('Construction Budget'!$G40+SUM($G184:H184))/ROUND(((EOMONTH('Construction Budget'!$M40,0)-EOMONTH(I$11,0))/30)+1,0),0)</f>
        <v>0</v>
      </c>
      <c r="J184" s="427">
        <f>-IF(AND(J$11&gt;=EOMONTH('Construction Budget'!$K40,0),J$11&lt;=EOMONTH('Construction Budget'!$M40,0)),('Construction Budget'!$G40+SUM($G184:I184))/ROUND(((EOMONTH('Construction Budget'!$M40,0)-EOMONTH(J$11,0))/30)+1,0),0)</f>
        <v>0</v>
      </c>
      <c r="K184" s="427">
        <f>-IF(AND(K$11&gt;=EOMONTH('Construction Budget'!$K40,0),K$11&lt;=EOMONTH('Construction Budget'!$M40,0)),('Construction Budget'!$G40+SUM($G184:J184))/ROUND(((EOMONTH('Construction Budget'!$M40,0)-EOMONTH(K$11,0))/30)+1,0),0)</f>
        <v>0</v>
      </c>
      <c r="L184" s="427">
        <f>-IF(AND(L$11&gt;=EOMONTH('Construction Budget'!$K40,0),L$11&lt;=EOMONTH('Construction Budget'!$M40,0)),('Construction Budget'!$G40+SUM($G184:K184))/ROUND(((EOMONTH('Construction Budget'!$M40,0)-EOMONTH(L$11,0))/30)+1,0),0)</f>
        <v>0</v>
      </c>
      <c r="M184" s="427">
        <f>-IF(AND(M$11&gt;=EOMONTH('Construction Budget'!$K40,0),M$11&lt;=EOMONTH('Construction Budget'!$M40,0)),('Construction Budget'!$G40+SUM($G184:L184))/ROUND(((EOMONTH('Construction Budget'!$M40,0)-EOMONTH(M$11,0))/30)+1,0),0)</f>
        <v>0</v>
      </c>
      <c r="N184" s="427">
        <f>-IF(AND(N$11&gt;=EOMONTH('Construction Budget'!$K40,0),N$11&lt;=EOMONTH('Construction Budget'!$M40,0)),('Construction Budget'!$G40+SUM($G184:M184))/ROUND(((EOMONTH('Construction Budget'!$M40,0)-EOMONTH(N$11,0))/30)+1,0),0)</f>
        <v>0</v>
      </c>
      <c r="O184" s="427">
        <f>-IF(AND(O$11&gt;=EOMONTH('Construction Budget'!$K40,0),O$11&lt;=EOMONTH('Construction Budget'!$M40,0)),('Construction Budget'!$G40+SUM($G184:N184))/ROUND(((EOMONTH('Construction Budget'!$M40,0)-EOMONTH(O$11,0))/30)+1,0),0)</f>
        <v>0</v>
      </c>
      <c r="P184" s="427">
        <f>-IF(AND(P$11&gt;=EOMONTH('Construction Budget'!$K40,0),P$11&lt;=EOMONTH('Construction Budget'!$M40,0)),('Construction Budget'!$G40+SUM($G184:O184))/ROUND(((EOMONTH('Construction Budget'!$M40,0)-EOMONTH(P$11,0))/30)+1,0),0)</f>
        <v>0</v>
      </c>
      <c r="Q184" s="427">
        <f>-IF(AND(Q$11&gt;=EOMONTH('Construction Budget'!$K40,0),Q$11&lt;=EOMONTH('Construction Budget'!$M40,0)),('Construction Budget'!$G40+SUM($G184:P184))/ROUND(((EOMONTH('Construction Budget'!$M40,0)-EOMONTH(Q$11,0))/30)+1,0),0)</f>
        <v>0</v>
      </c>
      <c r="R184" s="427">
        <f>-IF(AND(R$11&gt;=EOMONTH('Construction Budget'!$K40,0),R$11&lt;=EOMONTH('Construction Budget'!$M40,0)),('Construction Budget'!$G40+SUM($G184:Q184))/ROUND(((EOMONTH('Construction Budget'!$M40,0)-EOMONTH(R$11,0))/30)+1,0),0)</f>
        <v>0</v>
      </c>
      <c r="S184" s="427">
        <f>-IF(AND(S$11&gt;=EOMONTH('Construction Budget'!$K40,0),S$11&lt;=EOMONTH('Construction Budget'!$M40,0)),('Construction Budget'!$G40+SUM($G184:R184))/ROUND(((EOMONTH('Construction Budget'!$M40,0)-EOMONTH(S$11,0))/30)+1,0),0)</f>
        <v>0</v>
      </c>
      <c r="T184" s="427">
        <f>-IF(AND(T$11&gt;=EOMONTH('Construction Budget'!$K40,0),T$11&lt;=EOMONTH('Construction Budget'!$M40,0)),('Construction Budget'!$G40+SUM($G184:S184))/ROUND(((EOMONTH('Construction Budget'!$M40,0)-EOMONTH(T$11,0))/30)+1,0),0)</f>
        <v>0</v>
      </c>
      <c r="U184" s="427">
        <f>-IF(AND(U$11&gt;=EOMONTH('Construction Budget'!$K40,0),U$11&lt;=EOMONTH('Construction Budget'!$M40,0)),('Construction Budget'!$G40+SUM($G184:T184))/ROUND(((EOMONTH('Construction Budget'!$M40,0)-EOMONTH(U$11,0))/30)+1,0),0)</f>
        <v>0</v>
      </c>
      <c r="V184" s="427">
        <f>-IF(AND(V$11&gt;=EOMONTH('Construction Budget'!$K40,0),V$11&lt;=EOMONTH('Construction Budget'!$M40,0)),('Construction Budget'!$G40+SUM($G184:U184))/ROUND(((EOMONTH('Construction Budget'!$M40,0)-EOMONTH(V$11,0))/30)+1,0),0)</f>
        <v>0</v>
      </c>
      <c r="W184" s="427">
        <f>-IF(AND(W$11&gt;=EOMONTH('Construction Budget'!$K40,0),W$11&lt;=EOMONTH('Construction Budget'!$M40,0)),('Construction Budget'!$G40+SUM($G184:V184))/ROUND(((EOMONTH('Construction Budget'!$M40,0)-EOMONTH(W$11,0))/30)+1,0),0)</f>
        <v>0</v>
      </c>
      <c r="X184" s="427">
        <f>-IF(AND(X$11&gt;=EOMONTH('Construction Budget'!$K40,0),X$11&lt;=EOMONTH('Construction Budget'!$M40,0)),('Construction Budget'!$G40+SUM($G184:W184))/ROUND(((EOMONTH('Construction Budget'!$M40,0)-EOMONTH(X$11,0))/30)+1,0),0)</f>
        <v>0</v>
      </c>
      <c r="Y184" s="427">
        <f>-IF(AND(Y$11&gt;=EOMONTH('Construction Budget'!$K40,0),Y$11&lt;=EOMONTH('Construction Budget'!$M40,0)),('Construction Budget'!$G40+SUM($G184:X184))/ROUND(((EOMONTH('Construction Budget'!$M40,0)-EOMONTH(Y$11,0))/30)+1,0),0)</f>
        <v>0</v>
      </c>
      <c r="Z184" s="427">
        <f>-IF(AND(Z$11&gt;=EOMONTH('Construction Budget'!$K40,0),Z$11&lt;=EOMONTH('Construction Budget'!$M40,0)),('Construction Budget'!$G40+SUM($G184:Y184))/ROUND(((EOMONTH('Construction Budget'!$M40,0)-EOMONTH(Z$11,0))/30)+1,0),0)</f>
        <v>0</v>
      </c>
      <c r="AA184" s="427">
        <f>-IF(AND(AA$11&gt;=EOMONTH('Construction Budget'!$K40,0),AA$11&lt;=EOMONTH('Construction Budget'!$M40,0)),('Construction Budget'!$G40+SUM($G184:Z184))/ROUND(((EOMONTH('Construction Budget'!$M40,0)-EOMONTH(AA$11,0))/30)+1,0),0)</f>
        <v>0</v>
      </c>
      <c r="AB184" s="427">
        <f>-IF(AND(AB$11&gt;=EOMONTH('Construction Budget'!$K40,0),AB$11&lt;=EOMONTH('Construction Budget'!$M40,0)),('Construction Budget'!$G40+SUM($G184:AA184))/ROUND(((EOMONTH('Construction Budget'!$M40,0)-EOMONTH(AB$11,0))/30)+1,0),0)</f>
        <v>0</v>
      </c>
      <c r="AC184" s="427">
        <f>-IF(AND(AC$11&gt;=EOMONTH('Construction Budget'!$K40,0),AC$11&lt;=EOMONTH('Construction Budget'!$M40,0)),('Construction Budget'!$G40+SUM($G184:AB184))/ROUND(((EOMONTH('Construction Budget'!$M40,0)-EOMONTH(AC$11,0))/30)+1,0),0)</f>
        <v>0</v>
      </c>
      <c r="AD184" s="427">
        <f>-IF(AND(AD$11&gt;=EOMONTH('Construction Budget'!$K40,0),AD$11&lt;=EOMONTH('Construction Budget'!$M40,0)),('Construction Budget'!$G40+SUM($G184:AC184))/ROUND(((EOMONTH('Construction Budget'!$M40,0)-EOMONTH(AD$11,0))/30)+1,0),0)</f>
        <v>0</v>
      </c>
      <c r="AE184" s="427">
        <f>-IF(AND(AE$11&gt;=EOMONTH('Construction Budget'!$K40,0),AE$11&lt;=EOMONTH('Construction Budget'!$M40,0)),('Construction Budget'!$G40+SUM($G184:AD184))/ROUND(((EOMONTH('Construction Budget'!$M40,0)-EOMONTH(AE$11,0))/30)+1,0),0)</f>
        <v>0</v>
      </c>
      <c r="AF184" s="427">
        <f>-IF(AND(AF$11&gt;=EOMONTH('Construction Budget'!$K40,0),AF$11&lt;=EOMONTH('Construction Budget'!$M40,0)),('Construction Budget'!$G40+SUM($G184:AE184))/ROUND(((EOMONTH('Construction Budget'!$M40,0)-EOMONTH(AF$11,0))/30)+1,0),0)</f>
        <v>0</v>
      </c>
      <c r="AG184" s="427">
        <f>-IF(AND(AG$11&gt;=EOMONTH('Construction Budget'!$K40,0),AG$11&lt;=EOMONTH('Construction Budget'!$M40,0)),('Construction Budget'!$G40+SUM($G184:AF184))/ROUND(((EOMONTH('Construction Budget'!$M40,0)-EOMONTH(AG$11,0))/30)+1,0),0)</f>
        <v>0</v>
      </c>
      <c r="AH184" s="427">
        <f>-IF(AND(AH$11&gt;=EOMONTH('Construction Budget'!$K40,0),AH$11&lt;=EOMONTH('Construction Budget'!$M40,0)),('Construction Budget'!$G40+SUM($G184:AG184))/ROUND(((EOMONTH('Construction Budget'!$M40,0)-EOMONTH(AH$11,0))/30)+1,0),0)</f>
        <v>0</v>
      </c>
      <c r="AI184" s="427">
        <f>-IF(AND(AI$11&gt;=EOMONTH('Construction Budget'!$K40,0),AI$11&lt;=EOMONTH('Construction Budget'!$M40,0)),('Construction Budget'!$G40+SUM($G184:AH184))/ROUND(((EOMONTH('Construction Budget'!$M40,0)-EOMONTH(AI$11,0))/30)+1,0),0)</f>
        <v>0</v>
      </c>
      <c r="AJ184" s="427">
        <f>-IF(AND(AJ$11&gt;=EOMONTH('Construction Budget'!$K40,0),AJ$11&lt;=EOMONTH('Construction Budget'!$M40,0)),('Construction Budget'!$G40+SUM($G184:AI184))/ROUND(((EOMONTH('Construction Budget'!$M40,0)-EOMONTH(AJ$11,0))/30)+1,0),0)</f>
        <v>0</v>
      </c>
      <c r="AK184" s="427">
        <f>-IF(AND(AK$11&gt;=EOMONTH('Construction Budget'!$K40,0),AK$11&lt;=EOMONTH('Construction Budget'!$M40,0)),('Construction Budget'!$G40+SUM($G184:AJ184))/ROUND(((EOMONTH('Construction Budget'!$M40,0)-EOMONTH(AK$11,0))/30)+1,0),0)</f>
        <v>0</v>
      </c>
      <c r="AL184" s="427">
        <f>-IF(AND(AL$11&gt;=EOMONTH('Construction Budget'!$K40,0),AL$11&lt;=EOMONTH('Construction Budget'!$M40,0)),('Construction Budget'!$G40+SUM($G184:AK184))/ROUND(((EOMONTH('Construction Budget'!$M40,0)-EOMONTH(AL$11,0))/30)+1,0),0)</f>
        <v>0</v>
      </c>
      <c r="AM184" s="427">
        <f>-IF(AND(AM$11&gt;=EOMONTH('Construction Budget'!$K40,0),AM$11&lt;=EOMONTH('Construction Budget'!$M40,0)),('Construction Budget'!$G40+SUM($G184:AL184))/ROUND(((EOMONTH('Construction Budget'!$M40,0)-EOMONTH(AM$11,0))/30)+1,0),0)</f>
        <v>0</v>
      </c>
      <c r="AN184" s="427">
        <f>-IF(AND(AN$11&gt;=EOMONTH('Construction Budget'!$K40,0),AN$11&lt;=EOMONTH('Construction Budget'!$M40,0)),('Construction Budget'!$G40+SUM($G184:AM184))/ROUND(((EOMONTH('Construction Budget'!$M40,0)-EOMONTH(AN$11,0))/30)+1,0),0)</f>
        <v>0</v>
      </c>
      <c r="AO184" s="427">
        <f>-IF(AND(AO$11&gt;=EOMONTH('Construction Budget'!$K40,0),AO$11&lt;=EOMONTH('Construction Budget'!$M40,0)),('Construction Budget'!$G40+SUM($G184:AN184))/ROUND(((EOMONTH('Construction Budget'!$M40,0)-EOMONTH(AO$11,0))/30)+1,0),0)</f>
        <v>0</v>
      </c>
      <c r="AP184" s="427">
        <f>-IF(AND(AP$11&gt;=EOMONTH('Construction Budget'!$K40,0),AP$11&lt;=EOMONTH('Construction Budget'!$M40,0)),('Construction Budget'!$G40+SUM($G184:AO184))/ROUND(((EOMONTH('Construction Budget'!$M40,0)-EOMONTH(AP$11,0))/30)+1,0),0)</f>
        <v>0</v>
      </c>
      <c r="AQ184" s="427">
        <f>-IF(AND(AQ$11&gt;=EOMONTH('Construction Budget'!$K40,0),AQ$11&lt;=EOMONTH('Construction Budget'!$M40,0)),('Construction Budget'!$G40+SUM($G184:AP184))/ROUND(((EOMONTH('Construction Budget'!$M40,0)-EOMONTH(AQ$11,0))/30)+1,0),0)</f>
        <v>0</v>
      </c>
      <c r="AR184" s="427">
        <f>-IF(AND(AR$11&gt;=EOMONTH('Construction Budget'!$K40,0),AR$11&lt;=EOMONTH('Construction Budget'!$M40,0)),('Construction Budget'!$G40+SUM($G184:AQ184))/ROUND(((EOMONTH('Construction Budget'!$M40,0)-EOMONTH(AR$11,0))/30)+1,0),0)</f>
        <v>0</v>
      </c>
      <c r="AS184" s="427">
        <f>-IF(AND(AS$11&gt;=EOMONTH('Construction Budget'!$K40,0),AS$11&lt;=EOMONTH('Construction Budget'!$M40,0)),('Construction Budget'!$G40+SUM($G184:AR184))/ROUND(((EOMONTH('Construction Budget'!$M40,0)-EOMONTH(AS$11,0))/30)+1,0),0)</f>
        <v>0</v>
      </c>
      <c r="AT184" s="427">
        <f>-IF(AND(AT$11&gt;=EOMONTH('Construction Budget'!$K40,0),AT$11&lt;=EOMONTH('Construction Budget'!$M40,0)),('Construction Budget'!$G40+SUM($G184:AS184))/ROUND(((EOMONTH('Construction Budget'!$M40,0)-EOMONTH(AT$11,0))/30)+1,0),0)</f>
        <v>0</v>
      </c>
      <c r="AU184" s="427">
        <f>-IF(AND(AU$11&gt;=EOMONTH('Construction Budget'!$K40,0),AU$11&lt;=EOMONTH('Construction Budget'!$M40,0)),('Construction Budget'!$G40+SUM($G184:AT184))/ROUND(((EOMONTH('Construction Budget'!$M40,0)-EOMONTH(AU$11,0))/30)+1,0),0)</f>
        <v>0</v>
      </c>
      <c r="AV184" s="427">
        <f>-IF(AND(AV$11&gt;=EOMONTH('Construction Budget'!$K40,0),AV$11&lt;=EOMONTH('Construction Budget'!$M40,0)),('Construction Budget'!$G40+SUM($G184:AU184))/ROUND(((EOMONTH('Construction Budget'!$M40,0)-EOMONTH(AV$11,0))/30)+1,0),0)</f>
        <v>0</v>
      </c>
      <c r="AW184" s="427">
        <f>-IF(AND(AW$11&gt;=EOMONTH('Construction Budget'!$K40,0),AW$11&lt;=EOMONTH('Construction Budget'!$M40,0)),('Construction Budget'!$G40+SUM($G184:AV184))/ROUND(((EOMONTH('Construction Budget'!$M40,0)-EOMONTH(AW$11,0))/30)+1,0),0)</f>
        <v>0</v>
      </c>
      <c r="AX184" s="427">
        <f>-IF(AND(AX$11&gt;=EOMONTH('Construction Budget'!$K40,0),AX$11&lt;=EOMONTH('Construction Budget'!$M40,0)),('Construction Budget'!$G40+SUM($G184:AW184))/ROUND(((EOMONTH('Construction Budget'!$M40,0)-EOMONTH(AX$11,0))/30)+1,0),0)</f>
        <v>0</v>
      </c>
      <c r="AY184" s="427">
        <f>-IF(AND(AY$11&gt;=EOMONTH('Construction Budget'!$K40,0),AY$11&lt;=EOMONTH('Construction Budget'!$M40,0)),('Construction Budget'!$G40+SUM($G184:AX184))/ROUND(((EOMONTH('Construction Budget'!$M40,0)-EOMONTH(AY$11,0))/30)+1,0),0)</f>
        <v>0</v>
      </c>
      <c r="AZ184" s="427">
        <f>-IF(AND(AZ$11&gt;=EOMONTH('Construction Budget'!$K40,0),AZ$11&lt;=EOMONTH('Construction Budget'!$M40,0)),('Construction Budget'!$G40+SUM($G184:AY184))/ROUND(((EOMONTH('Construction Budget'!$M40,0)-EOMONTH(AZ$11,0))/30)+1,0),0)</f>
        <v>0</v>
      </c>
      <c r="BA184" s="427">
        <f>-IF(AND(BA$11&gt;=EOMONTH('Construction Budget'!$K40,0),BA$11&lt;=EOMONTH('Construction Budget'!$M40,0)),('Construction Budget'!$G40+SUM($G184:AZ184))/ROUND(((EOMONTH('Construction Budget'!$M40,0)-EOMONTH(BA$11,0))/30)+1,0),0)</f>
        <v>0</v>
      </c>
      <c r="BB184" s="427">
        <f>-IF(AND(BB$11&gt;=EOMONTH('Construction Budget'!$K40,0),BB$11&lt;=EOMONTH('Construction Budget'!$M40,0)),('Construction Budget'!$G40+SUM($G184:BA184))/ROUND(((EOMONTH('Construction Budget'!$M40,0)-EOMONTH(BB$11,0))/30)+1,0),0)</f>
        <v>0</v>
      </c>
      <c r="BC184" s="427">
        <f>-IF(AND(BC$11&gt;=EOMONTH('Construction Budget'!$K40,0),BC$11&lt;=EOMONTH('Construction Budget'!$M40,0)),('Construction Budget'!$G40+SUM($G184:BB184))/ROUND(((EOMONTH('Construction Budget'!$M40,0)-EOMONTH(BC$11,0))/30)+1,0),0)</f>
        <v>0</v>
      </c>
      <c r="BD184" s="427">
        <f>-IF(AND(BD$11&gt;=EOMONTH('Construction Budget'!$K40,0),BD$11&lt;=EOMONTH('Construction Budget'!$M40,0)),('Construction Budget'!$G40+SUM($G184:BC184))/ROUND(((EOMONTH('Construction Budget'!$M40,0)-EOMONTH(BD$11,0))/30)+1,0),0)</f>
        <v>0</v>
      </c>
      <c r="BE184" s="427">
        <f>-IF(AND(BE$11&gt;=EOMONTH('Construction Budget'!$K40,0),BE$11&lt;=EOMONTH('Construction Budget'!$M40,0)),('Construction Budget'!$G40+SUM($G184:BD184))/ROUND(((EOMONTH('Construction Budget'!$M40,0)-EOMONTH(BE$11,0))/30)+1,0),0)</f>
        <v>0</v>
      </c>
      <c r="BF184" s="427">
        <f>-IF(AND(BF$11&gt;=EOMONTH('Construction Budget'!$K40,0),BF$11&lt;=EOMONTH('Construction Budget'!$M40,0)),('Construction Budget'!$G40+SUM($G184:BE184))/ROUND(((EOMONTH('Construction Budget'!$M40,0)-EOMONTH(BF$11,0))/30)+1,0),0)</f>
        <v>0</v>
      </c>
      <c r="BG184" s="427">
        <f>-IF(AND(BG$11&gt;=EOMONTH('Construction Budget'!$K40,0),BG$11&lt;=EOMONTH('Construction Budget'!$M40,0)),('Construction Budget'!$G40+SUM($G184:BF184))/ROUND(((EOMONTH('Construction Budget'!$M40,0)-EOMONTH(BG$11,0))/30)+1,0),0)</f>
        <v>0</v>
      </c>
      <c r="BH184" s="427">
        <f>-IF(AND(BH$11&gt;=EOMONTH('Construction Budget'!$K40,0),BH$11&lt;=EOMONTH('Construction Budget'!$M40,0)),('Construction Budget'!$G40+SUM($G184:BG184))/ROUND(((EOMONTH('Construction Budget'!$M40,0)-EOMONTH(BH$11,0))/30)+1,0),0)</f>
        <v>0</v>
      </c>
      <c r="BI184" s="427">
        <f>-IF(AND(BI$11&gt;=EOMONTH('Construction Budget'!$K40,0),BI$11&lt;=EOMONTH('Construction Budget'!$M40,0)),('Construction Budget'!$G40+SUM($G184:BH184))/ROUND(((EOMONTH('Construction Budget'!$M40,0)-EOMONTH(BI$11,0))/30)+1,0),0)</f>
        <v>0</v>
      </c>
      <c r="BJ184" s="427">
        <f>-IF(AND(BJ$11&gt;=EOMONTH('Construction Budget'!$K40,0),BJ$11&lt;=EOMONTH('Construction Budget'!$M40,0)),('Construction Budget'!$G40+SUM($G184:BI184))/ROUND(((EOMONTH('Construction Budget'!$M40,0)-EOMONTH(BJ$11,0))/30)+1,0),0)</f>
        <v>0</v>
      </c>
      <c r="BK184" s="427">
        <f>-IF(AND(BK$11&gt;=EOMONTH('Construction Budget'!$K40,0),BK$11&lt;=EOMONTH('Construction Budget'!$M40,0)),('Construction Budget'!$G40+SUM($G184:BJ184))/ROUND(((EOMONTH('Construction Budget'!$M40,0)-EOMONTH(BK$11,0))/30)+1,0),0)</f>
        <v>0</v>
      </c>
      <c r="BL184" s="427">
        <f>-IF(AND(BL$11&gt;=EOMONTH('Construction Budget'!$K40,0),BL$11&lt;=EOMONTH('Construction Budget'!$M40,0)),('Construction Budget'!$G40+SUM($G184:BK184))/ROUND(((EOMONTH('Construction Budget'!$M40,0)-EOMONTH(BL$11,0))/30)+1,0),0)</f>
        <v>0</v>
      </c>
      <c r="BM184" s="427">
        <f>-IF(AND(BM$11&gt;=EOMONTH('Construction Budget'!$K40,0),BM$11&lt;=EOMONTH('Construction Budget'!$M40,0)),('Construction Budget'!$G40+SUM($G184:BL184))/ROUND(((EOMONTH('Construction Budget'!$M40,0)-EOMONTH(BM$11,0))/30)+1,0),0)</f>
        <v>0</v>
      </c>
      <c r="BN184" s="427">
        <f>-IF(AND(BN$11&gt;=EOMONTH('Construction Budget'!$K40,0),BN$11&lt;=EOMONTH('Construction Budget'!$M40,0)),('Construction Budget'!$G40+SUM($G184:BM184))/ROUND(((EOMONTH('Construction Budget'!$M40,0)-EOMONTH(BN$11,0))/30)+1,0),0)</f>
        <v>0</v>
      </c>
      <c r="BO184" s="427">
        <f>-IF(AND(BO$11&gt;=EOMONTH('Construction Budget'!$K40,0),BO$11&lt;=EOMONTH('Construction Budget'!$M40,0)),('Construction Budget'!$G40+SUM($G184:BN184))/ROUND(((EOMONTH('Construction Budget'!$M40,0)-EOMONTH(BO$11,0))/30)+1,0),0)</f>
        <v>0</v>
      </c>
      <c r="BP184" s="427">
        <f>-IF(AND(BP$11&gt;=EOMONTH('Construction Budget'!$K40,0),BP$11&lt;=EOMONTH('Construction Budget'!$M40,0)),('Construction Budget'!$G40+SUM($G184:BO184))/ROUND(((EOMONTH('Construction Budget'!$M40,0)-EOMONTH(BP$11,0))/30)+1,0),0)</f>
        <v>0</v>
      </c>
      <c r="BQ184" s="427">
        <f>-IF(AND(BQ$11&gt;=EOMONTH('Construction Budget'!$K40,0),BQ$11&lt;=EOMONTH('Construction Budget'!$M40,0)),('Construction Budget'!$G40+SUM($G184:BP184))/ROUND(((EOMONTH('Construction Budget'!$M40,0)-EOMONTH(BQ$11,0))/30)+1,0),0)</f>
        <v>0</v>
      </c>
      <c r="BR184" s="427">
        <f>-IF(AND(BR$11&gt;=EOMONTH('Construction Budget'!$K40,0),BR$11&lt;=EOMONTH('Construction Budget'!$M40,0)),('Construction Budget'!$G40+SUM($G184:BQ184))/ROUND(((EOMONTH('Construction Budget'!$M40,0)-EOMONTH(BR$11,0))/30)+1,0),0)</f>
        <v>0</v>
      </c>
      <c r="BS184" s="427">
        <f>-IF(AND(BS$11&gt;=EOMONTH('Construction Budget'!$K40,0),BS$11&lt;=EOMONTH('Construction Budget'!$M40,0)),('Construction Budget'!$G40+SUM($G184:BR184))/ROUND(((EOMONTH('Construction Budget'!$M40,0)-EOMONTH(BS$11,0))/30)+1,0),0)</f>
        <v>0</v>
      </c>
      <c r="BT184" s="427">
        <f>-IF(AND(BT$11&gt;=EOMONTH('Construction Budget'!$K40,0),BT$11&lt;=EOMONTH('Construction Budget'!$M40,0)),('Construction Budget'!$G40+SUM($G184:BS184))/ROUND(((EOMONTH('Construction Budget'!$M40,0)-EOMONTH(BT$11,0))/30)+1,0),0)</f>
        <v>0</v>
      </c>
      <c r="BU184" s="427">
        <f>-IF(AND(BU$11&gt;=EOMONTH('Construction Budget'!$K40,0),BU$11&lt;=EOMONTH('Construction Budget'!$M40,0)),('Construction Budget'!$G40+SUM($G184:BT184))/ROUND(((EOMONTH('Construction Budget'!$M40,0)-EOMONTH(BU$11,0))/30)+1,0),0)</f>
        <v>0</v>
      </c>
      <c r="BV184" s="427">
        <f>-IF(AND(BV$11&gt;=EOMONTH('Construction Budget'!$K40,0),BV$11&lt;=EOMONTH('Construction Budget'!$M40,0)),('Construction Budget'!$G40+SUM($G184:BU184))/ROUND(((EOMONTH('Construction Budget'!$M40,0)-EOMONTH(BV$11,0))/30)+1,0),0)</f>
        <v>0</v>
      </c>
      <c r="BW184" s="427">
        <f>-IF(AND(BW$11&gt;=EOMONTH('Construction Budget'!$K40,0),BW$11&lt;=EOMONTH('Construction Budget'!$M40,0)),('Construction Budget'!$G40+SUM($G184:BV184))/ROUND(((EOMONTH('Construction Budget'!$M40,0)-EOMONTH(BW$11,0))/30)+1,0),0)</f>
        <v>0</v>
      </c>
      <c r="BX184" s="427">
        <f>-IF(AND(BX$11&gt;=EOMONTH('Construction Budget'!$K40,0),BX$11&lt;=EOMONTH('Construction Budget'!$M40,0)),('Construction Budget'!$G40+SUM($G184:BW184))/ROUND(((EOMONTH('Construction Budget'!$M40,0)-EOMONTH(BX$11,0))/30)+1,0),0)</f>
        <v>0</v>
      </c>
      <c r="BY184" s="427">
        <f>-IF(AND(BY$11&gt;=EOMONTH('Construction Budget'!$K40,0),BY$11&lt;=EOMONTH('Construction Budget'!$M40,0)),('Construction Budget'!$G40+SUM($G184:BX184))/ROUND(((EOMONTH('Construction Budget'!$M40,0)-EOMONTH(BY$11,0))/30)+1,0),0)</f>
        <v>0</v>
      </c>
      <c r="BZ184" s="427">
        <f>-IF(AND(BZ$11&gt;=EOMONTH('Construction Budget'!$K40,0),BZ$11&lt;=EOMONTH('Construction Budget'!$M40,0)),('Construction Budget'!$G40+SUM($G184:BY184))/ROUND(((EOMONTH('Construction Budget'!$M40,0)-EOMONTH(BZ$11,0))/30)+1,0),0)</f>
        <v>0</v>
      </c>
      <c r="CA184" s="427">
        <f>-IF(AND(CA$11&gt;=EOMONTH('Construction Budget'!$K40,0),CA$11&lt;=EOMONTH('Construction Budget'!$M40,0)),('Construction Budget'!$G40+SUM($G184:BZ184))/ROUND(((EOMONTH('Construction Budget'!$M40,0)-EOMONTH(CA$11,0))/30)+1,0),0)</f>
        <v>0</v>
      </c>
      <c r="CB184" s="427">
        <f>-IF(AND(CB$11&gt;=EOMONTH('Construction Budget'!$K40,0),CB$11&lt;=EOMONTH('Construction Budget'!$M40,0)),('Construction Budget'!$G40+SUM($G184:CA184))/ROUND(((EOMONTH('Construction Budget'!$M40,0)-EOMONTH(CB$11,0))/30)+1,0),0)</f>
        <v>0</v>
      </c>
      <c r="CC184" s="427">
        <f>-IF(AND(CC$11&gt;=EOMONTH('Construction Budget'!$K40,0),CC$11&lt;=EOMONTH('Construction Budget'!$M40,0)),('Construction Budget'!$G40+SUM($G184:CB184))/ROUND(((EOMONTH('Construction Budget'!$M40,0)-EOMONTH(CC$11,0))/30)+1,0),0)</f>
        <v>0</v>
      </c>
      <c r="CD184" s="427">
        <f>-IF(AND(CD$11&gt;=EOMONTH('Construction Budget'!$K40,0),CD$11&lt;=EOMONTH('Construction Budget'!$M40,0)),('Construction Budget'!$G40+SUM($G184:CC184))/ROUND(((EOMONTH('Construction Budget'!$M40,0)-EOMONTH(CD$11,0))/30)+1,0),0)</f>
        <v>0</v>
      </c>
      <c r="CE184" s="427">
        <f>-IF(AND(CE$11&gt;=EOMONTH('Construction Budget'!$K40,0),CE$11&lt;=EOMONTH('Construction Budget'!$M40,0)),('Construction Budget'!$G40+SUM($G184:CD184))/ROUND(((EOMONTH('Construction Budget'!$M40,0)-EOMONTH(CE$11,0))/30)+1,0),0)</f>
        <v>0</v>
      </c>
      <c r="CF184" s="427">
        <f>-IF(AND(CF$11&gt;=EOMONTH('Construction Budget'!$K40,0),CF$11&lt;=EOMONTH('Construction Budget'!$M40,0)),('Construction Budget'!$G40+SUM($G184:CE184))/ROUND(((EOMONTH('Construction Budget'!$M40,0)-EOMONTH(CF$11,0))/30)+1,0),0)</f>
        <v>0</v>
      </c>
      <c r="CG184" s="427">
        <f>-IF(AND(CG$11&gt;=EOMONTH('Construction Budget'!$K40,0),CG$11&lt;=EOMONTH('Construction Budget'!$M40,0)),('Construction Budget'!$G40+SUM($G184:CF184))/ROUND(((EOMONTH('Construction Budget'!$M40,0)-EOMONTH(CG$11,0))/30)+1,0),0)</f>
        <v>0</v>
      </c>
      <c r="CH184" s="427">
        <f>-IF(AND(CH$11&gt;=EOMONTH('Construction Budget'!$K40,0),CH$11&lt;=EOMONTH('Construction Budget'!$M40,0)),('Construction Budget'!$G40+SUM($G184:CG184))/ROUND(((EOMONTH('Construction Budget'!$M40,0)-EOMONTH(CH$11,0))/30)+1,0),0)</f>
        <v>0</v>
      </c>
      <c r="CI184" s="427">
        <f>-IF(AND(CI$11&gt;=EOMONTH('Construction Budget'!$K40,0),CI$11&lt;=EOMONTH('Construction Budget'!$M40,0)),('Construction Budget'!$G40+SUM($G184:CH184))/ROUND(((EOMONTH('Construction Budget'!$M40,0)-EOMONTH(CI$11,0))/30)+1,0),0)</f>
        <v>0</v>
      </c>
      <c r="CJ184" s="427">
        <f>-IF(AND(CJ$11&gt;=EOMONTH('Construction Budget'!$K40,0),CJ$11&lt;=EOMONTH('Construction Budget'!$M40,0)),('Construction Budget'!$G40+SUM($G184:CI184))/ROUND(((EOMONTH('Construction Budget'!$M40,0)-EOMONTH(CJ$11,0))/30)+1,0),0)</f>
        <v>0</v>
      </c>
      <c r="CK184" s="427">
        <f>-IF(AND(CK$11&gt;=EOMONTH('Construction Budget'!$K40,0),CK$11&lt;=EOMONTH('Construction Budget'!$M40,0)),('Construction Budget'!$G40+SUM($G184:CJ184))/ROUND(((EOMONTH('Construction Budget'!$M40,0)-EOMONTH(CK$11,0))/30)+1,0),0)</f>
        <v>0</v>
      </c>
      <c r="CL184" s="427">
        <f>-IF(AND(CL$11&gt;=EOMONTH('Construction Budget'!$K40,0),CL$11&lt;=EOMONTH('Construction Budget'!$M40,0)),('Construction Budget'!$G40+SUM($G184:CK184))/ROUND(((EOMONTH('Construction Budget'!$M40,0)-EOMONTH(CL$11,0))/30)+1,0),0)</f>
        <v>0</v>
      </c>
      <c r="CM184" s="427">
        <f>-IF(AND(CM$11&gt;=EOMONTH('Construction Budget'!$K40,0),CM$11&lt;=EOMONTH('Construction Budget'!$M40,0)),('Construction Budget'!$G40+SUM($G184:CL184))/ROUND(((EOMONTH('Construction Budget'!$M40,0)-EOMONTH(CM$11,0))/30)+1,0),0)</f>
        <v>0</v>
      </c>
      <c r="CN184" s="427">
        <f>-IF(AND(CN$11&gt;=EOMONTH('Construction Budget'!$K40,0),CN$11&lt;=EOMONTH('Construction Budget'!$M40,0)),('Construction Budget'!$G40+SUM($G184:CM184))/ROUND(((EOMONTH('Construction Budget'!$M40,0)-EOMONTH(CN$11,0))/30)+1,0),0)</f>
        <v>0</v>
      </c>
      <c r="CO184" s="427">
        <f>-IF(AND(CO$11&gt;=EOMONTH('Construction Budget'!$K40,0),CO$11&lt;=EOMONTH('Construction Budget'!$M40,0)),('Construction Budget'!$G40+SUM($G184:CN184))/ROUND(((EOMONTH('Construction Budget'!$M40,0)-EOMONTH(CO$11,0))/30)+1,0),0)</f>
        <v>0</v>
      </c>
      <c r="CP184" s="427">
        <f>-IF(AND(CP$11&gt;=EOMONTH('Construction Budget'!$K40,0),CP$11&lt;=EOMONTH('Construction Budget'!$M40,0)),('Construction Budget'!$G40+SUM($G184:CO184))/ROUND(((EOMONTH('Construction Budget'!$M40,0)-EOMONTH(CP$11,0))/30)+1,0),0)</f>
        <v>0</v>
      </c>
      <c r="CQ184" s="427">
        <f>-IF(AND(CQ$11&gt;=EOMONTH('Construction Budget'!$K40,0),CQ$11&lt;=EOMONTH('Construction Budget'!$M40,0)),('Construction Budget'!$G40+SUM($G184:CP184))/ROUND(((EOMONTH('Construction Budget'!$M40,0)-EOMONTH(CQ$11,0))/30)+1,0),0)</f>
        <v>0</v>
      </c>
      <c r="CR184" s="427">
        <f>-IF(AND(CR$11&gt;=EOMONTH('Construction Budget'!$K40,0),CR$11&lt;=EOMONTH('Construction Budget'!$M40,0)),('Construction Budget'!$G40+SUM($G184:CQ184))/ROUND(((EOMONTH('Construction Budget'!$M40,0)-EOMONTH(CR$11,0))/30)+1,0),0)</f>
        <v>0</v>
      </c>
      <c r="CS184" s="427">
        <f>-IF(AND(CS$11&gt;=EOMONTH('Construction Budget'!$K40,0),CS$11&lt;=EOMONTH('Construction Budget'!$M40,0)),('Construction Budget'!$G40+SUM($G184:CR184))/ROUND(((EOMONTH('Construction Budget'!$M40,0)-EOMONTH(CS$11,0))/30)+1,0),0)</f>
        <v>0</v>
      </c>
      <c r="CT184" s="427">
        <f>-IF(AND(CT$11&gt;=EOMONTH('Construction Budget'!$K40,0),CT$11&lt;=EOMONTH('Construction Budget'!$M40,0)),('Construction Budget'!$G40+SUM($G184:CS184))/ROUND(((EOMONTH('Construction Budget'!$M40,0)-EOMONTH(CT$11,0))/30)+1,0),0)</f>
        <v>0</v>
      </c>
      <c r="CU184" s="427">
        <f>-IF(AND(CU$11&gt;=EOMONTH('Construction Budget'!$K40,0),CU$11&lt;=EOMONTH('Construction Budget'!$M40,0)),('Construction Budget'!$G40+SUM($G184:CT184))/ROUND(((EOMONTH('Construction Budget'!$M40,0)-EOMONTH(CU$11,0))/30)+1,0),0)</f>
        <v>0</v>
      </c>
      <c r="CV184" s="427">
        <f>-IF(AND(CV$11&gt;=EOMONTH('Construction Budget'!$K40,0),CV$11&lt;=EOMONTH('Construction Budget'!$M40,0)),('Construction Budget'!$G40+SUM($G184:CU184))/ROUND(((EOMONTH('Construction Budget'!$M40,0)-EOMONTH(CV$11,0))/30)+1,0),0)</f>
        <v>0</v>
      </c>
      <c r="CW184" s="427">
        <f>-IF(AND(CW$11&gt;=EOMONTH('Construction Budget'!$K40,0),CW$11&lt;=EOMONTH('Construction Budget'!$M40,0)),('Construction Budget'!$G40+SUM($G184:CV184))/ROUND(((EOMONTH('Construction Budget'!$M40,0)-EOMONTH(CW$11,0))/30)+1,0),0)</f>
        <v>0</v>
      </c>
      <c r="CX184" s="427">
        <f>-IF(AND(CX$11&gt;=EOMONTH('Construction Budget'!$K40,0),CX$11&lt;=EOMONTH('Construction Budget'!$M40,0)),('Construction Budget'!$G40+SUM($G184:CW184))/ROUND(((EOMONTH('Construction Budget'!$M40,0)-EOMONTH(CX$11,0))/30)+1,0),0)</f>
        <v>0</v>
      </c>
      <c r="CY184" s="427">
        <f>-IF(AND(CY$11&gt;=EOMONTH('Construction Budget'!$K40,0),CY$11&lt;=EOMONTH('Construction Budget'!$M40,0)),('Construction Budget'!$G40+SUM($G184:CX184))/ROUND(((EOMONTH('Construction Budget'!$M40,0)-EOMONTH(CY$11,0))/30)+1,0),0)</f>
        <v>0</v>
      </c>
      <c r="CZ184" s="427">
        <f>-IF(AND(CZ$11&gt;=EOMONTH('Construction Budget'!$K40,0),CZ$11&lt;=EOMONTH('Construction Budget'!$M40,0)),('Construction Budget'!$G40+SUM($G184:CY184))/ROUND(((EOMONTH('Construction Budget'!$M40,0)-EOMONTH(CZ$11,0))/30)+1,0),0)</f>
        <v>0</v>
      </c>
      <c r="DA184" s="427">
        <f>-IF(AND(DA$11&gt;=EOMONTH('Construction Budget'!$K40,0),DA$11&lt;=EOMONTH('Construction Budget'!$M40,0)),('Construction Budget'!$G40+SUM($G184:CZ184))/ROUND(((EOMONTH('Construction Budget'!$M40,0)-EOMONTH(DA$11,0))/30)+1,0),0)</f>
        <v>0</v>
      </c>
      <c r="DB184" s="427">
        <f>-IF(AND(DB$11&gt;=EOMONTH('Construction Budget'!$K40,0),DB$11&lt;=EOMONTH('Construction Budget'!$M40,0)),('Construction Budget'!$G40+SUM($G184:DA184))/ROUND(((EOMONTH('Construction Budget'!$M40,0)-EOMONTH(DB$11,0))/30)+1,0),0)</f>
        <v>0</v>
      </c>
      <c r="DC184" s="427">
        <f>-IF(AND(DC$11&gt;=EOMONTH('Construction Budget'!$K40,0),DC$11&lt;=EOMONTH('Construction Budget'!$M40,0)),('Construction Budget'!$G40+SUM($G184:DB184))/ROUND(((EOMONTH('Construction Budget'!$M40,0)-EOMONTH(DC$11,0))/30)+1,0),0)</f>
        <v>0</v>
      </c>
      <c r="DD184" s="427">
        <f>-IF(AND(DD$11&gt;=EOMONTH('Construction Budget'!$K40,0),DD$11&lt;=EOMONTH('Construction Budget'!$M40,0)),('Construction Budget'!$G40+SUM($G184:DC184))/ROUND(((EOMONTH('Construction Budget'!$M40,0)-EOMONTH(DD$11,0))/30)+1,0),0)</f>
        <v>0</v>
      </c>
      <c r="DE184" s="427">
        <f>-IF(AND(DE$11&gt;=EOMONTH('Construction Budget'!$K40,0),DE$11&lt;=EOMONTH('Construction Budget'!$M40,0)),('Construction Budget'!$G40+SUM($G184:DD184))/ROUND(((EOMONTH('Construction Budget'!$M40,0)-EOMONTH(DE$11,0))/30)+1,0),0)</f>
        <v>0</v>
      </c>
      <c r="DF184" s="427">
        <f>-IF(AND(DF$11&gt;=EOMONTH('Construction Budget'!$K40,0),DF$11&lt;=EOMONTH('Construction Budget'!$M40,0)),('Construction Budget'!$G40+SUM($G184:DE184))/ROUND(((EOMONTH('Construction Budget'!$M40,0)-EOMONTH(DF$11,0))/30)+1,0),0)</f>
        <v>0</v>
      </c>
      <c r="DG184" s="427">
        <f>-IF(AND(DG$11&gt;=EOMONTH('Construction Budget'!$K40,0),DG$11&lt;=EOMONTH('Construction Budget'!$M40,0)),('Construction Budget'!$G40+SUM($G184:DF184))/ROUND(((EOMONTH('Construction Budget'!$M40,0)-EOMONTH(DG$11,0))/30)+1,0),0)</f>
        <v>0</v>
      </c>
      <c r="DH184" s="427">
        <f>-IF(AND(DH$11&gt;=EOMONTH('Construction Budget'!$K40,0),DH$11&lt;=EOMONTH('Construction Budget'!$M40,0)),('Construction Budget'!$G40+SUM($G184:DG184))/ROUND(((EOMONTH('Construction Budget'!$M40,0)-EOMONTH(DH$11,0))/30)+1,0),0)</f>
        <v>0</v>
      </c>
      <c r="DI184" s="427">
        <f>-IF(AND(DI$11&gt;=EOMONTH('Construction Budget'!$K40,0),DI$11&lt;=EOMONTH('Construction Budget'!$M40,0)),('Construction Budget'!$G40+SUM($G184:DH184))/ROUND(((EOMONTH('Construction Budget'!$M40,0)-EOMONTH(DI$11,0))/30)+1,0),0)</f>
        <v>0</v>
      </c>
      <c r="DJ184" s="427">
        <f>-IF(AND(DJ$11&gt;=EOMONTH('Construction Budget'!$K40,0),DJ$11&lt;=EOMONTH('Construction Budget'!$M40,0)),('Construction Budget'!$G40+SUM($G184:DI184))/ROUND(((EOMONTH('Construction Budget'!$M40,0)-EOMONTH(DJ$11,0))/30)+1,0),0)</f>
        <v>0</v>
      </c>
      <c r="DK184" s="427">
        <f>-IF(AND(DK$11&gt;=EOMONTH('Construction Budget'!$K40,0),DK$11&lt;=EOMONTH('Construction Budget'!$M40,0)),('Construction Budget'!$G40+SUM($G184:DJ184))/ROUND(((EOMONTH('Construction Budget'!$M40,0)-EOMONTH(DK$11,0))/30)+1,0),0)</f>
        <v>0</v>
      </c>
      <c r="DL184" s="427">
        <f>-IF(AND(DL$11&gt;=EOMONTH('Construction Budget'!$K40,0),DL$11&lt;=EOMONTH('Construction Budget'!$M40,0)),('Construction Budget'!$G40+SUM($G184:DK184))/ROUND(((EOMONTH('Construction Budget'!$M40,0)-EOMONTH(DL$11,0))/30)+1,0),0)</f>
        <v>0</v>
      </c>
      <c r="DM184" s="427">
        <f>-IF(AND(DM$11&gt;=EOMONTH('Construction Budget'!$K40,0),DM$11&lt;=EOMONTH('Construction Budget'!$M40,0)),('Construction Budget'!$G40+SUM($G184:DL184))/ROUND(((EOMONTH('Construction Budget'!$M40,0)-EOMONTH(DM$11,0))/30)+1,0),0)</f>
        <v>0</v>
      </c>
      <c r="DN184" s="427">
        <f>-IF(AND(DN$11&gt;=EOMONTH('Construction Budget'!$K40,0),DN$11&lt;=EOMONTH('Construction Budget'!$M40,0)),('Construction Budget'!$G40+SUM($G184:DM184))/ROUND(((EOMONTH('Construction Budget'!$M40,0)-EOMONTH(DN$11,0))/30)+1,0),0)</f>
        <v>0</v>
      </c>
      <c r="DO184" s="427">
        <f>-IF(AND(DO$11&gt;=EOMONTH('Construction Budget'!$K40,0),DO$11&lt;=EOMONTH('Construction Budget'!$M40,0)),('Construction Budget'!$G40+SUM($G184:DN184))/ROUND(((EOMONTH('Construction Budget'!$M40,0)-EOMONTH(DO$11,0))/30)+1,0),0)</f>
        <v>0</v>
      </c>
      <c r="DP184" s="427">
        <f>-IF(AND(DP$11&gt;=EOMONTH('Construction Budget'!$K40,0),DP$11&lt;=EOMONTH('Construction Budget'!$M40,0)),('Construction Budget'!$G40+SUM($G184:DO184))/ROUND(((EOMONTH('Construction Budget'!$M40,0)-EOMONTH(DP$11,0))/30)+1,0),0)</f>
        <v>0</v>
      </c>
      <c r="DQ184" s="427">
        <f>-IF(AND(DQ$11&gt;=EOMONTH('Construction Budget'!$K40,0),DQ$11&lt;=EOMONTH('Construction Budget'!$M40,0)),('Construction Budget'!$G40+SUM($G184:DP184))/ROUND(((EOMONTH('Construction Budget'!$M40,0)-EOMONTH(DQ$11,0))/30)+1,0),0)</f>
        <v>0</v>
      </c>
      <c r="DR184" s="427">
        <f>-IF(AND(DR$11&gt;=EOMONTH('Construction Budget'!$K40,0),DR$11&lt;=EOMONTH('Construction Budget'!$M40,0)),('Construction Budget'!$G40+SUM($G184:DQ184))/ROUND(((EOMONTH('Construction Budget'!$M40,0)-EOMONTH(DR$11,0))/30)+1,0),0)</f>
        <v>0</v>
      </c>
      <c r="DS184" s="427">
        <f>-IF(AND(DS$11&gt;=EOMONTH('Construction Budget'!$K40,0),DS$11&lt;=EOMONTH('Construction Budget'!$M40,0)),('Construction Budget'!$G40+SUM($G184:DR184))/ROUND(((EOMONTH('Construction Budget'!$M40,0)-EOMONTH(DS$11,0))/30)+1,0),0)</f>
        <v>0</v>
      </c>
      <c r="DT184" s="427">
        <f>-IF(AND(DT$11&gt;=EOMONTH('Construction Budget'!$K40,0),DT$11&lt;=EOMONTH('Construction Budget'!$M40,0)),('Construction Budget'!$G40+SUM($G184:DS184))/ROUND(((EOMONTH('Construction Budget'!$M40,0)-EOMONTH(DT$11,0))/30)+1,0),0)</f>
        <v>0</v>
      </c>
      <c r="DU184" s="427">
        <f>-IF(AND(DU$11&gt;=EOMONTH('Construction Budget'!$K40,0),DU$11&lt;=EOMONTH('Construction Budget'!$M40,0)),('Construction Budget'!$G40+SUM($G184:DT184))/ROUND(((EOMONTH('Construction Budget'!$M40,0)-EOMONTH(DU$11,0))/30)+1,0),0)</f>
        <v>0</v>
      </c>
      <c r="DV184" s="427">
        <f>-IF(AND(DV$11&gt;=EOMONTH('Construction Budget'!$K40,0),DV$11&lt;=EOMONTH('Construction Budget'!$M40,0)),('Construction Budget'!$G40+SUM($G184:DU184))/ROUND(((EOMONTH('Construction Budget'!$M40,0)-EOMONTH(DV$11,0))/30)+1,0),0)</f>
        <v>0</v>
      </c>
      <c r="DW184" s="427">
        <f>-IF(AND(DW$11&gt;=EOMONTH('Construction Budget'!$K40,0),DW$11&lt;=EOMONTH('Construction Budget'!$M40,0)),('Construction Budget'!$G40+SUM($G184:DV184))/ROUND(((EOMONTH('Construction Budget'!$M40,0)-EOMONTH(DW$11,0))/30)+1,0),0)</f>
        <v>0</v>
      </c>
      <c r="DX184" s="427">
        <f>-IF(AND(DX$11&gt;=EOMONTH('Construction Budget'!$K40,0),DX$11&lt;=EOMONTH('Construction Budget'!$M40,0)),('Construction Budget'!$G40+SUM($G184:DW184))/ROUND(((EOMONTH('Construction Budget'!$M40,0)-EOMONTH(DX$11,0))/30)+1,0),0)</f>
        <v>0</v>
      </c>
      <c r="DY184" s="427">
        <f>-IF(AND(DY$11&gt;=EOMONTH('Construction Budget'!$K40,0),DY$11&lt;=EOMONTH('Construction Budget'!$M40,0)),('Construction Budget'!$G40+SUM($G184:DX184))/ROUND(((EOMONTH('Construction Budget'!$M40,0)-EOMONTH(DY$11,0))/30)+1,0),0)</f>
        <v>0</v>
      </c>
      <c r="DZ184" s="427">
        <f>-IF(AND(DZ$11&gt;=EOMONTH('Construction Budget'!$K40,0),DZ$11&lt;=EOMONTH('Construction Budget'!$M40,0)),('Construction Budget'!$G40+SUM($G184:DY184))/ROUND(((EOMONTH('Construction Budget'!$M40,0)-EOMONTH(DZ$11,0))/30)+1,0),0)</f>
        <v>0</v>
      </c>
      <c r="EA184" s="427">
        <f>-IF(AND(EA$11&gt;=EOMONTH('Construction Budget'!$K40,0),EA$11&lt;=EOMONTH('Construction Budget'!$M40,0)),('Construction Budget'!$G40+SUM($G184:DZ184))/ROUND(((EOMONTH('Construction Budget'!$M40,0)-EOMONTH(EA$11,0))/30)+1,0),0)</f>
        <v>0</v>
      </c>
      <c r="EB184" s="427">
        <f>-IF(AND(EB$11&gt;=EOMONTH('Construction Budget'!$K40,0),EB$11&lt;=EOMONTH('Construction Budget'!$M40,0)),('Construction Budget'!$G40+SUM($G184:EA184))/ROUND(((EOMONTH('Construction Budget'!$M40,0)-EOMONTH(EB$11,0))/30)+1,0),0)</f>
        <v>0</v>
      </c>
      <c r="EC184" s="427">
        <f>-IF(AND(EC$11&gt;=EOMONTH('Construction Budget'!$K40,0),EC$11&lt;=EOMONTH('Construction Budget'!$M40,0)),('Construction Budget'!$G40+SUM($G184:EB184))/ROUND(((EOMONTH('Construction Budget'!$M40,0)-EOMONTH(EC$11,0))/30)+1,0),0)</f>
        <v>0</v>
      </c>
      <c r="ED184" s="427">
        <f>-IF(AND(ED$11&gt;=EOMONTH('Construction Budget'!$K40,0),ED$11&lt;=EOMONTH('Construction Budget'!$M40,0)),('Construction Budget'!$G40+SUM($G184:EC184))/ROUND(((EOMONTH('Construction Budget'!$M40,0)-EOMONTH(ED$11,0))/30)+1,0),0)</f>
        <v>0</v>
      </c>
      <c r="EE184" s="427">
        <f>-IF(AND(EE$11&gt;=EOMONTH('Construction Budget'!$K40,0),EE$11&lt;=EOMONTH('Construction Budget'!$M40,0)),('Construction Budget'!$G40+SUM($G184:ED184))/ROUND(((EOMONTH('Construction Budget'!$M40,0)-EOMONTH(EE$11,0))/30)+1,0),0)</f>
        <v>0</v>
      </c>
      <c r="EF184" s="427">
        <f>-IF(AND(EF$11&gt;=EOMONTH('Construction Budget'!$K40,0),EF$11&lt;=EOMONTH('Construction Budget'!$M40,0)),('Construction Budget'!$G40+SUM($G184:EE184))/ROUND(((EOMONTH('Construction Budget'!$M40,0)-EOMONTH(EF$11,0))/30)+1,0),0)</f>
        <v>0</v>
      </c>
      <c r="EG184" s="427">
        <f>-IF(AND(EG$11&gt;=EOMONTH('Construction Budget'!$K40,0),EG$11&lt;=EOMONTH('Construction Budget'!$M40,0)),('Construction Budget'!$G40+SUM($G184:EF184))/ROUND(((EOMONTH('Construction Budget'!$M40,0)-EOMONTH(EG$11,0))/30)+1,0),0)</f>
        <v>0</v>
      </c>
      <c r="EH184" s="427">
        <f>-IF(AND(EH$11&gt;=EOMONTH('Construction Budget'!$K40,0),EH$11&lt;=EOMONTH('Construction Budget'!$M40,0)),('Construction Budget'!$G40+SUM($G184:EG184))/ROUND(((EOMONTH('Construction Budget'!$M40,0)-EOMONTH(EH$11,0))/30)+1,0),0)</f>
        <v>0</v>
      </c>
      <c r="EI184" s="427">
        <f>-IF(AND(EI$11&gt;=EOMONTH('Construction Budget'!$K40,0),EI$11&lt;=EOMONTH('Construction Budget'!$M40,0)),('Construction Budget'!$G40+SUM($G184:EH184))/ROUND(((EOMONTH('Construction Budget'!$M40,0)-EOMONTH(EI$11,0))/30)+1,0),0)</f>
        <v>0</v>
      </c>
      <c r="EJ184" s="427">
        <f>-IF(AND(EJ$11&gt;=EOMONTH('Construction Budget'!$K40,0),EJ$11&lt;=EOMONTH('Construction Budget'!$M40,0)),('Construction Budget'!$G40+SUM($G184:EI184))/ROUND(((EOMONTH('Construction Budget'!$M40,0)-EOMONTH(EJ$11,0))/30)+1,0),0)</f>
        <v>0</v>
      </c>
      <c r="EK184" s="427">
        <f>-IF(AND(EK$11&gt;=EOMONTH('Construction Budget'!$K40,0),EK$11&lt;=EOMONTH('Construction Budget'!$M40,0)),('Construction Budget'!$G40+SUM($G184:EJ184))/ROUND(((EOMONTH('Construction Budget'!$M40,0)-EOMONTH(EK$11,0))/30)+1,0),0)</f>
        <v>0</v>
      </c>
      <c r="EL184" s="427">
        <f>-IF(AND(EL$11&gt;=EOMONTH('Construction Budget'!$K40,0),EL$11&lt;=EOMONTH('Construction Budget'!$M40,0)),('Construction Budget'!$G40+SUM($G184:EK184))/ROUND(((EOMONTH('Construction Budget'!$M40,0)-EOMONTH(EL$11,0))/30)+1,0),0)</f>
        <v>0</v>
      </c>
      <c r="EM184" s="427">
        <f>-IF(AND(EM$11&gt;=EOMONTH('Construction Budget'!$K40,0),EM$11&lt;=EOMONTH('Construction Budget'!$M40,0)),('Construction Budget'!$G40+SUM($G184:EL184))/ROUND(((EOMONTH('Construction Budget'!$M40,0)-EOMONTH(EM$11,0))/30)+1,0),0)</f>
        <v>0</v>
      </c>
      <c r="EN184" s="427">
        <f>-IF(AND(EN$11&gt;=EOMONTH('Construction Budget'!$K40,0),EN$11&lt;=EOMONTH('Construction Budget'!$M40,0)),('Construction Budget'!$G40+SUM($G184:EM184))/ROUND(((EOMONTH('Construction Budget'!$M40,0)-EOMONTH(EN$11,0))/30)+1,0),0)</f>
        <v>0</v>
      </c>
      <c r="EO184" s="427">
        <f>-IF(AND(EO$11&gt;=EOMONTH('Construction Budget'!$K40,0),EO$11&lt;=EOMONTH('Construction Budget'!$M40,0)),('Construction Budget'!$G40+SUM($G184:EN184))/ROUND(((EOMONTH('Construction Budget'!$M40,0)-EOMONTH(EO$11,0))/30)+1,0),0)</f>
        <v>0</v>
      </c>
      <c r="EP184" s="427">
        <f>-IF(AND(EP$11&gt;=EOMONTH('Construction Budget'!$K40,0),EP$11&lt;=EOMONTH('Construction Budget'!$M40,0)),('Construction Budget'!$G40+SUM($G184:EO184))/ROUND(((EOMONTH('Construction Budget'!$M40,0)-EOMONTH(EP$11,0))/30)+1,0),0)</f>
        <v>0</v>
      </c>
      <c r="EQ184" s="427">
        <f>-IF(AND(EQ$11&gt;=EOMONTH('Construction Budget'!$K40,0),EQ$11&lt;=EOMONTH('Construction Budget'!$M40,0)),('Construction Budget'!$G40+SUM($G184:EP184))/ROUND(((EOMONTH('Construction Budget'!$M40,0)-EOMONTH(EQ$11,0))/30)+1,0),0)</f>
        <v>0</v>
      </c>
      <c r="ER184" s="427">
        <f>-IF(AND(ER$11&gt;=EOMONTH('Construction Budget'!$K40,0),ER$11&lt;=EOMONTH('Construction Budget'!$M40,0)),('Construction Budget'!$G40+SUM($G184:EQ184))/ROUND(((EOMONTH('Construction Budget'!$M40,0)-EOMONTH(ER$11,0))/30)+1,0),0)</f>
        <v>0</v>
      </c>
      <c r="ES184" s="427">
        <f>-IF(AND(ES$11&gt;=EOMONTH('Construction Budget'!$K40,0),ES$11&lt;=EOMONTH('Construction Budget'!$M40,0)),('Construction Budget'!$G40+SUM($G184:ER184))/ROUND(((EOMONTH('Construction Budget'!$M40,0)-EOMONTH(ES$11,0))/30)+1,0),0)</f>
        <v>0</v>
      </c>
      <c r="ET184" s="427">
        <f>-IF(AND(ET$11&gt;=EOMONTH('Construction Budget'!$K40,0),ET$11&lt;=EOMONTH('Construction Budget'!$M40,0)),('Construction Budget'!$G40+SUM($G184:ES184))/ROUND(((EOMONTH('Construction Budget'!$M40,0)-EOMONTH(ET$11,0))/30)+1,0),0)</f>
        <v>0</v>
      </c>
      <c r="EU184" s="427">
        <f>-IF(AND(EU$11&gt;=EOMONTH('Construction Budget'!$K40,0),EU$11&lt;=EOMONTH('Construction Budget'!$M40,0)),('Construction Budget'!$G40+SUM($G184:ET184))/ROUND(((EOMONTH('Construction Budget'!$M40,0)-EOMONTH(EU$11,0))/30)+1,0),0)</f>
        <v>0</v>
      </c>
      <c r="EV184" s="427">
        <f>-IF(AND(EV$11&gt;=EOMONTH('Construction Budget'!$K40,0),EV$11&lt;=EOMONTH('Construction Budget'!$M40,0)),('Construction Budget'!$G40+SUM($G184:EU184))/ROUND(((EOMONTH('Construction Budget'!$M40,0)-EOMONTH(EV$11,0))/30)+1,0),0)</f>
        <v>0</v>
      </c>
      <c r="EW184" s="427">
        <f>-IF(AND(EW$11&gt;=EOMONTH('Construction Budget'!$K40,0),EW$11&lt;=EOMONTH('Construction Budget'!$M40,0)),('Construction Budget'!$G40+SUM($G184:EV184))/ROUND(((EOMONTH('Construction Budget'!$M40,0)-EOMONTH(EW$11,0))/30)+1,0),0)</f>
        <v>0</v>
      </c>
      <c r="EX184" s="427">
        <f>-IF(AND(EX$11&gt;=EOMONTH('Construction Budget'!$K40,0),EX$11&lt;=EOMONTH('Construction Budget'!$M40,0)),('Construction Budget'!$G40+SUM($G184:EW184))/ROUND(((EOMONTH('Construction Budget'!$M40,0)-EOMONTH(EX$11,0))/30)+1,0),0)</f>
        <v>0</v>
      </c>
      <c r="EY184" s="427">
        <f>-IF(AND(EY$11&gt;=EOMONTH('Construction Budget'!$K40,0),EY$11&lt;=EOMONTH('Construction Budget'!$M40,0)),('Construction Budget'!$G40+SUM($G184:EX184))/ROUND(((EOMONTH('Construction Budget'!$M40,0)-EOMONTH(EY$11,0))/30)+1,0),0)</f>
        <v>0</v>
      </c>
      <c r="EZ184" s="427">
        <f>-IF(AND(EZ$11&gt;=EOMONTH('Construction Budget'!$K40,0),EZ$11&lt;=EOMONTH('Construction Budget'!$M40,0)),('Construction Budget'!$G40+SUM($G184:EY184))/ROUND(((EOMONTH('Construction Budget'!$M40,0)-EOMONTH(EZ$11,0))/30)+1,0),0)</f>
        <v>0</v>
      </c>
      <c r="FA184" s="427">
        <f>-IF(AND(FA$11&gt;=EOMONTH('Construction Budget'!$K40,0),FA$11&lt;=EOMONTH('Construction Budget'!$M40,0)),('Construction Budget'!$G40+SUM($G184:EZ184))/ROUND(((EOMONTH('Construction Budget'!$M40,0)-EOMONTH(FA$11,0))/30)+1,0),0)</f>
        <v>0</v>
      </c>
      <c r="FB184" s="427">
        <f>-IF(AND(FB$11&gt;=EOMONTH('Construction Budget'!$K40,0),FB$11&lt;=EOMONTH('Construction Budget'!$M40,0)),('Construction Budget'!$G40+SUM($G184:FA184))/ROUND(((EOMONTH('Construction Budget'!$M40,0)-EOMONTH(FB$11,0))/30)+1,0),0)</f>
        <v>0</v>
      </c>
      <c r="FC184" s="427">
        <f>-IF(AND(FC$11&gt;=EOMONTH('Construction Budget'!$K40,0),FC$11&lt;=EOMONTH('Construction Budget'!$M40,0)),('Construction Budget'!$G40+SUM($G184:FB184))/ROUND(((EOMONTH('Construction Budget'!$M40,0)-EOMONTH(FC$11,0))/30)+1,0),0)</f>
        <v>0</v>
      </c>
      <c r="FD184" s="427">
        <f>-IF(AND(FD$11&gt;=EOMONTH('Construction Budget'!$K40,0),FD$11&lt;=EOMONTH('Construction Budget'!$M40,0)),('Construction Budget'!$G40+SUM($G184:FC184))/ROUND(((EOMONTH('Construction Budget'!$M40,0)-EOMONTH(FD$11,0))/30)+1,0),0)</f>
        <v>0</v>
      </c>
      <c r="FE184" s="427">
        <f>-IF(AND(FE$11&gt;=EOMONTH('Construction Budget'!$K40,0),FE$11&lt;=EOMONTH('Construction Budget'!$M40,0)),('Construction Budget'!$G40+SUM($G184:FD184))/ROUND(((EOMONTH('Construction Budget'!$M40,0)-EOMONTH(FE$11,0))/30)+1,0),0)</f>
        <v>0</v>
      </c>
      <c r="FF184" s="427">
        <f>-IF(AND(FF$11&gt;=EOMONTH('Construction Budget'!$K40,0),FF$11&lt;=EOMONTH('Construction Budget'!$M40,0)),('Construction Budget'!$G40+SUM($G184:FE184))/ROUND(((EOMONTH('Construction Budget'!$M40,0)-EOMONTH(FF$11,0))/30)+1,0),0)</f>
        <v>0</v>
      </c>
      <c r="FG184" s="427">
        <f>-IF(AND(FG$11&gt;=EOMONTH('Construction Budget'!$K40,0),FG$11&lt;=EOMONTH('Construction Budget'!$M40,0)),('Construction Budget'!$G40+SUM($G184:FF184))/ROUND(((EOMONTH('Construction Budget'!$M40,0)-EOMONTH(FG$11,0))/30)+1,0),0)</f>
        <v>0</v>
      </c>
      <c r="FH184" s="427">
        <f>-IF(AND(FH$11&gt;=EOMONTH('Construction Budget'!$K40,0),FH$11&lt;=EOMONTH('Construction Budget'!$M40,0)),('Construction Budget'!$G40+SUM($G184:FG184))/ROUND(((EOMONTH('Construction Budget'!$M40,0)-EOMONTH(FH$11,0))/30)+1,0),0)</f>
        <v>0</v>
      </c>
      <c r="FI184" s="427">
        <f>-IF(AND(FI$11&gt;=EOMONTH('Construction Budget'!$K40,0),FI$11&lt;=EOMONTH('Construction Budget'!$M40,0)),('Construction Budget'!$G40+SUM($G184:FH184))/ROUND(((EOMONTH('Construction Budget'!$M40,0)-EOMONTH(FI$11,0))/30)+1,0),0)</f>
        <v>0</v>
      </c>
      <c r="FJ184" s="427">
        <f>-IF(AND(FJ$11&gt;=EOMONTH('Construction Budget'!$K40,0),FJ$11&lt;=EOMONTH('Construction Budget'!$M40,0)),('Construction Budget'!$G40+SUM($G184:FI184))/ROUND(((EOMONTH('Construction Budget'!$M40,0)-EOMONTH(FJ$11,0))/30)+1,0),0)</f>
        <v>0</v>
      </c>
      <c r="FK184" s="427">
        <f>-IF(AND(FK$11&gt;=EOMONTH('Construction Budget'!$K40,0),FK$11&lt;=EOMONTH('Construction Budget'!$M40,0)),('Construction Budget'!$G40+SUM($G184:FJ184))/ROUND(((EOMONTH('Construction Budget'!$M40,0)-EOMONTH(FK$11,0))/30)+1,0),0)</f>
        <v>0</v>
      </c>
      <c r="FL184" s="427">
        <f>-IF(AND(FL$11&gt;=EOMONTH('Construction Budget'!$K40,0),FL$11&lt;=EOMONTH('Construction Budget'!$M40,0)),('Construction Budget'!$G40+SUM($G184:FK184))/ROUND(((EOMONTH('Construction Budget'!$M40,0)-EOMONTH(FL$11,0))/30)+1,0),0)</f>
        <v>0</v>
      </c>
      <c r="FM184" s="427">
        <f>-IF(AND(FM$11&gt;=EOMONTH('Construction Budget'!$K40,0),FM$11&lt;=EOMONTH('Construction Budget'!$M40,0)),('Construction Budget'!$G40+SUM($G184:FL184))/ROUND(((EOMONTH('Construction Budget'!$M40,0)-EOMONTH(FM$11,0))/30)+1,0),0)</f>
        <v>0</v>
      </c>
      <c r="FN184" s="427">
        <f>-IF(AND(FN$11&gt;=EOMONTH('Construction Budget'!$K40,0),FN$11&lt;=EOMONTH('Construction Budget'!$M40,0)),('Construction Budget'!$G40+SUM($G184:FM184))/ROUND(((EOMONTH('Construction Budget'!$M40,0)-EOMONTH(FN$11,0))/30)+1,0),0)</f>
        <v>0</v>
      </c>
      <c r="FO184" s="427">
        <f>-IF(AND(FO$11&gt;=EOMONTH('Construction Budget'!$K40,0),FO$11&lt;=EOMONTH('Construction Budget'!$M40,0)),('Construction Budget'!$G40+SUM($G184:FN184))/ROUND(((EOMONTH('Construction Budget'!$M40,0)-EOMONTH(FO$11,0))/30)+1,0),0)</f>
        <v>0</v>
      </c>
      <c r="FP184" s="427">
        <f>-IF(AND(FP$11&gt;=EOMONTH('Construction Budget'!$K40,0),FP$11&lt;=EOMONTH('Construction Budget'!$M40,0)),('Construction Budget'!$G40+SUM($G184:FO184))/ROUND(((EOMONTH('Construction Budget'!$M40,0)-EOMONTH(FP$11,0))/30)+1,0),0)</f>
        <v>0</v>
      </c>
      <c r="FQ184" s="427">
        <f>-IF(AND(FQ$11&gt;=EOMONTH('Construction Budget'!$K40,0),FQ$11&lt;=EOMONTH('Construction Budget'!$M40,0)),('Construction Budget'!$G40+SUM($G184:FP184))/ROUND(((EOMONTH('Construction Budget'!$M40,0)-EOMONTH(FQ$11,0))/30)+1,0),0)</f>
        <v>0</v>
      </c>
      <c r="FR184" s="427">
        <f>-IF(AND(FR$11&gt;=EOMONTH('Construction Budget'!$K40,0),FR$11&lt;=EOMONTH('Construction Budget'!$M40,0)),('Construction Budget'!$G40+SUM($G184:FQ184))/ROUND(((EOMONTH('Construction Budget'!$M40,0)-EOMONTH(FR$11,0))/30)+1,0),0)</f>
        <v>0</v>
      </c>
      <c r="FS184" s="427">
        <f>-IF(AND(FS$11&gt;=EOMONTH('Construction Budget'!$K40,0),FS$11&lt;=EOMONTH('Construction Budget'!$M40,0)),('Construction Budget'!$G40+SUM($G184:FR184))/ROUND(((EOMONTH('Construction Budget'!$M40,0)-EOMONTH(FS$11,0))/30)+1,0),0)</f>
        <v>0</v>
      </c>
      <c r="FT184" s="427">
        <f>-IF(AND(FT$11&gt;=EOMONTH('Construction Budget'!$K40,0),FT$11&lt;=EOMONTH('Construction Budget'!$M40,0)),('Construction Budget'!$G40+SUM($G184:FS184))/ROUND(((EOMONTH('Construction Budget'!$M40,0)-EOMONTH(FT$11,0))/30)+1,0),0)</f>
        <v>0</v>
      </c>
      <c r="FU184" s="43"/>
      <c r="FV184" s="34"/>
      <c r="FW184" s="34"/>
      <c r="FX184" s="34"/>
      <c r="FY184" s="34"/>
      <c r="FZ184" s="34"/>
    </row>
    <row r="185" spans="1:182" s="89" customFormat="1" ht="13.5" hidden="1" outlineLevel="1" x14ac:dyDescent="0.25">
      <c r="A185" s="498"/>
      <c r="B185" s="128" t="str">
        <f>'Construction Budget'!B41</f>
        <v>Blank</v>
      </c>
      <c r="C185" s="34"/>
      <c r="D185" s="34"/>
      <c r="E185" s="34"/>
      <c r="F185" s="434">
        <f t="shared" si="232"/>
        <v>0</v>
      </c>
      <c r="G185" s="34"/>
      <c r="H185" s="427">
        <f>-IF(AND(H$11&gt;=EOMONTH('Construction Budget'!$K41,0),H$11&lt;=EOMONTH('Construction Budget'!$M41,0)),('Construction Budget'!$G41+SUM($G185:G185))/ROUND(((EOMONTH('Construction Budget'!$M41,0)-EOMONTH(H$11,0))/30)+1,0),0)</f>
        <v>0</v>
      </c>
      <c r="I185" s="427">
        <f>-IF(AND(I$11&gt;=EOMONTH('Construction Budget'!$K41,0),I$11&lt;=EOMONTH('Construction Budget'!$M41,0)),('Construction Budget'!$G41+SUM($G185:H185))/ROUND(((EOMONTH('Construction Budget'!$M41,0)-EOMONTH(I$11,0))/30)+1,0),0)</f>
        <v>0</v>
      </c>
      <c r="J185" s="427">
        <f>-IF(AND(J$11&gt;=EOMONTH('Construction Budget'!$K41,0),J$11&lt;=EOMONTH('Construction Budget'!$M41,0)),('Construction Budget'!$G41+SUM($G185:I185))/ROUND(((EOMONTH('Construction Budget'!$M41,0)-EOMONTH(J$11,0))/30)+1,0),0)</f>
        <v>0</v>
      </c>
      <c r="K185" s="427">
        <f>-IF(AND(K$11&gt;=EOMONTH('Construction Budget'!$K41,0),K$11&lt;=EOMONTH('Construction Budget'!$M41,0)),('Construction Budget'!$G41+SUM($G185:J185))/ROUND(((EOMONTH('Construction Budget'!$M41,0)-EOMONTH(K$11,0))/30)+1,0),0)</f>
        <v>0</v>
      </c>
      <c r="L185" s="427">
        <f>-IF(AND(L$11&gt;=EOMONTH('Construction Budget'!$K41,0),L$11&lt;=EOMONTH('Construction Budget'!$M41,0)),('Construction Budget'!$G41+SUM($G185:K185))/ROUND(((EOMONTH('Construction Budget'!$M41,0)-EOMONTH(L$11,0))/30)+1,0),0)</f>
        <v>0</v>
      </c>
      <c r="M185" s="427">
        <f>-IF(AND(M$11&gt;=EOMONTH('Construction Budget'!$K41,0),M$11&lt;=EOMONTH('Construction Budget'!$M41,0)),('Construction Budget'!$G41+SUM($G185:L185))/ROUND(((EOMONTH('Construction Budget'!$M41,0)-EOMONTH(M$11,0))/30)+1,0),0)</f>
        <v>0</v>
      </c>
      <c r="N185" s="427">
        <f>-IF(AND(N$11&gt;=EOMONTH('Construction Budget'!$K41,0),N$11&lt;=EOMONTH('Construction Budget'!$M41,0)),('Construction Budget'!$G41+SUM($G185:M185))/ROUND(((EOMONTH('Construction Budget'!$M41,0)-EOMONTH(N$11,0))/30)+1,0),0)</f>
        <v>0</v>
      </c>
      <c r="O185" s="427">
        <f>-IF(AND(O$11&gt;=EOMONTH('Construction Budget'!$K41,0),O$11&lt;=EOMONTH('Construction Budget'!$M41,0)),('Construction Budget'!$G41+SUM($G185:N185))/ROUND(((EOMONTH('Construction Budget'!$M41,0)-EOMONTH(O$11,0))/30)+1,0),0)</f>
        <v>0</v>
      </c>
      <c r="P185" s="427">
        <f>-IF(AND(P$11&gt;=EOMONTH('Construction Budget'!$K41,0),P$11&lt;=EOMONTH('Construction Budget'!$M41,0)),('Construction Budget'!$G41+SUM($G185:O185))/ROUND(((EOMONTH('Construction Budget'!$M41,0)-EOMONTH(P$11,0))/30)+1,0),0)</f>
        <v>0</v>
      </c>
      <c r="Q185" s="427">
        <f>-IF(AND(Q$11&gt;=EOMONTH('Construction Budget'!$K41,0),Q$11&lt;=EOMONTH('Construction Budget'!$M41,0)),('Construction Budget'!$G41+SUM($G185:P185))/ROUND(((EOMONTH('Construction Budget'!$M41,0)-EOMONTH(Q$11,0))/30)+1,0),0)</f>
        <v>0</v>
      </c>
      <c r="R185" s="427">
        <f>-IF(AND(R$11&gt;=EOMONTH('Construction Budget'!$K41,0),R$11&lt;=EOMONTH('Construction Budget'!$M41,0)),('Construction Budget'!$G41+SUM($G185:Q185))/ROUND(((EOMONTH('Construction Budget'!$M41,0)-EOMONTH(R$11,0))/30)+1,0),0)</f>
        <v>0</v>
      </c>
      <c r="S185" s="427">
        <f>-IF(AND(S$11&gt;=EOMONTH('Construction Budget'!$K41,0),S$11&lt;=EOMONTH('Construction Budget'!$M41,0)),('Construction Budget'!$G41+SUM($G185:R185))/ROUND(((EOMONTH('Construction Budget'!$M41,0)-EOMONTH(S$11,0))/30)+1,0),0)</f>
        <v>0</v>
      </c>
      <c r="T185" s="427">
        <f>-IF(AND(T$11&gt;=EOMONTH('Construction Budget'!$K41,0),T$11&lt;=EOMONTH('Construction Budget'!$M41,0)),('Construction Budget'!$G41+SUM($G185:S185))/ROUND(((EOMONTH('Construction Budget'!$M41,0)-EOMONTH(T$11,0))/30)+1,0),0)</f>
        <v>0</v>
      </c>
      <c r="U185" s="427">
        <f>-IF(AND(U$11&gt;=EOMONTH('Construction Budget'!$K41,0),U$11&lt;=EOMONTH('Construction Budget'!$M41,0)),('Construction Budget'!$G41+SUM($G185:T185))/ROUND(((EOMONTH('Construction Budget'!$M41,0)-EOMONTH(U$11,0))/30)+1,0),0)</f>
        <v>0</v>
      </c>
      <c r="V185" s="427">
        <f>-IF(AND(V$11&gt;=EOMONTH('Construction Budget'!$K41,0),V$11&lt;=EOMONTH('Construction Budget'!$M41,0)),('Construction Budget'!$G41+SUM($G185:U185))/ROUND(((EOMONTH('Construction Budget'!$M41,0)-EOMONTH(V$11,0))/30)+1,0),0)</f>
        <v>0</v>
      </c>
      <c r="W185" s="427">
        <f>-IF(AND(W$11&gt;=EOMONTH('Construction Budget'!$K41,0),W$11&lt;=EOMONTH('Construction Budget'!$M41,0)),('Construction Budget'!$G41+SUM($G185:V185))/ROUND(((EOMONTH('Construction Budget'!$M41,0)-EOMONTH(W$11,0))/30)+1,0),0)</f>
        <v>0</v>
      </c>
      <c r="X185" s="427">
        <f>-IF(AND(X$11&gt;=EOMONTH('Construction Budget'!$K41,0),X$11&lt;=EOMONTH('Construction Budget'!$M41,0)),('Construction Budget'!$G41+SUM($G185:W185))/ROUND(((EOMONTH('Construction Budget'!$M41,0)-EOMONTH(X$11,0))/30)+1,0),0)</f>
        <v>0</v>
      </c>
      <c r="Y185" s="427">
        <f>-IF(AND(Y$11&gt;=EOMONTH('Construction Budget'!$K41,0),Y$11&lt;=EOMONTH('Construction Budget'!$M41,0)),('Construction Budget'!$G41+SUM($G185:X185))/ROUND(((EOMONTH('Construction Budget'!$M41,0)-EOMONTH(Y$11,0))/30)+1,0),0)</f>
        <v>0</v>
      </c>
      <c r="Z185" s="427">
        <f>-IF(AND(Z$11&gt;=EOMONTH('Construction Budget'!$K41,0),Z$11&lt;=EOMONTH('Construction Budget'!$M41,0)),('Construction Budget'!$G41+SUM($G185:Y185))/ROUND(((EOMONTH('Construction Budget'!$M41,0)-EOMONTH(Z$11,0))/30)+1,0),0)</f>
        <v>0</v>
      </c>
      <c r="AA185" s="427">
        <f>-IF(AND(AA$11&gt;=EOMONTH('Construction Budget'!$K41,0),AA$11&lt;=EOMONTH('Construction Budget'!$M41,0)),('Construction Budget'!$G41+SUM($G185:Z185))/ROUND(((EOMONTH('Construction Budget'!$M41,0)-EOMONTH(AA$11,0))/30)+1,0),0)</f>
        <v>0</v>
      </c>
      <c r="AB185" s="427">
        <f>-IF(AND(AB$11&gt;=EOMONTH('Construction Budget'!$K41,0),AB$11&lt;=EOMONTH('Construction Budget'!$M41,0)),('Construction Budget'!$G41+SUM($G185:AA185))/ROUND(((EOMONTH('Construction Budget'!$M41,0)-EOMONTH(AB$11,0))/30)+1,0),0)</f>
        <v>0</v>
      </c>
      <c r="AC185" s="427">
        <f>-IF(AND(AC$11&gt;=EOMONTH('Construction Budget'!$K41,0),AC$11&lt;=EOMONTH('Construction Budget'!$M41,0)),('Construction Budget'!$G41+SUM($G185:AB185))/ROUND(((EOMONTH('Construction Budget'!$M41,0)-EOMONTH(AC$11,0))/30)+1,0),0)</f>
        <v>0</v>
      </c>
      <c r="AD185" s="427">
        <f>-IF(AND(AD$11&gt;=EOMONTH('Construction Budget'!$K41,0),AD$11&lt;=EOMONTH('Construction Budget'!$M41,0)),('Construction Budget'!$G41+SUM($G185:AC185))/ROUND(((EOMONTH('Construction Budget'!$M41,0)-EOMONTH(AD$11,0))/30)+1,0),0)</f>
        <v>0</v>
      </c>
      <c r="AE185" s="427">
        <f>-IF(AND(AE$11&gt;=EOMONTH('Construction Budget'!$K41,0),AE$11&lt;=EOMONTH('Construction Budget'!$M41,0)),('Construction Budget'!$G41+SUM($G185:AD185))/ROUND(((EOMONTH('Construction Budget'!$M41,0)-EOMONTH(AE$11,0))/30)+1,0),0)</f>
        <v>0</v>
      </c>
      <c r="AF185" s="427">
        <f>-IF(AND(AF$11&gt;=EOMONTH('Construction Budget'!$K41,0),AF$11&lt;=EOMONTH('Construction Budget'!$M41,0)),('Construction Budget'!$G41+SUM($G185:AE185))/ROUND(((EOMONTH('Construction Budget'!$M41,0)-EOMONTH(AF$11,0))/30)+1,0),0)</f>
        <v>0</v>
      </c>
      <c r="AG185" s="427">
        <f>-IF(AND(AG$11&gt;=EOMONTH('Construction Budget'!$K41,0),AG$11&lt;=EOMONTH('Construction Budget'!$M41,0)),('Construction Budget'!$G41+SUM($G185:AF185))/ROUND(((EOMONTH('Construction Budget'!$M41,0)-EOMONTH(AG$11,0))/30)+1,0),0)</f>
        <v>0</v>
      </c>
      <c r="AH185" s="427">
        <f>-IF(AND(AH$11&gt;=EOMONTH('Construction Budget'!$K41,0),AH$11&lt;=EOMONTH('Construction Budget'!$M41,0)),('Construction Budget'!$G41+SUM($G185:AG185))/ROUND(((EOMONTH('Construction Budget'!$M41,0)-EOMONTH(AH$11,0))/30)+1,0),0)</f>
        <v>0</v>
      </c>
      <c r="AI185" s="427">
        <f>-IF(AND(AI$11&gt;=EOMONTH('Construction Budget'!$K41,0),AI$11&lt;=EOMONTH('Construction Budget'!$M41,0)),('Construction Budget'!$G41+SUM($G185:AH185))/ROUND(((EOMONTH('Construction Budget'!$M41,0)-EOMONTH(AI$11,0))/30)+1,0),0)</f>
        <v>0</v>
      </c>
      <c r="AJ185" s="427">
        <f>-IF(AND(AJ$11&gt;=EOMONTH('Construction Budget'!$K41,0),AJ$11&lt;=EOMONTH('Construction Budget'!$M41,0)),('Construction Budget'!$G41+SUM($G185:AI185))/ROUND(((EOMONTH('Construction Budget'!$M41,0)-EOMONTH(AJ$11,0))/30)+1,0),0)</f>
        <v>0</v>
      </c>
      <c r="AK185" s="427">
        <f>-IF(AND(AK$11&gt;=EOMONTH('Construction Budget'!$K41,0),AK$11&lt;=EOMONTH('Construction Budget'!$M41,0)),('Construction Budget'!$G41+SUM($G185:AJ185))/ROUND(((EOMONTH('Construction Budget'!$M41,0)-EOMONTH(AK$11,0))/30)+1,0),0)</f>
        <v>0</v>
      </c>
      <c r="AL185" s="427">
        <f>-IF(AND(AL$11&gt;=EOMONTH('Construction Budget'!$K41,0),AL$11&lt;=EOMONTH('Construction Budget'!$M41,0)),('Construction Budget'!$G41+SUM($G185:AK185))/ROUND(((EOMONTH('Construction Budget'!$M41,0)-EOMONTH(AL$11,0))/30)+1,0),0)</f>
        <v>0</v>
      </c>
      <c r="AM185" s="427">
        <f>-IF(AND(AM$11&gt;=EOMONTH('Construction Budget'!$K41,0),AM$11&lt;=EOMONTH('Construction Budget'!$M41,0)),('Construction Budget'!$G41+SUM($G185:AL185))/ROUND(((EOMONTH('Construction Budget'!$M41,0)-EOMONTH(AM$11,0))/30)+1,0),0)</f>
        <v>0</v>
      </c>
      <c r="AN185" s="427">
        <f>-IF(AND(AN$11&gt;=EOMONTH('Construction Budget'!$K41,0),AN$11&lt;=EOMONTH('Construction Budget'!$M41,0)),('Construction Budget'!$G41+SUM($G185:AM185))/ROUND(((EOMONTH('Construction Budget'!$M41,0)-EOMONTH(AN$11,0))/30)+1,0),0)</f>
        <v>0</v>
      </c>
      <c r="AO185" s="427">
        <f>-IF(AND(AO$11&gt;=EOMONTH('Construction Budget'!$K41,0),AO$11&lt;=EOMONTH('Construction Budget'!$M41,0)),('Construction Budget'!$G41+SUM($G185:AN185))/ROUND(((EOMONTH('Construction Budget'!$M41,0)-EOMONTH(AO$11,0))/30)+1,0),0)</f>
        <v>0</v>
      </c>
      <c r="AP185" s="427">
        <f>-IF(AND(AP$11&gt;=EOMONTH('Construction Budget'!$K41,0),AP$11&lt;=EOMONTH('Construction Budget'!$M41,0)),('Construction Budget'!$G41+SUM($G185:AO185))/ROUND(((EOMONTH('Construction Budget'!$M41,0)-EOMONTH(AP$11,0))/30)+1,0),0)</f>
        <v>0</v>
      </c>
      <c r="AQ185" s="427">
        <f>-IF(AND(AQ$11&gt;=EOMONTH('Construction Budget'!$K41,0),AQ$11&lt;=EOMONTH('Construction Budget'!$M41,0)),('Construction Budget'!$G41+SUM($G185:AP185))/ROUND(((EOMONTH('Construction Budget'!$M41,0)-EOMONTH(AQ$11,0))/30)+1,0),0)</f>
        <v>0</v>
      </c>
      <c r="AR185" s="427">
        <f>-IF(AND(AR$11&gt;=EOMONTH('Construction Budget'!$K41,0),AR$11&lt;=EOMONTH('Construction Budget'!$M41,0)),('Construction Budget'!$G41+SUM($G185:AQ185))/ROUND(((EOMONTH('Construction Budget'!$M41,0)-EOMONTH(AR$11,0))/30)+1,0),0)</f>
        <v>0</v>
      </c>
      <c r="AS185" s="427">
        <f>-IF(AND(AS$11&gt;=EOMONTH('Construction Budget'!$K41,0),AS$11&lt;=EOMONTH('Construction Budget'!$M41,0)),('Construction Budget'!$G41+SUM($G185:AR185))/ROUND(((EOMONTH('Construction Budget'!$M41,0)-EOMONTH(AS$11,0))/30)+1,0),0)</f>
        <v>0</v>
      </c>
      <c r="AT185" s="427">
        <f>-IF(AND(AT$11&gt;=EOMONTH('Construction Budget'!$K41,0),AT$11&lt;=EOMONTH('Construction Budget'!$M41,0)),('Construction Budget'!$G41+SUM($G185:AS185))/ROUND(((EOMONTH('Construction Budget'!$M41,0)-EOMONTH(AT$11,0))/30)+1,0),0)</f>
        <v>0</v>
      </c>
      <c r="AU185" s="427">
        <f>-IF(AND(AU$11&gt;=EOMONTH('Construction Budget'!$K41,0),AU$11&lt;=EOMONTH('Construction Budget'!$M41,0)),('Construction Budget'!$G41+SUM($G185:AT185))/ROUND(((EOMONTH('Construction Budget'!$M41,0)-EOMONTH(AU$11,0))/30)+1,0),0)</f>
        <v>0</v>
      </c>
      <c r="AV185" s="427">
        <f>-IF(AND(AV$11&gt;=EOMONTH('Construction Budget'!$K41,0),AV$11&lt;=EOMONTH('Construction Budget'!$M41,0)),('Construction Budget'!$G41+SUM($G185:AU185))/ROUND(((EOMONTH('Construction Budget'!$M41,0)-EOMONTH(AV$11,0))/30)+1,0),0)</f>
        <v>0</v>
      </c>
      <c r="AW185" s="427">
        <f>-IF(AND(AW$11&gt;=EOMONTH('Construction Budget'!$K41,0),AW$11&lt;=EOMONTH('Construction Budget'!$M41,0)),('Construction Budget'!$G41+SUM($G185:AV185))/ROUND(((EOMONTH('Construction Budget'!$M41,0)-EOMONTH(AW$11,0))/30)+1,0),0)</f>
        <v>0</v>
      </c>
      <c r="AX185" s="427">
        <f>-IF(AND(AX$11&gt;=EOMONTH('Construction Budget'!$K41,0),AX$11&lt;=EOMONTH('Construction Budget'!$M41,0)),('Construction Budget'!$G41+SUM($G185:AW185))/ROUND(((EOMONTH('Construction Budget'!$M41,0)-EOMONTH(AX$11,0))/30)+1,0),0)</f>
        <v>0</v>
      </c>
      <c r="AY185" s="427">
        <f>-IF(AND(AY$11&gt;=EOMONTH('Construction Budget'!$K41,0),AY$11&lt;=EOMONTH('Construction Budget'!$M41,0)),('Construction Budget'!$G41+SUM($G185:AX185))/ROUND(((EOMONTH('Construction Budget'!$M41,0)-EOMONTH(AY$11,0))/30)+1,0),0)</f>
        <v>0</v>
      </c>
      <c r="AZ185" s="427">
        <f>-IF(AND(AZ$11&gt;=EOMONTH('Construction Budget'!$K41,0),AZ$11&lt;=EOMONTH('Construction Budget'!$M41,0)),('Construction Budget'!$G41+SUM($G185:AY185))/ROUND(((EOMONTH('Construction Budget'!$M41,0)-EOMONTH(AZ$11,0))/30)+1,0),0)</f>
        <v>0</v>
      </c>
      <c r="BA185" s="427">
        <f>-IF(AND(BA$11&gt;=EOMONTH('Construction Budget'!$K41,0),BA$11&lt;=EOMONTH('Construction Budget'!$M41,0)),('Construction Budget'!$G41+SUM($G185:AZ185))/ROUND(((EOMONTH('Construction Budget'!$M41,0)-EOMONTH(BA$11,0))/30)+1,0),0)</f>
        <v>0</v>
      </c>
      <c r="BB185" s="427">
        <f>-IF(AND(BB$11&gt;=EOMONTH('Construction Budget'!$K41,0),BB$11&lt;=EOMONTH('Construction Budget'!$M41,0)),('Construction Budget'!$G41+SUM($G185:BA185))/ROUND(((EOMONTH('Construction Budget'!$M41,0)-EOMONTH(BB$11,0))/30)+1,0),0)</f>
        <v>0</v>
      </c>
      <c r="BC185" s="427">
        <f>-IF(AND(BC$11&gt;=EOMONTH('Construction Budget'!$K41,0),BC$11&lt;=EOMONTH('Construction Budget'!$M41,0)),('Construction Budget'!$G41+SUM($G185:BB185))/ROUND(((EOMONTH('Construction Budget'!$M41,0)-EOMONTH(BC$11,0))/30)+1,0),0)</f>
        <v>0</v>
      </c>
      <c r="BD185" s="427">
        <f>-IF(AND(BD$11&gt;=EOMONTH('Construction Budget'!$K41,0),BD$11&lt;=EOMONTH('Construction Budget'!$M41,0)),('Construction Budget'!$G41+SUM($G185:BC185))/ROUND(((EOMONTH('Construction Budget'!$M41,0)-EOMONTH(BD$11,0))/30)+1,0),0)</f>
        <v>0</v>
      </c>
      <c r="BE185" s="427">
        <f>-IF(AND(BE$11&gt;=EOMONTH('Construction Budget'!$K41,0),BE$11&lt;=EOMONTH('Construction Budget'!$M41,0)),('Construction Budget'!$G41+SUM($G185:BD185))/ROUND(((EOMONTH('Construction Budget'!$M41,0)-EOMONTH(BE$11,0))/30)+1,0),0)</f>
        <v>0</v>
      </c>
      <c r="BF185" s="427">
        <f>-IF(AND(BF$11&gt;=EOMONTH('Construction Budget'!$K41,0),BF$11&lt;=EOMONTH('Construction Budget'!$M41,0)),('Construction Budget'!$G41+SUM($G185:BE185))/ROUND(((EOMONTH('Construction Budget'!$M41,0)-EOMONTH(BF$11,0))/30)+1,0),0)</f>
        <v>0</v>
      </c>
      <c r="BG185" s="427">
        <f>-IF(AND(BG$11&gt;=EOMONTH('Construction Budget'!$K41,0),BG$11&lt;=EOMONTH('Construction Budget'!$M41,0)),('Construction Budget'!$G41+SUM($G185:BF185))/ROUND(((EOMONTH('Construction Budget'!$M41,0)-EOMONTH(BG$11,0))/30)+1,0),0)</f>
        <v>0</v>
      </c>
      <c r="BH185" s="427">
        <f>-IF(AND(BH$11&gt;=EOMONTH('Construction Budget'!$K41,0),BH$11&lt;=EOMONTH('Construction Budget'!$M41,0)),('Construction Budget'!$G41+SUM($G185:BG185))/ROUND(((EOMONTH('Construction Budget'!$M41,0)-EOMONTH(BH$11,0))/30)+1,0),0)</f>
        <v>0</v>
      </c>
      <c r="BI185" s="427">
        <f>-IF(AND(BI$11&gt;=EOMONTH('Construction Budget'!$K41,0),BI$11&lt;=EOMONTH('Construction Budget'!$M41,0)),('Construction Budget'!$G41+SUM($G185:BH185))/ROUND(((EOMONTH('Construction Budget'!$M41,0)-EOMONTH(BI$11,0))/30)+1,0),0)</f>
        <v>0</v>
      </c>
      <c r="BJ185" s="427">
        <f>-IF(AND(BJ$11&gt;=EOMONTH('Construction Budget'!$K41,0),BJ$11&lt;=EOMONTH('Construction Budget'!$M41,0)),('Construction Budget'!$G41+SUM($G185:BI185))/ROUND(((EOMONTH('Construction Budget'!$M41,0)-EOMONTH(BJ$11,0))/30)+1,0),0)</f>
        <v>0</v>
      </c>
      <c r="BK185" s="427">
        <f>-IF(AND(BK$11&gt;=EOMONTH('Construction Budget'!$K41,0),BK$11&lt;=EOMONTH('Construction Budget'!$M41,0)),('Construction Budget'!$G41+SUM($G185:BJ185))/ROUND(((EOMONTH('Construction Budget'!$M41,0)-EOMONTH(BK$11,0))/30)+1,0),0)</f>
        <v>0</v>
      </c>
      <c r="BL185" s="427">
        <f>-IF(AND(BL$11&gt;=EOMONTH('Construction Budget'!$K41,0),BL$11&lt;=EOMONTH('Construction Budget'!$M41,0)),('Construction Budget'!$G41+SUM($G185:BK185))/ROUND(((EOMONTH('Construction Budget'!$M41,0)-EOMONTH(BL$11,0))/30)+1,0),0)</f>
        <v>0</v>
      </c>
      <c r="BM185" s="427">
        <f>-IF(AND(BM$11&gt;=EOMONTH('Construction Budget'!$K41,0),BM$11&lt;=EOMONTH('Construction Budget'!$M41,0)),('Construction Budget'!$G41+SUM($G185:BL185))/ROUND(((EOMONTH('Construction Budget'!$M41,0)-EOMONTH(BM$11,0))/30)+1,0),0)</f>
        <v>0</v>
      </c>
      <c r="BN185" s="427">
        <f>-IF(AND(BN$11&gt;=EOMONTH('Construction Budget'!$K41,0),BN$11&lt;=EOMONTH('Construction Budget'!$M41,0)),('Construction Budget'!$G41+SUM($G185:BM185))/ROUND(((EOMONTH('Construction Budget'!$M41,0)-EOMONTH(BN$11,0))/30)+1,0),0)</f>
        <v>0</v>
      </c>
      <c r="BO185" s="427">
        <f>-IF(AND(BO$11&gt;=EOMONTH('Construction Budget'!$K41,0),BO$11&lt;=EOMONTH('Construction Budget'!$M41,0)),('Construction Budget'!$G41+SUM($G185:BN185))/ROUND(((EOMONTH('Construction Budget'!$M41,0)-EOMONTH(BO$11,0))/30)+1,0),0)</f>
        <v>0</v>
      </c>
      <c r="BP185" s="427">
        <f>-IF(AND(BP$11&gt;=EOMONTH('Construction Budget'!$K41,0),BP$11&lt;=EOMONTH('Construction Budget'!$M41,0)),('Construction Budget'!$G41+SUM($G185:BO185))/ROUND(((EOMONTH('Construction Budget'!$M41,0)-EOMONTH(BP$11,0))/30)+1,0),0)</f>
        <v>0</v>
      </c>
      <c r="BQ185" s="427">
        <f>-IF(AND(BQ$11&gt;=EOMONTH('Construction Budget'!$K41,0),BQ$11&lt;=EOMONTH('Construction Budget'!$M41,0)),('Construction Budget'!$G41+SUM($G185:BP185))/ROUND(((EOMONTH('Construction Budget'!$M41,0)-EOMONTH(BQ$11,0))/30)+1,0),0)</f>
        <v>0</v>
      </c>
      <c r="BR185" s="427">
        <f>-IF(AND(BR$11&gt;=EOMONTH('Construction Budget'!$K41,0),BR$11&lt;=EOMONTH('Construction Budget'!$M41,0)),('Construction Budget'!$G41+SUM($G185:BQ185))/ROUND(((EOMONTH('Construction Budget'!$M41,0)-EOMONTH(BR$11,0))/30)+1,0),0)</f>
        <v>0</v>
      </c>
      <c r="BS185" s="427">
        <f>-IF(AND(BS$11&gt;=EOMONTH('Construction Budget'!$K41,0),BS$11&lt;=EOMONTH('Construction Budget'!$M41,0)),('Construction Budget'!$G41+SUM($G185:BR185))/ROUND(((EOMONTH('Construction Budget'!$M41,0)-EOMONTH(BS$11,0))/30)+1,0),0)</f>
        <v>0</v>
      </c>
      <c r="BT185" s="427">
        <f>-IF(AND(BT$11&gt;=EOMONTH('Construction Budget'!$K41,0),BT$11&lt;=EOMONTH('Construction Budget'!$M41,0)),('Construction Budget'!$G41+SUM($G185:BS185))/ROUND(((EOMONTH('Construction Budget'!$M41,0)-EOMONTH(BT$11,0))/30)+1,0),0)</f>
        <v>0</v>
      </c>
      <c r="BU185" s="427">
        <f>-IF(AND(BU$11&gt;=EOMONTH('Construction Budget'!$K41,0),BU$11&lt;=EOMONTH('Construction Budget'!$M41,0)),('Construction Budget'!$G41+SUM($G185:BT185))/ROUND(((EOMONTH('Construction Budget'!$M41,0)-EOMONTH(BU$11,0))/30)+1,0),0)</f>
        <v>0</v>
      </c>
      <c r="BV185" s="427">
        <f>-IF(AND(BV$11&gt;=EOMONTH('Construction Budget'!$K41,0),BV$11&lt;=EOMONTH('Construction Budget'!$M41,0)),('Construction Budget'!$G41+SUM($G185:BU185))/ROUND(((EOMONTH('Construction Budget'!$M41,0)-EOMONTH(BV$11,0))/30)+1,0),0)</f>
        <v>0</v>
      </c>
      <c r="BW185" s="427">
        <f>-IF(AND(BW$11&gt;=EOMONTH('Construction Budget'!$K41,0),BW$11&lt;=EOMONTH('Construction Budget'!$M41,0)),('Construction Budget'!$G41+SUM($G185:BV185))/ROUND(((EOMONTH('Construction Budget'!$M41,0)-EOMONTH(BW$11,0))/30)+1,0),0)</f>
        <v>0</v>
      </c>
      <c r="BX185" s="427">
        <f>-IF(AND(BX$11&gt;=EOMONTH('Construction Budget'!$K41,0),BX$11&lt;=EOMONTH('Construction Budget'!$M41,0)),('Construction Budget'!$G41+SUM($G185:BW185))/ROUND(((EOMONTH('Construction Budget'!$M41,0)-EOMONTH(BX$11,0))/30)+1,0),0)</f>
        <v>0</v>
      </c>
      <c r="BY185" s="427">
        <f>-IF(AND(BY$11&gt;=EOMONTH('Construction Budget'!$K41,0),BY$11&lt;=EOMONTH('Construction Budget'!$M41,0)),('Construction Budget'!$G41+SUM($G185:BX185))/ROUND(((EOMONTH('Construction Budget'!$M41,0)-EOMONTH(BY$11,0))/30)+1,0),0)</f>
        <v>0</v>
      </c>
      <c r="BZ185" s="427">
        <f>-IF(AND(BZ$11&gt;=EOMONTH('Construction Budget'!$K41,0),BZ$11&lt;=EOMONTH('Construction Budget'!$M41,0)),('Construction Budget'!$G41+SUM($G185:BY185))/ROUND(((EOMONTH('Construction Budget'!$M41,0)-EOMONTH(BZ$11,0))/30)+1,0),0)</f>
        <v>0</v>
      </c>
      <c r="CA185" s="427">
        <f>-IF(AND(CA$11&gt;=EOMONTH('Construction Budget'!$K41,0),CA$11&lt;=EOMONTH('Construction Budget'!$M41,0)),('Construction Budget'!$G41+SUM($G185:BZ185))/ROUND(((EOMONTH('Construction Budget'!$M41,0)-EOMONTH(CA$11,0))/30)+1,0),0)</f>
        <v>0</v>
      </c>
      <c r="CB185" s="427">
        <f>-IF(AND(CB$11&gt;=EOMONTH('Construction Budget'!$K41,0),CB$11&lt;=EOMONTH('Construction Budget'!$M41,0)),('Construction Budget'!$G41+SUM($G185:CA185))/ROUND(((EOMONTH('Construction Budget'!$M41,0)-EOMONTH(CB$11,0))/30)+1,0),0)</f>
        <v>0</v>
      </c>
      <c r="CC185" s="427">
        <f>-IF(AND(CC$11&gt;=EOMONTH('Construction Budget'!$K41,0),CC$11&lt;=EOMONTH('Construction Budget'!$M41,0)),('Construction Budget'!$G41+SUM($G185:CB185))/ROUND(((EOMONTH('Construction Budget'!$M41,0)-EOMONTH(CC$11,0))/30)+1,0),0)</f>
        <v>0</v>
      </c>
      <c r="CD185" s="427">
        <f>-IF(AND(CD$11&gt;=EOMONTH('Construction Budget'!$K41,0),CD$11&lt;=EOMONTH('Construction Budget'!$M41,0)),('Construction Budget'!$G41+SUM($G185:CC185))/ROUND(((EOMONTH('Construction Budget'!$M41,0)-EOMONTH(CD$11,0))/30)+1,0),0)</f>
        <v>0</v>
      </c>
      <c r="CE185" s="427">
        <f>-IF(AND(CE$11&gt;=EOMONTH('Construction Budget'!$K41,0),CE$11&lt;=EOMONTH('Construction Budget'!$M41,0)),('Construction Budget'!$G41+SUM($G185:CD185))/ROUND(((EOMONTH('Construction Budget'!$M41,0)-EOMONTH(CE$11,0))/30)+1,0),0)</f>
        <v>0</v>
      </c>
      <c r="CF185" s="427">
        <f>-IF(AND(CF$11&gt;=EOMONTH('Construction Budget'!$K41,0),CF$11&lt;=EOMONTH('Construction Budget'!$M41,0)),('Construction Budget'!$G41+SUM($G185:CE185))/ROUND(((EOMONTH('Construction Budget'!$M41,0)-EOMONTH(CF$11,0))/30)+1,0),0)</f>
        <v>0</v>
      </c>
      <c r="CG185" s="427">
        <f>-IF(AND(CG$11&gt;=EOMONTH('Construction Budget'!$K41,0),CG$11&lt;=EOMONTH('Construction Budget'!$M41,0)),('Construction Budget'!$G41+SUM($G185:CF185))/ROUND(((EOMONTH('Construction Budget'!$M41,0)-EOMONTH(CG$11,0))/30)+1,0),0)</f>
        <v>0</v>
      </c>
      <c r="CH185" s="427">
        <f>-IF(AND(CH$11&gt;=EOMONTH('Construction Budget'!$K41,0),CH$11&lt;=EOMONTH('Construction Budget'!$M41,0)),('Construction Budget'!$G41+SUM($G185:CG185))/ROUND(((EOMONTH('Construction Budget'!$M41,0)-EOMONTH(CH$11,0))/30)+1,0),0)</f>
        <v>0</v>
      </c>
      <c r="CI185" s="427">
        <f>-IF(AND(CI$11&gt;=EOMONTH('Construction Budget'!$K41,0),CI$11&lt;=EOMONTH('Construction Budget'!$M41,0)),('Construction Budget'!$G41+SUM($G185:CH185))/ROUND(((EOMONTH('Construction Budget'!$M41,0)-EOMONTH(CI$11,0))/30)+1,0),0)</f>
        <v>0</v>
      </c>
      <c r="CJ185" s="427">
        <f>-IF(AND(CJ$11&gt;=EOMONTH('Construction Budget'!$K41,0),CJ$11&lt;=EOMONTH('Construction Budget'!$M41,0)),('Construction Budget'!$G41+SUM($G185:CI185))/ROUND(((EOMONTH('Construction Budget'!$M41,0)-EOMONTH(CJ$11,0))/30)+1,0),0)</f>
        <v>0</v>
      </c>
      <c r="CK185" s="427">
        <f>-IF(AND(CK$11&gt;=EOMONTH('Construction Budget'!$K41,0),CK$11&lt;=EOMONTH('Construction Budget'!$M41,0)),('Construction Budget'!$G41+SUM($G185:CJ185))/ROUND(((EOMONTH('Construction Budget'!$M41,0)-EOMONTH(CK$11,0))/30)+1,0),0)</f>
        <v>0</v>
      </c>
      <c r="CL185" s="427">
        <f>-IF(AND(CL$11&gt;=EOMONTH('Construction Budget'!$K41,0),CL$11&lt;=EOMONTH('Construction Budget'!$M41,0)),('Construction Budget'!$G41+SUM($G185:CK185))/ROUND(((EOMONTH('Construction Budget'!$M41,0)-EOMONTH(CL$11,0))/30)+1,0),0)</f>
        <v>0</v>
      </c>
      <c r="CM185" s="427">
        <f>-IF(AND(CM$11&gt;=EOMONTH('Construction Budget'!$K41,0),CM$11&lt;=EOMONTH('Construction Budget'!$M41,0)),('Construction Budget'!$G41+SUM($G185:CL185))/ROUND(((EOMONTH('Construction Budget'!$M41,0)-EOMONTH(CM$11,0))/30)+1,0),0)</f>
        <v>0</v>
      </c>
      <c r="CN185" s="427">
        <f>-IF(AND(CN$11&gt;=EOMONTH('Construction Budget'!$K41,0),CN$11&lt;=EOMONTH('Construction Budget'!$M41,0)),('Construction Budget'!$G41+SUM($G185:CM185))/ROUND(((EOMONTH('Construction Budget'!$M41,0)-EOMONTH(CN$11,0))/30)+1,0),0)</f>
        <v>0</v>
      </c>
      <c r="CO185" s="427">
        <f>-IF(AND(CO$11&gt;=EOMONTH('Construction Budget'!$K41,0),CO$11&lt;=EOMONTH('Construction Budget'!$M41,0)),('Construction Budget'!$G41+SUM($G185:CN185))/ROUND(((EOMONTH('Construction Budget'!$M41,0)-EOMONTH(CO$11,0))/30)+1,0),0)</f>
        <v>0</v>
      </c>
      <c r="CP185" s="427">
        <f>-IF(AND(CP$11&gt;=EOMONTH('Construction Budget'!$K41,0),CP$11&lt;=EOMONTH('Construction Budget'!$M41,0)),('Construction Budget'!$G41+SUM($G185:CO185))/ROUND(((EOMONTH('Construction Budget'!$M41,0)-EOMONTH(CP$11,0))/30)+1,0),0)</f>
        <v>0</v>
      </c>
      <c r="CQ185" s="427">
        <f>-IF(AND(CQ$11&gt;=EOMONTH('Construction Budget'!$K41,0),CQ$11&lt;=EOMONTH('Construction Budget'!$M41,0)),('Construction Budget'!$G41+SUM($G185:CP185))/ROUND(((EOMONTH('Construction Budget'!$M41,0)-EOMONTH(CQ$11,0))/30)+1,0),0)</f>
        <v>0</v>
      </c>
      <c r="CR185" s="427">
        <f>-IF(AND(CR$11&gt;=EOMONTH('Construction Budget'!$K41,0),CR$11&lt;=EOMONTH('Construction Budget'!$M41,0)),('Construction Budget'!$G41+SUM($G185:CQ185))/ROUND(((EOMONTH('Construction Budget'!$M41,0)-EOMONTH(CR$11,0))/30)+1,0),0)</f>
        <v>0</v>
      </c>
      <c r="CS185" s="427">
        <f>-IF(AND(CS$11&gt;=EOMONTH('Construction Budget'!$K41,0),CS$11&lt;=EOMONTH('Construction Budget'!$M41,0)),('Construction Budget'!$G41+SUM($G185:CR185))/ROUND(((EOMONTH('Construction Budget'!$M41,0)-EOMONTH(CS$11,0))/30)+1,0),0)</f>
        <v>0</v>
      </c>
      <c r="CT185" s="427">
        <f>-IF(AND(CT$11&gt;=EOMONTH('Construction Budget'!$K41,0),CT$11&lt;=EOMONTH('Construction Budget'!$M41,0)),('Construction Budget'!$G41+SUM($G185:CS185))/ROUND(((EOMONTH('Construction Budget'!$M41,0)-EOMONTH(CT$11,0))/30)+1,0),0)</f>
        <v>0</v>
      </c>
      <c r="CU185" s="427">
        <f>-IF(AND(CU$11&gt;=EOMONTH('Construction Budget'!$K41,0),CU$11&lt;=EOMONTH('Construction Budget'!$M41,0)),('Construction Budget'!$G41+SUM($G185:CT185))/ROUND(((EOMONTH('Construction Budget'!$M41,0)-EOMONTH(CU$11,0))/30)+1,0),0)</f>
        <v>0</v>
      </c>
      <c r="CV185" s="427">
        <f>-IF(AND(CV$11&gt;=EOMONTH('Construction Budget'!$K41,0),CV$11&lt;=EOMONTH('Construction Budget'!$M41,0)),('Construction Budget'!$G41+SUM($G185:CU185))/ROUND(((EOMONTH('Construction Budget'!$M41,0)-EOMONTH(CV$11,0))/30)+1,0),0)</f>
        <v>0</v>
      </c>
      <c r="CW185" s="427">
        <f>-IF(AND(CW$11&gt;=EOMONTH('Construction Budget'!$K41,0),CW$11&lt;=EOMONTH('Construction Budget'!$M41,0)),('Construction Budget'!$G41+SUM($G185:CV185))/ROUND(((EOMONTH('Construction Budget'!$M41,0)-EOMONTH(CW$11,0))/30)+1,0),0)</f>
        <v>0</v>
      </c>
      <c r="CX185" s="427">
        <f>-IF(AND(CX$11&gt;=EOMONTH('Construction Budget'!$K41,0),CX$11&lt;=EOMONTH('Construction Budget'!$M41,0)),('Construction Budget'!$G41+SUM($G185:CW185))/ROUND(((EOMONTH('Construction Budget'!$M41,0)-EOMONTH(CX$11,0))/30)+1,0),0)</f>
        <v>0</v>
      </c>
      <c r="CY185" s="427">
        <f>-IF(AND(CY$11&gt;=EOMONTH('Construction Budget'!$K41,0),CY$11&lt;=EOMONTH('Construction Budget'!$M41,0)),('Construction Budget'!$G41+SUM($G185:CX185))/ROUND(((EOMONTH('Construction Budget'!$M41,0)-EOMONTH(CY$11,0))/30)+1,0),0)</f>
        <v>0</v>
      </c>
      <c r="CZ185" s="427">
        <f>-IF(AND(CZ$11&gt;=EOMONTH('Construction Budget'!$K41,0),CZ$11&lt;=EOMONTH('Construction Budget'!$M41,0)),('Construction Budget'!$G41+SUM($G185:CY185))/ROUND(((EOMONTH('Construction Budget'!$M41,0)-EOMONTH(CZ$11,0))/30)+1,0),0)</f>
        <v>0</v>
      </c>
      <c r="DA185" s="427">
        <f>-IF(AND(DA$11&gt;=EOMONTH('Construction Budget'!$K41,0),DA$11&lt;=EOMONTH('Construction Budget'!$M41,0)),('Construction Budget'!$G41+SUM($G185:CZ185))/ROUND(((EOMONTH('Construction Budget'!$M41,0)-EOMONTH(DA$11,0))/30)+1,0),0)</f>
        <v>0</v>
      </c>
      <c r="DB185" s="427">
        <f>-IF(AND(DB$11&gt;=EOMONTH('Construction Budget'!$K41,0),DB$11&lt;=EOMONTH('Construction Budget'!$M41,0)),('Construction Budget'!$G41+SUM($G185:DA185))/ROUND(((EOMONTH('Construction Budget'!$M41,0)-EOMONTH(DB$11,0))/30)+1,0),0)</f>
        <v>0</v>
      </c>
      <c r="DC185" s="427">
        <f>-IF(AND(DC$11&gt;=EOMONTH('Construction Budget'!$K41,0),DC$11&lt;=EOMONTH('Construction Budget'!$M41,0)),('Construction Budget'!$G41+SUM($G185:DB185))/ROUND(((EOMONTH('Construction Budget'!$M41,0)-EOMONTH(DC$11,0))/30)+1,0),0)</f>
        <v>0</v>
      </c>
      <c r="DD185" s="427">
        <f>-IF(AND(DD$11&gt;=EOMONTH('Construction Budget'!$K41,0),DD$11&lt;=EOMONTH('Construction Budget'!$M41,0)),('Construction Budget'!$G41+SUM($G185:DC185))/ROUND(((EOMONTH('Construction Budget'!$M41,0)-EOMONTH(DD$11,0))/30)+1,0),0)</f>
        <v>0</v>
      </c>
      <c r="DE185" s="427">
        <f>-IF(AND(DE$11&gt;=EOMONTH('Construction Budget'!$K41,0),DE$11&lt;=EOMONTH('Construction Budget'!$M41,0)),('Construction Budget'!$G41+SUM($G185:DD185))/ROUND(((EOMONTH('Construction Budget'!$M41,0)-EOMONTH(DE$11,0))/30)+1,0),0)</f>
        <v>0</v>
      </c>
      <c r="DF185" s="427">
        <f>-IF(AND(DF$11&gt;=EOMONTH('Construction Budget'!$K41,0),DF$11&lt;=EOMONTH('Construction Budget'!$M41,0)),('Construction Budget'!$G41+SUM($G185:DE185))/ROUND(((EOMONTH('Construction Budget'!$M41,0)-EOMONTH(DF$11,0))/30)+1,0),0)</f>
        <v>0</v>
      </c>
      <c r="DG185" s="427">
        <f>-IF(AND(DG$11&gt;=EOMONTH('Construction Budget'!$K41,0),DG$11&lt;=EOMONTH('Construction Budget'!$M41,0)),('Construction Budget'!$G41+SUM($G185:DF185))/ROUND(((EOMONTH('Construction Budget'!$M41,0)-EOMONTH(DG$11,0))/30)+1,0),0)</f>
        <v>0</v>
      </c>
      <c r="DH185" s="427">
        <f>-IF(AND(DH$11&gt;=EOMONTH('Construction Budget'!$K41,0),DH$11&lt;=EOMONTH('Construction Budget'!$M41,0)),('Construction Budget'!$G41+SUM($G185:DG185))/ROUND(((EOMONTH('Construction Budget'!$M41,0)-EOMONTH(DH$11,0))/30)+1,0),0)</f>
        <v>0</v>
      </c>
      <c r="DI185" s="427">
        <f>-IF(AND(DI$11&gt;=EOMONTH('Construction Budget'!$K41,0),DI$11&lt;=EOMONTH('Construction Budget'!$M41,0)),('Construction Budget'!$G41+SUM($G185:DH185))/ROUND(((EOMONTH('Construction Budget'!$M41,0)-EOMONTH(DI$11,0))/30)+1,0),0)</f>
        <v>0</v>
      </c>
      <c r="DJ185" s="427">
        <f>-IF(AND(DJ$11&gt;=EOMONTH('Construction Budget'!$K41,0),DJ$11&lt;=EOMONTH('Construction Budget'!$M41,0)),('Construction Budget'!$G41+SUM($G185:DI185))/ROUND(((EOMONTH('Construction Budget'!$M41,0)-EOMONTH(DJ$11,0))/30)+1,0),0)</f>
        <v>0</v>
      </c>
      <c r="DK185" s="427">
        <f>-IF(AND(DK$11&gt;=EOMONTH('Construction Budget'!$K41,0),DK$11&lt;=EOMONTH('Construction Budget'!$M41,0)),('Construction Budget'!$G41+SUM($G185:DJ185))/ROUND(((EOMONTH('Construction Budget'!$M41,0)-EOMONTH(DK$11,0))/30)+1,0),0)</f>
        <v>0</v>
      </c>
      <c r="DL185" s="427">
        <f>-IF(AND(DL$11&gt;=EOMONTH('Construction Budget'!$K41,0),DL$11&lt;=EOMONTH('Construction Budget'!$M41,0)),('Construction Budget'!$G41+SUM($G185:DK185))/ROUND(((EOMONTH('Construction Budget'!$M41,0)-EOMONTH(DL$11,0))/30)+1,0),0)</f>
        <v>0</v>
      </c>
      <c r="DM185" s="427">
        <f>-IF(AND(DM$11&gt;=EOMONTH('Construction Budget'!$K41,0),DM$11&lt;=EOMONTH('Construction Budget'!$M41,0)),('Construction Budget'!$G41+SUM($G185:DL185))/ROUND(((EOMONTH('Construction Budget'!$M41,0)-EOMONTH(DM$11,0))/30)+1,0),0)</f>
        <v>0</v>
      </c>
      <c r="DN185" s="427">
        <f>-IF(AND(DN$11&gt;=EOMONTH('Construction Budget'!$K41,0),DN$11&lt;=EOMONTH('Construction Budget'!$M41,0)),('Construction Budget'!$G41+SUM($G185:DM185))/ROUND(((EOMONTH('Construction Budget'!$M41,0)-EOMONTH(DN$11,0))/30)+1,0),0)</f>
        <v>0</v>
      </c>
      <c r="DO185" s="427">
        <f>-IF(AND(DO$11&gt;=EOMONTH('Construction Budget'!$K41,0),DO$11&lt;=EOMONTH('Construction Budget'!$M41,0)),('Construction Budget'!$G41+SUM($G185:DN185))/ROUND(((EOMONTH('Construction Budget'!$M41,0)-EOMONTH(DO$11,0))/30)+1,0),0)</f>
        <v>0</v>
      </c>
      <c r="DP185" s="427">
        <f>-IF(AND(DP$11&gt;=EOMONTH('Construction Budget'!$K41,0),DP$11&lt;=EOMONTH('Construction Budget'!$M41,0)),('Construction Budget'!$G41+SUM($G185:DO185))/ROUND(((EOMONTH('Construction Budget'!$M41,0)-EOMONTH(DP$11,0))/30)+1,0),0)</f>
        <v>0</v>
      </c>
      <c r="DQ185" s="427">
        <f>-IF(AND(DQ$11&gt;=EOMONTH('Construction Budget'!$K41,0),DQ$11&lt;=EOMONTH('Construction Budget'!$M41,0)),('Construction Budget'!$G41+SUM($G185:DP185))/ROUND(((EOMONTH('Construction Budget'!$M41,0)-EOMONTH(DQ$11,0))/30)+1,0),0)</f>
        <v>0</v>
      </c>
      <c r="DR185" s="427">
        <f>-IF(AND(DR$11&gt;=EOMONTH('Construction Budget'!$K41,0),DR$11&lt;=EOMONTH('Construction Budget'!$M41,0)),('Construction Budget'!$G41+SUM($G185:DQ185))/ROUND(((EOMONTH('Construction Budget'!$M41,0)-EOMONTH(DR$11,0))/30)+1,0),0)</f>
        <v>0</v>
      </c>
      <c r="DS185" s="427">
        <f>-IF(AND(DS$11&gt;=EOMONTH('Construction Budget'!$K41,0),DS$11&lt;=EOMONTH('Construction Budget'!$M41,0)),('Construction Budget'!$G41+SUM($G185:DR185))/ROUND(((EOMONTH('Construction Budget'!$M41,0)-EOMONTH(DS$11,0))/30)+1,0),0)</f>
        <v>0</v>
      </c>
      <c r="DT185" s="427">
        <f>-IF(AND(DT$11&gt;=EOMONTH('Construction Budget'!$K41,0),DT$11&lt;=EOMONTH('Construction Budget'!$M41,0)),('Construction Budget'!$G41+SUM($G185:DS185))/ROUND(((EOMONTH('Construction Budget'!$M41,0)-EOMONTH(DT$11,0))/30)+1,0),0)</f>
        <v>0</v>
      </c>
      <c r="DU185" s="427">
        <f>-IF(AND(DU$11&gt;=EOMONTH('Construction Budget'!$K41,0),DU$11&lt;=EOMONTH('Construction Budget'!$M41,0)),('Construction Budget'!$G41+SUM($G185:DT185))/ROUND(((EOMONTH('Construction Budget'!$M41,0)-EOMONTH(DU$11,0))/30)+1,0),0)</f>
        <v>0</v>
      </c>
      <c r="DV185" s="427">
        <f>-IF(AND(DV$11&gt;=EOMONTH('Construction Budget'!$K41,0),DV$11&lt;=EOMONTH('Construction Budget'!$M41,0)),('Construction Budget'!$G41+SUM($G185:DU185))/ROUND(((EOMONTH('Construction Budget'!$M41,0)-EOMONTH(DV$11,0))/30)+1,0),0)</f>
        <v>0</v>
      </c>
      <c r="DW185" s="427">
        <f>-IF(AND(DW$11&gt;=EOMONTH('Construction Budget'!$K41,0),DW$11&lt;=EOMONTH('Construction Budget'!$M41,0)),('Construction Budget'!$G41+SUM($G185:DV185))/ROUND(((EOMONTH('Construction Budget'!$M41,0)-EOMONTH(DW$11,0))/30)+1,0),0)</f>
        <v>0</v>
      </c>
      <c r="DX185" s="427">
        <f>-IF(AND(DX$11&gt;=EOMONTH('Construction Budget'!$K41,0),DX$11&lt;=EOMONTH('Construction Budget'!$M41,0)),('Construction Budget'!$G41+SUM($G185:DW185))/ROUND(((EOMONTH('Construction Budget'!$M41,0)-EOMONTH(DX$11,0))/30)+1,0),0)</f>
        <v>0</v>
      </c>
      <c r="DY185" s="427">
        <f>-IF(AND(DY$11&gt;=EOMONTH('Construction Budget'!$K41,0),DY$11&lt;=EOMONTH('Construction Budget'!$M41,0)),('Construction Budget'!$G41+SUM($G185:DX185))/ROUND(((EOMONTH('Construction Budget'!$M41,0)-EOMONTH(DY$11,0))/30)+1,0),0)</f>
        <v>0</v>
      </c>
      <c r="DZ185" s="427">
        <f>-IF(AND(DZ$11&gt;=EOMONTH('Construction Budget'!$K41,0),DZ$11&lt;=EOMONTH('Construction Budget'!$M41,0)),('Construction Budget'!$G41+SUM($G185:DY185))/ROUND(((EOMONTH('Construction Budget'!$M41,0)-EOMONTH(DZ$11,0))/30)+1,0),0)</f>
        <v>0</v>
      </c>
      <c r="EA185" s="427">
        <f>-IF(AND(EA$11&gt;=EOMONTH('Construction Budget'!$K41,0),EA$11&lt;=EOMONTH('Construction Budget'!$M41,0)),('Construction Budget'!$G41+SUM($G185:DZ185))/ROUND(((EOMONTH('Construction Budget'!$M41,0)-EOMONTH(EA$11,0))/30)+1,0),0)</f>
        <v>0</v>
      </c>
      <c r="EB185" s="427">
        <f>-IF(AND(EB$11&gt;=EOMONTH('Construction Budget'!$K41,0),EB$11&lt;=EOMONTH('Construction Budget'!$M41,0)),('Construction Budget'!$G41+SUM($G185:EA185))/ROUND(((EOMONTH('Construction Budget'!$M41,0)-EOMONTH(EB$11,0))/30)+1,0),0)</f>
        <v>0</v>
      </c>
      <c r="EC185" s="427">
        <f>-IF(AND(EC$11&gt;=EOMONTH('Construction Budget'!$K41,0),EC$11&lt;=EOMONTH('Construction Budget'!$M41,0)),('Construction Budget'!$G41+SUM($G185:EB185))/ROUND(((EOMONTH('Construction Budget'!$M41,0)-EOMONTH(EC$11,0))/30)+1,0),0)</f>
        <v>0</v>
      </c>
      <c r="ED185" s="427">
        <f>-IF(AND(ED$11&gt;=EOMONTH('Construction Budget'!$K41,0),ED$11&lt;=EOMONTH('Construction Budget'!$M41,0)),('Construction Budget'!$G41+SUM($G185:EC185))/ROUND(((EOMONTH('Construction Budget'!$M41,0)-EOMONTH(ED$11,0))/30)+1,0),0)</f>
        <v>0</v>
      </c>
      <c r="EE185" s="427">
        <f>-IF(AND(EE$11&gt;=EOMONTH('Construction Budget'!$K41,0),EE$11&lt;=EOMONTH('Construction Budget'!$M41,0)),('Construction Budget'!$G41+SUM($G185:ED185))/ROUND(((EOMONTH('Construction Budget'!$M41,0)-EOMONTH(EE$11,0))/30)+1,0),0)</f>
        <v>0</v>
      </c>
      <c r="EF185" s="427">
        <f>-IF(AND(EF$11&gt;=EOMONTH('Construction Budget'!$K41,0),EF$11&lt;=EOMONTH('Construction Budget'!$M41,0)),('Construction Budget'!$G41+SUM($G185:EE185))/ROUND(((EOMONTH('Construction Budget'!$M41,0)-EOMONTH(EF$11,0))/30)+1,0),0)</f>
        <v>0</v>
      </c>
      <c r="EG185" s="427">
        <f>-IF(AND(EG$11&gt;=EOMONTH('Construction Budget'!$K41,0),EG$11&lt;=EOMONTH('Construction Budget'!$M41,0)),('Construction Budget'!$G41+SUM($G185:EF185))/ROUND(((EOMONTH('Construction Budget'!$M41,0)-EOMONTH(EG$11,0))/30)+1,0),0)</f>
        <v>0</v>
      </c>
      <c r="EH185" s="427">
        <f>-IF(AND(EH$11&gt;=EOMONTH('Construction Budget'!$K41,0),EH$11&lt;=EOMONTH('Construction Budget'!$M41,0)),('Construction Budget'!$G41+SUM($G185:EG185))/ROUND(((EOMONTH('Construction Budget'!$M41,0)-EOMONTH(EH$11,0))/30)+1,0),0)</f>
        <v>0</v>
      </c>
      <c r="EI185" s="427">
        <f>-IF(AND(EI$11&gt;=EOMONTH('Construction Budget'!$K41,0),EI$11&lt;=EOMONTH('Construction Budget'!$M41,0)),('Construction Budget'!$G41+SUM($G185:EH185))/ROUND(((EOMONTH('Construction Budget'!$M41,0)-EOMONTH(EI$11,0))/30)+1,0),0)</f>
        <v>0</v>
      </c>
      <c r="EJ185" s="427">
        <f>-IF(AND(EJ$11&gt;=EOMONTH('Construction Budget'!$K41,0),EJ$11&lt;=EOMONTH('Construction Budget'!$M41,0)),('Construction Budget'!$G41+SUM($G185:EI185))/ROUND(((EOMONTH('Construction Budget'!$M41,0)-EOMONTH(EJ$11,0))/30)+1,0),0)</f>
        <v>0</v>
      </c>
      <c r="EK185" s="427">
        <f>-IF(AND(EK$11&gt;=EOMONTH('Construction Budget'!$K41,0),EK$11&lt;=EOMONTH('Construction Budget'!$M41,0)),('Construction Budget'!$G41+SUM($G185:EJ185))/ROUND(((EOMONTH('Construction Budget'!$M41,0)-EOMONTH(EK$11,0))/30)+1,0),0)</f>
        <v>0</v>
      </c>
      <c r="EL185" s="427">
        <f>-IF(AND(EL$11&gt;=EOMONTH('Construction Budget'!$K41,0),EL$11&lt;=EOMONTH('Construction Budget'!$M41,0)),('Construction Budget'!$G41+SUM($G185:EK185))/ROUND(((EOMONTH('Construction Budget'!$M41,0)-EOMONTH(EL$11,0))/30)+1,0),0)</f>
        <v>0</v>
      </c>
      <c r="EM185" s="427">
        <f>-IF(AND(EM$11&gt;=EOMONTH('Construction Budget'!$K41,0),EM$11&lt;=EOMONTH('Construction Budget'!$M41,0)),('Construction Budget'!$G41+SUM($G185:EL185))/ROUND(((EOMONTH('Construction Budget'!$M41,0)-EOMONTH(EM$11,0))/30)+1,0),0)</f>
        <v>0</v>
      </c>
      <c r="EN185" s="427">
        <f>-IF(AND(EN$11&gt;=EOMONTH('Construction Budget'!$K41,0),EN$11&lt;=EOMONTH('Construction Budget'!$M41,0)),('Construction Budget'!$G41+SUM($G185:EM185))/ROUND(((EOMONTH('Construction Budget'!$M41,0)-EOMONTH(EN$11,0))/30)+1,0),0)</f>
        <v>0</v>
      </c>
      <c r="EO185" s="427">
        <f>-IF(AND(EO$11&gt;=EOMONTH('Construction Budget'!$K41,0),EO$11&lt;=EOMONTH('Construction Budget'!$M41,0)),('Construction Budget'!$G41+SUM($G185:EN185))/ROUND(((EOMONTH('Construction Budget'!$M41,0)-EOMONTH(EO$11,0))/30)+1,0),0)</f>
        <v>0</v>
      </c>
      <c r="EP185" s="427">
        <f>-IF(AND(EP$11&gt;=EOMONTH('Construction Budget'!$K41,0),EP$11&lt;=EOMONTH('Construction Budget'!$M41,0)),('Construction Budget'!$G41+SUM($G185:EO185))/ROUND(((EOMONTH('Construction Budget'!$M41,0)-EOMONTH(EP$11,0))/30)+1,0),0)</f>
        <v>0</v>
      </c>
      <c r="EQ185" s="427">
        <f>-IF(AND(EQ$11&gt;=EOMONTH('Construction Budget'!$K41,0),EQ$11&lt;=EOMONTH('Construction Budget'!$M41,0)),('Construction Budget'!$G41+SUM($G185:EP185))/ROUND(((EOMONTH('Construction Budget'!$M41,0)-EOMONTH(EQ$11,0))/30)+1,0),0)</f>
        <v>0</v>
      </c>
      <c r="ER185" s="427">
        <f>-IF(AND(ER$11&gt;=EOMONTH('Construction Budget'!$K41,0),ER$11&lt;=EOMONTH('Construction Budget'!$M41,0)),('Construction Budget'!$G41+SUM($G185:EQ185))/ROUND(((EOMONTH('Construction Budget'!$M41,0)-EOMONTH(ER$11,0))/30)+1,0),0)</f>
        <v>0</v>
      </c>
      <c r="ES185" s="427">
        <f>-IF(AND(ES$11&gt;=EOMONTH('Construction Budget'!$K41,0),ES$11&lt;=EOMONTH('Construction Budget'!$M41,0)),('Construction Budget'!$G41+SUM($G185:ER185))/ROUND(((EOMONTH('Construction Budget'!$M41,0)-EOMONTH(ES$11,0))/30)+1,0),0)</f>
        <v>0</v>
      </c>
      <c r="ET185" s="427">
        <f>-IF(AND(ET$11&gt;=EOMONTH('Construction Budget'!$K41,0),ET$11&lt;=EOMONTH('Construction Budget'!$M41,0)),('Construction Budget'!$G41+SUM($G185:ES185))/ROUND(((EOMONTH('Construction Budget'!$M41,0)-EOMONTH(ET$11,0))/30)+1,0),0)</f>
        <v>0</v>
      </c>
      <c r="EU185" s="427">
        <f>-IF(AND(EU$11&gt;=EOMONTH('Construction Budget'!$K41,0),EU$11&lt;=EOMONTH('Construction Budget'!$M41,0)),('Construction Budget'!$G41+SUM($G185:ET185))/ROUND(((EOMONTH('Construction Budget'!$M41,0)-EOMONTH(EU$11,0))/30)+1,0),0)</f>
        <v>0</v>
      </c>
      <c r="EV185" s="427">
        <f>-IF(AND(EV$11&gt;=EOMONTH('Construction Budget'!$K41,0),EV$11&lt;=EOMONTH('Construction Budget'!$M41,0)),('Construction Budget'!$G41+SUM($G185:EU185))/ROUND(((EOMONTH('Construction Budget'!$M41,0)-EOMONTH(EV$11,0))/30)+1,0),0)</f>
        <v>0</v>
      </c>
      <c r="EW185" s="427">
        <f>-IF(AND(EW$11&gt;=EOMONTH('Construction Budget'!$K41,0),EW$11&lt;=EOMONTH('Construction Budget'!$M41,0)),('Construction Budget'!$G41+SUM($G185:EV185))/ROUND(((EOMONTH('Construction Budget'!$M41,0)-EOMONTH(EW$11,0))/30)+1,0),0)</f>
        <v>0</v>
      </c>
      <c r="EX185" s="427">
        <f>-IF(AND(EX$11&gt;=EOMONTH('Construction Budget'!$K41,0),EX$11&lt;=EOMONTH('Construction Budget'!$M41,0)),('Construction Budget'!$G41+SUM($G185:EW185))/ROUND(((EOMONTH('Construction Budget'!$M41,0)-EOMONTH(EX$11,0))/30)+1,0),0)</f>
        <v>0</v>
      </c>
      <c r="EY185" s="427">
        <f>-IF(AND(EY$11&gt;=EOMONTH('Construction Budget'!$K41,0),EY$11&lt;=EOMONTH('Construction Budget'!$M41,0)),('Construction Budget'!$G41+SUM($G185:EX185))/ROUND(((EOMONTH('Construction Budget'!$M41,0)-EOMONTH(EY$11,0))/30)+1,0),0)</f>
        <v>0</v>
      </c>
      <c r="EZ185" s="427">
        <f>-IF(AND(EZ$11&gt;=EOMONTH('Construction Budget'!$K41,0),EZ$11&lt;=EOMONTH('Construction Budget'!$M41,0)),('Construction Budget'!$G41+SUM($G185:EY185))/ROUND(((EOMONTH('Construction Budget'!$M41,0)-EOMONTH(EZ$11,0))/30)+1,0),0)</f>
        <v>0</v>
      </c>
      <c r="FA185" s="427">
        <f>-IF(AND(FA$11&gt;=EOMONTH('Construction Budget'!$K41,0),FA$11&lt;=EOMONTH('Construction Budget'!$M41,0)),('Construction Budget'!$G41+SUM($G185:EZ185))/ROUND(((EOMONTH('Construction Budget'!$M41,0)-EOMONTH(FA$11,0))/30)+1,0),0)</f>
        <v>0</v>
      </c>
      <c r="FB185" s="427">
        <f>-IF(AND(FB$11&gt;=EOMONTH('Construction Budget'!$K41,0),FB$11&lt;=EOMONTH('Construction Budget'!$M41,0)),('Construction Budget'!$G41+SUM($G185:FA185))/ROUND(((EOMONTH('Construction Budget'!$M41,0)-EOMONTH(FB$11,0))/30)+1,0),0)</f>
        <v>0</v>
      </c>
      <c r="FC185" s="427">
        <f>-IF(AND(FC$11&gt;=EOMONTH('Construction Budget'!$K41,0),FC$11&lt;=EOMONTH('Construction Budget'!$M41,0)),('Construction Budget'!$G41+SUM($G185:FB185))/ROUND(((EOMONTH('Construction Budget'!$M41,0)-EOMONTH(FC$11,0))/30)+1,0),0)</f>
        <v>0</v>
      </c>
      <c r="FD185" s="427">
        <f>-IF(AND(FD$11&gt;=EOMONTH('Construction Budget'!$K41,0),FD$11&lt;=EOMONTH('Construction Budget'!$M41,0)),('Construction Budget'!$G41+SUM($G185:FC185))/ROUND(((EOMONTH('Construction Budget'!$M41,0)-EOMONTH(FD$11,0))/30)+1,0),0)</f>
        <v>0</v>
      </c>
      <c r="FE185" s="427">
        <f>-IF(AND(FE$11&gt;=EOMONTH('Construction Budget'!$K41,0),FE$11&lt;=EOMONTH('Construction Budget'!$M41,0)),('Construction Budget'!$G41+SUM($G185:FD185))/ROUND(((EOMONTH('Construction Budget'!$M41,0)-EOMONTH(FE$11,0))/30)+1,0),0)</f>
        <v>0</v>
      </c>
      <c r="FF185" s="427">
        <f>-IF(AND(FF$11&gt;=EOMONTH('Construction Budget'!$K41,0),FF$11&lt;=EOMONTH('Construction Budget'!$M41,0)),('Construction Budget'!$G41+SUM($G185:FE185))/ROUND(((EOMONTH('Construction Budget'!$M41,0)-EOMONTH(FF$11,0))/30)+1,0),0)</f>
        <v>0</v>
      </c>
      <c r="FG185" s="427">
        <f>-IF(AND(FG$11&gt;=EOMONTH('Construction Budget'!$K41,0),FG$11&lt;=EOMONTH('Construction Budget'!$M41,0)),('Construction Budget'!$G41+SUM($G185:FF185))/ROUND(((EOMONTH('Construction Budget'!$M41,0)-EOMONTH(FG$11,0))/30)+1,0),0)</f>
        <v>0</v>
      </c>
      <c r="FH185" s="427">
        <f>-IF(AND(FH$11&gt;=EOMONTH('Construction Budget'!$K41,0),FH$11&lt;=EOMONTH('Construction Budget'!$M41,0)),('Construction Budget'!$G41+SUM($G185:FG185))/ROUND(((EOMONTH('Construction Budget'!$M41,0)-EOMONTH(FH$11,0))/30)+1,0),0)</f>
        <v>0</v>
      </c>
      <c r="FI185" s="427">
        <f>-IF(AND(FI$11&gt;=EOMONTH('Construction Budget'!$K41,0),FI$11&lt;=EOMONTH('Construction Budget'!$M41,0)),('Construction Budget'!$G41+SUM($G185:FH185))/ROUND(((EOMONTH('Construction Budget'!$M41,0)-EOMONTH(FI$11,0))/30)+1,0),0)</f>
        <v>0</v>
      </c>
      <c r="FJ185" s="427">
        <f>-IF(AND(FJ$11&gt;=EOMONTH('Construction Budget'!$K41,0),FJ$11&lt;=EOMONTH('Construction Budget'!$M41,0)),('Construction Budget'!$G41+SUM($G185:FI185))/ROUND(((EOMONTH('Construction Budget'!$M41,0)-EOMONTH(FJ$11,0))/30)+1,0),0)</f>
        <v>0</v>
      </c>
      <c r="FK185" s="427">
        <f>-IF(AND(FK$11&gt;=EOMONTH('Construction Budget'!$K41,0),FK$11&lt;=EOMONTH('Construction Budget'!$M41,0)),('Construction Budget'!$G41+SUM($G185:FJ185))/ROUND(((EOMONTH('Construction Budget'!$M41,0)-EOMONTH(FK$11,0))/30)+1,0),0)</f>
        <v>0</v>
      </c>
      <c r="FL185" s="427">
        <f>-IF(AND(FL$11&gt;=EOMONTH('Construction Budget'!$K41,0),FL$11&lt;=EOMONTH('Construction Budget'!$M41,0)),('Construction Budget'!$G41+SUM($G185:FK185))/ROUND(((EOMONTH('Construction Budget'!$M41,0)-EOMONTH(FL$11,0))/30)+1,0),0)</f>
        <v>0</v>
      </c>
      <c r="FM185" s="427">
        <f>-IF(AND(FM$11&gt;=EOMONTH('Construction Budget'!$K41,0),FM$11&lt;=EOMONTH('Construction Budget'!$M41,0)),('Construction Budget'!$G41+SUM($G185:FL185))/ROUND(((EOMONTH('Construction Budget'!$M41,0)-EOMONTH(FM$11,0))/30)+1,0),0)</f>
        <v>0</v>
      </c>
      <c r="FN185" s="427">
        <f>-IF(AND(FN$11&gt;=EOMONTH('Construction Budget'!$K41,0),FN$11&lt;=EOMONTH('Construction Budget'!$M41,0)),('Construction Budget'!$G41+SUM($G185:FM185))/ROUND(((EOMONTH('Construction Budget'!$M41,0)-EOMONTH(FN$11,0))/30)+1,0),0)</f>
        <v>0</v>
      </c>
      <c r="FO185" s="427">
        <f>-IF(AND(FO$11&gt;=EOMONTH('Construction Budget'!$K41,0),FO$11&lt;=EOMONTH('Construction Budget'!$M41,0)),('Construction Budget'!$G41+SUM($G185:FN185))/ROUND(((EOMONTH('Construction Budget'!$M41,0)-EOMONTH(FO$11,0))/30)+1,0),0)</f>
        <v>0</v>
      </c>
      <c r="FP185" s="427">
        <f>-IF(AND(FP$11&gt;=EOMONTH('Construction Budget'!$K41,0),FP$11&lt;=EOMONTH('Construction Budget'!$M41,0)),('Construction Budget'!$G41+SUM($G185:FO185))/ROUND(((EOMONTH('Construction Budget'!$M41,0)-EOMONTH(FP$11,0))/30)+1,0),0)</f>
        <v>0</v>
      </c>
      <c r="FQ185" s="427">
        <f>-IF(AND(FQ$11&gt;=EOMONTH('Construction Budget'!$K41,0),FQ$11&lt;=EOMONTH('Construction Budget'!$M41,0)),('Construction Budget'!$G41+SUM($G185:FP185))/ROUND(((EOMONTH('Construction Budget'!$M41,0)-EOMONTH(FQ$11,0))/30)+1,0),0)</f>
        <v>0</v>
      </c>
      <c r="FR185" s="427">
        <f>-IF(AND(FR$11&gt;=EOMONTH('Construction Budget'!$K41,0),FR$11&lt;=EOMONTH('Construction Budget'!$M41,0)),('Construction Budget'!$G41+SUM($G185:FQ185))/ROUND(((EOMONTH('Construction Budget'!$M41,0)-EOMONTH(FR$11,0))/30)+1,0),0)</f>
        <v>0</v>
      </c>
      <c r="FS185" s="427">
        <f>-IF(AND(FS$11&gt;=EOMONTH('Construction Budget'!$K41,0),FS$11&lt;=EOMONTH('Construction Budget'!$M41,0)),('Construction Budget'!$G41+SUM($G185:FR185))/ROUND(((EOMONTH('Construction Budget'!$M41,0)-EOMONTH(FS$11,0))/30)+1,0),0)</f>
        <v>0</v>
      </c>
      <c r="FT185" s="427">
        <f>-IF(AND(FT$11&gt;=EOMONTH('Construction Budget'!$K41,0),FT$11&lt;=EOMONTH('Construction Budget'!$M41,0)),('Construction Budget'!$G41+SUM($G185:FS185))/ROUND(((EOMONTH('Construction Budget'!$M41,0)-EOMONTH(FT$11,0))/30)+1,0),0)</f>
        <v>0</v>
      </c>
      <c r="FU185" s="43"/>
      <c r="FV185" s="34"/>
      <c r="FW185" s="34"/>
      <c r="FX185" s="34"/>
      <c r="FY185" s="34"/>
      <c r="FZ185" s="34"/>
    </row>
    <row r="186" spans="1:182" s="89" customFormat="1" ht="13.5" hidden="1" outlineLevel="1" x14ac:dyDescent="0.25">
      <c r="A186" s="498"/>
      <c r="B186" s="128" t="str">
        <f>'Construction Budget'!B42</f>
        <v>Blank</v>
      </c>
      <c r="C186" s="34"/>
      <c r="D186" s="34"/>
      <c r="E186" s="34"/>
      <c r="F186" s="434">
        <f t="shared" si="232"/>
        <v>0</v>
      </c>
      <c r="G186" s="34"/>
      <c r="H186" s="427">
        <f>-IF(AND(H$11&gt;=EOMONTH('Construction Budget'!$K42,0),H$11&lt;=EOMONTH('Construction Budget'!$M42,0)),('Construction Budget'!$G42+SUM($G186:G186))/ROUND(((EOMONTH('Construction Budget'!$M42,0)-EOMONTH(H$11,0))/30)+1,0),0)</f>
        <v>0</v>
      </c>
      <c r="I186" s="427">
        <f>-IF(AND(I$11&gt;=EOMONTH('Construction Budget'!$K42,0),I$11&lt;=EOMONTH('Construction Budget'!$M42,0)),('Construction Budget'!$G42+SUM($G186:H186))/ROUND(((EOMONTH('Construction Budget'!$M42,0)-EOMONTH(I$11,0))/30)+1,0),0)</f>
        <v>0</v>
      </c>
      <c r="J186" s="427">
        <f>-IF(AND(J$11&gt;=EOMONTH('Construction Budget'!$K42,0),J$11&lt;=EOMONTH('Construction Budget'!$M42,0)),('Construction Budget'!$G42+SUM($G186:I186))/ROUND(((EOMONTH('Construction Budget'!$M42,0)-EOMONTH(J$11,0))/30)+1,0),0)</f>
        <v>0</v>
      </c>
      <c r="K186" s="427">
        <f>-IF(AND(K$11&gt;=EOMONTH('Construction Budget'!$K42,0),K$11&lt;=EOMONTH('Construction Budget'!$M42,0)),('Construction Budget'!$G42+SUM($G186:J186))/ROUND(((EOMONTH('Construction Budget'!$M42,0)-EOMONTH(K$11,0))/30)+1,0),0)</f>
        <v>0</v>
      </c>
      <c r="L186" s="427">
        <f>-IF(AND(L$11&gt;=EOMONTH('Construction Budget'!$K42,0),L$11&lt;=EOMONTH('Construction Budget'!$M42,0)),('Construction Budget'!$G42+SUM($G186:K186))/ROUND(((EOMONTH('Construction Budget'!$M42,0)-EOMONTH(L$11,0))/30)+1,0),0)</f>
        <v>0</v>
      </c>
      <c r="M186" s="427">
        <f>-IF(AND(M$11&gt;=EOMONTH('Construction Budget'!$K42,0),M$11&lt;=EOMONTH('Construction Budget'!$M42,0)),('Construction Budget'!$G42+SUM($G186:L186))/ROUND(((EOMONTH('Construction Budget'!$M42,0)-EOMONTH(M$11,0))/30)+1,0),0)</f>
        <v>0</v>
      </c>
      <c r="N186" s="427">
        <f>-IF(AND(N$11&gt;=EOMONTH('Construction Budget'!$K42,0),N$11&lt;=EOMONTH('Construction Budget'!$M42,0)),('Construction Budget'!$G42+SUM($G186:M186))/ROUND(((EOMONTH('Construction Budget'!$M42,0)-EOMONTH(N$11,0))/30)+1,0),0)</f>
        <v>0</v>
      </c>
      <c r="O186" s="427">
        <f>-IF(AND(O$11&gt;=EOMONTH('Construction Budget'!$K42,0),O$11&lt;=EOMONTH('Construction Budget'!$M42,0)),('Construction Budget'!$G42+SUM($G186:N186))/ROUND(((EOMONTH('Construction Budget'!$M42,0)-EOMONTH(O$11,0))/30)+1,0),0)</f>
        <v>0</v>
      </c>
      <c r="P186" s="427">
        <f>-IF(AND(P$11&gt;=EOMONTH('Construction Budget'!$K42,0),P$11&lt;=EOMONTH('Construction Budget'!$M42,0)),('Construction Budget'!$G42+SUM($G186:O186))/ROUND(((EOMONTH('Construction Budget'!$M42,0)-EOMONTH(P$11,0))/30)+1,0),0)</f>
        <v>0</v>
      </c>
      <c r="Q186" s="427">
        <f>-IF(AND(Q$11&gt;=EOMONTH('Construction Budget'!$K42,0),Q$11&lt;=EOMONTH('Construction Budget'!$M42,0)),('Construction Budget'!$G42+SUM($G186:P186))/ROUND(((EOMONTH('Construction Budget'!$M42,0)-EOMONTH(Q$11,0))/30)+1,0),0)</f>
        <v>0</v>
      </c>
      <c r="R186" s="427">
        <f>-IF(AND(R$11&gt;=EOMONTH('Construction Budget'!$K42,0),R$11&lt;=EOMONTH('Construction Budget'!$M42,0)),('Construction Budget'!$G42+SUM($G186:Q186))/ROUND(((EOMONTH('Construction Budget'!$M42,0)-EOMONTH(R$11,0))/30)+1,0),0)</f>
        <v>0</v>
      </c>
      <c r="S186" s="427">
        <f>-IF(AND(S$11&gt;=EOMONTH('Construction Budget'!$K42,0),S$11&lt;=EOMONTH('Construction Budget'!$M42,0)),('Construction Budget'!$G42+SUM($G186:R186))/ROUND(((EOMONTH('Construction Budget'!$M42,0)-EOMONTH(S$11,0))/30)+1,0),0)</f>
        <v>0</v>
      </c>
      <c r="T186" s="427">
        <f>-IF(AND(T$11&gt;=EOMONTH('Construction Budget'!$K42,0),T$11&lt;=EOMONTH('Construction Budget'!$M42,0)),('Construction Budget'!$G42+SUM($G186:S186))/ROUND(((EOMONTH('Construction Budget'!$M42,0)-EOMONTH(T$11,0))/30)+1,0),0)</f>
        <v>0</v>
      </c>
      <c r="U186" s="427">
        <f>-IF(AND(U$11&gt;=EOMONTH('Construction Budget'!$K42,0),U$11&lt;=EOMONTH('Construction Budget'!$M42,0)),('Construction Budget'!$G42+SUM($G186:T186))/ROUND(((EOMONTH('Construction Budget'!$M42,0)-EOMONTH(U$11,0))/30)+1,0),0)</f>
        <v>0</v>
      </c>
      <c r="V186" s="427">
        <f>-IF(AND(V$11&gt;=EOMONTH('Construction Budget'!$K42,0),V$11&lt;=EOMONTH('Construction Budget'!$M42,0)),('Construction Budget'!$G42+SUM($G186:U186))/ROUND(((EOMONTH('Construction Budget'!$M42,0)-EOMONTH(V$11,0))/30)+1,0),0)</f>
        <v>0</v>
      </c>
      <c r="W186" s="427">
        <f>-IF(AND(W$11&gt;=EOMONTH('Construction Budget'!$K42,0),W$11&lt;=EOMONTH('Construction Budget'!$M42,0)),('Construction Budget'!$G42+SUM($G186:V186))/ROUND(((EOMONTH('Construction Budget'!$M42,0)-EOMONTH(W$11,0))/30)+1,0),0)</f>
        <v>0</v>
      </c>
      <c r="X186" s="427">
        <f>-IF(AND(X$11&gt;=EOMONTH('Construction Budget'!$K42,0),X$11&lt;=EOMONTH('Construction Budget'!$M42,0)),('Construction Budget'!$G42+SUM($G186:W186))/ROUND(((EOMONTH('Construction Budget'!$M42,0)-EOMONTH(X$11,0))/30)+1,0),0)</f>
        <v>0</v>
      </c>
      <c r="Y186" s="427">
        <f>-IF(AND(Y$11&gt;=EOMONTH('Construction Budget'!$K42,0),Y$11&lt;=EOMONTH('Construction Budget'!$M42,0)),('Construction Budget'!$G42+SUM($G186:X186))/ROUND(((EOMONTH('Construction Budget'!$M42,0)-EOMONTH(Y$11,0))/30)+1,0),0)</f>
        <v>0</v>
      </c>
      <c r="Z186" s="427">
        <f>-IF(AND(Z$11&gt;=EOMONTH('Construction Budget'!$K42,0),Z$11&lt;=EOMONTH('Construction Budget'!$M42,0)),('Construction Budget'!$G42+SUM($G186:Y186))/ROUND(((EOMONTH('Construction Budget'!$M42,0)-EOMONTH(Z$11,0))/30)+1,0),0)</f>
        <v>0</v>
      </c>
      <c r="AA186" s="427">
        <f>-IF(AND(AA$11&gt;=EOMONTH('Construction Budget'!$K42,0),AA$11&lt;=EOMONTH('Construction Budget'!$M42,0)),('Construction Budget'!$G42+SUM($G186:Z186))/ROUND(((EOMONTH('Construction Budget'!$M42,0)-EOMONTH(AA$11,0))/30)+1,0),0)</f>
        <v>0</v>
      </c>
      <c r="AB186" s="427">
        <f>-IF(AND(AB$11&gt;=EOMONTH('Construction Budget'!$K42,0),AB$11&lt;=EOMONTH('Construction Budget'!$M42,0)),('Construction Budget'!$G42+SUM($G186:AA186))/ROUND(((EOMONTH('Construction Budget'!$M42,0)-EOMONTH(AB$11,0))/30)+1,0),0)</f>
        <v>0</v>
      </c>
      <c r="AC186" s="427">
        <f>-IF(AND(AC$11&gt;=EOMONTH('Construction Budget'!$K42,0),AC$11&lt;=EOMONTH('Construction Budget'!$M42,0)),('Construction Budget'!$G42+SUM($G186:AB186))/ROUND(((EOMONTH('Construction Budget'!$M42,0)-EOMONTH(AC$11,0))/30)+1,0),0)</f>
        <v>0</v>
      </c>
      <c r="AD186" s="427">
        <f>-IF(AND(AD$11&gt;=EOMONTH('Construction Budget'!$K42,0),AD$11&lt;=EOMONTH('Construction Budget'!$M42,0)),('Construction Budget'!$G42+SUM($G186:AC186))/ROUND(((EOMONTH('Construction Budget'!$M42,0)-EOMONTH(AD$11,0))/30)+1,0),0)</f>
        <v>0</v>
      </c>
      <c r="AE186" s="427">
        <f>-IF(AND(AE$11&gt;=EOMONTH('Construction Budget'!$K42,0),AE$11&lt;=EOMONTH('Construction Budget'!$M42,0)),('Construction Budget'!$G42+SUM($G186:AD186))/ROUND(((EOMONTH('Construction Budget'!$M42,0)-EOMONTH(AE$11,0))/30)+1,0),0)</f>
        <v>0</v>
      </c>
      <c r="AF186" s="427">
        <f>-IF(AND(AF$11&gt;=EOMONTH('Construction Budget'!$K42,0),AF$11&lt;=EOMONTH('Construction Budget'!$M42,0)),('Construction Budget'!$G42+SUM($G186:AE186))/ROUND(((EOMONTH('Construction Budget'!$M42,0)-EOMONTH(AF$11,0))/30)+1,0),0)</f>
        <v>0</v>
      </c>
      <c r="AG186" s="427">
        <f>-IF(AND(AG$11&gt;=EOMONTH('Construction Budget'!$K42,0),AG$11&lt;=EOMONTH('Construction Budget'!$M42,0)),('Construction Budget'!$G42+SUM($G186:AF186))/ROUND(((EOMONTH('Construction Budget'!$M42,0)-EOMONTH(AG$11,0))/30)+1,0),0)</f>
        <v>0</v>
      </c>
      <c r="AH186" s="427">
        <f>-IF(AND(AH$11&gt;=EOMONTH('Construction Budget'!$K42,0),AH$11&lt;=EOMONTH('Construction Budget'!$M42,0)),('Construction Budget'!$G42+SUM($G186:AG186))/ROUND(((EOMONTH('Construction Budget'!$M42,0)-EOMONTH(AH$11,0))/30)+1,0),0)</f>
        <v>0</v>
      </c>
      <c r="AI186" s="427">
        <f>-IF(AND(AI$11&gt;=EOMONTH('Construction Budget'!$K42,0),AI$11&lt;=EOMONTH('Construction Budget'!$M42,0)),('Construction Budget'!$G42+SUM($G186:AH186))/ROUND(((EOMONTH('Construction Budget'!$M42,0)-EOMONTH(AI$11,0))/30)+1,0),0)</f>
        <v>0</v>
      </c>
      <c r="AJ186" s="427">
        <f>-IF(AND(AJ$11&gt;=EOMONTH('Construction Budget'!$K42,0),AJ$11&lt;=EOMONTH('Construction Budget'!$M42,0)),('Construction Budget'!$G42+SUM($G186:AI186))/ROUND(((EOMONTH('Construction Budget'!$M42,0)-EOMONTH(AJ$11,0))/30)+1,0),0)</f>
        <v>0</v>
      </c>
      <c r="AK186" s="427">
        <f>-IF(AND(AK$11&gt;=EOMONTH('Construction Budget'!$K42,0),AK$11&lt;=EOMONTH('Construction Budget'!$M42,0)),('Construction Budget'!$G42+SUM($G186:AJ186))/ROUND(((EOMONTH('Construction Budget'!$M42,0)-EOMONTH(AK$11,0))/30)+1,0),0)</f>
        <v>0</v>
      </c>
      <c r="AL186" s="427">
        <f>-IF(AND(AL$11&gt;=EOMONTH('Construction Budget'!$K42,0),AL$11&lt;=EOMONTH('Construction Budget'!$M42,0)),('Construction Budget'!$G42+SUM($G186:AK186))/ROUND(((EOMONTH('Construction Budget'!$M42,0)-EOMONTH(AL$11,0))/30)+1,0),0)</f>
        <v>0</v>
      </c>
      <c r="AM186" s="427">
        <f>-IF(AND(AM$11&gt;=EOMONTH('Construction Budget'!$K42,0),AM$11&lt;=EOMONTH('Construction Budget'!$M42,0)),('Construction Budget'!$G42+SUM($G186:AL186))/ROUND(((EOMONTH('Construction Budget'!$M42,0)-EOMONTH(AM$11,0))/30)+1,0),0)</f>
        <v>0</v>
      </c>
      <c r="AN186" s="427">
        <f>-IF(AND(AN$11&gt;=EOMONTH('Construction Budget'!$K42,0),AN$11&lt;=EOMONTH('Construction Budget'!$M42,0)),('Construction Budget'!$G42+SUM($G186:AM186))/ROUND(((EOMONTH('Construction Budget'!$M42,0)-EOMONTH(AN$11,0))/30)+1,0),0)</f>
        <v>0</v>
      </c>
      <c r="AO186" s="427">
        <f>-IF(AND(AO$11&gt;=EOMONTH('Construction Budget'!$K42,0),AO$11&lt;=EOMONTH('Construction Budget'!$M42,0)),('Construction Budget'!$G42+SUM($G186:AN186))/ROUND(((EOMONTH('Construction Budget'!$M42,0)-EOMONTH(AO$11,0))/30)+1,0),0)</f>
        <v>0</v>
      </c>
      <c r="AP186" s="427">
        <f>-IF(AND(AP$11&gt;=EOMONTH('Construction Budget'!$K42,0),AP$11&lt;=EOMONTH('Construction Budget'!$M42,0)),('Construction Budget'!$G42+SUM($G186:AO186))/ROUND(((EOMONTH('Construction Budget'!$M42,0)-EOMONTH(AP$11,0))/30)+1,0),0)</f>
        <v>0</v>
      </c>
      <c r="AQ186" s="427">
        <f>-IF(AND(AQ$11&gt;=EOMONTH('Construction Budget'!$K42,0),AQ$11&lt;=EOMONTH('Construction Budget'!$M42,0)),('Construction Budget'!$G42+SUM($G186:AP186))/ROUND(((EOMONTH('Construction Budget'!$M42,0)-EOMONTH(AQ$11,0))/30)+1,0),0)</f>
        <v>0</v>
      </c>
      <c r="AR186" s="427">
        <f>-IF(AND(AR$11&gt;=EOMONTH('Construction Budget'!$K42,0),AR$11&lt;=EOMONTH('Construction Budget'!$M42,0)),('Construction Budget'!$G42+SUM($G186:AQ186))/ROUND(((EOMONTH('Construction Budget'!$M42,0)-EOMONTH(AR$11,0))/30)+1,0),0)</f>
        <v>0</v>
      </c>
      <c r="AS186" s="427">
        <f>-IF(AND(AS$11&gt;=EOMONTH('Construction Budget'!$K42,0),AS$11&lt;=EOMONTH('Construction Budget'!$M42,0)),('Construction Budget'!$G42+SUM($G186:AR186))/ROUND(((EOMONTH('Construction Budget'!$M42,0)-EOMONTH(AS$11,0))/30)+1,0),0)</f>
        <v>0</v>
      </c>
      <c r="AT186" s="427">
        <f>-IF(AND(AT$11&gt;=EOMONTH('Construction Budget'!$K42,0),AT$11&lt;=EOMONTH('Construction Budget'!$M42,0)),('Construction Budget'!$G42+SUM($G186:AS186))/ROUND(((EOMONTH('Construction Budget'!$M42,0)-EOMONTH(AT$11,0))/30)+1,0),0)</f>
        <v>0</v>
      </c>
      <c r="AU186" s="427">
        <f>-IF(AND(AU$11&gt;=EOMONTH('Construction Budget'!$K42,0),AU$11&lt;=EOMONTH('Construction Budget'!$M42,0)),('Construction Budget'!$G42+SUM($G186:AT186))/ROUND(((EOMONTH('Construction Budget'!$M42,0)-EOMONTH(AU$11,0))/30)+1,0),0)</f>
        <v>0</v>
      </c>
      <c r="AV186" s="427">
        <f>-IF(AND(AV$11&gt;=EOMONTH('Construction Budget'!$K42,0),AV$11&lt;=EOMONTH('Construction Budget'!$M42,0)),('Construction Budget'!$G42+SUM($G186:AU186))/ROUND(((EOMONTH('Construction Budget'!$M42,0)-EOMONTH(AV$11,0))/30)+1,0),0)</f>
        <v>0</v>
      </c>
      <c r="AW186" s="427">
        <f>-IF(AND(AW$11&gt;=EOMONTH('Construction Budget'!$K42,0),AW$11&lt;=EOMONTH('Construction Budget'!$M42,0)),('Construction Budget'!$G42+SUM($G186:AV186))/ROUND(((EOMONTH('Construction Budget'!$M42,0)-EOMONTH(AW$11,0))/30)+1,0),0)</f>
        <v>0</v>
      </c>
      <c r="AX186" s="427">
        <f>-IF(AND(AX$11&gt;=EOMONTH('Construction Budget'!$K42,0),AX$11&lt;=EOMONTH('Construction Budget'!$M42,0)),('Construction Budget'!$G42+SUM($G186:AW186))/ROUND(((EOMONTH('Construction Budget'!$M42,0)-EOMONTH(AX$11,0))/30)+1,0),0)</f>
        <v>0</v>
      </c>
      <c r="AY186" s="427">
        <f>-IF(AND(AY$11&gt;=EOMONTH('Construction Budget'!$K42,0),AY$11&lt;=EOMONTH('Construction Budget'!$M42,0)),('Construction Budget'!$G42+SUM($G186:AX186))/ROUND(((EOMONTH('Construction Budget'!$M42,0)-EOMONTH(AY$11,0))/30)+1,0),0)</f>
        <v>0</v>
      </c>
      <c r="AZ186" s="427">
        <f>-IF(AND(AZ$11&gt;=EOMONTH('Construction Budget'!$K42,0),AZ$11&lt;=EOMONTH('Construction Budget'!$M42,0)),('Construction Budget'!$G42+SUM($G186:AY186))/ROUND(((EOMONTH('Construction Budget'!$M42,0)-EOMONTH(AZ$11,0))/30)+1,0),0)</f>
        <v>0</v>
      </c>
      <c r="BA186" s="427">
        <f>-IF(AND(BA$11&gt;=EOMONTH('Construction Budget'!$K42,0),BA$11&lt;=EOMONTH('Construction Budget'!$M42,0)),('Construction Budget'!$G42+SUM($G186:AZ186))/ROUND(((EOMONTH('Construction Budget'!$M42,0)-EOMONTH(BA$11,0))/30)+1,0),0)</f>
        <v>0</v>
      </c>
      <c r="BB186" s="427">
        <f>-IF(AND(BB$11&gt;=EOMONTH('Construction Budget'!$K42,0),BB$11&lt;=EOMONTH('Construction Budget'!$M42,0)),('Construction Budget'!$G42+SUM($G186:BA186))/ROUND(((EOMONTH('Construction Budget'!$M42,0)-EOMONTH(BB$11,0))/30)+1,0),0)</f>
        <v>0</v>
      </c>
      <c r="BC186" s="427">
        <f>-IF(AND(BC$11&gt;=EOMONTH('Construction Budget'!$K42,0),BC$11&lt;=EOMONTH('Construction Budget'!$M42,0)),('Construction Budget'!$G42+SUM($G186:BB186))/ROUND(((EOMONTH('Construction Budget'!$M42,0)-EOMONTH(BC$11,0))/30)+1,0),0)</f>
        <v>0</v>
      </c>
      <c r="BD186" s="427">
        <f>-IF(AND(BD$11&gt;=EOMONTH('Construction Budget'!$K42,0),BD$11&lt;=EOMONTH('Construction Budget'!$M42,0)),('Construction Budget'!$G42+SUM($G186:BC186))/ROUND(((EOMONTH('Construction Budget'!$M42,0)-EOMONTH(BD$11,0))/30)+1,0),0)</f>
        <v>0</v>
      </c>
      <c r="BE186" s="427">
        <f>-IF(AND(BE$11&gt;=EOMONTH('Construction Budget'!$K42,0),BE$11&lt;=EOMONTH('Construction Budget'!$M42,0)),('Construction Budget'!$G42+SUM($G186:BD186))/ROUND(((EOMONTH('Construction Budget'!$M42,0)-EOMONTH(BE$11,0))/30)+1,0),0)</f>
        <v>0</v>
      </c>
      <c r="BF186" s="427">
        <f>-IF(AND(BF$11&gt;=EOMONTH('Construction Budget'!$K42,0),BF$11&lt;=EOMONTH('Construction Budget'!$M42,0)),('Construction Budget'!$G42+SUM($G186:BE186))/ROUND(((EOMONTH('Construction Budget'!$M42,0)-EOMONTH(BF$11,0))/30)+1,0),0)</f>
        <v>0</v>
      </c>
      <c r="BG186" s="427">
        <f>-IF(AND(BG$11&gt;=EOMONTH('Construction Budget'!$K42,0),BG$11&lt;=EOMONTH('Construction Budget'!$M42,0)),('Construction Budget'!$G42+SUM($G186:BF186))/ROUND(((EOMONTH('Construction Budget'!$M42,0)-EOMONTH(BG$11,0))/30)+1,0),0)</f>
        <v>0</v>
      </c>
      <c r="BH186" s="427">
        <f>-IF(AND(BH$11&gt;=EOMONTH('Construction Budget'!$K42,0),BH$11&lt;=EOMONTH('Construction Budget'!$M42,0)),('Construction Budget'!$G42+SUM($G186:BG186))/ROUND(((EOMONTH('Construction Budget'!$M42,0)-EOMONTH(BH$11,0))/30)+1,0),0)</f>
        <v>0</v>
      </c>
      <c r="BI186" s="427">
        <f>-IF(AND(BI$11&gt;=EOMONTH('Construction Budget'!$K42,0),BI$11&lt;=EOMONTH('Construction Budget'!$M42,0)),('Construction Budget'!$G42+SUM($G186:BH186))/ROUND(((EOMONTH('Construction Budget'!$M42,0)-EOMONTH(BI$11,0))/30)+1,0),0)</f>
        <v>0</v>
      </c>
      <c r="BJ186" s="427">
        <f>-IF(AND(BJ$11&gt;=EOMONTH('Construction Budget'!$K42,0),BJ$11&lt;=EOMONTH('Construction Budget'!$M42,0)),('Construction Budget'!$G42+SUM($G186:BI186))/ROUND(((EOMONTH('Construction Budget'!$M42,0)-EOMONTH(BJ$11,0))/30)+1,0),0)</f>
        <v>0</v>
      </c>
      <c r="BK186" s="427">
        <f>-IF(AND(BK$11&gt;=EOMONTH('Construction Budget'!$K42,0),BK$11&lt;=EOMONTH('Construction Budget'!$M42,0)),('Construction Budget'!$G42+SUM($G186:BJ186))/ROUND(((EOMONTH('Construction Budget'!$M42,0)-EOMONTH(BK$11,0))/30)+1,0),0)</f>
        <v>0</v>
      </c>
      <c r="BL186" s="427">
        <f>-IF(AND(BL$11&gt;=EOMONTH('Construction Budget'!$K42,0),BL$11&lt;=EOMONTH('Construction Budget'!$M42,0)),('Construction Budget'!$G42+SUM($G186:BK186))/ROUND(((EOMONTH('Construction Budget'!$M42,0)-EOMONTH(BL$11,0))/30)+1,0),0)</f>
        <v>0</v>
      </c>
      <c r="BM186" s="427">
        <f>-IF(AND(BM$11&gt;=EOMONTH('Construction Budget'!$K42,0),BM$11&lt;=EOMONTH('Construction Budget'!$M42,0)),('Construction Budget'!$G42+SUM($G186:BL186))/ROUND(((EOMONTH('Construction Budget'!$M42,0)-EOMONTH(BM$11,0))/30)+1,0),0)</f>
        <v>0</v>
      </c>
      <c r="BN186" s="427">
        <f>-IF(AND(BN$11&gt;=EOMONTH('Construction Budget'!$K42,0),BN$11&lt;=EOMONTH('Construction Budget'!$M42,0)),('Construction Budget'!$G42+SUM($G186:BM186))/ROUND(((EOMONTH('Construction Budget'!$M42,0)-EOMONTH(BN$11,0))/30)+1,0),0)</f>
        <v>0</v>
      </c>
      <c r="BO186" s="427">
        <f>-IF(AND(BO$11&gt;=EOMONTH('Construction Budget'!$K42,0),BO$11&lt;=EOMONTH('Construction Budget'!$M42,0)),('Construction Budget'!$G42+SUM($G186:BN186))/ROUND(((EOMONTH('Construction Budget'!$M42,0)-EOMONTH(BO$11,0))/30)+1,0),0)</f>
        <v>0</v>
      </c>
      <c r="BP186" s="427">
        <f>-IF(AND(BP$11&gt;=EOMONTH('Construction Budget'!$K42,0),BP$11&lt;=EOMONTH('Construction Budget'!$M42,0)),('Construction Budget'!$G42+SUM($G186:BO186))/ROUND(((EOMONTH('Construction Budget'!$M42,0)-EOMONTH(BP$11,0))/30)+1,0),0)</f>
        <v>0</v>
      </c>
      <c r="BQ186" s="427">
        <f>-IF(AND(BQ$11&gt;=EOMONTH('Construction Budget'!$K42,0),BQ$11&lt;=EOMONTH('Construction Budget'!$M42,0)),('Construction Budget'!$G42+SUM($G186:BP186))/ROUND(((EOMONTH('Construction Budget'!$M42,0)-EOMONTH(BQ$11,0))/30)+1,0),0)</f>
        <v>0</v>
      </c>
      <c r="BR186" s="427">
        <f>-IF(AND(BR$11&gt;=EOMONTH('Construction Budget'!$K42,0),BR$11&lt;=EOMONTH('Construction Budget'!$M42,0)),('Construction Budget'!$G42+SUM($G186:BQ186))/ROUND(((EOMONTH('Construction Budget'!$M42,0)-EOMONTH(BR$11,0))/30)+1,0),0)</f>
        <v>0</v>
      </c>
      <c r="BS186" s="427">
        <f>-IF(AND(BS$11&gt;=EOMONTH('Construction Budget'!$K42,0),BS$11&lt;=EOMONTH('Construction Budget'!$M42,0)),('Construction Budget'!$G42+SUM($G186:BR186))/ROUND(((EOMONTH('Construction Budget'!$M42,0)-EOMONTH(BS$11,0))/30)+1,0),0)</f>
        <v>0</v>
      </c>
      <c r="BT186" s="427">
        <f>-IF(AND(BT$11&gt;=EOMONTH('Construction Budget'!$K42,0),BT$11&lt;=EOMONTH('Construction Budget'!$M42,0)),('Construction Budget'!$G42+SUM($G186:BS186))/ROUND(((EOMONTH('Construction Budget'!$M42,0)-EOMONTH(BT$11,0))/30)+1,0),0)</f>
        <v>0</v>
      </c>
      <c r="BU186" s="427">
        <f>-IF(AND(BU$11&gt;=EOMONTH('Construction Budget'!$K42,0),BU$11&lt;=EOMONTH('Construction Budget'!$M42,0)),('Construction Budget'!$G42+SUM($G186:BT186))/ROUND(((EOMONTH('Construction Budget'!$M42,0)-EOMONTH(BU$11,0))/30)+1,0),0)</f>
        <v>0</v>
      </c>
      <c r="BV186" s="427">
        <f>-IF(AND(BV$11&gt;=EOMONTH('Construction Budget'!$K42,0),BV$11&lt;=EOMONTH('Construction Budget'!$M42,0)),('Construction Budget'!$G42+SUM($G186:BU186))/ROUND(((EOMONTH('Construction Budget'!$M42,0)-EOMONTH(BV$11,0))/30)+1,0),0)</f>
        <v>0</v>
      </c>
      <c r="BW186" s="427">
        <f>-IF(AND(BW$11&gt;=EOMONTH('Construction Budget'!$K42,0),BW$11&lt;=EOMONTH('Construction Budget'!$M42,0)),('Construction Budget'!$G42+SUM($G186:BV186))/ROUND(((EOMONTH('Construction Budget'!$M42,0)-EOMONTH(BW$11,0))/30)+1,0),0)</f>
        <v>0</v>
      </c>
      <c r="BX186" s="427">
        <f>-IF(AND(BX$11&gt;=EOMONTH('Construction Budget'!$K42,0),BX$11&lt;=EOMONTH('Construction Budget'!$M42,0)),('Construction Budget'!$G42+SUM($G186:BW186))/ROUND(((EOMONTH('Construction Budget'!$M42,0)-EOMONTH(BX$11,0))/30)+1,0),0)</f>
        <v>0</v>
      </c>
      <c r="BY186" s="427">
        <f>-IF(AND(BY$11&gt;=EOMONTH('Construction Budget'!$K42,0),BY$11&lt;=EOMONTH('Construction Budget'!$M42,0)),('Construction Budget'!$G42+SUM($G186:BX186))/ROUND(((EOMONTH('Construction Budget'!$M42,0)-EOMONTH(BY$11,0))/30)+1,0),0)</f>
        <v>0</v>
      </c>
      <c r="BZ186" s="427">
        <f>-IF(AND(BZ$11&gt;=EOMONTH('Construction Budget'!$K42,0),BZ$11&lt;=EOMONTH('Construction Budget'!$M42,0)),('Construction Budget'!$G42+SUM($G186:BY186))/ROUND(((EOMONTH('Construction Budget'!$M42,0)-EOMONTH(BZ$11,0))/30)+1,0),0)</f>
        <v>0</v>
      </c>
      <c r="CA186" s="427">
        <f>-IF(AND(CA$11&gt;=EOMONTH('Construction Budget'!$K42,0),CA$11&lt;=EOMONTH('Construction Budget'!$M42,0)),('Construction Budget'!$G42+SUM($G186:BZ186))/ROUND(((EOMONTH('Construction Budget'!$M42,0)-EOMONTH(CA$11,0))/30)+1,0),0)</f>
        <v>0</v>
      </c>
      <c r="CB186" s="427">
        <f>-IF(AND(CB$11&gt;=EOMONTH('Construction Budget'!$K42,0),CB$11&lt;=EOMONTH('Construction Budget'!$M42,0)),('Construction Budget'!$G42+SUM($G186:CA186))/ROUND(((EOMONTH('Construction Budget'!$M42,0)-EOMONTH(CB$11,0))/30)+1,0),0)</f>
        <v>0</v>
      </c>
      <c r="CC186" s="427">
        <f>-IF(AND(CC$11&gt;=EOMONTH('Construction Budget'!$K42,0),CC$11&lt;=EOMONTH('Construction Budget'!$M42,0)),('Construction Budget'!$G42+SUM($G186:CB186))/ROUND(((EOMONTH('Construction Budget'!$M42,0)-EOMONTH(CC$11,0))/30)+1,0),0)</f>
        <v>0</v>
      </c>
      <c r="CD186" s="427">
        <f>-IF(AND(CD$11&gt;=EOMONTH('Construction Budget'!$K42,0),CD$11&lt;=EOMONTH('Construction Budget'!$M42,0)),('Construction Budget'!$G42+SUM($G186:CC186))/ROUND(((EOMONTH('Construction Budget'!$M42,0)-EOMONTH(CD$11,0))/30)+1,0),0)</f>
        <v>0</v>
      </c>
      <c r="CE186" s="427">
        <f>-IF(AND(CE$11&gt;=EOMONTH('Construction Budget'!$K42,0),CE$11&lt;=EOMONTH('Construction Budget'!$M42,0)),('Construction Budget'!$G42+SUM($G186:CD186))/ROUND(((EOMONTH('Construction Budget'!$M42,0)-EOMONTH(CE$11,0))/30)+1,0),0)</f>
        <v>0</v>
      </c>
      <c r="CF186" s="427">
        <f>-IF(AND(CF$11&gt;=EOMONTH('Construction Budget'!$K42,0),CF$11&lt;=EOMONTH('Construction Budget'!$M42,0)),('Construction Budget'!$G42+SUM($G186:CE186))/ROUND(((EOMONTH('Construction Budget'!$M42,0)-EOMONTH(CF$11,0))/30)+1,0),0)</f>
        <v>0</v>
      </c>
      <c r="CG186" s="427">
        <f>-IF(AND(CG$11&gt;=EOMONTH('Construction Budget'!$K42,0),CG$11&lt;=EOMONTH('Construction Budget'!$M42,0)),('Construction Budget'!$G42+SUM($G186:CF186))/ROUND(((EOMONTH('Construction Budget'!$M42,0)-EOMONTH(CG$11,0))/30)+1,0),0)</f>
        <v>0</v>
      </c>
      <c r="CH186" s="427">
        <f>-IF(AND(CH$11&gt;=EOMONTH('Construction Budget'!$K42,0),CH$11&lt;=EOMONTH('Construction Budget'!$M42,0)),('Construction Budget'!$G42+SUM($G186:CG186))/ROUND(((EOMONTH('Construction Budget'!$M42,0)-EOMONTH(CH$11,0))/30)+1,0),0)</f>
        <v>0</v>
      </c>
      <c r="CI186" s="427">
        <f>-IF(AND(CI$11&gt;=EOMONTH('Construction Budget'!$K42,0),CI$11&lt;=EOMONTH('Construction Budget'!$M42,0)),('Construction Budget'!$G42+SUM($G186:CH186))/ROUND(((EOMONTH('Construction Budget'!$M42,0)-EOMONTH(CI$11,0))/30)+1,0),0)</f>
        <v>0</v>
      </c>
      <c r="CJ186" s="427">
        <f>-IF(AND(CJ$11&gt;=EOMONTH('Construction Budget'!$K42,0),CJ$11&lt;=EOMONTH('Construction Budget'!$M42,0)),('Construction Budget'!$G42+SUM($G186:CI186))/ROUND(((EOMONTH('Construction Budget'!$M42,0)-EOMONTH(CJ$11,0))/30)+1,0),0)</f>
        <v>0</v>
      </c>
      <c r="CK186" s="427">
        <f>-IF(AND(CK$11&gt;=EOMONTH('Construction Budget'!$K42,0),CK$11&lt;=EOMONTH('Construction Budget'!$M42,0)),('Construction Budget'!$G42+SUM($G186:CJ186))/ROUND(((EOMONTH('Construction Budget'!$M42,0)-EOMONTH(CK$11,0))/30)+1,0),0)</f>
        <v>0</v>
      </c>
      <c r="CL186" s="427">
        <f>-IF(AND(CL$11&gt;=EOMONTH('Construction Budget'!$K42,0),CL$11&lt;=EOMONTH('Construction Budget'!$M42,0)),('Construction Budget'!$G42+SUM($G186:CK186))/ROUND(((EOMONTH('Construction Budget'!$M42,0)-EOMONTH(CL$11,0))/30)+1,0),0)</f>
        <v>0</v>
      </c>
      <c r="CM186" s="427">
        <f>-IF(AND(CM$11&gt;=EOMONTH('Construction Budget'!$K42,0),CM$11&lt;=EOMONTH('Construction Budget'!$M42,0)),('Construction Budget'!$G42+SUM($G186:CL186))/ROUND(((EOMONTH('Construction Budget'!$M42,0)-EOMONTH(CM$11,0))/30)+1,0),0)</f>
        <v>0</v>
      </c>
      <c r="CN186" s="427">
        <f>-IF(AND(CN$11&gt;=EOMONTH('Construction Budget'!$K42,0),CN$11&lt;=EOMONTH('Construction Budget'!$M42,0)),('Construction Budget'!$G42+SUM($G186:CM186))/ROUND(((EOMONTH('Construction Budget'!$M42,0)-EOMONTH(CN$11,0))/30)+1,0),0)</f>
        <v>0</v>
      </c>
      <c r="CO186" s="427">
        <f>-IF(AND(CO$11&gt;=EOMONTH('Construction Budget'!$K42,0),CO$11&lt;=EOMONTH('Construction Budget'!$M42,0)),('Construction Budget'!$G42+SUM($G186:CN186))/ROUND(((EOMONTH('Construction Budget'!$M42,0)-EOMONTH(CO$11,0))/30)+1,0),0)</f>
        <v>0</v>
      </c>
      <c r="CP186" s="427">
        <f>-IF(AND(CP$11&gt;=EOMONTH('Construction Budget'!$K42,0),CP$11&lt;=EOMONTH('Construction Budget'!$M42,0)),('Construction Budget'!$G42+SUM($G186:CO186))/ROUND(((EOMONTH('Construction Budget'!$M42,0)-EOMONTH(CP$11,0))/30)+1,0),0)</f>
        <v>0</v>
      </c>
      <c r="CQ186" s="427">
        <f>-IF(AND(CQ$11&gt;=EOMONTH('Construction Budget'!$K42,0),CQ$11&lt;=EOMONTH('Construction Budget'!$M42,0)),('Construction Budget'!$G42+SUM($G186:CP186))/ROUND(((EOMONTH('Construction Budget'!$M42,0)-EOMONTH(CQ$11,0))/30)+1,0),0)</f>
        <v>0</v>
      </c>
      <c r="CR186" s="427">
        <f>-IF(AND(CR$11&gt;=EOMONTH('Construction Budget'!$K42,0),CR$11&lt;=EOMONTH('Construction Budget'!$M42,0)),('Construction Budget'!$G42+SUM($G186:CQ186))/ROUND(((EOMONTH('Construction Budget'!$M42,0)-EOMONTH(CR$11,0))/30)+1,0),0)</f>
        <v>0</v>
      </c>
      <c r="CS186" s="427">
        <f>-IF(AND(CS$11&gt;=EOMONTH('Construction Budget'!$K42,0),CS$11&lt;=EOMONTH('Construction Budget'!$M42,0)),('Construction Budget'!$G42+SUM($G186:CR186))/ROUND(((EOMONTH('Construction Budget'!$M42,0)-EOMONTH(CS$11,0))/30)+1,0),0)</f>
        <v>0</v>
      </c>
      <c r="CT186" s="427">
        <f>-IF(AND(CT$11&gt;=EOMONTH('Construction Budget'!$K42,0),CT$11&lt;=EOMONTH('Construction Budget'!$M42,0)),('Construction Budget'!$G42+SUM($G186:CS186))/ROUND(((EOMONTH('Construction Budget'!$M42,0)-EOMONTH(CT$11,0))/30)+1,0),0)</f>
        <v>0</v>
      </c>
      <c r="CU186" s="427">
        <f>-IF(AND(CU$11&gt;=EOMONTH('Construction Budget'!$K42,0),CU$11&lt;=EOMONTH('Construction Budget'!$M42,0)),('Construction Budget'!$G42+SUM($G186:CT186))/ROUND(((EOMONTH('Construction Budget'!$M42,0)-EOMONTH(CU$11,0))/30)+1,0),0)</f>
        <v>0</v>
      </c>
      <c r="CV186" s="427">
        <f>-IF(AND(CV$11&gt;=EOMONTH('Construction Budget'!$K42,0),CV$11&lt;=EOMONTH('Construction Budget'!$M42,0)),('Construction Budget'!$G42+SUM($G186:CU186))/ROUND(((EOMONTH('Construction Budget'!$M42,0)-EOMONTH(CV$11,0))/30)+1,0),0)</f>
        <v>0</v>
      </c>
      <c r="CW186" s="427">
        <f>-IF(AND(CW$11&gt;=EOMONTH('Construction Budget'!$K42,0),CW$11&lt;=EOMONTH('Construction Budget'!$M42,0)),('Construction Budget'!$G42+SUM($G186:CV186))/ROUND(((EOMONTH('Construction Budget'!$M42,0)-EOMONTH(CW$11,0))/30)+1,0),0)</f>
        <v>0</v>
      </c>
      <c r="CX186" s="427">
        <f>-IF(AND(CX$11&gt;=EOMONTH('Construction Budget'!$K42,0),CX$11&lt;=EOMONTH('Construction Budget'!$M42,0)),('Construction Budget'!$G42+SUM($G186:CW186))/ROUND(((EOMONTH('Construction Budget'!$M42,0)-EOMONTH(CX$11,0))/30)+1,0),0)</f>
        <v>0</v>
      </c>
      <c r="CY186" s="427">
        <f>-IF(AND(CY$11&gt;=EOMONTH('Construction Budget'!$K42,0),CY$11&lt;=EOMONTH('Construction Budget'!$M42,0)),('Construction Budget'!$G42+SUM($G186:CX186))/ROUND(((EOMONTH('Construction Budget'!$M42,0)-EOMONTH(CY$11,0))/30)+1,0),0)</f>
        <v>0</v>
      </c>
      <c r="CZ186" s="427">
        <f>-IF(AND(CZ$11&gt;=EOMONTH('Construction Budget'!$K42,0),CZ$11&lt;=EOMONTH('Construction Budget'!$M42,0)),('Construction Budget'!$G42+SUM($G186:CY186))/ROUND(((EOMONTH('Construction Budget'!$M42,0)-EOMONTH(CZ$11,0))/30)+1,0),0)</f>
        <v>0</v>
      </c>
      <c r="DA186" s="427">
        <f>-IF(AND(DA$11&gt;=EOMONTH('Construction Budget'!$K42,0),DA$11&lt;=EOMONTH('Construction Budget'!$M42,0)),('Construction Budget'!$G42+SUM($G186:CZ186))/ROUND(((EOMONTH('Construction Budget'!$M42,0)-EOMONTH(DA$11,0))/30)+1,0),0)</f>
        <v>0</v>
      </c>
      <c r="DB186" s="427">
        <f>-IF(AND(DB$11&gt;=EOMONTH('Construction Budget'!$K42,0),DB$11&lt;=EOMONTH('Construction Budget'!$M42,0)),('Construction Budget'!$G42+SUM($G186:DA186))/ROUND(((EOMONTH('Construction Budget'!$M42,0)-EOMONTH(DB$11,0))/30)+1,0),0)</f>
        <v>0</v>
      </c>
      <c r="DC186" s="427">
        <f>-IF(AND(DC$11&gt;=EOMONTH('Construction Budget'!$K42,0),DC$11&lt;=EOMONTH('Construction Budget'!$M42,0)),('Construction Budget'!$G42+SUM($G186:DB186))/ROUND(((EOMONTH('Construction Budget'!$M42,0)-EOMONTH(DC$11,0))/30)+1,0),0)</f>
        <v>0</v>
      </c>
      <c r="DD186" s="427">
        <f>-IF(AND(DD$11&gt;=EOMONTH('Construction Budget'!$K42,0),DD$11&lt;=EOMONTH('Construction Budget'!$M42,0)),('Construction Budget'!$G42+SUM($G186:DC186))/ROUND(((EOMONTH('Construction Budget'!$M42,0)-EOMONTH(DD$11,0))/30)+1,0),0)</f>
        <v>0</v>
      </c>
      <c r="DE186" s="427">
        <f>-IF(AND(DE$11&gt;=EOMONTH('Construction Budget'!$K42,0),DE$11&lt;=EOMONTH('Construction Budget'!$M42,0)),('Construction Budget'!$G42+SUM($G186:DD186))/ROUND(((EOMONTH('Construction Budget'!$M42,0)-EOMONTH(DE$11,0))/30)+1,0),0)</f>
        <v>0</v>
      </c>
      <c r="DF186" s="427">
        <f>-IF(AND(DF$11&gt;=EOMONTH('Construction Budget'!$K42,0),DF$11&lt;=EOMONTH('Construction Budget'!$M42,0)),('Construction Budget'!$G42+SUM($G186:DE186))/ROUND(((EOMONTH('Construction Budget'!$M42,0)-EOMONTH(DF$11,0))/30)+1,0),0)</f>
        <v>0</v>
      </c>
      <c r="DG186" s="427">
        <f>-IF(AND(DG$11&gt;=EOMONTH('Construction Budget'!$K42,0),DG$11&lt;=EOMONTH('Construction Budget'!$M42,0)),('Construction Budget'!$G42+SUM($G186:DF186))/ROUND(((EOMONTH('Construction Budget'!$M42,0)-EOMONTH(DG$11,0))/30)+1,0),0)</f>
        <v>0</v>
      </c>
      <c r="DH186" s="427">
        <f>-IF(AND(DH$11&gt;=EOMONTH('Construction Budget'!$K42,0),DH$11&lt;=EOMONTH('Construction Budget'!$M42,0)),('Construction Budget'!$G42+SUM($G186:DG186))/ROUND(((EOMONTH('Construction Budget'!$M42,0)-EOMONTH(DH$11,0))/30)+1,0),0)</f>
        <v>0</v>
      </c>
      <c r="DI186" s="427">
        <f>-IF(AND(DI$11&gt;=EOMONTH('Construction Budget'!$K42,0),DI$11&lt;=EOMONTH('Construction Budget'!$M42,0)),('Construction Budget'!$G42+SUM($G186:DH186))/ROUND(((EOMONTH('Construction Budget'!$M42,0)-EOMONTH(DI$11,0))/30)+1,0),0)</f>
        <v>0</v>
      </c>
      <c r="DJ186" s="427">
        <f>-IF(AND(DJ$11&gt;=EOMONTH('Construction Budget'!$K42,0),DJ$11&lt;=EOMONTH('Construction Budget'!$M42,0)),('Construction Budget'!$G42+SUM($G186:DI186))/ROUND(((EOMONTH('Construction Budget'!$M42,0)-EOMONTH(DJ$11,0))/30)+1,0),0)</f>
        <v>0</v>
      </c>
      <c r="DK186" s="427">
        <f>-IF(AND(DK$11&gt;=EOMONTH('Construction Budget'!$K42,0),DK$11&lt;=EOMONTH('Construction Budget'!$M42,0)),('Construction Budget'!$G42+SUM($G186:DJ186))/ROUND(((EOMONTH('Construction Budget'!$M42,0)-EOMONTH(DK$11,0))/30)+1,0),0)</f>
        <v>0</v>
      </c>
      <c r="DL186" s="427">
        <f>-IF(AND(DL$11&gt;=EOMONTH('Construction Budget'!$K42,0),DL$11&lt;=EOMONTH('Construction Budget'!$M42,0)),('Construction Budget'!$G42+SUM($G186:DK186))/ROUND(((EOMONTH('Construction Budget'!$M42,0)-EOMONTH(DL$11,0))/30)+1,0),0)</f>
        <v>0</v>
      </c>
      <c r="DM186" s="427">
        <f>-IF(AND(DM$11&gt;=EOMONTH('Construction Budget'!$K42,0),DM$11&lt;=EOMONTH('Construction Budget'!$M42,0)),('Construction Budget'!$G42+SUM($G186:DL186))/ROUND(((EOMONTH('Construction Budget'!$M42,0)-EOMONTH(DM$11,0))/30)+1,0),0)</f>
        <v>0</v>
      </c>
      <c r="DN186" s="427">
        <f>-IF(AND(DN$11&gt;=EOMONTH('Construction Budget'!$K42,0),DN$11&lt;=EOMONTH('Construction Budget'!$M42,0)),('Construction Budget'!$G42+SUM($G186:DM186))/ROUND(((EOMONTH('Construction Budget'!$M42,0)-EOMONTH(DN$11,0))/30)+1,0),0)</f>
        <v>0</v>
      </c>
      <c r="DO186" s="427">
        <f>-IF(AND(DO$11&gt;=EOMONTH('Construction Budget'!$K42,0),DO$11&lt;=EOMONTH('Construction Budget'!$M42,0)),('Construction Budget'!$G42+SUM($G186:DN186))/ROUND(((EOMONTH('Construction Budget'!$M42,0)-EOMONTH(DO$11,0))/30)+1,0),0)</f>
        <v>0</v>
      </c>
      <c r="DP186" s="427">
        <f>-IF(AND(DP$11&gt;=EOMONTH('Construction Budget'!$K42,0),DP$11&lt;=EOMONTH('Construction Budget'!$M42,0)),('Construction Budget'!$G42+SUM($G186:DO186))/ROUND(((EOMONTH('Construction Budget'!$M42,0)-EOMONTH(DP$11,0))/30)+1,0),0)</f>
        <v>0</v>
      </c>
      <c r="DQ186" s="427">
        <f>-IF(AND(DQ$11&gt;=EOMONTH('Construction Budget'!$K42,0),DQ$11&lt;=EOMONTH('Construction Budget'!$M42,0)),('Construction Budget'!$G42+SUM($G186:DP186))/ROUND(((EOMONTH('Construction Budget'!$M42,0)-EOMONTH(DQ$11,0))/30)+1,0),0)</f>
        <v>0</v>
      </c>
      <c r="DR186" s="427">
        <f>-IF(AND(DR$11&gt;=EOMONTH('Construction Budget'!$K42,0),DR$11&lt;=EOMONTH('Construction Budget'!$M42,0)),('Construction Budget'!$G42+SUM($G186:DQ186))/ROUND(((EOMONTH('Construction Budget'!$M42,0)-EOMONTH(DR$11,0))/30)+1,0),0)</f>
        <v>0</v>
      </c>
      <c r="DS186" s="427">
        <f>-IF(AND(DS$11&gt;=EOMONTH('Construction Budget'!$K42,0),DS$11&lt;=EOMONTH('Construction Budget'!$M42,0)),('Construction Budget'!$G42+SUM($G186:DR186))/ROUND(((EOMONTH('Construction Budget'!$M42,0)-EOMONTH(DS$11,0))/30)+1,0),0)</f>
        <v>0</v>
      </c>
      <c r="DT186" s="427">
        <f>-IF(AND(DT$11&gt;=EOMONTH('Construction Budget'!$K42,0),DT$11&lt;=EOMONTH('Construction Budget'!$M42,0)),('Construction Budget'!$G42+SUM($G186:DS186))/ROUND(((EOMONTH('Construction Budget'!$M42,0)-EOMONTH(DT$11,0))/30)+1,0),0)</f>
        <v>0</v>
      </c>
      <c r="DU186" s="427">
        <f>-IF(AND(DU$11&gt;=EOMONTH('Construction Budget'!$K42,0),DU$11&lt;=EOMONTH('Construction Budget'!$M42,0)),('Construction Budget'!$G42+SUM($G186:DT186))/ROUND(((EOMONTH('Construction Budget'!$M42,0)-EOMONTH(DU$11,0))/30)+1,0),0)</f>
        <v>0</v>
      </c>
      <c r="DV186" s="427">
        <f>-IF(AND(DV$11&gt;=EOMONTH('Construction Budget'!$K42,0),DV$11&lt;=EOMONTH('Construction Budget'!$M42,0)),('Construction Budget'!$G42+SUM($G186:DU186))/ROUND(((EOMONTH('Construction Budget'!$M42,0)-EOMONTH(DV$11,0))/30)+1,0),0)</f>
        <v>0</v>
      </c>
      <c r="DW186" s="427">
        <f>-IF(AND(DW$11&gt;=EOMONTH('Construction Budget'!$K42,0),DW$11&lt;=EOMONTH('Construction Budget'!$M42,0)),('Construction Budget'!$G42+SUM($G186:DV186))/ROUND(((EOMONTH('Construction Budget'!$M42,0)-EOMONTH(DW$11,0))/30)+1,0),0)</f>
        <v>0</v>
      </c>
      <c r="DX186" s="427">
        <f>-IF(AND(DX$11&gt;=EOMONTH('Construction Budget'!$K42,0),DX$11&lt;=EOMONTH('Construction Budget'!$M42,0)),('Construction Budget'!$G42+SUM($G186:DW186))/ROUND(((EOMONTH('Construction Budget'!$M42,0)-EOMONTH(DX$11,0))/30)+1,0),0)</f>
        <v>0</v>
      </c>
      <c r="DY186" s="427">
        <f>-IF(AND(DY$11&gt;=EOMONTH('Construction Budget'!$K42,0),DY$11&lt;=EOMONTH('Construction Budget'!$M42,0)),('Construction Budget'!$G42+SUM($G186:DX186))/ROUND(((EOMONTH('Construction Budget'!$M42,0)-EOMONTH(DY$11,0))/30)+1,0),0)</f>
        <v>0</v>
      </c>
      <c r="DZ186" s="427">
        <f>-IF(AND(DZ$11&gt;=EOMONTH('Construction Budget'!$K42,0),DZ$11&lt;=EOMONTH('Construction Budget'!$M42,0)),('Construction Budget'!$G42+SUM($G186:DY186))/ROUND(((EOMONTH('Construction Budget'!$M42,0)-EOMONTH(DZ$11,0))/30)+1,0),0)</f>
        <v>0</v>
      </c>
      <c r="EA186" s="427">
        <f>-IF(AND(EA$11&gt;=EOMONTH('Construction Budget'!$K42,0),EA$11&lt;=EOMONTH('Construction Budget'!$M42,0)),('Construction Budget'!$G42+SUM($G186:DZ186))/ROUND(((EOMONTH('Construction Budget'!$M42,0)-EOMONTH(EA$11,0))/30)+1,0),0)</f>
        <v>0</v>
      </c>
      <c r="EB186" s="427">
        <f>-IF(AND(EB$11&gt;=EOMONTH('Construction Budget'!$K42,0),EB$11&lt;=EOMONTH('Construction Budget'!$M42,0)),('Construction Budget'!$G42+SUM($G186:EA186))/ROUND(((EOMONTH('Construction Budget'!$M42,0)-EOMONTH(EB$11,0))/30)+1,0),0)</f>
        <v>0</v>
      </c>
      <c r="EC186" s="427">
        <f>-IF(AND(EC$11&gt;=EOMONTH('Construction Budget'!$K42,0),EC$11&lt;=EOMONTH('Construction Budget'!$M42,0)),('Construction Budget'!$G42+SUM($G186:EB186))/ROUND(((EOMONTH('Construction Budget'!$M42,0)-EOMONTH(EC$11,0))/30)+1,0),0)</f>
        <v>0</v>
      </c>
      <c r="ED186" s="427">
        <f>-IF(AND(ED$11&gt;=EOMONTH('Construction Budget'!$K42,0),ED$11&lt;=EOMONTH('Construction Budget'!$M42,0)),('Construction Budget'!$G42+SUM($G186:EC186))/ROUND(((EOMONTH('Construction Budget'!$M42,0)-EOMONTH(ED$11,0))/30)+1,0),0)</f>
        <v>0</v>
      </c>
      <c r="EE186" s="427">
        <f>-IF(AND(EE$11&gt;=EOMONTH('Construction Budget'!$K42,0),EE$11&lt;=EOMONTH('Construction Budget'!$M42,0)),('Construction Budget'!$G42+SUM($G186:ED186))/ROUND(((EOMONTH('Construction Budget'!$M42,0)-EOMONTH(EE$11,0))/30)+1,0),0)</f>
        <v>0</v>
      </c>
      <c r="EF186" s="427">
        <f>-IF(AND(EF$11&gt;=EOMONTH('Construction Budget'!$K42,0),EF$11&lt;=EOMONTH('Construction Budget'!$M42,0)),('Construction Budget'!$G42+SUM($G186:EE186))/ROUND(((EOMONTH('Construction Budget'!$M42,0)-EOMONTH(EF$11,0))/30)+1,0),0)</f>
        <v>0</v>
      </c>
      <c r="EG186" s="427">
        <f>-IF(AND(EG$11&gt;=EOMONTH('Construction Budget'!$K42,0),EG$11&lt;=EOMONTH('Construction Budget'!$M42,0)),('Construction Budget'!$G42+SUM($G186:EF186))/ROUND(((EOMONTH('Construction Budget'!$M42,0)-EOMONTH(EG$11,0))/30)+1,0),0)</f>
        <v>0</v>
      </c>
      <c r="EH186" s="427">
        <f>-IF(AND(EH$11&gt;=EOMONTH('Construction Budget'!$K42,0),EH$11&lt;=EOMONTH('Construction Budget'!$M42,0)),('Construction Budget'!$G42+SUM($G186:EG186))/ROUND(((EOMONTH('Construction Budget'!$M42,0)-EOMONTH(EH$11,0))/30)+1,0),0)</f>
        <v>0</v>
      </c>
      <c r="EI186" s="427">
        <f>-IF(AND(EI$11&gt;=EOMONTH('Construction Budget'!$K42,0),EI$11&lt;=EOMONTH('Construction Budget'!$M42,0)),('Construction Budget'!$G42+SUM($G186:EH186))/ROUND(((EOMONTH('Construction Budget'!$M42,0)-EOMONTH(EI$11,0))/30)+1,0),0)</f>
        <v>0</v>
      </c>
      <c r="EJ186" s="427">
        <f>-IF(AND(EJ$11&gt;=EOMONTH('Construction Budget'!$K42,0),EJ$11&lt;=EOMONTH('Construction Budget'!$M42,0)),('Construction Budget'!$G42+SUM($G186:EI186))/ROUND(((EOMONTH('Construction Budget'!$M42,0)-EOMONTH(EJ$11,0))/30)+1,0),0)</f>
        <v>0</v>
      </c>
      <c r="EK186" s="427">
        <f>-IF(AND(EK$11&gt;=EOMONTH('Construction Budget'!$K42,0),EK$11&lt;=EOMONTH('Construction Budget'!$M42,0)),('Construction Budget'!$G42+SUM($G186:EJ186))/ROUND(((EOMONTH('Construction Budget'!$M42,0)-EOMONTH(EK$11,0))/30)+1,0),0)</f>
        <v>0</v>
      </c>
      <c r="EL186" s="427">
        <f>-IF(AND(EL$11&gt;=EOMONTH('Construction Budget'!$K42,0),EL$11&lt;=EOMONTH('Construction Budget'!$M42,0)),('Construction Budget'!$G42+SUM($G186:EK186))/ROUND(((EOMONTH('Construction Budget'!$M42,0)-EOMONTH(EL$11,0))/30)+1,0),0)</f>
        <v>0</v>
      </c>
      <c r="EM186" s="427">
        <f>-IF(AND(EM$11&gt;=EOMONTH('Construction Budget'!$K42,0),EM$11&lt;=EOMONTH('Construction Budget'!$M42,0)),('Construction Budget'!$G42+SUM($G186:EL186))/ROUND(((EOMONTH('Construction Budget'!$M42,0)-EOMONTH(EM$11,0))/30)+1,0),0)</f>
        <v>0</v>
      </c>
      <c r="EN186" s="427">
        <f>-IF(AND(EN$11&gt;=EOMONTH('Construction Budget'!$K42,0),EN$11&lt;=EOMONTH('Construction Budget'!$M42,0)),('Construction Budget'!$G42+SUM($G186:EM186))/ROUND(((EOMONTH('Construction Budget'!$M42,0)-EOMONTH(EN$11,0))/30)+1,0),0)</f>
        <v>0</v>
      </c>
      <c r="EO186" s="427">
        <f>-IF(AND(EO$11&gt;=EOMONTH('Construction Budget'!$K42,0),EO$11&lt;=EOMONTH('Construction Budget'!$M42,0)),('Construction Budget'!$G42+SUM($G186:EN186))/ROUND(((EOMONTH('Construction Budget'!$M42,0)-EOMONTH(EO$11,0))/30)+1,0),0)</f>
        <v>0</v>
      </c>
      <c r="EP186" s="427">
        <f>-IF(AND(EP$11&gt;=EOMONTH('Construction Budget'!$K42,0),EP$11&lt;=EOMONTH('Construction Budget'!$M42,0)),('Construction Budget'!$G42+SUM($G186:EO186))/ROUND(((EOMONTH('Construction Budget'!$M42,0)-EOMONTH(EP$11,0))/30)+1,0),0)</f>
        <v>0</v>
      </c>
      <c r="EQ186" s="427">
        <f>-IF(AND(EQ$11&gt;=EOMONTH('Construction Budget'!$K42,0),EQ$11&lt;=EOMONTH('Construction Budget'!$M42,0)),('Construction Budget'!$G42+SUM($G186:EP186))/ROUND(((EOMONTH('Construction Budget'!$M42,0)-EOMONTH(EQ$11,0))/30)+1,0),0)</f>
        <v>0</v>
      </c>
      <c r="ER186" s="427">
        <f>-IF(AND(ER$11&gt;=EOMONTH('Construction Budget'!$K42,0),ER$11&lt;=EOMONTH('Construction Budget'!$M42,0)),('Construction Budget'!$G42+SUM($G186:EQ186))/ROUND(((EOMONTH('Construction Budget'!$M42,0)-EOMONTH(ER$11,0))/30)+1,0),0)</f>
        <v>0</v>
      </c>
      <c r="ES186" s="427">
        <f>-IF(AND(ES$11&gt;=EOMONTH('Construction Budget'!$K42,0),ES$11&lt;=EOMONTH('Construction Budget'!$M42,0)),('Construction Budget'!$G42+SUM($G186:ER186))/ROUND(((EOMONTH('Construction Budget'!$M42,0)-EOMONTH(ES$11,0))/30)+1,0),0)</f>
        <v>0</v>
      </c>
      <c r="ET186" s="427">
        <f>-IF(AND(ET$11&gt;=EOMONTH('Construction Budget'!$K42,0),ET$11&lt;=EOMONTH('Construction Budget'!$M42,0)),('Construction Budget'!$G42+SUM($G186:ES186))/ROUND(((EOMONTH('Construction Budget'!$M42,0)-EOMONTH(ET$11,0))/30)+1,0),0)</f>
        <v>0</v>
      </c>
      <c r="EU186" s="427">
        <f>-IF(AND(EU$11&gt;=EOMONTH('Construction Budget'!$K42,0),EU$11&lt;=EOMONTH('Construction Budget'!$M42,0)),('Construction Budget'!$G42+SUM($G186:ET186))/ROUND(((EOMONTH('Construction Budget'!$M42,0)-EOMONTH(EU$11,0))/30)+1,0),0)</f>
        <v>0</v>
      </c>
      <c r="EV186" s="427">
        <f>-IF(AND(EV$11&gt;=EOMONTH('Construction Budget'!$K42,0),EV$11&lt;=EOMONTH('Construction Budget'!$M42,0)),('Construction Budget'!$G42+SUM($G186:EU186))/ROUND(((EOMONTH('Construction Budget'!$M42,0)-EOMONTH(EV$11,0))/30)+1,0),0)</f>
        <v>0</v>
      </c>
      <c r="EW186" s="427">
        <f>-IF(AND(EW$11&gt;=EOMONTH('Construction Budget'!$K42,0),EW$11&lt;=EOMONTH('Construction Budget'!$M42,0)),('Construction Budget'!$G42+SUM($G186:EV186))/ROUND(((EOMONTH('Construction Budget'!$M42,0)-EOMONTH(EW$11,0))/30)+1,0),0)</f>
        <v>0</v>
      </c>
      <c r="EX186" s="427">
        <f>-IF(AND(EX$11&gt;=EOMONTH('Construction Budget'!$K42,0),EX$11&lt;=EOMONTH('Construction Budget'!$M42,0)),('Construction Budget'!$G42+SUM($G186:EW186))/ROUND(((EOMONTH('Construction Budget'!$M42,0)-EOMONTH(EX$11,0))/30)+1,0),0)</f>
        <v>0</v>
      </c>
      <c r="EY186" s="427">
        <f>-IF(AND(EY$11&gt;=EOMONTH('Construction Budget'!$K42,0),EY$11&lt;=EOMONTH('Construction Budget'!$M42,0)),('Construction Budget'!$G42+SUM($G186:EX186))/ROUND(((EOMONTH('Construction Budget'!$M42,0)-EOMONTH(EY$11,0))/30)+1,0),0)</f>
        <v>0</v>
      </c>
      <c r="EZ186" s="427">
        <f>-IF(AND(EZ$11&gt;=EOMONTH('Construction Budget'!$K42,0),EZ$11&lt;=EOMONTH('Construction Budget'!$M42,0)),('Construction Budget'!$G42+SUM($G186:EY186))/ROUND(((EOMONTH('Construction Budget'!$M42,0)-EOMONTH(EZ$11,0))/30)+1,0),0)</f>
        <v>0</v>
      </c>
      <c r="FA186" s="427">
        <f>-IF(AND(FA$11&gt;=EOMONTH('Construction Budget'!$K42,0),FA$11&lt;=EOMONTH('Construction Budget'!$M42,0)),('Construction Budget'!$G42+SUM($G186:EZ186))/ROUND(((EOMONTH('Construction Budget'!$M42,0)-EOMONTH(FA$11,0))/30)+1,0),0)</f>
        <v>0</v>
      </c>
      <c r="FB186" s="427">
        <f>-IF(AND(FB$11&gt;=EOMONTH('Construction Budget'!$K42,0),FB$11&lt;=EOMONTH('Construction Budget'!$M42,0)),('Construction Budget'!$G42+SUM($G186:FA186))/ROUND(((EOMONTH('Construction Budget'!$M42,0)-EOMONTH(FB$11,0))/30)+1,0),0)</f>
        <v>0</v>
      </c>
      <c r="FC186" s="427">
        <f>-IF(AND(FC$11&gt;=EOMONTH('Construction Budget'!$K42,0),FC$11&lt;=EOMONTH('Construction Budget'!$M42,0)),('Construction Budget'!$G42+SUM($G186:FB186))/ROUND(((EOMONTH('Construction Budget'!$M42,0)-EOMONTH(FC$11,0))/30)+1,0),0)</f>
        <v>0</v>
      </c>
      <c r="FD186" s="427">
        <f>-IF(AND(FD$11&gt;=EOMONTH('Construction Budget'!$K42,0),FD$11&lt;=EOMONTH('Construction Budget'!$M42,0)),('Construction Budget'!$G42+SUM($G186:FC186))/ROUND(((EOMONTH('Construction Budget'!$M42,0)-EOMONTH(FD$11,0))/30)+1,0),0)</f>
        <v>0</v>
      </c>
      <c r="FE186" s="427">
        <f>-IF(AND(FE$11&gt;=EOMONTH('Construction Budget'!$K42,0),FE$11&lt;=EOMONTH('Construction Budget'!$M42,0)),('Construction Budget'!$G42+SUM($G186:FD186))/ROUND(((EOMONTH('Construction Budget'!$M42,0)-EOMONTH(FE$11,0))/30)+1,0),0)</f>
        <v>0</v>
      </c>
      <c r="FF186" s="427">
        <f>-IF(AND(FF$11&gt;=EOMONTH('Construction Budget'!$K42,0),FF$11&lt;=EOMONTH('Construction Budget'!$M42,0)),('Construction Budget'!$G42+SUM($G186:FE186))/ROUND(((EOMONTH('Construction Budget'!$M42,0)-EOMONTH(FF$11,0))/30)+1,0),0)</f>
        <v>0</v>
      </c>
      <c r="FG186" s="427">
        <f>-IF(AND(FG$11&gt;=EOMONTH('Construction Budget'!$K42,0),FG$11&lt;=EOMONTH('Construction Budget'!$M42,0)),('Construction Budget'!$G42+SUM($G186:FF186))/ROUND(((EOMONTH('Construction Budget'!$M42,0)-EOMONTH(FG$11,0))/30)+1,0),0)</f>
        <v>0</v>
      </c>
      <c r="FH186" s="427">
        <f>-IF(AND(FH$11&gt;=EOMONTH('Construction Budget'!$K42,0),FH$11&lt;=EOMONTH('Construction Budget'!$M42,0)),('Construction Budget'!$G42+SUM($G186:FG186))/ROUND(((EOMONTH('Construction Budget'!$M42,0)-EOMONTH(FH$11,0))/30)+1,0),0)</f>
        <v>0</v>
      </c>
      <c r="FI186" s="427">
        <f>-IF(AND(FI$11&gt;=EOMONTH('Construction Budget'!$K42,0),FI$11&lt;=EOMONTH('Construction Budget'!$M42,0)),('Construction Budget'!$G42+SUM($G186:FH186))/ROUND(((EOMONTH('Construction Budget'!$M42,0)-EOMONTH(FI$11,0))/30)+1,0),0)</f>
        <v>0</v>
      </c>
      <c r="FJ186" s="427">
        <f>-IF(AND(FJ$11&gt;=EOMONTH('Construction Budget'!$K42,0),FJ$11&lt;=EOMONTH('Construction Budget'!$M42,0)),('Construction Budget'!$G42+SUM($G186:FI186))/ROUND(((EOMONTH('Construction Budget'!$M42,0)-EOMONTH(FJ$11,0))/30)+1,0),0)</f>
        <v>0</v>
      </c>
      <c r="FK186" s="427">
        <f>-IF(AND(FK$11&gt;=EOMONTH('Construction Budget'!$K42,0),FK$11&lt;=EOMONTH('Construction Budget'!$M42,0)),('Construction Budget'!$G42+SUM($G186:FJ186))/ROUND(((EOMONTH('Construction Budget'!$M42,0)-EOMONTH(FK$11,0))/30)+1,0),0)</f>
        <v>0</v>
      </c>
      <c r="FL186" s="427">
        <f>-IF(AND(FL$11&gt;=EOMONTH('Construction Budget'!$K42,0),FL$11&lt;=EOMONTH('Construction Budget'!$M42,0)),('Construction Budget'!$G42+SUM($G186:FK186))/ROUND(((EOMONTH('Construction Budget'!$M42,0)-EOMONTH(FL$11,0))/30)+1,0),0)</f>
        <v>0</v>
      </c>
      <c r="FM186" s="427">
        <f>-IF(AND(FM$11&gt;=EOMONTH('Construction Budget'!$K42,0),FM$11&lt;=EOMONTH('Construction Budget'!$M42,0)),('Construction Budget'!$G42+SUM($G186:FL186))/ROUND(((EOMONTH('Construction Budget'!$M42,0)-EOMONTH(FM$11,0))/30)+1,0),0)</f>
        <v>0</v>
      </c>
      <c r="FN186" s="427">
        <f>-IF(AND(FN$11&gt;=EOMONTH('Construction Budget'!$K42,0),FN$11&lt;=EOMONTH('Construction Budget'!$M42,0)),('Construction Budget'!$G42+SUM($G186:FM186))/ROUND(((EOMONTH('Construction Budget'!$M42,0)-EOMONTH(FN$11,0))/30)+1,0),0)</f>
        <v>0</v>
      </c>
      <c r="FO186" s="427">
        <f>-IF(AND(FO$11&gt;=EOMONTH('Construction Budget'!$K42,0),FO$11&lt;=EOMONTH('Construction Budget'!$M42,0)),('Construction Budget'!$G42+SUM($G186:FN186))/ROUND(((EOMONTH('Construction Budget'!$M42,0)-EOMONTH(FO$11,0))/30)+1,0),0)</f>
        <v>0</v>
      </c>
      <c r="FP186" s="427">
        <f>-IF(AND(FP$11&gt;=EOMONTH('Construction Budget'!$K42,0),FP$11&lt;=EOMONTH('Construction Budget'!$M42,0)),('Construction Budget'!$G42+SUM($G186:FO186))/ROUND(((EOMONTH('Construction Budget'!$M42,0)-EOMONTH(FP$11,0))/30)+1,0),0)</f>
        <v>0</v>
      </c>
      <c r="FQ186" s="427">
        <f>-IF(AND(FQ$11&gt;=EOMONTH('Construction Budget'!$K42,0),FQ$11&lt;=EOMONTH('Construction Budget'!$M42,0)),('Construction Budget'!$G42+SUM($G186:FP186))/ROUND(((EOMONTH('Construction Budget'!$M42,0)-EOMONTH(FQ$11,0))/30)+1,0),0)</f>
        <v>0</v>
      </c>
      <c r="FR186" s="427">
        <f>-IF(AND(FR$11&gt;=EOMONTH('Construction Budget'!$K42,0),FR$11&lt;=EOMONTH('Construction Budget'!$M42,0)),('Construction Budget'!$G42+SUM($G186:FQ186))/ROUND(((EOMONTH('Construction Budget'!$M42,0)-EOMONTH(FR$11,0))/30)+1,0),0)</f>
        <v>0</v>
      </c>
      <c r="FS186" s="427">
        <f>-IF(AND(FS$11&gt;=EOMONTH('Construction Budget'!$K42,0),FS$11&lt;=EOMONTH('Construction Budget'!$M42,0)),('Construction Budget'!$G42+SUM($G186:FR186))/ROUND(((EOMONTH('Construction Budget'!$M42,0)-EOMONTH(FS$11,0))/30)+1,0),0)</f>
        <v>0</v>
      </c>
      <c r="FT186" s="427">
        <f>-IF(AND(FT$11&gt;=EOMONTH('Construction Budget'!$K42,0),FT$11&lt;=EOMONTH('Construction Budget'!$M42,0)),('Construction Budget'!$G42+SUM($G186:FS186))/ROUND(((EOMONTH('Construction Budget'!$M42,0)-EOMONTH(FT$11,0))/30)+1,0),0)</f>
        <v>0</v>
      </c>
      <c r="FU186" s="43"/>
      <c r="FV186" s="34"/>
      <c r="FW186" s="34"/>
      <c r="FX186" s="34"/>
      <c r="FY186" s="34"/>
      <c r="FZ186" s="34"/>
    </row>
    <row r="187" spans="1:182" s="89" customFormat="1" ht="13.5" hidden="1" outlineLevel="1" x14ac:dyDescent="0.25">
      <c r="A187" s="498"/>
      <c r="B187" s="128" t="str">
        <f>'Construction Budget'!B43</f>
        <v>Blank</v>
      </c>
      <c r="C187" s="34"/>
      <c r="D187" s="34"/>
      <c r="E187" s="34"/>
      <c r="F187" s="434">
        <f t="shared" si="232"/>
        <v>0</v>
      </c>
      <c r="G187" s="34"/>
      <c r="H187" s="427">
        <f>-IF(AND(H$11&gt;=EOMONTH('Construction Budget'!$K43,0),H$11&lt;=EOMONTH('Construction Budget'!$M43,0)),('Construction Budget'!$G43+SUM($G187:G187))/ROUND(((EOMONTH('Construction Budget'!$M43,0)-EOMONTH(H$11,0))/30)+1,0),0)</f>
        <v>0</v>
      </c>
      <c r="I187" s="427">
        <f>-IF(AND(I$11&gt;=EOMONTH('Construction Budget'!$K43,0),I$11&lt;=EOMONTH('Construction Budget'!$M43,0)),('Construction Budget'!$G43+SUM($G187:H187))/ROUND(((EOMONTH('Construction Budget'!$M43,0)-EOMONTH(I$11,0))/30)+1,0),0)</f>
        <v>0</v>
      </c>
      <c r="J187" s="427">
        <f>-IF(AND(J$11&gt;=EOMONTH('Construction Budget'!$K43,0),J$11&lt;=EOMONTH('Construction Budget'!$M43,0)),('Construction Budget'!$G43+SUM($G187:I187))/ROUND(((EOMONTH('Construction Budget'!$M43,0)-EOMONTH(J$11,0))/30)+1,0),0)</f>
        <v>0</v>
      </c>
      <c r="K187" s="427">
        <f>-IF(AND(K$11&gt;=EOMONTH('Construction Budget'!$K43,0),K$11&lt;=EOMONTH('Construction Budget'!$M43,0)),('Construction Budget'!$G43+SUM($G187:J187))/ROUND(((EOMONTH('Construction Budget'!$M43,0)-EOMONTH(K$11,0))/30)+1,0),0)</f>
        <v>0</v>
      </c>
      <c r="L187" s="427">
        <f>-IF(AND(L$11&gt;=EOMONTH('Construction Budget'!$K43,0),L$11&lt;=EOMONTH('Construction Budget'!$M43,0)),('Construction Budget'!$G43+SUM($G187:K187))/ROUND(((EOMONTH('Construction Budget'!$M43,0)-EOMONTH(L$11,0))/30)+1,0),0)</f>
        <v>0</v>
      </c>
      <c r="M187" s="427">
        <f>-IF(AND(M$11&gt;=EOMONTH('Construction Budget'!$K43,0),M$11&lt;=EOMONTH('Construction Budget'!$M43,0)),('Construction Budget'!$G43+SUM($G187:L187))/ROUND(((EOMONTH('Construction Budget'!$M43,0)-EOMONTH(M$11,0))/30)+1,0),0)</f>
        <v>0</v>
      </c>
      <c r="N187" s="427">
        <f>-IF(AND(N$11&gt;=EOMONTH('Construction Budget'!$K43,0),N$11&lt;=EOMONTH('Construction Budget'!$M43,0)),('Construction Budget'!$G43+SUM($G187:M187))/ROUND(((EOMONTH('Construction Budget'!$M43,0)-EOMONTH(N$11,0))/30)+1,0),0)</f>
        <v>0</v>
      </c>
      <c r="O187" s="427">
        <f>-IF(AND(O$11&gt;=EOMONTH('Construction Budget'!$K43,0),O$11&lt;=EOMONTH('Construction Budget'!$M43,0)),('Construction Budget'!$G43+SUM($G187:N187))/ROUND(((EOMONTH('Construction Budget'!$M43,0)-EOMONTH(O$11,0))/30)+1,0),0)</f>
        <v>0</v>
      </c>
      <c r="P187" s="427">
        <f>-IF(AND(P$11&gt;=EOMONTH('Construction Budget'!$K43,0),P$11&lt;=EOMONTH('Construction Budget'!$M43,0)),('Construction Budget'!$G43+SUM($G187:O187))/ROUND(((EOMONTH('Construction Budget'!$M43,0)-EOMONTH(P$11,0))/30)+1,0),0)</f>
        <v>0</v>
      </c>
      <c r="Q187" s="427">
        <f>-IF(AND(Q$11&gt;=EOMONTH('Construction Budget'!$K43,0),Q$11&lt;=EOMONTH('Construction Budget'!$M43,0)),('Construction Budget'!$G43+SUM($G187:P187))/ROUND(((EOMONTH('Construction Budget'!$M43,0)-EOMONTH(Q$11,0))/30)+1,0),0)</f>
        <v>0</v>
      </c>
      <c r="R187" s="427">
        <f>-IF(AND(R$11&gt;=EOMONTH('Construction Budget'!$K43,0),R$11&lt;=EOMONTH('Construction Budget'!$M43,0)),('Construction Budget'!$G43+SUM($G187:Q187))/ROUND(((EOMONTH('Construction Budget'!$M43,0)-EOMONTH(R$11,0))/30)+1,0),0)</f>
        <v>0</v>
      </c>
      <c r="S187" s="427">
        <f>-IF(AND(S$11&gt;=EOMONTH('Construction Budget'!$K43,0),S$11&lt;=EOMONTH('Construction Budget'!$M43,0)),('Construction Budget'!$G43+SUM($G187:R187))/ROUND(((EOMONTH('Construction Budget'!$M43,0)-EOMONTH(S$11,0))/30)+1,0),0)</f>
        <v>0</v>
      </c>
      <c r="T187" s="427">
        <f>-IF(AND(T$11&gt;=EOMONTH('Construction Budget'!$K43,0),T$11&lt;=EOMONTH('Construction Budget'!$M43,0)),('Construction Budget'!$G43+SUM($G187:S187))/ROUND(((EOMONTH('Construction Budget'!$M43,0)-EOMONTH(T$11,0))/30)+1,0),0)</f>
        <v>0</v>
      </c>
      <c r="U187" s="427">
        <f>-IF(AND(U$11&gt;=EOMONTH('Construction Budget'!$K43,0),U$11&lt;=EOMONTH('Construction Budget'!$M43,0)),('Construction Budget'!$G43+SUM($G187:T187))/ROUND(((EOMONTH('Construction Budget'!$M43,0)-EOMONTH(U$11,0))/30)+1,0),0)</f>
        <v>0</v>
      </c>
      <c r="V187" s="427">
        <f>-IF(AND(V$11&gt;=EOMONTH('Construction Budget'!$K43,0),V$11&lt;=EOMONTH('Construction Budget'!$M43,0)),('Construction Budget'!$G43+SUM($G187:U187))/ROUND(((EOMONTH('Construction Budget'!$M43,0)-EOMONTH(V$11,0))/30)+1,0),0)</f>
        <v>0</v>
      </c>
      <c r="W187" s="427">
        <f>-IF(AND(W$11&gt;=EOMONTH('Construction Budget'!$K43,0),W$11&lt;=EOMONTH('Construction Budget'!$M43,0)),('Construction Budget'!$G43+SUM($G187:V187))/ROUND(((EOMONTH('Construction Budget'!$M43,0)-EOMONTH(W$11,0))/30)+1,0),0)</f>
        <v>0</v>
      </c>
      <c r="X187" s="427">
        <f>-IF(AND(X$11&gt;=EOMONTH('Construction Budget'!$K43,0),X$11&lt;=EOMONTH('Construction Budget'!$M43,0)),('Construction Budget'!$G43+SUM($G187:W187))/ROUND(((EOMONTH('Construction Budget'!$M43,0)-EOMONTH(X$11,0))/30)+1,0),0)</f>
        <v>0</v>
      </c>
      <c r="Y187" s="427">
        <f>-IF(AND(Y$11&gt;=EOMONTH('Construction Budget'!$K43,0),Y$11&lt;=EOMONTH('Construction Budget'!$M43,0)),('Construction Budget'!$G43+SUM($G187:X187))/ROUND(((EOMONTH('Construction Budget'!$M43,0)-EOMONTH(Y$11,0))/30)+1,0),0)</f>
        <v>0</v>
      </c>
      <c r="Z187" s="427">
        <f>-IF(AND(Z$11&gt;=EOMONTH('Construction Budget'!$K43,0),Z$11&lt;=EOMONTH('Construction Budget'!$M43,0)),('Construction Budget'!$G43+SUM($G187:Y187))/ROUND(((EOMONTH('Construction Budget'!$M43,0)-EOMONTH(Z$11,0))/30)+1,0),0)</f>
        <v>0</v>
      </c>
      <c r="AA187" s="427">
        <f>-IF(AND(AA$11&gt;=EOMONTH('Construction Budget'!$K43,0),AA$11&lt;=EOMONTH('Construction Budget'!$M43,0)),('Construction Budget'!$G43+SUM($G187:Z187))/ROUND(((EOMONTH('Construction Budget'!$M43,0)-EOMONTH(AA$11,0))/30)+1,0),0)</f>
        <v>0</v>
      </c>
      <c r="AB187" s="427">
        <f>-IF(AND(AB$11&gt;=EOMONTH('Construction Budget'!$K43,0),AB$11&lt;=EOMONTH('Construction Budget'!$M43,0)),('Construction Budget'!$G43+SUM($G187:AA187))/ROUND(((EOMONTH('Construction Budget'!$M43,0)-EOMONTH(AB$11,0))/30)+1,0),0)</f>
        <v>0</v>
      </c>
      <c r="AC187" s="427">
        <f>-IF(AND(AC$11&gt;=EOMONTH('Construction Budget'!$K43,0),AC$11&lt;=EOMONTH('Construction Budget'!$M43,0)),('Construction Budget'!$G43+SUM($G187:AB187))/ROUND(((EOMONTH('Construction Budget'!$M43,0)-EOMONTH(AC$11,0))/30)+1,0),0)</f>
        <v>0</v>
      </c>
      <c r="AD187" s="427">
        <f>-IF(AND(AD$11&gt;=EOMONTH('Construction Budget'!$K43,0),AD$11&lt;=EOMONTH('Construction Budget'!$M43,0)),('Construction Budget'!$G43+SUM($G187:AC187))/ROUND(((EOMONTH('Construction Budget'!$M43,0)-EOMONTH(AD$11,0))/30)+1,0),0)</f>
        <v>0</v>
      </c>
      <c r="AE187" s="427">
        <f>-IF(AND(AE$11&gt;=EOMONTH('Construction Budget'!$K43,0),AE$11&lt;=EOMONTH('Construction Budget'!$M43,0)),('Construction Budget'!$G43+SUM($G187:AD187))/ROUND(((EOMONTH('Construction Budget'!$M43,0)-EOMONTH(AE$11,0))/30)+1,0),0)</f>
        <v>0</v>
      </c>
      <c r="AF187" s="427">
        <f>-IF(AND(AF$11&gt;=EOMONTH('Construction Budget'!$K43,0),AF$11&lt;=EOMONTH('Construction Budget'!$M43,0)),('Construction Budget'!$G43+SUM($G187:AE187))/ROUND(((EOMONTH('Construction Budget'!$M43,0)-EOMONTH(AF$11,0))/30)+1,0),0)</f>
        <v>0</v>
      </c>
      <c r="AG187" s="427">
        <f>-IF(AND(AG$11&gt;=EOMONTH('Construction Budget'!$K43,0),AG$11&lt;=EOMONTH('Construction Budget'!$M43,0)),('Construction Budget'!$G43+SUM($G187:AF187))/ROUND(((EOMONTH('Construction Budget'!$M43,0)-EOMONTH(AG$11,0))/30)+1,0),0)</f>
        <v>0</v>
      </c>
      <c r="AH187" s="427">
        <f>-IF(AND(AH$11&gt;=EOMONTH('Construction Budget'!$K43,0),AH$11&lt;=EOMONTH('Construction Budget'!$M43,0)),('Construction Budget'!$G43+SUM($G187:AG187))/ROUND(((EOMONTH('Construction Budget'!$M43,0)-EOMONTH(AH$11,0))/30)+1,0),0)</f>
        <v>0</v>
      </c>
      <c r="AI187" s="427">
        <f>-IF(AND(AI$11&gt;=EOMONTH('Construction Budget'!$K43,0),AI$11&lt;=EOMONTH('Construction Budget'!$M43,0)),('Construction Budget'!$G43+SUM($G187:AH187))/ROUND(((EOMONTH('Construction Budget'!$M43,0)-EOMONTH(AI$11,0))/30)+1,0),0)</f>
        <v>0</v>
      </c>
      <c r="AJ187" s="427">
        <f>-IF(AND(AJ$11&gt;=EOMONTH('Construction Budget'!$K43,0),AJ$11&lt;=EOMONTH('Construction Budget'!$M43,0)),('Construction Budget'!$G43+SUM($G187:AI187))/ROUND(((EOMONTH('Construction Budget'!$M43,0)-EOMONTH(AJ$11,0))/30)+1,0),0)</f>
        <v>0</v>
      </c>
      <c r="AK187" s="427">
        <f>-IF(AND(AK$11&gt;=EOMONTH('Construction Budget'!$K43,0),AK$11&lt;=EOMONTH('Construction Budget'!$M43,0)),('Construction Budget'!$G43+SUM($G187:AJ187))/ROUND(((EOMONTH('Construction Budget'!$M43,0)-EOMONTH(AK$11,0))/30)+1,0),0)</f>
        <v>0</v>
      </c>
      <c r="AL187" s="427">
        <f>-IF(AND(AL$11&gt;=EOMONTH('Construction Budget'!$K43,0),AL$11&lt;=EOMONTH('Construction Budget'!$M43,0)),('Construction Budget'!$G43+SUM($G187:AK187))/ROUND(((EOMONTH('Construction Budget'!$M43,0)-EOMONTH(AL$11,0))/30)+1,0),0)</f>
        <v>0</v>
      </c>
      <c r="AM187" s="427">
        <f>-IF(AND(AM$11&gt;=EOMONTH('Construction Budget'!$K43,0),AM$11&lt;=EOMONTH('Construction Budget'!$M43,0)),('Construction Budget'!$G43+SUM($G187:AL187))/ROUND(((EOMONTH('Construction Budget'!$M43,0)-EOMONTH(AM$11,0))/30)+1,0),0)</f>
        <v>0</v>
      </c>
      <c r="AN187" s="427">
        <f>-IF(AND(AN$11&gt;=EOMONTH('Construction Budget'!$K43,0),AN$11&lt;=EOMONTH('Construction Budget'!$M43,0)),('Construction Budget'!$G43+SUM($G187:AM187))/ROUND(((EOMONTH('Construction Budget'!$M43,0)-EOMONTH(AN$11,0))/30)+1,0),0)</f>
        <v>0</v>
      </c>
      <c r="AO187" s="427">
        <f>-IF(AND(AO$11&gt;=EOMONTH('Construction Budget'!$K43,0),AO$11&lt;=EOMONTH('Construction Budget'!$M43,0)),('Construction Budget'!$G43+SUM($G187:AN187))/ROUND(((EOMONTH('Construction Budget'!$M43,0)-EOMONTH(AO$11,0))/30)+1,0),0)</f>
        <v>0</v>
      </c>
      <c r="AP187" s="427">
        <f>-IF(AND(AP$11&gt;=EOMONTH('Construction Budget'!$K43,0),AP$11&lt;=EOMONTH('Construction Budget'!$M43,0)),('Construction Budget'!$G43+SUM($G187:AO187))/ROUND(((EOMONTH('Construction Budget'!$M43,0)-EOMONTH(AP$11,0))/30)+1,0),0)</f>
        <v>0</v>
      </c>
      <c r="AQ187" s="427">
        <f>-IF(AND(AQ$11&gt;=EOMONTH('Construction Budget'!$K43,0),AQ$11&lt;=EOMONTH('Construction Budget'!$M43,0)),('Construction Budget'!$G43+SUM($G187:AP187))/ROUND(((EOMONTH('Construction Budget'!$M43,0)-EOMONTH(AQ$11,0))/30)+1,0),0)</f>
        <v>0</v>
      </c>
      <c r="AR187" s="427">
        <f>-IF(AND(AR$11&gt;=EOMONTH('Construction Budget'!$K43,0),AR$11&lt;=EOMONTH('Construction Budget'!$M43,0)),('Construction Budget'!$G43+SUM($G187:AQ187))/ROUND(((EOMONTH('Construction Budget'!$M43,0)-EOMONTH(AR$11,0))/30)+1,0),0)</f>
        <v>0</v>
      </c>
      <c r="AS187" s="427">
        <f>-IF(AND(AS$11&gt;=EOMONTH('Construction Budget'!$K43,0),AS$11&lt;=EOMONTH('Construction Budget'!$M43,0)),('Construction Budget'!$G43+SUM($G187:AR187))/ROUND(((EOMONTH('Construction Budget'!$M43,0)-EOMONTH(AS$11,0))/30)+1,0),0)</f>
        <v>0</v>
      </c>
      <c r="AT187" s="427">
        <f>-IF(AND(AT$11&gt;=EOMONTH('Construction Budget'!$K43,0),AT$11&lt;=EOMONTH('Construction Budget'!$M43,0)),('Construction Budget'!$G43+SUM($G187:AS187))/ROUND(((EOMONTH('Construction Budget'!$M43,0)-EOMONTH(AT$11,0))/30)+1,0),0)</f>
        <v>0</v>
      </c>
      <c r="AU187" s="427">
        <f>-IF(AND(AU$11&gt;=EOMONTH('Construction Budget'!$K43,0),AU$11&lt;=EOMONTH('Construction Budget'!$M43,0)),('Construction Budget'!$G43+SUM($G187:AT187))/ROUND(((EOMONTH('Construction Budget'!$M43,0)-EOMONTH(AU$11,0))/30)+1,0),0)</f>
        <v>0</v>
      </c>
      <c r="AV187" s="427">
        <f>-IF(AND(AV$11&gt;=EOMONTH('Construction Budget'!$K43,0),AV$11&lt;=EOMONTH('Construction Budget'!$M43,0)),('Construction Budget'!$G43+SUM($G187:AU187))/ROUND(((EOMONTH('Construction Budget'!$M43,0)-EOMONTH(AV$11,0))/30)+1,0),0)</f>
        <v>0</v>
      </c>
      <c r="AW187" s="427">
        <f>-IF(AND(AW$11&gt;=EOMONTH('Construction Budget'!$K43,0),AW$11&lt;=EOMONTH('Construction Budget'!$M43,0)),('Construction Budget'!$G43+SUM($G187:AV187))/ROUND(((EOMONTH('Construction Budget'!$M43,0)-EOMONTH(AW$11,0))/30)+1,0),0)</f>
        <v>0</v>
      </c>
      <c r="AX187" s="427">
        <f>-IF(AND(AX$11&gt;=EOMONTH('Construction Budget'!$K43,0),AX$11&lt;=EOMONTH('Construction Budget'!$M43,0)),('Construction Budget'!$G43+SUM($G187:AW187))/ROUND(((EOMONTH('Construction Budget'!$M43,0)-EOMONTH(AX$11,0))/30)+1,0),0)</f>
        <v>0</v>
      </c>
      <c r="AY187" s="427">
        <f>-IF(AND(AY$11&gt;=EOMONTH('Construction Budget'!$K43,0),AY$11&lt;=EOMONTH('Construction Budget'!$M43,0)),('Construction Budget'!$G43+SUM($G187:AX187))/ROUND(((EOMONTH('Construction Budget'!$M43,0)-EOMONTH(AY$11,0))/30)+1,0),0)</f>
        <v>0</v>
      </c>
      <c r="AZ187" s="427">
        <f>-IF(AND(AZ$11&gt;=EOMONTH('Construction Budget'!$K43,0),AZ$11&lt;=EOMONTH('Construction Budget'!$M43,0)),('Construction Budget'!$G43+SUM($G187:AY187))/ROUND(((EOMONTH('Construction Budget'!$M43,0)-EOMONTH(AZ$11,0))/30)+1,0),0)</f>
        <v>0</v>
      </c>
      <c r="BA187" s="427">
        <f>-IF(AND(BA$11&gt;=EOMONTH('Construction Budget'!$K43,0),BA$11&lt;=EOMONTH('Construction Budget'!$M43,0)),('Construction Budget'!$G43+SUM($G187:AZ187))/ROUND(((EOMONTH('Construction Budget'!$M43,0)-EOMONTH(BA$11,0))/30)+1,0),0)</f>
        <v>0</v>
      </c>
      <c r="BB187" s="427">
        <f>-IF(AND(BB$11&gt;=EOMONTH('Construction Budget'!$K43,0),BB$11&lt;=EOMONTH('Construction Budget'!$M43,0)),('Construction Budget'!$G43+SUM($G187:BA187))/ROUND(((EOMONTH('Construction Budget'!$M43,0)-EOMONTH(BB$11,0))/30)+1,0),0)</f>
        <v>0</v>
      </c>
      <c r="BC187" s="427">
        <f>-IF(AND(BC$11&gt;=EOMONTH('Construction Budget'!$K43,0),BC$11&lt;=EOMONTH('Construction Budget'!$M43,0)),('Construction Budget'!$G43+SUM($G187:BB187))/ROUND(((EOMONTH('Construction Budget'!$M43,0)-EOMONTH(BC$11,0))/30)+1,0),0)</f>
        <v>0</v>
      </c>
      <c r="BD187" s="427">
        <f>-IF(AND(BD$11&gt;=EOMONTH('Construction Budget'!$K43,0),BD$11&lt;=EOMONTH('Construction Budget'!$M43,0)),('Construction Budget'!$G43+SUM($G187:BC187))/ROUND(((EOMONTH('Construction Budget'!$M43,0)-EOMONTH(BD$11,0))/30)+1,0),0)</f>
        <v>0</v>
      </c>
      <c r="BE187" s="427">
        <f>-IF(AND(BE$11&gt;=EOMONTH('Construction Budget'!$K43,0),BE$11&lt;=EOMONTH('Construction Budget'!$M43,0)),('Construction Budget'!$G43+SUM($G187:BD187))/ROUND(((EOMONTH('Construction Budget'!$M43,0)-EOMONTH(BE$11,0))/30)+1,0),0)</f>
        <v>0</v>
      </c>
      <c r="BF187" s="427">
        <f>-IF(AND(BF$11&gt;=EOMONTH('Construction Budget'!$K43,0),BF$11&lt;=EOMONTH('Construction Budget'!$M43,0)),('Construction Budget'!$G43+SUM($G187:BE187))/ROUND(((EOMONTH('Construction Budget'!$M43,0)-EOMONTH(BF$11,0))/30)+1,0),0)</f>
        <v>0</v>
      </c>
      <c r="BG187" s="427">
        <f>-IF(AND(BG$11&gt;=EOMONTH('Construction Budget'!$K43,0),BG$11&lt;=EOMONTH('Construction Budget'!$M43,0)),('Construction Budget'!$G43+SUM($G187:BF187))/ROUND(((EOMONTH('Construction Budget'!$M43,0)-EOMONTH(BG$11,0))/30)+1,0),0)</f>
        <v>0</v>
      </c>
      <c r="BH187" s="427">
        <f>-IF(AND(BH$11&gt;=EOMONTH('Construction Budget'!$K43,0),BH$11&lt;=EOMONTH('Construction Budget'!$M43,0)),('Construction Budget'!$G43+SUM($G187:BG187))/ROUND(((EOMONTH('Construction Budget'!$M43,0)-EOMONTH(BH$11,0))/30)+1,0),0)</f>
        <v>0</v>
      </c>
      <c r="BI187" s="427">
        <f>-IF(AND(BI$11&gt;=EOMONTH('Construction Budget'!$K43,0),BI$11&lt;=EOMONTH('Construction Budget'!$M43,0)),('Construction Budget'!$G43+SUM($G187:BH187))/ROUND(((EOMONTH('Construction Budget'!$M43,0)-EOMONTH(BI$11,0))/30)+1,0),0)</f>
        <v>0</v>
      </c>
      <c r="BJ187" s="427">
        <f>-IF(AND(BJ$11&gt;=EOMONTH('Construction Budget'!$K43,0),BJ$11&lt;=EOMONTH('Construction Budget'!$M43,0)),('Construction Budget'!$G43+SUM($G187:BI187))/ROUND(((EOMONTH('Construction Budget'!$M43,0)-EOMONTH(BJ$11,0))/30)+1,0),0)</f>
        <v>0</v>
      </c>
      <c r="BK187" s="427">
        <f>-IF(AND(BK$11&gt;=EOMONTH('Construction Budget'!$K43,0),BK$11&lt;=EOMONTH('Construction Budget'!$M43,0)),('Construction Budget'!$G43+SUM($G187:BJ187))/ROUND(((EOMONTH('Construction Budget'!$M43,0)-EOMONTH(BK$11,0))/30)+1,0),0)</f>
        <v>0</v>
      </c>
      <c r="BL187" s="427">
        <f>-IF(AND(BL$11&gt;=EOMONTH('Construction Budget'!$K43,0),BL$11&lt;=EOMONTH('Construction Budget'!$M43,0)),('Construction Budget'!$G43+SUM($G187:BK187))/ROUND(((EOMONTH('Construction Budget'!$M43,0)-EOMONTH(BL$11,0))/30)+1,0),0)</f>
        <v>0</v>
      </c>
      <c r="BM187" s="427">
        <f>-IF(AND(BM$11&gt;=EOMONTH('Construction Budget'!$K43,0),BM$11&lt;=EOMONTH('Construction Budget'!$M43,0)),('Construction Budget'!$G43+SUM($G187:BL187))/ROUND(((EOMONTH('Construction Budget'!$M43,0)-EOMONTH(BM$11,0))/30)+1,0),0)</f>
        <v>0</v>
      </c>
      <c r="BN187" s="427">
        <f>-IF(AND(BN$11&gt;=EOMONTH('Construction Budget'!$K43,0),BN$11&lt;=EOMONTH('Construction Budget'!$M43,0)),('Construction Budget'!$G43+SUM($G187:BM187))/ROUND(((EOMONTH('Construction Budget'!$M43,0)-EOMONTH(BN$11,0))/30)+1,0),0)</f>
        <v>0</v>
      </c>
      <c r="BO187" s="427">
        <f>-IF(AND(BO$11&gt;=EOMONTH('Construction Budget'!$K43,0),BO$11&lt;=EOMONTH('Construction Budget'!$M43,0)),('Construction Budget'!$G43+SUM($G187:BN187))/ROUND(((EOMONTH('Construction Budget'!$M43,0)-EOMONTH(BO$11,0))/30)+1,0),0)</f>
        <v>0</v>
      </c>
      <c r="BP187" s="427">
        <f>-IF(AND(BP$11&gt;=EOMONTH('Construction Budget'!$K43,0),BP$11&lt;=EOMONTH('Construction Budget'!$M43,0)),('Construction Budget'!$G43+SUM($G187:BO187))/ROUND(((EOMONTH('Construction Budget'!$M43,0)-EOMONTH(BP$11,0))/30)+1,0),0)</f>
        <v>0</v>
      </c>
      <c r="BQ187" s="427">
        <f>-IF(AND(BQ$11&gt;=EOMONTH('Construction Budget'!$K43,0),BQ$11&lt;=EOMONTH('Construction Budget'!$M43,0)),('Construction Budget'!$G43+SUM($G187:BP187))/ROUND(((EOMONTH('Construction Budget'!$M43,0)-EOMONTH(BQ$11,0))/30)+1,0),0)</f>
        <v>0</v>
      </c>
      <c r="BR187" s="427">
        <f>-IF(AND(BR$11&gt;=EOMONTH('Construction Budget'!$K43,0),BR$11&lt;=EOMONTH('Construction Budget'!$M43,0)),('Construction Budget'!$G43+SUM($G187:BQ187))/ROUND(((EOMONTH('Construction Budget'!$M43,0)-EOMONTH(BR$11,0))/30)+1,0),0)</f>
        <v>0</v>
      </c>
      <c r="BS187" s="427">
        <f>-IF(AND(BS$11&gt;=EOMONTH('Construction Budget'!$K43,0),BS$11&lt;=EOMONTH('Construction Budget'!$M43,0)),('Construction Budget'!$G43+SUM($G187:BR187))/ROUND(((EOMONTH('Construction Budget'!$M43,0)-EOMONTH(BS$11,0))/30)+1,0),0)</f>
        <v>0</v>
      </c>
      <c r="BT187" s="427">
        <f>-IF(AND(BT$11&gt;=EOMONTH('Construction Budget'!$K43,0),BT$11&lt;=EOMONTH('Construction Budget'!$M43,0)),('Construction Budget'!$G43+SUM($G187:BS187))/ROUND(((EOMONTH('Construction Budget'!$M43,0)-EOMONTH(BT$11,0))/30)+1,0),0)</f>
        <v>0</v>
      </c>
      <c r="BU187" s="427">
        <f>-IF(AND(BU$11&gt;=EOMONTH('Construction Budget'!$K43,0),BU$11&lt;=EOMONTH('Construction Budget'!$M43,0)),('Construction Budget'!$G43+SUM($G187:BT187))/ROUND(((EOMONTH('Construction Budget'!$M43,0)-EOMONTH(BU$11,0))/30)+1,0),0)</f>
        <v>0</v>
      </c>
      <c r="BV187" s="427">
        <f>-IF(AND(BV$11&gt;=EOMONTH('Construction Budget'!$K43,0),BV$11&lt;=EOMONTH('Construction Budget'!$M43,0)),('Construction Budget'!$G43+SUM($G187:BU187))/ROUND(((EOMONTH('Construction Budget'!$M43,0)-EOMONTH(BV$11,0))/30)+1,0),0)</f>
        <v>0</v>
      </c>
      <c r="BW187" s="427">
        <f>-IF(AND(BW$11&gt;=EOMONTH('Construction Budget'!$K43,0),BW$11&lt;=EOMONTH('Construction Budget'!$M43,0)),('Construction Budget'!$G43+SUM($G187:BV187))/ROUND(((EOMONTH('Construction Budget'!$M43,0)-EOMONTH(BW$11,0))/30)+1,0),0)</f>
        <v>0</v>
      </c>
      <c r="BX187" s="427">
        <f>-IF(AND(BX$11&gt;=EOMONTH('Construction Budget'!$K43,0),BX$11&lt;=EOMONTH('Construction Budget'!$M43,0)),('Construction Budget'!$G43+SUM($G187:BW187))/ROUND(((EOMONTH('Construction Budget'!$M43,0)-EOMONTH(BX$11,0))/30)+1,0),0)</f>
        <v>0</v>
      </c>
      <c r="BY187" s="427">
        <f>-IF(AND(BY$11&gt;=EOMONTH('Construction Budget'!$K43,0),BY$11&lt;=EOMONTH('Construction Budget'!$M43,0)),('Construction Budget'!$G43+SUM($G187:BX187))/ROUND(((EOMONTH('Construction Budget'!$M43,0)-EOMONTH(BY$11,0))/30)+1,0),0)</f>
        <v>0</v>
      </c>
      <c r="BZ187" s="427">
        <f>-IF(AND(BZ$11&gt;=EOMONTH('Construction Budget'!$K43,0),BZ$11&lt;=EOMONTH('Construction Budget'!$M43,0)),('Construction Budget'!$G43+SUM($G187:BY187))/ROUND(((EOMONTH('Construction Budget'!$M43,0)-EOMONTH(BZ$11,0))/30)+1,0),0)</f>
        <v>0</v>
      </c>
      <c r="CA187" s="427">
        <f>-IF(AND(CA$11&gt;=EOMONTH('Construction Budget'!$K43,0),CA$11&lt;=EOMONTH('Construction Budget'!$M43,0)),('Construction Budget'!$G43+SUM($G187:BZ187))/ROUND(((EOMONTH('Construction Budget'!$M43,0)-EOMONTH(CA$11,0))/30)+1,0),0)</f>
        <v>0</v>
      </c>
      <c r="CB187" s="427">
        <f>-IF(AND(CB$11&gt;=EOMONTH('Construction Budget'!$K43,0),CB$11&lt;=EOMONTH('Construction Budget'!$M43,0)),('Construction Budget'!$G43+SUM($G187:CA187))/ROUND(((EOMONTH('Construction Budget'!$M43,0)-EOMONTH(CB$11,0))/30)+1,0),0)</f>
        <v>0</v>
      </c>
      <c r="CC187" s="427">
        <f>-IF(AND(CC$11&gt;=EOMONTH('Construction Budget'!$K43,0),CC$11&lt;=EOMONTH('Construction Budget'!$M43,0)),('Construction Budget'!$G43+SUM($G187:CB187))/ROUND(((EOMONTH('Construction Budget'!$M43,0)-EOMONTH(CC$11,0))/30)+1,0),0)</f>
        <v>0</v>
      </c>
      <c r="CD187" s="427">
        <f>-IF(AND(CD$11&gt;=EOMONTH('Construction Budget'!$K43,0),CD$11&lt;=EOMONTH('Construction Budget'!$M43,0)),('Construction Budget'!$G43+SUM($G187:CC187))/ROUND(((EOMONTH('Construction Budget'!$M43,0)-EOMONTH(CD$11,0))/30)+1,0),0)</f>
        <v>0</v>
      </c>
      <c r="CE187" s="427">
        <f>-IF(AND(CE$11&gt;=EOMONTH('Construction Budget'!$K43,0),CE$11&lt;=EOMONTH('Construction Budget'!$M43,0)),('Construction Budget'!$G43+SUM($G187:CD187))/ROUND(((EOMONTH('Construction Budget'!$M43,0)-EOMONTH(CE$11,0))/30)+1,0),0)</f>
        <v>0</v>
      </c>
      <c r="CF187" s="427">
        <f>-IF(AND(CF$11&gt;=EOMONTH('Construction Budget'!$K43,0),CF$11&lt;=EOMONTH('Construction Budget'!$M43,0)),('Construction Budget'!$G43+SUM($G187:CE187))/ROUND(((EOMONTH('Construction Budget'!$M43,0)-EOMONTH(CF$11,0))/30)+1,0),0)</f>
        <v>0</v>
      </c>
      <c r="CG187" s="427">
        <f>-IF(AND(CG$11&gt;=EOMONTH('Construction Budget'!$K43,0),CG$11&lt;=EOMONTH('Construction Budget'!$M43,0)),('Construction Budget'!$G43+SUM($G187:CF187))/ROUND(((EOMONTH('Construction Budget'!$M43,0)-EOMONTH(CG$11,0))/30)+1,0),0)</f>
        <v>0</v>
      </c>
      <c r="CH187" s="427">
        <f>-IF(AND(CH$11&gt;=EOMONTH('Construction Budget'!$K43,0),CH$11&lt;=EOMONTH('Construction Budget'!$M43,0)),('Construction Budget'!$G43+SUM($G187:CG187))/ROUND(((EOMONTH('Construction Budget'!$M43,0)-EOMONTH(CH$11,0))/30)+1,0),0)</f>
        <v>0</v>
      </c>
      <c r="CI187" s="427">
        <f>-IF(AND(CI$11&gt;=EOMONTH('Construction Budget'!$K43,0),CI$11&lt;=EOMONTH('Construction Budget'!$M43,0)),('Construction Budget'!$G43+SUM($G187:CH187))/ROUND(((EOMONTH('Construction Budget'!$M43,0)-EOMONTH(CI$11,0))/30)+1,0),0)</f>
        <v>0</v>
      </c>
      <c r="CJ187" s="427">
        <f>-IF(AND(CJ$11&gt;=EOMONTH('Construction Budget'!$K43,0),CJ$11&lt;=EOMONTH('Construction Budget'!$M43,0)),('Construction Budget'!$G43+SUM($G187:CI187))/ROUND(((EOMONTH('Construction Budget'!$M43,0)-EOMONTH(CJ$11,0))/30)+1,0),0)</f>
        <v>0</v>
      </c>
      <c r="CK187" s="427">
        <f>-IF(AND(CK$11&gt;=EOMONTH('Construction Budget'!$K43,0),CK$11&lt;=EOMONTH('Construction Budget'!$M43,0)),('Construction Budget'!$G43+SUM($G187:CJ187))/ROUND(((EOMONTH('Construction Budget'!$M43,0)-EOMONTH(CK$11,0))/30)+1,0),0)</f>
        <v>0</v>
      </c>
      <c r="CL187" s="427">
        <f>-IF(AND(CL$11&gt;=EOMONTH('Construction Budget'!$K43,0),CL$11&lt;=EOMONTH('Construction Budget'!$M43,0)),('Construction Budget'!$G43+SUM($G187:CK187))/ROUND(((EOMONTH('Construction Budget'!$M43,0)-EOMONTH(CL$11,0))/30)+1,0),0)</f>
        <v>0</v>
      </c>
      <c r="CM187" s="427">
        <f>-IF(AND(CM$11&gt;=EOMONTH('Construction Budget'!$K43,0),CM$11&lt;=EOMONTH('Construction Budget'!$M43,0)),('Construction Budget'!$G43+SUM($G187:CL187))/ROUND(((EOMONTH('Construction Budget'!$M43,0)-EOMONTH(CM$11,0))/30)+1,0),0)</f>
        <v>0</v>
      </c>
      <c r="CN187" s="427">
        <f>-IF(AND(CN$11&gt;=EOMONTH('Construction Budget'!$K43,0),CN$11&lt;=EOMONTH('Construction Budget'!$M43,0)),('Construction Budget'!$G43+SUM($G187:CM187))/ROUND(((EOMONTH('Construction Budget'!$M43,0)-EOMONTH(CN$11,0))/30)+1,0),0)</f>
        <v>0</v>
      </c>
      <c r="CO187" s="427">
        <f>-IF(AND(CO$11&gt;=EOMONTH('Construction Budget'!$K43,0),CO$11&lt;=EOMONTH('Construction Budget'!$M43,0)),('Construction Budget'!$G43+SUM($G187:CN187))/ROUND(((EOMONTH('Construction Budget'!$M43,0)-EOMONTH(CO$11,0))/30)+1,0),0)</f>
        <v>0</v>
      </c>
      <c r="CP187" s="427">
        <f>-IF(AND(CP$11&gt;=EOMONTH('Construction Budget'!$K43,0),CP$11&lt;=EOMONTH('Construction Budget'!$M43,0)),('Construction Budget'!$G43+SUM($G187:CO187))/ROUND(((EOMONTH('Construction Budget'!$M43,0)-EOMONTH(CP$11,0))/30)+1,0),0)</f>
        <v>0</v>
      </c>
      <c r="CQ187" s="427">
        <f>-IF(AND(CQ$11&gt;=EOMONTH('Construction Budget'!$K43,0),CQ$11&lt;=EOMONTH('Construction Budget'!$M43,0)),('Construction Budget'!$G43+SUM($G187:CP187))/ROUND(((EOMONTH('Construction Budget'!$M43,0)-EOMONTH(CQ$11,0))/30)+1,0),0)</f>
        <v>0</v>
      </c>
      <c r="CR187" s="427">
        <f>-IF(AND(CR$11&gt;=EOMONTH('Construction Budget'!$K43,0),CR$11&lt;=EOMONTH('Construction Budget'!$M43,0)),('Construction Budget'!$G43+SUM($G187:CQ187))/ROUND(((EOMONTH('Construction Budget'!$M43,0)-EOMONTH(CR$11,0))/30)+1,0),0)</f>
        <v>0</v>
      </c>
      <c r="CS187" s="427">
        <f>-IF(AND(CS$11&gt;=EOMONTH('Construction Budget'!$K43,0),CS$11&lt;=EOMONTH('Construction Budget'!$M43,0)),('Construction Budget'!$G43+SUM($G187:CR187))/ROUND(((EOMONTH('Construction Budget'!$M43,0)-EOMONTH(CS$11,0))/30)+1,0),0)</f>
        <v>0</v>
      </c>
      <c r="CT187" s="427">
        <f>-IF(AND(CT$11&gt;=EOMONTH('Construction Budget'!$K43,0),CT$11&lt;=EOMONTH('Construction Budget'!$M43,0)),('Construction Budget'!$G43+SUM($G187:CS187))/ROUND(((EOMONTH('Construction Budget'!$M43,0)-EOMONTH(CT$11,0))/30)+1,0),0)</f>
        <v>0</v>
      </c>
      <c r="CU187" s="427">
        <f>-IF(AND(CU$11&gt;=EOMONTH('Construction Budget'!$K43,0),CU$11&lt;=EOMONTH('Construction Budget'!$M43,0)),('Construction Budget'!$G43+SUM($G187:CT187))/ROUND(((EOMONTH('Construction Budget'!$M43,0)-EOMONTH(CU$11,0))/30)+1,0),0)</f>
        <v>0</v>
      </c>
      <c r="CV187" s="427">
        <f>-IF(AND(CV$11&gt;=EOMONTH('Construction Budget'!$K43,0),CV$11&lt;=EOMONTH('Construction Budget'!$M43,0)),('Construction Budget'!$G43+SUM($G187:CU187))/ROUND(((EOMONTH('Construction Budget'!$M43,0)-EOMONTH(CV$11,0))/30)+1,0),0)</f>
        <v>0</v>
      </c>
      <c r="CW187" s="427">
        <f>-IF(AND(CW$11&gt;=EOMONTH('Construction Budget'!$K43,0),CW$11&lt;=EOMONTH('Construction Budget'!$M43,0)),('Construction Budget'!$G43+SUM($G187:CV187))/ROUND(((EOMONTH('Construction Budget'!$M43,0)-EOMONTH(CW$11,0))/30)+1,0),0)</f>
        <v>0</v>
      </c>
      <c r="CX187" s="427">
        <f>-IF(AND(CX$11&gt;=EOMONTH('Construction Budget'!$K43,0),CX$11&lt;=EOMONTH('Construction Budget'!$M43,0)),('Construction Budget'!$G43+SUM($G187:CW187))/ROUND(((EOMONTH('Construction Budget'!$M43,0)-EOMONTH(CX$11,0))/30)+1,0),0)</f>
        <v>0</v>
      </c>
      <c r="CY187" s="427">
        <f>-IF(AND(CY$11&gt;=EOMONTH('Construction Budget'!$K43,0),CY$11&lt;=EOMONTH('Construction Budget'!$M43,0)),('Construction Budget'!$G43+SUM($G187:CX187))/ROUND(((EOMONTH('Construction Budget'!$M43,0)-EOMONTH(CY$11,0))/30)+1,0),0)</f>
        <v>0</v>
      </c>
      <c r="CZ187" s="427">
        <f>-IF(AND(CZ$11&gt;=EOMONTH('Construction Budget'!$K43,0),CZ$11&lt;=EOMONTH('Construction Budget'!$M43,0)),('Construction Budget'!$G43+SUM($G187:CY187))/ROUND(((EOMONTH('Construction Budget'!$M43,0)-EOMONTH(CZ$11,0))/30)+1,0),0)</f>
        <v>0</v>
      </c>
      <c r="DA187" s="427">
        <f>-IF(AND(DA$11&gt;=EOMONTH('Construction Budget'!$K43,0),DA$11&lt;=EOMONTH('Construction Budget'!$M43,0)),('Construction Budget'!$G43+SUM($G187:CZ187))/ROUND(((EOMONTH('Construction Budget'!$M43,0)-EOMONTH(DA$11,0))/30)+1,0),0)</f>
        <v>0</v>
      </c>
      <c r="DB187" s="427">
        <f>-IF(AND(DB$11&gt;=EOMONTH('Construction Budget'!$K43,0),DB$11&lt;=EOMONTH('Construction Budget'!$M43,0)),('Construction Budget'!$G43+SUM($G187:DA187))/ROUND(((EOMONTH('Construction Budget'!$M43,0)-EOMONTH(DB$11,0))/30)+1,0),0)</f>
        <v>0</v>
      </c>
      <c r="DC187" s="427">
        <f>-IF(AND(DC$11&gt;=EOMONTH('Construction Budget'!$K43,0),DC$11&lt;=EOMONTH('Construction Budget'!$M43,0)),('Construction Budget'!$G43+SUM($G187:DB187))/ROUND(((EOMONTH('Construction Budget'!$M43,0)-EOMONTH(DC$11,0))/30)+1,0),0)</f>
        <v>0</v>
      </c>
      <c r="DD187" s="427">
        <f>-IF(AND(DD$11&gt;=EOMONTH('Construction Budget'!$K43,0),DD$11&lt;=EOMONTH('Construction Budget'!$M43,0)),('Construction Budget'!$G43+SUM($G187:DC187))/ROUND(((EOMONTH('Construction Budget'!$M43,0)-EOMONTH(DD$11,0))/30)+1,0),0)</f>
        <v>0</v>
      </c>
      <c r="DE187" s="427">
        <f>-IF(AND(DE$11&gt;=EOMONTH('Construction Budget'!$K43,0),DE$11&lt;=EOMONTH('Construction Budget'!$M43,0)),('Construction Budget'!$G43+SUM($G187:DD187))/ROUND(((EOMONTH('Construction Budget'!$M43,0)-EOMONTH(DE$11,0))/30)+1,0),0)</f>
        <v>0</v>
      </c>
      <c r="DF187" s="427">
        <f>-IF(AND(DF$11&gt;=EOMONTH('Construction Budget'!$K43,0),DF$11&lt;=EOMONTH('Construction Budget'!$M43,0)),('Construction Budget'!$G43+SUM($G187:DE187))/ROUND(((EOMONTH('Construction Budget'!$M43,0)-EOMONTH(DF$11,0))/30)+1,0),0)</f>
        <v>0</v>
      </c>
      <c r="DG187" s="427">
        <f>-IF(AND(DG$11&gt;=EOMONTH('Construction Budget'!$K43,0),DG$11&lt;=EOMONTH('Construction Budget'!$M43,0)),('Construction Budget'!$G43+SUM($G187:DF187))/ROUND(((EOMONTH('Construction Budget'!$M43,0)-EOMONTH(DG$11,0))/30)+1,0),0)</f>
        <v>0</v>
      </c>
      <c r="DH187" s="427">
        <f>-IF(AND(DH$11&gt;=EOMONTH('Construction Budget'!$K43,0),DH$11&lt;=EOMONTH('Construction Budget'!$M43,0)),('Construction Budget'!$G43+SUM($G187:DG187))/ROUND(((EOMONTH('Construction Budget'!$M43,0)-EOMONTH(DH$11,0))/30)+1,0),0)</f>
        <v>0</v>
      </c>
      <c r="DI187" s="427">
        <f>-IF(AND(DI$11&gt;=EOMONTH('Construction Budget'!$K43,0),DI$11&lt;=EOMONTH('Construction Budget'!$M43,0)),('Construction Budget'!$G43+SUM($G187:DH187))/ROUND(((EOMONTH('Construction Budget'!$M43,0)-EOMONTH(DI$11,0))/30)+1,0),0)</f>
        <v>0</v>
      </c>
      <c r="DJ187" s="427">
        <f>-IF(AND(DJ$11&gt;=EOMONTH('Construction Budget'!$K43,0),DJ$11&lt;=EOMONTH('Construction Budget'!$M43,0)),('Construction Budget'!$G43+SUM($G187:DI187))/ROUND(((EOMONTH('Construction Budget'!$M43,0)-EOMONTH(DJ$11,0))/30)+1,0),0)</f>
        <v>0</v>
      </c>
      <c r="DK187" s="427">
        <f>-IF(AND(DK$11&gt;=EOMONTH('Construction Budget'!$K43,0),DK$11&lt;=EOMONTH('Construction Budget'!$M43,0)),('Construction Budget'!$G43+SUM($G187:DJ187))/ROUND(((EOMONTH('Construction Budget'!$M43,0)-EOMONTH(DK$11,0))/30)+1,0),0)</f>
        <v>0</v>
      </c>
      <c r="DL187" s="427">
        <f>-IF(AND(DL$11&gt;=EOMONTH('Construction Budget'!$K43,0),DL$11&lt;=EOMONTH('Construction Budget'!$M43,0)),('Construction Budget'!$G43+SUM($G187:DK187))/ROUND(((EOMONTH('Construction Budget'!$M43,0)-EOMONTH(DL$11,0))/30)+1,0),0)</f>
        <v>0</v>
      </c>
      <c r="DM187" s="427">
        <f>-IF(AND(DM$11&gt;=EOMONTH('Construction Budget'!$K43,0),DM$11&lt;=EOMONTH('Construction Budget'!$M43,0)),('Construction Budget'!$G43+SUM($G187:DL187))/ROUND(((EOMONTH('Construction Budget'!$M43,0)-EOMONTH(DM$11,0))/30)+1,0),0)</f>
        <v>0</v>
      </c>
      <c r="DN187" s="427">
        <f>-IF(AND(DN$11&gt;=EOMONTH('Construction Budget'!$K43,0),DN$11&lt;=EOMONTH('Construction Budget'!$M43,0)),('Construction Budget'!$G43+SUM($G187:DM187))/ROUND(((EOMONTH('Construction Budget'!$M43,0)-EOMONTH(DN$11,0))/30)+1,0),0)</f>
        <v>0</v>
      </c>
      <c r="DO187" s="427">
        <f>-IF(AND(DO$11&gt;=EOMONTH('Construction Budget'!$K43,0),DO$11&lt;=EOMONTH('Construction Budget'!$M43,0)),('Construction Budget'!$G43+SUM($G187:DN187))/ROUND(((EOMONTH('Construction Budget'!$M43,0)-EOMONTH(DO$11,0))/30)+1,0),0)</f>
        <v>0</v>
      </c>
      <c r="DP187" s="427">
        <f>-IF(AND(DP$11&gt;=EOMONTH('Construction Budget'!$K43,0),DP$11&lt;=EOMONTH('Construction Budget'!$M43,0)),('Construction Budget'!$G43+SUM($G187:DO187))/ROUND(((EOMONTH('Construction Budget'!$M43,0)-EOMONTH(DP$11,0))/30)+1,0),0)</f>
        <v>0</v>
      </c>
      <c r="DQ187" s="427">
        <f>-IF(AND(DQ$11&gt;=EOMONTH('Construction Budget'!$K43,0),DQ$11&lt;=EOMONTH('Construction Budget'!$M43,0)),('Construction Budget'!$G43+SUM($G187:DP187))/ROUND(((EOMONTH('Construction Budget'!$M43,0)-EOMONTH(DQ$11,0))/30)+1,0),0)</f>
        <v>0</v>
      </c>
      <c r="DR187" s="427">
        <f>-IF(AND(DR$11&gt;=EOMONTH('Construction Budget'!$K43,0),DR$11&lt;=EOMONTH('Construction Budget'!$M43,0)),('Construction Budget'!$G43+SUM($G187:DQ187))/ROUND(((EOMONTH('Construction Budget'!$M43,0)-EOMONTH(DR$11,0))/30)+1,0),0)</f>
        <v>0</v>
      </c>
      <c r="DS187" s="427">
        <f>-IF(AND(DS$11&gt;=EOMONTH('Construction Budget'!$K43,0),DS$11&lt;=EOMONTH('Construction Budget'!$M43,0)),('Construction Budget'!$G43+SUM($G187:DR187))/ROUND(((EOMONTH('Construction Budget'!$M43,0)-EOMONTH(DS$11,0))/30)+1,0),0)</f>
        <v>0</v>
      </c>
      <c r="DT187" s="427">
        <f>-IF(AND(DT$11&gt;=EOMONTH('Construction Budget'!$K43,0),DT$11&lt;=EOMONTH('Construction Budget'!$M43,0)),('Construction Budget'!$G43+SUM($G187:DS187))/ROUND(((EOMONTH('Construction Budget'!$M43,0)-EOMONTH(DT$11,0))/30)+1,0),0)</f>
        <v>0</v>
      </c>
      <c r="DU187" s="427">
        <f>-IF(AND(DU$11&gt;=EOMONTH('Construction Budget'!$K43,0),DU$11&lt;=EOMONTH('Construction Budget'!$M43,0)),('Construction Budget'!$G43+SUM($G187:DT187))/ROUND(((EOMONTH('Construction Budget'!$M43,0)-EOMONTH(DU$11,0))/30)+1,0),0)</f>
        <v>0</v>
      </c>
      <c r="DV187" s="427">
        <f>-IF(AND(DV$11&gt;=EOMONTH('Construction Budget'!$K43,0),DV$11&lt;=EOMONTH('Construction Budget'!$M43,0)),('Construction Budget'!$G43+SUM($G187:DU187))/ROUND(((EOMONTH('Construction Budget'!$M43,0)-EOMONTH(DV$11,0))/30)+1,0),0)</f>
        <v>0</v>
      </c>
      <c r="DW187" s="427">
        <f>-IF(AND(DW$11&gt;=EOMONTH('Construction Budget'!$K43,0),DW$11&lt;=EOMONTH('Construction Budget'!$M43,0)),('Construction Budget'!$G43+SUM($G187:DV187))/ROUND(((EOMONTH('Construction Budget'!$M43,0)-EOMONTH(DW$11,0))/30)+1,0),0)</f>
        <v>0</v>
      </c>
      <c r="DX187" s="427">
        <f>-IF(AND(DX$11&gt;=EOMONTH('Construction Budget'!$K43,0),DX$11&lt;=EOMONTH('Construction Budget'!$M43,0)),('Construction Budget'!$G43+SUM($G187:DW187))/ROUND(((EOMONTH('Construction Budget'!$M43,0)-EOMONTH(DX$11,0))/30)+1,0),0)</f>
        <v>0</v>
      </c>
      <c r="DY187" s="427">
        <f>-IF(AND(DY$11&gt;=EOMONTH('Construction Budget'!$K43,0),DY$11&lt;=EOMONTH('Construction Budget'!$M43,0)),('Construction Budget'!$G43+SUM($G187:DX187))/ROUND(((EOMONTH('Construction Budget'!$M43,0)-EOMONTH(DY$11,0))/30)+1,0),0)</f>
        <v>0</v>
      </c>
      <c r="DZ187" s="427">
        <f>-IF(AND(DZ$11&gt;=EOMONTH('Construction Budget'!$K43,0),DZ$11&lt;=EOMONTH('Construction Budget'!$M43,0)),('Construction Budget'!$G43+SUM($G187:DY187))/ROUND(((EOMONTH('Construction Budget'!$M43,0)-EOMONTH(DZ$11,0))/30)+1,0),0)</f>
        <v>0</v>
      </c>
      <c r="EA187" s="427">
        <f>-IF(AND(EA$11&gt;=EOMONTH('Construction Budget'!$K43,0),EA$11&lt;=EOMONTH('Construction Budget'!$M43,0)),('Construction Budget'!$G43+SUM($G187:DZ187))/ROUND(((EOMONTH('Construction Budget'!$M43,0)-EOMONTH(EA$11,0))/30)+1,0),0)</f>
        <v>0</v>
      </c>
      <c r="EB187" s="427">
        <f>-IF(AND(EB$11&gt;=EOMONTH('Construction Budget'!$K43,0),EB$11&lt;=EOMONTH('Construction Budget'!$M43,0)),('Construction Budget'!$G43+SUM($G187:EA187))/ROUND(((EOMONTH('Construction Budget'!$M43,0)-EOMONTH(EB$11,0))/30)+1,0),0)</f>
        <v>0</v>
      </c>
      <c r="EC187" s="427">
        <f>-IF(AND(EC$11&gt;=EOMONTH('Construction Budget'!$K43,0),EC$11&lt;=EOMONTH('Construction Budget'!$M43,0)),('Construction Budget'!$G43+SUM($G187:EB187))/ROUND(((EOMONTH('Construction Budget'!$M43,0)-EOMONTH(EC$11,0))/30)+1,0),0)</f>
        <v>0</v>
      </c>
      <c r="ED187" s="427">
        <f>-IF(AND(ED$11&gt;=EOMONTH('Construction Budget'!$K43,0),ED$11&lt;=EOMONTH('Construction Budget'!$M43,0)),('Construction Budget'!$G43+SUM($G187:EC187))/ROUND(((EOMONTH('Construction Budget'!$M43,0)-EOMONTH(ED$11,0))/30)+1,0),0)</f>
        <v>0</v>
      </c>
      <c r="EE187" s="427">
        <f>-IF(AND(EE$11&gt;=EOMONTH('Construction Budget'!$K43,0),EE$11&lt;=EOMONTH('Construction Budget'!$M43,0)),('Construction Budget'!$G43+SUM($G187:ED187))/ROUND(((EOMONTH('Construction Budget'!$M43,0)-EOMONTH(EE$11,0))/30)+1,0),0)</f>
        <v>0</v>
      </c>
      <c r="EF187" s="427">
        <f>-IF(AND(EF$11&gt;=EOMONTH('Construction Budget'!$K43,0),EF$11&lt;=EOMONTH('Construction Budget'!$M43,0)),('Construction Budget'!$G43+SUM($G187:EE187))/ROUND(((EOMONTH('Construction Budget'!$M43,0)-EOMONTH(EF$11,0))/30)+1,0),0)</f>
        <v>0</v>
      </c>
      <c r="EG187" s="427">
        <f>-IF(AND(EG$11&gt;=EOMONTH('Construction Budget'!$K43,0),EG$11&lt;=EOMONTH('Construction Budget'!$M43,0)),('Construction Budget'!$G43+SUM($G187:EF187))/ROUND(((EOMONTH('Construction Budget'!$M43,0)-EOMONTH(EG$11,0))/30)+1,0),0)</f>
        <v>0</v>
      </c>
      <c r="EH187" s="427">
        <f>-IF(AND(EH$11&gt;=EOMONTH('Construction Budget'!$K43,0),EH$11&lt;=EOMONTH('Construction Budget'!$M43,0)),('Construction Budget'!$G43+SUM($G187:EG187))/ROUND(((EOMONTH('Construction Budget'!$M43,0)-EOMONTH(EH$11,0))/30)+1,0),0)</f>
        <v>0</v>
      </c>
      <c r="EI187" s="427">
        <f>-IF(AND(EI$11&gt;=EOMONTH('Construction Budget'!$K43,0),EI$11&lt;=EOMONTH('Construction Budget'!$M43,0)),('Construction Budget'!$G43+SUM($G187:EH187))/ROUND(((EOMONTH('Construction Budget'!$M43,0)-EOMONTH(EI$11,0))/30)+1,0),0)</f>
        <v>0</v>
      </c>
      <c r="EJ187" s="427">
        <f>-IF(AND(EJ$11&gt;=EOMONTH('Construction Budget'!$K43,0),EJ$11&lt;=EOMONTH('Construction Budget'!$M43,0)),('Construction Budget'!$G43+SUM($G187:EI187))/ROUND(((EOMONTH('Construction Budget'!$M43,0)-EOMONTH(EJ$11,0))/30)+1,0),0)</f>
        <v>0</v>
      </c>
      <c r="EK187" s="427">
        <f>-IF(AND(EK$11&gt;=EOMONTH('Construction Budget'!$K43,0),EK$11&lt;=EOMONTH('Construction Budget'!$M43,0)),('Construction Budget'!$G43+SUM($G187:EJ187))/ROUND(((EOMONTH('Construction Budget'!$M43,0)-EOMONTH(EK$11,0))/30)+1,0),0)</f>
        <v>0</v>
      </c>
      <c r="EL187" s="427">
        <f>-IF(AND(EL$11&gt;=EOMONTH('Construction Budget'!$K43,0),EL$11&lt;=EOMONTH('Construction Budget'!$M43,0)),('Construction Budget'!$G43+SUM($G187:EK187))/ROUND(((EOMONTH('Construction Budget'!$M43,0)-EOMONTH(EL$11,0))/30)+1,0),0)</f>
        <v>0</v>
      </c>
      <c r="EM187" s="427">
        <f>-IF(AND(EM$11&gt;=EOMONTH('Construction Budget'!$K43,0),EM$11&lt;=EOMONTH('Construction Budget'!$M43,0)),('Construction Budget'!$G43+SUM($G187:EL187))/ROUND(((EOMONTH('Construction Budget'!$M43,0)-EOMONTH(EM$11,0))/30)+1,0),0)</f>
        <v>0</v>
      </c>
      <c r="EN187" s="427">
        <f>-IF(AND(EN$11&gt;=EOMONTH('Construction Budget'!$K43,0),EN$11&lt;=EOMONTH('Construction Budget'!$M43,0)),('Construction Budget'!$G43+SUM($G187:EM187))/ROUND(((EOMONTH('Construction Budget'!$M43,0)-EOMONTH(EN$11,0))/30)+1,0),0)</f>
        <v>0</v>
      </c>
      <c r="EO187" s="427">
        <f>-IF(AND(EO$11&gt;=EOMONTH('Construction Budget'!$K43,0),EO$11&lt;=EOMONTH('Construction Budget'!$M43,0)),('Construction Budget'!$G43+SUM($G187:EN187))/ROUND(((EOMONTH('Construction Budget'!$M43,0)-EOMONTH(EO$11,0))/30)+1,0),0)</f>
        <v>0</v>
      </c>
      <c r="EP187" s="427">
        <f>-IF(AND(EP$11&gt;=EOMONTH('Construction Budget'!$K43,0),EP$11&lt;=EOMONTH('Construction Budget'!$M43,0)),('Construction Budget'!$G43+SUM($G187:EO187))/ROUND(((EOMONTH('Construction Budget'!$M43,0)-EOMONTH(EP$11,0))/30)+1,0),0)</f>
        <v>0</v>
      </c>
      <c r="EQ187" s="427">
        <f>-IF(AND(EQ$11&gt;=EOMONTH('Construction Budget'!$K43,0),EQ$11&lt;=EOMONTH('Construction Budget'!$M43,0)),('Construction Budget'!$G43+SUM($G187:EP187))/ROUND(((EOMONTH('Construction Budget'!$M43,0)-EOMONTH(EQ$11,0))/30)+1,0),0)</f>
        <v>0</v>
      </c>
      <c r="ER187" s="427">
        <f>-IF(AND(ER$11&gt;=EOMONTH('Construction Budget'!$K43,0),ER$11&lt;=EOMONTH('Construction Budget'!$M43,0)),('Construction Budget'!$G43+SUM($G187:EQ187))/ROUND(((EOMONTH('Construction Budget'!$M43,0)-EOMONTH(ER$11,0))/30)+1,0),0)</f>
        <v>0</v>
      </c>
      <c r="ES187" s="427">
        <f>-IF(AND(ES$11&gt;=EOMONTH('Construction Budget'!$K43,0),ES$11&lt;=EOMONTH('Construction Budget'!$M43,0)),('Construction Budget'!$G43+SUM($G187:ER187))/ROUND(((EOMONTH('Construction Budget'!$M43,0)-EOMONTH(ES$11,0))/30)+1,0),0)</f>
        <v>0</v>
      </c>
      <c r="ET187" s="427">
        <f>-IF(AND(ET$11&gt;=EOMONTH('Construction Budget'!$K43,0),ET$11&lt;=EOMONTH('Construction Budget'!$M43,0)),('Construction Budget'!$G43+SUM($G187:ES187))/ROUND(((EOMONTH('Construction Budget'!$M43,0)-EOMONTH(ET$11,0))/30)+1,0),0)</f>
        <v>0</v>
      </c>
      <c r="EU187" s="427">
        <f>-IF(AND(EU$11&gt;=EOMONTH('Construction Budget'!$K43,0),EU$11&lt;=EOMONTH('Construction Budget'!$M43,0)),('Construction Budget'!$G43+SUM($G187:ET187))/ROUND(((EOMONTH('Construction Budget'!$M43,0)-EOMONTH(EU$11,0))/30)+1,0),0)</f>
        <v>0</v>
      </c>
      <c r="EV187" s="427">
        <f>-IF(AND(EV$11&gt;=EOMONTH('Construction Budget'!$K43,0),EV$11&lt;=EOMONTH('Construction Budget'!$M43,0)),('Construction Budget'!$G43+SUM($G187:EU187))/ROUND(((EOMONTH('Construction Budget'!$M43,0)-EOMONTH(EV$11,0))/30)+1,0),0)</f>
        <v>0</v>
      </c>
      <c r="EW187" s="427">
        <f>-IF(AND(EW$11&gt;=EOMONTH('Construction Budget'!$K43,0),EW$11&lt;=EOMONTH('Construction Budget'!$M43,0)),('Construction Budget'!$G43+SUM($G187:EV187))/ROUND(((EOMONTH('Construction Budget'!$M43,0)-EOMONTH(EW$11,0))/30)+1,0),0)</f>
        <v>0</v>
      </c>
      <c r="EX187" s="427">
        <f>-IF(AND(EX$11&gt;=EOMONTH('Construction Budget'!$K43,0),EX$11&lt;=EOMONTH('Construction Budget'!$M43,0)),('Construction Budget'!$G43+SUM($G187:EW187))/ROUND(((EOMONTH('Construction Budget'!$M43,0)-EOMONTH(EX$11,0))/30)+1,0),0)</f>
        <v>0</v>
      </c>
      <c r="EY187" s="427">
        <f>-IF(AND(EY$11&gt;=EOMONTH('Construction Budget'!$K43,0),EY$11&lt;=EOMONTH('Construction Budget'!$M43,0)),('Construction Budget'!$G43+SUM($G187:EX187))/ROUND(((EOMONTH('Construction Budget'!$M43,0)-EOMONTH(EY$11,0))/30)+1,0),0)</f>
        <v>0</v>
      </c>
      <c r="EZ187" s="427">
        <f>-IF(AND(EZ$11&gt;=EOMONTH('Construction Budget'!$K43,0),EZ$11&lt;=EOMONTH('Construction Budget'!$M43,0)),('Construction Budget'!$G43+SUM($G187:EY187))/ROUND(((EOMONTH('Construction Budget'!$M43,0)-EOMONTH(EZ$11,0))/30)+1,0),0)</f>
        <v>0</v>
      </c>
      <c r="FA187" s="427">
        <f>-IF(AND(FA$11&gt;=EOMONTH('Construction Budget'!$K43,0),FA$11&lt;=EOMONTH('Construction Budget'!$M43,0)),('Construction Budget'!$G43+SUM($G187:EZ187))/ROUND(((EOMONTH('Construction Budget'!$M43,0)-EOMONTH(FA$11,0))/30)+1,0),0)</f>
        <v>0</v>
      </c>
      <c r="FB187" s="427">
        <f>-IF(AND(FB$11&gt;=EOMONTH('Construction Budget'!$K43,0),FB$11&lt;=EOMONTH('Construction Budget'!$M43,0)),('Construction Budget'!$G43+SUM($G187:FA187))/ROUND(((EOMONTH('Construction Budget'!$M43,0)-EOMONTH(FB$11,0))/30)+1,0),0)</f>
        <v>0</v>
      </c>
      <c r="FC187" s="427">
        <f>-IF(AND(FC$11&gt;=EOMONTH('Construction Budget'!$K43,0),FC$11&lt;=EOMONTH('Construction Budget'!$M43,0)),('Construction Budget'!$G43+SUM($G187:FB187))/ROUND(((EOMONTH('Construction Budget'!$M43,0)-EOMONTH(FC$11,0))/30)+1,0),0)</f>
        <v>0</v>
      </c>
      <c r="FD187" s="427">
        <f>-IF(AND(FD$11&gt;=EOMONTH('Construction Budget'!$K43,0),FD$11&lt;=EOMONTH('Construction Budget'!$M43,0)),('Construction Budget'!$G43+SUM($G187:FC187))/ROUND(((EOMONTH('Construction Budget'!$M43,0)-EOMONTH(FD$11,0))/30)+1,0),0)</f>
        <v>0</v>
      </c>
      <c r="FE187" s="427">
        <f>-IF(AND(FE$11&gt;=EOMONTH('Construction Budget'!$K43,0),FE$11&lt;=EOMONTH('Construction Budget'!$M43,0)),('Construction Budget'!$G43+SUM($G187:FD187))/ROUND(((EOMONTH('Construction Budget'!$M43,0)-EOMONTH(FE$11,0))/30)+1,0),0)</f>
        <v>0</v>
      </c>
      <c r="FF187" s="427">
        <f>-IF(AND(FF$11&gt;=EOMONTH('Construction Budget'!$K43,0),FF$11&lt;=EOMONTH('Construction Budget'!$M43,0)),('Construction Budget'!$G43+SUM($G187:FE187))/ROUND(((EOMONTH('Construction Budget'!$M43,0)-EOMONTH(FF$11,0))/30)+1,0),0)</f>
        <v>0</v>
      </c>
      <c r="FG187" s="427">
        <f>-IF(AND(FG$11&gt;=EOMONTH('Construction Budget'!$K43,0),FG$11&lt;=EOMONTH('Construction Budget'!$M43,0)),('Construction Budget'!$G43+SUM($G187:FF187))/ROUND(((EOMONTH('Construction Budget'!$M43,0)-EOMONTH(FG$11,0))/30)+1,0),0)</f>
        <v>0</v>
      </c>
      <c r="FH187" s="427">
        <f>-IF(AND(FH$11&gt;=EOMONTH('Construction Budget'!$K43,0),FH$11&lt;=EOMONTH('Construction Budget'!$M43,0)),('Construction Budget'!$G43+SUM($G187:FG187))/ROUND(((EOMONTH('Construction Budget'!$M43,0)-EOMONTH(FH$11,0))/30)+1,0),0)</f>
        <v>0</v>
      </c>
      <c r="FI187" s="427">
        <f>-IF(AND(FI$11&gt;=EOMONTH('Construction Budget'!$K43,0),FI$11&lt;=EOMONTH('Construction Budget'!$M43,0)),('Construction Budget'!$G43+SUM($G187:FH187))/ROUND(((EOMONTH('Construction Budget'!$M43,0)-EOMONTH(FI$11,0))/30)+1,0),0)</f>
        <v>0</v>
      </c>
      <c r="FJ187" s="427">
        <f>-IF(AND(FJ$11&gt;=EOMONTH('Construction Budget'!$K43,0),FJ$11&lt;=EOMONTH('Construction Budget'!$M43,0)),('Construction Budget'!$G43+SUM($G187:FI187))/ROUND(((EOMONTH('Construction Budget'!$M43,0)-EOMONTH(FJ$11,0))/30)+1,0),0)</f>
        <v>0</v>
      </c>
      <c r="FK187" s="427">
        <f>-IF(AND(FK$11&gt;=EOMONTH('Construction Budget'!$K43,0),FK$11&lt;=EOMONTH('Construction Budget'!$M43,0)),('Construction Budget'!$G43+SUM($G187:FJ187))/ROUND(((EOMONTH('Construction Budget'!$M43,0)-EOMONTH(FK$11,0))/30)+1,0),0)</f>
        <v>0</v>
      </c>
      <c r="FL187" s="427">
        <f>-IF(AND(FL$11&gt;=EOMONTH('Construction Budget'!$K43,0),FL$11&lt;=EOMONTH('Construction Budget'!$M43,0)),('Construction Budget'!$G43+SUM($G187:FK187))/ROUND(((EOMONTH('Construction Budget'!$M43,0)-EOMONTH(FL$11,0))/30)+1,0),0)</f>
        <v>0</v>
      </c>
      <c r="FM187" s="427">
        <f>-IF(AND(FM$11&gt;=EOMONTH('Construction Budget'!$K43,0),FM$11&lt;=EOMONTH('Construction Budget'!$M43,0)),('Construction Budget'!$G43+SUM($G187:FL187))/ROUND(((EOMONTH('Construction Budget'!$M43,0)-EOMONTH(FM$11,0))/30)+1,0),0)</f>
        <v>0</v>
      </c>
      <c r="FN187" s="427">
        <f>-IF(AND(FN$11&gt;=EOMONTH('Construction Budget'!$K43,0),FN$11&lt;=EOMONTH('Construction Budget'!$M43,0)),('Construction Budget'!$G43+SUM($G187:FM187))/ROUND(((EOMONTH('Construction Budget'!$M43,0)-EOMONTH(FN$11,0))/30)+1,0),0)</f>
        <v>0</v>
      </c>
      <c r="FO187" s="427">
        <f>-IF(AND(FO$11&gt;=EOMONTH('Construction Budget'!$K43,0),FO$11&lt;=EOMONTH('Construction Budget'!$M43,0)),('Construction Budget'!$G43+SUM($G187:FN187))/ROUND(((EOMONTH('Construction Budget'!$M43,0)-EOMONTH(FO$11,0))/30)+1,0),0)</f>
        <v>0</v>
      </c>
      <c r="FP187" s="427">
        <f>-IF(AND(FP$11&gt;=EOMONTH('Construction Budget'!$K43,0),FP$11&lt;=EOMONTH('Construction Budget'!$M43,0)),('Construction Budget'!$G43+SUM($G187:FO187))/ROUND(((EOMONTH('Construction Budget'!$M43,0)-EOMONTH(FP$11,0))/30)+1,0),0)</f>
        <v>0</v>
      </c>
      <c r="FQ187" s="427">
        <f>-IF(AND(FQ$11&gt;=EOMONTH('Construction Budget'!$K43,0),FQ$11&lt;=EOMONTH('Construction Budget'!$M43,0)),('Construction Budget'!$G43+SUM($G187:FP187))/ROUND(((EOMONTH('Construction Budget'!$M43,0)-EOMONTH(FQ$11,0))/30)+1,0),0)</f>
        <v>0</v>
      </c>
      <c r="FR187" s="427">
        <f>-IF(AND(FR$11&gt;=EOMONTH('Construction Budget'!$K43,0),FR$11&lt;=EOMONTH('Construction Budget'!$M43,0)),('Construction Budget'!$G43+SUM($G187:FQ187))/ROUND(((EOMONTH('Construction Budget'!$M43,0)-EOMONTH(FR$11,0))/30)+1,0),0)</f>
        <v>0</v>
      </c>
      <c r="FS187" s="427">
        <f>-IF(AND(FS$11&gt;=EOMONTH('Construction Budget'!$K43,0),FS$11&lt;=EOMONTH('Construction Budget'!$M43,0)),('Construction Budget'!$G43+SUM($G187:FR187))/ROUND(((EOMONTH('Construction Budget'!$M43,0)-EOMONTH(FS$11,0))/30)+1,0),0)</f>
        <v>0</v>
      </c>
      <c r="FT187" s="427">
        <f>-IF(AND(FT$11&gt;=EOMONTH('Construction Budget'!$K43,0),FT$11&lt;=EOMONTH('Construction Budget'!$M43,0)),('Construction Budget'!$G43+SUM($G187:FS187))/ROUND(((EOMONTH('Construction Budget'!$M43,0)-EOMONTH(FT$11,0))/30)+1,0),0)</f>
        <v>0</v>
      </c>
      <c r="FU187" s="43"/>
      <c r="FV187" s="34"/>
      <c r="FW187" s="34"/>
      <c r="FX187" s="34"/>
      <c r="FY187" s="34"/>
      <c r="FZ187" s="34"/>
    </row>
    <row r="188" spans="1:182" s="89" customFormat="1" ht="13.5" hidden="1" outlineLevel="1" x14ac:dyDescent="0.25">
      <c r="A188" s="498"/>
      <c r="B188" s="128" t="str">
        <f>'Construction Budget'!B44</f>
        <v>Blank</v>
      </c>
      <c r="C188" s="34"/>
      <c r="D188" s="34"/>
      <c r="E188" s="34"/>
      <c r="F188" s="434">
        <f t="shared" si="232"/>
        <v>0</v>
      </c>
      <c r="G188" s="34"/>
      <c r="H188" s="427">
        <f>-IF(AND(H$11&gt;=EOMONTH('Construction Budget'!$K44,0),H$11&lt;=EOMONTH('Construction Budget'!$M44,0)),('Construction Budget'!$G44+SUM($G188:G188))/ROUND(((EOMONTH('Construction Budget'!$M44,0)-EOMONTH(H$11,0))/30)+1,0),0)</f>
        <v>0</v>
      </c>
      <c r="I188" s="427">
        <f>-IF(AND(I$11&gt;=EOMONTH('Construction Budget'!$K44,0),I$11&lt;=EOMONTH('Construction Budget'!$M44,0)),('Construction Budget'!$G44+SUM($G188:H188))/ROUND(((EOMONTH('Construction Budget'!$M44,0)-EOMONTH(I$11,0))/30)+1,0),0)</f>
        <v>0</v>
      </c>
      <c r="J188" s="427">
        <f>-IF(AND(J$11&gt;=EOMONTH('Construction Budget'!$K44,0),J$11&lt;=EOMONTH('Construction Budget'!$M44,0)),('Construction Budget'!$G44+SUM($G188:I188))/ROUND(((EOMONTH('Construction Budget'!$M44,0)-EOMONTH(J$11,0))/30)+1,0),0)</f>
        <v>0</v>
      </c>
      <c r="K188" s="427">
        <f>-IF(AND(K$11&gt;=EOMONTH('Construction Budget'!$K44,0),K$11&lt;=EOMONTH('Construction Budget'!$M44,0)),('Construction Budget'!$G44+SUM($G188:J188))/ROUND(((EOMONTH('Construction Budget'!$M44,0)-EOMONTH(K$11,0))/30)+1,0),0)</f>
        <v>0</v>
      </c>
      <c r="L188" s="427">
        <f>-IF(AND(L$11&gt;=EOMONTH('Construction Budget'!$K44,0),L$11&lt;=EOMONTH('Construction Budget'!$M44,0)),('Construction Budget'!$G44+SUM($G188:K188))/ROUND(((EOMONTH('Construction Budget'!$M44,0)-EOMONTH(L$11,0))/30)+1,0),0)</f>
        <v>0</v>
      </c>
      <c r="M188" s="427">
        <f>-IF(AND(M$11&gt;=EOMONTH('Construction Budget'!$K44,0),M$11&lt;=EOMONTH('Construction Budget'!$M44,0)),('Construction Budget'!$G44+SUM($G188:L188))/ROUND(((EOMONTH('Construction Budget'!$M44,0)-EOMONTH(M$11,0))/30)+1,0),0)</f>
        <v>0</v>
      </c>
      <c r="N188" s="427">
        <f>-IF(AND(N$11&gt;=EOMONTH('Construction Budget'!$K44,0),N$11&lt;=EOMONTH('Construction Budget'!$M44,0)),('Construction Budget'!$G44+SUM($G188:M188))/ROUND(((EOMONTH('Construction Budget'!$M44,0)-EOMONTH(N$11,0))/30)+1,0),0)</f>
        <v>0</v>
      </c>
      <c r="O188" s="427">
        <f>-IF(AND(O$11&gt;=EOMONTH('Construction Budget'!$K44,0),O$11&lt;=EOMONTH('Construction Budget'!$M44,0)),('Construction Budget'!$G44+SUM($G188:N188))/ROUND(((EOMONTH('Construction Budget'!$M44,0)-EOMONTH(O$11,0))/30)+1,0),0)</f>
        <v>0</v>
      </c>
      <c r="P188" s="427">
        <f>-IF(AND(P$11&gt;=EOMONTH('Construction Budget'!$K44,0),P$11&lt;=EOMONTH('Construction Budget'!$M44,0)),('Construction Budget'!$G44+SUM($G188:O188))/ROUND(((EOMONTH('Construction Budget'!$M44,0)-EOMONTH(P$11,0))/30)+1,0),0)</f>
        <v>0</v>
      </c>
      <c r="Q188" s="427">
        <f>-IF(AND(Q$11&gt;=EOMONTH('Construction Budget'!$K44,0),Q$11&lt;=EOMONTH('Construction Budget'!$M44,0)),('Construction Budget'!$G44+SUM($G188:P188))/ROUND(((EOMONTH('Construction Budget'!$M44,0)-EOMONTH(Q$11,0))/30)+1,0),0)</f>
        <v>0</v>
      </c>
      <c r="R188" s="427">
        <f>-IF(AND(R$11&gt;=EOMONTH('Construction Budget'!$K44,0),R$11&lt;=EOMONTH('Construction Budget'!$M44,0)),('Construction Budget'!$G44+SUM($G188:Q188))/ROUND(((EOMONTH('Construction Budget'!$M44,0)-EOMONTH(R$11,0))/30)+1,0),0)</f>
        <v>0</v>
      </c>
      <c r="S188" s="427">
        <f>-IF(AND(S$11&gt;=EOMONTH('Construction Budget'!$K44,0),S$11&lt;=EOMONTH('Construction Budget'!$M44,0)),('Construction Budget'!$G44+SUM($G188:R188))/ROUND(((EOMONTH('Construction Budget'!$M44,0)-EOMONTH(S$11,0))/30)+1,0),0)</f>
        <v>0</v>
      </c>
      <c r="T188" s="427">
        <f>-IF(AND(T$11&gt;=EOMONTH('Construction Budget'!$K44,0),T$11&lt;=EOMONTH('Construction Budget'!$M44,0)),('Construction Budget'!$G44+SUM($G188:S188))/ROUND(((EOMONTH('Construction Budget'!$M44,0)-EOMONTH(T$11,0))/30)+1,0),0)</f>
        <v>0</v>
      </c>
      <c r="U188" s="427">
        <f>-IF(AND(U$11&gt;=EOMONTH('Construction Budget'!$K44,0),U$11&lt;=EOMONTH('Construction Budget'!$M44,0)),('Construction Budget'!$G44+SUM($G188:T188))/ROUND(((EOMONTH('Construction Budget'!$M44,0)-EOMONTH(U$11,0))/30)+1,0),0)</f>
        <v>0</v>
      </c>
      <c r="V188" s="427">
        <f>-IF(AND(V$11&gt;=EOMONTH('Construction Budget'!$K44,0),V$11&lt;=EOMONTH('Construction Budget'!$M44,0)),('Construction Budget'!$G44+SUM($G188:U188))/ROUND(((EOMONTH('Construction Budget'!$M44,0)-EOMONTH(V$11,0))/30)+1,0),0)</f>
        <v>0</v>
      </c>
      <c r="W188" s="427">
        <f>-IF(AND(W$11&gt;=EOMONTH('Construction Budget'!$K44,0),W$11&lt;=EOMONTH('Construction Budget'!$M44,0)),('Construction Budget'!$G44+SUM($G188:V188))/ROUND(((EOMONTH('Construction Budget'!$M44,0)-EOMONTH(W$11,0))/30)+1,0),0)</f>
        <v>0</v>
      </c>
      <c r="X188" s="427">
        <f>-IF(AND(X$11&gt;=EOMONTH('Construction Budget'!$K44,0),X$11&lt;=EOMONTH('Construction Budget'!$M44,0)),('Construction Budget'!$G44+SUM($G188:W188))/ROUND(((EOMONTH('Construction Budget'!$M44,0)-EOMONTH(X$11,0))/30)+1,0),0)</f>
        <v>0</v>
      </c>
      <c r="Y188" s="427">
        <f>-IF(AND(Y$11&gt;=EOMONTH('Construction Budget'!$K44,0),Y$11&lt;=EOMONTH('Construction Budget'!$M44,0)),('Construction Budget'!$G44+SUM($G188:X188))/ROUND(((EOMONTH('Construction Budget'!$M44,0)-EOMONTH(Y$11,0))/30)+1,0),0)</f>
        <v>0</v>
      </c>
      <c r="Z188" s="427">
        <f>-IF(AND(Z$11&gt;=EOMONTH('Construction Budget'!$K44,0),Z$11&lt;=EOMONTH('Construction Budget'!$M44,0)),('Construction Budget'!$G44+SUM($G188:Y188))/ROUND(((EOMONTH('Construction Budget'!$M44,0)-EOMONTH(Z$11,0))/30)+1,0),0)</f>
        <v>0</v>
      </c>
      <c r="AA188" s="427">
        <f>-IF(AND(AA$11&gt;=EOMONTH('Construction Budget'!$K44,0),AA$11&lt;=EOMONTH('Construction Budget'!$M44,0)),('Construction Budget'!$G44+SUM($G188:Z188))/ROUND(((EOMONTH('Construction Budget'!$M44,0)-EOMONTH(AA$11,0))/30)+1,0),0)</f>
        <v>0</v>
      </c>
      <c r="AB188" s="427">
        <f>-IF(AND(AB$11&gt;=EOMONTH('Construction Budget'!$K44,0),AB$11&lt;=EOMONTH('Construction Budget'!$M44,0)),('Construction Budget'!$G44+SUM($G188:AA188))/ROUND(((EOMONTH('Construction Budget'!$M44,0)-EOMONTH(AB$11,0))/30)+1,0),0)</f>
        <v>0</v>
      </c>
      <c r="AC188" s="427">
        <f>-IF(AND(AC$11&gt;=EOMONTH('Construction Budget'!$K44,0),AC$11&lt;=EOMONTH('Construction Budget'!$M44,0)),('Construction Budget'!$G44+SUM($G188:AB188))/ROUND(((EOMONTH('Construction Budget'!$M44,0)-EOMONTH(AC$11,0))/30)+1,0),0)</f>
        <v>0</v>
      </c>
      <c r="AD188" s="427">
        <f>-IF(AND(AD$11&gt;=EOMONTH('Construction Budget'!$K44,0),AD$11&lt;=EOMONTH('Construction Budget'!$M44,0)),('Construction Budget'!$G44+SUM($G188:AC188))/ROUND(((EOMONTH('Construction Budget'!$M44,0)-EOMONTH(AD$11,0))/30)+1,0),0)</f>
        <v>0</v>
      </c>
      <c r="AE188" s="427">
        <f>-IF(AND(AE$11&gt;=EOMONTH('Construction Budget'!$K44,0),AE$11&lt;=EOMONTH('Construction Budget'!$M44,0)),('Construction Budget'!$G44+SUM($G188:AD188))/ROUND(((EOMONTH('Construction Budget'!$M44,0)-EOMONTH(AE$11,0))/30)+1,0),0)</f>
        <v>0</v>
      </c>
      <c r="AF188" s="427">
        <f>-IF(AND(AF$11&gt;=EOMONTH('Construction Budget'!$K44,0),AF$11&lt;=EOMONTH('Construction Budget'!$M44,0)),('Construction Budget'!$G44+SUM($G188:AE188))/ROUND(((EOMONTH('Construction Budget'!$M44,0)-EOMONTH(AF$11,0))/30)+1,0),0)</f>
        <v>0</v>
      </c>
      <c r="AG188" s="427">
        <f>-IF(AND(AG$11&gt;=EOMONTH('Construction Budget'!$K44,0),AG$11&lt;=EOMONTH('Construction Budget'!$M44,0)),('Construction Budget'!$G44+SUM($G188:AF188))/ROUND(((EOMONTH('Construction Budget'!$M44,0)-EOMONTH(AG$11,0))/30)+1,0),0)</f>
        <v>0</v>
      </c>
      <c r="AH188" s="427">
        <f>-IF(AND(AH$11&gt;=EOMONTH('Construction Budget'!$K44,0),AH$11&lt;=EOMONTH('Construction Budget'!$M44,0)),('Construction Budget'!$G44+SUM($G188:AG188))/ROUND(((EOMONTH('Construction Budget'!$M44,0)-EOMONTH(AH$11,0))/30)+1,0),0)</f>
        <v>0</v>
      </c>
      <c r="AI188" s="427">
        <f>-IF(AND(AI$11&gt;=EOMONTH('Construction Budget'!$K44,0),AI$11&lt;=EOMONTH('Construction Budget'!$M44,0)),('Construction Budget'!$G44+SUM($G188:AH188))/ROUND(((EOMONTH('Construction Budget'!$M44,0)-EOMONTH(AI$11,0))/30)+1,0),0)</f>
        <v>0</v>
      </c>
      <c r="AJ188" s="427">
        <f>-IF(AND(AJ$11&gt;=EOMONTH('Construction Budget'!$K44,0),AJ$11&lt;=EOMONTH('Construction Budget'!$M44,0)),('Construction Budget'!$G44+SUM($G188:AI188))/ROUND(((EOMONTH('Construction Budget'!$M44,0)-EOMONTH(AJ$11,0))/30)+1,0),0)</f>
        <v>0</v>
      </c>
      <c r="AK188" s="427">
        <f>-IF(AND(AK$11&gt;=EOMONTH('Construction Budget'!$K44,0),AK$11&lt;=EOMONTH('Construction Budget'!$M44,0)),('Construction Budget'!$G44+SUM($G188:AJ188))/ROUND(((EOMONTH('Construction Budget'!$M44,0)-EOMONTH(AK$11,0))/30)+1,0),0)</f>
        <v>0</v>
      </c>
      <c r="AL188" s="427">
        <f>-IF(AND(AL$11&gt;=EOMONTH('Construction Budget'!$K44,0),AL$11&lt;=EOMONTH('Construction Budget'!$M44,0)),('Construction Budget'!$G44+SUM($G188:AK188))/ROUND(((EOMONTH('Construction Budget'!$M44,0)-EOMONTH(AL$11,0))/30)+1,0),0)</f>
        <v>0</v>
      </c>
      <c r="AM188" s="427">
        <f>-IF(AND(AM$11&gt;=EOMONTH('Construction Budget'!$K44,0),AM$11&lt;=EOMONTH('Construction Budget'!$M44,0)),('Construction Budget'!$G44+SUM($G188:AL188))/ROUND(((EOMONTH('Construction Budget'!$M44,0)-EOMONTH(AM$11,0))/30)+1,0),0)</f>
        <v>0</v>
      </c>
      <c r="AN188" s="427">
        <f>-IF(AND(AN$11&gt;=EOMONTH('Construction Budget'!$K44,0),AN$11&lt;=EOMONTH('Construction Budget'!$M44,0)),('Construction Budget'!$G44+SUM($G188:AM188))/ROUND(((EOMONTH('Construction Budget'!$M44,0)-EOMONTH(AN$11,0))/30)+1,0),0)</f>
        <v>0</v>
      </c>
      <c r="AO188" s="427">
        <f>-IF(AND(AO$11&gt;=EOMONTH('Construction Budget'!$K44,0),AO$11&lt;=EOMONTH('Construction Budget'!$M44,0)),('Construction Budget'!$G44+SUM($G188:AN188))/ROUND(((EOMONTH('Construction Budget'!$M44,0)-EOMONTH(AO$11,0))/30)+1,0),0)</f>
        <v>0</v>
      </c>
      <c r="AP188" s="427">
        <f>-IF(AND(AP$11&gt;=EOMONTH('Construction Budget'!$K44,0),AP$11&lt;=EOMONTH('Construction Budget'!$M44,0)),('Construction Budget'!$G44+SUM($G188:AO188))/ROUND(((EOMONTH('Construction Budget'!$M44,0)-EOMONTH(AP$11,0))/30)+1,0),0)</f>
        <v>0</v>
      </c>
      <c r="AQ188" s="427">
        <f>-IF(AND(AQ$11&gt;=EOMONTH('Construction Budget'!$K44,0),AQ$11&lt;=EOMONTH('Construction Budget'!$M44,0)),('Construction Budget'!$G44+SUM($G188:AP188))/ROUND(((EOMONTH('Construction Budget'!$M44,0)-EOMONTH(AQ$11,0))/30)+1,0),0)</f>
        <v>0</v>
      </c>
      <c r="AR188" s="427">
        <f>-IF(AND(AR$11&gt;=EOMONTH('Construction Budget'!$K44,0),AR$11&lt;=EOMONTH('Construction Budget'!$M44,0)),('Construction Budget'!$G44+SUM($G188:AQ188))/ROUND(((EOMONTH('Construction Budget'!$M44,0)-EOMONTH(AR$11,0))/30)+1,0),0)</f>
        <v>0</v>
      </c>
      <c r="AS188" s="427">
        <f>-IF(AND(AS$11&gt;=EOMONTH('Construction Budget'!$K44,0),AS$11&lt;=EOMONTH('Construction Budget'!$M44,0)),('Construction Budget'!$G44+SUM($G188:AR188))/ROUND(((EOMONTH('Construction Budget'!$M44,0)-EOMONTH(AS$11,0))/30)+1,0),0)</f>
        <v>0</v>
      </c>
      <c r="AT188" s="427">
        <f>-IF(AND(AT$11&gt;=EOMONTH('Construction Budget'!$K44,0),AT$11&lt;=EOMONTH('Construction Budget'!$M44,0)),('Construction Budget'!$G44+SUM($G188:AS188))/ROUND(((EOMONTH('Construction Budget'!$M44,0)-EOMONTH(AT$11,0))/30)+1,0),0)</f>
        <v>0</v>
      </c>
      <c r="AU188" s="427">
        <f>-IF(AND(AU$11&gt;=EOMONTH('Construction Budget'!$K44,0),AU$11&lt;=EOMONTH('Construction Budget'!$M44,0)),('Construction Budget'!$G44+SUM($G188:AT188))/ROUND(((EOMONTH('Construction Budget'!$M44,0)-EOMONTH(AU$11,0))/30)+1,0),0)</f>
        <v>0</v>
      </c>
      <c r="AV188" s="427">
        <f>-IF(AND(AV$11&gt;=EOMONTH('Construction Budget'!$K44,0),AV$11&lt;=EOMONTH('Construction Budget'!$M44,0)),('Construction Budget'!$G44+SUM($G188:AU188))/ROUND(((EOMONTH('Construction Budget'!$M44,0)-EOMONTH(AV$11,0))/30)+1,0),0)</f>
        <v>0</v>
      </c>
      <c r="AW188" s="427">
        <f>-IF(AND(AW$11&gt;=EOMONTH('Construction Budget'!$K44,0),AW$11&lt;=EOMONTH('Construction Budget'!$M44,0)),('Construction Budget'!$G44+SUM($G188:AV188))/ROUND(((EOMONTH('Construction Budget'!$M44,0)-EOMONTH(AW$11,0))/30)+1,0),0)</f>
        <v>0</v>
      </c>
      <c r="AX188" s="427">
        <f>-IF(AND(AX$11&gt;=EOMONTH('Construction Budget'!$K44,0),AX$11&lt;=EOMONTH('Construction Budget'!$M44,0)),('Construction Budget'!$G44+SUM($G188:AW188))/ROUND(((EOMONTH('Construction Budget'!$M44,0)-EOMONTH(AX$11,0))/30)+1,0),0)</f>
        <v>0</v>
      </c>
      <c r="AY188" s="427">
        <f>-IF(AND(AY$11&gt;=EOMONTH('Construction Budget'!$K44,0),AY$11&lt;=EOMONTH('Construction Budget'!$M44,0)),('Construction Budget'!$G44+SUM($G188:AX188))/ROUND(((EOMONTH('Construction Budget'!$M44,0)-EOMONTH(AY$11,0))/30)+1,0),0)</f>
        <v>0</v>
      </c>
      <c r="AZ188" s="427">
        <f>-IF(AND(AZ$11&gt;=EOMONTH('Construction Budget'!$K44,0),AZ$11&lt;=EOMONTH('Construction Budget'!$M44,0)),('Construction Budget'!$G44+SUM($G188:AY188))/ROUND(((EOMONTH('Construction Budget'!$M44,0)-EOMONTH(AZ$11,0))/30)+1,0),0)</f>
        <v>0</v>
      </c>
      <c r="BA188" s="427">
        <f>-IF(AND(BA$11&gt;=EOMONTH('Construction Budget'!$K44,0),BA$11&lt;=EOMONTH('Construction Budget'!$M44,0)),('Construction Budget'!$G44+SUM($G188:AZ188))/ROUND(((EOMONTH('Construction Budget'!$M44,0)-EOMONTH(BA$11,0))/30)+1,0),0)</f>
        <v>0</v>
      </c>
      <c r="BB188" s="427">
        <f>-IF(AND(BB$11&gt;=EOMONTH('Construction Budget'!$K44,0),BB$11&lt;=EOMONTH('Construction Budget'!$M44,0)),('Construction Budget'!$G44+SUM($G188:BA188))/ROUND(((EOMONTH('Construction Budget'!$M44,0)-EOMONTH(BB$11,0))/30)+1,0),0)</f>
        <v>0</v>
      </c>
      <c r="BC188" s="427">
        <f>-IF(AND(BC$11&gt;=EOMONTH('Construction Budget'!$K44,0),BC$11&lt;=EOMONTH('Construction Budget'!$M44,0)),('Construction Budget'!$G44+SUM($G188:BB188))/ROUND(((EOMONTH('Construction Budget'!$M44,0)-EOMONTH(BC$11,0))/30)+1,0),0)</f>
        <v>0</v>
      </c>
      <c r="BD188" s="427">
        <f>-IF(AND(BD$11&gt;=EOMONTH('Construction Budget'!$K44,0),BD$11&lt;=EOMONTH('Construction Budget'!$M44,0)),('Construction Budget'!$G44+SUM($G188:BC188))/ROUND(((EOMONTH('Construction Budget'!$M44,0)-EOMONTH(BD$11,0))/30)+1,0),0)</f>
        <v>0</v>
      </c>
      <c r="BE188" s="427">
        <f>-IF(AND(BE$11&gt;=EOMONTH('Construction Budget'!$K44,0),BE$11&lt;=EOMONTH('Construction Budget'!$M44,0)),('Construction Budget'!$G44+SUM($G188:BD188))/ROUND(((EOMONTH('Construction Budget'!$M44,0)-EOMONTH(BE$11,0))/30)+1,0),0)</f>
        <v>0</v>
      </c>
      <c r="BF188" s="427">
        <f>-IF(AND(BF$11&gt;=EOMONTH('Construction Budget'!$K44,0),BF$11&lt;=EOMONTH('Construction Budget'!$M44,0)),('Construction Budget'!$G44+SUM($G188:BE188))/ROUND(((EOMONTH('Construction Budget'!$M44,0)-EOMONTH(BF$11,0))/30)+1,0),0)</f>
        <v>0</v>
      </c>
      <c r="BG188" s="427">
        <f>-IF(AND(BG$11&gt;=EOMONTH('Construction Budget'!$K44,0),BG$11&lt;=EOMONTH('Construction Budget'!$M44,0)),('Construction Budget'!$G44+SUM($G188:BF188))/ROUND(((EOMONTH('Construction Budget'!$M44,0)-EOMONTH(BG$11,0))/30)+1,0),0)</f>
        <v>0</v>
      </c>
      <c r="BH188" s="427">
        <f>-IF(AND(BH$11&gt;=EOMONTH('Construction Budget'!$K44,0),BH$11&lt;=EOMONTH('Construction Budget'!$M44,0)),('Construction Budget'!$G44+SUM($G188:BG188))/ROUND(((EOMONTH('Construction Budget'!$M44,0)-EOMONTH(BH$11,0))/30)+1,0),0)</f>
        <v>0</v>
      </c>
      <c r="BI188" s="427">
        <f>-IF(AND(BI$11&gt;=EOMONTH('Construction Budget'!$K44,0),BI$11&lt;=EOMONTH('Construction Budget'!$M44,0)),('Construction Budget'!$G44+SUM($G188:BH188))/ROUND(((EOMONTH('Construction Budget'!$M44,0)-EOMONTH(BI$11,0))/30)+1,0),0)</f>
        <v>0</v>
      </c>
      <c r="BJ188" s="427">
        <f>-IF(AND(BJ$11&gt;=EOMONTH('Construction Budget'!$K44,0),BJ$11&lt;=EOMONTH('Construction Budget'!$M44,0)),('Construction Budget'!$G44+SUM($G188:BI188))/ROUND(((EOMONTH('Construction Budget'!$M44,0)-EOMONTH(BJ$11,0))/30)+1,0),0)</f>
        <v>0</v>
      </c>
      <c r="BK188" s="427">
        <f>-IF(AND(BK$11&gt;=EOMONTH('Construction Budget'!$K44,0),BK$11&lt;=EOMONTH('Construction Budget'!$M44,0)),('Construction Budget'!$G44+SUM($G188:BJ188))/ROUND(((EOMONTH('Construction Budget'!$M44,0)-EOMONTH(BK$11,0))/30)+1,0),0)</f>
        <v>0</v>
      </c>
      <c r="BL188" s="427">
        <f>-IF(AND(BL$11&gt;=EOMONTH('Construction Budget'!$K44,0),BL$11&lt;=EOMONTH('Construction Budget'!$M44,0)),('Construction Budget'!$G44+SUM($G188:BK188))/ROUND(((EOMONTH('Construction Budget'!$M44,0)-EOMONTH(BL$11,0))/30)+1,0),0)</f>
        <v>0</v>
      </c>
      <c r="BM188" s="427">
        <f>-IF(AND(BM$11&gt;=EOMONTH('Construction Budget'!$K44,0),BM$11&lt;=EOMONTH('Construction Budget'!$M44,0)),('Construction Budget'!$G44+SUM($G188:BL188))/ROUND(((EOMONTH('Construction Budget'!$M44,0)-EOMONTH(BM$11,0))/30)+1,0),0)</f>
        <v>0</v>
      </c>
      <c r="BN188" s="427">
        <f>-IF(AND(BN$11&gt;=EOMONTH('Construction Budget'!$K44,0),BN$11&lt;=EOMONTH('Construction Budget'!$M44,0)),('Construction Budget'!$G44+SUM($G188:BM188))/ROUND(((EOMONTH('Construction Budget'!$M44,0)-EOMONTH(BN$11,0))/30)+1,0),0)</f>
        <v>0</v>
      </c>
      <c r="BO188" s="427">
        <f>-IF(AND(BO$11&gt;=EOMONTH('Construction Budget'!$K44,0),BO$11&lt;=EOMONTH('Construction Budget'!$M44,0)),('Construction Budget'!$G44+SUM($G188:BN188))/ROUND(((EOMONTH('Construction Budget'!$M44,0)-EOMONTH(BO$11,0))/30)+1,0),0)</f>
        <v>0</v>
      </c>
      <c r="BP188" s="427">
        <f>-IF(AND(BP$11&gt;=EOMONTH('Construction Budget'!$K44,0),BP$11&lt;=EOMONTH('Construction Budget'!$M44,0)),('Construction Budget'!$G44+SUM($G188:BO188))/ROUND(((EOMONTH('Construction Budget'!$M44,0)-EOMONTH(BP$11,0))/30)+1,0),0)</f>
        <v>0</v>
      </c>
      <c r="BQ188" s="427">
        <f>-IF(AND(BQ$11&gt;=EOMONTH('Construction Budget'!$K44,0),BQ$11&lt;=EOMONTH('Construction Budget'!$M44,0)),('Construction Budget'!$G44+SUM($G188:BP188))/ROUND(((EOMONTH('Construction Budget'!$M44,0)-EOMONTH(BQ$11,0))/30)+1,0),0)</f>
        <v>0</v>
      </c>
      <c r="BR188" s="427">
        <f>-IF(AND(BR$11&gt;=EOMONTH('Construction Budget'!$K44,0),BR$11&lt;=EOMONTH('Construction Budget'!$M44,0)),('Construction Budget'!$G44+SUM($G188:BQ188))/ROUND(((EOMONTH('Construction Budget'!$M44,0)-EOMONTH(BR$11,0))/30)+1,0),0)</f>
        <v>0</v>
      </c>
      <c r="BS188" s="427">
        <f>-IF(AND(BS$11&gt;=EOMONTH('Construction Budget'!$K44,0),BS$11&lt;=EOMONTH('Construction Budget'!$M44,0)),('Construction Budget'!$G44+SUM($G188:BR188))/ROUND(((EOMONTH('Construction Budget'!$M44,0)-EOMONTH(BS$11,0))/30)+1,0),0)</f>
        <v>0</v>
      </c>
      <c r="BT188" s="427">
        <f>-IF(AND(BT$11&gt;=EOMONTH('Construction Budget'!$K44,0),BT$11&lt;=EOMONTH('Construction Budget'!$M44,0)),('Construction Budget'!$G44+SUM($G188:BS188))/ROUND(((EOMONTH('Construction Budget'!$M44,0)-EOMONTH(BT$11,0))/30)+1,0),0)</f>
        <v>0</v>
      </c>
      <c r="BU188" s="427">
        <f>-IF(AND(BU$11&gt;=EOMONTH('Construction Budget'!$K44,0),BU$11&lt;=EOMONTH('Construction Budget'!$M44,0)),('Construction Budget'!$G44+SUM($G188:BT188))/ROUND(((EOMONTH('Construction Budget'!$M44,0)-EOMONTH(BU$11,0))/30)+1,0),0)</f>
        <v>0</v>
      </c>
      <c r="BV188" s="427">
        <f>-IF(AND(BV$11&gt;=EOMONTH('Construction Budget'!$K44,0),BV$11&lt;=EOMONTH('Construction Budget'!$M44,0)),('Construction Budget'!$G44+SUM($G188:BU188))/ROUND(((EOMONTH('Construction Budget'!$M44,0)-EOMONTH(BV$11,0))/30)+1,0),0)</f>
        <v>0</v>
      </c>
      <c r="BW188" s="427">
        <f>-IF(AND(BW$11&gt;=EOMONTH('Construction Budget'!$K44,0),BW$11&lt;=EOMONTH('Construction Budget'!$M44,0)),('Construction Budget'!$G44+SUM($G188:BV188))/ROUND(((EOMONTH('Construction Budget'!$M44,0)-EOMONTH(BW$11,0))/30)+1,0),0)</f>
        <v>0</v>
      </c>
      <c r="BX188" s="427">
        <f>-IF(AND(BX$11&gt;=EOMONTH('Construction Budget'!$K44,0),BX$11&lt;=EOMONTH('Construction Budget'!$M44,0)),('Construction Budget'!$G44+SUM($G188:BW188))/ROUND(((EOMONTH('Construction Budget'!$M44,0)-EOMONTH(BX$11,0))/30)+1,0),0)</f>
        <v>0</v>
      </c>
      <c r="BY188" s="427">
        <f>-IF(AND(BY$11&gt;=EOMONTH('Construction Budget'!$K44,0),BY$11&lt;=EOMONTH('Construction Budget'!$M44,0)),('Construction Budget'!$G44+SUM($G188:BX188))/ROUND(((EOMONTH('Construction Budget'!$M44,0)-EOMONTH(BY$11,0))/30)+1,0),0)</f>
        <v>0</v>
      </c>
      <c r="BZ188" s="427">
        <f>-IF(AND(BZ$11&gt;=EOMONTH('Construction Budget'!$K44,0),BZ$11&lt;=EOMONTH('Construction Budget'!$M44,0)),('Construction Budget'!$G44+SUM($G188:BY188))/ROUND(((EOMONTH('Construction Budget'!$M44,0)-EOMONTH(BZ$11,0))/30)+1,0),0)</f>
        <v>0</v>
      </c>
      <c r="CA188" s="427">
        <f>-IF(AND(CA$11&gt;=EOMONTH('Construction Budget'!$K44,0),CA$11&lt;=EOMONTH('Construction Budget'!$M44,0)),('Construction Budget'!$G44+SUM($G188:BZ188))/ROUND(((EOMONTH('Construction Budget'!$M44,0)-EOMONTH(CA$11,0))/30)+1,0),0)</f>
        <v>0</v>
      </c>
      <c r="CB188" s="427">
        <f>-IF(AND(CB$11&gt;=EOMONTH('Construction Budget'!$K44,0),CB$11&lt;=EOMONTH('Construction Budget'!$M44,0)),('Construction Budget'!$G44+SUM($G188:CA188))/ROUND(((EOMONTH('Construction Budget'!$M44,0)-EOMONTH(CB$11,0))/30)+1,0),0)</f>
        <v>0</v>
      </c>
      <c r="CC188" s="427">
        <f>-IF(AND(CC$11&gt;=EOMONTH('Construction Budget'!$K44,0),CC$11&lt;=EOMONTH('Construction Budget'!$M44,0)),('Construction Budget'!$G44+SUM($G188:CB188))/ROUND(((EOMONTH('Construction Budget'!$M44,0)-EOMONTH(CC$11,0))/30)+1,0),0)</f>
        <v>0</v>
      </c>
      <c r="CD188" s="427">
        <f>-IF(AND(CD$11&gt;=EOMONTH('Construction Budget'!$K44,0),CD$11&lt;=EOMONTH('Construction Budget'!$M44,0)),('Construction Budget'!$G44+SUM($G188:CC188))/ROUND(((EOMONTH('Construction Budget'!$M44,0)-EOMONTH(CD$11,0))/30)+1,0),0)</f>
        <v>0</v>
      </c>
      <c r="CE188" s="427">
        <f>-IF(AND(CE$11&gt;=EOMONTH('Construction Budget'!$K44,0),CE$11&lt;=EOMONTH('Construction Budget'!$M44,0)),('Construction Budget'!$G44+SUM($G188:CD188))/ROUND(((EOMONTH('Construction Budget'!$M44,0)-EOMONTH(CE$11,0))/30)+1,0),0)</f>
        <v>0</v>
      </c>
      <c r="CF188" s="427">
        <f>-IF(AND(CF$11&gt;=EOMONTH('Construction Budget'!$K44,0),CF$11&lt;=EOMONTH('Construction Budget'!$M44,0)),('Construction Budget'!$G44+SUM($G188:CE188))/ROUND(((EOMONTH('Construction Budget'!$M44,0)-EOMONTH(CF$11,0))/30)+1,0),0)</f>
        <v>0</v>
      </c>
      <c r="CG188" s="427">
        <f>-IF(AND(CG$11&gt;=EOMONTH('Construction Budget'!$K44,0),CG$11&lt;=EOMONTH('Construction Budget'!$M44,0)),('Construction Budget'!$G44+SUM($G188:CF188))/ROUND(((EOMONTH('Construction Budget'!$M44,0)-EOMONTH(CG$11,0))/30)+1,0),0)</f>
        <v>0</v>
      </c>
      <c r="CH188" s="427">
        <f>-IF(AND(CH$11&gt;=EOMONTH('Construction Budget'!$K44,0),CH$11&lt;=EOMONTH('Construction Budget'!$M44,0)),('Construction Budget'!$G44+SUM($G188:CG188))/ROUND(((EOMONTH('Construction Budget'!$M44,0)-EOMONTH(CH$11,0))/30)+1,0),0)</f>
        <v>0</v>
      </c>
      <c r="CI188" s="427">
        <f>-IF(AND(CI$11&gt;=EOMONTH('Construction Budget'!$K44,0),CI$11&lt;=EOMONTH('Construction Budget'!$M44,0)),('Construction Budget'!$G44+SUM($G188:CH188))/ROUND(((EOMONTH('Construction Budget'!$M44,0)-EOMONTH(CI$11,0))/30)+1,0),0)</f>
        <v>0</v>
      </c>
      <c r="CJ188" s="427">
        <f>-IF(AND(CJ$11&gt;=EOMONTH('Construction Budget'!$K44,0),CJ$11&lt;=EOMONTH('Construction Budget'!$M44,0)),('Construction Budget'!$G44+SUM($G188:CI188))/ROUND(((EOMONTH('Construction Budget'!$M44,0)-EOMONTH(CJ$11,0))/30)+1,0),0)</f>
        <v>0</v>
      </c>
      <c r="CK188" s="427">
        <f>-IF(AND(CK$11&gt;=EOMONTH('Construction Budget'!$K44,0),CK$11&lt;=EOMONTH('Construction Budget'!$M44,0)),('Construction Budget'!$G44+SUM($G188:CJ188))/ROUND(((EOMONTH('Construction Budget'!$M44,0)-EOMONTH(CK$11,0))/30)+1,0),0)</f>
        <v>0</v>
      </c>
      <c r="CL188" s="427">
        <f>-IF(AND(CL$11&gt;=EOMONTH('Construction Budget'!$K44,0),CL$11&lt;=EOMONTH('Construction Budget'!$M44,0)),('Construction Budget'!$G44+SUM($G188:CK188))/ROUND(((EOMONTH('Construction Budget'!$M44,0)-EOMONTH(CL$11,0))/30)+1,0),0)</f>
        <v>0</v>
      </c>
      <c r="CM188" s="427">
        <f>-IF(AND(CM$11&gt;=EOMONTH('Construction Budget'!$K44,0),CM$11&lt;=EOMONTH('Construction Budget'!$M44,0)),('Construction Budget'!$G44+SUM($G188:CL188))/ROUND(((EOMONTH('Construction Budget'!$M44,0)-EOMONTH(CM$11,0))/30)+1,0),0)</f>
        <v>0</v>
      </c>
      <c r="CN188" s="427">
        <f>-IF(AND(CN$11&gt;=EOMONTH('Construction Budget'!$K44,0),CN$11&lt;=EOMONTH('Construction Budget'!$M44,0)),('Construction Budget'!$G44+SUM($G188:CM188))/ROUND(((EOMONTH('Construction Budget'!$M44,0)-EOMONTH(CN$11,0))/30)+1,0),0)</f>
        <v>0</v>
      </c>
      <c r="CO188" s="427">
        <f>-IF(AND(CO$11&gt;=EOMONTH('Construction Budget'!$K44,0),CO$11&lt;=EOMONTH('Construction Budget'!$M44,0)),('Construction Budget'!$G44+SUM($G188:CN188))/ROUND(((EOMONTH('Construction Budget'!$M44,0)-EOMONTH(CO$11,0))/30)+1,0),0)</f>
        <v>0</v>
      </c>
      <c r="CP188" s="427">
        <f>-IF(AND(CP$11&gt;=EOMONTH('Construction Budget'!$K44,0),CP$11&lt;=EOMONTH('Construction Budget'!$M44,0)),('Construction Budget'!$G44+SUM($G188:CO188))/ROUND(((EOMONTH('Construction Budget'!$M44,0)-EOMONTH(CP$11,0))/30)+1,0),0)</f>
        <v>0</v>
      </c>
      <c r="CQ188" s="427">
        <f>-IF(AND(CQ$11&gt;=EOMONTH('Construction Budget'!$K44,0),CQ$11&lt;=EOMONTH('Construction Budget'!$M44,0)),('Construction Budget'!$G44+SUM($G188:CP188))/ROUND(((EOMONTH('Construction Budget'!$M44,0)-EOMONTH(CQ$11,0))/30)+1,0),0)</f>
        <v>0</v>
      </c>
      <c r="CR188" s="427">
        <f>-IF(AND(CR$11&gt;=EOMONTH('Construction Budget'!$K44,0),CR$11&lt;=EOMONTH('Construction Budget'!$M44,0)),('Construction Budget'!$G44+SUM($G188:CQ188))/ROUND(((EOMONTH('Construction Budget'!$M44,0)-EOMONTH(CR$11,0))/30)+1,0),0)</f>
        <v>0</v>
      </c>
      <c r="CS188" s="427">
        <f>-IF(AND(CS$11&gt;=EOMONTH('Construction Budget'!$K44,0),CS$11&lt;=EOMONTH('Construction Budget'!$M44,0)),('Construction Budget'!$G44+SUM($G188:CR188))/ROUND(((EOMONTH('Construction Budget'!$M44,0)-EOMONTH(CS$11,0))/30)+1,0),0)</f>
        <v>0</v>
      </c>
      <c r="CT188" s="427">
        <f>-IF(AND(CT$11&gt;=EOMONTH('Construction Budget'!$K44,0),CT$11&lt;=EOMONTH('Construction Budget'!$M44,0)),('Construction Budget'!$G44+SUM($G188:CS188))/ROUND(((EOMONTH('Construction Budget'!$M44,0)-EOMONTH(CT$11,0))/30)+1,0),0)</f>
        <v>0</v>
      </c>
      <c r="CU188" s="427">
        <f>-IF(AND(CU$11&gt;=EOMONTH('Construction Budget'!$K44,0),CU$11&lt;=EOMONTH('Construction Budget'!$M44,0)),('Construction Budget'!$G44+SUM($G188:CT188))/ROUND(((EOMONTH('Construction Budget'!$M44,0)-EOMONTH(CU$11,0))/30)+1,0),0)</f>
        <v>0</v>
      </c>
      <c r="CV188" s="427">
        <f>-IF(AND(CV$11&gt;=EOMONTH('Construction Budget'!$K44,0),CV$11&lt;=EOMONTH('Construction Budget'!$M44,0)),('Construction Budget'!$G44+SUM($G188:CU188))/ROUND(((EOMONTH('Construction Budget'!$M44,0)-EOMONTH(CV$11,0))/30)+1,0),0)</f>
        <v>0</v>
      </c>
      <c r="CW188" s="427">
        <f>-IF(AND(CW$11&gt;=EOMONTH('Construction Budget'!$K44,0),CW$11&lt;=EOMONTH('Construction Budget'!$M44,0)),('Construction Budget'!$G44+SUM($G188:CV188))/ROUND(((EOMONTH('Construction Budget'!$M44,0)-EOMONTH(CW$11,0))/30)+1,0),0)</f>
        <v>0</v>
      </c>
      <c r="CX188" s="427">
        <f>-IF(AND(CX$11&gt;=EOMONTH('Construction Budget'!$K44,0),CX$11&lt;=EOMONTH('Construction Budget'!$M44,0)),('Construction Budget'!$G44+SUM($G188:CW188))/ROUND(((EOMONTH('Construction Budget'!$M44,0)-EOMONTH(CX$11,0))/30)+1,0),0)</f>
        <v>0</v>
      </c>
      <c r="CY188" s="427">
        <f>-IF(AND(CY$11&gt;=EOMONTH('Construction Budget'!$K44,0),CY$11&lt;=EOMONTH('Construction Budget'!$M44,0)),('Construction Budget'!$G44+SUM($G188:CX188))/ROUND(((EOMONTH('Construction Budget'!$M44,0)-EOMONTH(CY$11,0))/30)+1,0),0)</f>
        <v>0</v>
      </c>
      <c r="CZ188" s="427">
        <f>-IF(AND(CZ$11&gt;=EOMONTH('Construction Budget'!$K44,0),CZ$11&lt;=EOMONTH('Construction Budget'!$M44,0)),('Construction Budget'!$G44+SUM($G188:CY188))/ROUND(((EOMONTH('Construction Budget'!$M44,0)-EOMONTH(CZ$11,0))/30)+1,0),0)</f>
        <v>0</v>
      </c>
      <c r="DA188" s="427">
        <f>-IF(AND(DA$11&gt;=EOMONTH('Construction Budget'!$K44,0),DA$11&lt;=EOMONTH('Construction Budget'!$M44,0)),('Construction Budget'!$G44+SUM($G188:CZ188))/ROUND(((EOMONTH('Construction Budget'!$M44,0)-EOMONTH(DA$11,0))/30)+1,0),0)</f>
        <v>0</v>
      </c>
      <c r="DB188" s="427">
        <f>-IF(AND(DB$11&gt;=EOMONTH('Construction Budget'!$K44,0),DB$11&lt;=EOMONTH('Construction Budget'!$M44,0)),('Construction Budget'!$G44+SUM($G188:DA188))/ROUND(((EOMONTH('Construction Budget'!$M44,0)-EOMONTH(DB$11,0))/30)+1,0),0)</f>
        <v>0</v>
      </c>
      <c r="DC188" s="427">
        <f>-IF(AND(DC$11&gt;=EOMONTH('Construction Budget'!$K44,0),DC$11&lt;=EOMONTH('Construction Budget'!$M44,0)),('Construction Budget'!$G44+SUM($G188:DB188))/ROUND(((EOMONTH('Construction Budget'!$M44,0)-EOMONTH(DC$11,0))/30)+1,0),0)</f>
        <v>0</v>
      </c>
      <c r="DD188" s="427">
        <f>-IF(AND(DD$11&gt;=EOMONTH('Construction Budget'!$K44,0),DD$11&lt;=EOMONTH('Construction Budget'!$M44,0)),('Construction Budget'!$G44+SUM($G188:DC188))/ROUND(((EOMONTH('Construction Budget'!$M44,0)-EOMONTH(DD$11,0))/30)+1,0),0)</f>
        <v>0</v>
      </c>
      <c r="DE188" s="427">
        <f>-IF(AND(DE$11&gt;=EOMONTH('Construction Budget'!$K44,0),DE$11&lt;=EOMONTH('Construction Budget'!$M44,0)),('Construction Budget'!$G44+SUM($G188:DD188))/ROUND(((EOMONTH('Construction Budget'!$M44,0)-EOMONTH(DE$11,0))/30)+1,0),0)</f>
        <v>0</v>
      </c>
      <c r="DF188" s="427">
        <f>-IF(AND(DF$11&gt;=EOMONTH('Construction Budget'!$K44,0),DF$11&lt;=EOMONTH('Construction Budget'!$M44,0)),('Construction Budget'!$G44+SUM($G188:DE188))/ROUND(((EOMONTH('Construction Budget'!$M44,0)-EOMONTH(DF$11,0))/30)+1,0),0)</f>
        <v>0</v>
      </c>
      <c r="DG188" s="427">
        <f>-IF(AND(DG$11&gt;=EOMONTH('Construction Budget'!$K44,0),DG$11&lt;=EOMONTH('Construction Budget'!$M44,0)),('Construction Budget'!$G44+SUM($G188:DF188))/ROUND(((EOMONTH('Construction Budget'!$M44,0)-EOMONTH(DG$11,0))/30)+1,0),0)</f>
        <v>0</v>
      </c>
      <c r="DH188" s="427">
        <f>-IF(AND(DH$11&gt;=EOMONTH('Construction Budget'!$K44,0),DH$11&lt;=EOMONTH('Construction Budget'!$M44,0)),('Construction Budget'!$G44+SUM($G188:DG188))/ROUND(((EOMONTH('Construction Budget'!$M44,0)-EOMONTH(DH$11,0))/30)+1,0),0)</f>
        <v>0</v>
      </c>
      <c r="DI188" s="427">
        <f>-IF(AND(DI$11&gt;=EOMONTH('Construction Budget'!$K44,0),DI$11&lt;=EOMONTH('Construction Budget'!$M44,0)),('Construction Budget'!$G44+SUM($G188:DH188))/ROUND(((EOMONTH('Construction Budget'!$M44,0)-EOMONTH(DI$11,0))/30)+1,0),0)</f>
        <v>0</v>
      </c>
      <c r="DJ188" s="427">
        <f>-IF(AND(DJ$11&gt;=EOMONTH('Construction Budget'!$K44,0),DJ$11&lt;=EOMONTH('Construction Budget'!$M44,0)),('Construction Budget'!$G44+SUM($G188:DI188))/ROUND(((EOMONTH('Construction Budget'!$M44,0)-EOMONTH(DJ$11,0))/30)+1,0),0)</f>
        <v>0</v>
      </c>
      <c r="DK188" s="427">
        <f>-IF(AND(DK$11&gt;=EOMONTH('Construction Budget'!$K44,0),DK$11&lt;=EOMONTH('Construction Budget'!$M44,0)),('Construction Budget'!$G44+SUM($G188:DJ188))/ROUND(((EOMONTH('Construction Budget'!$M44,0)-EOMONTH(DK$11,0))/30)+1,0),0)</f>
        <v>0</v>
      </c>
      <c r="DL188" s="427">
        <f>-IF(AND(DL$11&gt;=EOMONTH('Construction Budget'!$K44,0),DL$11&lt;=EOMONTH('Construction Budget'!$M44,0)),('Construction Budget'!$G44+SUM($G188:DK188))/ROUND(((EOMONTH('Construction Budget'!$M44,0)-EOMONTH(DL$11,0))/30)+1,0),0)</f>
        <v>0</v>
      </c>
      <c r="DM188" s="427">
        <f>-IF(AND(DM$11&gt;=EOMONTH('Construction Budget'!$K44,0),DM$11&lt;=EOMONTH('Construction Budget'!$M44,0)),('Construction Budget'!$G44+SUM($G188:DL188))/ROUND(((EOMONTH('Construction Budget'!$M44,0)-EOMONTH(DM$11,0))/30)+1,0),0)</f>
        <v>0</v>
      </c>
      <c r="DN188" s="427">
        <f>-IF(AND(DN$11&gt;=EOMONTH('Construction Budget'!$K44,0),DN$11&lt;=EOMONTH('Construction Budget'!$M44,0)),('Construction Budget'!$G44+SUM($G188:DM188))/ROUND(((EOMONTH('Construction Budget'!$M44,0)-EOMONTH(DN$11,0))/30)+1,0),0)</f>
        <v>0</v>
      </c>
      <c r="DO188" s="427">
        <f>-IF(AND(DO$11&gt;=EOMONTH('Construction Budget'!$K44,0),DO$11&lt;=EOMONTH('Construction Budget'!$M44,0)),('Construction Budget'!$G44+SUM($G188:DN188))/ROUND(((EOMONTH('Construction Budget'!$M44,0)-EOMONTH(DO$11,0))/30)+1,0),0)</f>
        <v>0</v>
      </c>
      <c r="DP188" s="427">
        <f>-IF(AND(DP$11&gt;=EOMONTH('Construction Budget'!$K44,0),DP$11&lt;=EOMONTH('Construction Budget'!$M44,0)),('Construction Budget'!$G44+SUM($G188:DO188))/ROUND(((EOMONTH('Construction Budget'!$M44,0)-EOMONTH(DP$11,0))/30)+1,0),0)</f>
        <v>0</v>
      </c>
      <c r="DQ188" s="427">
        <f>-IF(AND(DQ$11&gt;=EOMONTH('Construction Budget'!$K44,0),DQ$11&lt;=EOMONTH('Construction Budget'!$M44,0)),('Construction Budget'!$G44+SUM($G188:DP188))/ROUND(((EOMONTH('Construction Budget'!$M44,0)-EOMONTH(DQ$11,0))/30)+1,0),0)</f>
        <v>0</v>
      </c>
      <c r="DR188" s="427">
        <f>-IF(AND(DR$11&gt;=EOMONTH('Construction Budget'!$K44,0),DR$11&lt;=EOMONTH('Construction Budget'!$M44,0)),('Construction Budget'!$G44+SUM($G188:DQ188))/ROUND(((EOMONTH('Construction Budget'!$M44,0)-EOMONTH(DR$11,0))/30)+1,0),0)</f>
        <v>0</v>
      </c>
      <c r="DS188" s="427">
        <f>-IF(AND(DS$11&gt;=EOMONTH('Construction Budget'!$K44,0),DS$11&lt;=EOMONTH('Construction Budget'!$M44,0)),('Construction Budget'!$G44+SUM($G188:DR188))/ROUND(((EOMONTH('Construction Budget'!$M44,0)-EOMONTH(DS$11,0))/30)+1,0),0)</f>
        <v>0</v>
      </c>
      <c r="DT188" s="427">
        <f>-IF(AND(DT$11&gt;=EOMONTH('Construction Budget'!$K44,0),DT$11&lt;=EOMONTH('Construction Budget'!$M44,0)),('Construction Budget'!$G44+SUM($G188:DS188))/ROUND(((EOMONTH('Construction Budget'!$M44,0)-EOMONTH(DT$11,0))/30)+1,0),0)</f>
        <v>0</v>
      </c>
      <c r="DU188" s="427">
        <f>-IF(AND(DU$11&gt;=EOMONTH('Construction Budget'!$K44,0),DU$11&lt;=EOMONTH('Construction Budget'!$M44,0)),('Construction Budget'!$G44+SUM($G188:DT188))/ROUND(((EOMONTH('Construction Budget'!$M44,0)-EOMONTH(DU$11,0))/30)+1,0),0)</f>
        <v>0</v>
      </c>
      <c r="DV188" s="427">
        <f>-IF(AND(DV$11&gt;=EOMONTH('Construction Budget'!$K44,0),DV$11&lt;=EOMONTH('Construction Budget'!$M44,0)),('Construction Budget'!$G44+SUM($G188:DU188))/ROUND(((EOMONTH('Construction Budget'!$M44,0)-EOMONTH(DV$11,0))/30)+1,0),0)</f>
        <v>0</v>
      </c>
      <c r="DW188" s="427">
        <f>-IF(AND(DW$11&gt;=EOMONTH('Construction Budget'!$K44,0),DW$11&lt;=EOMONTH('Construction Budget'!$M44,0)),('Construction Budget'!$G44+SUM($G188:DV188))/ROUND(((EOMONTH('Construction Budget'!$M44,0)-EOMONTH(DW$11,0))/30)+1,0),0)</f>
        <v>0</v>
      </c>
      <c r="DX188" s="427">
        <f>-IF(AND(DX$11&gt;=EOMONTH('Construction Budget'!$K44,0),DX$11&lt;=EOMONTH('Construction Budget'!$M44,0)),('Construction Budget'!$G44+SUM($G188:DW188))/ROUND(((EOMONTH('Construction Budget'!$M44,0)-EOMONTH(DX$11,0))/30)+1,0),0)</f>
        <v>0</v>
      </c>
      <c r="DY188" s="427">
        <f>-IF(AND(DY$11&gt;=EOMONTH('Construction Budget'!$K44,0),DY$11&lt;=EOMONTH('Construction Budget'!$M44,0)),('Construction Budget'!$G44+SUM($G188:DX188))/ROUND(((EOMONTH('Construction Budget'!$M44,0)-EOMONTH(DY$11,0))/30)+1,0),0)</f>
        <v>0</v>
      </c>
      <c r="DZ188" s="427">
        <f>-IF(AND(DZ$11&gt;=EOMONTH('Construction Budget'!$K44,0),DZ$11&lt;=EOMONTH('Construction Budget'!$M44,0)),('Construction Budget'!$G44+SUM($G188:DY188))/ROUND(((EOMONTH('Construction Budget'!$M44,0)-EOMONTH(DZ$11,0))/30)+1,0),0)</f>
        <v>0</v>
      </c>
      <c r="EA188" s="427">
        <f>-IF(AND(EA$11&gt;=EOMONTH('Construction Budget'!$K44,0),EA$11&lt;=EOMONTH('Construction Budget'!$M44,0)),('Construction Budget'!$G44+SUM($G188:DZ188))/ROUND(((EOMONTH('Construction Budget'!$M44,0)-EOMONTH(EA$11,0))/30)+1,0),0)</f>
        <v>0</v>
      </c>
      <c r="EB188" s="427">
        <f>-IF(AND(EB$11&gt;=EOMONTH('Construction Budget'!$K44,0),EB$11&lt;=EOMONTH('Construction Budget'!$M44,0)),('Construction Budget'!$G44+SUM($G188:EA188))/ROUND(((EOMONTH('Construction Budget'!$M44,0)-EOMONTH(EB$11,0))/30)+1,0),0)</f>
        <v>0</v>
      </c>
      <c r="EC188" s="427">
        <f>-IF(AND(EC$11&gt;=EOMONTH('Construction Budget'!$K44,0),EC$11&lt;=EOMONTH('Construction Budget'!$M44,0)),('Construction Budget'!$G44+SUM($G188:EB188))/ROUND(((EOMONTH('Construction Budget'!$M44,0)-EOMONTH(EC$11,0))/30)+1,0),0)</f>
        <v>0</v>
      </c>
      <c r="ED188" s="427">
        <f>-IF(AND(ED$11&gt;=EOMONTH('Construction Budget'!$K44,0),ED$11&lt;=EOMONTH('Construction Budget'!$M44,0)),('Construction Budget'!$G44+SUM($G188:EC188))/ROUND(((EOMONTH('Construction Budget'!$M44,0)-EOMONTH(ED$11,0))/30)+1,0),0)</f>
        <v>0</v>
      </c>
      <c r="EE188" s="427">
        <f>-IF(AND(EE$11&gt;=EOMONTH('Construction Budget'!$K44,0),EE$11&lt;=EOMONTH('Construction Budget'!$M44,0)),('Construction Budget'!$G44+SUM($G188:ED188))/ROUND(((EOMONTH('Construction Budget'!$M44,0)-EOMONTH(EE$11,0))/30)+1,0),0)</f>
        <v>0</v>
      </c>
      <c r="EF188" s="427">
        <f>-IF(AND(EF$11&gt;=EOMONTH('Construction Budget'!$K44,0),EF$11&lt;=EOMONTH('Construction Budget'!$M44,0)),('Construction Budget'!$G44+SUM($G188:EE188))/ROUND(((EOMONTH('Construction Budget'!$M44,0)-EOMONTH(EF$11,0))/30)+1,0),0)</f>
        <v>0</v>
      </c>
      <c r="EG188" s="427">
        <f>-IF(AND(EG$11&gt;=EOMONTH('Construction Budget'!$K44,0),EG$11&lt;=EOMONTH('Construction Budget'!$M44,0)),('Construction Budget'!$G44+SUM($G188:EF188))/ROUND(((EOMONTH('Construction Budget'!$M44,0)-EOMONTH(EG$11,0))/30)+1,0),0)</f>
        <v>0</v>
      </c>
      <c r="EH188" s="427">
        <f>-IF(AND(EH$11&gt;=EOMONTH('Construction Budget'!$K44,0),EH$11&lt;=EOMONTH('Construction Budget'!$M44,0)),('Construction Budget'!$G44+SUM($G188:EG188))/ROUND(((EOMONTH('Construction Budget'!$M44,0)-EOMONTH(EH$11,0))/30)+1,0),0)</f>
        <v>0</v>
      </c>
      <c r="EI188" s="427">
        <f>-IF(AND(EI$11&gt;=EOMONTH('Construction Budget'!$K44,0),EI$11&lt;=EOMONTH('Construction Budget'!$M44,0)),('Construction Budget'!$G44+SUM($G188:EH188))/ROUND(((EOMONTH('Construction Budget'!$M44,0)-EOMONTH(EI$11,0))/30)+1,0),0)</f>
        <v>0</v>
      </c>
      <c r="EJ188" s="427">
        <f>-IF(AND(EJ$11&gt;=EOMONTH('Construction Budget'!$K44,0),EJ$11&lt;=EOMONTH('Construction Budget'!$M44,0)),('Construction Budget'!$G44+SUM($G188:EI188))/ROUND(((EOMONTH('Construction Budget'!$M44,0)-EOMONTH(EJ$11,0))/30)+1,0),0)</f>
        <v>0</v>
      </c>
      <c r="EK188" s="427">
        <f>-IF(AND(EK$11&gt;=EOMONTH('Construction Budget'!$K44,0),EK$11&lt;=EOMONTH('Construction Budget'!$M44,0)),('Construction Budget'!$G44+SUM($G188:EJ188))/ROUND(((EOMONTH('Construction Budget'!$M44,0)-EOMONTH(EK$11,0))/30)+1,0),0)</f>
        <v>0</v>
      </c>
      <c r="EL188" s="427">
        <f>-IF(AND(EL$11&gt;=EOMONTH('Construction Budget'!$K44,0),EL$11&lt;=EOMONTH('Construction Budget'!$M44,0)),('Construction Budget'!$G44+SUM($G188:EK188))/ROUND(((EOMONTH('Construction Budget'!$M44,0)-EOMONTH(EL$11,0))/30)+1,0),0)</f>
        <v>0</v>
      </c>
      <c r="EM188" s="427">
        <f>-IF(AND(EM$11&gt;=EOMONTH('Construction Budget'!$K44,0),EM$11&lt;=EOMONTH('Construction Budget'!$M44,0)),('Construction Budget'!$G44+SUM($G188:EL188))/ROUND(((EOMONTH('Construction Budget'!$M44,0)-EOMONTH(EM$11,0))/30)+1,0),0)</f>
        <v>0</v>
      </c>
      <c r="EN188" s="427">
        <f>-IF(AND(EN$11&gt;=EOMONTH('Construction Budget'!$K44,0),EN$11&lt;=EOMONTH('Construction Budget'!$M44,0)),('Construction Budget'!$G44+SUM($G188:EM188))/ROUND(((EOMONTH('Construction Budget'!$M44,0)-EOMONTH(EN$11,0))/30)+1,0),0)</f>
        <v>0</v>
      </c>
      <c r="EO188" s="427">
        <f>-IF(AND(EO$11&gt;=EOMONTH('Construction Budget'!$K44,0),EO$11&lt;=EOMONTH('Construction Budget'!$M44,0)),('Construction Budget'!$G44+SUM($G188:EN188))/ROUND(((EOMONTH('Construction Budget'!$M44,0)-EOMONTH(EO$11,0))/30)+1,0),0)</f>
        <v>0</v>
      </c>
      <c r="EP188" s="427">
        <f>-IF(AND(EP$11&gt;=EOMONTH('Construction Budget'!$K44,0),EP$11&lt;=EOMONTH('Construction Budget'!$M44,0)),('Construction Budget'!$G44+SUM($G188:EO188))/ROUND(((EOMONTH('Construction Budget'!$M44,0)-EOMONTH(EP$11,0))/30)+1,0),0)</f>
        <v>0</v>
      </c>
      <c r="EQ188" s="427">
        <f>-IF(AND(EQ$11&gt;=EOMONTH('Construction Budget'!$K44,0),EQ$11&lt;=EOMONTH('Construction Budget'!$M44,0)),('Construction Budget'!$G44+SUM($G188:EP188))/ROUND(((EOMONTH('Construction Budget'!$M44,0)-EOMONTH(EQ$11,0))/30)+1,0),0)</f>
        <v>0</v>
      </c>
      <c r="ER188" s="427">
        <f>-IF(AND(ER$11&gt;=EOMONTH('Construction Budget'!$K44,0),ER$11&lt;=EOMONTH('Construction Budget'!$M44,0)),('Construction Budget'!$G44+SUM($G188:EQ188))/ROUND(((EOMONTH('Construction Budget'!$M44,0)-EOMONTH(ER$11,0))/30)+1,0),0)</f>
        <v>0</v>
      </c>
      <c r="ES188" s="427">
        <f>-IF(AND(ES$11&gt;=EOMONTH('Construction Budget'!$K44,0),ES$11&lt;=EOMONTH('Construction Budget'!$M44,0)),('Construction Budget'!$G44+SUM($G188:ER188))/ROUND(((EOMONTH('Construction Budget'!$M44,0)-EOMONTH(ES$11,0))/30)+1,0),0)</f>
        <v>0</v>
      </c>
      <c r="ET188" s="427">
        <f>-IF(AND(ET$11&gt;=EOMONTH('Construction Budget'!$K44,0),ET$11&lt;=EOMONTH('Construction Budget'!$M44,0)),('Construction Budget'!$G44+SUM($G188:ES188))/ROUND(((EOMONTH('Construction Budget'!$M44,0)-EOMONTH(ET$11,0))/30)+1,0),0)</f>
        <v>0</v>
      </c>
      <c r="EU188" s="427">
        <f>-IF(AND(EU$11&gt;=EOMONTH('Construction Budget'!$K44,0),EU$11&lt;=EOMONTH('Construction Budget'!$M44,0)),('Construction Budget'!$G44+SUM($G188:ET188))/ROUND(((EOMONTH('Construction Budget'!$M44,0)-EOMONTH(EU$11,0))/30)+1,0),0)</f>
        <v>0</v>
      </c>
      <c r="EV188" s="427">
        <f>-IF(AND(EV$11&gt;=EOMONTH('Construction Budget'!$K44,0),EV$11&lt;=EOMONTH('Construction Budget'!$M44,0)),('Construction Budget'!$G44+SUM($G188:EU188))/ROUND(((EOMONTH('Construction Budget'!$M44,0)-EOMONTH(EV$11,0))/30)+1,0),0)</f>
        <v>0</v>
      </c>
      <c r="EW188" s="427">
        <f>-IF(AND(EW$11&gt;=EOMONTH('Construction Budget'!$K44,0),EW$11&lt;=EOMONTH('Construction Budget'!$M44,0)),('Construction Budget'!$G44+SUM($G188:EV188))/ROUND(((EOMONTH('Construction Budget'!$M44,0)-EOMONTH(EW$11,0))/30)+1,0),0)</f>
        <v>0</v>
      </c>
      <c r="EX188" s="427">
        <f>-IF(AND(EX$11&gt;=EOMONTH('Construction Budget'!$K44,0),EX$11&lt;=EOMONTH('Construction Budget'!$M44,0)),('Construction Budget'!$G44+SUM($G188:EW188))/ROUND(((EOMONTH('Construction Budget'!$M44,0)-EOMONTH(EX$11,0))/30)+1,0),0)</f>
        <v>0</v>
      </c>
      <c r="EY188" s="427">
        <f>-IF(AND(EY$11&gt;=EOMONTH('Construction Budget'!$K44,0),EY$11&lt;=EOMONTH('Construction Budget'!$M44,0)),('Construction Budget'!$G44+SUM($G188:EX188))/ROUND(((EOMONTH('Construction Budget'!$M44,0)-EOMONTH(EY$11,0))/30)+1,0),0)</f>
        <v>0</v>
      </c>
      <c r="EZ188" s="427">
        <f>-IF(AND(EZ$11&gt;=EOMONTH('Construction Budget'!$K44,0),EZ$11&lt;=EOMONTH('Construction Budget'!$M44,0)),('Construction Budget'!$G44+SUM($G188:EY188))/ROUND(((EOMONTH('Construction Budget'!$M44,0)-EOMONTH(EZ$11,0))/30)+1,0),0)</f>
        <v>0</v>
      </c>
      <c r="FA188" s="427">
        <f>-IF(AND(FA$11&gt;=EOMONTH('Construction Budget'!$K44,0),FA$11&lt;=EOMONTH('Construction Budget'!$M44,0)),('Construction Budget'!$G44+SUM($G188:EZ188))/ROUND(((EOMONTH('Construction Budget'!$M44,0)-EOMONTH(FA$11,0))/30)+1,0),0)</f>
        <v>0</v>
      </c>
      <c r="FB188" s="427">
        <f>-IF(AND(FB$11&gt;=EOMONTH('Construction Budget'!$K44,0),FB$11&lt;=EOMONTH('Construction Budget'!$M44,0)),('Construction Budget'!$G44+SUM($G188:FA188))/ROUND(((EOMONTH('Construction Budget'!$M44,0)-EOMONTH(FB$11,0))/30)+1,0),0)</f>
        <v>0</v>
      </c>
      <c r="FC188" s="427">
        <f>-IF(AND(FC$11&gt;=EOMONTH('Construction Budget'!$K44,0),FC$11&lt;=EOMONTH('Construction Budget'!$M44,0)),('Construction Budget'!$G44+SUM($G188:FB188))/ROUND(((EOMONTH('Construction Budget'!$M44,0)-EOMONTH(FC$11,0))/30)+1,0),0)</f>
        <v>0</v>
      </c>
      <c r="FD188" s="427">
        <f>-IF(AND(FD$11&gt;=EOMONTH('Construction Budget'!$K44,0),FD$11&lt;=EOMONTH('Construction Budget'!$M44,0)),('Construction Budget'!$G44+SUM($G188:FC188))/ROUND(((EOMONTH('Construction Budget'!$M44,0)-EOMONTH(FD$11,0))/30)+1,0),0)</f>
        <v>0</v>
      </c>
      <c r="FE188" s="427">
        <f>-IF(AND(FE$11&gt;=EOMONTH('Construction Budget'!$K44,0),FE$11&lt;=EOMONTH('Construction Budget'!$M44,0)),('Construction Budget'!$G44+SUM($G188:FD188))/ROUND(((EOMONTH('Construction Budget'!$M44,0)-EOMONTH(FE$11,0))/30)+1,0),0)</f>
        <v>0</v>
      </c>
      <c r="FF188" s="427">
        <f>-IF(AND(FF$11&gt;=EOMONTH('Construction Budget'!$K44,0),FF$11&lt;=EOMONTH('Construction Budget'!$M44,0)),('Construction Budget'!$G44+SUM($G188:FE188))/ROUND(((EOMONTH('Construction Budget'!$M44,0)-EOMONTH(FF$11,0))/30)+1,0),0)</f>
        <v>0</v>
      </c>
      <c r="FG188" s="427">
        <f>-IF(AND(FG$11&gt;=EOMONTH('Construction Budget'!$K44,0),FG$11&lt;=EOMONTH('Construction Budget'!$M44,0)),('Construction Budget'!$G44+SUM($G188:FF188))/ROUND(((EOMONTH('Construction Budget'!$M44,0)-EOMONTH(FG$11,0))/30)+1,0),0)</f>
        <v>0</v>
      </c>
      <c r="FH188" s="427">
        <f>-IF(AND(FH$11&gt;=EOMONTH('Construction Budget'!$K44,0),FH$11&lt;=EOMONTH('Construction Budget'!$M44,0)),('Construction Budget'!$G44+SUM($G188:FG188))/ROUND(((EOMONTH('Construction Budget'!$M44,0)-EOMONTH(FH$11,0))/30)+1,0),0)</f>
        <v>0</v>
      </c>
      <c r="FI188" s="427">
        <f>-IF(AND(FI$11&gt;=EOMONTH('Construction Budget'!$K44,0),FI$11&lt;=EOMONTH('Construction Budget'!$M44,0)),('Construction Budget'!$G44+SUM($G188:FH188))/ROUND(((EOMONTH('Construction Budget'!$M44,0)-EOMONTH(FI$11,0))/30)+1,0),0)</f>
        <v>0</v>
      </c>
      <c r="FJ188" s="427">
        <f>-IF(AND(FJ$11&gt;=EOMONTH('Construction Budget'!$K44,0),FJ$11&lt;=EOMONTH('Construction Budget'!$M44,0)),('Construction Budget'!$G44+SUM($G188:FI188))/ROUND(((EOMONTH('Construction Budget'!$M44,0)-EOMONTH(FJ$11,0))/30)+1,0),0)</f>
        <v>0</v>
      </c>
      <c r="FK188" s="427">
        <f>-IF(AND(FK$11&gt;=EOMONTH('Construction Budget'!$K44,0),FK$11&lt;=EOMONTH('Construction Budget'!$M44,0)),('Construction Budget'!$G44+SUM($G188:FJ188))/ROUND(((EOMONTH('Construction Budget'!$M44,0)-EOMONTH(FK$11,0))/30)+1,0),0)</f>
        <v>0</v>
      </c>
      <c r="FL188" s="427">
        <f>-IF(AND(FL$11&gt;=EOMONTH('Construction Budget'!$K44,0),FL$11&lt;=EOMONTH('Construction Budget'!$M44,0)),('Construction Budget'!$G44+SUM($G188:FK188))/ROUND(((EOMONTH('Construction Budget'!$M44,0)-EOMONTH(FL$11,0))/30)+1,0),0)</f>
        <v>0</v>
      </c>
      <c r="FM188" s="427">
        <f>-IF(AND(FM$11&gt;=EOMONTH('Construction Budget'!$K44,0),FM$11&lt;=EOMONTH('Construction Budget'!$M44,0)),('Construction Budget'!$G44+SUM($G188:FL188))/ROUND(((EOMONTH('Construction Budget'!$M44,0)-EOMONTH(FM$11,0))/30)+1,0),0)</f>
        <v>0</v>
      </c>
      <c r="FN188" s="427">
        <f>-IF(AND(FN$11&gt;=EOMONTH('Construction Budget'!$K44,0),FN$11&lt;=EOMONTH('Construction Budget'!$M44,0)),('Construction Budget'!$G44+SUM($G188:FM188))/ROUND(((EOMONTH('Construction Budget'!$M44,0)-EOMONTH(FN$11,0))/30)+1,0),0)</f>
        <v>0</v>
      </c>
      <c r="FO188" s="427">
        <f>-IF(AND(FO$11&gt;=EOMONTH('Construction Budget'!$K44,0),FO$11&lt;=EOMONTH('Construction Budget'!$M44,0)),('Construction Budget'!$G44+SUM($G188:FN188))/ROUND(((EOMONTH('Construction Budget'!$M44,0)-EOMONTH(FO$11,0))/30)+1,0),0)</f>
        <v>0</v>
      </c>
      <c r="FP188" s="427">
        <f>-IF(AND(FP$11&gt;=EOMONTH('Construction Budget'!$K44,0),FP$11&lt;=EOMONTH('Construction Budget'!$M44,0)),('Construction Budget'!$G44+SUM($G188:FO188))/ROUND(((EOMONTH('Construction Budget'!$M44,0)-EOMONTH(FP$11,0))/30)+1,0),0)</f>
        <v>0</v>
      </c>
      <c r="FQ188" s="427">
        <f>-IF(AND(FQ$11&gt;=EOMONTH('Construction Budget'!$K44,0),FQ$11&lt;=EOMONTH('Construction Budget'!$M44,0)),('Construction Budget'!$G44+SUM($G188:FP188))/ROUND(((EOMONTH('Construction Budget'!$M44,0)-EOMONTH(FQ$11,0))/30)+1,0),0)</f>
        <v>0</v>
      </c>
      <c r="FR188" s="427">
        <f>-IF(AND(FR$11&gt;=EOMONTH('Construction Budget'!$K44,0),FR$11&lt;=EOMONTH('Construction Budget'!$M44,0)),('Construction Budget'!$G44+SUM($G188:FQ188))/ROUND(((EOMONTH('Construction Budget'!$M44,0)-EOMONTH(FR$11,0))/30)+1,0),0)</f>
        <v>0</v>
      </c>
      <c r="FS188" s="427">
        <f>-IF(AND(FS$11&gt;=EOMONTH('Construction Budget'!$K44,0),FS$11&lt;=EOMONTH('Construction Budget'!$M44,0)),('Construction Budget'!$G44+SUM($G188:FR188))/ROUND(((EOMONTH('Construction Budget'!$M44,0)-EOMONTH(FS$11,0))/30)+1,0),0)</f>
        <v>0</v>
      </c>
      <c r="FT188" s="427">
        <f>-IF(AND(FT$11&gt;=EOMONTH('Construction Budget'!$K44,0),FT$11&lt;=EOMONTH('Construction Budget'!$M44,0)),('Construction Budget'!$G44+SUM($G188:FS188))/ROUND(((EOMONTH('Construction Budget'!$M44,0)-EOMONTH(FT$11,0))/30)+1,0),0)</f>
        <v>0</v>
      </c>
      <c r="FU188" s="43"/>
      <c r="FV188" s="34"/>
      <c r="FW188" s="34"/>
      <c r="FX188" s="34"/>
      <c r="FY188" s="34"/>
      <c r="FZ188" s="34"/>
    </row>
    <row r="189" spans="1:182" s="89" customFormat="1" ht="13.5" hidden="1" outlineLevel="1" x14ac:dyDescent="0.25">
      <c r="A189" s="498"/>
      <c r="B189" s="128" t="str">
        <f>'Construction Budget'!B45</f>
        <v>Blank</v>
      </c>
      <c r="C189" s="34"/>
      <c r="D189" s="34"/>
      <c r="E189" s="34"/>
      <c r="F189" s="434">
        <f t="shared" si="232"/>
        <v>0</v>
      </c>
      <c r="G189" s="34"/>
      <c r="H189" s="427">
        <f>-IF(AND(H$11&gt;=EOMONTH('Construction Budget'!$K45,0),H$11&lt;=EOMONTH('Construction Budget'!$M45,0)),('Construction Budget'!$G45+SUM($G189:G189))/ROUND(((EOMONTH('Construction Budget'!$M45,0)-EOMONTH(H$11,0))/30)+1,0),0)</f>
        <v>0</v>
      </c>
      <c r="I189" s="427">
        <f>-IF(AND(I$11&gt;=EOMONTH('Construction Budget'!$K45,0),I$11&lt;=EOMONTH('Construction Budget'!$M45,0)),('Construction Budget'!$G45+SUM($G189:H189))/ROUND(((EOMONTH('Construction Budget'!$M45,0)-EOMONTH(I$11,0))/30)+1,0),0)</f>
        <v>0</v>
      </c>
      <c r="J189" s="427">
        <f>-IF(AND(J$11&gt;=EOMONTH('Construction Budget'!$K45,0),J$11&lt;=EOMONTH('Construction Budget'!$M45,0)),('Construction Budget'!$G45+SUM($G189:I189))/ROUND(((EOMONTH('Construction Budget'!$M45,0)-EOMONTH(J$11,0))/30)+1,0),0)</f>
        <v>0</v>
      </c>
      <c r="K189" s="427">
        <f>-IF(AND(K$11&gt;=EOMONTH('Construction Budget'!$K45,0),K$11&lt;=EOMONTH('Construction Budget'!$M45,0)),('Construction Budget'!$G45+SUM($G189:J189))/ROUND(((EOMONTH('Construction Budget'!$M45,0)-EOMONTH(K$11,0))/30)+1,0),0)</f>
        <v>0</v>
      </c>
      <c r="L189" s="427">
        <f>-IF(AND(L$11&gt;=EOMONTH('Construction Budget'!$K45,0),L$11&lt;=EOMONTH('Construction Budget'!$M45,0)),('Construction Budget'!$G45+SUM($G189:K189))/ROUND(((EOMONTH('Construction Budget'!$M45,0)-EOMONTH(L$11,0))/30)+1,0),0)</f>
        <v>0</v>
      </c>
      <c r="M189" s="427">
        <f>-IF(AND(M$11&gt;=EOMONTH('Construction Budget'!$K45,0),M$11&lt;=EOMONTH('Construction Budget'!$M45,0)),('Construction Budget'!$G45+SUM($G189:L189))/ROUND(((EOMONTH('Construction Budget'!$M45,0)-EOMONTH(M$11,0))/30)+1,0),0)</f>
        <v>0</v>
      </c>
      <c r="N189" s="427">
        <f>-IF(AND(N$11&gt;=EOMONTH('Construction Budget'!$K45,0),N$11&lt;=EOMONTH('Construction Budget'!$M45,0)),('Construction Budget'!$G45+SUM($G189:M189))/ROUND(((EOMONTH('Construction Budget'!$M45,0)-EOMONTH(N$11,0))/30)+1,0),0)</f>
        <v>0</v>
      </c>
      <c r="O189" s="427">
        <f>-IF(AND(O$11&gt;=EOMONTH('Construction Budget'!$K45,0),O$11&lt;=EOMONTH('Construction Budget'!$M45,0)),('Construction Budget'!$G45+SUM($G189:N189))/ROUND(((EOMONTH('Construction Budget'!$M45,0)-EOMONTH(O$11,0))/30)+1,0),0)</f>
        <v>0</v>
      </c>
      <c r="P189" s="427">
        <f>-IF(AND(P$11&gt;=EOMONTH('Construction Budget'!$K45,0),P$11&lt;=EOMONTH('Construction Budget'!$M45,0)),('Construction Budget'!$G45+SUM($G189:O189))/ROUND(((EOMONTH('Construction Budget'!$M45,0)-EOMONTH(P$11,0))/30)+1,0),0)</f>
        <v>0</v>
      </c>
      <c r="Q189" s="427">
        <f>-IF(AND(Q$11&gt;=EOMONTH('Construction Budget'!$K45,0),Q$11&lt;=EOMONTH('Construction Budget'!$M45,0)),('Construction Budget'!$G45+SUM($G189:P189))/ROUND(((EOMONTH('Construction Budget'!$M45,0)-EOMONTH(Q$11,0))/30)+1,0),0)</f>
        <v>0</v>
      </c>
      <c r="R189" s="427">
        <f>-IF(AND(R$11&gt;=EOMONTH('Construction Budget'!$K45,0),R$11&lt;=EOMONTH('Construction Budget'!$M45,0)),('Construction Budget'!$G45+SUM($G189:Q189))/ROUND(((EOMONTH('Construction Budget'!$M45,0)-EOMONTH(R$11,0))/30)+1,0),0)</f>
        <v>0</v>
      </c>
      <c r="S189" s="427">
        <f>-IF(AND(S$11&gt;=EOMONTH('Construction Budget'!$K45,0),S$11&lt;=EOMONTH('Construction Budget'!$M45,0)),('Construction Budget'!$G45+SUM($G189:R189))/ROUND(((EOMONTH('Construction Budget'!$M45,0)-EOMONTH(S$11,0))/30)+1,0),0)</f>
        <v>0</v>
      </c>
      <c r="T189" s="427">
        <f>-IF(AND(T$11&gt;=EOMONTH('Construction Budget'!$K45,0),T$11&lt;=EOMONTH('Construction Budget'!$M45,0)),('Construction Budget'!$G45+SUM($G189:S189))/ROUND(((EOMONTH('Construction Budget'!$M45,0)-EOMONTH(T$11,0))/30)+1,0),0)</f>
        <v>0</v>
      </c>
      <c r="U189" s="427">
        <f>-IF(AND(U$11&gt;=EOMONTH('Construction Budget'!$K45,0),U$11&lt;=EOMONTH('Construction Budget'!$M45,0)),('Construction Budget'!$G45+SUM($G189:T189))/ROUND(((EOMONTH('Construction Budget'!$M45,0)-EOMONTH(U$11,0))/30)+1,0),0)</f>
        <v>0</v>
      </c>
      <c r="V189" s="427">
        <f>-IF(AND(V$11&gt;=EOMONTH('Construction Budget'!$K45,0),V$11&lt;=EOMONTH('Construction Budget'!$M45,0)),('Construction Budget'!$G45+SUM($G189:U189))/ROUND(((EOMONTH('Construction Budget'!$M45,0)-EOMONTH(V$11,0))/30)+1,0),0)</f>
        <v>0</v>
      </c>
      <c r="W189" s="427">
        <f>-IF(AND(W$11&gt;=EOMONTH('Construction Budget'!$K45,0),W$11&lt;=EOMONTH('Construction Budget'!$M45,0)),('Construction Budget'!$G45+SUM($G189:V189))/ROUND(((EOMONTH('Construction Budget'!$M45,0)-EOMONTH(W$11,0))/30)+1,0),0)</f>
        <v>0</v>
      </c>
      <c r="X189" s="427">
        <f>-IF(AND(X$11&gt;=EOMONTH('Construction Budget'!$K45,0),X$11&lt;=EOMONTH('Construction Budget'!$M45,0)),('Construction Budget'!$G45+SUM($G189:W189))/ROUND(((EOMONTH('Construction Budget'!$M45,0)-EOMONTH(X$11,0))/30)+1,0),0)</f>
        <v>0</v>
      </c>
      <c r="Y189" s="427">
        <f>-IF(AND(Y$11&gt;=EOMONTH('Construction Budget'!$K45,0),Y$11&lt;=EOMONTH('Construction Budget'!$M45,0)),('Construction Budget'!$G45+SUM($G189:X189))/ROUND(((EOMONTH('Construction Budget'!$M45,0)-EOMONTH(Y$11,0))/30)+1,0),0)</f>
        <v>0</v>
      </c>
      <c r="Z189" s="427">
        <f>-IF(AND(Z$11&gt;=EOMONTH('Construction Budget'!$K45,0),Z$11&lt;=EOMONTH('Construction Budget'!$M45,0)),('Construction Budget'!$G45+SUM($G189:Y189))/ROUND(((EOMONTH('Construction Budget'!$M45,0)-EOMONTH(Z$11,0))/30)+1,0),0)</f>
        <v>0</v>
      </c>
      <c r="AA189" s="427">
        <f>-IF(AND(AA$11&gt;=EOMONTH('Construction Budget'!$K45,0),AA$11&lt;=EOMONTH('Construction Budget'!$M45,0)),('Construction Budget'!$G45+SUM($G189:Z189))/ROUND(((EOMONTH('Construction Budget'!$M45,0)-EOMONTH(AA$11,0))/30)+1,0),0)</f>
        <v>0</v>
      </c>
      <c r="AB189" s="427">
        <f>-IF(AND(AB$11&gt;=EOMONTH('Construction Budget'!$K45,0),AB$11&lt;=EOMONTH('Construction Budget'!$M45,0)),('Construction Budget'!$G45+SUM($G189:AA189))/ROUND(((EOMONTH('Construction Budget'!$M45,0)-EOMONTH(AB$11,0))/30)+1,0),0)</f>
        <v>0</v>
      </c>
      <c r="AC189" s="427">
        <f>-IF(AND(AC$11&gt;=EOMONTH('Construction Budget'!$K45,0),AC$11&lt;=EOMONTH('Construction Budget'!$M45,0)),('Construction Budget'!$G45+SUM($G189:AB189))/ROUND(((EOMONTH('Construction Budget'!$M45,0)-EOMONTH(AC$11,0))/30)+1,0),0)</f>
        <v>0</v>
      </c>
      <c r="AD189" s="427">
        <f>-IF(AND(AD$11&gt;=EOMONTH('Construction Budget'!$K45,0),AD$11&lt;=EOMONTH('Construction Budget'!$M45,0)),('Construction Budget'!$G45+SUM($G189:AC189))/ROUND(((EOMONTH('Construction Budget'!$M45,0)-EOMONTH(AD$11,0))/30)+1,0),0)</f>
        <v>0</v>
      </c>
      <c r="AE189" s="427">
        <f>-IF(AND(AE$11&gt;=EOMONTH('Construction Budget'!$K45,0),AE$11&lt;=EOMONTH('Construction Budget'!$M45,0)),('Construction Budget'!$G45+SUM($G189:AD189))/ROUND(((EOMONTH('Construction Budget'!$M45,0)-EOMONTH(AE$11,0))/30)+1,0),0)</f>
        <v>0</v>
      </c>
      <c r="AF189" s="427">
        <f>-IF(AND(AF$11&gt;=EOMONTH('Construction Budget'!$K45,0),AF$11&lt;=EOMONTH('Construction Budget'!$M45,0)),('Construction Budget'!$G45+SUM($G189:AE189))/ROUND(((EOMONTH('Construction Budget'!$M45,0)-EOMONTH(AF$11,0))/30)+1,0),0)</f>
        <v>0</v>
      </c>
      <c r="AG189" s="427">
        <f>-IF(AND(AG$11&gt;=EOMONTH('Construction Budget'!$K45,0),AG$11&lt;=EOMONTH('Construction Budget'!$M45,0)),('Construction Budget'!$G45+SUM($G189:AF189))/ROUND(((EOMONTH('Construction Budget'!$M45,0)-EOMONTH(AG$11,0))/30)+1,0),0)</f>
        <v>0</v>
      </c>
      <c r="AH189" s="427">
        <f>-IF(AND(AH$11&gt;=EOMONTH('Construction Budget'!$K45,0),AH$11&lt;=EOMONTH('Construction Budget'!$M45,0)),('Construction Budget'!$G45+SUM($G189:AG189))/ROUND(((EOMONTH('Construction Budget'!$M45,0)-EOMONTH(AH$11,0))/30)+1,0),0)</f>
        <v>0</v>
      </c>
      <c r="AI189" s="427">
        <f>-IF(AND(AI$11&gt;=EOMONTH('Construction Budget'!$K45,0),AI$11&lt;=EOMONTH('Construction Budget'!$M45,0)),('Construction Budget'!$G45+SUM($G189:AH189))/ROUND(((EOMONTH('Construction Budget'!$M45,0)-EOMONTH(AI$11,0))/30)+1,0),0)</f>
        <v>0</v>
      </c>
      <c r="AJ189" s="427">
        <f>-IF(AND(AJ$11&gt;=EOMONTH('Construction Budget'!$K45,0),AJ$11&lt;=EOMONTH('Construction Budget'!$M45,0)),('Construction Budget'!$G45+SUM($G189:AI189))/ROUND(((EOMONTH('Construction Budget'!$M45,0)-EOMONTH(AJ$11,0))/30)+1,0),0)</f>
        <v>0</v>
      </c>
      <c r="AK189" s="427">
        <f>-IF(AND(AK$11&gt;=EOMONTH('Construction Budget'!$K45,0),AK$11&lt;=EOMONTH('Construction Budget'!$M45,0)),('Construction Budget'!$G45+SUM($G189:AJ189))/ROUND(((EOMONTH('Construction Budget'!$M45,0)-EOMONTH(AK$11,0))/30)+1,0),0)</f>
        <v>0</v>
      </c>
      <c r="AL189" s="427">
        <f>-IF(AND(AL$11&gt;=EOMONTH('Construction Budget'!$K45,0),AL$11&lt;=EOMONTH('Construction Budget'!$M45,0)),('Construction Budget'!$G45+SUM($G189:AK189))/ROUND(((EOMONTH('Construction Budget'!$M45,0)-EOMONTH(AL$11,0))/30)+1,0),0)</f>
        <v>0</v>
      </c>
      <c r="AM189" s="427">
        <f>-IF(AND(AM$11&gt;=EOMONTH('Construction Budget'!$K45,0),AM$11&lt;=EOMONTH('Construction Budget'!$M45,0)),('Construction Budget'!$G45+SUM($G189:AL189))/ROUND(((EOMONTH('Construction Budget'!$M45,0)-EOMONTH(AM$11,0))/30)+1,0),0)</f>
        <v>0</v>
      </c>
      <c r="AN189" s="427">
        <f>-IF(AND(AN$11&gt;=EOMONTH('Construction Budget'!$K45,0),AN$11&lt;=EOMONTH('Construction Budget'!$M45,0)),('Construction Budget'!$G45+SUM($G189:AM189))/ROUND(((EOMONTH('Construction Budget'!$M45,0)-EOMONTH(AN$11,0))/30)+1,0),0)</f>
        <v>0</v>
      </c>
      <c r="AO189" s="427">
        <f>-IF(AND(AO$11&gt;=EOMONTH('Construction Budget'!$K45,0),AO$11&lt;=EOMONTH('Construction Budget'!$M45,0)),('Construction Budget'!$G45+SUM($G189:AN189))/ROUND(((EOMONTH('Construction Budget'!$M45,0)-EOMONTH(AO$11,0))/30)+1,0),0)</f>
        <v>0</v>
      </c>
      <c r="AP189" s="427">
        <f>-IF(AND(AP$11&gt;=EOMONTH('Construction Budget'!$K45,0),AP$11&lt;=EOMONTH('Construction Budget'!$M45,0)),('Construction Budget'!$G45+SUM($G189:AO189))/ROUND(((EOMONTH('Construction Budget'!$M45,0)-EOMONTH(AP$11,0))/30)+1,0),0)</f>
        <v>0</v>
      </c>
      <c r="AQ189" s="427">
        <f>-IF(AND(AQ$11&gt;=EOMONTH('Construction Budget'!$K45,0),AQ$11&lt;=EOMONTH('Construction Budget'!$M45,0)),('Construction Budget'!$G45+SUM($G189:AP189))/ROUND(((EOMONTH('Construction Budget'!$M45,0)-EOMONTH(AQ$11,0))/30)+1,0),0)</f>
        <v>0</v>
      </c>
      <c r="AR189" s="427">
        <f>-IF(AND(AR$11&gt;=EOMONTH('Construction Budget'!$K45,0),AR$11&lt;=EOMONTH('Construction Budget'!$M45,0)),('Construction Budget'!$G45+SUM($G189:AQ189))/ROUND(((EOMONTH('Construction Budget'!$M45,0)-EOMONTH(AR$11,0))/30)+1,0),0)</f>
        <v>0</v>
      </c>
      <c r="AS189" s="427">
        <f>-IF(AND(AS$11&gt;=EOMONTH('Construction Budget'!$K45,0),AS$11&lt;=EOMONTH('Construction Budget'!$M45,0)),('Construction Budget'!$G45+SUM($G189:AR189))/ROUND(((EOMONTH('Construction Budget'!$M45,0)-EOMONTH(AS$11,0))/30)+1,0),0)</f>
        <v>0</v>
      </c>
      <c r="AT189" s="427">
        <f>-IF(AND(AT$11&gt;=EOMONTH('Construction Budget'!$K45,0),AT$11&lt;=EOMONTH('Construction Budget'!$M45,0)),('Construction Budget'!$G45+SUM($G189:AS189))/ROUND(((EOMONTH('Construction Budget'!$M45,0)-EOMONTH(AT$11,0))/30)+1,0),0)</f>
        <v>0</v>
      </c>
      <c r="AU189" s="427">
        <f>-IF(AND(AU$11&gt;=EOMONTH('Construction Budget'!$K45,0),AU$11&lt;=EOMONTH('Construction Budget'!$M45,0)),('Construction Budget'!$G45+SUM($G189:AT189))/ROUND(((EOMONTH('Construction Budget'!$M45,0)-EOMONTH(AU$11,0))/30)+1,0),0)</f>
        <v>0</v>
      </c>
      <c r="AV189" s="427">
        <f>-IF(AND(AV$11&gt;=EOMONTH('Construction Budget'!$K45,0),AV$11&lt;=EOMONTH('Construction Budget'!$M45,0)),('Construction Budget'!$G45+SUM($G189:AU189))/ROUND(((EOMONTH('Construction Budget'!$M45,0)-EOMONTH(AV$11,0))/30)+1,0),0)</f>
        <v>0</v>
      </c>
      <c r="AW189" s="427">
        <f>-IF(AND(AW$11&gt;=EOMONTH('Construction Budget'!$K45,0),AW$11&lt;=EOMONTH('Construction Budget'!$M45,0)),('Construction Budget'!$G45+SUM($G189:AV189))/ROUND(((EOMONTH('Construction Budget'!$M45,0)-EOMONTH(AW$11,0))/30)+1,0),0)</f>
        <v>0</v>
      </c>
      <c r="AX189" s="427">
        <f>-IF(AND(AX$11&gt;=EOMONTH('Construction Budget'!$K45,0),AX$11&lt;=EOMONTH('Construction Budget'!$M45,0)),('Construction Budget'!$G45+SUM($G189:AW189))/ROUND(((EOMONTH('Construction Budget'!$M45,0)-EOMONTH(AX$11,0))/30)+1,0),0)</f>
        <v>0</v>
      </c>
      <c r="AY189" s="427">
        <f>-IF(AND(AY$11&gt;=EOMONTH('Construction Budget'!$K45,0),AY$11&lt;=EOMONTH('Construction Budget'!$M45,0)),('Construction Budget'!$G45+SUM($G189:AX189))/ROUND(((EOMONTH('Construction Budget'!$M45,0)-EOMONTH(AY$11,0))/30)+1,0),0)</f>
        <v>0</v>
      </c>
      <c r="AZ189" s="427">
        <f>-IF(AND(AZ$11&gt;=EOMONTH('Construction Budget'!$K45,0),AZ$11&lt;=EOMONTH('Construction Budget'!$M45,0)),('Construction Budget'!$G45+SUM($G189:AY189))/ROUND(((EOMONTH('Construction Budget'!$M45,0)-EOMONTH(AZ$11,0))/30)+1,0),0)</f>
        <v>0</v>
      </c>
      <c r="BA189" s="427">
        <f>-IF(AND(BA$11&gt;=EOMONTH('Construction Budget'!$K45,0),BA$11&lt;=EOMONTH('Construction Budget'!$M45,0)),('Construction Budget'!$G45+SUM($G189:AZ189))/ROUND(((EOMONTH('Construction Budget'!$M45,0)-EOMONTH(BA$11,0))/30)+1,0),0)</f>
        <v>0</v>
      </c>
      <c r="BB189" s="427">
        <f>-IF(AND(BB$11&gt;=EOMONTH('Construction Budget'!$K45,0),BB$11&lt;=EOMONTH('Construction Budget'!$M45,0)),('Construction Budget'!$G45+SUM($G189:BA189))/ROUND(((EOMONTH('Construction Budget'!$M45,0)-EOMONTH(BB$11,0))/30)+1,0),0)</f>
        <v>0</v>
      </c>
      <c r="BC189" s="427">
        <f>-IF(AND(BC$11&gt;=EOMONTH('Construction Budget'!$K45,0),BC$11&lt;=EOMONTH('Construction Budget'!$M45,0)),('Construction Budget'!$G45+SUM($G189:BB189))/ROUND(((EOMONTH('Construction Budget'!$M45,0)-EOMONTH(BC$11,0))/30)+1,0),0)</f>
        <v>0</v>
      </c>
      <c r="BD189" s="427">
        <f>-IF(AND(BD$11&gt;=EOMONTH('Construction Budget'!$K45,0),BD$11&lt;=EOMONTH('Construction Budget'!$M45,0)),('Construction Budget'!$G45+SUM($G189:BC189))/ROUND(((EOMONTH('Construction Budget'!$M45,0)-EOMONTH(BD$11,0))/30)+1,0),0)</f>
        <v>0</v>
      </c>
      <c r="BE189" s="427">
        <f>-IF(AND(BE$11&gt;=EOMONTH('Construction Budget'!$K45,0),BE$11&lt;=EOMONTH('Construction Budget'!$M45,0)),('Construction Budget'!$G45+SUM($G189:BD189))/ROUND(((EOMONTH('Construction Budget'!$M45,0)-EOMONTH(BE$11,0))/30)+1,0),0)</f>
        <v>0</v>
      </c>
      <c r="BF189" s="427">
        <f>-IF(AND(BF$11&gt;=EOMONTH('Construction Budget'!$K45,0),BF$11&lt;=EOMONTH('Construction Budget'!$M45,0)),('Construction Budget'!$G45+SUM($G189:BE189))/ROUND(((EOMONTH('Construction Budget'!$M45,0)-EOMONTH(BF$11,0))/30)+1,0),0)</f>
        <v>0</v>
      </c>
      <c r="BG189" s="427">
        <f>-IF(AND(BG$11&gt;=EOMONTH('Construction Budget'!$K45,0),BG$11&lt;=EOMONTH('Construction Budget'!$M45,0)),('Construction Budget'!$G45+SUM($G189:BF189))/ROUND(((EOMONTH('Construction Budget'!$M45,0)-EOMONTH(BG$11,0))/30)+1,0),0)</f>
        <v>0</v>
      </c>
      <c r="BH189" s="427">
        <f>-IF(AND(BH$11&gt;=EOMONTH('Construction Budget'!$K45,0),BH$11&lt;=EOMONTH('Construction Budget'!$M45,0)),('Construction Budget'!$G45+SUM($G189:BG189))/ROUND(((EOMONTH('Construction Budget'!$M45,0)-EOMONTH(BH$11,0))/30)+1,0),0)</f>
        <v>0</v>
      </c>
      <c r="BI189" s="427">
        <f>-IF(AND(BI$11&gt;=EOMONTH('Construction Budget'!$K45,0),BI$11&lt;=EOMONTH('Construction Budget'!$M45,0)),('Construction Budget'!$G45+SUM($G189:BH189))/ROUND(((EOMONTH('Construction Budget'!$M45,0)-EOMONTH(BI$11,0))/30)+1,0),0)</f>
        <v>0</v>
      </c>
      <c r="BJ189" s="427">
        <f>-IF(AND(BJ$11&gt;=EOMONTH('Construction Budget'!$K45,0),BJ$11&lt;=EOMONTH('Construction Budget'!$M45,0)),('Construction Budget'!$G45+SUM($G189:BI189))/ROUND(((EOMONTH('Construction Budget'!$M45,0)-EOMONTH(BJ$11,0))/30)+1,0),0)</f>
        <v>0</v>
      </c>
      <c r="BK189" s="427">
        <f>-IF(AND(BK$11&gt;=EOMONTH('Construction Budget'!$K45,0),BK$11&lt;=EOMONTH('Construction Budget'!$M45,0)),('Construction Budget'!$G45+SUM($G189:BJ189))/ROUND(((EOMONTH('Construction Budget'!$M45,0)-EOMONTH(BK$11,0))/30)+1,0),0)</f>
        <v>0</v>
      </c>
      <c r="BL189" s="427">
        <f>-IF(AND(BL$11&gt;=EOMONTH('Construction Budget'!$K45,0),BL$11&lt;=EOMONTH('Construction Budget'!$M45,0)),('Construction Budget'!$G45+SUM($G189:BK189))/ROUND(((EOMONTH('Construction Budget'!$M45,0)-EOMONTH(BL$11,0))/30)+1,0),0)</f>
        <v>0</v>
      </c>
      <c r="BM189" s="427">
        <f>-IF(AND(BM$11&gt;=EOMONTH('Construction Budget'!$K45,0),BM$11&lt;=EOMONTH('Construction Budget'!$M45,0)),('Construction Budget'!$G45+SUM($G189:BL189))/ROUND(((EOMONTH('Construction Budget'!$M45,0)-EOMONTH(BM$11,0))/30)+1,0),0)</f>
        <v>0</v>
      </c>
      <c r="BN189" s="427">
        <f>-IF(AND(BN$11&gt;=EOMONTH('Construction Budget'!$K45,0),BN$11&lt;=EOMONTH('Construction Budget'!$M45,0)),('Construction Budget'!$G45+SUM($G189:BM189))/ROUND(((EOMONTH('Construction Budget'!$M45,0)-EOMONTH(BN$11,0))/30)+1,0),0)</f>
        <v>0</v>
      </c>
      <c r="BO189" s="427">
        <f>-IF(AND(BO$11&gt;=EOMONTH('Construction Budget'!$K45,0),BO$11&lt;=EOMONTH('Construction Budget'!$M45,0)),('Construction Budget'!$G45+SUM($G189:BN189))/ROUND(((EOMONTH('Construction Budget'!$M45,0)-EOMONTH(BO$11,0))/30)+1,0),0)</f>
        <v>0</v>
      </c>
      <c r="BP189" s="427">
        <f>-IF(AND(BP$11&gt;=EOMONTH('Construction Budget'!$K45,0),BP$11&lt;=EOMONTH('Construction Budget'!$M45,0)),('Construction Budget'!$G45+SUM($G189:BO189))/ROUND(((EOMONTH('Construction Budget'!$M45,0)-EOMONTH(BP$11,0))/30)+1,0),0)</f>
        <v>0</v>
      </c>
      <c r="BQ189" s="427">
        <f>-IF(AND(BQ$11&gt;=EOMONTH('Construction Budget'!$K45,0),BQ$11&lt;=EOMONTH('Construction Budget'!$M45,0)),('Construction Budget'!$G45+SUM($G189:BP189))/ROUND(((EOMONTH('Construction Budget'!$M45,0)-EOMONTH(BQ$11,0))/30)+1,0),0)</f>
        <v>0</v>
      </c>
      <c r="BR189" s="427">
        <f>-IF(AND(BR$11&gt;=EOMONTH('Construction Budget'!$K45,0),BR$11&lt;=EOMONTH('Construction Budget'!$M45,0)),('Construction Budget'!$G45+SUM($G189:BQ189))/ROUND(((EOMONTH('Construction Budget'!$M45,0)-EOMONTH(BR$11,0))/30)+1,0),0)</f>
        <v>0</v>
      </c>
      <c r="BS189" s="427">
        <f>-IF(AND(BS$11&gt;=EOMONTH('Construction Budget'!$K45,0),BS$11&lt;=EOMONTH('Construction Budget'!$M45,0)),('Construction Budget'!$G45+SUM($G189:BR189))/ROUND(((EOMONTH('Construction Budget'!$M45,0)-EOMONTH(BS$11,0))/30)+1,0),0)</f>
        <v>0</v>
      </c>
      <c r="BT189" s="427">
        <f>-IF(AND(BT$11&gt;=EOMONTH('Construction Budget'!$K45,0),BT$11&lt;=EOMONTH('Construction Budget'!$M45,0)),('Construction Budget'!$G45+SUM($G189:BS189))/ROUND(((EOMONTH('Construction Budget'!$M45,0)-EOMONTH(BT$11,0))/30)+1,0),0)</f>
        <v>0</v>
      </c>
      <c r="BU189" s="427">
        <f>-IF(AND(BU$11&gt;=EOMONTH('Construction Budget'!$K45,0),BU$11&lt;=EOMONTH('Construction Budget'!$M45,0)),('Construction Budget'!$G45+SUM($G189:BT189))/ROUND(((EOMONTH('Construction Budget'!$M45,0)-EOMONTH(BU$11,0))/30)+1,0),0)</f>
        <v>0</v>
      </c>
      <c r="BV189" s="427">
        <f>-IF(AND(BV$11&gt;=EOMONTH('Construction Budget'!$K45,0),BV$11&lt;=EOMONTH('Construction Budget'!$M45,0)),('Construction Budget'!$G45+SUM($G189:BU189))/ROUND(((EOMONTH('Construction Budget'!$M45,0)-EOMONTH(BV$11,0))/30)+1,0),0)</f>
        <v>0</v>
      </c>
      <c r="BW189" s="427">
        <f>-IF(AND(BW$11&gt;=EOMONTH('Construction Budget'!$K45,0),BW$11&lt;=EOMONTH('Construction Budget'!$M45,0)),('Construction Budget'!$G45+SUM($G189:BV189))/ROUND(((EOMONTH('Construction Budget'!$M45,0)-EOMONTH(BW$11,0))/30)+1,0),0)</f>
        <v>0</v>
      </c>
      <c r="BX189" s="427">
        <f>-IF(AND(BX$11&gt;=EOMONTH('Construction Budget'!$K45,0),BX$11&lt;=EOMONTH('Construction Budget'!$M45,0)),('Construction Budget'!$G45+SUM($G189:BW189))/ROUND(((EOMONTH('Construction Budget'!$M45,0)-EOMONTH(BX$11,0))/30)+1,0),0)</f>
        <v>0</v>
      </c>
      <c r="BY189" s="427">
        <f>-IF(AND(BY$11&gt;=EOMONTH('Construction Budget'!$K45,0),BY$11&lt;=EOMONTH('Construction Budget'!$M45,0)),('Construction Budget'!$G45+SUM($G189:BX189))/ROUND(((EOMONTH('Construction Budget'!$M45,0)-EOMONTH(BY$11,0))/30)+1,0),0)</f>
        <v>0</v>
      </c>
      <c r="BZ189" s="427">
        <f>-IF(AND(BZ$11&gt;=EOMONTH('Construction Budget'!$K45,0),BZ$11&lt;=EOMONTH('Construction Budget'!$M45,0)),('Construction Budget'!$G45+SUM($G189:BY189))/ROUND(((EOMONTH('Construction Budget'!$M45,0)-EOMONTH(BZ$11,0))/30)+1,0),0)</f>
        <v>0</v>
      </c>
      <c r="CA189" s="427">
        <f>-IF(AND(CA$11&gt;=EOMONTH('Construction Budget'!$K45,0),CA$11&lt;=EOMONTH('Construction Budget'!$M45,0)),('Construction Budget'!$G45+SUM($G189:BZ189))/ROUND(((EOMONTH('Construction Budget'!$M45,0)-EOMONTH(CA$11,0))/30)+1,0),0)</f>
        <v>0</v>
      </c>
      <c r="CB189" s="427">
        <f>-IF(AND(CB$11&gt;=EOMONTH('Construction Budget'!$K45,0),CB$11&lt;=EOMONTH('Construction Budget'!$M45,0)),('Construction Budget'!$G45+SUM($G189:CA189))/ROUND(((EOMONTH('Construction Budget'!$M45,0)-EOMONTH(CB$11,0))/30)+1,0),0)</f>
        <v>0</v>
      </c>
      <c r="CC189" s="427">
        <f>-IF(AND(CC$11&gt;=EOMONTH('Construction Budget'!$K45,0),CC$11&lt;=EOMONTH('Construction Budget'!$M45,0)),('Construction Budget'!$G45+SUM($G189:CB189))/ROUND(((EOMONTH('Construction Budget'!$M45,0)-EOMONTH(CC$11,0))/30)+1,0),0)</f>
        <v>0</v>
      </c>
      <c r="CD189" s="427">
        <f>-IF(AND(CD$11&gt;=EOMONTH('Construction Budget'!$K45,0),CD$11&lt;=EOMONTH('Construction Budget'!$M45,0)),('Construction Budget'!$G45+SUM($G189:CC189))/ROUND(((EOMONTH('Construction Budget'!$M45,0)-EOMONTH(CD$11,0))/30)+1,0),0)</f>
        <v>0</v>
      </c>
      <c r="CE189" s="427">
        <f>-IF(AND(CE$11&gt;=EOMONTH('Construction Budget'!$K45,0),CE$11&lt;=EOMONTH('Construction Budget'!$M45,0)),('Construction Budget'!$G45+SUM($G189:CD189))/ROUND(((EOMONTH('Construction Budget'!$M45,0)-EOMONTH(CE$11,0))/30)+1,0),0)</f>
        <v>0</v>
      </c>
      <c r="CF189" s="427">
        <f>-IF(AND(CF$11&gt;=EOMONTH('Construction Budget'!$K45,0),CF$11&lt;=EOMONTH('Construction Budget'!$M45,0)),('Construction Budget'!$G45+SUM($G189:CE189))/ROUND(((EOMONTH('Construction Budget'!$M45,0)-EOMONTH(CF$11,0))/30)+1,0),0)</f>
        <v>0</v>
      </c>
      <c r="CG189" s="427">
        <f>-IF(AND(CG$11&gt;=EOMONTH('Construction Budget'!$K45,0),CG$11&lt;=EOMONTH('Construction Budget'!$M45,0)),('Construction Budget'!$G45+SUM($G189:CF189))/ROUND(((EOMONTH('Construction Budget'!$M45,0)-EOMONTH(CG$11,0))/30)+1,0),0)</f>
        <v>0</v>
      </c>
      <c r="CH189" s="427">
        <f>-IF(AND(CH$11&gt;=EOMONTH('Construction Budget'!$K45,0),CH$11&lt;=EOMONTH('Construction Budget'!$M45,0)),('Construction Budget'!$G45+SUM($G189:CG189))/ROUND(((EOMONTH('Construction Budget'!$M45,0)-EOMONTH(CH$11,0))/30)+1,0),0)</f>
        <v>0</v>
      </c>
      <c r="CI189" s="427">
        <f>-IF(AND(CI$11&gt;=EOMONTH('Construction Budget'!$K45,0),CI$11&lt;=EOMONTH('Construction Budget'!$M45,0)),('Construction Budget'!$G45+SUM($G189:CH189))/ROUND(((EOMONTH('Construction Budget'!$M45,0)-EOMONTH(CI$11,0))/30)+1,0),0)</f>
        <v>0</v>
      </c>
      <c r="CJ189" s="427">
        <f>-IF(AND(CJ$11&gt;=EOMONTH('Construction Budget'!$K45,0),CJ$11&lt;=EOMONTH('Construction Budget'!$M45,0)),('Construction Budget'!$G45+SUM($G189:CI189))/ROUND(((EOMONTH('Construction Budget'!$M45,0)-EOMONTH(CJ$11,0))/30)+1,0),0)</f>
        <v>0</v>
      </c>
      <c r="CK189" s="427">
        <f>-IF(AND(CK$11&gt;=EOMONTH('Construction Budget'!$K45,0),CK$11&lt;=EOMONTH('Construction Budget'!$M45,0)),('Construction Budget'!$G45+SUM($G189:CJ189))/ROUND(((EOMONTH('Construction Budget'!$M45,0)-EOMONTH(CK$11,0))/30)+1,0),0)</f>
        <v>0</v>
      </c>
      <c r="CL189" s="427">
        <f>-IF(AND(CL$11&gt;=EOMONTH('Construction Budget'!$K45,0),CL$11&lt;=EOMONTH('Construction Budget'!$M45,0)),('Construction Budget'!$G45+SUM($G189:CK189))/ROUND(((EOMONTH('Construction Budget'!$M45,0)-EOMONTH(CL$11,0))/30)+1,0),0)</f>
        <v>0</v>
      </c>
      <c r="CM189" s="427">
        <f>-IF(AND(CM$11&gt;=EOMONTH('Construction Budget'!$K45,0),CM$11&lt;=EOMONTH('Construction Budget'!$M45,0)),('Construction Budget'!$G45+SUM($G189:CL189))/ROUND(((EOMONTH('Construction Budget'!$M45,0)-EOMONTH(CM$11,0))/30)+1,0),0)</f>
        <v>0</v>
      </c>
      <c r="CN189" s="427">
        <f>-IF(AND(CN$11&gt;=EOMONTH('Construction Budget'!$K45,0),CN$11&lt;=EOMONTH('Construction Budget'!$M45,0)),('Construction Budget'!$G45+SUM($G189:CM189))/ROUND(((EOMONTH('Construction Budget'!$M45,0)-EOMONTH(CN$11,0))/30)+1,0),0)</f>
        <v>0</v>
      </c>
      <c r="CO189" s="427">
        <f>-IF(AND(CO$11&gt;=EOMONTH('Construction Budget'!$K45,0),CO$11&lt;=EOMONTH('Construction Budget'!$M45,0)),('Construction Budget'!$G45+SUM($G189:CN189))/ROUND(((EOMONTH('Construction Budget'!$M45,0)-EOMONTH(CO$11,0))/30)+1,0),0)</f>
        <v>0</v>
      </c>
      <c r="CP189" s="427">
        <f>-IF(AND(CP$11&gt;=EOMONTH('Construction Budget'!$K45,0),CP$11&lt;=EOMONTH('Construction Budget'!$M45,0)),('Construction Budget'!$G45+SUM($G189:CO189))/ROUND(((EOMONTH('Construction Budget'!$M45,0)-EOMONTH(CP$11,0))/30)+1,0),0)</f>
        <v>0</v>
      </c>
      <c r="CQ189" s="427">
        <f>-IF(AND(CQ$11&gt;=EOMONTH('Construction Budget'!$K45,0),CQ$11&lt;=EOMONTH('Construction Budget'!$M45,0)),('Construction Budget'!$G45+SUM($G189:CP189))/ROUND(((EOMONTH('Construction Budget'!$M45,0)-EOMONTH(CQ$11,0))/30)+1,0),0)</f>
        <v>0</v>
      </c>
      <c r="CR189" s="427">
        <f>-IF(AND(CR$11&gt;=EOMONTH('Construction Budget'!$K45,0),CR$11&lt;=EOMONTH('Construction Budget'!$M45,0)),('Construction Budget'!$G45+SUM($G189:CQ189))/ROUND(((EOMONTH('Construction Budget'!$M45,0)-EOMONTH(CR$11,0))/30)+1,0),0)</f>
        <v>0</v>
      </c>
      <c r="CS189" s="427">
        <f>-IF(AND(CS$11&gt;=EOMONTH('Construction Budget'!$K45,0),CS$11&lt;=EOMONTH('Construction Budget'!$M45,0)),('Construction Budget'!$G45+SUM($G189:CR189))/ROUND(((EOMONTH('Construction Budget'!$M45,0)-EOMONTH(CS$11,0))/30)+1,0),0)</f>
        <v>0</v>
      </c>
      <c r="CT189" s="427">
        <f>-IF(AND(CT$11&gt;=EOMONTH('Construction Budget'!$K45,0),CT$11&lt;=EOMONTH('Construction Budget'!$M45,0)),('Construction Budget'!$G45+SUM($G189:CS189))/ROUND(((EOMONTH('Construction Budget'!$M45,0)-EOMONTH(CT$11,0))/30)+1,0),0)</f>
        <v>0</v>
      </c>
      <c r="CU189" s="427">
        <f>-IF(AND(CU$11&gt;=EOMONTH('Construction Budget'!$K45,0),CU$11&lt;=EOMONTH('Construction Budget'!$M45,0)),('Construction Budget'!$G45+SUM($G189:CT189))/ROUND(((EOMONTH('Construction Budget'!$M45,0)-EOMONTH(CU$11,0))/30)+1,0),0)</f>
        <v>0</v>
      </c>
      <c r="CV189" s="427">
        <f>-IF(AND(CV$11&gt;=EOMONTH('Construction Budget'!$K45,0),CV$11&lt;=EOMONTH('Construction Budget'!$M45,0)),('Construction Budget'!$G45+SUM($G189:CU189))/ROUND(((EOMONTH('Construction Budget'!$M45,0)-EOMONTH(CV$11,0))/30)+1,0),0)</f>
        <v>0</v>
      </c>
      <c r="CW189" s="427">
        <f>-IF(AND(CW$11&gt;=EOMONTH('Construction Budget'!$K45,0),CW$11&lt;=EOMONTH('Construction Budget'!$M45,0)),('Construction Budget'!$G45+SUM($G189:CV189))/ROUND(((EOMONTH('Construction Budget'!$M45,0)-EOMONTH(CW$11,0))/30)+1,0),0)</f>
        <v>0</v>
      </c>
      <c r="CX189" s="427">
        <f>-IF(AND(CX$11&gt;=EOMONTH('Construction Budget'!$K45,0),CX$11&lt;=EOMONTH('Construction Budget'!$M45,0)),('Construction Budget'!$G45+SUM($G189:CW189))/ROUND(((EOMONTH('Construction Budget'!$M45,0)-EOMONTH(CX$11,0))/30)+1,0),0)</f>
        <v>0</v>
      </c>
      <c r="CY189" s="427">
        <f>-IF(AND(CY$11&gt;=EOMONTH('Construction Budget'!$K45,0),CY$11&lt;=EOMONTH('Construction Budget'!$M45,0)),('Construction Budget'!$G45+SUM($G189:CX189))/ROUND(((EOMONTH('Construction Budget'!$M45,0)-EOMONTH(CY$11,0))/30)+1,0),0)</f>
        <v>0</v>
      </c>
      <c r="CZ189" s="427">
        <f>-IF(AND(CZ$11&gt;=EOMONTH('Construction Budget'!$K45,0),CZ$11&lt;=EOMONTH('Construction Budget'!$M45,0)),('Construction Budget'!$G45+SUM($G189:CY189))/ROUND(((EOMONTH('Construction Budget'!$M45,0)-EOMONTH(CZ$11,0))/30)+1,0),0)</f>
        <v>0</v>
      </c>
      <c r="DA189" s="427">
        <f>-IF(AND(DA$11&gt;=EOMONTH('Construction Budget'!$K45,0),DA$11&lt;=EOMONTH('Construction Budget'!$M45,0)),('Construction Budget'!$G45+SUM($G189:CZ189))/ROUND(((EOMONTH('Construction Budget'!$M45,0)-EOMONTH(DA$11,0))/30)+1,0),0)</f>
        <v>0</v>
      </c>
      <c r="DB189" s="427">
        <f>-IF(AND(DB$11&gt;=EOMONTH('Construction Budget'!$K45,0),DB$11&lt;=EOMONTH('Construction Budget'!$M45,0)),('Construction Budget'!$G45+SUM($G189:DA189))/ROUND(((EOMONTH('Construction Budget'!$M45,0)-EOMONTH(DB$11,0))/30)+1,0),0)</f>
        <v>0</v>
      </c>
      <c r="DC189" s="427">
        <f>-IF(AND(DC$11&gt;=EOMONTH('Construction Budget'!$K45,0),DC$11&lt;=EOMONTH('Construction Budget'!$M45,0)),('Construction Budget'!$G45+SUM($G189:DB189))/ROUND(((EOMONTH('Construction Budget'!$M45,0)-EOMONTH(DC$11,0))/30)+1,0),0)</f>
        <v>0</v>
      </c>
      <c r="DD189" s="427">
        <f>-IF(AND(DD$11&gt;=EOMONTH('Construction Budget'!$K45,0),DD$11&lt;=EOMONTH('Construction Budget'!$M45,0)),('Construction Budget'!$G45+SUM($G189:DC189))/ROUND(((EOMONTH('Construction Budget'!$M45,0)-EOMONTH(DD$11,0))/30)+1,0),0)</f>
        <v>0</v>
      </c>
      <c r="DE189" s="427">
        <f>-IF(AND(DE$11&gt;=EOMONTH('Construction Budget'!$K45,0),DE$11&lt;=EOMONTH('Construction Budget'!$M45,0)),('Construction Budget'!$G45+SUM($G189:DD189))/ROUND(((EOMONTH('Construction Budget'!$M45,0)-EOMONTH(DE$11,0))/30)+1,0),0)</f>
        <v>0</v>
      </c>
      <c r="DF189" s="427">
        <f>-IF(AND(DF$11&gt;=EOMONTH('Construction Budget'!$K45,0),DF$11&lt;=EOMONTH('Construction Budget'!$M45,0)),('Construction Budget'!$G45+SUM($G189:DE189))/ROUND(((EOMONTH('Construction Budget'!$M45,0)-EOMONTH(DF$11,0))/30)+1,0),0)</f>
        <v>0</v>
      </c>
      <c r="DG189" s="427">
        <f>-IF(AND(DG$11&gt;=EOMONTH('Construction Budget'!$K45,0),DG$11&lt;=EOMONTH('Construction Budget'!$M45,0)),('Construction Budget'!$G45+SUM($G189:DF189))/ROUND(((EOMONTH('Construction Budget'!$M45,0)-EOMONTH(DG$11,0))/30)+1,0),0)</f>
        <v>0</v>
      </c>
      <c r="DH189" s="427">
        <f>-IF(AND(DH$11&gt;=EOMONTH('Construction Budget'!$K45,0),DH$11&lt;=EOMONTH('Construction Budget'!$M45,0)),('Construction Budget'!$G45+SUM($G189:DG189))/ROUND(((EOMONTH('Construction Budget'!$M45,0)-EOMONTH(DH$11,0))/30)+1,0),0)</f>
        <v>0</v>
      </c>
      <c r="DI189" s="427">
        <f>-IF(AND(DI$11&gt;=EOMONTH('Construction Budget'!$K45,0),DI$11&lt;=EOMONTH('Construction Budget'!$M45,0)),('Construction Budget'!$G45+SUM($G189:DH189))/ROUND(((EOMONTH('Construction Budget'!$M45,0)-EOMONTH(DI$11,0))/30)+1,0),0)</f>
        <v>0</v>
      </c>
      <c r="DJ189" s="427">
        <f>-IF(AND(DJ$11&gt;=EOMONTH('Construction Budget'!$K45,0),DJ$11&lt;=EOMONTH('Construction Budget'!$M45,0)),('Construction Budget'!$G45+SUM($G189:DI189))/ROUND(((EOMONTH('Construction Budget'!$M45,0)-EOMONTH(DJ$11,0))/30)+1,0),0)</f>
        <v>0</v>
      </c>
      <c r="DK189" s="427">
        <f>-IF(AND(DK$11&gt;=EOMONTH('Construction Budget'!$K45,0),DK$11&lt;=EOMONTH('Construction Budget'!$M45,0)),('Construction Budget'!$G45+SUM($G189:DJ189))/ROUND(((EOMONTH('Construction Budget'!$M45,0)-EOMONTH(DK$11,0))/30)+1,0),0)</f>
        <v>0</v>
      </c>
      <c r="DL189" s="427">
        <f>-IF(AND(DL$11&gt;=EOMONTH('Construction Budget'!$K45,0),DL$11&lt;=EOMONTH('Construction Budget'!$M45,0)),('Construction Budget'!$G45+SUM($G189:DK189))/ROUND(((EOMONTH('Construction Budget'!$M45,0)-EOMONTH(DL$11,0))/30)+1,0),0)</f>
        <v>0</v>
      </c>
      <c r="DM189" s="427">
        <f>-IF(AND(DM$11&gt;=EOMONTH('Construction Budget'!$K45,0),DM$11&lt;=EOMONTH('Construction Budget'!$M45,0)),('Construction Budget'!$G45+SUM($G189:DL189))/ROUND(((EOMONTH('Construction Budget'!$M45,0)-EOMONTH(DM$11,0))/30)+1,0),0)</f>
        <v>0</v>
      </c>
      <c r="DN189" s="427">
        <f>-IF(AND(DN$11&gt;=EOMONTH('Construction Budget'!$K45,0),DN$11&lt;=EOMONTH('Construction Budget'!$M45,0)),('Construction Budget'!$G45+SUM($G189:DM189))/ROUND(((EOMONTH('Construction Budget'!$M45,0)-EOMONTH(DN$11,0))/30)+1,0),0)</f>
        <v>0</v>
      </c>
      <c r="DO189" s="427">
        <f>-IF(AND(DO$11&gt;=EOMONTH('Construction Budget'!$K45,0),DO$11&lt;=EOMONTH('Construction Budget'!$M45,0)),('Construction Budget'!$G45+SUM($G189:DN189))/ROUND(((EOMONTH('Construction Budget'!$M45,0)-EOMONTH(DO$11,0))/30)+1,0),0)</f>
        <v>0</v>
      </c>
      <c r="DP189" s="427">
        <f>-IF(AND(DP$11&gt;=EOMONTH('Construction Budget'!$K45,0),DP$11&lt;=EOMONTH('Construction Budget'!$M45,0)),('Construction Budget'!$G45+SUM($G189:DO189))/ROUND(((EOMONTH('Construction Budget'!$M45,0)-EOMONTH(DP$11,0))/30)+1,0),0)</f>
        <v>0</v>
      </c>
      <c r="DQ189" s="427">
        <f>-IF(AND(DQ$11&gt;=EOMONTH('Construction Budget'!$K45,0),DQ$11&lt;=EOMONTH('Construction Budget'!$M45,0)),('Construction Budget'!$G45+SUM($G189:DP189))/ROUND(((EOMONTH('Construction Budget'!$M45,0)-EOMONTH(DQ$11,0))/30)+1,0),0)</f>
        <v>0</v>
      </c>
      <c r="DR189" s="427">
        <f>-IF(AND(DR$11&gt;=EOMONTH('Construction Budget'!$K45,0),DR$11&lt;=EOMONTH('Construction Budget'!$M45,0)),('Construction Budget'!$G45+SUM($G189:DQ189))/ROUND(((EOMONTH('Construction Budget'!$M45,0)-EOMONTH(DR$11,0))/30)+1,0),0)</f>
        <v>0</v>
      </c>
      <c r="DS189" s="427">
        <f>-IF(AND(DS$11&gt;=EOMONTH('Construction Budget'!$K45,0),DS$11&lt;=EOMONTH('Construction Budget'!$M45,0)),('Construction Budget'!$G45+SUM($G189:DR189))/ROUND(((EOMONTH('Construction Budget'!$M45,0)-EOMONTH(DS$11,0))/30)+1,0),0)</f>
        <v>0</v>
      </c>
      <c r="DT189" s="427">
        <f>-IF(AND(DT$11&gt;=EOMONTH('Construction Budget'!$K45,0),DT$11&lt;=EOMONTH('Construction Budget'!$M45,0)),('Construction Budget'!$G45+SUM($G189:DS189))/ROUND(((EOMONTH('Construction Budget'!$M45,0)-EOMONTH(DT$11,0))/30)+1,0),0)</f>
        <v>0</v>
      </c>
      <c r="DU189" s="427">
        <f>-IF(AND(DU$11&gt;=EOMONTH('Construction Budget'!$K45,0),DU$11&lt;=EOMONTH('Construction Budget'!$M45,0)),('Construction Budget'!$G45+SUM($G189:DT189))/ROUND(((EOMONTH('Construction Budget'!$M45,0)-EOMONTH(DU$11,0))/30)+1,0),0)</f>
        <v>0</v>
      </c>
      <c r="DV189" s="427">
        <f>-IF(AND(DV$11&gt;=EOMONTH('Construction Budget'!$K45,0),DV$11&lt;=EOMONTH('Construction Budget'!$M45,0)),('Construction Budget'!$G45+SUM($G189:DU189))/ROUND(((EOMONTH('Construction Budget'!$M45,0)-EOMONTH(DV$11,0))/30)+1,0),0)</f>
        <v>0</v>
      </c>
      <c r="DW189" s="427">
        <f>-IF(AND(DW$11&gt;=EOMONTH('Construction Budget'!$K45,0),DW$11&lt;=EOMONTH('Construction Budget'!$M45,0)),('Construction Budget'!$G45+SUM($G189:DV189))/ROUND(((EOMONTH('Construction Budget'!$M45,0)-EOMONTH(DW$11,0))/30)+1,0),0)</f>
        <v>0</v>
      </c>
      <c r="DX189" s="427">
        <f>-IF(AND(DX$11&gt;=EOMONTH('Construction Budget'!$K45,0),DX$11&lt;=EOMONTH('Construction Budget'!$M45,0)),('Construction Budget'!$G45+SUM($G189:DW189))/ROUND(((EOMONTH('Construction Budget'!$M45,0)-EOMONTH(DX$11,0))/30)+1,0),0)</f>
        <v>0</v>
      </c>
      <c r="DY189" s="427">
        <f>-IF(AND(DY$11&gt;=EOMONTH('Construction Budget'!$K45,0),DY$11&lt;=EOMONTH('Construction Budget'!$M45,0)),('Construction Budget'!$G45+SUM($G189:DX189))/ROUND(((EOMONTH('Construction Budget'!$M45,0)-EOMONTH(DY$11,0))/30)+1,0),0)</f>
        <v>0</v>
      </c>
      <c r="DZ189" s="427">
        <f>-IF(AND(DZ$11&gt;=EOMONTH('Construction Budget'!$K45,0),DZ$11&lt;=EOMONTH('Construction Budget'!$M45,0)),('Construction Budget'!$G45+SUM($G189:DY189))/ROUND(((EOMONTH('Construction Budget'!$M45,0)-EOMONTH(DZ$11,0))/30)+1,0),0)</f>
        <v>0</v>
      </c>
      <c r="EA189" s="427">
        <f>-IF(AND(EA$11&gt;=EOMONTH('Construction Budget'!$K45,0),EA$11&lt;=EOMONTH('Construction Budget'!$M45,0)),('Construction Budget'!$G45+SUM($G189:DZ189))/ROUND(((EOMONTH('Construction Budget'!$M45,0)-EOMONTH(EA$11,0))/30)+1,0),0)</f>
        <v>0</v>
      </c>
      <c r="EB189" s="427">
        <f>-IF(AND(EB$11&gt;=EOMONTH('Construction Budget'!$K45,0),EB$11&lt;=EOMONTH('Construction Budget'!$M45,0)),('Construction Budget'!$G45+SUM($G189:EA189))/ROUND(((EOMONTH('Construction Budget'!$M45,0)-EOMONTH(EB$11,0))/30)+1,0),0)</f>
        <v>0</v>
      </c>
      <c r="EC189" s="427">
        <f>-IF(AND(EC$11&gt;=EOMONTH('Construction Budget'!$K45,0),EC$11&lt;=EOMONTH('Construction Budget'!$M45,0)),('Construction Budget'!$G45+SUM($G189:EB189))/ROUND(((EOMONTH('Construction Budget'!$M45,0)-EOMONTH(EC$11,0))/30)+1,0),0)</f>
        <v>0</v>
      </c>
      <c r="ED189" s="427">
        <f>-IF(AND(ED$11&gt;=EOMONTH('Construction Budget'!$K45,0),ED$11&lt;=EOMONTH('Construction Budget'!$M45,0)),('Construction Budget'!$G45+SUM($G189:EC189))/ROUND(((EOMONTH('Construction Budget'!$M45,0)-EOMONTH(ED$11,0))/30)+1,0),0)</f>
        <v>0</v>
      </c>
      <c r="EE189" s="427">
        <f>-IF(AND(EE$11&gt;=EOMONTH('Construction Budget'!$K45,0),EE$11&lt;=EOMONTH('Construction Budget'!$M45,0)),('Construction Budget'!$G45+SUM($G189:ED189))/ROUND(((EOMONTH('Construction Budget'!$M45,0)-EOMONTH(EE$11,0))/30)+1,0),0)</f>
        <v>0</v>
      </c>
      <c r="EF189" s="427">
        <f>-IF(AND(EF$11&gt;=EOMONTH('Construction Budget'!$K45,0),EF$11&lt;=EOMONTH('Construction Budget'!$M45,0)),('Construction Budget'!$G45+SUM($G189:EE189))/ROUND(((EOMONTH('Construction Budget'!$M45,0)-EOMONTH(EF$11,0))/30)+1,0),0)</f>
        <v>0</v>
      </c>
      <c r="EG189" s="427">
        <f>-IF(AND(EG$11&gt;=EOMONTH('Construction Budget'!$K45,0),EG$11&lt;=EOMONTH('Construction Budget'!$M45,0)),('Construction Budget'!$G45+SUM($G189:EF189))/ROUND(((EOMONTH('Construction Budget'!$M45,0)-EOMONTH(EG$11,0))/30)+1,0),0)</f>
        <v>0</v>
      </c>
      <c r="EH189" s="427">
        <f>-IF(AND(EH$11&gt;=EOMONTH('Construction Budget'!$K45,0),EH$11&lt;=EOMONTH('Construction Budget'!$M45,0)),('Construction Budget'!$G45+SUM($G189:EG189))/ROUND(((EOMONTH('Construction Budget'!$M45,0)-EOMONTH(EH$11,0))/30)+1,0),0)</f>
        <v>0</v>
      </c>
      <c r="EI189" s="427">
        <f>-IF(AND(EI$11&gt;=EOMONTH('Construction Budget'!$K45,0),EI$11&lt;=EOMONTH('Construction Budget'!$M45,0)),('Construction Budget'!$G45+SUM($G189:EH189))/ROUND(((EOMONTH('Construction Budget'!$M45,0)-EOMONTH(EI$11,0))/30)+1,0),0)</f>
        <v>0</v>
      </c>
      <c r="EJ189" s="427">
        <f>-IF(AND(EJ$11&gt;=EOMONTH('Construction Budget'!$K45,0),EJ$11&lt;=EOMONTH('Construction Budget'!$M45,0)),('Construction Budget'!$G45+SUM($G189:EI189))/ROUND(((EOMONTH('Construction Budget'!$M45,0)-EOMONTH(EJ$11,0))/30)+1,0),0)</f>
        <v>0</v>
      </c>
      <c r="EK189" s="427">
        <f>-IF(AND(EK$11&gt;=EOMONTH('Construction Budget'!$K45,0),EK$11&lt;=EOMONTH('Construction Budget'!$M45,0)),('Construction Budget'!$G45+SUM($G189:EJ189))/ROUND(((EOMONTH('Construction Budget'!$M45,0)-EOMONTH(EK$11,0))/30)+1,0),0)</f>
        <v>0</v>
      </c>
      <c r="EL189" s="427">
        <f>-IF(AND(EL$11&gt;=EOMONTH('Construction Budget'!$K45,0),EL$11&lt;=EOMONTH('Construction Budget'!$M45,0)),('Construction Budget'!$G45+SUM($G189:EK189))/ROUND(((EOMONTH('Construction Budget'!$M45,0)-EOMONTH(EL$11,0))/30)+1,0),0)</f>
        <v>0</v>
      </c>
      <c r="EM189" s="427">
        <f>-IF(AND(EM$11&gt;=EOMONTH('Construction Budget'!$K45,0),EM$11&lt;=EOMONTH('Construction Budget'!$M45,0)),('Construction Budget'!$G45+SUM($G189:EL189))/ROUND(((EOMONTH('Construction Budget'!$M45,0)-EOMONTH(EM$11,0))/30)+1,0),0)</f>
        <v>0</v>
      </c>
      <c r="EN189" s="427">
        <f>-IF(AND(EN$11&gt;=EOMONTH('Construction Budget'!$K45,0),EN$11&lt;=EOMONTH('Construction Budget'!$M45,0)),('Construction Budget'!$G45+SUM($G189:EM189))/ROUND(((EOMONTH('Construction Budget'!$M45,0)-EOMONTH(EN$11,0))/30)+1,0),0)</f>
        <v>0</v>
      </c>
      <c r="EO189" s="427">
        <f>-IF(AND(EO$11&gt;=EOMONTH('Construction Budget'!$K45,0),EO$11&lt;=EOMONTH('Construction Budget'!$M45,0)),('Construction Budget'!$G45+SUM($G189:EN189))/ROUND(((EOMONTH('Construction Budget'!$M45,0)-EOMONTH(EO$11,0))/30)+1,0),0)</f>
        <v>0</v>
      </c>
      <c r="EP189" s="427">
        <f>-IF(AND(EP$11&gt;=EOMONTH('Construction Budget'!$K45,0),EP$11&lt;=EOMONTH('Construction Budget'!$M45,0)),('Construction Budget'!$G45+SUM($G189:EO189))/ROUND(((EOMONTH('Construction Budget'!$M45,0)-EOMONTH(EP$11,0))/30)+1,0),0)</f>
        <v>0</v>
      </c>
      <c r="EQ189" s="427">
        <f>-IF(AND(EQ$11&gt;=EOMONTH('Construction Budget'!$K45,0),EQ$11&lt;=EOMONTH('Construction Budget'!$M45,0)),('Construction Budget'!$G45+SUM($G189:EP189))/ROUND(((EOMONTH('Construction Budget'!$M45,0)-EOMONTH(EQ$11,0))/30)+1,0),0)</f>
        <v>0</v>
      </c>
      <c r="ER189" s="427">
        <f>-IF(AND(ER$11&gt;=EOMONTH('Construction Budget'!$K45,0),ER$11&lt;=EOMONTH('Construction Budget'!$M45,0)),('Construction Budget'!$G45+SUM($G189:EQ189))/ROUND(((EOMONTH('Construction Budget'!$M45,0)-EOMONTH(ER$11,0))/30)+1,0),0)</f>
        <v>0</v>
      </c>
      <c r="ES189" s="427">
        <f>-IF(AND(ES$11&gt;=EOMONTH('Construction Budget'!$K45,0),ES$11&lt;=EOMONTH('Construction Budget'!$M45,0)),('Construction Budget'!$G45+SUM($G189:ER189))/ROUND(((EOMONTH('Construction Budget'!$M45,0)-EOMONTH(ES$11,0))/30)+1,0),0)</f>
        <v>0</v>
      </c>
      <c r="ET189" s="427">
        <f>-IF(AND(ET$11&gt;=EOMONTH('Construction Budget'!$K45,0),ET$11&lt;=EOMONTH('Construction Budget'!$M45,0)),('Construction Budget'!$G45+SUM($G189:ES189))/ROUND(((EOMONTH('Construction Budget'!$M45,0)-EOMONTH(ET$11,0))/30)+1,0),0)</f>
        <v>0</v>
      </c>
      <c r="EU189" s="427">
        <f>-IF(AND(EU$11&gt;=EOMONTH('Construction Budget'!$K45,0),EU$11&lt;=EOMONTH('Construction Budget'!$M45,0)),('Construction Budget'!$G45+SUM($G189:ET189))/ROUND(((EOMONTH('Construction Budget'!$M45,0)-EOMONTH(EU$11,0))/30)+1,0),0)</f>
        <v>0</v>
      </c>
      <c r="EV189" s="427">
        <f>-IF(AND(EV$11&gt;=EOMONTH('Construction Budget'!$K45,0),EV$11&lt;=EOMONTH('Construction Budget'!$M45,0)),('Construction Budget'!$G45+SUM($G189:EU189))/ROUND(((EOMONTH('Construction Budget'!$M45,0)-EOMONTH(EV$11,0))/30)+1,0),0)</f>
        <v>0</v>
      </c>
      <c r="EW189" s="427">
        <f>-IF(AND(EW$11&gt;=EOMONTH('Construction Budget'!$K45,0),EW$11&lt;=EOMONTH('Construction Budget'!$M45,0)),('Construction Budget'!$G45+SUM($G189:EV189))/ROUND(((EOMONTH('Construction Budget'!$M45,0)-EOMONTH(EW$11,0))/30)+1,0),0)</f>
        <v>0</v>
      </c>
      <c r="EX189" s="427">
        <f>-IF(AND(EX$11&gt;=EOMONTH('Construction Budget'!$K45,0),EX$11&lt;=EOMONTH('Construction Budget'!$M45,0)),('Construction Budget'!$G45+SUM($G189:EW189))/ROUND(((EOMONTH('Construction Budget'!$M45,0)-EOMONTH(EX$11,0))/30)+1,0),0)</f>
        <v>0</v>
      </c>
      <c r="EY189" s="427">
        <f>-IF(AND(EY$11&gt;=EOMONTH('Construction Budget'!$K45,0),EY$11&lt;=EOMONTH('Construction Budget'!$M45,0)),('Construction Budget'!$G45+SUM($G189:EX189))/ROUND(((EOMONTH('Construction Budget'!$M45,0)-EOMONTH(EY$11,0))/30)+1,0),0)</f>
        <v>0</v>
      </c>
      <c r="EZ189" s="427">
        <f>-IF(AND(EZ$11&gt;=EOMONTH('Construction Budget'!$K45,0),EZ$11&lt;=EOMONTH('Construction Budget'!$M45,0)),('Construction Budget'!$G45+SUM($G189:EY189))/ROUND(((EOMONTH('Construction Budget'!$M45,0)-EOMONTH(EZ$11,0))/30)+1,0),0)</f>
        <v>0</v>
      </c>
      <c r="FA189" s="427">
        <f>-IF(AND(FA$11&gt;=EOMONTH('Construction Budget'!$K45,0),FA$11&lt;=EOMONTH('Construction Budget'!$M45,0)),('Construction Budget'!$G45+SUM($G189:EZ189))/ROUND(((EOMONTH('Construction Budget'!$M45,0)-EOMONTH(FA$11,0))/30)+1,0),0)</f>
        <v>0</v>
      </c>
      <c r="FB189" s="427">
        <f>-IF(AND(FB$11&gt;=EOMONTH('Construction Budget'!$K45,0),FB$11&lt;=EOMONTH('Construction Budget'!$M45,0)),('Construction Budget'!$G45+SUM($G189:FA189))/ROUND(((EOMONTH('Construction Budget'!$M45,0)-EOMONTH(FB$11,0))/30)+1,0),0)</f>
        <v>0</v>
      </c>
      <c r="FC189" s="427">
        <f>-IF(AND(FC$11&gt;=EOMONTH('Construction Budget'!$K45,0),FC$11&lt;=EOMONTH('Construction Budget'!$M45,0)),('Construction Budget'!$G45+SUM($G189:FB189))/ROUND(((EOMONTH('Construction Budget'!$M45,0)-EOMONTH(FC$11,0))/30)+1,0),0)</f>
        <v>0</v>
      </c>
      <c r="FD189" s="427">
        <f>-IF(AND(FD$11&gt;=EOMONTH('Construction Budget'!$K45,0),FD$11&lt;=EOMONTH('Construction Budget'!$M45,0)),('Construction Budget'!$G45+SUM($G189:FC189))/ROUND(((EOMONTH('Construction Budget'!$M45,0)-EOMONTH(FD$11,0))/30)+1,0),0)</f>
        <v>0</v>
      </c>
      <c r="FE189" s="427">
        <f>-IF(AND(FE$11&gt;=EOMONTH('Construction Budget'!$K45,0),FE$11&lt;=EOMONTH('Construction Budget'!$M45,0)),('Construction Budget'!$G45+SUM($G189:FD189))/ROUND(((EOMONTH('Construction Budget'!$M45,0)-EOMONTH(FE$11,0))/30)+1,0),0)</f>
        <v>0</v>
      </c>
      <c r="FF189" s="427">
        <f>-IF(AND(FF$11&gt;=EOMONTH('Construction Budget'!$K45,0),FF$11&lt;=EOMONTH('Construction Budget'!$M45,0)),('Construction Budget'!$G45+SUM($G189:FE189))/ROUND(((EOMONTH('Construction Budget'!$M45,0)-EOMONTH(FF$11,0))/30)+1,0),0)</f>
        <v>0</v>
      </c>
      <c r="FG189" s="427">
        <f>-IF(AND(FG$11&gt;=EOMONTH('Construction Budget'!$K45,0),FG$11&lt;=EOMONTH('Construction Budget'!$M45,0)),('Construction Budget'!$G45+SUM($G189:FF189))/ROUND(((EOMONTH('Construction Budget'!$M45,0)-EOMONTH(FG$11,0))/30)+1,0),0)</f>
        <v>0</v>
      </c>
      <c r="FH189" s="427">
        <f>-IF(AND(FH$11&gt;=EOMONTH('Construction Budget'!$K45,0),FH$11&lt;=EOMONTH('Construction Budget'!$M45,0)),('Construction Budget'!$G45+SUM($G189:FG189))/ROUND(((EOMONTH('Construction Budget'!$M45,0)-EOMONTH(FH$11,0))/30)+1,0),0)</f>
        <v>0</v>
      </c>
      <c r="FI189" s="427">
        <f>-IF(AND(FI$11&gt;=EOMONTH('Construction Budget'!$K45,0),FI$11&lt;=EOMONTH('Construction Budget'!$M45,0)),('Construction Budget'!$G45+SUM($G189:FH189))/ROUND(((EOMONTH('Construction Budget'!$M45,0)-EOMONTH(FI$11,0))/30)+1,0),0)</f>
        <v>0</v>
      </c>
      <c r="FJ189" s="427">
        <f>-IF(AND(FJ$11&gt;=EOMONTH('Construction Budget'!$K45,0),FJ$11&lt;=EOMONTH('Construction Budget'!$M45,0)),('Construction Budget'!$G45+SUM($G189:FI189))/ROUND(((EOMONTH('Construction Budget'!$M45,0)-EOMONTH(FJ$11,0))/30)+1,0),0)</f>
        <v>0</v>
      </c>
      <c r="FK189" s="427">
        <f>-IF(AND(FK$11&gt;=EOMONTH('Construction Budget'!$K45,0),FK$11&lt;=EOMONTH('Construction Budget'!$M45,0)),('Construction Budget'!$G45+SUM($G189:FJ189))/ROUND(((EOMONTH('Construction Budget'!$M45,0)-EOMONTH(FK$11,0))/30)+1,0),0)</f>
        <v>0</v>
      </c>
      <c r="FL189" s="427">
        <f>-IF(AND(FL$11&gt;=EOMONTH('Construction Budget'!$K45,0),FL$11&lt;=EOMONTH('Construction Budget'!$M45,0)),('Construction Budget'!$G45+SUM($G189:FK189))/ROUND(((EOMONTH('Construction Budget'!$M45,0)-EOMONTH(FL$11,0))/30)+1,0),0)</f>
        <v>0</v>
      </c>
      <c r="FM189" s="427">
        <f>-IF(AND(FM$11&gt;=EOMONTH('Construction Budget'!$K45,0),FM$11&lt;=EOMONTH('Construction Budget'!$M45,0)),('Construction Budget'!$G45+SUM($G189:FL189))/ROUND(((EOMONTH('Construction Budget'!$M45,0)-EOMONTH(FM$11,0))/30)+1,0),0)</f>
        <v>0</v>
      </c>
      <c r="FN189" s="427">
        <f>-IF(AND(FN$11&gt;=EOMONTH('Construction Budget'!$K45,0),FN$11&lt;=EOMONTH('Construction Budget'!$M45,0)),('Construction Budget'!$G45+SUM($G189:FM189))/ROUND(((EOMONTH('Construction Budget'!$M45,0)-EOMONTH(FN$11,0))/30)+1,0),0)</f>
        <v>0</v>
      </c>
      <c r="FO189" s="427">
        <f>-IF(AND(FO$11&gt;=EOMONTH('Construction Budget'!$K45,0),FO$11&lt;=EOMONTH('Construction Budget'!$M45,0)),('Construction Budget'!$G45+SUM($G189:FN189))/ROUND(((EOMONTH('Construction Budget'!$M45,0)-EOMONTH(FO$11,0))/30)+1,0),0)</f>
        <v>0</v>
      </c>
      <c r="FP189" s="427">
        <f>-IF(AND(FP$11&gt;=EOMONTH('Construction Budget'!$K45,0),FP$11&lt;=EOMONTH('Construction Budget'!$M45,0)),('Construction Budget'!$G45+SUM($G189:FO189))/ROUND(((EOMONTH('Construction Budget'!$M45,0)-EOMONTH(FP$11,0))/30)+1,0),0)</f>
        <v>0</v>
      </c>
      <c r="FQ189" s="427">
        <f>-IF(AND(FQ$11&gt;=EOMONTH('Construction Budget'!$K45,0),FQ$11&lt;=EOMONTH('Construction Budget'!$M45,0)),('Construction Budget'!$G45+SUM($G189:FP189))/ROUND(((EOMONTH('Construction Budget'!$M45,0)-EOMONTH(FQ$11,0))/30)+1,0),0)</f>
        <v>0</v>
      </c>
      <c r="FR189" s="427">
        <f>-IF(AND(FR$11&gt;=EOMONTH('Construction Budget'!$K45,0),FR$11&lt;=EOMONTH('Construction Budget'!$M45,0)),('Construction Budget'!$G45+SUM($G189:FQ189))/ROUND(((EOMONTH('Construction Budget'!$M45,0)-EOMONTH(FR$11,0))/30)+1,0),0)</f>
        <v>0</v>
      </c>
      <c r="FS189" s="427">
        <f>-IF(AND(FS$11&gt;=EOMONTH('Construction Budget'!$K45,0),FS$11&lt;=EOMONTH('Construction Budget'!$M45,0)),('Construction Budget'!$G45+SUM($G189:FR189))/ROUND(((EOMONTH('Construction Budget'!$M45,0)-EOMONTH(FS$11,0))/30)+1,0),0)</f>
        <v>0</v>
      </c>
      <c r="FT189" s="427">
        <f>-IF(AND(FT$11&gt;=EOMONTH('Construction Budget'!$K45,0),FT$11&lt;=EOMONTH('Construction Budget'!$M45,0)),('Construction Budget'!$G45+SUM($G189:FS189))/ROUND(((EOMONTH('Construction Budget'!$M45,0)-EOMONTH(FT$11,0))/30)+1,0),0)</f>
        <v>0</v>
      </c>
      <c r="FU189" s="43"/>
      <c r="FV189" s="34"/>
      <c r="FW189" s="34"/>
      <c r="FX189" s="34"/>
      <c r="FY189" s="34"/>
      <c r="FZ189" s="34"/>
    </row>
    <row r="190" spans="1:182" s="89" customFormat="1" ht="13.5" hidden="1" outlineLevel="1" x14ac:dyDescent="0.25">
      <c r="A190" s="498"/>
      <c r="B190" s="128" t="str">
        <f>'Construction Budget'!B46</f>
        <v>Blank</v>
      </c>
      <c r="C190" s="34"/>
      <c r="D190" s="34"/>
      <c r="E190" s="34"/>
      <c r="F190" s="434">
        <f t="shared" si="232"/>
        <v>0</v>
      </c>
      <c r="G190" s="34"/>
      <c r="H190" s="427">
        <f>-IF(AND(H$11&gt;=EOMONTH('Construction Budget'!$K46,0),H$11&lt;=EOMONTH('Construction Budget'!$M46,0)),('Construction Budget'!$G46+SUM($G190:G190))/ROUND(((EOMONTH('Construction Budget'!$M46,0)-EOMONTH(H$11,0))/30)+1,0),0)</f>
        <v>0</v>
      </c>
      <c r="I190" s="427">
        <f>-IF(AND(I$11&gt;=EOMONTH('Construction Budget'!$K46,0),I$11&lt;=EOMONTH('Construction Budget'!$M46,0)),('Construction Budget'!$G46+SUM($G190:H190))/ROUND(((EOMONTH('Construction Budget'!$M46,0)-EOMONTH(I$11,0))/30)+1,0),0)</f>
        <v>0</v>
      </c>
      <c r="J190" s="427">
        <f>-IF(AND(J$11&gt;=EOMONTH('Construction Budget'!$K46,0),J$11&lt;=EOMONTH('Construction Budget'!$M46,0)),('Construction Budget'!$G46+SUM($G190:I190))/ROUND(((EOMONTH('Construction Budget'!$M46,0)-EOMONTH(J$11,0))/30)+1,0),0)</f>
        <v>0</v>
      </c>
      <c r="K190" s="427">
        <f>-IF(AND(K$11&gt;=EOMONTH('Construction Budget'!$K46,0),K$11&lt;=EOMONTH('Construction Budget'!$M46,0)),('Construction Budget'!$G46+SUM($G190:J190))/ROUND(((EOMONTH('Construction Budget'!$M46,0)-EOMONTH(K$11,0))/30)+1,0),0)</f>
        <v>0</v>
      </c>
      <c r="L190" s="427">
        <f>-IF(AND(L$11&gt;=EOMONTH('Construction Budget'!$K46,0),L$11&lt;=EOMONTH('Construction Budget'!$M46,0)),('Construction Budget'!$G46+SUM($G190:K190))/ROUND(((EOMONTH('Construction Budget'!$M46,0)-EOMONTH(L$11,0))/30)+1,0),0)</f>
        <v>0</v>
      </c>
      <c r="M190" s="427">
        <f>-IF(AND(M$11&gt;=EOMONTH('Construction Budget'!$K46,0),M$11&lt;=EOMONTH('Construction Budget'!$M46,0)),('Construction Budget'!$G46+SUM($G190:L190))/ROUND(((EOMONTH('Construction Budget'!$M46,0)-EOMONTH(M$11,0))/30)+1,0),0)</f>
        <v>0</v>
      </c>
      <c r="N190" s="427">
        <f>-IF(AND(N$11&gt;=EOMONTH('Construction Budget'!$K46,0),N$11&lt;=EOMONTH('Construction Budget'!$M46,0)),('Construction Budget'!$G46+SUM($G190:M190))/ROUND(((EOMONTH('Construction Budget'!$M46,0)-EOMONTH(N$11,0))/30)+1,0),0)</f>
        <v>0</v>
      </c>
      <c r="O190" s="427">
        <f>-IF(AND(O$11&gt;=EOMONTH('Construction Budget'!$K46,0),O$11&lt;=EOMONTH('Construction Budget'!$M46,0)),('Construction Budget'!$G46+SUM($G190:N190))/ROUND(((EOMONTH('Construction Budget'!$M46,0)-EOMONTH(O$11,0))/30)+1,0),0)</f>
        <v>0</v>
      </c>
      <c r="P190" s="427">
        <f>-IF(AND(P$11&gt;=EOMONTH('Construction Budget'!$K46,0),P$11&lt;=EOMONTH('Construction Budget'!$M46,0)),('Construction Budget'!$G46+SUM($G190:O190))/ROUND(((EOMONTH('Construction Budget'!$M46,0)-EOMONTH(P$11,0))/30)+1,0),0)</f>
        <v>0</v>
      </c>
      <c r="Q190" s="427">
        <f>-IF(AND(Q$11&gt;=EOMONTH('Construction Budget'!$K46,0),Q$11&lt;=EOMONTH('Construction Budget'!$M46,0)),('Construction Budget'!$G46+SUM($G190:P190))/ROUND(((EOMONTH('Construction Budget'!$M46,0)-EOMONTH(Q$11,0))/30)+1,0),0)</f>
        <v>0</v>
      </c>
      <c r="R190" s="427">
        <f>-IF(AND(R$11&gt;=EOMONTH('Construction Budget'!$K46,0),R$11&lt;=EOMONTH('Construction Budget'!$M46,0)),('Construction Budget'!$G46+SUM($G190:Q190))/ROUND(((EOMONTH('Construction Budget'!$M46,0)-EOMONTH(R$11,0))/30)+1,0),0)</f>
        <v>0</v>
      </c>
      <c r="S190" s="427">
        <f>-IF(AND(S$11&gt;=EOMONTH('Construction Budget'!$K46,0),S$11&lt;=EOMONTH('Construction Budget'!$M46,0)),('Construction Budget'!$G46+SUM($G190:R190))/ROUND(((EOMONTH('Construction Budget'!$M46,0)-EOMONTH(S$11,0))/30)+1,0),0)</f>
        <v>0</v>
      </c>
      <c r="T190" s="427">
        <f>-IF(AND(T$11&gt;=EOMONTH('Construction Budget'!$K46,0),T$11&lt;=EOMONTH('Construction Budget'!$M46,0)),('Construction Budget'!$G46+SUM($G190:S190))/ROUND(((EOMONTH('Construction Budget'!$M46,0)-EOMONTH(T$11,0))/30)+1,0),0)</f>
        <v>0</v>
      </c>
      <c r="U190" s="427">
        <f>-IF(AND(U$11&gt;=EOMONTH('Construction Budget'!$K46,0),U$11&lt;=EOMONTH('Construction Budget'!$M46,0)),('Construction Budget'!$G46+SUM($G190:T190))/ROUND(((EOMONTH('Construction Budget'!$M46,0)-EOMONTH(U$11,0))/30)+1,0),0)</f>
        <v>0</v>
      </c>
      <c r="V190" s="427">
        <f>-IF(AND(V$11&gt;=EOMONTH('Construction Budget'!$K46,0),V$11&lt;=EOMONTH('Construction Budget'!$M46,0)),('Construction Budget'!$G46+SUM($G190:U190))/ROUND(((EOMONTH('Construction Budget'!$M46,0)-EOMONTH(V$11,0))/30)+1,0),0)</f>
        <v>0</v>
      </c>
      <c r="W190" s="427">
        <f>-IF(AND(W$11&gt;=EOMONTH('Construction Budget'!$K46,0),W$11&lt;=EOMONTH('Construction Budget'!$M46,0)),('Construction Budget'!$G46+SUM($G190:V190))/ROUND(((EOMONTH('Construction Budget'!$M46,0)-EOMONTH(W$11,0))/30)+1,0),0)</f>
        <v>0</v>
      </c>
      <c r="X190" s="427">
        <f>-IF(AND(X$11&gt;=EOMONTH('Construction Budget'!$K46,0),X$11&lt;=EOMONTH('Construction Budget'!$M46,0)),('Construction Budget'!$G46+SUM($G190:W190))/ROUND(((EOMONTH('Construction Budget'!$M46,0)-EOMONTH(X$11,0))/30)+1,0),0)</f>
        <v>0</v>
      </c>
      <c r="Y190" s="427">
        <f>-IF(AND(Y$11&gt;=EOMONTH('Construction Budget'!$K46,0),Y$11&lt;=EOMONTH('Construction Budget'!$M46,0)),('Construction Budget'!$G46+SUM($G190:X190))/ROUND(((EOMONTH('Construction Budget'!$M46,0)-EOMONTH(Y$11,0))/30)+1,0),0)</f>
        <v>0</v>
      </c>
      <c r="Z190" s="427">
        <f>-IF(AND(Z$11&gt;=EOMONTH('Construction Budget'!$K46,0),Z$11&lt;=EOMONTH('Construction Budget'!$M46,0)),('Construction Budget'!$G46+SUM($G190:Y190))/ROUND(((EOMONTH('Construction Budget'!$M46,0)-EOMONTH(Z$11,0))/30)+1,0),0)</f>
        <v>0</v>
      </c>
      <c r="AA190" s="427">
        <f>-IF(AND(AA$11&gt;=EOMONTH('Construction Budget'!$K46,0),AA$11&lt;=EOMONTH('Construction Budget'!$M46,0)),('Construction Budget'!$G46+SUM($G190:Z190))/ROUND(((EOMONTH('Construction Budget'!$M46,0)-EOMONTH(AA$11,0))/30)+1,0),0)</f>
        <v>0</v>
      </c>
      <c r="AB190" s="427">
        <f>-IF(AND(AB$11&gt;=EOMONTH('Construction Budget'!$K46,0),AB$11&lt;=EOMONTH('Construction Budget'!$M46,0)),('Construction Budget'!$G46+SUM($G190:AA190))/ROUND(((EOMONTH('Construction Budget'!$M46,0)-EOMONTH(AB$11,0))/30)+1,0),0)</f>
        <v>0</v>
      </c>
      <c r="AC190" s="427">
        <f>-IF(AND(AC$11&gt;=EOMONTH('Construction Budget'!$K46,0),AC$11&lt;=EOMONTH('Construction Budget'!$M46,0)),('Construction Budget'!$G46+SUM($G190:AB190))/ROUND(((EOMONTH('Construction Budget'!$M46,0)-EOMONTH(AC$11,0))/30)+1,0),0)</f>
        <v>0</v>
      </c>
      <c r="AD190" s="427">
        <f>-IF(AND(AD$11&gt;=EOMONTH('Construction Budget'!$K46,0),AD$11&lt;=EOMONTH('Construction Budget'!$M46,0)),('Construction Budget'!$G46+SUM($G190:AC190))/ROUND(((EOMONTH('Construction Budget'!$M46,0)-EOMONTH(AD$11,0))/30)+1,0),0)</f>
        <v>0</v>
      </c>
      <c r="AE190" s="427">
        <f>-IF(AND(AE$11&gt;=EOMONTH('Construction Budget'!$K46,0),AE$11&lt;=EOMONTH('Construction Budget'!$M46,0)),('Construction Budget'!$G46+SUM($G190:AD190))/ROUND(((EOMONTH('Construction Budget'!$M46,0)-EOMONTH(AE$11,0))/30)+1,0),0)</f>
        <v>0</v>
      </c>
      <c r="AF190" s="427">
        <f>-IF(AND(AF$11&gt;=EOMONTH('Construction Budget'!$K46,0),AF$11&lt;=EOMONTH('Construction Budget'!$M46,0)),('Construction Budget'!$G46+SUM($G190:AE190))/ROUND(((EOMONTH('Construction Budget'!$M46,0)-EOMONTH(AF$11,0))/30)+1,0),0)</f>
        <v>0</v>
      </c>
      <c r="AG190" s="427">
        <f>-IF(AND(AG$11&gt;=EOMONTH('Construction Budget'!$K46,0),AG$11&lt;=EOMONTH('Construction Budget'!$M46,0)),('Construction Budget'!$G46+SUM($G190:AF190))/ROUND(((EOMONTH('Construction Budget'!$M46,0)-EOMONTH(AG$11,0))/30)+1,0),0)</f>
        <v>0</v>
      </c>
      <c r="AH190" s="427">
        <f>-IF(AND(AH$11&gt;=EOMONTH('Construction Budget'!$K46,0),AH$11&lt;=EOMONTH('Construction Budget'!$M46,0)),('Construction Budget'!$G46+SUM($G190:AG190))/ROUND(((EOMONTH('Construction Budget'!$M46,0)-EOMONTH(AH$11,0))/30)+1,0),0)</f>
        <v>0</v>
      </c>
      <c r="AI190" s="427">
        <f>-IF(AND(AI$11&gt;=EOMONTH('Construction Budget'!$K46,0),AI$11&lt;=EOMONTH('Construction Budget'!$M46,0)),('Construction Budget'!$G46+SUM($G190:AH190))/ROUND(((EOMONTH('Construction Budget'!$M46,0)-EOMONTH(AI$11,0))/30)+1,0),0)</f>
        <v>0</v>
      </c>
      <c r="AJ190" s="427">
        <f>-IF(AND(AJ$11&gt;=EOMONTH('Construction Budget'!$K46,0),AJ$11&lt;=EOMONTH('Construction Budget'!$M46,0)),('Construction Budget'!$G46+SUM($G190:AI190))/ROUND(((EOMONTH('Construction Budget'!$M46,0)-EOMONTH(AJ$11,0))/30)+1,0),0)</f>
        <v>0</v>
      </c>
      <c r="AK190" s="427">
        <f>-IF(AND(AK$11&gt;=EOMONTH('Construction Budget'!$K46,0),AK$11&lt;=EOMONTH('Construction Budget'!$M46,0)),('Construction Budget'!$G46+SUM($G190:AJ190))/ROUND(((EOMONTH('Construction Budget'!$M46,0)-EOMONTH(AK$11,0))/30)+1,0),0)</f>
        <v>0</v>
      </c>
      <c r="AL190" s="427">
        <f>-IF(AND(AL$11&gt;=EOMONTH('Construction Budget'!$K46,0),AL$11&lt;=EOMONTH('Construction Budget'!$M46,0)),('Construction Budget'!$G46+SUM($G190:AK190))/ROUND(((EOMONTH('Construction Budget'!$M46,0)-EOMONTH(AL$11,0))/30)+1,0),0)</f>
        <v>0</v>
      </c>
      <c r="AM190" s="427">
        <f>-IF(AND(AM$11&gt;=EOMONTH('Construction Budget'!$K46,0),AM$11&lt;=EOMONTH('Construction Budget'!$M46,0)),('Construction Budget'!$G46+SUM($G190:AL190))/ROUND(((EOMONTH('Construction Budget'!$M46,0)-EOMONTH(AM$11,0))/30)+1,0),0)</f>
        <v>0</v>
      </c>
      <c r="AN190" s="427">
        <f>-IF(AND(AN$11&gt;=EOMONTH('Construction Budget'!$K46,0),AN$11&lt;=EOMONTH('Construction Budget'!$M46,0)),('Construction Budget'!$G46+SUM($G190:AM190))/ROUND(((EOMONTH('Construction Budget'!$M46,0)-EOMONTH(AN$11,0))/30)+1,0),0)</f>
        <v>0</v>
      </c>
      <c r="AO190" s="427">
        <f>-IF(AND(AO$11&gt;=EOMONTH('Construction Budget'!$K46,0),AO$11&lt;=EOMONTH('Construction Budget'!$M46,0)),('Construction Budget'!$G46+SUM($G190:AN190))/ROUND(((EOMONTH('Construction Budget'!$M46,0)-EOMONTH(AO$11,0))/30)+1,0),0)</f>
        <v>0</v>
      </c>
      <c r="AP190" s="427">
        <f>-IF(AND(AP$11&gt;=EOMONTH('Construction Budget'!$K46,0),AP$11&lt;=EOMONTH('Construction Budget'!$M46,0)),('Construction Budget'!$G46+SUM($G190:AO190))/ROUND(((EOMONTH('Construction Budget'!$M46,0)-EOMONTH(AP$11,0))/30)+1,0),0)</f>
        <v>0</v>
      </c>
      <c r="AQ190" s="427">
        <f>-IF(AND(AQ$11&gt;=EOMONTH('Construction Budget'!$K46,0),AQ$11&lt;=EOMONTH('Construction Budget'!$M46,0)),('Construction Budget'!$G46+SUM($G190:AP190))/ROUND(((EOMONTH('Construction Budget'!$M46,0)-EOMONTH(AQ$11,0))/30)+1,0),0)</f>
        <v>0</v>
      </c>
      <c r="AR190" s="427">
        <f>-IF(AND(AR$11&gt;=EOMONTH('Construction Budget'!$K46,0),AR$11&lt;=EOMONTH('Construction Budget'!$M46,0)),('Construction Budget'!$G46+SUM($G190:AQ190))/ROUND(((EOMONTH('Construction Budget'!$M46,0)-EOMONTH(AR$11,0))/30)+1,0),0)</f>
        <v>0</v>
      </c>
      <c r="AS190" s="427">
        <f>-IF(AND(AS$11&gt;=EOMONTH('Construction Budget'!$K46,0),AS$11&lt;=EOMONTH('Construction Budget'!$M46,0)),('Construction Budget'!$G46+SUM($G190:AR190))/ROUND(((EOMONTH('Construction Budget'!$M46,0)-EOMONTH(AS$11,0))/30)+1,0),0)</f>
        <v>0</v>
      </c>
      <c r="AT190" s="427">
        <f>-IF(AND(AT$11&gt;=EOMONTH('Construction Budget'!$K46,0),AT$11&lt;=EOMONTH('Construction Budget'!$M46,0)),('Construction Budget'!$G46+SUM($G190:AS190))/ROUND(((EOMONTH('Construction Budget'!$M46,0)-EOMONTH(AT$11,0))/30)+1,0),0)</f>
        <v>0</v>
      </c>
      <c r="AU190" s="427">
        <f>-IF(AND(AU$11&gt;=EOMONTH('Construction Budget'!$K46,0),AU$11&lt;=EOMONTH('Construction Budget'!$M46,0)),('Construction Budget'!$G46+SUM($G190:AT190))/ROUND(((EOMONTH('Construction Budget'!$M46,0)-EOMONTH(AU$11,0))/30)+1,0),0)</f>
        <v>0</v>
      </c>
      <c r="AV190" s="427">
        <f>-IF(AND(AV$11&gt;=EOMONTH('Construction Budget'!$K46,0),AV$11&lt;=EOMONTH('Construction Budget'!$M46,0)),('Construction Budget'!$G46+SUM($G190:AU190))/ROUND(((EOMONTH('Construction Budget'!$M46,0)-EOMONTH(AV$11,0))/30)+1,0),0)</f>
        <v>0</v>
      </c>
      <c r="AW190" s="427">
        <f>-IF(AND(AW$11&gt;=EOMONTH('Construction Budget'!$K46,0),AW$11&lt;=EOMONTH('Construction Budget'!$M46,0)),('Construction Budget'!$G46+SUM($G190:AV190))/ROUND(((EOMONTH('Construction Budget'!$M46,0)-EOMONTH(AW$11,0))/30)+1,0),0)</f>
        <v>0</v>
      </c>
      <c r="AX190" s="427">
        <f>-IF(AND(AX$11&gt;=EOMONTH('Construction Budget'!$K46,0),AX$11&lt;=EOMONTH('Construction Budget'!$M46,0)),('Construction Budget'!$G46+SUM($G190:AW190))/ROUND(((EOMONTH('Construction Budget'!$M46,0)-EOMONTH(AX$11,0))/30)+1,0),0)</f>
        <v>0</v>
      </c>
      <c r="AY190" s="427">
        <f>-IF(AND(AY$11&gt;=EOMONTH('Construction Budget'!$K46,0),AY$11&lt;=EOMONTH('Construction Budget'!$M46,0)),('Construction Budget'!$G46+SUM($G190:AX190))/ROUND(((EOMONTH('Construction Budget'!$M46,0)-EOMONTH(AY$11,0))/30)+1,0),0)</f>
        <v>0</v>
      </c>
      <c r="AZ190" s="427">
        <f>-IF(AND(AZ$11&gt;=EOMONTH('Construction Budget'!$K46,0),AZ$11&lt;=EOMONTH('Construction Budget'!$M46,0)),('Construction Budget'!$G46+SUM($G190:AY190))/ROUND(((EOMONTH('Construction Budget'!$M46,0)-EOMONTH(AZ$11,0))/30)+1,0),0)</f>
        <v>0</v>
      </c>
      <c r="BA190" s="427">
        <f>-IF(AND(BA$11&gt;=EOMONTH('Construction Budget'!$K46,0),BA$11&lt;=EOMONTH('Construction Budget'!$M46,0)),('Construction Budget'!$G46+SUM($G190:AZ190))/ROUND(((EOMONTH('Construction Budget'!$M46,0)-EOMONTH(BA$11,0))/30)+1,0),0)</f>
        <v>0</v>
      </c>
      <c r="BB190" s="427">
        <f>-IF(AND(BB$11&gt;=EOMONTH('Construction Budget'!$K46,0),BB$11&lt;=EOMONTH('Construction Budget'!$M46,0)),('Construction Budget'!$G46+SUM($G190:BA190))/ROUND(((EOMONTH('Construction Budget'!$M46,0)-EOMONTH(BB$11,0))/30)+1,0),0)</f>
        <v>0</v>
      </c>
      <c r="BC190" s="427">
        <f>-IF(AND(BC$11&gt;=EOMONTH('Construction Budget'!$K46,0),BC$11&lt;=EOMONTH('Construction Budget'!$M46,0)),('Construction Budget'!$G46+SUM($G190:BB190))/ROUND(((EOMONTH('Construction Budget'!$M46,0)-EOMONTH(BC$11,0))/30)+1,0),0)</f>
        <v>0</v>
      </c>
      <c r="BD190" s="427">
        <f>-IF(AND(BD$11&gt;=EOMONTH('Construction Budget'!$K46,0),BD$11&lt;=EOMONTH('Construction Budget'!$M46,0)),('Construction Budget'!$G46+SUM($G190:BC190))/ROUND(((EOMONTH('Construction Budget'!$M46,0)-EOMONTH(BD$11,0))/30)+1,0),0)</f>
        <v>0</v>
      </c>
      <c r="BE190" s="427">
        <f>-IF(AND(BE$11&gt;=EOMONTH('Construction Budget'!$K46,0),BE$11&lt;=EOMONTH('Construction Budget'!$M46,0)),('Construction Budget'!$G46+SUM($G190:BD190))/ROUND(((EOMONTH('Construction Budget'!$M46,0)-EOMONTH(BE$11,0))/30)+1,0),0)</f>
        <v>0</v>
      </c>
      <c r="BF190" s="427">
        <f>-IF(AND(BF$11&gt;=EOMONTH('Construction Budget'!$K46,0),BF$11&lt;=EOMONTH('Construction Budget'!$M46,0)),('Construction Budget'!$G46+SUM($G190:BE190))/ROUND(((EOMONTH('Construction Budget'!$M46,0)-EOMONTH(BF$11,0))/30)+1,0),0)</f>
        <v>0</v>
      </c>
      <c r="BG190" s="427">
        <f>-IF(AND(BG$11&gt;=EOMONTH('Construction Budget'!$K46,0),BG$11&lt;=EOMONTH('Construction Budget'!$M46,0)),('Construction Budget'!$G46+SUM($G190:BF190))/ROUND(((EOMONTH('Construction Budget'!$M46,0)-EOMONTH(BG$11,0))/30)+1,0),0)</f>
        <v>0</v>
      </c>
      <c r="BH190" s="427">
        <f>-IF(AND(BH$11&gt;=EOMONTH('Construction Budget'!$K46,0),BH$11&lt;=EOMONTH('Construction Budget'!$M46,0)),('Construction Budget'!$G46+SUM($G190:BG190))/ROUND(((EOMONTH('Construction Budget'!$M46,0)-EOMONTH(BH$11,0))/30)+1,0),0)</f>
        <v>0</v>
      </c>
      <c r="BI190" s="427">
        <f>-IF(AND(BI$11&gt;=EOMONTH('Construction Budget'!$K46,0),BI$11&lt;=EOMONTH('Construction Budget'!$M46,0)),('Construction Budget'!$G46+SUM($G190:BH190))/ROUND(((EOMONTH('Construction Budget'!$M46,0)-EOMONTH(BI$11,0))/30)+1,0),0)</f>
        <v>0</v>
      </c>
      <c r="BJ190" s="427">
        <f>-IF(AND(BJ$11&gt;=EOMONTH('Construction Budget'!$K46,0),BJ$11&lt;=EOMONTH('Construction Budget'!$M46,0)),('Construction Budget'!$G46+SUM($G190:BI190))/ROUND(((EOMONTH('Construction Budget'!$M46,0)-EOMONTH(BJ$11,0))/30)+1,0),0)</f>
        <v>0</v>
      </c>
      <c r="BK190" s="427">
        <f>-IF(AND(BK$11&gt;=EOMONTH('Construction Budget'!$K46,0),BK$11&lt;=EOMONTH('Construction Budget'!$M46,0)),('Construction Budget'!$G46+SUM($G190:BJ190))/ROUND(((EOMONTH('Construction Budget'!$M46,0)-EOMONTH(BK$11,0))/30)+1,0),0)</f>
        <v>0</v>
      </c>
      <c r="BL190" s="427">
        <f>-IF(AND(BL$11&gt;=EOMONTH('Construction Budget'!$K46,0),BL$11&lt;=EOMONTH('Construction Budget'!$M46,0)),('Construction Budget'!$G46+SUM($G190:BK190))/ROUND(((EOMONTH('Construction Budget'!$M46,0)-EOMONTH(BL$11,0))/30)+1,0),0)</f>
        <v>0</v>
      </c>
      <c r="BM190" s="427">
        <f>-IF(AND(BM$11&gt;=EOMONTH('Construction Budget'!$K46,0),BM$11&lt;=EOMONTH('Construction Budget'!$M46,0)),('Construction Budget'!$G46+SUM($G190:BL190))/ROUND(((EOMONTH('Construction Budget'!$M46,0)-EOMONTH(BM$11,0))/30)+1,0),0)</f>
        <v>0</v>
      </c>
      <c r="BN190" s="427">
        <f>-IF(AND(BN$11&gt;=EOMONTH('Construction Budget'!$K46,0),BN$11&lt;=EOMONTH('Construction Budget'!$M46,0)),('Construction Budget'!$G46+SUM($G190:BM190))/ROUND(((EOMONTH('Construction Budget'!$M46,0)-EOMONTH(BN$11,0))/30)+1,0),0)</f>
        <v>0</v>
      </c>
      <c r="BO190" s="427">
        <f>-IF(AND(BO$11&gt;=EOMONTH('Construction Budget'!$K46,0),BO$11&lt;=EOMONTH('Construction Budget'!$M46,0)),('Construction Budget'!$G46+SUM($G190:BN190))/ROUND(((EOMONTH('Construction Budget'!$M46,0)-EOMONTH(BO$11,0))/30)+1,0),0)</f>
        <v>0</v>
      </c>
      <c r="BP190" s="427">
        <f>-IF(AND(BP$11&gt;=EOMONTH('Construction Budget'!$K46,0),BP$11&lt;=EOMONTH('Construction Budget'!$M46,0)),('Construction Budget'!$G46+SUM($G190:BO190))/ROUND(((EOMONTH('Construction Budget'!$M46,0)-EOMONTH(BP$11,0))/30)+1,0),0)</f>
        <v>0</v>
      </c>
      <c r="BQ190" s="427">
        <f>-IF(AND(BQ$11&gt;=EOMONTH('Construction Budget'!$K46,0),BQ$11&lt;=EOMONTH('Construction Budget'!$M46,0)),('Construction Budget'!$G46+SUM($G190:BP190))/ROUND(((EOMONTH('Construction Budget'!$M46,0)-EOMONTH(BQ$11,0))/30)+1,0),0)</f>
        <v>0</v>
      </c>
      <c r="BR190" s="427">
        <f>-IF(AND(BR$11&gt;=EOMONTH('Construction Budget'!$K46,0),BR$11&lt;=EOMONTH('Construction Budget'!$M46,0)),('Construction Budget'!$G46+SUM($G190:BQ190))/ROUND(((EOMONTH('Construction Budget'!$M46,0)-EOMONTH(BR$11,0))/30)+1,0),0)</f>
        <v>0</v>
      </c>
      <c r="BS190" s="427">
        <f>-IF(AND(BS$11&gt;=EOMONTH('Construction Budget'!$K46,0),BS$11&lt;=EOMONTH('Construction Budget'!$M46,0)),('Construction Budget'!$G46+SUM($G190:BR190))/ROUND(((EOMONTH('Construction Budget'!$M46,0)-EOMONTH(BS$11,0))/30)+1,0),0)</f>
        <v>0</v>
      </c>
      <c r="BT190" s="427">
        <f>-IF(AND(BT$11&gt;=EOMONTH('Construction Budget'!$K46,0),BT$11&lt;=EOMONTH('Construction Budget'!$M46,0)),('Construction Budget'!$G46+SUM($G190:BS190))/ROUND(((EOMONTH('Construction Budget'!$M46,0)-EOMONTH(BT$11,0))/30)+1,0),0)</f>
        <v>0</v>
      </c>
      <c r="BU190" s="427">
        <f>-IF(AND(BU$11&gt;=EOMONTH('Construction Budget'!$K46,0),BU$11&lt;=EOMONTH('Construction Budget'!$M46,0)),('Construction Budget'!$G46+SUM($G190:BT190))/ROUND(((EOMONTH('Construction Budget'!$M46,0)-EOMONTH(BU$11,0))/30)+1,0),0)</f>
        <v>0</v>
      </c>
      <c r="BV190" s="427">
        <f>-IF(AND(BV$11&gt;=EOMONTH('Construction Budget'!$K46,0),BV$11&lt;=EOMONTH('Construction Budget'!$M46,0)),('Construction Budget'!$G46+SUM($G190:BU190))/ROUND(((EOMONTH('Construction Budget'!$M46,0)-EOMONTH(BV$11,0))/30)+1,0),0)</f>
        <v>0</v>
      </c>
      <c r="BW190" s="427">
        <f>-IF(AND(BW$11&gt;=EOMONTH('Construction Budget'!$K46,0),BW$11&lt;=EOMONTH('Construction Budget'!$M46,0)),('Construction Budget'!$G46+SUM($G190:BV190))/ROUND(((EOMONTH('Construction Budget'!$M46,0)-EOMONTH(BW$11,0))/30)+1,0),0)</f>
        <v>0</v>
      </c>
      <c r="BX190" s="427">
        <f>-IF(AND(BX$11&gt;=EOMONTH('Construction Budget'!$K46,0),BX$11&lt;=EOMONTH('Construction Budget'!$M46,0)),('Construction Budget'!$G46+SUM($G190:BW190))/ROUND(((EOMONTH('Construction Budget'!$M46,0)-EOMONTH(BX$11,0))/30)+1,0),0)</f>
        <v>0</v>
      </c>
      <c r="BY190" s="427">
        <f>-IF(AND(BY$11&gt;=EOMONTH('Construction Budget'!$K46,0),BY$11&lt;=EOMONTH('Construction Budget'!$M46,0)),('Construction Budget'!$G46+SUM($G190:BX190))/ROUND(((EOMONTH('Construction Budget'!$M46,0)-EOMONTH(BY$11,0))/30)+1,0),0)</f>
        <v>0</v>
      </c>
      <c r="BZ190" s="427">
        <f>-IF(AND(BZ$11&gt;=EOMONTH('Construction Budget'!$K46,0),BZ$11&lt;=EOMONTH('Construction Budget'!$M46,0)),('Construction Budget'!$G46+SUM($G190:BY190))/ROUND(((EOMONTH('Construction Budget'!$M46,0)-EOMONTH(BZ$11,0))/30)+1,0),0)</f>
        <v>0</v>
      </c>
      <c r="CA190" s="427">
        <f>-IF(AND(CA$11&gt;=EOMONTH('Construction Budget'!$K46,0),CA$11&lt;=EOMONTH('Construction Budget'!$M46,0)),('Construction Budget'!$G46+SUM($G190:BZ190))/ROUND(((EOMONTH('Construction Budget'!$M46,0)-EOMONTH(CA$11,0))/30)+1,0),0)</f>
        <v>0</v>
      </c>
      <c r="CB190" s="427">
        <f>-IF(AND(CB$11&gt;=EOMONTH('Construction Budget'!$K46,0),CB$11&lt;=EOMONTH('Construction Budget'!$M46,0)),('Construction Budget'!$G46+SUM($G190:CA190))/ROUND(((EOMONTH('Construction Budget'!$M46,0)-EOMONTH(CB$11,0))/30)+1,0),0)</f>
        <v>0</v>
      </c>
      <c r="CC190" s="427">
        <f>-IF(AND(CC$11&gt;=EOMONTH('Construction Budget'!$K46,0),CC$11&lt;=EOMONTH('Construction Budget'!$M46,0)),('Construction Budget'!$G46+SUM($G190:CB190))/ROUND(((EOMONTH('Construction Budget'!$M46,0)-EOMONTH(CC$11,0))/30)+1,0),0)</f>
        <v>0</v>
      </c>
      <c r="CD190" s="427">
        <f>-IF(AND(CD$11&gt;=EOMONTH('Construction Budget'!$K46,0),CD$11&lt;=EOMONTH('Construction Budget'!$M46,0)),('Construction Budget'!$G46+SUM($G190:CC190))/ROUND(((EOMONTH('Construction Budget'!$M46,0)-EOMONTH(CD$11,0))/30)+1,0),0)</f>
        <v>0</v>
      </c>
      <c r="CE190" s="427">
        <f>-IF(AND(CE$11&gt;=EOMONTH('Construction Budget'!$K46,0),CE$11&lt;=EOMONTH('Construction Budget'!$M46,0)),('Construction Budget'!$G46+SUM($G190:CD190))/ROUND(((EOMONTH('Construction Budget'!$M46,0)-EOMONTH(CE$11,0))/30)+1,0),0)</f>
        <v>0</v>
      </c>
      <c r="CF190" s="427">
        <f>-IF(AND(CF$11&gt;=EOMONTH('Construction Budget'!$K46,0),CF$11&lt;=EOMONTH('Construction Budget'!$M46,0)),('Construction Budget'!$G46+SUM($G190:CE190))/ROUND(((EOMONTH('Construction Budget'!$M46,0)-EOMONTH(CF$11,0))/30)+1,0),0)</f>
        <v>0</v>
      </c>
      <c r="CG190" s="427">
        <f>-IF(AND(CG$11&gt;=EOMONTH('Construction Budget'!$K46,0),CG$11&lt;=EOMONTH('Construction Budget'!$M46,0)),('Construction Budget'!$G46+SUM($G190:CF190))/ROUND(((EOMONTH('Construction Budget'!$M46,0)-EOMONTH(CG$11,0))/30)+1,0),0)</f>
        <v>0</v>
      </c>
      <c r="CH190" s="427">
        <f>-IF(AND(CH$11&gt;=EOMONTH('Construction Budget'!$K46,0),CH$11&lt;=EOMONTH('Construction Budget'!$M46,0)),('Construction Budget'!$G46+SUM($G190:CG190))/ROUND(((EOMONTH('Construction Budget'!$M46,0)-EOMONTH(CH$11,0))/30)+1,0),0)</f>
        <v>0</v>
      </c>
      <c r="CI190" s="427">
        <f>-IF(AND(CI$11&gt;=EOMONTH('Construction Budget'!$K46,0),CI$11&lt;=EOMONTH('Construction Budget'!$M46,0)),('Construction Budget'!$G46+SUM($G190:CH190))/ROUND(((EOMONTH('Construction Budget'!$M46,0)-EOMONTH(CI$11,0))/30)+1,0),0)</f>
        <v>0</v>
      </c>
      <c r="CJ190" s="427">
        <f>-IF(AND(CJ$11&gt;=EOMONTH('Construction Budget'!$K46,0),CJ$11&lt;=EOMONTH('Construction Budget'!$M46,0)),('Construction Budget'!$G46+SUM($G190:CI190))/ROUND(((EOMONTH('Construction Budget'!$M46,0)-EOMONTH(CJ$11,0))/30)+1,0),0)</f>
        <v>0</v>
      </c>
      <c r="CK190" s="427">
        <f>-IF(AND(CK$11&gt;=EOMONTH('Construction Budget'!$K46,0),CK$11&lt;=EOMONTH('Construction Budget'!$M46,0)),('Construction Budget'!$G46+SUM($G190:CJ190))/ROUND(((EOMONTH('Construction Budget'!$M46,0)-EOMONTH(CK$11,0))/30)+1,0),0)</f>
        <v>0</v>
      </c>
      <c r="CL190" s="427">
        <f>-IF(AND(CL$11&gt;=EOMONTH('Construction Budget'!$K46,0),CL$11&lt;=EOMONTH('Construction Budget'!$M46,0)),('Construction Budget'!$G46+SUM($G190:CK190))/ROUND(((EOMONTH('Construction Budget'!$M46,0)-EOMONTH(CL$11,0))/30)+1,0),0)</f>
        <v>0</v>
      </c>
      <c r="CM190" s="427">
        <f>-IF(AND(CM$11&gt;=EOMONTH('Construction Budget'!$K46,0),CM$11&lt;=EOMONTH('Construction Budget'!$M46,0)),('Construction Budget'!$G46+SUM($G190:CL190))/ROUND(((EOMONTH('Construction Budget'!$M46,0)-EOMONTH(CM$11,0))/30)+1,0),0)</f>
        <v>0</v>
      </c>
      <c r="CN190" s="427">
        <f>-IF(AND(CN$11&gt;=EOMONTH('Construction Budget'!$K46,0),CN$11&lt;=EOMONTH('Construction Budget'!$M46,0)),('Construction Budget'!$G46+SUM($G190:CM190))/ROUND(((EOMONTH('Construction Budget'!$M46,0)-EOMONTH(CN$11,0))/30)+1,0),0)</f>
        <v>0</v>
      </c>
      <c r="CO190" s="427">
        <f>-IF(AND(CO$11&gt;=EOMONTH('Construction Budget'!$K46,0),CO$11&lt;=EOMONTH('Construction Budget'!$M46,0)),('Construction Budget'!$G46+SUM($G190:CN190))/ROUND(((EOMONTH('Construction Budget'!$M46,0)-EOMONTH(CO$11,0))/30)+1,0),0)</f>
        <v>0</v>
      </c>
      <c r="CP190" s="427">
        <f>-IF(AND(CP$11&gt;=EOMONTH('Construction Budget'!$K46,0),CP$11&lt;=EOMONTH('Construction Budget'!$M46,0)),('Construction Budget'!$G46+SUM($G190:CO190))/ROUND(((EOMONTH('Construction Budget'!$M46,0)-EOMONTH(CP$11,0))/30)+1,0),0)</f>
        <v>0</v>
      </c>
      <c r="CQ190" s="427">
        <f>-IF(AND(CQ$11&gt;=EOMONTH('Construction Budget'!$K46,0),CQ$11&lt;=EOMONTH('Construction Budget'!$M46,0)),('Construction Budget'!$G46+SUM($G190:CP190))/ROUND(((EOMONTH('Construction Budget'!$M46,0)-EOMONTH(CQ$11,0))/30)+1,0),0)</f>
        <v>0</v>
      </c>
      <c r="CR190" s="427">
        <f>-IF(AND(CR$11&gt;=EOMONTH('Construction Budget'!$K46,0),CR$11&lt;=EOMONTH('Construction Budget'!$M46,0)),('Construction Budget'!$G46+SUM($G190:CQ190))/ROUND(((EOMONTH('Construction Budget'!$M46,0)-EOMONTH(CR$11,0))/30)+1,0),0)</f>
        <v>0</v>
      </c>
      <c r="CS190" s="427">
        <f>-IF(AND(CS$11&gt;=EOMONTH('Construction Budget'!$K46,0),CS$11&lt;=EOMONTH('Construction Budget'!$M46,0)),('Construction Budget'!$G46+SUM($G190:CR190))/ROUND(((EOMONTH('Construction Budget'!$M46,0)-EOMONTH(CS$11,0))/30)+1,0),0)</f>
        <v>0</v>
      </c>
      <c r="CT190" s="427">
        <f>-IF(AND(CT$11&gt;=EOMONTH('Construction Budget'!$K46,0),CT$11&lt;=EOMONTH('Construction Budget'!$M46,0)),('Construction Budget'!$G46+SUM($G190:CS190))/ROUND(((EOMONTH('Construction Budget'!$M46,0)-EOMONTH(CT$11,0))/30)+1,0),0)</f>
        <v>0</v>
      </c>
      <c r="CU190" s="427">
        <f>-IF(AND(CU$11&gt;=EOMONTH('Construction Budget'!$K46,0),CU$11&lt;=EOMONTH('Construction Budget'!$M46,0)),('Construction Budget'!$G46+SUM($G190:CT190))/ROUND(((EOMONTH('Construction Budget'!$M46,0)-EOMONTH(CU$11,0))/30)+1,0),0)</f>
        <v>0</v>
      </c>
      <c r="CV190" s="427">
        <f>-IF(AND(CV$11&gt;=EOMONTH('Construction Budget'!$K46,0),CV$11&lt;=EOMONTH('Construction Budget'!$M46,0)),('Construction Budget'!$G46+SUM($G190:CU190))/ROUND(((EOMONTH('Construction Budget'!$M46,0)-EOMONTH(CV$11,0))/30)+1,0),0)</f>
        <v>0</v>
      </c>
      <c r="CW190" s="427">
        <f>-IF(AND(CW$11&gt;=EOMONTH('Construction Budget'!$K46,0),CW$11&lt;=EOMONTH('Construction Budget'!$M46,0)),('Construction Budget'!$G46+SUM($G190:CV190))/ROUND(((EOMONTH('Construction Budget'!$M46,0)-EOMONTH(CW$11,0))/30)+1,0),0)</f>
        <v>0</v>
      </c>
      <c r="CX190" s="427">
        <f>-IF(AND(CX$11&gt;=EOMONTH('Construction Budget'!$K46,0),CX$11&lt;=EOMONTH('Construction Budget'!$M46,0)),('Construction Budget'!$G46+SUM($G190:CW190))/ROUND(((EOMONTH('Construction Budget'!$M46,0)-EOMONTH(CX$11,0))/30)+1,0),0)</f>
        <v>0</v>
      </c>
      <c r="CY190" s="427">
        <f>-IF(AND(CY$11&gt;=EOMONTH('Construction Budget'!$K46,0),CY$11&lt;=EOMONTH('Construction Budget'!$M46,0)),('Construction Budget'!$G46+SUM($G190:CX190))/ROUND(((EOMONTH('Construction Budget'!$M46,0)-EOMONTH(CY$11,0))/30)+1,0),0)</f>
        <v>0</v>
      </c>
      <c r="CZ190" s="427">
        <f>-IF(AND(CZ$11&gt;=EOMONTH('Construction Budget'!$K46,0),CZ$11&lt;=EOMONTH('Construction Budget'!$M46,0)),('Construction Budget'!$G46+SUM($G190:CY190))/ROUND(((EOMONTH('Construction Budget'!$M46,0)-EOMONTH(CZ$11,0))/30)+1,0),0)</f>
        <v>0</v>
      </c>
      <c r="DA190" s="427">
        <f>-IF(AND(DA$11&gt;=EOMONTH('Construction Budget'!$K46,0),DA$11&lt;=EOMONTH('Construction Budget'!$M46,0)),('Construction Budget'!$G46+SUM($G190:CZ190))/ROUND(((EOMONTH('Construction Budget'!$M46,0)-EOMONTH(DA$11,0))/30)+1,0),0)</f>
        <v>0</v>
      </c>
      <c r="DB190" s="427">
        <f>-IF(AND(DB$11&gt;=EOMONTH('Construction Budget'!$K46,0),DB$11&lt;=EOMONTH('Construction Budget'!$M46,0)),('Construction Budget'!$G46+SUM($G190:DA190))/ROUND(((EOMONTH('Construction Budget'!$M46,0)-EOMONTH(DB$11,0))/30)+1,0),0)</f>
        <v>0</v>
      </c>
      <c r="DC190" s="427">
        <f>-IF(AND(DC$11&gt;=EOMONTH('Construction Budget'!$K46,0),DC$11&lt;=EOMONTH('Construction Budget'!$M46,0)),('Construction Budget'!$G46+SUM($G190:DB190))/ROUND(((EOMONTH('Construction Budget'!$M46,0)-EOMONTH(DC$11,0))/30)+1,0),0)</f>
        <v>0</v>
      </c>
      <c r="DD190" s="427">
        <f>-IF(AND(DD$11&gt;=EOMONTH('Construction Budget'!$K46,0),DD$11&lt;=EOMONTH('Construction Budget'!$M46,0)),('Construction Budget'!$G46+SUM($G190:DC190))/ROUND(((EOMONTH('Construction Budget'!$M46,0)-EOMONTH(DD$11,0))/30)+1,0),0)</f>
        <v>0</v>
      </c>
      <c r="DE190" s="427">
        <f>-IF(AND(DE$11&gt;=EOMONTH('Construction Budget'!$K46,0),DE$11&lt;=EOMONTH('Construction Budget'!$M46,0)),('Construction Budget'!$G46+SUM($G190:DD190))/ROUND(((EOMONTH('Construction Budget'!$M46,0)-EOMONTH(DE$11,0))/30)+1,0),0)</f>
        <v>0</v>
      </c>
      <c r="DF190" s="427">
        <f>-IF(AND(DF$11&gt;=EOMONTH('Construction Budget'!$K46,0),DF$11&lt;=EOMONTH('Construction Budget'!$M46,0)),('Construction Budget'!$G46+SUM($G190:DE190))/ROUND(((EOMONTH('Construction Budget'!$M46,0)-EOMONTH(DF$11,0))/30)+1,0),0)</f>
        <v>0</v>
      </c>
      <c r="DG190" s="427">
        <f>-IF(AND(DG$11&gt;=EOMONTH('Construction Budget'!$K46,0),DG$11&lt;=EOMONTH('Construction Budget'!$M46,0)),('Construction Budget'!$G46+SUM($G190:DF190))/ROUND(((EOMONTH('Construction Budget'!$M46,0)-EOMONTH(DG$11,0))/30)+1,0),0)</f>
        <v>0</v>
      </c>
      <c r="DH190" s="427">
        <f>-IF(AND(DH$11&gt;=EOMONTH('Construction Budget'!$K46,0),DH$11&lt;=EOMONTH('Construction Budget'!$M46,0)),('Construction Budget'!$G46+SUM($G190:DG190))/ROUND(((EOMONTH('Construction Budget'!$M46,0)-EOMONTH(DH$11,0))/30)+1,0),0)</f>
        <v>0</v>
      </c>
      <c r="DI190" s="427">
        <f>-IF(AND(DI$11&gt;=EOMONTH('Construction Budget'!$K46,0),DI$11&lt;=EOMONTH('Construction Budget'!$M46,0)),('Construction Budget'!$G46+SUM($G190:DH190))/ROUND(((EOMONTH('Construction Budget'!$M46,0)-EOMONTH(DI$11,0))/30)+1,0),0)</f>
        <v>0</v>
      </c>
      <c r="DJ190" s="427">
        <f>-IF(AND(DJ$11&gt;=EOMONTH('Construction Budget'!$K46,0),DJ$11&lt;=EOMONTH('Construction Budget'!$M46,0)),('Construction Budget'!$G46+SUM($G190:DI190))/ROUND(((EOMONTH('Construction Budget'!$M46,0)-EOMONTH(DJ$11,0))/30)+1,0),0)</f>
        <v>0</v>
      </c>
      <c r="DK190" s="427">
        <f>-IF(AND(DK$11&gt;=EOMONTH('Construction Budget'!$K46,0),DK$11&lt;=EOMONTH('Construction Budget'!$M46,0)),('Construction Budget'!$G46+SUM($G190:DJ190))/ROUND(((EOMONTH('Construction Budget'!$M46,0)-EOMONTH(DK$11,0))/30)+1,0),0)</f>
        <v>0</v>
      </c>
      <c r="DL190" s="427">
        <f>-IF(AND(DL$11&gt;=EOMONTH('Construction Budget'!$K46,0),DL$11&lt;=EOMONTH('Construction Budget'!$M46,0)),('Construction Budget'!$G46+SUM($G190:DK190))/ROUND(((EOMONTH('Construction Budget'!$M46,0)-EOMONTH(DL$11,0))/30)+1,0),0)</f>
        <v>0</v>
      </c>
      <c r="DM190" s="427">
        <f>-IF(AND(DM$11&gt;=EOMONTH('Construction Budget'!$K46,0),DM$11&lt;=EOMONTH('Construction Budget'!$M46,0)),('Construction Budget'!$G46+SUM($G190:DL190))/ROUND(((EOMONTH('Construction Budget'!$M46,0)-EOMONTH(DM$11,0))/30)+1,0),0)</f>
        <v>0</v>
      </c>
      <c r="DN190" s="427">
        <f>-IF(AND(DN$11&gt;=EOMONTH('Construction Budget'!$K46,0),DN$11&lt;=EOMONTH('Construction Budget'!$M46,0)),('Construction Budget'!$G46+SUM($G190:DM190))/ROUND(((EOMONTH('Construction Budget'!$M46,0)-EOMONTH(DN$11,0))/30)+1,0),0)</f>
        <v>0</v>
      </c>
      <c r="DO190" s="427">
        <f>-IF(AND(DO$11&gt;=EOMONTH('Construction Budget'!$K46,0),DO$11&lt;=EOMONTH('Construction Budget'!$M46,0)),('Construction Budget'!$G46+SUM($G190:DN190))/ROUND(((EOMONTH('Construction Budget'!$M46,0)-EOMONTH(DO$11,0))/30)+1,0),0)</f>
        <v>0</v>
      </c>
      <c r="DP190" s="427">
        <f>-IF(AND(DP$11&gt;=EOMONTH('Construction Budget'!$K46,0),DP$11&lt;=EOMONTH('Construction Budget'!$M46,0)),('Construction Budget'!$G46+SUM($G190:DO190))/ROUND(((EOMONTH('Construction Budget'!$M46,0)-EOMONTH(DP$11,0))/30)+1,0),0)</f>
        <v>0</v>
      </c>
      <c r="DQ190" s="427">
        <f>-IF(AND(DQ$11&gt;=EOMONTH('Construction Budget'!$K46,0),DQ$11&lt;=EOMONTH('Construction Budget'!$M46,0)),('Construction Budget'!$G46+SUM($G190:DP190))/ROUND(((EOMONTH('Construction Budget'!$M46,0)-EOMONTH(DQ$11,0))/30)+1,0),0)</f>
        <v>0</v>
      </c>
      <c r="DR190" s="427">
        <f>-IF(AND(DR$11&gt;=EOMONTH('Construction Budget'!$K46,0),DR$11&lt;=EOMONTH('Construction Budget'!$M46,0)),('Construction Budget'!$G46+SUM($G190:DQ190))/ROUND(((EOMONTH('Construction Budget'!$M46,0)-EOMONTH(DR$11,0))/30)+1,0),0)</f>
        <v>0</v>
      </c>
      <c r="DS190" s="427">
        <f>-IF(AND(DS$11&gt;=EOMONTH('Construction Budget'!$K46,0),DS$11&lt;=EOMONTH('Construction Budget'!$M46,0)),('Construction Budget'!$G46+SUM($G190:DR190))/ROUND(((EOMONTH('Construction Budget'!$M46,0)-EOMONTH(DS$11,0))/30)+1,0),0)</f>
        <v>0</v>
      </c>
      <c r="DT190" s="427">
        <f>-IF(AND(DT$11&gt;=EOMONTH('Construction Budget'!$K46,0),DT$11&lt;=EOMONTH('Construction Budget'!$M46,0)),('Construction Budget'!$G46+SUM($G190:DS190))/ROUND(((EOMONTH('Construction Budget'!$M46,0)-EOMONTH(DT$11,0))/30)+1,0),0)</f>
        <v>0</v>
      </c>
      <c r="DU190" s="427">
        <f>-IF(AND(DU$11&gt;=EOMONTH('Construction Budget'!$K46,0),DU$11&lt;=EOMONTH('Construction Budget'!$M46,0)),('Construction Budget'!$G46+SUM($G190:DT190))/ROUND(((EOMONTH('Construction Budget'!$M46,0)-EOMONTH(DU$11,0))/30)+1,0),0)</f>
        <v>0</v>
      </c>
      <c r="DV190" s="427">
        <f>-IF(AND(DV$11&gt;=EOMONTH('Construction Budget'!$K46,0),DV$11&lt;=EOMONTH('Construction Budget'!$M46,0)),('Construction Budget'!$G46+SUM($G190:DU190))/ROUND(((EOMONTH('Construction Budget'!$M46,0)-EOMONTH(DV$11,0))/30)+1,0),0)</f>
        <v>0</v>
      </c>
      <c r="DW190" s="427">
        <f>-IF(AND(DW$11&gt;=EOMONTH('Construction Budget'!$K46,0),DW$11&lt;=EOMONTH('Construction Budget'!$M46,0)),('Construction Budget'!$G46+SUM($G190:DV190))/ROUND(((EOMONTH('Construction Budget'!$M46,0)-EOMONTH(DW$11,0))/30)+1,0),0)</f>
        <v>0</v>
      </c>
      <c r="DX190" s="427">
        <f>-IF(AND(DX$11&gt;=EOMONTH('Construction Budget'!$K46,0),DX$11&lt;=EOMONTH('Construction Budget'!$M46,0)),('Construction Budget'!$G46+SUM($G190:DW190))/ROUND(((EOMONTH('Construction Budget'!$M46,0)-EOMONTH(DX$11,0))/30)+1,0),0)</f>
        <v>0</v>
      </c>
      <c r="DY190" s="427">
        <f>-IF(AND(DY$11&gt;=EOMONTH('Construction Budget'!$K46,0),DY$11&lt;=EOMONTH('Construction Budget'!$M46,0)),('Construction Budget'!$G46+SUM($G190:DX190))/ROUND(((EOMONTH('Construction Budget'!$M46,0)-EOMONTH(DY$11,0))/30)+1,0),0)</f>
        <v>0</v>
      </c>
      <c r="DZ190" s="427">
        <f>-IF(AND(DZ$11&gt;=EOMONTH('Construction Budget'!$K46,0),DZ$11&lt;=EOMONTH('Construction Budget'!$M46,0)),('Construction Budget'!$G46+SUM($G190:DY190))/ROUND(((EOMONTH('Construction Budget'!$M46,0)-EOMONTH(DZ$11,0))/30)+1,0),0)</f>
        <v>0</v>
      </c>
      <c r="EA190" s="427">
        <f>-IF(AND(EA$11&gt;=EOMONTH('Construction Budget'!$K46,0),EA$11&lt;=EOMONTH('Construction Budget'!$M46,0)),('Construction Budget'!$G46+SUM($G190:DZ190))/ROUND(((EOMONTH('Construction Budget'!$M46,0)-EOMONTH(EA$11,0))/30)+1,0),0)</f>
        <v>0</v>
      </c>
      <c r="EB190" s="427">
        <f>-IF(AND(EB$11&gt;=EOMONTH('Construction Budget'!$K46,0),EB$11&lt;=EOMONTH('Construction Budget'!$M46,0)),('Construction Budget'!$G46+SUM($G190:EA190))/ROUND(((EOMONTH('Construction Budget'!$M46,0)-EOMONTH(EB$11,0))/30)+1,0),0)</f>
        <v>0</v>
      </c>
      <c r="EC190" s="427">
        <f>-IF(AND(EC$11&gt;=EOMONTH('Construction Budget'!$K46,0),EC$11&lt;=EOMONTH('Construction Budget'!$M46,0)),('Construction Budget'!$G46+SUM($G190:EB190))/ROUND(((EOMONTH('Construction Budget'!$M46,0)-EOMONTH(EC$11,0))/30)+1,0),0)</f>
        <v>0</v>
      </c>
      <c r="ED190" s="427">
        <f>-IF(AND(ED$11&gt;=EOMONTH('Construction Budget'!$K46,0),ED$11&lt;=EOMONTH('Construction Budget'!$M46,0)),('Construction Budget'!$G46+SUM($G190:EC190))/ROUND(((EOMONTH('Construction Budget'!$M46,0)-EOMONTH(ED$11,0))/30)+1,0),0)</f>
        <v>0</v>
      </c>
      <c r="EE190" s="427">
        <f>-IF(AND(EE$11&gt;=EOMONTH('Construction Budget'!$K46,0),EE$11&lt;=EOMONTH('Construction Budget'!$M46,0)),('Construction Budget'!$G46+SUM($G190:ED190))/ROUND(((EOMONTH('Construction Budget'!$M46,0)-EOMONTH(EE$11,0))/30)+1,0),0)</f>
        <v>0</v>
      </c>
      <c r="EF190" s="427">
        <f>-IF(AND(EF$11&gt;=EOMONTH('Construction Budget'!$K46,0),EF$11&lt;=EOMONTH('Construction Budget'!$M46,0)),('Construction Budget'!$G46+SUM($G190:EE190))/ROUND(((EOMONTH('Construction Budget'!$M46,0)-EOMONTH(EF$11,0))/30)+1,0),0)</f>
        <v>0</v>
      </c>
      <c r="EG190" s="427">
        <f>-IF(AND(EG$11&gt;=EOMONTH('Construction Budget'!$K46,0),EG$11&lt;=EOMONTH('Construction Budget'!$M46,0)),('Construction Budget'!$G46+SUM($G190:EF190))/ROUND(((EOMONTH('Construction Budget'!$M46,0)-EOMONTH(EG$11,0))/30)+1,0),0)</f>
        <v>0</v>
      </c>
      <c r="EH190" s="427">
        <f>-IF(AND(EH$11&gt;=EOMONTH('Construction Budget'!$K46,0),EH$11&lt;=EOMONTH('Construction Budget'!$M46,0)),('Construction Budget'!$G46+SUM($G190:EG190))/ROUND(((EOMONTH('Construction Budget'!$M46,0)-EOMONTH(EH$11,0))/30)+1,0),0)</f>
        <v>0</v>
      </c>
      <c r="EI190" s="427">
        <f>-IF(AND(EI$11&gt;=EOMONTH('Construction Budget'!$K46,0),EI$11&lt;=EOMONTH('Construction Budget'!$M46,0)),('Construction Budget'!$G46+SUM($G190:EH190))/ROUND(((EOMONTH('Construction Budget'!$M46,0)-EOMONTH(EI$11,0))/30)+1,0),0)</f>
        <v>0</v>
      </c>
      <c r="EJ190" s="427">
        <f>-IF(AND(EJ$11&gt;=EOMONTH('Construction Budget'!$K46,0),EJ$11&lt;=EOMONTH('Construction Budget'!$M46,0)),('Construction Budget'!$G46+SUM($G190:EI190))/ROUND(((EOMONTH('Construction Budget'!$M46,0)-EOMONTH(EJ$11,0))/30)+1,0),0)</f>
        <v>0</v>
      </c>
      <c r="EK190" s="427">
        <f>-IF(AND(EK$11&gt;=EOMONTH('Construction Budget'!$K46,0),EK$11&lt;=EOMONTH('Construction Budget'!$M46,0)),('Construction Budget'!$G46+SUM($G190:EJ190))/ROUND(((EOMONTH('Construction Budget'!$M46,0)-EOMONTH(EK$11,0))/30)+1,0),0)</f>
        <v>0</v>
      </c>
      <c r="EL190" s="427">
        <f>-IF(AND(EL$11&gt;=EOMONTH('Construction Budget'!$K46,0),EL$11&lt;=EOMONTH('Construction Budget'!$M46,0)),('Construction Budget'!$G46+SUM($G190:EK190))/ROUND(((EOMONTH('Construction Budget'!$M46,0)-EOMONTH(EL$11,0))/30)+1,0),0)</f>
        <v>0</v>
      </c>
      <c r="EM190" s="427">
        <f>-IF(AND(EM$11&gt;=EOMONTH('Construction Budget'!$K46,0),EM$11&lt;=EOMONTH('Construction Budget'!$M46,0)),('Construction Budget'!$G46+SUM($G190:EL190))/ROUND(((EOMONTH('Construction Budget'!$M46,0)-EOMONTH(EM$11,0))/30)+1,0),0)</f>
        <v>0</v>
      </c>
      <c r="EN190" s="427">
        <f>-IF(AND(EN$11&gt;=EOMONTH('Construction Budget'!$K46,0),EN$11&lt;=EOMONTH('Construction Budget'!$M46,0)),('Construction Budget'!$G46+SUM($G190:EM190))/ROUND(((EOMONTH('Construction Budget'!$M46,0)-EOMONTH(EN$11,0))/30)+1,0),0)</f>
        <v>0</v>
      </c>
      <c r="EO190" s="427">
        <f>-IF(AND(EO$11&gt;=EOMONTH('Construction Budget'!$K46,0),EO$11&lt;=EOMONTH('Construction Budget'!$M46,0)),('Construction Budget'!$G46+SUM($G190:EN190))/ROUND(((EOMONTH('Construction Budget'!$M46,0)-EOMONTH(EO$11,0))/30)+1,0),0)</f>
        <v>0</v>
      </c>
      <c r="EP190" s="427">
        <f>-IF(AND(EP$11&gt;=EOMONTH('Construction Budget'!$K46,0),EP$11&lt;=EOMONTH('Construction Budget'!$M46,0)),('Construction Budget'!$G46+SUM($G190:EO190))/ROUND(((EOMONTH('Construction Budget'!$M46,0)-EOMONTH(EP$11,0))/30)+1,0),0)</f>
        <v>0</v>
      </c>
      <c r="EQ190" s="427">
        <f>-IF(AND(EQ$11&gt;=EOMONTH('Construction Budget'!$K46,0),EQ$11&lt;=EOMONTH('Construction Budget'!$M46,0)),('Construction Budget'!$G46+SUM($G190:EP190))/ROUND(((EOMONTH('Construction Budget'!$M46,0)-EOMONTH(EQ$11,0))/30)+1,0),0)</f>
        <v>0</v>
      </c>
      <c r="ER190" s="427">
        <f>-IF(AND(ER$11&gt;=EOMONTH('Construction Budget'!$K46,0),ER$11&lt;=EOMONTH('Construction Budget'!$M46,0)),('Construction Budget'!$G46+SUM($G190:EQ190))/ROUND(((EOMONTH('Construction Budget'!$M46,0)-EOMONTH(ER$11,0))/30)+1,0),0)</f>
        <v>0</v>
      </c>
      <c r="ES190" s="427">
        <f>-IF(AND(ES$11&gt;=EOMONTH('Construction Budget'!$K46,0),ES$11&lt;=EOMONTH('Construction Budget'!$M46,0)),('Construction Budget'!$G46+SUM($G190:ER190))/ROUND(((EOMONTH('Construction Budget'!$M46,0)-EOMONTH(ES$11,0))/30)+1,0),0)</f>
        <v>0</v>
      </c>
      <c r="ET190" s="427">
        <f>-IF(AND(ET$11&gt;=EOMONTH('Construction Budget'!$K46,0),ET$11&lt;=EOMONTH('Construction Budget'!$M46,0)),('Construction Budget'!$G46+SUM($G190:ES190))/ROUND(((EOMONTH('Construction Budget'!$M46,0)-EOMONTH(ET$11,0))/30)+1,0),0)</f>
        <v>0</v>
      </c>
      <c r="EU190" s="427">
        <f>-IF(AND(EU$11&gt;=EOMONTH('Construction Budget'!$K46,0),EU$11&lt;=EOMONTH('Construction Budget'!$M46,0)),('Construction Budget'!$G46+SUM($G190:ET190))/ROUND(((EOMONTH('Construction Budget'!$M46,0)-EOMONTH(EU$11,0))/30)+1,0),0)</f>
        <v>0</v>
      </c>
      <c r="EV190" s="427">
        <f>-IF(AND(EV$11&gt;=EOMONTH('Construction Budget'!$K46,0),EV$11&lt;=EOMONTH('Construction Budget'!$M46,0)),('Construction Budget'!$G46+SUM($G190:EU190))/ROUND(((EOMONTH('Construction Budget'!$M46,0)-EOMONTH(EV$11,0))/30)+1,0),0)</f>
        <v>0</v>
      </c>
      <c r="EW190" s="427">
        <f>-IF(AND(EW$11&gt;=EOMONTH('Construction Budget'!$K46,0),EW$11&lt;=EOMONTH('Construction Budget'!$M46,0)),('Construction Budget'!$G46+SUM($G190:EV190))/ROUND(((EOMONTH('Construction Budget'!$M46,0)-EOMONTH(EW$11,0))/30)+1,0),0)</f>
        <v>0</v>
      </c>
      <c r="EX190" s="427">
        <f>-IF(AND(EX$11&gt;=EOMONTH('Construction Budget'!$K46,0),EX$11&lt;=EOMONTH('Construction Budget'!$M46,0)),('Construction Budget'!$G46+SUM($G190:EW190))/ROUND(((EOMONTH('Construction Budget'!$M46,0)-EOMONTH(EX$11,0))/30)+1,0),0)</f>
        <v>0</v>
      </c>
      <c r="EY190" s="427">
        <f>-IF(AND(EY$11&gt;=EOMONTH('Construction Budget'!$K46,0),EY$11&lt;=EOMONTH('Construction Budget'!$M46,0)),('Construction Budget'!$G46+SUM($G190:EX190))/ROUND(((EOMONTH('Construction Budget'!$M46,0)-EOMONTH(EY$11,0))/30)+1,0),0)</f>
        <v>0</v>
      </c>
      <c r="EZ190" s="427">
        <f>-IF(AND(EZ$11&gt;=EOMONTH('Construction Budget'!$K46,0),EZ$11&lt;=EOMONTH('Construction Budget'!$M46,0)),('Construction Budget'!$G46+SUM($G190:EY190))/ROUND(((EOMONTH('Construction Budget'!$M46,0)-EOMONTH(EZ$11,0))/30)+1,0),0)</f>
        <v>0</v>
      </c>
      <c r="FA190" s="427">
        <f>-IF(AND(FA$11&gt;=EOMONTH('Construction Budget'!$K46,0),FA$11&lt;=EOMONTH('Construction Budget'!$M46,0)),('Construction Budget'!$G46+SUM($G190:EZ190))/ROUND(((EOMONTH('Construction Budget'!$M46,0)-EOMONTH(FA$11,0))/30)+1,0),0)</f>
        <v>0</v>
      </c>
      <c r="FB190" s="427">
        <f>-IF(AND(FB$11&gt;=EOMONTH('Construction Budget'!$K46,0),FB$11&lt;=EOMONTH('Construction Budget'!$M46,0)),('Construction Budget'!$G46+SUM($G190:FA190))/ROUND(((EOMONTH('Construction Budget'!$M46,0)-EOMONTH(FB$11,0))/30)+1,0),0)</f>
        <v>0</v>
      </c>
      <c r="FC190" s="427">
        <f>-IF(AND(FC$11&gt;=EOMONTH('Construction Budget'!$K46,0),FC$11&lt;=EOMONTH('Construction Budget'!$M46,0)),('Construction Budget'!$G46+SUM($G190:FB190))/ROUND(((EOMONTH('Construction Budget'!$M46,0)-EOMONTH(FC$11,0))/30)+1,0),0)</f>
        <v>0</v>
      </c>
      <c r="FD190" s="427">
        <f>-IF(AND(FD$11&gt;=EOMONTH('Construction Budget'!$K46,0),FD$11&lt;=EOMONTH('Construction Budget'!$M46,0)),('Construction Budget'!$G46+SUM($G190:FC190))/ROUND(((EOMONTH('Construction Budget'!$M46,0)-EOMONTH(FD$11,0))/30)+1,0),0)</f>
        <v>0</v>
      </c>
      <c r="FE190" s="427">
        <f>-IF(AND(FE$11&gt;=EOMONTH('Construction Budget'!$K46,0),FE$11&lt;=EOMONTH('Construction Budget'!$M46,0)),('Construction Budget'!$G46+SUM($G190:FD190))/ROUND(((EOMONTH('Construction Budget'!$M46,0)-EOMONTH(FE$11,0))/30)+1,0),0)</f>
        <v>0</v>
      </c>
      <c r="FF190" s="427">
        <f>-IF(AND(FF$11&gt;=EOMONTH('Construction Budget'!$K46,0),FF$11&lt;=EOMONTH('Construction Budget'!$M46,0)),('Construction Budget'!$G46+SUM($G190:FE190))/ROUND(((EOMONTH('Construction Budget'!$M46,0)-EOMONTH(FF$11,0))/30)+1,0),0)</f>
        <v>0</v>
      </c>
      <c r="FG190" s="427">
        <f>-IF(AND(FG$11&gt;=EOMONTH('Construction Budget'!$K46,0),FG$11&lt;=EOMONTH('Construction Budget'!$M46,0)),('Construction Budget'!$G46+SUM($G190:FF190))/ROUND(((EOMONTH('Construction Budget'!$M46,0)-EOMONTH(FG$11,0))/30)+1,0),0)</f>
        <v>0</v>
      </c>
      <c r="FH190" s="427">
        <f>-IF(AND(FH$11&gt;=EOMONTH('Construction Budget'!$K46,0),FH$11&lt;=EOMONTH('Construction Budget'!$M46,0)),('Construction Budget'!$G46+SUM($G190:FG190))/ROUND(((EOMONTH('Construction Budget'!$M46,0)-EOMONTH(FH$11,0))/30)+1,0),0)</f>
        <v>0</v>
      </c>
      <c r="FI190" s="427">
        <f>-IF(AND(FI$11&gt;=EOMONTH('Construction Budget'!$K46,0),FI$11&lt;=EOMONTH('Construction Budget'!$M46,0)),('Construction Budget'!$G46+SUM($G190:FH190))/ROUND(((EOMONTH('Construction Budget'!$M46,0)-EOMONTH(FI$11,0))/30)+1,0),0)</f>
        <v>0</v>
      </c>
      <c r="FJ190" s="427">
        <f>-IF(AND(FJ$11&gt;=EOMONTH('Construction Budget'!$K46,0),FJ$11&lt;=EOMONTH('Construction Budget'!$M46,0)),('Construction Budget'!$G46+SUM($G190:FI190))/ROUND(((EOMONTH('Construction Budget'!$M46,0)-EOMONTH(FJ$11,0))/30)+1,0),0)</f>
        <v>0</v>
      </c>
      <c r="FK190" s="427">
        <f>-IF(AND(FK$11&gt;=EOMONTH('Construction Budget'!$K46,0),FK$11&lt;=EOMONTH('Construction Budget'!$M46,0)),('Construction Budget'!$G46+SUM($G190:FJ190))/ROUND(((EOMONTH('Construction Budget'!$M46,0)-EOMONTH(FK$11,0))/30)+1,0),0)</f>
        <v>0</v>
      </c>
      <c r="FL190" s="427">
        <f>-IF(AND(FL$11&gt;=EOMONTH('Construction Budget'!$K46,0),FL$11&lt;=EOMONTH('Construction Budget'!$M46,0)),('Construction Budget'!$G46+SUM($G190:FK190))/ROUND(((EOMONTH('Construction Budget'!$M46,0)-EOMONTH(FL$11,0))/30)+1,0),0)</f>
        <v>0</v>
      </c>
      <c r="FM190" s="427">
        <f>-IF(AND(FM$11&gt;=EOMONTH('Construction Budget'!$K46,0),FM$11&lt;=EOMONTH('Construction Budget'!$M46,0)),('Construction Budget'!$G46+SUM($G190:FL190))/ROUND(((EOMONTH('Construction Budget'!$M46,0)-EOMONTH(FM$11,0))/30)+1,0),0)</f>
        <v>0</v>
      </c>
      <c r="FN190" s="427">
        <f>-IF(AND(FN$11&gt;=EOMONTH('Construction Budget'!$K46,0),FN$11&lt;=EOMONTH('Construction Budget'!$M46,0)),('Construction Budget'!$G46+SUM($G190:FM190))/ROUND(((EOMONTH('Construction Budget'!$M46,0)-EOMONTH(FN$11,0))/30)+1,0),0)</f>
        <v>0</v>
      </c>
      <c r="FO190" s="427">
        <f>-IF(AND(FO$11&gt;=EOMONTH('Construction Budget'!$K46,0),FO$11&lt;=EOMONTH('Construction Budget'!$M46,0)),('Construction Budget'!$G46+SUM($G190:FN190))/ROUND(((EOMONTH('Construction Budget'!$M46,0)-EOMONTH(FO$11,0))/30)+1,0),0)</f>
        <v>0</v>
      </c>
      <c r="FP190" s="427">
        <f>-IF(AND(FP$11&gt;=EOMONTH('Construction Budget'!$K46,0),FP$11&lt;=EOMONTH('Construction Budget'!$M46,0)),('Construction Budget'!$G46+SUM($G190:FO190))/ROUND(((EOMONTH('Construction Budget'!$M46,0)-EOMONTH(FP$11,0))/30)+1,0),0)</f>
        <v>0</v>
      </c>
      <c r="FQ190" s="427">
        <f>-IF(AND(FQ$11&gt;=EOMONTH('Construction Budget'!$K46,0),FQ$11&lt;=EOMONTH('Construction Budget'!$M46,0)),('Construction Budget'!$G46+SUM($G190:FP190))/ROUND(((EOMONTH('Construction Budget'!$M46,0)-EOMONTH(FQ$11,0))/30)+1,0),0)</f>
        <v>0</v>
      </c>
      <c r="FR190" s="427">
        <f>-IF(AND(FR$11&gt;=EOMONTH('Construction Budget'!$K46,0),FR$11&lt;=EOMONTH('Construction Budget'!$M46,0)),('Construction Budget'!$G46+SUM($G190:FQ190))/ROUND(((EOMONTH('Construction Budget'!$M46,0)-EOMONTH(FR$11,0))/30)+1,0),0)</f>
        <v>0</v>
      </c>
      <c r="FS190" s="427">
        <f>-IF(AND(FS$11&gt;=EOMONTH('Construction Budget'!$K46,0),FS$11&lt;=EOMONTH('Construction Budget'!$M46,0)),('Construction Budget'!$G46+SUM($G190:FR190))/ROUND(((EOMONTH('Construction Budget'!$M46,0)-EOMONTH(FS$11,0))/30)+1,0),0)</f>
        <v>0</v>
      </c>
      <c r="FT190" s="427">
        <f>-IF(AND(FT$11&gt;=EOMONTH('Construction Budget'!$K46,0),FT$11&lt;=EOMONTH('Construction Budget'!$M46,0)),('Construction Budget'!$G46+SUM($G190:FS190))/ROUND(((EOMONTH('Construction Budget'!$M46,0)-EOMONTH(FT$11,0))/30)+1,0),0)</f>
        <v>0</v>
      </c>
      <c r="FU190" s="43"/>
      <c r="FV190" s="34"/>
      <c r="FW190" s="34"/>
      <c r="FX190" s="34"/>
      <c r="FY190" s="34"/>
      <c r="FZ190" s="34"/>
    </row>
    <row r="191" spans="1:182" s="89" customFormat="1" ht="13.5" hidden="1" outlineLevel="2" x14ac:dyDescent="0.25">
      <c r="A191" s="498"/>
      <c r="B191" s="128" t="str">
        <f>'Construction Budget'!B47</f>
        <v>Blank</v>
      </c>
      <c r="C191" s="34"/>
      <c r="D191" s="34"/>
      <c r="E191" s="34"/>
      <c r="F191" s="434">
        <f t="shared" si="232"/>
        <v>0</v>
      </c>
      <c r="G191" s="34"/>
      <c r="H191" s="427">
        <f>-IF(AND(H$11&gt;=EOMONTH('Construction Budget'!$K47,0),H$11&lt;=EOMONTH('Construction Budget'!$M47,0)),('Construction Budget'!$G47+SUM($G191:G191))/ROUND(((EOMONTH('Construction Budget'!$M47,0)-EOMONTH(H$11,0))/30)+1,0),0)</f>
        <v>0</v>
      </c>
      <c r="I191" s="427">
        <f>-IF(AND(I$11&gt;=EOMONTH('Construction Budget'!$K47,0),I$11&lt;=EOMONTH('Construction Budget'!$M47,0)),('Construction Budget'!$G47+SUM($G191:H191))/ROUND(((EOMONTH('Construction Budget'!$M47,0)-EOMONTH(I$11,0))/30)+1,0),0)</f>
        <v>0</v>
      </c>
      <c r="J191" s="427">
        <f>-IF(AND(J$11&gt;=EOMONTH('Construction Budget'!$K47,0),J$11&lt;=EOMONTH('Construction Budget'!$M47,0)),('Construction Budget'!$G47+SUM($G191:I191))/ROUND(((EOMONTH('Construction Budget'!$M47,0)-EOMONTH(J$11,0))/30)+1,0),0)</f>
        <v>0</v>
      </c>
      <c r="K191" s="427">
        <f>-IF(AND(K$11&gt;=EOMONTH('Construction Budget'!$K47,0),K$11&lt;=EOMONTH('Construction Budget'!$M47,0)),('Construction Budget'!$G47+SUM($G191:J191))/ROUND(((EOMONTH('Construction Budget'!$M47,0)-EOMONTH(K$11,0))/30)+1,0),0)</f>
        <v>0</v>
      </c>
      <c r="L191" s="427">
        <f>-IF(AND(L$11&gt;=EOMONTH('Construction Budget'!$K47,0),L$11&lt;=EOMONTH('Construction Budget'!$M47,0)),('Construction Budget'!$G47+SUM($G191:K191))/ROUND(((EOMONTH('Construction Budget'!$M47,0)-EOMONTH(L$11,0))/30)+1,0),0)</f>
        <v>0</v>
      </c>
      <c r="M191" s="427">
        <f>-IF(AND(M$11&gt;=EOMONTH('Construction Budget'!$K47,0),M$11&lt;=EOMONTH('Construction Budget'!$M47,0)),('Construction Budget'!$G47+SUM($G191:L191))/ROUND(((EOMONTH('Construction Budget'!$M47,0)-EOMONTH(M$11,0))/30)+1,0),0)</f>
        <v>0</v>
      </c>
      <c r="N191" s="427">
        <f>-IF(AND(N$11&gt;=EOMONTH('Construction Budget'!$K47,0),N$11&lt;=EOMONTH('Construction Budget'!$M47,0)),('Construction Budget'!$G47+SUM($G191:M191))/ROUND(((EOMONTH('Construction Budget'!$M47,0)-EOMONTH(N$11,0))/30)+1,0),0)</f>
        <v>0</v>
      </c>
      <c r="O191" s="427">
        <f>-IF(AND(O$11&gt;=EOMONTH('Construction Budget'!$K47,0),O$11&lt;=EOMONTH('Construction Budget'!$M47,0)),('Construction Budget'!$G47+SUM($G191:N191))/ROUND(((EOMONTH('Construction Budget'!$M47,0)-EOMONTH(O$11,0))/30)+1,0),0)</f>
        <v>0</v>
      </c>
      <c r="P191" s="427">
        <f>-IF(AND(P$11&gt;=EOMONTH('Construction Budget'!$K47,0),P$11&lt;=EOMONTH('Construction Budget'!$M47,0)),('Construction Budget'!$G47+SUM($G191:O191))/ROUND(((EOMONTH('Construction Budget'!$M47,0)-EOMONTH(P$11,0))/30)+1,0),0)</f>
        <v>0</v>
      </c>
      <c r="Q191" s="427">
        <f>-IF(AND(Q$11&gt;=EOMONTH('Construction Budget'!$K47,0),Q$11&lt;=EOMONTH('Construction Budget'!$M47,0)),('Construction Budget'!$G47+SUM($G191:P191))/ROUND(((EOMONTH('Construction Budget'!$M47,0)-EOMONTH(Q$11,0))/30)+1,0),0)</f>
        <v>0</v>
      </c>
      <c r="R191" s="427">
        <f>-IF(AND(R$11&gt;=EOMONTH('Construction Budget'!$K47,0),R$11&lt;=EOMONTH('Construction Budget'!$M47,0)),('Construction Budget'!$G47+SUM($G191:Q191))/ROUND(((EOMONTH('Construction Budget'!$M47,0)-EOMONTH(R$11,0))/30)+1,0),0)</f>
        <v>0</v>
      </c>
      <c r="S191" s="427">
        <f>-IF(AND(S$11&gt;=EOMONTH('Construction Budget'!$K47,0),S$11&lt;=EOMONTH('Construction Budget'!$M47,0)),('Construction Budget'!$G47+SUM($G191:R191))/ROUND(((EOMONTH('Construction Budget'!$M47,0)-EOMONTH(S$11,0))/30)+1,0),0)</f>
        <v>0</v>
      </c>
      <c r="T191" s="427">
        <f>-IF(AND(T$11&gt;=EOMONTH('Construction Budget'!$K47,0),T$11&lt;=EOMONTH('Construction Budget'!$M47,0)),('Construction Budget'!$G47+SUM($G191:S191))/ROUND(((EOMONTH('Construction Budget'!$M47,0)-EOMONTH(T$11,0))/30)+1,0),0)</f>
        <v>0</v>
      </c>
      <c r="U191" s="427">
        <f>-IF(AND(U$11&gt;=EOMONTH('Construction Budget'!$K47,0),U$11&lt;=EOMONTH('Construction Budget'!$M47,0)),('Construction Budget'!$G47+SUM($G191:T191))/ROUND(((EOMONTH('Construction Budget'!$M47,0)-EOMONTH(U$11,0))/30)+1,0),0)</f>
        <v>0</v>
      </c>
      <c r="V191" s="427">
        <f>-IF(AND(V$11&gt;=EOMONTH('Construction Budget'!$K47,0),V$11&lt;=EOMONTH('Construction Budget'!$M47,0)),('Construction Budget'!$G47+SUM($G191:U191))/ROUND(((EOMONTH('Construction Budget'!$M47,0)-EOMONTH(V$11,0))/30)+1,0),0)</f>
        <v>0</v>
      </c>
      <c r="W191" s="427">
        <f>-IF(AND(W$11&gt;=EOMONTH('Construction Budget'!$K47,0),W$11&lt;=EOMONTH('Construction Budget'!$M47,0)),('Construction Budget'!$G47+SUM($G191:V191))/ROUND(((EOMONTH('Construction Budget'!$M47,0)-EOMONTH(W$11,0))/30)+1,0),0)</f>
        <v>0</v>
      </c>
      <c r="X191" s="427">
        <f>-IF(AND(X$11&gt;=EOMONTH('Construction Budget'!$K47,0),X$11&lt;=EOMONTH('Construction Budget'!$M47,0)),('Construction Budget'!$G47+SUM($G191:W191))/ROUND(((EOMONTH('Construction Budget'!$M47,0)-EOMONTH(X$11,0))/30)+1,0),0)</f>
        <v>0</v>
      </c>
      <c r="Y191" s="427">
        <f>-IF(AND(Y$11&gt;=EOMONTH('Construction Budget'!$K47,0),Y$11&lt;=EOMONTH('Construction Budget'!$M47,0)),('Construction Budget'!$G47+SUM($G191:X191))/ROUND(((EOMONTH('Construction Budget'!$M47,0)-EOMONTH(Y$11,0))/30)+1,0),0)</f>
        <v>0</v>
      </c>
      <c r="Z191" s="427">
        <f>-IF(AND(Z$11&gt;=EOMONTH('Construction Budget'!$K47,0),Z$11&lt;=EOMONTH('Construction Budget'!$M47,0)),('Construction Budget'!$G47+SUM($G191:Y191))/ROUND(((EOMONTH('Construction Budget'!$M47,0)-EOMONTH(Z$11,0))/30)+1,0),0)</f>
        <v>0</v>
      </c>
      <c r="AA191" s="427">
        <f>-IF(AND(AA$11&gt;=EOMONTH('Construction Budget'!$K47,0),AA$11&lt;=EOMONTH('Construction Budget'!$M47,0)),('Construction Budget'!$G47+SUM($G191:Z191))/ROUND(((EOMONTH('Construction Budget'!$M47,0)-EOMONTH(AA$11,0))/30)+1,0),0)</f>
        <v>0</v>
      </c>
      <c r="AB191" s="427">
        <f>-IF(AND(AB$11&gt;=EOMONTH('Construction Budget'!$K47,0),AB$11&lt;=EOMONTH('Construction Budget'!$M47,0)),('Construction Budget'!$G47+SUM($G191:AA191))/ROUND(((EOMONTH('Construction Budget'!$M47,0)-EOMONTH(AB$11,0))/30)+1,0),0)</f>
        <v>0</v>
      </c>
      <c r="AC191" s="427">
        <f>-IF(AND(AC$11&gt;=EOMONTH('Construction Budget'!$K47,0),AC$11&lt;=EOMONTH('Construction Budget'!$M47,0)),('Construction Budget'!$G47+SUM($G191:AB191))/ROUND(((EOMONTH('Construction Budget'!$M47,0)-EOMONTH(AC$11,0))/30)+1,0),0)</f>
        <v>0</v>
      </c>
      <c r="AD191" s="427">
        <f>-IF(AND(AD$11&gt;=EOMONTH('Construction Budget'!$K47,0),AD$11&lt;=EOMONTH('Construction Budget'!$M47,0)),('Construction Budget'!$G47+SUM($G191:AC191))/ROUND(((EOMONTH('Construction Budget'!$M47,0)-EOMONTH(AD$11,0))/30)+1,0),0)</f>
        <v>0</v>
      </c>
      <c r="AE191" s="427">
        <f>-IF(AND(AE$11&gt;=EOMONTH('Construction Budget'!$K47,0),AE$11&lt;=EOMONTH('Construction Budget'!$M47,0)),('Construction Budget'!$G47+SUM($G191:AD191))/ROUND(((EOMONTH('Construction Budget'!$M47,0)-EOMONTH(AE$11,0))/30)+1,0),0)</f>
        <v>0</v>
      </c>
      <c r="AF191" s="427">
        <f>-IF(AND(AF$11&gt;=EOMONTH('Construction Budget'!$K47,0),AF$11&lt;=EOMONTH('Construction Budget'!$M47,0)),('Construction Budget'!$G47+SUM($G191:AE191))/ROUND(((EOMONTH('Construction Budget'!$M47,0)-EOMONTH(AF$11,0))/30)+1,0),0)</f>
        <v>0</v>
      </c>
      <c r="AG191" s="427">
        <f>-IF(AND(AG$11&gt;=EOMONTH('Construction Budget'!$K47,0),AG$11&lt;=EOMONTH('Construction Budget'!$M47,0)),('Construction Budget'!$G47+SUM($G191:AF191))/ROUND(((EOMONTH('Construction Budget'!$M47,0)-EOMONTH(AG$11,0))/30)+1,0),0)</f>
        <v>0</v>
      </c>
      <c r="AH191" s="427">
        <f>-IF(AND(AH$11&gt;=EOMONTH('Construction Budget'!$K47,0),AH$11&lt;=EOMONTH('Construction Budget'!$M47,0)),('Construction Budget'!$G47+SUM($G191:AG191))/ROUND(((EOMONTH('Construction Budget'!$M47,0)-EOMONTH(AH$11,0))/30)+1,0),0)</f>
        <v>0</v>
      </c>
      <c r="AI191" s="427">
        <f>-IF(AND(AI$11&gt;=EOMONTH('Construction Budget'!$K47,0),AI$11&lt;=EOMONTH('Construction Budget'!$M47,0)),('Construction Budget'!$G47+SUM($G191:AH191))/ROUND(((EOMONTH('Construction Budget'!$M47,0)-EOMONTH(AI$11,0))/30)+1,0),0)</f>
        <v>0</v>
      </c>
      <c r="AJ191" s="427">
        <f>-IF(AND(AJ$11&gt;=EOMONTH('Construction Budget'!$K47,0),AJ$11&lt;=EOMONTH('Construction Budget'!$M47,0)),('Construction Budget'!$G47+SUM($G191:AI191))/ROUND(((EOMONTH('Construction Budget'!$M47,0)-EOMONTH(AJ$11,0))/30)+1,0),0)</f>
        <v>0</v>
      </c>
      <c r="AK191" s="427">
        <f>-IF(AND(AK$11&gt;=EOMONTH('Construction Budget'!$K47,0),AK$11&lt;=EOMONTH('Construction Budget'!$M47,0)),('Construction Budget'!$G47+SUM($G191:AJ191))/ROUND(((EOMONTH('Construction Budget'!$M47,0)-EOMONTH(AK$11,0))/30)+1,0),0)</f>
        <v>0</v>
      </c>
      <c r="AL191" s="427">
        <f>-IF(AND(AL$11&gt;=EOMONTH('Construction Budget'!$K47,0),AL$11&lt;=EOMONTH('Construction Budget'!$M47,0)),('Construction Budget'!$G47+SUM($G191:AK191))/ROUND(((EOMONTH('Construction Budget'!$M47,0)-EOMONTH(AL$11,0))/30)+1,0),0)</f>
        <v>0</v>
      </c>
      <c r="AM191" s="427">
        <f>-IF(AND(AM$11&gt;=EOMONTH('Construction Budget'!$K47,0),AM$11&lt;=EOMONTH('Construction Budget'!$M47,0)),('Construction Budget'!$G47+SUM($G191:AL191))/ROUND(((EOMONTH('Construction Budget'!$M47,0)-EOMONTH(AM$11,0))/30)+1,0),0)</f>
        <v>0</v>
      </c>
      <c r="AN191" s="427">
        <f>-IF(AND(AN$11&gt;=EOMONTH('Construction Budget'!$K47,0),AN$11&lt;=EOMONTH('Construction Budget'!$M47,0)),('Construction Budget'!$G47+SUM($G191:AM191))/ROUND(((EOMONTH('Construction Budget'!$M47,0)-EOMONTH(AN$11,0))/30)+1,0),0)</f>
        <v>0</v>
      </c>
      <c r="AO191" s="427">
        <f>-IF(AND(AO$11&gt;=EOMONTH('Construction Budget'!$K47,0),AO$11&lt;=EOMONTH('Construction Budget'!$M47,0)),('Construction Budget'!$G47+SUM($G191:AN191))/ROUND(((EOMONTH('Construction Budget'!$M47,0)-EOMONTH(AO$11,0))/30)+1,0),0)</f>
        <v>0</v>
      </c>
      <c r="AP191" s="427">
        <f>-IF(AND(AP$11&gt;=EOMONTH('Construction Budget'!$K47,0),AP$11&lt;=EOMONTH('Construction Budget'!$M47,0)),('Construction Budget'!$G47+SUM($G191:AO191))/ROUND(((EOMONTH('Construction Budget'!$M47,0)-EOMONTH(AP$11,0))/30)+1,0),0)</f>
        <v>0</v>
      </c>
      <c r="AQ191" s="427">
        <f>-IF(AND(AQ$11&gt;=EOMONTH('Construction Budget'!$K47,0),AQ$11&lt;=EOMONTH('Construction Budget'!$M47,0)),('Construction Budget'!$G47+SUM($G191:AP191))/ROUND(((EOMONTH('Construction Budget'!$M47,0)-EOMONTH(AQ$11,0))/30)+1,0),0)</f>
        <v>0</v>
      </c>
      <c r="AR191" s="427">
        <f>-IF(AND(AR$11&gt;=EOMONTH('Construction Budget'!$K47,0),AR$11&lt;=EOMONTH('Construction Budget'!$M47,0)),('Construction Budget'!$G47+SUM($G191:AQ191))/ROUND(((EOMONTH('Construction Budget'!$M47,0)-EOMONTH(AR$11,0))/30)+1,0),0)</f>
        <v>0</v>
      </c>
      <c r="AS191" s="427">
        <f>-IF(AND(AS$11&gt;=EOMONTH('Construction Budget'!$K47,0),AS$11&lt;=EOMONTH('Construction Budget'!$M47,0)),('Construction Budget'!$G47+SUM($G191:AR191))/ROUND(((EOMONTH('Construction Budget'!$M47,0)-EOMONTH(AS$11,0))/30)+1,0),0)</f>
        <v>0</v>
      </c>
      <c r="AT191" s="427">
        <f>-IF(AND(AT$11&gt;=EOMONTH('Construction Budget'!$K47,0),AT$11&lt;=EOMONTH('Construction Budget'!$M47,0)),('Construction Budget'!$G47+SUM($G191:AS191))/ROUND(((EOMONTH('Construction Budget'!$M47,0)-EOMONTH(AT$11,0))/30)+1,0),0)</f>
        <v>0</v>
      </c>
      <c r="AU191" s="427">
        <f>-IF(AND(AU$11&gt;=EOMONTH('Construction Budget'!$K47,0),AU$11&lt;=EOMONTH('Construction Budget'!$M47,0)),('Construction Budget'!$G47+SUM($G191:AT191))/ROUND(((EOMONTH('Construction Budget'!$M47,0)-EOMONTH(AU$11,0))/30)+1,0),0)</f>
        <v>0</v>
      </c>
      <c r="AV191" s="427">
        <f>-IF(AND(AV$11&gt;=EOMONTH('Construction Budget'!$K47,0),AV$11&lt;=EOMONTH('Construction Budget'!$M47,0)),('Construction Budget'!$G47+SUM($G191:AU191))/ROUND(((EOMONTH('Construction Budget'!$M47,0)-EOMONTH(AV$11,0))/30)+1,0),0)</f>
        <v>0</v>
      </c>
      <c r="AW191" s="427">
        <f>-IF(AND(AW$11&gt;=EOMONTH('Construction Budget'!$K47,0),AW$11&lt;=EOMONTH('Construction Budget'!$M47,0)),('Construction Budget'!$G47+SUM($G191:AV191))/ROUND(((EOMONTH('Construction Budget'!$M47,0)-EOMONTH(AW$11,0))/30)+1,0),0)</f>
        <v>0</v>
      </c>
      <c r="AX191" s="427">
        <f>-IF(AND(AX$11&gt;=EOMONTH('Construction Budget'!$K47,0),AX$11&lt;=EOMONTH('Construction Budget'!$M47,0)),('Construction Budget'!$G47+SUM($G191:AW191))/ROUND(((EOMONTH('Construction Budget'!$M47,0)-EOMONTH(AX$11,0))/30)+1,0),0)</f>
        <v>0</v>
      </c>
      <c r="AY191" s="427">
        <f>-IF(AND(AY$11&gt;=EOMONTH('Construction Budget'!$K47,0),AY$11&lt;=EOMONTH('Construction Budget'!$M47,0)),('Construction Budget'!$G47+SUM($G191:AX191))/ROUND(((EOMONTH('Construction Budget'!$M47,0)-EOMONTH(AY$11,0))/30)+1,0),0)</f>
        <v>0</v>
      </c>
      <c r="AZ191" s="427">
        <f>-IF(AND(AZ$11&gt;=EOMONTH('Construction Budget'!$K47,0),AZ$11&lt;=EOMONTH('Construction Budget'!$M47,0)),('Construction Budget'!$G47+SUM($G191:AY191))/ROUND(((EOMONTH('Construction Budget'!$M47,0)-EOMONTH(AZ$11,0))/30)+1,0),0)</f>
        <v>0</v>
      </c>
      <c r="BA191" s="427">
        <f>-IF(AND(BA$11&gt;=EOMONTH('Construction Budget'!$K47,0),BA$11&lt;=EOMONTH('Construction Budget'!$M47,0)),('Construction Budget'!$G47+SUM($G191:AZ191))/ROUND(((EOMONTH('Construction Budget'!$M47,0)-EOMONTH(BA$11,0))/30)+1,0),0)</f>
        <v>0</v>
      </c>
      <c r="BB191" s="427">
        <f>-IF(AND(BB$11&gt;=EOMONTH('Construction Budget'!$K47,0),BB$11&lt;=EOMONTH('Construction Budget'!$M47,0)),('Construction Budget'!$G47+SUM($G191:BA191))/ROUND(((EOMONTH('Construction Budget'!$M47,0)-EOMONTH(BB$11,0))/30)+1,0),0)</f>
        <v>0</v>
      </c>
      <c r="BC191" s="427">
        <f>-IF(AND(BC$11&gt;=EOMONTH('Construction Budget'!$K47,0),BC$11&lt;=EOMONTH('Construction Budget'!$M47,0)),('Construction Budget'!$G47+SUM($G191:BB191))/ROUND(((EOMONTH('Construction Budget'!$M47,0)-EOMONTH(BC$11,0))/30)+1,0),0)</f>
        <v>0</v>
      </c>
      <c r="BD191" s="427">
        <f>-IF(AND(BD$11&gt;=EOMONTH('Construction Budget'!$K47,0),BD$11&lt;=EOMONTH('Construction Budget'!$M47,0)),('Construction Budget'!$G47+SUM($G191:BC191))/ROUND(((EOMONTH('Construction Budget'!$M47,0)-EOMONTH(BD$11,0))/30)+1,0),0)</f>
        <v>0</v>
      </c>
      <c r="BE191" s="427">
        <f>-IF(AND(BE$11&gt;=EOMONTH('Construction Budget'!$K47,0),BE$11&lt;=EOMONTH('Construction Budget'!$M47,0)),('Construction Budget'!$G47+SUM($G191:BD191))/ROUND(((EOMONTH('Construction Budget'!$M47,0)-EOMONTH(BE$11,0))/30)+1,0),0)</f>
        <v>0</v>
      </c>
      <c r="BF191" s="427">
        <f>-IF(AND(BF$11&gt;=EOMONTH('Construction Budget'!$K47,0),BF$11&lt;=EOMONTH('Construction Budget'!$M47,0)),('Construction Budget'!$G47+SUM($G191:BE191))/ROUND(((EOMONTH('Construction Budget'!$M47,0)-EOMONTH(BF$11,0))/30)+1,0),0)</f>
        <v>0</v>
      </c>
      <c r="BG191" s="427">
        <f>-IF(AND(BG$11&gt;=EOMONTH('Construction Budget'!$K47,0),BG$11&lt;=EOMONTH('Construction Budget'!$M47,0)),('Construction Budget'!$G47+SUM($G191:BF191))/ROUND(((EOMONTH('Construction Budget'!$M47,0)-EOMONTH(BG$11,0))/30)+1,0),0)</f>
        <v>0</v>
      </c>
      <c r="BH191" s="427">
        <f>-IF(AND(BH$11&gt;=EOMONTH('Construction Budget'!$K47,0),BH$11&lt;=EOMONTH('Construction Budget'!$M47,0)),('Construction Budget'!$G47+SUM($G191:BG191))/ROUND(((EOMONTH('Construction Budget'!$M47,0)-EOMONTH(BH$11,0))/30)+1,0),0)</f>
        <v>0</v>
      </c>
      <c r="BI191" s="427">
        <f>-IF(AND(BI$11&gt;=EOMONTH('Construction Budget'!$K47,0),BI$11&lt;=EOMONTH('Construction Budget'!$M47,0)),('Construction Budget'!$G47+SUM($G191:BH191))/ROUND(((EOMONTH('Construction Budget'!$M47,0)-EOMONTH(BI$11,0))/30)+1,0),0)</f>
        <v>0</v>
      </c>
      <c r="BJ191" s="427">
        <f>-IF(AND(BJ$11&gt;=EOMONTH('Construction Budget'!$K47,0),BJ$11&lt;=EOMONTH('Construction Budget'!$M47,0)),('Construction Budget'!$G47+SUM($G191:BI191))/ROUND(((EOMONTH('Construction Budget'!$M47,0)-EOMONTH(BJ$11,0))/30)+1,0),0)</f>
        <v>0</v>
      </c>
      <c r="BK191" s="427">
        <f>-IF(AND(BK$11&gt;=EOMONTH('Construction Budget'!$K47,0),BK$11&lt;=EOMONTH('Construction Budget'!$M47,0)),('Construction Budget'!$G47+SUM($G191:BJ191))/ROUND(((EOMONTH('Construction Budget'!$M47,0)-EOMONTH(BK$11,0))/30)+1,0),0)</f>
        <v>0</v>
      </c>
      <c r="BL191" s="427">
        <f>-IF(AND(BL$11&gt;=EOMONTH('Construction Budget'!$K47,0),BL$11&lt;=EOMONTH('Construction Budget'!$M47,0)),('Construction Budget'!$G47+SUM($G191:BK191))/ROUND(((EOMONTH('Construction Budget'!$M47,0)-EOMONTH(BL$11,0))/30)+1,0),0)</f>
        <v>0</v>
      </c>
      <c r="BM191" s="427">
        <f>-IF(AND(BM$11&gt;=EOMONTH('Construction Budget'!$K47,0),BM$11&lt;=EOMONTH('Construction Budget'!$M47,0)),('Construction Budget'!$G47+SUM($G191:BL191))/ROUND(((EOMONTH('Construction Budget'!$M47,0)-EOMONTH(BM$11,0))/30)+1,0),0)</f>
        <v>0</v>
      </c>
      <c r="BN191" s="427">
        <f>-IF(AND(BN$11&gt;=EOMONTH('Construction Budget'!$K47,0),BN$11&lt;=EOMONTH('Construction Budget'!$M47,0)),('Construction Budget'!$G47+SUM($G191:BM191))/ROUND(((EOMONTH('Construction Budget'!$M47,0)-EOMONTH(BN$11,0))/30)+1,0),0)</f>
        <v>0</v>
      </c>
      <c r="BO191" s="427">
        <f>-IF(AND(BO$11&gt;=EOMONTH('Construction Budget'!$K47,0),BO$11&lt;=EOMONTH('Construction Budget'!$M47,0)),('Construction Budget'!$G47+SUM($G191:BN191))/ROUND(((EOMONTH('Construction Budget'!$M47,0)-EOMONTH(BO$11,0))/30)+1,0),0)</f>
        <v>0</v>
      </c>
      <c r="BP191" s="427">
        <f>-IF(AND(BP$11&gt;=EOMONTH('Construction Budget'!$K47,0),BP$11&lt;=EOMONTH('Construction Budget'!$M47,0)),('Construction Budget'!$G47+SUM($G191:BO191))/ROUND(((EOMONTH('Construction Budget'!$M47,0)-EOMONTH(BP$11,0))/30)+1,0),0)</f>
        <v>0</v>
      </c>
      <c r="BQ191" s="427">
        <f>-IF(AND(BQ$11&gt;=EOMONTH('Construction Budget'!$K47,0),BQ$11&lt;=EOMONTH('Construction Budget'!$M47,0)),('Construction Budget'!$G47+SUM($G191:BP191))/ROUND(((EOMONTH('Construction Budget'!$M47,0)-EOMONTH(BQ$11,0))/30)+1,0),0)</f>
        <v>0</v>
      </c>
      <c r="BR191" s="427">
        <f>-IF(AND(BR$11&gt;=EOMONTH('Construction Budget'!$K47,0),BR$11&lt;=EOMONTH('Construction Budget'!$M47,0)),('Construction Budget'!$G47+SUM($G191:BQ191))/ROUND(((EOMONTH('Construction Budget'!$M47,0)-EOMONTH(BR$11,0))/30)+1,0),0)</f>
        <v>0</v>
      </c>
      <c r="BS191" s="427">
        <f>-IF(AND(BS$11&gt;=EOMONTH('Construction Budget'!$K47,0),BS$11&lt;=EOMONTH('Construction Budget'!$M47,0)),('Construction Budget'!$G47+SUM($G191:BR191))/ROUND(((EOMONTH('Construction Budget'!$M47,0)-EOMONTH(BS$11,0))/30)+1,0),0)</f>
        <v>0</v>
      </c>
      <c r="BT191" s="427">
        <f>-IF(AND(BT$11&gt;=EOMONTH('Construction Budget'!$K47,0),BT$11&lt;=EOMONTH('Construction Budget'!$M47,0)),('Construction Budget'!$G47+SUM($G191:BS191))/ROUND(((EOMONTH('Construction Budget'!$M47,0)-EOMONTH(BT$11,0))/30)+1,0),0)</f>
        <v>0</v>
      </c>
      <c r="BU191" s="427">
        <f>-IF(AND(BU$11&gt;=EOMONTH('Construction Budget'!$K47,0),BU$11&lt;=EOMONTH('Construction Budget'!$M47,0)),('Construction Budget'!$G47+SUM($G191:BT191))/ROUND(((EOMONTH('Construction Budget'!$M47,0)-EOMONTH(BU$11,0))/30)+1,0),0)</f>
        <v>0</v>
      </c>
      <c r="BV191" s="427">
        <f>-IF(AND(BV$11&gt;=EOMONTH('Construction Budget'!$K47,0),BV$11&lt;=EOMONTH('Construction Budget'!$M47,0)),('Construction Budget'!$G47+SUM($G191:BU191))/ROUND(((EOMONTH('Construction Budget'!$M47,0)-EOMONTH(BV$11,0))/30)+1,0),0)</f>
        <v>0</v>
      </c>
      <c r="BW191" s="427">
        <f>-IF(AND(BW$11&gt;=EOMONTH('Construction Budget'!$K47,0),BW$11&lt;=EOMONTH('Construction Budget'!$M47,0)),('Construction Budget'!$G47+SUM($G191:BV191))/ROUND(((EOMONTH('Construction Budget'!$M47,0)-EOMONTH(BW$11,0))/30)+1,0),0)</f>
        <v>0</v>
      </c>
      <c r="BX191" s="427">
        <f>-IF(AND(BX$11&gt;=EOMONTH('Construction Budget'!$K47,0),BX$11&lt;=EOMONTH('Construction Budget'!$M47,0)),('Construction Budget'!$G47+SUM($G191:BW191))/ROUND(((EOMONTH('Construction Budget'!$M47,0)-EOMONTH(BX$11,0))/30)+1,0),0)</f>
        <v>0</v>
      </c>
      <c r="BY191" s="427">
        <f>-IF(AND(BY$11&gt;=EOMONTH('Construction Budget'!$K47,0),BY$11&lt;=EOMONTH('Construction Budget'!$M47,0)),('Construction Budget'!$G47+SUM($G191:BX191))/ROUND(((EOMONTH('Construction Budget'!$M47,0)-EOMONTH(BY$11,0))/30)+1,0),0)</f>
        <v>0</v>
      </c>
      <c r="BZ191" s="427">
        <f>-IF(AND(BZ$11&gt;=EOMONTH('Construction Budget'!$K47,0),BZ$11&lt;=EOMONTH('Construction Budget'!$M47,0)),('Construction Budget'!$G47+SUM($G191:BY191))/ROUND(((EOMONTH('Construction Budget'!$M47,0)-EOMONTH(BZ$11,0))/30)+1,0),0)</f>
        <v>0</v>
      </c>
      <c r="CA191" s="427">
        <f>-IF(AND(CA$11&gt;=EOMONTH('Construction Budget'!$K47,0),CA$11&lt;=EOMONTH('Construction Budget'!$M47,0)),('Construction Budget'!$G47+SUM($G191:BZ191))/ROUND(((EOMONTH('Construction Budget'!$M47,0)-EOMONTH(CA$11,0))/30)+1,0),0)</f>
        <v>0</v>
      </c>
      <c r="CB191" s="427">
        <f>-IF(AND(CB$11&gt;=EOMONTH('Construction Budget'!$K47,0),CB$11&lt;=EOMONTH('Construction Budget'!$M47,0)),('Construction Budget'!$G47+SUM($G191:CA191))/ROUND(((EOMONTH('Construction Budget'!$M47,0)-EOMONTH(CB$11,0))/30)+1,0),0)</f>
        <v>0</v>
      </c>
      <c r="CC191" s="427">
        <f>-IF(AND(CC$11&gt;=EOMONTH('Construction Budget'!$K47,0),CC$11&lt;=EOMONTH('Construction Budget'!$M47,0)),('Construction Budget'!$G47+SUM($G191:CB191))/ROUND(((EOMONTH('Construction Budget'!$M47,0)-EOMONTH(CC$11,0))/30)+1,0),0)</f>
        <v>0</v>
      </c>
      <c r="CD191" s="427">
        <f>-IF(AND(CD$11&gt;=EOMONTH('Construction Budget'!$K47,0),CD$11&lt;=EOMONTH('Construction Budget'!$M47,0)),('Construction Budget'!$G47+SUM($G191:CC191))/ROUND(((EOMONTH('Construction Budget'!$M47,0)-EOMONTH(CD$11,0))/30)+1,0),0)</f>
        <v>0</v>
      </c>
      <c r="CE191" s="427">
        <f>-IF(AND(CE$11&gt;=EOMONTH('Construction Budget'!$K47,0),CE$11&lt;=EOMONTH('Construction Budget'!$M47,0)),('Construction Budget'!$G47+SUM($G191:CD191))/ROUND(((EOMONTH('Construction Budget'!$M47,0)-EOMONTH(CE$11,0))/30)+1,0),0)</f>
        <v>0</v>
      </c>
      <c r="CF191" s="427">
        <f>-IF(AND(CF$11&gt;=EOMONTH('Construction Budget'!$K47,0),CF$11&lt;=EOMONTH('Construction Budget'!$M47,0)),('Construction Budget'!$G47+SUM($G191:CE191))/ROUND(((EOMONTH('Construction Budget'!$M47,0)-EOMONTH(CF$11,0))/30)+1,0),0)</f>
        <v>0</v>
      </c>
      <c r="CG191" s="427">
        <f>-IF(AND(CG$11&gt;=EOMONTH('Construction Budget'!$K47,0),CG$11&lt;=EOMONTH('Construction Budget'!$M47,0)),('Construction Budget'!$G47+SUM($G191:CF191))/ROUND(((EOMONTH('Construction Budget'!$M47,0)-EOMONTH(CG$11,0))/30)+1,0),0)</f>
        <v>0</v>
      </c>
      <c r="CH191" s="427">
        <f>-IF(AND(CH$11&gt;=EOMONTH('Construction Budget'!$K47,0),CH$11&lt;=EOMONTH('Construction Budget'!$M47,0)),('Construction Budget'!$G47+SUM($G191:CG191))/ROUND(((EOMONTH('Construction Budget'!$M47,0)-EOMONTH(CH$11,0))/30)+1,0),0)</f>
        <v>0</v>
      </c>
      <c r="CI191" s="427">
        <f>-IF(AND(CI$11&gt;=EOMONTH('Construction Budget'!$K47,0),CI$11&lt;=EOMONTH('Construction Budget'!$M47,0)),('Construction Budget'!$G47+SUM($G191:CH191))/ROUND(((EOMONTH('Construction Budget'!$M47,0)-EOMONTH(CI$11,0))/30)+1,0),0)</f>
        <v>0</v>
      </c>
      <c r="CJ191" s="427">
        <f>-IF(AND(CJ$11&gt;=EOMONTH('Construction Budget'!$K47,0),CJ$11&lt;=EOMONTH('Construction Budget'!$M47,0)),('Construction Budget'!$G47+SUM($G191:CI191))/ROUND(((EOMONTH('Construction Budget'!$M47,0)-EOMONTH(CJ$11,0))/30)+1,0),0)</f>
        <v>0</v>
      </c>
      <c r="CK191" s="427">
        <f>-IF(AND(CK$11&gt;=EOMONTH('Construction Budget'!$K47,0),CK$11&lt;=EOMONTH('Construction Budget'!$M47,0)),('Construction Budget'!$G47+SUM($G191:CJ191))/ROUND(((EOMONTH('Construction Budget'!$M47,0)-EOMONTH(CK$11,0))/30)+1,0),0)</f>
        <v>0</v>
      </c>
      <c r="CL191" s="427">
        <f>-IF(AND(CL$11&gt;=EOMONTH('Construction Budget'!$K47,0),CL$11&lt;=EOMONTH('Construction Budget'!$M47,0)),('Construction Budget'!$G47+SUM($G191:CK191))/ROUND(((EOMONTH('Construction Budget'!$M47,0)-EOMONTH(CL$11,0))/30)+1,0),0)</f>
        <v>0</v>
      </c>
      <c r="CM191" s="427">
        <f>-IF(AND(CM$11&gt;=EOMONTH('Construction Budget'!$K47,0),CM$11&lt;=EOMONTH('Construction Budget'!$M47,0)),('Construction Budget'!$G47+SUM($G191:CL191))/ROUND(((EOMONTH('Construction Budget'!$M47,0)-EOMONTH(CM$11,0))/30)+1,0),0)</f>
        <v>0</v>
      </c>
      <c r="CN191" s="427">
        <f>-IF(AND(CN$11&gt;=EOMONTH('Construction Budget'!$K47,0),CN$11&lt;=EOMONTH('Construction Budget'!$M47,0)),('Construction Budget'!$G47+SUM($G191:CM191))/ROUND(((EOMONTH('Construction Budget'!$M47,0)-EOMONTH(CN$11,0))/30)+1,0),0)</f>
        <v>0</v>
      </c>
      <c r="CO191" s="427">
        <f>-IF(AND(CO$11&gt;=EOMONTH('Construction Budget'!$K47,0),CO$11&lt;=EOMONTH('Construction Budget'!$M47,0)),('Construction Budget'!$G47+SUM($G191:CN191))/ROUND(((EOMONTH('Construction Budget'!$M47,0)-EOMONTH(CO$11,0))/30)+1,0),0)</f>
        <v>0</v>
      </c>
      <c r="CP191" s="427">
        <f>-IF(AND(CP$11&gt;=EOMONTH('Construction Budget'!$K47,0),CP$11&lt;=EOMONTH('Construction Budget'!$M47,0)),('Construction Budget'!$G47+SUM($G191:CO191))/ROUND(((EOMONTH('Construction Budget'!$M47,0)-EOMONTH(CP$11,0))/30)+1,0),0)</f>
        <v>0</v>
      </c>
      <c r="CQ191" s="427">
        <f>-IF(AND(CQ$11&gt;=EOMONTH('Construction Budget'!$K47,0),CQ$11&lt;=EOMONTH('Construction Budget'!$M47,0)),('Construction Budget'!$G47+SUM($G191:CP191))/ROUND(((EOMONTH('Construction Budget'!$M47,0)-EOMONTH(CQ$11,0))/30)+1,0),0)</f>
        <v>0</v>
      </c>
      <c r="CR191" s="427">
        <f>-IF(AND(CR$11&gt;=EOMONTH('Construction Budget'!$K47,0),CR$11&lt;=EOMONTH('Construction Budget'!$M47,0)),('Construction Budget'!$G47+SUM($G191:CQ191))/ROUND(((EOMONTH('Construction Budget'!$M47,0)-EOMONTH(CR$11,0))/30)+1,0),0)</f>
        <v>0</v>
      </c>
      <c r="CS191" s="427">
        <f>-IF(AND(CS$11&gt;=EOMONTH('Construction Budget'!$K47,0),CS$11&lt;=EOMONTH('Construction Budget'!$M47,0)),('Construction Budget'!$G47+SUM($G191:CR191))/ROUND(((EOMONTH('Construction Budget'!$M47,0)-EOMONTH(CS$11,0))/30)+1,0),0)</f>
        <v>0</v>
      </c>
      <c r="CT191" s="427">
        <f>-IF(AND(CT$11&gt;=EOMONTH('Construction Budget'!$K47,0),CT$11&lt;=EOMONTH('Construction Budget'!$M47,0)),('Construction Budget'!$G47+SUM($G191:CS191))/ROUND(((EOMONTH('Construction Budget'!$M47,0)-EOMONTH(CT$11,0))/30)+1,0),0)</f>
        <v>0</v>
      </c>
      <c r="CU191" s="427">
        <f>-IF(AND(CU$11&gt;=EOMONTH('Construction Budget'!$K47,0),CU$11&lt;=EOMONTH('Construction Budget'!$M47,0)),('Construction Budget'!$G47+SUM($G191:CT191))/ROUND(((EOMONTH('Construction Budget'!$M47,0)-EOMONTH(CU$11,0))/30)+1,0),0)</f>
        <v>0</v>
      </c>
      <c r="CV191" s="427">
        <f>-IF(AND(CV$11&gt;=EOMONTH('Construction Budget'!$K47,0),CV$11&lt;=EOMONTH('Construction Budget'!$M47,0)),('Construction Budget'!$G47+SUM($G191:CU191))/ROUND(((EOMONTH('Construction Budget'!$M47,0)-EOMONTH(CV$11,0))/30)+1,0),0)</f>
        <v>0</v>
      </c>
      <c r="CW191" s="427">
        <f>-IF(AND(CW$11&gt;=EOMONTH('Construction Budget'!$K47,0),CW$11&lt;=EOMONTH('Construction Budget'!$M47,0)),('Construction Budget'!$G47+SUM($G191:CV191))/ROUND(((EOMONTH('Construction Budget'!$M47,0)-EOMONTH(CW$11,0))/30)+1,0),0)</f>
        <v>0</v>
      </c>
      <c r="CX191" s="427">
        <f>-IF(AND(CX$11&gt;=EOMONTH('Construction Budget'!$K47,0),CX$11&lt;=EOMONTH('Construction Budget'!$M47,0)),('Construction Budget'!$G47+SUM($G191:CW191))/ROUND(((EOMONTH('Construction Budget'!$M47,0)-EOMONTH(CX$11,0))/30)+1,0),0)</f>
        <v>0</v>
      </c>
      <c r="CY191" s="427">
        <f>-IF(AND(CY$11&gt;=EOMONTH('Construction Budget'!$K47,0),CY$11&lt;=EOMONTH('Construction Budget'!$M47,0)),('Construction Budget'!$G47+SUM($G191:CX191))/ROUND(((EOMONTH('Construction Budget'!$M47,0)-EOMONTH(CY$11,0))/30)+1,0),0)</f>
        <v>0</v>
      </c>
      <c r="CZ191" s="427">
        <f>-IF(AND(CZ$11&gt;=EOMONTH('Construction Budget'!$K47,0),CZ$11&lt;=EOMONTH('Construction Budget'!$M47,0)),('Construction Budget'!$G47+SUM($G191:CY191))/ROUND(((EOMONTH('Construction Budget'!$M47,0)-EOMONTH(CZ$11,0))/30)+1,0),0)</f>
        <v>0</v>
      </c>
      <c r="DA191" s="427">
        <f>-IF(AND(DA$11&gt;=EOMONTH('Construction Budget'!$K47,0),DA$11&lt;=EOMONTH('Construction Budget'!$M47,0)),('Construction Budget'!$G47+SUM($G191:CZ191))/ROUND(((EOMONTH('Construction Budget'!$M47,0)-EOMONTH(DA$11,0))/30)+1,0),0)</f>
        <v>0</v>
      </c>
      <c r="DB191" s="427">
        <f>-IF(AND(DB$11&gt;=EOMONTH('Construction Budget'!$K47,0),DB$11&lt;=EOMONTH('Construction Budget'!$M47,0)),('Construction Budget'!$G47+SUM($G191:DA191))/ROUND(((EOMONTH('Construction Budget'!$M47,0)-EOMONTH(DB$11,0))/30)+1,0),0)</f>
        <v>0</v>
      </c>
      <c r="DC191" s="427">
        <f>-IF(AND(DC$11&gt;=EOMONTH('Construction Budget'!$K47,0),DC$11&lt;=EOMONTH('Construction Budget'!$M47,0)),('Construction Budget'!$G47+SUM($G191:DB191))/ROUND(((EOMONTH('Construction Budget'!$M47,0)-EOMONTH(DC$11,0))/30)+1,0),0)</f>
        <v>0</v>
      </c>
      <c r="DD191" s="427">
        <f>-IF(AND(DD$11&gt;=EOMONTH('Construction Budget'!$K47,0),DD$11&lt;=EOMONTH('Construction Budget'!$M47,0)),('Construction Budget'!$G47+SUM($G191:DC191))/ROUND(((EOMONTH('Construction Budget'!$M47,0)-EOMONTH(DD$11,0))/30)+1,0),0)</f>
        <v>0</v>
      </c>
      <c r="DE191" s="427">
        <f>-IF(AND(DE$11&gt;=EOMONTH('Construction Budget'!$K47,0),DE$11&lt;=EOMONTH('Construction Budget'!$M47,0)),('Construction Budget'!$G47+SUM($G191:DD191))/ROUND(((EOMONTH('Construction Budget'!$M47,0)-EOMONTH(DE$11,0))/30)+1,0),0)</f>
        <v>0</v>
      </c>
      <c r="DF191" s="427">
        <f>-IF(AND(DF$11&gt;=EOMONTH('Construction Budget'!$K47,0),DF$11&lt;=EOMONTH('Construction Budget'!$M47,0)),('Construction Budget'!$G47+SUM($G191:DE191))/ROUND(((EOMONTH('Construction Budget'!$M47,0)-EOMONTH(DF$11,0))/30)+1,0),0)</f>
        <v>0</v>
      </c>
      <c r="DG191" s="427">
        <f>-IF(AND(DG$11&gt;=EOMONTH('Construction Budget'!$K47,0),DG$11&lt;=EOMONTH('Construction Budget'!$M47,0)),('Construction Budget'!$G47+SUM($G191:DF191))/ROUND(((EOMONTH('Construction Budget'!$M47,0)-EOMONTH(DG$11,0))/30)+1,0),0)</f>
        <v>0</v>
      </c>
      <c r="DH191" s="427">
        <f>-IF(AND(DH$11&gt;=EOMONTH('Construction Budget'!$K47,0),DH$11&lt;=EOMONTH('Construction Budget'!$M47,0)),('Construction Budget'!$G47+SUM($G191:DG191))/ROUND(((EOMONTH('Construction Budget'!$M47,0)-EOMONTH(DH$11,0))/30)+1,0),0)</f>
        <v>0</v>
      </c>
      <c r="DI191" s="427">
        <f>-IF(AND(DI$11&gt;=EOMONTH('Construction Budget'!$K47,0),DI$11&lt;=EOMONTH('Construction Budget'!$M47,0)),('Construction Budget'!$G47+SUM($G191:DH191))/ROUND(((EOMONTH('Construction Budget'!$M47,0)-EOMONTH(DI$11,0))/30)+1,0),0)</f>
        <v>0</v>
      </c>
      <c r="DJ191" s="427">
        <f>-IF(AND(DJ$11&gt;=EOMONTH('Construction Budget'!$K47,0),DJ$11&lt;=EOMONTH('Construction Budget'!$M47,0)),('Construction Budget'!$G47+SUM($G191:DI191))/ROUND(((EOMONTH('Construction Budget'!$M47,0)-EOMONTH(DJ$11,0))/30)+1,0),0)</f>
        <v>0</v>
      </c>
      <c r="DK191" s="427">
        <f>-IF(AND(DK$11&gt;=EOMONTH('Construction Budget'!$K47,0),DK$11&lt;=EOMONTH('Construction Budget'!$M47,0)),('Construction Budget'!$G47+SUM($G191:DJ191))/ROUND(((EOMONTH('Construction Budget'!$M47,0)-EOMONTH(DK$11,0))/30)+1,0),0)</f>
        <v>0</v>
      </c>
      <c r="DL191" s="427">
        <f>-IF(AND(DL$11&gt;=EOMONTH('Construction Budget'!$K47,0),DL$11&lt;=EOMONTH('Construction Budget'!$M47,0)),('Construction Budget'!$G47+SUM($G191:DK191))/ROUND(((EOMONTH('Construction Budget'!$M47,0)-EOMONTH(DL$11,0))/30)+1,0),0)</f>
        <v>0</v>
      </c>
      <c r="DM191" s="427">
        <f>-IF(AND(DM$11&gt;=EOMONTH('Construction Budget'!$K47,0),DM$11&lt;=EOMONTH('Construction Budget'!$M47,0)),('Construction Budget'!$G47+SUM($G191:DL191))/ROUND(((EOMONTH('Construction Budget'!$M47,0)-EOMONTH(DM$11,0))/30)+1,0),0)</f>
        <v>0</v>
      </c>
      <c r="DN191" s="427">
        <f>-IF(AND(DN$11&gt;=EOMONTH('Construction Budget'!$K47,0),DN$11&lt;=EOMONTH('Construction Budget'!$M47,0)),('Construction Budget'!$G47+SUM($G191:DM191))/ROUND(((EOMONTH('Construction Budget'!$M47,0)-EOMONTH(DN$11,0))/30)+1,0),0)</f>
        <v>0</v>
      </c>
      <c r="DO191" s="427">
        <f>-IF(AND(DO$11&gt;=EOMONTH('Construction Budget'!$K47,0),DO$11&lt;=EOMONTH('Construction Budget'!$M47,0)),('Construction Budget'!$G47+SUM($G191:DN191))/ROUND(((EOMONTH('Construction Budget'!$M47,0)-EOMONTH(DO$11,0))/30)+1,0),0)</f>
        <v>0</v>
      </c>
      <c r="DP191" s="427">
        <f>-IF(AND(DP$11&gt;=EOMONTH('Construction Budget'!$K47,0),DP$11&lt;=EOMONTH('Construction Budget'!$M47,0)),('Construction Budget'!$G47+SUM($G191:DO191))/ROUND(((EOMONTH('Construction Budget'!$M47,0)-EOMONTH(DP$11,0))/30)+1,0),0)</f>
        <v>0</v>
      </c>
      <c r="DQ191" s="427">
        <f>-IF(AND(DQ$11&gt;=EOMONTH('Construction Budget'!$K47,0),DQ$11&lt;=EOMONTH('Construction Budget'!$M47,0)),('Construction Budget'!$G47+SUM($G191:DP191))/ROUND(((EOMONTH('Construction Budget'!$M47,0)-EOMONTH(DQ$11,0))/30)+1,0),0)</f>
        <v>0</v>
      </c>
      <c r="DR191" s="427">
        <f>-IF(AND(DR$11&gt;=EOMONTH('Construction Budget'!$K47,0),DR$11&lt;=EOMONTH('Construction Budget'!$M47,0)),('Construction Budget'!$G47+SUM($G191:DQ191))/ROUND(((EOMONTH('Construction Budget'!$M47,0)-EOMONTH(DR$11,0))/30)+1,0),0)</f>
        <v>0</v>
      </c>
      <c r="DS191" s="427">
        <f>-IF(AND(DS$11&gt;=EOMONTH('Construction Budget'!$K47,0),DS$11&lt;=EOMONTH('Construction Budget'!$M47,0)),('Construction Budget'!$G47+SUM($G191:DR191))/ROUND(((EOMONTH('Construction Budget'!$M47,0)-EOMONTH(DS$11,0))/30)+1,0),0)</f>
        <v>0</v>
      </c>
      <c r="DT191" s="427">
        <f>-IF(AND(DT$11&gt;=EOMONTH('Construction Budget'!$K47,0),DT$11&lt;=EOMONTH('Construction Budget'!$M47,0)),('Construction Budget'!$G47+SUM($G191:DS191))/ROUND(((EOMONTH('Construction Budget'!$M47,0)-EOMONTH(DT$11,0))/30)+1,0),0)</f>
        <v>0</v>
      </c>
      <c r="DU191" s="427">
        <f>-IF(AND(DU$11&gt;=EOMONTH('Construction Budget'!$K47,0),DU$11&lt;=EOMONTH('Construction Budget'!$M47,0)),('Construction Budget'!$G47+SUM($G191:DT191))/ROUND(((EOMONTH('Construction Budget'!$M47,0)-EOMONTH(DU$11,0))/30)+1,0),0)</f>
        <v>0</v>
      </c>
      <c r="DV191" s="427">
        <f>-IF(AND(DV$11&gt;=EOMONTH('Construction Budget'!$K47,0),DV$11&lt;=EOMONTH('Construction Budget'!$M47,0)),('Construction Budget'!$G47+SUM($G191:DU191))/ROUND(((EOMONTH('Construction Budget'!$M47,0)-EOMONTH(DV$11,0))/30)+1,0),0)</f>
        <v>0</v>
      </c>
      <c r="DW191" s="427">
        <f>-IF(AND(DW$11&gt;=EOMONTH('Construction Budget'!$K47,0),DW$11&lt;=EOMONTH('Construction Budget'!$M47,0)),('Construction Budget'!$G47+SUM($G191:DV191))/ROUND(((EOMONTH('Construction Budget'!$M47,0)-EOMONTH(DW$11,0))/30)+1,0),0)</f>
        <v>0</v>
      </c>
      <c r="DX191" s="427">
        <f>-IF(AND(DX$11&gt;=EOMONTH('Construction Budget'!$K47,0),DX$11&lt;=EOMONTH('Construction Budget'!$M47,0)),('Construction Budget'!$G47+SUM($G191:DW191))/ROUND(((EOMONTH('Construction Budget'!$M47,0)-EOMONTH(DX$11,0))/30)+1,0),0)</f>
        <v>0</v>
      </c>
      <c r="DY191" s="427">
        <f>-IF(AND(DY$11&gt;=EOMONTH('Construction Budget'!$K47,0),DY$11&lt;=EOMONTH('Construction Budget'!$M47,0)),('Construction Budget'!$G47+SUM($G191:DX191))/ROUND(((EOMONTH('Construction Budget'!$M47,0)-EOMONTH(DY$11,0))/30)+1,0),0)</f>
        <v>0</v>
      </c>
      <c r="DZ191" s="427">
        <f>-IF(AND(DZ$11&gt;=EOMONTH('Construction Budget'!$K47,0),DZ$11&lt;=EOMONTH('Construction Budget'!$M47,0)),('Construction Budget'!$G47+SUM($G191:DY191))/ROUND(((EOMONTH('Construction Budget'!$M47,0)-EOMONTH(DZ$11,0))/30)+1,0),0)</f>
        <v>0</v>
      </c>
      <c r="EA191" s="427">
        <f>-IF(AND(EA$11&gt;=EOMONTH('Construction Budget'!$K47,0),EA$11&lt;=EOMONTH('Construction Budget'!$M47,0)),('Construction Budget'!$G47+SUM($G191:DZ191))/ROUND(((EOMONTH('Construction Budget'!$M47,0)-EOMONTH(EA$11,0))/30)+1,0),0)</f>
        <v>0</v>
      </c>
      <c r="EB191" s="427">
        <f>-IF(AND(EB$11&gt;=EOMONTH('Construction Budget'!$K47,0),EB$11&lt;=EOMONTH('Construction Budget'!$M47,0)),('Construction Budget'!$G47+SUM($G191:EA191))/ROUND(((EOMONTH('Construction Budget'!$M47,0)-EOMONTH(EB$11,0))/30)+1,0),0)</f>
        <v>0</v>
      </c>
      <c r="EC191" s="427">
        <f>-IF(AND(EC$11&gt;=EOMONTH('Construction Budget'!$K47,0),EC$11&lt;=EOMONTH('Construction Budget'!$M47,0)),('Construction Budget'!$G47+SUM($G191:EB191))/ROUND(((EOMONTH('Construction Budget'!$M47,0)-EOMONTH(EC$11,0))/30)+1,0),0)</f>
        <v>0</v>
      </c>
      <c r="ED191" s="427">
        <f>-IF(AND(ED$11&gt;=EOMONTH('Construction Budget'!$K47,0),ED$11&lt;=EOMONTH('Construction Budget'!$M47,0)),('Construction Budget'!$G47+SUM($G191:EC191))/ROUND(((EOMONTH('Construction Budget'!$M47,0)-EOMONTH(ED$11,0))/30)+1,0),0)</f>
        <v>0</v>
      </c>
      <c r="EE191" s="427">
        <f>-IF(AND(EE$11&gt;=EOMONTH('Construction Budget'!$K47,0),EE$11&lt;=EOMONTH('Construction Budget'!$M47,0)),('Construction Budget'!$G47+SUM($G191:ED191))/ROUND(((EOMONTH('Construction Budget'!$M47,0)-EOMONTH(EE$11,0))/30)+1,0),0)</f>
        <v>0</v>
      </c>
      <c r="EF191" s="427">
        <f>-IF(AND(EF$11&gt;=EOMONTH('Construction Budget'!$K47,0),EF$11&lt;=EOMONTH('Construction Budget'!$M47,0)),('Construction Budget'!$G47+SUM($G191:EE191))/ROUND(((EOMONTH('Construction Budget'!$M47,0)-EOMONTH(EF$11,0))/30)+1,0),0)</f>
        <v>0</v>
      </c>
      <c r="EG191" s="427">
        <f>-IF(AND(EG$11&gt;=EOMONTH('Construction Budget'!$K47,0),EG$11&lt;=EOMONTH('Construction Budget'!$M47,0)),('Construction Budget'!$G47+SUM($G191:EF191))/ROUND(((EOMONTH('Construction Budget'!$M47,0)-EOMONTH(EG$11,0))/30)+1,0),0)</f>
        <v>0</v>
      </c>
      <c r="EH191" s="427">
        <f>-IF(AND(EH$11&gt;=EOMONTH('Construction Budget'!$K47,0),EH$11&lt;=EOMONTH('Construction Budget'!$M47,0)),('Construction Budget'!$G47+SUM($G191:EG191))/ROUND(((EOMONTH('Construction Budget'!$M47,0)-EOMONTH(EH$11,0))/30)+1,0),0)</f>
        <v>0</v>
      </c>
      <c r="EI191" s="427">
        <f>-IF(AND(EI$11&gt;=EOMONTH('Construction Budget'!$K47,0),EI$11&lt;=EOMONTH('Construction Budget'!$M47,0)),('Construction Budget'!$G47+SUM($G191:EH191))/ROUND(((EOMONTH('Construction Budget'!$M47,0)-EOMONTH(EI$11,0))/30)+1,0),0)</f>
        <v>0</v>
      </c>
      <c r="EJ191" s="427">
        <f>-IF(AND(EJ$11&gt;=EOMONTH('Construction Budget'!$K47,0),EJ$11&lt;=EOMONTH('Construction Budget'!$M47,0)),('Construction Budget'!$G47+SUM($G191:EI191))/ROUND(((EOMONTH('Construction Budget'!$M47,0)-EOMONTH(EJ$11,0))/30)+1,0),0)</f>
        <v>0</v>
      </c>
      <c r="EK191" s="427">
        <f>-IF(AND(EK$11&gt;=EOMONTH('Construction Budget'!$K47,0),EK$11&lt;=EOMONTH('Construction Budget'!$M47,0)),('Construction Budget'!$G47+SUM($G191:EJ191))/ROUND(((EOMONTH('Construction Budget'!$M47,0)-EOMONTH(EK$11,0))/30)+1,0),0)</f>
        <v>0</v>
      </c>
      <c r="EL191" s="427">
        <f>-IF(AND(EL$11&gt;=EOMONTH('Construction Budget'!$K47,0),EL$11&lt;=EOMONTH('Construction Budget'!$M47,0)),('Construction Budget'!$G47+SUM($G191:EK191))/ROUND(((EOMONTH('Construction Budget'!$M47,0)-EOMONTH(EL$11,0))/30)+1,0),0)</f>
        <v>0</v>
      </c>
      <c r="EM191" s="427">
        <f>-IF(AND(EM$11&gt;=EOMONTH('Construction Budget'!$K47,0),EM$11&lt;=EOMONTH('Construction Budget'!$M47,0)),('Construction Budget'!$G47+SUM($G191:EL191))/ROUND(((EOMONTH('Construction Budget'!$M47,0)-EOMONTH(EM$11,0))/30)+1,0),0)</f>
        <v>0</v>
      </c>
      <c r="EN191" s="427">
        <f>-IF(AND(EN$11&gt;=EOMONTH('Construction Budget'!$K47,0),EN$11&lt;=EOMONTH('Construction Budget'!$M47,0)),('Construction Budget'!$G47+SUM($G191:EM191))/ROUND(((EOMONTH('Construction Budget'!$M47,0)-EOMONTH(EN$11,0))/30)+1,0),0)</f>
        <v>0</v>
      </c>
      <c r="EO191" s="427">
        <f>-IF(AND(EO$11&gt;=EOMONTH('Construction Budget'!$K47,0),EO$11&lt;=EOMONTH('Construction Budget'!$M47,0)),('Construction Budget'!$G47+SUM($G191:EN191))/ROUND(((EOMONTH('Construction Budget'!$M47,0)-EOMONTH(EO$11,0))/30)+1,0),0)</f>
        <v>0</v>
      </c>
      <c r="EP191" s="427">
        <f>-IF(AND(EP$11&gt;=EOMONTH('Construction Budget'!$K47,0),EP$11&lt;=EOMONTH('Construction Budget'!$M47,0)),('Construction Budget'!$G47+SUM($G191:EO191))/ROUND(((EOMONTH('Construction Budget'!$M47,0)-EOMONTH(EP$11,0))/30)+1,0),0)</f>
        <v>0</v>
      </c>
      <c r="EQ191" s="427">
        <f>-IF(AND(EQ$11&gt;=EOMONTH('Construction Budget'!$K47,0),EQ$11&lt;=EOMONTH('Construction Budget'!$M47,0)),('Construction Budget'!$G47+SUM($G191:EP191))/ROUND(((EOMONTH('Construction Budget'!$M47,0)-EOMONTH(EQ$11,0))/30)+1,0),0)</f>
        <v>0</v>
      </c>
      <c r="ER191" s="427">
        <f>-IF(AND(ER$11&gt;=EOMONTH('Construction Budget'!$K47,0),ER$11&lt;=EOMONTH('Construction Budget'!$M47,0)),('Construction Budget'!$G47+SUM($G191:EQ191))/ROUND(((EOMONTH('Construction Budget'!$M47,0)-EOMONTH(ER$11,0))/30)+1,0),0)</f>
        <v>0</v>
      </c>
      <c r="ES191" s="427">
        <f>-IF(AND(ES$11&gt;=EOMONTH('Construction Budget'!$K47,0),ES$11&lt;=EOMONTH('Construction Budget'!$M47,0)),('Construction Budget'!$G47+SUM($G191:ER191))/ROUND(((EOMONTH('Construction Budget'!$M47,0)-EOMONTH(ES$11,0))/30)+1,0),0)</f>
        <v>0</v>
      </c>
      <c r="ET191" s="427">
        <f>-IF(AND(ET$11&gt;=EOMONTH('Construction Budget'!$K47,0),ET$11&lt;=EOMONTH('Construction Budget'!$M47,0)),('Construction Budget'!$G47+SUM($G191:ES191))/ROUND(((EOMONTH('Construction Budget'!$M47,0)-EOMONTH(ET$11,0))/30)+1,0),0)</f>
        <v>0</v>
      </c>
      <c r="EU191" s="427">
        <f>-IF(AND(EU$11&gt;=EOMONTH('Construction Budget'!$K47,0),EU$11&lt;=EOMONTH('Construction Budget'!$M47,0)),('Construction Budget'!$G47+SUM($G191:ET191))/ROUND(((EOMONTH('Construction Budget'!$M47,0)-EOMONTH(EU$11,0))/30)+1,0),0)</f>
        <v>0</v>
      </c>
      <c r="EV191" s="427">
        <f>-IF(AND(EV$11&gt;=EOMONTH('Construction Budget'!$K47,0),EV$11&lt;=EOMONTH('Construction Budget'!$M47,0)),('Construction Budget'!$G47+SUM($G191:EU191))/ROUND(((EOMONTH('Construction Budget'!$M47,0)-EOMONTH(EV$11,0))/30)+1,0),0)</f>
        <v>0</v>
      </c>
      <c r="EW191" s="427">
        <f>-IF(AND(EW$11&gt;=EOMONTH('Construction Budget'!$K47,0),EW$11&lt;=EOMONTH('Construction Budget'!$M47,0)),('Construction Budget'!$G47+SUM($G191:EV191))/ROUND(((EOMONTH('Construction Budget'!$M47,0)-EOMONTH(EW$11,0))/30)+1,0),0)</f>
        <v>0</v>
      </c>
      <c r="EX191" s="427">
        <f>-IF(AND(EX$11&gt;=EOMONTH('Construction Budget'!$K47,0),EX$11&lt;=EOMONTH('Construction Budget'!$M47,0)),('Construction Budget'!$G47+SUM($G191:EW191))/ROUND(((EOMONTH('Construction Budget'!$M47,0)-EOMONTH(EX$11,0))/30)+1,0),0)</f>
        <v>0</v>
      </c>
      <c r="EY191" s="427">
        <f>-IF(AND(EY$11&gt;=EOMONTH('Construction Budget'!$K47,0),EY$11&lt;=EOMONTH('Construction Budget'!$M47,0)),('Construction Budget'!$G47+SUM($G191:EX191))/ROUND(((EOMONTH('Construction Budget'!$M47,0)-EOMONTH(EY$11,0))/30)+1,0),0)</f>
        <v>0</v>
      </c>
      <c r="EZ191" s="427">
        <f>-IF(AND(EZ$11&gt;=EOMONTH('Construction Budget'!$K47,0),EZ$11&lt;=EOMONTH('Construction Budget'!$M47,0)),('Construction Budget'!$G47+SUM($G191:EY191))/ROUND(((EOMONTH('Construction Budget'!$M47,0)-EOMONTH(EZ$11,0))/30)+1,0),0)</f>
        <v>0</v>
      </c>
      <c r="FA191" s="427">
        <f>-IF(AND(FA$11&gt;=EOMONTH('Construction Budget'!$K47,0),FA$11&lt;=EOMONTH('Construction Budget'!$M47,0)),('Construction Budget'!$G47+SUM($G191:EZ191))/ROUND(((EOMONTH('Construction Budget'!$M47,0)-EOMONTH(FA$11,0))/30)+1,0),0)</f>
        <v>0</v>
      </c>
      <c r="FB191" s="427">
        <f>-IF(AND(FB$11&gt;=EOMONTH('Construction Budget'!$K47,0),FB$11&lt;=EOMONTH('Construction Budget'!$M47,0)),('Construction Budget'!$G47+SUM($G191:FA191))/ROUND(((EOMONTH('Construction Budget'!$M47,0)-EOMONTH(FB$11,0))/30)+1,0),0)</f>
        <v>0</v>
      </c>
      <c r="FC191" s="427">
        <f>-IF(AND(FC$11&gt;=EOMONTH('Construction Budget'!$K47,0),FC$11&lt;=EOMONTH('Construction Budget'!$M47,0)),('Construction Budget'!$G47+SUM($G191:FB191))/ROUND(((EOMONTH('Construction Budget'!$M47,0)-EOMONTH(FC$11,0))/30)+1,0),0)</f>
        <v>0</v>
      </c>
      <c r="FD191" s="427">
        <f>-IF(AND(FD$11&gt;=EOMONTH('Construction Budget'!$K47,0),FD$11&lt;=EOMONTH('Construction Budget'!$M47,0)),('Construction Budget'!$G47+SUM($G191:FC191))/ROUND(((EOMONTH('Construction Budget'!$M47,0)-EOMONTH(FD$11,0))/30)+1,0),0)</f>
        <v>0</v>
      </c>
      <c r="FE191" s="427">
        <f>-IF(AND(FE$11&gt;=EOMONTH('Construction Budget'!$K47,0),FE$11&lt;=EOMONTH('Construction Budget'!$M47,0)),('Construction Budget'!$G47+SUM($G191:FD191))/ROUND(((EOMONTH('Construction Budget'!$M47,0)-EOMONTH(FE$11,0))/30)+1,0),0)</f>
        <v>0</v>
      </c>
      <c r="FF191" s="427">
        <f>-IF(AND(FF$11&gt;=EOMONTH('Construction Budget'!$K47,0),FF$11&lt;=EOMONTH('Construction Budget'!$M47,0)),('Construction Budget'!$G47+SUM($G191:FE191))/ROUND(((EOMONTH('Construction Budget'!$M47,0)-EOMONTH(FF$11,0))/30)+1,0),0)</f>
        <v>0</v>
      </c>
      <c r="FG191" s="427">
        <f>-IF(AND(FG$11&gt;=EOMONTH('Construction Budget'!$K47,0),FG$11&lt;=EOMONTH('Construction Budget'!$M47,0)),('Construction Budget'!$G47+SUM($G191:FF191))/ROUND(((EOMONTH('Construction Budget'!$M47,0)-EOMONTH(FG$11,0))/30)+1,0),0)</f>
        <v>0</v>
      </c>
      <c r="FH191" s="427">
        <f>-IF(AND(FH$11&gt;=EOMONTH('Construction Budget'!$K47,0),FH$11&lt;=EOMONTH('Construction Budget'!$M47,0)),('Construction Budget'!$G47+SUM($G191:FG191))/ROUND(((EOMONTH('Construction Budget'!$M47,0)-EOMONTH(FH$11,0))/30)+1,0),0)</f>
        <v>0</v>
      </c>
      <c r="FI191" s="427">
        <f>-IF(AND(FI$11&gt;=EOMONTH('Construction Budget'!$K47,0),FI$11&lt;=EOMONTH('Construction Budget'!$M47,0)),('Construction Budget'!$G47+SUM($G191:FH191))/ROUND(((EOMONTH('Construction Budget'!$M47,0)-EOMONTH(FI$11,0))/30)+1,0),0)</f>
        <v>0</v>
      </c>
      <c r="FJ191" s="427">
        <f>-IF(AND(FJ$11&gt;=EOMONTH('Construction Budget'!$K47,0),FJ$11&lt;=EOMONTH('Construction Budget'!$M47,0)),('Construction Budget'!$G47+SUM($G191:FI191))/ROUND(((EOMONTH('Construction Budget'!$M47,0)-EOMONTH(FJ$11,0))/30)+1,0),0)</f>
        <v>0</v>
      </c>
      <c r="FK191" s="427">
        <f>-IF(AND(FK$11&gt;=EOMONTH('Construction Budget'!$K47,0),FK$11&lt;=EOMONTH('Construction Budget'!$M47,0)),('Construction Budget'!$G47+SUM($G191:FJ191))/ROUND(((EOMONTH('Construction Budget'!$M47,0)-EOMONTH(FK$11,0))/30)+1,0),0)</f>
        <v>0</v>
      </c>
      <c r="FL191" s="427">
        <f>-IF(AND(FL$11&gt;=EOMONTH('Construction Budget'!$K47,0),FL$11&lt;=EOMONTH('Construction Budget'!$M47,0)),('Construction Budget'!$G47+SUM($G191:FK191))/ROUND(((EOMONTH('Construction Budget'!$M47,0)-EOMONTH(FL$11,0))/30)+1,0),0)</f>
        <v>0</v>
      </c>
      <c r="FM191" s="427">
        <f>-IF(AND(FM$11&gt;=EOMONTH('Construction Budget'!$K47,0),FM$11&lt;=EOMONTH('Construction Budget'!$M47,0)),('Construction Budget'!$G47+SUM($G191:FL191))/ROUND(((EOMONTH('Construction Budget'!$M47,0)-EOMONTH(FM$11,0))/30)+1,0),0)</f>
        <v>0</v>
      </c>
      <c r="FN191" s="427">
        <f>-IF(AND(FN$11&gt;=EOMONTH('Construction Budget'!$K47,0),FN$11&lt;=EOMONTH('Construction Budget'!$M47,0)),('Construction Budget'!$G47+SUM($G191:FM191))/ROUND(((EOMONTH('Construction Budget'!$M47,0)-EOMONTH(FN$11,0))/30)+1,0),0)</f>
        <v>0</v>
      </c>
      <c r="FO191" s="427">
        <f>-IF(AND(FO$11&gt;=EOMONTH('Construction Budget'!$K47,0),FO$11&lt;=EOMONTH('Construction Budget'!$M47,0)),('Construction Budget'!$G47+SUM($G191:FN191))/ROUND(((EOMONTH('Construction Budget'!$M47,0)-EOMONTH(FO$11,0))/30)+1,0),0)</f>
        <v>0</v>
      </c>
      <c r="FP191" s="427">
        <f>-IF(AND(FP$11&gt;=EOMONTH('Construction Budget'!$K47,0),FP$11&lt;=EOMONTH('Construction Budget'!$M47,0)),('Construction Budget'!$G47+SUM($G191:FO191))/ROUND(((EOMONTH('Construction Budget'!$M47,0)-EOMONTH(FP$11,0))/30)+1,0),0)</f>
        <v>0</v>
      </c>
      <c r="FQ191" s="427">
        <f>-IF(AND(FQ$11&gt;=EOMONTH('Construction Budget'!$K47,0),FQ$11&lt;=EOMONTH('Construction Budget'!$M47,0)),('Construction Budget'!$G47+SUM($G191:FP191))/ROUND(((EOMONTH('Construction Budget'!$M47,0)-EOMONTH(FQ$11,0))/30)+1,0),0)</f>
        <v>0</v>
      </c>
      <c r="FR191" s="427">
        <f>-IF(AND(FR$11&gt;=EOMONTH('Construction Budget'!$K47,0),FR$11&lt;=EOMONTH('Construction Budget'!$M47,0)),('Construction Budget'!$G47+SUM($G191:FQ191))/ROUND(((EOMONTH('Construction Budget'!$M47,0)-EOMONTH(FR$11,0))/30)+1,0),0)</f>
        <v>0</v>
      </c>
      <c r="FS191" s="427">
        <f>-IF(AND(FS$11&gt;=EOMONTH('Construction Budget'!$K47,0),FS$11&lt;=EOMONTH('Construction Budget'!$M47,0)),('Construction Budget'!$G47+SUM($G191:FR191))/ROUND(((EOMONTH('Construction Budget'!$M47,0)-EOMONTH(FS$11,0))/30)+1,0),0)</f>
        <v>0</v>
      </c>
      <c r="FT191" s="427">
        <f>-IF(AND(FT$11&gt;=EOMONTH('Construction Budget'!$K47,0),FT$11&lt;=EOMONTH('Construction Budget'!$M47,0)),('Construction Budget'!$G47+SUM($G191:FS191))/ROUND(((EOMONTH('Construction Budget'!$M47,0)-EOMONTH(FT$11,0))/30)+1,0),0)</f>
        <v>0</v>
      </c>
      <c r="FU191" s="43"/>
      <c r="FV191" s="34"/>
      <c r="FW191" s="34"/>
      <c r="FX191" s="34"/>
      <c r="FY191" s="34"/>
      <c r="FZ191" s="34"/>
    </row>
    <row r="192" spans="1:182" s="89" customFormat="1" ht="13.5" hidden="1" outlineLevel="2" x14ac:dyDescent="0.25">
      <c r="A192" s="498"/>
      <c r="B192" s="128" t="str">
        <f>'Construction Budget'!B48</f>
        <v>Blank</v>
      </c>
      <c r="C192" s="34"/>
      <c r="D192" s="34"/>
      <c r="E192" s="34"/>
      <c r="F192" s="434">
        <f t="shared" si="232"/>
        <v>0</v>
      </c>
      <c r="G192" s="34"/>
      <c r="H192" s="427">
        <f>-IF(AND(H$11&gt;=EOMONTH('Construction Budget'!$K48,0),H$11&lt;=EOMONTH('Construction Budget'!$M48,0)),('Construction Budget'!$G48+SUM($G192:G192))/ROUND(((EOMONTH('Construction Budget'!$M48,0)-EOMONTH(H$11,0))/30)+1,0),0)</f>
        <v>0</v>
      </c>
      <c r="I192" s="427">
        <f>-IF(AND(I$11&gt;=EOMONTH('Construction Budget'!$K48,0),I$11&lt;=EOMONTH('Construction Budget'!$M48,0)),('Construction Budget'!$G48+SUM($G192:H192))/ROUND(((EOMONTH('Construction Budget'!$M48,0)-EOMONTH(I$11,0))/30)+1,0),0)</f>
        <v>0</v>
      </c>
      <c r="J192" s="427">
        <f>-IF(AND(J$11&gt;=EOMONTH('Construction Budget'!$K48,0),J$11&lt;=EOMONTH('Construction Budget'!$M48,0)),('Construction Budget'!$G48+SUM($G192:I192))/ROUND(((EOMONTH('Construction Budget'!$M48,0)-EOMONTH(J$11,0))/30)+1,0),0)</f>
        <v>0</v>
      </c>
      <c r="K192" s="427">
        <f>-IF(AND(K$11&gt;=EOMONTH('Construction Budget'!$K48,0),K$11&lt;=EOMONTH('Construction Budget'!$M48,0)),('Construction Budget'!$G48+SUM($G192:J192))/ROUND(((EOMONTH('Construction Budget'!$M48,0)-EOMONTH(K$11,0))/30)+1,0),0)</f>
        <v>0</v>
      </c>
      <c r="L192" s="427">
        <f>-IF(AND(L$11&gt;=EOMONTH('Construction Budget'!$K48,0),L$11&lt;=EOMONTH('Construction Budget'!$M48,0)),('Construction Budget'!$G48+SUM($G192:K192))/ROUND(((EOMONTH('Construction Budget'!$M48,0)-EOMONTH(L$11,0))/30)+1,0),0)</f>
        <v>0</v>
      </c>
      <c r="M192" s="427">
        <f>-IF(AND(M$11&gt;=EOMONTH('Construction Budget'!$K48,0),M$11&lt;=EOMONTH('Construction Budget'!$M48,0)),('Construction Budget'!$G48+SUM($G192:L192))/ROUND(((EOMONTH('Construction Budget'!$M48,0)-EOMONTH(M$11,0))/30)+1,0),0)</f>
        <v>0</v>
      </c>
      <c r="N192" s="427">
        <f>-IF(AND(N$11&gt;=EOMONTH('Construction Budget'!$K48,0),N$11&lt;=EOMONTH('Construction Budget'!$M48,0)),('Construction Budget'!$G48+SUM($G192:M192))/ROUND(((EOMONTH('Construction Budget'!$M48,0)-EOMONTH(N$11,0))/30)+1,0),0)</f>
        <v>0</v>
      </c>
      <c r="O192" s="427">
        <f>-IF(AND(O$11&gt;=EOMONTH('Construction Budget'!$K48,0),O$11&lt;=EOMONTH('Construction Budget'!$M48,0)),('Construction Budget'!$G48+SUM($G192:N192))/ROUND(((EOMONTH('Construction Budget'!$M48,0)-EOMONTH(O$11,0))/30)+1,0),0)</f>
        <v>0</v>
      </c>
      <c r="P192" s="427">
        <f>-IF(AND(P$11&gt;=EOMONTH('Construction Budget'!$K48,0),P$11&lt;=EOMONTH('Construction Budget'!$M48,0)),('Construction Budget'!$G48+SUM($G192:O192))/ROUND(((EOMONTH('Construction Budget'!$M48,0)-EOMONTH(P$11,0))/30)+1,0),0)</f>
        <v>0</v>
      </c>
      <c r="Q192" s="427">
        <f>-IF(AND(Q$11&gt;=EOMONTH('Construction Budget'!$K48,0),Q$11&lt;=EOMONTH('Construction Budget'!$M48,0)),('Construction Budget'!$G48+SUM($G192:P192))/ROUND(((EOMONTH('Construction Budget'!$M48,0)-EOMONTH(Q$11,0))/30)+1,0),0)</f>
        <v>0</v>
      </c>
      <c r="R192" s="427">
        <f>-IF(AND(R$11&gt;=EOMONTH('Construction Budget'!$K48,0),R$11&lt;=EOMONTH('Construction Budget'!$M48,0)),('Construction Budget'!$G48+SUM($G192:Q192))/ROUND(((EOMONTH('Construction Budget'!$M48,0)-EOMONTH(R$11,0))/30)+1,0),0)</f>
        <v>0</v>
      </c>
      <c r="S192" s="427">
        <f>-IF(AND(S$11&gt;=EOMONTH('Construction Budget'!$K48,0),S$11&lt;=EOMONTH('Construction Budget'!$M48,0)),('Construction Budget'!$G48+SUM($G192:R192))/ROUND(((EOMONTH('Construction Budget'!$M48,0)-EOMONTH(S$11,0))/30)+1,0),0)</f>
        <v>0</v>
      </c>
      <c r="T192" s="427">
        <f>-IF(AND(T$11&gt;=EOMONTH('Construction Budget'!$K48,0),T$11&lt;=EOMONTH('Construction Budget'!$M48,0)),('Construction Budget'!$G48+SUM($G192:S192))/ROUND(((EOMONTH('Construction Budget'!$M48,0)-EOMONTH(T$11,0))/30)+1,0),0)</f>
        <v>0</v>
      </c>
      <c r="U192" s="427">
        <f>-IF(AND(U$11&gt;=EOMONTH('Construction Budget'!$K48,0),U$11&lt;=EOMONTH('Construction Budget'!$M48,0)),('Construction Budget'!$G48+SUM($G192:T192))/ROUND(((EOMONTH('Construction Budget'!$M48,0)-EOMONTH(U$11,0))/30)+1,0),0)</f>
        <v>0</v>
      </c>
      <c r="V192" s="427">
        <f>-IF(AND(V$11&gt;=EOMONTH('Construction Budget'!$K48,0),V$11&lt;=EOMONTH('Construction Budget'!$M48,0)),('Construction Budget'!$G48+SUM($G192:U192))/ROUND(((EOMONTH('Construction Budget'!$M48,0)-EOMONTH(V$11,0))/30)+1,0),0)</f>
        <v>0</v>
      </c>
      <c r="W192" s="427">
        <f>-IF(AND(W$11&gt;=EOMONTH('Construction Budget'!$K48,0),W$11&lt;=EOMONTH('Construction Budget'!$M48,0)),('Construction Budget'!$G48+SUM($G192:V192))/ROUND(((EOMONTH('Construction Budget'!$M48,0)-EOMONTH(W$11,0))/30)+1,0),0)</f>
        <v>0</v>
      </c>
      <c r="X192" s="427">
        <f>-IF(AND(X$11&gt;=EOMONTH('Construction Budget'!$K48,0),X$11&lt;=EOMONTH('Construction Budget'!$M48,0)),('Construction Budget'!$G48+SUM($G192:W192))/ROUND(((EOMONTH('Construction Budget'!$M48,0)-EOMONTH(X$11,0))/30)+1,0),0)</f>
        <v>0</v>
      </c>
      <c r="Y192" s="427">
        <f>-IF(AND(Y$11&gt;=EOMONTH('Construction Budget'!$K48,0),Y$11&lt;=EOMONTH('Construction Budget'!$M48,0)),('Construction Budget'!$G48+SUM($G192:X192))/ROUND(((EOMONTH('Construction Budget'!$M48,0)-EOMONTH(Y$11,0))/30)+1,0),0)</f>
        <v>0</v>
      </c>
      <c r="Z192" s="427">
        <f>-IF(AND(Z$11&gt;=EOMONTH('Construction Budget'!$K48,0),Z$11&lt;=EOMONTH('Construction Budget'!$M48,0)),('Construction Budget'!$G48+SUM($G192:Y192))/ROUND(((EOMONTH('Construction Budget'!$M48,0)-EOMONTH(Z$11,0))/30)+1,0),0)</f>
        <v>0</v>
      </c>
      <c r="AA192" s="427">
        <f>-IF(AND(AA$11&gt;=EOMONTH('Construction Budget'!$K48,0),AA$11&lt;=EOMONTH('Construction Budget'!$M48,0)),('Construction Budget'!$G48+SUM($G192:Z192))/ROUND(((EOMONTH('Construction Budget'!$M48,0)-EOMONTH(AA$11,0))/30)+1,0),0)</f>
        <v>0</v>
      </c>
      <c r="AB192" s="427">
        <f>-IF(AND(AB$11&gt;=EOMONTH('Construction Budget'!$K48,0),AB$11&lt;=EOMONTH('Construction Budget'!$M48,0)),('Construction Budget'!$G48+SUM($G192:AA192))/ROUND(((EOMONTH('Construction Budget'!$M48,0)-EOMONTH(AB$11,0))/30)+1,0),0)</f>
        <v>0</v>
      </c>
      <c r="AC192" s="427">
        <f>-IF(AND(AC$11&gt;=EOMONTH('Construction Budget'!$K48,0),AC$11&lt;=EOMONTH('Construction Budget'!$M48,0)),('Construction Budget'!$G48+SUM($G192:AB192))/ROUND(((EOMONTH('Construction Budget'!$M48,0)-EOMONTH(AC$11,0))/30)+1,0),0)</f>
        <v>0</v>
      </c>
      <c r="AD192" s="427">
        <f>-IF(AND(AD$11&gt;=EOMONTH('Construction Budget'!$K48,0),AD$11&lt;=EOMONTH('Construction Budget'!$M48,0)),('Construction Budget'!$G48+SUM($G192:AC192))/ROUND(((EOMONTH('Construction Budget'!$M48,0)-EOMONTH(AD$11,0))/30)+1,0),0)</f>
        <v>0</v>
      </c>
      <c r="AE192" s="427">
        <f>-IF(AND(AE$11&gt;=EOMONTH('Construction Budget'!$K48,0),AE$11&lt;=EOMONTH('Construction Budget'!$M48,0)),('Construction Budget'!$G48+SUM($G192:AD192))/ROUND(((EOMONTH('Construction Budget'!$M48,0)-EOMONTH(AE$11,0))/30)+1,0),0)</f>
        <v>0</v>
      </c>
      <c r="AF192" s="427">
        <f>-IF(AND(AF$11&gt;=EOMONTH('Construction Budget'!$K48,0),AF$11&lt;=EOMONTH('Construction Budget'!$M48,0)),('Construction Budget'!$G48+SUM($G192:AE192))/ROUND(((EOMONTH('Construction Budget'!$M48,0)-EOMONTH(AF$11,0))/30)+1,0),0)</f>
        <v>0</v>
      </c>
      <c r="AG192" s="427">
        <f>-IF(AND(AG$11&gt;=EOMONTH('Construction Budget'!$K48,0),AG$11&lt;=EOMONTH('Construction Budget'!$M48,0)),('Construction Budget'!$G48+SUM($G192:AF192))/ROUND(((EOMONTH('Construction Budget'!$M48,0)-EOMONTH(AG$11,0))/30)+1,0),0)</f>
        <v>0</v>
      </c>
      <c r="AH192" s="427">
        <f>-IF(AND(AH$11&gt;=EOMONTH('Construction Budget'!$K48,0),AH$11&lt;=EOMONTH('Construction Budget'!$M48,0)),('Construction Budget'!$G48+SUM($G192:AG192))/ROUND(((EOMONTH('Construction Budget'!$M48,0)-EOMONTH(AH$11,0))/30)+1,0),0)</f>
        <v>0</v>
      </c>
      <c r="AI192" s="427">
        <f>-IF(AND(AI$11&gt;=EOMONTH('Construction Budget'!$K48,0),AI$11&lt;=EOMONTH('Construction Budget'!$M48,0)),('Construction Budget'!$G48+SUM($G192:AH192))/ROUND(((EOMONTH('Construction Budget'!$M48,0)-EOMONTH(AI$11,0))/30)+1,0),0)</f>
        <v>0</v>
      </c>
      <c r="AJ192" s="427">
        <f>-IF(AND(AJ$11&gt;=EOMONTH('Construction Budget'!$K48,0),AJ$11&lt;=EOMONTH('Construction Budget'!$M48,0)),('Construction Budget'!$G48+SUM($G192:AI192))/ROUND(((EOMONTH('Construction Budget'!$M48,0)-EOMONTH(AJ$11,0))/30)+1,0),0)</f>
        <v>0</v>
      </c>
      <c r="AK192" s="427">
        <f>-IF(AND(AK$11&gt;=EOMONTH('Construction Budget'!$K48,0),AK$11&lt;=EOMONTH('Construction Budget'!$M48,0)),('Construction Budget'!$G48+SUM($G192:AJ192))/ROUND(((EOMONTH('Construction Budget'!$M48,0)-EOMONTH(AK$11,0))/30)+1,0),0)</f>
        <v>0</v>
      </c>
      <c r="AL192" s="427">
        <f>-IF(AND(AL$11&gt;=EOMONTH('Construction Budget'!$K48,0),AL$11&lt;=EOMONTH('Construction Budget'!$M48,0)),('Construction Budget'!$G48+SUM($G192:AK192))/ROUND(((EOMONTH('Construction Budget'!$M48,0)-EOMONTH(AL$11,0))/30)+1,0),0)</f>
        <v>0</v>
      </c>
      <c r="AM192" s="427">
        <f>-IF(AND(AM$11&gt;=EOMONTH('Construction Budget'!$K48,0),AM$11&lt;=EOMONTH('Construction Budget'!$M48,0)),('Construction Budget'!$G48+SUM($G192:AL192))/ROUND(((EOMONTH('Construction Budget'!$M48,0)-EOMONTH(AM$11,0))/30)+1,0),0)</f>
        <v>0</v>
      </c>
      <c r="AN192" s="427">
        <f>-IF(AND(AN$11&gt;=EOMONTH('Construction Budget'!$K48,0),AN$11&lt;=EOMONTH('Construction Budget'!$M48,0)),('Construction Budget'!$G48+SUM($G192:AM192))/ROUND(((EOMONTH('Construction Budget'!$M48,0)-EOMONTH(AN$11,0))/30)+1,0),0)</f>
        <v>0</v>
      </c>
      <c r="AO192" s="427">
        <f>-IF(AND(AO$11&gt;=EOMONTH('Construction Budget'!$K48,0),AO$11&lt;=EOMONTH('Construction Budget'!$M48,0)),('Construction Budget'!$G48+SUM($G192:AN192))/ROUND(((EOMONTH('Construction Budget'!$M48,0)-EOMONTH(AO$11,0))/30)+1,0),0)</f>
        <v>0</v>
      </c>
      <c r="AP192" s="427">
        <f>-IF(AND(AP$11&gt;=EOMONTH('Construction Budget'!$K48,0),AP$11&lt;=EOMONTH('Construction Budget'!$M48,0)),('Construction Budget'!$G48+SUM($G192:AO192))/ROUND(((EOMONTH('Construction Budget'!$M48,0)-EOMONTH(AP$11,0))/30)+1,0),0)</f>
        <v>0</v>
      </c>
      <c r="AQ192" s="427">
        <f>-IF(AND(AQ$11&gt;=EOMONTH('Construction Budget'!$K48,0),AQ$11&lt;=EOMONTH('Construction Budget'!$M48,0)),('Construction Budget'!$G48+SUM($G192:AP192))/ROUND(((EOMONTH('Construction Budget'!$M48,0)-EOMONTH(AQ$11,0))/30)+1,0),0)</f>
        <v>0</v>
      </c>
      <c r="AR192" s="427">
        <f>-IF(AND(AR$11&gt;=EOMONTH('Construction Budget'!$K48,0),AR$11&lt;=EOMONTH('Construction Budget'!$M48,0)),('Construction Budget'!$G48+SUM($G192:AQ192))/ROUND(((EOMONTH('Construction Budget'!$M48,0)-EOMONTH(AR$11,0))/30)+1,0),0)</f>
        <v>0</v>
      </c>
      <c r="AS192" s="427">
        <f>-IF(AND(AS$11&gt;=EOMONTH('Construction Budget'!$K48,0),AS$11&lt;=EOMONTH('Construction Budget'!$M48,0)),('Construction Budget'!$G48+SUM($G192:AR192))/ROUND(((EOMONTH('Construction Budget'!$M48,0)-EOMONTH(AS$11,0))/30)+1,0),0)</f>
        <v>0</v>
      </c>
      <c r="AT192" s="427">
        <f>-IF(AND(AT$11&gt;=EOMONTH('Construction Budget'!$K48,0),AT$11&lt;=EOMONTH('Construction Budget'!$M48,0)),('Construction Budget'!$G48+SUM($G192:AS192))/ROUND(((EOMONTH('Construction Budget'!$M48,0)-EOMONTH(AT$11,0))/30)+1,0),0)</f>
        <v>0</v>
      </c>
      <c r="AU192" s="427">
        <f>-IF(AND(AU$11&gt;=EOMONTH('Construction Budget'!$K48,0),AU$11&lt;=EOMONTH('Construction Budget'!$M48,0)),('Construction Budget'!$G48+SUM($G192:AT192))/ROUND(((EOMONTH('Construction Budget'!$M48,0)-EOMONTH(AU$11,0))/30)+1,0),0)</f>
        <v>0</v>
      </c>
      <c r="AV192" s="427">
        <f>-IF(AND(AV$11&gt;=EOMONTH('Construction Budget'!$K48,0),AV$11&lt;=EOMONTH('Construction Budget'!$M48,0)),('Construction Budget'!$G48+SUM($G192:AU192))/ROUND(((EOMONTH('Construction Budget'!$M48,0)-EOMONTH(AV$11,0))/30)+1,0),0)</f>
        <v>0</v>
      </c>
      <c r="AW192" s="427">
        <f>-IF(AND(AW$11&gt;=EOMONTH('Construction Budget'!$K48,0),AW$11&lt;=EOMONTH('Construction Budget'!$M48,0)),('Construction Budget'!$G48+SUM($G192:AV192))/ROUND(((EOMONTH('Construction Budget'!$M48,0)-EOMONTH(AW$11,0))/30)+1,0),0)</f>
        <v>0</v>
      </c>
      <c r="AX192" s="427">
        <f>-IF(AND(AX$11&gt;=EOMONTH('Construction Budget'!$K48,0),AX$11&lt;=EOMONTH('Construction Budget'!$M48,0)),('Construction Budget'!$G48+SUM($G192:AW192))/ROUND(((EOMONTH('Construction Budget'!$M48,0)-EOMONTH(AX$11,0))/30)+1,0),0)</f>
        <v>0</v>
      </c>
      <c r="AY192" s="427">
        <f>-IF(AND(AY$11&gt;=EOMONTH('Construction Budget'!$K48,0),AY$11&lt;=EOMONTH('Construction Budget'!$M48,0)),('Construction Budget'!$G48+SUM($G192:AX192))/ROUND(((EOMONTH('Construction Budget'!$M48,0)-EOMONTH(AY$11,0))/30)+1,0),0)</f>
        <v>0</v>
      </c>
      <c r="AZ192" s="427">
        <f>-IF(AND(AZ$11&gt;=EOMONTH('Construction Budget'!$K48,0),AZ$11&lt;=EOMONTH('Construction Budget'!$M48,0)),('Construction Budget'!$G48+SUM($G192:AY192))/ROUND(((EOMONTH('Construction Budget'!$M48,0)-EOMONTH(AZ$11,0))/30)+1,0),0)</f>
        <v>0</v>
      </c>
      <c r="BA192" s="427">
        <f>-IF(AND(BA$11&gt;=EOMONTH('Construction Budget'!$K48,0),BA$11&lt;=EOMONTH('Construction Budget'!$M48,0)),('Construction Budget'!$G48+SUM($G192:AZ192))/ROUND(((EOMONTH('Construction Budget'!$M48,0)-EOMONTH(BA$11,0))/30)+1,0),0)</f>
        <v>0</v>
      </c>
      <c r="BB192" s="427">
        <f>-IF(AND(BB$11&gt;=EOMONTH('Construction Budget'!$K48,0),BB$11&lt;=EOMONTH('Construction Budget'!$M48,0)),('Construction Budget'!$G48+SUM($G192:BA192))/ROUND(((EOMONTH('Construction Budget'!$M48,0)-EOMONTH(BB$11,0))/30)+1,0),0)</f>
        <v>0</v>
      </c>
      <c r="BC192" s="427">
        <f>-IF(AND(BC$11&gt;=EOMONTH('Construction Budget'!$K48,0),BC$11&lt;=EOMONTH('Construction Budget'!$M48,0)),('Construction Budget'!$G48+SUM($G192:BB192))/ROUND(((EOMONTH('Construction Budget'!$M48,0)-EOMONTH(BC$11,0))/30)+1,0),0)</f>
        <v>0</v>
      </c>
      <c r="BD192" s="427">
        <f>-IF(AND(BD$11&gt;=EOMONTH('Construction Budget'!$K48,0),BD$11&lt;=EOMONTH('Construction Budget'!$M48,0)),('Construction Budget'!$G48+SUM($G192:BC192))/ROUND(((EOMONTH('Construction Budget'!$M48,0)-EOMONTH(BD$11,0))/30)+1,0),0)</f>
        <v>0</v>
      </c>
      <c r="BE192" s="427">
        <f>-IF(AND(BE$11&gt;=EOMONTH('Construction Budget'!$K48,0),BE$11&lt;=EOMONTH('Construction Budget'!$M48,0)),('Construction Budget'!$G48+SUM($G192:BD192))/ROUND(((EOMONTH('Construction Budget'!$M48,0)-EOMONTH(BE$11,0))/30)+1,0),0)</f>
        <v>0</v>
      </c>
      <c r="BF192" s="427">
        <f>-IF(AND(BF$11&gt;=EOMONTH('Construction Budget'!$K48,0),BF$11&lt;=EOMONTH('Construction Budget'!$M48,0)),('Construction Budget'!$G48+SUM($G192:BE192))/ROUND(((EOMONTH('Construction Budget'!$M48,0)-EOMONTH(BF$11,0))/30)+1,0),0)</f>
        <v>0</v>
      </c>
      <c r="BG192" s="427">
        <f>-IF(AND(BG$11&gt;=EOMONTH('Construction Budget'!$K48,0),BG$11&lt;=EOMONTH('Construction Budget'!$M48,0)),('Construction Budget'!$G48+SUM($G192:BF192))/ROUND(((EOMONTH('Construction Budget'!$M48,0)-EOMONTH(BG$11,0))/30)+1,0),0)</f>
        <v>0</v>
      </c>
      <c r="BH192" s="427">
        <f>-IF(AND(BH$11&gt;=EOMONTH('Construction Budget'!$K48,0),BH$11&lt;=EOMONTH('Construction Budget'!$M48,0)),('Construction Budget'!$G48+SUM($G192:BG192))/ROUND(((EOMONTH('Construction Budget'!$M48,0)-EOMONTH(BH$11,0))/30)+1,0),0)</f>
        <v>0</v>
      </c>
      <c r="BI192" s="427">
        <f>-IF(AND(BI$11&gt;=EOMONTH('Construction Budget'!$K48,0),BI$11&lt;=EOMONTH('Construction Budget'!$M48,0)),('Construction Budget'!$G48+SUM($G192:BH192))/ROUND(((EOMONTH('Construction Budget'!$M48,0)-EOMONTH(BI$11,0))/30)+1,0),0)</f>
        <v>0</v>
      </c>
      <c r="BJ192" s="427">
        <f>-IF(AND(BJ$11&gt;=EOMONTH('Construction Budget'!$K48,0),BJ$11&lt;=EOMONTH('Construction Budget'!$M48,0)),('Construction Budget'!$G48+SUM($G192:BI192))/ROUND(((EOMONTH('Construction Budget'!$M48,0)-EOMONTH(BJ$11,0))/30)+1,0),0)</f>
        <v>0</v>
      </c>
      <c r="BK192" s="427">
        <f>-IF(AND(BK$11&gt;=EOMONTH('Construction Budget'!$K48,0),BK$11&lt;=EOMONTH('Construction Budget'!$M48,0)),('Construction Budget'!$G48+SUM($G192:BJ192))/ROUND(((EOMONTH('Construction Budget'!$M48,0)-EOMONTH(BK$11,0))/30)+1,0),0)</f>
        <v>0</v>
      </c>
      <c r="BL192" s="427">
        <f>-IF(AND(BL$11&gt;=EOMONTH('Construction Budget'!$K48,0),BL$11&lt;=EOMONTH('Construction Budget'!$M48,0)),('Construction Budget'!$G48+SUM($G192:BK192))/ROUND(((EOMONTH('Construction Budget'!$M48,0)-EOMONTH(BL$11,0))/30)+1,0),0)</f>
        <v>0</v>
      </c>
      <c r="BM192" s="427">
        <f>-IF(AND(BM$11&gt;=EOMONTH('Construction Budget'!$K48,0),BM$11&lt;=EOMONTH('Construction Budget'!$M48,0)),('Construction Budget'!$G48+SUM($G192:BL192))/ROUND(((EOMONTH('Construction Budget'!$M48,0)-EOMONTH(BM$11,0))/30)+1,0),0)</f>
        <v>0</v>
      </c>
      <c r="BN192" s="427">
        <f>-IF(AND(BN$11&gt;=EOMONTH('Construction Budget'!$K48,0),BN$11&lt;=EOMONTH('Construction Budget'!$M48,0)),('Construction Budget'!$G48+SUM($G192:BM192))/ROUND(((EOMONTH('Construction Budget'!$M48,0)-EOMONTH(BN$11,0))/30)+1,0),0)</f>
        <v>0</v>
      </c>
      <c r="BO192" s="427">
        <f>-IF(AND(BO$11&gt;=EOMONTH('Construction Budget'!$K48,0),BO$11&lt;=EOMONTH('Construction Budget'!$M48,0)),('Construction Budget'!$G48+SUM($G192:BN192))/ROUND(((EOMONTH('Construction Budget'!$M48,0)-EOMONTH(BO$11,0))/30)+1,0),0)</f>
        <v>0</v>
      </c>
      <c r="BP192" s="427">
        <f>-IF(AND(BP$11&gt;=EOMONTH('Construction Budget'!$K48,0),BP$11&lt;=EOMONTH('Construction Budget'!$M48,0)),('Construction Budget'!$G48+SUM($G192:BO192))/ROUND(((EOMONTH('Construction Budget'!$M48,0)-EOMONTH(BP$11,0))/30)+1,0),0)</f>
        <v>0</v>
      </c>
      <c r="BQ192" s="427">
        <f>-IF(AND(BQ$11&gt;=EOMONTH('Construction Budget'!$K48,0),BQ$11&lt;=EOMONTH('Construction Budget'!$M48,0)),('Construction Budget'!$G48+SUM($G192:BP192))/ROUND(((EOMONTH('Construction Budget'!$M48,0)-EOMONTH(BQ$11,0))/30)+1,0),0)</f>
        <v>0</v>
      </c>
      <c r="BR192" s="427">
        <f>-IF(AND(BR$11&gt;=EOMONTH('Construction Budget'!$K48,0),BR$11&lt;=EOMONTH('Construction Budget'!$M48,0)),('Construction Budget'!$G48+SUM($G192:BQ192))/ROUND(((EOMONTH('Construction Budget'!$M48,0)-EOMONTH(BR$11,0))/30)+1,0),0)</f>
        <v>0</v>
      </c>
      <c r="BS192" s="427">
        <f>-IF(AND(BS$11&gt;=EOMONTH('Construction Budget'!$K48,0),BS$11&lt;=EOMONTH('Construction Budget'!$M48,0)),('Construction Budget'!$G48+SUM($G192:BR192))/ROUND(((EOMONTH('Construction Budget'!$M48,0)-EOMONTH(BS$11,0))/30)+1,0),0)</f>
        <v>0</v>
      </c>
      <c r="BT192" s="427">
        <f>-IF(AND(BT$11&gt;=EOMONTH('Construction Budget'!$K48,0),BT$11&lt;=EOMONTH('Construction Budget'!$M48,0)),('Construction Budget'!$G48+SUM($G192:BS192))/ROUND(((EOMONTH('Construction Budget'!$M48,0)-EOMONTH(BT$11,0))/30)+1,0),0)</f>
        <v>0</v>
      </c>
      <c r="BU192" s="427">
        <f>-IF(AND(BU$11&gt;=EOMONTH('Construction Budget'!$K48,0),BU$11&lt;=EOMONTH('Construction Budget'!$M48,0)),('Construction Budget'!$G48+SUM($G192:BT192))/ROUND(((EOMONTH('Construction Budget'!$M48,0)-EOMONTH(BU$11,0))/30)+1,0),0)</f>
        <v>0</v>
      </c>
      <c r="BV192" s="427">
        <f>-IF(AND(BV$11&gt;=EOMONTH('Construction Budget'!$K48,0),BV$11&lt;=EOMONTH('Construction Budget'!$M48,0)),('Construction Budget'!$G48+SUM($G192:BU192))/ROUND(((EOMONTH('Construction Budget'!$M48,0)-EOMONTH(BV$11,0))/30)+1,0),0)</f>
        <v>0</v>
      </c>
      <c r="BW192" s="427">
        <f>-IF(AND(BW$11&gt;=EOMONTH('Construction Budget'!$K48,0),BW$11&lt;=EOMONTH('Construction Budget'!$M48,0)),('Construction Budget'!$G48+SUM($G192:BV192))/ROUND(((EOMONTH('Construction Budget'!$M48,0)-EOMONTH(BW$11,0))/30)+1,0),0)</f>
        <v>0</v>
      </c>
      <c r="BX192" s="427">
        <f>-IF(AND(BX$11&gt;=EOMONTH('Construction Budget'!$K48,0),BX$11&lt;=EOMONTH('Construction Budget'!$M48,0)),('Construction Budget'!$G48+SUM($G192:BW192))/ROUND(((EOMONTH('Construction Budget'!$M48,0)-EOMONTH(BX$11,0))/30)+1,0),0)</f>
        <v>0</v>
      </c>
      <c r="BY192" s="427">
        <f>-IF(AND(BY$11&gt;=EOMONTH('Construction Budget'!$K48,0),BY$11&lt;=EOMONTH('Construction Budget'!$M48,0)),('Construction Budget'!$G48+SUM($G192:BX192))/ROUND(((EOMONTH('Construction Budget'!$M48,0)-EOMONTH(BY$11,0))/30)+1,0),0)</f>
        <v>0</v>
      </c>
      <c r="BZ192" s="427">
        <f>-IF(AND(BZ$11&gt;=EOMONTH('Construction Budget'!$K48,0),BZ$11&lt;=EOMONTH('Construction Budget'!$M48,0)),('Construction Budget'!$G48+SUM($G192:BY192))/ROUND(((EOMONTH('Construction Budget'!$M48,0)-EOMONTH(BZ$11,0))/30)+1,0),0)</f>
        <v>0</v>
      </c>
      <c r="CA192" s="427">
        <f>-IF(AND(CA$11&gt;=EOMONTH('Construction Budget'!$K48,0),CA$11&lt;=EOMONTH('Construction Budget'!$M48,0)),('Construction Budget'!$G48+SUM($G192:BZ192))/ROUND(((EOMONTH('Construction Budget'!$M48,0)-EOMONTH(CA$11,0))/30)+1,0),0)</f>
        <v>0</v>
      </c>
      <c r="CB192" s="427">
        <f>-IF(AND(CB$11&gt;=EOMONTH('Construction Budget'!$K48,0),CB$11&lt;=EOMONTH('Construction Budget'!$M48,0)),('Construction Budget'!$G48+SUM($G192:CA192))/ROUND(((EOMONTH('Construction Budget'!$M48,0)-EOMONTH(CB$11,0))/30)+1,0),0)</f>
        <v>0</v>
      </c>
      <c r="CC192" s="427">
        <f>-IF(AND(CC$11&gt;=EOMONTH('Construction Budget'!$K48,0),CC$11&lt;=EOMONTH('Construction Budget'!$M48,0)),('Construction Budget'!$G48+SUM($G192:CB192))/ROUND(((EOMONTH('Construction Budget'!$M48,0)-EOMONTH(CC$11,0))/30)+1,0),0)</f>
        <v>0</v>
      </c>
      <c r="CD192" s="427">
        <f>-IF(AND(CD$11&gt;=EOMONTH('Construction Budget'!$K48,0),CD$11&lt;=EOMONTH('Construction Budget'!$M48,0)),('Construction Budget'!$G48+SUM($G192:CC192))/ROUND(((EOMONTH('Construction Budget'!$M48,0)-EOMONTH(CD$11,0))/30)+1,0),0)</f>
        <v>0</v>
      </c>
      <c r="CE192" s="427">
        <f>-IF(AND(CE$11&gt;=EOMONTH('Construction Budget'!$K48,0),CE$11&lt;=EOMONTH('Construction Budget'!$M48,0)),('Construction Budget'!$G48+SUM($G192:CD192))/ROUND(((EOMONTH('Construction Budget'!$M48,0)-EOMONTH(CE$11,0))/30)+1,0),0)</f>
        <v>0</v>
      </c>
      <c r="CF192" s="427">
        <f>-IF(AND(CF$11&gt;=EOMONTH('Construction Budget'!$K48,0),CF$11&lt;=EOMONTH('Construction Budget'!$M48,0)),('Construction Budget'!$G48+SUM($G192:CE192))/ROUND(((EOMONTH('Construction Budget'!$M48,0)-EOMONTH(CF$11,0))/30)+1,0),0)</f>
        <v>0</v>
      </c>
      <c r="CG192" s="427">
        <f>-IF(AND(CG$11&gt;=EOMONTH('Construction Budget'!$K48,0),CG$11&lt;=EOMONTH('Construction Budget'!$M48,0)),('Construction Budget'!$G48+SUM($G192:CF192))/ROUND(((EOMONTH('Construction Budget'!$M48,0)-EOMONTH(CG$11,0))/30)+1,0),0)</f>
        <v>0</v>
      </c>
      <c r="CH192" s="427">
        <f>-IF(AND(CH$11&gt;=EOMONTH('Construction Budget'!$K48,0),CH$11&lt;=EOMONTH('Construction Budget'!$M48,0)),('Construction Budget'!$G48+SUM($G192:CG192))/ROUND(((EOMONTH('Construction Budget'!$M48,0)-EOMONTH(CH$11,0))/30)+1,0),0)</f>
        <v>0</v>
      </c>
      <c r="CI192" s="427">
        <f>-IF(AND(CI$11&gt;=EOMONTH('Construction Budget'!$K48,0),CI$11&lt;=EOMONTH('Construction Budget'!$M48,0)),('Construction Budget'!$G48+SUM($G192:CH192))/ROUND(((EOMONTH('Construction Budget'!$M48,0)-EOMONTH(CI$11,0))/30)+1,0),0)</f>
        <v>0</v>
      </c>
      <c r="CJ192" s="427">
        <f>-IF(AND(CJ$11&gt;=EOMONTH('Construction Budget'!$K48,0),CJ$11&lt;=EOMONTH('Construction Budget'!$M48,0)),('Construction Budget'!$G48+SUM($G192:CI192))/ROUND(((EOMONTH('Construction Budget'!$M48,0)-EOMONTH(CJ$11,0))/30)+1,0),0)</f>
        <v>0</v>
      </c>
      <c r="CK192" s="427">
        <f>-IF(AND(CK$11&gt;=EOMONTH('Construction Budget'!$K48,0),CK$11&lt;=EOMONTH('Construction Budget'!$M48,0)),('Construction Budget'!$G48+SUM($G192:CJ192))/ROUND(((EOMONTH('Construction Budget'!$M48,0)-EOMONTH(CK$11,0))/30)+1,0),0)</f>
        <v>0</v>
      </c>
      <c r="CL192" s="427">
        <f>-IF(AND(CL$11&gt;=EOMONTH('Construction Budget'!$K48,0),CL$11&lt;=EOMONTH('Construction Budget'!$M48,0)),('Construction Budget'!$G48+SUM($G192:CK192))/ROUND(((EOMONTH('Construction Budget'!$M48,0)-EOMONTH(CL$11,0))/30)+1,0),0)</f>
        <v>0</v>
      </c>
      <c r="CM192" s="427">
        <f>-IF(AND(CM$11&gt;=EOMONTH('Construction Budget'!$K48,0),CM$11&lt;=EOMONTH('Construction Budget'!$M48,0)),('Construction Budget'!$G48+SUM($G192:CL192))/ROUND(((EOMONTH('Construction Budget'!$M48,0)-EOMONTH(CM$11,0))/30)+1,0),0)</f>
        <v>0</v>
      </c>
      <c r="CN192" s="427">
        <f>-IF(AND(CN$11&gt;=EOMONTH('Construction Budget'!$K48,0),CN$11&lt;=EOMONTH('Construction Budget'!$M48,0)),('Construction Budget'!$G48+SUM($G192:CM192))/ROUND(((EOMONTH('Construction Budget'!$M48,0)-EOMONTH(CN$11,0))/30)+1,0),0)</f>
        <v>0</v>
      </c>
      <c r="CO192" s="427">
        <f>-IF(AND(CO$11&gt;=EOMONTH('Construction Budget'!$K48,0),CO$11&lt;=EOMONTH('Construction Budget'!$M48,0)),('Construction Budget'!$G48+SUM($G192:CN192))/ROUND(((EOMONTH('Construction Budget'!$M48,0)-EOMONTH(CO$11,0))/30)+1,0),0)</f>
        <v>0</v>
      </c>
      <c r="CP192" s="427">
        <f>-IF(AND(CP$11&gt;=EOMONTH('Construction Budget'!$K48,0),CP$11&lt;=EOMONTH('Construction Budget'!$M48,0)),('Construction Budget'!$G48+SUM($G192:CO192))/ROUND(((EOMONTH('Construction Budget'!$M48,0)-EOMONTH(CP$11,0))/30)+1,0),0)</f>
        <v>0</v>
      </c>
      <c r="CQ192" s="427">
        <f>-IF(AND(CQ$11&gt;=EOMONTH('Construction Budget'!$K48,0),CQ$11&lt;=EOMONTH('Construction Budget'!$M48,0)),('Construction Budget'!$G48+SUM($G192:CP192))/ROUND(((EOMONTH('Construction Budget'!$M48,0)-EOMONTH(CQ$11,0))/30)+1,0),0)</f>
        <v>0</v>
      </c>
      <c r="CR192" s="427">
        <f>-IF(AND(CR$11&gt;=EOMONTH('Construction Budget'!$K48,0),CR$11&lt;=EOMONTH('Construction Budget'!$M48,0)),('Construction Budget'!$G48+SUM($G192:CQ192))/ROUND(((EOMONTH('Construction Budget'!$M48,0)-EOMONTH(CR$11,0))/30)+1,0),0)</f>
        <v>0</v>
      </c>
      <c r="CS192" s="427">
        <f>-IF(AND(CS$11&gt;=EOMONTH('Construction Budget'!$K48,0),CS$11&lt;=EOMONTH('Construction Budget'!$M48,0)),('Construction Budget'!$G48+SUM($G192:CR192))/ROUND(((EOMONTH('Construction Budget'!$M48,0)-EOMONTH(CS$11,0))/30)+1,0),0)</f>
        <v>0</v>
      </c>
      <c r="CT192" s="427">
        <f>-IF(AND(CT$11&gt;=EOMONTH('Construction Budget'!$K48,0),CT$11&lt;=EOMONTH('Construction Budget'!$M48,0)),('Construction Budget'!$G48+SUM($G192:CS192))/ROUND(((EOMONTH('Construction Budget'!$M48,0)-EOMONTH(CT$11,0))/30)+1,0),0)</f>
        <v>0</v>
      </c>
      <c r="CU192" s="427">
        <f>-IF(AND(CU$11&gt;=EOMONTH('Construction Budget'!$K48,0),CU$11&lt;=EOMONTH('Construction Budget'!$M48,0)),('Construction Budget'!$G48+SUM($G192:CT192))/ROUND(((EOMONTH('Construction Budget'!$M48,0)-EOMONTH(CU$11,0))/30)+1,0),0)</f>
        <v>0</v>
      </c>
      <c r="CV192" s="427">
        <f>-IF(AND(CV$11&gt;=EOMONTH('Construction Budget'!$K48,0),CV$11&lt;=EOMONTH('Construction Budget'!$M48,0)),('Construction Budget'!$G48+SUM($G192:CU192))/ROUND(((EOMONTH('Construction Budget'!$M48,0)-EOMONTH(CV$11,0))/30)+1,0),0)</f>
        <v>0</v>
      </c>
      <c r="CW192" s="427">
        <f>-IF(AND(CW$11&gt;=EOMONTH('Construction Budget'!$K48,0),CW$11&lt;=EOMONTH('Construction Budget'!$M48,0)),('Construction Budget'!$G48+SUM($G192:CV192))/ROUND(((EOMONTH('Construction Budget'!$M48,0)-EOMONTH(CW$11,0))/30)+1,0),0)</f>
        <v>0</v>
      </c>
      <c r="CX192" s="427">
        <f>-IF(AND(CX$11&gt;=EOMONTH('Construction Budget'!$K48,0),CX$11&lt;=EOMONTH('Construction Budget'!$M48,0)),('Construction Budget'!$G48+SUM($G192:CW192))/ROUND(((EOMONTH('Construction Budget'!$M48,0)-EOMONTH(CX$11,0))/30)+1,0),0)</f>
        <v>0</v>
      </c>
      <c r="CY192" s="427">
        <f>-IF(AND(CY$11&gt;=EOMONTH('Construction Budget'!$K48,0),CY$11&lt;=EOMONTH('Construction Budget'!$M48,0)),('Construction Budget'!$G48+SUM($G192:CX192))/ROUND(((EOMONTH('Construction Budget'!$M48,0)-EOMONTH(CY$11,0))/30)+1,0),0)</f>
        <v>0</v>
      </c>
      <c r="CZ192" s="427">
        <f>-IF(AND(CZ$11&gt;=EOMONTH('Construction Budget'!$K48,0),CZ$11&lt;=EOMONTH('Construction Budget'!$M48,0)),('Construction Budget'!$G48+SUM($G192:CY192))/ROUND(((EOMONTH('Construction Budget'!$M48,0)-EOMONTH(CZ$11,0))/30)+1,0),0)</f>
        <v>0</v>
      </c>
      <c r="DA192" s="427">
        <f>-IF(AND(DA$11&gt;=EOMONTH('Construction Budget'!$K48,0),DA$11&lt;=EOMONTH('Construction Budget'!$M48,0)),('Construction Budget'!$G48+SUM($G192:CZ192))/ROUND(((EOMONTH('Construction Budget'!$M48,0)-EOMONTH(DA$11,0))/30)+1,0),0)</f>
        <v>0</v>
      </c>
      <c r="DB192" s="427">
        <f>-IF(AND(DB$11&gt;=EOMONTH('Construction Budget'!$K48,0),DB$11&lt;=EOMONTH('Construction Budget'!$M48,0)),('Construction Budget'!$G48+SUM($G192:DA192))/ROUND(((EOMONTH('Construction Budget'!$M48,0)-EOMONTH(DB$11,0))/30)+1,0),0)</f>
        <v>0</v>
      </c>
      <c r="DC192" s="427">
        <f>-IF(AND(DC$11&gt;=EOMONTH('Construction Budget'!$K48,0),DC$11&lt;=EOMONTH('Construction Budget'!$M48,0)),('Construction Budget'!$G48+SUM($G192:DB192))/ROUND(((EOMONTH('Construction Budget'!$M48,0)-EOMONTH(DC$11,0))/30)+1,0),0)</f>
        <v>0</v>
      </c>
      <c r="DD192" s="427">
        <f>-IF(AND(DD$11&gt;=EOMONTH('Construction Budget'!$K48,0),DD$11&lt;=EOMONTH('Construction Budget'!$M48,0)),('Construction Budget'!$G48+SUM($G192:DC192))/ROUND(((EOMONTH('Construction Budget'!$M48,0)-EOMONTH(DD$11,0))/30)+1,0),0)</f>
        <v>0</v>
      </c>
      <c r="DE192" s="427">
        <f>-IF(AND(DE$11&gt;=EOMONTH('Construction Budget'!$K48,0),DE$11&lt;=EOMONTH('Construction Budget'!$M48,0)),('Construction Budget'!$G48+SUM($G192:DD192))/ROUND(((EOMONTH('Construction Budget'!$M48,0)-EOMONTH(DE$11,0))/30)+1,0),0)</f>
        <v>0</v>
      </c>
      <c r="DF192" s="427">
        <f>-IF(AND(DF$11&gt;=EOMONTH('Construction Budget'!$K48,0),DF$11&lt;=EOMONTH('Construction Budget'!$M48,0)),('Construction Budget'!$G48+SUM($G192:DE192))/ROUND(((EOMONTH('Construction Budget'!$M48,0)-EOMONTH(DF$11,0))/30)+1,0),0)</f>
        <v>0</v>
      </c>
      <c r="DG192" s="427">
        <f>-IF(AND(DG$11&gt;=EOMONTH('Construction Budget'!$K48,0),DG$11&lt;=EOMONTH('Construction Budget'!$M48,0)),('Construction Budget'!$G48+SUM($G192:DF192))/ROUND(((EOMONTH('Construction Budget'!$M48,0)-EOMONTH(DG$11,0))/30)+1,0),0)</f>
        <v>0</v>
      </c>
      <c r="DH192" s="427">
        <f>-IF(AND(DH$11&gt;=EOMONTH('Construction Budget'!$K48,0),DH$11&lt;=EOMONTH('Construction Budget'!$M48,0)),('Construction Budget'!$G48+SUM($G192:DG192))/ROUND(((EOMONTH('Construction Budget'!$M48,0)-EOMONTH(DH$11,0))/30)+1,0),0)</f>
        <v>0</v>
      </c>
      <c r="DI192" s="427">
        <f>-IF(AND(DI$11&gt;=EOMONTH('Construction Budget'!$K48,0),DI$11&lt;=EOMONTH('Construction Budget'!$M48,0)),('Construction Budget'!$G48+SUM($G192:DH192))/ROUND(((EOMONTH('Construction Budget'!$M48,0)-EOMONTH(DI$11,0))/30)+1,0),0)</f>
        <v>0</v>
      </c>
      <c r="DJ192" s="427">
        <f>-IF(AND(DJ$11&gt;=EOMONTH('Construction Budget'!$K48,0),DJ$11&lt;=EOMONTH('Construction Budget'!$M48,0)),('Construction Budget'!$G48+SUM($G192:DI192))/ROUND(((EOMONTH('Construction Budget'!$M48,0)-EOMONTH(DJ$11,0))/30)+1,0),0)</f>
        <v>0</v>
      </c>
      <c r="DK192" s="427">
        <f>-IF(AND(DK$11&gt;=EOMONTH('Construction Budget'!$K48,0),DK$11&lt;=EOMONTH('Construction Budget'!$M48,0)),('Construction Budget'!$G48+SUM($G192:DJ192))/ROUND(((EOMONTH('Construction Budget'!$M48,0)-EOMONTH(DK$11,0))/30)+1,0),0)</f>
        <v>0</v>
      </c>
      <c r="DL192" s="427">
        <f>-IF(AND(DL$11&gt;=EOMONTH('Construction Budget'!$K48,0),DL$11&lt;=EOMONTH('Construction Budget'!$M48,0)),('Construction Budget'!$G48+SUM($G192:DK192))/ROUND(((EOMONTH('Construction Budget'!$M48,0)-EOMONTH(DL$11,0))/30)+1,0),0)</f>
        <v>0</v>
      </c>
      <c r="DM192" s="427">
        <f>-IF(AND(DM$11&gt;=EOMONTH('Construction Budget'!$K48,0),DM$11&lt;=EOMONTH('Construction Budget'!$M48,0)),('Construction Budget'!$G48+SUM($G192:DL192))/ROUND(((EOMONTH('Construction Budget'!$M48,0)-EOMONTH(DM$11,0))/30)+1,0),0)</f>
        <v>0</v>
      </c>
      <c r="DN192" s="427">
        <f>-IF(AND(DN$11&gt;=EOMONTH('Construction Budget'!$K48,0),DN$11&lt;=EOMONTH('Construction Budget'!$M48,0)),('Construction Budget'!$G48+SUM($G192:DM192))/ROUND(((EOMONTH('Construction Budget'!$M48,0)-EOMONTH(DN$11,0))/30)+1,0),0)</f>
        <v>0</v>
      </c>
      <c r="DO192" s="427">
        <f>-IF(AND(DO$11&gt;=EOMONTH('Construction Budget'!$K48,0),DO$11&lt;=EOMONTH('Construction Budget'!$M48,0)),('Construction Budget'!$G48+SUM($G192:DN192))/ROUND(((EOMONTH('Construction Budget'!$M48,0)-EOMONTH(DO$11,0))/30)+1,0),0)</f>
        <v>0</v>
      </c>
      <c r="DP192" s="427">
        <f>-IF(AND(DP$11&gt;=EOMONTH('Construction Budget'!$K48,0),DP$11&lt;=EOMONTH('Construction Budget'!$M48,0)),('Construction Budget'!$G48+SUM($G192:DO192))/ROUND(((EOMONTH('Construction Budget'!$M48,0)-EOMONTH(DP$11,0))/30)+1,0),0)</f>
        <v>0</v>
      </c>
      <c r="DQ192" s="427">
        <f>-IF(AND(DQ$11&gt;=EOMONTH('Construction Budget'!$K48,0),DQ$11&lt;=EOMONTH('Construction Budget'!$M48,0)),('Construction Budget'!$G48+SUM($G192:DP192))/ROUND(((EOMONTH('Construction Budget'!$M48,0)-EOMONTH(DQ$11,0))/30)+1,0),0)</f>
        <v>0</v>
      </c>
      <c r="DR192" s="427">
        <f>-IF(AND(DR$11&gt;=EOMONTH('Construction Budget'!$K48,0),DR$11&lt;=EOMONTH('Construction Budget'!$M48,0)),('Construction Budget'!$G48+SUM($G192:DQ192))/ROUND(((EOMONTH('Construction Budget'!$M48,0)-EOMONTH(DR$11,0))/30)+1,0),0)</f>
        <v>0</v>
      </c>
      <c r="DS192" s="427">
        <f>-IF(AND(DS$11&gt;=EOMONTH('Construction Budget'!$K48,0),DS$11&lt;=EOMONTH('Construction Budget'!$M48,0)),('Construction Budget'!$G48+SUM($G192:DR192))/ROUND(((EOMONTH('Construction Budget'!$M48,0)-EOMONTH(DS$11,0))/30)+1,0),0)</f>
        <v>0</v>
      </c>
      <c r="DT192" s="427">
        <f>-IF(AND(DT$11&gt;=EOMONTH('Construction Budget'!$K48,0),DT$11&lt;=EOMONTH('Construction Budget'!$M48,0)),('Construction Budget'!$G48+SUM($G192:DS192))/ROUND(((EOMONTH('Construction Budget'!$M48,0)-EOMONTH(DT$11,0))/30)+1,0),0)</f>
        <v>0</v>
      </c>
      <c r="DU192" s="427">
        <f>-IF(AND(DU$11&gt;=EOMONTH('Construction Budget'!$K48,0),DU$11&lt;=EOMONTH('Construction Budget'!$M48,0)),('Construction Budget'!$G48+SUM($G192:DT192))/ROUND(((EOMONTH('Construction Budget'!$M48,0)-EOMONTH(DU$11,0))/30)+1,0),0)</f>
        <v>0</v>
      </c>
      <c r="DV192" s="427">
        <f>-IF(AND(DV$11&gt;=EOMONTH('Construction Budget'!$K48,0),DV$11&lt;=EOMONTH('Construction Budget'!$M48,0)),('Construction Budget'!$G48+SUM($G192:DU192))/ROUND(((EOMONTH('Construction Budget'!$M48,0)-EOMONTH(DV$11,0))/30)+1,0),0)</f>
        <v>0</v>
      </c>
      <c r="DW192" s="427">
        <f>-IF(AND(DW$11&gt;=EOMONTH('Construction Budget'!$K48,0),DW$11&lt;=EOMONTH('Construction Budget'!$M48,0)),('Construction Budget'!$G48+SUM($G192:DV192))/ROUND(((EOMONTH('Construction Budget'!$M48,0)-EOMONTH(DW$11,0))/30)+1,0),0)</f>
        <v>0</v>
      </c>
      <c r="DX192" s="427">
        <f>-IF(AND(DX$11&gt;=EOMONTH('Construction Budget'!$K48,0),DX$11&lt;=EOMONTH('Construction Budget'!$M48,0)),('Construction Budget'!$G48+SUM($G192:DW192))/ROUND(((EOMONTH('Construction Budget'!$M48,0)-EOMONTH(DX$11,0))/30)+1,0),0)</f>
        <v>0</v>
      </c>
      <c r="DY192" s="427">
        <f>-IF(AND(DY$11&gt;=EOMONTH('Construction Budget'!$K48,0),DY$11&lt;=EOMONTH('Construction Budget'!$M48,0)),('Construction Budget'!$G48+SUM($G192:DX192))/ROUND(((EOMONTH('Construction Budget'!$M48,0)-EOMONTH(DY$11,0))/30)+1,0),0)</f>
        <v>0</v>
      </c>
      <c r="DZ192" s="427">
        <f>-IF(AND(DZ$11&gt;=EOMONTH('Construction Budget'!$K48,0),DZ$11&lt;=EOMONTH('Construction Budget'!$M48,0)),('Construction Budget'!$G48+SUM($G192:DY192))/ROUND(((EOMONTH('Construction Budget'!$M48,0)-EOMONTH(DZ$11,0))/30)+1,0),0)</f>
        <v>0</v>
      </c>
      <c r="EA192" s="427">
        <f>-IF(AND(EA$11&gt;=EOMONTH('Construction Budget'!$K48,0),EA$11&lt;=EOMONTH('Construction Budget'!$M48,0)),('Construction Budget'!$G48+SUM($G192:DZ192))/ROUND(((EOMONTH('Construction Budget'!$M48,0)-EOMONTH(EA$11,0))/30)+1,0),0)</f>
        <v>0</v>
      </c>
      <c r="EB192" s="427">
        <f>-IF(AND(EB$11&gt;=EOMONTH('Construction Budget'!$K48,0),EB$11&lt;=EOMONTH('Construction Budget'!$M48,0)),('Construction Budget'!$G48+SUM($G192:EA192))/ROUND(((EOMONTH('Construction Budget'!$M48,0)-EOMONTH(EB$11,0))/30)+1,0),0)</f>
        <v>0</v>
      </c>
      <c r="EC192" s="427">
        <f>-IF(AND(EC$11&gt;=EOMONTH('Construction Budget'!$K48,0),EC$11&lt;=EOMONTH('Construction Budget'!$M48,0)),('Construction Budget'!$G48+SUM($G192:EB192))/ROUND(((EOMONTH('Construction Budget'!$M48,0)-EOMONTH(EC$11,0))/30)+1,0),0)</f>
        <v>0</v>
      </c>
      <c r="ED192" s="427">
        <f>-IF(AND(ED$11&gt;=EOMONTH('Construction Budget'!$K48,0),ED$11&lt;=EOMONTH('Construction Budget'!$M48,0)),('Construction Budget'!$G48+SUM($G192:EC192))/ROUND(((EOMONTH('Construction Budget'!$M48,0)-EOMONTH(ED$11,0))/30)+1,0),0)</f>
        <v>0</v>
      </c>
      <c r="EE192" s="427">
        <f>-IF(AND(EE$11&gt;=EOMONTH('Construction Budget'!$K48,0),EE$11&lt;=EOMONTH('Construction Budget'!$M48,0)),('Construction Budget'!$G48+SUM($G192:ED192))/ROUND(((EOMONTH('Construction Budget'!$M48,0)-EOMONTH(EE$11,0))/30)+1,0),0)</f>
        <v>0</v>
      </c>
      <c r="EF192" s="427">
        <f>-IF(AND(EF$11&gt;=EOMONTH('Construction Budget'!$K48,0),EF$11&lt;=EOMONTH('Construction Budget'!$M48,0)),('Construction Budget'!$G48+SUM($G192:EE192))/ROUND(((EOMONTH('Construction Budget'!$M48,0)-EOMONTH(EF$11,0))/30)+1,0),0)</f>
        <v>0</v>
      </c>
      <c r="EG192" s="427">
        <f>-IF(AND(EG$11&gt;=EOMONTH('Construction Budget'!$K48,0),EG$11&lt;=EOMONTH('Construction Budget'!$M48,0)),('Construction Budget'!$G48+SUM($G192:EF192))/ROUND(((EOMONTH('Construction Budget'!$M48,0)-EOMONTH(EG$11,0))/30)+1,0),0)</f>
        <v>0</v>
      </c>
      <c r="EH192" s="427">
        <f>-IF(AND(EH$11&gt;=EOMONTH('Construction Budget'!$K48,0),EH$11&lt;=EOMONTH('Construction Budget'!$M48,0)),('Construction Budget'!$G48+SUM($G192:EG192))/ROUND(((EOMONTH('Construction Budget'!$M48,0)-EOMONTH(EH$11,0))/30)+1,0),0)</f>
        <v>0</v>
      </c>
      <c r="EI192" s="427">
        <f>-IF(AND(EI$11&gt;=EOMONTH('Construction Budget'!$K48,0),EI$11&lt;=EOMONTH('Construction Budget'!$M48,0)),('Construction Budget'!$G48+SUM($G192:EH192))/ROUND(((EOMONTH('Construction Budget'!$M48,0)-EOMONTH(EI$11,0))/30)+1,0),0)</f>
        <v>0</v>
      </c>
      <c r="EJ192" s="427">
        <f>-IF(AND(EJ$11&gt;=EOMONTH('Construction Budget'!$K48,0),EJ$11&lt;=EOMONTH('Construction Budget'!$M48,0)),('Construction Budget'!$G48+SUM($G192:EI192))/ROUND(((EOMONTH('Construction Budget'!$M48,0)-EOMONTH(EJ$11,0))/30)+1,0),0)</f>
        <v>0</v>
      </c>
      <c r="EK192" s="427">
        <f>-IF(AND(EK$11&gt;=EOMONTH('Construction Budget'!$K48,0),EK$11&lt;=EOMONTH('Construction Budget'!$M48,0)),('Construction Budget'!$G48+SUM($G192:EJ192))/ROUND(((EOMONTH('Construction Budget'!$M48,0)-EOMONTH(EK$11,0))/30)+1,0),0)</f>
        <v>0</v>
      </c>
      <c r="EL192" s="427">
        <f>-IF(AND(EL$11&gt;=EOMONTH('Construction Budget'!$K48,0),EL$11&lt;=EOMONTH('Construction Budget'!$M48,0)),('Construction Budget'!$G48+SUM($G192:EK192))/ROUND(((EOMONTH('Construction Budget'!$M48,0)-EOMONTH(EL$11,0))/30)+1,0),0)</f>
        <v>0</v>
      </c>
      <c r="EM192" s="427">
        <f>-IF(AND(EM$11&gt;=EOMONTH('Construction Budget'!$K48,0),EM$11&lt;=EOMONTH('Construction Budget'!$M48,0)),('Construction Budget'!$G48+SUM($G192:EL192))/ROUND(((EOMONTH('Construction Budget'!$M48,0)-EOMONTH(EM$11,0))/30)+1,0),0)</f>
        <v>0</v>
      </c>
      <c r="EN192" s="427">
        <f>-IF(AND(EN$11&gt;=EOMONTH('Construction Budget'!$K48,0),EN$11&lt;=EOMONTH('Construction Budget'!$M48,0)),('Construction Budget'!$G48+SUM($G192:EM192))/ROUND(((EOMONTH('Construction Budget'!$M48,0)-EOMONTH(EN$11,0))/30)+1,0),0)</f>
        <v>0</v>
      </c>
      <c r="EO192" s="427">
        <f>-IF(AND(EO$11&gt;=EOMONTH('Construction Budget'!$K48,0),EO$11&lt;=EOMONTH('Construction Budget'!$M48,0)),('Construction Budget'!$G48+SUM($G192:EN192))/ROUND(((EOMONTH('Construction Budget'!$M48,0)-EOMONTH(EO$11,0))/30)+1,0),0)</f>
        <v>0</v>
      </c>
      <c r="EP192" s="427">
        <f>-IF(AND(EP$11&gt;=EOMONTH('Construction Budget'!$K48,0),EP$11&lt;=EOMONTH('Construction Budget'!$M48,0)),('Construction Budget'!$G48+SUM($G192:EO192))/ROUND(((EOMONTH('Construction Budget'!$M48,0)-EOMONTH(EP$11,0))/30)+1,0),0)</f>
        <v>0</v>
      </c>
      <c r="EQ192" s="427">
        <f>-IF(AND(EQ$11&gt;=EOMONTH('Construction Budget'!$K48,0),EQ$11&lt;=EOMONTH('Construction Budget'!$M48,0)),('Construction Budget'!$G48+SUM($G192:EP192))/ROUND(((EOMONTH('Construction Budget'!$M48,0)-EOMONTH(EQ$11,0))/30)+1,0),0)</f>
        <v>0</v>
      </c>
      <c r="ER192" s="427">
        <f>-IF(AND(ER$11&gt;=EOMONTH('Construction Budget'!$K48,0),ER$11&lt;=EOMONTH('Construction Budget'!$M48,0)),('Construction Budget'!$G48+SUM($G192:EQ192))/ROUND(((EOMONTH('Construction Budget'!$M48,0)-EOMONTH(ER$11,0))/30)+1,0),0)</f>
        <v>0</v>
      </c>
      <c r="ES192" s="427">
        <f>-IF(AND(ES$11&gt;=EOMONTH('Construction Budget'!$K48,0),ES$11&lt;=EOMONTH('Construction Budget'!$M48,0)),('Construction Budget'!$G48+SUM($G192:ER192))/ROUND(((EOMONTH('Construction Budget'!$M48,0)-EOMONTH(ES$11,0))/30)+1,0),0)</f>
        <v>0</v>
      </c>
      <c r="ET192" s="427">
        <f>-IF(AND(ET$11&gt;=EOMONTH('Construction Budget'!$K48,0),ET$11&lt;=EOMONTH('Construction Budget'!$M48,0)),('Construction Budget'!$G48+SUM($G192:ES192))/ROUND(((EOMONTH('Construction Budget'!$M48,0)-EOMONTH(ET$11,0))/30)+1,0),0)</f>
        <v>0</v>
      </c>
      <c r="EU192" s="427">
        <f>-IF(AND(EU$11&gt;=EOMONTH('Construction Budget'!$K48,0),EU$11&lt;=EOMONTH('Construction Budget'!$M48,0)),('Construction Budget'!$G48+SUM($G192:ET192))/ROUND(((EOMONTH('Construction Budget'!$M48,0)-EOMONTH(EU$11,0))/30)+1,0),0)</f>
        <v>0</v>
      </c>
      <c r="EV192" s="427">
        <f>-IF(AND(EV$11&gt;=EOMONTH('Construction Budget'!$K48,0),EV$11&lt;=EOMONTH('Construction Budget'!$M48,0)),('Construction Budget'!$G48+SUM($G192:EU192))/ROUND(((EOMONTH('Construction Budget'!$M48,0)-EOMONTH(EV$11,0))/30)+1,0),0)</f>
        <v>0</v>
      </c>
      <c r="EW192" s="427">
        <f>-IF(AND(EW$11&gt;=EOMONTH('Construction Budget'!$K48,0),EW$11&lt;=EOMONTH('Construction Budget'!$M48,0)),('Construction Budget'!$G48+SUM($G192:EV192))/ROUND(((EOMONTH('Construction Budget'!$M48,0)-EOMONTH(EW$11,0))/30)+1,0),0)</f>
        <v>0</v>
      </c>
      <c r="EX192" s="427">
        <f>-IF(AND(EX$11&gt;=EOMONTH('Construction Budget'!$K48,0),EX$11&lt;=EOMONTH('Construction Budget'!$M48,0)),('Construction Budget'!$G48+SUM($G192:EW192))/ROUND(((EOMONTH('Construction Budget'!$M48,0)-EOMONTH(EX$11,0))/30)+1,0),0)</f>
        <v>0</v>
      </c>
      <c r="EY192" s="427">
        <f>-IF(AND(EY$11&gt;=EOMONTH('Construction Budget'!$K48,0),EY$11&lt;=EOMONTH('Construction Budget'!$M48,0)),('Construction Budget'!$G48+SUM($G192:EX192))/ROUND(((EOMONTH('Construction Budget'!$M48,0)-EOMONTH(EY$11,0))/30)+1,0),0)</f>
        <v>0</v>
      </c>
      <c r="EZ192" s="427">
        <f>-IF(AND(EZ$11&gt;=EOMONTH('Construction Budget'!$K48,0),EZ$11&lt;=EOMONTH('Construction Budget'!$M48,0)),('Construction Budget'!$G48+SUM($G192:EY192))/ROUND(((EOMONTH('Construction Budget'!$M48,0)-EOMONTH(EZ$11,0))/30)+1,0),0)</f>
        <v>0</v>
      </c>
      <c r="FA192" s="427">
        <f>-IF(AND(FA$11&gt;=EOMONTH('Construction Budget'!$K48,0),FA$11&lt;=EOMONTH('Construction Budget'!$M48,0)),('Construction Budget'!$G48+SUM($G192:EZ192))/ROUND(((EOMONTH('Construction Budget'!$M48,0)-EOMONTH(FA$11,0))/30)+1,0),0)</f>
        <v>0</v>
      </c>
      <c r="FB192" s="427">
        <f>-IF(AND(FB$11&gt;=EOMONTH('Construction Budget'!$K48,0),FB$11&lt;=EOMONTH('Construction Budget'!$M48,0)),('Construction Budget'!$G48+SUM($G192:FA192))/ROUND(((EOMONTH('Construction Budget'!$M48,0)-EOMONTH(FB$11,0))/30)+1,0),0)</f>
        <v>0</v>
      </c>
      <c r="FC192" s="427">
        <f>-IF(AND(FC$11&gt;=EOMONTH('Construction Budget'!$K48,0),FC$11&lt;=EOMONTH('Construction Budget'!$M48,0)),('Construction Budget'!$G48+SUM($G192:FB192))/ROUND(((EOMONTH('Construction Budget'!$M48,0)-EOMONTH(FC$11,0))/30)+1,0),0)</f>
        <v>0</v>
      </c>
      <c r="FD192" s="427">
        <f>-IF(AND(FD$11&gt;=EOMONTH('Construction Budget'!$K48,0),FD$11&lt;=EOMONTH('Construction Budget'!$M48,0)),('Construction Budget'!$G48+SUM($G192:FC192))/ROUND(((EOMONTH('Construction Budget'!$M48,0)-EOMONTH(FD$11,0))/30)+1,0),0)</f>
        <v>0</v>
      </c>
      <c r="FE192" s="427">
        <f>-IF(AND(FE$11&gt;=EOMONTH('Construction Budget'!$K48,0),FE$11&lt;=EOMONTH('Construction Budget'!$M48,0)),('Construction Budget'!$G48+SUM($G192:FD192))/ROUND(((EOMONTH('Construction Budget'!$M48,0)-EOMONTH(FE$11,0))/30)+1,0),0)</f>
        <v>0</v>
      </c>
      <c r="FF192" s="427">
        <f>-IF(AND(FF$11&gt;=EOMONTH('Construction Budget'!$K48,0),FF$11&lt;=EOMONTH('Construction Budget'!$M48,0)),('Construction Budget'!$G48+SUM($G192:FE192))/ROUND(((EOMONTH('Construction Budget'!$M48,0)-EOMONTH(FF$11,0))/30)+1,0),0)</f>
        <v>0</v>
      </c>
      <c r="FG192" s="427">
        <f>-IF(AND(FG$11&gt;=EOMONTH('Construction Budget'!$K48,0),FG$11&lt;=EOMONTH('Construction Budget'!$M48,0)),('Construction Budget'!$G48+SUM($G192:FF192))/ROUND(((EOMONTH('Construction Budget'!$M48,0)-EOMONTH(FG$11,0))/30)+1,0),0)</f>
        <v>0</v>
      </c>
      <c r="FH192" s="427">
        <f>-IF(AND(FH$11&gt;=EOMONTH('Construction Budget'!$K48,0),FH$11&lt;=EOMONTH('Construction Budget'!$M48,0)),('Construction Budget'!$G48+SUM($G192:FG192))/ROUND(((EOMONTH('Construction Budget'!$M48,0)-EOMONTH(FH$11,0))/30)+1,0),0)</f>
        <v>0</v>
      </c>
      <c r="FI192" s="427">
        <f>-IF(AND(FI$11&gt;=EOMONTH('Construction Budget'!$K48,0),FI$11&lt;=EOMONTH('Construction Budget'!$M48,0)),('Construction Budget'!$G48+SUM($G192:FH192))/ROUND(((EOMONTH('Construction Budget'!$M48,0)-EOMONTH(FI$11,0))/30)+1,0),0)</f>
        <v>0</v>
      </c>
      <c r="FJ192" s="427">
        <f>-IF(AND(FJ$11&gt;=EOMONTH('Construction Budget'!$K48,0),FJ$11&lt;=EOMONTH('Construction Budget'!$M48,0)),('Construction Budget'!$G48+SUM($G192:FI192))/ROUND(((EOMONTH('Construction Budget'!$M48,0)-EOMONTH(FJ$11,0))/30)+1,0),0)</f>
        <v>0</v>
      </c>
      <c r="FK192" s="427">
        <f>-IF(AND(FK$11&gt;=EOMONTH('Construction Budget'!$K48,0),FK$11&lt;=EOMONTH('Construction Budget'!$M48,0)),('Construction Budget'!$G48+SUM($G192:FJ192))/ROUND(((EOMONTH('Construction Budget'!$M48,0)-EOMONTH(FK$11,0))/30)+1,0),0)</f>
        <v>0</v>
      </c>
      <c r="FL192" s="427">
        <f>-IF(AND(FL$11&gt;=EOMONTH('Construction Budget'!$K48,0),FL$11&lt;=EOMONTH('Construction Budget'!$M48,0)),('Construction Budget'!$G48+SUM($G192:FK192))/ROUND(((EOMONTH('Construction Budget'!$M48,0)-EOMONTH(FL$11,0))/30)+1,0),0)</f>
        <v>0</v>
      </c>
      <c r="FM192" s="427">
        <f>-IF(AND(FM$11&gt;=EOMONTH('Construction Budget'!$K48,0),FM$11&lt;=EOMONTH('Construction Budget'!$M48,0)),('Construction Budget'!$G48+SUM($G192:FL192))/ROUND(((EOMONTH('Construction Budget'!$M48,0)-EOMONTH(FM$11,0))/30)+1,0),0)</f>
        <v>0</v>
      </c>
      <c r="FN192" s="427">
        <f>-IF(AND(FN$11&gt;=EOMONTH('Construction Budget'!$K48,0),FN$11&lt;=EOMONTH('Construction Budget'!$M48,0)),('Construction Budget'!$G48+SUM($G192:FM192))/ROUND(((EOMONTH('Construction Budget'!$M48,0)-EOMONTH(FN$11,0))/30)+1,0),0)</f>
        <v>0</v>
      </c>
      <c r="FO192" s="427">
        <f>-IF(AND(FO$11&gt;=EOMONTH('Construction Budget'!$K48,0),FO$11&lt;=EOMONTH('Construction Budget'!$M48,0)),('Construction Budget'!$G48+SUM($G192:FN192))/ROUND(((EOMONTH('Construction Budget'!$M48,0)-EOMONTH(FO$11,0))/30)+1,0),0)</f>
        <v>0</v>
      </c>
      <c r="FP192" s="427">
        <f>-IF(AND(FP$11&gt;=EOMONTH('Construction Budget'!$K48,0),FP$11&lt;=EOMONTH('Construction Budget'!$M48,0)),('Construction Budget'!$G48+SUM($G192:FO192))/ROUND(((EOMONTH('Construction Budget'!$M48,0)-EOMONTH(FP$11,0))/30)+1,0),0)</f>
        <v>0</v>
      </c>
      <c r="FQ192" s="427">
        <f>-IF(AND(FQ$11&gt;=EOMONTH('Construction Budget'!$K48,0),FQ$11&lt;=EOMONTH('Construction Budget'!$M48,0)),('Construction Budget'!$G48+SUM($G192:FP192))/ROUND(((EOMONTH('Construction Budget'!$M48,0)-EOMONTH(FQ$11,0))/30)+1,0),0)</f>
        <v>0</v>
      </c>
      <c r="FR192" s="427">
        <f>-IF(AND(FR$11&gt;=EOMONTH('Construction Budget'!$K48,0),FR$11&lt;=EOMONTH('Construction Budget'!$M48,0)),('Construction Budget'!$G48+SUM($G192:FQ192))/ROUND(((EOMONTH('Construction Budget'!$M48,0)-EOMONTH(FR$11,0))/30)+1,0),0)</f>
        <v>0</v>
      </c>
      <c r="FS192" s="427">
        <f>-IF(AND(FS$11&gt;=EOMONTH('Construction Budget'!$K48,0),FS$11&lt;=EOMONTH('Construction Budget'!$M48,0)),('Construction Budget'!$G48+SUM($G192:FR192))/ROUND(((EOMONTH('Construction Budget'!$M48,0)-EOMONTH(FS$11,0))/30)+1,0),0)</f>
        <v>0</v>
      </c>
      <c r="FT192" s="427">
        <f>-IF(AND(FT$11&gt;=EOMONTH('Construction Budget'!$K48,0),FT$11&lt;=EOMONTH('Construction Budget'!$M48,0)),('Construction Budget'!$G48+SUM($G192:FS192))/ROUND(((EOMONTH('Construction Budget'!$M48,0)-EOMONTH(FT$11,0))/30)+1,0),0)</f>
        <v>0</v>
      </c>
      <c r="FU192" s="43"/>
      <c r="FV192" s="34"/>
      <c r="FW192" s="34"/>
      <c r="FX192" s="34"/>
      <c r="FY192" s="34"/>
      <c r="FZ192" s="34"/>
    </row>
    <row r="193" spans="1:182" s="89" customFormat="1" ht="13.5" hidden="1" outlineLevel="2" x14ac:dyDescent="0.25">
      <c r="A193" s="498"/>
      <c r="B193" s="128" t="str">
        <f>'Construction Budget'!B49</f>
        <v>Blank</v>
      </c>
      <c r="C193" s="34"/>
      <c r="D193" s="34"/>
      <c r="E193" s="34"/>
      <c r="F193" s="434">
        <f t="shared" si="232"/>
        <v>0</v>
      </c>
      <c r="G193" s="34"/>
      <c r="H193" s="427">
        <f>-IF(AND(H$11&gt;=EOMONTH('Construction Budget'!$K49,0),H$11&lt;=EOMONTH('Construction Budget'!$M49,0)),('Construction Budget'!$G49+SUM($G193:G193))/ROUND(((EOMONTH('Construction Budget'!$M49,0)-EOMONTH(H$11,0))/30)+1,0),0)</f>
        <v>0</v>
      </c>
      <c r="I193" s="427">
        <f>-IF(AND(I$11&gt;=EOMONTH('Construction Budget'!$K49,0),I$11&lt;=EOMONTH('Construction Budget'!$M49,0)),('Construction Budget'!$G49+SUM($G193:H193))/ROUND(((EOMONTH('Construction Budget'!$M49,0)-EOMONTH(I$11,0))/30)+1,0),0)</f>
        <v>0</v>
      </c>
      <c r="J193" s="427">
        <f>-IF(AND(J$11&gt;=EOMONTH('Construction Budget'!$K49,0),J$11&lt;=EOMONTH('Construction Budget'!$M49,0)),('Construction Budget'!$G49+SUM($G193:I193))/ROUND(((EOMONTH('Construction Budget'!$M49,0)-EOMONTH(J$11,0))/30)+1,0),0)</f>
        <v>0</v>
      </c>
      <c r="K193" s="427">
        <f>-IF(AND(K$11&gt;=EOMONTH('Construction Budget'!$K49,0),K$11&lt;=EOMONTH('Construction Budget'!$M49,0)),('Construction Budget'!$G49+SUM($G193:J193))/ROUND(((EOMONTH('Construction Budget'!$M49,0)-EOMONTH(K$11,0))/30)+1,0),0)</f>
        <v>0</v>
      </c>
      <c r="L193" s="427">
        <f>-IF(AND(L$11&gt;=EOMONTH('Construction Budget'!$K49,0),L$11&lt;=EOMONTH('Construction Budget'!$M49,0)),('Construction Budget'!$G49+SUM($G193:K193))/ROUND(((EOMONTH('Construction Budget'!$M49,0)-EOMONTH(L$11,0))/30)+1,0),0)</f>
        <v>0</v>
      </c>
      <c r="M193" s="427">
        <f>-IF(AND(M$11&gt;=EOMONTH('Construction Budget'!$K49,0),M$11&lt;=EOMONTH('Construction Budget'!$M49,0)),('Construction Budget'!$G49+SUM($G193:L193))/ROUND(((EOMONTH('Construction Budget'!$M49,0)-EOMONTH(M$11,0))/30)+1,0),0)</f>
        <v>0</v>
      </c>
      <c r="N193" s="427">
        <f>-IF(AND(N$11&gt;=EOMONTH('Construction Budget'!$K49,0),N$11&lt;=EOMONTH('Construction Budget'!$M49,0)),('Construction Budget'!$G49+SUM($G193:M193))/ROUND(((EOMONTH('Construction Budget'!$M49,0)-EOMONTH(N$11,0))/30)+1,0),0)</f>
        <v>0</v>
      </c>
      <c r="O193" s="427">
        <f>-IF(AND(O$11&gt;=EOMONTH('Construction Budget'!$K49,0),O$11&lt;=EOMONTH('Construction Budget'!$M49,0)),('Construction Budget'!$G49+SUM($G193:N193))/ROUND(((EOMONTH('Construction Budget'!$M49,0)-EOMONTH(O$11,0))/30)+1,0),0)</f>
        <v>0</v>
      </c>
      <c r="P193" s="427">
        <f>-IF(AND(P$11&gt;=EOMONTH('Construction Budget'!$K49,0),P$11&lt;=EOMONTH('Construction Budget'!$M49,0)),('Construction Budget'!$G49+SUM($G193:O193))/ROUND(((EOMONTH('Construction Budget'!$M49,0)-EOMONTH(P$11,0))/30)+1,0),0)</f>
        <v>0</v>
      </c>
      <c r="Q193" s="427">
        <f>-IF(AND(Q$11&gt;=EOMONTH('Construction Budget'!$K49,0),Q$11&lt;=EOMONTH('Construction Budget'!$M49,0)),('Construction Budget'!$G49+SUM($G193:P193))/ROUND(((EOMONTH('Construction Budget'!$M49,0)-EOMONTH(Q$11,0))/30)+1,0),0)</f>
        <v>0</v>
      </c>
      <c r="R193" s="427">
        <f>-IF(AND(R$11&gt;=EOMONTH('Construction Budget'!$K49,0),R$11&lt;=EOMONTH('Construction Budget'!$M49,0)),('Construction Budget'!$G49+SUM($G193:Q193))/ROUND(((EOMONTH('Construction Budget'!$M49,0)-EOMONTH(R$11,0))/30)+1,0),0)</f>
        <v>0</v>
      </c>
      <c r="S193" s="427">
        <f>-IF(AND(S$11&gt;=EOMONTH('Construction Budget'!$K49,0),S$11&lt;=EOMONTH('Construction Budget'!$M49,0)),('Construction Budget'!$G49+SUM($G193:R193))/ROUND(((EOMONTH('Construction Budget'!$M49,0)-EOMONTH(S$11,0))/30)+1,0),0)</f>
        <v>0</v>
      </c>
      <c r="T193" s="427">
        <f>-IF(AND(T$11&gt;=EOMONTH('Construction Budget'!$K49,0),T$11&lt;=EOMONTH('Construction Budget'!$M49,0)),('Construction Budget'!$G49+SUM($G193:S193))/ROUND(((EOMONTH('Construction Budget'!$M49,0)-EOMONTH(T$11,0))/30)+1,0),0)</f>
        <v>0</v>
      </c>
      <c r="U193" s="427">
        <f>-IF(AND(U$11&gt;=EOMONTH('Construction Budget'!$K49,0),U$11&lt;=EOMONTH('Construction Budget'!$M49,0)),('Construction Budget'!$G49+SUM($G193:T193))/ROUND(((EOMONTH('Construction Budget'!$M49,0)-EOMONTH(U$11,0))/30)+1,0),0)</f>
        <v>0</v>
      </c>
      <c r="V193" s="427">
        <f>-IF(AND(V$11&gt;=EOMONTH('Construction Budget'!$K49,0),V$11&lt;=EOMONTH('Construction Budget'!$M49,0)),('Construction Budget'!$G49+SUM($G193:U193))/ROUND(((EOMONTH('Construction Budget'!$M49,0)-EOMONTH(V$11,0))/30)+1,0),0)</f>
        <v>0</v>
      </c>
      <c r="W193" s="427">
        <f>-IF(AND(W$11&gt;=EOMONTH('Construction Budget'!$K49,0),W$11&lt;=EOMONTH('Construction Budget'!$M49,0)),('Construction Budget'!$G49+SUM($G193:V193))/ROUND(((EOMONTH('Construction Budget'!$M49,0)-EOMONTH(W$11,0))/30)+1,0),0)</f>
        <v>0</v>
      </c>
      <c r="X193" s="427">
        <f>-IF(AND(X$11&gt;=EOMONTH('Construction Budget'!$K49,0),X$11&lt;=EOMONTH('Construction Budget'!$M49,0)),('Construction Budget'!$G49+SUM($G193:W193))/ROUND(((EOMONTH('Construction Budget'!$M49,0)-EOMONTH(X$11,0))/30)+1,0),0)</f>
        <v>0</v>
      </c>
      <c r="Y193" s="427">
        <f>-IF(AND(Y$11&gt;=EOMONTH('Construction Budget'!$K49,0),Y$11&lt;=EOMONTH('Construction Budget'!$M49,0)),('Construction Budget'!$G49+SUM($G193:X193))/ROUND(((EOMONTH('Construction Budget'!$M49,0)-EOMONTH(Y$11,0))/30)+1,0),0)</f>
        <v>0</v>
      </c>
      <c r="Z193" s="427">
        <f>-IF(AND(Z$11&gt;=EOMONTH('Construction Budget'!$K49,0),Z$11&lt;=EOMONTH('Construction Budget'!$M49,0)),('Construction Budget'!$G49+SUM($G193:Y193))/ROUND(((EOMONTH('Construction Budget'!$M49,0)-EOMONTH(Z$11,0))/30)+1,0),0)</f>
        <v>0</v>
      </c>
      <c r="AA193" s="427">
        <f>-IF(AND(AA$11&gt;=EOMONTH('Construction Budget'!$K49,0),AA$11&lt;=EOMONTH('Construction Budget'!$M49,0)),('Construction Budget'!$G49+SUM($G193:Z193))/ROUND(((EOMONTH('Construction Budget'!$M49,0)-EOMONTH(AA$11,0))/30)+1,0),0)</f>
        <v>0</v>
      </c>
      <c r="AB193" s="427">
        <f>-IF(AND(AB$11&gt;=EOMONTH('Construction Budget'!$K49,0),AB$11&lt;=EOMONTH('Construction Budget'!$M49,0)),('Construction Budget'!$G49+SUM($G193:AA193))/ROUND(((EOMONTH('Construction Budget'!$M49,0)-EOMONTH(AB$11,0))/30)+1,0),0)</f>
        <v>0</v>
      </c>
      <c r="AC193" s="427">
        <f>-IF(AND(AC$11&gt;=EOMONTH('Construction Budget'!$K49,0),AC$11&lt;=EOMONTH('Construction Budget'!$M49,0)),('Construction Budget'!$G49+SUM($G193:AB193))/ROUND(((EOMONTH('Construction Budget'!$M49,0)-EOMONTH(AC$11,0))/30)+1,0),0)</f>
        <v>0</v>
      </c>
      <c r="AD193" s="427">
        <f>-IF(AND(AD$11&gt;=EOMONTH('Construction Budget'!$K49,0),AD$11&lt;=EOMONTH('Construction Budget'!$M49,0)),('Construction Budget'!$G49+SUM($G193:AC193))/ROUND(((EOMONTH('Construction Budget'!$M49,0)-EOMONTH(AD$11,0))/30)+1,0),0)</f>
        <v>0</v>
      </c>
      <c r="AE193" s="427">
        <f>-IF(AND(AE$11&gt;=EOMONTH('Construction Budget'!$K49,0),AE$11&lt;=EOMONTH('Construction Budget'!$M49,0)),('Construction Budget'!$G49+SUM($G193:AD193))/ROUND(((EOMONTH('Construction Budget'!$M49,0)-EOMONTH(AE$11,0))/30)+1,0),0)</f>
        <v>0</v>
      </c>
      <c r="AF193" s="427">
        <f>-IF(AND(AF$11&gt;=EOMONTH('Construction Budget'!$K49,0),AF$11&lt;=EOMONTH('Construction Budget'!$M49,0)),('Construction Budget'!$G49+SUM($G193:AE193))/ROUND(((EOMONTH('Construction Budget'!$M49,0)-EOMONTH(AF$11,0))/30)+1,0),0)</f>
        <v>0</v>
      </c>
      <c r="AG193" s="427">
        <f>-IF(AND(AG$11&gt;=EOMONTH('Construction Budget'!$K49,0),AG$11&lt;=EOMONTH('Construction Budget'!$M49,0)),('Construction Budget'!$G49+SUM($G193:AF193))/ROUND(((EOMONTH('Construction Budget'!$M49,0)-EOMONTH(AG$11,0))/30)+1,0),0)</f>
        <v>0</v>
      </c>
      <c r="AH193" s="427">
        <f>-IF(AND(AH$11&gt;=EOMONTH('Construction Budget'!$K49,0),AH$11&lt;=EOMONTH('Construction Budget'!$M49,0)),('Construction Budget'!$G49+SUM($G193:AG193))/ROUND(((EOMONTH('Construction Budget'!$M49,0)-EOMONTH(AH$11,0))/30)+1,0),0)</f>
        <v>0</v>
      </c>
      <c r="AI193" s="427">
        <f>-IF(AND(AI$11&gt;=EOMONTH('Construction Budget'!$K49,0),AI$11&lt;=EOMONTH('Construction Budget'!$M49,0)),('Construction Budget'!$G49+SUM($G193:AH193))/ROUND(((EOMONTH('Construction Budget'!$M49,0)-EOMONTH(AI$11,0))/30)+1,0),0)</f>
        <v>0</v>
      </c>
      <c r="AJ193" s="427">
        <f>-IF(AND(AJ$11&gt;=EOMONTH('Construction Budget'!$K49,0),AJ$11&lt;=EOMONTH('Construction Budget'!$M49,0)),('Construction Budget'!$G49+SUM($G193:AI193))/ROUND(((EOMONTH('Construction Budget'!$M49,0)-EOMONTH(AJ$11,0))/30)+1,0),0)</f>
        <v>0</v>
      </c>
      <c r="AK193" s="427">
        <f>-IF(AND(AK$11&gt;=EOMONTH('Construction Budget'!$K49,0),AK$11&lt;=EOMONTH('Construction Budget'!$M49,0)),('Construction Budget'!$G49+SUM($G193:AJ193))/ROUND(((EOMONTH('Construction Budget'!$M49,0)-EOMONTH(AK$11,0))/30)+1,0),0)</f>
        <v>0</v>
      </c>
      <c r="AL193" s="427">
        <f>-IF(AND(AL$11&gt;=EOMONTH('Construction Budget'!$K49,0),AL$11&lt;=EOMONTH('Construction Budget'!$M49,0)),('Construction Budget'!$G49+SUM($G193:AK193))/ROUND(((EOMONTH('Construction Budget'!$M49,0)-EOMONTH(AL$11,0))/30)+1,0),0)</f>
        <v>0</v>
      </c>
      <c r="AM193" s="427">
        <f>-IF(AND(AM$11&gt;=EOMONTH('Construction Budget'!$K49,0),AM$11&lt;=EOMONTH('Construction Budget'!$M49,0)),('Construction Budget'!$G49+SUM($G193:AL193))/ROUND(((EOMONTH('Construction Budget'!$M49,0)-EOMONTH(AM$11,0))/30)+1,0),0)</f>
        <v>0</v>
      </c>
      <c r="AN193" s="427">
        <f>-IF(AND(AN$11&gt;=EOMONTH('Construction Budget'!$K49,0),AN$11&lt;=EOMONTH('Construction Budget'!$M49,0)),('Construction Budget'!$G49+SUM($G193:AM193))/ROUND(((EOMONTH('Construction Budget'!$M49,0)-EOMONTH(AN$11,0))/30)+1,0),0)</f>
        <v>0</v>
      </c>
      <c r="AO193" s="427">
        <f>-IF(AND(AO$11&gt;=EOMONTH('Construction Budget'!$K49,0),AO$11&lt;=EOMONTH('Construction Budget'!$M49,0)),('Construction Budget'!$G49+SUM($G193:AN193))/ROUND(((EOMONTH('Construction Budget'!$M49,0)-EOMONTH(AO$11,0))/30)+1,0),0)</f>
        <v>0</v>
      </c>
      <c r="AP193" s="427">
        <f>-IF(AND(AP$11&gt;=EOMONTH('Construction Budget'!$K49,0),AP$11&lt;=EOMONTH('Construction Budget'!$M49,0)),('Construction Budget'!$G49+SUM($G193:AO193))/ROUND(((EOMONTH('Construction Budget'!$M49,0)-EOMONTH(AP$11,0))/30)+1,0),0)</f>
        <v>0</v>
      </c>
      <c r="AQ193" s="427">
        <f>-IF(AND(AQ$11&gt;=EOMONTH('Construction Budget'!$K49,0),AQ$11&lt;=EOMONTH('Construction Budget'!$M49,0)),('Construction Budget'!$G49+SUM($G193:AP193))/ROUND(((EOMONTH('Construction Budget'!$M49,0)-EOMONTH(AQ$11,0))/30)+1,0),0)</f>
        <v>0</v>
      </c>
      <c r="AR193" s="427">
        <f>-IF(AND(AR$11&gt;=EOMONTH('Construction Budget'!$K49,0),AR$11&lt;=EOMONTH('Construction Budget'!$M49,0)),('Construction Budget'!$G49+SUM($G193:AQ193))/ROUND(((EOMONTH('Construction Budget'!$M49,0)-EOMONTH(AR$11,0))/30)+1,0),0)</f>
        <v>0</v>
      </c>
      <c r="AS193" s="427">
        <f>-IF(AND(AS$11&gt;=EOMONTH('Construction Budget'!$K49,0),AS$11&lt;=EOMONTH('Construction Budget'!$M49,0)),('Construction Budget'!$G49+SUM($G193:AR193))/ROUND(((EOMONTH('Construction Budget'!$M49,0)-EOMONTH(AS$11,0))/30)+1,0),0)</f>
        <v>0</v>
      </c>
      <c r="AT193" s="427">
        <f>-IF(AND(AT$11&gt;=EOMONTH('Construction Budget'!$K49,0),AT$11&lt;=EOMONTH('Construction Budget'!$M49,0)),('Construction Budget'!$G49+SUM($G193:AS193))/ROUND(((EOMONTH('Construction Budget'!$M49,0)-EOMONTH(AT$11,0))/30)+1,0),0)</f>
        <v>0</v>
      </c>
      <c r="AU193" s="427">
        <f>-IF(AND(AU$11&gt;=EOMONTH('Construction Budget'!$K49,0),AU$11&lt;=EOMONTH('Construction Budget'!$M49,0)),('Construction Budget'!$G49+SUM($G193:AT193))/ROUND(((EOMONTH('Construction Budget'!$M49,0)-EOMONTH(AU$11,0))/30)+1,0),0)</f>
        <v>0</v>
      </c>
      <c r="AV193" s="427">
        <f>-IF(AND(AV$11&gt;=EOMONTH('Construction Budget'!$K49,0),AV$11&lt;=EOMONTH('Construction Budget'!$M49,0)),('Construction Budget'!$G49+SUM($G193:AU193))/ROUND(((EOMONTH('Construction Budget'!$M49,0)-EOMONTH(AV$11,0))/30)+1,0),0)</f>
        <v>0</v>
      </c>
      <c r="AW193" s="427">
        <f>-IF(AND(AW$11&gt;=EOMONTH('Construction Budget'!$K49,0),AW$11&lt;=EOMONTH('Construction Budget'!$M49,0)),('Construction Budget'!$G49+SUM($G193:AV193))/ROUND(((EOMONTH('Construction Budget'!$M49,0)-EOMONTH(AW$11,0))/30)+1,0),0)</f>
        <v>0</v>
      </c>
      <c r="AX193" s="427">
        <f>-IF(AND(AX$11&gt;=EOMONTH('Construction Budget'!$K49,0),AX$11&lt;=EOMONTH('Construction Budget'!$M49,0)),('Construction Budget'!$G49+SUM($G193:AW193))/ROUND(((EOMONTH('Construction Budget'!$M49,0)-EOMONTH(AX$11,0))/30)+1,0),0)</f>
        <v>0</v>
      </c>
      <c r="AY193" s="427">
        <f>-IF(AND(AY$11&gt;=EOMONTH('Construction Budget'!$K49,0),AY$11&lt;=EOMONTH('Construction Budget'!$M49,0)),('Construction Budget'!$G49+SUM($G193:AX193))/ROUND(((EOMONTH('Construction Budget'!$M49,0)-EOMONTH(AY$11,0))/30)+1,0),0)</f>
        <v>0</v>
      </c>
      <c r="AZ193" s="427">
        <f>-IF(AND(AZ$11&gt;=EOMONTH('Construction Budget'!$K49,0),AZ$11&lt;=EOMONTH('Construction Budget'!$M49,0)),('Construction Budget'!$G49+SUM($G193:AY193))/ROUND(((EOMONTH('Construction Budget'!$M49,0)-EOMONTH(AZ$11,0))/30)+1,0),0)</f>
        <v>0</v>
      </c>
      <c r="BA193" s="427">
        <f>-IF(AND(BA$11&gt;=EOMONTH('Construction Budget'!$K49,0),BA$11&lt;=EOMONTH('Construction Budget'!$M49,0)),('Construction Budget'!$G49+SUM($G193:AZ193))/ROUND(((EOMONTH('Construction Budget'!$M49,0)-EOMONTH(BA$11,0))/30)+1,0),0)</f>
        <v>0</v>
      </c>
      <c r="BB193" s="427">
        <f>-IF(AND(BB$11&gt;=EOMONTH('Construction Budget'!$K49,0),BB$11&lt;=EOMONTH('Construction Budget'!$M49,0)),('Construction Budget'!$G49+SUM($G193:BA193))/ROUND(((EOMONTH('Construction Budget'!$M49,0)-EOMONTH(BB$11,0))/30)+1,0),0)</f>
        <v>0</v>
      </c>
      <c r="BC193" s="427">
        <f>-IF(AND(BC$11&gt;=EOMONTH('Construction Budget'!$K49,0),BC$11&lt;=EOMONTH('Construction Budget'!$M49,0)),('Construction Budget'!$G49+SUM($G193:BB193))/ROUND(((EOMONTH('Construction Budget'!$M49,0)-EOMONTH(BC$11,0))/30)+1,0),0)</f>
        <v>0</v>
      </c>
      <c r="BD193" s="427">
        <f>-IF(AND(BD$11&gt;=EOMONTH('Construction Budget'!$K49,0),BD$11&lt;=EOMONTH('Construction Budget'!$M49,0)),('Construction Budget'!$G49+SUM($G193:BC193))/ROUND(((EOMONTH('Construction Budget'!$M49,0)-EOMONTH(BD$11,0))/30)+1,0),0)</f>
        <v>0</v>
      </c>
      <c r="BE193" s="427">
        <f>-IF(AND(BE$11&gt;=EOMONTH('Construction Budget'!$K49,0),BE$11&lt;=EOMONTH('Construction Budget'!$M49,0)),('Construction Budget'!$G49+SUM($G193:BD193))/ROUND(((EOMONTH('Construction Budget'!$M49,0)-EOMONTH(BE$11,0))/30)+1,0),0)</f>
        <v>0</v>
      </c>
      <c r="BF193" s="427">
        <f>-IF(AND(BF$11&gt;=EOMONTH('Construction Budget'!$K49,0),BF$11&lt;=EOMONTH('Construction Budget'!$M49,0)),('Construction Budget'!$G49+SUM($G193:BE193))/ROUND(((EOMONTH('Construction Budget'!$M49,0)-EOMONTH(BF$11,0))/30)+1,0),0)</f>
        <v>0</v>
      </c>
      <c r="BG193" s="427">
        <f>-IF(AND(BG$11&gt;=EOMONTH('Construction Budget'!$K49,0),BG$11&lt;=EOMONTH('Construction Budget'!$M49,0)),('Construction Budget'!$G49+SUM($G193:BF193))/ROUND(((EOMONTH('Construction Budget'!$M49,0)-EOMONTH(BG$11,0))/30)+1,0),0)</f>
        <v>0</v>
      </c>
      <c r="BH193" s="427">
        <f>-IF(AND(BH$11&gt;=EOMONTH('Construction Budget'!$K49,0),BH$11&lt;=EOMONTH('Construction Budget'!$M49,0)),('Construction Budget'!$G49+SUM($G193:BG193))/ROUND(((EOMONTH('Construction Budget'!$M49,0)-EOMONTH(BH$11,0))/30)+1,0),0)</f>
        <v>0</v>
      </c>
      <c r="BI193" s="427">
        <f>-IF(AND(BI$11&gt;=EOMONTH('Construction Budget'!$K49,0),BI$11&lt;=EOMONTH('Construction Budget'!$M49,0)),('Construction Budget'!$G49+SUM($G193:BH193))/ROUND(((EOMONTH('Construction Budget'!$M49,0)-EOMONTH(BI$11,0))/30)+1,0),0)</f>
        <v>0</v>
      </c>
      <c r="BJ193" s="427">
        <f>-IF(AND(BJ$11&gt;=EOMONTH('Construction Budget'!$K49,0),BJ$11&lt;=EOMONTH('Construction Budget'!$M49,0)),('Construction Budget'!$G49+SUM($G193:BI193))/ROUND(((EOMONTH('Construction Budget'!$M49,0)-EOMONTH(BJ$11,0))/30)+1,0),0)</f>
        <v>0</v>
      </c>
      <c r="BK193" s="427">
        <f>-IF(AND(BK$11&gt;=EOMONTH('Construction Budget'!$K49,0),BK$11&lt;=EOMONTH('Construction Budget'!$M49,0)),('Construction Budget'!$G49+SUM($G193:BJ193))/ROUND(((EOMONTH('Construction Budget'!$M49,0)-EOMONTH(BK$11,0))/30)+1,0),0)</f>
        <v>0</v>
      </c>
      <c r="BL193" s="427">
        <f>-IF(AND(BL$11&gt;=EOMONTH('Construction Budget'!$K49,0),BL$11&lt;=EOMONTH('Construction Budget'!$M49,0)),('Construction Budget'!$G49+SUM($G193:BK193))/ROUND(((EOMONTH('Construction Budget'!$M49,0)-EOMONTH(BL$11,0))/30)+1,0),0)</f>
        <v>0</v>
      </c>
      <c r="BM193" s="427">
        <f>-IF(AND(BM$11&gt;=EOMONTH('Construction Budget'!$K49,0),BM$11&lt;=EOMONTH('Construction Budget'!$M49,0)),('Construction Budget'!$G49+SUM($G193:BL193))/ROUND(((EOMONTH('Construction Budget'!$M49,0)-EOMONTH(BM$11,0))/30)+1,0),0)</f>
        <v>0</v>
      </c>
      <c r="BN193" s="427">
        <f>-IF(AND(BN$11&gt;=EOMONTH('Construction Budget'!$K49,0),BN$11&lt;=EOMONTH('Construction Budget'!$M49,0)),('Construction Budget'!$G49+SUM($G193:BM193))/ROUND(((EOMONTH('Construction Budget'!$M49,0)-EOMONTH(BN$11,0))/30)+1,0),0)</f>
        <v>0</v>
      </c>
      <c r="BO193" s="427">
        <f>-IF(AND(BO$11&gt;=EOMONTH('Construction Budget'!$K49,0),BO$11&lt;=EOMONTH('Construction Budget'!$M49,0)),('Construction Budget'!$G49+SUM($G193:BN193))/ROUND(((EOMONTH('Construction Budget'!$M49,0)-EOMONTH(BO$11,0))/30)+1,0),0)</f>
        <v>0</v>
      </c>
      <c r="BP193" s="427">
        <f>-IF(AND(BP$11&gt;=EOMONTH('Construction Budget'!$K49,0),BP$11&lt;=EOMONTH('Construction Budget'!$M49,0)),('Construction Budget'!$G49+SUM($G193:BO193))/ROUND(((EOMONTH('Construction Budget'!$M49,0)-EOMONTH(BP$11,0))/30)+1,0),0)</f>
        <v>0</v>
      </c>
      <c r="BQ193" s="427">
        <f>-IF(AND(BQ$11&gt;=EOMONTH('Construction Budget'!$K49,0),BQ$11&lt;=EOMONTH('Construction Budget'!$M49,0)),('Construction Budget'!$G49+SUM($G193:BP193))/ROUND(((EOMONTH('Construction Budget'!$M49,0)-EOMONTH(BQ$11,0))/30)+1,0),0)</f>
        <v>0</v>
      </c>
      <c r="BR193" s="427">
        <f>-IF(AND(BR$11&gt;=EOMONTH('Construction Budget'!$K49,0),BR$11&lt;=EOMONTH('Construction Budget'!$M49,0)),('Construction Budget'!$G49+SUM($G193:BQ193))/ROUND(((EOMONTH('Construction Budget'!$M49,0)-EOMONTH(BR$11,0))/30)+1,0),0)</f>
        <v>0</v>
      </c>
      <c r="BS193" s="427">
        <f>-IF(AND(BS$11&gt;=EOMONTH('Construction Budget'!$K49,0),BS$11&lt;=EOMONTH('Construction Budget'!$M49,0)),('Construction Budget'!$G49+SUM($G193:BR193))/ROUND(((EOMONTH('Construction Budget'!$M49,0)-EOMONTH(BS$11,0))/30)+1,0),0)</f>
        <v>0</v>
      </c>
      <c r="BT193" s="427">
        <f>-IF(AND(BT$11&gt;=EOMONTH('Construction Budget'!$K49,0),BT$11&lt;=EOMONTH('Construction Budget'!$M49,0)),('Construction Budget'!$G49+SUM($G193:BS193))/ROUND(((EOMONTH('Construction Budget'!$M49,0)-EOMONTH(BT$11,0))/30)+1,0),0)</f>
        <v>0</v>
      </c>
      <c r="BU193" s="427">
        <f>-IF(AND(BU$11&gt;=EOMONTH('Construction Budget'!$K49,0),BU$11&lt;=EOMONTH('Construction Budget'!$M49,0)),('Construction Budget'!$G49+SUM($G193:BT193))/ROUND(((EOMONTH('Construction Budget'!$M49,0)-EOMONTH(BU$11,0))/30)+1,0),0)</f>
        <v>0</v>
      </c>
      <c r="BV193" s="427">
        <f>-IF(AND(BV$11&gt;=EOMONTH('Construction Budget'!$K49,0),BV$11&lt;=EOMONTH('Construction Budget'!$M49,0)),('Construction Budget'!$G49+SUM($G193:BU193))/ROUND(((EOMONTH('Construction Budget'!$M49,0)-EOMONTH(BV$11,0))/30)+1,0),0)</f>
        <v>0</v>
      </c>
      <c r="BW193" s="427">
        <f>-IF(AND(BW$11&gt;=EOMONTH('Construction Budget'!$K49,0),BW$11&lt;=EOMONTH('Construction Budget'!$M49,0)),('Construction Budget'!$G49+SUM($G193:BV193))/ROUND(((EOMONTH('Construction Budget'!$M49,0)-EOMONTH(BW$11,0))/30)+1,0),0)</f>
        <v>0</v>
      </c>
      <c r="BX193" s="427">
        <f>-IF(AND(BX$11&gt;=EOMONTH('Construction Budget'!$K49,0),BX$11&lt;=EOMONTH('Construction Budget'!$M49,0)),('Construction Budget'!$G49+SUM($G193:BW193))/ROUND(((EOMONTH('Construction Budget'!$M49,0)-EOMONTH(BX$11,0))/30)+1,0),0)</f>
        <v>0</v>
      </c>
      <c r="BY193" s="427">
        <f>-IF(AND(BY$11&gt;=EOMONTH('Construction Budget'!$K49,0),BY$11&lt;=EOMONTH('Construction Budget'!$M49,0)),('Construction Budget'!$G49+SUM($G193:BX193))/ROUND(((EOMONTH('Construction Budget'!$M49,0)-EOMONTH(BY$11,0))/30)+1,0),0)</f>
        <v>0</v>
      </c>
      <c r="BZ193" s="427">
        <f>-IF(AND(BZ$11&gt;=EOMONTH('Construction Budget'!$K49,0),BZ$11&lt;=EOMONTH('Construction Budget'!$M49,0)),('Construction Budget'!$G49+SUM($G193:BY193))/ROUND(((EOMONTH('Construction Budget'!$M49,0)-EOMONTH(BZ$11,0))/30)+1,0),0)</f>
        <v>0</v>
      </c>
      <c r="CA193" s="427">
        <f>-IF(AND(CA$11&gt;=EOMONTH('Construction Budget'!$K49,0),CA$11&lt;=EOMONTH('Construction Budget'!$M49,0)),('Construction Budget'!$G49+SUM($G193:BZ193))/ROUND(((EOMONTH('Construction Budget'!$M49,0)-EOMONTH(CA$11,0))/30)+1,0),0)</f>
        <v>0</v>
      </c>
      <c r="CB193" s="427">
        <f>-IF(AND(CB$11&gt;=EOMONTH('Construction Budget'!$K49,0),CB$11&lt;=EOMONTH('Construction Budget'!$M49,0)),('Construction Budget'!$G49+SUM($G193:CA193))/ROUND(((EOMONTH('Construction Budget'!$M49,0)-EOMONTH(CB$11,0))/30)+1,0),0)</f>
        <v>0</v>
      </c>
      <c r="CC193" s="427">
        <f>-IF(AND(CC$11&gt;=EOMONTH('Construction Budget'!$K49,0),CC$11&lt;=EOMONTH('Construction Budget'!$M49,0)),('Construction Budget'!$G49+SUM($G193:CB193))/ROUND(((EOMONTH('Construction Budget'!$M49,0)-EOMONTH(CC$11,0))/30)+1,0),0)</f>
        <v>0</v>
      </c>
      <c r="CD193" s="427">
        <f>-IF(AND(CD$11&gt;=EOMONTH('Construction Budget'!$K49,0),CD$11&lt;=EOMONTH('Construction Budget'!$M49,0)),('Construction Budget'!$G49+SUM($G193:CC193))/ROUND(((EOMONTH('Construction Budget'!$M49,0)-EOMONTH(CD$11,0))/30)+1,0),0)</f>
        <v>0</v>
      </c>
      <c r="CE193" s="427">
        <f>-IF(AND(CE$11&gt;=EOMONTH('Construction Budget'!$K49,0),CE$11&lt;=EOMONTH('Construction Budget'!$M49,0)),('Construction Budget'!$G49+SUM($G193:CD193))/ROUND(((EOMONTH('Construction Budget'!$M49,0)-EOMONTH(CE$11,0))/30)+1,0),0)</f>
        <v>0</v>
      </c>
      <c r="CF193" s="427">
        <f>-IF(AND(CF$11&gt;=EOMONTH('Construction Budget'!$K49,0),CF$11&lt;=EOMONTH('Construction Budget'!$M49,0)),('Construction Budget'!$G49+SUM($G193:CE193))/ROUND(((EOMONTH('Construction Budget'!$M49,0)-EOMONTH(CF$11,0))/30)+1,0),0)</f>
        <v>0</v>
      </c>
      <c r="CG193" s="427">
        <f>-IF(AND(CG$11&gt;=EOMONTH('Construction Budget'!$K49,0),CG$11&lt;=EOMONTH('Construction Budget'!$M49,0)),('Construction Budget'!$G49+SUM($G193:CF193))/ROUND(((EOMONTH('Construction Budget'!$M49,0)-EOMONTH(CG$11,0))/30)+1,0),0)</f>
        <v>0</v>
      </c>
      <c r="CH193" s="427">
        <f>-IF(AND(CH$11&gt;=EOMONTH('Construction Budget'!$K49,0),CH$11&lt;=EOMONTH('Construction Budget'!$M49,0)),('Construction Budget'!$G49+SUM($G193:CG193))/ROUND(((EOMONTH('Construction Budget'!$M49,0)-EOMONTH(CH$11,0))/30)+1,0),0)</f>
        <v>0</v>
      </c>
      <c r="CI193" s="427">
        <f>-IF(AND(CI$11&gt;=EOMONTH('Construction Budget'!$K49,0),CI$11&lt;=EOMONTH('Construction Budget'!$M49,0)),('Construction Budget'!$G49+SUM($G193:CH193))/ROUND(((EOMONTH('Construction Budget'!$M49,0)-EOMONTH(CI$11,0))/30)+1,0),0)</f>
        <v>0</v>
      </c>
      <c r="CJ193" s="427">
        <f>-IF(AND(CJ$11&gt;=EOMONTH('Construction Budget'!$K49,0),CJ$11&lt;=EOMONTH('Construction Budget'!$M49,0)),('Construction Budget'!$G49+SUM($G193:CI193))/ROUND(((EOMONTH('Construction Budget'!$M49,0)-EOMONTH(CJ$11,0))/30)+1,0),0)</f>
        <v>0</v>
      </c>
      <c r="CK193" s="427">
        <f>-IF(AND(CK$11&gt;=EOMONTH('Construction Budget'!$K49,0),CK$11&lt;=EOMONTH('Construction Budget'!$M49,0)),('Construction Budget'!$G49+SUM($G193:CJ193))/ROUND(((EOMONTH('Construction Budget'!$M49,0)-EOMONTH(CK$11,0))/30)+1,0),0)</f>
        <v>0</v>
      </c>
      <c r="CL193" s="427">
        <f>-IF(AND(CL$11&gt;=EOMONTH('Construction Budget'!$K49,0),CL$11&lt;=EOMONTH('Construction Budget'!$M49,0)),('Construction Budget'!$G49+SUM($G193:CK193))/ROUND(((EOMONTH('Construction Budget'!$M49,0)-EOMONTH(CL$11,0))/30)+1,0),0)</f>
        <v>0</v>
      </c>
      <c r="CM193" s="427">
        <f>-IF(AND(CM$11&gt;=EOMONTH('Construction Budget'!$K49,0),CM$11&lt;=EOMONTH('Construction Budget'!$M49,0)),('Construction Budget'!$G49+SUM($G193:CL193))/ROUND(((EOMONTH('Construction Budget'!$M49,0)-EOMONTH(CM$11,0))/30)+1,0),0)</f>
        <v>0</v>
      </c>
      <c r="CN193" s="427">
        <f>-IF(AND(CN$11&gt;=EOMONTH('Construction Budget'!$K49,0),CN$11&lt;=EOMONTH('Construction Budget'!$M49,0)),('Construction Budget'!$G49+SUM($G193:CM193))/ROUND(((EOMONTH('Construction Budget'!$M49,0)-EOMONTH(CN$11,0))/30)+1,0),0)</f>
        <v>0</v>
      </c>
      <c r="CO193" s="427">
        <f>-IF(AND(CO$11&gt;=EOMONTH('Construction Budget'!$K49,0),CO$11&lt;=EOMONTH('Construction Budget'!$M49,0)),('Construction Budget'!$G49+SUM($G193:CN193))/ROUND(((EOMONTH('Construction Budget'!$M49,0)-EOMONTH(CO$11,0))/30)+1,0),0)</f>
        <v>0</v>
      </c>
      <c r="CP193" s="427">
        <f>-IF(AND(CP$11&gt;=EOMONTH('Construction Budget'!$K49,0),CP$11&lt;=EOMONTH('Construction Budget'!$M49,0)),('Construction Budget'!$G49+SUM($G193:CO193))/ROUND(((EOMONTH('Construction Budget'!$M49,0)-EOMONTH(CP$11,0))/30)+1,0),0)</f>
        <v>0</v>
      </c>
      <c r="CQ193" s="427">
        <f>-IF(AND(CQ$11&gt;=EOMONTH('Construction Budget'!$K49,0),CQ$11&lt;=EOMONTH('Construction Budget'!$M49,0)),('Construction Budget'!$G49+SUM($G193:CP193))/ROUND(((EOMONTH('Construction Budget'!$M49,0)-EOMONTH(CQ$11,0))/30)+1,0),0)</f>
        <v>0</v>
      </c>
      <c r="CR193" s="427">
        <f>-IF(AND(CR$11&gt;=EOMONTH('Construction Budget'!$K49,0),CR$11&lt;=EOMONTH('Construction Budget'!$M49,0)),('Construction Budget'!$G49+SUM($G193:CQ193))/ROUND(((EOMONTH('Construction Budget'!$M49,0)-EOMONTH(CR$11,0))/30)+1,0),0)</f>
        <v>0</v>
      </c>
      <c r="CS193" s="427">
        <f>-IF(AND(CS$11&gt;=EOMONTH('Construction Budget'!$K49,0),CS$11&lt;=EOMONTH('Construction Budget'!$M49,0)),('Construction Budget'!$G49+SUM($G193:CR193))/ROUND(((EOMONTH('Construction Budget'!$M49,0)-EOMONTH(CS$11,0))/30)+1,0),0)</f>
        <v>0</v>
      </c>
      <c r="CT193" s="427">
        <f>-IF(AND(CT$11&gt;=EOMONTH('Construction Budget'!$K49,0),CT$11&lt;=EOMONTH('Construction Budget'!$M49,0)),('Construction Budget'!$G49+SUM($G193:CS193))/ROUND(((EOMONTH('Construction Budget'!$M49,0)-EOMONTH(CT$11,0))/30)+1,0),0)</f>
        <v>0</v>
      </c>
      <c r="CU193" s="427">
        <f>-IF(AND(CU$11&gt;=EOMONTH('Construction Budget'!$K49,0),CU$11&lt;=EOMONTH('Construction Budget'!$M49,0)),('Construction Budget'!$G49+SUM($G193:CT193))/ROUND(((EOMONTH('Construction Budget'!$M49,0)-EOMONTH(CU$11,0))/30)+1,0),0)</f>
        <v>0</v>
      </c>
      <c r="CV193" s="427">
        <f>-IF(AND(CV$11&gt;=EOMONTH('Construction Budget'!$K49,0),CV$11&lt;=EOMONTH('Construction Budget'!$M49,0)),('Construction Budget'!$G49+SUM($G193:CU193))/ROUND(((EOMONTH('Construction Budget'!$M49,0)-EOMONTH(CV$11,0))/30)+1,0),0)</f>
        <v>0</v>
      </c>
      <c r="CW193" s="427">
        <f>-IF(AND(CW$11&gt;=EOMONTH('Construction Budget'!$K49,0),CW$11&lt;=EOMONTH('Construction Budget'!$M49,0)),('Construction Budget'!$G49+SUM($G193:CV193))/ROUND(((EOMONTH('Construction Budget'!$M49,0)-EOMONTH(CW$11,0))/30)+1,0),0)</f>
        <v>0</v>
      </c>
      <c r="CX193" s="427">
        <f>-IF(AND(CX$11&gt;=EOMONTH('Construction Budget'!$K49,0),CX$11&lt;=EOMONTH('Construction Budget'!$M49,0)),('Construction Budget'!$G49+SUM($G193:CW193))/ROUND(((EOMONTH('Construction Budget'!$M49,0)-EOMONTH(CX$11,0))/30)+1,0),0)</f>
        <v>0</v>
      </c>
      <c r="CY193" s="427">
        <f>-IF(AND(CY$11&gt;=EOMONTH('Construction Budget'!$K49,0),CY$11&lt;=EOMONTH('Construction Budget'!$M49,0)),('Construction Budget'!$G49+SUM($G193:CX193))/ROUND(((EOMONTH('Construction Budget'!$M49,0)-EOMONTH(CY$11,0))/30)+1,0),0)</f>
        <v>0</v>
      </c>
      <c r="CZ193" s="427">
        <f>-IF(AND(CZ$11&gt;=EOMONTH('Construction Budget'!$K49,0),CZ$11&lt;=EOMONTH('Construction Budget'!$M49,0)),('Construction Budget'!$G49+SUM($G193:CY193))/ROUND(((EOMONTH('Construction Budget'!$M49,0)-EOMONTH(CZ$11,0))/30)+1,0),0)</f>
        <v>0</v>
      </c>
      <c r="DA193" s="427">
        <f>-IF(AND(DA$11&gt;=EOMONTH('Construction Budget'!$K49,0),DA$11&lt;=EOMONTH('Construction Budget'!$M49,0)),('Construction Budget'!$G49+SUM($G193:CZ193))/ROUND(((EOMONTH('Construction Budget'!$M49,0)-EOMONTH(DA$11,0))/30)+1,0),0)</f>
        <v>0</v>
      </c>
      <c r="DB193" s="427">
        <f>-IF(AND(DB$11&gt;=EOMONTH('Construction Budget'!$K49,0),DB$11&lt;=EOMONTH('Construction Budget'!$M49,0)),('Construction Budget'!$G49+SUM($G193:DA193))/ROUND(((EOMONTH('Construction Budget'!$M49,0)-EOMONTH(DB$11,0))/30)+1,0),0)</f>
        <v>0</v>
      </c>
      <c r="DC193" s="427">
        <f>-IF(AND(DC$11&gt;=EOMONTH('Construction Budget'!$K49,0),DC$11&lt;=EOMONTH('Construction Budget'!$M49,0)),('Construction Budget'!$G49+SUM($G193:DB193))/ROUND(((EOMONTH('Construction Budget'!$M49,0)-EOMONTH(DC$11,0))/30)+1,0),0)</f>
        <v>0</v>
      </c>
      <c r="DD193" s="427">
        <f>-IF(AND(DD$11&gt;=EOMONTH('Construction Budget'!$K49,0),DD$11&lt;=EOMONTH('Construction Budget'!$M49,0)),('Construction Budget'!$G49+SUM($G193:DC193))/ROUND(((EOMONTH('Construction Budget'!$M49,0)-EOMONTH(DD$11,0))/30)+1,0),0)</f>
        <v>0</v>
      </c>
      <c r="DE193" s="427">
        <f>-IF(AND(DE$11&gt;=EOMONTH('Construction Budget'!$K49,0),DE$11&lt;=EOMONTH('Construction Budget'!$M49,0)),('Construction Budget'!$G49+SUM($G193:DD193))/ROUND(((EOMONTH('Construction Budget'!$M49,0)-EOMONTH(DE$11,0))/30)+1,0),0)</f>
        <v>0</v>
      </c>
      <c r="DF193" s="427">
        <f>-IF(AND(DF$11&gt;=EOMONTH('Construction Budget'!$K49,0),DF$11&lt;=EOMONTH('Construction Budget'!$M49,0)),('Construction Budget'!$G49+SUM($G193:DE193))/ROUND(((EOMONTH('Construction Budget'!$M49,0)-EOMONTH(DF$11,0))/30)+1,0),0)</f>
        <v>0</v>
      </c>
      <c r="DG193" s="427">
        <f>-IF(AND(DG$11&gt;=EOMONTH('Construction Budget'!$K49,0),DG$11&lt;=EOMONTH('Construction Budget'!$M49,0)),('Construction Budget'!$G49+SUM($G193:DF193))/ROUND(((EOMONTH('Construction Budget'!$M49,0)-EOMONTH(DG$11,0))/30)+1,0),0)</f>
        <v>0</v>
      </c>
      <c r="DH193" s="427">
        <f>-IF(AND(DH$11&gt;=EOMONTH('Construction Budget'!$K49,0),DH$11&lt;=EOMONTH('Construction Budget'!$M49,0)),('Construction Budget'!$G49+SUM($G193:DG193))/ROUND(((EOMONTH('Construction Budget'!$M49,0)-EOMONTH(DH$11,0))/30)+1,0),0)</f>
        <v>0</v>
      </c>
      <c r="DI193" s="427">
        <f>-IF(AND(DI$11&gt;=EOMONTH('Construction Budget'!$K49,0),DI$11&lt;=EOMONTH('Construction Budget'!$M49,0)),('Construction Budget'!$G49+SUM($G193:DH193))/ROUND(((EOMONTH('Construction Budget'!$M49,0)-EOMONTH(DI$11,0))/30)+1,0),0)</f>
        <v>0</v>
      </c>
      <c r="DJ193" s="427">
        <f>-IF(AND(DJ$11&gt;=EOMONTH('Construction Budget'!$K49,0),DJ$11&lt;=EOMONTH('Construction Budget'!$M49,0)),('Construction Budget'!$G49+SUM($G193:DI193))/ROUND(((EOMONTH('Construction Budget'!$M49,0)-EOMONTH(DJ$11,0))/30)+1,0),0)</f>
        <v>0</v>
      </c>
      <c r="DK193" s="427">
        <f>-IF(AND(DK$11&gt;=EOMONTH('Construction Budget'!$K49,0),DK$11&lt;=EOMONTH('Construction Budget'!$M49,0)),('Construction Budget'!$G49+SUM($G193:DJ193))/ROUND(((EOMONTH('Construction Budget'!$M49,0)-EOMONTH(DK$11,0))/30)+1,0),0)</f>
        <v>0</v>
      </c>
      <c r="DL193" s="427">
        <f>-IF(AND(DL$11&gt;=EOMONTH('Construction Budget'!$K49,0),DL$11&lt;=EOMONTH('Construction Budget'!$M49,0)),('Construction Budget'!$G49+SUM($G193:DK193))/ROUND(((EOMONTH('Construction Budget'!$M49,0)-EOMONTH(DL$11,0))/30)+1,0),0)</f>
        <v>0</v>
      </c>
      <c r="DM193" s="427">
        <f>-IF(AND(DM$11&gt;=EOMONTH('Construction Budget'!$K49,0),DM$11&lt;=EOMONTH('Construction Budget'!$M49,0)),('Construction Budget'!$G49+SUM($G193:DL193))/ROUND(((EOMONTH('Construction Budget'!$M49,0)-EOMONTH(DM$11,0))/30)+1,0),0)</f>
        <v>0</v>
      </c>
      <c r="DN193" s="427">
        <f>-IF(AND(DN$11&gt;=EOMONTH('Construction Budget'!$K49,0),DN$11&lt;=EOMONTH('Construction Budget'!$M49,0)),('Construction Budget'!$G49+SUM($G193:DM193))/ROUND(((EOMONTH('Construction Budget'!$M49,0)-EOMONTH(DN$11,0))/30)+1,0),0)</f>
        <v>0</v>
      </c>
      <c r="DO193" s="427">
        <f>-IF(AND(DO$11&gt;=EOMONTH('Construction Budget'!$K49,0),DO$11&lt;=EOMONTH('Construction Budget'!$M49,0)),('Construction Budget'!$G49+SUM($G193:DN193))/ROUND(((EOMONTH('Construction Budget'!$M49,0)-EOMONTH(DO$11,0))/30)+1,0),0)</f>
        <v>0</v>
      </c>
      <c r="DP193" s="427">
        <f>-IF(AND(DP$11&gt;=EOMONTH('Construction Budget'!$K49,0),DP$11&lt;=EOMONTH('Construction Budget'!$M49,0)),('Construction Budget'!$G49+SUM($G193:DO193))/ROUND(((EOMONTH('Construction Budget'!$M49,0)-EOMONTH(DP$11,0))/30)+1,0),0)</f>
        <v>0</v>
      </c>
      <c r="DQ193" s="427">
        <f>-IF(AND(DQ$11&gt;=EOMONTH('Construction Budget'!$K49,0),DQ$11&lt;=EOMONTH('Construction Budget'!$M49,0)),('Construction Budget'!$G49+SUM($G193:DP193))/ROUND(((EOMONTH('Construction Budget'!$M49,0)-EOMONTH(DQ$11,0))/30)+1,0),0)</f>
        <v>0</v>
      </c>
      <c r="DR193" s="427">
        <f>-IF(AND(DR$11&gt;=EOMONTH('Construction Budget'!$K49,0),DR$11&lt;=EOMONTH('Construction Budget'!$M49,0)),('Construction Budget'!$G49+SUM($G193:DQ193))/ROUND(((EOMONTH('Construction Budget'!$M49,0)-EOMONTH(DR$11,0))/30)+1,0),0)</f>
        <v>0</v>
      </c>
      <c r="DS193" s="427">
        <f>-IF(AND(DS$11&gt;=EOMONTH('Construction Budget'!$K49,0),DS$11&lt;=EOMONTH('Construction Budget'!$M49,0)),('Construction Budget'!$G49+SUM($G193:DR193))/ROUND(((EOMONTH('Construction Budget'!$M49,0)-EOMONTH(DS$11,0))/30)+1,0),0)</f>
        <v>0</v>
      </c>
      <c r="DT193" s="427">
        <f>-IF(AND(DT$11&gt;=EOMONTH('Construction Budget'!$K49,0),DT$11&lt;=EOMONTH('Construction Budget'!$M49,0)),('Construction Budget'!$G49+SUM($G193:DS193))/ROUND(((EOMONTH('Construction Budget'!$M49,0)-EOMONTH(DT$11,0))/30)+1,0),0)</f>
        <v>0</v>
      </c>
      <c r="DU193" s="427">
        <f>-IF(AND(DU$11&gt;=EOMONTH('Construction Budget'!$K49,0),DU$11&lt;=EOMONTH('Construction Budget'!$M49,0)),('Construction Budget'!$G49+SUM($G193:DT193))/ROUND(((EOMONTH('Construction Budget'!$M49,0)-EOMONTH(DU$11,0))/30)+1,0),0)</f>
        <v>0</v>
      </c>
      <c r="DV193" s="427">
        <f>-IF(AND(DV$11&gt;=EOMONTH('Construction Budget'!$K49,0),DV$11&lt;=EOMONTH('Construction Budget'!$M49,0)),('Construction Budget'!$G49+SUM($G193:DU193))/ROUND(((EOMONTH('Construction Budget'!$M49,0)-EOMONTH(DV$11,0))/30)+1,0),0)</f>
        <v>0</v>
      </c>
      <c r="DW193" s="427">
        <f>-IF(AND(DW$11&gt;=EOMONTH('Construction Budget'!$K49,0),DW$11&lt;=EOMONTH('Construction Budget'!$M49,0)),('Construction Budget'!$G49+SUM($G193:DV193))/ROUND(((EOMONTH('Construction Budget'!$M49,0)-EOMONTH(DW$11,0))/30)+1,0),0)</f>
        <v>0</v>
      </c>
      <c r="DX193" s="427">
        <f>-IF(AND(DX$11&gt;=EOMONTH('Construction Budget'!$K49,0),DX$11&lt;=EOMONTH('Construction Budget'!$M49,0)),('Construction Budget'!$G49+SUM($G193:DW193))/ROUND(((EOMONTH('Construction Budget'!$M49,0)-EOMONTH(DX$11,0))/30)+1,0),0)</f>
        <v>0</v>
      </c>
      <c r="DY193" s="427">
        <f>-IF(AND(DY$11&gt;=EOMONTH('Construction Budget'!$K49,0),DY$11&lt;=EOMONTH('Construction Budget'!$M49,0)),('Construction Budget'!$G49+SUM($G193:DX193))/ROUND(((EOMONTH('Construction Budget'!$M49,0)-EOMONTH(DY$11,0))/30)+1,0),0)</f>
        <v>0</v>
      </c>
      <c r="DZ193" s="427">
        <f>-IF(AND(DZ$11&gt;=EOMONTH('Construction Budget'!$K49,0),DZ$11&lt;=EOMONTH('Construction Budget'!$M49,0)),('Construction Budget'!$G49+SUM($G193:DY193))/ROUND(((EOMONTH('Construction Budget'!$M49,0)-EOMONTH(DZ$11,0))/30)+1,0),0)</f>
        <v>0</v>
      </c>
      <c r="EA193" s="427">
        <f>-IF(AND(EA$11&gt;=EOMONTH('Construction Budget'!$K49,0),EA$11&lt;=EOMONTH('Construction Budget'!$M49,0)),('Construction Budget'!$G49+SUM($G193:DZ193))/ROUND(((EOMONTH('Construction Budget'!$M49,0)-EOMONTH(EA$11,0))/30)+1,0),0)</f>
        <v>0</v>
      </c>
      <c r="EB193" s="427">
        <f>-IF(AND(EB$11&gt;=EOMONTH('Construction Budget'!$K49,0),EB$11&lt;=EOMONTH('Construction Budget'!$M49,0)),('Construction Budget'!$G49+SUM($G193:EA193))/ROUND(((EOMONTH('Construction Budget'!$M49,0)-EOMONTH(EB$11,0))/30)+1,0),0)</f>
        <v>0</v>
      </c>
      <c r="EC193" s="427">
        <f>-IF(AND(EC$11&gt;=EOMONTH('Construction Budget'!$K49,0),EC$11&lt;=EOMONTH('Construction Budget'!$M49,0)),('Construction Budget'!$G49+SUM($G193:EB193))/ROUND(((EOMONTH('Construction Budget'!$M49,0)-EOMONTH(EC$11,0))/30)+1,0),0)</f>
        <v>0</v>
      </c>
      <c r="ED193" s="427">
        <f>-IF(AND(ED$11&gt;=EOMONTH('Construction Budget'!$K49,0),ED$11&lt;=EOMONTH('Construction Budget'!$M49,0)),('Construction Budget'!$G49+SUM($G193:EC193))/ROUND(((EOMONTH('Construction Budget'!$M49,0)-EOMONTH(ED$11,0))/30)+1,0),0)</f>
        <v>0</v>
      </c>
      <c r="EE193" s="427">
        <f>-IF(AND(EE$11&gt;=EOMONTH('Construction Budget'!$K49,0),EE$11&lt;=EOMONTH('Construction Budget'!$M49,0)),('Construction Budget'!$G49+SUM($G193:ED193))/ROUND(((EOMONTH('Construction Budget'!$M49,0)-EOMONTH(EE$11,0))/30)+1,0),0)</f>
        <v>0</v>
      </c>
      <c r="EF193" s="427">
        <f>-IF(AND(EF$11&gt;=EOMONTH('Construction Budget'!$K49,0),EF$11&lt;=EOMONTH('Construction Budget'!$M49,0)),('Construction Budget'!$G49+SUM($G193:EE193))/ROUND(((EOMONTH('Construction Budget'!$M49,0)-EOMONTH(EF$11,0))/30)+1,0),0)</f>
        <v>0</v>
      </c>
      <c r="EG193" s="427">
        <f>-IF(AND(EG$11&gt;=EOMONTH('Construction Budget'!$K49,0),EG$11&lt;=EOMONTH('Construction Budget'!$M49,0)),('Construction Budget'!$G49+SUM($G193:EF193))/ROUND(((EOMONTH('Construction Budget'!$M49,0)-EOMONTH(EG$11,0))/30)+1,0),0)</f>
        <v>0</v>
      </c>
      <c r="EH193" s="427">
        <f>-IF(AND(EH$11&gt;=EOMONTH('Construction Budget'!$K49,0),EH$11&lt;=EOMONTH('Construction Budget'!$M49,0)),('Construction Budget'!$G49+SUM($G193:EG193))/ROUND(((EOMONTH('Construction Budget'!$M49,0)-EOMONTH(EH$11,0))/30)+1,0),0)</f>
        <v>0</v>
      </c>
      <c r="EI193" s="427">
        <f>-IF(AND(EI$11&gt;=EOMONTH('Construction Budget'!$K49,0),EI$11&lt;=EOMONTH('Construction Budget'!$M49,0)),('Construction Budget'!$G49+SUM($G193:EH193))/ROUND(((EOMONTH('Construction Budget'!$M49,0)-EOMONTH(EI$11,0))/30)+1,0),0)</f>
        <v>0</v>
      </c>
      <c r="EJ193" s="427">
        <f>-IF(AND(EJ$11&gt;=EOMONTH('Construction Budget'!$K49,0),EJ$11&lt;=EOMONTH('Construction Budget'!$M49,0)),('Construction Budget'!$G49+SUM($G193:EI193))/ROUND(((EOMONTH('Construction Budget'!$M49,0)-EOMONTH(EJ$11,0))/30)+1,0),0)</f>
        <v>0</v>
      </c>
      <c r="EK193" s="427">
        <f>-IF(AND(EK$11&gt;=EOMONTH('Construction Budget'!$K49,0),EK$11&lt;=EOMONTH('Construction Budget'!$M49,0)),('Construction Budget'!$G49+SUM($G193:EJ193))/ROUND(((EOMONTH('Construction Budget'!$M49,0)-EOMONTH(EK$11,0))/30)+1,0),0)</f>
        <v>0</v>
      </c>
      <c r="EL193" s="427">
        <f>-IF(AND(EL$11&gt;=EOMONTH('Construction Budget'!$K49,0),EL$11&lt;=EOMONTH('Construction Budget'!$M49,0)),('Construction Budget'!$G49+SUM($G193:EK193))/ROUND(((EOMONTH('Construction Budget'!$M49,0)-EOMONTH(EL$11,0))/30)+1,0),0)</f>
        <v>0</v>
      </c>
      <c r="EM193" s="427">
        <f>-IF(AND(EM$11&gt;=EOMONTH('Construction Budget'!$K49,0),EM$11&lt;=EOMONTH('Construction Budget'!$M49,0)),('Construction Budget'!$G49+SUM($G193:EL193))/ROUND(((EOMONTH('Construction Budget'!$M49,0)-EOMONTH(EM$11,0))/30)+1,0),0)</f>
        <v>0</v>
      </c>
      <c r="EN193" s="427">
        <f>-IF(AND(EN$11&gt;=EOMONTH('Construction Budget'!$K49,0),EN$11&lt;=EOMONTH('Construction Budget'!$M49,0)),('Construction Budget'!$G49+SUM($G193:EM193))/ROUND(((EOMONTH('Construction Budget'!$M49,0)-EOMONTH(EN$11,0))/30)+1,0),0)</f>
        <v>0</v>
      </c>
      <c r="EO193" s="427">
        <f>-IF(AND(EO$11&gt;=EOMONTH('Construction Budget'!$K49,0),EO$11&lt;=EOMONTH('Construction Budget'!$M49,0)),('Construction Budget'!$G49+SUM($G193:EN193))/ROUND(((EOMONTH('Construction Budget'!$M49,0)-EOMONTH(EO$11,0))/30)+1,0),0)</f>
        <v>0</v>
      </c>
      <c r="EP193" s="427">
        <f>-IF(AND(EP$11&gt;=EOMONTH('Construction Budget'!$K49,0),EP$11&lt;=EOMONTH('Construction Budget'!$M49,0)),('Construction Budget'!$G49+SUM($G193:EO193))/ROUND(((EOMONTH('Construction Budget'!$M49,0)-EOMONTH(EP$11,0))/30)+1,0),0)</f>
        <v>0</v>
      </c>
      <c r="EQ193" s="427">
        <f>-IF(AND(EQ$11&gt;=EOMONTH('Construction Budget'!$K49,0),EQ$11&lt;=EOMONTH('Construction Budget'!$M49,0)),('Construction Budget'!$G49+SUM($G193:EP193))/ROUND(((EOMONTH('Construction Budget'!$M49,0)-EOMONTH(EQ$11,0))/30)+1,0),0)</f>
        <v>0</v>
      </c>
      <c r="ER193" s="427">
        <f>-IF(AND(ER$11&gt;=EOMONTH('Construction Budget'!$K49,0),ER$11&lt;=EOMONTH('Construction Budget'!$M49,0)),('Construction Budget'!$G49+SUM($G193:EQ193))/ROUND(((EOMONTH('Construction Budget'!$M49,0)-EOMONTH(ER$11,0))/30)+1,0),0)</f>
        <v>0</v>
      </c>
      <c r="ES193" s="427">
        <f>-IF(AND(ES$11&gt;=EOMONTH('Construction Budget'!$K49,0),ES$11&lt;=EOMONTH('Construction Budget'!$M49,0)),('Construction Budget'!$G49+SUM($G193:ER193))/ROUND(((EOMONTH('Construction Budget'!$M49,0)-EOMONTH(ES$11,0))/30)+1,0),0)</f>
        <v>0</v>
      </c>
      <c r="ET193" s="427">
        <f>-IF(AND(ET$11&gt;=EOMONTH('Construction Budget'!$K49,0),ET$11&lt;=EOMONTH('Construction Budget'!$M49,0)),('Construction Budget'!$G49+SUM($G193:ES193))/ROUND(((EOMONTH('Construction Budget'!$M49,0)-EOMONTH(ET$11,0))/30)+1,0),0)</f>
        <v>0</v>
      </c>
      <c r="EU193" s="427">
        <f>-IF(AND(EU$11&gt;=EOMONTH('Construction Budget'!$K49,0),EU$11&lt;=EOMONTH('Construction Budget'!$M49,0)),('Construction Budget'!$G49+SUM($G193:ET193))/ROUND(((EOMONTH('Construction Budget'!$M49,0)-EOMONTH(EU$11,0))/30)+1,0),0)</f>
        <v>0</v>
      </c>
      <c r="EV193" s="427">
        <f>-IF(AND(EV$11&gt;=EOMONTH('Construction Budget'!$K49,0),EV$11&lt;=EOMONTH('Construction Budget'!$M49,0)),('Construction Budget'!$G49+SUM($G193:EU193))/ROUND(((EOMONTH('Construction Budget'!$M49,0)-EOMONTH(EV$11,0))/30)+1,0),0)</f>
        <v>0</v>
      </c>
      <c r="EW193" s="427">
        <f>-IF(AND(EW$11&gt;=EOMONTH('Construction Budget'!$K49,0),EW$11&lt;=EOMONTH('Construction Budget'!$M49,0)),('Construction Budget'!$G49+SUM($G193:EV193))/ROUND(((EOMONTH('Construction Budget'!$M49,0)-EOMONTH(EW$11,0))/30)+1,0),0)</f>
        <v>0</v>
      </c>
      <c r="EX193" s="427">
        <f>-IF(AND(EX$11&gt;=EOMONTH('Construction Budget'!$K49,0),EX$11&lt;=EOMONTH('Construction Budget'!$M49,0)),('Construction Budget'!$G49+SUM($G193:EW193))/ROUND(((EOMONTH('Construction Budget'!$M49,0)-EOMONTH(EX$11,0))/30)+1,0),0)</f>
        <v>0</v>
      </c>
      <c r="EY193" s="427">
        <f>-IF(AND(EY$11&gt;=EOMONTH('Construction Budget'!$K49,0),EY$11&lt;=EOMONTH('Construction Budget'!$M49,0)),('Construction Budget'!$G49+SUM($G193:EX193))/ROUND(((EOMONTH('Construction Budget'!$M49,0)-EOMONTH(EY$11,0))/30)+1,0),0)</f>
        <v>0</v>
      </c>
      <c r="EZ193" s="427">
        <f>-IF(AND(EZ$11&gt;=EOMONTH('Construction Budget'!$K49,0),EZ$11&lt;=EOMONTH('Construction Budget'!$M49,0)),('Construction Budget'!$G49+SUM($G193:EY193))/ROUND(((EOMONTH('Construction Budget'!$M49,0)-EOMONTH(EZ$11,0))/30)+1,0),0)</f>
        <v>0</v>
      </c>
      <c r="FA193" s="427">
        <f>-IF(AND(FA$11&gt;=EOMONTH('Construction Budget'!$K49,0),FA$11&lt;=EOMONTH('Construction Budget'!$M49,0)),('Construction Budget'!$G49+SUM($G193:EZ193))/ROUND(((EOMONTH('Construction Budget'!$M49,0)-EOMONTH(FA$11,0))/30)+1,0),0)</f>
        <v>0</v>
      </c>
      <c r="FB193" s="427">
        <f>-IF(AND(FB$11&gt;=EOMONTH('Construction Budget'!$K49,0),FB$11&lt;=EOMONTH('Construction Budget'!$M49,0)),('Construction Budget'!$G49+SUM($G193:FA193))/ROUND(((EOMONTH('Construction Budget'!$M49,0)-EOMONTH(FB$11,0))/30)+1,0),0)</f>
        <v>0</v>
      </c>
      <c r="FC193" s="427">
        <f>-IF(AND(FC$11&gt;=EOMONTH('Construction Budget'!$K49,0),FC$11&lt;=EOMONTH('Construction Budget'!$M49,0)),('Construction Budget'!$G49+SUM($G193:FB193))/ROUND(((EOMONTH('Construction Budget'!$M49,0)-EOMONTH(FC$11,0))/30)+1,0),0)</f>
        <v>0</v>
      </c>
      <c r="FD193" s="427">
        <f>-IF(AND(FD$11&gt;=EOMONTH('Construction Budget'!$K49,0),FD$11&lt;=EOMONTH('Construction Budget'!$M49,0)),('Construction Budget'!$G49+SUM($G193:FC193))/ROUND(((EOMONTH('Construction Budget'!$M49,0)-EOMONTH(FD$11,0))/30)+1,0),0)</f>
        <v>0</v>
      </c>
      <c r="FE193" s="427">
        <f>-IF(AND(FE$11&gt;=EOMONTH('Construction Budget'!$K49,0),FE$11&lt;=EOMONTH('Construction Budget'!$M49,0)),('Construction Budget'!$G49+SUM($G193:FD193))/ROUND(((EOMONTH('Construction Budget'!$M49,0)-EOMONTH(FE$11,0))/30)+1,0),0)</f>
        <v>0</v>
      </c>
      <c r="FF193" s="427">
        <f>-IF(AND(FF$11&gt;=EOMONTH('Construction Budget'!$K49,0),FF$11&lt;=EOMONTH('Construction Budget'!$M49,0)),('Construction Budget'!$G49+SUM($G193:FE193))/ROUND(((EOMONTH('Construction Budget'!$M49,0)-EOMONTH(FF$11,0))/30)+1,0),0)</f>
        <v>0</v>
      </c>
      <c r="FG193" s="427">
        <f>-IF(AND(FG$11&gt;=EOMONTH('Construction Budget'!$K49,0),FG$11&lt;=EOMONTH('Construction Budget'!$M49,0)),('Construction Budget'!$G49+SUM($G193:FF193))/ROUND(((EOMONTH('Construction Budget'!$M49,0)-EOMONTH(FG$11,0))/30)+1,0),0)</f>
        <v>0</v>
      </c>
      <c r="FH193" s="427">
        <f>-IF(AND(FH$11&gt;=EOMONTH('Construction Budget'!$K49,0),FH$11&lt;=EOMONTH('Construction Budget'!$M49,0)),('Construction Budget'!$G49+SUM($G193:FG193))/ROUND(((EOMONTH('Construction Budget'!$M49,0)-EOMONTH(FH$11,0))/30)+1,0),0)</f>
        <v>0</v>
      </c>
      <c r="FI193" s="427">
        <f>-IF(AND(FI$11&gt;=EOMONTH('Construction Budget'!$K49,0),FI$11&lt;=EOMONTH('Construction Budget'!$M49,0)),('Construction Budget'!$G49+SUM($G193:FH193))/ROUND(((EOMONTH('Construction Budget'!$M49,0)-EOMONTH(FI$11,0))/30)+1,0),0)</f>
        <v>0</v>
      </c>
      <c r="FJ193" s="427">
        <f>-IF(AND(FJ$11&gt;=EOMONTH('Construction Budget'!$K49,0),FJ$11&lt;=EOMONTH('Construction Budget'!$M49,0)),('Construction Budget'!$G49+SUM($G193:FI193))/ROUND(((EOMONTH('Construction Budget'!$M49,0)-EOMONTH(FJ$11,0))/30)+1,0),0)</f>
        <v>0</v>
      </c>
      <c r="FK193" s="427">
        <f>-IF(AND(FK$11&gt;=EOMONTH('Construction Budget'!$K49,0),FK$11&lt;=EOMONTH('Construction Budget'!$M49,0)),('Construction Budget'!$G49+SUM($G193:FJ193))/ROUND(((EOMONTH('Construction Budget'!$M49,0)-EOMONTH(FK$11,0))/30)+1,0),0)</f>
        <v>0</v>
      </c>
      <c r="FL193" s="427">
        <f>-IF(AND(FL$11&gt;=EOMONTH('Construction Budget'!$K49,0),FL$11&lt;=EOMONTH('Construction Budget'!$M49,0)),('Construction Budget'!$G49+SUM($G193:FK193))/ROUND(((EOMONTH('Construction Budget'!$M49,0)-EOMONTH(FL$11,0))/30)+1,0),0)</f>
        <v>0</v>
      </c>
      <c r="FM193" s="427">
        <f>-IF(AND(FM$11&gt;=EOMONTH('Construction Budget'!$K49,0),FM$11&lt;=EOMONTH('Construction Budget'!$M49,0)),('Construction Budget'!$G49+SUM($G193:FL193))/ROUND(((EOMONTH('Construction Budget'!$M49,0)-EOMONTH(FM$11,0))/30)+1,0),0)</f>
        <v>0</v>
      </c>
      <c r="FN193" s="427">
        <f>-IF(AND(FN$11&gt;=EOMONTH('Construction Budget'!$K49,0),FN$11&lt;=EOMONTH('Construction Budget'!$M49,0)),('Construction Budget'!$G49+SUM($G193:FM193))/ROUND(((EOMONTH('Construction Budget'!$M49,0)-EOMONTH(FN$11,0))/30)+1,0),0)</f>
        <v>0</v>
      </c>
      <c r="FO193" s="427">
        <f>-IF(AND(FO$11&gt;=EOMONTH('Construction Budget'!$K49,0),FO$11&lt;=EOMONTH('Construction Budget'!$M49,0)),('Construction Budget'!$G49+SUM($G193:FN193))/ROUND(((EOMONTH('Construction Budget'!$M49,0)-EOMONTH(FO$11,0))/30)+1,0),0)</f>
        <v>0</v>
      </c>
      <c r="FP193" s="427">
        <f>-IF(AND(FP$11&gt;=EOMONTH('Construction Budget'!$K49,0),FP$11&lt;=EOMONTH('Construction Budget'!$M49,0)),('Construction Budget'!$G49+SUM($G193:FO193))/ROUND(((EOMONTH('Construction Budget'!$M49,0)-EOMONTH(FP$11,0))/30)+1,0),0)</f>
        <v>0</v>
      </c>
      <c r="FQ193" s="427">
        <f>-IF(AND(FQ$11&gt;=EOMONTH('Construction Budget'!$K49,0),FQ$11&lt;=EOMONTH('Construction Budget'!$M49,0)),('Construction Budget'!$G49+SUM($G193:FP193))/ROUND(((EOMONTH('Construction Budget'!$M49,0)-EOMONTH(FQ$11,0))/30)+1,0),0)</f>
        <v>0</v>
      </c>
      <c r="FR193" s="427">
        <f>-IF(AND(FR$11&gt;=EOMONTH('Construction Budget'!$K49,0),FR$11&lt;=EOMONTH('Construction Budget'!$M49,0)),('Construction Budget'!$G49+SUM($G193:FQ193))/ROUND(((EOMONTH('Construction Budget'!$M49,0)-EOMONTH(FR$11,0))/30)+1,0),0)</f>
        <v>0</v>
      </c>
      <c r="FS193" s="427">
        <f>-IF(AND(FS$11&gt;=EOMONTH('Construction Budget'!$K49,0),FS$11&lt;=EOMONTH('Construction Budget'!$M49,0)),('Construction Budget'!$G49+SUM($G193:FR193))/ROUND(((EOMONTH('Construction Budget'!$M49,0)-EOMONTH(FS$11,0))/30)+1,0),0)</f>
        <v>0</v>
      </c>
      <c r="FT193" s="427">
        <f>-IF(AND(FT$11&gt;=EOMONTH('Construction Budget'!$K49,0),FT$11&lt;=EOMONTH('Construction Budget'!$M49,0)),('Construction Budget'!$G49+SUM($G193:FS193))/ROUND(((EOMONTH('Construction Budget'!$M49,0)-EOMONTH(FT$11,0))/30)+1,0),0)</f>
        <v>0</v>
      </c>
      <c r="FU193" s="43"/>
      <c r="FV193" s="34"/>
      <c r="FW193" s="34"/>
      <c r="FX193" s="34"/>
      <c r="FY193" s="34"/>
      <c r="FZ193" s="34"/>
    </row>
    <row r="194" spans="1:182" s="89" customFormat="1" ht="13.5" hidden="1" outlineLevel="2" x14ac:dyDescent="0.25">
      <c r="A194" s="498"/>
      <c r="B194" s="128" t="str">
        <f>'Construction Budget'!B50</f>
        <v>Blank</v>
      </c>
      <c r="C194" s="34"/>
      <c r="D194" s="34"/>
      <c r="E194" s="34"/>
      <c r="F194" s="434">
        <f t="shared" si="232"/>
        <v>0</v>
      </c>
      <c r="G194" s="34"/>
      <c r="H194" s="427">
        <f>-IF(AND(H$11&gt;=EOMONTH('Construction Budget'!$K50,0),H$11&lt;=EOMONTH('Construction Budget'!$M50,0)),('Construction Budget'!$G50+SUM($G194:G194))/ROUND(((EOMONTH('Construction Budget'!$M50,0)-EOMONTH(H$11,0))/30)+1,0),0)</f>
        <v>0</v>
      </c>
      <c r="I194" s="427">
        <f>-IF(AND(I$11&gt;=EOMONTH('Construction Budget'!$K50,0),I$11&lt;=EOMONTH('Construction Budget'!$M50,0)),('Construction Budget'!$G50+SUM($G194:H194))/ROUND(((EOMONTH('Construction Budget'!$M50,0)-EOMONTH(I$11,0))/30)+1,0),0)</f>
        <v>0</v>
      </c>
      <c r="J194" s="427">
        <f>-IF(AND(J$11&gt;=EOMONTH('Construction Budget'!$K50,0),J$11&lt;=EOMONTH('Construction Budget'!$M50,0)),('Construction Budget'!$G50+SUM($G194:I194))/ROUND(((EOMONTH('Construction Budget'!$M50,0)-EOMONTH(J$11,0))/30)+1,0),0)</f>
        <v>0</v>
      </c>
      <c r="K194" s="427">
        <f>-IF(AND(K$11&gt;=EOMONTH('Construction Budget'!$K50,0),K$11&lt;=EOMONTH('Construction Budget'!$M50,0)),('Construction Budget'!$G50+SUM($G194:J194))/ROUND(((EOMONTH('Construction Budget'!$M50,0)-EOMONTH(K$11,0))/30)+1,0),0)</f>
        <v>0</v>
      </c>
      <c r="L194" s="427">
        <f>-IF(AND(L$11&gt;=EOMONTH('Construction Budget'!$K50,0),L$11&lt;=EOMONTH('Construction Budget'!$M50,0)),('Construction Budget'!$G50+SUM($G194:K194))/ROUND(((EOMONTH('Construction Budget'!$M50,0)-EOMONTH(L$11,0))/30)+1,0),0)</f>
        <v>0</v>
      </c>
      <c r="M194" s="427">
        <f>-IF(AND(M$11&gt;=EOMONTH('Construction Budget'!$K50,0),M$11&lt;=EOMONTH('Construction Budget'!$M50,0)),('Construction Budget'!$G50+SUM($G194:L194))/ROUND(((EOMONTH('Construction Budget'!$M50,0)-EOMONTH(M$11,0))/30)+1,0),0)</f>
        <v>0</v>
      </c>
      <c r="N194" s="427">
        <f>-IF(AND(N$11&gt;=EOMONTH('Construction Budget'!$K50,0),N$11&lt;=EOMONTH('Construction Budget'!$M50,0)),('Construction Budget'!$G50+SUM($G194:M194))/ROUND(((EOMONTH('Construction Budget'!$M50,0)-EOMONTH(N$11,0))/30)+1,0),0)</f>
        <v>0</v>
      </c>
      <c r="O194" s="427">
        <f>-IF(AND(O$11&gt;=EOMONTH('Construction Budget'!$K50,0),O$11&lt;=EOMONTH('Construction Budget'!$M50,0)),('Construction Budget'!$G50+SUM($G194:N194))/ROUND(((EOMONTH('Construction Budget'!$M50,0)-EOMONTH(O$11,0))/30)+1,0),0)</f>
        <v>0</v>
      </c>
      <c r="P194" s="427">
        <f>-IF(AND(P$11&gt;=EOMONTH('Construction Budget'!$K50,0),P$11&lt;=EOMONTH('Construction Budget'!$M50,0)),('Construction Budget'!$G50+SUM($G194:O194))/ROUND(((EOMONTH('Construction Budget'!$M50,0)-EOMONTH(P$11,0))/30)+1,0),0)</f>
        <v>0</v>
      </c>
      <c r="Q194" s="427">
        <f>-IF(AND(Q$11&gt;=EOMONTH('Construction Budget'!$K50,0),Q$11&lt;=EOMONTH('Construction Budget'!$M50,0)),('Construction Budget'!$G50+SUM($G194:P194))/ROUND(((EOMONTH('Construction Budget'!$M50,0)-EOMONTH(Q$11,0))/30)+1,0),0)</f>
        <v>0</v>
      </c>
      <c r="R194" s="427">
        <f>-IF(AND(R$11&gt;=EOMONTH('Construction Budget'!$K50,0),R$11&lt;=EOMONTH('Construction Budget'!$M50,0)),('Construction Budget'!$G50+SUM($G194:Q194))/ROUND(((EOMONTH('Construction Budget'!$M50,0)-EOMONTH(R$11,0))/30)+1,0),0)</f>
        <v>0</v>
      </c>
      <c r="S194" s="427">
        <f>-IF(AND(S$11&gt;=EOMONTH('Construction Budget'!$K50,0),S$11&lt;=EOMONTH('Construction Budget'!$M50,0)),('Construction Budget'!$G50+SUM($G194:R194))/ROUND(((EOMONTH('Construction Budget'!$M50,0)-EOMONTH(S$11,0))/30)+1,0),0)</f>
        <v>0</v>
      </c>
      <c r="T194" s="427">
        <f>-IF(AND(T$11&gt;=EOMONTH('Construction Budget'!$K50,0),T$11&lt;=EOMONTH('Construction Budget'!$M50,0)),('Construction Budget'!$G50+SUM($G194:S194))/ROUND(((EOMONTH('Construction Budget'!$M50,0)-EOMONTH(T$11,0))/30)+1,0),0)</f>
        <v>0</v>
      </c>
      <c r="U194" s="427">
        <f>-IF(AND(U$11&gt;=EOMONTH('Construction Budget'!$K50,0),U$11&lt;=EOMONTH('Construction Budget'!$M50,0)),('Construction Budget'!$G50+SUM($G194:T194))/ROUND(((EOMONTH('Construction Budget'!$M50,0)-EOMONTH(U$11,0))/30)+1,0),0)</f>
        <v>0</v>
      </c>
      <c r="V194" s="427">
        <f>-IF(AND(V$11&gt;=EOMONTH('Construction Budget'!$K50,0),V$11&lt;=EOMONTH('Construction Budget'!$M50,0)),('Construction Budget'!$G50+SUM($G194:U194))/ROUND(((EOMONTH('Construction Budget'!$M50,0)-EOMONTH(V$11,0))/30)+1,0),0)</f>
        <v>0</v>
      </c>
      <c r="W194" s="427">
        <f>-IF(AND(W$11&gt;=EOMONTH('Construction Budget'!$K50,0),W$11&lt;=EOMONTH('Construction Budget'!$M50,0)),('Construction Budget'!$G50+SUM($G194:V194))/ROUND(((EOMONTH('Construction Budget'!$M50,0)-EOMONTH(W$11,0))/30)+1,0),0)</f>
        <v>0</v>
      </c>
      <c r="X194" s="427">
        <f>-IF(AND(X$11&gt;=EOMONTH('Construction Budget'!$K50,0),X$11&lt;=EOMONTH('Construction Budget'!$M50,0)),('Construction Budget'!$G50+SUM($G194:W194))/ROUND(((EOMONTH('Construction Budget'!$M50,0)-EOMONTH(X$11,0))/30)+1,0),0)</f>
        <v>0</v>
      </c>
      <c r="Y194" s="427">
        <f>-IF(AND(Y$11&gt;=EOMONTH('Construction Budget'!$K50,0),Y$11&lt;=EOMONTH('Construction Budget'!$M50,0)),('Construction Budget'!$G50+SUM($G194:X194))/ROUND(((EOMONTH('Construction Budget'!$M50,0)-EOMONTH(Y$11,0))/30)+1,0),0)</f>
        <v>0</v>
      </c>
      <c r="Z194" s="427">
        <f>-IF(AND(Z$11&gt;=EOMONTH('Construction Budget'!$K50,0),Z$11&lt;=EOMONTH('Construction Budget'!$M50,0)),('Construction Budget'!$G50+SUM($G194:Y194))/ROUND(((EOMONTH('Construction Budget'!$M50,0)-EOMONTH(Z$11,0))/30)+1,0),0)</f>
        <v>0</v>
      </c>
      <c r="AA194" s="427">
        <f>-IF(AND(AA$11&gt;=EOMONTH('Construction Budget'!$K50,0),AA$11&lt;=EOMONTH('Construction Budget'!$M50,0)),('Construction Budget'!$G50+SUM($G194:Z194))/ROUND(((EOMONTH('Construction Budget'!$M50,0)-EOMONTH(AA$11,0))/30)+1,0),0)</f>
        <v>0</v>
      </c>
      <c r="AB194" s="427">
        <f>-IF(AND(AB$11&gt;=EOMONTH('Construction Budget'!$K50,0),AB$11&lt;=EOMONTH('Construction Budget'!$M50,0)),('Construction Budget'!$G50+SUM($G194:AA194))/ROUND(((EOMONTH('Construction Budget'!$M50,0)-EOMONTH(AB$11,0))/30)+1,0),0)</f>
        <v>0</v>
      </c>
      <c r="AC194" s="427">
        <f>-IF(AND(AC$11&gt;=EOMONTH('Construction Budget'!$K50,0),AC$11&lt;=EOMONTH('Construction Budget'!$M50,0)),('Construction Budget'!$G50+SUM($G194:AB194))/ROUND(((EOMONTH('Construction Budget'!$M50,0)-EOMONTH(AC$11,0))/30)+1,0),0)</f>
        <v>0</v>
      </c>
      <c r="AD194" s="427">
        <f>-IF(AND(AD$11&gt;=EOMONTH('Construction Budget'!$K50,0),AD$11&lt;=EOMONTH('Construction Budget'!$M50,0)),('Construction Budget'!$G50+SUM($G194:AC194))/ROUND(((EOMONTH('Construction Budget'!$M50,0)-EOMONTH(AD$11,0))/30)+1,0),0)</f>
        <v>0</v>
      </c>
      <c r="AE194" s="427">
        <f>-IF(AND(AE$11&gt;=EOMONTH('Construction Budget'!$K50,0),AE$11&lt;=EOMONTH('Construction Budget'!$M50,0)),('Construction Budget'!$G50+SUM($G194:AD194))/ROUND(((EOMONTH('Construction Budget'!$M50,0)-EOMONTH(AE$11,0))/30)+1,0),0)</f>
        <v>0</v>
      </c>
      <c r="AF194" s="427">
        <f>-IF(AND(AF$11&gt;=EOMONTH('Construction Budget'!$K50,0),AF$11&lt;=EOMONTH('Construction Budget'!$M50,0)),('Construction Budget'!$G50+SUM($G194:AE194))/ROUND(((EOMONTH('Construction Budget'!$M50,0)-EOMONTH(AF$11,0))/30)+1,0),0)</f>
        <v>0</v>
      </c>
      <c r="AG194" s="427">
        <f>-IF(AND(AG$11&gt;=EOMONTH('Construction Budget'!$K50,0),AG$11&lt;=EOMONTH('Construction Budget'!$M50,0)),('Construction Budget'!$G50+SUM($G194:AF194))/ROUND(((EOMONTH('Construction Budget'!$M50,0)-EOMONTH(AG$11,0))/30)+1,0),0)</f>
        <v>0</v>
      </c>
      <c r="AH194" s="427">
        <f>-IF(AND(AH$11&gt;=EOMONTH('Construction Budget'!$K50,0),AH$11&lt;=EOMONTH('Construction Budget'!$M50,0)),('Construction Budget'!$G50+SUM($G194:AG194))/ROUND(((EOMONTH('Construction Budget'!$M50,0)-EOMONTH(AH$11,0))/30)+1,0),0)</f>
        <v>0</v>
      </c>
      <c r="AI194" s="427">
        <f>-IF(AND(AI$11&gt;=EOMONTH('Construction Budget'!$K50,0),AI$11&lt;=EOMONTH('Construction Budget'!$M50,0)),('Construction Budget'!$G50+SUM($G194:AH194))/ROUND(((EOMONTH('Construction Budget'!$M50,0)-EOMONTH(AI$11,0))/30)+1,0),0)</f>
        <v>0</v>
      </c>
      <c r="AJ194" s="427">
        <f>-IF(AND(AJ$11&gt;=EOMONTH('Construction Budget'!$K50,0),AJ$11&lt;=EOMONTH('Construction Budget'!$M50,0)),('Construction Budget'!$G50+SUM($G194:AI194))/ROUND(((EOMONTH('Construction Budget'!$M50,0)-EOMONTH(AJ$11,0))/30)+1,0),0)</f>
        <v>0</v>
      </c>
      <c r="AK194" s="427">
        <f>-IF(AND(AK$11&gt;=EOMONTH('Construction Budget'!$K50,0),AK$11&lt;=EOMONTH('Construction Budget'!$M50,0)),('Construction Budget'!$G50+SUM($G194:AJ194))/ROUND(((EOMONTH('Construction Budget'!$M50,0)-EOMONTH(AK$11,0))/30)+1,0),0)</f>
        <v>0</v>
      </c>
      <c r="AL194" s="427">
        <f>-IF(AND(AL$11&gt;=EOMONTH('Construction Budget'!$K50,0),AL$11&lt;=EOMONTH('Construction Budget'!$M50,0)),('Construction Budget'!$G50+SUM($G194:AK194))/ROUND(((EOMONTH('Construction Budget'!$M50,0)-EOMONTH(AL$11,0))/30)+1,0),0)</f>
        <v>0</v>
      </c>
      <c r="AM194" s="427">
        <f>-IF(AND(AM$11&gt;=EOMONTH('Construction Budget'!$K50,0),AM$11&lt;=EOMONTH('Construction Budget'!$M50,0)),('Construction Budget'!$G50+SUM($G194:AL194))/ROUND(((EOMONTH('Construction Budget'!$M50,0)-EOMONTH(AM$11,0))/30)+1,0),0)</f>
        <v>0</v>
      </c>
      <c r="AN194" s="427">
        <f>-IF(AND(AN$11&gt;=EOMONTH('Construction Budget'!$K50,0),AN$11&lt;=EOMONTH('Construction Budget'!$M50,0)),('Construction Budget'!$G50+SUM($G194:AM194))/ROUND(((EOMONTH('Construction Budget'!$M50,0)-EOMONTH(AN$11,0))/30)+1,0),0)</f>
        <v>0</v>
      </c>
      <c r="AO194" s="427">
        <f>-IF(AND(AO$11&gt;=EOMONTH('Construction Budget'!$K50,0),AO$11&lt;=EOMONTH('Construction Budget'!$M50,0)),('Construction Budget'!$G50+SUM($G194:AN194))/ROUND(((EOMONTH('Construction Budget'!$M50,0)-EOMONTH(AO$11,0))/30)+1,0),0)</f>
        <v>0</v>
      </c>
      <c r="AP194" s="427">
        <f>-IF(AND(AP$11&gt;=EOMONTH('Construction Budget'!$K50,0),AP$11&lt;=EOMONTH('Construction Budget'!$M50,0)),('Construction Budget'!$G50+SUM($G194:AO194))/ROUND(((EOMONTH('Construction Budget'!$M50,0)-EOMONTH(AP$11,0))/30)+1,0),0)</f>
        <v>0</v>
      </c>
      <c r="AQ194" s="427">
        <f>-IF(AND(AQ$11&gt;=EOMONTH('Construction Budget'!$K50,0),AQ$11&lt;=EOMONTH('Construction Budget'!$M50,0)),('Construction Budget'!$G50+SUM($G194:AP194))/ROUND(((EOMONTH('Construction Budget'!$M50,0)-EOMONTH(AQ$11,0))/30)+1,0),0)</f>
        <v>0</v>
      </c>
      <c r="AR194" s="427">
        <f>-IF(AND(AR$11&gt;=EOMONTH('Construction Budget'!$K50,0),AR$11&lt;=EOMONTH('Construction Budget'!$M50,0)),('Construction Budget'!$G50+SUM($G194:AQ194))/ROUND(((EOMONTH('Construction Budget'!$M50,0)-EOMONTH(AR$11,0))/30)+1,0),0)</f>
        <v>0</v>
      </c>
      <c r="AS194" s="427">
        <f>-IF(AND(AS$11&gt;=EOMONTH('Construction Budget'!$K50,0),AS$11&lt;=EOMONTH('Construction Budget'!$M50,0)),('Construction Budget'!$G50+SUM($G194:AR194))/ROUND(((EOMONTH('Construction Budget'!$M50,0)-EOMONTH(AS$11,0))/30)+1,0),0)</f>
        <v>0</v>
      </c>
      <c r="AT194" s="427">
        <f>-IF(AND(AT$11&gt;=EOMONTH('Construction Budget'!$K50,0),AT$11&lt;=EOMONTH('Construction Budget'!$M50,0)),('Construction Budget'!$G50+SUM($G194:AS194))/ROUND(((EOMONTH('Construction Budget'!$M50,0)-EOMONTH(AT$11,0))/30)+1,0),0)</f>
        <v>0</v>
      </c>
      <c r="AU194" s="427">
        <f>-IF(AND(AU$11&gt;=EOMONTH('Construction Budget'!$K50,0),AU$11&lt;=EOMONTH('Construction Budget'!$M50,0)),('Construction Budget'!$G50+SUM($G194:AT194))/ROUND(((EOMONTH('Construction Budget'!$M50,0)-EOMONTH(AU$11,0))/30)+1,0),0)</f>
        <v>0</v>
      </c>
      <c r="AV194" s="427">
        <f>-IF(AND(AV$11&gt;=EOMONTH('Construction Budget'!$K50,0),AV$11&lt;=EOMONTH('Construction Budget'!$M50,0)),('Construction Budget'!$G50+SUM($G194:AU194))/ROUND(((EOMONTH('Construction Budget'!$M50,0)-EOMONTH(AV$11,0))/30)+1,0),0)</f>
        <v>0</v>
      </c>
      <c r="AW194" s="427">
        <f>-IF(AND(AW$11&gt;=EOMONTH('Construction Budget'!$K50,0),AW$11&lt;=EOMONTH('Construction Budget'!$M50,0)),('Construction Budget'!$G50+SUM($G194:AV194))/ROUND(((EOMONTH('Construction Budget'!$M50,0)-EOMONTH(AW$11,0))/30)+1,0),0)</f>
        <v>0</v>
      </c>
      <c r="AX194" s="427">
        <f>-IF(AND(AX$11&gt;=EOMONTH('Construction Budget'!$K50,0),AX$11&lt;=EOMONTH('Construction Budget'!$M50,0)),('Construction Budget'!$G50+SUM($G194:AW194))/ROUND(((EOMONTH('Construction Budget'!$M50,0)-EOMONTH(AX$11,0))/30)+1,0),0)</f>
        <v>0</v>
      </c>
      <c r="AY194" s="427">
        <f>-IF(AND(AY$11&gt;=EOMONTH('Construction Budget'!$K50,0),AY$11&lt;=EOMONTH('Construction Budget'!$M50,0)),('Construction Budget'!$G50+SUM($G194:AX194))/ROUND(((EOMONTH('Construction Budget'!$M50,0)-EOMONTH(AY$11,0))/30)+1,0),0)</f>
        <v>0</v>
      </c>
      <c r="AZ194" s="427">
        <f>-IF(AND(AZ$11&gt;=EOMONTH('Construction Budget'!$K50,0),AZ$11&lt;=EOMONTH('Construction Budget'!$M50,0)),('Construction Budget'!$G50+SUM($G194:AY194))/ROUND(((EOMONTH('Construction Budget'!$M50,0)-EOMONTH(AZ$11,0))/30)+1,0),0)</f>
        <v>0</v>
      </c>
      <c r="BA194" s="427">
        <f>-IF(AND(BA$11&gt;=EOMONTH('Construction Budget'!$K50,0),BA$11&lt;=EOMONTH('Construction Budget'!$M50,0)),('Construction Budget'!$G50+SUM($G194:AZ194))/ROUND(((EOMONTH('Construction Budget'!$M50,0)-EOMONTH(BA$11,0))/30)+1,0),0)</f>
        <v>0</v>
      </c>
      <c r="BB194" s="427">
        <f>-IF(AND(BB$11&gt;=EOMONTH('Construction Budget'!$K50,0),BB$11&lt;=EOMONTH('Construction Budget'!$M50,0)),('Construction Budget'!$G50+SUM($G194:BA194))/ROUND(((EOMONTH('Construction Budget'!$M50,0)-EOMONTH(BB$11,0))/30)+1,0),0)</f>
        <v>0</v>
      </c>
      <c r="BC194" s="427">
        <f>-IF(AND(BC$11&gt;=EOMONTH('Construction Budget'!$K50,0),BC$11&lt;=EOMONTH('Construction Budget'!$M50,0)),('Construction Budget'!$G50+SUM($G194:BB194))/ROUND(((EOMONTH('Construction Budget'!$M50,0)-EOMONTH(BC$11,0))/30)+1,0),0)</f>
        <v>0</v>
      </c>
      <c r="BD194" s="427">
        <f>-IF(AND(BD$11&gt;=EOMONTH('Construction Budget'!$K50,0),BD$11&lt;=EOMONTH('Construction Budget'!$M50,0)),('Construction Budget'!$G50+SUM($G194:BC194))/ROUND(((EOMONTH('Construction Budget'!$M50,0)-EOMONTH(BD$11,0))/30)+1,0),0)</f>
        <v>0</v>
      </c>
      <c r="BE194" s="427">
        <f>-IF(AND(BE$11&gt;=EOMONTH('Construction Budget'!$K50,0),BE$11&lt;=EOMONTH('Construction Budget'!$M50,0)),('Construction Budget'!$G50+SUM($G194:BD194))/ROUND(((EOMONTH('Construction Budget'!$M50,0)-EOMONTH(BE$11,0))/30)+1,0),0)</f>
        <v>0</v>
      </c>
      <c r="BF194" s="427">
        <f>-IF(AND(BF$11&gt;=EOMONTH('Construction Budget'!$K50,0),BF$11&lt;=EOMONTH('Construction Budget'!$M50,0)),('Construction Budget'!$G50+SUM($G194:BE194))/ROUND(((EOMONTH('Construction Budget'!$M50,0)-EOMONTH(BF$11,0))/30)+1,0),0)</f>
        <v>0</v>
      </c>
      <c r="BG194" s="427">
        <f>-IF(AND(BG$11&gt;=EOMONTH('Construction Budget'!$K50,0),BG$11&lt;=EOMONTH('Construction Budget'!$M50,0)),('Construction Budget'!$G50+SUM($G194:BF194))/ROUND(((EOMONTH('Construction Budget'!$M50,0)-EOMONTH(BG$11,0))/30)+1,0),0)</f>
        <v>0</v>
      </c>
      <c r="BH194" s="427">
        <f>-IF(AND(BH$11&gt;=EOMONTH('Construction Budget'!$K50,0),BH$11&lt;=EOMONTH('Construction Budget'!$M50,0)),('Construction Budget'!$G50+SUM($G194:BG194))/ROUND(((EOMONTH('Construction Budget'!$M50,0)-EOMONTH(BH$11,0))/30)+1,0),0)</f>
        <v>0</v>
      </c>
      <c r="BI194" s="427">
        <f>-IF(AND(BI$11&gt;=EOMONTH('Construction Budget'!$K50,0),BI$11&lt;=EOMONTH('Construction Budget'!$M50,0)),('Construction Budget'!$G50+SUM($G194:BH194))/ROUND(((EOMONTH('Construction Budget'!$M50,0)-EOMONTH(BI$11,0))/30)+1,0),0)</f>
        <v>0</v>
      </c>
      <c r="BJ194" s="427">
        <f>-IF(AND(BJ$11&gt;=EOMONTH('Construction Budget'!$K50,0),BJ$11&lt;=EOMONTH('Construction Budget'!$M50,0)),('Construction Budget'!$G50+SUM($G194:BI194))/ROUND(((EOMONTH('Construction Budget'!$M50,0)-EOMONTH(BJ$11,0))/30)+1,0),0)</f>
        <v>0</v>
      </c>
      <c r="BK194" s="427">
        <f>-IF(AND(BK$11&gt;=EOMONTH('Construction Budget'!$K50,0),BK$11&lt;=EOMONTH('Construction Budget'!$M50,0)),('Construction Budget'!$G50+SUM($G194:BJ194))/ROUND(((EOMONTH('Construction Budget'!$M50,0)-EOMONTH(BK$11,0))/30)+1,0),0)</f>
        <v>0</v>
      </c>
      <c r="BL194" s="427">
        <f>-IF(AND(BL$11&gt;=EOMONTH('Construction Budget'!$K50,0),BL$11&lt;=EOMONTH('Construction Budget'!$M50,0)),('Construction Budget'!$G50+SUM($G194:BK194))/ROUND(((EOMONTH('Construction Budget'!$M50,0)-EOMONTH(BL$11,0))/30)+1,0),0)</f>
        <v>0</v>
      </c>
      <c r="BM194" s="427">
        <f>-IF(AND(BM$11&gt;=EOMONTH('Construction Budget'!$K50,0),BM$11&lt;=EOMONTH('Construction Budget'!$M50,0)),('Construction Budget'!$G50+SUM($G194:BL194))/ROUND(((EOMONTH('Construction Budget'!$M50,0)-EOMONTH(BM$11,0))/30)+1,0),0)</f>
        <v>0</v>
      </c>
      <c r="BN194" s="427">
        <f>-IF(AND(BN$11&gt;=EOMONTH('Construction Budget'!$K50,0),BN$11&lt;=EOMONTH('Construction Budget'!$M50,0)),('Construction Budget'!$G50+SUM($G194:BM194))/ROUND(((EOMONTH('Construction Budget'!$M50,0)-EOMONTH(BN$11,0))/30)+1,0),0)</f>
        <v>0</v>
      </c>
      <c r="BO194" s="427">
        <f>-IF(AND(BO$11&gt;=EOMONTH('Construction Budget'!$K50,0),BO$11&lt;=EOMONTH('Construction Budget'!$M50,0)),('Construction Budget'!$G50+SUM($G194:BN194))/ROUND(((EOMONTH('Construction Budget'!$M50,0)-EOMONTH(BO$11,0))/30)+1,0),0)</f>
        <v>0</v>
      </c>
      <c r="BP194" s="427">
        <f>-IF(AND(BP$11&gt;=EOMONTH('Construction Budget'!$K50,0),BP$11&lt;=EOMONTH('Construction Budget'!$M50,0)),('Construction Budget'!$G50+SUM($G194:BO194))/ROUND(((EOMONTH('Construction Budget'!$M50,0)-EOMONTH(BP$11,0))/30)+1,0),0)</f>
        <v>0</v>
      </c>
      <c r="BQ194" s="427">
        <f>-IF(AND(BQ$11&gt;=EOMONTH('Construction Budget'!$K50,0),BQ$11&lt;=EOMONTH('Construction Budget'!$M50,0)),('Construction Budget'!$G50+SUM($G194:BP194))/ROUND(((EOMONTH('Construction Budget'!$M50,0)-EOMONTH(BQ$11,0))/30)+1,0),0)</f>
        <v>0</v>
      </c>
      <c r="BR194" s="427">
        <f>-IF(AND(BR$11&gt;=EOMONTH('Construction Budget'!$K50,0),BR$11&lt;=EOMONTH('Construction Budget'!$M50,0)),('Construction Budget'!$G50+SUM($G194:BQ194))/ROUND(((EOMONTH('Construction Budget'!$M50,0)-EOMONTH(BR$11,0))/30)+1,0),0)</f>
        <v>0</v>
      </c>
      <c r="BS194" s="427">
        <f>-IF(AND(BS$11&gt;=EOMONTH('Construction Budget'!$K50,0),BS$11&lt;=EOMONTH('Construction Budget'!$M50,0)),('Construction Budget'!$G50+SUM($G194:BR194))/ROUND(((EOMONTH('Construction Budget'!$M50,0)-EOMONTH(BS$11,0))/30)+1,0),0)</f>
        <v>0</v>
      </c>
      <c r="BT194" s="427">
        <f>-IF(AND(BT$11&gt;=EOMONTH('Construction Budget'!$K50,0),BT$11&lt;=EOMONTH('Construction Budget'!$M50,0)),('Construction Budget'!$G50+SUM($G194:BS194))/ROUND(((EOMONTH('Construction Budget'!$M50,0)-EOMONTH(BT$11,0))/30)+1,0),0)</f>
        <v>0</v>
      </c>
      <c r="BU194" s="427">
        <f>-IF(AND(BU$11&gt;=EOMONTH('Construction Budget'!$K50,0),BU$11&lt;=EOMONTH('Construction Budget'!$M50,0)),('Construction Budget'!$G50+SUM($G194:BT194))/ROUND(((EOMONTH('Construction Budget'!$M50,0)-EOMONTH(BU$11,0))/30)+1,0),0)</f>
        <v>0</v>
      </c>
      <c r="BV194" s="427">
        <f>-IF(AND(BV$11&gt;=EOMONTH('Construction Budget'!$K50,0),BV$11&lt;=EOMONTH('Construction Budget'!$M50,0)),('Construction Budget'!$G50+SUM($G194:BU194))/ROUND(((EOMONTH('Construction Budget'!$M50,0)-EOMONTH(BV$11,0))/30)+1,0),0)</f>
        <v>0</v>
      </c>
      <c r="BW194" s="427">
        <f>-IF(AND(BW$11&gt;=EOMONTH('Construction Budget'!$K50,0),BW$11&lt;=EOMONTH('Construction Budget'!$M50,0)),('Construction Budget'!$G50+SUM($G194:BV194))/ROUND(((EOMONTH('Construction Budget'!$M50,0)-EOMONTH(BW$11,0))/30)+1,0),0)</f>
        <v>0</v>
      </c>
      <c r="BX194" s="427">
        <f>-IF(AND(BX$11&gt;=EOMONTH('Construction Budget'!$K50,0),BX$11&lt;=EOMONTH('Construction Budget'!$M50,0)),('Construction Budget'!$G50+SUM($G194:BW194))/ROUND(((EOMONTH('Construction Budget'!$M50,0)-EOMONTH(BX$11,0))/30)+1,0),0)</f>
        <v>0</v>
      </c>
      <c r="BY194" s="427">
        <f>-IF(AND(BY$11&gt;=EOMONTH('Construction Budget'!$K50,0),BY$11&lt;=EOMONTH('Construction Budget'!$M50,0)),('Construction Budget'!$G50+SUM($G194:BX194))/ROUND(((EOMONTH('Construction Budget'!$M50,0)-EOMONTH(BY$11,0))/30)+1,0),0)</f>
        <v>0</v>
      </c>
      <c r="BZ194" s="427">
        <f>-IF(AND(BZ$11&gt;=EOMONTH('Construction Budget'!$K50,0),BZ$11&lt;=EOMONTH('Construction Budget'!$M50,0)),('Construction Budget'!$G50+SUM($G194:BY194))/ROUND(((EOMONTH('Construction Budget'!$M50,0)-EOMONTH(BZ$11,0))/30)+1,0),0)</f>
        <v>0</v>
      </c>
      <c r="CA194" s="427">
        <f>-IF(AND(CA$11&gt;=EOMONTH('Construction Budget'!$K50,0),CA$11&lt;=EOMONTH('Construction Budget'!$M50,0)),('Construction Budget'!$G50+SUM($G194:BZ194))/ROUND(((EOMONTH('Construction Budget'!$M50,0)-EOMONTH(CA$11,0))/30)+1,0),0)</f>
        <v>0</v>
      </c>
      <c r="CB194" s="427">
        <f>-IF(AND(CB$11&gt;=EOMONTH('Construction Budget'!$K50,0),CB$11&lt;=EOMONTH('Construction Budget'!$M50,0)),('Construction Budget'!$G50+SUM($G194:CA194))/ROUND(((EOMONTH('Construction Budget'!$M50,0)-EOMONTH(CB$11,0))/30)+1,0),0)</f>
        <v>0</v>
      </c>
      <c r="CC194" s="427">
        <f>-IF(AND(CC$11&gt;=EOMONTH('Construction Budget'!$K50,0),CC$11&lt;=EOMONTH('Construction Budget'!$M50,0)),('Construction Budget'!$G50+SUM($G194:CB194))/ROUND(((EOMONTH('Construction Budget'!$M50,0)-EOMONTH(CC$11,0))/30)+1,0),0)</f>
        <v>0</v>
      </c>
      <c r="CD194" s="427">
        <f>-IF(AND(CD$11&gt;=EOMONTH('Construction Budget'!$K50,0),CD$11&lt;=EOMONTH('Construction Budget'!$M50,0)),('Construction Budget'!$G50+SUM($G194:CC194))/ROUND(((EOMONTH('Construction Budget'!$M50,0)-EOMONTH(CD$11,0))/30)+1,0),0)</f>
        <v>0</v>
      </c>
      <c r="CE194" s="427">
        <f>-IF(AND(CE$11&gt;=EOMONTH('Construction Budget'!$K50,0),CE$11&lt;=EOMONTH('Construction Budget'!$M50,0)),('Construction Budget'!$G50+SUM($G194:CD194))/ROUND(((EOMONTH('Construction Budget'!$M50,0)-EOMONTH(CE$11,0))/30)+1,0),0)</f>
        <v>0</v>
      </c>
      <c r="CF194" s="427">
        <f>-IF(AND(CF$11&gt;=EOMONTH('Construction Budget'!$K50,0),CF$11&lt;=EOMONTH('Construction Budget'!$M50,0)),('Construction Budget'!$G50+SUM($G194:CE194))/ROUND(((EOMONTH('Construction Budget'!$M50,0)-EOMONTH(CF$11,0))/30)+1,0),0)</f>
        <v>0</v>
      </c>
      <c r="CG194" s="427">
        <f>-IF(AND(CG$11&gt;=EOMONTH('Construction Budget'!$K50,0),CG$11&lt;=EOMONTH('Construction Budget'!$M50,0)),('Construction Budget'!$G50+SUM($G194:CF194))/ROUND(((EOMONTH('Construction Budget'!$M50,0)-EOMONTH(CG$11,0))/30)+1,0),0)</f>
        <v>0</v>
      </c>
      <c r="CH194" s="427">
        <f>-IF(AND(CH$11&gt;=EOMONTH('Construction Budget'!$K50,0),CH$11&lt;=EOMONTH('Construction Budget'!$M50,0)),('Construction Budget'!$G50+SUM($G194:CG194))/ROUND(((EOMONTH('Construction Budget'!$M50,0)-EOMONTH(CH$11,0))/30)+1,0),0)</f>
        <v>0</v>
      </c>
      <c r="CI194" s="427">
        <f>-IF(AND(CI$11&gt;=EOMONTH('Construction Budget'!$K50,0),CI$11&lt;=EOMONTH('Construction Budget'!$M50,0)),('Construction Budget'!$G50+SUM($G194:CH194))/ROUND(((EOMONTH('Construction Budget'!$M50,0)-EOMONTH(CI$11,0))/30)+1,0),0)</f>
        <v>0</v>
      </c>
      <c r="CJ194" s="427">
        <f>-IF(AND(CJ$11&gt;=EOMONTH('Construction Budget'!$K50,0),CJ$11&lt;=EOMONTH('Construction Budget'!$M50,0)),('Construction Budget'!$G50+SUM($G194:CI194))/ROUND(((EOMONTH('Construction Budget'!$M50,0)-EOMONTH(CJ$11,0))/30)+1,0),0)</f>
        <v>0</v>
      </c>
      <c r="CK194" s="427">
        <f>-IF(AND(CK$11&gt;=EOMONTH('Construction Budget'!$K50,0),CK$11&lt;=EOMONTH('Construction Budget'!$M50,0)),('Construction Budget'!$G50+SUM($G194:CJ194))/ROUND(((EOMONTH('Construction Budget'!$M50,0)-EOMONTH(CK$11,0))/30)+1,0),0)</f>
        <v>0</v>
      </c>
      <c r="CL194" s="427">
        <f>-IF(AND(CL$11&gt;=EOMONTH('Construction Budget'!$K50,0),CL$11&lt;=EOMONTH('Construction Budget'!$M50,0)),('Construction Budget'!$G50+SUM($G194:CK194))/ROUND(((EOMONTH('Construction Budget'!$M50,0)-EOMONTH(CL$11,0))/30)+1,0),0)</f>
        <v>0</v>
      </c>
      <c r="CM194" s="427">
        <f>-IF(AND(CM$11&gt;=EOMONTH('Construction Budget'!$K50,0),CM$11&lt;=EOMONTH('Construction Budget'!$M50,0)),('Construction Budget'!$G50+SUM($G194:CL194))/ROUND(((EOMONTH('Construction Budget'!$M50,0)-EOMONTH(CM$11,0))/30)+1,0),0)</f>
        <v>0</v>
      </c>
      <c r="CN194" s="427">
        <f>-IF(AND(CN$11&gt;=EOMONTH('Construction Budget'!$K50,0),CN$11&lt;=EOMONTH('Construction Budget'!$M50,0)),('Construction Budget'!$G50+SUM($G194:CM194))/ROUND(((EOMONTH('Construction Budget'!$M50,0)-EOMONTH(CN$11,0))/30)+1,0),0)</f>
        <v>0</v>
      </c>
      <c r="CO194" s="427">
        <f>-IF(AND(CO$11&gt;=EOMONTH('Construction Budget'!$K50,0),CO$11&lt;=EOMONTH('Construction Budget'!$M50,0)),('Construction Budget'!$G50+SUM($G194:CN194))/ROUND(((EOMONTH('Construction Budget'!$M50,0)-EOMONTH(CO$11,0))/30)+1,0),0)</f>
        <v>0</v>
      </c>
      <c r="CP194" s="427">
        <f>-IF(AND(CP$11&gt;=EOMONTH('Construction Budget'!$K50,0),CP$11&lt;=EOMONTH('Construction Budget'!$M50,0)),('Construction Budget'!$G50+SUM($G194:CO194))/ROUND(((EOMONTH('Construction Budget'!$M50,0)-EOMONTH(CP$11,0))/30)+1,0),0)</f>
        <v>0</v>
      </c>
      <c r="CQ194" s="427">
        <f>-IF(AND(CQ$11&gt;=EOMONTH('Construction Budget'!$K50,0),CQ$11&lt;=EOMONTH('Construction Budget'!$M50,0)),('Construction Budget'!$G50+SUM($G194:CP194))/ROUND(((EOMONTH('Construction Budget'!$M50,0)-EOMONTH(CQ$11,0))/30)+1,0),0)</f>
        <v>0</v>
      </c>
      <c r="CR194" s="427">
        <f>-IF(AND(CR$11&gt;=EOMONTH('Construction Budget'!$K50,0),CR$11&lt;=EOMONTH('Construction Budget'!$M50,0)),('Construction Budget'!$G50+SUM($G194:CQ194))/ROUND(((EOMONTH('Construction Budget'!$M50,0)-EOMONTH(CR$11,0))/30)+1,0),0)</f>
        <v>0</v>
      </c>
      <c r="CS194" s="427">
        <f>-IF(AND(CS$11&gt;=EOMONTH('Construction Budget'!$K50,0),CS$11&lt;=EOMONTH('Construction Budget'!$M50,0)),('Construction Budget'!$G50+SUM($G194:CR194))/ROUND(((EOMONTH('Construction Budget'!$M50,0)-EOMONTH(CS$11,0))/30)+1,0),0)</f>
        <v>0</v>
      </c>
      <c r="CT194" s="427">
        <f>-IF(AND(CT$11&gt;=EOMONTH('Construction Budget'!$K50,0),CT$11&lt;=EOMONTH('Construction Budget'!$M50,0)),('Construction Budget'!$G50+SUM($G194:CS194))/ROUND(((EOMONTH('Construction Budget'!$M50,0)-EOMONTH(CT$11,0))/30)+1,0),0)</f>
        <v>0</v>
      </c>
      <c r="CU194" s="427">
        <f>-IF(AND(CU$11&gt;=EOMONTH('Construction Budget'!$K50,0),CU$11&lt;=EOMONTH('Construction Budget'!$M50,0)),('Construction Budget'!$G50+SUM($G194:CT194))/ROUND(((EOMONTH('Construction Budget'!$M50,0)-EOMONTH(CU$11,0))/30)+1,0),0)</f>
        <v>0</v>
      </c>
      <c r="CV194" s="427">
        <f>-IF(AND(CV$11&gt;=EOMONTH('Construction Budget'!$K50,0),CV$11&lt;=EOMONTH('Construction Budget'!$M50,0)),('Construction Budget'!$G50+SUM($G194:CU194))/ROUND(((EOMONTH('Construction Budget'!$M50,0)-EOMONTH(CV$11,0))/30)+1,0),0)</f>
        <v>0</v>
      </c>
      <c r="CW194" s="427">
        <f>-IF(AND(CW$11&gt;=EOMONTH('Construction Budget'!$K50,0),CW$11&lt;=EOMONTH('Construction Budget'!$M50,0)),('Construction Budget'!$G50+SUM($G194:CV194))/ROUND(((EOMONTH('Construction Budget'!$M50,0)-EOMONTH(CW$11,0))/30)+1,0),0)</f>
        <v>0</v>
      </c>
      <c r="CX194" s="427">
        <f>-IF(AND(CX$11&gt;=EOMONTH('Construction Budget'!$K50,0),CX$11&lt;=EOMONTH('Construction Budget'!$M50,0)),('Construction Budget'!$G50+SUM($G194:CW194))/ROUND(((EOMONTH('Construction Budget'!$M50,0)-EOMONTH(CX$11,0))/30)+1,0),0)</f>
        <v>0</v>
      </c>
      <c r="CY194" s="427">
        <f>-IF(AND(CY$11&gt;=EOMONTH('Construction Budget'!$K50,0),CY$11&lt;=EOMONTH('Construction Budget'!$M50,0)),('Construction Budget'!$G50+SUM($G194:CX194))/ROUND(((EOMONTH('Construction Budget'!$M50,0)-EOMONTH(CY$11,0))/30)+1,0),0)</f>
        <v>0</v>
      </c>
      <c r="CZ194" s="427">
        <f>-IF(AND(CZ$11&gt;=EOMONTH('Construction Budget'!$K50,0),CZ$11&lt;=EOMONTH('Construction Budget'!$M50,0)),('Construction Budget'!$G50+SUM($G194:CY194))/ROUND(((EOMONTH('Construction Budget'!$M50,0)-EOMONTH(CZ$11,0))/30)+1,0),0)</f>
        <v>0</v>
      </c>
      <c r="DA194" s="427">
        <f>-IF(AND(DA$11&gt;=EOMONTH('Construction Budget'!$K50,0),DA$11&lt;=EOMONTH('Construction Budget'!$M50,0)),('Construction Budget'!$G50+SUM($G194:CZ194))/ROUND(((EOMONTH('Construction Budget'!$M50,0)-EOMONTH(DA$11,0))/30)+1,0),0)</f>
        <v>0</v>
      </c>
      <c r="DB194" s="427">
        <f>-IF(AND(DB$11&gt;=EOMONTH('Construction Budget'!$K50,0),DB$11&lt;=EOMONTH('Construction Budget'!$M50,0)),('Construction Budget'!$G50+SUM($G194:DA194))/ROUND(((EOMONTH('Construction Budget'!$M50,0)-EOMONTH(DB$11,0))/30)+1,0),0)</f>
        <v>0</v>
      </c>
      <c r="DC194" s="427">
        <f>-IF(AND(DC$11&gt;=EOMONTH('Construction Budget'!$K50,0),DC$11&lt;=EOMONTH('Construction Budget'!$M50,0)),('Construction Budget'!$G50+SUM($G194:DB194))/ROUND(((EOMONTH('Construction Budget'!$M50,0)-EOMONTH(DC$11,0))/30)+1,0),0)</f>
        <v>0</v>
      </c>
      <c r="DD194" s="427">
        <f>-IF(AND(DD$11&gt;=EOMONTH('Construction Budget'!$K50,0),DD$11&lt;=EOMONTH('Construction Budget'!$M50,0)),('Construction Budget'!$G50+SUM($G194:DC194))/ROUND(((EOMONTH('Construction Budget'!$M50,0)-EOMONTH(DD$11,0))/30)+1,0),0)</f>
        <v>0</v>
      </c>
      <c r="DE194" s="427">
        <f>-IF(AND(DE$11&gt;=EOMONTH('Construction Budget'!$K50,0),DE$11&lt;=EOMONTH('Construction Budget'!$M50,0)),('Construction Budget'!$G50+SUM($G194:DD194))/ROUND(((EOMONTH('Construction Budget'!$M50,0)-EOMONTH(DE$11,0))/30)+1,0),0)</f>
        <v>0</v>
      </c>
      <c r="DF194" s="427">
        <f>-IF(AND(DF$11&gt;=EOMONTH('Construction Budget'!$K50,0),DF$11&lt;=EOMONTH('Construction Budget'!$M50,0)),('Construction Budget'!$G50+SUM($G194:DE194))/ROUND(((EOMONTH('Construction Budget'!$M50,0)-EOMONTH(DF$11,0))/30)+1,0),0)</f>
        <v>0</v>
      </c>
      <c r="DG194" s="427">
        <f>-IF(AND(DG$11&gt;=EOMONTH('Construction Budget'!$K50,0),DG$11&lt;=EOMONTH('Construction Budget'!$M50,0)),('Construction Budget'!$G50+SUM($G194:DF194))/ROUND(((EOMONTH('Construction Budget'!$M50,0)-EOMONTH(DG$11,0))/30)+1,0),0)</f>
        <v>0</v>
      </c>
      <c r="DH194" s="427">
        <f>-IF(AND(DH$11&gt;=EOMONTH('Construction Budget'!$K50,0),DH$11&lt;=EOMONTH('Construction Budget'!$M50,0)),('Construction Budget'!$G50+SUM($G194:DG194))/ROUND(((EOMONTH('Construction Budget'!$M50,0)-EOMONTH(DH$11,0))/30)+1,0),0)</f>
        <v>0</v>
      </c>
      <c r="DI194" s="427">
        <f>-IF(AND(DI$11&gt;=EOMONTH('Construction Budget'!$K50,0),DI$11&lt;=EOMONTH('Construction Budget'!$M50,0)),('Construction Budget'!$G50+SUM($G194:DH194))/ROUND(((EOMONTH('Construction Budget'!$M50,0)-EOMONTH(DI$11,0))/30)+1,0),0)</f>
        <v>0</v>
      </c>
      <c r="DJ194" s="427">
        <f>-IF(AND(DJ$11&gt;=EOMONTH('Construction Budget'!$K50,0),DJ$11&lt;=EOMONTH('Construction Budget'!$M50,0)),('Construction Budget'!$G50+SUM($G194:DI194))/ROUND(((EOMONTH('Construction Budget'!$M50,0)-EOMONTH(DJ$11,0))/30)+1,0),0)</f>
        <v>0</v>
      </c>
      <c r="DK194" s="427">
        <f>-IF(AND(DK$11&gt;=EOMONTH('Construction Budget'!$K50,0),DK$11&lt;=EOMONTH('Construction Budget'!$M50,0)),('Construction Budget'!$G50+SUM($G194:DJ194))/ROUND(((EOMONTH('Construction Budget'!$M50,0)-EOMONTH(DK$11,0))/30)+1,0),0)</f>
        <v>0</v>
      </c>
      <c r="DL194" s="427">
        <f>-IF(AND(DL$11&gt;=EOMONTH('Construction Budget'!$K50,0),DL$11&lt;=EOMONTH('Construction Budget'!$M50,0)),('Construction Budget'!$G50+SUM($G194:DK194))/ROUND(((EOMONTH('Construction Budget'!$M50,0)-EOMONTH(DL$11,0))/30)+1,0),0)</f>
        <v>0</v>
      </c>
      <c r="DM194" s="427">
        <f>-IF(AND(DM$11&gt;=EOMONTH('Construction Budget'!$K50,0),DM$11&lt;=EOMONTH('Construction Budget'!$M50,0)),('Construction Budget'!$G50+SUM($G194:DL194))/ROUND(((EOMONTH('Construction Budget'!$M50,0)-EOMONTH(DM$11,0))/30)+1,0),0)</f>
        <v>0</v>
      </c>
      <c r="DN194" s="427">
        <f>-IF(AND(DN$11&gt;=EOMONTH('Construction Budget'!$K50,0),DN$11&lt;=EOMONTH('Construction Budget'!$M50,0)),('Construction Budget'!$G50+SUM($G194:DM194))/ROUND(((EOMONTH('Construction Budget'!$M50,0)-EOMONTH(DN$11,0))/30)+1,0),0)</f>
        <v>0</v>
      </c>
      <c r="DO194" s="427">
        <f>-IF(AND(DO$11&gt;=EOMONTH('Construction Budget'!$K50,0),DO$11&lt;=EOMONTH('Construction Budget'!$M50,0)),('Construction Budget'!$G50+SUM($G194:DN194))/ROUND(((EOMONTH('Construction Budget'!$M50,0)-EOMONTH(DO$11,0))/30)+1,0),0)</f>
        <v>0</v>
      </c>
      <c r="DP194" s="427">
        <f>-IF(AND(DP$11&gt;=EOMONTH('Construction Budget'!$K50,0),DP$11&lt;=EOMONTH('Construction Budget'!$M50,0)),('Construction Budget'!$G50+SUM($G194:DO194))/ROUND(((EOMONTH('Construction Budget'!$M50,0)-EOMONTH(DP$11,0))/30)+1,0),0)</f>
        <v>0</v>
      </c>
      <c r="DQ194" s="427">
        <f>-IF(AND(DQ$11&gt;=EOMONTH('Construction Budget'!$K50,0),DQ$11&lt;=EOMONTH('Construction Budget'!$M50,0)),('Construction Budget'!$G50+SUM($G194:DP194))/ROUND(((EOMONTH('Construction Budget'!$M50,0)-EOMONTH(DQ$11,0))/30)+1,0),0)</f>
        <v>0</v>
      </c>
      <c r="DR194" s="427">
        <f>-IF(AND(DR$11&gt;=EOMONTH('Construction Budget'!$K50,0),DR$11&lt;=EOMONTH('Construction Budget'!$M50,0)),('Construction Budget'!$G50+SUM($G194:DQ194))/ROUND(((EOMONTH('Construction Budget'!$M50,0)-EOMONTH(DR$11,0))/30)+1,0),0)</f>
        <v>0</v>
      </c>
      <c r="DS194" s="427">
        <f>-IF(AND(DS$11&gt;=EOMONTH('Construction Budget'!$K50,0),DS$11&lt;=EOMONTH('Construction Budget'!$M50,0)),('Construction Budget'!$G50+SUM($G194:DR194))/ROUND(((EOMONTH('Construction Budget'!$M50,0)-EOMONTH(DS$11,0))/30)+1,0),0)</f>
        <v>0</v>
      </c>
      <c r="DT194" s="427">
        <f>-IF(AND(DT$11&gt;=EOMONTH('Construction Budget'!$K50,0),DT$11&lt;=EOMONTH('Construction Budget'!$M50,0)),('Construction Budget'!$G50+SUM($G194:DS194))/ROUND(((EOMONTH('Construction Budget'!$M50,0)-EOMONTH(DT$11,0))/30)+1,0),0)</f>
        <v>0</v>
      </c>
      <c r="DU194" s="427">
        <f>-IF(AND(DU$11&gt;=EOMONTH('Construction Budget'!$K50,0),DU$11&lt;=EOMONTH('Construction Budget'!$M50,0)),('Construction Budget'!$G50+SUM($G194:DT194))/ROUND(((EOMONTH('Construction Budget'!$M50,0)-EOMONTH(DU$11,0))/30)+1,0),0)</f>
        <v>0</v>
      </c>
      <c r="DV194" s="427">
        <f>-IF(AND(DV$11&gt;=EOMONTH('Construction Budget'!$K50,0),DV$11&lt;=EOMONTH('Construction Budget'!$M50,0)),('Construction Budget'!$G50+SUM($G194:DU194))/ROUND(((EOMONTH('Construction Budget'!$M50,0)-EOMONTH(DV$11,0))/30)+1,0),0)</f>
        <v>0</v>
      </c>
      <c r="DW194" s="427">
        <f>-IF(AND(DW$11&gt;=EOMONTH('Construction Budget'!$K50,0),DW$11&lt;=EOMONTH('Construction Budget'!$M50,0)),('Construction Budget'!$G50+SUM($G194:DV194))/ROUND(((EOMONTH('Construction Budget'!$M50,0)-EOMONTH(DW$11,0))/30)+1,0),0)</f>
        <v>0</v>
      </c>
      <c r="DX194" s="427">
        <f>-IF(AND(DX$11&gt;=EOMONTH('Construction Budget'!$K50,0),DX$11&lt;=EOMONTH('Construction Budget'!$M50,0)),('Construction Budget'!$G50+SUM($G194:DW194))/ROUND(((EOMONTH('Construction Budget'!$M50,0)-EOMONTH(DX$11,0))/30)+1,0),0)</f>
        <v>0</v>
      </c>
      <c r="DY194" s="427">
        <f>-IF(AND(DY$11&gt;=EOMONTH('Construction Budget'!$K50,0),DY$11&lt;=EOMONTH('Construction Budget'!$M50,0)),('Construction Budget'!$G50+SUM($G194:DX194))/ROUND(((EOMONTH('Construction Budget'!$M50,0)-EOMONTH(DY$11,0))/30)+1,0),0)</f>
        <v>0</v>
      </c>
      <c r="DZ194" s="427">
        <f>-IF(AND(DZ$11&gt;=EOMONTH('Construction Budget'!$K50,0),DZ$11&lt;=EOMONTH('Construction Budget'!$M50,0)),('Construction Budget'!$G50+SUM($G194:DY194))/ROUND(((EOMONTH('Construction Budget'!$M50,0)-EOMONTH(DZ$11,0))/30)+1,0),0)</f>
        <v>0</v>
      </c>
      <c r="EA194" s="427">
        <f>-IF(AND(EA$11&gt;=EOMONTH('Construction Budget'!$K50,0),EA$11&lt;=EOMONTH('Construction Budget'!$M50,0)),('Construction Budget'!$G50+SUM($G194:DZ194))/ROUND(((EOMONTH('Construction Budget'!$M50,0)-EOMONTH(EA$11,0))/30)+1,0),0)</f>
        <v>0</v>
      </c>
      <c r="EB194" s="427">
        <f>-IF(AND(EB$11&gt;=EOMONTH('Construction Budget'!$K50,0),EB$11&lt;=EOMONTH('Construction Budget'!$M50,0)),('Construction Budget'!$G50+SUM($G194:EA194))/ROUND(((EOMONTH('Construction Budget'!$M50,0)-EOMONTH(EB$11,0))/30)+1,0),0)</f>
        <v>0</v>
      </c>
      <c r="EC194" s="427">
        <f>-IF(AND(EC$11&gt;=EOMONTH('Construction Budget'!$K50,0),EC$11&lt;=EOMONTH('Construction Budget'!$M50,0)),('Construction Budget'!$G50+SUM($G194:EB194))/ROUND(((EOMONTH('Construction Budget'!$M50,0)-EOMONTH(EC$11,0))/30)+1,0),0)</f>
        <v>0</v>
      </c>
      <c r="ED194" s="427">
        <f>-IF(AND(ED$11&gt;=EOMONTH('Construction Budget'!$K50,0),ED$11&lt;=EOMONTH('Construction Budget'!$M50,0)),('Construction Budget'!$G50+SUM($G194:EC194))/ROUND(((EOMONTH('Construction Budget'!$M50,0)-EOMONTH(ED$11,0))/30)+1,0),0)</f>
        <v>0</v>
      </c>
      <c r="EE194" s="427">
        <f>-IF(AND(EE$11&gt;=EOMONTH('Construction Budget'!$K50,0),EE$11&lt;=EOMONTH('Construction Budget'!$M50,0)),('Construction Budget'!$G50+SUM($G194:ED194))/ROUND(((EOMONTH('Construction Budget'!$M50,0)-EOMONTH(EE$11,0))/30)+1,0),0)</f>
        <v>0</v>
      </c>
      <c r="EF194" s="427">
        <f>-IF(AND(EF$11&gt;=EOMONTH('Construction Budget'!$K50,0),EF$11&lt;=EOMONTH('Construction Budget'!$M50,0)),('Construction Budget'!$G50+SUM($G194:EE194))/ROUND(((EOMONTH('Construction Budget'!$M50,0)-EOMONTH(EF$11,0))/30)+1,0),0)</f>
        <v>0</v>
      </c>
      <c r="EG194" s="427">
        <f>-IF(AND(EG$11&gt;=EOMONTH('Construction Budget'!$K50,0),EG$11&lt;=EOMONTH('Construction Budget'!$M50,0)),('Construction Budget'!$G50+SUM($G194:EF194))/ROUND(((EOMONTH('Construction Budget'!$M50,0)-EOMONTH(EG$11,0))/30)+1,0),0)</f>
        <v>0</v>
      </c>
      <c r="EH194" s="427">
        <f>-IF(AND(EH$11&gt;=EOMONTH('Construction Budget'!$K50,0),EH$11&lt;=EOMONTH('Construction Budget'!$M50,0)),('Construction Budget'!$G50+SUM($G194:EG194))/ROUND(((EOMONTH('Construction Budget'!$M50,0)-EOMONTH(EH$11,0))/30)+1,0),0)</f>
        <v>0</v>
      </c>
      <c r="EI194" s="427">
        <f>-IF(AND(EI$11&gt;=EOMONTH('Construction Budget'!$K50,0),EI$11&lt;=EOMONTH('Construction Budget'!$M50,0)),('Construction Budget'!$G50+SUM($G194:EH194))/ROUND(((EOMONTH('Construction Budget'!$M50,0)-EOMONTH(EI$11,0))/30)+1,0),0)</f>
        <v>0</v>
      </c>
      <c r="EJ194" s="427">
        <f>-IF(AND(EJ$11&gt;=EOMONTH('Construction Budget'!$K50,0),EJ$11&lt;=EOMONTH('Construction Budget'!$M50,0)),('Construction Budget'!$G50+SUM($G194:EI194))/ROUND(((EOMONTH('Construction Budget'!$M50,0)-EOMONTH(EJ$11,0))/30)+1,0),0)</f>
        <v>0</v>
      </c>
      <c r="EK194" s="427">
        <f>-IF(AND(EK$11&gt;=EOMONTH('Construction Budget'!$K50,0),EK$11&lt;=EOMONTH('Construction Budget'!$M50,0)),('Construction Budget'!$G50+SUM($G194:EJ194))/ROUND(((EOMONTH('Construction Budget'!$M50,0)-EOMONTH(EK$11,0))/30)+1,0),0)</f>
        <v>0</v>
      </c>
      <c r="EL194" s="427">
        <f>-IF(AND(EL$11&gt;=EOMONTH('Construction Budget'!$K50,0),EL$11&lt;=EOMONTH('Construction Budget'!$M50,0)),('Construction Budget'!$G50+SUM($G194:EK194))/ROUND(((EOMONTH('Construction Budget'!$M50,0)-EOMONTH(EL$11,0))/30)+1,0),0)</f>
        <v>0</v>
      </c>
      <c r="EM194" s="427">
        <f>-IF(AND(EM$11&gt;=EOMONTH('Construction Budget'!$K50,0),EM$11&lt;=EOMONTH('Construction Budget'!$M50,0)),('Construction Budget'!$G50+SUM($G194:EL194))/ROUND(((EOMONTH('Construction Budget'!$M50,0)-EOMONTH(EM$11,0))/30)+1,0),0)</f>
        <v>0</v>
      </c>
      <c r="EN194" s="427">
        <f>-IF(AND(EN$11&gt;=EOMONTH('Construction Budget'!$K50,0),EN$11&lt;=EOMONTH('Construction Budget'!$M50,0)),('Construction Budget'!$G50+SUM($G194:EM194))/ROUND(((EOMONTH('Construction Budget'!$M50,0)-EOMONTH(EN$11,0))/30)+1,0),0)</f>
        <v>0</v>
      </c>
      <c r="EO194" s="427">
        <f>-IF(AND(EO$11&gt;=EOMONTH('Construction Budget'!$K50,0),EO$11&lt;=EOMONTH('Construction Budget'!$M50,0)),('Construction Budget'!$G50+SUM($G194:EN194))/ROUND(((EOMONTH('Construction Budget'!$M50,0)-EOMONTH(EO$11,0))/30)+1,0),0)</f>
        <v>0</v>
      </c>
      <c r="EP194" s="427">
        <f>-IF(AND(EP$11&gt;=EOMONTH('Construction Budget'!$K50,0),EP$11&lt;=EOMONTH('Construction Budget'!$M50,0)),('Construction Budget'!$G50+SUM($G194:EO194))/ROUND(((EOMONTH('Construction Budget'!$M50,0)-EOMONTH(EP$11,0))/30)+1,0),0)</f>
        <v>0</v>
      </c>
      <c r="EQ194" s="427">
        <f>-IF(AND(EQ$11&gt;=EOMONTH('Construction Budget'!$K50,0),EQ$11&lt;=EOMONTH('Construction Budget'!$M50,0)),('Construction Budget'!$G50+SUM($G194:EP194))/ROUND(((EOMONTH('Construction Budget'!$M50,0)-EOMONTH(EQ$11,0))/30)+1,0),0)</f>
        <v>0</v>
      </c>
      <c r="ER194" s="427">
        <f>-IF(AND(ER$11&gt;=EOMONTH('Construction Budget'!$K50,0),ER$11&lt;=EOMONTH('Construction Budget'!$M50,0)),('Construction Budget'!$G50+SUM($G194:EQ194))/ROUND(((EOMONTH('Construction Budget'!$M50,0)-EOMONTH(ER$11,0))/30)+1,0),0)</f>
        <v>0</v>
      </c>
      <c r="ES194" s="427">
        <f>-IF(AND(ES$11&gt;=EOMONTH('Construction Budget'!$K50,0),ES$11&lt;=EOMONTH('Construction Budget'!$M50,0)),('Construction Budget'!$G50+SUM($G194:ER194))/ROUND(((EOMONTH('Construction Budget'!$M50,0)-EOMONTH(ES$11,0))/30)+1,0),0)</f>
        <v>0</v>
      </c>
      <c r="ET194" s="427">
        <f>-IF(AND(ET$11&gt;=EOMONTH('Construction Budget'!$K50,0),ET$11&lt;=EOMONTH('Construction Budget'!$M50,0)),('Construction Budget'!$G50+SUM($G194:ES194))/ROUND(((EOMONTH('Construction Budget'!$M50,0)-EOMONTH(ET$11,0))/30)+1,0),0)</f>
        <v>0</v>
      </c>
      <c r="EU194" s="427">
        <f>-IF(AND(EU$11&gt;=EOMONTH('Construction Budget'!$K50,0),EU$11&lt;=EOMONTH('Construction Budget'!$M50,0)),('Construction Budget'!$G50+SUM($G194:ET194))/ROUND(((EOMONTH('Construction Budget'!$M50,0)-EOMONTH(EU$11,0))/30)+1,0),0)</f>
        <v>0</v>
      </c>
      <c r="EV194" s="427">
        <f>-IF(AND(EV$11&gt;=EOMONTH('Construction Budget'!$K50,0),EV$11&lt;=EOMONTH('Construction Budget'!$M50,0)),('Construction Budget'!$G50+SUM($G194:EU194))/ROUND(((EOMONTH('Construction Budget'!$M50,0)-EOMONTH(EV$11,0))/30)+1,0),0)</f>
        <v>0</v>
      </c>
      <c r="EW194" s="427">
        <f>-IF(AND(EW$11&gt;=EOMONTH('Construction Budget'!$K50,0),EW$11&lt;=EOMONTH('Construction Budget'!$M50,0)),('Construction Budget'!$G50+SUM($G194:EV194))/ROUND(((EOMONTH('Construction Budget'!$M50,0)-EOMONTH(EW$11,0))/30)+1,0),0)</f>
        <v>0</v>
      </c>
      <c r="EX194" s="427">
        <f>-IF(AND(EX$11&gt;=EOMONTH('Construction Budget'!$K50,0),EX$11&lt;=EOMONTH('Construction Budget'!$M50,0)),('Construction Budget'!$G50+SUM($G194:EW194))/ROUND(((EOMONTH('Construction Budget'!$M50,0)-EOMONTH(EX$11,0))/30)+1,0),0)</f>
        <v>0</v>
      </c>
      <c r="EY194" s="427">
        <f>-IF(AND(EY$11&gt;=EOMONTH('Construction Budget'!$K50,0),EY$11&lt;=EOMONTH('Construction Budget'!$M50,0)),('Construction Budget'!$G50+SUM($G194:EX194))/ROUND(((EOMONTH('Construction Budget'!$M50,0)-EOMONTH(EY$11,0))/30)+1,0),0)</f>
        <v>0</v>
      </c>
      <c r="EZ194" s="427">
        <f>-IF(AND(EZ$11&gt;=EOMONTH('Construction Budget'!$K50,0),EZ$11&lt;=EOMONTH('Construction Budget'!$M50,0)),('Construction Budget'!$G50+SUM($G194:EY194))/ROUND(((EOMONTH('Construction Budget'!$M50,0)-EOMONTH(EZ$11,0))/30)+1,0),0)</f>
        <v>0</v>
      </c>
      <c r="FA194" s="427">
        <f>-IF(AND(FA$11&gt;=EOMONTH('Construction Budget'!$K50,0),FA$11&lt;=EOMONTH('Construction Budget'!$M50,0)),('Construction Budget'!$G50+SUM($G194:EZ194))/ROUND(((EOMONTH('Construction Budget'!$M50,0)-EOMONTH(FA$11,0))/30)+1,0),0)</f>
        <v>0</v>
      </c>
      <c r="FB194" s="427">
        <f>-IF(AND(FB$11&gt;=EOMONTH('Construction Budget'!$K50,0),FB$11&lt;=EOMONTH('Construction Budget'!$M50,0)),('Construction Budget'!$G50+SUM($G194:FA194))/ROUND(((EOMONTH('Construction Budget'!$M50,0)-EOMONTH(FB$11,0))/30)+1,0),0)</f>
        <v>0</v>
      </c>
      <c r="FC194" s="427">
        <f>-IF(AND(FC$11&gt;=EOMONTH('Construction Budget'!$K50,0),FC$11&lt;=EOMONTH('Construction Budget'!$M50,0)),('Construction Budget'!$G50+SUM($G194:FB194))/ROUND(((EOMONTH('Construction Budget'!$M50,0)-EOMONTH(FC$11,0))/30)+1,0),0)</f>
        <v>0</v>
      </c>
      <c r="FD194" s="427">
        <f>-IF(AND(FD$11&gt;=EOMONTH('Construction Budget'!$K50,0),FD$11&lt;=EOMONTH('Construction Budget'!$M50,0)),('Construction Budget'!$G50+SUM($G194:FC194))/ROUND(((EOMONTH('Construction Budget'!$M50,0)-EOMONTH(FD$11,0))/30)+1,0),0)</f>
        <v>0</v>
      </c>
      <c r="FE194" s="427">
        <f>-IF(AND(FE$11&gt;=EOMONTH('Construction Budget'!$K50,0),FE$11&lt;=EOMONTH('Construction Budget'!$M50,0)),('Construction Budget'!$G50+SUM($G194:FD194))/ROUND(((EOMONTH('Construction Budget'!$M50,0)-EOMONTH(FE$11,0))/30)+1,0),0)</f>
        <v>0</v>
      </c>
      <c r="FF194" s="427">
        <f>-IF(AND(FF$11&gt;=EOMONTH('Construction Budget'!$K50,0),FF$11&lt;=EOMONTH('Construction Budget'!$M50,0)),('Construction Budget'!$G50+SUM($G194:FE194))/ROUND(((EOMONTH('Construction Budget'!$M50,0)-EOMONTH(FF$11,0))/30)+1,0),0)</f>
        <v>0</v>
      </c>
      <c r="FG194" s="427">
        <f>-IF(AND(FG$11&gt;=EOMONTH('Construction Budget'!$K50,0),FG$11&lt;=EOMONTH('Construction Budget'!$M50,0)),('Construction Budget'!$G50+SUM($G194:FF194))/ROUND(((EOMONTH('Construction Budget'!$M50,0)-EOMONTH(FG$11,0))/30)+1,0),0)</f>
        <v>0</v>
      </c>
      <c r="FH194" s="427">
        <f>-IF(AND(FH$11&gt;=EOMONTH('Construction Budget'!$K50,0),FH$11&lt;=EOMONTH('Construction Budget'!$M50,0)),('Construction Budget'!$G50+SUM($G194:FG194))/ROUND(((EOMONTH('Construction Budget'!$M50,0)-EOMONTH(FH$11,0))/30)+1,0),0)</f>
        <v>0</v>
      </c>
      <c r="FI194" s="427">
        <f>-IF(AND(FI$11&gt;=EOMONTH('Construction Budget'!$K50,0),FI$11&lt;=EOMONTH('Construction Budget'!$M50,0)),('Construction Budget'!$G50+SUM($G194:FH194))/ROUND(((EOMONTH('Construction Budget'!$M50,0)-EOMONTH(FI$11,0))/30)+1,0),0)</f>
        <v>0</v>
      </c>
      <c r="FJ194" s="427">
        <f>-IF(AND(FJ$11&gt;=EOMONTH('Construction Budget'!$K50,0),FJ$11&lt;=EOMONTH('Construction Budget'!$M50,0)),('Construction Budget'!$G50+SUM($G194:FI194))/ROUND(((EOMONTH('Construction Budget'!$M50,0)-EOMONTH(FJ$11,0))/30)+1,0),0)</f>
        <v>0</v>
      </c>
      <c r="FK194" s="427">
        <f>-IF(AND(FK$11&gt;=EOMONTH('Construction Budget'!$K50,0),FK$11&lt;=EOMONTH('Construction Budget'!$M50,0)),('Construction Budget'!$G50+SUM($G194:FJ194))/ROUND(((EOMONTH('Construction Budget'!$M50,0)-EOMONTH(FK$11,0))/30)+1,0),0)</f>
        <v>0</v>
      </c>
      <c r="FL194" s="427">
        <f>-IF(AND(FL$11&gt;=EOMONTH('Construction Budget'!$K50,0),FL$11&lt;=EOMONTH('Construction Budget'!$M50,0)),('Construction Budget'!$G50+SUM($G194:FK194))/ROUND(((EOMONTH('Construction Budget'!$M50,0)-EOMONTH(FL$11,0))/30)+1,0),0)</f>
        <v>0</v>
      </c>
      <c r="FM194" s="427">
        <f>-IF(AND(FM$11&gt;=EOMONTH('Construction Budget'!$K50,0),FM$11&lt;=EOMONTH('Construction Budget'!$M50,0)),('Construction Budget'!$G50+SUM($G194:FL194))/ROUND(((EOMONTH('Construction Budget'!$M50,0)-EOMONTH(FM$11,0))/30)+1,0),0)</f>
        <v>0</v>
      </c>
      <c r="FN194" s="427">
        <f>-IF(AND(FN$11&gt;=EOMONTH('Construction Budget'!$K50,0),FN$11&lt;=EOMONTH('Construction Budget'!$M50,0)),('Construction Budget'!$G50+SUM($G194:FM194))/ROUND(((EOMONTH('Construction Budget'!$M50,0)-EOMONTH(FN$11,0))/30)+1,0),0)</f>
        <v>0</v>
      </c>
      <c r="FO194" s="427">
        <f>-IF(AND(FO$11&gt;=EOMONTH('Construction Budget'!$K50,0),FO$11&lt;=EOMONTH('Construction Budget'!$M50,0)),('Construction Budget'!$G50+SUM($G194:FN194))/ROUND(((EOMONTH('Construction Budget'!$M50,0)-EOMONTH(FO$11,0))/30)+1,0),0)</f>
        <v>0</v>
      </c>
      <c r="FP194" s="427">
        <f>-IF(AND(FP$11&gt;=EOMONTH('Construction Budget'!$K50,0),FP$11&lt;=EOMONTH('Construction Budget'!$M50,0)),('Construction Budget'!$G50+SUM($G194:FO194))/ROUND(((EOMONTH('Construction Budget'!$M50,0)-EOMONTH(FP$11,0))/30)+1,0),0)</f>
        <v>0</v>
      </c>
      <c r="FQ194" s="427">
        <f>-IF(AND(FQ$11&gt;=EOMONTH('Construction Budget'!$K50,0),FQ$11&lt;=EOMONTH('Construction Budget'!$M50,0)),('Construction Budget'!$G50+SUM($G194:FP194))/ROUND(((EOMONTH('Construction Budget'!$M50,0)-EOMONTH(FQ$11,0))/30)+1,0),0)</f>
        <v>0</v>
      </c>
      <c r="FR194" s="427">
        <f>-IF(AND(FR$11&gt;=EOMONTH('Construction Budget'!$K50,0),FR$11&lt;=EOMONTH('Construction Budget'!$M50,0)),('Construction Budget'!$G50+SUM($G194:FQ194))/ROUND(((EOMONTH('Construction Budget'!$M50,0)-EOMONTH(FR$11,0))/30)+1,0),0)</f>
        <v>0</v>
      </c>
      <c r="FS194" s="427">
        <f>-IF(AND(FS$11&gt;=EOMONTH('Construction Budget'!$K50,0),FS$11&lt;=EOMONTH('Construction Budget'!$M50,0)),('Construction Budget'!$G50+SUM($G194:FR194))/ROUND(((EOMONTH('Construction Budget'!$M50,0)-EOMONTH(FS$11,0))/30)+1,0),0)</f>
        <v>0</v>
      </c>
      <c r="FT194" s="427">
        <f>-IF(AND(FT$11&gt;=EOMONTH('Construction Budget'!$K50,0),FT$11&lt;=EOMONTH('Construction Budget'!$M50,0)),('Construction Budget'!$G50+SUM($G194:FS194))/ROUND(((EOMONTH('Construction Budget'!$M50,0)-EOMONTH(FT$11,0))/30)+1,0),0)</f>
        <v>0</v>
      </c>
      <c r="FU194" s="43"/>
      <c r="FV194" s="34"/>
      <c r="FW194" s="34"/>
      <c r="FX194" s="34"/>
      <c r="FY194" s="34"/>
      <c r="FZ194" s="34"/>
    </row>
    <row r="195" spans="1:182" s="89" customFormat="1" ht="13.5" hidden="1" outlineLevel="2" x14ac:dyDescent="0.25">
      <c r="A195" s="498"/>
      <c r="B195" s="128" t="str">
        <f>'Construction Budget'!B51</f>
        <v>Blank</v>
      </c>
      <c r="C195" s="34"/>
      <c r="D195" s="34"/>
      <c r="E195" s="34"/>
      <c r="F195" s="434">
        <f t="shared" si="232"/>
        <v>0</v>
      </c>
      <c r="G195" s="34"/>
      <c r="H195" s="427">
        <f>-IF(AND(H$11&gt;=EOMONTH('Construction Budget'!$K51,0),H$11&lt;=EOMONTH('Construction Budget'!$M51,0)),('Construction Budget'!$G51+SUM($G195:G195))/ROUND(((EOMONTH('Construction Budget'!$M51,0)-EOMONTH(H$11,0))/30)+1,0),0)</f>
        <v>0</v>
      </c>
      <c r="I195" s="427">
        <f>-IF(AND(I$11&gt;=EOMONTH('Construction Budget'!$K51,0),I$11&lt;=EOMONTH('Construction Budget'!$M51,0)),('Construction Budget'!$G51+SUM($G195:H195))/ROUND(((EOMONTH('Construction Budget'!$M51,0)-EOMONTH(I$11,0))/30)+1,0),0)</f>
        <v>0</v>
      </c>
      <c r="J195" s="427">
        <f>-IF(AND(J$11&gt;=EOMONTH('Construction Budget'!$K51,0),J$11&lt;=EOMONTH('Construction Budget'!$M51,0)),('Construction Budget'!$G51+SUM($G195:I195))/ROUND(((EOMONTH('Construction Budget'!$M51,0)-EOMONTH(J$11,0))/30)+1,0),0)</f>
        <v>0</v>
      </c>
      <c r="K195" s="427">
        <f>-IF(AND(K$11&gt;=EOMONTH('Construction Budget'!$K51,0),K$11&lt;=EOMONTH('Construction Budget'!$M51,0)),('Construction Budget'!$G51+SUM($G195:J195))/ROUND(((EOMONTH('Construction Budget'!$M51,0)-EOMONTH(K$11,0))/30)+1,0),0)</f>
        <v>0</v>
      </c>
      <c r="L195" s="427">
        <f>-IF(AND(L$11&gt;=EOMONTH('Construction Budget'!$K51,0),L$11&lt;=EOMONTH('Construction Budget'!$M51,0)),('Construction Budget'!$G51+SUM($G195:K195))/ROUND(((EOMONTH('Construction Budget'!$M51,0)-EOMONTH(L$11,0))/30)+1,0),0)</f>
        <v>0</v>
      </c>
      <c r="M195" s="427">
        <f>-IF(AND(M$11&gt;=EOMONTH('Construction Budget'!$K51,0),M$11&lt;=EOMONTH('Construction Budget'!$M51,0)),('Construction Budget'!$G51+SUM($G195:L195))/ROUND(((EOMONTH('Construction Budget'!$M51,0)-EOMONTH(M$11,0))/30)+1,0),0)</f>
        <v>0</v>
      </c>
      <c r="N195" s="427">
        <f>-IF(AND(N$11&gt;=EOMONTH('Construction Budget'!$K51,0),N$11&lt;=EOMONTH('Construction Budget'!$M51,0)),('Construction Budget'!$G51+SUM($G195:M195))/ROUND(((EOMONTH('Construction Budget'!$M51,0)-EOMONTH(N$11,0))/30)+1,0),0)</f>
        <v>0</v>
      </c>
      <c r="O195" s="427">
        <f>-IF(AND(O$11&gt;=EOMONTH('Construction Budget'!$K51,0),O$11&lt;=EOMONTH('Construction Budget'!$M51,0)),('Construction Budget'!$G51+SUM($G195:N195))/ROUND(((EOMONTH('Construction Budget'!$M51,0)-EOMONTH(O$11,0))/30)+1,0),0)</f>
        <v>0</v>
      </c>
      <c r="P195" s="427">
        <f>-IF(AND(P$11&gt;=EOMONTH('Construction Budget'!$K51,0),P$11&lt;=EOMONTH('Construction Budget'!$M51,0)),('Construction Budget'!$G51+SUM($G195:O195))/ROUND(((EOMONTH('Construction Budget'!$M51,0)-EOMONTH(P$11,0))/30)+1,0),0)</f>
        <v>0</v>
      </c>
      <c r="Q195" s="427">
        <f>-IF(AND(Q$11&gt;=EOMONTH('Construction Budget'!$K51,0),Q$11&lt;=EOMONTH('Construction Budget'!$M51,0)),('Construction Budget'!$G51+SUM($G195:P195))/ROUND(((EOMONTH('Construction Budget'!$M51,0)-EOMONTH(Q$11,0))/30)+1,0),0)</f>
        <v>0</v>
      </c>
      <c r="R195" s="427">
        <f>-IF(AND(R$11&gt;=EOMONTH('Construction Budget'!$K51,0),R$11&lt;=EOMONTH('Construction Budget'!$M51,0)),('Construction Budget'!$G51+SUM($G195:Q195))/ROUND(((EOMONTH('Construction Budget'!$M51,0)-EOMONTH(R$11,0))/30)+1,0),0)</f>
        <v>0</v>
      </c>
      <c r="S195" s="427">
        <f>-IF(AND(S$11&gt;=EOMONTH('Construction Budget'!$K51,0),S$11&lt;=EOMONTH('Construction Budget'!$M51,0)),('Construction Budget'!$G51+SUM($G195:R195))/ROUND(((EOMONTH('Construction Budget'!$M51,0)-EOMONTH(S$11,0))/30)+1,0),0)</f>
        <v>0</v>
      </c>
      <c r="T195" s="427">
        <f>-IF(AND(T$11&gt;=EOMONTH('Construction Budget'!$K51,0),T$11&lt;=EOMONTH('Construction Budget'!$M51,0)),('Construction Budget'!$G51+SUM($G195:S195))/ROUND(((EOMONTH('Construction Budget'!$M51,0)-EOMONTH(T$11,0))/30)+1,0),0)</f>
        <v>0</v>
      </c>
      <c r="U195" s="427">
        <f>-IF(AND(U$11&gt;=EOMONTH('Construction Budget'!$K51,0),U$11&lt;=EOMONTH('Construction Budget'!$M51,0)),('Construction Budget'!$G51+SUM($G195:T195))/ROUND(((EOMONTH('Construction Budget'!$M51,0)-EOMONTH(U$11,0))/30)+1,0),0)</f>
        <v>0</v>
      </c>
      <c r="V195" s="427">
        <f>-IF(AND(V$11&gt;=EOMONTH('Construction Budget'!$K51,0),V$11&lt;=EOMONTH('Construction Budget'!$M51,0)),('Construction Budget'!$G51+SUM($G195:U195))/ROUND(((EOMONTH('Construction Budget'!$M51,0)-EOMONTH(V$11,0))/30)+1,0),0)</f>
        <v>0</v>
      </c>
      <c r="W195" s="427">
        <f>-IF(AND(W$11&gt;=EOMONTH('Construction Budget'!$K51,0),W$11&lt;=EOMONTH('Construction Budget'!$M51,0)),('Construction Budget'!$G51+SUM($G195:V195))/ROUND(((EOMONTH('Construction Budget'!$M51,0)-EOMONTH(W$11,0))/30)+1,0),0)</f>
        <v>0</v>
      </c>
      <c r="X195" s="427">
        <f>-IF(AND(X$11&gt;=EOMONTH('Construction Budget'!$K51,0),X$11&lt;=EOMONTH('Construction Budget'!$M51,0)),('Construction Budget'!$G51+SUM($G195:W195))/ROUND(((EOMONTH('Construction Budget'!$M51,0)-EOMONTH(X$11,0))/30)+1,0),0)</f>
        <v>0</v>
      </c>
      <c r="Y195" s="427">
        <f>-IF(AND(Y$11&gt;=EOMONTH('Construction Budget'!$K51,0),Y$11&lt;=EOMONTH('Construction Budget'!$M51,0)),('Construction Budget'!$G51+SUM($G195:X195))/ROUND(((EOMONTH('Construction Budget'!$M51,0)-EOMONTH(Y$11,0))/30)+1,0),0)</f>
        <v>0</v>
      </c>
      <c r="Z195" s="427">
        <f>-IF(AND(Z$11&gt;=EOMONTH('Construction Budget'!$K51,0),Z$11&lt;=EOMONTH('Construction Budget'!$M51,0)),('Construction Budget'!$G51+SUM($G195:Y195))/ROUND(((EOMONTH('Construction Budget'!$M51,0)-EOMONTH(Z$11,0))/30)+1,0),0)</f>
        <v>0</v>
      </c>
      <c r="AA195" s="427">
        <f>-IF(AND(AA$11&gt;=EOMONTH('Construction Budget'!$K51,0),AA$11&lt;=EOMONTH('Construction Budget'!$M51,0)),('Construction Budget'!$G51+SUM($G195:Z195))/ROUND(((EOMONTH('Construction Budget'!$M51,0)-EOMONTH(AA$11,0))/30)+1,0),0)</f>
        <v>0</v>
      </c>
      <c r="AB195" s="427">
        <f>-IF(AND(AB$11&gt;=EOMONTH('Construction Budget'!$K51,0),AB$11&lt;=EOMONTH('Construction Budget'!$M51,0)),('Construction Budget'!$G51+SUM($G195:AA195))/ROUND(((EOMONTH('Construction Budget'!$M51,0)-EOMONTH(AB$11,0))/30)+1,0),0)</f>
        <v>0</v>
      </c>
      <c r="AC195" s="427">
        <f>-IF(AND(AC$11&gt;=EOMONTH('Construction Budget'!$K51,0),AC$11&lt;=EOMONTH('Construction Budget'!$M51,0)),('Construction Budget'!$G51+SUM($G195:AB195))/ROUND(((EOMONTH('Construction Budget'!$M51,0)-EOMONTH(AC$11,0))/30)+1,0),0)</f>
        <v>0</v>
      </c>
      <c r="AD195" s="427">
        <f>-IF(AND(AD$11&gt;=EOMONTH('Construction Budget'!$K51,0),AD$11&lt;=EOMONTH('Construction Budget'!$M51,0)),('Construction Budget'!$G51+SUM($G195:AC195))/ROUND(((EOMONTH('Construction Budget'!$M51,0)-EOMONTH(AD$11,0))/30)+1,0),0)</f>
        <v>0</v>
      </c>
      <c r="AE195" s="427">
        <f>-IF(AND(AE$11&gt;=EOMONTH('Construction Budget'!$K51,0),AE$11&lt;=EOMONTH('Construction Budget'!$M51,0)),('Construction Budget'!$G51+SUM($G195:AD195))/ROUND(((EOMONTH('Construction Budget'!$M51,0)-EOMONTH(AE$11,0))/30)+1,0),0)</f>
        <v>0</v>
      </c>
      <c r="AF195" s="427">
        <f>-IF(AND(AF$11&gt;=EOMONTH('Construction Budget'!$K51,0),AF$11&lt;=EOMONTH('Construction Budget'!$M51,0)),('Construction Budget'!$G51+SUM($G195:AE195))/ROUND(((EOMONTH('Construction Budget'!$M51,0)-EOMONTH(AF$11,0))/30)+1,0),0)</f>
        <v>0</v>
      </c>
      <c r="AG195" s="427">
        <f>-IF(AND(AG$11&gt;=EOMONTH('Construction Budget'!$K51,0),AG$11&lt;=EOMONTH('Construction Budget'!$M51,0)),('Construction Budget'!$G51+SUM($G195:AF195))/ROUND(((EOMONTH('Construction Budget'!$M51,0)-EOMONTH(AG$11,0))/30)+1,0),0)</f>
        <v>0</v>
      </c>
      <c r="AH195" s="427">
        <f>-IF(AND(AH$11&gt;=EOMONTH('Construction Budget'!$K51,0),AH$11&lt;=EOMONTH('Construction Budget'!$M51,0)),('Construction Budget'!$G51+SUM($G195:AG195))/ROUND(((EOMONTH('Construction Budget'!$M51,0)-EOMONTH(AH$11,0))/30)+1,0),0)</f>
        <v>0</v>
      </c>
      <c r="AI195" s="427">
        <f>-IF(AND(AI$11&gt;=EOMONTH('Construction Budget'!$K51,0),AI$11&lt;=EOMONTH('Construction Budget'!$M51,0)),('Construction Budget'!$G51+SUM($G195:AH195))/ROUND(((EOMONTH('Construction Budget'!$M51,0)-EOMONTH(AI$11,0))/30)+1,0),0)</f>
        <v>0</v>
      </c>
      <c r="AJ195" s="427">
        <f>-IF(AND(AJ$11&gt;=EOMONTH('Construction Budget'!$K51,0),AJ$11&lt;=EOMONTH('Construction Budget'!$M51,0)),('Construction Budget'!$G51+SUM($G195:AI195))/ROUND(((EOMONTH('Construction Budget'!$M51,0)-EOMONTH(AJ$11,0))/30)+1,0),0)</f>
        <v>0</v>
      </c>
      <c r="AK195" s="427">
        <f>-IF(AND(AK$11&gt;=EOMONTH('Construction Budget'!$K51,0),AK$11&lt;=EOMONTH('Construction Budget'!$M51,0)),('Construction Budget'!$G51+SUM($G195:AJ195))/ROUND(((EOMONTH('Construction Budget'!$M51,0)-EOMONTH(AK$11,0))/30)+1,0),0)</f>
        <v>0</v>
      </c>
      <c r="AL195" s="427">
        <f>-IF(AND(AL$11&gt;=EOMONTH('Construction Budget'!$K51,0),AL$11&lt;=EOMONTH('Construction Budget'!$M51,0)),('Construction Budget'!$G51+SUM($G195:AK195))/ROUND(((EOMONTH('Construction Budget'!$M51,0)-EOMONTH(AL$11,0))/30)+1,0),0)</f>
        <v>0</v>
      </c>
      <c r="AM195" s="427">
        <f>-IF(AND(AM$11&gt;=EOMONTH('Construction Budget'!$K51,0),AM$11&lt;=EOMONTH('Construction Budget'!$M51,0)),('Construction Budget'!$G51+SUM($G195:AL195))/ROUND(((EOMONTH('Construction Budget'!$M51,0)-EOMONTH(AM$11,0))/30)+1,0),0)</f>
        <v>0</v>
      </c>
      <c r="AN195" s="427">
        <f>-IF(AND(AN$11&gt;=EOMONTH('Construction Budget'!$K51,0),AN$11&lt;=EOMONTH('Construction Budget'!$M51,0)),('Construction Budget'!$G51+SUM($G195:AM195))/ROUND(((EOMONTH('Construction Budget'!$M51,0)-EOMONTH(AN$11,0))/30)+1,0),0)</f>
        <v>0</v>
      </c>
      <c r="AO195" s="427">
        <f>-IF(AND(AO$11&gt;=EOMONTH('Construction Budget'!$K51,0),AO$11&lt;=EOMONTH('Construction Budget'!$M51,0)),('Construction Budget'!$G51+SUM($G195:AN195))/ROUND(((EOMONTH('Construction Budget'!$M51,0)-EOMONTH(AO$11,0))/30)+1,0),0)</f>
        <v>0</v>
      </c>
      <c r="AP195" s="427">
        <f>-IF(AND(AP$11&gt;=EOMONTH('Construction Budget'!$K51,0),AP$11&lt;=EOMONTH('Construction Budget'!$M51,0)),('Construction Budget'!$G51+SUM($G195:AO195))/ROUND(((EOMONTH('Construction Budget'!$M51,0)-EOMONTH(AP$11,0))/30)+1,0),0)</f>
        <v>0</v>
      </c>
      <c r="AQ195" s="427">
        <f>-IF(AND(AQ$11&gt;=EOMONTH('Construction Budget'!$K51,0),AQ$11&lt;=EOMONTH('Construction Budget'!$M51,0)),('Construction Budget'!$G51+SUM($G195:AP195))/ROUND(((EOMONTH('Construction Budget'!$M51,0)-EOMONTH(AQ$11,0))/30)+1,0),0)</f>
        <v>0</v>
      </c>
      <c r="AR195" s="427">
        <f>-IF(AND(AR$11&gt;=EOMONTH('Construction Budget'!$K51,0),AR$11&lt;=EOMONTH('Construction Budget'!$M51,0)),('Construction Budget'!$G51+SUM($G195:AQ195))/ROUND(((EOMONTH('Construction Budget'!$M51,0)-EOMONTH(AR$11,0))/30)+1,0),0)</f>
        <v>0</v>
      </c>
      <c r="AS195" s="427">
        <f>-IF(AND(AS$11&gt;=EOMONTH('Construction Budget'!$K51,0),AS$11&lt;=EOMONTH('Construction Budget'!$M51,0)),('Construction Budget'!$G51+SUM($G195:AR195))/ROUND(((EOMONTH('Construction Budget'!$M51,0)-EOMONTH(AS$11,0))/30)+1,0),0)</f>
        <v>0</v>
      </c>
      <c r="AT195" s="427">
        <f>-IF(AND(AT$11&gt;=EOMONTH('Construction Budget'!$K51,0),AT$11&lt;=EOMONTH('Construction Budget'!$M51,0)),('Construction Budget'!$G51+SUM($G195:AS195))/ROUND(((EOMONTH('Construction Budget'!$M51,0)-EOMONTH(AT$11,0))/30)+1,0),0)</f>
        <v>0</v>
      </c>
      <c r="AU195" s="427">
        <f>-IF(AND(AU$11&gt;=EOMONTH('Construction Budget'!$K51,0),AU$11&lt;=EOMONTH('Construction Budget'!$M51,0)),('Construction Budget'!$G51+SUM($G195:AT195))/ROUND(((EOMONTH('Construction Budget'!$M51,0)-EOMONTH(AU$11,0))/30)+1,0),0)</f>
        <v>0</v>
      </c>
      <c r="AV195" s="427">
        <f>-IF(AND(AV$11&gt;=EOMONTH('Construction Budget'!$K51,0),AV$11&lt;=EOMONTH('Construction Budget'!$M51,0)),('Construction Budget'!$G51+SUM($G195:AU195))/ROUND(((EOMONTH('Construction Budget'!$M51,0)-EOMONTH(AV$11,0))/30)+1,0),0)</f>
        <v>0</v>
      </c>
      <c r="AW195" s="427">
        <f>-IF(AND(AW$11&gt;=EOMONTH('Construction Budget'!$K51,0),AW$11&lt;=EOMONTH('Construction Budget'!$M51,0)),('Construction Budget'!$G51+SUM($G195:AV195))/ROUND(((EOMONTH('Construction Budget'!$M51,0)-EOMONTH(AW$11,0))/30)+1,0),0)</f>
        <v>0</v>
      </c>
      <c r="AX195" s="427">
        <f>-IF(AND(AX$11&gt;=EOMONTH('Construction Budget'!$K51,0),AX$11&lt;=EOMONTH('Construction Budget'!$M51,0)),('Construction Budget'!$G51+SUM($G195:AW195))/ROUND(((EOMONTH('Construction Budget'!$M51,0)-EOMONTH(AX$11,0))/30)+1,0),0)</f>
        <v>0</v>
      </c>
      <c r="AY195" s="427">
        <f>-IF(AND(AY$11&gt;=EOMONTH('Construction Budget'!$K51,0),AY$11&lt;=EOMONTH('Construction Budget'!$M51,0)),('Construction Budget'!$G51+SUM($G195:AX195))/ROUND(((EOMONTH('Construction Budget'!$M51,0)-EOMONTH(AY$11,0))/30)+1,0),0)</f>
        <v>0</v>
      </c>
      <c r="AZ195" s="427">
        <f>-IF(AND(AZ$11&gt;=EOMONTH('Construction Budget'!$K51,0),AZ$11&lt;=EOMONTH('Construction Budget'!$M51,0)),('Construction Budget'!$G51+SUM($G195:AY195))/ROUND(((EOMONTH('Construction Budget'!$M51,0)-EOMONTH(AZ$11,0))/30)+1,0),0)</f>
        <v>0</v>
      </c>
      <c r="BA195" s="427">
        <f>-IF(AND(BA$11&gt;=EOMONTH('Construction Budget'!$K51,0),BA$11&lt;=EOMONTH('Construction Budget'!$M51,0)),('Construction Budget'!$G51+SUM($G195:AZ195))/ROUND(((EOMONTH('Construction Budget'!$M51,0)-EOMONTH(BA$11,0))/30)+1,0),0)</f>
        <v>0</v>
      </c>
      <c r="BB195" s="427">
        <f>-IF(AND(BB$11&gt;=EOMONTH('Construction Budget'!$K51,0),BB$11&lt;=EOMONTH('Construction Budget'!$M51,0)),('Construction Budget'!$G51+SUM($G195:BA195))/ROUND(((EOMONTH('Construction Budget'!$M51,0)-EOMONTH(BB$11,0))/30)+1,0),0)</f>
        <v>0</v>
      </c>
      <c r="BC195" s="427">
        <f>-IF(AND(BC$11&gt;=EOMONTH('Construction Budget'!$K51,0),BC$11&lt;=EOMONTH('Construction Budget'!$M51,0)),('Construction Budget'!$G51+SUM($G195:BB195))/ROUND(((EOMONTH('Construction Budget'!$M51,0)-EOMONTH(BC$11,0))/30)+1,0),0)</f>
        <v>0</v>
      </c>
      <c r="BD195" s="427">
        <f>-IF(AND(BD$11&gt;=EOMONTH('Construction Budget'!$K51,0),BD$11&lt;=EOMONTH('Construction Budget'!$M51,0)),('Construction Budget'!$G51+SUM($G195:BC195))/ROUND(((EOMONTH('Construction Budget'!$M51,0)-EOMONTH(BD$11,0))/30)+1,0),0)</f>
        <v>0</v>
      </c>
      <c r="BE195" s="427">
        <f>-IF(AND(BE$11&gt;=EOMONTH('Construction Budget'!$K51,0),BE$11&lt;=EOMONTH('Construction Budget'!$M51,0)),('Construction Budget'!$G51+SUM($G195:BD195))/ROUND(((EOMONTH('Construction Budget'!$M51,0)-EOMONTH(BE$11,0))/30)+1,0),0)</f>
        <v>0</v>
      </c>
      <c r="BF195" s="427">
        <f>-IF(AND(BF$11&gt;=EOMONTH('Construction Budget'!$K51,0),BF$11&lt;=EOMONTH('Construction Budget'!$M51,0)),('Construction Budget'!$G51+SUM($G195:BE195))/ROUND(((EOMONTH('Construction Budget'!$M51,0)-EOMONTH(BF$11,0))/30)+1,0),0)</f>
        <v>0</v>
      </c>
      <c r="BG195" s="427">
        <f>-IF(AND(BG$11&gt;=EOMONTH('Construction Budget'!$K51,0),BG$11&lt;=EOMONTH('Construction Budget'!$M51,0)),('Construction Budget'!$G51+SUM($G195:BF195))/ROUND(((EOMONTH('Construction Budget'!$M51,0)-EOMONTH(BG$11,0))/30)+1,0),0)</f>
        <v>0</v>
      </c>
      <c r="BH195" s="427">
        <f>-IF(AND(BH$11&gt;=EOMONTH('Construction Budget'!$K51,0),BH$11&lt;=EOMONTH('Construction Budget'!$M51,0)),('Construction Budget'!$G51+SUM($G195:BG195))/ROUND(((EOMONTH('Construction Budget'!$M51,0)-EOMONTH(BH$11,0))/30)+1,0),0)</f>
        <v>0</v>
      </c>
      <c r="BI195" s="427">
        <f>-IF(AND(BI$11&gt;=EOMONTH('Construction Budget'!$K51,0),BI$11&lt;=EOMONTH('Construction Budget'!$M51,0)),('Construction Budget'!$G51+SUM($G195:BH195))/ROUND(((EOMONTH('Construction Budget'!$M51,0)-EOMONTH(BI$11,0))/30)+1,0),0)</f>
        <v>0</v>
      </c>
      <c r="BJ195" s="427">
        <f>-IF(AND(BJ$11&gt;=EOMONTH('Construction Budget'!$K51,0),BJ$11&lt;=EOMONTH('Construction Budget'!$M51,0)),('Construction Budget'!$G51+SUM($G195:BI195))/ROUND(((EOMONTH('Construction Budget'!$M51,0)-EOMONTH(BJ$11,0))/30)+1,0),0)</f>
        <v>0</v>
      </c>
      <c r="BK195" s="427">
        <f>-IF(AND(BK$11&gt;=EOMONTH('Construction Budget'!$K51,0),BK$11&lt;=EOMONTH('Construction Budget'!$M51,0)),('Construction Budget'!$G51+SUM($G195:BJ195))/ROUND(((EOMONTH('Construction Budget'!$M51,0)-EOMONTH(BK$11,0))/30)+1,0),0)</f>
        <v>0</v>
      </c>
      <c r="BL195" s="427">
        <f>-IF(AND(BL$11&gt;=EOMONTH('Construction Budget'!$K51,0),BL$11&lt;=EOMONTH('Construction Budget'!$M51,0)),('Construction Budget'!$G51+SUM($G195:BK195))/ROUND(((EOMONTH('Construction Budget'!$M51,0)-EOMONTH(BL$11,0))/30)+1,0),0)</f>
        <v>0</v>
      </c>
      <c r="BM195" s="427">
        <f>-IF(AND(BM$11&gt;=EOMONTH('Construction Budget'!$K51,0),BM$11&lt;=EOMONTH('Construction Budget'!$M51,0)),('Construction Budget'!$G51+SUM($G195:BL195))/ROUND(((EOMONTH('Construction Budget'!$M51,0)-EOMONTH(BM$11,0))/30)+1,0),0)</f>
        <v>0</v>
      </c>
      <c r="BN195" s="427">
        <f>-IF(AND(BN$11&gt;=EOMONTH('Construction Budget'!$K51,0),BN$11&lt;=EOMONTH('Construction Budget'!$M51,0)),('Construction Budget'!$G51+SUM($G195:BM195))/ROUND(((EOMONTH('Construction Budget'!$M51,0)-EOMONTH(BN$11,0))/30)+1,0),0)</f>
        <v>0</v>
      </c>
      <c r="BO195" s="427">
        <f>-IF(AND(BO$11&gt;=EOMONTH('Construction Budget'!$K51,0),BO$11&lt;=EOMONTH('Construction Budget'!$M51,0)),('Construction Budget'!$G51+SUM($G195:BN195))/ROUND(((EOMONTH('Construction Budget'!$M51,0)-EOMONTH(BO$11,0))/30)+1,0),0)</f>
        <v>0</v>
      </c>
      <c r="BP195" s="427">
        <f>-IF(AND(BP$11&gt;=EOMONTH('Construction Budget'!$K51,0),BP$11&lt;=EOMONTH('Construction Budget'!$M51,0)),('Construction Budget'!$G51+SUM($G195:BO195))/ROUND(((EOMONTH('Construction Budget'!$M51,0)-EOMONTH(BP$11,0))/30)+1,0),0)</f>
        <v>0</v>
      </c>
      <c r="BQ195" s="427">
        <f>-IF(AND(BQ$11&gt;=EOMONTH('Construction Budget'!$K51,0),BQ$11&lt;=EOMONTH('Construction Budget'!$M51,0)),('Construction Budget'!$G51+SUM($G195:BP195))/ROUND(((EOMONTH('Construction Budget'!$M51,0)-EOMONTH(BQ$11,0))/30)+1,0),0)</f>
        <v>0</v>
      </c>
      <c r="BR195" s="427">
        <f>-IF(AND(BR$11&gt;=EOMONTH('Construction Budget'!$K51,0),BR$11&lt;=EOMONTH('Construction Budget'!$M51,0)),('Construction Budget'!$G51+SUM($G195:BQ195))/ROUND(((EOMONTH('Construction Budget'!$M51,0)-EOMONTH(BR$11,0))/30)+1,0),0)</f>
        <v>0</v>
      </c>
      <c r="BS195" s="427">
        <f>-IF(AND(BS$11&gt;=EOMONTH('Construction Budget'!$K51,0),BS$11&lt;=EOMONTH('Construction Budget'!$M51,0)),('Construction Budget'!$G51+SUM($G195:BR195))/ROUND(((EOMONTH('Construction Budget'!$M51,0)-EOMONTH(BS$11,0))/30)+1,0),0)</f>
        <v>0</v>
      </c>
      <c r="BT195" s="427">
        <f>-IF(AND(BT$11&gt;=EOMONTH('Construction Budget'!$K51,0),BT$11&lt;=EOMONTH('Construction Budget'!$M51,0)),('Construction Budget'!$G51+SUM($G195:BS195))/ROUND(((EOMONTH('Construction Budget'!$M51,0)-EOMONTH(BT$11,0))/30)+1,0),0)</f>
        <v>0</v>
      </c>
      <c r="BU195" s="427">
        <f>-IF(AND(BU$11&gt;=EOMONTH('Construction Budget'!$K51,0),BU$11&lt;=EOMONTH('Construction Budget'!$M51,0)),('Construction Budget'!$G51+SUM($G195:BT195))/ROUND(((EOMONTH('Construction Budget'!$M51,0)-EOMONTH(BU$11,0))/30)+1,0),0)</f>
        <v>0</v>
      </c>
      <c r="BV195" s="427">
        <f>-IF(AND(BV$11&gt;=EOMONTH('Construction Budget'!$K51,0),BV$11&lt;=EOMONTH('Construction Budget'!$M51,0)),('Construction Budget'!$G51+SUM($G195:BU195))/ROUND(((EOMONTH('Construction Budget'!$M51,0)-EOMONTH(BV$11,0))/30)+1,0),0)</f>
        <v>0</v>
      </c>
      <c r="BW195" s="427">
        <f>-IF(AND(BW$11&gt;=EOMONTH('Construction Budget'!$K51,0),BW$11&lt;=EOMONTH('Construction Budget'!$M51,0)),('Construction Budget'!$G51+SUM($G195:BV195))/ROUND(((EOMONTH('Construction Budget'!$M51,0)-EOMONTH(BW$11,0))/30)+1,0),0)</f>
        <v>0</v>
      </c>
      <c r="BX195" s="427">
        <f>-IF(AND(BX$11&gt;=EOMONTH('Construction Budget'!$K51,0),BX$11&lt;=EOMONTH('Construction Budget'!$M51,0)),('Construction Budget'!$G51+SUM($G195:BW195))/ROUND(((EOMONTH('Construction Budget'!$M51,0)-EOMONTH(BX$11,0))/30)+1,0),0)</f>
        <v>0</v>
      </c>
      <c r="BY195" s="427">
        <f>-IF(AND(BY$11&gt;=EOMONTH('Construction Budget'!$K51,0),BY$11&lt;=EOMONTH('Construction Budget'!$M51,0)),('Construction Budget'!$G51+SUM($G195:BX195))/ROUND(((EOMONTH('Construction Budget'!$M51,0)-EOMONTH(BY$11,0))/30)+1,0),0)</f>
        <v>0</v>
      </c>
      <c r="BZ195" s="427">
        <f>-IF(AND(BZ$11&gt;=EOMONTH('Construction Budget'!$K51,0),BZ$11&lt;=EOMONTH('Construction Budget'!$M51,0)),('Construction Budget'!$G51+SUM($G195:BY195))/ROUND(((EOMONTH('Construction Budget'!$M51,0)-EOMONTH(BZ$11,0))/30)+1,0),0)</f>
        <v>0</v>
      </c>
      <c r="CA195" s="427">
        <f>-IF(AND(CA$11&gt;=EOMONTH('Construction Budget'!$K51,0),CA$11&lt;=EOMONTH('Construction Budget'!$M51,0)),('Construction Budget'!$G51+SUM($G195:BZ195))/ROUND(((EOMONTH('Construction Budget'!$M51,0)-EOMONTH(CA$11,0))/30)+1,0),0)</f>
        <v>0</v>
      </c>
      <c r="CB195" s="427">
        <f>-IF(AND(CB$11&gt;=EOMONTH('Construction Budget'!$K51,0),CB$11&lt;=EOMONTH('Construction Budget'!$M51,0)),('Construction Budget'!$G51+SUM($G195:CA195))/ROUND(((EOMONTH('Construction Budget'!$M51,0)-EOMONTH(CB$11,0))/30)+1,0),0)</f>
        <v>0</v>
      </c>
      <c r="CC195" s="427">
        <f>-IF(AND(CC$11&gt;=EOMONTH('Construction Budget'!$K51,0),CC$11&lt;=EOMONTH('Construction Budget'!$M51,0)),('Construction Budget'!$G51+SUM($G195:CB195))/ROUND(((EOMONTH('Construction Budget'!$M51,0)-EOMONTH(CC$11,0))/30)+1,0),0)</f>
        <v>0</v>
      </c>
      <c r="CD195" s="427">
        <f>-IF(AND(CD$11&gt;=EOMONTH('Construction Budget'!$K51,0),CD$11&lt;=EOMONTH('Construction Budget'!$M51,0)),('Construction Budget'!$G51+SUM($G195:CC195))/ROUND(((EOMONTH('Construction Budget'!$M51,0)-EOMONTH(CD$11,0))/30)+1,0),0)</f>
        <v>0</v>
      </c>
      <c r="CE195" s="427">
        <f>-IF(AND(CE$11&gt;=EOMONTH('Construction Budget'!$K51,0),CE$11&lt;=EOMONTH('Construction Budget'!$M51,0)),('Construction Budget'!$G51+SUM($G195:CD195))/ROUND(((EOMONTH('Construction Budget'!$M51,0)-EOMONTH(CE$11,0))/30)+1,0),0)</f>
        <v>0</v>
      </c>
      <c r="CF195" s="427">
        <f>-IF(AND(CF$11&gt;=EOMONTH('Construction Budget'!$K51,0),CF$11&lt;=EOMONTH('Construction Budget'!$M51,0)),('Construction Budget'!$G51+SUM($G195:CE195))/ROUND(((EOMONTH('Construction Budget'!$M51,0)-EOMONTH(CF$11,0))/30)+1,0),0)</f>
        <v>0</v>
      </c>
      <c r="CG195" s="427">
        <f>-IF(AND(CG$11&gt;=EOMONTH('Construction Budget'!$K51,0),CG$11&lt;=EOMONTH('Construction Budget'!$M51,0)),('Construction Budget'!$G51+SUM($G195:CF195))/ROUND(((EOMONTH('Construction Budget'!$M51,0)-EOMONTH(CG$11,0))/30)+1,0),0)</f>
        <v>0</v>
      </c>
      <c r="CH195" s="427">
        <f>-IF(AND(CH$11&gt;=EOMONTH('Construction Budget'!$K51,0),CH$11&lt;=EOMONTH('Construction Budget'!$M51,0)),('Construction Budget'!$G51+SUM($G195:CG195))/ROUND(((EOMONTH('Construction Budget'!$M51,0)-EOMONTH(CH$11,0))/30)+1,0),0)</f>
        <v>0</v>
      </c>
      <c r="CI195" s="427">
        <f>-IF(AND(CI$11&gt;=EOMONTH('Construction Budget'!$K51,0),CI$11&lt;=EOMONTH('Construction Budget'!$M51,0)),('Construction Budget'!$G51+SUM($G195:CH195))/ROUND(((EOMONTH('Construction Budget'!$M51,0)-EOMONTH(CI$11,0))/30)+1,0),0)</f>
        <v>0</v>
      </c>
      <c r="CJ195" s="427">
        <f>-IF(AND(CJ$11&gt;=EOMONTH('Construction Budget'!$K51,0),CJ$11&lt;=EOMONTH('Construction Budget'!$M51,0)),('Construction Budget'!$G51+SUM($G195:CI195))/ROUND(((EOMONTH('Construction Budget'!$M51,0)-EOMONTH(CJ$11,0))/30)+1,0),0)</f>
        <v>0</v>
      </c>
      <c r="CK195" s="427">
        <f>-IF(AND(CK$11&gt;=EOMONTH('Construction Budget'!$K51,0),CK$11&lt;=EOMONTH('Construction Budget'!$M51,0)),('Construction Budget'!$G51+SUM($G195:CJ195))/ROUND(((EOMONTH('Construction Budget'!$M51,0)-EOMONTH(CK$11,0))/30)+1,0),0)</f>
        <v>0</v>
      </c>
      <c r="CL195" s="427">
        <f>-IF(AND(CL$11&gt;=EOMONTH('Construction Budget'!$K51,0),CL$11&lt;=EOMONTH('Construction Budget'!$M51,0)),('Construction Budget'!$G51+SUM($G195:CK195))/ROUND(((EOMONTH('Construction Budget'!$M51,0)-EOMONTH(CL$11,0))/30)+1,0),0)</f>
        <v>0</v>
      </c>
      <c r="CM195" s="427">
        <f>-IF(AND(CM$11&gt;=EOMONTH('Construction Budget'!$K51,0),CM$11&lt;=EOMONTH('Construction Budget'!$M51,0)),('Construction Budget'!$G51+SUM($G195:CL195))/ROUND(((EOMONTH('Construction Budget'!$M51,0)-EOMONTH(CM$11,0))/30)+1,0),0)</f>
        <v>0</v>
      </c>
      <c r="CN195" s="427">
        <f>-IF(AND(CN$11&gt;=EOMONTH('Construction Budget'!$K51,0),CN$11&lt;=EOMONTH('Construction Budget'!$M51,0)),('Construction Budget'!$G51+SUM($G195:CM195))/ROUND(((EOMONTH('Construction Budget'!$M51,0)-EOMONTH(CN$11,0))/30)+1,0),0)</f>
        <v>0</v>
      </c>
      <c r="CO195" s="427">
        <f>-IF(AND(CO$11&gt;=EOMONTH('Construction Budget'!$K51,0),CO$11&lt;=EOMONTH('Construction Budget'!$M51,0)),('Construction Budget'!$G51+SUM($G195:CN195))/ROUND(((EOMONTH('Construction Budget'!$M51,0)-EOMONTH(CO$11,0))/30)+1,0),0)</f>
        <v>0</v>
      </c>
      <c r="CP195" s="427">
        <f>-IF(AND(CP$11&gt;=EOMONTH('Construction Budget'!$K51,0),CP$11&lt;=EOMONTH('Construction Budget'!$M51,0)),('Construction Budget'!$G51+SUM($G195:CO195))/ROUND(((EOMONTH('Construction Budget'!$M51,0)-EOMONTH(CP$11,0))/30)+1,0),0)</f>
        <v>0</v>
      </c>
      <c r="CQ195" s="427">
        <f>-IF(AND(CQ$11&gt;=EOMONTH('Construction Budget'!$K51,0),CQ$11&lt;=EOMONTH('Construction Budget'!$M51,0)),('Construction Budget'!$G51+SUM($G195:CP195))/ROUND(((EOMONTH('Construction Budget'!$M51,0)-EOMONTH(CQ$11,0))/30)+1,0),0)</f>
        <v>0</v>
      </c>
      <c r="CR195" s="427">
        <f>-IF(AND(CR$11&gt;=EOMONTH('Construction Budget'!$K51,0),CR$11&lt;=EOMONTH('Construction Budget'!$M51,0)),('Construction Budget'!$G51+SUM($G195:CQ195))/ROUND(((EOMONTH('Construction Budget'!$M51,0)-EOMONTH(CR$11,0))/30)+1,0),0)</f>
        <v>0</v>
      </c>
      <c r="CS195" s="427">
        <f>-IF(AND(CS$11&gt;=EOMONTH('Construction Budget'!$K51,0),CS$11&lt;=EOMONTH('Construction Budget'!$M51,0)),('Construction Budget'!$G51+SUM($G195:CR195))/ROUND(((EOMONTH('Construction Budget'!$M51,0)-EOMONTH(CS$11,0))/30)+1,0),0)</f>
        <v>0</v>
      </c>
      <c r="CT195" s="427">
        <f>-IF(AND(CT$11&gt;=EOMONTH('Construction Budget'!$K51,0),CT$11&lt;=EOMONTH('Construction Budget'!$M51,0)),('Construction Budget'!$G51+SUM($G195:CS195))/ROUND(((EOMONTH('Construction Budget'!$M51,0)-EOMONTH(CT$11,0))/30)+1,0),0)</f>
        <v>0</v>
      </c>
      <c r="CU195" s="427">
        <f>-IF(AND(CU$11&gt;=EOMONTH('Construction Budget'!$K51,0),CU$11&lt;=EOMONTH('Construction Budget'!$M51,0)),('Construction Budget'!$G51+SUM($G195:CT195))/ROUND(((EOMONTH('Construction Budget'!$M51,0)-EOMONTH(CU$11,0))/30)+1,0),0)</f>
        <v>0</v>
      </c>
      <c r="CV195" s="427">
        <f>-IF(AND(CV$11&gt;=EOMONTH('Construction Budget'!$K51,0),CV$11&lt;=EOMONTH('Construction Budget'!$M51,0)),('Construction Budget'!$G51+SUM($G195:CU195))/ROUND(((EOMONTH('Construction Budget'!$M51,0)-EOMONTH(CV$11,0))/30)+1,0),0)</f>
        <v>0</v>
      </c>
      <c r="CW195" s="427">
        <f>-IF(AND(CW$11&gt;=EOMONTH('Construction Budget'!$K51,0),CW$11&lt;=EOMONTH('Construction Budget'!$M51,0)),('Construction Budget'!$G51+SUM($G195:CV195))/ROUND(((EOMONTH('Construction Budget'!$M51,0)-EOMONTH(CW$11,0))/30)+1,0),0)</f>
        <v>0</v>
      </c>
      <c r="CX195" s="427">
        <f>-IF(AND(CX$11&gt;=EOMONTH('Construction Budget'!$K51,0),CX$11&lt;=EOMONTH('Construction Budget'!$M51,0)),('Construction Budget'!$G51+SUM($G195:CW195))/ROUND(((EOMONTH('Construction Budget'!$M51,0)-EOMONTH(CX$11,0))/30)+1,0),0)</f>
        <v>0</v>
      </c>
      <c r="CY195" s="427">
        <f>-IF(AND(CY$11&gt;=EOMONTH('Construction Budget'!$K51,0),CY$11&lt;=EOMONTH('Construction Budget'!$M51,0)),('Construction Budget'!$G51+SUM($G195:CX195))/ROUND(((EOMONTH('Construction Budget'!$M51,0)-EOMONTH(CY$11,0))/30)+1,0),0)</f>
        <v>0</v>
      </c>
      <c r="CZ195" s="427">
        <f>-IF(AND(CZ$11&gt;=EOMONTH('Construction Budget'!$K51,0),CZ$11&lt;=EOMONTH('Construction Budget'!$M51,0)),('Construction Budget'!$G51+SUM($G195:CY195))/ROUND(((EOMONTH('Construction Budget'!$M51,0)-EOMONTH(CZ$11,0))/30)+1,0),0)</f>
        <v>0</v>
      </c>
      <c r="DA195" s="427">
        <f>-IF(AND(DA$11&gt;=EOMONTH('Construction Budget'!$K51,0),DA$11&lt;=EOMONTH('Construction Budget'!$M51,0)),('Construction Budget'!$G51+SUM($G195:CZ195))/ROUND(((EOMONTH('Construction Budget'!$M51,0)-EOMONTH(DA$11,0))/30)+1,0),0)</f>
        <v>0</v>
      </c>
      <c r="DB195" s="427">
        <f>-IF(AND(DB$11&gt;=EOMONTH('Construction Budget'!$K51,0),DB$11&lt;=EOMONTH('Construction Budget'!$M51,0)),('Construction Budget'!$G51+SUM($G195:DA195))/ROUND(((EOMONTH('Construction Budget'!$M51,0)-EOMONTH(DB$11,0))/30)+1,0),0)</f>
        <v>0</v>
      </c>
      <c r="DC195" s="427">
        <f>-IF(AND(DC$11&gt;=EOMONTH('Construction Budget'!$K51,0),DC$11&lt;=EOMONTH('Construction Budget'!$M51,0)),('Construction Budget'!$G51+SUM($G195:DB195))/ROUND(((EOMONTH('Construction Budget'!$M51,0)-EOMONTH(DC$11,0))/30)+1,0),0)</f>
        <v>0</v>
      </c>
      <c r="DD195" s="427">
        <f>-IF(AND(DD$11&gt;=EOMONTH('Construction Budget'!$K51,0),DD$11&lt;=EOMONTH('Construction Budget'!$M51,0)),('Construction Budget'!$G51+SUM($G195:DC195))/ROUND(((EOMONTH('Construction Budget'!$M51,0)-EOMONTH(DD$11,0))/30)+1,0),0)</f>
        <v>0</v>
      </c>
      <c r="DE195" s="427">
        <f>-IF(AND(DE$11&gt;=EOMONTH('Construction Budget'!$K51,0),DE$11&lt;=EOMONTH('Construction Budget'!$M51,0)),('Construction Budget'!$G51+SUM($G195:DD195))/ROUND(((EOMONTH('Construction Budget'!$M51,0)-EOMONTH(DE$11,0))/30)+1,0),0)</f>
        <v>0</v>
      </c>
      <c r="DF195" s="427">
        <f>-IF(AND(DF$11&gt;=EOMONTH('Construction Budget'!$K51,0),DF$11&lt;=EOMONTH('Construction Budget'!$M51,0)),('Construction Budget'!$G51+SUM($G195:DE195))/ROUND(((EOMONTH('Construction Budget'!$M51,0)-EOMONTH(DF$11,0))/30)+1,0),0)</f>
        <v>0</v>
      </c>
      <c r="DG195" s="427">
        <f>-IF(AND(DG$11&gt;=EOMONTH('Construction Budget'!$K51,0),DG$11&lt;=EOMONTH('Construction Budget'!$M51,0)),('Construction Budget'!$G51+SUM($G195:DF195))/ROUND(((EOMONTH('Construction Budget'!$M51,0)-EOMONTH(DG$11,0))/30)+1,0),0)</f>
        <v>0</v>
      </c>
      <c r="DH195" s="427">
        <f>-IF(AND(DH$11&gt;=EOMONTH('Construction Budget'!$K51,0),DH$11&lt;=EOMONTH('Construction Budget'!$M51,0)),('Construction Budget'!$G51+SUM($G195:DG195))/ROUND(((EOMONTH('Construction Budget'!$M51,0)-EOMONTH(DH$11,0))/30)+1,0),0)</f>
        <v>0</v>
      </c>
      <c r="DI195" s="427">
        <f>-IF(AND(DI$11&gt;=EOMONTH('Construction Budget'!$K51,0),DI$11&lt;=EOMONTH('Construction Budget'!$M51,0)),('Construction Budget'!$G51+SUM($G195:DH195))/ROUND(((EOMONTH('Construction Budget'!$M51,0)-EOMONTH(DI$11,0))/30)+1,0),0)</f>
        <v>0</v>
      </c>
      <c r="DJ195" s="427">
        <f>-IF(AND(DJ$11&gt;=EOMONTH('Construction Budget'!$K51,0),DJ$11&lt;=EOMONTH('Construction Budget'!$M51,0)),('Construction Budget'!$G51+SUM($G195:DI195))/ROUND(((EOMONTH('Construction Budget'!$M51,0)-EOMONTH(DJ$11,0))/30)+1,0),0)</f>
        <v>0</v>
      </c>
      <c r="DK195" s="427">
        <f>-IF(AND(DK$11&gt;=EOMONTH('Construction Budget'!$K51,0),DK$11&lt;=EOMONTH('Construction Budget'!$M51,0)),('Construction Budget'!$G51+SUM($G195:DJ195))/ROUND(((EOMONTH('Construction Budget'!$M51,0)-EOMONTH(DK$11,0))/30)+1,0),0)</f>
        <v>0</v>
      </c>
      <c r="DL195" s="427">
        <f>-IF(AND(DL$11&gt;=EOMONTH('Construction Budget'!$K51,0),DL$11&lt;=EOMONTH('Construction Budget'!$M51,0)),('Construction Budget'!$G51+SUM($G195:DK195))/ROUND(((EOMONTH('Construction Budget'!$M51,0)-EOMONTH(DL$11,0))/30)+1,0),0)</f>
        <v>0</v>
      </c>
      <c r="DM195" s="427">
        <f>-IF(AND(DM$11&gt;=EOMONTH('Construction Budget'!$K51,0),DM$11&lt;=EOMONTH('Construction Budget'!$M51,0)),('Construction Budget'!$G51+SUM($G195:DL195))/ROUND(((EOMONTH('Construction Budget'!$M51,0)-EOMONTH(DM$11,0))/30)+1,0),0)</f>
        <v>0</v>
      </c>
      <c r="DN195" s="427">
        <f>-IF(AND(DN$11&gt;=EOMONTH('Construction Budget'!$K51,0),DN$11&lt;=EOMONTH('Construction Budget'!$M51,0)),('Construction Budget'!$G51+SUM($G195:DM195))/ROUND(((EOMONTH('Construction Budget'!$M51,0)-EOMONTH(DN$11,0))/30)+1,0),0)</f>
        <v>0</v>
      </c>
      <c r="DO195" s="427">
        <f>-IF(AND(DO$11&gt;=EOMONTH('Construction Budget'!$K51,0),DO$11&lt;=EOMONTH('Construction Budget'!$M51,0)),('Construction Budget'!$G51+SUM($G195:DN195))/ROUND(((EOMONTH('Construction Budget'!$M51,0)-EOMONTH(DO$11,0))/30)+1,0),0)</f>
        <v>0</v>
      </c>
      <c r="DP195" s="427">
        <f>-IF(AND(DP$11&gt;=EOMONTH('Construction Budget'!$K51,0),DP$11&lt;=EOMONTH('Construction Budget'!$M51,0)),('Construction Budget'!$G51+SUM($G195:DO195))/ROUND(((EOMONTH('Construction Budget'!$M51,0)-EOMONTH(DP$11,0))/30)+1,0),0)</f>
        <v>0</v>
      </c>
      <c r="DQ195" s="427">
        <f>-IF(AND(DQ$11&gt;=EOMONTH('Construction Budget'!$K51,0),DQ$11&lt;=EOMONTH('Construction Budget'!$M51,0)),('Construction Budget'!$G51+SUM($G195:DP195))/ROUND(((EOMONTH('Construction Budget'!$M51,0)-EOMONTH(DQ$11,0))/30)+1,0),0)</f>
        <v>0</v>
      </c>
      <c r="DR195" s="427">
        <f>-IF(AND(DR$11&gt;=EOMONTH('Construction Budget'!$K51,0),DR$11&lt;=EOMONTH('Construction Budget'!$M51,0)),('Construction Budget'!$G51+SUM($G195:DQ195))/ROUND(((EOMONTH('Construction Budget'!$M51,0)-EOMONTH(DR$11,0))/30)+1,0),0)</f>
        <v>0</v>
      </c>
      <c r="DS195" s="427">
        <f>-IF(AND(DS$11&gt;=EOMONTH('Construction Budget'!$K51,0),DS$11&lt;=EOMONTH('Construction Budget'!$M51,0)),('Construction Budget'!$G51+SUM($G195:DR195))/ROUND(((EOMONTH('Construction Budget'!$M51,0)-EOMONTH(DS$11,0))/30)+1,0),0)</f>
        <v>0</v>
      </c>
      <c r="DT195" s="427">
        <f>-IF(AND(DT$11&gt;=EOMONTH('Construction Budget'!$K51,0),DT$11&lt;=EOMONTH('Construction Budget'!$M51,0)),('Construction Budget'!$G51+SUM($G195:DS195))/ROUND(((EOMONTH('Construction Budget'!$M51,0)-EOMONTH(DT$11,0))/30)+1,0),0)</f>
        <v>0</v>
      </c>
      <c r="DU195" s="427">
        <f>-IF(AND(DU$11&gt;=EOMONTH('Construction Budget'!$K51,0),DU$11&lt;=EOMONTH('Construction Budget'!$M51,0)),('Construction Budget'!$G51+SUM($G195:DT195))/ROUND(((EOMONTH('Construction Budget'!$M51,0)-EOMONTH(DU$11,0))/30)+1,0),0)</f>
        <v>0</v>
      </c>
      <c r="DV195" s="427">
        <f>-IF(AND(DV$11&gt;=EOMONTH('Construction Budget'!$K51,0),DV$11&lt;=EOMONTH('Construction Budget'!$M51,0)),('Construction Budget'!$G51+SUM($G195:DU195))/ROUND(((EOMONTH('Construction Budget'!$M51,0)-EOMONTH(DV$11,0))/30)+1,0),0)</f>
        <v>0</v>
      </c>
      <c r="DW195" s="427">
        <f>-IF(AND(DW$11&gt;=EOMONTH('Construction Budget'!$K51,0),DW$11&lt;=EOMONTH('Construction Budget'!$M51,0)),('Construction Budget'!$G51+SUM($G195:DV195))/ROUND(((EOMONTH('Construction Budget'!$M51,0)-EOMONTH(DW$11,0))/30)+1,0),0)</f>
        <v>0</v>
      </c>
      <c r="DX195" s="427">
        <f>-IF(AND(DX$11&gt;=EOMONTH('Construction Budget'!$K51,0),DX$11&lt;=EOMONTH('Construction Budget'!$M51,0)),('Construction Budget'!$G51+SUM($G195:DW195))/ROUND(((EOMONTH('Construction Budget'!$M51,0)-EOMONTH(DX$11,0))/30)+1,0),0)</f>
        <v>0</v>
      </c>
      <c r="DY195" s="427">
        <f>-IF(AND(DY$11&gt;=EOMONTH('Construction Budget'!$K51,0),DY$11&lt;=EOMONTH('Construction Budget'!$M51,0)),('Construction Budget'!$G51+SUM($G195:DX195))/ROUND(((EOMONTH('Construction Budget'!$M51,0)-EOMONTH(DY$11,0))/30)+1,0),0)</f>
        <v>0</v>
      </c>
      <c r="DZ195" s="427">
        <f>-IF(AND(DZ$11&gt;=EOMONTH('Construction Budget'!$K51,0),DZ$11&lt;=EOMONTH('Construction Budget'!$M51,0)),('Construction Budget'!$G51+SUM($G195:DY195))/ROUND(((EOMONTH('Construction Budget'!$M51,0)-EOMONTH(DZ$11,0))/30)+1,0),0)</f>
        <v>0</v>
      </c>
      <c r="EA195" s="427">
        <f>-IF(AND(EA$11&gt;=EOMONTH('Construction Budget'!$K51,0),EA$11&lt;=EOMONTH('Construction Budget'!$M51,0)),('Construction Budget'!$G51+SUM($G195:DZ195))/ROUND(((EOMONTH('Construction Budget'!$M51,0)-EOMONTH(EA$11,0))/30)+1,0),0)</f>
        <v>0</v>
      </c>
      <c r="EB195" s="427">
        <f>-IF(AND(EB$11&gt;=EOMONTH('Construction Budget'!$K51,0),EB$11&lt;=EOMONTH('Construction Budget'!$M51,0)),('Construction Budget'!$G51+SUM($G195:EA195))/ROUND(((EOMONTH('Construction Budget'!$M51,0)-EOMONTH(EB$11,0))/30)+1,0),0)</f>
        <v>0</v>
      </c>
      <c r="EC195" s="427">
        <f>-IF(AND(EC$11&gt;=EOMONTH('Construction Budget'!$K51,0),EC$11&lt;=EOMONTH('Construction Budget'!$M51,0)),('Construction Budget'!$G51+SUM($G195:EB195))/ROUND(((EOMONTH('Construction Budget'!$M51,0)-EOMONTH(EC$11,0))/30)+1,0),0)</f>
        <v>0</v>
      </c>
      <c r="ED195" s="427">
        <f>-IF(AND(ED$11&gt;=EOMONTH('Construction Budget'!$K51,0),ED$11&lt;=EOMONTH('Construction Budget'!$M51,0)),('Construction Budget'!$G51+SUM($G195:EC195))/ROUND(((EOMONTH('Construction Budget'!$M51,0)-EOMONTH(ED$11,0))/30)+1,0),0)</f>
        <v>0</v>
      </c>
      <c r="EE195" s="427">
        <f>-IF(AND(EE$11&gt;=EOMONTH('Construction Budget'!$K51,0),EE$11&lt;=EOMONTH('Construction Budget'!$M51,0)),('Construction Budget'!$G51+SUM($G195:ED195))/ROUND(((EOMONTH('Construction Budget'!$M51,0)-EOMONTH(EE$11,0))/30)+1,0),0)</f>
        <v>0</v>
      </c>
      <c r="EF195" s="427">
        <f>-IF(AND(EF$11&gt;=EOMONTH('Construction Budget'!$K51,0),EF$11&lt;=EOMONTH('Construction Budget'!$M51,0)),('Construction Budget'!$G51+SUM($G195:EE195))/ROUND(((EOMONTH('Construction Budget'!$M51,0)-EOMONTH(EF$11,0))/30)+1,0),0)</f>
        <v>0</v>
      </c>
      <c r="EG195" s="427">
        <f>-IF(AND(EG$11&gt;=EOMONTH('Construction Budget'!$K51,0),EG$11&lt;=EOMONTH('Construction Budget'!$M51,0)),('Construction Budget'!$G51+SUM($G195:EF195))/ROUND(((EOMONTH('Construction Budget'!$M51,0)-EOMONTH(EG$11,0))/30)+1,0),0)</f>
        <v>0</v>
      </c>
      <c r="EH195" s="427">
        <f>-IF(AND(EH$11&gt;=EOMONTH('Construction Budget'!$K51,0),EH$11&lt;=EOMONTH('Construction Budget'!$M51,0)),('Construction Budget'!$G51+SUM($G195:EG195))/ROUND(((EOMONTH('Construction Budget'!$M51,0)-EOMONTH(EH$11,0))/30)+1,0),0)</f>
        <v>0</v>
      </c>
      <c r="EI195" s="427">
        <f>-IF(AND(EI$11&gt;=EOMONTH('Construction Budget'!$K51,0),EI$11&lt;=EOMONTH('Construction Budget'!$M51,0)),('Construction Budget'!$G51+SUM($G195:EH195))/ROUND(((EOMONTH('Construction Budget'!$M51,0)-EOMONTH(EI$11,0))/30)+1,0),0)</f>
        <v>0</v>
      </c>
      <c r="EJ195" s="427">
        <f>-IF(AND(EJ$11&gt;=EOMONTH('Construction Budget'!$K51,0),EJ$11&lt;=EOMONTH('Construction Budget'!$M51,0)),('Construction Budget'!$G51+SUM($G195:EI195))/ROUND(((EOMONTH('Construction Budget'!$M51,0)-EOMONTH(EJ$11,0))/30)+1,0),0)</f>
        <v>0</v>
      </c>
      <c r="EK195" s="427">
        <f>-IF(AND(EK$11&gt;=EOMONTH('Construction Budget'!$K51,0),EK$11&lt;=EOMONTH('Construction Budget'!$M51,0)),('Construction Budget'!$G51+SUM($G195:EJ195))/ROUND(((EOMONTH('Construction Budget'!$M51,0)-EOMONTH(EK$11,0))/30)+1,0),0)</f>
        <v>0</v>
      </c>
      <c r="EL195" s="427">
        <f>-IF(AND(EL$11&gt;=EOMONTH('Construction Budget'!$K51,0),EL$11&lt;=EOMONTH('Construction Budget'!$M51,0)),('Construction Budget'!$G51+SUM($G195:EK195))/ROUND(((EOMONTH('Construction Budget'!$M51,0)-EOMONTH(EL$11,0))/30)+1,0),0)</f>
        <v>0</v>
      </c>
      <c r="EM195" s="427">
        <f>-IF(AND(EM$11&gt;=EOMONTH('Construction Budget'!$K51,0),EM$11&lt;=EOMONTH('Construction Budget'!$M51,0)),('Construction Budget'!$G51+SUM($G195:EL195))/ROUND(((EOMONTH('Construction Budget'!$M51,0)-EOMONTH(EM$11,0))/30)+1,0),0)</f>
        <v>0</v>
      </c>
      <c r="EN195" s="427">
        <f>-IF(AND(EN$11&gt;=EOMONTH('Construction Budget'!$K51,0),EN$11&lt;=EOMONTH('Construction Budget'!$M51,0)),('Construction Budget'!$G51+SUM($G195:EM195))/ROUND(((EOMONTH('Construction Budget'!$M51,0)-EOMONTH(EN$11,0))/30)+1,0),0)</f>
        <v>0</v>
      </c>
      <c r="EO195" s="427">
        <f>-IF(AND(EO$11&gt;=EOMONTH('Construction Budget'!$K51,0),EO$11&lt;=EOMONTH('Construction Budget'!$M51,0)),('Construction Budget'!$G51+SUM($G195:EN195))/ROUND(((EOMONTH('Construction Budget'!$M51,0)-EOMONTH(EO$11,0))/30)+1,0),0)</f>
        <v>0</v>
      </c>
      <c r="EP195" s="427">
        <f>-IF(AND(EP$11&gt;=EOMONTH('Construction Budget'!$K51,0),EP$11&lt;=EOMONTH('Construction Budget'!$M51,0)),('Construction Budget'!$G51+SUM($G195:EO195))/ROUND(((EOMONTH('Construction Budget'!$M51,0)-EOMONTH(EP$11,0))/30)+1,0),0)</f>
        <v>0</v>
      </c>
      <c r="EQ195" s="427">
        <f>-IF(AND(EQ$11&gt;=EOMONTH('Construction Budget'!$K51,0),EQ$11&lt;=EOMONTH('Construction Budget'!$M51,0)),('Construction Budget'!$G51+SUM($G195:EP195))/ROUND(((EOMONTH('Construction Budget'!$M51,0)-EOMONTH(EQ$11,0))/30)+1,0),0)</f>
        <v>0</v>
      </c>
      <c r="ER195" s="427">
        <f>-IF(AND(ER$11&gt;=EOMONTH('Construction Budget'!$K51,0),ER$11&lt;=EOMONTH('Construction Budget'!$M51,0)),('Construction Budget'!$G51+SUM($G195:EQ195))/ROUND(((EOMONTH('Construction Budget'!$M51,0)-EOMONTH(ER$11,0))/30)+1,0),0)</f>
        <v>0</v>
      </c>
      <c r="ES195" s="427">
        <f>-IF(AND(ES$11&gt;=EOMONTH('Construction Budget'!$K51,0),ES$11&lt;=EOMONTH('Construction Budget'!$M51,0)),('Construction Budget'!$G51+SUM($G195:ER195))/ROUND(((EOMONTH('Construction Budget'!$M51,0)-EOMONTH(ES$11,0))/30)+1,0),0)</f>
        <v>0</v>
      </c>
      <c r="ET195" s="427">
        <f>-IF(AND(ET$11&gt;=EOMONTH('Construction Budget'!$K51,0),ET$11&lt;=EOMONTH('Construction Budget'!$M51,0)),('Construction Budget'!$G51+SUM($G195:ES195))/ROUND(((EOMONTH('Construction Budget'!$M51,0)-EOMONTH(ET$11,0))/30)+1,0),0)</f>
        <v>0</v>
      </c>
      <c r="EU195" s="427">
        <f>-IF(AND(EU$11&gt;=EOMONTH('Construction Budget'!$K51,0),EU$11&lt;=EOMONTH('Construction Budget'!$M51,0)),('Construction Budget'!$G51+SUM($G195:ET195))/ROUND(((EOMONTH('Construction Budget'!$M51,0)-EOMONTH(EU$11,0))/30)+1,0),0)</f>
        <v>0</v>
      </c>
      <c r="EV195" s="427">
        <f>-IF(AND(EV$11&gt;=EOMONTH('Construction Budget'!$K51,0),EV$11&lt;=EOMONTH('Construction Budget'!$M51,0)),('Construction Budget'!$G51+SUM($G195:EU195))/ROUND(((EOMONTH('Construction Budget'!$M51,0)-EOMONTH(EV$11,0))/30)+1,0),0)</f>
        <v>0</v>
      </c>
      <c r="EW195" s="427">
        <f>-IF(AND(EW$11&gt;=EOMONTH('Construction Budget'!$K51,0),EW$11&lt;=EOMONTH('Construction Budget'!$M51,0)),('Construction Budget'!$G51+SUM($G195:EV195))/ROUND(((EOMONTH('Construction Budget'!$M51,0)-EOMONTH(EW$11,0))/30)+1,0),0)</f>
        <v>0</v>
      </c>
      <c r="EX195" s="427">
        <f>-IF(AND(EX$11&gt;=EOMONTH('Construction Budget'!$K51,0),EX$11&lt;=EOMONTH('Construction Budget'!$M51,0)),('Construction Budget'!$G51+SUM($G195:EW195))/ROUND(((EOMONTH('Construction Budget'!$M51,0)-EOMONTH(EX$11,0))/30)+1,0),0)</f>
        <v>0</v>
      </c>
      <c r="EY195" s="427">
        <f>-IF(AND(EY$11&gt;=EOMONTH('Construction Budget'!$K51,0),EY$11&lt;=EOMONTH('Construction Budget'!$M51,0)),('Construction Budget'!$G51+SUM($G195:EX195))/ROUND(((EOMONTH('Construction Budget'!$M51,0)-EOMONTH(EY$11,0))/30)+1,0),0)</f>
        <v>0</v>
      </c>
      <c r="EZ195" s="427">
        <f>-IF(AND(EZ$11&gt;=EOMONTH('Construction Budget'!$K51,0),EZ$11&lt;=EOMONTH('Construction Budget'!$M51,0)),('Construction Budget'!$G51+SUM($G195:EY195))/ROUND(((EOMONTH('Construction Budget'!$M51,0)-EOMONTH(EZ$11,0))/30)+1,0),0)</f>
        <v>0</v>
      </c>
      <c r="FA195" s="427">
        <f>-IF(AND(FA$11&gt;=EOMONTH('Construction Budget'!$K51,0),FA$11&lt;=EOMONTH('Construction Budget'!$M51,0)),('Construction Budget'!$G51+SUM($G195:EZ195))/ROUND(((EOMONTH('Construction Budget'!$M51,0)-EOMONTH(FA$11,0))/30)+1,0),0)</f>
        <v>0</v>
      </c>
      <c r="FB195" s="427">
        <f>-IF(AND(FB$11&gt;=EOMONTH('Construction Budget'!$K51,0),FB$11&lt;=EOMONTH('Construction Budget'!$M51,0)),('Construction Budget'!$G51+SUM($G195:FA195))/ROUND(((EOMONTH('Construction Budget'!$M51,0)-EOMONTH(FB$11,0))/30)+1,0),0)</f>
        <v>0</v>
      </c>
      <c r="FC195" s="427">
        <f>-IF(AND(FC$11&gt;=EOMONTH('Construction Budget'!$K51,0),FC$11&lt;=EOMONTH('Construction Budget'!$M51,0)),('Construction Budget'!$G51+SUM($G195:FB195))/ROUND(((EOMONTH('Construction Budget'!$M51,0)-EOMONTH(FC$11,0))/30)+1,0),0)</f>
        <v>0</v>
      </c>
      <c r="FD195" s="427">
        <f>-IF(AND(FD$11&gt;=EOMONTH('Construction Budget'!$K51,0),FD$11&lt;=EOMONTH('Construction Budget'!$M51,0)),('Construction Budget'!$G51+SUM($G195:FC195))/ROUND(((EOMONTH('Construction Budget'!$M51,0)-EOMONTH(FD$11,0))/30)+1,0),0)</f>
        <v>0</v>
      </c>
      <c r="FE195" s="427">
        <f>-IF(AND(FE$11&gt;=EOMONTH('Construction Budget'!$K51,0),FE$11&lt;=EOMONTH('Construction Budget'!$M51,0)),('Construction Budget'!$G51+SUM($G195:FD195))/ROUND(((EOMONTH('Construction Budget'!$M51,0)-EOMONTH(FE$11,0))/30)+1,0),0)</f>
        <v>0</v>
      </c>
      <c r="FF195" s="427">
        <f>-IF(AND(FF$11&gt;=EOMONTH('Construction Budget'!$K51,0),FF$11&lt;=EOMONTH('Construction Budget'!$M51,0)),('Construction Budget'!$G51+SUM($G195:FE195))/ROUND(((EOMONTH('Construction Budget'!$M51,0)-EOMONTH(FF$11,0))/30)+1,0),0)</f>
        <v>0</v>
      </c>
      <c r="FG195" s="427">
        <f>-IF(AND(FG$11&gt;=EOMONTH('Construction Budget'!$K51,0),FG$11&lt;=EOMONTH('Construction Budget'!$M51,0)),('Construction Budget'!$G51+SUM($G195:FF195))/ROUND(((EOMONTH('Construction Budget'!$M51,0)-EOMONTH(FG$11,0))/30)+1,0),0)</f>
        <v>0</v>
      </c>
      <c r="FH195" s="427">
        <f>-IF(AND(FH$11&gt;=EOMONTH('Construction Budget'!$K51,0),FH$11&lt;=EOMONTH('Construction Budget'!$M51,0)),('Construction Budget'!$G51+SUM($G195:FG195))/ROUND(((EOMONTH('Construction Budget'!$M51,0)-EOMONTH(FH$11,0))/30)+1,0),0)</f>
        <v>0</v>
      </c>
      <c r="FI195" s="427">
        <f>-IF(AND(FI$11&gt;=EOMONTH('Construction Budget'!$K51,0),FI$11&lt;=EOMONTH('Construction Budget'!$M51,0)),('Construction Budget'!$G51+SUM($G195:FH195))/ROUND(((EOMONTH('Construction Budget'!$M51,0)-EOMONTH(FI$11,0))/30)+1,0),0)</f>
        <v>0</v>
      </c>
      <c r="FJ195" s="427">
        <f>-IF(AND(FJ$11&gt;=EOMONTH('Construction Budget'!$K51,0),FJ$11&lt;=EOMONTH('Construction Budget'!$M51,0)),('Construction Budget'!$G51+SUM($G195:FI195))/ROUND(((EOMONTH('Construction Budget'!$M51,0)-EOMONTH(FJ$11,0))/30)+1,0),0)</f>
        <v>0</v>
      </c>
      <c r="FK195" s="427">
        <f>-IF(AND(FK$11&gt;=EOMONTH('Construction Budget'!$K51,0),FK$11&lt;=EOMONTH('Construction Budget'!$M51,0)),('Construction Budget'!$G51+SUM($G195:FJ195))/ROUND(((EOMONTH('Construction Budget'!$M51,0)-EOMONTH(FK$11,0))/30)+1,0),0)</f>
        <v>0</v>
      </c>
      <c r="FL195" s="427">
        <f>-IF(AND(FL$11&gt;=EOMONTH('Construction Budget'!$K51,0),FL$11&lt;=EOMONTH('Construction Budget'!$M51,0)),('Construction Budget'!$G51+SUM($G195:FK195))/ROUND(((EOMONTH('Construction Budget'!$M51,0)-EOMONTH(FL$11,0))/30)+1,0),0)</f>
        <v>0</v>
      </c>
      <c r="FM195" s="427">
        <f>-IF(AND(FM$11&gt;=EOMONTH('Construction Budget'!$K51,0),FM$11&lt;=EOMONTH('Construction Budget'!$M51,0)),('Construction Budget'!$G51+SUM($G195:FL195))/ROUND(((EOMONTH('Construction Budget'!$M51,0)-EOMONTH(FM$11,0))/30)+1,0),0)</f>
        <v>0</v>
      </c>
      <c r="FN195" s="427">
        <f>-IF(AND(FN$11&gt;=EOMONTH('Construction Budget'!$K51,0),FN$11&lt;=EOMONTH('Construction Budget'!$M51,0)),('Construction Budget'!$G51+SUM($G195:FM195))/ROUND(((EOMONTH('Construction Budget'!$M51,0)-EOMONTH(FN$11,0))/30)+1,0),0)</f>
        <v>0</v>
      </c>
      <c r="FO195" s="427">
        <f>-IF(AND(FO$11&gt;=EOMONTH('Construction Budget'!$K51,0),FO$11&lt;=EOMONTH('Construction Budget'!$M51,0)),('Construction Budget'!$G51+SUM($G195:FN195))/ROUND(((EOMONTH('Construction Budget'!$M51,0)-EOMONTH(FO$11,0))/30)+1,0),0)</f>
        <v>0</v>
      </c>
      <c r="FP195" s="427">
        <f>-IF(AND(FP$11&gt;=EOMONTH('Construction Budget'!$K51,0),FP$11&lt;=EOMONTH('Construction Budget'!$M51,0)),('Construction Budget'!$G51+SUM($G195:FO195))/ROUND(((EOMONTH('Construction Budget'!$M51,0)-EOMONTH(FP$11,0))/30)+1,0),0)</f>
        <v>0</v>
      </c>
      <c r="FQ195" s="427">
        <f>-IF(AND(FQ$11&gt;=EOMONTH('Construction Budget'!$K51,0),FQ$11&lt;=EOMONTH('Construction Budget'!$M51,0)),('Construction Budget'!$G51+SUM($G195:FP195))/ROUND(((EOMONTH('Construction Budget'!$M51,0)-EOMONTH(FQ$11,0))/30)+1,0),0)</f>
        <v>0</v>
      </c>
      <c r="FR195" s="427">
        <f>-IF(AND(FR$11&gt;=EOMONTH('Construction Budget'!$K51,0),FR$11&lt;=EOMONTH('Construction Budget'!$M51,0)),('Construction Budget'!$G51+SUM($G195:FQ195))/ROUND(((EOMONTH('Construction Budget'!$M51,0)-EOMONTH(FR$11,0))/30)+1,0),0)</f>
        <v>0</v>
      </c>
      <c r="FS195" s="427">
        <f>-IF(AND(FS$11&gt;=EOMONTH('Construction Budget'!$K51,0),FS$11&lt;=EOMONTH('Construction Budget'!$M51,0)),('Construction Budget'!$G51+SUM($G195:FR195))/ROUND(((EOMONTH('Construction Budget'!$M51,0)-EOMONTH(FS$11,0))/30)+1,0),0)</f>
        <v>0</v>
      </c>
      <c r="FT195" s="427">
        <f>-IF(AND(FT$11&gt;=EOMONTH('Construction Budget'!$K51,0),FT$11&lt;=EOMONTH('Construction Budget'!$M51,0)),('Construction Budget'!$G51+SUM($G195:FS195))/ROUND(((EOMONTH('Construction Budget'!$M51,0)-EOMONTH(FT$11,0))/30)+1,0),0)</f>
        <v>0</v>
      </c>
      <c r="FU195" s="43"/>
      <c r="FV195" s="34"/>
      <c r="FW195" s="34"/>
      <c r="FX195" s="34"/>
      <c r="FY195" s="34"/>
      <c r="FZ195" s="34"/>
    </row>
    <row r="196" spans="1:182" s="89" customFormat="1" ht="13.5" hidden="1" outlineLevel="1" x14ac:dyDescent="0.25">
      <c r="A196" s="498"/>
      <c r="B196" s="128" t="str">
        <f>'Construction Budget'!B52</f>
        <v>Soft Cost Contingency</v>
      </c>
      <c r="C196" s="34"/>
      <c r="D196" s="34"/>
      <c r="E196" s="34"/>
      <c r="F196" s="434">
        <f t="shared" si="232"/>
        <v>-500000</v>
      </c>
      <c r="G196" s="34"/>
      <c r="H196" s="427">
        <f>-IF(AND(H$11&gt;=EOMONTH('Construction Budget'!$K52,0),H$11&lt;=EOMONTH('Construction Budget'!$M52,0)),('Construction Budget'!$G52+SUM($G196:G196))/ROUND(((EOMONTH('Construction Budget'!$M52,0)-EOMONTH(H$11,0))/30)+1,0),0)</f>
        <v>0</v>
      </c>
      <c r="I196" s="427">
        <f>-IF(AND(I$11&gt;=EOMONTH('Construction Budget'!$K52,0),I$11&lt;=EOMONTH('Construction Budget'!$M52,0)),('Construction Budget'!$G52+SUM($G196:H196))/ROUND(((EOMONTH('Construction Budget'!$M52,0)-EOMONTH(I$11,0))/30)+1,0),0)</f>
        <v>0</v>
      </c>
      <c r="J196" s="427">
        <f>-IF(AND(J$11&gt;=EOMONTH('Construction Budget'!$K52,0),J$11&lt;=EOMONTH('Construction Budget'!$M52,0)),('Construction Budget'!$G52+SUM($G196:I196))/ROUND(((EOMONTH('Construction Budget'!$M52,0)-EOMONTH(J$11,0))/30)+1,0),0)</f>
        <v>-20833.333333333332</v>
      </c>
      <c r="K196" s="427">
        <f>-IF(AND(K$11&gt;=EOMONTH('Construction Budget'!$K52,0),K$11&lt;=EOMONTH('Construction Budget'!$M52,0)),('Construction Budget'!$G52+SUM($G196:J196))/ROUND(((EOMONTH('Construction Budget'!$M52,0)-EOMONTH(K$11,0))/30)+1,0),0)</f>
        <v>-20833.333333333336</v>
      </c>
      <c r="L196" s="427">
        <f>-IF(AND(L$11&gt;=EOMONTH('Construction Budget'!$K52,0),L$11&lt;=EOMONTH('Construction Budget'!$M52,0)),('Construction Budget'!$G52+SUM($G196:K196))/ROUND(((EOMONTH('Construction Budget'!$M52,0)-EOMONTH(L$11,0))/30)+1,0),0)</f>
        <v>-20833.333333333332</v>
      </c>
      <c r="M196" s="427">
        <f>-IF(AND(M$11&gt;=EOMONTH('Construction Budget'!$K52,0),M$11&lt;=EOMONTH('Construction Budget'!$M52,0)),('Construction Budget'!$G52+SUM($G196:L196))/ROUND(((EOMONTH('Construction Budget'!$M52,0)-EOMONTH(M$11,0))/30)+1,0),0)</f>
        <v>-20833.333333333332</v>
      </c>
      <c r="N196" s="427">
        <f>-IF(AND(N$11&gt;=EOMONTH('Construction Budget'!$K52,0),N$11&lt;=EOMONTH('Construction Budget'!$M52,0)),('Construction Budget'!$G52+SUM($G196:M196))/ROUND(((EOMONTH('Construction Budget'!$M52,0)-EOMONTH(N$11,0))/30)+1,0),0)</f>
        <v>-20833.333333333336</v>
      </c>
      <c r="O196" s="427">
        <f>-IF(AND(O$11&gt;=EOMONTH('Construction Budget'!$K52,0),O$11&lt;=EOMONTH('Construction Budget'!$M52,0)),('Construction Budget'!$G52+SUM($G196:N196))/ROUND(((EOMONTH('Construction Budget'!$M52,0)-EOMONTH(O$11,0))/30)+1,0),0)</f>
        <v>-20833.333333333336</v>
      </c>
      <c r="P196" s="427">
        <f>-IF(AND(P$11&gt;=EOMONTH('Construction Budget'!$K52,0),P$11&lt;=EOMONTH('Construction Budget'!$M52,0)),('Construction Budget'!$G52+SUM($G196:O196))/ROUND(((EOMONTH('Construction Budget'!$M52,0)-EOMONTH(P$11,0))/30)+1,0),0)</f>
        <v>-20833.333333333332</v>
      </c>
      <c r="Q196" s="427">
        <f>-IF(AND(Q$11&gt;=EOMONTH('Construction Budget'!$K52,0),Q$11&lt;=EOMONTH('Construction Budget'!$M52,0)),('Construction Budget'!$G52+SUM($G196:P196))/ROUND(((EOMONTH('Construction Budget'!$M52,0)-EOMONTH(Q$11,0))/30)+1,0),0)</f>
        <v>-20833.333333333332</v>
      </c>
      <c r="R196" s="427">
        <f>-IF(AND(R$11&gt;=EOMONTH('Construction Budget'!$K52,0),R$11&lt;=EOMONTH('Construction Budget'!$M52,0)),('Construction Budget'!$G52+SUM($G196:Q196))/ROUND(((EOMONTH('Construction Budget'!$M52,0)-EOMONTH(R$11,0))/30)+1,0),0)</f>
        <v>-20833.333333333332</v>
      </c>
      <c r="S196" s="427">
        <f>-IF(AND(S$11&gt;=EOMONTH('Construction Budget'!$K52,0),S$11&lt;=EOMONTH('Construction Budget'!$M52,0)),('Construction Budget'!$G52+SUM($G196:R196))/ROUND(((EOMONTH('Construction Budget'!$M52,0)-EOMONTH(S$11,0))/30)+1,0),0)</f>
        <v>-20833.333333333332</v>
      </c>
      <c r="T196" s="427">
        <f>-IF(AND(T$11&gt;=EOMONTH('Construction Budget'!$K52,0),T$11&lt;=EOMONTH('Construction Budget'!$M52,0)),('Construction Budget'!$G52+SUM($G196:S196))/ROUND(((EOMONTH('Construction Budget'!$M52,0)-EOMONTH(T$11,0))/30)+1,0),0)</f>
        <v>-20833.333333333332</v>
      </c>
      <c r="U196" s="427">
        <f>-IF(AND(U$11&gt;=EOMONTH('Construction Budget'!$K52,0),U$11&lt;=EOMONTH('Construction Budget'!$M52,0)),('Construction Budget'!$G52+SUM($G196:T196))/ROUND(((EOMONTH('Construction Budget'!$M52,0)-EOMONTH(U$11,0))/30)+1,0),0)</f>
        <v>-20833.333333333328</v>
      </c>
      <c r="V196" s="427">
        <f>-IF(AND(V$11&gt;=EOMONTH('Construction Budget'!$K52,0),V$11&lt;=EOMONTH('Construction Budget'!$M52,0)),('Construction Budget'!$G52+SUM($G196:U196))/ROUND(((EOMONTH('Construction Budget'!$M52,0)-EOMONTH(V$11,0))/30)+1,0),0)</f>
        <v>-20833.333333333328</v>
      </c>
      <c r="W196" s="427">
        <f>-IF(AND(W$11&gt;=EOMONTH('Construction Budget'!$K52,0),W$11&lt;=EOMONTH('Construction Budget'!$M52,0)),('Construction Budget'!$G52+SUM($G196:V196))/ROUND(((EOMONTH('Construction Budget'!$M52,0)-EOMONTH(W$11,0))/30)+1,0),0)</f>
        <v>-20833.333333333328</v>
      </c>
      <c r="X196" s="427">
        <f>-IF(AND(X$11&gt;=EOMONTH('Construction Budget'!$K52,0),X$11&lt;=EOMONTH('Construction Budget'!$M52,0)),('Construction Budget'!$G52+SUM($G196:W196))/ROUND(((EOMONTH('Construction Budget'!$M52,0)-EOMONTH(X$11,0))/30)+1,0),0)</f>
        <v>-20833.333333333332</v>
      </c>
      <c r="Y196" s="427">
        <f>-IF(AND(Y$11&gt;=EOMONTH('Construction Budget'!$K52,0),Y$11&lt;=EOMONTH('Construction Budget'!$M52,0)),('Construction Budget'!$G52+SUM($G196:X196))/ROUND(((EOMONTH('Construction Budget'!$M52,0)-EOMONTH(Y$11,0))/30)+1,0),0)</f>
        <v>-20833.333333333332</v>
      </c>
      <c r="Z196" s="427">
        <f>-IF(AND(Z$11&gt;=EOMONTH('Construction Budget'!$K52,0),Z$11&lt;=EOMONTH('Construction Budget'!$M52,0)),('Construction Budget'!$G52+SUM($G196:Y196))/ROUND(((EOMONTH('Construction Budget'!$M52,0)-EOMONTH(Z$11,0))/30)+1,0),0)</f>
        <v>-20833.333333333336</v>
      </c>
      <c r="AA196" s="427">
        <f>-IF(AND(AA$11&gt;=EOMONTH('Construction Budget'!$K52,0),AA$11&lt;=EOMONTH('Construction Budget'!$M52,0)),('Construction Budget'!$G52+SUM($G196:Z196))/ROUND(((EOMONTH('Construction Budget'!$M52,0)-EOMONTH(AA$11,0))/30)+1,0),0)</f>
        <v>-20833.333333333339</v>
      </c>
      <c r="AB196" s="427">
        <f>-IF(AND(AB$11&gt;=EOMONTH('Construction Budget'!$K52,0),AB$11&lt;=EOMONTH('Construction Budget'!$M52,0)),('Construction Budget'!$G52+SUM($G196:AA196))/ROUND(((EOMONTH('Construction Budget'!$M52,0)-EOMONTH(AB$11,0))/30)+1,0),0)</f>
        <v>-20833.333333333343</v>
      </c>
      <c r="AC196" s="427">
        <f>-IF(AND(AC$11&gt;=EOMONTH('Construction Budget'!$K52,0),AC$11&lt;=EOMONTH('Construction Budget'!$M52,0)),('Construction Budget'!$G52+SUM($G196:AB196))/ROUND(((EOMONTH('Construction Budget'!$M52,0)-EOMONTH(AC$11,0))/30)+1,0),0)</f>
        <v>-20833.33333333335</v>
      </c>
      <c r="AD196" s="427">
        <f>-IF(AND(AD$11&gt;=EOMONTH('Construction Budget'!$K52,0),AD$11&lt;=EOMONTH('Construction Budget'!$M52,0)),('Construction Budget'!$G52+SUM($G196:AC196))/ROUND(((EOMONTH('Construction Budget'!$M52,0)-EOMONTH(AD$11,0))/30)+1,0),0)</f>
        <v>-20833.333333333343</v>
      </c>
      <c r="AE196" s="427">
        <f>-IF(AND(AE$11&gt;=EOMONTH('Construction Budget'!$K52,0),AE$11&lt;=EOMONTH('Construction Budget'!$M52,0)),('Construction Budget'!$G52+SUM($G196:AD196))/ROUND(((EOMONTH('Construction Budget'!$M52,0)-EOMONTH(AE$11,0))/30)+1,0),0)</f>
        <v>-20833.333333333332</v>
      </c>
      <c r="AF196" s="427">
        <f>-IF(AND(AF$11&gt;=EOMONTH('Construction Budget'!$K52,0),AF$11&lt;=EOMONTH('Construction Budget'!$M52,0)),('Construction Budget'!$G52+SUM($G196:AE196))/ROUND(((EOMONTH('Construction Budget'!$M52,0)-EOMONTH(AF$11,0))/30)+1,0),0)</f>
        <v>-20833.333333333343</v>
      </c>
      <c r="AG196" s="427">
        <f>-IF(AND(AG$11&gt;=EOMONTH('Construction Budget'!$K52,0),AG$11&lt;=EOMONTH('Construction Budget'!$M52,0)),('Construction Budget'!$G52+SUM($G196:AF196))/ROUND(((EOMONTH('Construction Budget'!$M52,0)-EOMONTH(AG$11,0))/30)+1,0),0)</f>
        <v>-20833.333333333372</v>
      </c>
      <c r="AH196" s="427">
        <f>-IF(AND(AH$11&gt;=EOMONTH('Construction Budget'!$K52,0),AH$11&lt;=EOMONTH('Construction Budget'!$M52,0)),('Construction Budget'!$G52+SUM($G196:AG196))/ROUND(((EOMONTH('Construction Budget'!$M52,0)-EOMONTH(AH$11,0))/30)+1,0),0)</f>
        <v>0</v>
      </c>
      <c r="AI196" s="427">
        <f>-IF(AND(AI$11&gt;=EOMONTH('Construction Budget'!$K52,0),AI$11&lt;=EOMONTH('Construction Budget'!$M52,0)),('Construction Budget'!$G52+SUM($G196:AH196))/ROUND(((EOMONTH('Construction Budget'!$M52,0)-EOMONTH(AI$11,0))/30)+1,0),0)</f>
        <v>0</v>
      </c>
      <c r="AJ196" s="427">
        <f>-IF(AND(AJ$11&gt;=EOMONTH('Construction Budget'!$K52,0),AJ$11&lt;=EOMONTH('Construction Budget'!$M52,0)),('Construction Budget'!$G52+SUM($G196:AI196))/ROUND(((EOMONTH('Construction Budget'!$M52,0)-EOMONTH(AJ$11,0))/30)+1,0),0)</f>
        <v>0</v>
      </c>
      <c r="AK196" s="427">
        <f>-IF(AND(AK$11&gt;=EOMONTH('Construction Budget'!$K52,0),AK$11&lt;=EOMONTH('Construction Budget'!$M52,0)),('Construction Budget'!$G52+SUM($G196:AJ196))/ROUND(((EOMONTH('Construction Budget'!$M52,0)-EOMONTH(AK$11,0))/30)+1,0),0)</f>
        <v>0</v>
      </c>
      <c r="AL196" s="427">
        <f>-IF(AND(AL$11&gt;=EOMONTH('Construction Budget'!$K52,0),AL$11&lt;=EOMONTH('Construction Budget'!$M52,0)),('Construction Budget'!$G52+SUM($G196:AK196))/ROUND(((EOMONTH('Construction Budget'!$M52,0)-EOMONTH(AL$11,0))/30)+1,0),0)</f>
        <v>0</v>
      </c>
      <c r="AM196" s="427">
        <f>-IF(AND(AM$11&gt;=EOMONTH('Construction Budget'!$K52,0),AM$11&lt;=EOMONTH('Construction Budget'!$M52,0)),('Construction Budget'!$G52+SUM($G196:AL196))/ROUND(((EOMONTH('Construction Budget'!$M52,0)-EOMONTH(AM$11,0))/30)+1,0),0)</f>
        <v>0</v>
      </c>
      <c r="AN196" s="427">
        <f>-IF(AND(AN$11&gt;=EOMONTH('Construction Budget'!$K52,0),AN$11&lt;=EOMONTH('Construction Budget'!$M52,0)),('Construction Budget'!$G52+SUM($G196:AM196))/ROUND(((EOMONTH('Construction Budget'!$M52,0)-EOMONTH(AN$11,0))/30)+1,0),0)</f>
        <v>0</v>
      </c>
      <c r="AO196" s="427">
        <f>-IF(AND(AO$11&gt;=EOMONTH('Construction Budget'!$K52,0),AO$11&lt;=EOMONTH('Construction Budget'!$M52,0)),('Construction Budget'!$G52+SUM($G196:AN196))/ROUND(((EOMONTH('Construction Budget'!$M52,0)-EOMONTH(AO$11,0))/30)+1,0),0)</f>
        <v>0</v>
      </c>
      <c r="AP196" s="427">
        <f>-IF(AND(AP$11&gt;=EOMONTH('Construction Budget'!$K52,0),AP$11&lt;=EOMONTH('Construction Budget'!$M52,0)),('Construction Budget'!$G52+SUM($G196:AO196))/ROUND(((EOMONTH('Construction Budget'!$M52,0)-EOMONTH(AP$11,0))/30)+1,0),0)</f>
        <v>0</v>
      </c>
      <c r="AQ196" s="427">
        <f>-IF(AND(AQ$11&gt;=EOMONTH('Construction Budget'!$K52,0),AQ$11&lt;=EOMONTH('Construction Budget'!$M52,0)),('Construction Budget'!$G52+SUM($G196:AP196))/ROUND(((EOMONTH('Construction Budget'!$M52,0)-EOMONTH(AQ$11,0))/30)+1,0),0)</f>
        <v>0</v>
      </c>
      <c r="AR196" s="427">
        <f>-IF(AND(AR$11&gt;=EOMONTH('Construction Budget'!$K52,0),AR$11&lt;=EOMONTH('Construction Budget'!$M52,0)),('Construction Budget'!$G52+SUM($G196:AQ196))/ROUND(((EOMONTH('Construction Budget'!$M52,0)-EOMONTH(AR$11,0))/30)+1,0),0)</f>
        <v>0</v>
      </c>
      <c r="AS196" s="427">
        <f>-IF(AND(AS$11&gt;=EOMONTH('Construction Budget'!$K52,0),AS$11&lt;=EOMONTH('Construction Budget'!$M52,0)),('Construction Budget'!$G52+SUM($G196:AR196))/ROUND(((EOMONTH('Construction Budget'!$M52,0)-EOMONTH(AS$11,0))/30)+1,0),0)</f>
        <v>0</v>
      </c>
      <c r="AT196" s="427">
        <f>-IF(AND(AT$11&gt;=EOMONTH('Construction Budget'!$K52,0),AT$11&lt;=EOMONTH('Construction Budget'!$M52,0)),('Construction Budget'!$G52+SUM($G196:AS196))/ROUND(((EOMONTH('Construction Budget'!$M52,0)-EOMONTH(AT$11,0))/30)+1,0),0)</f>
        <v>0</v>
      </c>
      <c r="AU196" s="427">
        <f>-IF(AND(AU$11&gt;=EOMONTH('Construction Budget'!$K52,0),AU$11&lt;=EOMONTH('Construction Budget'!$M52,0)),('Construction Budget'!$G52+SUM($G196:AT196))/ROUND(((EOMONTH('Construction Budget'!$M52,0)-EOMONTH(AU$11,0))/30)+1,0),0)</f>
        <v>0</v>
      </c>
      <c r="AV196" s="427">
        <f>-IF(AND(AV$11&gt;=EOMONTH('Construction Budget'!$K52,0),AV$11&lt;=EOMONTH('Construction Budget'!$M52,0)),('Construction Budget'!$G52+SUM($G196:AU196))/ROUND(((EOMONTH('Construction Budget'!$M52,0)-EOMONTH(AV$11,0))/30)+1,0),0)</f>
        <v>0</v>
      </c>
      <c r="AW196" s="427">
        <f>-IF(AND(AW$11&gt;=EOMONTH('Construction Budget'!$K52,0),AW$11&lt;=EOMONTH('Construction Budget'!$M52,0)),('Construction Budget'!$G52+SUM($G196:AV196))/ROUND(((EOMONTH('Construction Budget'!$M52,0)-EOMONTH(AW$11,0))/30)+1,0),0)</f>
        <v>0</v>
      </c>
      <c r="AX196" s="427">
        <f>-IF(AND(AX$11&gt;=EOMONTH('Construction Budget'!$K52,0),AX$11&lt;=EOMONTH('Construction Budget'!$M52,0)),('Construction Budget'!$G52+SUM($G196:AW196))/ROUND(((EOMONTH('Construction Budget'!$M52,0)-EOMONTH(AX$11,0))/30)+1,0),0)</f>
        <v>0</v>
      </c>
      <c r="AY196" s="427">
        <f>-IF(AND(AY$11&gt;=EOMONTH('Construction Budget'!$K52,0),AY$11&lt;=EOMONTH('Construction Budget'!$M52,0)),('Construction Budget'!$G52+SUM($G196:AX196))/ROUND(((EOMONTH('Construction Budget'!$M52,0)-EOMONTH(AY$11,0))/30)+1,0),0)</f>
        <v>0</v>
      </c>
      <c r="AZ196" s="427">
        <f>-IF(AND(AZ$11&gt;=EOMONTH('Construction Budget'!$K52,0),AZ$11&lt;=EOMONTH('Construction Budget'!$M52,0)),('Construction Budget'!$G52+SUM($G196:AY196))/ROUND(((EOMONTH('Construction Budget'!$M52,0)-EOMONTH(AZ$11,0))/30)+1,0),0)</f>
        <v>0</v>
      </c>
      <c r="BA196" s="427">
        <f>-IF(AND(BA$11&gt;=EOMONTH('Construction Budget'!$K52,0),BA$11&lt;=EOMONTH('Construction Budget'!$M52,0)),('Construction Budget'!$G52+SUM($G196:AZ196))/ROUND(((EOMONTH('Construction Budget'!$M52,0)-EOMONTH(BA$11,0))/30)+1,0),0)</f>
        <v>0</v>
      </c>
      <c r="BB196" s="427">
        <f>-IF(AND(BB$11&gt;=EOMONTH('Construction Budget'!$K52,0),BB$11&lt;=EOMONTH('Construction Budget'!$M52,0)),('Construction Budget'!$G52+SUM($G196:BA196))/ROUND(((EOMONTH('Construction Budget'!$M52,0)-EOMONTH(BB$11,0))/30)+1,0),0)</f>
        <v>0</v>
      </c>
      <c r="BC196" s="427">
        <f>-IF(AND(BC$11&gt;=EOMONTH('Construction Budget'!$K52,0),BC$11&lt;=EOMONTH('Construction Budget'!$M52,0)),('Construction Budget'!$G52+SUM($G196:BB196))/ROUND(((EOMONTH('Construction Budget'!$M52,0)-EOMONTH(BC$11,0))/30)+1,0),0)</f>
        <v>0</v>
      </c>
      <c r="BD196" s="427">
        <f>-IF(AND(BD$11&gt;=EOMONTH('Construction Budget'!$K52,0),BD$11&lt;=EOMONTH('Construction Budget'!$M52,0)),('Construction Budget'!$G52+SUM($G196:BC196))/ROUND(((EOMONTH('Construction Budget'!$M52,0)-EOMONTH(BD$11,0))/30)+1,0),0)</f>
        <v>0</v>
      </c>
      <c r="BE196" s="427">
        <f>-IF(AND(BE$11&gt;=EOMONTH('Construction Budget'!$K52,0),BE$11&lt;=EOMONTH('Construction Budget'!$M52,0)),('Construction Budget'!$G52+SUM($G196:BD196))/ROUND(((EOMONTH('Construction Budget'!$M52,0)-EOMONTH(BE$11,0))/30)+1,0),0)</f>
        <v>0</v>
      </c>
      <c r="BF196" s="427">
        <f>-IF(AND(BF$11&gt;=EOMONTH('Construction Budget'!$K52,0),BF$11&lt;=EOMONTH('Construction Budget'!$M52,0)),('Construction Budget'!$G52+SUM($G196:BE196))/ROUND(((EOMONTH('Construction Budget'!$M52,0)-EOMONTH(BF$11,0))/30)+1,0),0)</f>
        <v>0</v>
      </c>
      <c r="BG196" s="427">
        <f>-IF(AND(BG$11&gt;=EOMONTH('Construction Budget'!$K52,0),BG$11&lt;=EOMONTH('Construction Budget'!$M52,0)),('Construction Budget'!$G52+SUM($G196:BF196))/ROUND(((EOMONTH('Construction Budget'!$M52,0)-EOMONTH(BG$11,0))/30)+1,0),0)</f>
        <v>0</v>
      </c>
      <c r="BH196" s="427">
        <f>-IF(AND(BH$11&gt;=EOMONTH('Construction Budget'!$K52,0),BH$11&lt;=EOMONTH('Construction Budget'!$M52,0)),('Construction Budget'!$G52+SUM($G196:BG196))/ROUND(((EOMONTH('Construction Budget'!$M52,0)-EOMONTH(BH$11,0))/30)+1,0),0)</f>
        <v>0</v>
      </c>
      <c r="BI196" s="427">
        <f>-IF(AND(BI$11&gt;=EOMONTH('Construction Budget'!$K52,0),BI$11&lt;=EOMONTH('Construction Budget'!$M52,0)),('Construction Budget'!$G52+SUM($G196:BH196))/ROUND(((EOMONTH('Construction Budget'!$M52,0)-EOMONTH(BI$11,0))/30)+1,0),0)</f>
        <v>0</v>
      </c>
      <c r="BJ196" s="427">
        <f>-IF(AND(BJ$11&gt;=EOMONTH('Construction Budget'!$K52,0),BJ$11&lt;=EOMONTH('Construction Budget'!$M52,0)),('Construction Budget'!$G52+SUM($G196:BI196))/ROUND(((EOMONTH('Construction Budget'!$M52,0)-EOMONTH(BJ$11,0))/30)+1,0),0)</f>
        <v>0</v>
      </c>
      <c r="BK196" s="427">
        <f>-IF(AND(BK$11&gt;=EOMONTH('Construction Budget'!$K52,0),BK$11&lt;=EOMONTH('Construction Budget'!$M52,0)),('Construction Budget'!$G52+SUM($G196:BJ196))/ROUND(((EOMONTH('Construction Budget'!$M52,0)-EOMONTH(BK$11,0))/30)+1,0),0)</f>
        <v>0</v>
      </c>
      <c r="BL196" s="427">
        <f>-IF(AND(BL$11&gt;=EOMONTH('Construction Budget'!$K52,0),BL$11&lt;=EOMONTH('Construction Budget'!$M52,0)),('Construction Budget'!$G52+SUM($G196:BK196))/ROUND(((EOMONTH('Construction Budget'!$M52,0)-EOMONTH(BL$11,0))/30)+1,0),0)</f>
        <v>0</v>
      </c>
      <c r="BM196" s="427">
        <f>-IF(AND(BM$11&gt;=EOMONTH('Construction Budget'!$K52,0),BM$11&lt;=EOMONTH('Construction Budget'!$M52,0)),('Construction Budget'!$G52+SUM($G196:BL196))/ROUND(((EOMONTH('Construction Budget'!$M52,0)-EOMONTH(BM$11,0))/30)+1,0),0)</f>
        <v>0</v>
      </c>
      <c r="BN196" s="427">
        <f>-IF(AND(BN$11&gt;=EOMONTH('Construction Budget'!$K52,0),BN$11&lt;=EOMONTH('Construction Budget'!$M52,0)),('Construction Budget'!$G52+SUM($G196:BM196))/ROUND(((EOMONTH('Construction Budget'!$M52,0)-EOMONTH(BN$11,0))/30)+1,0),0)</f>
        <v>0</v>
      </c>
      <c r="BO196" s="427">
        <f>-IF(AND(BO$11&gt;=EOMONTH('Construction Budget'!$K52,0),BO$11&lt;=EOMONTH('Construction Budget'!$M52,0)),('Construction Budget'!$G52+SUM($G196:BN196))/ROUND(((EOMONTH('Construction Budget'!$M52,0)-EOMONTH(BO$11,0))/30)+1,0),0)</f>
        <v>0</v>
      </c>
      <c r="BP196" s="427">
        <f>-IF(AND(BP$11&gt;=EOMONTH('Construction Budget'!$K52,0),BP$11&lt;=EOMONTH('Construction Budget'!$M52,0)),('Construction Budget'!$G52+SUM($G196:BO196))/ROUND(((EOMONTH('Construction Budget'!$M52,0)-EOMONTH(BP$11,0))/30)+1,0),0)</f>
        <v>0</v>
      </c>
      <c r="BQ196" s="427">
        <f>-IF(AND(BQ$11&gt;=EOMONTH('Construction Budget'!$K52,0),BQ$11&lt;=EOMONTH('Construction Budget'!$M52,0)),('Construction Budget'!$G52+SUM($G196:BP196))/ROUND(((EOMONTH('Construction Budget'!$M52,0)-EOMONTH(BQ$11,0))/30)+1,0),0)</f>
        <v>0</v>
      </c>
      <c r="BR196" s="427">
        <f>-IF(AND(BR$11&gt;=EOMONTH('Construction Budget'!$K52,0),BR$11&lt;=EOMONTH('Construction Budget'!$M52,0)),('Construction Budget'!$G52+SUM($G196:BQ196))/ROUND(((EOMONTH('Construction Budget'!$M52,0)-EOMONTH(BR$11,0))/30)+1,0),0)</f>
        <v>0</v>
      </c>
      <c r="BS196" s="427">
        <f>-IF(AND(BS$11&gt;=EOMONTH('Construction Budget'!$K52,0),BS$11&lt;=EOMONTH('Construction Budget'!$M52,0)),('Construction Budget'!$G52+SUM($G196:BR196))/ROUND(((EOMONTH('Construction Budget'!$M52,0)-EOMONTH(BS$11,0))/30)+1,0),0)</f>
        <v>0</v>
      </c>
      <c r="BT196" s="427">
        <f>-IF(AND(BT$11&gt;=EOMONTH('Construction Budget'!$K52,0),BT$11&lt;=EOMONTH('Construction Budget'!$M52,0)),('Construction Budget'!$G52+SUM($G196:BS196))/ROUND(((EOMONTH('Construction Budget'!$M52,0)-EOMONTH(BT$11,0))/30)+1,0),0)</f>
        <v>0</v>
      </c>
      <c r="BU196" s="427">
        <f>-IF(AND(BU$11&gt;=EOMONTH('Construction Budget'!$K52,0),BU$11&lt;=EOMONTH('Construction Budget'!$M52,0)),('Construction Budget'!$G52+SUM($G196:BT196))/ROUND(((EOMONTH('Construction Budget'!$M52,0)-EOMONTH(BU$11,0))/30)+1,0),0)</f>
        <v>0</v>
      </c>
      <c r="BV196" s="427">
        <f>-IF(AND(BV$11&gt;=EOMONTH('Construction Budget'!$K52,0),BV$11&lt;=EOMONTH('Construction Budget'!$M52,0)),('Construction Budget'!$G52+SUM($G196:BU196))/ROUND(((EOMONTH('Construction Budget'!$M52,0)-EOMONTH(BV$11,0))/30)+1,0),0)</f>
        <v>0</v>
      </c>
      <c r="BW196" s="427">
        <f>-IF(AND(BW$11&gt;=EOMONTH('Construction Budget'!$K52,0),BW$11&lt;=EOMONTH('Construction Budget'!$M52,0)),('Construction Budget'!$G52+SUM($G196:BV196))/ROUND(((EOMONTH('Construction Budget'!$M52,0)-EOMONTH(BW$11,0))/30)+1,0),0)</f>
        <v>0</v>
      </c>
      <c r="BX196" s="427">
        <f>-IF(AND(BX$11&gt;=EOMONTH('Construction Budget'!$K52,0),BX$11&lt;=EOMONTH('Construction Budget'!$M52,0)),('Construction Budget'!$G52+SUM($G196:BW196))/ROUND(((EOMONTH('Construction Budget'!$M52,0)-EOMONTH(BX$11,0))/30)+1,0),0)</f>
        <v>0</v>
      </c>
      <c r="BY196" s="427">
        <f>-IF(AND(BY$11&gt;=EOMONTH('Construction Budget'!$K52,0),BY$11&lt;=EOMONTH('Construction Budget'!$M52,0)),('Construction Budget'!$G52+SUM($G196:BX196))/ROUND(((EOMONTH('Construction Budget'!$M52,0)-EOMONTH(BY$11,0))/30)+1,0),0)</f>
        <v>0</v>
      </c>
      <c r="BZ196" s="427">
        <f>-IF(AND(BZ$11&gt;=EOMONTH('Construction Budget'!$K52,0),BZ$11&lt;=EOMONTH('Construction Budget'!$M52,0)),('Construction Budget'!$G52+SUM($G196:BY196))/ROUND(((EOMONTH('Construction Budget'!$M52,0)-EOMONTH(BZ$11,0))/30)+1,0),0)</f>
        <v>0</v>
      </c>
      <c r="CA196" s="427">
        <f>-IF(AND(CA$11&gt;=EOMONTH('Construction Budget'!$K52,0),CA$11&lt;=EOMONTH('Construction Budget'!$M52,0)),('Construction Budget'!$G52+SUM($G196:BZ196))/ROUND(((EOMONTH('Construction Budget'!$M52,0)-EOMONTH(CA$11,0))/30)+1,0),0)</f>
        <v>0</v>
      </c>
      <c r="CB196" s="427">
        <f>-IF(AND(CB$11&gt;=EOMONTH('Construction Budget'!$K52,0),CB$11&lt;=EOMONTH('Construction Budget'!$M52,0)),('Construction Budget'!$G52+SUM($G196:CA196))/ROUND(((EOMONTH('Construction Budget'!$M52,0)-EOMONTH(CB$11,0))/30)+1,0),0)</f>
        <v>0</v>
      </c>
      <c r="CC196" s="427">
        <f>-IF(AND(CC$11&gt;=EOMONTH('Construction Budget'!$K52,0),CC$11&lt;=EOMONTH('Construction Budget'!$M52,0)),('Construction Budget'!$G52+SUM($G196:CB196))/ROUND(((EOMONTH('Construction Budget'!$M52,0)-EOMONTH(CC$11,0))/30)+1,0),0)</f>
        <v>0</v>
      </c>
      <c r="CD196" s="427">
        <f>-IF(AND(CD$11&gt;=EOMONTH('Construction Budget'!$K52,0),CD$11&lt;=EOMONTH('Construction Budget'!$M52,0)),('Construction Budget'!$G52+SUM($G196:CC196))/ROUND(((EOMONTH('Construction Budget'!$M52,0)-EOMONTH(CD$11,0))/30)+1,0),0)</f>
        <v>0</v>
      </c>
      <c r="CE196" s="427">
        <f>-IF(AND(CE$11&gt;=EOMONTH('Construction Budget'!$K52,0),CE$11&lt;=EOMONTH('Construction Budget'!$M52,0)),('Construction Budget'!$G52+SUM($G196:CD196))/ROUND(((EOMONTH('Construction Budget'!$M52,0)-EOMONTH(CE$11,0))/30)+1,0),0)</f>
        <v>0</v>
      </c>
      <c r="CF196" s="427">
        <f>-IF(AND(CF$11&gt;=EOMONTH('Construction Budget'!$K52,0),CF$11&lt;=EOMONTH('Construction Budget'!$M52,0)),('Construction Budget'!$G52+SUM($G196:CE196))/ROUND(((EOMONTH('Construction Budget'!$M52,0)-EOMONTH(CF$11,0))/30)+1,0),0)</f>
        <v>0</v>
      </c>
      <c r="CG196" s="427">
        <f>-IF(AND(CG$11&gt;=EOMONTH('Construction Budget'!$K52,0),CG$11&lt;=EOMONTH('Construction Budget'!$M52,0)),('Construction Budget'!$G52+SUM($G196:CF196))/ROUND(((EOMONTH('Construction Budget'!$M52,0)-EOMONTH(CG$11,0))/30)+1,0),0)</f>
        <v>0</v>
      </c>
      <c r="CH196" s="427">
        <f>-IF(AND(CH$11&gt;=EOMONTH('Construction Budget'!$K52,0),CH$11&lt;=EOMONTH('Construction Budget'!$M52,0)),('Construction Budget'!$G52+SUM($G196:CG196))/ROUND(((EOMONTH('Construction Budget'!$M52,0)-EOMONTH(CH$11,0))/30)+1,0),0)</f>
        <v>0</v>
      </c>
      <c r="CI196" s="427">
        <f>-IF(AND(CI$11&gt;=EOMONTH('Construction Budget'!$K52,0),CI$11&lt;=EOMONTH('Construction Budget'!$M52,0)),('Construction Budget'!$G52+SUM($G196:CH196))/ROUND(((EOMONTH('Construction Budget'!$M52,0)-EOMONTH(CI$11,0))/30)+1,0),0)</f>
        <v>0</v>
      </c>
      <c r="CJ196" s="427">
        <f>-IF(AND(CJ$11&gt;=EOMONTH('Construction Budget'!$K52,0),CJ$11&lt;=EOMONTH('Construction Budget'!$M52,0)),('Construction Budget'!$G52+SUM($G196:CI196))/ROUND(((EOMONTH('Construction Budget'!$M52,0)-EOMONTH(CJ$11,0))/30)+1,0),0)</f>
        <v>0</v>
      </c>
      <c r="CK196" s="427">
        <f>-IF(AND(CK$11&gt;=EOMONTH('Construction Budget'!$K52,0),CK$11&lt;=EOMONTH('Construction Budget'!$M52,0)),('Construction Budget'!$G52+SUM($G196:CJ196))/ROUND(((EOMONTH('Construction Budget'!$M52,0)-EOMONTH(CK$11,0))/30)+1,0),0)</f>
        <v>0</v>
      </c>
      <c r="CL196" s="427">
        <f>-IF(AND(CL$11&gt;=EOMONTH('Construction Budget'!$K52,0),CL$11&lt;=EOMONTH('Construction Budget'!$M52,0)),('Construction Budget'!$G52+SUM($G196:CK196))/ROUND(((EOMONTH('Construction Budget'!$M52,0)-EOMONTH(CL$11,0))/30)+1,0),0)</f>
        <v>0</v>
      </c>
      <c r="CM196" s="427">
        <f>-IF(AND(CM$11&gt;=EOMONTH('Construction Budget'!$K52,0),CM$11&lt;=EOMONTH('Construction Budget'!$M52,0)),('Construction Budget'!$G52+SUM($G196:CL196))/ROUND(((EOMONTH('Construction Budget'!$M52,0)-EOMONTH(CM$11,0))/30)+1,0),0)</f>
        <v>0</v>
      </c>
      <c r="CN196" s="427">
        <f>-IF(AND(CN$11&gt;=EOMONTH('Construction Budget'!$K52,0),CN$11&lt;=EOMONTH('Construction Budget'!$M52,0)),('Construction Budget'!$G52+SUM($G196:CM196))/ROUND(((EOMONTH('Construction Budget'!$M52,0)-EOMONTH(CN$11,0))/30)+1,0),0)</f>
        <v>0</v>
      </c>
      <c r="CO196" s="427">
        <f>-IF(AND(CO$11&gt;=EOMONTH('Construction Budget'!$K52,0),CO$11&lt;=EOMONTH('Construction Budget'!$M52,0)),('Construction Budget'!$G52+SUM($G196:CN196))/ROUND(((EOMONTH('Construction Budget'!$M52,0)-EOMONTH(CO$11,0))/30)+1,0),0)</f>
        <v>0</v>
      </c>
      <c r="CP196" s="427">
        <f>-IF(AND(CP$11&gt;=EOMONTH('Construction Budget'!$K52,0),CP$11&lt;=EOMONTH('Construction Budget'!$M52,0)),('Construction Budget'!$G52+SUM($G196:CO196))/ROUND(((EOMONTH('Construction Budget'!$M52,0)-EOMONTH(CP$11,0))/30)+1,0),0)</f>
        <v>0</v>
      </c>
      <c r="CQ196" s="427">
        <f>-IF(AND(CQ$11&gt;=EOMONTH('Construction Budget'!$K52,0),CQ$11&lt;=EOMONTH('Construction Budget'!$M52,0)),('Construction Budget'!$G52+SUM($G196:CP196))/ROUND(((EOMONTH('Construction Budget'!$M52,0)-EOMONTH(CQ$11,0))/30)+1,0),0)</f>
        <v>0</v>
      </c>
      <c r="CR196" s="427">
        <f>-IF(AND(CR$11&gt;=EOMONTH('Construction Budget'!$K52,0),CR$11&lt;=EOMONTH('Construction Budget'!$M52,0)),('Construction Budget'!$G52+SUM($G196:CQ196))/ROUND(((EOMONTH('Construction Budget'!$M52,0)-EOMONTH(CR$11,0))/30)+1,0),0)</f>
        <v>0</v>
      </c>
      <c r="CS196" s="427">
        <f>-IF(AND(CS$11&gt;=EOMONTH('Construction Budget'!$K52,0),CS$11&lt;=EOMONTH('Construction Budget'!$M52,0)),('Construction Budget'!$G52+SUM($G196:CR196))/ROUND(((EOMONTH('Construction Budget'!$M52,0)-EOMONTH(CS$11,0))/30)+1,0),0)</f>
        <v>0</v>
      </c>
      <c r="CT196" s="427">
        <f>-IF(AND(CT$11&gt;=EOMONTH('Construction Budget'!$K52,0),CT$11&lt;=EOMONTH('Construction Budget'!$M52,0)),('Construction Budget'!$G52+SUM($G196:CS196))/ROUND(((EOMONTH('Construction Budget'!$M52,0)-EOMONTH(CT$11,0))/30)+1,0),0)</f>
        <v>0</v>
      </c>
      <c r="CU196" s="427">
        <f>-IF(AND(CU$11&gt;=EOMONTH('Construction Budget'!$K52,0),CU$11&lt;=EOMONTH('Construction Budget'!$M52,0)),('Construction Budget'!$G52+SUM($G196:CT196))/ROUND(((EOMONTH('Construction Budget'!$M52,0)-EOMONTH(CU$11,0))/30)+1,0),0)</f>
        <v>0</v>
      </c>
      <c r="CV196" s="427">
        <f>-IF(AND(CV$11&gt;=EOMONTH('Construction Budget'!$K52,0),CV$11&lt;=EOMONTH('Construction Budget'!$M52,0)),('Construction Budget'!$G52+SUM($G196:CU196))/ROUND(((EOMONTH('Construction Budget'!$M52,0)-EOMONTH(CV$11,0))/30)+1,0),0)</f>
        <v>0</v>
      </c>
      <c r="CW196" s="427">
        <f>-IF(AND(CW$11&gt;=EOMONTH('Construction Budget'!$K52,0),CW$11&lt;=EOMONTH('Construction Budget'!$M52,0)),('Construction Budget'!$G52+SUM($G196:CV196))/ROUND(((EOMONTH('Construction Budget'!$M52,0)-EOMONTH(CW$11,0))/30)+1,0),0)</f>
        <v>0</v>
      </c>
      <c r="CX196" s="427">
        <f>-IF(AND(CX$11&gt;=EOMONTH('Construction Budget'!$K52,0),CX$11&lt;=EOMONTH('Construction Budget'!$M52,0)),('Construction Budget'!$G52+SUM($G196:CW196))/ROUND(((EOMONTH('Construction Budget'!$M52,0)-EOMONTH(CX$11,0))/30)+1,0),0)</f>
        <v>0</v>
      </c>
      <c r="CY196" s="427">
        <f>-IF(AND(CY$11&gt;=EOMONTH('Construction Budget'!$K52,0),CY$11&lt;=EOMONTH('Construction Budget'!$M52,0)),('Construction Budget'!$G52+SUM($G196:CX196))/ROUND(((EOMONTH('Construction Budget'!$M52,0)-EOMONTH(CY$11,0))/30)+1,0),0)</f>
        <v>0</v>
      </c>
      <c r="CZ196" s="427">
        <f>-IF(AND(CZ$11&gt;=EOMONTH('Construction Budget'!$K52,0),CZ$11&lt;=EOMONTH('Construction Budget'!$M52,0)),('Construction Budget'!$G52+SUM($G196:CY196))/ROUND(((EOMONTH('Construction Budget'!$M52,0)-EOMONTH(CZ$11,0))/30)+1,0),0)</f>
        <v>0</v>
      </c>
      <c r="DA196" s="427">
        <f>-IF(AND(DA$11&gt;=EOMONTH('Construction Budget'!$K52,0),DA$11&lt;=EOMONTH('Construction Budget'!$M52,0)),('Construction Budget'!$G52+SUM($G196:CZ196))/ROUND(((EOMONTH('Construction Budget'!$M52,0)-EOMONTH(DA$11,0))/30)+1,0),0)</f>
        <v>0</v>
      </c>
      <c r="DB196" s="427">
        <f>-IF(AND(DB$11&gt;=EOMONTH('Construction Budget'!$K52,0),DB$11&lt;=EOMONTH('Construction Budget'!$M52,0)),('Construction Budget'!$G52+SUM($G196:DA196))/ROUND(((EOMONTH('Construction Budget'!$M52,0)-EOMONTH(DB$11,0))/30)+1,0),0)</f>
        <v>0</v>
      </c>
      <c r="DC196" s="427">
        <f>-IF(AND(DC$11&gt;=EOMONTH('Construction Budget'!$K52,0),DC$11&lt;=EOMONTH('Construction Budget'!$M52,0)),('Construction Budget'!$G52+SUM($G196:DB196))/ROUND(((EOMONTH('Construction Budget'!$M52,0)-EOMONTH(DC$11,0))/30)+1,0),0)</f>
        <v>0</v>
      </c>
      <c r="DD196" s="427">
        <f>-IF(AND(DD$11&gt;=EOMONTH('Construction Budget'!$K52,0),DD$11&lt;=EOMONTH('Construction Budget'!$M52,0)),('Construction Budget'!$G52+SUM($G196:DC196))/ROUND(((EOMONTH('Construction Budget'!$M52,0)-EOMONTH(DD$11,0))/30)+1,0),0)</f>
        <v>0</v>
      </c>
      <c r="DE196" s="427">
        <f>-IF(AND(DE$11&gt;=EOMONTH('Construction Budget'!$K52,0),DE$11&lt;=EOMONTH('Construction Budget'!$M52,0)),('Construction Budget'!$G52+SUM($G196:DD196))/ROUND(((EOMONTH('Construction Budget'!$M52,0)-EOMONTH(DE$11,0))/30)+1,0),0)</f>
        <v>0</v>
      </c>
      <c r="DF196" s="427">
        <f>-IF(AND(DF$11&gt;=EOMONTH('Construction Budget'!$K52,0),DF$11&lt;=EOMONTH('Construction Budget'!$M52,0)),('Construction Budget'!$G52+SUM($G196:DE196))/ROUND(((EOMONTH('Construction Budget'!$M52,0)-EOMONTH(DF$11,0))/30)+1,0),0)</f>
        <v>0</v>
      </c>
      <c r="DG196" s="427">
        <f>-IF(AND(DG$11&gt;=EOMONTH('Construction Budget'!$K52,0),DG$11&lt;=EOMONTH('Construction Budget'!$M52,0)),('Construction Budget'!$G52+SUM($G196:DF196))/ROUND(((EOMONTH('Construction Budget'!$M52,0)-EOMONTH(DG$11,0))/30)+1,0),0)</f>
        <v>0</v>
      </c>
      <c r="DH196" s="427">
        <f>-IF(AND(DH$11&gt;=EOMONTH('Construction Budget'!$K52,0),DH$11&lt;=EOMONTH('Construction Budget'!$M52,0)),('Construction Budget'!$G52+SUM($G196:DG196))/ROUND(((EOMONTH('Construction Budget'!$M52,0)-EOMONTH(DH$11,0))/30)+1,0),0)</f>
        <v>0</v>
      </c>
      <c r="DI196" s="427">
        <f>-IF(AND(DI$11&gt;=EOMONTH('Construction Budget'!$K52,0),DI$11&lt;=EOMONTH('Construction Budget'!$M52,0)),('Construction Budget'!$G52+SUM($G196:DH196))/ROUND(((EOMONTH('Construction Budget'!$M52,0)-EOMONTH(DI$11,0))/30)+1,0),0)</f>
        <v>0</v>
      </c>
      <c r="DJ196" s="427">
        <f>-IF(AND(DJ$11&gt;=EOMONTH('Construction Budget'!$K52,0),DJ$11&lt;=EOMONTH('Construction Budget'!$M52,0)),('Construction Budget'!$G52+SUM($G196:DI196))/ROUND(((EOMONTH('Construction Budget'!$M52,0)-EOMONTH(DJ$11,0))/30)+1,0),0)</f>
        <v>0</v>
      </c>
      <c r="DK196" s="427">
        <f>-IF(AND(DK$11&gt;=EOMONTH('Construction Budget'!$K52,0),DK$11&lt;=EOMONTH('Construction Budget'!$M52,0)),('Construction Budget'!$G52+SUM($G196:DJ196))/ROUND(((EOMONTH('Construction Budget'!$M52,0)-EOMONTH(DK$11,0))/30)+1,0),0)</f>
        <v>0</v>
      </c>
      <c r="DL196" s="427">
        <f>-IF(AND(DL$11&gt;=EOMONTH('Construction Budget'!$K52,0),DL$11&lt;=EOMONTH('Construction Budget'!$M52,0)),('Construction Budget'!$G52+SUM($G196:DK196))/ROUND(((EOMONTH('Construction Budget'!$M52,0)-EOMONTH(DL$11,0))/30)+1,0),0)</f>
        <v>0</v>
      </c>
      <c r="DM196" s="427">
        <f>-IF(AND(DM$11&gt;=EOMONTH('Construction Budget'!$K52,0),DM$11&lt;=EOMONTH('Construction Budget'!$M52,0)),('Construction Budget'!$G52+SUM($G196:DL196))/ROUND(((EOMONTH('Construction Budget'!$M52,0)-EOMONTH(DM$11,0))/30)+1,0),0)</f>
        <v>0</v>
      </c>
      <c r="DN196" s="427">
        <f>-IF(AND(DN$11&gt;=EOMONTH('Construction Budget'!$K52,0),DN$11&lt;=EOMONTH('Construction Budget'!$M52,0)),('Construction Budget'!$G52+SUM($G196:DM196))/ROUND(((EOMONTH('Construction Budget'!$M52,0)-EOMONTH(DN$11,0))/30)+1,0),0)</f>
        <v>0</v>
      </c>
      <c r="DO196" s="427">
        <f>-IF(AND(DO$11&gt;=EOMONTH('Construction Budget'!$K52,0),DO$11&lt;=EOMONTH('Construction Budget'!$M52,0)),('Construction Budget'!$G52+SUM($G196:DN196))/ROUND(((EOMONTH('Construction Budget'!$M52,0)-EOMONTH(DO$11,0))/30)+1,0),0)</f>
        <v>0</v>
      </c>
      <c r="DP196" s="427">
        <f>-IF(AND(DP$11&gt;=EOMONTH('Construction Budget'!$K52,0),DP$11&lt;=EOMONTH('Construction Budget'!$M52,0)),('Construction Budget'!$G52+SUM($G196:DO196))/ROUND(((EOMONTH('Construction Budget'!$M52,0)-EOMONTH(DP$11,0))/30)+1,0),0)</f>
        <v>0</v>
      </c>
      <c r="DQ196" s="427">
        <f>-IF(AND(DQ$11&gt;=EOMONTH('Construction Budget'!$K52,0),DQ$11&lt;=EOMONTH('Construction Budget'!$M52,0)),('Construction Budget'!$G52+SUM($G196:DP196))/ROUND(((EOMONTH('Construction Budget'!$M52,0)-EOMONTH(DQ$11,0))/30)+1,0),0)</f>
        <v>0</v>
      </c>
      <c r="DR196" s="427">
        <f>-IF(AND(DR$11&gt;=EOMONTH('Construction Budget'!$K52,0),DR$11&lt;=EOMONTH('Construction Budget'!$M52,0)),('Construction Budget'!$G52+SUM($G196:DQ196))/ROUND(((EOMONTH('Construction Budget'!$M52,0)-EOMONTH(DR$11,0))/30)+1,0),0)</f>
        <v>0</v>
      </c>
      <c r="DS196" s="427">
        <f>-IF(AND(DS$11&gt;=EOMONTH('Construction Budget'!$K52,0),DS$11&lt;=EOMONTH('Construction Budget'!$M52,0)),('Construction Budget'!$G52+SUM($G196:DR196))/ROUND(((EOMONTH('Construction Budget'!$M52,0)-EOMONTH(DS$11,0))/30)+1,0),0)</f>
        <v>0</v>
      </c>
      <c r="DT196" s="427">
        <f>-IF(AND(DT$11&gt;=EOMONTH('Construction Budget'!$K52,0),DT$11&lt;=EOMONTH('Construction Budget'!$M52,0)),('Construction Budget'!$G52+SUM($G196:DS196))/ROUND(((EOMONTH('Construction Budget'!$M52,0)-EOMONTH(DT$11,0))/30)+1,0),0)</f>
        <v>0</v>
      </c>
      <c r="DU196" s="427">
        <f>-IF(AND(DU$11&gt;=EOMONTH('Construction Budget'!$K52,0),DU$11&lt;=EOMONTH('Construction Budget'!$M52,0)),('Construction Budget'!$G52+SUM($G196:DT196))/ROUND(((EOMONTH('Construction Budget'!$M52,0)-EOMONTH(DU$11,0))/30)+1,0),0)</f>
        <v>0</v>
      </c>
      <c r="DV196" s="427">
        <f>-IF(AND(DV$11&gt;=EOMONTH('Construction Budget'!$K52,0),DV$11&lt;=EOMONTH('Construction Budget'!$M52,0)),('Construction Budget'!$G52+SUM($G196:DU196))/ROUND(((EOMONTH('Construction Budget'!$M52,0)-EOMONTH(DV$11,0))/30)+1,0),0)</f>
        <v>0</v>
      </c>
      <c r="DW196" s="427">
        <f>-IF(AND(DW$11&gt;=EOMONTH('Construction Budget'!$K52,0),DW$11&lt;=EOMONTH('Construction Budget'!$M52,0)),('Construction Budget'!$G52+SUM($G196:DV196))/ROUND(((EOMONTH('Construction Budget'!$M52,0)-EOMONTH(DW$11,0))/30)+1,0),0)</f>
        <v>0</v>
      </c>
      <c r="DX196" s="427">
        <f>-IF(AND(DX$11&gt;=EOMONTH('Construction Budget'!$K52,0),DX$11&lt;=EOMONTH('Construction Budget'!$M52,0)),('Construction Budget'!$G52+SUM($G196:DW196))/ROUND(((EOMONTH('Construction Budget'!$M52,0)-EOMONTH(DX$11,0))/30)+1,0),0)</f>
        <v>0</v>
      </c>
      <c r="DY196" s="427">
        <f>-IF(AND(DY$11&gt;=EOMONTH('Construction Budget'!$K52,0),DY$11&lt;=EOMONTH('Construction Budget'!$M52,0)),('Construction Budget'!$G52+SUM($G196:DX196))/ROUND(((EOMONTH('Construction Budget'!$M52,0)-EOMONTH(DY$11,0))/30)+1,0),0)</f>
        <v>0</v>
      </c>
      <c r="DZ196" s="427">
        <f>-IF(AND(DZ$11&gt;=EOMONTH('Construction Budget'!$K52,0),DZ$11&lt;=EOMONTH('Construction Budget'!$M52,0)),('Construction Budget'!$G52+SUM($G196:DY196))/ROUND(((EOMONTH('Construction Budget'!$M52,0)-EOMONTH(DZ$11,0))/30)+1,0),0)</f>
        <v>0</v>
      </c>
      <c r="EA196" s="427">
        <f>-IF(AND(EA$11&gt;=EOMONTH('Construction Budget'!$K52,0),EA$11&lt;=EOMONTH('Construction Budget'!$M52,0)),('Construction Budget'!$G52+SUM($G196:DZ196))/ROUND(((EOMONTH('Construction Budget'!$M52,0)-EOMONTH(EA$11,0))/30)+1,0),0)</f>
        <v>0</v>
      </c>
      <c r="EB196" s="427">
        <f>-IF(AND(EB$11&gt;=EOMONTH('Construction Budget'!$K52,0),EB$11&lt;=EOMONTH('Construction Budget'!$M52,0)),('Construction Budget'!$G52+SUM($G196:EA196))/ROUND(((EOMONTH('Construction Budget'!$M52,0)-EOMONTH(EB$11,0))/30)+1,0),0)</f>
        <v>0</v>
      </c>
      <c r="EC196" s="427">
        <f>-IF(AND(EC$11&gt;=EOMONTH('Construction Budget'!$K52,0),EC$11&lt;=EOMONTH('Construction Budget'!$M52,0)),('Construction Budget'!$G52+SUM($G196:EB196))/ROUND(((EOMONTH('Construction Budget'!$M52,0)-EOMONTH(EC$11,0))/30)+1,0),0)</f>
        <v>0</v>
      </c>
      <c r="ED196" s="427">
        <f>-IF(AND(ED$11&gt;=EOMONTH('Construction Budget'!$K52,0),ED$11&lt;=EOMONTH('Construction Budget'!$M52,0)),('Construction Budget'!$G52+SUM($G196:EC196))/ROUND(((EOMONTH('Construction Budget'!$M52,0)-EOMONTH(ED$11,0))/30)+1,0),0)</f>
        <v>0</v>
      </c>
      <c r="EE196" s="427">
        <f>-IF(AND(EE$11&gt;=EOMONTH('Construction Budget'!$K52,0),EE$11&lt;=EOMONTH('Construction Budget'!$M52,0)),('Construction Budget'!$G52+SUM($G196:ED196))/ROUND(((EOMONTH('Construction Budget'!$M52,0)-EOMONTH(EE$11,0))/30)+1,0),0)</f>
        <v>0</v>
      </c>
      <c r="EF196" s="427">
        <f>-IF(AND(EF$11&gt;=EOMONTH('Construction Budget'!$K52,0),EF$11&lt;=EOMONTH('Construction Budget'!$M52,0)),('Construction Budget'!$G52+SUM($G196:EE196))/ROUND(((EOMONTH('Construction Budget'!$M52,0)-EOMONTH(EF$11,0))/30)+1,0),0)</f>
        <v>0</v>
      </c>
      <c r="EG196" s="427">
        <f>-IF(AND(EG$11&gt;=EOMONTH('Construction Budget'!$K52,0),EG$11&lt;=EOMONTH('Construction Budget'!$M52,0)),('Construction Budget'!$G52+SUM($G196:EF196))/ROUND(((EOMONTH('Construction Budget'!$M52,0)-EOMONTH(EG$11,0))/30)+1,0),0)</f>
        <v>0</v>
      </c>
      <c r="EH196" s="427">
        <f>-IF(AND(EH$11&gt;=EOMONTH('Construction Budget'!$K52,0),EH$11&lt;=EOMONTH('Construction Budget'!$M52,0)),('Construction Budget'!$G52+SUM($G196:EG196))/ROUND(((EOMONTH('Construction Budget'!$M52,0)-EOMONTH(EH$11,0))/30)+1,0),0)</f>
        <v>0</v>
      </c>
      <c r="EI196" s="427">
        <f>-IF(AND(EI$11&gt;=EOMONTH('Construction Budget'!$K52,0),EI$11&lt;=EOMONTH('Construction Budget'!$M52,0)),('Construction Budget'!$G52+SUM($G196:EH196))/ROUND(((EOMONTH('Construction Budget'!$M52,0)-EOMONTH(EI$11,0))/30)+1,0),0)</f>
        <v>0</v>
      </c>
      <c r="EJ196" s="427">
        <f>-IF(AND(EJ$11&gt;=EOMONTH('Construction Budget'!$K52,0),EJ$11&lt;=EOMONTH('Construction Budget'!$M52,0)),('Construction Budget'!$G52+SUM($G196:EI196))/ROUND(((EOMONTH('Construction Budget'!$M52,0)-EOMONTH(EJ$11,0))/30)+1,0),0)</f>
        <v>0</v>
      </c>
      <c r="EK196" s="427">
        <f>-IF(AND(EK$11&gt;=EOMONTH('Construction Budget'!$K52,0),EK$11&lt;=EOMONTH('Construction Budget'!$M52,0)),('Construction Budget'!$G52+SUM($G196:EJ196))/ROUND(((EOMONTH('Construction Budget'!$M52,0)-EOMONTH(EK$11,0))/30)+1,0),0)</f>
        <v>0</v>
      </c>
      <c r="EL196" s="427">
        <f>-IF(AND(EL$11&gt;=EOMONTH('Construction Budget'!$K52,0),EL$11&lt;=EOMONTH('Construction Budget'!$M52,0)),('Construction Budget'!$G52+SUM($G196:EK196))/ROUND(((EOMONTH('Construction Budget'!$M52,0)-EOMONTH(EL$11,0))/30)+1,0),0)</f>
        <v>0</v>
      </c>
      <c r="EM196" s="427">
        <f>-IF(AND(EM$11&gt;=EOMONTH('Construction Budget'!$K52,0),EM$11&lt;=EOMONTH('Construction Budget'!$M52,0)),('Construction Budget'!$G52+SUM($G196:EL196))/ROUND(((EOMONTH('Construction Budget'!$M52,0)-EOMONTH(EM$11,0))/30)+1,0),0)</f>
        <v>0</v>
      </c>
      <c r="EN196" s="427">
        <f>-IF(AND(EN$11&gt;=EOMONTH('Construction Budget'!$K52,0),EN$11&lt;=EOMONTH('Construction Budget'!$M52,0)),('Construction Budget'!$G52+SUM($G196:EM196))/ROUND(((EOMONTH('Construction Budget'!$M52,0)-EOMONTH(EN$11,0))/30)+1,0),0)</f>
        <v>0</v>
      </c>
      <c r="EO196" s="427">
        <f>-IF(AND(EO$11&gt;=EOMONTH('Construction Budget'!$K52,0),EO$11&lt;=EOMONTH('Construction Budget'!$M52,0)),('Construction Budget'!$G52+SUM($G196:EN196))/ROUND(((EOMONTH('Construction Budget'!$M52,0)-EOMONTH(EO$11,0))/30)+1,0),0)</f>
        <v>0</v>
      </c>
      <c r="EP196" s="427">
        <f>-IF(AND(EP$11&gt;=EOMONTH('Construction Budget'!$K52,0),EP$11&lt;=EOMONTH('Construction Budget'!$M52,0)),('Construction Budget'!$G52+SUM($G196:EO196))/ROUND(((EOMONTH('Construction Budget'!$M52,0)-EOMONTH(EP$11,0))/30)+1,0),0)</f>
        <v>0</v>
      </c>
      <c r="EQ196" s="427">
        <f>-IF(AND(EQ$11&gt;=EOMONTH('Construction Budget'!$K52,0),EQ$11&lt;=EOMONTH('Construction Budget'!$M52,0)),('Construction Budget'!$G52+SUM($G196:EP196))/ROUND(((EOMONTH('Construction Budget'!$M52,0)-EOMONTH(EQ$11,0))/30)+1,0),0)</f>
        <v>0</v>
      </c>
      <c r="ER196" s="427">
        <f>-IF(AND(ER$11&gt;=EOMONTH('Construction Budget'!$K52,0),ER$11&lt;=EOMONTH('Construction Budget'!$M52,0)),('Construction Budget'!$G52+SUM($G196:EQ196))/ROUND(((EOMONTH('Construction Budget'!$M52,0)-EOMONTH(ER$11,0))/30)+1,0),0)</f>
        <v>0</v>
      </c>
      <c r="ES196" s="427">
        <f>-IF(AND(ES$11&gt;=EOMONTH('Construction Budget'!$K52,0),ES$11&lt;=EOMONTH('Construction Budget'!$M52,0)),('Construction Budget'!$G52+SUM($G196:ER196))/ROUND(((EOMONTH('Construction Budget'!$M52,0)-EOMONTH(ES$11,0))/30)+1,0),0)</f>
        <v>0</v>
      </c>
      <c r="ET196" s="427">
        <f>-IF(AND(ET$11&gt;=EOMONTH('Construction Budget'!$K52,0),ET$11&lt;=EOMONTH('Construction Budget'!$M52,0)),('Construction Budget'!$G52+SUM($G196:ES196))/ROUND(((EOMONTH('Construction Budget'!$M52,0)-EOMONTH(ET$11,0))/30)+1,0),0)</f>
        <v>0</v>
      </c>
      <c r="EU196" s="427">
        <f>-IF(AND(EU$11&gt;=EOMONTH('Construction Budget'!$K52,0),EU$11&lt;=EOMONTH('Construction Budget'!$M52,0)),('Construction Budget'!$G52+SUM($G196:ET196))/ROUND(((EOMONTH('Construction Budget'!$M52,0)-EOMONTH(EU$11,0))/30)+1,0),0)</f>
        <v>0</v>
      </c>
      <c r="EV196" s="427">
        <f>-IF(AND(EV$11&gt;=EOMONTH('Construction Budget'!$K52,0),EV$11&lt;=EOMONTH('Construction Budget'!$M52,0)),('Construction Budget'!$G52+SUM($G196:EU196))/ROUND(((EOMONTH('Construction Budget'!$M52,0)-EOMONTH(EV$11,0))/30)+1,0),0)</f>
        <v>0</v>
      </c>
      <c r="EW196" s="427">
        <f>-IF(AND(EW$11&gt;=EOMONTH('Construction Budget'!$K52,0),EW$11&lt;=EOMONTH('Construction Budget'!$M52,0)),('Construction Budget'!$G52+SUM($G196:EV196))/ROUND(((EOMONTH('Construction Budget'!$M52,0)-EOMONTH(EW$11,0))/30)+1,0),0)</f>
        <v>0</v>
      </c>
      <c r="EX196" s="427">
        <f>-IF(AND(EX$11&gt;=EOMONTH('Construction Budget'!$K52,0),EX$11&lt;=EOMONTH('Construction Budget'!$M52,0)),('Construction Budget'!$G52+SUM($G196:EW196))/ROUND(((EOMONTH('Construction Budget'!$M52,0)-EOMONTH(EX$11,0))/30)+1,0),0)</f>
        <v>0</v>
      </c>
      <c r="EY196" s="427">
        <f>-IF(AND(EY$11&gt;=EOMONTH('Construction Budget'!$K52,0),EY$11&lt;=EOMONTH('Construction Budget'!$M52,0)),('Construction Budget'!$G52+SUM($G196:EX196))/ROUND(((EOMONTH('Construction Budget'!$M52,0)-EOMONTH(EY$11,0))/30)+1,0),0)</f>
        <v>0</v>
      </c>
      <c r="EZ196" s="427">
        <f>-IF(AND(EZ$11&gt;=EOMONTH('Construction Budget'!$K52,0),EZ$11&lt;=EOMONTH('Construction Budget'!$M52,0)),('Construction Budget'!$G52+SUM($G196:EY196))/ROUND(((EOMONTH('Construction Budget'!$M52,0)-EOMONTH(EZ$11,0))/30)+1,0),0)</f>
        <v>0</v>
      </c>
      <c r="FA196" s="427">
        <f>-IF(AND(FA$11&gt;=EOMONTH('Construction Budget'!$K52,0),FA$11&lt;=EOMONTH('Construction Budget'!$M52,0)),('Construction Budget'!$G52+SUM($G196:EZ196))/ROUND(((EOMONTH('Construction Budget'!$M52,0)-EOMONTH(FA$11,0))/30)+1,0),0)</f>
        <v>0</v>
      </c>
      <c r="FB196" s="427">
        <f>-IF(AND(FB$11&gt;=EOMONTH('Construction Budget'!$K52,0),FB$11&lt;=EOMONTH('Construction Budget'!$M52,0)),('Construction Budget'!$G52+SUM($G196:FA196))/ROUND(((EOMONTH('Construction Budget'!$M52,0)-EOMONTH(FB$11,0))/30)+1,0),0)</f>
        <v>0</v>
      </c>
      <c r="FC196" s="427">
        <f>-IF(AND(FC$11&gt;=EOMONTH('Construction Budget'!$K52,0),FC$11&lt;=EOMONTH('Construction Budget'!$M52,0)),('Construction Budget'!$G52+SUM($G196:FB196))/ROUND(((EOMONTH('Construction Budget'!$M52,0)-EOMONTH(FC$11,0))/30)+1,0),0)</f>
        <v>0</v>
      </c>
      <c r="FD196" s="427">
        <f>-IF(AND(FD$11&gt;=EOMONTH('Construction Budget'!$K52,0),FD$11&lt;=EOMONTH('Construction Budget'!$M52,0)),('Construction Budget'!$G52+SUM($G196:FC196))/ROUND(((EOMONTH('Construction Budget'!$M52,0)-EOMONTH(FD$11,0))/30)+1,0),0)</f>
        <v>0</v>
      </c>
      <c r="FE196" s="427">
        <f>-IF(AND(FE$11&gt;=EOMONTH('Construction Budget'!$K52,0),FE$11&lt;=EOMONTH('Construction Budget'!$M52,0)),('Construction Budget'!$G52+SUM($G196:FD196))/ROUND(((EOMONTH('Construction Budget'!$M52,0)-EOMONTH(FE$11,0))/30)+1,0),0)</f>
        <v>0</v>
      </c>
      <c r="FF196" s="427">
        <f>-IF(AND(FF$11&gt;=EOMONTH('Construction Budget'!$K52,0),FF$11&lt;=EOMONTH('Construction Budget'!$M52,0)),('Construction Budget'!$G52+SUM($G196:FE196))/ROUND(((EOMONTH('Construction Budget'!$M52,0)-EOMONTH(FF$11,0))/30)+1,0),0)</f>
        <v>0</v>
      </c>
      <c r="FG196" s="427">
        <f>-IF(AND(FG$11&gt;=EOMONTH('Construction Budget'!$K52,0),FG$11&lt;=EOMONTH('Construction Budget'!$M52,0)),('Construction Budget'!$G52+SUM($G196:FF196))/ROUND(((EOMONTH('Construction Budget'!$M52,0)-EOMONTH(FG$11,0))/30)+1,0),0)</f>
        <v>0</v>
      </c>
      <c r="FH196" s="427">
        <f>-IF(AND(FH$11&gt;=EOMONTH('Construction Budget'!$K52,0),FH$11&lt;=EOMONTH('Construction Budget'!$M52,0)),('Construction Budget'!$G52+SUM($G196:FG196))/ROUND(((EOMONTH('Construction Budget'!$M52,0)-EOMONTH(FH$11,0))/30)+1,0),0)</f>
        <v>0</v>
      </c>
      <c r="FI196" s="427">
        <f>-IF(AND(FI$11&gt;=EOMONTH('Construction Budget'!$K52,0),FI$11&lt;=EOMONTH('Construction Budget'!$M52,0)),('Construction Budget'!$G52+SUM($G196:FH196))/ROUND(((EOMONTH('Construction Budget'!$M52,0)-EOMONTH(FI$11,0))/30)+1,0),0)</f>
        <v>0</v>
      </c>
      <c r="FJ196" s="427">
        <f>-IF(AND(FJ$11&gt;=EOMONTH('Construction Budget'!$K52,0),FJ$11&lt;=EOMONTH('Construction Budget'!$M52,0)),('Construction Budget'!$G52+SUM($G196:FI196))/ROUND(((EOMONTH('Construction Budget'!$M52,0)-EOMONTH(FJ$11,0))/30)+1,0),0)</f>
        <v>0</v>
      </c>
      <c r="FK196" s="427">
        <f>-IF(AND(FK$11&gt;=EOMONTH('Construction Budget'!$K52,0),FK$11&lt;=EOMONTH('Construction Budget'!$M52,0)),('Construction Budget'!$G52+SUM($G196:FJ196))/ROUND(((EOMONTH('Construction Budget'!$M52,0)-EOMONTH(FK$11,0))/30)+1,0),0)</f>
        <v>0</v>
      </c>
      <c r="FL196" s="427">
        <f>-IF(AND(FL$11&gt;=EOMONTH('Construction Budget'!$K52,0),FL$11&lt;=EOMONTH('Construction Budget'!$M52,0)),('Construction Budget'!$G52+SUM($G196:FK196))/ROUND(((EOMONTH('Construction Budget'!$M52,0)-EOMONTH(FL$11,0))/30)+1,0),0)</f>
        <v>0</v>
      </c>
      <c r="FM196" s="427">
        <f>-IF(AND(FM$11&gt;=EOMONTH('Construction Budget'!$K52,0),FM$11&lt;=EOMONTH('Construction Budget'!$M52,0)),('Construction Budget'!$G52+SUM($G196:FL196))/ROUND(((EOMONTH('Construction Budget'!$M52,0)-EOMONTH(FM$11,0))/30)+1,0),0)</f>
        <v>0</v>
      </c>
      <c r="FN196" s="427">
        <f>-IF(AND(FN$11&gt;=EOMONTH('Construction Budget'!$K52,0),FN$11&lt;=EOMONTH('Construction Budget'!$M52,0)),('Construction Budget'!$G52+SUM($G196:FM196))/ROUND(((EOMONTH('Construction Budget'!$M52,0)-EOMONTH(FN$11,0))/30)+1,0),0)</f>
        <v>0</v>
      </c>
      <c r="FO196" s="427">
        <f>-IF(AND(FO$11&gt;=EOMONTH('Construction Budget'!$K52,0),FO$11&lt;=EOMONTH('Construction Budget'!$M52,0)),('Construction Budget'!$G52+SUM($G196:FN196))/ROUND(((EOMONTH('Construction Budget'!$M52,0)-EOMONTH(FO$11,0))/30)+1,0),0)</f>
        <v>0</v>
      </c>
      <c r="FP196" s="427">
        <f>-IF(AND(FP$11&gt;=EOMONTH('Construction Budget'!$K52,0),FP$11&lt;=EOMONTH('Construction Budget'!$M52,0)),('Construction Budget'!$G52+SUM($G196:FO196))/ROUND(((EOMONTH('Construction Budget'!$M52,0)-EOMONTH(FP$11,0))/30)+1,0),0)</f>
        <v>0</v>
      </c>
      <c r="FQ196" s="427">
        <f>-IF(AND(FQ$11&gt;=EOMONTH('Construction Budget'!$K52,0),FQ$11&lt;=EOMONTH('Construction Budget'!$M52,0)),('Construction Budget'!$G52+SUM($G196:FP196))/ROUND(((EOMONTH('Construction Budget'!$M52,0)-EOMONTH(FQ$11,0))/30)+1,0),0)</f>
        <v>0</v>
      </c>
      <c r="FR196" s="427">
        <f>-IF(AND(FR$11&gt;=EOMONTH('Construction Budget'!$K52,0),FR$11&lt;=EOMONTH('Construction Budget'!$M52,0)),('Construction Budget'!$G52+SUM($G196:FQ196))/ROUND(((EOMONTH('Construction Budget'!$M52,0)-EOMONTH(FR$11,0))/30)+1,0),0)</f>
        <v>0</v>
      </c>
      <c r="FS196" s="427">
        <f>-IF(AND(FS$11&gt;=EOMONTH('Construction Budget'!$K52,0),FS$11&lt;=EOMONTH('Construction Budget'!$M52,0)),('Construction Budget'!$G52+SUM($G196:FR196))/ROUND(((EOMONTH('Construction Budget'!$M52,0)-EOMONTH(FS$11,0))/30)+1,0),0)</f>
        <v>0</v>
      </c>
      <c r="FT196" s="427">
        <f>-IF(AND(FT$11&gt;=EOMONTH('Construction Budget'!$K52,0),FT$11&lt;=EOMONTH('Construction Budget'!$M52,0)),('Construction Budget'!$G52+SUM($G196:FS196))/ROUND(((EOMONTH('Construction Budget'!$M52,0)-EOMONTH(FT$11,0))/30)+1,0),0)</f>
        <v>0</v>
      </c>
      <c r="FU196" s="43"/>
      <c r="FV196" s="34"/>
      <c r="FW196" s="34"/>
      <c r="FX196" s="34"/>
      <c r="FY196" s="34"/>
      <c r="FZ196" s="34"/>
    </row>
    <row r="197" spans="1:182" s="89" customFormat="1" ht="13.5" hidden="1" outlineLevel="1" x14ac:dyDescent="0.25">
      <c r="A197" s="498"/>
      <c r="B197" s="73" t="s">
        <v>251</v>
      </c>
      <c r="C197" s="34"/>
      <c r="D197" s="34"/>
      <c r="E197" s="34"/>
      <c r="F197" s="429">
        <f>SUM(H197:FT197)</f>
        <v>-4024999.9999999986</v>
      </c>
      <c r="G197" s="34"/>
      <c r="H197" s="431">
        <f>SUM(H175:H196)</f>
        <v>0</v>
      </c>
      <c r="I197" s="431">
        <f t="shared" ref="I197:BT197" si="233">SUM(I175:I196)</f>
        <v>0</v>
      </c>
      <c r="J197" s="431">
        <f t="shared" si="233"/>
        <v>-316319.44444444444</v>
      </c>
      <c r="K197" s="431">
        <f t="shared" si="233"/>
        <v>-316319.44444444444</v>
      </c>
      <c r="L197" s="431">
        <f t="shared" si="233"/>
        <v>-316319.44444444444</v>
      </c>
      <c r="M197" s="431">
        <f t="shared" si="233"/>
        <v>-316319.44444444444</v>
      </c>
      <c r="N197" s="431">
        <f t="shared" si="233"/>
        <v>-316319.44444444444</v>
      </c>
      <c r="O197" s="431">
        <f t="shared" si="233"/>
        <v>-316319.44444444444</v>
      </c>
      <c r="P197" s="431">
        <f t="shared" si="233"/>
        <v>-299652.77777777775</v>
      </c>
      <c r="Q197" s="431">
        <f t="shared" si="233"/>
        <v>-299652.77777777769</v>
      </c>
      <c r="R197" s="431">
        <f t="shared" si="233"/>
        <v>-299652.77777777781</v>
      </c>
      <c r="S197" s="431">
        <f t="shared" si="233"/>
        <v>-185208.33333333334</v>
      </c>
      <c r="T197" s="431">
        <f t="shared" si="233"/>
        <v>-185208.33333333334</v>
      </c>
      <c r="U197" s="431">
        <f t="shared" si="233"/>
        <v>-185208.33333333331</v>
      </c>
      <c r="V197" s="431">
        <f t="shared" si="233"/>
        <v>-56041.666666666657</v>
      </c>
      <c r="W197" s="431">
        <f t="shared" si="233"/>
        <v>-56041.666666666657</v>
      </c>
      <c r="X197" s="431">
        <f t="shared" si="233"/>
        <v>-56041.666666666672</v>
      </c>
      <c r="Y197" s="431">
        <f t="shared" si="233"/>
        <v>-56041.666666666657</v>
      </c>
      <c r="Z197" s="431">
        <f t="shared" si="233"/>
        <v>-56041.666666666672</v>
      </c>
      <c r="AA197" s="431">
        <f t="shared" si="233"/>
        <v>-56041.666666666672</v>
      </c>
      <c r="AB197" s="431">
        <f t="shared" si="233"/>
        <v>-56041.666666666672</v>
      </c>
      <c r="AC197" s="431">
        <f t="shared" si="233"/>
        <v>-56041.666666666679</v>
      </c>
      <c r="AD197" s="431">
        <f t="shared" si="233"/>
        <v>-56041.666666666672</v>
      </c>
      <c r="AE197" s="431">
        <f t="shared" si="233"/>
        <v>-56041.666666666657</v>
      </c>
      <c r="AF197" s="431">
        <f t="shared" si="233"/>
        <v>-56041.666666666672</v>
      </c>
      <c r="AG197" s="431">
        <f t="shared" si="233"/>
        <v>-56041.666666666686</v>
      </c>
      <c r="AH197" s="431">
        <f t="shared" si="233"/>
        <v>0</v>
      </c>
      <c r="AI197" s="431">
        <f t="shared" si="233"/>
        <v>0</v>
      </c>
      <c r="AJ197" s="431">
        <f t="shared" si="233"/>
        <v>0</v>
      </c>
      <c r="AK197" s="431">
        <f t="shared" si="233"/>
        <v>0</v>
      </c>
      <c r="AL197" s="431">
        <f t="shared" si="233"/>
        <v>0</v>
      </c>
      <c r="AM197" s="431">
        <f t="shared" si="233"/>
        <v>0</v>
      </c>
      <c r="AN197" s="431">
        <f t="shared" si="233"/>
        <v>0</v>
      </c>
      <c r="AO197" s="431">
        <f t="shared" si="233"/>
        <v>0</v>
      </c>
      <c r="AP197" s="431">
        <f t="shared" si="233"/>
        <v>0</v>
      </c>
      <c r="AQ197" s="431">
        <f t="shared" si="233"/>
        <v>0</v>
      </c>
      <c r="AR197" s="431">
        <f t="shared" si="233"/>
        <v>0</v>
      </c>
      <c r="AS197" s="431">
        <f t="shared" si="233"/>
        <v>0</v>
      </c>
      <c r="AT197" s="431">
        <f t="shared" si="233"/>
        <v>0</v>
      </c>
      <c r="AU197" s="431">
        <f t="shared" si="233"/>
        <v>0</v>
      </c>
      <c r="AV197" s="431">
        <f t="shared" si="233"/>
        <v>0</v>
      </c>
      <c r="AW197" s="431">
        <f t="shared" si="233"/>
        <v>0</v>
      </c>
      <c r="AX197" s="431">
        <f t="shared" si="233"/>
        <v>0</v>
      </c>
      <c r="AY197" s="431">
        <f t="shared" si="233"/>
        <v>0</v>
      </c>
      <c r="AZ197" s="431">
        <f t="shared" si="233"/>
        <v>0</v>
      </c>
      <c r="BA197" s="431">
        <f t="shared" si="233"/>
        <v>0</v>
      </c>
      <c r="BB197" s="431">
        <f t="shared" si="233"/>
        <v>0</v>
      </c>
      <c r="BC197" s="431">
        <f t="shared" si="233"/>
        <v>0</v>
      </c>
      <c r="BD197" s="431">
        <f t="shared" si="233"/>
        <v>0</v>
      </c>
      <c r="BE197" s="431">
        <f t="shared" si="233"/>
        <v>0</v>
      </c>
      <c r="BF197" s="431">
        <f t="shared" si="233"/>
        <v>0</v>
      </c>
      <c r="BG197" s="431">
        <f t="shared" si="233"/>
        <v>0</v>
      </c>
      <c r="BH197" s="431">
        <f t="shared" si="233"/>
        <v>0</v>
      </c>
      <c r="BI197" s="431">
        <f t="shared" si="233"/>
        <v>0</v>
      </c>
      <c r="BJ197" s="431">
        <f t="shared" si="233"/>
        <v>0</v>
      </c>
      <c r="BK197" s="431">
        <f t="shared" si="233"/>
        <v>0</v>
      </c>
      <c r="BL197" s="431">
        <f t="shared" si="233"/>
        <v>0</v>
      </c>
      <c r="BM197" s="431">
        <f t="shared" si="233"/>
        <v>0</v>
      </c>
      <c r="BN197" s="431">
        <f t="shared" si="233"/>
        <v>0</v>
      </c>
      <c r="BO197" s="431">
        <f t="shared" si="233"/>
        <v>0</v>
      </c>
      <c r="BP197" s="431">
        <f t="shared" si="233"/>
        <v>0</v>
      </c>
      <c r="BQ197" s="431">
        <f t="shared" si="233"/>
        <v>0</v>
      </c>
      <c r="BR197" s="431">
        <f t="shared" si="233"/>
        <v>0</v>
      </c>
      <c r="BS197" s="431">
        <f t="shared" si="233"/>
        <v>0</v>
      </c>
      <c r="BT197" s="431">
        <f t="shared" si="233"/>
        <v>0</v>
      </c>
      <c r="BU197" s="431">
        <f t="shared" ref="BU197:EF197" si="234">SUM(BU175:BU196)</f>
        <v>0</v>
      </c>
      <c r="BV197" s="431">
        <f t="shared" si="234"/>
        <v>0</v>
      </c>
      <c r="BW197" s="431">
        <f t="shared" si="234"/>
        <v>0</v>
      </c>
      <c r="BX197" s="431">
        <f t="shared" si="234"/>
        <v>0</v>
      </c>
      <c r="BY197" s="431">
        <f t="shared" si="234"/>
        <v>0</v>
      </c>
      <c r="BZ197" s="431">
        <f t="shared" si="234"/>
        <v>0</v>
      </c>
      <c r="CA197" s="431">
        <f t="shared" si="234"/>
        <v>0</v>
      </c>
      <c r="CB197" s="431">
        <f t="shared" si="234"/>
        <v>0</v>
      </c>
      <c r="CC197" s="431">
        <f t="shared" si="234"/>
        <v>0</v>
      </c>
      <c r="CD197" s="431">
        <f t="shared" si="234"/>
        <v>0</v>
      </c>
      <c r="CE197" s="431">
        <f t="shared" si="234"/>
        <v>0</v>
      </c>
      <c r="CF197" s="431">
        <f t="shared" si="234"/>
        <v>0</v>
      </c>
      <c r="CG197" s="431">
        <f t="shared" si="234"/>
        <v>0</v>
      </c>
      <c r="CH197" s="431">
        <f t="shared" si="234"/>
        <v>0</v>
      </c>
      <c r="CI197" s="431">
        <f t="shared" si="234"/>
        <v>0</v>
      </c>
      <c r="CJ197" s="431">
        <f t="shared" si="234"/>
        <v>0</v>
      </c>
      <c r="CK197" s="431">
        <f t="shared" si="234"/>
        <v>0</v>
      </c>
      <c r="CL197" s="431">
        <f t="shared" si="234"/>
        <v>0</v>
      </c>
      <c r="CM197" s="431">
        <f t="shared" si="234"/>
        <v>0</v>
      </c>
      <c r="CN197" s="431">
        <f t="shared" si="234"/>
        <v>0</v>
      </c>
      <c r="CO197" s="431">
        <f t="shared" si="234"/>
        <v>0</v>
      </c>
      <c r="CP197" s="431">
        <f t="shared" si="234"/>
        <v>0</v>
      </c>
      <c r="CQ197" s="431">
        <f t="shared" si="234"/>
        <v>0</v>
      </c>
      <c r="CR197" s="431">
        <f t="shared" si="234"/>
        <v>0</v>
      </c>
      <c r="CS197" s="431">
        <f t="shared" si="234"/>
        <v>0</v>
      </c>
      <c r="CT197" s="431">
        <f t="shared" si="234"/>
        <v>0</v>
      </c>
      <c r="CU197" s="431">
        <f t="shared" si="234"/>
        <v>0</v>
      </c>
      <c r="CV197" s="431">
        <f t="shared" si="234"/>
        <v>0</v>
      </c>
      <c r="CW197" s="431">
        <f t="shared" si="234"/>
        <v>0</v>
      </c>
      <c r="CX197" s="431">
        <f t="shared" si="234"/>
        <v>0</v>
      </c>
      <c r="CY197" s="431">
        <f t="shared" si="234"/>
        <v>0</v>
      </c>
      <c r="CZ197" s="431">
        <f t="shared" si="234"/>
        <v>0</v>
      </c>
      <c r="DA197" s="431">
        <f t="shared" si="234"/>
        <v>0</v>
      </c>
      <c r="DB197" s="431">
        <f t="shared" si="234"/>
        <v>0</v>
      </c>
      <c r="DC197" s="431">
        <f t="shared" si="234"/>
        <v>0</v>
      </c>
      <c r="DD197" s="431">
        <f t="shared" si="234"/>
        <v>0</v>
      </c>
      <c r="DE197" s="431">
        <f t="shared" si="234"/>
        <v>0</v>
      </c>
      <c r="DF197" s="431">
        <f t="shared" si="234"/>
        <v>0</v>
      </c>
      <c r="DG197" s="431">
        <f t="shared" si="234"/>
        <v>0</v>
      </c>
      <c r="DH197" s="431">
        <f t="shared" si="234"/>
        <v>0</v>
      </c>
      <c r="DI197" s="431">
        <f t="shared" si="234"/>
        <v>0</v>
      </c>
      <c r="DJ197" s="431">
        <f t="shared" si="234"/>
        <v>0</v>
      </c>
      <c r="DK197" s="431">
        <f t="shared" si="234"/>
        <v>0</v>
      </c>
      <c r="DL197" s="431">
        <f t="shared" si="234"/>
        <v>0</v>
      </c>
      <c r="DM197" s="431">
        <f t="shared" si="234"/>
        <v>0</v>
      </c>
      <c r="DN197" s="431">
        <f t="shared" si="234"/>
        <v>0</v>
      </c>
      <c r="DO197" s="431">
        <f t="shared" si="234"/>
        <v>0</v>
      </c>
      <c r="DP197" s="431">
        <f t="shared" si="234"/>
        <v>0</v>
      </c>
      <c r="DQ197" s="431">
        <f t="shared" si="234"/>
        <v>0</v>
      </c>
      <c r="DR197" s="431">
        <f t="shared" si="234"/>
        <v>0</v>
      </c>
      <c r="DS197" s="431">
        <f t="shared" si="234"/>
        <v>0</v>
      </c>
      <c r="DT197" s="431">
        <f t="shared" si="234"/>
        <v>0</v>
      </c>
      <c r="DU197" s="431">
        <f t="shared" si="234"/>
        <v>0</v>
      </c>
      <c r="DV197" s="431">
        <f t="shared" si="234"/>
        <v>0</v>
      </c>
      <c r="DW197" s="431">
        <f t="shared" si="234"/>
        <v>0</v>
      </c>
      <c r="DX197" s="431">
        <f t="shared" si="234"/>
        <v>0</v>
      </c>
      <c r="DY197" s="431">
        <f t="shared" si="234"/>
        <v>0</v>
      </c>
      <c r="DZ197" s="431">
        <f t="shared" si="234"/>
        <v>0</v>
      </c>
      <c r="EA197" s="431">
        <f t="shared" si="234"/>
        <v>0</v>
      </c>
      <c r="EB197" s="431">
        <f t="shared" si="234"/>
        <v>0</v>
      </c>
      <c r="EC197" s="431">
        <f t="shared" si="234"/>
        <v>0</v>
      </c>
      <c r="ED197" s="431">
        <f t="shared" si="234"/>
        <v>0</v>
      </c>
      <c r="EE197" s="431">
        <f t="shared" si="234"/>
        <v>0</v>
      </c>
      <c r="EF197" s="431">
        <f t="shared" si="234"/>
        <v>0</v>
      </c>
      <c r="EG197" s="431">
        <f t="shared" ref="EG197:FT197" si="235">SUM(EG175:EG196)</f>
        <v>0</v>
      </c>
      <c r="EH197" s="431">
        <f t="shared" si="235"/>
        <v>0</v>
      </c>
      <c r="EI197" s="431">
        <f t="shared" si="235"/>
        <v>0</v>
      </c>
      <c r="EJ197" s="431">
        <f t="shared" si="235"/>
        <v>0</v>
      </c>
      <c r="EK197" s="431">
        <f t="shared" si="235"/>
        <v>0</v>
      </c>
      <c r="EL197" s="431">
        <f t="shared" si="235"/>
        <v>0</v>
      </c>
      <c r="EM197" s="431">
        <f t="shared" si="235"/>
        <v>0</v>
      </c>
      <c r="EN197" s="431">
        <f t="shared" si="235"/>
        <v>0</v>
      </c>
      <c r="EO197" s="431">
        <f t="shared" si="235"/>
        <v>0</v>
      </c>
      <c r="EP197" s="431">
        <f t="shared" si="235"/>
        <v>0</v>
      </c>
      <c r="EQ197" s="431">
        <f t="shared" si="235"/>
        <v>0</v>
      </c>
      <c r="ER197" s="431">
        <f t="shared" si="235"/>
        <v>0</v>
      </c>
      <c r="ES197" s="431">
        <f t="shared" si="235"/>
        <v>0</v>
      </c>
      <c r="ET197" s="431">
        <f t="shared" si="235"/>
        <v>0</v>
      </c>
      <c r="EU197" s="431">
        <f t="shared" si="235"/>
        <v>0</v>
      </c>
      <c r="EV197" s="431">
        <f t="shared" si="235"/>
        <v>0</v>
      </c>
      <c r="EW197" s="431">
        <f t="shared" si="235"/>
        <v>0</v>
      </c>
      <c r="EX197" s="431">
        <f t="shared" si="235"/>
        <v>0</v>
      </c>
      <c r="EY197" s="431">
        <f t="shared" si="235"/>
        <v>0</v>
      </c>
      <c r="EZ197" s="431">
        <f t="shared" si="235"/>
        <v>0</v>
      </c>
      <c r="FA197" s="431">
        <f t="shared" si="235"/>
        <v>0</v>
      </c>
      <c r="FB197" s="431">
        <f t="shared" si="235"/>
        <v>0</v>
      </c>
      <c r="FC197" s="431">
        <f t="shared" si="235"/>
        <v>0</v>
      </c>
      <c r="FD197" s="431">
        <f t="shared" si="235"/>
        <v>0</v>
      </c>
      <c r="FE197" s="431">
        <f t="shared" si="235"/>
        <v>0</v>
      </c>
      <c r="FF197" s="431">
        <f t="shared" si="235"/>
        <v>0</v>
      </c>
      <c r="FG197" s="431">
        <f t="shared" si="235"/>
        <v>0</v>
      </c>
      <c r="FH197" s="431">
        <f t="shared" si="235"/>
        <v>0</v>
      </c>
      <c r="FI197" s="431">
        <f t="shared" si="235"/>
        <v>0</v>
      </c>
      <c r="FJ197" s="431">
        <f t="shared" si="235"/>
        <v>0</v>
      </c>
      <c r="FK197" s="431">
        <f t="shared" si="235"/>
        <v>0</v>
      </c>
      <c r="FL197" s="431">
        <f t="shared" si="235"/>
        <v>0</v>
      </c>
      <c r="FM197" s="431">
        <f t="shared" si="235"/>
        <v>0</v>
      </c>
      <c r="FN197" s="431">
        <f t="shared" si="235"/>
        <v>0</v>
      </c>
      <c r="FO197" s="431">
        <f t="shared" si="235"/>
        <v>0</v>
      </c>
      <c r="FP197" s="431">
        <f t="shared" si="235"/>
        <v>0</v>
      </c>
      <c r="FQ197" s="431">
        <f t="shared" si="235"/>
        <v>0</v>
      </c>
      <c r="FR197" s="431">
        <f t="shared" si="235"/>
        <v>0</v>
      </c>
      <c r="FS197" s="431">
        <f t="shared" si="235"/>
        <v>0</v>
      </c>
      <c r="FT197" s="431">
        <f t="shared" si="235"/>
        <v>0</v>
      </c>
      <c r="FU197" s="43"/>
      <c r="FV197" s="34"/>
      <c r="FW197" s="34"/>
      <c r="FX197" s="34"/>
      <c r="FY197" s="34"/>
      <c r="FZ197" s="34"/>
    </row>
    <row r="198" spans="1:182" s="89" customFormat="1" ht="13.5" hidden="1" outlineLevel="1" x14ac:dyDescent="0.25">
      <c r="A198" s="498"/>
      <c r="B198" s="43"/>
      <c r="C198" s="34"/>
      <c r="D198" s="34"/>
      <c r="E198" s="34"/>
      <c r="F198" s="5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43"/>
      <c r="FV198" s="34"/>
      <c r="FW198" s="34"/>
      <c r="FX198" s="34"/>
      <c r="FY198" s="34"/>
      <c r="FZ198" s="34"/>
    </row>
    <row r="199" spans="1:182" s="89" customFormat="1" ht="13.5" hidden="1" outlineLevel="1" x14ac:dyDescent="0.25">
      <c r="A199" s="498"/>
      <c r="B199" s="73" t="s">
        <v>359</v>
      </c>
      <c r="C199" s="34"/>
      <c r="D199" s="34"/>
      <c r="E199" s="34"/>
      <c r="F199" s="5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  <c r="FH199" s="34"/>
      <c r="FI199" s="34"/>
      <c r="FJ199" s="34"/>
      <c r="FK199" s="34"/>
      <c r="FL199" s="34"/>
      <c r="FM199" s="34"/>
      <c r="FN199" s="34"/>
      <c r="FO199" s="34"/>
      <c r="FP199" s="34"/>
      <c r="FQ199" s="34"/>
      <c r="FR199" s="34"/>
      <c r="FS199" s="34"/>
      <c r="FT199" s="34"/>
      <c r="FU199" s="43"/>
      <c r="FV199" s="34"/>
      <c r="FW199" s="34"/>
      <c r="FX199" s="34"/>
      <c r="FY199" s="34"/>
      <c r="FZ199" s="34"/>
    </row>
    <row r="200" spans="1:182" s="89" customFormat="1" ht="13.5" hidden="1" outlineLevel="1" x14ac:dyDescent="0.25">
      <c r="A200" s="498"/>
      <c r="B200" s="43" t="str">
        <f>'Construction Budget'!B57</f>
        <v xml:space="preserve">FF&amp;E </v>
      </c>
      <c r="C200" s="34"/>
      <c r="D200" s="34"/>
      <c r="E200" s="34"/>
      <c r="F200" s="434">
        <f>SUM(H200:FT200)</f>
        <v>-300000</v>
      </c>
      <c r="G200" s="34"/>
      <c r="H200" s="427">
        <f>-IF(AND(H$11&gt;=EOMONTH('Construction Budget'!$K57,0),H$11&lt;=EOMONTH('Construction Budget'!$M57,0)),('Construction Budget'!$G57+SUM($G200:G200))/ROUND(((EOMONTH('Construction Budget'!$M57,0)-EOMONTH(H$11,0))/30)+1,0),0)</f>
        <v>0</v>
      </c>
      <c r="I200" s="427">
        <f>-IF(AND(I$11&gt;=EOMONTH('Construction Budget'!$K57,0),I$11&lt;=EOMONTH('Construction Budget'!$M57,0)),('Construction Budget'!$G57+SUM($G200:H200))/ROUND(((EOMONTH('Construction Budget'!$M57,0)-EOMONTH(I$11,0))/30)+1,0),0)</f>
        <v>0</v>
      </c>
      <c r="J200" s="427">
        <f>-IF(AND(J$11&gt;=EOMONTH('Construction Budget'!$K57,0),J$11&lt;=EOMONTH('Construction Budget'!$M57,0)),('Construction Budget'!$G57+SUM($G200:I200))/ROUND(((EOMONTH('Construction Budget'!$M57,0)-EOMONTH(J$11,0))/30)+1,0),0)</f>
        <v>0</v>
      </c>
      <c r="K200" s="427">
        <f>-IF(AND(K$11&gt;=EOMONTH('Construction Budget'!$K57,0),K$11&lt;=EOMONTH('Construction Budget'!$M57,0)),('Construction Budget'!$G57+SUM($G200:J200))/ROUND(((EOMONTH('Construction Budget'!$M57,0)-EOMONTH(K$11,0))/30)+1,0),0)</f>
        <v>0</v>
      </c>
      <c r="L200" s="427">
        <f>-IF(AND(L$11&gt;=EOMONTH('Construction Budget'!$K57,0),L$11&lt;=EOMONTH('Construction Budget'!$M57,0)),('Construction Budget'!$G57+SUM($G200:K200))/ROUND(((EOMONTH('Construction Budget'!$M57,0)-EOMONTH(L$11,0))/30)+1,0),0)</f>
        <v>0</v>
      </c>
      <c r="M200" s="427">
        <f>-IF(AND(M$11&gt;=EOMONTH('Construction Budget'!$K57,0),M$11&lt;=EOMONTH('Construction Budget'!$M57,0)),('Construction Budget'!$G57+SUM($G200:L200))/ROUND(((EOMONTH('Construction Budget'!$M57,0)-EOMONTH(M$11,0))/30)+1,0),0)</f>
        <v>0</v>
      </c>
      <c r="N200" s="427">
        <f>-IF(AND(N$11&gt;=EOMONTH('Construction Budget'!$K57,0),N$11&lt;=EOMONTH('Construction Budget'!$M57,0)),('Construction Budget'!$G57+SUM($G200:M200))/ROUND(((EOMONTH('Construction Budget'!$M57,0)-EOMONTH(N$11,0))/30)+1,0),0)</f>
        <v>0</v>
      </c>
      <c r="O200" s="427">
        <f>-IF(AND(O$11&gt;=EOMONTH('Construction Budget'!$K57,0),O$11&lt;=EOMONTH('Construction Budget'!$M57,0)),('Construction Budget'!$G57+SUM($G200:N200))/ROUND(((EOMONTH('Construction Budget'!$M57,0)-EOMONTH(O$11,0))/30)+1,0),0)</f>
        <v>0</v>
      </c>
      <c r="P200" s="427">
        <f>-IF(AND(P$11&gt;=EOMONTH('Construction Budget'!$K57,0),P$11&lt;=EOMONTH('Construction Budget'!$M57,0)),('Construction Budget'!$G57+SUM($G200:O200))/ROUND(((EOMONTH('Construction Budget'!$M57,0)-EOMONTH(P$11,0))/30)+1,0),0)</f>
        <v>0</v>
      </c>
      <c r="Q200" s="427">
        <f>-IF(AND(Q$11&gt;=EOMONTH('Construction Budget'!$K57,0),Q$11&lt;=EOMONTH('Construction Budget'!$M57,0)),('Construction Budget'!$G57+SUM($G200:P200))/ROUND(((EOMONTH('Construction Budget'!$M57,0)-EOMONTH(Q$11,0))/30)+1,0),0)</f>
        <v>0</v>
      </c>
      <c r="R200" s="427">
        <f>-IF(AND(R$11&gt;=EOMONTH('Construction Budget'!$K57,0),R$11&lt;=EOMONTH('Construction Budget'!$M57,0)),('Construction Budget'!$G57+SUM($G200:Q200))/ROUND(((EOMONTH('Construction Budget'!$M57,0)-EOMONTH(R$11,0))/30)+1,0),0)</f>
        <v>0</v>
      </c>
      <c r="S200" s="427">
        <f>-IF(AND(S$11&gt;=EOMONTH('Construction Budget'!$K57,0),S$11&lt;=EOMONTH('Construction Budget'!$M57,0)),('Construction Budget'!$G57+SUM($G200:R200))/ROUND(((EOMONTH('Construction Budget'!$M57,0)-EOMONTH(S$11,0))/30)+1,0),0)</f>
        <v>-25000</v>
      </c>
      <c r="T200" s="427">
        <f>-IF(AND(T$11&gt;=EOMONTH('Construction Budget'!$K57,0),T$11&lt;=EOMONTH('Construction Budget'!$M57,0)),('Construction Budget'!$G57+SUM($G200:S200))/ROUND(((EOMONTH('Construction Budget'!$M57,0)-EOMONTH(T$11,0))/30)+1,0),0)</f>
        <v>-25000</v>
      </c>
      <c r="U200" s="427">
        <f>-IF(AND(U$11&gt;=EOMONTH('Construction Budget'!$K57,0),U$11&lt;=EOMONTH('Construction Budget'!$M57,0)),('Construction Budget'!$G57+SUM($G200:T200))/ROUND(((EOMONTH('Construction Budget'!$M57,0)-EOMONTH(U$11,0))/30)+1,0),0)</f>
        <v>-25000</v>
      </c>
      <c r="V200" s="427">
        <f>-IF(AND(V$11&gt;=EOMONTH('Construction Budget'!$K57,0),V$11&lt;=EOMONTH('Construction Budget'!$M57,0)),('Construction Budget'!$G57+SUM($G200:U200))/ROUND(((EOMONTH('Construction Budget'!$M57,0)-EOMONTH(V$11,0))/30)+1,0),0)</f>
        <v>-25000</v>
      </c>
      <c r="W200" s="427">
        <f>-IF(AND(W$11&gt;=EOMONTH('Construction Budget'!$K57,0),W$11&lt;=EOMONTH('Construction Budget'!$M57,0)),('Construction Budget'!$G57+SUM($G200:V200))/ROUND(((EOMONTH('Construction Budget'!$M57,0)-EOMONTH(W$11,0))/30)+1,0),0)</f>
        <v>-25000</v>
      </c>
      <c r="X200" s="427">
        <f>-IF(AND(X$11&gt;=EOMONTH('Construction Budget'!$K57,0),X$11&lt;=EOMONTH('Construction Budget'!$M57,0)),('Construction Budget'!$G57+SUM($G200:W200))/ROUND(((EOMONTH('Construction Budget'!$M57,0)-EOMONTH(X$11,0))/30)+1,0),0)</f>
        <v>-25000</v>
      </c>
      <c r="Y200" s="427">
        <f>-IF(AND(Y$11&gt;=EOMONTH('Construction Budget'!$K57,0),Y$11&lt;=EOMONTH('Construction Budget'!$M57,0)),('Construction Budget'!$G57+SUM($G200:X200))/ROUND(((EOMONTH('Construction Budget'!$M57,0)-EOMONTH(Y$11,0))/30)+1,0),0)</f>
        <v>-25000</v>
      </c>
      <c r="Z200" s="427">
        <f>-IF(AND(Z$11&gt;=EOMONTH('Construction Budget'!$K57,0),Z$11&lt;=EOMONTH('Construction Budget'!$M57,0)),('Construction Budget'!$G57+SUM($G200:Y200))/ROUND(((EOMONTH('Construction Budget'!$M57,0)-EOMONTH(Z$11,0))/30)+1,0),0)</f>
        <v>-25000</v>
      </c>
      <c r="AA200" s="427">
        <f>-IF(AND(AA$11&gt;=EOMONTH('Construction Budget'!$K57,0),AA$11&lt;=EOMONTH('Construction Budget'!$M57,0)),('Construction Budget'!$G57+SUM($G200:Z200))/ROUND(((EOMONTH('Construction Budget'!$M57,0)-EOMONTH(AA$11,0))/30)+1,0),0)</f>
        <v>-25000</v>
      </c>
      <c r="AB200" s="427">
        <f>-IF(AND(AB$11&gt;=EOMONTH('Construction Budget'!$K57,0),AB$11&lt;=EOMONTH('Construction Budget'!$M57,0)),('Construction Budget'!$G57+SUM($G200:AA200))/ROUND(((EOMONTH('Construction Budget'!$M57,0)-EOMONTH(AB$11,0))/30)+1,0),0)</f>
        <v>-25000</v>
      </c>
      <c r="AC200" s="427">
        <f>-IF(AND(AC$11&gt;=EOMONTH('Construction Budget'!$K57,0),AC$11&lt;=EOMONTH('Construction Budget'!$M57,0)),('Construction Budget'!$G57+SUM($G200:AB200))/ROUND(((EOMONTH('Construction Budget'!$M57,0)-EOMONTH(AC$11,0))/30)+1,0),0)</f>
        <v>-25000</v>
      </c>
      <c r="AD200" s="427">
        <f>-IF(AND(AD$11&gt;=EOMONTH('Construction Budget'!$K57,0),AD$11&lt;=EOMONTH('Construction Budget'!$M57,0)),('Construction Budget'!$G57+SUM($G200:AC200))/ROUND(((EOMONTH('Construction Budget'!$M57,0)-EOMONTH(AD$11,0))/30)+1,0),0)</f>
        <v>-25000</v>
      </c>
      <c r="AE200" s="427">
        <f>-IF(AND(AE$11&gt;=EOMONTH('Construction Budget'!$K57,0),AE$11&lt;=EOMONTH('Construction Budget'!$M57,0)),('Construction Budget'!$G57+SUM($G200:AD200))/ROUND(((EOMONTH('Construction Budget'!$M57,0)-EOMONTH(AE$11,0))/30)+1,0),0)</f>
        <v>0</v>
      </c>
      <c r="AF200" s="427">
        <f>-IF(AND(AF$11&gt;=EOMONTH('Construction Budget'!$K57,0),AF$11&lt;=EOMONTH('Construction Budget'!$M57,0)),('Construction Budget'!$G57+SUM($G200:AE200))/ROUND(((EOMONTH('Construction Budget'!$M57,0)-EOMONTH(AF$11,0))/30)+1,0),0)</f>
        <v>0</v>
      </c>
      <c r="AG200" s="427">
        <f>-IF(AND(AG$11&gt;=EOMONTH('Construction Budget'!$K57,0),AG$11&lt;=EOMONTH('Construction Budget'!$M57,0)),('Construction Budget'!$G57+SUM($G200:AF200))/ROUND(((EOMONTH('Construction Budget'!$M57,0)-EOMONTH(AG$11,0))/30)+1,0),0)</f>
        <v>0</v>
      </c>
      <c r="AH200" s="427">
        <f>-IF(AND(AH$11&gt;=EOMONTH('Construction Budget'!$K57,0),AH$11&lt;=EOMONTH('Construction Budget'!$M57,0)),('Construction Budget'!$G57+SUM($G200:AG200))/ROUND(((EOMONTH('Construction Budget'!$M57,0)-EOMONTH(AH$11,0))/30)+1,0),0)</f>
        <v>0</v>
      </c>
      <c r="AI200" s="427">
        <f>-IF(AND(AI$11&gt;=EOMONTH('Construction Budget'!$K57,0),AI$11&lt;=EOMONTH('Construction Budget'!$M57,0)),('Construction Budget'!$G57+SUM($G200:AH200))/ROUND(((EOMONTH('Construction Budget'!$M57,0)-EOMONTH(AI$11,0))/30)+1,0),0)</f>
        <v>0</v>
      </c>
      <c r="AJ200" s="427">
        <f>-IF(AND(AJ$11&gt;=EOMONTH('Construction Budget'!$K57,0),AJ$11&lt;=EOMONTH('Construction Budget'!$M57,0)),('Construction Budget'!$G57+SUM($G200:AI200))/ROUND(((EOMONTH('Construction Budget'!$M57,0)-EOMONTH(AJ$11,0))/30)+1,0),0)</f>
        <v>0</v>
      </c>
      <c r="AK200" s="427">
        <f>-IF(AND(AK$11&gt;=EOMONTH('Construction Budget'!$K57,0),AK$11&lt;=EOMONTH('Construction Budget'!$M57,0)),('Construction Budget'!$G57+SUM($G200:AJ200))/ROUND(((EOMONTH('Construction Budget'!$M57,0)-EOMONTH(AK$11,0))/30)+1,0),0)</f>
        <v>0</v>
      </c>
      <c r="AL200" s="427">
        <f>-IF(AND(AL$11&gt;=EOMONTH('Construction Budget'!$K57,0),AL$11&lt;=EOMONTH('Construction Budget'!$M57,0)),('Construction Budget'!$G57+SUM($G200:AK200))/ROUND(((EOMONTH('Construction Budget'!$M57,0)-EOMONTH(AL$11,0))/30)+1,0),0)</f>
        <v>0</v>
      </c>
      <c r="AM200" s="427">
        <f>-IF(AND(AM$11&gt;=EOMONTH('Construction Budget'!$K57,0),AM$11&lt;=EOMONTH('Construction Budget'!$M57,0)),('Construction Budget'!$G57+SUM($G200:AL200))/ROUND(((EOMONTH('Construction Budget'!$M57,0)-EOMONTH(AM$11,0))/30)+1,0),0)</f>
        <v>0</v>
      </c>
      <c r="AN200" s="427">
        <f>-IF(AND(AN$11&gt;=EOMONTH('Construction Budget'!$K57,0),AN$11&lt;=EOMONTH('Construction Budget'!$M57,0)),('Construction Budget'!$G57+SUM($G200:AM200))/ROUND(((EOMONTH('Construction Budget'!$M57,0)-EOMONTH(AN$11,0))/30)+1,0),0)</f>
        <v>0</v>
      </c>
      <c r="AO200" s="427">
        <f>-IF(AND(AO$11&gt;=EOMONTH('Construction Budget'!$K57,0),AO$11&lt;=EOMONTH('Construction Budget'!$M57,0)),('Construction Budget'!$G57+SUM($G200:AN200))/ROUND(((EOMONTH('Construction Budget'!$M57,0)-EOMONTH(AO$11,0))/30)+1,0),0)</f>
        <v>0</v>
      </c>
      <c r="AP200" s="427">
        <f>-IF(AND(AP$11&gt;=EOMONTH('Construction Budget'!$K57,0),AP$11&lt;=EOMONTH('Construction Budget'!$M57,0)),('Construction Budget'!$G57+SUM($G200:AO200))/ROUND(((EOMONTH('Construction Budget'!$M57,0)-EOMONTH(AP$11,0))/30)+1,0),0)</f>
        <v>0</v>
      </c>
      <c r="AQ200" s="427">
        <f>-IF(AND(AQ$11&gt;=EOMONTH('Construction Budget'!$K57,0),AQ$11&lt;=EOMONTH('Construction Budget'!$M57,0)),('Construction Budget'!$G57+SUM($G200:AP200))/ROUND(((EOMONTH('Construction Budget'!$M57,0)-EOMONTH(AQ$11,0))/30)+1,0),0)</f>
        <v>0</v>
      </c>
      <c r="AR200" s="427">
        <f>-IF(AND(AR$11&gt;=EOMONTH('Construction Budget'!$K57,0),AR$11&lt;=EOMONTH('Construction Budget'!$M57,0)),('Construction Budget'!$G57+SUM($G200:AQ200))/ROUND(((EOMONTH('Construction Budget'!$M57,0)-EOMONTH(AR$11,0))/30)+1,0),0)</f>
        <v>0</v>
      </c>
      <c r="AS200" s="427">
        <f>-IF(AND(AS$11&gt;=EOMONTH('Construction Budget'!$K57,0),AS$11&lt;=EOMONTH('Construction Budget'!$M57,0)),('Construction Budget'!$G57+SUM($G200:AR200))/ROUND(((EOMONTH('Construction Budget'!$M57,0)-EOMONTH(AS$11,0))/30)+1,0),0)</f>
        <v>0</v>
      </c>
      <c r="AT200" s="427">
        <f>-IF(AND(AT$11&gt;=EOMONTH('Construction Budget'!$K57,0),AT$11&lt;=EOMONTH('Construction Budget'!$M57,0)),('Construction Budget'!$G57+SUM($G200:AS200))/ROUND(((EOMONTH('Construction Budget'!$M57,0)-EOMONTH(AT$11,0))/30)+1,0),0)</f>
        <v>0</v>
      </c>
      <c r="AU200" s="427">
        <f>-IF(AND(AU$11&gt;=EOMONTH('Construction Budget'!$K57,0),AU$11&lt;=EOMONTH('Construction Budget'!$M57,0)),('Construction Budget'!$G57+SUM($G200:AT200))/ROUND(((EOMONTH('Construction Budget'!$M57,0)-EOMONTH(AU$11,0))/30)+1,0),0)</f>
        <v>0</v>
      </c>
      <c r="AV200" s="427">
        <f>-IF(AND(AV$11&gt;=EOMONTH('Construction Budget'!$K57,0),AV$11&lt;=EOMONTH('Construction Budget'!$M57,0)),('Construction Budget'!$G57+SUM($G200:AU200))/ROUND(((EOMONTH('Construction Budget'!$M57,0)-EOMONTH(AV$11,0))/30)+1,0),0)</f>
        <v>0</v>
      </c>
      <c r="AW200" s="427">
        <f>-IF(AND(AW$11&gt;=EOMONTH('Construction Budget'!$K57,0),AW$11&lt;=EOMONTH('Construction Budget'!$M57,0)),('Construction Budget'!$G57+SUM($G200:AV200))/ROUND(((EOMONTH('Construction Budget'!$M57,0)-EOMONTH(AW$11,0))/30)+1,0),0)</f>
        <v>0</v>
      </c>
      <c r="AX200" s="427">
        <f>-IF(AND(AX$11&gt;=EOMONTH('Construction Budget'!$K57,0),AX$11&lt;=EOMONTH('Construction Budget'!$M57,0)),('Construction Budget'!$G57+SUM($G200:AW200))/ROUND(((EOMONTH('Construction Budget'!$M57,0)-EOMONTH(AX$11,0))/30)+1,0),0)</f>
        <v>0</v>
      </c>
      <c r="AY200" s="427">
        <f>-IF(AND(AY$11&gt;=EOMONTH('Construction Budget'!$K57,0),AY$11&lt;=EOMONTH('Construction Budget'!$M57,0)),('Construction Budget'!$G57+SUM($G200:AX200))/ROUND(((EOMONTH('Construction Budget'!$M57,0)-EOMONTH(AY$11,0))/30)+1,0),0)</f>
        <v>0</v>
      </c>
      <c r="AZ200" s="427">
        <f>-IF(AND(AZ$11&gt;=EOMONTH('Construction Budget'!$K57,0),AZ$11&lt;=EOMONTH('Construction Budget'!$M57,0)),('Construction Budget'!$G57+SUM($G200:AY200))/ROUND(((EOMONTH('Construction Budget'!$M57,0)-EOMONTH(AZ$11,0))/30)+1,0),0)</f>
        <v>0</v>
      </c>
      <c r="BA200" s="427">
        <f>-IF(AND(BA$11&gt;=EOMONTH('Construction Budget'!$K57,0),BA$11&lt;=EOMONTH('Construction Budget'!$M57,0)),('Construction Budget'!$G57+SUM($G200:AZ200))/ROUND(((EOMONTH('Construction Budget'!$M57,0)-EOMONTH(BA$11,0))/30)+1,0),0)</f>
        <v>0</v>
      </c>
      <c r="BB200" s="427">
        <f>-IF(AND(BB$11&gt;=EOMONTH('Construction Budget'!$K57,0),BB$11&lt;=EOMONTH('Construction Budget'!$M57,0)),('Construction Budget'!$G57+SUM($G200:BA200))/ROUND(((EOMONTH('Construction Budget'!$M57,0)-EOMONTH(BB$11,0))/30)+1,0),0)</f>
        <v>0</v>
      </c>
      <c r="BC200" s="427">
        <f>-IF(AND(BC$11&gt;=EOMONTH('Construction Budget'!$K57,0),BC$11&lt;=EOMONTH('Construction Budget'!$M57,0)),('Construction Budget'!$G57+SUM($G200:BB200))/ROUND(((EOMONTH('Construction Budget'!$M57,0)-EOMONTH(BC$11,0))/30)+1,0),0)</f>
        <v>0</v>
      </c>
      <c r="BD200" s="427">
        <f>-IF(AND(BD$11&gt;=EOMONTH('Construction Budget'!$K57,0),BD$11&lt;=EOMONTH('Construction Budget'!$M57,0)),('Construction Budget'!$G57+SUM($G200:BC200))/ROUND(((EOMONTH('Construction Budget'!$M57,0)-EOMONTH(BD$11,0))/30)+1,0),0)</f>
        <v>0</v>
      </c>
      <c r="BE200" s="427">
        <f>-IF(AND(BE$11&gt;=EOMONTH('Construction Budget'!$K57,0),BE$11&lt;=EOMONTH('Construction Budget'!$M57,0)),('Construction Budget'!$G57+SUM($G200:BD200))/ROUND(((EOMONTH('Construction Budget'!$M57,0)-EOMONTH(BE$11,0))/30)+1,0),0)</f>
        <v>0</v>
      </c>
      <c r="BF200" s="427">
        <f>-IF(AND(BF$11&gt;=EOMONTH('Construction Budget'!$K57,0),BF$11&lt;=EOMONTH('Construction Budget'!$M57,0)),('Construction Budget'!$G57+SUM($G200:BE200))/ROUND(((EOMONTH('Construction Budget'!$M57,0)-EOMONTH(BF$11,0))/30)+1,0),0)</f>
        <v>0</v>
      </c>
      <c r="BG200" s="427">
        <f>-IF(AND(BG$11&gt;=EOMONTH('Construction Budget'!$K57,0),BG$11&lt;=EOMONTH('Construction Budget'!$M57,0)),('Construction Budget'!$G57+SUM($G200:BF200))/ROUND(((EOMONTH('Construction Budget'!$M57,0)-EOMONTH(BG$11,0))/30)+1,0),0)</f>
        <v>0</v>
      </c>
      <c r="BH200" s="427">
        <f>-IF(AND(BH$11&gt;=EOMONTH('Construction Budget'!$K57,0),BH$11&lt;=EOMONTH('Construction Budget'!$M57,0)),('Construction Budget'!$G57+SUM($G200:BG200))/ROUND(((EOMONTH('Construction Budget'!$M57,0)-EOMONTH(BH$11,0))/30)+1,0),0)</f>
        <v>0</v>
      </c>
      <c r="BI200" s="427">
        <f>-IF(AND(BI$11&gt;=EOMONTH('Construction Budget'!$K57,0),BI$11&lt;=EOMONTH('Construction Budget'!$M57,0)),('Construction Budget'!$G57+SUM($G200:BH200))/ROUND(((EOMONTH('Construction Budget'!$M57,0)-EOMONTH(BI$11,0))/30)+1,0),0)</f>
        <v>0</v>
      </c>
      <c r="BJ200" s="427">
        <f>-IF(AND(BJ$11&gt;=EOMONTH('Construction Budget'!$K57,0),BJ$11&lt;=EOMONTH('Construction Budget'!$M57,0)),('Construction Budget'!$G57+SUM($G200:BI200))/ROUND(((EOMONTH('Construction Budget'!$M57,0)-EOMONTH(BJ$11,0))/30)+1,0),0)</f>
        <v>0</v>
      </c>
      <c r="BK200" s="427">
        <f>-IF(AND(BK$11&gt;=EOMONTH('Construction Budget'!$K57,0),BK$11&lt;=EOMONTH('Construction Budget'!$M57,0)),('Construction Budget'!$G57+SUM($G200:BJ200))/ROUND(((EOMONTH('Construction Budget'!$M57,0)-EOMONTH(BK$11,0))/30)+1,0),0)</f>
        <v>0</v>
      </c>
      <c r="BL200" s="427">
        <f>-IF(AND(BL$11&gt;=EOMONTH('Construction Budget'!$K57,0),BL$11&lt;=EOMONTH('Construction Budget'!$M57,0)),('Construction Budget'!$G57+SUM($G200:BK200))/ROUND(((EOMONTH('Construction Budget'!$M57,0)-EOMONTH(BL$11,0))/30)+1,0),0)</f>
        <v>0</v>
      </c>
      <c r="BM200" s="427">
        <f>-IF(AND(BM$11&gt;=EOMONTH('Construction Budget'!$K57,0),BM$11&lt;=EOMONTH('Construction Budget'!$M57,0)),('Construction Budget'!$G57+SUM($G200:BL200))/ROUND(((EOMONTH('Construction Budget'!$M57,0)-EOMONTH(BM$11,0))/30)+1,0),0)</f>
        <v>0</v>
      </c>
      <c r="BN200" s="427">
        <f>-IF(AND(BN$11&gt;=EOMONTH('Construction Budget'!$K57,0),BN$11&lt;=EOMONTH('Construction Budget'!$M57,0)),('Construction Budget'!$G57+SUM($G200:BM200))/ROUND(((EOMONTH('Construction Budget'!$M57,0)-EOMONTH(BN$11,0))/30)+1,0),0)</f>
        <v>0</v>
      </c>
      <c r="BO200" s="427">
        <f>-IF(AND(BO$11&gt;=EOMONTH('Construction Budget'!$K57,0),BO$11&lt;=EOMONTH('Construction Budget'!$M57,0)),('Construction Budget'!$G57+SUM($G200:BN200))/ROUND(((EOMONTH('Construction Budget'!$M57,0)-EOMONTH(BO$11,0))/30)+1,0),0)</f>
        <v>0</v>
      </c>
      <c r="BP200" s="427">
        <f>-IF(AND(BP$11&gt;=EOMONTH('Construction Budget'!$K57,0),BP$11&lt;=EOMONTH('Construction Budget'!$M57,0)),('Construction Budget'!$G57+SUM($G200:BO200))/ROUND(((EOMONTH('Construction Budget'!$M57,0)-EOMONTH(BP$11,0))/30)+1,0),0)</f>
        <v>0</v>
      </c>
      <c r="BQ200" s="427">
        <f>-IF(AND(BQ$11&gt;=EOMONTH('Construction Budget'!$K57,0),BQ$11&lt;=EOMONTH('Construction Budget'!$M57,0)),('Construction Budget'!$G57+SUM($G200:BP200))/ROUND(((EOMONTH('Construction Budget'!$M57,0)-EOMONTH(BQ$11,0))/30)+1,0),0)</f>
        <v>0</v>
      </c>
      <c r="BR200" s="427">
        <f>-IF(AND(BR$11&gt;=EOMONTH('Construction Budget'!$K57,0),BR$11&lt;=EOMONTH('Construction Budget'!$M57,0)),('Construction Budget'!$G57+SUM($G200:BQ200))/ROUND(((EOMONTH('Construction Budget'!$M57,0)-EOMONTH(BR$11,0))/30)+1,0),0)</f>
        <v>0</v>
      </c>
      <c r="BS200" s="427">
        <f>-IF(AND(BS$11&gt;=EOMONTH('Construction Budget'!$K57,0),BS$11&lt;=EOMONTH('Construction Budget'!$M57,0)),('Construction Budget'!$G57+SUM($G200:BR200))/ROUND(((EOMONTH('Construction Budget'!$M57,0)-EOMONTH(BS$11,0))/30)+1,0),0)</f>
        <v>0</v>
      </c>
      <c r="BT200" s="427">
        <f>-IF(AND(BT$11&gt;=EOMONTH('Construction Budget'!$K57,0),BT$11&lt;=EOMONTH('Construction Budget'!$M57,0)),('Construction Budget'!$G57+SUM($G200:BS200))/ROUND(((EOMONTH('Construction Budget'!$M57,0)-EOMONTH(BT$11,0))/30)+1,0),0)</f>
        <v>0</v>
      </c>
      <c r="BU200" s="427">
        <f>-IF(AND(BU$11&gt;=EOMONTH('Construction Budget'!$K57,0),BU$11&lt;=EOMONTH('Construction Budget'!$M57,0)),('Construction Budget'!$G57+SUM($G200:BT200))/ROUND(((EOMONTH('Construction Budget'!$M57,0)-EOMONTH(BU$11,0))/30)+1,0),0)</f>
        <v>0</v>
      </c>
      <c r="BV200" s="427">
        <f>-IF(AND(BV$11&gt;=EOMONTH('Construction Budget'!$K57,0),BV$11&lt;=EOMONTH('Construction Budget'!$M57,0)),('Construction Budget'!$G57+SUM($G200:BU200))/ROUND(((EOMONTH('Construction Budget'!$M57,0)-EOMONTH(BV$11,0))/30)+1,0),0)</f>
        <v>0</v>
      </c>
      <c r="BW200" s="427">
        <f>-IF(AND(BW$11&gt;=EOMONTH('Construction Budget'!$K57,0),BW$11&lt;=EOMONTH('Construction Budget'!$M57,0)),('Construction Budget'!$G57+SUM($G200:BV200))/ROUND(((EOMONTH('Construction Budget'!$M57,0)-EOMONTH(BW$11,0))/30)+1,0),0)</f>
        <v>0</v>
      </c>
      <c r="BX200" s="427">
        <f>-IF(AND(BX$11&gt;=EOMONTH('Construction Budget'!$K57,0),BX$11&lt;=EOMONTH('Construction Budget'!$M57,0)),('Construction Budget'!$G57+SUM($G200:BW200))/ROUND(((EOMONTH('Construction Budget'!$M57,0)-EOMONTH(BX$11,0))/30)+1,0),0)</f>
        <v>0</v>
      </c>
      <c r="BY200" s="427">
        <f>-IF(AND(BY$11&gt;=EOMONTH('Construction Budget'!$K57,0),BY$11&lt;=EOMONTH('Construction Budget'!$M57,0)),('Construction Budget'!$G57+SUM($G200:BX200))/ROUND(((EOMONTH('Construction Budget'!$M57,0)-EOMONTH(BY$11,0))/30)+1,0),0)</f>
        <v>0</v>
      </c>
      <c r="BZ200" s="427">
        <f>-IF(AND(BZ$11&gt;=EOMONTH('Construction Budget'!$K57,0),BZ$11&lt;=EOMONTH('Construction Budget'!$M57,0)),('Construction Budget'!$G57+SUM($G200:BY200))/ROUND(((EOMONTH('Construction Budget'!$M57,0)-EOMONTH(BZ$11,0))/30)+1,0),0)</f>
        <v>0</v>
      </c>
      <c r="CA200" s="427">
        <f>-IF(AND(CA$11&gt;=EOMONTH('Construction Budget'!$K57,0),CA$11&lt;=EOMONTH('Construction Budget'!$M57,0)),('Construction Budget'!$G57+SUM($G200:BZ200))/ROUND(((EOMONTH('Construction Budget'!$M57,0)-EOMONTH(CA$11,0))/30)+1,0),0)</f>
        <v>0</v>
      </c>
      <c r="CB200" s="427">
        <f>-IF(AND(CB$11&gt;=EOMONTH('Construction Budget'!$K57,0),CB$11&lt;=EOMONTH('Construction Budget'!$M57,0)),('Construction Budget'!$G57+SUM($G200:CA200))/ROUND(((EOMONTH('Construction Budget'!$M57,0)-EOMONTH(CB$11,0))/30)+1,0),0)</f>
        <v>0</v>
      </c>
      <c r="CC200" s="427">
        <f>-IF(AND(CC$11&gt;=EOMONTH('Construction Budget'!$K57,0),CC$11&lt;=EOMONTH('Construction Budget'!$M57,0)),('Construction Budget'!$G57+SUM($G200:CB200))/ROUND(((EOMONTH('Construction Budget'!$M57,0)-EOMONTH(CC$11,0))/30)+1,0),0)</f>
        <v>0</v>
      </c>
      <c r="CD200" s="427">
        <f>-IF(AND(CD$11&gt;=EOMONTH('Construction Budget'!$K57,0),CD$11&lt;=EOMONTH('Construction Budget'!$M57,0)),('Construction Budget'!$G57+SUM($G200:CC200))/ROUND(((EOMONTH('Construction Budget'!$M57,0)-EOMONTH(CD$11,0))/30)+1,0),0)</f>
        <v>0</v>
      </c>
      <c r="CE200" s="427">
        <f>-IF(AND(CE$11&gt;=EOMONTH('Construction Budget'!$K57,0),CE$11&lt;=EOMONTH('Construction Budget'!$M57,0)),('Construction Budget'!$G57+SUM($G200:CD200))/ROUND(((EOMONTH('Construction Budget'!$M57,0)-EOMONTH(CE$11,0))/30)+1,0),0)</f>
        <v>0</v>
      </c>
      <c r="CF200" s="427">
        <f>-IF(AND(CF$11&gt;=EOMONTH('Construction Budget'!$K57,0),CF$11&lt;=EOMONTH('Construction Budget'!$M57,0)),('Construction Budget'!$G57+SUM($G200:CE200))/ROUND(((EOMONTH('Construction Budget'!$M57,0)-EOMONTH(CF$11,0))/30)+1,0),0)</f>
        <v>0</v>
      </c>
      <c r="CG200" s="427">
        <f>-IF(AND(CG$11&gt;=EOMONTH('Construction Budget'!$K57,0),CG$11&lt;=EOMONTH('Construction Budget'!$M57,0)),('Construction Budget'!$G57+SUM($G200:CF200))/ROUND(((EOMONTH('Construction Budget'!$M57,0)-EOMONTH(CG$11,0))/30)+1,0),0)</f>
        <v>0</v>
      </c>
      <c r="CH200" s="427">
        <f>-IF(AND(CH$11&gt;=EOMONTH('Construction Budget'!$K57,0),CH$11&lt;=EOMONTH('Construction Budget'!$M57,0)),('Construction Budget'!$G57+SUM($G200:CG200))/ROUND(((EOMONTH('Construction Budget'!$M57,0)-EOMONTH(CH$11,0))/30)+1,0),0)</f>
        <v>0</v>
      </c>
      <c r="CI200" s="427">
        <f>-IF(AND(CI$11&gt;=EOMONTH('Construction Budget'!$K57,0),CI$11&lt;=EOMONTH('Construction Budget'!$M57,0)),('Construction Budget'!$G57+SUM($G200:CH200))/ROUND(((EOMONTH('Construction Budget'!$M57,0)-EOMONTH(CI$11,0))/30)+1,0),0)</f>
        <v>0</v>
      </c>
      <c r="CJ200" s="427">
        <f>-IF(AND(CJ$11&gt;=EOMONTH('Construction Budget'!$K57,0),CJ$11&lt;=EOMONTH('Construction Budget'!$M57,0)),('Construction Budget'!$G57+SUM($G200:CI200))/ROUND(((EOMONTH('Construction Budget'!$M57,0)-EOMONTH(CJ$11,0))/30)+1,0),0)</f>
        <v>0</v>
      </c>
      <c r="CK200" s="427">
        <f>-IF(AND(CK$11&gt;=EOMONTH('Construction Budget'!$K57,0),CK$11&lt;=EOMONTH('Construction Budget'!$M57,0)),('Construction Budget'!$G57+SUM($G200:CJ200))/ROUND(((EOMONTH('Construction Budget'!$M57,0)-EOMONTH(CK$11,0))/30)+1,0),0)</f>
        <v>0</v>
      </c>
      <c r="CL200" s="427">
        <f>-IF(AND(CL$11&gt;=EOMONTH('Construction Budget'!$K57,0),CL$11&lt;=EOMONTH('Construction Budget'!$M57,0)),('Construction Budget'!$G57+SUM($G200:CK200))/ROUND(((EOMONTH('Construction Budget'!$M57,0)-EOMONTH(CL$11,0))/30)+1,0),0)</f>
        <v>0</v>
      </c>
      <c r="CM200" s="427">
        <f>-IF(AND(CM$11&gt;=EOMONTH('Construction Budget'!$K57,0),CM$11&lt;=EOMONTH('Construction Budget'!$M57,0)),('Construction Budget'!$G57+SUM($G200:CL200))/ROUND(((EOMONTH('Construction Budget'!$M57,0)-EOMONTH(CM$11,0))/30)+1,0),0)</f>
        <v>0</v>
      </c>
      <c r="CN200" s="427">
        <f>-IF(AND(CN$11&gt;=EOMONTH('Construction Budget'!$K57,0),CN$11&lt;=EOMONTH('Construction Budget'!$M57,0)),('Construction Budget'!$G57+SUM($G200:CM200))/ROUND(((EOMONTH('Construction Budget'!$M57,0)-EOMONTH(CN$11,0))/30)+1,0),0)</f>
        <v>0</v>
      </c>
      <c r="CO200" s="427">
        <f>-IF(AND(CO$11&gt;=EOMONTH('Construction Budget'!$K57,0),CO$11&lt;=EOMONTH('Construction Budget'!$M57,0)),('Construction Budget'!$G57+SUM($G200:CN200))/ROUND(((EOMONTH('Construction Budget'!$M57,0)-EOMONTH(CO$11,0))/30)+1,0),0)</f>
        <v>0</v>
      </c>
      <c r="CP200" s="427">
        <f>-IF(AND(CP$11&gt;=EOMONTH('Construction Budget'!$K57,0),CP$11&lt;=EOMONTH('Construction Budget'!$M57,0)),('Construction Budget'!$G57+SUM($G200:CO200))/ROUND(((EOMONTH('Construction Budget'!$M57,0)-EOMONTH(CP$11,0))/30)+1,0),0)</f>
        <v>0</v>
      </c>
      <c r="CQ200" s="427">
        <f>-IF(AND(CQ$11&gt;=EOMONTH('Construction Budget'!$K57,0),CQ$11&lt;=EOMONTH('Construction Budget'!$M57,0)),('Construction Budget'!$G57+SUM($G200:CP200))/ROUND(((EOMONTH('Construction Budget'!$M57,0)-EOMONTH(CQ$11,0))/30)+1,0),0)</f>
        <v>0</v>
      </c>
      <c r="CR200" s="427">
        <f>-IF(AND(CR$11&gt;=EOMONTH('Construction Budget'!$K57,0),CR$11&lt;=EOMONTH('Construction Budget'!$M57,0)),('Construction Budget'!$G57+SUM($G200:CQ200))/ROUND(((EOMONTH('Construction Budget'!$M57,0)-EOMONTH(CR$11,0))/30)+1,0),0)</f>
        <v>0</v>
      </c>
      <c r="CS200" s="427">
        <f>-IF(AND(CS$11&gt;=EOMONTH('Construction Budget'!$K57,0),CS$11&lt;=EOMONTH('Construction Budget'!$M57,0)),('Construction Budget'!$G57+SUM($G200:CR200))/ROUND(((EOMONTH('Construction Budget'!$M57,0)-EOMONTH(CS$11,0))/30)+1,0),0)</f>
        <v>0</v>
      </c>
      <c r="CT200" s="427">
        <f>-IF(AND(CT$11&gt;=EOMONTH('Construction Budget'!$K57,0),CT$11&lt;=EOMONTH('Construction Budget'!$M57,0)),('Construction Budget'!$G57+SUM($G200:CS200))/ROUND(((EOMONTH('Construction Budget'!$M57,0)-EOMONTH(CT$11,0))/30)+1,0),0)</f>
        <v>0</v>
      </c>
      <c r="CU200" s="427">
        <f>-IF(AND(CU$11&gt;=EOMONTH('Construction Budget'!$K57,0),CU$11&lt;=EOMONTH('Construction Budget'!$M57,0)),('Construction Budget'!$G57+SUM($G200:CT200))/ROUND(((EOMONTH('Construction Budget'!$M57,0)-EOMONTH(CU$11,0))/30)+1,0),0)</f>
        <v>0</v>
      </c>
      <c r="CV200" s="427">
        <f>-IF(AND(CV$11&gt;=EOMONTH('Construction Budget'!$K57,0),CV$11&lt;=EOMONTH('Construction Budget'!$M57,0)),('Construction Budget'!$G57+SUM($G200:CU200))/ROUND(((EOMONTH('Construction Budget'!$M57,0)-EOMONTH(CV$11,0))/30)+1,0),0)</f>
        <v>0</v>
      </c>
      <c r="CW200" s="427">
        <f>-IF(AND(CW$11&gt;=EOMONTH('Construction Budget'!$K57,0),CW$11&lt;=EOMONTH('Construction Budget'!$M57,0)),('Construction Budget'!$G57+SUM($G200:CV200))/ROUND(((EOMONTH('Construction Budget'!$M57,0)-EOMONTH(CW$11,0))/30)+1,0),0)</f>
        <v>0</v>
      </c>
      <c r="CX200" s="427">
        <f>-IF(AND(CX$11&gt;=EOMONTH('Construction Budget'!$K57,0),CX$11&lt;=EOMONTH('Construction Budget'!$M57,0)),('Construction Budget'!$G57+SUM($G200:CW200))/ROUND(((EOMONTH('Construction Budget'!$M57,0)-EOMONTH(CX$11,0))/30)+1,0),0)</f>
        <v>0</v>
      </c>
      <c r="CY200" s="427">
        <f>-IF(AND(CY$11&gt;=EOMONTH('Construction Budget'!$K57,0),CY$11&lt;=EOMONTH('Construction Budget'!$M57,0)),('Construction Budget'!$G57+SUM($G200:CX200))/ROUND(((EOMONTH('Construction Budget'!$M57,0)-EOMONTH(CY$11,0))/30)+1,0),0)</f>
        <v>0</v>
      </c>
      <c r="CZ200" s="427">
        <f>-IF(AND(CZ$11&gt;=EOMONTH('Construction Budget'!$K57,0),CZ$11&lt;=EOMONTH('Construction Budget'!$M57,0)),('Construction Budget'!$G57+SUM($G200:CY200))/ROUND(((EOMONTH('Construction Budget'!$M57,0)-EOMONTH(CZ$11,0))/30)+1,0),0)</f>
        <v>0</v>
      </c>
      <c r="DA200" s="427">
        <f>-IF(AND(DA$11&gt;=EOMONTH('Construction Budget'!$K57,0),DA$11&lt;=EOMONTH('Construction Budget'!$M57,0)),('Construction Budget'!$G57+SUM($G200:CZ200))/ROUND(((EOMONTH('Construction Budget'!$M57,0)-EOMONTH(DA$11,0))/30)+1,0),0)</f>
        <v>0</v>
      </c>
      <c r="DB200" s="427">
        <f>-IF(AND(DB$11&gt;=EOMONTH('Construction Budget'!$K57,0),DB$11&lt;=EOMONTH('Construction Budget'!$M57,0)),('Construction Budget'!$G57+SUM($G200:DA200))/ROUND(((EOMONTH('Construction Budget'!$M57,0)-EOMONTH(DB$11,0))/30)+1,0),0)</f>
        <v>0</v>
      </c>
      <c r="DC200" s="427">
        <f>-IF(AND(DC$11&gt;=EOMONTH('Construction Budget'!$K57,0),DC$11&lt;=EOMONTH('Construction Budget'!$M57,0)),('Construction Budget'!$G57+SUM($G200:DB200))/ROUND(((EOMONTH('Construction Budget'!$M57,0)-EOMONTH(DC$11,0))/30)+1,0),0)</f>
        <v>0</v>
      </c>
      <c r="DD200" s="427">
        <f>-IF(AND(DD$11&gt;=EOMONTH('Construction Budget'!$K57,0),DD$11&lt;=EOMONTH('Construction Budget'!$M57,0)),('Construction Budget'!$G57+SUM($G200:DC200))/ROUND(((EOMONTH('Construction Budget'!$M57,0)-EOMONTH(DD$11,0))/30)+1,0),0)</f>
        <v>0</v>
      </c>
      <c r="DE200" s="427">
        <f>-IF(AND(DE$11&gt;=EOMONTH('Construction Budget'!$K57,0),DE$11&lt;=EOMONTH('Construction Budget'!$M57,0)),('Construction Budget'!$G57+SUM($G200:DD200))/ROUND(((EOMONTH('Construction Budget'!$M57,0)-EOMONTH(DE$11,0))/30)+1,0),0)</f>
        <v>0</v>
      </c>
      <c r="DF200" s="427">
        <f>-IF(AND(DF$11&gt;=EOMONTH('Construction Budget'!$K57,0),DF$11&lt;=EOMONTH('Construction Budget'!$M57,0)),('Construction Budget'!$G57+SUM($G200:DE200))/ROUND(((EOMONTH('Construction Budget'!$M57,0)-EOMONTH(DF$11,0))/30)+1,0),0)</f>
        <v>0</v>
      </c>
      <c r="DG200" s="427">
        <f>-IF(AND(DG$11&gt;=EOMONTH('Construction Budget'!$K57,0),DG$11&lt;=EOMONTH('Construction Budget'!$M57,0)),('Construction Budget'!$G57+SUM($G200:DF200))/ROUND(((EOMONTH('Construction Budget'!$M57,0)-EOMONTH(DG$11,0))/30)+1,0),0)</f>
        <v>0</v>
      </c>
      <c r="DH200" s="427">
        <f>-IF(AND(DH$11&gt;=EOMONTH('Construction Budget'!$K57,0),DH$11&lt;=EOMONTH('Construction Budget'!$M57,0)),('Construction Budget'!$G57+SUM($G200:DG200))/ROUND(((EOMONTH('Construction Budget'!$M57,0)-EOMONTH(DH$11,0))/30)+1,0),0)</f>
        <v>0</v>
      </c>
      <c r="DI200" s="427">
        <f>-IF(AND(DI$11&gt;=EOMONTH('Construction Budget'!$K57,0),DI$11&lt;=EOMONTH('Construction Budget'!$M57,0)),('Construction Budget'!$G57+SUM($G200:DH200))/ROUND(((EOMONTH('Construction Budget'!$M57,0)-EOMONTH(DI$11,0))/30)+1,0),0)</f>
        <v>0</v>
      </c>
      <c r="DJ200" s="427">
        <f>-IF(AND(DJ$11&gt;=EOMONTH('Construction Budget'!$K57,0),DJ$11&lt;=EOMONTH('Construction Budget'!$M57,0)),('Construction Budget'!$G57+SUM($G200:DI200))/ROUND(((EOMONTH('Construction Budget'!$M57,0)-EOMONTH(DJ$11,0))/30)+1,0),0)</f>
        <v>0</v>
      </c>
      <c r="DK200" s="427">
        <f>-IF(AND(DK$11&gt;=EOMONTH('Construction Budget'!$K57,0),DK$11&lt;=EOMONTH('Construction Budget'!$M57,0)),('Construction Budget'!$G57+SUM($G200:DJ200))/ROUND(((EOMONTH('Construction Budget'!$M57,0)-EOMONTH(DK$11,0))/30)+1,0),0)</f>
        <v>0</v>
      </c>
      <c r="DL200" s="427">
        <f>-IF(AND(DL$11&gt;=EOMONTH('Construction Budget'!$K57,0),DL$11&lt;=EOMONTH('Construction Budget'!$M57,0)),('Construction Budget'!$G57+SUM($G200:DK200))/ROUND(((EOMONTH('Construction Budget'!$M57,0)-EOMONTH(DL$11,0))/30)+1,0),0)</f>
        <v>0</v>
      </c>
      <c r="DM200" s="427">
        <f>-IF(AND(DM$11&gt;=EOMONTH('Construction Budget'!$K57,0),DM$11&lt;=EOMONTH('Construction Budget'!$M57,0)),('Construction Budget'!$G57+SUM($G200:DL200))/ROUND(((EOMONTH('Construction Budget'!$M57,0)-EOMONTH(DM$11,0))/30)+1,0),0)</f>
        <v>0</v>
      </c>
      <c r="DN200" s="427">
        <f>-IF(AND(DN$11&gt;=EOMONTH('Construction Budget'!$K57,0),DN$11&lt;=EOMONTH('Construction Budget'!$M57,0)),('Construction Budget'!$G57+SUM($G200:DM200))/ROUND(((EOMONTH('Construction Budget'!$M57,0)-EOMONTH(DN$11,0))/30)+1,0),0)</f>
        <v>0</v>
      </c>
      <c r="DO200" s="427">
        <f>-IF(AND(DO$11&gt;=EOMONTH('Construction Budget'!$K57,0),DO$11&lt;=EOMONTH('Construction Budget'!$M57,0)),('Construction Budget'!$G57+SUM($G200:DN200))/ROUND(((EOMONTH('Construction Budget'!$M57,0)-EOMONTH(DO$11,0))/30)+1,0),0)</f>
        <v>0</v>
      </c>
      <c r="DP200" s="427">
        <f>-IF(AND(DP$11&gt;=EOMONTH('Construction Budget'!$K57,0),DP$11&lt;=EOMONTH('Construction Budget'!$M57,0)),('Construction Budget'!$G57+SUM($G200:DO200))/ROUND(((EOMONTH('Construction Budget'!$M57,0)-EOMONTH(DP$11,0))/30)+1,0),0)</f>
        <v>0</v>
      </c>
      <c r="DQ200" s="427">
        <f>-IF(AND(DQ$11&gt;=EOMONTH('Construction Budget'!$K57,0),DQ$11&lt;=EOMONTH('Construction Budget'!$M57,0)),('Construction Budget'!$G57+SUM($G200:DP200))/ROUND(((EOMONTH('Construction Budget'!$M57,0)-EOMONTH(DQ$11,0))/30)+1,0),0)</f>
        <v>0</v>
      </c>
      <c r="DR200" s="427">
        <f>-IF(AND(DR$11&gt;=EOMONTH('Construction Budget'!$K57,0),DR$11&lt;=EOMONTH('Construction Budget'!$M57,0)),('Construction Budget'!$G57+SUM($G200:DQ200))/ROUND(((EOMONTH('Construction Budget'!$M57,0)-EOMONTH(DR$11,0))/30)+1,0),0)</f>
        <v>0</v>
      </c>
      <c r="DS200" s="427">
        <f>-IF(AND(DS$11&gt;=EOMONTH('Construction Budget'!$K57,0),DS$11&lt;=EOMONTH('Construction Budget'!$M57,0)),('Construction Budget'!$G57+SUM($G200:DR200))/ROUND(((EOMONTH('Construction Budget'!$M57,0)-EOMONTH(DS$11,0))/30)+1,0),0)</f>
        <v>0</v>
      </c>
      <c r="DT200" s="427">
        <f>-IF(AND(DT$11&gt;=EOMONTH('Construction Budget'!$K57,0),DT$11&lt;=EOMONTH('Construction Budget'!$M57,0)),('Construction Budget'!$G57+SUM($G200:DS200))/ROUND(((EOMONTH('Construction Budget'!$M57,0)-EOMONTH(DT$11,0))/30)+1,0),0)</f>
        <v>0</v>
      </c>
      <c r="DU200" s="427">
        <f>-IF(AND(DU$11&gt;=EOMONTH('Construction Budget'!$K57,0),DU$11&lt;=EOMONTH('Construction Budget'!$M57,0)),('Construction Budget'!$G57+SUM($G200:DT200))/ROUND(((EOMONTH('Construction Budget'!$M57,0)-EOMONTH(DU$11,0))/30)+1,0),0)</f>
        <v>0</v>
      </c>
      <c r="DV200" s="427">
        <f>-IF(AND(DV$11&gt;=EOMONTH('Construction Budget'!$K57,0),DV$11&lt;=EOMONTH('Construction Budget'!$M57,0)),('Construction Budget'!$G57+SUM($G200:DU200))/ROUND(((EOMONTH('Construction Budget'!$M57,0)-EOMONTH(DV$11,0))/30)+1,0),0)</f>
        <v>0</v>
      </c>
      <c r="DW200" s="427">
        <f>-IF(AND(DW$11&gt;=EOMONTH('Construction Budget'!$K57,0),DW$11&lt;=EOMONTH('Construction Budget'!$M57,0)),('Construction Budget'!$G57+SUM($G200:DV200))/ROUND(((EOMONTH('Construction Budget'!$M57,0)-EOMONTH(DW$11,0))/30)+1,0),0)</f>
        <v>0</v>
      </c>
      <c r="DX200" s="427">
        <f>-IF(AND(DX$11&gt;=EOMONTH('Construction Budget'!$K57,0),DX$11&lt;=EOMONTH('Construction Budget'!$M57,0)),('Construction Budget'!$G57+SUM($G200:DW200))/ROUND(((EOMONTH('Construction Budget'!$M57,0)-EOMONTH(DX$11,0))/30)+1,0),0)</f>
        <v>0</v>
      </c>
      <c r="DY200" s="427">
        <f>-IF(AND(DY$11&gt;=EOMONTH('Construction Budget'!$K57,0),DY$11&lt;=EOMONTH('Construction Budget'!$M57,0)),('Construction Budget'!$G57+SUM($G200:DX200))/ROUND(((EOMONTH('Construction Budget'!$M57,0)-EOMONTH(DY$11,0))/30)+1,0),0)</f>
        <v>0</v>
      </c>
      <c r="DZ200" s="427">
        <f>-IF(AND(DZ$11&gt;=EOMONTH('Construction Budget'!$K57,0),DZ$11&lt;=EOMONTH('Construction Budget'!$M57,0)),('Construction Budget'!$G57+SUM($G200:DY200))/ROUND(((EOMONTH('Construction Budget'!$M57,0)-EOMONTH(DZ$11,0))/30)+1,0),0)</f>
        <v>0</v>
      </c>
      <c r="EA200" s="427">
        <f>-IF(AND(EA$11&gt;=EOMONTH('Construction Budget'!$K57,0),EA$11&lt;=EOMONTH('Construction Budget'!$M57,0)),('Construction Budget'!$G57+SUM($G200:DZ200))/ROUND(((EOMONTH('Construction Budget'!$M57,0)-EOMONTH(EA$11,0))/30)+1,0),0)</f>
        <v>0</v>
      </c>
      <c r="EB200" s="427">
        <f>-IF(AND(EB$11&gt;=EOMONTH('Construction Budget'!$K57,0),EB$11&lt;=EOMONTH('Construction Budget'!$M57,0)),('Construction Budget'!$G57+SUM($G200:EA200))/ROUND(((EOMONTH('Construction Budget'!$M57,0)-EOMONTH(EB$11,0))/30)+1,0),0)</f>
        <v>0</v>
      </c>
      <c r="EC200" s="427">
        <f>-IF(AND(EC$11&gt;=EOMONTH('Construction Budget'!$K57,0),EC$11&lt;=EOMONTH('Construction Budget'!$M57,0)),('Construction Budget'!$G57+SUM($G200:EB200))/ROUND(((EOMONTH('Construction Budget'!$M57,0)-EOMONTH(EC$11,0))/30)+1,0),0)</f>
        <v>0</v>
      </c>
      <c r="ED200" s="427">
        <f>-IF(AND(ED$11&gt;=EOMONTH('Construction Budget'!$K57,0),ED$11&lt;=EOMONTH('Construction Budget'!$M57,0)),('Construction Budget'!$G57+SUM($G200:EC200))/ROUND(((EOMONTH('Construction Budget'!$M57,0)-EOMONTH(ED$11,0))/30)+1,0),0)</f>
        <v>0</v>
      </c>
      <c r="EE200" s="427">
        <f>-IF(AND(EE$11&gt;=EOMONTH('Construction Budget'!$K57,0),EE$11&lt;=EOMONTH('Construction Budget'!$M57,0)),('Construction Budget'!$G57+SUM($G200:ED200))/ROUND(((EOMONTH('Construction Budget'!$M57,0)-EOMONTH(EE$11,0))/30)+1,0),0)</f>
        <v>0</v>
      </c>
      <c r="EF200" s="427">
        <f>-IF(AND(EF$11&gt;=EOMONTH('Construction Budget'!$K57,0),EF$11&lt;=EOMONTH('Construction Budget'!$M57,0)),('Construction Budget'!$G57+SUM($G200:EE200))/ROUND(((EOMONTH('Construction Budget'!$M57,0)-EOMONTH(EF$11,0))/30)+1,0),0)</f>
        <v>0</v>
      </c>
      <c r="EG200" s="427">
        <f>-IF(AND(EG$11&gt;=EOMONTH('Construction Budget'!$K57,0),EG$11&lt;=EOMONTH('Construction Budget'!$M57,0)),('Construction Budget'!$G57+SUM($G200:EF200))/ROUND(((EOMONTH('Construction Budget'!$M57,0)-EOMONTH(EG$11,0))/30)+1,0),0)</f>
        <v>0</v>
      </c>
      <c r="EH200" s="427">
        <f>-IF(AND(EH$11&gt;=EOMONTH('Construction Budget'!$K57,0),EH$11&lt;=EOMONTH('Construction Budget'!$M57,0)),('Construction Budget'!$G57+SUM($G200:EG200))/ROUND(((EOMONTH('Construction Budget'!$M57,0)-EOMONTH(EH$11,0))/30)+1,0),0)</f>
        <v>0</v>
      </c>
      <c r="EI200" s="427">
        <f>-IF(AND(EI$11&gt;=EOMONTH('Construction Budget'!$K57,0),EI$11&lt;=EOMONTH('Construction Budget'!$M57,0)),('Construction Budget'!$G57+SUM($G200:EH200))/ROUND(((EOMONTH('Construction Budget'!$M57,0)-EOMONTH(EI$11,0))/30)+1,0),0)</f>
        <v>0</v>
      </c>
      <c r="EJ200" s="427">
        <f>-IF(AND(EJ$11&gt;=EOMONTH('Construction Budget'!$K57,0),EJ$11&lt;=EOMONTH('Construction Budget'!$M57,0)),('Construction Budget'!$G57+SUM($G200:EI200))/ROUND(((EOMONTH('Construction Budget'!$M57,0)-EOMONTH(EJ$11,0))/30)+1,0),0)</f>
        <v>0</v>
      </c>
      <c r="EK200" s="427">
        <f>-IF(AND(EK$11&gt;=EOMONTH('Construction Budget'!$K57,0),EK$11&lt;=EOMONTH('Construction Budget'!$M57,0)),('Construction Budget'!$G57+SUM($G200:EJ200))/ROUND(((EOMONTH('Construction Budget'!$M57,0)-EOMONTH(EK$11,0))/30)+1,0),0)</f>
        <v>0</v>
      </c>
      <c r="EL200" s="427">
        <f>-IF(AND(EL$11&gt;=EOMONTH('Construction Budget'!$K57,0),EL$11&lt;=EOMONTH('Construction Budget'!$M57,0)),('Construction Budget'!$G57+SUM($G200:EK200))/ROUND(((EOMONTH('Construction Budget'!$M57,0)-EOMONTH(EL$11,0))/30)+1,0),0)</f>
        <v>0</v>
      </c>
      <c r="EM200" s="427">
        <f>-IF(AND(EM$11&gt;=EOMONTH('Construction Budget'!$K57,0),EM$11&lt;=EOMONTH('Construction Budget'!$M57,0)),('Construction Budget'!$G57+SUM($G200:EL200))/ROUND(((EOMONTH('Construction Budget'!$M57,0)-EOMONTH(EM$11,0))/30)+1,0),0)</f>
        <v>0</v>
      </c>
      <c r="EN200" s="427">
        <f>-IF(AND(EN$11&gt;=EOMONTH('Construction Budget'!$K57,0),EN$11&lt;=EOMONTH('Construction Budget'!$M57,0)),('Construction Budget'!$G57+SUM($G200:EM200))/ROUND(((EOMONTH('Construction Budget'!$M57,0)-EOMONTH(EN$11,0))/30)+1,0),0)</f>
        <v>0</v>
      </c>
      <c r="EO200" s="427">
        <f>-IF(AND(EO$11&gt;=EOMONTH('Construction Budget'!$K57,0),EO$11&lt;=EOMONTH('Construction Budget'!$M57,0)),('Construction Budget'!$G57+SUM($G200:EN200))/ROUND(((EOMONTH('Construction Budget'!$M57,0)-EOMONTH(EO$11,0))/30)+1,0),0)</f>
        <v>0</v>
      </c>
      <c r="EP200" s="427">
        <f>-IF(AND(EP$11&gt;=EOMONTH('Construction Budget'!$K57,0),EP$11&lt;=EOMONTH('Construction Budget'!$M57,0)),('Construction Budget'!$G57+SUM($G200:EO200))/ROUND(((EOMONTH('Construction Budget'!$M57,0)-EOMONTH(EP$11,0))/30)+1,0),0)</f>
        <v>0</v>
      </c>
      <c r="EQ200" s="427">
        <f>-IF(AND(EQ$11&gt;=EOMONTH('Construction Budget'!$K57,0),EQ$11&lt;=EOMONTH('Construction Budget'!$M57,0)),('Construction Budget'!$G57+SUM($G200:EP200))/ROUND(((EOMONTH('Construction Budget'!$M57,0)-EOMONTH(EQ$11,0))/30)+1,0),0)</f>
        <v>0</v>
      </c>
      <c r="ER200" s="427">
        <f>-IF(AND(ER$11&gt;=EOMONTH('Construction Budget'!$K57,0),ER$11&lt;=EOMONTH('Construction Budget'!$M57,0)),('Construction Budget'!$G57+SUM($G200:EQ200))/ROUND(((EOMONTH('Construction Budget'!$M57,0)-EOMONTH(ER$11,0))/30)+1,0),0)</f>
        <v>0</v>
      </c>
      <c r="ES200" s="427">
        <f>-IF(AND(ES$11&gt;=EOMONTH('Construction Budget'!$K57,0),ES$11&lt;=EOMONTH('Construction Budget'!$M57,0)),('Construction Budget'!$G57+SUM($G200:ER200))/ROUND(((EOMONTH('Construction Budget'!$M57,0)-EOMONTH(ES$11,0))/30)+1,0),0)</f>
        <v>0</v>
      </c>
      <c r="ET200" s="427">
        <f>-IF(AND(ET$11&gt;=EOMONTH('Construction Budget'!$K57,0),ET$11&lt;=EOMONTH('Construction Budget'!$M57,0)),('Construction Budget'!$G57+SUM($G200:ES200))/ROUND(((EOMONTH('Construction Budget'!$M57,0)-EOMONTH(ET$11,0))/30)+1,0),0)</f>
        <v>0</v>
      </c>
      <c r="EU200" s="427">
        <f>-IF(AND(EU$11&gt;=EOMONTH('Construction Budget'!$K57,0),EU$11&lt;=EOMONTH('Construction Budget'!$M57,0)),('Construction Budget'!$G57+SUM($G200:ET200))/ROUND(((EOMONTH('Construction Budget'!$M57,0)-EOMONTH(EU$11,0))/30)+1,0),0)</f>
        <v>0</v>
      </c>
      <c r="EV200" s="427">
        <f>-IF(AND(EV$11&gt;=EOMONTH('Construction Budget'!$K57,0),EV$11&lt;=EOMONTH('Construction Budget'!$M57,0)),('Construction Budget'!$G57+SUM($G200:EU200))/ROUND(((EOMONTH('Construction Budget'!$M57,0)-EOMONTH(EV$11,0))/30)+1,0),0)</f>
        <v>0</v>
      </c>
      <c r="EW200" s="427">
        <f>-IF(AND(EW$11&gt;=EOMONTH('Construction Budget'!$K57,0),EW$11&lt;=EOMONTH('Construction Budget'!$M57,0)),('Construction Budget'!$G57+SUM($G200:EV200))/ROUND(((EOMONTH('Construction Budget'!$M57,0)-EOMONTH(EW$11,0))/30)+1,0),0)</f>
        <v>0</v>
      </c>
      <c r="EX200" s="427">
        <f>-IF(AND(EX$11&gt;=EOMONTH('Construction Budget'!$K57,0),EX$11&lt;=EOMONTH('Construction Budget'!$M57,0)),('Construction Budget'!$G57+SUM($G200:EW200))/ROUND(((EOMONTH('Construction Budget'!$M57,0)-EOMONTH(EX$11,0))/30)+1,0),0)</f>
        <v>0</v>
      </c>
      <c r="EY200" s="427">
        <f>-IF(AND(EY$11&gt;=EOMONTH('Construction Budget'!$K57,0),EY$11&lt;=EOMONTH('Construction Budget'!$M57,0)),('Construction Budget'!$G57+SUM($G200:EX200))/ROUND(((EOMONTH('Construction Budget'!$M57,0)-EOMONTH(EY$11,0))/30)+1,0),0)</f>
        <v>0</v>
      </c>
      <c r="EZ200" s="427">
        <f>-IF(AND(EZ$11&gt;=EOMONTH('Construction Budget'!$K57,0),EZ$11&lt;=EOMONTH('Construction Budget'!$M57,0)),('Construction Budget'!$G57+SUM($G200:EY200))/ROUND(((EOMONTH('Construction Budget'!$M57,0)-EOMONTH(EZ$11,0))/30)+1,0),0)</f>
        <v>0</v>
      </c>
      <c r="FA200" s="427">
        <f>-IF(AND(FA$11&gt;=EOMONTH('Construction Budget'!$K57,0),FA$11&lt;=EOMONTH('Construction Budget'!$M57,0)),('Construction Budget'!$G57+SUM($G200:EZ200))/ROUND(((EOMONTH('Construction Budget'!$M57,0)-EOMONTH(FA$11,0))/30)+1,0),0)</f>
        <v>0</v>
      </c>
      <c r="FB200" s="427">
        <f>-IF(AND(FB$11&gt;=EOMONTH('Construction Budget'!$K57,0),FB$11&lt;=EOMONTH('Construction Budget'!$M57,0)),('Construction Budget'!$G57+SUM($G200:FA200))/ROUND(((EOMONTH('Construction Budget'!$M57,0)-EOMONTH(FB$11,0))/30)+1,0),0)</f>
        <v>0</v>
      </c>
      <c r="FC200" s="427">
        <f>-IF(AND(FC$11&gt;=EOMONTH('Construction Budget'!$K57,0),FC$11&lt;=EOMONTH('Construction Budget'!$M57,0)),('Construction Budget'!$G57+SUM($G200:FB200))/ROUND(((EOMONTH('Construction Budget'!$M57,0)-EOMONTH(FC$11,0))/30)+1,0),0)</f>
        <v>0</v>
      </c>
      <c r="FD200" s="427">
        <f>-IF(AND(FD$11&gt;=EOMONTH('Construction Budget'!$K57,0),FD$11&lt;=EOMONTH('Construction Budget'!$M57,0)),('Construction Budget'!$G57+SUM($G200:FC200))/ROUND(((EOMONTH('Construction Budget'!$M57,0)-EOMONTH(FD$11,0))/30)+1,0),0)</f>
        <v>0</v>
      </c>
      <c r="FE200" s="427">
        <f>-IF(AND(FE$11&gt;=EOMONTH('Construction Budget'!$K57,0),FE$11&lt;=EOMONTH('Construction Budget'!$M57,0)),('Construction Budget'!$G57+SUM($G200:FD200))/ROUND(((EOMONTH('Construction Budget'!$M57,0)-EOMONTH(FE$11,0))/30)+1,0),0)</f>
        <v>0</v>
      </c>
      <c r="FF200" s="427">
        <f>-IF(AND(FF$11&gt;=EOMONTH('Construction Budget'!$K57,0),FF$11&lt;=EOMONTH('Construction Budget'!$M57,0)),('Construction Budget'!$G57+SUM($G200:FE200))/ROUND(((EOMONTH('Construction Budget'!$M57,0)-EOMONTH(FF$11,0))/30)+1,0),0)</f>
        <v>0</v>
      </c>
      <c r="FG200" s="427">
        <f>-IF(AND(FG$11&gt;=EOMONTH('Construction Budget'!$K57,0),FG$11&lt;=EOMONTH('Construction Budget'!$M57,0)),('Construction Budget'!$G57+SUM($G200:FF200))/ROUND(((EOMONTH('Construction Budget'!$M57,0)-EOMONTH(FG$11,0))/30)+1,0),0)</f>
        <v>0</v>
      </c>
      <c r="FH200" s="427">
        <f>-IF(AND(FH$11&gt;=EOMONTH('Construction Budget'!$K57,0),FH$11&lt;=EOMONTH('Construction Budget'!$M57,0)),('Construction Budget'!$G57+SUM($G200:FG200))/ROUND(((EOMONTH('Construction Budget'!$M57,0)-EOMONTH(FH$11,0))/30)+1,0),0)</f>
        <v>0</v>
      </c>
      <c r="FI200" s="427">
        <f>-IF(AND(FI$11&gt;=EOMONTH('Construction Budget'!$K57,0),FI$11&lt;=EOMONTH('Construction Budget'!$M57,0)),('Construction Budget'!$G57+SUM($G200:FH200))/ROUND(((EOMONTH('Construction Budget'!$M57,0)-EOMONTH(FI$11,0))/30)+1,0),0)</f>
        <v>0</v>
      </c>
      <c r="FJ200" s="427">
        <f>-IF(AND(FJ$11&gt;=EOMONTH('Construction Budget'!$K57,0),FJ$11&lt;=EOMONTH('Construction Budget'!$M57,0)),('Construction Budget'!$G57+SUM($G200:FI200))/ROUND(((EOMONTH('Construction Budget'!$M57,0)-EOMONTH(FJ$11,0))/30)+1,0),0)</f>
        <v>0</v>
      </c>
      <c r="FK200" s="427">
        <f>-IF(AND(FK$11&gt;=EOMONTH('Construction Budget'!$K57,0),FK$11&lt;=EOMONTH('Construction Budget'!$M57,0)),('Construction Budget'!$G57+SUM($G200:FJ200))/ROUND(((EOMONTH('Construction Budget'!$M57,0)-EOMONTH(FK$11,0))/30)+1,0),0)</f>
        <v>0</v>
      </c>
      <c r="FL200" s="427">
        <f>-IF(AND(FL$11&gt;=EOMONTH('Construction Budget'!$K57,0),FL$11&lt;=EOMONTH('Construction Budget'!$M57,0)),('Construction Budget'!$G57+SUM($G200:FK200))/ROUND(((EOMONTH('Construction Budget'!$M57,0)-EOMONTH(FL$11,0))/30)+1,0),0)</f>
        <v>0</v>
      </c>
      <c r="FM200" s="427">
        <f>-IF(AND(FM$11&gt;=EOMONTH('Construction Budget'!$K57,0),FM$11&lt;=EOMONTH('Construction Budget'!$M57,0)),('Construction Budget'!$G57+SUM($G200:FL200))/ROUND(((EOMONTH('Construction Budget'!$M57,0)-EOMONTH(FM$11,0))/30)+1,0),0)</f>
        <v>0</v>
      </c>
      <c r="FN200" s="427">
        <f>-IF(AND(FN$11&gt;=EOMONTH('Construction Budget'!$K57,0),FN$11&lt;=EOMONTH('Construction Budget'!$M57,0)),('Construction Budget'!$G57+SUM($G200:FM200))/ROUND(((EOMONTH('Construction Budget'!$M57,0)-EOMONTH(FN$11,0))/30)+1,0),0)</f>
        <v>0</v>
      </c>
      <c r="FO200" s="427">
        <f>-IF(AND(FO$11&gt;=EOMONTH('Construction Budget'!$K57,0),FO$11&lt;=EOMONTH('Construction Budget'!$M57,0)),('Construction Budget'!$G57+SUM($G200:FN200))/ROUND(((EOMONTH('Construction Budget'!$M57,0)-EOMONTH(FO$11,0))/30)+1,0),0)</f>
        <v>0</v>
      </c>
      <c r="FP200" s="427">
        <f>-IF(AND(FP$11&gt;=EOMONTH('Construction Budget'!$K57,0),FP$11&lt;=EOMONTH('Construction Budget'!$M57,0)),('Construction Budget'!$G57+SUM($G200:FO200))/ROUND(((EOMONTH('Construction Budget'!$M57,0)-EOMONTH(FP$11,0))/30)+1,0),0)</f>
        <v>0</v>
      </c>
      <c r="FQ200" s="427">
        <f>-IF(AND(FQ$11&gt;=EOMONTH('Construction Budget'!$K57,0),FQ$11&lt;=EOMONTH('Construction Budget'!$M57,0)),('Construction Budget'!$G57+SUM($G200:FP200))/ROUND(((EOMONTH('Construction Budget'!$M57,0)-EOMONTH(FQ$11,0))/30)+1,0),0)</f>
        <v>0</v>
      </c>
      <c r="FR200" s="427">
        <f>-IF(AND(FR$11&gt;=EOMONTH('Construction Budget'!$K57,0),FR$11&lt;=EOMONTH('Construction Budget'!$M57,0)),('Construction Budget'!$G57+SUM($G200:FQ200))/ROUND(((EOMONTH('Construction Budget'!$M57,0)-EOMONTH(FR$11,0))/30)+1,0),0)</f>
        <v>0</v>
      </c>
      <c r="FS200" s="427">
        <f>-IF(AND(FS$11&gt;=EOMONTH('Construction Budget'!$K57,0),FS$11&lt;=EOMONTH('Construction Budget'!$M57,0)),('Construction Budget'!$G57+SUM($G200:FR200))/ROUND(((EOMONTH('Construction Budget'!$M57,0)-EOMONTH(FS$11,0))/30)+1,0),0)</f>
        <v>0</v>
      </c>
      <c r="FT200" s="427">
        <f>-IF(AND(FT$11&gt;=EOMONTH('Construction Budget'!$K57,0),FT$11&lt;=EOMONTH('Construction Budget'!$M57,0)),('Construction Budget'!$G57+SUM($G200:FS200))/ROUND(((EOMONTH('Construction Budget'!$M57,0)-EOMONTH(FT$11,0))/30)+1,0),0)</f>
        <v>0</v>
      </c>
      <c r="FU200" s="43"/>
      <c r="FV200" s="34"/>
      <c r="FW200" s="34"/>
      <c r="FX200" s="34"/>
      <c r="FY200" s="34"/>
      <c r="FZ200" s="34"/>
    </row>
    <row r="201" spans="1:182" s="89" customFormat="1" ht="13.5" hidden="1" outlineLevel="1" x14ac:dyDescent="0.25">
      <c r="A201" s="498"/>
      <c r="B201" s="43" t="str">
        <f>'Construction Budget'!B58</f>
        <v>Blank</v>
      </c>
      <c r="C201" s="34"/>
      <c r="D201" s="34"/>
      <c r="E201" s="34"/>
      <c r="F201" s="434">
        <f t="shared" ref="F201:F213" si="236">SUM(H201:FT201)</f>
        <v>0</v>
      </c>
      <c r="G201" s="34"/>
      <c r="H201" s="427">
        <f>-IF(AND(H$11&gt;=EOMONTH('Construction Budget'!$K58,0),H$11&lt;=EOMONTH('Construction Budget'!$M58,0)),('Construction Budget'!$G58+SUM($G201:G201))/ROUND(((EOMONTH('Construction Budget'!$M58,0)-EOMONTH(H$11,0))/30)+1,0),0)</f>
        <v>0</v>
      </c>
      <c r="I201" s="427">
        <f>-IF(AND(I$11&gt;=EOMONTH('Construction Budget'!$K58,0),I$11&lt;=EOMONTH('Construction Budget'!$M58,0)),('Construction Budget'!$G58+SUM($G201:H201))/ROUND(((EOMONTH('Construction Budget'!$M58,0)-EOMONTH(I$11,0))/30)+1,0),0)</f>
        <v>0</v>
      </c>
      <c r="J201" s="427">
        <f>-IF(AND(J$11&gt;=EOMONTH('Construction Budget'!$K58,0),J$11&lt;=EOMONTH('Construction Budget'!$M58,0)),('Construction Budget'!$G58+SUM($G201:I201))/ROUND(((EOMONTH('Construction Budget'!$M58,0)-EOMONTH(J$11,0))/30)+1,0),0)</f>
        <v>0</v>
      </c>
      <c r="K201" s="427">
        <f>-IF(AND(K$11&gt;=EOMONTH('Construction Budget'!$K58,0),K$11&lt;=EOMONTH('Construction Budget'!$M58,0)),('Construction Budget'!$G58+SUM($G201:J201))/ROUND(((EOMONTH('Construction Budget'!$M58,0)-EOMONTH(K$11,0))/30)+1,0),0)</f>
        <v>0</v>
      </c>
      <c r="L201" s="427">
        <f>-IF(AND(L$11&gt;=EOMONTH('Construction Budget'!$K58,0),L$11&lt;=EOMONTH('Construction Budget'!$M58,0)),('Construction Budget'!$G58+SUM($G201:K201))/ROUND(((EOMONTH('Construction Budget'!$M58,0)-EOMONTH(L$11,0))/30)+1,0),0)</f>
        <v>0</v>
      </c>
      <c r="M201" s="427">
        <f>-IF(AND(M$11&gt;=EOMONTH('Construction Budget'!$K58,0),M$11&lt;=EOMONTH('Construction Budget'!$M58,0)),('Construction Budget'!$G58+SUM($G201:L201))/ROUND(((EOMONTH('Construction Budget'!$M58,0)-EOMONTH(M$11,0))/30)+1,0),0)</f>
        <v>0</v>
      </c>
      <c r="N201" s="427">
        <f>-IF(AND(N$11&gt;=EOMONTH('Construction Budget'!$K58,0),N$11&lt;=EOMONTH('Construction Budget'!$M58,0)),('Construction Budget'!$G58+SUM($G201:M201))/ROUND(((EOMONTH('Construction Budget'!$M58,0)-EOMONTH(N$11,0))/30)+1,0),0)</f>
        <v>0</v>
      </c>
      <c r="O201" s="427">
        <f>-IF(AND(O$11&gt;=EOMONTH('Construction Budget'!$K58,0),O$11&lt;=EOMONTH('Construction Budget'!$M58,0)),('Construction Budget'!$G58+SUM($G201:N201))/ROUND(((EOMONTH('Construction Budget'!$M58,0)-EOMONTH(O$11,0))/30)+1,0),0)</f>
        <v>0</v>
      </c>
      <c r="P201" s="427">
        <f>-IF(AND(P$11&gt;=EOMONTH('Construction Budget'!$K58,0),P$11&lt;=EOMONTH('Construction Budget'!$M58,0)),('Construction Budget'!$G58+SUM($G201:O201))/ROUND(((EOMONTH('Construction Budget'!$M58,0)-EOMONTH(P$11,0))/30)+1,0),0)</f>
        <v>0</v>
      </c>
      <c r="Q201" s="427">
        <f>-IF(AND(Q$11&gt;=EOMONTH('Construction Budget'!$K58,0),Q$11&lt;=EOMONTH('Construction Budget'!$M58,0)),('Construction Budget'!$G58+SUM($G201:P201))/ROUND(((EOMONTH('Construction Budget'!$M58,0)-EOMONTH(Q$11,0))/30)+1,0),0)</f>
        <v>0</v>
      </c>
      <c r="R201" s="427">
        <f>-IF(AND(R$11&gt;=EOMONTH('Construction Budget'!$K58,0),R$11&lt;=EOMONTH('Construction Budget'!$M58,0)),('Construction Budget'!$G58+SUM($G201:Q201))/ROUND(((EOMONTH('Construction Budget'!$M58,0)-EOMONTH(R$11,0))/30)+1,0),0)</f>
        <v>0</v>
      </c>
      <c r="S201" s="427">
        <f>-IF(AND(S$11&gt;=EOMONTH('Construction Budget'!$K58,0),S$11&lt;=EOMONTH('Construction Budget'!$M58,0)),('Construction Budget'!$G58+SUM($G201:R201))/ROUND(((EOMONTH('Construction Budget'!$M58,0)-EOMONTH(S$11,0))/30)+1,0),0)</f>
        <v>0</v>
      </c>
      <c r="T201" s="427">
        <f>-IF(AND(T$11&gt;=EOMONTH('Construction Budget'!$K58,0),T$11&lt;=EOMONTH('Construction Budget'!$M58,0)),('Construction Budget'!$G58+SUM($G201:S201))/ROUND(((EOMONTH('Construction Budget'!$M58,0)-EOMONTH(T$11,0))/30)+1,0),0)</f>
        <v>0</v>
      </c>
      <c r="U201" s="427">
        <f>-IF(AND(U$11&gt;=EOMONTH('Construction Budget'!$K58,0),U$11&lt;=EOMONTH('Construction Budget'!$M58,0)),('Construction Budget'!$G58+SUM($G201:T201))/ROUND(((EOMONTH('Construction Budget'!$M58,0)-EOMONTH(U$11,0))/30)+1,0),0)</f>
        <v>0</v>
      </c>
      <c r="V201" s="427">
        <f>-IF(AND(V$11&gt;=EOMONTH('Construction Budget'!$K58,0),V$11&lt;=EOMONTH('Construction Budget'!$M58,0)),('Construction Budget'!$G58+SUM($G201:U201))/ROUND(((EOMONTH('Construction Budget'!$M58,0)-EOMONTH(V$11,0))/30)+1,0),0)</f>
        <v>0</v>
      </c>
      <c r="W201" s="427">
        <f>-IF(AND(W$11&gt;=EOMONTH('Construction Budget'!$K58,0),W$11&lt;=EOMONTH('Construction Budget'!$M58,0)),('Construction Budget'!$G58+SUM($G201:V201))/ROUND(((EOMONTH('Construction Budget'!$M58,0)-EOMONTH(W$11,0))/30)+1,0),0)</f>
        <v>0</v>
      </c>
      <c r="X201" s="427">
        <f>-IF(AND(X$11&gt;=EOMONTH('Construction Budget'!$K58,0),X$11&lt;=EOMONTH('Construction Budget'!$M58,0)),('Construction Budget'!$G58+SUM($G201:W201))/ROUND(((EOMONTH('Construction Budget'!$M58,0)-EOMONTH(X$11,0))/30)+1,0),0)</f>
        <v>0</v>
      </c>
      <c r="Y201" s="427">
        <f>-IF(AND(Y$11&gt;=EOMONTH('Construction Budget'!$K58,0),Y$11&lt;=EOMONTH('Construction Budget'!$M58,0)),('Construction Budget'!$G58+SUM($G201:X201))/ROUND(((EOMONTH('Construction Budget'!$M58,0)-EOMONTH(Y$11,0))/30)+1,0),0)</f>
        <v>0</v>
      </c>
      <c r="Z201" s="427">
        <f>-IF(AND(Z$11&gt;=EOMONTH('Construction Budget'!$K58,0),Z$11&lt;=EOMONTH('Construction Budget'!$M58,0)),('Construction Budget'!$G58+SUM($G201:Y201))/ROUND(((EOMONTH('Construction Budget'!$M58,0)-EOMONTH(Z$11,0))/30)+1,0),0)</f>
        <v>0</v>
      </c>
      <c r="AA201" s="427">
        <f>-IF(AND(AA$11&gt;=EOMONTH('Construction Budget'!$K58,0),AA$11&lt;=EOMONTH('Construction Budget'!$M58,0)),('Construction Budget'!$G58+SUM($G201:Z201))/ROUND(((EOMONTH('Construction Budget'!$M58,0)-EOMONTH(AA$11,0))/30)+1,0),0)</f>
        <v>0</v>
      </c>
      <c r="AB201" s="427">
        <f>-IF(AND(AB$11&gt;=EOMONTH('Construction Budget'!$K58,0),AB$11&lt;=EOMONTH('Construction Budget'!$M58,0)),('Construction Budget'!$G58+SUM($G201:AA201))/ROUND(((EOMONTH('Construction Budget'!$M58,0)-EOMONTH(AB$11,0))/30)+1,0),0)</f>
        <v>0</v>
      </c>
      <c r="AC201" s="427">
        <f>-IF(AND(AC$11&gt;=EOMONTH('Construction Budget'!$K58,0),AC$11&lt;=EOMONTH('Construction Budget'!$M58,0)),('Construction Budget'!$G58+SUM($G201:AB201))/ROUND(((EOMONTH('Construction Budget'!$M58,0)-EOMONTH(AC$11,0))/30)+1,0),0)</f>
        <v>0</v>
      </c>
      <c r="AD201" s="427">
        <f>-IF(AND(AD$11&gt;=EOMONTH('Construction Budget'!$K58,0),AD$11&lt;=EOMONTH('Construction Budget'!$M58,0)),('Construction Budget'!$G58+SUM($G201:AC201))/ROUND(((EOMONTH('Construction Budget'!$M58,0)-EOMONTH(AD$11,0))/30)+1,0),0)</f>
        <v>0</v>
      </c>
      <c r="AE201" s="427">
        <f>-IF(AND(AE$11&gt;=EOMONTH('Construction Budget'!$K58,0),AE$11&lt;=EOMONTH('Construction Budget'!$M58,0)),('Construction Budget'!$G58+SUM($G201:AD201))/ROUND(((EOMONTH('Construction Budget'!$M58,0)-EOMONTH(AE$11,0))/30)+1,0),0)</f>
        <v>0</v>
      </c>
      <c r="AF201" s="427">
        <f>-IF(AND(AF$11&gt;=EOMONTH('Construction Budget'!$K58,0),AF$11&lt;=EOMONTH('Construction Budget'!$M58,0)),('Construction Budget'!$G58+SUM($G201:AE201))/ROUND(((EOMONTH('Construction Budget'!$M58,0)-EOMONTH(AF$11,0))/30)+1,0),0)</f>
        <v>0</v>
      </c>
      <c r="AG201" s="427">
        <f>-IF(AND(AG$11&gt;=EOMONTH('Construction Budget'!$K58,0),AG$11&lt;=EOMONTH('Construction Budget'!$M58,0)),('Construction Budget'!$G58+SUM($G201:AF201))/ROUND(((EOMONTH('Construction Budget'!$M58,0)-EOMONTH(AG$11,0))/30)+1,0),0)</f>
        <v>0</v>
      </c>
      <c r="AH201" s="427">
        <f>-IF(AND(AH$11&gt;=EOMONTH('Construction Budget'!$K58,0),AH$11&lt;=EOMONTH('Construction Budget'!$M58,0)),('Construction Budget'!$G58+SUM($G201:AG201))/ROUND(((EOMONTH('Construction Budget'!$M58,0)-EOMONTH(AH$11,0))/30)+1,0),0)</f>
        <v>0</v>
      </c>
      <c r="AI201" s="427">
        <f>-IF(AND(AI$11&gt;=EOMONTH('Construction Budget'!$K58,0),AI$11&lt;=EOMONTH('Construction Budget'!$M58,0)),('Construction Budget'!$G58+SUM($G201:AH201))/ROUND(((EOMONTH('Construction Budget'!$M58,0)-EOMONTH(AI$11,0))/30)+1,0),0)</f>
        <v>0</v>
      </c>
      <c r="AJ201" s="427">
        <f>-IF(AND(AJ$11&gt;=EOMONTH('Construction Budget'!$K58,0),AJ$11&lt;=EOMONTH('Construction Budget'!$M58,0)),('Construction Budget'!$G58+SUM($G201:AI201))/ROUND(((EOMONTH('Construction Budget'!$M58,0)-EOMONTH(AJ$11,0))/30)+1,0),0)</f>
        <v>0</v>
      </c>
      <c r="AK201" s="427">
        <f>-IF(AND(AK$11&gt;=EOMONTH('Construction Budget'!$K58,0),AK$11&lt;=EOMONTH('Construction Budget'!$M58,0)),('Construction Budget'!$G58+SUM($G201:AJ201))/ROUND(((EOMONTH('Construction Budget'!$M58,0)-EOMONTH(AK$11,0))/30)+1,0),0)</f>
        <v>0</v>
      </c>
      <c r="AL201" s="427">
        <f>-IF(AND(AL$11&gt;=EOMONTH('Construction Budget'!$K58,0),AL$11&lt;=EOMONTH('Construction Budget'!$M58,0)),('Construction Budget'!$G58+SUM($G201:AK201))/ROUND(((EOMONTH('Construction Budget'!$M58,0)-EOMONTH(AL$11,0))/30)+1,0),0)</f>
        <v>0</v>
      </c>
      <c r="AM201" s="427">
        <f>-IF(AND(AM$11&gt;=EOMONTH('Construction Budget'!$K58,0),AM$11&lt;=EOMONTH('Construction Budget'!$M58,0)),('Construction Budget'!$G58+SUM($G201:AL201))/ROUND(((EOMONTH('Construction Budget'!$M58,0)-EOMONTH(AM$11,0))/30)+1,0),0)</f>
        <v>0</v>
      </c>
      <c r="AN201" s="427">
        <f>-IF(AND(AN$11&gt;=EOMONTH('Construction Budget'!$K58,0),AN$11&lt;=EOMONTH('Construction Budget'!$M58,0)),('Construction Budget'!$G58+SUM($G201:AM201))/ROUND(((EOMONTH('Construction Budget'!$M58,0)-EOMONTH(AN$11,0))/30)+1,0),0)</f>
        <v>0</v>
      </c>
      <c r="AO201" s="427">
        <f>-IF(AND(AO$11&gt;=EOMONTH('Construction Budget'!$K58,0),AO$11&lt;=EOMONTH('Construction Budget'!$M58,0)),('Construction Budget'!$G58+SUM($G201:AN201))/ROUND(((EOMONTH('Construction Budget'!$M58,0)-EOMONTH(AO$11,0))/30)+1,0),0)</f>
        <v>0</v>
      </c>
      <c r="AP201" s="427">
        <f>-IF(AND(AP$11&gt;=EOMONTH('Construction Budget'!$K58,0),AP$11&lt;=EOMONTH('Construction Budget'!$M58,0)),('Construction Budget'!$G58+SUM($G201:AO201))/ROUND(((EOMONTH('Construction Budget'!$M58,0)-EOMONTH(AP$11,0))/30)+1,0),0)</f>
        <v>0</v>
      </c>
      <c r="AQ201" s="427">
        <f>-IF(AND(AQ$11&gt;=EOMONTH('Construction Budget'!$K58,0),AQ$11&lt;=EOMONTH('Construction Budget'!$M58,0)),('Construction Budget'!$G58+SUM($G201:AP201))/ROUND(((EOMONTH('Construction Budget'!$M58,0)-EOMONTH(AQ$11,0))/30)+1,0),0)</f>
        <v>0</v>
      </c>
      <c r="AR201" s="427">
        <f>-IF(AND(AR$11&gt;=EOMONTH('Construction Budget'!$K58,0),AR$11&lt;=EOMONTH('Construction Budget'!$M58,0)),('Construction Budget'!$G58+SUM($G201:AQ201))/ROUND(((EOMONTH('Construction Budget'!$M58,0)-EOMONTH(AR$11,0))/30)+1,0),0)</f>
        <v>0</v>
      </c>
      <c r="AS201" s="427">
        <f>-IF(AND(AS$11&gt;=EOMONTH('Construction Budget'!$K58,0),AS$11&lt;=EOMONTH('Construction Budget'!$M58,0)),('Construction Budget'!$G58+SUM($G201:AR201))/ROUND(((EOMONTH('Construction Budget'!$M58,0)-EOMONTH(AS$11,0))/30)+1,0),0)</f>
        <v>0</v>
      </c>
      <c r="AT201" s="427">
        <f>-IF(AND(AT$11&gt;=EOMONTH('Construction Budget'!$K58,0),AT$11&lt;=EOMONTH('Construction Budget'!$M58,0)),('Construction Budget'!$G58+SUM($G201:AS201))/ROUND(((EOMONTH('Construction Budget'!$M58,0)-EOMONTH(AT$11,0))/30)+1,0),0)</f>
        <v>0</v>
      </c>
      <c r="AU201" s="427">
        <f>-IF(AND(AU$11&gt;=EOMONTH('Construction Budget'!$K58,0),AU$11&lt;=EOMONTH('Construction Budget'!$M58,0)),('Construction Budget'!$G58+SUM($G201:AT201))/ROUND(((EOMONTH('Construction Budget'!$M58,0)-EOMONTH(AU$11,0))/30)+1,0),0)</f>
        <v>0</v>
      </c>
      <c r="AV201" s="427">
        <f>-IF(AND(AV$11&gt;=EOMONTH('Construction Budget'!$K58,0),AV$11&lt;=EOMONTH('Construction Budget'!$M58,0)),('Construction Budget'!$G58+SUM($G201:AU201))/ROUND(((EOMONTH('Construction Budget'!$M58,0)-EOMONTH(AV$11,0))/30)+1,0),0)</f>
        <v>0</v>
      </c>
      <c r="AW201" s="427">
        <f>-IF(AND(AW$11&gt;=EOMONTH('Construction Budget'!$K58,0),AW$11&lt;=EOMONTH('Construction Budget'!$M58,0)),('Construction Budget'!$G58+SUM($G201:AV201))/ROUND(((EOMONTH('Construction Budget'!$M58,0)-EOMONTH(AW$11,0))/30)+1,0),0)</f>
        <v>0</v>
      </c>
      <c r="AX201" s="427">
        <f>-IF(AND(AX$11&gt;=EOMONTH('Construction Budget'!$K58,0),AX$11&lt;=EOMONTH('Construction Budget'!$M58,0)),('Construction Budget'!$G58+SUM($G201:AW201))/ROUND(((EOMONTH('Construction Budget'!$M58,0)-EOMONTH(AX$11,0))/30)+1,0),0)</f>
        <v>0</v>
      </c>
      <c r="AY201" s="427">
        <f>-IF(AND(AY$11&gt;=EOMONTH('Construction Budget'!$K58,0),AY$11&lt;=EOMONTH('Construction Budget'!$M58,0)),('Construction Budget'!$G58+SUM($G201:AX201))/ROUND(((EOMONTH('Construction Budget'!$M58,0)-EOMONTH(AY$11,0))/30)+1,0),0)</f>
        <v>0</v>
      </c>
      <c r="AZ201" s="427">
        <f>-IF(AND(AZ$11&gt;=EOMONTH('Construction Budget'!$K58,0),AZ$11&lt;=EOMONTH('Construction Budget'!$M58,0)),('Construction Budget'!$G58+SUM($G201:AY201))/ROUND(((EOMONTH('Construction Budget'!$M58,0)-EOMONTH(AZ$11,0))/30)+1,0),0)</f>
        <v>0</v>
      </c>
      <c r="BA201" s="427">
        <f>-IF(AND(BA$11&gt;=EOMONTH('Construction Budget'!$K58,0),BA$11&lt;=EOMONTH('Construction Budget'!$M58,0)),('Construction Budget'!$G58+SUM($G201:AZ201))/ROUND(((EOMONTH('Construction Budget'!$M58,0)-EOMONTH(BA$11,0))/30)+1,0),0)</f>
        <v>0</v>
      </c>
      <c r="BB201" s="427">
        <f>-IF(AND(BB$11&gt;=EOMONTH('Construction Budget'!$K58,0),BB$11&lt;=EOMONTH('Construction Budget'!$M58,0)),('Construction Budget'!$G58+SUM($G201:BA201))/ROUND(((EOMONTH('Construction Budget'!$M58,0)-EOMONTH(BB$11,0))/30)+1,0),0)</f>
        <v>0</v>
      </c>
      <c r="BC201" s="427">
        <f>-IF(AND(BC$11&gt;=EOMONTH('Construction Budget'!$K58,0),BC$11&lt;=EOMONTH('Construction Budget'!$M58,0)),('Construction Budget'!$G58+SUM($G201:BB201))/ROUND(((EOMONTH('Construction Budget'!$M58,0)-EOMONTH(BC$11,0))/30)+1,0),0)</f>
        <v>0</v>
      </c>
      <c r="BD201" s="427">
        <f>-IF(AND(BD$11&gt;=EOMONTH('Construction Budget'!$K58,0),BD$11&lt;=EOMONTH('Construction Budget'!$M58,0)),('Construction Budget'!$G58+SUM($G201:BC201))/ROUND(((EOMONTH('Construction Budget'!$M58,0)-EOMONTH(BD$11,0))/30)+1,0),0)</f>
        <v>0</v>
      </c>
      <c r="BE201" s="427">
        <f>-IF(AND(BE$11&gt;=EOMONTH('Construction Budget'!$K58,0),BE$11&lt;=EOMONTH('Construction Budget'!$M58,0)),('Construction Budget'!$G58+SUM($G201:BD201))/ROUND(((EOMONTH('Construction Budget'!$M58,0)-EOMONTH(BE$11,0))/30)+1,0),0)</f>
        <v>0</v>
      </c>
      <c r="BF201" s="427">
        <f>-IF(AND(BF$11&gt;=EOMONTH('Construction Budget'!$K58,0),BF$11&lt;=EOMONTH('Construction Budget'!$M58,0)),('Construction Budget'!$G58+SUM($G201:BE201))/ROUND(((EOMONTH('Construction Budget'!$M58,0)-EOMONTH(BF$11,0))/30)+1,0),0)</f>
        <v>0</v>
      </c>
      <c r="BG201" s="427">
        <f>-IF(AND(BG$11&gt;=EOMONTH('Construction Budget'!$K58,0),BG$11&lt;=EOMONTH('Construction Budget'!$M58,0)),('Construction Budget'!$G58+SUM($G201:BF201))/ROUND(((EOMONTH('Construction Budget'!$M58,0)-EOMONTH(BG$11,0))/30)+1,0),0)</f>
        <v>0</v>
      </c>
      <c r="BH201" s="427">
        <f>-IF(AND(BH$11&gt;=EOMONTH('Construction Budget'!$K58,0),BH$11&lt;=EOMONTH('Construction Budget'!$M58,0)),('Construction Budget'!$G58+SUM($G201:BG201))/ROUND(((EOMONTH('Construction Budget'!$M58,0)-EOMONTH(BH$11,0))/30)+1,0),0)</f>
        <v>0</v>
      </c>
      <c r="BI201" s="427">
        <f>-IF(AND(BI$11&gt;=EOMONTH('Construction Budget'!$K58,0),BI$11&lt;=EOMONTH('Construction Budget'!$M58,0)),('Construction Budget'!$G58+SUM($G201:BH201))/ROUND(((EOMONTH('Construction Budget'!$M58,0)-EOMONTH(BI$11,0))/30)+1,0),0)</f>
        <v>0</v>
      </c>
      <c r="BJ201" s="427">
        <f>-IF(AND(BJ$11&gt;=EOMONTH('Construction Budget'!$K58,0),BJ$11&lt;=EOMONTH('Construction Budget'!$M58,0)),('Construction Budget'!$G58+SUM($G201:BI201))/ROUND(((EOMONTH('Construction Budget'!$M58,0)-EOMONTH(BJ$11,0))/30)+1,0),0)</f>
        <v>0</v>
      </c>
      <c r="BK201" s="427">
        <f>-IF(AND(BK$11&gt;=EOMONTH('Construction Budget'!$K58,0),BK$11&lt;=EOMONTH('Construction Budget'!$M58,0)),('Construction Budget'!$G58+SUM($G201:BJ201))/ROUND(((EOMONTH('Construction Budget'!$M58,0)-EOMONTH(BK$11,0))/30)+1,0),0)</f>
        <v>0</v>
      </c>
      <c r="BL201" s="427">
        <f>-IF(AND(BL$11&gt;=EOMONTH('Construction Budget'!$K58,0),BL$11&lt;=EOMONTH('Construction Budget'!$M58,0)),('Construction Budget'!$G58+SUM($G201:BK201))/ROUND(((EOMONTH('Construction Budget'!$M58,0)-EOMONTH(BL$11,0))/30)+1,0),0)</f>
        <v>0</v>
      </c>
      <c r="BM201" s="427">
        <f>-IF(AND(BM$11&gt;=EOMONTH('Construction Budget'!$K58,0),BM$11&lt;=EOMONTH('Construction Budget'!$M58,0)),('Construction Budget'!$G58+SUM($G201:BL201))/ROUND(((EOMONTH('Construction Budget'!$M58,0)-EOMONTH(BM$11,0))/30)+1,0),0)</f>
        <v>0</v>
      </c>
      <c r="BN201" s="427">
        <f>-IF(AND(BN$11&gt;=EOMONTH('Construction Budget'!$K58,0),BN$11&lt;=EOMONTH('Construction Budget'!$M58,0)),('Construction Budget'!$G58+SUM($G201:BM201))/ROUND(((EOMONTH('Construction Budget'!$M58,0)-EOMONTH(BN$11,0))/30)+1,0),0)</f>
        <v>0</v>
      </c>
      <c r="BO201" s="427">
        <f>-IF(AND(BO$11&gt;=EOMONTH('Construction Budget'!$K58,0),BO$11&lt;=EOMONTH('Construction Budget'!$M58,0)),('Construction Budget'!$G58+SUM($G201:BN201))/ROUND(((EOMONTH('Construction Budget'!$M58,0)-EOMONTH(BO$11,0))/30)+1,0),0)</f>
        <v>0</v>
      </c>
      <c r="BP201" s="427">
        <f>-IF(AND(BP$11&gt;=EOMONTH('Construction Budget'!$K58,0),BP$11&lt;=EOMONTH('Construction Budget'!$M58,0)),('Construction Budget'!$G58+SUM($G201:BO201))/ROUND(((EOMONTH('Construction Budget'!$M58,0)-EOMONTH(BP$11,0))/30)+1,0),0)</f>
        <v>0</v>
      </c>
      <c r="BQ201" s="427">
        <f>-IF(AND(BQ$11&gt;=EOMONTH('Construction Budget'!$K58,0),BQ$11&lt;=EOMONTH('Construction Budget'!$M58,0)),('Construction Budget'!$G58+SUM($G201:BP201))/ROUND(((EOMONTH('Construction Budget'!$M58,0)-EOMONTH(BQ$11,0))/30)+1,0),0)</f>
        <v>0</v>
      </c>
      <c r="BR201" s="427">
        <f>-IF(AND(BR$11&gt;=EOMONTH('Construction Budget'!$K58,0),BR$11&lt;=EOMONTH('Construction Budget'!$M58,0)),('Construction Budget'!$G58+SUM($G201:BQ201))/ROUND(((EOMONTH('Construction Budget'!$M58,0)-EOMONTH(BR$11,0))/30)+1,0),0)</f>
        <v>0</v>
      </c>
      <c r="BS201" s="427">
        <f>-IF(AND(BS$11&gt;=EOMONTH('Construction Budget'!$K58,0),BS$11&lt;=EOMONTH('Construction Budget'!$M58,0)),('Construction Budget'!$G58+SUM($G201:BR201))/ROUND(((EOMONTH('Construction Budget'!$M58,0)-EOMONTH(BS$11,0))/30)+1,0),0)</f>
        <v>0</v>
      </c>
      <c r="BT201" s="427">
        <f>-IF(AND(BT$11&gt;=EOMONTH('Construction Budget'!$K58,0),BT$11&lt;=EOMONTH('Construction Budget'!$M58,0)),('Construction Budget'!$G58+SUM($G201:BS201))/ROUND(((EOMONTH('Construction Budget'!$M58,0)-EOMONTH(BT$11,0))/30)+1,0),0)</f>
        <v>0</v>
      </c>
      <c r="BU201" s="427">
        <f>-IF(AND(BU$11&gt;=EOMONTH('Construction Budget'!$K58,0),BU$11&lt;=EOMONTH('Construction Budget'!$M58,0)),('Construction Budget'!$G58+SUM($G201:BT201))/ROUND(((EOMONTH('Construction Budget'!$M58,0)-EOMONTH(BU$11,0))/30)+1,0),0)</f>
        <v>0</v>
      </c>
      <c r="BV201" s="427">
        <f>-IF(AND(BV$11&gt;=EOMONTH('Construction Budget'!$K58,0),BV$11&lt;=EOMONTH('Construction Budget'!$M58,0)),('Construction Budget'!$G58+SUM($G201:BU201))/ROUND(((EOMONTH('Construction Budget'!$M58,0)-EOMONTH(BV$11,0))/30)+1,0),0)</f>
        <v>0</v>
      </c>
      <c r="BW201" s="427">
        <f>-IF(AND(BW$11&gt;=EOMONTH('Construction Budget'!$K58,0),BW$11&lt;=EOMONTH('Construction Budget'!$M58,0)),('Construction Budget'!$G58+SUM($G201:BV201))/ROUND(((EOMONTH('Construction Budget'!$M58,0)-EOMONTH(BW$11,0))/30)+1,0),0)</f>
        <v>0</v>
      </c>
      <c r="BX201" s="427">
        <f>-IF(AND(BX$11&gt;=EOMONTH('Construction Budget'!$K58,0),BX$11&lt;=EOMONTH('Construction Budget'!$M58,0)),('Construction Budget'!$G58+SUM($G201:BW201))/ROUND(((EOMONTH('Construction Budget'!$M58,0)-EOMONTH(BX$11,0))/30)+1,0),0)</f>
        <v>0</v>
      </c>
      <c r="BY201" s="427">
        <f>-IF(AND(BY$11&gt;=EOMONTH('Construction Budget'!$K58,0),BY$11&lt;=EOMONTH('Construction Budget'!$M58,0)),('Construction Budget'!$G58+SUM($G201:BX201))/ROUND(((EOMONTH('Construction Budget'!$M58,0)-EOMONTH(BY$11,0))/30)+1,0),0)</f>
        <v>0</v>
      </c>
      <c r="BZ201" s="427">
        <f>-IF(AND(BZ$11&gt;=EOMONTH('Construction Budget'!$K58,0),BZ$11&lt;=EOMONTH('Construction Budget'!$M58,0)),('Construction Budget'!$G58+SUM($G201:BY201))/ROUND(((EOMONTH('Construction Budget'!$M58,0)-EOMONTH(BZ$11,0))/30)+1,0),0)</f>
        <v>0</v>
      </c>
      <c r="CA201" s="427">
        <f>-IF(AND(CA$11&gt;=EOMONTH('Construction Budget'!$K58,0),CA$11&lt;=EOMONTH('Construction Budget'!$M58,0)),('Construction Budget'!$G58+SUM($G201:BZ201))/ROUND(((EOMONTH('Construction Budget'!$M58,0)-EOMONTH(CA$11,0))/30)+1,0),0)</f>
        <v>0</v>
      </c>
      <c r="CB201" s="427">
        <f>-IF(AND(CB$11&gt;=EOMONTH('Construction Budget'!$K58,0),CB$11&lt;=EOMONTH('Construction Budget'!$M58,0)),('Construction Budget'!$G58+SUM($G201:CA201))/ROUND(((EOMONTH('Construction Budget'!$M58,0)-EOMONTH(CB$11,0))/30)+1,0),0)</f>
        <v>0</v>
      </c>
      <c r="CC201" s="427">
        <f>-IF(AND(CC$11&gt;=EOMONTH('Construction Budget'!$K58,0),CC$11&lt;=EOMONTH('Construction Budget'!$M58,0)),('Construction Budget'!$G58+SUM($G201:CB201))/ROUND(((EOMONTH('Construction Budget'!$M58,0)-EOMONTH(CC$11,0))/30)+1,0),0)</f>
        <v>0</v>
      </c>
      <c r="CD201" s="427">
        <f>-IF(AND(CD$11&gt;=EOMONTH('Construction Budget'!$K58,0),CD$11&lt;=EOMONTH('Construction Budget'!$M58,0)),('Construction Budget'!$G58+SUM($G201:CC201))/ROUND(((EOMONTH('Construction Budget'!$M58,0)-EOMONTH(CD$11,0))/30)+1,0),0)</f>
        <v>0</v>
      </c>
      <c r="CE201" s="427">
        <f>-IF(AND(CE$11&gt;=EOMONTH('Construction Budget'!$K58,0),CE$11&lt;=EOMONTH('Construction Budget'!$M58,0)),('Construction Budget'!$G58+SUM($G201:CD201))/ROUND(((EOMONTH('Construction Budget'!$M58,0)-EOMONTH(CE$11,0))/30)+1,0),0)</f>
        <v>0</v>
      </c>
      <c r="CF201" s="427">
        <f>-IF(AND(CF$11&gt;=EOMONTH('Construction Budget'!$K58,0),CF$11&lt;=EOMONTH('Construction Budget'!$M58,0)),('Construction Budget'!$G58+SUM($G201:CE201))/ROUND(((EOMONTH('Construction Budget'!$M58,0)-EOMONTH(CF$11,0))/30)+1,0),0)</f>
        <v>0</v>
      </c>
      <c r="CG201" s="427">
        <f>-IF(AND(CG$11&gt;=EOMONTH('Construction Budget'!$K58,0),CG$11&lt;=EOMONTH('Construction Budget'!$M58,0)),('Construction Budget'!$G58+SUM($G201:CF201))/ROUND(((EOMONTH('Construction Budget'!$M58,0)-EOMONTH(CG$11,0))/30)+1,0),0)</f>
        <v>0</v>
      </c>
      <c r="CH201" s="427">
        <f>-IF(AND(CH$11&gt;=EOMONTH('Construction Budget'!$K58,0),CH$11&lt;=EOMONTH('Construction Budget'!$M58,0)),('Construction Budget'!$G58+SUM($G201:CG201))/ROUND(((EOMONTH('Construction Budget'!$M58,0)-EOMONTH(CH$11,0))/30)+1,0),0)</f>
        <v>0</v>
      </c>
      <c r="CI201" s="427">
        <f>-IF(AND(CI$11&gt;=EOMONTH('Construction Budget'!$K58,0),CI$11&lt;=EOMONTH('Construction Budget'!$M58,0)),('Construction Budget'!$G58+SUM($G201:CH201))/ROUND(((EOMONTH('Construction Budget'!$M58,0)-EOMONTH(CI$11,0))/30)+1,0),0)</f>
        <v>0</v>
      </c>
      <c r="CJ201" s="427">
        <f>-IF(AND(CJ$11&gt;=EOMONTH('Construction Budget'!$K58,0),CJ$11&lt;=EOMONTH('Construction Budget'!$M58,0)),('Construction Budget'!$G58+SUM($G201:CI201))/ROUND(((EOMONTH('Construction Budget'!$M58,0)-EOMONTH(CJ$11,0))/30)+1,0),0)</f>
        <v>0</v>
      </c>
      <c r="CK201" s="427">
        <f>-IF(AND(CK$11&gt;=EOMONTH('Construction Budget'!$K58,0),CK$11&lt;=EOMONTH('Construction Budget'!$M58,0)),('Construction Budget'!$G58+SUM($G201:CJ201))/ROUND(((EOMONTH('Construction Budget'!$M58,0)-EOMONTH(CK$11,0))/30)+1,0),0)</f>
        <v>0</v>
      </c>
      <c r="CL201" s="427">
        <f>-IF(AND(CL$11&gt;=EOMONTH('Construction Budget'!$K58,0),CL$11&lt;=EOMONTH('Construction Budget'!$M58,0)),('Construction Budget'!$G58+SUM($G201:CK201))/ROUND(((EOMONTH('Construction Budget'!$M58,0)-EOMONTH(CL$11,0))/30)+1,0),0)</f>
        <v>0</v>
      </c>
      <c r="CM201" s="427">
        <f>-IF(AND(CM$11&gt;=EOMONTH('Construction Budget'!$K58,0),CM$11&lt;=EOMONTH('Construction Budget'!$M58,0)),('Construction Budget'!$G58+SUM($G201:CL201))/ROUND(((EOMONTH('Construction Budget'!$M58,0)-EOMONTH(CM$11,0))/30)+1,0),0)</f>
        <v>0</v>
      </c>
      <c r="CN201" s="427">
        <f>-IF(AND(CN$11&gt;=EOMONTH('Construction Budget'!$K58,0),CN$11&lt;=EOMONTH('Construction Budget'!$M58,0)),('Construction Budget'!$G58+SUM($G201:CM201))/ROUND(((EOMONTH('Construction Budget'!$M58,0)-EOMONTH(CN$11,0))/30)+1,0),0)</f>
        <v>0</v>
      </c>
      <c r="CO201" s="427">
        <f>-IF(AND(CO$11&gt;=EOMONTH('Construction Budget'!$K58,0),CO$11&lt;=EOMONTH('Construction Budget'!$M58,0)),('Construction Budget'!$G58+SUM($G201:CN201))/ROUND(((EOMONTH('Construction Budget'!$M58,0)-EOMONTH(CO$11,0))/30)+1,0),0)</f>
        <v>0</v>
      </c>
      <c r="CP201" s="427">
        <f>-IF(AND(CP$11&gt;=EOMONTH('Construction Budget'!$K58,0),CP$11&lt;=EOMONTH('Construction Budget'!$M58,0)),('Construction Budget'!$G58+SUM($G201:CO201))/ROUND(((EOMONTH('Construction Budget'!$M58,0)-EOMONTH(CP$11,0))/30)+1,0),0)</f>
        <v>0</v>
      </c>
      <c r="CQ201" s="427">
        <f>-IF(AND(CQ$11&gt;=EOMONTH('Construction Budget'!$K58,0),CQ$11&lt;=EOMONTH('Construction Budget'!$M58,0)),('Construction Budget'!$G58+SUM($G201:CP201))/ROUND(((EOMONTH('Construction Budget'!$M58,0)-EOMONTH(CQ$11,0))/30)+1,0),0)</f>
        <v>0</v>
      </c>
      <c r="CR201" s="427">
        <f>-IF(AND(CR$11&gt;=EOMONTH('Construction Budget'!$K58,0),CR$11&lt;=EOMONTH('Construction Budget'!$M58,0)),('Construction Budget'!$G58+SUM($G201:CQ201))/ROUND(((EOMONTH('Construction Budget'!$M58,0)-EOMONTH(CR$11,0))/30)+1,0),0)</f>
        <v>0</v>
      </c>
      <c r="CS201" s="427">
        <f>-IF(AND(CS$11&gt;=EOMONTH('Construction Budget'!$K58,0),CS$11&lt;=EOMONTH('Construction Budget'!$M58,0)),('Construction Budget'!$G58+SUM($G201:CR201))/ROUND(((EOMONTH('Construction Budget'!$M58,0)-EOMONTH(CS$11,0))/30)+1,0),0)</f>
        <v>0</v>
      </c>
      <c r="CT201" s="427">
        <f>-IF(AND(CT$11&gt;=EOMONTH('Construction Budget'!$K58,0),CT$11&lt;=EOMONTH('Construction Budget'!$M58,0)),('Construction Budget'!$G58+SUM($G201:CS201))/ROUND(((EOMONTH('Construction Budget'!$M58,0)-EOMONTH(CT$11,0))/30)+1,0),0)</f>
        <v>0</v>
      </c>
      <c r="CU201" s="427">
        <f>-IF(AND(CU$11&gt;=EOMONTH('Construction Budget'!$K58,0),CU$11&lt;=EOMONTH('Construction Budget'!$M58,0)),('Construction Budget'!$G58+SUM($G201:CT201))/ROUND(((EOMONTH('Construction Budget'!$M58,0)-EOMONTH(CU$11,0))/30)+1,0),0)</f>
        <v>0</v>
      </c>
      <c r="CV201" s="427">
        <f>-IF(AND(CV$11&gt;=EOMONTH('Construction Budget'!$K58,0),CV$11&lt;=EOMONTH('Construction Budget'!$M58,0)),('Construction Budget'!$G58+SUM($G201:CU201))/ROUND(((EOMONTH('Construction Budget'!$M58,0)-EOMONTH(CV$11,0))/30)+1,0),0)</f>
        <v>0</v>
      </c>
      <c r="CW201" s="427">
        <f>-IF(AND(CW$11&gt;=EOMONTH('Construction Budget'!$K58,0),CW$11&lt;=EOMONTH('Construction Budget'!$M58,0)),('Construction Budget'!$G58+SUM($G201:CV201))/ROUND(((EOMONTH('Construction Budget'!$M58,0)-EOMONTH(CW$11,0))/30)+1,0),0)</f>
        <v>0</v>
      </c>
      <c r="CX201" s="427">
        <f>-IF(AND(CX$11&gt;=EOMONTH('Construction Budget'!$K58,0),CX$11&lt;=EOMONTH('Construction Budget'!$M58,0)),('Construction Budget'!$G58+SUM($G201:CW201))/ROUND(((EOMONTH('Construction Budget'!$M58,0)-EOMONTH(CX$11,0))/30)+1,0),0)</f>
        <v>0</v>
      </c>
      <c r="CY201" s="427">
        <f>-IF(AND(CY$11&gt;=EOMONTH('Construction Budget'!$K58,0),CY$11&lt;=EOMONTH('Construction Budget'!$M58,0)),('Construction Budget'!$G58+SUM($G201:CX201))/ROUND(((EOMONTH('Construction Budget'!$M58,0)-EOMONTH(CY$11,0))/30)+1,0),0)</f>
        <v>0</v>
      </c>
      <c r="CZ201" s="427">
        <f>-IF(AND(CZ$11&gt;=EOMONTH('Construction Budget'!$K58,0),CZ$11&lt;=EOMONTH('Construction Budget'!$M58,0)),('Construction Budget'!$G58+SUM($G201:CY201))/ROUND(((EOMONTH('Construction Budget'!$M58,0)-EOMONTH(CZ$11,0))/30)+1,0),0)</f>
        <v>0</v>
      </c>
      <c r="DA201" s="427">
        <f>-IF(AND(DA$11&gt;=EOMONTH('Construction Budget'!$K58,0),DA$11&lt;=EOMONTH('Construction Budget'!$M58,0)),('Construction Budget'!$G58+SUM($G201:CZ201))/ROUND(((EOMONTH('Construction Budget'!$M58,0)-EOMONTH(DA$11,0))/30)+1,0),0)</f>
        <v>0</v>
      </c>
      <c r="DB201" s="427">
        <f>-IF(AND(DB$11&gt;=EOMONTH('Construction Budget'!$K58,0),DB$11&lt;=EOMONTH('Construction Budget'!$M58,0)),('Construction Budget'!$G58+SUM($G201:DA201))/ROUND(((EOMONTH('Construction Budget'!$M58,0)-EOMONTH(DB$11,0))/30)+1,0),0)</f>
        <v>0</v>
      </c>
      <c r="DC201" s="427">
        <f>-IF(AND(DC$11&gt;=EOMONTH('Construction Budget'!$K58,0),DC$11&lt;=EOMONTH('Construction Budget'!$M58,0)),('Construction Budget'!$G58+SUM($G201:DB201))/ROUND(((EOMONTH('Construction Budget'!$M58,0)-EOMONTH(DC$11,0))/30)+1,0),0)</f>
        <v>0</v>
      </c>
      <c r="DD201" s="427">
        <f>-IF(AND(DD$11&gt;=EOMONTH('Construction Budget'!$K58,0),DD$11&lt;=EOMONTH('Construction Budget'!$M58,0)),('Construction Budget'!$G58+SUM($G201:DC201))/ROUND(((EOMONTH('Construction Budget'!$M58,0)-EOMONTH(DD$11,0))/30)+1,0),0)</f>
        <v>0</v>
      </c>
      <c r="DE201" s="427">
        <f>-IF(AND(DE$11&gt;=EOMONTH('Construction Budget'!$K58,0),DE$11&lt;=EOMONTH('Construction Budget'!$M58,0)),('Construction Budget'!$G58+SUM($G201:DD201))/ROUND(((EOMONTH('Construction Budget'!$M58,0)-EOMONTH(DE$11,0))/30)+1,0),0)</f>
        <v>0</v>
      </c>
      <c r="DF201" s="427">
        <f>-IF(AND(DF$11&gt;=EOMONTH('Construction Budget'!$K58,0),DF$11&lt;=EOMONTH('Construction Budget'!$M58,0)),('Construction Budget'!$G58+SUM($G201:DE201))/ROUND(((EOMONTH('Construction Budget'!$M58,0)-EOMONTH(DF$11,0))/30)+1,0),0)</f>
        <v>0</v>
      </c>
      <c r="DG201" s="427">
        <f>-IF(AND(DG$11&gt;=EOMONTH('Construction Budget'!$K58,0),DG$11&lt;=EOMONTH('Construction Budget'!$M58,0)),('Construction Budget'!$G58+SUM($G201:DF201))/ROUND(((EOMONTH('Construction Budget'!$M58,0)-EOMONTH(DG$11,0))/30)+1,0),0)</f>
        <v>0</v>
      </c>
      <c r="DH201" s="427">
        <f>-IF(AND(DH$11&gt;=EOMONTH('Construction Budget'!$K58,0),DH$11&lt;=EOMONTH('Construction Budget'!$M58,0)),('Construction Budget'!$G58+SUM($G201:DG201))/ROUND(((EOMONTH('Construction Budget'!$M58,0)-EOMONTH(DH$11,0))/30)+1,0),0)</f>
        <v>0</v>
      </c>
      <c r="DI201" s="427">
        <f>-IF(AND(DI$11&gt;=EOMONTH('Construction Budget'!$K58,0),DI$11&lt;=EOMONTH('Construction Budget'!$M58,0)),('Construction Budget'!$G58+SUM($G201:DH201))/ROUND(((EOMONTH('Construction Budget'!$M58,0)-EOMONTH(DI$11,0))/30)+1,0),0)</f>
        <v>0</v>
      </c>
      <c r="DJ201" s="427">
        <f>-IF(AND(DJ$11&gt;=EOMONTH('Construction Budget'!$K58,0),DJ$11&lt;=EOMONTH('Construction Budget'!$M58,0)),('Construction Budget'!$G58+SUM($G201:DI201))/ROUND(((EOMONTH('Construction Budget'!$M58,0)-EOMONTH(DJ$11,0))/30)+1,0),0)</f>
        <v>0</v>
      </c>
      <c r="DK201" s="427">
        <f>-IF(AND(DK$11&gt;=EOMONTH('Construction Budget'!$K58,0),DK$11&lt;=EOMONTH('Construction Budget'!$M58,0)),('Construction Budget'!$G58+SUM($G201:DJ201))/ROUND(((EOMONTH('Construction Budget'!$M58,0)-EOMONTH(DK$11,0))/30)+1,0),0)</f>
        <v>0</v>
      </c>
      <c r="DL201" s="427">
        <f>-IF(AND(DL$11&gt;=EOMONTH('Construction Budget'!$K58,0),DL$11&lt;=EOMONTH('Construction Budget'!$M58,0)),('Construction Budget'!$G58+SUM($G201:DK201))/ROUND(((EOMONTH('Construction Budget'!$M58,0)-EOMONTH(DL$11,0))/30)+1,0),0)</f>
        <v>0</v>
      </c>
      <c r="DM201" s="427">
        <f>-IF(AND(DM$11&gt;=EOMONTH('Construction Budget'!$K58,0),DM$11&lt;=EOMONTH('Construction Budget'!$M58,0)),('Construction Budget'!$G58+SUM($G201:DL201))/ROUND(((EOMONTH('Construction Budget'!$M58,0)-EOMONTH(DM$11,0))/30)+1,0),0)</f>
        <v>0</v>
      </c>
      <c r="DN201" s="427">
        <f>-IF(AND(DN$11&gt;=EOMONTH('Construction Budget'!$K58,0),DN$11&lt;=EOMONTH('Construction Budget'!$M58,0)),('Construction Budget'!$G58+SUM($G201:DM201))/ROUND(((EOMONTH('Construction Budget'!$M58,0)-EOMONTH(DN$11,0))/30)+1,0),0)</f>
        <v>0</v>
      </c>
      <c r="DO201" s="427">
        <f>-IF(AND(DO$11&gt;=EOMONTH('Construction Budget'!$K58,0),DO$11&lt;=EOMONTH('Construction Budget'!$M58,0)),('Construction Budget'!$G58+SUM($G201:DN201))/ROUND(((EOMONTH('Construction Budget'!$M58,0)-EOMONTH(DO$11,0))/30)+1,0),0)</f>
        <v>0</v>
      </c>
      <c r="DP201" s="427">
        <f>-IF(AND(DP$11&gt;=EOMONTH('Construction Budget'!$K58,0),DP$11&lt;=EOMONTH('Construction Budget'!$M58,0)),('Construction Budget'!$G58+SUM($G201:DO201))/ROUND(((EOMONTH('Construction Budget'!$M58,0)-EOMONTH(DP$11,0))/30)+1,0),0)</f>
        <v>0</v>
      </c>
      <c r="DQ201" s="427">
        <f>-IF(AND(DQ$11&gt;=EOMONTH('Construction Budget'!$K58,0),DQ$11&lt;=EOMONTH('Construction Budget'!$M58,0)),('Construction Budget'!$G58+SUM($G201:DP201))/ROUND(((EOMONTH('Construction Budget'!$M58,0)-EOMONTH(DQ$11,0))/30)+1,0),0)</f>
        <v>0</v>
      </c>
      <c r="DR201" s="427">
        <f>-IF(AND(DR$11&gt;=EOMONTH('Construction Budget'!$K58,0),DR$11&lt;=EOMONTH('Construction Budget'!$M58,0)),('Construction Budget'!$G58+SUM($G201:DQ201))/ROUND(((EOMONTH('Construction Budget'!$M58,0)-EOMONTH(DR$11,0))/30)+1,0),0)</f>
        <v>0</v>
      </c>
      <c r="DS201" s="427">
        <f>-IF(AND(DS$11&gt;=EOMONTH('Construction Budget'!$K58,0),DS$11&lt;=EOMONTH('Construction Budget'!$M58,0)),('Construction Budget'!$G58+SUM($G201:DR201))/ROUND(((EOMONTH('Construction Budget'!$M58,0)-EOMONTH(DS$11,0))/30)+1,0),0)</f>
        <v>0</v>
      </c>
      <c r="DT201" s="427">
        <f>-IF(AND(DT$11&gt;=EOMONTH('Construction Budget'!$K58,0),DT$11&lt;=EOMONTH('Construction Budget'!$M58,0)),('Construction Budget'!$G58+SUM($G201:DS201))/ROUND(((EOMONTH('Construction Budget'!$M58,0)-EOMONTH(DT$11,0))/30)+1,0),0)</f>
        <v>0</v>
      </c>
      <c r="DU201" s="427">
        <f>-IF(AND(DU$11&gt;=EOMONTH('Construction Budget'!$K58,0),DU$11&lt;=EOMONTH('Construction Budget'!$M58,0)),('Construction Budget'!$G58+SUM($G201:DT201))/ROUND(((EOMONTH('Construction Budget'!$M58,0)-EOMONTH(DU$11,0))/30)+1,0),0)</f>
        <v>0</v>
      </c>
      <c r="DV201" s="427">
        <f>-IF(AND(DV$11&gt;=EOMONTH('Construction Budget'!$K58,0),DV$11&lt;=EOMONTH('Construction Budget'!$M58,0)),('Construction Budget'!$G58+SUM($G201:DU201))/ROUND(((EOMONTH('Construction Budget'!$M58,0)-EOMONTH(DV$11,0))/30)+1,0),0)</f>
        <v>0</v>
      </c>
      <c r="DW201" s="427">
        <f>-IF(AND(DW$11&gt;=EOMONTH('Construction Budget'!$K58,0),DW$11&lt;=EOMONTH('Construction Budget'!$M58,0)),('Construction Budget'!$G58+SUM($G201:DV201))/ROUND(((EOMONTH('Construction Budget'!$M58,0)-EOMONTH(DW$11,0))/30)+1,0),0)</f>
        <v>0</v>
      </c>
      <c r="DX201" s="427">
        <f>-IF(AND(DX$11&gt;=EOMONTH('Construction Budget'!$K58,0),DX$11&lt;=EOMONTH('Construction Budget'!$M58,0)),('Construction Budget'!$G58+SUM($G201:DW201))/ROUND(((EOMONTH('Construction Budget'!$M58,0)-EOMONTH(DX$11,0))/30)+1,0),0)</f>
        <v>0</v>
      </c>
      <c r="DY201" s="427">
        <f>-IF(AND(DY$11&gt;=EOMONTH('Construction Budget'!$K58,0),DY$11&lt;=EOMONTH('Construction Budget'!$M58,0)),('Construction Budget'!$G58+SUM($G201:DX201))/ROUND(((EOMONTH('Construction Budget'!$M58,0)-EOMONTH(DY$11,0))/30)+1,0),0)</f>
        <v>0</v>
      </c>
      <c r="DZ201" s="427">
        <f>-IF(AND(DZ$11&gt;=EOMONTH('Construction Budget'!$K58,0),DZ$11&lt;=EOMONTH('Construction Budget'!$M58,0)),('Construction Budget'!$G58+SUM($G201:DY201))/ROUND(((EOMONTH('Construction Budget'!$M58,0)-EOMONTH(DZ$11,0))/30)+1,0),0)</f>
        <v>0</v>
      </c>
      <c r="EA201" s="427">
        <f>-IF(AND(EA$11&gt;=EOMONTH('Construction Budget'!$K58,0),EA$11&lt;=EOMONTH('Construction Budget'!$M58,0)),('Construction Budget'!$G58+SUM($G201:DZ201))/ROUND(((EOMONTH('Construction Budget'!$M58,0)-EOMONTH(EA$11,0))/30)+1,0),0)</f>
        <v>0</v>
      </c>
      <c r="EB201" s="427">
        <f>-IF(AND(EB$11&gt;=EOMONTH('Construction Budget'!$K58,0),EB$11&lt;=EOMONTH('Construction Budget'!$M58,0)),('Construction Budget'!$G58+SUM($G201:EA201))/ROUND(((EOMONTH('Construction Budget'!$M58,0)-EOMONTH(EB$11,0))/30)+1,0),0)</f>
        <v>0</v>
      </c>
      <c r="EC201" s="427">
        <f>-IF(AND(EC$11&gt;=EOMONTH('Construction Budget'!$K58,0),EC$11&lt;=EOMONTH('Construction Budget'!$M58,0)),('Construction Budget'!$G58+SUM($G201:EB201))/ROUND(((EOMONTH('Construction Budget'!$M58,0)-EOMONTH(EC$11,0))/30)+1,0),0)</f>
        <v>0</v>
      </c>
      <c r="ED201" s="427">
        <f>-IF(AND(ED$11&gt;=EOMONTH('Construction Budget'!$K58,0),ED$11&lt;=EOMONTH('Construction Budget'!$M58,0)),('Construction Budget'!$G58+SUM($G201:EC201))/ROUND(((EOMONTH('Construction Budget'!$M58,0)-EOMONTH(ED$11,0))/30)+1,0),0)</f>
        <v>0</v>
      </c>
      <c r="EE201" s="427">
        <f>-IF(AND(EE$11&gt;=EOMONTH('Construction Budget'!$K58,0),EE$11&lt;=EOMONTH('Construction Budget'!$M58,0)),('Construction Budget'!$G58+SUM($G201:ED201))/ROUND(((EOMONTH('Construction Budget'!$M58,0)-EOMONTH(EE$11,0))/30)+1,0),0)</f>
        <v>0</v>
      </c>
      <c r="EF201" s="427">
        <f>-IF(AND(EF$11&gt;=EOMONTH('Construction Budget'!$K58,0),EF$11&lt;=EOMONTH('Construction Budget'!$M58,0)),('Construction Budget'!$G58+SUM($G201:EE201))/ROUND(((EOMONTH('Construction Budget'!$M58,0)-EOMONTH(EF$11,0))/30)+1,0),0)</f>
        <v>0</v>
      </c>
      <c r="EG201" s="427">
        <f>-IF(AND(EG$11&gt;=EOMONTH('Construction Budget'!$K58,0),EG$11&lt;=EOMONTH('Construction Budget'!$M58,0)),('Construction Budget'!$G58+SUM($G201:EF201))/ROUND(((EOMONTH('Construction Budget'!$M58,0)-EOMONTH(EG$11,0))/30)+1,0),0)</f>
        <v>0</v>
      </c>
      <c r="EH201" s="427">
        <f>-IF(AND(EH$11&gt;=EOMONTH('Construction Budget'!$K58,0),EH$11&lt;=EOMONTH('Construction Budget'!$M58,0)),('Construction Budget'!$G58+SUM($G201:EG201))/ROUND(((EOMONTH('Construction Budget'!$M58,0)-EOMONTH(EH$11,0))/30)+1,0),0)</f>
        <v>0</v>
      </c>
      <c r="EI201" s="427">
        <f>-IF(AND(EI$11&gt;=EOMONTH('Construction Budget'!$K58,0),EI$11&lt;=EOMONTH('Construction Budget'!$M58,0)),('Construction Budget'!$G58+SUM($G201:EH201))/ROUND(((EOMONTH('Construction Budget'!$M58,0)-EOMONTH(EI$11,0))/30)+1,0),0)</f>
        <v>0</v>
      </c>
      <c r="EJ201" s="427">
        <f>-IF(AND(EJ$11&gt;=EOMONTH('Construction Budget'!$K58,0),EJ$11&lt;=EOMONTH('Construction Budget'!$M58,0)),('Construction Budget'!$G58+SUM($G201:EI201))/ROUND(((EOMONTH('Construction Budget'!$M58,0)-EOMONTH(EJ$11,0))/30)+1,0),0)</f>
        <v>0</v>
      </c>
      <c r="EK201" s="427">
        <f>-IF(AND(EK$11&gt;=EOMONTH('Construction Budget'!$K58,0),EK$11&lt;=EOMONTH('Construction Budget'!$M58,0)),('Construction Budget'!$G58+SUM($G201:EJ201))/ROUND(((EOMONTH('Construction Budget'!$M58,0)-EOMONTH(EK$11,0))/30)+1,0),0)</f>
        <v>0</v>
      </c>
      <c r="EL201" s="427">
        <f>-IF(AND(EL$11&gt;=EOMONTH('Construction Budget'!$K58,0),EL$11&lt;=EOMONTH('Construction Budget'!$M58,0)),('Construction Budget'!$G58+SUM($G201:EK201))/ROUND(((EOMONTH('Construction Budget'!$M58,0)-EOMONTH(EL$11,0))/30)+1,0),0)</f>
        <v>0</v>
      </c>
      <c r="EM201" s="427">
        <f>-IF(AND(EM$11&gt;=EOMONTH('Construction Budget'!$K58,0),EM$11&lt;=EOMONTH('Construction Budget'!$M58,0)),('Construction Budget'!$G58+SUM($G201:EL201))/ROUND(((EOMONTH('Construction Budget'!$M58,0)-EOMONTH(EM$11,0))/30)+1,0),0)</f>
        <v>0</v>
      </c>
      <c r="EN201" s="427">
        <f>-IF(AND(EN$11&gt;=EOMONTH('Construction Budget'!$K58,0),EN$11&lt;=EOMONTH('Construction Budget'!$M58,0)),('Construction Budget'!$G58+SUM($G201:EM201))/ROUND(((EOMONTH('Construction Budget'!$M58,0)-EOMONTH(EN$11,0))/30)+1,0),0)</f>
        <v>0</v>
      </c>
      <c r="EO201" s="427">
        <f>-IF(AND(EO$11&gt;=EOMONTH('Construction Budget'!$K58,0),EO$11&lt;=EOMONTH('Construction Budget'!$M58,0)),('Construction Budget'!$G58+SUM($G201:EN201))/ROUND(((EOMONTH('Construction Budget'!$M58,0)-EOMONTH(EO$11,0))/30)+1,0),0)</f>
        <v>0</v>
      </c>
      <c r="EP201" s="427">
        <f>-IF(AND(EP$11&gt;=EOMONTH('Construction Budget'!$K58,0),EP$11&lt;=EOMONTH('Construction Budget'!$M58,0)),('Construction Budget'!$G58+SUM($G201:EO201))/ROUND(((EOMONTH('Construction Budget'!$M58,0)-EOMONTH(EP$11,0))/30)+1,0),0)</f>
        <v>0</v>
      </c>
      <c r="EQ201" s="427">
        <f>-IF(AND(EQ$11&gt;=EOMONTH('Construction Budget'!$K58,0),EQ$11&lt;=EOMONTH('Construction Budget'!$M58,0)),('Construction Budget'!$G58+SUM($G201:EP201))/ROUND(((EOMONTH('Construction Budget'!$M58,0)-EOMONTH(EQ$11,0))/30)+1,0),0)</f>
        <v>0</v>
      </c>
      <c r="ER201" s="427">
        <f>-IF(AND(ER$11&gt;=EOMONTH('Construction Budget'!$K58,0),ER$11&lt;=EOMONTH('Construction Budget'!$M58,0)),('Construction Budget'!$G58+SUM($G201:EQ201))/ROUND(((EOMONTH('Construction Budget'!$M58,0)-EOMONTH(ER$11,0))/30)+1,0),0)</f>
        <v>0</v>
      </c>
      <c r="ES201" s="427">
        <f>-IF(AND(ES$11&gt;=EOMONTH('Construction Budget'!$K58,0),ES$11&lt;=EOMONTH('Construction Budget'!$M58,0)),('Construction Budget'!$G58+SUM($G201:ER201))/ROUND(((EOMONTH('Construction Budget'!$M58,0)-EOMONTH(ES$11,0))/30)+1,0),0)</f>
        <v>0</v>
      </c>
      <c r="ET201" s="427">
        <f>-IF(AND(ET$11&gt;=EOMONTH('Construction Budget'!$K58,0),ET$11&lt;=EOMONTH('Construction Budget'!$M58,0)),('Construction Budget'!$G58+SUM($G201:ES201))/ROUND(((EOMONTH('Construction Budget'!$M58,0)-EOMONTH(ET$11,0))/30)+1,0),0)</f>
        <v>0</v>
      </c>
      <c r="EU201" s="427">
        <f>-IF(AND(EU$11&gt;=EOMONTH('Construction Budget'!$K58,0),EU$11&lt;=EOMONTH('Construction Budget'!$M58,0)),('Construction Budget'!$G58+SUM($G201:ET201))/ROUND(((EOMONTH('Construction Budget'!$M58,0)-EOMONTH(EU$11,0))/30)+1,0),0)</f>
        <v>0</v>
      </c>
      <c r="EV201" s="427">
        <f>-IF(AND(EV$11&gt;=EOMONTH('Construction Budget'!$K58,0),EV$11&lt;=EOMONTH('Construction Budget'!$M58,0)),('Construction Budget'!$G58+SUM($G201:EU201))/ROUND(((EOMONTH('Construction Budget'!$M58,0)-EOMONTH(EV$11,0))/30)+1,0),0)</f>
        <v>0</v>
      </c>
      <c r="EW201" s="427">
        <f>-IF(AND(EW$11&gt;=EOMONTH('Construction Budget'!$K58,0),EW$11&lt;=EOMONTH('Construction Budget'!$M58,0)),('Construction Budget'!$G58+SUM($G201:EV201))/ROUND(((EOMONTH('Construction Budget'!$M58,0)-EOMONTH(EW$11,0))/30)+1,0),0)</f>
        <v>0</v>
      </c>
      <c r="EX201" s="427">
        <f>-IF(AND(EX$11&gt;=EOMONTH('Construction Budget'!$K58,0),EX$11&lt;=EOMONTH('Construction Budget'!$M58,0)),('Construction Budget'!$G58+SUM($G201:EW201))/ROUND(((EOMONTH('Construction Budget'!$M58,0)-EOMONTH(EX$11,0))/30)+1,0),0)</f>
        <v>0</v>
      </c>
      <c r="EY201" s="427">
        <f>-IF(AND(EY$11&gt;=EOMONTH('Construction Budget'!$K58,0),EY$11&lt;=EOMONTH('Construction Budget'!$M58,0)),('Construction Budget'!$G58+SUM($G201:EX201))/ROUND(((EOMONTH('Construction Budget'!$M58,0)-EOMONTH(EY$11,0))/30)+1,0),0)</f>
        <v>0</v>
      </c>
      <c r="EZ201" s="427">
        <f>-IF(AND(EZ$11&gt;=EOMONTH('Construction Budget'!$K58,0),EZ$11&lt;=EOMONTH('Construction Budget'!$M58,0)),('Construction Budget'!$G58+SUM($G201:EY201))/ROUND(((EOMONTH('Construction Budget'!$M58,0)-EOMONTH(EZ$11,0))/30)+1,0),0)</f>
        <v>0</v>
      </c>
      <c r="FA201" s="427">
        <f>-IF(AND(FA$11&gt;=EOMONTH('Construction Budget'!$K58,0),FA$11&lt;=EOMONTH('Construction Budget'!$M58,0)),('Construction Budget'!$G58+SUM($G201:EZ201))/ROUND(((EOMONTH('Construction Budget'!$M58,0)-EOMONTH(FA$11,0))/30)+1,0),0)</f>
        <v>0</v>
      </c>
      <c r="FB201" s="427">
        <f>-IF(AND(FB$11&gt;=EOMONTH('Construction Budget'!$K58,0),FB$11&lt;=EOMONTH('Construction Budget'!$M58,0)),('Construction Budget'!$G58+SUM($G201:FA201))/ROUND(((EOMONTH('Construction Budget'!$M58,0)-EOMONTH(FB$11,0))/30)+1,0),0)</f>
        <v>0</v>
      </c>
      <c r="FC201" s="427">
        <f>-IF(AND(FC$11&gt;=EOMONTH('Construction Budget'!$K58,0),FC$11&lt;=EOMONTH('Construction Budget'!$M58,0)),('Construction Budget'!$G58+SUM($G201:FB201))/ROUND(((EOMONTH('Construction Budget'!$M58,0)-EOMONTH(FC$11,0))/30)+1,0),0)</f>
        <v>0</v>
      </c>
      <c r="FD201" s="427">
        <f>-IF(AND(FD$11&gt;=EOMONTH('Construction Budget'!$K58,0),FD$11&lt;=EOMONTH('Construction Budget'!$M58,0)),('Construction Budget'!$G58+SUM($G201:FC201))/ROUND(((EOMONTH('Construction Budget'!$M58,0)-EOMONTH(FD$11,0))/30)+1,0),0)</f>
        <v>0</v>
      </c>
      <c r="FE201" s="427">
        <f>-IF(AND(FE$11&gt;=EOMONTH('Construction Budget'!$K58,0),FE$11&lt;=EOMONTH('Construction Budget'!$M58,0)),('Construction Budget'!$G58+SUM($G201:FD201))/ROUND(((EOMONTH('Construction Budget'!$M58,0)-EOMONTH(FE$11,0))/30)+1,0),0)</f>
        <v>0</v>
      </c>
      <c r="FF201" s="427">
        <f>-IF(AND(FF$11&gt;=EOMONTH('Construction Budget'!$K58,0),FF$11&lt;=EOMONTH('Construction Budget'!$M58,0)),('Construction Budget'!$G58+SUM($G201:FE201))/ROUND(((EOMONTH('Construction Budget'!$M58,0)-EOMONTH(FF$11,0))/30)+1,0),0)</f>
        <v>0</v>
      </c>
      <c r="FG201" s="427">
        <f>-IF(AND(FG$11&gt;=EOMONTH('Construction Budget'!$K58,0),FG$11&lt;=EOMONTH('Construction Budget'!$M58,0)),('Construction Budget'!$G58+SUM($G201:FF201))/ROUND(((EOMONTH('Construction Budget'!$M58,0)-EOMONTH(FG$11,0))/30)+1,0),0)</f>
        <v>0</v>
      </c>
      <c r="FH201" s="427">
        <f>-IF(AND(FH$11&gt;=EOMONTH('Construction Budget'!$K58,0),FH$11&lt;=EOMONTH('Construction Budget'!$M58,0)),('Construction Budget'!$G58+SUM($G201:FG201))/ROUND(((EOMONTH('Construction Budget'!$M58,0)-EOMONTH(FH$11,0))/30)+1,0),0)</f>
        <v>0</v>
      </c>
      <c r="FI201" s="427">
        <f>-IF(AND(FI$11&gt;=EOMONTH('Construction Budget'!$K58,0),FI$11&lt;=EOMONTH('Construction Budget'!$M58,0)),('Construction Budget'!$G58+SUM($G201:FH201))/ROUND(((EOMONTH('Construction Budget'!$M58,0)-EOMONTH(FI$11,0))/30)+1,0),0)</f>
        <v>0</v>
      </c>
      <c r="FJ201" s="427">
        <f>-IF(AND(FJ$11&gt;=EOMONTH('Construction Budget'!$K58,0),FJ$11&lt;=EOMONTH('Construction Budget'!$M58,0)),('Construction Budget'!$G58+SUM($G201:FI201))/ROUND(((EOMONTH('Construction Budget'!$M58,0)-EOMONTH(FJ$11,0))/30)+1,0),0)</f>
        <v>0</v>
      </c>
      <c r="FK201" s="427">
        <f>-IF(AND(FK$11&gt;=EOMONTH('Construction Budget'!$K58,0),FK$11&lt;=EOMONTH('Construction Budget'!$M58,0)),('Construction Budget'!$G58+SUM($G201:FJ201))/ROUND(((EOMONTH('Construction Budget'!$M58,0)-EOMONTH(FK$11,0))/30)+1,0),0)</f>
        <v>0</v>
      </c>
      <c r="FL201" s="427">
        <f>-IF(AND(FL$11&gt;=EOMONTH('Construction Budget'!$K58,0),FL$11&lt;=EOMONTH('Construction Budget'!$M58,0)),('Construction Budget'!$G58+SUM($G201:FK201))/ROUND(((EOMONTH('Construction Budget'!$M58,0)-EOMONTH(FL$11,0))/30)+1,0),0)</f>
        <v>0</v>
      </c>
      <c r="FM201" s="427">
        <f>-IF(AND(FM$11&gt;=EOMONTH('Construction Budget'!$K58,0),FM$11&lt;=EOMONTH('Construction Budget'!$M58,0)),('Construction Budget'!$G58+SUM($G201:FL201))/ROUND(((EOMONTH('Construction Budget'!$M58,0)-EOMONTH(FM$11,0))/30)+1,0),0)</f>
        <v>0</v>
      </c>
      <c r="FN201" s="427">
        <f>-IF(AND(FN$11&gt;=EOMONTH('Construction Budget'!$K58,0),FN$11&lt;=EOMONTH('Construction Budget'!$M58,0)),('Construction Budget'!$G58+SUM($G201:FM201))/ROUND(((EOMONTH('Construction Budget'!$M58,0)-EOMONTH(FN$11,0))/30)+1,0),0)</f>
        <v>0</v>
      </c>
      <c r="FO201" s="427">
        <f>-IF(AND(FO$11&gt;=EOMONTH('Construction Budget'!$K58,0),FO$11&lt;=EOMONTH('Construction Budget'!$M58,0)),('Construction Budget'!$G58+SUM($G201:FN201))/ROUND(((EOMONTH('Construction Budget'!$M58,0)-EOMONTH(FO$11,0))/30)+1,0),0)</f>
        <v>0</v>
      </c>
      <c r="FP201" s="427">
        <f>-IF(AND(FP$11&gt;=EOMONTH('Construction Budget'!$K58,0),FP$11&lt;=EOMONTH('Construction Budget'!$M58,0)),('Construction Budget'!$G58+SUM($G201:FO201))/ROUND(((EOMONTH('Construction Budget'!$M58,0)-EOMONTH(FP$11,0))/30)+1,0),0)</f>
        <v>0</v>
      </c>
      <c r="FQ201" s="427">
        <f>-IF(AND(FQ$11&gt;=EOMONTH('Construction Budget'!$K58,0),FQ$11&lt;=EOMONTH('Construction Budget'!$M58,0)),('Construction Budget'!$G58+SUM($G201:FP201))/ROUND(((EOMONTH('Construction Budget'!$M58,0)-EOMONTH(FQ$11,0))/30)+1,0),0)</f>
        <v>0</v>
      </c>
      <c r="FR201" s="427">
        <f>-IF(AND(FR$11&gt;=EOMONTH('Construction Budget'!$K58,0),FR$11&lt;=EOMONTH('Construction Budget'!$M58,0)),('Construction Budget'!$G58+SUM($G201:FQ201))/ROUND(((EOMONTH('Construction Budget'!$M58,0)-EOMONTH(FR$11,0))/30)+1,0),0)</f>
        <v>0</v>
      </c>
      <c r="FS201" s="427">
        <f>-IF(AND(FS$11&gt;=EOMONTH('Construction Budget'!$K58,0),FS$11&lt;=EOMONTH('Construction Budget'!$M58,0)),('Construction Budget'!$G58+SUM($G201:FR201))/ROUND(((EOMONTH('Construction Budget'!$M58,0)-EOMONTH(FS$11,0))/30)+1,0),0)</f>
        <v>0</v>
      </c>
      <c r="FT201" s="427">
        <f>-IF(AND(FT$11&gt;=EOMONTH('Construction Budget'!$K58,0),FT$11&lt;=EOMONTH('Construction Budget'!$M58,0)),('Construction Budget'!$G58+SUM($G201:FS201))/ROUND(((EOMONTH('Construction Budget'!$M58,0)-EOMONTH(FT$11,0))/30)+1,0),0)</f>
        <v>0</v>
      </c>
      <c r="FU201" s="43"/>
      <c r="FV201" s="34"/>
      <c r="FW201" s="34"/>
      <c r="FX201" s="34"/>
      <c r="FY201" s="34"/>
      <c r="FZ201" s="34"/>
    </row>
    <row r="202" spans="1:182" s="89" customFormat="1" ht="13.5" hidden="1" outlineLevel="1" x14ac:dyDescent="0.25">
      <c r="A202" s="498"/>
      <c r="B202" s="43" t="str">
        <f>'Construction Budget'!B59</f>
        <v>Blank</v>
      </c>
      <c r="C202" s="34"/>
      <c r="D202" s="34"/>
      <c r="E202" s="34"/>
      <c r="F202" s="434">
        <f t="shared" si="236"/>
        <v>0</v>
      </c>
      <c r="G202" s="34"/>
      <c r="H202" s="427">
        <f>-IF(AND(H$11&gt;=EOMONTH('Construction Budget'!$K59,0),H$11&lt;=EOMONTH('Construction Budget'!$M59,0)),('Construction Budget'!$G59+SUM($G202:G202))/ROUND(((EOMONTH('Construction Budget'!$M59,0)-EOMONTH(H$11,0))/30)+1,0),0)</f>
        <v>0</v>
      </c>
      <c r="I202" s="427">
        <f>-IF(AND(I$11&gt;=EOMONTH('Construction Budget'!$K59,0),I$11&lt;=EOMONTH('Construction Budget'!$M59,0)),('Construction Budget'!$G59+SUM($G202:H202))/ROUND(((EOMONTH('Construction Budget'!$M59,0)-EOMONTH(I$11,0))/30)+1,0),0)</f>
        <v>0</v>
      </c>
      <c r="J202" s="427">
        <f>-IF(AND(J$11&gt;=EOMONTH('Construction Budget'!$K59,0),J$11&lt;=EOMONTH('Construction Budget'!$M59,0)),('Construction Budget'!$G59+SUM($G202:I202))/ROUND(((EOMONTH('Construction Budget'!$M59,0)-EOMONTH(J$11,0))/30)+1,0),0)</f>
        <v>0</v>
      </c>
      <c r="K202" s="427">
        <f>-IF(AND(K$11&gt;=EOMONTH('Construction Budget'!$K59,0),K$11&lt;=EOMONTH('Construction Budget'!$M59,0)),('Construction Budget'!$G59+SUM($G202:J202))/ROUND(((EOMONTH('Construction Budget'!$M59,0)-EOMONTH(K$11,0))/30)+1,0),0)</f>
        <v>0</v>
      </c>
      <c r="L202" s="427">
        <f>-IF(AND(L$11&gt;=EOMONTH('Construction Budget'!$K59,0),L$11&lt;=EOMONTH('Construction Budget'!$M59,0)),('Construction Budget'!$G59+SUM($G202:K202))/ROUND(((EOMONTH('Construction Budget'!$M59,0)-EOMONTH(L$11,0))/30)+1,0),0)</f>
        <v>0</v>
      </c>
      <c r="M202" s="427">
        <f>-IF(AND(M$11&gt;=EOMONTH('Construction Budget'!$K59,0),M$11&lt;=EOMONTH('Construction Budget'!$M59,0)),('Construction Budget'!$G59+SUM($G202:L202))/ROUND(((EOMONTH('Construction Budget'!$M59,0)-EOMONTH(M$11,0))/30)+1,0),0)</f>
        <v>0</v>
      </c>
      <c r="N202" s="427">
        <f>-IF(AND(N$11&gt;=EOMONTH('Construction Budget'!$K59,0),N$11&lt;=EOMONTH('Construction Budget'!$M59,0)),('Construction Budget'!$G59+SUM($G202:M202))/ROUND(((EOMONTH('Construction Budget'!$M59,0)-EOMONTH(N$11,0))/30)+1,0),0)</f>
        <v>0</v>
      </c>
      <c r="O202" s="427">
        <f>-IF(AND(O$11&gt;=EOMONTH('Construction Budget'!$K59,0),O$11&lt;=EOMONTH('Construction Budget'!$M59,0)),('Construction Budget'!$G59+SUM($G202:N202))/ROUND(((EOMONTH('Construction Budget'!$M59,0)-EOMONTH(O$11,0))/30)+1,0),0)</f>
        <v>0</v>
      </c>
      <c r="P202" s="427">
        <f>-IF(AND(P$11&gt;=EOMONTH('Construction Budget'!$K59,0),P$11&lt;=EOMONTH('Construction Budget'!$M59,0)),('Construction Budget'!$G59+SUM($G202:O202))/ROUND(((EOMONTH('Construction Budget'!$M59,0)-EOMONTH(P$11,0))/30)+1,0),0)</f>
        <v>0</v>
      </c>
      <c r="Q202" s="427">
        <f>-IF(AND(Q$11&gt;=EOMONTH('Construction Budget'!$K59,0),Q$11&lt;=EOMONTH('Construction Budget'!$M59,0)),('Construction Budget'!$G59+SUM($G202:P202))/ROUND(((EOMONTH('Construction Budget'!$M59,0)-EOMONTH(Q$11,0))/30)+1,0),0)</f>
        <v>0</v>
      </c>
      <c r="R202" s="427">
        <f>-IF(AND(R$11&gt;=EOMONTH('Construction Budget'!$K59,0),R$11&lt;=EOMONTH('Construction Budget'!$M59,0)),('Construction Budget'!$G59+SUM($G202:Q202))/ROUND(((EOMONTH('Construction Budget'!$M59,0)-EOMONTH(R$11,0))/30)+1,0),0)</f>
        <v>0</v>
      </c>
      <c r="S202" s="427">
        <f>-IF(AND(S$11&gt;=EOMONTH('Construction Budget'!$K59,0),S$11&lt;=EOMONTH('Construction Budget'!$M59,0)),('Construction Budget'!$G59+SUM($G202:R202))/ROUND(((EOMONTH('Construction Budget'!$M59,0)-EOMONTH(S$11,0))/30)+1,0),0)</f>
        <v>0</v>
      </c>
      <c r="T202" s="427">
        <f>-IF(AND(T$11&gt;=EOMONTH('Construction Budget'!$K59,0),T$11&lt;=EOMONTH('Construction Budget'!$M59,0)),('Construction Budget'!$G59+SUM($G202:S202))/ROUND(((EOMONTH('Construction Budget'!$M59,0)-EOMONTH(T$11,0))/30)+1,0),0)</f>
        <v>0</v>
      </c>
      <c r="U202" s="427">
        <f>-IF(AND(U$11&gt;=EOMONTH('Construction Budget'!$K59,0),U$11&lt;=EOMONTH('Construction Budget'!$M59,0)),('Construction Budget'!$G59+SUM($G202:T202))/ROUND(((EOMONTH('Construction Budget'!$M59,0)-EOMONTH(U$11,0))/30)+1,0),0)</f>
        <v>0</v>
      </c>
      <c r="V202" s="427">
        <f>-IF(AND(V$11&gt;=EOMONTH('Construction Budget'!$K59,0),V$11&lt;=EOMONTH('Construction Budget'!$M59,0)),('Construction Budget'!$G59+SUM($G202:U202))/ROUND(((EOMONTH('Construction Budget'!$M59,0)-EOMONTH(V$11,0))/30)+1,0),0)</f>
        <v>0</v>
      </c>
      <c r="W202" s="427">
        <f>-IF(AND(W$11&gt;=EOMONTH('Construction Budget'!$K59,0),W$11&lt;=EOMONTH('Construction Budget'!$M59,0)),('Construction Budget'!$G59+SUM($G202:V202))/ROUND(((EOMONTH('Construction Budget'!$M59,0)-EOMONTH(W$11,0))/30)+1,0),0)</f>
        <v>0</v>
      </c>
      <c r="X202" s="427">
        <f>-IF(AND(X$11&gt;=EOMONTH('Construction Budget'!$K59,0),X$11&lt;=EOMONTH('Construction Budget'!$M59,0)),('Construction Budget'!$G59+SUM($G202:W202))/ROUND(((EOMONTH('Construction Budget'!$M59,0)-EOMONTH(X$11,0))/30)+1,0),0)</f>
        <v>0</v>
      </c>
      <c r="Y202" s="427">
        <f>-IF(AND(Y$11&gt;=EOMONTH('Construction Budget'!$K59,0),Y$11&lt;=EOMONTH('Construction Budget'!$M59,0)),('Construction Budget'!$G59+SUM($G202:X202))/ROUND(((EOMONTH('Construction Budget'!$M59,0)-EOMONTH(Y$11,0))/30)+1,0),0)</f>
        <v>0</v>
      </c>
      <c r="Z202" s="427">
        <f>-IF(AND(Z$11&gt;=EOMONTH('Construction Budget'!$K59,0),Z$11&lt;=EOMONTH('Construction Budget'!$M59,0)),('Construction Budget'!$G59+SUM($G202:Y202))/ROUND(((EOMONTH('Construction Budget'!$M59,0)-EOMONTH(Z$11,0))/30)+1,0),0)</f>
        <v>0</v>
      </c>
      <c r="AA202" s="427">
        <f>-IF(AND(AA$11&gt;=EOMONTH('Construction Budget'!$K59,0),AA$11&lt;=EOMONTH('Construction Budget'!$M59,0)),('Construction Budget'!$G59+SUM($G202:Z202))/ROUND(((EOMONTH('Construction Budget'!$M59,0)-EOMONTH(AA$11,0))/30)+1,0),0)</f>
        <v>0</v>
      </c>
      <c r="AB202" s="427">
        <f>-IF(AND(AB$11&gt;=EOMONTH('Construction Budget'!$K59,0),AB$11&lt;=EOMONTH('Construction Budget'!$M59,0)),('Construction Budget'!$G59+SUM($G202:AA202))/ROUND(((EOMONTH('Construction Budget'!$M59,0)-EOMONTH(AB$11,0))/30)+1,0),0)</f>
        <v>0</v>
      </c>
      <c r="AC202" s="427">
        <f>-IF(AND(AC$11&gt;=EOMONTH('Construction Budget'!$K59,0),AC$11&lt;=EOMONTH('Construction Budget'!$M59,0)),('Construction Budget'!$G59+SUM($G202:AB202))/ROUND(((EOMONTH('Construction Budget'!$M59,0)-EOMONTH(AC$11,0))/30)+1,0),0)</f>
        <v>0</v>
      </c>
      <c r="AD202" s="427">
        <f>-IF(AND(AD$11&gt;=EOMONTH('Construction Budget'!$K59,0),AD$11&lt;=EOMONTH('Construction Budget'!$M59,0)),('Construction Budget'!$G59+SUM($G202:AC202))/ROUND(((EOMONTH('Construction Budget'!$M59,0)-EOMONTH(AD$11,0))/30)+1,0),0)</f>
        <v>0</v>
      </c>
      <c r="AE202" s="427">
        <f>-IF(AND(AE$11&gt;=EOMONTH('Construction Budget'!$K59,0),AE$11&lt;=EOMONTH('Construction Budget'!$M59,0)),('Construction Budget'!$G59+SUM($G202:AD202))/ROUND(((EOMONTH('Construction Budget'!$M59,0)-EOMONTH(AE$11,0))/30)+1,0),0)</f>
        <v>0</v>
      </c>
      <c r="AF202" s="427">
        <f>-IF(AND(AF$11&gt;=EOMONTH('Construction Budget'!$K59,0),AF$11&lt;=EOMONTH('Construction Budget'!$M59,0)),('Construction Budget'!$G59+SUM($G202:AE202))/ROUND(((EOMONTH('Construction Budget'!$M59,0)-EOMONTH(AF$11,0))/30)+1,0),0)</f>
        <v>0</v>
      </c>
      <c r="AG202" s="427">
        <f>-IF(AND(AG$11&gt;=EOMONTH('Construction Budget'!$K59,0),AG$11&lt;=EOMONTH('Construction Budget'!$M59,0)),('Construction Budget'!$G59+SUM($G202:AF202))/ROUND(((EOMONTH('Construction Budget'!$M59,0)-EOMONTH(AG$11,0))/30)+1,0),0)</f>
        <v>0</v>
      </c>
      <c r="AH202" s="427">
        <f>-IF(AND(AH$11&gt;=EOMONTH('Construction Budget'!$K59,0),AH$11&lt;=EOMONTH('Construction Budget'!$M59,0)),('Construction Budget'!$G59+SUM($G202:AG202))/ROUND(((EOMONTH('Construction Budget'!$M59,0)-EOMONTH(AH$11,0))/30)+1,0),0)</f>
        <v>0</v>
      </c>
      <c r="AI202" s="427">
        <f>-IF(AND(AI$11&gt;=EOMONTH('Construction Budget'!$K59,0),AI$11&lt;=EOMONTH('Construction Budget'!$M59,0)),('Construction Budget'!$G59+SUM($G202:AH202))/ROUND(((EOMONTH('Construction Budget'!$M59,0)-EOMONTH(AI$11,0))/30)+1,0),0)</f>
        <v>0</v>
      </c>
      <c r="AJ202" s="427">
        <f>-IF(AND(AJ$11&gt;=EOMONTH('Construction Budget'!$K59,0),AJ$11&lt;=EOMONTH('Construction Budget'!$M59,0)),('Construction Budget'!$G59+SUM($G202:AI202))/ROUND(((EOMONTH('Construction Budget'!$M59,0)-EOMONTH(AJ$11,0))/30)+1,0),0)</f>
        <v>0</v>
      </c>
      <c r="AK202" s="427">
        <f>-IF(AND(AK$11&gt;=EOMONTH('Construction Budget'!$K59,0),AK$11&lt;=EOMONTH('Construction Budget'!$M59,0)),('Construction Budget'!$G59+SUM($G202:AJ202))/ROUND(((EOMONTH('Construction Budget'!$M59,0)-EOMONTH(AK$11,0))/30)+1,0),0)</f>
        <v>0</v>
      </c>
      <c r="AL202" s="427">
        <f>-IF(AND(AL$11&gt;=EOMONTH('Construction Budget'!$K59,0),AL$11&lt;=EOMONTH('Construction Budget'!$M59,0)),('Construction Budget'!$G59+SUM($G202:AK202))/ROUND(((EOMONTH('Construction Budget'!$M59,0)-EOMONTH(AL$11,0))/30)+1,0),0)</f>
        <v>0</v>
      </c>
      <c r="AM202" s="427">
        <f>-IF(AND(AM$11&gt;=EOMONTH('Construction Budget'!$K59,0),AM$11&lt;=EOMONTH('Construction Budget'!$M59,0)),('Construction Budget'!$G59+SUM($G202:AL202))/ROUND(((EOMONTH('Construction Budget'!$M59,0)-EOMONTH(AM$11,0))/30)+1,0),0)</f>
        <v>0</v>
      </c>
      <c r="AN202" s="427">
        <f>-IF(AND(AN$11&gt;=EOMONTH('Construction Budget'!$K59,0),AN$11&lt;=EOMONTH('Construction Budget'!$M59,0)),('Construction Budget'!$G59+SUM($G202:AM202))/ROUND(((EOMONTH('Construction Budget'!$M59,0)-EOMONTH(AN$11,0))/30)+1,0),0)</f>
        <v>0</v>
      </c>
      <c r="AO202" s="427">
        <f>-IF(AND(AO$11&gt;=EOMONTH('Construction Budget'!$K59,0),AO$11&lt;=EOMONTH('Construction Budget'!$M59,0)),('Construction Budget'!$G59+SUM($G202:AN202))/ROUND(((EOMONTH('Construction Budget'!$M59,0)-EOMONTH(AO$11,0))/30)+1,0),0)</f>
        <v>0</v>
      </c>
      <c r="AP202" s="427">
        <f>-IF(AND(AP$11&gt;=EOMONTH('Construction Budget'!$K59,0),AP$11&lt;=EOMONTH('Construction Budget'!$M59,0)),('Construction Budget'!$G59+SUM($G202:AO202))/ROUND(((EOMONTH('Construction Budget'!$M59,0)-EOMONTH(AP$11,0))/30)+1,0),0)</f>
        <v>0</v>
      </c>
      <c r="AQ202" s="427">
        <f>-IF(AND(AQ$11&gt;=EOMONTH('Construction Budget'!$K59,0),AQ$11&lt;=EOMONTH('Construction Budget'!$M59,0)),('Construction Budget'!$G59+SUM($G202:AP202))/ROUND(((EOMONTH('Construction Budget'!$M59,0)-EOMONTH(AQ$11,0))/30)+1,0),0)</f>
        <v>0</v>
      </c>
      <c r="AR202" s="427">
        <f>-IF(AND(AR$11&gt;=EOMONTH('Construction Budget'!$K59,0),AR$11&lt;=EOMONTH('Construction Budget'!$M59,0)),('Construction Budget'!$G59+SUM($G202:AQ202))/ROUND(((EOMONTH('Construction Budget'!$M59,0)-EOMONTH(AR$11,0))/30)+1,0),0)</f>
        <v>0</v>
      </c>
      <c r="AS202" s="427">
        <f>-IF(AND(AS$11&gt;=EOMONTH('Construction Budget'!$K59,0),AS$11&lt;=EOMONTH('Construction Budget'!$M59,0)),('Construction Budget'!$G59+SUM($G202:AR202))/ROUND(((EOMONTH('Construction Budget'!$M59,0)-EOMONTH(AS$11,0))/30)+1,0),0)</f>
        <v>0</v>
      </c>
      <c r="AT202" s="427">
        <f>-IF(AND(AT$11&gt;=EOMONTH('Construction Budget'!$K59,0),AT$11&lt;=EOMONTH('Construction Budget'!$M59,0)),('Construction Budget'!$G59+SUM($G202:AS202))/ROUND(((EOMONTH('Construction Budget'!$M59,0)-EOMONTH(AT$11,0))/30)+1,0),0)</f>
        <v>0</v>
      </c>
      <c r="AU202" s="427">
        <f>-IF(AND(AU$11&gt;=EOMONTH('Construction Budget'!$K59,0),AU$11&lt;=EOMONTH('Construction Budget'!$M59,0)),('Construction Budget'!$G59+SUM($G202:AT202))/ROUND(((EOMONTH('Construction Budget'!$M59,0)-EOMONTH(AU$11,0))/30)+1,0),0)</f>
        <v>0</v>
      </c>
      <c r="AV202" s="427">
        <f>-IF(AND(AV$11&gt;=EOMONTH('Construction Budget'!$K59,0),AV$11&lt;=EOMONTH('Construction Budget'!$M59,0)),('Construction Budget'!$G59+SUM($G202:AU202))/ROUND(((EOMONTH('Construction Budget'!$M59,0)-EOMONTH(AV$11,0))/30)+1,0),0)</f>
        <v>0</v>
      </c>
      <c r="AW202" s="427">
        <f>-IF(AND(AW$11&gt;=EOMONTH('Construction Budget'!$K59,0),AW$11&lt;=EOMONTH('Construction Budget'!$M59,0)),('Construction Budget'!$G59+SUM($G202:AV202))/ROUND(((EOMONTH('Construction Budget'!$M59,0)-EOMONTH(AW$11,0))/30)+1,0),0)</f>
        <v>0</v>
      </c>
      <c r="AX202" s="427">
        <f>-IF(AND(AX$11&gt;=EOMONTH('Construction Budget'!$K59,0),AX$11&lt;=EOMONTH('Construction Budget'!$M59,0)),('Construction Budget'!$G59+SUM($G202:AW202))/ROUND(((EOMONTH('Construction Budget'!$M59,0)-EOMONTH(AX$11,0))/30)+1,0),0)</f>
        <v>0</v>
      </c>
      <c r="AY202" s="427">
        <f>-IF(AND(AY$11&gt;=EOMONTH('Construction Budget'!$K59,0),AY$11&lt;=EOMONTH('Construction Budget'!$M59,0)),('Construction Budget'!$G59+SUM($G202:AX202))/ROUND(((EOMONTH('Construction Budget'!$M59,0)-EOMONTH(AY$11,0))/30)+1,0),0)</f>
        <v>0</v>
      </c>
      <c r="AZ202" s="427">
        <f>-IF(AND(AZ$11&gt;=EOMONTH('Construction Budget'!$K59,0),AZ$11&lt;=EOMONTH('Construction Budget'!$M59,0)),('Construction Budget'!$G59+SUM($G202:AY202))/ROUND(((EOMONTH('Construction Budget'!$M59,0)-EOMONTH(AZ$11,0))/30)+1,0),0)</f>
        <v>0</v>
      </c>
      <c r="BA202" s="427">
        <f>-IF(AND(BA$11&gt;=EOMONTH('Construction Budget'!$K59,0),BA$11&lt;=EOMONTH('Construction Budget'!$M59,0)),('Construction Budget'!$G59+SUM($G202:AZ202))/ROUND(((EOMONTH('Construction Budget'!$M59,0)-EOMONTH(BA$11,0))/30)+1,0),0)</f>
        <v>0</v>
      </c>
      <c r="BB202" s="427">
        <f>-IF(AND(BB$11&gt;=EOMONTH('Construction Budget'!$K59,0),BB$11&lt;=EOMONTH('Construction Budget'!$M59,0)),('Construction Budget'!$G59+SUM($G202:BA202))/ROUND(((EOMONTH('Construction Budget'!$M59,0)-EOMONTH(BB$11,0))/30)+1,0),0)</f>
        <v>0</v>
      </c>
      <c r="BC202" s="427">
        <f>-IF(AND(BC$11&gt;=EOMONTH('Construction Budget'!$K59,0),BC$11&lt;=EOMONTH('Construction Budget'!$M59,0)),('Construction Budget'!$G59+SUM($G202:BB202))/ROUND(((EOMONTH('Construction Budget'!$M59,0)-EOMONTH(BC$11,0))/30)+1,0),0)</f>
        <v>0</v>
      </c>
      <c r="BD202" s="427">
        <f>-IF(AND(BD$11&gt;=EOMONTH('Construction Budget'!$K59,0),BD$11&lt;=EOMONTH('Construction Budget'!$M59,0)),('Construction Budget'!$G59+SUM($G202:BC202))/ROUND(((EOMONTH('Construction Budget'!$M59,0)-EOMONTH(BD$11,0))/30)+1,0),0)</f>
        <v>0</v>
      </c>
      <c r="BE202" s="427">
        <f>-IF(AND(BE$11&gt;=EOMONTH('Construction Budget'!$K59,0),BE$11&lt;=EOMONTH('Construction Budget'!$M59,0)),('Construction Budget'!$G59+SUM($G202:BD202))/ROUND(((EOMONTH('Construction Budget'!$M59,0)-EOMONTH(BE$11,0))/30)+1,0),0)</f>
        <v>0</v>
      </c>
      <c r="BF202" s="427">
        <f>-IF(AND(BF$11&gt;=EOMONTH('Construction Budget'!$K59,0),BF$11&lt;=EOMONTH('Construction Budget'!$M59,0)),('Construction Budget'!$G59+SUM($G202:BE202))/ROUND(((EOMONTH('Construction Budget'!$M59,0)-EOMONTH(BF$11,0))/30)+1,0),0)</f>
        <v>0</v>
      </c>
      <c r="BG202" s="427">
        <f>-IF(AND(BG$11&gt;=EOMONTH('Construction Budget'!$K59,0),BG$11&lt;=EOMONTH('Construction Budget'!$M59,0)),('Construction Budget'!$G59+SUM($G202:BF202))/ROUND(((EOMONTH('Construction Budget'!$M59,0)-EOMONTH(BG$11,0))/30)+1,0),0)</f>
        <v>0</v>
      </c>
      <c r="BH202" s="427">
        <f>-IF(AND(BH$11&gt;=EOMONTH('Construction Budget'!$K59,0),BH$11&lt;=EOMONTH('Construction Budget'!$M59,0)),('Construction Budget'!$G59+SUM($G202:BG202))/ROUND(((EOMONTH('Construction Budget'!$M59,0)-EOMONTH(BH$11,0))/30)+1,0),0)</f>
        <v>0</v>
      </c>
      <c r="BI202" s="427">
        <f>-IF(AND(BI$11&gt;=EOMONTH('Construction Budget'!$K59,0),BI$11&lt;=EOMONTH('Construction Budget'!$M59,0)),('Construction Budget'!$G59+SUM($G202:BH202))/ROUND(((EOMONTH('Construction Budget'!$M59,0)-EOMONTH(BI$11,0))/30)+1,0),0)</f>
        <v>0</v>
      </c>
      <c r="BJ202" s="427">
        <f>-IF(AND(BJ$11&gt;=EOMONTH('Construction Budget'!$K59,0),BJ$11&lt;=EOMONTH('Construction Budget'!$M59,0)),('Construction Budget'!$G59+SUM($G202:BI202))/ROUND(((EOMONTH('Construction Budget'!$M59,0)-EOMONTH(BJ$11,0))/30)+1,0),0)</f>
        <v>0</v>
      </c>
      <c r="BK202" s="427">
        <f>-IF(AND(BK$11&gt;=EOMONTH('Construction Budget'!$K59,0),BK$11&lt;=EOMONTH('Construction Budget'!$M59,0)),('Construction Budget'!$G59+SUM($G202:BJ202))/ROUND(((EOMONTH('Construction Budget'!$M59,0)-EOMONTH(BK$11,0))/30)+1,0),0)</f>
        <v>0</v>
      </c>
      <c r="BL202" s="427">
        <f>-IF(AND(BL$11&gt;=EOMONTH('Construction Budget'!$K59,0),BL$11&lt;=EOMONTH('Construction Budget'!$M59,0)),('Construction Budget'!$G59+SUM($G202:BK202))/ROUND(((EOMONTH('Construction Budget'!$M59,0)-EOMONTH(BL$11,0))/30)+1,0),0)</f>
        <v>0</v>
      </c>
      <c r="BM202" s="427">
        <f>-IF(AND(BM$11&gt;=EOMONTH('Construction Budget'!$K59,0),BM$11&lt;=EOMONTH('Construction Budget'!$M59,0)),('Construction Budget'!$G59+SUM($G202:BL202))/ROUND(((EOMONTH('Construction Budget'!$M59,0)-EOMONTH(BM$11,0))/30)+1,0),0)</f>
        <v>0</v>
      </c>
      <c r="BN202" s="427">
        <f>-IF(AND(BN$11&gt;=EOMONTH('Construction Budget'!$K59,0),BN$11&lt;=EOMONTH('Construction Budget'!$M59,0)),('Construction Budget'!$G59+SUM($G202:BM202))/ROUND(((EOMONTH('Construction Budget'!$M59,0)-EOMONTH(BN$11,0))/30)+1,0),0)</f>
        <v>0</v>
      </c>
      <c r="BO202" s="427">
        <f>-IF(AND(BO$11&gt;=EOMONTH('Construction Budget'!$K59,0),BO$11&lt;=EOMONTH('Construction Budget'!$M59,0)),('Construction Budget'!$G59+SUM($G202:BN202))/ROUND(((EOMONTH('Construction Budget'!$M59,0)-EOMONTH(BO$11,0))/30)+1,0),0)</f>
        <v>0</v>
      </c>
      <c r="BP202" s="427">
        <f>-IF(AND(BP$11&gt;=EOMONTH('Construction Budget'!$K59,0),BP$11&lt;=EOMONTH('Construction Budget'!$M59,0)),('Construction Budget'!$G59+SUM($G202:BO202))/ROUND(((EOMONTH('Construction Budget'!$M59,0)-EOMONTH(BP$11,0))/30)+1,0),0)</f>
        <v>0</v>
      </c>
      <c r="BQ202" s="427">
        <f>-IF(AND(BQ$11&gt;=EOMONTH('Construction Budget'!$K59,0),BQ$11&lt;=EOMONTH('Construction Budget'!$M59,0)),('Construction Budget'!$G59+SUM($G202:BP202))/ROUND(((EOMONTH('Construction Budget'!$M59,0)-EOMONTH(BQ$11,0))/30)+1,0),0)</f>
        <v>0</v>
      </c>
      <c r="BR202" s="427">
        <f>-IF(AND(BR$11&gt;=EOMONTH('Construction Budget'!$K59,0),BR$11&lt;=EOMONTH('Construction Budget'!$M59,0)),('Construction Budget'!$G59+SUM($G202:BQ202))/ROUND(((EOMONTH('Construction Budget'!$M59,0)-EOMONTH(BR$11,0))/30)+1,0),0)</f>
        <v>0</v>
      </c>
      <c r="BS202" s="427">
        <f>-IF(AND(BS$11&gt;=EOMONTH('Construction Budget'!$K59,0),BS$11&lt;=EOMONTH('Construction Budget'!$M59,0)),('Construction Budget'!$G59+SUM($G202:BR202))/ROUND(((EOMONTH('Construction Budget'!$M59,0)-EOMONTH(BS$11,0))/30)+1,0),0)</f>
        <v>0</v>
      </c>
      <c r="BT202" s="427">
        <f>-IF(AND(BT$11&gt;=EOMONTH('Construction Budget'!$K59,0),BT$11&lt;=EOMONTH('Construction Budget'!$M59,0)),('Construction Budget'!$G59+SUM($G202:BS202))/ROUND(((EOMONTH('Construction Budget'!$M59,0)-EOMONTH(BT$11,0))/30)+1,0),0)</f>
        <v>0</v>
      </c>
      <c r="BU202" s="427">
        <f>-IF(AND(BU$11&gt;=EOMONTH('Construction Budget'!$K59,0),BU$11&lt;=EOMONTH('Construction Budget'!$M59,0)),('Construction Budget'!$G59+SUM($G202:BT202))/ROUND(((EOMONTH('Construction Budget'!$M59,0)-EOMONTH(BU$11,0))/30)+1,0),0)</f>
        <v>0</v>
      </c>
      <c r="BV202" s="427">
        <f>-IF(AND(BV$11&gt;=EOMONTH('Construction Budget'!$K59,0),BV$11&lt;=EOMONTH('Construction Budget'!$M59,0)),('Construction Budget'!$G59+SUM($G202:BU202))/ROUND(((EOMONTH('Construction Budget'!$M59,0)-EOMONTH(BV$11,0))/30)+1,0),0)</f>
        <v>0</v>
      </c>
      <c r="BW202" s="427">
        <f>-IF(AND(BW$11&gt;=EOMONTH('Construction Budget'!$K59,0),BW$11&lt;=EOMONTH('Construction Budget'!$M59,0)),('Construction Budget'!$G59+SUM($G202:BV202))/ROUND(((EOMONTH('Construction Budget'!$M59,0)-EOMONTH(BW$11,0))/30)+1,0),0)</f>
        <v>0</v>
      </c>
      <c r="BX202" s="427">
        <f>-IF(AND(BX$11&gt;=EOMONTH('Construction Budget'!$K59,0),BX$11&lt;=EOMONTH('Construction Budget'!$M59,0)),('Construction Budget'!$G59+SUM($G202:BW202))/ROUND(((EOMONTH('Construction Budget'!$M59,0)-EOMONTH(BX$11,0))/30)+1,0),0)</f>
        <v>0</v>
      </c>
      <c r="BY202" s="427">
        <f>-IF(AND(BY$11&gt;=EOMONTH('Construction Budget'!$K59,0),BY$11&lt;=EOMONTH('Construction Budget'!$M59,0)),('Construction Budget'!$G59+SUM($G202:BX202))/ROUND(((EOMONTH('Construction Budget'!$M59,0)-EOMONTH(BY$11,0))/30)+1,0),0)</f>
        <v>0</v>
      </c>
      <c r="BZ202" s="427">
        <f>-IF(AND(BZ$11&gt;=EOMONTH('Construction Budget'!$K59,0),BZ$11&lt;=EOMONTH('Construction Budget'!$M59,0)),('Construction Budget'!$G59+SUM($G202:BY202))/ROUND(((EOMONTH('Construction Budget'!$M59,0)-EOMONTH(BZ$11,0))/30)+1,0),0)</f>
        <v>0</v>
      </c>
      <c r="CA202" s="427">
        <f>-IF(AND(CA$11&gt;=EOMONTH('Construction Budget'!$K59,0),CA$11&lt;=EOMONTH('Construction Budget'!$M59,0)),('Construction Budget'!$G59+SUM($G202:BZ202))/ROUND(((EOMONTH('Construction Budget'!$M59,0)-EOMONTH(CA$11,0))/30)+1,0),0)</f>
        <v>0</v>
      </c>
      <c r="CB202" s="427">
        <f>-IF(AND(CB$11&gt;=EOMONTH('Construction Budget'!$K59,0),CB$11&lt;=EOMONTH('Construction Budget'!$M59,0)),('Construction Budget'!$G59+SUM($G202:CA202))/ROUND(((EOMONTH('Construction Budget'!$M59,0)-EOMONTH(CB$11,0))/30)+1,0),0)</f>
        <v>0</v>
      </c>
      <c r="CC202" s="427">
        <f>-IF(AND(CC$11&gt;=EOMONTH('Construction Budget'!$K59,0),CC$11&lt;=EOMONTH('Construction Budget'!$M59,0)),('Construction Budget'!$G59+SUM($G202:CB202))/ROUND(((EOMONTH('Construction Budget'!$M59,0)-EOMONTH(CC$11,0))/30)+1,0),0)</f>
        <v>0</v>
      </c>
      <c r="CD202" s="427">
        <f>-IF(AND(CD$11&gt;=EOMONTH('Construction Budget'!$K59,0),CD$11&lt;=EOMONTH('Construction Budget'!$M59,0)),('Construction Budget'!$G59+SUM($G202:CC202))/ROUND(((EOMONTH('Construction Budget'!$M59,0)-EOMONTH(CD$11,0))/30)+1,0),0)</f>
        <v>0</v>
      </c>
      <c r="CE202" s="427">
        <f>-IF(AND(CE$11&gt;=EOMONTH('Construction Budget'!$K59,0),CE$11&lt;=EOMONTH('Construction Budget'!$M59,0)),('Construction Budget'!$G59+SUM($G202:CD202))/ROUND(((EOMONTH('Construction Budget'!$M59,0)-EOMONTH(CE$11,0))/30)+1,0),0)</f>
        <v>0</v>
      </c>
      <c r="CF202" s="427">
        <f>-IF(AND(CF$11&gt;=EOMONTH('Construction Budget'!$K59,0),CF$11&lt;=EOMONTH('Construction Budget'!$M59,0)),('Construction Budget'!$G59+SUM($G202:CE202))/ROUND(((EOMONTH('Construction Budget'!$M59,0)-EOMONTH(CF$11,0))/30)+1,0),0)</f>
        <v>0</v>
      </c>
      <c r="CG202" s="427">
        <f>-IF(AND(CG$11&gt;=EOMONTH('Construction Budget'!$K59,0),CG$11&lt;=EOMONTH('Construction Budget'!$M59,0)),('Construction Budget'!$G59+SUM($G202:CF202))/ROUND(((EOMONTH('Construction Budget'!$M59,0)-EOMONTH(CG$11,0))/30)+1,0),0)</f>
        <v>0</v>
      </c>
      <c r="CH202" s="427">
        <f>-IF(AND(CH$11&gt;=EOMONTH('Construction Budget'!$K59,0),CH$11&lt;=EOMONTH('Construction Budget'!$M59,0)),('Construction Budget'!$G59+SUM($G202:CG202))/ROUND(((EOMONTH('Construction Budget'!$M59,0)-EOMONTH(CH$11,0))/30)+1,0),0)</f>
        <v>0</v>
      </c>
      <c r="CI202" s="427">
        <f>-IF(AND(CI$11&gt;=EOMONTH('Construction Budget'!$K59,0),CI$11&lt;=EOMONTH('Construction Budget'!$M59,0)),('Construction Budget'!$G59+SUM($G202:CH202))/ROUND(((EOMONTH('Construction Budget'!$M59,0)-EOMONTH(CI$11,0))/30)+1,0),0)</f>
        <v>0</v>
      </c>
      <c r="CJ202" s="427">
        <f>-IF(AND(CJ$11&gt;=EOMONTH('Construction Budget'!$K59,0),CJ$11&lt;=EOMONTH('Construction Budget'!$M59,0)),('Construction Budget'!$G59+SUM($G202:CI202))/ROUND(((EOMONTH('Construction Budget'!$M59,0)-EOMONTH(CJ$11,0))/30)+1,0),0)</f>
        <v>0</v>
      </c>
      <c r="CK202" s="427">
        <f>-IF(AND(CK$11&gt;=EOMONTH('Construction Budget'!$K59,0),CK$11&lt;=EOMONTH('Construction Budget'!$M59,0)),('Construction Budget'!$G59+SUM($G202:CJ202))/ROUND(((EOMONTH('Construction Budget'!$M59,0)-EOMONTH(CK$11,0))/30)+1,0),0)</f>
        <v>0</v>
      </c>
      <c r="CL202" s="427">
        <f>-IF(AND(CL$11&gt;=EOMONTH('Construction Budget'!$K59,0),CL$11&lt;=EOMONTH('Construction Budget'!$M59,0)),('Construction Budget'!$G59+SUM($G202:CK202))/ROUND(((EOMONTH('Construction Budget'!$M59,0)-EOMONTH(CL$11,0))/30)+1,0),0)</f>
        <v>0</v>
      </c>
      <c r="CM202" s="427">
        <f>-IF(AND(CM$11&gt;=EOMONTH('Construction Budget'!$K59,0),CM$11&lt;=EOMONTH('Construction Budget'!$M59,0)),('Construction Budget'!$G59+SUM($G202:CL202))/ROUND(((EOMONTH('Construction Budget'!$M59,0)-EOMONTH(CM$11,0))/30)+1,0),0)</f>
        <v>0</v>
      </c>
      <c r="CN202" s="427">
        <f>-IF(AND(CN$11&gt;=EOMONTH('Construction Budget'!$K59,0),CN$11&lt;=EOMONTH('Construction Budget'!$M59,0)),('Construction Budget'!$G59+SUM($G202:CM202))/ROUND(((EOMONTH('Construction Budget'!$M59,0)-EOMONTH(CN$11,0))/30)+1,0),0)</f>
        <v>0</v>
      </c>
      <c r="CO202" s="427">
        <f>-IF(AND(CO$11&gt;=EOMONTH('Construction Budget'!$K59,0),CO$11&lt;=EOMONTH('Construction Budget'!$M59,0)),('Construction Budget'!$G59+SUM($G202:CN202))/ROUND(((EOMONTH('Construction Budget'!$M59,0)-EOMONTH(CO$11,0))/30)+1,0),0)</f>
        <v>0</v>
      </c>
      <c r="CP202" s="427">
        <f>-IF(AND(CP$11&gt;=EOMONTH('Construction Budget'!$K59,0),CP$11&lt;=EOMONTH('Construction Budget'!$M59,0)),('Construction Budget'!$G59+SUM($G202:CO202))/ROUND(((EOMONTH('Construction Budget'!$M59,0)-EOMONTH(CP$11,0))/30)+1,0),0)</f>
        <v>0</v>
      </c>
      <c r="CQ202" s="427">
        <f>-IF(AND(CQ$11&gt;=EOMONTH('Construction Budget'!$K59,0),CQ$11&lt;=EOMONTH('Construction Budget'!$M59,0)),('Construction Budget'!$G59+SUM($G202:CP202))/ROUND(((EOMONTH('Construction Budget'!$M59,0)-EOMONTH(CQ$11,0))/30)+1,0),0)</f>
        <v>0</v>
      </c>
      <c r="CR202" s="427">
        <f>-IF(AND(CR$11&gt;=EOMONTH('Construction Budget'!$K59,0),CR$11&lt;=EOMONTH('Construction Budget'!$M59,0)),('Construction Budget'!$G59+SUM($G202:CQ202))/ROUND(((EOMONTH('Construction Budget'!$M59,0)-EOMONTH(CR$11,0))/30)+1,0),0)</f>
        <v>0</v>
      </c>
      <c r="CS202" s="427">
        <f>-IF(AND(CS$11&gt;=EOMONTH('Construction Budget'!$K59,0),CS$11&lt;=EOMONTH('Construction Budget'!$M59,0)),('Construction Budget'!$G59+SUM($G202:CR202))/ROUND(((EOMONTH('Construction Budget'!$M59,0)-EOMONTH(CS$11,0))/30)+1,0),0)</f>
        <v>0</v>
      </c>
      <c r="CT202" s="427">
        <f>-IF(AND(CT$11&gt;=EOMONTH('Construction Budget'!$K59,0),CT$11&lt;=EOMONTH('Construction Budget'!$M59,0)),('Construction Budget'!$G59+SUM($G202:CS202))/ROUND(((EOMONTH('Construction Budget'!$M59,0)-EOMONTH(CT$11,0))/30)+1,0),0)</f>
        <v>0</v>
      </c>
      <c r="CU202" s="427">
        <f>-IF(AND(CU$11&gt;=EOMONTH('Construction Budget'!$K59,0),CU$11&lt;=EOMONTH('Construction Budget'!$M59,0)),('Construction Budget'!$G59+SUM($G202:CT202))/ROUND(((EOMONTH('Construction Budget'!$M59,0)-EOMONTH(CU$11,0))/30)+1,0),0)</f>
        <v>0</v>
      </c>
      <c r="CV202" s="427">
        <f>-IF(AND(CV$11&gt;=EOMONTH('Construction Budget'!$K59,0),CV$11&lt;=EOMONTH('Construction Budget'!$M59,0)),('Construction Budget'!$G59+SUM($G202:CU202))/ROUND(((EOMONTH('Construction Budget'!$M59,0)-EOMONTH(CV$11,0))/30)+1,0),0)</f>
        <v>0</v>
      </c>
      <c r="CW202" s="427">
        <f>-IF(AND(CW$11&gt;=EOMONTH('Construction Budget'!$K59,0),CW$11&lt;=EOMONTH('Construction Budget'!$M59,0)),('Construction Budget'!$G59+SUM($G202:CV202))/ROUND(((EOMONTH('Construction Budget'!$M59,0)-EOMONTH(CW$11,0))/30)+1,0),0)</f>
        <v>0</v>
      </c>
      <c r="CX202" s="427">
        <f>-IF(AND(CX$11&gt;=EOMONTH('Construction Budget'!$K59,0),CX$11&lt;=EOMONTH('Construction Budget'!$M59,0)),('Construction Budget'!$G59+SUM($G202:CW202))/ROUND(((EOMONTH('Construction Budget'!$M59,0)-EOMONTH(CX$11,0))/30)+1,0),0)</f>
        <v>0</v>
      </c>
      <c r="CY202" s="427">
        <f>-IF(AND(CY$11&gt;=EOMONTH('Construction Budget'!$K59,0),CY$11&lt;=EOMONTH('Construction Budget'!$M59,0)),('Construction Budget'!$G59+SUM($G202:CX202))/ROUND(((EOMONTH('Construction Budget'!$M59,0)-EOMONTH(CY$11,0))/30)+1,0),0)</f>
        <v>0</v>
      </c>
      <c r="CZ202" s="427">
        <f>-IF(AND(CZ$11&gt;=EOMONTH('Construction Budget'!$K59,0),CZ$11&lt;=EOMONTH('Construction Budget'!$M59,0)),('Construction Budget'!$G59+SUM($G202:CY202))/ROUND(((EOMONTH('Construction Budget'!$M59,0)-EOMONTH(CZ$11,0))/30)+1,0),0)</f>
        <v>0</v>
      </c>
      <c r="DA202" s="427">
        <f>-IF(AND(DA$11&gt;=EOMONTH('Construction Budget'!$K59,0),DA$11&lt;=EOMONTH('Construction Budget'!$M59,0)),('Construction Budget'!$G59+SUM($G202:CZ202))/ROUND(((EOMONTH('Construction Budget'!$M59,0)-EOMONTH(DA$11,0))/30)+1,0),0)</f>
        <v>0</v>
      </c>
      <c r="DB202" s="427">
        <f>-IF(AND(DB$11&gt;=EOMONTH('Construction Budget'!$K59,0),DB$11&lt;=EOMONTH('Construction Budget'!$M59,0)),('Construction Budget'!$G59+SUM($G202:DA202))/ROUND(((EOMONTH('Construction Budget'!$M59,0)-EOMONTH(DB$11,0))/30)+1,0),0)</f>
        <v>0</v>
      </c>
      <c r="DC202" s="427">
        <f>-IF(AND(DC$11&gt;=EOMONTH('Construction Budget'!$K59,0),DC$11&lt;=EOMONTH('Construction Budget'!$M59,0)),('Construction Budget'!$G59+SUM($G202:DB202))/ROUND(((EOMONTH('Construction Budget'!$M59,0)-EOMONTH(DC$11,0))/30)+1,0),0)</f>
        <v>0</v>
      </c>
      <c r="DD202" s="427">
        <f>-IF(AND(DD$11&gt;=EOMONTH('Construction Budget'!$K59,0),DD$11&lt;=EOMONTH('Construction Budget'!$M59,0)),('Construction Budget'!$G59+SUM($G202:DC202))/ROUND(((EOMONTH('Construction Budget'!$M59,0)-EOMONTH(DD$11,0))/30)+1,0),0)</f>
        <v>0</v>
      </c>
      <c r="DE202" s="427">
        <f>-IF(AND(DE$11&gt;=EOMONTH('Construction Budget'!$K59,0),DE$11&lt;=EOMONTH('Construction Budget'!$M59,0)),('Construction Budget'!$G59+SUM($G202:DD202))/ROUND(((EOMONTH('Construction Budget'!$M59,0)-EOMONTH(DE$11,0))/30)+1,0),0)</f>
        <v>0</v>
      </c>
      <c r="DF202" s="427">
        <f>-IF(AND(DF$11&gt;=EOMONTH('Construction Budget'!$K59,0),DF$11&lt;=EOMONTH('Construction Budget'!$M59,0)),('Construction Budget'!$G59+SUM($G202:DE202))/ROUND(((EOMONTH('Construction Budget'!$M59,0)-EOMONTH(DF$11,0))/30)+1,0),0)</f>
        <v>0</v>
      </c>
      <c r="DG202" s="427">
        <f>-IF(AND(DG$11&gt;=EOMONTH('Construction Budget'!$K59,0),DG$11&lt;=EOMONTH('Construction Budget'!$M59,0)),('Construction Budget'!$G59+SUM($G202:DF202))/ROUND(((EOMONTH('Construction Budget'!$M59,0)-EOMONTH(DG$11,0))/30)+1,0),0)</f>
        <v>0</v>
      </c>
      <c r="DH202" s="427">
        <f>-IF(AND(DH$11&gt;=EOMONTH('Construction Budget'!$K59,0),DH$11&lt;=EOMONTH('Construction Budget'!$M59,0)),('Construction Budget'!$G59+SUM($G202:DG202))/ROUND(((EOMONTH('Construction Budget'!$M59,0)-EOMONTH(DH$11,0))/30)+1,0),0)</f>
        <v>0</v>
      </c>
      <c r="DI202" s="427">
        <f>-IF(AND(DI$11&gt;=EOMONTH('Construction Budget'!$K59,0),DI$11&lt;=EOMONTH('Construction Budget'!$M59,0)),('Construction Budget'!$G59+SUM($G202:DH202))/ROUND(((EOMONTH('Construction Budget'!$M59,0)-EOMONTH(DI$11,0))/30)+1,0),0)</f>
        <v>0</v>
      </c>
      <c r="DJ202" s="427">
        <f>-IF(AND(DJ$11&gt;=EOMONTH('Construction Budget'!$K59,0),DJ$11&lt;=EOMONTH('Construction Budget'!$M59,0)),('Construction Budget'!$G59+SUM($G202:DI202))/ROUND(((EOMONTH('Construction Budget'!$M59,0)-EOMONTH(DJ$11,0))/30)+1,0),0)</f>
        <v>0</v>
      </c>
      <c r="DK202" s="427">
        <f>-IF(AND(DK$11&gt;=EOMONTH('Construction Budget'!$K59,0),DK$11&lt;=EOMONTH('Construction Budget'!$M59,0)),('Construction Budget'!$G59+SUM($G202:DJ202))/ROUND(((EOMONTH('Construction Budget'!$M59,0)-EOMONTH(DK$11,0))/30)+1,0),0)</f>
        <v>0</v>
      </c>
      <c r="DL202" s="427">
        <f>-IF(AND(DL$11&gt;=EOMONTH('Construction Budget'!$K59,0),DL$11&lt;=EOMONTH('Construction Budget'!$M59,0)),('Construction Budget'!$G59+SUM($G202:DK202))/ROUND(((EOMONTH('Construction Budget'!$M59,0)-EOMONTH(DL$11,0))/30)+1,0),0)</f>
        <v>0</v>
      </c>
      <c r="DM202" s="427">
        <f>-IF(AND(DM$11&gt;=EOMONTH('Construction Budget'!$K59,0),DM$11&lt;=EOMONTH('Construction Budget'!$M59,0)),('Construction Budget'!$G59+SUM($G202:DL202))/ROUND(((EOMONTH('Construction Budget'!$M59,0)-EOMONTH(DM$11,0))/30)+1,0),0)</f>
        <v>0</v>
      </c>
      <c r="DN202" s="427">
        <f>-IF(AND(DN$11&gt;=EOMONTH('Construction Budget'!$K59,0),DN$11&lt;=EOMONTH('Construction Budget'!$M59,0)),('Construction Budget'!$G59+SUM($G202:DM202))/ROUND(((EOMONTH('Construction Budget'!$M59,0)-EOMONTH(DN$11,0))/30)+1,0),0)</f>
        <v>0</v>
      </c>
      <c r="DO202" s="427">
        <f>-IF(AND(DO$11&gt;=EOMONTH('Construction Budget'!$K59,0),DO$11&lt;=EOMONTH('Construction Budget'!$M59,0)),('Construction Budget'!$G59+SUM($G202:DN202))/ROUND(((EOMONTH('Construction Budget'!$M59,0)-EOMONTH(DO$11,0))/30)+1,0),0)</f>
        <v>0</v>
      </c>
      <c r="DP202" s="427">
        <f>-IF(AND(DP$11&gt;=EOMONTH('Construction Budget'!$K59,0),DP$11&lt;=EOMONTH('Construction Budget'!$M59,0)),('Construction Budget'!$G59+SUM($G202:DO202))/ROUND(((EOMONTH('Construction Budget'!$M59,0)-EOMONTH(DP$11,0))/30)+1,0),0)</f>
        <v>0</v>
      </c>
      <c r="DQ202" s="427">
        <f>-IF(AND(DQ$11&gt;=EOMONTH('Construction Budget'!$K59,0),DQ$11&lt;=EOMONTH('Construction Budget'!$M59,0)),('Construction Budget'!$G59+SUM($G202:DP202))/ROUND(((EOMONTH('Construction Budget'!$M59,0)-EOMONTH(DQ$11,0))/30)+1,0),0)</f>
        <v>0</v>
      </c>
      <c r="DR202" s="427">
        <f>-IF(AND(DR$11&gt;=EOMONTH('Construction Budget'!$K59,0),DR$11&lt;=EOMONTH('Construction Budget'!$M59,0)),('Construction Budget'!$G59+SUM($G202:DQ202))/ROUND(((EOMONTH('Construction Budget'!$M59,0)-EOMONTH(DR$11,0))/30)+1,0),0)</f>
        <v>0</v>
      </c>
      <c r="DS202" s="427">
        <f>-IF(AND(DS$11&gt;=EOMONTH('Construction Budget'!$K59,0),DS$11&lt;=EOMONTH('Construction Budget'!$M59,0)),('Construction Budget'!$G59+SUM($G202:DR202))/ROUND(((EOMONTH('Construction Budget'!$M59,0)-EOMONTH(DS$11,0))/30)+1,0),0)</f>
        <v>0</v>
      </c>
      <c r="DT202" s="427">
        <f>-IF(AND(DT$11&gt;=EOMONTH('Construction Budget'!$K59,0),DT$11&lt;=EOMONTH('Construction Budget'!$M59,0)),('Construction Budget'!$G59+SUM($G202:DS202))/ROUND(((EOMONTH('Construction Budget'!$M59,0)-EOMONTH(DT$11,0))/30)+1,0),0)</f>
        <v>0</v>
      </c>
      <c r="DU202" s="427">
        <f>-IF(AND(DU$11&gt;=EOMONTH('Construction Budget'!$K59,0),DU$11&lt;=EOMONTH('Construction Budget'!$M59,0)),('Construction Budget'!$G59+SUM($G202:DT202))/ROUND(((EOMONTH('Construction Budget'!$M59,0)-EOMONTH(DU$11,0))/30)+1,0),0)</f>
        <v>0</v>
      </c>
      <c r="DV202" s="427">
        <f>-IF(AND(DV$11&gt;=EOMONTH('Construction Budget'!$K59,0),DV$11&lt;=EOMONTH('Construction Budget'!$M59,0)),('Construction Budget'!$G59+SUM($G202:DU202))/ROUND(((EOMONTH('Construction Budget'!$M59,0)-EOMONTH(DV$11,0))/30)+1,0),0)</f>
        <v>0</v>
      </c>
      <c r="DW202" s="427">
        <f>-IF(AND(DW$11&gt;=EOMONTH('Construction Budget'!$K59,0),DW$11&lt;=EOMONTH('Construction Budget'!$M59,0)),('Construction Budget'!$G59+SUM($G202:DV202))/ROUND(((EOMONTH('Construction Budget'!$M59,0)-EOMONTH(DW$11,0))/30)+1,0),0)</f>
        <v>0</v>
      </c>
      <c r="DX202" s="427">
        <f>-IF(AND(DX$11&gt;=EOMONTH('Construction Budget'!$K59,0),DX$11&lt;=EOMONTH('Construction Budget'!$M59,0)),('Construction Budget'!$G59+SUM($G202:DW202))/ROUND(((EOMONTH('Construction Budget'!$M59,0)-EOMONTH(DX$11,0))/30)+1,0),0)</f>
        <v>0</v>
      </c>
      <c r="DY202" s="427">
        <f>-IF(AND(DY$11&gt;=EOMONTH('Construction Budget'!$K59,0),DY$11&lt;=EOMONTH('Construction Budget'!$M59,0)),('Construction Budget'!$G59+SUM($G202:DX202))/ROUND(((EOMONTH('Construction Budget'!$M59,0)-EOMONTH(DY$11,0))/30)+1,0),0)</f>
        <v>0</v>
      </c>
      <c r="DZ202" s="427">
        <f>-IF(AND(DZ$11&gt;=EOMONTH('Construction Budget'!$K59,0),DZ$11&lt;=EOMONTH('Construction Budget'!$M59,0)),('Construction Budget'!$G59+SUM($G202:DY202))/ROUND(((EOMONTH('Construction Budget'!$M59,0)-EOMONTH(DZ$11,0))/30)+1,0),0)</f>
        <v>0</v>
      </c>
      <c r="EA202" s="427">
        <f>-IF(AND(EA$11&gt;=EOMONTH('Construction Budget'!$K59,0),EA$11&lt;=EOMONTH('Construction Budget'!$M59,0)),('Construction Budget'!$G59+SUM($G202:DZ202))/ROUND(((EOMONTH('Construction Budget'!$M59,0)-EOMONTH(EA$11,0))/30)+1,0),0)</f>
        <v>0</v>
      </c>
      <c r="EB202" s="427">
        <f>-IF(AND(EB$11&gt;=EOMONTH('Construction Budget'!$K59,0),EB$11&lt;=EOMONTH('Construction Budget'!$M59,0)),('Construction Budget'!$G59+SUM($G202:EA202))/ROUND(((EOMONTH('Construction Budget'!$M59,0)-EOMONTH(EB$11,0))/30)+1,0),0)</f>
        <v>0</v>
      </c>
      <c r="EC202" s="427">
        <f>-IF(AND(EC$11&gt;=EOMONTH('Construction Budget'!$K59,0),EC$11&lt;=EOMONTH('Construction Budget'!$M59,0)),('Construction Budget'!$G59+SUM($G202:EB202))/ROUND(((EOMONTH('Construction Budget'!$M59,0)-EOMONTH(EC$11,0))/30)+1,0),0)</f>
        <v>0</v>
      </c>
      <c r="ED202" s="427">
        <f>-IF(AND(ED$11&gt;=EOMONTH('Construction Budget'!$K59,0),ED$11&lt;=EOMONTH('Construction Budget'!$M59,0)),('Construction Budget'!$G59+SUM($G202:EC202))/ROUND(((EOMONTH('Construction Budget'!$M59,0)-EOMONTH(ED$11,0))/30)+1,0),0)</f>
        <v>0</v>
      </c>
      <c r="EE202" s="427">
        <f>-IF(AND(EE$11&gt;=EOMONTH('Construction Budget'!$K59,0),EE$11&lt;=EOMONTH('Construction Budget'!$M59,0)),('Construction Budget'!$G59+SUM($G202:ED202))/ROUND(((EOMONTH('Construction Budget'!$M59,0)-EOMONTH(EE$11,0))/30)+1,0),0)</f>
        <v>0</v>
      </c>
      <c r="EF202" s="427">
        <f>-IF(AND(EF$11&gt;=EOMONTH('Construction Budget'!$K59,0),EF$11&lt;=EOMONTH('Construction Budget'!$M59,0)),('Construction Budget'!$G59+SUM($G202:EE202))/ROUND(((EOMONTH('Construction Budget'!$M59,0)-EOMONTH(EF$11,0))/30)+1,0),0)</f>
        <v>0</v>
      </c>
      <c r="EG202" s="427">
        <f>-IF(AND(EG$11&gt;=EOMONTH('Construction Budget'!$K59,0),EG$11&lt;=EOMONTH('Construction Budget'!$M59,0)),('Construction Budget'!$G59+SUM($G202:EF202))/ROUND(((EOMONTH('Construction Budget'!$M59,0)-EOMONTH(EG$11,0))/30)+1,0),0)</f>
        <v>0</v>
      </c>
      <c r="EH202" s="427">
        <f>-IF(AND(EH$11&gt;=EOMONTH('Construction Budget'!$K59,0),EH$11&lt;=EOMONTH('Construction Budget'!$M59,0)),('Construction Budget'!$G59+SUM($G202:EG202))/ROUND(((EOMONTH('Construction Budget'!$M59,0)-EOMONTH(EH$11,0))/30)+1,0),0)</f>
        <v>0</v>
      </c>
      <c r="EI202" s="427">
        <f>-IF(AND(EI$11&gt;=EOMONTH('Construction Budget'!$K59,0),EI$11&lt;=EOMONTH('Construction Budget'!$M59,0)),('Construction Budget'!$G59+SUM($G202:EH202))/ROUND(((EOMONTH('Construction Budget'!$M59,0)-EOMONTH(EI$11,0))/30)+1,0),0)</f>
        <v>0</v>
      </c>
      <c r="EJ202" s="427">
        <f>-IF(AND(EJ$11&gt;=EOMONTH('Construction Budget'!$K59,0),EJ$11&lt;=EOMONTH('Construction Budget'!$M59,0)),('Construction Budget'!$G59+SUM($G202:EI202))/ROUND(((EOMONTH('Construction Budget'!$M59,0)-EOMONTH(EJ$11,0))/30)+1,0),0)</f>
        <v>0</v>
      </c>
      <c r="EK202" s="427">
        <f>-IF(AND(EK$11&gt;=EOMONTH('Construction Budget'!$K59,0),EK$11&lt;=EOMONTH('Construction Budget'!$M59,0)),('Construction Budget'!$G59+SUM($G202:EJ202))/ROUND(((EOMONTH('Construction Budget'!$M59,0)-EOMONTH(EK$11,0))/30)+1,0),0)</f>
        <v>0</v>
      </c>
      <c r="EL202" s="427">
        <f>-IF(AND(EL$11&gt;=EOMONTH('Construction Budget'!$K59,0),EL$11&lt;=EOMONTH('Construction Budget'!$M59,0)),('Construction Budget'!$G59+SUM($G202:EK202))/ROUND(((EOMONTH('Construction Budget'!$M59,0)-EOMONTH(EL$11,0))/30)+1,0),0)</f>
        <v>0</v>
      </c>
      <c r="EM202" s="427">
        <f>-IF(AND(EM$11&gt;=EOMONTH('Construction Budget'!$K59,0),EM$11&lt;=EOMONTH('Construction Budget'!$M59,0)),('Construction Budget'!$G59+SUM($G202:EL202))/ROUND(((EOMONTH('Construction Budget'!$M59,0)-EOMONTH(EM$11,0))/30)+1,0),0)</f>
        <v>0</v>
      </c>
      <c r="EN202" s="427">
        <f>-IF(AND(EN$11&gt;=EOMONTH('Construction Budget'!$K59,0),EN$11&lt;=EOMONTH('Construction Budget'!$M59,0)),('Construction Budget'!$G59+SUM($G202:EM202))/ROUND(((EOMONTH('Construction Budget'!$M59,0)-EOMONTH(EN$11,0))/30)+1,0),0)</f>
        <v>0</v>
      </c>
      <c r="EO202" s="427">
        <f>-IF(AND(EO$11&gt;=EOMONTH('Construction Budget'!$K59,0),EO$11&lt;=EOMONTH('Construction Budget'!$M59,0)),('Construction Budget'!$G59+SUM($G202:EN202))/ROUND(((EOMONTH('Construction Budget'!$M59,0)-EOMONTH(EO$11,0))/30)+1,0),0)</f>
        <v>0</v>
      </c>
      <c r="EP202" s="427">
        <f>-IF(AND(EP$11&gt;=EOMONTH('Construction Budget'!$K59,0),EP$11&lt;=EOMONTH('Construction Budget'!$M59,0)),('Construction Budget'!$G59+SUM($G202:EO202))/ROUND(((EOMONTH('Construction Budget'!$M59,0)-EOMONTH(EP$11,0))/30)+1,0),0)</f>
        <v>0</v>
      </c>
      <c r="EQ202" s="427">
        <f>-IF(AND(EQ$11&gt;=EOMONTH('Construction Budget'!$K59,0),EQ$11&lt;=EOMONTH('Construction Budget'!$M59,0)),('Construction Budget'!$G59+SUM($G202:EP202))/ROUND(((EOMONTH('Construction Budget'!$M59,0)-EOMONTH(EQ$11,0))/30)+1,0),0)</f>
        <v>0</v>
      </c>
      <c r="ER202" s="427">
        <f>-IF(AND(ER$11&gt;=EOMONTH('Construction Budget'!$K59,0),ER$11&lt;=EOMONTH('Construction Budget'!$M59,0)),('Construction Budget'!$G59+SUM($G202:EQ202))/ROUND(((EOMONTH('Construction Budget'!$M59,0)-EOMONTH(ER$11,0))/30)+1,0),0)</f>
        <v>0</v>
      </c>
      <c r="ES202" s="427">
        <f>-IF(AND(ES$11&gt;=EOMONTH('Construction Budget'!$K59,0),ES$11&lt;=EOMONTH('Construction Budget'!$M59,0)),('Construction Budget'!$G59+SUM($G202:ER202))/ROUND(((EOMONTH('Construction Budget'!$M59,0)-EOMONTH(ES$11,0))/30)+1,0),0)</f>
        <v>0</v>
      </c>
      <c r="ET202" s="427">
        <f>-IF(AND(ET$11&gt;=EOMONTH('Construction Budget'!$K59,0),ET$11&lt;=EOMONTH('Construction Budget'!$M59,0)),('Construction Budget'!$G59+SUM($G202:ES202))/ROUND(((EOMONTH('Construction Budget'!$M59,0)-EOMONTH(ET$11,0))/30)+1,0),0)</f>
        <v>0</v>
      </c>
      <c r="EU202" s="427">
        <f>-IF(AND(EU$11&gt;=EOMONTH('Construction Budget'!$K59,0),EU$11&lt;=EOMONTH('Construction Budget'!$M59,0)),('Construction Budget'!$G59+SUM($G202:ET202))/ROUND(((EOMONTH('Construction Budget'!$M59,0)-EOMONTH(EU$11,0))/30)+1,0),0)</f>
        <v>0</v>
      </c>
      <c r="EV202" s="427">
        <f>-IF(AND(EV$11&gt;=EOMONTH('Construction Budget'!$K59,0),EV$11&lt;=EOMONTH('Construction Budget'!$M59,0)),('Construction Budget'!$G59+SUM($G202:EU202))/ROUND(((EOMONTH('Construction Budget'!$M59,0)-EOMONTH(EV$11,0))/30)+1,0),0)</f>
        <v>0</v>
      </c>
      <c r="EW202" s="427">
        <f>-IF(AND(EW$11&gt;=EOMONTH('Construction Budget'!$K59,0),EW$11&lt;=EOMONTH('Construction Budget'!$M59,0)),('Construction Budget'!$G59+SUM($G202:EV202))/ROUND(((EOMONTH('Construction Budget'!$M59,0)-EOMONTH(EW$11,0))/30)+1,0),0)</f>
        <v>0</v>
      </c>
      <c r="EX202" s="427">
        <f>-IF(AND(EX$11&gt;=EOMONTH('Construction Budget'!$K59,0),EX$11&lt;=EOMONTH('Construction Budget'!$M59,0)),('Construction Budget'!$G59+SUM($G202:EW202))/ROUND(((EOMONTH('Construction Budget'!$M59,0)-EOMONTH(EX$11,0))/30)+1,0),0)</f>
        <v>0</v>
      </c>
      <c r="EY202" s="427">
        <f>-IF(AND(EY$11&gt;=EOMONTH('Construction Budget'!$K59,0),EY$11&lt;=EOMONTH('Construction Budget'!$M59,0)),('Construction Budget'!$G59+SUM($G202:EX202))/ROUND(((EOMONTH('Construction Budget'!$M59,0)-EOMONTH(EY$11,0))/30)+1,0),0)</f>
        <v>0</v>
      </c>
      <c r="EZ202" s="427">
        <f>-IF(AND(EZ$11&gt;=EOMONTH('Construction Budget'!$K59,0),EZ$11&lt;=EOMONTH('Construction Budget'!$M59,0)),('Construction Budget'!$G59+SUM($G202:EY202))/ROUND(((EOMONTH('Construction Budget'!$M59,0)-EOMONTH(EZ$11,0))/30)+1,0),0)</f>
        <v>0</v>
      </c>
      <c r="FA202" s="427">
        <f>-IF(AND(FA$11&gt;=EOMONTH('Construction Budget'!$K59,0),FA$11&lt;=EOMONTH('Construction Budget'!$M59,0)),('Construction Budget'!$G59+SUM($G202:EZ202))/ROUND(((EOMONTH('Construction Budget'!$M59,0)-EOMONTH(FA$11,0))/30)+1,0),0)</f>
        <v>0</v>
      </c>
      <c r="FB202" s="427">
        <f>-IF(AND(FB$11&gt;=EOMONTH('Construction Budget'!$K59,0),FB$11&lt;=EOMONTH('Construction Budget'!$M59,0)),('Construction Budget'!$G59+SUM($G202:FA202))/ROUND(((EOMONTH('Construction Budget'!$M59,0)-EOMONTH(FB$11,0))/30)+1,0),0)</f>
        <v>0</v>
      </c>
      <c r="FC202" s="427">
        <f>-IF(AND(FC$11&gt;=EOMONTH('Construction Budget'!$K59,0),FC$11&lt;=EOMONTH('Construction Budget'!$M59,0)),('Construction Budget'!$G59+SUM($G202:FB202))/ROUND(((EOMONTH('Construction Budget'!$M59,0)-EOMONTH(FC$11,0))/30)+1,0),0)</f>
        <v>0</v>
      </c>
      <c r="FD202" s="427">
        <f>-IF(AND(FD$11&gt;=EOMONTH('Construction Budget'!$K59,0),FD$11&lt;=EOMONTH('Construction Budget'!$M59,0)),('Construction Budget'!$G59+SUM($G202:FC202))/ROUND(((EOMONTH('Construction Budget'!$M59,0)-EOMONTH(FD$11,0))/30)+1,0),0)</f>
        <v>0</v>
      </c>
      <c r="FE202" s="427">
        <f>-IF(AND(FE$11&gt;=EOMONTH('Construction Budget'!$K59,0),FE$11&lt;=EOMONTH('Construction Budget'!$M59,0)),('Construction Budget'!$G59+SUM($G202:FD202))/ROUND(((EOMONTH('Construction Budget'!$M59,0)-EOMONTH(FE$11,0))/30)+1,0),0)</f>
        <v>0</v>
      </c>
      <c r="FF202" s="427">
        <f>-IF(AND(FF$11&gt;=EOMONTH('Construction Budget'!$K59,0),FF$11&lt;=EOMONTH('Construction Budget'!$M59,0)),('Construction Budget'!$G59+SUM($G202:FE202))/ROUND(((EOMONTH('Construction Budget'!$M59,0)-EOMONTH(FF$11,0))/30)+1,0),0)</f>
        <v>0</v>
      </c>
      <c r="FG202" s="427">
        <f>-IF(AND(FG$11&gt;=EOMONTH('Construction Budget'!$K59,0),FG$11&lt;=EOMONTH('Construction Budget'!$M59,0)),('Construction Budget'!$G59+SUM($G202:FF202))/ROUND(((EOMONTH('Construction Budget'!$M59,0)-EOMONTH(FG$11,0))/30)+1,0),0)</f>
        <v>0</v>
      </c>
      <c r="FH202" s="427">
        <f>-IF(AND(FH$11&gt;=EOMONTH('Construction Budget'!$K59,0),FH$11&lt;=EOMONTH('Construction Budget'!$M59,0)),('Construction Budget'!$G59+SUM($G202:FG202))/ROUND(((EOMONTH('Construction Budget'!$M59,0)-EOMONTH(FH$11,0))/30)+1,0),0)</f>
        <v>0</v>
      </c>
      <c r="FI202" s="427">
        <f>-IF(AND(FI$11&gt;=EOMONTH('Construction Budget'!$K59,0),FI$11&lt;=EOMONTH('Construction Budget'!$M59,0)),('Construction Budget'!$G59+SUM($G202:FH202))/ROUND(((EOMONTH('Construction Budget'!$M59,0)-EOMONTH(FI$11,0))/30)+1,0),0)</f>
        <v>0</v>
      </c>
      <c r="FJ202" s="427">
        <f>-IF(AND(FJ$11&gt;=EOMONTH('Construction Budget'!$K59,0),FJ$11&lt;=EOMONTH('Construction Budget'!$M59,0)),('Construction Budget'!$G59+SUM($G202:FI202))/ROUND(((EOMONTH('Construction Budget'!$M59,0)-EOMONTH(FJ$11,0))/30)+1,0),0)</f>
        <v>0</v>
      </c>
      <c r="FK202" s="427">
        <f>-IF(AND(FK$11&gt;=EOMONTH('Construction Budget'!$K59,0),FK$11&lt;=EOMONTH('Construction Budget'!$M59,0)),('Construction Budget'!$G59+SUM($G202:FJ202))/ROUND(((EOMONTH('Construction Budget'!$M59,0)-EOMONTH(FK$11,0))/30)+1,0),0)</f>
        <v>0</v>
      </c>
      <c r="FL202" s="427">
        <f>-IF(AND(FL$11&gt;=EOMONTH('Construction Budget'!$K59,0),FL$11&lt;=EOMONTH('Construction Budget'!$M59,0)),('Construction Budget'!$G59+SUM($G202:FK202))/ROUND(((EOMONTH('Construction Budget'!$M59,0)-EOMONTH(FL$11,0))/30)+1,0),0)</f>
        <v>0</v>
      </c>
      <c r="FM202" s="427">
        <f>-IF(AND(FM$11&gt;=EOMONTH('Construction Budget'!$K59,0),FM$11&lt;=EOMONTH('Construction Budget'!$M59,0)),('Construction Budget'!$G59+SUM($G202:FL202))/ROUND(((EOMONTH('Construction Budget'!$M59,0)-EOMONTH(FM$11,0))/30)+1,0),0)</f>
        <v>0</v>
      </c>
      <c r="FN202" s="427">
        <f>-IF(AND(FN$11&gt;=EOMONTH('Construction Budget'!$K59,0),FN$11&lt;=EOMONTH('Construction Budget'!$M59,0)),('Construction Budget'!$G59+SUM($G202:FM202))/ROUND(((EOMONTH('Construction Budget'!$M59,0)-EOMONTH(FN$11,0))/30)+1,0),0)</f>
        <v>0</v>
      </c>
      <c r="FO202" s="427">
        <f>-IF(AND(FO$11&gt;=EOMONTH('Construction Budget'!$K59,0),FO$11&lt;=EOMONTH('Construction Budget'!$M59,0)),('Construction Budget'!$G59+SUM($G202:FN202))/ROUND(((EOMONTH('Construction Budget'!$M59,0)-EOMONTH(FO$11,0))/30)+1,0),0)</f>
        <v>0</v>
      </c>
      <c r="FP202" s="427">
        <f>-IF(AND(FP$11&gt;=EOMONTH('Construction Budget'!$K59,0),FP$11&lt;=EOMONTH('Construction Budget'!$M59,0)),('Construction Budget'!$G59+SUM($G202:FO202))/ROUND(((EOMONTH('Construction Budget'!$M59,0)-EOMONTH(FP$11,0))/30)+1,0),0)</f>
        <v>0</v>
      </c>
      <c r="FQ202" s="427">
        <f>-IF(AND(FQ$11&gt;=EOMONTH('Construction Budget'!$K59,0),FQ$11&lt;=EOMONTH('Construction Budget'!$M59,0)),('Construction Budget'!$G59+SUM($G202:FP202))/ROUND(((EOMONTH('Construction Budget'!$M59,0)-EOMONTH(FQ$11,0))/30)+1,0),0)</f>
        <v>0</v>
      </c>
      <c r="FR202" s="427">
        <f>-IF(AND(FR$11&gt;=EOMONTH('Construction Budget'!$K59,0),FR$11&lt;=EOMONTH('Construction Budget'!$M59,0)),('Construction Budget'!$G59+SUM($G202:FQ202))/ROUND(((EOMONTH('Construction Budget'!$M59,0)-EOMONTH(FR$11,0))/30)+1,0),0)</f>
        <v>0</v>
      </c>
      <c r="FS202" s="427">
        <f>-IF(AND(FS$11&gt;=EOMONTH('Construction Budget'!$K59,0),FS$11&lt;=EOMONTH('Construction Budget'!$M59,0)),('Construction Budget'!$G59+SUM($G202:FR202))/ROUND(((EOMONTH('Construction Budget'!$M59,0)-EOMONTH(FS$11,0))/30)+1,0),0)</f>
        <v>0</v>
      </c>
      <c r="FT202" s="427">
        <f>-IF(AND(FT$11&gt;=EOMONTH('Construction Budget'!$K59,0),FT$11&lt;=EOMONTH('Construction Budget'!$M59,0)),('Construction Budget'!$G59+SUM($G202:FS202))/ROUND(((EOMONTH('Construction Budget'!$M59,0)-EOMONTH(FT$11,0))/30)+1,0),0)</f>
        <v>0</v>
      </c>
      <c r="FU202" s="43"/>
      <c r="FV202" s="34"/>
      <c r="FW202" s="34"/>
      <c r="FX202" s="34"/>
      <c r="FY202" s="34"/>
      <c r="FZ202" s="34"/>
    </row>
    <row r="203" spans="1:182" s="89" customFormat="1" ht="13.5" hidden="1" outlineLevel="1" x14ac:dyDescent="0.25">
      <c r="A203" s="498"/>
      <c r="B203" s="43" t="str">
        <f>'Construction Budget'!B60</f>
        <v>Blank</v>
      </c>
      <c r="C203" s="34"/>
      <c r="D203" s="34"/>
      <c r="E203" s="34"/>
      <c r="F203" s="434">
        <f t="shared" si="236"/>
        <v>0</v>
      </c>
      <c r="G203" s="34"/>
      <c r="H203" s="427">
        <f>-IF(AND(H$11&gt;=EOMONTH('Construction Budget'!$K60,0),H$11&lt;=EOMONTH('Construction Budget'!$M60,0)),('Construction Budget'!$G60+SUM($G203:G203))/ROUND(((EOMONTH('Construction Budget'!$M60,0)-EOMONTH(H$11,0))/30)+1,0),0)</f>
        <v>0</v>
      </c>
      <c r="I203" s="427">
        <f>-IF(AND(I$11&gt;=EOMONTH('Construction Budget'!$K60,0),I$11&lt;=EOMONTH('Construction Budget'!$M60,0)),('Construction Budget'!$G60+SUM($G203:H203))/ROUND(((EOMONTH('Construction Budget'!$M60,0)-EOMONTH(I$11,0))/30)+1,0),0)</f>
        <v>0</v>
      </c>
      <c r="J203" s="427">
        <f>-IF(AND(J$11&gt;=EOMONTH('Construction Budget'!$K60,0),J$11&lt;=EOMONTH('Construction Budget'!$M60,0)),('Construction Budget'!$G60+SUM($G203:I203))/ROUND(((EOMONTH('Construction Budget'!$M60,0)-EOMONTH(J$11,0))/30)+1,0),0)</f>
        <v>0</v>
      </c>
      <c r="K203" s="427">
        <f>-IF(AND(K$11&gt;=EOMONTH('Construction Budget'!$K60,0),K$11&lt;=EOMONTH('Construction Budget'!$M60,0)),('Construction Budget'!$G60+SUM($G203:J203))/ROUND(((EOMONTH('Construction Budget'!$M60,0)-EOMONTH(K$11,0))/30)+1,0),0)</f>
        <v>0</v>
      </c>
      <c r="L203" s="427">
        <f>-IF(AND(L$11&gt;=EOMONTH('Construction Budget'!$K60,0),L$11&lt;=EOMONTH('Construction Budget'!$M60,0)),('Construction Budget'!$G60+SUM($G203:K203))/ROUND(((EOMONTH('Construction Budget'!$M60,0)-EOMONTH(L$11,0))/30)+1,0),0)</f>
        <v>0</v>
      </c>
      <c r="M203" s="427">
        <f>-IF(AND(M$11&gt;=EOMONTH('Construction Budget'!$K60,0),M$11&lt;=EOMONTH('Construction Budget'!$M60,0)),('Construction Budget'!$G60+SUM($G203:L203))/ROUND(((EOMONTH('Construction Budget'!$M60,0)-EOMONTH(M$11,0))/30)+1,0),0)</f>
        <v>0</v>
      </c>
      <c r="N203" s="427">
        <f>-IF(AND(N$11&gt;=EOMONTH('Construction Budget'!$K60,0),N$11&lt;=EOMONTH('Construction Budget'!$M60,0)),('Construction Budget'!$G60+SUM($G203:M203))/ROUND(((EOMONTH('Construction Budget'!$M60,0)-EOMONTH(N$11,0))/30)+1,0),0)</f>
        <v>0</v>
      </c>
      <c r="O203" s="427">
        <f>-IF(AND(O$11&gt;=EOMONTH('Construction Budget'!$K60,0),O$11&lt;=EOMONTH('Construction Budget'!$M60,0)),('Construction Budget'!$G60+SUM($G203:N203))/ROUND(((EOMONTH('Construction Budget'!$M60,0)-EOMONTH(O$11,0))/30)+1,0),0)</f>
        <v>0</v>
      </c>
      <c r="P203" s="427">
        <f>-IF(AND(P$11&gt;=EOMONTH('Construction Budget'!$K60,0),P$11&lt;=EOMONTH('Construction Budget'!$M60,0)),('Construction Budget'!$G60+SUM($G203:O203))/ROUND(((EOMONTH('Construction Budget'!$M60,0)-EOMONTH(P$11,0))/30)+1,0),0)</f>
        <v>0</v>
      </c>
      <c r="Q203" s="427">
        <f>-IF(AND(Q$11&gt;=EOMONTH('Construction Budget'!$K60,0),Q$11&lt;=EOMONTH('Construction Budget'!$M60,0)),('Construction Budget'!$G60+SUM($G203:P203))/ROUND(((EOMONTH('Construction Budget'!$M60,0)-EOMONTH(Q$11,0))/30)+1,0),0)</f>
        <v>0</v>
      </c>
      <c r="R203" s="427">
        <f>-IF(AND(R$11&gt;=EOMONTH('Construction Budget'!$K60,0),R$11&lt;=EOMONTH('Construction Budget'!$M60,0)),('Construction Budget'!$G60+SUM($G203:Q203))/ROUND(((EOMONTH('Construction Budget'!$M60,0)-EOMONTH(R$11,0))/30)+1,0),0)</f>
        <v>0</v>
      </c>
      <c r="S203" s="427">
        <f>-IF(AND(S$11&gt;=EOMONTH('Construction Budget'!$K60,0),S$11&lt;=EOMONTH('Construction Budget'!$M60,0)),('Construction Budget'!$G60+SUM($G203:R203))/ROUND(((EOMONTH('Construction Budget'!$M60,0)-EOMONTH(S$11,0))/30)+1,0),0)</f>
        <v>0</v>
      </c>
      <c r="T203" s="427">
        <f>-IF(AND(T$11&gt;=EOMONTH('Construction Budget'!$K60,0),T$11&lt;=EOMONTH('Construction Budget'!$M60,0)),('Construction Budget'!$G60+SUM($G203:S203))/ROUND(((EOMONTH('Construction Budget'!$M60,0)-EOMONTH(T$11,0))/30)+1,0),0)</f>
        <v>0</v>
      </c>
      <c r="U203" s="427">
        <f>-IF(AND(U$11&gt;=EOMONTH('Construction Budget'!$K60,0),U$11&lt;=EOMONTH('Construction Budget'!$M60,0)),('Construction Budget'!$G60+SUM($G203:T203))/ROUND(((EOMONTH('Construction Budget'!$M60,0)-EOMONTH(U$11,0))/30)+1,0),0)</f>
        <v>0</v>
      </c>
      <c r="V203" s="427">
        <f>-IF(AND(V$11&gt;=EOMONTH('Construction Budget'!$K60,0),V$11&lt;=EOMONTH('Construction Budget'!$M60,0)),('Construction Budget'!$G60+SUM($G203:U203))/ROUND(((EOMONTH('Construction Budget'!$M60,0)-EOMONTH(V$11,0))/30)+1,0),0)</f>
        <v>0</v>
      </c>
      <c r="W203" s="427">
        <f>-IF(AND(W$11&gt;=EOMONTH('Construction Budget'!$K60,0),W$11&lt;=EOMONTH('Construction Budget'!$M60,0)),('Construction Budget'!$G60+SUM($G203:V203))/ROUND(((EOMONTH('Construction Budget'!$M60,0)-EOMONTH(W$11,0))/30)+1,0),0)</f>
        <v>0</v>
      </c>
      <c r="X203" s="427">
        <f>-IF(AND(X$11&gt;=EOMONTH('Construction Budget'!$K60,0),X$11&lt;=EOMONTH('Construction Budget'!$M60,0)),('Construction Budget'!$G60+SUM($G203:W203))/ROUND(((EOMONTH('Construction Budget'!$M60,0)-EOMONTH(X$11,0))/30)+1,0),0)</f>
        <v>0</v>
      </c>
      <c r="Y203" s="427">
        <f>-IF(AND(Y$11&gt;=EOMONTH('Construction Budget'!$K60,0),Y$11&lt;=EOMONTH('Construction Budget'!$M60,0)),('Construction Budget'!$G60+SUM($G203:X203))/ROUND(((EOMONTH('Construction Budget'!$M60,0)-EOMONTH(Y$11,0))/30)+1,0),0)</f>
        <v>0</v>
      </c>
      <c r="Z203" s="427">
        <f>-IF(AND(Z$11&gt;=EOMONTH('Construction Budget'!$K60,0),Z$11&lt;=EOMONTH('Construction Budget'!$M60,0)),('Construction Budget'!$G60+SUM($G203:Y203))/ROUND(((EOMONTH('Construction Budget'!$M60,0)-EOMONTH(Z$11,0))/30)+1,0),0)</f>
        <v>0</v>
      </c>
      <c r="AA203" s="427">
        <f>-IF(AND(AA$11&gt;=EOMONTH('Construction Budget'!$K60,0),AA$11&lt;=EOMONTH('Construction Budget'!$M60,0)),('Construction Budget'!$G60+SUM($G203:Z203))/ROUND(((EOMONTH('Construction Budget'!$M60,0)-EOMONTH(AA$11,0))/30)+1,0),0)</f>
        <v>0</v>
      </c>
      <c r="AB203" s="427">
        <f>-IF(AND(AB$11&gt;=EOMONTH('Construction Budget'!$K60,0),AB$11&lt;=EOMONTH('Construction Budget'!$M60,0)),('Construction Budget'!$G60+SUM($G203:AA203))/ROUND(((EOMONTH('Construction Budget'!$M60,0)-EOMONTH(AB$11,0))/30)+1,0),0)</f>
        <v>0</v>
      </c>
      <c r="AC203" s="427">
        <f>-IF(AND(AC$11&gt;=EOMONTH('Construction Budget'!$K60,0),AC$11&lt;=EOMONTH('Construction Budget'!$M60,0)),('Construction Budget'!$G60+SUM($G203:AB203))/ROUND(((EOMONTH('Construction Budget'!$M60,0)-EOMONTH(AC$11,0))/30)+1,0),0)</f>
        <v>0</v>
      </c>
      <c r="AD203" s="427">
        <f>-IF(AND(AD$11&gt;=EOMONTH('Construction Budget'!$K60,0),AD$11&lt;=EOMONTH('Construction Budget'!$M60,0)),('Construction Budget'!$G60+SUM($G203:AC203))/ROUND(((EOMONTH('Construction Budget'!$M60,0)-EOMONTH(AD$11,0))/30)+1,0),0)</f>
        <v>0</v>
      </c>
      <c r="AE203" s="427">
        <f>-IF(AND(AE$11&gt;=EOMONTH('Construction Budget'!$K60,0),AE$11&lt;=EOMONTH('Construction Budget'!$M60,0)),('Construction Budget'!$G60+SUM($G203:AD203))/ROUND(((EOMONTH('Construction Budget'!$M60,0)-EOMONTH(AE$11,0))/30)+1,0),0)</f>
        <v>0</v>
      </c>
      <c r="AF203" s="427">
        <f>-IF(AND(AF$11&gt;=EOMONTH('Construction Budget'!$K60,0),AF$11&lt;=EOMONTH('Construction Budget'!$M60,0)),('Construction Budget'!$G60+SUM($G203:AE203))/ROUND(((EOMONTH('Construction Budget'!$M60,0)-EOMONTH(AF$11,0))/30)+1,0),0)</f>
        <v>0</v>
      </c>
      <c r="AG203" s="427">
        <f>-IF(AND(AG$11&gt;=EOMONTH('Construction Budget'!$K60,0),AG$11&lt;=EOMONTH('Construction Budget'!$M60,0)),('Construction Budget'!$G60+SUM($G203:AF203))/ROUND(((EOMONTH('Construction Budget'!$M60,0)-EOMONTH(AG$11,0))/30)+1,0),0)</f>
        <v>0</v>
      </c>
      <c r="AH203" s="427">
        <f>-IF(AND(AH$11&gt;=EOMONTH('Construction Budget'!$K60,0),AH$11&lt;=EOMONTH('Construction Budget'!$M60,0)),('Construction Budget'!$G60+SUM($G203:AG203))/ROUND(((EOMONTH('Construction Budget'!$M60,0)-EOMONTH(AH$11,0))/30)+1,0),0)</f>
        <v>0</v>
      </c>
      <c r="AI203" s="427">
        <f>-IF(AND(AI$11&gt;=EOMONTH('Construction Budget'!$K60,0),AI$11&lt;=EOMONTH('Construction Budget'!$M60,0)),('Construction Budget'!$G60+SUM($G203:AH203))/ROUND(((EOMONTH('Construction Budget'!$M60,0)-EOMONTH(AI$11,0))/30)+1,0),0)</f>
        <v>0</v>
      </c>
      <c r="AJ203" s="427">
        <f>-IF(AND(AJ$11&gt;=EOMONTH('Construction Budget'!$K60,0),AJ$11&lt;=EOMONTH('Construction Budget'!$M60,0)),('Construction Budget'!$G60+SUM($G203:AI203))/ROUND(((EOMONTH('Construction Budget'!$M60,0)-EOMONTH(AJ$11,0))/30)+1,0),0)</f>
        <v>0</v>
      </c>
      <c r="AK203" s="427">
        <f>-IF(AND(AK$11&gt;=EOMONTH('Construction Budget'!$K60,0),AK$11&lt;=EOMONTH('Construction Budget'!$M60,0)),('Construction Budget'!$G60+SUM($G203:AJ203))/ROUND(((EOMONTH('Construction Budget'!$M60,0)-EOMONTH(AK$11,0))/30)+1,0),0)</f>
        <v>0</v>
      </c>
      <c r="AL203" s="427">
        <f>-IF(AND(AL$11&gt;=EOMONTH('Construction Budget'!$K60,0),AL$11&lt;=EOMONTH('Construction Budget'!$M60,0)),('Construction Budget'!$G60+SUM($G203:AK203))/ROUND(((EOMONTH('Construction Budget'!$M60,0)-EOMONTH(AL$11,0))/30)+1,0),0)</f>
        <v>0</v>
      </c>
      <c r="AM203" s="427">
        <f>-IF(AND(AM$11&gt;=EOMONTH('Construction Budget'!$K60,0),AM$11&lt;=EOMONTH('Construction Budget'!$M60,0)),('Construction Budget'!$G60+SUM($G203:AL203))/ROUND(((EOMONTH('Construction Budget'!$M60,0)-EOMONTH(AM$11,0))/30)+1,0),0)</f>
        <v>0</v>
      </c>
      <c r="AN203" s="427">
        <f>-IF(AND(AN$11&gt;=EOMONTH('Construction Budget'!$K60,0),AN$11&lt;=EOMONTH('Construction Budget'!$M60,0)),('Construction Budget'!$G60+SUM($G203:AM203))/ROUND(((EOMONTH('Construction Budget'!$M60,0)-EOMONTH(AN$11,0))/30)+1,0),0)</f>
        <v>0</v>
      </c>
      <c r="AO203" s="427">
        <f>-IF(AND(AO$11&gt;=EOMONTH('Construction Budget'!$K60,0),AO$11&lt;=EOMONTH('Construction Budget'!$M60,0)),('Construction Budget'!$G60+SUM($G203:AN203))/ROUND(((EOMONTH('Construction Budget'!$M60,0)-EOMONTH(AO$11,0))/30)+1,0),0)</f>
        <v>0</v>
      </c>
      <c r="AP203" s="427">
        <f>-IF(AND(AP$11&gt;=EOMONTH('Construction Budget'!$K60,0),AP$11&lt;=EOMONTH('Construction Budget'!$M60,0)),('Construction Budget'!$G60+SUM($G203:AO203))/ROUND(((EOMONTH('Construction Budget'!$M60,0)-EOMONTH(AP$11,0))/30)+1,0),0)</f>
        <v>0</v>
      </c>
      <c r="AQ203" s="427">
        <f>-IF(AND(AQ$11&gt;=EOMONTH('Construction Budget'!$K60,0),AQ$11&lt;=EOMONTH('Construction Budget'!$M60,0)),('Construction Budget'!$G60+SUM($G203:AP203))/ROUND(((EOMONTH('Construction Budget'!$M60,0)-EOMONTH(AQ$11,0))/30)+1,0),0)</f>
        <v>0</v>
      </c>
      <c r="AR203" s="427">
        <f>-IF(AND(AR$11&gt;=EOMONTH('Construction Budget'!$K60,0),AR$11&lt;=EOMONTH('Construction Budget'!$M60,0)),('Construction Budget'!$G60+SUM($G203:AQ203))/ROUND(((EOMONTH('Construction Budget'!$M60,0)-EOMONTH(AR$11,0))/30)+1,0),0)</f>
        <v>0</v>
      </c>
      <c r="AS203" s="427">
        <f>-IF(AND(AS$11&gt;=EOMONTH('Construction Budget'!$K60,0),AS$11&lt;=EOMONTH('Construction Budget'!$M60,0)),('Construction Budget'!$G60+SUM($G203:AR203))/ROUND(((EOMONTH('Construction Budget'!$M60,0)-EOMONTH(AS$11,0))/30)+1,0),0)</f>
        <v>0</v>
      </c>
      <c r="AT203" s="427">
        <f>-IF(AND(AT$11&gt;=EOMONTH('Construction Budget'!$K60,0),AT$11&lt;=EOMONTH('Construction Budget'!$M60,0)),('Construction Budget'!$G60+SUM($G203:AS203))/ROUND(((EOMONTH('Construction Budget'!$M60,0)-EOMONTH(AT$11,0))/30)+1,0),0)</f>
        <v>0</v>
      </c>
      <c r="AU203" s="427">
        <f>-IF(AND(AU$11&gt;=EOMONTH('Construction Budget'!$K60,0),AU$11&lt;=EOMONTH('Construction Budget'!$M60,0)),('Construction Budget'!$G60+SUM($G203:AT203))/ROUND(((EOMONTH('Construction Budget'!$M60,0)-EOMONTH(AU$11,0))/30)+1,0),0)</f>
        <v>0</v>
      </c>
      <c r="AV203" s="427">
        <f>-IF(AND(AV$11&gt;=EOMONTH('Construction Budget'!$K60,0),AV$11&lt;=EOMONTH('Construction Budget'!$M60,0)),('Construction Budget'!$G60+SUM($G203:AU203))/ROUND(((EOMONTH('Construction Budget'!$M60,0)-EOMONTH(AV$11,0))/30)+1,0),0)</f>
        <v>0</v>
      </c>
      <c r="AW203" s="427">
        <f>-IF(AND(AW$11&gt;=EOMONTH('Construction Budget'!$K60,0),AW$11&lt;=EOMONTH('Construction Budget'!$M60,0)),('Construction Budget'!$G60+SUM($G203:AV203))/ROUND(((EOMONTH('Construction Budget'!$M60,0)-EOMONTH(AW$11,0))/30)+1,0),0)</f>
        <v>0</v>
      </c>
      <c r="AX203" s="427">
        <f>-IF(AND(AX$11&gt;=EOMONTH('Construction Budget'!$K60,0),AX$11&lt;=EOMONTH('Construction Budget'!$M60,0)),('Construction Budget'!$G60+SUM($G203:AW203))/ROUND(((EOMONTH('Construction Budget'!$M60,0)-EOMONTH(AX$11,0))/30)+1,0),0)</f>
        <v>0</v>
      </c>
      <c r="AY203" s="427">
        <f>-IF(AND(AY$11&gt;=EOMONTH('Construction Budget'!$K60,0),AY$11&lt;=EOMONTH('Construction Budget'!$M60,0)),('Construction Budget'!$G60+SUM($G203:AX203))/ROUND(((EOMONTH('Construction Budget'!$M60,0)-EOMONTH(AY$11,0))/30)+1,0),0)</f>
        <v>0</v>
      </c>
      <c r="AZ203" s="427">
        <f>-IF(AND(AZ$11&gt;=EOMONTH('Construction Budget'!$K60,0),AZ$11&lt;=EOMONTH('Construction Budget'!$M60,0)),('Construction Budget'!$G60+SUM($G203:AY203))/ROUND(((EOMONTH('Construction Budget'!$M60,0)-EOMONTH(AZ$11,0))/30)+1,0),0)</f>
        <v>0</v>
      </c>
      <c r="BA203" s="427">
        <f>-IF(AND(BA$11&gt;=EOMONTH('Construction Budget'!$K60,0),BA$11&lt;=EOMONTH('Construction Budget'!$M60,0)),('Construction Budget'!$G60+SUM($G203:AZ203))/ROUND(((EOMONTH('Construction Budget'!$M60,0)-EOMONTH(BA$11,0))/30)+1,0),0)</f>
        <v>0</v>
      </c>
      <c r="BB203" s="427">
        <f>-IF(AND(BB$11&gt;=EOMONTH('Construction Budget'!$K60,0),BB$11&lt;=EOMONTH('Construction Budget'!$M60,0)),('Construction Budget'!$G60+SUM($G203:BA203))/ROUND(((EOMONTH('Construction Budget'!$M60,0)-EOMONTH(BB$11,0))/30)+1,0),0)</f>
        <v>0</v>
      </c>
      <c r="BC203" s="427">
        <f>-IF(AND(BC$11&gt;=EOMONTH('Construction Budget'!$K60,0),BC$11&lt;=EOMONTH('Construction Budget'!$M60,0)),('Construction Budget'!$G60+SUM($G203:BB203))/ROUND(((EOMONTH('Construction Budget'!$M60,0)-EOMONTH(BC$11,0))/30)+1,0),0)</f>
        <v>0</v>
      </c>
      <c r="BD203" s="427">
        <f>-IF(AND(BD$11&gt;=EOMONTH('Construction Budget'!$K60,0),BD$11&lt;=EOMONTH('Construction Budget'!$M60,0)),('Construction Budget'!$G60+SUM($G203:BC203))/ROUND(((EOMONTH('Construction Budget'!$M60,0)-EOMONTH(BD$11,0))/30)+1,0),0)</f>
        <v>0</v>
      </c>
      <c r="BE203" s="427">
        <f>-IF(AND(BE$11&gt;=EOMONTH('Construction Budget'!$K60,0),BE$11&lt;=EOMONTH('Construction Budget'!$M60,0)),('Construction Budget'!$G60+SUM($G203:BD203))/ROUND(((EOMONTH('Construction Budget'!$M60,0)-EOMONTH(BE$11,0))/30)+1,0),0)</f>
        <v>0</v>
      </c>
      <c r="BF203" s="427">
        <f>-IF(AND(BF$11&gt;=EOMONTH('Construction Budget'!$K60,0),BF$11&lt;=EOMONTH('Construction Budget'!$M60,0)),('Construction Budget'!$G60+SUM($G203:BE203))/ROUND(((EOMONTH('Construction Budget'!$M60,0)-EOMONTH(BF$11,0))/30)+1,0),0)</f>
        <v>0</v>
      </c>
      <c r="BG203" s="427">
        <f>-IF(AND(BG$11&gt;=EOMONTH('Construction Budget'!$K60,0),BG$11&lt;=EOMONTH('Construction Budget'!$M60,0)),('Construction Budget'!$G60+SUM($G203:BF203))/ROUND(((EOMONTH('Construction Budget'!$M60,0)-EOMONTH(BG$11,0))/30)+1,0),0)</f>
        <v>0</v>
      </c>
      <c r="BH203" s="427">
        <f>-IF(AND(BH$11&gt;=EOMONTH('Construction Budget'!$K60,0),BH$11&lt;=EOMONTH('Construction Budget'!$M60,0)),('Construction Budget'!$G60+SUM($G203:BG203))/ROUND(((EOMONTH('Construction Budget'!$M60,0)-EOMONTH(BH$11,0))/30)+1,0),0)</f>
        <v>0</v>
      </c>
      <c r="BI203" s="427">
        <f>-IF(AND(BI$11&gt;=EOMONTH('Construction Budget'!$K60,0),BI$11&lt;=EOMONTH('Construction Budget'!$M60,0)),('Construction Budget'!$G60+SUM($G203:BH203))/ROUND(((EOMONTH('Construction Budget'!$M60,0)-EOMONTH(BI$11,0))/30)+1,0),0)</f>
        <v>0</v>
      </c>
      <c r="BJ203" s="427">
        <f>-IF(AND(BJ$11&gt;=EOMONTH('Construction Budget'!$K60,0),BJ$11&lt;=EOMONTH('Construction Budget'!$M60,0)),('Construction Budget'!$G60+SUM($G203:BI203))/ROUND(((EOMONTH('Construction Budget'!$M60,0)-EOMONTH(BJ$11,0))/30)+1,0),0)</f>
        <v>0</v>
      </c>
      <c r="BK203" s="427">
        <f>-IF(AND(BK$11&gt;=EOMONTH('Construction Budget'!$K60,0),BK$11&lt;=EOMONTH('Construction Budget'!$M60,0)),('Construction Budget'!$G60+SUM($G203:BJ203))/ROUND(((EOMONTH('Construction Budget'!$M60,0)-EOMONTH(BK$11,0))/30)+1,0),0)</f>
        <v>0</v>
      </c>
      <c r="BL203" s="427">
        <f>-IF(AND(BL$11&gt;=EOMONTH('Construction Budget'!$K60,0),BL$11&lt;=EOMONTH('Construction Budget'!$M60,0)),('Construction Budget'!$G60+SUM($G203:BK203))/ROUND(((EOMONTH('Construction Budget'!$M60,0)-EOMONTH(BL$11,0))/30)+1,0),0)</f>
        <v>0</v>
      </c>
      <c r="BM203" s="427">
        <f>-IF(AND(BM$11&gt;=EOMONTH('Construction Budget'!$K60,0),BM$11&lt;=EOMONTH('Construction Budget'!$M60,0)),('Construction Budget'!$G60+SUM($G203:BL203))/ROUND(((EOMONTH('Construction Budget'!$M60,0)-EOMONTH(BM$11,0))/30)+1,0),0)</f>
        <v>0</v>
      </c>
      <c r="BN203" s="427">
        <f>-IF(AND(BN$11&gt;=EOMONTH('Construction Budget'!$K60,0),BN$11&lt;=EOMONTH('Construction Budget'!$M60,0)),('Construction Budget'!$G60+SUM($G203:BM203))/ROUND(((EOMONTH('Construction Budget'!$M60,0)-EOMONTH(BN$11,0))/30)+1,0),0)</f>
        <v>0</v>
      </c>
      <c r="BO203" s="427">
        <f>-IF(AND(BO$11&gt;=EOMONTH('Construction Budget'!$K60,0),BO$11&lt;=EOMONTH('Construction Budget'!$M60,0)),('Construction Budget'!$G60+SUM($G203:BN203))/ROUND(((EOMONTH('Construction Budget'!$M60,0)-EOMONTH(BO$11,0))/30)+1,0),0)</f>
        <v>0</v>
      </c>
      <c r="BP203" s="427">
        <f>-IF(AND(BP$11&gt;=EOMONTH('Construction Budget'!$K60,0),BP$11&lt;=EOMONTH('Construction Budget'!$M60,0)),('Construction Budget'!$G60+SUM($G203:BO203))/ROUND(((EOMONTH('Construction Budget'!$M60,0)-EOMONTH(BP$11,0))/30)+1,0),0)</f>
        <v>0</v>
      </c>
      <c r="BQ203" s="427">
        <f>-IF(AND(BQ$11&gt;=EOMONTH('Construction Budget'!$K60,0),BQ$11&lt;=EOMONTH('Construction Budget'!$M60,0)),('Construction Budget'!$G60+SUM($G203:BP203))/ROUND(((EOMONTH('Construction Budget'!$M60,0)-EOMONTH(BQ$11,0))/30)+1,0),0)</f>
        <v>0</v>
      </c>
      <c r="BR203" s="427">
        <f>-IF(AND(BR$11&gt;=EOMONTH('Construction Budget'!$K60,0),BR$11&lt;=EOMONTH('Construction Budget'!$M60,0)),('Construction Budget'!$G60+SUM($G203:BQ203))/ROUND(((EOMONTH('Construction Budget'!$M60,0)-EOMONTH(BR$11,0))/30)+1,0),0)</f>
        <v>0</v>
      </c>
      <c r="BS203" s="427">
        <f>-IF(AND(BS$11&gt;=EOMONTH('Construction Budget'!$K60,0),BS$11&lt;=EOMONTH('Construction Budget'!$M60,0)),('Construction Budget'!$G60+SUM($G203:BR203))/ROUND(((EOMONTH('Construction Budget'!$M60,0)-EOMONTH(BS$11,0))/30)+1,0),0)</f>
        <v>0</v>
      </c>
      <c r="BT203" s="427">
        <f>-IF(AND(BT$11&gt;=EOMONTH('Construction Budget'!$K60,0),BT$11&lt;=EOMONTH('Construction Budget'!$M60,0)),('Construction Budget'!$G60+SUM($G203:BS203))/ROUND(((EOMONTH('Construction Budget'!$M60,0)-EOMONTH(BT$11,0))/30)+1,0),0)</f>
        <v>0</v>
      </c>
      <c r="BU203" s="427">
        <f>-IF(AND(BU$11&gt;=EOMONTH('Construction Budget'!$K60,0),BU$11&lt;=EOMONTH('Construction Budget'!$M60,0)),('Construction Budget'!$G60+SUM($G203:BT203))/ROUND(((EOMONTH('Construction Budget'!$M60,0)-EOMONTH(BU$11,0))/30)+1,0),0)</f>
        <v>0</v>
      </c>
      <c r="BV203" s="427">
        <f>-IF(AND(BV$11&gt;=EOMONTH('Construction Budget'!$K60,0),BV$11&lt;=EOMONTH('Construction Budget'!$M60,0)),('Construction Budget'!$G60+SUM($G203:BU203))/ROUND(((EOMONTH('Construction Budget'!$M60,0)-EOMONTH(BV$11,0))/30)+1,0),0)</f>
        <v>0</v>
      </c>
      <c r="BW203" s="427">
        <f>-IF(AND(BW$11&gt;=EOMONTH('Construction Budget'!$K60,0),BW$11&lt;=EOMONTH('Construction Budget'!$M60,0)),('Construction Budget'!$G60+SUM($G203:BV203))/ROUND(((EOMONTH('Construction Budget'!$M60,0)-EOMONTH(BW$11,0))/30)+1,0),0)</f>
        <v>0</v>
      </c>
      <c r="BX203" s="427">
        <f>-IF(AND(BX$11&gt;=EOMONTH('Construction Budget'!$K60,0),BX$11&lt;=EOMONTH('Construction Budget'!$M60,0)),('Construction Budget'!$G60+SUM($G203:BW203))/ROUND(((EOMONTH('Construction Budget'!$M60,0)-EOMONTH(BX$11,0))/30)+1,0),0)</f>
        <v>0</v>
      </c>
      <c r="BY203" s="427">
        <f>-IF(AND(BY$11&gt;=EOMONTH('Construction Budget'!$K60,0),BY$11&lt;=EOMONTH('Construction Budget'!$M60,0)),('Construction Budget'!$G60+SUM($G203:BX203))/ROUND(((EOMONTH('Construction Budget'!$M60,0)-EOMONTH(BY$11,0))/30)+1,0),0)</f>
        <v>0</v>
      </c>
      <c r="BZ203" s="427">
        <f>-IF(AND(BZ$11&gt;=EOMONTH('Construction Budget'!$K60,0),BZ$11&lt;=EOMONTH('Construction Budget'!$M60,0)),('Construction Budget'!$G60+SUM($G203:BY203))/ROUND(((EOMONTH('Construction Budget'!$M60,0)-EOMONTH(BZ$11,0))/30)+1,0),0)</f>
        <v>0</v>
      </c>
      <c r="CA203" s="427">
        <f>-IF(AND(CA$11&gt;=EOMONTH('Construction Budget'!$K60,0),CA$11&lt;=EOMONTH('Construction Budget'!$M60,0)),('Construction Budget'!$G60+SUM($G203:BZ203))/ROUND(((EOMONTH('Construction Budget'!$M60,0)-EOMONTH(CA$11,0))/30)+1,0),0)</f>
        <v>0</v>
      </c>
      <c r="CB203" s="427">
        <f>-IF(AND(CB$11&gt;=EOMONTH('Construction Budget'!$K60,0),CB$11&lt;=EOMONTH('Construction Budget'!$M60,0)),('Construction Budget'!$G60+SUM($G203:CA203))/ROUND(((EOMONTH('Construction Budget'!$M60,0)-EOMONTH(CB$11,0))/30)+1,0),0)</f>
        <v>0</v>
      </c>
      <c r="CC203" s="427">
        <f>-IF(AND(CC$11&gt;=EOMONTH('Construction Budget'!$K60,0),CC$11&lt;=EOMONTH('Construction Budget'!$M60,0)),('Construction Budget'!$G60+SUM($G203:CB203))/ROUND(((EOMONTH('Construction Budget'!$M60,0)-EOMONTH(CC$11,0))/30)+1,0),0)</f>
        <v>0</v>
      </c>
      <c r="CD203" s="427">
        <f>-IF(AND(CD$11&gt;=EOMONTH('Construction Budget'!$K60,0),CD$11&lt;=EOMONTH('Construction Budget'!$M60,0)),('Construction Budget'!$G60+SUM($G203:CC203))/ROUND(((EOMONTH('Construction Budget'!$M60,0)-EOMONTH(CD$11,0))/30)+1,0),0)</f>
        <v>0</v>
      </c>
      <c r="CE203" s="427">
        <f>-IF(AND(CE$11&gt;=EOMONTH('Construction Budget'!$K60,0),CE$11&lt;=EOMONTH('Construction Budget'!$M60,0)),('Construction Budget'!$G60+SUM($G203:CD203))/ROUND(((EOMONTH('Construction Budget'!$M60,0)-EOMONTH(CE$11,0))/30)+1,0),0)</f>
        <v>0</v>
      </c>
      <c r="CF203" s="427">
        <f>-IF(AND(CF$11&gt;=EOMONTH('Construction Budget'!$K60,0),CF$11&lt;=EOMONTH('Construction Budget'!$M60,0)),('Construction Budget'!$G60+SUM($G203:CE203))/ROUND(((EOMONTH('Construction Budget'!$M60,0)-EOMONTH(CF$11,0))/30)+1,0),0)</f>
        <v>0</v>
      </c>
      <c r="CG203" s="427">
        <f>-IF(AND(CG$11&gt;=EOMONTH('Construction Budget'!$K60,0),CG$11&lt;=EOMONTH('Construction Budget'!$M60,0)),('Construction Budget'!$G60+SUM($G203:CF203))/ROUND(((EOMONTH('Construction Budget'!$M60,0)-EOMONTH(CG$11,0))/30)+1,0),0)</f>
        <v>0</v>
      </c>
      <c r="CH203" s="427">
        <f>-IF(AND(CH$11&gt;=EOMONTH('Construction Budget'!$K60,0),CH$11&lt;=EOMONTH('Construction Budget'!$M60,0)),('Construction Budget'!$G60+SUM($G203:CG203))/ROUND(((EOMONTH('Construction Budget'!$M60,0)-EOMONTH(CH$11,0))/30)+1,0),0)</f>
        <v>0</v>
      </c>
      <c r="CI203" s="427">
        <f>-IF(AND(CI$11&gt;=EOMONTH('Construction Budget'!$K60,0),CI$11&lt;=EOMONTH('Construction Budget'!$M60,0)),('Construction Budget'!$G60+SUM($G203:CH203))/ROUND(((EOMONTH('Construction Budget'!$M60,0)-EOMONTH(CI$11,0))/30)+1,0),0)</f>
        <v>0</v>
      </c>
      <c r="CJ203" s="427">
        <f>-IF(AND(CJ$11&gt;=EOMONTH('Construction Budget'!$K60,0),CJ$11&lt;=EOMONTH('Construction Budget'!$M60,0)),('Construction Budget'!$G60+SUM($G203:CI203))/ROUND(((EOMONTH('Construction Budget'!$M60,0)-EOMONTH(CJ$11,0))/30)+1,0),0)</f>
        <v>0</v>
      </c>
      <c r="CK203" s="427">
        <f>-IF(AND(CK$11&gt;=EOMONTH('Construction Budget'!$K60,0),CK$11&lt;=EOMONTH('Construction Budget'!$M60,0)),('Construction Budget'!$G60+SUM($G203:CJ203))/ROUND(((EOMONTH('Construction Budget'!$M60,0)-EOMONTH(CK$11,0))/30)+1,0),0)</f>
        <v>0</v>
      </c>
      <c r="CL203" s="427">
        <f>-IF(AND(CL$11&gt;=EOMONTH('Construction Budget'!$K60,0),CL$11&lt;=EOMONTH('Construction Budget'!$M60,0)),('Construction Budget'!$G60+SUM($G203:CK203))/ROUND(((EOMONTH('Construction Budget'!$M60,0)-EOMONTH(CL$11,0))/30)+1,0),0)</f>
        <v>0</v>
      </c>
      <c r="CM203" s="427">
        <f>-IF(AND(CM$11&gt;=EOMONTH('Construction Budget'!$K60,0),CM$11&lt;=EOMONTH('Construction Budget'!$M60,0)),('Construction Budget'!$G60+SUM($G203:CL203))/ROUND(((EOMONTH('Construction Budget'!$M60,0)-EOMONTH(CM$11,0))/30)+1,0),0)</f>
        <v>0</v>
      </c>
      <c r="CN203" s="427">
        <f>-IF(AND(CN$11&gt;=EOMONTH('Construction Budget'!$K60,0),CN$11&lt;=EOMONTH('Construction Budget'!$M60,0)),('Construction Budget'!$G60+SUM($G203:CM203))/ROUND(((EOMONTH('Construction Budget'!$M60,0)-EOMONTH(CN$11,0))/30)+1,0),0)</f>
        <v>0</v>
      </c>
      <c r="CO203" s="427">
        <f>-IF(AND(CO$11&gt;=EOMONTH('Construction Budget'!$K60,0),CO$11&lt;=EOMONTH('Construction Budget'!$M60,0)),('Construction Budget'!$G60+SUM($G203:CN203))/ROUND(((EOMONTH('Construction Budget'!$M60,0)-EOMONTH(CO$11,0))/30)+1,0),0)</f>
        <v>0</v>
      </c>
      <c r="CP203" s="427">
        <f>-IF(AND(CP$11&gt;=EOMONTH('Construction Budget'!$K60,0),CP$11&lt;=EOMONTH('Construction Budget'!$M60,0)),('Construction Budget'!$G60+SUM($G203:CO203))/ROUND(((EOMONTH('Construction Budget'!$M60,0)-EOMONTH(CP$11,0))/30)+1,0),0)</f>
        <v>0</v>
      </c>
      <c r="CQ203" s="427">
        <f>-IF(AND(CQ$11&gt;=EOMONTH('Construction Budget'!$K60,0),CQ$11&lt;=EOMONTH('Construction Budget'!$M60,0)),('Construction Budget'!$G60+SUM($G203:CP203))/ROUND(((EOMONTH('Construction Budget'!$M60,0)-EOMONTH(CQ$11,0))/30)+1,0),0)</f>
        <v>0</v>
      </c>
      <c r="CR203" s="427">
        <f>-IF(AND(CR$11&gt;=EOMONTH('Construction Budget'!$K60,0),CR$11&lt;=EOMONTH('Construction Budget'!$M60,0)),('Construction Budget'!$G60+SUM($G203:CQ203))/ROUND(((EOMONTH('Construction Budget'!$M60,0)-EOMONTH(CR$11,0))/30)+1,0),0)</f>
        <v>0</v>
      </c>
      <c r="CS203" s="427">
        <f>-IF(AND(CS$11&gt;=EOMONTH('Construction Budget'!$K60,0),CS$11&lt;=EOMONTH('Construction Budget'!$M60,0)),('Construction Budget'!$G60+SUM($G203:CR203))/ROUND(((EOMONTH('Construction Budget'!$M60,0)-EOMONTH(CS$11,0))/30)+1,0),0)</f>
        <v>0</v>
      </c>
      <c r="CT203" s="427">
        <f>-IF(AND(CT$11&gt;=EOMONTH('Construction Budget'!$K60,0),CT$11&lt;=EOMONTH('Construction Budget'!$M60,0)),('Construction Budget'!$G60+SUM($G203:CS203))/ROUND(((EOMONTH('Construction Budget'!$M60,0)-EOMONTH(CT$11,0))/30)+1,0),0)</f>
        <v>0</v>
      </c>
      <c r="CU203" s="427">
        <f>-IF(AND(CU$11&gt;=EOMONTH('Construction Budget'!$K60,0),CU$11&lt;=EOMONTH('Construction Budget'!$M60,0)),('Construction Budget'!$G60+SUM($G203:CT203))/ROUND(((EOMONTH('Construction Budget'!$M60,0)-EOMONTH(CU$11,0))/30)+1,0),0)</f>
        <v>0</v>
      </c>
      <c r="CV203" s="427">
        <f>-IF(AND(CV$11&gt;=EOMONTH('Construction Budget'!$K60,0),CV$11&lt;=EOMONTH('Construction Budget'!$M60,0)),('Construction Budget'!$G60+SUM($G203:CU203))/ROUND(((EOMONTH('Construction Budget'!$M60,0)-EOMONTH(CV$11,0))/30)+1,0),0)</f>
        <v>0</v>
      </c>
      <c r="CW203" s="427">
        <f>-IF(AND(CW$11&gt;=EOMONTH('Construction Budget'!$K60,0),CW$11&lt;=EOMONTH('Construction Budget'!$M60,0)),('Construction Budget'!$G60+SUM($G203:CV203))/ROUND(((EOMONTH('Construction Budget'!$M60,0)-EOMONTH(CW$11,0))/30)+1,0),0)</f>
        <v>0</v>
      </c>
      <c r="CX203" s="427">
        <f>-IF(AND(CX$11&gt;=EOMONTH('Construction Budget'!$K60,0),CX$11&lt;=EOMONTH('Construction Budget'!$M60,0)),('Construction Budget'!$G60+SUM($G203:CW203))/ROUND(((EOMONTH('Construction Budget'!$M60,0)-EOMONTH(CX$11,0))/30)+1,0),0)</f>
        <v>0</v>
      </c>
      <c r="CY203" s="427">
        <f>-IF(AND(CY$11&gt;=EOMONTH('Construction Budget'!$K60,0),CY$11&lt;=EOMONTH('Construction Budget'!$M60,0)),('Construction Budget'!$G60+SUM($G203:CX203))/ROUND(((EOMONTH('Construction Budget'!$M60,0)-EOMONTH(CY$11,0))/30)+1,0),0)</f>
        <v>0</v>
      </c>
      <c r="CZ203" s="427">
        <f>-IF(AND(CZ$11&gt;=EOMONTH('Construction Budget'!$K60,0),CZ$11&lt;=EOMONTH('Construction Budget'!$M60,0)),('Construction Budget'!$G60+SUM($G203:CY203))/ROUND(((EOMONTH('Construction Budget'!$M60,0)-EOMONTH(CZ$11,0))/30)+1,0),0)</f>
        <v>0</v>
      </c>
      <c r="DA203" s="427">
        <f>-IF(AND(DA$11&gt;=EOMONTH('Construction Budget'!$K60,0),DA$11&lt;=EOMONTH('Construction Budget'!$M60,0)),('Construction Budget'!$G60+SUM($G203:CZ203))/ROUND(((EOMONTH('Construction Budget'!$M60,0)-EOMONTH(DA$11,0))/30)+1,0),0)</f>
        <v>0</v>
      </c>
      <c r="DB203" s="427">
        <f>-IF(AND(DB$11&gt;=EOMONTH('Construction Budget'!$K60,0),DB$11&lt;=EOMONTH('Construction Budget'!$M60,0)),('Construction Budget'!$G60+SUM($G203:DA203))/ROUND(((EOMONTH('Construction Budget'!$M60,0)-EOMONTH(DB$11,0))/30)+1,0),0)</f>
        <v>0</v>
      </c>
      <c r="DC203" s="427">
        <f>-IF(AND(DC$11&gt;=EOMONTH('Construction Budget'!$K60,0),DC$11&lt;=EOMONTH('Construction Budget'!$M60,0)),('Construction Budget'!$G60+SUM($G203:DB203))/ROUND(((EOMONTH('Construction Budget'!$M60,0)-EOMONTH(DC$11,0))/30)+1,0),0)</f>
        <v>0</v>
      </c>
      <c r="DD203" s="427">
        <f>-IF(AND(DD$11&gt;=EOMONTH('Construction Budget'!$K60,0),DD$11&lt;=EOMONTH('Construction Budget'!$M60,0)),('Construction Budget'!$G60+SUM($G203:DC203))/ROUND(((EOMONTH('Construction Budget'!$M60,0)-EOMONTH(DD$11,0))/30)+1,0),0)</f>
        <v>0</v>
      </c>
      <c r="DE203" s="427">
        <f>-IF(AND(DE$11&gt;=EOMONTH('Construction Budget'!$K60,0),DE$11&lt;=EOMONTH('Construction Budget'!$M60,0)),('Construction Budget'!$G60+SUM($G203:DD203))/ROUND(((EOMONTH('Construction Budget'!$M60,0)-EOMONTH(DE$11,0))/30)+1,0),0)</f>
        <v>0</v>
      </c>
      <c r="DF203" s="427">
        <f>-IF(AND(DF$11&gt;=EOMONTH('Construction Budget'!$K60,0),DF$11&lt;=EOMONTH('Construction Budget'!$M60,0)),('Construction Budget'!$G60+SUM($G203:DE203))/ROUND(((EOMONTH('Construction Budget'!$M60,0)-EOMONTH(DF$11,0))/30)+1,0),0)</f>
        <v>0</v>
      </c>
      <c r="DG203" s="427">
        <f>-IF(AND(DG$11&gt;=EOMONTH('Construction Budget'!$K60,0),DG$11&lt;=EOMONTH('Construction Budget'!$M60,0)),('Construction Budget'!$G60+SUM($G203:DF203))/ROUND(((EOMONTH('Construction Budget'!$M60,0)-EOMONTH(DG$11,0))/30)+1,0),0)</f>
        <v>0</v>
      </c>
      <c r="DH203" s="427">
        <f>-IF(AND(DH$11&gt;=EOMONTH('Construction Budget'!$K60,0),DH$11&lt;=EOMONTH('Construction Budget'!$M60,0)),('Construction Budget'!$G60+SUM($G203:DG203))/ROUND(((EOMONTH('Construction Budget'!$M60,0)-EOMONTH(DH$11,0))/30)+1,0),0)</f>
        <v>0</v>
      </c>
      <c r="DI203" s="427">
        <f>-IF(AND(DI$11&gt;=EOMONTH('Construction Budget'!$K60,0),DI$11&lt;=EOMONTH('Construction Budget'!$M60,0)),('Construction Budget'!$G60+SUM($G203:DH203))/ROUND(((EOMONTH('Construction Budget'!$M60,0)-EOMONTH(DI$11,0))/30)+1,0),0)</f>
        <v>0</v>
      </c>
      <c r="DJ203" s="427">
        <f>-IF(AND(DJ$11&gt;=EOMONTH('Construction Budget'!$K60,0),DJ$11&lt;=EOMONTH('Construction Budget'!$M60,0)),('Construction Budget'!$G60+SUM($G203:DI203))/ROUND(((EOMONTH('Construction Budget'!$M60,0)-EOMONTH(DJ$11,0))/30)+1,0),0)</f>
        <v>0</v>
      </c>
      <c r="DK203" s="427">
        <f>-IF(AND(DK$11&gt;=EOMONTH('Construction Budget'!$K60,0),DK$11&lt;=EOMONTH('Construction Budget'!$M60,0)),('Construction Budget'!$G60+SUM($G203:DJ203))/ROUND(((EOMONTH('Construction Budget'!$M60,0)-EOMONTH(DK$11,0))/30)+1,0),0)</f>
        <v>0</v>
      </c>
      <c r="DL203" s="427">
        <f>-IF(AND(DL$11&gt;=EOMONTH('Construction Budget'!$K60,0),DL$11&lt;=EOMONTH('Construction Budget'!$M60,0)),('Construction Budget'!$G60+SUM($G203:DK203))/ROUND(((EOMONTH('Construction Budget'!$M60,0)-EOMONTH(DL$11,0))/30)+1,0),0)</f>
        <v>0</v>
      </c>
      <c r="DM203" s="427">
        <f>-IF(AND(DM$11&gt;=EOMONTH('Construction Budget'!$K60,0),DM$11&lt;=EOMONTH('Construction Budget'!$M60,0)),('Construction Budget'!$G60+SUM($G203:DL203))/ROUND(((EOMONTH('Construction Budget'!$M60,0)-EOMONTH(DM$11,0))/30)+1,0),0)</f>
        <v>0</v>
      </c>
      <c r="DN203" s="427">
        <f>-IF(AND(DN$11&gt;=EOMONTH('Construction Budget'!$K60,0),DN$11&lt;=EOMONTH('Construction Budget'!$M60,0)),('Construction Budget'!$G60+SUM($G203:DM203))/ROUND(((EOMONTH('Construction Budget'!$M60,0)-EOMONTH(DN$11,0))/30)+1,0),0)</f>
        <v>0</v>
      </c>
      <c r="DO203" s="427">
        <f>-IF(AND(DO$11&gt;=EOMONTH('Construction Budget'!$K60,0),DO$11&lt;=EOMONTH('Construction Budget'!$M60,0)),('Construction Budget'!$G60+SUM($G203:DN203))/ROUND(((EOMONTH('Construction Budget'!$M60,0)-EOMONTH(DO$11,0))/30)+1,0),0)</f>
        <v>0</v>
      </c>
      <c r="DP203" s="427">
        <f>-IF(AND(DP$11&gt;=EOMONTH('Construction Budget'!$K60,0),DP$11&lt;=EOMONTH('Construction Budget'!$M60,0)),('Construction Budget'!$G60+SUM($G203:DO203))/ROUND(((EOMONTH('Construction Budget'!$M60,0)-EOMONTH(DP$11,0))/30)+1,0),0)</f>
        <v>0</v>
      </c>
      <c r="DQ203" s="427">
        <f>-IF(AND(DQ$11&gt;=EOMONTH('Construction Budget'!$K60,0),DQ$11&lt;=EOMONTH('Construction Budget'!$M60,0)),('Construction Budget'!$G60+SUM($G203:DP203))/ROUND(((EOMONTH('Construction Budget'!$M60,0)-EOMONTH(DQ$11,0))/30)+1,0),0)</f>
        <v>0</v>
      </c>
      <c r="DR203" s="427">
        <f>-IF(AND(DR$11&gt;=EOMONTH('Construction Budget'!$K60,0),DR$11&lt;=EOMONTH('Construction Budget'!$M60,0)),('Construction Budget'!$G60+SUM($G203:DQ203))/ROUND(((EOMONTH('Construction Budget'!$M60,0)-EOMONTH(DR$11,0))/30)+1,0),0)</f>
        <v>0</v>
      </c>
      <c r="DS203" s="427">
        <f>-IF(AND(DS$11&gt;=EOMONTH('Construction Budget'!$K60,0),DS$11&lt;=EOMONTH('Construction Budget'!$M60,0)),('Construction Budget'!$G60+SUM($G203:DR203))/ROUND(((EOMONTH('Construction Budget'!$M60,0)-EOMONTH(DS$11,0))/30)+1,0),0)</f>
        <v>0</v>
      </c>
      <c r="DT203" s="427">
        <f>-IF(AND(DT$11&gt;=EOMONTH('Construction Budget'!$K60,0),DT$11&lt;=EOMONTH('Construction Budget'!$M60,0)),('Construction Budget'!$G60+SUM($G203:DS203))/ROUND(((EOMONTH('Construction Budget'!$M60,0)-EOMONTH(DT$11,0))/30)+1,0),0)</f>
        <v>0</v>
      </c>
      <c r="DU203" s="427">
        <f>-IF(AND(DU$11&gt;=EOMONTH('Construction Budget'!$K60,0),DU$11&lt;=EOMONTH('Construction Budget'!$M60,0)),('Construction Budget'!$G60+SUM($G203:DT203))/ROUND(((EOMONTH('Construction Budget'!$M60,0)-EOMONTH(DU$11,0))/30)+1,0),0)</f>
        <v>0</v>
      </c>
      <c r="DV203" s="427">
        <f>-IF(AND(DV$11&gt;=EOMONTH('Construction Budget'!$K60,0),DV$11&lt;=EOMONTH('Construction Budget'!$M60,0)),('Construction Budget'!$G60+SUM($G203:DU203))/ROUND(((EOMONTH('Construction Budget'!$M60,0)-EOMONTH(DV$11,0))/30)+1,0),0)</f>
        <v>0</v>
      </c>
      <c r="DW203" s="427">
        <f>-IF(AND(DW$11&gt;=EOMONTH('Construction Budget'!$K60,0),DW$11&lt;=EOMONTH('Construction Budget'!$M60,0)),('Construction Budget'!$G60+SUM($G203:DV203))/ROUND(((EOMONTH('Construction Budget'!$M60,0)-EOMONTH(DW$11,0))/30)+1,0),0)</f>
        <v>0</v>
      </c>
      <c r="DX203" s="427">
        <f>-IF(AND(DX$11&gt;=EOMONTH('Construction Budget'!$K60,0),DX$11&lt;=EOMONTH('Construction Budget'!$M60,0)),('Construction Budget'!$G60+SUM($G203:DW203))/ROUND(((EOMONTH('Construction Budget'!$M60,0)-EOMONTH(DX$11,0))/30)+1,0),0)</f>
        <v>0</v>
      </c>
      <c r="DY203" s="427">
        <f>-IF(AND(DY$11&gt;=EOMONTH('Construction Budget'!$K60,0),DY$11&lt;=EOMONTH('Construction Budget'!$M60,0)),('Construction Budget'!$G60+SUM($G203:DX203))/ROUND(((EOMONTH('Construction Budget'!$M60,0)-EOMONTH(DY$11,0))/30)+1,0),0)</f>
        <v>0</v>
      </c>
      <c r="DZ203" s="427">
        <f>-IF(AND(DZ$11&gt;=EOMONTH('Construction Budget'!$K60,0),DZ$11&lt;=EOMONTH('Construction Budget'!$M60,0)),('Construction Budget'!$G60+SUM($G203:DY203))/ROUND(((EOMONTH('Construction Budget'!$M60,0)-EOMONTH(DZ$11,0))/30)+1,0),0)</f>
        <v>0</v>
      </c>
      <c r="EA203" s="427">
        <f>-IF(AND(EA$11&gt;=EOMONTH('Construction Budget'!$K60,0),EA$11&lt;=EOMONTH('Construction Budget'!$M60,0)),('Construction Budget'!$G60+SUM($G203:DZ203))/ROUND(((EOMONTH('Construction Budget'!$M60,0)-EOMONTH(EA$11,0))/30)+1,0),0)</f>
        <v>0</v>
      </c>
      <c r="EB203" s="427">
        <f>-IF(AND(EB$11&gt;=EOMONTH('Construction Budget'!$K60,0),EB$11&lt;=EOMONTH('Construction Budget'!$M60,0)),('Construction Budget'!$G60+SUM($G203:EA203))/ROUND(((EOMONTH('Construction Budget'!$M60,0)-EOMONTH(EB$11,0))/30)+1,0),0)</f>
        <v>0</v>
      </c>
      <c r="EC203" s="427">
        <f>-IF(AND(EC$11&gt;=EOMONTH('Construction Budget'!$K60,0),EC$11&lt;=EOMONTH('Construction Budget'!$M60,0)),('Construction Budget'!$G60+SUM($G203:EB203))/ROUND(((EOMONTH('Construction Budget'!$M60,0)-EOMONTH(EC$11,0))/30)+1,0),0)</f>
        <v>0</v>
      </c>
      <c r="ED203" s="427">
        <f>-IF(AND(ED$11&gt;=EOMONTH('Construction Budget'!$K60,0),ED$11&lt;=EOMONTH('Construction Budget'!$M60,0)),('Construction Budget'!$G60+SUM($G203:EC203))/ROUND(((EOMONTH('Construction Budget'!$M60,0)-EOMONTH(ED$11,0))/30)+1,0),0)</f>
        <v>0</v>
      </c>
      <c r="EE203" s="427">
        <f>-IF(AND(EE$11&gt;=EOMONTH('Construction Budget'!$K60,0),EE$11&lt;=EOMONTH('Construction Budget'!$M60,0)),('Construction Budget'!$G60+SUM($G203:ED203))/ROUND(((EOMONTH('Construction Budget'!$M60,0)-EOMONTH(EE$11,0))/30)+1,0),0)</f>
        <v>0</v>
      </c>
      <c r="EF203" s="427">
        <f>-IF(AND(EF$11&gt;=EOMONTH('Construction Budget'!$K60,0),EF$11&lt;=EOMONTH('Construction Budget'!$M60,0)),('Construction Budget'!$G60+SUM($G203:EE203))/ROUND(((EOMONTH('Construction Budget'!$M60,0)-EOMONTH(EF$11,0))/30)+1,0),0)</f>
        <v>0</v>
      </c>
      <c r="EG203" s="427">
        <f>-IF(AND(EG$11&gt;=EOMONTH('Construction Budget'!$K60,0),EG$11&lt;=EOMONTH('Construction Budget'!$M60,0)),('Construction Budget'!$G60+SUM($G203:EF203))/ROUND(((EOMONTH('Construction Budget'!$M60,0)-EOMONTH(EG$11,0))/30)+1,0),0)</f>
        <v>0</v>
      </c>
      <c r="EH203" s="427">
        <f>-IF(AND(EH$11&gt;=EOMONTH('Construction Budget'!$K60,0),EH$11&lt;=EOMONTH('Construction Budget'!$M60,0)),('Construction Budget'!$G60+SUM($G203:EG203))/ROUND(((EOMONTH('Construction Budget'!$M60,0)-EOMONTH(EH$11,0))/30)+1,0),0)</f>
        <v>0</v>
      </c>
      <c r="EI203" s="427">
        <f>-IF(AND(EI$11&gt;=EOMONTH('Construction Budget'!$K60,0),EI$11&lt;=EOMONTH('Construction Budget'!$M60,0)),('Construction Budget'!$G60+SUM($G203:EH203))/ROUND(((EOMONTH('Construction Budget'!$M60,0)-EOMONTH(EI$11,0))/30)+1,0),0)</f>
        <v>0</v>
      </c>
      <c r="EJ203" s="427">
        <f>-IF(AND(EJ$11&gt;=EOMONTH('Construction Budget'!$K60,0),EJ$11&lt;=EOMONTH('Construction Budget'!$M60,0)),('Construction Budget'!$G60+SUM($G203:EI203))/ROUND(((EOMONTH('Construction Budget'!$M60,0)-EOMONTH(EJ$11,0))/30)+1,0),0)</f>
        <v>0</v>
      </c>
      <c r="EK203" s="427">
        <f>-IF(AND(EK$11&gt;=EOMONTH('Construction Budget'!$K60,0),EK$11&lt;=EOMONTH('Construction Budget'!$M60,0)),('Construction Budget'!$G60+SUM($G203:EJ203))/ROUND(((EOMONTH('Construction Budget'!$M60,0)-EOMONTH(EK$11,0))/30)+1,0),0)</f>
        <v>0</v>
      </c>
      <c r="EL203" s="427">
        <f>-IF(AND(EL$11&gt;=EOMONTH('Construction Budget'!$K60,0),EL$11&lt;=EOMONTH('Construction Budget'!$M60,0)),('Construction Budget'!$G60+SUM($G203:EK203))/ROUND(((EOMONTH('Construction Budget'!$M60,0)-EOMONTH(EL$11,0))/30)+1,0),0)</f>
        <v>0</v>
      </c>
      <c r="EM203" s="427">
        <f>-IF(AND(EM$11&gt;=EOMONTH('Construction Budget'!$K60,0),EM$11&lt;=EOMONTH('Construction Budget'!$M60,0)),('Construction Budget'!$G60+SUM($G203:EL203))/ROUND(((EOMONTH('Construction Budget'!$M60,0)-EOMONTH(EM$11,0))/30)+1,0),0)</f>
        <v>0</v>
      </c>
      <c r="EN203" s="427">
        <f>-IF(AND(EN$11&gt;=EOMONTH('Construction Budget'!$K60,0),EN$11&lt;=EOMONTH('Construction Budget'!$M60,0)),('Construction Budget'!$G60+SUM($G203:EM203))/ROUND(((EOMONTH('Construction Budget'!$M60,0)-EOMONTH(EN$11,0))/30)+1,0),0)</f>
        <v>0</v>
      </c>
      <c r="EO203" s="427">
        <f>-IF(AND(EO$11&gt;=EOMONTH('Construction Budget'!$K60,0),EO$11&lt;=EOMONTH('Construction Budget'!$M60,0)),('Construction Budget'!$G60+SUM($G203:EN203))/ROUND(((EOMONTH('Construction Budget'!$M60,0)-EOMONTH(EO$11,0))/30)+1,0),0)</f>
        <v>0</v>
      </c>
      <c r="EP203" s="427">
        <f>-IF(AND(EP$11&gt;=EOMONTH('Construction Budget'!$K60,0),EP$11&lt;=EOMONTH('Construction Budget'!$M60,0)),('Construction Budget'!$G60+SUM($G203:EO203))/ROUND(((EOMONTH('Construction Budget'!$M60,0)-EOMONTH(EP$11,0))/30)+1,0),0)</f>
        <v>0</v>
      </c>
      <c r="EQ203" s="427">
        <f>-IF(AND(EQ$11&gt;=EOMONTH('Construction Budget'!$K60,0),EQ$11&lt;=EOMONTH('Construction Budget'!$M60,0)),('Construction Budget'!$G60+SUM($G203:EP203))/ROUND(((EOMONTH('Construction Budget'!$M60,0)-EOMONTH(EQ$11,0))/30)+1,0),0)</f>
        <v>0</v>
      </c>
      <c r="ER203" s="427">
        <f>-IF(AND(ER$11&gt;=EOMONTH('Construction Budget'!$K60,0),ER$11&lt;=EOMONTH('Construction Budget'!$M60,0)),('Construction Budget'!$G60+SUM($G203:EQ203))/ROUND(((EOMONTH('Construction Budget'!$M60,0)-EOMONTH(ER$11,0))/30)+1,0),0)</f>
        <v>0</v>
      </c>
      <c r="ES203" s="427">
        <f>-IF(AND(ES$11&gt;=EOMONTH('Construction Budget'!$K60,0),ES$11&lt;=EOMONTH('Construction Budget'!$M60,0)),('Construction Budget'!$G60+SUM($G203:ER203))/ROUND(((EOMONTH('Construction Budget'!$M60,0)-EOMONTH(ES$11,0))/30)+1,0),0)</f>
        <v>0</v>
      </c>
      <c r="ET203" s="427">
        <f>-IF(AND(ET$11&gt;=EOMONTH('Construction Budget'!$K60,0),ET$11&lt;=EOMONTH('Construction Budget'!$M60,0)),('Construction Budget'!$G60+SUM($G203:ES203))/ROUND(((EOMONTH('Construction Budget'!$M60,0)-EOMONTH(ET$11,0))/30)+1,0),0)</f>
        <v>0</v>
      </c>
      <c r="EU203" s="427">
        <f>-IF(AND(EU$11&gt;=EOMONTH('Construction Budget'!$K60,0),EU$11&lt;=EOMONTH('Construction Budget'!$M60,0)),('Construction Budget'!$G60+SUM($G203:ET203))/ROUND(((EOMONTH('Construction Budget'!$M60,0)-EOMONTH(EU$11,0))/30)+1,0),0)</f>
        <v>0</v>
      </c>
      <c r="EV203" s="427">
        <f>-IF(AND(EV$11&gt;=EOMONTH('Construction Budget'!$K60,0),EV$11&lt;=EOMONTH('Construction Budget'!$M60,0)),('Construction Budget'!$G60+SUM($G203:EU203))/ROUND(((EOMONTH('Construction Budget'!$M60,0)-EOMONTH(EV$11,0))/30)+1,0),0)</f>
        <v>0</v>
      </c>
      <c r="EW203" s="427">
        <f>-IF(AND(EW$11&gt;=EOMONTH('Construction Budget'!$K60,0),EW$11&lt;=EOMONTH('Construction Budget'!$M60,0)),('Construction Budget'!$G60+SUM($G203:EV203))/ROUND(((EOMONTH('Construction Budget'!$M60,0)-EOMONTH(EW$11,0))/30)+1,0),0)</f>
        <v>0</v>
      </c>
      <c r="EX203" s="427">
        <f>-IF(AND(EX$11&gt;=EOMONTH('Construction Budget'!$K60,0),EX$11&lt;=EOMONTH('Construction Budget'!$M60,0)),('Construction Budget'!$G60+SUM($G203:EW203))/ROUND(((EOMONTH('Construction Budget'!$M60,0)-EOMONTH(EX$11,0))/30)+1,0),0)</f>
        <v>0</v>
      </c>
      <c r="EY203" s="427">
        <f>-IF(AND(EY$11&gt;=EOMONTH('Construction Budget'!$K60,0),EY$11&lt;=EOMONTH('Construction Budget'!$M60,0)),('Construction Budget'!$G60+SUM($G203:EX203))/ROUND(((EOMONTH('Construction Budget'!$M60,0)-EOMONTH(EY$11,0))/30)+1,0),0)</f>
        <v>0</v>
      </c>
      <c r="EZ203" s="427">
        <f>-IF(AND(EZ$11&gt;=EOMONTH('Construction Budget'!$K60,0),EZ$11&lt;=EOMONTH('Construction Budget'!$M60,0)),('Construction Budget'!$G60+SUM($G203:EY203))/ROUND(((EOMONTH('Construction Budget'!$M60,0)-EOMONTH(EZ$11,0))/30)+1,0),0)</f>
        <v>0</v>
      </c>
      <c r="FA203" s="427">
        <f>-IF(AND(FA$11&gt;=EOMONTH('Construction Budget'!$K60,0),FA$11&lt;=EOMONTH('Construction Budget'!$M60,0)),('Construction Budget'!$G60+SUM($G203:EZ203))/ROUND(((EOMONTH('Construction Budget'!$M60,0)-EOMONTH(FA$11,0))/30)+1,0),0)</f>
        <v>0</v>
      </c>
      <c r="FB203" s="427">
        <f>-IF(AND(FB$11&gt;=EOMONTH('Construction Budget'!$K60,0),FB$11&lt;=EOMONTH('Construction Budget'!$M60,0)),('Construction Budget'!$G60+SUM($G203:FA203))/ROUND(((EOMONTH('Construction Budget'!$M60,0)-EOMONTH(FB$11,0))/30)+1,0),0)</f>
        <v>0</v>
      </c>
      <c r="FC203" s="427">
        <f>-IF(AND(FC$11&gt;=EOMONTH('Construction Budget'!$K60,0),FC$11&lt;=EOMONTH('Construction Budget'!$M60,0)),('Construction Budget'!$G60+SUM($G203:FB203))/ROUND(((EOMONTH('Construction Budget'!$M60,0)-EOMONTH(FC$11,0))/30)+1,0),0)</f>
        <v>0</v>
      </c>
      <c r="FD203" s="427">
        <f>-IF(AND(FD$11&gt;=EOMONTH('Construction Budget'!$K60,0),FD$11&lt;=EOMONTH('Construction Budget'!$M60,0)),('Construction Budget'!$G60+SUM($G203:FC203))/ROUND(((EOMONTH('Construction Budget'!$M60,0)-EOMONTH(FD$11,0))/30)+1,0),0)</f>
        <v>0</v>
      </c>
      <c r="FE203" s="427">
        <f>-IF(AND(FE$11&gt;=EOMONTH('Construction Budget'!$K60,0),FE$11&lt;=EOMONTH('Construction Budget'!$M60,0)),('Construction Budget'!$G60+SUM($G203:FD203))/ROUND(((EOMONTH('Construction Budget'!$M60,0)-EOMONTH(FE$11,0))/30)+1,0),0)</f>
        <v>0</v>
      </c>
      <c r="FF203" s="427">
        <f>-IF(AND(FF$11&gt;=EOMONTH('Construction Budget'!$K60,0),FF$11&lt;=EOMONTH('Construction Budget'!$M60,0)),('Construction Budget'!$G60+SUM($G203:FE203))/ROUND(((EOMONTH('Construction Budget'!$M60,0)-EOMONTH(FF$11,0))/30)+1,0),0)</f>
        <v>0</v>
      </c>
      <c r="FG203" s="427">
        <f>-IF(AND(FG$11&gt;=EOMONTH('Construction Budget'!$K60,0),FG$11&lt;=EOMONTH('Construction Budget'!$M60,0)),('Construction Budget'!$G60+SUM($G203:FF203))/ROUND(((EOMONTH('Construction Budget'!$M60,0)-EOMONTH(FG$11,0))/30)+1,0),0)</f>
        <v>0</v>
      </c>
      <c r="FH203" s="427">
        <f>-IF(AND(FH$11&gt;=EOMONTH('Construction Budget'!$K60,0),FH$11&lt;=EOMONTH('Construction Budget'!$M60,0)),('Construction Budget'!$G60+SUM($G203:FG203))/ROUND(((EOMONTH('Construction Budget'!$M60,0)-EOMONTH(FH$11,0))/30)+1,0),0)</f>
        <v>0</v>
      </c>
      <c r="FI203" s="427">
        <f>-IF(AND(FI$11&gt;=EOMONTH('Construction Budget'!$K60,0),FI$11&lt;=EOMONTH('Construction Budget'!$M60,0)),('Construction Budget'!$G60+SUM($G203:FH203))/ROUND(((EOMONTH('Construction Budget'!$M60,0)-EOMONTH(FI$11,0))/30)+1,0),0)</f>
        <v>0</v>
      </c>
      <c r="FJ203" s="427">
        <f>-IF(AND(FJ$11&gt;=EOMONTH('Construction Budget'!$K60,0),FJ$11&lt;=EOMONTH('Construction Budget'!$M60,0)),('Construction Budget'!$G60+SUM($G203:FI203))/ROUND(((EOMONTH('Construction Budget'!$M60,0)-EOMONTH(FJ$11,0))/30)+1,0),0)</f>
        <v>0</v>
      </c>
      <c r="FK203" s="427">
        <f>-IF(AND(FK$11&gt;=EOMONTH('Construction Budget'!$K60,0),FK$11&lt;=EOMONTH('Construction Budget'!$M60,0)),('Construction Budget'!$G60+SUM($G203:FJ203))/ROUND(((EOMONTH('Construction Budget'!$M60,0)-EOMONTH(FK$11,0))/30)+1,0),0)</f>
        <v>0</v>
      </c>
      <c r="FL203" s="427">
        <f>-IF(AND(FL$11&gt;=EOMONTH('Construction Budget'!$K60,0),FL$11&lt;=EOMONTH('Construction Budget'!$M60,0)),('Construction Budget'!$G60+SUM($G203:FK203))/ROUND(((EOMONTH('Construction Budget'!$M60,0)-EOMONTH(FL$11,0))/30)+1,0),0)</f>
        <v>0</v>
      </c>
      <c r="FM203" s="427">
        <f>-IF(AND(FM$11&gt;=EOMONTH('Construction Budget'!$K60,0),FM$11&lt;=EOMONTH('Construction Budget'!$M60,0)),('Construction Budget'!$G60+SUM($G203:FL203))/ROUND(((EOMONTH('Construction Budget'!$M60,0)-EOMONTH(FM$11,0))/30)+1,0),0)</f>
        <v>0</v>
      </c>
      <c r="FN203" s="427">
        <f>-IF(AND(FN$11&gt;=EOMONTH('Construction Budget'!$K60,0),FN$11&lt;=EOMONTH('Construction Budget'!$M60,0)),('Construction Budget'!$G60+SUM($G203:FM203))/ROUND(((EOMONTH('Construction Budget'!$M60,0)-EOMONTH(FN$11,0))/30)+1,0),0)</f>
        <v>0</v>
      </c>
      <c r="FO203" s="427">
        <f>-IF(AND(FO$11&gt;=EOMONTH('Construction Budget'!$K60,0),FO$11&lt;=EOMONTH('Construction Budget'!$M60,0)),('Construction Budget'!$G60+SUM($G203:FN203))/ROUND(((EOMONTH('Construction Budget'!$M60,0)-EOMONTH(FO$11,0))/30)+1,0),0)</f>
        <v>0</v>
      </c>
      <c r="FP203" s="427">
        <f>-IF(AND(FP$11&gt;=EOMONTH('Construction Budget'!$K60,0),FP$11&lt;=EOMONTH('Construction Budget'!$M60,0)),('Construction Budget'!$G60+SUM($G203:FO203))/ROUND(((EOMONTH('Construction Budget'!$M60,0)-EOMONTH(FP$11,0))/30)+1,0),0)</f>
        <v>0</v>
      </c>
      <c r="FQ203" s="427">
        <f>-IF(AND(FQ$11&gt;=EOMONTH('Construction Budget'!$K60,0),FQ$11&lt;=EOMONTH('Construction Budget'!$M60,0)),('Construction Budget'!$G60+SUM($G203:FP203))/ROUND(((EOMONTH('Construction Budget'!$M60,0)-EOMONTH(FQ$11,0))/30)+1,0),0)</f>
        <v>0</v>
      </c>
      <c r="FR203" s="427">
        <f>-IF(AND(FR$11&gt;=EOMONTH('Construction Budget'!$K60,0),FR$11&lt;=EOMONTH('Construction Budget'!$M60,0)),('Construction Budget'!$G60+SUM($G203:FQ203))/ROUND(((EOMONTH('Construction Budget'!$M60,0)-EOMONTH(FR$11,0))/30)+1,0),0)</f>
        <v>0</v>
      </c>
      <c r="FS203" s="427">
        <f>-IF(AND(FS$11&gt;=EOMONTH('Construction Budget'!$K60,0),FS$11&lt;=EOMONTH('Construction Budget'!$M60,0)),('Construction Budget'!$G60+SUM($G203:FR203))/ROUND(((EOMONTH('Construction Budget'!$M60,0)-EOMONTH(FS$11,0))/30)+1,0),0)</f>
        <v>0</v>
      </c>
      <c r="FT203" s="427">
        <f>-IF(AND(FT$11&gt;=EOMONTH('Construction Budget'!$K60,0),FT$11&lt;=EOMONTH('Construction Budget'!$M60,0)),('Construction Budget'!$G60+SUM($G203:FS203))/ROUND(((EOMONTH('Construction Budget'!$M60,0)-EOMONTH(FT$11,0))/30)+1,0),0)</f>
        <v>0</v>
      </c>
      <c r="FU203" s="43"/>
      <c r="FV203" s="34"/>
      <c r="FW203" s="34"/>
      <c r="FX203" s="34"/>
      <c r="FY203" s="34"/>
      <c r="FZ203" s="34"/>
    </row>
    <row r="204" spans="1:182" s="89" customFormat="1" ht="13.5" hidden="1" outlineLevel="1" x14ac:dyDescent="0.25">
      <c r="A204" s="498"/>
      <c r="B204" s="43" t="str">
        <f>'Construction Budget'!B61</f>
        <v>Blank</v>
      </c>
      <c r="C204" s="34"/>
      <c r="D204" s="34"/>
      <c r="E204" s="34"/>
      <c r="F204" s="434">
        <f t="shared" si="236"/>
        <v>0</v>
      </c>
      <c r="G204" s="34"/>
      <c r="H204" s="427">
        <f>-IF(AND(H$11&gt;=EOMONTH('Construction Budget'!$K61,0),H$11&lt;=EOMONTH('Construction Budget'!$M61,0)),('Construction Budget'!$G61+SUM($G204:G204))/ROUND(((EOMONTH('Construction Budget'!$M61,0)-EOMONTH(H$11,0))/30)+1,0),0)</f>
        <v>0</v>
      </c>
      <c r="I204" s="427">
        <f>-IF(AND(I$11&gt;=EOMONTH('Construction Budget'!$K61,0),I$11&lt;=EOMONTH('Construction Budget'!$M61,0)),('Construction Budget'!$G61+SUM($G204:H204))/ROUND(((EOMONTH('Construction Budget'!$M61,0)-EOMONTH(I$11,0))/30)+1,0),0)</f>
        <v>0</v>
      </c>
      <c r="J204" s="427">
        <f>-IF(AND(J$11&gt;=EOMONTH('Construction Budget'!$K61,0),J$11&lt;=EOMONTH('Construction Budget'!$M61,0)),('Construction Budget'!$G61+SUM($G204:I204))/ROUND(((EOMONTH('Construction Budget'!$M61,0)-EOMONTH(J$11,0))/30)+1,0),0)</f>
        <v>0</v>
      </c>
      <c r="K204" s="427">
        <f>-IF(AND(K$11&gt;=EOMONTH('Construction Budget'!$K61,0),K$11&lt;=EOMONTH('Construction Budget'!$M61,0)),('Construction Budget'!$G61+SUM($G204:J204))/ROUND(((EOMONTH('Construction Budget'!$M61,0)-EOMONTH(K$11,0))/30)+1,0),0)</f>
        <v>0</v>
      </c>
      <c r="L204" s="427">
        <f>-IF(AND(L$11&gt;=EOMONTH('Construction Budget'!$K61,0),L$11&lt;=EOMONTH('Construction Budget'!$M61,0)),('Construction Budget'!$G61+SUM($G204:K204))/ROUND(((EOMONTH('Construction Budget'!$M61,0)-EOMONTH(L$11,0))/30)+1,0),0)</f>
        <v>0</v>
      </c>
      <c r="M204" s="427">
        <f>-IF(AND(M$11&gt;=EOMONTH('Construction Budget'!$K61,0),M$11&lt;=EOMONTH('Construction Budget'!$M61,0)),('Construction Budget'!$G61+SUM($G204:L204))/ROUND(((EOMONTH('Construction Budget'!$M61,0)-EOMONTH(M$11,0))/30)+1,0),0)</f>
        <v>0</v>
      </c>
      <c r="N204" s="427">
        <f>-IF(AND(N$11&gt;=EOMONTH('Construction Budget'!$K61,0),N$11&lt;=EOMONTH('Construction Budget'!$M61,0)),('Construction Budget'!$G61+SUM($G204:M204))/ROUND(((EOMONTH('Construction Budget'!$M61,0)-EOMONTH(N$11,0))/30)+1,0),0)</f>
        <v>0</v>
      </c>
      <c r="O204" s="427">
        <f>-IF(AND(O$11&gt;=EOMONTH('Construction Budget'!$K61,0),O$11&lt;=EOMONTH('Construction Budget'!$M61,0)),('Construction Budget'!$G61+SUM($G204:N204))/ROUND(((EOMONTH('Construction Budget'!$M61,0)-EOMONTH(O$11,0))/30)+1,0),0)</f>
        <v>0</v>
      </c>
      <c r="P204" s="427">
        <f>-IF(AND(P$11&gt;=EOMONTH('Construction Budget'!$K61,0),P$11&lt;=EOMONTH('Construction Budget'!$M61,0)),('Construction Budget'!$G61+SUM($G204:O204))/ROUND(((EOMONTH('Construction Budget'!$M61,0)-EOMONTH(P$11,0))/30)+1,0),0)</f>
        <v>0</v>
      </c>
      <c r="Q204" s="427">
        <f>-IF(AND(Q$11&gt;=EOMONTH('Construction Budget'!$K61,0),Q$11&lt;=EOMONTH('Construction Budget'!$M61,0)),('Construction Budget'!$G61+SUM($G204:P204))/ROUND(((EOMONTH('Construction Budget'!$M61,0)-EOMONTH(Q$11,0))/30)+1,0),0)</f>
        <v>0</v>
      </c>
      <c r="R204" s="427">
        <f>-IF(AND(R$11&gt;=EOMONTH('Construction Budget'!$K61,0),R$11&lt;=EOMONTH('Construction Budget'!$M61,0)),('Construction Budget'!$G61+SUM($G204:Q204))/ROUND(((EOMONTH('Construction Budget'!$M61,0)-EOMONTH(R$11,0))/30)+1,0),0)</f>
        <v>0</v>
      </c>
      <c r="S204" s="427">
        <f>-IF(AND(S$11&gt;=EOMONTH('Construction Budget'!$K61,0),S$11&lt;=EOMONTH('Construction Budget'!$M61,0)),('Construction Budget'!$G61+SUM($G204:R204))/ROUND(((EOMONTH('Construction Budget'!$M61,0)-EOMONTH(S$11,0))/30)+1,0),0)</f>
        <v>0</v>
      </c>
      <c r="T204" s="427">
        <f>-IF(AND(T$11&gt;=EOMONTH('Construction Budget'!$K61,0),T$11&lt;=EOMONTH('Construction Budget'!$M61,0)),('Construction Budget'!$G61+SUM($G204:S204))/ROUND(((EOMONTH('Construction Budget'!$M61,0)-EOMONTH(T$11,0))/30)+1,0),0)</f>
        <v>0</v>
      </c>
      <c r="U204" s="427">
        <f>-IF(AND(U$11&gt;=EOMONTH('Construction Budget'!$K61,0),U$11&lt;=EOMONTH('Construction Budget'!$M61,0)),('Construction Budget'!$G61+SUM($G204:T204))/ROUND(((EOMONTH('Construction Budget'!$M61,0)-EOMONTH(U$11,0))/30)+1,0),0)</f>
        <v>0</v>
      </c>
      <c r="V204" s="427">
        <f>-IF(AND(V$11&gt;=EOMONTH('Construction Budget'!$K61,0),V$11&lt;=EOMONTH('Construction Budget'!$M61,0)),('Construction Budget'!$G61+SUM($G204:U204))/ROUND(((EOMONTH('Construction Budget'!$M61,0)-EOMONTH(V$11,0))/30)+1,0),0)</f>
        <v>0</v>
      </c>
      <c r="W204" s="427">
        <f>-IF(AND(W$11&gt;=EOMONTH('Construction Budget'!$K61,0),W$11&lt;=EOMONTH('Construction Budget'!$M61,0)),('Construction Budget'!$G61+SUM($G204:V204))/ROUND(((EOMONTH('Construction Budget'!$M61,0)-EOMONTH(W$11,0))/30)+1,0),0)</f>
        <v>0</v>
      </c>
      <c r="X204" s="427">
        <f>-IF(AND(X$11&gt;=EOMONTH('Construction Budget'!$K61,0),X$11&lt;=EOMONTH('Construction Budget'!$M61,0)),('Construction Budget'!$G61+SUM($G204:W204))/ROUND(((EOMONTH('Construction Budget'!$M61,0)-EOMONTH(X$11,0))/30)+1,0),0)</f>
        <v>0</v>
      </c>
      <c r="Y204" s="427">
        <f>-IF(AND(Y$11&gt;=EOMONTH('Construction Budget'!$K61,0),Y$11&lt;=EOMONTH('Construction Budget'!$M61,0)),('Construction Budget'!$G61+SUM($G204:X204))/ROUND(((EOMONTH('Construction Budget'!$M61,0)-EOMONTH(Y$11,0))/30)+1,0),0)</f>
        <v>0</v>
      </c>
      <c r="Z204" s="427">
        <f>-IF(AND(Z$11&gt;=EOMONTH('Construction Budget'!$K61,0),Z$11&lt;=EOMONTH('Construction Budget'!$M61,0)),('Construction Budget'!$G61+SUM($G204:Y204))/ROUND(((EOMONTH('Construction Budget'!$M61,0)-EOMONTH(Z$11,0))/30)+1,0),0)</f>
        <v>0</v>
      </c>
      <c r="AA204" s="427">
        <f>-IF(AND(AA$11&gt;=EOMONTH('Construction Budget'!$K61,0),AA$11&lt;=EOMONTH('Construction Budget'!$M61,0)),('Construction Budget'!$G61+SUM($G204:Z204))/ROUND(((EOMONTH('Construction Budget'!$M61,0)-EOMONTH(AA$11,0))/30)+1,0),0)</f>
        <v>0</v>
      </c>
      <c r="AB204" s="427">
        <f>-IF(AND(AB$11&gt;=EOMONTH('Construction Budget'!$K61,0),AB$11&lt;=EOMONTH('Construction Budget'!$M61,0)),('Construction Budget'!$G61+SUM($G204:AA204))/ROUND(((EOMONTH('Construction Budget'!$M61,0)-EOMONTH(AB$11,0))/30)+1,0),0)</f>
        <v>0</v>
      </c>
      <c r="AC204" s="427">
        <f>-IF(AND(AC$11&gt;=EOMONTH('Construction Budget'!$K61,0),AC$11&lt;=EOMONTH('Construction Budget'!$M61,0)),('Construction Budget'!$G61+SUM($G204:AB204))/ROUND(((EOMONTH('Construction Budget'!$M61,0)-EOMONTH(AC$11,0))/30)+1,0),0)</f>
        <v>0</v>
      </c>
      <c r="AD204" s="427">
        <f>-IF(AND(AD$11&gt;=EOMONTH('Construction Budget'!$K61,0),AD$11&lt;=EOMONTH('Construction Budget'!$M61,0)),('Construction Budget'!$G61+SUM($G204:AC204))/ROUND(((EOMONTH('Construction Budget'!$M61,0)-EOMONTH(AD$11,0))/30)+1,0),0)</f>
        <v>0</v>
      </c>
      <c r="AE204" s="427">
        <f>-IF(AND(AE$11&gt;=EOMONTH('Construction Budget'!$K61,0),AE$11&lt;=EOMONTH('Construction Budget'!$M61,0)),('Construction Budget'!$G61+SUM($G204:AD204))/ROUND(((EOMONTH('Construction Budget'!$M61,0)-EOMONTH(AE$11,0))/30)+1,0),0)</f>
        <v>0</v>
      </c>
      <c r="AF204" s="427">
        <f>-IF(AND(AF$11&gt;=EOMONTH('Construction Budget'!$K61,0),AF$11&lt;=EOMONTH('Construction Budget'!$M61,0)),('Construction Budget'!$G61+SUM($G204:AE204))/ROUND(((EOMONTH('Construction Budget'!$M61,0)-EOMONTH(AF$11,0))/30)+1,0),0)</f>
        <v>0</v>
      </c>
      <c r="AG204" s="427">
        <f>-IF(AND(AG$11&gt;=EOMONTH('Construction Budget'!$K61,0),AG$11&lt;=EOMONTH('Construction Budget'!$M61,0)),('Construction Budget'!$G61+SUM($G204:AF204))/ROUND(((EOMONTH('Construction Budget'!$M61,0)-EOMONTH(AG$11,0))/30)+1,0),0)</f>
        <v>0</v>
      </c>
      <c r="AH204" s="427">
        <f>-IF(AND(AH$11&gt;=EOMONTH('Construction Budget'!$K61,0),AH$11&lt;=EOMONTH('Construction Budget'!$M61,0)),('Construction Budget'!$G61+SUM($G204:AG204))/ROUND(((EOMONTH('Construction Budget'!$M61,0)-EOMONTH(AH$11,0))/30)+1,0),0)</f>
        <v>0</v>
      </c>
      <c r="AI204" s="427">
        <f>-IF(AND(AI$11&gt;=EOMONTH('Construction Budget'!$K61,0),AI$11&lt;=EOMONTH('Construction Budget'!$M61,0)),('Construction Budget'!$G61+SUM($G204:AH204))/ROUND(((EOMONTH('Construction Budget'!$M61,0)-EOMONTH(AI$11,0))/30)+1,0),0)</f>
        <v>0</v>
      </c>
      <c r="AJ204" s="427">
        <f>-IF(AND(AJ$11&gt;=EOMONTH('Construction Budget'!$K61,0),AJ$11&lt;=EOMONTH('Construction Budget'!$M61,0)),('Construction Budget'!$G61+SUM($G204:AI204))/ROUND(((EOMONTH('Construction Budget'!$M61,0)-EOMONTH(AJ$11,0))/30)+1,0),0)</f>
        <v>0</v>
      </c>
      <c r="AK204" s="427">
        <f>-IF(AND(AK$11&gt;=EOMONTH('Construction Budget'!$K61,0),AK$11&lt;=EOMONTH('Construction Budget'!$M61,0)),('Construction Budget'!$G61+SUM($G204:AJ204))/ROUND(((EOMONTH('Construction Budget'!$M61,0)-EOMONTH(AK$11,0))/30)+1,0),0)</f>
        <v>0</v>
      </c>
      <c r="AL204" s="427">
        <f>-IF(AND(AL$11&gt;=EOMONTH('Construction Budget'!$K61,0),AL$11&lt;=EOMONTH('Construction Budget'!$M61,0)),('Construction Budget'!$G61+SUM($G204:AK204))/ROUND(((EOMONTH('Construction Budget'!$M61,0)-EOMONTH(AL$11,0))/30)+1,0),0)</f>
        <v>0</v>
      </c>
      <c r="AM204" s="427">
        <f>-IF(AND(AM$11&gt;=EOMONTH('Construction Budget'!$K61,0),AM$11&lt;=EOMONTH('Construction Budget'!$M61,0)),('Construction Budget'!$G61+SUM($G204:AL204))/ROUND(((EOMONTH('Construction Budget'!$M61,0)-EOMONTH(AM$11,0))/30)+1,0),0)</f>
        <v>0</v>
      </c>
      <c r="AN204" s="427">
        <f>-IF(AND(AN$11&gt;=EOMONTH('Construction Budget'!$K61,0),AN$11&lt;=EOMONTH('Construction Budget'!$M61,0)),('Construction Budget'!$G61+SUM($G204:AM204))/ROUND(((EOMONTH('Construction Budget'!$M61,0)-EOMONTH(AN$11,0))/30)+1,0),0)</f>
        <v>0</v>
      </c>
      <c r="AO204" s="427">
        <f>-IF(AND(AO$11&gt;=EOMONTH('Construction Budget'!$K61,0),AO$11&lt;=EOMONTH('Construction Budget'!$M61,0)),('Construction Budget'!$G61+SUM($G204:AN204))/ROUND(((EOMONTH('Construction Budget'!$M61,0)-EOMONTH(AO$11,0))/30)+1,0),0)</f>
        <v>0</v>
      </c>
      <c r="AP204" s="427">
        <f>-IF(AND(AP$11&gt;=EOMONTH('Construction Budget'!$K61,0),AP$11&lt;=EOMONTH('Construction Budget'!$M61,0)),('Construction Budget'!$G61+SUM($G204:AO204))/ROUND(((EOMONTH('Construction Budget'!$M61,0)-EOMONTH(AP$11,0))/30)+1,0),0)</f>
        <v>0</v>
      </c>
      <c r="AQ204" s="427">
        <f>-IF(AND(AQ$11&gt;=EOMONTH('Construction Budget'!$K61,0),AQ$11&lt;=EOMONTH('Construction Budget'!$M61,0)),('Construction Budget'!$G61+SUM($G204:AP204))/ROUND(((EOMONTH('Construction Budget'!$M61,0)-EOMONTH(AQ$11,0))/30)+1,0),0)</f>
        <v>0</v>
      </c>
      <c r="AR204" s="427">
        <f>-IF(AND(AR$11&gt;=EOMONTH('Construction Budget'!$K61,0),AR$11&lt;=EOMONTH('Construction Budget'!$M61,0)),('Construction Budget'!$G61+SUM($G204:AQ204))/ROUND(((EOMONTH('Construction Budget'!$M61,0)-EOMONTH(AR$11,0))/30)+1,0),0)</f>
        <v>0</v>
      </c>
      <c r="AS204" s="427">
        <f>-IF(AND(AS$11&gt;=EOMONTH('Construction Budget'!$K61,0),AS$11&lt;=EOMONTH('Construction Budget'!$M61,0)),('Construction Budget'!$G61+SUM($G204:AR204))/ROUND(((EOMONTH('Construction Budget'!$M61,0)-EOMONTH(AS$11,0))/30)+1,0),0)</f>
        <v>0</v>
      </c>
      <c r="AT204" s="427">
        <f>-IF(AND(AT$11&gt;=EOMONTH('Construction Budget'!$K61,0),AT$11&lt;=EOMONTH('Construction Budget'!$M61,0)),('Construction Budget'!$G61+SUM($G204:AS204))/ROUND(((EOMONTH('Construction Budget'!$M61,0)-EOMONTH(AT$11,0))/30)+1,0),0)</f>
        <v>0</v>
      </c>
      <c r="AU204" s="427">
        <f>-IF(AND(AU$11&gt;=EOMONTH('Construction Budget'!$K61,0),AU$11&lt;=EOMONTH('Construction Budget'!$M61,0)),('Construction Budget'!$G61+SUM($G204:AT204))/ROUND(((EOMONTH('Construction Budget'!$M61,0)-EOMONTH(AU$11,0))/30)+1,0),0)</f>
        <v>0</v>
      </c>
      <c r="AV204" s="427">
        <f>-IF(AND(AV$11&gt;=EOMONTH('Construction Budget'!$K61,0),AV$11&lt;=EOMONTH('Construction Budget'!$M61,0)),('Construction Budget'!$G61+SUM($G204:AU204))/ROUND(((EOMONTH('Construction Budget'!$M61,0)-EOMONTH(AV$11,0))/30)+1,0),0)</f>
        <v>0</v>
      </c>
      <c r="AW204" s="427">
        <f>-IF(AND(AW$11&gt;=EOMONTH('Construction Budget'!$K61,0),AW$11&lt;=EOMONTH('Construction Budget'!$M61,0)),('Construction Budget'!$G61+SUM($G204:AV204))/ROUND(((EOMONTH('Construction Budget'!$M61,0)-EOMONTH(AW$11,0))/30)+1,0),0)</f>
        <v>0</v>
      </c>
      <c r="AX204" s="427">
        <f>-IF(AND(AX$11&gt;=EOMONTH('Construction Budget'!$K61,0),AX$11&lt;=EOMONTH('Construction Budget'!$M61,0)),('Construction Budget'!$G61+SUM($G204:AW204))/ROUND(((EOMONTH('Construction Budget'!$M61,0)-EOMONTH(AX$11,0))/30)+1,0),0)</f>
        <v>0</v>
      </c>
      <c r="AY204" s="427">
        <f>-IF(AND(AY$11&gt;=EOMONTH('Construction Budget'!$K61,0),AY$11&lt;=EOMONTH('Construction Budget'!$M61,0)),('Construction Budget'!$G61+SUM($G204:AX204))/ROUND(((EOMONTH('Construction Budget'!$M61,0)-EOMONTH(AY$11,0))/30)+1,0),0)</f>
        <v>0</v>
      </c>
      <c r="AZ204" s="427">
        <f>-IF(AND(AZ$11&gt;=EOMONTH('Construction Budget'!$K61,0),AZ$11&lt;=EOMONTH('Construction Budget'!$M61,0)),('Construction Budget'!$G61+SUM($G204:AY204))/ROUND(((EOMONTH('Construction Budget'!$M61,0)-EOMONTH(AZ$11,0))/30)+1,0),0)</f>
        <v>0</v>
      </c>
      <c r="BA204" s="427">
        <f>-IF(AND(BA$11&gt;=EOMONTH('Construction Budget'!$K61,0),BA$11&lt;=EOMONTH('Construction Budget'!$M61,0)),('Construction Budget'!$G61+SUM($G204:AZ204))/ROUND(((EOMONTH('Construction Budget'!$M61,0)-EOMONTH(BA$11,0))/30)+1,0),0)</f>
        <v>0</v>
      </c>
      <c r="BB204" s="427">
        <f>-IF(AND(BB$11&gt;=EOMONTH('Construction Budget'!$K61,0),BB$11&lt;=EOMONTH('Construction Budget'!$M61,0)),('Construction Budget'!$G61+SUM($G204:BA204))/ROUND(((EOMONTH('Construction Budget'!$M61,0)-EOMONTH(BB$11,0))/30)+1,0),0)</f>
        <v>0</v>
      </c>
      <c r="BC204" s="427">
        <f>-IF(AND(BC$11&gt;=EOMONTH('Construction Budget'!$K61,0),BC$11&lt;=EOMONTH('Construction Budget'!$M61,0)),('Construction Budget'!$G61+SUM($G204:BB204))/ROUND(((EOMONTH('Construction Budget'!$M61,0)-EOMONTH(BC$11,0))/30)+1,0),0)</f>
        <v>0</v>
      </c>
      <c r="BD204" s="427">
        <f>-IF(AND(BD$11&gt;=EOMONTH('Construction Budget'!$K61,0),BD$11&lt;=EOMONTH('Construction Budget'!$M61,0)),('Construction Budget'!$G61+SUM($G204:BC204))/ROUND(((EOMONTH('Construction Budget'!$M61,0)-EOMONTH(BD$11,0))/30)+1,0),0)</f>
        <v>0</v>
      </c>
      <c r="BE204" s="427">
        <f>-IF(AND(BE$11&gt;=EOMONTH('Construction Budget'!$K61,0),BE$11&lt;=EOMONTH('Construction Budget'!$M61,0)),('Construction Budget'!$G61+SUM($G204:BD204))/ROUND(((EOMONTH('Construction Budget'!$M61,0)-EOMONTH(BE$11,0))/30)+1,0),0)</f>
        <v>0</v>
      </c>
      <c r="BF204" s="427">
        <f>-IF(AND(BF$11&gt;=EOMONTH('Construction Budget'!$K61,0),BF$11&lt;=EOMONTH('Construction Budget'!$M61,0)),('Construction Budget'!$G61+SUM($G204:BE204))/ROUND(((EOMONTH('Construction Budget'!$M61,0)-EOMONTH(BF$11,0))/30)+1,0),0)</f>
        <v>0</v>
      </c>
      <c r="BG204" s="427">
        <f>-IF(AND(BG$11&gt;=EOMONTH('Construction Budget'!$K61,0),BG$11&lt;=EOMONTH('Construction Budget'!$M61,0)),('Construction Budget'!$G61+SUM($G204:BF204))/ROUND(((EOMONTH('Construction Budget'!$M61,0)-EOMONTH(BG$11,0))/30)+1,0),0)</f>
        <v>0</v>
      </c>
      <c r="BH204" s="427">
        <f>-IF(AND(BH$11&gt;=EOMONTH('Construction Budget'!$K61,0),BH$11&lt;=EOMONTH('Construction Budget'!$M61,0)),('Construction Budget'!$G61+SUM($G204:BG204))/ROUND(((EOMONTH('Construction Budget'!$M61,0)-EOMONTH(BH$11,0))/30)+1,0),0)</f>
        <v>0</v>
      </c>
      <c r="BI204" s="427">
        <f>-IF(AND(BI$11&gt;=EOMONTH('Construction Budget'!$K61,0),BI$11&lt;=EOMONTH('Construction Budget'!$M61,0)),('Construction Budget'!$G61+SUM($G204:BH204))/ROUND(((EOMONTH('Construction Budget'!$M61,0)-EOMONTH(BI$11,0))/30)+1,0),0)</f>
        <v>0</v>
      </c>
      <c r="BJ204" s="427">
        <f>-IF(AND(BJ$11&gt;=EOMONTH('Construction Budget'!$K61,0),BJ$11&lt;=EOMONTH('Construction Budget'!$M61,0)),('Construction Budget'!$G61+SUM($G204:BI204))/ROUND(((EOMONTH('Construction Budget'!$M61,0)-EOMONTH(BJ$11,0))/30)+1,0),0)</f>
        <v>0</v>
      </c>
      <c r="BK204" s="427">
        <f>-IF(AND(BK$11&gt;=EOMONTH('Construction Budget'!$K61,0),BK$11&lt;=EOMONTH('Construction Budget'!$M61,0)),('Construction Budget'!$G61+SUM($G204:BJ204))/ROUND(((EOMONTH('Construction Budget'!$M61,0)-EOMONTH(BK$11,0))/30)+1,0),0)</f>
        <v>0</v>
      </c>
      <c r="BL204" s="427">
        <f>-IF(AND(BL$11&gt;=EOMONTH('Construction Budget'!$K61,0),BL$11&lt;=EOMONTH('Construction Budget'!$M61,0)),('Construction Budget'!$G61+SUM($G204:BK204))/ROUND(((EOMONTH('Construction Budget'!$M61,0)-EOMONTH(BL$11,0))/30)+1,0),0)</f>
        <v>0</v>
      </c>
      <c r="BM204" s="427">
        <f>-IF(AND(BM$11&gt;=EOMONTH('Construction Budget'!$K61,0),BM$11&lt;=EOMONTH('Construction Budget'!$M61,0)),('Construction Budget'!$G61+SUM($G204:BL204))/ROUND(((EOMONTH('Construction Budget'!$M61,0)-EOMONTH(BM$11,0))/30)+1,0),0)</f>
        <v>0</v>
      </c>
      <c r="BN204" s="427">
        <f>-IF(AND(BN$11&gt;=EOMONTH('Construction Budget'!$K61,0),BN$11&lt;=EOMONTH('Construction Budget'!$M61,0)),('Construction Budget'!$G61+SUM($G204:BM204))/ROUND(((EOMONTH('Construction Budget'!$M61,0)-EOMONTH(BN$11,0))/30)+1,0),0)</f>
        <v>0</v>
      </c>
      <c r="BO204" s="427">
        <f>-IF(AND(BO$11&gt;=EOMONTH('Construction Budget'!$K61,0),BO$11&lt;=EOMONTH('Construction Budget'!$M61,0)),('Construction Budget'!$G61+SUM($G204:BN204))/ROUND(((EOMONTH('Construction Budget'!$M61,0)-EOMONTH(BO$11,0))/30)+1,0),0)</f>
        <v>0</v>
      </c>
      <c r="BP204" s="427">
        <f>-IF(AND(BP$11&gt;=EOMONTH('Construction Budget'!$K61,0),BP$11&lt;=EOMONTH('Construction Budget'!$M61,0)),('Construction Budget'!$G61+SUM($G204:BO204))/ROUND(((EOMONTH('Construction Budget'!$M61,0)-EOMONTH(BP$11,0))/30)+1,0),0)</f>
        <v>0</v>
      </c>
      <c r="BQ204" s="427">
        <f>-IF(AND(BQ$11&gt;=EOMONTH('Construction Budget'!$K61,0),BQ$11&lt;=EOMONTH('Construction Budget'!$M61,0)),('Construction Budget'!$G61+SUM($G204:BP204))/ROUND(((EOMONTH('Construction Budget'!$M61,0)-EOMONTH(BQ$11,0))/30)+1,0),0)</f>
        <v>0</v>
      </c>
      <c r="BR204" s="427">
        <f>-IF(AND(BR$11&gt;=EOMONTH('Construction Budget'!$K61,0),BR$11&lt;=EOMONTH('Construction Budget'!$M61,0)),('Construction Budget'!$G61+SUM($G204:BQ204))/ROUND(((EOMONTH('Construction Budget'!$M61,0)-EOMONTH(BR$11,0))/30)+1,0),0)</f>
        <v>0</v>
      </c>
      <c r="BS204" s="427">
        <f>-IF(AND(BS$11&gt;=EOMONTH('Construction Budget'!$K61,0),BS$11&lt;=EOMONTH('Construction Budget'!$M61,0)),('Construction Budget'!$G61+SUM($G204:BR204))/ROUND(((EOMONTH('Construction Budget'!$M61,0)-EOMONTH(BS$11,0))/30)+1,0),0)</f>
        <v>0</v>
      </c>
      <c r="BT204" s="427">
        <f>-IF(AND(BT$11&gt;=EOMONTH('Construction Budget'!$K61,0),BT$11&lt;=EOMONTH('Construction Budget'!$M61,0)),('Construction Budget'!$G61+SUM($G204:BS204))/ROUND(((EOMONTH('Construction Budget'!$M61,0)-EOMONTH(BT$11,0))/30)+1,0),0)</f>
        <v>0</v>
      </c>
      <c r="BU204" s="427">
        <f>-IF(AND(BU$11&gt;=EOMONTH('Construction Budget'!$K61,0),BU$11&lt;=EOMONTH('Construction Budget'!$M61,0)),('Construction Budget'!$G61+SUM($G204:BT204))/ROUND(((EOMONTH('Construction Budget'!$M61,0)-EOMONTH(BU$11,0))/30)+1,0),0)</f>
        <v>0</v>
      </c>
      <c r="BV204" s="427">
        <f>-IF(AND(BV$11&gt;=EOMONTH('Construction Budget'!$K61,0),BV$11&lt;=EOMONTH('Construction Budget'!$M61,0)),('Construction Budget'!$G61+SUM($G204:BU204))/ROUND(((EOMONTH('Construction Budget'!$M61,0)-EOMONTH(BV$11,0))/30)+1,0),0)</f>
        <v>0</v>
      </c>
      <c r="BW204" s="427">
        <f>-IF(AND(BW$11&gt;=EOMONTH('Construction Budget'!$K61,0),BW$11&lt;=EOMONTH('Construction Budget'!$M61,0)),('Construction Budget'!$G61+SUM($G204:BV204))/ROUND(((EOMONTH('Construction Budget'!$M61,0)-EOMONTH(BW$11,0))/30)+1,0),0)</f>
        <v>0</v>
      </c>
      <c r="BX204" s="427">
        <f>-IF(AND(BX$11&gt;=EOMONTH('Construction Budget'!$K61,0),BX$11&lt;=EOMONTH('Construction Budget'!$M61,0)),('Construction Budget'!$G61+SUM($G204:BW204))/ROUND(((EOMONTH('Construction Budget'!$M61,0)-EOMONTH(BX$11,0))/30)+1,0),0)</f>
        <v>0</v>
      </c>
      <c r="BY204" s="427">
        <f>-IF(AND(BY$11&gt;=EOMONTH('Construction Budget'!$K61,0),BY$11&lt;=EOMONTH('Construction Budget'!$M61,0)),('Construction Budget'!$G61+SUM($G204:BX204))/ROUND(((EOMONTH('Construction Budget'!$M61,0)-EOMONTH(BY$11,0))/30)+1,0),0)</f>
        <v>0</v>
      </c>
      <c r="BZ204" s="427">
        <f>-IF(AND(BZ$11&gt;=EOMONTH('Construction Budget'!$K61,0),BZ$11&lt;=EOMONTH('Construction Budget'!$M61,0)),('Construction Budget'!$G61+SUM($G204:BY204))/ROUND(((EOMONTH('Construction Budget'!$M61,0)-EOMONTH(BZ$11,0))/30)+1,0),0)</f>
        <v>0</v>
      </c>
      <c r="CA204" s="427">
        <f>-IF(AND(CA$11&gt;=EOMONTH('Construction Budget'!$K61,0),CA$11&lt;=EOMONTH('Construction Budget'!$M61,0)),('Construction Budget'!$G61+SUM($G204:BZ204))/ROUND(((EOMONTH('Construction Budget'!$M61,0)-EOMONTH(CA$11,0))/30)+1,0),0)</f>
        <v>0</v>
      </c>
      <c r="CB204" s="427">
        <f>-IF(AND(CB$11&gt;=EOMONTH('Construction Budget'!$K61,0),CB$11&lt;=EOMONTH('Construction Budget'!$M61,0)),('Construction Budget'!$G61+SUM($G204:CA204))/ROUND(((EOMONTH('Construction Budget'!$M61,0)-EOMONTH(CB$11,0))/30)+1,0),0)</f>
        <v>0</v>
      </c>
      <c r="CC204" s="427">
        <f>-IF(AND(CC$11&gt;=EOMONTH('Construction Budget'!$K61,0),CC$11&lt;=EOMONTH('Construction Budget'!$M61,0)),('Construction Budget'!$G61+SUM($G204:CB204))/ROUND(((EOMONTH('Construction Budget'!$M61,0)-EOMONTH(CC$11,0))/30)+1,0),0)</f>
        <v>0</v>
      </c>
      <c r="CD204" s="427">
        <f>-IF(AND(CD$11&gt;=EOMONTH('Construction Budget'!$K61,0),CD$11&lt;=EOMONTH('Construction Budget'!$M61,0)),('Construction Budget'!$G61+SUM($G204:CC204))/ROUND(((EOMONTH('Construction Budget'!$M61,0)-EOMONTH(CD$11,0))/30)+1,0),0)</f>
        <v>0</v>
      </c>
      <c r="CE204" s="427">
        <f>-IF(AND(CE$11&gt;=EOMONTH('Construction Budget'!$K61,0),CE$11&lt;=EOMONTH('Construction Budget'!$M61,0)),('Construction Budget'!$G61+SUM($G204:CD204))/ROUND(((EOMONTH('Construction Budget'!$M61,0)-EOMONTH(CE$11,0))/30)+1,0),0)</f>
        <v>0</v>
      </c>
      <c r="CF204" s="427">
        <f>-IF(AND(CF$11&gt;=EOMONTH('Construction Budget'!$K61,0),CF$11&lt;=EOMONTH('Construction Budget'!$M61,0)),('Construction Budget'!$G61+SUM($G204:CE204))/ROUND(((EOMONTH('Construction Budget'!$M61,0)-EOMONTH(CF$11,0))/30)+1,0),0)</f>
        <v>0</v>
      </c>
      <c r="CG204" s="427">
        <f>-IF(AND(CG$11&gt;=EOMONTH('Construction Budget'!$K61,0),CG$11&lt;=EOMONTH('Construction Budget'!$M61,0)),('Construction Budget'!$G61+SUM($G204:CF204))/ROUND(((EOMONTH('Construction Budget'!$M61,0)-EOMONTH(CG$11,0))/30)+1,0),0)</f>
        <v>0</v>
      </c>
      <c r="CH204" s="427">
        <f>-IF(AND(CH$11&gt;=EOMONTH('Construction Budget'!$K61,0),CH$11&lt;=EOMONTH('Construction Budget'!$M61,0)),('Construction Budget'!$G61+SUM($G204:CG204))/ROUND(((EOMONTH('Construction Budget'!$M61,0)-EOMONTH(CH$11,0))/30)+1,0),0)</f>
        <v>0</v>
      </c>
      <c r="CI204" s="427">
        <f>-IF(AND(CI$11&gt;=EOMONTH('Construction Budget'!$K61,0),CI$11&lt;=EOMONTH('Construction Budget'!$M61,0)),('Construction Budget'!$G61+SUM($G204:CH204))/ROUND(((EOMONTH('Construction Budget'!$M61,0)-EOMONTH(CI$11,0))/30)+1,0),0)</f>
        <v>0</v>
      </c>
      <c r="CJ204" s="427">
        <f>-IF(AND(CJ$11&gt;=EOMONTH('Construction Budget'!$K61,0),CJ$11&lt;=EOMONTH('Construction Budget'!$M61,0)),('Construction Budget'!$G61+SUM($G204:CI204))/ROUND(((EOMONTH('Construction Budget'!$M61,0)-EOMONTH(CJ$11,0))/30)+1,0),0)</f>
        <v>0</v>
      </c>
      <c r="CK204" s="427">
        <f>-IF(AND(CK$11&gt;=EOMONTH('Construction Budget'!$K61,0),CK$11&lt;=EOMONTH('Construction Budget'!$M61,0)),('Construction Budget'!$G61+SUM($G204:CJ204))/ROUND(((EOMONTH('Construction Budget'!$M61,0)-EOMONTH(CK$11,0))/30)+1,0),0)</f>
        <v>0</v>
      </c>
      <c r="CL204" s="427">
        <f>-IF(AND(CL$11&gt;=EOMONTH('Construction Budget'!$K61,0),CL$11&lt;=EOMONTH('Construction Budget'!$M61,0)),('Construction Budget'!$G61+SUM($G204:CK204))/ROUND(((EOMONTH('Construction Budget'!$M61,0)-EOMONTH(CL$11,0))/30)+1,0),0)</f>
        <v>0</v>
      </c>
      <c r="CM204" s="427">
        <f>-IF(AND(CM$11&gt;=EOMONTH('Construction Budget'!$K61,0),CM$11&lt;=EOMONTH('Construction Budget'!$M61,0)),('Construction Budget'!$G61+SUM($G204:CL204))/ROUND(((EOMONTH('Construction Budget'!$M61,0)-EOMONTH(CM$11,0))/30)+1,0),0)</f>
        <v>0</v>
      </c>
      <c r="CN204" s="427">
        <f>-IF(AND(CN$11&gt;=EOMONTH('Construction Budget'!$K61,0),CN$11&lt;=EOMONTH('Construction Budget'!$M61,0)),('Construction Budget'!$G61+SUM($G204:CM204))/ROUND(((EOMONTH('Construction Budget'!$M61,0)-EOMONTH(CN$11,0))/30)+1,0),0)</f>
        <v>0</v>
      </c>
      <c r="CO204" s="427">
        <f>-IF(AND(CO$11&gt;=EOMONTH('Construction Budget'!$K61,0),CO$11&lt;=EOMONTH('Construction Budget'!$M61,0)),('Construction Budget'!$G61+SUM($G204:CN204))/ROUND(((EOMONTH('Construction Budget'!$M61,0)-EOMONTH(CO$11,0))/30)+1,0),0)</f>
        <v>0</v>
      </c>
      <c r="CP204" s="427">
        <f>-IF(AND(CP$11&gt;=EOMONTH('Construction Budget'!$K61,0),CP$11&lt;=EOMONTH('Construction Budget'!$M61,0)),('Construction Budget'!$G61+SUM($G204:CO204))/ROUND(((EOMONTH('Construction Budget'!$M61,0)-EOMONTH(CP$11,0))/30)+1,0),0)</f>
        <v>0</v>
      </c>
      <c r="CQ204" s="427">
        <f>-IF(AND(CQ$11&gt;=EOMONTH('Construction Budget'!$K61,0),CQ$11&lt;=EOMONTH('Construction Budget'!$M61,0)),('Construction Budget'!$G61+SUM($G204:CP204))/ROUND(((EOMONTH('Construction Budget'!$M61,0)-EOMONTH(CQ$11,0))/30)+1,0),0)</f>
        <v>0</v>
      </c>
      <c r="CR204" s="427">
        <f>-IF(AND(CR$11&gt;=EOMONTH('Construction Budget'!$K61,0),CR$11&lt;=EOMONTH('Construction Budget'!$M61,0)),('Construction Budget'!$G61+SUM($G204:CQ204))/ROUND(((EOMONTH('Construction Budget'!$M61,0)-EOMONTH(CR$11,0))/30)+1,0),0)</f>
        <v>0</v>
      </c>
      <c r="CS204" s="427">
        <f>-IF(AND(CS$11&gt;=EOMONTH('Construction Budget'!$K61,0),CS$11&lt;=EOMONTH('Construction Budget'!$M61,0)),('Construction Budget'!$G61+SUM($G204:CR204))/ROUND(((EOMONTH('Construction Budget'!$M61,0)-EOMONTH(CS$11,0))/30)+1,0),0)</f>
        <v>0</v>
      </c>
      <c r="CT204" s="427">
        <f>-IF(AND(CT$11&gt;=EOMONTH('Construction Budget'!$K61,0),CT$11&lt;=EOMONTH('Construction Budget'!$M61,0)),('Construction Budget'!$G61+SUM($G204:CS204))/ROUND(((EOMONTH('Construction Budget'!$M61,0)-EOMONTH(CT$11,0))/30)+1,0),0)</f>
        <v>0</v>
      </c>
      <c r="CU204" s="427">
        <f>-IF(AND(CU$11&gt;=EOMONTH('Construction Budget'!$K61,0),CU$11&lt;=EOMONTH('Construction Budget'!$M61,0)),('Construction Budget'!$G61+SUM($G204:CT204))/ROUND(((EOMONTH('Construction Budget'!$M61,0)-EOMONTH(CU$11,0))/30)+1,0),0)</f>
        <v>0</v>
      </c>
      <c r="CV204" s="427">
        <f>-IF(AND(CV$11&gt;=EOMONTH('Construction Budget'!$K61,0),CV$11&lt;=EOMONTH('Construction Budget'!$M61,0)),('Construction Budget'!$G61+SUM($G204:CU204))/ROUND(((EOMONTH('Construction Budget'!$M61,0)-EOMONTH(CV$11,0))/30)+1,0),0)</f>
        <v>0</v>
      </c>
      <c r="CW204" s="427">
        <f>-IF(AND(CW$11&gt;=EOMONTH('Construction Budget'!$K61,0),CW$11&lt;=EOMONTH('Construction Budget'!$M61,0)),('Construction Budget'!$G61+SUM($G204:CV204))/ROUND(((EOMONTH('Construction Budget'!$M61,0)-EOMONTH(CW$11,0))/30)+1,0),0)</f>
        <v>0</v>
      </c>
      <c r="CX204" s="427">
        <f>-IF(AND(CX$11&gt;=EOMONTH('Construction Budget'!$K61,0),CX$11&lt;=EOMONTH('Construction Budget'!$M61,0)),('Construction Budget'!$G61+SUM($G204:CW204))/ROUND(((EOMONTH('Construction Budget'!$M61,0)-EOMONTH(CX$11,0))/30)+1,0),0)</f>
        <v>0</v>
      </c>
      <c r="CY204" s="427">
        <f>-IF(AND(CY$11&gt;=EOMONTH('Construction Budget'!$K61,0),CY$11&lt;=EOMONTH('Construction Budget'!$M61,0)),('Construction Budget'!$G61+SUM($G204:CX204))/ROUND(((EOMONTH('Construction Budget'!$M61,0)-EOMONTH(CY$11,0))/30)+1,0),0)</f>
        <v>0</v>
      </c>
      <c r="CZ204" s="427">
        <f>-IF(AND(CZ$11&gt;=EOMONTH('Construction Budget'!$K61,0),CZ$11&lt;=EOMONTH('Construction Budget'!$M61,0)),('Construction Budget'!$G61+SUM($G204:CY204))/ROUND(((EOMONTH('Construction Budget'!$M61,0)-EOMONTH(CZ$11,0))/30)+1,0),0)</f>
        <v>0</v>
      </c>
      <c r="DA204" s="427">
        <f>-IF(AND(DA$11&gt;=EOMONTH('Construction Budget'!$K61,0),DA$11&lt;=EOMONTH('Construction Budget'!$M61,0)),('Construction Budget'!$G61+SUM($G204:CZ204))/ROUND(((EOMONTH('Construction Budget'!$M61,0)-EOMONTH(DA$11,0))/30)+1,0),0)</f>
        <v>0</v>
      </c>
      <c r="DB204" s="427">
        <f>-IF(AND(DB$11&gt;=EOMONTH('Construction Budget'!$K61,0),DB$11&lt;=EOMONTH('Construction Budget'!$M61,0)),('Construction Budget'!$G61+SUM($G204:DA204))/ROUND(((EOMONTH('Construction Budget'!$M61,0)-EOMONTH(DB$11,0))/30)+1,0),0)</f>
        <v>0</v>
      </c>
      <c r="DC204" s="427">
        <f>-IF(AND(DC$11&gt;=EOMONTH('Construction Budget'!$K61,0),DC$11&lt;=EOMONTH('Construction Budget'!$M61,0)),('Construction Budget'!$G61+SUM($G204:DB204))/ROUND(((EOMONTH('Construction Budget'!$M61,0)-EOMONTH(DC$11,0))/30)+1,0),0)</f>
        <v>0</v>
      </c>
      <c r="DD204" s="427">
        <f>-IF(AND(DD$11&gt;=EOMONTH('Construction Budget'!$K61,0),DD$11&lt;=EOMONTH('Construction Budget'!$M61,0)),('Construction Budget'!$G61+SUM($G204:DC204))/ROUND(((EOMONTH('Construction Budget'!$M61,0)-EOMONTH(DD$11,0))/30)+1,0),0)</f>
        <v>0</v>
      </c>
      <c r="DE204" s="427">
        <f>-IF(AND(DE$11&gt;=EOMONTH('Construction Budget'!$K61,0),DE$11&lt;=EOMONTH('Construction Budget'!$M61,0)),('Construction Budget'!$G61+SUM($G204:DD204))/ROUND(((EOMONTH('Construction Budget'!$M61,0)-EOMONTH(DE$11,0))/30)+1,0),0)</f>
        <v>0</v>
      </c>
      <c r="DF204" s="427">
        <f>-IF(AND(DF$11&gt;=EOMONTH('Construction Budget'!$K61,0),DF$11&lt;=EOMONTH('Construction Budget'!$M61,0)),('Construction Budget'!$G61+SUM($G204:DE204))/ROUND(((EOMONTH('Construction Budget'!$M61,0)-EOMONTH(DF$11,0))/30)+1,0),0)</f>
        <v>0</v>
      </c>
      <c r="DG204" s="427">
        <f>-IF(AND(DG$11&gt;=EOMONTH('Construction Budget'!$K61,0),DG$11&lt;=EOMONTH('Construction Budget'!$M61,0)),('Construction Budget'!$G61+SUM($G204:DF204))/ROUND(((EOMONTH('Construction Budget'!$M61,0)-EOMONTH(DG$11,0))/30)+1,0),0)</f>
        <v>0</v>
      </c>
      <c r="DH204" s="427">
        <f>-IF(AND(DH$11&gt;=EOMONTH('Construction Budget'!$K61,0),DH$11&lt;=EOMONTH('Construction Budget'!$M61,0)),('Construction Budget'!$G61+SUM($G204:DG204))/ROUND(((EOMONTH('Construction Budget'!$M61,0)-EOMONTH(DH$11,0))/30)+1,0),0)</f>
        <v>0</v>
      </c>
      <c r="DI204" s="427">
        <f>-IF(AND(DI$11&gt;=EOMONTH('Construction Budget'!$K61,0),DI$11&lt;=EOMONTH('Construction Budget'!$M61,0)),('Construction Budget'!$G61+SUM($G204:DH204))/ROUND(((EOMONTH('Construction Budget'!$M61,0)-EOMONTH(DI$11,0))/30)+1,0),0)</f>
        <v>0</v>
      </c>
      <c r="DJ204" s="427">
        <f>-IF(AND(DJ$11&gt;=EOMONTH('Construction Budget'!$K61,0),DJ$11&lt;=EOMONTH('Construction Budget'!$M61,0)),('Construction Budget'!$G61+SUM($G204:DI204))/ROUND(((EOMONTH('Construction Budget'!$M61,0)-EOMONTH(DJ$11,0))/30)+1,0),0)</f>
        <v>0</v>
      </c>
      <c r="DK204" s="427">
        <f>-IF(AND(DK$11&gt;=EOMONTH('Construction Budget'!$K61,0),DK$11&lt;=EOMONTH('Construction Budget'!$M61,0)),('Construction Budget'!$G61+SUM($G204:DJ204))/ROUND(((EOMONTH('Construction Budget'!$M61,0)-EOMONTH(DK$11,0))/30)+1,0),0)</f>
        <v>0</v>
      </c>
      <c r="DL204" s="427">
        <f>-IF(AND(DL$11&gt;=EOMONTH('Construction Budget'!$K61,0),DL$11&lt;=EOMONTH('Construction Budget'!$M61,0)),('Construction Budget'!$G61+SUM($G204:DK204))/ROUND(((EOMONTH('Construction Budget'!$M61,0)-EOMONTH(DL$11,0))/30)+1,0),0)</f>
        <v>0</v>
      </c>
      <c r="DM204" s="427">
        <f>-IF(AND(DM$11&gt;=EOMONTH('Construction Budget'!$K61,0),DM$11&lt;=EOMONTH('Construction Budget'!$M61,0)),('Construction Budget'!$G61+SUM($G204:DL204))/ROUND(((EOMONTH('Construction Budget'!$M61,0)-EOMONTH(DM$11,0))/30)+1,0),0)</f>
        <v>0</v>
      </c>
      <c r="DN204" s="427">
        <f>-IF(AND(DN$11&gt;=EOMONTH('Construction Budget'!$K61,0),DN$11&lt;=EOMONTH('Construction Budget'!$M61,0)),('Construction Budget'!$G61+SUM($G204:DM204))/ROUND(((EOMONTH('Construction Budget'!$M61,0)-EOMONTH(DN$11,0))/30)+1,0),0)</f>
        <v>0</v>
      </c>
      <c r="DO204" s="427">
        <f>-IF(AND(DO$11&gt;=EOMONTH('Construction Budget'!$K61,0),DO$11&lt;=EOMONTH('Construction Budget'!$M61,0)),('Construction Budget'!$G61+SUM($G204:DN204))/ROUND(((EOMONTH('Construction Budget'!$M61,0)-EOMONTH(DO$11,0))/30)+1,0),0)</f>
        <v>0</v>
      </c>
      <c r="DP204" s="427">
        <f>-IF(AND(DP$11&gt;=EOMONTH('Construction Budget'!$K61,0),DP$11&lt;=EOMONTH('Construction Budget'!$M61,0)),('Construction Budget'!$G61+SUM($G204:DO204))/ROUND(((EOMONTH('Construction Budget'!$M61,0)-EOMONTH(DP$11,0))/30)+1,0),0)</f>
        <v>0</v>
      </c>
      <c r="DQ204" s="427">
        <f>-IF(AND(DQ$11&gt;=EOMONTH('Construction Budget'!$K61,0),DQ$11&lt;=EOMONTH('Construction Budget'!$M61,0)),('Construction Budget'!$G61+SUM($G204:DP204))/ROUND(((EOMONTH('Construction Budget'!$M61,0)-EOMONTH(DQ$11,0))/30)+1,0),0)</f>
        <v>0</v>
      </c>
      <c r="DR204" s="427">
        <f>-IF(AND(DR$11&gt;=EOMONTH('Construction Budget'!$K61,0),DR$11&lt;=EOMONTH('Construction Budget'!$M61,0)),('Construction Budget'!$G61+SUM($G204:DQ204))/ROUND(((EOMONTH('Construction Budget'!$M61,0)-EOMONTH(DR$11,0))/30)+1,0),0)</f>
        <v>0</v>
      </c>
      <c r="DS204" s="427">
        <f>-IF(AND(DS$11&gt;=EOMONTH('Construction Budget'!$K61,0),DS$11&lt;=EOMONTH('Construction Budget'!$M61,0)),('Construction Budget'!$G61+SUM($G204:DR204))/ROUND(((EOMONTH('Construction Budget'!$M61,0)-EOMONTH(DS$11,0))/30)+1,0),0)</f>
        <v>0</v>
      </c>
      <c r="DT204" s="427">
        <f>-IF(AND(DT$11&gt;=EOMONTH('Construction Budget'!$K61,0),DT$11&lt;=EOMONTH('Construction Budget'!$M61,0)),('Construction Budget'!$G61+SUM($G204:DS204))/ROUND(((EOMONTH('Construction Budget'!$M61,0)-EOMONTH(DT$11,0))/30)+1,0),0)</f>
        <v>0</v>
      </c>
      <c r="DU204" s="427">
        <f>-IF(AND(DU$11&gt;=EOMONTH('Construction Budget'!$K61,0),DU$11&lt;=EOMONTH('Construction Budget'!$M61,0)),('Construction Budget'!$G61+SUM($G204:DT204))/ROUND(((EOMONTH('Construction Budget'!$M61,0)-EOMONTH(DU$11,0))/30)+1,0),0)</f>
        <v>0</v>
      </c>
      <c r="DV204" s="427">
        <f>-IF(AND(DV$11&gt;=EOMONTH('Construction Budget'!$K61,0),DV$11&lt;=EOMONTH('Construction Budget'!$M61,0)),('Construction Budget'!$G61+SUM($G204:DU204))/ROUND(((EOMONTH('Construction Budget'!$M61,0)-EOMONTH(DV$11,0))/30)+1,0),0)</f>
        <v>0</v>
      </c>
      <c r="DW204" s="427">
        <f>-IF(AND(DW$11&gt;=EOMONTH('Construction Budget'!$K61,0),DW$11&lt;=EOMONTH('Construction Budget'!$M61,0)),('Construction Budget'!$G61+SUM($G204:DV204))/ROUND(((EOMONTH('Construction Budget'!$M61,0)-EOMONTH(DW$11,0))/30)+1,0),0)</f>
        <v>0</v>
      </c>
      <c r="DX204" s="427">
        <f>-IF(AND(DX$11&gt;=EOMONTH('Construction Budget'!$K61,0),DX$11&lt;=EOMONTH('Construction Budget'!$M61,0)),('Construction Budget'!$G61+SUM($G204:DW204))/ROUND(((EOMONTH('Construction Budget'!$M61,0)-EOMONTH(DX$11,0))/30)+1,0),0)</f>
        <v>0</v>
      </c>
      <c r="DY204" s="427">
        <f>-IF(AND(DY$11&gt;=EOMONTH('Construction Budget'!$K61,0),DY$11&lt;=EOMONTH('Construction Budget'!$M61,0)),('Construction Budget'!$G61+SUM($G204:DX204))/ROUND(((EOMONTH('Construction Budget'!$M61,0)-EOMONTH(DY$11,0))/30)+1,0),0)</f>
        <v>0</v>
      </c>
      <c r="DZ204" s="427">
        <f>-IF(AND(DZ$11&gt;=EOMONTH('Construction Budget'!$K61,0),DZ$11&lt;=EOMONTH('Construction Budget'!$M61,0)),('Construction Budget'!$G61+SUM($G204:DY204))/ROUND(((EOMONTH('Construction Budget'!$M61,0)-EOMONTH(DZ$11,0))/30)+1,0),0)</f>
        <v>0</v>
      </c>
      <c r="EA204" s="427">
        <f>-IF(AND(EA$11&gt;=EOMONTH('Construction Budget'!$K61,0),EA$11&lt;=EOMONTH('Construction Budget'!$M61,0)),('Construction Budget'!$G61+SUM($G204:DZ204))/ROUND(((EOMONTH('Construction Budget'!$M61,0)-EOMONTH(EA$11,0))/30)+1,0),0)</f>
        <v>0</v>
      </c>
      <c r="EB204" s="427">
        <f>-IF(AND(EB$11&gt;=EOMONTH('Construction Budget'!$K61,0),EB$11&lt;=EOMONTH('Construction Budget'!$M61,0)),('Construction Budget'!$G61+SUM($G204:EA204))/ROUND(((EOMONTH('Construction Budget'!$M61,0)-EOMONTH(EB$11,0))/30)+1,0),0)</f>
        <v>0</v>
      </c>
      <c r="EC204" s="427">
        <f>-IF(AND(EC$11&gt;=EOMONTH('Construction Budget'!$K61,0),EC$11&lt;=EOMONTH('Construction Budget'!$M61,0)),('Construction Budget'!$G61+SUM($G204:EB204))/ROUND(((EOMONTH('Construction Budget'!$M61,0)-EOMONTH(EC$11,0))/30)+1,0),0)</f>
        <v>0</v>
      </c>
      <c r="ED204" s="427">
        <f>-IF(AND(ED$11&gt;=EOMONTH('Construction Budget'!$K61,0),ED$11&lt;=EOMONTH('Construction Budget'!$M61,0)),('Construction Budget'!$G61+SUM($G204:EC204))/ROUND(((EOMONTH('Construction Budget'!$M61,0)-EOMONTH(ED$11,0))/30)+1,0),0)</f>
        <v>0</v>
      </c>
      <c r="EE204" s="427">
        <f>-IF(AND(EE$11&gt;=EOMONTH('Construction Budget'!$K61,0),EE$11&lt;=EOMONTH('Construction Budget'!$M61,0)),('Construction Budget'!$G61+SUM($G204:ED204))/ROUND(((EOMONTH('Construction Budget'!$M61,0)-EOMONTH(EE$11,0))/30)+1,0),0)</f>
        <v>0</v>
      </c>
      <c r="EF204" s="427">
        <f>-IF(AND(EF$11&gt;=EOMONTH('Construction Budget'!$K61,0),EF$11&lt;=EOMONTH('Construction Budget'!$M61,0)),('Construction Budget'!$G61+SUM($G204:EE204))/ROUND(((EOMONTH('Construction Budget'!$M61,0)-EOMONTH(EF$11,0))/30)+1,0),0)</f>
        <v>0</v>
      </c>
      <c r="EG204" s="427">
        <f>-IF(AND(EG$11&gt;=EOMONTH('Construction Budget'!$K61,0),EG$11&lt;=EOMONTH('Construction Budget'!$M61,0)),('Construction Budget'!$G61+SUM($G204:EF204))/ROUND(((EOMONTH('Construction Budget'!$M61,0)-EOMONTH(EG$11,0))/30)+1,0),0)</f>
        <v>0</v>
      </c>
      <c r="EH204" s="427">
        <f>-IF(AND(EH$11&gt;=EOMONTH('Construction Budget'!$K61,0),EH$11&lt;=EOMONTH('Construction Budget'!$M61,0)),('Construction Budget'!$G61+SUM($G204:EG204))/ROUND(((EOMONTH('Construction Budget'!$M61,0)-EOMONTH(EH$11,0))/30)+1,0),0)</f>
        <v>0</v>
      </c>
      <c r="EI204" s="427">
        <f>-IF(AND(EI$11&gt;=EOMONTH('Construction Budget'!$K61,0),EI$11&lt;=EOMONTH('Construction Budget'!$M61,0)),('Construction Budget'!$G61+SUM($G204:EH204))/ROUND(((EOMONTH('Construction Budget'!$M61,0)-EOMONTH(EI$11,0))/30)+1,0),0)</f>
        <v>0</v>
      </c>
      <c r="EJ204" s="427">
        <f>-IF(AND(EJ$11&gt;=EOMONTH('Construction Budget'!$K61,0),EJ$11&lt;=EOMONTH('Construction Budget'!$M61,0)),('Construction Budget'!$G61+SUM($G204:EI204))/ROUND(((EOMONTH('Construction Budget'!$M61,0)-EOMONTH(EJ$11,0))/30)+1,0),0)</f>
        <v>0</v>
      </c>
      <c r="EK204" s="427">
        <f>-IF(AND(EK$11&gt;=EOMONTH('Construction Budget'!$K61,0),EK$11&lt;=EOMONTH('Construction Budget'!$M61,0)),('Construction Budget'!$G61+SUM($G204:EJ204))/ROUND(((EOMONTH('Construction Budget'!$M61,0)-EOMONTH(EK$11,0))/30)+1,0),0)</f>
        <v>0</v>
      </c>
      <c r="EL204" s="427">
        <f>-IF(AND(EL$11&gt;=EOMONTH('Construction Budget'!$K61,0),EL$11&lt;=EOMONTH('Construction Budget'!$M61,0)),('Construction Budget'!$G61+SUM($G204:EK204))/ROUND(((EOMONTH('Construction Budget'!$M61,0)-EOMONTH(EL$11,0))/30)+1,0),0)</f>
        <v>0</v>
      </c>
      <c r="EM204" s="427">
        <f>-IF(AND(EM$11&gt;=EOMONTH('Construction Budget'!$K61,0),EM$11&lt;=EOMONTH('Construction Budget'!$M61,0)),('Construction Budget'!$G61+SUM($G204:EL204))/ROUND(((EOMONTH('Construction Budget'!$M61,0)-EOMONTH(EM$11,0))/30)+1,0),0)</f>
        <v>0</v>
      </c>
      <c r="EN204" s="427">
        <f>-IF(AND(EN$11&gt;=EOMONTH('Construction Budget'!$K61,0),EN$11&lt;=EOMONTH('Construction Budget'!$M61,0)),('Construction Budget'!$G61+SUM($G204:EM204))/ROUND(((EOMONTH('Construction Budget'!$M61,0)-EOMONTH(EN$11,0))/30)+1,0),0)</f>
        <v>0</v>
      </c>
      <c r="EO204" s="427">
        <f>-IF(AND(EO$11&gt;=EOMONTH('Construction Budget'!$K61,0),EO$11&lt;=EOMONTH('Construction Budget'!$M61,0)),('Construction Budget'!$G61+SUM($G204:EN204))/ROUND(((EOMONTH('Construction Budget'!$M61,0)-EOMONTH(EO$11,0))/30)+1,0),0)</f>
        <v>0</v>
      </c>
      <c r="EP204" s="427">
        <f>-IF(AND(EP$11&gt;=EOMONTH('Construction Budget'!$K61,0),EP$11&lt;=EOMONTH('Construction Budget'!$M61,0)),('Construction Budget'!$G61+SUM($G204:EO204))/ROUND(((EOMONTH('Construction Budget'!$M61,0)-EOMONTH(EP$11,0))/30)+1,0),0)</f>
        <v>0</v>
      </c>
      <c r="EQ204" s="427">
        <f>-IF(AND(EQ$11&gt;=EOMONTH('Construction Budget'!$K61,0),EQ$11&lt;=EOMONTH('Construction Budget'!$M61,0)),('Construction Budget'!$G61+SUM($G204:EP204))/ROUND(((EOMONTH('Construction Budget'!$M61,0)-EOMONTH(EQ$11,0))/30)+1,0),0)</f>
        <v>0</v>
      </c>
      <c r="ER204" s="427">
        <f>-IF(AND(ER$11&gt;=EOMONTH('Construction Budget'!$K61,0),ER$11&lt;=EOMONTH('Construction Budget'!$M61,0)),('Construction Budget'!$G61+SUM($G204:EQ204))/ROUND(((EOMONTH('Construction Budget'!$M61,0)-EOMONTH(ER$11,0))/30)+1,0),0)</f>
        <v>0</v>
      </c>
      <c r="ES204" s="427">
        <f>-IF(AND(ES$11&gt;=EOMONTH('Construction Budget'!$K61,0),ES$11&lt;=EOMONTH('Construction Budget'!$M61,0)),('Construction Budget'!$G61+SUM($G204:ER204))/ROUND(((EOMONTH('Construction Budget'!$M61,0)-EOMONTH(ES$11,0))/30)+1,0),0)</f>
        <v>0</v>
      </c>
      <c r="ET204" s="427">
        <f>-IF(AND(ET$11&gt;=EOMONTH('Construction Budget'!$K61,0),ET$11&lt;=EOMONTH('Construction Budget'!$M61,0)),('Construction Budget'!$G61+SUM($G204:ES204))/ROUND(((EOMONTH('Construction Budget'!$M61,0)-EOMONTH(ET$11,0))/30)+1,0),0)</f>
        <v>0</v>
      </c>
      <c r="EU204" s="427">
        <f>-IF(AND(EU$11&gt;=EOMONTH('Construction Budget'!$K61,0),EU$11&lt;=EOMONTH('Construction Budget'!$M61,0)),('Construction Budget'!$G61+SUM($G204:ET204))/ROUND(((EOMONTH('Construction Budget'!$M61,0)-EOMONTH(EU$11,0))/30)+1,0),0)</f>
        <v>0</v>
      </c>
      <c r="EV204" s="427">
        <f>-IF(AND(EV$11&gt;=EOMONTH('Construction Budget'!$K61,0),EV$11&lt;=EOMONTH('Construction Budget'!$M61,0)),('Construction Budget'!$G61+SUM($G204:EU204))/ROUND(((EOMONTH('Construction Budget'!$M61,0)-EOMONTH(EV$11,0))/30)+1,0),0)</f>
        <v>0</v>
      </c>
      <c r="EW204" s="427">
        <f>-IF(AND(EW$11&gt;=EOMONTH('Construction Budget'!$K61,0),EW$11&lt;=EOMONTH('Construction Budget'!$M61,0)),('Construction Budget'!$G61+SUM($G204:EV204))/ROUND(((EOMONTH('Construction Budget'!$M61,0)-EOMONTH(EW$11,0))/30)+1,0),0)</f>
        <v>0</v>
      </c>
      <c r="EX204" s="427">
        <f>-IF(AND(EX$11&gt;=EOMONTH('Construction Budget'!$K61,0),EX$11&lt;=EOMONTH('Construction Budget'!$M61,0)),('Construction Budget'!$G61+SUM($G204:EW204))/ROUND(((EOMONTH('Construction Budget'!$M61,0)-EOMONTH(EX$11,0))/30)+1,0),0)</f>
        <v>0</v>
      </c>
      <c r="EY204" s="427">
        <f>-IF(AND(EY$11&gt;=EOMONTH('Construction Budget'!$K61,0),EY$11&lt;=EOMONTH('Construction Budget'!$M61,0)),('Construction Budget'!$G61+SUM($G204:EX204))/ROUND(((EOMONTH('Construction Budget'!$M61,0)-EOMONTH(EY$11,0))/30)+1,0),0)</f>
        <v>0</v>
      </c>
      <c r="EZ204" s="427">
        <f>-IF(AND(EZ$11&gt;=EOMONTH('Construction Budget'!$K61,0),EZ$11&lt;=EOMONTH('Construction Budget'!$M61,0)),('Construction Budget'!$G61+SUM($G204:EY204))/ROUND(((EOMONTH('Construction Budget'!$M61,0)-EOMONTH(EZ$11,0))/30)+1,0),0)</f>
        <v>0</v>
      </c>
      <c r="FA204" s="427">
        <f>-IF(AND(FA$11&gt;=EOMONTH('Construction Budget'!$K61,0),FA$11&lt;=EOMONTH('Construction Budget'!$M61,0)),('Construction Budget'!$G61+SUM($G204:EZ204))/ROUND(((EOMONTH('Construction Budget'!$M61,0)-EOMONTH(FA$11,0))/30)+1,0),0)</f>
        <v>0</v>
      </c>
      <c r="FB204" s="427">
        <f>-IF(AND(FB$11&gt;=EOMONTH('Construction Budget'!$K61,0),FB$11&lt;=EOMONTH('Construction Budget'!$M61,0)),('Construction Budget'!$G61+SUM($G204:FA204))/ROUND(((EOMONTH('Construction Budget'!$M61,0)-EOMONTH(FB$11,0))/30)+1,0),0)</f>
        <v>0</v>
      </c>
      <c r="FC204" s="427">
        <f>-IF(AND(FC$11&gt;=EOMONTH('Construction Budget'!$K61,0),FC$11&lt;=EOMONTH('Construction Budget'!$M61,0)),('Construction Budget'!$G61+SUM($G204:FB204))/ROUND(((EOMONTH('Construction Budget'!$M61,0)-EOMONTH(FC$11,0))/30)+1,0),0)</f>
        <v>0</v>
      </c>
      <c r="FD204" s="427">
        <f>-IF(AND(FD$11&gt;=EOMONTH('Construction Budget'!$K61,0),FD$11&lt;=EOMONTH('Construction Budget'!$M61,0)),('Construction Budget'!$G61+SUM($G204:FC204))/ROUND(((EOMONTH('Construction Budget'!$M61,0)-EOMONTH(FD$11,0))/30)+1,0),0)</f>
        <v>0</v>
      </c>
      <c r="FE204" s="427">
        <f>-IF(AND(FE$11&gt;=EOMONTH('Construction Budget'!$K61,0),FE$11&lt;=EOMONTH('Construction Budget'!$M61,0)),('Construction Budget'!$G61+SUM($G204:FD204))/ROUND(((EOMONTH('Construction Budget'!$M61,0)-EOMONTH(FE$11,0))/30)+1,0),0)</f>
        <v>0</v>
      </c>
      <c r="FF204" s="427">
        <f>-IF(AND(FF$11&gt;=EOMONTH('Construction Budget'!$K61,0),FF$11&lt;=EOMONTH('Construction Budget'!$M61,0)),('Construction Budget'!$G61+SUM($G204:FE204))/ROUND(((EOMONTH('Construction Budget'!$M61,0)-EOMONTH(FF$11,0))/30)+1,0),0)</f>
        <v>0</v>
      </c>
      <c r="FG204" s="427">
        <f>-IF(AND(FG$11&gt;=EOMONTH('Construction Budget'!$K61,0),FG$11&lt;=EOMONTH('Construction Budget'!$M61,0)),('Construction Budget'!$G61+SUM($G204:FF204))/ROUND(((EOMONTH('Construction Budget'!$M61,0)-EOMONTH(FG$11,0))/30)+1,0),0)</f>
        <v>0</v>
      </c>
      <c r="FH204" s="427">
        <f>-IF(AND(FH$11&gt;=EOMONTH('Construction Budget'!$K61,0),FH$11&lt;=EOMONTH('Construction Budget'!$M61,0)),('Construction Budget'!$G61+SUM($G204:FG204))/ROUND(((EOMONTH('Construction Budget'!$M61,0)-EOMONTH(FH$11,0))/30)+1,0),0)</f>
        <v>0</v>
      </c>
      <c r="FI204" s="427">
        <f>-IF(AND(FI$11&gt;=EOMONTH('Construction Budget'!$K61,0),FI$11&lt;=EOMONTH('Construction Budget'!$M61,0)),('Construction Budget'!$G61+SUM($G204:FH204))/ROUND(((EOMONTH('Construction Budget'!$M61,0)-EOMONTH(FI$11,0))/30)+1,0),0)</f>
        <v>0</v>
      </c>
      <c r="FJ204" s="427">
        <f>-IF(AND(FJ$11&gt;=EOMONTH('Construction Budget'!$K61,0),FJ$11&lt;=EOMONTH('Construction Budget'!$M61,0)),('Construction Budget'!$G61+SUM($G204:FI204))/ROUND(((EOMONTH('Construction Budget'!$M61,0)-EOMONTH(FJ$11,0))/30)+1,0),0)</f>
        <v>0</v>
      </c>
      <c r="FK204" s="427">
        <f>-IF(AND(FK$11&gt;=EOMONTH('Construction Budget'!$K61,0),FK$11&lt;=EOMONTH('Construction Budget'!$M61,0)),('Construction Budget'!$G61+SUM($G204:FJ204))/ROUND(((EOMONTH('Construction Budget'!$M61,0)-EOMONTH(FK$11,0))/30)+1,0),0)</f>
        <v>0</v>
      </c>
      <c r="FL204" s="427">
        <f>-IF(AND(FL$11&gt;=EOMONTH('Construction Budget'!$K61,0),FL$11&lt;=EOMONTH('Construction Budget'!$M61,0)),('Construction Budget'!$G61+SUM($G204:FK204))/ROUND(((EOMONTH('Construction Budget'!$M61,0)-EOMONTH(FL$11,0))/30)+1,0),0)</f>
        <v>0</v>
      </c>
      <c r="FM204" s="427">
        <f>-IF(AND(FM$11&gt;=EOMONTH('Construction Budget'!$K61,0),FM$11&lt;=EOMONTH('Construction Budget'!$M61,0)),('Construction Budget'!$G61+SUM($G204:FL204))/ROUND(((EOMONTH('Construction Budget'!$M61,0)-EOMONTH(FM$11,0))/30)+1,0),0)</f>
        <v>0</v>
      </c>
      <c r="FN204" s="427">
        <f>-IF(AND(FN$11&gt;=EOMONTH('Construction Budget'!$K61,0),FN$11&lt;=EOMONTH('Construction Budget'!$M61,0)),('Construction Budget'!$G61+SUM($G204:FM204))/ROUND(((EOMONTH('Construction Budget'!$M61,0)-EOMONTH(FN$11,0))/30)+1,0),0)</f>
        <v>0</v>
      </c>
      <c r="FO204" s="427">
        <f>-IF(AND(FO$11&gt;=EOMONTH('Construction Budget'!$K61,0),FO$11&lt;=EOMONTH('Construction Budget'!$M61,0)),('Construction Budget'!$G61+SUM($G204:FN204))/ROUND(((EOMONTH('Construction Budget'!$M61,0)-EOMONTH(FO$11,0))/30)+1,0),0)</f>
        <v>0</v>
      </c>
      <c r="FP204" s="427">
        <f>-IF(AND(FP$11&gt;=EOMONTH('Construction Budget'!$K61,0),FP$11&lt;=EOMONTH('Construction Budget'!$M61,0)),('Construction Budget'!$G61+SUM($G204:FO204))/ROUND(((EOMONTH('Construction Budget'!$M61,0)-EOMONTH(FP$11,0))/30)+1,0),0)</f>
        <v>0</v>
      </c>
      <c r="FQ204" s="427">
        <f>-IF(AND(FQ$11&gt;=EOMONTH('Construction Budget'!$K61,0),FQ$11&lt;=EOMONTH('Construction Budget'!$M61,0)),('Construction Budget'!$G61+SUM($G204:FP204))/ROUND(((EOMONTH('Construction Budget'!$M61,0)-EOMONTH(FQ$11,0))/30)+1,0),0)</f>
        <v>0</v>
      </c>
      <c r="FR204" s="427">
        <f>-IF(AND(FR$11&gt;=EOMONTH('Construction Budget'!$K61,0),FR$11&lt;=EOMONTH('Construction Budget'!$M61,0)),('Construction Budget'!$G61+SUM($G204:FQ204))/ROUND(((EOMONTH('Construction Budget'!$M61,0)-EOMONTH(FR$11,0))/30)+1,0),0)</f>
        <v>0</v>
      </c>
      <c r="FS204" s="427">
        <f>-IF(AND(FS$11&gt;=EOMONTH('Construction Budget'!$K61,0),FS$11&lt;=EOMONTH('Construction Budget'!$M61,0)),('Construction Budget'!$G61+SUM($G204:FR204))/ROUND(((EOMONTH('Construction Budget'!$M61,0)-EOMONTH(FS$11,0))/30)+1,0),0)</f>
        <v>0</v>
      </c>
      <c r="FT204" s="427">
        <f>-IF(AND(FT$11&gt;=EOMONTH('Construction Budget'!$K61,0),FT$11&lt;=EOMONTH('Construction Budget'!$M61,0)),('Construction Budget'!$G61+SUM($G204:FS204))/ROUND(((EOMONTH('Construction Budget'!$M61,0)-EOMONTH(FT$11,0))/30)+1,0),0)</f>
        <v>0</v>
      </c>
      <c r="FU204" s="43"/>
      <c r="FV204" s="34"/>
      <c r="FW204" s="34"/>
      <c r="FX204" s="34"/>
      <c r="FY204" s="34"/>
      <c r="FZ204" s="34"/>
    </row>
    <row r="205" spans="1:182" s="89" customFormat="1" ht="13.5" hidden="1" outlineLevel="1" x14ac:dyDescent="0.25">
      <c r="A205" s="498"/>
      <c r="B205" s="43" t="str">
        <f>'Construction Budget'!B62</f>
        <v>Blank</v>
      </c>
      <c r="C205" s="34"/>
      <c r="D205" s="34"/>
      <c r="E205" s="34"/>
      <c r="F205" s="434">
        <f t="shared" si="236"/>
        <v>0</v>
      </c>
      <c r="G205" s="34"/>
      <c r="H205" s="427">
        <f>-IF(AND(H$11&gt;=EOMONTH('Construction Budget'!$K62,0),H$11&lt;=EOMONTH('Construction Budget'!$M62,0)),('Construction Budget'!$G62+SUM($G205:G205))/ROUND(((EOMONTH('Construction Budget'!$M62,0)-EOMONTH(H$11,0))/30)+1,0),0)</f>
        <v>0</v>
      </c>
      <c r="I205" s="427">
        <f>-IF(AND(I$11&gt;=EOMONTH('Construction Budget'!$K62,0),I$11&lt;=EOMONTH('Construction Budget'!$M62,0)),('Construction Budget'!$G62+SUM($G205:H205))/ROUND(((EOMONTH('Construction Budget'!$M62,0)-EOMONTH(I$11,0))/30)+1,0),0)</f>
        <v>0</v>
      </c>
      <c r="J205" s="427">
        <f>-IF(AND(J$11&gt;=EOMONTH('Construction Budget'!$K62,0),J$11&lt;=EOMONTH('Construction Budget'!$M62,0)),('Construction Budget'!$G62+SUM($G205:I205))/ROUND(((EOMONTH('Construction Budget'!$M62,0)-EOMONTH(J$11,0))/30)+1,0),0)</f>
        <v>0</v>
      </c>
      <c r="K205" s="427">
        <f>-IF(AND(K$11&gt;=EOMONTH('Construction Budget'!$K62,0),K$11&lt;=EOMONTH('Construction Budget'!$M62,0)),('Construction Budget'!$G62+SUM($G205:J205))/ROUND(((EOMONTH('Construction Budget'!$M62,0)-EOMONTH(K$11,0))/30)+1,0),0)</f>
        <v>0</v>
      </c>
      <c r="L205" s="427">
        <f>-IF(AND(L$11&gt;=EOMONTH('Construction Budget'!$K62,0),L$11&lt;=EOMONTH('Construction Budget'!$M62,0)),('Construction Budget'!$G62+SUM($G205:K205))/ROUND(((EOMONTH('Construction Budget'!$M62,0)-EOMONTH(L$11,0))/30)+1,0),0)</f>
        <v>0</v>
      </c>
      <c r="M205" s="427">
        <f>-IF(AND(M$11&gt;=EOMONTH('Construction Budget'!$K62,0),M$11&lt;=EOMONTH('Construction Budget'!$M62,0)),('Construction Budget'!$G62+SUM($G205:L205))/ROUND(((EOMONTH('Construction Budget'!$M62,0)-EOMONTH(M$11,0))/30)+1,0),0)</f>
        <v>0</v>
      </c>
      <c r="N205" s="427">
        <f>-IF(AND(N$11&gt;=EOMONTH('Construction Budget'!$K62,0),N$11&lt;=EOMONTH('Construction Budget'!$M62,0)),('Construction Budget'!$G62+SUM($G205:M205))/ROUND(((EOMONTH('Construction Budget'!$M62,0)-EOMONTH(N$11,0))/30)+1,0),0)</f>
        <v>0</v>
      </c>
      <c r="O205" s="427">
        <f>-IF(AND(O$11&gt;=EOMONTH('Construction Budget'!$K62,0),O$11&lt;=EOMONTH('Construction Budget'!$M62,0)),('Construction Budget'!$G62+SUM($G205:N205))/ROUND(((EOMONTH('Construction Budget'!$M62,0)-EOMONTH(O$11,0))/30)+1,0),0)</f>
        <v>0</v>
      </c>
      <c r="P205" s="427">
        <f>-IF(AND(P$11&gt;=EOMONTH('Construction Budget'!$K62,0),P$11&lt;=EOMONTH('Construction Budget'!$M62,0)),('Construction Budget'!$G62+SUM($G205:O205))/ROUND(((EOMONTH('Construction Budget'!$M62,0)-EOMONTH(P$11,0))/30)+1,0),0)</f>
        <v>0</v>
      </c>
      <c r="Q205" s="427">
        <f>-IF(AND(Q$11&gt;=EOMONTH('Construction Budget'!$K62,0),Q$11&lt;=EOMONTH('Construction Budget'!$M62,0)),('Construction Budget'!$G62+SUM($G205:P205))/ROUND(((EOMONTH('Construction Budget'!$M62,0)-EOMONTH(Q$11,0))/30)+1,0),0)</f>
        <v>0</v>
      </c>
      <c r="R205" s="427">
        <f>-IF(AND(R$11&gt;=EOMONTH('Construction Budget'!$K62,0),R$11&lt;=EOMONTH('Construction Budget'!$M62,0)),('Construction Budget'!$G62+SUM($G205:Q205))/ROUND(((EOMONTH('Construction Budget'!$M62,0)-EOMONTH(R$11,0))/30)+1,0),0)</f>
        <v>0</v>
      </c>
      <c r="S205" s="427">
        <f>-IF(AND(S$11&gt;=EOMONTH('Construction Budget'!$K62,0),S$11&lt;=EOMONTH('Construction Budget'!$M62,0)),('Construction Budget'!$G62+SUM($G205:R205))/ROUND(((EOMONTH('Construction Budget'!$M62,0)-EOMONTH(S$11,0))/30)+1,0),0)</f>
        <v>0</v>
      </c>
      <c r="T205" s="427">
        <f>-IF(AND(T$11&gt;=EOMONTH('Construction Budget'!$K62,0),T$11&lt;=EOMONTH('Construction Budget'!$M62,0)),('Construction Budget'!$G62+SUM($G205:S205))/ROUND(((EOMONTH('Construction Budget'!$M62,0)-EOMONTH(T$11,0))/30)+1,0),0)</f>
        <v>0</v>
      </c>
      <c r="U205" s="427">
        <f>-IF(AND(U$11&gt;=EOMONTH('Construction Budget'!$K62,0),U$11&lt;=EOMONTH('Construction Budget'!$M62,0)),('Construction Budget'!$G62+SUM($G205:T205))/ROUND(((EOMONTH('Construction Budget'!$M62,0)-EOMONTH(U$11,0))/30)+1,0),0)</f>
        <v>0</v>
      </c>
      <c r="V205" s="427">
        <f>-IF(AND(V$11&gt;=EOMONTH('Construction Budget'!$K62,0),V$11&lt;=EOMONTH('Construction Budget'!$M62,0)),('Construction Budget'!$G62+SUM($G205:U205))/ROUND(((EOMONTH('Construction Budget'!$M62,0)-EOMONTH(V$11,0))/30)+1,0),0)</f>
        <v>0</v>
      </c>
      <c r="W205" s="427">
        <f>-IF(AND(W$11&gt;=EOMONTH('Construction Budget'!$K62,0),W$11&lt;=EOMONTH('Construction Budget'!$M62,0)),('Construction Budget'!$G62+SUM($G205:V205))/ROUND(((EOMONTH('Construction Budget'!$M62,0)-EOMONTH(W$11,0))/30)+1,0),0)</f>
        <v>0</v>
      </c>
      <c r="X205" s="427">
        <f>-IF(AND(X$11&gt;=EOMONTH('Construction Budget'!$K62,0),X$11&lt;=EOMONTH('Construction Budget'!$M62,0)),('Construction Budget'!$G62+SUM($G205:W205))/ROUND(((EOMONTH('Construction Budget'!$M62,0)-EOMONTH(X$11,0))/30)+1,0),0)</f>
        <v>0</v>
      </c>
      <c r="Y205" s="427">
        <f>-IF(AND(Y$11&gt;=EOMONTH('Construction Budget'!$K62,0),Y$11&lt;=EOMONTH('Construction Budget'!$M62,0)),('Construction Budget'!$G62+SUM($G205:X205))/ROUND(((EOMONTH('Construction Budget'!$M62,0)-EOMONTH(Y$11,0))/30)+1,0),0)</f>
        <v>0</v>
      </c>
      <c r="Z205" s="427">
        <f>-IF(AND(Z$11&gt;=EOMONTH('Construction Budget'!$K62,0),Z$11&lt;=EOMONTH('Construction Budget'!$M62,0)),('Construction Budget'!$G62+SUM($G205:Y205))/ROUND(((EOMONTH('Construction Budget'!$M62,0)-EOMONTH(Z$11,0))/30)+1,0),0)</f>
        <v>0</v>
      </c>
      <c r="AA205" s="427">
        <f>-IF(AND(AA$11&gt;=EOMONTH('Construction Budget'!$K62,0),AA$11&lt;=EOMONTH('Construction Budget'!$M62,0)),('Construction Budget'!$G62+SUM($G205:Z205))/ROUND(((EOMONTH('Construction Budget'!$M62,0)-EOMONTH(AA$11,0))/30)+1,0),0)</f>
        <v>0</v>
      </c>
      <c r="AB205" s="427">
        <f>-IF(AND(AB$11&gt;=EOMONTH('Construction Budget'!$K62,0),AB$11&lt;=EOMONTH('Construction Budget'!$M62,0)),('Construction Budget'!$G62+SUM($G205:AA205))/ROUND(((EOMONTH('Construction Budget'!$M62,0)-EOMONTH(AB$11,0))/30)+1,0),0)</f>
        <v>0</v>
      </c>
      <c r="AC205" s="427">
        <f>-IF(AND(AC$11&gt;=EOMONTH('Construction Budget'!$K62,0),AC$11&lt;=EOMONTH('Construction Budget'!$M62,0)),('Construction Budget'!$G62+SUM($G205:AB205))/ROUND(((EOMONTH('Construction Budget'!$M62,0)-EOMONTH(AC$11,0))/30)+1,0),0)</f>
        <v>0</v>
      </c>
      <c r="AD205" s="427">
        <f>-IF(AND(AD$11&gt;=EOMONTH('Construction Budget'!$K62,0),AD$11&lt;=EOMONTH('Construction Budget'!$M62,0)),('Construction Budget'!$G62+SUM($G205:AC205))/ROUND(((EOMONTH('Construction Budget'!$M62,0)-EOMONTH(AD$11,0))/30)+1,0),0)</f>
        <v>0</v>
      </c>
      <c r="AE205" s="427">
        <f>-IF(AND(AE$11&gt;=EOMONTH('Construction Budget'!$K62,0),AE$11&lt;=EOMONTH('Construction Budget'!$M62,0)),('Construction Budget'!$G62+SUM($G205:AD205))/ROUND(((EOMONTH('Construction Budget'!$M62,0)-EOMONTH(AE$11,0))/30)+1,0),0)</f>
        <v>0</v>
      </c>
      <c r="AF205" s="427">
        <f>-IF(AND(AF$11&gt;=EOMONTH('Construction Budget'!$K62,0),AF$11&lt;=EOMONTH('Construction Budget'!$M62,0)),('Construction Budget'!$G62+SUM($G205:AE205))/ROUND(((EOMONTH('Construction Budget'!$M62,0)-EOMONTH(AF$11,0))/30)+1,0),0)</f>
        <v>0</v>
      </c>
      <c r="AG205" s="427">
        <f>-IF(AND(AG$11&gt;=EOMONTH('Construction Budget'!$K62,0),AG$11&lt;=EOMONTH('Construction Budget'!$M62,0)),('Construction Budget'!$G62+SUM($G205:AF205))/ROUND(((EOMONTH('Construction Budget'!$M62,0)-EOMONTH(AG$11,0))/30)+1,0),0)</f>
        <v>0</v>
      </c>
      <c r="AH205" s="427">
        <f>-IF(AND(AH$11&gt;=EOMONTH('Construction Budget'!$K62,0),AH$11&lt;=EOMONTH('Construction Budget'!$M62,0)),('Construction Budget'!$G62+SUM($G205:AG205))/ROUND(((EOMONTH('Construction Budget'!$M62,0)-EOMONTH(AH$11,0))/30)+1,0),0)</f>
        <v>0</v>
      </c>
      <c r="AI205" s="427">
        <f>-IF(AND(AI$11&gt;=EOMONTH('Construction Budget'!$K62,0),AI$11&lt;=EOMONTH('Construction Budget'!$M62,0)),('Construction Budget'!$G62+SUM($G205:AH205))/ROUND(((EOMONTH('Construction Budget'!$M62,0)-EOMONTH(AI$11,0))/30)+1,0),0)</f>
        <v>0</v>
      </c>
      <c r="AJ205" s="427">
        <f>-IF(AND(AJ$11&gt;=EOMONTH('Construction Budget'!$K62,0),AJ$11&lt;=EOMONTH('Construction Budget'!$M62,0)),('Construction Budget'!$G62+SUM($G205:AI205))/ROUND(((EOMONTH('Construction Budget'!$M62,0)-EOMONTH(AJ$11,0))/30)+1,0),0)</f>
        <v>0</v>
      </c>
      <c r="AK205" s="427">
        <f>-IF(AND(AK$11&gt;=EOMONTH('Construction Budget'!$K62,0),AK$11&lt;=EOMONTH('Construction Budget'!$M62,0)),('Construction Budget'!$G62+SUM($G205:AJ205))/ROUND(((EOMONTH('Construction Budget'!$M62,0)-EOMONTH(AK$11,0))/30)+1,0),0)</f>
        <v>0</v>
      </c>
      <c r="AL205" s="427">
        <f>-IF(AND(AL$11&gt;=EOMONTH('Construction Budget'!$K62,0),AL$11&lt;=EOMONTH('Construction Budget'!$M62,0)),('Construction Budget'!$G62+SUM($G205:AK205))/ROUND(((EOMONTH('Construction Budget'!$M62,0)-EOMONTH(AL$11,0))/30)+1,0),0)</f>
        <v>0</v>
      </c>
      <c r="AM205" s="427">
        <f>-IF(AND(AM$11&gt;=EOMONTH('Construction Budget'!$K62,0),AM$11&lt;=EOMONTH('Construction Budget'!$M62,0)),('Construction Budget'!$G62+SUM($G205:AL205))/ROUND(((EOMONTH('Construction Budget'!$M62,0)-EOMONTH(AM$11,0))/30)+1,0),0)</f>
        <v>0</v>
      </c>
      <c r="AN205" s="427">
        <f>-IF(AND(AN$11&gt;=EOMONTH('Construction Budget'!$K62,0),AN$11&lt;=EOMONTH('Construction Budget'!$M62,0)),('Construction Budget'!$G62+SUM($G205:AM205))/ROUND(((EOMONTH('Construction Budget'!$M62,0)-EOMONTH(AN$11,0))/30)+1,0),0)</f>
        <v>0</v>
      </c>
      <c r="AO205" s="427">
        <f>-IF(AND(AO$11&gt;=EOMONTH('Construction Budget'!$K62,0),AO$11&lt;=EOMONTH('Construction Budget'!$M62,0)),('Construction Budget'!$G62+SUM($G205:AN205))/ROUND(((EOMONTH('Construction Budget'!$M62,0)-EOMONTH(AO$11,0))/30)+1,0),0)</f>
        <v>0</v>
      </c>
      <c r="AP205" s="427">
        <f>-IF(AND(AP$11&gt;=EOMONTH('Construction Budget'!$K62,0),AP$11&lt;=EOMONTH('Construction Budget'!$M62,0)),('Construction Budget'!$G62+SUM($G205:AO205))/ROUND(((EOMONTH('Construction Budget'!$M62,0)-EOMONTH(AP$11,0))/30)+1,0),0)</f>
        <v>0</v>
      </c>
      <c r="AQ205" s="427">
        <f>-IF(AND(AQ$11&gt;=EOMONTH('Construction Budget'!$K62,0),AQ$11&lt;=EOMONTH('Construction Budget'!$M62,0)),('Construction Budget'!$G62+SUM($G205:AP205))/ROUND(((EOMONTH('Construction Budget'!$M62,0)-EOMONTH(AQ$11,0))/30)+1,0),0)</f>
        <v>0</v>
      </c>
      <c r="AR205" s="427">
        <f>-IF(AND(AR$11&gt;=EOMONTH('Construction Budget'!$K62,0),AR$11&lt;=EOMONTH('Construction Budget'!$M62,0)),('Construction Budget'!$G62+SUM($G205:AQ205))/ROUND(((EOMONTH('Construction Budget'!$M62,0)-EOMONTH(AR$11,0))/30)+1,0),0)</f>
        <v>0</v>
      </c>
      <c r="AS205" s="427">
        <f>-IF(AND(AS$11&gt;=EOMONTH('Construction Budget'!$K62,0),AS$11&lt;=EOMONTH('Construction Budget'!$M62,0)),('Construction Budget'!$G62+SUM($G205:AR205))/ROUND(((EOMONTH('Construction Budget'!$M62,0)-EOMONTH(AS$11,0))/30)+1,0),0)</f>
        <v>0</v>
      </c>
      <c r="AT205" s="427">
        <f>-IF(AND(AT$11&gt;=EOMONTH('Construction Budget'!$K62,0),AT$11&lt;=EOMONTH('Construction Budget'!$M62,0)),('Construction Budget'!$G62+SUM($G205:AS205))/ROUND(((EOMONTH('Construction Budget'!$M62,0)-EOMONTH(AT$11,0))/30)+1,0),0)</f>
        <v>0</v>
      </c>
      <c r="AU205" s="427">
        <f>-IF(AND(AU$11&gt;=EOMONTH('Construction Budget'!$K62,0),AU$11&lt;=EOMONTH('Construction Budget'!$M62,0)),('Construction Budget'!$G62+SUM($G205:AT205))/ROUND(((EOMONTH('Construction Budget'!$M62,0)-EOMONTH(AU$11,0))/30)+1,0),0)</f>
        <v>0</v>
      </c>
      <c r="AV205" s="427">
        <f>-IF(AND(AV$11&gt;=EOMONTH('Construction Budget'!$K62,0),AV$11&lt;=EOMONTH('Construction Budget'!$M62,0)),('Construction Budget'!$G62+SUM($G205:AU205))/ROUND(((EOMONTH('Construction Budget'!$M62,0)-EOMONTH(AV$11,0))/30)+1,0),0)</f>
        <v>0</v>
      </c>
      <c r="AW205" s="427">
        <f>-IF(AND(AW$11&gt;=EOMONTH('Construction Budget'!$K62,0),AW$11&lt;=EOMONTH('Construction Budget'!$M62,0)),('Construction Budget'!$G62+SUM($G205:AV205))/ROUND(((EOMONTH('Construction Budget'!$M62,0)-EOMONTH(AW$11,0))/30)+1,0),0)</f>
        <v>0</v>
      </c>
      <c r="AX205" s="427">
        <f>-IF(AND(AX$11&gt;=EOMONTH('Construction Budget'!$K62,0),AX$11&lt;=EOMONTH('Construction Budget'!$M62,0)),('Construction Budget'!$G62+SUM($G205:AW205))/ROUND(((EOMONTH('Construction Budget'!$M62,0)-EOMONTH(AX$11,0))/30)+1,0),0)</f>
        <v>0</v>
      </c>
      <c r="AY205" s="427">
        <f>-IF(AND(AY$11&gt;=EOMONTH('Construction Budget'!$K62,0),AY$11&lt;=EOMONTH('Construction Budget'!$M62,0)),('Construction Budget'!$G62+SUM($G205:AX205))/ROUND(((EOMONTH('Construction Budget'!$M62,0)-EOMONTH(AY$11,0))/30)+1,0),0)</f>
        <v>0</v>
      </c>
      <c r="AZ205" s="427">
        <f>-IF(AND(AZ$11&gt;=EOMONTH('Construction Budget'!$K62,0),AZ$11&lt;=EOMONTH('Construction Budget'!$M62,0)),('Construction Budget'!$G62+SUM($G205:AY205))/ROUND(((EOMONTH('Construction Budget'!$M62,0)-EOMONTH(AZ$11,0))/30)+1,0),0)</f>
        <v>0</v>
      </c>
      <c r="BA205" s="427">
        <f>-IF(AND(BA$11&gt;=EOMONTH('Construction Budget'!$K62,0),BA$11&lt;=EOMONTH('Construction Budget'!$M62,0)),('Construction Budget'!$G62+SUM($G205:AZ205))/ROUND(((EOMONTH('Construction Budget'!$M62,0)-EOMONTH(BA$11,0))/30)+1,0),0)</f>
        <v>0</v>
      </c>
      <c r="BB205" s="427">
        <f>-IF(AND(BB$11&gt;=EOMONTH('Construction Budget'!$K62,0),BB$11&lt;=EOMONTH('Construction Budget'!$M62,0)),('Construction Budget'!$G62+SUM($G205:BA205))/ROUND(((EOMONTH('Construction Budget'!$M62,0)-EOMONTH(BB$11,0))/30)+1,0),0)</f>
        <v>0</v>
      </c>
      <c r="BC205" s="427">
        <f>-IF(AND(BC$11&gt;=EOMONTH('Construction Budget'!$K62,0),BC$11&lt;=EOMONTH('Construction Budget'!$M62,0)),('Construction Budget'!$G62+SUM($G205:BB205))/ROUND(((EOMONTH('Construction Budget'!$M62,0)-EOMONTH(BC$11,0))/30)+1,0),0)</f>
        <v>0</v>
      </c>
      <c r="BD205" s="427">
        <f>-IF(AND(BD$11&gt;=EOMONTH('Construction Budget'!$K62,0),BD$11&lt;=EOMONTH('Construction Budget'!$M62,0)),('Construction Budget'!$G62+SUM($G205:BC205))/ROUND(((EOMONTH('Construction Budget'!$M62,0)-EOMONTH(BD$11,0))/30)+1,0),0)</f>
        <v>0</v>
      </c>
      <c r="BE205" s="427">
        <f>-IF(AND(BE$11&gt;=EOMONTH('Construction Budget'!$K62,0),BE$11&lt;=EOMONTH('Construction Budget'!$M62,0)),('Construction Budget'!$G62+SUM($G205:BD205))/ROUND(((EOMONTH('Construction Budget'!$M62,0)-EOMONTH(BE$11,0))/30)+1,0),0)</f>
        <v>0</v>
      </c>
      <c r="BF205" s="427">
        <f>-IF(AND(BF$11&gt;=EOMONTH('Construction Budget'!$K62,0),BF$11&lt;=EOMONTH('Construction Budget'!$M62,0)),('Construction Budget'!$G62+SUM($G205:BE205))/ROUND(((EOMONTH('Construction Budget'!$M62,0)-EOMONTH(BF$11,0))/30)+1,0),0)</f>
        <v>0</v>
      </c>
      <c r="BG205" s="427">
        <f>-IF(AND(BG$11&gt;=EOMONTH('Construction Budget'!$K62,0),BG$11&lt;=EOMONTH('Construction Budget'!$M62,0)),('Construction Budget'!$G62+SUM($G205:BF205))/ROUND(((EOMONTH('Construction Budget'!$M62,0)-EOMONTH(BG$11,0))/30)+1,0),0)</f>
        <v>0</v>
      </c>
      <c r="BH205" s="427">
        <f>-IF(AND(BH$11&gt;=EOMONTH('Construction Budget'!$K62,0),BH$11&lt;=EOMONTH('Construction Budget'!$M62,0)),('Construction Budget'!$G62+SUM($G205:BG205))/ROUND(((EOMONTH('Construction Budget'!$M62,0)-EOMONTH(BH$11,0))/30)+1,0),0)</f>
        <v>0</v>
      </c>
      <c r="BI205" s="427">
        <f>-IF(AND(BI$11&gt;=EOMONTH('Construction Budget'!$K62,0),BI$11&lt;=EOMONTH('Construction Budget'!$M62,0)),('Construction Budget'!$G62+SUM($G205:BH205))/ROUND(((EOMONTH('Construction Budget'!$M62,0)-EOMONTH(BI$11,0))/30)+1,0),0)</f>
        <v>0</v>
      </c>
      <c r="BJ205" s="427">
        <f>-IF(AND(BJ$11&gt;=EOMONTH('Construction Budget'!$K62,0),BJ$11&lt;=EOMONTH('Construction Budget'!$M62,0)),('Construction Budget'!$G62+SUM($G205:BI205))/ROUND(((EOMONTH('Construction Budget'!$M62,0)-EOMONTH(BJ$11,0))/30)+1,0),0)</f>
        <v>0</v>
      </c>
      <c r="BK205" s="427">
        <f>-IF(AND(BK$11&gt;=EOMONTH('Construction Budget'!$K62,0),BK$11&lt;=EOMONTH('Construction Budget'!$M62,0)),('Construction Budget'!$G62+SUM($G205:BJ205))/ROUND(((EOMONTH('Construction Budget'!$M62,0)-EOMONTH(BK$11,0))/30)+1,0),0)</f>
        <v>0</v>
      </c>
      <c r="BL205" s="427">
        <f>-IF(AND(BL$11&gt;=EOMONTH('Construction Budget'!$K62,0),BL$11&lt;=EOMONTH('Construction Budget'!$M62,0)),('Construction Budget'!$G62+SUM($G205:BK205))/ROUND(((EOMONTH('Construction Budget'!$M62,0)-EOMONTH(BL$11,0))/30)+1,0),0)</f>
        <v>0</v>
      </c>
      <c r="BM205" s="427">
        <f>-IF(AND(BM$11&gt;=EOMONTH('Construction Budget'!$K62,0),BM$11&lt;=EOMONTH('Construction Budget'!$M62,0)),('Construction Budget'!$G62+SUM($G205:BL205))/ROUND(((EOMONTH('Construction Budget'!$M62,0)-EOMONTH(BM$11,0))/30)+1,0),0)</f>
        <v>0</v>
      </c>
      <c r="BN205" s="427">
        <f>-IF(AND(BN$11&gt;=EOMONTH('Construction Budget'!$K62,0),BN$11&lt;=EOMONTH('Construction Budget'!$M62,0)),('Construction Budget'!$G62+SUM($G205:BM205))/ROUND(((EOMONTH('Construction Budget'!$M62,0)-EOMONTH(BN$11,0))/30)+1,0),0)</f>
        <v>0</v>
      </c>
      <c r="BO205" s="427">
        <f>-IF(AND(BO$11&gt;=EOMONTH('Construction Budget'!$K62,0),BO$11&lt;=EOMONTH('Construction Budget'!$M62,0)),('Construction Budget'!$G62+SUM($G205:BN205))/ROUND(((EOMONTH('Construction Budget'!$M62,0)-EOMONTH(BO$11,0))/30)+1,0),0)</f>
        <v>0</v>
      </c>
      <c r="BP205" s="427">
        <f>-IF(AND(BP$11&gt;=EOMONTH('Construction Budget'!$K62,0),BP$11&lt;=EOMONTH('Construction Budget'!$M62,0)),('Construction Budget'!$G62+SUM($G205:BO205))/ROUND(((EOMONTH('Construction Budget'!$M62,0)-EOMONTH(BP$11,0))/30)+1,0),0)</f>
        <v>0</v>
      </c>
      <c r="BQ205" s="427">
        <f>-IF(AND(BQ$11&gt;=EOMONTH('Construction Budget'!$K62,0),BQ$11&lt;=EOMONTH('Construction Budget'!$M62,0)),('Construction Budget'!$G62+SUM($G205:BP205))/ROUND(((EOMONTH('Construction Budget'!$M62,0)-EOMONTH(BQ$11,0))/30)+1,0),0)</f>
        <v>0</v>
      </c>
      <c r="BR205" s="427">
        <f>-IF(AND(BR$11&gt;=EOMONTH('Construction Budget'!$K62,0),BR$11&lt;=EOMONTH('Construction Budget'!$M62,0)),('Construction Budget'!$G62+SUM($G205:BQ205))/ROUND(((EOMONTH('Construction Budget'!$M62,0)-EOMONTH(BR$11,0))/30)+1,0),0)</f>
        <v>0</v>
      </c>
      <c r="BS205" s="427">
        <f>-IF(AND(BS$11&gt;=EOMONTH('Construction Budget'!$K62,0),BS$11&lt;=EOMONTH('Construction Budget'!$M62,0)),('Construction Budget'!$G62+SUM($G205:BR205))/ROUND(((EOMONTH('Construction Budget'!$M62,0)-EOMONTH(BS$11,0))/30)+1,0),0)</f>
        <v>0</v>
      </c>
      <c r="BT205" s="427">
        <f>-IF(AND(BT$11&gt;=EOMONTH('Construction Budget'!$K62,0),BT$11&lt;=EOMONTH('Construction Budget'!$M62,0)),('Construction Budget'!$G62+SUM($G205:BS205))/ROUND(((EOMONTH('Construction Budget'!$M62,0)-EOMONTH(BT$11,0))/30)+1,0),0)</f>
        <v>0</v>
      </c>
      <c r="BU205" s="427">
        <f>-IF(AND(BU$11&gt;=EOMONTH('Construction Budget'!$K62,0),BU$11&lt;=EOMONTH('Construction Budget'!$M62,0)),('Construction Budget'!$G62+SUM($G205:BT205))/ROUND(((EOMONTH('Construction Budget'!$M62,0)-EOMONTH(BU$11,0))/30)+1,0),0)</f>
        <v>0</v>
      </c>
      <c r="BV205" s="427">
        <f>-IF(AND(BV$11&gt;=EOMONTH('Construction Budget'!$K62,0),BV$11&lt;=EOMONTH('Construction Budget'!$M62,0)),('Construction Budget'!$G62+SUM($G205:BU205))/ROUND(((EOMONTH('Construction Budget'!$M62,0)-EOMONTH(BV$11,0))/30)+1,0),0)</f>
        <v>0</v>
      </c>
      <c r="BW205" s="427">
        <f>-IF(AND(BW$11&gt;=EOMONTH('Construction Budget'!$K62,0),BW$11&lt;=EOMONTH('Construction Budget'!$M62,0)),('Construction Budget'!$G62+SUM($G205:BV205))/ROUND(((EOMONTH('Construction Budget'!$M62,0)-EOMONTH(BW$11,0))/30)+1,0),0)</f>
        <v>0</v>
      </c>
      <c r="BX205" s="427">
        <f>-IF(AND(BX$11&gt;=EOMONTH('Construction Budget'!$K62,0),BX$11&lt;=EOMONTH('Construction Budget'!$M62,0)),('Construction Budget'!$G62+SUM($G205:BW205))/ROUND(((EOMONTH('Construction Budget'!$M62,0)-EOMONTH(BX$11,0))/30)+1,0),0)</f>
        <v>0</v>
      </c>
      <c r="BY205" s="427">
        <f>-IF(AND(BY$11&gt;=EOMONTH('Construction Budget'!$K62,0),BY$11&lt;=EOMONTH('Construction Budget'!$M62,0)),('Construction Budget'!$G62+SUM($G205:BX205))/ROUND(((EOMONTH('Construction Budget'!$M62,0)-EOMONTH(BY$11,0))/30)+1,0),0)</f>
        <v>0</v>
      </c>
      <c r="BZ205" s="427">
        <f>-IF(AND(BZ$11&gt;=EOMONTH('Construction Budget'!$K62,0),BZ$11&lt;=EOMONTH('Construction Budget'!$M62,0)),('Construction Budget'!$G62+SUM($G205:BY205))/ROUND(((EOMONTH('Construction Budget'!$M62,0)-EOMONTH(BZ$11,0))/30)+1,0),0)</f>
        <v>0</v>
      </c>
      <c r="CA205" s="427">
        <f>-IF(AND(CA$11&gt;=EOMONTH('Construction Budget'!$K62,0),CA$11&lt;=EOMONTH('Construction Budget'!$M62,0)),('Construction Budget'!$G62+SUM($G205:BZ205))/ROUND(((EOMONTH('Construction Budget'!$M62,0)-EOMONTH(CA$11,0))/30)+1,0),0)</f>
        <v>0</v>
      </c>
      <c r="CB205" s="427">
        <f>-IF(AND(CB$11&gt;=EOMONTH('Construction Budget'!$K62,0),CB$11&lt;=EOMONTH('Construction Budget'!$M62,0)),('Construction Budget'!$G62+SUM($G205:CA205))/ROUND(((EOMONTH('Construction Budget'!$M62,0)-EOMONTH(CB$11,0))/30)+1,0),0)</f>
        <v>0</v>
      </c>
      <c r="CC205" s="427">
        <f>-IF(AND(CC$11&gt;=EOMONTH('Construction Budget'!$K62,0),CC$11&lt;=EOMONTH('Construction Budget'!$M62,0)),('Construction Budget'!$G62+SUM($G205:CB205))/ROUND(((EOMONTH('Construction Budget'!$M62,0)-EOMONTH(CC$11,0))/30)+1,0),0)</f>
        <v>0</v>
      </c>
      <c r="CD205" s="427">
        <f>-IF(AND(CD$11&gt;=EOMONTH('Construction Budget'!$K62,0),CD$11&lt;=EOMONTH('Construction Budget'!$M62,0)),('Construction Budget'!$G62+SUM($G205:CC205))/ROUND(((EOMONTH('Construction Budget'!$M62,0)-EOMONTH(CD$11,0))/30)+1,0),0)</f>
        <v>0</v>
      </c>
      <c r="CE205" s="427">
        <f>-IF(AND(CE$11&gt;=EOMONTH('Construction Budget'!$K62,0),CE$11&lt;=EOMONTH('Construction Budget'!$M62,0)),('Construction Budget'!$G62+SUM($G205:CD205))/ROUND(((EOMONTH('Construction Budget'!$M62,0)-EOMONTH(CE$11,0))/30)+1,0),0)</f>
        <v>0</v>
      </c>
      <c r="CF205" s="427">
        <f>-IF(AND(CF$11&gt;=EOMONTH('Construction Budget'!$K62,0),CF$11&lt;=EOMONTH('Construction Budget'!$M62,0)),('Construction Budget'!$G62+SUM($G205:CE205))/ROUND(((EOMONTH('Construction Budget'!$M62,0)-EOMONTH(CF$11,0))/30)+1,0),0)</f>
        <v>0</v>
      </c>
      <c r="CG205" s="427">
        <f>-IF(AND(CG$11&gt;=EOMONTH('Construction Budget'!$K62,0),CG$11&lt;=EOMONTH('Construction Budget'!$M62,0)),('Construction Budget'!$G62+SUM($G205:CF205))/ROUND(((EOMONTH('Construction Budget'!$M62,0)-EOMONTH(CG$11,0))/30)+1,0),0)</f>
        <v>0</v>
      </c>
      <c r="CH205" s="427">
        <f>-IF(AND(CH$11&gt;=EOMONTH('Construction Budget'!$K62,0),CH$11&lt;=EOMONTH('Construction Budget'!$M62,0)),('Construction Budget'!$G62+SUM($G205:CG205))/ROUND(((EOMONTH('Construction Budget'!$M62,0)-EOMONTH(CH$11,0))/30)+1,0),0)</f>
        <v>0</v>
      </c>
      <c r="CI205" s="427">
        <f>-IF(AND(CI$11&gt;=EOMONTH('Construction Budget'!$K62,0),CI$11&lt;=EOMONTH('Construction Budget'!$M62,0)),('Construction Budget'!$G62+SUM($G205:CH205))/ROUND(((EOMONTH('Construction Budget'!$M62,0)-EOMONTH(CI$11,0))/30)+1,0),0)</f>
        <v>0</v>
      </c>
      <c r="CJ205" s="427">
        <f>-IF(AND(CJ$11&gt;=EOMONTH('Construction Budget'!$K62,0),CJ$11&lt;=EOMONTH('Construction Budget'!$M62,0)),('Construction Budget'!$G62+SUM($G205:CI205))/ROUND(((EOMONTH('Construction Budget'!$M62,0)-EOMONTH(CJ$11,0))/30)+1,0),0)</f>
        <v>0</v>
      </c>
      <c r="CK205" s="427">
        <f>-IF(AND(CK$11&gt;=EOMONTH('Construction Budget'!$K62,0),CK$11&lt;=EOMONTH('Construction Budget'!$M62,0)),('Construction Budget'!$G62+SUM($G205:CJ205))/ROUND(((EOMONTH('Construction Budget'!$M62,0)-EOMONTH(CK$11,0))/30)+1,0),0)</f>
        <v>0</v>
      </c>
      <c r="CL205" s="427">
        <f>-IF(AND(CL$11&gt;=EOMONTH('Construction Budget'!$K62,0),CL$11&lt;=EOMONTH('Construction Budget'!$M62,0)),('Construction Budget'!$G62+SUM($G205:CK205))/ROUND(((EOMONTH('Construction Budget'!$M62,0)-EOMONTH(CL$11,0))/30)+1,0),0)</f>
        <v>0</v>
      </c>
      <c r="CM205" s="427">
        <f>-IF(AND(CM$11&gt;=EOMONTH('Construction Budget'!$K62,0),CM$11&lt;=EOMONTH('Construction Budget'!$M62,0)),('Construction Budget'!$G62+SUM($G205:CL205))/ROUND(((EOMONTH('Construction Budget'!$M62,0)-EOMONTH(CM$11,0))/30)+1,0),0)</f>
        <v>0</v>
      </c>
      <c r="CN205" s="427">
        <f>-IF(AND(CN$11&gt;=EOMONTH('Construction Budget'!$K62,0),CN$11&lt;=EOMONTH('Construction Budget'!$M62,0)),('Construction Budget'!$G62+SUM($G205:CM205))/ROUND(((EOMONTH('Construction Budget'!$M62,0)-EOMONTH(CN$11,0))/30)+1,0),0)</f>
        <v>0</v>
      </c>
      <c r="CO205" s="427">
        <f>-IF(AND(CO$11&gt;=EOMONTH('Construction Budget'!$K62,0),CO$11&lt;=EOMONTH('Construction Budget'!$M62,0)),('Construction Budget'!$G62+SUM($G205:CN205))/ROUND(((EOMONTH('Construction Budget'!$M62,0)-EOMONTH(CO$11,0))/30)+1,0),0)</f>
        <v>0</v>
      </c>
      <c r="CP205" s="427">
        <f>-IF(AND(CP$11&gt;=EOMONTH('Construction Budget'!$K62,0),CP$11&lt;=EOMONTH('Construction Budget'!$M62,0)),('Construction Budget'!$G62+SUM($G205:CO205))/ROUND(((EOMONTH('Construction Budget'!$M62,0)-EOMONTH(CP$11,0))/30)+1,0),0)</f>
        <v>0</v>
      </c>
      <c r="CQ205" s="427">
        <f>-IF(AND(CQ$11&gt;=EOMONTH('Construction Budget'!$K62,0),CQ$11&lt;=EOMONTH('Construction Budget'!$M62,0)),('Construction Budget'!$G62+SUM($G205:CP205))/ROUND(((EOMONTH('Construction Budget'!$M62,0)-EOMONTH(CQ$11,0))/30)+1,0),0)</f>
        <v>0</v>
      </c>
      <c r="CR205" s="427">
        <f>-IF(AND(CR$11&gt;=EOMONTH('Construction Budget'!$K62,0),CR$11&lt;=EOMONTH('Construction Budget'!$M62,0)),('Construction Budget'!$G62+SUM($G205:CQ205))/ROUND(((EOMONTH('Construction Budget'!$M62,0)-EOMONTH(CR$11,0))/30)+1,0),0)</f>
        <v>0</v>
      </c>
      <c r="CS205" s="427">
        <f>-IF(AND(CS$11&gt;=EOMONTH('Construction Budget'!$K62,0),CS$11&lt;=EOMONTH('Construction Budget'!$M62,0)),('Construction Budget'!$G62+SUM($G205:CR205))/ROUND(((EOMONTH('Construction Budget'!$M62,0)-EOMONTH(CS$11,0))/30)+1,0),0)</f>
        <v>0</v>
      </c>
      <c r="CT205" s="427">
        <f>-IF(AND(CT$11&gt;=EOMONTH('Construction Budget'!$K62,0),CT$11&lt;=EOMONTH('Construction Budget'!$M62,0)),('Construction Budget'!$G62+SUM($G205:CS205))/ROUND(((EOMONTH('Construction Budget'!$M62,0)-EOMONTH(CT$11,0))/30)+1,0),0)</f>
        <v>0</v>
      </c>
      <c r="CU205" s="427">
        <f>-IF(AND(CU$11&gt;=EOMONTH('Construction Budget'!$K62,0),CU$11&lt;=EOMONTH('Construction Budget'!$M62,0)),('Construction Budget'!$G62+SUM($G205:CT205))/ROUND(((EOMONTH('Construction Budget'!$M62,0)-EOMONTH(CU$11,0))/30)+1,0),0)</f>
        <v>0</v>
      </c>
      <c r="CV205" s="427">
        <f>-IF(AND(CV$11&gt;=EOMONTH('Construction Budget'!$K62,0),CV$11&lt;=EOMONTH('Construction Budget'!$M62,0)),('Construction Budget'!$G62+SUM($G205:CU205))/ROUND(((EOMONTH('Construction Budget'!$M62,0)-EOMONTH(CV$11,0))/30)+1,0),0)</f>
        <v>0</v>
      </c>
      <c r="CW205" s="427">
        <f>-IF(AND(CW$11&gt;=EOMONTH('Construction Budget'!$K62,0),CW$11&lt;=EOMONTH('Construction Budget'!$M62,0)),('Construction Budget'!$G62+SUM($G205:CV205))/ROUND(((EOMONTH('Construction Budget'!$M62,0)-EOMONTH(CW$11,0))/30)+1,0),0)</f>
        <v>0</v>
      </c>
      <c r="CX205" s="427">
        <f>-IF(AND(CX$11&gt;=EOMONTH('Construction Budget'!$K62,0),CX$11&lt;=EOMONTH('Construction Budget'!$M62,0)),('Construction Budget'!$G62+SUM($G205:CW205))/ROUND(((EOMONTH('Construction Budget'!$M62,0)-EOMONTH(CX$11,0))/30)+1,0),0)</f>
        <v>0</v>
      </c>
      <c r="CY205" s="427">
        <f>-IF(AND(CY$11&gt;=EOMONTH('Construction Budget'!$K62,0),CY$11&lt;=EOMONTH('Construction Budget'!$M62,0)),('Construction Budget'!$G62+SUM($G205:CX205))/ROUND(((EOMONTH('Construction Budget'!$M62,0)-EOMONTH(CY$11,0))/30)+1,0),0)</f>
        <v>0</v>
      </c>
      <c r="CZ205" s="427">
        <f>-IF(AND(CZ$11&gt;=EOMONTH('Construction Budget'!$K62,0),CZ$11&lt;=EOMONTH('Construction Budget'!$M62,0)),('Construction Budget'!$G62+SUM($G205:CY205))/ROUND(((EOMONTH('Construction Budget'!$M62,0)-EOMONTH(CZ$11,0))/30)+1,0),0)</f>
        <v>0</v>
      </c>
      <c r="DA205" s="427">
        <f>-IF(AND(DA$11&gt;=EOMONTH('Construction Budget'!$K62,0),DA$11&lt;=EOMONTH('Construction Budget'!$M62,0)),('Construction Budget'!$G62+SUM($G205:CZ205))/ROUND(((EOMONTH('Construction Budget'!$M62,0)-EOMONTH(DA$11,0))/30)+1,0),0)</f>
        <v>0</v>
      </c>
      <c r="DB205" s="427">
        <f>-IF(AND(DB$11&gt;=EOMONTH('Construction Budget'!$K62,0),DB$11&lt;=EOMONTH('Construction Budget'!$M62,0)),('Construction Budget'!$G62+SUM($G205:DA205))/ROUND(((EOMONTH('Construction Budget'!$M62,0)-EOMONTH(DB$11,0))/30)+1,0),0)</f>
        <v>0</v>
      </c>
      <c r="DC205" s="427">
        <f>-IF(AND(DC$11&gt;=EOMONTH('Construction Budget'!$K62,0),DC$11&lt;=EOMONTH('Construction Budget'!$M62,0)),('Construction Budget'!$G62+SUM($G205:DB205))/ROUND(((EOMONTH('Construction Budget'!$M62,0)-EOMONTH(DC$11,0))/30)+1,0),0)</f>
        <v>0</v>
      </c>
      <c r="DD205" s="427">
        <f>-IF(AND(DD$11&gt;=EOMONTH('Construction Budget'!$K62,0),DD$11&lt;=EOMONTH('Construction Budget'!$M62,0)),('Construction Budget'!$G62+SUM($G205:DC205))/ROUND(((EOMONTH('Construction Budget'!$M62,0)-EOMONTH(DD$11,0))/30)+1,0),0)</f>
        <v>0</v>
      </c>
      <c r="DE205" s="427">
        <f>-IF(AND(DE$11&gt;=EOMONTH('Construction Budget'!$K62,0),DE$11&lt;=EOMONTH('Construction Budget'!$M62,0)),('Construction Budget'!$G62+SUM($G205:DD205))/ROUND(((EOMONTH('Construction Budget'!$M62,0)-EOMONTH(DE$11,0))/30)+1,0),0)</f>
        <v>0</v>
      </c>
      <c r="DF205" s="427">
        <f>-IF(AND(DF$11&gt;=EOMONTH('Construction Budget'!$K62,0),DF$11&lt;=EOMONTH('Construction Budget'!$M62,0)),('Construction Budget'!$G62+SUM($G205:DE205))/ROUND(((EOMONTH('Construction Budget'!$M62,0)-EOMONTH(DF$11,0))/30)+1,0),0)</f>
        <v>0</v>
      </c>
      <c r="DG205" s="427">
        <f>-IF(AND(DG$11&gt;=EOMONTH('Construction Budget'!$K62,0),DG$11&lt;=EOMONTH('Construction Budget'!$M62,0)),('Construction Budget'!$G62+SUM($G205:DF205))/ROUND(((EOMONTH('Construction Budget'!$M62,0)-EOMONTH(DG$11,0))/30)+1,0),0)</f>
        <v>0</v>
      </c>
      <c r="DH205" s="427">
        <f>-IF(AND(DH$11&gt;=EOMONTH('Construction Budget'!$K62,0),DH$11&lt;=EOMONTH('Construction Budget'!$M62,0)),('Construction Budget'!$G62+SUM($G205:DG205))/ROUND(((EOMONTH('Construction Budget'!$M62,0)-EOMONTH(DH$11,0))/30)+1,0),0)</f>
        <v>0</v>
      </c>
      <c r="DI205" s="427">
        <f>-IF(AND(DI$11&gt;=EOMONTH('Construction Budget'!$K62,0),DI$11&lt;=EOMONTH('Construction Budget'!$M62,0)),('Construction Budget'!$G62+SUM($G205:DH205))/ROUND(((EOMONTH('Construction Budget'!$M62,0)-EOMONTH(DI$11,0))/30)+1,0),0)</f>
        <v>0</v>
      </c>
      <c r="DJ205" s="427">
        <f>-IF(AND(DJ$11&gt;=EOMONTH('Construction Budget'!$K62,0),DJ$11&lt;=EOMONTH('Construction Budget'!$M62,0)),('Construction Budget'!$G62+SUM($G205:DI205))/ROUND(((EOMONTH('Construction Budget'!$M62,0)-EOMONTH(DJ$11,0))/30)+1,0),0)</f>
        <v>0</v>
      </c>
      <c r="DK205" s="427">
        <f>-IF(AND(DK$11&gt;=EOMONTH('Construction Budget'!$K62,0),DK$11&lt;=EOMONTH('Construction Budget'!$M62,0)),('Construction Budget'!$G62+SUM($G205:DJ205))/ROUND(((EOMONTH('Construction Budget'!$M62,0)-EOMONTH(DK$11,0))/30)+1,0),0)</f>
        <v>0</v>
      </c>
      <c r="DL205" s="427">
        <f>-IF(AND(DL$11&gt;=EOMONTH('Construction Budget'!$K62,0),DL$11&lt;=EOMONTH('Construction Budget'!$M62,0)),('Construction Budget'!$G62+SUM($G205:DK205))/ROUND(((EOMONTH('Construction Budget'!$M62,0)-EOMONTH(DL$11,0))/30)+1,0),0)</f>
        <v>0</v>
      </c>
      <c r="DM205" s="427">
        <f>-IF(AND(DM$11&gt;=EOMONTH('Construction Budget'!$K62,0),DM$11&lt;=EOMONTH('Construction Budget'!$M62,0)),('Construction Budget'!$G62+SUM($G205:DL205))/ROUND(((EOMONTH('Construction Budget'!$M62,0)-EOMONTH(DM$11,0))/30)+1,0),0)</f>
        <v>0</v>
      </c>
      <c r="DN205" s="427">
        <f>-IF(AND(DN$11&gt;=EOMONTH('Construction Budget'!$K62,0),DN$11&lt;=EOMONTH('Construction Budget'!$M62,0)),('Construction Budget'!$G62+SUM($G205:DM205))/ROUND(((EOMONTH('Construction Budget'!$M62,0)-EOMONTH(DN$11,0))/30)+1,0),0)</f>
        <v>0</v>
      </c>
      <c r="DO205" s="427">
        <f>-IF(AND(DO$11&gt;=EOMONTH('Construction Budget'!$K62,0),DO$11&lt;=EOMONTH('Construction Budget'!$M62,0)),('Construction Budget'!$G62+SUM($G205:DN205))/ROUND(((EOMONTH('Construction Budget'!$M62,0)-EOMONTH(DO$11,0))/30)+1,0),0)</f>
        <v>0</v>
      </c>
      <c r="DP205" s="427">
        <f>-IF(AND(DP$11&gt;=EOMONTH('Construction Budget'!$K62,0),DP$11&lt;=EOMONTH('Construction Budget'!$M62,0)),('Construction Budget'!$G62+SUM($G205:DO205))/ROUND(((EOMONTH('Construction Budget'!$M62,0)-EOMONTH(DP$11,0))/30)+1,0),0)</f>
        <v>0</v>
      </c>
      <c r="DQ205" s="427">
        <f>-IF(AND(DQ$11&gt;=EOMONTH('Construction Budget'!$K62,0),DQ$11&lt;=EOMONTH('Construction Budget'!$M62,0)),('Construction Budget'!$G62+SUM($G205:DP205))/ROUND(((EOMONTH('Construction Budget'!$M62,0)-EOMONTH(DQ$11,0))/30)+1,0),0)</f>
        <v>0</v>
      </c>
      <c r="DR205" s="427">
        <f>-IF(AND(DR$11&gt;=EOMONTH('Construction Budget'!$K62,0),DR$11&lt;=EOMONTH('Construction Budget'!$M62,0)),('Construction Budget'!$G62+SUM($G205:DQ205))/ROUND(((EOMONTH('Construction Budget'!$M62,0)-EOMONTH(DR$11,0))/30)+1,0),0)</f>
        <v>0</v>
      </c>
      <c r="DS205" s="427">
        <f>-IF(AND(DS$11&gt;=EOMONTH('Construction Budget'!$K62,0),DS$11&lt;=EOMONTH('Construction Budget'!$M62,0)),('Construction Budget'!$G62+SUM($G205:DR205))/ROUND(((EOMONTH('Construction Budget'!$M62,0)-EOMONTH(DS$11,0))/30)+1,0),0)</f>
        <v>0</v>
      </c>
      <c r="DT205" s="427">
        <f>-IF(AND(DT$11&gt;=EOMONTH('Construction Budget'!$K62,0),DT$11&lt;=EOMONTH('Construction Budget'!$M62,0)),('Construction Budget'!$G62+SUM($G205:DS205))/ROUND(((EOMONTH('Construction Budget'!$M62,0)-EOMONTH(DT$11,0))/30)+1,0),0)</f>
        <v>0</v>
      </c>
      <c r="DU205" s="427">
        <f>-IF(AND(DU$11&gt;=EOMONTH('Construction Budget'!$K62,0),DU$11&lt;=EOMONTH('Construction Budget'!$M62,0)),('Construction Budget'!$G62+SUM($G205:DT205))/ROUND(((EOMONTH('Construction Budget'!$M62,0)-EOMONTH(DU$11,0))/30)+1,0),0)</f>
        <v>0</v>
      </c>
      <c r="DV205" s="427">
        <f>-IF(AND(DV$11&gt;=EOMONTH('Construction Budget'!$K62,0),DV$11&lt;=EOMONTH('Construction Budget'!$M62,0)),('Construction Budget'!$G62+SUM($G205:DU205))/ROUND(((EOMONTH('Construction Budget'!$M62,0)-EOMONTH(DV$11,0))/30)+1,0),0)</f>
        <v>0</v>
      </c>
      <c r="DW205" s="427">
        <f>-IF(AND(DW$11&gt;=EOMONTH('Construction Budget'!$K62,0),DW$11&lt;=EOMONTH('Construction Budget'!$M62,0)),('Construction Budget'!$G62+SUM($G205:DV205))/ROUND(((EOMONTH('Construction Budget'!$M62,0)-EOMONTH(DW$11,0))/30)+1,0),0)</f>
        <v>0</v>
      </c>
      <c r="DX205" s="427">
        <f>-IF(AND(DX$11&gt;=EOMONTH('Construction Budget'!$K62,0),DX$11&lt;=EOMONTH('Construction Budget'!$M62,0)),('Construction Budget'!$G62+SUM($G205:DW205))/ROUND(((EOMONTH('Construction Budget'!$M62,0)-EOMONTH(DX$11,0))/30)+1,0),0)</f>
        <v>0</v>
      </c>
      <c r="DY205" s="427">
        <f>-IF(AND(DY$11&gt;=EOMONTH('Construction Budget'!$K62,0),DY$11&lt;=EOMONTH('Construction Budget'!$M62,0)),('Construction Budget'!$G62+SUM($G205:DX205))/ROUND(((EOMONTH('Construction Budget'!$M62,0)-EOMONTH(DY$11,0))/30)+1,0),0)</f>
        <v>0</v>
      </c>
      <c r="DZ205" s="427">
        <f>-IF(AND(DZ$11&gt;=EOMONTH('Construction Budget'!$K62,0),DZ$11&lt;=EOMONTH('Construction Budget'!$M62,0)),('Construction Budget'!$G62+SUM($G205:DY205))/ROUND(((EOMONTH('Construction Budget'!$M62,0)-EOMONTH(DZ$11,0))/30)+1,0),0)</f>
        <v>0</v>
      </c>
      <c r="EA205" s="427">
        <f>-IF(AND(EA$11&gt;=EOMONTH('Construction Budget'!$K62,0),EA$11&lt;=EOMONTH('Construction Budget'!$M62,0)),('Construction Budget'!$G62+SUM($G205:DZ205))/ROUND(((EOMONTH('Construction Budget'!$M62,0)-EOMONTH(EA$11,0))/30)+1,0),0)</f>
        <v>0</v>
      </c>
      <c r="EB205" s="427">
        <f>-IF(AND(EB$11&gt;=EOMONTH('Construction Budget'!$K62,0),EB$11&lt;=EOMONTH('Construction Budget'!$M62,0)),('Construction Budget'!$G62+SUM($G205:EA205))/ROUND(((EOMONTH('Construction Budget'!$M62,0)-EOMONTH(EB$11,0))/30)+1,0),0)</f>
        <v>0</v>
      </c>
      <c r="EC205" s="427">
        <f>-IF(AND(EC$11&gt;=EOMONTH('Construction Budget'!$K62,0),EC$11&lt;=EOMONTH('Construction Budget'!$M62,0)),('Construction Budget'!$G62+SUM($G205:EB205))/ROUND(((EOMONTH('Construction Budget'!$M62,0)-EOMONTH(EC$11,0))/30)+1,0),0)</f>
        <v>0</v>
      </c>
      <c r="ED205" s="427">
        <f>-IF(AND(ED$11&gt;=EOMONTH('Construction Budget'!$K62,0),ED$11&lt;=EOMONTH('Construction Budget'!$M62,0)),('Construction Budget'!$G62+SUM($G205:EC205))/ROUND(((EOMONTH('Construction Budget'!$M62,0)-EOMONTH(ED$11,0))/30)+1,0),0)</f>
        <v>0</v>
      </c>
      <c r="EE205" s="427">
        <f>-IF(AND(EE$11&gt;=EOMONTH('Construction Budget'!$K62,0),EE$11&lt;=EOMONTH('Construction Budget'!$M62,0)),('Construction Budget'!$G62+SUM($G205:ED205))/ROUND(((EOMONTH('Construction Budget'!$M62,0)-EOMONTH(EE$11,0))/30)+1,0),0)</f>
        <v>0</v>
      </c>
      <c r="EF205" s="427">
        <f>-IF(AND(EF$11&gt;=EOMONTH('Construction Budget'!$K62,0),EF$11&lt;=EOMONTH('Construction Budget'!$M62,0)),('Construction Budget'!$G62+SUM($G205:EE205))/ROUND(((EOMONTH('Construction Budget'!$M62,0)-EOMONTH(EF$11,0))/30)+1,0),0)</f>
        <v>0</v>
      </c>
      <c r="EG205" s="427">
        <f>-IF(AND(EG$11&gt;=EOMONTH('Construction Budget'!$K62,0),EG$11&lt;=EOMONTH('Construction Budget'!$M62,0)),('Construction Budget'!$G62+SUM($G205:EF205))/ROUND(((EOMONTH('Construction Budget'!$M62,0)-EOMONTH(EG$11,0))/30)+1,0),0)</f>
        <v>0</v>
      </c>
      <c r="EH205" s="427">
        <f>-IF(AND(EH$11&gt;=EOMONTH('Construction Budget'!$K62,0),EH$11&lt;=EOMONTH('Construction Budget'!$M62,0)),('Construction Budget'!$G62+SUM($G205:EG205))/ROUND(((EOMONTH('Construction Budget'!$M62,0)-EOMONTH(EH$11,0))/30)+1,0),0)</f>
        <v>0</v>
      </c>
      <c r="EI205" s="427">
        <f>-IF(AND(EI$11&gt;=EOMONTH('Construction Budget'!$K62,0),EI$11&lt;=EOMONTH('Construction Budget'!$M62,0)),('Construction Budget'!$G62+SUM($G205:EH205))/ROUND(((EOMONTH('Construction Budget'!$M62,0)-EOMONTH(EI$11,0))/30)+1,0),0)</f>
        <v>0</v>
      </c>
      <c r="EJ205" s="427">
        <f>-IF(AND(EJ$11&gt;=EOMONTH('Construction Budget'!$K62,0),EJ$11&lt;=EOMONTH('Construction Budget'!$M62,0)),('Construction Budget'!$G62+SUM($G205:EI205))/ROUND(((EOMONTH('Construction Budget'!$M62,0)-EOMONTH(EJ$11,0))/30)+1,0),0)</f>
        <v>0</v>
      </c>
      <c r="EK205" s="427">
        <f>-IF(AND(EK$11&gt;=EOMONTH('Construction Budget'!$K62,0),EK$11&lt;=EOMONTH('Construction Budget'!$M62,0)),('Construction Budget'!$G62+SUM($G205:EJ205))/ROUND(((EOMONTH('Construction Budget'!$M62,0)-EOMONTH(EK$11,0))/30)+1,0),0)</f>
        <v>0</v>
      </c>
      <c r="EL205" s="427">
        <f>-IF(AND(EL$11&gt;=EOMONTH('Construction Budget'!$K62,0),EL$11&lt;=EOMONTH('Construction Budget'!$M62,0)),('Construction Budget'!$G62+SUM($G205:EK205))/ROUND(((EOMONTH('Construction Budget'!$M62,0)-EOMONTH(EL$11,0))/30)+1,0),0)</f>
        <v>0</v>
      </c>
      <c r="EM205" s="427">
        <f>-IF(AND(EM$11&gt;=EOMONTH('Construction Budget'!$K62,0),EM$11&lt;=EOMONTH('Construction Budget'!$M62,0)),('Construction Budget'!$G62+SUM($G205:EL205))/ROUND(((EOMONTH('Construction Budget'!$M62,0)-EOMONTH(EM$11,0))/30)+1,0),0)</f>
        <v>0</v>
      </c>
      <c r="EN205" s="427">
        <f>-IF(AND(EN$11&gt;=EOMONTH('Construction Budget'!$K62,0),EN$11&lt;=EOMONTH('Construction Budget'!$M62,0)),('Construction Budget'!$G62+SUM($G205:EM205))/ROUND(((EOMONTH('Construction Budget'!$M62,0)-EOMONTH(EN$11,0))/30)+1,0),0)</f>
        <v>0</v>
      </c>
      <c r="EO205" s="427">
        <f>-IF(AND(EO$11&gt;=EOMONTH('Construction Budget'!$K62,0),EO$11&lt;=EOMONTH('Construction Budget'!$M62,0)),('Construction Budget'!$G62+SUM($G205:EN205))/ROUND(((EOMONTH('Construction Budget'!$M62,0)-EOMONTH(EO$11,0))/30)+1,0),0)</f>
        <v>0</v>
      </c>
      <c r="EP205" s="427">
        <f>-IF(AND(EP$11&gt;=EOMONTH('Construction Budget'!$K62,0),EP$11&lt;=EOMONTH('Construction Budget'!$M62,0)),('Construction Budget'!$G62+SUM($G205:EO205))/ROUND(((EOMONTH('Construction Budget'!$M62,0)-EOMONTH(EP$11,0))/30)+1,0),0)</f>
        <v>0</v>
      </c>
      <c r="EQ205" s="427">
        <f>-IF(AND(EQ$11&gt;=EOMONTH('Construction Budget'!$K62,0),EQ$11&lt;=EOMONTH('Construction Budget'!$M62,0)),('Construction Budget'!$G62+SUM($G205:EP205))/ROUND(((EOMONTH('Construction Budget'!$M62,0)-EOMONTH(EQ$11,0))/30)+1,0),0)</f>
        <v>0</v>
      </c>
      <c r="ER205" s="427">
        <f>-IF(AND(ER$11&gt;=EOMONTH('Construction Budget'!$K62,0),ER$11&lt;=EOMONTH('Construction Budget'!$M62,0)),('Construction Budget'!$G62+SUM($G205:EQ205))/ROUND(((EOMONTH('Construction Budget'!$M62,0)-EOMONTH(ER$11,0))/30)+1,0),0)</f>
        <v>0</v>
      </c>
      <c r="ES205" s="427">
        <f>-IF(AND(ES$11&gt;=EOMONTH('Construction Budget'!$K62,0),ES$11&lt;=EOMONTH('Construction Budget'!$M62,0)),('Construction Budget'!$G62+SUM($G205:ER205))/ROUND(((EOMONTH('Construction Budget'!$M62,0)-EOMONTH(ES$11,0))/30)+1,0),0)</f>
        <v>0</v>
      </c>
      <c r="ET205" s="427">
        <f>-IF(AND(ET$11&gt;=EOMONTH('Construction Budget'!$K62,0),ET$11&lt;=EOMONTH('Construction Budget'!$M62,0)),('Construction Budget'!$G62+SUM($G205:ES205))/ROUND(((EOMONTH('Construction Budget'!$M62,0)-EOMONTH(ET$11,0))/30)+1,0),0)</f>
        <v>0</v>
      </c>
      <c r="EU205" s="427">
        <f>-IF(AND(EU$11&gt;=EOMONTH('Construction Budget'!$K62,0),EU$11&lt;=EOMONTH('Construction Budget'!$M62,0)),('Construction Budget'!$G62+SUM($G205:ET205))/ROUND(((EOMONTH('Construction Budget'!$M62,0)-EOMONTH(EU$11,0))/30)+1,0),0)</f>
        <v>0</v>
      </c>
      <c r="EV205" s="427">
        <f>-IF(AND(EV$11&gt;=EOMONTH('Construction Budget'!$K62,0),EV$11&lt;=EOMONTH('Construction Budget'!$M62,0)),('Construction Budget'!$G62+SUM($G205:EU205))/ROUND(((EOMONTH('Construction Budget'!$M62,0)-EOMONTH(EV$11,0))/30)+1,0),0)</f>
        <v>0</v>
      </c>
      <c r="EW205" s="427">
        <f>-IF(AND(EW$11&gt;=EOMONTH('Construction Budget'!$K62,0),EW$11&lt;=EOMONTH('Construction Budget'!$M62,0)),('Construction Budget'!$G62+SUM($G205:EV205))/ROUND(((EOMONTH('Construction Budget'!$M62,0)-EOMONTH(EW$11,0))/30)+1,0),0)</f>
        <v>0</v>
      </c>
      <c r="EX205" s="427">
        <f>-IF(AND(EX$11&gt;=EOMONTH('Construction Budget'!$K62,0),EX$11&lt;=EOMONTH('Construction Budget'!$M62,0)),('Construction Budget'!$G62+SUM($G205:EW205))/ROUND(((EOMONTH('Construction Budget'!$M62,0)-EOMONTH(EX$11,0))/30)+1,0),0)</f>
        <v>0</v>
      </c>
      <c r="EY205" s="427">
        <f>-IF(AND(EY$11&gt;=EOMONTH('Construction Budget'!$K62,0),EY$11&lt;=EOMONTH('Construction Budget'!$M62,0)),('Construction Budget'!$G62+SUM($G205:EX205))/ROUND(((EOMONTH('Construction Budget'!$M62,0)-EOMONTH(EY$11,0))/30)+1,0),0)</f>
        <v>0</v>
      </c>
      <c r="EZ205" s="427">
        <f>-IF(AND(EZ$11&gt;=EOMONTH('Construction Budget'!$K62,0),EZ$11&lt;=EOMONTH('Construction Budget'!$M62,0)),('Construction Budget'!$G62+SUM($G205:EY205))/ROUND(((EOMONTH('Construction Budget'!$M62,0)-EOMONTH(EZ$11,0))/30)+1,0),0)</f>
        <v>0</v>
      </c>
      <c r="FA205" s="427">
        <f>-IF(AND(FA$11&gt;=EOMONTH('Construction Budget'!$K62,0),FA$11&lt;=EOMONTH('Construction Budget'!$M62,0)),('Construction Budget'!$G62+SUM($G205:EZ205))/ROUND(((EOMONTH('Construction Budget'!$M62,0)-EOMONTH(FA$11,0))/30)+1,0),0)</f>
        <v>0</v>
      </c>
      <c r="FB205" s="427">
        <f>-IF(AND(FB$11&gt;=EOMONTH('Construction Budget'!$K62,0),FB$11&lt;=EOMONTH('Construction Budget'!$M62,0)),('Construction Budget'!$G62+SUM($G205:FA205))/ROUND(((EOMONTH('Construction Budget'!$M62,0)-EOMONTH(FB$11,0))/30)+1,0),0)</f>
        <v>0</v>
      </c>
      <c r="FC205" s="427">
        <f>-IF(AND(FC$11&gt;=EOMONTH('Construction Budget'!$K62,0),FC$11&lt;=EOMONTH('Construction Budget'!$M62,0)),('Construction Budget'!$G62+SUM($G205:FB205))/ROUND(((EOMONTH('Construction Budget'!$M62,0)-EOMONTH(FC$11,0))/30)+1,0),0)</f>
        <v>0</v>
      </c>
      <c r="FD205" s="427">
        <f>-IF(AND(FD$11&gt;=EOMONTH('Construction Budget'!$K62,0),FD$11&lt;=EOMONTH('Construction Budget'!$M62,0)),('Construction Budget'!$G62+SUM($G205:FC205))/ROUND(((EOMONTH('Construction Budget'!$M62,0)-EOMONTH(FD$11,0))/30)+1,0),0)</f>
        <v>0</v>
      </c>
      <c r="FE205" s="427">
        <f>-IF(AND(FE$11&gt;=EOMONTH('Construction Budget'!$K62,0),FE$11&lt;=EOMONTH('Construction Budget'!$M62,0)),('Construction Budget'!$G62+SUM($G205:FD205))/ROUND(((EOMONTH('Construction Budget'!$M62,0)-EOMONTH(FE$11,0))/30)+1,0),0)</f>
        <v>0</v>
      </c>
      <c r="FF205" s="427">
        <f>-IF(AND(FF$11&gt;=EOMONTH('Construction Budget'!$K62,0),FF$11&lt;=EOMONTH('Construction Budget'!$M62,0)),('Construction Budget'!$G62+SUM($G205:FE205))/ROUND(((EOMONTH('Construction Budget'!$M62,0)-EOMONTH(FF$11,0))/30)+1,0),0)</f>
        <v>0</v>
      </c>
      <c r="FG205" s="427">
        <f>-IF(AND(FG$11&gt;=EOMONTH('Construction Budget'!$K62,0),FG$11&lt;=EOMONTH('Construction Budget'!$M62,0)),('Construction Budget'!$G62+SUM($G205:FF205))/ROUND(((EOMONTH('Construction Budget'!$M62,0)-EOMONTH(FG$11,0))/30)+1,0),0)</f>
        <v>0</v>
      </c>
      <c r="FH205" s="427">
        <f>-IF(AND(FH$11&gt;=EOMONTH('Construction Budget'!$K62,0),FH$11&lt;=EOMONTH('Construction Budget'!$M62,0)),('Construction Budget'!$G62+SUM($G205:FG205))/ROUND(((EOMONTH('Construction Budget'!$M62,0)-EOMONTH(FH$11,0))/30)+1,0),0)</f>
        <v>0</v>
      </c>
      <c r="FI205" s="427">
        <f>-IF(AND(FI$11&gt;=EOMONTH('Construction Budget'!$K62,0),FI$11&lt;=EOMONTH('Construction Budget'!$M62,0)),('Construction Budget'!$G62+SUM($G205:FH205))/ROUND(((EOMONTH('Construction Budget'!$M62,0)-EOMONTH(FI$11,0))/30)+1,0),0)</f>
        <v>0</v>
      </c>
      <c r="FJ205" s="427">
        <f>-IF(AND(FJ$11&gt;=EOMONTH('Construction Budget'!$K62,0),FJ$11&lt;=EOMONTH('Construction Budget'!$M62,0)),('Construction Budget'!$G62+SUM($G205:FI205))/ROUND(((EOMONTH('Construction Budget'!$M62,0)-EOMONTH(FJ$11,0))/30)+1,0),0)</f>
        <v>0</v>
      </c>
      <c r="FK205" s="427">
        <f>-IF(AND(FK$11&gt;=EOMONTH('Construction Budget'!$K62,0),FK$11&lt;=EOMONTH('Construction Budget'!$M62,0)),('Construction Budget'!$G62+SUM($G205:FJ205))/ROUND(((EOMONTH('Construction Budget'!$M62,0)-EOMONTH(FK$11,0))/30)+1,0),0)</f>
        <v>0</v>
      </c>
      <c r="FL205" s="427">
        <f>-IF(AND(FL$11&gt;=EOMONTH('Construction Budget'!$K62,0),FL$11&lt;=EOMONTH('Construction Budget'!$M62,0)),('Construction Budget'!$G62+SUM($G205:FK205))/ROUND(((EOMONTH('Construction Budget'!$M62,0)-EOMONTH(FL$11,0))/30)+1,0),0)</f>
        <v>0</v>
      </c>
      <c r="FM205" s="427">
        <f>-IF(AND(FM$11&gt;=EOMONTH('Construction Budget'!$K62,0),FM$11&lt;=EOMONTH('Construction Budget'!$M62,0)),('Construction Budget'!$G62+SUM($G205:FL205))/ROUND(((EOMONTH('Construction Budget'!$M62,0)-EOMONTH(FM$11,0))/30)+1,0),0)</f>
        <v>0</v>
      </c>
      <c r="FN205" s="427">
        <f>-IF(AND(FN$11&gt;=EOMONTH('Construction Budget'!$K62,0),FN$11&lt;=EOMONTH('Construction Budget'!$M62,0)),('Construction Budget'!$G62+SUM($G205:FM205))/ROUND(((EOMONTH('Construction Budget'!$M62,0)-EOMONTH(FN$11,0))/30)+1,0),0)</f>
        <v>0</v>
      </c>
      <c r="FO205" s="427">
        <f>-IF(AND(FO$11&gt;=EOMONTH('Construction Budget'!$K62,0),FO$11&lt;=EOMONTH('Construction Budget'!$M62,0)),('Construction Budget'!$G62+SUM($G205:FN205))/ROUND(((EOMONTH('Construction Budget'!$M62,0)-EOMONTH(FO$11,0))/30)+1,0),0)</f>
        <v>0</v>
      </c>
      <c r="FP205" s="427">
        <f>-IF(AND(FP$11&gt;=EOMONTH('Construction Budget'!$K62,0),FP$11&lt;=EOMONTH('Construction Budget'!$M62,0)),('Construction Budget'!$G62+SUM($G205:FO205))/ROUND(((EOMONTH('Construction Budget'!$M62,0)-EOMONTH(FP$11,0))/30)+1,0),0)</f>
        <v>0</v>
      </c>
      <c r="FQ205" s="427">
        <f>-IF(AND(FQ$11&gt;=EOMONTH('Construction Budget'!$K62,0),FQ$11&lt;=EOMONTH('Construction Budget'!$M62,0)),('Construction Budget'!$G62+SUM($G205:FP205))/ROUND(((EOMONTH('Construction Budget'!$M62,0)-EOMONTH(FQ$11,0))/30)+1,0),0)</f>
        <v>0</v>
      </c>
      <c r="FR205" s="427">
        <f>-IF(AND(FR$11&gt;=EOMONTH('Construction Budget'!$K62,0),FR$11&lt;=EOMONTH('Construction Budget'!$M62,0)),('Construction Budget'!$G62+SUM($G205:FQ205))/ROUND(((EOMONTH('Construction Budget'!$M62,0)-EOMONTH(FR$11,0))/30)+1,0),0)</f>
        <v>0</v>
      </c>
      <c r="FS205" s="427">
        <f>-IF(AND(FS$11&gt;=EOMONTH('Construction Budget'!$K62,0),FS$11&lt;=EOMONTH('Construction Budget'!$M62,0)),('Construction Budget'!$G62+SUM($G205:FR205))/ROUND(((EOMONTH('Construction Budget'!$M62,0)-EOMONTH(FS$11,0))/30)+1,0),0)</f>
        <v>0</v>
      </c>
      <c r="FT205" s="427">
        <f>-IF(AND(FT$11&gt;=EOMONTH('Construction Budget'!$K62,0),FT$11&lt;=EOMONTH('Construction Budget'!$M62,0)),('Construction Budget'!$G62+SUM($G205:FS205))/ROUND(((EOMONTH('Construction Budget'!$M62,0)-EOMONTH(FT$11,0))/30)+1,0),0)</f>
        <v>0</v>
      </c>
      <c r="FU205" s="43"/>
      <c r="FV205" s="34"/>
      <c r="FW205" s="34"/>
      <c r="FX205" s="34"/>
      <c r="FY205" s="34"/>
      <c r="FZ205" s="34"/>
    </row>
    <row r="206" spans="1:182" s="89" customFormat="1" ht="13.5" hidden="1" outlineLevel="2" x14ac:dyDescent="0.25">
      <c r="A206" s="498"/>
      <c r="B206" s="43" t="str">
        <f>'Construction Budget'!B63</f>
        <v>Blank</v>
      </c>
      <c r="C206" s="34"/>
      <c r="D206" s="34"/>
      <c r="E206" s="34"/>
      <c r="F206" s="434">
        <f t="shared" si="236"/>
        <v>0</v>
      </c>
      <c r="G206" s="34"/>
      <c r="H206" s="427">
        <f>-IF(AND(H$11&gt;=EOMONTH('Construction Budget'!$K63,0),H$11&lt;=EOMONTH('Construction Budget'!$M63,0)),('Construction Budget'!$G63+SUM($G206:G206))/ROUND(((EOMONTH('Construction Budget'!$M63,0)-EOMONTH(H$11,0))/30)+1,0),0)</f>
        <v>0</v>
      </c>
      <c r="I206" s="427">
        <f>-IF(AND(I$11&gt;=EOMONTH('Construction Budget'!$K63,0),I$11&lt;=EOMONTH('Construction Budget'!$M63,0)),('Construction Budget'!$G63+SUM($G206:H206))/ROUND(((EOMONTH('Construction Budget'!$M63,0)-EOMONTH(I$11,0))/30)+1,0),0)</f>
        <v>0</v>
      </c>
      <c r="J206" s="427">
        <f>-IF(AND(J$11&gt;=EOMONTH('Construction Budget'!$K63,0),J$11&lt;=EOMONTH('Construction Budget'!$M63,0)),('Construction Budget'!$G63+SUM($G206:I206))/ROUND(((EOMONTH('Construction Budget'!$M63,0)-EOMONTH(J$11,0))/30)+1,0),0)</f>
        <v>0</v>
      </c>
      <c r="K206" s="427">
        <f>-IF(AND(K$11&gt;=EOMONTH('Construction Budget'!$K63,0),K$11&lt;=EOMONTH('Construction Budget'!$M63,0)),('Construction Budget'!$G63+SUM($G206:J206))/ROUND(((EOMONTH('Construction Budget'!$M63,0)-EOMONTH(K$11,0))/30)+1,0),0)</f>
        <v>0</v>
      </c>
      <c r="L206" s="427">
        <f>-IF(AND(L$11&gt;=EOMONTH('Construction Budget'!$K63,0),L$11&lt;=EOMONTH('Construction Budget'!$M63,0)),('Construction Budget'!$G63+SUM($G206:K206))/ROUND(((EOMONTH('Construction Budget'!$M63,0)-EOMONTH(L$11,0))/30)+1,0),0)</f>
        <v>0</v>
      </c>
      <c r="M206" s="427">
        <f>-IF(AND(M$11&gt;=EOMONTH('Construction Budget'!$K63,0),M$11&lt;=EOMONTH('Construction Budget'!$M63,0)),('Construction Budget'!$G63+SUM($G206:L206))/ROUND(((EOMONTH('Construction Budget'!$M63,0)-EOMONTH(M$11,0))/30)+1,0),0)</f>
        <v>0</v>
      </c>
      <c r="N206" s="427">
        <f>-IF(AND(N$11&gt;=EOMONTH('Construction Budget'!$K63,0),N$11&lt;=EOMONTH('Construction Budget'!$M63,0)),('Construction Budget'!$G63+SUM($G206:M206))/ROUND(((EOMONTH('Construction Budget'!$M63,0)-EOMONTH(N$11,0))/30)+1,0),0)</f>
        <v>0</v>
      </c>
      <c r="O206" s="427">
        <f>-IF(AND(O$11&gt;=EOMONTH('Construction Budget'!$K63,0),O$11&lt;=EOMONTH('Construction Budget'!$M63,0)),('Construction Budget'!$G63+SUM($G206:N206))/ROUND(((EOMONTH('Construction Budget'!$M63,0)-EOMONTH(O$11,0))/30)+1,0),0)</f>
        <v>0</v>
      </c>
      <c r="P206" s="427">
        <f>-IF(AND(P$11&gt;=EOMONTH('Construction Budget'!$K63,0),P$11&lt;=EOMONTH('Construction Budget'!$M63,0)),('Construction Budget'!$G63+SUM($G206:O206))/ROUND(((EOMONTH('Construction Budget'!$M63,0)-EOMONTH(P$11,0))/30)+1,0),0)</f>
        <v>0</v>
      </c>
      <c r="Q206" s="427">
        <f>-IF(AND(Q$11&gt;=EOMONTH('Construction Budget'!$K63,0),Q$11&lt;=EOMONTH('Construction Budget'!$M63,0)),('Construction Budget'!$G63+SUM($G206:P206))/ROUND(((EOMONTH('Construction Budget'!$M63,0)-EOMONTH(Q$11,0))/30)+1,0),0)</f>
        <v>0</v>
      </c>
      <c r="R206" s="427">
        <f>-IF(AND(R$11&gt;=EOMONTH('Construction Budget'!$K63,0),R$11&lt;=EOMONTH('Construction Budget'!$M63,0)),('Construction Budget'!$G63+SUM($G206:Q206))/ROUND(((EOMONTH('Construction Budget'!$M63,0)-EOMONTH(R$11,0))/30)+1,0),0)</f>
        <v>0</v>
      </c>
      <c r="S206" s="427">
        <f>-IF(AND(S$11&gt;=EOMONTH('Construction Budget'!$K63,0),S$11&lt;=EOMONTH('Construction Budget'!$M63,0)),('Construction Budget'!$G63+SUM($G206:R206))/ROUND(((EOMONTH('Construction Budget'!$M63,0)-EOMONTH(S$11,0))/30)+1,0),0)</f>
        <v>0</v>
      </c>
      <c r="T206" s="427">
        <f>-IF(AND(T$11&gt;=EOMONTH('Construction Budget'!$K63,0),T$11&lt;=EOMONTH('Construction Budget'!$M63,0)),('Construction Budget'!$G63+SUM($G206:S206))/ROUND(((EOMONTH('Construction Budget'!$M63,0)-EOMONTH(T$11,0))/30)+1,0),0)</f>
        <v>0</v>
      </c>
      <c r="U206" s="427">
        <f>-IF(AND(U$11&gt;=EOMONTH('Construction Budget'!$K63,0),U$11&lt;=EOMONTH('Construction Budget'!$M63,0)),('Construction Budget'!$G63+SUM($G206:T206))/ROUND(((EOMONTH('Construction Budget'!$M63,0)-EOMONTH(U$11,0))/30)+1,0),0)</f>
        <v>0</v>
      </c>
      <c r="V206" s="427">
        <f>-IF(AND(V$11&gt;=EOMONTH('Construction Budget'!$K63,0),V$11&lt;=EOMONTH('Construction Budget'!$M63,0)),('Construction Budget'!$G63+SUM($G206:U206))/ROUND(((EOMONTH('Construction Budget'!$M63,0)-EOMONTH(V$11,0))/30)+1,0),0)</f>
        <v>0</v>
      </c>
      <c r="W206" s="427">
        <f>-IF(AND(W$11&gt;=EOMONTH('Construction Budget'!$K63,0),W$11&lt;=EOMONTH('Construction Budget'!$M63,0)),('Construction Budget'!$G63+SUM($G206:V206))/ROUND(((EOMONTH('Construction Budget'!$M63,0)-EOMONTH(W$11,0))/30)+1,0),0)</f>
        <v>0</v>
      </c>
      <c r="X206" s="427">
        <f>-IF(AND(X$11&gt;=EOMONTH('Construction Budget'!$K63,0),X$11&lt;=EOMONTH('Construction Budget'!$M63,0)),('Construction Budget'!$G63+SUM($G206:W206))/ROUND(((EOMONTH('Construction Budget'!$M63,0)-EOMONTH(X$11,0))/30)+1,0),0)</f>
        <v>0</v>
      </c>
      <c r="Y206" s="427">
        <f>-IF(AND(Y$11&gt;=EOMONTH('Construction Budget'!$K63,0),Y$11&lt;=EOMONTH('Construction Budget'!$M63,0)),('Construction Budget'!$G63+SUM($G206:X206))/ROUND(((EOMONTH('Construction Budget'!$M63,0)-EOMONTH(Y$11,0))/30)+1,0),0)</f>
        <v>0</v>
      </c>
      <c r="Z206" s="427">
        <f>-IF(AND(Z$11&gt;=EOMONTH('Construction Budget'!$K63,0),Z$11&lt;=EOMONTH('Construction Budget'!$M63,0)),('Construction Budget'!$G63+SUM($G206:Y206))/ROUND(((EOMONTH('Construction Budget'!$M63,0)-EOMONTH(Z$11,0))/30)+1,0),0)</f>
        <v>0</v>
      </c>
      <c r="AA206" s="427">
        <f>-IF(AND(AA$11&gt;=EOMONTH('Construction Budget'!$K63,0),AA$11&lt;=EOMONTH('Construction Budget'!$M63,0)),('Construction Budget'!$G63+SUM($G206:Z206))/ROUND(((EOMONTH('Construction Budget'!$M63,0)-EOMONTH(AA$11,0))/30)+1,0),0)</f>
        <v>0</v>
      </c>
      <c r="AB206" s="427">
        <f>-IF(AND(AB$11&gt;=EOMONTH('Construction Budget'!$K63,0),AB$11&lt;=EOMONTH('Construction Budget'!$M63,0)),('Construction Budget'!$G63+SUM($G206:AA206))/ROUND(((EOMONTH('Construction Budget'!$M63,0)-EOMONTH(AB$11,0))/30)+1,0),0)</f>
        <v>0</v>
      </c>
      <c r="AC206" s="427">
        <f>-IF(AND(AC$11&gt;=EOMONTH('Construction Budget'!$K63,0),AC$11&lt;=EOMONTH('Construction Budget'!$M63,0)),('Construction Budget'!$G63+SUM($G206:AB206))/ROUND(((EOMONTH('Construction Budget'!$M63,0)-EOMONTH(AC$11,0))/30)+1,0),0)</f>
        <v>0</v>
      </c>
      <c r="AD206" s="427">
        <f>-IF(AND(AD$11&gt;=EOMONTH('Construction Budget'!$K63,0),AD$11&lt;=EOMONTH('Construction Budget'!$M63,0)),('Construction Budget'!$G63+SUM($G206:AC206))/ROUND(((EOMONTH('Construction Budget'!$M63,0)-EOMONTH(AD$11,0))/30)+1,0),0)</f>
        <v>0</v>
      </c>
      <c r="AE206" s="427">
        <f>-IF(AND(AE$11&gt;=EOMONTH('Construction Budget'!$K63,0),AE$11&lt;=EOMONTH('Construction Budget'!$M63,0)),('Construction Budget'!$G63+SUM($G206:AD206))/ROUND(((EOMONTH('Construction Budget'!$M63,0)-EOMONTH(AE$11,0))/30)+1,0),0)</f>
        <v>0</v>
      </c>
      <c r="AF206" s="427">
        <f>-IF(AND(AF$11&gt;=EOMONTH('Construction Budget'!$K63,0),AF$11&lt;=EOMONTH('Construction Budget'!$M63,0)),('Construction Budget'!$G63+SUM($G206:AE206))/ROUND(((EOMONTH('Construction Budget'!$M63,0)-EOMONTH(AF$11,0))/30)+1,0),0)</f>
        <v>0</v>
      </c>
      <c r="AG206" s="427">
        <f>-IF(AND(AG$11&gt;=EOMONTH('Construction Budget'!$K63,0),AG$11&lt;=EOMONTH('Construction Budget'!$M63,0)),('Construction Budget'!$G63+SUM($G206:AF206))/ROUND(((EOMONTH('Construction Budget'!$M63,0)-EOMONTH(AG$11,0))/30)+1,0),0)</f>
        <v>0</v>
      </c>
      <c r="AH206" s="427">
        <f>-IF(AND(AH$11&gt;=EOMONTH('Construction Budget'!$K63,0),AH$11&lt;=EOMONTH('Construction Budget'!$M63,0)),('Construction Budget'!$G63+SUM($G206:AG206))/ROUND(((EOMONTH('Construction Budget'!$M63,0)-EOMONTH(AH$11,0))/30)+1,0),0)</f>
        <v>0</v>
      </c>
      <c r="AI206" s="427">
        <f>-IF(AND(AI$11&gt;=EOMONTH('Construction Budget'!$K63,0),AI$11&lt;=EOMONTH('Construction Budget'!$M63,0)),('Construction Budget'!$G63+SUM($G206:AH206))/ROUND(((EOMONTH('Construction Budget'!$M63,0)-EOMONTH(AI$11,0))/30)+1,0),0)</f>
        <v>0</v>
      </c>
      <c r="AJ206" s="427">
        <f>-IF(AND(AJ$11&gt;=EOMONTH('Construction Budget'!$K63,0),AJ$11&lt;=EOMONTH('Construction Budget'!$M63,0)),('Construction Budget'!$G63+SUM($G206:AI206))/ROUND(((EOMONTH('Construction Budget'!$M63,0)-EOMONTH(AJ$11,0))/30)+1,0),0)</f>
        <v>0</v>
      </c>
      <c r="AK206" s="427">
        <f>-IF(AND(AK$11&gt;=EOMONTH('Construction Budget'!$K63,0),AK$11&lt;=EOMONTH('Construction Budget'!$M63,0)),('Construction Budget'!$G63+SUM($G206:AJ206))/ROUND(((EOMONTH('Construction Budget'!$M63,0)-EOMONTH(AK$11,0))/30)+1,0),0)</f>
        <v>0</v>
      </c>
      <c r="AL206" s="427">
        <f>-IF(AND(AL$11&gt;=EOMONTH('Construction Budget'!$K63,0),AL$11&lt;=EOMONTH('Construction Budget'!$M63,0)),('Construction Budget'!$G63+SUM($G206:AK206))/ROUND(((EOMONTH('Construction Budget'!$M63,0)-EOMONTH(AL$11,0))/30)+1,0),0)</f>
        <v>0</v>
      </c>
      <c r="AM206" s="427">
        <f>-IF(AND(AM$11&gt;=EOMONTH('Construction Budget'!$K63,0),AM$11&lt;=EOMONTH('Construction Budget'!$M63,0)),('Construction Budget'!$G63+SUM($G206:AL206))/ROUND(((EOMONTH('Construction Budget'!$M63,0)-EOMONTH(AM$11,0))/30)+1,0),0)</f>
        <v>0</v>
      </c>
      <c r="AN206" s="427">
        <f>-IF(AND(AN$11&gt;=EOMONTH('Construction Budget'!$K63,0),AN$11&lt;=EOMONTH('Construction Budget'!$M63,0)),('Construction Budget'!$G63+SUM($G206:AM206))/ROUND(((EOMONTH('Construction Budget'!$M63,0)-EOMONTH(AN$11,0))/30)+1,0),0)</f>
        <v>0</v>
      </c>
      <c r="AO206" s="427">
        <f>-IF(AND(AO$11&gt;=EOMONTH('Construction Budget'!$K63,0),AO$11&lt;=EOMONTH('Construction Budget'!$M63,0)),('Construction Budget'!$G63+SUM($G206:AN206))/ROUND(((EOMONTH('Construction Budget'!$M63,0)-EOMONTH(AO$11,0))/30)+1,0),0)</f>
        <v>0</v>
      </c>
      <c r="AP206" s="427">
        <f>-IF(AND(AP$11&gt;=EOMONTH('Construction Budget'!$K63,0),AP$11&lt;=EOMONTH('Construction Budget'!$M63,0)),('Construction Budget'!$G63+SUM($G206:AO206))/ROUND(((EOMONTH('Construction Budget'!$M63,0)-EOMONTH(AP$11,0))/30)+1,0),0)</f>
        <v>0</v>
      </c>
      <c r="AQ206" s="427">
        <f>-IF(AND(AQ$11&gt;=EOMONTH('Construction Budget'!$K63,0),AQ$11&lt;=EOMONTH('Construction Budget'!$M63,0)),('Construction Budget'!$G63+SUM($G206:AP206))/ROUND(((EOMONTH('Construction Budget'!$M63,0)-EOMONTH(AQ$11,0))/30)+1,0),0)</f>
        <v>0</v>
      </c>
      <c r="AR206" s="427">
        <f>-IF(AND(AR$11&gt;=EOMONTH('Construction Budget'!$K63,0),AR$11&lt;=EOMONTH('Construction Budget'!$M63,0)),('Construction Budget'!$G63+SUM($G206:AQ206))/ROUND(((EOMONTH('Construction Budget'!$M63,0)-EOMONTH(AR$11,0))/30)+1,0),0)</f>
        <v>0</v>
      </c>
      <c r="AS206" s="427">
        <f>-IF(AND(AS$11&gt;=EOMONTH('Construction Budget'!$K63,0),AS$11&lt;=EOMONTH('Construction Budget'!$M63,0)),('Construction Budget'!$G63+SUM($G206:AR206))/ROUND(((EOMONTH('Construction Budget'!$M63,0)-EOMONTH(AS$11,0))/30)+1,0),0)</f>
        <v>0</v>
      </c>
      <c r="AT206" s="427">
        <f>-IF(AND(AT$11&gt;=EOMONTH('Construction Budget'!$K63,0),AT$11&lt;=EOMONTH('Construction Budget'!$M63,0)),('Construction Budget'!$G63+SUM($G206:AS206))/ROUND(((EOMONTH('Construction Budget'!$M63,0)-EOMONTH(AT$11,0))/30)+1,0),0)</f>
        <v>0</v>
      </c>
      <c r="AU206" s="427">
        <f>-IF(AND(AU$11&gt;=EOMONTH('Construction Budget'!$K63,0),AU$11&lt;=EOMONTH('Construction Budget'!$M63,0)),('Construction Budget'!$G63+SUM($G206:AT206))/ROUND(((EOMONTH('Construction Budget'!$M63,0)-EOMONTH(AU$11,0))/30)+1,0),0)</f>
        <v>0</v>
      </c>
      <c r="AV206" s="427">
        <f>-IF(AND(AV$11&gt;=EOMONTH('Construction Budget'!$K63,0),AV$11&lt;=EOMONTH('Construction Budget'!$M63,0)),('Construction Budget'!$G63+SUM($G206:AU206))/ROUND(((EOMONTH('Construction Budget'!$M63,0)-EOMONTH(AV$11,0))/30)+1,0),0)</f>
        <v>0</v>
      </c>
      <c r="AW206" s="427">
        <f>-IF(AND(AW$11&gt;=EOMONTH('Construction Budget'!$K63,0),AW$11&lt;=EOMONTH('Construction Budget'!$M63,0)),('Construction Budget'!$G63+SUM($G206:AV206))/ROUND(((EOMONTH('Construction Budget'!$M63,0)-EOMONTH(AW$11,0))/30)+1,0),0)</f>
        <v>0</v>
      </c>
      <c r="AX206" s="427">
        <f>-IF(AND(AX$11&gt;=EOMONTH('Construction Budget'!$K63,0),AX$11&lt;=EOMONTH('Construction Budget'!$M63,0)),('Construction Budget'!$G63+SUM($G206:AW206))/ROUND(((EOMONTH('Construction Budget'!$M63,0)-EOMONTH(AX$11,0))/30)+1,0),0)</f>
        <v>0</v>
      </c>
      <c r="AY206" s="427">
        <f>-IF(AND(AY$11&gt;=EOMONTH('Construction Budget'!$K63,0),AY$11&lt;=EOMONTH('Construction Budget'!$M63,0)),('Construction Budget'!$G63+SUM($G206:AX206))/ROUND(((EOMONTH('Construction Budget'!$M63,0)-EOMONTH(AY$11,0))/30)+1,0),0)</f>
        <v>0</v>
      </c>
      <c r="AZ206" s="427">
        <f>-IF(AND(AZ$11&gt;=EOMONTH('Construction Budget'!$K63,0),AZ$11&lt;=EOMONTH('Construction Budget'!$M63,0)),('Construction Budget'!$G63+SUM($G206:AY206))/ROUND(((EOMONTH('Construction Budget'!$M63,0)-EOMONTH(AZ$11,0))/30)+1,0),0)</f>
        <v>0</v>
      </c>
      <c r="BA206" s="427">
        <f>-IF(AND(BA$11&gt;=EOMONTH('Construction Budget'!$K63,0),BA$11&lt;=EOMONTH('Construction Budget'!$M63,0)),('Construction Budget'!$G63+SUM($G206:AZ206))/ROUND(((EOMONTH('Construction Budget'!$M63,0)-EOMONTH(BA$11,0))/30)+1,0),0)</f>
        <v>0</v>
      </c>
      <c r="BB206" s="427">
        <f>-IF(AND(BB$11&gt;=EOMONTH('Construction Budget'!$K63,0),BB$11&lt;=EOMONTH('Construction Budget'!$M63,0)),('Construction Budget'!$G63+SUM($G206:BA206))/ROUND(((EOMONTH('Construction Budget'!$M63,0)-EOMONTH(BB$11,0))/30)+1,0),0)</f>
        <v>0</v>
      </c>
      <c r="BC206" s="427">
        <f>-IF(AND(BC$11&gt;=EOMONTH('Construction Budget'!$K63,0),BC$11&lt;=EOMONTH('Construction Budget'!$M63,0)),('Construction Budget'!$G63+SUM($G206:BB206))/ROUND(((EOMONTH('Construction Budget'!$M63,0)-EOMONTH(BC$11,0))/30)+1,0),0)</f>
        <v>0</v>
      </c>
      <c r="BD206" s="427">
        <f>-IF(AND(BD$11&gt;=EOMONTH('Construction Budget'!$K63,0),BD$11&lt;=EOMONTH('Construction Budget'!$M63,0)),('Construction Budget'!$G63+SUM($G206:BC206))/ROUND(((EOMONTH('Construction Budget'!$M63,0)-EOMONTH(BD$11,0))/30)+1,0),0)</f>
        <v>0</v>
      </c>
      <c r="BE206" s="427">
        <f>-IF(AND(BE$11&gt;=EOMONTH('Construction Budget'!$K63,0),BE$11&lt;=EOMONTH('Construction Budget'!$M63,0)),('Construction Budget'!$G63+SUM($G206:BD206))/ROUND(((EOMONTH('Construction Budget'!$M63,0)-EOMONTH(BE$11,0))/30)+1,0),0)</f>
        <v>0</v>
      </c>
      <c r="BF206" s="427">
        <f>-IF(AND(BF$11&gt;=EOMONTH('Construction Budget'!$K63,0),BF$11&lt;=EOMONTH('Construction Budget'!$M63,0)),('Construction Budget'!$G63+SUM($G206:BE206))/ROUND(((EOMONTH('Construction Budget'!$M63,0)-EOMONTH(BF$11,0))/30)+1,0),0)</f>
        <v>0</v>
      </c>
      <c r="BG206" s="427">
        <f>-IF(AND(BG$11&gt;=EOMONTH('Construction Budget'!$K63,0),BG$11&lt;=EOMONTH('Construction Budget'!$M63,0)),('Construction Budget'!$G63+SUM($G206:BF206))/ROUND(((EOMONTH('Construction Budget'!$M63,0)-EOMONTH(BG$11,0))/30)+1,0),0)</f>
        <v>0</v>
      </c>
      <c r="BH206" s="427">
        <f>-IF(AND(BH$11&gt;=EOMONTH('Construction Budget'!$K63,0),BH$11&lt;=EOMONTH('Construction Budget'!$M63,0)),('Construction Budget'!$G63+SUM($G206:BG206))/ROUND(((EOMONTH('Construction Budget'!$M63,0)-EOMONTH(BH$11,0))/30)+1,0),0)</f>
        <v>0</v>
      </c>
      <c r="BI206" s="427">
        <f>-IF(AND(BI$11&gt;=EOMONTH('Construction Budget'!$K63,0),BI$11&lt;=EOMONTH('Construction Budget'!$M63,0)),('Construction Budget'!$G63+SUM($G206:BH206))/ROUND(((EOMONTH('Construction Budget'!$M63,0)-EOMONTH(BI$11,0))/30)+1,0),0)</f>
        <v>0</v>
      </c>
      <c r="BJ206" s="427">
        <f>-IF(AND(BJ$11&gt;=EOMONTH('Construction Budget'!$K63,0),BJ$11&lt;=EOMONTH('Construction Budget'!$M63,0)),('Construction Budget'!$G63+SUM($G206:BI206))/ROUND(((EOMONTH('Construction Budget'!$M63,0)-EOMONTH(BJ$11,0))/30)+1,0),0)</f>
        <v>0</v>
      </c>
      <c r="BK206" s="427">
        <f>-IF(AND(BK$11&gt;=EOMONTH('Construction Budget'!$K63,0),BK$11&lt;=EOMONTH('Construction Budget'!$M63,0)),('Construction Budget'!$G63+SUM($G206:BJ206))/ROUND(((EOMONTH('Construction Budget'!$M63,0)-EOMONTH(BK$11,0))/30)+1,0),0)</f>
        <v>0</v>
      </c>
      <c r="BL206" s="427">
        <f>-IF(AND(BL$11&gt;=EOMONTH('Construction Budget'!$K63,0),BL$11&lt;=EOMONTH('Construction Budget'!$M63,0)),('Construction Budget'!$G63+SUM($G206:BK206))/ROUND(((EOMONTH('Construction Budget'!$M63,0)-EOMONTH(BL$11,0))/30)+1,0),0)</f>
        <v>0</v>
      </c>
      <c r="BM206" s="427">
        <f>-IF(AND(BM$11&gt;=EOMONTH('Construction Budget'!$K63,0),BM$11&lt;=EOMONTH('Construction Budget'!$M63,0)),('Construction Budget'!$G63+SUM($G206:BL206))/ROUND(((EOMONTH('Construction Budget'!$M63,0)-EOMONTH(BM$11,0))/30)+1,0),0)</f>
        <v>0</v>
      </c>
      <c r="BN206" s="427">
        <f>-IF(AND(BN$11&gt;=EOMONTH('Construction Budget'!$K63,0),BN$11&lt;=EOMONTH('Construction Budget'!$M63,0)),('Construction Budget'!$G63+SUM($G206:BM206))/ROUND(((EOMONTH('Construction Budget'!$M63,0)-EOMONTH(BN$11,0))/30)+1,0),0)</f>
        <v>0</v>
      </c>
      <c r="BO206" s="427">
        <f>-IF(AND(BO$11&gt;=EOMONTH('Construction Budget'!$K63,0),BO$11&lt;=EOMONTH('Construction Budget'!$M63,0)),('Construction Budget'!$G63+SUM($G206:BN206))/ROUND(((EOMONTH('Construction Budget'!$M63,0)-EOMONTH(BO$11,0))/30)+1,0),0)</f>
        <v>0</v>
      </c>
      <c r="BP206" s="427">
        <f>-IF(AND(BP$11&gt;=EOMONTH('Construction Budget'!$K63,0),BP$11&lt;=EOMONTH('Construction Budget'!$M63,0)),('Construction Budget'!$G63+SUM($G206:BO206))/ROUND(((EOMONTH('Construction Budget'!$M63,0)-EOMONTH(BP$11,0))/30)+1,0),0)</f>
        <v>0</v>
      </c>
      <c r="BQ206" s="427">
        <f>-IF(AND(BQ$11&gt;=EOMONTH('Construction Budget'!$K63,0),BQ$11&lt;=EOMONTH('Construction Budget'!$M63,0)),('Construction Budget'!$G63+SUM($G206:BP206))/ROUND(((EOMONTH('Construction Budget'!$M63,0)-EOMONTH(BQ$11,0))/30)+1,0),0)</f>
        <v>0</v>
      </c>
      <c r="BR206" s="427">
        <f>-IF(AND(BR$11&gt;=EOMONTH('Construction Budget'!$K63,0),BR$11&lt;=EOMONTH('Construction Budget'!$M63,0)),('Construction Budget'!$G63+SUM($G206:BQ206))/ROUND(((EOMONTH('Construction Budget'!$M63,0)-EOMONTH(BR$11,0))/30)+1,0),0)</f>
        <v>0</v>
      </c>
      <c r="BS206" s="427">
        <f>-IF(AND(BS$11&gt;=EOMONTH('Construction Budget'!$K63,0),BS$11&lt;=EOMONTH('Construction Budget'!$M63,0)),('Construction Budget'!$G63+SUM($G206:BR206))/ROUND(((EOMONTH('Construction Budget'!$M63,0)-EOMONTH(BS$11,0))/30)+1,0),0)</f>
        <v>0</v>
      </c>
      <c r="BT206" s="427">
        <f>-IF(AND(BT$11&gt;=EOMONTH('Construction Budget'!$K63,0),BT$11&lt;=EOMONTH('Construction Budget'!$M63,0)),('Construction Budget'!$G63+SUM($G206:BS206))/ROUND(((EOMONTH('Construction Budget'!$M63,0)-EOMONTH(BT$11,0))/30)+1,0),0)</f>
        <v>0</v>
      </c>
      <c r="BU206" s="427">
        <f>-IF(AND(BU$11&gt;=EOMONTH('Construction Budget'!$K63,0),BU$11&lt;=EOMONTH('Construction Budget'!$M63,0)),('Construction Budget'!$G63+SUM($G206:BT206))/ROUND(((EOMONTH('Construction Budget'!$M63,0)-EOMONTH(BU$11,0))/30)+1,0),0)</f>
        <v>0</v>
      </c>
      <c r="BV206" s="427">
        <f>-IF(AND(BV$11&gt;=EOMONTH('Construction Budget'!$K63,0),BV$11&lt;=EOMONTH('Construction Budget'!$M63,0)),('Construction Budget'!$G63+SUM($G206:BU206))/ROUND(((EOMONTH('Construction Budget'!$M63,0)-EOMONTH(BV$11,0))/30)+1,0),0)</f>
        <v>0</v>
      </c>
      <c r="BW206" s="427">
        <f>-IF(AND(BW$11&gt;=EOMONTH('Construction Budget'!$K63,0),BW$11&lt;=EOMONTH('Construction Budget'!$M63,0)),('Construction Budget'!$G63+SUM($G206:BV206))/ROUND(((EOMONTH('Construction Budget'!$M63,0)-EOMONTH(BW$11,0))/30)+1,0),0)</f>
        <v>0</v>
      </c>
      <c r="BX206" s="427">
        <f>-IF(AND(BX$11&gt;=EOMONTH('Construction Budget'!$K63,0),BX$11&lt;=EOMONTH('Construction Budget'!$M63,0)),('Construction Budget'!$G63+SUM($G206:BW206))/ROUND(((EOMONTH('Construction Budget'!$M63,0)-EOMONTH(BX$11,0))/30)+1,0),0)</f>
        <v>0</v>
      </c>
      <c r="BY206" s="427">
        <f>-IF(AND(BY$11&gt;=EOMONTH('Construction Budget'!$K63,0),BY$11&lt;=EOMONTH('Construction Budget'!$M63,0)),('Construction Budget'!$G63+SUM($G206:BX206))/ROUND(((EOMONTH('Construction Budget'!$M63,0)-EOMONTH(BY$11,0))/30)+1,0),0)</f>
        <v>0</v>
      </c>
      <c r="BZ206" s="427">
        <f>-IF(AND(BZ$11&gt;=EOMONTH('Construction Budget'!$K63,0),BZ$11&lt;=EOMONTH('Construction Budget'!$M63,0)),('Construction Budget'!$G63+SUM($G206:BY206))/ROUND(((EOMONTH('Construction Budget'!$M63,0)-EOMONTH(BZ$11,0))/30)+1,0),0)</f>
        <v>0</v>
      </c>
      <c r="CA206" s="427">
        <f>-IF(AND(CA$11&gt;=EOMONTH('Construction Budget'!$K63,0),CA$11&lt;=EOMONTH('Construction Budget'!$M63,0)),('Construction Budget'!$G63+SUM($G206:BZ206))/ROUND(((EOMONTH('Construction Budget'!$M63,0)-EOMONTH(CA$11,0))/30)+1,0),0)</f>
        <v>0</v>
      </c>
      <c r="CB206" s="427">
        <f>-IF(AND(CB$11&gt;=EOMONTH('Construction Budget'!$K63,0),CB$11&lt;=EOMONTH('Construction Budget'!$M63,0)),('Construction Budget'!$G63+SUM($G206:CA206))/ROUND(((EOMONTH('Construction Budget'!$M63,0)-EOMONTH(CB$11,0))/30)+1,0),0)</f>
        <v>0</v>
      </c>
      <c r="CC206" s="427">
        <f>-IF(AND(CC$11&gt;=EOMONTH('Construction Budget'!$K63,0),CC$11&lt;=EOMONTH('Construction Budget'!$M63,0)),('Construction Budget'!$G63+SUM($G206:CB206))/ROUND(((EOMONTH('Construction Budget'!$M63,0)-EOMONTH(CC$11,0))/30)+1,0),0)</f>
        <v>0</v>
      </c>
      <c r="CD206" s="427">
        <f>-IF(AND(CD$11&gt;=EOMONTH('Construction Budget'!$K63,0),CD$11&lt;=EOMONTH('Construction Budget'!$M63,0)),('Construction Budget'!$G63+SUM($G206:CC206))/ROUND(((EOMONTH('Construction Budget'!$M63,0)-EOMONTH(CD$11,0))/30)+1,0),0)</f>
        <v>0</v>
      </c>
      <c r="CE206" s="427">
        <f>-IF(AND(CE$11&gt;=EOMONTH('Construction Budget'!$K63,0),CE$11&lt;=EOMONTH('Construction Budget'!$M63,0)),('Construction Budget'!$G63+SUM($G206:CD206))/ROUND(((EOMONTH('Construction Budget'!$M63,0)-EOMONTH(CE$11,0))/30)+1,0),0)</f>
        <v>0</v>
      </c>
      <c r="CF206" s="427">
        <f>-IF(AND(CF$11&gt;=EOMONTH('Construction Budget'!$K63,0),CF$11&lt;=EOMONTH('Construction Budget'!$M63,0)),('Construction Budget'!$G63+SUM($G206:CE206))/ROUND(((EOMONTH('Construction Budget'!$M63,0)-EOMONTH(CF$11,0))/30)+1,0),0)</f>
        <v>0</v>
      </c>
      <c r="CG206" s="427">
        <f>-IF(AND(CG$11&gt;=EOMONTH('Construction Budget'!$K63,0),CG$11&lt;=EOMONTH('Construction Budget'!$M63,0)),('Construction Budget'!$G63+SUM($G206:CF206))/ROUND(((EOMONTH('Construction Budget'!$M63,0)-EOMONTH(CG$11,0))/30)+1,0),0)</f>
        <v>0</v>
      </c>
      <c r="CH206" s="427">
        <f>-IF(AND(CH$11&gt;=EOMONTH('Construction Budget'!$K63,0),CH$11&lt;=EOMONTH('Construction Budget'!$M63,0)),('Construction Budget'!$G63+SUM($G206:CG206))/ROUND(((EOMONTH('Construction Budget'!$M63,0)-EOMONTH(CH$11,0))/30)+1,0),0)</f>
        <v>0</v>
      </c>
      <c r="CI206" s="427">
        <f>-IF(AND(CI$11&gt;=EOMONTH('Construction Budget'!$K63,0),CI$11&lt;=EOMONTH('Construction Budget'!$M63,0)),('Construction Budget'!$G63+SUM($G206:CH206))/ROUND(((EOMONTH('Construction Budget'!$M63,0)-EOMONTH(CI$11,0))/30)+1,0),0)</f>
        <v>0</v>
      </c>
      <c r="CJ206" s="427">
        <f>-IF(AND(CJ$11&gt;=EOMONTH('Construction Budget'!$K63,0),CJ$11&lt;=EOMONTH('Construction Budget'!$M63,0)),('Construction Budget'!$G63+SUM($G206:CI206))/ROUND(((EOMONTH('Construction Budget'!$M63,0)-EOMONTH(CJ$11,0))/30)+1,0),0)</f>
        <v>0</v>
      </c>
      <c r="CK206" s="427">
        <f>-IF(AND(CK$11&gt;=EOMONTH('Construction Budget'!$K63,0),CK$11&lt;=EOMONTH('Construction Budget'!$M63,0)),('Construction Budget'!$G63+SUM($G206:CJ206))/ROUND(((EOMONTH('Construction Budget'!$M63,0)-EOMONTH(CK$11,0))/30)+1,0),0)</f>
        <v>0</v>
      </c>
      <c r="CL206" s="427">
        <f>-IF(AND(CL$11&gt;=EOMONTH('Construction Budget'!$K63,0),CL$11&lt;=EOMONTH('Construction Budget'!$M63,0)),('Construction Budget'!$G63+SUM($G206:CK206))/ROUND(((EOMONTH('Construction Budget'!$M63,0)-EOMONTH(CL$11,0))/30)+1,0),0)</f>
        <v>0</v>
      </c>
      <c r="CM206" s="427">
        <f>-IF(AND(CM$11&gt;=EOMONTH('Construction Budget'!$K63,0),CM$11&lt;=EOMONTH('Construction Budget'!$M63,0)),('Construction Budget'!$G63+SUM($G206:CL206))/ROUND(((EOMONTH('Construction Budget'!$M63,0)-EOMONTH(CM$11,0))/30)+1,0),0)</f>
        <v>0</v>
      </c>
      <c r="CN206" s="427">
        <f>-IF(AND(CN$11&gt;=EOMONTH('Construction Budget'!$K63,0),CN$11&lt;=EOMONTH('Construction Budget'!$M63,0)),('Construction Budget'!$G63+SUM($G206:CM206))/ROUND(((EOMONTH('Construction Budget'!$M63,0)-EOMONTH(CN$11,0))/30)+1,0),0)</f>
        <v>0</v>
      </c>
      <c r="CO206" s="427">
        <f>-IF(AND(CO$11&gt;=EOMONTH('Construction Budget'!$K63,0),CO$11&lt;=EOMONTH('Construction Budget'!$M63,0)),('Construction Budget'!$G63+SUM($G206:CN206))/ROUND(((EOMONTH('Construction Budget'!$M63,0)-EOMONTH(CO$11,0))/30)+1,0),0)</f>
        <v>0</v>
      </c>
      <c r="CP206" s="427">
        <f>-IF(AND(CP$11&gt;=EOMONTH('Construction Budget'!$K63,0),CP$11&lt;=EOMONTH('Construction Budget'!$M63,0)),('Construction Budget'!$G63+SUM($G206:CO206))/ROUND(((EOMONTH('Construction Budget'!$M63,0)-EOMONTH(CP$11,0))/30)+1,0),0)</f>
        <v>0</v>
      </c>
      <c r="CQ206" s="427">
        <f>-IF(AND(CQ$11&gt;=EOMONTH('Construction Budget'!$K63,0),CQ$11&lt;=EOMONTH('Construction Budget'!$M63,0)),('Construction Budget'!$G63+SUM($G206:CP206))/ROUND(((EOMONTH('Construction Budget'!$M63,0)-EOMONTH(CQ$11,0))/30)+1,0),0)</f>
        <v>0</v>
      </c>
      <c r="CR206" s="427">
        <f>-IF(AND(CR$11&gt;=EOMONTH('Construction Budget'!$K63,0),CR$11&lt;=EOMONTH('Construction Budget'!$M63,0)),('Construction Budget'!$G63+SUM($G206:CQ206))/ROUND(((EOMONTH('Construction Budget'!$M63,0)-EOMONTH(CR$11,0))/30)+1,0),0)</f>
        <v>0</v>
      </c>
      <c r="CS206" s="427">
        <f>-IF(AND(CS$11&gt;=EOMONTH('Construction Budget'!$K63,0),CS$11&lt;=EOMONTH('Construction Budget'!$M63,0)),('Construction Budget'!$G63+SUM($G206:CR206))/ROUND(((EOMONTH('Construction Budget'!$M63,0)-EOMONTH(CS$11,0))/30)+1,0),0)</f>
        <v>0</v>
      </c>
      <c r="CT206" s="427">
        <f>-IF(AND(CT$11&gt;=EOMONTH('Construction Budget'!$K63,0),CT$11&lt;=EOMONTH('Construction Budget'!$M63,0)),('Construction Budget'!$G63+SUM($G206:CS206))/ROUND(((EOMONTH('Construction Budget'!$M63,0)-EOMONTH(CT$11,0))/30)+1,0),0)</f>
        <v>0</v>
      </c>
      <c r="CU206" s="427">
        <f>-IF(AND(CU$11&gt;=EOMONTH('Construction Budget'!$K63,0),CU$11&lt;=EOMONTH('Construction Budget'!$M63,0)),('Construction Budget'!$G63+SUM($G206:CT206))/ROUND(((EOMONTH('Construction Budget'!$M63,0)-EOMONTH(CU$11,0))/30)+1,0),0)</f>
        <v>0</v>
      </c>
      <c r="CV206" s="427">
        <f>-IF(AND(CV$11&gt;=EOMONTH('Construction Budget'!$K63,0),CV$11&lt;=EOMONTH('Construction Budget'!$M63,0)),('Construction Budget'!$G63+SUM($G206:CU206))/ROUND(((EOMONTH('Construction Budget'!$M63,0)-EOMONTH(CV$11,0))/30)+1,0),0)</f>
        <v>0</v>
      </c>
      <c r="CW206" s="427">
        <f>-IF(AND(CW$11&gt;=EOMONTH('Construction Budget'!$K63,0),CW$11&lt;=EOMONTH('Construction Budget'!$M63,0)),('Construction Budget'!$G63+SUM($G206:CV206))/ROUND(((EOMONTH('Construction Budget'!$M63,0)-EOMONTH(CW$11,0))/30)+1,0),0)</f>
        <v>0</v>
      </c>
      <c r="CX206" s="427">
        <f>-IF(AND(CX$11&gt;=EOMONTH('Construction Budget'!$K63,0),CX$11&lt;=EOMONTH('Construction Budget'!$M63,0)),('Construction Budget'!$G63+SUM($G206:CW206))/ROUND(((EOMONTH('Construction Budget'!$M63,0)-EOMONTH(CX$11,0))/30)+1,0),0)</f>
        <v>0</v>
      </c>
      <c r="CY206" s="427">
        <f>-IF(AND(CY$11&gt;=EOMONTH('Construction Budget'!$K63,0),CY$11&lt;=EOMONTH('Construction Budget'!$M63,0)),('Construction Budget'!$G63+SUM($G206:CX206))/ROUND(((EOMONTH('Construction Budget'!$M63,0)-EOMONTH(CY$11,0))/30)+1,0),0)</f>
        <v>0</v>
      </c>
      <c r="CZ206" s="427">
        <f>-IF(AND(CZ$11&gt;=EOMONTH('Construction Budget'!$K63,0),CZ$11&lt;=EOMONTH('Construction Budget'!$M63,0)),('Construction Budget'!$G63+SUM($G206:CY206))/ROUND(((EOMONTH('Construction Budget'!$M63,0)-EOMONTH(CZ$11,0))/30)+1,0),0)</f>
        <v>0</v>
      </c>
      <c r="DA206" s="427">
        <f>-IF(AND(DA$11&gt;=EOMONTH('Construction Budget'!$K63,0),DA$11&lt;=EOMONTH('Construction Budget'!$M63,0)),('Construction Budget'!$G63+SUM($G206:CZ206))/ROUND(((EOMONTH('Construction Budget'!$M63,0)-EOMONTH(DA$11,0))/30)+1,0),0)</f>
        <v>0</v>
      </c>
      <c r="DB206" s="427">
        <f>-IF(AND(DB$11&gt;=EOMONTH('Construction Budget'!$K63,0),DB$11&lt;=EOMONTH('Construction Budget'!$M63,0)),('Construction Budget'!$G63+SUM($G206:DA206))/ROUND(((EOMONTH('Construction Budget'!$M63,0)-EOMONTH(DB$11,0))/30)+1,0),0)</f>
        <v>0</v>
      </c>
      <c r="DC206" s="427">
        <f>-IF(AND(DC$11&gt;=EOMONTH('Construction Budget'!$K63,0),DC$11&lt;=EOMONTH('Construction Budget'!$M63,0)),('Construction Budget'!$G63+SUM($G206:DB206))/ROUND(((EOMONTH('Construction Budget'!$M63,0)-EOMONTH(DC$11,0))/30)+1,0),0)</f>
        <v>0</v>
      </c>
      <c r="DD206" s="427">
        <f>-IF(AND(DD$11&gt;=EOMONTH('Construction Budget'!$K63,0),DD$11&lt;=EOMONTH('Construction Budget'!$M63,0)),('Construction Budget'!$G63+SUM($G206:DC206))/ROUND(((EOMONTH('Construction Budget'!$M63,0)-EOMONTH(DD$11,0))/30)+1,0),0)</f>
        <v>0</v>
      </c>
      <c r="DE206" s="427">
        <f>-IF(AND(DE$11&gt;=EOMONTH('Construction Budget'!$K63,0),DE$11&lt;=EOMONTH('Construction Budget'!$M63,0)),('Construction Budget'!$G63+SUM($G206:DD206))/ROUND(((EOMONTH('Construction Budget'!$M63,0)-EOMONTH(DE$11,0))/30)+1,0),0)</f>
        <v>0</v>
      </c>
      <c r="DF206" s="427">
        <f>-IF(AND(DF$11&gt;=EOMONTH('Construction Budget'!$K63,0),DF$11&lt;=EOMONTH('Construction Budget'!$M63,0)),('Construction Budget'!$G63+SUM($G206:DE206))/ROUND(((EOMONTH('Construction Budget'!$M63,0)-EOMONTH(DF$11,0))/30)+1,0),0)</f>
        <v>0</v>
      </c>
      <c r="DG206" s="427">
        <f>-IF(AND(DG$11&gt;=EOMONTH('Construction Budget'!$K63,0),DG$11&lt;=EOMONTH('Construction Budget'!$M63,0)),('Construction Budget'!$G63+SUM($G206:DF206))/ROUND(((EOMONTH('Construction Budget'!$M63,0)-EOMONTH(DG$11,0))/30)+1,0),0)</f>
        <v>0</v>
      </c>
      <c r="DH206" s="427">
        <f>-IF(AND(DH$11&gt;=EOMONTH('Construction Budget'!$K63,0),DH$11&lt;=EOMONTH('Construction Budget'!$M63,0)),('Construction Budget'!$G63+SUM($G206:DG206))/ROUND(((EOMONTH('Construction Budget'!$M63,0)-EOMONTH(DH$11,0))/30)+1,0),0)</f>
        <v>0</v>
      </c>
      <c r="DI206" s="427">
        <f>-IF(AND(DI$11&gt;=EOMONTH('Construction Budget'!$K63,0),DI$11&lt;=EOMONTH('Construction Budget'!$M63,0)),('Construction Budget'!$G63+SUM($G206:DH206))/ROUND(((EOMONTH('Construction Budget'!$M63,0)-EOMONTH(DI$11,0))/30)+1,0),0)</f>
        <v>0</v>
      </c>
      <c r="DJ206" s="427">
        <f>-IF(AND(DJ$11&gt;=EOMONTH('Construction Budget'!$K63,0),DJ$11&lt;=EOMONTH('Construction Budget'!$M63,0)),('Construction Budget'!$G63+SUM($G206:DI206))/ROUND(((EOMONTH('Construction Budget'!$M63,0)-EOMONTH(DJ$11,0))/30)+1,0),0)</f>
        <v>0</v>
      </c>
      <c r="DK206" s="427">
        <f>-IF(AND(DK$11&gt;=EOMONTH('Construction Budget'!$K63,0),DK$11&lt;=EOMONTH('Construction Budget'!$M63,0)),('Construction Budget'!$G63+SUM($G206:DJ206))/ROUND(((EOMONTH('Construction Budget'!$M63,0)-EOMONTH(DK$11,0))/30)+1,0),0)</f>
        <v>0</v>
      </c>
      <c r="DL206" s="427">
        <f>-IF(AND(DL$11&gt;=EOMONTH('Construction Budget'!$K63,0),DL$11&lt;=EOMONTH('Construction Budget'!$M63,0)),('Construction Budget'!$G63+SUM($G206:DK206))/ROUND(((EOMONTH('Construction Budget'!$M63,0)-EOMONTH(DL$11,0))/30)+1,0),0)</f>
        <v>0</v>
      </c>
      <c r="DM206" s="427">
        <f>-IF(AND(DM$11&gt;=EOMONTH('Construction Budget'!$K63,0),DM$11&lt;=EOMONTH('Construction Budget'!$M63,0)),('Construction Budget'!$G63+SUM($G206:DL206))/ROUND(((EOMONTH('Construction Budget'!$M63,0)-EOMONTH(DM$11,0))/30)+1,0),0)</f>
        <v>0</v>
      </c>
      <c r="DN206" s="427">
        <f>-IF(AND(DN$11&gt;=EOMONTH('Construction Budget'!$K63,0),DN$11&lt;=EOMONTH('Construction Budget'!$M63,0)),('Construction Budget'!$G63+SUM($G206:DM206))/ROUND(((EOMONTH('Construction Budget'!$M63,0)-EOMONTH(DN$11,0))/30)+1,0),0)</f>
        <v>0</v>
      </c>
      <c r="DO206" s="427">
        <f>-IF(AND(DO$11&gt;=EOMONTH('Construction Budget'!$K63,0),DO$11&lt;=EOMONTH('Construction Budget'!$M63,0)),('Construction Budget'!$G63+SUM($G206:DN206))/ROUND(((EOMONTH('Construction Budget'!$M63,0)-EOMONTH(DO$11,0))/30)+1,0),0)</f>
        <v>0</v>
      </c>
      <c r="DP206" s="427">
        <f>-IF(AND(DP$11&gt;=EOMONTH('Construction Budget'!$K63,0),DP$11&lt;=EOMONTH('Construction Budget'!$M63,0)),('Construction Budget'!$G63+SUM($G206:DO206))/ROUND(((EOMONTH('Construction Budget'!$M63,0)-EOMONTH(DP$11,0))/30)+1,0),0)</f>
        <v>0</v>
      </c>
      <c r="DQ206" s="427">
        <f>-IF(AND(DQ$11&gt;=EOMONTH('Construction Budget'!$K63,0),DQ$11&lt;=EOMONTH('Construction Budget'!$M63,0)),('Construction Budget'!$G63+SUM($G206:DP206))/ROUND(((EOMONTH('Construction Budget'!$M63,0)-EOMONTH(DQ$11,0))/30)+1,0),0)</f>
        <v>0</v>
      </c>
      <c r="DR206" s="427">
        <f>-IF(AND(DR$11&gt;=EOMONTH('Construction Budget'!$K63,0),DR$11&lt;=EOMONTH('Construction Budget'!$M63,0)),('Construction Budget'!$G63+SUM($G206:DQ206))/ROUND(((EOMONTH('Construction Budget'!$M63,0)-EOMONTH(DR$11,0))/30)+1,0),0)</f>
        <v>0</v>
      </c>
      <c r="DS206" s="427">
        <f>-IF(AND(DS$11&gt;=EOMONTH('Construction Budget'!$K63,0),DS$11&lt;=EOMONTH('Construction Budget'!$M63,0)),('Construction Budget'!$G63+SUM($G206:DR206))/ROUND(((EOMONTH('Construction Budget'!$M63,0)-EOMONTH(DS$11,0))/30)+1,0),0)</f>
        <v>0</v>
      </c>
      <c r="DT206" s="427">
        <f>-IF(AND(DT$11&gt;=EOMONTH('Construction Budget'!$K63,0),DT$11&lt;=EOMONTH('Construction Budget'!$M63,0)),('Construction Budget'!$G63+SUM($G206:DS206))/ROUND(((EOMONTH('Construction Budget'!$M63,0)-EOMONTH(DT$11,0))/30)+1,0),0)</f>
        <v>0</v>
      </c>
      <c r="DU206" s="427">
        <f>-IF(AND(DU$11&gt;=EOMONTH('Construction Budget'!$K63,0),DU$11&lt;=EOMONTH('Construction Budget'!$M63,0)),('Construction Budget'!$G63+SUM($G206:DT206))/ROUND(((EOMONTH('Construction Budget'!$M63,0)-EOMONTH(DU$11,0))/30)+1,0),0)</f>
        <v>0</v>
      </c>
      <c r="DV206" s="427">
        <f>-IF(AND(DV$11&gt;=EOMONTH('Construction Budget'!$K63,0),DV$11&lt;=EOMONTH('Construction Budget'!$M63,0)),('Construction Budget'!$G63+SUM($G206:DU206))/ROUND(((EOMONTH('Construction Budget'!$M63,0)-EOMONTH(DV$11,0))/30)+1,0),0)</f>
        <v>0</v>
      </c>
      <c r="DW206" s="427">
        <f>-IF(AND(DW$11&gt;=EOMONTH('Construction Budget'!$K63,0),DW$11&lt;=EOMONTH('Construction Budget'!$M63,0)),('Construction Budget'!$G63+SUM($G206:DV206))/ROUND(((EOMONTH('Construction Budget'!$M63,0)-EOMONTH(DW$11,0))/30)+1,0),0)</f>
        <v>0</v>
      </c>
      <c r="DX206" s="427">
        <f>-IF(AND(DX$11&gt;=EOMONTH('Construction Budget'!$K63,0),DX$11&lt;=EOMONTH('Construction Budget'!$M63,0)),('Construction Budget'!$G63+SUM($G206:DW206))/ROUND(((EOMONTH('Construction Budget'!$M63,0)-EOMONTH(DX$11,0))/30)+1,0),0)</f>
        <v>0</v>
      </c>
      <c r="DY206" s="427">
        <f>-IF(AND(DY$11&gt;=EOMONTH('Construction Budget'!$K63,0),DY$11&lt;=EOMONTH('Construction Budget'!$M63,0)),('Construction Budget'!$G63+SUM($G206:DX206))/ROUND(((EOMONTH('Construction Budget'!$M63,0)-EOMONTH(DY$11,0))/30)+1,0),0)</f>
        <v>0</v>
      </c>
      <c r="DZ206" s="427">
        <f>-IF(AND(DZ$11&gt;=EOMONTH('Construction Budget'!$K63,0),DZ$11&lt;=EOMONTH('Construction Budget'!$M63,0)),('Construction Budget'!$G63+SUM($G206:DY206))/ROUND(((EOMONTH('Construction Budget'!$M63,0)-EOMONTH(DZ$11,0))/30)+1,0),0)</f>
        <v>0</v>
      </c>
      <c r="EA206" s="427">
        <f>-IF(AND(EA$11&gt;=EOMONTH('Construction Budget'!$K63,0),EA$11&lt;=EOMONTH('Construction Budget'!$M63,0)),('Construction Budget'!$G63+SUM($G206:DZ206))/ROUND(((EOMONTH('Construction Budget'!$M63,0)-EOMONTH(EA$11,0))/30)+1,0),0)</f>
        <v>0</v>
      </c>
      <c r="EB206" s="427">
        <f>-IF(AND(EB$11&gt;=EOMONTH('Construction Budget'!$K63,0),EB$11&lt;=EOMONTH('Construction Budget'!$M63,0)),('Construction Budget'!$G63+SUM($G206:EA206))/ROUND(((EOMONTH('Construction Budget'!$M63,0)-EOMONTH(EB$11,0))/30)+1,0),0)</f>
        <v>0</v>
      </c>
      <c r="EC206" s="427">
        <f>-IF(AND(EC$11&gt;=EOMONTH('Construction Budget'!$K63,0),EC$11&lt;=EOMONTH('Construction Budget'!$M63,0)),('Construction Budget'!$G63+SUM($G206:EB206))/ROUND(((EOMONTH('Construction Budget'!$M63,0)-EOMONTH(EC$11,0))/30)+1,0),0)</f>
        <v>0</v>
      </c>
      <c r="ED206" s="427">
        <f>-IF(AND(ED$11&gt;=EOMONTH('Construction Budget'!$K63,0),ED$11&lt;=EOMONTH('Construction Budget'!$M63,0)),('Construction Budget'!$G63+SUM($G206:EC206))/ROUND(((EOMONTH('Construction Budget'!$M63,0)-EOMONTH(ED$11,0))/30)+1,0),0)</f>
        <v>0</v>
      </c>
      <c r="EE206" s="427">
        <f>-IF(AND(EE$11&gt;=EOMONTH('Construction Budget'!$K63,0),EE$11&lt;=EOMONTH('Construction Budget'!$M63,0)),('Construction Budget'!$G63+SUM($G206:ED206))/ROUND(((EOMONTH('Construction Budget'!$M63,0)-EOMONTH(EE$11,0))/30)+1,0),0)</f>
        <v>0</v>
      </c>
      <c r="EF206" s="427">
        <f>-IF(AND(EF$11&gt;=EOMONTH('Construction Budget'!$K63,0),EF$11&lt;=EOMONTH('Construction Budget'!$M63,0)),('Construction Budget'!$G63+SUM($G206:EE206))/ROUND(((EOMONTH('Construction Budget'!$M63,0)-EOMONTH(EF$11,0))/30)+1,0),0)</f>
        <v>0</v>
      </c>
      <c r="EG206" s="427">
        <f>-IF(AND(EG$11&gt;=EOMONTH('Construction Budget'!$K63,0),EG$11&lt;=EOMONTH('Construction Budget'!$M63,0)),('Construction Budget'!$G63+SUM($G206:EF206))/ROUND(((EOMONTH('Construction Budget'!$M63,0)-EOMONTH(EG$11,0))/30)+1,0),0)</f>
        <v>0</v>
      </c>
      <c r="EH206" s="427">
        <f>-IF(AND(EH$11&gt;=EOMONTH('Construction Budget'!$K63,0),EH$11&lt;=EOMONTH('Construction Budget'!$M63,0)),('Construction Budget'!$G63+SUM($G206:EG206))/ROUND(((EOMONTH('Construction Budget'!$M63,0)-EOMONTH(EH$11,0))/30)+1,0),0)</f>
        <v>0</v>
      </c>
      <c r="EI206" s="427">
        <f>-IF(AND(EI$11&gt;=EOMONTH('Construction Budget'!$K63,0),EI$11&lt;=EOMONTH('Construction Budget'!$M63,0)),('Construction Budget'!$G63+SUM($G206:EH206))/ROUND(((EOMONTH('Construction Budget'!$M63,0)-EOMONTH(EI$11,0))/30)+1,0),0)</f>
        <v>0</v>
      </c>
      <c r="EJ206" s="427">
        <f>-IF(AND(EJ$11&gt;=EOMONTH('Construction Budget'!$K63,0),EJ$11&lt;=EOMONTH('Construction Budget'!$M63,0)),('Construction Budget'!$G63+SUM($G206:EI206))/ROUND(((EOMONTH('Construction Budget'!$M63,0)-EOMONTH(EJ$11,0))/30)+1,0),0)</f>
        <v>0</v>
      </c>
      <c r="EK206" s="427">
        <f>-IF(AND(EK$11&gt;=EOMONTH('Construction Budget'!$K63,0),EK$11&lt;=EOMONTH('Construction Budget'!$M63,0)),('Construction Budget'!$G63+SUM($G206:EJ206))/ROUND(((EOMONTH('Construction Budget'!$M63,0)-EOMONTH(EK$11,0))/30)+1,0),0)</f>
        <v>0</v>
      </c>
      <c r="EL206" s="427">
        <f>-IF(AND(EL$11&gt;=EOMONTH('Construction Budget'!$K63,0),EL$11&lt;=EOMONTH('Construction Budget'!$M63,0)),('Construction Budget'!$G63+SUM($G206:EK206))/ROUND(((EOMONTH('Construction Budget'!$M63,0)-EOMONTH(EL$11,0))/30)+1,0),0)</f>
        <v>0</v>
      </c>
      <c r="EM206" s="427">
        <f>-IF(AND(EM$11&gt;=EOMONTH('Construction Budget'!$K63,0),EM$11&lt;=EOMONTH('Construction Budget'!$M63,0)),('Construction Budget'!$G63+SUM($G206:EL206))/ROUND(((EOMONTH('Construction Budget'!$M63,0)-EOMONTH(EM$11,0))/30)+1,0),0)</f>
        <v>0</v>
      </c>
      <c r="EN206" s="427">
        <f>-IF(AND(EN$11&gt;=EOMONTH('Construction Budget'!$K63,0),EN$11&lt;=EOMONTH('Construction Budget'!$M63,0)),('Construction Budget'!$G63+SUM($G206:EM206))/ROUND(((EOMONTH('Construction Budget'!$M63,0)-EOMONTH(EN$11,0))/30)+1,0),0)</f>
        <v>0</v>
      </c>
      <c r="EO206" s="427">
        <f>-IF(AND(EO$11&gt;=EOMONTH('Construction Budget'!$K63,0),EO$11&lt;=EOMONTH('Construction Budget'!$M63,0)),('Construction Budget'!$G63+SUM($G206:EN206))/ROUND(((EOMONTH('Construction Budget'!$M63,0)-EOMONTH(EO$11,0))/30)+1,0),0)</f>
        <v>0</v>
      </c>
      <c r="EP206" s="427">
        <f>-IF(AND(EP$11&gt;=EOMONTH('Construction Budget'!$K63,0),EP$11&lt;=EOMONTH('Construction Budget'!$M63,0)),('Construction Budget'!$G63+SUM($G206:EO206))/ROUND(((EOMONTH('Construction Budget'!$M63,0)-EOMONTH(EP$11,0))/30)+1,0),0)</f>
        <v>0</v>
      </c>
      <c r="EQ206" s="427">
        <f>-IF(AND(EQ$11&gt;=EOMONTH('Construction Budget'!$K63,0),EQ$11&lt;=EOMONTH('Construction Budget'!$M63,0)),('Construction Budget'!$G63+SUM($G206:EP206))/ROUND(((EOMONTH('Construction Budget'!$M63,0)-EOMONTH(EQ$11,0))/30)+1,0),0)</f>
        <v>0</v>
      </c>
      <c r="ER206" s="427">
        <f>-IF(AND(ER$11&gt;=EOMONTH('Construction Budget'!$K63,0),ER$11&lt;=EOMONTH('Construction Budget'!$M63,0)),('Construction Budget'!$G63+SUM($G206:EQ206))/ROUND(((EOMONTH('Construction Budget'!$M63,0)-EOMONTH(ER$11,0))/30)+1,0),0)</f>
        <v>0</v>
      </c>
      <c r="ES206" s="427">
        <f>-IF(AND(ES$11&gt;=EOMONTH('Construction Budget'!$K63,0),ES$11&lt;=EOMONTH('Construction Budget'!$M63,0)),('Construction Budget'!$G63+SUM($G206:ER206))/ROUND(((EOMONTH('Construction Budget'!$M63,0)-EOMONTH(ES$11,0))/30)+1,0),0)</f>
        <v>0</v>
      </c>
      <c r="ET206" s="427">
        <f>-IF(AND(ET$11&gt;=EOMONTH('Construction Budget'!$K63,0),ET$11&lt;=EOMONTH('Construction Budget'!$M63,0)),('Construction Budget'!$G63+SUM($G206:ES206))/ROUND(((EOMONTH('Construction Budget'!$M63,0)-EOMONTH(ET$11,0))/30)+1,0),0)</f>
        <v>0</v>
      </c>
      <c r="EU206" s="427">
        <f>-IF(AND(EU$11&gt;=EOMONTH('Construction Budget'!$K63,0),EU$11&lt;=EOMONTH('Construction Budget'!$M63,0)),('Construction Budget'!$G63+SUM($G206:ET206))/ROUND(((EOMONTH('Construction Budget'!$M63,0)-EOMONTH(EU$11,0))/30)+1,0),0)</f>
        <v>0</v>
      </c>
      <c r="EV206" s="427">
        <f>-IF(AND(EV$11&gt;=EOMONTH('Construction Budget'!$K63,0),EV$11&lt;=EOMONTH('Construction Budget'!$M63,0)),('Construction Budget'!$G63+SUM($G206:EU206))/ROUND(((EOMONTH('Construction Budget'!$M63,0)-EOMONTH(EV$11,0))/30)+1,0),0)</f>
        <v>0</v>
      </c>
      <c r="EW206" s="427">
        <f>-IF(AND(EW$11&gt;=EOMONTH('Construction Budget'!$K63,0),EW$11&lt;=EOMONTH('Construction Budget'!$M63,0)),('Construction Budget'!$G63+SUM($G206:EV206))/ROUND(((EOMONTH('Construction Budget'!$M63,0)-EOMONTH(EW$11,0))/30)+1,0),0)</f>
        <v>0</v>
      </c>
      <c r="EX206" s="427">
        <f>-IF(AND(EX$11&gt;=EOMONTH('Construction Budget'!$K63,0),EX$11&lt;=EOMONTH('Construction Budget'!$M63,0)),('Construction Budget'!$G63+SUM($G206:EW206))/ROUND(((EOMONTH('Construction Budget'!$M63,0)-EOMONTH(EX$11,0))/30)+1,0),0)</f>
        <v>0</v>
      </c>
      <c r="EY206" s="427">
        <f>-IF(AND(EY$11&gt;=EOMONTH('Construction Budget'!$K63,0),EY$11&lt;=EOMONTH('Construction Budget'!$M63,0)),('Construction Budget'!$G63+SUM($G206:EX206))/ROUND(((EOMONTH('Construction Budget'!$M63,0)-EOMONTH(EY$11,0))/30)+1,0),0)</f>
        <v>0</v>
      </c>
      <c r="EZ206" s="427">
        <f>-IF(AND(EZ$11&gt;=EOMONTH('Construction Budget'!$K63,0),EZ$11&lt;=EOMONTH('Construction Budget'!$M63,0)),('Construction Budget'!$G63+SUM($G206:EY206))/ROUND(((EOMONTH('Construction Budget'!$M63,0)-EOMONTH(EZ$11,0))/30)+1,0),0)</f>
        <v>0</v>
      </c>
      <c r="FA206" s="427">
        <f>-IF(AND(FA$11&gt;=EOMONTH('Construction Budget'!$K63,0),FA$11&lt;=EOMONTH('Construction Budget'!$M63,0)),('Construction Budget'!$G63+SUM($G206:EZ206))/ROUND(((EOMONTH('Construction Budget'!$M63,0)-EOMONTH(FA$11,0))/30)+1,0),0)</f>
        <v>0</v>
      </c>
      <c r="FB206" s="427">
        <f>-IF(AND(FB$11&gt;=EOMONTH('Construction Budget'!$K63,0),FB$11&lt;=EOMONTH('Construction Budget'!$M63,0)),('Construction Budget'!$G63+SUM($G206:FA206))/ROUND(((EOMONTH('Construction Budget'!$M63,0)-EOMONTH(FB$11,0))/30)+1,0),0)</f>
        <v>0</v>
      </c>
      <c r="FC206" s="427">
        <f>-IF(AND(FC$11&gt;=EOMONTH('Construction Budget'!$K63,0),FC$11&lt;=EOMONTH('Construction Budget'!$M63,0)),('Construction Budget'!$G63+SUM($G206:FB206))/ROUND(((EOMONTH('Construction Budget'!$M63,0)-EOMONTH(FC$11,0))/30)+1,0),0)</f>
        <v>0</v>
      </c>
      <c r="FD206" s="427">
        <f>-IF(AND(FD$11&gt;=EOMONTH('Construction Budget'!$K63,0),FD$11&lt;=EOMONTH('Construction Budget'!$M63,0)),('Construction Budget'!$G63+SUM($G206:FC206))/ROUND(((EOMONTH('Construction Budget'!$M63,0)-EOMONTH(FD$11,0))/30)+1,0),0)</f>
        <v>0</v>
      </c>
      <c r="FE206" s="427">
        <f>-IF(AND(FE$11&gt;=EOMONTH('Construction Budget'!$K63,0),FE$11&lt;=EOMONTH('Construction Budget'!$M63,0)),('Construction Budget'!$G63+SUM($G206:FD206))/ROUND(((EOMONTH('Construction Budget'!$M63,0)-EOMONTH(FE$11,0))/30)+1,0),0)</f>
        <v>0</v>
      </c>
      <c r="FF206" s="427">
        <f>-IF(AND(FF$11&gt;=EOMONTH('Construction Budget'!$K63,0),FF$11&lt;=EOMONTH('Construction Budget'!$M63,0)),('Construction Budget'!$G63+SUM($G206:FE206))/ROUND(((EOMONTH('Construction Budget'!$M63,0)-EOMONTH(FF$11,0))/30)+1,0),0)</f>
        <v>0</v>
      </c>
      <c r="FG206" s="427">
        <f>-IF(AND(FG$11&gt;=EOMONTH('Construction Budget'!$K63,0),FG$11&lt;=EOMONTH('Construction Budget'!$M63,0)),('Construction Budget'!$G63+SUM($G206:FF206))/ROUND(((EOMONTH('Construction Budget'!$M63,0)-EOMONTH(FG$11,0))/30)+1,0),0)</f>
        <v>0</v>
      </c>
      <c r="FH206" s="427">
        <f>-IF(AND(FH$11&gt;=EOMONTH('Construction Budget'!$K63,0),FH$11&lt;=EOMONTH('Construction Budget'!$M63,0)),('Construction Budget'!$G63+SUM($G206:FG206))/ROUND(((EOMONTH('Construction Budget'!$M63,0)-EOMONTH(FH$11,0))/30)+1,0),0)</f>
        <v>0</v>
      </c>
      <c r="FI206" s="427">
        <f>-IF(AND(FI$11&gt;=EOMONTH('Construction Budget'!$K63,0),FI$11&lt;=EOMONTH('Construction Budget'!$M63,0)),('Construction Budget'!$G63+SUM($G206:FH206))/ROUND(((EOMONTH('Construction Budget'!$M63,0)-EOMONTH(FI$11,0))/30)+1,0),0)</f>
        <v>0</v>
      </c>
      <c r="FJ206" s="427">
        <f>-IF(AND(FJ$11&gt;=EOMONTH('Construction Budget'!$K63,0),FJ$11&lt;=EOMONTH('Construction Budget'!$M63,0)),('Construction Budget'!$G63+SUM($G206:FI206))/ROUND(((EOMONTH('Construction Budget'!$M63,0)-EOMONTH(FJ$11,0))/30)+1,0),0)</f>
        <v>0</v>
      </c>
      <c r="FK206" s="427">
        <f>-IF(AND(FK$11&gt;=EOMONTH('Construction Budget'!$K63,0),FK$11&lt;=EOMONTH('Construction Budget'!$M63,0)),('Construction Budget'!$G63+SUM($G206:FJ206))/ROUND(((EOMONTH('Construction Budget'!$M63,0)-EOMONTH(FK$11,0))/30)+1,0),0)</f>
        <v>0</v>
      </c>
      <c r="FL206" s="427">
        <f>-IF(AND(FL$11&gt;=EOMONTH('Construction Budget'!$K63,0),FL$11&lt;=EOMONTH('Construction Budget'!$M63,0)),('Construction Budget'!$G63+SUM($G206:FK206))/ROUND(((EOMONTH('Construction Budget'!$M63,0)-EOMONTH(FL$11,0))/30)+1,0),0)</f>
        <v>0</v>
      </c>
      <c r="FM206" s="427">
        <f>-IF(AND(FM$11&gt;=EOMONTH('Construction Budget'!$K63,0),FM$11&lt;=EOMONTH('Construction Budget'!$M63,0)),('Construction Budget'!$G63+SUM($G206:FL206))/ROUND(((EOMONTH('Construction Budget'!$M63,0)-EOMONTH(FM$11,0))/30)+1,0),0)</f>
        <v>0</v>
      </c>
      <c r="FN206" s="427">
        <f>-IF(AND(FN$11&gt;=EOMONTH('Construction Budget'!$K63,0),FN$11&lt;=EOMONTH('Construction Budget'!$M63,0)),('Construction Budget'!$G63+SUM($G206:FM206))/ROUND(((EOMONTH('Construction Budget'!$M63,0)-EOMONTH(FN$11,0))/30)+1,0),0)</f>
        <v>0</v>
      </c>
      <c r="FO206" s="427">
        <f>-IF(AND(FO$11&gt;=EOMONTH('Construction Budget'!$K63,0),FO$11&lt;=EOMONTH('Construction Budget'!$M63,0)),('Construction Budget'!$G63+SUM($G206:FN206))/ROUND(((EOMONTH('Construction Budget'!$M63,0)-EOMONTH(FO$11,0))/30)+1,0),0)</f>
        <v>0</v>
      </c>
      <c r="FP206" s="427">
        <f>-IF(AND(FP$11&gt;=EOMONTH('Construction Budget'!$K63,0),FP$11&lt;=EOMONTH('Construction Budget'!$M63,0)),('Construction Budget'!$G63+SUM($G206:FO206))/ROUND(((EOMONTH('Construction Budget'!$M63,0)-EOMONTH(FP$11,0))/30)+1,0),0)</f>
        <v>0</v>
      </c>
      <c r="FQ206" s="427">
        <f>-IF(AND(FQ$11&gt;=EOMONTH('Construction Budget'!$K63,0),FQ$11&lt;=EOMONTH('Construction Budget'!$M63,0)),('Construction Budget'!$G63+SUM($G206:FP206))/ROUND(((EOMONTH('Construction Budget'!$M63,0)-EOMONTH(FQ$11,0))/30)+1,0),0)</f>
        <v>0</v>
      </c>
      <c r="FR206" s="427">
        <f>-IF(AND(FR$11&gt;=EOMONTH('Construction Budget'!$K63,0),FR$11&lt;=EOMONTH('Construction Budget'!$M63,0)),('Construction Budget'!$G63+SUM($G206:FQ206))/ROUND(((EOMONTH('Construction Budget'!$M63,0)-EOMONTH(FR$11,0))/30)+1,0),0)</f>
        <v>0</v>
      </c>
      <c r="FS206" s="427">
        <f>-IF(AND(FS$11&gt;=EOMONTH('Construction Budget'!$K63,0),FS$11&lt;=EOMONTH('Construction Budget'!$M63,0)),('Construction Budget'!$G63+SUM($G206:FR206))/ROUND(((EOMONTH('Construction Budget'!$M63,0)-EOMONTH(FS$11,0))/30)+1,0),0)</f>
        <v>0</v>
      </c>
      <c r="FT206" s="427">
        <f>-IF(AND(FT$11&gt;=EOMONTH('Construction Budget'!$K63,0),FT$11&lt;=EOMONTH('Construction Budget'!$M63,0)),('Construction Budget'!$G63+SUM($G206:FS206))/ROUND(((EOMONTH('Construction Budget'!$M63,0)-EOMONTH(FT$11,0))/30)+1,0),0)</f>
        <v>0</v>
      </c>
      <c r="FU206" s="43"/>
      <c r="FV206" s="34"/>
      <c r="FW206" s="34"/>
      <c r="FX206" s="34"/>
      <c r="FY206" s="34"/>
      <c r="FZ206" s="34"/>
    </row>
    <row r="207" spans="1:182" s="89" customFormat="1" ht="13.5" hidden="1" outlineLevel="2" x14ac:dyDescent="0.25">
      <c r="A207" s="498"/>
      <c r="B207" s="43" t="str">
        <f>'Construction Budget'!B64</f>
        <v>Blank</v>
      </c>
      <c r="C207" s="34"/>
      <c r="D207" s="34"/>
      <c r="E207" s="34"/>
      <c r="F207" s="434">
        <f t="shared" si="236"/>
        <v>0</v>
      </c>
      <c r="G207" s="34"/>
      <c r="H207" s="427">
        <f>-IF(AND(H$11&gt;=EOMONTH('Construction Budget'!$K64,0),H$11&lt;=EOMONTH('Construction Budget'!$M64,0)),('Construction Budget'!$G64+SUM($G207:G207))/ROUND(((EOMONTH('Construction Budget'!$M64,0)-EOMONTH(H$11,0))/30)+1,0),0)</f>
        <v>0</v>
      </c>
      <c r="I207" s="427">
        <f>-IF(AND(I$11&gt;=EOMONTH('Construction Budget'!$K64,0),I$11&lt;=EOMONTH('Construction Budget'!$M64,0)),('Construction Budget'!$G64+SUM($G207:H207))/ROUND(((EOMONTH('Construction Budget'!$M64,0)-EOMONTH(I$11,0))/30)+1,0),0)</f>
        <v>0</v>
      </c>
      <c r="J207" s="427">
        <f>-IF(AND(J$11&gt;=EOMONTH('Construction Budget'!$K64,0),J$11&lt;=EOMONTH('Construction Budget'!$M64,0)),('Construction Budget'!$G64+SUM($G207:I207))/ROUND(((EOMONTH('Construction Budget'!$M64,0)-EOMONTH(J$11,0))/30)+1,0),0)</f>
        <v>0</v>
      </c>
      <c r="K207" s="427">
        <f>-IF(AND(K$11&gt;=EOMONTH('Construction Budget'!$K64,0),K$11&lt;=EOMONTH('Construction Budget'!$M64,0)),('Construction Budget'!$G64+SUM($G207:J207))/ROUND(((EOMONTH('Construction Budget'!$M64,0)-EOMONTH(K$11,0))/30)+1,0),0)</f>
        <v>0</v>
      </c>
      <c r="L207" s="427">
        <f>-IF(AND(L$11&gt;=EOMONTH('Construction Budget'!$K64,0),L$11&lt;=EOMONTH('Construction Budget'!$M64,0)),('Construction Budget'!$G64+SUM($G207:K207))/ROUND(((EOMONTH('Construction Budget'!$M64,0)-EOMONTH(L$11,0))/30)+1,0),0)</f>
        <v>0</v>
      </c>
      <c r="M207" s="427">
        <f>-IF(AND(M$11&gt;=EOMONTH('Construction Budget'!$K64,0),M$11&lt;=EOMONTH('Construction Budget'!$M64,0)),('Construction Budget'!$G64+SUM($G207:L207))/ROUND(((EOMONTH('Construction Budget'!$M64,0)-EOMONTH(M$11,0))/30)+1,0),0)</f>
        <v>0</v>
      </c>
      <c r="N207" s="427">
        <f>-IF(AND(N$11&gt;=EOMONTH('Construction Budget'!$K64,0),N$11&lt;=EOMONTH('Construction Budget'!$M64,0)),('Construction Budget'!$G64+SUM($G207:M207))/ROUND(((EOMONTH('Construction Budget'!$M64,0)-EOMONTH(N$11,0))/30)+1,0),0)</f>
        <v>0</v>
      </c>
      <c r="O207" s="427">
        <f>-IF(AND(O$11&gt;=EOMONTH('Construction Budget'!$K64,0),O$11&lt;=EOMONTH('Construction Budget'!$M64,0)),('Construction Budget'!$G64+SUM($G207:N207))/ROUND(((EOMONTH('Construction Budget'!$M64,0)-EOMONTH(O$11,0))/30)+1,0),0)</f>
        <v>0</v>
      </c>
      <c r="P207" s="427">
        <f>-IF(AND(P$11&gt;=EOMONTH('Construction Budget'!$K64,0),P$11&lt;=EOMONTH('Construction Budget'!$M64,0)),('Construction Budget'!$G64+SUM($G207:O207))/ROUND(((EOMONTH('Construction Budget'!$M64,0)-EOMONTH(P$11,0))/30)+1,0),0)</f>
        <v>0</v>
      </c>
      <c r="Q207" s="427">
        <f>-IF(AND(Q$11&gt;=EOMONTH('Construction Budget'!$K64,0),Q$11&lt;=EOMONTH('Construction Budget'!$M64,0)),('Construction Budget'!$G64+SUM($G207:P207))/ROUND(((EOMONTH('Construction Budget'!$M64,0)-EOMONTH(Q$11,0))/30)+1,0),0)</f>
        <v>0</v>
      </c>
      <c r="R207" s="427">
        <f>-IF(AND(R$11&gt;=EOMONTH('Construction Budget'!$K64,0),R$11&lt;=EOMONTH('Construction Budget'!$M64,0)),('Construction Budget'!$G64+SUM($G207:Q207))/ROUND(((EOMONTH('Construction Budget'!$M64,0)-EOMONTH(R$11,0))/30)+1,0),0)</f>
        <v>0</v>
      </c>
      <c r="S207" s="427">
        <f>-IF(AND(S$11&gt;=EOMONTH('Construction Budget'!$K64,0),S$11&lt;=EOMONTH('Construction Budget'!$M64,0)),('Construction Budget'!$G64+SUM($G207:R207))/ROUND(((EOMONTH('Construction Budget'!$M64,0)-EOMONTH(S$11,0))/30)+1,0),0)</f>
        <v>0</v>
      </c>
      <c r="T207" s="427">
        <f>-IF(AND(T$11&gt;=EOMONTH('Construction Budget'!$K64,0),T$11&lt;=EOMONTH('Construction Budget'!$M64,0)),('Construction Budget'!$G64+SUM($G207:S207))/ROUND(((EOMONTH('Construction Budget'!$M64,0)-EOMONTH(T$11,0))/30)+1,0),0)</f>
        <v>0</v>
      </c>
      <c r="U207" s="427">
        <f>-IF(AND(U$11&gt;=EOMONTH('Construction Budget'!$K64,0),U$11&lt;=EOMONTH('Construction Budget'!$M64,0)),('Construction Budget'!$G64+SUM($G207:T207))/ROUND(((EOMONTH('Construction Budget'!$M64,0)-EOMONTH(U$11,0))/30)+1,0),0)</f>
        <v>0</v>
      </c>
      <c r="V207" s="427">
        <f>-IF(AND(V$11&gt;=EOMONTH('Construction Budget'!$K64,0),V$11&lt;=EOMONTH('Construction Budget'!$M64,0)),('Construction Budget'!$G64+SUM($G207:U207))/ROUND(((EOMONTH('Construction Budget'!$M64,0)-EOMONTH(V$11,0))/30)+1,0),0)</f>
        <v>0</v>
      </c>
      <c r="W207" s="427">
        <f>-IF(AND(W$11&gt;=EOMONTH('Construction Budget'!$K64,0),W$11&lt;=EOMONTH('Construction Budget'!$M64,0)),('Construction Budget'!$G64+SUM($G207:V207))/ROUND(((EOMONTH('Construction Budget'!$M64,0)-EOMONTH(W$11,0))/30)+1,0),0)</f>
        <v>0</v>
      </c>
      <c r="X207" s="427">
        <f>-IF(AND(X$11&gt;=EOMONTH('Construction Budget'!$K64,0),X$11&lt;=EOMONTH('Construction Budget'!$M64,0)),('Construction Budget'!$G64+SUM($G207:W207))/ROUND(((EOMONTH('Construction Budget'!$M64,0)-EOMONTH(X$11,0))/30)+1,0),0)</f>
        <v>0</v>
      </c>
      <c r="Y207" s="427">
        <f>-IF(AND(Y$11&gt;=EOMONTH('Construction Budget'!$K64,0),Y$11&lt;=EOMONTH('Construction Budget'!$M64,0)),('Construction Budget'!$G64+SUM($G207:X207))/ROUND(((EOMONTH('Construction Budget'!$M64,0)-EOMONTH(Y$11,0))/30)+1,0),0)</f>
        <v>0</v>
      </c>
      <c r="Z207" s="427">
        <f>-IF(AND(Z$11&gt;=EOMONTH('Construction Budget'!$K64,0),Z$11&lt;=EOMONTH('Construction Budget'!$M64,0)),('Construction Budget'!$G64+SUM($G207:Y207))/ROUND(((EOMONTH('Construction Budget'!$M64,0)-EOMONTH(Z$11,0))/30)+1,0),0)</f>
        <v>0</v>
      </c>
      <c r="AA207" s="427">
        <f>-IF(AND(AA$11&gt;=EOMONTH('Construction Budget'!$K64,0),AA$11&lt;=EOMONTH('Construction Budget'!$M64,0)),('Construction Budget'!$G64+SUM($G207:Z207))/ROUND(((EOMONTH('Construction Budget'!$M64,0)-EOMONTH(AA$11,0))/30)+1,0),0)</f>
        <v>0</v>
      </c>
      <c r="AB207" s="427">
        <f>-IF(AND(AB$11&gt;=EOMONTH('Construction Budget'!$K64,0),AB$11&lt;=EOMONTH('Construction Budget'!$M64,0)),('Construction Budget'!$G64+SUM($G207:AA207))/ROUND(((EOMONTH('Construction Budget'!$M64,0)-EOMONTH(AB$11,0))/30)+1,0),0)</f>
        <v>0</v>
      </c>
      <c r="AC207" s="427">
        <f>-IF(AND(AC$11&gt;=EOMONTH('Construction Budget'!$K64,0),AC$11&lt;=EOMONTH('Construction Budget'!$M64,0)),('Construction Budget'!$G64+SUM($G207:AB207))/ROUND(((EOMONTH('Construction Budget'!$M64,0)-EOMONTH(AC$11,0))/30)+1,0),0)</f>
        <v>0</v>
      </c>
      <c r="AD207" s="427">
        <f>-IF(AND(AD$11&gt;=EOMONTH('Construction Budget'!$K64,0),AD$11&lt;=EOMONTH('Construction Budget'!$M64,0)),('Construction Budget'!$G64+SUM($G207:AC207))/ROUND(((EOMONTH('Construction Budget'!$M64,0)-EOMONTH(AD$11,0))/30)+1,0),0)</f>
        <v>0</v>
      </c>
      <c r="AE207" s="427">
        <f>-IF(AND(AE$11&gt;=EOMONTH('Construction Budget'!$K64,0),AE$11&lt;=EOMONTH('Construction Budget'!$M64,0)),('Construction Budget'!$G64+SUM($G207:AD207))/ROUND(((EOMONTH('Construction Budget'!$M64,0)-EOMONTH(AE$11,0))/30)+1,0),0)</f>
        <v>0</v>
      </c>
      <c r="AF207" s="427">
        <f>-IF(AND(AF$11&gt;=EOMONTH('Construction Budget'!$K64,0),AF$11&lt;=EOMONTH('Construction Budget'!$M64,0)),('Construction Budget'!$G64+SUM($G207:AE207))/ROUND(((EOMONTH('Construction Budget'!$M64,0)-EOMONTH(AF$11,0))/30)+1,0),0)</f>
        <v>0</v>
      </c>
      <c r="AG207" s="427">
        <f>-IF(AND(AG$11&gt;=EOMONTH('Construction Budget'!$K64,0),AG$11&lt;=EOMONTH('Construction Budget'!$M64,0)),('Construction Budget'!$G64+SUM($G207:AF207))/ROUND(((EOMONTH('Construction Budget'!$M64,0)-EOMONTH(AG$11,0))/30)+1,0),0)</f>
        <v>0</v>
      </c>
      <c r="AH207" s="427">
        <f>-IF(AND(AH$11&gt;=EOMONTH('Construction Budget'!$K64,0),AH$11&lt;=EOMONTH('Construction Budget'!$M64,0)),('Construction Budget'!$G64+SUM($G207:AG207))/ROUND(((EOMONTH('Construction Budget'!$M64,0)-EOMONTH(AH$11,0))/30)+1,0),0)</f>
        <v>0</v>
      </c>
      <c r="AI207" s="427">
        <f>-IF(AND(AI$11&gt;=EOMONTH('Construction Budget'!$K64,0),AI$11&lt;=EOMONTH('Construction Budget'!$M64,0)),('Construction Budget'!$G64+SUM($G207:AH207))/ROUND(((EOMONTH('Construction Budget'!$M64,0)-EOMONTH(AI$11,0))/30)+1,0),0)</f>
        <v>0</v>
      </c>
      <c r="AJ207" s="427">
        <f>-IF(AND(AJ$11&gt;=EOMONTH('Construction Budget'!$K64,0),AJ$11&lt;=EOMONTH('Construction Budget'!$M64,0)),('Construction Budget'!$G64+SUM($G207:AI207))/ROUND(((EOMONTH('Construction Budget'!$M64,0)-EOMONTH(AJ$11,0))/30)+1,0),0)</f>
        <v>0</v>
      </c>
      <c r="AK207" s="427">
        <f>-IF(AND(AK$11&gt;=EOMONTH('Construction Budget'!$K64,0),AK$11&lt;=EOMONTH('Construction Budget'!$M64,0)),('Construction Budget'!$G64+SUM($G207:AJ207))/ROUND(((EOMONTH('Construction Budget'!$M64,0)-EOMONTH(AK$11,0))/30)+1,0),0)</f>
        <v>0</v>
      </c>
      <c r="AL207" s="427">
        <f>-IF(AND(AL$11&gt;=EOMONTH('Construction Budget'!$K64,0),AL$11&lt;=EOMONTH('Construction Budget'!$M64,0)),('Construction Budget'!$G64+SUM($G207:AK207))/ROUND(((EOMONTH('Construction Budget'!$M64,0)-EOMONTH(AL$11,0))/30)+1,0),0)</f>
        <v>0</v>
      </c>
      <c r="AM207" s="427">
        <f>-IF(AND(AM$11&gt;=EOMONTH('Construction Budget'!$K64,0),AM$11&lt;=EOMONTH('Construction Budget'!$M64,0)),('Construction Budget'!$G64+SUM($G207:AL207))/ROUND(((EOMONTH('Construction Budget'!$M64,0)-EOMONTH(AM$11,0))/30)+1,0),0)</f>
        <v>0</v>
      </c>
      <c r="AN207" s="427">
        <f>-IF(AND(AN$11&gt;=EOMONTH('Construction Budget'!$K64,0),AN$11&lt;=EOMONTH('Construction Budget'!$M64,0)),('Construction Budget'!$G64+SUM($G207:AM207))/ROUND(((EOMONTH('Construction Budget'!$M64,0)-EOMONTH(AN$11,0))/30)+1,0),0)</f>
        <v>0</v>
      </c>
      <c r="AO207" s="427">
        <f>-IF(AND(AO$11&gt;=EOMONTH('Construction Budget'!$K64,0),AO$11&lt;=EOMONTH('Construction Budget'!$M64,0)),('Construction Budget'!$G64+SUM($G207:AN207))/ROUND(((EOMONTH('Construction Budget'!$M64,0)-EOMONTH(AO$11,0))/30)+1,0),0)</f>
        <v>0</v>
      </c>
      <c r="AP207" s="427">
        <f>-IF(AND(AP$11&gt;=EOMONTH('Construction Budget'!$K64,0),AP$11&lt;=EOMONTH('Construction Budget'!$M64,0)),('Construction Budget'!$G64+SUM($G207:AO207))/ROUND(((EOMONTH('Construction Budget'!$M64,0)-EOMONTH(AP$11,0))/30)+1,0),0)</f>
        <v>0</v>
      </c>
      <c r="AQ207" s="427">
        <f>-IF(AND(AQ$11&gt;=EOMONTH('Construction Budget'!$K64,0),AQ$11&lt;=EOMONTH('Construction Budget'!$M64,0)),('Construction Budget'!$G64+SUM($G207:AP207))/ROUND(((EOMONTH('Construction Budget'!$M64,0)-EOMONTH(AQ$11,0))/30)+1,0),0)</f>
        <v>0</v>
      </c>
      <c r="AR207" s="427">
        <f>-IF(AND(AR$11&gt;=EOMONTH('Construction Budget'!$K64,0),AR$11&lt;=EOMONTH('Construction Budget'!$M64,0)),('Construction Budget'!$G64+SUM($G207:AQ207))/ROUND(((EOMONTH('Construction Budget'!$M64,0)-EOMONTH(AR$11,0))/30)+1,0),0)</f>
        <v>0</v>
      </c>
      <c r="AS207" s="427">
        <f>-IF(AND(AS$11&gt;=EOMONTH('Construction Budget'!$K64,0),AS$11&lt;=EOMONTH('Construction Budget'!$M64,0)),('Construction Budget'!$G64+SUM($G207:AR207))/ROUND(((EOMONTH('Construction Budget'!$M64,0)-EOMONTH(AS$11,0))/30)+1,0),0)</f>
        <v>0</v>
      </c>
      <c r="AT207" s="427">
        <f>-IF(AND(AT$11&gt;=EOMONTH('Construction Budget'!$K64,0),AT$11&lt;=EOMONTH('Construction Budget'!$M64,0)),('Construction Budget'!$G64+SUM($G207:AS207))/ROUND(((EOMONTH('Construction Budget'!$M64,0)-EOMONTH(AT$11,0))/30)+1,0),0)</f>
        <v>0</v>
      </c>
      <c r="AU207" s="427">
        <f>-IF(AND(AU$11&gt;=EOMONTH('Construction Budget'!$K64,0),AU$11&lt;=EOMONTH('Construction Budget'!$M64,0)),('Construction Budget'!$G64+SUM($G207:AT207))/ROUND(((EOMONTH('Construction Budget'!$M64,0)-EOMONTH(AU$11,0))/30)+1,0),0)</f>
        <v>0</v>
      </c>
      <c r="AV207" s="427">
        <f>-IF(AND(AV$11&gt;=EOMONTH('Construction Budget'!$K64,0),AV$11&lt;=EOMONTH('Construction Budget'!$M64,0)),('Construction Budget'!$G64+SUM($G207:AU207))/ROUND(((EOMONTH('Construction Budget'!$M64,0)-EOMONTH(AV$11,0))/30)+1,0),0)</f>
        <v>0</v>
      </c>
      <c r="AW207" s="427">
        <f>-IF(AND(AW$11&gt;=EOMONTH('Construction Budget'!$K64,0),AW$11&lt;=EOMONTH('Construction Budget'!$M64,0)),('Construction Budget'!$G64+SUM($G207:AV207))/ROUND(((EOMONTH('Construction Budget'!$M64,0)-EOMONTH(AW$11,0))/30)+1,0),0)</f>
        <v>0</v>
      </c>
      <c r="AX207" s="427">
        <f>-IF(AND(AX$11&gt;=EOMONTH('Construction Budget'!$K64,0),AX$11&lt;=EOMONTH('Construction Budget'!$M64,0)),('Construction Budget'!$G64+SUM($G207:AW207))/ROUND(((EOMONTH('Construction Budget'!$M64,0)-EOMONTH(AX$11,0))/30)+1,0),0)</f>
        <v>0</v>
      </c>
      <c r="AY207" s="427">
        <f>-IF(AND(AY$11&gt;=EOMONTH('Construction Budget'!$K64,0),AY$11&lt;=EOMONTH('Construction Budget'!$M64,0)),('Construction Budget'!$G64+SUM($G207:AX207))/ROUND(((EOMONTH('Construction Budget'!$M64,0)-EOMONTH(AY$11,0))/30)+1,0),0)</f>
        <v>0</v>
      </c>
      <c r="AZ207" s="427">
        <f>-IF(AND(AZ$11&gt;=EOMONTH('Construction Budget'!$K64,0),AZ$11&lt;=EOMONTH('Construction Budget'!$M64,0)),('Construction Budget'!$G64+SUM($G207:AY207))/ROUND(((EOMONTH('Construction Budget'!$M64,0)-EOMONTH(AZ$11,0))/30)+1,0),0)</f>
        <v>0</v>
      </c>
      <c r="BA207" s="427">
        <f>-IF(AND(BA$11&gt;=EOMONTH('Construction Budget'!$K64,0),BA$11&lt;=EOMONTH('Construction Budget'!$M64,0)),('Construction Budget'!$G64+SUM($G207:AZ207))/ROUND(((EOMONTH('Construction Budget'!$M64,0)-EOMONTH(BA$11,0))/30)+1,0),0)</f>
        <v>0</v>
      </c>
      <c r="BB207" s="427">
        <f>-IF(AND(BB$11&gt;=EOMONTH('Construction Budget'!$K64,0),BB$11&lt;=EOMONTH('Construction Budget'!$M64,0)),('Construction Budget'!$G64+SUM($G207:BA207))/ROUND(((EOMONTH('Construction Budget'!$M64,0)-EOMONTH(BB$11,0))/30)+1,0),0)</f>
        <v>0</v>
      </c>
      <c r="BC207" s="427">
        <f>-IF(AND(BC$11&gt;=EOMONTH('Construction Budget'!$K64,0),BC$11&lt;=EOMONTH('Construction Budget'!$M64,0)),('Construction Budget'!$G64+SUM($G207:BB207))/ROUND(((EOMONTH('Construction Budget'!$M64,0)-EOMONTH(BC$11,0))/30)+1,0),0)</f>
        <v>0</v>
      </c>
      <c r="BD207" s="427">
        <f>-IF(AND(BD$11&gt;=EOMONTH('Construction Budget'!$K64,0),BD$11&lt;=EOMONTH('Construction Budget'!$M64,0)),('Construction Budget'!$G64+SUM($G207:BC207))/ROUND(((EOMONTH('Construction Budget'!$M64,0)-EOMONTH(BD$11,0))/30)+1,0),0)</f>
        <v>0</v>
      </c>
      <c r="BE207" s="427">
        <f>-IF(AND(BE$11&gt;=EOMONTH('Construction Budget'!$K64,0),BE$11&lt;=EOMONTH('Construction Budget'!$M64,0)),('Construction Budget'!$G64+SUM($G207:BD207))/ROUND(((EOMONTH('Construction Budget'!$M64,0)-EOMONTH(BE$11,0))/30)+1,0),0)</f>
        <v>0</v>
      </c>
      <c r="BF207" s="427">
        <f>-IF(AND(BF$11&gt;=EOMONTH('Construction Budget'!$K64,0),BF$11&lt;=EOMONTH('Construction Budget'!$M64,0)),('Construction Budget'!$G64+SUM($G207:BE207))/ROUND(((EOMONTH('Construction Budget'!$M64,0)-EOMONTH(BF$11,0))/30)+1,0),0)</f>
        <v>0</v>
      </c>
      <c r="BG207" s="427">
        <f>-IF(AND(BG$11&gt;=EOMONTH('Construction Budget'!$K64,0),BG$11&lt;=EOMONTH('Construction Budget'!$M64,0)),('Construction Budget'!$G64+SUM($G207:BF207))/ROUND(((EOMONTH('Construction Budget'!$M64,0)-EOMONTH(BG$11,0))/30)+1,0),0)</f>
        <v>0</v>
      </c>
      <c r="BH207" s="427">
        <f>-IF(AND(BH$11&gt;=EOMONTH('Construction Budget'!$K64,0),BH$11&lt;=EOMONTH('Construction Budget'!$M64,0)),('Construction Budget'!$G64+SUM($G207:BG207))/ROUND(((EOMONTH('Construction Budget'!$M64,0)-EOMONTH(BH$11,0))/30)+1,0),0)</f>
        <v>0</v>
      </c>
      <c r="BI207" s="427">
        <f>-IF(AND(BI$11&gt;=EOMONTH('Construction Budget'!$K64,0),BI$11&lt;=EOMONTH('Construction Budget'!$M64,0)),('Construction Budget'!$G64+SUM($G207:BH207))/ROUND(((EOMONTH('Construction Budget'!$M64,0)-EOMONTH(BI$11,0))/30)+1,0),0)</f>
        <v>0</v>
      </c>
      <c r="BJ207" s="427">
        <f>-IF(AND(BJ$11&gt;=EOMONTH('Construction Budget'!$K64,0),BJ$11&lt;=EOMONTH('Construction Budget'!$M64,0)),('Construction Budget'!$G64+SUM($G207:BI207))/ROUND(((EOMONTH('Construction Budget'!$M64,0)-EOMONTH(BJ$11,0))/30)+1,0),0)</f>
        <v>0</v>
      </c>
      <c r="BK207" s="427">
        <f>-IF(AND(BK$11&gt;=EOMONTH('Construction Budget'!$K64,0),BK$11&lt;=EOMONTH('Construction Budget'!$M64,0)),('Construction Budget'!$G64+SUM($G207:BJ207))/ROUND(((EOMONTH('Construction Budget'!$M64,0)-EOMONTH(BK$11,0))/30)+1,0),0)</f>
        <v>0</v>
      </c>
      <c r="BL207" s="427">
        <f>-IF(AND(BL$11&gt;=EOMONTH('Construction Budget'!$K64,0),BL$11&lt;=EOMONTH('Construction Budget'!$M64,0)),('Construction Budget'!$G64+SUM($G207:BK207))/ROUND(((EOMONTH('Construction Budget'!$M64,0)-EOMONTH(BL$11,0))/30)+1,0),0)</f>
        <v>0</v>
      </c>
      <c r="BM207" s="427">
        <f>-IF(AND(BM$11&gt;=EOMONTH('Construction Budget'!$K64,0),BM$11&lt;=EOMONTH('Construction Budget'!$M64,0)),('Construction Budget'!$G64+SUM($G207:BL207))/ROUND(((EOMONTH('Construction Budget'!$M64,0)-EOMONTH(BM$11,0))/30)+1,0),0)</f>
        <v>0</v>
      </c>
      <c r="BN207" s="427">
        <f>-IF(AND(BN$11&gt;=EOMONTH('Construction Budget'!$K64,0),BN$11&lt;=EOMONTH('Construction Budget'!$M64,0)),('Construction Budget'!$G64+SUM($G207:BM207))/ROUND(((EOMONTH('Construction Budget'!$M64,0)-EOMONTH(BN$11,0))/30)+1,0),0)</f>
        <v>0</v>
      </c>
      <c r="BO207" s="427">
        <f>-IF(AND(BO$11&gt;=EOMONTH('Construction Budget'!$K64,0),BO$11&lt;=EOMONTH('Construction Budget'!$M64,0)),('Construction Budget'!$G64+SUM($G207:BN207))/ROUND(((EOMONTH('Construction Budget'!$M64,0)-EOMONTH(BO$11,0))/30)+1,0),0)</f>
        <v>0</v>
      </c>
      <c r="BP207" s="427">
        <f>-IF(AND(BP$11&gt;=EOMONTH('Construction Budget'!$K64,0),BP$11&lt;=EOMONTH('Construction Budget'!$M64,0)),('Construction Budget'!$G64+SUM($G207:BO207))/ROUND(((EOMONTH('Construction Budget'!$M64,0)-EOMONTH(BP$11,0))/30)+1,0),0)</f>
        <v>0</v>
      </c>
      <c r="BQ207" s="427">
        <f>-IF(AND(BQ$11&gt;=EOMONTH('Construction Budget'!$K64,0),BQ$11&lt;=EOMONTH('Construction Budget'!$M64,0)),('Construction Budget'!$G64+SUM($G207:BP207))/ROUND(((EOMONTH('Construction Budget'!$M64,0)-EOMONTH(BQ$11,0))/30)+1,0),0)</f>
        <v>0</v>
      </c>
      <c r="BR207" s="427">
        <f>-IF(AND(BR$11&gt;=EOMONTH('Construction Budget'!$K64,0),BR$11&lt;=EOMONTH('Construction Budget'!$M64,0)),('Construction Budget'!$G64+SUM($G207:BQ207))/ROUND(((EOMONTH('Construction Budget'!$M64,0)-EOMONTH(BR$11,0))/30)+1,0),0)</f>
        <v>0</v>
      </c>
      <c r="BS207" s="427">
        <f>-IF(AND(BS$11&gt;=EOMONTH('Construction Budget'!$K64,0),BS$11&lt;=EOMONTH('Construction Budget'!$M64,0)),('Construction Budget'!$G64+SUM($G207:BR207))/ROUND(((EOMONTH('Construction Budget'!$M64,0)-EOMONTH(BS$11,0))/30)+1,0),0)</f>
        <v>0</v>
      </c>
      <c r="BT207" s="427">
        <f>-IF(AND(BT$11&gt;=EOMONTH('Construction Budget'!$K64,0),BT$11&lt;=EOMONTH('Construction Budget'!$M64,0)),('Construction Budget'!$G64+SUM($G207:BS207))/ROUND(((EOMONTH('Construction Budget'!$M64,0)-EOMONTH(BT$11,0))/30)+1,0),0)</f>
        <v>0</v>
      </c>
      <c r="BU207" s="427">
        <f>-IF(AND(BU$11&gt;=EOMONTH('Construction Budget'!$K64,0),BU$11&lt;=EOMONTH('Construction Budget'!$M64,0)),('Construction Budget'!$G64+SUM($G207:BT207))/ROUND(((EOMONTH('Construction Budget'!$M64,0)-EOMONTH(BU$11,0))/30)+1,0),0)</f>
        <v>0</v>
      </c>
      <c r="BV207" s="427">
        <f>-IF(AND(BV$11&gt;=EOMONTH('Construction Budget'!$K64,0),BV$11&lt;=EOMONTH('Construction Budget'!$M64,0)),('Construction Budget'!$G64+SUM($G207:BU207))/ROUND(((EOMONTH('Construction Budget'!$M64,0)-EOMONTH(BV$11,0))/30)+1,0),0)</f>
        <v>0</v>
      </c>
      <c r="BW207" s="427">
        <f>-IF(AND(BW$11&gt;=EOMONTH('Construction Budget'!$K64,0),BW$11&lt;=EOMONTH('Construction Budget'!$M64,0)),('Construction Budget'!$G64+SUM($G207:BV207))/ROUND(((EOMONTH('Construction Budget'!$M64,0)-EOMONTH(BW$11,0))/30)+1,0),0)</f>
        <v>0</v>
      </c>
      <c r="BX207" s="427">
        <f>-IF(AND(BX$11&gt;=EOMONTH('Construction Budget'!$K64,0),BX$11&lt;=EOMONTH('Construction Budget'!$M64,0)),('Construction Budget'!$G64+SUM($G207:BW207))/ROUND(((EOMONTH('Construction Budget'!$M64,0)-EOMONTH(BX$11,0))/30)+1,0),0)</f>
        <v>0</v>
      </c>
      <c r="BY207" s="427">
        <f>-IF(AND(BY$11&gt;=EOMONTH('Construction Budget'!$K64,0),BY$11&lt;=EOMONTH('Construction Budget'!$M64,0)),('Construction Budget'!$G64+SUM($G207:BX207))/ROUND(((EOMONTH('Construction Budget'!$M64,0)-EOMONTH(BY$11,0))/30)+1,0),0)</f>
        <v>0</v>
      </c>
      <c r="BZ207" s="427">
        <f>-IF(AND(BZ$11&gt;=EOMONTH('Construction Budget'!$K64,0),BZ$11&lt;=EOMONTH('Construction Budget'!$M64,0)),('Construction Budget'!$G64+SUM($G207:BY207))/ROUND(((EOMONTH('Construction Budget'!$M64,0)-EOMONTH(BZ$11,0))/30)+1,0),0)</f>
        <v>0</v>
      </c>
      <c r="CA207" s="427">
        <f>-IF(AND(CA$11&gt;=EOMONTH('Construction Budget'!$K64,0),CA$11&lt;=EOMONTH('Construction Budget'!$M64,0)),('Construction Budget'!$G64+SUM($G207:BZ207))/ROUND(((EOMONTH('Construction Budget'!$M64,0)-EOMONTH(CA$11,0))/30)+1,0),0)</f>
        <v>0</v>
      </c>
      <c r="CB207" s="427">
        <f>-IF(AND(CB$11&gt;=EOMONTH('Construction Budget'!$K64,0),CB$11&lt;=EOMONTH('Construction Budget'!$M64,0)),('Construction Budget'!$G64+SUM($G207:CA207))/ROUND(((EOMONTH('Construction Budget'!$M64,0)-EOMONTH(CB$11,0))/30)+1,0),0)</f>
        <v>0</v>
      </c>
      <c r="CC207" s="427">
        <f>-IF(AND(CC$11&gt;=EOMONTH('Construction Budget'!$K64,0),CC$11&lt;=EOMONTH('Construction Budget'!$M64,0)),('Construction Budget'!$G64+SUM($G207:CB207))/ROUND(((EOMONTH('Construction Budget'!$M64,0)-EOMONTH(CC$11,0))/30)+1,0),0)</f>
        <v>0</v>
      </c>
      <c r="CD207" s="427">
        <f>-IF(AND(CD$11&gt;=EOMONTH('Construction Budget'!$K64,0),CD$11&lt;=EOMONTH('Construction Budget'!$M64,0)),('Construction Budget'!$G64+SUM($G207:CC207))/ROUND(((EOMONTH('Construction Budget'!$M64,0)-EOMONTH(CD$11,0))/30)+1,0),0)</f>
        <v>0</v>
      </c>
      <c r="CE207" s="427">
        <f>-IF(AND(CE$11&gt;=EOMONTH('Construction Budget'!$K64,0),CE$11&lt;=EOMONTH('Construction Budget'!$M64,0)),('Construction Budget'!$G64+SUM($G207:CD207))/ROUND(((EOMONTH('Construction Budget'!$M64,0)-EOMONTH(CE$11,0))/30)+1,0),0)</f>
        <v>0</v>
      </c>
      <c r="CF207" s="427">
        <f>-IF(AND(CF$11&gt;=EOMONTH('Construction Budget'!$K64,0),CF$11&lt;=EOMONTH('Construction Budget'!$M64,0)),('Construction Budget'!$G64+SUM($G207:CE207))/ROUND(((EOMONTH('Construction Budget'!$M64,0)-EOMONTH(CF$11,0))/30)+1,0),0)</f>
        <v>0</v>
      </c>
      <c r="CG207" s="427">
        <f>-IF(AND(CG$11&gt;=EOMONTH('Construction Budget'!$K64,0),CG$11&lt;=EOMONTH('Construction Budget'!$M64,0)),('Construction Budget'!$G64+SUM($G207:CF207))/ROUND(((EOMONTH('Construction Budget'!$M64,0)-EOMONTH(CG$11,0))/30)+1,0),0)</f>
        <v>0</v>
      </c>
      <c r="CH207" s="427">
        <f>-IF(AND(CH$11&gt;=EOMONTH('Construction Budget'!$K64,0),CH$11&lt;=EOMONTH('Construction Budget'!$M64,0)),('Construction Budget'!$G64+SUM($G207:CG207))/ROUND(((EOMONTH('Construction Budget'!$M64,0)-EOMONTH(CH$11,0))/30)+1,0),0)</f>
        <v>0</v>
      </c>
      <c r="CI207" s="427">
        <f>-IF(AND(CI$11&gt;=EOMONTH('Construction Budget'!$K64,0),CI$11&lt;=EOMONTH('Construction Budget'!$M64,0)),('Construction Budget'!$G64+SUM($G207:CH207))/ROUND(((EOMONTH('Construction Budget'!$M64,0)-EOMONTH(CI$11,0))/30)+1,0),0)</f>
        <v>0</v>
      </c>
      <c r="CJ207" s="427">
        <f>-IF(AND(CJ$11&gt;=EOMONTH('Construction Budget'!$K64,0),CJ$11&lt;=EOMONTH('Construction Budget'!$M64,0)),('Construction Budget'!$G64+SUM($G207:CI207))/ROUND(((EOMONTH('Construction Budget'!$M64,0)-EOMONTH(CJ$11,0))/30)+1,0),0)</f>
        <v>0</v>
      </c>
      <c r="CK207" s="427">
        <f>-IF(AND(CK$11&gt;=EOMONTH('Construction Budget'!$K64,0),CK$11&lt;=EOMONTH('Construction Budget'!$M64,0)),('Construction Budget'!$G64+SUM($G207:CJ207))/ROUND(((EOMONTH('Construction Budget'!$M64,0)-EOMONTH(CK$11,0))/30)+1,0),0)</f>
        <v>0</v>
      </c>
      <c r="CL207" s="427">
        <f>-IF(AND(CL$11&gt;=EOMONTH('Construction Budget'!$K64,0),CL$11&lt;=EOMONTH('Construction Budget'!$M64,0)),('Construction Budget'!$G64+SUM($G207:CK207))/ROUND(((EOMONTH('Construction Budget'!$M64,0)-EOMONTH(CL$11,0))/30)+1,0),0)</f>
        <v>0</v>
      </c>
      <c r="CM207" s="427">
        <f>-IF(AND(CM$11&gt;=EOMONTH('Construction Budget'!$K64,0),CM$11&lt;=EOMONTH('Construction Budget'!$M64,0)),('Construction Budget'!$G64+SUM($G207:CL207))/ROUND(((EOMONTH('Construction Budget'!$M64,0)-EOMONTH(CM$11,0))/30)+1,0),0)</f>
        <v>0</v>
      </c>
      <c r="CN207" s="427">
        <f>-IF(AND(CN$11&gt;=EOMONTH('Construction Budget'!$K64,0),CN$11&lt;=EOMONTH('Construction Budget'!$M64,0)),('Construction Budget'!$G64+SUM($G207:CM207))/ROUND(((EOMONTH('Construction Budget'!$M64,0)-EOMONTH(CN$11,0))/30)+1,0),0)</f>
        <v>0</v>
      </c>
      <c r="CO207" s="427">
        <f>-IF(AND(CO$11&gt;=EOMONTH('Construction Budget'!$K64,0),CO$11&lt;=EOMONTH('Construction Budget'!$M64,0)),('Construction Budget'!$G64+SUM($G207:CN207))/ROUND(((EOMONTH('Construction Budget'!$M64,0)-EOMONTH(CO$11,0))/30)+1,0),0)</f>
        <v>0</v>
      </c>
      <c r="CP207" s="427">
        <f>-IF(AND(CP$11&gt;=EOMONTH('Construction Budget'!$K64,0),CP$11&lt;=EOMONTH('Construction Budget'!$M64,0)),('Construction Budget'!$G64+SUM($G207:CO207))/ROUND(((EOMONTH('Construction Budget'!$M64,0)-EOMONTH(CP$11,0))/30)+1,0),0)</f>
        <v>0</v>
      </c>
      <c r="CQ207" s="427">
        <f>-IF(AND(CQ$11&gt;=EOMONTH('Construction Budget'!$K64,0),CQ$11&lt;=EOMONTH('Construction Budget'!$M64,0)),('Construction Budget'!$G64+SUM($G207:CP207))/ROUND(((EOMONTH('Construction Budget'!$M64,0)-EOMONTH(CQ$11,0))/30)+1,0),0)</f>
        <v>0</v>
      </c>
      <c r="CR207" s="427">
        <f>-IF(AND(CR$11&gt;=EOMONTH('Construction Budget'!$K64,0),CR$11&lt;=EOMONTH('Construction Budget'!$M64,0)),('Construction Budget'!$G64+SUM($G207:CQ207))/ROUND(((EOMONTH('Construction Budget'!$M64,0)-EOMONTH(CR$11,0))/30)+1,0),0)</f>
        <v>0</v>
      </c>
      <c r="CS207" s="427">
        <f>-IF(AND(CS$11&gt;=EOMONTH('Construction Budget'!$K64,0),CS$11&lt;=EOMONTH('Construction Budget'!$M64,0)),('Construction Budget'!$G64+SUM($G207:CR207))/ROUND(((EOMONTH('Construction Budget'!$M64,0)-EOMONTH(CS$11,0))/30)+1,0),0)</f>
        <v>0</v>
      </c>
      <c r="CT207" s="427">
        <f>-IF(AND(CT$11&gt;=EOMONTH('Construction Budget'!$K64,0),CT$11&lt;=EOMONTH('Construction Budget'!$M64,0)),('Construction Budget'!$G64+SUM($G207:CS207))/ROUND(((EOMONTH('Construction Budget'!$M64,0)-EOMONTH(CT$11,0))/30)+1,0),0)</f>
        <v>0</v>
      </c>
      <c r="CU207" s="427">
        <f>-IF(AND(CU$11&gt;=EOMONTH('Construction Budget'!$K64,0),CU$11&lt;=EOMONTH('Construction Budget'!$M64,0)),('Construction Budget'!$G64+SUM($G207:CT207))/ROUND(((EOMONTH('Construction Budget'!$M64,0)-EOMONTH(CU$11,0))/30)+1,0),0)</f>
        <v>0</v>
      </c>
      <c r="CV207" s="427">
        <f>-IF(AND(CV$11&gt;=EOMONTH('Construction Budget'!$K64,0),CV$11&lt;=EOMONTH('Construction Budget'!$M64,0)),('Construction Budget'!$G64+SUM($G207:CU207))/ROUND(((EOMONTH('Construction Budget'!$M64,0)-EOMONTH(CV$11,0))/30)+1,0),0)</f>
        <v>0</v>
      </c>
      <c r="CW207" s="427">
        <f>-IF(AND(CW$11&gt;=EOMONTH('Construction Budget'!$K64,0),CW$11&lt;=EOMONTH('Construction Budget'!$M64,0)),('Construction Budget'!$G64+SUM($G207:CV207))/ROUND(((EOMONTH('Construction Budget'!$M64,0)-EOMONTH(CW$11,0))/30)+1,0),0)</f>
        <v>0</v>
      </c>
      <c r="CX207" s="427">
        <f>-IF(AND(CX$11&gt;=EOMONTH('Construction Budget'!$K64,0),CX$11&lt;=EOMONTH('Construction Budget'!$M64,0)),('Construction Budget'!$G64+SUM($G207:CW207))/ROUND(((EOMONTH('Construction Budget'!$M64,0)-EOMONTH(CX$11,0))/30)+1,0),0)</f>
        <v>0</v>
      </c>
      <c r="CY207" s="427">
        <f>-IF(AND(CY$11&gt;=EOMONTH('Construction Budget'!$K64,0),CY$11&lt;=EOMONTH('Construction Budget'!$M64,0)),('Construction Budget'!$G64+SUM($G207:CX207))/ROUND(((EOMONTH('Construction Budget'!$M64,0)-EOMONTH(CY$11,0))/30)+1,0),0)</f>
        <v>0</v>
      </c>
      <c r="CZ207" s="427">
        <f>-IF(AND(CZ$11&gt;=EOMONTH('Construction Budget'!$K64,0),CZ$11&lt;=EOMONTH('Construction Budget'!$M64,0)),('Construction Budget'!$G64+SUM($G207:CY207))/ROUND(((EOMONTH('Construction Budget'!$M64,0)-EOMONTH(CZ$11,0))/30)+1,0),0)</f>
        <v>0</v>
      </c>
      <c r="DA207" s="427">
        <f>-IF(AND(DA$11&gt;=EOMONTH('Construction Budget'!$K64,0),DA$11&lt;=EOMONTH('Construction Budget'!$M64,0)),('Construction Budget'!$G64+SUM($G207:CZ207))/ROUND(((EOMONTH('Construction Budget'!$M64,0)-EOMONTH(DA$11,0))/30)+1,0),0)</f>
        <v>0</v>
      </c>
      <c r="DB207" s="427">
        <f>-IF(AND(DB$11&gt;=EOMONTH('Construction Budget'!$K64,0),DB$11&lt;=EOMONTH('Construction Budget'!$M64,0)),('Construction Budget'!$G64+SUM($G207:DA207))/ROUND(((EOMONTH('Construction Budget'!$M64,0)-EOMONTH(DB$11,0))/30)+1,0),0)</f>
        <v>0</v>
      </c>
      <c r="DC207" s="427">
        <f>-IF(AND(DC$11&gt;=EOMONTH('Construction Budget'!$K64,0),DC$11&lt;=EOMONTH('Construction Budget'!$M64,0)),('Construction Budget'!$G64+SUM($G207:DB207))/ROUND(((EOMONTH('Construction Budget'!$M64,0)-EOMONTH(DC$11,0))/30)+1,0),0)</f>
        <v>0</v>
      </c>
      <c r="DD207" s="427">
        <f>-IF(AND(DD$11&gt;=EOMONTH('Construction Budget'!$K64,0),DD$11&lt;=EOMONTH('Construction Budget'!$M64,0)),('Construction Budget'!$G64+SUM($G207:DC207))/ROUND(((EOMONTH('Construction Budget'!$M64,0)-EOMONTH(DD$11,0))/30)+1,0),0)</f>
        <v>0</v>
      </c>
      <c r="DE207" s="427">
        <f>-IF(AND(DE$11&gt;=EOMONTH('Construction Budget'!$K64,0),DE$11&lt;=EOMONTH('Construction Budget'!$M64,0)),('Construction Budget'!$G64+SUM($G207:DD207))/ROUND(((EOMONTH('Construction Budget'!$M64,0)-EOMONTH(DE$11,0))/30)+1,0),0)</f>
        <v>0</v>
      </c>
      <c r="DF207" s="427">
        <f>-IF(AND(DF$11&gt;=EOMONTH('Construction Budget'!$K64,0),DF$11&lt;=EOMONTH('Construction Budget'!$M64,0)),('Construction Budget'!$G64+SUM($G207:DE207))/ROUND(((EOMONTH('Construction Budget'!$M64,0)-EOMONTH(DF$11,0))/30)+1,0),0)</f>
        <v>0</v>
      </c>
      <c r="DG207" s="427">
        <f>-IF(AND(DG$11&gt;=EOMONTH('Construction Budget'!$K64,0),DG$11&lt;=EOMONTH('Construction Budget'!$M64,0)),('Construction Budget'!$G64+SUM($G207:DF207))/ROUND(((EOMONTH('Construction Budget'!$M64,0)-EOMONTH(DG$11,0))/30)+1,0),0)</f>
        <v>0</v>
      </c>
      <c r="DH207" s="427">
        <f>-IF(AND(DH$11&gt;=EOMONTH('Construction Budget'!$K64,0),DH$11&lt;=EOMONTH('Construction Budget'!$M64,0)),('Construction Budget'!$G64+SUM($G207:DG207))/ROUND(((EOMONTH('Construction Budget'!$M64,0)-EOMONTH(DH$11,0))/30)+1,0),0)</f>
        <v>0</v>
      </c>
      <c r="DI207" s="427">
        <f>-IF(AND(DI$11&gt;=EOMONTH('Construction Budget'!$K64,0),DI$11&lt;=EOMONTH('Construction Budget'!$M64,0)),('Construction Budget'!$G64+SUM($G207:DH207))/ROUND(((EOMONTH('Construction Budget'!$M64,0)-EOMONTH(DI$11,0))/30)+1,0),0)</f>
        <v>0</v>
      </c>
      <c r="DJ207" s="427">
        <f>-IF(AND(DJ$11&gt;=EOMONTH('Construction Budget'!$K64,0),DJ$11&lt;=EOMONTH('Construction Budget'!$M64,0)),('Construction Budget'!$G64+SUM($G207:DI207))/ROUND(((EOMONTH('Construction Budget'!$M64,0)-EOMONTH(DJ$11,0))/30)+1,0),0)</f>
        <v>0</v>
      </c>
      <c r="DK207" s="427">
        <f>-IF(AND(DK$11&gt;=EOMONTH('Construction Budget'!$K64,0),DK$11&lt;=EOMONTH('Construction Budget'!$M64,0)),('Construction Budget'!$G64+SUM($G207:DJ207))/ROUND(((EOMONTH('Construction Budget'!$M64,0)-EOMONTH(DK$11,0))/30)+1,0),0)</f>
        <v>0</v>
      </c>
      <c r="DL207" s="427">
        <f>-IF(AND(DL$11&gt;=EOMONTH('Construction Budget'!$K64,0),DL$11&lt;=EOMONTH('Construction Budget'!$M64,0)),('Construction Budget'!$G64+SUM($G207:DK207))/ROUND(((EOMONTH('Construction Budget'!$M64,0)-EOMONTH(DL$11,0))/30)+1,0),0)</f>
        <v>0</v>
      </c>
      <c r="DM207" s="427">
        <f>-IF(AND(DM$11&gt;=EOMONTH('Construction Budget'!$K64,0),DM$11&lt;=EOMONTH('Construction Budget'!$M64,0)),('Construction Budget'!$G64+SUM($G207:DL207))/ROUND(((EOMONTH('Construction Budget'!$M64,0)-EOMONTH(DM$11,0))/30)+1,0),0)</f>
        <v>0</v>
      </c>
      <c r="DN207" s="427">
        <f>-IF(AND(DN$11&gt;=EOMONTH('Construction Budget'!$K64,0),DN$11&lt;=EOMONTH('Construction Budget'!$M64,0)),('Construction Budget'!$G64+SUM($G207:DM207))/ROUND(((EOMONTH('Construction Budget'!$M64,0)-EOMONTH(DN$11,0))/30)+1,0),0)</f>
        <v>0</v>
      </c>
      <c r="DO207" s="427">
        <f>-IF(AND(DO$11&gt;=EOMONTH('Construction Budget'!$K64,0),DO$11&lt;=EOMONTH('Construction Budget'!$M64,0)),('Construction Budget'!$G64+SUM($G207:DN207))/ROUND(((EOMONTH('Construction Budget'!$M64,0)-EOMONTH(DO$11,0))/30)+1,0),0)</f>
        <v>0</v>
      </c>
      <c r="DP207" s="427">
        <f>-IF(AND(DP$11&gt;=EOMONTH('Construction Budget'!$K64,0),DP$11&lt;=EOMONTH('Construction Budget'!$M64,0)),('Construction Budget'!$G64+SUM($G207:DO207))/ROUND(((EOMONTH('Construction Budget'!$M64,0)-EOMONTH(DP$11,0))/30)+1,0),0)</f>
        <v>0</v>
      </c>
      <c r="DQ207" s="427">
        <f>-IF(AND(DQ$11&gt;=EOMONTH('Construction Budget'!$K64,0),DQ$11&lt;=EOMONTH('Construction Budget'!$M64,0)),('Construction Budget'!$G64+SUM($G207:DP207))/ROUND(((EOMONTH('Construction Budget'!$M64,0)-EOMONTH(DQ$11,0))/30)+1,0),0)</f>
        <v>0</v>
      </c>
      <c r="DR207" s="427">
        <f>-IF(AND(DR$11&gt;=EOMONTH('Construction Budget'!$K64,0),DR$11&lt;=EOMONTH('Construction Budget'!$M64,0)),('Construction Budget'!$G64+SUM($G207:DQ207))/ROUND(((EOMONTH('Construction Budget'!$M64,0)-EOMONTH(DR$11,0))/30)+1,0),0)</f>
        <v>0</v>
      </c>
      <c r="DS207" s="427">
        <f>-IF(AND(DS$11&gt;=EOMONTH('Construction Budget'!$K64,0),DS$11&lt;=EOMONTH('Construction Budget'!$M64,0)),('Construction Budget'!$G64+SUM($G207:DR207))/ROUND(((EOMONTH('Construction Budget'!$M64,0)-EOMONTH(DS$11,0))/30)+1,0),0)</f>
        <v>0</v>
      </c>
      <c r="DT207" s="427">
        <f>-IF(AND(DT$11&gt;=EOMONTH('Construction Budget'!$K64,0),DT$11&lt;=EOMONTH('Construction Budget'!$M64,0)),('Construction Budget'!$G64+SUM($G207:DS207))/ROUND(((EOMONTH('Construction Budget'!$M64,0)-EOMONTH(DT$11,0))/30)+1,0),0)</f>
        <v>0</v>
      </c>
      <c r="DU207" s="427">
        <f>-IF(AND(DU$11&gt;=EOMONTH('Construction Budget'!$K64,0),DU$11&lt;=EOMONTH('Construction Budget'!$M64,0)),('Construction Budget'!$G64+SUM($G207:DT207))/ROUND(((EOMONTH('Construction Budget'!$M64,0)-EOMONTH(DU$11,0))/30)+1,0),0)</f>
        <v>0</v>
      </c>
      <c r="DV207" s="427">
        <f>-IF(AND(DV$11&gt;=EOMONTH('Construction Budget'!$K64,0),DV$11&lt;=EOMONTH('Construction Budget'!$M64,0)),('Construction Budget'!$G64+SUM($G207:DU207))/ROUND(((EOMONTH('Construction Budget'!$M64,0)-EOMONTH(DV$11,0))/30)+1,0),0)</f>
        <v>0</v>
      </c>
      <c r="DW207" s="427">
        <f>-IF(AND(DW$11&gt;=EOMONTH('Construction Budget'!$K64,0),DW$11&lt;=EOMONTH('Construction Budget'!$M64,0)),('Construction Budget'!$G64+SUM($G207:DV207))/ROUND(((EOMONTH('Construction Budget'!$M64,0)-EOMONTH(DW$11,0))/30)+1,0),0)</f>
        <v>0</v>
      </c>
      <c r="DX207" s="427">
        <f>-IF(AND(DX$11&gt;=EOMONTH('Construction Budget'!$K64,0),DX$11&lt;=EOMONTH('Construction Budget'!$M64,0)),('Construction Budget'!$G64+SUM($G207:DW207))/ROUND(((EOMONTH('Construction Budget'!$M64,0)-EOMONTH(DX$11,0))/30)+1,0),0)</f>
        <v>0</v>
      </c>
      <c r="DY207" s="427">
        <f>-IF(AND(DY$11&gt;=EOMONTH('Construction Budget'!$K64,0),DY$11&lt;=EOMONTH('Construction Budget'!$M64,0)),('Construction Budget'!$G64+SUM($G207:DX207))/ROUND(((EOMONTH('Construction Budget'!$M64,0)-EOMONTH(DY$11,0))/30)+1,0),0)</f>
        <v>0</v>
      </c>
      <c r="DZ207" s="427">
        <f>-IF(AND(DZ$11&gt;=EOMONTH('Construction Budget'!$K64,0),DZ$11&lt;=EOMONTH('Construction Budget'!$M64,0)),('Construction Budget'!$G64+SUM($G207:DY207))/ROUND(((EOMONTH('Construction Budget'!$M64,0)-EOMONTH(DZ$11,0))/30)+1,0),0)</f>
        <v>0</v>
      </c>
      <c r="EA207" s="427">
        <f>-IF(AND(EA$11&gt;=EOMONTH('Construction Budget'!$K64,0),EA$11&lt;=EOMONTH('Construction Budget'!$M64,0)),('Construction Budget'!$G64+SUM($G207:DZ207))/ROUND(((EOMONTH('Construction Budget'!$M64,0)-EOMONTH(EA$11,0))/30)+1,0),0)</f>
        <v>0</v>
      </c>
      <c r="EB207" s="427">
        <f>-IF(AND(EB$11&gt;=EOMONTH('Construction Budget'!$K64,0),EB$11&lt;=EOMONTH('Construction Budget'!$M64,0)),('Construction Budget'!$G64+SUM($G207:EA207))/ROUND(((EOMONTH('Construction Budget'!$M64,0)-EOMONTH(EB$11,0))/30)+1,0),0)</f>
        <v>0</v>
      </c>
      <c r="EC207" s="427">
        <f>-IF(AND(EC$11&gt;=EOMONTH('Construction Budget'!$K64,0),EC$11&lt;=EOMONTH('Construction Budget'!$M64,0)),('Construction Budget'!$G64+SUM($G207:EB207))/ROUND(((EOMONTH('Construction Budget'!$M64,0)-EOMONTH(EC$11,0))/30)+1,0),0)</f>
        <v>0</v>
      </c>
      <c r="ED207" s="427">
        <f>-IF(AND(ED$11&gt;=EOMONTH('Construction Budget'!$K64,0),ED$11&lt;=EOMONTH('Construction Budget'!$M64,0)),('Construction Budget'!$G64+SUM($G207:EC207))/ROUND(((EOMONTH('Construction Budget'!$M64,0)-EOMONTH(ED$11,0))/30)+1,0),0)</f>
        <v>0</v>
      </c>
      <c r="EE207" s="427">
        <f>-IF(AND(EE$11&gt;=EOMONTH('Construction Budget'!$K64,0),EE$11&lt;=EOMONTH('Construction Budget'!$M64,0)),('Construction Budget'!$G64+SUM($G207:ED207))/ROUND(((EOMONTH('Construction Budget'!$M64,0)-EOMONTH(EE$11,0))/30)+1,0),0)</f>
        <v>0</v>
      </c>
      <c r="EF207" s="427">
        <f>-IF(AND(EF$11&gt;=EOMONTH('Construction Budget'!$K64,0),EF$11&lt;=EOMONTH('Construction Budget'!$M64,0)),('Construction Budget'!$G64+SUM($G207:EE207))/ROUND(((EOMONTH('Construction Budget'!$M64,0)-EOMONTH(EF$11,0))/30)+1,0),0)</f>
        <v>0</v>
      </c>
      <c r="EG207" s="427">
        <f>-IF(AND(EG$11&gt;=EOMONTH('Construction Budget'!$K64,0),EG$11&lt;=EOMONTH('Construction Budget'!$M64,0)),('Construction Budget'!$G64+SUM($G207:EF207))/ROUND(((EOMONTH('Construction Budget'!$M64,0)-EOMONTH(EG$11,0))/30)+1,0),0)</f>
        <v>0</v>
      </c>
      <c r="EH207" s="427">
        <f>-IF(AND(EH$11&gt;=EOMONTH('Construction Budget'!$K64,0),EH$11&lt;=EOMONTH('Construction Budget'!$M64,0)),('Construction Budget'!$G64+SUM($G207:EG207))/ROUND(((EOMONTH('Construction Budget'!$M64,0)-EOMONTH(EH$11,0))/30)+1,0),0)</f>
        <v>0</v>
      </c>
      <c r="EI207" s="427">
        <f>-IF(AND(EI$11&gt;=EOMONTH('Construction Budget'!$K64,0),EI$11&lt;=EOMONTH('Construction Budget'!$M64,0)),('Construction Budget'!$G64+SUM($G207:EH207))/ROUND(((EOMONTH('Construction Budget'!$M64,0)-EOMONTH(EI$11,0))/30)+1,0),0)</f>
        <v>0</v>
      </c>
      <c r="EJ207" s="427">
        <f>-IF(AND(EJ$11&gt;=EOMONTH('Construction Budget'!$K64,0),EJ$11&lt;=EOMONTH('Construction Budget'!$M64,0)),('Construction Budget'!$G64+SUM($G207:EI207))/ROUND(((EOMONTH('Construction Budget'!$M64,0)-EOMONTH(EJ$11,0))/30)+1,0),0)</f>
        <v>0</v>
      </c>
      <c r="EK207" s="427">
        <f>-IF(AND(EK$11&gt;=EOMONTH('Construction Budget'!$K64,0),EK$11&lt;=EOMONTH('Construction Budget'!$M64,0)),('Construction Budget'!$G64+SUM($G207:EJ207))/ROUND(((EOMONTH('Construction Budget'!$M64,0)-EOMONTH(EK$11,0))/30)+1,0),0)</f>
        <v>0</v>
      </c>
      <c r="EL207" s="427">
        <f>-IF(AND(EL$11&gt;=EOMONTH('Construction Budget'!$K64,0),EL$11&lt;=EOMONTH('Construction Budget'!$M64,0)),('Construction Budget'!$G64+SUM($G207:EK207))/ROUND(((EOMONTH('Construction Budget'!$M64,0)-EOMONTH(EL$11,0))/30)+1,0),0)</f>
        <v>0</v>
      </c>
      <c r="EM207" s="427">
        <f>-IF(AND(EM$11&gt;=EOMONTH('Construction Budget'!$K64,0),EM$11&lt;=EOMONTH('Construction Budget'!$M64,0)),('Construction Budget'!$G64+SUM($G207:EL207))/ROUND(((EOMONTH('Construction Budget'!$M64,0)-EOMONTH(EM$11,0))/30)+1,0),0)</f>
        <v>0</v>
      </c>
      <c r="EN207" s="427">
        <f>-IF(AND(EN$11&gt;=EOMONTH('Construction Budget'!$K64,0),EN$11&lt;=EOMONTH('Construction Budget'!$M64,0)),('Construction Budget'!$G64+SUM($G207:EM207))/ROUND(((EOMONTH('Construction Budget'!$M64,0)-EOMONTH(EN$11,0))/30)+1,0),0)</f>
        <v>0</v>
      </c>
      <c r="EO207" s="427">
        <f>-IF(AND(EO$11&gt;=EOMONTH('Construction Budget'!$K64,0),EO$11&lt;=EOMONTH('Construction Budget'!$M64,0)),('Construction Budget'!$G64+SUM($G207:EN207))/ROUND(((EOMONTH('Construction Budget'!$M64,0)-EOMONTH(EO$11,0))/30)+1,0),0)</f>
        <v>0</v>
      </c>
      <c r="EP207" s="427">
        <f>-IF(AND(EP$11&gt;=EOMONTH('Construction Budget'!$K64,0),EP$11&lt;=EOMONTH('Construction Budget'!$M64,0)),('Construction Budget'!$G64+SUM($G207:EO207))/ROUND(((EOMONTH('Construction Budget'!$M64,0)-EOMONTH(EP$11,0))/30)+1,0),0)</f>
        <v>0</v>
      </c>
      <c r="EQ207" s="427">
        <f>-IF(AND(EQ$11&gt;=EOMONTH('Construction Budget'!$K64,0),EQ$11&lt;=EOMONTH('Construction Budget'!$M64,0)),('Construction Budget'!$G64+SUM($G207:EP207))/ROUND(((EOMONTH('Construction Budget'!$M64,0)-EOMONTH(EQ$11,0))/30)+1,0),0)</f>
        <v>0</v>
      </c>
      <c r="ER207" s="427">
        <f>-IF(AND(ER$11&gt;=EOMONTH('Construction Budget'!$K64,0),ER$11&lt;=EOMONTH('Construction Budget'!$M64,0)),('Construction Budget'!$G64+SUM($G207:EQ207))/ROUND(((EOMONTH('Construction Budget'!$M64,0)-EOMONTH(ER$11,0))/30)+1,0),0)</f>
        <v>0</v>
      </c>
      <c r="ES207" s="427">
        <f>-IF(AND(ES$11&gt;=EOMONTH('Construction Budget'!$K64,0),ES$11&lt;=EOMONTH('Construction Budget'!$M64,0)),('Construction Budget'!$G64+SUM($G207:ER207))/ROUND(((EOMONTH('Construction Budget'!$M64,0)-EOMONTH(ES$11,0))/30)+1,0),0)</f>
        <v>0</v>
      </c>
      <c r="ET207" s="427">
        <f>-IF(AND(ET$11&gt;=EOMONTH('Construction Budget'!$K64,0),ET$11&lt;=EOMONTH('Construction Budget'!$M64,0)),('Construction Budget'!$G64+SUM($G207:ES207))/ROUND(((EOMONTH('Construction Budget'!$M64,0)-EOMONTH(ET$11,0))/30)+1,0),0)</f>
        <v>0</v>
      </c>
      <c r="EU207" s="427">
        <f>-IF(AND(EU$11&gt;=EOMONTH('Construction Budget'!$K64,0),EU$11&lt;=EOMONTH('Construction Budget'!$M64,0)),('Construction Budget'!$G64+SUM($G207:ET207))/ROUND(((EOMONTH('Construction Budget'!$M64,0)-EOMONTH(EU$11,0))/30)+1,0),0)</f>
        <v>0</v>
      </c>
      <c r="EV207" s="427">
        <f>-IF(AND(EV$11&gt;=EOMONTH('Construction Budget'!$K64,0),EV$11&lt;=EOMONTH('Construction Budget'!$M64,0)),('Construction Budget'!$G64+SUM($G207:EU207))/ROUND(((EOMONTH('Construction Budget'!$M64,0)-EOMONTH(EV$11,0))/30)+1,0),0)</f>
        <v>0</v>
      </c>
      <c r="EW207" s="427">
        <f>-IF(AND(EW$11&gt;=EOMONTH('Construction Budget'!$K64,0),EW$11&lt;=EOMONTH('Construction Budget'!$M64,0)),('Construction Budget'!$G64+SUM($G207:EV207))/ROUND(((EOMONTH('Construction Budget'!$M64,0)-EOMONTH(EW$11,0))/30)+1,0),0)</f>
        <v>0</v>
      </c>
      <c r="EX207" s="427">
        <f>-IF(AND(EX$11&gt;=EOMONTH('Construction Budget'!$K64,0),EX$11&lt;=EOMONTH('Construction Budget'!$M64,0)),('Construction Budget'!$G64+SUM($G207:EW207))/ROUND(((EOMONTH('Construction Budget'!$M64,0)-EOMONTH(EX$11,0))/30)+1,0),0)</f>
        <v>0</v>
      </c>
      <c r="EY207" s="427">
        <f>-IF(AND(EY$11&gt;=EOMONTH('Construction Budget'!$K64,0),EY$11&lt;=EOMONTH('Construction Budget'!$M64,0)),('Construction Budget'!$G64+SUM($G207:EX207))/ROUND(((EOMONTH('Construction Budget'!$M64,0)-EOMONTH(EY$11,0))/30)+1,0),0)</f>
        <v>0</v>
      </c>
      <c r="EZ207" s="427">
        <f>-IF(AND(EZ$11&gt;=EOMONTH('Construction Budget'!$K64,0),EZ$11&lt;=EOMONTH('Construction Budget'!$M64,0)),('Construction Budget'!$G64+SUM($G207:EY207))/ROUND(((EOMONTH('Construction Budget'!$M64,0)-EOMONTH(EZ$11,0))/30)+1,0),0)</f>
        <v>0</v>
      </c>
      <c r="FA207" s="427">
        <f>-IF(AND(FA$11&gt;=EOMONTH('Construction Budget'!$K64,0),FA$11&lt;=EOMONTH('Construction Budget'!$M64,0)),('Construction Budget'!$G64+SUM($G207:EZ207))/ROUND(((EOMONTH('Construction Budget'!$M64,0)-EOMONTH(FA$11,0))/30)+1,0),0)</f>
        <v>0</v>
      </c>
      <c r="FB207" s="427">
        <f>-IF(AND(FB$11&gt;=EOMONTH('Construction Budget'!$K64,0),FB$11&lt;=EOMONTH('Construction Budget'!$M64,0)),('Construction Budget'!$G64+SUM($G207:FA207))/ROUND(((EOMONTH('Construction Budget'!$M64,0)-EOMONTH(FB$11,0))/30)+1,0),0)</f>
        <v>0</v>
      </c>
      <c r="FC207" s="427">
        <f>-IF(AND(FC$11&gt;=EOMONTH('Construction Budget'!$K64,0),FC$11&lt;=EOMONTH('Construction Budget'!$M64,0)),('Construction Budget'!$G64+SUM($G207:FB207))/ROUND(((EOMONTH('Construction Budget'!$M64,0)-EOMONTH(FC$11,0))/30)+1,0),0)</f>
        <v>0</v>
      </c>
      <c r="FD207" s="427">
        <f>-IF(AND(FD$11&gt;=EOMONTH('Construction Budget'!$K64,0),FD$11&lt;=EOMONTH('Construction Budget'!$M64,0)),('Construction Budget'!$G64+SUM($G207:FC207))/ROUND(((EOMONTH('Construction Budget'!$M64,0)-EOMONTH(FD$11,0))/30)+1,0),0)</f>
        <v>0</v>
      </c>
      <c r="FE207" s="427">
        <f>-IF(AND(FE$11&gt;=EOMONTH('Construction Budget'!$K64,0),FE$11&lt;=EOMONTH('Construction Budget'!$M64,0)),('Construction Budget'!$G64+SUM($G207:FD207))/ROUND(((EOMONTH('Construction Budget'!$M64,0)-EOMONTH(FE$11,0))/30)+1,0),0)</f>
        <v>0</v>
      </c>
      <c r="FF207" s="427">
        <f>-IF(AND(FF$11&gt;=EOMONTH('Construction Budget'!$K64,0),FF$11&lt;=EOMONTH('Construction Budget'!$M64,0)),('Construction Budget'!$G64+SUM($G207:FE207))/ROUND(((EOMONTH('Construction Budget'!$M64,0)-EOMONTH(FF$11,0))/30)+1,0),0)</f>
        <v>0</v>
      </c>
      <c r="FG207" s="427">
        <f>-IF(AND(FG$11&gt;=EOMONTH('Construction Budget'!$K64,0),FG$11&lt;=EOMONTH('Construction Budget'!$M64,0)),('Construction Budget'!$G64+SUM($G207:FF207))/ROUND(((EOMONTH('Construction Budget'!$M64,0)-EOMONTH(FG$11,0))/30)+1,0),0)</f>
        <v>0</v>
      </c>
      <c r="FH207" s="427">
        <f>-IF(AND(FH$11&gt;=EOMONTH('Construction Budget'!$K64,0),FH$11&lt;=EOMONTH('Construction Budget'!$M64,0)),('Construction Budget'!$G64+SUM($G207:FG207))/ROUND(((EOMONTH('Construction Budget'!$M64,0)-EOMONTH(FH$11,0))/30)+1,0),0)</f>
        <v>0</v>
      </c>
      <c r="FI207" s="427">
        <f>-IF(AND(FI$11&gt;=EOMONTH('Construction Budget'!$K64,0),FI$11&lt;=EOMONTH('Construction Budget'!$M64,0)),('Construction Budget'!$G64+SUM($G207:FH207))/ROUND(((EOMONTH('Construction Budget'!$M64,0)-EOMONTH(FI$11,0))/30)+1,0),0)</f>
        <v>0</v>
      </c>
      <c r="FJ207" s="427">
        <f>-IF(AND(FJ$11&gt;=EOMONTH('Construction Budget'!$K64,0),FJ$11&lt;=EOMONTH('Construction Budget'!$M64,0)),('Construction Budget'!$G64+SUM($G207:FI207))/ROUND(((EOMONTH('Construction Budget'!$M64,0)-EOMONTH(FJ$11,0))/30)+1,0),0)</f>
        <v>0</v>
      </c>
      <c r="FK207" s="427">
        <f>-IF(AND(FK$11&gt;=EOMONTH('Construction Budget'!$K64,0),FK$11&lt;=EOMONTH('Construction Budget'!$M64,0)),('Construction Budget'!$G64+SUM($G207:FJ207))/ROUND(((EOMONTH('Construction Budget'!$M64,0)-EOMONTH(FK$11,0))/30)+1,0),0)</f>
        <v>0</v>
      </c>
      <c r="FL207" s="427">
        <f>-IF(AND(FL$11&gt;=EOMONTH('Construction Budget'!$K64,0),FL$11&lt;=EOMONTH('Construction Budget'!$M64,0)),('Construction Budget'!$G64+SUM($G207:FK207))/ROUND(((EOMONTH('Construction Budget'!$M64,0)-EOMONTH(FL$11,0))/30)+1,0),0)</f>
        <v>0</v>
      </c>
      <c r="FM207" s="427">
        <f>-IF(AND(FM$11&gt;=EOMONTH('Construction Budget'!$K64,0),FM$11&lt;=EOMONTH('Construction Budget'!$M64,0)),('Construction Budget'!$G64+SUM($G207:FL207))/ROUND(((EOMONTH('Construction Budget'!$M64,0)-EOMONTH(FM$11,0))/30)+1,0),0)</f>
        <v>0</v>
      </c>
      <c r="FN207" s="427">
        <f>-IF(AND(FN$11&gt;=EOMONTH('Construction Budget'!$K64,0),FN$11&lt;=EOMONTH('Construction Budget'!$M64,0)),('Construction Budget'!$G64+SUM($G207:FM207))/ROUND(((EOMONTH('Construction Budget'!$M64,0)-EOMONTH(FN$11,0))/30)+1,0),0)</f>
        <v>0</v>
      </c>
      <c r="FO207" s="427">
        <f>-IF(AND(FO$11&gt;=EOMONTH('Construction Budget'!$K64,0),FO$11&lt;=EOMONTH('Construction Budget'!$M64,0)),('Construction Budget'!$G64+SUM($G207:FN207))/ROUND(((EOMONTH('Construction Budget'!$M64,0)-EOMONTH(FO$11,0))/30)+1,0),0)</f>
        <v>0</v>
      </c>
      <c r="FP207" s="427">
        <f>-IF(AND(FP$11&gt;=EOMONTH('Construction Budget'!$K64,0),FP$11&lt;=EOMONTH('Construction Budget'!$M64,0)),('Construction Budget'!$G64+SUM($G207:FO207))/ROUND(((EOMONTH('Construction Budget'!$M64,0)-EOMONTH(FP$11,0))/30)+1,0),0)</f>
        <v>0</v>
      </c>
      <c r="FQ207" s="427">
        <f>-IF(AND(FQ$11&gt;=EOMONTH('Construction Budget'!$K64,0),FQ$11&lt;=EOMONTH('Construction Budget'!$M64,0)),('Construction Budget'!$G64+SUM($G207:FP207))/ROUND(((EOMONTH('Construction Budget'!$M64,0)-EOMONTH(FQ$11,0))/30)+1,0),0)</f>
        <v>0</v>
      </c>
      <c r="FR207" s="427">
        <f>-IF(AND(FR$11&gt;=EOMONTH('Construction Budget'!$K64,0),FR$11&lt;=EOMONTH('Construction Budget'!$M64,0)),('Construction Budget'!$G64+SUM($G207:FQ207))/ROUND(((EOMONTH('Construction Budget'!$M64,0)-EOMONTH(FR$11,0))/30)+1,0),0)</f>
        <v>0</v>
      </c>
      <c r="FS207" s="427">
        <f>-IF(AND(FS$11&gt;=EOMONTH('Construction Budget'!$K64,0),FS$11&lt;=EOMONTH('Construction Budget'!$M64,0)),('Construction Budget'!$G64+SUM($G207:FR207))/ROUND(((EOMONTH('Construction Budget'!$M64,0)-EOMONTH(FS$11,0))/30)+1,0),0)</f>
        <v>0</v>
      </c>
      <c r="FT207" s="427">
        <f>-IF(AND(FT$11&gt;=EOMONTH('Construction Budget'!$K64,0),FT$11&lt;=EOMONTH('Construction Budget'!$M64,0)),('Construction Budget'!$G64+SUM($G207:FS207))/ROUND(((EOMONTH('Construction Budget'!$M64,0)-EOMONTH(FT$11,0))/30)+1,0),0)</f>
        <v>0</v>
      </c>
      <c r="FU207" s="43"/>
      <c r="FV207" s="34"/>
      <c r="FW207" s="34"/>
      <c r="FX207" s="34"/>
      <c r="FY207" s="34"/>
      <c r="FZ207" s="34"/>
    </row>
    <row r="208" spans="1:182" s="89" customFormat="1" ht="13.5" hidden="1" outlineLevel="2" x14ac:dyDescent="0.25">
      <c r="A208" s="498"/>
      <c r="B208" s="43" t="str">
        <f>'Construction Budget'!B65</f>
        <v>Blank</v>
      </c>
      <c r="C208" s="34"/>
      <c r="D208" s="34"/>
      <c r="E208" s="34"/>
      <c r="F208" s="434">
        <f t="shared" si="236"/>
        <v>0</v>
      </c>
      <c r="G208" s="34"/>
      <c r="H208" s="427">
        <f>-IF(AND(H$11&gt;=EOMONTH('Construction Budget'!$K65,0),H$11&lt;=EOMONTH('Construction Budget'!$M65,0)),('Construction Budget'!$G65+SUM($G208:G208))/ROUND(((EOMONTH('Construction Budget'!$M65,0)-EOMONTH(H$11,0))/30)+1,0),0)</f>
        <v>0</v>
      </c>
      <c r="I208" s="427">
        <f>-IF(AND(I$11&gt;=EOMONTH('Construction Budget'!$K65,0),I$11&lt;=EOMONTH('Construction Budget'!$M65,0)),('Construction Budget'!$G65+SUM($G208:H208))/ROUND(((EOMONTH('Construction Budget'!$M65,0)-EOMONTH(I$11,0))/30)+1,0),0)</f>
        <v>0</v>
      </c>
      <c r="J208" s="427">
        <f>-IF(AND(J$11&gt;=EOMONTH('Construction Budget'!$K65,0),J$11&lt;=EOMONTH('Construction Budget'!$M65,0)),('Construction Budget'!$G65+SUM($G208:I208))/ROUND(((EOMONTH('Construction Budget'!$M65,0)-EOMONTH(J$11,0))/30)+1,0),0)</f>
        <v>0</v>
      </c>
      <c r="K208" s="427">
        <f>-IF(AND(K$11&gt;=EOMONTH('Construction Budget'!$K65,0),K$11&lt;=EOMONTH('Construction Budget'!$M65,0)),('Construction Budget'!$G65+SUM($G208:J208))/ROUND(((EOMONTH('Construction Budget'!$M65,0)-EOMONTH(K$11,0))/30)+1,0),0)</f>
        <v>0</v>
      </c>
      <c r="L208" s="427">
        <f>-IF(AND(L$11&gt;=EOMONTH('Construction Budget'!$K65,0),L$11&lt;=EOMONTH('Construction Budget'!$M65,0)),('Construction Budget'!$G65+SUM($G208:K208))/ROUND(((EOMONTH('Construction Budget'!$M65,0)-EOMONTH(L$11,0))/30)+1,0),0)</f>
        <v>0</v>
      </c>
      <c r="M208" s="427">
        <f>-IF(AND(M$11&gt;=EOMONTH('Construction Budget'!$K65,0),M$11&lt;=EOMONTH('Construction Budget'!$M65,0)),('Construction Budget'!$G65+SUM($G208:L208))/ROUND(((EOMONTH('Construction Budget'!$M65,0)-EOMONTH(M$11,0))/30)+1,0),0)</f>
        <v>0</v>
      </c>
      <c r="N208" s="427">
        <f>-IF(AND(N$11&gt;=EOMONTH('Construction Budget'!$K65,0),N$11&lt;=EOMONTH('Construction Budget'!$M65,0)),('Construction Budget'!$G65+SUM($G208:M208))/ROUND(((EOMONTH('Construction Budget'!$M65,0)-EOMONTH(N$11,0))/30)+1,0),0)</f>
        <v>0</v>
      </c>
      <c r="O208" s="427">
        <f>-IF(AND(O$11&gt;=EOMONTH('Construction Budget'!$K65,0),O$11&lt;=EOMONTH('Construction Budget'!$M65,0)),('Construction Budget'!$G65+SUM($G208:N208))/ROUND(((EOMONTH('Construction Budget'!$M65,0)-EOMONTH(O$11,0))/30)+1,0),0)</f>
        <v>0</v>
      </c>
      <c r="P208" s="427">
        <f>-IF(AND(P$11&gt;=EOMONTH('Construction Budget'!$K65,0),P$11&lt;=EOMONTH('Construction Budget'!$M65,0)),('Construction Budget'!$G65+SUM($G208:O208))/ROUND(((EOMONTH('Construction Budget'!$M65,0)-EOMONTH(P$11,0))/30)+1,0),0)</f>
        <v>0</v>
      </c>
      <c r="Q208" s="427">
        <f>-IF(AND(Q$11&gt;=EOMONTH('Construction Budget'!$K65,0),Q$11&lt;=EOMONTH('Construction Budget'!$M65,0)),('Construction Budget'!$G65+SUM($G208:P208))/ROUND(((EOMONTH('Construction Budget'!$M65,0)-EOMONTH(Q$11,0))/30)+1,0),0)</f>
        <v>0</v>
      </c>
      <c r="R208" s="427">
        <f>-IF(AND(R$11&gt;=EOMONTH('Construction Budget'!$K65,0),R$11&lt;=EOMONTH('Construction Budget'!$M65,0)),('Construction Budget'!$G65+SUM($G208:Q208))/ROUND(((EOMONTH('Construction Budget'!$M65,0)-EOMONTH(R$11,0))/30)+1,0),0)</f>
        <v>0</v>
      </c>
      <c r="S208" s="427">
        <f>-IF(AND(S$11&gt;=EOMONTH('Construction Budget'!$K65,0),S$11&lt;=EOMONTH('Construction Budget'!$M65,0)),('Construction Budget'!$G65+SUM($G208:R208))/ROUND(((EOMONTH('Construction Budget'!$M65,0)-EOMONTH(S$11,0))/30)+1,0),0)</f>
        <v>0</v>
      </c>
      <c r="T208" s="427">
        <f>-IF(AND(T$11&gt;=EOMONTH('Construction Budget'!$K65,0),T$11&lt;=EOMONTH('Construction Budget'!$M65,0)),('Construction Budget'!$G65+SUM($G208:S208))/ROUND(((EOMONTH('Construction Budget'!$M65,0)-EOMONTH(T$11,0))/30)+1,0),0)</f>
        <v>0</v>
      </c>
      <c r="U208" s="427">
        <f>-IF(AND(U$11&gt;=EOMONTH('Construction Budget'!$K65,0),U$11&lt;=EOMONTH('Construction Budget'!$M65,0)),('Construction Budget'!$G65+SUM($G208:T208))/ROUND(((EOMONTH('Construction Budget'!$M65,0)-EOMONTH(U$11,0))/30)+1,0),0)</f>
        <v>0</v>
      </c>
      <c r="V208" s="427">
        <f>-IF(AND(V$11&gt;=EOMONTH('Construction Budget'!$K65,0),V$11&lt;=EOMONTH('Construction Budget'!$M65,0)),('Construction Budget'!$G65+SUM($G208:U208))/ROUND(((EOMONTH('Construction Budget'!$M65,0)-EOMONTH(V$11,0))/30)+1,0),0)</f>
        <v>0</v>
      </c>
      <c r="W208" s="427">
        <f>-IF(AND(W$11&gt;=EOMONTH('Construction Budget'!$K65,0),W$11&lt;=EOMONTH('Construction Budget'!$M65,0)),('Construction Budget'!$G65+SUM($G208:V208))/ROUND(((EOMONTH('Construction Budget'!$M65,0)-EOMONTH(W$11,0))/30)+1,0),0)</f>
        <v>0</v>
      </c>
      <c r="X208" s="427">
        <f>-IF(AND(X$11&gt;=EOMONTH('Construction Budget'!$K65,0),X$11&lt;=EOMONTH('Construction Budget'!$M65,0)),('Construction Budget'!$G65+SUM($G208:W208))/ROUND(((EOMONTH('Construction Budget'!$M65,0)-EOMONTH(X$11,0))/30)+1,0),0)</f>
        <v>0</v>
      </c>
      <c r="Y208" s="427">
        <f>-IF(AND(Y$11&gt;=EOMONTH('Construction Budget'!$K65,0),Y$11&lt;=EOMONTH('Construction Budget'!$M65,0)),('Construction Budget'!$G65+SUM($G208:X208))/ROUND(((EOMONTH('Construction Budget'!$M65,0)-EOMONTH(Y$11,0))/30)+1,0),0)</f>
        <v>0</v>
      </c>
      <c r="Z208" s="427">
        <f>-IF(AND(Z$11&gt;=EOMONTH('Construction Budget'!$K65,0),Z$11&lt;=EOMONTH('Construction Budget'!$M65,0)),('Construction Budget'!$G65+SUM($G208:Y208))/ROUND(((EOMONTH('Construction Budget'!$M65,0)-EOMONTH(Z$11,0))/30)+1,0),0)</f>
        <v>0</v>
      </c>
      <c r="AA208" s="427">
        <f>-IF(AND(AA$11&gt;=EOMONTH('Construction Budget'!$K65,0),AA$11&lt;=EOMONTH('Construction Budget'!$M65,0)),('Construction Budget'!$G65+SUM($G208:Z208))/ROUND(((EOMONTH('Construction Budget'!$M65,0)-EOMONTH(AA$11,0))/30)+1,0),0)</f>
        <v>0</v>
      </c>
      <c r="AB208" s="427">
        <f>-IF(AND(AB$11&gt;=EOMONTH('Construction Budget'!$K65,0),AB$11&lt;=EOMONTH('Construction Budget'!$M65,0)),('Construction Budget'!$G65+SUM($G208:AA208))/ROUND(((EOMONTH('Construction Budget'!$M65,0)-EOMONTH(AB$11,0))/30)+1,0),0)</f>
        <v>0</v>
      </c>
      <c r="AC208" s="427">
        <f>-IF(AND(AC$11&gt;=EOMONTH('Construction Budget'!$K65,0),AC$11&lt;=EOMONTH('Construction Budget'!$M65,0)),('Construction Budget'!$G65+SUM($G208:AB208))/ROUND(((EOMONTH('Construction Budget'!$M65,0)-EOMONTH(AC$11,0))/30)+1,0),0)</f>
        <v>0</v>
      </c>
      <c r="AD208" s="427">
        <f>-IF(AND(AD$11&gt;=EOMONTH('Construction Budget'!$K65,0),AD$11&lt;=EOMONTH('Construction Budget'!$M65,0)),('Construction Budget'!$G65+SUM($G208:AC208))/ROUND(((EOMONTH('Construction Budget'!$M65,0)-EOMONTH(AD$11,0))/30)+1,0),0)</f>
        <v>0</v>
      </c>
      <c r="AE208" s="427">
        <f>-IF(AND(AE$11&gt;=EOMONTH('Construction Budget'!$K65,0),AE$11&lt;=EOMONTH('Construction Budget'!$M65,0)),('Construction Budget'!$G65+SUM($G208:AD208))/ROUND(((EOMONTH('Construction Budget'!$M65,0)-EOMONTH(AE$11,0))/30)+1,0),0)</f>
        <v>0</v>
      </c>
      <c r="AF208" s="427">
        <f>-IF(AND(AF$11&gt;=EOMONTH('Construction Budget'!$K65,0),AF$11&lt;=EOMONTH('Construction Budget'!$M65,0)),('Construction Budget'!$G65+SUM($G208:AE208))/ROUND(((EOMONTH('Construction Budget'!$M65,0)-EOMONTH(AF$11,0))/30)+1,0),0)</f>
        <v>0</v>
      </c>
      <c r="AG208" s="427">
        <f>-IF(AND(AG$11&gt;=EOMONTH('Construction Budget'!$K65,0),AG$11&lt;=EOMONTH('Construction Budget'!$M65,0)),('Construction Budget'!$G65+SUM($G208:AF208))/ROUND(((EOMONTH('Construction Budget'!$M65,0)-EOMONTH(AG$11,0))/30)+1,0),0)</f>
        <v>0</v>
      </c>
      <c r="AH208" s="427">
        <f>-IF(AND(AH$11&gt;=EOMONTH('Construction Budget'!$K65,0),AH$11&lt;=EOMONTH('Construction Budget'!$M65,0)),('Construction Budget'!$G65+SUM($G208:AG208))/ROUND(((EOMONTH('Construction Budget'!$M65,0)-EOMONTH(AH$11,0))/30)+1,0),0)</f>
        <v>0</v>
      </c>
      <c r="AI208" s="427">
        <f>-IF(AND(AI$11&gt;=EOMONTH('Construction Budget'!$K65,0),AI$11&lt;=EOMONTH('Construction Budget'!$M65,0)),('Construction Budget'!$G65+SUM($G208:AH208))/ROUND(((EOMONTH('Construction Budget'!$M65,0)-EOMONTH(AI$11,0))/30)+1,0),0)</f>
        <v>0</v>
      </c>
      <c r="AJ208" s="427">
        <f>-IF(AND(AJ$11&gt;=EOMONTH('Construction Budget'!$K65,0),AJ$11&lt;=EOMONTH('Construction Budget'!$M65,0)),('Construction Budget'!$G65+SUM($G208:AI208))/ROUND(((EOMONTH('Construction Budget'!$M65,0)-EOMONTH(AJ$11,0))/30)+1,0),0)</f>
        <v>0</v>
      </c>
      <c r="AK208" s="427">
        <f>-IF(AND(AK$11&gt;=EOMONTH('Construction Budget'!$K65,0),AK$11&lt;=EOMONTH('Construction Budget'!$M65,0)),('Construction Budget'!$G65+SUM($G208:AJ208))/ROUND(((EOMONTH('Construction Budget'!$M65,0)-EOMONTH(AK$11,0))/30)+1,0),0)</f>
        <v>0</v>
      </c>
      <c r="AL208" s="427">
        <f>-IF(AND(AL$11&gt;=EOMONTH('Construction Budget'!$K65,0),AL$11&lt;=EOMONTH('Construction Budget'!$M65,0)),('Construction Budget'!$G65+SUM($G208:AK208))/ROUND(((EOMONTH('Construction Budget'!$M65,0)-EOMONTH(AL$11,0))/30)+1,0),0)</f>
        <v>0</v>
      </c>
      <c r="AM208" s="427">
        <f>-IF(AND(AM$11&gt;=EOMONTH('Construction Budget'!$K65,0),AM$11&lt;=EOMONTH('Construction Budget'!$M65,0)),('Construction Budget'!$G65+SUM($G208:AL208))/ROUND(((EOMONTH('Construction Budget'!$M65,0)-EOMONTH(AM$11,0))/30)+1,0),0)</f>
        <v>0</v>
      </c>
      <c r="AN208" s="427">
        <f>-IF(AND(AN$11&gt;=EOMONTH('Construction Budget'!$K65,0),AN$11&lt;=EOMONTH('Construction Budget'!$M65,0)),('Construction Budget'!$G65+SUM($G208:AM208))/ROUND(((EOMONTH('Construction Budget'!$M65,0)-EOMONTH(AN$11,0))/30)+1,0),0)</f>
        <v>0</v>
      </c>
      <c r="AO208" s="427">
        <f>-IF(AND(AO$11&gt;=EOMONTH('Construction Budget'!$K65,0),AO$11&lt;=EOMONTH('Construction Budget'!$M65,0)),('Construction Budget'!$G65+SUM($G208:AN208))/ROUND(((EOMONTH('Construction Budget'!$M65,0)-EOMONTH(AO$11,0))/30)+1,0),0)</f>
        <v>0</v>
      </c>
      <c r="AP208" s="427">
        <f>-IF(AND(AP$11&gt;=EOMONTH('Construction Budget'!$K65,0),AP$11&lt;=EOMONTH('Construction Budget'!$M65,0)),('Construction Budget'!$G65+SUM($G208:AO208))/ROUND(((EOMONTH('Construction Budget'!$M65,0)-EOMONTH(AP$11,0))/30)+1,0),0)</f>
        <v>0</v>
      </c>
      <c r="AQ208" s="427">
        <f>-IF(AND(AQ$11&gt;=EOMONTH('Construction Budget'!$K65,0),AQ$11&lt;=EOMONTH('Construction Budget'!$M65,0)),('Construction Budget'!$G65+SUM($G208:AP208))/ROUND(((EOMONTH('Construction Budget'!$M65,0)-EOMONTH(AQ$11,0))/30)+1,0),0)</f>
        <v>0</v>
      </c>
      <c r="AR208" s="427">
        <f>-IF(AND(AR$11&gt;=EOMONTH('Construction Budget'!$K65,0),AR$11&lt;=EOMONTH('Construction Budget'!$M65,0)),('Construction Budget'!$G65+SUM($G208:AQ208))/ROUND(((EOMONTH('Construction Budget'!$M65,0)-EOMONTH(AR$11,0))/30)+1,0),0)</f>
        <v>0</v>
      </c>
      <c r="AS208" s="427">
        <f>-IF(AND(AS$11&gt;=EOMONTH('Construction Budget'!$K65,0),AS$11&lt;=EOMONTH('Construction Budget'!$M65,0)),('Construction Budget'!$G65+SUM($G208:AR208))/ROUND(((EOMONTH('Construction Budget'!$M65,0)-EOMONTH(AS$11,0))/30)+1,0),0)</f>
        <v>0</v>
      </c>
      <c r="AT208" s="427">
        <f>-IF(AND(AT$11&gt;=EOMONTH('Construction Budget'!$K65,0),AT$11&lt;=EOMONTH('Construction Budget'!$M65,0)),('Construction Budget'!$G65+SUM($G208:AS208))/ROUND(((EOMONTH('Construction Budget'!$M65,0)-EOMONTH(AT$11,0))/30)+1,0),0)</f>
        <v>0</v>
      </c>
      <c r="AU208" s="427">
        <f>-IF(AND(AU$11&gt;=EOMONTH('Construction Budget'!$K65,0),AU$11&lt;=EOMONTH('Construction Budget'!$M65,0)),('Construction Budget'!$G65+SUM($G208:AT208))/ROUND(((EOMONTH('Construction Budget'!$M65,0)-EOMONTH(AU$11,0))/30)+1,0),0)</f>
        <v>0</v>
      </c>
      <c r="AV208" s="427">
        <f>-IF(AND(AV$11&gt;=EOMONTH('Construction Budget'!$K65,0),AV$11&lt;=EOMONTH('Construction Budget'!$M65,0)),('Construction Budget'!$G65+SUM($G208:AU208))/ROUND(((EOMONTH('Construction Budget'!$M65,0)-EOMONTH(AV$11,0))/30)+1,0),0)</f>
        <v>0</v>
      </c>
      <c r="AW208" s="427">
        <f>-IF(AND(AW$11&gt;=EOMONTH('Construction Budget'!$K65,0),AW$11&lt;=EOMONTH('Construction Budget'!$M65,0)),('Construction Budget'!$G65+SUM($G208:AV208))/ROUND(((EOMONTH('Construction Budget'!$M65,0)-EOMONTH(AW$11,0))/30)+1,0),0)</f>
        <v>0</v>
      </c>
      <c r="AX208" s="427">
        <f>-IF(AND(AX$11&gt;=EOMONTH('Construction Budget'!$K65,0),AX$11&lt;=EOMONTH('Construction Budget'!$M65,0)),('Construction Budget'!$G65+SUM($G208:AW208))/ROUND(((EOMONTH('Construction Budget'!$M65,0)-EOMONTH(AX$11,0))/30)+1,0),0)</f>
        <v>0</v>
      </c>
      <c r="AY208" s="427">
        <f>-IF(AND(AY$11&gt;=EOMONTH('Construction Budget'!$K65,0),AY$11&lt;=EOMONTH('Construction Budget'!$M65,0)),('Construction Budget'!$G65+SUM($G208:AX208))/ROUND(((EOMONTH('Construction Budget'!$M65,0)-EOMONTH(AY$11,0))/30)+1,0),0)</f>
        <v>0</v>
      </c>
      <c r="AZ208" s="427">
        <f>-IF(AND(AZ$11&gt;=EOMONTH('Construction Budget'!$K65,0),AZ$11&lt;=EOMONTH('Construction Budget'!$M65,0)),('Construction Budget'!$G65+SUM($G208:AY208))/ROUND(((EOMONTH('Construction Budget'!$M65,0)-EOMONTH(AZ$11,0))/30)+1,0),0)</f>
        <v>0</v>
      </c>
      <c r="BA208" s="427">
        <f>-IF(AND(BA$11&gt;=EOMONTH('Construction Budget'!$K65,0),BA$11&lt;=EOMONTH('Construction Budget'!$M65,0)),('Construction Budget'!$G65+SUM($G208:AZ208))/ROUND(((EOMONTH('Construction Budget'!$M65,0)-EOMONTH(BA$11,0))/30)+1,0),0)</f>
        <v>0</v>
      </c>
      <c r="BB208" s="427">
        <f>-IF(AND(BB$11&gt;=EOMONTH('Construction Budget'!$K65,0),BB$11&lt;=EOMONTH('Construction Budget'!$M65,0)),('Construction Budget'!$G65+SUM($G208:BA208))/ROUND(((EOMONTH('Construction Budget'!$M65,0)-EOMONTH(BB$11,0))/30)+1,0),0)</f>
        <v>0</v>
      </c>
      <c r="BC208" s="427">
        <f>-IF(AND(BC$11&gt;=EOMONTH('Construction Budget'!$K65,0),BC$11&lt;=EOMONTH('Construction Budget'!$M65,0)),('Construction Budget'!$G65+SUM($G208:BB208))/ROUND(((EOMONTH('Construction Budget'!$M65,0)-EOMONTH(BC$11,0))/30)+1,0),0)</f>
        <v>0</v>
      </c>
      <c r="BD208" s="427">
        <f>-IF(AND(BD$11&gt;=EOMONTH('Construction Budget'!$K65,0),BD$11&lt;=EOMONTH('Construction Budget'!$M65,0)),('Construction Budget'!$G65+SUM($G208:BC208))/ROUND(((EOMONTH('Construction Budget'!$M65,0)-EOMONTH(BD$11,0))/30)+1,0),0)</f>
        <v>0</v>
      </c>
      <c r="BE208" s="427">
        <f>-IF(AND(BE$11&gt;=EOMONTH('Construction Budget'!$K65,0),BE$11&lt;=EOMONTH('Construction Budget'!$M65,0)),('Construction Budget'!$G65+SUM($G208:BD208))/ROUND(((EOMONTH('Construction Budget'!$M65,0)-EOMONTH(BE$11,0))/30)+1,0),0)</f>
        <v>0</v>
      </c>
      <c r="BF208" s="427">
        <f>-IF(AND(BF$11&gt;=EOMONTH('Construction Budget'!$K65,0),BF$11&lt;=EOMONTH('Construction Budget'!$M65,0)),('Construction Budget'!$G65+SUM($G208:BE208))/ROUND(((EOMONTH('Construction Budget'!$M65,0)-EOMONTH(BF$11,0))/30)+1,0),0)</f>
        <v>0</v>
      </c>
      <c r="BG208" s="427">
        <f>-IF(AND(BG$11&gt;=EOMONTH('Construction Budget'!$K65,0),BG$11&lt;=EOMONTH('Construction Budget'!$M65,0)),('Construction Budget'!$G65+SUM($G208:BF208))/ROUND(((EOMONTH('Construction Budget'!$M65,0)-EOMONTH(BG$11,0))/30)+1,0),0)</f>
        <v>0</v>
      </c>
      <c r="BH208" s="427">
        <f>-IF(AND(BH$11&gt;=EOMONTH('Construction Budget'!$K65,0),BH$11&lt;=EOMONTH('Construction Budget'!$M65,0)),('Construction Budget'!$G65+SUM($G208:BG208))/ROUND(((EOMONTH('Construction Budget'!$M65,0)-EOMONTH(BH$11,0))/30)+1,0),0)</f>
        <v>0</v>
      </c>
      <c r="BI208" s="427">
        <f>-IF(AND(BI$11&gt;=EOMONTH('Construction Budget'!$K65,0),BI$11&lt;=EOMONTH('Construction Budget'!$M65,0)),('Construction Budget'!$G65+SUM($G208:BH208))/ROUND(((EOMONTH('Construction Budget'!$M65,0)-EOMONTH(BI$11,0))/30)+1,0),0)</f>
        <v>0</v>
      </c>
      <c r="BJ208" s="427">
        <f>-IF(AND(BJ$11&gt;=EOMONTH('Construction Budget'!$K65,0),BJ$11&lt;=EOMONTH('Construction Budget'!$M65,0)),('Construction Budget'!$G65+SUM($G208:BI208))/ROUND(((EOMONTH('Construction Budget'!$M65,0)-EOMONTH(BJ$11,0))/30)+1,0),0)</f>
        <v>0</v>
      </c>
      <c r="BK208" s="427">
        <f>-IF(AND(BK$11&gt;=EOMONTH('Construction Budget'!$K65,0),BK$11&lt;=EOMONTH('Construction Budget'!$M65,0)),('Construction Budget'!$G65+SUM($G208:BJ208))/ROUND(((EOMONTH('Construction Budget'!$M65,0)-EOMONTH(BK$11,0))/30)+1,0),0)</f>
        <v>0</v>
      </c>
      <c r="BL208" s="427">
        <f>-IF(AND(BL$11&gt;=EOMONTH('Construction Budget'!$K65,0),BL$11&lt;=EOMONTH('Construction Budget'!$M65,0)),('Construction Budget'!$G65+SUM($G208:BK208))/ROUND(((EOMONTH('Construction Budget'!$M65,0)-EOMONTH(BL$11,0))/30)+1,0),0)</f>
        <v>0</v>
      </c>
      <c r="BM208" s="427">
        <f>-IF(AND(BM$11&gt;=EOMONTH('Construction Budget'!$K65,0),BM$11&lt;=EOMONTH('Construction Budget'!$M65,0)),('Construction Budget'!$G65+SUM($G208:BL208))/ROUND(((EOMONTH('Construction Budget'!$M65,0)-EOMONTH(BM$11,0))/30)+1,0),0)</f>
        <v>0</v>
      </c>
      <c r="BN208" s="427">
        <f>-IF(AND(BN$11&gt;=EOMONTH('Construction Budget'!$K65,0),BN$11&lt;=EOMONTH('Construction Budget'!$M65,0)),('Construction Budget'!$G65+SUM($G208:BM208))/ROUND(((EOMONTH('Construction Budget'!$M65,0)-EOMONTH(BN$11,0))/30)+1,0),0)</f>
        <v>0</v>
      </c>
      <c r="BO208" s="427">
        <f>-IF(AND(BO$11&gt;=EOMONTH('Construction Budget'!$K65,0),BO$11&lt;=EOMONTH('Construction Budget'!$M65,0)),('Construction Budget'!$G65+SUM($G208:BN208))/ROUND(((EOMONTH('Construction Budget'!$M65,0)-EOMONTH(BO$11,0))/30)+1,0),0)</f>
        <v>0</v>
      </c>
      <c r="BP208" s="427">
        <f>-IF(AND(BP$11&gt;=EOMONTH('Construction Budget'!$K65,0),BP$11&lt;=EOMONTH('Construction Budget'!$M65,0)),('Construction Budget'!$G65+SUM($G208:BO208))/ROUND(((EOMONTH('Construction Budget'!$M65,0)-EOMONTH(BP$11,0))/30)+1,0),0)</f>
        <v>0</v>
      </c>
      <c r="BQ208" s="427">
        <f>-IF(AND(BQ$11&gt;=EOMONTH('Construction Budget'!$K65,0),BQ$11&lt;=EOMONTH('Construction Budget'!$M65,0)),('Construction Budget'!$G65+SUM($G208:BP208))/ROUND(((EOMONTH('Construction Budget'!$M65,0)-EOMONTH(BQ$11,0))/30)+1,0),0)</f>
        <v>0</v>
      </c>
      <c r="BR208" s="427">
        <f>-IF(AND(BR$11&gt;=EOMONTH('Construction Budget'!$K65,0),BR$11&lt;=EOMONTH('Construction Budget'!$M65,0)),('Construction Budget'!$G65+SUM($G208:BQ208))/ROUND(((EOMONTH('Construction Budget'!$M65,0)-EOMONTH(BR$11,0))/30)+1,0),0)</f>
        <v>0</v>
      </c>
      <c r="BS208" s="427">
        <f>-IF(AND(BS$11&gt;=EOMONTH('Construction Budget'!$K65,0),BS$11&lt;=EOMONTH('Construction Budget'!$M65,0)),('Construction Budget'!$G65+SUM($G208:BR208))/ROUND(((EOMONTH('Construction Budget'!$M65,0)-EOMONTH(BS$11,0))/30)+1,0),0)</f>
        <v>0</v>
      </c>
      <c r="BT208" s="427">
        <f>-IF(AND(BT$11&gt;=EOMONTH('Construction Budget'!$K65,0),BT$11&lt;=EOMONTH('Construction Budget'!$M65,0)),('Construction Budget'!$G65+SUM($G208:BS208))/ROUND(((EOMONTH('Construction Budget'!$M65,0)-EOMONTH(BT$11,0))/30)+1,0),0)</f>
        <v>0</v>
      </c>
      <c r="BU208" s="427">
        <f>-IF(AND(BU$11&gt;=EOMONTH('Construction Budget'!$K65,0),BU$11&lt;=EOMONTH('Construction Budget'!$M65,0)),('Construction Budget'!$G65+SUM($G208:BT208))/ROUND(((EOMONTH('Construction Budget'!$M65,0)-EOMONTH(BU$11,0))/30)+1,0),0)</f>
        <v>0</v>
      </c>
      <c r="BV208" s="427">
        <f>-IF(AND(BV$11&gt;=EOMONTH('Construction Budget'!$K65,0),BV$11&lt;=EOMONTH('Construction Budget'!$M65,0)),('Construction Budget'!$G65+SUM($G208:BU208))/ROUND(((EOMONTH('Construction Budget'!$M65,0)-EOMONTH(BV$11,0))/30)+1,0),0)</f>
        <v>0</v>
      </c>
      <c r="BW208" s="427">
        <f>-IF(AND(BW$11&gt;=EOMONTH('Construction Budget'!$K65,0),BW$11&lt;=EOMONTH('Construction Budget'!$M65,0)),('Construction Budget'!$G65+SUM($G208:BV208))/ROUND(((EOMONTH('Construction Budget'!$M65,0)-EOMONTH(BW$11,0))/30)+1,0),0)</f>
        <v>0</v>
      </c>
      <c r="BX208" s="427">
        <f>-IF(AND(BX$11&gt;=EOMONTH('Construction Budget'!$K65,0),BX$11&lt;=EOMONTH('Construction Budget'!$M65,0)),('Construction Budget'!$G65+SUM($G208:BW208))/ROUND(((EOMONTH('Construction Budget'!$M65,0)-EOMONTH(BX$11,0))/30)+1,0),0)</f>
        <v>0</v>
      </c>
      <c r="BY208" s="427">
        <f>-IF(AND(BY$11&gt;=EOMONTH('Construction Budget'!$K65,0),BY$11&lt;=EOMONTH('Construction Budget'!$M65,0)),('Construction Budget'!$G65+SUM($G208:BX208))/ROUND(((EOMONTH('Construction Budget'!$M65,0)-EOMONTH(BY$11,0))/30)+1,0),0)</f>
        <v>0</v>
      </c>
      <c r="BZ208" s="427">
        <f>-IF(AND(BZ$11&gt;=EOMONTH('Construction Budget'!$K65,0),BZ$11&lt;=EOMONTH('Construction Budget'!$M65,0)),('Construction Budget'!$G65+SUM($G208:BY208))/ROUND(((EOMONTH('Construction Budget'!$M65,0)-EOMONTH(BZ$11,0))/30)+1,0),0)</f>
        <v>0</v>
      </c>
      <c r="CA208" s="427">
        <f>-IF(AND(CA$11&gt;=EOMONTH('Construction Budget'!$K65,0),CA$11&lt;=EOMONTH('Construction Budget'!$M65,0)),('Construction Budget'!$G65+SUM($G208:BZ208))/ROUND(((EOMONTH('Construction Budget'!$M65,0)-EOMONTH(CA$11,0))/30)+1,0),0)</f>
        <v>0</v>
      </c>
      <c r="CB208" s="427">
        <f>-IF(AND(CB$11&gt;=EOMONTH('Construction Budget'!$K65,0),CB$11&lt;=EOMONTH('Construction Budget'!$M65,0)),('Construction Budget'!$G65+SUM($G208:CA208))/ROUND(((EOMONTH('Construction Budget'!$M65,0)-EOMONTH(CB$11,0))/30)+1,0),0)</f>
        <v>0</v>
      </c>
      <c r="CC208" s="427">
        <f>-IF(AND(CC$11&gt;=EOMONTH('Construction Budget'!$K65,0),CC$11&lt;=EOMONTH('Construction Budget'!$M65,0)),('Construction Budget'!$G65+SUM($G208:CB208))/ROUND(((EOMONTH('Construction Budget'!$M65,0)-EOMONTH(CC$11,0))/30)+1,0),0)</f>
        <v>0</v>
      </c>
      <c r="CD208" s="427">
        <f>-IF(AND(CD$11&gt;=EOMONTH('Construction Budget'!$K65,0),CD$11&lt;=EOMONTH('Construction Budget'!$M65,0)),('Construction Budget'!$G65+SUM($G208:CC208))/ROUND(((EOMONTH('Construction Budget'!$M65,0)-EOMONTH(CD$11,0))/30)+1,0),0)</f>
        <v>0</v>
      </c>
      <c r="CE208" s="427">
        <f>-IF(AND(CE$11&gt;=EOMONTH('Construction Budget'!$K65,0),CE$11&lt;=EOMONTH('Construction Budget'!$M65,0)),('Construction Budget'!$G65+SUM($G208:CD208))/ROUND(((EOMONTH('Construction Budget'!$M65,0)-EOMONTH(CE$11,0))/30)+1,0),0)</f>
        <v>0</v>
      </c>
      <c r="CF208" s="427">
        <f>-IF(AND(CF$11&gt;=EOMONTH('Construction Budget'!$K65,0),CF$11&lt;=EOMONTH('Construction Budget'!$M65,0)),('Construction Budget'!$G65+SUM($G208:CE208))/ROUND(((EOMONTH('Construction Budget'!$M65,0)-EOMONTH(CF$11,0))/30)+1,0),0)</f>
        <v>0</v>
      </c>
      <c r="CG208" s="427">
        <f>-IF(AND(CG$11&gt;=EOMONTH('Construction Budget'!$K65,0),CG$11&lt;=EOMONTH('Construction Budget'!$M65,0)),('Construction Budget'!$G65+SUM($G208:CF208))/ROUND(((EOMONTH('Construction Budget'!$M65,0)-EOMONTH(CG$11,0))/30)+1,0),0)</f>
        <v>0</v>
      </c>
      <c r="CH208" s="427">
        <f>-IF(AND(CH$11&gt;=EOMONTH('Construction Budget'!$K65,0),CH$11&lt;=EOMONTH('Construction Budget'!$M65,0)),('Construction Budget'!$G65+SUM($G208:CG208))/ROUND(((EOMONTH('Construction Budget'!$M65,0)-EOMONTH(CH$11,0))/30)+1,0),0)</f>
        <v>0</v>
      </c>
      <c r="CI208" s="427">
        <f>-IF(AND(CI$11&gt;=EOMONTH('Construction Budget'!$K65,0),CI$11&lt;=EOMONTH('Construction Budget'!$M65,0)),('Construction Budget'!$G65+SUM($G208:CH208))/ROUND(((EOMONTH('Construction Budget'!$M65,0)-EOMONTH(CI$11,0))/30)+1,0),0)</f>
        <v>0</v>
      </c>
      <c r="CJ208" s="427">
        <f>-IF(AND(CJ$11&gt;=EOMONTH('Construction Budget'!$K65,0),CJ$11&lt;=EOMONTH('Construction Budget'!$M65,0)),('Construction Budget'!$G65+SUM($G208:CI208))/ROUND(((EOMONTH('Construction Budget'!$M65,0)-EOMONTH(CJ$11,0))/30)+1,0),0)</f>
        <v>0</v>
      </c>
      <c r="CK208" s="427">
        <f>-IF(AND(CK$11&gt;=EOMONTH('Construction Budget'!$K65,0),CK$11&lt;=EOMONTH('Construction Budget'!$M65,0)),('Construction Budget'!$G65+SUM($G208:CJ208))/ROUND(((EOMONTH('Construction Budget'!$M65,0)-EOMONTH(CK$11,0))/30)+1,0),0)</f>
        <v>0</v>
      </c>
      <c r="CL208" s="427">
        <f>-IF(AND(CL$11&gt;=EOMONTH('Construction Budget'!$K65,0),CL$11&lt;=EOMONTH('Construction Budget'!$M65,0)),('Construction Budget'!$G65+SUM($G208:CK208))/ROUND(((EOMONTH('Construction Budget'!$M65,0)-EOMONTH(CL$11,0))/30)+1,0),0)</f>
        <v>0</v>
      </c>
      <c r="CM208" s="427">
        <f>-IF(AND(CM$11&gt;=EOMONTH('Construction Budget'!$K65,0),CM$11&lt;=EOMONTH('Construction Budget'!$M65,0)),('Construction Budget'!$G65+SUM($G208:CL208))/ROUND(((EOMONTH('Construction Budget'!$M65,0)-EOMONTH(CM$11,0))/30)+1,0),0)</f>
        <v>0</v>
      </c>
      <c r="CN208" s="427">
        <f>-IF(AND(CN$11&gt;=EOMONTH('Construction Budget'!$K65,0),CN$11&lt;=EOMONTH('Construction Budget'!$M65,0)),('Construction Budget'!$G65+SUM($G208:CM208))/ROUND(((EOMONTH('Construction Budget'!$M65,0)-EOMONTH(CN$11,0))/30)+1,0),0)</f>
        <v>0</v>
      </c>
      <c r="CO208" s="427">
        <f>-IF(AND(CO$11&gt;=EOMONTH('Construction Budget'!$K65,0),CO$11&lt;=EOMONTH('Construction Budget'!$M65,0)),('Construction Budget'!$G65+SUM($G208:CN208))/ROUND(((EOMONTH('Construction Budget'!$M65,0)-EOMONTH(CO$11,0))/30)+1,0),0)</f>
        <v>0</v>
      </c>
      <c r="CP208" s="427">
        <f>-IF(AND(CP$11&gt;=EOMONTH('Construction Budget'!$K65,0),CP$11&lt;=EOMONTH('Construction Budget'!$M65,0)),('Construction Budget'!$G65+SUM($G208:CO208))/ROUND(((EOMONTH('Construction Budget'!$M65,0)-EOMONTH(CP$11,0))/30)+1,0),0)</f>
        <v>0</v>
      </c>
      <c r="CQ208" s="427">
        <f>-IF(AND(CQ$11&gt;=EOMONTH('Construction Budget'!$K65,0),CQ$11&lt;=EOMONTH('Construction Budget'!$M65,0)),('Construction Budget'!$G65+SUM($G208:CP208))/ROUND(((EOMONTH('Construction Budget'!$M65,0)-EOMONTH(CQ$11,0))/30)+1,0),0)</f>
        <v>0</v>
      </c>
      <c r="CR208" s="427">
        <f>-IF(AND(CR$11&gt;=EOMONTH('Construction Budget'!$K65,0),CR$11&lt;=EOMONTH('Construction Budget'!$M65,0)),('Construction Budget'!$G65+SUM($G208:CQ208))/ROUND(((EOMONTH('Construction Budget'!$M65,0)-EOMONTH(CR$11,0))/30)+1,0),0)</f>
        <v>0</v>
      </c>
      <c r="CS208" s="427">
        <f>-IF(AND(CS$11&gt;=EOMONTH('Construction Budget'!$K65,0),CS$11&lt;=EOMONTH('Construction Budget'!$M65,0)),('Construction Budget'!$G65+SUM($G208:CR208))/ROUND(((EOMONTH('Construction Budget'!$M65,0)-EOMONTH(CS$11,0))/30)+1,0),0)</f>
        <v>0</v>
      </c>
      <c r="CT208" s="427">
        <f>-IF(AND(CT$11&gt;=EOMONTH('Construction Budget'!$K65,0),CT$11&lt;=EOMONTH('Construction Budget'!$M65,0)),('Construction Budget'!$G65+SUM($G208:CS208))/ROUND(((EOMONTH('Construction Budget'!$M65,0)-EOMONTH(CT$11,0))/30)+1,0),0)</f>
        <v>0</v>
      </c>
      <c r="CU208" s="427">
        <f>-IF(AND(CU$11&gt;=EOMONTH('Construction Budget'!$K65,0),CU$11&lt;=EOMONTH('Construction Budget'!$M65,0)),('Construction Budget'!$G65+SUM($G208:CT208))/ROUND(((EOMONTH('Construction Budget'!$M65,0)-EOMONTH(CU$11,0))/30)+1,0),0)</f>
        <v>0</v>
      </c>
      <c r="CV208" s="427">
        <f>-IF(AND(CV$11&gt;=EOMONTH('Construction Budget'!$K65,0),CV$11&lt;=EOMONTH('Construction Budget'!$M65,0)),('Construction Budget'!$G65+SUM($G208:CU208))/ROUND(((EOMONTH('Construction Budget'!$M65,0)-EOMONTH(CV$11,0))/30)+1,0),0)</f>
        <v>0</v>
      </c>
      <c r="CW208" s="427">
        <f>-IF(AND(CW$11&gt;=EOMONTH('Construction Budget'!$K65,0),CW$11&lt;=EOMONTH('Construction Budget'!$M65,0)),('Construction Budget'!$G65+SUM($G208:CV208))/ROUND(((EOMONTH('Construction Budget'!$M65,0)-EOMONTH(CW$11,0))/30)+1,0),0)</f>
        <v>0</v>
      </c>
      <c r="CX208" s="427">
        <f>-IF(AND(CX$11&gt;=EOMONTH('Construction Budget'!$K65,0),CX$11&lt;=EOMONTH('Construction Budget'!$M65,0)),('Construction Budget'!$G65+SUM($G208:CW208))/ROUND(((EOMONTH('Construction Budget'!$M65,0)-EOMONTH(CX$11,0))/30)+1,0),0)</f>
        <v>0</v>
      </c>
      <c r="CY208" s="427">
        <f>-IF(AND(CY$11&gt;=EOMONTH('Construction Budget'!$K65,0),CY$11&lt;=EOMONTH('Construction Budget'!$M65,0)),('Construction Budget'!$G65+SUM($G208:CX208))/ROUND(((EOMONTH('Construction Budget'!$M65,0)-EOMONTH(CY$11,0))/30)+1,0),0)</f>
        <v>0</v>
      </c>
      <c r="CZ208" s="427">
        <f>-IF(AND(CZ$11&gt;=EOMONTH('Construction Budget'!$K65,0),CZ$11&lt;=EOMONTH('Construction Budget'!$M65,0)),('Construction Budget'!$G65+SUM($G208:CY208))/ROUND(((EOMONTH('Construction Budget'!$M65,0)-EOMONTH(CZ$11,0))/30)+1,0),0)</f>
        <v>0</v>
      </c>
      <c r="DA208" s="427">
        <f>-IF(AND(DA$11&gt;=EOMONTH('Construction Budget'!$K65,0),DA$11&lt;=EOMONTH('Construction Budget'!$M65,0)),('Construction Budget'!$G65+SUM($G208:CZ208))/ROUND(((EOMONTH('Construction Budget'!$M65,0)-EOMONTH(DA$11,0))/30)+1,0),0)</f>
        <v>0</v>
      </c>
      <c r="DB208" s="427">
        <f>-IF(AND(DB$11&gt;=EOMONTH('Construction Budget'!$K65,0),DB$11&lt;=EOMONTH('Construction Budget'!$M65,0)),('Construction Budget'!$G65+SUM($G208:DA208))/ROUND(((EOMONTH('Construction Budget'!$M65,0)-EOMONTH(DB$11,0))/30)+1,0),0)</f>
        <v>0</v>
      </c>
      <c r="DC208" s="427">
        <f>-IF(AND(DC$11&gt;=EOMONTH('Construction Budget'!$K65,0),DC$11&lt;=EOMONTH('Construction Budget'!$M65,0)),('Construction Budget'!$G65+SUM($G208:DB208))/ROUND(((EOMONTH('Construction Budget'!$M65,0)-EOMONTH(DC$11,0))/30)+1,0),0)</f>
        <v>0</v>
      </c>
      <c r="DD208" s="427">
        <f>-IF(AND(DD$11&gt;=EOMONTH('Construction Budget'!$K65,0),DD$11&lt;=EOMONTH('Construction Budget'!$M65,0)),('Construction Budget'!$G65+SUM($G208:DC208))/ROUND(((EOMONTH('Construction Budget'!$M65,0)-EOMONTH(DD$11,0))/30)+1,0),0)</f>
        <v>0</v>
      </c>
      <c r="DE208" s="427">
        <f>-IF(AND(DE$11&gt;=EOMONTH('Construction Budget'!$K65,0),DE$11&lt;=EOMONTH('Construction Budget'!$M65,0)),('Construction Budget'!$G65+SUM($G208:DD208))/ROUND(((EOMONTH('Construction Budget'!$M65,0)-EOMONTH(DE$11,0))/30)+1,0),0)</f>
        <v>0</v>
      </c>
      <c r="DF208" s="427">
        <f>-IF(AND(DF$11&gt;=EOMONTH('Construction Budget'!$K65,0),DF$11&lt;=EOMONTH('Construction Budget'!$M65,0)),('Construction Budget'!$G65+SUM($G208:DE208))/ROUND(((EOMONTH('Construction Budget'!$M65,0)-EOMONTH(DF$11,0))/30)+1,0),0)</f>
        <v>0</v>
      </c>
      <c r="DG208" s="427">
        <f>-IF(AND(DG$11&gt;=EOMONTH('Construction Budget'!$K65,0),DG$11&lt;=EOMONTH('Construction Budget'!$M65,0)),('Construction Budget'!$G65+SUM($G208:DF208))/ROUND(((EOMONTH('Construction Budget'!$M65,0)-EOMONTH(DG$11,0))/30)+1,0),0)</f>
        <v>0</v>
      </c>
      <c r="DH208" s="427">
        <f>-IF(AND(DH$11&gt;=EOMONTH('Construction Budget'!$K65,0),DH$11&lt;=EOMONTH('Construction Budget'!$M65,0)),('Construction Budget'!$G65+SUM($G208:DG208))/ROUND(((EOMONTH('Construction Budget'!$M65,0)-EOMONTH(DH$11,0))/30)+1,0),0)</f>
        <v>0</v>
      </c>
      <c r="DI208" s="427">
        <f>-IF(AND(DI$11&gt;=EOMONTH('Construction Budget'!$K65,0),DI$11&lt;=EOMONTH('Construction Budget'!$M65,0)),('Construction Budget'!$G65+SUM($G208:DH208))/ROUND(((EOMONTH('Construction Budget'!$M65,0)-EOMONTH(DI$11,0))/30)+1,0),0)</f>
        <v>0</v>
      </c>
      <c r="DJ208" s="427">
        <f>-IF(AND(DJ$11&gt;=EOMONTH('Construction Budget'!$K65,0),DJ$11&lt;=EOMONTH('Construction Budget'!$M65,0)),('Construction Budget'!$G65+SUM($G208:DI208))/ROUND(((EOMONTH('Construction Budget'!$M65,0)-EOMONTH(DJ$11,0))/30)+1,0),0)</f>
        <v>0</v>
      </c>
      <c r="DK208" s="427">
        <f>-IF(AND(DK$11&gt;=EOMONTH('Construction Budget'!$K65,0),DK$11&lt;=EOMONTH('Construction Budget'!$M65,0)),('Construction Budget'!$G65+SUM($G208:DJ208))/ROUND(((EOMONTH('Construction Budget'!$M65,0)-EOMONTH(DK$11,0))/30)+1,0),0)</f>
        <v>0</v>
      </c>
      <c r="DL208" s="427">
        <f>-IF(AND(DL$11&gt;=EOMONTH('Construction Budget'!$K65,0),DL$11&lt;=EOMONTH('Construction Budget'!$M65,0)),('Construction Budget'!$G65+SUM($G208:DK208))/ROUND(((EOMONTH('Construction Budget'!$M65,0)-EOMONTH(DL$11,0))/30)+1,0),0)</f>
        <v>0</v>
      </c>
      <c r="DM208" s="427">
        <f>-IF(AND(DM$11&gt;=EOMONTH('Construction Budget'!$K65,0),DM$11&lt;=EOMONTH('Construction Budget'!$M65,0)),('Construction Budget'!$G65+SUM($G208:DL208))/ROUND(((EOMONTH('Construction Budget'!$M65,0)-EOMONTH(DM$11,0))/30)+1,0),0)</f>
        <v>0</v>
      </c>
      <c r="DN208" s="427">
        <f>-IF(AND(DN$11&gt;=EOMONTH('Construction Budget'!$K65,0),DN$11&lt;=EOMONTH('Construction Budget'!$M65,0)),('Construction Budget'!$G65+SUM($G208:DM208))/ROUND(((EOMONTH('Construction Budget'!$M65,0)-EOMONTH(DN$11,0))/30)+1,0),0)</f>
        <v>0</v>
      </c>
      <c r="DO208" s="427">
        <f>-IF(AND(DO$11&gt;=EOMONTH('Construction Budget'!$K65,0),DO$11&lt;=EOMONTH('Construction Budget'!$M65,0)),('Construction Budget'!$G65+SUM($G208:DN208))/ROUND(((EOMONTH('Construction Budget'!$M65,0)-EOMONTH(DO$11,0))/30)+1,0),0)</f>
        <v>0</v>
      </c>
      <c r="DP208" s="427">
        <f>-IF(AND(DP$11&gt;=EOMONTH('Construction Budget'!$K65,0),DP$11&lt;=EOMONTH('Construction Budget'!$M65,0)),('Construction Budget'!$G65+SUM($G208:DO208))/ROUND(((EOMONTH('Construction Budget'!$M65,0)-EOMONTH(DP$11,0))/30)+1,0),0)</f>
        <v>0</v>
      </c>
      <c r="DQ208" s="427">
        <f>-IF(AND(DQ$11&gt;=EOMONTH('Construction Budget'!$K65,0),DQ$11&lt;=EOMONTH('Construction Budget'!$M65,0)),('Construction Budget'!$G65+SUM($G208:DP208))/ROUND(((EOMONTH('Construction Budget'!$M65,0)-EOMONTH(DQ$11,0))/30)+1,0),0)</f>
        <v>0</v>
      </c>
      <c r="DR208" s="427">
        <f>-IF(AND(DR$11&gt;=EOMONTH('Construction Budget'!$K65,0),DR$11&lt;=EOMONTH('Construction Budget'!$M65,0)),('Construction Budget'!$G65+SUM($G208:DQ208))/ROUND(((EOMONTH('Construction Budget'!$M65,0)-EOMONTH(DR$11,0))/30)+1,0),0)</f>
        <v>0</v>
      </c>
      <c r="DS208" s="427">
        <f>-IF(AND(DS$11&gt;=EOMONTH('Construction Budget'!$K65,0),DS$11&lt;=EOMONTH('Construction Budget'!$M65,0)),('Construction Budget'!$G65+SUM($G208:DR208))/ROUND(((EOMONTH('Construction Budget'!$M65,0)-EOMONTH(DS$11,0))/30)+1,0),0)</f>
        <v>0</v>
      </c>
      <c r="DT208" s="427">
        <f>-IF(AND(DT$11&gt;=EOMONTH('Construction Budget'!$K65,0),DT$11&lt;=EOMONTH('Construction Budget'!$M65,0)),('Construction Budget'!$G65+SUM($G208:DS208))/ROUND(((EOMONTH('Construction Budget'!$M65,0)-EOMONTH(DT$11,0))/30)+1,0),0)</f>
        <v>0</v>
      </c>
      <c r="DU208" s="427">
        <f>-IF(AND(DU$11&gt;=EOMONTH('Construction Budget'!$K65,0),DU$11&lt;=EOMONTH('Construction Budget'!$M65,0)),('Construction Budget'!$G65+SUM($G208:DT208))/ROUND(((EOMONTH('Construction Budget'!$M65,0)-EOMONTH(DU$11,0))/30)+1,0),0)</f>
        <v>0</v>
      </c>
      <c r="DV208" s="427">
        <f>-IF(AND(DV$11&gt;=EOMONTH('Construction Budget'!$K65,0),DV$11&lt;=EOMONTH('Construction Budget'!$M65,0)),('Construction Budget'!$G65+SUM($G208:DU208))/ROUND(((EOMONTH('Construction Budget'!$M65,0)-EOMONTH(DV$11,0))/30)+1,0),0)</f>
        <v>0</v>
      </c>
      <c r="DW208" s="427">
        <f>-IF(AND(DW$11&gt;=EOMONTH('Construction Budget'!$K65,0),DW$11&lt;=EOMONTH('Construction Budget'!$M65,0)),('Construction Budget'!$G65+SUM($G208:DV208))/ROUND(((EOMONTH('Construction Budget'!$M65,0)-EOMONTH(DW$11,0))/30)+1,0),0)</f>
        <v>0</v>
      </c>
      <c r="DX208" s="427">
        <f>-IF(AND(DX$11&gt;=EOMONTH('Construction Budget'!$K65,0),DX$11&lt;=EOMONTH('Construction Budget'!$M65,0)),('Construction Budget'!$G65+SUM($G208:DW208))/ROUND(((EOMONTH('Construction Budget'!$M65,0)-EOMONTH(DX$11,0))/30)+1,0),0)</f>
        <v>0</v>
      </c>
      <c r="DY208" s="427">
        <f>-IF(AND(DY$11&gt;=EOMONTH('Construction Budget'!$K65,0),DY$11&lt;=EOMONTH('Construction Budget'!$M65,0)),('Construction Budget'!$G65+SUM($G208:DX208))/ROUND(((EOMONTH('Construction Budget'!$M65,0)-EOMONTH(DY$11,0))/30)+1,0),0)</f>
        <v>0</v>
      </c>
      <c r="DZ208" s="427">
        <f>-IF(AND(DZ$11&gt;=EOMONTH('Construction Budget'!$K65,0),DZ$11&lt;=EOMONTH('Construction Budget'!$M65,0)),('Construction Budget'!$G65+SUM($G208:DY208))/ROUND(((EOMONTH('Construction Budget'!$M65,0)-EOMONTH(DZ$11,0))/30)+1,0),0)</f>
        <v>0</v>
      </c>
      <c r="EA208" s="427">
        <f>-IF(AND(EA$11&gt;=EOMONTH('Construction Budget'!$K65,0),EA$11&lt;=EOMONTH('Construction Budget'!$M65,0)),('Construction Budget'!$G65+SUM($G208:DZ208))/ROUND(((EOMONTH('Construction Budget'!$M65,0)-EOMONTH(EA$11,0))/30)+1,0),0)</f>
        <v>0</v>
      </c>
      <c r="EB208" s="427">
        <f>-IF(AND(EB$11&gt;=EOMONTH('Construction Budget'!$K65,0),EB$11&lt;=EOMONTH('Construction Budget'!$M65,0)),('Construction Budget'!$G65+SUM($G208:EA208))/ROUND(((EOMONTH('Construction Budget'!$M65,0)-EOMONTH(EB$11,0))/30)+1,0),0)</f>
        <v>0</v>
      </c>
      <c r="EC208" s="427">
        <f>-IF(AND(EC$11&gt;=EOMONTH('Construction Budget'!$K65,0),EC$11&lt;=EOMONTH('Construction Budget'!$M65,0)),('Construction Budget'!$G65+SUM($G208:EB208))/ROUND(((EOMONTH('Construction Budget'!$M65,0)-EOMONTH(EC$11,0))/30)+1,0),0)</f>
        <v>0</v>
      </c>
      <c r="ED208" s="427">
        <f>-IF(AND(ED$11&gt;=EOMONTH('Construction Budget'!$K65,0),ED$11&lt;=EOMONTH('Construction Budget'!$M65,0)),('Construction Budget'!$G65+SUM($G208:EC208))/ROUND(((EOMONTH('Construction Budget'!$M65,0)-EOMONTH(ED$11,0))/30)+1,0),0)</f>
        <v>0</v>
      </c>
      <c r="EE208" s="427">
        <f>-IF(AND(EE$11&gt;=EOMONTH('Construction Budget'!$K65,0),EE$11&lt;=EOMONTH('Construction Budget'!$M65,0)),('Construction Budget'!$G65+SUM($G208:ED208))/ROUND(((EOMONTH('Construction Budget'!$M65,0)-EOMONTH(EE$11,0))/30)+1,0),0)</f>
        <v>0</v>
      </c>
      <c r="EF208" s="427">
        <f>-IF(AND(EF$11&gt;=EOMONTH('Construction Budget'!$K65,0),EF$11&lt;=EOMONTH('Construction Budget'!$M65,0)),('Construction Budget'!$G65+SUM($G208:EE208))/ROUND(((EOMONTH('Construction Budget'!$M65,0)-EOMONTH(EF$11,0))/30)+1,0),0)</f>
        <v>0</v>
      </c>
      <c r="EG208" s="427">
        <f>-IF(AND(EG$11&gt;=EOMONTH('Construction Budget'!$K65,0),EG$11&lt;=EOMONTH('Construction Budget'!$M65,0)),('Construction Budget'!$G65+SUM($G208:EF208))/ROUND(((EOMONTH('Construction Budget'!$M65,0)-EOMONTH(EG$11,0))/30)+1,0),0)</f>
        <v>0</v>
      </c>
      <c r="EH208" s="427">
        <f>-IF(AND(EH$11&gt;=EOMONTH('Construction Budget'!$K65,0),EH$11&lt;=EOMONTH('Construction Budget'!$M65,0)),('Construction Budget'!$G65+SUM($G208:EG208))/ROUND(((EOMONTH('Construction Budget'!$M65,0)-EOMONTH(EH$11,0))/30)+1,0),0)</f>
        <v>0</v>
      </c>
      <c r="EI208" s="427">
        <f>-IF(AND(EI$11&gt;=EOMONTH('Construction Budget'!$K65,0),EI$11&lt;=EOMONTH('Construction Budget'!$M65,0)),('Construction Budget'!$G65+SUM($G208:EH208))/ROUND(((EOMONTH('Construction Budget'!$M65,0)-EOMONTH(EI$11,0))/30)+1,0),0)</f>
        <v>0</v>
      </c>
      <c r="EJ208" s="427">
        <f>-IF(AND(EJ$11&gt;=EOMONTH('Construction Budget'!$K65,0),EJ$11&lt;=EOMONTH('Construction Budget'!$M65,0)),('Construction Budget'!$G65+SUM($G208:EI208))/ROUND(((EOMONTH('Construction Budget'!$M65,0)-EOMONTH(EJ$11,0))/30)+1,0),0)</f>
        <v>0</v>
      </c>
      <c r="EK208" s="427">
        <f>-IF(AND(EK$11&gt;=EOMONTH('Construction Budget'!$K65,0),EK$11&lt;=EOMONTH('Construction Budget'!$M65,0)),('Construction Budget'!$G65+SUM($G208:EJ208))/ROUND(((EOMONTH('Construction Budget'!$M65,0)-EOMONTH(EK$11,0))/30)+1,0),0)</f>
        <v>0</v>
      </c>
      <c r="EL208" s="427">
        <f>-IF(AND(EL$11&gt;=EOMONTH('Construction Budget'!$K65,0),EL$11&lt;=EOMONTH('Construction Budget'!$M65,0)),('Construction Budget'!$G65+SUM($G208:EK208))/ROUND(((EOMONTH('Construction Budget'!$M65,0)-EOMONTH(EL$11,0))/30)+1,0),0)</f>
        <v>0</v>
      </c>
      <c r="EM208" s="427">
        <f>-IF(AND(EM$11&gt;=EOMONTH('Construction Budget'!$K65,0),EM$11&lt;=EOMONTH('Construction Budget'!$M65,0)),('Construction Budget'!$G65+SUM($G208:EL208))/ROUND(((EOMONTH('Construction Budget'!$M65,0)-EOMONTH(EM$11,0))/30)+1,0),0)</f>
        <v>0</v>
      </c>
      <c r="EN208" s="427">
        <f>-IF(AND(EN$11&gt;=EOMONTH('Construction Budget'!$K65,0),EN$11&lt;=EOMONTH('Construction Budget'!$M65,0)),('Construction Budget'!$G65+SUM($G208:EM208))/ROUND(((EOMONTH('Construction Budget'!$M65,0)-EOMONTH(EN$11,0))/30)+1,0),0)</f>
        <v>0</v>
      </c>
      <c r="EO208" s="427">
        <f>-IF(AND(EO$11&gt;=EOMONTH('Construction Budget'!$K65,0),EO$11&lt;=EOMONTH('Construction Budget'!$M65,0)),('Construction Budget'!$G65+SUM($G208:EN208))/ROUND(((EOMONTH('Construction Budget'!$M65,0)-EOMONTH(EO$11,0))/30)+1,0),0)</f>
        <v>0</v>
      </c>
      <c r="EP208" s="427">
        <f>-IF(AND(EP$11&gt;=EOMONTH('Construction Budget'!$K65,0),EP$11&lt;=EOMONTH('Construction Budget'!$M65,0)),('Construction Budget'!$G65+SUM($G208:EO208))/ROUND(((EOMONTH('Construction Budget'!$M65,0)-EOMONTH(EP$11,0))/30)+1,0),0)</f>
        <v>0</v>
      </c>
      <c r="EQ208" s="427">
        <f>-IF(AND(EQ$11&gt;=EOMONTH('Construction Budget'!$K65,0),EQ$11&lt;=EOMONTH('Construction Budget'!$M65,0)),('Construction Budget'!$G65+SUM($G208:EP208))/ROUND(((EOMONTH('Construction Budget'!$M65,0)-EOMONTH(EQ$11,0))/30)+1,0),0)</f>
        <v>0</v>
      </c>
      <c r="ER208" s="427">
        <f>-IF(AND(ER$11&gt;=EOMONTH('Construction Budget'!$K65,0),ER$11&lt;=EOMONTH('Construction Budget'!$M65,0)),('Construction Budget'!$G65+SUM($G208:EQ208))/ROUND(((EOMONTH('Construction Budget'!$M65,0)-EOMONTH(ER$11,0))/30)+1,0),0)</f>
        <v>0</v>
      </c>
      <c r="ES208" s="427">
        <f>-IF(AND(ES$11&gt;=EOMONTH('Construction Budget'!$K65,0),ES$11&lt;=EOMONTH('Construction Budget'!$M65,0)),('Construction Budget'!$G65+SUM($G208:ER208))/ROUND(((EOMONTH('Construction Budget'!$M65,0)-EOMONTH(ES$11,0))/30)+1,0),0)</f>
        <v>0</v>
      </c>
      <c r="ET208" s="427">
        <f>-IF(AND(ET$11&gt;=EOMONTH('Construction Budget'!$K65,0),ET$11&lt;=EOMONTH('Construction Budget'!$M65,0)),('Construction Budget'!$G65+SUM($G208:ES208))/ROUND(((EOMONTH('Construction Budget'!$M65,0)-EOMONTH(ET$11,0))/30)+1,0),0)</f>
        <v>0</v>
      </c>
      <c r="EU208" s="427">
        <f>-IF(AND(EU$11&gt;=EOMONTH('Construction Budget'!$K65,0),EU$11&lt;=EOMONTH('Construction Budget'!$M65,0)),('Construction Budget'!$G65+SUM($G208:ET208))/ROUND(((EOMONTH('Construction Budget'!$M65,0)-EOMONTH(EU$11,0))/30)+1,0),0)</f>
        <v>0</v>
      </c>
      <c r="EV208" s="427">
        <f>-IF(AND(EV$11&gt;=EOMONTH('Construction Budget'!$K65,0),EV$11&lt;=EOMONTH('Construction Budget'!$M65,0)),('Construction Budget'!$G65+SUM($G208:EU208))/ROUND(((EOMONTH('Construction Budget'!$M65,0)-EOMONTH(EV$11,0))/30)+1,0),0)</f>
        <v>0</v>
      </c>
      <c r="EW208" s="427">
        <f>-IF(AND(EW$11&gt;=EOMONTH('Construction Budget'!$K65,0),EW$11&lt;=EOMONTH('Construction Budget'!$M65,0)),('Construction Budget'!$G65+SUM($G208:EV208))/ROUND(((EOMONTH('Construction Budget'!$M65,0)-EOMONTH(EW$11,0))/30)+1,0),0)</f>
        <v>0</v>
      </c>
      <c r="EX208" s="427">
        <f>-IF(AND(EX$11&gt;=EOMONTH('Construction Budget'!$K65,0),EX$11&lt;=EOMONTH('Construction Budget'!$M65,0)),('Construction Budget'!$G65+SUM($G208:EW208))/ROUND(((EOMONTH('Construction Budget'!$M65,0)-EOMONTH(EX$11,0))/30)+1,0),0)</f>
        <v>0</v>
      </c>
      <c r="EY208" s="427">
        <f>-IF(AND(EY$11&gt;=EOMONTH('Construction Budget'!$K65,0),EY$11&lt;=EOMONTH('Construction Budget'!$M65,0)),('Construction Budget'!$G65+SUM($G208:EX208))/ROUND(((EOMONTH('Construction Budget'!$M65,0)-EOMONTH(EY$11,0))/30)+1,0),0)</f>
        <v>0</v>
      </c>
      <c r="EZ208" s="427">
        <f>-IF(AND(EZ$11&gt;=EOMONTH('Construction Budget'!$K65,0),EZ$11&lt;=EOMONTH('Construction Budget'!$M65,0)),('Construction Budget'!$G65+SUM($G208:EY208))/ROUND(((EOMONTH('Construction Budget'!$M65,0)-EOMONTH(EZ$11,0))/30)+1,0),0)</f>
        <v>0</v>
      </c>
      <c r="FA208" s="427">
        <f>-IF(AND(FA$11&gt;=EOMONTH('Construction Budget'!$K65,0),FA$11&lt;=EOMONTH('Construction Budget'!$M65,0)),('Construction Budget'!$G65+SUM($G208:EZ208))/ROUND(((EOMONTH('Construction Budget'!$M65,0)-EOMONTH(FA$11,0))/30)+1,0),0)</f>
        <v>0</v>
      </c>
      <c r="FB208" s="427">
        <f>-IF(AND(FB$11&gt;=EOMONTH('Construction Budget'!$K65,0),FB$11&lt;=EOMONTH('Construction Budget'!$M65,0)),('Construction Budget'!$G65+SUM($G208:FA208))/ROUND(((EOMONTH('Construction Budget'!$M65,0)-EOMONTH(FB$11,0))/30)+1,0),0)</f>
        <v>0</v>
      </c>
      <c r="FC208" s="427">
        <f>-IF(AND(FC$11&gt;=EOMONTH('Construction Budget'!$K65,0),FC$11&lt;=EOMONTH('Construction Budget'!$M65,0)),('Construction Budget'!$G65+SUM($G208:FB208))/ROUND(((EOMONTH('Construction Budget'!$M65,0)-EOMONTH(FC$11,0))/30)+1,0),0)</f>
        <v>0</v>
      </c>
      <c r="FD208" s="427">
        <f>-IF(AND(FD$11&gt;=EOMONTH('Construction Budget'!$K65,0),FD$11&lt;=EOMONTH('Construction Budget'!$M65,0)),('Construction Budget'!$G65+SUM($G208:FC208))/ROUND(((EOMONTH('Construction Budget'!$M65,0)-EOMONTH(FD$11,0))/30)+1,0),0)</f>
        <v>0</v>
      </c>
      <c r="FE208" s="427">
        <f>-IF(AND(FE$11&gt;=EOMONTH('Construction Budget'!$K65,0),FE$11&lt;=EOMONTH('Construction Budget'!$M65,0)),('Construction Budget'!$G65+SUM($G208:FD208))/ROUND(((EOMONTH('Construction Budget'!$M65,0)-EOMONTH(FE$11,0))/30)+1,0),0)</f>
        <v>0</v>
      </c>
      <c r="FF208" s="427">
        <f>-IF(AND(FF$11&gt;=EOMONTH('Construction Budget'!$K65,0),FF$11&lt;=EOMONTH('Construction Budget'!$M65,0)),('Construction Budget'!$G65+SUM($G208:FE208))/ROUND(((EOMONTH('Construction Budget'!$M65,0)-EOMONTH(FF$11,0))/30)+1,0),0)</f>
        <v>0</v>
      </c>
      <c r="FG208" s="427">
        <f>-IF(AND(FG$11&gt;=EOMONTH('Construction Budget'!$K65,0),FG$11&lt;=EOMONTH('Construction Budget'!$M65,0)),('Construction Budget'!$G65+SUM($G208:FF208))/ROUND(((EOMONTH('Construction Budget'!$M65,0)-EOMONTH(FG$11,0))/30)+1,0),0)</f>
        <v>0</v>
      </c>
      <c r="FH208" s="427">
        <f>-IF(AND(FH$11&gt;=EOMONTH('Construction Budget'!$K65,0),FH$11&lt;=EOMONTH('Construction Budget'!$M65,0)),('Construction Budget'!$G65+SUM($G208:FG208))/ROUND(((EOMONTH('Construction Budget'!$M65,0)-EOMONTH(FH$11,0))/30)+1,0),0)</f>
        <v>0</v>
      </c>
      <c r="FI208" s="427">
        <f>-IF(AND(FI$11&gt;=EOMONTH('Construction Budget'!$K65,0),FI$11&lt;=EOMONTH('Construction Budget'!$M65,0)),('Construction Budget'!$G65+SUM($G208:FH208))/ROUND(((EOMONTH('Construction Budget'!$M65,0)-EOMONTH(FI$11,0))/30)+1,0),0)</f>
        <v>0</v>
      </c>
      <c r="FJ208" s="427">
        <f>-IF(AND(FJ$11&gt;=EOMONTH('Construction Budget'!$K65,0),FJ$11&lt;=EOMONTH('Construction Budget'!$M65,0)),('Construction Budget'!$G65+SUM($G208:FI208))/ROUND(((EOMONTH('Construction Budget'!$M65,0)-EOMONTH(FJ$11,0))/30)+1,0),0)</f>
        <v>0</v>
      </c>
      <c r="FK208" s="427">
        <f>-IF(AND(FK$11&gt;=EOMONTH('Construction Budget'!$K65,0),FK$11&lt;=EOMONTH('Construction Budget'!$M65,0)),('Construction Budget'!$G65+SUM($G208:FJ208))/ROUND(((EOMONTH('Construction Budget'!$M65,0)-EOMONTH(FK$11,0))/30)+1,0),0)</f>
        <v>0</v>
      </c>
      <c r="FL208" s="427">
        <f>-IF(AND(FL$11&gt;=EOMONTH('Construction Budget'!$K65,0),FL$11&lt;=EOMONTH('Construction Budget'!$M65,0)),('Construction Budget'!$G65+SUM($G208:FK208))/ROUND(((EOMONTH('Construction Budget'!$M65,0)-EOMONTH(FL$11,0))/30)+1,0),0)</f>
        <v>0</v>
      </c>
      <c r="FM208" s="427">
        <f>-IF(AND(FM$11&gt;=EOMONTH('Construction Budget'!$K65,0),FM$11&lt;=EOMONTH('Construction Budget'!$M65,0)),('Construction Budget'!$G65+SUM($G208:FL208))/ROUND(((EOMONTH('Construction Budget'!$M65,0)-EOMONTH(FM$11,0))/30)+1,0),0)</f>
        <v>0</v>
      </c>
      <c r="FN208" s="427">
        <f>-IF(AND(FN$11&gt;=EOMONTH('Construction Budget'!$K65,0),FN$11&lt;=EOMONTH('Construction Budget'!$M65,0)),('Construction Budget'!$G65+SUM($G208:FM208))/ROUND(((EOMONTH('Construction Budget'!$M65,0)-EOMONTH(FN$11,0))/30)+1,0),0)</f>
        <v>0</v>
      </c>
      <c r="FO208" s="427">
        <f>-IF(AND(FO$11&gt;=EOMONTH('Construction Budget'!$K65,0),FO$11&lt;=EOMONTH('Construction Budget'!$M65,0)),('Construction Budget'!$G65+SUM($G208:FN208))/ROUND(((EOMONTH('Construction Budget'!$M65,0)-EOMONTH(FO$11,0))/30)+1,0),0)</f>
        <v>0</v>
      </c>
      <c r="FP208" s="427">
        <f>-IF(AND(FP$11&gt;=EOMONTH('Construction Budget'!$K65,0),FP$11&lt;=EOMONTH('Construction Budget'!$M65,0)),('Construction Budget'!$G65+SUM($G208:FO208))/ROUND(((EOMONTH('Construction Budget'!$M65,0)-EOMONTH(FP$11,0))/30)+1,0),0)</f>
        <v>0</v>
      </c>
      <c r="FQ208" s="427">
        <f>-IF(AND(FQ$11&gt;=EOMONTH('Construction Budget'!$K65,0),FQ$11&lt;=EOMONTH('Construction Budget'!$M65,0)),('Construction Budget'!$G65+SUM($G208:FP208))/ROUND(((EOMONTH('Construction Budget'!$M65,0)-EOMONTH(FQ$11,0))/30)+1,0),0)</f>
        <v>0</v>
      </c>
      <c r="FR208" s="427">
        <f>-IF(AND(FR$11&gt;=EOMONTH('Construction Budget'!$K65,0),FR$11&lt;=EOMONTH('Construction Budget'!$M65,0)),('Construction Budget'!$G65+SUM($G208:FQ208))/ROUND(((EOMONTH('Construction Budget'!$M65,0)-EOMONTH(FR$11,0))/30)+1,0),0)</f>
        <v>0</v>
      </c>
      <c r="FS208" s="427">
        <f>-IF(AND(FS$11&gt;=EOMONTH('Construction Budget'!$K65,0),FS$11&lt;=EOMONTH('Construction Budget'!$M65,0)),('Construction Budget'!$G65+SUM($G208:FR208))/ROUND(((EOMONTH('Construction Budget'!$M65,0)-EOMONTH(FS$11,0))/30)+1,0),0)</f>
        <v>0</v>
      </c>
      <c r="FT208" s="427">
        <f>-IF(AND(FT$11&gt;=EOMONTH('Construction Budget'!$K65,0),FT$11&lt;=EOMONTH('Construction Budget'!$M65,0)),('Construction Budget'!$G65+SUM($G208:FS208))/ROUND(((EOMONTH('Construction Budget'!$M65,0)-EOMONTH(FT$11,0))/30)+1,0),0)</f>
        <v>0</v>
      </c>
      <c r="FU208" s="43"/>
      <c r="FV208" s="34"/>
      <c r="FW208" s="34"/>
      <c r="FX208" s="34"/>
      <c r="FY208" s="34"/>
      <c r="FZ208" s="34"/>
    </row>
    <row r="209" spans="1:182" s="89" customFormat="1" ht="13.5" hidden="1" outlineLevel="2" x14ac:dyDescent="0.25">
      <c r="A209" s="498"/>
      <c r="B209" s="43" t="str">
        <f>'Construction Budget'!B66</f>
        <v>Blank</v>
      </c>
      <c r="C209" s="34"/>
      <c r="D209" s="34"/>
      <c r="E209" s="34"/>
      <c r="F209" s="434">
        <f t="shared" si="236"/>
        <v>0</v>
      </c>
      <c r="G209" s="34"/>
      <c r="H209" s="427">
        <f>-IF(AND(H$11&gt;=EOMONTH('Construction Budget'!$K66,0),H$11&lt;=EOMONTH('Construction Budget'!$M66,0)),('Construction Budget'!$G66+SUM($G209:G209))/ROUND(((EOMONTH('Construction Budget'!$M66,0)-EOMONTH(H$11,0))/30)+1,0),0)</f>
        <v>0</v>
      </c>
      <c r="I209" s="427">
        <f>-IF(AND(I$11&gt;=EOMONTH('Construction Budget'!$K66,0),I$11&lt;=EOMONTH('Construction Budget'!$M66,0)),('Construction Budget'!$G66+SUM($G209:H209))/ROUND(((EOMONTH('Construction Budget'!$M66,0)-EOMONTH(I$11,0))/30)+1,0),0)</f>
        <v>0</v>
      </c>
      <c r="J209" s="427">
        <f>-IF(AND(J$11&gt;=EOMONTH('Construction Budget'!$K66,0),J$11&lt;=EOMONTH('Construction Budget'!$M66,0)),('Construction Budget'!$G66+SUM($G209:I209))/ROUND(((EOMONTH('Construction Budget'!$M66,0)-EOMONTH(J$11,0))/30)+1,0),0)</f>
        <v>0</v>
      </c>
      <c r="K209" s="427">
        <f>-IF(AND(K$11&gt;=EOMONTH('Construction Budget'!$K66,0),K$11&lt;=EOMONTH('Construction Budget'!$M66,0)),('Construction Budget'!$G66+SUM($G209:J209))/ROUND(((EOMONTH('Construction Budget'!$M66,0)-EOMONTH(K$11,0))/30)+1,0),0)</f>
        <v>0</v>
      </c>
      <c r="L209" s="427">
        <f>-IF(AND(L$11&gt;=EOMONTH('Construction Budget'!$K66,0),L$11&lt;=EOMONTH('Construction Budget'!$M66,0)),('Construction Budget'!$G66+SUM($G209:K209))/ROUND(((EOMONTH('Construction Budget'!$M66,0)-EOMONTH(L$11,0))/30)+1,0),0)</f>
        <v>0</v>
      </c>
      <c r="M209" s="427">
        <f>-IF(AND(M$11&gt;=EOMONTH('Construction Budget'!$K66,0),M$11&lt;=EOMONTH('Construction Budget'!$M66,0)),('Construction Budget'!$G66+SUM($G209:L209))/ROUND(((EOMONTH('Construction Budget'!$M66,0)-EOMONTH(M$11,0))/30)+1,0),0)</f>
        <v>0</v>
      </c>
      <c r="N209" s="427">
        <f>-IF(AND(N$11&gt;=EOMONTH('Construction Budget'!$K66,0),N$11&lt;=EOMONTH('Construction Budget'!$M66,0)),('Construction Budget'!$G66+SUM($G209:M209))/ROUND(((EOMONTH('Construction Budget'!$M66,0)-EOMONTH(N$11,0))/30)+1,0),0)</f>
        <v>0</v>
      </c>
      <c r="O209" s="427">
        <f>-IF(AND(O$11&gt;=EOMONTH('Construction Budget'!$K66,0),O$11&lt;=EOMONTH('Construction Budget'!$M66,0)),('Construction Budget'!$G66+SUM($G209:N209))/ROUND(((EOMONTH('Construction Budget'!$M66,0)-EOMONTH(O$11,0))/30)+1,0),0)</f>
        <v>0</v>
      </c>
      <c r="P209" s="427">
        <f>-IF(AND(P$11&gt;=EOMONTH('Construction Budget'!$K66,0),P$11&lt;=EOMONTH('Construction Budget'!$M66,0)),('Construction Budget'!$G66+SUM($G209:O209))/ROUND(((EOMONTH('Construction Budget'!$M66,0)-EOMONTH(P$11,0))/30)+1,0),0)</f>
        <v>0</v>
      </c>
      <c r="Q209" s="427">
        <f>-IF(AND(Q$11&gt;=EOMONTH('Construction Budget'!$K66,0),Q$11&lt;=EOMONTH('Construction Budget'!$M66,0)),('Construction Budget'!$G66+SUM($G209:P209))/ROUND(((EOMONTH('Construction Budget'!$M66,0)-EOMONTH(Q$11,0))/30)+1,0),0)</f>
        <v>0</v>
      </c>
      <c r="R209" s="427">
        <f>-IF(AND(R$11&gt;=EOMONTH('Construction Budget'!$K66,0),R$11&lt;=EOMONTH('Construction Budget'!$M66,0)),('Construction Budget'!$G66+SUM($G209:Q209))/ROUND(((EOMONTH('Construction Budget'!$M66,0)-EOMONTH(R$11,0))/30)+1,0),0)</f>
        <v>0</v>
      </c>
      <c r="S209" s="427">
        <f>-IF(AND(S$11&gt;=EOMONTH('Construction Budget'!$K66,0),S$11&lt;=EOMONTH('Construction Budget'!$M66,0)),('Construction Budget'!$G66+SUM($G209:R209))/ROUND(((EOMONTH('Construction Budget'!$M66,0)-EOMONTH(S$11,0))/30)+1,0),0)</f>
        <v>0</v>
      </c>
      <c r="T209" s="427">
        <f>-IF(AND(T$11&gt;=EOMONTH('Construction Budget'!$K66,0),T$11&lt;=EOMONTH('Construction Budget'!$M66,0)),('Construction Budget'!$G66+SUM($G209:S209))/ROUND(((EOMONTH('Construction Budget'!$M66,0)-EOMONTH(T$11,0))/30)+1,0),0)</f>
        <v>0</v>
      </c>
      <c r="U209" s="427">
        <f>-IF(AND(U$11&gt;=EOMONTH('Construction Budget'!$K66,0),U$11&lt;=EOMONTH('Construction Budget'!$M66,0)),('Construction Budget'!$G66+SUM($G209:T209))/ROUND(((EOMONTH('Construction Budget'!$M66,0)-EOMONTH(U$11,0))/30)+1,0),0)</f>
        <v>0</v>
      </c>
      <c r="V209" s="427">
        <f>-IF(AND(V$11&gt;=EOMONTH('Construction Budget'!$K66,0),V$11&lt;=EOMONTH('Construction Budget'!$M66,0)),('Construction Budget'!$G66+SUM($G209:U209))/ROUND(((EOMONTH('Construction Budget'!$M66,0)-EOMONTH(V$11,0))/30)+1,0),0)</f>
        <v>0</v>
      </c>
      <c r="W209" s="427">
        <f>-IF(AND(W$11&gt;=EOMONTH('Construction Budget'!$K66,0),W$11&lt;=EOMONTH('Construction Budget'!$M66,0)),('Construction Budget'!$G66+SUM($G209:V209))/ROUND(((EOMONTH('Construction Budget'!$M66,0)-EOMONTH(W$11,0))/30)+1,0),0)</f>
        <v>0</v>
      </c>
      <c r="X209" s="427">
        <f>-IF(AND(X$11&gt;=EOMONTH('Construction Budget'!$K66,0),X$11&lt;=EOMONTH('Construction Budget'!$M66,0)),('Construction Budget'!$G66+SUM($G209:W209))/ROUND(((EOMONTH('Construction Budget'!$M66,0)-EOMONTH(X$11,0))/30)+1,0),0)</f>
        <v>0</v>
      </c>
      <c r="Y209" s="427">
        <f>-IF(AND(Y$11&gt;=EOMONTH('Construction Budget'!$K66,0),Y$11&lt;=EOMONTH('Construction Budget'!$M66,0)),('Construction Budget'!$G66+SUM($G209:X209))/ROUND(((EOMONTH('Construction Budget'!$M66,0)-EOMONTH(Y$11,0))/30)+1,0),0)</f>
        <v>0</v>
      </c>
      <c r="Z209" s="427">
        <f>-IF(AND(Z$11&gt;=EOMONTH('Construction Budget'!$K66,0),Z$11&lt;=EOMONTH('Construction Budget'!$M66,0)),('Construction Budget'!$G66+SUM($G209:Y209))/ROUND(((EOMONTH('Construction Budget'!$M66,0)-EOMONTH(Z$11,0))/30)+1,0),0)</f>
        <v>0</v>
      </c>
      <c r="AA209" s="427">
        <f>-IF(AND(AA$11&gt;=EOMONTH('Construction Budget'!$K66,0),AA$11&lt;=EOMONTH('Construction Budget'!$M66,0)),('Construction Budget'!$G66+SUM($G209:Z209))/ROUND(((EOMONTH('Construction Budget'!$M66,0)-EOMONTH(AA$11,0))/30)+1,0),0)</f>
        <v>0</v>
      </c>
      <c r="AB209" s="427">
        <f>-IF(AND(AB$11&gt;=EOMONTH('Construction Budget'!$K66,0),AB$11&lt;=EOMONTH('Construction Budget'!$M66,0)),('Construction Budget'!$G66+SUM($G209:AA209))/ROUND(((EOMONTH('Construction Budget'!$M66,0)-EOMONTH(AB$11,0))/30)+1,0),0)</f>
        <v>0</v>
      </c>
      <c r="AC209" s="427">
        <f>-IF(AND(AC$11&gt;=EOMONTH('Construction Budget'!$K66,0),AC$11&lt;=EOMONTH('Construction Budget'!$M66,0)),('Construction Budget'!$G66+SUM($G209:AB209))/ROUND(((EOMONTH('Construction Budget'!$M66,0)-EOMONTH(AC$11,0))/30)+1,0),0)</f>
        <v>0</v>
      </c>
      <c r="AD209" s="427">
        <f>-IF(AND(AD$11&gt;=EOMONTH('Construction Budget'!$K66,0),AD$11&lt;=EOMONTH('Construction Budget'!$M66,0)),('Construction Budget'!$G66+SUM($G209:AC209))/ROUND(((EOMONTH('Construction Budget'!$M66,0)-EOMONTH(AD$11,0))/30)+1,0),0)</f>
        <v>0</v>
      </c>
      <c r="AE209" s="427">
        <f>-IF(AND(AE$11&gt;=EOMONTH('Construction Budget'!$K66,0),AE$11&lt;=EOMONTH('Construction Budget'!$M66,0)),('Construction Budget'!$G66+SUM($G209:AD209))/ROUND(((EOMONTH('Construction Budget'!$M66,0)-EOMONTH(AE$11,0))/30)+1,0),0)</f>
        <v>0</v>
      </c>
      <c r="AF209" s="427">
        <f>-IF(AND(AF$11&gt;=EOMONTH('Construction Budget'!$K66,0),AF$11&lt;=EOMONTH('Construction Budget'!$M66,0)),('Construction Budget'!$G66+SUM($G209:AE209))/ROUND(((EOMONTH('Construction Budget'!$M66,0)-EOMONTH(AF$11,0))/30)+1,0),0)</f>
        <v>0</v>
      </c>
      <c r="AG209" s="427">
        <f>-IF(AND(AG$11&gt;=EOMONTH('Construction Budget'!$K66,0),AG$11&lt;=EOMONTH('Construction Budget'!$M66,0)),('Construction Budget'!$G66+SUM($G209:AF209))/ROUND(((EOMONTH('Construction Budget'!$M66,0)-EOMONTH(AG$11,0))/30)+1,0),0)</f>
        <v>0</v>
      </c>
      <c r="AH209" s="427">
        <f>-IF(AND(AH$11&gt;=EOMONTH('Construction Budget'!$K66,0),AH$11&lt;=EOMONTH('Construction Budget'!$M66,0)),('Construction Budget'!$G66+SUM($G209:AG209))/ROUND(((EOMONTH('Construction Budget'!$M66,0)-EOMONTH(AH$11,0))/30)+1,0),0)</f>
        <v>0</v>
      </c>
      <c r="AI209" s="427">
        <f>-IF(AND(AI$11&gt;=EOMONTH('Construction Budget'!$K66,0),AI$11&lt;=EOMONTH('Construction Budget'!$M66,0)),('Construction Budget'!$G66+SUM($G209:AH209))/ROUND(((EOMONTH('Construction Budget'!$M66,0)-EOMONTH(AI$11,0))/30)+1,0),0)</f>
        <v>0</v>
      </c>
      <c r="AJ209" s="427">
        <f>-IF(AND(AJ$11&gt;=EOMONTH('Construction Budget'!$K66,0),AJ$11&lt;=EOMONTH('Construction Budget'!$M66,0)),('Construction Budget'!$G66+SUM($G209:AI209))/ROUND(((EOMONTH('Construction Budget'!$M66,0)-EOMONTH(AJ$11,0))/30)+1,0),0)</f>
        <v>0</v>
      </c>
      <c r="AK209" s="427">
        <f>-IF(AND(AK$11&gt;=EOMONTH('Construction Budget'!$K66,0),AK$11&lt;=EOMONTH('Construction Budget'!$M66,0)),('Construction Budget'!$G66+SUM($G209:AJ209))/ROUND(((EOMONTH('Construction Budget'!$M66,0)-EOMONTH(AK$11,0))/30)+1,0),0)</f>
        <v>0</v>
      </c>
      <c r="AL209" s="427">
        <f>-IF(AND(AL$11&gt;=EOMONTH('Construction Budget'!$K66,0),AL$11&lt;=EOMONTH('Construction Budget'!$M66,0)),('Construction Budget'!$G66+SUM($G209:AK209))/ROUND(((EOMONTH('Construction Budget'!$M66,0)-EOMONTH(AL$11,0))/30)+1,0),0)</f>
        <v>0</v>
      </c>
      <c r="AM209" s="427">
        <f>-IF(AND(AM$11&gt;=EOMONTH('Construction Budget'!$K66,0),AM$11&lt;=EOMONTH('Construction Budget'!$M66,0)),('Construction Budget'!$G66+SUM($G209:AL209))/ROUND(((EOMONTH('Construction Budget'!$M66,0)-EOMONTH(AM$11,0))/30)+1,0),0)</f>
        <v>0</v>
      </c>
      <c r="AN209" s="427">
        <f>-IF(AND(AN$11&gt;=EOMONTH('Construction Budget'!$K66,0),AN$11&lt;=EOMONTH('Construction Budget'!$M66,0)),('Construction Budget'!$G66+SUM($G209:AM209))/ROUND(((EOMONTH('Construction Budget'!$M66,0)-EOMONTH(AN$11,0))/30)+1,0),0)</f>
        <v>0</v>
      </c>
      <c r="AO209" s="427">
        <f>-IF(AND(AO$11&gt;=EOMONTH('Construction Budget'!$K66,0),AO$11&lt;=EOMONTH('Construction Budget'!$M66,0)),('Construction Budget'!$G66+SUM($G209:AN209))/ROUND(((EOMONTH('Construction Budget'!$M66,0)-EOMONTH(AO$11,0))/30)+1,0),0)</f>
        <v>0</v>
      </c>
      <c r="AP209" s="427">
        <f>-IF(AND(AP$11&gt;=EOMONTH('Construction Budget'!$K66,0),AP$11&lt;=EOMONTH('Construction Budget'!$M66,0)),('Construction Budget'!$G66+SUM($G209:AO209))/ROUND(((EOMONTH('Construction Budget'!$M66,0)-EOMONTH(AP$11,0))/30)+1,0),0)</f>
        <v>0</v>
      </c>
      <c r="AQ209" s="427">
        <f>-IF(AND(AQ$11&gt;=EOMONTH('Construction Budget'!$K66,0),AQ$11&lt;=EOMONTH('Construction Budget'!$M66,0)),('Construction Budget'!$G66+SUM($G209:AP209))/ROUND(((EOMONTH('Construction Budget'!$M66,0)-EOMONTH(AQ$11,0))/30)+1,0),0)</f>
        <v>0</v>
      </c>
      <c r="AR209" s="427">
        <f>-IF(AND(AR$11&gt;=EOMONTH('Construction Budget'!$K66,0),AR$11&lt;=EOMONTH('Construction Budget'!$M66,0)),('Construction Budget'!$G66+SUM($G209:AQ209))/ROUND(((EOMONTH('Construction Budget'!$M66,0)-EOMONTH(AR$11,0))/30)+1,0),0)</f>
        <v>0</v>
      </c>
      <c r="AS209" s="427">
        <f>-IF(AND(AS$11&gt;=EOMONTH('Construction Budget'!$K66,0),AS$11&lt;=EOMONTH('Construction Budget'!$M66,0)),('Construction Budget'!$G66+SUM($G209:AR209))/ROUND(((EOMONTH('Construction Budget'!$M66,0)-EOMONTH(AS$11,0))/30)+1,0),0)</f>
        <v>0</v>
      </c>
      <c r="AT209" s="427">
        <f>-IF(AND(AT$11&gt;=EOMONTH('Construction Budget'!$K66,0),AT$11&lt;=EOMONTH('Construction Budget'!$M66,0)),('Construction Budget'!$G66+SUM($G209:AS209))/ROUND(((EOMONTH('Construction Budget'!$M66,0)-EOMONTH(AT$11,0))/30)+1,0),0)</f>
        <v>0</v>
      </c>
      <c r="AU209" s="427">
        <f>-IF(AND(AU$11&gt;=EOMONTH('Construction Budget'!$K66,0),AU$11&lt;=EOMONTH('Construction Budget'!$M66,0)),('Construction Budget'!$G66+SUM($G209:AT209))/ROUND(((EOMONTH('Construction Budget'!$M66,0)-EOMONTH(AU$11,0))/30)+1,0),0)</f>
        <v>0</v>
      </c>
      <c r="AV209" s="427">
        <f>-IF(AND(AV$11&gt;=EOMONTH('Construction Budget'!$K66,0),AV$11&lt;=EOMONTH('Construction Budget'!$M66,0)),('Construction Budget'!$G66+SUM($G209:AU209))/ROUND(((EOMONTH('Construction Budget'!$M66,0)-EOMONTH(AV$11,0))/30)+1,0),0)</f>
        <v>0</v>
      </c>
      <c r="AW209" s="427">
        <f>-IF(AND(AW$11&gt;=EOMONTH('Construction Budget'!$K66,0),AW$11&lt;=EOMONTH('Construction Budget'!$M66,0)),('Construction Budget'!$G66+SUM($G209:AV209))/ROUND(((EOMONTH('Construction Budget'!$M66,0)-EOMONTH(AW$11,0))/30)+1,0),0)</f>
        <v>0</v>
      </c>
      <c r="AX209" s="427">
        <f>-IF(AND(AX$11&gt;=EOMONTH('Construction Budget'!$K66,0),AX$11&lt;=EOMONTH('Construction Budget'!$M66,0)),('Construction Budget'!$G66+SUM($G209:AW209))/ROUND(((EOMONTH('Construction Budget'!$M66,0)-EOMONTH(AX$11,0))/30)+1,0),0)</f>
        <v>0</v>
      </c>
      <c r="AY209" s="427">
        <f>-IF(AND(AY$11&gt;=EOMONTH('Construction Budget'!$K66,0),AY$11&lt;=EOMONTH('Construction Budget'!$M66,0)),('Construction Budget'!$G66+SUM($G209:AX209))/ROUND(((EOMONTH('Construction Budget'!$M66,0)-EOMONTH(AY$11,0))/30)+1,0),0)</f>
        <v>0</v>
      </c>
      <c r="AZ209" s="427">
        <f>-IF(AND(AZ$11&gt;=EOMONTH('Construction Budget'!$K66,0),AZ$11&lt;=EOMONTH('Construction Budget'!$M66,0)),('Construction Budget'!$G66+SUM($G209:AY209))/ROUND(((EOMONTH('Construction Budget'!$M66,0)-EOMONTH(AZ$11,0))/30)+1,0),0)</f>
        <v>0</v>
      </c>
      <c r="BA209" s="427">
        <f>-IF(AND(BA$11&gt;=EOMONTH('Construction Budget'!$K66,0),BA$11&lt;=EOMONTH('Construction Budget'!$M66,0)),('Construction Budget'!$G66+SUM($G209:AZ209))/ROUND(((EOMONTH('Construction Budget'!$M66,0)-EOMONTH(BA$11,0))/30)+1,0),0)</f>
        <v>0</v>
      </c>
      <c r="BB209" s="427">
        <f>-IF(AND(BB$11&gt;=EOMONTH('Construction Budget'!$K66,0),BB$11&lt;=EOMONTH('Construction Budget'!$M66,0)),('Construction Budget'!$G66+SUM($G209:BA209))/ROUND(((EOMONTH('Construction Budget'!$M66,0)-EOMONTH(BB$11,0))/30)+1,0),0)</f>
        <v>0</v>
      </c>
      <c r="BC209" s="427">
        <f>-IF(AND(BC$11&gt;=EOMONTH('Construction Budget'!$K66,0),BC$11&lt;=EOMONTH('Construction Budget'!$M66,0)),('Construction Budget'!$G66+SUM($G209:BB209))/ROUND(((EOMONTH('Construction Budget'!$M66,0)-EOMONTH(BC$11,0))/30)+1,0),0)</f>
        <v>0</v>
      </c>
      <c r="BD209" s="427">
        <f>-IF(AND(BD$11&gt;=EOMONTH('Construction Budget'!$K66,0),BD$11&lt;=EOMONTH('Construction Budget'!$M66,0)),('Construction Budget'!$G66+SUM($G209:BC209))/ROUND(((EOMONTH('Construction Budget'!$M66,0)-EOMONTH(BD$11,0))/30)+1,0),0)</f>
        <v>0</v>
      </c>
      <c r="BE209" s="427">
        <f>-IF(AND(BE$11&gt;=EOMONTH('Construction Budget'!$K66,0),BE$11&lt;=EOMONTH('Construction Budget'!$M66,0)),('Construction Budget'!$G66+SUM($G209:BD209))/ROUND(((EOMONTH('Construction Budget'!$M66,0)-EOMONTH(BE$11,0))/30)+1,0),0)</f>
        <v>0</v>
      </c>
      <c r="BF209" s="427">
        <f>-IF(AND(BF$11&gt;=EOMONTH('Construction Budget'!$K66,0),BF$11&lt;=EOMONTH('Construction Budget'!$M66,0)),('Construction Budget'!$G66+SUM($G209:BE209))/ROUND(((EOMONTH('Construction Budget'!$M66,0)-EOMONTH(BF$11,0))/30)+1,0),0)</f>
        <v>0</v>
      </c>
      <c r="BG209" s="427">
        <f>-IF(AND(BG$11&gt;=EOMONTH('Construction Budget'!$K66,0),BG$11&lt;=EOMONTH('Construction Budget'!$M66,0)),('Construction Budget'!$G66+SUM($G209:BF209))/ROUND(((EOMONTH('Construction Budget'!$M66,0)-EOMONTH(BG$11,0))/30)+1,0),0)</f>
        <v>0</v>
      </c>
      <c r="BH209" s="427">
        <f>-IF(AND(BH$11&gt;=EOMONTH('Construction Budget'!$K66,0),BH$11&lt;=EOMONTH('Construction Budget'!$M66,0)),('Construction Budget'!$G66+SUM($G209:BG209))/ROUND(((EOMONTH('Construction Budget'!$M66,0)-EOMONTH(BH$11,0))/30)+1,0),0)</f>
        <v>0</v>
      </c>
      <c r="BI209" s="427">
        <f>-IF(AND(BI$11&gt;=EOMONTH('Construction Budget'!$K66,0),BI$11&lt;=EOMONTH('Construction Budget'!$M66,0)),('Construction Budget'!$G66+SUM($G209:BH209))/ROUND(((EOMONTH('Construction Budget'!$M66,0)-EOMONTH(BI$11,0))/30)+1,0),0)</f>
        <v>0</v>
      </c>
      <c r="BJ209" s="427">
        <f>-IF(AND(BJ$11&gt;=EOMONTH('Construction Budget'!$K66,0),BJ$11&lt;=EOMONTH('Construction Budget'!$M66,0)),('Construction Budget'!$G66+SUM($G209:BI209))/ROUND(((EOMONTH('Construction Budget'!$M66,0)-EOMONTH(BJ$11,0))/30)+1,0),0)</f>
        <v>0</v>
      </c>
      <c r="BK209" s="427">
        <f>-IF(AND(BK$11&gt;=EOMONTH('Construction Budget'!$K66,0),BK$11&lt;=EOMONTH('Construction Budget'!$M66,0)),('Construction Budget'!$G66+SUM($G209:BJ209))/ROUND(((EOMONTH('Construction Budget'!$M66,0)-EOMONTH(BK$11,0))/30)+1,0),0)</f>
        <v>0</v>
      </c>
      <c r="BL209" s="427">
        <f>-IF(AND(BL$11&gt;=EOMONTH('Construction Budget'!$K66,0),BL$11&lt;=EOMONTH('Construction Budget'!$M66,0)),('Construction Budget'!$G66+SUM($G209:BK209))/ROUND(((EOMONTH('Construction Budget'!$M66,0)-EOMONTH(BL$11,0))/30)+1,0),0)</f>
        <v>0</v>
      </c>
      <c r="BM209" s="427">
        <f>-IF(AND(BM$11&gt;=EOMONTH('Construction Budget'!$K66,0),BM$11&lt;=EOMONTH('Construction Budget'!$M66,0)),('Construction Budget'!$G66+SUM($G209:BL209))/ROUND(((EOMONTH('Construction Budget'!$M66,0)-EOMONTH(BM$11,0))/30)+1,0),0)</f>
        <v>0</v>
      </c>
      <c r="BN209" s="427">
        <f>-IF(AND(BN$11&gt;=EOMONTH('Construction Budget'!$K66,0),BN$11&lt;=EOMONTH('Construction Budget'!$M66,0)),('Construction Budget'!$G66+SUM($G209:BM209))/ROUND(((EOMONTH('Construction Budget'!$M66,0)-EOMONTH(BN$11,0))/30)+1,0),0)</f>
        <v>0</v>
      </c>
      <c r="BO209" s="427">
        <f>-IF(AND(BO$11&gt;=EOMONTH('Construction Budget'!$K66,0),BO$11&lt;=EOMONTH('Construction Budget'!$M66,0)),('Construction Budget'!$G66+SUM($G209:BN209))/ROUND(((EOMONTH('Construction Budget'!$M66,0)-EOMONTH(BO$11,0))/30)+1,0),0)</f>
        <v>0</v>
      </c>
      <c r="BP209" s="427">
        <f>-IF(AND(BP$11&gt;=EOMONTH('Construction Budget'!$K66,0),BP$11&lt;=EOMONTH('Construction Budget'!$M66,0)),('Construction Budget'!$G66+SUM($G209:BO209))/ROUND(((EOMONTH('Construction Budget'!$M66,0)-EOMONTH(BP$11,0))/30)+1,0),0)</f>
        <v>0</v>
      </c>
      <c r="BQ209" s="427">
        <f>-IF(AND(BQ$11&gt;=EOMONTH('Construction Budget'!$K66,0),BQ$11&lt;=EOMONTH('Construction Budget'!$M66,0)),('Construction Budget'!$G66+SUM($G209:BP209))/ROUND(((EOMONTH('Construction Budget'!$M66,0)-EOMONTH(BQ$11,0))/30)+1,0),0)</f>
        <v>0</v>
      </c>
      <c r="BR209" s="427">
        <f>-IF(AND(BR$11&gt;=EOMONTH('Construction Budget'!$K66,0),BR$11&lt;=EOMONTH('Construction Budget'!$M66,0)),('Construction Budget'!$G66+SUM($G209:BQ209))/ROUND(((EOMONTH('Construction Budget'!$M66,0)-EOMONTH(BR$11,0))/30)+1,0),0)</f>
        <v>0</v>
      </c>
      <c r="BS209" s="427">
        <f>-IF(AND(BS$11&gt;=EOMONTH('Construction Budget'!$K66,0),BS$11&lt;=EOMONTH('Construction Budget'!$M66,0)),('Construction Budget'!$G66+SUM($G209:BR209))/ROUND(((EOMONTH('Construction Budget'!$M66,0)-EOMONTH(BS$11,0))/30)+1,0),0)</f>
        <v>0</v>
      </c>
      <c r="BT209" s="427">
        <f>-IF(AND(BT$11&gt;=EOMONTH('Construction Budget'!$K66,0),BT$11&lt;=EOMONTH('Construction Budget'!$M66,0)),('Construction Budget'!$G66+SUM($G209:BS209))/ROUND(((EOMONTH('Construction Budget'!$M66,0)-EOMONTH(BT$11,0))/30)+1,0),0)</f>
        <v>0</v>
      </c>
      <c r="BU209" s="427">
        <f>-IF(AND(BU$11&gt;=EOMONTH('Construction Budget'!$K66,0),BU$11&lt;=EOMONTH('Construction Budget'!$M66,0)),('Construction Budget'!$G66+SUM($G209:BT209))/ROUND(((EOMONTH('Construction Budget'!$M66,0)-EOMONTH(BU$11,0))/30)+1,0),0)</f>
        <v>0</v>
      </c>
      <c r="BV209" s="427">
        <f>-IF(AND(BV$11&gt;=EOMONTH('Construction Budget'!$K66,0),BV$11&lt;=EOMONTH('Construction Budget'!$M66,0)),('Construction Budget'!$G66+SUM($G209:BU209))/ROUND(((EOMONTH('Construction Budget'!$M66,0)-EOMONTH(BV$11,0))/30)+1,0),0)</f>
        <v>0</v>
      </c>
      <c r="BW209" s="427">
        <f>-IF(AND(BW$11&gt;=EOMONTH('Construction Budget'!$K66,0),BW$11&lt;=EOMONTH('Construction Budget'!$M66,0)),('Construction Budget'!$G66+SUM($G209:BV209))/ROUND(((EOMONTH('Construction Budget'!$M66,0)-EOMONTH(BW$11,0))/30)+1,0),0)</f>
        <v>0</v>
      </c>
      <c r="BX209" s="427">
        <f>-IF(AND(BX$11&gt;=EOMONTH('Construction Budget'!$K66,0),BX$11&lt;=EOMONTH('Construction Budget'!$M66,0)),('Construction Budget'!$G66+SUM($G209:BW209))/ROUND(((EOMONTH('Construction Budget'!$M66,0)-EOMONTH(BX$11,0))/30)+1,0),0)</f>
        <v>0</v>
      </c>
      <c r="BY209" s="427">
        <f>-IF(AND(BY$11&gt;=EOMONTH('Construction Budget'!$K66,0),BY$11&lt;=EOMONTH('Construction Budget'!$M66,0)),('Construction Budget'!$G66+SUM($G209:BX209))/ROUND(((EOMONTH('Construction Budget'!$M66,0)-EOMONTH(BY$11,0))/30)+1,0),0)</f>
        <v>0</v>
      </c>
      <c r="BZ209" s="427">
        <f>-IF(AND(BZ$11&gt;=EOMONTH('Construction Budget'!$K66,0),BZ$11&lt;=EOMONTH('Construction Budget'!$M66,0)),('Construction Budget'!$G66+SUM($G209:BY209))/ROUND(((EOMONTH('Construction Budget'!$M66,0)-EOMONTH(BZ$11,0))/30)+1,0),0)</f>
        <v>0</v>
      </c>
      <c r="CA209" s="427">
        <f>-IF(AND(CA$11&gt;=EOMONTH('Construction Budget'!$K66,0),CA$11&lt;=EOMONTH('Construction Budget'!$M66,0)),('Construction Budget'!$G66+SUM($G209:BZ209))/ROUND(((EOMONTH('Construction Budget'!$M66,0)-EOMONTH(CA$11,0))/30)+1,0),0)</f>
        <v>0</v>
      </c>
      <c r="CB209" s="427">
        <f>-IF(AND(CB$11&gt;=EOMONTH('Construction Budget'!$K66,0),CB$11&lt;=EOMONTH('Construction Budget'!$M66,0)),('Construction Budget'!$G66+SUM($G209:CA209))/ROUND(((EOMONTH('Construction Budget'!$M66,0)-EOMONTH(CB$11,0))/30)+1,0),0)</f>
        <v>0</v>
      </c>
      <c r="CC209" s="427">
        <f>-IF(AND(CC$11&gt;=EOMONTH('Construction Budget'!$K66,0),CC$11&lt;=EOMONTH('Construction Budget'!$M66,0)),('Construction Budget'!$G66+SUM($G209:CB209))/ROUND(((EOMONTH('Construction Budget'!$M66,0)-EOMONTH(CC$11,0))/30)+1,0),0)</f>
        <v>0</v>
      </c>
      <c r="CD209" s="427">
        <f>-IF(AND(CD$11&gt;=EOMONTH('Construction Budget'!$K66,0),CD$11&lt;=EOMONTH('Construction Budget'!$M66,0)),('Construction Budget'!$G66+SUM($G209:CC209))/ROUND(((EOMONTH('Construction Budget'!$M66,0)-EOMONTH(CD$11,0))/30)+1,0),0)</f>
        <v>0</v>
      </c>
      <c r="CE209" s="427">
        <f>-IF(AND(CE$11&gt;=EOMONTH('Construction Budget'!$K66,0),CE$11&lt;=EOMONTH('Construction Budget'!$M66,0)),('Construction Budget'!$G66+SUM($G209:CD209))/ROUND(((EOMONTH('Construction Budget'!$M66,0)-EOMONTH(CE$11,0))/30)+1,0),0)</f>
        <v>0</v>
      </c>
      <c r="CF209" s="427">
        <f>-IF(AND(CF$11&gt;=EOMONTH('Construction Budget'!$K66,0),CF$11&lt;=EOMONTH('Construction Budget'!$M66,0)),('Construction Budget'!$G66+SUM($G209:CE209))/ROUND(((EOMONTH('Construction Budget'!$M66,0)-EOMONTH(CF$11,0))/30)+1,0),0)</f>
        <v>0</v>
      </c>
      <c r="CG209" s="427">
        <f>-IF(AND(CG$11&gt;=EOMONTH('Construction Budget'!$K66,0),CG$11&lt;=EOMONTH('Construction Budget'!$M66,0)),('Construction Budget'!$G66+SUM($G209:CF209))/ROUND(((EOMONTH('Construction Budget'!$M66,0)-EOMONTH(CG$11,0))/30)+1,0),0)</f>
        <v>0</v>
      </c>
      <c r="CH209" s="427">
        <f>-IF(AND(CH$11&gt;=EOMONTH('Construction Budget'!$K66,0),CH$11&lt;=EOMONTH('Construction Budget'!$M66,0)),('Construction Budget'!$G66+SUM($G209:CG209))/ROUND(((EOMONTH('Construction Budget'!$M66,0)-EOMONTH(CH$11,0))/30)+1,0),0)</f>
        <v>0</v>
      </c>
      <c r="CI209" s="427">
        <f>-IF(AND(CI$11&gt;=EOMONTH('Construction Budget'!$K66,0),CI$11&lt;=EOMONTH('Construction Budget'!$M66,0)),('Construction Budget'!$G66+SUM($G209:CH209))/ROUND(((EOMONTH('Construction Budget'!$M66,0)-EOMONTH(CI$11,0))/30)+1,0),0)</f>
        <v>0</v>
      </c>
      <c r="CJ209" s="427">
        <f>-IF(AND(CJ$11&gt;=EOMONTH('Construction Budget'!$K66,0),CJ$11&lt;=EOMONTH('Construction Budget'!$M66,0)),('Construction Budget'!$G66+SUM($G209:CI209))/ROUND(((EOMONTH('Construction Budget'!$M66,0)-EOMONTH(CJ$11,0))/30)+1,0),0)</f>
        <v>0</v>
      </c>
      <c r="CK209" s="427">
        <f>-IF(AND(CK$11&gt;=EOMONTH('Construction Budget'!$K66,0),CK$11&lt;=EOMONTH('Construction Budget'!$M66,0)),('Construction Budget'!$G66+SUM($G209:CJ209))/ROUND(((EOMONTH('Construction Budget'!$M66,0)-EOMONTH(CK$11,0))/30)+1,0),0)</f>
        <v>0</v>
      </c>
      <c r="CL209" s="427">
        <f>-IF(AND(CL$11&gt;=EOMONTH('Construction Budget'!$K66,0),CL$11&lt;=EOMONTH('Construction Budget'!$M66,0)),('Construction Budget'!$G66+SUM($G209:CK209))/ROUND(((EOMONTH('Construction Budget'!$M66,0)-EOMONTH(CL$11,0))/30)+1,0),0)</f>
        <v>0</v>
      </c>
      <c r="CM209" s="427">
        <f>-IF(AND(CM$11&gt;=EOMONTH('Construction Budget'!$K66,0),CM$11&lt;=EOMONTH('Construction Budget'!$M66,0)),('Construction Budget'!$G66+SUM($G209:CL209))/ROUND(((EOMONTH('Construction Budget'!$M66,0)-EOMONTH(CM$11,0))/30)+1,0),0)</f>
        <v>0</v>
      </c>
      <c r="CN209" s="427">
        <f>-IF(AND(CN$11&gt;=EOMONTH('Construction Budget'!$K66,0),CN$11&lt;=EOMONTH('Construction Budget'!$M66,0)),('Construction Budget'!$G66+SUM($G209:CM209))/ROUND(((EOMONTH('Construction Budget'!$M66,0)-EOMONTH(CN$11,0))/30)+1,0),0)</f>
        <v>0</v>
      </c>
      <c r="CO209" s="427">
        <f>-IF(AND(CO$11&gt;=EOMONTH('Construction Budget'!$K66,0),CO$11&lt;=EOMONTH('Construction Budget'!$M66,0)),('Construction Budget'!$G66+SUM($G209:CN209))/ROUND(((EOMONTH('Construction Budget'!$M66,0)-EOMONTH(CO$11,0))/30)+1,0),0)</f>
        <v>0</v>
      </c>
      <c r="CP209" s="427">
        <f>-IF(AND(CP$11&gt;=EOMONTH('Construction Budget'!$K66,0),CP$11&lt;=EOMONTH('Construction Budget'!$M66,0)),('Construction Budget'!$G66+SUM($G209:CO209))/ROUND(((EOMONTH('Construction Budget'!$M66,0)-EOMONTH(CP$11,0))/30)+1,0),0)</f>
        <v>0</v>
      </c>
      <c r="CQ209" s="427">
        <f>-IF(AND(CQ$11&gt;=EOMONTH('Construction Budget'!$K66,0),CQ$11&lt;=EOMONTH('Construction Budget'!$M66,0)),('Construction Budget'!$G66+SUM($G209:CP209))/ROUND(((EOMONTH('Construction Budget'!$M66,0)-EOMONTH(CQ$11,0))/30)+1,0),0)</f>
        <v>0</v>
      </c>
      <c r="CR209" s="427">
        <f>-IF(AND(CR$11&gt;=EOMONTH('Construction Budget'!$K66,0),CR$11&lt;=EOMONTH('Construction Budget'!$M66,0)),('Construction Budget'!$G66+SUM($G209:CQ209))/ROUND(((EOMONTH('Construction Budget'!$M66,0)-EOMONTH(CR$11,0))/30)+1,0),0)</f>
        <v>0</v>
      </c>
      <c r="CS209" s="427">
        <f>-IF(AND(CS$11&gt;=EOMONTH('Construction Budget'!$K66,0),CS$11&lt;=EOMONTH('Construction Budget'!$M66,0)),('Construction Budget'!$G66+SUM($G209:CR209))/ROUND(((EOMONTH('Construction Budget'!$M66,0)-EOMONTH(CS$11,0))/30)+1,0),0)</f>
        <v>0</v>
      </c>
      <c r="CT209" s="427">
        <f>-IF(AND(CT$11&gt;=EOMONTH('Construction Budget'!$K66,0),CT$11&lt;=EOMONTH('Construction Budget'!$M66,0)),('Construction Budget'!$G66+SUM($G209:CS209))/ROUND(((EOMONTH('Construction Budget'!$M66,0)-EOMONTH(CT$11,0))/30)+1,0),0)</f>
        <v>0</v>
      </c>
      <c r="CU209" s="427">
        <f>-IF(AND(CU$11&gt;=EOMONTH('Construction Budget'!$K66,0),CU$11&lt;=EOMONTH('Construction Budget'!$M66,0)),('Construction Budget'!$G66+SUM($G209:CT209))/ROUND(((EOMONTH('Construction Budget'!$M66,0)-EOMONTH(CU$11,0))/30)+1,0),0)</f>
        <v>0</v>
      </c>
      <c r="CV209" s="427">
        <f>-IF(AND(CV$11&gt;=EOMONTH('Construction Budget'!$K66,0),CV$11&lt;=EOMONTH('Construction Budget'!$M66,0)),('Construction Budget'!$G66+SUM($G209:CU209))/ROUND(((EOMONTH('Construction Budget'!$M66,0)-EOMONTH(CV$11,0))/30)+1,0),0)</f>
        <v>0</v>
      </c>
      <c r="CW209" s="427">
        <f>-IF(AND(CW$11&gt;=EOMONTH('Construction Budget'!$K66,0),CW$11&lt;=EOMONTH('Construction Budget'!$M66,0)),('Construction Budget'!$G66+SUM($G209:CV209))/ROUND(((EOMONTH('Construction Budget'!$M66,0)-EOMONTH(CW$11,0))/30)+1,0),0)</f>
        <v>0</v>
      </c>
      <c r="CX209" s="427">
        <f>-IF(AND(CX$11&gt;=EOMONTH('Construction Budget'!$K66,0),CX$11&lt;=EOMONTH('Construction Budget'!$M66,0)),('Construction Budget'!$G66+SUM($G209:CW209))/ROUND(((EOMONTH('Construction Budget'!$M66,0)-EOMONTH(CX$11,0))/30)+1,0),0)</f>
        <v>0</v>
      </c>
      <c r="CY209" s="427">
        <f>-IF(AND(CY$11&gt;=EOMONTH('Construction Budget'!$K66,0),CY$11&lt;=EOMONTH('Construction Budget'!$M66,0)),('Construction Budget'!$G66+SUM($G209:CX209))/ROUND(((EOMONTH('Construction Budget'!$M66,0)-EOMONTH(CY$11,0))/30)+1,0),0)</f>
        <v>0</v>
      </c>
      <c r="CZ209" s="427">
        <f>-IF(AND(CZ$11&gt;=EOMONTH('Construction Budget'!$K66,0),CZ$11&lt;=EOMONTH('Construction Budget'!$M66,0)),('Construction Budget'!$G66+SUM($G209:CY209))/ROUND(((EOMONTH('Construction Budget'!$M66,0)-EOMONTH(CZ$11,0))/30)+1,0),0)</f>
        <v>0</v>
      </c>
      <c r="DA209" s="427">
        <f>-IF(AND(DA$11&gt;=EOMONTH('Construction Budget'!$K66,0),DA$11&lt;=EOMONTH('Construction Budget'!$M66,0)),('Construction Budget'!$G66+SUM($G209:CZ209))/ROUND(((EOMONTH('Construction Budget'!$M66,0)-EOMONTH(DA$11,0))/30)+1,0),0)</f>
        <v>0</v>
      </c>
      <c r="DB209" s="427">
        <f>-IF(AND(DB$11&gt;=EOMONTH('Construction Budget'!$K66,0),DB$11&lt;=EOMONTH('Construction Budget'!$M66,0)),('Construction Budget'!$G66+SUM($G209:DA209))/ROUND(((EOMONTH('Construction Budget'!$M66,0)-EOMONTH(DB$11,0))/30)+1,0),0)</f>
        <v>0</v>
      </c>
      <c r="DC209" s="427">
        <f>-IF(AND(DC$11&gt;=EOMONTH('Construction Budget'!$K66,0),DC$11&lt;=EOMONTH('Construction Budget'!$M66,0)),('Construction Budget'!$G66+SUM($G209:DB209))/ROUND(((EOMONTH('Construction Budget'!$M66,0)-EOMONTH(DC$11,0))/30)+1,0),0)</f>
        <v>0</v>
      </c>
      <c r="DD209" s="427">
        <f>-IF(AND(DD$11&gt;=EOMONTH('Construction Budget'!$K66,0),DD$11&lt;=EOMONTH('Construction Budget'!$M66,0)),('Construction Budget'!$G66+SUM($G209:DC209))/ROUND(((EOMONTH('Construction Budget'!$M66,0)-EOMONTH(DD$11,0))/30)+1,0),0)</f>
        <v>0</v>
      </c>
      <c r="DE209" s="427">
        <f>-IF(AND(DE$11&gt;=EOMONTH('Construction Budget'!$K66,0),DE$11&lt;=EOMONTH('Construction Budget'!$M66,0)),('Construction Budget'!$G66+SUM($G209:DD209))/ROUND(((EOMONTH('Construction Budget'!$M66,0)-EOMONTH(DE$11,0))/30)+1,0),0)</f>
        <v>0</v>
      </c>
      <c r="DF209" s="427">
        <f>-IF(AND(DF$11&gt;=EOMONTH('Construction Budget'!$K66,0),DF$11&lt;=EOMONTH('Construction Budget'!$M66,0)),('Construction Budget'!$G66+SUM($G209:DE209))/ROUND(((EOMONTH('Construction Budget'!$M66,0)-EOMONTH(DF$11,0))/30)+1,0),0)</f>
        <v>0</v>
      </c>
      <c r="DG209" s="427">
        <f>-IF(AND(DG$11&gt;=EOMONTH('Construction Budget'!$K66,0),DG$11&lt;=EOMONTH('Construction Budget'!$M66,0)),('Construction Budget'!$G66+SUM($G209:DF209))/ROUND(((EOMONTH('Construction Budget'!$M66,0)-EOMONTH(DG$11,0))/30)+1,0),0)</f>
        <v>0</v>
      </c>
      <c r="DH209" s="427">
        <f>-IF(AND(DH$11&gt;=EOMONTH('Construction Budget'!$K66,0),DH$11&lt;=EOMONTH('Construction Budget'!$M66,0)),('Construction Budget'!$G66+SUM($G209:DG209))/ROUND(((EOMONTH('Construction Budget'!$M66,0)-EOMONTH(DH$11,0))/30)+1,0),0)</f>
        <v>0</v>
      </c>
      <c r="DI209" s="427">
        <f>-IF(AND(DI$11&gt;=EOMONTH('Construction Budget'!$K66,0),DI$11&lt;=EOMONTH('Construction Budget'!$M66,0)),('Construction Budget'!$G66+SUM($G209:DH209))/ROUND(((EOMONTH('Construction Budget'!$M66,0)-EOMONTH(DI$11,0))/30)+1,0),0)</f>
        <v>0</v>
      </c>
      <c r="DJ209" s="427">
        <f>-IF(AND(DJ$11&gt;=EOMONTH('Construction Budget'!$K66,0),DJ$11&lt;=EOMONTH('Construction Budget'!$M66,0)),('Construction Budget'!$G66+SUM($G209:DI209))/ROUND(((EOMONTH('Construction Budget'!$M66,0)-EOMONTH(DJ$11,0))/30)+1,0),0)</f>
        <v>0</v>
      </c>
      <c r="DK209" s="427">
        <f>-IF(AND(DK$11&gt;=EOMONTH('Construction Budget'!$K66,0),DK$11&lt;=EOMONTH('Construction Budget'!$M66,0)),('Construction Budget'!$G66+SUM($G209:DJ209))/ROUND(((EOMONTH('Construction Budget'!$M66,0)-EOMONTH(DK$11,0))/30)+1,0),0)</f>
        <v>0</v>
      </c>
      <c r="DL209" s="427">
        <f>-IF(AND(DL$11&gt;=EOMONTH('Construction Budget'!$K66,0),DL$11&lt;=EOMONTH('Construction Budget'!$M66,0)),('Construction Budget'!$G66+SUM($G209:DK209))/ROUND(((EOMONTH('Construction Budget'!$M66,0)-EOMONTH(DL$11,0))/30)+1,0),0)</f>
        <v>0</v>
      </c>
      <c r="DM209" s="427">
        <f>-IF(AND(DM$11&gt;=EOMONTH('Construction Budget'!$K66,0),DM$11&lt;=EOMONTH('Construction Budget'!$M66,0)),('Construction Budget'!$G66+SUM($G209:DL209))/ROUND(((EOMONTH('Construction Budget'!$M66,0)-EOMONTH(DM$11,0))/30)+1,0),0)</f>
        <v>0</v>
      </c>
      <c r="DN209" s="427">
        <f>-IF(AND(DN$11&gt;=EOMONTH('Construction Budget'!$K66,0),DN$11&lt;=EOMONTH('Construction Budget'!$M66,0)),('Construction Budget'!$G66+SUM($G209:DM209))/ROUND(((EOMONTH('Construction Budget'!$M66,0)-EOMONTH(DN$11,0))/30)+1,0),0)</f>
        <v>0</v>
      </c>
      <c r="DO209" s="427">
        <f>-IF(AND(DO$11&gt;=EOMONTH('Construction Budget'!$K66,0),DO$11&lt;=EOMONTH('Construction Budget'!$M66,0)),('Construction Budget'!$G66+SUM($G209:DN209))/ROUND(((EOMONTH('Construction Budget'!$M66,0)-EOMONTH(DO$11,0))/30)+1,0),0)</f>
        <v>0</v>
      </c>
      <c r="DP209" s="427">
        <f>-IF(AND(DP$11&gt;=EOMONTH('Construction Budget'!$K66,0),DP$11&lt;=EOMONTH('Construction Budget'!$M66,0)),('Construction Budget'!$G66+SUM($G209:DO209))/ROUND(((EOMONTH('Construction Budget'!$M66,0)-EOMONTH(DP$11,0))/30)+1,0),0)</f>
        <v>0</v>
      </c>
      <c r="DQ209" s="427">
        <f>-IF(AND(DQ$11&gt;=EOMONTH('Construction Budget'!$K66,0),DQ$11&lt;=EOMONTH('Construction Budget'!$M66,0)),('Construction Budget'!$G66+SUM($G209:DP209))/ROUND(((EOMONTH('Construction Budget'!$M66,0)-EOMONTH(DQ$11,0))/30)+1,0),0)</f>
        <v>0</v>
      </c>
      <c r="DR209" s="427">
        <f>-IF(AND(DR$11&gt;=EOMONTH('Construction Budget'!$K66,0),DR$11&lt;=EOMONTH('Construction Budget'!$M66,0)),('Construction Budget'!$G66+SUM($G209:DQ209))/ROUND(((EOMONTH('Construction Budget'!$M66,0)-EOMONTH(DR$11,0))/30)+1,0),0)</f>
        <v>0</v>
      </c>
      <c r="DS209" s="427">
        <f>-IF(AND(DS$11&gt;=EOMONTH('Construction Budget'!$K66,0),DS$11&lt;=EOMONTH('Construction Budget'!$M66,0)),('Construction Budget'!$G66+SUM($G209:DR209))/ROUND(((EOMONTH('Construction Budget'!$M66,0)-EOMONTH(DS$11,0))/30)+1,0),0)</f>
        <v>0</v>
      </c>
      <c r="DT209" s="427">
        <f>-IF(AND(DT$11&gt;=EOMONTH('Construction Budget'!$K66,0),DT$11&lt;=EOMONTH('Construction Budget'!$M66,0)),('Construction Budget'!$G66+SUM($G209:DS209))/ROUND(((EOMONTH('Construction Budget'!$M66,0)-EOMONTH(DT$11,0))/30)+1,0),0)</f>
        <v>0</v>
      </c>
      <c r="DU209" s="427">
        <f>-IF(AND(DU$11&gt;=EOMONTH('Construction Budget'!$K66,0),DU$11&lt;=EOMONTH('Construction Budget'!$M66,0)),('Construction Budget'!$G66+SUM($G209:DT209))/ROUND(((EOMONTH('Construction Budget'!$M66,0)-EOMONTH(DU$11,0))/30)+1,0),0)</f>
        <v>0</v>
      </c>
      <c r="DV209" s="427">
        <f>-IF(AND(DV$11&gt;=EOMONTH('Construction Budget'!$K66,0),DV$11&lt;=EOMONTH('Construction Budget'!$M66,0)),('Construction Budget'!$G66+SUM($G209:DU209))/ROUND(((EOMONTH('Construction Budget'!$M66,0)-EOMONTH(DV$11,0))/30)+1,0),0)</f>
        <v>0</v>
      </c>
      <c r="DW209" s="427">
        <f>-IF(AND(DW$11&gt;=EOMONTH('Construction Budget'!$K66,0),DW$11&lt;=EOMONTH('Construction Budget'!$M66,0)),('Construction Budget'!$G66+SUM($G209:DV209))/ROUND(((EOMONTH('Construction Budget'!$M66,0)-EOMONTH(DW$11,0))/30)+1,0),0)</f>
        <v>0</v>
      </c>
      <c r="DX209" s="427">
        <f>-IF(AND(DX$11&gt;=EOMONTH('Construction Budget'!$K66,0),DX$11&lt;=EOMONTH('Construction Budget'!$M66,0)),('Construction Budget'!$G66+SUM($G209:DW209))/ROUND(((EOMONTH('Construction Budget'!$M66,0)-EOMONTH(DX$11,0))/30)+1,0),0)</f>
        <v>0</v>
      </c>
      <c r="DY209" s="427">
        <f>-IF(AND(DY$11&gt;=EOMONTH('Construction Budget'!$K66,0),DY$11&lt;=EOMONTH('Construction Budget'!$M66,0)),('Construction Budget'!$G66+SUM($G209:DX209))/ROUND(((EOMONTH('Construction Budget'!$M66,0)-EOMONTH(DY$11,0))/30)+1,0),0)</f>
        <v>0</v>
      </c>
      <c r="DZ209" s="427">
        <f>-IF(AND(DZ$11&gt;=EOMONTH('Construction Budget'!$K66,0),DZ$11&lt;=EOMONTH('Construction Budget'!$M66,0)),('Construction Budget'!$G66+SUM($G209:DY209))/ROUND(((EOMONTH('Construction Budget'!$M66,0)-EOMONTH(DZ$11,0))/30)+1,0),0)</f>
        <v>0</v>
      </c>
      <c r="EA209" s="427">
        <f>-IF(AND(EA$11&gt;=EOMONTH('Construction Budget'!$K66,0),EA$11&lt;=EOMONTH('Construction Budget'!$M66,0)),('Construction Budget'!$G66+SUM($G209:DZ209))/ROUND(((EOMONTH('Construction Budget'!$M66,0)-EOMONTH(EA$11,0))/30)+1,0),0)</f>
        <v>0</v>
      </c>
      <c r="EB209" s="427">
        <f>-IF(AND(EB$11&gt;=EOMONTH('Construction Budget'!$K66,0),EB$11&lt;=EOMONTH('Construction Budget'!$M66,0)),('Construction Budget'!$G66+SUM($G209:EA209))/ROUND(((EOMONTH('Construction Budget'!$M66,0)-EOMONTH(EB$11,0))/30)+1,0),0)</f>
        <v>0</v>
      </c>
      <c r="EC209" s="427">
        <f>-IF(AND(EC$11&gt;=EOMONTH('Construction Budget'!$K66,0),EC$11&lt;=EOMONTH('Construction Budget'!$M66,0)),('Construction Budget'!$G66+SUM($G209:EB209))/ROUND(((EOMONTH('Construction Budget'!$M66,0)-EOMONTH(EC$11,0))/30)+1,0),0)</f>
        <v>0</v>
      </c>
      <c r="ED209" s="427">
        <f>-IF(AND(ED$11&gt;=EOMONTH('Construction Budget'!$K66,0),ED$11&lt;=EOMONTH('Construction Budget'!$M66,0)),('Construction Budget'!$G66+SUM($G209:EC209))/ROUND(((EOMONTH('Construction Budget'!$M66,0)-EOMONTH(ED$11,0))/30)+1,0),0)</f>
        <v>0</v>
      </c>
      <c r="EE209" s="427">
        <f>-IF(AND(EE$11&gt;=EOMONTH('Construction Budget'!$K66,0),EE$11&lt;=EOMONTH('Construction Budget'!$M66,0)),('Construction Budget'!$G66+SUM($G209:ED209))/ROUND(((EOMONTH('Construction Budget'!$M66,0)-EOMONTH(EE$11,0))/30)+1,0),0)</f>
        <v>0</v>
      </c>
      <c r="EF209" s="427">
        <f>-IF(AND(EF$11&gt;=EOMONTH('Construction Budget'!$K66,0),EF$11&lt;=EOMONTH('Construction Budget'!$M66,0)),('Construction Budget'!$G66+SUM($G209:EE209))/ROUND(((EOMONTH('Construction Budget'!$M66,0)-EOMONTH(EF$11,0))/30)+1,0),0)</f>
        <v>0</v>
      </c>
      <c r="EG209" s="427">
        <f>-IF(AND(EG$11&gt;=EOMONTH('Construction Budget'!$K66,0),EG$11&lt;=EOMONTH('Construction Budget'!$M66,0)),('Construction Budget'!$G66+SUM($G209:EF209))/ROUND(((EOMONTH('Construction Budget'!$M66,0)-EOMONTH(EG$11,0))/30)+1,0),0)</f>
        <v>0</v>
      </c>
      <c r="EH209" s="427">
        <f>-IF(AND(EH$11&gt;=EOMONTH('Construction Budget'!$K66,0),EH$11&lt;=EOMONTH('Construction Budget'!$M66,0)),('Construction Budget'!$G66+SUM($G209:EG209))/ROUND(((EOMONTH('Construction Budget'!$M66,0)-EOMONTH(EH$11,0))/30)+1,0),0)</f>
        <v>0</v>
      </c>
      <c r="EI209" s="427">
        <f>-IF(AND(EI$11&gt;=EOMONTH('Construction Budget'!$K66,0),EI$11&lt;=EOMONTH('Construction Budget'!$M66,0)),('Construction Budget'!$G66+SUM($G209:EH209))/ROUND(((EOMONTH('Construction Budget'!$M66,0)-EOMONTH(EI$11,0))/30)+1,0),0)</f>
        <v>0</v>
      </c>
      <c r="EJ209" s="427">
        <f>-IF(AND(EJ$11&gt;=EOMONTH('Construction Budget'!$K66,0),EJ$11&lt;=EOMONTH('Construction Budget'!$M66,0)),('Construction Budget'!$G66+SUM($G209:EI209))/ROUND(((EOMONTH('Construction Budget'!$M66,0)-EOMONTH(EJ$11,0))/30)+1,0),0)</f>
        <v>0</v>
      </c>
      <c r="EK209" s="427">
        <f>-IF(AND(EK$11&gt;=EOMONTH('Construction Budget'!$K66,0),EK$11&lt;=EOMONTH('Construction Budget'!$M66,0)),('Construction Budget'!$G66+SUM($G209:EJ209))/ROUND(((EOMONTH('Construction Budget'!$M66,0)-EOMONTH(EK$11,0))/30)+1,0),0)</f>
        <v>0</v>
      </c>
      <c r="EL209" s="427">
        <f>-IF(AND(EL$11&gt;=EOMONTH('Construction Budget'!$K66,0),EL$11&lt;=EOMONTH('Construction Budget'!$M66,0)),('Construction Budget'!$G66+SUM($G209:EK209))/ROUND(((EOMONTH('Construction Budget'!$M66,0)-EOMONTH(EL$11,0))/30)+1,0),0)</f>
        <v>0</v>
      </c>
      <c r="EM209" s="427">
        <f>-IF(AND(EM$11&gt;=EOMONTH('Construction Budget'!$K66,0),EM$11&lt;=EOMONTH('Construction Budget'!$M66,0)),('Construction Budget'!$G66+SUM($G209:EL209))/ROUND(((EOMONTH('Construction Budget'!$M66,0)-EOMONTH(EM$11,0))/30)+1,0),0)</f>
        <v>0</v>
      </c>
      <c r="EN209" s="427">
        <f>-IF(AND(EN$11&gt;=EOMONTH('Construction Budget'!$K66,0),EN$11&lt;=EOMONTH('Construction Budget'!$M66,0)),('Construction Budget'!$G66+SUM($G209:EM209))/ROUND(((EOMONTH('Construction Budget'!$M66,0)-EOMONTH(EN$11,0))/30)+1,0),0)</f>
        <v>0</v>
      </c>
      <c r="EO209" s="427">
        <f>-IF(AND(EO$11&gt;=EOMONTH('Construction Budget'!$K66,0),EO$11&lt;=EOMONTH('Construction Budget'!$M66,0)),('Construction Budget'!$G66+SUM($G209:EN209))/ROUND(((EOMONTH('Construction Budget'!$M66,0)-EOMONTH(EO$11,0))/30)+1,0),0)</f>
        <v>0</v>
      </c>
      <c r="EP209" s="427">
        <f>-IF(AND(EP$11&gt;=EOMONTH('Construction Budget'!$K66,0),EP$11&lt;=EOMONTH('Construction Budget'!$M66,0)),('Construction Budget'!$G66+SUM($G209:EO209))/ROUND(((EOMONTH('Construction Budget'!$M66,0)-EOMONTH(EP$11,0))/30)+1,0),0)</f>
        <v>0</v>
      </c>
      <c r="EQ209" s="427">
        <f>-IF(AND(EQ$11&gt;=EOMONTH('Construction Budget'!$K66,0),EQ$11&lt;=EOMONTH('Construction Budget'!$M66,0)),('Construction Budget'!$G66+SUM($G209:EP209))/ROUND(((EOMONTH('Construction Budget'!$M66,0)-EOMONTH(EQ$11,0))/30)+1,0),0)</f>
        <v>0</v>
      </c>
      <c r="ER209" s="427">
        <f>-IF(AND(ER$11&gt;=EOMONTH('Construction Budget'!$K66,0),ER$11&lt;=EOMONTH('Construction Budget'!$M66,0)),('Construction Budget'!$G66+SUM($G209:EQ209))/ROUND(((EOMONTH('Construction Budget'!$M66,0)-EOMONTH(ER$11,0))/30)+1,0),0)</f>
        <v>0</v>
      </c>
      <c r="ES209" s="427">
        <f>-IF(AND(ES$11&gt;=EOMONTH('Construction Budget'!$K66,0),ES$11&lt;=EOMONTH('Construction Budget'!$M66,0)),('Construction Budget'!$G66+SUM($G209:ER209))/ROUND(((EOMONTH('Construction Budget'!$M66,0)-EOMONTH(ES$11,0))/30)+1,0),0)</f>
        <v>0</v>
      </c>
      <c r="ET209" s="427">
        <f>-IF(AND(ET$11&gt;=EOMONTH('Construction Budget'!$K66,0),ET$11&lt;=EOMONTH('Construction Budget'!$M66,0)),('Construction Budget'!$G66+SUM($G209:ES209))/ROUND(((EOMONTH('Construction Budget'!$M66,0)-EOMONTH(ET$11,0))/30)+1,0),0)</f>
        <v>0</v>
      </c>
      <c r="EU209" s="427">
        <f>-IF(AND(EU$11&gt;=EOMONTH('Construction Budget'!$K66,0),EU$11&lt;=EOMONTH('Construction Budget'!$M66,0)),('Construction Budget'!$G66+SUM($G209:ET209))/ROUND(((EOMONTH('Construction Budget'!$M66,0)-EOMONTH(EU$11,0))/30)+1,0),0)</f>
        <v>0</v>
      </c>
      <c r="EV209" s="427">
        <f>-IF(AND(EV$11&gt;=EOMONTH('Construction Budget'!$K66,0),EV$11&lt;=EOMONTH('Construction Budget'!$M66,0)),('Construction Budget'!$G66+SUM($G209:EU209))/ROUND(((EOMONTH('Construction Budget'!$M66,0)-EOMONTH(EV$11,0))/30)+1,0),0)</f>
        <v>0</v>
      </c>
      <c r="EW209" s="427">
        <f>-IF(AND(EW$11&gt;=EOMONTH('Construction Budget'!$K66,0),EW$11&lt;=EOMONTH('Construction Budget'!$M66,0)),('Construction Budget'!$G66+SUM($G209:EV209))/ROUND(((EOMONTH('Construction Budget'!$M66,0)-EOMONTH(EW$11,0))/30)+1,0),0)</f>
        <v>0</v>
      </c>
      <c r="EX209" s="427">
        <f>-IF(AND(EX$11&gt;=EOMONTH('Construction Budget'!$K66,0),EX$11&lt;=EOMONTH('Construction Budget'!$M66,0)),('Construction Budget'!$G66+SUM($G209:EW209))/ROUND(((EOMONTH('Construction Budget'!$M66,0)-EOMONTH(EX$11,0))/30)+1,0),0)</f>
        <v>0</v>
      </c>
      <c r="EY209" s="427">
        <f>-IF(AND(EY$11&gt;=EOMONTH('Construction Budget'!$K66,0),EY$11&lt;=EOMONTH('Construction Budget'!$M66,0)),('Construction Budget'!$G66+SUM($G209:EX209))/ROUND(((EOMONTH('Construction Budget'!$M66,0)-EOMONTH(EY$11,0))/30)+1,0),0)</f>
        <v>0</v>
      </c>
      <c r="EZ209" s="427">
        <f>-IF(AND(EZ$11&gt;=EOMONTH('Construction Budget'!$K66,0),EZ$11&lt;=EOMONTH('Construction Budget'!$M66,0)),('Construction Budget'!$G66+SUM($G209:EY209))/ROUND(((EOMONTH('Construction Budget'!$M66,0)-EOMONTH(EZ$11,0))/30)+1,0),0)</f>
        <v>0</v>
      </c>
      <c r="FA209" s="427">
        <f>-IF(AND(FA$11&gt;=EOMONTH('Construction Budget'!$K66,0),FA$11&lt;=EOMONTH('Construction Budget'!$M66,0)),('Construction Budget'!$G66+SUM($G209:EZ209))/ROUND(((EOMONTH('Construction Budget'!$M66,0)-EOMONTH(FA$11,0))/30)+1,0),0)</f>
        <v>0</v>
      </c>
      <c r="FB209" s="427">
        <f>-IF(AND(FB$11&gt;=EOMONTH('Construction Budget'!$K66,0),FB$11&lt;=EOMONTH('Construction Budget'!$M66,0)),('Construction Budget'!$G66+SUM($G209:FA209))/ROUND(((EOMONTH('Construction Budget'!$M66,0)-EOMONTH(FB$11,0))/30)+1,0),0)</f>
        <v>0</v>
      </c>
      <c r="FC209" s="427">
        <f>-IF(AND(FC$11&gt;=EOMONTH('Construction Budget'!$K66,0),FC$11&lt;=EOMONTH('Construction Budget'!$M66,0)),('Construction Budget'!$G66+SUM($G209:FB209))/ROUND(((EOMONTH('Construction Budget'!$M66,0)-EOMONTH(FC$11,0))/30)+1,0),0)</f>
        <v>0</v>
      </c>
      <c r="FD209" s="427">
        <f>-IF(AND(FD$11&gt;=EOMONTH('Construction Budget'!$K66,0),FD$11&lt;=EOMONTH('Construction Budget'!$M66,0)),('Construction Budget'!$G66+SUM($G209:FC209))/ROUND(((EOMONTH('Construction Budget'!$M66,0)-EOMONTH(FD$11,0))/30)+1,0),0)</f>
        <v>0</v>
      </c>
      <c r="FE209" s="427">
        <f>-IF(AND(FE$11&gt;=EOMONTH('Construction Budget'!$K66,0),FE$11&lt;=EOMONTH('Construction Budget'!$M66,0)),('Construction Budget'!$G66+SUM($G209:FD209))/ROUND(((EOMONTH('Construction Budget'!$M66,0)-EOMONTH(FE$11,0))/30)+1,0),0)</f>
        <v>0</v>
      </c>
      <c r="FF209" s="427">
        <f>-IF(AND(FF$11&gt;=EOMONTH('Construction Budget'!$K66,0),FF$11&lt;=EOMONTH('Construction Budget'!$M66,0)),('Construction Budget'!$G66+SUM($G209:FE209))/ROUND(((EOMONTH('Construction Budget'!$M66,0)-EOMONTH(FF$11,0))/30)+1,0),0)</f>
        <v>0</v>
      </c>
      <c r="FG209" s="427">
        <f>-IF(AND(FG$11&gt;=EOMONTH('Construction Budget'!$K66,0),FG$11&lt;=EOMONTH('Construction Budget'!$M66,0)),('Construction Budget'!$G66+SUM($G209:FF209))/ROUND(((EOMONTH('Construction Budget'!$M66,0)-EOMONTH(FG$11,0))/30)+1,0),0)</f>
        <v>0</v>
      </c>
      <c r="FH209" s="427">
        <f>-IF(AND(FH$11&gt;=EOMONTH('Construction Budget'!$K66,0),FH$11&lt;=EOMONTH('Construction Budget'!$M66,0)),('Construction Budget'!$G66+SUM($G209:FG209))/ROUND(((EOMONTH('Construction Budget'!$M66,0)-EOMONTH(FH$11,0))/30)+1,0),0)</f>
        <v>0</v>
      </c>
      <c r="FI209" s="427">
        <f>-IF(AND(FI$11&gt;=EOMONTH('Construction Budget'!$K66,0),FI$11&lt;=EOMONTH('Construction Budget'!$M66,0)),('Construction Budget'!$G66+SUM($G209:FH209))/ROUND(((EOMONTH('Construction Budget'!$M66,0)-EOMONTH(FI$11,0))/30)+1,0),0)</f>
        <v>0</v>
      </c>
      <c r="FJ209" s="427">
        <f>-IF(AND(FJ$11&gt;=EOMONTH('Construction Budget'!$K66,0),FJ$11&lt;=EOMONTH('Construction Budget'!$M66,0)),('Construction Budget'!$G66+SUM($G209:FI209))/ROUND(((EOMONTH('Construction Budget'!$M66,0)-EOMONTH(FJ$11,0))/30)+1,0),0)</f>
        <v>0</v>
      </c>
      <c r="FK209" s="427">
        <f>-IF(AND(FK$11&gt;=EOMONTH('Construction Budget'!$K66,0),FK$11&lt;=EOMONTH('Construction Budget'!$M66,0)),('Construction Budget'!$G66+SUM($G209:FJ209))/ROUND(((EOMONTH('Construction Budget'!$M66,0)-EOMONTH(FK$11,0))/30)+1,0),0)</f>
        <v>0</v>
      </c>
      <c r="FL209" s="427">
        <f>-IF(AND(FL$11&gt;=EOMONTH('Construction Budget'!$K66,0),FL$11&lt;=EOMONTH('Construction Budget'!$M66,0)),('Construction Budget'!$G66+SUM($G209:FK209))/ROUND(((EOMONTH('Construction Budget'!$M66,0)-EOMONTH(FL$11,0))/30)+1,0),0)</f>
        <v>0</v>
      </c>
      <c r="FM209" s="427">
        <f>-IF(AND(FM$11&gt;=EOMONTH('Construction Budget'!$K66,0),FM$11&lt;=EOMONTH('Construction Budget'!$M66,0)),('Construction Budget'!$G66+SUM($G209:FL209))/ROUND(((EOMONTH('Construction Budget'!$M66,0)-EOMONTH(FM$11,0))/30)+1,0),0)</f>
        <v>0</v>
      </c>
      <c r="FN209" s="427">
        <f>-IF(AND(FN$11&gt;=EOMONTH('Construction Budget'!$K66,0),FN$11&lt;=EOMONTH('Construction Budget'!$M66,0)),('Construction Budget'!$G66+SUM($G209:FM209))/ROUND(((EOMONTH('Construction Budget'!$M66,0)-EOMONTH(FN$11,0))/30)+1,0),0)</f>
        <v>0</v>
      </c>
      <c r="FO209" s="427">
        <f>-IF(AND(FO$11&gt;=EOMONTH('Construction Budget'!$K66,0),FO$11&lt;=EOMONTH('Construction Budget'!$M66,0)),('Construction Budget'!$G66+SUM($G209:FN209))/ROUND(((EOMONTH('Construction Budget'!$M66,0)-EOMONTH(FO$11,0))/30)+1,0),0)</f>
        <v>0</v>
      </c>
      <c r="FP209" s="427">
        <f>-IF(AND(FP$11&gt;=EOMONTH('Construction Budget'!$K66,0),FP$11&lt;=EOMONTH('Construction Budget'!$M66,0)),('Construction Budget'!$G66+SUM($G209:FO209))/ROUND(((EOMONTH('Construction Budget'!$M66,0)-EOMONTH(FP$11,0))/30)+1,0),0)</f>
        <v>0</v>
      </c>
      <c r="FQ209" s="427">
        <f>-IF(AND(FQ$11&gt;=EOMONTH('Construction Budget'!$K66,0),FQ$11&lt;=EOMONTH('Construction Budget'!$M66,0)),('Construction Budget'!$G66+SUM($G209:FP209))/ROUND(((EOMONTH('Construction Budget'!$M66,0)-EOMONTH(FQ$11,0))/30)+1,0),0)</f>
        <v>0</v>
      </c>
      <c r="FR209" s="427">
        <f>-IF(AND(FR$11&gt;=EOMONTH('Construction Budget'!$K66,0),FR$11&lt;=EOMONTH('Construction Budget'!$M66,0)),('Construction Budget'!$G66+SUM($G209:FQ209))/ROUND(((EOMONTH('Construction Budget'!$M66,0)-EOMONTH(FR$11,0))/30)+1,0),0)</f>
        <v>0</v>
      </c>
      <c r="FS209" s="427">
        <f>-IF(AND(FS$11&gt;=EOMONTH('Construction Budget'!$K66,0),FS$11&lt;=EOMONTH('Construction Budget'!$M66,0)),('Construction Budget'!$G66+SUM($G209:FR209))/ROUND(((EOMONTH('Construction Budget'!$M66,0)-EOMONTH(FS$11,0))/30)+1,0),0)</f>
        <v>0</v>
      </c>
      <c r="FT209" s="427">
        <f>-IF(AND(FT$11&gt;=EOMONTH('Construction Budget'!$K66,0),FT$11&lt;=EOMONTH('Construction Budget'!$M66,0)),('Construction Budget'!$G66+SUM($G209:FS209))/ROUND(((EOMONTH('Construction Budget'!$M66,0)-EOMONTH(FT$11,0))/30)+1,0),0)</f>
        <v>0</v>
      </c>
      <c r="FU209" s="43"/>
      <c r="FV209" s="34"/>
      <c r="FW209" s="34"/>
      <c r="FX209" s="34"/>
      <c r="FY209" s="34"/>
      <c r="FZ209" s="34"/>
    </row>
    <row r="210" spans="1:182" s="89" customFormat="1" ht="13.5" hidden="1" outlineLevel="2" x14ac:dyDescent="0.25">
      <c r="A210" s="498"/>
      <c r="B210" s="43" t="str">
        <f>'Construction Budget'!B67</f>
        <v>Blank</v>
      </c>
      <c r="C210" s="34"/>
      <c r="D210" s="34"/>
      <c r="E210" s="34"/>
      <c r="F210" s="434">
        <f t="shared" si="236"/>
        <v>0</v>
      </c>
      <c r="G210" s="34"/>
      <c r="H210" s="427">
        <f>-IF(AND(H$11&gt;=EOMONTH('Construction Budget'!$K67,0),H$11&lt;=EOMONTH('Construction Budget'!$M67,0)),('Construction Budget'!$G67+SUM($G210:G210))/ROUND(((EOMONTH('Construction Budget'!$M67,0)-EOMONTH(H$11,0))/30)+1,0),0)</f>
        <v>0</v>
      </c>
      <c r="I210" s="427">
        <f>-IF(AND(I$11&gt;=EOMONTH('Construction Budget'!$K67,0),I$11&lt;=EOMONTH('Construction Budget'!$M67,0)),('Construction Budget'!$G67+SUM($G210:H210))/ROUND(((EOMONTH('Construction Budget'!$M67,0)-EOMONTH(I$11,0))/30)+1,0),0)</f>
        <v>0</v>
      </c>
      <c r="J210" s="427">
        <f>-IF(AND(J$11&gt;=EOMONTH('Construction Budget'!$K67,0),J$11&lt;=EOMONTH('Construction Budget'!$M67,0)),('Construction Budget'!$G67+SUM($G210:I210))/ROUND(((EOMONTH('Construction Budget'!$M67,0)-EOMONTH(J$11,0))/30)+1,0),0)</f>
        <v>0</v>
      </c>
      <c r="K210" s="427">
        <f>-IF(AND(K$11&gt;=EOMONTH('Construction Budget'!$K67,0),K$11&lt;=EOMONTH('Construction Budget'!$M67,0)),('Construction Budget'!$G67+SUM($G210:J210))/ROUND(((EOMONTH('Construction Budget'!$M67,0)-EOMONTH(K$11,0))/30)+1,0),0)</f>
        <v>0</v>
      </c>
      <c r="L210" s="427">
        <f>-IF(AND(L$11&gt;=EOMONTH('Construction Budget'!$K67,0),L$11&lt;=EOMONTH('Construction Budget'!$M67,0)),('Construction Budget'!$G67+SUM($G210:K210))/ROUND(((EOMONTH('Construction Budget'!$M67,0)-EOMONTH(L$11,0))/30)+1,0),0)</f>
        <v>0</v>
      </c>
      <c r="M210" s="427">
        <f>-IF(AND(M$11&gt;=EOMONTH('Construction Budget'!$K67,0),M$11&lt;=EOMONTH('Construction Budget'!$M67,0)),('Construction Budget'!$G67+SUM($G210:L210))/ROUND(((EOMONTH('Construction Budget'!$M67,0)-EOMONTH(M$11,0))/30)+1,0),0)</f>
        <v>0</v>
      </c>
      <c r="N210" s="427">
        <f>-IF(AND(N$11&gt;=EOMONTH('Construction Budget'!$K67,0),N$11&lt;=EOMONTH('Construction Budget'!$M67,0)),('Construction Budget'!$G67+SUM($G210:M210))/ROUND(((EOMONTH('Construction Budget'!$M67,0)-EOMONTH(N$11,0))/30)+1,0),0)</f>
        <v>0</v>
      </c>
      <c r="O210" s="427">
        <f>-IF(AND(O$11&gt;=EOMONTH('Construction Budget'!$K67,0),O$11&lt;=EOMONTH('Construction Budget'!$M67,0)),('Construction Budget'!$G67+SUM($G210:N210))/ROUND(((EOMONTH('Construction Budget'!$M67,0)-EOMONTH(O$11,0))/30)+1,0),0)</f>
        <v>0</v>
      </c>
      <c r="P210" s="427">
        <f>-IF(AND(P$11&gt;=EOMONTH('Construction Budget'!$K67,0),P$11&lt;=EOMONTH('Construction Budget'!$M67,0)),('Construction Budget'!$G67+SUM($G210:O210))/ROUND(((EOMONTH('Construction Budget'!$M67,0)-EOMONTH(P$11,0))/30)+1,0),0)</f>
        <v>0</v>
      </c>
      <c r="Q210" s="427">
        <f>-IF(AND(Q$11&gt;=EOMONTH('Construction Budget'!$K67,0),Q$11&lt;=EOMONTH('Construction Budget'!$M67,0)),('Construction Budget'!$G67+SUM($G210:P210))/ROUND(((EOMONTH('Construction Budget'!$M67,0)-EOMONTH(Q$11,0))/30)+1,0),0)</f>
        <v>0</v>
      </c>
      <c r="R210" s="427">
        <f>-IF(AND(R$11&gt;=EOMONTH('Construction Budget'!$K67,0),R$11&lt;=EOMONTH('Construction Budget'!$M67,0)),('Construction Budget'!$G67+SUM($G210:Q210))/ROUND(((EOMONTH('Construction Budget'!$M67,0)-EOMONTH(R$11,0))/30)+1,0),0)</f>
        <v>0</v>
      </c>
      <c r="S210" s="427">
        <f>-IF(AND(S$11&gt;=EOMONTH('Construction Budget'!$K67,0),S$11&lt;=EOMONTH('Construction Budget'!$M67,0)),('Construction Budget'!$G67+SUM($G210:R210))/ROUND(((EOMONTH('Construction Budget'!$M67,0)-EOMONTH(S$11,0))/30)+1,0),0)</f>
        <v>0</v>
      </c>
      <c r="T210" s="427">
        <f>-IF(AND(T$11&gt;=EOMONTH('Construction Budget'!$K67,0),T$11&lt;=EOMONTH('Construction Budget'!$M67,0)),('Construction Budget'!$G67+SUM($G210:S210))/ROUND(((EOMONTH('Construction Budget'!$M67,0)-EOMONTH(T$11,0))/30)+1,0),0)</f>
        <v>0</v>
      </c>
      <c r="U210" s="427">
        <f>-IF(AND(U$11&gt;=EOMONTH('Construction Budget'!$K67,0),U$11&lt;=EOMONTH('Construction Budget'!$M67,0)),('Construction Budget'!$G67+SUM($G210:T210))/ROUND(((EOMONTH('Construction Budget'!$M67,0)-EOMONTH(U$11,0))/30)+1,0),0)</f>
        <v>0</v>
      </c>
      <c r="V210" s="427">
        <f>-IF(AND(V$11&gt;=EOMONTH('Construction Budget'!$K67,0),V$11&lt;=EOMONTH('Construction Budget'!$M67,0)),('Construction Budget'!$G67+SUM($G210:U210))/ROUND(((EOMONTH('Construction Budget'!$M67,0)-EOMONTH(V$11,0))/30)+1,0),0)</f>
        <v>0</v>
      </c>
      <c r="W210" s="427">
        <f>-IF(AND(W$11&gt;=EOMONTH('Construction Budget'!$K67,0),W$11&lt;=EOMONTH('Construction Budget'!$M67,0)),('Construction Budget'!$G67+SUM($G210:V210))/ROUND(((EOMONTH('Construction Budget'!$M67,0)-EOMONTH(W$11,0))/30)+1,0),0)</f>
        <v>0</v>
      </c>
      <c r="X210" s="427">
        <f>-IF(AND(X$11&gt;=EOMONTH('Construction Budget'!$K67,0),X$11&lt;=EOMONTH('Construction Budget'!$M67,0)),('Construction Budget'!$G67+SUM($G210:W210))/ROUND(((EOMONTH('Construction Budget'!$M67,0)-EOMONTH(X$11,0))/30)+1,0),0)</f>
        <v>0</v>
      </c>
      <c r="Y210" s="427">
        <f>-IF(AND(Y$11&gt;=EOMONTH('Construction Budget'!$K67,0),Y$11&lt;=EOMONTH('Construction Budget'!$M67,0)),('Construction Budget'!$G67+SUM($G210:X210))/ROUND(((EOMONTH('Construction Budget'!$M67,0)-EOMONTH(Y$11,0))/30)+1,0),0)</f>
        <v>0</v>
      </c>
      <c r="Z210" s="427">
        <f>-IF(AND(Z$11&gt;=EOMONTH('Construction Budget'!$K67,0),Z$11&lt;=EOMONTH('Construction Budget'!$M67,0)),('Construction Budget'!$G67+SUM($G210:Y210))/ROUND(((EOMONTH('Construction Budget'!$M67,0)-EOMONTH(Z$11,0))/30)+1,0),0)</f>
        <v>0</v>
      </c>
      <c r="AA210" s="427">
        <f>-IF(AND(AA$11&gt;=EOMONTH('Construction Budget'!$K67,0),AA$11&lt;=EOMONTH('Construction Budget'!$M67,0)),('Construction Budget'!$G67+SUM($G210:Z210))/ROUND(((EOMONTH('Construction Budget'!$M67,0)-EOMONTH(AA$11,0))/30)+1,0),0)</f>
        <v>0</v>
      </c>
      <c r="AB210" s="427">
        <f>-IF(AND(AB$11&gt;=EOMONTH('Construction Budget'!$K67,0),AB$11&lt;=EOMONTH('Construction Budget'!$M67,0)),('Construction Budget'!$G67+SUM($G210:AA210))/ROUND(((EOMONTH('Construction Budget'!$M67,0)-EOMONTH(AB$11,0))/30)+1,0),0)</f>
        <v>0</v>
      </c>
      <c r="AC210" s="427">
        <f>-IF(AND(AC$11&gt;=EOMONTH('Construction Budget'!$K67,0),AC$11&lt;=EOMONTH('Construction Budget'!$M67,0)),('Construction Budget'!$G67+SUM($G210:AB210))/ROUND(((EOMONTH('Construction Budget'!$M67,0)-EOMONTH(AC$11,0))/30)+1,0),0)</f>
        <v>0</v>
      </c>
      <c r="AD210" s="427">
        <f>-IF(AND(AD$11&gt;=EOMONTH('Construction Budget'!$K67,0),AD$11&lt;=EOMONTH('Construction Budget'!$M67,0)),('Construction Budget'!$G67+SUM($G210:AC210))/ROUND(((EOMONTH('Construction Budget'!$M67,0)-EOMONTH(AD$11,0))/30)+1,0),0)</f>
        <v>0</v>
      </c>
      <c r="AE210" s="427">
        <f>-IF(AND(AE$11&gt;=EOMONTH('Construction Budget'!$K67,0),AE$11&lt;=EOMONTH('Construction Budget'!$M67,0)),('Construction Budget'!$G67+SUM($G210:AD210))/ROUND(((EOMONTH('Construction Budget'!$M67,0)-EOMONTH(AE$11,0))/30)+1,0),0)</f>
        <v>0</v>
      </c>
      <c r="AF210" s="427">
        <f>-IF(AND(AF$11&gt;=EOMONTH('Construction Budget'!$K67,0),AF$11&lt;=EOMONTH('Construction Budget'!$M67,0)),('Construction Budget'!$G67+SUM($G210:AE210))/ROUND(((EOMONTH('Construction Budget'!$M67,0)-EOMONTH(AF$11,0))/30)+1,0),0)</f>
        <v>0</v>
      </c>
      <c r="AG210" s="427">
        <f>-IF(AND(AG$11&gt;=EOMONTH('Construction Budget'!$K67,0),AG$11&lt;=EOMONTH('Construction Budget'!$M67,0)),('Construction Budget'!$G67+SUM($G210:AF210))/ROUND(((EOMONTH('Construction Budget'!$M67,0)-EOMONTH(AG$11,0))/30)+1,0),0)</f>
        <v>0</v>
      </c>
      <c r="AH210" s="427">
        <f>-IF(AND(AH$11&gt;=EOMONTH('Construction Budget'!$K67,0),AH$11&lt;=EOMONTH('Construction Budget'!$M67,0)),('Construction Budget'!$G67+SUM($G210:AG210))/ROUND(((EOMONTH('Construction Budget'!$M67,0)-EOMONTH(AH$11,0))/30)+1,0),0)</f>
        <v>0</v>
      </c>
      <c r="AI210" s="427">
        <f>-IF(AND(AI$11&gt;=EOMONTH('Construction Budget'!$K67,0),AI$11&lt;=EOMONTH('Construction Budget'!$M67,0)),('Construction Budget'!$G67+SUM($G210:AH210))/ROUND(((EOMONTH('Construction Budget'!$M67,0)-EOMONTH(AI$11,0))/30)+1,0),0)</f>
        <v>0</v>
      </c>
      <c r="AJ210" s="427">
        <f>-IF(AND(AJ$11&gt;=EOMONTH('Construction Budget'!$K67,0),AJ$11&lt;=EOMONTH('Construction Budget'!$M67,0)),('Construction Budget'!$G67+SUM($G210:AI210))/ROUND(((EOMONTH('Construction Budget'!$M67,0)-EOMONTH(AJ$11,0))/30)+1,0),0)</f>
        <v>0</v>
      </c>
      <c r="AK210" s="427">
        <f>-IF(AND(AK$11&gt;=EOMONTH('Construction Budget'!$K67,0),AK$11&lt;=EOMONTH('Construction Budget'!$M67,0)),('Construction Budget'!$G67+SUM($G210:AJ210))/ROUND(((EOMONTH('Construction Budget'!$M67,0)-EOMONTH(AK$11,0))/30)+1,0),0)</f>
        <v>0</v>
      </c>
      <c r="AL210" s="427">
        <f>-IF(AND(AL$11&gt;=EOMONTH('Construction Budget'!$K67,0),AL$11&lt;=EOMONTH('Construction Budget'!$M67,0)),('Construction Budget'!$G67+SUM($G210:AK210))/ROUND(((EOMONTH('Construction Budget'!$M67,0)-EOMONTH(AL$11,0))/30)+1,0),0)</f>
        <v>0</v>
      </c>
      <c r="AM210" s="427">
        <f>-IF(AND(AM$11&gt;=EOMONTH('Construction Budget'!$K67,0),AM$11&lt;=EOMONTH('Construction Budget'!$M67,0)),('Construction Budget'!$G67+SUM($G210:AL210))/ROUND(((EOMONTH('Construction Budget'!$M67,0)-EOMONTH(AM$11,0))/30)+1,0),0)</f>
        <v>0</v>
      </c>
      <c r="AN210" s="427">
        <f>-IF(AND(AN$11&gt;=EOMONTH('Construction Budget'!$K67,0),AN$11&lt;=EOMONTH('Construction Budget'!$M67,0)),('Construction Budget'!$G67+SUM($G210:AM210))/ROUND(((EOMONTH('Construction Budget'!$M67,0)-EOMONTH(AN$11,0))/30)+1,0),0)</f>
        <v>0</v>
      </c>
      <c r="AO210" s="427">
        <f>-IF(AND(AO$11&gt;=EOMONTH('Construction Budget'!$K67,0),AO$11&lt;=EOMONTH('Construction Budget'!$M67,0)),('Construction Budget'!$G67+SUM($G210:AN210))/ROUND(((EOMONTH('Construction Budget'!$M67,0)-EOMONTH(AO$11,0))/30)+1,0),0)</f>
        <v>0</v>
      </c>
      <c r="AP210" s="427">
        <f>-IF(AND(AP$11&gt;=EOMONTH('Construction Budget'!$K67,0),AP$11&lt;=EOMONTH('Construction Budget'!$M67,0)),('Construction Budget'!$G67+SUM($G210:AO210))/ROUND(((EOMONTH('Construction Budget'!$M67,0)-EOMONTH(AP$11,0))/30)+1,0),0)</f>
        <v>0</v>
      </c>
      <c r="AQ210" s="427">
        <f>-IF(AND(AQ$11&gt;=EOMONTH('Construction Budget'!$K67,0),AQ$11&lt;=EOMONTH('Construction Budget'!$M67,0)),('Construction Budget'!$G67+SUM($G210:AP210))/ROUND(((EOMONTH('Construction Budget'!$M67,0)-EOMONTH(AQ$11,0))/30)+1,0),0)</f>
        <v>0</v>
      </c>
      <c r="AR210" s="427">
        <f>-IF(AND(AR$11&gt;=EOMONTH('Construction Budget'!$K67,0),AR$11&lt;=EOMONTH('Construction Budget'!$M67,0)),('Construction Budget'!$G67+SUM($G210:AQ210))/ROUND(((EOMONTH('Construction Budget'!$M67,0)-EOMONTH(AR$11,0))/30)+1,0),0)</f>
        <v>0</v>
      </c>
      <c r="AS210" s="427">
        <f>-IF(AND(AS$11&gt;=EOMONTH('Construction Budget'!$K67,0),AS$11&lt;=EOMONTH('Construction Budget'!$M67,0)),('Construction Budget'!$G67+SUM($G210:AR210))/ROUND(((EOMONTH('Construction Budget'!$M67,0)-EOMONTH(AS$11,0))/30)+1,0),0)</f>
        <v>0</v>
      </c>
      <c r="AT210" s="427">
        <f>-IF(AND(AT$11&gt;=EOMONTH('Construction Budget'!$K67,0),AT$11&lt;=EOMONTH('Construction Budget'!$M67,0)),('Construction Budget'!$G67+SUM($G210:AS210))/ROUND(((EOMONTH('Construction Budget'!$M67,0)-EOMONTH(AT$11,0))/30)+1,0),0)</f>
        <v>0</v>
      </c>
      <c r="AU210" s="427">
        <f>-IF(AND(AU$11&gt;=EOMONTH('Construction Budget'!$K67,0),AU$11&lt;=EOMONTH('Construction Budget'!$M67,0)),('Construction Budget'!$G67+SUM($G210:AT210))/ROUND(((EOMONTH('Construction Budget'!$M67,0)-EOMONTH(AU$11,0))/30)+1,0),0)</f>
        <v>0</v>
      </c>
      <c r="AV210" s="427">
        <f>-IF(AND(AV$11&gt;=EOMONTH('Construction Budget'!$K67,0),AV$11&lt;=EOMONTH('Construction Budget'!$M67,0)),('Construction Budget'!$G67+SUM($G210:AU210))/ROUND(((EOMONTH('Construction Budget'!$M67,0)-EOMONTH(AV$11,0))/30)+1,0),0)</f>
        <v>0</v>
      </c>
      <c r="AW210" s="427">
        <f>-IF(AND(AW$11&gt;=EOMONTH('Construction Budget'!$K67,0),AW$11&lt;=EOMONTH('Construction Budget'!$M67,0)),('Construction Budget'!$G67+SUM($G210:AV210))/ROUND(((EOMONTH('Construction Budget'!$M67,0)-EOMONTH(AW$11,0))/30)+1,0),0)</f>
        <v>0</v>
      </c>
      <c r="AX210" s="427">
        <f>-IF(AND(AX$11&gt;=EOMONTH('Construction Budget'!$K67,0),AX$11&lt;=EOMONTH('Construction Budget'!$M67,0)),('Construction Budget'!$G67+SUM($G210:AW210))/ROUND(((EOMONTH('Construction Budget'!$M67,0)-EOMONTH(AX$11,0))/30)+1,0),0)</f>
        <v>0</v>
      </c>
      <c r="AY210" s="427">
        <f>-IF(AND(AY$11&gt;=EOMONTH('Construction Budget'!$K67,0),AY$11&lt;=EOMONTH('Construction Budget'!$M67,0)),('Construction Budget'!$G67+SUM($G210:AX210))/ROUND(((EOMONTH('Construction Budget'!$M67,0)-EOMONTH(AY$11,0))/30)+1,0),0)</f>
        <v>0</v>
      </c>
      <c r="AZ210" s="427">
        <f>-IF(AND(AZ$11&gt;=EOMONTH('Construction Budget'!$K67,0),AZ$11&lt;=EOMONTH('Construction Budget'!$M67,0)),('Construction Budget'!$G67+SUM($G210:AY210))/ROUND(((EOMONTH('Construction Budget'!$M67,0)-EOMONTH(AZ$11,0))/30)+1,0),0)</f>
        <v>0</v>
      </c>
      <c r="BA210" s="427">
        <f>-IF(AND(BA$11&gt;=EOMONTH('Construction Budget'!$K67,0),BA$11&lt;=EOMONTH('Construction Budget'!$M67,0)),('Construction Budget'!$G67+SUM($G210:AZ210))/ROUND(((EOMONTH('Construction Budget'!$M67,0)-EOMONTH(BA$11,0))/30)+1,0),0)</f>
        <v>0</v>
      </c>
      <c r="BB210" s="427">
        <f>-IF(AND(BB$11&gt;=EOMONTH('Construction Budget'!$K67,0),BB$11&lt;=EOMONTH('Construction Budget'!$M67,0)),('Construction Budget'!$G67+SUM($G210:BA210))/ROUND(((EOMONTH('Construction Budget'!$M67,0)-EOMONTH(BB$11,0))/30)+1,0),0)</f>
        <v>0</v>
      </c>
      <c r="BC210" s="427">
        <f>-IF(AND(BC$11&gt;=EOMONTH('Construction Budget'!$K67,0),BC$11&lt;=EOMONTH('Construction Budget'!$M67,0)),('Construction Budget'!$G67+SUM($G210:BB210))/ROUND(((EOMONTH('Construction Budget'!$M67,0)-EOMONTH(BC$11,0))/30)+1,0),0)</f>
        <v>0</v>
      </c>
      <c r="BD210" s="427">
        <f>-IF(AND(BD$11&gt;=EOMONTH('Construction Budget'!$K67,0),BD$11&lt;=EOMONTH('Construction Budget'!$M67,0)),('Construction Budget'!$G67+SUM($G210:BC210))/ROUND(((EOMONTH('Construction Budget'!$M67,0)-EOMONTH(BD$11,0))/30)+1,0),0)</f>
        <v>0</v>
      </c>
      <c r="BE210" s="427">
        <f>-IF(AND(BE$11&gt;=EOMONTH('Construction Budget'!$K67,0),BE$11&lt;=EOMONTH('Construction Budget'!$M67,0)),('Construction Budget'!$G67+SUM($G210:BD210))/ROUND(((EOMONTH('Construction Budget'!$M67,0)-EOMONTH(BE$11,0))/30)+1,0),0)</f>
        <v>0</v>
      </c>
      <c r="BF210" s="427">
        <f>-IF(AND(BF$11&gt;=EOMONTH('Construction Budget'!$K67,0),BF$11&lt;=EOMONTH('Construction Budget'!$M67,0)),('Construction Budget'!$G67+SUM($G210:BE210))/ROUND(((EOMONTH('Construction Budget'!$M67,0)-EOMONTH(BF$11,0))/30)+1,0),0)</f>
        <v>0</v>
      </c>
      <c r="BG210" s="427">
        <f>-IF(AND(BG$11&gt;=EOMONTH('Construction Budget'!$K67,0),BG$11&lt;=EOMONTH('Construction Budget'!$M67,0)),('Construction Budget'!$G67+SUM($G210:BF210))/ROUND(((EOMONTH('Construction Budget'!$M67,0)-EOMONTH(BG$11,0))/30)+1,0),0)</f>
        <v>0</v>
      </c>
      <c r="BH210" s="427">
        <f>-IF(AND(BH$11&gt;=EOMONTH('Construction Budget'!$K67,0),BH$11&lt;=EOMONTH('Construction Budget'!$M67,0)),('Construction Budget'!$G67+SUM($G210:BG210))/ROUND(((EOMONTH('Construction Budget'!$M67,0)-EOMONTH(BH$11,0))/30)+1,0),0)</f>
        <v>0</v>
      </c>
      <c r="BI210" s="427">
        <f>-IF(AND(BI$11&gt;=EOMONTH('Construction Budget'!$K67,0),BI$11&lt;=EOMONTH('Construction Budget'!$M67,0)),('Construction Budget'!$G67+SUM($G210:BH210))/ROUND(((EOMONTH('Construction Budget'!$M67,0)-EOMONTH(BI$11,0))/30)+1,0),0)</f>
        <v>0</v>
      </c>
      <c r="BJ210" s="427">
        <f>-IF(AND(BJ$11&gt;=EOMONTH('Construction Budget'!$K67,0),BJ$11&lt;=EOMONTH('Construction Budget'!$M67,0)),('Construction Budget'!$G67+SUM($G210:BI210))/ROUND(((EOMONTH('Construction Budget'!$M67,0)-EOMONTH(BJ$11,0))/30)+1,0),0)</f>
        <v>0</v>
      </c>
      <c r="BK210" s="427">
        <f>-IF(AND(BK$11&gt;=EOMONTH('Construction Budget'!$K67,0),BK$11&lt;=EOMONTH('Construction Budget'!$M67,0)),('Construction Budget'!$G67+SUM($G210:BJ210))/ROUND(((EOMONTH('Construction Budget'!$M67,0)-EOMONTH(BK$11,0))/30)+1,0),0)</f>
        <v>0</v>
      </c>
      <c r="BL210" s="427">
        <f>-IF(AND(BL$11&gt;=EOMONTH('Construction Budget'!$K67,0),BL$11&lt;=EOMONTH('Construction Budget'!$M67,0)),('Construction Budget'!$G67+SUM($G210:BK210))/ROUND(((EOMONTH('Construction Budget'!$M67,0)-EOMONTH(BL$11,0))/30)+1,0),0)</f>
        <v>0</v>
      </c>
      <c r="BM210" s="427">
        <f>-IF(AND(BM$11&gt;=EOMONTH('Construction Budget'!$K67,0),BM$11&lt;=EOMONTH('Construction Budget'!$M67,0)),('Construction Budget'!$G67+SUM($G210:BL210))/ROUND(((EOMONTH('Construction Budget'!$M67,0)-EOMONTH(BM$11,0))/30)+1,0),0)</f>
        <v>0</v>
      </c>
      <c r="BN210" s="427">
        <f>-IF(AND(BN$11&gt;=EOMONTH('Construction Budget'!$K67,0),BN$11&lt;=EOMONTH('Construction Budget'!$M67,0)),('Construction Budget'!$G67+SUM($G210:BM210))/ROUND(((EOMONTH('Construction Budget'!$M67,0)-EOMONTH(BN$11,0))/30)+1,0),0)</f>
        <v>0</v>
      </c>
      <c r="BO210" s="427">
        <f>-IF(AND(BO$11&gt;=EOMONTH('Construction Budget'!$K67,0),BO$11&lt;=EOMONTH('Construction Budget'!$M67,0)),('Construction Budget'!$G67+SUM($G210:BN210))/ROUND(((EOMONTH('Construction Budget'!$M67,0)-EOMONTH(BO$11,0))/30)+1,0),0)</f>
        <v>0</v>
      </c>
      <c r="BP210" s="427">
        <f>-IF(AND(BP$11&gt;=EOMONTH('Construction Budget'!$K67,0),BP$11&lt;=EOMONTH('Construction Budget'!$M67,0)),('Construction Budget'!$G67+SUM($G210:BO210))/ROUND(((EOMONTH('Construction Budget'!$M67,0)-EOMONTH(BP$11,0))/30)+1,0),0)</f>
        <v>0</v>
      </c>
      <c r="BQ210" s="427">
        <f>-IF(AND(BQ$11&gt;=EOMONTH('Construction Budget'!$K67,0),BQ$11&lt;=EOMONTH('Construction Budget'!$M67,0)),('Construction Budget'!$G67+SUM($G210:BP210))/ROUND(((EOMONTH('Construction Budget'!$M67,0)-EOMONTH(BQ$11,0))/30)+1,0),0)</f>
        <v>0</v>
      </c>
      <c r="BR210" s="427">
        <f>-IF(AND(BR$11&gt;=EOMONTH('Construction Budget'!$K67,0),BR$11&lt;=EOMONTH('Construction Budget'!$M67,0)),('Construction Budget'!$G67+SUM($G210:BQ210))/ROUND(((EOMONTH('Construction Budget'!$M67,0)-EOMONTH(BR$11,0))/30)+1,0),0)</f>
        <v>0</v>
      </c>
      <c r="BS210" s="427">
        <f>-IF(AND(BS$11&gt;=EOMONTH('Construction Budget'!$K67,0),BS$11&lt;=EOMONTH('Construction Budget'!$M67,0)),('Construction Budget'!$G67+SUM($G210:BR210))/ROUND(((EOMONTH('Construction Budget'!$M67,0)-EOMONTH(BS$11,0))/30)+1,0),0)</f>
        <v>0</v>
      </c>
      <c r="BT210" s="427">
        <f>-IF(AND(BT$11&gt;=EOMONTH('Construction Budget'!$K67,0),BT$11&lt;=EOMONTH('Construction Budget'!$M67,0)),('Construction Budget'!$G67+SUM($G210:BS210))/ROUND(((EOMONTH('Construction Budget'!$M67,0)-EOMONTH(BT$11,0))/30)+1,0),0)</f>
        <v>0</v>
      </c>
      <c r="BU210" s="427">
        <f>-IF(AND(BU$11&gt;=EOMONTH('Construction Budget'!$K67,0),BU$11&lt;=EOMONTH('Construction Budget'!$M67,0)),('Construction Budget'!$G67+SUM($G210:BT210))/ROUND(((EOMONTH('Construction Budget'!$M67,0)-EOMONTH(BU$11,0))/30)+1,0),0)</f>
        <v>0</v>
      </c>
      <c r="BV210" s="427">
        <f>-IF(AND(BV$11&gt;=EOMONTH('Construction Budget'!$K67,0),BV$11&lt;=EOMONTH('Construction Budget'!$M67,0)),('Construction Budget'!$G67+SUM($G210:BU210))/ROUND(((EOMONTH('Construction Budget'!$M67,0)-EOMONTH(BV$11,0))/30)+1,0),0)</f>
        <v>0</v>
      </c>
      <c r="BW210" s="427">
        <f>-IF(AND(BW$11&gt;=EOMONTH('Construction Budget'!$K67,0),BW$11&lt;=EOMONTH('Construction Budget'!$M67,0)),('Construction Budget'!$G67+SUM($G210:BV210))/ROUND(((EOMONTH('Construction Budget'!$M67,0)-EOMONTH(BW$11,0))/30)+1,0),0)</f>
        <v>0</v>
      </c>
      <c r="BX210" s="427">
        <f>-IF(AND(BX$11&gt;=EOMONTH('Construction Budget'!$K67,0),BX$11&lt;=EOMONTH('Construction Budget'!$M67,0)),('Construction Budget'!$G67+SUM($G210:BW210))/ROUND(((EOMONTH('Construction Budget'!$M67,0)-EOMONTH(BX$11,0))/30)+1,0),0)</f>
        <v>0</v>
      </c>
      <c r="BY210" s="427">
        <f>-IF(AND(BY$11&gt;=EOMONTH('Construction Budget'!$K67,0),BY$11&lt;=EOMONTH('Construction Budget'!$M67,0)),('Construction Budget'!$G67+SUM($G210:BX210))/ROUND(((EOMONTH('Construction Budget'!$M67,0)-EOMONTH(BY$11,0))/30)+1,0),0)</f>
        <v>0</v>
      </c>
      <c r="BZ210" s="427">
        <f>-IF(AND(BZ$11&gt;=EOMONTH('Construction Budget'!$K67,0),BZ$11&lt;=EOMONTH('Construction Budget'!$M67,0)),('Construction Budget'!$G67+SUM($G210:BY210))/ROUND(((EOMONTH('Construction Budget'!$M67,0)-EOMONTH(BZ$11,0))/30)+1,0),0)</f>
        <v>0</v>
      </c>
      <c r="CA210" s="427">
        <f>-IF(AND(CA$11&gt;=EOMONTH('Construction Budget'!$K67,0),CA$11&lt;=EOMONTH('Construction Budget'!$M67,0)),('Construction Budget'!$G67+SUM($G210:BZ210))/ROUND(((EOMONTH('Construction Budget'!$M67,0)-EOMONTH(CA$11,0))/30)+1,0),0)</f>
        <v>0</v>
      </c>
      <c r="CB210" s="427">
        <f>-IF(AND(CB$11&gt;=EOMONTH('Construction Budget'!$K67,0),CB$11&lt;=EOMONTH('Construction Budget'!$M67,0)),('Construction Budget'!$G67+SUM($G210:CA210))/ROUND(((EOMONTH('Construction Budget'!$M67,0)-EOMONTH(CB$11,0))/30)+1,0),0)</f>
        <v>0</v>
      </c>
      <c r="CC210" s="427">
        <f>-IF(AND(CC$11&gt;=EOMONTH('Construction Budget'!$K67,0),CC$11&lt;=EOMONTH('Construction Budget'!$M67,0)),('Construction Budget'!$G67+SUM($G210:CB210))/ROUND(((EOMONTH('Construction Budget'!$M67,0)-EOMONTH(CC$11,0))/30)+1,0),0)</f>
        <v>0</v>
      </c>
      <c r="CD210" s="427">
        <f>-IF(AND(CD$11&gt;=EOMONTH('Construction Budget'!$K67,0),CD$11&lt;=EOMONTH('Construction Budget'!$M67,0)),('Construction Budget'!$G67+SUM($G210:CC210))/ROUND(((EOMONTH('Construction Budget'!$M67,0)-EOMONTH(CD$11,0))/30)+1,0),0)</f>
        <v>0</v>
      </c>
      <c r="CE210" s="427">
        <f>-IF(AND(CE$11&gt;=EOMONTH('Construction Budget'!$K67,0),CE$11&lt;=EOMONTH('Construction Budget'!$M67,0)),('Construction Budget'!$G67+SUM($G210:CD210))/ROUND(((EOMONTH('Construction Budget'!$M67,0)-EOMONTH(CE$11,0))/30)+1,0),0)</f>
        <v>0</v>
      </c>
      <c r="CF210" s="427">
        <f>-IF(AND(CF$11&gt;=EOMONTH('Construction Budget'!$K67,0),CF$11&lt;=EOMONTH('Construction Budget'!$M67,0)),('Construction Budget'!$G67+SUM($G210:CE210))/ROUND(((EOMONTH('Construction Budget'!$M67,0)-EOMONTH(CF$11,0))/30)+1,0),0)</f>
        <v>0</v>
      </c>
      <c r="CG210" s="427">
        <f>-IF(AND(CG$11&gt;=EOMONTH('Construction Budget'!$K67,0),CG$11&lt;=EOMONTH('Construction Budget'!$M67,0)),('Construction Budget'!$G67+SUM($G210:CF210))/ROUND(((EOMONTH('Construction Budget'!$M67,0)-EOMONTH(CG$11,0))/30)+1,0),0)</f>
        <v>0</v>
      </c>
      <c r="CH210" s="427">
        <f>-IF(AND(CH$11&gt;=EOMONTH('Construction Budget'!$K67,0),CH$11&lt;=EOMONTH('Construction Budget'!$M67,0)),('Construction Budget'!$G67+SUM($G210:CG210))/ROUND(((EOMONTH('Construction Budget'!$M67,0)-EOMONTH(CH$11,0))/30)+1,0),0)</f>
        <v>0</v>
      </c>
      <c r="CI210" s="427">
        <f>-IF(AND(CI$11&gt;=EOMONTH('Construction Budget'!$K67,0),CI$11&lt;=EOMONTH('Construction Budget'!$M67,0)),('Construction Budget'!$G67+SUM($G210:CH210))/ROUND(((EOMONTH('Construction Budget'!$M67,0)-EOMONTH(CI$11,0))/30)+1,0),0)</f>
        <v>0</v>
      </c>
      <c r="CJ210" s="427">
        <f>-IF(AND(CJ$11&gt;=EOMONTH('Construction Budget'!$K67,0),CJ$11&lt;=EOMONTH('Construction Budget'!$M67,0)),('Construction Budget'!$G67+SUM($G210:CI210))/ROUND(((EOMONTH('Construction Budget'!$M67,0)-EOMONTH(CJ$11,0))/30)+1,0),0)</f>
        <v>0</v>
      </c>
      <c r="CK210" s="427">
        <f>-IF(AND(CK$11&gt;=EOMONTH('Construction Budget'!$K67,0),CK$11&lt;=EOMONTH('Construction Budget'!$M67,0)),('Construction Budget'!$G67+SUM($G210:CJ210))/ROUND(((EOMONTH('Construction Budget'!$M67,0)-EOMONTH(CK$11,0))/30)+1,0),0)</f>
        <v>0</v>
      </c>
      <c r="CL210" s="427">
        <f>-IF(AND(CL$11&gt;=EOMONTH('Construction Budget'!$K67,0),CL$11&lt;=EOMONTH('Construction Budget'!$M67,0)),('Construction Budget'!$G67+SUM($G210:CK210))/ROUND(((EOMONTH('Construction Budget'!$M67,0)-EOMONTH(CL$11,0))/30)+1,0),0)</f>
        <v>0</v>
      </c>
      <c r="CM210" s="427">
        <f>-IF(AND(CM$11&gt;=EOMONTH('Construction Budget'!$K67,0),CM$11&lt;=EOMONTH('Construction Budget'!$M67,0)),('Construction Budget'!$G67+SUM($G210:CL210))/ROUND(((EOMONTH('Construction Budget'!$M67,0)-EOMONTH(CM$11,0))/30)+1,0),0)</f>
        <v>0</v>
      </c>
      <c r="CN210" s="427">
        <f>-IF(AND(CN$11&gt;=EOMONTH('Construction Budget'!$K67,0),CN$11&lt;=EOMONTH('Construction Budget'!$M67,0)),('Construction Budget'!$G67+SUM($G210:CM210))/ROUND(((EOMONTH('Construction Budget'!$M67,0)-EOMONTH(CN$11,0))/30)+1,0),0)</f>
        <v>0</v>
      </c>
      <c r="CO210" s="427">
        <f>-IF(AND(CO$11&gt;=EOMONTH('Construction Budget'!$K67,0),CO$11&lt;=EOMONTH('Construction Budget'!$M67,0)),('Construction Budget'!$G67+SUM($G210:CN210))/ROUND(((EOMONTH('Construction Budget'!$M67,0)-EOMONTH(CO$11,0))/30)+1,0),0)</f>
        <v>0</v>
      </c>
      <c r="CP210" s="427">
        <f>-IF(AND(CP$11&gt;=EOMONTH('Construction Budget'!$K67,0),CP$11&lt;=EOMONTH('Construction Budget'!$M67,0)),('Construction Budget'!$G67+SUM($G210:CO210))/ROUND(((EOMONTH('Construction Budget'!$M67,0)-EOMONTH(CP$11,0))/30)+1,0),0)</f>
        <v>0</v>
      </c>
      <c r="CQ210" s="427">
        <f>-IF(AND(CQ$11&gt;=EOMONTH('Construction Budget'!$K67,0),CQ$11&lt;=EOMONTH('Construction Budget'!$M67,0)),('Construction Budget'!$G67+SUM($G210:CP210))/ROUND(((EOMONTH('Construction Budget'!$M67,0)-EOMONTH(CQ$11,0))/30)+1,0),0)</f>
        <v>0</v>
      </c>
      <c r="CR210" s="427">
        <f>-IF(AND(CR$11&gt;=EOMONTH('Construction Budget'!$K67,0),CR$11&lt;=EOMONTH('Construction Budget'!$M67,0)),('Construction Budget'!$G67+SUM($G210:CQ210))/ROUND(((EOMONTH('Construction Budget'!$M67,0)-EOMONTH(CR$11,0))/30)+1,0),0)</f>
        <v>0</v>
      </c>
      <c r="CS210" s="427">
        <f>-IF(AND(CS$11&gt;=EOMONTH('Construction Budget'!$K67,0),CS$11&lt;=EOMONTH('Construction Budget'!$M67,0)),('Construction Budget'!$G67+SUM($G210:CR210))/ROUND(((EOMONTH('Construction Budget'!$M67,0)-EOMONTH(CS$11,0))/30)+1,0),0)</f>
        <v>0</v>
      </c>
      <c r="CT210" s="427">
        <f>-IF(AND(CT$11&gt;=EOMONTH('Construction Budget'!$K67,0),CT$11&lt;=EOMONTH('Construction Budget'!$M67,0)),('Construction Budget'!$G67+SUM($G210:CS210))/ROUND(((EOMONTH('Construction Budget'!$M67,0)-EOMONTH(CT$11,0))/30)+1,0),0)</f>
        <v>0</v>
      </c>
      <c r="CU210" s="427">
        <f>-IF(AND(CU$11&gt;=EOMONTH('Construction Budget'!$K67,0),CU$11&lt;=EOMONTH('Construction Budget'!$M67,0)),('Construction Budget'!$G67+SUM($G210:CT210))/ROUND(((EOMONTH('Construction Budget'!$M67,0)-EOMONTH(CU$11,0))/30)+1,0),0)</f>
        <v>0</v>
      </c>
      <c r="CV210" s="427">
        <f>-IF(AND(CV$11&gt;=EOMONTH('Construction Budget'!$K67,0),CV$11&lt;=EOMONTH('Construction Budget'!$M67,0)),('Construction Budget'!$G67+SUM($G210:CU210))/ROUND(((EOMONTH('Construction Budget'!$M67,0)-EOMONTH(CV$11,0))/30)+1,0),0)</f>
        <v>0</v>
      </c>
      <c r="CW210" s="427">
        <f>-IF(AND(CW$11&gt;=EOMONTH('Construction Budget'!$K67,0),CW$11&lt;=EOMONTH('Construction Budget'!$M67,0)),('Construction Budget'!$G67+SUM($G210:CV210))/ROUND(((EOMONTH('Construction Budget'!$M67,0)-EOMONTH(CW$11,0))/30)+1,0),0)</f>
        <v>0</v>
      </c>
      <c r="CX210" s="427">
        <f>-IF(AND(CX$11&gt;=EOMONTH('Construction Budget'!$K67,0),CX$11&lt;=EOMONTH('Construction Budget'!$M67,0)),('Construction Budget'!$G67+SUM($G210:CW210))/ROUND(((EOMONTH('Construction Budget'!$M67,0)-EOMONTH(CX$11,0))/30)+1,0),0)</f>
        <v>0</v>
      </c>
      <c r="CY210" s="427">
        <f>-IF(AND(CY$11&gt;=EOMONTH('Construction Budget'!$K67,0),CY$11&lt;=EOMONTH('Construction Budget'!$M67,0)),('Construction Budget'!$G67+SUM($G210:CX210))/ROUND(((EOMONTH('Construction Budget'!$M67,0)-EOMONTH(CY$11,0))/30)+1,0),0)</f>
        <v>0</v>
      </c>
      <c r="CZ210" s="427">
        <f>-IF(AND(CZ$11&gt;=EOMONTH('Construction Budget'!$K67,0),CZ$11&lt;=EOMONTH('Construction Budget'!$M67,0)),('Construction Budget'!$G67+SUM($G210:CY210))/ROUND(((EOMONTH('Construction Budget'!$M67,0)-EOMONTH(CZ$11,0))/30)+1,0),0)</f>
        <v>0</v>
      </c>
      <c r="DA210" s="427">
        <f>-IF(AND(DA$11&gt;=EOMONTH('Construction Budget'!$K67,0),DA$11&lt;=EOMONTH('Construction Budget'!$M67,0)),('Construction Budget'!$G67+SUM($G210:CZ210))/ROUND(((EOMONTH('Construction Budget'!$M67,0)-EOMONTH(DA$11,0))/30)+1,0),0)</f>
        <v>0</v>
      </c>
      <c r="DB210" s="427">
        <f>-IF(AND(DB$11&gt;=EOMONTH('Construction Budget'!$K67,0),DB$11&lt;=EOMONTH('Construction Budget'!$M67,0)),('Construction Budget'!$G67+SUM($G210:DA210))/ROUND(((EOMONTH('Construction Budget'!$M67,0)-EOMONTH(DB$11,0))/30)+1,0),0)</f>
        <v>0</v>
      </c>
      <c r="DC210" s="427">
        <f>-IF(AND(DC$11&gt;=EOMONTH('Construction Budget'!$K67,0),DC$11&lt;=EOMONTH('Construction Budget'!$M67,0)),('Construction Budget'!$G67+SUM($G210:DB210))/ROUND(((EOMONTH('Construction Budget'!$M67,0)-EOMONTH(DC$11,0))/30)+1,0),0)</f>
        <v>0</v>
      </c>
      <c r="DD210" s="427">
        <f>-IF(AND(DD$11&gt;=EOMONTH('Construction Budget'!$K67,0),DD$11&lt;=EOMONTH('Construction Budget'!$M67,0)),('Construction Budget'!$G67+SUM($G210:DC210))/ROUND(((EOMONTH('Construction Budget'!$M67,0)-EOMONTH(DD$11,0))/30)+1,0),0)</f>
        <v>0</v>
      </c>
      <c r="DE210" s="427">
        <f>-IF(AND(DE$11&gt;=EOMONTH('Construction Budget'!$K67,0),DE$11&lt;=EOMONTH('Construction Budget'!$M67,0)),('Construction Budget'!$G67+SUM($G210:DD210))/ROUND(((EOMONTH('Construction Budget'!$M67,0)-EOMONTH(DE$11,0))/30)+1,0),0)</f>
        <v>0</v>
      </c>
      <c r="DF210" s="427">
        <f>-IF(AND(DF$11&gt;=EOMONTH('Construction Budget'!$K67,0),DF$11&lt;=EOMONTH('Construction Budget'!$M67,0)),('Construction Budget'!$G67+SUM($G210:DE210))/ROUND(((EOMONTH('Construction Budget'!$M67,0)-EOMONTH(DF$11,0))/30)+1,0),0)</f>
        <v>0</v>
      </c>
      <c r="DG210" s="427">
        <f>-IF(AND(DG$11&gt;=EOMONTH('Construction Budget'!$K67,0),DG$11&lt;=EOMONTH('Construction Budget'!$M67,0)),('Construction Budget'!$G67+SUM($G210:DF210))/ROUND(((EOMONTH('Construction Budget'!$M67,0)-EOMONTH(DG$11,0))/30)+1,0),0)</f>
        <v>0</v>
      </c>
      <c r="DH210" s="427">
        <f>-IF(AND(DH$11&gt;=EOMONTH('Construction Budget'!$K67,0),DH$11&lt;=EOMONTH('Construction Budget'!$M67,0)),('Construction Budget'!$G67+SUM($G210:DG210))/ROUND(((EOMONTH('Construction Budget'!$M67,0)-EOMONTH(DH$11,0))/30)+1,0),0)</f>
        <v>0</v>
      </c>
      <c r="DI210" s="427">
        <f>-IF(AND(DI$11&gt;=EOMONTH('Construction Budget'!$K67,0),DI$11&lt;=EOMONTH('Construction Budget'!$M67,0)),('Construction Budget'!$G67+SUM($G210:DH210))/ROUND(((EOMONTH('Construction Budget'!$M67,0)-EOMONTH(DI$11,0))/30)+1,0),0)</f>
        <v>0</v>
      </c>
      <c r="DJ210" s="427">
        <f>-IF(AND(DJ$11&gt;=EOMONTH('Construction Budget'!$K67,0),DJ$11&lt;=EOMONTH('Construction Budget'!$M67,0)),('Construction Budget'!$G67+SUM($G210:DI210))/ROUND(((EOMONTH('Construction Budget'!$M67,0)-EOMONTH(DJ$11,0))/30)+1,0),0)</f>
        <v>0</v>
      </c>
      <c r="DK210" s="427">
        <f>-IF(AND(DK$11&gt;=EOMONTH('Construction Budget'!$K67,0),DK$11&lt;=EOMONTH('Construction Budget'!$M67,0)),('Construction Budget'!$G67+SUM($G210:DJ210))/ROUND(((EOMONTH('Construction Budget'!$M67,0)-EOMONTH(DK$11,0))/30)+1,0),0)</f>
        <v>0</v>
      </c>
      <c r="DL210" s="427">
        <f>-IF(AND(DL$11&gt;=EOMONTH('Construction Budget'!$K67,0),DL$11&lt;=EOMONTH('Construction Budget'!$M67,0)),('Construction Budget'!$G67+SUM($G210:DK210))/ROUND(((EOMONTH('Construction Budget'!$M67,0)-EOMONTH(DL$11,0))/30)+1,0),0)</f>
        <v>0</v>
      </c>
      <c r="DM210" s="427">
        <f>-IF(AND(DM$11&gt;=EOMONTH('Construction Budget'!$K67,0),DM$11&lt;=EOMONTH('Construction Budget'!$M67,0)),('Construction Budget'!$G67+SUM($G210:DL210))/ROUND(((EOMONTH('Construction Budget'!$M67,0)-EOMONTH(DM$11,0))/30)+1,0),0)</f>
        <v>0</v>
      </c>
      <c r="DN210" s="427">
        <f>-IF(AND(DN$11&gt;=EOMONTH('Construction Budget'!$K67,0),DN$11&lt;=EOMONTH('Construction Budget'!$M67,0)),('Construction Budget'!$G67+SUM($G210:DM210))/ROUND(((EOMONTH('Construction Budget'!$M67,0)-EOMONTH(DN$11,0))/30)+1,0),0)</f>
        <v>0</v>
      </c>
      <c r="DO210" s="427">
        <f>-IF(AND(DO$11&gt;=EOMONTH('Construction Budget'!$K67,0),DO$11&lt;=EOMONTH('Construction Budget'!$M67,0)),('Construction Budget'!$G67+SUM($G210:DN210))/ROUND(((EOMONTH('Construction Budget'!$M67,0)-EOMONTH(DO$11,0))/30)+1,0),0)</f>
        <v>0</v>
      </c>
      <c r="DP210" s="427">
        <f>-IF(AND(DP$11&gt;=EOMONTH('Construction Budget'!$K67,0),DP$11&lt;=EOMONTH('Construction Budget'!$M67,0)),('Construction Budget'!$G67+SUM($G210:DO210))/ROUND(((EOMONTH('Construction Budget'!$M67,0)-EOMONTH(DP$11,0))/30)+1,0),0)</f>
        <v>0</v>
      </c>
      <c r="DQ210" s="427">
        <f>-IF(AND(DQ$11&gt;=EOMONTH('Construction Budget'!$K67,0),DQ$11&lt;=EOMONTH('Construction Budget'!$M67,0)),('Construction Budget'!$G67+SUM($G210:DP210))/ROUND(((EOMONTH('Construction Budget'!$M67,0)-EOMONTH(DQ$11,0))/30)+1,0),0)</f>
        <v>0</v>
      </c>
      <c r="DR210" s="427">
        <f>-IF(AND(DR$11&gt;=EOMONTH('Construction Budget'!$K67,0),DR$11&lt;=EOMONTH('Construction Budget'!$M67,0)),('Construction Budget'!$G67+SUM($G210:DQ210))/ROUND(((EOMONTH('Construction Budget'!$M67,0)-EOMONTH(DR$11,0))/30)+1,0),0)</f>
        <v>0</v>
      </c>
      <c r="DS210" s="427">
        <f>-IF(AND(DS$11&gt;=EOMONTH('Construction Budget'!$K67,0),DS$11&lt;=EOMONTH('Construction Budget'!$M67,0)),('Construction Budget'!$G67+SUM($G210:DR210))/ROUND(((EOMONTH('Construction Budget'!$M67,0)-EOMONTH(DS$11,0))/30)+1,0),0)</f>
        <v>0</v>
      </c>
      <c r="DT210" s="427">
        <f>-IF(AND(DT$11&gt;=EOMONTH('Construction Budget'!$K67,0),DT$11&lt;=EOMONTH('Construction Budget'!$M67,0)),('Construction Budget'!$G67+SUM($G210:DS210))/ROUND(((EOMONTH('Construction Budget'!$M67,0)-EOMONTH(DT$11,0))/30)+1,0),0)</f>
        <v>0</v>
      </c>
      <c r="DU210" s="427">
        <f>-IF(AND(DU$11&gt;=EOMONTH('Construction Budget'!$K67,0),DU$11&lt;=EOMONTH('Construction Budget'!$M67,0)),('Construction Budget'!$G67+SUM($G210:DT210))/ROUND(((EOMONTH('Construction Budget'!$M67,0)-EOMONTH(DU$11,0))/30)+1,0),0)</f>
        <v>0</v>
      </c>
      <c r="DV210" s="427">
        <f>-IF(AND(DV$11&gt;=EOMONTH('Construction Budget'!$K67,0),DV$11&lt;=EOMONTH('Construction Budget'!$M67,0)),('Construction Budget'!$G67+SUM($G210:DU210))/ROUND(((EOMONTH('Construction Budget'!$M67,0)-EOMONTH(DV$11,0))/30)+1,0),0)</f>
        <v>0</v>
      </c>
      <c r="DW210" s="427">
        <f>-IF(AND(DW$11&gt;=EOMONTH('Construction Budget'!$K67,0),DW$11&lt;=EOMONTH('Construction Budget'!$M67,0)),('Construction Budget'!$G67+SUM($G210:DV210))/ROUND(((EOMONTH('Construction Budget'!$M67,0)-EOMONTH(DW$11,0))/30)+1,0),0)</f>
        <v>0</v>
      </c>
      <c r="DX210" s="427">
        <f>-IF(AND(DX$11&gt;=EOMONTH('Construction Budget'!$K67,0),DX$11&lt;=EOMONTH('Construction Budget'!$M67,0)),('Construction Budget'!$G67+SUM($G210:DW210))/ROUND(((EOMONTH('Construction Budget'!$M67,0)-EOMONTH(DX$11,0))/30)+1,0),0)</f>
        <v>0</v>
      </c>
      <c r="DY210" s="427">
        <f>-IF(AND(DY$11&gt;=EOMONTH('Construction Budget'!$K67,0),DY$11&lt;=EOMONTH('Construction Budget'!$M67,0)),('Construction Budget'!$G67+SUM($G210:DX210))/ROUND(((EOMONTH('Construction Budget'!$M67,0)-EOMONTH(DY$11,0))/30)+1,0),0)</f>
        <v>0</v>
      </c>
      <c r="DZ210" s="427">
        <f>-IF(AND(DZ$11&gt;=EOMONTH('Construction Budget'!$K67,0),DZ$11&lt;=EOMONTH('Construction Budget'!$M67,0)),('Construction Budget'!$G67+SUM($G210:DY210))/ROUND(((EOMONTH('Construction Budget'!$M67,0)-EOMONTH(DZ$11,0))/30)+1,0),0)</f>
        <v>0</v>
      </c>
      <c r="EA210" s="427">
        <f>-IF(AND(EA$11&gt;=EOMONTH('Construction Budget'!$K67,0),EA$11&lt;=EOMONTH('Construction Budget'!$M67,0)),('Construction Budget'!$G67+SUM($G210:DZ210))/ROUND(((EOMONTH('Construction Budget'!$M67,0)-EOMONTH(EA$11,0))/30)+1,0),0)</f>
        <v>0</v>
      </c>
      <c r="EB210" s="427">
        <f>-IF(AND(EB$11&gt;=EOMONTH('Construction Budget'!$K67,0),EB$11&lt;=EOMONTH('Construction Budget'!$M67,0)),('Construction Budget'!$G67+SUM($G210:EA210))/ROUND(((EOMONTH('Construction Budget'!$M67,0)-EOMONTH(EB$11,0))/30)+1,0),0)</f>
        <v>0</v>
      </c>
      <c r="EC210" s="427">
        <f>-IF(AND(EC$11&gt;=EOMONTH('Construction Budget'!$K67,0),EC$11&lt;=EOMONTH('Construction Budget'!$M67,0)),('Construction Budget'!$G67+SUM($G210:EB210))/ROUND(((EOMONTH('Construction Budget'!$M67,0)-EOMONTH(EC$11,0))/30)+1,0),0)</f>
        <v>0</v>
      </c>
      <c r="ED210" s="427">
        <f>-IF(AND(ED$11&gt;=EOMONTH('Construction Budget'!$K67,0),ED$11&lt;=EOMONTH('Construction Budget'!$M67,0)),('Construction Budget'!$G67+SUM($G210:EC210))/ROUND(((EOMONTH('Construction Budget'!$M67,0)-EOMONTH(ED$11,0))/30)+1,0),0)</f>
        <v>0</v>
      </c>
      <c r="EE210" s="427">
        <f>-IF(AND(EE$11&gt;=EOMONTH('Construction Budget'!$K67,0),EE$11&lt;=EOMONTH('Construction Budget'!$M67,0)),('Construction Budget'!$G67+SUM($G210:ED210))/ROUND(((EOMONTH('Construction Budget'!$M67,0)-EOMONTH(EE$11,0))/30)+1,0),0)</f>
        <v>0</v>
      </c>
      <c r="EF210" s="427">
        <f>-IF(AND(EF$11&gt;=EOMONTH('Construction Budget'!$K67,0),EF$11&lt;=EOMONTH('Construction Budget'!$M67,0)),('Construction Budget'!$G67+SUM($G210:EE210))/ROUND(((EOMONTH('Construction Budget'!$M67,0)-EOMONTH(EF$11,0))/30)+1,0),0)</f>
        <v>0</v>
      </c>
      <c r="EG210" s="427">
        <f>-IF(AND(EG$11&gt;=EOMONTH('Construction Budget'!$K67,0),EG$11&lt;=EOMONTH('Construction Budget'!$M67,0)),('Construction Budget'!$G67+SUM($G210:EF210))/ROUND(((EOMONTH('Construction Budget'!$M67,0)-EOMONTH(EG$11,0))/30)+1,0),0)</f>
        <v>0</v>
      </c>
      <c r="EH210" s="427">
        <f>-IF(AND(EH$11&gt;=EOMONTH('Construction Budget'!$K67,0),EH$11&lt;=EOMONTH('Construction Budget'!$M67,0)),('Construction Budget'!$G67+SUM($G210:EG210))/ROUND(((EOMONTH('Construction Budget'!$M67,0)-EOMONTH(EH$11,0))/30)+1,0),0)</f>
        <v>0</v>
      </c>
      <c r="EI210" s="427">
        <f>-IF(AND(EI$11&gt;=EOMONTH('Construction Budget'!$K67,0),EI$11&lt;=EOMONTH('Construction Budget'!$M67,0)),('Construction Budget'!$G67+SUM($G210:EH210))/ROUND(((EOMONTH('Construction Budget'!$M67,0)-EOMONTH(EI$11,0))/30)+1,0),0)</f>
        <v>0</v>
      </c>
      <c r="EJ210" s="427">
        <f>-IF(AND(EJ$11&gt;=EOMONTH('Construction Budget'!$K67,0),EJ$11&lt;=EOMONTH('Construction Budget'!$M67,0)),('Construction Budget'!$G67+SUM($G210:EI210))/ROUND(((EOMONTH('Construction Budget'!$M67,0)-EOMONTH(EJ$11,0))/30)+1,0),0)</f>
        <v>0</v>
      </c>
      <c r="EK210" s="427">
        <f>-IF(AND(EK$11&gt;=EOMONTH('Construction Budget'!$K67,0),EK$11&lt;=EOMONTH('Construction Budget'!$M67,0)),('Construction Budget'!$G67+SUM($G210:EJ210))/ROUND(((EOMONTH('Construction Budget'!$M67,0)-EOMONTH(EK$11,0))/30)+1,0),0)</f>
        <v>0</v>
      </c>
      <c r="EL210" s="427">
        <f>-IF(AND(EL$11&gt;=EOMONTH('Construction Budget'!$K67,0),EL$11&lt;=EOMONTH('Construction Budget'!$M67,0)),('Construction Budget'!$G67+SUM($G210:EK210))/ROUND(((EOMONTH('Construction Budget'!$M67,0)-EOMONTH(EL$11,0))/30)+1,0),0)</f>
        <v>0</v>
      </c>
      <c r="EM210" s="427">
        <f>-IF(AND(EM$11&gt;=EOMONTH('Construction Budget'!$K67,0),EM$11&lt;=EOMONTH('Construction Budget'!$M67,0)),('Construction Budget'!$G67+SUM($G210:EL210))/ROUND(((EOMONTH('Construction Budget'!$M67,0)-EOMONTH(EM$11,0))/30)+1,0),0)</f>
        <v>0</v>
      </c>
      <c r="EN210" s="427">
        <f>-IF(AND(EN$11&gt;=EOMONTH('Construction Budget'!$K67,0),EN$11&lt;=EOMONTH('Construction Budget'!$M67,0)),('Construction Budget'!$G67+SUM($G210:EM210))/ROUND(((EOMONTH('Construction Budget'!$M67,0)-EOMONTH(EN$11,0))/30)+1,0),0)</f>
        <v>0</v>
      </c>
      <c r="EO210" s="427">
        <f>-IF(AND(EO$11&gt;=EOMONTH('Construction Budget'!$K67,0),EO$11&lt;=EOMONTH('Construction Budget'!$M67,0)),('Construction Budget'!$G67+SUM($G210:EN210))/ROUND(((EOMONTH('Construction Budget'!$M67,0)-EOMONTH(EO$11,0))/30)+1,0),0)</f>
        <v>0</v>
      </c>
      <c r="EP210" s="427">
        <f>-IF(AND(EP$11&gt;=EOMONTH('Construction Budget'!$K67,0),EP$11&lt;=EOMONTH('Construction Budget'!$M67,0)),('Construction Budget'!$G67+SUM($G210:EO210))/ROUND(((EOMONTH('Construction Budget'!$M67,0)-EOMONTH(EP$11,0))/30)+1,0),0)</f>
        <v>0</v>
      </c>
      <c r="EQ210" s="427">
        <f>-IF(AND(EQ$11&gt;=EOMONTH('Construction Budget'!$K67,0),EQ$11&lt;=EOMONTH('Construction Budget'!$M67,0)),('Construction Budget'!$G67+SUM($G210:EP210))/ROUND(((EOMONTH('Construction Budget'!$M67,0)-EOMONTH(EQ$11,0))/30)+1,0),0)</f>
        <v>0</v>
      </c>
      <c r="ER210" s="427">
        <f>-IF(AND(ER$11&gt;=EOMONTH('Construction Budget'!$K67,0),ER$11&lt;=EOMONTH('Construction Budget'!$M67,0)),('Construction Budget'!$G67+SUM($G210:EQ210))/ROUND(((EOMONTH('Construction Budget'!$M67,0)-EOMONTH(ER$11,0))/30)+1,0),0)</f>
        <v>0</v>
      </c>
      <c r="ES210" s="427">
        <f>-IF(AND(ES$11&gt;=EOMONTH('Construction Budget'!$K67,0),ES$11&lt;=EOMONTH('Construction Budget'!$M67,0)),('Construction Budget'!$G67+SUM($G210:ER210))/ROUND(((EOMONTH('Construction Budget'!$M67,0)-EOMONTH(ES$11,0))/30)+1,0),0)</f>
        <v>0</v>
      </c>
      <c r="ET210" s="427">
        <f>-IF(AND(ET$11&gt;=EOMONTH('Construction Budget'!$K67,0),ET$11&lt;=EOMONTH('Construction Budget'!$M67,0)),('Construction Budget'!$G67+SUM($G210:ES210))/ROUND(((EOMONTH('Construction Budget'!$M67,0)-EOMONTH(ET$11,0))/30)+1,0),0)</f>
        <v>0</v>
      </c>
      <c r="EU210" s="427">
        <f>-IF(AND(EU$11&gt;=EOMONTH('Construction Budget'!$K67,0),EU$11&lt;=EOMONTH('Construction Budget'!$M67,0)),('Construction Budget'!$G67+SUM($G210:ET210))/ROUND(((EOMONTH('Construction Budget'!$M67,0)-EOMONTH(EU$11,0))/30)+1,0),0)</f>
        <v>0</v>
      </c>
      <c r="EV210" s="427">
        <f>-IF(AND(EV$11&gt;=EOMONTH('Construction Budget'!$K67,0),EV$11&lt;=EOMONTH('Construction Budget'!$M67,0)),('Construction Budget'!$G67+SUM($G210:EU210))/ROUND(((EOMONTH('Construction Budget'!$M67,0)-EOMONTH(EV$11,0))/30)+1,0),0)</f>
        <v>0</v>
      </c>
      <c r="EW210" s="427">
        <f>-IF(AND(EW$11&gt;=EOMONTH('Construction Budget'!$K67,0),EW$11&lt;=EOMONTH('Construction Budget'!$M67,0)),('Construction Budget'!$G67+SUM($G210:EV210))/ROUND(((EOMONTH('Construction Budget'!$M67,0)-EOMONTH(EW$11,0))/30)+1,0),0)</f>
        <v>0</v>
      </c>
      <c r="EX210" s="427">
        <f>-IF(AND(EX$11&gt;=EOMONTH('Construction Budget'!$K67,0),EX$11&lt;=EOMONTH('Construction Budget'!$M67,0)),('Construction Budget'!$G67+SUM($G210:EW210))/ROUND(((EOMONTH('Construction Budget'!$M67,0)-EOMONTH(EX$11,0))/30)+1,0),0)</f>
        <v>0</v>
      </c>
      <c r="EY210" s="427">
        <f>-IF(AND(EY$11&gt;=EOMONTH('Construction Budget'!$K67,0),EY$11&lt;=EOMONTH('Construction Budget'!$M67,0)),('Construction Budget'!$G67+SUM($G210:EX210))/ROUND(((EOMONTH('Construction Budget'!$M67,0)-EOMONTH(EY$11,0))/30)+1,0),0)</f>
        <v>0</v>
      </c>
      <c r="EZ210" s="427">
        <f>-IF(AND(EZ$11&gt;=EOMONTH('Construction Budget'!$K67,0),EZ$11&lt;=EOMONTH('Construction Budget'!$M67,0)),('Construction Budget'!$G67+SUM($G210:EY210))/ROUND(((EOMONTH('Construction Budget'!$M67,0)-EOMONTH(EZ$11,0))/30)+1,0),0)</f>
        <v>0</v>
      </c>
      <c r="FA210" s="427">
        <f>-IF(AND(FA$11&gt;=EOMONTH('Construction Budget'!$K67,0),FA$11&lt;=EOMONTH('Construction Budget'!$M67,0)),('Construction Budget'!$G67+SUM($G210:EZ210))/ROUND(((EOMONTH('Construction Budget'!$M67,0)-EOMONTH(FA$11,0))/30)+1,0),0)</f>
        <v>0</v>
      </c>
      <c r="FB210" s="427">
        <f>-IF(AND(FB$11&gt;=EOMONTH('Construction Budget'!$K67,0),FB$11&lt;=EOMONTH('Construction Budget'!$M67,0)),('Construction Budget'!$G67+SUM($G210:FA210))/ROUND(((EOMONTH('Construction Budget'!$M67,0)-EOMONTH(FB$11,0))/30)+1,0),0)</f>
        <v>0</v>
      </c>
      <c r="FC210" s="427">
        <f>-IF(AND(FC$11&gt;=EOMONTH('Construction Budget'!$K67,0),FC$11&lt;=EOMONTH('Construction Budget'!$M67,0)),('Construction Budget'!$G67+SUM($G210:FB210))/ROUND(((EOMONTH('Construction Budget'!$M67,0)-EOMONTH(FC$11,0))/30)+1,0),0)</f>
        <v>0</v>
      </c>
      <c r="FD210" s="427">
        <f>-IF(AND(FD$11&gt;=EOMONTH('Construction Budget'!$K67,0),FD$11&lt;=EOMONTH('Construction Budget'!$M67,0)),('Construction Budget'!$G67+SUM($G210:FC210))/ROUND(((EOMONTH('Construction Budget'!$M67,0)-EOMONTH(FD$11,0))/30)+1,0),0)</f>
        <v>0</v>
      </c>
      <c r="FE210" s="427">
        <f>-IF(AND(FE$11&gt;=EOMONTH('Construction Budget'!$K67,0),FE$11&lt;=EOMONTH('Construction Budget'!$M67,0)),('Construction Budget'!$G67+SUM($G210:FD210))/ROUND(((EOMONTH('Construction Budget'!$M67,0)-EOMONTH(FE$11,0))/30)+1,0),0)</f>
        <v>0</v>
      </c>
      <c r="FF210" s="427">
        <f>-IF(AND(FF$11&gt;=EOMONTH('Construction Budget'!$K67,0),FF$11&lt;=EOMONTH('Construction Budget'!$M67,0)),('Construction Budget'!$G67+SUM($G210:FE210))/ROUND(((EOMONTH('Construction Budget'!$M67,0)-EOMONTH(FF$11,0))/30)+1,0),0)</f>
        <v>0</v>
      </c>
      <c r="FG210" s="427">
        <f>-IF(AND(FG$11&gt;=EOMONTH('Construction Budget'!$K67,0),FG$11&lt;=EOMONTH('Construction Budget'!$M67,0)),('Construction Budget'!$G67+SUM($G210:FF210))/ROUND(((EOMONTH('Construction Budget'!$M67,0)-EOMONTH(FG$11,0))/30)+1,0),0)</f>
        <v>0</v>
      </c>
      <c r="FH210" s="427">
        <f>-IF(AND(FH$11&gt;=EOMONTH('Construction Budget'!$K67,0),FH$11&lt;=EOMONTH('Construction Budget'!$M67,0)),('Construction Budget'!$G67+SUM($G210:FG210))/ROUND(((EOMONTH('Construction Budget'!$M67,0)-EOMONTH(FH$11,0))/30)+1,0),0)</f>
        <v>0</v>
      </c>
      <c r="FI210" s="427">
        <f>-IF(AND(FI$11&gt;=EOMONTH('Construction Budget'!$K67,0),FI$11&lt;=EOMONTH('Construction Budget'!$M67,0)),('Construction Budget'!$G67+SUM($G210:FH210))/ROUND(((EOMONTH('Construction Budget'!$M67,0)-EOMONTH(FI$11,0))/30)+1,0),0)</f>
        <v>0</v>
      </c>
      <c r="FJ210" s="427">
        <f>-IF(AND(FJ$11&gt;=EOMONTH('Construction Budget'!$K67,0),FJ$11&lt;=EOMONTH('Construction Budget'!$M67,0)),('Construction Budget'!$G67+SUM($G210:FI210))/ROUND(((EOMONTH('Construction Budget'!$M67,0)-EOMONTH(FJ$11,0))/30)+1,0),0)</f>
        <v>0</v>
      </c>
      <c r="FK210" s="427">
        <f>-IF(AND(FK$11&gt;=EOMONTH('Construction Budget'!$K67,0),FK$11&lt;=EOMONTH('Construction Budget'!$M67,0)),('Construction Budget'!$G67+SUM($G210:FJ210))/ROUND(((EOMONTH('Construction Budget'!$M67,0)-EOMONTH(FK$11,0))/30)+1,0),0)</f>
        <v>0</v>
      </c>
      <c r="FL210" s="427">
        <f>-IF(AND(FL$11&gt;=EOMONTH('Construction Budget'!$K67,0),FL$11&lt;=EOMONTH('Construction Budget'!$M67,0)),('Construction Budget'!$G67+SUM($G210:FK210))/ROUND(((EOMONTH('Construction Budget'!$M67,0)-EOMONTH(FL$11,0))/30)+1,0),0)</f>
        <v>0</v>
      </c>
      <c r="FM210" s="427">
        <f>-IF(AND(FM$11&gt;=EOMONTH('Construction Budget'!$K67,0),FM$11&lt;=EOMONTH('Construction Budget'!$M67,0)),('Construction Budget'!$G67+SUM($G210:FL210))/ROUND(((EOMONTH('Construction Budget'!$M67,0)-EOMONTH(FM$11,0))/30)+1,0),0)</f>
        <v>0</v>
      </c>
      <c r="FN210" s="427">
        <f>-IF(AND(FN$11&gt;=EOMONTH('Construction Budget'!$K67,0),FN$11&lt;=EOMONTH('Construction Budget'!$M67,0)),('Construction Budget'!$G67+SUM($G210:FM210))/ROUND(((EOMONTH('Construction Budget'!$M67,0)-EOMONTH(FN$11,0))/30)+1,0),0)</f>
        <v>0</v>
      </c>
      <c r="FO210" s="427">
        <f>-IF(AND(FO$11&gt;=EOMONTH('Construction Budget'!$K67,0),FO$11&lt;=EOMONTH('Construction Budget'!$M67,0)),('Construction Budget'!$G67+SUM($G210:FN210))/ROUND(((EOMONTH('Construction Budget'!$M67,0)-EOMONTH(FO$11,0))/30)+1,0),0)</f>
        <v>0</v>
      </c>
      <c r="FP210" s="427">
        <f>-IF(AND(FP$11&gt;=EOMONTH('Construction Budget'!$K67,0),FP$11&lt;=EOMONTH('Construction Budget'!$M67,0)),('Construction Budget'!$G67+SUM($G210:FO210))/ROUND(((EOMONTH('Construction Budget'!$M67,0)-EOMONTH(FP$11,0))/30)+1,0),0)</f>
        <v>0</v>
      </c>
      <c r="FQ210" s="427">
        <f>-IF(AND(FQ$11&gt;=EOMONTH('Construction Budget'!$K67,0),FQ$11&lt;=EOMONTH('Construction Budget'!$M67,0)),('Construction Budget'!$G67+SUM($G210:FP210))/ROUND(((EOMONTH('Construction Budget'!$M67,0)-EOMONTH(FQ$11,0))/30)+1,0),0)</f>
        <v>0</v>
      </c>
      <c r="FR210" s="427">
        <f>-IF(AND(FR$11&gt;=EOMONTH('Construction Budget'!$K67,0),FR$11&lt;=EOMONTH('Construction Budget'!$M67,0)),('Construction Budget'!$G67+SUM($G210:FQ210))/ROUND(((EOMONTH('Construction Budget'!$M67,0)-EOMONTH(FR$11,0))/30)+1,0),0)</f>
        <v>0</v>
      </c>
      <c r="FS210" s="427">
        <f>-IF(AND(FS$11&gt;=EOMONTH('Construction Budget'!$K67,0),FS$11&lt;=EOMONTH('Construction Budget'!$M67,0)),('Construction Budget'!$G67+SUM($G210:FR210))/ROUND(((EOMONTH('Construction Budget'!$M67,0)-EOMONTH(FS$11,0))/30)+1,0),0)</f>
        <v>0</v>
      </c>
      <c r="FT210" s="427">
        <f>-IF(AND(FT$11&gt;=EOMONTH('Construction Budget'!$K67,0),FT$11&lt;=EOMONTH('Construction Budget'!$M67,0)),('Construction Budget'!$G67+SUM($G210:FS210))/ROUND(((EOMONTH('Construction Budget'!$M67,0)-EOMONTH(FT$11,0))/30)+1,0),0)</f>
        <v>0</v>
      </c>
      <c r="FU210" s="43"/>
      <c r="FV210" s="34"/>
      <c r="FW210" s="34"/>
      <c r="FX210" s="34"/>
      <c r="FY210" s="34"/>
      <c r="FZ210" s="34"/>
    </row>
    <row r="211" spans="1:182" s="89" customFormat="1" ht="13.5" hidden="1" outlineLevel="2" x14ac:dyDescent="0.25">
      <c r="A211" s="498"/>
      <c r="B211" s="43" t="str">
        <f>'Construction Budget'!B68</f>
        <v>Blank</v>
      </c>
      <c r="C211" s="34"/>
      <c r="D211" s="34"/>
      <c r="E211" s="34"/>
      <c r="F211" s="434">
        <f t="shared" si="236"/>
        <v>0</v>
      </c>
      <c r="G211" s="34"/>
      <c r="H211" s="427">
        <f>-IF(AND(H$11&gt;=EOMONTH('Construction Budget'!$K68,0),H$11&lt;=EOMONTH('Construction Budget'!$M68,0)),('Construction Budget'!$G68+SUM($G211:G211))/ROUND(((EOMONTH('Construction Budget'!$M68,0)-EOMONTH(H$11,0))/30)+1,0),0)</f>
        <v>0</v>
      </c>
      <c r="I211" s="427">
        <f>-IF(AND(I$11&gt;=EOMONTH('Construction Budget'!$K68,0),I$11&lt;=EOMONTH('Construction Budget'!$M68,0)),('Construction Budget'!$G68+SUM($G211:H211))/ROUND(((EOMONTH('Construction Budget'!$M68,0)-EOMONTH(I$11,0))/30)+1,0),0)</f>
        <v>0</v>
      </c>
      <c r="J211" s="427">
        <f>-IF(AND(J$11&gt;=EOMONTH('Construction Budget'!$K68,0),J$11&lt;=EOMONTH('Construction Budget'!$M68,0)),('Construction Budget'!$G68+SUM($G211:I211))/ROUND(((EOMONTH('Construction Budget'!$M68,0)-EOMONTH(J$11,0))/30)+1,0),0)</f>
        <v>0</v>
      </c>
      <c r="K211" s="427">
        <f>-IF(AND(K$11&gt;=EOMONTH('Construction Budget'!$K68,0),K$11&lt;=EOMONTH('Construction Budget'!$M68,0)),('Construction Budget'!$G68+SUM($G211:J211))/ROUND(((EOMONTH('Construction Budget'!$M68,0)-EOMONTH(K$11,0))/30)+1,0),0)</f>
        <v>0</v>
      </c>
      <c r="L211" s="427">
        <f>-IF(AND(L$11&gt;=EOMONTH('Construction Budget'!$K68,0),L$11&lt;=EOMONTH('Construction Budget'!$M68,0)),('Construction Budget'!$G68+SUM($G211:K211))/ROUND(((EOMONTH('Construction Budget'!$M68,0)-EOMONTH(L$11,0))/30)+1,0),0)</f>
        <v>0</v>
      </c>
      <c r="M211" s="427">
        <f>-IF(AND(M$11&gt;=EOMONTH('Construction Budget'!$K68,0),M$11&lt;=EOMONTH('Construction Budget'!$M68,0)),('Construction Budget'!$G68+SUM($G211:L211))/ROUND(((EOMONTH('Construction Budget'!$M68,0)-EOMONTH(M$11,0))/30)+1,0),0)</f>
        <v>0</v>
      </c>
      <c r="N211" s="427">
        <f>-IF(AND(N$11&gt;=EOMONTH('Construction Budget'!$K68,0),N$11&lt;=EOMONTH('Construction Budget'!$M68,0)),('Construction Budget'!$G68+SUM($G211:M211))/ROUND(((EOMONTH('Construction Budget'!$M68,0)-EOMONTH(N$11,0))/30)+1,0),0)</f>
        <v>0</v>
      </c>
      <c r="O211" s="427">
        <f>-IF(AND(O$11&gt;=EOMONTH('Construction Budget'!$K68,0),O$11&lt;=EOMONTH('Construction Budget'!$M68,0)),('Construction Budget'!$G68+SUM($G211:N211))/ROUND(((EOMONTH('Construction Budget'!$M68,0)-EOMONTH(O$11,0))/30)+1,0),0)</f>
        <v>0</v>
      </c>
      <c r="P211" s="427">
        <f>-IF(AND(P$11&gt;=EOMONTH('Construction Budget'!$K68,0),P$11&lt;=EOMONTH('Construction Budget'!$M68,0)),('Construction Budget'!$G68+SUM($G211:O211))/ROUND(((EOMONTH('Construction Budget'!$M68,0)-EOMONTH(P$11,0))/30)+1,0),0)</f>
        <v>0</v>
      </c>
      <c r="Q211" s="427">
        <f>-IF(AND(Q$11&gt;=EOMONTH('Construction Budget'!$K68,0),Q$11&lt;=EOMONTH('Construction Budget'!$M68,0)),('Construction Budget'!$G68+SUM($G211:P211))/ROUND(((EOMONTH('Construction Budget'!$M68,0)-EOMONTH(Q$11,0))/30)+1,0),0)</f>
        <v>0</v>
      </c>
      <c r="R211" s="427">
        <f>-IF(AND(R$11&gt;=EOMONTH('Construction Budget'!$K68,0),R$11&lt;=EOMONTH('Construction Budget'!$M68,0)),('Construction Budget'!$G68+SUM($G211:Q211))/ROUND(((EOMONTH('Construction Budget'!$M68,0)-EOMONTH(R$11,0))/30)+1,0),0)</f>
        <v>0</v>
      </c>
      <c r="S211" s="427">
        <f>-IF(AND(S$11&gt;=EOMONTH('Construction Budget'!$K68,0),S$11&lt;=EOMONTH('Construction Budget'!$M68,0)),('Construction Budget'!$G68+SUM($G211:R211))/ROUND(((EOMONTH('Construction Budget'!$M68,0)-EOMONTH(S$11,0))/30)+1,0),0)</f>
        <v>0</v>
      </c>
      <c r="T211" s="427">
        <f>-IF(AND(T$11&gt;=EOMONTH('Construction Budget'!$K68,0),T$11&lt;=EOMONTH('Construction Budget'!$M68,0)),('Construction Budget'!$G68+SUM($G211:S211))/ROUND(((EOMONTH('Construction Budget'!$M68,0)-EOMONTH(T$11,0))/30)+1,0),0)</f>
        <v>0</v>
      </c>
      <c r="U211" s="427">
        <f>-IF(AND(U$11&gt;=EOMONTH('Construction Budget'!$K68,0),U$11&lt;=EOMONTH('Construction Budget'!$M68,0)),('Construction Budget'!$G68+SUM($G211:T211))/ROUND(((EOMONTH('Construction Budget'!$M68,0)-EOMONTH(U$11,0))/30)+1,0),0)</f>
        <v>0</v>
      </c>
      <c r="V211" s="427">
        <f>-IF(AND(V$11&gt;=EOMONTH('Construction Budget'!$K68,0),V$11&lt;=EOMONTH('Construction Budget'!$M68,0)),('Construction Budget'!$G68+SUM($G211:U211))/ROUND(((EOMONTH('Construction Budget'!$M68,0)-EOMONTH(V$11,0))/30)+1,0),0)</f>
        <v>0</v>
      </c>
      <c r="W211" s="427">
        <f>-IF(AND(W$11&gt;=EOMONTH('Construction Budget'!$K68,0),W$11&lt;=EOMONTH('Construction Budget'!$M68,0)),('Construction Budget'!$G68+SUM($G211:V211))/ROUND(((EOMONTH('Construction Budget'!$M68,0)-EOMONTH(W$11,0))/30)+1,0),0)</f>
        <v>0</v>
      </c>
      <c r="X211" s="427">
        <f>-IF(AND(X$11&gt;=EOMONTH('Construction Budget'!$K68,0),X$11&lt;=EOMONTH('Construction Budget'!$M68,0)),('Construction Budget'!$G68+SUM($G211:W211))/ROUND(((EOMONTH('Construction Budget'!$M68,0)-EOMONTH(X$11,0))/30)+1,0),0)</f>
        <v>0</v>
      </c>
      <c r="Y211" s="427">
        <f>-IF(AND(Y$11&gt;=EOMONTH('Construction Budget'!$K68,0),Y$11&lt;=EOMONTH('Construction Budget'!$M68,0)),('Construction Budget'!$G68+SUM($G211:X211))/ROUND(((EOMONTH('Construction Budget'!$M68,0)-EOMONTH(Y$11,0))/30)+1,0),0)</f>
        <v>0</v>
      </c>
      <c r="Z211" s="427">
        <f>-IF(AND(Z$11&gt;=EOMONTH('Construction Budget'!$K68,0),Z$11&lt;=EOMONTH('Construction Budget'!$M68,0)),('Construction Budget'!$G68+SUM($G211:Y211))/ROUND(((EOMONTH('Construction Budget'!$M68,0)-EOMONTH(Z$11,0))/30)+1,0),0)</f>
        <v>0</v>
      </c>
      <c r="AA211" s="427">
        <f>-IF(AND(AA$11&gt;=EOMONTH('Construction Budget'!$K68,0),AA$11&lt;=EOMONTH('Construction Budget'!$M68,0)),('Construction Budget'!$G68+SUM($G211:Z211))/ROUND(((EOMONTH('Construction Budget'!$M68,0)-EOMONTH(AA$11,0))/30)+1,0),0)</f>
        <v>0</v>
      </c>
      <c r="AB211" s="427">
        <f>-IF(AND(AB$11&gt;=EOMONTH('Construction Budget'!$K68,0),AB$11&lt;=EOMONTH('Construction Budget'!$M68,0)),('Construction Budget'!$G68+SUM($G211:AA211))/ROUND(((EOMONTH('Construction Budget'!$M68,0)-EOMONTH(AB$11,0))/30)+1,0),0)</f>
        <v>0</v>
      </c>
      <c r="AC211" s="427">
        <f>-IF(AND(AC$11&gt;=EOMONTH('Construction Budget'!$K68,0),AC$11&lt;=EOMONTH('Construction Budget'!$M68,0)),('Construction Budget'!$G68+SUM($G211:AB211))/ROUND(((EOMONTH('Construction Budget'!$M68,0)-EOMONTH(AC$11,0))/30)+1,0),0)</f>
        <v>0</v>
      </c>
      <c r="AD211" s="427">
        <f>-IF(AND(AD$11&gt;=EOMONTH('Construction Budget'!$K68,0),AD$11&lt;=EOMONTH('Construction Budget'!$M68,0)),('Construction Budget'!$G68+SUM($G211:AC211))/ROUND(((EOMONTH('Construction Budget'!$M68,0)-EOMONTH(AD$11,0))/30)+1,0),0)</f>
        <v>0</v>
      </c>
      <c r="AE211" s="427">
        <f>-IF(AND(AE$11&gt;=EOMONTH('Construction Budget'!$K68,0),AE$11&lt;=EOMONTH('Construction Budget'!$M68,0)),('Construction Budget'!$G68+SUM($G211:AD211))/ROUND(((EOMONTH('Construction Budget'!$M68,0)-EOMONTH(AE$11,0))/30)+1,0),0)</f>
        <v>0</v>
      </c>
      <c r="AF211" s="427">
        <f>-IF(AND(AF$11&gt;=EOMONTH('Construction Budget'!$K68,0),AF$11&lt;=EOMONTH('Construction Budget'!$M68,0)),('Construction Budget'!$G68+SUM($G211:AE211))/ROUND(((EOMONTH('Construction Budget'!$M68,0)-EOMONTH(AF$11,0))/30)+1,0),0)</f>
        <v>0</v>
      </c>
      <c r="AG211" s="427">
        <f>-IF(AND(AG$11&gt;=EOMONTH('Construction Budget'!$K68,0),AG$11&lt;=EOMONTH('Construction Budget'!$M68,0)),('Construction Budget'!$G68+SUM($G211:AF211))/ROUND(((EOMONTH('Construction Budget'!$M68,0)-EOMONTH(AG$11,0))/30)+1,0),0)</f>
        <v>0</v>
      </c>
      <c r="AH211" s="427">
        <f>-IF(AND(AH$11&gt;=EOMONTH('Construction Budget'!$K68,0),AH$11&lt;=EOMONTH('Construction Budget'!$M68,0)),('Construction Budget'!$G68+SUM($G211:AG211))/ROUND(((EOMONTH('Construction Budget'!$M68,0)-EOMONTH(AH$11,0))/30)+1,0),0)</f>
        <v>0</v>
      </c>
      <c r="AI211" s="427">
        <f>-IF(AND(AI$11&gt;=EOMONTH('Construction Budget'!$K68,0),AI$11&lt;=EOMONTH('Construction Budget'!$M68,0)),('Construction Budget'!$G68+SUM($G211:AH211))/ROUND(((EOMONTH('Construction Budget'!$M68,0)-EOMONTH(AI$11,0))/30)+1,0),0)</f>
        <v>0</v>
      </c>
      <c r="AJ211" s="427">
        <f>-IF(AND(AJ$11&gt;=EOMONTH('Construction Budget'!$K68,0),AJ$11&lt;=EOMONTH('Construction Budget'!$M68,0)),('Construction Budget'!$G68+SUM($G211:AI211))/ROUND(((EOMONTH('Construction Budget'!$M68,0)-EOMONTH(AJ$11,0))/30)+1,0),0)</f>
        <v>0</v>
      </c>
      <c r="AK211" s="427">
        <f>-IF(AND(AK$11&gt;=EOMONTH('Construction Budget'!$K68,0),AK$11&lt;=EOMONTH('Construction Budget'!$M68,0)),('Construction Budget'!$G68+SUM($G211:AJ211))/ROUND(((EOMONTH('Construction Budget'!$M68,0)-EOMONTH(AK$11,0))/30)+1,0),0)</f>
        <v>0</v>
      </c>
      <c r="AL211" s="427">
        <f>-IF(AND(AL$11&gt;=EOMONTH('Construction Budget'!$K68,0),AL$11&lt;=EOMONTH('Construction Budget'!$M68,0)),('Construction Budget'!$G68+SUM($G211:AK211))/ROUND(((EOMONTH('Construction Budget'!$M68,0)-EOMONTH(AL$11,0))/30)+1,0),0)</f>
        <v>0</v>
      </c>
      <c r="AM211" s="427">
        <f>-IF(AND(AM$11&gt;=EOMONTH('Construction Budget'!$K68,0),AM$11&lt;=EOMONTH('Construction Budget'!$M68,0)),('Construction Budget'!$G68+SUM($G211:AL211))/ROUND(((EOMONTH('Construction Budget'!$M68,0)-EOMONTH(AM$11,0))/30)+1,0),0)</f>
        <v>0</v>
      </c>
      <c r="AN211" s="427">
        <f>-IF(AND(AN$11&gt;=EOMONTH('Construction Budget'!$K68,0),AN$11&lt;=EOMONTH('Construction Budget'!$M68,0)),('Construction Budget'!$G68+SUM($G211:AM211))/ROUND(((EOMONTH('Construction Budget'!$M68,0)-EOMONTH(AN$11,0))/30)+1,0),0)</f>
        <v>0</v>
      </c>
      <c r="AO211" s="427">
        <f>-IF(AND(AO$11&gt;=EOMONTH('Construction Budget'!$K68,0),AO$11&lt;=EOMONTH('Construction Budget'!$M68,0)),('Construction Budget'!$G68+SUM($G211:AN211))/ROUND(((EOMONTH('Construction Budget'!$M68,0)-EOMONTH(AO$11,0))/30)+1,0),0)</f>
        <v>0</v>
      </c>
      <c r="AP211" s="427">
        <f>-IF(AND(AP$11&gt;=EOMONTH('Construction Budget'!$K68,0),AP$11&lt;=EOMONTH('Construction Budget'!$M68,0)),('Construction Budget'!$G68+SUM($G211:AO211))/ROUND(((EOMONTH('Construction Budget'!$M68,0)-EOMONTH(AP$11,0))/30)+1,0),0)</f>
        <v>0</v>
      </c>
      <c r="AQ211" s="427">
        <f>-IF(AND(AQ$11&gt;=EOMONTH('Construction Budget'!$K68,0),AQ$11&lt;=EOMONTH('Construction Budget'!$M68,0)),('Construction Budget'!$G68+SUM($G211:AP211))/ROUND(((EOMONTH('Construction Budget'!$M68,0)-EOMONTH(AQ$11,0))/30)+1,0),0)</f>
        <v>0</v>
      </c>
      <c r="AR211" s="427">
        <f>-IF(AND(AR$11&gt;=EOMONTH('Construction Budget'!$K68,0),AR$11&lt;=EOMONTH('Construction Budget'!$M68,0)),('Construction Budget'!$G68+SUM($G211:AQ211))/ROUND(((EOMONTH('Construction Budget'!$M68,0)-EOMONTH(AR$11,0))/30)+1,0),0)</f>
        <v>0</v>
      </c>
      <c r="AS211" s="427">
        <f>-IF(AND(AS$11&gt;=EOMONTH('Construction Budget'!$K68,0),AS$11&lt;=EOMONTH('Construction Budget'!$M68,0)),('Construction Budget'!$G68+SUM($G211:AR211))/ROUND(((EOMONTH('Construction Budget'!$M68,0)-EOMONTH(AS$11,0))/30)+1,0),0)</f>
        <v>0</v>
      </c>
      <c r="AT211" s="427">
        <f>-IF(AND(AT$11&gt;=EOMONTH('Construction Budget'!$K68,0),AT$11&lt;=EOMONTH('Construction Budget'!$M68,0)),('Construction Budget'!$G68+SUM($G211:AS211))/ROUND(((EOMONTH('Construction Budget'!$M68,0)-EOMONTH(AT$11,0))/30)+1,0),0)</f>
        <v>0</v>
      </c>
      <c r="AU211" s="427">
        <f>-IF(AND(AU$11&gt;=EOMONTH('Construction Budget'!$K68,0),AU$11&lt;=EOMONTH('Construction Budget'!$M68,0)),('Construction Budget'!$G68+SUM($G211:AT211))/ROUND(((EOMONTH('Construction Budget'!$M68,0)-EOMONTH(AU$11,0))/30)+1,0),0)</f>
        <v>0</v>
      </c>
      <c r="AV211" s="427">
        <f>-IF(AND(AV$11&gt;=EOMONTH('Construction Budget'!$K68,0),AV$11&lt;=EOMONTH('Construction Budget'!$M68,0)),('Construction Budget'!$G68+SUM($G211:AU211))/ROUND(((EOMONTH('Construction Budget'!$M68,0)-EOMONTH(AV$11,0))/30)+1,0),0)</f>
        <v>0</v>
      </c>
      <c r="AW211" s="427">
        <f>-IF(AND(AW$11&gt;=EOMONTH('Construction Budget'!$K68,0),AW$11&lt;=EOMONTH('Construction Budget'!$M68,0)),('Construction Budget'!$G68+SUM($G211:AV211))/ROUND(((EOMONTH('Construction Budget'!$M68,0)-EOMONTH(AW$11,0))/30)+1,0),0)</f>
        <v>0</v>
      </c>
      <c r="AX211" s="427">
        <f>-IF(AND(AX$11&gt;=EOMONTH('Construction Budget'!$K68,0),AX$11&lt;=EOMONTH('Construction Budget'!$M68,0)),('Construction Budget'!$G68+SUM($G211:AW211))/ROUND(((EOMONTH('Construction Budget'!$M68,0)-EOMONTH(AX$11,0))/30)+1,0),0)</f>
        <v>0</v>
      </c>
      <c r="AY211" s="427">
        <f>-IF(AND(AY$11&gt;=EOMONTH('Construction Budget'!$K68,0),AY$11&lt;=EOMONTH('Construction Budget'!$M68,0)),('Construction Budget'!$G68+SUM($G211:AX211))/ROUND(((EOMONTH('Construction Budget'!$M68,0)-EOMONTH(AY$11,0))/30)+1,0),0)</f>
        <v>0</v>
      </c>
      <c r="AZ211" s="427">
        <f>-IF(AND(AZ$11&gt;=EOMONTH('Construction Budget'!$K68,0),AZ$11&lt;=EOMONTH('Construction Budget'!$M68,0)),('Construction Budget'!$G68+SUM($G211:AY211))/ROUND(((EOMONTH('Construction Budget'!$M68,0)-EOMONTH(AZ$11,0))/30)+1,0),0)</f>
        <v>0</v>
      </c>
      <c r="BA211" s="427">
        <f>-IF(AND(BA$11&gt;=EOMONTH('Construction Budget'!$K68,0),BA$11&lt;=EOMONTH('Construction Budget'!$M68,0)),('Construction Budget'!$G68+SUM($G211:AZ211))/ROUND(((EOMONTH('Construction Budget'!$M68,0)-EOMONTH(BA$11,0))/30)+1,0),0)</f>
        <v>0</v>
      </c>
      <c r="BB211" s="427">
        <f>-IF(AND(BB$11&gt;=EOMONTH('Construction Budget'!$K68,0),BB$11&lt;=EOMONTH('Construction Budget'!$M68,0)),('Construction Budget'!$G68+SUM($G211:BA211))/ROUND(((EOMONTH('Construction Budget'!$M68,0)-EOMONTH(BB$11,0))/30)+1,0),0)</f>
        <v>0</v>
      </c>
      <c r="BC211" s="427">
        <f>-IF(AND(BC$11&gt;=EOMONTH('Construction Budget'!$K68,0),BC$11&lt;=EOMONTH('Construction Budget'!$M68,0)),('Construction Budget'!$G68+SUM($G211:BB211))/ROUND(((EOMONTH('Construction Budget'!$M68,0)-EOMONTH(BC$11,0))/30)+1,0),0)</f>
        <v>0</v>
      </c>
      <c r="BD211" s="427">
        <f>-IF(AND(BD$11&gt;=EOMONTH('Construction Budget'!$K68,0),BD$11&lt;=EOMONTH('Construction Budget'!$M68,0)),('Construction Budget'!$G68+SUM($G211:BC211))/ROUND(((EOMONTH('Construction Budget'!$M68,0)-EOMONTH(BD$11,0))/30)+1,0),0)</f>
        <v>0</v>
      </c>
      <c r="BE211" s="427">
        <f>-IF(AND(BE$11&gt;=EOMONTH('Construction Budget'!$K68,0),BE$11&lt;=EOMONTH('Construction Budget'!$M68,0)),('Construction Budget'!$G68+SUM($G211:BD211))/ROUND(((EOMONTH('Construction Budget'!$M68,0)-EOMONTH(BE$11,0))/30)+1,0),0)</f>
        <v>0</v>
      </c>
      <c r="BF211" s="427">
        <f>-IF(AND(BF$11&gt;=EOMONTH('Construction Budget'!$K68,0),BF$11&lt;=EOMONTH('Construction Budget'!$M68,0)),('Construction Budget'!$G68+SUM($G211:BE211))/ROUND(((EOMONTH('Construction Budget'!$M68,0)-EOMONTH(BF$11,0))/30)+1,0),0)</f>
        <v>0</v>
      </c>
      <c r="BG211" s="427">
        <f>-IF(AND(BG$11&gt;=EOMONTH('Construction Budget'!$K68,0),BG$11&lt;=EOMONTH('Construction Budget'!$M68,0)),('Construction Budget'!$G68+SUM($G211:BF211))/ROUND(((EOMONTH('Construction Budget'!$M68,0)-EOMONTH(BG$11,0))/30)+1,0),0)</f>
        <v>0</v>
      </c>
      <c r="BH211" s="427">
        <f>-IF(AND(BH$11&gt;=EOMONTH('Construction Budget'!$K68,0),BH$11&lt;=EOMONTH('Construction Budget'!$M68,0)),('Construction Budget'!$G68+SUM($G211:BG211))/ROUND(((EOMONTH('Construction Budget'!$M68,0)-EOMONTH(BH$11,0))/30)+1,0),0)</f>
        <v>0</v>
      </c>
      <c r="BI211" s="427">
        <f>-IF(AND(BI$11&gt;=EOMONTH('Construction Budget'!$K68,0),BI$11&lt;=EOMONTH('Construction Budget'!$M68,0)),('Construction Budget'!$G68+SUM($G211:BH211))/ROUND(((EOMONTH('Construction Budget'!$M68,0)-EOMONTH(BI$11,0))/30)+1,0),0)</f>
        <v>0</v>
      </c>
      <c r="BJ211" s="427">
        <f>-IF(AND(BJ$11&gt;=EOMONTH('Construction Budget'!$K68,0),BJ$11&lt;=EOMONTH('Construction Budget'!$M68,0)),('Construction Budget'!$G68+SUM($G211:BI211))/ROUND(((EOMONTH('Construction Budget'!$M68,0)-EOMONTH(BJ$11,0))/30)+1,0),0)</f>
        <v>0</v>
      </c>
      <c r="BK211" s="427">
        <f>-IF(AND(BK$11&gt;=EOMONTH('Construction Budget'!$K68,0),BK$11&lt;=EOMONTH('Construction Budget'!$M68,0)),('Construction Budget'!$G68+SUM($G211:BJ211))/ROUND(((EOMONTH('Construction Budget'!$M68,0)-EOMONTH(BK$11,0))/30)+1,0),0)</f>
        <v>0</v>
      </c>
      <c r="BL211" s="427">
        <f>-IF(AND(BL$11&gt;=EOMONTH('Construction Budget'!$K68,0),BL$11&lt;=EOMONTH('Construction Budget'!$M68,0)),('Construction Budget'!$G68+SUM($G211:BK211))/ROUND(((EOMONTH('Construction Budget'!$M68,0)-EOMONTH(BL$11,0))/30)+1,0),0)</f>
        <v>0</v>
      </c>
      <c r="BM211" s="427">
        <f>-IF(AND(BM$11&gt;=EOMONTH('Construction Budget'!$K68,0),BM$11&lt;=EOMONTH('Construction Budget'!$M68,0)),('Construction Budget'!$G68+SUM($G211:BL211))/ROUND(((EOMONTH('Construction Budget'!$M68,0)-EOMONTH(BM$11,0))/30)+1,0),0)</f>
        <v>0</v>
      </c>
      <c r="BN211" s="427">
        <f>-IF(AND(BN$11&gt;=EOMONTH('Construction Budget'!$K68,0),BN$11&lt;=EOMONTH('Construction Budget'!$M68,0)),('Construction Budget'!$G68+SUM($G211:BM211))/ROUND(((EOMONTH('Construction Budget'!$M68,0)-EOMONTH(BN$11,0))/30)+1,0),0)</f>
        <v>0</v>
      </c>
      <c r="BO211" s="427">
        <f>-IF(AND(BO$11&gt;=EOMONTH('Construction Budget'!$K68,0),BO$11&lt;=EOMONTH('Construction Budget'!$M68,0)),('Construction Budget'!$G68+SUM($G211:BN211))/ROUND(((EOMONTH('Construction Budget'!$M68,0)-EOMONTH(BO$11,0))/30)+1,0),0)</f>
        <v>0</v>
      </c>
      <c r="BP211" s="427">
        <f>-IF(AND(BP$11&gt;=EOMONTH('Construction Budget'!$K68,0),BP$11&lt;=EOMONTH('Construction Budget'!$M68,0)),('Construction Budget'!$G68+SUM($G211:BO211))/ROUND(((EOMONTH('Construction Budget'!$M68,0)-EOMONTH(BP$11,0))/30)+1,0),0)</f>
        <v>0</v>
      </c>
      <c r="BQ211" s="427">
        <f>-IF(AND(BQ$11&gt;=EOMONTH('Construction Budget'!$K68,0),BQ$11&lt;=EOMONTH('Construction Budget'!$M68,0)),('Construction Budget'!$G68+SUM($G211:BP211))/ROUND(((EOMONTH('Construction Budget'!$M68,0)-EOMONTH(BQ$11,0))/30)+1,0),0)</f>
        <v>0</v>
      </c>
      <c r="BR211" s="427">
        <f>-IF(AND(BR$11&gt;=EOMONTH('Construction Budget'!$K68,0),BR$11&lt;=EOMONTH('Construction Budget'!$M68,0)),('Construction Budget'!$G68+SUM($G211:BQ211))/ROUND(((EOMONTH('Construction Budget'!$M68,0)-EOMONTH(BR$11,0))/30)+1,0),0)</f>
        <v>0</v>
      </c>
      <c r="BS211" s="427">
        <f>-IF(AND(BS$11&gt;=EOMONTH('Construction Budget'!$K68,0),BS$11&lt;=EOMONTH('Construction Budget'!$M68,0)),('Construction Budget'!$G68+SUM($G211:BR211))/ROUND(((EOMONTH('Construction Budget'!$M68,0)-EOMONTH(BS$11,0))/30)+1,0),0)</f>
        <v>0</v>
      </c>
      <c r="BT211" s="427">
        <f>-IF(AND(BT$11&gt;=EOMONTH('Construction Budget'!$K68,0),BT$11&lt;=EOMONTH('Construction Budget'!$M68,0)),('Construction Budget'!$G68+SUM($G211:BS211))/ROUND(((EOMONTH('Construction Budget'!$M68,0)-EOMONTH(BT$11,0))/30)+1,0),0)</f>
        <v>0</v>
      </c>
      <c r="BU211" s="427">
        <f>-IF(AND(BU$11&gt;=EOMONTH('Construction Budget'!$K68,0),BU$11&lt;=EOMONTH('Construction Budget'!$M68,0)),('Construction Budget'!$G68+SUM($G211:BT211))/ROUND(((EOMONTH('Construction Budget'!$M68,0)-EOMONTH(BU$11,0))/30)+1,0),0)</f>
        <v>0</v>
      </c>
      <c r="BV211" s="427">
        <f>-IF(AND(BV$11&gt;=EOMONTH('Construction Budget'!$K68,0),BV$11&lt;=EOMONTH('Construction Budget'!$M68,0)),('Construction Budget'!$G68+SUM($G211:BU211))/ROUND(((EOMONTH('Construction Budget'!$M68,0)-EOMONTH(BV$11,0))/30)+1,0),0)</f>
        <v>0</v>
      </c>
      <c r="BW211" s="427">
        <f>-IF(AND(BW$11&gt;=EOMONTH('Construction Budget'!$K68,0),BW$11&lt;=EOMONTH('Construction Budget'!$M68,0)),('Construction Budget'!$G68+SUM($G211:BV211))/ROUND(((EOMONTH('Construction Budget'!$M68,0)-EOMONTH(BW$11,0))/30)+1,0),0)</f>
        <v>0</v>
      </c>
      <c r="BX211" s="427">
        <f>-IF(AND(BX$11&gt;=EOMONTH('Construction Budget'!$K68,0),BX$11&lt;=EOMONTH('Construction Budget'!$M68,0)),('Construction Budget'!$G68+SUM($G211:BW211))/ROUND(((EOMONTH('Construction Budget'!$M68,0)-EOMONTH(BX$11,0))/30)+1,0),0)</f>
        <v>0</v>
      </c>
      <c r="BY211" s="427">
        <f>-IF(AND(BY$11&gt;=EOMONTH('Construction Budget'!$K68,0),BY$11&lt;=EOMONTH('Construction Budget'!$M68,0)),('Construction Budget'!$G68+SUM($G211:BX211))/ROUND(((EOMONTH('Construction Budget'!$M68,0)-EOMONTH(BY$11,0))/30)+1,0),0)</f>
        <v>0</v>
      </c>
      <c r="BZ211" s="427">
        <f>-IF(AND(BZ$11&gt;=EOMONTH('Construction Budget'!$K68,0),BZ$11&lt;=EOMONTH('Construction Budget'!$M68,0)),('Construction Budget'!$G68+SUM($G211:BY211))/ROUND(((EOMONTH('Construction Budget'!$M68,0)-EOMONTH(BZ$11,0))/30)+1,0),0)</f>
        <v>0</v>
      </c>
      <c r="CA211" s="427">
        <f>-IF(AND(CA$11&gt;=EOMONTH('Construction Budget'!$K68,0),CA$11&lt;=EOMONTH('Construction Budget'!$M68,0)),('Construction Budget'!$G68+SUM($G211:BZ211))/ROUND(((EOMONTH('Construction Budget'!$M68,0)-EOMONTH(CA$11,0))/30)+1,0),0)</f>
        <v>0</v>
      </c>
      <c r="CB211" s="427">
        <f>-IF(AND(CB$11&gt;=EOMONTH('Construction Budget'!$K68,0),CB$11&lt;=EOMONTH('Construction Budget'!$M68,0)),('Construction Budget'!$G68+SUM($G211:CA211))/ROUND(((EOMONTH('Construction Budget'!$M68,0)-EOMONTH(CB$11,0))/30)+1,0),0)</f>
        <v>0</v>
      </c>
      <c r="CC211" s="427">
        <f>-IF(AND(CC$11&gt;=EOMONTH('Construction Budget'!$K68,0),CC$11&lt;=EOMONTH('Construction Budget'!$M68,0)),('Construction Budget'!$G68+SUM($G211:CB211))/ROUND(((EOMONTH('Construction Budget'!$M68,0)-EOMONTH(CC$11,0))/30)+1,0),0)</f>
        <v>0</v>
      </c>
      <c r="CD211" s="427">
        <f>-IF(AND(CD$11&gt;=EOMONTH('Construction Budget'!$K68,0),CD$11&lt;=EOMONTH('Construction Budget'!$M68,0)),('Construction Budget'!$G68+SUM($G211:CC211))/ROUND(((EOMONTH('Construction Budget'!$M68,0)-EOMONTH(CD$11,0))/30)+1,0),0)</f>
        <v>0</v>
      </c>
      <c r="CE211" s="427">
        <f>-IF(AND(CE$11&gt;=EOMONTH('Construction Budget'!$K68,0),CE$11&lt;=EOMONTH('Construction Budget'!$M68,0)),('Construction Budget'!$G68+SUM($G211:CD211))/ROUND(((EOMONTH('Construction Budget'!$M68,0)-EOMONTH(CE$11,0))/30)+1,0),0)</f>
        <v>0</v>
      </c>
      <c r="CF211" s="427">
        <f>-IF(AND(CF$11&gt;=EOMONTH('Construction Budget'!$K68,0),CF$11&lt;=EOMONTH('Construction Budget'!$M68,0)),('Construction Budget'!$G68+SUM($G211:CE211))/ROUND(((EOMONTH('Construction Budget'!$M68,0)-EOMONTH(CF$11,0))/30)+1,0),0)</f>
        <v>0</v>
      </c>
      <c r="CG211" s="427">
        <f>-IF(AND(CG$11&gt;=EOMONTH('Construction Budget'!$K68,0),CG$11&lt;=EOMONTH('Construction Budget'!$M68,0)),('Construction Budget'!$G68+SUM($G211:CF211))/ROUND(((EOMONTH('Construction Budget'!$M68,0)-EOMONTH(CG$11,0))/30)+1,0),0)</f>
        <v>0</v>
      </c>
      <c r="CH211" s="427">
        <f>-IF(AND(CH$11&gt;=EOMONTH('Construction Budget'!$K68,0),CH$11&lt;=EOMONTH('Construction Budget'!$M68,0)),('Construction Budget'!$G68+SUM($G211:CG211))/ROUND(((EOMONTH('Construction Budget'!$M68,0)-EOMONTH(CH$11,0))/30)+1,0),0)</f>
        <v>0</v>
      </c>
      <c r="CI211" s="427">
        <f>-IF(AND(CI$11&gt;=EOMONTH('Construction Budget'!$K68,0),CI$11&lt;=EOMONTH('Construction Budget'!$M68,0)),('Construction Budget'!$G68+SUM($G211:CH211))/ROUND(((EOMONTH('Construction Budget'!$M68,0)-EOMONTH(CI$11,0))/30)+1,0),0)</f>
        <v>0</v>
      </c>
      <c r="CJ211" s="427">
        <f>-IF(AND(CJ$11&gt;=EOMONTH('Construction Budget'!$K68,0),CJ$11&lt;=EOMONTH('Construction Budget'!$M68,0)),('Construction Budget'!$G68+SUM($G211:CI211))/ROUND(((EOMONTH('Construction Budget'!$M68,0)-EOMONTH(CJ$11,0))/30)+1,0),0)</f>
        <v>0</v>
      </c>
      <c r="CK211" s="427">
        <f>-IF(AND(CK$11&gt;=EOMONTH('Construction Budget'!$K68,0),CK$11&lt;=EOMONTH('Construction Budget'!$M68,0)),('Construction Budget'!$G68+SUM($G211:CJ211))/ROUND(((EOMONTH('Construction Budget'!$M68,0)-EOMONTH(CK$11,0))/30)+1,0),0)</f>
        <v>0</v>
      </c>
      <c r="CL211" s="427">
        <f>-IF(AND(CL$11&gt;=EOMONTH('Construction Budget'!$K68,0),CL$11&lt;=EOMONTH('Construction Budget'!$M68,0)),('Construction Budget'!$G68+SUM($G211:CK211))/ROUND(((EOMONTH('Construction Budget'!$M68,0)-EOMONTH(CL$11,0))/30)+1,0),0)</f>
        <v>0</v>
      </c>
      <c r="CM211" s="427">
        <f>-IF(AND(CM$11&gt;=EOMONTH('Construction Budget'!$K68,0),CM$11&lt;=EOMONTH('Construction Budget'!$M68,0)),('Construction Budget'!$G68+SUM($G211:CL211))/ROUND(((EOMONTH('Construction Budget'!$M68,0)-EOMONTH(CM$11,0))/30)+1,0),0)</f>
        <v>0</v>
      </c>
      <c r="CN211" s="427">
        <f>-IF(AND(CN$11&gt;=EOMONTH('Construction Budget'!$K68,0),CN$11&lt;=EOMONTH('Construction Budget'!$M68,0)),('Construction Budget'!$G68+SUM($G211:CM211))/ROUND(((EOMONTH('Construction Budget'!$M68,0)-EOMONTH(CN$11,0))/30)+1,0),0)</f>
        <v>0</v>
      </c>
      <c r="CO211" s="427">
        <f>-IF(AND(CO$11&gt;=EOMONTH('Construction Budget'!$K68,0),CO$11&lt;=EOMONTH('Construction Budget'!$M68,0)),('Construction Budget'!$G68+SUM($G211:CN211))/ROUND(((EOMONTH('Construction Budget'!$M68,0)-EOMONTH(CO$11,0))/30)+1,0),0)</f>
        <v>0</v>
      </c>
      <c r="CP211" s="427">
        <f>-IF(AND(CP$11&gt;=EOMONTH('Construction Budget'!$K68,0),CP$11&lt;=EOMONTH('Construction Budget'!$M68,0)),('Construction Budget'!$G68+SUM($G211:CO211))/ROUND(((EOMONTH('Construction Budget'!$M68,0)-EOMONTH(CP$11,0))/30)+1,0),0)</f>
        <v>0</v>
      </c>
      <c r="CQ211" s="427">
        <f>-IF(AND(CQ$11&gt;=EOMONTH('Construction Budget'!$K68,0),CQ$11&lt;=EOMONTH('Construction Budget'!$M68,0)),('Construction Budget'!$G68+SUM($G211:CP211))/ROUND(((EOMONTH('Construction Budget'!$M68,0)-EOMONTH(CQ$11,0))/30)+1,0),0)</f>
        <v>0</v>
      </c>
      <c r="CR211" s="427">
        <f>-IF(AND(CR$11&gt;=EOMONTH('Construction Budget'!$K68,0),CR$11&lt;=EOMONTH('Construction Budget'!$M68,0)),('Construction Budget'!$G68+SUM($G211:CQ211))/ROUND(((EOMONTH('Construction Budget'!$M68,0)-EOMONTH(CR$11,0))/30)+1,0),0)</f>
        <v>0</v>
      </c>
      <c r="CS211" s="427">
        <f>-IF(AND(CS$11&gt;=EOMONTH('Construction Budget'!$K68,0),CS$11&lt;=EOMONTH('Construction Budget'!$M68,0)),('Construction Budget'!$G68+SUM($G211:CR211))/ROUND(((EOMONTH('Construction Budget'!$M68,0)-EOMONTH(CS$11,0))/30)+1,0),0)</f>
        <v>0</v>
      </c>
      <c r="CT211" s="427">
        <f>-IF(AND(CT$11&gt;=EOMONTH('Construction Budget'!$K68,0),CT$11&lt;=EOMONTH('Construction Budget'!$M68,0)),('Construction Budget'!$G68+SUM($G211:CS211))/ROUND(((EOMONTH('Construction Budget'!$M68,0)-EOMONTH(CT$11,0))/30)+1,0),0)</f>
        <v>0</v>
      </c>
      <c r="CU211" s="427">
        <f>-IF(AND(CU$11&gt;=EOMONTH('Construction Budget'!$K68,0),CU$11&lt;=EOMONTH('Construction Budget'!$M68,0)),('Construction Budget'!$G68+SUM($G211:CT211))/ROUND(((EOMONTH('Construction Budget'!$M68,0)-EOMONTH(CU$11,0))/30)+1,0),0)</f>
        <v>0</v>
      </c>
      <c r="CV211" s="427">
        <f>-IF(AND(CV$11&gt;=EOMONTH('Construction Budget'!$K68,0),CV$11&lt;=EOMONTH('Construction Budget'!$M68,0)),('Construction Budget'!$G68+SUM($G211:CU211))/ROUND(((EOMONTH('Construction Budget'!$M68,0)-EOMONTH(CV$11,0))/30)+1,0),0)</f>
        <v>0</v>
      </c>
      <c r="CW211" s="427">
        <f>-IF(AND(CW$11&gt;=EOMONTH('Construction Budget'!$K68,0),CW$11&lt;=EOMONTH('Construction Budget'!$M68,0)),('Construction Budget'!$G68+SUM($G211:CV211))/ROUND(((EOMONTH('Construction Budget'!$M68,0)-EOMONTH(CW$11,0))/30)+1,0),0)</f>
        <v>0</v>
      </c>
      <c r="CX211" s="427">
        <f>-IF(AND(CX$11&gt;=EOMONTH('Construction Budget'!$K68,0),CX$11&lt;=EOMONTH('Construction Budget'!$M68,0)),('Construction Budget'!$G68+SUM($G211:CW211))/ROUND(((EOMONTH('Construction Budget'!$M68,0)-EOMONTH(CX$11,0))/30)+1,0),0)</f>
        <v>0</v>
      </c>
      <c r="CY211" s="427">
        <f>-IF(AND(CY$11&gt;=EOMONTH('Construction Budget'!$K68,0),CY$11&lt;=EOMONTH('Construction Budget'!$M68,0)),('Construction Budget'!$G68+SUM($G211:CX211))/ROUND(((EOMONTH('Construction Budget'!$M68,0)-EOMONTH(CY$11,0))/30)+1,0),0)</f>
        <v>0</v>
      </c>
      <c r="CZ211" s="427">
        <f>-IF(AND(CZ$11&gt;=EOMONTH('Construction Budget'!$K68,0),CZ$11&lt;=EOMONTH('Construction Budget'!$M68,0)),('Construction Budget'!$G68+SUM($G211:CY211))/ROUND(((EOMONTH('Construction Budget'!$M68,0)-EOMONTH(CZ$11,0))/30)+1,0),0)</f>
        <v>0</v>
      </c>
      <c r="DA211" s="427">
        <f>-IF(AND(DA$11&gt;=EOMONTH('Construction Budget'!$K68,0),DA$11&lt;=EOMONTH('Construction Budget'!$M68,0)),('Construction Budget'!$G68+SUM($G211:CZ211))/ROUND(((EOMONTH('Construction Budget'!$M68,0)-EOMONTH(DA$11,0))/30)+1,0),0)</f>
        <v>0</v>
      </c>
      <c r="DB211" s="427">
        <f>-IF(AND(DB$11&gt;=EOMONTH('Construction Budget'!$K68,0),DB$11&lt;=EOMONTH('Construction Budget'!$M68,0)),('Construction Budget'!$G68+SUM($G211:DA211))/ROUND(((EOMONTH('Construction Budget'!$M68,0)-EOMONTH(DB$11,0))/30)+1,0),0)</f>
        <v>0</v>
      </c>
      <c r="DC211" s="427">
        <f>-IF(AND(DC$11&gt;=EOMONTH('Construction Budget'!$K68,0),DC$11&lt;=EOMONTH('Construction Budget'!$M68,0)),('Construction Budget'!$G68+SUM($G211:DB211))/ROUND(((EOMONTH('Construction Budget'!$M68,0)-EOMONTH(DC$11,0))/30)+1,0),0)</f>
        <v>0</v>
      </c>
      <c r="DD211" s="427">
        <f>-IF(AND(DD$11&gt;=EOMONTH('Construction Budget'!$K68,0),DD$11&lt;=EOMONTH('Construction Budget'!$M68,0)),('Construction Budget'!$G68+SUM($G211:DC211))/ROUND(((EOMONTH('Construction Budget'!$M68,0)-EOMONTH(DD$11,0))/30)+1,0),0)</f>
        <v>0</v>
      </c>
      <c r="DE211" s="427">
        <f>-IF(AND(DE$11&gt;=EOMONTH('Construction Budget'!$K68,0),DE$11&lt;=EOMONTH('Construction Budget'!$M68,0)),('Construction Budget'!$G68+SUM($G211:DD211))/ROUND(((EOMONTH('Construction Budget'!$M68,0)-EOMONTH(DE$11,0))/30)+1,0),0)</f>
        <v>0</v>
      </c>
      <c r="DF211" s="427">
        <f>-IF(AND(DF$11&gt;=EOMONTH('Construction Budget'!$K68,0),DF$11&lt;=EOMONTH('Construction Budget'!$M68,0)),('Construction Budget'!$G68+SUM($G211:DE211))/ROUND(((EOMONTH('Construction Budget'!$M68,0)-EOMONTH(DF$11,0))/30)+1,0),0)</f>
        <v>0</v>
      </c>
      <c r="DG211" s="427">
        <f>-IF(AND(DG$11&gt;=EOMONTH('Construction Budget'!$K68,0),DG$11&lt;=EOMONTH('Construction Budget'!$M68,0)),('Construction Budget'!$G68+SUM($G211:DF211))/ROUND(((EOMONTH('Construction Budget'!$M68,0)-EOMONTH(DG$11,0))/30)+1,0),0)</f>
        <v>0</v>
      </c>
      <c r="DH211" s="427">
        <f>-IF(AND(DH$11&gt;=EOMONTH('Construction Budget'!$K68,0),DH$11&lt;=EOMONTH('Construction Budget'!$M68,0)),('Construction Budget'!$G68+SUM($G211:DG211))/ROUND(((EOMONTH('Construction Budget'!$M68,0)-EOMONTH(DH$11,0))/30)+1,0),0)</f>
        <v>0</v>
      </c>
      <c r="DI211" s="427">
        <f>-IF(AND(DI$11&gt;=EOMONTH('Construction Budget'!$K68,0),DI$11&lt;=EOMONTH('Construction Budget'!$M68,0)),('Construction Budget'!$G68+SUM($G211:DH211))/ROUND(((EOMONTH('Construction Budget'!$M68,0)-EOMONTH(DI$11,0))/30)+1,0),0)</f>
        <v>0</v>
      </c>
      <c r="DJ211" s="427">
        <f>-IF(AND(DJ$11&gt;=EOMONTH('Construction Budget'!$K68,0),DJ$11&lt;=EOMONTH('Construction Budget'!$M68,0)),('Construction Budget'!$G68+SUM($G211:DI211))/ROUND(((EOMONTH('Construction Budget'!$M68,0)-EOMONTH(DJ$11,0))/30)+1,0),0)</f>
        <v>0</v>
      </c>
      <c r="DK211" s="427">
        <f>-IF(AND(DK$11&gt;=EOMONTH('Construction Budget'!$K68,0),DK$11&lt;=EOMONTH('Construction Budget'!$M68,0)),('Construction Budget'!$G68+SUM($G211:DJ211))/ROUND(((EOMONTH('Construction Budget'!$M68,0)-EOMONTH(DK$11,0))/30)+1,0),0)</f>
        <v>0</v>
      </c>
      <c r="DL211" s="427">
        <f>-IF(AND(DL$11&gt;=EOMONTH('Construction Budget'!$K68,0),DL$11&lt;=EOMONTH('Construction Budget'!$M68,0)),('Construction Budget'!$G68+SUM($G211:DK211))/ROUND(((EOMONTH('Construction Budget'!$M68,0)-EOMONTH(DL$11,0))/30)+1,0),0)</f>
        <v>0</v>
      </c>
      <c r="DM211" s="427">
        <f>-IF(AND(DM$11&gt;=EOMONTH('Construction Budget'!$K68,0),DM$11&lt;=EOMONTH('Construction Budget'!$M68,0)),('Construction Budget'!$G68+SUM($G211:DL211))/ROUND(((EOMONTH('Construction Budget'!$M68,0)-EOMONTH(DM$11,0))/30)+1,0),0)</f>
        <v>0</v>
      </c>
      <c r="DN211" s="427">
        <f>-IF(AND(DN$11&gt;=EOMONTH('Construction Budget'!$K68,0),DN$11&lt;=EOMONTH('Construction Budget'!$M68,0)),('Construction Budget'!$G68+SUM($G211:DM211))/ROUND(((EOMONTH('Construction Budget'!$M68,0)-EOMONTH(DN$11,0))/30)+1,0),0)</f>
        <v>0</v>
      </c>
      <c r="DO211" s="427">
        <f>-IF(AND(DO$11&gt;=EOMONTH('Construction Budget'!$K68,0),DO$11&lt;=EOMONTH('Construction Budget'!$M68,0)),('Construction Budget'!$G68+SUM($G211:DN211))/ROUND(((EOMONTH('Construction Budget'!$M68,0)-EOMONTH(DO$11,0))/30)+1,0),0)</f>
        <v>0</v>
      </c>
      <c r="DP211" s="427">
        <f>-IF(AND(DP$11&gt;=EOMONTH('Construction Budget'!$K68,0),DP$11&lt;=EOMONTH('Construction Budget'!$M68,0)),('Construction Budget'!$G68+SUM($G211:DO211))/ROUND(((EOMONTH('Construction Budget'!$M68,0)-EOMONTH(DP$11,0))/30)+1,0),0)</f>
        <v>0</v>
      </c>
      <c r="DQ211" s="427">
        <f>-IF(AND(DQ$11&gt;=EOMONTH('Construction Budget'!$K68,0),DQ$11&lt;=EOMONTH('Construction Budget'!$M68,0)),('Construction Budget'!$G68+SUM($G211:DP211))/ROUND(((EOMONTH('Construction Budget'!$M68,0)-EOMONTH(DQ$11,0))/30)+1,0),0)</f>
        <v>0</v>
      </c>
      <c r="DR211" s="427">
        <f>-IF(AND(DR$11&gt;=EOMONTH('Construction Budget'!$K68,0),DR$11&lt;=EOMONTH('Construction Budget'!$M68,0)),('Construction Budget'!$G68+SUM($G211:DQ211))/ROUND(((EOMONTH('Construction Budget'!$M68,0)-EOMONTH(DR$11,0))/30)+1,0),0)</f>
        <v>0</v>
      </c>
      <c r="DS211" s="427">
        <f>-IF(AND(DS$11&gt;=EOMONTH('Construction Budget'!$K68,0),DS$11&lt;=EOMONTH('Construction Budget'!$M68,0)),('Construction Budget'!$G68+SUM($G211:DR211))/ROUND(((EOMONTH('Construction Budget'!$M68,0)-EOMONTH(DS$11,0))/30)+1,0),0)</f>
        <v>0</v>
      </c>
      <c r="DT211" s="427">
        <f>-IF(AND(DT$11&gt;=EOMONTH('Construction Budget'!$K68,0),DT$11&lt;=EOMONTH('Construction Budget'!$M68,0)),('Construction Budget'!$G68+SUM($G211:DS211))/ROUND(((EOMONTH('Construction Budget'!$M68,0)-EOMONTH(DT$11,0))/30)+1,0),0)</f>
        <v>0</v>
      </c>
      <c r="DU211" s="427">
        <f>-IF(AND(DU$11&gt;=EOMONTH('Construction Budget'!$K68,0),DU$11&lt;=EOMONTH('Construction Budget'!$M68,0)),('Construction Budget'!$G68+SUM($G211:DT211))/ROUND(((EOMONTH('Construction Budget'!$M68,0)-EOMONTH(DU$11,0))/30)+1,0),0)</f>
        <v>0</v>
      </c>
      <c r="DV211" s="427">
        <f>-IF(AND(DV$11&gt;=EOMONTH('Construction Budget'!$K68,0),DV$11&lt;=EOMONTH('Construction Budget'!$M68,0)),('Construction Budget'!$G68+SUM($G211:DU211))/ROUND(((EOMONTH('Construction Budget'!$M68,0)-EOMONTH(DV$11,0))/30)+1,0),0)</f>
        <v>0</v>
      </c>
      <c r="DW211" s="427">
        <f>-IF(AND(DW$11&gt;=EOMONTH('Construction Budget'!$K68,0),DW$11&lt;=EOMONTH('Construction Budget'!$M68,0)),('Construction Budget'!$G68+SUM($G211:DV211))/ROUND(((EOMONTH('Construction Budget'!$M68,0)-EOMONTH(DW$11,0))/30)+1,0),0)</f>
        <v>0</v>
      </c>
      <c r="DX211" s="427">
        <f>-IF(AND(DX$11&gt;=EOMONTH('Construction Budget'!$K68,0),DX$11&lt;=EOMONTH('Construction Budget'!$M68,0)),('Construction Budget'!$G68+SUM($G211:DW211))/ROUND(((EOMONTH('Construction Budget'!$M68,0)-EOMONTH(DX$11,0))/30)+1,0),0)</f>
        <v>0</v>
      </c>
      <c r="DY211" s="427">
        <f>-IF(AND(DY$11&gt;=EOMONTH('Construction Budget'!$K68,0),DY$11&lt;=EOMONTH('Construction Budget'!$M68,0)),('Construction Budget'!$G68+SUM($G211:DX211))/ROUND(((EOMONTH('Construction Budget'!$M68,0)-EOMONTH(DY$11,0))/30)+1,0),0)</f>
        <v>0</v>
      </c>
      <c r="DZ211" s="427">
        <f>-IF(AND(DZ$11&gt;=EOMONTH('Construction Budget'!$K68,0),DZ$11&lt;=EOMONTH('Construction Budget'!$M68,0)),('Construction Budget'!$G68+SUM($G211:DY211))/ROUND(((EOMONTH('Construction Budget'!$M68,0)-EOMONTH(DZ$11,0))/30)+1,0),0)</f>
        <v>0</v>
      </c>
      <c r="EA211" s="427">
        <f>-IF(AND(EA$11&gt;=EOMONTH('Construction Budget'!$K68,0),EA$11&lt;=EOMONTH('Construction Budget'!$M68,0)),('Construction Budget'!$G68+SUM($G211:DZ211))/ROUND(((EOMONTH('Construction Budget'!$M68,0)-EOMONTH(EA$11,0))/30)+1,0),0)</f>
        <v>0</v>
      </c>
      <c r="EB211" s="427">
        <f>-IF(AND(EB$11&gt;=EOMONTH('Construction Budget'!$K68,0),EB$11&lt;=EOMONTH('Construction Budget'!$M68,0)),('Construction Budget'!$G68+SUM($G211:EA211))/ROUND(((EOMONTH('Construction Budget'!$M68,0)-EOMONTH(EB$11,0))/30)+1,0),0)</f>
        <v>0</v>
      </c>
      <c r="EC211" s="427">
        <f>-IF(AND(EC$11&gt;=EOMONTH('Construction Budget'!$K68,0),EC$11&lt;=EOMONTH('Construction Budget'!$M68,0)),('Construction Budget'!$G68+SUM($G211:EB211))/ROUND(((EOMONTH('Construction Budget'!$M68,0)-EOMONTH(EC$11,0))/30)+1,0),0)</f>
        <v>0</v>
      </c>
      <c r="ED211" s="427">
        <f>-IF(AND(ED$11&gt;=EOMONTH('Construction Budget'!$K68,0),ED$11&lt;=EOMONTH('Construction Budget'!$M68,0)),('Construction Budget'!$G68+SUM($G211:EC211))/ROUND(((EOMONTH('Construction Budget'!$M68,0)-EOMONTH(ED$11,0))/30)+1,0),0)</f>
        <v>0</v>
      </c>
      <c r="EE211" s="427">
        <f>-IF(AND(EE$11&gt;=EOMONTH('Construction Budget'!$K68,0),EE$11&lt;=EOMONTH('Construction Budget'!$M68,0)),('Construction Budget'!$G68+SUM($G211:ED211))/ROUND(((EOMONTH('Construction Budget'!$M68,0)-EOMONTH(EE$11,0))/30)+1,0),0)</f>
        <v>0</v>
      </c>
      <c r="EF211" s="427">
        <f>-IF(AND(EF$11&gt;=EOMONTH('Construction Budget'!$K68,0),EF$11&lt;=EOMONTH('Construction Budget'!$M68,0)),('Construction Budget'!$G68+SUM($G211:EE211))/ROUND(((EOMONTH('Construction Budget'!$M68,0)-EOMONTH(EF$11,0))/30)+1,0),0)</f>
        <v>0</v>
      </c>
      <c r="EG211" s="427">
        <f>-IF(AND(EG$11&gt;=EOMONTH('Construction Budget'!$K68,0),EG$11&lt;=EOMONTH('Construction Budget'!$M68,0)),('Construction Budget'!$G68+SUM($G211:EF211))/ROUND(((EOMONTH('Construction Budget'!$M68,0)-EOMONTH(EG$11,0))/30)+1,0),0)</f>
        <v>0</v>
      </c>
      <c r="EH211" s="427">
        <f>-IF(AND(EH$11&gt;=EOMONTH('Construction Budget'!$K68,0),EH$11&lt;=EOMONTH('Construction Budget'!$M68,0)),('Construction Budget'!$G68+SUM($G211:EG211))/ROUND(((EOMONTH('Construction Budget'!$M68,0)-EOMONTH(EH$11,0))/30)+1,0),0)</f>
        <v>0</v>
      </c>
      <c r="EI211" s="427">
        <f>-IF(AND(EI$11&gt;=EOMONTH('Construction Budget'!$K68,0),EI$11&lt;=EOMONTH('Construction Budget'!$M68,0)),('Construction Budget'!$G68+SUM($G211:EH211))/ROUND(((EOMONTH('Construction Budget'!$M68,0)-EOMONTH(EI$11,0))/30)+1,0),0)</f>
        <v>0</v>
      </c>
      <c r="EJ211" s="427">
        <f>-IF(AND(EJ$11&gt;=EOMONTH('Construction Budget'!$K68,0),EJ$11&lt;=EOMONTH('Construction Budget'!$M68,0)),('Construction Budget'!$G68+SUM($G211:EI211))/ROUND(((EOMONTH('Construction Budget'!$M68,0)-EOMONTH(EJ$11,0))/30)+1,0),0)</f>
        <v>0</v>
      </c>
      <c r="EK211" s="427">
        <f>-IF(AND(EK$11&gt;=EOMONTH('Construction Budget'!$K68,0),EK$11&lt;=EOMONTH('Construction Budget'!$M68,0)),('Construction Budget'!$G68+SUM($G211:EJ211))/ROUND(((EOMONTH('Construction Budget'!$M68,0)-EOMONTH(EK$11,0))/30)+1,0),0)</f>
        <v>0</v>
      </c>
      <c r="EL211" s="427">
        <f>-IF(AND(EL$11&gt;=EOMONTH('Construction Budget'!$K68,0),EL$11&lt;=EOMONTH('Construction Budget'!$M68,0)),('Construction Budget'!$G68+SUM($G211:EK211))/ROUND(((EOMONTH('Construction Budget'!$M68,0)-EOMONTH(EL$11,0))/30)+1,0),0)</f>
        <v>0</v>
      </c>
      <c r="EM211" s="427">
        <f>-IF(AND(EM$11&gt;=EOMONTH('Construction Budget'!$K68,0),EM$11&lt;=EOMONTH('Construction Budget'!$M68,0)),('Construction Budget'!$G68+SUM($G211:EL211))/ROUND(((EOMONTH('Construction Budget'!$M68,0)-EOMONTH(EM$11,0))/30)+1,0),0)</f>
        <v>0</v>
      </c>
      <c r="EN211" s="427">
        <f>-IF(AND(EN$11&gt;=EOMONTH('Construction Budget'!$K68,0),EN$11&lt;=EOMONTH('Construction Budget'!$M68,0)),('Construction Budget'!$G68+SUM($G211:EM211))/ROUND(((EOMONTH('Construction Budget'!$M68,0)-EOMONTH(EN$11,0))/30)+1,0),0)</f>
        <v>0</v>
      </c>
      <c r="EO211" s="427">
        <f>-IF(AND(EO$11&gt;=EOMONTH('Construction Budget'!$K68,0),EO$11&lt;=EOMONTH('Construction Budget'!$M68,0)),('Construction Budget'!$G68+SUM($G211:EN211))/ROUND(((EOMONTH('Construction Budget'!$M68,0)-EOMONTH(EO$11,0))/30)+1,0),0)</f>
        <v>0</v>
      </c>
      <c r="EP211" s="427">
        <f>-IF(AND(EP$11&gt;=EOMONTH('Construction Budget'!$K68,0),EP$11&lt;=EOMONTH('Construction Budget'!$M68,0)),('Construction Budget'!$G68+SUM($G211:EO211))/ROUND(((EOMONTH('Construction Budget'!$M68,0)-EOMONTH(EP$11,0))/30)+1,0),0)</f>
        <v>0</v>
      </c>
      <c r="EQ211" s="427">
        <f>-IF(AND(EQ$11&gt;=EOMONTH('Construction Budget'!$K68,0),EQ$11&lt;=EOMONTH('Construction Budget'!$M68,0)),('Construction Budget'!$G68+SUM($G211:EP211))/ROUND(((EOMONTH('Construction Budget'!$M68,0)-EOMONTH(EQ$11,0))/30)+1,0),0)</f>
        <v>0</v>
      </c>
      <c r="ER211" s="427">
        <f>-IF(AND(ER$11&gt;=EOMONTH('Construction Budget'!$K68,0),ER$11&lt;=EOMONTH('Construction Budget'!$M68,0)),('Construction Budget'!$G68+SUM($G211:EQ211))/ROUND(((EOMONTH('Construction Budget'!$M68,0)-EOMONTH(ER$11,0))/30)+1,0),0)</f>
        <v>0</v>
      </c>
      <c r="ES211" s="427">
        <f>-IF(AND(ES$11&gt;=EOMONTH('Construction Budget'!$K68,0),ES$11&lt;=EOMONTH('Construction Budget'!$M68,0)),('Construction Budget'!$G68+SUM($G211:ER211))/ROUND(((EOMONTH('Construction Budget'!$M68,0)-EOMONTH(ES$11,0))/30)+1,0),0)</f>
        <v>0</v>
      </c>
      <c r="ET211" s="427">
        <f>-IF(AND(ET$11&gt;=EOMONTH('Construction Budget'!$K68,0),ET$11&lt;=EOMONTH('Construction Budget'!$M68,0)),('Construction Budget'!$G68+SUM($G211:ES211))/ROUND(((EOMONTH('Construction Budget'!$M68,0)-EOMONTH(ET$11,0))/30)+1,0),0)</f>
        <v>0</v>
      </c>
      <c r="EU211" s="427">
        <f>-IF(AND(EU$11&gt;=EOMONTH('Construction Budget'!$K68,0),EU$11&lt;=EOMONTH('Construction Budget'!$M68,0)),('Construction Budget'!$G68+SUM($G211:ET211))/ROUND(((EOMONTH('Construction Budget'!$M68,0)-EOMONTH(EU$11,0))/30)+1,0),0)</f>
        <v>0</v>
      </c>
      <c r="EV211" s="427">
        <f>-IF(AND(EV$11&gt;=EOMONTH('Construction Budget'!$K68,0),EV$11&lt;=EOMONTH('Construction Budget'!$M68,0)),('Construction Budget'!$G68+SUM($G211:EU211))/ROUND(((EOMONTH('Construction Budget'!$M68,0)-EOMONTH(EV$11,0))/30)+1,0),0)</f>
        <v>0</v>
      </c>
      <c r="EW211" s="427">
        <f>-IF(AND(EW$11&gt;=EOMONTH('Construction Budget'!$K68,0),EW$11&lt;=EOMONTH('Construction Budget'!$M68,0)),('Construction Budget'!$G68+SUM($G211:EV211))/ROUND(((EOMONTH('Construction Budget'!$M68,0)-EOMONTH(EW$11,0))/30)+1,0),0)</f>
        <v>0</v>
      </c>
      <c r="EX211" s="427">
        <f>-IF(AND(EX$11&gt;=EOMONTH('Construction Budget'!$K68,0),EX$11&lt;=EOMONTH('Construction Budget'!$M68,0)),('Construction Budget'!$G68+SUM($G211:EW211))/ROUND(((EOMONTH('Construction Budget'!$M68,0)-EOMONTH(EX$11,0))/30)+1,0),0)</f>
        <v>0</v>
      </c>
      <c r="EY211" s="427">
        <f>-IF(AND(EY$11&gt;=EOMONTH('Construction Budget'!$K68,0),EY$11&lt;=EOMONTH('Construction Budget'!$M68,0)),('Construction Budget'!$G68+SUM($G211:EX211))/ROUND(((EOMONTH('Construction Budget'!$M68,0)-EOMONTH(EY$11,0))/30)+1,0),0)</f>
        <v>0</v>
      </c>
      <c r="EZ211" s="427">
        <f>-IF(AND(EZ$11&gt;=EOMONTH('Construction Budget'!$K68,0),EZ$11&lt;=EOMONTH('Construction Budget'!$M68,0)),('Construction Budget'!$G68+SUM($G211:EY211))/ROUND(((EOMONTH('Construction Budget'!$M68,0)-EOMONTH(EZ$11,0))/30)+1,0),0)</f>
        <v>0</v>
      </c>
      <c r="FA211" s="427">
        <f>-IF(AND(FA$11&gt;=EOMONTH('Construction Budget'!$K68,0),FA$11&lt;=EOMONTH('Construction Budget'!$M68,0)),('Construction Budget'!$G68+SUM($G211:EZ211))/ROUND(((EOMONTH('Construction Budget'!$M68,0)-EOMONTH(FA$11,0))/30)+1,0),0)</f>
        <v>0</v>
      </c>
      <c r="FB211" s="427">
        <f>-IF(AND(FB$11&gt;=EOMONTH('Construction Budget'!$K68,0),FB$11&lt;=EOMONTH('Construction Budget'!$M68,0)),('Construction Budget'!$G68+SUM($G211:FA211))/ROUND(((EOMONTH('Construction Budget'!$M68,0)-EOMONTH(FB$11,0))/30)+1,0),0)</f>
        <v>0</v>
      </c>
      <c r="FC211" s="427">
        <f>-IF(AND(FC$11&gt;=EOMONTH('Construction Budget'!$K68,0),FC$11&lt;=EOMONTH('Construction Budget'!$M68,0)),('Construction Budget'!$G68+SUM($G211:FB211))/ROUND(((EOMONTH('Construction Budget'!$M68,0)-EOMONTH(FC$11,0))/30)+1,0),0)</f>
        <v>0</v>
      </c>
      <c r="FD211" s="427">
        <f>-IF(AND(FD$11&gt;=EOMONTH('Construction Budget'!$K68,0),FD$11&lt;=EOMONTH('Construction Budget'!$M68,0)),('Construction Budget'!$G68+SUM($G211:FC211))/ROUND(((EOMONTH('Construction Budget'!$M68,0)-EOMONTH(FD$11,0))/30)+1,0),0)</f>
        <v>0</v>
      </c>
      <c r="FE211" s="427">
        <f>-IF(AND(FE$11&gt;=EOMONTH('Construction Budget'!$K68,0),FE$11&lt;=EOMONTH('Construction Budget'!$M68,0)),('Construction Budget'!$G68+SUM($G211:FD211))/ROUND(((EOMONTH('Construction Budget'!$M68,0)-EOMONTH(FE$11,0))/30)+1,0),0)</f>
        <v>0</v>
      </c>
      <c r="FF211" s="427">
        <f>-IF(AND(FF$11&gt;=EOMONTH('Construction Budget'!$K68,0),FF$11&lt;=EOMONTH('Construction Budget'!$M68,0)),('Construction Budget'!$G68+SUM($G211:FE211))/ROUND(((EOMONTH('Construction Budget'!$M68,0)-EOMONTH(FF$11,0))/30)+1,0),0)</f>
        <v>0</v>
      </c>
      <c r="FG211" s="427">
        <f>-IF(AND(FG$11&gt;=EOMONTH('Construction Budget'!$K68,0),FG$11&lt;=EOMONTH('Construction Budget'!$M68,0)),('Construction Budget'!$G68+SUM($G211:FF211))/ROUND(((EOMONTH('Construction Budget'!$M68,0)-EOMONTH(FG$11,0))/30)+1,0),0)</f>
        <v>0</v>
      </c>
      <c r="FH211" s="427">
        <f>-IF(AND(FH$11&gt;=EOMONTH('Construction Budget'!$K68,0),FH$11&lt;=EOMONTH('Construction Budget'!$M68,0)),('Construction Budget'!$G68+SUM($G211:FG211))/ROUND(((EOMONTH('Construction Budget'!$M68,0)-EOMONTH(FH$11,0))/30)+1,0),0)</f>
        <v>0</v>
      </c>
      <c r="FI211" s="427">
        <f>-IF(AND(FI$11&gt;=EOMONTH('Construction Budget'!$K68,0),FI$11&lt;=EOMONTH('Construction Budget'!$M68,0)),('Construction Budget'!$G68+SUM($G211:FH211))/ROUND(((EOMONTH('Construction Budget'!$M68,0)-EOMONTH(FI$11,0))/30)+1,0),0)</f>
        <v>0</v>
      </c>
      <c r="FJ211" s="427">
        <f>-IF(AND(FJ$11&gt;=EOMONTH('Construction Budget'!$K68,0),FJ$11&lt;=EOMONTH('Construction Budget'!$M68,0)),('Construction Budget'!$G68+SUM($G211:FI211))/ROUND(((EOMONTH('Construction Budget'!$M68,0)-EOMONTH(FJ$11,0))/30)+1,0),0)</f>
        <v>0</v>
      </c>
      <c r="FK211" s="427">
        <f>-IF(AND(FK$11&gt;=EOMONTH('Construction Budget'!$K68,0),FK$11&lt;=EOMONTH('Construction Budget'!$M68,0)),('Construction Budget'!$G68+SUM($G211:FJ211))/ROUND(((EOMONTH('Construction Budget'!$M68,0)-EOMONTH(FK$11,0))/30)+1,0),0)</f>
        <v>0</v>
      </c>
      <c r="FL211" s="427">
        <f>-IF(AND(FL$11&gt;=EOMONTH('Construction Budget'!$K68,0),FL$11&lt;=EOMONTH('Construction Budget'!$M68,0)),('Construction Budget'!$G68+SUM($G211:FK211))/ROUND(((EOMONTH('Construction Budget'!$M68,0)-EOMONTH(FL$11,0))/30)+1,0),0)</f>
        <v>0</v>
      </c>
      <c r="FM211" s="427">
        <f>-IF(AND(FM$11&gt;=EOMONTH('Construction Budget'!$K68,0),FM$11&lt;=EOMONTH('Construction Budget'!$M68,0)),('Construction Budget'!$G68+SUM($G211:FL211))/ROUND(((EOMONTH('Construction Budget'!$M68,0)-EOMONTH(FM$11,0))/30)+1,0),0)</f>
        <v>0</v>
      </c>
      <c r="FN211" s="427">
        <f>-IF(AND(FN$11&gt;=EOMONTH('Construction Budget'!$K68,0),FN$11&lt;=EOMONTH('Construction Budget'!$M68,0)),('Construction Budget'!$G68+SUM($G211:FM211))/ROUND(((EOMONTH('Construction Budget'!$M68,0)-EOMONTH(FN$11,0))/30)+1,0),0)</f>
        <v>0</v>
      </c>
      <c r="FO211" s="427">
        <f>-IF(AND(FO$11&gt;=EOMONTH('Construction Budget'!$K68,0),FO$11&lt;=EOMONTH('Construction Budget'!$M68,0)),('Construction Budget'!$G68+SUM($G211:FN211))/ROUND(((EOMONTH('Construction Budget'!$M68,0)-EOMONTH(FO$11,0))/30)+1,0),0)</f>
        <v>0</v>
      </c>
      <c r="FP211" s="427">
        <f>-IF(AND(FP$11&gt;=EOMONTH('Construction Budget'!$K68,0),FP$11&lt;=EOMONTH('Construction Budget'!$M68,0)),('Construction Budget'!$G68+SUM($G211:FO211))/ROUND(((EOMONTH('Construction Budget'!$M68,0)-EOMONTH(FP$11,0))/30)+1,0),0)</f>
        <v>0</v>
      </c>
      <c r="FQ211" s="427">
        <f>-IF(AND(FQ$11&gt;=EOMONTH('Construction Budget'!$K68,0),FQ$11&lt;=EOMONTH('Construction Budget'!$M68,0)),('Construction Budget'!$G68+SUM($G211:FP211))/ROUND(((EOMONTH('Construction Budget'!$M68,0)-EOMONTH(FQ$11,0))/30)+1,0),0)</f>
        <v>0</v>
      </c>
      <c r="FR211" s="427">
        <f>-IF(AND(FR$11&gt;=EOMONTH('Construction Budget'!$K68,0),FR$11&lt;=EOMONTH('Construction Budget'!$M68,0)),('Construction Budget'!$G68+SUM($G211:FQ211))/ROUND(((EOMONTH('Construction Budget'!$M68,0)-EOMONTH(FR$11,0))/30)+1,0),0)</f>
        <v>0</v>
      </c>
      <c r="FS211" s="427">
        <f>-IF(AND(FS$11&gt;=EOMONTH('Construction Budget'!$K68,0),FS$11&lt;=EOMONTH('Construction Budget'!$M68,0)),('Construction Budget'!$G68+SUM($G211:FR211))/ROUND(((EOMONTH('Construction Budget'!$M68,0)-EOMONTH(FS$11,0))/30)+1,0),0)</f>
        <v>0</v>
      </c>
      <c r="FT211" s="427">
        <f>-IF(AND(FT$11&gt;=EOMONTH('Construction Budget'!$K68,0),FT$11&lt;=EOMONTH('Construction Budget'!$M68,0)),('Construction Budget'!$G68+SUM($G211:FS211))/ROUND(((EOMONTH('Construction Budget'!$M68,0)-EOMONTH(FT$11,0))/30)+1,0),0)</f>
        <v>0</v>
      </c>
      <c r="FU211" s="43"/>
      <c r="FV211" s="34"/>
      <c r="FW211" s="34"/>
      <c r="FX211" s="34"/>
      <c r="FY211" s="34"/>
      <c r="FZ211" s="34"/>
    </row>
    <row r="212" spans="1:182" s="89" customFormat="1" ht="13.5" hidden="1" outlineLevel="2" x14ac:dyDescent="0.25">
      <c r="A212" s="498"/>
      <c r="B212" s="43" t="str">
        <f>'Construction Budget'!B69</f>
        <v>Blank</v>
      </c>
      <c r="C212" s="34"/>
      <c r="D212" s="34"/>
      <c r="E212" s="34"/>
      <c r="F212" s="434">
        <f t="shared" si="236"/>
        <v>0</v>
      </c>
      <c r="G212" s="34"/>
      <c r="H212" s="427">
        <f>-IF(AND(H$11&gt;=EOMONTH('Construction Budget'!$K69,0),H$11&lt;=EOMONTH('Construction Budget'!$M69,0)),('Construction Budget'!$G69+SUM($G212:G212))/ROUND(((EOMONTH('Construction Budget'!$M69,0)-EOMONTH(H$11,0))/30)+1,0),0)</f>
        <v>0</v>
      </c>
      <c r="I212" s="427">
        <f>-IF(AND(I$11&gt;=EOMONTH('Construction Budget'!$K69,0),I$11&lt;=EOMONTH('Construction Budget'!$M69,0)),('Construction Budget'!$G69+SUM($G212:H212))/ROUND(((EOMONTH('Construction Budget'!$M69,0)-EOMONTH(I$11,0))/30)+1,0),0)</f>
        <v>0</v>
      </c>
      <c r="J212" s="427">
        <f>-IF(AND(J$11&gt;=EOMONTH('Construction Budget'!$K69,0),J$11&lt;=EOMONTH('Construction Budget'!$M69,0)),('Construction Budget'!$G69+SUM($G212:I212))/ROUND(((EOMONTH('Construction Budget'!$M69,0)-EOMONTH(J$11,0))/30)+1,0),0)</f>
        <v>0</v>
      </c>
      <c r="K212" s="427">
        <f>-IF(AND(K$11&gt;=EOMONTH('Construction Budget'!$K69,0),K$11&lt;=EOMONTH('Construction Budget'!$M69,0)),('Construction Budget'!$G69+SUM($G212:J212))/ROUND(((EOMONTH('Construction Budget'!$M69,0)-EOMONTH(K$11,0))/30)+1,0),0)</f>
        <v>0</v>
      </c>
      <c r="L212" s="427">
        <f>-IF(AND(L$11&gt;=EOMONTH('Construction Budget'!$K69,0),L$11&lt;=EOMONTH('Construction Budget'!$M69,0)),('Construction Budget'!$G69+SUM($G212:K212))/ROUND(((EOMONTH('Construction Budget'!$M69,0)-EOMONTH(L$11,0))/30)+1,0),0)</f>
        <v>0</v>
      </c>
      <c r="M212" s="427">
        <f>-IF(AND(M$11&gt;=EOMONTH('Construction Budget'!$K69,0),M$11&lt;=EOMONTH('Construction Budget'!$M69,0)),('Construction Budget'!$G69+SUM($G212:L212))/ROUND(((EOMONTH('Construction Budget'!$M69,0)-EOMONTH(M$11,0))/30)+1,0),0)</f>
        <v>0</v>
      </c>
      <c r="N212" s="427">
        <f>-IF(AND(N$11&gt;=EOMONTH('Construction Budget'!$K69,0),N$11&lt;=EOMONTH('Construction Budget'!$M69,0)),('Construction Budget'!$G69+SUM($G212:M212))/ROUND(((EOMONTH('Construction Budget'!$M69,0)-EOMONTH(N$11,0))/30)+1,0),0)</f>
        <v>0</v>
      </c>
      <c r="O212" s="427">
        <f>-IF(AND(O$11&gt;=EOMONTH('Construction Budget'!$K69,0),O$11&lt;=EOMONTH('Construction Budget'!$M69,0)),('Construction Budget'!$G69+SUM($G212:N212))/ROUND(((EOMONTH('Construction Budget'!$M69,0)-EOMONTH(O$11,0))/30)+1,0),0)</f>
        <v>0</v>
      </c>
      <c r="P212" s="427">
        <f>-IF(AND(P$11&gt;=EOMONTH('Construction Budget'!$K69,0),P$11&lt;=EOMONTH('Construction Budget'!$M69,0)),('Construction Budget'!$G69+SUM($G212:O212))/ROUND(((EOMONTH('Construction Budget'!$M69,0)-EOMONTH(P$11,0))/30)+1,0),0)</f>
        <v>0</v>
      </c>
      <c r="Q212" s="427">
        <f>-IF(AND(Q$11&gt;=EOMONTH('Construction Budget'!$K69,0),Q$11&lt;=EOMONTH('Construction Budget'!$M69,0)),('Construction Budget'!$G69+SUM($G212:P212))/ROUND(((EOMONTH('Construction Budget'!$M69,0)-EOMONTH(Q$11,0))/30)+1,0),0)</f>
        <v>0</v>
      </c>
      <c r="R212" s="427">
        <f>-IF(AND(R$11&gt;=EOMONTH('Construction Budget'!$K69,0),R$11&lt;=EOMONTH('Construction Budget'!$M69,0)),('Construction Budget'!$G69+SUM($G212:Q212))/ROUND(((EOMONTH('Construction Budget'!$M69,0)-EOMONTH(R$11,0))/30)+1,0),0)</f>
        <v>0</v>
      </c>
      <c r="S212" s="427">
        <f>-IF(AND(S$11&gt;=EOMONTH('Construction Budget'!$K69,0),S$11&lt;=EOMONTH('Construction Budget'!$M69,0)),('Construction Budget'!$G69+SUM($G212:R212))/ROUND(((EOMONTH('Construction Budget'!$M69,0)-EOMONTH(S$11,0))/30)+1,0),0)</f>
        <v>0</v>
      </c>
      <c r="T212" s="427">
        <f>-IF(AND(T$11&gt;=EOMONTH('Construction Budget'!$K69,0),T$11&lt;=EOMONTH('Construction Budget'!$M69,0)),('Construction Budget'!$G69+SUM($G212:S212))/ROUND(((EOMONTH('Construction Budget'!$M69,0)-EOMONTH(T$11,0))/30)+1,0),0)</f>
        <v>0</v>
      </c>
      <c r="U212" s="427">
        <f>-IF(AND(U$11&gt;=EOMONTH('Construction Budget'!$K69,0),U$11&lt;=EOMONTH('Construction Budget'!$M69,0)),('Construction Budget'!$G69+SUM($G212:T212))/ROUND(((EOMONTH('Construction Budget'!$M69,0)-EOMONTH(U$11,0))/30)+1,0),0)</f>
        <v>0</v>
      </c>
      <c r="V212" s="427">
        <f>-IF(AND(V$11&gt;=EOMONTH('Construction Budget'!$K69,0),V$11&lt;=EOMONTH('Construction Budget'!$M69,0)),('Construction Budget'!$G69+SUM($G212:U212))/ROUND(((EOMONTH('Construction Budget'!$M69,0)-EOMONTH(V$11,0))/30)+1,0),0)</f>
        <v>0</v>
      </c>
      <c r="W212" s="427">
        <f>-IF(AND(W$11&gt;=EOMONTH('Construction Budget'!$K69,0),W$11&lt;=EOMONTH('Construction Budget'!$M69,0)),('Construction Budget'!$G69+SUM($G212:V212))/ROUND(((EOMONTH('Construction Budget'!$M69,0)-EOMONTH(W$11,0))/30)+1,0),0)</f>
        <v>0</v>
      </c>
      <c r="X212" s="427">
        <f>-IF(AND(X$11&gt;=EOMONTH('Construction Budget'!$K69,0),X$11&lt;=EOMONTH('Construction Budget'!$M69,0)),('Construction Budget'!$G69+SUM($G212:W212))/ROUND(((EOMONTH('Construction Budget'!$M69,0)-EOMONTH(X$11,0))/30)+1,0),0)</f>
        <v>0</v>
      </c>
      <c r="Y212" s="427">
        <f>-IF(AND(Y$11&gt;=EOMONTH('Construction Budget'!$K69,0),Y$11&lt;=EOMONTH('Construction Budget'!$M69,0)),('Construction Budget'!$G69+SUM($G212:X212))/ROUND(((EOMONTH('Construction Budget'!$M69,0)-EOMONTH(Y$11,0))/30)+1,0),0)</f>
        <v>0</v>
      </c>
      <c r="Z212" s="427">
        <f>-IF(AND(Z$11&gt;=EOMONTH('Construction Budget'!$K69,0),Z$11&lt;=EOMONTH('Construction Budget'!$M69,0)),('Construction Budget'!$G69+SUM($G212:Y212))/ROUND(((EOMONTH('Construction Budget'!$M69,0)-EOMONTH(Z$11,0))/30)+1,0),0)</f>
        <v>0</v>
      </c>
      <c r="AA212" s="427">
        <f>-IF(AND(AA$11&gt;=EOMONTH('Construction Budget'!$K69,0),AA$11&lt;=EOMONTH('Construction Budget'!$M69,0)),('Construction Budget'!$G69+SUM($G212:Z212))/ROUND(((EOMONTH('Construction Budget'!$M69,0)-EOMONTH(AA$11,0))/30)+1,0),0)</f>
        <v>0</v>
      </c>
      <c r="AB212" s="427">
        <f>-IF(AND(AB$11&gt;=EOMONTH('Construction Budget'!$K69,0),AB$11&lt;=EOMONTH('Construction Budget'!$M69,0)),('Construction Budget'!$G69+SUM($G212:AA212))/ROUND(((EOMONTH('Construction Budget'!$M69,0)-EOMONTH(AB$11,0))/30)+1,0),0)</f>
        <v>0</v>
      </c>
      <c r="AC212" s="427">
        <f>-IF(AND(AC$11&gt;=EOMONTH('Construction Budget'!$K69,0),AC$11&lt;=EOMONTH('Construction Budget'!$M69,0)),('Construction Budget'!$G69+SUM($G212:AB212))/ROUND(((EOMONTH('Construction Budget'!$M69,0)-EOMONTH(AC$11,0))/30)+1,0),0)</f>
        <v>0</v>
      </c>
      <c r="AD212" s="427">
        <f>-IF(AND(AD$11&gt;=EOMONTH('Construction Budget'!$K69,0),AD$11&lt;=EOMONTH('Construction Budget'!$M69,0)),('Construction Budget'!$G69+SUM($G212:AC212))/ROUND(((EOMONTH('Construction Budget'!$M69,0)-EOMONTH(AD$11,0))/30)+1,0),0)</f>
        <v>0</v>
      </c>
      <c r="AE212" s="427">
        <f>-IF(AND(AE$11&gt;=EOMONTH('Construction Budget'!$K69,0),AE$11&lt;=EOMONTH('Construction Budget'!$M69,0)),('Construction Budget'!$G69+SUM($G212:AD212))/ROUND(((EOMONTH('Construction Budget'!$M69,0)-EOMONTH(AE$11,0))/30)+1,0),0)</f>
        <v>0</v>
      </c>
      <c r="AF212" s="427">
        <f>-IF(AND(AF$11&gt;=EOMONTH('Construction Budget'!$K69,0),AF$11&lt;=EOMONTH('Construction Budget'!$M69,0)),('Construction Budget'!$G69+SUM($G212:AE212))/ROUND(((EOMONTH('Construction Budget'!$M69,0)-EOMONTH(AF$11,0))/30)+1,0),0)</f>
        <v>0</v>
      </c>
      <c r="AG212" s="427">
        <f>-IF(AND(AG$11&gt;=EOMONTH('Construction Budget'!$K69,0),AG$11&lt;=EOMONTH('Construction Budget'!$M69,0)),('Construction Budget'!$G69+SUM($G212:AF212))/ROUND(((EOMONTH('Construction Budget'!$M69,0)-EOMONTH(AG$11,0))/30)+1,0),0)</f>
        <v>0</v>
      </c>
      <c r="AH212" s="427">
        <f>-IF(AND(AH$11&gt;=EOMONTH('Construction Budget'!$K69,0),AH$11&lt;=EOMONTH('Construction Budget'!$M69,0)),('Construction Budget'!$G69+SUM($G212:AG212))/ROUND(((EOMONTH('Construction Budget'!$M69,0)-EOMONTH(AH$11,0))/30)+1,0),0)</f>
        <v>0</v>
      </c>
      <c r="AI212" s="427">
        <f>-IF(AND(AI$11&gt;=EOMONTH('Construction Budget'!$K69,0),AI$11&lt;=EOMONTH('Construction Budget'!$M69,0)),('Construction Budget'!$G69+SUM($G212:AH212))/ROUND(((EOMONTH('Construction Budget'!$M69,0)-EOMONTH(AI$11,0))/30)+1,0),0)</f>
        <v>0</v>
      </c>
      <c r="AJ212" s="427">
        <f>-IF(AND(AJ$11&gt;=EOMONTH('Construction Budget'!$K69,0),AJ$11&lt;=EOMONTH('Construction Budget'!$M69,0)),('Construction Budget'!$G69+SUM($G212:AI212))/ROUND(((EOMONTH('Construction Budget'!$M69,0)-EOMONTH(AJ$11,0))/30)+1,0),0)</f>
        <v>0</v>
      </c>
      <c r="AK212" s="427">
        <f>-IF(AND(AK$11&gt;=EOMONTH('Construction Budget'!$K69,0),AK$11&lt;=EOMONTH('Construction Budget'!$M69,0)),('Construction Budget'!$G69+SUM($G212:AJ212))/ROUND(((EOMONTH('Construction Budget'!$M69,0)-EOMONTH(AK$11,0))/30)+1,0),0)</f>
        <v>0</v>
      </c>
      <c r="AL212" s="427">
        <f>-IF(AND(AL$11&gt;=EOMONTH('Construction Budget'!$K69,0),AL$11&lt;=EOMONTH('Construction Budget'!$M69,0)),('Construction Budget'!$G69+SUM($G212:AK212))/ROUND(((EOMONTH('Construction Budget'!$M69,0)-EOMONTH(AL$11,0))/30)+1,0),0)</f>
        <v>0</v>
      </c>
      <c r="AM212" s="427">
        <f>-IF(AND(AM$11&gt;=EOMONTH('Construction Budget'!$K69,0),AM$11&lt;=EOMONTH('Construction Budget'!$M69,0)),('Construction Budget'!$G69+SUM($G212:AL212))/ROUND(((EOMONTH('Construction Budget'!$M69,0)-EOMONTH(AM$11,0))/30)+1,0),0)</f>
        <v>0</v>
      </c>
      <c r="AN212" s="427">
        <f>-IF(AND(AN$11&gt;=EOMONTH('Construction Budget'!$K69,0),AN$11&lt;=EOMONTH('Construction Budget'!$M69,0)),('Construction Budget'!$G69+SUM($G212:AM212))/ROUND(((EOMONTH('Construction Budget'!$M69,0)-EOMONTH(AN$11,0))/30)+1,0),0)</f>
        <v>0</v>
      </c>
      <c r="AO212" s="427">
        <f>-IF(AND(AO$11&gt;=EOMONTH('Construction Budget'!$K69,0),AO$11&lt;=EOMONTH('Construction Budget'!$M69,0)),('Construction Budget'!$G69+SUM($G212:AN212))/ROUND(((EOMONTH('Construction Budget'!$M69,0)-EOMONTH(AO$11,0))/30)+1,0),0)</f>
        <v>0</v>
      </c>
      <c r="AP212" s="427">
        <f>-IF(AND(AP$11&gt;=EOMONTH('Construction Budget'!$K69,0),AP$11&lt;=EOMONTH('Construction Budget'!$M69,0)),('Construction Budget'!$G69+SUM($G212:AO212))/ROUND(((EOMONTH('Construction Budget'!$M69,0)-EOMONTH(AP$11,0))/30)+1,0),0)</f>
        <v>0</v>
      </c>
      <c r="AQ212" s="427">
        <f>-IF(AND(AQ$11&gt;=EOMONTH('Construction Budget'!$K69,0),AQ$11&lt;=EOMONTH('Construction Budget'!$M69,0)),('Construction Budget'!$G69+SUM($G212:AP212))/ROUND(((EOMONTH('Construction Budget'!$M69,0)-EOMONTH(AQ$11,0))/30)+1,0),0)</f>
        <v>0</v>
      </c>
      <c r="AR212" s="427">
        <f>-IF(AND(AR$11&gt;=EOMONTH('Construction Budget'!$K69,0),AR$11&lt;=EOMONTH('Construction Budget'!$M69,0)),('Construction Budget'!$G69+SUM($G212:AQ212))/ROUND(((EOMONTH('Construction Budget'!$M69,0)-EOMONTH(AR$11,0))/30)+1,0),0)</f>
        <v>0</v>
      </c>
      <c r="AS212" s="427">
        <f>-IF(AND(AS$11&gt;=EOMONTH('Construction Budget'!$K69,0),AS$11&lt;=EOMONTH('Construction Budget'!$M69,0)),('Construction Budget'!$G69+SUM($G212:AR212))/ROUND(((EOMONTH('Construction Budget'!$M69,0)-EOMONTH(AS$11,0))/30)+1,0),0)</f>
        <v>0</v>
      </c>
      <c r="AT212" s="427">
        <f>-IF(AND(AT$11&gt;=EOMONTH('Construction Budget'!$K69,0),AT$11&lt;=EOMONTH('Construction Budget'!$M69,0)),('Construction Budget'!$G69+SUM($G212:AS212))/ROUND(((EOMONTH('Construction Budget'!$M69,0)-EOMONTH(AT$11,0))/30)+1,0),0)</f>
        <v>0</v>
      </c>
      <c r="AU212" s="427">
        <f>-IF(AND(AU$11&gt;=EOMONTH('Construction Budget'!$K69,0),AU$11&lt;=EOMONTH('Construction Budget'!$M69,0)),('Construction Budget'!$G69+SUM($G212:AT212))/ROUND(((EOMONTH('Construction Budget'!$M69,0)-EOMONTH(AU$11,0))/30)+1,0),0)</f>
        <v>0</v>
      </c>
      <c r="AV212" s="427">
        <f>-IF(AND(AV$11&gt;=EOMONTH('Construction Budget'!$K69,0),AV$11&lt;=EOMONTH('Construction Budget'!$M69,0)),('Construction Budget'!$G69+SUM($G212:AU212))/ROUND(((EOMONTH('Construction Budget'!$M69,0)-EOMONTH(AV$11,0))/30)+1,0),0)</f>
        <v>0</v>
      </c>
      <c r="AW212" s="427">
        <f>-IF(AND(AW$11&gt;=EOMONTH('Construction Budget'!$K69,0),AW$11&lt;=EOMONTH('Construction Budget'!$M69,0)),('Construction Budget'!$G69+SUM($G212:AV212))/ROUND(((EOMONTH('Construction Budget'!$M69,0)-EOMONTH(AW$11,0))/30)+1,0),0)</f>
        <v>0</v>
      </c>
      <c r="AX212" s="427">
        <f>-IF(AND(AX$11&gt;=EOMONTH('Construction Budget'!$K69,0),AX$11&lt;=EOMONTH('Construction Budget'!$M69,0)),('Construction Budget'!$G69+SUM($G212:AW212))/ROUND(((EOMONTH('Construction Budget'!$M69,0)-EOMONTH(AX$11,0))/30)+1,0),0)</f>
        <v>0</v>
      </c>
      <c r="AY212" s="427">
        <f>-IF(AND(AY$11&gt;=EOMONTH('Construction Budget'!$K69,0),AY$11&lt;=EOMONTH('Construction Budget'!$M69,0)),('Construction Budget'!$G69+SUM($G212:AX212))/ROUND(((EOMONTH('Construction Budget'!$M69,0)-EOMONTH(AY$11,0))/30)+1,0),0)</f>
        <v>0</v>
      </c>
      <c r="AZ212" s="427">
        <f>-IF(AND(AZ$11&gt;=EOMONTH('Construction Budget'!$K69,0),AZ$11&lt;=EOMONTH('Construction Budget'!$M69,0)),('Construction Budget'!$G69+SUM($G212:AY212))/ROUND(((EOMONTH('Construction Budget'!$M69,0)-EOMONTH(AZ$11,0))/30)+1,0),0)</f>
        <v>0</v>
      </c>
      <c r="BA212" s="427">
        <f>-IF(AND(BA$11&gt;=EOMONTH('Construction Budget'!$K69,0),BA$11&lt;=EOMONTH('Construction Budget'!$M69,0)),('Construction Budget'!$G69+SUM($G212:AZ212))/ROUND(((EOMONTH('Construction Budget'!$M69,0)-EOMONTH(BA$11,0))/30)+1,0),0)</f>
        <v>0</v>
      </c>
      <c r="BB212" s="427">
        <f>-IF(AND(BB$11&gt;=EOMONTH('Construction Budget'!$K69,0),BB$11&lt;=EOMONTH('Construction Budget'!$M69,0)),('Construction Budget'!$G69+SUM($G212:BA212))/ROUND(((EOMONTH('Construction Budget'!$M69,0)-EOMONTH(BB$11,0))/30)+1,0),0)</f>
        <v>0</v>
      </c>
      <c r="BC212" s="427">
        <f>-IF(AND(BC$11&gt;=EOMONTH('Construction Budget'!$K69,0),BC$11&lt;=EOMONTH('Construction Budget'!$M69,0)),('Construction Budget'!$G69+SUM($G212:BB212))/ROUND(((EOMONTH('Construction Budget'!$M69,0)-EOMONTH(BC$11,0))/30)+1,0),0)</f>
        <v>0</v>
      </c>
      <c r="BD212" s="427">
        <f>-IF(AND(BD$11&gt;=EOMONTH('Construction Budget'!$K69,0),BD$11&lt;=EOMONTH('Construction Budget'!$M69,0)),('Construction Budget'!$G69+SUM($G212:BC212))/ROUND(((EOMONTH('Construction Budget'!$M69,0)-EOMONTH(BD$11,0))/30)+1,0),0)</f>
        <v>0</v>
      </c>
      <c r="BE212" s="427">
        <f>-IF(AND(BE$11&gt;=EOMONTH('Construction Budget'!$K69,0),BE$11&lt;=EOMONTH('Construction Budget'!$M69,0)),('Construction Budget'!$G69+SUM($G212:BD212))/ROUND(((EOMONTH('Construction Budget'!$M69,0)-EOMONTH(BE$11,0))/30)+1,0),0)</f>
        <v>0</v>
      </c>
      <c r="BF212" s="427">
        <f>-IF(AND(BF$11&gt;=EOMONTH('Construction Budget'!$K69,0),BF$11&lt;=EOMONTH('Construction Budget'!$M69,0)),('Construction Budget'!$G69+SUM($G212:BE212))/ROUND(((EOMONTH('Construction Budget'!$M69,0)-EOMONTH(BF$11,0))/30)+1,0),0)</f>
        <v>0</v>
      </c>
      <c r="BG212" s="427">
        <f>-IF(AND(BG$11&gt;=EOMONTH('Construction Budget'!$K69,0),BG$11&lt;=EOMONTH('Construction Budget'!$M69,0)),('Construction Budget'!$G69+SUM($G212:BF212))/ROUND(((EOMONTH('Construction Budget'!$M69,0)-EOMONTH(BG$11,0))/30)+1,0),0)</f>
        <v>0</v>
      </c>
      <c r="BH212" s="427">
        <f>-IF(AND(BH$11&gt;=EOMONTH('Construction Budget'!$K69,0),BH$11&lt;=EOMONTH('Construction Budget'!$M69,0)),('Construction Budget'!$G69+SUM($G212:BG212))/ROUND(((EOMONTH('Construction Budget'!$M69,0)-EOMONTH(BH$11,0))/30)+1,0),0)</f>
        <v>0</v>
      </c>
      <c r="BI212" s="427">
        <f>-IF(AND(BI$11&gt;=EOMONTH('Construction Budget'!$K69,0),BI$11&lt;=EOMONTH('Construction Budget'!$M69,0)),('Construction Budget'!$G69+SUM($G212:BH212))/ROUND(((EOMONTH('Construction Budget'!$M69,0)-EOMONTH(BI$11,0))/30)+1,0),0)</f>
        <v>0</v>
      </c>
      <c r="BJ212" s="427">
        <f>-IF(AND(BJ$11&gt;=EOMONTH('Construction Budget'!$K69,0),BJ$11&lt;=EOMONTH('Construction Budget'!$M69,0)),('Construction Budget'!$G69+SUM($G212:BI212))/ROUND(((EOMONTH('Construction Budget'!$M69,0)-EOMONTH(BJ$11,0))/30)+1,0),0)</f>
        <v>0</v>
      </c>
      <c r="BK212" s="427">
        <f>-IF(AND(BK$11&gt;=EOMONTH('Construction Budget'!$K69,0),BK$11&lt;=EOMONTH('Construction Budget'!$M69,0)),('Construction Budget'!$G69+SUM($G212:BJ212))/ROUND(((EOMONTH('Construction Budget'!$M69,0)-EOMONTH(BK$11,0))/30)+1,0),0)</f>
        <v>0</v>
      </c>
      <c r="BL212" s="427">
        <f>-IF(AND(BL$11&gt;=EOMONTH('Construction Budget'!$K69,0),BL$11&lt;=EOMONTH('Construction Budget'!$M69,0)),('Construction Budget'!$G69+SUM($G212:BK212))/ROUND(((EOMONTH('Construction Budget'!$M69,0)-EOMONTH(BL$11,0))/30)+1,0),0)</f>
        <v>0</v>
      </c>
      <c r="BM212" s="427">
        <f>-IF(AND(BM$11&gt;=EOMONTH('Construction Budget'!$K69,0),BM$11&lt;=EOMONTH('Construction Budget'!$M69,0)),('Construction Budget'!$G69+SUM($G212:BL212))/ROUND(((EOMONTH('Construction Budget'!$M69,0)-EOMONTH(BM$11,0))/30)+1,0),0)</f>
        <v>0</v>
      </c>
      <c r="BN212" s="427">
        <f>-IF(AND(BN$11&gt;=EOMONTH('Construction Budget'!$K69,0),BN$11&lt;=EOMONTH('Construction Budget'!$M69,0)),('Construction Budget'!$G69+SUM($G212:BM212))/ROUND(((EOMONTH('Construction Budget'!$M69,0)-EOMONTH(BN$11,0))/30)+1,0),0)</f>
        <v>0</v>
      </c>
      <c r="BO212" s="427">
        <f>-IF(AND(BO$11&gt;=EOMONTH('Construction Budget'!$K69,0),BO$11&lt;=EOMONTH('Construction Budget'!$M69,0)),('Construction Budget'!$G69+SUM($G212:BN212))/ROUND(((EOMONTH('Construction Budget'!$M69,0)-EOMONTH(BO$11,0))/30)+1,0),0)</f>
        <v>0</v>
      </c>
      <c r="BP212" s="427">
        <f>-IF(AND(BP$11&gt;=EOMONTH('Construction Budget'!$K69,0),BP$11&lt;=EOMONTH('Construction Budget'!$M69,0)),('Construction Budget'!$G69+SUM($G212:BO212))/ROUND(((EOMONTH('Construction Budget'!$M69,0)-EOMONTH(BP$11,0))/30)+1,0),0)</f>
        <v>0</v>
      </c>
      <c r="BQ212" s="427">
        <f>-IF(AND(BQ$11&gt;=EOMONTH('Construction Budget'!$K69,0),BQ$11&lt;=EOMONTH('Construction Budget'!$M69,0)),('Construction Budget'!$G69+SUM($G212:BP212))/ROUND(((EOMONTH('Construction Budget'!$M69,0)-EOMONTH(BQ$11,0))/30)+1,0),0)</f>
        <v>0</v>
      </c>
      <c r="BR212" s="427">
        <f>-IF(AND(BR$11&gt;=EOMONTH('Construction Budget'!$K69,0),BR$11&lt;=EOMONTH('Construction Budget'!$M69,0)),('Construction Budget'!$G69+SUM($G212:BQ212))/ROUND(((EOMONTH('Construction Budget'!$M69,0)-EOMONTH(BR$11,0))/30)+1,0),0)</f>
        <v>0</v>
      </c>
      <c r="BS212" s="427">
        <f>-IF(AND(BS$11&gt;=EOMONTH('Construction Budget'!$K69,0),BS$11&lt;=EOMONTH('Construction Budget'!$M69,0)),('Construction Budget'!$G69+SUM($G212:BR212))/ROUND(((EOMONTH('Construction Budget'!$M69,0)-EOMONTH(BS$11,0))/30)+1,0),0)</f>
        <v>0</v>
      </c>
      <c r="BT212" s="427">
        <f>-IF(AND(BT$11&gt;=EOMONTH('Construction Budget'!$K69,0),BT$11&lt;=EOMONTH('Construction Budget'!$M69,0)),('Construction Budget'!$G69+SUM($G212:BS212))/ROUND(((EOMONTH('Construction Budget'!$M69,0)-EOMONTH(BT$11,0))/30)+1,0),0)</f>
        <v>0</v>
      </c>
      <c r="BU212" s="427">
        <f>-IF(AND(BU$11&gt;=EOMONTH('Construction Budget'!$K69,0),BU$11&lt;=EOMONTH('Construction Budget'!$M69,0)),('Construction Budget'!$G69+SUM($G212:BT212))/ROUND(((EOMONTH('Construction Budget'!$M69,0)-EOMONTH(BU$11,0))/30)+1,0),0)</f>
        <v>0</v>
      </c>
      <c r="BV212" s="427">
        <f>-IF(AND(BV$11&gt;=EOMONTH('Construction Budget'!$K69,0),BV$11&lt;=EOMONTH('Construction Budget'!$M69,0)),('Construction Budget'!$G69+SUM($G212:BU212))/ROUND(((EOMONTH('Construction Budget'!$M69,0)-EOMONTH(BV$11,0))/30)+1,0),0)</f>
        <v>0</v>
      </c>
      <c r="BW212" s="427">
        <f>-IF(AND(BW$11&gt;=EOMONTH('Construction Budget'!$K69,0),BW$11&lt;=EOMONTH('Construction Budget'!$M69,0)),('Construction Budget'!$G69+SUM($G212:BV212))/ROUND(((EOMONTH('Construction Budget'!$M69,0)-EOMONTH(BW$11,0))/30)+1,0),0)</f>
        <v>0</v>
      </c>
      <c r="BX212" s="427">
        <f>-IF(AND(BX$11&gt;=EOMONTH('Construction Budget'!$K69,0),BX$11&lt;=EOMONTH('Construction Budget'!$M69,0)),('Construction Budget'!$G69+SUM($G212:BW212))/ROUND(((EOMONTH('Construction Budget'!$M69,0)-EOMONTH(BX$11,0))/30)+1,0),0)</f>
        <v>0</v>
      </c>
      <c r="BY212" s="427">
        <f>-IF(AND(BY$11&gt;=EOMONTH('Construction Budget'!$K69,0),BY$11&lt;=EOMONTH('Construction Budget'!$M69,0)),('Construction Budget'!$G69+SUM($G212:BX212))/ROUND(((EOMONTH('Construction Budget'!$M69,0)-EOMONTH(BY$11,0))/30)+1,0),0)</f>
        <v>0</v>
      </c>
      <c r="BZ212" s="427">
        <f>-IF(AND(BZ$11&gt;=EOMONTH('Construction Budget'!$K69,0),BZ$11&lt;=EOMONTH('Construction Budget'!$M69,0)),('Construction Budget'!$G69+SUM($G212:BY212))/ROUND(((EOMONTH('Construction Budget'!$M69,0)-EOMONTH(BZ$11,0))/30)+1,0),0)</f>
        <v>0</v>
      </c>
      <c r="CA212" s="427">
        <f>-IF(AND(CA$11&gt;=EOMONTH('Construction Budget'!$K69,0),CA$11&lt;=EOMONTH('Construction Budget'!$M69,0)),('Construction Budget'!$G69+SUM($G212:BZ212))/ROUND(((EOMONTH('Construction Budget'!$M69,0)-EOMONTH(CA$11,0))/30)+1,0),0)</f>
        <v>0</v>
      </c>
      <c r="CB212" s="427">
        <f>-IF(AND(CB$11&gt;=EOMONTH('Construction Budget'!$K69,0),CB$11&lt;=EOMONTH('Construction Budget'!$M69,0)),('Construction Budget'!$G69+SUM($G212:CA212))/ROUND(((EOMONTH('Construction Budget'!$M69,0)-EOMONTH(CB$11,0))/30)+1,0),0)</f>
        <v>0</v>
      </c>
      <c r="CC212" s="427">
        <f>-IF(AND(CC$11&gt;=EOMONTH('Construction Budget'!$K69,0),CC$11&lt;=EOMONTH('Construction Budget'!$M69,0)),('Construction Budget'!$G69+SUM($G212:CB212))/ROUND(((EOMONTH('Construction Budget'!$M69,0)-EOMONTH(CC$11,0))/30)+1,0),0)</f>
        <v>0</v>
      </c>
      <c r="CD212" s="427">
        <f>-IF(AND(CD$11&gt;=EOMONTH('Construction Budget'!$K69,0),CD$11&lt;=EOMONTH('Construction Budget'!$M69,0)),('Construction Budget'!$G69+SUM($G212:CC212))/ROUND(((EOMONTH('Construction Budget'!$M69,0)-EOMONTH(CD$11,0))/30)+1,0),0)</f>
        <v>0</v>
      </c>
      <c r="CE212" s="427">
        <f>-IF(AND(CE$11&gt;=EOMONTH('Construction Budget'!$K69,0),CE$11&lt;=EOMONTH('Construction Budget'!$M69,0)),('Construction Budget'!$G69+SUM($G212:CD212))/ROUND(((EOMONTH('Construction Budget'!$M69,0)-EOMONTH(CE$11,0))/30)+1,0),0)</f>
        <v>0</v>
      </c>
      <c r="CF212" s="427">
        <f>-IF(AND(CF$11&gt;=EOMONTH('Construction Budget'!$K69,0),CF$11&lt;=EOMONTH('Construction Budget'!$M69,0)),('Construction Budget'!$G69+SUM($G212:CE212))/ROUND(((EOMONTH('Construction Budget'!$M69,0)-EOMONTH(CF$11,0))/30)+1,0),0)</f>
        <v>0</v>
      </c>
      <c r="CG212" s="427">
        <f>-IF(AND(CG$11&gt;=EOMONTH('Construction Budget'!$K69,0),CG$11&lt;=EOMONTH('Construction Budget'!$M69,0)),('Construction Budget'!$G69+SUM($G212:CF212))/ROUND(((EOMONTH('Construction Budget'!$M69,0)-EOMONTH(CG$11,0))/30)+1,0),0)</f>
        <v>0</v>
      </c>
      <c r="CH212" s="427">
        <f>-IF(AND(CH$11&gt;=EOMONTH('Construction Budget'!$K69,0),CH$11&lt;=EOMONTH('Construction Budget'!$M69,0)),('Construction Budget'!$G69+SUM($G212:CG212))/ROUND(((EOMONTH('Construction Budget'!$M69,0)-EOMONTH(CH$11,0))/30)+1,0),0)</f>
        <v>0</v>
      </c>
      <c r="CI212" s="427">
        <f>-IF(AND(CI$11&gt;=EOMONTH('Construction Budget'!$K69,0),CI$11&lt;=EOMONTH('Construction Budget'!$M69,0)),('Construction Budget'!$G69+SUM($G212:CH212))/ROUND(((EOMONTH('Construction Budget'!$M69,0)-EOMONTH(CI$11,0))/30)+1,0),0)</f>
        <v>0</v>
      </c>
      <c r="CJ212" s="427">
        <f>-IF(AND(CJ$11&gt;=EOMONTH('Construction Budget'!$K69,0),CJ$11&lt;=EOMONTH('Construction Budget'!$M69,0)),('Construction Budget'!$G69+SUM($G212:CI212))/ROUND(((EOMONTH('Construction Budget'!$M69,0)-EOMONTH(CJ$11,0))/30)+1,0),0)</f>
        <v>0</v>
      </c>
      <c r="CK212" s="427">
        <f>-IF(AND(CK$11&gt;=EOMONTH('Construction Budget'!$K69,0),CK$11&lt;=EOMONTH('Construction Budget'!$M69,0)),('Construction Budget'!$G69+SUM($G212:CJ212))/ROUND(((EOMONTH('Construction Budget'!$M69,0)-EOMONTH(CK$11,0))/30)+1,0),0)</f>
        <v>0</v>
      </c>
      <c r="CL212" s="427">
        <f>-IF(AND(CL$11&gt;=EOMONTH('Construction Budget'!$K69,0),CL$11&lt;=EOMONTH('Construction Budget'!$M69,0)),('Construction Budget'!$G69+SUM($G212:CK212))/ROUND(((EOMONTH('Construction Budget'!$M69,0)-EOMONTH(CL$11,0))/30)+1,0),0)</f>
        <v>0</v>
      </c>
      <c r="CM212" s="427">
        <f>-IF(AND(CM$11&gt;=EOMONTH('Construction Budget'!$K69,0),CM$11&lt;=EOMONTH('Construction Budget'!$M69,0)),('Construction Budget'!$G69+SUM($G212:CL212))/ROUND(((EOMONTH('Construction Budget'!$M69,0)-EOMONTH(CM$11,0))/30)+1,0),0)</f>
        <v>0</v>
      </c>
      <c r="CN212" s="427">
        <f>-IF(AND(CN$11&gt;=EOMONTH('Construction Budget'!$K69,0),CN$11&lt;=EOMONTH('Construction Budget'!$M69,0)),('Construction Budget'!$G69+SUM($G212:CM212))/ROUND(((EOMONTH('Construction Budget'!$M69,0)-EOMONTH(CN$11,0))/30)+1,0),0)</f>
        <v>0</v>
      </c>
      <c r="CO212" s="427">
        <f>-IF(AND(CO$11&gt;=EOMONTH('Construction Budget'!$K69,0),CO$11&lt;=EOMONTH('Construction Budget'!$M69,0)),('Construction Budget'!$G69+SUM($G212:CN212))/ROUND(((EOMONTH('Construction Budget'!$M69,0)-EOMONTH(CO$11,0))/30)+1,0),0)</f>
        <v>0</v>
      </c>
      <c r="CP212" s="427">
        <f>-IF(AND(CP$11&gt;=EOMONTH('Construction Budget'!$K69,0),CP$11&lt;=EOMONTH('Construction Budget'!$M69,0)),('Construction Budget'!$G69+SUM($G212:CO212))/ROUND(((EOMONTH('Construction Budget'!$M69,0)-EOMONTH(CP$11,0))/30)+1,0),0)</f>
        <v>0</v>
      </c>
      <c r="CQ212" s="427">
        <f>-IF(AND(CQ$11&gt;=EOMONTH('Construction Budget'!$K69,0),CQ$11&lt;=EOMONTH('Construction Budget'!$M69,0)),('Construction Budget'!$G69+SUM($G212:CP212))/ROUND(((EOMONTH('Construction Budget'!$M69,0)-EOMONTH(CQ$11,0))/30)+1,0),0)</f>
        <v>0</v>
      </c>
      <c r="CR212" s="427">
        <f>-IF(AND(CR$11&gt;=EOMONTH('Construction Budget'!$K69,0),CR$11&lt;=EOMONTH('Construction Budget'!$M69,0)),('Construction Budget'!$G69+SUM($G212:CQ212))/ROUND(((EOMONTH('Construction Budget'!$M69,0)-EOMONTH(CR$11,0))/30)+1,0),0)</f>
        <v>0</v>
      </c>
      <c r="CS212" s="427">
        <f>-IF(AND(CS$11&gt;=EOMONTH('Construction Budget'!$K69,0),CS$11&lt;=EOMONTH('Construction Budget'!$M69,0)),('Construction Budget'!$G69+SUM($G212:CR212))/ROUND(((EOMONTH('Construction Budget'!$M69,0)-EOMONTH(CS$11,0))/30)+1,0),0)</f>
        <v>0</v>
      </c>
      <c r="CT212" s="427">
        <f>-IF(AND(CT$11&gt;=EOMONTH('Construction Budget'!$K69,0),CT$11&lt;=EOMONTH('Construction Budget'!$M69,0)),('Construction Budget'!$G69+SUM($G212:CS212))/ROUND(((EOMONTH('Construction Budget'!$M69,0)-EOMONTH(CT$11,0))/30)+1,0),0)</f>
        <v>0</v>
      </c>
      <c r="CU212" s="427">
        <f>-IF(AND(CU$11&gt;=EOMONTH('Construction Budget'!$K69,0),CU$11&lt;=EOMONTH('Construction Budget'!$M69,0)),('Construction Budget'!$G69+SUM($G212:CT212))/ROUND(((EOMONTH('Construction Budget'!$M69,0)-EOMONTH(CU$11,0))/30)+1,0),0)</f>
        <v>0</v>
      </c>
      <c r="CV212" s="427">
        <f>-IF(AND(CV$11&gt;=EOMONTH('Construction Budget'!$K69,0),CV$11&lt;=EOMONTH('Construction Budget'!$M69,0)),('Construction Budget'!$G69+SUM($G212:CU212))/ROUND(((EOMONTH('Construction Budget'!$M69,0)-EOMONTH(CV$11,0))/30)+1,0),0)</f>
        <v>0</v>
      </c>
      <c r="CW212" s="427">
        <f>-IF(AND(CW$11&gt;=EOMONTH('Construction Budget'!$K69,0),CW$11&lt;=EOMONTH('Construction Budget'!$M69,0)),('Construction Budget'!$G69+SUM($G212:CV212))/ROUND(((EOMONTH('Construction Budget'!$M69,0)-EOMONTH(CW$11,0))/30)+1,0),0)</f>
        <v>0</v>
      </c>
      <c r="CX212" s="427">
        <f>-IF(AND(CX$11&gt;=EOMONTH('Construction Budget'!$K69,0),CX$11&lt;=EOMONTH('Construction Budget'!$M69,0)),('Construction Budget'!$G69+SUM($G212:CW212))/ROUND(((EOMONTH('Construction Budget'!$M69,0)-EOMONTH(CX$11,0))/30)+1,0),0)</f>
        <v>0</v>
      </c>
      <c r="CY212" s="427">
        <f>-IF(AND(CY$11&gt;=EOMONTH('Construction Budget'!$K69,0),CY$11&lt;=EOMONTH('Construction Budget'!$M69,0)),('Construction Budget'!$G69+SUM($G212:CX212))/ROUND(((EOMONTH('Construction Budget'!$M69,0)-EOMONTH(CY$11,0))/30)+1,0),0)</f>
        <v>0</v>
      </c>
      <c r="CZ212" s="427">
        <f>-IF(AND(CZ$11&gt;=EOMONTH('Construction Budget'!$K69,0),CZ$11&lt;=EOMONTH('Construction Budget'!$M69,0)),('Construction Budget'!$G69+SUM($G212:CY212))/ROUND(((EOMONTH('Construction Budget'!$M69,0)-EOMONTH(CZ$11,0))/30)+1,0),0)</f>
        <v>0</v>
      </c>
      <c r="DA212" s="427">
        <f>-IF(AND(DA$11&gt;=EOMONTH('Construction Budget'!$K69,0),DA$11&lt;=EOMONTH('Construction Budget'!$M69,0)),('Construction Budget'!$G69+SUM($G212:CZ212))/ROUND(((EOMONTH('Construction Budget'!$M69,0)-EOMONTH(DA$11,0))/30)+1,0),0)</f>
        <v>0</v>
      </c>
      <c r="DB212" s="427">
        <f>-IF(AND(DB$11&gt;=EOMONTH('Construction Budget'!$K69,0),DB$11&lt;=EOMONTH('Construction Budget'!$M69,0)),('Construction Budget'!$G69+SUM($G212:DA212))/ROUND(((EOMONTH('Construction Budget'!$M69,0)-EOMONTH(DB$11,0))/30)+1,0),0)</f>
        <v>0</v>
      </c>
      <c r="DC212" s="427">
        <f>-IF(AND(DC$11&gt;=EOMONTH('Construction Budget'!$K69,0),DC$11&lt;=EOMONTH('Construction Budget'!$M69,0)),('Construction Budget'!$G69+SUM($G212:DB212))/ROUND(((EOMONTH('Construction Budget'!$M69,0)-EOMONTH(DC$11,0))/30)+1,0),0)</f>
        <v>0</v>
      </c>
      <c r="DD212" s="427">
        <f>-IF(AND(DD$11&gt;=EOMONTH('Construction Budget'!$K69,0),DD$11&lt;=EOMONTH('Construction Budget'!$M69,0)),('Construction Budget'!$G69+SUM($G212:DC212))/ROUND(((EOMONTH('Construction Budget'!$M69,0)-EOMONTH(DD$11,0))/30)+1,0),0)</f>
        <v>0</v>
      </c>
      <c r="DE212" s="427">
        <f>-IF(AND(DE$11&gt;=EOMONTH('Construction Budget'!$K69,0),DE$11&lt;=EOMONTH('Construction Budget'!$M69,0)),('Construction Budget'!$G69+SUM($G212:DD212))/ROUND(((EOMONTH('Construction Budget'!$M69,0)-EOMONTH(DE$11,0))/30)+1,0),0)</f>
        <v>0</v>
      </c>
      <c r="DF212" s="427">
        <f>-IF(AND(DF$11&gt;=EOMONTH('Construction Budget'!$K69,0),DF$11&lt;=EOMONTH('Construction Budget'!$M69,0)),('Construction Budget'!$G69+SUM($G212:DE212))/ROUND(((EOMONTH('Construction Budget'!$M69,0)-EOMONTH(DF$11,0))/30)+1,0),0)</f>
        <v>0</v>
      </c>
      <c r="DG212" s="427">
        <f>-IF(AND(DG$11&gt;=EOMONTH('Construction Budget'!$K69,0),DG$11&lt;=EOMONTH('Construction Budget'!$M69,0)),('Construction Budget'!$G69+SUM($G212:DF212))/ROUND(((EOMONTH('Construction Budget'!$M69,0)-EOMONTH(DG$11,0))/30)+1,0),0)</f>
        <v>0</v>
      </c>
      <c r="DH212" s="427">
        <f>-IF(AND(DH$11&gt;=EOMONTH('Construction Budget'!$K69,0),DH$11&lt;=EOMONTH('Construction Budget'!$M69,0)),('Construction Budget'!$G69+SUM($G212:DG212))/ROUND(((EOMONTH('Construction Budget'!$M69,0)-EOMONTH(DH$11,0))/30)+1,0),0)</f>
        <v>0</v>
      </c>
      <c r="DI212" s="427">
        <f>-IF(AND(DI$11&gt;=EOMONTH('Construction Budget'!$K69,0),DI$11&lt;=EOMONTH('Construction Budget'!$M69,0)),('Construction Budget'!$G69+SUM($G212:DH212))/ROUND(((EOMONTH('Construction Budget'!$M69,0)-EOMONTH(DI$11,0))/30)+1,0),0)</f>
        <v>0</v>
      </c>
      <c r="DJ212" s="427">
        <f>-IF(AND(DJ$11&gt;=EOMONTH('Construction Budget'!$K69,0),DJ$11&lt;=EOMONTH('Construction Budget'!$M69,0)),('Construction Budget'!$G69+SUM($G212:DI212))/ROUND(((EOMONTH('Construction Budget'!$M69,0)-EOMONTH(DJ$11,0))/30)+1,0),0)</f>
        <v>0</v>
      </c>
      <c r="DK212" s="427">
        <f>-IF(AND(DK$11&gt;=EOMONTH('Construction Budget'!$K69,0),DK$11&lt;=EOMONTH('Construction Budget'!$M69,0)),('Construction Budget'!$G69+SUM($G212:DJ212))/ROUND(((EOMONTH('Construction Budget'!$M69,0)-EOMONTH(DK$11,0))/30)+1,0),0)</f>
        <v>0</v>
      </c>
      <c r="DL212" s="427">
        <f>-IF(AND(DL$11&gt;=EOMONTH('Construction Budget'!$K69,0),DL$11&lt;=EOMONTH('Construction Budget'!$M69,0)),('Construction Budget'!$G69+SUM($G212:DK212))/ROUND(((EOMONTH('Construction Budget'!$M69,0)-EOMONTH(DL$11,0))/30)+1,0),0)</f>
        <v>0</v>
      </c>
      <c r="DM212" s="427">
        <f>-IF(AND(DM$11&gt;=EOMONTH('Construction Budget'!$K69,0),DM$11&lt;=EOMONTH('Construction Budget'!$M69,0)),('Construction Budget'!$G69+SUM($G212:DL212))/ROUND(((EOMONTH('Construction Budget'!$M69,0)-EOMONTH(DM$11,0))/30)+1,0),0)</f>
        <v>0</v>
      </c>
      <c r="DN212" s="427">
        <f>-IF(AND(DN$11&gt;=EOMONTH('Construction Budget'!$K69,0),DN$11&lt;=EOMONTH('Construction Budget'!$M69,0)),('Construction Budget'!$G69+SUM($G212:DM212))/ROUND(((EOMONTH('Construction Budget'!$M69,0)-EOMONTH(DN$11,0))/30)+1,0),0)</f>
        <v>0</v>
      </c>
      <c r="DO212" s="427">
        <f>-IF(AND(DO$11&gt;=EOMONTH('Construction Budget'!$K69,0),DO$11&lt;=EOMONTH('Construction Budget'!$M69,0)),('Construction Budget'!$G69+SUM($G212:DN212))/ROUND(((EOMONTH('Construction Budget'!$M69,0)-EOMONTH(DO$11,0))/30)+1,0),0)</f>
        <v>0</v>
      </c>
      <c r="DP212" s="427">
        <f>-IF(AND(DP$11&gt;=EOMONTH('Construction Budget'!$K69,0),DP$11&lt;=EOMONTH('Construction Budget'!$M69,0)),('Construction Budget'!$G69+SUM($G212:DO212))/ROUND(((EOMONTH('Construction Budget'!$M69,0)-EOMONTH(DP$11,0))/30)+1,0),0)</f>
        <v>0</v>
      </c>
      <c r="DQ212" s="427">
        <f>-IF(AND(DQ$11&gt;=EOMONTH('Construction Budget'!$K69,0),DQ$11&lt;=EOMONTH('Construction Budget'!$M69,0)),('Construction Budget'!$G69+SUM($G212:DP212))/ROUND(((EOMONTH('Construction Budget'!$M69,0)-EOMONTH(DQ$11,0))/30)+1,0),0)</f>
        <v>0</v>
      </c>
      <c r="DR212" s="427">
        <f>-IF(AND(DR$11&gt;=EOMONTH('Construction Budget'!$K69,0),DR$11&lt;=EOMONTH('Construction Budget'!$M69,0)),('Construction Budget'!$G69+SUM($G212:DQ212))/ROUND(((EOMONTH('Construction Budget'!$M69,0)-EOMONTH(DR$11,0))/30)+1,0),0)</f>
        <v>0</v>
      </c>
      <c r="DS212" s="427">
        <f>-IF(AND(DS$11&gt;=EOMONTH('Construction Budget'!$K69,0),DS$11&lt;=EOMONTH('Construction Budget'!$M69,0)),('Construction Budget'!$G69+SUM($G212:DR212))/ROUND(((EOMONTH('Construction Budget'!$M69,0)-EOMONTH(DS$11,0))/30)+1,0),0)</f>
        <v>0</v>
      </c>
      <c r="DT212" s="427">
        <f>-IF(AND(DT$11&gt;=EOMONTH('Construction Budget'!$K69,0),DT$11&lt;=EOMONTH('Construction Budget'!$M69,0)),('Construction Budget'!$G69+SUM($G212:DS212))/ROUND(((EOMONTH('Construction Budget'!$M69,0)-EOMONTH(DT$11,0))/30)+1,0),0)</f>
        <v>0</v>
      </c>
      <c r="DU212" s="427">
        <f>-IF(AND(DU$11&gt;=EOMONTH('Construction Budget'!$K69,0),DU$11&lt;=EOMONTH('Construction Budget'!$M69,0)),('Construction Budget'!$G69+SUM($G212:DT212))/ROUND(((EOMONTH('Construction Budget'!$M69,0)-EOMONTH(DU$11,0))/30)+1,0),0)</f>
        <v>0</v>
      </c>
      <c r="DV212" s="427">
        <f>-IF(AND(DV$11&gt;=EOMONTH('Construction Budget'!$K69,0),DV$11&lt;=EOMONTH('Construction Budget'!$M69,0)),('Construction Budget'!$G69+SUM($G212:DU212))/ROUND(((EOMONTH('Construction Budget'!$M69,0)-EOMONTH(DV$11,0))/30)+1,0),0)</f>
        <v>0</v>
      </c>
      <c r="DW212" s="427">
        <f>-IF(AND(DW$11&gt;=EOMONTH('Construction Budget'!$K69,0),DW$11&lt;=EOMONTH('Construction Budget'!$M69,0)),('Construction Budget'!$G69+SUM($G212:DV212))/ROUND(((EOMONTH('Construction Budget'!$M69,0)-EOMONTH(DW$11,0))/30)+1,0),0)</f>
        <v>0</v>
      </c>
      <c r="DX212" s="427">
        <f>-IF(AND(DX$11&gt;=EOMONTH('Construction Budget'!$K69,0),DX$11&lt;=EOMONTH('Construction Budget'!$M69,0)),('Construction Budget'!$G69+SUM($G212:DW212))/ROUND(((EOMONTH('Construction Budget'!$M69,0)-EOMONTH(DX$11,0))/30)+1,0),0)</f>
        <v>0</v>
      </c>
      <c r="DY212" s="427">
        <f>-IF(AND(DY$11&gt;=EOMONTH('Construction Budget'!$K69,0),DY$11&lt;=EOMONTH('Construction Budget'!$M69,0)),('Construction Budget'!$G69+SUM($G212:DX212))/ROUND(((EOMONTH('Construction Budget'!$M69,0)-EOMONTH(DY$11,0))/30)+1,0),0)</f>
        <v>0</v>
      </c>
      <c r="DZ212" s="427">
        <f>-IF(AND(DZ$11&gt;=EOMONTH('Construction Budget'!$K69,0),DZ$11&lt;=EOMONTH('Construction Budget'!$M69,0)),('Construction Budget'!$G69+SUM($G212:DY212))/ROUND(((EOMONTH('Construction Budget'!$M69,0)-EOMONTH(DZ$11,0))/30)+1,0),0)</f>
        <v>0</v>
      </c>
      <c r="EA212" s="427">
        <f>-IF(AND(EA$11&gt;=EOMONTH('Construction Budget'!$K69,0),EA$11&lt;=EOMONTH('Construction Budget'!$M69,0)),('Construction Budget'!$G69+SUM($G212:DZ212))/ROUND(((EOMONTH('Construction Budget'!$M69,0)-EOMONTH(EA$11,0))/30)+1,0),0)</f>
        <v>0</v>
      </c>
      <c r="EB212" s="427">
        <f>-IF(AND(EB$11&gt;=EOMONTH('Construction Budget'!$K69,0),EB$11&lt;=EOMONTH('Construction Budget'!$M69,0)),('Construction Budget'!$G69+SUM($G212:EA212))/ROUND(((EOMONTH('Construction Budget'!$M69,0)-EOMONTH(EB$11,0))/30)+1,0),0)</f>
        <v>0</v>
      </c>
      <c r="EC212" s="427">
        <f>-IF(AND(EC$11&gt;=EOMONTH('Construction Budget'!$K69,0),EC$11&lt;=EOMONTH('Construction Budget'!$M69,0)),('Construction Budget'!$G69+SUM($G212:EB212))/ROUND(((EOMONTH('Construction Budget'!$M69,0)-EOMONTH(EC$11,0))/30)+1,0),0)</f>
        <v>0</v>
      </c>
      <c r="ED212" s="427">
        <f>-IF(AND(ED$11&gt;=EOMONTH('Construction Budget'!$K69,0),ED$11&lt;=EOMONTH('Construction Budget'!$M69,0)),('Construction Budget'!$G69+SUM($G212:EC212))/ROUND(((EOMONTH('Construction Budget'!$M69,0)-EOMONTH(ED$11,0))/30)+1,0),0)</f>
        <v>0</v>
      </c>
      <c r="EE212" s="427">
        <f>-IF(AND(EE$11&gt;=EOMONTH('Construction Budget'!$K69,0),EE$11&lt;=EOMONTH('Construction Budget'!$M69,0)),('Construction Budget'!$G69+SUM($G212:ED212))/ROUND(((EOMONTH('Construction Budget'!$M69,0)-EOMONTH(EE$11,0))/30)+1,0),0)</f>
        <v>0</v>
      </c>
      <c r="EF212" s="427">
        <f>-IF(AND(EF$11&gt;=EOMONTH('Construction Budget'!$K69,0),EF$11&lt;=EOMONTH('Construction Budget'!$M69,0)),('Construction Budget'!$G69+SUM($G212:EE212))/ROUND(((EOMONTH('Construction Budget'!$M69,0)-EOMONTH(EF$11,0))/30)+1,0),0)</f>
        <v>0</v>
      </c>
      <c r="EG212" s="427">
        <f>-IF(AND(EG$11&gt;=EOMONTH('Construction Budget'!$K69,0),EG$11&lt;=EOMONTH('Construction Budget'!$M69,0)),('Construction Budget'!$G69+SUM($G212:EF212))/ROUND(((EOMONTH('Construction Budget'!$M69,0)-EOMONTH(EG$11,0))/30)+1,0),0)</f>
        <v>0</v>
      </c>
      <c r="EH212" s="427">
        <f>-IF(AND(EH$11&gt;=EOMONTH('Construction Budget'!$K69,0),EH$11&lt;=EOMONTH('Construction Budget'!$M69,0)),('Construction Budget'!$G69+SUM($G212:EG212))/ROUND(((EOMONTH('Construction Budget'!$M69,0)-EOMONTH(EH$11,0))/30)+1,0),0)</f>
        <v>0</v>
      </c>
      <c r="EI212" s="427">
        <f>-IF(AND(EI$11&gt;=EOMONTH('Construction Budget'!$K69,0),EI$11&lt;=EOMONTH('Construction Budget'!$M69,0)),('Construction Budget'!$G69+SUM($G212:EH212))/ROUND(((EOMONTH('Construction Budget'!$M69,0)-EOMONTH(EI$11,0))/30)+1,0),0)</f>
        <v>0</v>
      </c>
      <c r="EJ212" s="427">
        <f>-IF(AND(EJ$11&gt;=EOMONTH('Construction Budget'!$K69,0),EJ$11&lt;=EOMONTH('Construction Budget'!$M69,0)),('Construction Budget'!$G69+SUM($G212:EI212))/ROUND(((EOMONTH('Construction Budget'!$M69,0)-EOMONTH(EJ$11,0))/30)+1,0),0)</f>
        <v>0</v>
      </c>
      <c r="EK212" s="427">
        <f>-IF(AND(EK$11&gt;=EOMONTH('Construction Budget'!$K69,0),EK$11&lt;=EOMONTH('Construction Budget'!$M69,0)),('Construction Budget'!$G69+SUM($G212:EJ212))/ROUND(((EOMONTH('Construction Budget'!$M69,0)-EOMONTH(EK$11,0))/30)+1,0),0)</f>
        <v>0</v>
      </c>
      <c r="EL212" s="427">
        <f>-IF(AND(EL$11&gt;=EOMONTH('Construction Budget'!$K69,0),EL$11&lt;=EOMONTH('Construction Budget'!$M69,0)),('Construction Budget'!$G69+SUM($G212:EK212))/ROUND(((EOMONTH('Construction Budget'!$M69,0)-EOMONTH(EL$11,0))/30)+1,0),0)</f>
        <v>0</v>
      </c>
      <c r="EM212" s="427">
        <f>-IF(AND(EM$11&gt;=EOMONTH('Construction Budget'!$K69,0),EM$11&lt;=EOMONTH('Construction Budget'!$M69,0)),('Construction Budget'!$G69+SUM($G212:EL212))/ROUND(((EOMONTH('Construction Budget'!$M69,0)-EOMONTH(EM$11,0))/30)+1,0),0)</f>
        <v>0</v>
      </c>
      <c r="EN212" s="427">
        <f>-IF(AND(EN$11&gt;=EOMONTH('Construction Budget'!$K69,0),EN$11&lt;=EOMONTH('Construction Budget'!$M69,0)),('Construction Budget'!$G69+SUM($G212:EM212))/ROUND(((EOMONTH('Construction Budget'!$M69,0)-EOMONTH(EN$11,0))/30)+1,0),0)</f>
        <v>0</v>
      </c>
      <c r="EO212" s="427">
        <f>-IF(AND(EO$11&gt;=EOMONTH('Construction Budget'!$K69,0),EO$11&lt;=EOMONTH('Construction Budget'!$M69,0)),('Construction Budget'!$G69+SUM($G212:EN212))/ROUND(((EOMONTH('Construction Budget'!$M69,0)-EOMONTH(EO$11,0))/30)+1,0),0)</f>
        <v>0</v>
      </c>
      <c r="EP212" s="427">
        <f>-IF(AND(EP$11&gt;=EOMONTH('Construction Budget'!$K69,0),EP$11&lt;=EOMONTH('Construction Budget'!$M69,0)),('Construction Budget'!$G69+SUM($G212:EO212))/ROUND(((EOMONTH('Construction Budget'!$M69,0)-EOMONTH(EP$11,0))/30)+1,0),0)</f>
        <v>0</v>
      </c>
      <c r="EQ212" s="427">
        <f>-IF(AND(EQ$11&gt;=EOMONTH('Construction Budget'!$K69,0),EQ$11&lt;=EOMONTH('Construction Budget'!$M69,0)),('Construction Budget'!$G69+SUM($G212:EP212))/ROUND(((EOMONTH('Construction Budget'!$M69,0)-EOMONTH(EQ$11,0))/30)+1,0),0)</f>
        <v>0</v>
      </c>
      <c r="ER212" s="427">
        <f>-IF(AND(ER$11&gt;=EOMONTH('Construction Budget'!$K69,0),ER$11&lt;=EOMONTH('Construction Budget'!$M69,0)),('Construction Budget'!$G69+SUM($G212:EQ212))/ROUND(((EOMONTH('Construction Budget'!$M69,0)-EOMONTH(ER$11,0))/30)+1,0),0)</f>
        <v>0</v>
      </c>
      <c r="ES212" s="427">
        <f>-IF(AND(ES$11&gt;=EOMONTH('Construction Budget'!$K69,0),ES$11&lt;=EOMONTH('Construction Budget'!$M69,0)),('Construction Budget'!$G69+SUM($G212:ER212))/ROUND(((EOMONTH('Construction Budget'!$M69,0)-EOMONTH(ES$11,0))/30)+1,0),0)</f>
        <v>0</v>
      </c>
      <c r="ET212" s="427">
        <f>-IF(AND(ET$11&gt;=EOMONTH('Construction Budget'!$K69,0),ET$11&lt;=EOMONTH('Construction Budget'!$M69,0)),('Construction Budget'!$G69+SUM($G212:ES212))/ROUND(((EOMONTH('Construction Budget'!$M69,0)-EOMONTH(ET$11,0))/30)+1,0),0)</f>
        <v>0</v>
      </c>
      <c r="EU212" s="427">
        <f>-IF(AND(EU$11&gt;=EOMONTH('Construction Budget'!$K69,0),EU$11&lt;=EOMONTH('Construction Budget'!$M69,0)),('Construction Budget'!$G69+SUM($G212:ET212))/ROUND(((EOMONTH('Construction Budget'!$M69,0)-EOMONTH(EU$11,0))/30)+1,0),0)</f>
        <v>0</v>
      </c>
      <c r="EV212" s="427">
        <f>-IF(AND(EV$11&gt;=EOMONTH('Construction Budget'!$K69,0),EV$11&lt;=EOMONTH('Construction Budget'!$M69,0)),('Construction Budget'!$G69+SUM($G212:EU212))/ROUND(((EOMONTH('Construction Budget'!$M69,0)-EOMONTH(EV$11,0))/30)+1,0),0)</f>
        <v>0</v>
      </c>
      <c r="EW212" s="427">
        <f>-IF(AND(EW$11&gt;=EOMONTH('Construction Budget'!$K69,0),EW$11&lt;=EOMONTH('Construction Budget'!$M69,0)),('Construction Budget'!$G69+SUM($G212:EV212))/ROUND(((EOMONTH('Construction Budget'!$M69,0)-EOMONTH(EW$11,0))/30)+1,0),0)</f>
        <v>0</v>
      </c>
      <c r="EX212" s="427">
        <f>-IF(AND(EX$11&gt;=EOMONTH('Construction Budget'!$K69,0),EX$11&lt;=EOMONTH('Construction Budget'!$M69,0)),('Construction Budget'!$G69+SUM($G212:EW212))/ROUND(((EOMONTH('Construction Budget'!$M69,0)-EOMONTH(EX$11,0))/30)+1,0),0)</f>
        <v>0</v>
      </c>
      <c r="EY212" s="427">
        <f>-IF(AND(EY$11&gt;=EOMONTH('Construction Budget'!$K69,0),EY$11&lt;=EOMONTH('Construction Budget'!$M69,0)),('Construction Budget'!$G69+SUM($G212:EX212))/ROUND(((EOMONTH('Construction Budget'!$M69,0)-EOMONTH(EY$11,0))/30)+1,0),0)</f>
        <v>0</v>
      </c>
      <c r="EZ212" s="427">
        <f>-IF(AND(EZ$11&gt;=EOMONTH('Construction Budget'!$K69,0),EZ$11&lt;=EOMONTH('Construction Budget'!$M69,0)),('Construction Budget'!$G69+SUM($G212:EY212))/ROUND(((EOMONTH('Construction Budget'!$M69,0)-EOMONTH(EZ$11,0))/30)+1,0),0)</f>
        <v>0</v>
      </c>
      <c r="FA212" s="427">
        <f>-IF(AND(FA$11&gt;=EOMONTH('Construction Budget'!$K69,0),FA$11&lt;=EOMONTH('Construction Budget'!$M69,0)),('Construction Budget'!$G69+SUM($G212:EZ212))/ROUND(((EOMONTH('Construction Budget'!$M69,0)-EOMONTH(FA$11,0))/30)+1,0),0)</f>
        <v>0</v>
      </c>
      <c r="FB212" s="427">
        <f>-IF(AND(FB$11&gt;=EOMONTH('Construction Budget'!$K69,0),FB$11&lt;=EOMONTH('Construction Budget'!$M69,0)),('Construction Budget'!$G69+SUM($G212:FA212))/ROUND(((EOMONTH('Construction Budget'!$M69,0)-EOMONTH(FB$11,0))/30)+1,0),0)</f>
        <v>0</v>
      </c>
      <c r="FC212" s="427">
        <f>-IF(AND(FC$11&gt;=EOMONTH('Construction Budget'!$K69,0),FC$11&lt;=EOMONTH('Construction Budget'!$M69,0)),('Construction Budget'!$G69+SUM($G212:FB212))/ROUND(((EOMONTH('Construction Budget'!$M69,0)-EOMONTH(FC$11,0))/30)+1,0),0)</f>
        <v>0</v>
      </c>
      <c r="FD212" s="427">
        <f>-IF(AND(FD$11&gt;=EOMONTH('Construction Budget'!$K69,0),FD$11&lt;=EOMONTH('Construction Budget'!$M69,0)),('Construction Budget'!$G69+SUM($G212:FC212))/ROUND(((EOMONTH('Construction Budget'!$M69,0)-EOMONTH(FD$11,0))/30)+1,0),0)</f>
        <v>0</v>
      </c>
      <c r="FE212" s="427">
        <f>-IF(AND(FE$11&gt;=EOMONTH('Construction Budget'!$K69,0),FE$11&lt;=EOMONTH('Construction Budget'!$M69,0)),('Construction Budget'!$G69+SUM($G212:FD212))/ROUND(((EOMONTH('Construction Budget'!$M69,0)-EOMONTH(FE$11,0))/30)+1,0),0)</f>
        <v>0</v>
      </c>
      <c r="FF212" s="427">
        <f>-IF(AND(FF$11&gt;=EOMONTH('Construction Budget'!$K69,0),FF$11&lt;=EOMONTH('Construction Budget'!$M69,0)),('Construction Budget'!$G69+SUM($G212:FE212))/ROUND(((EOMONTH('Construction Budget'!$M69,0)-EOMONTH(FF$11,0))/30)+1,0),0)</f>
        <v>0</v>
      </c>
      <c r="FG212" s="427">
        <f>-IF(AND(FG$11&gt;=EOMONTH('Construction Budget'!$K69,0),FG$11&lt;=EOMONTH('Construction Budget'!$M69,0)),('Construction Budget'!$G69+SUM($G212:FF212))/ROUND(((EOMONTH('Construction Budget'!$M69,0)-EOMONTH(FG$11,0))/30)+1,0),0)</f>
        <v>0</v>
      </c>
      <c r="FH212" s="427">
        <f>-IF(AND(FH$11&gt;=EOMONTH('Construction Budget'!$K69,0),FH$11&lt;=EOMONTH('Construction Budget'!$M69,0)),('Construction Budget'!$G69+SUM($G212:FG212))/ROUND(((EOMONTH('Construction Budget'!$M69,0)-EOMONTH(FH$11,0))/30)+1,0),0)</f>
        <v>0</v>
      </c>
      <c r="FI212" s="427">
        <f>-IF(AND(FI$11&gt;=EOMONTH('Construction Budget'!$K69,0),FI$11&lt;=EOMONTH('Construction Budget'!$M69,0)),('Construction Budget'!$G69+SUM($G212:FH212))/ROUND(((EOMONTH('Construction Budget'!$M69,0)-EOMONTH(FI$11,0))/30)+1,0),0)</f>
        <v>0</v>
      </c>
      <c r="FJ212" s="427">
        <f>-IF(AND(FJ$11&gt;=EOMONTH('Construction Budget'!$K69,0),FJ$11&lt;=EOMONTH('Construction Budget'!$M69,0)),('Construction Budget'!$G69+SUM($G212:FI212))/ROUND(((EOMONTH('Construction Budget'!$M69,0)-EOMONTH(FJ$11,0))/30)+1,0),0)</f>
        <v>0</v>
      </c>
      <c r="FK212" s="427">
        <f>-IF(AND(FK$11&gt;=EOMONTH('Construction Budget'!$K69,0),FK$11&lt;=EOMONTH('Construction Budget'!$M69,0)),('Construction Budget'!$G69+SUM($G212:FJ212))/ROUND(((EOMONTH('Construction Budget'!$M69,0)-EOMONTH(FK$11,0))/30)+1,0),0)</f>
        <v>0</v>
      </c>
      <c r="FL212" s="427">
        <f>-IF(AND(FL$11&gt;=EOMONTH('Construction Budget'!$K69,0),FL$11&lt;=EOMONTH('Construction Budget'!$M69,0)),('Construction Budget'!$G69+SUM($G212:FK212))/ROUND(((EOMONTH('Construction Budget'!$M69,0)-EOMONTH(FL$11,0))/30)+1,0),0)</f>
        <v>0</v>
      </c>
      <c r="FM212" s="427">
        <f>-IF(AND(FM$11&gt;=EOMONTH('Construction Budget'!$K69,0),FM$11&lt;=EOMONTH('Construction Budget'!$M69,0)),('Construction Budget'!$G69+SUM($G212:FL212))/ROUND(((EOMONTH('Construction Budget'!$M69,0)-EOMONTH(FM$11,0))/30)+1,0),0)</f>
        <v>0</v>
      </c>
      <c r="FN212" s="427">
        <f>-IF(AND(FN$11&gt;=EOMONTH('Construction Budget'!$K69,0),FN$11&lt;=EOMONTH('Construction Budget'!$M69,0)),('Construction Budget'!$G69+SUM($G212:FM212))/ROUND(((EOMONTH('Construction Budget'!$M69,0)-EOMONTH(FN$11,0))/30)+1,0),0)</f>
        <v>0</v>
      </c>
      <c r="FO212" s="427">
        <f>-IF(AND(FO$11&gt;=EOMONTH('Construction Budget'!$K69,0),FO$11&lt;=EOMONTH('Construction Budget'!$M69,0)),('Construction Budget'!$G69+SUM($G212:FN212))/ROUND(((EOMONTH('Construction Budget'!$M69,0)-EOMONTH(FO$11,0))/30)+1,0),0)</f>
        <v>0</v>
      </c>
      <c r="FP212" s="427">
        <f>-IF(AND(FP$11&gt;=EOMONTH('Construction Budget'!$K69,0),FP$11&lt;=EOMONTH('Construction Budget'!$M69,0)),('Construction Budget'!$G69+SUM($G212:FO212))/ROUND(((EOMONTH('Construction Budget'!$M69,0)-EOMONTH(FP$11,0))/30)+1,0),0)</f>
        <v>0</v>
      </c>
      <c r="FQ212" s="427">
        <f>-IF(AND(FQ$11&gt;=EOMONTH('Construction Budget'!$K69,0),FQ$11&lt;=EOMONTH('Construction Budget'!$M69,0)),('Construction Budget'!$G69+SUM($G212:FP212))/ROUND(((EOMONTH('Construction Budget'!$M69,0)-EOMONTH(FQ$11,0))/30)+1,0),0)</f>
        <v>0</v>
      </c>
      <c r="FR212" s="427">
        <f>-IF(AND(FR$11&gt;=EOMONTH('Construction Budget'!$K69,0),FR$11&lt;=EOMONTH('Construction Budget'!$M69,0)),('Construction Budget'!$G69+SUM($G212:FQ212))/ROUND(((EOMONTH('Construction Budget'!$M69,0)-EOMONTH(FR$11,0))/30)+1,0),0)</f>
        <v>0</v>
      </c>
      <c r="FS212" s="427">
        <f>-IF(AND(FS$11&gt;=EOMONTH('Construction Budget'!$K69,0),FS$11&lt;=EOMONTH('Construction Budget'!$M69,0)),('Construction Budget'!$G69+SUM($G212:FR212))/ROUND(((EOMONTH('Construction Budget'!$M69,0)-EOMONTH(FS$11,0))/30)+1,0),0)</f>
        <v>0</v>
      </c>
      <c r="FT212" s="427">
        <f>-IF(AND(FT$11&gt;=EOMONTH('Construction Budget'!$K69,0),FT$11&lt;=EOMONTH('Construction Budget'!$M69,0)),('Construction Budget'!$G69+SUM($G212:FS212))/ROUND(((EOMONTH('Construction Budget'!$M69,0)-EOMONTH(FT$11,0))/30)+1,0),0)</f>
        <v>0</v>
      </c>
      <c r="FU212" s="43"/>
      <c r="FV212" s="34"/>
      <c r="FW212" s="34"/>
      <c r="FX212" s="34"/>
      <c r="FY212" s="34"/>
      <c r="FZ212" s="34"/>
    </row>
    <row r="213" spans="1:182" s="89" customFormat="1" ht="13.5" hidden="1" outlineLevel="1" x14ac:dyDescent="0.25">
      <c r="A213" s="498"/>
      <c r="B213" s="43" t="str">
        <f>'Construction Budget'!B70</f>
        <v xml:space="preserve">FF&amp;E Contingency </v>
      </c>
      <c r="C213" s="34"/>
      <c r="D213" s="34"/>
      <c r="E213" s="34"/>
      <c r="F213" s="434">
        <f t="shared" si="236"/>
        <v>0</v>
      </c>
      <c r="G213" s="34"/>
      <c r="H213" s="427">
        <f>-IF(AND(H$11&gt;=EOMONTH('Construction Budget'!$K70,0),H$11&lt;=EOMONTH('Construction Budget'!$M70,0)),('Construction Budget'!$G70+SUM($G213:G213))/ROUND(((EOMONTH('Construction Budget'!$M70,0)-EOMONTH(H$11,0))/30)+1,0),0)</f>
        <v>0</v>
      </c>
      <c r="I213" s="427">
        <f>-IF(AND(I$11&gt;=EOMONTH('Construction Budget'!$K70,0),I$11&lt;=EOMONTH('Construction Budget'!$M70,0)),('Construction Budget'!$G70+SUM($G213:H213))/ROUND(((EOMONTH('Construction Budget'!$M70,0)-EOMONTH(I$11,0))/30)+1,0),0)</f>
        <v>0</v>
      </c>
      <c r="J213" s="427">
        <f>-IF(AND(J$11&gt;=EOMONTH('Construction Budget'!$K70,0),J$11&lt;=EOMONTH('Construction Budget'!$M70,0)),('Construction Budget'!$G70+SUM($G213:I213))/ROUND(((EOMONTH('Construction Budget'!$M70,0)-EOMONTH(J$11,0))/30)+1,0),0)</f>
        <v>0</v>
      </c>
      <c r="K213" s="427">
        <f>-IF(AND(K$11&gt;=EOMONTH('Construction Budget'!$K70,0),K$11&lt;=EOMONTH('Construction Budget'!$M70,0)),('Construction Budget'!$G70+SUM($G213:J213))/ROUND(((EOMONTH('Construction Budget'!$M70,0)-EOMONTH(K$11,0))/30)+1,0),0)</f>
        <v>0</v>
      </c>
      <c r="L213" s="427">
        <f>-IF(AND(L$11&gt;=EOMONTH('Construction Budget'!$K70,0),L$11&lt;=EOMONTH('Construction Budget'!$M70,0)),('Construction Budget'!$G70+SUM($G213:K213))/ROUND(((EOMONTH('Construction Budget'!$M70,0)-EOMONTH(L$11,0))/30)+1,0),0)</f>
        <v>0</v>
      </c>
      <c r="M213" s="427">
        <f>-IF(AND(M$11&gt;=EOMONTH('Construction Budget'!$K70,0),M$11&lt;=EOMONTH('Construction Budget'!$M70,0)),('Construction Budget'!$G70+SUM($G213:L213))/ROUND(((EOMONTH('Construction Budget'!$M70,0)-EOMONTH(M$11,0))/30)+1,0),0)</f>
        <v>0</v>
      </c>
      <c r="N213" s="427">
        <f>-IF(AND(N$11&gt;=EOMONTH('Construction Budget'!$K70,0),N$11&lt;=EOMONTH('Construction Budget'!$M70,0)),('Construction Budget'!$G70+SUM($G213:M213))/ROUND(((EOMONTH('Construction Budget'!$M70,0)-EOMONTH(N$11,0))/30)+1,0),0)</f>
        <v>0</v>
      </c>
      <c r="O213" s="427">
        <f>-IF(AND(O$11&gt;=EOMONTH('Construction Budget'!$K70,0),O$11&lt;=EOMONTH('Construction Budget'!$M70,0)),('Construction Budget'!$G70+SUM($G213:N213))/ROUND(((EOMONTH('Construction Budget'!$M70,0)-EOMONTH(O$11,0))/30)+1,0),0)</f>
        <v>0</v>
      </c>
      <c r="P213" s="427">
        <f>-IF(AND(P$11&gt;=EOMONTH('Construction Budget'!$K70,0),P$11&lt;=EOMONTH('Construction Budget'!$M70,0)),('Construction Budget'!$G70+SUM($G213:O213))/ROUND(((EOMONTH('Construction Budget'!$M70,0)-EOMONTH(P$11,0))/30)+1,0),0)</f>
        <v>0</v>
      </c>
      <c r="Q213" s="427">
        <f>-IF(AND(Q$11&gt;=EOMONTH('Construction Budget'!$K70,0),Q$11&lt;=EOMONTH('Construction Budget'!$M70,0)),('Construction Budget'!$G70+SUM($G213:P213))/ROUND(((EOMONTH('Construction Budget'!$M70,0)-EOMONTH(Q$11,0))/30)+1,0),0)</f>
        <v>0</v>
      </c>
      <c r="R213" s="427">
        <f>-IF(AND(R$11&gt;=EOMONTH('Construction Budget'!$K70,0),R$11&lt;=EOMONTH('Construction Budget'!$M70,0)),('Construction Budget'!$G70+SUM($G213:Q213))/ROUND(((EOMONTH('Construction Budget'!$M70,0)-EOMONTH(R$11,0))/30)+1,0),0)</f>
        <v>0</v>
      </c>
      <c r="S213" s="427">
        <f>-IF(AND(S$11&gt;=EOMONTH('Construction Budget'!$K70,0),S$11&lt;=EOMONTH('Construction Budget'!$M70,0)),('Construction Budget'!$G70+SUM($G213:R213))/ROUND(((EOMONTH('Construction Budget'!$M70,0)-EOMONTH(S$11,0))/30)+1,0),0)</f>
        <v>0</v>
      </c>
      <c r="T213" s="427">
        <f>-IF(AND(T$11&gt;=EOMONTH('Construction Budget'!$K70,0),T$11&lt;=EOMONTH('Construction Budget'!$M70,0)),('Construction Budget'!$G70+SUM($G213:S213))/ROUND(((EOMONTH('Construction Budget'!$M70,0)-EOMONTH(T$11,0))/30)+1,0),0)</f>
        <v>0</v>
      </c>
      <c r="U213" s="427">
        <f>-IF(AND(U$11&gt;=EOMONTH('Construction Budget'!$K70,0),U$11&lt;=EOMONTH('Construction Budget'!$M70,0)),('Construction Budget'!$G70+SUM($G213:T213))/ROUND(((EOMONTH('Construction Budget'!$M70,0)-EOMONTH(U$11,0))/30)+1,0),0)</f>
        <v>0</v>
      </c>
      <c r="V213" s="427">
        <f>-IF(AND(V$11&gt;=EOMONTH('Construction Budget'!$K70,0),V$11&lt;=EOMONTH('Construction Budget'!$M70,0)),('Construction Budget'!$G70+SUM($G213:U213))/ROUND(((EOMONTH('Construction Budget'!$M70,0)-EOMONTH(V$11,0))/30)+1,0),0)</f>
        <v>0</v>
      </c>
      <c r="W213" s="427">
        <f>-IF(AND(W$11&gt;=EOMONTH('Construction Budget'!$K70,0),W$11&lt;=EOMONTH('Construction Budget'!$M70,0)),('Construction Budget'!$G70+SUM($G213:V213))/ROUND(((EOMONTH('Construction Budget'!$M70,0)-EOMONTH(W$11,0))/30)+1,0),0)</f>
        <v>0</v>
      </c>
      <c r="X213" s="427">
        <f>-IF(AND(X$11&gt;=EOMONTH('Construction Budget'!$K70,0),X$11&lt;=EOMONTH('Construction Budget'!$M70,0)),('Construction Budget'!$G70+SUM($G213:W213))/ROUND(((EOMONTH('Construction Budget'!$M70,0)-EOMONTH(X$11,0))/30)+1,0),0)</f>
        <v>0</v>
      </c>
      <c r="Y213" s="427">
        <f>-IF(AND(Y$11&gt;=EOMONTH('Construction Budget'!$K70,0),Y$11&lt;=EOMONTH('Construction Budget'!$M70,0)),('Construction Budget'!$G70+SUM($G213:X213))/ROUND(((EOMONTH('Construction Budget'!$M70,0)-EOMONTH(Y$11,0))/30)+1,0),0)</f>
        <v>0</v>
      </c>
      <c r="Z213" s="427">
        <f>-IF(AND(Z$11&gt;=EOMONTH('Construction Budget'!$K70,0),Z$11&lt;=EOMONTH('Construction Budget'!$M70,0)),('Construction Budget'!$G70+SUM($G213:Y213))/ROUND(((EOMONTH('Construction Budget'!$M70,0)-EOMONTH(Z$11,0))/30)+1,0),0)</f>
        <v>0</v>
      </c>
      <c r="AA213" s="427">
        <f>-IF(AND(AA$11&gt;=EOMONTH('Construction Budget'!$K70,0),AA$11&lt;=EOMONTH('Construction Budget'!$M70,0)),('Construction Budget'!$G70+SUM($G213:Z213))/ROUND(((EOMONTH('Construction Budget'!$M70,0)-EOMONTH(AA$11,0))/30)+1,0),0)</f>
        <v>0</v>
      </c>
      <c r="AB213" s="427">
        <f>-IF(AND(AB$11&gt;=EOMONTH('Construction Budget'!$K70,0),AB$11&lt;=EOMONTH('Construction Budget'!$M70,0)),('Construction Budget'!$G70+SUM($G213:AA213))/ROUND(((EOMONTH('Construction Budget'!$M70,0)-EOMONTH(AB$11,0))/30)+1,0),0)</f>
        <v>0</v>
      </c>
      <c r="AC213" s="427">
        <f>-IF(AND(AC$11&gt;=EOMONTH('Construction Budget'!$K70,0),AC$11&lt;=EOMONTH('Construction Budget'!$M70,0)),('Construction Budget'!$G70+SUM($G213:AB213))/ROUND(((EOMONTH('Construction Budget'!$M70,0)-EOMONTH(AC$11,0))/30)+1,0),0)</f>
        <v>0</v>
      </c>
      <c r="AD213" s="427">
        <f>-IF(AND(AD$11&gt;=EOMONTH('Construction Budget'!$K70,0),AD$11&lt;=EOMONTH('Construction Budget'!$M70,0)),('Construction Budget'!$G70+SUM($G213:AC213))/ROUND(((EOMONTH('Construction Budget'!$M70,0)-EOMONTH(AD$11,0))/30)+1,0),0)</f>
        <v>0</v>
      </c>
      <c r="AE213" s="427">
        <f>-IF(AND(AE$11&gt;=EOMONTH('Construction Budget'!$K70,0),AE$11&lt;=EOMONTH('Construction Budget'!$M70,0)),('Construction Budget'!$G70+SUM($G213:AD213))/ROUND(((EOMONTH('Construction Budget'!$M70,0)-EOMONTH(AE$11,0))/30)+1,0),0)</f>
        <v>0</v>
      </c>
      <c r="AF213" s="427">
        <f>-IF(AND(AF$11&gt;=EOMONTH('Construction Budget'!$K70,0),AF$11&lt;=EOMONTH('Construction Budget'!$M70,0)),('Construction Budget'!$G70+SUM($G213:AE213))/ROUND(((EOMONTH('Construction Budget'!$M70,0)-EOMONTH(AF$11,0))/30)+1,0),0)</f>
        <v>0</v>
      </c>
      <c r="AG213" s="427">
        <f>-IF(AND(AG$11&gt;=EOMONTH('Construction Budget'!$K70,0),AG$11&lt;=EOMONTH('Construction Budget'!$M70,0)),('Construction Budget'!$G70+SUM($G213:AF213))/ROUND(((EOMONTH('Construction Budget'!$M70,0)-EOMONTH(AG$11,0))/30)+1,0),0)</f>
        <v>0</v>
      </c>
      <c r="AH213" s="427">
        <f>-IF(AND(AH$11&gt;=EOMONTH('Construction Budget'!$K70,0),AH$11&lt;=EOMONTH('Construction Budget'!$M70,0)),('Construction Budget'!$G70+SUM($G213:AG213))/ROUND(((EOMONTH('Construction Budget'!$M70,0)-EOMONTH(AH$11,0))/30)+1,0),0)</f>
        <v>0</v>
      </c>
      <c r="AI213" s="427">
        <f>-IF(AND(AI$11&gt;=EOMONTH('Construction Budget'!$K70,0),AI$11&lt;=EOMONTH('Construction Budget'!$M70,0)),('Construction Budget'!$G70+SUM($G213:AH213))/ROUND(((EOMONTH('Construction Budget'!$M70,0)-EOMONTH(AI$11,0))/30)+1,0),0)</f>
        <v>0</v>
      </c>
      <c r="AJ213" s="427">
        <f>-IF(AND(AJ$11&gt;=EOMONTH('Construction Budget'!$K70,0),AJ$11&lt;=EOMONTH('Construction Budget'!$M70,0)),('Construction Budget'!$G70+SUM($G213:AI213))/ROUND(((EOMONTH('Construction Budget'!$M70,0)-EOMONTH(AJ$11,0))/30)+1,0),0)</f>
        <v>0</v>
      </c>
      <c r="AK213" s="427">
        <f>-IF(AND(AK$11&gt;=EOMONTH('Construction Budget'!$K70,0),AK$11&lt;=EOMONTH('Construction Budget'!$M70,0)),('Construction Budget'!$G70+SUM($G213:AJ213))/ROUND(((EOMONTH('Construction Budget'!$M70,0)-EOMONTH(AK$11,0))/30)+1,0),0)</f>
        <v>0</v>
      </c>
      <c r="AL213" s="427">
        <f>-IF(AND(AL$11&gt;=EOMONTH('Construction Budget'!$K70,0),AL$11&lt;=EOMONTH('Construction Budget'!$M70,0)),('Construction Budget'!$G70+SUM($G213:AK213))/ROUND(((EOMONTH('Construction Budget'!$M70,0)-EOMONTH(AL$11,0))/30)+1,0),0)</f>
        <v>0</v>
      </c>
      <c r="AM213" s="427">
        <f>-IF(AND(AM$11&gt;=EOMONTH('Construction Budget'!$K70,0),AM$11&lt;=EOMONTH('Construction Budget'!$M70,0)),('Construction Budget'!$G70+SUM($G213:AL213))/ROUND(((EOMONTH('Construction Budget'!$M70,0)-EOMONTH(AM$11,0))/30)+1,0),0)</f>
        <v>0</v>
      </c>
      <c r="AN213" s="427">
        <f>-IF(AND(AN$11&gt;=EOMONTH('Construction Budget'!$K70,0),AN$11&lt;=EOMONTH('Construction Budget'!$M70,0)),('Construction Budget'!$G70+SUM($G213:AM213))/ROUND(((EOMONTH('Construction Budget'!$M70,0)-EOMONTH(AN$11,0))/30)+1,0),0)</f>
        <v>0</v>
      </c>
      <c r="AO213" s="427">
        <f>-IF(AND(AO$11&gt;=EOMONTH('Construction Budget'!$K70,0),AO$11&lt;=EOMONTH('Construction Budget'!$M70,0)),('Construction Budget'!$G70+SUM($G213:AN213))/ROUND(((EOMONTH('Construction Budget'!$M70,0)-EOMONTH(AO$11,0))/30)+1,0),0)</f>
        <v>0</v>
      </c>
      <c r="AP213" s="427">
        <f>-IF(AND(AP$11&gt;=EOMONTH('Construction Budget'!$K70,0),AP$11&lt;=EOMONTH('Construction Budget'!$M70,0)),('Construction Budget'!$G70+SUM($G213:AO213))/ROUND(((EOMONTH('Construction Budget'!$M70,0)-EOMONTH(AP$11,0))/30)+1,0),0)</f>
        <v>0</v>
      </c>
      <c r="AQ213" s="427">
        <f>-IF(AND(AQ$11&gt;=EOMONTH('Construction Budget'!$K70,0),AQ$11&lt;=EOMONTH('Construction Budget'!$M70,0)),('Construction Budget'!$G70+SUM($G213:AP213))/ROUND(((EOMONTH('Construction Budget'!$M70,0)-EOMONTH(AQ$11,0))/30)+1,0),0)</f>
        <v>0</v>
      </c>
      <c r="AR213" s="427">
        <f>-IF(AND(AR$11&gt;=EOMONTH('Construction Budget'!$K70,0),AR$11&lt;=EOMONTH('Construction Budget'!$M70,0)),('Construction Budget'!$G70+SUM($G213:AQ213))/ROUND(((EOMONTH('Construction Budget'!$M70,0)-EOMONTH(AR$11,0))/30)+1,0),0)</f>
        <v>0</v>
      </c>
      <c r="AS213" s="427">
        <f>-IF(AND(AS$11&gt;=EOMONTH('Construction Budget'!$K70,0),AS$11&lt;=EOMONTH('Construction Budget'!$M70,0)),('Construction Budget'!$G70+SUM($G213:AR213))/ROUND(((EOMONTH('Construction Budget'!$M70,0)-EOMONTH(AS$11,0))/30)+1,0),0)</f>
        <v>0</v>
      </c>
      <c r="AT213" s="427">
        <f>-IF(AND(AT$11&gt;=EOMONTH('Construction Budget'!$K70,0),AT$11&lt;=EOMONTH('Construction Budget'!$M70,0)),('Construction Budget'!$G70+SUM($G213:AS213))/ROUND(((EOMONTH('Construction Budget'!$M70,0)-EOMONTH(AT$11,0))/30)+1,0),0)</f>
        <v>0</v>
      </c>
      <c r="AU213" s="427">
        <f>-IF(AND(AU$11&gt;=EOMONTH('Construction Budget'!$K70,0),AU$11&lt;=EOMONTH('Construction Budget'!$M70,0)),('Construction Budget'!$G70+SUM($G213:AT213))/ROUND(((EOMONTH('Construction Budget'!$M70,0)-EOMONTH(AU$11,0))/30)+1,0),0)</f>
        <v>0</v>
      </c>
      <c r="AV213" s="427">
        <f>-IF(AND(AV$11&gt;=EOMONTH('Construction Budget'!$K70,0),AV$11&lt;=EOMONTH('Construction Budget'!$M70,0)),('Construction Budget'!$G70+SUM($G213:AU213))/ROUND(((EOMONTH('Construction Budget'!$M70,0)-EOMONTH(AV$11,0))/30)+1,0),0)</f>
        <v>0</v>
      </c>
      <c r="AW213" s="427">
        <f>-IF(AND(AW$11&gt;=EOMONTH('Construction Budget'!$K70,0),AW$11&lt;=EOMONTH('Construction Budget'!$M70,0)),('Construction Budget'!$G70+SUM($G213:AV213))/ROUND(((EOMONTH('Construction Budget'!$M70,0)-EOMONTH(AW$11,0))/30)+1,0),0)</f>
        <v>0</v>
      </c>
      <c r="AX213" s="427">
        <f>-IF(AND(AX$11&gt;=EOMONTH('Construction Budget'!$K70,0),AX$11&lt;=EOMONTH('Construction Budget'!$M70,0)),('Construction Budget'!$G70+SUM($G213:AW213))/ROUND(((EOMONTH('Construction Budget'!$M70,0)-EOMONTH(AX$11,0))/30)+1,0),0)</f>
        <v>0</v>
      </c>
      <c r="AY213" s="427">
        <f>-IF(AND(AY$11&gt;=EOMONTH('Construction Budget'!$K70,0),AY$11&lt;=EOMONTH('Construction Budget'!$M70,0)),('Construction Budget'!$G70+SUM($G213:AX213))/ROUND(((EOMONTH('Construction Budget'!$M70,0)-EOMONTH(AY$11,0))/30)+1,0),0)</f>
        <v>0</v>
      </c>
      <c r="AZ213" s="427">
        <f>-IF(AND(AZ$11&gt;=EOMONTH('Construction Budget'!$K70,0),AZ$11&lt;=EOMONTH('Construction Budget'!$M70,0)),('Construction Budget'!$G70+SUM($G213:AY213))/ROUND(((EOMONTH('Construction Budget'!$M70,0)-EOMONTH(AZ$11,0))/30)+1,0),0)</f>
        <v>0</v>
      </c>
      <c r="BA213" s="427">
        <f>-IF(AND(BA$11&gt;=EOMONTH('Construction Budget'!$K70,0),BA$11&lt;=EOMONTH('Construction Budget'!$M70,0)),('Construction Budget'!$G70+SUM($G213:AZ213))/ROUND(((EOMONTH('Construction Budget'!$M70,0)-EOMONTH(BA$11,0))/30)+1,0),0)</f>
        <v>0</v>
      </c>
      <c r="BB213" s="427">
        <f>-IF(AND(BB$11&gt;=EOMONTH('Construction Budget'!$K70,0),BB$11&lt;=EOMONTH('Construction Budget'!$M70,0)),('Construction Budget'!$G70+SUM($G213:BA213))/ROUND(((EOMONTH('Construction Budget'!$M70,0)-EOMONTH(BB$11,0))/30)+1,0),0)</f>
        <v>0</v>
      </c>
      <c r="BC213" s="427">
        <f>-IF(AND(BC$11&gt;=EOMONTH('Construction Budget'!$K70,0),BC$11&lt;=EOMONTH('Construction Budget'!$M70,0)),('Construction Budget'!$G70+SUM($G213:BB213))/ROUND(((EOMONTH('Construction Budget'!$M70,0)-EOMONTH(BC$11,0))/30)+1,0),0)</f>
        <v>0</v>
      </c>
      <c r="BD213" s="427">
        <f>-IF(AND(BD$11&gt;=EOMONTH('Construction Budget'!$K70,0),BD$11&lt;=EOMONTH('Construction Budget'!$M70,0)),('Construction Budget'!$G70+SUM($G213:BC213))/ROUND(((EOMONTH('Construction Budget'!$M70,0)-EOMONTH(BD$11,0))/30)+1,0),0)</f>
        <v>0</v>
      </c>
      <c r="BE213" s="427">
        <f>-IF(AND(BE$11&gt;=EOMONTH('Construction Budget'!$K70,0),BE$11&lt;=EOMONTH('Construction Budget'!$M70,0)),('Construction Budget'!$G70+SUM($G213:BD213))/ROUND(((EOMONTH('Construction Budget'!$M70,0)-EOMONTH(BE$11,0))/30)+1,0),0)</f>
        <v>0</v>
      </c>
      <c r="BF213" s="427">
        <f>-IF(AND(BF$11&gt;=EOMONTH('Construction Budget'!$K70,0),BF$11&lt;=EOMONTH('Construction Budget'!$M70,0)),('Construction Budget'!$G70+SUM($G213:BE213))/ROUND(((EOMONTH('Construction Budget'!$M70,0)-EOMONTH(BF$11,0))/30)+1,0),0)</f>
        <v>0</v>
      </c>
      <c r="BG213" s="427">
        <f>-IF(AND(BG$11&gt;=EOMONTH('Construction Budget'!$K70,0),BG$11&lt;=EOMONTH('Construction Budget'!$M70,0)),('Construction Budget'!$G70+SUM($G213:BF213))/ROUND(((EOMONTH('Construction Budget'!$M70,0)-EOMONTH(BG$11,0))/30)+1,0),0)</f>
        <v>0</v>
      </c>
      <c r="BH213" s="427">
        <f>-IF(AND(BH$11&gt;=EOMONTH('Construction Budget'!$K70,0),BH$11&lt;=EOMONTH('Construction Budget'!$M70,0)),('Construction Budget'!$G70+SUM($G213:BG213))/ROUND(((EOMONTH('Construction Budget'!$M70,0)-EOMONTH(BH$11,0))/30)+1,0),0)</f>
        <v>0</v>
      </c>
      <c r="BI213" s="427">
        <f>-IF(AND(BI$11&gt;=EOMONTH('Construction Budget'!$K70,0),BI$11&lt;=EOMONTH('Construction Budget'!$M70,0)),('Construction Budget'!$G70+SUM($G213:BH213))/ROUND(((EOMONTH('Construction Budget'!$M70,0)-EOMONTH(BI$11,0))/30)+1,0),0)</f>
        <v>0</v>
      </c>
      <c r="BJ213" s="427">
        <f>-IF(AND(BJ$11&gt;=EOMONTH('Construction Budget'!$K70,0),BJ$11&lt;=EOMONTH('Construction Budget'!$M70,0)),('Construction Budget'!$G70+SUM($G213:BI213))/ROUND(((EOMONTH('Construction Budget'!$M70,0)-EOMONTH(BJ$11,0))/30)+1,0),0)</f>
        <v>0</v>
      </c>
      <c r="BK213" s="427">
        <f>-IF(AND(BK$11&gt;=EOMONTH('Construction Budget'!$K70,0),BK$11&lt;=EOMONTH('Construction Budget'!$M70,0)),('Construction Budget'!$G70+SUM($G213:BJ213))/ROUND(((EOMONTH('Construction Budget'!$M70,0)-EOMONTH(BK$11,0))/30)+1,0),0)</f>
        <v>0</v>
      </c>
      <c r="BL213" s="427">
        <f>-IF(AND(BL$11&gt;=EOMONTH('Construction Budget'!$K70,0),BL$11&lt;=EOMONTH('Construction Budget'!$M70,0)),('Construction Budget'!$G70+SUM($G213:BK213))/ROUND(((EOMONTH('Construction Budget'!$M70,0)-EOMONTH(BL$11,0))/30)+1,0),0)</f>
        <v>0</v>
      </c>
      <c r="BM213" s="427">
        <f>-IF(AND(BM$11&gt;=EOMONTH('Construction Budget'!$K70,0),BM$11&lt;=EOMONTH('Construction Budget'!$M70,0)),('Construction Budget'!$G70+SUM($G213:BL213))/ROUND(((EOMONTH('Construction Budget'!$M70,0)-EOMONTH(BM$11,0))/30)+1,0),0)</f>
        <v>0</v>
      </c>
      <c r="BN213" s="427">
        <f>-IF(AND(BN$11&gt;=EOMONTH('Construction Budget'!$K70,0),BN$11&lt;=EOMONTH('Construction Budget'!$M70,0)),('Construction Budget'!$G70+SUM($G213:BM213))/ROUND(((EOMONTH('Construction Budget'!$M70,0)-EOMONTH(BN$11,0))/30)+1,0),0)</f>
        <v>0</v>
      </c>
      <c r="BO213" s="427">
        <f>-IF(AND(BO$11&gt;=EOMONTH('Construction Budget'!$K70,0),BO$11&lt;=EOMONTH('Construction Budget'!$M70,0)),('Construction Budget'!$G70+SUM($G213:BN213))/ROUND(((EOMONTH('Construction Budget'!$M70,0)-EOMONTH(BO$11,0))/30)+1,0),0)</f>
        <v>0</v>
      </c>
      <c r="BP213" s="427">
        <f>-IF(AND(BP$11&gt;=EOMONTH('Construction Budget'!$K70,0),BP$11&lt;=EOMONTH('Construction Budget'!$M70,0)),('Construction Budget'!$G70+SUM($G213:BO213))/ROUND(((EOMONTH('Construction Budget'!$M70,0)-EOMONTH(BP$11,0))/30)+1,0),0)</f>
        <v>0</v>
      </c>
      <c r="BQ213" s="427">
        <f>-IF(AND(BQ$11&gt;=EOMONTH('Construction Budget'!$K70,0),BQ$11&lt;=EOMONTH('Construction Budget'!$M70,0)),('Construction Budget'!$G70+SUM($G213:BP213))/ROUND(((EOMONTH('Construction Budget'!$M70,0)-EOMONTH(BQ$11,0))/30)+1,0),0)</f>
        <v>0</v>
      </c>
      <c r="BR213" s="427">
        <f>-IF(AND(BR$11&gt;=EOMONTH('Construction Budget'!$K70,0),BR$11&lt;=EOMONTH('Construction Budget'!$M70,0)),('Construction Budget'!$G70+SUM($G213:BQ213))/ROUND(((EOMONTH('Construction Budget'!$M70,0)-EOMONTH(BR$11,0))/30)+1,0),0)</f>
        <v>0</v>
      </c>
      <c r="BS213" s="427">
        <f>-IF(AND(BS$11&gt;=EOMONTH('Construction Budget'!$K70,0),BS$11&lt;=EOMONTH('Construction Budget'!$M70,0)),('Construction Budget'!$G70+SUM($G213:BR213))/ROUND(((EOMONTH('Construction Budget'!$M70,0)-EOMONTH(BS$11,0))/30)+1,0),0)</f>
        <v>0</v>
      </c>
      <c r="BT213" s="427">
        <f>-IF(AND(BT$11&gt;=EOMONTH('Construction Budget'!$K70,0),BT$11&lt;=EOMONTH('Construction Budget'!$M70,0)),('Construction Budget'!$G70+SUM($G213:BS213))/ROUND(((EOMONTH('Construction Budget'!$M70,0)-EOMONTH(BT$11,0))/30)+1,0),0)</f>
        <v>0</v>
      </c>
      <c r="BU213" s="427">
        <f>-IF(AND(BU$11&gt;=EOMONTH('Construction Budget'!$K70,0),BU$11&lt;=EOMONTH('Construction Budget'!$M70,0)),('Construction Budget'!$G70+SUM($G213:BT213))/ROUND(((EOMONTH('Construction Budget'!$M70,0)-EOMONTH(BU$11,0))/30)+1,0),0)</f>
        <v>0</v>
      </c>
      <c r="BV213" s="427">
        <f>-IF(AND(BV$11&gt;=EOMONTH('Construction Budget'!$K70,0),BV$11&lt;=EOMONTH('Construction Budget'!$M70,0)),('Construction Budget'!$G70+SUM($G213:BU213))/ROUND(((EOMONTH('Construction Budget'!$M70,0)-EOMONTH(BV$11,0))/30)+1,0),0)</f>
        <v>0</v>
      </c>
      <c r="BW213" s="427">
        <f>-IF(AND(BW$11&gt;=EOMONTH('Construction Budget'!$K70,0),BW$11&lt;=EOMONTH('Construction Budget'!$M70,0)),('Construction Budget'!$G70+SUM($G213:BV213))/ROUND(((EOMONTH('Construction Budget'!$M70,0)-EOMONTH(BW$11,0))/30)+1,0),0)</f>
        <v>0</v>
      </c>
      <c r="BX213" s="427">
        <f>-IF(AND(BX$11&gt;=EOMONTH('Construction Budget'!$K70,0),BX$11&lt;=EOMONTH('Construction Budget'!$M70,0)),('Construction Budget'!$G70+SUM($G213:BW213))/ROUND(((EOMONTH('Construction Budget'!$M70,0)-EOMONTH(BX$11,0))/30)+1,0),0)</f>
        <v>0</v>
      </c>
      <c r="BY213" s="427">
        <f>-IF(AND(BY$11&gt;=EOMONTH('Construction Budget'!$K70,0),BY$11&lt;=EOMONTH('Construction Budget'!$M70,0)),('Construction Budget'!$G70+SUM($G213:BX213))/ROUND(((EOMONTH('Construction Budget'!$M70,0)-EOMONTH(BY$11,0))/30)+1,0),0)</f>
        <v>0</v>
      </c>
      <c r="BZ213" s="427">
        <f>-IF(AND(BZ$11&gt;=EOMONTH('Construction Budget'!$K70,0),BZ$11&lt;=EOMONTH('Construction Budget'!$M70,0)),('Construction Budget'!$G70+SUM($G213:BY213))/ROUND(((EOMONTH('Construction Budget'!$M70,0)-EOMONTH(BZ$11,0))/30)+1,0),0)</f>
        <v>0</v>
      </c>
      <c r="CA213" s="427">
        <f>-IF(AND(CA$11&gt;=EOMONTH('Construction Budget'!$K70,0),CA$11&lt;=EOMONTH('Construction Budget'!$M70,0)),('Construction Budget'!$G70+SUM($G213:BZ213))/ROUND(((EOMONTH('Construction Budget'!$M70,0)-EOMONTH(CA$11,0))/30)+1,0),0)</f>
        <v>0</v>
      </c>
      <c r="CB213" s="427">
        <f>-IF(AND(CB$11&gt;=EOMONTH('Construction Budget'!$K70,0),CB$11&lt;=EOMONTH('Construction Budget'!$M70,0)),('Construction Budget'!$G70+SUM($G213:CA213))/ROUND(((EOMONTH('Construction Budget'!$M70,0)-EOMONTH(CB$11,0))/30)+1,0),0)</f>
        <v>0</v>
      </c>
      <c r="CC213" s="427">
        <f>-IF(AND(CC$11&gt;=EOMONTH('Construction Budget'!$K70,0),CC$11&lt;=EOMONTH('Construction Budget'!$M70,0)),('Construction Budget'!$G70+SUM($G213:CB213))/ROUND(((EOMONTH('Construction Budget'!$M70,0)-EOMONTH(CC$11,0))/30)+1,0),0)</f>
        <v>0</v>
      </c>
      <c r="CD213" s="427">
        <f>-IF(AND(CD$11&gt;=EOMONTH('Construction Budget'!$K70,0),CD$11&lt;=EOMONTH('Construction Budget'!$M70,0)),('Construction Budget'!$G70+SUM($G213:CC213))/ROUND(((EOMONTH('Construction Budget'!$M70,0)-EOMONTH(CD$11,0))/30)+1,0),0)</f>
        <v>0</v>
      </c>
      <c r="CE213" s="427">
        <f>-IF(AND(CE$11&gt;=EOMONTH('Construction Budget'!$K70,0),CE$11&lt;=EOMONTH('Construction Budget'!$M70,0)),('Construction Budget'!$G70+SUM($G213:CD213))/ROUND(((EOMONTH('Construction Budget'!$M70,0)-EOMONTH(CE$11,0))/30)+1,0),0)</f>
        <v>0</v>
      </c>
      <c r="CF213" s="427">
        <f>-IF(AND(CF$11&gt;=EOMONTH('Construction Budget'!$K70,0),CF$11&lt;=EOMONTH('Construction Budget'!$M70,0)),('Construction Budget'!$G70+SUM($G213:CE213))/ROUND(((EOMONTH('Construction Budget'!$M70,0)-EOMONTH(CF$11,0))/30)+1,0),0)</f>
        <v>0</v>
      </c>
      <c r="CG213" s="427">
        <f>-IF(AND(CG$11&gt;=EOMONTH('Construction Budget'!$K70,0),CG$11&lt;=EOMONTH('Construction Budget'!$M70,0)),('Construction Budget'!$G70+SUM($G213:CF213))/ROUND(((EOMONTH('Construction Budget'!$M70,0)-EOMONTH(CG$11,0))/30)+1,0),0)</f>
        <v>0</v>
      </c>
      <c r="CH213" s="427">
        <f>-IF(AND(CH$11&gt;=EOMONTH('Construction Budget'!$K70,0),CH$11&lt;=EOMONTH('Construction Budget'!$M70,0)),('Construction Budget'!$G70+SUM($G213:CG213))/ROUND(((EOMONTH('Construction Budget'!$M70,0)-EOMONTH(CH$11,0))/30)+1,0),0)</f>
        <v>0</v>
      </c>
      <c r="CI213" s="427">
        <f>-IF(AND(CI$11&gt;=EOMONTH('Construction Budget'!$K70,0),CI$11&lt;=EOMONTH('Construction Budget'!$M70,0)),('Construction Budget'!$G70+SUM($G213:CH213))/ROUND(((EOMONTH('Construction Budget'!$M70,0)-EOMONTH(CI$11,0))/30)+1,0),0)</f>
        <v>0</v>
      </c>
      <c r="CJ213" s="427">
        <f>-IF(AND(CJ$11&gt;=EOMONTH('Construction Budget'!$K70,0),CJ$11&lt;=EOMONTH('Construction Budget'!$M70,0)),('Construction Budget'!$G70+SUM($G213:CI213))/ROUND(((EOMONTH('Construction Budget'!$M70,0)-EOMONTH(CJ$11,0))/30)+1,0),0)</f>
        <v>0</v>
      </c>
      <c r="CK213" s="427">
        <f>-IF(AND(CK$11&gt;=EOMONTH('Construction Budget'!$K70,0),CK$11&lt;=EOMONTH('Construction Budget'!$M70,0)),('Construction Budget'!$G70+SUM($G213:CJ213))/ROUND(((EOMONTH('Construction Budget'!$M70,0)-EOMONTH(CK$11,0))/30)+1,0),0)</f>
        <v>0</v>
      </c>
      <c r="CL213" s="427">
        <f>-IF(AND(CL$11&gt;=EOMONTH('Construction Budget'!$K70,0),CL$11&lt;=EOMONTH('Construction Budget'!$M70,0)),('Construction Budget'!$G70+SUM($G213:CK213))/ROUND(((EOMONTH('Construction Budget'!$M70,0)-EOMONTH(CL$11,0))/30)+1,0),0)</f>
        <v>0</v>
      </c>
      <c r="CM213" s="427">
        <f>-IF(AND(CM$11&gt;=EOMONTH('Construction Budget'!$K70,0),CM$11&lt;=EOMONTH('Construction Budget'!$M70,0)),('Construction Budget'!$G70+SUM($G213:CL213))/ROUND(((EOMONTH('Construction Budget'!$M70,0)-EOMONTH(CM$11,0))/30)+1,0),0)</f>
        <v>0</v>
      </c>
      <c r="CN213" s="427">
        <f>-IF(AND(CN$11&gt;=EOMONTH('Construction Budget'!$K70,0),CN$11&lt;=EOMONTH('Construction Budget'!$M70,0)),('Construction Budget'!$G70+SUM($G213:CM213))/ROUND(((EOMONTH('Construction Budget'!$M70,0)-EOMONTH(CN$11,0))/30)+1,0),0)</f>
        <v>0</v>
      </c>
      <c r="CO213" s="427">
        <f>-IF(AND(CO$11&gt;=EOMONTH('Construction Budget'!$K70,0),CO$11&lt;=EOMONTH('Construction Budget'!$M70,0)),('Construction Budget'!$G70+SUM($G213:CN213))/ROUND(((EOMONTH('Construction Budget'!$M70,0)-EOMONTH(CO$11,0))/30)+1,0),0)</f>
        <v>0</v>
      </c>
      <c r="CP213" s="427">
        <f>-IF(AND(CP$11&gt;=EOMONTH('Construction Budget'!$K70,0),CP$11&lt;=EOMONTH('Construction Budget'!$M70,0)),('Construction Budget'!$G70+SUM($G213:CO213))/ROUND(((EOMONTH('Construction Budget'!$M70,0)-EOMONTH(CP$11,0))/30)+1,0),0)</f>
        <v>0</v>
      </c>
      <c r="CQ213" s="427">
        <f>-IF(AND(CQ$11&gt;=EOMONTH('Construction Budget'!$K70,0),CQ$11&lt;=EOMONTH('Construction Budget'!$M70,0)),('Construction Budget'!$G70+SUM($G213:CP213))/ROUND(((EOMONTH('Construction Budget'!$M70,0)-EOMONTH(CQ$11,0))/30)+1,0),0)</f>
        <v>0</v>
      </c>
      <c r="CR213" s="427">
        <f>-IF(AND(CR$11&gt;=EOMONTH('Construction Budget'!$K70,0),CR$11&lt;=EOMONTH('Construction Budget'!$M70,0)),('Construction Budget'!$G70+SUM($G213:CQ213))/ROUND(((EOMONTH('Construction Budget'!$M70,0)-EOMONTH(CR$11,0))/30)+1,0),0)</f>
        <v>0</v>
      </c>
      <c r="CS213" s="427">
        <f>-IF(AND(CS$11&gt;=EOMONTH('Construction Budget'!$K70,0),CS$11&lt;=EOMONTH('Construction Budget'!$M70,0)),('Construction Budget'!$G70+SUM($G213:CR213))/ROUND(((EOMONTH('Construction Budget'!$M70,0)-EOMONTH(CS$11,0))/30)+1,0),0)</f>
        <v>0</v>
      </c>
      <c r="CT213" s="427">
        <f>-IF(AND(CT$11&gt;=EOMONTH('Construction Budget'!$K70,0),CT$11&lt;=EOMONTH('Construction Budget'!$M70,0)),('Construction Budget'!$G70+SUM($G213:CS213))/ROUND(((EOMONTH('Construction Budget'!$M70,0)-EOMONTH(CT$11,0))/30)+1,0),0)</f>
        <v>0</v>
      </c>
      <c r="CU213" s="427">
        <f>-IF(AND(CU$11&gt;=EOMONTH('Construction Budget'!$K70,0),CU$11&lt;=EOMONTH('Construction Budget'!$M70,0)),('Construction Budget'!$G70+SUM($G213:CT213))/ROUND(((EOMONTH('Construction Budget'!$M70,0)-EOMONTH(CU$11,0))/30)+1,0),0)</f>
        <v>0</v>
      </c>
      <c r="CV213" s="427">
        <f>-IF(AND(CV$11&gt;=EOMONTH('Construction Budget'!$K70,0),CV$11&lt;=EOMONTH('Construction Budget'!$M70,0)),('Construction Budget'!$G70+SUM($G213:CU213))/ROUND(((EOMONTH('Construction Budget'!$M70,0)-EOMONTH(CV$11,0))/30)+1,0),0)</f>
        <v>0</v>
      </c>
      <c r="CW213" s="427">
        <f>-IF(AND(CW$11&gt;=EOMONTH('Construction Budget'!$K70,0),CW$11&lt;=EOMONTH('Construction Budget'!$M70,0)),('Construction Budget'!$G70+SUM($G213:CV213))/ROUND(((EOMONTH('Construction Budget'!$M70,0)-EOMONTH(CW$11,0))/30)+1,0),0)</f>
        <v>0</v>
      </c>
      <c r="CX213" s="427">
        <f>-IF(AND(CX$11&gt;=EOMONTH('Construction Budget'!$K70,0),CX$11&lt;=EOMONTH('Construction Budget'!$M70,0)),('Construction Budget'!$G70+SUM($G213:CW213))/ROUND(((EOMONTH('Construction Budget'!$M70,0)-EOMONTH(CX$11,0))/30)+1,0),0)</f>
        <v>0</v>
      </c>
      <c r="CY213" s="427">
        <f>-IF(AND(CY$11&gt;=EOMONTH('Construction Budget'!$K70,0),CY$11&lt;=EOMONTH('Construction Budget'!$M70,0)),('Construction Budget'!$G70+SUM($G213:CX213))/ROUND(((EOMONTH('Construction Budget'!$M70,0)-EOMONTH(CY$11,0))/30)+1,0),0)</f>
        <v>0</v>
      </c>
      <c r="CZ213" s="427">
        <f>-IF(AND(CZ$11&gt;=EOMONTH('Construction Budget'!$K70,0),CZ$11&lt;=EOMONTH('Construction Budget'!$M70,0)),('Construction Budget'!$G70+SUM($G213:CY213))/ROUND(((EOMONTH('Construction Budget'!$M70,0)-EOMONTH(CZ$11,0))/30)+1,0),0)</f>
        <v>0</v>
      </c>
      <c r="DA213" s="427">
        <f>-IF(AND(DA$11&gt;=EOMONTH('Construction Budget'!$K70,0),DA$11&lt;=EOMONTH('Construction Budget'!$M70,0)),('Construction Budget'!$G70+SUM($G213:CZ213))/ROUND(((EOMONTH('Construction Budget'!$M70,0)-EOMONTH(DA$11,0))/30)+1,0),0)</f>
        <v>0</v>
      </c>
      <c r="DB213" s="427">
        <f>-IF(AND(DB$11&gt;=EOMONTH('Construction Budget'!$K70,0),DB$11&lt;=EOMONTH('Construction Budget'!$M70,0)),('Construction Budget'!$G70+SUM($G213:DA213))/ROUND(((EOMONTH('Construction Budget'!$M70,0)-EOMONTH(DB$11,0))/30)+1,0),0)</f>
        <v>0</v>
      </c>
      <c r="DC213" s="427">
        <f>-IF(AND(DC$11&gt;=EOMONTH('Construction Budget'!$K70,0),DC$11&lt;=EOMONTH('Construction Budget'!$M70,0)),('Construction Budget'!$G70+SUM($G213:DB213))/ROUND(((EOMONTH('Construction Budget'!$M70,0)-EOMONTH(DC$11,0))/30)+1,0),0)</f>
        <v>0</v>
      </c>
      <c r="DD213" s="427">
        <f>-IF(AND(DD$11&gt;=EOMONTH('Construction Budget'!$K70,0),DD$11&lt;=EOMONTH('Construction Budget'!$M70,0)),('Construction Budget'!$G70+SUM($G213:DC213))/ROUND(((EOMONTH('Construction Budget'!$M70,0)-EOMONTH(DD$11,0))/30)+1,0),0)</f>
        <v>0</v>
      </c>
      <c r="DE213" s="427">
        <f>-IF(AND(DE$11&gt;=EOMONTH('Construction Budget'!$K70,0),DE$11&lt;=EOMONTH('Construction Budget'!$M70,0)),('Construction Budget'!$G70+SUM($G213:DD213))/ROUND(((EOMONTH('Construction Budget'!$M70,0)-EOMONTH(DE$11,0))/30)+1,0),0)</f>
        <v>0</v>
      </c>
      <c r="DF213" s="427">
        <f>-IF(AND(DF$11&gt;=EOMONTH('Construction Budget'!$K70,0),DF$11&lt;=EOMONTH('Construction Budget'!$M70,0)),('Construction Budget'!$G70+SUM($G213:DE213))/ROUND(((EOMONTH('Construction Budget'!$M70,0)-EOMONTH(DF$11,0))/30)+1,0),0)</f>
        <v>0</v>
      </c>
      <c r="DG213" s="427">
        <f>-IF(AND(DG$11&gt;=EOMONTH('Construction Budget'!$K70,0),DG$11&lt;=EOMONTH('Construction Budget'!$M70,0)),('Construction Budget'!$G70+SUM($G213:DF213))/ROUND(((EOMONTH('Construction Budget'!$M70,0)-EOMONTH(DG$11,0))/30)+1,0),0)</f>
        <v>0</v>
      </c>
      <c r="DH213" s="427">
        <f>-IF(AND(DH$11&gt;=EOMONTH('Construction Budget'!$K70,0),DH$11&lt;=EOMONTH('Construction Budget'!$M70,0)),('Construction Budget'!$G70+SUM($G213:DG213))/ROUND(((EOMONTH('Construction Budget'!$M70,0)-EOMONTH(DH$11,0))/30)+1,0),0)</f>
        <v>0</v>
      </c>
      <c r="DI213" s="427">
        <f>-IF(AND(DI$11&gt;=EOMONTH('Construction Budget'!$K70,0),DI$11&lt;=EOMONTH('Construction Budget'!$M70,0)),('Construction Budget'!$G70+SUM($G213:DH213))/ROUND(((EOMONTH('Construction Budget'!$M70,0)-EOMONTH(DI$11,0))/30)+1,0),0)</f>
        <v>0</v>
      </c>
      <c r="DJ213" s="427">
        <f>-IF(AND(DJ$11&gt;=EOMONTH('Construction Budget'!$K70,0),DJ$11&lt;=EOMONTH('Construction Budget'!$M70,0)),('Construction Budget'!$G70+SUM($G213:DI213))/ROUND(((EOMONTH('Construction Budget'!$M70,0)-EOMONTH(DJ$11,0))/30)+1,0),0)</f>
        <v>0</v>
      </c>
      <c r="DK213" s="427">
        <f>-IF(AND(DK$11&gt;=EOMONTH('Construction Budget'!$K70,0),DK$11&lt;=EOMONTH('Construction Budget'!$M70,0)),('Construction Budget'!$G70+SUM($G213:DJ213))/ROUND(((EOMONTH('Construction Budget'!$M70,0)-EOMONTH(DK$11,0))/30)+1,0),0)</f>
        <v>0</v>
      </c>
      <c r="DL213" s="427">
        <f>-IF(AND(DL$11&gt;=EOMONTH('Construction Budget'!$K70,0),DL$11&lt;=EOMONTH('Construction Budget'!$M70,0)),('Construction Budget'!$G70+SUM($G213:DK213))/ROUND(((EOMONTH('Construction Budget'!$M70,0)-EOMONTH(DL$11,0))/30)+1,0),0)</f>
        <v>0</v>
      </c>
      <c r="DM213" s="427">
        <f>-IF(AND(DM$11&gt;=EOMONTH('Construction Budget'!$K70,0),DM$11&lt;=EOMONTH('Construction Budget'!$M70,0)),('Construction Budget'!$G70+SUM($G213:DL213))/ROUND(((EOMONTH('Construction Budget'!$M70,0)-EOMONTH(DM$11,0))/30)+1,0),0)</f>
        <v>0</v>
      </c>
      <c r="DN213" s="427">
        <f>-IF(AND(DN$11&gt;=EOMONTH('Construction Budget'!$K70,0),DN$11&lt;=EOMONTH('Construction Budget'!$M70,0)),('Construction Budget'!$G70+SUM($G213:DM213))/ROUND(((EOMONTH('Construction Budget'!$M70,0)-EOMONTH(DN$11,0))/30)+1,0),0)</f>
        <v>0</v>
      </c>
      <c r="DO213" s="427">
        <f>-IF(AND(DO$11&gt;=EOMONTH('Construction Budget'!$K70,0),DO$11&lt;=EOMONTH('Construction Budget'!$M70,0)),('Construction Budget'!$G70+SUM($G213:DN213))/ROUND(((EOMONTH('Construction Budget'!$M70,0)-EOMONTH(DO$11,0))/30)+1,0),0)</f>
        <v>0</v>
      </c>
      <c r="DP213" s="427">
        <f>-IF(AND(DP$11&gt;=EOMONTH('Construction Budget'!$K70,0),DP$11&lt;=EOMONTH('Construction Budget'!$M70,0)),('Construction Budget'!$G70+SUM($G213:DO213))/ROUND(((EOMONTH('Construction Budget'!$M70,0)-EOMONTH(DP$11,0))/30)+1,0),0)</f>
        <v>0</v>
      </c>
      <c r="DQ213" s="427">
        <f>-IF(AND(DQ$11&gt;=EOMONTH('Construction Budget'!$K70,0),DQ$11&lt;=EOMONTH('Construction Budget'!$M70,0)),('Construction Budget'!$G70+SUM($G213:DP213))/ROUND(((EOMONTH('Construction Budget'!$M70,0)-EOMONTH(DQ$11,0))/30)+1,0),0)</f>
        <v>0</v>
      </c>
      <c r="DR213" s="427">
        <f>-IF(AND(DR$11&gt;=EOMONTH('Construction Budget'!$K70,0),DR$11&lt;=EOMONTH('Construction Budget'!$M70,0)),('Construction Budget'!$G70+SUM($G213:DQ213))/ROUND(((EOMONTH('Construction Budget'!$M70,0)-EOMONTH(DR$11,0))/30)+1,0),0)</f>
        <v>0</v>
      </c>
      <c r="DS213" s="427">
        <f>-IF(AND(DS$11&gt;=EOMONTH('Construction Budget'!$K70,0),DS$11&lt;=EOMONTH('Construction Budget'!$M70,0)),('Construction Budget'!$G70+SUM($G213:DR213))/ROUND(((EOMONTH('Construction Budget'!$M70,0)-EOMONTH(DS$11,0))/30)+1,0),0)</f>
        <v>0</v>
      </c>
      <c r="DT213" s="427">
        <f>-IF(AND(DT$11&gt;=EOMONTH('Construction Budget'!$K70,0),DT$11&lt;=EOMONTH('Construction Budget'!$M70,0)),('Construction Budget'!$G70+SUM($G213:DS213))/ROUND(((EOMONTH('Construction Budget'!$M70,0)-EOMONTH(DT$11,0))/30)+1,0),0)</f>
        <v>0</v>
      </c>
      <c r="DU213" s="427">
        <f>-IF(AND(DU$11&gt;=EOMONTH('Construction Budget'!$K70,0),DU$11&lt;=EOMONTH('Construction Budget'!$M70,0)),('Construction Budget'!$G70+SUM($G213:DT213))/ROUND(((EOMONTH('Construction Budget'!$M70,0)-EOMONTH(DU$11,0))/30)+1,0),0)</f>
        <v>0</v>
      </c>
      <c r="DV213" s="427">
        <f>-IF(AND(DV$11&gt;=EOMONTH('Construction Budget'!$K70,0),DV$11&lt;=EOMONTH('Construction Budget'!$M70,0)),('Construction Budget'!$G70+SUM($G213:DU213))/ROUND(((EOMONTH('Construction Budget'!$M70,0)-EOMONTH(DV$11,0))/30)+1,0),0)</f>
        <v>0</v>
      </c>
      <c r="DW213" s="427">
        <f>-IF(AND(DW$11&gt;=EOMONTH('Construction Budget'!$K70,0),DW$11&lt;=EOMONTH('Construction Budget'!$M70,0)),('Construction Budget'!$G70+SUM($G213:DV213))/ROUND(((EOMONTH('Construction Budget'!$M70,0)-EOMONTH(DW$11,0))/30)+1,0),0)</f>
        <v>0</v>
      </c>
      <c r="DX213" s="427">
        <f>-IF(AND(DX$11&gt;=EOMONTH('Construction Budget'!$K70,0),DX$11&lt;=EOMONTH('Construction Budget'!$M70,0)),('Construction Budget'!$G70+SUM($G213:DW213))/ROUND(((EOMONTH('Construction Budget'!$M70,0)-EOMONTH(DX$11,0))/30)+1,0),0)</f>
        <v>0</v>
      </c>
      <c r="DY213" s="427">
        <f>-IF(AND(DY$11&gt;=EOMONTH('Construction Budget'!$K70,0),DY$11&lt;=EOMONTH('Construction Budget'!$M70,0)),('Construction Budget'!$G70+SUM($G213:DX213))/ROUND(((EOMONTH('Construction Budget'!$M70,0)-EOMONTH(DY$11,0))/30)+1,0),0)</f>
        <v>0</v>
      </c>
      <c r="DZ213" s="427">
        <f>-IF(AND(DZ$11&gt;=EOMONTH('Construction Budget'!$K70,0),DZ$11&lt;=EOMONTH('Construction Budget'!$M70,0)),('Construction Budget'!$G70+SUM($G213:DY213))/ROUND(((EOMONTH('Construction Budget'!$M70,0)-EOMONTH(DZ$11,0))/30)+1,0),0)</f>
        <v>0</v>
      </c>
      <c r="EA213" s="427">
        <f>-IF(AND(EA$11&gt;=EOMONTH('Construction Budget'!$K70,0),EA$11&lt;=EOMONTH('Construction Budget'!$M70,0)),('Construction Budget'!$G70+SUM($G213:DZ213))/ROUND(((EOMONTH('Construction Budget'!$M70,0)-EOMONTH(EA$11,0))/30)+1,0),0)</f>
        <v>0</v>
      </c>
      <c r="EB213" s="427">
        <f>-IF(AND(EB$11&gt;=EOMONTH('Construction Budget'!$K70,0),EB$11&lt;=EOMONTH('Construction Budget'!$M70,0)),('Construction Budget'!$G70+SUM($G213:EA213))/ROUND(((EOMONTH('Construction Budget'!$M70,0)-EOMONTH(EB$11,0))/30)+1,0),0)</f>
        <v>0</v>
      </c>
      <c r="EC213" s="427">
        <f>-IF(AND(EC$11&gt;=EOMONTH('Construction Budget'!$K70,0),EC$11&lt;=EOMONTH('Construction Budget'!$M70,0)),('Construction Budget'!$G70+SUM($G213:EB213))/ROUND(((EOMONTH('Construction Budget'!$M70,0)-EOMONTH(EC$11,0))/30)+1,0),0)</f>
        <v>0</v>
      </c>
      <c r="ED213" s="427">
        <f>-IF(AND(ED$11&gt;=EOMONTH('Construction Budget'!$K70,0),ED$11&lt;=EOMONTH('Construction Budget'!$M70,0)),('Construction Budget'!$G70+SUM($G213:EC213))/ROUND(((EOMONTH('Construction Budget'!$M70,0)-EOMONTH(ED$11,0))/30)+1,0),0)</f>
        <v>0</v>
      </c>
      <c r="EE213" s="427">
        <f>-IF(AND(EE$11&gt;=EOMONTH('Construction Budget'!$K70,0),EE$11&lt;=EOMONTH('Construction Budget'!$M70,0)),('Construction Budget'!$G70+SUM($G213:ED213))/ROUND(((EOMONTH('Construction Budget'!$M70,0)-EOMONTH(EE$11,0))/30)+1,0),0)</f>
        <v>0</v>
      </c>
      <c r="EF213" s="427">
        <f>-IF(AND(EF$11&gt;=EOMONTH('Construction Budget'!$K70,0),EF$11&lt;=EOMONTH('Construction Budget'!$M70,0)),('Construction Budget'!$G70+SUM($G213:EE213))/ROUND(((EOMONTH('Construction Budget'!$M70,0)-EOMONTH(EF$11,0))/30)+1,0),0)</f>
        <v>0</v>
      </c>
      <c r="EG213" s="427">
        <f>-IF(AND(EG$11&gt;=EOMONTH('Construction Budget'!$K70,0),EG$11&lt;=EOMONTH('Construction Budget'!$M70,0)),('Construction Budget'!$G70+SUM($G213:EF213))/ROUND(((EOMONTH('Construction Budget'!$M70,0)-EOMONTH(EG$11,0))/30)+1,0),0)</f>
        <v>0</v>
      </c>
      <c r="EH213" s="427">
        <f>-IF(AND(EH$11&gt;=EOMONTH('Construction Budget'!$K70,0),EH$11&lt;=EOMONTH('Construction Budget'!$M70,0)),('Construction Budget'!$G70+SUM($G213:EG213))/ROUND(((EOMONTH('Construction Budget'!$M70,0)-EOMONTH(EH$11,0))/30)+1,0),0)</f>
        <v>0</v>
      </c>
      <c r="EI213" s="427">
        <f>-IF(AND(EI$11&gt;=EOMONTH('Construction Budget'!$K70,0),EI$11&lt;=EOMONTH('Construction Budget'!$M70,0)),('Construction Budget'!$G70+SUM($G213:EH213))/ROUND(((EOMONTH('Construction Budget'!$M70,0)-EOMONTH(EI$11,0))/30)+1,0),0)</f>
        <v>0</v>
      </c>
      <c r="EJ213" s="427">
        <f>-IF(AND(EJ$11&gt;=EOMONTH('Construction Budget'!$K70,0),EJ$11&lt;=EOMONTH('Construction Budget'!$M70,0)),('Construction Budget'!$G70+SUM($G213:EI213))/ROUND(((EOMONTH('Construction Budget'!$M70,0)-EOMONTH(EJ$11,0))/30)+1,0),0)</f>
        <v>0</v>
      </c>
      <c r="EK213" s="427">
        <f>-IF(AND(EK$11&gt;=EOMONTH('Construction Budget'!$K70,0),EK$11&lt;=EOMONTH('Construction Budget'!$M70,0)),('Construction Budget'!$G70+SUM($G213:EJ213))/ROUND(((EOMONTH('Construction Budget'!$M70,0)-EOMONTH(EK$11,0))/30)+1,0),0)</f>
        <v>0</v>
      </c>
      <c r="EL213" s="427">
        <f>-IF(AND(EL$11&gt;=EOMONTH('Construction Budget'!$K70,0),EL$11&lt;=EOMONTH('Construction Budget'!$M70,0)),('Construction Budget'!$G70+SUM($G213:EK213))/ROUND(((EOMONTH('Construction Budget'!$M70,0)-EOMONTH(EL$11,0))/30)+1,0),0)</f>
        <v>0</v>
      </c>
      <c r="EM213" s="427">
        <f>-IF(AND(EM$11&gt;=EOMONTH('Construction Budget'!$K70,0),EM$11&lt;=EOMONTH('Construction Budget'!$M70,0)),('Construction Budget'!$G70+SUM($G213:EL213))/ROUND(((EOMONTH('Construction Budget'!$M70,0)-EOMONTH(EM$11,0))/30)+1,0),0)</f>
        <v>0</v>
      </c>
      <c r="EN213" s="427">
        <f>-IF(AND(EN$11&gt;=EOMONTH('Construction Budget'!$K70,0),EN$11&lt;=EOMONTH('Construction Budget'!$M70,0)),('Construction Budget'!$G70+SUM($G213:EM213))/ROUND(((EOMONTH('Construction Budget'!$M70,0)-EOMONTH(EN$11,0))/30)+1,0),0)</f>
        <v>0</v>
      </c>
      <c r="EO213" s="427">
        <f>-IF(AND(EO$11&gt;=EOMONTH('Construction Budget'!$K70,0),EO$11&lt;=EOMONTH('Construction Budget'!$M70,0)),('Construction Budget'!$G70+SUM($G213:EN213))/ROUND(((EOMONTH('Construction Budget'!$M70,0)-EOMONTH(EO$11,0))/30)+1,0),0)</f>
        <v>0</v>
      </c>
      <c r="EP213" s="427">
        <f>-IF(AND(EP$11&gt;=EOMONTH('Construction Budget'!$K70,0),EP$11&lt;=EOMONTH('Construction Budget'!$M70,0)),('Construction Budget'!$G70+SUM($G213:EO213))/ROUND(((EOMONTH('Construction Budget'!$M70,0)-EOMONTH(EP$11,0))/30)+1,0),0)</f>
        <v>0</v>
      </c>
      <c r="EQ213" s="427">
        <f>-IF(AND(EQ$11&gt;=EOMONTH('Construction Budget'!$K70,0),EQ$11&lt;=EOMONTH('Construction Budget'!$M70,0)),('Construction Budget'!$G70+SUM($G213:EP213))/ROUND(((EOMONTH('Construction Budget'!$M70,0)-EOMONTH(EQ$11,0))/30)+1,0),0)</f>
        <v>0</v>
      </c>
      <c r="ER213" s="427">
        <f>-IF(AND(ER$11&gt;=EOMONTH('Construction Budget'!$K70,0),ER$11&lt;=EOMONTH('Construction Budget'!$M70,0)),('Construction Budget'!$G70+SUM($G213:EQ213))/ROUND(((EOMONTH('Construction Budget'!$M70,0)-EOMONTH(ER$11,0))/30)+1,0),0)</f>
        <v>0</v>
      </c>
      <c r="ES213" s="427">
        <f>-IF(AND(ES$11&gt;=EOMONTH('Construction Budget'!$K70,0),ES$11&lt;=EOMONTH('Construction Budget'!$M70,0)),('Construction Budget'!$G70+SUM($G213:ER213))/ROUND(((EOMONTH('Construction Budget'!$M70,0)-EOMONTH(ES$11,0))/30)+1,0),0)</f>
        <v>0</v>
      </c>
      <c r="ET213" s="427">
        <f>-IF(AND(ET$11&gt;=EOMONTH('Construction Budget'!$K70,0),ET$11&lt;=EOMONTH('Construction Budget'!$M70,0)),('Construction Budget'!$G70+SUM($G213:ES213))/ROUND(((EOMONTH('Construction Budget'!$M70,0)-EOMONTH(ET$11,0))/30)+1,0),0)</f>
        <v>0</v>
      </c>
      <c r="EU213" s="427">
        <f>-IF(AND(EU$11&gt;=EOMONTH('Construction Budget'!$K70,0),EU$11&lt;=EOMONTH('Construction Budget'!$M70,0)),('Construction Budget'!$G70+SUM($G213:ET213))/ROUND(((EOMONTH('Construction Budget'!$M70,0)-EOMONTH(EU$11,0))/30)+1,0),0)</f>
        <v>0</v>
      </c>
      <c r="EV213" s="427">
        <f>-IF(AND(EV$11&gt;=EOMONTH('Construction Budget'!$K70,0),EV$11&lt;=EOMONTH('Construction Budget'!$M70,0)),('Construction Budget'!$G70+SUM($G213:EU213))/ROUND(((EOMONTH('Construction Budget'!$M70,0)-EOMONTH(EV$11,0))/30)+1,0),0)</f>
        <v>0</v>
      </c>
      <c r="EW213" s="427">
        <f>-IF(AND(EW$11&gt;=EOMONTH('Construction Budget'!$K70,0),EW$11&lt;=EOMONTH('Construction Budget'!$M70,0)),('Construction Budget'!$G70+SUM($G213:EV213))/ROUND(((EOMONTH('Construction Budget'!$M70,0)-EOMONTH(EW$11,0))/30)+1,0),0)</f>
        <v>0</v>
      </c>
      <c r="EX213" s="427">
        <f>-IF(AND(EX$11&gt;=EOMONTH('Construction Budget'!$K70,0),EX$11&lt;=EOMONTH('Construction Budget'!$M70,0)),('Construction Budget'!$G70+SUM($G213:EW213))/ROUND(((EOMONTH('Construction Budget'!$M70,0)-EOMONTH(EX$11,0))/30)+1,0),0)</f>
        <v>0</v>
      </c>
      <c r="EY213" s="427">
        <f>-IF(AND(EY$11&gt;=EOMONTH('Construction Budget'!$K70,0),EY$11&lt;=EOMONTH('Construction Budget'!$M70,0)),('Construction Budget'!$G70+SUM($G213:EX213))/ROUND(((EOMONTH('Construction Budget'!$M70,0)-EOMONTH(EY$11,0))/30)+1,0),0)</f>
        <v>0</v>
      </c>
      <c r="EZ213" s="427">
        <f>-IF(AND(EZ$11&gt;=EOMONTH('Construction Budget'!$K70,0),EZ$11&lt;=EOMONTH('Construction Budget'!$M70,0)),('Construction Budget'!$G70+SUM($G213:EY213))/ROUND(((EOMONTH('Construction Budget'!$M70,0)-EOMONTH(EZ$11,0))/30)+1,0),0)</f>
        <v>0</v>
      </c>
      <c r="FA213" s="427">
        <f>-IF(AND(FA$11&gt;=EOMONTH('Construction Budget'!$K70,0),FA$11&lt;=EOMONTH('Construction Budget'!$M70,0)),('Construction Budget'!$G70+SUM($G213:EZ213))/ROUND(((EOMONTH('Construction Budget'!$M70,0)-EOMONTH(FA$11,0))/30)+1,0),0)</f>
        <v>0</v>
      </c>
      <c r="FB213" s="427">
        <f>-IF(AND(FB$11&gt;=EOMONTH('Construction Budget'!$K70,0),FB$11&lt;=EOMONTH('Construction Budget'!$M70,0)),('Construction Budget'!$G70+SUM($G213:FA213))/ROUND(((EOMONTH('Construction Budget'!$M70,0)-EOMONTH(FB$11,0))/30)+1,0),0)</f>
        <v>0</v>
      </c>
      <c r="FC213" s="427">
        <f>-IF(AND(FC$11&gt;=EOMONTH('Construction Budget'!$K70,0),FC$11&lt;=EOMONTH('Construction Budget'!$M70,0)),('Construction Budget'!$G70+SUM($G213:FB213))/ROUND(((EOMONTH('Construction Budget'!$M70,0)-EOMONTH(FC$11,0))/30)+1,0),0)</f>
        <v>0</v>
      </c>
      <c r="FD213" s="427">
        <f>-IF(AND(FD$11&gt;=EOMONTH('Construction Budget'!$K70,0),FD$11&lt;=EOMONTH('Construction Budget'!$M70,0)),('Construction Budget'!$G70+SUM($G213:FC213))/ROUND(((EOMONTH('Construction Budget'!$M70,0)-EOMONTH(FD$11,0))/30)+1,0),0)</f>
        <v>0</v>
      </c>
      <c r="FE213" s="427">
        <f>-IF(AND(FE$11&gt;=EOMONTH('Construction Budget'!$K70,0),FE$11&lt;=EOMONTH('Construction Budget'!$M70,0)),('Construction Budget'!$G70+SUM($G213:FD213))/ROUND(((EOMONTH('Construction Budget'!$M70,0)-EOMONTH(FE$11,0))/30)+1,0),0)</f>
        <v>0</v>
      </c>
      <c r="FF213" s="427">
        <f>-IF(AND(FF$11&gt;=EOMONTH('Construction Budget'!$K70,0),FF$11&lt;=EOMONTH('Construction Budget'!$M70,0)),('Construction Budget'!$G70+SUM($G213:FE213))/ROUND(((EOMONTH('Construction Budget'!$M70,0)-EOMONTH(FF$11,0))/30)+1,0),0)</f>
        <v>0</v>
      </c>
      <c r="FG213" s="427">
        <f>-IF(AND(FG$11&gt;=EOMONTH('Construction Budget'!$K70,0),FG$11&lt;=EOMONTH('Construction Budget'!$M70,0)),('Construction Budget'!$G70+SUM($G213:FF213))/ROUND(((EOMONTH('Construction Budget'!$M70,0)-EOMONTH(FG$11,0))/30)+1,0),0)</f>
        <v>0</v>
      </c>
      <c r="FH213" s="427">
        <f>-IF(AND(FH$11&gt;=EOMONTH('Construction Budget'!$K70,0),FH$11&lt;=EOMONTH('Construction Budget'!$M70,0)),('Construction Budget'!$G70+SUM($G213:FG213))/ROUND(((EOMONTH('Construction Budget'!$M70,0)-EOMONTH(FH$11,0))/30)+1,0),0)</f>
        <v>0</v>
      </c>
      <c r="FI213" s="427">
        <f>-IF(AND(FI$11&gt;=EOMONTH('Construction Budget'!$K70,0),FI$11&lt;=EOMONTH('Construction Budget'!$M70,0)),('Construction Budget'!$G70+SUM($G213:FH213))/ROUND(((EOMONTH('Construction Budget'!$M70,0)-EOMONTH(FI$11,0))/30)+1,0),0)</f>
        <v>0</v>
      </c>
      <c r="FJ213" s="427">
        <f>-IF(AND(FJ$11&gt;=EOMONTH('Construction Budget'!$K70,0),FJ$11&lt;=EOMONTH('Construction Budget'!$M70,0)),('Construction Budget'!$G70+SUM($G213:FI213))/ROUND(((EOMONTH('Construction Budget'!$M70,0)-EOMONTH(FJ$11,0))/30)+1,0),0)</f>
        <v>0</v>
      </c>
      <c r="FK213" s="427">
        <f>-IF(AND(FK$11&gt;=EOMONTH('Construction Budget'!$K70,0),FK$11&lt;=EOMONTH('Construction Budget'!$M70,0)),('Construction Budget'!$G70+SUM($G213:FJ213))/ROUND(((EOMONTH('Construction Budget'!$M70,0)-EOMONTH(FK$11,0))/30)+1,0),0)</f>
        <v>0</v>
      </c>
      <c r="FL213" s="427">
        <f>-IF(AND(FL$11&gt;=EOMONTH('Construction Budget'!$K70,0),FL$11&lt;=EOMONTH('Construction Budget'!$M70,0)),('Construction Budget'!$G70+SUM($G213:FK213))/ROUND(((EOMONTH('Construction Budget'!$M70,0)-EOMONTH(FL$11,0))/30)+1,0),0)</f>
        <v>0</v>
      </c>
      <c r="FM213" s="427">
        <f>-IF(AND(FM$11&gt;=EOMONTH('Construction Budget'!$K70,0),FM$11&lt;=EOMONTH('Construction Budget'!$M70,0)),('Construction Budget'!$G70+SUM($G213:FL213))/ROUND(((EOMONTH('Construction Budget'!$M70,0)-EOMONTH(FM$11,0))/30)+1,0),0)</f>
        <v>0</v>
      </c>
      <c r="FN213" s="427">
        <f>-IF(AND(FN$11&gt;=EOMONTH('Construction Budget'!$K70,0),FN$11&lt;=EOMONTH('Construction Budget'!$M70,0)),('Construction Budget'!$G70+SUM($G213:FM213))/ROUND(((EOMONTH('Construction Budget'!$M70,0)-EOMONTH(FN$11,0))/30)+1,0),0)</f>
        <v>0</v>
      </c>
      <c r="FO213" s="427">
        <f>-IF(AND(FO$11&gt;=EOMONTH('Construction Budget'!$K70,0),FO$11&lt;=EOMONTH('Construction Budget'!$M70,0)),('Construction Budget'!$G70+SUM($G213:FN213))/ROUND(((EOMONTH('Construction Budget'!$M70,0)-EOMONTH(FO$11,0))/30)+1,0),0)</f>
        <v>0</v>
      </c>
      <c r="FP213" s="427">
        <f>-IF(AND(FP$11&gt;=EOMONTH('Construction Budget'!$K70,0),FP$11&lt;=EOMONTH('Construction Budget'!$M70,0)),('Construction Budget'!$G70+SUM($G213:FO213))/ROUND(((EOMONTH('Construction Budget'!$M70,0)-EOMONTH(FP$11,0))/30)+1,0),0)</f>
        <v>0</v>
      </c>
      <c r="FQ213" s="427">
        <f>-IF(AND(FQ$11&gt;=EOMONTH('Construction Budget'!$K70,0),FQ$11&lt;=EOMONTH('Construction Budget'!$M70,0)),('Construction Budget'!$G70+SUM($G213:FP213))/ROUND(((EOMONTH('Construction Budget'!$M70,0)-EOMONTH(FQ$11,0))/30)+1,0),0)</f>
        <v>0</v>
      </c>
      <c r="FR213" s="427">
        <f>-IF(AND(FR$11&gt;=EOMONTH('Construction Budget'!$K70,0),FR$11&lt;=EOMONTH('Construction Budget'!$M70,0)),('Construction Budget'!$G70+SUM($G213:FQ213))/ROUND(((EOMONTH('Construction Budget'!$M70,0)-EOMONTH(FR$11,0))/30)+1,0),0)</f>
        <v>0</v>
      </c>
      <c r="FS213" s="427">
        <f>-IF(AND(FS$11&gt;=EOMONTH('Construction Budget'!$K70,0),FS$11&lt;=EOMONTH('Construction Budget'!$M70,0)),('Construction Budget'!$G70+SUM($G213:FR213))/ROUND(((EOMONTH('Construction Budget'!$M70,0)-EOMONTH(FS$11,0))/30)+1,0),0)</f>
        <v>0</v>
      </c>
      <c r="FT213" s="427">
        <f>-IF(AND(FT$11&gt;=EOMONTH('Construction Budget'!$K70,0),FT$11&lt;=EOMONTH('Construction Budget'!$M70,0)),('Construction Budget'!$G70+SUM($G213:FS213))/ROUND(((EOMONTH('Construction Budget'!$M70,0)-EOMONTH(FT$11,0))/30)+1,0),0)</f>
        <v>0</v>
      </c>
      <c r="FU213" s="43"/>
      <c r="FV213" s="34"/>
      <c r="FW213" s="34"/>
      <c r="FX213" s="34"/>
      <c r="FY213" s="34"/>
      <c r="FZ213" s="34"/>
    </row>
    <row r="214" spans="1:182" s="89" customFormat="1" ht="13.5" hidden="1" outlineLevel="1" x14ac:dyDescent="0.25">
      <c r="A214" s="498"/>
      <c r="B214" s="50" t="s">
        <v>360</v>
      </c>
      <c r="C214" s="34"/>
      <c r="D214" s="34"/>
      <c r="E214" s="34"/>
      <c r="F214" s="429">
        <f>SUM(H214:FT214)</f>
        <v>-300000</v>
      </c>
      <c r="G214" s="34"/>
      <c r="H214" s="431">
        <f>SUM(H200:H213)</f>
        <v>0</v>
      </c>
      <c r="I214" s="431">
        <f t="shared" ref="I214:BT214" si="237">SUM(I200:I213)</f>
        <v>0</v>
      </c>
      <c r="J214" s="431">
        <f t="shared" si="237"/>
        <v>0</v>
      </c>
      <c r="K214" s="431">
        <f t="shared" si="237"/>
        <v>0</v>
      </c>
      <c r="L214" s="431">
        <f t="shared" si="237"/>
        <v>0</v>
      </c>
      <c r="M214" s="431">
        <f t="shared" si="237"/>
        <v>0</v>
      </c>
      <c r="N214" s="431">
        <f t="shared" si="237"/>
        <v>0</v>
      </c>
      <c r="O214" s="431">
        <f t="shared" si="237"/>
        <v>0</v>
      </c>
      <c r="P214" s="431">
        <f t="shared" si="237"/>
        <v>0</v>
      </c>
      <c r="Q214" s="431">
        <f t="shared" si="237"/>
        <v>0</v>
      </c>
      <c r="R214" s="431">
        <f t="shared" si="237"/>
        <v>0</v>
      </c>
      <c r="S214" s="431">
        <f t="shared" si="237"/>
        <v>-25000</v>
      </c>
      <c r="T214" s="431">
        <f t="shared" si="237"/>
        <v>-25000</v>
      </c>
      <c r="U214" s="431">
        <f t="shared" si="237"/>
        <v>-25000</v>
      </c>
      <c r="V214" s="431">
        <f t="shared" si="237"/>
        <v>-25000</v>
      </c>
      <c r="W214" s="431">
        <f t="shared" si="237"/>
        <v>-25000</v>
      </c>
      <c r="X214" s="431">
        <f t="shared" si="237"/>
        <v>-25000</v>
      </c>
      <c r="Y214" s="431">
        <f t="shared" si="237"/>
        <v>-25000</v>
      </c>
      <c r="Z214" s="431">
        <f t="shared" si="237"/>
        <v>-25000</v>
      </c>
      <c r="AA214" s="431">
        <f t="shared" si="237"/>
        <v>-25000</v>
      </c>
      <c r="AB214" s="431">
        <f t="shared" si="237"/>
        <v>-25000</v>
      </c>
      <c r="AC214" s="431">
        <f t="shared" si="237"/>
        <v>-25000</v>
      </c>
      <c r="AD214" s="431">
        <f t="shared" si="237"/>
        <v>-25000</v>
      </c>
      <c r="AE214" s="431">
        <f t="shared" si="237"/>
        <v>0</v>
      </c>
      <c r="AF214" s="431">
        <f t="shared" si="237"/>
        <v>0</v>
      </c>
      <c r="AG214" s="431">
        <f t="shared" si="237"/>
        <v>0</v>
      </c>
      <c r="AH214" s="431">
        <f t="shared" si="237"/>
        <v>0</v>
      </c>
      <c r="AI214" s="431">
        <f t="shared" si="237"/>
        <v>0</v>
      </c>
      <c r="AJ214" s="431">
        <f t="shared" si="237"/>
        <v>0</v>
      </c>
      <c r="AK214" s="431">
        <f t="shared" si="237"/>
        <v>0</v>
      </c>
      <c r="AL214" s="431">
        <f t="shared" si="237"/>
        <v>0</v>
      </c>
      <c r="AM214" s="431">
        <f t="shared" si="237"/>
        <v>0</v>
      </c>
      <c r="AN214" s="431">
        <f t="shared" si="237"/>
        <v>0</v>
      </c>
      <c r="AO214" s="431">
        <f t="shared" si="237"/>
        <v>0</v>
      </c>
      <c r="AP214" s="431">
        <f t="shared" si="237"/>
        <v>0</v>
      </c>
      <c r="AQ214" s="431">
        <f t="shared" si="237"/>
        <v>0</v>
      </c>
      <c r="AR214" s="431">
        <f t="shared" si="237"/>
        <v>0</v>
      </c>
      <c r="AS214" s="431">
        <f t="shared" si="237"/>
        <v>0</v>
      </c>
      <c r="AT214" s="431">
        <f t="shared" si="237"/>
        <v>0</v>
      </c>
      <c r="AU214" s="431">
        <f t="shared" si="237"/>
        <v>0</v>
      </c>
      <c r="AV214" s="431">
        <f t="shared" si="237"/>
        <v>0</v>
      </c>
      <c r="AW214" s="431">
        <f t="shared" si="237"/>
        <v>0</v>
      </c>
      <c r="AX214" s="431">
        <f t="shared" si="237"/>
        <v>0</v>
      </c>
      <c r="AY214" s="431">
        <f t="shared" si="237"/>
        <v>0</v>
      </c>
      <c r="AZ214" s="431">
        <f t="shared" si="237"/>
        <v>0</v>
      </c>
      <c r="BA214" s="431">
        <f t="shared" si="237"/>
        <v>0</v>
      </c>
      <c r="BB214" s="431">
        <f t="shared" si="237"/>
        <v>0</v>
      </c>
      <c r="BC214" s="431">
        <f t="shared" si="237"/>
        <v>0</v>
      </c>
      <c r="BD214" s="431">
        <f t="shared" si="237"/>
        <v>0</v>
      </c>
      <c r="BE214" s="431">
        <f t="shared" si="237"/>
        <v>0</v>
      </c>
      <c r="BF214" s="431">
        <f t="shared" si="237"/>
        <v>0</v>
      </c>
      <c r="BG214" s="431">
        <f t="shared" si="237"/>
        <v>0</v>
      </c>
      <c r="BH214" s="431">
        <f t="shared" si="237"/>
        <v>0</v>
      </c>
      <c r="BI214" s="431">
        <f t="shared" si="237"/>
        <v>0</v>
      </c>
      <c r="BJ214" s="431">
        <f t="shared" si="237"/>
        <v>0</v>
      </c>
      <c r="BK214" s="431">
        <f t="shared" si="237"/>
        <v>0</v>
      </c>
      <c r="BL214" s="431">
        <f t="shared" si="237"/>
        <v>0</v>
      </c>
      <c r="BM214" s="431">
        <f t="shared" si="237"/>
        <v>0</v>
      </c>
      <c r="BN214" s="431">
        <f t="shared" si="237"/>
        <v>0</v>
      </c>
      <c r="BO214" s="431">
        <f t="shared" si="237"/>
        <v>0</v>
      </c>
      <c r="BP214" s="431">
        <f t="shared" si="237"/>
        <v>0</v>
      </c>
      <c r="BQ214" s="431">
        <f t="shared" si="237"/>
        <v>0</v>
      </c>
      <c r="BR214" s="431">
        <f t="shared" si="237"/>
        <v>0</v>
      </c>
      <c r="BS214" s="431">
        <f t="shared" si="237"/>
        <v>0</v>
      </c>
      <c r="BT214" s="431">
        <f t="shared" si="237"/>
        <v>0</v>
      </c>
      <c r="BU214" s="431">
        <f t="shared" ref="BU214:EF214" si="238">SUM(BU200:BU213)</f>
        <v>0</v>
      </c>
      <c r="BV214" s="431">
        <f t="shared" si="238"/>
        <v>0</v>
      </c>
      <c r="BW214" s="431">
        <f t="shared" si="238"/>
        <v>0</v>
      </c>
      <c r="BX214" s="431">
        <f t="shared" si="238"/>
        <v>0</v>
      </c>
      <c r="BY214" s="431">
        <f t="shared" si="238"/>
        <v>0</v>
      </c>
      <c r="BZ214" s="431">
        <f t="shared" si="238"/>
        <v>0</v>
      </c>
      <c r="CA214" s="431">
        <f t="shared" si="238"/>
        <v>0</v>
      </c>
      <c r="CB214" s="431">
        <f t="shared" si="238"/>
        <v>0</v>
      </c>
      <c r="CC214" s="431">
        <f t="shared" si="238"/>
        <v>0</v>
      </c>
      <c r="CD214" s="431">
        <f t="shared" si="238"/>
        <v>0</v>
      </c>
      <c r="CE214" s="431">
        <f t="shared" si="238"/>
        <v>0</v>
      </c>
      <c r="CF214" s="431">
        <f t="shared" si="238"/>
        <v>0</v>
      </c>
      <c r="CG214" s="431">
        <f t="shared" si="238"/>
        <v>0</v>
      </c>
      <c r="CH214" s="431">
        <f t="shared" si="238"/>
        <v>0</v>
      </c>
      <c r="CI214" s="431">
        <f t="shared" si="238"/>
        <v>0</v>
      </c>
      <c r="CJ214" s="431">
        <f t="shared" si="238"/>
        <v>0</v>
      </c>
      <c r="CK214" s="431">
        <f t="shared" si="238"/>
        <v>0</v>
      </c>
      <c r="CL214" s="431">
        <f t="shared" si="238"/>
        <v>0</v>
      </c>
      <c r="CM214" s="431">
        <f t="shared" si="238"/>
        <v>0</v>
      </c>
      <c r="CN214" s="431">
        <f t="shared" si="238"/>
        <v>0</v>
      </c>
      <c r="CO214" s="431">
        <f t="shared" si="238"/>
        <v>0</v>
      </c>
      <c r="CP214" s="431">
        <f t="shared" si="238"/>
        <v>0</v>
      </c>
      <c r="CQ214" s="431">
        <f t="shared" si="238"/>
        <v>0</v>
      </c>
      <c r="CR214" s="431">
        <f t="shared" si="238"/>
        <v>0</v>
      </c>
      <c r="CS214" s="431">
        <f t="shared" si="238"/>
        <v>0</v>
      </c>
      <c r="CT214" s="431">
        <f t="shared" si="238"/>
        <v>0</v>
      </c>
      <c r="CU214" s="431">
        <f t="shared" si="238"/>
        <v>0</v>
      </c>
      <c r="CV214" s="431">
        <f t="shared" si="238"/>
        <v>0</v>
      </c>
      <c r="CW214" s="431">
        <f t="shared" si="238"/>
        <v>0</v>
      </c>
      <c r="CX214" s="431">
        <f t="shared" si="238"/>
        <v>0</v>
      </c>
      <c r="CY214" s="431">
        <f t="shared" si="238"/>
        <v>0</v>
      </c>
      <c r="CZ214" s="431">
        <f t="shared" si="238"/>
        <v>0</v>
      </c>
      <c r="DA214" s="431">
        <f t="shared" si="238"/>
        <v>0</v>
      </c>
      <c r="DB214" s="431">
        <f t="shared" si="238"/>
        <v>0</v>
      </c>
      <c r="DC214" s="431">
        <f t="shared" si="238"/>
        <v>0</v>
      </c>
      <c r="DD214" s="431">
        <f t="shared" si="238"/>
        <v>0</v>
      </c>
      <c r="DE214" s="431">
        <f t="shared" si="238"/>
        <v>0</v>
      </c>
      <c r="DF214" s="431">
        <f t="shared" si="238"/>
        <v>0</v>
      </c>
      <c r="DG214" s="431">
        <f t="shared" si="238"/>
        <v>0</v>
      </c>
      <c r="DH214" s="431">
        <f t="shared" si="238"/>
        <v>0</v>
      </c>
      <c r="DI214" s="431">
        <f t="shared" si="238"/>
        <v>0</v>
      </c>
      <c r="DJ214" s="431">
        <f t="shared" si="238"/>
        <v>0</v>
      </c>
      <c r="DK214" s="431">
        <f t="shared" si="238"/>
        <v>0</v>
      </c>
      <c r="DL214" s="431">
        <f t="shared" si="238"/>
        <v>0</v>
      </c>
      <c r="DM214" s="431">
        <f t="shared" si="238"/>
        <v>0</v>
      </c>
      <c r="DN214" s="431">
        <f t="shared" si="238"/>
        <v>0</v>
      </c>
      <c r="DO214" s="431">
        <f t="shared" si="238"/>
        <v>0</v>
      </c>
      <c r="DP214" s="431">
        <f t="shared" si="238"/>
        <v>0</v>
      </c>
      <c r="DQ214" s="431">
        <f t="shared" si="238"/>
        <v>0</v>
      </c>
      <c r="DR214" s="431">
        <f t="shared" si="238"/>
        <v>0</v>
      </c>
      <c r="DS214" s="431">
        <f t="shared" si="238"/>
        <v>0</v>
      </c>
      <c r="DT214" s="431">
        <f t="shared" si="238"/>
        <v>0</v>
      </c>
      <c r="DU214" s="431">
        <f t="shared" si="238"/>
        <v>0</v>
      </c>
      <c r="DV214" s="431">
        <f t="shared" si="238"/>
        <v>0</v>
      </c>
      <c r="DW214" s="431">
        <f t="shared" si="238"/>
        <v>0</v>
      </c>
      <c r="DX214" s="431">
        <f t="shared" si="238"/>
        <v>0</v>
      </c>
      <c r="DY214" s="431">
        <f t="shared" si="238"/>
        <v>0</v>
      </c>
      <c r="DZ214" s="431">
        <f t="shared" si="238"/>
        <v>0</v>
      </c>
      <c r="EA214" s="431">
        <f t="shared" si="238"/>
        <v>0</v>
      </c>
      <c r="EB214" s="431">
        <f t="shared" si="238"/>
        <v>0</v>
      </c>
      <c r="EC214" s="431">
        <f t="shared" si="238"/>
        <v>0</v>
      </c>
      <c r="ED214" s="431">
        <f t="shared" si="238"/>
        <v>0</v>
      </c>
      <c r="EE214" s="431">
        <f t="shared" si="238"/>
        <v>0</v>
      </c>
      <c r="EF214" s="431">
        <f t="shared" si="238"/>
        <v>0</v>
      </c>
      <c r="EG214" s="431">
        <f t="shared" ref="EG214:FT214" si="239">SUM(EG200:EG213)</f>
        <v>0</v>
      </c>
      <c r="EH214" s="431">
        <f t="shared" si="239"/>
        <v>0</v>
      </c>
      <c r="EI214" s="431">
        <f t="shared" si="239"/>
        <v>0</v>
      </c>
      <c r="EJ214" s="431">
        <f t="shared" si="239"/>
        <v>0</v>
      </c>
      <c r="EK214" s="431">
        <f t="shared" si="239"/>
        <v>0</v>
      </c>
      <c r="EL214" s="431">
        <f t="shared" si="239"/>
        <v>0</v>
      </c>
      <c r="EM214" s="431">
        <f t="shared" si="239"/>
        <v>0</v>
      </c>
      <c r="EN214" s="431">
        <f t="shared" si="239"/>
        <v>0</v>
      </c>
      <c r="EO214" s="431">
        <f t="shared" si="239"/>
        <v>0</v>
      </c>
      <c r="EP214" s="431">
        <f t="shared" si="239"/>
        <v>0</v>
      </c>
      <c r="EQ214" s="431">
        <f t="shared" si="239"/>
        <v>0</v>
      </c>
      <c r="ER214" s="431">
        <f t="shared" si="239"/>
        <v>0</v>
      </c>
      <c r="ES214" s="431">
        <f t="shared" si="239"/>
        <v>0</v>
      </c>
      <c r="ET214" s="431">
        <f t="shared" si="239"/>
        <v>0</v>
      </c>
      <c r="EU214" s="431">
        <f t="shared" si="239"/>
        <v>0</v>
      </c>
      <c r="EV214" s="431">
        <f t="shared" si="239"/>
        <v>0</v>
      </c>
      <c r="EW214" s="431">
        <f t="shared" si="239"/>
        <v>0</v>
      </c>
      <c r="EX214" s="431">
        <f t="shared" si="239"/>
        <v>0</v>
      </c>
      <c r="EY214" s="431">
        <f t="shared" si="239"/>
        <v>0</v>
      </c>
      <c r="EZ214" s="431">
        <f t="shared" si="239"/>
        <v>0</v>
      </c>
      <c r="FA214" s="431">
        <f t="shared" si="239"/>
        <v>0</v>
      </c>
      <c r="FB214" s="431">
        <f t="shared" si="239"/>
        <v>0</v>
      </c>
      <c r="FC214" s="431">
        <f t="shared" si="239"/>
        <v>0</v>
      </c>
      <c r="FD214" s="431">
        <f t="shared" si="239"/>
        <v>0</v>
      </c>
      <c r="FE214" s="431">
        <f t="shared" si="239"/>
        <v>0</v>
      </c>
      <c r="FF214" s="431">
        <f t="shared" si="239"/>
        <v>0</v>
      </c>
      <c r="FG214" s="431">
        <f t="shared" si="239"/>
        <v>0</v>
      </c>
      <c r="FH214" s="431">
        <f t="shared" si="239"/>
        <v>0</v>
      </c>
      <c r="FI214" s="431">
        <f t="shared" si="239"/>
        <v>0</v>
      </c>
      <c r="FJ214" s="431">
        <f t="shared" si="239"/>
        <v>0</v>
      </c>
      <c r="FK214" s="431">
        <f t="shared" si="239"/>
        <v>0</v>
      </c>
      <c r="FL214" s="431">
        <f t="shared" si="239"/>
        <v>0</v>
      </c>
      <c r="FM214" s="431">
        <f t="shared" si="239"/>
        <v>0</v>
      </c>
      <c r="FN214" s="431">
        <f t="shared" si="239"/>
        <v>0</v>
      </c>
      <c r="FO214" s="431">
        <f t="shared" si="239"/>
        <v>0</v>
      </c>
      <c r="FP214" s="431">
        <f t="shared" si="239"/>
        <v>0</v>
      </c>
      <c r="FQ214" s="431">
        <f t="shared" si="239"/>
        <v>0</v>
      </c>
      <c r="FR214" s="431">
        <f t="shared" si="239"/>
        <v>0</v>
      </c>
      <c r="FS214" s="431">
        <f t="shared" si="239"/>
        <v>0</v>
      </c>
      <c r="FT214" s="431">
        <f t="shared" si="239"/>
        <v>0</v>
      </c>
      <c r="FU214" s="43"/>
      <c r="FV214" s="34"/>
      <c r="FW214" s="34"/>
      <c r="FX214" s="34"/>
      <c r="FY214" s="34"/>
      <c r="FZ214" s="34"/>
    </row>
    <row r="215" spans="1:182" s="89" customFormat="1" ht="13.5" hidden="1" outlineLevel="1" x14ac:dyDescent="0.25">
      <c r="A215" s="498"/>
      <c r="B215" s="43"/>
      <c r="C215" s="34"/>
      <c r="D215" s="34"/>
      <c r="E215" s="34"/>
      <c r="F215" s="5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  <c r="FH215" s="34"/>
      <c r="FI215" s="34"/>
      <c r="FJ215" s="34"/>
      <c r="FK215" s="34"/>
      <c r="FL215" s="34"/>
      <c r="FM215" s="34"/>
      <c r="FN215" s="34"/>
      <c r="FO215" s="34"/>
      <c r="FP215" s="34"/>
      <c r="FQ215" s="34"/>
      <c r="FR215" s="34"/>
      <c r="FS215" s="34"/>
      <c r="FT215" s="34"/>
      <c r="FU215" s="43"/>
      <c r="FV215" s="34"/>
      <c r="FW215" s="34"/>
      <c r="FX215" s="34"/>
      <c r="FY215" s="34"/>
      <c r="FZ215" s="34"/>
    </row>
    <row r="216" spans="1:182" s="89" customFormat="1" ht="13.5" hidden="1" outlineLevel="1" x14ac:dyDescent="0.25">
      <c r="A216" s="498"/>
      <c r="B216" s="73" t="s">
        <v>250</v>
      </c>
      <c r="C216" s="34"/>
      <c r="D216" s="34"/>
      <c r="E216" s="34"/>
      <c r="F216" s="5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  <c r="FJ216" s="34"/>
      <c r="FK216" s="34"/>
      <c r="FL216" s="34"/>
      <c r="FM216" s="34"/>
      <c r="FN216" s="34"/>
      <c r="FO216" s="34"/>
      <c r="FP216" s="34"/>
      <c r="FQ216" s="34"/>
      <c r="FR216" s="34"/>
      <c r="FS216" s="34"/>
      <c r="FT216" s="34"/>
      <c r="FU216" s="43"/>
      <c r="FV216" s="34"/>
      <c r="FW216" s="34"/>
      <c r="FX216" s="34"/>
      <c r="FY216" s="34"/>
      <c r="FZ216" s="34"/>
    </row>
    <row r="217" spans="1:182" s="89" customFormat="1" ht="13.5" hidden="1" outlineLevel="1" x14ac:dyDescent="0.25">
      <c r="A217" s="498"/>
      <c r="B217" s="128" t="str">
        <f>'Construction Budget'!B14</f>
        <v>Preliminary Construction Costs</v>
      </c>
      <c r="C217" s="34"/>
      <c r="D217" s="34"/>
      <c r="E217" s="34"/>
      <c r="F217" s="434">
        <f>SUM(H217:FT217)</f>
        <v>-37390323</v>
      </c>
      <c r="G217" s="34"/>
      <c r="H217" s="427">
        <f>-IF(AND(H$11&gt;=EOMONTH('Construction Budget'!$K14,0),H$11&lt;=EOMONTH('Construction Budget'!$M14,0)),('Construction Budget'!$G14+SUM($G217:G217))/ROUND(((EOMONTH('Construction Budget'!$M14,0)-EOMONTH(H$11,0))/30)+1,0),0)</f>
        <v>0</v>
      </c>
      <c r="I217" s="427">
        <f>-IF(AND(I$11&gt;=EOMONTH('Construction Budget'!$K14,0),I$11&lt;=EOMONTH('Construction Budget'!$M14,0)),('Construction Budget'!$G14+SUM($G217:H217))/ROUND(((EOMONTH('Construction Budget'!$M14,0)-EOMONTH(I$11,0))/30)+1,0),0)</f>
        <v>0</v>
      </c>
      <c r="J217" s="427">
        <f>-IF(AND(J$11&gt;=EOMONTH('Construction Budget'!$K14,0),J$11&lt;=EOMONTH('Construction Budget'!$M14,0)),('Construction Budget'!$G14+SUM($G217:I217))/ROUND(((EOMONTH('Construction Budget'!$M14,0)-EOMONTH(J$11,0))/30)+1,0),0)</f>
        <v>-1557930.125</v>
      </c>
      <c r="K217" s="427">
        <f>-IF(AND(K$11&gt;=EOMONTH('Construction Budget'!$K14,0),K$11&lt;=EOMONTH('Construction Budget'!$M14,0)),('Construction Budget'!$G14+SUM($G217:J217))/ROUND(((EOMONTH('Construction Budget'!$M14,0)-EOMONTH(K$11,0))/30)+1,0),0)</f>
        <v>-1557930.125</v>
      </c>
      <c r="L217" s="427">
        <f>-IF(AND(L$11&gt;=EOMONTH('Construction Budget'!$K14,0),L$11&lt;=EOMONTH('Construction Budget'!$M14,0)),('Construction Budget'!$G14+SUM($G217:K217))/ROUND(((EOMONTH('Construction Budget'!$M14,0)-EOMONTH(L$11,0))/30)+1,0),0)</f>
        <v>-1557930.125</v>
      </c>
      <c r="M217" s="427">
        <f>-IF(AND(M$11&gt;=EOMONTH('Construction Budget'!$K14,0),M$11&lt;=EOMONTH('Construction Budget'!$M14,0)),('Construction Budget'!$G14+SUM($G217:L217))/ROUND(((EOMONTH('Construction Budget'!$M14,0)-EOMONTH(M$11,0))/30)+1,0),0)</f>
        <v>-1557930.125</v>
      </c>
      <c r="N217" s="427">
        <f>-IF(AND(N$11&gt;=EOMONTH('Construction Budget'!$K14,0),N$11&lt;=EOMONTH('Construction Budget'!$M14,0)),('Construction Budget'!$G14+SUM($G217:M217))/ROUND(((EOMONTH('Construction Budget'!$M14,0)-EOMONTH(N$11,0))/30)+1,0),0)</f>
        <v>-1557930.125</v>
      </c>
      <c r="O217" s="427">
        <f>-IF(AND(O$11&gt;=EOMONTH('Construction Budget'!$K14,0),O$11&lt;=EOMONTH('Construction Budget'!$M14,0)),('Construction Budget'!$G14+SUM($G217:N217))/ROUND(((EOMONTH('Construction Budget'!$M14,0)-EOMONTH(O$11,0))/30)+1,0),0)</f>
        <v>-1557930.125</v>
      </c>
      <c r="P217" s="427">
        <f>-IF(AND(P$11&gt;=EOMONTH('Construction Budget'!$K14,0),P$11&lt;=EOMONTH('Construction Budget'!$M14,0)),('Construction Budget'!$G14+SUM($G217:O217))/ROUND(((EOMONTH('Construction Budget'!$M14,0)-EOMONTH(P$11,0))/30)+1,0),0)</f>
        <v>-1557930.125</v>
      </c>
      <c r="Q217" s="427">
        <f>-IF(AND(Q$11&gt;=EOMONTH('Construction Budget'!$K14,0),Q$11&lt;=EOMONTH('Construction Budget'!$M14,0)),('Construction Budget'!$G14+SUM($G217:P217))/ROUND(((EOMONTH('Construction Budget'!$M14,0)-EOMONTH(Q$11,0))/30)+1,0),0)</f>
        <v>-1557930.125</v>
      </c>
      <c r="R217" s="427">
        <f>-IF(AND(R$11&gt;=EOMONTH('Construction Budget'!$K14,0),R$11&lt;=EOMONTH('Construction Budget'!$M14,0)),('Construction Budget'!$G14+SUM($G217:Q217))/ROUND(((EOMONTH('Construction Budget'!$M14,0)-EOMONTH(R$11,0))/30)+1,0),0)</f>
        <v>-1557930.125</v>
      </c>
      <c r="S217" s="427">
        <f>-IF(AND(S$11&gt;=EOMONTH('Construction Budget'!$K14,0),S$11&lt;=EOMONTH('Construction Budget'!$M14,0)),('Construction Budget'!$G14+SUM($G217:R217))/ROUND(((EOMONTH('Construction Budget'!$M14,0)-EOMONTH(S$11,0))/30)+1,0),0)</f>
        <v>-1557930.125</v>
      </c>
      <c r="T217" s="427">
        <f>-IF(AND(T$11&gt;=EOMONTH('Construction Budget'!$K14,0),T$11&lt;=EOMONTH('Construction Budget'!$M14,0)),('Construction Budget'!$G14+SUM($G217:S217))/ROUND(((EOMONTH('Construction Budget'!$M14,0)-EOMONTH(T$11,0))/30)+1,0),0)</f>
        <v>-1557930.125</v>
      </c>
      <c r="U217" s="427">
        <f>-IF(AND(U$11&gt;=EOMONTH('Construction Budget'!$K14,0),U$11&lt;=EOMONTH('Construction Budget'!$M14,0)),('Construction Budget'!$G14+SUM($G217:T217))/ROUND(((EOMONTH('Construction Budget'!$M14,0)-EOMONTH(U$11,0))/30)+1,0),0)</f>
        <v>-1557930.125</v>
      </c>
      <c r="V217" s="427">
        <f>-IF(AND(V$11&gt;=EOMONTH('Construction Budget'!$K14,0),V$11&lt;=EOMONTH('Construction Budget'!$M14,0)),('Construction Budget'!$G14+SUM($G217:U217))/ROUND(((EOMONTH('Construction Budget'!$M14,0)-EOMONTH(V$11,0))/30)+1,0),0)</f>
        <v>-1557930.125</v>
      </c>
      <c r="W217" s="427">
        <f>-IF(AND(W$11&gt;=EOMONTH('Construction Budget'!$K14,0),W$11&lt;=EOMONTH('Construction Budget'!$M14,0)),('Construction Budget'!$G14+SUM($G217:V217))/ROUND(((EOMONTH('Construction Budget'!$M14,0)-EOMONTH(W$11,0))/30)+1,0),0)</f>
        <v>-1557930.125</v>
      </c>
      <c r="X217" s="427">
        <f>-IF(AND(X$11&gt;=EOMONTH('Construction Budget'!$K14,0),X$11&lt;=EOMONTH('Construction Budget'!$M14,0)),('Construction Budget'!$G14+SUM($G217:W217))/ROUND(((EOMONTH('Construction Budget'!$M14,0)-EOMONTH(X$11,0))/30)+1,0),0)</f>
        <v>-1557930.125</v>
      </c>
      <c r="Y217" s="427">
        <f>-IF(AND(Y$11&gt;=EOMONTH('Construction Budget'!$K14,0),Y$11&lt;=EOMONTH('Construction Budget'!$M14,0)),('Construction Budget'!$G14+SUM($G217:X217))/ROUND(((EOMONTH('Construction Budget'!$M14,0)-EOMONTH(Y$11,0))/30)+1,0),0)</f>
        <v>-1557930.125</v>
      </c>
      <c r="Z217" s="427">
        <f>-IF(AND(Z$11&gt;=EOMONTH('Construction Budget'!$K14,0),Z$11&lt;=EOMONTH('Construction Budget'!$M14,0)),('Construction Budget'!$G14+SUM($G217:Y217))/ROUND(((EOMONTH('Construction Budget'!$M14,0)-EOMONTH(Z$11,0))/30)+1,0),0)</f>
        <v>-1557930.125</v>
      </c>
      <c r="AA217" s="427">
        <f>-IF(AND(AA$11&gt;=EOMONTH('Construction Budget'!$K14,0),AA$11&lt;=EOMONTH('Construction Budget'!$M14,0)),('Construction Budget'!$G14+SUM($G217:Z217))/ROUND(((EOMONTH('Construction Budget'!$M14,0)-EOMONTH(AA$11,0))/30)+1,0),0)</f>
        <v>-1557930.125</v>
      </c>
      <c r="AB217" s="427">
        <f>-IF(AND(AB$11&gt;=EOMONTH('Construction Budget'!$K14,0),AB$11&lt;=EOMONTH('Construction Budget'!$M14,0)),('Construction Budget'!$G14+SUM($G217:AA217))/ROUND(((EOMONTH('Construction Budget'!$M14,0)-EOMONTH(AB$11,0))/30)+1,0),0)</f>
        <v>-1557930.125</v>
      </c>
      <c r="AC217" s="427">
        <f>-IF(AND(AC$11&gt;=EOMONTH('Construction Budget'!$K14,0),AC$11&lt;=EOMONTH('Construction Budget'!$M14,0)),('Construction Budget'!$G14+SUM($G217:AB217))/ROUND(((EOMONTH('Construction Budget'!$M14,0)-EOMONTH(AC$11,0))/30)+1,0),0)</f>
        <v>-1557930.125</v>
      </c>
      <c r="AD217" s="427">
        <f>-IF(AND(AD$11&gt;=EOMONTH('Construction Budget'!$K14,0),AD$11&lt;=EOMONTH('Construction Budget'!$M14,0)),('Construction Budget'!$G14+SUM($G217:AC217))/ROUND(((EOMONTH('Construction Budget'!$M14,0)-EOMONTH(AD$11,0))/30)+1,0),0)</f>
        <v>-1557930.125</v>
      </c>
      <c r="AE217" s="427">
        <f>-IF(AND(AE$11&gt;=EOMONTH('Construction Budget'!$K14,0),AE$11&lt;=EOMONTH('Construction Budget'!$M14,0)),('Construction Budget'!$G14+SUM($G217:AD217))/ROUND(((EOMONTH('Construction Budget'!$M14,0)-EOMONTH(AE$11,0))/30)+1,0),0)</f>
        <v>-1557930.125</v>
      </c>
      <c r="AF217" s="427">
        <f>-IF(AND(AF$11&gt;=EOMONTH('Construction Budget'!$K14,0),AF$11&lt;=EOMONTH('Construction Budget'!$M14,0)),('Construction Budget'!$G14+SUM($G217:AE217))/ROUND(((EOMONTH('Construction Budget'!$M14,0)-EOMONTH(AF$11,0))/30)+1,0),0)</f>
        <v>-1557930.125</v>
      </c>
      <c r="AG217" s="427">
        <f>-IF(AND(AG$11&gt;=EOMONTH('Construction Budget'!$K14,0),AG$11&lt;=EOMONTH('Construction Budget'!$M14,0)),('Construction Budget'!$G14+SUM($G217:AF217))/ROUND(((EOMONTH('Construction Budget'!$M14,0)-EOMONTH(AG$11,0))/30)+1,0),0)</f>
        <v>-1557930.125</v>
      </c>
      <c r="AH217" s="427">
        <f>-IF(AND(AH$11&gt;=EOMONTH('Construction Budget'!$K14,0),AH$11&lt;=EOMONTH('Construction Budget'!$M14,0)),('Construction Budget'!$G14+SUM($G217:AG217))/ROUND(((EOMONTH('Construction Budget'!$M14,0)-EOMONTH(AH$11,0))/30)+1,0),0)</f>
        <v>0</v>
      </c>
      <c r="AI217" s="427">
        <f>-IF(AND(AI$11&gt;=EOMONTH('Construction Budget'!$K14,0),AI$11&lt;=EOMONTH('Construction Budget'!$M14,0)),('Construction Budget'!$G14+SUM($G217:AH217))/ROUND(((EOMONTH('Construction Budget'!$M14,0)-EOMONTH(AI$11,0))/30)+1,0),0)</f>
        <v>0</v>
      </c>
      <c r="AJ217" s="427">
        <f>-IF(AND(AJ$11&gt;=EOMONTH('Construction Budget'!$K14,0),AJ$11&lt;=EOMONTH('Construction Budget'!$M14,0)),('Construction Budget'!$G14+SUM($G217:AI217))/ROUND(((EOMONTH('Construction Budget'!$M14,0)-EOMONTH(AJ$11,0))/30)+1,0),0)</f>
        <v>0</v>
      </c>
      <c r="AK217" s="427">
        <f>-IF(AND(AK$11&gt;=EOMONTH('Construction Budget'!$K14,0),AK$11&lt;=EOMONTH('Construction Budget'!$M14,0)),('Construction Budget'!$G14+SUM($G217:AJ217))/ROUND(((EOMONTH('Construction Budget'!$M14,0)-EOMONTH(AK$11,0))/30)+1,0),0)</f>
        <v>0</v>
      </c>
      <c r="AL217" s="427">
        <f>-IF(AND(AL$11&gt;=EOMONTH('Construction Budget'!$K14,0),AL$11&lt;=EOMONTH('Construction Budget'!$M14,0)),('Construction Budget'!$G14+SUM($G217:AK217))/ROUND(((EOMONTH('Construction Budget'!$M14,0)-EOMONTH(AL$11,0))/30)+1,0),0)</f>
        <v>0</v>
      </c>
      <c r="AM217" s="427">
        <f>-IF(AND(AM$11&gt;=EOMONTH('Construction Budget'!$K14,0),AM$11&lt;=EOMONTH('Construction Budget'!$M14,0)),('Construction Budget'!$G14+SUM($G217:AL217))/ROUND(((EOMONTH('Construction Budget'!$M14,0)-EOMONTH(AM$11,0))/30)+1,0),0)</f>
        <v>0</v>
      </c>
      <c r="AN217" s="427">
        <f>-IF(AND(AN$11&gt;=EOMONTH('Construction Budget'!$K14,0),AN$11&lt;=EOMONTH('Construction Budget'!$M14,0)),('Construction Budget'!$G14+SUM($G217:AM217))/ROUND(((EOMONTH('Construction Budget'!$M14,0)-EOMONTH(AN$11,0))/30)+1,0),0)</f>
        <v>0</v>
      </c>
      <c r="AO217" s="427">
        <f>-IF(AND(AO$11&gt;=EOMONTH('Construction Budget'!$K14,0),AO$11&lt;=EOMONTH('Construction Budget'!$M14,0)),('Construction Budget'!$G14+SUM($G217:AN217))/ROUND(((EOMONTH('Construction Budget'!$M14,0)-EOMONTH(AO$11,0))/30)+1,0),0)</f>
        <v>0</v>
      </c>
      <c r="AP217" s="427">
        <f>-IF(AND(AP$11&gt;=EOMONTH('Construction Budget'!$K14,0),AP$11&lt;=EOMONTH('Construction Budget'!$M14,0)),('Construction Budget'!$G14+SUM($G217:AO217))/ROUND(((EOMONTH('Construction Budget'!$M14,0)-EOMONTH(AP$11,0))/30)+1,0),0)</f>
        <v>0</v>
      </c>
      <c r="AQ217" s="427">
        <f>-IF(AND(AQ$11&gt;=EOMONTH('Construction Budget'!$K14,0),AQ$11&lt;=EOMONTH('Construction Budget'!$M14,0)),('Construction Budget'!$G14+SUM($G217:AP217))/ROUND(((EOMONTH('Construction Budget'!$M14,0)-EOMONTH(AQ$11,0))/30)+1,0),0)</f>
        <v>0</v>
      </c>
      <c r="AR217" s="427">
        <f>-IF(AND(AR$11&gt;=EOMONTH('Construction Budget'!$K14,0),AR$11&lt;=EOMONTH('Construction Budget'!$M14,0)),('Construction Budget'!$G14+SUM($G217:AQ217))/ROUND(((EOMONTH('Construction Budget'!$M14,0)-EOMONTH(AR$11,0))/30)+1,0),0)</f>
        <v>0</v>
      </c>
      <c r="AS217" s="427">
        <f>-IF(AND(AS$11&gt;=EOMONTH('Construction Budget'!$K14,0),AS$11&lt;=EOMONTH('Construction Budget'!$M14,0)),('Construction Budget'!$G14+SUM($G217:AR217))/ROUND(((EOMONTH('Construction Budget'!$M14,0)-EOMONTH(AS$11,0))/30)+1,0),0)</f>
        <v>0</v>
      </c>
      <c r="AT217" s="427">
        <f>-IF(AND(AT$11&gt;=EOMONTH('Construction Budget'!$K14,0),AT$11&lt;=EOMONTH('Construction Budget'!$M14,0)),('Construction Budget'!$G14+SUM($G217:AS217))/ROUND(((EOMONTH('Construction Budget'!$M14,0)-EOMONTH(AT$11,0))/30)+1,0),0)</f>
        <v>0</v>
      </c>
      <c r="AU217" s="427">
        <f>-IF(AND(AU$11&gt;=EOMONTH('Construction Budget'!$K14,0),AU$11&lt;=EOMONTH('Construction Budget'!$M14,0)),('Construction Budget'!$G14+SUM($G217:AT217))/ROUND(((EOMONTH('Construction Budget'!$M14,0)-EOMONTH(AU$11,0))/30)+1,0),0)</f>
        <v>0</v>
      </c>
      <c r="AV217" s="427">
        <f>-IF(AND(AV$11&gt;=EOMONTH('Construction Budget'!$K14,0),AV$11&lt;=EOMONTH('Construction Budget'!$M14,0)),('Construction Budget'!$G14+SUM($G217:AU217))/ROUND(((EOMONTH('Construction Budget'!$M14,0)-EOMONTH(AV$11,0))/30)+1,0),0)</f>
        <v>0</v>
      </c>
      <c r="AW217" s="427">
        <f>-IF(AND(AW$11&gt;=EOMONTH('Construction Budget'!$K14,0),AW$11&lt;=EOMONTH('Construction Budget'!$M14,0)),('Construction Budget'!$G14+SUM($G217:AV217))/ROUND(((EOMONTH('Construction Budget'!$M14,0)-EOMONTH(AW$11,0))/30)+1,0),0)</f>
        <v>0</v>
      </c>
      <c r="AX217" s="427">
        <f>-IF(AND(AX$11&gt;=EOMONTH('Construction Budget'!$K14,0),AX$11&lt;=EOMONTH('Construction Budget'!$M14,0)),('Construction Budget'!$G14+SUM($G217:AW217))/ROUND(((EOMONTH('Construction Budget'!$M14,0)-EOMONTH(AX$11,0))/30)+1,0),0)</f>
        <v>0</v>
      </c>
      <c r="AY217" s="427">
        <f>-IF(AND(AY$11&gt;=EOMONTH('Construction Budget'!$K14,0),AY$11&lt;=EOMONTH('Construction Budget'!$M14,0)),('Construction Budget'!$G14+SUM($G217:AX217))/ROUND(((EOMONTH('Construction Budget'!$M14,0)-EOMONTH(AY$11,0))/30)+1,0),0)</f>
        <v>0</v>
      </c>
      <c r="AZ217" s="427">
        <f>-IF(AND(AZ$11&gt;=EOMONTH('Construction Budget'!$K14,0),AZ$11&lt;=EOMONTH('Construction Budget'!$M14,0)),('Construction Budget'!$G14+SUM($G217:AY217))/ROUND(((EOMONTH('Construction Budget'!$M14,0)-EOMONTH(AZ$11,0))/30)+1,0),0)</f>
        <v>0</v>
      </c>
      <c r="BA217" s="427">
        <f>-IF(AND(BA$11&gt;=EOMONTH('Construction Budget'!$K14,0),BA$11&lt;=EOMONTH('Construction Budget'!$M14,0)),('Construction Budget'!$G14+SUM($G217:AZ217))/ROUND(((EOMONTH('Construction Budget'!$M14,0)-EOMONTH(BA$11,0))/30)+1,0),0)</f>
        <v>0</v>
      </c>
      <c r="BB217" s="427">
        <f>-IF(AND(BB$11&gt;=EOMONTH('Construction Budget'!$K14,0),BB$11&lt;=EOMONTH('Construction Budget'!$M14,0)),('Construction Budget'!$G14+SUM($G217:BA217))/ROUND(((EOMONTH('Construction Budget'!$M14,0)-EOMONTH(BB$11,0))/30)+1,0),0)</f>
        <v>0</v>
      </c>
      <c r="BC217" s="427">
        <f>-IF(AND(BC$11&gt;=EOMONTH('Construction Budget'!$K14,0),BC$11&lt;=EOMONTH('Construction Budget'!$M14,0)),('Construction Budget'!$G14+SUM($G217:BB217))/ROUND(((EOMONTH('Construction Budget'!$M14,0)-EOMONTH(BC$11,0))/30)+1,0),0)</f>
        <v>0</v>
      </c>
      <c r="BD217" s="427">
        <f>-IF(AND(BD$11&gt;=EOMONTH('Construction Budget'!$K14,0),BD$11&lt;=EOMONTH('Construction Budget'!$M14,0)),('Construction Budget'!$G14+SUM($G217:BC217))/ROUND(((EOMONTH('Construction Budget'!$M14,0)-EOMONTH(BD$11,0))/30)+1,0),0)</f>
        <v>0</v>
      </c>
      <c r="BE217" s="427">
        <f>-IF(AND(BE$11&gt;=EOMONTH('Construction Budget'!$K14,0),BE$11&lt;=EOMONTH('Construction Budget'!$M14,0)),('Construction Budget'!$G14+SUM($G217:BD217))/ROUND(((EOMONTH('Construction Budget'!$M14,0)-EOMONTH(BE$11,0))/30)+1,0),0)</f>
        <v>0</v>
      </c>
      <c r="BF217" s="427">
        <f>-IF(AND(BF$11&gt;=EOMONTH('Construction Budget'!$K14,0),BF$11&lt;=EOMONTH('Construction Budget'!$M14,0)),('Construction Budget'!$G14+SUM($G217:BE217))/ROUND(((EOMONTH('Construction Budget'!$M14,0)-EOMONTH(BF$11,0))/30)+1,0),0)</f>
        <v>0</v>
      </c>
      <c r="BG217" s="427">
        <f>-IF(AND(BG$11&gt;=EOMONTH('Construction Budget'!$K14,0),BG$11&lt;=EOMONTH('Construction Budget'!$M14,0)),('Construction Budget'!$G14+SUM($G217:BF217))/ROUND(((EOMONTH('Construction Budget'!$M14,0)-EOMONTH(BG$11,0))/30)+1,0),0)</f>
        <v>0</v>
      </c>
      <c r="BH217" s="427">
        <f>-IF(AND(BH$11&gt;=EOMONTH('Construction Budget'!$K14,0),BH$11&lt;=EOMONTH('Construction Budget'!$M14,0)),('Construction Budget'!$G14+SUM($G217:BG217))/ROUND(((EOMONTH('Construction Budget'!$M14,0)-EOMONTH(BH$11,0))/30)+1,0),0)</f>
        <v>0</v>
      </c>
      <c r="BI217" s="427">
        <f>-IF(AND(BI$11&gt;=EOMONTH('Construction Budget'!$K14,0),BI$11&lt;=EOMONTH('Construction Budget'!$M14,0)),('Construction Budget'!$G14+SUM($G217:BH217))/ROUND(((EOMONTH('Construction Budget'!$M14,0)-EOMONTH(BI$11,0))/30)+1,0),0)</f>
        <v>0</v>
      </c>
      <c r="BJ217" s="427">
        <f>-IF(AND(BJ$11&gt;=EOMONTH('Construction Budget'!$K14,0),BJ$11&lt;=EOMONTH('Construction Budget'!$M14,0)),('Construction Budget'!$G14+SUM($G217:BI217))/ROUND(((EOMONTH('Construction Budget'!$M14,0)-EOMONTH(BJ$11,0))/30)+1,0),0)</f>
        <v>0</v>
      </c>
      <c r="BK217" s="427">
        <f>-IF(AND(BK$11&gt;=EOMONTH('Construction Budget'!$K14,0),BK$11&lt;=EOMONTH('Construction Budget'!$M14,0)),('Construction Budget'!$G14+SUM($G217:BJ217))/ROUND(((EOMONTH('Construction Budget'!$M14,0)-EOMONTH(BK$11,0))/30)+1,0),0)</f>
        <v>0</v>
      </c>
      <c r="BL217" s="427">
        <f>-IF(AND(BL$11&gt;=EOMONTH('Construction Budget'!$K14,0),BL$11&lt;=EOMONTH('Construction Budget'!$M14,0)),('Construction Budget'!$G14+SUM($G217:BK217))/ROUND(((EOMONTH('Construction Budget'!$M14,0)-EOMONTH(BL$11,0))/30)+1,0),0)</f>
        <v>0</v>
      </c>
      <c r="BM217" s="427">
        <f>-IF(AND(BM$11&gt;=EOMONTH('Construction Budget'!$K14,0),BM$11&lt;=EOMONTH('Construction Budget'!$M14,0)),('Construction Budget'!$G14+SUM($G217:BL217))/ROUND(((EOMONTH('Construction Budget'!$M14,0)-EOMONTH(BM$11,0))/30)+1,0),0)</f>
        <v>0</v>
      </c>
      <c r="BN217" s="427">
        <f>-IF(AND(BN$11&gt;=EOMONTH('Construction Budget'!$K14,0),BN$11&lt;=EOMONTH('Construction Budget'!$M14,0)),('Construction Budget'!$G14+SUM($G217:BM217))/ROUND(((EOMONTH('Construction Budget'!$M14,0)-EOMONTH(BN$11,0))/30)+1,0),0)</f>
        <v>0</v>
      </c>
      <c r="BO217" s="427">
        <f>-IF(AND(BO$11&gt;=EOMONTH('Construction Budget'!$K14,0),BO$11&lt;=EOMONTH('Construction Budget'!$M14,0)),('Construction Budget'!$G14+SUM($G217:BN217))/ROUND(((EOMONTH('Construction Budget'!$M14,0)-EOMONTH(BO$11,0))/30)+1,0),0)</f>
        <v>0</v>
      </c>
      <c r="BP217" s="427">
        <f>-IF(AND(BP$11&gt;=EOMONTH('Construction Budget'!$K14,0),BP$11&lt;=EOMONTH('Construction Budget'!$M14,0)),('Construction Budget'!$G14+SUM($G217:BO217))/ROUND(((EOMONTH('Construction Budget'!$M14,0)-EOMONTH(BP$11,0))/30)+1,0),0)</f>
        <v>0</v>
      </c>
      <c r="BQ217" s="427">
        <f>-IF(AND(BQ$11&gt;=EOMONTH('Construction Budget'!$K14,0),BQ$11&lt;=EOMONTH('Construction Budget'!$M14,0)),('Construction Budget'!$G14+SUM($G217:BP217))/ROUND(((EOMONTH('Construction Budget'!$M14,0)-EOMONTH(BQ$11,0))/30)+1,0),0)</f>
        <v>0</v>
      </c>
      <c r="BR217" s="427">
        <f>-IF(AND(BR$11&gt;=EOMONTH('Construction Budget'!$K14,0),BR$11&lt;=EOMONTH('Construction Budget'!$M14,0)),('Construction Budget'!$G14+SUM($G217:BQ217))/ROUND(((EOMONTH('Construction Budget'!$M14,0)-EOMONTH(BR$11,0))/30)+1,0),0)</f>
        <v>0</v>
      </c>
      <c r="BS217" s="427">
        <f>-IF(AND(BS$11&gt;=EOMONTH('Construction Budget'!$K14,0),BS$11&lt;=EOMONTH('Construction Budget'!$M14,0)),('Construction Budget'!$G14+SUM($G217:BR217))/ROUND(((EOMONTH('Construction Budget'!$M14,0)-EOMONTH(BS$11,0))/30)+1,0),0)</f>
        <v>0</v>
      </c>
      <c r="BT217" s="427">
        <f>-IF(AND(BT$11&gt;=EOMONTH('Construction Budget'!$K14,0),BT$11&lt;=EOMONTH('Construction Budget'!$M14,0)),('Construction Budget'!$G14+SUM($G217:BS217))/ROUND(((EOMONTH('Construction Budget'!$M14,0)-EOMONTH(BT$11,0))/30)+1,0),0)</f>
        <v>0</v>
      </c>
      <c r="BU217" s="427">
        <f>-IF(AND(BU$11&gt;=EOMONTH('Construction Budget'!$K14,0),BU$11&lt;=EOMONTH('Construction Budget'!$M14,0)),('Construction Budget'!$G14+SUM($G217:BT217))/ROUND(((EOMONTH('Construction Budget'!$M14,0)-EOMONTH(BU$11,0))/30)+1,0),0)</f>
        <v>0</v>
      </c>
      <c r="BV217" s="427">
        <f>-IF(AND(BV$11&gt;=EOMONTH('Construction Budget'!$K14,0),BV$11&lt;=EOMONTH('Construction Budget'!$M14,0)),('Construction Budget'!$G14+SUM($G217:BU217))/ROUND(((EOMONTH('Construction Budget'!$M14,0)-EOMONTH(BV$11,0))/30)+1,0),0)</f>
        <v>0</v>
      </c>
      <c r="BW217" s="427">
        <f>-IF(AND(BW$11&gt;=EOMONTH('Construction Budget'!$K14,0),BW$11&lt;=EOMONTH('Construction Budget'!$M14,0)),('Construction Budget'!$G14+SUM($G217:BV217))/ROUND(((EOMONTH('Construction Budget'!$M14,0)-EOMONTH(BW$11,0))/30)+1,0),0)</f>
        <v>0</v>
      </c>
      <c r="BX217" s="427">
        <f>-IF(AND(BX$11&gt;=EOMONTH('Construction Budget'!$K14,0),BX$11&lt;=EOMONTH('Construction Budget'!$M14,0)),('Construction Budget'!$G14+SUM($G217:BW217))/ROUND(((EOMONTH('Construction Budget'!$M14,0)-EOMONTH(BX$11,0))/30)+1,0),0)</f>
        <v>0</v>
      </c>
      <c r="BY217" s="427">
        <f>-IF(AND(BY$11&gt;=EOMONTH('Construction Budget'!$K14,0),BY$11&lt;=EOMONTH('Construction Budget'!$M14,0)),('Construction Budget'!$G14+SUM($G217:BX217))/ROUND(((EOMONTH('Construction Budget'!$M14,0)-EOMONTH(BY$11,0))/30)+1,0),0)</f>
        <v>0</v>
      </c>
      <c r="BZ217" s="427">
        <f>-IF(AND(BZ$11&gt;=EOMONTH('Construction Budget'!$K14,0),BZ$11&lt;=EOMONTH('Construction Budget'!$M14,0)),('Construction Budget'!$G14+SUM($G217:BY217))/ROUND(((EOMONTH('Construction Budget'!$M14,0)-EOMONTH(BZ$11,0))/30)+1,0),0)</f>
        <v>0</v>
      </c>
      <c r="CA217" s="427">
        <f>-IF(AND(CA$11&gt;=EOMONTH('Construction Budget'!$K14,0),CA$11&lt;=EOMONTH('Construction Budget'!$M14,0)),('Construction Budget'!$G14+SUM($G217:BZ217))/ROUND(((EOMONTH('Construction Budget'!$M14,0)-EOMONTH(CA$11,0))/30)+1,0),0)</f>
        <v>0</v>
      </c>
      <c r="CB217" s="427">
        <f>-IF(AND(CB$11&gt;=EOMONTH('Construction Budget'!$K14,0),CB$11&lt;=EOMONTH('Construction Budget'!$M14,0)),('Construction Budget'!$G14+SUM($G217:CA217))/ROUND(((EOMONTH('Construction Budget'!$M14,0)-EOMONTH(CB$11,0))/30)+1,0),0)</f>
        <v>0</v>
      </c>
      <c r="CC217" s="427">
        <f>-IF(AND(CC$11&gt;=EOMONTH('Construction Budget'!$K14,0),CC$11&lt;=EOMONTH('Construction Budget'!$M14,0)),('Construction Budget'!$G14+SUM($G217:CB217))/ROUND(((EOMONTH('Construction Budget'!$M14,0)-EOMONTH(CC$11,0))/30)+1,0),0)</f>
        <v>0</v>
      </c>
      <c r="CD217" s="427">
        <f>-IF(AND(CD$11&gt;=EOMONTH('Construction Budget'!$K14,0),CD$11&lt;=EOMONTH('Construction Budget'!$M14,0)),('Construction Budget'!$G14+SUM($G217:CC217))/ROUND(((EOMONTH('Construction Budget'!$M14,0)-EOMONTH(CD$11,0))/30)+1,0),0)</f>
        <v>0</v>
      </c>
      <c r="CE217" s="427">
        <f>-IF(AND(CE$11&gt;=EOMONTH('Construction Budget'!$K14,0),CE$11&lt;=EOMONTH('Construction Budget'!$M14,0)),('Construction Budget'!$G14+SUM($G217:CD217))/ROUND(((EOMONTH('Construction Budget'!$M14,0)-EOMONTH(CE$11,0))/30)+1,0),0)</f>
        <v>0</v>
      </c>
      <c r="CF217" s="427">
        <f>-IF(AND(CF$11&gt;=EOMONTH('Construction Budget'!$K14,0),CF$11&lt;=EOMONTH('Construction Budget'!$M14,0)),('Construction Budget'!$G14+SUM($G217:CE217))/ROUND(((EOMONTH('Construction Budget'!$M14,0)-EOMONTH(CF$11,0))/30)+1,0),0)</f>
        <v>0</v>
      </c>
      <c r="CG217" s="427">
        <f>-IF(AND(CG$11&gt;=EOMONTH('Construction Budget'!$K14,0),CG$11&lt;=EOMONTH('Construction Budget'!$M14,0)),('Construction Budget'!$G14+SUM($G217:CF217))/ROUND(((EOMONTH('Construction Budget'!$M14,0)-EOMONTH(CG$11,0))/30)+1,0),0)</f>
        <v>0</v>
      </c>
      <c r="CH217" s="427">
        <f>-IF(AND(CH$11&gt;=EOMONTH('Construction Budget'!$K14,0),CH$11&lt;=EOMONTH('Construction Budget'!$M14,0)),('Construction Budget'!$G14+SUM($G217:CG217))/ROUND(((EOMONTH('Construction Budget'!$M14,0)-EOMONTH(CH$11,0))/30)+1,0),0)</f>
        <v>0</v>
      </c>
      <c r="CI217" s="427">
        <f>-IF(AND(CI$11&gt;=EOMONTH('Construction Budget'!$K14,0),CI$11&lt;=EOMONTH('Construction Budget'!$M14,0)),('Construction Budget'!$G14+SUM($G217:CH217))/ROUND(((EOMONTH('Construction Budget'!$M14,0)-EOMONTH(CI$11,0))/30)+1,0),0)</f>
        <v>0</v>
      </c>
      <c r="CJ217" s="427">
        <f>-IF(AND(CJ$11&gt;=EOMONTH('Construction Budget'!$K14,0),CJ$11&lt;=EOMONTH('Construction Budget'!$M14,0)),('Construction Budget'!$G14+SUM($G217:CI217))/ROUND(((EOMONTH('Construction Budget'!$M14,0)-EOMONTH(CJ$11,0))/30)+1,0),0)</f>
        <v>0</v>
      </c>
      <c r="CK217" s="427">
        <f>-IF(AND(CK$11&gt;=EOMONTH('Construction Budget'!$K14,0),CK$11&lt;=EOMONTH('Construction Budget'!$M14,0)),('Construction Budget'!$G14+SUM($G217:CJ217))/ROUND(((EOMONTH('Construction Budget'!$M14,0)-EOMONTH(CK$11,0))/30)+1,0),0)</f>
        <v>0</v>
      </c>
      <c r="CL217" s="427">
        <f>-IF(AND(CL$11&gt;=EOMONTH('Construction Budget'!$K14,0),CL$11&lt;=EOMONTH('Construction Budget'!$M14,0)),('Construction Budget'!$G14+SUM($G217:CK217))/ROUND(((EOMONTH('Construction Budget'!$M14,0)-EOMONTH(CL$11,0))/30)+1,0),0)</f>
        <v>0</v>
      </c>
      <c r="CM217" s="427">
        <f>-IF(AND(CM$11&gt;=EOMONTH('Construction Budget'!$K14,0),CM$11&lt;=EOMONTH('Construction Budget'!$M14,0)),('Construction Budget'!$G14+SUM($G217:CL217))/ROUND(((EOMONTH('Construction Budget'!$M14,0)-EOMONTH(CM$11,0))/30)+1,0),0)</f>
        <v>0</v>
      </c>
      <c r="CN217" s="427">
        <f>-IF(AND(CN$11&gt;=EOMONTH('Construction Budget'!$K14,0),CN$11&lt;=EOMONTH('Construction Budget'!$M14,0)),('Construction Budget'!$G14+SUM($G217:CM217))/ROUND(((EOMONTH('Construction Budget'!$M14,0)-EOMONTH(CN$11,0))/30)+1,0),0)</f>
        <v>0</v>
      </c>
      <c r="CO217" s="427">
        <f>-IF(AND(CO$11&gt;=EOMONTH('Construction Budget'!$K14,0),CO$11&lt;=EOMONTH('Construction Budget'!$M14,0)),('Construction Budget'!$G14+SUM($G217:CN217))/ROUND(((EOMONTH('Construction Budget'!$M14,0)-EOMONTH(CO$11,0))/30)+1,0),0)</f>
        <v>0</v>
      </c>
      <c r="CP217" s="427">
        <f>-IF(AND(CP$11&gt;=EOMONTH('Construction Budget'!$K14,0),CP$11&lt;=EOMONTH('Construction Budget'!$M14,0)),('Construction Budget'!$G14+SUM($G217:CO217))/ROUND(((EOMONTH('Construction Budget'!$M14,0)-EOMONTH(CP$11,0))/30)+1,0),0)</f>
        <v>0</v>
      </c>
      <c r="CQ217" s="427">
        <f>-IF(AND(CQ$11&gt;=EOMONTH('Construction Budget'!$K14,0),CQ$11&lt;=EOMONTH('Construction Budget'!$M14,0)),('Construction Budget'!$G14+SUM($G217:CP217))/ROUND(((EOMONTH('Construction Budget'!$M14,0)-EOMONTH(CQ$11,0))/30)+1,0),0)</f>
        <v>0</v>
      </c>
      <c r="CR217" s="427">
        <f>-IF(AND(CR$11&gt;=EOMONTH('Construction Budget'!$K14,0),CR$11&lt;=EOMONTH('Construction Budget'!$M14,0)),('Construction Budget'!$G14+SUM($G217:CQ217))/ROUND(((EOMONTH('Construction Budget'!$M14,0)-EOMONTH(CR$11,0))/30)+1,0),0)</f>
        <v>0</v>
      </c>
      <c r="CS217" s="427">
        <f>-IF(AND(CS$11&gt;=EOMONTH('Construction Budget'!$K14,0),CS$11&lt;=EOMONTH('Construction Budget'!$M14,0)),('Construction Budget'!$G14+SUM($G217:CR217))/ROUND(((EOMONTH('Construction Budget'!$M14,0)-EOMONTH(CS$11,0))/30)+1,0),0)</f>
        <v>0</v>
      </c>
      <c r="CT217" s="427">
        <f>-IF(AND(CT$11&gt;=EOMONTH('Construction Budget'!$K14,0),CT$11&lt;=EOMONTH('Construction Budget'!$M14,0)),('Construction Budget'!$G14+SUM($G217:CS217))/ROUND(((EOMONTH('Construction Budget'!$M14,0)-EOMONTH(CT$11,0))/30)+1,0),0)</f>
        <v>0</v>
      </c>
      <c r="CU217" s="427">
        <f>-IF(AND(CU$11&gt;=EOMONTH('Construction Budget'!$K14,0),CU$11&lt;=EOMONTH('Construction Budget'!$M14,0)),('Construction Budget'!$G14+SUM($G217:CT217))/ROUND(((EOMONTH('Construction Budget'!$M14,0)-EOMONTH(CU$11,0))/30)+1,0),0)</f>
        <v>0</v>
      </c>
      <c r="CV217" s="427">
        <f>-IF(AND(CV$11&gt;=EOMONTH('Construction Budget'!$K14,0),CV$11&lt;=EOMONTH('Construction Budget'!$M14,0)),('Construction Budget'!$G14+SUM($G217:CU217))/ROUND(((EOMONTH('Construction Budget'!$M14,0)-EOMONTH(CV$11,0))/30)+1,0),0)</f>
        <v>0</v>
      </c>
      <c r="CW217" s="427">
        <f>-IF(AND(CW$11&gt;=EOMONTH('Construction Budget'!$K14,0),CW$11&lt;=EOMONTH('Construction Budget'!$M14,0)),('Construction Budget'!$G14+SUM($G217:CV217))/ROUND(((EOMONTH('Construction Budget'!$M14,0)-EOMONTH(CW$11,0))/30)+1,0),0)</f>
        <v>0</v>
      </c>
      <c r="CX217" s="427">
        <f>-IF(AND(CX$11&gt;=EOMONTH('Construction Budget'!$K14,0),CX$11&lt;=EOMONTH('Construction Budget'!$M14,0)),('Construction Budget'!$G14+SUM($G217:CW217))/ROUND(((EOMONTH('Construction Budget'!$M14,0)-EOMONTH(CX$11,0))/30)+1,0),0)</f>
        <v>0</v>
      </c>
      <c r="CY217" s="427">
        <f>-IF(AND(CY$11&gt;=EOMONTH('Construction Budget'!$K14,0),CY$11&lt;=EOMONTH('Construction Budget'!$M14,0)),('Construction Budget'!$G14+SUM($G217:CX217))/ROUND(((EOMONTH('Construction Budget'!$M14,0)-EOMONTH(CY$11,0))/30)+1,0),0)</f>
        <v>0</v>
      </c>
      <c r="CZ217" s="427">
        <f>-IF(AND(CZ$11&gt;=EOMONTH('Construction Budget'!$K14,0),CZ$11&lt;=EOMONTH('Construction Budget'!$M14,0)),('Construction Budget'!$G14+SUM($G217:CY217))/ROUND(((EOMONTH('Construction Budget'!$M14,0)-EOMONTH(CZ$11,0))/30)+1,0),0)</f>
        <v>0</v>
      </c>
      <c r="DA217" s="427">
        <f>-IF(AND(DA$11&gt;=EOMONTH('Construction Budget'!$K14,0),DA$11&lt;=EOMONTH('Construction Budget'!$M14,0)),('Construction Budget'!$G14+SUM($G217:CZ217))/ROUND(((EOMONTH('Construction Budget'!$M14,0)-EOMONTH(DA$11,0))/30)+1,0),0)</f>
        <v>0</v>
      </c>
      <c r="DB217" s="427">
        <f>-IF(AND(DB$11&gt;=EOMONTH('Construction Budget'!$K14,0),DB$11&lt;=EOMONTH('Construction Budget'!$M14,0)),('Construction Budget'!$G14+SUM($G217:DA217))/ROUND(((EOMONTH('Construction Budget'!$M14,0)-EOMONTH(DB$11,0))/30)+1,0),0)</f>
        <v>0</v>
      </c>
      <c r="DC217" s="427">
        <f>-IF(AND(DC$11&gt;=EOMONTH('Construction Budget'!$K14,0),DC$11&lt;=EOMONTH('Construction Budget'!$M14,0)),('Construction Budget'!$G14+SUM($G217:DB217))/ROUND(((EOMONTH('Construction Budget'!$M14,0)-EOMONTH(DC$11,0))/30)+1,0),0)</f>
        <v>0</v>
      </c>
      <c r="DD217" s="427">
        <f>-IF(AND(DD$11&gt;=EOMONTH('Construction Budget'!$K14,0),DD$11&lt;=EOMONTH('Construction Budget'!$M14,0)),('Construction Budget'!$G14+SUM($G217:DC217))/ROUND(((EOMONTH('Construction Budget'!$M14,0)-EOMONTH(DD$11,0))/30)+1,0),0)</f>
        <v>0</v>
      </c>
      <c r="DE217" s="427">
        <f>-IF(AND(DE$11&gt;=EOMONTH('Construction Budget'!$K14,0),DE$11&lt;=EOMONTH('Construction Budget'!$M14,0)),('Construction Budget'!$G14+SUM($G217:DD217))/ROUND(((EOMONTH('Construction Budget'!$M14,0)-EOMONTH(DE$11,0))/30)+1,0),0)</f>
        <v>0</v>
      </c>
      <c r="DF217" s="427">
        <f>-IF(AND(DF$11&gt;=EOMONTH('Construction Budget'!$K14,0),DF$11&lt;=EOMONTH('Construction Budget'!$M14,0)),('Construction Budget'!$G14+SUM($G217:DE217))/ROUND(((EOMONTH('Construction Budget'!$M14,0)-EOMONTH(DF$11,0))/30)+1,0),0)</f>
        <v>0</v>
      </c>
      <c r="DG217" s="427">
        <f>-IF(AND(DG$11&gt;=EOMONTH('Construction Budget'!$K14,0),DG$11&lt;=EOMONTH('Construction Budget'!$M14,0)),('Construction Budget'!$G14+SUM($G217:DF217))/ROUND(((EOMONTH('Construction Budget'!$M14,0)-EOMONTH(DG$11,0))/30)+1,0),0)</f>
        <v>0</v>
      </c>
      <c r="DH217" s="427">
        <f>-IF(AND(DH$11&gt;=EOMONTH('Construction Budget'!$K14,0),DH$11&lt;=EOMONTH('Construction Budget'!$M14,0)),('Construction Budget'!$G14+SUM($G217:DG217))/ROUND(((EOMONTH('Construction Budget'!$M14,0)-EOMONTH(DH$11,0))/30)+1,0),0)</f>
        <v>0</v>
      </c>
      <c r="DI217" s="427">
        <f>-IF(AND(DI$11&gt;=EOMONTH('Construction Budget'!$K14,0),DI$11&lt;=EOMONTH('Construction Budget'!$M14,0)),('Construction Budget'!$G14+SUM($G217:DH217))/ROUND(((EOMONTH('Construction Budget'!$M14,0)-EOMONTH(DI$11,0))/30)+1,0),0)</f>
        <v>0</v>
      </c>
      <c r="DJ217" s="427">
        <f>-IF(AND(DJ$11&gt;=EOMONTH('Construction Budget'!$K14,0),DJ$11&lt;=EOMONTH('Construction Budget'!$M14,0)),('Construction Budget'!$G14+SUM($G217:DI217))/ROUND(((EOMONTH('Construction Budget'!$M14,0)-EOMONTH(DJ$11,0))/30)+1,0),0)</f>
        <v>0</v>
      </c>
      <c r="DK217" s="427">
        <f>-IF(AND(DK$11&gt;=EOMONTH('Construction Budget'!$K14,0),DK$11&lt;=EOMONTH('Construction Budget'!$M14,0)),('Construction Budget'!$G14+SUM($G217:DJ217))/ROUND(((EOMONTH('Construction Budget'!$M14,0)-EOMONTH(DK$11,0))/30)+1,0),0)</f>
        <v>0</v>
      </c>
      <c r="DL217" s="427">
        <f>-IF(AND(DL$11&gt;=EOMONTH('Construction Budget'!$K14,0),DL$11&lt;=EOMONTH('Construction Budget'!$M14,0)),('Construction Budget'!$G14+SUM($G217:DK217))/ROUND(((EOMONTH('Construction Budget'!$M14,0)-EOMONTH(DL$11,0))/30)+1,0),0)</f>
        <v>0</v>
      </c>
      <c r="DM217" s="427">
        <f>-IF(AND(DM$11&gt;=EOMONTH('Construction Budget'!$K14,0),DM$11&lt;=EOMONTH('Construction Budget'!$M14,0)),('Construction Budget'!$G14+SUM($G217:DL217))/ROUND(((EOMONTH('Construction Budget'!$M14,0)-EOMONTH(DM$11,0))/30)+1,0),0)</f>
        <v>0</v>
      </c>
      <c r="DN217" s="427">
        <f>-IF(AND(DN$11&gt;=EOMONTH('Construction Budget'!$K14,0),DN$11&lt;=EOMONTH('Construction Budget'!$M14,0)),('Construction Budget'!$G14+SUM($G217:DM217))/ROUND(((EOMONTH('Construction Budget'!$M14,0)-EOMONTH(DN$11,0))/30)+1,0),0)</f>
        <v>0</v>
      </c>
      <c r="DO217" s="427">
        <f>-IF(AND(DO$11&gt;=EOMONTH('Construction Budget'!$K14,0),DO$11&lt;=EOMONTH('Construction Budget'!$M14,0)),('Construction Budget'!$G14+SUM($G217:DN217))/ROUND(((EOMONTH('Construction Budget'!$M14,0)-EOMONTH(DO$11,0))/30)+1,0),0)</f>
        <v>0</v>
      </c>
      <c r="DP217" s="427">
        <f>-IF(AND(DP$11&gt;=EOMONTH('Construction Budget'!$K14,0),DP$11&lt;=EOMONTH('Construction Budget'!$M14,0)),('Construction Budget'!$G14+SUM($G217:DO217))/ROUND(((EOMONTH('Construction Budget'!$M14,0)-EOMONTH(DP$11,0))/30)+1,0),0)</f>
        <v>0</v>
      </c>
      <c r="DQ217" s="427">
        <f>-IF(AND(DQ$11&gt;=EOMONTH('Construction Budget'!$K14,0),DQ$11&lt;=EOMONTH('Construction Budget'!$M14,0)),('Construction Budget'!$G14+SUM($G217:DP217))/ROUND(((EOMONTH('Construction Budget'!$M14,0)-EOMONTH(DQ$11,0))/30)+1,0),0)</f>
        <v>0</v>
      </c>
      <c r="DR217" s="427">
        <f>-IF(AND(DR$11&gt;=EOMONTH('Construction Budget'!$K14,0),DR$11&lt;=EOMONTH('Construction Budget'!$M14,0)),('Construction Budget'!$G14+SUM($G217:DQ217))/ROUND(((EOMONTH('Construction Budget'!$M14,0)-EOMONTH(DR$11,0))/30)+1,0),0)</f>
        <v>0</v>
      </c>
      <c r="DS217" s="427">
        <f>-IF(AND(DS$11&gt;=EOMONTH('Construction Budget'!$K14,0),DS$11&lt;=EOMONTH('Construction Budget'!$M14,0)),('Construction Budget'!$G14+SUM($G217:DR217))/ROUND(((EOMONTH('Construction Budget'!$M14,0)-EOMONTH(DS$11,0))/30)+1,0),0)</f>
        <v>0</v>
      </c>
      <c r="DT217" s="427">
        <f>-IF(AND(DT$11&gt;=EOMONTH('Construction Budget'!$K14,0),DT$11&lt;=EOMONTH('Construction Budget'!$M14,0)),('Construction Budget'!$G14+SUM($G217:DS217))/ROUND(((EOMONTH('Construction Budget'!$M14,0)-EOMONTH(DT$11,0))/30)+1,0),0)</f>
        <v>0</v>
      </c>
      <c r="DU217" s="427">
        <f>-IF(AND(DU$11&gt;=EOMONTH('Construction Budget'!$K14,0),DU$11&lt;=EOMONTH('Construction Budget'!$M14,0)),('Construction Budget'!$G14+SUM($G217:DT217))/ROUND(((EOMONTH('Construction Budget'!$M14,0)-EOMONTH(DU$11,0))/30)+1,0),0)</f>
        <v>0</v>
      </c>
      <c r="DV217" s="427">
        <f>-IF(AND(DV$11&gt;=EOMONTH('Construction Budget'!$K14,0),DV$11&lt;=EOMONTH('Construction Budget'!$M14,0)),('Construction Budget'!$G14+SUM($G217:DU217))/ROUND(((EOMONTH('Construction Budget'!$M14,0)-EOMONTH(DV$11,0))/30)+1,0),0)</f>
        <v>0</v>
      </c>
      <c r="DW217" s="427">
        <f>-IF(AND(DW$11&gt;=EOMONTH('Construction Budget'!$K14,0),DW$11&lt;=EOMONTH('Construction Budget'!$M14,0)),('Construction Budget'!$G14+SUM($G217:DV217))/ROUND(((EOMONTH('Construction Budget'!$M14,0)-EOMONTH(DW$11,0))/30)+1,0),0)</f>
        <v>0</v>
      </c>
      <c r="DX217" s="427">
        <f>-IF(AND(DX$11&gt;=EOMONTH('Construction Budget'!$K14,0),DX$11&lt;=EOMONTH('Construction Budget'!$M14,0)),('Construction Budget'!$G14+SUM($G217:DW217))/ROUND(((EOMONTH('Construction Budget'!$M14,0)-EOMONTH(DX$11,0))/30)+1,0),0)</f>
        <v>0</v>
      </c>
      <c r="DY217" s="427">
        <f>-IF(AND(DY$11&gt;=EOMONTH('Construction Budget'!$K14,0),DY$11&lt;=EOMONTH('Construction Budget'!$M14,0)),('Construction Budget'!$G14+SUM($G217:DX217))/ROUND(((EOMONTH('Construction Budget'!$M14,0)-EOMONTH(DY$11,0))/30)+1,0),0)</f>
        <v>0</v>
      </c>
      <c r="DZ217" s="427">
        <f>-IF(AND(DZ$11&gt;=EOMONTH('Construction Budget'!$K14,0),DZ$11&lt;=EOMONTH('Construction Budget'!$M14,0)),('Construction Budget'!$G14+SUM($G217:DY217))/ROUND(((EOMONTH('Construction Budget'!$M14,0)-EOMONTH(DZ$11,0))/30)+1,0),0)</f>
        <v>0</v>
      </c>
      <c r="EA217" s="427">
        <f>-IF(AND(EA$11&gt;=EOMONTH('Construction Budget'!$K14,0),EA$11&lt;=EOMONTH('Construction Budget'!$M14,0)),('Construction Budget'!$G14+SUM($G217:DZ217))/ROUND(((EOMONTH('Construction Budget'!$M14,0)-EOMONTH(EA$11,0))/30)+1,0),0)</f>
        <v>0</v>
      </c>
      <c r="EB217" s="427">
        <f>-IF(AND(EB$11&gt;=EOMONTH('Construction Budget'!$K14,0),EB$11&lt;=EOMONTH('Construction Budget'!$M14,0)),('Construction Budget'!$G14+SUM($G217:EA217))/ROUND(((EOMONTH('Construction Budget'!$M14,0)-EOMONTH(EB$11,0))/30)+1,0),0)</f>
        <v>0</v>
      </c>
      <c r="EC217" s="427">
        <f>-IF(AND(EC$11&gt;=EOMONTH('Construction Budget'!$K14,0),EC$11&lt;=EOMONTH('Construction Budget'!$M14,0)),('Construction Budget'!$G14+SUM($G217:EB217))/ROUND(((EOMONTH('Construction Budget'!$M14,0)-EOMONTH(EC$11,0))/30)+1,0),0)</f>
        <v>0</v>
      </c>
      <c r="ED217" s="427">
        <f>-IF(AND(ED$11&gt;=EOMONTH('Construction Budget'!$K14,0),ED$11&lt;=EOMONTH('Construction Budget'!$M14,0)),('Construction Budget'!$G14+SUM($G217:EC217))/ROUND(((EOMONTH('Construction Budget'!$M14,0)-EOMONTH(ED$11,0))/30)+1,0),0)</f>
        <v>0</v>
      </c>
      <c r="EE217" s="427">
        <f>-IF(AND(EE$11&gt;=EOMONTH('Construction Budget'!$K14,0),EE$11&lt;=EOMONTH('Construction Budget'!$M14,0)),('Construction Budget'!$G14+SUM($G217:ED217))/ROUND(((EOMONTH('Construction Budget'!$M14,0)-EOMONTH(EE$11,0))/30)+1,0),0)</f>
        <v>0</v>
      </c>
      <c r="EF217" s="427">
        <f>-IF(AND(EF$11&gt;=EOMONTH('Construction Budget'!$K14,0),EF$11&lt;=EOMONTH('Construction Budget'!$M14,0)),('Construction Budget'!$G14+SUM($G217:EE217))/ROUND(((EOMONTH('Construction Budget'!$M14,0)-EOMONTH(EF$11,0))/30)+1,0),0)</f>
        <v>0</v>
      </c>
      <c r="EG217" s="427">
        <f>-IF(AND(EG$11&gt;=EOMONTH('Construction Budget'!$K14,0),EG$11&lt;=EOMONTH('Construction Budget'!$M14,0)),('Construction Budget'!$G14+SUM($G217:EF217))/ROUND(((EOMONTH('Construction Budget'!$M14,0)-EOMONTH(EG$11,0))/30)+1,0),0)</f>
        <v>0</v>
      </c>
      <c r="EH217" s="427">
        <f>-IF(AND(EH$11&gt;=EOMONTH('Construction Budget'!$K14,0),EH$11&lt;=EOMONTH('Construction Budget'!$M14,0)),('Construction Budget'!$G14+SUM($G217:EG217))/ROUND(((EOMONTH('Construction Budget'!$M14,0)-EOMONTH(EH$11,0))/30)+1,0),0)</f>
        <v>0</v>
      </c>
      <c r="EI217" s="427">
        <f>-IF(AND(EI$11&gt;=EOMONTH('Construction Budget'!$K14,0),EI$11&lt;=EOMONTH('Construction Budget'!$M14,0)),('Construction Budget'!$G14+SUM($G217:EH217))/ROUND(((EOMONTH('Construction Budget'!$M14,0)-EOMONTH(EI$11,0))/30)+1,0),0)</f>
        <v>0</v>
      </c>
      <c r="EJ217" s="427">
        <f>-IF(AND(EJ$11&gt;=EOMONTH('Construction Budget'!$K14,0),EJ$11&lt;=EOMONTH('Construction Budget'!$M14,0)),('Construction Budget'!$G14+SUM($G217:EI217))/ROUND(((EOMONTH('Construction Budget'!$M14,0)-EOMONTH(EJ$11,0))/30)+1,0),0)</f>
        <v>0</v>
      </c>
      <c r="EK217" s="427">
        <f>-IF(AND(EK$11&gt;=EOMONTH('Construction Budget'!$K14,0),EK$11&lt;=EOMONTH('Construction Budget'!$M14,0)),('Construction Budget'!$G14+SUM($G217:EJ217))/ROUND(((EOMONTH('Construction Budget'!$M14,0)-EOMONTH(EK$11,0))/30)+1,0),0)</f>
        <v>0</v>
      </c>
      <c r="EL217" s="427">
        <f>-IF(AND(EL$11&gt;=EOMONTH('Construction Budget'!$K14,0),EL$11&lt;=EOMONTH('Construction Budget'!$M14,0)),('Construction Budget'!$G14+SUM($G217:EK217))/ROUND(((EOMONTH('Construction Budget'!$M14,0)-EOMONTH(EL$11,0))/30)+1,0),0)</f>
        <v>0</v>
      </c>
      <c r="EM217" s="427">
        <f>-IF(AND(EM$11&gt;=EOMONTH('Construction Budget'!$K14,0),EM$11&lt;=EOMONTH('Construction Budget'!$M14,0)),('Construction Budget'!$G14+SUM($G217:EL217))/ROUND(((EOMONTH('Construction Budget'!$M14,0)-EOMONTH(EM$11,0))/30)+1,0),0)</f>
        <v>0</v>
      </c>
      <c r="EN217" s="427">
        <f>-IF(AND(EN$11&gt;=EOMONTH('Construction Budget'!$K14,0),EN$11&lt;=EOMONTH('Construction Budget'!$M14,0)),('Construction Budget'!$G14+SUM($G217:EM217))/ROUND(((EOMONTH('Construction Budget'!$M14,0)-EOMONTH(EN$11,0))/30)+1,0),0)</f>
        <v>0</v>
      </c>
      <c r="EO217" s="427">
        <f>-IF(AND(EO$11&gt;=EOMONTH('Construction Budget'!$K14,0),EO$11&lt;=EOMONTH('Construction Budget'!$M14,0)),('Construction Budget'!$G14+SUM($G217:EN217))/ROUND(((EOMONTH('Construction Budget'!$M14,0)-EOMONTH(EO$11,0))/30)+1,0),0)</f>
        <v>0</v>
      </c>
      <c r="EP217" s="427">
        <f>-IF(AND(EP$11&gt;=EOMONTH('Construction Budget'!$K14,0),EP$11&lt;=EOMONTH('Construction Budget'!$M14,0)),('Construction Budget'!$G14+SUM($G217:EO217))/ROUND(((EOMONTH('Construction Budget'!$M14,0)-EOMONTH(EP$11,0))/30)+1,0),0)</f>
        <v>0</v>
      </c>
      <c r="EQ217" s="427">
        <f>-IF(AND(EQ$11&gt;=EOMONTH('Construction Budget'!$K14,0),EQ$11&lt;=EOMONTH('Construction Budget'!$M14,0)),('Construction Budget'!$G14+SUM($G217:EP217))/ROUND(((EOMONTH('Construction Budget'!$M14,0)-EOMONTH(EQ$11,0))/30)+1,0),0)</f>
        <v>0</v>
      </c>
      <c r="ER217" s="427">
        <f>-IF(AND(ER$11&gt;=EOMONTH('Construction Budget'!$K14,0),ER$11&lt;=EOMONTH('Construction Budget'!$M14,0)),('Construction Budget'!$G14+SUM($G217:EQ217))/ROUND(((EOMONTH('Construction Budget'!$M14,0)-EOMONTH(ER$11,0))/30)+1,0),0)</f>
        <v>0</v>
      </c>
      <c r="ES217" s="427">
        <f>-IF(AND(ES$11&gt;=EOMONTH('Construction Budget'!$K14,0),ES$11&lt;=EOMONTH('Construction Budget'!$M14,0)),('Construction Budget'!$G14+SUM($G217:ER217))/ROUND(((EOMONTH('Construction Budget'!$M14,0)-EOMONTH(ES$11,0))/30)+1,0),0)</f>
        <v>0</v>
      </c>
      <c r="ET217" s="427">
        <f>-IF(AND(ET$11&gt;=EOMONTH('Construction Budget'!$K14,0),ET$11&lt;=EOMONTH('Construction Budget'!$M14,0)),('Construction Budget'!$G14+SUM($G217:ES217))/ROUND(((EOMONTH('Construction Budget'!$M14,0)-EOMONTH(ET$11,0))/30)+1,0),0)</f>
        <v>0</v>
      </c>
      <c r="EU217" s="427">
        <f>-IF(AND(EU$11&gt;=EOMONTH('Construction Budget'!$K14,0),EU$11&lt;=EOMONTH('Construction Budget'!$M14,0)),('Construction Budget'!$G14+SUM($G217:ET217))/ROUND(((EOMONTH('Construction Budget'!$M14,0)-EOMONTH(EU$11,0))/30)+1,0),0)</f>
        <v>0</v>
      </c>
      <c r="EV217" s="427">
        <f>-IF(AND(EV$11&gt;=EOMONTH('Construction Budget'!$K14,0),EV$11&lt;=EOMONTH('Construction Budget'!$M14,0)),('Construction Budget'!$G14+SUM($G217:EU217))/ROUND(((EOMONTH('Construction Budget'!$M14,0)-EOMONTH(EV$11,0))/30)+1,0),0)</f>
        <v>0</v>
      </c>
      <c r="EW217" s="427">
        <f>-IF(AND(EW$11&gt;=EOMONTH('Construction Budget'!$K14,0),EW$11&lt;=EOMONTH('Construction Budget'!$M14,0)),('Construction Budget'!$G14+SUM($G217:EV217))/ROUND(((EOMONTH('Construction Budget'!$M14,0)-EOMONTH(EW$11,0))/30)+1,0),0)</f>
        <v>0</v>
      </c>
      <c r="EX217" s="427">
        <f>-IF(AND(EX$11&gt;=EOMONTH('Construction Budget'!$K14,0),EX$11&lt;=EOMONTH('Construction Budget'!$M14,0)),('Construction Budget'!$G14+SUM($G217:EW217))/ROUND(((EOMONTH('Construction Budget'!$M14,0)-EOMONTH(EX$11,0))/30)+1,0),0)</f>
        <v>0</v>
      </c>
      <c r="EY217" s="427">
        <f>-IF(AND(EY$11&gt;=EOMONTH('Construction Budget'!$K14,0),EY$11&lt;=EOMONTH('Construction Budget'!$M14,0)),('Construction Budget'!$G14+SUM($G217:EX217))/ROUND(((EOMONTH('Construction Budget'!$M14,0)-EOMONTH(EY$11,0))/30)+1,0),0)</f>
        <v>0</v>
      </c>
      <c r="EZ217" s="427">
        <f>-IF(AND(EZ$11&gt;=EOMONTH('Construction Budget'!$K14,0),EZ$11&lt;=EOMONTH('Construction Budget'!$M14,0)),('Construction Budget'!$G14+SUM($G217:EY217))/ROUND(((EOMONTH('Construction Budget'!$M14,0)-EOMONTH(EZ$11,0))/30)+1,0),0)</f>
        <v>0</v>
      </c>
      <c r="FA217" s="427">
        <f>-IF(AND(FA$11&gt;=EOMONTH('Construction Budget'!$K14,0),FA$11&lt;=EOMONTH('Construction Budget'!$M14,0)),('Construction Budget'!$G14+SUM($G217:EZ217))/ROUND(((EOMONTH('Construction Budget'!$M14,0)-EOMONTH(FA$11,0))/30)+1,0),0)</f>
        <v>0</v>
      </c>
      <c r="FB217" s="427">
        <f>-IF(AND(FB$11&gt;=EOMONTH('Construction Budget'!$K14,0),FB$11&lt;=EOMONTH('Construction Budget'!$M14,0)),('Construction Budget'!$G14+SUM($G217:FA217))/ROUND(((EOMONTH('Construction Budget'!$M14,0)-EOMONTH(FB$11,0))/30)+1,0),0)</f>
        <v>0</v>
      </c>
      <c r="FC217" s="427">
        <f>-IF(AND(FC$11&gt;=EOMONTH('Construction Budget'!$K14,0),FC$11&lt;=EOMONTH('Construction Budget'!$M14,0)),('Construction Budget'!$G14+SUM($G217:FB217))/ROUND(((EOMONTH('Construction Budget'!$M14,0)-EOMONTH(FC$11,0))/30)+1,0),0)</f>
        <v>0</v>
      </c>
      <c r="FD217" s="427">
        <f>-IF(AND(FD$11&gt;=EOMONTH('Construction Budget'!$K14,0),FD$11&lt;=EOMONTH('Construction Budget'!$M14,0)),('Construction Budget'!$G14+SUM($G217:FC217))/ROUND(((EOMONTH('Construction Budget'!$M14,0)-EOMONTH(FD$11,0))/30)+1,0),0)</f>
        <v>0</v>
      </c>
      <c r="FE217" s="427">
        <f>-IF(AND(FE$11&gt;=EOMONTH('Construction Budget'!$K14,0),FE$11&lt;=EOMONTH('Construction Budget'!$M14,0)),('Construction Budget'!$G14+SUM($G217:FD217))/ROUND(((EOMONTH('Construction Budget'!$M14,0)-EOMONTH(FE$11,0))/30)+1,0),0)</f>
        <v>0</v>
      </c>
      <c r="FF217" s="427">
        <f>-IF(AND(FF$11&gt;=EOMONTH('Construction Budget'!$K14,0),FF$11&lt;=EOMONTH('Construction Budget'!$M14,0)),('Construction Budget'!$G14+SUM($G217:FE217))/ROUND(((EOMONTH('Construction Budget'!$M14,0)-EOMONTH(FF$11,0))/30)+1,0),0)</f>
        <v>0</v>
      </c>
      <c r="FG217" s="427">
        <f>-IF(AND(FG$11&gt;=EOMONTH('Construction Budget'!$K14,0),FG$11&lt;=EOMONTH('Construction Budget'!$M14,0)),('Construction Budget'!$G14+SUM($G217:FF217))/ROUND(((EOMONTH('Construction Budget'!$M14,0)-EOMONTH(FG$11,0))/30)+1,0),0)</f>
        <v>0</v>
      </c>
      <c r="FH217" s="427">
        <f>-IF(AND(FH$11&gt;=EOMONTH('Construction Budget'!$K14,0),FH$11&lt;=EOMONTH('Construction Budget'!$M14,0)),('Construction Budget'!$G14+SUM($G217:FG217))/ROUND(((EOMONTH('Construction Budget'!$M14,0)-EOMONTH(FH$11,0))/30)+1,0),0)</f>
        <v>0</v>
      </c>
      <c r="FI217" s="427">
        <f>-IF(AND(FI$11&gt;=EOMONTH('Construction Budget'!$K14,0),FI$11&lt;=EOMONTH('Construction Budget'!$M14,0)),('Construction Budget'!$G14+SUM($G217:FH217))/ROUND(((EOMONTH('Construction Budget'!$M14,0)-EOMONTH(FI$11,0))/30)+1,0),0)</f>
        <v>0</v>
      </c>
      <c r="FJ217" s="427">
        <f>-IF(AND(FJ$11&gt;=EOMONTH('Construction Budget'!$K14,0),FJ$11&lt;=EOMONTH('Construction Budget'!$M14,0)),('Construction Budget'!$G14+SUM($G217:FI217))/ROUND(((EOMONTH('Construction Budget'!$M14,0)-EOMONTH(FJ$11,0))/30)+1,0),0)</f>
        <v>0</v>
      </c>
      <c r="FK217" s="427">
        <f>-IF(AND(FK$11&gt;=EOMONTH('Construction Budget'!$K14,0),FK$11&lt;=EOMONTH('Construction Budget'!$M14,0)),('Construction Budget'!$G14+SUM($G217:FJ217))/ROUND(((EOMONTH('Construction Budget'!$M14,0)-EOMONTH(FK$11,0))/30)+1,0),0)</f>
        <v>0</v>
      </c>
      <c r="FL217" s="427">
        <f>-IF(AND(FL$11&gt;=EOMONTH('Construction Budget'!$K14,0),FL$11&lt;=EOMONTH('Construction Budget'!$M14,0)),('Construction Budget'!$G14+SUM($G217:FK217))/ROUND(((EOMONTH('Construction Budget'!$M14,0)-EOMONTH(FL$11,0))/30)+1,0),0)</f>
        <v>0</v>
      </c>
      <c r="FM217" s="427">
        <f>-IF(AND(FM$11&gt;=EOMONTH('Construction Budget'!$K14,0),FM$11&lt;=EOMONTH('Construction Budget'!$M14,0)),('Construction Budget'!$G14+SUM($G217:FL217))/ROUND(((EOMONTH('Construction Budget'!$M14,0)-EOMONTH(FM$11,0))/30)+1,0),0)</f>
        <v>0</v>
      </c>
      <c r="FN217" s="427">
        <f>-IF(AND(FN$11&gt;=EOMONTH('Construction Budget'!$K14,0),FN$11&lt;=EOMONTH('Construction Budget'!$M14,0)),('Construction Budget'!$G14+SUM($G217:FM217))/ROUND(((EOMONTH('Construction Budget'!$M14,0)-EOMONTH(FN$11,0))/30)+1,0),0)</f>
        <v>0</v>
      </c>
      <c r="FO217" s="427">
        <f>-IF(AND(FO$11&gt;=EOMONTH('Construction Budget'!$K14,0),FO$11&lt;=EOMONTH('Construction Budget'!$M14,0)),('Construction Budget'!$G14+SUM($G217:FN217))/ROUND(((EOMONTH('Construction Budget'!$M14,0)-EOMONTH(FO$11,0))/30)+1,0),0)</f>
        <v>0</v>
      </c>
      <c r="FP217" s="427">
        <f>-IF(AND(FP$11&gt;=EOMONTH('Construction Budget'!$K14,0),FP$11&lt;=EOMONTH('Construction Budget'!$M14,0)),('Construction Budget'!$G14+SUM($G217:FO217))/ROUND(((EOMONTH('Construction Budget'!$M14,0)-EOMONTH(FP$11,0))/30)+1,0),0)</f>
        <v>0</v>
      </c>
      <c r="FQ217" s="427">
        <f>-IF(AND(FQ$11&gt;=EOMONTH('Construction Budget'!$K14,0),FQ$11&lt;=EOMONTH('Construction Budget'!$M14,0)),('Construction Budget'!$G14+SUM($G217:FP217))/ROUND(((EOMONTH('Construction Budget'!$M14,0)-EOMONTH(FQ$11,0))/30)+1,0),0)</f>
        <v>0</v>
      </c>
      <c r="FR217" s="427">
        <f>-IF(AND(FR$11&gt;=EOMONTH('Construction Budget'!$K14,0),FR$11&lt;=EOMONTH('Construction Budget'!$M14,0)),('Construction Budget'!$G14+SUM($G217:FQ217))/ROUND(((EOMONTH('Construction Budget'!$M14,0)-EOMONTH(FR$11,0))/30)+1,0),0)</f>
        <v>0</v>
      </c>
      <c r="FS217" s="427">
        <f>-IF(AND(FS$11&gt;=EOMONTH('Construction Budget'!$K14,0),FS$11&lt;=EOMONTH('Construction Budget'!$M14,0)),('Construction Budget'!$G14+SUM($G217:FR217))/ROUND(((EOMONTH('Construction Budget'!$M14,0)-EOMONTH(FS$11,0))/30)+1,0),0)</f>
        <v>0</v>
      </c>
      <c r="FT217" s="427">
        <f>-IF(AND(FT$11&gt;=EOMONTH('Construction Budget'!$K14,0),FT$11&lt;=EOMONTH('Construction Budget'!$M14,0)),('Construction Budget'!$G14+SUM($G217:FS217))/ROUND(((EOMONTH('Construction Budget'!$M14,0)-EOMONTH(FT$11,0))/30)+1,0),0)</f>
        <v>0</v>
      </c>
      <c r="FU217" s="43"/>
      <c r="FV217" s="34"/>
      <c r="FW217" s="34"/>
      <c r="FX217" s="34"/>
      <c r="FY217" s="34"/>
      <c r="FZ217" s="34"/>
    </row>
    <row r="218" spans="1:182" s="89" customFormat="1" ht="13.5" hidden="1" outlineLevel="1" x14ac:dyDescent="0.25">
      <c r="A218" s="498"/>
      <c r="B218" s="128" t="str">
        <f>'Construction Budget'!B15</f>
        <v>Blank</v>
      </c>
      <c r="C218" s="34"/>
      <c r="D218" s="34"/>
      <c r="E218" s="34"/>
      <c r="F218" s="434">
        <f t="shared" ref="F218:F227" si="240">SUM(H218:FT218)</f>
        <v>0</v>
      </c>
      <c r="G218" s="34"/>
      <c r="H218" s="427">
        <f>-IF(AND(H$11&gt;=EOMONTH('Construction Budget'!$K15,0),H$11&lt;=EOMONTH('Construction Budget'!$M15,0)),('Construction Budget'!$G15+SUM($G218:G218))/ROUND(((EOMONTH('Construction Budget'!$M15,0)-EOMONTH(H$11,0))/30)+1,0),0)</f>
        <v>0</v>
      </c>
      <c r="I218" s="427">
        <f>-IF(AND(I$11&gt;=EOMONTH('Construction Budget'!$K15,0),I$11&lt;=EOMONTH('Construction Budget'!$M15,0)),('Construction Budget'!$G15+SUM($G218:H218))/ROUND(((EOMONTH('Construction Budget'!$M15,0)-EOMONTH(I$11,0))/30)+1,0),0)</f>
        <v>0</v>
      </c>
      <c r="J218" s="427">
        <f>-IF(AND(J$11&gt;=EOMONTH('Construction Budget'!$K15,0),J$11&lt;=EOMONTH('Construction Budget'!$M15,0)),('Construction Budget'!$G15+SUM($G218:I218))/ROUND(((EOMONTH('Construction Budget'!$M15,0)-EOMONTH(J$11,0))/30)+1,0),0)</f>
        <v>0</v>
      </c>
      <c r="K218" s="427">
        <f>-IF(AND(K$11&gt;=EOMONTH('Construction Budget'!$K15,0),K$11&lt;=EOMONTH('Construction Budget'!$M15,0)),('Construction Budget'!$G15+SUM($G218:J218))/ROUND(((EOMONTH('Construction Budget'!$M15,0)-EOMONTH(K$11,0))/30)+1,0),0)</f>
        <v>0</v>
      </c>
      <c r="L218" s="427">
        <f>-IF(AND(L$11&gt;=EOMONTH('Construction Budget'!$K15,0),L$11&lt;=EOMONTH('Construction Budget'!$M15,0)),('Construction Budget'!$G15+SUM($G218:K218))/ROUND(((EOMONTH('Construction Budget'!$M15,0)-EOMONTH(L$11,0))/30)+1,0),0)</f>
        <v>0</v>
      </c>
      <c r="M218" s="427">
        <f>-IF(AND(M$11&gt;=EOMONTH('Construction Budget'!$K15,0),M$11&lt;=EOMONTH('Construction Budget'!$M15,0)),('Construction Budget'!$G15+SUM($G218:L218))/ROUND(((EOMONTH('Construction Budget'!$M15,0)-EOMONTH(M$11,0))/30)+1,0),0)</f>
        <v>0</v>
      </c>
      <c r="N218" s="427">
        <f>-IF(AND(N$11&gt;=EOMONTH('Construction Budget'!$K15,0),N$11&lt;=EOMONTH('Construction Budget'!$M15,0)),('Construction Budget'!$G15+SUM($G218:M218))/ROUND(((EOMONTH('Construction Budget'!$M15,0)-EOMONTH(N$11,0))/30)+1,0),0)</f>
        <v>0</v>
      </c>
      <c r="O218" s="427">
        <f>-IF(AND(O$11&gt;=EOMONTH('Construction Budget'!$K15,0),O$11&lt;=EOMONTH('Construction Budget'!$M15,0)),('Construction Budget'!$G15+SUM($G218:N218))/ROUND(((EOMONTH('Construction Budget'!$M15,0)-EOMONTH(O$11,0))/30)+1,0),0)</f>
        <v>0</v>
      </c>
      <c r="P218" s="427">
        <f>-IF(AND(P$11&gt;=EOMONTH('Construction Budget'!$K15,0),P$11&lt;=EOMONTH('Construction Budget'!$M15,0)),('Construction Budget'!$G15+SUM($G218:O218))/ROUND(((EOMONTH('Construction Budget'!$M15,0)-EOMONTH(P$11,0))/30)+1,0),0)</f>
        <v>0</v>
      </c>
      <c r="Q218" s="427">
        <f>-IF(AND(Q$11&gt;=EOMONTH('Construction Budget'!$K15,0),Q$11&lt;=EOMONTH('Construction Budget'!$M15,0)),('Construction Budget'!$G15+SUM($G218:P218))/ROUND(((EOMONTH('Construction Budget'!$M15,0)-EOMONTH(Q$11,0))/30)+1,0),0)</f>
        <v>0</v>
      </c>
      <c r="R218" s="427">
        <f>-IF(AND(R$11&gt;=EOMONTH('Construction Budget'!$K15,0),R$11&lt;=EOMONTH('Construction Budget'!$M15,0)),('Construction Budget'!$G15+SUM($G218:Q218))/ROUND(((EOMONTH('Construction Budget'!$M15,0)-EOMONTH(R$11,0))/30)+1,0),0)</f>
        <v>0</v>
      </c>
      <c r="S218" s="427">
        <f>-IF(AND(S$11&gt;=EOMONTH('Construction Budget'!$K15,0),S$11&lt;=EOMONTH('Construction Budget'!$M15,0)),('Construction Budget'!$G15+SUM($G218:R218))/ROUND(((EOMONTH('Construction Budget'!$M15,0)-EOMONTH(S$11,0))/30)+1,0),0)</f>
        <v>0</v>
      </c>
      <c r="T218" s="427">
        <f>-IF(AND(T$11&gt;=EOMONTH('Construction Budget'!$K15,0),T$11&lt;=EOMONTH('Construction Budget'!$M15,0)),('Construction Budget'!$G15+SUM($G218:S218))/ROUND(((EOMONTH('Construction Budget'!$M15,0)-EOMONTH(T$11,0))/30)+1,0),0)</f>
        <v>0</v>
      </c>
      <c r="U218" s="427">
        <f>-IF(AND(U$11&gt;=EOMONTH('Construction Budget'!$K15,0),U$11&lt;=EOMONTH('Construction Budget'!$M15,0)),('Construction Budget'!$G15+SUM($G218:T218))/ROUND(((EOMONTH('Construction Budget'!$M15,0)-EOMONTH(U$11,0))/30)+1,0),0)</f>
        <v>0</v>
      </c>
      <c r="V218" s="427">
        <f>-IF(AND(V$11&gt;=EOMONTH('Construction Budget'!$K15,0),V$11&lt;=EOMONTH('Construction Budget'!$M15,0)),('Construction Budget'!$G15+SUM($G218:U218))/ROUND(((EOMONTH('Construction Budget'!$M15,0)-EOMONTH(V$11,0))/30)+1,0),0)</f>
        <v>0</v>
      </c>
      <c r="W218" s="427">
        <f>-IF(AND(W$11&gt;=EOMONTH('Construction Budget'!$K15,0),W$11&lt;=EOMONTH('Construction Budget'!$M15,0)),('Construction Budget'!$G15+SUM($G218:V218))/ROUND(((EOMONTH('Construction Budget'!$M15,0)-EOMONTH(W$11,0))/30)+1,0),0)</f>
        <v>0</v>
      </c>
      <c r="X218" s="427">
        <f>-IF(AND(X$11&gt;=EOMONTH('Construction Budget'!$K15,0),X$11&lt;=EOMONTH('Construction Budget'!$M15,0)),('Construction Budget'!$G15+SUM($G218:W218))/ROUND(((EOMONTH('Construction Budget'!$M15,0)-EOMONTH(X$11,0))/30)+1,0),0)</f>
        <v>0</v>
      </c>
      <c r="Y218" s="427">
        <f>-IF(AND(Y$11&gt;=EOMONTH('Construction Budget'!$K15,0),Y$11&lt;=EOMONTH('Construction Budget'!$M15,0)),('Construction Budget'!$G15+SUM($G218:X218))/ROUND(((EOMONTH('Construction Budget'!$M15,0)-EOMONTH(Y$11,0))/30)+1,0),0)</f>
        <v>0</v>
      </c>
      <c r="Z218" s="427">
        <f>-IF(AND(Z$11&gt;=EOMONTH('Construction Budget'!$K15,0),Z$11&lt;=EOMONTH('Construction Budget'!$M15,0)),('Construction Budget'!$G15+SUM($G218:Y218))/ROUND(((EOMONTH('Construction Budget'!$M15,0)-EOMONTH(Z$11,0))/30)+1,0),0)</f>
        <v>0</v>
      </c>
      <c r="AA218" s="427">
        <f>-IF(AND(AA$11&gt;=EOMONTH('Construction Budget'!$K15,0),AA$11&lt;=EOMONTH('Construction Budget'!$M15,0)),('Construction Budget'!$G15+SUM($G218:Z218))/ROUND(((EOMONTH('Construction Budget'!$M15,0)-EOMONTH(AA$11,0))/30)+1,0),0)</f>
        <v>0</v>
      </c>
      <c r="AB218" s="427">
        <f>-IF(AND(AB$11&gt;=EOMONTH('Construction Budget'!$K15,0),AB$11&lt;=EOMONTH('Construction Budget'!$M15,0)),('Construction Budget'!$G15+SUM($G218:AA218))/ROUND(((EOMONTH('Construction Budget'!$M15,0)-EOMONTH(AB$11,0))/30)+1,0),0)</f>
        <v>0</v>
      </c>
      <c r="AC218" s="427">
        <f>-IF(AND(AC$11&gt;=EOMONTH('Construction Budget'!$K15,0),AC$11&lt;=EOMONTH('Construction Budget'!$M15,0)),('Construction Budget'!$G15+SUM($G218:AB218))/ROUND(((EOMONTH('Construction Budget'!$M15,0)-EOMONTH(AC$11,0))/30)+1,0),0)</f>
        <v>0</v>
      </c>
      <c r="AD218" s="427">
        <f>-IF(AND(AD$11&gt;=EOMONTH('Construction Budget'!$K15,0),AD$11&lt;=EOMONTH('Construction Budget'!$M15,0)),('Construction Budget'!$G15+SUM($G218:AC218))/ROUND(((EOMONTH('Construction Budget'!$M15,0)-EOMONTH(AD$11,0))/30)+1,0),0)</f>
        <v>0</v>
      </c>
      <c r="AE218" s="427">
        <f>-IF(AND(AE$11&gt;=EOMONTH('Construction Budget'!$K15,0),AE$11&lt;=EOMONTH('Construction Budget'!$M15,0)),('Construction Budget'!$G15+SUM($G218:AD218))/ROUND(((EOMONTH('Construction Budget'!$M15,0)-EOMONTH(AE$11,0))/30)+1,0),0)</f>
        <v>0</v>
      </c>
      <c r="AF218" s="427">
        <f>-IF(AND(AF$11&gt;=EOMONTH('Construction Budget'!$K15,0),AF$11&lt;=EOMONTH('Construction Budget'!$M15,0)),('Construction Budget'!$G15+SUM($G218:AE218))/ROUND(((EOMONTH('Construction Budget'!$M15,0)-EOMONTH(AF$11,0))/30)+1,0),0)</f>
        <v>0</v>
      </c>
      <c r="AG218" s="427">
        <f>-IF(AND(AG$11&gt;=EOMONTH('Construction Budget'!$K15,0),AG$11&lt;=EOMONTH('Construction Budget'!$M15,0)),('Construction Budget'!$G15+SUM($G218:AF218))/ROUND(((EOMONTH('Construction Budget'!$M15,0)-EOMONTH(AG$11,0))/30)+1,0),0)</f>
        <v>0</v>
      </c>
      <c r="AH218" s="427">
        <f>-IF(AND(AH$11&gt;=EOMONTH('Construction Budget'!$K15,0),AH$11&lt;=EOMONTH('Construction Budget'!$M15,0)),('Construction Budget'!$G15+SUM($G218:AG218))/ROUND(((EOMONTH('Construction Budget'!$M15,0)-EOMONTH(AH$11,0))/30)+1,0),0)</f>
        <v>0</v>
      </c>
      <c r="AI218" s="427">
        <f>-IF(AND(AI$11&gt;=EOMONTH('Construction Budget'!$K15,0),AI$11&lt;=EOMONTH('Construction Budget'!$M15,0)),('Construction Budget'!$G15+SUM($G218:AH218))/ROUND(((EOMONTH('Construction Budget'!$M15,0)-EOMONTH(AI$11,0))/30)+1,0),0)</f>
        <v>0</v>
      </c>
      <c r="AJ218" s="427">
        <f>-IF(AND(AJ$11&gt;=EOMONTH('Construction Budget'!$K15,0),AJ$11&lt;=EOMONTH('Construction Budget'!$M15,0)),('Construction Budget'!$G15+SUM($G218:AI218))/ROUND(((EOMONTH('Construction Budget'!$M15,0)-EOMONTH(AJ$11,0))/30)+1,0),0)</f>
        <v>0</v>
      </c>
      <c r="AK218" s="427">
        <f>-IF(AND(AK$11&gt;=EOMONTH('Construction Budget'!$K15,0),AK$11&lt;=EOMONTH('Construction Budget'!$M15,0)),('Construction Budget'!$G15+SUM($G218:AJ218))/ROUND(((EOMONTH('Construction Budget'!$M15,0)-EOMONTH(AK$11,0))/30)+1,0),0)</f>
        <v>0</v>
      </c>
      <c r="AL218" s="427">
        <f>-IF(AND(AL$11&gt;=EOMONTH('Construction Budget'!$K15,0),AL$11&lt;=EOMONTH('Construction Budget'!$M15,0)),('Construction Budget'!$G15+SUM($G218:AK218))/ROUND(((EOMONTH('Construction Budget'!$M15,0)-EOMONTH(AL$11,0))/30)+1,0),0)</f>
        <v>0</v>
      </c>
      <c r="AM218" s="427">
        <f>-IF(AND(AM$11&gt;=EOMONTH('Construction Budget'!$K15,0),AM$11&lt;=EOMONTH('Construction Budget'!$M15,0)),('Construction Budget'!$G15+SUM($G218:AL218))/ROUND(((EOMONTH('Construction Budget'!$M15,0)-EOMONTH(AM$11,0))/30)+1,0),0)</f>
        <v>0</v>
      </c>
      <c r="AN218" s="427">
        <f>-IF(AND(AN$11&gt;=EOMONTH('Construction Budget'!$K15,0),AN$11&lt;=EOMONTH('Construction Budget'!$M15,0)),('Construction Budget'!$G15+SUM($G218:AM218))/ROUND(((EOMONTH('Construction Budget'!$M15,0)-EOMONTH(AN$11,0))/30)+1,0),0)</f>
        <v>0</v>
      </c>
      <c r="AO218" s="427">
        <f>-IF(AND(AO$11&gt;=EOMONTH('Construction Budget'!$K15,0),AO$11&lt;=EOMONTH('Construction Budget'!$M15,0)),('Construction Budget'!$G15+SUM($G218:AN218))/ROUND(((EOMONTH('Construction Budget'!$M15,0)-EOMONTH(AO$11,0))/30)+1,0),0)</f>
        <v>0</v>
      </c>
      <c r="AP218" s="427">
        <f>-IF(AND(AP$11&gt;=EOMONTH('Construction Budget'!$K15,0),AP$11&lt;=EOMONTH('Construction Budget'!$M15,0)),('Construction Budget'!$G15+SUM($G218:AO218))/ROUND(((EOMONTH('Construction Budget'!$M15,0)-EOMONTH(AP$11,0))/30)+1,0),0)</f>
        <v>0</v>
      </c>
      <c r="AQ218" s="427">
        <f>-IF(AND(AQ$11&gt;=EOMONTH('Construction Budget'!$K15,0),AQ$11&lt;=EOMONTH('Construction Budget'!$M15,0)),('Construction Budget'!$G15+SUM($G218:AP218))/ROUND(((EOMONTH('Construction Budget'!$M15,0)-EOMONTH(AQ$11,0))/30)+1,0),0)</f>
        <v>0</v>
      </c>
      <c r="AR218" s="427">
        <f>-IF(AND(AR$11&gt;=EOMONTH('Construction Budget'!$K15,0),AR$11&lt;=EOMONTH('Construction Budget'!$M15,0)),('Construction Budget'!$G15+SUM($G218:AQ218))/ROUND(((EOMONTH('Construction Budget'!$M15,0)-EOMONTH(AR$11,0))/30)+1,0),0)</f>
        <v>0</v>
      </c>
      <c r="AS218" s="427">
        <f>-IF(AND(AS$11&gt;=EOMONTH('Construction Budget'!$K15,0),AS$11&lt;=EOMONTH('Construction Budget'!$M15,0)),('Construction Budget'!$G15+SUM($G218:AR218))/ROUND(((EOMONTH('Construction Budget'!$M15,0)-EOMONTH(AS$11,0))/30)+1,0),0)</f>
        <v>0</v>
      </c>
      <c r="AT218" s="427">
        <f>-IF(AND(AT$11&gt;=EOMONTH('Construction Budget'!$K15,0),AT$11&lt;=EOMONTH('Construction Budget'!$M15,0)),('Construction Budget'!$G15+SUM($G218:AS218))/ROUND(((EOMONTH('Construction Budget'!$M15,0)-EOMONTH(AT$11,0))/30)+1,0),0)</f>
        <v>0</v>
      </c>
      <c r="AU218" s="427">
        <f>-IF(AND(AU$11&gt;=EOMONTH('Construction Budget'!$K15,0),AU$11&lt;=EOMONTH('Construction Budget'!$M15,0)),('Construction Budget'!$G15+SUM($G218:AT218))/ROUND(((EOMONTH('Construction Budget'!$M15,0)-EOMONTH(AU$11,0))/30)+1,0),0)</f>
        <v>0</v>
      </c>
      <c r="AV218" s="427">
        <f>-IF(AND(AV$11&gt;=EOMONTH('Construction Budget'!$K15,0),AV$11&lt;=EOMONTH('Construction Budget'!$M15,0)),('Construction Budget'!$G15+SUM($G218:AU218))/ROUND(((EOMONTH('Construction Budget'!$M15,0)-EOMONTH(AV$11,0))/30)+1,0),0)</f>
        <v>0</v>
      </c>
      <c r="AW218" s="427">
        <f>-IF(AND(AW$11&gt;=EOMONTH('Construction Budget'!$K15,0),AW$11&lt;=EOMONTH('Construction Budget'!$M15,0)),('Construction Budget'!$G15+SUM($G218:AV218))/ROUND(((EOMONTH('Construction Budget'!$M15,0)-EOMONTH(AW$11,0))/30)+1,0),0)</f>
        <v>0</v>
      </c>
      <c r="AX218" s="427">
        <f>-IF(AND(AX$11&gt;=EOMONTH('Construction Budget'!$K15,0),AX$11&lt;=EOMONTH('Construction Budget'!$M15,0)),('Construction Budget'!$G15+SUM($G218:AW218))/ROUND(((EOMONTH('Construction Budget'!$M15,0)-EOMONTH(AX$11,0))/30)+1,0),0)</f>
        <v>0</v>
      </c>
      <c r="AY218" s="427">
        <f>-IF(AND(AY$11&gt;=EOMONTH('Construction Budget'!$K15,0),AY$11&lt;=EOMONTH('Construction Budget'!$M15,0)),('Construction Budget'!$G15+SUM($G218:AX218))/ROUND(((EOMONTH('Construction Budget'!$M15,0)-EOMONTH(AY$11,0))/30)+1,0),0)</f>
        <v>0</v>
      </c>
      <c r="AZ218" s="427">
        <f>-IF(AND(AZ$11&gt;=EOMONTH('Construction Budget'!$K15,0),AZ$11&lt;=EOMONTH('Construction Budget'!$M15,0)),('Construction Budget'!$G15+SUM($G218:AY218))/ROUND(((EOMONTH('Construction Budget'!$M15,0)-EOMONTH(AZ$11,0))/30)+1,0),0)</f>
        <v>0</v>
      </c>
      <c r="BA218" s="427">
        <f>-IF(AND(BA$11&gt;=EOMONTH('Construction Budget'!$K15,0),BA$11&lt;=EOMONTH('Construction Budget'!$M15,0)),('Construction Budget'!$G15+SUM($G218:AZ218))/ROUND(((EOMONTH('Construction Budget'!$M15,0)-EOMONTH(BA$11,0))/30)+1,0),0)</f>
        <v>0</v>
      </c>
      <c r="BB218" s="427">
        <f>-IF(AND(BB$11&gt;=EOMONTH('Construction Budget'!$K15,0),BB$11&lt;=EOMONTH('Construction Budget'!$M15,0)),('Construction Budget'!$G15+SUM($G218:BA218))/ROUND(((EOMONTH('Construction Budget'!$M15,0)-EOMONTH(BB$11,0))/30)+1,0),0)</f>
        <v>0</v>
      </c>
      <c r="BC218" s="427">
        <f>-IF(AND(BC$11&gt;=EOMONTH('Construction Budget'!$K15,0),BC$11&lt;=EOMONTH('Construction Budget'!$M15,0)),('Construction Budget'!$G15+SUM($G218:BB218))/ROUND(((EOMONTH('Construction Budget'!$M15,0)-EOMONTH(BC$11,0))/30)+1,0),0)</f>
        <v>0</v>
      </c>
      <c r="BD218" s="427">
        <f>-IF(AND(BD$11&gt;=EOMONTH('Construction Budget'!$K15,0),BD$11&lt;=EOMONTH('Construction Budget'!$M15,0)),('Construction Budget'!$G15+SUM($G218:BC218))/ROUND(((EOMONTH('Construction Budget'!$M15,0)-EOMONTH(BD$11,0))/30)+1,0),0)</f>
        <v>0</v>
      </c>
      <c r="BE218" s="427">
        <f>-IF(AND(BE$11&gt;=EOMONTH('Construction Budget'!$K15,0),BE$11&lt;=EOMONTH('Construction Budget'!$M15,0)),('Construction Budget'!$G15+SUM($G218:BD218))/ROUND(((EOMONTH('Construction Budget'!$M15,0)-EOMONTH(BE$11,0))/30)+1,0),0)</f>
        <v>0</v>
      </c>
      <c r="BF218" s="427">
        <f>-IF(AND(BF$11&gt;=EOMONTH('Construction Budget'!$K15,0),BF$11&lt;=EOMONTH('Construction Budget'!$M15,0)),('Construction Budget'!$G15+SUM($G218:BE218))/ROUND(((EOMONTH('Construction Budget'!$M15,0)-EOMONTH(BF$11,0))/30)+1,0),0)</f>
        <v>0</v>
      </c>
      <c r="BG218" s="427">
        <f>-IF(AND(BG$11&gt;=EOMONTH('Construction Budget'!$K15,0),BG$11&lt;=EOMONTH('Construction Budget'!$M15,0)),('Construction Budget'!$G15+SUM($G218:BF218))/ROUND(((EOMONTH('Construction Budget'!$M15,0)-EOMONTH(BG$11,0))/30)+1,0),0)</f>
        <v>0</v>
      </c>
      <c r="BH218" s="427">
        <f>-IF(AND(BH$11&gt;=EOMONTH('Construction Budget'!$K15,0),BH$11&lt;=EOMONTH('Construction Budget'!$M15,0)),('Construction Budget'!$G15+SUM($G218:BG218))/ROUND(((EOMONTH('Construction Budget'!$M15,0)-EOMONTH(BH$11,0))/30)+1,0),0)</f>
        <v>0</v>
      </c>
      <c r="BI218" s="427">
        <f>-IF(AND(BI$11&gt;=EOMONTH('Construction Budget'!$K15,0),BI$11&lt;=EOMONTH('Construction Budget'!$M15,0)),('Construction Budget'!$G15+SUM($G218:BH218))/ROUND(((EOMONTH('Construction Budget'!$M15,0)-EOMONTH(BI$11,0))/30)+1,0),0)</f>
        <v>0</v>
      </c>
      <c r="BJ218" s="427">
        <f>-IF(AND(BJ$11&gt;=EOMONTH('Construction Budget'!$K15,0),BJ$11&lt;=EOMONTH('Construction Budget'!$M15,0)),('Construction Budget'!$G15+SUM($G218:BI218))/ROUND(((EOMONTH('Construction Budget'!$M15,0)-EOMONTH(BJ$11,0))/30)+1,0),0)</f>
        <v>0</v>
      </c>
      <c r="BK218" s="427">
        <f>-IF(AND(BK$11&gt;=EOMONTH('Construction Budget'!$K15,0),BK$11&lt;=EOMONTH('Construction Budget'!$M15,0)),('Construction Budget'!$G15+SUM($G218:BJ218))/ROUND(((EOMONTH('Construction Budget'!$M15,0)-EOMONTH(BK$11,0))/30)+1,0),0)</f>
        <v>0</v>
      </c>
      <c r="BL218" s="427">
        <f>-IF(AND(BL$11&gt;=EOMONTH('Construction Budget'!$K15,0),BL$11&lt;=EOMONTH('Construction Budget'!$M15,0)),('Construction Budget'!$G15+SUM($G218:BK218))/ROUND(((EOMONTH('Construction Budget'!$M15,0)-EOMONTH(BL$11,0))/30)+1,0),0)</f>
        <v>0</v>
      </c>
      <c r="BM218" s="427">
        <f>-IF(AND(BM$11&gt;=EOMONTH('Construction Budget'!$K15,0),BM$11&lt;=EOMONTH('Construction Budget'!$M15,0)),('Construction Budget'!$G15+SUM($G218:BL218))/ROUND(((EOMONTH('Construction Budget'!$M15,0)-EOMONTH(BM$11,0))/30)+1,0),0)</f>
        <v>0</v>
      </c>
      <c r="BN218" s="427">
        <f>-IF(AND(BN$11&gt;=EOMONTH('Construction Budget'!$K15,0),BN$11&lt;=EOMONTH('Construction Budget'!$M15,0)),('Construction Budget'!$G15+SUM($G218:BM218))/ROUND(((EOMONTH('Construction Budget'!$M15,0)-EOMONTH(BN$11,0))/30)+1,0),0)</f>
        <v>0</v>
      </c>
      <c r="BO218" s="427">
        <f>-IF(AND(BO$11&gt;=EOMONTH('Construction Budget'!$K15,0),BO$11&lt;=EOMONTH('Construction Budget'!$M15,0)),('Construction Budget'!$G15+SUM($G218:BN218))/ROUND(((EOMONTH('Construction Budget'!$M15,0)-EOMONTH(BO$11,0))/30)+1,0),0)</f>
        <v>0</v>
      </c>
      <c r="BP218" s="427">
        <f>-IF(AND(BP$11&gt;=EOMONTH('Construction Budget'!$K15,0),BP$11&lt;=EOMONTH('Construction Budget'!$M15,0)),('Construction Budget'!$G15+SUM($G218:BO218))/ROUND(((EOMONTH('Construction Budget'!$M15,0)-EOMONTH(BP$11,0))/30)+1,0),0)</f>
        <v>0</v>
      </c>
      <c r="BQ218" s="427">
        <f>-IF(AND(BQ$11&gt;=EOMONTH('Construction Budget'!$K15,0),BQ$11&lt;=EOMONTH('Construction Budget'!$M15,0)),('Construction Budget'!$G15+SUM($G218:BP218))/ROUND(((EOMONTH('Construction Budget'!$M15,0)-EOMONTH(BQ$11,0))/30)+1,0),0)</f>
        <v>0</v>
      </c>
      <c r="BR218" s="427">
        <f>-IF(AND(BR$11&gt;=EOMONTH('Construction Budget'!$K15,0),BR$11&lt;=EOMONTH('Construction Budget'!$M15,0)),('Construction Budget'!$G15+SUM($G218:BQ218))/ROUND(((EOMONTH('Construction Budget'!$M15,0)-EOMONTH(BR$11,0))/30)+1,0),0)</f>
        <v>0</v>
      </c>
      <c r="BS218" s="427">
        <f>-IF(AND(BS$11&gt;=EOMONTH('Construction Budget'!$K15,0),BS$11&lt;=EOMONTH('Construction Budget'!$M15,0)),('Construction Budget'!$G15+SUM($G218:BR218))/ROUND(((EOMONTH('Construction Budget'!$M15,0)-EOMONTH(BS$11,0))/30)+1,0),0)</f>
        <v>0</v>
      </c>
      <c r="BT218" s="427">
        <f>-IF(AND(BT$11&gt;=EOMONTH('Construction Budget'!$K15,0),BT$11&lt;=EOMONTH('Construction Budget'!$M15,0)),('Construction Budget'!$G15+SUM($G218:BS218))/ROUND(((EOMONTH('Construction Budget'!$M15,0)-EOMONTH(BT$11,0))/30)+1,0),0)</f>
        <v>0</v>
      </c>
      <c r="BU218" s="427">
        <f>-IF(AND(BU$11&gt;=EOMONTH('Construction Budget'!$K15,0),BU$11&lt;=EOMONTH('Construction Budget'!$M15,0)),('Construction Budget'!$G15+SUM($G218:BT218))/ROUND(((EOMONTH('Construction Budget'!$M15,0)-EOMONTH(BU$11,0))/30)+1,0),0)</f>
        <v>0</v>
      </c>
      <c r="BV218" s="427">
        <f>-IF(AND(BV$11&gt;=EOMONTH('Construction Budget'!$K15,0),BV$11&lt;=EOMONTH('Construction Budget'!$M15,0)),('Construction Budget'!$G15+SUM($G218:BU218))/ROUND(((EOMONTH('Construction Budget'!$M15,0)-EOMONTH(BV$11,0))/30)+1,0),0)</f>
        <v>0</v>
      </c>
      <c r="BW218" s="427">
        <f>-IF(AND(BW$11&gt;=EOMONTH('Construction Budget'!$K15,0),BW$11&lt;=EOMONTH('Construction Budget'!$M15,0)),('Construction Budget'!$G15+SUM($G218:BV218))/ROUND(((EOMONTH('Construction Budget'!$M15,0)-EOMONTH(BW$11,0))/30)+1,0),0)</f>
        <v>0</v>
      </c>
      <c r="BX218" s="427">
        <f>-IF(AND(BX$11&gt;=EOMONTH('Construction Budget'!$K15,0),BX$11&lt;=EOMONTH('Construction Budget'!$M15,0)),('Construction Budget'!$G15+SUM($G218:BW218))/ROUND(((EOMONTH('Construction Budget'!$M15,0)-EOMONTH(BX$11,0))/30)+1,0),0)</f>
        <v>0</v>
      </c>
      <c r="BY218" s="427">
        <f>-IF(AND(BY$11&gt;=EOMONTH('Construction Budget'!$K15,0),BY$11&lt;=EOMONTH('Construction Budget'!$M15,0)),('Construction Budget'!$G15+SUM($G218:BX218))/ROUND(((EOMONTH('Construction Budget'!$M15,0)-EOMONTH(BY$11,0))/30)+1,0),0)</f>
        <v>0</v>
      </c>
      <c r="BZ218" s="427">
        <f>-IF(AND(BZ$11&gt;=EOMONTH('Construction Budget'!$K15,0),BZ$11&lt;=EOMONTH('Construction Budget'!$M15,0)),('Construction Budget'!$G15+SUM($G218:BY218))/ROUND(((EOMONTH('Construction Budget'!$M15,0)-EOMONTH(BZ$11,0))/30)+1,0),0)</f>
        <v>0</v>
      </c>
      <c r="CA218" s="427">
        <f>-IF(AND(CA$11&gt;=EOMONTH('Construction Budget'!$K15,0),CA$11&lt;=EOMONTH('Construction Budget'!$M15,0)),('Construction Budget'!$G15+SUM($G218:BZ218))/ROUND(((EOMONTH('Construction Budget'!$M15,0)-EOMONTH(CA$11,0))/30)+1,0),0)</f>
        <v>0</v>
      </c>
      <c r="CB218" s="427">
        <f>-IF(AND(CB$11&gt;=EOMONTH('Construction Budget'!$K15,0),CB$11&lt;=EOMONTH('Construction Budget'!$M15,0)),('Construction Budget'!$G15+SUM($G218:CA218))/ROUND(((EOMONTH('Construction Budget'!$M15,0)-EOMONTH(CB$11,0))/30)+1,0),0)</f>
        <v>0</v>
      </c>
      <c r="CC218" s="427">
        <f>-IF(AND(CC$11&gt;=EOMONTH('Construction Budget'!$K15,0),CC$11&lt;=EOMONTH('Construction Budget'!$M15,0)),('Construction Budget'!$G15+SUM($G218:CB218))/ROUND(((EOMONTH('Construction Budget'!$M15,0)-EOMONTH(CC$11,0))/30)+1,0),0)</f>
        <v>0</v>
      </c>
      <c r="CD218" s="427">
        <f>-IF(AND(CD$11&gt;=EOMONTH('Construction Budget'!$K15,0),CD$11&lt;=EOMONTH('Construction Budget'!$M15,0)),('Construction Budget'!$G15+SUM($G218:CC218))/ROUND(((EOMONTH('Construction Budget'!$M15,0)-EOMONTH(CD$11,0))/30)+1,0),0)</f>
        <v>0</v>
      </c>
      <c r="CE218" s="427">
        <f>-IF(AND(CE$11&gt;=EOMONTH('Construction Budget'!$K15,0),CE$11&lt;=EOMONTH('Construction Budget'!$M15,0)),('Construction Budget'!$G15+SUM($G218:CD218))/ROUND(((EOMONTH('Construction Budget'!$M15,0)-EOMONTH(CE$11,0))/30)+1,0),0)</f>
        <v>0</v>
      </c>
      <c r="CF218" s="427">
        <f>-IF(AND(CF$11&gt;=EOMONTH('Construction Budget'!$K15,0),CF$11&lt;=EOMONTH('Construction Budget'!$M15,0)),('Construction Budget'!$G15+SUM($G218:CE218))/ROUND(((EOMONTH('Construction Budget'!$M15,0)-EOMONTH(CF$11,0))/30)+1,0),0)</f>
        <v>0</v>
      </c>
      <c r="CG218" s="427">
        <f>-IF(AND(CG$11&gt;=EOMONTH('Construction Budget'!$K15,0),CG$11&lt;=EOMONTH('Construction Budget'!$M15,0)),('Construction Budget'!$G15+SUM($G218:CF218))/ROUND(((EOMONTH('Construction Budget'!$M15,0)-EOMONTH(CG$11,0))/30)+1,0),0)</f>
        <v>0</v>
      </c>
      <c r="CH218" s="427">
        <f>-IF(AND(CH$11&gt;=EOMONTH('Construction Budget'!$K15,0),CH$11&lt;=EOMONTH('Construction Budget'!$M15,0)),('Construction Budget'!$G15+SUM($G218:CG218))/ROUND(((EOMONTH('Construction Budget'!$M15,0)-EOMONTH(CH$11,0))/30)+1,0),0)</f>
        <v>0</v>
      </c>
      <c r="CI218" s="427">
        <f>-IF(AND(CI$11&gt;=EOMONTH('Construction Budget'!$K15,0),CI$11&lt;=EOMONTH('Construction Budget'!$M15,0)),('Construction Budget'!$G15+SUM($G218:CH218))/ROUND(((EOMONTH('Construction Budget'!$M15,0)-EOMONTH(CI$11,0))/30)+1,0),0)</f>
        <v>0</v>
      </c>
      <c r="CJ218" s="427">
        <f>-IF(AND(CJ$11&gt;=EOMONTH('Construction Budget'!$K15,0),CJ$11&lt;=EOMONTH('Construction Budget'!$M15,0)),('Construction Budget'!$G15+SUM($G218:CI218))/ROUND(((EOMONTH('Construction Budget'!$M15,0)-EOMONTH(CJ$11,0))/30)+1,0),0)</f>
        <v>0</v>
      </c>
      <c r="CK218" s="427">
        <f>-IF(AND(CK$11&gt;=EOMONTH('Construction Budget'!$K15,0),CK$11&lt;=EOMONTH('Construction Budget'!$M15,0)),('Construction Budget'!$G15+SUM($G218:CJ218))/ROUND(((EOMONTH('Construction Budget'!$M15,0)-EOMONTH(CK$11,0))/30)+1,0),0)</f>
        <v>0</v>
      </c>
      <c r="CL218" s="427">
        <f>-IF(AND(CL$11&gt;=EOMONTH('Construction Budget'!$K15,0),CL$11&lt;=EOMONTH('Construction Budget'!$M15,0)),('Construction Budget'!$G15+SUM($G218:CK218))/ROUND(((EOMONTH('Construction Budget'!$M15,0)-EOMONTH(CL$11,0))/30)+1,0),0)</f>
        <v>0</v>
      </c>
      <c r="CM218" s="427">
        <f>-IF(AND(CM$11&gt;=EOMONTH('Construction Budget'!$K15,0),CM$11&lt;=EOMONTH('Construction Budget'!$M15,0)),('Construction Budget'!$G15+SUM($G218:CL218))/ROUND(((EOMONTH('Construction Budget'!$M15,0)-EOMONTH(CM$11,0))/30)+1,0),0)</f>
        <v>0</v>
      </c>
      <c r="CN218" s="427">
        <f>-IF(AND(CN$11&gt;=EOMONTH('Construction Budget'!$K15,0),CN$11&lt;=EOMONTH('Construction Budget'!$M15,0)),('Construction Budget'!$G15+SUM($G218:CM218))/ROUND(((EOMONTH('Construction Budget'!$M15,0)-EOMONTH(CN$11,0))/30)+1,0),0)</f>
        <v>0</v>
      </c>
      <c r="CO218" s="427">
        <f>-IF(AND(CO$11&gt;=EOMONTH('Construction Budget'!$K15,0),CO$11&lt;=EOMONTH('Construction Budget'!$M15,0)),('Construction Budget'!$G15+SUM($G218:CN218))/ROUND(((EOMONTH('Construction Budget'!$M15,0)-EOMONTH(CO$11,0))/30)+1,0),0)</f>
        <v>0</v>
      </c>
      <c r="CP218" s="427">
        <f>-IF(AND(CP$11&gt;=EOMONTH('Construction Budget'!$K15,0),CP$11&lt;=EOMONTH('Construction Budget'!$M15,0)),('Construction Budget'!$G15+SUM($G218:CO218))/ROUND(((EOMONTH('Construction Budget'!$M15,0)-EOMONTH(CP$11,0))/30)+1,0),0)</f>
        <v>0</v>
      </c>
      <c r="CQ218" s="427">
        <f>-IF(AND(CQ$11&gt;=EOMONTH('Construction Budget'!$K15,0),CQ$11&lt;=EOMONTH('Construction Budget'!$M15,0)),('Construction Budget'!$G15+SUM($G218:CP218))/ROUND(((EOMONTH('Construction Budget'!$M15,0)-EOMONTH(CQ$11,0))/30)+1,0),0)</f>
        <v>0</v>
      </c>
      <c r="CR218" s="427">
        <f>-IF(AND(CR$11&gt;=EOMONTH('Construction Budget'!$K15,0),CR$11&lt;=EOMONTH('Construction Budget'!$M15,0)),('Construction Budget'!$G15+SUM($G218:CQ218))/ROUND(((EOMONTH('Construction Budget'!$M15,0)-EOMONTH(CR$11,0))/30)+1,0),0)</f>
        <v>0</v>
      </c>
      <c r="CS218" s="427">
        <f>-IF(AND(CS$11&gt;=EOMONTH('Construction Budget'!$K15,0),CS$11&lt;=EOMONTH('Construction Budget'!$M15,0)),('Construction Budget'!$G15+SUM($G218:CR218))/ROUND(((EOMONTH('Construction Budget'!$M15,0)-EOMONTH(CS$11,0))/30)+1,0),0)</f>
        <v>0</v>
      </c>
      <c r="CT218" s="427">
        <f>-IF(AND(CT$11&gt;=EOMONTH('Construction Budget'!$K15,0),CT$11&lt;=EOMONTH('Construction Budget'!$M15,0)),('Construction Budget'!$G15+SUM($G218:CS218))/ROUND(((EOMONTH('Construction Budget'!$M15,0)-EOMONTH(CT$11,0))/30)+1,0),0)</f>
        <v>0</v>
      </c>
      <c r="CU218" s="427">
        <f>-IF(AND(CU$11&gt;=EOMONTH('Construction Budget'!$K15,0),CU$11&lt;=EOMONTH('Construction Budget'!$M15,0)),('Construction Budget'!$G15+SUM($G218:CT218))/ROUND(((EOMONTH('Construction Budget'!$M15,0)-EOMONTH(CU$11,0))/30)+1,0),0)</f>
        <v>0</v>
      </c>
      <c r="CV218" s="427">
        <f>-IF(AND(CV$11&gt;=EOMONTH('Construction Budget'!$K15,0),CV$11&lt;=EOMONTH('Construction Budget'!$M15,0)),('Construction Budget'!$G15+SUM($G218:CU218))/ROUND(((EOMONTH('Construction Budget'!$M15,0)-EOMONTH(CV$11,0))/30)+1,0),0)</f>
        <v>0</v>
      </c>
      <c r="CW218" s="427">
        <f>-IF(AND(CW$11&gt;=EOMONTH('Construction Budget'!$K15,0),CW$11&lt;=EOMONTH('Construction Budget'!$M15,0)),('Construction Budget'!$G15+SUM($G218:CV218))/ROUND(((EOMONTH('Construction Budget'!$M15,0)-EOMONTH(CW$11,0))/30)+1,0),0)</f>
        <v>0</v>
      </c>
      <c r="CX218" s="427">
        <f>-IF(AND(CX$11&gt;=EOMONTH('Construction Budget'!$K15,0),CX$11&lt;=EOMONTH('Construction Budget'!$M15,0)),('Construction Budget'!$G15+SUM($G218:CW218))/ROUND(((EOMONTH('Construction Budget'!$M15,0)-EOMONTH(CX$11,0))/30)+1,0),0)</f>
        <v>0</v>
      </c>
      <c r="CY218" s="427">
        <f>-IF(AND(CY$11&gt;=EOMONTH('Construction Budget'!$K15,0),CY$11&lt;=EOMONTH('Construction Budget'!$M15,0)),('Construction Budget'!$G15+SUM($G218:CX218))/ROUND(((EOMONTH('Construction Budget'!$M15,0)-EOMONTH(CY$11,0))/30)+1,0),0)</f>
        <v>0</v>
      </c>
      <c r="CZ218" s="427">
        <f>-IF(AND(CZ$11&gt;=EOMONTH('Construction Budget'!$K15,0),CZ$11&lt;=EOMONTH('Construction Budget'!$M15,0)),('Construction Budget'!$G15+SUM($G218:CY218))/ROUND(((EOMONTH('Construction Budget'!$M15,0)-EOMONTH(CZ$11,0))/30)+1,0),0)</f>
        <v>0</v>
      </c>
      <c r="DA218" s="427">
        <f>-IF(AND(DA$11&gt;=EOMONTH('Construction Budget'!$K15,0),DA$11&lt;=EOMONTH('Construction Budget'!$M15,0)),('Construction Budget'!$G15+SUM($G218:CZ218))/ROUND(((EOMONTH('Construction Budget'!$M15,0)-EOMONTH(DA$11,0))/30)+1,0),0)</f>
        <v>0</v>
      </c>
      <c r="DB218" s="427">
        <f>-IF(AND(DB$11&gt;=EOMONTH('Construction Budget'!$K15,0),DB$11&lt;=EOMONTH('Construction Budget'!$M15,0)),('Construction Budget'!$G15+SUM($G218:DA218))/ROUND(((EOMONTH('Construction Budget'!$M15,0)-EOMONTH(DB$11,0))/30)+1,0),0)</f>
        <v>0</v>
      </c>
      <c r="DC218" s="427">
        <f>-IF(AND(DC$11&gt;=EOMONTH('Construction Budget'!$K15,0),DC$11&lt;=EOMONTH('Construction Budget'!$M15,0)),('Construction Budget'!$G15+SUM($G218:DB218))/ROUND(((EOMONTH('Construction Budget'!$M15,0)-EOMONTH(DC$11,0))/30)+1,0),0)</f>
        <v>0</v>
      </c>
      <c r="DD218" s="427">
        <f>-IF(AND(DD$11&gt;=EOMONTH('Construction Budget'!$K15,0),DD$11&lt;=EOMONTH('Construction Budget'!$M15,0)),('Construction Budget'!$G15+SUM($G218:DC218))/ROUND(((EOMONTH('Construction Budget'!$M15,0)-EOMONTH(DD$11,0))/30)+1,0),0)</f>
        <v>0</v>
      </c>
      <c r="DE218" s="427">
        <f>-IF(AND(DE$11&gt;=EOMONTH('Construction Budget'!$K15,0),DE$11&lt;=EOMONTH('Construction Budget'!$M15,0)),('Construction Budget'!$G15+SUM($G218:DD218))/ROUND(((EOMONTH('Construction Budget'!$M15,0)-EOMONTH(DE$11,0))/30)+1,0),0)</f>
        <v>0</v>
      </c>
      <c r="DF218" s="427">
        <f>-IF(AND(DF$11&gt;=EOMONTH('Construction Budget'!$K15,0),DF$11&lt;=EOMONTH('Construction Budget'!$M15,0)),('Construction Budget'!$G15+SUM($G218:DE218))/ROUND(((EOMONTH('Construction Budget'!$M15,0)-EOMONTH(DF$11,0))/30)+1,0),0)</f>
        <v>0</v>
      </c>
      <c r="DG218" s="427">
        <f>-IF(AND(DG$11&gt;=EOMONTH('Construction Budget'!$K15,0),DG$11&lt;=EOMONTH('Construction Budget'!$M15,0)),('Construction Budget'!$G15+SUM($G218:DF218))/ROUND(((EOMONTH('Construction Budget'!$M15,0)-EOMONTH(DG$11,0))/30)+1,0),0)</f>
        <v>0</v>
      </c>
      <c r="DH218" s="427">
        <f>-IF(AND(DH$11&gt;=EOMONTH('Construction Budget'!$K15,0),DH$11&lt;=EOMONTH('Construction Budget'!$M15,0)),('Construction Budget'!$G15+SUM($G218:DG218))/ROUND(((EOMONTH('Construction Budget'!$M15,0)-EOMONTH(DH$11,0))/30)+1,0),0)</f>
        <v>0</v>
      </c>
      <c r="DI218" s="427">
        <f>-IF(AND(DI$11&gt;=EOMONTH('Construction Budget'!$K15,0),DI$11&lt;=EOMONTH('Construction Budget'!$M15,0)),('Construction Budget'!$G15+SUM($G218:DH218))/ROUND(((EOMONTH('Construction Budget'!$M15,0)-EOMONTH(DI$11,0))/30)+1,0),0)</f>
        <v>0</v>
      </c>
      <c r="DJ218" s="427">
        <f>-IF(AND(DJ$11&gt;=EOMONTH('Construction Budget'!$K15,0),DJ$11&lt;=EOMONTH('Construction Budget'!$M15,0)),('Construction Budget'!$G15+SUM($G218:DI218))/ROUND(((EOMONTH('Construction Budget'!$M15,0)-EOMONTH(DJ$11,0))/30)+1,0),0)</f>
        <v>0</v>
      </c>
      <c r="DK218" s="427">
        <f>-IF(AND(DK$11&gt;=EOMONTH('Construction Budget'!$K15,0),DK$11&lt;=EOMONTH('Construction Budget'!$M15,0)),('Construction Budget'!$G15+SUM($G218:DJ218))/ROUND(((EOMONTH('Construction Budget'!$M15,0)-EOMONTH(DK$11,0))/30)+1,0),0)</f>
        <v>0</v>
      </c>
      <c r="DL218" s="427">
        <f>-IF(AND(DL$11&gt;=EOMONTH('Construction Budget'!$K15,0),DL$11&lt;=EOMONTH('Construction Budget'!$M15,0)),('Construction Budget'!$G15+SUM($G218:DK218))/ROUND(((EOMONTH('Construction Budget'!$M15,0)-EOMONTH(DL$11,0))/30)+1,0),0)</f>
        <v>0</v>
      </c>
      <c r="DM218" s="427">
        <f>-IF(AND(DM$11&gt;=EOMONTH('Construction Budget'!$K15,0),DM$11&lt;=EOMONTH('Construction Budget'!$M15,0)),('Construction Budget'!$G15+SUM($G218:DL218))/ROUND(((EOMONTH('Construction Budget'!$M15,0)-EOMONTH(DM$11,0))/30)+1,0),0)</f>
        <v>0</v>
      </c>
      <c r="DN218" s="427">
        <f>-IF(AND(DN$11&gt;=EOMONTH('Construction Budget'!$K15,0),DN$11&lt;=EOMONTH('Construction Budget'!$M15,0)),('Construction Budget'!$G15+SUM($G218:DM218))/ROUND(((EOMONTH('Construction Budget'!$M15,0)-EOMONTH(DN$11,0))/30)+1,0),0)</f>
        <v>0</v>
      </c>
      <c r="DO218" s="427">
        <f>-IF(AND(DO$11&gt;=EOMONTH('Construction Budget'!$K15,0),DO$11&lt;=EOMONTH('Construction Budget'!$M15,0)),('Construction Budget'!$G15+SUM($G218:DN218))/ROUND(((EOMONTH('Construction Budget'!$M15,0)-EOMONTH(DO$11,0))/30)+1,0),0)</f>
        <v>0</v>
      </c>
      <c r="DP218" s="427">
        <f>-IF(AND(DP$11&gt;=EOMONTH('Construction Budget'!$K15,0),DP$11&lt;=EOMONTH('Construction Budget'!$M15,0)),('Construction Budget'!$G15+SUM($G218:DO218))/ROUND(((EOMONTH('Construction Budget'!$M15,0)-EOMONTH(DP$11,0))/30)+1,0),0)</f>
        <v>0</v>
      </c>
      <c r="DQ218" s="427">
        <f>-IF(AND(DQ$11&gt;=EOMONTH('Construction Budget'!$K15,0),DQ$11&lt;=EOMONTH('Construction Budget'!$M15,0)),('Construction Budget'!$G15+SUM($G218:DP218))/ROUND(((EOMONTH('Construction Budget'!$M15,0)-EOMONTH(DQ$11,0))/30)+1,0),0)</f>
        <v>0</v>
      </c>
      <c r="DR218" s="427">
        <f>-IF(AND(DR$11&gt;=EOMONTH('Construction Budget'!$K15,0),DR$11&lt;=EOMONTH('Construction Budget'!$M15,0)),('Construction Budget'!$G15+SUM($G218:DQ218))/ROUND(((EOMONTH('Construction Budget'!$M15,0)-EOMONTH(DR$11,0))/30)+1,0),0)</f>
        <v>0</v>
      </c>
      <c r="DS218" s="427">
        <f>-IF(AND(DS$11&gt;=EOMONTH('Construction Budget'!$K15,0),DS$11&lt;=EOMONTH('Construction Budget'!$M15,0)),('Construction Budget'!$G15+SUM($G218:DR218))/ROUND(((EOMONTH('Construction Budget'!$M15,0)-EOMONTH(DS$11,0))/30)+1,0),0)</f>
        <v>0</v>
      </c>
      <c r="DT218" s="427">
        <f>-IF(AND(DT$11&gt;=EOMONTH('Construction Budget'!$K15,0),DT$11&lt;=EOMONTH('Construction Budget'!$M15,0)),('Construction Budget'!$G15+SUM($G218:DS218))/ROUND(((EOMONTH('Construction Budget'!$M15,0)-EOMONTH(DT$11,0))/30)+1,0),0)</f>
        <v>0</v>
      </c>
      <c r="DU218" s="427">
        <f>-IF(AND(DU$11&gt;=EOMONTH('Construction Budget'!$K15,0),DU$11&lt;=EOMONTH('Construction Budget'!$M15,0)),('Construction Budget'!$G15+SUM($G218:DT218))/ROUND(((EOMONTH('Construction Budget'!$M15,0)-EOMONTH(DU$11,0))/30)+1,0),0)</f>
        <v>0</v>
      </c>
      <c r="DV218" s="427">
        <f>-IF(AND(DV$11&gt;=EOMONTH('Construction Budget'!$K15,0),DV$11&lt;=EOMONTH('Construction Budget'!$M15,0)),('Construction Budget'!$G15+SUM($G218:DU218))/ROUND(((EOMONTH('Construction Budget'!$M15,0)-EOMONTH(DV$11,0))/30)+1,0),0)</f>
        <v>0</v>
      </c>
      <c r="DW218" s="427">
        <f>-IF(AND(DW$11&gt;=EOMONTH('Construction Budget'!$K15,0),DW$11&lt;=EOMONTH('Construction Budget'!$M15,0)),('Construction Budget'!$G15+SUM($G218:DV218))/ROUND(((EOMONTH('Construction Budget'!$M15,0)-EOMONTH(DW$11,0))/30)+1,0),0)</f>
        <v>0</v>
      </c>
      <c r="DX218" s="427">
        <f>-IF(AND(DX$11&gt;=EOMONTH('Construction Budget'!$K15,0),DX$11&lt;=EOMONTH('Construction Budget'!$M15,0)),('Construction Budget'!$G15+SUM($G218:DW218))/ROUND(((EOMONTH('Construction Budget'!$M15,0)-EOMONTH(DX$11,0))/30)+1,0),0)</f>
        <v>0</v>
      </c>
      <c r="DY218" s="427">
        <f>-IF(AND(DY$11&gt;=EOMONTH('Construction Budget'!$K15,0),DY$11&lt;=EOMONTH('Construction Budget'!$M15,0)),('Construction Budget'!$G15+SUM($G218:DX218))/ROUND(((EOMONTH('Construction Budget'!$M15,0)-EOMONTH(DY$11,0))/30)+1,0),0)</f>
        <v>0</v>
      </c>
      <c r="DZ218" s="427">
        <f>-IF(AND(DZ$11&gt;=EOMONTH('Construction Budget'!$K15,0),DZ$11&lt;=EOMONTH('Construction Budget'!$M15,0)),('Construction Budget'!$G15+SUM($G218:DY218))/ROUND(((EOMONTH('Construction Budget'!$M15,0)-EOMONTH(DZ$11,0))/30)+1,0),0)</f>
        <v>0</v>
      </c>
      <c r="EA218" s="427">
        <f>-IF(AND(EA$11&gt;=EOMONTH('Construction Budget'!$K15,0),EA$11&lt;=EOMONTH('Construction Budget'!$M15,0)),('Construction Budget'!$G15+SUM($G218:DZ218))/ROUND(((EOMONTH('Construction Budget'!$M15,0)-EOMONTH(EA$11,0))/30)+1,0),0)</f>
        <v>0</v>
      </c>
      <c r="EB218" s="427">
        <f>-IF(AND(EB$11&gt;=EOMONTH('Construction Budget'!$K15,0),EB$11&lt;=EOMONTH('Construction Budget'!$M15,0)),('Construction Budget'!$G15+SUM($G218:EA218))/ROUND(((EOMONTH('Construction Budget'!$M15,0)-EOMONTH(EB$11,0))/30)+1,0),0)</f>
        <v>0</v>
      </c>
      <c r="EC218" s="427">
        <f>-IF(AND(EC$11&gt;=EOMONTH('Construction Budget'!$K15,0),EC$11&lt;=EOMONTH('Construction Budget'!$M15,0)),('Construction Budget'!$G15+SUM($G218:EB218))/ROUND(((EOMONTH('Construction Budget'!$M15,0)-EOMONTH(EC$11,0))/30)+1,0),0)</f>
        <v>0</v>
      </c>
      <c r="ED218" s="427">
        <f>-IF(AND(ED$11&gt;=EOMONTH('Construction Budget'!$K15,0),ED$11&lt;=EOMONTH('Construction Budget'!$M15,0)),('Construction Budget'!$G15+SUM($G218:EC218))/ROUND(((EOMONTH('Construction Budget'!$M15,0)-EOMONTH(ED$11,0))/30)+1,0),0)</f>
        <v>0</v>
      </c>
      <c r="EE218" s="427">
        <f>-IF(AND(EE$11&gt;=EOMONTH('Construction Budget'!$K15,0),EE$11&lt;=EOMONTH('Construction Budget'!$M15,0)),('Construction Budget'!$G15+SUM($G218:ED218))/ROUND(((EOMONTH('Construction Budget'!$M15,0)-EOMONTH(EE$11,0))/30)+1,0),0)</f>
        <v>0</v>
      </c>
      <c r="EF218" s="427">
        <f>-IF(AND(EF$11&gt;=EOMONTH('Construction Budget'!$K15,0),EF$11&lt;=EOMONTH('Construction Budget'!$M15,0)),('Construction Budget'!$G15+SUM($G218:EE218))/ROUND(((EOMONTH('Construction Budget'!$M15,0)-EOMONTH(EF$11,0))/30)+1,0),0)</f>
        <v>0</v>
      </c>
      <c r="EG218" s="427">
        <f>-IF(AND(EG$11&gt;=EOMONTH('Construction Budget'!$K15,0),EG$11&lt;=EOMONTH('Construction Budget'!$M15,0)),('Construction Budget'!$G15+SUM($G218:EF218))/ROUND(((EOMONTH('Construction Budget'!$M15,0)-EOMONTH(EG$11,0))/30)+1,0),0)</f>
        <v>0</v>
      </c>
      <c r="EH218" s="427">
        <f>-IF(AND(EH$11&gt;=EOMONTH('Construction Budget'!$K15,0),EH$11&lt;=EOMONTH('Construction Budget'!$M15,0)),('Construction Budget'!$G15+SUM($G218:EG218))/ROUND(((EOMONTH('Construction Budget'!$M15,0)-EOMONTH(EH$11,0))/30)+1,0),0)</f>
        <v>0</v>
      </c>
      <c r="EI218" s="427">
        <f>-IF(AND(EI$11&gt;=EOMONTH('Construction Budget'!$K15,0),EI$11&lt;=EOMONTH('Construction Budget'!$M15,0)),('Construction Budget'!$G15+SUM($G218:EH218))/ROUND(((EOMONTH('Construction Budget'!$M15,0)-EOMONTH(EI$11,0))/30)+1,0),0)</f>
        <v>0</v>
      </c>
      <c r="EJ218" s="427">
        <f>-IF(AND(EJ$11&gt;=EOMONTH('Construction Budget'!$K15,0),EJ$11&lt;=EOMONTH('Construction Budget'!$M15,0)),('Construction Budget'!$G15+SUM($G218:EI218))/ROUND(((EOMONTH('Construction Budget'!$M15,0)-EOMONTH(EJ$11,0))/30)+1,0),0)</f>
        <v>0</v>
      </c>
      <c r="EK218" s="427">
        <f>-IF(AND(EK$11&gt;=EOMONTH('Construction Budget'!$K15,0),EK$11&lt;=EOMONTH('Construction Budget'!$M15,0)),('Construction Budget'!$G15+SUM($G218:EJ218))/ROUND(((EOMONTH('Construction Budget'!$M15,0)-EOMONTH(EK$11,0))/30)+1,0),0)</f>
        <v>0</v>
      </c>
      <c r="EL218" s="427">
        <f>-IF(AND(EL$11&gt;=EOMONTH('Construction Budget'!$K15,0),EL$11&lt;=EOMONTH('Construction Budget'!$M15,0)),('Construction Budget'!$G15+SUM($G218:EK218))/ROUND(((EOMONTH('Construction Budget'!$M15,0)-EOMONTH(EL$11,0))/30)+1,0),0)</f>
        <v>0</v>
      </c>
      <c r="EM218" s="427">
        <f>-IF(AND(EM$11&gt;=EOMONTH('Construction Budget'!$K15,0),EM$11&lt;=EOMONTH('Construction Budget'!$M15,0)),('Construction Budget'!$G15+SUM($G218:EL218))/ROUND(((EOMONTH('Construction Budget'!$M15,0)-EOMONTH(EM$11,0))/30)+1,0),0)</f>
        <v>0</v>
      </c>
      <c r="EN218" s="427">
        <f>-IF(AND(EN$11&gt;=EOMONTH('Construction Budget'!$K15,0),EN$11&lt;=EOMONTH('Construction Budget'!$M15,0)),('Construction Budget'!$G15+SUM($G218:EM218))/ROUND(((EOMONTH('Construction Budget'!$M15,0)-EOMONTH(EN$11,0))/30)+1,0),0)</f>
        <v>0</v>
      </c>
      <c r="EO218" s="427">
        <f>-IF(AND(EO$11&gt;=EOMONTH('Construction Budget'!$K15,0),EO$11&lt;=EOMONTH('Construction Budget'!$M15,0)),('Construction Budget'!$G15+SUM($G218:EN218))/ROUND(((EOMONTH('Construction Budget'!$M15,0)-EOMONTH(EO$11,0))/30)+1,0),0)</f>
        <v>0</v>
      </c>
      <c r="EP218" s="427">
        <f>-IF(AND(EP$11&gt;=EOMONTH('Construction Budget'!$K15,0),EP$11&lt;=EOMONTH('Construction Budget'!$M15,0)),('Construction Budget'!$G15+SUM($G218:EO218))/ROUND(((EOMONTH('Construction Budget'!$M15,0)-EOMONTH(EP$11,0))/30)+1,0),0)</f>
        <v>0</v>
      </c>
      <c r="EQ218" s="427">
        <f>-IF(AND(EQ$11&gt;=EOMONTH('Construction Budget'!$K15,0),EQ$11&lt;=EOMONTH('Construction Budget'!$M15,0)),('Construction Budget'!$G15+SUM($G218:EP218))/ROUND(((EOMONTH('Construction Budget'!$M15,0)-EOMONTH(EQ$11,0))/30)+1,0),0)</f>
        <v>0</v>
      </c>
      <c r="ER218" s="427">
        <f>-IF(AND(ER$11&gt;=EOMONTH('Construction Budget'!$K15,0),ER$11&lt;=EOMONTH('Construction Budget'!$M15,0)),('Construction Budget'!$G15+SUM($G218:EQ218))/ROUND(((EOMONTH('Construction Budget'!$M15,0)-EOMONTH(ER$11,0))/30)+1,0),0)</f>
        <v>0</v>
      </c>
      <c r="ES218" s="427">
        <f>-IF(AND(ES$11&gt;=EOMONTH('Construction Budget'!$K15,0),ES$11&lt;=EOMONTH('Construction Budget'!$M15,0)),('Construction Budget'!$G15+SUM($G218:ER218))/ROUND(((EOMONTH('Construction Budget'!$M15,0)-EOMONTH(ES$11,0))/30)+1,0),0)</f>
        <v>0</v>
      </c>
      <c r="ET218" s="427">
        <f>-IF(AND(ET$11&gt;=EOMONTH('Construction Budget'!$K15,0),ET$11&lt;=EOMONTH('Construction Budget'!$M15,0)),('Construction Budget'!$G15+SUM($G218:ES218))/ROUND(((EOMONTH('Construction Budget'!$M15,0)-EOMONTH(ET$11,0))/30)+1,0),0)</f>
        <v>0</v>
      </c>
      <c r="EU218" s="427">
        <f>-IF(AND(EU$11&gt;=EOMONTH('Construction Budget'!$K15,0),EU$11&lt;=EOMONTH('Construction Budget'!$M15,0)),('Construction Budget'!$G15+SUM($G218:ET218))/ROUND(((EOMONTH('Construction Budget'!$M15,0)-EOMONTH(EU$11,0))/30)+1,0),0)</f>
        <v>0</v>
      </c>
      <c r="EV218" s="427">
        <f>-IF(AND(EV$11&gt;=EOMONTH('Construction Budget'!$K15,0),EV$11&lt;=EOMONTH('Construction Budget'!$M15,0)),('Construction Budget'!$G15+SUM($G218:EU218))/ROUND(((EOMONTH('Construction Budget'!$M15,0)-EOMONTH(EV$11,0))/30)+1,0),0)</f>
        <v>0</v>
      </c>
      <c r="EW218" s="427">
        <f>-IF(AND(EW$11&gt;=EOMONTH('Construction Budget'!$K15,0),EW$11&lt;=EOMONTH('Construction Budget'!$M15,0)),('Construction Budget'!$G15+SUM($G218:EV218))/ROUND(((EOMONTH('Construction Budget'!$M15,0)-EOMONTH(EW$11,0))/30)+1,0),0)</f>
        <v>0</v>
      </c>
      <c r="EX218" s="427">
        <f>-IF(AND(EX$11&gt;=EOMONTH('Construction Budget'!$K15,0),EX$11&lt;=EOMONTH('Construction Budget'!$M15,0)),('Construction Budget'!$G15+SUM($G218:EW218))/ROUND(((EOMONTH('Construction Budget'!$M15,0)-EOMONTH(EX$11,0))/30)+1,0),0)</f>
        <v>0</v>
      </c>
      <c r="EY218" s="427">
        <f>-IF(AND(EY$11&gt;=EOMONTH('Construction Budget'!$K15,0),EY$11&lt;=EOMONTH('Construction Budget'!$M15,0)),('Construction Budget'!$G15+SUM($G218:EX218))/ROUND(((EOMONTH('Construction Budget'!$M15,0)-EOMONTH(EY$11,0))/30)+1,0),0)</f>
        <v>0</v>
      </c>
      <c r="EZ218" s="427">
        <f>-IF(AND(EZ$11&gt;=EOMONTH('Construction Budget'!$K15,0),EZ$11&lt;=EOMONTH('Construction Budget'!$M15,0)),('Construction Budget'!$G15+SUM($G218:EY218))/ROUND(((EOMONTH('Construction Budget'!$M15,0)-EOMONTH(EZ$11,0))/30)+1,0),0)</f>
        <v>0</v>
      </c>
      <c r="FA218" s="427">
        <f>-IF(AND(FA$11&gt;=EOMONTH('Construction Budget'!$K15,0),FA$11&lt;=EOMONTH('Construction Budget'!$M15,0)),('Construction Budget'!$G15+SUM($G218:EZ218))/ROUND(((EOMONTH('Construction Budget'!$M15,0)-EOMONTH(FA$11,0))/30)+1,0),0)</f>
        <v>0</v>
      </c>
      <c r="FB218" s="427">
        <f>-IF(AND(FB$11&gt;=EOMONTH('Construction Budget'!$K15,0),FB$11&lt;=EOMONTH('Construction Budget'!$M15,0)),('Construction Budget'!$G15+SUM($G218:FA218))/ROUND(((EOMONTH('Construction Budget'!$M15,0)-EOMONTH(FB$11,0))/30)+1,0),0)</f>
        <v>0</v>
      </c>
      <c r="FC218" s="427">
        <f>-IF(AND(FC$11&gt;=EOMONTH('Construction Budget'!$K15,0),FC$11&lt;=EOMONTH('Construction Budget'!$M15,0)),('Construction Budget'!$G15+SUM($G218:FB218))/ROUND(((EOMONTH('Construction Budget'!$M15,0)-EOMONTH(FC$11,0))/30)+1,0),0)</f>
        <v>0</v>
      </c>
      <c r="FD218" s="427">
        <f>-IF(AND(FD$11&gt;=EOMONTH('Construction Budget'!$K15,0),FD$11&lt;=EOMONTH('Construction Budget'!$M15,0)),('Construction Budget'!$G15+SUM($G218:FC218))/ROUND(((EOMONTH('Construction Budget'!$M15,0)-EOMONTH(FD$11,0))/30)+1,0),0)</f>
        <v>0</v>
      </c>
      <c r="FE218" s="427">
        <f>-IF(AND(FE$11&gt;=EOMONTH('Construction Budget'!$K15,0),FE$11&lt;=EOMONTH('Construction Budget'!$M15,0)),('Construction Budget'!$G15+SUM($G218:FD218))/ROUND(((EOMONTH('Construction Budget'!$M15,0)-EOMONTH(FE$11,0))/30)+1,0),0)</f>
        <v>0</v>
      </c>
      <c r="FF218" s="427">
        <f>-IF(AND(FF$11&gt;=EOMONTH('Construction Budget'!$K15,0),FF$11&lt;=EOMONTH('Construction Budget'!$M15,0)),('Construction Budget'!$G15+SUM($G218:FE218))/ROUND(((EOMONTH('Construction Budget'!$M15,0)-EOMONTH(FF$11,0))/30)+1,0),0)</f>
        <v>0</v>
      </c>
      <c r="FG218" s="427">
        <f>-IF(AND(FG$11&gt;=EOMONTH('Construction Budget'!$K15,0),FG$11&lt;=EOMONTH('Construction Budget'!$M15,0)),('Construction Budget'!$G15+SUM($G218:FF218))/ROUND(((EOMONTH('Construction Budget'!$M15,0)-EOMONTH(FG$11,0))/30)+1,0),0)</f>
        <v>0</v>
      </c>
      <c r="FH218" s="427">
        <f>-IF(AND(FH$11&gt;=EOMONTH('Construction Budget'!$K15,0),FH$11&lt;=EOMONTH('Construction Budget'!$M15,0)),('Construction Budget'!$G15+SUM($G218:FG218))/ROUND(((EOMONTH('Construction Budget'!$M15,0)-EOMONTH(FH$11,0))/30)+1,0),0)</f>
        <v>0</v>
      </c>
      <c r="FI218" s="427">
        <f>-IF(AND(FI$11&gt;=EOMONTH('Construction Budget'!$K15,0),FI$11&lt;=EOMONTH('Construction Budget'!$M15,0)),('Construction Budget'!$G15+SUM($G218:FH218))/ROUND(((EOMONTH('Construction Budget'!$M15,0)-EOMONTH(FI$11,0))/30)+1,0),0)</f>
        <v>0</v>
      </c>
      <c r="FJ218" s="427">
        <f>-IF(AND(FJ$11&gt;=EOMONTH('Construction Budget'!$K15,0),FJ$11&lt;=EOMONTH('Construction Budget'!$M15,0)),('Construction Budget'!$G15+SUM($G218:FI218))/ROUND(((EOMONTH('Construction Budget'!$M15,0)-EOMONTH(FJ$11,0))/30)+1,0),0)</f>
        <v>0</v>
      </c>
      <c r="FK218" s="427">
        <f>-IF(AND(FK$11&gt;=EOMONTH('Construction Budget'!$K15,0),FK$11&lt;=EOMONTH('Construction Budget'!$M15,0)),('Construction Budget'!$G15+SUM($G218:FJ218))/ROUND(((EOMONTH('Construction Budget'!$M15,0)-EOMONTH(FK$11,0))/30)+1,0),0)</f>
        <v>0</v>
      </c>
      <c r="FL218" s="427">
        <f>-IF(AND(FL$11&gt;=EOMONTH('Construction Budget'!$K15,0),FL$11&lt;=EOMONTH('Construction Budget'!$M15,0)),('Construction Budget'!$G15+SUM($G218:FK218))/ROUND(((EOMONTH('Construction Budget'!$M15,0)-EOMONTH(FL$11,0))/30)+1,0),0)</f>
        <v>0</v>
      </c>
      <c r="FM218" s="427">
        <f>-IF(AND(FM$11&gt;=EOMONTH('Construction Budget'!$K15,0),FM$11&lt;=EOMONTH('Construction Budget'!$M15,0)),('Construction Budget'!$G15+SUM($G218:FL218))/ROUND(((EOMONTH('Construction Budget'!$M15,0)-EOMONTH(FM$11,0))/30)+1,0),0)</f>
        <v>0</v>
      </c>
      <c r="FN218" s="427">
        <f>-IF(AND(FN$11&gt;=EOMONTH('Construction Budget'!$K15,0),FN$11&lt;=EOMONTH('Construction Budget'!$M15,0)),('Construction Budget'!$G15+SUM($G218:FM218))/ROUND(((EOMONTH('Construction Budget'!$M15,0)-EOMONTH(FN$11,0))/30)+1,0),0)</f>
        <v>0</v>
      </c>
      <c r="FO218" s="427">
        <f>-IF(AND(FO$11&gt;=EOMONTH('Construction Budget'!$K15,0),FO$11&lt;=EOMONTH('Construction Budget'!$M15,0)),('Construction Budget'!$G15+SUM($G218:FN218))/ROUND(((EOMONTH('Construction Budget'!$M15,0)-EOMONTH(FO$11,0))/30)+1,0),0)</f>
        <v>0</v>
      </c>
      <c r="FP218" s="427">
        <f>-IF(AND(FP$11&gt;=EOMONTH('Construction Budget'!$K15,0),FP$11&lt;=EOMONTH('Construction Budget'!$M15,0)),('Construction Budget'!$G15+SUM($G218:FO218))/ROUND(((EOMONTH('Construction Budget'!$M15,0)-EOMONTH(FP$11,0))/30)+1,0),0)</f>
        <v>0</v>
      </c>
      <c r="FQ218" s="427">
        <f>-IF(AND(FQ$11&gt;=EOMONTH('Construction Budget'!$K15,0),FQ$11&lt;=EOMONTH('Construction Budget'!$M15,0)),('Construction Budget'!$G15+SUM($G218:FP218))/ROUND(((EOMONTH('Construction Budget'!$M15,0)-EOMONTH(FQ$11,0))/30)+1,0),0)</f>
        <v>0</v>
      </c>
      <c r="FR218" s="427">
        <f>-IF(AND(FR$11&gt;=EOMONTH('Construction Budget'!$K15,0),FR$11&lt;=EOMONTH('Construction Budget'!$M15,0)),('Construction Budget'!$G15+SUM($G218:FQ218))/ROUND(((EOMONTH('Construction Budget'!$M15,0)-EOMONTH(FR$11,0))/30)+1,0),0)</f>
        <v>0</v>
      </c>
      <c r="FS218" s="427">
        <f>-IF(AND(FS$11&gt;=EOMONTH('Construction Budget'!$K15,0),FS$11&lt;=EOMONTH('Construction Budget'!$M15,0)),('Construction Budget'!$G15+SUM($G218:FR218))/ROUND(((EOMONTH('Construction Budget'!$M15,0)-EOMONTH(FS$11,0))/30)+1,0),0)</f>
        <v>0</v>
      </c>
      <c r="FT218" s="427">
        <f>-IF(AND(FT$11&gt;=EOMONTH('Construction Budget'!$K15,0),FT$11&lt;=EOMONTH('Construction Budget'!$M15,0)),('Construction Budget'!$G15+SUM($G218:FS218))/ROUND(((EOMONTH('Construction Budget'!$M15,0)-EOMONTH(FT$11,0))/30)+1,0),0)</f>
        <v>0</v>
      </c>
      <c r="FU218" s="43"/>
      <c r="FV218" s="34"/>
      <c r="FW218" s="34"/>
      <c r="FX218" s="34"/>
      <c r="FY218" s="34"/>
      <c r="FZ218" s="34"/>
    </row>
    <row r="219" spans="1:182" s="89" customFormat="1" ht="13.5" hidden="1" outlineLevel="1" x14ac:dyDescent="0.25">
      <c r="A219" s="498"/>
      <c r="B219" s="128" t="str">
        <f>'Construction Budget'!B16</f>
        <v>Blank</v>
      </c>
      <c r="C219" s="34"/>
      <c r="D219" s="34"/>
      <c r="E219" s="34"/>
      <c r="F219" s="434">
        <f t="shared" si="240"/>
        <v>0</v>
      </c>
      <c r="G219" s="34"/>
      <c r="H219" s="427">
        <f>-IF(AND(H$11&gt;=EOMONTH('Construction Budget'!$K16,0),H$11&lt;=EOMONTH('Construction Budget'!$M16,0)),('Construction Budget'!$G16+SUM($G219:G219))/ROUND(((EOMONTH('Construction Budget'!$M16,0)-EOMONTH(H$11,0))/30)+1,0),0)</f>
        <v>0</v>
      </c>
      <c r="I219" s="427">
        <f>-IF(AND(I$11&gt;=EOMONTH('Construction Budget'!$K16,0),I$11&lt;=EOMONTH('Construction Budget'!$M16,0)),('Construction Budget'!$G16+SUM($G219:H219))/ROUND(((EOMONTH('Construction Budget'!$M16,0)-EOMONTH(I$11,0))/30)+1,0),0)</f>
        <v>0</v>
      </c>
      <c r="J219" s="427">
        <f>-IF(AND(J$11&gt;=EOMONTH('Construction Budget'!$K16,0),J$11&lt;=EOMONTH('Construction Budget'!$M16,0)),('Construction Budget'!$G16+SUM($G219:I219))/ROUND(((EOMONTH('Construction Budget'!$M16,0)-EOMONTH(J$11,0))/30)+1,0),0)</f>
        <v>0</v>
      </c>
      <c r="K219" s="427">
        <f>-IF(AND(K$11&gt;=EOMONTH('Construction Budget'!$K16,0),K$11&lt;=EOMONTH('Construction Budget'!$M16,0)),('Construction Budget'!$G16+SUM($G219:J219))/ROUND(((EOMONTH('Construction Budget'!$M16,0)-EOMONTH(K$11,0))/30)+1,0),0)</f>
        <v>0</v>
      </c>
      <c r="L219" s="427">
        <f>-IF(AND(L$11&gt;=EOMONTH('Construction Budget'!$K16,0),L$11&lt;=EOMONTH('Construction Budget'!$M16,0)),('Construction Budget'!$G16+SUM($G219:K219))/ROUND(((EOMONTH('Construction Budget'!$M16,0)-EOMONTH(L$11,0))/30)+1,0),0)</f>
        <v>0</v>
      </c>
      <c r="M219" s="427">
        <f>-IF(AND(M$11&gt;=EOMONTH('Construction Budget'!$K16,0),M$11&lt;=EOMONTH('Construction Budget'!$M16,0)),('Construction Budget'!$G16+SUM($G219:L219))/ROUND(((EOMONTH('Construction Budget'!$M16,0)-EOMONTH(M$11,0))/30)+1,0),0)</f>
        <v>0</v>
      </c>
      <c r="N219" s="427">
        <f>-IF(AND(N$11&gt;=EOMONTH('Construction Budget'!$K16,0),N$11&lt;=EOMONTH('Construction Budget'!$M16,0)),('Construction Budget'!$G16+SUM($G219:M219))/ROUND(((EOMONTH('Construction Budget'!$M16,0)-EOMONTH(N$11,0))/30)+1,0),0)</f>
        <v>0</v>
      </c>
      <c r="O219" s="427">
        <f>-IF(AND(O$11&gt;=EOMONTH('Construction Budget'!$K16,0),O$11&lt;=EOMONTH('Construction Budget'!$M16,0)),('Construction Budget'!$G16+SUM($G219:N219))/ROUND(((EOMONTH('Construction Budget'!$M16,0)-EOMONTH(O$11,0))/30)+1,0),0)</f>
        <v>0</v>
      </c>
      <c r="P219" s="427">
        <f>-IF(AND(P$11&gt;=EOMONTH('Construction Budget'!$K16,0),P$11&lt;=EOMONTH('Construction Budget'!$M16,0)),('Construction Budget'!$G16+SUM($G219:O219))/ROUND(((EOMONTH('Construction Budget'!$M16,0)-EOMONTH(P$11,0))/30)+1,0),0)</f>
        <v>0</v>
      </c>
      <c r="Q219" s="427">
        <f>-IF(AND(Q$11&gt;=EOMONTH('Construction Budget'!$K16,0),Q$11&lt;=EOMONTH('Construction Budget'!$M16,0)),('Construction Budget'!$G16+SUM($G219:P219))/ROUND(((EOMONTH('Construction Budget'!$M16,0)-EOMONTH(Q$11,0))/30)+1,0),0)</f>
        <v>0</v>
      </c>
      <c r="R219" s="427">
        <f>-IF(AND(R$11&gt;=EOMONTH('Construction Budget'!$K16,0),R$11&lt;=EOMONTH('Construction Budget'!$M16,0)),('Construction Budget'!$G16+SUM($G219:Q219))/ROUND(((EOMONTH('Construction Budget'!$M16,0)-EOMONTH(R$11,0))/30)+1,0),0)</f>
        <v>0</v>
      </c>
      <c r="S219" s="427">
        <f>-IF(AND(S$11&gt;=EOMONTH('Construction Budget'!$K16,0),S$11&lt;=EOMONTH('Construction Budget'!$M16,0)),('Construction Budget'!$G16+SUM($G219:R219))/ROUND(((EOMONTH('Construction Budget'!$M16,0)-EOMONTH(S$11,0))/30)+1,0),0)</f>
        <v>0</v>
      </c>
      <c r="T219" s="427">
        <f>-IF(AND(T$11&gt;=EOMONTH('Construction Budget'!$K16,0),T$11&lt;=EOMONTH('Construction Budget'!$M16,0)),('Construction Budget'!$G16+SUM($G219:S219))/ROUND(((EOMONTH('Construction Budget'!$M16,0)-EOMONTH(T$11,0))/30)+1,0),0)</f>
        <v>0</v>
      </c>
      <c r="U219" s="427">
        <f>-IF(AND(U$11&gt;=EOMONTH('Construction Budget'!$K16,0),U$11&lt;=EOMONTH('Construction Budget'!$M16,0)),('Construction Budget'!$G16+SUM($G219:T219))/ROUND(((EOMONTH('Construction Budget'!$M16,0)-EOMONTH(U$11,0))/30)+1,0),0)</f>
        <v>0</v>
      </c>
      <c r="V219" s="427">
        <f>-IF(AND(V$11&gt;=EOMONTH('Construction Budget'!$K16,0),V$11&lt;=EOMONTH('Construction Budget'!$M16,0)),('Construction Budget'!$G16+SUM($G219:U219))/ROUND(((EOMONTH('Construction Budget'!$M16,0)-EOMONTH(V$11,0))/30)+1,0),0)</f>
        <v>0</v>
      </c>
      <c r="W219" s="427">
        <f>-IF(AND(W$11&gt;=EOMONTH('Construction Budget'!$K16,0),W$11&lt;=EOMONTH('Construction Budget'!$M16,0)),('Construction Budget'!$G16+SUM($G219:V219))/ROUND(((EOMONTH('Construction Budget'!$M16,0)-EOMONTH(W$11,0))/30)+1,0),0)</f>
        <v>0</v>
      </c>
      <c r="X219" s="427">
        <f>-IF(AND(X$11&gt;=EOMONTH('Construction Budget'!$K16,0),X$11&lt;=EOMONTH('Construction Budget'!$M16,0)),('Construction Budget'!$G16+SUM($G219:W219))/ROUND(((EOMONTH('Construction Budget'!$M16,0)-EOMONTH(X$11,0))/30)+1,0),0)</f>
        <v>0</v>
      </c>
      <c r="Y219" s="427">
        <f>-IF(AND(Y$11&gt;=EOMONTH('Construction Budget'!$K16,0),Y$11&lt;=EOMONTH('Construction Budget'!$M16,0)),('Construction Budget'!$G16+SUM($G219:X219))/ROUND(((EOMONTH('Construction Budget'!$M16,0)-EOMONTH(Y$11,0))/30)+1,0),0)</f>
        <v>0</v>
      </c>
      <c r="Z219" s="427">
        <f>-IF(AND(Z$11&gt;=EOMONTH('Construction Budget'!$K16,0),Z$11&lt;=EOMONTH('Construction Budget'!$M16,0)),('Construction Budget'!$G16+SUM($G219:Y219))/ROUND(((EOMONTH('Construction Budget'!$M16,0)-EOMONTH(Z$11,0))/30)+1,0),0)</f>
        <v>0</v>
      </c>
      <c r="AA219" s="427">
        <f>-IF(AND(AA$11&gt;=EOMONTH('Construction Budget'!$K16,0),AA$11&lt;=EOMONTH('Construction Budget'!$M16,0)),('Construction Budget'!$G16+SUM($G219:Z219))/ROUND(((EOMONTH('Construction Budget'!$M16,0)-EOMONTH(AA$11,0))/30)+1,0),0)</f>
        <v>0</v>
      </c>
      <c r="AB219" s="427">
        <f>-IF(AND(AB$11&gt;=EOMONTH('Construction Budget'!$K16,0),AB$11&lt;=EOMONTH('Construction Budget'!$M16,0)),('Construction Budget'!$G16+SUM($G219:AA219))/ROUND(((EOMONTH('Construction Budget'!$M16,0)-EOMONTH(AB$11,0))/30)+1,0),0)</f>
        <v>0</v>
      </c>
      <c r="AC219" s="427">
        <f>-IF(AND(AC$11&gt;=EOMONTH('Construction Budget'!$K16,0),AC$11&lt;=EOMONTH('Construction Budget'!$M16,0)),('Construction Budget'!$G16+SUM($G219:AB219))/ROUND(((EOMONTH('Construction Budget'!$M16,0)-EOMONTH(AC$11,0))/30)+1,0),0)</f>
        <v>0</v>
      </c>
      <c r="AD219" s="427">
        <f>-IF(AND(AD$11&gt;=EOMONTH('Construction Budget'!$K16,0),AD$11&lt;=EOMONTH('Construction Budget'!$M16,0)),('Construction Budget'!$G16+SUM($G219:AC219))/ROUND(((EOMONTH('Construction Budget'!$M16,0)-EOMONTH(AD$11,0))/30)+1,0),0)</f>
        <v>0</v>
      </c>
      <c r="AE219" s="427">
        <f>-IF(AND(AE$11&gt;=EOMONTH('Construction Budget'!$K16,0),AE$11&lt;=EOMONTH('Construction Budget'!$M16,0)),('Construction Budget'!$G16+SUM($G219:AD219))/ROUND(((EOMONTH('Construction Budget'!$M16,0)-EOMONTH(AE$11,0))/30)+1,0),0)</f>
        <v>0</v>
      </c>
      <c r="AF219" s="427">
        <f>-IF(AND(AF$11&gt;=EOMONTH('Construction Budget'!$K16,0),AF$11&lt;=EOMONTH('Construction Budget'!$M16,0)),('Construction Budget'!$G16+SUM($G219:AE219))/ROUND(((EOMONTH('Construction Budget'!$M16,0)-EOMONTH(AF$11,0))/30)+1,0),0)</f>
        <v>0</v>
      </c>
      <c r="AG219" s="427">
        <f>-IF(AND(AG$11&gt;=EOMONTH('Construction Budget'!$K16,0),AG$11&lt;=EOMONTH('Construction Budget'!$M16,0)),('Construction Budget'!$G16+SUM($G219:AF219))/ROUND(((EOMONTH('Construction Budget'!$M16,0)-EOMONTH(AG$11,0))/30)+1,0),0)</f>
        <v>0</v>
      </c>
      <c r="AH219" s="427">
        <f>-IF(AND(AH$11&gt;=EOMONTH('Construction Budget'!$K16,0),AH$11&lt;=EOMONTH('Construction Budget'!$M16,0)),('Construction Budget'!$G16+SUM($G219:AG219))/ROUND(((EOMONTH('Construction Budget'!$M16,0)-EOMONTH(AH$11,0))/30)+1,0),0)</f>
        <v>0</v>
      </c>
      <c r="AI219" s="427">
        <f>-IF(AND(AI$11&gt;=EOMONTH('Construction Budget'!$K16,0),AI$11&lt;=EOMONTH('Construction Budget'!$M16,0)),('Construction Budget'!$G16+SUM($G219:AH219))/ROUND(((EOMONTH('Construction Budget'!$M16,0)-EOMONTH(AI$11,0))/30)+1,0),0)</f>
        <v>0</v>
      </c>
      <c r="AJ219" s="427">
        <f>-IF(AND(AJ$11&gt;=EOMONTH('Construction Budget'!$K16,0),AJ$11&lt;=EOMONTH('Construction Budget'!$M16,0)),('Construction Budget'!$G16+SUM($G219:AI219))/ROUND(((EOMONTH('Construction Budget'!$M16,0)-EOMONTH(AJ$11,0))/30)+1,0),0)</f>
        <v>0</v>
      </c>
      <c r="AK219" s="427">
        <f>-IF(AND(AK$11&gt;=EOMONTH('Construction Budget'!$K16,0),AK$11&lt;=EOMONTH('Construction Budget'!$M16,0)),('Construction Budget'!$G16+SUM($G219:AJ219))/ROUND(((EOMONTH('Construction Budget'!$M16,0)-EOMONTH(AK$11,0))/30)+1,0),0)</f>
        <v>0</v>
      </c>
      <c r="AL219" s="427">
        <f>-IF(AND(AL$11&gt;=EOMONTH('Construction Budget'!$K16,0),AL$11&lt;=EOMONTH('Construction Budget'!$M16,0)),('Construction Budget'!$G16+SUM($G219:AK219))/ROUND(((EOMONTH('Construction Budget'!$M16,0)-EOMONTH(AL$11,0))/30)+1,0),0)</f>
        <v>0</v>
      </c>
      <c r="AM219" s="427">
        <f>-IF(AND(AM$11&gt;=EOMONTH('Construction Budget'!$K16,0),AM$11&lt;=EOMONTH('Construction Budget'!$M16,0)),('Construction Budget'!$G16+SUM($G219:AL219))/ROUND(((EOMONTH('Construction Budget'!$M16,0)-EOMONTH(AM$11,0))/30)+1,0),0)</f>
        <v>0</v>
      </c>
      <c r="AN219" s="427">
        <f>-IF(AND(AN$11&gt;=EOMONTH('Construction Budget'!$K16,0),AN$11&lt;=EOMONTH('Construction Budget'!$M16,0)),('Construction Budget'!$G16+SUM($G219:AM219))/ROUND(((EOMONTH('Construction Budget'!$M16,0)-EOMONTH(AN$11,0))/30)+1,0),0)</f>
        <v>0</v>
      </c>
      <c r="AO219" s="427">
        <f>-IF(AND(AO$11&gt;=EOMONTH('Construction Budget'!$K16,0),AO$11&lt;=EOMONTH('Construction Budget'!$M16,0)),('Construction Budget'!$G16+SUM($G219:AN219))/ROUND(((EOMONTH('Construction Budget'!$M16,0)-EOMONTH(AO$11,0))/30)+1,0),0)</f>
        <v>0</v>
      </c>
      <c r="AP219" s="427">
        <f>-IF(AND(AP$11&gt;=EOMONTH('Construction Budget'!$K16,0),AP$11&lt;=EOMONTH('Construction Budget'!$M16,0)),('Construction Budget'!$G16+SUM($G219:AO219))/ROUND(((EOMONTH('Construction Budget'!$M16,0)-EOMONTH(AP$11,0))/30)+1,0),0)</f>
        <v>0</v>
      </c>
      <c r="AQ219" s="427">
        <f>-IF(AND(AQ$11&gt;=EOMONTH('Construction Budget'!$K16,0),AQ$11&lt;=EOMONTH('Construction Budget'!$M16,0)),('Construction Budget'!$G16+SUM($G219:AP219))/ROUND(((EOMONTH('Construction Budget'!$M16,0)-EOMONTH(AQ$11,0))/30)+1,0),0)</f>
        <v>0</v>
      </c>
      <c r="AR219" s="427">
        <f>-IF(AND(AR$11&gt;=EOMONTH('Construction Budget'!$K16,0),AR$11&lt;=EOMONTH('Construction Budget'!$M16,0)),('Construction Budget'!$G16+SUM($G219:AQ219))/ROUND(((EOMONTH('Construction Budget'!$M16,0)-EOMONTH(AR$11,0))/30)+1,0),0)</f>
        <v>0</v>
      </c>
      <c r="AS219" s="427">
        <f>-IF(AND(AS$11&gt;=EOMONTH('Construction Budget'!$K16,0),AS$11&lt;=EOMONTH('Construction Budget'!$M16,0)),('Construction Budget'!$G16+SUM($G219:AR219))/ROUND(((EOMONTH('Construction Budget'!$M16,0)-EOMONTH(AS$11,0))/30)+1,0),0)</f>
        <v>0</v>
      </c>
      <c r="AT219" s="427">
        <f>-IF(AND(AT$11&gt;=EOMONTH('Construction Budget'!$K16,0),AT$11&lt;=EOMONTH('Construction Budget'!$M16,0)),('Construction Budget'!$G16+SUM($G219:AS219))/ROUND(((EOMONTH('Construction Budget'!$M16,0)-EOMONTH(AT$11,0))/30)+1,0),0)</f>
        <v>0</v>
      </c>
      <c r="AU219" s="427">
        <f>-IF(AND(AU$11&gt;=EOMONTH('Construction Budget'!$K16,0),AU$11&lt;=EOMONTH('Construction Budget'!$M16,0)),('Construction Budget'!$G16+SUM($G219:AT219))/ROUND(((EOMONTH('Construction Budget'!$M16,0)-EOMONTH(AU$11,0))/30)+1,0),0)</f>
        <v>0</v>
      </c>
      <c r="AV219" s="427">
        <f>-IF(AND(AV$11&gt;=EOMONTH('Construction Budget'!$K16,0),AV$11&lt;=EOMONTH('Construction Budget'!$M16,0)),('Construction Budget'!$G16+SUM($G219:AU219))/ROUND(((EOMONTH('Construction Budget'!$M16,0)-EOMONTH(AV$11,0))/30)+1,0),0)</f>
        <v>0</v>
      </c>
      <c r="AW219" s="427">
        <f>-IF(AND(AW$11&gt;=EOMONTH('Construction Budget'!$K16,0),AW$11&lt;=EOMONTH('Construction Budget'!$M16,0)),('Construction Budget'!$G16+SUM($G219:AV219))/ROUND(((EOMONTH('Construction Budget'!$M16,0)-EOMONTH(AW$11,0))/30)+1,0),0)</f>
        <v>0</v>
      </c>
      <c r="AX219" s="427">
        <f>-IF(AND(AX$11&gt;=EOMONTH('Construction Budget'!$K16,0),AX$11&lt;=EOMONTH('Construction Budget'!$M16,0)),('Construction Budget'!$G16+SUM($G219:AW219))/ROUND(((EOMONTH('Construction Budget'!$M16,0)-EOMONTH(AX$11,0))/30)+1,0),0)</f>
        <v>0</v>
      </c>
      <c r="AY219" s="427">
        <f>-IF(AND(AY$11&gt;=EOMONTH('Construction Budget'!$K16,0),AY$11&lt;=EOMONTH('Construction Budget'!$M16,0)),('Construction Budget'!$G16+SUM($G219:AX219))/ROUND(((EOMONTH('Construction Budget'!$M16,0)-EOMONTH(AY$11,0))/30)+1,0),0)</f>
        <v>0</v>
      </c>
      <c r="AZ219" s="427">
        <f>-IF(AND(AZ$11&gt;=EOMONTH('Construction Budget'!$K16,0),AZ$11&lt;=EOMONTH('Construction Budget'!$M16,0)),('Construction Budget'!$G16+SUM($G219:AY219))/ROUND(((EOMONTH('Construction Budget'!$M16,0)-EOMONTH(AZ$11,0))/30)+1,0),0)</f>
        <v>0</v>
      </c>
      <c r="BA219" s="427">
        <f>-IF(AND(BA$11&gt;=EOMONTH('Construction Budget'!$K16,0),BA$11&lt;=EOMONTH('Construction Budget'!$M16,0)),('Construction Budget'!$G16+SUM($G219:AZ219))/ROUND(((EOMONTH('Construction Budget'!$M16,0)-EOMONTH(BA$11,0))/30)+1,0),0)</f>
        <v>0</v>
      </c>
      <c r="BB219" s="427">
        <f>-IF(AND(BB$11&gt;=EOMONTH('Construction Budget'!$K16,0),BB$11&lt;=EOMONTH('Construction Budget'!$M16,0)),('Construction Budget'!$G16+SUM($G219:BA219))/ROUND(((EOMONTH('Construction Budget'!$M16,0)-EOMONTH(BB$11,0))/30)+1,0),0)</f>
        <v>0</v>
      </c>
      <c r="BC219" s="427">
        <f>-IF(AND(BC$11&gt;=EOMONTH('Construction Budget'!$K16,0),BC$11&lt;=EOMONTH('Construction Budget'!$M16,0)),('Construction Budget'!$G16+SUM($G219:BB219))/ROUND(((EOMONTH('Construction Budget'!$M16,0)-EOMONTH(BC$11,0))/30)+1,0),0)</f>
        <v>0</v>
      </c>
      <c r="BD219" s="427">
        <f>-IF(AND(BD$11&gt;=EOMONTH('Construction Budget'!$K16,0),BD$11&lt;=EOMONTH('Construction Budget'!$M16,0)),('Construction Budget'!$G16+SUM($G219:BC219))/ROUND(((EOMONTH('Construction Budget'!$M16,0)-EOMONTH(BD$11,0))/30)+1,0),0)</f>
        <v>0</v>
      </c>
      <c r="BE219" s="427">
        <f>-IF(AND(BE$11&gt;=EOMONTH('Construction Budget'!$K16,0),BE$11&lt;=EOMONTH('Construction Budget'!$M16,0)),('Construction Budget'!$G16+SUM($G219:BD219))/ROUND(((EOMONTH('Construction Budget'!$M16,0)-EOMONTH(BE$11,0))/30)+1,0),0)</f>
        <v>0</v>
      </c>
      <c r="BF219" s="427">
        <f>-IF(AND(BF$11&gt;=EOMONTH('Construction Budget'!$K16,0),BF$11&lt;=EOMONTH('Construction Budget'!$M16,0)),('Construction Budget'!$G16+SUM($G219:BE219))/ROUND(((EOMONTH('Construction Budget'!$M16,0)-EOMONTH(BF$11,0))/30)+1,0),0)</f>
        <v>0</v>
      </c>
      <c r="BG219" s="427">
        <f>-IF(AND(BG$11&gt;=EOMONTH('Construction Budget'!$K16,0),BG$11&lt;=EOMONTH('Construction Budget'!$M16,0)),('Construction Budget'!$G16+SUM($G219:BF219))/ROUND(((EOMONTH('Construction Budget'!$M16,0)-EOMONTH(BG$11,0))/30)+1,0),0)</f>
        <v>0</v>
      </c>
      <c r="BH219" s="427">
        <f>-IF(AND(BH$11&gt;=EOMONTH('Construction Budget'!$K16,0),BH$11&lt;=EOMONTH('Construction Budget'!$M16,0)),('Construction Budget'!$G16+SUM($G219:BG219))/ROUND(((EOMONTH('Construction Budget'!$M16,0)-EOMONTH(BH$11,0))/30)+1,0),0)</f>
        <v>0</v>
      </c>
      <c r="BI219" s="427">
        <f>-IF(AND(BI$11&gt;=EOMONTH('Construction Budget'!$K16,0),BI$11&lt;=EOMONTH('Construction Budget'!$M16,0)),('Construction Budget'!$G16+SUM($G219:BH219))/ROUND(((EOMONTH('Construction Budget'!$M16,0)-EOMONTH(BI$11,0))/30)+1,0),0)</f>
        <v>0</v>
      </c>
      <c r="BJ219" s="427">
        <f>-IF(AND(BJ$11&gt;=EOMONTH('Construction Budget'!$K16,0),BJ$11&lt;=EOMONTH('Construction Budget'!$M16,0)),('Construction Budget'!$G16+SUM($G219:BI219))/ROUND(((EOMONTH('Construction Budget'!$M16,0)-EOMONTH(BJ$11,0))/30)+1,0),0)</f>
        <v>0</v>
      </c>
      <c r="BK219" s="427">
        <f>-IF(AND(BK$11&gt;=EOMONTH('Construction Budget'!$K16,0),BK$11&lt;=EOMONTH('Construction Budget'!$M16,0)),('Construction Budget'!$G16+SUM($G219:BJ219))/ROUND(((EOMONTH('Construction Budget'!$M16,0)-EOMONTH(BK$11,0))/30)+1,0),0)</f>
        <v>0</v>
      </c>
      <c r="BL219" s="427">
        <f>-IF(AND(BL$11&gt;=EOMONTH('Construction Budget'!$K16,0),BL$11&lt;=EOMONTH('Construction Budget'!$M16,0)),('Construction Budget'!$G16+SUM($G219:BK219))/ROUND(((EOMONTH('Construction Budget'!$M16,0)-EOMONTH(BL$11,0))/30)+1,0),0)</f>
        <v>0</v>
      </c>
      <c r="BM219" s="427">
        <f>-IF(AND(BM$11&gt;=EOMONTH('Construction Budget'!$K16,0),BM$11&lt;=EOMONTH('Construction Budget'!$M16,0)),('Construction Budget'!$G16+SUM($G219:BL219))/ROUND(((EOMONTH('Construction Budget'!$M16,0)-EOMONTH(BM$11,0))/30)+1,0),0)</f>
        <v>0</v>
      </c>
      <c r="BN219" s="427">
        <f>-IF(AND(BN$11&gt;=EOMONTH('Construction Budget'!$K16,0),BN$11&lt;=EOMONTH('Construction Budget'!$M16,0)),('Construction Budget'!$G16+SUM($G219:BM219))/ROUND(((EOMONTH('Construction Budget'!$M16,0)-EOMONTH(BN$11,0))/30)+1,0),0)</f>
        <v>0</v>
      </c>
      <c r="BO219" s="427">
        <f>-IF(AND(BO$11&gt;=EOMONTH('Construction Budget'!$K16,0),BO$11&lt;=EOMONTH('Construction Budget'!$M16,0)),('Construction Budget'!$G16+SUM($G219:BN219))/ROUND(((EOMONTH('Construction Budget'!$M16,0)-EOMONTH(BO$11,0))/30)+1,0),0)</f>
        <v>0</v>
      </c>
      <c r="BP219" s="427">
        <f>-IF(AND(BP$11&gt;=EOMONTH('Construction Budget'!$K16,0),BP$11&lt;=EOMONTH('Construction Budget'!$M16,0)),('Construction Budget'!$G16+SUM($G219:BO219))/ROUND(((EOMONTH('Construction Budget'!$M16,0)-EOMONTH(BP$11,0))/30)+1,0),0)</f>
        <v>0</v>
      </c>
      <c r="BQ219" s="427">
        <f>-IF(AND(BQ$11&gt;=EOMONTH('Construction Budget'!$K16,0),BQ$11&lt;=EOMONTH('Construction Budget'!$M16,0)),('Construction Budget'!$G16+SUM($G219:BP219))/ROUND(((EOMONTH('Construction Budget'!$M16,0)-EOMONTH(BQ$11,0))/30)+1,0),0)</f>
        <v>0</v>
      </c>
      <c r="BR219" s="427">
        <f>-IF(AND(BR$11&gt;=EOMONTH('Construction Budget'!$K16,0),BR$11&lt;=EOMONTH('Construction Budget'!$M16,0)),('Construction Budget'!$G16+SUM($G219:BQ219))/ROUND(((EOMONTH('Construction Budget'!$M16,0)-EOMONTH(BR$11,0))/30)+1,0),0)</f>
        <v>0</v>
      </c>
      <c r="BS219" s="427">
        <f>-IF(AND(BS$11&gt;=EOMONTH('Construction Budget'!$K16,0),BS$11&lt;=EOMONTH('Construction Budget'!$M16,0)),('Construction Budget'!$G16+SUM($G219:BR219))/ROUND(((EOMONTH('Construction Budget'!$M16,0)-EOMONTH(BS$11,0))/30)+1,0),0)</f>
        <v>0</v>
      </c>
      <c r="BT219" s="427">
        <f>-IF(AND(BT$11&gt;=EOMONTH('Construction Budget'!$K16,0),BT$11&lt;=EOMONTH('Construction Budget'!$M16,0)),('Construction Budget'!$G16+SUM($G219:BS219))/ROUND(((EOMONTH('Construction Budget'!$M16,0)-EOMONTH(BT$11,0))/30)+1,0),0)</f>
        <v>0</v>
      </c>
      <c r="BU219" s="427">
        <f>-IF(AND(BU$11&gt;=EOMONTH('Construction Budget'!$K16,0),BU$11&lt;=EOMONTH('Construction Budget'!$M16,0)),('Construction Budget'!$G16+SUM($G219:BT219))/ROUND(((EOMONTH('Construction Budget'!$M16,0)-EOMONTH(BU$11,0))/30)+1,0),0)</f>
        <v>0</v>
      </c>
      <c r="BV219" s="427">
        <f>-IF(AND(BV$11&gt;=EOMONTH('Construction Budget'!$K16,0),BV$11&lt;=EOMONTH('Construction Budget'!$M16,0)),('Construction Budget'!$G16+SUM($G219:BU219))/ROUND(((EOMONTH('Construction Budget'!$M16,0)-EOMONTH(BV$11,0))/30)+1,0),0)</f>
        <v>0</v>
      </c>
      <c r="BW219" s="427">
        <f>-IF(AND(BW$11&gt;=EOMONTH('Construction Budget'!$K16,0),BW$11&lt;=EOMONTH('Construction Budget'!$M16,0)),('Construction Budget'!$G16+SUM($G219:BV219))/ROUND(((EOMONTH('Construction Budget'!$M16,0)-EOMONTH(BW$11,0))/30)+1,0),0)</f>
        <v>0</v>
      </c>
      <c r="BX219" s="427">
        <f>-IF(AND(BX$11&gt;=EOMONTH('Construction Budget'!$K16,0),BX$11&lt;=EOMONTH('Construction Budget'!$M16,0)),('Construction Budget'!$G16+SUM($G219:BW219))/ROUND(((EOMONTH('Construction Budget'!$M16,0)-EOMONTH(BX$11,0))/30)+1,0),0)</f>
        <v>0</v>
      </c>
      <c r="BY219" s="427">
        <f>-IF(AND(BY$11&gt;=EOMONTH('Construction Budget'!$K16,0),BY$11&lt;=EOMONTH('Construction Budget'!$M16,0)),('Construction Budget'!$G16+SUM($G219:BX219))/ROUND(((EOMONTH('Construction Budget'!$M16,0)-EOMONTH(BY$11,0))/30)+1,0),0)</f>
        <v>0</v>
      </c>
      <c r="BZ219" s="427">
        <f>-IF(AND(BZ$11&gt;=EOMONTH('Construction Budget'!$K16,0),BZ$11&lt;=EOMONTH('Construction Budget'!$M16,0)),('Construction Budget'!$G16+SUM($G219:BY219))/ROUND(((EOMONTH('Construction Budget'!$M16,0)-EOMONTH(BZ$11,0))/30)+1,0),0)</f>
        <v>0</v>
      </c>
      <c r="CA219" s="427">
        <f>-IF(AND(CA$11&gt;=EOMONTH('Construction Budget'!$K16,0),CA$11&lt;=EOMONTH('Construction Budget'!$M16,0)),('Construction Budget'!$G16+SUM($G219:BZ219))/ROUND(((EOMONTH('Construction Budget'!$M16,0)-EOMONTH(CA$11,0))/30)+1,0),0)</f>
        <v>0</v>
      </c>
      <c r="CB219" s="427">
        <f>-IF(AND(CB$11&gt;=EOMONTH('Construction Budget'!$K16,0),CB$11&lt;=EOMONTH('Construction Budget'!$M16,0)),('Construction Budget'!$G16+SUM($G219:CA219))/ROUND(((EOMONTH('Construction Budget'!$M16,0)-EOMONTH(CB$11,0))/30)+1,0),0)</f>
        <v>0</v>
      </c>
      <c r="CC219" s="427">
        <f>-IF(AND(CC$11&gt;=EOMONTH('Construction Budget'!$K16,0),CC$11&lt;=EOMONTH('Construction Budget'!$M16,0)),('Construction Budget'!$G16+SUM($G219:CB219))/ROUND(((EOMONTH('Construction Budget'!$M16,0)-EOMONTH(CC$11,0))/30)+1,0),0)</f>
        <v>0</v>
      </c>
      <c r="CD219" s="427">
        <f>-IF(AND(CD$11&gt;=EOMONTH('Construction Budget'!$K16,0),CD$11&lt;=EOMONTH('Construction Budget'!$M16,0)),('Construction Budget'!$G16+SUM($G219:CC219))/ROUND(((EOMONTH('Construction Budget'!$M16,0)-EOMONTH(CD$11,0))/30)+1,0),0)</f>
        <v>0</v>
      </c>
      <c r="CE219" s="427">
        <f>-IF(AND(CE$11&gt;=EOMONTH('Construction Budget'!$K16,0),CE$11&lt;=EOMONTH('Construction Budget'!$M16,0)),('Construction Budget'!$G16+SUM($G219:CD219))/ROUND(((EOMONTH('Construction Budget'!$M16,0)-EOMONTH(CE$11,0))/30)+1,0),0)</f>
        <v>0</v>
      </c>
      <c r="CF219" s="427">
        <f>-IF(AND(CF$11&gt;=EOMONTH('Construction Budget'!$K16,0),CF$11&lt;=EOMONTH('Construction Budget'!$M16,0)),('Construction Budget'!$G16+SUM($G219:CE219))/ROUND(((EOMONTH('Construction Budget'!$M16,0)-EOMONTH(CF$11,0))/30)+1,0),0)</f>
        <v>0</v>
      </c>
      <c r="CG219" s="427">
        <f>-IF(AND(CG$11&gt;=EOMONTH('Construction Budget'!$K16,0),CG$11&lt;=EOMONTH('Construction Budget'!$M16,0)),('Construction Budget'!$G16+SUM($G219:CF219))/ROUND(((EOMONTH('Construction Budget'!$M16,0)-EOMONTH(CG$11,0))/30)+1,0),0)</f>
        <v>0</v>
      </c>
      <c r="CH219" s="427">
        <f>-IF(AND(CH$11&gt;=EOMONTH('Construction Budget'!$K16,0),CH$11&lt;=EOMONTH('Construction Budget'!$M16,0)),('Construction Budget'!$G16+SUM($G219:CG219))/ROUND(((EOMONTH('Construction Budget'!$M16,0)-EOMONTH(CH$11,0))/30)+1,0),0)</f>
        <v>0</v>
      </c>
      <c r="CI219" s="427">
        <f>-IF(AND(CI$11&gt;=EOMONTH('Construction Budget'!$K16,0),CI$11&lt;=EOMONTH('Construction Budget'!$M16,0)),('Construction Budget'!$G16+SUM($G219:CH219))/ROUND(((EOMONTH('Construction Budget'!$M16,0)-EOMONTH(CI$11,0))/30)+1,0),0)</f>
        <v>0</v>
      </c>
      <c r="CJ219" s="427">
        <f>-IF(AND(CJ$11&gt;=EOMONTH('Construction Budget'!$K16,0),CJ$11&lt;=EOMONTH('Construction Budget'!$M16,0)),('Construction Budget'!$G16+SUM($G219:CI219))/ROUND(((EOMONTH('Construction Budget'!$M16,0)-EOMONTH(CJ$11,0))/30)+1,0),0)</f>
        <v>0</v>
      </c>
      <c r="CK219" s="427">
        <f>-IF(AND(CK$11&gt;=EOMONTH('Construction Budget'!$K16,0),CK$11&lt;=EOMONTH('Construction Budget'!$M16,0)),('Construction Budget'!$G16+SUM($G219:CJ219))/ROUND(((EOMONTH('Construction Budget'!$M16,0)-EOMONTH(CK$11,0))/30)+1,0),0)</f>
        <v>0</v>
      </c>
      <c r="CL219" s="427">
        <f>-IF(AND(CL$11&gt;=EOMONTH('Construction Budget'!$K16,0),CL$11&lt;=EOMONTH('Construction Budget'!$M16,0)),('Construction Budget'!$G16+SUM($G219:CK219))/ROUND(((EOMONTH('Construction Budget'!$M16,0)-EOMONTH(CL$11,0))/30)+1,0),0)</f>
        <v>0</v>
      </c>
      <c r="CM219" s="427">
        <f>-IF(AND(CM$11&gt;=EOMONTH('Construction Budget'!$K16,0),CM$11&lt;=EOMONTH('Construction Budget'!$M16,0)),('Construction Budget'!$G16+SUM($G219:CL219))/ROUND(((EOMONTH('Construction Budget'!$M16,0)-EOMONTH(CM$11,0))/30)+1,0),0)</f>
        <v>0</v>
      </c>
      <c r="CN219" s="427">
        <f>-IF(AND(CN$11&gt;=EOMONTH('Construction Budget'!$K16,0),CN$11&lt;=EOMONTH('Construction Budget'!$M16,0)),('Construction Budget'!$G16+SUM($G219:CM219))/ROUND(((EOMONTH('Construction Budget'!$M16,0)-EOMONTH(CN$11,0))/30)+1,0),0)</f>
        <v>0</v>
      </c>
      <c r="CO219" s="427">
        <f>-IF(AND(CO$11&gt;=EOMONTH('Construction Budget'!$K16,0),CO$11&lt;=EOMONTH('Construction Budget'!$M16,0)),('Construction Budget'!$G16+SUM($G219:CN219))/ROUND(((EOMONTH('Construction Budget'!$M16,0)-EOMONTH(CO$11,0))/30)+1,0),0)</f>
        <v>0</v>
      </c>
      <c r="CP219" s="427">
        <f>-IF(AND(CP$11&gt;=EOMONTH('Construction Budget'!$K16,0),CP$11&lt;=EOMONTH('Construction Budget'!$M16,0)),('Construction Budget'!$G16+SUM($G219:CO219))/ROUND(((EOMONTH('Construction Budget'!$M16,0)-EOMONTH(CP$11,0))/30)+1,0),0)</f>
        <v>0</v>
      </c>
      <c r="CQ219" s="427">
        <f>-IF(AND(CQ$11&gt;=EOMONTH('Construction Budget'!$K16,0),CQ$11&lt;=EOMONTH('Construction Budget'!$M16,0)),('Construction Budget'!$G16+SUM($G219:CP219))/ROUND(((EOMONTH('Construction Budget'!$M16,0)-EOMONTH(CQ$11,0))/30)+1,0),0)</f>
        <v>0</v>
      </c>
      <c r="CR219" s="427">
        <f>-IF(AND(CR$11&gt;=EOMONTH('Construction Budget'!$K16,0),CR$11&lt;=EOMONTH('Construction Budget'!$M16,0)),('Construction Budget'!$G16+SUM($G219:CQ219))/ROUND(((EOMONTH('Construction Budget'!$M16,0)-EOMONTH(CR$11,0))/30)+1,0),0)</f>
        <v>0</v>
      </c>
      <c r="CS219" s="427">
        <f>-IF(AND(CS$11&gt;=EOMONTH('Construction Budget'!$K16,0),CS$11&lt;=EOMONTH('Construction Budget'!$M16,0)),('Construction Budget'!$G16+SUM($G219:CR219))/ROUND(((EOMONTH('Construction Budget'!$M16,0)-EOMONTH(CS$11,0))/30)+1,0),0)</f>
        <v>0</v>
      </c>
      <c r="CT219" s="427">
        <f>-IF(AND(CT$11&gt;=EOMONTH('Construction Budget'!$K16,0),CT$11&lt;=EOMONTH('Construction Budget'!$M16,0)),('Construction Budget'!$G16+SUM($G219:CS219))/ROUND(((EOMONTH('Construction Budget'!$M16,0)-EOMONTH(CT$11,0))/30)+1,0),0)</f>
        <v>0</v>
      </c>
      <c r="CU219" s="427">
        <f>-IF(AND(CU$11&gt;=EOMONTH('Construction Budget'!$K16,0),CU$11&lt;=EOMONTH('Construction Budget'!$M16,0)),('Construction Budget'!$G16+SUM($G219:CT219))/ROUND(((EOMONTH('Construction Budget'!$M16,0)-EOMONTH(CU$11,0))/30)+1,0),0)</f>
        <v>0</v>
      </c>
      <c r="CV219" s="427">
        <f>-IF(AND(CV$11&gt;=EOMONTH('Construction Budget'!$K16,0),CV$11&lt;=EOMONTH('Construction Budget'!$M16,0)),('Construction Budget'!$G16+SUM($G219:CU219))/ROUND(((EOMONTH('Construction Budget'!$M16,0)-EOMONTH(CV$11,0))/30)+1,0),0)</f>
        <v>0</v>
      </c>
      <c r="CW219" s="427">
        <f>-IF(AND(CW$11&gt;=EOMONTH('Construction Budget'!$K16,0),CW$11&lt;=EOMONTH('Construction Budget'!$M16,0)),('Construction Budget'!$G16+SUM($G219:CV219))/ROUND(((EOMONTH('Construction Budget'!$M16,0)-EOMONTH(CW$11,0))/30)+1,0),0)</f>
        <v>0</v>
      </c>
      <c r="CX219" s="427">
        <f>-IF(AND(CX$11&gt;=EOMONTH('Construction Budget'!$K16,0),CX$11&lt;=EOMONTH('Construction Budget'!$M16,0)),('Construction Budget'!$G16+SUM($G219:CW219))/ROUND(((EOMONTH('Construction Budget'!$M16,0)-EOMONTH(CX$11,0))/30)+1,0),0)</f>
        <v>0</v>
      </c>
      <c r="CY219" s="427">
        <f>-IF(AND(CY$11&gt;=EOMONTH('Construction Budget'!$K16,0),CY$11&lt;=EOMONTH('Construction Budget'!$M16,0)),('Construction Budget'!$G16+SUM($G219:CX219))/ROUND(((EOMONTH('Construction Budget'!$M16,0)-EOMONTH(CY$11,0))/30)+1,0),0)</f>
        <v>0</v>
      </c>
      <c r="CZ219" s="427">
        <f>-IF(AND(CZ$11&gt;=EOMONTH('Construction Budget'!$K16,0),CZ$11&lt;=EOMONTH('Construction Budget'!$M16,0)),('Construction Budget'!$G16+SUM($G219:CY219))/ROUND(((EOMONTH('Construction Budget'!$M16,0)-EOMONTH(CZ$11,0))/30)+1,0),0)</f>
        <v>0</v>
      </c>
      <c r="DA219" s="427">
        <f>-IF(AND(DA$11&gt;=EOMONTH('Construction Budget'!$K16,0),DA$11&lt;=EOMONTH('Construction Budget'!$M16,0)),('Construction Budget'!$G16+SUM($G219:CZ219))/ROUND(((EOMONTH('Construction Budget'!$M16,0)-EOMONTH(DA$11,0))/30)+1,0),0)</f>
        <v>0</v>
      </c>
      <c r="DB219" s="427">
        <f>-IF(AND(DB$11&gt;=EOMONTH('Construction Budget'!$K16,0),DB$11&lt;=EOMONTH('Construction Budget'!$M16,0)),('Construction Budget'!$G16+SUM($G219:DA219))/ROUND(((EOMONTH('Construction Budget'!$M16,0)-EOMONTH(DB$11,0))/30)+1,0),0)</f>
        <v>0</v>
      </c>
      <c r="DC219" s="427">
        <f>-IF(AND(DC$11&gt;=EOMONTH('Construction Budget'!$K16,0),DC$11&lt;=EOMONTH('Construction Budget'!$M16,0)),('Construction Budget'!$G16+SUM($G219:DB219))/ROUND(((EOMONTH('Construction Budget'!$M16,0)-EOMONTH(DC$11,0))/30)+1,0),0)</f>
        <v>0</v>
      </c>
      <c r="DD219" s="427">
        <f>-IF(AND(DD$11&gt;=EOMONTH('Construction Budget'!$K16,0),DD$11&lt;=EOMONTH('Construction Budget'!$M16,0)),('Construction Budget'!$G16+SUM($G219:DC219))/ROUND(((EOMONTH('Construction Budget'!$M16,0)-EOMONTH(DD$11,0))/30)+1,0),0)</f>
        <v>0</v>
      </c>
      <c r="DE219" s="427">
        <f>-IF(AND(DE$11&gt;=EOMONTH('Construction Budget'!$K16,0),DE$11&lt;=EOMONTH('Construction Budget'!$M16,0)),('Construction Budget'!$G16+SUM($G219:DD219))/ROUND(((EOMONTH('Construction Budget'!$M16,0)-EOMONTH(DE$11,0))/30)+1,0),0)</f>
        <v>0</v>
      </c>
      <c r="DF219" s="427">
        <f>-IF(AND(DF$11&gt;=EOMONTH('Construction Budget'!$K16,0),DF$11&lt;=EOMONTH('Construction Budget'!$M16,0)),('Construction Budget'!$G16+SUM($G219:DE219))/ROUND(((EOMONTH('Construction Budget'!$M16,0)-EOMONTH(DF$11,0))/30)+1,0),0)</f>
        <v>0</v>
      </c>
      <c r="DG219" s="427">
        <f>-IF(AND(DG$11&gt;=EOMONTH('Construction Budget'!$K16,0),DG$11&lt;=EOMONTH('Construction Budget'!$M16,0)),('Construction Budget'!$G16+SUM($G219:DF219))/ROUND(((EOMONTH('Construction Budget'!$M16,0)-EOMONTH(DG$11,0))/30)+1,0),0)</f>
        <v>0</v>
      </c>
      <c r="DH219" s="427">
        <f>-IF(AND(DH$11&gt;=EOMONTH('Construction Budget'!$K16,0),DH$11&lt;=EOMONTH('Construction Budget'!$M16,0)),('Construction Budget'!$G16+SUM($G219:DG219))/ROUND(((EOMONTH('Construction Budget'!$M16,0)-EOMONTH(DH$11,0))/30)+1,0),0)</f>
        <v>0</v>
      </c>
      <c r="DI219" s="427">
        <f>-IF(AND(DI$11&gt;=EOMONTH('Construction Budget'!$K16,0),DI$11&lt;=EOMONTH('Construction Budget'!$M16,0)),('Construction Budget'!$G16+SUM($G219:DH219))/ROUND(((EOMONTH('Construction Budget'!$M16,0)-EOMONTH(DI$11,0))/30)+1,0),0)</f>
        <v>0</v>
      </c>
      <c r="DJ219" s="427">
        <f>-IF(AND(DJ$11&gt;=EOMONTH('Construction Budget'!$K16,0),DJ$11&lt;=EOMONTH('Construction Budget'!$M16,0)),('Construction Budget'!$G16+SUM($G219:DI219))/ROUND(((EOMONTH('Construction Budget'!$M16,0)-EOMONTH(DJ$11,0))/30)+1,0),0)</f>
        <v>0</v>
      </c>
      <c r="DK219" s="427">
        <f>-IF(AND(DK$11&gt;=EOMONTH('Construction Budget'!$K16,0),DK$11&lt;=EOMONTH('Construction Budget'!$M16,0)),('Construction Budget'!$G16+SUM($G219:DJ219))/ROUND(((EOMONTH('Construction Budget'!$M16,0)-EOMONTH(DK$11,0))/30)+1,0),0)</f>
        <v>0</v>
      </c>
      <c r="DL219" s="427">
        <f>-IF(AND(DL$11&gt;=EOMONTH('Construction Budget'!$K16,0),DL$11&lt;=EOMONTH('Construction Budget'!$M16,0)),('Construction Budget'!$G16+SUM($G219:DK219))/ROUND(((EOMONTH('Construction Budget'!$M16,0)-EOMONTH(DL$11,0))/30)+1,0),0)</f>
        <v>0</v>
      </c>
      <c r="DM219" s="427">
        <f>-IF(AND(DM$11&gt;=EOMONTH('Construction Budget'!$K16,0),DM$11&lt;=EOMONTH('Construction Budget'!$M16,0)),('Construction Budget'!$G16+SUM($G219:DL219))/ROUND(((EOMONTH('Construction Budget'!$M16,0)-EOMONTH(DM$11,0))/30)+1,0),0)</f>
        <v>0</v>
      </c>
      <c r="DN219" s="427">
        <f>-IF(AND(DN$11&gt;=EOMONTH('Construction Budget'!$K16,0),DN$11&lt;=EOMONTH('Construction Budget'!$M16,0)),('Construction Budget'!$G16+SUM($G219:DM219))/ROUND(((EOMONTH('Construction Budget'!$M16,0)-EOMONTH(DN$11,0))/30)+1,0),0)</f>
        <v>0</v>
      </c>
      <c r="DO219" s="427">
        <f>-IF(AND(DO$11&gt;=EOMONTH('Construction Budget'!$K16,0),DO$11&lt;=EOMONTH('Construction Budget'!$M16,0)),('Construction Budget'!$G16+SUM($G219:DN219))/ROUND(((EOMONTH('Construction Budget'!$M16,0)-EOMONTH(DO$11,0))/30)+1,0),0)</f>
        <v>0</v>
      </c>
      <c r="DP219" s="427">
        <f>-IF(AND(DP$11&gt;=EOMONTH('Construction Budget'!$K16,0),DP$11&lt;=EOMONTH('Construction Budget'!$M16,0)),('Construction Budget'!$G16+SUM($G219:DO219))/ROUND(((EOMONTH('Construction Budget'!$M16,0)-EOMONTH(DP$11,0))/30)+1,0),0)</f>
        <v>0</v>
      </c>
      <c r="DQ219" s="427">
        <f>-IF(AND(DQ$11&gt;=EOMONTH('Construction Budget'!$K16,0),DQ$11&lt;=EOMONTH('Construction Budget'!$M16,0)),('Construction Budget'!$G16+SUM($G219:DP219))/ROUND(((EOMONTH('Construction Budget'!$M16,0)-EOMONTH(DQ$11,0))/30)+1,0),0)</f>
        <v>0</v>
      </c>
      <c r="DR219" s="427">
        <f>-IF(AND(DR$11&gt;=EOMONTH('Construction Budget'!$K16,0),DR$11&lt;=EOMONTH('Construction Budget'!$M16,0)),('Construction Budget'!$G16+SUM($G219:DQ219))/ROUND(((EOMONTH('Construction Budget'!$M16,0)-EOMONTH(DR$11,0))/30)+1,0),0)</f>
        <v>0</v>
      </c>
      <c r="DS219" s="427">
        <f>-IF(AND(DS$11&gt;=EOMONTH('Construction Budget'!$K16,0),DS$11&lt;=EOMONTH('Construction Budget'!$M16,0)),('Construction Budget'!$G16+SUM($G219:DR219))/ROUND(((EOMONTH('Construction Budget'!$M16,0)-EOMONTH(DS$11,0))/30)+1,0),0)</f>
        <v>0</v>
      </c>
      <c r="DT219" s="427">
        <f>-IF(AND(DT$11&gt;=EOMONTH('Construction Budget'!$K16,0),DT$11&lt;=EOMONTH('Construction Budget'!$M16,0)),('Construction Budget'!$G16+SUM($G219:DS219))/ROUND(((EOMONTH('Construction Budget'!$M16,0)-EOMONTH(DT$11,0))/30)+1,0),0)</f>
        <v>0</v>
      </c>
      <c r="DU219" s="427">
        <f>-IF(AND(DU$11&gt;=EOMONTH('Construction Budget'!$K16,0),DU$11&lt;=EOMONTH('Construction Budget'!$M16,0)),('Construction Budget'!$G16+SUM($G219:DT219))/ROUND(((EOMONTH('Construction Budget'!$M16,0)-EOMONTH(DU$11,0))/30)+1,0),0)</f>
        <v>0</v>
      </c>
      <c r="DV219" s="427">
        <f>-IF(AND(DV$11&gt;=EOMONTH('Construction Budget'!$K16,0),DV$11&lt;=EOMONTH('Construction Budget'!$M16,0)),('Construction Budget'!$G16+SUM($G219:DU219))/ROUND(((EOMONTH('Construction Budget'!$M16,0)-EOMONTH(DV$11,0))/30)+1,0),0)</f>
        <v>0</v>
      </c>
      <c r="DW219" s="427">
        <f>-IF(AND(DW$11&gt;=EOMONTH('Construction Budget'!$K16,0),DW$11&lt;=EOMONTH('Construction Budget'!$M16,0)),('Construction Budget'!$G16+SUM($G219:DV219))/ROUND(((EOMONTH('Construction Budget'!$M16,0)-EOMONTH(DW$11,0))/30)+1,0),0)</f>
        <v>0</v>
      </c>
      <c r="DX219" s="427">
        <f>-IF(AND(DX$11&gt;=EOMONTH('Construction Budget'!$K16,0),DX$11&lt;=EOMONTH('Construction Budget'!$M16,0)),('Construction Budget'!$G16+SUM($G219:DW219))/ROUND(((EOMONTH('Construction Budget'!$M16,0)-EOMONTH(DX$11,0))/30)+1,0),0)</f>
        <v>0</v>
      </c>
      <c r="DY219" s="427">
        <f>-IF(AND(DY$11&gt;=EOMONTH('Construction Budget'!$K16,0),DY$11&lt;=EOMONTH('Construction Budget'!$M16,0)),('Construction Budget'!$G16+SUM($G219:DX219))/ROUND(((EOMONTH('Construction Budget'!$M16,0)-EOMONTH(DY$11,0))/30)+1,0),0)</f>
        <v>0</v>
      </c>
      <c r="DZ219" s="427">
        <f>-IF(AND(DZ$11&gt;=EOMONTH('Construction Budget'!$K16,0),DZ$11&lt;=EOMONTH('Construction Budget'!$M16,0)),('Construction Budget'!$G16+SUM($G219:DY219))/ROUND(((EOMONTH('Construction Budget'!$M16,0)-EOMONTH(DZ$11,0))/30)+1,0),0)</f>
        <v>0</v>
      </c>
      <c r="EA219" s="427">
        <f>-IF(AND(EA$11&gt;=EOMONTH('Construction Budget'!$K16,0),EA$11&lt;=EOMONTH('Construction Budget'!$M16,0)),('Construction Budget'!$G16+SUM($G219:DZ219))/ROUND(((EOMONTH('Construction Budget'!$M16,0)-EOMONTH(EA$11,0))/30)+1,0),0)</f>
        <v>0</v>
      </c>
      <c r="EB219" s="427">
        <f>-IF(AND(EB$11&gt;=EOMONTH('Construction Budget'!$K16,0),EB$11&lt;=EOMONTH('Construction Budget'!$M16,0)),('Construction Budget'!$G16+SUM($G219:EA219))/ROUND(((EOMONTH('Construction Budget'!$M16,0)-EOMONTH(EB$11,0))/30)+1,0),0)</f>
        <v>0</v>
      </c>
      <c r="EC219" s="427">
        <f>-IF(AND(EC$11&gt;=EOMONTH('Construction Budget'!$K16,0),EC$11&lt;=EOMONTH('Construction Budget'!$M16,0)),('Construction Budget'!$G16+SUM($G219:EB219))/ROUND(((EOMONTH('Construction Budget'!$M16,0)-EOMONTH(EC$11,0))/30)+1,0),0)</f>
        <v>0</v>
      </c>
      <c r="ED219" s="427">
        <f>-IF(AND(ED$11&gt;=EOMONTH('Construction Budget'!$K16,0),ED$11&lt;=EOMONTH('Construction Budget'!$M16,0)),('Construction Budget'!$G16+SUM($G219:EC219))/ROUND(((EOMONTH('Construction Budget'!$M16,0)-EOMONTH(ED$11,0))/30)+1,0),0)</f>
        <v>0</v>
      </c>
      <c r="EE219" s="427">
        <f>-IF(AND(EE$11&gt;=EOMONTH('Construction Budget'!$K16,0),EE$11&lt;=EOMONTH('Construction Budget'!$M16,0)),('Construction Budget'!$G16+SUM($G219:ED219))/ROUND(((EOMONTH('Construction Budget'!$M16,0)-EOMONTH(EE$11,0))/30)+1,0),0)</f>
        <v>0</v>
      </c>
      <c r="EF219" s="427">
        <f>-IF(AND(EF$11&gt;=EOMONTH('Construction Budget'!$K16,0),EF$11&lt;=EOMONTH('Construction Budget'!$M16,0)),('Construction Budget'!$G16+SUM($G219:EE219))/ROUND(((EOMONTH('Construction Budget'!$M16,0)-EOMONTH(EF$11,0))/30)+1,0),0)</f>
        <v>0</v>
      </c>
      <c r="EG219" s="427">
        <f>-IF(AND(EG$11&gt;=EOMONTH('Construction Budget'!$K16,0),EG$11&lt;=EOMONTH('Construction Budget'!$M16,0)),('Construction Budget'!$G16+SUM($G219:EF219))/ROUND(((EOMONTH('Construction Budget'!$M16,0)-EOMONTH(EG$11,0))/30)+1,0),0)</f>
        <v>0</v>
      </c>
      <c r="EH219" s="427">
        <f>-IF(AND(EH$11&gt;=EOMONTH('Construction Budget'!$K16,0),EH$11&lt;=EOMONTH('Construction Budget'!$M16,0)),('Construction Budget'!$G16+SUM($G219:EG219))/ROUND(((EOMONTH('Construction Budget'!$M16,0)-EOMONTH(EH$11,0))/30)+1,0),0)</f>
        <v>0</v>
      </c>
      <c r="EI219" s="427">
        <f>-IF(AND(EI$11&gt;=EOMONTH('Construction Budget'!$K16,0),EI$11&lt;=EOMONTH('Construction Budget'!$M16,0)),('Construction Budget'!$G16+SUM($G219:EH219))/ROUND(((EOMONTH('Construction Budget'!$M16,0)-EOMONTH(EI$11,0))/30)+1,0),0)</f>
        <v>0</v>
      </c>
      <c r="EJ219" s="427">
        <f>-IF(AND(EJ$11&gt;=EOMONTH('Construction Budget'!$K16,0),EJ$11&lt;=EOMONTH('Construction Budget'!$M16,0)),('Construction Budget'!$G16+SUM($G219:EI219))/ROUND(((EOMONTH('Construction Budget'!$M16,0)-EOMONTH(EJ$11,0))/30)+1,0),0)</f>
        <v>0</v>
      </c>
      <c r="EK219" s="427">
        <f>-IF(AND(EK$11&gt;=EOMONTH('Construction Budget'!$K16,0),EK$11&lt;=EOMONTH('Construction Budget'!$M16,0)),('Construction Budget'!$G16+SUM($G219:EJ219))/ROUND(((EOMONTH('Construction Budget'!$M16,0)-EOMONTH(EK$11,0))/30)+1,0),0)</f>
        <v>0</v>
      </c>
      <c r="EL219" s="427">
        <f>-IF(AND(EL$11&gt;=EOMONTH('Construction Budget'!$K16,0),EL$11&lt;=EOMONTH('Construction Budget'!$M16,0)),('Construction Budget'!$G16+SUM($G219:EK219))/ROUND(((EOMONTH('Construction Budget'!$M16,0)-EOMONTH(EL$11,0))/30)+1,0),0)</f>
        <v>0</v>
      </c>
      <c r="EM219" s="427">
        <f>-IF(AND(EM$11&gt;=EOMONTH('Construction Budget'!$K16,0),EM$11&lt;=EOMONTH('Construction Budget'!$M16,0)),('Construction Budget'!$G16+SUM($G219:EL219))/ROUND(((EOMONTH('Construction Budget'!$M16,0)-EOMONTH(EM$11,0))/30)+1,0),0)</f>
        <v>0</v>
      </c>
      <c r="EN219" s="427">
        <f>-IF(AND(EN$11&gt;=EOMONTH('Construction Budget'!$K16,0),EN$11&lt;=EOMONTH('Construction Budget'!$M16,0)),('Construction Budget'!$G16+SUM($G219:EM219))/ROUND(((EOMONTH('Construction Budget'!$M16,0)-EOMONTH(EN$11,0))/30)+1,0),0)</f>
        <v>0</v>
      </c>
      <c r="EO219" s="427">
        <f>-IF(AND(EO$11&gt;=EOMONTH('Construction Budget'!$K16,0),EO$11&lt;=EOMONTH('Construction Budget'!$M16,0)),('Construction Budget'!$G16+SUM($G219:EN219))/ROUND(((EOMONTH('Construction Budget'!$M16,0)-EOMONTH(EO$11,0))/30)+1,0),0)</f>
        <v>0</v>
      </c>
      <c r="EP219" s="427">
        <f>-IF(AND(EP$11&gt;=EOMONTH('Construction Budget'!$K16,0),EP$11&lt;=EOMONTH('Construction Budget'!$M16,0)),('Construction Budget'!$G16+SUM($G219:EO219))/ROUND(((EOMONTH('Construction Budget'!$M16,0)-EOMONTH(EP$11,0))/30)+1,0),0)</f>
        <v>0</v>
      </c>
      <c r="EQ219" s="427">
        <f>-IF(AND(EQ$11&gt;=EOMONTH('Construction Budget'!$K16,0),EQ$11&lt;=EOMONTH('Construction Budget'!$M16,0)),('Construction Budget'!$G16+SUM($G219:EP219))/ROUND(((EOMONTH('Construction Budget'!$M16,0)-EOMONTH(EQ$11,0))/30)+1,0),0)</f>
        <v>0</v>
      </c>
      <c r="ER219" s="427">
        <f>-IF(AND(ER$11&gt;=EOMONTH('Construction Budget'!$K16,0),ER$11&lt;=EOMONTH('Construction Budget'!$M16,0)),('Construction Budget'!$G16+SUM($G219:EQ219))/ROUND(((EOMONTH('Construction Budget'!$M16,0)-EOMONTH(ER$11,0))/30)+1,0),0)</f>
        <v>0</v>
      </c>
      <c r="ES219" s="427">
        <f>-IF(AND(ES$11&gt;=EOMONTH('Construction Budget'!$K16,0),ES$11&lt;=EOMONTH('Construction Budget'!$M16,0)),('Construction Budget'!$G16+SUM($G219:ER219))/ROUND(((EOMONTH('Construction Budget'!$M16,0)-EOMONTH(ES$11,0))/30)+1,0),0)</f>
        <v>0</v>
      </c>
      <c r="ET219" s="427">
        <f>-IF(AND(ET$11&gt;=EOMONTH('Construction Budget'!$K16,0),ET$11&lt;=EOMONTH('Construction Budget'!$M16,0)),('Construction Budget'!$G16+SUM($G219:ES219))/ROUND(((EOMONTH('Construction Budget'!$M16,0)-EOMONTH(ET$11,0))/30)+1,0),0)</f>
        <v>0</v>
      </c>
      <c r="EU219" s="427">
        <f>-IF(AND(EU$11&gt;=EOMONTH('Construction Budget'!$K16,0),EU$11&lt;=EOMONTH('Construction Budget'!$M16,0)),('Construction Budget'!$G16+SUM($G219:ET219))/ROUND(((EOMONTH('Construction Budget'!$M16,0)-EOMONTH(EU$11,0))/30)+1,0),0)</f>
        <v>0</v>
      </c>
      <c r="EV219" s="427">
        <f>-IF(AND(EV$11&gt;=EOMONTH('Construction Budget'!$K16,0),EV$11&lt;=EOMONTH('Construction Budget'!$M16,0)),('Construction Budget'!$G16+SUM($G219:EU219))/ROUND(((EOMONTH('Construction Budget'!$M16,0)-EOMONTH(EV$11,0))/30)+1,0),0)</f>
        <v>0</v>
      </c>
      <c r="EW219" s="427">
        <f>-IF(AND(EW$11&gt;=EOMONTH('Construction Budget'!$K16,0),EW$11&lt;=EOMONTH('Construction Budget'!$M16,0)),('Construction Budget'!$G16+SUM($G219:EV219))/ROUND(((EOMONTH('Construction Budget'!$M16,0)-EOMONTH(EW$11,0))/30)+1,0),0)</f>
        <v>0</v>
      </c>
      <c r="EX219" s="427">
        <f>-IF(AND(EX$11&gt;=EOMONTH('Construction Budget'!$K16,0),EX$11&lt;=EOMONTH('Construction Budget'!$M16,0)),('Construction Budget'!$G16+SUM($G219:EW219))/ROUND(((EOMONTH('Construction Budget'!$M16,0)-EOMONTH(EX$11,0))/30)+1,0),0)</f>
        <v>0</v>
      </c>
      <c r="EY219" s="427">
        <f>-IF(AND(EY$11&gt;=EOMONTH('Construction Budget'!$K16,0),EY$11&lt;=EOMONTH('Construction Budget'!$M16,0)),('Construction Budget'!$G16+SUM($G219:EX219))/ROUND(((EOMONTH('Construction Budget'!$M16,0)-EOMONTH(EY$11,0))/30)+1,0),0)</f>
        <v>0</v>
      </c>
      <c r="EZ219" s="427">
        <f>-IF(AND(EZ$11&gt;=EOMONTH('Construction Budget'!$K16,0),EZ$11&lt;=EOMONTH('Construction Budget'!$M16,0)),('Construction Budget'!$G16+SUM($G219:EY219))/ROUND(((EOMONTH('Construction Budget'!$M16,0)-EOMONTH(EZ$11,0))/30)+1,0),0)</f>
        <v>0</v>
      </c>
      <c r="FA219" s="427">
        <f>-IF(AND(FA$11&gt;=EOMONTH('Construction Budget'!$K16,0),FA$11&lt;=EOMONTH('Construction Budget'!$M16,0)),('Construction Budget'!$G16+SUM($G219:EZ219))/ROUND(((EOMONTH('Construction Budget'!$M16,0)-EOMONTH(FA$11,0))/30)+1,0),0)</f>
        <v>0</v>
      </c>
      <c r="FB219" s="427">
        <f>-IF(AND(FB$11&gt;=EOMONTH('Construction Budget'!$K16,0),FB$11&lt;=EOMONTH('Construction Budget'!$M16,0)),('Construction Budget'!$G16+SUM($G219:FA219))/ROUND(((EOMONTH('Construction Budget'!$M16,0)-EOMONTH(FB$11,0))/30)+1,0),0)</f>
        <v>0</v>
      </c>
      <c r="FC219" s="427">
        <f>-IF(AND(FC$11&gt;=EOMONTH('Construction Budget'!$K16,0),FC$11&lt;=EOMONTH('Construction Budget'!$M16,0)),('Construction Budget'!$G16+SUM($G219:FB219))/ROUND(((EOMONTH('Construction Budget'!$M16,0)-EOMONTH(FC$11,0))/30)+1,0),0)</f>
        <v>0</v>
      </c>
      <c r="FD219" s="427">
        <f>-IF(AND(FD$11&gt;=EOMONTH('Construction Budget'!$K16,0),FD$11&lt;=EOMONTH('Construction Budget'!$M16,0)),('Construction Budget'!$G16+SUM($G219:FC219))/ROUND(((EOMONTH('Construction Budget'!$M16,0)-EOMONTH(FD$11,0))/30)+1,0),0)</f>
        <v>0</v>
      </c>
      <c r="FE219" s="427">
        <f>-IF(AND(FE$11&gt;=EOMONTH('Construction Budget'!$K16,0),FE$11&lt;=EOMONTH('Construction Budget'!$M16,0)),('Construction Budget'!$G16+SUM($G219:FD219))/ROUND(((EOMONTH('Construction Budget'!$M16,0)-EOMONTH(FE$11,0))/30)+1,0),0)</f>
        <v>0</v>
      </c>
      <c r="FF219" s="427">
        <f>-IF(AND(FF$11&gt;=EOMONTH('Construction Budget'!$K16,0),FF$11&lt;=EOMONTH('Construction Budget'!$M16,0)),('Construction Budget'!$G16+SUM($G219:FE219))/ROUND(((EOMONTH('Construction Budget'!$M16,0)-EOMONTH(FF$11,0))/30)+1,0),0)</f>
        <v>0</v>
      </c>
      <c r="FG219" s="427">
        <f>-IF(AND(FG$11&gt;=EOMONTH('Construction Budget'!$K16,0),FG$11&lt;=EOMONTH('Construction Budget'!$M16,0)),('Construction Budget'!$G16+SUM($G219:FF219))/ROUND(((EOMONTH('Construction Budget'!$M16,0)-EOMONTH(FG$11,0))/30)+1,0),0)</f>
        <v>0</v>
      </c>
      <c r="FH219" s="427">
        <f>-IF(AND(FH$11&gt;=EOMONTH('Construction Budget'!$K16,0),FH$11&lt;=EOMONTH('Construction Budget'!$M16,0)),('Construction Budget'!$G16+SUM($G219:FG219))/ROUND(((EOMONTH('Construction Budget'!$M16,0)-EOMONTH(FH$11,0))/30)+1,0),0)</f>
        <v>0</v>
      </c>
      <c r="FI219" s="427">
        <f>-IF(AND(FI$11&gt;=EOMONTH('Construction Budget'!$K16,0),FI$11&lt;=EOMONTH('Construction Budget'!$M16,0)),('Construction Budget'!$G16+SUM($G219:FH219))/ROUND(((EOMONTH('Construction Budget'!$M16,0)-EOMONTH(FI$11,0))/30)+1,0),0)</f>
        <v>0</v>
      </c>
      <c r="FJ219" s="427">
        <f>-IF(AND(FJ$11&gt;=EOMONTH('Construction Budget'!$K16,0),FJ$11&lt;=EOMONTH('Construction Budget'!$M16,0)),('Construction Budget'!$G16+SUM($G219:FI219))/ROUND(((EOMONTH('Construction Budget'!$M16,0)-EOMONTH(FJ$11,0))/30)+1,0),0)</f>
        <v>0</v>
      </c>
      <c r="FK219" s="427">
        <f>-IF(AND(FK$11&gt;=EOMONTH('Construction Budget'!$K16,0),FK$11&lt;=EOMONTH('Construction Budget'!$M16,0)),('Construction Budget'!$G16+SUM($G219:FJ219))/ROUND(((EOMONTH('Construction Budget'!$M16,0)-EOMONTH(FK$11,0))/30)+1,0),0)</f>
        <v>0</v>
      </c>
      <c r="FL219" s="427">
        <f>-IF(AND(FL$11&gt;=EOMONTH('Construction Budget'!$K16,0),FL$11&lt;=EOMONTH('Construction Budget'!$M16,0)),('Construction Budget'!$G16+SUM($G219:FK219))/ROUND(((EOMONTH('Construction Budget'!$M16,0)-EOMONTH(FL$11,0))/30)+1,0),0)</f>
        <v>0</v>
      </c>
      <c r="FM219" s="427">
        <f>-IF(AND(FM$11&gt;=EOMONTH('Construction Budget'!$K16,0),FM$11&lt;=EOMONTH('Construction Budget'!$M16,0)),('Construction Budget'!$G16+SUM($G219:FL219))/ROUND(((EOMONTH('Construction Budget'!$M16,0)-EOMONTH(FM$11,0))/30)+1,0),0)</f>
        <v>0</v>
      </c>
      <c r="FN219" s="427">
        <f>-IF(AND(FN$11&gt;=EOMONTH('Construction Budget'!$K16,0),FN$11&lt;=EOMONTH('Construction Budget'!$M16,0)),('Construction Budget'!$G16+SUM($G219:FM219))/ROUND(((EOMONTH('Construction Budget'!$M16,0)-EOMONTH(FN$11,0))/30)+1,0),0)</f>
        <v>0</v>
      </c>
      <c r="FO219" s="427">
        <f>-IF(AND(FO$11&gt;=EOMONTH('Construction Budget'!$K16,0),FO$11&lt;=EOMONTH('Construction Budget'!$M16,0)),('Construction Budget'!$G16+SUM($G219:FN219))/ROUND(((EOMONTH('Construction Budget'!$M16,0)-EOMONTH(FO$11,0))/30)+1,0),0)</f>
        <v>0</v>
      </c>
      <c r="FP219" s="427">
        <f>-IF(AND(FP$11&gt;=EOMONTH('Construction Budget'!$K16,0),FP$11&lt;=EOMONTH('Construction Budget'!$M16,0)),('Construction Budget'!$G16+SUM($G219:FO219))/ROUND(((EOMONTH('Construction Budget'!$M16,0)-EOMONTH(FP$11,0))/30)+1,0),0)</f>
        <v>0</v>
      </c>
      <c r="FQ219" s="427">
        <f>-IF(AND(FQ$11&gt;=EOMONTH('Construction Budget'!$K16,0),FQ$11&lt;=EOMONTH('Construction Budget'!$M16,0)),('Construction Budget'!$G16+SUM($G219:FP219))/ROUND(((EOMONTH('Construction Budget'!$M16,0)-EOMONTH(FQ$11,0))/30)+1,0),0)</f>
        <v>0</v>
      </c>
      <c r="FR219" s="427">
        <f>-IF(AND(FR$11&gt;=EOMONTH('Construction Budget'!$K16,0),FR$11&lt;=EOMONTH('Construction Budget'!$M16,0)),('Construction Budget'!$G16+SUM($G219:FQ219))/ROUND(((EOMONTH('Construction Budget'!$M16,0)-EOMONTH(FR$11,0))/30)+1,0),0)</f>
        <v>0</v>
      </c>
      <c r="FS219" s="427">
        <f>-IF(AND(FS$11&gt;=EOMONTH('Construction Budget'!$K16,0),FS$11&lt;=EOMONTH('Construction Budget'!$M16,0)),('Construction Budget'!$G16+SUM($G219:FR219))/ROUND(((EOMONTH('Construction Budget'!$M16,0)-EOMONTH(FS$11,0))/30)+1,0),0)</f>
        <v>0</v>
      </c>
      <c r="FT219" s="427">
        <f>-IF(AND(FT$11&gt;=EOMONTH('Construction Budget'!$K16,0),FT$11&lt;=EOMONTH('Construction Budget'!$M16,0)),('Construction Budget'!$G16+SUM($G219:FS219))/ROUND(((EOMONTH('Construction Budget'!$M16,0)-EOMONTH(FT$11,0))/30)+1,0),0)</f>
        <v>0</v>
      </c>
      <c r="FU219" s="43"/>
      <c r="FV219" s="34"/>
      <c r="FW219" s="34"/>
      <c r="FX219" s="34"/>
      <c r="FY219" s="34"/>
      <c r="FZ219" s="34"/>
    </row>
    <row r="220" spans="1:182" s="89" customFormat="1" ht="13.5" hidden="1" outlineLevel="1" x14ac:dyDescent="0.25">
      <c r="A220" s="498"/>
      <c r="B220" s="128" t="str">
        <f>'Construction Budget'!B17</f>
        <v>Blank</v>
      </c>
      <c r="C220" s="34"/>
      <c r="D220" s="34"/>
      <c r="E220" s="34"/>
      <c r="F220" s="434">
        <f t="shared" si="240"/>
        <v>0</v>
      </c>
      <c r="G220" s="34"/>
      <c r="H220" s="427">
        <f>-IF(AND(H$11&gt;=EOMONTH('Construction Budget'!$K17,0),H$11&lt;=EOMONTH('Construction Budget'!$M17,0)),('Construction Budget'!$G17+SUM($G220:G220))/ROUND(((EOMONTH('Construction Budget'!$M17,0)-EOMONTH(H$11,0))/30)+1,0),0)</f>
        <v>0</v>
      </c>
      <c r="I220" s="427">
        <f>-IF(AND(I$11&gt;=EOMONTH('Construction Budget'!$K17,0),I$11&lt;=EOMONTH('Construction Budget'!$M17,0)),('Construction Budget'!$G17+SUM($G220:H220))/ROUND(((EOMONTH('Construction Budget'!$M17,0)-EOMONTH(I$11,0))/30)+1,0),0)</f>
        <v>0</v>
      </c>
      <c r="J220" s="427">
        <f>-IF(AND(J$11&gt;=EOMONTH('Construction Budget'!$K17,0),J$11&lt;=EOMONTH('Construction Budget'!$M17,0)),('Construction Budget'!$G17+SUM($G220:I220))/ROUND(((EOMONTH('Construction Budget'!$M17,0)-EOMONTH(J$11,0))/30)+1,0),0)</f>
        <v>0</v>
      </c>
      <c r="K220" s="427">
        <f>-IF(AND(K$11&gt;=EOMONTH('Construction Budget'!$K17,0),K$11&lt;=EOMONTH('Construction Budget'!$M17,0)),('Construction Budget'!$G17+SUM($G220:J220))/ROUND(((EOMONTH('Construction Budget'!$M17,0)-EOMONTH(K$11,0))/30)+1,0),0)</f>
        <v>0</v>
      </c>
      <c r="L220" s="427">
        <f>-IF(AND(L$11&gt;=EOMONTH('Construction Budget'!$K17,0),L$11&lt;=EOMONTH('Construction Budget'!$M17,0)),('Construction Budget'!$G17+SUM($G220:K220))/ROUND(((EOMONTH('Construction Budget'!$M17,0)-EOMONTH(L$11,0))/30)+1,0),0)</f>
        <v>0</v>
      </c>
      <c r="M220" s="427">
        <f>-IF(AND(M$11&gt;=EOMONTH('Construction Budget'!$K17,0),M$11&lt;=EOMONTH('Construction Budget'!$M17,0)),('Construction Budget'!$G17+SUM($G220:L220))/ROUND(((EOMONTH('Construction Budget'!$M17,0)-EOMONTH(M$11,0))/30)+1,0),0)</f>
        <v>0</v>
      </c>
      <c r="N220" s="427">
        <f>-IF(AND(N$11&gt;=EOMONTH('Construction Budget'!$K17,0),N$11&lt;=EOMONTH('Construction Budget'!$M17,0)),('Construction Budget'!$G17+SUM($G220:M220))/ROUND(((EOMONTH('Construction Budget'!$M17,0)-EOMONTH(N$11,0))/30)+1,0),0)</f>
        <v>0</v>
      </c>
      <c r="O220" s="427">
        <f>-IF(AND(O$11&gt;=EOMONTH('Construction Budget'!$K17,0),O$11&lt;=EOMONTH('Construction Budget'!$M17,0)),('Construction Budget'!$G17+SUM($G220:N220))/ROUND(((EOMONTH('Construction Budget'!$M17,0)-EOMONTH(O$11,0))/30)+1,0),0)</f>
        <v>0</v>
      </c>
      <c r="P220" s="427">
        <f>-IF(AND(P$11&gt;=EOMONTH('Construction Budget'!$K17,0),P$11&lt;=EOMONTH('Construction Budget'!$M17,0)),('Construction Budget'!$G17+SUM($G220:O220))/ROUND(((EOMONTH('Construction Budget'!$M17,0)-EOMONTH(P$11,0))/30)+1,0),0)</f>
        <v>0</v>
      </c>
      <c r="Q220" s="427">
        <f>-IF(AND(Q$11&gt;=EOMONTH('Construction Budget'!$K17,0),Q$11&lt;=EOMONTH('Construction Budget'!$M17,0)),('Construction Budget'!$G17+SUM($G220:P220))/ROUND(((EOMONTH('Construction Budget'!$M17,0)-EOMONTH(Q$11,0))/30)+1,0),0)</f>
        <v>0</v>
      </c>
      <c r="R220" s="427">
        <f>-IF(AND(R$11&gt;=EOMONTH('Construction Budget'!$K17,0),R$11&lt;=EOMONTH('Construction Budget'!$M17,0)),('Construction Budget'!$G17+SUM($G220:Q220))/ROUND(((EOMONTH('Construction Budget'!$M17,0)-EOMONTH(R$11,0))/30)+1,0),0)</f>
        <v>0</v>
      </c>
      <c r="S220" s="427">
        <f>-IF(AND(S$11&gt;=EOMONTH('Construction Budget'!$K17,0),S$11&lt;=EOMONTH('Construction Budget'!$M17,0)),('Construction Budget'!$G17+SUM($G220:R220))/ROUND(((EOMONTH('Construction Budget'!$M17,0)-EOMONTH(S$11,0))/30)+1,0),0)</f>
        <v>0</v>
      </c>
      <c r="T220" s="427">
        <f>-IF(AND(T$11&gt;=EOMONTH('Construction Budget'!$K17,0),T$11&lt;=EOMONTH('Construction Budget'!$M17,0)),('Construction Budget'!$G17+SUM($G220:S220))/ROUND(((EOMONTH('Construction Budget'!$M17,0)-EOMONTH(T$11,0))/30)+1,0),0)</f>
        <v>0</v>
      </c>
      <c r="U220" s="427">
        <f>-IF(AND(U$11&gt;=EOMONTH('Construction Budget'!$K17,0),U$11&lt;=EOMONTH('Construction Budget'!$M17,0)),('Construction Budget'!$G17+SUM($G220:T220))/ROUND(((EOMONTH('Construction Budget'!$M17,0)-EOMONTH(U$11,0))/30)+1,0),0)</f>
        <v>0</v>
      </c>
      <c r="V220" s="427">
        <f>-IF(AND(V$11&gt;=EOMONTH('Construction Budget'!$K17,0),V$11&lt;=EOMONTH('Construction Budget'!$M17,0)),('Construction Budget'!$G17+SUM($G220:U220))/ROUND(((EOMONTH('Construction Budget'!$M17,0)-EOMONTH(V$11,0))/30)+1,0),0)</f>
        <v>0</v>
      </c>
      <c r="W220" s="427">
        <f>-IF(AND(W$11&gt;=EOMONTH('Construction Budget'!$K17,0),W$11&lt;=EOMONTH('Construction Budget'!$M17,0)),('Construction Budget'!$G17+SUM($G220:V220))/ROUND(((EOMONTH('Construction Budget'!$M17,0)-EOMONTH(W$11,0))/30)+1,0),0)</f>
        <v>0</v>
      </c>
      <c r="X220" s="427">
        <f>-IF(AND(X$11&gt;=EOMONTH('Construction Budget'!$K17,0),X$11&lt;=EOMONTH('Construction Budget'!$M17,0)),('Construction Budget'!$G17+SUM($G220:W220))/ROUND(((EOMONTH('Construction Budget'!$M17,0)-EOMONTH(X$11,0))/30)+1,0),0)</f>
        <v>0</v>
      </c>
      <c r="Y220" s="427">
        <f>-IF(AND(Y$11&gt;=EOMONTH('Construction Budget'!$K17,0),Y$11&lt;=EOMONTH('Construction Budget'!$M17,0)),('Construction Budget'!$G17+SUM($G220:X220))/ROUND(((EOMONTH('Construction Budget'!$M17,0)-EOMONTH(Y$11,0))/30)+1,0),0)</f>
        <v>0</v>
      </c>
      <c r="Z220" s="427">
        <f>-IF(AND(Z$11&gt;=EOMONTH('Construction Budget'!$K17,0),Z$11&lt;=EOMONTH('Construction Budget'!$M17,0)),('Construction Budget'!$G17+SUM($G220:Y220))/ROUND(((EOMONTH('Construction Budget'!$M17,0)-EOMONTH(Z$11,0))/30)+1,0),0)</f>
        <v>0</v>
      </c>
      <c r="AA220" s="427">
        <f>-IF(AND(AA$11&gt;=EOMONTH('Construction Budget'!$K17,0),AA$11&lt;=EOMONTH('Construction Budget'!$M17,0)),('Construction Budget'!$G17+SUM($G220:Z220))/ROUND(((EOMONTH('Construction Budget'!$M17,0)-EOMONTH(AA$11,0))/30)+1,0),0)</f>
        <v>0</v>
      </c>
      <c r="AB220" s="427">
        <f>-IF(AND(AB$11&gt;=EOMONTH('Construction Budget'!$K17,0),AB$11&lt;=EOMONTH('Construction Budget'!$M17,0)),('Construction Budget'!$G17+SUM($G220:AA220))/ROUND(((EOMONTH('Construction Budget'!$M17,0)-EOMONTH(AB$11,0))/30)+1,0),0)</f>
        <v>0</v>
      </c>
      <c r="AC220" s="427">
        <f>-IF(AND(AC$11&gt;=EOMONTH('Construction Budget'!$K17,0),AC$11&lt;=EOMONTH('Construction Budget'!$M17,0)),('Construction Budget'!$G17+SUM($G220:AB220))/ROUND(((EOMONTH('Construction Budget'!$M17,0)-EOMONTH(AC$11,0))/30)+1,0),0)</f>
        <v>0</v>
      </c>
      <c r="AD220" s="427">
        <f>-IF(AND(AD$11&gt;=EOMONTH('Construction Budget'!$K17,0),AD$11&lt;=EOMONTH('Construction Budget'!$M17,0)),('Construction Budget'!$G17+SUM($G220:AC220))/ROUND(((EOMONTH('Construction Budget'!$M17,0)-EOMONTH(AD$11,0))/30)+1,0),0)</f>
        <v>0</v>
      </c>
      <c r="AE220" s="427">
        <f>-IF(AND(AE$11&gt;=EOMONTH('Construction Budget'!$K17,0),AE$11&lt;=EOMONTH('Construction Budget'!$M17,0)),('Construction Budget'!$G17+SUM($G220:AD220))/ROUND(((EOMONTH('Construction Budget'!$M17,0)-EOMONTH(AE$11,0))/30)+1,0),0)</f>
        <v>0</v>
      </c>
      <c r="AF220" s="427">
        <f>-IF(AND(AF$11&gt;=EOMONTH('Construction Budget'!$K17,0),AF$11&lt;=EOMONTH('Construction Budget'!$M17,0)),('Construction Budget'!$G17+SUM($G220:AE220))/ROUND(((EOMONTH('Construction Budget'!$M17,0)-EOMONTH(AF$11,0))/30)+1,0),0)</f>
        <v>0</v>
      </c>
      <c r="AG220" s="427">
        <f>-IF(AND(AG$11&gt;=EOMONTH('Construction Budget'!$K17,0),AG$11&lt;=EOMONTH('Construction Budget'!$M17,0)),('Construction Budget'!$G17+SUM($G220:AF220))/ROUND(((EOMONTH('Construction Budget'!$M17,0)-EOMONTH(AG$11,0))/30)+1,0),0)</f>
        <v>0</v>
      </c>
      <c r="AH220" s="427">
        <f>-IF(AND(AH$11&gt;=EOMONTH('Construction Budget'!$K17,0),AH$11&lt;=EOMONTH('Construction Budget'!$M17,0)),('Construction Budget'!$G17+SUM($G220:AG220))/ROUND(((EOMONTH('Construction Budget'!$M17,0)-EOMONTH(AH$11,0))/30)+1,0),0)</f>
        <v>0</v>
      </c>
      <c r="AI220" s="427">
        <f>-IF(AND(AI$11&gt;=EOMONTH('Construction Budget'!$K17,0),AI$11&lt;=EOMONTH('Construction Budget'!$M17,0)),('Construction Budget'!$G17+SUM($G220:AH220))/ROUND(((EOMONTH('Construction Budget'!$M17,0)-EOMONTH(AI$11,0))/30)+1,0),0)</f>
        <v>0</v>
      </c>
      <c r="AJ220" s="427">
        <f>-IF(AND(AJ$11&gt;=EOMONTH('Construction Budget'!$K17,0),AJ$11&lt;=EOMONTH('Construction Budget'!$M17,0)),('Construction Budget'!$G17+SUM($G220:AI220))/ROUND(((EOMONTH('Construction Budget'!$M17,0)-EOMONTH(AJ$11,0))/30)+1,0),0)</f>
        <v>0</v>
      </c>
      <c r="AK220" s="427">
        <f>-IF(AND(AK$11&gt;=EOMONTH('Construction Budget'!$K17,0),AK$11&lt;=EOMONTH('Construction Budget'!$M17,0)),('Construction Budget'!$G17+SUM($G220:AJ220))/ROUND(((EOMONTH('Construction Budget'!$M17,0)-EOMONTH(AK$11,0))/30)+1,0),0)</f>
        <v>0</v>
      </c>
      <c r="AL220" s="427">
        <f>-IF(AND(AL$11&gt;=EOMONTH('Construction Budget'!$K17,0),AL$11&lt;=EOMONTH('Construction Budget'!$M17,0)),('Construction Budget'!$G17+SUM($G220:AK220))/ROUND(((EOMONTH('Construction Budget'!$M17,0)-EOMONTH(AL$11,0))/30)+1,0),0)</f>
        <v>0</v>
      </c>
      <c r="AM220" s="427">
        <f>-IF(AND(AM$11&gt;=EOMONTH('Construction Budget'!$K17,0),AM$11&lt;=EOMONTH('Construction Budget'!$M17,0)),('Construction Budget'!$G17+SUM($G220:AL220))/ROUND(((EOMONTH('Construction Budget'!$M17,0)-EOMONTH(AM$11,0))/30)+1,0),0)</f>
        <v>0</v>
      </c>
      <c r="AN220" s="427">
        <f>-IF(AND(AN$11&gt;=EOMONTH('Construction Budget'!$K17,0),AN$11&lt;=EOMONTH('Construction Budget'!$M17,0)),('Construction Budget'!$G17+SUM($G220:AM220))/ROUND(((EOMONTH('Construction Budget'!$M17,0)-EOMONTH(AN$11,0))/30)+1,0),0)</f>
        <v>0</v>
      </c>
      <c r="AO220" s="427">
        <f>-IF(AND(AO$11&gt;=EOMONTH('Construction Budget'!$K17,0),AO$11&lt;=EOMONTH('Construction Budget'!$M17,0)),('Construction Budget'!$G17+SUM($G220:AN220))/ROUND(((EOMONTH('Construction Budget'!$M17,0)-EOMONTH(AO$11,0))/30)+1,0),0)</f>
        <v>0</v>
      </c>
      <c r="AP220" s="427">
        <f>-IF(AND(AP$11&gt;=EOMONTH('Construction Budget'!$K17,0),AP$11&lt;=EOMONTH('Construction Budget'!$M17,0)),('Construction Budget'!$G17+SUM($G220:AO220))/ROUND(((EOMONTH('Construction Budget'!$M17,0)-EOMONTH(AP$11,0))/30)+1,0),0)</f>
        <v>0</v>
      </c>
      <c r="AQ220" s="427">
        <f>-IF(AND(AQ$11&gt;=EOMONTH('Construction Budget'!$K17,0),AQ$11&lt;=EOMONTH('Construction Budget'!$M17,0)),('Construction Budget'!$G17+SUM($G220:AP220))/ROUND(((EOMONTH('Construction Budget'!$M17,0)-EOMONTH(AQ$11,0))/30)+1,0),0)</f>
        <v>0</v>
      </c>
      <c r="AR220" s="427">
        <f>-IF(AND(AR$11&gt;=EOMONTH('Construction Budget'!$K17,0),AR$11&lt;=EOMONTH('Construction Budget'!$M17,0)),('Construction Budget'!$G17+SUM($G220:AQ220))/ROUND(((EOMONTH('Construction Budget'!$M17,0)-EOMONTH(AR$11,0))/30)+1,0),0)</f>
        <v>0</v>
      </c>
      <c r="AS220" s="427">
        <f>-IF(AND(AS$11&gt;=EOMONTH('Construction Budget'!$K17,0),AS$11&lt;=EOMONTH('Construction Budget'!$M17,0)),('Construction Budget'!$G17+SUM($G220:AR220))/ROUND(((EOMONTH('Construction Budget'!$M17,0)-EOMONTH(AS$11,0))/30)+1,0),0)</f>
        <v>0</v>
      </c>
      <c r="AT220" s="427">
        <f>-IF(AND(AT$11&gt;=EOMONTH('Construction Budget'!$K17,0),AT$11&lt;=EOMONTH('Construction Budget'!$M17,0)),('Construction Budget'!$G17+SUM($G220:AS220))/ROUND(((EOMONTH('Construction Budget'!$M17,0)-EOMONTH(AT$11,0))/30)+1,0),0)</f>
        <v>0</v>
      </c>
      <c r="AU220" s="427">
        <f>-IF(AND(AU$11&gt;=EOMONTH('Construction Budget'!$K17,0),AU$11&lt;=EOMONTH('Construction Budget'!$M17,0)),('Construction Budget'!$G17+SUM($G220:AT220))/ROUND(((EOMONTH('Construction Budget'!$M17,0)-EOMONTH(AU$11,0))/30)+1,0),0)</f>
        <v>0</v>
      </c>
      <c r="AV220" s="427">
        <f>-IF(AND(AV$11&gt;=EOMONTH('Construction Budget'!$K17,0),AV$11&lt;=EOMONTH('Construction Budget'!$M17,0)),('Construction Budget'!$G17+SUM($G220:AU220))/ROUND(((EOMONTH('Construction Budget'!$M17,0)-EOMONTH(AV$11,0))/30)+1,0),0)</f>
        <v>0</v>
      </c>
      <c r="AW220" s="427">
        <f>-IF(AND(AW$11&gt;=EOMONTH('Construction Budget'!$K17,0),AW$11&lt;=EOMONTH('Construction Budget'!$M17,0)),('Construction Budget'!$G17+SUM($G220:AV220))/ROUND(((EOMONTH('Construction Budget'!$M17,0)-EOMONTH(AW$11,0))/30)+1,0),0)</f>
        <v>0</v>
      </c>
      <c r="AX220" s="427">
        <f>-IF(AND(AX$11&gt;=EOMONTH('Construction Budget'!$K17,0),AX$11&lt;=EOMONTH('Construction Budget'!$M17,0)),('Construction Budget'!$G17+SUM($G220:AW220))/ROUND(((EOMONTH('Construction Budget'!$M17,0)-EOMONTH(AX$11,0))/30)+1,0),0)</f>
        <v>0</v>
      </c>
      <c r="AY220" s="427">
        <f>-IF(AND(AY$11&gt;=EOMONTH('Construction Budget'!$K17,0),AY$11&lt;=EOMONTH('Construction Budget'!$M17,0)),('Construction Budget'!$G17+SUM($G220:AX220))/ROUND(((EOMONTH('Construction Budget'!$M17,0)-EOMONTH(AY$11,0))/30)+1,0),0)</f>
        <v>0</v>
      </c>
      <c r="AZ220" s="427">
        <f>-IF(AND(AZ$11&gt;=EOMONTH('Construction Budget'!$K17,0),AZ$11&lt;=EOMONTH('Construction Budget'!$M17,0)),('Construction Budget'!$G17+SUM($G220:AY220))/ROUND(((EOMONTH('Construction Budget'!$M17,0)-EOMONTH(AZ$11,0))/30)+1,0),0)</f>
        <v>0</v>
      </c>
      <c r="BA220" s="427">
        <f>-IF(AND(BA$11&gt;=EOMONTH('Construction Budget'!$K17,0),BA$11&lt;=EOMONTH('Construction Budget'!$M17,0)),('Construction Budget'!$G17+SUM($G220:AZ220))/ROUND(((EOMONTH('Construction Budget'!$M17,0)-EOMONTH(BA$11,0))/30)+1,0),0)</f>
        <v>0</v>
      </c>
      <c r="BB220" s="427">
        <f>-IF(AND(BB$11&gt;=EOMONTH('Construction Budget'!$K17,0),BB$11&lt;=EOMONTH('Construction Budget'!$M17,0)),('Construction Budget'!$G17+SUM($G220:BA220))/ROUND(((EOMONTH('Construction Budget'!$M17,0)-EOMONTH(BB$11,0))/30)+1,0),0)</f>
        <v>0</v>
      </c>
      <c r="BC220" s="427">
        <f>-IF(AND(BC$11&gt;=EOMONTH('Construction Budget'!$K17,0),BC$11&lt;=EOMONTH('Construction Budget'!$M17,0)),('Construction Budget'!$G17+SUM($G220:BB220))/ROUND(((EOMONTH('Construction Budget'!$M17,0)-EOMONTH(BC$11,0))/30)+1,0),0)</f>
        <v>0</v>
      </c>
      <c r="BD220" s="427">
        <f>-IF(AND(BD$11&gt;=EOMONTH('Construction Budget'!$K17,0),BD$11&lt;=EOMONTH('Construction Budget'!$M17,0)),('Construction Budget'!$G17+SUM($G220:BC220))/ROUND(((EOMONTH('Construction Budget'!$M17,0)-EOMONTH(BD$11,0))/30)+1,0),0)</f>
        <v>0</v>
      </c>
      <c r="BE220" s="427">
        <f>-IF(AND(BE$11&gt;=EOMONTH('Construction Budget'!$K17,0),BE$11&lt;=EOMONTH('Construction Budget'!$M17,0)),('Construction Budget'!$G17+SUM($G220:BD220))/ROUND(((EOMONTH('Construction Budget'!$M17,0)-EOMONTH(BE$11,0))/30)+1,0),0)</f>
        <v>0</v>
      </c>
      <c r="BF220" s="427">
        <f>-IF(AND(BF$11&gt;=EOMONTH('Construction Budget'!$K17,0),BF$11&lt;=EOMONTH('Construction Budget'!$M17,0)),('Construction Budget'!$G17+SUM($G220:BE220))/ROUND(((EOMONTH('Construction Budget'!$M17,0)-EOMONTH(BF$11,0))/30)+1,0),0)</f>
        <v>0</v>
      </c>
      <c r="BG220" s="427">
        <f>-IF(AND(BG$11&gt;=EOMONTH('Construction Budget'!$K17,0),BG$11&lt;=EOMONTH('Construction Budget'!$M17,0)),('Construction Budget'!$G17+SUM($G220:BF220))/ROUND(((EOMONTH('Construction Budget'!$M17,0)-EOMONTH(BG$11,0))/30)+1,0),0)</f>
        <v>0</v>
      </c>
      <c r="BH220" s="427">
        <f>-IF(AND(BH$11&gt;=EOMONTH('Construction Budget'!$K17,0),BH$11&lt;=EOMONTH('Construction Budget'!$M17,0)),('Construction Budget'!$G17+SUM($G220:BG220))/ROUND(((EOMONTH('Construction Budget'!$M17,0)-EOMONTH(BH$11,0))/30)+1,0),0)</f>
        <v>0</v>
      </c>
      <c r="BI220" s="427">
        <f>-IF(AND(BI$11&gt;=EOMONTH('Construction Budget'!$K17,0),BI$11&lt;=EOMONTH('Construction Budget'!$M17,0)),('Construction Budget'!$G17+SUM($G220:BH220))/ROUND(((EOMONTH('Construction Budget'!$M17,0)-EOMONTH(BI$11,0))/30)+1,0),0)</f>
        <v>0</v>
      </c>
      <c r="BJ220" s="427">
        <f>-IF(AND(BJ$11&gt;=EOMONTH('Construction Budget'!$K17,0),BJ$11&lt;=EOMONTH('Construction Budget'!$M17,0)),('Construction Budget'!$G17+SUM($G220:BI220))/ROUND(((EOMONTH('Construction Budget'!$M17,0)-EOMONTH(BJ$11,0))/30)+1,0),0)</f>
        <v>0</v>
      </c>
      <c r="BK220" s="427">
        <f>-IF(AND(BK$11&gt;=EOMONTH('Construction Budget'!$K17,0),BK$11&lt;=EOMONTH('Construction Budget'!$M17,0)),('Construction Budget'!$G17+SUM($G220:BJ220))/ROUND(((EOMONTH('Construction Budget'!$M17,0)-EOMONTH(BK$11,0))/30)+1,0),0)</f>
        <v>0</v>
      </c>
      <c r="BL220" s="427">
        <f>-IF(AND(BL$11&gt;=EOMONTH('Construction Budget'!$K17,0),BL$11&lt;=EOMONTH('Construction Budget'!$M17,0)),('Construction Budget'!$G17+SUM($G220:BK220))/ROUND(((EOMONTH('Construction Budget'!$M17,0)-EOMONTH(BL$11,0))/30)+1,0),0)</f>
        <v>0</v>
      </c>
      <c r="BM220" s="427">
        <f>-IF(AND(BM$11&gt;=EOMONTH('Construction Budget'!$K17,0),BM$11&lt;=EOMONTH('Construction Budget'!$M17,0)),('Construction Budget'!$G17+SUM($G220:BL220))/ROUND(((EOMONTH('Construction Budget'!$M17,0)-EOMONTH(BM$11,0))/30)+1,0),0)</f>
        <v>0</v>
      </c>
      <c r="BN220" s="427">
        <f>-IF(AND(BN$11&gt;=EOMONTH('Construction Budget'!$K17,0),BN$11&lt;=EOMONTH('Construction Budget'!$M17,0)),('Construction Budget'!$G17+SUM($G220:BM220))/ROUND(((EOMONTH('Construction Budget'!$M17,0)-EOMONTH(BN$11,0))/30)+1,0),0)</f>
        <v>0</v>
      </c>
      <c r="BO220" s="427">
        <f>-IF(AND(BO$11&gt;=EOMONTH('Construction Budget'!$K17,0),BO$11&lt;=EOMONTH('Construction Budget'!$M17,0)),('Construction Budget'!$G17+SUM($G220:BN220))/ROUND(((EOMONTH('Construction Budget'!$M17,0)-EOMONTH(BO$11,0))/30)+1,0),0)</f>
        <v>0</v>
      </c>
      <c r="BP220" s="427">
        <f>-IF(AND(BP$11&gt;=EOMONTH('Construction Budget'!$K17,0),BP$11&lt;=EOMONTH('Construction Budget'!$M17,0)),('Construction Budget'!$G17+SUM($G220:BO220))/ROUND(((EOMONTH('Construction Budget'!$M17,0)-EOMONTH(BP$11,0))/30)+1,0),0)</f>
        <v>0</v>
      </c>
      <c r="BQ220" s="427">
        <f>-IF(AND(BQ$11&gt;=EOMONTH('Construction Budget'!$K17,0),BQ$11&lt;=EOMONTH('Construction Budget'!$M17,0)),('Construction Budget'!$G17+SUM($G220:BP220))/ROUND(((EOMONTH('Construction Budget'!$M17,0)-EOMONTH(BQ$11,0))/30)+1,0),0)</f>
        <v>0</v>
      </c>
      <c r="BR220" s="427">
        <f>-IF(AND(BR$11&gt;=EOMONTH('Construction Budget'!$K17,0),BR$11&lt;=EOMONTH('Construction Budget'!$M17,0)),('Construction Budget'!$G17+SUM($G220:BQ220))/ROUND(((EOMONTH('Construction Budget'!$M17,0)-EOMONTH(BR$11,0))/30)+1,0),0)</f>
        <v>0</v>
      </c>
      <c r="BS220" s="427">
        <f>-IF(AND(BS$11&gt;=EOMONTH('Construction Budget'!$K17,0),BS$11&lt;=EOMONTH('Construction Budget'!$M17,0)),('Construction Budget'!$G17+SUM($G220:BR220))/ROUND(((EOMONTH('Construction Budget'!$M17,0)-EOMONTH(BS$11,0))/30)+1,0),0)</f>
        <v>0</v>
      </c>
      <c r="BT220" s="427">
        <f>-IF(AND(BT$11&gt;=EOMONTH('Construction Budget'!$K17,0),BT$11&lt;=EOMONTH('Construction Budget'!$M17,0)),('Construction Budget'!$G17+SUM($G220:BS220))/ROUND(((EOMONTH('Construction Budget'!$M17,0)-EOMONTH(BT$11,0))/30)+1,0),0)</f>
        <v>0</v>
      </c>
      <c r="BU220" s="427">
        <f>-IF(AND(BU$11&gt;=EOMONTH('Construction Budget'!$K17,0),BU$11&lt;=EOMONTH('Construction Budget'!$M17,0)),('Construction Budget'!$G17+SUM($G220:BT220))/ROUND(((EOMONTH('Construction Budget'!$M17,0)-EOMONTH(BU$11,0))/30)+1,0),0)</f>
        <v>0</v>
      </c>
      <c r="BV220" s="427">
        <f>-IF(AND(BV$11&gt;=EOMONTH('Construction Budget'!$K17,0),BV$11&lt;=EOMONTH('Construction Budget'!$M17,0)),('Construction Budget'!$G17+SUM($G220:BU220))/ROUND(((EOMONTH('Construction Budget'!$M17,0)-EOMONTH(BV$11,0))/30)+1,0),0)</f>
        <v>0</v>
      </c>
      <c r="BW220" s="427">
        <f>-IF(AND(BW$11&gt;=EOMONTH('Construction Budget'!$K17,0),BW$11&lt;=EOMONTH('Construction Budget'!$M17,0)),('Construction Budget'!$G17+SUM($G220:BV220))/ROUND(((EOMONTH('Construction Budget'!$M17,0)-EOMONTH(BW$11,0))/30)+1,0),0)</f>
        <v>0</v>
      </c>
      <c r="BX220" s="427">
        <f>-IF(AND(BX$11&gt;=EOMONTH('Construction Budget'!$K17,0),BX$11&lt;=EOMONTH('Construction Budget'!$M17,0)),('Construction Budget'!$G17+SUM($G220:BW220))/ROUND(((EOMONTH('Construction Budget'!$M17,0)-EOMONTH(BX$11,0))/30)+1,0),0)</f>
        <v>0</v>
      </c>
      <c r="BY220" s="427">
        <f>-IF(AND(BY$11&gt;=EOMONTH('Construction Budget'!$K17,0),BY$11&lt;=EOMONTH('Construction Budget'!$M17,0)),('Construction Budget'!$G17+SUM($G220:BX220))/ROUND(((EOMONTH('Construction Budget'!$M17,0)-EOMONTH(BY$11,0))/30)+1,0),0)</f>
        <v>0</v>
      </c>
      <c r="BZ220" s="427">
        <f>-IF(AND(BZ$11&gt;=EOMONTH('Construction Budget'!$K17,0),BZ$11&lt;=EOMONTH('Construction Budget'!$M17,0)),('Construction Budget'!$G17+SUM($G220:BY220))/ROUND(((EOMONTH('Construction Budget'!$M17,0)-EOMONTH(BZ$11,0))/30)+1,0),0)</f>
        <v>0</v>
      </c>
      <c r="CA220" s="427">
        <f>-IF(AND(CA$11&gt;=EOMONTH('Construction Budget'!$K17,0),CA$11&lt;=EOMONTH('Construction Budget'!$M17,0)),('Construction Budget'!$G17+SUM($G220:BZ220))/ROUND(((EOMONTH('Construction Budget'!$M17,0)-EOMONTH(CA$11,0))/30)+1,0),0)</f>
        <v>0</v>
      </c>
      <c r="CB220" s="427">
        <f>-IF(AND(CB$11&gt;=EOMONTH('Construction Budget'!$K17,0),CB$11&lt;=EOMONTH('Construction Budget'!$M17,0)),('Construction Budget'!$G17+SUM($G220:CA220))/ROUND(((EOMONTH('Construction Budget'!$M17,0)-EOMONTH(CB$11,0))/30)+1,0),0)</f>
        <v>0</v>
      </c>
      <c r="CC220" s="427">
        <f>-IF(AND(CC$11&gt;=EOMONTH('Construction Budget'!$K17,0),CC$11&lt;=EOMONTH('Construction Budget'!$M17,0)),('Construction Budget'!$G17+SUM($G220:CB220))/ROUND(((EOMONTH('Construction Budget'!$M17,0)-EOMONTH(CC$11,0))/30)+1,0),0)</f>
        <v>0</v>
      </c>
      <c r="CD220" s="427">
        <f>-IF(AND(CD$11&gt;=EOMONTH('Construction Budget'!$K17,0),CD$11&lt;=EOMONTH('Construction Budget'!$M17,0)),('Construction Budget'!$G17+SUM($G220:CC220))/ROUND(((EOMONTH('Construction Budget'!$M17,0)-EOMONTH(CD$11,0))/30)+1,0),0)</f>
        <v>0</v>
      </c>
      <c r="CE220" s="427">
        <f>-IF(AND(CE$11&gt;=EOMONTH('Construction Budget'!$K17,0),CE$11&lt;=EOMONTH('Construction Budget'!$M17,0)),('Construction Budget'!$G17+SUM($G220:CD220))/ROUND(((EOMONTH('Construction Budget'!$M17,0)-EOMONTH(CE$11,0))/30)+1,0),0)</f>
        <v>0</v>
      </c>
      <c r="CF220" s="427">
        <f>-IF(AND(CF$11&gt;=EOMONTH('Construction Budget'!$K17,0),CF$11&lt;=EOMONTH('Construction Budget'!$M17,0)),('Construction Budget'!$G17+SUM($G220:CE220))/ROUND(((EOMONTH('Construction Budget'!$M17,0)-EOMONTH(CF$11,0))/30)+1,0),0)</f>
        <v>0</v>
      </c>
      <c r="CG220" s="427">
        <f>-IF(AND(CG$11&gt;=EOMONTH('Construction Budget'!$K17,0),CG$11&lt;=EOMONTH('Construction Budget'!$M17,0)),('Construction Budget'!$G17+SUM($G220:CF220))/ROUND(((EOMONTH('Construction Budget'!$M17,0)-EOMONTH(CG$11,0))/30)+1,0),0)</f>
        <v>0</v>
      </c>
      <c r="CH220" s="427">
        <f>-IF(AND(CH$11&gt;=EOMONTH('Construction Budget'!$K17,0),CH$11&lt;=EOMONTH('Construction Budget'!$M17,0)),('Construction Budget'!$G17+SUM($G220:CG220))/ROUND(((EOMONTH('Construction Budget'!$M17,0)-EOMONTH(CH$11,0))/30)+1,0),0)</f>
        <v>0</v>
      </c>
      <c r="CI220" s="427">
        <f>-IF(AND(CI$11&gt;=EOMONTH('Construction Budget'!$K17,0),CI$11&lt;=EOMONTH('Construction Budget'!$M17,0)),('Construction Budget'!$G17+SUM($G220:CH220))/ROUND(((EOMONTH('Construction Budget'!$M17,0)-EOMONTH(CI$11,0))/30)+1,0),0)</f>
        <v>0</v>
      </c>
      <c r="CJ220" s="427">
        <f>-IF(AND(CJ$11&gt;=EOMONTH('Construction Budget'!$K17,0),CJ$11&lt;=EOMONTH('Construction Budget'!$M17,0)),('Construction Budget'!$G17+SUM($G220:CI220))/ROUND(((EOMONTH('Construction Budget'!$M17,0)-EOMONTH(CJ$11,0))/30)+1,0),0)</f>
        <v>0</v>
      </c>
      <c r="CK220" s="427">
        <f>-IF(AND(CK$11&gt;=EOMONTH('Construction Budget'!$K17,0),CK$11&lt;=EOMONTH('Construction Budget'!$M17,0)),('Construction Budget'!$G17+SUM($G220:CJ220))/ROUND(((EOMONTH('Construction Budget'!$M17,0)-EOMONTH(CK$11,0))/30)+1,0),0)</f>
        <v>0</v>
      </c>
      <c r="CL220" s="427">
        <f>-IF(AND(CL$11&gt;=EOMONTH('Construction Budget'!$K17,0),CL$11&lt;=EOMONTH('Construction Budget'!$M17,0)),('Construction Budget'!$G17+SUM($G220:CK220))/ROUND(((EOMONTH('Construction Budget'!$M17,0)-EOMONTH(CL$11,0))/30)+1,0),0)</f>
        <v>0</v>
      </c>
      <c r="CM220" s="427">
        <f>-IF(AND(CM$11&gt;=EOMONTH('Construction Budget'!$K17,0),CM$11&lt;=EOMONTH('Construction Budget'!$M17,0)),('Construction Budget'!$G17+SUM($G220:CL220))/ROUND(((EOMONTH('Construction Budget'!$M17,0)-EOMONTH(CM$11,0))/30)+1,0),0)</f>
        <v>0</v>
      </c>
      <c r="CN220" s="427">
        <f>-IF(AND(CN$11&gt;=EOMONTH('Construction Budget'!$K17,0),CN$11&lt;=EOMONTH('Construction Budget'!$M17,0)),('Construction Budget'!$G17+SUM($G220:CM220))/ROUND(((EOMONTH('Construction Budget'!$M17,0)-EOMONTH(CN$11,0))/30)+1,0),0)</f>
        <v>0</v>
      </c>
      <c r="CO220" s="427">
        <f>-IF(AND(CO$11&gt;=EOMONTH('Construction Budget'!$K17,0),CO$11&lt;=EOMONTH('Construction Budget'!$M17,0)),('Construction Budget'!$G17+SUM($G220:CN220))/ROUND(((EOMONTH('Construction Budget'!$M17,0)-EOMONTH(CO$11,0))/30)+1,0),0)</f>
        <v>0</v>
      </c>
      <c r="CP220" s="427">
        <f>-IF(AND(CP$11&gt;=EOMONTH('Construction Budget'!$K17,0),CP$11&lt;=EOMONTH('Construction Budget'!$M17,0)),('Construction Budget'!$G17+SUM($G220:CO220))/ROUND(((EOMONTH('Construction Budget'!$M17,0)-EOMONTH(CP$11,0))/30)+1,0),0)</f>
        <v>0</v>
      </c>
      <c r="CQ220" s="427">
        <f>-IF(AND(CQ$11&gt;=EOMONTH('Construction Budget'!$K17,0),CQ$11&lt;=EOMONTH('Construction Budget'!$M17,0)),('Construction Budget'!$G17+SUM($G220:CP220))/ROUND(((EOMONTH('Construction Budget'!$M17,0)-EOMONTH(CQ$11,0))/30)+1,0),0)</f>
        <v>0</v>
      </c>
      <c r="CR220" s="427">
        <f>-IF(AND(CR$11&gt;=EOMONTH('Construction Budget'!$K17,0),CR$11&lt;=EOMONTH('Construction Budget'!$M17,0)),('Construction Budget'!$G17+SUM($G220:CQ220))/ROUND(((EOMONTH('Construction Budget'!$M17,0)-EOMONTH(CR$11,0))/30)+1,0),0)</f>
        <v>0</v>
      </c>
      <c r="CS220" s="427">
        <f>-IF(AND(CS$11&gt;=EOMONTH('Construction Budget'!$K17,0),CS$11&lt;=EOMONTH('Construction Budget'!$M17,0)),('Construction Budget'!$G17+SUM($G220:CR220))/ROUND(((EOMONTH('Construction Budget'!$M17,0)-EOMONTH(CS$11,0))/30)+1,0),0)</f>
        <v>0</v>
      </c>
      <c r="CT220" s="427">
        <f>-IF(AND(CT$11&gt;=EOMONTH('Construction Budget'!$K17,0),CT$11&lt;=EOMONTH('Construction Budget'!$M17,0)),('Construction Budget'!$G17+SUM($G220:CS220))/ROUND(((EOMONTH('Construction Budget'!$M17,0)-EOMONTH(CT$11,0))/30)+1,0),0)</f>
        <v>0</v>
      </c>
      <c r="CU220" s="427">
        <f>-IF(AND(CU$11&gt;=EOMONTH('Construction Budget'!$K17,0),CU$11&lt;=EOMONTH('Construction Budget'!$M17,0)),('Construction Budget'!$G17+SUM($G220:CT220))/ROUND(((EOMONTH('Construction Budget'!$M17,0)-EOMONTH(CU$11,0))/30)+1,0),0)</f>
        <v>0</v>
      </c>
      <c r="CV220" s="427">
        <f>-IF(AND(CV$11&gt;=EOMONTH('Construction Budget'!$K17,0),CV$11&lt;=EOMONTH('Construction Budget'!$M17,0)),('Construction Budget'!$G17+SUM($G220:CU220))/ROUND(((EOMONTH('Construction Budget'!$M17,0)-EOMONTH(CV$11,0))/30)+1,0),0)</f>
        <v>0</v>
      </c>
      <c r="CW220" s="427">
        <f>-IF(AND(CW$11&gt;=EOMONTH('Construction Budget'!$K17,0),CW$11&lt;=EOMONTH('Construction Budget'!$M17,0)),('Construction Budget'!$G17+SUM($G220:CV220))/ROUND(((EOMONTH('Construction Budget'!$M17,0)-EOMONTH(CW$11,0))/30)+1,0),0)</f>
        <v>0</v>
      </c>
      <c r="CX220" s="427">
        <f>-IF(AND(CX$11&gt;=EOMONTH('Construction Budget'!$K17,0),CX$11&lt;=EOMONTH('Construction Budget'!$M17,0)),('Construction Budget'!$G17+SUM($G220:CW220))/ROUND(((EOMONTH('Construction Budget'!$M17,0)-EOMONTH(CX$11,0))/30)+1,0),0)</f>
        <v>0</v>
      </c>
      <c r="CY220" s="427">
        <f>-IF(AND(CY$11&gt;=EOMONTH('Construction Budget'!$K17,0),CY$11&lt;=EOMONTH('Construction Budget'!$M17,0)),('Construction Budget'!$G17+SUM($G220:CX220))/ROUND(((EOMONTH('Construction Budget'!$M17,0)-EOMONTH(CY$11,0))/30)+1,0),0)</f>
        <v>0</v>
      </c>
      <c r="CZ220" s="427">
        <f>-IF(AND(CZ$11&gt;=EOMONTH('Construction Budget'!$K17,0),CZ$11&lt;=EOMONTH('Construction Budget'!$M17,0)),('Construction Budget'!$G17+SUM($G220:CY220))/ROUND(((EOMONTH('Construction Budget'!$M17,0)-EOMONTH(CZ$11,0))/30)+1,0),0)</f>
        <v>0</v>
      </c>
      <c r="DA220" s="427">
        <f>-IF(AND(DA$11&gt;=EOMONTH('Construction Budget'!$K17,0),DA$11&lt;=EOMONTH('Construction Budget'!$M17,0)),('Construction Budget'!$G17+SUM($G220:CZ220))/ROUND(((EOMONTH('Construction Budget'!$M17,0)-EOMONTH(DA$11,0))/30)+1,0),0)</f>
        <v>0</v>
      </c>
      <c r="DB220" s="427">
        <f>-IF(AND(DB$11&gt;=EOMONTH('Construction Budget'!$K17,0),DB$11&lt;=EOMONTH('Construction Budget'!$M17,0)),('Construction Budget'!$G17+SUM($G220:DA220))/ROUND(((EOMONTH('Construction Budget'!$M17,0)-EOMONTH(DB$11,0))/30)+1,0),0)</f>
        <v>0</v>
      </c>
      <c r="DC220" s="427">
        <f>-IF(AND(DC$11&gt;=EOMONTH('Construction Budget'!$K17,0),DC$11&lt;=EOMONTH('Construction Budget'!$M17,0)),('Construction Budget'!$G17+SUM($G220:DB220))/ROUND(((EOMONTH('Construction Budget'!$M17,0)-EOMONTH(DC$11,0))/30)+1,0),0)</f>
        <v>0</v>
      </c>
      <c r="DD220" s="427">
        <f>-IF(AND(DD$11&gt;=EOMONTH('Construction Budget'!$K17,0),DD$11&lt;=EOMONTH('Construction Budget'!$M17,0)),('Construction Budget'!$G17+SUM($G220:DC220))/ROUND(((EOMONTH('Construction Budget'!$M17,0)-EOMONTH(DD$11,0))/30)+1,0),0)</f>
        <v>0</v>
      </c>
      <c r="DE220" s="427">
        <f>-IF(AND(DE$11&gt;=EOMONTH('Construction Budget'!$K17,0),DE$11&lt;=EOMONTH('Construction Budget'!$M17,0)),('Construction Budget'!$G17+SUM($G220:DD220))/ROUND(((EOMONTH('Construction Budget'!$M17,0)-EOMONTH(DE$11,0))/30)+1,0),0)</f>
        <v>0</v>
      </c>
      <c r="DF220" s="427">
        <f>-IF(AND(DF$11&gt;=EOMONTH('Construction Budget'!$K17,0),DF$11&lt;=EOMONTH('Construction Budget'!$M17,0)),('Construction Budget'!$G17+SUM($G220:DE220))/ROUND(((EOMONTH('Construction Budget'!$M17,0)-EOMONTH(DF$11,0))/30)+1,0),0)</f>
        <v>0</v>
      </c>
      <c r="DG220" s="427">
        <f>-IF(AND(DG$11&gt;=EOMONTH('Construction Budget'!$K17,0),DG$11&lt;=EOMONTH('Construction Budget'!$M17,0)),('Construction Budget'!$G17+SUM($G220:DF220))/ROUND(((EOMONTH('Construction Budget'!$M17,0)-EOMONTH(DG$11,0))/30)+1,0),0)</f>
        <v>0</v>
      </c>
      <c r="DH220" s="427">
        <f>-IF(AND(DH$11&gt;=EOMONTH('Construction Budget'!$K17,0),DH$11&lt;=EOMONTH('Construction Budget'!$M17,0)),('Construction Budget'!$G17+SUM($G220:DG220))/ROUND(((EOMONTH('Construction Budget'!$M17,0)-EOMONTH(DH$11,0))/30)+1,0),0)</f>
        <v>0</v>
      </c>
      <c r="DI220" s="427">
        <f>-IF(AND(DI$11&gt;=EOMONTH('Construction Budget'!$K17,0),DI$11&lt;=EOMONTH('Construction Budget'!$M17,0)),('Construction Budget'!$G17+SUM($G220:DH220))/ROUND(((EOMONTH('Construction Budget'!$M17,0)-EOMONTH(DI$11,0))/30)+1,0),0)</f>
        <v>0</v>
      </c>
      <c r="DJ220" s="427">
        <f>-IF(AND(DJ$11&gt;=EOMONTH('Construction Budget'!$K17,0),DJ$11&lt;=EOMONTH('Construction Budget'!$M17,0)),('Construction Budget'!$G17+SUM($G220:DI220))/ROUND(((EOMONTH('Construction Budget'!$M17,0)-EOMONTH(DJ$11,0))/30)+1,0),0)</f>
        <v>0</v>
      </c>
      <c r="DK220" s="427">
        <f>-IF(AND(DK$11&gt;=EOMONTH('Construction Budget'!$K17,0),DK$11&lt;=EOMONTH('Construction Budget'!$M17,0)),('Construction Budget'!$G17+SUM($G220:DJ220))/ROUND(((EOMONTH('Construction Budget'!$M17,0)-EOMONTH(DK$11,0))/30)+1,0),0)</f>
        <v>0</v>
      </c>
      <c r="DL220" s="427">
        <f>-IF(AND(DL$11&gt;=EOMONTH('Construction Budget'!$K17,0),DL$11&lt;=EOMONTH('Construction Budget'!$M17,0)),('Construction Budget'!$G17+SUM($G220:DK220))/ROUND(((EOMONTH('Construction Budget'!$M17,0)-EOMONTH(DL$11,0))/30)+1,0),0)</f>
        <v>0</v>
      </c>
      <c r="DM220" s="427">
        <f>-IF(AND(DM$11&gt;=EOMONTH('Construction Budget'!$K17,0),DM$11&lt;=EOMONTH('Construction Budget'!$M17,0)),('Construction Budget'!$G17+SUM($G220:DL220))/ROUND(((EOMONTH('Construction Budget'!$M17,0)-EOMONTH(DM$11,0))/30)+1,0),0)</f>
        <v>0</v>
      </c>
      <c r="DN220" s="427">
        <f>-IF(AND(DN$11&gt;=EOMONTH('Construction Budget'!$K17,0),DN$11&lt;=EOMONTH('Construction Budget'!$M17,0)),('Construction Budget'!$G17+SUM($G220:DM220))/ROUND(((EOMONTH('Construction Budget'!$M17,0)-EOMONTH(DN$11,0))/30)+1,0),0)</f>
        <v>0</v>
      </c>
      <c r="DO220" s="427">
        <f>-IF(AND(DO$11&gt;=EOMONTH('Construction Budget'!$K17,0),DO$11&lt;=EOMONTH('Construction Budget'!$M17,0)),('Construction Budget'!$G17+SUM($G220:DN220))/ROUND(((EOMONTH('Construction Budget'!$M17,0)-EOMONTH(DO$11,0))/30)+1,0),0)</f>
        <v>0</v>
      </c>
      <c r="DP220" s="427">
        <f>-IF(AND(DP$11&gt;=EOMONTH('Construction Budget'!$K17,0),DP$11&lt;=EOMONTH('Construction Budget'!$M17,0)),('Construction Budget'!$G17+SUM($G220:DO220))/ROUND(((EOMONTH('Construction Budget'!$M17,0)-EOMONTH(DP$11,0))/30)+1,0),0)</f>
        <v>0</v>
      </c>
      <c r="DQ220" s="427">
        <f>-IF(AND(DQ$11&gt;=EOMONTH('Construction Budget'!$K17,0),DQ$11&lt;=EOMONTH('Construction Budget'!$M17,0)),('Construction Budget'!$G17+SUM($G220:DP220))/ROUND(((EOMONTH('Construction Budget'!$M17,0)-EOMONTH(DQ$11,0))/30)+1,0),0)</f>
        <v>0</v>
      </c>
      <c r="DR220" s="427">
        <f>-IF(AND(DR$11&gt;=EOMONTH('Construction Budget'!$K17,0),DR$11&lt;=EOMONTH('Construction Budget'!$M17,0)),('Construction Budget'!$G17+SUM($G220:DQ220))/ROUND(((EOMONTH('Construction Budget'!$M17,0)-EOMONTH(DR$11,0))/30)+1,0),0)</f>
        <v>0</v>
      </c>
      <c r="DS220" s="427">
        <f>-IF(AND(DS$11&gt;=EOMONTH('Construction Budget'!$K17,0),DS$11&lt;=EOMONTH('Construction Budget'!$M17,0)),('Construction Budget'!$G17+SUM($G220:DR220))/ROUND(((EOMONTH('Construction Budget'!$M17,0)-EOMONTH(DS$11,0))/30)+1,0),0)</f>
        <v>0</v>
      </c>
      <c r="DT220" s="427">
        <f>-IF(AND(DT$11&gt;=EOMONTH('Construction Budget'!$K17,0),DT$11&lt;=EOMONTH('Construction Budget'!$M17,0)),('Construction Budget'!$G17+SUM($G220:DS220))/ROUND(((EOMONTH('Construction Budget'!$M17,0)-EOMONTH(DT$11,0))/30)+1,0),0)</f>
        <v>0</v>
      </c>
      <c r="DU220" s="427">
        <f>-IF(AND(DU$11&gt;=EOMONTH('Construction Budget'!$K17,0),DU$11&lt;=EOMONTH('Construction Budget'!$M17,0)),('Construction Budget'!$G17+SUM($G220:DT220))/ROUND(((EOMONTH('Construction Budget'!$M17,0)-EOMONTH(DU$11,0))/30)+1,0),0)</f>
        <v>0</v>
      </c>
      <c r="DV220" s="427">
        <f>-IF(AND(DV$11&gt;=EOMONTH('Construction Budget'!$K17,0),DV$11&lt;=EOMONTH('Construction Budget'!$M17,0)),('Construction Budget'!$G17+SUM($G220:DU220))/ROUND(((EOMONTH('Construction Budget'!$M17,0)-EOMONTH(DV$11,0))/30)+1,0),0)</f>
        <v>0</v>
      </c>
      <c r="DW220" s="427">
        <f>-IF(AND(DW$11&gt;=EOMONTH('Construction Budget'!$K17,0),DW$11&lt;=EOMONTH('Construction Budget'!$M17,0)),('Construction Budget'!$G17+SUM($G220:DV220))/ROUND(((EOMONTH('Construction Budget'!$M17,0)-EOMONTH(DW$11,0))/30)+1,0),0)</f>
        <v>0</v>
      </c>
      <c r="DX220" s="427">
        <f>-IF(AND(DX$11&gt;=EOMONTH('Construction Budget'!$K17,0),DX$11&lt;=EOMONTH('Construction Budget'!$M17,0)),('Construction Budget'!$G17+SUM($G220:DW220))/ROUND(((EOMONTH('Construction Budget'!$M17,0)-EOMONTH(DX$11,0))/30)+1,0),0)</f>
        <v>0</v>
      </c>
      <c r="DY220" s="427">
        <f>-IF(AND(DY$11&gt;=EOMONTH('Construction Budget'!$K17,0),DY$11&lt;=EOMONTH('Construction Budget'!$M17,0)),('Construction Budget'!$G17+SUM($G220:DX220))/ROUND(((EOMONTH('Construction Budget'!$M17,0)-EOMONTH(DY$11,0))/30)+1,0),0)</f>
        <v>0</v>
      </c>
      <c r="DZ220" s="427">
        <f>-IF(AND(DZ$11&gt;=EOMONTH('Construction Budget'!$K17,0),DZ$11&lt;=EOMONTH('Construction Budget'!$M17,0)),('Construction Budget'!$G17+SUM($G220:DY220))/ROUND(((EOMONTH('Construction Budget'!$M17,0)-EOMONTH(DZ$11,0))/30)+1,0),0)</f>
        <v>0</v>
      </c>
      <c r="EA220" s="427">
        <f>-IF(AND(EA$11&gt;=EOMONTH('Construction Budget'!$K17,0),EA$11&lt;=EOMONTH('Construction Budget'!$M17,0)),('Construction Budget'!$G17+SUM($G220:DZ220))/ROUND(((EOMONTH('Construction Budget'!$M17,0)-EOMONTH(EA$11,0))/30)+1,0),0)</f>
        <v>0</v>
      </c>
      <c r="EB220" s="427">
        <f>-IF(AND(EB$11&gt;=EOMONTH('Construction Budget'!$K17,0),EB$11&lt;=EOMONTH('Construction Budget'!$M17,0)),('Construction Budget'!$G17+SUM($G220:EA220))/ROUND(((EOMONTH('Construction Budget'!$M17,0)-EOMONTH(EB$11,0))/30)+1,0),0)</f>
        <v>0</v>
      </c>
      <c r="EC220" s="427">
        <f>-IF(AND(EC$11&gt;=EOMONTH('Construction Budget'!$K17,0),EC$11&lt;=EOMONTH('Construction Budget'!$M17,0)),('Construction Budget'!$G17+SUM($G220:EB220))/ROUND(((EOMONTH('Construction Budget'!$M17,0)-EOMONTH(EC$11,0))/30)+1,0),0)</f>
        <v>0</v>
      </c>
      <c r="ED220" s="427">
        <f>-IF(AND(ED$11&gt;=EOMONTH('Construction Budget'!$K17,0),ED$11&lt;=EOMONTH('Construction Budget'!$M17,0)),('Construction Budget'!$G17+SUM($G220:EC220))/ROUND(((EOMONTH('Construction Budget'!$M17,0)-EOMONTH(ED$11,0))/30)+1,0),0)</f>
        <v>0</v>
      </c>
      <c r="EE220" s="427">
        <f>-IF(AND(EE$11&gt;=EOMONTH('Construction Budget'!$K17,0),EE$11&lt;=EOMONTH('Construction Budget'!$M17,0)),('Construction Budget'!$G17+SUM($G220:ED220))/ROUND(((EOMONTH('Construction Budget'!$M17,0)-EOMONTH(EE$11,0))/30)+1,0),0)</f>
        <v>0</v>
      </c>
      <c r="EF220" s="427">
        <f>-IF(AND(EF$11&gt;=EOMONTH('Construction Budget'!$K17,0),EF$11&lt;=EOMONTH('Construction Budget'!$M17,0)),('Construction Budget'!$G17+SUM($G220:EE220))/ROUND(((EOMONTH('Construction Budget'!$M17,0)-EOMONTH(EF$11,0))/30)+1,0),0)</f>
        <v>0</v>
      </c>
      <c r="EG220" s="427">
        <f>-IF(AND(EG$11&gt;=EOMONTH('Construction Budget'!$K17,0),EG$11&lt;=EOMONTH('Construction Budget'!$M17,0)),('Construction Budget'!$G17+SUM($G220:EF220))/ROUND(((EOMONTH('Construction Budget'!$M17,0)-EOMONTH(EG$11,0))/30)+1,0),0)</f>
        <v>0</v>
      </c>
      <c r="EH220" s="427">
        <f>-IF(AND(EH$11&gt;=EOMONTH('Construction Budget'!$K17,0),EH$11&lt;=EOMONTH('Construction Budget'!$M17,0)),('Construction Budget'!$G17+SUM($G220:EG220))/ROUND(((EOMONTH('Construction Budget'!$M17,0)-EOMONTH(EH$11,0))/30)+1,0),0)</f>
        <v>0</v>
      </c>
      <c r="EI220" s="427">
        <f>-IF(AND(EI$11&gt;=EOMONTH('Construction Budget'!$K17,0),EI$11&lt;=EOMONTH('Construction Budget'!$M17,0)),('Construction Budget'!$G17+SUM($G220:EH220))/ROUND(((EOMONTH('Construction Budget'!$M17,0)-EOMONTH(EI$11,0))/30)+1,0),0)</f>
        <v>0</v>
      </c>
      <c r="EJ220" s="427">
        <f>-IF(AND(EJ$11&gt;=EOMONTH('Construction Budget'!$K17,0),EJ$11&lt;=EOMONTH('Construction Budget'!$M17,0)),('Construction Budget'!$G17+SUM($G220:EI220))/ROUND(((EOMONTH('Construction Budget'!$M17,0)-EOMONTH(EJ$11,0))/30)+1,0),0)</f>
        <v>0</v>
      </c>
      <c r="EK220" s="427">
        <f>-IF(AND(EK$11&gt;=EOMONTH('Construction Budget'!$K17,0),EK$11&lt;=EOMONTH('Construction Budget'!$M17,0)),('Construction Budget'!$G17+SUM($G220:EJ220))/ROUND(((EOMONTH('Construction Budget'!$M17,0)-EOMONTH(EK$11,0))/30)+1,0),0)</f>
        <v>0</v>
      </c>
      <c r="EL220" s="427">
        <f>-IF(AND(EL$11&gt;=EOMONTH('Construction Budget'!$K17,0),EL$11&lt;=EOMONTH('Construction Budget'!$M17,0)),('Construction Budget'!$G17+SUM($G220:EK220))/ROUND(((EOMONTH('Construction Budget'!$M17,0)-EOMONTH(EL$11,0))/30)+1,0),0)</f>
        <v>0</v>
      </c>
      <c r="EM220" s="427">
        <f>-IF(AND(EM$11&gt;=EOMONTH('Construction Budget'!$K17,0),EM$11&lt;=EOMONTH('Construction Budget'!$M17,0)),('Construction Budget'!$G17+SUM($G220:EL220))/ROUND(((EOMONTH('Construction Budget'!$M17,0)-EOMONTH(EM$11,0))/30)+1,0),0)</f>
        <v>0</v>
      </c>
      <c r="EN220" s="427">
        <f>-IF(AND(EN$11&gt;=EOMONTH('Construction Budget'!$K17,0),EN$11&lt;=EOMONTH('Construction Budget'!$M17,0)),('Construction Budget'!$G17+SUM($G220:EM220))/ROUND(((EOMONTH('Construction Budget'!$M17,0)-EOMONTH(EN$11,0))/30)+1,0),0)</f>
        <v>0</v>
      </c>
      <c r="EO220" s="427">
        <f>-IF(AND(EO$11&gt;=EOMONTH('Construction Budget'!$K17,0),EO$11&lt;=EOMONTH('Construction Budget'!$M17,0)),('Construction Budget'!$G17+SUM($G220:EN220))/ROUND(((EOMONTH('Construction Budget'!$M17,0)-EOMONTH(EO$11,0))/30)+1,0),0)</f>
        <v>0</v>
      </c>
      <c r="EP220" s="427">
        <f>-IF(AND(EP$11&gt;=EOMONTH('Construction Budget'!$K17,0),EP$11&lt;=EOMONTH('Construction Budget'!$M17,0)),('Construction Budget'!$G17+SUM($G220:EO220))/ROUND(((EOMONTH('Construction Budget'!$M17,0)-EOMONTH(EP$11,0))/30)+1,0),0)</f>
        <v>0</v>
      </c>
      <c r="EQ220" s="427">
        <f>-IF(AND(EQ$11&gt;=EOMONTH('Construction Budget'!$K17,0),EQ$11&lt;=EOMONTH('Construction Budget'!$M17,0)),('Construction Budget'!$G17+SUM($G220:EP220))/ROUND(((EOMONTH('Construction Budget'!$M17,0)-EOMONTH(EQ$11,0))/30)+1,0),0)</f>
        <v>0</v>
      </c>
      <c r="ER220" s="427">
        <f>-IF(AND(ER$11&gt;=EOMONTH('Construction Budget'!$K17,0),ER$11&lt;=EOMONTH('Construction Budget'!$M17,0)),('Construction Budget'!$G17+SUM($G220:EQ220))/ROUND(((EOMONTH('Construction Budget'!$M17,0)-EOMONTH(ER$11,0))/30)+1,0),0)</f>
        <v>0</v>
      </c>
      <c r="ES220" s="427">
        <f>-IF(AND(ES$11&gt;=EOMONTH('Construction Budget'!$K17,0),ES$11&lt;=EOMONTH('Construction Budget'!$M17,0)),('Construction Budget'!$G17+SUM($G220:ER220))/ROUND(((EOMONTH('Construction Budget'!$M17,0)-EOMONTH(ES$11,0))/30)+1,0),0)</f>
        <v>0</v>
      </c>
      <c r="ET220" s="427">
        <f>-IF(AND(ET$11&gt;=EOMONTH('Construction Budget'!$K17,0),ET$11&lt;=EOMONTH('Construction Budget'!$M17,0)),('Construction Budget'!$G17+SUM($G220:ES220))/ROUND(((EOMONTH('Construction Budget'!$M17,0)-EOMONTH(ET$11,0))/30)+1,0),0)</f>
        <v>0</v>
      </c>
      <c r="EU220" s="427">
        <f>-IF(AND(EU$11&gt;=EOMONTH('Construction Budget'!$K17,0),EU$11&lt;=EOMONTH('Construction Budget'!$M17,0)),('Construction Budget'!$G17+SUM($G220:ET220))/ROUND(((EOMONTH('Construction Budget'!$M17,0)-EOMONTH(EU$11,0))/30)+1,0),0)</f>
        <v>0</v>
      </c>
      <c r="EV220" s="427">
        <f>-IF(AND(EV$11&gt;=EOMONTH('Construction Budget'!$K17,0),EV$11&lt;=EOMONTH('Construction Budget'!$M17,0)),('Construction Budget'!$G17+SUM($G220:EU220))/ROUND(((EOMONTH('Construction Budget'!$M17,0)-EOMONTH(EV$11,0))/30)+1,0),0)</f>
        <v>0</v>
      </c>
      <c r="EW220" s="427">
        <f>-IF(AND(EW$11&gt;=EOMONTH('Construction Budget'!$K17,0),EW$11&lt;=EOMONTH('Construction Budget'!$M17,0)),('Construction Budget'!$G17+SUM($G220:EV220))/ROUND(((EOMONTH('Construction Budget'!$M17,0)-EOMONTH(EW$11,0))/30)+1,0),0)</f>
        <v>0</v>
      </c>
      <c r="EX220" s="427">
        <f>-IF(AND(EX$11&gt;=EOMONTH('Construction Budget'!$K17,0),EX$11&lt;=EOMONTH('Construction Budget'!$M17,0)),('Construction Budget'!$G17+SUM($G220:EW220))/ROUND(((EOMONTH('Construction Budget'!$M17,0)-EOMONTH(EX$11,0))/30)+1,0),0)</f>
        <v>0</v>
      </c>
      <c r="EY220" s="427">
        <f>-IF(AND(EY$11&gt;=EOMONTH('Construction Budget'!$K17,0),EY$11&lt;=EOMONTH('Construction Budget'!$M17,0)),('Construction Budget'!$G17+SUM($G220:EX220))/ROUND(((EOMONTH('Construction Budget'!$M17,0)-EOMONTH(EY$11,0))/30)+1,0),0)</f>
        <v>0</v>
      </c>
      <c r="EZ220" s="427">
        <f>-IF(AND(EZ$11&gt;=EOMONTH('Construction Budget'!$K17,0),EZ$11&lt;=EOMONTH('Construction Budget'!$M17,0)),('Construction Budget'!$G17+SUM($G220:EY220))/ROUND(((EOMONTH('Construction Budget'!$M17,0)-EOMONTH(EZ$11,0))/30)+1,0),0)</f>
        <v>0</v>
      </c>
      <c r="FA220" s="427">
        <f>-IF(AND(FA$11&gt;=EOMONTH('Construction Budget'!$K17,0),FA$11&lt;=EOMONTH('Construction Budget'!$M17,0)),('Construction Budget'!$G17+SUM($G220:EZ220))/ROUND(((EOMONTH('Construction Budget'!$M17,0)-EOMONTH(FA$11,0))/30)+1,0),0)</f>
        <v>0</v>
      </c>
      <c r="FB220" s="427">
        <f>-IF(AND(FB$11&gt;=EOMONTH('Construction Budget'!$K17,0),FB$11&lt;=EOMONTH('Construction Budget'!$M17,0)),('Construction Budget'!$G17+SUM($G220:FA220))/ROUND(((EOMONTH('Construction Budget'!$M17,0)-EOMONTH(FB$11,0))/30)+1,0),0)</f>
        <v>0</v>
      </c>
      <c r="FC220" s="427">
        <f>-IF(AND(FC$11&gt;=EOMONTH('Construction Budget'!$K17,0),FC$11&lt;=EOMONTH('Construction Budget'!$M17,0)),('Construction Budget'!$G17+SUM($G220:FB220))/ROUND(((EOMONTH('Construction Budget'!$M17,0)-EOMONTH(FC$11,0))/30)+1,0),0)</f>
        <v>0</v>
      </c>
      <c r="FD220" s="427">
        <f>-IF(AND(FD$11&gt;=EOMONTH('Construction Budget'!$K17,0),FD$11&lt;=EOMONTH('Construction Budget'!$M17,0)),('Construction Budget'!$G17+SUM($G220:FC220))/ROUND(((EOMONTH('Construction Budget'!$M17,0)-EOMONTH(FD$11,0))/30)+1,0),0)</f>
        <v>0</v>
      </c>
      <c r="FE220" s="427">
        <f>-IF(AND(FE$11&gt;=EOMONTH('Construction Budget'!$K17,0),FE$11&lt;=EOMONTH('Construction Budget'!$M17,0)),('Construction Budget'!$G17+SUM($G220:FD220))/ROUND(((EOMONTH('Construction Budget'!$M17,0)-EOMONTH(FE$11,0))/30)+1,0),0)</f>
        <v>0</v>
      </c>
      <c r="FF220" s="427">
        <f>-IF(AND(FF$11&gt;=EOMONTH('Construction Budget'!$K17,0),FF$11&lt;=EOMONTH('Construction Budget'!$M17,0)),('Construction Budget'!$G17+SUM($G220:FE220))/ROUND(((EOMONTH('Construction Budget'!$M17,0)-EOMONTH(FF$11,0))/30)+1,0),0)</f>
        <v>0</v>
      </c>
      <c r="FG220" s="427">
        <f>-IF(AND(FG$11&gt;=EOMONTH('Construction Budget'!$K17,0),FG$11&lt;=EOMONTH('Construction Budget'!$M17,0)),('Construction Budget'!$G17+SUM($G220:FF220))/ROUND(((EOMONTH('Construction Budget'!$M17,0)-EOMONTH(FG$11,0))/30)+1,0),0)</f>
        <v>0</v>
      </c>
      <c r="FH220" s="427">
        <f>-IF(AND(FH$11&gt;=EOMONTH('Construction Budget'!$K17,0),FH$11&lt;=EOMONTH('Construction Budget'!$M17,0)),('Construction Budget'!$G17+SUM($G220:FG220))/ROUND(((EOMONTH('Construction Budget'!$M17,0)-EOMONTH(FH$11,0))/30)+1,0),0)</f>
        <v>0</v>
      </c>
      <c r="FI220" s="427">
        <f>-IF(AND(FI$11&gt;=EOMONTH('Construction Budget'!$K17,0),FI$11&lt;=EOMONTH('Construction Budget'!$M17,0)),('Construction Budget'!$G17+SUM($G220:FH220))/ROUND(((EOMONTH('Construction Budget'!$M17,0)-EOMONTH(FI$11,0))/30)+1,0),0)</f>
        <v>0</v>
      </c>
      <c r="FJ220" s="427">
        <f>-IF(AND(FJ$11&gt;=EOMONTH('Construction Budget'!$K17,0),FJ$11&lt;=EOMONTH('Construction Budget'!$M17,0)),('Construction Budget'!$G17+SUM($G220:FI220))/ROUND(((EOMONTH('Construction Budget'!$M17,0)-EOMONTH(FJ$11,0))/30)+1,0),0)</f>
        <v>0</v>
      </c>
      <c r="FK220" s="427">
        <f>-IF(AND(FK$11&gt;=EOMONTH('Construction Budget'!$K17,0),FK$11&lt;=EOMONTH('Construction Budget'!$M17,0)),('Construction Budget'!$G17+SUM($G220:FJ220))/ROUND(((EOMONTH('Construction Budget'!$M17,0)-EOMONTH(FK$11,0))/30)+1,0),0)</f>
        <v>0</v>
      </c>
      <c r="FL220" s="427">
        <f>-IF(AND(FL$11&gt;=EOMONTH('Construction Budget'!$K17,0),FL$11&lt;=EOMONTH('Construction Budget'!$M17,0)),('Construction Budget'!$G17+SUM($G220:FK220))/ROUND(((EOMONTH('Construction Budget'!$M17,0)-EOMONTH(FL$11,0))/30)+1,0),0)</f>
        <v>0</v>
      </c>
      <c r="FM220" s="427">
        <f>-IF(AND(FM$11&gt;=EOMONTH('Construction Budget'!$K17,0),FM$11&lt;=EOMONTH('Construction Budget'!$M17,0)),('Construction Budget'!$G17+SUM($G220:FL220))/ROUND(((EOMONTH('Construction Budget'!$M17,0)-EOMONTH(FM$11,0))/30)+1,0),0)</f>
        <v>0</v>
      </c>
      <c r="FN220" s="427">
        <f>-IF(AND(FN$11&gt;=EOMONTH('Construction Budget'!$K17,0),FN$11&lt;=EOMONTH('Construction Budget'!$M17,0)),('Construction Budget'!$G17+SUM($G220:FM220))/ROUND(((EOMONTH('Construction Budget'!$M17,0)-EOMONTH(FN$11,0))/30)+1,0),0)</f>
        <v>0</v>
      </c>
      <c r="FO220" s="427">
        <f>-IF(AND(FO$11&gt;=EOMONTH('Construction Budget'!$K17,0),FO$11&lt;=EOMONTH('Construction Budget'!$M17,0)),('Construction Budget'!$G17+SUM($G220:FN220))/ROUND(((EOMONTH('Construction Budget'!$M17,0)-EOMONTH(FO$11,0))/30)+1,0),0)</f>
        <v>0</v>
      </c>
      <c r="FP220" s="427">
        <f>-IF(AND(FP$11&gt;=EOMONTH('Construction Budget'!$K17,0),FP$11&lt;=EOMONTH('Construction Budget'!$M17,0)),('Construction Budget'!$G17+SUM($G220:FO220))/ROUND(((EOMONTH('Construction Budget'!$M17,0)-EOMONTH(FP$11,0))/30)+1,0),0)</f>
        <v>0</v>
      </c>
      <c r="FQ220" s="427">
        <f>-IF(AND(FQ$11&gt;=EOMONTH('Construction Budget'!$K17,0),FQ$11&lt;=EOMONTH('Construction Budget'!$M17,0)),('Construction Budget'!$G17+SUM($G220:FP220))/ROUND(((EOMONTH('Construction Budget'!$M17,0)-EOMONTH(FQ$11,0))/30)+1,0),0)</f>
        <v>0</v>
      </c>
      <c r="FR220" s="427">
        <f>-IF(AND(FR$11&gt;=EOMONTH('Construction Budget'!$K17,0),FR$11&lt;=EOMONTH('Construction Budget'!$M17,0)),('Construction Budget'!$G17+SUM($G220:FQ220))/ROUND(((EOMONTH('Construction Budget'!$M17,0)-EOMONTH(FR$11,0))/30)+1,0),0)</f>
        <v>0</v>
      </c>
      <c r="FS220" s="427">
        <f>-IF(AND(FS$11&gt;=EOMONTH('Construction Budget'!$K17,0),FS$11&lt;=EOMONTH('Construction Budget'!$M17,0)),('Construction Budget'!$G17+SUM($G220:FR220))/ROUND(((EOMONTH('Construction Budget'!$M17,0)-EOMONTH(FS$11,0))/30)+1,0),0)</f>
        <v>0</v>
      </c>
      <c r="FT220" s="427">
        <f>-IF(AND(FT$11&gt;=EOMONTH('Construction Budget'!$K17,0),FT$11&lt;=EOMONTH('Construction Budget'!$M17,0)),('Construction Budget'!$G17+SUM($G220:FS220))/ROUND(((EOMONTH('Construction Budget'!$M17,0)-EOMONTH(FT$11,0))/30)+1,0),0)</f>
        <v>0</v>
      </c>
      <c r="FU220" s="43"/>
      <c r="FV220" s="34"/>
      <c r="FW220" s="34"/>
      <c r="FX220" s="34"/>
      <c r="FY220" s="34"/>
      <c r="FZ220" s="34"/>
    </row>
    <row r="221" spans="1:182" s="89" customFormat="1" ht="13.5" hidden="1" outlineLevel="1" x14ac:dyDescent="0.25">
      <c r="A221" s="498"/>
      <c r="B221" s="128" t="str">
        <f>'Construction Budget'!B18</f>
        <v>Blank</v>
      </c>
      <c r="C221" s="34"/>
      <c r="D221" s="34"/>
      <c r="E221" s="34"/>
      <c r="F221" s="434">
        <f t="shared" si="240"/>
        <v>0</v>
      </c>
      <c r="G221" s="34"/>
      <c r="H221" s="427">
        <f>-IF(AND(H$11&gt;=EOMONTH('Construction Budget'!$K18,0),H$11&lt;=EOMONTH('Construction Budget'!$M18,0)),('Construction Budget'!$G18+SUM($G221:G221))/ROUND(((EOMONTH('Construction Budget'!$M18,0)-EOMONTH(H$11,0))/30)+1,0),0)</f>
        <v>0</v>
      </c>
      <c r="I221" s="427">
        <f>-IF(AND(I$11&gt;=EOMONTH('Construction Budget'!$K18,0),I$11&lt;=EOMONTH('Construction Budget'!$M18,0)),('Construction Budget'!$G18+SUM($G221:H221))/ROUND(((EOMONTH('Construction Budget'!$M18,0)-EOMONTH(I$11,0))/30)+1,0),0)</f>
        <v>0</v>
      </c>
      <c r="J221" s="427">
        <f>-IF(AND(J$11&gt;=EOMONTH('Construction Budget'!$K18,0),J$11&lt;=EOMONTH('Construction Budget'!$M18,0)),('Construction Budget'!$G18+SUM($G221:I221))/ROUND(((EOMONTH('Construction Budget'!$M18,0)-EOMONTH(J$11,0))/30)+1,0),0)</f>
        <v>0</v>
      </c>
      <c r="K221" s="427">
        <f>-IF(AND(K$11&gt;=EOMONTH('Construction Budget'!$K18,0),K$11&lt;=EOMONTH('Construction Budget'!$M18,0)),('Construction Budget'!$G18+SUM($G221:J221))/ROUND(((EOMONTH('Construction Budget'!$M18,0)-EOMONTH(K$11,0))/30)+1,0),0)</f>
        <v>0</v>
      </c>
      <c r="L221" s="427">
        <f>-IF(AND(L$11&gt;=EOMONTH('Construction Budget'!$K18,0),L$11&lt;=EOMONTH('Construction Budget'!$M18,0)),('Construction Budget'!$G18+SUM($G221:K221))/ROUND(((EOMONTH('Construction Budget'!$M18,0)-EOMONTH(L$11,0))/30)+1,0),0)</f>
        <v>0</v>
      </c>
      <c r="M221" s="427">
        <f>-IF(AND(M$11&gt;=EOMONTH('Construction Budget'!$K18,0),M$11&lt;=EOMONTH('Construction Budget'!$M18,0)),('Construction Budget'!$G18+SUM($G221:L221))/ROUND(((EOMONTH('Construction Budget'!$M18,0)-EOMONTH(M$11,0))/30)+1,0),0)</f>
        <v>0</v>
      </c>
      <c r="N221" s="427">
        <f>-IF(AND(N$11&gt;=EOMONTH('Construction Budget'!$K18,0),N$11&lt;=EOMONTH('Construction Budget'!$M18,0)),('Construction Budget'!$G18+SUM($G221:M221))/ROUND(((EOMONTH('Construction Budget'!$M18,0)-EOMONTH(N$11,0))/30)+1,0),0)</f>
        <v>0</v>
      </c>
      <c r="O221" s="427">
        <f>-IF(AND(O$11&gt;=EOMONTH('Construction Budget'!$K18,0),O$11&lt;=EOMONTH('Construction Budget'!$M18,0)),('Construction Budget'!$G18+SUM($G221:N221))/ROUND(((EOMONTH('Construction Budget'!$M18,0)-EOMONTH(O$11,0))/30)+1,0),0)</f>
        <v>0</v>
      </c>
      <c r="P221" s="427">
        <f>-IF(AND(P$11&gt;=EOMONTH('Construction Budget'!$K18,0),P$11&lt;=EOMONTH('Construction Budget'!$M18,0)),('Construction Budget'!$G18+SUM($G221:O221))/ROUND(((EOMONTH('Construction Budget'!$M18,0)-EOMONTH(P$11,0))/30)+1,0),0)</f>
        <v>0</v>
      </c>
      <c r="Q221" s="427">
        <f>-IF(AND(Q$11&gt;=EOMONTH('Construction Budget'!$K18,0),Q$11&lt;=EOMONTH('Construction Budget'!$M18,0)),('Construction Budget'!$G18+SUM($G221:P221))/ROUND(((EOMONTH('Construction Budget'!$M18,0)-EOMONTH(Q$11,0))/30)+1,0),0)</f>
        <v>0</v>
      </c>
      <c r="R221" s="427">
        <f>-IF(AND(R$11&gt;=EOMONTH('Construction Budget'!$K18,0),R$11&lt;=EOMONTH('Construction Budget'!$M18,0)),('Construction Budget'!$G18+SUM($G221:Q221))/ROUND(((EOMONTH('Construction Budget'!$M18,0)-EOMONTH(R$11,0))/30)+1,0),0)</f>
        <v>0</v>
      </c>
      <c r="S221" s="427">
        <f>-IF(AND(S$11&gt;=EOMONTH('Construction Budget'!$K18,0),S$11&lt;=EOMONTH('Construction Budget'!$M18,0)),('Construction Budget'!$G18+SUM($G221:R221))/ROUND(((EOMONTH('Construction Budget'!$M18,0)-EOMONTH(S$11,0))/30)+1,0),0)</f>
        <v>0</v>
      </c>
      <c r="T221" s="427">
        <f>-IF(AND(T$11&gt;=EOMONTH('Construction Budget'!$K18,0),T$11&lt;=EOMONTH('Construction Budget'!$M18,0)),('Construction Budget'!$G18+SUM($G221:S221))/ROUND(((EOMONTH('Construction Budget'!$M18,0)-EOMONTH(T$11,0))/30)+1,0),0)</f>
        <v>0</v>
      </c>
      <c r="U221" s="427">
        <f>-IF(AND(U$11&gt;=EOMONTH('Construction Budget'!$K18,0),U$11&lt;=EOMONTH('Construction Budget'!$M18,0)),('Construction Budget'!$G18+SUM($G221:T221))/ROUND(((EOMONTH('Construction Budget'!$M18,0)-EOMONTH(U$11,0))/30)+1,0),0)</f>
        <v>0</v>
      </c>
      <c r="V221" s="427">
        <f>-IF(AND(V$11&gt;=EOMONTH('Construction Budget'!$K18,0),V$11&lt;=EOMONTH('Construction Budget'!$M18,0)),('Construction Budget'!$G18+SUM($G221:U221))/ROUND(((EOMONTH('Construction Budget'!$M18,0)-EOMONTH(V$11,0))/30)+1,0),0)</f>
        <v>0</v>
      </c>
      <c r="W221" s="427">
        <f>-IF(AND(W$11&gt;=EOMONTH('Construction Budget'!$K18,0),W$11&lt;=EOMONTH('Construction Budget'!$M18,0)),('Construction Budget'!$G18+SUM($G221:V221))/ROUND(((EOMONTH('Construction Budget'!$M18,0)-EOMONTH(W$11,0))/30)+1,0),0)</f>
        <v>0</v>
      </c>
      <c r="X221" s="427">
        <f>-IF(AND(X$11&gt;=EOMONTH('Construction Budget'!$K18,0),X$11&lt;=EOMONTH('Construction Budget'!$M18,0)),('Construction Budget'!$G18+SUM($G221:W221))/ROUND(((EOMONTH('Construction Budget'!$M18,0)-EOMONTH(X$11,0))/30)+1,0),0)</f>
        <v>0</v>
      </c>
      <c r="Y221" s="427">
        <f>-IF(AND(Y$11&gt;=EOMONTH('Construction Budget'!$K18,0),Y$11&lt;=EOMONTH('Construction Budget'!$M18,0)),('Construction Budget'!$G18+SUM($G221:X221))/ROUND(((EOMONTH('Construction Budget'!$M18,0)-EOMONTH(Y$11,0))/30)+1,0),0)</f>
        <v>0</v>
      </c>
      <c r="Z221" s="427">
        <f>-IF(AND(Z$11&gt;=EOMONTH('Construction Budget'!$K18,0),Z$11&lt;=EOMONTH('Construction Budget'!$M18,0)),('Construction Budget'!$G18+SUM($G221:Y221))/ROUND(((EOMONTH('Construction Budget'!$M18,0)-EOMONTH(Z$11,0))/30)+1,0),0)</f>
        <v>0</v>
      </c>
      <c r="AA221" s="427">
        <f>-IF(AND(AA$11&gt;=EOMONTH('Construction Budget'!$K18,0),AA$11&lt;=EOMONTH('Construction Budget'!$M18,0)),('Construction Budget'!$G18+SUM($G221:Z221))/ROUND(((EOMONTH('Construction Budget'!$M18,0)-EOMONTH(AA$11,0))/30)+1,0),0)</f>
        <v>0</v>
      </c>
      <c r="AB221" s="427">
        <f>-IF(AND(AB$11&gt;=EOMONTH('Construction Budget'!$K18,0),AB$11&lt;=EOMONTH('Construction Budget'!$M18,0)),('Construction Budget'!$G18+SUM($G221:AA221))/ROUND(((EOMONTH('Construction Budget'!$M18,0)-EOMONTH(AB$11,0))/30)+1,0),0)</f>
        <v>0</v>
      </c>
      <c r="AC221" s="427">
        <f>-IF(AND(AC$11&gt;=EOMONTH('Construction Budget'!$K18,0),AC$11&lt;=EOMONTH('Construction Budget'!$M18,0)),('Construction Budget'!$G18+SUM($G221:AB221))/ROUND(((EOMONTH('Construction Budget'!$M18,0)-EOMONTH(AC$11,0))/30)+1,0),0)</f>
        <v>0</v>
      </c>
      <c r="AD221" s="427">
        <f>-IF(AND(AD$11&gt;=EOMONTH('Construction Budget'!$K18,0),AD$11&lt;=EOMONTH('Construction Budget'!$M18,0)),('Construction Budget'!$G18+SUM($G221:AC221))/ROUND(((EOMONTH('Construction Budget'!$M18,0)-EOMONTH(AD$11,0))/30)+1,0),0)</f>
        <v>0</v>
      </c>
      <c r="AE221" s="427">
        <f>-IF(AND(AE$11&gt;=EOMONTH('Construction Budget'!$K18,0),AE$11&lt;=EOMONTH('Construction Budget'!$M18,0)),('Construction Budget'!$G18+SUM($G221:AD221))/ROUND(((EOMONTH('Construction Budget'!$M18,0)-EOMONTH(AE$11,0))/30)+1,0),0)</f>
        <v>0</v>
      </c>
      <c r="AF221" s="427">
        <f>-IF(AND(AF$11&gt;=EOMONTH('Construction Budget'!$K18,0),AF$11&lt;=EOMONTH('Construction Budget'!$M18,0)),('Construction Budget'!$G18+SUM($G221:AE221))/ROUND(((EOMONTH('Construction Budget'!$M18,0)-EOMONTH(AF$11,0))/30)+1,0),0)</f>
        <v>0</v>
      </c>
      <c r="AG221" s="427">
        <f>-IF(AND(AG$11&gt;=EOMONTH('Construction Budget'!$K18,0),AG$11&lt;=EOMONTH('Construction Budget'!$M18,0)),('Construction Budget'!$G18+SUM($G221:AF221))/ROUND(((EOMONTH('Construction Budget'!$M18,0)-EOMONTH(AG$11,0))/30)+1,0),0)</f>
        <v>0</v>
      </c>
      <c r="AH221" s="427">
        <f>-IF(AND(AH$11&gt;=EOMONTH('Construction Budget'!$K18,0),AH$11&lt;=EOMONTH('Construction Budget'!$M18,0)),('Construction Budget'!$G18+SUM($G221:AG221))/ROUND(((EOMONTH('Construction Budget'!$M18,0)-EOMONTH(AH$11,0))/30)+1,0),0)</f>
        <v>0</v>
      </c>
      <c r="AI221" s="427">
        <f>-IF(AND(AI$11&gt;=EOMONTH('Construction Budget'!$K18,0),AI$11&lt;=EOMONTH('Construction Budget'!$M18,0)),('Construction Budget'!$G18+SUM($G221:AH221))/ROUND(((EOMONTH('Construction Budget'!$M18,0)-EOMONTH(AI$11,0))/30)+1,0),0)</f>
        <v>0</v>
      </c>
      <c r="AJ221" s="427">
        <f>-IF(AND(AJ$11&gt;=EOMONTH('Construction Budget'!$K18,0),AJ$11&lt;=EOMONTH('Construction Budget'!$M18,0)),('Construction Budget'!$G18+SUM($G221:AI221))/ROUND(((EOMONTH('Construction Budget'!$M18,0)-EOMONTH(AJ$11,0))/30)+1,0),0)</f>
        <v>0</v>
      </c>
      <c r="AK221" s="427">
        <f>-IF(AND(AK$11&gt;=EOMONTH('Construction Budget'!$K18,0),AK$11&lt;=EOMONTH('Construction Budget'!$M18,0)),('Construction Budget'!$G18+SUM($G221:AJ221))/ROUND(((EOMONTH('Construction Budget'!$M18,0)-EOMONTH(AK$11,0))/30)+1,0),0)</f>
        <v>0</v>
      </c>
      <c r="AL221" s="427">
        <f>-IF(AND(AL$11&gt;=EOMONTH('Construction Budget'!$K18,0),AL$11&lt;=EOMONTH('Construction Budget'!$M18,0)),('Construction Budget'!$G18+SUM($G221:AK221))/ROUND(((EOMONTH('Construction Budget'!$M18,0)-EOMONTH(AL$11,0))/30)+1,0),0)</f>
        <v>0</v>
      </c>
      <c r="AM221" s="427">
        <f>-IF(AND(AM$11&gt;=EOMONTH('Construction Budget'!$K18,0),AM$11&lt;=EOMONTH('Construction Budget'!$M18,0)),('Construction Budget'!$G18+SUM($G221:AL221))/ROUND(((EOMONTH('Construction Budget'!$M18,0)-EOMONTH(AM$11,0))/30)+1,0),0)</f>
        <v>0</v>
      </c>
      <c r="AN221" s="427">
        <f>-IF(AND(AN$11&gt;=EOMONTH('Construction Budget'!$K18,0),AN$11&lt;=EOMONTH('Construction Budget'!$M18,0)),('Construction Budget'!$G18+SUM($G221:AM221))/ROUND(((EOMONTH('Construction Budget'!$M18,0)-EOMONTH(AN$11,0))/30)+1,0),0)</f>
        <v>0</v>
      </c>
      <c r="AO221" s="427">
        <f>-IF(AND(AO$11&gt;=EOMONTH('Construction Budget'!$K18,0),AO$11&lt;=EOMONTH('Construction Budget'!$M18,0)),('Construction Budget'!$G18+SUM($G221:AN221))/ROUND(((EOMONTH('Construction Budget'!$M18,0)-EOMONTH(AO$11,0))/30)+1,0),0)</f>
        <v>0</v>
      </c>
      <c r="AP221" s="427">
        <f>-IF(AND(AP$11&gt;=EOMONTH('Construction Budget'!$K18,0),AP$11&lt;=EOMONTH('Construction Budget'!$M18,0)),('Construction Budget'!$G18+SUM($G221:AO221))/ROUND(((EOMONTH('Construction Budget'!$M18,0)-EOMONTH(AP$11,0))/30)+1,0),0)</f>
        <v>0</v>
      </c>
      <c r="AQ221" s="427">
        <f>-IF(AND(AQ$11&gt;=EOMONTH('Construction Budget'!$K18,0),AQ$11&lt;=EOMONTH('Construction Budget'!$M18,0)),('Construction Budget'!$G18+SUM($G221:AP221))/ROUND(((EOMONTH('Construction Budget'!$M18,0)-EOMONTH(AQ$11,0))/30)+1,0),0)</f>
        <v>0</v>
      </c>
      <c r="AR221" s="427">
        <f>-IF(AND(AR$11&gt;=EOMONTH('Construction Budget'!$K18,0),AR$11&lt;=EOMONTH('Construction Budget'!$M18,0)),('Construction Budget'!$G18+SUM($G221:AQ221))/ROUND(((EOMONTH('Construction Budget'!$M18,0)-EOMONTH(AR$11,0))/30)+1,0),0)</f>
        <v>0</v>
      </c>
      <c r="AS221" s="427">
        <f>-IF(AND(AS$11&gt;=EOMONTH('Construction Budget'!$K18,0),AS$11&lt;=EOMONTH('Construction Budget'!$M18,0)),('Construction Budget'!$G18+SUM($G221:AR221))/ROUND(((EOMONTH('Construction Budget'!$M18,0)-EOMONTH(AS$11,0))/30)+1,0),0)</f>
        <v>0</v>
      </c>
      <c r="AT221" s="427">
        <f>-IF(AND(AT$11&gt;=EOMONTH('Construction Budget'!$K18,0),AT$11&lt;=EOMONTH('Construction Budget'!$M18,0)),('Construction Budget'!$G18+SUM($G221:AS221))/ROUND(((EOMONTH('Construction Budget'!$M18,0)-EOMONTH(AT$11,0))/30)+1,0),0)</f>
        <v>0</v>
      </c>
      <c r="AU221" s="427">
        <f>-IF(AND(AU$11&gt;=EOMONTH('Construction Budget'!$K18,0),AU$11&lt;=EOMONTH('Construction Budget'!$M18,0)),('Construction Budget'!$G18+SUM($G221:AT221))/ROUND(((EOMONTH('Construction Budget'!$M18,0)-EOMONTH(AU$11,0))/30)+1,0),0)</f>
        <v>0</v>
      </c>
      <c r="AV221" s="427">
        <f>-IF(AND(AV$11&gt;=EOMONTH('Construction Budget'!$K18,0),AV$11&lt;=EOMONTH('Construction Budget'!$M18,0)),('Construction Budget'!$G18+SUM($G221:AU221))/ROUND(((EOMONTH('Construction Budget'!$M18,0)-EOMONTH(AV$11,0))/30)+1,0),0)</f>
        <v>0</v>
      </c>
      <c r="AW221" s="427">
        <f>-IF(AND(AW$11&gt;=EOMONTH('Construction Budget'!$K18,0),AW$11&lt;=EOMONTH('Construction Budget'!$M18,0)),('Construction Budget'!$G18+SUM($G221:AV221))/ROUND(((EOMONTH('Construction Budget'!$M18,0)-EOMONTH(AW$11,0))/30)+1,0),0)</f>
        <v>0</v>
      </c>
      <c r="AX221" s="427">
        <f>-IF(AND(AX$11&gt;=EOMONTH('Construction Budget'!$K18,0),AX$11&lt;=EOMONTH('Construction Budget'!$M18,0)),('Construction Budget'!$G18+SUM($G221:AW221))/ROUND(((EOMONTH('Construction Budget'!$M18,0)-EOMONTH(AX$11,0))/30)+1,0),0)</f>
        <v>0</v>
      </c>
      <c r="AY221" s="427">
        <f>-IF(AND(AY$11&gt;=EOMONTH('Construction Budget'!$K18,0),AY$11&lt;=EOMONTH('Construction Budget'!$M18,0)),('Construction Budget'!$G18+SUM($G221:AX221))/ROUND(((EOMONTH('Construction Budget'!$M18,0)-EOMONTH(AY$11,0))/30)+1,0),0)</f>
        <v>0</v>
      </c>
      <c r="AZ221" s="427">
        <f>-IF(AND(AZ$11&gt;=EOMONTH('Construction Budget'!$K18,0),AZ$11&lt;=EOMONTH('Construction Budget'!$M18,0)),('Construction Budget'!$G18+SUM($G221:AY221))/ROUND(((EOMONTH('Construction Budget'!$M18,0)-EOMONTH(AZ$11,0))/30)+1,0),0)</f>
        <v>0</v>
      </c>
      <c r="BA221" s="427">
        <f>-IF(AND(BA$11&gt;=EOMONTH('Construction Budget'!$K18,0),BA$11&lt;=EOMONTH('Construction Budget'!$M18,0)),('Construction Budget'!$G18+SUM($G221:AZ221))/ROUND(((EOMONTH('Construction Budget'!$M18,0)-EOMONTH(BA$11,0))/30)+1,0),0)</f>
        <v>0</v>
      </c>
      <c r="BB221" s="427">
        <f>-IF(AND(BB$11&gt;=EOMONTH('Construction Budget'!$K18,0),BB$11&lt;=EOMONTH('Construction Budget'!$M18,0)),('Construction Budget'!$G18+SUM($G221:BA221))/ROUND(((EOMONTH('Construction Budget'!$M18,0)-EOMONTH(BB$11,0))/30)+1,0),0)</f>
        <v>0</v>
      </c>
      <c r="BC221" s="427">
        <f>-IF(AND(BC$11&gt;=EOMONTH('Construction Budget'!$K18,0),BC$11&lt;=EOMONTH('Construction Budget'!$M18,0)),('Construction Budget'!$G18+SUM($G221:BB221))/ROUND(((EOMONTH('Construction Budget'!$M18,0)-EOMONTH(BC$11,0))/30)+1,0),0)</f>
        <v>0</v>
      </c>
      <c r="BD221" s="427">
        <f>-IF(AND(BD$11&gt;=EOMONTH('Construction Budget'!$K18,0),BD$11&lt;=EOMONTH('Construction Budget'!$M18,0)),('Construction Budget'!$G18+SUM($G221:BC221))/ROUND(((EOMONTH('Construction Budget'!$M18,0)-EOMONTH(BD$11,0))/30)+1,0),0)</f>
        <v>0</v>
      </c>
      <c r="BE221" s="427">
        <f>-IF(AND(BE$11&gt;=EOMONTH('Construction Budget'!$K18,0),BE$11&lt;=EOMONTH('Construction Budget'!$M18,0)),('Construction Budget'!$G18+SUM($G221:BD221))/ROUND(((EOMONTH('Construction Budget'!$M18,0)-EOMONTH(BE$11,0))/30)+1,0),0)</f>
        <v>0</v>
      </c>
      <c r="BF221" s="427">
        <f>-IF(AND(BF$11&gt;=EOMONTH('Construction Budget'!$K18,0),BF$11&lt;=EOMONTH('Construction Budget'!$M18,0)),('Construction Budget'!$G18+SUM($G221:BE221))/ROUND(((EOMONTH('Construction Budget'!$M18,0)-EOMONTH(BF$11,0))/30)+1,0),0)</f>
        <v>0</v>
      </c>
      <c r="BG221" s="427">
        <f>-IF(AND(BG$11&gt;=EOMONTH('Construction Budget'!$K18,0),BG$11&lt;=EOMONTH('Construction Budget'!$M18,0)),('Construction Budget'!$G18+SUM($G221:BF221))/ROUND(((EOMONTH('Construction Budget'!$M18,0)-EOMONTH(BG$11,0))/30)+1,0),0)</f>
        <v>0</v>
      </c>
      <c r="BH221" s="427">
        <f>-IF(AND(BH$11&gt;=EOMONTH('Construction Budget'!$K18,0),BH$11&lt;=EOMONTH('Construction Budget'!$M18,0)),('Construction Budget'!$G18+SUM($G221:BG221))/ROUND(((EOMONTH('Construction Budget'!$M18,0)-EOMONTH(BH$11,0))/30)+1,0),0)</f>
        <v>0</v>
      </c>
      <c r="BI221" s="427">
        <f>-IF(AND(BI$11&gt;=EOMONTH('Construction Budget'!$K18,0),BI$11&lt;=EOMONTH('Construction Budget'!$M18,0)),('Construction Budget'!$G18+SUM($G221:BH221))/ROUND(((EOMONTH('Construction Budget'!$M18,0)-EOMONTH(BI$11,0))/30)+1,0),0)</f>
        <v>0</v>
      </c>
      <c r="BJ221" s="427">
        <f>-IF(AND(BJ$11&gt;=EOMONTH('Construction Budget'!$K18,0),BJ$11&lt;=EOMONTH('Construction Budget'!$M18,0)),('Construction Budget'!$G18+SUM($G221:BI221))/ROUND(((EOMONTH('Construction Budget'!$M18,0)-EOMONTH(BJ$11,0))/30)+1,0),0)</f>
        <v>0</v>
      </c>
      <c r="BK221" s="427">
        <f>-IF(AND(BK$11&gt;=EOMONTH('Construction Budget'!$K18,0),BK$11&lt;=EOMONTH('Construction Budget'!$M18,0)),('Construction Budget'!$G18+SUM($G221:BJ221))/ROUND(((EOMONTH('Construction Budget'!$M18,0)-EOMONTH(BK$11,0))/30)+1,0),0)</f>
        <v>0</v>
      </c>
      <c r="BL221" s="427">
        <f>-IF(AND(BL$11&gt;=EOMONTH('Construction Budget'!$K18,0),BL$11&lt;=EOMONTH('Construction Budget'!$M18,0)),('Construction Budget'!$G18+SUM($G221:BK221))/ROUND(((EOMONTH('Construction Budget'!$M18,0)-EOMONTH(BL$11,0))/30)+1,0),0)</f>
        <v>0</v>
      </c>
      <c r="BM221" s="427">
        <f>-IF(AND(BM$11&gt;=EOMONTH('Construction Budget'!$K18,0),BM$11&lt;=EOMONTH('Construction Budget'!$M18,0)),('Construction Budget'!$G18+SUM($G221:BL221))/ROUND(((EOMONTH('Construction Budget'!$M18,0)-EOMONTH(BM$11,0))/30)+1,0),0)</f>
        <v>0</v>
      </c>
      <c r="BN221" s="427">
        <f>-IF(AND(BN$11&gt;=EOMONTH('Construction Budget'!$K18,0),BN$11&lt;=EOMONTH('Construction Budget'!$M18,0)),('Construction Budget'!$G18+SUM($G221:BM221))/ROUND(((EOMONTH('Construction Budget'!$M18,0)-EOMONTH(BN$11,0))/30)+1,0),0)</f>
        <v>0</v>
      </c>
      <c r="BO221" s="427">
        <f>-IF(AND(BO$11&gt;=EOMONTH('Construction Budget'!$K18,0),BO$11&lt;=EOMONTH('Construction Budget'!$M18,0)),('Construction Budget'!$G18+SUM($G221:BN221))/ROUND(((EOMONTH('Construction Budget'!$M18,0)-EOMONTH(BO$11,0))/30)+1,0),0)</f>
        <v>0</v>
      </c>
      <c r="BP221" s="427">
        <f>-IF(AND(BP$11&gt;=EOMONTH('Construction Budget'!$K18,0),BP$11&lt;=EOMONTH('Construction Budget'!$M18,0)),('Construction Budget'!$G18+SUM($G221:BO221))/ROUND(((EOMONTH('Construction Budget'!$M18,0)-EOMONTH(BP$11,0))/30)+1,0),0)</f>
        <v>0</v>
      </c>
      <c r="BQ221" s="427">
        <f>-IF(AND(BQ$11&gt;=EOMONTH('Construction Budget'!$K18,0),BQ$11&lt;=EOMONTH('Construction Budget'!$M18,0)),('Construction Budget'!$G18+SUM($G221:BP221))/ROUND(((EOMONTH('Construction Budget'!$M18,0)-EOMONTH(BQ$11,0))/30)+1,0),0)</f>
        <v>0</v>
      </c>
      <c r="BR221" s="427">
        <f>-IF(AND(BR$11&gt;=EOMONTH('Construction Budget'!$K18,0),BR$11&lt;=EOMONTH('Construction Budget'!$M18,0)),('Construction Budget'!$G18+SUM($G221:BQ221))/ROUND(((EOMONTH('Construction Budget'!$M18,0)-EOMONTH(BR$11,0))/30)+1,0),0)</f>
        <v>0</v>
      </c>
      <c r="BS221" s="427">
        <f>-IF(AND(BS$11&gt;=EOMONTH('Construction Budget'!$K18,0),BS$11&lt;=EOMONTH('Construction Budget'!$M18,0)),('Construction Budget'!$G18+SUM($G221:BR221))/ROUND(((EOMONTH('Construction Budget'!$M18,0)-EOMONTH(BS$11,0))/30)+1,0),0)</f>
        <v>0</v>
      </c>
      <c r="BT221" s="427">
        <f>-IF(AND(BT$11&gt;=EOMONTH('Construction Budget'!$K18,0),BT$11&lt;=EOMONTH('Construction Budget'!$M18,0)),('Construction Budget'!$G18+SUM($G221:BS221))/ROUND(((EOMONTH('Construction Budget'!$M18,0)-EOMONTH(BT$11,0))/30)+1,0),0)</f>
        <v>0</v>
      </c>
      <c r="BU221" s="427">
        <f>-IF(AND(BU$11&gt;=EOMONTH('Construction Budget'!$K18,0),BU$11&lt;=EOMONTH('Construction Budget'!$M18,0)),('Construction Budget'!$G18+SUM($G221:BT221))/ROUND(((EOMONTH('Construction Budget'!$M18,0)-EOMONTH(BU$11,0))/30)+1,0),0)</f>
        <v>0</v>
      </c>
      <c r="BV221" s="427">
        <f>-IF(AND(BV$11&gt;=EOMONTH('Construction Budget'!$K18,0),BV$11&lt;=EOMONTH('Construction Budget'!$M18,0)),('Construction Budget'!$G18+SUM($G221:BU221))/ROUND(((EOMONTH('Construction Budget'!$M18,0)-EOMONTH(BV$11,0))/30)+1,0),0)</f>
        <v>0</v>
      </c>
      <c r="BW221" s="427">
        <f>-IF(AND(BW$11&gt;=EOMONTH('Construction Budget'!$K18,0),BW$11&lt;=EOMONTH('Construction Budget'!$M18,0)),('Construction Budget'!$G18+SUM($G221:BV221))/ROUND(((EOMONTH('Construction Budget'!$M18,0)-EOMONTH(BW$11,0))/30)+1,0),0)</f>
        <v>0</v>
      </c>
      <c r="BX221" s="427">
        <f>-IF(AND(BX$11&gt;=EOMONTH('Construction Budget'!$K18,0),BX$11&lt;=EOMONTH('Construction Budget'!$M18,0)),('Construction Budget'!$G18+SUM($G221:BW221))/ROUND(((EOMONTH('Construction Budget'!$M18,0)-EOMONTH(BX$11,0))/30)+1,0),0)</f>
        <v>0</v>
      </c>
      <c r="BY221" s="427">
        <f>-IF(AND(BY$11&gt;=EOMONTH('Construction Budget'!$K18,0),BY$11&lt;=EOMONTH('Construction Budget'!$M18,0)),('Construction Budget'!$G18+SUM($G221:BX221))/ROUND(((EOMONTH('Construction Budget'!$M18,0)-EOMONTH(BY$11,0))/30)+1,0),0)</f>
        <v>0</v>
      </c>
      <c r="BZ221" s="427">
        <f>-IF(AND(BZ$11&gt;=EOMONTH('Construction Budget'!$K18,0),BZ$11&lt;=EOMONTH('Construction Budget'!$M18,0)),('Construction Budget'!$G18+SUM($G221:BY221))/ROUND(((EOMONTH('Construction Budget'!$M18,0)-EOMONTH(BZ$11,0))/30)+1,0),0)</f>
        <v>0</v>
      </c>
      <c r="CA221" s="427">
        <f>-IF(AND(CA$11&gt;=EOMONTH('Construction Budget'!$K18,0),CA$11&lt;=EOMONTH('Construction Budget'!$M18,0)),('Construction Budget'!$G18+SUM($G221:BZ221))/ROUND(((EOMONTH('Construction Budget'!$M18,0)-EOMONTH(CA$11,0))/30)+1,0),0)</f>
        <v>0</v>
      </c>
      <c r="CB221" s="427">
        <f>-IF(AND(CB$11&gt;=EOMONTH('Construction Budget'!$K18,0),CB$11&lt;=EOMONTH('Construction Budget'!$M18,0)),('Construction Budget'!$G18+SUM($G221:CA221))/ROUND(((EOMONTH('Construction Budget'!$M18,0)-EOMONTH(CB$11,0))/30)+1,0),0)</f>
        <v>0</v>
      </c>
      <c r="CC221" s="427">
        <f>-IF(AND(CC$11&gt;=EOMONTH('Construction Budget'!$K18,0),CC$11&lt;=EOMONTH('Construction Budget'!$M18,0)),('Construction Budget'!$G18+SUM($G221:CB221))/ROUND(((EOMONTH('Construction Budget'!$M18,0)-EOMONTH(CC$11,0))/30)+1,0),0)</f>
        <v>0</v>
      </c>
      <c r="CD221" s="427">
        <f>-IF(AND(CD$11&gt;=EOMONTH('Construction Budget'!$K18,0),CD$11&lt;=EOMONTH('Construction Budget'!$M18,0)),('Construction Budget'!$G18+SUM($G221:CC221))/ROUND(((EOMONTH('Construction Budget'!$M18,0)-EOMONTH(CD$11,0))/30)+1,0),0)</f>
        <v>0</v>
      </c>
      <c r="CE221" s="427">
        <f>-IF(AND(CE$11&gt;=EOMONTH('Construction Budget'!$K18,0),CE$11&lt;=EOMONTH('Construction Budget'!$M18,0)),('Construction Budget'!$G18+SUM($G221:CD221))/ROUND(((EOMONTH('Construction Budget'!$M18,0)-EOMONTH(CE$11,0))/30)+1,0),0)</f>
        <v>0</v>
      </c>
      <c r="CF221" s="427">
        <f>-IF(AND(CF$11&gt;=EOMONTH('Construction Budget'!$K18,0),CF$11&lt;=EOMONTH('Construction Budget'!$M18,0)),('Construction Budget'!$G18+SUM($G221:CE221))/ROUND(((EOMONTH('Construction Budget'!$M18,0)-EOMONTH(CF$11,0))/30)+1,0),0)</f>
        <v>0</v>
      </c>
      <c r="CG221" s="427">
        <f>-IF(AND(CG$11&gt;=EOMONTH('Construction Budget'!$K18,0),CG$11&lt;=EOMONTH('Construction Budget'!$M18,0)),('Construction Budget'!$G18+SUM($G221:CF221))/ROUND(((EOMONTH('Construction Budget'!$M18,0)-EOMONTH(CG$11,0))/30)+1,0),0)</f>
        <v>0</v>
      </c>
      <c r="CH221" s="427">
        <f>-IF(AND(CH$11&gt;=EOMONTH('Construction Budget'!$K18,0),CH$11&lt;=EOMONTH('Construction Budget'!$M18,0)),('Construction Budget'!$G18+SUM($G221:CG221))/ROUND(((EOMONTH('Construction Budget'!$M18,0)-EOMONTH(CH$11,0))/30)+1,0),0)</f>
        <v>0</v>
      </c>
      <c r="CI221" s="427">
        <f>-IF(AND(CI$11&gt;=EOMONTH('Construction Budget'!$K18,0),CI$11&lt;=EOMONTH('Construction Budget'!$M18,0)),('Construction Budget'!$G18+SUM($G221:CH221))/ROUND(((EOMONTH('Construction Budget'!$M18,0)-EOMONTH(CI$11,0))/30)+1,0),0)</f>
        <v>0</v>
      </c>
      <c r="CJ221" s="427">
        <f>-IF(AND(CJ$11&gt;=EOMONTH('Construction Budget'!$K18,0),CJ$11&lt;=EOMONTH('Construction Budget'!$M18,0)),('Construction Budget'!$G18+SUM($G221:CI221))/ROUND(((EOMONTH('Construction Budget'!$M18,0)-EOMONTH(CJ$11,0))/30)+1,0),0)</f>
        <v>0</v>
      </c>
      <c r="CK221" s="427">
        <f>-IF(AND(CK$11&gt;=EOMONTH('Construction Budget'!$K18,0),CK$11&lt;=EOMONTH('Construction Budget'!$M18,0)),('Construction Budget'!$G18+SUM($G221:CJ221))/ROUND(((EOMONTH('Construction Budget'!$M18,0)-EOMONTH(CK$11,0))/30)+1,0),0)</f>
        <v>0</v>
      </c>
      <c r="CL221" s="427">
        <f>-IF(AND(CL$11&gt;=EOMONTH('Construction Budget'!$K18,0),CL$11&lt;=EOMONTH('Construction Budget'!$M18,0)),('Construction Budget'!$G18+SUM($G221:CK221))/ROUND(((EOMONTH('Construction Budget'!$M18,0)-EOMONTH(CL$11,0))/30)+1,0),0)</f>
        <v>0</v>
      </c>
      <c r="CM221" s="427">
        <f>-IF(AND(CM$11&gt;=EOMONTH('Construction Budget'!$K18,0),CM$11&lt;=EOMONTH('Construction Budget'!$M18,0)),('Construction Budget'!$G18+SUM($G221:CL221))/ROUND(((EOMONTH('Construction Budget'!$M18,0)-EOMONTH(CM$11,0))/30)+1,0),0)</f>
        <v>0</v>
      </c>
      <c r="CN221" s="427">
        <f>-IF(AND(CN$11&gt;=EOMONTH('Construction Budget'!$K18,0),CN$11&lt;=EOMONTH('Construction Budget'!$M18,0)),('Construction Budget'!$G18+SUM($G221:CM221))/ROUND(((EOMONTH('Construction Budget'!$M18,0)-EOMONTH(CN$11,0))/30)+1,0),0)</f>
        <v>0</v>
      </c>
      <c r="CO221" s="427">
        <f>-IF(AND(CO$11&gt;=EOMONTH('Construction Budget'!$K18,0),CO$11&lt;=EOMONTH('Construction Budget'!$M18,0)),('Construction Budget'!$G18+SUM($G221:CN221))/ROUND(((EOMONTH('Construction Budget'!$M18,0)-EOMONTH(CO$11,0))/30)+1,0),0)</f>
        <v>0</v>
      </c>
      <c r="CP221" s="427">
        <f>-IF(AND(CP$11&gt;=EOMONTH('Construction Budget'!$K18,0),CP$11&lt;=EOMONTH('Construction Budget'!$M18,0)),('Construction Budget'!$G18+SUM($G221:CO221))/ROUND(((EOMONTH('Construction Budget'!$M18,0)-EOMONTH(CP$11,0))/30)+1,0),0)</f>
        <v>0</v>
      </c>
      <c r="CQ221" s="427">
        <f>-IF(AND(CQ$11&gt;=EOMONTH('Construction Budget'!$K18,0),CQ$11&lt;=EOMONTH('Construction Budget'!$M18,0)),('Construction Budget'!$G18+SUM($G221:CP221))/ROUND(((EOMONTH('Construction Budget'!$M18,0)-EOMONTH(CQ$11,0))/30)+1,0),0)</f>
        <v>0</v>
      </c>
      <c r="CR221" s="427">
        <f>-IF(AND(CR$11&gt;=EOMONTH('Construction Budget'!$K18,0),CR$11&lt;=EOMONTH('Construction Budget'!$M18,0)),('Construction Budget'!$G18+SUM($G221:CQ221))/ROUND(((EOMONTH('Construction Budget'!$M18,0)-EOMONTH(CR$11,0))/30)+1,0),0)</f>
        <v>0</v>
      </c>
      <c r="CS221" s="427">
        <f>-IF(AND(CS$11&gt;=EOMONTH('Construction Budget'!$K18,0),CS$11&lt;=EOMONTH('Construction Budget'!$M18,0)),('Construction Budget'!$G18+SUM($G221:CR221))/ROUND(((EOMONTH('Construction Budget'!$M18,0)-EOMONTH(CS$11,0))/30)+1,0),0)</f>
        <v>0</v>
      </c>
      <c r="CT221" s="427">
        <f>-IF(AND(CT$11&gt;=EOMONTH('Construction Budget'!$K18,0),CT$11&lt;=EOMONTH('Construction Budget'!$M18,0)),('Construction Budget'!$G18+SUM($G221:CS221))/ROUND(((EOMONTH('Construction Budget'!$M18,0)-EOMONTH(CT$11,0))/30)+1,0),0)</f>
        <v>0</v>
      </c>
      <c r="CU221" s="427">
        <f>-IF(AND(CU$11&gt;=EOMONTH('Construction Budget'!$K18,0),CU$11&lt;=EOMONTH('Construction Budget'!$M18,0)),('Construction Budget'!$G18+SUM($G221:CT221))/ROUND(((EOMONTH('Construction Budget'!$M18,0)-EOMONTH(CU$11,0))/30)+1,0),0)</f>
        <v>0</v>
      </c>
      <c r="CV221" s="427">
        <f>-IF(AND(CV$11&gt;=EOMONTH('Construction Budget'!$K18,0),CV$11&lt;=EOMONTH('Construction Budget'!$M18,0)),('Construction Budget'!$G18+SUM($G221:CU221))/ROUND(((EOMONTH('Construction Budget'!$M18,0)-EOMONTH(CV$11,0))/30)+1,0),0)</f>
        <v>0</v>
      </c>
      <c r="CW221" s="427">
        <f>-IF(AND(CW$11&gt;=EOMONTH('Construction Budget'!$K18,0),CW$11&lt;=EOMONTH('Construction Budget'!$M18,0)),('Construction Budget'!$G18+SUM($G221:CV221))/ROUND(((EOMONTH('Construction Budget'!$M18,0)-EOMONTH(CW$11,0))/30)+1,0),0)</f>
        <v>0</v>
      </c>
      <c r="CX221" s="427">
        <f>-IF(AND(CX$11&gt;=EOMONTH('Construction Budget'!$K18,0),CX$11&lt;=EOMONTH('Construction Budget'!$M18,0)),('Construction Budget'!$G18+SUM($G221:CW221))/ROUND(((EOMONTH('Construction Budget'!$M18,0)-EOMONTH(CX$11,0))/30)+1,0),0)</f>
        <v>0</v>
      </c>
      <c r="CY221" s="427">
        <f>-IF(AND(CY$11&gt;=EOMONTH('Construction Budget'!$K18,0),CY$11&lt;=EOMONTH('Construction Budget'!$M18,0)),('Construction Budget'!$G18+SUM($G221:CX221))/ROUND(((EOMONTH('Construction Budget'!$M18,0)-EOMONTH(CY$11,0))/30)+1,0),0)</f>
        <v>0</v>
      </c>
      <c r="CZ221" s="427">
        <f>-IF(AND(CZ$11&gt;=EOMONTH('Construction Budget'!$K18,0),CZ$11&lt;=EOMONTH('Construction Budget'!$M18,0)),('Construction Budget'!$G18+SUM($G221:CY221))/ROUND(((EOMONTH('Construction Budget'!$M18,0)-EOMONTH(CZ$11,0))/30)+1,0),0)</f>
        <v>0</v>
      </c>
      <c r="DA221" s="427">
        <f>-IF(AND(DA$11&gt;=EOMONTH('Construction Budget'!$K18,0),DA$11&lt;=EOMONTH('Construction Budget'!$M18,0)),('Construction Budget'!$G18+SUM($G221:CZ221))/ROUND(((EOMONTH('Construction Budget'!$M18,0)-EOMONTH(DA$11,0))/30)+1,0),0)</f>
        <v>0</v>
      </c>
      <c r="DB221" s="427">
        <f>-IF(AND(DB$11&gt;=EOMONTH('Construction Budget'!$K18,0),DB$11&lt;=EOMONTH('Construction Budget'!$M18,0)),('Construction Budget'!$G18+SUM($G221:DA221))/ROUND(((EOMONTH('Construction Budget'!$M18,0)-EOMONTH(DB$11,0))/30)+1,0),0)</f>
        <v>0</v>
      </c>
      <c r="DC221" s="427">
        <f>-IF(AND(DC$11&gt;=EOMONTH('Construction Budget'!$K18,0),DC$11&lt;=EOMONTH('Construction Budget'!$M18,0)),('Construction Budget'!$G18+SUM($G221:DB221))/ROUND(((EOMONTH('Construction Budget'!$M18,0)-EOMONTH(DC$11,0))/30)+1,0),0)</f>
        <v>0</v>
      </c>
      <c r="DD221" s="427">
        <f>-IF(AND(DD$11&gt;=EOMONTH('Construction Budget'!$K18,0),DD$11&lt;=EOMONTH('Construction Budget'!$M18,0)),('Construction Budget'!$G18+SUM($G221:DC221))/ROUND(((EOMONTH('Construction Budget'!$M18,0)-EOMONTH(DD$11,0))/30)+1,0),0)</f>
        <v>0</v>
      </c>
      <c r="DE221" s="427">
        <f>-IF(AND(DE$11&gt;=EOMONTH('Construction Budget'!$K18,0),DE$11&lt;=EOMONTH('Construction Budget'!$M18,0)),('Construction Budget'!$G18+SUM($G221:DD221))/ROUND(((EOMONTH('Construction Budget'!$M18,0)-EOMONTH(DE$11,0))/30)+1,0),0)</f>
        <v>0</v>
      </c>
      <c r="DF221" s="427">
        <f>-IF(AND(DF$11&gt;=EOMONTH('Construction Budget'!$K18,0),DF$11&lt;=EOMONTH('Construction Budget'!$M18,0)),('Construction Budget'!$G18+SUM($G221:DE221))/ROUND(((EOMONTH('Construction Budget'!$M18,0)-EOMONTH(DF$11,0))/30)+1,0),0)</f>
        <v>0</v>
      </c>
      <c r="DG221" s="427">
        <f>-IF(AND(DG$11&gt;=EOMONTH('Construction Budget'!$K18,0),DG$11&lt;=EOMONTH('Construction Budget'!$M18,0)),('Construction Budget'!$G18+SUM($G221:DF221))/ROUND(((EOMONTH('Construction Budget'!$M18,0)-EOMONTH(DG$11,0))/30)+1,0),0)</f>
        <v>0</v>
      </c>
      <c r="DH221" s="427">
        <f>-IF(AND(DH$11&gt;=EOMONTH('Construction Budget'!$K18,0),DH$11&lt;=EOMONTH('Construction Budget'!$M18,0)),('Construction Budget'!$G18+SUM($G221:DG221))/ROUND(((EOMONTH('Construction Budget'!$M18,0)-EOMONTH(DH$11,0))/30)+1,0),0)</f>
        <v>0</v>
      </c>
      <c r="DI221" s="427">
        <f>-IF(AND(DI$11&gt;=EOMONTH('Construction Budget'!$K18,0),DI$11&lt;=EOMONTH('Construction Budget'!$M18,0)),('Construction Budget'!$G18+SUM($G221:DH221))/ROUND(((EOMONTH('Construction Budget'!$M18,0)-EOMONTH(DI$11,0))/30)+1,0),0)</f>
        <v>0</v>
      </c>
      <c r="DJ221" s="427">
        <f>-IF(AND(DJ$11&gt;=EOMONTH('Construction Budget'!$K18,0),DJ$11&lt;=EOMONTH('Construction Budget'!$M18,0)),('Construction Budget'!$G18+SUM($G221:DI221))/ROUND(((EOMONTH('Construction Budget'!$M18,0)-EOMONTH(DJ$11,0))/30)+1,0),0)</f>
        <v>0</v>
      </c>
      <c r="DK221" s="427">
        <f>-IF(AND(DK$11&gt;=EOMONTH('Construction Budget'!$K18,0),DK$11&lt;=EOMONTH('Construction Budget'!$M18,0)),('Construction Budget'!$G18+SUM($G221:DJ221))/ROUND(((EOMONTH('Construction Budget'!$M18,0)-EOMONTH(DK$11,0))/30)+1,0),0)</f>
        <v>0</v>
      </c>
      <c r="DL221" s="427">
        <f>-IF(AND(DL$11&gt;=EOMONTH('Construction Budget'!$K18,0),DL$11&lt;=EOMONTH('Construction Budget'!$M18,0)),('Construction Budget'!$G18+SUM($G221:DK221))/ROUND(((EOMONTH('Construction Budget'!$M18,0)-EOMONTH(DL$11,0))/30)+1,0),0)</f>
        <v>0</v>
      </c>
      <c r="DM221" s="427">
        <f>-IF(AND(DM$11&gt;=EOMONTH('Construction Budget'!$K18,0),DM$11&lt;=EOMONTH('Construction Budget'!$M18,0)),('Construction Budget'!$G18+SUM($G221:DL221))/ROUND(((EOMONTH('Construction Budget'!$M18,0)-EOMONTH(DM$11,0))/30)+1,0),0)</f>
        <v>0</v>
      </c>
      <c r="DN221" s="427">
        <f>-IF(AND(DN$11&gt;=EOMONTH('Construction Budget'!$K18,0),DN$11&lt;=EOMONTH('Construction Budget'!$M18,0)),('Construction Budget'!$G18+SUM($G221:DM221))/ROUND(((EOMONTH('Construction Budget'!$M18,0)-EOMONTH(DN$11,0))/30)+1,0),0)</f>
        <v>0</v>
      </c>
      <c r="DO221" s="427">
        <f>-IF(AND(DO$11&gt;=EOMONTH('Construction Budget'!$K18,0),DO$11&lt;=EOMONTH('Construction Budget'!$M18,0)),('Construction Budget'!$G18+SUM($G221:DN221))/ROUND(((EOMONTH('Construction Budget'!$M18,0)-EOMONTH(DO$11,0))/30)+1,0),0)</f>
        <v>0</v>
      </c>
      <c r="DP221" s="427">
        <f>-IF(AND(DP$11&gt;=EOMONTH('Construction Budget'!$K18,0),DP$11&lt;=EOMONTH('Construction Budget'!$M18,0)),('Construction Budget'!$G18+SUM($G221:DO221))/ROUND(((EOMONTH('Construction Budget'!$M18,0)-EOMONTH(DP$11,0))/30)+1,0),0)</f>
        <v>0</v>
      </c>
      <c r="DQ221" s="427">
        <f>-IF(AND(DQ$11&gt;=EOMONTH('Construction Budget'!$K18,0),DQ$11&lt;=EOMONTH('Construction Budget'!$M18,0)),('Construction Budget'!$G18+SUM($G221:DP221))/ROUND(((EOMONTH('Construction Budget'!$M18,0)-EOMONTH(DQ$11,0))/30)+1,0),0)</f>
        <v>0</v>
      </c>
      <c r="DR221" s="427">
        <f>-IF(AND(DR$11&gt;=EOMONTH('Construction Budget'!$K18,0),DR$11&lt;=EOMONTH('Construction Budget'!$M18,0)),('Construction Budget'!$G18+SUM($G221:DQ221))/ROUND(((EOMONTH('Construction Budget'!$M18,0)-EOMONTH(DR$11,0))/30)+1,0),0)</f>
        <v>0</v>
      </c>
      <c r="DS221" s="427">
        <f>-IF(AND(DS$11&gt;=EOMONTH('Construction Budget'!$K18,0),DS$11&lt;=EOMONTH('Construction Budget'!$M18,0)),('Construction Budget'!$G18+SUM($G221:DR221))/ROUND(((EOMONTH('Construction Budget'!$M18,0)-EOMONTH(DS$11,0))/30)+1,0),0)</f>
        <v>0</v>
      </c>
      <c r="DT221" s="427">
        <f>-IF(AND(DT$11&gt;=EOMONTH('Construction Budget'!$K18,0),DT$11&lt;=EOMONTH('Construction Budget'!$M18,0)),('Construction Budget'!$G18+SUM($G221:DS221))/ROUND(((EOMONTH('Construction Budget'!$M18,0)-EOMONTH(DT$11,0))/30)+1,0),0)</f>
        <v>0</v>
      </c>
      <c r="DU221" s="427">
        <f>-IF(AND(DU$11&gt;=EOMONTH('Construction Budget'!$K18,0),DU$11&lt;=EOMONTH('Construction Budget'!$M18,0)),('Construction Budget'!$G18+SUM($G221:DT221))/ROUND(((EOMONTH('Construction Budget'!$M18,0)-EOMONTH(DU$11,0))/30)+1,0),0)</f>
        <v>0</v>
      </c>
      <c r="DV221" s="427">
        <f>-IF(AND(DV$11&gt;=EOMONTH('Construction Budget'!$K18,0),DV$11&lt;=EOMONTH('Construction Budget'!$M18,0)),('Construction Budget'!$G18+SUM($G221:DU221))/ROUND(((EOMONTH('Construction Budget'!$M18,0)-EOMONTH(DV$11,0))/30)+1,0),0)</f>
        <v>0</v>
      </c>
      <c r="DW221" s="427">
        <f>-IF(AND(DW$11&gt;=EOMONTH('Construction Budget'!$K18,0),DW$11&lt;=EOMONTH('Construction Budget'!$M18,0)),('Construction Budget'!$G18+SUM($G221:DV221))/ROUND(((EOMONTH('Construction Budget'!$M18,0)-EOMONTH(DW$11,0))/30)+1,0),0)</f>
        <v>0</v>
      </c>
      <c r="DX221" s="427">
        <f>-IF(AND(DX$11&gt;=EOMONTH('Construction Budget'!$K18,0),DX$11&lt;=EOMONTH('Construction Budget'!$M18,0)),('Construction Budget'!$G18+SUM($G221:DW221))/ROUND(((EOMONTH('Construction Budget'!$M18,0)-EOMONTH(DX$11,0))/30)+1,0),0)</f>
        <v>0</v>
      </c>
      <c r="DY221" s="427">
        <f>-IF(AND(DY$11&gt;=EOMONTH('Construction Budget'!$K18,0),DY$11&lt;=EOMONTH('Construction Budget'!$M18,0)),('Construction Budget'!$G18+SUM($G221:DX221))/ROUND(((EOMONTH('Construction Budget'!$M18,0)-EOMONTH(DY$11,0))/30)+1,0),0)</f>
        <v>0</v>
      </c>
      <c r="DZ221" s="427">
        <f>-IF(AND(DZ$11&gt;=EOMONTH('Construction Budget'!$K18,0),DZ$11&lt;=EOMONTH('Construction Budget'!$M18,0)),('Construction Budget'!$G18+SUM($G221:DY221))/ROUND(((EOMONTH('Construction Budget'!$M18,0)-EOMONTH(DZ$11,0))/30)+1,0),0)</f>
        <v>0</v>
      </c>
      <c r="EA221" s="427">
        <f>-IF(AND(EA$11&gt;=EOMONTH('Construction Budget'!$K18,0),EA$11&lt;=EOMONTH('Construction Budget'!$M18,0)),('Construction Budget'!$G18+SUM($G221:DZ221))/ROUND(((EOMONTH('Construction Budget'!$M18,0)-EOMONTH(EA$11,0))/30)+1,0),0)</f>
        <v>0</v>
      </c>
      <c r="EB221" s="427">
        <f>-IF(AND(EB$11&gt;=EOMONTH('Construction Budget'!$K18,0),EB$11&lt;=EOMONTH('Construction Budget'!$M18,0)),('Construction Budget'!$G18+SUM($G221:EA221))/ROUND(((EOMONTH('Construction Budget'!$M18,0)-EOMONTH(EB$11,0))/30)+1,0),0)</f>
        <v>0</v>
      </c>
      <c r="EC221" s="427">
        <f>-IF(AND(EC$11&gt;=EOMONTH('Construction Budget'!$K18,0),EC$11&lt;=EOMONTH('Construction Budget'!$M18,0)),('Construction Budget'!$G18+SUM($G221:EB221))/ROUND(((EOMONTH('Construction Budget'!$M18,0)-EOMONTH(EC$11,0))/30)+1,0),0)</f>
        <v>0</v>
      </c>
      <c r="ED221" s="427">
        <f>-IF(AND(ED$11&gt;=EOMONTH('Construction Budget'!$K18,0),ED$11&lt;=EOMONTH('Construction Budget'!$M18,0)),('Construction Budget'!$G18+SUM($G221:EC221))/ROUND(((EOMONTH('Construction Budget'!$M18,0)-EOMONTH(ED$11,0))/30)+1,0),0)</f>
        <v>0</v>
      </c>
      <c r="EE221" s="427">
        <f>-IF(AND(EE$11&gt;=EOMONTH('Construction Budget'!$K18,0),EE$11&lt;=EOMONTH('Construction Budget'!$M18,0)),('Construction Budget'!$G18+SUM($G221:ED221))/ROUND(((EOMONTH('Construction Budget'!$M18,0)-EOMONTH(EE$11,0))/30)+1,0),0)</f>
        <v>0</v>
      </c>
      <c r="EF221" s="427">
        <f>-IF(AND(EF$11&gt;=EOMONTH('Construction Budget'!$K18,0),EF$11&lt;=EOMONTH('Construction Budget'!$M18,0)),('Construction Budget'!$G18+SUM($G221:EE221))/ROUND(((EOMONTH('Construction Budget'!$M18,0)-EOMONTH(EF$11,0))/30)+1,0),0)</f>
        <v>0</v>
      </c>
      <c r="EG221" s="427">
        <f>-IF(AND(EG$11&gt;=EOMONTH('Construction Budget'!$K18,0),EG$11&lt;=EOMONTH('Construction Budget'!$M18,0)),('Construction Budget'!$G18+SUM($G221:EF221))/ROUND(((EOMONTH('Construction Budget'!$M18,0)-EOMONTH(EG$11,0))/30)+1,0),0)</f>
        <v>0</v>
      </c>
      <c r="EH221" s="427">
        <f>-IF(AND(EH$11&gt;=EOMONTH('Construction Budget'!$K18,0),EH$11&lt;=EOMONTH('Construction Budget'!$M18,0)),('Construction Budget'!$G18+SUM($G221:EG221))/ROUND(((EOMONTH('Construction Budget'!$M18,0)-EOMONTH(EH$11,0))/30)+1,0),0)</f>
        <v>0</v>
      </c>
      <c r="EI221" s="427">
        <f>-IF(AND(EI$11&gt;=EOMONTH('Construction Budget'!$K18,0),EI$11&lt;=EOMONTH('Construction Budget'!$M18,0)),('Construction Budget'!$G18+SUM($G221:EH221))/ROUND(((EOMONTH('Construction Budget'!$M18,0)-EOMONTH(EI$11,0))/30)+1,0),0)</f>
        <v>0</v>
      </c>
      <c r="EJ221" s="427">
        <f>-IF(AND(EJ$11&gt;=EOMONTH('Construction Budget'!$K18,0),EJ$11&lt;=EOMONTH('Construction Budget'!$M18,0)),('Construction Budget'!$G18+SUM($G221:EI221))/ROUND(((EOMONTH('Construction Budget'!$M18,0)-EOMONTH(EJ$11,0))/30)+1,0),0)</f>
        <v>0</v>
      </c>
      <c r="EK221" s="427">
        <f>-IF(AND(EK$11&gt;=EOMONTH('Construction Budget'!$K18,0),EK$11&lt;=EOMONTH('Construction Budget'!$M18,0)),('Construction Budget'!$G18+SUM($G221:EJ221))/ROUND(((EOMONTH('Construction Budget'!$M18,0)-EOMONTH(EK$11,0))/30)+1,0),0)</f>
        <v>0</v>
      </c>
      <c r="EL221" s="427">
        <f>-IF(AND(EL$11&gt;=EOMONTH('Construction Budget'!$K18,0),EL$11&lt;=EOMONTH('Construction Budget'!$M18,0)),('Construction Budget'!$G18+SUM($G221:EK221))/ROUND(((EOMONTH('Construction Budget'!$M18,0)-EOMONTH(EL$11,0))/30)+1,0),0)</f>
        <v>0</v>
      </c>
      <c r="EM221" s="427">
        <f>-IF(AND(EM$11&gt;=EOMONTH('Construction Budget'!$K18,0),EM$11&lt;=EOMONTH('Construction Budget'!$M18,0)),('Construction Budget'!$G18+SUM($G221:EL221))/ROUND(((EOMONTH('Construction Budget'!$M18,0)-EOMONTH(EM$11,0))/30)+1,0),0)</f>
        <v>0</v>
      </c>
      <c r="EN221" s="427">
        <f>-IF(AND(EN$11&gt;=EOMONTH('Construction Budget'!$K18,0),EN$11&lt;=EOMONTH('Construction Budget'!$M18,0)),('Construction Budget'!$G18+SUM($G221:EM221))/ROUND(((EOMONTH('Construction Budget'!$M18,0)-EOMONTH(EN$11,0))/30)+1,0),0)</f>
        <v>0</v>
      </c>
      <c r="EO221" s="427">
        <f>-IF(AND(EO$11&gt;=EOMONTH('Construction Budget'!$K18,0),EO$11&lt;=EOMONTH('Construction Budget'!$M18,0)),('Construction Budget'!$G18+SUM($G221:EN221))/ROUND(((EOMONTH('Construction Budget'!$M18,0)-EOMONTH(EO$11,0))/30)+1,0),0)</f>
        <v>0</v>
      </c>
      <c r="EP221" s="427">
        <f>-IF(AND(EP$11&gt;=EOMONTH('Construction Budget'!$K18,0),EP$11&lt;=EOMONTH('Construction Budget'!$M18,0)),('Construction Budget'!$G18+SUM($G221:EO221))/ROUND(((EOMONTH('Construction Budget'!$M18,0)-EOMONTH(EP$11,0))/30)+1,0),0)</f>
        <v>0</v>
      </c>
      <c r="EQ221" s="427">
        <f>-IF(AND(EQ$11&gt;=EOMONTH('Construction Budget'!$K18,0),EQ$11&lt;=EOMONTH('Construction Budget'!$M18,0)),('Construction Budget'!$G18+SUM($G221:EP221))/ROUND(((EOMONTH('Construction Budget'!$M18,0)-EOMONTH(EQ$11,0))/30)+1,0),0)</f>
        <v>0</v>
      </c>
      <c r="ER221" s="427">
        <f>-IF(AND(ER$11&gt;=EOMONTH('Construction Budget'!$K18,0),ER$11&lt;=EOMONTH('Construction Budget'!$M18,0)),('Construction Budget'!$G18+SUM($G221:EQ221))/ROUND(((EOMONTH('Construction Budget'!$M18,0)-EOMONTH(ER$11,0))/30)+1,0),0)</f>
        <v>0</v>
      </c>
      <c r="ES221" s="427">
        <f>-IF(AND(ES$11&gt;=EOMONTH('Construction Budget'!$K18,0),ES$11&lt;=EOMONTH('Construction Budget'!$M18,0)),('Construction Budget'!$G18+SUM($G221:ER221))/ROUND(((EOMONTH('Construction Budget'!$M18,0)-EOMONTH(ES$11,0))/30)+1,0),0)</f>
        <v>0</v>
      </c>
      <c r="ET221" s="427">
        <f>-IF(AND(ET$11&gt;=EOMONTH('Construction Budget'!$K18,0),ET$11&lt;=EOMONTH('Construction Budget'!$M18,0)),('Construction Budget'!$G18+SUM($G221:ES221))/ROUND(((EOMONTH('Construction Budget'!$M18,0)-EOMONTH(ET$11,0))/30)+1,0),0)</f>
        <v>0</v>
      </c>
      <c r="EU221" s="427">
        <f>-IF(AND(EU$11&gt;=EOMONTH('Construction Budget'!$K18,0),EU$11&lt;=EOMONTH('Construction Budget'!$M18,0)),('Construction Budget'!$G18+SUM($G221:ET221))/ROUND(((EOMONTH('Construction Budget'!$M18,0)-EOMONTH(EU$11,0))/30)+1,0),0)</f>
        <v>0</v>
      </c>
      <c r="EV221" s="427">
        <f>-IF(AND(EV$11&gt;=EOMONTH('Construction Budget'!$K18,0),EV$11&lt;=EOMONTH('Construction Budget'!$M18,0)),('Construction Budget'!$G18+SUM($G221:EU221))/ROUND(((EOMONTH('Construction Budget'!$M18,0)-EOMONTH(EV$11,0))/30)+1,0),0)</f>
        <v>0</v>
      </c>
      <c r="EW221" s="427">
        <f>-IF(AND(EW$11&gt;=EOMONTH('Construction Budget'!$K18,0),EW$11&lt;=EOMONTH('Construction Budget'!$M18,0)),('Construction Budget'!$G18+SUM($G221:EV221))/ROUND(((EOMONTH('Construction Budget'!$M18,0)-EOMONTH(EW$11,0))/30)+1,0),0)</f>
        <v>0</v>
      </c>
      <c r="EX221" s="427">
        <f>-IF(AND(EX$11&gt;=EOMONTH('Construction Budget'!$K18,0),EX$11&lt;=EOMONTH('Construction Budget'!$M18,0)),('Construction Budget'!$G18+SUM($G221:EW221))/ROUND(((EOMONTH('Construction Budget'!$M18,0)-EOMONTH(EX$11,0))/30)+1,0),0)</f>
        <v>0</v>
      </c>
      <c r="EY221" s="427">
        <f>-IF(AND(EY$11&gt;=EOMONTH('Construction Budget'!$K18,0),EY$11&lt;=EOMONTH('Construction Budget'!$M18,0)),('Construction Budget'!$G18+SUM($G221:EX221))/ROUND(((EOMONTH('Construction Budget'!$M18,0)-EOMONTH(EY$11,0))/30)+1,0),0)</f>
        <v>0</v>
      </c>
      <c r="EZ221" s="427">
        <f>-IF(AND(EZ$11&gt;=EOMONTH('Construction Budget'!$K18,0),EZ$11&lt;=EOMONTH('Construction Budget'!$M18,0)),('Construction Budget'!$G18+SUM($G221:EY221))/ROUND(((EOMONTH('Construction Budget'!$M18,0)-EOMONTH(EZ$11,0))/30)+1,0),0)</f>
        <v>0</v>
      </c>
      <c r="FA221" s="427">
        <f>-IF(AND(FA$11&gt;=EOMONTH('Construction Budget'!$K18,0),FA$11&lt;=EOMONTH('Construction Budget'!$M18,0)),('Construction Budget'!$G18+SUM($G221:EZ221))/ROUND(((EOMONTH('Construction Budget'!$M18,0)-EOMONTH(FA$11,0))/30)+1,0),0)</f>
        <v>0</v>
      </c>
      <c r="FB221" s="427">
        <f>-IF(AND(FB$11&gt;=EOMONTH('Construction Budget'!$K18,0),FB$11&lt;=EOMONTH('Construction Budget'!$M18,0)),('Construction Budget'!$G18+SUM($G221:FA221))/ROUND(((EOMONTH('Construction Budget'!$M18,0)-EOMONTH(FB$11,0))/30)+1,0),0)</f>
        <v>0</v>
      </c>
      <c r="FC221" s="427">
        <f>-IF(AND(FC$11&gt;=EOMONTH('Construction Budget'!$K18,0),FC$11&lt;=EOMONTH('Construction Budget'!$M18,0)),('Construction Budget'!$G18+SUM($G221:FB221))/ROUND(((EOMONTH('Construction Budget'!$M18,0)-EOMONTH(FC$11,0))/30)+1,0),0)</f>
        <v>0</v>
      </c>
      <c r="FD221" s="427">
        <f>-IF(AND(FD$11&gt;=EOMONTH('Construction Budget'!$K18,0),FD$11&lt;=EOMONTH('Construction Budget'!$M18,0)),('Construction Budget'!$G18+SUM($G221:FC221))/ROUND(((EOMONTH('Construction Budget'!$M18,0)-EOMONTH(FD$11,0))/30)+1,0),0)</f>
        <v>0</v>
      </c>
      <c r="FE221" s="427">
        <f>-IF(AND(FE$11&gt;=EOMONTH('Construction Budget'!$K18,0),FE$11&lt;=EOMONTH('Construction Budget'!$M18,0)),('Construction Budget'!$G18+SUM($G221:FD221))/ROUND(((EOMONTH('Construction Budget'!$M18,0)-EOMONTH(FE$11,0))/30)+1,0),0)</f>
        <v>0</v>
      </c>
      <c r="FF221" s="427">
        <f>-IF(AND(FF$11&gt;=EOMONTH('Construction Budget'!$K18,0),FF$11&lt;=EOMONTH('Construction Budget'!$M18,0)),('Construction Budget'!$G18+SUM($G221:FE221))/ROUND(((EOMONTH('Construction Budget'!$M18,0)-EOMONTH(FF$11,0))/30)+1,0),0)</f>
        <v>0</v>
      </c>
      <c r="FG221" s="427">
        <f>-IF(AND(FG$11&gt;=EOMONTH('Construction Budget'!$K18,0),FG$11&lt;=EOMONTH('Construction Budget'!$M18,0)),('Construction Budget'!$G18+SUM($G221:FF221))/ROUND(((EOMONTH('Construction Budget'!$M18,0)-EOMONTH(FG$11,0))/30)+1,0),0)</f>
        <v>0</v>
      </c>
      <c r="FH221" s="427">
        <f>-IF(AND(FH$11&gt;=EOMONTH('Construction Budget'!$K18,0),FH$11&lt;=EOMONTH('Construction Budget'!$M18,0)),('Construction Budget'!$G18+SUM($G221:FG221))/ROUND(((EOMONTH('Construction Budget'!$M18,0)-EOMONTH(FH$11,0))/30)+1,0),0)</f>
        <v>0</v>
      </c>
      <c r="FI221" s="427">
        <f>-IF(AND(FI$11&gt;=EOMONTH('Construction Budget'!$K18,0),FI$11&lt;=EOMONTH('Construction Budget'!$M18,0)),('Construction Budget'!$G18+SUM($G221:FH221))/ROUND(((EOMONTH('Construction Budget'!$M18,0)-EOMONTH(FI$11,0))/30)+1,0),0)</f>
        <v>0</v>
      </c>
      <c r="FJ221" s="427">
        <f>-IF(AND(FJ$11&gt;=EOMONTH('Construction Budget'!$K18,0),FJ$11&lt;=EOMONTH('Construction Budget'!$M18,0)),('Construction Budget'!$G18+SUM($G221:FI221))/ROUND(((EOMONTH('Construction Budget'!$M18,0)-EOMONTH(FJ$11,0))/30)+1,0),0)</f>
        <v>0</v>
      </c>
      <c r="FK221" s="427">
        <f>-IF(AND(FK$11&gt;=EOMONTH('Construction Budget'!$K18,0),FK$11&lt;=EOMONTH('Construction Budget'!$M18,0)),('Construction Budget'!$G18+SUM($G221:FJ221))/ROUND(((EOMONTH('Construction Budget'!$M18,0)-EOMONTH(FK$11,0))/30)+1,0),0)</f>
        <v>0</v>
      </c>
      <c r="FL221" s="427">
        <f>-IF(AND(FL$11&gt;=EOMONTH('Construction Budget'!$K18,0),FL$11&lt;=EOMONTH('Construction Budget'!$M18,0)),('Construction Budget'!$G18+SUM($G221:FK221))/ROUND(((EOMONTH('Construction Budget'!$M18,0)-EOMONTH(FL$11,0))/30)+1,0),0)</f>
        <v>0</v>
      </c>
      <c r="FM221" s="427">
        <f>-IF(AND(FM$11&gt;=EOMONTH('Construction Budget'!$K18,0),FM$11&lt;=EOMONTH('Construction Budget'!$M18,0)),('Construction Budget'!$G18+SUM($G221:FL221))/ROUND(((EOMONTH('Construction Budget'!$M18,0)-EOMONTH(FM$11,0))/30)+1,0),0)</f>
        <v>0</v>
      </c>
      <c r="FN221" s="427">
        <f>-IF(AND(FN$11&gt;=EOMONTH('Construction Budget'!$K18,0),FN$11&lt;=EOMONTH('Construction Budget'!$M18,0)),('Construction Budget'!$G18+SUM($G221:FM221))/ROUND(((EOMONTH('Construction Budget'!$M18,0)-EOMONTH(FN$11,0))/30)+1,0),0)</f>
        <v>0</v>
      </c>
      <c r="FO221" s="427">
        <f>-IF(AND(FO$11&gt;=EOMONTH('Construction Budget'!$K18,0),FO$11&lt;=EOMONTH('Construction Budget'!$M18,0)),('Construction Budget'!$G18+SUM($G221:FN221))/ROUND(((EOMONTH('Construction Budget'!$M18,0)-EOMONTH(FO$11,0))/30)+1,0),0)</f>
        <v>0</v>
      </c>
      <c r="FP221" s="427">
        <f>-IF(AND(FP$11&gt;=EOMONTH('Construction Budget'!$K18,0),FP$11&lt;=EOMONTH('Construction Budget'!$M18,0)),('Construction Budget'!$G18+SUM($G221:FO221))/ROUND(((EOMONTH('Construction Budget'!$M18,0)-EOMONTH(FP$11,0))/30)+1,0),0)</f>
        <v>0</v>
      </c>
      <c r="FQ221" s="427">
        <f>-IF(AND(FQ$11&gt;=EOMONTH('Construction Budget'!$K18,0),FQ$11&lt;=EOMONTH('Construction Budget'!$M18,0)),('Construction Budget'!$G18+SUM($G221:FP221))/ROUND(((EOMONTH('Construction Budget'!$M18,0)-EOMONTH(FQ$11,0))/30)+1,0),0)</f>
        <v>0</v>
      </c>
      <c r="FR221" s="427">
        <f>-IF(AND(FR$11&gt;=EOMONTH('Construction Budget'!$K18,0),FR$11&lt;=EOMONTH('Construction Budget'!$M18,0)),('Construction Budget'!$G18+SUM($G221:FQ221))/ROUND(((EOMONTH('Construction Budget'!$M18,0)-EOMONTH(FR$11,0))/30)+1,0),0)</f>
        <v>0</v>
      </c>
      <c r="FS221" s="427">
        <f>-IF(AND(FS$11&gt;=EOMONTH('Construction Budget'!$K18,0),FS$11&lt;=EOMONTH('Construction Budget'!$M18,0)),('Construction Budget'!$G18+SUM($G221:FR221))/ROUND(((EOMONTH('Construction Budget'!$M18,0)-EOMONTH(FS$11,0))/30)+1,0),0)</f>
        <v>0</v>
      </c>
      <c r="FT221" s="427">
        <f>-IF(AND(FT$11&gt;=EOMONTH('Construction Budget'!$K18,0),FT$11&lt;=EOMONTH('Construction Budget'!$M18,0)),('Construction Budget'!$G18+SUM($G221:FS221))/ROUND(((EOMONTH('Construction Budget'!$M18,0)-EOMONTH(FT$11,0))/30)+1,0),0)</f>
        <v>0</v>
      </c>
      <c r="FU221" s="43"/>
      <c r="FV221" s="34"/>
      <c r="FW221" s="34"/>
      <c r="FX221" s="34"/>
      <c r="FY221" s="34"/>
      <c r="FZ221" s="34"/>
    </row>
    <row r="222" spans="1:182" s="89" customFormat="1" ht="13.5" hidden="1" outlineLevel="1" x14ac:dyDescent="0.25">
      <c r="A222" s="498"/>
      <c r="B222" s="128" t="str">
        <f>'Construction Budget'!B19</f>
        <v>Blank</v>
      </c>
      <c r="C222" s="34"/>
      <c r="D222" s="34"/>
      <c r="E222" s="34"/>
      <c r="F222" s="434">
        <f t="shared" si="240"/>
        <v>0</v>
      </c>
      <c r="G222" s="34"/>
      <c r="H222" s="427">
        <f>-IF(AND(H$11&gt;=EOMONTH('Construction Budget'!$K19,0),H$11&lt;=EOMONTH('Construction Budget'!$M19,0)),('Construction Budget'!$G19+SUM($G222:G222))/ROUND(((EOMONTH('Construction Budget'!$M19,0)-EOMONTH(H$11,0))/30)+1,0),0)</f>
        <v>0</v>
      </c>
      <c r="I222" s="427">
        <f>-IF(AND(I$11&gt;=EOMONTH('Construction Budget'!$K19,0),I$11&lt;=EOMONTH('Construction Budget'!$M19,0)),('Construction Budget'!$G19+SUM($G222:H222))/ROUND(((EOMONTH('Construction Budget'!$M19,0)-EOMONTH(I$11,0))/30)+1,0),0)</f>
        <v>0</v>
      </c>
      <c r="J222" s="427">
        <f>-IF(AND(J$11&gt;=EOMONTH('Construction Budget'!$K19,0),J$11&lt;=EOMONTH('Construction Budget'!$M19,0)),('Construction Budget'!$G19+SUM($G222:I222))/ROUND(((EOMONTH('Construction Budget'!$M19,0)-EOMONTH(J$11,0))/30)+1,0),0)</f>
        <v>0</v>
      </c>
      <c r="K222" s="427">
        <f>-IF(AND(K$11&gt;=EOMONTH('Construction Budget'!$K19,0),K$11&lt;=EOMONTH('Construction Budget'!$M19,0)),('Construction Budget'!$G19+SUM($G222:J222))/ROUND(((EOMONTH('Construction Budget'!$M19,0)-EOMONTH(K$11,0))/30)+1,0),0)</f>
        <v>0</v>
      </c>
      <c r="L222" s="427">
        <f>-IF(AND(L$11&gt;=EOMONTH('Construction Budget'!$K19,0),L$11&lt;=EOMONTH('Construction Budget'!$M19,0)),('Construction Budget'!$G19+SUM($G222:K222))/ROUND(((EOMONTH('Construction Budget'!$M19,0)-EOMONTH(L$11,0))/30)+1,0),0)</f>
        <v>0</v>
      </c>
      <c r="M222" s="427">
        <f>-IF(AND(M$11&gt;=EOMONTH('Construction Budget'!$K19,0),M$11&lt;=EOMONTH('Construction Budget'!$M19,0)),('Construction Budget'!$G19+SUM($G222:L222))/ROUND(((EOMONTH('Construction Budget'!$M19,0)-EOMONTH(M$11,0))/30)+1,0),0)</f>
        <v>0</v>
      </c>
      <c r="N222" s="427">
        <f>-IF(AND(N$11&gt;=EOMONTH('Construction Budget'!$K19,0),N$11&lt;=EOMONTH('Construction Budget'!$M19,0)),('Construction Budget'!$G19+SUM($G222:M222))/ROUND(((EOMONTH('Construction Budget'!$M19,0)-EOMONTH(N$11,0))/30)+1,0),0)</f>
        <v>0</v>
      </c>
      <c r="O222" s="427">
        <f>-IF(AND(O$11&gt;=EOMONTH('Construction Budget'!$K19,0),O$11&lt;=EOMONTH('Construction Budget'!$M19,0)),('Construction Budget'!$G19+SUM($G222:N222))/ROUND(((EOMONTH('Construction Budget'!$M19,0)-EOMONTH(O$11,0))/30)+1,0),0)</f>
        <v>0</v>
      </c>
      <c r="P222" s="427">
        <f>-IF(AND(P$11&gt;=EOMONTH('Construction Budget'!$K19,0),P$11&lt;=EOMONTH('Construction Budget'!$M19,0)),('Construction Budget'!$G19+SUM($G222:O222))/ROUND(((EOMONTH('Construction Budget'!$M19,0)-EOMONTH(P$11,0))/30)+1,0),0)</f>
        <v>0</v>
      </c>
      <c r="Q222" s="427">
        <f>-IF(AND(Q$11&gt;=EOMONTH('Construction Budget'!$K19,0),Q$11&lt;=EOMONTH('Construction Budget'!$M19,0)),('Construction Budget'!$G19+SUM($G222:P222))/ROUND(((EOMONTH('Construction Budget'!$M19,0)-EOMONTH(Q$11,0))/30)+1,0),0)</f>
        <v>0</v>
      </c>
      <c r="R222" s="427">
        <f>-IF(AND(R$11&gt;=EOMONTH('Construction Budget'!$K19,0),R$11&lt;=EOMONTH('Construction Budget'!$M19,0)),('Construction Budget'!$G19+SUM($G222:Q222))/ROUND(((EOMONTH('Construction Budget'!$M19,0)-EOMONTH(R$11,0))/30)+1,0),0)</f>
        <v>0</v>
      </c>
      <c r="S222" s="427">
        <f>-IF(AND(S$11&gt;=EOMONTH('Construction Budget'!$K19,0),S$11&lt;=EOMONTH('Construction Budget'!$M19,0)),('Construction Budget'!$G19+SUM($G222:R222))/ROUND(((EOMONTH('Construction Budget'!$M19,0)-EOMONTH(S$11,0))/30)+1,0),0)</f>
        <v>0</v>
      </c>
      <c r="T222" s="427">
        <f>-IF(AND(T$11&gt;=EOMONTH('Construction Budget'!$K19,0),T$11&lt;=EOMONTH('Construction Budget'!$M19,0)),('Construction Budget'!$G19+SUM($G222:S222))/ROUND(((EOMONTH('Construction Budget'!$M19,0)-EOMONTH(T$11,0))/30)+1,0),0)</f>
        <v>0</v>
      </c>
      <c r="U222" s="427">
        <f>-IF(AND(U$11&gt;=EOMONTH('Construction Budget'!$K19,0),U$11&lt;=EOMONTH('Construction Budget'!$M19,0)),('Construction Budget'!$G19+SUM($G222:T222))/ROUND(((EOMONTH('Construction Budget'!$M19,0)-EOMONTH(U$11,0))/30)+1,0),0)</f>
        <v>0</v>
      </c>
      <c r="V222" s="427">
        <f>-IF(AND(V$11&gt;=EOMONTH('Construction Budget'!$K19,0),V$11&lt;=EOMONTH('Construction Budget'!$M19,0)),('Construction Budget'!$G19+SUM($G222:U222))/ROUND(((EOMONTH('Construction Budget'!$M19,0)-EOMONTH(V$11,0))/30)+1,0),0)</f>
        <v>0</v>
      </c>
      <c r="W222" s="427">
        <f>-IF(AND(W$11&gt;=EOMONTH('Construction Budget'!$K19,0),W$11&lt;=EOMONTH('Construction Budget'!$M19,0)),('Construction Budget'!$G19+SUM($G222:V222))/ROUND(((EOMONTH('Construction Budget'!$M19,0)-EOMONTH(W$11,0))/30)+1,0),0)</f>
        <v>0</v>
      </c>
      <c r="X222" s="427">
        <f>-IF(AND(X$11&gt;=EOMONTH('Construction Budget'!$K19,0),X$11&lt;=EOMONTH('Construction Budget'!$M19,0)),('Construction Budget'!$G19+SUM($G222:W222))/ROUND(((EOMONTH('Construction Budget'!$M19,0)-EOMONTH(X$11,0))/30)+1,0),0)</f>
        <v>0</v>
      </c>
      <c r="Y222" s="427">
        <f>-IF(AND(Y$11&gt;=EOMONTH('Construction Budget'!$K19,0),Y$11&lt;=EOMONTH('Construction Budget'!$M19,0)),('Construction Budget'!$G19+SUM($G222:X222))/ROUND(((EOMONTH('Construction Budget'!$M19,0)-EOMONTH(Y$11,0))/30)+1,0),0)</f>
        <v>0</v>
      </c>
      <c r="Z222" s="427">
        <f>-IF(AND(Z$11&gt;=EOMONTH('Construction Budget'!$K19,0),Z$11&lt;=EOMONTH('Construction Budget'!$M19,0)),('Construction Budget'!$G19+SUM($G222:Y222))/ROUND(((EOMONTH('Construction Budget'!$M19,0)-EOMONTH(Z$11,0))/30)+1,0),0)</f>
        <v>0</v>
      </c>
      <c r="AA222" s="427">
        <f>-IF(AND(AA$11&gt;=EOMONTH('Construction Budget'!$K19,0),AA$11&lt;=EOMONTH('Construction Budget'!$M19,0)),('Construction Budget'!$G19+SUM($G222:Z222))/ROUND(((EOMONTH('Construction Budget'!$M19,0)-EOMONTH(AA$11,0))/30)+1,0),0)</f>
        <v>0</v>
      </c>
      <c r="AB222" s="427">
        <f>-IF(AND(AB$11&gt;=EOMONTH('Construction Budget'!$K19,0),AB$11&lt;=EOMONTH('Construction Budget'!$M19,0)),('Construction Budget'!$G19+SUM($G222:AA222))/ROUND(((EOMONTH('Construction Budget'!$M19,0)-EOMONTH(AB$11,0))/30)+1,0),0)</f>
        <v>0</v>
      </c>
      <c r="AC222" s="427">
        <f>-IF(AND(AC$11&gt;=EOMONTH('Construction Budget'!$K19,0),AC$11&lt;=EOMONTH('Construction Budget'!$M19,0)),('Construction Budget'!$G19+SUM($G222:AB222))/ROUND(((EOMONTH('Construction Budget'!$M19,0)-EOMONTH(AC$11,0))/30)+1,0),0)</f>
        <v>0</v>
      </c>
      <c r="AD222" s="427">
        <f>-IF(AND(AD$11&gt;=EOMONTH('Construction Budget'!$K19,0),AD$11&lt;=EOMONTH('Construction Budget'!$M19,0)),('Construction Budget'!$G19+SUM($G222:AC222))/ROUND(((EOMONTH('Construction Budget'!$M19,0)-EOMONTH(AD$11,0))/30)+1,0),0)</f>
        <v>0</v>
      </c>
      <c r="AE222" s="427">
        <f>-IF(AND(AE$11&gt;=EOMONTH('Construction Budget'!$K19,0),AE$11&lt;=EOMONTH('Construction Budget'!$M19,0)),('Construction Budget'!$G19+SUM($G222:AD222))/ROUND(((EOMONTH('Construction Budget'!$M19,0)-EOMONTH(AE$11,0))/30)+1,0),0)</f>
        <v>0</v>
      </c>
      <c r="AF222" s="427">
        <f>-IF(AND(AF$11&gt;=EOMONTH('Construction Budget'!$K19,0),AF$11&lt;=EOMONTH('Construction Budget'!$M19,0)),('Construction Budget'!$G19+SUM($G222:AE222))/ROUND(((EOMONTH('Construction Budget'!$M19,0)-EOMONTH(AF$11,0))/30)+1,0),0)</f>
        <v>0</v>
      </c>
      <c r="AG222" s="427">
        <f>-IF(AND(AG$11&gt;=EOMONTH('Construction Budget'!$K19,0),AG$11&lt;=EOMONTH('Construction Budget'!$M19,0)),('Construction Budget'!$G19+SUM($G222:AF222))/ROUND(((EOMONTH('Construction Budget'!$M19,0)-EOMONTH(AG$11,0))/30)+1,0),0)</f>
        <v>0</v>
      </c>
      <c r="AH222" s="427">
        <f>-IF(AND(AH$11&gt;=EOMONTH('Construction Budget'!$K19,0),AH$11&lt;=EOMONTH('Construction Budget'!$M19,0)),('Construction Budget'!$G19+SUM($G222:AG222))/ROUND(((EOMONTH('Construction Budget'!$M19,0)-EOMONTH(AH$11,0))/30)+1,0),0)</f>
        <v>0</v>
      </c>
      <c r="AI222" s="427">
        <f>-IF(AND(AI$11&gt;=EOMONTH('Construction Budget'!$K19,0),AI$11&lt;=EOMONTH('Construction Budget'!$M19,0)),('Construction Budget'!$G19+SUM($G222:AH222))/ROUND(((EOMONTH('Construction Budget'!$M19,0)-EOMONTH(AI$11,0))/30)+1,0),0)</f>
        <v>0</v>
      </c>
      <c r="AJ222" s="427">
        <f>-IF(AND(AJ$11&gt;=EOMONTH('Construction Budget'!$K19,0),AJ$11&lt;=EOMONTH('Construction Budget'!$M19,0)),('Construction Budget'!$G19+SUM($G222:AI222))/ROUND(((EOMONTH('Construction Budget'!$M19,0)-EOMONTH(AJ$11,0))/30)+1,0),0)</f>
        <v>0</v>
      </c>
      <c r="AK222" s="427">
        <f>-IF(AND(AK$11&gt;=EOMONTH('Construction Budget'!$K19,0),AK$11&lt;=EOMONTH('Construction Budget'!$M19,0)),('Construction Budget'!$G19+SUM($G222:AJ222))/ROUND(((EOMONTH('Construction Budget'!$M19,0)-EOMONTH(AK$11,0))/30)+1,0),0)</f>
        <v>0</v>
      </c>
      <c r="AL222" s="427">
        <f>-IF(AND(AL$11&gt;=EOMONTH('Construction Budget'!$K19,0),AL$11&lt;=EOMONTH('Construction Budget'!$M19,0)),('Construction Budget'!$G19+SUM($G222:AK222))/ROUND(((EOMONTH('Construction Budget'!$M19,0)-EOMONTH(AL$11,0))/30)+1,0),0)</f>
        <v>0</v>
      </c>
      <c r="AM222" s="427">
        <f>-IF(AND(AM$11&gt;=EOMONTH('Construction Budget'!$K19,0),AM$11&lt;=EOMONTH('Construction Budget'!$M19,0)),('Construction Budget'!$G19+SUM($G222:AL222))/ROUND(((EOMONTH('Construction Budget'!$M19,0)-EOMONTH(AM$11,0))/30)+1,0),0)</f>
        <v>0</v>
      </c>
      <c r="AN222" s="427">
        <f>-IF(AND(AN$11&gt;=EOMONTH('Construction Budget'!$K19,0),AN$11&lt;=EOMONTH('Construction Budget'!$M19,0)),('Construction Budget'!$G19+SUM($G222:AM222))/ROUND(((EOMONTH('Construction Budget'!$M19,0)-EOMONTH(AN$11,0))/30)+1,0),0)</f>
        <v>0</v>
      </c>
      <c r="AO222" s="427">
        <f>-IF(AND(AO$11&gt;=EOMONTH('Construction Budget'!$K19,0),AO$11&lt;=EOMONTH('Construction Budget'!$M19,0)),('Construction Budget'!$G19+SUM($G222:AN222))/ROUND(((EOMONTH('Construction Budget'!$M19,0)-EOMONTH(AO$11,0))/30)+1,0),0)</f>
        <v>0</v>
      </c>
      <c r="AP222" s="427">
        <f>-IF(AND(AP$11&gt;=EOMONTH('Construction Budget'!$K19,0),AP$11&lt;=EOMONTH('Construction Budget'!$M19,0)),('Construction Budget'!$G19+SUM($G222:AO222))/ROUND(((EOMONTH('Construction Budget'!$M19,0)-EOMONTH(AP$11,0))/30)+1,0),0)</f>
        <v>0</v>
      </c>
      <c r="AQ222" s="427">
        <f>-IF(AND(AQ$11&gt;=EOMONTH('Construction Budget'!$K19,0),AQ$11&lt;=EOMONTH('Construction Budget'!$M19,0)),('Construction Budget'!$G19+SUM($G222:AP222))/ROUND(((EOMONTH('Construction Budget'!$M19,0)-EOMONTH(AQ$11,0))/30)+1,0),0)</f>
        <v>0</v>
      </c>
      <c r="AR222" s="427">
        <f>-IF(AND(AR$11&gt;=EOMONTH('Construction Budget'!$K19,0),AR$11&lt;=EOMONTH('Construction Budget'!$M19,0)),('Construction Budget'!$G19+SUM($G222:AQ222))/ROUND(((EOMONTH('Construction Budget'!$M19,0)-EOMONTH(AR$11,0))/30)+1,0),0)</f>
        <v>0</v>
      </c>
      <c r="AS222" s="427">
        <f>-IF(AND(AS$11&gt;=EOMONTH('Construction Budget'!$K19,0),AS$11&lt;=EOMONTH('Construction Budget'!$M19,0)),('Construction Budget'!$G19+SUM($G222:AR222))/ROUND(((EOMONTH('Construction Budget'!$M19,0)-EOMONTH(AS$11,0))/30)+1,0),0)</f>
        <v>0</v>
      </c>
      <c r="AT222" s="427">
        <f>-IF(AND(AT$11&gt;=EOMONTH('Construction Budget'!$K19,0),AT$11&lt;=EOMONTH('Construction Budget'!$M19,0)),('Construction Budget'!$G19+SUM($G222:AS222))/ROUND(((EOMONTH('Construction Budget'!$M19,0)-EOMONTH(AT$11,0))/30)+1,0),0)</f>
        <v>0</v>
      </c>
      <c r="AU222" s="427">
        <f>-IF(AND(AU$11&gt;=EOMONTH('Construction Budget'!$K19,0),AU$11&lt;=EOMONTH('Construction Budget'!$M19,0)),('Construction Budget'!$G19+SUM($G222:AT222))/ROUND(((EOMONTH('Construction Budget'!$M19,0)-EOMONTH(AU$11,0))/30)+1,0),0)</f>
        <v>0</v>
      </c>
      <c r="AV222" s="427">
        <f>-IF(AND(AV$11&gt;=EOMONTH('Construction Budget'!$K19,0),AV$11&lt;=EOMONTH('Construction Budget'!$M19,0)),('Construction Budget'!$G19+SUM($G222:AU222))/ROUND(((EOMONTH('Construction Budget'!$M19,0)-EOMONTH(AV$11,0))/30)+1,0),0)</f>
        <v>0</v>
      </c>
      <c r="AW222" s="427">
        <f>-IF(AND(AW$11&gt;=EOMONTH('Construction Budget'!$K19,0),AW$11&lt;=EOMONTH('Construction Budget'!$M19,0)),('Construction Budget'!$G19+SUM($G222:AV222))/ROUND(((EOMONTH('Construction Budget'!$M19,0)-EOMONTH(AW$11,0))/30)+1,0),0)</f>
        <v>0</v>
      </c>
      <c r="AX222" s="427">
        <f>-IF(AND(AX$11&gt;=EOMONTH('Construction Budget'!$K19,0),AX$11&lt;=EOMONTH('Construction Budget'!$M19,0)),('Construction Budget'!$G19+SUM($G222:AW222))/ROUND(((EOMONTH('Construction Budget'!$M19,0)-EOMONTH(AX$11,0))/30)+1,0),0)</f>
        <v>0</v>
      </c>
      <c r="AY222" s="427">
        <f>-IF(AND(AY$11&gt;=EOMONTH('Construction Budget'!$K19,0),AY$11&lt;=EOMONTH('Construction Budget'!$M19,0)),('Construction Budget'!$G19+SUM($G222:AX222))/ROUND(((EOMONTH('Construction Budget'!$M19,0)-EOMONTH(AY$11,0))/30)+1,0),0)</f>
        <v>0</v>
      </c>
      <c r="AZ222" s="427">
        <f>-IF(AND(AZ$11&gt;=EOMONTH('Construction Budget'!$K19,0),AZ$11&lt;=EOMONTH('Construction Budget'!$M19,0)),('Construction Budget'!$G19+SUM($G222:AY222))/ROUND(((EOMONTH('Construction Budget'!$M19,0)-EOMONTH(AZ$11,0))/30)+1,0),0)</f>
        <v>0</v>
      </c>
      <c r="BA222" s="427">
        <f>-IF(AND(BA$11&gt;=EOMONTH('Construction Budget'!$K19,0),BA$11&lt;=EOMONTH('Construction Budget'!$M19,0)),('Construction Budget'!$G19+SUM($G222:AZ222))/ROUND(((EOMONTH('Construction Budget'!$M19,0)-EOMONTH(BA$11,0))/30)+1,0),0)</f>
        <v>0</v>
      </c>
      <c r="BB222" s="427">
        <f>-IF(AND(BB$11&gt;=EOMONTH('Construction Budget'!$K19,0),BB$11&lt;=EOMONTH('Construction Budget'!$M19,0)),('Construction Budget'!$G19+SUM($G222:BA222))/ROUND(((EOMONTH('Construction Budget'!$M19,0)-EOMONTH(BB$11,0))/30)+1,0),0)</f>
        <v>0</v>
      </c>
      <c r="BC222" s="427">
        <f>-IF(AND(BC$11&gt;=EOMONTH('Construction Budget'!$K19,0),BC$11&lt;=EOMONTH('Construction Budget'!$M19,0)),('Construction Budget'!$G19+SUM($G222:BB222))/ROUND(((EOMONTH('Construction Budget'!$M19,0)-EOMONTH(BC$11,0))/30)+1,0),0)</f>
        <v>0</v>
      </c>
      <c r="BD222" s="427">
        <f>-IF(AND(BD$11&gt;=EOMONTH('Construction Budget'!$K19,0),BD$11&lt;=EOMONTH('Construction Budget'!$M19,0)),('Construction Budget'!$G19+SUM($G222:BC222))/ROUND(((EOMONTH('Construction Budget'!$M19,0)-EOMONTH(BD$11,0))/30)+1,0),0)</f>
        <v>0</v>
      </c>
      <c r="BE222" s="427">
        <f>-IF(AND(BE$11&gt;=EOMONTH('Construction Budget'!$K19,0),BE$11&lt;=EOMONTH('Construction Budget'!$M19,0)),('Construction Budget'!$G19+SUM($G222:BD222))/ROUND(((EOMONTH('Construction Budget'!$M19,0)-EOMONTH(BE$11,0))/30)+1,0),0)</f>
        <v>0</v>
      </c>
      <c r="BF222" s="427">
        <f>-IF(AND(BF$11&gt;=EOMONTH('Construction Budget'!$K19,0),BF$11&lt;=EOMONTH('Construction Budget'!$M19,0)),('Construction Budget'!$G19+SUM($G222:BE222))/ROUND(((EOMONTH('Construction Budget'!$M19,0)-EOMONTH(BF$11,0))/30)+1,0),0)</f>
        <v>0</v>
      </c>
      <c r="BG222" s="427">
        <f>-IF(AND(BG$11&gt;=EOMONTH('Construction Budget'!$K19,0),BG$11&lt;=EOMONTH('Construction Budget'!$M19,0)),('Construction Budget'!$G19+SUM($G222:BF222))/ROUND(((EOMONTH('Construction Budget'!$M19,0)-EOMONTH(BG$11,0))/30)+1,0),0)</f>
        <v>0</v>
      </c>
      <c r="BH222" s="427">
        <f>-IF(AND(BH$11&gt;=EOMONTH('Construction Budget'!$K19,0),BH$11&lt;=EOMONTH('Construction Budget'!$M19,0)),('Construction Budget'!$G19+SUM($G222:BG222))/ROUND(((EOMONTH('Construction Budget'!$M19,0)-EOMONTH(BH$11,0))/30)+1,0),0)</f>
        <v>0</v>
      </c>
      <c r="BI222" s="427">
        <f>-IF(AND(BI$11&gt;=EOMONTH('Construction Budget'!$K19,0),BI$11&lt;=EOMONTH('Construction Budget'!$M19,0)),('Construction Budget'!$G19+SUM($G222:BH222))/ROUND(((EOMONTH('Construction Budget'!$M19,0)-EOMONTH(BI$11,0))/30)+1,0),0)</f>
        <v>0</v>
      </c>
      <c r="BJ222" s="427">
        <f>-IF(AND(BJ$11&gt;=EOMONTH('Construction Budget'!$K19,0),BJ$11&lt;=EOMONTH('Construction Budget'!$M19,0)),('Construction Budget'!$G19+SUM($G222:BI222))/ROUND(((EOMONTH('Construction Budget'!$M19,0)-EOMONTH(BJ$11,0))/30)+1,0),0)</f>
        <v>0</v>
      </c>
      <c r="BK222" s="427">
        <f>-IF(AND(BK$11&gt;=EOMONTH('Construction Budget'!$K19,0),BK$11&lt;=EOMONTH('Construction Budget'!$M19,0)),('Construction Budget'!$G19+SUM($G222:BJ222))/ROUND(((EOMONTH('Construction Budget'!$M19,0)-EOMONTH(BK$11,0))/30)+1,0),0)</f>
        <v>0</v>
      </c>
      <c r="BL222" s="427">
        <f>-IF(AND(BL$11&gt;=EOMONTH('Construction Budget'!$K19,0),BL$11&lt;=EOMONTH('Construction Budget'!$M19,0)),('Construction Budget'!$G19+SUM($G222:BK222))/ROUND(((EOMONTH('Construction Budget'!$M19,0)-EOMONTH(BL$11,0))/30)+1,0),0)</f>
        <v>0</v>
      </c>
      <c r="BM222" s="427">
        <f>-IF(AND(BM$11&gt;=EOMONTH('Construction Budget'!$K19,0),BM$11&lt;=EOMONTH('Construction Budget'!$M19,0)),('Construction Budget'!$G19+SUM($G222:BL222))/ROUND(((EOMONTH('Construction Budget'!$M19,0)-EOMONTH(BM$11,0))/30)+1,0),0)</f>
        <v>0</v>
      </c>
      <c r="BN222" s="427">
        <f>-IF(AND(BN$11&gt;=EOMONTH('Construction Budget'!$K19,0),BN$11&lt;=EOMONTH('Construction Budget'!$M19,0)),('Construction Budget'!$G19+SUM($G222:BM222))/ROUND(((EOMONTH('Construction Budget'!$M19,0)-EOMONTH(BN$11,0))/30)+1,0),0)</f>
        <v>0</v>
      </c>
      <c r="BO222" s="427">
        <f>-IF(AND(BO$11&gt;=EOMONTH('Construction Budget'!$K19,0),BO$11&lt;=EOMONTH('Construction Budget'!$M19,0)),('Construction Budget'!$G19+SUM($G222:BN222))/ROUND(((EOMONTH('Construction Budget'!$M19,0)-EOMONTH(BO$11,0))/30)+1,0),0)</f>
        <v>0</v>
      </c>
      <c r="BP222" s="427">
        <f>-IF(AND(BP$11&gt;=EOMONTH('Construction Budget'!$K19,0),BP$11&lt;=EOMONTH('Construction Budget'!$M19,0)),('Construction Budget'!$G19+SUM($G222:BO222))/ROUND(((EOMONTH('Construction Budget'!$M19,0)-EOMONTH(BP$11,0))/30)+1,0),0)</f>
        <v>0</v>
      </c>
      <c r="BQ222" s="427">
        <f>-IF(AND(BQ$11&gt;=EOMONTH('Construction Budget'!$K19,0),BQ$11&lt;=EOMONTH('Construction Budget'!$M19,0)),('Construction Budget'!$G19+SUM($G222:BP222))/ROUND(((EOMONTH('Construction Budget'!$M19,0)-EOMONTH(BQ$11,0))/30)+1,0),0)</f>
        <v>0</v>
      </c>
      <c r="BR222" s="427">
        <f>-IF(AND(BR$11&gt;=EOMONTH('Construction Budget'!$K19,0),BR$11&lt;=EOMONTH('Construction Budget'!$M19,0)),('Construction Budget'!$G19+SUM($G222:BQ222))/ROUND(((EOMONTH('Construction Budget'!$M19,0)-EOMONTH(BR$11,0))/30)+1,0),0)</f>
        <v>0</v>
      </c>
      <c r="BS222" s="427">
        <f>-IF(AND(BS$11&gt;=EOMONTH('Construction Budget'!$K19,0),BS$11&lt;=EOMONTH('Construction Budget'!$M19,0)),('Construction Budget'!$G19+SUM($G222:BR222))/ROUND(((EOMONTH('Construction Budget'!$M19,0)-EOMONTH(BS$11,0))/30)+1,0),0)</f>
        <v>0</v>
      </c>
      <c r="BT222" s="427">
        <f>-IF(AND(BT$11&gt;=EOMONTH('Construction Budget'!$K19,0),BT$11&lt;=EOMONTH('Construction Budget'!$M19,0)),('Construction Budget'!$G19+SUM($G222:BS222))/ROUND(((EOMONTH('Construction Budget'!$M19,0)-EOMONTH(BT$11,0))/30)+1,0),0)</f>
        <v>0</v>
      </c>
      <c r="BU222" s="427">
        <f>-IF(AND(BU$11&gt;=EOMONTH('Construction Budget'!$K19,0),BU$11&lt;=EOMONTH('Construction Budget'!$M19,0)),('Construction Budget'!$G19+SUM($G222:BT222))/ROUND(((EOMONTH('Construction Budget'!$M19,0)-EOMONTH(BU$11,0))/30)+1,0),0)</f>
        <v>0</v>
      </c>
      <c r="BV222" s="427">
        <f>-IF(AND(BV$11&gt;=EOMONTH('Construction Budget'!$K19,0),BV$11&lt;=EOMONTH('Construction Budget'!$M19,0)),('Construction Budget'!$G19+SUM($G222:BU222))/ROUND(((EOMONTH('Construction Budget'!$M19,0)-EOMONTH(BV$11,0))/30)+1,0),0)</f>
        <v>0</v>
      </c>
      <c r="BW222" s="427">
        <f>-IF(AND(BW$11&gt;=EOMONTH('Construction Budget'!$K19,0),BW$11&lt;=EOMONTH('Construction Budget'!$M19,0)),('Construction Budget'!$G19+SUM($G222:BV222))/ROUND(((EOMONTH('Construction Budget'!$M19,0)-EOMONTH(BW$11,0))/30)+1,0),0)</f>
        <v>0</v>
      </c>
      <c r="BX222" s="427">
        <f>-IF(AND(BX$11&gt;=EOMONTH('Construction Budget'!$K19,0),BX$11&lt;=EOMONTH('Construction Budget'!$M19,0)),('Construction Budget'!$G19+SUM($G222:BW222))/ROUND(((EOMONTH('Construction Budget'!$M19,0)-EOMONTH(BX$11,0))/30)+1,0),0)</f>
        <v>0</v>
      </c>
      <c r="BY222" s="427">
        <f>-IF(AND(BY$11&gt;=EOMONTH('Construction Budget'!$K19,0),BY$11&lt;=EOMONTH('Construction Budget'!$M19,0)),('Construction Budget'!$G19+SUM($G222:BX222))/ROUND(((EOMONTH('Construction Budget'!$M19,0)-EOMONTH(BY$11,0))/30)+1,0),0)</f>
        <v>0</v>
      </c>
      <c r="BZ222" s="427">
        <f>-IF(AND(BZ$11&gt;=EOMONTH('Construction Budget'!$K19,0),BZ$11&lt;=EOMONTH('Construction Budget'!$M19,0)),('Construction Budget'!$G19+SUM($G222:BY222))/ROUND(((EOMONTH('Construction Budget'!$M19,0)-EOMONTH(BZ$11,0))/30)+1,0),0)</f>
        <v>0</v>
      </c>
      <c r="CA222" s="427">
        <f>-IF(AND(CA$11&gt;=EOMONTH('Construction Budget'!$K19,0),CA$11&lt;=EOMONTH('Construction Budget'!$M19,0)),('Construction Budget'!$G19+SUM($G222:BZ222))/ROUND(((EOMONTH('Construction Budget'!$M19,0)-EOMONTH(CA$11,0))/30)+1,0),0)</f>
        <v>0</v>
      </c>
      <c r="CB222" s="427">
        <f>-IF(AND(CB$11&gt;=EOMONTH('Construction Budget'!$K19,0),CB$11&lt;=EOMONTH('Construction Budget'!$M19,0)),('Construction Budget'!$G19+SUM($G222:CA222))/ROUND(((EOMONTH('Construction Budget'!$M19,0)-EOMONTH(CB$11,0))/30)+1,0),0)</f>
        <v>0</v>
      </c>
      <c r="CC222" s="427">
        <f>-IF(AND(CC$11&gt;=EOMONTH('Construction Budget'!$K19,0),CC$11&lt;=EOMONTH('Construction Budget'!$M19,0)),('Construction Budget'!$G19+SUM($G222:CB222))/ROUND(((EOMONTH('Construction Budget'!$M19,0)-EOMONTH(CC$11,0))/30)+1,0),0)</f>
        <v>0</v>
      </c>
      <c r="CD222" s="427">
        <f>-IF(AND(CD$11&gt;=EOMONTH('Construction Budget'!$K19,0),CD$11&lt;=EOMONTH('Construction Budget'!$M19,0)),('Construction Budget'!$G19+SUM($G222:CC222))/ROUND(((EOMONTH('Construction Budget'!$M19,0)-EOMONTH(CD$11,0))/30)+1,0),0)</f>
        <v>0</v>
      </c>
      <c r="CE222" s="427">
        <f>-IF(AND(CE$11&gt;=EOMONTH('Construction Budget'!$K19,0),CE$11&lt;=EOMONTH('Construction Budget'!$M19,0)),('Construction Budget'!$G19+SUM($G222:CD222))/ROUND(((EOMONTH('Construction Budget'!$M19,0)-EOMONTH(CE$11,0))/30)+1,0),0)</f>
        <v>0</v>
      </c>
      <c r="CF222" s="427">
        <f>-IF(AND(CF$11&gt;=EOMONTH('Construction Budget'!$K19,0),CF$11&lt;=EOMONTH('Construction Budget'!$M19,0)),('Construction Budget'!$G19+SUM($G222:CE222))/ROUND(((EOMONTH('Construction Budget'!$M19,0)-EOMONTH(CF$11,0))/30)+1,0),0)</f>
        <v>0</v>
      </c>
      <c r="CG222" s="427">
        <f>-IF(AND(CG$11&gt;=EOMONTH('Construction Budget'!$K19,0),CG$11&lt;=EOMONTH('Construction Budget'!$M19,0)),('Construction Budget'!$G19+SUM($G222:CF222))/ROUND(((EOMONTH('Construction Budget'!$M19,0)-EOMONTH(CG$11,0))/30)+1,0),0)</f>
        <v>0</v>
      </c>
      <c r="CH222" s="427">
        <f>-IF(AND(CH$11&gt;=EOMONTH('Construction Budget'!$K19,0),CH$11&lt;=EOMONTH('Construction Budget'!$M19,0)),('Construction Budget'!$G19+SUM($G222:CG222))/ROUND(((EOMONTH('Construction Budget'!$M19,0)-EOMONTH(CH$11,0))/30)+1,0),0)</f>
        <v>0</v>
      </c>
      <c r="CI222" s="427">
        <f>-IF(AND(CI$11&gt;=EOMONTH('Construction Budget'!$K19,0),CI$11&lt;=EOMONTH('Construction Budget'!$M19,0)),('Construction Budget'!$G19+SUM($G222:CH222))/ROUND(((EOMONTH('Construction Budget'!$M19,0)-EOMONTH(CI$11,0))/30)+1,0),0)</f>
        <v>0</v>
      </c>
      <c r="CJ222" s="427">
        <f>-IF(AND(CJ$11&gt;=EOMONTH('Construction Budget'!$K19,0),CJ$11&lt;=EOMONTH('Construction Budget'!$M19,0)),('Construction Budget'!$G19+SUM($G222:CI222))/ROUND(((EOMONTH('Construction Budget'!$M19,0)-EOMONTH(CJ$11,0))/30)+1,0),0)</f>
        <v>0</v>
      </c>
      <c r="CK222" s="427">
        <f>-IF(AND(CK$11&gt;=EOMONTH('Construction Budget'!$K19,0),CK$11&lt;=EOMONTH('Construction Budget'!$M19,0)),('Construction Budget'!$G19+SUM($G222:CJ222))/ROUND(((EOMONTH('Construction Budget'!$M19,0)-EOMONTH(CK$11,0))/30)+1,0),0)</f>
        <v>0</v>
      </c>
      <c r="CL222" s="427">
        <f>-IF(AND(CL$11&gt;=EOMONTH('Construction Budget'!$K19,0),CL$11&lt;=EOMONTH('Construction Budget'!$M19,0)),('Construction Budget'!$G19+SUM($G222:CK222))/ROUND(((EOMONTH('Construction Budget'!$M19,0)-EOMONTH(CL$11,0))/30)+1,0),0)</f>
        <v>0</v>
      </c>
      <c r="CM222" s="427">
        <f>-IF(AND(CM$11&gt;=EOMONTH('Construction Budget'!$K19,0),CM$11&lt;=EOMONTH('Construction Budget'!$M19,0)),('Construction Budget'!$G19+SUM($G222:CL222))/ROUND(((EOMONTH('Construction Budget'!$M19,0)-EOMONTH(CM$11,0))/30)+1,0),0)</f>
        <v>0</v>
      </c>
      <c r="CN222" s="427">
        <f>-IF(AND(CN$11&gt;=EOMONTH('Construction Budget'!$K19,0),CN$11&lt;=EOMONTH('Construction Budget'!$M19,0)),('Construction Budget'!$G19+SUM($G222:CM222))/ROUND(((EOMONTH('Construction Budget'!$M19,0)-EOMONTH(CN$11,0))/30)+1,0),0)</f>
        <v>0</v>
      </c>
      <c r="CO222" s="427">
        <f>-IF(AND(CO$11&gt;=EOMONTH('Construction Budget'!$K19,0),CO$11&lt;=EOMONTH('Construction Budget'!$M19,0)),('Construction Budget'!$G19+SUM($G222:CN222))/ROUND(((EOMONTH('Construction Budget'!$M19,0)-EOMONTH(CO$11,0))/30)+1,0),0)</f>
        <v>0</v>
      </c>
      <c r="CP222" s="427">
        <f>-IF(AND(CP$11&gt;=EOMONTH('Construction Budget'!$K19,0),CP$11&lt;=EOMONTH('Construction Budget'!$M19,0)),('Construction Budget'!$G19+SUM($G222:CO222))/ROUND(((EOMONTH('Construction Budget'!$M19,0)-EOMONTH(CP$11,0))/30)+1,0),0)</f>
        <v>0</v>
      </c>
      <c r="CQ222" s="427">
        <f>-IF(AND(CQ$11&gt;=EOMONTH('Construction Budget'!$K19,0),CQ$11&lt;=EOMONTH('Construction Budget'!$M19,0)),('Construction Budget'!$G19+SUM($G222:CP222))/ROUND(((EOMONTH('Construction Budget'!$M19,0)-EOMONTH(CQ$11,0))/30)+1,0),0)</f>
        <v>0</v>
      </c>
      <c r="CR222" s="427">
        <f>-IF(AND(CR$11&gt;=EOMONTH('Construction Budget'!$K19,0),CR$11&lt;=EOMONTH('Construction Budget'!$M19,0)),('Construction Budget'!$G19+SUM($G222:CQ222))/ROUND(((EOMONTH('Construction Budget'!$M19,0)-EOMONTH(CR$11,0))/30)+1,0),0)</f>
        <v>0</v>
      </c>
      <c r="CS222" s="427">
        <f>-IF(AND(CS$11&gt;=EOMONTH('Construction Budget'!$K19,0),CS$11&lt;=EOMONTH('Construction Budget'!$M19,0)),('Construction Budget'!$G19+SUM($G222:CR222))/ROUND(((EOMONTH('Construction Budget'!$M19,0)-EOMONTH(CS$11,0))/30)+1,0),0)</f>
        <v>0</v>
      </c>
      <c r="CT222" s="427">
        <f>-IF(AND(CT$11&gt;=EOMONTH('Construction Budget'!$K19,0),CT$11&lt;=EOMONTH('Construction Budget'!$M19,0)),('Construction Budget'!$G19+SUM($G222:CS222))/ROUND(((EOMONTH('Construction Budget'!$M19,0)-EOMONTH(CT$11,0))/30)+1,0),0)</f>
        <v>0</v>
      </c>
      <c r="CU222" s="427">
        <f>-IF(AND(CU$11&gt;=EOMONTH('Construction Budget'!$K19,0),CU$11&lt;=EOMONTH('Construction Budget'!$M19,0)),('Construction Budget'!$G19+SUM($G222:CT222))/ROUND(((EOMONTH('Construction Budget'!$M19,0)-EOMONTH(CU$11,0))/30)+1,0),0)</f>
        <v>0</v>
      </c>
      <c r="CV222" s="427">
        <f>-IF(AND(CV$11&gt;=EOMONTH('Construction Budget'!$K19,0),CV$11&lt;=EOMONTH('Construction Budget'!$M19,0)),('Construction Budget'!$G19+SUM($G222:CU222))/ROUND(((EOMONTH('Construction Budget'!$M19,0)-EOMONTH(CV$11,0))/30)+1,0),0)</f>
        <v>0</v>
      </c>
      <c r="CW222" s="427">
        <f>-IF(AND(CW$11&gt;=EOMONTH('Construction Budget'!$K19,0),CW$11&lt;=EOMONTH('Construction Budget'!$M19,0)),('Construction Budget'!$G19+SUM($G222:CV222))/ROUND(((EOMONTH('Construction Budget'!$M19,0)-EOMONTH(CW$11,0))/30)+1,0),0)</f>
        <v>0</v>
      </c>
      <c r="CX222" s="427">
        <f>-IF(AND(CX$11&gt;=EOMONTH('Construction Budget'!$K19,0),CX$11&lt;=EOMONTH('Construction Budget'!$M19,0)),('Construction Budget'!$G19+SUM($G222:CW222))/ROUND(((EOMONTH('Construction Budget'!$M19,0)-EOMONTH(CX$11,0))/30)+1,0),0)</f>
        <v>0</v>
      </c>
      <c r="CY222" s="427">
        <f>-IF(AND(CY$11&gt;=EOMONTH('Construction Budget'!$K19,0),CY$11&lt;=EOMONTH('Construction Budget'!$M19,0)),('Construction Budget'!$G19+SUM($G222:CX222))/ROUND(((EOMONTH('Construction Budget'!$M19,0)-EOMONTH(CY$11,0))/30)+1,0),0)</f>
        <v>0</v>
      </c>
      <c r="CZ222" s="427">
        <f>-IF(AND(CZ$11&gt;=EOMONTH('Construction Budget'!$K19,0),CZ$11&lt;=EOMONTH('Construction Budget'!$M19,0)),('Construction Budget'!$G19+SUM($G222:CY222))/ROUND(((EOMONTH('Construction Budget'!$M19,0)-EOMONTH(CZ$11,0))/30)+1,0),0)</f>
        <v>0</v>
      </c>
      <c r="DA222" s="427">
        <f>-IF(AND(DA$11&gt;=EOMONTH('Construction Budget'!$K19,0),DA$11&lt;=EOMONTH('Construction Budget'!$M19,0)),('Construction Budget'!$G19+SUM($G222:CZ222))/ROUND(((EOMONTH('Construction Budget'!$M19,0)-EOMONTH(DA$11,0))/30)+1,0),0)</f>
        <v>0</v>
      </c>
      <c r="DB222" s="427">
        <f>-IF(AND(DB$11&gt;=EOMONTH('Construction Budget'!$K19,0),DB$11&lt;=EOMONTH('Construction Budget'!$M19,0)),('Construction Budget'!$G19+SUM($G222:DA222))/ROUND(((EOMONTH('Construction Budget'!$M19,0)-EOMONTH(DB$11,0))/30)+1,0),0)</f>
        <v>0</v>
      </c>
      <c r="DC222" s="427">
        <f>-IF(AND(DC$11&gt;=EOMONTH('Construction Budget'!$K19,0),DC$11&lt;=EOMONTH('Construction Budget'!$M19,0)),('Construction Budget'!$G19+SUM($G222:DB222))/ROUND(((EOMONTH('Construction Budget'!$M19,0)-EOMONTH(DC$11,0))/30)+1,0),0)</f>
        <v>0</v>
      </c>
      <c r="DD222" s="427">
        <f>-IF(AND(DD$11&gt;=EOMONTH('Construction Budget'!$K19,0),DD$11&lt;=EOMONTH('Construction Budget'!$M19,0)),('Construction Budget'!$G19+SUM($G222:DC222))/ROUND(((EOMONTH('Construction Budget'!$M19,0)-EOMONTH(DD$11,0))/30)+1,0),0)</f>
        <v>0</v>
      </c>
      <c r="DE222" s="427">
        <f>-IF(AND(DE$11&gt;=EOMONTH('Construction Budget'!$K19,0),DE$11&lt;=EOMONTH('Construction Budget'!$M19,0)),('Construction Budget'!$G19+SUM($G222:DD222))/ROUND(((EOMONTH('Construction Budget'!$M19,0)-EOMONTH(DE$11,0))/30)+1,0),0)</f>
        <v>0</v>
      </c>
      <c r="DF222" s="427">
        <f>-IF(AND(DF$11&gt;=EOMONTH('Construction Budget'!$K19,0),DF$11&lt;=EOMONTH('Construction Budget'!$M19,0)),('Construction Budget'!$G19+SUM($G222:DE222))/ROUND(((EOMONTH('Construction Budget'!$M19,0)-EOMONTH(DF$11,0))/30)+1,0),0)</f>
        <v>0</v>
      </c>
      <c r="DG222" s="427">
        <f>-IF(AND(DG$11&gt;=EOMONTH('Construction Budget'!$K19,0),DG$11&lt;=EOMONTH('Construction Budget'!$M19,0)),('Construction Budget'!$G19+SUM($G222:DF222))/ROUND(((EOMONTH('Construction Budget'!$M19,0)-EOMONTH(DG$11,0))/30)+1,0),0)</f>
        <v>0</v>
      </c>
      <c r="DH222" s="427">
        <f>-IF(AND(DH$11&gt;=EOMONTH('Construction Budget'!$K19,0),DH$11&lt;=EOMONTH('Construction Budget'!$M19,0)),('Construction Budget'!$G19+SUM($G222:DG222))/ROUND(((EOMONTH('Construction Budget'!$M19,0)-EOMONTH(DH$11,0))/30)+1,0),0)</f>
        <v>0</v>
      </c>
      <c r="DI222" s="427">
        <f>-IF(AND(DI$11&gt;=EOMONTH('Construction Budget'!$K19,0),DI$11&lt;=EOMONTH('Construction Budget'!$M19,0)),('Construction Budget'!$G19+SUM($G222:DH222))/ROUND(((EOMONTH('Construction Budget'!$M19,0)-EOMONTH(DI$11,0))/30)+1,0),0)</f>
        <v>0</v>
      </c>
      <c r="DJ222" s="427">
        <f>-IF(AND(DJ$11&gt;=EOMONTH('Construction Budget'!$K19,0),DJ$11&lt;=EOMONTH('Construction Budget'!$M19,0)),('Construction Budget'!$G19+SUM($G222:DI222))/ROUND(((EOMONTH('Construction Budget'!$M19,0)-EOMONTH(DJ$11,0))/30)+1,0),0)</f>
        <v>0</v>
      </c>
      <c r="DK222" s="427">
        <f>-IF(AND(DK$11&gt;=EOMONTH('Construction Budget'!$K19,0),DK$11&lt;=EOMONTH('Construction Budget'!$M19,0)),('Construction Budget'!$G19+SUM($G222:DJ222))/ROUND(((EOMONTH('Construction Budget'!$M19,0)-EOMONTH(DK$11,0))/30)+1,0),0)</f>
        <v>0</v>
      </c>
      <c r="DL222" s="427">
        <f>-IF(AND(DL$11&gt;=EOMONTH('Construction Budget'!$K19,0),DL$11&lt;=EOMONTH('Construction Budget'!$M19,0)),('Construction Budget'!$G19+SUM($G222:DK222))/ROUND(((EOMONTH('Construction Budget'!$M19,0)-EOMONTH(DL$11,0))/30)+1,0),0)</f>
        <v>0</v>
      </c>
      <c r="DM222" s="427">
        <f>-IF(AND(DM$11&gt;=EOMONTH('Construction Budget'!$K19,0),DM$11&lt;=EOMONTH('Construction Budget'!$M19,0)),('Construction Budget'!$G19+SUM($G222:DL222))/ROUND(((EOMONTH('Construction Budget'!$M19,0)-EOMONTH(DM$11,0))/30)+1,0),0)</f>
        <v>0</v>
      </c>
      <c r="DN222" s="427">
        <f>-IF(AND(DN$11&gt;=EOMONTH('Construction Budget'!$K19,0),DN$11&lt;=EOMONTH('Construction Budget'!$M19,0)),('Construction Budget'!$G19+SUM($G222:DM222))/ROUND(((EOMONTH('Construction Budget'!$M19,0)-EOMONTH(DN$11,0))/30)+1,0),0)</f>
        <v>0</v>
      </c>
      <c r="DO222" s="427">
        <f>-IF(AND(DO$11&gt;=EOMONTH('Construction Budget'!$K19,0),DO$11&lt;=EOMONTH('Construction Budget'!$M19,0)),('Construction Budget'!$G19+SUM($G222:DN222))/ROUND(((EOMONTH('Construction Budget'!$M19,0)-EOMONTH(DO$11,0))/30)+1,0),0)</f>
        <v>0</v>
      </c>
      <c r="DP222" s="427">
        <f>-IF(AND(DP$11&gt;=EOMONTH('Construction Budget'!$K19,0),DP$11&lt;=EOMONTH('Construction Budget'!$M19,0)),('Construction Budget'!$G19+SUM($G222:DO222))/ROUND(((EOMONTH('Construction Budget'!$M19,0)-EOMONTH(DP$11,0))/30)+1,0),0)</f>
        <v>0</v>
      </c>
      <c r="DQ222" s="427">
        <f>-IF(AND(DQ$11&gt;=EOMONTH('Construction Budget'!$K19,0),DQ$11&lt;=EOMONTH('Construction Budget'!$M19,0)),('Construction Budget'!$G19+SUM($G222:DP222))/ROUND(((EOMONTH('Construction Budget'!$M19,0)-EOMONTH(DQ$11,0))/30)+1,0),0)</f>
        <v>0</v>
      </c>
      <c r="DR222" s="427">
        <f>-IF(AND(DR$11&gt;=EOMONTH('Construction Budget'!$K19,0),DR$11&lt;=EOMONTH('Construction Budget'!$M19,0)),('Construction Budget'!$G19+SUM($G222:DQ222))/ROUND(((EOMONTH('Construction Budget'!$M19,0)-EOMONTH(DR$11,0))/30)+1,0),0)</f>
        <v>0</v>
      </c>
      <c r="DS222" s="427">
        <f>-IF(AND(DS$11&gt;=EOMONTH('Construction Budget'!$K19,0),DS$11&lt;=EOMONTH('Construction Budget'!$M19,0)),('Construction Budget'!$G19+SUM($G222:DR222))/ROUND(((EOMONTH('Construction Budget'!$M19,0)-EOMONTH(DS$11,0))/30)+1,0),0)</f>
        <v>0</v>
      </c>
      <c r="DT222" s="427">
        <f>-IF(AND(DT$11&gt;=EOMONTH('Construction Budget'!$K19,0),DT$11&lt;=EOMONTH('Construction Budget'!$M19,0)),('Construction Budget'!$G19+SUM($G222:DS222))/ROUND(((EOMONTH('Construction Budget'!$M19,0)-EOMONTH(DT$11,0))/30)+1,0),0)</f>
        <v>0</v>
      </c>
      <c r="DU222" s="427">
        <f>-IF(AND(DU$11&gt;=EOMONTH('Construction Budget'!$K19,0),DU$11&lt;=EOMONTH('Construction Budget'!$M19,0)),('Construction Budget'!$G19+SUM($G222:DT222))/ROUND(((EOMONTH('Construction Budget'!$M19,0)-EOMONTH(DU$11,0))/30)+1,0),0)</f>
        <v>0</v>
      </c>
      <c r="DV222" s="427">
        <f>-IF(AND(DV$11&gt;=EOMONTH('Construction Budget'!$K19,0),DV$11&lt;=EOMONTH('Construction Budget'!$M19,0)),('Construction Budget'!$G19+SUM($G222:DU222))/ROUND(((EOMONTH('Construction Budget'!$M19,0)-EOMONTH(DV$11,0))/30)+1,0),0)</f>
        <v>0</v>
      </c>
      <c r="DW222" s="427">
        <f>-IF(AND(DW$11&gt;=EOMONTH('Construction Budget'!$K19,0),DW$11&lt;=EOMONTH('Construction Budget'!$M19,0)),('Construction Budget'!$G19+SUM($G222:DV222))/ROUND(((EOMONTH('Construction Budget'!$M19,0)-EOMONTH(DW$11,0))/30)+1,0),0)</f>
        <v>0</v>
      </c>
      <c r="DX222" s="427">
        <f>-IF(AND(DX$11&gt;=EOMONTH('Construction Budget'!$K19,0),DX$11&lt;=EOMONTH('Construction Budget'!$M19,0)),('Construction Budget'!$G19+SUM($G222:DW222))/ROUND(((EOMONTH('Construction Budget'!$M19,0)-EOMONTH(DX$11,0))/30)+1,0),0)</f>
        <v>0</v>
      </c>
      <c r="DY222" s="427">
        <f>-IF(AND(DY$11&gt;=EOMONTH('Construction Budget'!$K19,0),DY$11&lt;=EOMONTH('Construction Budget'!$M19,0)),('Construction Budget'!$G19+SUM($G222:DX222))/ROUND(((EOMONTH('Construction Budget'!$M19,0)-EOMONTH(DY$11,0))/30)+1,0),0)</f>
        <v>0</v>
      </c>
      <c r="DZ222" s="427">
        <f>-IF(AND(DZ$11&gt;=EOMONTH('Construction Budget'!$K19,0),DZ$11&lt;=EOMONTH('Construction Budget'!$M19,0)),('Construction Budget'!$G19+SUM($G222:DY222))/ROUND(((EOMONTH('Construction Budget'!$M19,0)-EOMONTH(DZ$11,0))/30)+1,0),0)</f>
        <v>0</v>
      </c>
      <c r="EA222" s="427">
        <f>-IF(AND(EA$11&gt;=EOMONTH('Construction Budget'!$K19,0),EA$11&lt;=EOMONTH('Construction Budget'!$M19,0)),('Construction Budget'!$G19+SUM($G222:DZ222))/ROUND(((EOMONTH('Construction Budget'!$M19,0)-EOMONTH(EA$11,0))/30)+1,0),0)</f>
        <v>0</v>
      </c>
      <c r="EB222" s="427">
        <f>-IF(AND(EB$11&gt;=EOMONTH('Construction Budget'!$K19,0),EB$11&lt;=EOMONTH('Construction Budget'!$M19,0)),('Construction Budget'!$G19+SUM($G222:EA222))/ROUND(((EOMONTH('Construction Budget'!$M19,0)-EOMONTH(EB$11,0))/30)+1,0),0)</f>
        <v>0</v>
      </c>
      <c r="EC222" s="427">
        <f>-IF(AND(EC$11&gt;=EOMONTH('Construction Budget'!$K19,0),EC$11&lt;=EOMONTH('Construction Budget'!$M19,0)),('Construction Budget'!$G19+SUM($G222:EB222))/ROUND(((EOMONTH('Construction Budget'!$M19,0)-EOMONTH(EC$11,0))/30)+1,0),0)</f>
        <v>0</v>
      </c>
      <c r="ED222" s="427">
        <f>-IF(AND(ED$11&gt;=EOMONTH('Construction Budget'!$K19,0),ED$11&lt;=EOMONTH('Construction Budget'!$M19,0)),('Construction Budget'!$G19+SUM($G222:EC222))/ROUND(((EOMONTH('Construction Budget'!$M19,0)-EOMONTH(ED$11,0))/30)+1,0),0)</f>
        <v>0</v>
      </c>
      <c r="EE222" s="427">
        <f>-IF(AND(EE$11&gt;=EOMONTH('Construction Budget'!$K19,0),EE$11&lt;=EOMONTH('Construction Budget'!$M19,0)),('Construction Budget'!$G19+SUM($G222:ED222))/ROUND(((EOMONTH('Construction Budget'!$M19,0)-EOMONTH(EE$11,0))/30)+1,0),0)</f>
        <v>0</v>
      </c>
      <c r="EF222" s="427">
        <f>-IF(AND(EF$11&gt;=EOMONTH('Construction Budget'!$K19,0),EF$11&lt;=EOMONTH('Construction Budget'!$M19,0)),('Construction Budget'!$G19+SUM($G222:EE222))/ROUND(((EOMONTH('Construction Budget'!$M19,0)-EOMONTH(EF$11,0))/30)+1,0),0)</f>
        <v>0</v>
      </c>
      <c r="EG222" s="427">
        <f>-IF(AND(EG$11&gt;=EOMONTH('Construction Budget'!$K19,0),EG$11&lt;=EOMONTH('Construction Budget'!$M19,0)),('Construction Budget'!$G19+SUM($G222:EF222))/ROUND(((EOMONTH('Construction Budget'!$M19,0)-EOMONTH(EG$11,0))/30)+1,0),0)</f>
        <v>0</v>
      </c>
      <c r="EH222" s="427">
        <f>-IF(AND(EH$11&gt;=EOMONTH('Construction Budget'!$K19,0),EH$11&lt;=EOMONTH('Construction Budget'!$M19,0)),('Construction Budget'!$G19+SUM($G222:EG222))/ROUND(((EOMONTH('Construction Budget'!$M19,0)-EOMONTH(EH$11,0))/30)+1,0),0)</f>
        <v>0</v>
      </c>
      <c r="EI222" s="427">
        <f>-IF(AND(EI$11&gt;=EOMONTH('Construction Budget'!$K19,0),EI$11&lt;=EOMONTH('Construction Budget'!$M19,0)),('Construction Budget'!$G19+SUM($G222:EH222))/ROUND(((EOMONTH('Construction Budget'!$M19,0)-EOMONTH(EI$11,0))/30)+1,0),0)</f>
        <v>0</v>
      </c>
      <c r="EJ222" s="427">
        <f>-IF(AND(EJ$11&gt;=EOMONTH('Construction Budget'!$K19,0),EJ$11&lt;=EOMONTH('Construction Budget'!$M19,0)),('Construction Budget'!$G19+SUM($G222:EI222))/ROUND(((EOMONTH('Construction Budget'!$M19,0)-EOMONTH(EJ$11,0))/30)+1,0),0)</f>
        <v>0</v>
      </c>
      <c r="EK222" s="427">
        <f>-IF(AND(EK$11&gt;=EOMONTH('Construction Budget'!$K19,0),EK$11&lt;=EOMONTH('Construction Budget'!$M19,0)),('Construction Budget'!$G19+SUM($G222:EJ222))/ROUND(((EOMONTH('Construction Budget'!$M19,0)-EOMONTH(EK$11,0))/30)+1,0),0)</f>
        <v>0</v>
      </c>
      <c r="EL222" s="427">
        <f>-IF(AND(EL$11&gt;=EOMONTH('Construction Budget'!$K19,0),EL$11&lt;=EOMONTH('Construction Budget'!$M19,0)),('Construction Budget'!$G19+SUM($G222:EK222))/ROUND(((EOMONTH('Construction Budget'!$M19,0)-EOMONTH(EL$11,0))/30)+1,0),0)</f>
        <v>0</v>
      </c>
      <c r="EM222" s="427">
        <f>-IF(AND(EM$11&gt;=EOMONTH('Construction Budget'!$K19,0),EM$11&lt;=EOMONTH('Construction Budget'!$M19,0)),('Construction Budget'!$G19+SUM($G222:EL222))/ROUND(((EOMONTH('Construction Budget'!$M19,0)-EOMONTH(EM$11,0))/30)+1,0),0)</f>
        <v>0</v>
      </c>
      <c r="EN222" s="427">
        <f>-IF(AND(EN$11&gt;=EOMONTH('Construction Budget'!$K19,0),EN$11&lt;=EOMONTH('Construction Budget'!$M19,0)),('Construction Budget'!$G19+SUM($G222:EM222))/ROUND(((EOMONTH('Construction Budget'!$M19,0)-EOMONTH(EN$11,0))/30)+1,0),0)</f>
        <v>0</v>
      </c>
      <c r="EO222" s="427">
        <f>-IF(AND(EO$11&gt;=EOMONTH('Construction Budget'!$K19,0),EO$11&lt;=EOMONTH('Construction Budget'!$M19,0)),('Construction Budget'!$G19+SUM($G222:EN222))/ROUND(((EOMONTH('Construction Budget'!$M19,0)-EOMONTH(EO$11,0))/30)+1,0),0)</f>
        <v>0</v>
      </c>
      <c r="EP222" s="427">
        <f>-IF(AND(EP$11&gt;=EOMONTH('Construction Budget'!$K19,0),EP$11&lt;=EOMONTH('Construction Budget'!$M19,0)),('Construction Budget'!$G19+SUM($G222:EO222))/ROUND(((EOMONTH('Construction Budget'!$M19,0)-EOMONTH(EP$11,0))/30)+1,0),0)</f>
        <v>0</v>
      </c>
      <c r="EQ222" s="427">
        <f>-IF(AND(EQ$11&gt;=EOMONTH('Construction Budget'!$K19,0),EQ$11&lt;=EOMONTH('Construction Budget'!$M19,0)),('Construction Budget'!$G19+SUM($G222:EP222))/ROUND(((EOMONTH('Construction Budget'!$M19,0)-EOMONTH(EQ$11,0))/30)+1,0),0)</f>
        <v>0</v>
      </c>
      <c r="ER222" s="427">
        <f>-IF(AND(ER$11&gt;=EOMONTH('Construction Budget'!$K19,0),ER$11&lt;=EOMONTH('Construction Budget'!$M19,0)),('Construction Budget'!$G19+SUM($G222:EQ222))/ROUND(((EOMONTH('Construction Budget'!$M19,0)-EOMONTH(ER$11,0))/30)+1,0),0)</f>
        <v>0</v>
      </c>
      <c r="ES222" s="427">
        <f>-IF(AND(ES$11&gt;=EOMONTH('Construction Budget'!$K19,0),ES$11&lt;=EOMONTH('Construction Budget'!$M19,0)),('Construction Budget'!$G19+SUM($G222:ER222))/ROUND(((EOMONTH('Construction Budget'!$M19,0)-EOMONTH(ES$11,0))/30)+1,0),0)</f>
        <v>0</v>
      </c>
      <c r="ET222" s="427">
        <f>-IF(AND(ET$11&gt;=EOMONTH('Construction Budget'!$K19,0),ET$11&lt;=EOMONTH('Construction Budget'!$M19,0)),('Construction Budget'!$G19+SUM($G222:ES222))/ROUND(((EOMONTH('Construction Budget'!$M19,0)-EOMONTH(ET$11,0))/30)+1,0),0)</f>
        <v>0</v>
      </c>
      <c r="EU222" s="427">
        <f>-IF(AND(EU$11&gt;=EOMONTH('Construction Budget'!$K19,0),EU$11&lt;=EOMONTH('Construction Budget'!$M19,0)),('Construction Budget'!$G19+SUM($G222:ET222))/ROUND(((EOMONTH('Construction Budget'!$M19,0)-EOMONTH(EU$11,0))/30)+1,0),0)</f>
        <v>0</v>
      </c>
      <c r="EV222" s="427">
        <f>-IF(AND(EV$11&gt;=EOMONTH('Construction Budget'!$K19,0),EV$11&lt;=EOMONTH('Construction Budget'!$M19,0)),('Construction Budget'!$G19+SUM($G222:EU222))/ROUND(((EOMONTH('Construction Budget'!$M19,0)-EOMONTH(EV$11,0))/30)+1,0),0)</f>
        <v>0</v>
      </c>
      <c r="EW222" s="427">
        <f>-IF(AND(EW$11&gt;=EOMONTH('Construction Budget'!$K19,0),EW$11&lt;=EOMONTH('Construction Budget'!$M19,0)),('Construction Budget'!$G19+SUM($G222:EV222))/ROUND(((EOMONTH('Construction Budget'!$M19,0)-EOMONTH(EW$11,0))/30)+1,0),0)</f>
        <v>0</v>
      </c>
      <c r="EX222" s="427">
        <f>-IF(AND(EX$11&gt;=EOMONTH('Construction Budget'!$K19,0),EX$11&lt;=EOMONTH('Construction Budget'!$M19,0)),('Construction Budget'!$G19+SUM($G222:EW222))/ROUND(((EOMONTH('Construction Budget'!$M19,0)-EOMONTH(EX$11,0))/30)+1,0),0)</f>
        <v>0</v>
      </c>
      <c r="EY222" s="427">
        <f>-IF(AND(EY$11&gt;=EOMONTH('Construction Budget'!$K19,0),EY$11&lt;=EOMONTH('Construction Budget'!$M19,0)),('Construction Budget'!$G19+SUM($G222:EX222))/ROUND(((EOMONTH('Construction Budget'!$M19,0)-EOMONTH(EY$11,0))/30)+1,0),0)</f>
        <v>0</v>
      </c>
      <c r="EZ222" s="427">
        <f>-IF(AND(EZ$11&gt;=EOMONTH('Construction Budget'!$K19,0),EZ$11&lt;=EOMONTH('Construction Budget'!$M19,0)),('Construction Budget'!$G19+SUM($G222:EY222))/ROUND(((EOMONTH('Construction Budget'!$M19,0)-EOMONTH(EZ$11,0))/30)+1,0),0)</f>
        <v>0</v>
      </c>
      <c r="FA222" s="427">
        <f>-IF(AND(FA$11&gt;=EOMONTH('Construction Budget'!$K19,0),FA$11&lt;=EOMONTH('Construction Budget'!$M19,0)),('Construction Budget'!$G19+SUM($G222:EZ222))/ROUND(((EOMONTH('Construction Budget'!$M19,0)-EOMONTH(FA$11,0))/30)+1,0),0)</f>
        <v>0</v>
      </c>
      <c r="FB222" s="427">
        <f>-IF(AND(FB$11&gt;=EOMONTH('Construction Budget'!$K19,0),FB$11&lt;=EOMONTH('Construction Budget'!$M19,0)),('Construction Budget'!$G19+SUM($G222:FA222))/ROUND(((EOMONTH('Construction Budget'!$M19,0)-EOMONTH(FB$11,0))/30)+1,0),0)</f>
        <v>0</v>
      </c>
      <c r="FC222" s="427">
        <f>-IF(AND(FC$11&gt;=EOMONTH('Construction Budget'!$K19,0),FC$11&lt;=EOMONTH('Construction Budget'!$M19,0)),('Construction Budget'!$G19+SUM($G222:FB222))/ROUND(((EOMONTH('Construction Budget'!$M19,0)-EOMONTH(FC$11,0))/30)+1,0),0)</f>
        <v>0</v>
      </c>
      <c r="FD222" s="427">
        <f>-IF(AND(FD$11&gt;=EOMONTH('Construction Budget'!$K19,0),FD$11&lt;=EOMONTH('Construction Budget'!$M19,0)),('Construction Budget'!$G19+SUM($G222:FC222))/ROUND(((EOMONTH('Construction Budget'!$M19,0)-EOMONTH(FD$11,0))/30)+1,0),0)</f>
        <v>0</v>
      </c>
      <c r="FE222" s="427">
        <f>-IF(AND(FE$11&gt;=EOMONTH('Construction Budget'!$K19,0),FE$11&lt;=EOMONTH('Construction Budget'!$M19,0)),('Construction Budget'!$G19+SUM($G222:FD222))/ROUND(((EOMONTH('Construction Budget'!$M19,0)-EOMONTH(FE$11,0))/30)+1,0),0)</f>
        <v>0</v>
      </c>
      <c r="FF222" s="427">
        <f>-IF(AND(FF$11&gt;=EOMONTH('Construction Budget'!$K19,0),FF$11&lt;=EOMONTH('Construction Budget'!$M19,0)),('Construction Budget'!$G19+SUM($G222:FE222))/ROUND(((EOMONTH('Construction Budget'!$M19,0)-EOMONTH(FF$11,0))/30)+1,0),0)</f>
        <v>0</v>
      </c>
      <c r="FG222" s="427">
        <f>-IF(AND(FG$11&gt;=EOMONTH('Construction Budget'!$K19,0),FG$11&lt;=EOMONTH('Construction Budget'!$M19,0)),('Construction Budget'!$G19+SUM($G222:FF222))/ROUND(((EOMONTH('Construction Budget'!$M19,0)-EOMONTH(FG$11,0))/30)+1,0),0)</f>
        <v>0</v>
      </c>
      <c r="FH222" s="427">
        <f>-IF(AND(FH$11&gt;=EOMONTH('Construction Budget'!$K19,0),FH$11&lt;=EOMONTH('Construction Budget'!$M19,0)),('Construction Budget'!$G19+SUM($G222:FG222))/ROUND(((EOMONTH('Construction Budget'!$M19,0)-EOMONTH(FH$11,0))/30)+1,0),0)</f>
        <v>0</v>
      </c>
      <c r="FI222" s="427">
        <f>-IF(AND(FI$11&gt;=EOMONTH('Construction Budget'!$K19,0),FI$11&lt;=EOMONTH('Construction Budget'!$M19,0)),('Construction Budget'!$G19+SUM($G222:FH222))/ROUND(((EOMONTH('Construction Budget'!$M19,0)-EOMONTH(FI$11,0))/30)+1,0),0)</f>
        <v>0</v>
      </c>
      <c r="FJ222" s="427">
        <f>-IF(AND(FJ$11&gt;=EOMONTH('Construction Budget'!$K19,0),FJ$11&lt;=EOMONTH('Construction Budget'!$M19,0)),('Construction Budget'!$G19+SUM($G222:FI222))/ROUND(((EOMONTH('Construction Budget'!$M19,0)-EOMONTH(FJ$11,0))/30)+1,0),0)</f>
        <v>0</v>
      </c>
      <c r="FK222" s="427">
        <f>-IF(AND(FK$11&gt;=EOMONTH('Construction Budget'!$K19,0),FK$11&lt;=EOMONTH('Construction Budget'!$M19,0)),('Construction Budget'!$G19+SUM($G222:FJ222))/ROUND(((EOMONTH('Construction Budget'!$M19,0)-EOMONTH(FK$11,0))/30)+1,0),0)</f>
        <v>0</v>
      </c>
      <c r="FL222" s="427">
        <f>-IF(AND(FL$11&gt;=EOMONTH('Construction Budget'!$K19,0),FL$11&lt;=EOMONTH('Construction Budget'!$M19,0)),('Construction Budget'!$G19+SUM($G222:FK222))/ROUND(((EOMONTH('Construction Budget'!$M19,0)-EOMONTH(FL$11,0))/30)+1,0),0)</f>
        <v>0</v>
      </c>
      <c r="FM222" s="427">
        <f>-IF(AND(FM$11&gt;=EOMONTH('Construction Budget'!$K19,0),FM$11&lt;=EOMONTH('Construction Budget'!$M19,0)),('Construction Budget'!$G19+SUM($G222:FL222))/ROUND(((EOMONTH('Construction Budget'!$M19,0)-EOMONTH(FM$11,0))/30)+1,0),0)</f>
        <v>0</v>
      </c>
      <c r="FN222" s="427">
        <f>-IF(AND(FN$11&gt;=EOMONTH('Construction Budget'!$K19,0),FN$11&lt;=EOMONTH('Construction Budget'!$M19,0)),('Construction Budget'!$G19+SUM($G222:FM222))/ROUND(((EOMONTH('Construction Budget'!$M19,0)-EOMONTH(FN$11,0))/30)+1,0),0)</f>
        <v>0</v>
      </c>
      <c r="FO222" s="427">
        <f>-IF(AND(FO$11&gt;=EOMONTH('Construction Budget'!$K19,0),FO$11&lt;=EOMONTH('Construction Budget'!$M19,0)),('Construction Budget'!$G19+SUM($G222:FN222))/ROUND(((EOMONTH('Construction Budget'!$M19,0)-EOMONTH(FO$11,0))/30)+1,0),0)</f>
        <v>0</v>
      </c>
      <c r="FP222" s="427">
        <f>-IF(AND(FP$11&gt;=EOMONTH('Construction Budget'!$K19,0),FP$11&lt;=EOMONTH('Construction Budget'!$M19,0)),('Construction Budget'!$G19+SUM($G222:FO222))/ROUND(((EOMONTH('Construction Budget'!$M19,0)-EOMONTH(FP$11,0))/30)+1,0),0)</f>
        <v>0</v>
      </c>
      <c r="FQ222" s="427">
        <f>-IF(AND(FQ$11&gt;=EOMONTH('Construction Budget'!$K19,0),FQ$11&lt;=EOMONTH('Construction Budget'!$M19,0)),('Construction Budget'!$G19+SUM($G222:FP222))/ROUND(((EOMONTH('Construction Budget'!$M19,0)-EOMONTH(FQ$11,0))/30)+1,0),0)</f>
        <v>0</v>
      </c>
      <c r="FR222" s="427">
        <f>-IF(AND(FR$11&gt;=EOMONTH('Construction Budget'!$K19,0),FR$11&lt;=EOMONTH('Construction Budget'!$M19,0)),('Construction Budget'!$G19+SUM($G222:FQ222))/ROUND(((EOMONTH('Construction Budget'!$M19,0)-EOMONTH(FR$11,0))/30)+1,0),0)</f>
        <v>0</v>
      </c>
      <c r="FS222" s="427">
        <f>-IF(AND(FS$11&gt;=EOMONTH('Construction Budget'!$K19,0),FS$11&lt;=EOMONTH('Construction Budget'!$M19,0)),('Construction Budget'!$G19+SUM($G222:FR222))/ROUND(((EOMONTH('Construction Budget'!$M19,0)-EOMONTH(FS$11,0))/30)+1,0),0)</f>
        <v>0</v>
      </c>
      <c r="FT222" s="427">
        <f>-IF(AND(FT$11&gt;=EOMONTH('Construction Budget'!$K19,0),FT$11&lt;=EOMONTH('Construction Budget'!$M19,0)),('Construction Budget'!$G19+SUM($G222:FS222))/ROUND(((EOMONTH('Construction Budget'!$M19,0)-EOMONTH(FT$11,0))/30)+1,0),0)</f>
        <v>0</v>
      </c>
      <c r="FU222" s="43"/>
      <c r="FV222" s="34"/>
      <c r="FW222" s="34"/>
      <c r="FX222" s="34"/>
      <c r="FY222" s="34"/>
      <c r="FZ222" s="34"/>
    </row>
    <row r="223" spans="1:182" s="89" customFormat="1" ht="13.5" hidden="1" outlineLevel="1" x14ac:dyDescent="0.25">
      <c r="A223" s="498"/>
      <c r="B223" s="128" t="str">
        <f>'Construction Budget'!B20</f>
        <v>Blank</v>
      </c>
      <c r="C223" s="34"/>
      <c r="D223" s="34"/>
      <c r="E223" s="34"/>
      <c r="F223" s="434">
        <f t="shared" si="240"/>
        <v>0</v>
      </c>
      <c r="G223" s="34"/>
      <c r="H223" s="427">
        <f>-IF(AND(H$11&gt;=EOMONTH('Construction Budget'!$K20,0),H$11&lt;=EOMONTH('Construction Budget'!$M20,0)),('Construction Budget'!$G20+SUM($G223:G223))/ROUND(((EOMONTH('Construction Budget'!$M20,0)-EOMONTH(H$11,0))/30)+1,0),0)</f>
        <v>0</v>
      </c>
      <c r="I223" s="427">
        <f>-IF(AND(I$11&gt;=EOMONTH('Construction Budget'!$K20,0),I$11&lt;=EOMONTH('Construction Budget'!$M20,0)),('Construction Budget'!$G20+SUM($G223:H223))/ROUND(((EOMONTH('Construction Budget'!$M20,0)-EOMONTH(I$11,0))/30)+1,0),0)</f>
        <v>0</v>
      </c>
      <c r="J223" s="427">
        <f>-IF(AND(J$11&gt;=EOMONTH('Construction Budget'!$K20,0),J$11&lt;=EOMONTH('Construction Budget'!$M20,0)),('Construction Budget'!$G20+SUM($G223:I223))/ROUND(((EOMONTH('Construction Budget'!$M20,0)-EOMONTH(J$11,0))/30)+1,0),0)</f>
        <v>0</v>
      </c>
      <c r="K223" s="427">
        <f>-IF(AND(K$11&gt;=EOMONTH('Construction Budget'!$K20,0),K$11&lt;=EOMONTH('Construction Budget'!$M20,0)),('Construction Budget'!$G20+SUM($G223:J223))/ROUND(((EOMONTH('Construction Budget'!$M20,0)-EOMONTH(K$11,0))/30)+1,0),0)</f>
        <v>0</v>
      </c>
      <c r="L223" s="427">
        <f>-IF(AND(L$11&gt;=EOMONTH('Construction Budget'!$K20,0),L$11&lt;=EOMONTH('Construction Budget'!$M20,0)),('Construction Budget'!$G20+SUM($G223:K223))/ROUND(((EOMONTH('Construction Budget'!$M20,0)-EOMONTH(L$11,0))/30)+1,0),0)</f>
        <v>0</v>
      </c>
      <c r="M223" s="427">
        <f>-IF(AND(M$11&gt;=EOMONTH('Construction Budget'!$K20,0),M$11&lt;=EOMONTH('Construction Budget'!$M20,0)),('Construction Budget'!$G20+SUM($G223:L223))/ROUND(((EOMONTH('Construction Budget'!$M20,0)-EOMONTH(M$11,0))/30)+1,0),0)</f>
        <v>0</v>
      </c>
      <c r="N223" s="427">
        <f>-IF(AND(N$11&gt;=EOMONTH('Construction Budget'!$K20,0),N$11&lt;=EOMONTH('Construction Budget'!$M20,0)),('Construction Budget'!$G20+SUM($G223:M223))/ROUND(((EOMONTH('Construction Budget'!$M20,0)-EOMONTH(N$11,0))/30)+1,0),0)</f>
        <v>0</v>
      </c>
      <c r="O223" s="427">
        <f>-IF(AND(O$11&gt;=EOMONTH('Construction Budget'!$K20,0),O$11&lt;=EOMONTH('Construction Budget'!$M20,0)),('Construction Budget'!$G20+SUM($G223:N223))/ROUND(((EOMONTH('Construction Budget'!$M20,0)-EOMONTH(O$11,0))/30)+1,0),0)</f>
        <v>0</v>
      </c>
      <c r="P223" s="427">
        <f>-IF(AND(P$11&gt;=EOMONTH('Construction Budget'!$K20,0),P$11&lt;=EOMONTH('Construction Budget'!$M20,0)),('Construction Budget'!$G20+SUM($G223:O223))/ROUND(((EOMONTH('Construction Budget'!$M20,0)-EOMONTH(P$11,0))/30)+1,0),0)</f>
        <v>0</v>
      </c>
      <c r="Q223" s="427">
        <f>-IF(AND(Q$11&gt;=EOMONTH('Construction Budget'!$K20,0),Q$11&lt;=EOMONTH('Construction Budget'!$M20,0)),('Construction Budget'!$G20+SUM($G223:P223))/ROUND(((EOMONTH('Construction Budget'!$M20,0)-EOMONTH(Q$11,0))/30)+1,0),0)</f>
        <v>0</v>
      </c>
      <c r="R223" s="427">
        <f>-IF(AND(R$11&gt;=EOMONTH('Construction Budget'!$K20,0),R$11&lt;=EOMONTH('Construction Budget'!$M20,0)),('Construction Budget'!$G20+SUM($G223:Q223))/ROUND(((EOMONTH('Construction Budget'!$M20,0)-EOMONTH(R$11,0))/30)+1,0),0)</f>
        <v>0</v>
      </c>
      <c r="S223" s="427">
        <f>-IF(AND(S$11&gt;=EOMONTH('Construction Budget'!$K20,0),S$11&lt;=EOMONTH('Construction Budget'!$M20,0)),('Construction Budget'!$G20+SUM($G223:R223))/ROUND(((EOMONTH('Construction Budget'!$M20,0)-EOMONTH(S$11,0))/30)+1,0),0)</f>
        <v>0</v>
      </c>
      <c r="T223" s="427">
        <f>-IF(AND(T$11&gt;=EOMONTH('Construction Budget'!$K20,0),T$11&lt;=EOMONTH('Construction Budget'!$M20,0)),('Construction Budget'!$G20+SUM($G223:S223))/ROUND(((EOMONTH('Construction Budget'!$M20,0)-EOMONTH(T$11,0))/30)+1,0),0)</f>
        <v>0</v>
      </c>
      <c r="U223" s="427">
        <f>-IF(AND(U$11&gt;=EOMONTH('Construction Budget'!$K20,0),U$11&lt;=EOMONTH('Construction Budget'!$M20,0)),('Construction Budget'!$G20+SUM($G223:T223))/ROUND(((EOMONTH('Construction Budget'!$M20,0)-EOMONTH(U$11,0))/30)+1,0),0)</f>
        <v>0</v>
      </c>
      <c r="V223" s="427">
        <f>-IF(AND(V$11&gt;=EOMONTH('Construction Budget'!$K20,0),V$11&lt;=EOMONTH('Construction Budget'!$M20,0)),('Construction Budget'!$G20+SUM($G223:U223))/ROUND(((EOMONTH('Construction Budget'!$M20,0)-EOMONTH(V$11,0))/30)+1,0),0)</f>
        <v>0</v>
      </c>
      <c r="W223" s="427">
        <f>-IF(AND(W$11&gt;=EOMONTH('Construction Budget'!$K20,0),W$11&lt;=EOMONTH('Construction Budget'!$M20,0)),('Construction Budget'!$G20+SUM($G223:V223))/ROUND(((EOMONTH('Construction Budget'!$M20,0)-EOMONTH(W$11,0))/30)+1,0),0)</f>
        <v>0</v>
      </c>
      <c r="X223" s="427">
        <f>-IF(AND(X$11&gt;=EOMONTH('Construction Budget'!$K20,0),X$11&lt;=EOMONTH('Construction Budget'!$M20,0)),('Construction Budget'!$G20+SUM($G223:W223))/ROUND(((EOMONTH('Construction Budget'!$M20,0)-EOMONTH(X$11,0))/30)+1,0),0)</f>
        <v>0</v>
      </c>
      <c r="Y223" s="427">
        <f>-IF(AND(Y$11&gt;=EOMONTH('Construction Budget'!$K20,0),Y$11&lt;=EOMONTH('Construction Budget'!$M20,0)),('Construction Budget'!$G20+SUM($G223:X223))/ROUND(((EOMONTH('Construction Budget'!$M20,0)-EOMONTH(Y$11,0))/30)+1,0),0)</f>
        <v>0</v>
      </c>
      <c r="Z223" s="427">
        <f>-IF(AND(Z$11&gt;=EOMONTH('Construction Budget'!$K20,0),Z$11&lt;=EOMONTH('Construction Budget'!$M20,0)),('Construction Budget'!$G20+SUM($G223:Y223))/ROUND(((EOMONTH('Construction Budget'!$M20,0)-EOMONTH(Z$11,0))/30)+1,0),0)</f>
        <v>0</v>
      </c>
      <c r="AA223" s="427">
        <f>-IF(AND(AA$11&gt;=EOMONTH('Construction Budget'!$K20,0),AA$11&lt;=EOMONTH('Construction Budget'!$M20,0)),('Construction Budget'!$G20+SUM($G223:Z223))/ROUND(((EOMONTH('Construction Budget'!$M20,0)-EOMONTH(AA$11,0))/30)+1,0),0)</f>
        <v>0</v>
      </c>
      <c r="AB223" s="427">
        <f>-IF(AND(AB$11&gt;=EOMONTH('Construction Budget'!$K20,0),AB$11&lt;=EOMONTH('Construction Budget'!$M20,0)),('Construction Budget'!$G20+SUM($G223:AA223))/ROUND(((EOMONTH('Construction Budget'!$M20,0)-EOMONTH(AB$11,0))/30)+1,0),0)</f>
        <v>0</v>
      </c>
      <c r="AC223" s="427">
        <f>-IF(AND(AC$11&gt;=EOMONTH('Construction Budget'!$K20,0),AC$11&lt;=EOMONTH('Construction Budget'!$M20,0)),('Construction Budget'!$G20+SUM($G223:AB223))/ROUND(((EOMONTH('Construction Budget'!$M20,0)-EOMONTH(AC$11,0))/30)+1,0),0)</f>
        <v>0</v>
      </c>
      <c r="AD223" s="427">
        <f>-IF(AND(AD$11&gt;=EOMONTH('Construction Budget'!$K20,0),AD$11&lt;=EOMONTH('Construction Budget'!$M20,0)),('Construction Budget'!$G20+SUM($G223:AC223))/ROUND(((EOMONTH('Construction Budget'!$M20,0)-EOMONTH(AD$11,0))/30)+1,0),0)</f>
        <v>0</v>
      </c>
      <c r="AE223" s="427">
        <f>-IF(AND(AE$11&gt;=EOMONTH('Construction Budget'!$K20,0),AE$11&lt;=EOMONTH('Construction Budget'!$M20,0)),('Construction Budget'!$G20+SUM($G223:AD223))/ROUND(((EOMONTH('Construction Budget'!$M20,0)-EOMONTH(AE$11,0))/30)+1,0),0)</f>
        <v>0</v>
      </c>
      <c r="AF223" s="427">
        <f>-IF(AND(AF$11&gt;=EOMONTH('Construction Budget'!$K20,0),AF$11&lt;=EOMONTH('Construction Budget'!$M20,0)),('Construction Budget'!$G20+SUM($G223:AE223))/ROUND(((EOMONTH('Construction Budget'!$M20,0)-EOMONTH(AF$11,0))/30)+1,0),0)</f>
        <v>0</v>
      </c>
      <c r="AG223" s="427">
        <f>-IF(AND(AG$11&gt;=EOMONTH('Construction Budget'!$K20,0),AG$11&lt;=EOMONTH('Construction Budget'!$M20,0)),('Construction Budget'!$G20+SUM($G223:AF223))/ROUND(((EOMONTH('Construction Budget'!$M20,0)-EOMONTH(AG$11,0))/30)+1,0),0)</f>
        <v>0</v>
      </c>
      <c r="AH223" s="427">
        <f>-IF(AND(AH$11&gt;=EOMONTH('Construction Budget'!$K20,0),AH$11&lt;=EOMONTH('Construction Budget'!$M20,0)),('Construction Budget'!$G20+SUM($G223:AG223))/ROUND(((EOMONTH('Construction Budget'!$M20,0)-EOMONTH(AH$11,0))/30)+1,0),0)</f>
        <v>0</v>
      </c>
      <c r="AI223" s="427">
        <f>-IF(AND(AI$11&gt;=EOMONTH('Construction Budget'!$K20,0),AI$11&lt;=EOMONTH('Construction Budget'!$M20,0)),('Construction Budget'!$G20+SUM($G223:AH223))/ROUND(((EOMONTH('Construction Budget'!$M20,0)-EOMONTH(AI$11,0))/30)+1,0),0)</f>
        <v>0</v>
      </c>
      <c r="AJ223" s="427">
        <f>-IF(AND(AJ$11&gt;=EOMONTH('Construction Budget'!$K20,0),AJ$11&lt;=EOMONTH('Construction Budget'!$M20,0)),('Construction Budget'!$G20+SUM($G223:AI223))/ROUND(((EOMONTH('Construction Budget'!$M20,0)-EOMONTH(AJ$11,0))/30)+1,0),0)</f>
        <v>0</v>
      </c>
      <c r="AK223" s="427">
        <f>-IF(AND(AK$11&gt;=EOMONTH('Construction Budget'!$K20,0),AK$11&lt;=EOMONTH('Construction Budget'!$M20,0)),('Construction Budget'!$G20+SUM($G223:AJ223))/ROUND(((EOMONTH('Construction Budget'!$M20,0)-EOMONTH(AK$11,0))/30)+1,0),0)</f>
        <v>0</v>
      </c>
      <c r="AL223" s="427">
        <f>-IF(AND(AL$11&gt;=EOMONTH('Construction Budget'!$K20,0),AL$11&lt;=EOMONTH('Construction Budget'!$M20,0)),('Construction Budget'!$G20+SUM($G223:AK223))/ROUND(((EOMONTH('Construction Budget'!$M20,0)-EOMONTH(AL$11,0))/30)+1,0),0)</f>
        <v>0</v>
      </c>
      <c r="AM223" s="427">
        <f>-IF(AND(AM$11&gt;=EOMONTH('Construction Budget'!$K20,0),AM$11&lt;=EOMONTH('Construction Budget'!$M20,0)),('Construction Budget'!$G20+SUM($G223:AL223))/ROUND(((EOMONTH('Construction Budget'!$M20,0)-EOMONTH(AM$11,0))/30)+1,0),0)</f>
        <v>0</v>
      </c>
      <c r="AN223" s="427">
        <f>-IF(AND(AN$11&gt;=EOMONTH('Construction Budget'!$K20,0),AN$11&lt;=EOMONTH('Construction Budget'!$M20,0)),('Construction Budget'!$G20+SUM($G223:AM223))/ROUND(((EOMONTH('Construction Budget'!$M20,0)-EOMONTH(AN$11,0))/30)+1,0),0)</f>
        <v>0</v>
      </c>
      <c r="AO223" s="427">
        <f>-IF(AND(AO$11&gt;=EOMONTH('Construction Budget'!$K20,0),AO$11&lt;=EOMONTH('Construction Budget'!$M20,0)),('Construction Budget'!$G20+SUM($G223:AN223))/ROUND(((EOMONTH('Construction Budget'!$M20,0)-EOMONTH(AO$11,0))/30)+1,0),0)</f>
        <v>0</v>
      </c>
      <c r="AP223" s="427">
        <f>-IF(AND(AP$11&gt;=EOMONTH('Construction Budget'!$K20,0),AP$11&lt;=EOMONTH('Construction Budget'!$M20,0)),('Construction Budget'!$G20+SUM($G223:AO223))/ROUND(((EOMONTH('Construction Budget'!$M20,0)-EOMONTH(AP$11,0))/30)+1,0),0)</f>
        <v>0</v>
      </c>
      <c r="AQ223" s="427">
        <f>-IF(AND(AQ$11&gt;=EOMONTH('Construction Budget'!$K20,0),AQ$11&lt;=EOMONTH('Construction Budget'!$M20,0)),('Construction Budget'!$G20+SUM($G223:AP223))/ROUND(((EOMONTH('Construction Budget'!$M20,0)-EOMONTH(AQ$11,0))/30)+1,0),0)</f>
        <v>0</v>
      </c>
      <c r="AR223" s="427">
        <f>-IF(AND(AR$11&gt;=EOMONTH('Construction Budget'!$K20,0),AR$11&lt;=EOMONTH('Construction Budget'!$M20,0)),('Construction Budget'!$G20+SUM($G223:AQ223))/ROUND(((EOMONTH('Construction Budget'!$M20,0)-EOMONTH(AR$11,0))/30)+1,0),0)</f>
        <v>0</v>
      </c>
      <c r="AS223" s="427">
        <f>-IF(AND(AS$11&gt;=EOMONTH('Construction Budget'!$K20,0),AS$11&lt;=EOMONTH('Construction Budget'!$M20,0)),('Construction Budget'!$G20+SUM($G223:AR223))/ROUND(((EOMONTH('Construction Budget'!$M20,0)-EOMONTH(AS$11,0))/30)+1,0),0)</f>
        <v>0</v>
      </c>
      <c r="AT223" s="427">
        <f>-IF(AND(AT$11&gt;=EOMONTH('Construction Budget'!$K20,0),AT$11&lt;=EOMONTH('Construction Budget'!$M20,0)),('Construction Budget'!$G20+SUM($G223:AS223))/ROUND(((EOMONTH('Construction Budget'!$M20,0)-EOMONTH(AT$11,0))/30)+1,0),0)</f>
        <v>0</v>
      </c>
      <c r="AU223" s="427">
        <f>-IF(AND(AU$11&gt;=EOMONTH('Construction Budget'!$K20,0),AU$11&lt;=EOMONTH('Construction Budget'!$M20,0)),('Construction Budget'!$G20+SUM($G223:AT223))/ROUND(((EOMONTH('Construction Budget'!$M20,0)-EOMONTH(AU$11,0))/30)+1,0),0)</f>
        <v>0</v>
      </c>
      <c r="AV223" s="427">
        <f>-IF(AND(AV$11&gt;=EOMONTH('Construction Budget'!$K20,0),AV$11&lt;=EOMONTH('Construction Budget'!$M20,0)),('Construction Budget'!$G20+SUM($G223:AU223))/ROUND(((EOMONTH('Construction Budget'!$M20,0)-EOMONTH(AV$11,0))/30)+1,0),0)</f>
        <v>0</v>
      </c>
      <c r="AW223" s="427">
        <f>-IF(AND(AW$11&gt;=EOMONTH('Construction Budget'!$K20,0),AW$11&lt;=EOMONTH('Construction Budget'!$M20,0)),('Construction Budget'!$G20+SUM($G223:AV223))/ROUND(((EOMONTH('Construction Budget'!$M20,0)-EOMONTH(AW$11,0))/30)+1,0),0)</f>
        <v>0</v>
      </c>
      <c r="AX223" s="427">
        <f>-IF(AND(AX$11&gt;=EOMONTH('Construction Budget'!$K20,0),AX$11&lt;=EOMONTH('Construction Budget'!$M20,0)),('Construction Budget'!$G20+SUM($G223:AW223))/ROUND(((EOMONTH('Construction Budget'!$M20,0)-EOMONTH(AX$11,0))/30)+1,0),0)</f>
        <v>0</v>
      </c>
      <c r="AY223" s="427">
        <f>-IF(AND(AY$11&gt;=EOMONTH('Construction Budget'!$K20,0),AY$11&lt;=EOMONTH('Construction Budget'!$M20,0)),('Construction Budget'!$G20+SUM($G223:AX223))/ROUND(((EOMONTH('Construction Budget'!$M20,0)-EOMONTH(AY$11,0))/30)+1,0),0)</f>
        <v>0</v>
      </c>
      <c r="AZ223" s="427">
        <f>-IF(AND(AZ$11&gt;=EOMONTH('Construction Budget'!$K20,0),AZ$11&lt;=EOMONTH('Construction Budget'!$M20,0)),('Construction Budget'!$G20+SUM($G223:AY223))/ROUND(((EOMONTH('Construction Budget'!$M20,0)-EOMONTH(AZ$11,0))/30)+1,0),0)</f>
        <v>0</v>
      </c>
      <c r="BA223" s="427">
        <f>-IF(AND(BA$11&gt;=EOMONTH('Construction Budget'!$K20,0),BA$11&lt;=EOMONTH('Construction Budget'!$M20,0)),('Construction Budget'!$G20+SUM($G223:AZ223))/ROUND(((EOMONTH('Construction Budget'!$M20,0)-EOMONTH(BA$11,0))/30)+1,0),0)</f>
        <v>0</v>
      </c>
      <c r="BB223" s="427">
        <f>-IF(AND(BB$11&gt;=EOMONTH('Construction Budget'!$K20,0),BB$11&lt;=EOMONTH('Construction Budget'!$M20,0)),('Construction Budget'!$G20+SUM($G223:BA223))/ROUND(((EOMONTH('Construction Budget'!$M20,0)-EOMONTH(BB$11,0))/30)+1,0),0)</f>
        <v>0</v>
      </c>
      <c r="BC223" s="427">
        <f>-IF(AND(BC$11&gt;=EOMONTH('Construction Budget'!$K20,0),BC$11&lt;=EOMONTH('Construction Budget'!$M20,0)),('Construction Budget'!$G20+SUM($G223:BB223))/ROUND(((EOMONTH('Construction Budget'!$M20,0)-EOMONTH(BC$11,0))/30)+1,0),0)</f>
        <v>0</v>
      </c>
      <c r="BD223" s="427">
        <f>-IF(AND(BD$11&gt;=EOMONTH('Construction Budget'!$K20,0),BD$11&lt;=EOMONTH('Construction Budget'!$M20,0)),('Construction Budget'!$G20+SUM($G223:BC223))/ROUND(((EOMONTH('Construction Budget'!$M20,0)-EOMONTH(BD$11,0))/30)+1,0),0)</f>
        <v>0</v>
      </c>
      <c r="BE223" s="427">
        <f>-IF(AND(BE$11&gt;=EOMONTH('Construction Budget'!$K20,0),BE$11&lt;=EOMONTH('Construction Budget'!$M20,0)),('Construction Budget'!$G20+SUM($G223:BD223))/ROUND(((EOMONTH('Construction Budget'!$M20,0)-EOMONTH(BE$11,0))/30)+1,0),0)</f>
        <v>0</v>
      </c>
      <c r="BF223" s="427">
        <f>-IF(AND(BF$11&gt;=EOMONTH('Construction Budget'!$K20,0),BF$11&lt;=EOMONTH('Construction Budget'!$M20,0)),('Construction Budget'!$G20+SUM($G223:BE223))/ROUND(((EOMONTH('Construction Budget'!$M20,0)-EOMONTH(BF$11,0))/30)+1,0),0)</f>
        <v>0</v>
      </c>
      <c r="BG223" s="427">
        <f>-IF(AND(BG$11&gt;=EOMONTH('Construction Budget'!$K20,0),BG$11&lt;=EOMONTH('Construction Budget'!$M20,0)),('Construction Budget'!$G20+SUM($G223:BF223))/ROUND(((EOMONTH('Construction Budget'!$M20,0)-EOMONTH(BG$11,0))/30)+1,0),0)</f>
        <v>0</v>
      </c>
      <c r="BH223" s="427">
        <f>-IF(AND(BH$11&gt;=EOMONTH('Construction Budget'!$K20,0),BH$11&lt;=EOMONTH('Construction Budget'!$M20,0)),('Construction Budget'!$G20+SUM($G223:BG223))/ROUND(((EOMONTH('Construction Budget'!$M20,0)-EOMONTH(BH$11,0))/30)+1,0),0)</f>
        <v>0</v>
      </c>
      <c r="BI223" s="427">
        <f>-IF(AND(BI$11&gt;=EOMONTH('Construction Budget'!$K20,0),BI$11&lt;=EOMONTH('Construction Budget'!$M20,0)),('Construction Budget'!$G20+SUM($G223:BH223))/ROUND(((EOMONTH('Construction Budget'!$M20,0)-EOMONTH(BI$11,0))/30)+1,0),0)</f>
        <v>0</v>
      </c>
      <c r="BJ223" s="427">
        <f>-IF(AND(BJ$11&gt;=EOMONTH('Construction Budget'!$K20,0),BJ$11&lt;=EOMONTH('Construction Budget'!$M20,0)),('Construction Budget'!$G20+SUM($G223:BI223))/ROUND(((EOMONTH('Construction Budget'!$M20,0)-EOMONTH(BJ$11,0))/30)+1,0),0)</f>
        <v>0</v>
      </c>
      <c r="BK223" s="427">
        <f>-IF(AND(BK$11&gt;=EOMONTH('Construction Budget'!$K20,0),BK$11&lt;=EOMONTH('Construction Budget'!$M20,0)),('Construction Budget'!$G20+SUM($G223:BJ223))/ROUND(((EOMONTH('Construction Budget'!$M20,0)-EOMONTH(BK$11,0))/30)+1,0),0)</f>
        <v>0</v>
      </c>
      <c r="BL223" s="427">
        <f>-IF(AND(BL$11&gt;=EOMONTH('Construction Budget'!$K20,0),BL$11&lt;=EOMONTH('Construction Budget'!$M20,0)),('Construction Budget'!$G20+SUM($G223:BK223))/ROUND(((EOMONTH('Construction Budget'!$M20,0)-EOMONTH(BL$11,0))/30)+1,0),0)</f>
        <v>0</v>
      </c>
      <c r="BM223" s="427">
        <f>-IF(AND(BM$11&gt;=EOMONTH('Construction Budget'!$K20,0),BM$11&lt;=EOMONTH('Construction Budget'!$M20,0)),('Construction Budget'!$G20+SUM($G223:BL223))/ROUND(((EOMONTH('Construction Budget'!$M20,0)-EOMONTH(BM$11,0))/30)+1,0),0)</f>
        <v>0</v>
      </c>
      <c r="BN223" s="427">
        <f>-IF(AND(BN$11&gt;=EOMONTH('Construction Budget'!$K20,0),BN$11&lt;=EOMONTH('Construction Budget'!$M20,0)),('Construction Budget'!$G20+SUM($G223:BM223))/ROUND(((EOMONTH('Construction Budget'!$M20,0)-EOMONTH(BN$11,0))/30)+1,0),0)</f>
        <v>0</v>
      </c>
      <c r="BO223" s="427">
        <f>-IF(AND(BO$11&gt;=EOMONTH('Construction Budget'!$K20,0),BO$11&lt;=EOMONTH('Construction Budget'!$M20,0)),('Construction Budget'!$G20+SUM($G223:BN223))/ROUND(((EOMONTH('Construction Budget'!$M20,0)-EOMONTH(BO$11,0))/30)+1,0),0)</f>
        <v>0</v>
      </c>
      <c r="BP223" s="427">
        <f>-IF(AND(BP$11&gt;=EOMONTH('Construction Budget'!$K20,0),BP$11&lt;=EOMONTH('Construction Budget'!$M20,0)),('Construction Budget'!$G20+SUM($G223:BO223))/ROUND(((EOMONTH('Construction Budget'!$M20,0)-EOMONTH(BP$11,0))/30)+1,0),0)</f>
        <v>0</v>
      </c>
      <c r="BQ223" s="427">
        <f>-IF(AND(BQ$11&gt;=EOMONTH('Construction Budget'!$K20,0),BQ$11&lt;=EOMONTH('Construction Budget'!$M20,0)),('Construction Budget'!$G20+SUM($G223:BP223))/ROUND(((EOMONTH('Construction Budget'!$M20,0)-EOMONTH(BQ$11,0))/30)+1,0),0)</f>
        <v>0</v>
      </c>
      <c r="BR223" s="427">
        <f>-IF(AND(BR$11&gt;=EOMONTH('Construction Budget'!$K20,0),BR$11&lt;=EOMONTH('Construction Budget'!$M20,0)),('Construction Budget'!$G20+SUM($G223:BQ223))/ROUND(((EOMONTH('Construction Budget'!$M20,0)-EOMONTH(BR$11,0))/30)+1,0),0)</f>
        <v>0</v>
      </c>
      <c r="BS223" s="427">
        <f>-IF(AND(BS$11&gt;=EOMONTH('Construction Budget'!$K20,0),BS$11&lt;=EOMONTH('Construction Budget'!$M20,0)),('Construction Budget'!$G20+SUM($G223:BR223))/ROUND(((EOMONTH('Construction Budget'!$M20,0)-EOMONTH(BS$11,0))/30)+1,0),0)</f>
        <v>0</v>
      </c>
      <c r="BT223" s="427">
        <f>-IF(AND(BT$11&gt;=EOMONTH('Construction Budget'!$K20,0),BT$11&lt;=EOMONTH('Construction Budget'!$M20,0)),('Construction Budget'!$G20+SUM($G223:BS223))/ROUND(((EOMONTH('Construction Budget'!$M20,0)-EOMONTH(BT$11,0))/30)+1,0),0)</f>
        <v>0</v>
      </c>
      <c r="BU223" s="427">
        <f>-IF(AND(BU$11&gt;=EOMONTH('Construction Budget'!$K20,0),BU$11&lt;=EOMONTH('Construction Budget'!$M20,0)),('Construction Budget'!$G20+SUM($G223:BT223))/ROUND(((EOMONTH('Construction Budget'!$M20,0)-EOMONTH(BU$11,0))/30)+1,0),0)</f>
        <v>0</v>
      </c>
      <c r="BV223" s="427">
        <f>-IF(AND(BV$11&gt;=EOMONTH('Construction Budget'!$K20,0),BV$11&lt;=EOMONTH('Construction Budget'!$M20,0)),('Construction Budget'!$G20+SUM($G223:BU223))/ROUND(((EOMONTH('Construction Budget'!$M20,0)-EOMONTH(BV$11,0))/30)+1,0),0)</f>
        <v>0</v>
      </c>
      <c r="BW223" s="427">
        <f>-IF(AND(BW$11&gt;=EOMONTH('Construction Budget'!$K20,0),BW$11&lt;=EOMONTH('Construction Budget'!$M20,0)),('Construction Budget'!$G20+SUM($G223:BV223))/ROUND(((EOMONTH('Construction Budget'!$M20,0)-EOMONTH(BW$11,0))/30)+1,0),0)</f>
        <v>0</v>
      </c>
      <c r="BX223" s="427">
        <f>-IF(AND(BX$11&gt;=EOMONTH('Construction Budget'!$K20,0),BX$11&lt;=EOMONTH('Construction Budget'!$M20,0)),('Construction Budget'!$G20+SUM($G223:BW223))/ROUND(((EOMONTH('Construction Budget'!$M20,0)-EOMONTH(BX$11,0))/30)+1,0),0)</f>
        <v>0</v>
      </c>
      <c r="BY223" s="427">
        <f>-IF(AND(BY$11&gt;=EOMONTH('Construction Budget'!$K20,0),BY$11&lt;=EOMONTH('Construction Budget'!$M20,0)),('Construction Budget'!$G20+SUM($G223:BX223))/ROUND(((EOMONTH('Construction Budget'!$M20,0)-EOMONTH(BY$11,0))/30)+1,0),0)</f>
        <v>0</v>
      </c>
      <c r="BZ223" s="427">
        <f>-IF(AND(BZ$11&gt;=EOMONTH('Construction Budget'!$K20,0),BZ$11&lt;=EOMONTH('Construction Budget'!$M20,0)),('Construction Budget'!$G20+SUM($G223:BY223))/ROUND(((EOMONTH('Construction Budget'!$M20,0)-EOMONTH(BZ$11,0))/30)+1,0),0)</f>
        <v>0</v>
      </c>
      <c r="CA223" s="427">
        <f>-IF(AND(CA$11&gt;=EOMONTH('Construction Budget'!$K20,0),CA$11&lt;=EOMONTH('Construction Budget'!$M20,0)),('Construction Budget'!$G20+SUM($G223:BZ223))/ROUND(((EOMONTH('Construction Budget'!$M20,0)-EOMONTH(CA$11,0))/30)+1,0),0)</f>
        <v>0</v>
      </c>
      <c r="CB223" s="427">
        <f>-IF(AND(CB$11&gt;=EOMONTH('Construction Budget'!$K20,0),CB$11&lt;=EOMONTH('Construction Budget'!$M20,0)),('Construction Budget'!$G20+SUM($G223:CA223))/ROUND(((EOMONTH('Construction Budget'!$M20,0)-EOMONTH(CB$11,0))/30)+1,0),0)</f>
        <v>0</v>
      </c>
      <c r="CC223" s="427">
        <f>-IF(AND(CC$11&gt;=EOMONTH('Construction Budget'!$K20,0),CC$11&lt;=EOMONTH('Construction Budget'!$M20,0)),('Construction Budget'!$G20+SUM($G223:CB223))/ROUND(((EOMONTH('Construction Budget'!$M20,0)-EOMONTH(CC$11,0))/30)+1,0),0)</f>
        <v>0</v>
      </c>
      <c r="CD223" s="427">
        <f>-IF(AND(CD$11&gt;=EOMONTH('Construction Budget'!$K20,0),CD$11&lt;=EOMONTH('Construction Budget'!$M20,0)),('Construction Budget'!$G20+SUM($G223:CC223))/ROUND(((EOMONTH('Construction Budget'!$M20,0)-EOMONTH(CD$11,0))/30)+1,0),0)</f>
        <v>0</v>
      </c>
      <c r="CE223" s="427">
        <f>-IF(AND(CE$11&gt;=EOMONTH('Construction Budget'!$K20,0),CE$11&lt;=EOMONTH('Construction Budget'!$M20,0)),('Construction Budget'!$G20+SUM($G223:CD223))/ROUND(((EOMONTH('Construction Budget'!$M20,0)-EOMONTH(CE$11,0))/30)+1,0),0)</f>
        <v>0</v>
      </c>
      <c r="CF223" s="427">
        <f>-IF(AND(CF$11&gt;=EOMONTH('Construction Budget'!$K20,0),CF$11&lt;=EOMONTH('Construction Budget'!$M20,0)),('Construction Budget'!$G20+SUM($G223:CE223))/ROUND(((EOMONTH('Construction Budget'!$M20,0)-EOMONTH(CF$11,0))/30)+1,0),0)</f>
        <v>0</v>
      </c>
      <c r="CG223" s="427">
        <f>-IF(AND(CG$11&gt;=EOMONTH('Construction Budget'!$K20,0),CG$11&lt;=EOMONTH('Construction Budget'!$M20,0)),('Construction Budget'!$G20+SUM($G223:CF223))/ROUND(((EOMONTH('Construction Budget'!$M20,0)-EOMONTH(CG$11,0))/30)+1,0),0)</f>
        <v>0</v>
      </c>
      <c r="CH223" s="427">
        <f>-IF(AND(CH$11&gt;=EOMONTH('Construction Budget'!$K20,0),CH$11&lt;=EOMONTH('Construction Budget'!$M20,0)),('Construction Budget'!$G20+SUM($G223:CG223))/ROUND(((EOMONTH('Construction Budget'!$M20,0)-EOMONTH(CH$11,0))/30)+1,0),0)</f>
        <v>0</v>
      </c>
      <c r="CI223" s="427">
        <f>-IF(AND(CI$11&gt;=EOMONTH('Construction Budget'!$K20,0),CI$11&lt;=EOMONTH('Construction Budget'!$M20,0)),('Construction Budget'!$G20+SUM($G223:CH223))/ROUND(((EOMONTH('Construction Budget'!$M20,0)-EOMONTH(CI$11,0))/30)+1,0),0)</f>
        <v>0</v>
      </c>
      <c r="CJ223" s="427">
        <f>-IF(AND(CJ$11&gt;=EOMONTH('Construction Budget'!$K20,0),CJ$11&lt;=EOMONTH('Construction Budget'!$M20,0)),('Construction Budget'!$G20+SUM($G223:CI223))/ROUND(((EOMONTH('Construction Budget'!$M20,0)-EOMONTH(CJ$11,0))/30)+1,0),0)</f>
        <v>0</v>
      </c>
      <c r="CK223" s="427">
        <f>-IF(AND(CK$11&gt;=EOMONTH('Construction Budget'!$K20,0),CK$11&lt;=EOMONTH('Construction Budget'!$M20,0)),('Construction Budget'!$G20+SUM($G223:CJ223))/ROUND(((EOMONTH('Construction Budget'!$M20,0)-EOMONTH(CK$11,0))/30)+1,0),0)</f>
        <v>0</v>
      </c>
      <c r="CL223" s="427">
        <f>-IF(AND(CL$11&gt;=EOMONTH('Construction Budget'!$K20,0),CL$11&lt;=EOMONTH('Construction Budget'!$M20,0)),('Construction Budget'!$G20+SUM($G223:CK223))/ROUND(((EOMONTH('Construction Budget'!$M20,0)-EOMONTH(CL$11,0))/30)+1,0),0)</f>
        <v>0</v>
      </c>
      <c r="CM223" s="427">
        <f>-IF(AND(CM$11&gt;=EOMONTH('Construction Budget'!$K20,0),CM$11&lt;=EOMONTH('Construction Budget'!$M20,0)),('Construction Budget'!$G20+SUM($G223:CL223))/ROUND(((EOMONTH('Construction Budget'!$M20,0)-EOMONTH(CM$11,0))/30)+1,0),0)</f>
        <v>0</v>
      </c>
      <c r="CN223" s="427">
        <f>-IF(AND(CN$11&gt;=EOMONTH('Construction Budget'!$K20,0),CN$11&lt;=EOMONTH('Construction Budget'!$M20,0)),('Construction Budget'!$G20+SUM($G223:CM223))/ROUND(((EOMONTH('Construction Budget'!$M20,0)-EOMONTH(CN$11,0))/30)+1,0),0)</f>
        <v>0</v>
      </c>
      <c r="CO223" s="427">
        <f>-IF(AND(CO$11&gt;=EOMONTH('Construction Budget'!$K20,0),CO$11&lt;=EOMONTH('Construction Budget'!$M20,0)),('Construction Budget'!$G20+SUM($G223:CN223))/ROUND(((EOMONTH('Construction Budget'!$M20,0)-EOMONTH(CO$11,0))/30)+1,0),0)</f>
        <v>0</v>
      </c>
      <c r="CP223" s="427">
        <f>-IF(AND(CP$11&gt;=EOMONTH('Construction Budget'!$K20,0),CP$11&lt;=EOMONTH('Construction Budget'!$M20,0)),('Construction Budget'!$G20+SUM($G223:CO223))/ROUND(((EOMONTH('Construction Budget'!$M20,0)-EOMONTH(CP$11,0))/30)+1,0),0)</f>
        <v>0</v>
      </c>
      <c r="CQ223" s="427">
        <f>-IF(AND(CQ$11&gt;=EOMONTH('Construction Budget'!$K20,0),CQ$11&lt;=EOMONTH('Construction Budget'!$M20,0)),('Construction Budget'!$G20+SUM($G223:CP223))/ROUND(((EOMONTH('Construction Budget'!$M20,0)-EOMONTH(CQ$11,0))/30)+1,0),0)</f>
        <v>0</v>
      </c>
      <c r="CR223" s="427">
        <f>-IF(AND(CR$11&gt;=EOMONTH('Construction Budget'!$K20,0),CR$11&lt;=EOMONTH('Construction Budget'!$M20,0)),('Construction Budget'!$G20+SUM($G223:CQ223))/ROUND(((EOMONTH('Construction Budget'!$M20,0)-EOMONTH(CR$11,0))/30)+1,0),0)</f>
        <v>0</v>
      </c>
      <c r="CS223" s="427">
        <f>-IF(AND(CS$11&gt;=EOMONTH('Construction Budget'!$K20,0),CS$11&lt;=EOMONTH('Construction Budget'!$M20,0)),('Construction Budget'!$G20+SUM($G223:CR223))/ROUND(((EOMONTH('Construction Budget'!$M20,0)-EOMONTH(CS$11,0))/30)+1,0),0)</f>
        <v>0</v>
      </c>
      <c r="CT223" s="427">
        <f>-IF(AND(CT$11&gt;=EOMONTH('Construction Budget'!$K20,0),CT$11&lt;=EOMONTH('Construction Budget'!$M20,0)),('Construction Budget'!$G20+SUM($G223:CS223))/ROUND(((EOMONTH('Construction Budget'!$M20,0)-EOMONTH(CT$11,0))/30)+1,0),0)</f>
        <v>0</v>
      </c>
      <c r="CU223" s="427">
        <f>-IF(AND(CU$11&gt;=EOMONTH('Construction Budget'!$K20,0),CU$11&lt;=EOMONTH('Construction Budget'!$M20,0)),('Construction Budget'!$G20+SUM($G223:CT223))/ROUND(((EOMONTH('Construction Budget'!$M20,0)-EOMONTH(CU$11,0))/30)+1,0),0)</f>
        <v>0</v>
      </c>
      <c r="CV223" s="427">
        <f>-IF(AND(CV$11&gt;=EOMONTH('Construction Budget'!$K20,0),CV$11&lt;=EOMONTH('Construction Budget'!$M20,0)),('Construction Budget'!$G20+SUM($G223:CU223))/ROUND(((EOMONTH('Construction Budget'!$M20,0)-EOMONTH(CV$11,0))/30)+1,0),0)</f>
        <v>0</v>
      </c>
      <c r="CW223" s="427">
        <f>-IF(AND(CW$11&gt;=EOMONTH('Construction Budget'!$K20,0),CW$11&lt;=EOMONTH('Construction Budget'!$M20,0)),('Construction Budget'!$G20+SUM($G223:CV223))/ROUND(((EOMONTH('Construction Budget'!$M20,0)-EOMONTH(CW$11,0))/30)+1,0),0)</f>
        <v>0</v>
      </c>
      <c r="CX223" s="427">
        <f>-IF(AND(CX$11&gt;=EOMONTH('Construction Budget'!$K20,0),CX$11&lt;=EOMONTH('Construction Budget'!$M20,0)),('Construction Budget'!$G20+SUM($G223:CW223))/ROUND(((EOMONTH('Construction Budget'!$M20,0)-EOMONTH(CX$11,0))/30)+1,0),0)</f>
        <v>0</v>
      </c>
      <c r="CY223" s="427">
        <f>-IF(AND(CY$11&gt;=EOMONTH('Construction Budget'!$K20,0),CY$11&lt;=EOMONTH('Construction Budget'!$M20,0)),('Construction Budget'!$G20+SUM($G223:CX223))/ROUND(((EOMONTH('Construction Budget'!$M20,0)-EOMONTH(CY$11,0))/30)+1,0),0)</f>
        <v>0</v>
      </c>
      <c r="CZ223" s="427">
        <f>-IF(AND(CZ$11&gt;=EOMONTH('Construction Budget'!$K20,0),CZ$11&lt;=EOMONTH('Construction Budget'!$M20,0)),('Construction Budget'!$G20+SUM($G223:CY223))/ROUND(((EOMONTH('Construction Budget'!$M20,0)-EOMONTH(CZ$11,0))/30)+1,0),0)</f>
        <v>0</v>
      </c>
      <c r="DA223" s="427">
        <f>-IF(AND(DA$11&gt;=EOMONTH('Construction Budget'!$K20,0),DA$11&lt;=EOMONTH('Construction Budget'!$M20,0)),('Construction Budget'!$G20+SUM($G223:CZ223))/ROUND(((EOMONTH('Construction Budget'!$M20,0)-EOMONTH(DA$11,0))/30)+1,0),0)</f>
        <v>0</v>
      </c>
      <c r="DB223" s="427">
        <f>-IF(AND(DB$11&gt;=EOMONTH('Construction Budget'!$K20,0),DB$11&lt;=EOMONTH('Construction Budget'!$M20,0)),('Construction Budget'!$G20+SUM($G223:DA223))/ROUND(((EOMONTH('Construction Budget'!$M20,0)-EOMONTH(DB$11,0))/30)+1,0),0)</f>
        <v>0</v>
      </c>
      <c r="DC223" s="427">
        <f>-IF(AND(DC$11&gt;=EOMONTH('Construction Budget'!$K20,0),DC$11&lt;=EOMONTH('Construction Budget'!$M20,0)),('Construction Budget'!$G20+SUM($G223:DB223))/ROUND(((EOMONTH('Construction Budget'!$M20,0)-EOMONTH(DC$11,0))/30)+1,0),0)</f>
        <v>0</v>
      </c>
      <c r="DD223" s="427">
        <f>-IF(AND(DD$11&gt;=EOMONTH('Construction Budget'!$K20,0),DD$11&lt;=EOMONTH('Construction Budget'!$M20,0)),('Construction Budget'!$G20+SUM($G223:DC223))/ROUND(((EOMONTH('Construction Budget'!$M20,0)-EOMONTH(DD$11,0))/30)+1,0),0)</f>
        <v>0</v>
      </c>
      <c r="DE223" s="427">
        <f>-IF(AND(DE$11&gt;=EOMONTH('Construction Budget'!$K20,0),DE$11&lt;=EOMONTH('Construction Budget'!$M20,0)),('Construction Budget'!$G20+SUM($G223:DD223))/ROUND(((EOMONTH('Construction Budget'!$M20,0)-EOMONTH(DE$11,0))/30)+1,0),0)</f>
        <v>0</v>
      </c>
      <c r="DF223" s="427">
        <f>-IF(AND(DF$11&gt;=EOMONTH('Construction Budget'!$K20,0),DF$11&lt;=EOMONTH('Construction Budget'!$M20,0)),('Construction Budget'!$G20+SUM($G223:DE223))/ROUND(((EOMONTH('Construction Budget'!$M20,0)-EOMONTH(DF$11,0))/30)+1,0),0)</f>
        <v>0</v>
      </c>
      <c r="DG223" s="427">
        <f>-IF(AND(DG$11&gt;=EOMONTH('Construction Budget'!$K20,0),DG$11&lt;=EOMONTH('Construction Budget'!$M20,0)),('Construction Budget'!$G20+SUM($G223:DF223))/ROUND(((EOMONTH('Construction Budget'!$M20,0)-EOMONTH(DG$11,0))/30)+1,0),0)</f>
        <v>0</v>
      </c>
      <c r="DH223" s="427">
        <f>-IF(AND(DH$11&gt;=EOMONTH('Construction Budget'!$K20,0),DH$11&lt;=EOMONTH('Construction Budget'!$M20,0)),('Construction Budget'!$G20+SUM($G223:DG223))/ROUND(((EOMONTH('Construction Budget'!$M20,0)-EOMONTH(DH$11,0))/30)+1,0),0)</f>
        <v>0</v>
      </c>
      <c r="DI223" s="427">
        <f>-IF(AND(DI$11&gt;=EOMONTH('Construction Budget'!$K20,0),DI$11&lt;=EOMONTH('Construction Budget'!$M20,0)),('Construction Budget'!$G20+SUM($G223:DH223))/ROUND(((EOMONTH('Construction Budget'!$M20,0)-EOMONTH(DI$11,0))/30)+1,0),0)</f>
        <v>0</v>
      </c>
      <c r="DJ223" s="427">
        <f>-IF(AND(DJ$11&gt;=EOMONTH('Construction Budget'!$K20,0),DJ$11&lt;=EOMONTH('Construction Budget'!$M20,0)),('Construction Budget'!$G20+SUM($G223:DI223))/ROUND(((EOMONTH('Construction Budget'!$M20,0)-EOMONTH(DJ$11,0))/30)+1,0),0)</f>
        <v>0</v>
      </c>
      <c r="DK223" s="427">
        <f>-IF(AND(DK$11&gt;=EOMONTH('Construction Budget'!$K20,0),DK$11&lt;=EOMONTH('Construction Budget'!$M20,0)),('Construction Budget'!$G20+SUM($G223:DJ223))/ROUND(((EOMONTH('Construction Budget'!$M20,0)-EOMONTH(DK$11,0))/30)+1,0),0)</f>
        <v>0</v>
      </c>
      <c r="DL223" s="427">
        <f>-IF(AND(DL$11&gt;=EOMONTH('Construction Budget'!$K20,0),DL$11&lt;=EOMONTH('Construction Budget'!$M20,0)),('Construction Budget'!$G20+SUM($G223:DK223))/ROUND(((EOMONTH('Construction Budget'!$M20,0)-EOMONTH(DL$11,0))/30)+1,0),0)</f>
        <v>0</v>
      </c>
      <c r="DM223" s="427">
        <f>-IF(AND(DM$11&gt;=EOMONTH('Construction Budget'!$K20,0),DM$11&lt;=EOMONTH('Construction Budget'!$M20,0)),('Construction Budget'!$G20+SUM($G223:DL223))/ROUND(((EOMONTH('Construction Budget'!$M20,0)-EOMONTH(DM$11,0))/30)+1,0),0)</f>
        <v>0</v>
      </c>
      <c r="DN223" s="427">
        <f>-IF(AND(DN$11&gt;=EOMONTH('Construction Budget'!$K20,0),DN$11&lt;=EOMONTH('Construction Budget'!$M20,0)),('Construction Budget'!$G20+SUM($G223:DM223))/ROUND(((EOMONTH('Construction Budget'!$M20,0)-EOMONTH(DN$11,0))/30)+1,0),0)</f>
        <v>0</v>
      </c>
      <c r="DO223" s="427">
        <f>-IF(AND(DO$11&gt;=EOMONTH('Construction Budget'!$K20,0),DO$11&lt;=EOMONTH('Construction Budget'!$M20,0)),('Construction Budget'!$G20+SUM($G223:DN223))/ROUND(((EOMONTH('Construction Budget'!$M20,0)-EOMONTH(DO$11,0))/30)+1,0),0)</f>
        <v>0</v>
      </c>
      <c r="DP223" s="427">
        <f>-IF(AND(DP$11&gt;=EOMONTH('Construction Budget'!$K20,0),DP$11&lt;=EOMONTH('Construction Budget'!$M20,0)),('Construction Budget'!$G20+SUM($G223:DO223))/ROUND(((EOMONTH('Construction Budget'!$M20,0)-EOMONTH(DP$11,0))/30)+1,0),0)</f>
        <v>0</v>
      </c>
      <c r="DQ223" s="427">
        <f>-IF(AND(DQ$11&gt;=EOMONTH('Construction Budget'!$K20,0),DQ$11&lt;=EOMONTH('Construction Budget'!$M20,0)),('Construction Budget'!$G20+SUM($G223:DP223))/ROUND(((EOMONTH('Construction Budget'!$M20,0)-EOMONTH(DQ$11,0))/30)+1,0),0)</f>
        <v>0</v>
      </c>
      <c r="DR223" s="427">
        <f>-IF(AND(DR$11&gt;=EOMONTH('Construction Budget'!$K20,0),DR$11&lt;=EOMONTH('Construction Budget'!$M20,0)),('Construction Budget'!$G20+SUM($G223:DQ223))/ROUND(((EOMONTH('Construction Budget'!$M20,0)-EOMONTH(DR$11,0))/30)+1,0),0)</f>
        <v>0</v>
      </c>
      <c r="DS223" s="427">
        <f>-IF(AND(DS$11&gt;=EOMONTH('Construction Budget'!$K20,0),DS$11&lt;=EOMONTH('Construction Budget'!$M20,0)),('Construction Budget'!$G20+SUM($G223:DR223))/ROUND(((EOMONTH('Construction Budget'!$M20,0)-EOMONTH(DS$11,0))/30)+1,0),0)</f>
        <v>0</v>
      </c>
      <c r="DT223" s="427">
        <f>-IF(AND(DT$11&gt;=EOMONTH('Construction Budget'!$K20,0),DT$11&lt;=EOMONTH('Construction Budget'!$M20,0)),('Construction Budget'!$G20+SUM($G223:DS223))/ROUND(((EOMONTH('Construction Budget'!$M20,0)-EOMONTH(DT$11,0))/30)+1,0),0)</f>
        <v>0</v>
      </c>
      <c r="DU223" s="427">
        <f>-IF(AND(DU$11&gt;=EOMONTH('Construction Budget'!$K20,0),DU$11&lt;=EOMONTH('Construction Budget'!$M20,0)),('Construction Budget'!$G20+SUM($G223:DT223))/ROUND(((EOMONTH('Construction Budget'!$M20,0)-EOMONTH(DU$11,0))/30)+1,0),0)</f>
        <v>0</v>
      </c>
      <c r="DV223" s="427">
        <f>-IF(AND(DV$11&gt;=EOMONTH('Construction Budget'!$K20,0),DV$11&lt;=EOMONTH('Construction Budget'!$M20,0)),('Construction Budget'!$G20+SUM($G223:DU223))/ROUND(((EOMONTH('Construction Budget'!$M20,0)-EOMONTH(DV$11,0))/30)+1,0),0)</f>
        <v>0</v>
      </c>
      <c r="DW223" s="427">
        <f>-IF(AND(DW$11&gt;=EOMONTH('Construction Budget'!$K20,0),DW$11&lt;=EOMONTH('Construction Budget'!$M20,0)),('Construction Budget'!$G20+SUM($G223:DV223))/ROUND(((EOMONTH('Construction Budget'!$M20,0)-EOMONTH(DW$11,0))/30)+1,0),0)</f>
        <v>0</v>
      </c>
      <c r="DX223" s="427">
        <f>-IF(AND(DX$11&gt;=EOMONTH('Construction Budget'!$K20,0),DX$11&lt;=EOMONTH('Construction Budget'!$M20,0)),('Construction Budget'!$G20+SUM($G223:DW223))/ROUND(((EOMONTH('Construction Budget'!$M20,0)-EOMONTH(DX$11,0))/30)+1,0),0)</f>
        <v>0</v>
      </c>
      <c r="DY223" s="427">
        <f>-IF(AND(DY$11&gt;=EOMONTH('Construction Budget'!$K20,0),DY$11&lt;=EOMONTH('Construction Budget'!$M20,0)),('Construction Budget'!$G20+SUM($G223:DX223))/ROUND(((EOMONTH('Construction Budget'!$M20,0)-EOMONTH(DY$11,0))/30)+1,0),0)</f>
        <v>0</v>
      </c>
      <c r="DZ223" s="427">
        <f>-IF(AND(DZ$11&gt;=EOMONTH('Construction Budget'!$K20,0),DZ$11&lt;=EOMONTH('Construction Budget'!$M20,0)),('Construction Budget'!$G20+SUM($G223:DY223))/ROUND(((EOMONTH('Construction Budget'!$M20,0)-EOMONTH(DZ$11,0))/30)+1,0),0)</f>
        <v>0</v>
      </c>
      <c r="EA223" s="427">
        <f>-IF(AND(EA$11&gt;=EOMONTH('Construction Budget'!$K20,0),EA$11&lt;=EOMONTH('Construction Budget'!$M20,0)),('Construction Budget'!$G20+SUM($G223:DZ223))/ROUND(((EOMONTH('Construction Budget'!$M20,0)-EOMONTH(EA$11,0))/30)+1,0),0)</f>
        <v>0</v>
      </c>
      <c r="EB223" s="427">
        <f>-IF(AND(EB$11&gt;=EOMONTH('Construction Budget'!$K20,0),EB$11&lt;=EOMONTH('Construction Budget'!$M20,0)),('Construction Budget'!$G20+SUM($G223:EA223))/ROUND(((EOMONTH('Construction Budget'!$M20,0)-EOMONTH(EB$11,0))/30)+1,0),0)</f>
        <v>0</v>
      </c>
      <c r="EC223" s="427">
        <f>-IF(AND(EC$11&gt;=EOMONTH('Construction Budget'!$K20,0),EC$11&lt;=EOMONTH('Construction Budget'!$M20,0)),('Construction Budget'!$G20+SUM($G223:EB223))/ROUND(((EOMONTH('Construction Budget'!$M20,0)-EOMONTH(EC$11,0))/30)+1,0),0)</f>
        <v>0</v>
      </c>
      <c r="ED223" s="427">
        <f>-IF(AND(ED$11&gt;=EOMONTH('Construction Budget'!$K20,0),ED$11&lt;=EOMONTH('Construction Budget'!$M20,0)),('Construction Budget'!$G20+SUM($G223:EC223))/ROUND(((EOMONTH('Construction Budget'!$M20,0)-EOMONTH(ED$11,0))/30)+1,0),0)</f>
        <v>0</v>
      </c>
      <c r="EE223" s="427">
        <f>-IF(AND(EE$11&gt;=EOMONTH('Construction Budget'!$K20,0),EE$11&lt;=EOMONTH('Construction Budget'!$M20,0)),('Construction Budget'!$G20+SUM($G223:ED223))/ROUND(((EOMONTH('Construction Budget'!$M20,0)-EOMONTH(EE$11,0))/30)+1,0),0)</f>
        <v>0</v>
      </c>
      <c r="EF223" s="427">
        <f>-IF(AND(EF$11&gt;=EOMONTH('Construction Budget'!$K20,0),EF$11&lt;=EOMONTH('Construction Budget'!$M20,0)),('Construction Budget'!$G20+SUM($G223:EE223))/ROUND(((EOMONTH('Construction Budget'!$M20,0)-EOMONTH(EF$11,0))/30)+1,0),0)</f>
        <v>0</v>
      </c>
      <c r="EG223" s="427">
        <f>-IF(AND(EG$11&gt;=EOMONTH('Construction Budget'!$K20,0),EG$11&lt;=EOMONTH('Construction Budget'!$M20,0)),('Construction Budget'!$G20+SUM($G223:EF223))/ROUND(((EOMONTH('Construction Budget'!$M20,0)-EOMONTH(EG$11,0))/30)+1,0),0)</f>
        <v>0</v>
      </c>
      <c r="EH223" s="427">
        <f>-IF(AND(EH$11&gt;=EOMONTH('Construction Budget'!$K20,0),EH$11&lt;=EOMONTH('Construction Budget'!$M20,0)),('Construction Budget'!$G20+SUM($G223:EG223))/ROUND(((EOMONTH('Construction Budget'!$M20,0)-EOMONTH(EH$11,0))/30)+1,0),0)</f>
        <v>0</v>
      </c>
      <c r="EI223" s="427">
        <f>-IF(AND(EI$11&gt;=EOMONTH('Construction Budget'!$K20,0),EI$11&lt;=EOMONTH('Construction Budget'!$M20,0)),('Construction Budget'!$G20+SUM($G223:EH223))/ROUND(((EOMONTH('Construction Budget'!$M20,0)-EOMONTH(EI$11,0))/30)+1,0),0)</f>
        <v>0</v>
      </c>
      <c r="EJ223" s="427">
        <f>-IF(AND(EJ$11&gt;=EOMONTH('Construction Budget'!$K20,0),EJ$11&lt;=EOMONTH('Construction Budget'!$M20,0)),('Construction Budget'!$G20+SUM($G223:EI223))/ROUND(((EOMONTH('Construction Budget'!$M20,0)-EOMONTH(EJ$11,0))/30)+1,0),0)</f>
        <v>0</v>
      </c>
      <c r="EK223" s="427">
        <f>-IF(AND(EK$11&gt;=EOMONTH('Construction Budget'!$K20,0),EK$11&lt;=EOMONTH('Construction Budget'!$M20,0)),('Construction Budget'!$G20+SUM($G223:EJ223))/ROUND(((EOMONTH('Construction Budget'!$M20,0)-EOMONTH(EK$11,0))/30)+1,0),0)</f>
        <v>0</v>
      </c>
      <c r="EL223" s="427">
        <f>-IF(AND(EL$11&gt;=EOMONTH('Construction Budget'!$K20,0),EL$11&lt;=EOMONTH('Construction Budget'!$M20,0)),('Construction Budget'!$G20+SUM($G223:EK223))/ROUND(((EOMONTH('Construction Budget'!$M20,0)-EOMONTH(EL$11,0))/30)+1,0),0)</f>
        <v>0</v>
      </c>
      <c r="EM223" s="427">
        <f>-IF(AND(EM$11&gt;=EOMONTH('Construction Budget'!$K20,0),EM$11&lt;=EOMONTH('Construction Budget'!$M20,0)),('Construction Budget'!$G20+SUM($G223:EL223))/ROUND(((EOMONTH('Construction Budget'!$M20,0)-EOMONTH(EM$11,0))/30)+1,0),0)</f>
        <v>0</v>
      </c>
      <c r="EN223" s="427">
        <f>-IF(AND(EN$11&gt;=EOMONTH('Construction Budget'!$K20,0),EN$11&lt;=EOMONTH('Construction Budget'!$M20,0)),('Construction Budget'!$G20+SUM($G223:EM223))/ROUND(((EOMONTH('Construction Budget'!$M20,0)-EOMONTH(EN$11,0))/30)+1,0),0)</f>
        <v>0</v>
      </c>
      <c r="EO223" s="427">
        <f>-IF(AND(EO$11&gt;=EOMONTH('Construction Budget'!$K20,0),EO$11&lt;=EOMONTH('Construction Budget'!$M20,0)),('Construction Budget'!$G20+SUM($G223:EN223))/ROUND(((EOMONTH('Construction Budget'!$M20,0)-EOMONTH(EO$11,0))/30)+1,0),0)</f>
        <v>0</v>
      </c>
      <c r="EP223" s="427">
        <f>-IF(AND(EP$11&gt;=EOMONTH('Construction Budget'!$K20,0),EP$11&lt;=EOMONTH('Construction Budget'!$M20,0)),('Construction Budget'!$G20+SUM($G223:EO223))/ROUND(((EOMONTH('Construction Budget'!$M20,0)-EOMONTH(EP$11,0))/30)+1,0),0)</f>
        <v>0</v>
      </c>
      <c r="EQ223" s="427">
        <f>-IF(AND(EQ$11&gt;=EOMONTH('Construction Budget'!$K20,0),EQ$11&lt;=EOMONTH('Construction Budget'!$M20,0)),('Construction Budget'!$G20+SUM($G223:EP223))/ROUND(((EOMONTH('Construction Budget'!$M20,0)-EOMONTH(EQ$11,0))/30)+1,0),0)</f>
        <v>0</v>
      </c>
      <c r="ER223" s="427">
        <f>-IF(AND(ER$11&gt;=EOMONTH('Construction Budget'!$K20,0),ER$11&lt;=EOMONTH('Construction Budget'!$M20,0)),('Construction Budget'!$G20+SUM($G223:EQ223))/ROUND(((EOMONTH('Construction Budget'!$M20,0)-EOMONTH(ER$11,0))/30)+1,0),0)</f>
        <v>0</v>
      </c>
      <c r="ES223" s="427">
        <f>-IF(AND(ES$11&gt;=EOMONTH('Construction Budget'!$K20,0),ES$11&lt;=EOMONTH('Construction Budget'!$M20,0)),('Construction Budget'!$G20+SUM($G223:ER223))/ROUND(((EOMONTH('Construction Budget'!$M20,0)-EOMONTH(ES$11,0))/30)+1,0),0)</f>
        <v>0</v>
      </c>
      <c r="ET223" s="427">
        <f>-IF(AND(ET$11&gt;=EOMONTH('Construction Budget'!$K20,0),ET$11&lt;=EOMONTH('Construction Budget'!$M20,0)),('Construction Budget'!$G20+SUM($G223:ES223))/ROUND(((EOMONTH('Construction Budget'!$M20,0)-EOMONTH(ET$11,0))/30)+1,0),0)</f>
        <v>0</v>
      </c>
      <c r="EU223" s="427">
        <f>-IF(AND(EU$11&gt;=EOMONTH('Construction Budget'!$K20,0),EU$11&lt;=EOMONTH('Construction Budget'!$M20,0)),('Construction Budget'!$G20+SUM($G223:ET223))/ROUND(((EOMONTH('Construction Budget'!$M20,0)-EOMONTH(EU$11,0))/30)+1,0),0)</f>
        <v>0</v>
      </c>
      <c r="EV223" s="427">
        <f>-IF(AND(EV$11&gt;=EOMONTH('Construction Budget'!$K20,0),EV$11&lt;=EOMONTH('Construction Budget'!$M20,0)),('Construction Budget'!$G20+SUM($G223:EU223))/ROUND(((EOMONTH('Construction Budget'!$M20,0)-EOMONTH(EV$11,0))/30)+1,0),0)</f>
        <v>0</v>
      </c>
      <c r="EW223" s="427">
        <f>-IF(AND(EW$11&gt;=EOMONTH('Construction Budget'!$K20,0),EW$11&lt;=EOMONTH('Construction Budget'!$M20,0)),('Construction Budget'!$G20+SUM($G223:EV223))/ROUND(((EOMONTH('Construction Budget'!$M20,0)-EOMONTH(EW$11,0))/30)+1,0),0)</f>
        <v>0</v>
      </c>
      <c r="EX223" s="427">
        <f>-IF(AND(EX$11&gt;=EOMONTH('Construction Budget'!$K20,0),EX$11&lt;=EOMONTH('Construction Budget'!$M20,0)),('Construction Budget'!$G20+SUM($G223:EW223))/ROUND(((EOMONTH('Construction Budget'!$M20,0)-EOMONTH(EX$11,0))/30)+1,0),0)</f>
        <v>0</v>
      </c>
      <c r="EY223" s="427">
        <f>-IF(AND(EY$11&gt;=EOMONTH('Construction Budget'!$K20,0),EY$11&lt;=EOMONTH('Construction Budget'!$M20,0)),('Construction Budget'!$G20+SUM($G223:EX223))/ROUND(((EOMONTH('Construction Budget'!$M20,0)-EOMONTH(EY$11,0))/30)+1,0),0)</f>
        <v>0</v>
      </c>
      <c r="EZ223" s="427">
        <f>-IF(AND(EZ$11&gt;=EOMONTH('Construction Budget'!$K20,0),EZ$11&lt;=EOMONTH('Construction Budget'!$M20,0)),('Construction Budget'!$G20+SUM($G223:EY223))/ROUND(((EOMONTH('Construction Budget'!$M20,0)-EOMONTH(EZ$11,0))/30)+1,0),0)</f>
        <v>0</v>
      </c>
      <c r="FA223" s="427">
        <f>-IF(AND(FA$11&gt;=EOMONTH('Construction Budget'!$K20,0),FA$11&lt;=EOMONTH('Construction Budget'!$M20,0)),('Construction Budget'!$G20+SUM($G223:EZ223))/ROUND(((EOMONTH('Construction Budget'!$M20,0)-EOMONTH(FA$11,0))/30)+1,0),0)</f>
        <v>0</v>
      </c>
      <c r="FB223" s="427">
        <f>-IF(AND(FB$11&gt;=EOMONTH('Construction Budget'!$K20,0),FB$11&lt;=EOMONTH('Construction Budget'!$M20,0)),('Construction Budget'!$G20+SUM($G223:FA223))/ROUND(((EOMONTH('Construction Budget'!$M20,0)-EOMONTH(FB$11,0))/30)+1,0),0)</f>
        <v>0</v>
      </c>
      <c r="FC223" s="427">
        <f>-IF(AND(FC$11&gt;=EOMONTH('Construction Budget'!$K20,0),FC$11&lt;=EOMONTH('Construction Budget'!$M20,0)),('Construction Budget'!$G20+SUM($G223:FB223))/ROUND(((EOMONTH('Construction Budget'!$M20,0)-EOMONTH(FC$11,0))/30)+1,0),0)</f>
        <v>0</v>
      </c>
      <c r="FD223" s="427">
        <f>-IF(AND(FD$11&gt;=EOMONTH('Construction Budget'!$K20,0),FD$11&lt;=EOMONTH('Construction Budget'!$M20,0)),('Construction Budget'!$G20+SUM($G223:FC223))/ROUND(((EOMONTH('Construction Budget'!$M20,0)-EOMONTH(FD$11,0))/30)+1,0),0)</f>
        <v>0</v>
      </c>
      <c r="FE223" s="427">
        <f>-IF(AND(FE$11&gt;=EOMONTH('Construction Budget'!$K20,0),FE$11&lt;=EOMONTH('Construction Budget'!$M20,0)),('Construction Budget'!$G20+SUM($G223:FD223))/ROUND(((EOMONTH('Construction Budget'!$M20,0)-EOMONTH(FE$11,0))/30)+1,0),0)</f>
        <v>0</v>
      </c>
      <c r="FF223" s="427">
        <f>-IF(AND(FF$11&gt;=EOMONTH('Construction Budget'!$K20,0),FF$11&lt;=EOMONTH('Construction Budget'!$M20,0)),('Construction Budget'!$G20+SUM($G223:FE223))/ROUND(((EOMONTH('Construction Budget'!$M20,0)-EOMONTH(FF$11,0))/30)+1,0),0)</f>
        <v>0</v>
      </c>
      <c r="FG223" s="427">
        <f>-IF(AND(FG$11&gt;=EOMONTH('Construction Budget'!$K20,0),FG$11&lt;=EOMONTH('Construction Budget'!$M20,0)),('Construction Budget'!$G20+SUM($G223:FF223))/ROUND(((EOMONTH('Construction Budget'!$M20,0)-EOMONTH(FG$11,0))/30)+1,0),0)</f>
        <v>0</v>
      </c>
      <c r="FH223" s="427">
        <f>-IF(AND(FH$11&gt;=EOMONTH('Construction Budget'!$K20,0),FH$11&lt;=EOMONTH('Construction Budget'!$M20,0)),('Construction Budget'!$G20+SUM($G223:FG223))/ROUND(((EOMONTH('Construction Budget'!$M20,0)-EOMONTH(FH$11,0))/30)+1,0),0)</f>
        <v>0</v>
      </c>
      <c r="FI223" s="427">
        <f>-IF(AND(FI$11&gt;=EOMONTH('Construction Budget'!$K20,0),FI$11&lt;=EOMONTH('Construction Budget'!$M20,0)),('Construction Budget'!$G20+SUM($G223:FH223))/ROUND(((EOMONTH('Construction Budget'!$M20,0)-EOMONTH(FI$11,0))/30)+1,0),0)</f>
        <v>0</v>
      </c>
      <c r="FJ223" s="427">
        <f>-IF(AND(FJ$11&gt;=EOMONTH('Construction Budget'!$K20,0),FJ$11&lt;=EOMONTH('Construction Budget'!$M20,0)),('Construction Budget'!$G20+SUM($G223:FI223))/ROUND(((EOMONTH('Construction Budget'!$M20,0)-EOMONTH(FJ$11,0))/30)+1,0),0)</f>
        <v>0</v>
      </c>
      <c r="FK223" s="427">
        <f>-IF(AND(FK$11&gt;=EOMONTH('Construction Budget'!$K20,0),FK$11&lt;=EOMONTH('Construction Budget'!$M20,0)),('Construction Budget'!$G20+SUM($G223:FJ223))/ROUND(((EOMONTH('Construction Budget'!$M20,0)-EOMONTH(FK$11,0))/30)+1,0),0)</f>
        <v>0</v>
      </c>
      <c r="FL223" s="427">
        <f>-IF(AND(FL$11&gt;=EOMONTH('Construction Budget'!$K20,0),FL$11&lt;=EOMONTH('Construction Budget'!$M20,0)),('Construction Budget'!$G20+SUM($G223:FK223))/ROUND(((EOMONTH('Construction Budget'!$M20,0)-EOMONTH(FL$11,0))/30)+1,0),0)</f>
        <v>0</v>
      </c>
      <c r="FM223" s="427">
        <f>-IF(AND(FM$11&gt;=EOMONTH('Construction Budget'!$K20,0),FM$11&lt;=EOMONTH('Construction Budget'!$M20,0)),('Construction Budget'!$G20+SUM($G223:FL223))/ROUND(((EOMONTH('Construction Budget'!$M20,0)-EOMONTH(FM$11,0))/30)+1,0),0)</f>
        <v>0</v>
      </c>
      <c r="FN223" s="427">
        <f>-IF(AND(FN$11&gt;=EOMONTH('Construction Budget'!$K20,0),FN$11&lt;=EOMONTH('Construction Budget'!$M20,0)),('Construction Budget'!$G20+SUM($G223:FM223))/ROUND(((EOMONTH('Construction Budget'!$M20,0)-EOMONTH(FN$11,0))/30)+1,0),0)</f>
        <v>0</v>
      </c>
      <c r="FO223" s="427">
        <f>-IF(AND(FO$11&gt;=EOMONTH('Construction Budget'!$K20,0),FO$11&lt;=EOMONTH('Construction Budget'!$M20,0)),('Construction Budget'!$G20+SUM($G223:FN223))/ROUND(((EOMONTH('Construction Budget'!$M20,0)-EOMONTH(FO$11,0))/30)+1,0),0)</f>
        <v>0</v>
      </c>
      <c r="FP223" s="427">
        <f>-IF(AND(FP$11&gt;=EOMONTH('Construction Budget'!$K20,0),FP$11&lt;=EOMONTH('Construction Budget'!$M20,0)),('Construction Budget'!$G20+SUM($G223:FO223))/ROUND(((EOMONTH('Construction Budget'!$M20,0)-EOMONTH(FP$11,0))/30)+1,0),0)</f>
        <v>0</v>
      </c>
      <c r="FQ223" s="427">
        <f>-IF(AND(FQ$11&gt;=EOMONTH('Construction Budget'!$K20,0),FQ$11&lt;=EOMONTH('Construction Budget'!$M20,0)),('Construction Budget'!$G20+SUM($G223:FP223))/ROUND(((EOMONTH('Construction Budget'!$M20,0)-EOMONTH(FQ$11,0))/30)+1,0),0)</f>
        <v>0</v>
      </c>
      <c r="FR223" s="427">
        <f>-IF(AND(FR$11&gt;=EOMONTH('Construction Budget'!$K20,0),FR$11&lt;=EOMONTH('Construction Budget'!$M20,0)),('Construction Budget'!$G20+SUM($G223:FQ223))/ROUND(((EOMONTH('Construction Budget'!$M20,0)-EOMONTH(FR$11,0))/30)+1,0),0)</f>
        <v>0</v>
      </c>
      <c r="FS223" s="427">
        <f>-IF(AND(FS$11&gt;=EOMONTH('Construction Budget'!$K20,0),FS$11&lt;=EOMONTH('Construction Budget'!$M20,0)),('Construction Budget'!$G20+SUM($G223:FR223))/ROUND(((EOMONTH('Construction Budget'!$M20,0)-EOMONTH(FS$11,0))/30)+1,0),0)</f>
        <v>0</v>
      </c>
      <c r="FT223" s="427">
        <f>-IF(AND(FT$11&gt;=EOMONTH('Construction Budget'!$K20,0),FT$11&lt;=EOMONTH('Construction Budget'!$M20,0)),('Construction Budget'!$G20+SUM($G223:FS223))/ROUND(((EOMONTH('Construction Budget'!$M20,0)-EOMONTH(FT$11,0))/30)+1,0),0)</f>
        <v>0</v>
      </c>
      <c r="FU223" s="43"/>
      <c r="FV223" s="34"/>
      <c r="FW223" s="34"/>
      <c r="FX223" s="34"/>
      <c r="FY223" s="34"/>
      <c r="FZ223" s="34"/>
    </row>
    <row r="224" spans="1:182" s="89" customFormat="1" ht="13.5" hidden="1" outlineLevel="2" x14ac:dyDescent="0.25">
      <c r="A224" s="498"/>
      <c r="B224" s="128" t="str">
        <f>'Construction Budget'!B21</f>
        <v>Blank</v>
      </c>
      <c r="C224" s="34"/>
      <c r="D224" s="34"/>
      <c r="E224" s="34"/>
      <c r="F224" s="434">
        <f t="shared" si="240"/>
        <v>0</v>
      </c>
      <c r="G224" s="34"/>
      <c r="H224" s="427">
        <f>-IF(AND(H$11&gt;=EOMONTH('Construction Budget'!$K21,0),H$11&lt;=EOMONTH('Construction Budget'!$M21,0)),('Construction Budget'!$G21+SUM($G224:G224))/ROUND(((EOMONTH('Construction Budget'!$M21,0)-EOMONTH(H$11,0))/30)+1,0),0)</f>
        <v>0</v>
      </c>
      <c r="I224" s="427">
        <f>-IF(AND(I$11&gt;=EOMONTH('Construction Budget'!$K21,0),I$11&lt;=EOMONTH('Construction Budget'!$M21,0)),('Construction Budget'!$G21+SUM($G224:H224))/ROUND(((EOMONTH('Construction Budget'!$M21,0)-EOMONTH(I$11,0))/30)+1,0),0)</f>
        <v>0</v>
      </c>
      <c r="J224" s="427">
        <f>-IF(AND(J$11&gt;=EOMONTH('Construction Budget'!$K21,0),J$11&lt;=EOMONTH('Construction Budget'!$M21,0)),('Construction Budget'!$G21+SUM($G224:I224))/ROUND(((EOMONTH('Construction Budget'!$M21,0)-EOMONTH(J$11,0))/30)+1,0),0)</f>
        <v>0</v>
      </c>
      <c r="K224" s="427">
        <f>-IF(AND(K$11&gt;=EOMONTH('Construction Budget'!$K21,0),K$11&lt;=EOMONTH('Construction Budget'!$M21,0)),('Construction Budget'!$G21+SUM($G224:J224))/ROUND(((EOMONTH('Construction Budget'!$M21,0)-EOMONTH(K$11,0))/30)+1,0),0)</f>
        <v>0</v>
      </c>
      <c r="L224" s="427">
        <f>-IF(AND(L$11&gt;=EOMONTH('Construction Budget'!$K21,0),L$11&lt;=EOMONTH('Construction Budget'!$M21,0)),('Construction Budget'!$G21+SUM($G224:K224))/ROUND(((EOMONTH('Construction Budget'!$M21,0)-EOMONTH(L$11,0))/30)+1,0),0)</f>
        <v>0</v>
      </c>
      <c r="M224" s="427">
        <f>-IF(AND(M$11&gt;=EOMONTH('Construction Budget'!$K21,0),M$11&lt;=EOMONTH('Construction Budget'!$M21,0)),('Construction Budget'!$G21+SUM($G224:L224))/ROUND(((EOMONTH('Construction Budget'!$M21,0)-EOMONTH(M$11,0))/30)+1,0),0)</f>
        <v>0</v>
      </c>
      <c r="N224" s="427">
        <f>-IF(AND(N$11&gt;=EOMONTH('Construction Budget'!$K21,0),N$11&lt;=EOMONTH('Construction Budget'!$M21,0)),('Construction Budget'!$G21+SUM($G224:M224))/ROUND(((EOMONTH('Construction Budget'!$M21,0)-EOMONTH(N$11,0))/30)+1,0),0)</f>
        <v>0</v>
      </c>
      <c r="O224" s="427">
        <f>-IF(AND(O$11&gt;=EOMONTH('Construction Budget'!$K21,0),O$11&lt;=EOMONTH('Construction Budget'!$M21,0)),('Construction Budget'!$G21+SUM($G224:N224))/ROUND(((EOMONTH('Construction Budget'!$M21,0)-EOMONTH(O$11,0))/30)+1,0),0)</f>
        <v>0</v>
      </c>
      <c r="P224" s="427">
        <f>-IF(AND(P$11&gt;=EOMONTH('Construction Budget'!$K21,0),P$11&lt;=EOMONTH('Construction Budget'!$M21,0)),('Construction Budget'!$G21+SUM($G224:O224))/ROUND(((EOMONTH('Construction Budget'!$M21,0)-EOMONTH(P$11,0))/30)+1,0),0)</f>
        <v>0</v>
      </c>
      <c r="Q224" s="427">
        <f>-IF(AND(Q$11&gt;=EOMONTH('Construction Budget'!$K21,0),Q$11&lt;=EOMONTH('Construction Budget'!$M21,0)),('Construction Budget'!$G21+SUM($G224:P224))/ROUND(((EOMONTH('Construction Budget'!$M21,0)-EOMONTH(Q$11,0))/30)+1,0),0)</f>
        <v>0</v>
      </c>
      <c r="R224" s="427">
        <f>-IF(AND(R$11&gt;=EOMONTH('Construction Budget'!$K21,0),R$11&lt;=EOMONTH('Construction Budget'!$M21,0)),('Construction Budget'!$G21+SUM($G224:Q224))/ROUND(((EOMONTH('Construction Budget'!$M21,0)-EOMONTH(R$11,0))/30)+1,0),0)</f>
        <v>0</v>
      </c>
      <c r="S224" s="427">
        <f>-IF(AND(S$11&gt;=EOMONTH('Construction Budget'!$K21,0),S$11&lt;=EOMONTH('Construction Budget'!$M21,0)),('Construction Budget'!$G21+SUM($G224:R224))/ROUND(((EOMONTH('Construction Budget'!$M21,0)-EOMONTH(S$11,0))/30)+1,0),0)</f>
        <v>0</v>
      </c>
      <c r="T224" s="427">
        <f>-IF(AND(T$11&gt;=EOMONTH('Construction Budget'!$K21,0),T$11&lt;=EOMONTH('Construction Budget'!$M21,0)),('Construction Budget'!$G21+SUM($G224:S224))/ROUND(((EOMONTH('Construction Budget'!$M21,0)-EOMONTH(T$11,0))/30)+1,0),0)</f>
        <v>0</v>
      </c>
      <c r="U224" s="427">
        <f>-IF(AND(U$11&gt;=EOMONTH('Construction Budget'!$K21,0),U$11&lt;=EOMONTH('Construction Budget'!$M21,0)),('Construction Budget'!$G21+SUM($G224:T224))/ROUND(((EOMONTH('Construction Budget'!$M21,0)-EOMONTH(U$11,0))/30)+1,0),0)</f>
        <v>0</v>
      </c>
      <c r="V224" s="427">
        <f>-IF(AND(V$11&gt;=EOMONTH('Construction Budget'!$K21,0),V$11&lt;=EOMONTH('Construction Budget'!$M21,0)),('Construction Budget'!$G21+SUM($G224:U224))/ROUND(((EOMONTH('Construction Budget'!$M21,0)-EOMONTH(V$11,0))/30)+1,0),0)</f>
        <v>0</v>
      </c>
      <c r="W224" s="427">
        <f>-IF(AND(W$11&gt;=EOMONTH('Construction Budget'!$K21,0),W$11&lt;=EOMONTH('Construction Budget'!$M21,0)),('Construction Budget'!$G21+SUM($G224:V224))/ROUND(((EOMONTH('Construction Budget'!$M21,0)-EOMONTH(W$11,0))/30)+1,0),0)</f>
        <v>0</v>
      </c>
      <c r="X224" s="427">
        <f>-IF(AND(X$11&gt;=EOMONTH('Construction Budget'!$K21,0),X$11&lt;=EOMONTH('Construction Budget'!$M21,0)),('Construction Budget'!$G21+SUM($G224:W224))/ROUND(((EOMONTH('Construction Budget'!$M21,0)-EOMONTH(X$11,0))/30)+1,0),0)</f>
        <v>0</v>
      </c>
      <c r="Y224" s="427">
        <f>-IF(AND(Y$11&gt;=EOMONTH('Construction Budget'!$K21,0),Y$11&lt;=EOMONTH('Construction Budget'!$M21,0)),('Construction Budget'!$G21+SUM($G224:X224))/ROUND(((EOMONTH('Construction Budget'!$M21,0)-EOMONTH(Y$11,0))/30)+1,0),0)</f>
        <v>0</v>
      </c>
      <c r="Z224" s="427">
        <f>-IF(AND(Z$11&gt;=EOMONTH('Construction Budget'!$K21,0),Z$11&lt;=EOMONTH('Construction Budget'!$M21,0)),('Construction Budget'!$G21+SUM($G224:Y224))/ROUND(((EOMONTH('Construction Budget'!$M21,0)-EOMONTH(Z$11,0))/30)+1,0),0)</f>
        <v>0</v>
      </c>
      <c r="AA224" s="427">
        <f>-IF(AND(AA$11&gt;=EOMONTH('Construction Budget'!$K21,0),AA$11&lt;=EOMONTH('Construction Budget'!$M21,0)),('Construction Budget'!$G21+SUM($G224:Z224))/ROUND(((EOMONTH('Construction Budget'!$M21,0)-EOMONTH(AA$11,0))/30)+1,0),0)</f>
        <v>0</v>
      </c>
      <c r="AB224" s="427">
        <f>-IF(AND(AB$11&gt;=EOMONTH('Construction Budget'!$K21,0),AB$11&lt;=EOMONTH('Construction Budget'!$M21,0)),('Construction Budget'!$G21+SUM($G224:AA224))/ROUND(((EOMONTH('Construction Budget'!$M21,0)-EOMONTH(AB$11,0))/30)+1,0),0)</f>
        <v>0</v>
      </c>
      <c r="AC224" s="427">
        <f>-IF(AND(AC$11&gt;=EOMONTH('Construction Budget'!$K21,0),AC$11&lt;=EOMONTH('Construction Budget'!$M21,0)),('Construction Budget'!$G21+SUM($G224:AB224))/ROUND(((EOMONTH('Construction Budget'!$M21,0)-EOMONTH(AC$11,0))/30)+1,0),0)</f>
        <v>0</v>
      </c>
      <c r="AD224" s="427">
        <f>-IF(AND(AD$11&gt;=EOMONTH('Construction Budget'!$K21,0),AD$11&lt;=EOMONTH('Construction Budget'!$M21,0)),('Construction Budget'!$G21+SUM($G224:AC224))/ROUND(((EOMONTH('Construction Budget'!$M21,0)-EOMONTH(AD$11,0))/30)+1,0),0)</f>
        <v>0</v>
      </c>
      <c r="AE224" s="427">
        <f>-IF(AND(AE$11&gt;=EOMONTH('Construction Budget'!$K21,0),AE$11&lt;=EOMONTH('Construction Budget'!$M21,0)),('Construction Budget'!$G21+SUM($G224:AD224))/ROUND(((EOMONTH('Construction Budget'!$M21,0)-EOMONTH(AE$11,0))/30)+1,0),0)</f>
        <v>0</v>
      </c>
      <c r="AF224" s="427">
        <f>-IF(AND(AF$11&gt;=EOMONTH('Construction Budget'!$K21,0),AF$11&lt;=EOMONTH('Construction Budget'!$M21,0)),('Construction Budget'!$G21+SUM($G224:AE224))/ROUND(((EOMONTH('Construction Budget'!$M21,0)-EOMONTH(AF$11,0))/30)+1,0),0)</f>
        <v>0</v>
      </c>
      <c r="AG224" s="427">
        <f>-IF(AND(AG$11&gt;=EOMONTH('Construction Budget'!$K21,0),AG$11&lt;=EOMONTH('Construction Budget'!$M21,0)),('Construction Budget'!$G21+SUM($G224:AF224))/ROUND(((EOMONTH('Construction Budget'!$M21,0)-EOMONTH(AG$11,0))/30)+1,0),0)</f>
        <v>0</v>
      </c>
      <c r="AH224" s="427">
        <f>-IF(AND(AH$11&gt;=EOMONTH('Construction Budget'!$K21,0),AH$11&lt;=EOMONTH('Construction Budget'!$M21,0)),('Construction Budget'!$G21+SUM($G224:AG224))/ROUND(((EOMONTH('Construction Budget'!$M21,0)-EOMONTH(AH$11,0))/30)+1,0),0)</f>
        <v>0</v>
      </c>
      <c r="AI224" s="427">
        <f>-IF(AND(AI$11&gt;=EOMONTH('Construction Budget'!$K21,0),AI$11&lt;=EOMONTH('Construction Budget'!$M21,0)),('Construction Budget'!$G21+SUM($G224:AH224))/ROUND(((EOMONTH('Construction Budget'!$M21,0)-EOMONTH(AI$11,0))/30)+1,0),0)</f>
        <v>0</v>
      </c>
      <c r="AJ224" s="427">
        <f>-IF(AND(AJ$11&gt;=EOMONTH('Construction Budget'!$K21,0),AJ$11&lt;=EOMONTH('Construction Budget'!$M21,0)),('Construction Budget'!$G21+SUM($G224:AI224))/ROUND(((EOMONTH('Construction Budget'!$M21,0)-EOMONTH(AJ$11,0))/30)+1,0),0)</f>
        <v>0</v>
      </c>
      <c r="AK224" s="427">
        <f>-IF(AND(AK$11&gt;=EOMONTH('Construction Budget'!$K21,0),AK$11&lt;=EOMONTH('Construction Budget'!$M21,0)),('Construction Budget'!$G21+SUM($G224:AJ224))/ROUND(((EOMONTH('Construction Budget'!$M21,0)-EOMONTH(AK$11,0))/30)+1,0),0)</f>
        <v>0</v>
      </c>
      <c r="AL224" s="427">
        <f>-IF(AND(AL$11&gt;=EOMONTH('Construction Budget'!$K21,0),AL$11&lt;=EOMONTH('Construction Budget'!$M21,0)),('Construction Budget'!$G21+SUM($G224:AK224))/ROUND(((EOMONTH('Construction Budget'!$M21,0)-EOMONTH(AL$11,0))/30)+1,0),0)</f>
        <v>0</v>
      </c>
      <c r="AM224" s="427">
        <f>-IF(AND(AM$11&gt;=EOMONTH('Construction Budget'!$K21,0),AM$11&lt;=EOMONTH('Construction Budget'!$M21,0)),('Construction Budget'!$G21+SUM($G224:AL224))/ROUND(((EOMONTH('Construction Budget'!$M21,0)-EOMONTH(AM$11,0))/30)+1,0),0)</f>
        <v>0</v>
      </c>
      <c r="AN224" s="427">
        <f>-IF(AND(AN$11&gt;=EOMONTH('Construction Budget'!$K21,0),AN$11&lt;=EOMONTH('Construction Budget'!$M21,0)),('Construction Budget'!$G21+SUM($G224:AM224))/ROUND(((EOMONTH('Construction Budget'!$M21,0)-EOMONTH(AN$11,0))/30)+1,0),0)</f>
        <v>0</v>
      </c>
      <c r="AO224" s="427">
        <f>-IF(AND(AO$11&gt;=EOMONTH('Construction Budget'!$K21,0),AO$11&lt;=EOMONTH('Construction Budget'!$M21,0)),('Construction Budget'!$G21+SUM($G224:AN224))/ROUND(((EOMONTH('Construction Budget'!$M21,0)-EOMONTH(AO$11,0))/30)+1,0),0)</f>
        <v>0</v>
      </c>
      <c r="AP224" s="427">
        <f>-IF(AND(AP$11&gt;=EOMONTH('Construction Budget'!$K21,0),AP$11&lt;=EOMONTH('Construction Budget'!$M21,0)),('Construction Budget'!$G21+SUM($G224:AO224))/ROUND(((EOMONTH('Construction Budget'!$M21,0)-EOMONTH(AP$11,0))/30)+1,0),0)</f>
        <v>0</v>
      </c>
      <c r="AQ224" s="427">
        <f>-IF(AND(AQ$11&gt;=EOMONTH('Construction Budget'!$K21,0),AQ$11&lt;=EOMONTH('Construction Budget'!$M21,0)),('Construction Budget'!$G21+SUM($G224:AP224))/ROUND(((EOMONTH('Construction Budget'!$M21,0)-EOMONTH(AQ$11,0))/30)+1,0),0)</f>
        <v>0</v>
      </c>
      <c r="AR224" s="427">
        <f>-IF(AND(AR$11&gt;=EOMONTH('Construction Budget'!$K21,0),AR$11&lt;=EOMONTH('Construction Budget'!$M21,0)),('Construction Budget'!$G21+SUM($G224:AQ224))/ROUND(((EOMONTH('Construction Budget'!$M21,0)-EOMONTH(AR$11,0))/30)+1,0),0)</f>
        <v>0</v>
      </c>
      <c r="AS224" s="427">
        <f>-IF(AND(AS$11&gt;=EOMONTH('Construction Budget'!$K21,0),AS$11&lt;=EOMONTH('Construction Budget'!$M21,0)),('Construction Budget'!$G21+SUM($G224:AR224))/ROUND(((EOMONTH('Construction Budget'!$M21,0)-EOMONTH(AS$11,0))/30)+1,0),0)</f>
        <v>0</v>
      </c>
      <c r="AT224" s="427">
        <f>-IF(AND(AT$11&gt;=EOMONTH('Construction Budget'!$K21,0),AT$11&lt;=EOMONTH('Construction Budget'!$M21,0)),('Construction Budget'!$G21+SUM($G224:AS224))/ROUND(((EOMONTH('Construction Budget'!$M21,0)-EOMONTH(AT$11,0))/30)+1,0),0)</f>
        <v>0</v>
      </c>
      <c r="AU224" s="427">
        <f>-IF(AND(AU$11&gt;=EOMONTH('Construction Budget'!$K21,0),AU$11&lt;=EOMONTH('Construction Budget'!$M21,0)),('Construction Budget'!$G21+SUM($G224:AT224))/ROUND(((EOMONTH('Construction Budget'!$M21,0)-EOMONTH(AU$11,0))/30)+1,0),0)</f>
        <v>0</v>
      </c>
      <c r="AV224" s="427">
        <f>-IF(AND(AV$11&gt;=EOMONTH('Construction Budget'!$K21,0),AV$11&lt;=EOMONTH('Construction Budget'!$M21,0)),('Construction Budget'!$G21+SUM($G224:AU224))/ROUND(((EOMONTH('Construction Budget'!$M21,0)-EOMONTH(AV$11,0))/30)+1,0),0)</f>
        <v>0</v>
      </c>
      <c r="AW224" s="427">
        <f>-IF(AND(AW$11&gt;=EOMONTH('Construction Budget'!$K21,0),AW$11&lt;=EOMONTH('Construction Budget'!$M21,0)),('Construction Budget'!$G21+SUM($G224:AV224))/ROUND(((EOMONTH('Construction Budget'!$M21,0)-EOMONTH(AW$11,0))/30)+1,0),0)</f>
        <v>0</v>
      </c>
      <c r="AX224" s="427">
        <f>-IF(AND(AX$11&gt;=EOMONTH('Construction Budget'!$K21,0),AX$11&lt;=EOMONTH('Construction Budget'!$M21,0)),('Construction Budget'!$G21+SUM($G224:AW224))/ROUND(((EOMONTH('Construction Budget'!$M21,0)-EOMONTH(AX$11,0))/30)+1,0),0)</f>
        <v>0</v>
      </c>
      <c r="AY224" s="427">
        <f>-IF(AND(AY$11&gt;=EOMONTH('Construction Budget'!$K21,0),AY$11&lt;=EOMONTH('Construction Budget'!$M21,0)),('Construction Budget'!$G21+SUM($G224:AX224))/ROUND(((EOMONTH('Construction Budget'!$M21,0)-EOMONTH(AY$11,0))/30)+1,0),0)</f>
        <v>0</v>
      </c>
      <c r="AZ224" s="427">
        <f>-IF(AND(AZ$11&gt;=EOMONTH('Construction Budget'!$K21,0),AZ$11&lt;=EOMONTH('Construction Budget'!$M21,0)),('Construction Budget'!$G21+SUM($G224:AY224))/ROUND(((EOMONTH('Construction Budget'!$M21,0)-EOMONTH(AZ$11,0))/30)+1,0),0)</f>
        <v>0</v>
      </c>
      <c r="BA224" s="427">
        <f>-IF(AND(BA$11&gt;=EOMONTH('Construction Budget'!$K21,0),BA$11&lt;=EOMONTH('Construction Budget'!$M21,0)),('Construction Budget'!$G21+SUM($G224:AZ224))/ROUND(((EOMONTH('Construction Budget'!$M21,0)-EOMONTH(BA$11,0))/30)+1,0),0)</f>
        <v>0</v>
      </c>
      <c r="BB224" s="427">
        <f>-IF(AND(BB$11&gt;=EOMONTH('Construction Budget'!$K21,0),BB$11&lt;=EOMONTH('Construction Budget'!$M21,0)),('Construction Budget'!$G21+SUM($G224:BA224))/ROUND(((EOMONTH('Construction Budget'!$M21,0)-EOMONTH(BB$11,0))/30)+1,0),0)</f>
        <v>0</v>
      </c>
      <c r="BC224" s="427">
        <f>-IF(AND(BC$11&gt;=EOMONTH('Construction Budget'!$K21,0),BC$11&lt;=EOMONTH('Construction Budget'!$M21,0)),('Construction Budget'!$G21+SUM($G224:BB224))/ROUND(((EOMONTH('Construction Budget'!$M21,0)-EOMONTH(BC$11,0))/30)+1,0),0)</f>
        <v>0</v>
      </c>
      <c r="BD224" s="427">
        <f>-IF(AND(BD$11&gt;=EOMONTH('Construction Budget'!$K21,0),BD$11&lt;=EOMONTH('Construction Budget'!$M21,0)),('Construction Budget'!$G21+SUM($G224:BC224))/ROUND(((EOMONTH('Construction Budget'!$M21,0)-EOMONTH(BD$11,0))/30)+1,0),0)</f>
        <v>0</v>
      </c>
      <c r="BE224" s="427">
        <f>-IF(AND(BE$11&gt;=EOMONTH('Construction Budget'!$K21,0),BE$11&lt;=EOMONTH('Construction Budget'!$M21,0)),('Construction Budget'!$G21+SUM($G224:BD224))/ROUND(((EOMONTH('Construction Budget'!$M21,0)-EOMONTH(BE$11,0))/30)+1,0),0)</f>
        <v>0</v>
      </c>
      <c r="BF224" s="427">
        <f>-IF(AND(BF$11&gt;=EOMONTH('Construction Budget'!$K21,0),BF$11&lt;=EOMONTH('Construction Budget'!$M21,0)),('Construction Budget'!$G21+SUM($G224:BE224))/ROUND(((EOMONTH('Construction Budget'!$M21,0)-EOMONTH(BF$11,0))/30)+1,0),0)</f>
        <v>0</v>
      </c>
      <c r="BG224" s="427">
        <f>-IF(AND(BG$11&gt;=EOMONTH('Construction Budget'!$K21,0),BG$11&lt;=EOMONTH('Construction Budget'!$M21,0)),('Construction Budget'!$G21+SUM($G224:BF224))/ROUND(((EOMONTH('Construction Budget'!$M21,0)-EOMONTH(BG$11,0))/30)+1,0),0)</f>
        <v>0</v>
      </c>
      <c r="BH224" s="427">
        <f>-IF(AND(BH$11&gt;=EOMONTH('Construction Budget'!$K21,0),BH$11&lt;=EOMONTH('Construction Budget'!$M21,0)),('Construction Budget'!$G21+SUM($G224:BG224))/ROUND(((EOMONTH('Construction Budget'!$M21,0)-EOMONTH(BH$11,0))/30)+1,0),0)</f>
        <v>0</v>
      </c>
      <c r="BI224" s="427">
        <f>-IF(AND(BI$11&gt;=EOMONTH('Construction Budget'!$K21,0),BI$11&lt;=EOMONTH('Construction Budget'!$M21,0)),('Construction Budget'!$G21+SUM($G224:BH224))/ROUND(((EOMONTH('Construction Budget'!$M21,0)-EOMONTH(BI$11,0))/30)+1,0),0)</f>
        <v>0</v>
      </c>
      <c r="BJ224" s="427">
        <f>-IF(AND(BJ$11&gt;=EOMONTH('Construction Budget'!$K21,0),BJ$11&lt;=EOMONTH('Construction Budget'!$M21,0)),('Construction Budget'!$G21+SUM($G224:BI224))/ROUND(((EOMONTH('Construction Budget'!$M21,0)-EOMONTH(BJ$11,0))/30)+1,0),0)</f>
        <v>0</v>
      </c>
      <c r="BK224" s="427">
        <f>-IF(AND(BK$11&gt;=EOMONTH('Construction Budget'!$K21,0),BK$11&lt;=EOMONTH('Construction Budget'!$M21,0)),('Construction Budget'!$G21+SUM($G224:BJ224))/ROUND(((EOMONTH('Construction Budget'!$M21,0)-EOMONTH(BK$11,0))/30)+1,0),0)</f>
        <v>0</v>
      </c>
      <c r="BL224" s="427">
        <f>-IF(AND(BL$11&gt;=EOMONTH('Construction Budget'!$K21,0),BL$11&lt;=EOMONTH('Construction Budget'!$M21,0)),('Construction Budget'!$G21+SUM($G224:BK224))/ROUND(((EOMONTH('Construction Budget'!$M21,0)-EOMONTH(BL$11,0))/30)+1,0),0)</f>
        <v>0</v>
      </c>
      <c r="BM224" s="427">
        <f>-IF(AND(BM$11&gt;=EOMONTH('Construction Budget'!$K21,0),BM$11&lt;=EOMONTH('Construction Budget'!$M21,0)),('Construction Budget'!$G21+SUM($G224:BL224))/ROUND(((EOMONTH('Construction Budget'!$M21,0)-EOMONTH(BM$11,0))/30)+1,0),0)</f>
        <v>0</v>
      </c>
      <c r="BN224" s="427">
        <f>-IF(AND(BN$11&gt;=EOMONTH('Construction Budget'!$K21,0),BN$11&lt;=EOMONTH('Construction Budget'!$M21,0)),('Construction Budget'!$G21+SUM($G224:BM224))/ROUND(((EOMONTH('Construction Budget'!$M21,0)-EOMONTH(BN$11,0))/30)+1,0),0)</f>
        <v>0</v>
      </c>
      <c r="BO224" s="427">
        <f>-IF(AND(BO$11&gt;=EOMONTH('Construction Budget'!$K21,0),BO$11&lt;=EOMONTH('Construction Budget'!$M21,0)),('Construction Budget'!$G21+SUM($G224:BN224))/ROUND(((EOMONTH('Construction Budget'!$M21,0)-EOMONTH(BO$11,0))/30)+1,0),0)</f>
        <v>0</v>
      </c>
      <c r="BP224" s="427">
        <f>-IF(AND(BP$11&gt;=EOMONTH('Construction Budget'!$K21,0),BP$11&lt;=EOMONTH('Construction Budget'!$M21,0)),('Construction Budget'!$G21+SUM($G224:BO224))/ROUND(((EOMONTH('Construction Budget'!$M21,0)-EOMONTH(BP$11,0))/30)+1,0),0)</f>
        <v>0</v>
      </c>
      <c r="BQ224" s="427">
        <f>-IF(AND(BQ$11&gt;=EOMONTH('Construction Budget'!$K21,0),BQ$11&lt;=EOMONTH('Construction Budget'!$M21,0)),('Construction Budget'!$G21+SUM($G224:BP224))/ROUND(((EOMONTH('Construction Budget'!$M21,0)-EOMONTH(BQ$11,0))/30)+1,0),0)</f>
        <v>0</v>
      </c>
      <c r="BR224" s="427">
        <f>-IF(AND(BR$11&gt;=EOMONTH('Construction Budget'!$K21,0),BR$11&lt;=EOMONTH('Construction Budget'!$M21,0)),('Construction Budget'!$G21+SUM($G224:BQ224))/ROUND(((EOMONTH('Construction Budget'!$M21,0)-EOMONTH(BR$11,0))/30)+1,0),0)</f>
        <v>0</v>
      </c>
      <c r="BS224" s="427">
        <f>-IF(AND(BS$11&gt;=EOMONTH('Construction Budget'!$K21,0),BS$11&lt;=EOMONTH('Construction Budget'!$M21,0)),('Construction Budget'!$G21+SUM($G224:BR224))/ROUND(((EOMONTH('Construction Budget'!$M21,0)-EOMONTH(BS$11,0))/30)+1,0),0)</f>
        <v>0</v>
      </c>
      <c r="BT224" s="427">
        <f>-IF(AND(BT$11&gt;=EOMONTH('Construction Budget'!$K21,0),BT$11&lt;=EOMONTH('Construction Budget'!$M21,0)),('Construction Budget'!$G21+SUM($G224:BS224))/ROUND(((EOMONTH('Construction Budget'!$M21,0)-EOMONTH(BT$11,0))/30)+1,0),0)</f>
        <v>0</v>
      </c>
      <c r="BU224" s="427">
        <f>-IF(AND(BU$11&gt;=EOMONTH('Construction Budget'!$K21,0),BU$11&lt;=EOMONTH('Construction Budget'!$M21,0)),('Construction Budget'!$G21+SUM($G224:BT224))/ROUND(((EOMONTH('Construction Budget'!$M21,0)-EOMONTH(BU$11,0))/30)+1,0),0)</f>
        <v>0</v>
      </c>
      <c r="BV224" s="427">
        <f>-IF(AND(BV$11&gt;=EOMONTH('Construction Budget'!$K21,0),BV$11&lt;=EOMONTH('Construction Budget'!$M21,0)),('Construction Budget'!$G21+SUM($G224:BU224))/ROUND(((EOMONTH('Construction Budget'!$M21,0)-EOMONTH(BV$11,0))/30)+1,0),0)</f>
        <v>0</v>
      </c>
      <c r="BW224" s="427">
        <f>-IF(AND(BW$11&gt;=EOMONTH('Construction Budget'!$K21,0),BW$11&lt;=EOMONTH('Construction Budget'!$M21,0)),('Construction Budget'!$G21+SUM($G224:BV224))/ROUND(((EOMONTH('Construction Budget'!$M21,0)-EOMONTH(BW$11,0))/30)+1,0),0)</f>
        <v>0</v>
      </c>
      <c r="BX224" s="427">
        <f>-IF(AND(BX$11&gt;=EOMONTH('Construction Budget'!$K21,0),BX$11&lt;=EOMONTH('Construction Budget'!$M21,0)),('Construction Budget'!$G21+SUM($G224:BW224))/ROUND(((EOMONTH('Construction Budget'!$M21,0)-EOMONTH(BX$11,0))/30)+1,0),0)</f>
        <v>0</v>
      </c>
      <c r="BY224" s="427">
        <f>-IF(AND(BY$11&gt;=EOMONTH('Construction Budget'!$K21,0),BY$11&lt;=EOMONTH('Construction Budget'!$M21,0)),('Construction Budget'!$G21+SUM($G224:BX224))/ROUND(((EOMONTH('Construction Budget'!$M21,0)-EOMONTH(BY$11,0))/30)+1,0),0)</f>
        <v>0</v>
      </c>
      <c r="BZ224" s="427">
        <f>-IF(AND(BZ$11&gt;=EOMONTH('Construction Budget'!$K21,0),BZ$11&lt;=EOMONTH('Construction Budget'!$M21,0)),('Construction Budget'!$G21+SUM($G224:BY224))/ROUND(((EOMONTH('Construction Budget'!$M21,0)-EOMONTH(BZ$11,0))/30)+1,0),0)</f>
        <v>0</v>
      </c>
      <c r="CA224" s="427">
        <f>-IF(AND(CA$11&gt;=EOMONTH('Construction Budget'!$K21,0),CA$11&lt;=EOMONTH('Construction Budget'!$M21,0)),('Construction Budget'!$G21+SUM($G224:BZ224))/ROUND(((EOMONTH('Construction Budget'!$M21,0)-EOMONTH(CA$11,0))/30)+1,0),0)</f>
        <v>0</v>
      </c>
      <c r="CB224" s="427">
        <f>-IF(AND(CB$11&gt;=EOMONTH('Construction Budget'!$K21,0),CB$11&lt;=EOMONTH('Construction Budget'!$M21,0)),('Construction Budget'!$G21+SUM($G224:CA224))/ROUND(((EOMONTH('Construction Budget'!$M21,0)-EOMONTH(CB$11,0))/30)+1,0),0)</f>
        <v>0</v>
      </c>
      <c r="CC224" s="427">
        <f>-IF(AND(CC$11&gt;=EOMONTH('Construction Budget'!$K21,0),CC$11&lt;=EOMONTH('Construction Budget'!$M21,0)),('Construction Budget'!$G21+SUM($G224:CB224))/ROUND(((EOMONTH('Construction Budget'!$M21,0)-EOMONTH(CC$11,0))/30)+1,0),0)</f>
        <v>0</v>
      </c>
      <c r="CD224" s="427">
        <f>-IF(AND(CD$11&gt;=EOMONTH('Construction Budget'!$K21,0),CD$11&lt;=EOMONTH('Construction Budget'!$M21,0)),('Construction Budget'!$G21+SUM($G224:CC224))/ROUND(((EOMONTH('Construction Budget'!$M21,0)-EOMONTH(CD$11,0))/30)+1,0),0)</f>
        <v>0</v>
      </c>
      <c r="CE224" s="427">
        <f>-IF(AND(CE$11&gt;=EOMONTH('Construction Budget'!$K21,0),CE$11&lt;=EOMONTH('Construction Budget'!$M21,0)),('Construction Budget'!$G21+SUM($G224:CD224))/ROUND(((EOMONTH('Construction Budget'!$M21,0)-EOMONTH(CE$11,0))/30)+1,0),0)</f>
        <v>0</v>
      </c>
      <c r="CF224" s="427">
        <f>-IF(AND(CF$11&gt;=EOMONTH('Construction Budget'!$K21,0),CF$11&lt;=EOMONTH('Construction Budget'!$M21,0)),('Construction Budget'!$G21+SUM($G224:CE224))/ROUND(((EOMONTH('Construction Budget'!$M21,0)-EOMONTH(CF$11,0))/30)+1,0),0)</f>
        <v>0</v>
      </c>
      <c r="CG224" s="427">
        <f>-IF(AND(CG$11&gt;=EOMONTH('Construction Budget'!$K21,0),CG$11&lt;=EOMONTH('Construction Budget'!$M21,0)),('Construction Budget'!$G21+SUM($G224:CF224))/ROUND(((EOMONTH('Construction Budget'!$M21,0)-EOMONTH(CG$11,0))/30)+1,0),0)</f>
        <v>0</v>
      </c>
      <c r="CH224" s="427">
        <f>-IF(AND(CH$11&gt;=EOMONTH('Construction Budget'!$K21,0),CH$11&lt;=EOMONTH('Construction Budget'!$M21,0)),('Construction Budget'!$G21+SUM($G224:CG224))/ROUND(((EOMONTH('Construction Budget'!$M21,0)-EOMONTH(CH$11,0))/30)+1,0),0)</f>
        <v>0</v>
      </c>
      <c r="CI224" s="427">
        <f>-IF(AND(CI$11&gt;=EOMONTH('Construction Budget'!$K21,0),CI$11&lt;=EOMONTH('Construction Budget'!$M21,0)),('Construction Budget'!$G21+SUM($G224:CH224))/ROUND(((EOMONTH('Construction Budget'!$M21,0)-EOMONTH(CI$11,0))/30)+1,0),0)</f>
        <v>0</v>
      </c>
      <c r="CJ224" s="427">
        <f>-IF(AND(CJ$11&gt;=EOMONTH('Construction Budget'!$K21,0),CJ$11&lt;=EOMONTH('Construction Budget'!$M21,0)),('Construction Budget'!$G21+SUM($G224:CI224))/ROUND(((EOMONTH('Construction Budget'!$M21,0)-EOMONTH(CJ$11,0))/30)+1,0),0)</f>
        <v>0</v>
      </c>
      <c r="CK224" s="427">
        <f>-IF(AND(CK$11&gt;=EOMONTH('Construction Budget'!$K21,0),CK$11&lt;=EOMONTH('Construction Budget'!$M21,0)),('Construction Budget'!$G21+SUM($G224:CJ224))/ROUND(((EOMONTH('Construction Budget'!$M21,0)-EOMONTH(CK$11,0))/30)+1,0),0)</f>
        <v>0</v>
      </c>
      <c r="CL224" s="427">
        <f>-IF(AND(CL$11&gt;=EOMONTH('Construction Budget'!$K21,0),CL$11&lt;=EOMONTH('Construction Budget'!$M21,0)),('Construction Budget'!$G21+SUM($G224:CK224))/ROUND(((EOMONTH('Construction Budget'!$M21,0)-EOMONTH(CL$11,0))/30)+1,0),0)</f>
        <v>0</v>
      </c>
      <c r="CM224" s="427">
        <f>-IF(AND(CM$11&gt;=EOMONTH('Construction Budget'!$K21,0),CM$11&lt;=EOMONTH('Construction Budget'!$M21,0)),('Construction Budget'!$G21+SUM($G224:CL224))/ROUND(((EOMONTH('Construction Budget'!$M21,0)-EOMONTH(CM$11,0))/30)+1,0),0)</f>
        <v>0</v>
      </c>
      <c r="CN224" s="427">
        <f>-IF(AND(CN$11&gt;=EOMONTH('Construction Budget'!$K21,0),CN$11&lt;=EOMONTH('Construction Budget'!$M21,0)),('Construction Budget'!$G21+SUM($G224:CM224))/ROUND(((EOMONTH('Construction Budget'!$M21,0)-EOMONTH(CN$11,0))/30)+1,0),0)</f>
        <v>0</v>
      </c>
      <c r="CO224" s="427">
        <f>-IF(AND(CO$11&gt;=EOMONTH('Construction Budget'!$K21,0),CO$11&lt;=EOMONTH('Construction Budget'!$M21,0)),('Construction Budget'!$G21+SUM($G224:CN224))/ROUND(((EOMONTH('Construction Budget'!$M21,0)-EOMONTH(CO$11,0))/30)+1,0),0)</f>
        <v>0</v>
      </c>
      <c r="CP224" s="427">
        <f>-IF(AND(CP$11&gt;=EOMONTH('Construction Budget'!$K21,0),CP$11&lt;=EOMONTH('Construction Budget'!$M21,0)),('Construction Budget'!$G21+SUM($G224:CO224))/ROUND(((EOMONTH('Construction Budget'!$M21,0)-EOMONTH(CP$11,0))/30)+1,0),0)</f>
        <v>0</v>
      </c>
      <c r="CQ224" s="427">
        <f>-IF(AND(CQ$11&gt;=EOMONTH('Construction Budget'!$K21,0),CQ$11&lt;=EOMONTH('Construction Budget'!$M21,0)),('Construction Budget'!$G21+SUM($G224:CP224))/ROUND(((EOMONTH('Construction Budget'!$M21,0)-EOMONTH(CQ$11,0))/30)+1,0),0)</f>
        <v>0</v>
      </c>
      <c r="CR224" s="427">
        <f>-IF(AND(CR$11&gt;=EOMONTH('Construction Budget'!$K21,0),CR$11&lt;=EOMONTH('Construction Budget'!$M21,0)),('Construction Budget'!$G21+SUM($G224:CQ224))/ROUND(((EOMONTH('Construction Budget'!$M21,0)-EOMONTH(CR$11,0))/30)+1,0),0)</f>
        <v>0</v>
      </c>
      <c r="CS224" s="427">
        <f>-IF(AND(CS$11&gt;=EOMONTH('Construction Budget'!$K21,0),CS$11&lt;=EOMONTH('Construction Budget'!$M21,0)),('Construction Budget'!$G21+SUM($G224:CR224))/ROUND(((EOMONTH('Construction Budget'!$M21,0)-EOMONTH(CS$11,0))/30)+1,0),0)</f>
        <v>0</v>
      </c>
      <c r="CT224" s="427">
        <f>-IF(AND(CT$11&gt;=EOMONTH('Construction Budget'!$K21,0),CT$11&lt;=EOMONTH('Construction Budget'!$M21,0)),('Construction Budget'!$G21+SUM($G224:CS224))/ROUND(((EOMONTH('Construction Budget'!$M21,0)-EOMONTH(CT$11,0))/30)+1,0),0)</f>
        <v>0</v>
      </c>
      <c r="CU224" s="427">
        <f>-IF(AND(CU$11&gt;=EOMONTH('Construction Budget'!$K21,0),CU$11&lt;=EOMONTH('Construction Budget'!$M21,0)),('Construction Budget'!$G21+SUM($G224:CT224))/ROUND(((EOMONTH('Construction Budget'!$M21,0)-EOMONTH(CU$11,0))/30)+1,0),0)</f>
        <v>0</v>
      </c>
      <c r="CV224" s="427">
        <f>-IF(AND(CV$11&gt;=EOMONTH('Construction Budget'!$K21,0),CV$11&lt;=EOMONTH('Construction Budget'!$M21,0)),('Construction Budget'!$G21+SUM($G224:CU224))/ROUND(((EOMONTH('Construction Budget'!$M21,0)-EOMONTH(CV$11,0))/30)+1,0),0)</f>
        <v>0</v>
      </c>
      <c r="CW224" s="427">
        <f>-IF(AND(CW$11&gt;=EOMONTH('Construction Budget'!$K21,0),CW$11&lt;=EOMONTH('Construction Budget'!$M21,0)),('Construction Budget'!$G21+SUM($G224:CV224))/ROUND(((EOMONTH('Construction Budget'!$M21,0)-EOMONTH(CW$11,0))/30)+1,0),0)</f>
        <v>0</v>
      </c>
      <c r="CX224" s="427">
        <f>-IF(AND(CX$11&gt;=EOMONTH('Construction Budget'!$K21,0),CX$11&lt;=EOMONTH('Construction Budget'!$M21,0)),('Construction Budget'!$G21+SUM($G224:CW224))/ROUND(((EOMONTH('Construction Budget'!$M21,0)-EOMONTH(CX$11,0))/30)+1,0),0)</f>
        <v>0</v>
      </c>
      <c r="CY224" s="427">
        <f>-IF(AND(CY$11&gt;=EOMONTH('Construction Budget'!$K21,0),CY$11&lt;=EOMONTH('Construction Budget'!$M21,0)),('Construction Budget'!$G21+SUM($G224:CX224))/ROUND(((EOMONTH('Construction Budget'!$M21,0)-EOMONTH(CY$11,0))/30)+1,0),0)</f>
        <v>0</v>
      </c>
      <c r="CZ224" s="427">
        <f>-IF(AND(CZ$11&gt;=EOMONTH('Construction Budget'!$K21,0),CZ$11&lt;=EOMONTH('Construction Budget'!$M21,0)),('Construction Budget'!$G21+SUM($G224:CY224))/ROUND(((EOMONTH('Construction Budget'!$M21,0)-EOMONTH(CZ$11,0))/30)+1,0),0)</f>
        <v>0</v>
      </c>
      <c r="DA224" s="427">
        <f>-IF(AND(DA$11&gt;=EOMONTH('Construction Budget'!$K21,0),DA$11&lt;=EOMONTH('Construction Budget'!$M21,0)),('Construction Budget'!$G21+SUM($G224:CZ224))/ROUND(((EOMONTH('Construction Budget'!$M21,0)-EOMONTH(DA$11,0))/30)+1,0),0)</f>
        <v>0</v>
      </c>
      <c r="DB224" s="427">
        <f>-IF(AND(DB$11&gt;=EOMONTH('Construction Budget'!$K21,0),DB$11&lt;=EOMONTH('Construction Budget'!$M21,0)),('Construction Budget'!$G21+SUM($G224:DA224))/ROUND(((EOMONTH('Construction Budget'!$M21,0)-EOMONTH(DB$11,0))/30)+1,0),0)</f>
        <v>0</v>
      </c>
      <c r="DC224" s="427">
        <f>-IF(AND(DC$11&gt;=EOMONTH('Construction Budget'!$K21,0),DC$11&lt;=EOMONTH('Construction Budget'!$M21,0)),('Construction Budget'!$G21+SUM($G224:DB224))/ROUND(((EOMONTH('Construction Budget'!$M21,0)-EOMONTH(DC$11,0))/30)+1,0),0)</f>
        <v>0</v>
      </c>
      <c r="DD224" s="427">
        <f>-IF(AND(DD$11&gt;=EOMONTH('Construction Budget'!$K21,0),DD$11&lt;=EOMONTH('Construction Budget'!$M21,0)),('Construction Budget'!$G21+SUM($G224:DC224))/ROUND(((EOMONTH('Construction Budget'!$M21,0)-EOMONTH(DD$11,0))/30)+1,0),0)</f>
        <v>0</v>
      </c>
      <c r="DE224" s="427">
        <f>-IF(AND(DE$11&gt;=EOMONTH('Construction Budget'!$K21,0),DE$11&lt;=EOMONTH('Construction Budget'!$M21,0)),('Construction Budget'!$G21+SUM($G224:DD224))/ROUND(((EOMONTH('Construction Budget'!$M21,0)-EOMONTH(DE$11,0))/30)+1,0),0)</f>
        <v>0</v>
      </c>
      <c r="DF224" s="427">
        <f>-IF(AND(DF$11&gt;=EOMONTH('Construction Budget'!$K21,0),DF$11&lt;=EOMONTH('Construction Budget'!$M21,0)),('Construction Budget'!$G21+SUM($G224:DE224))/ROUND(((EOMONTH('Construction Budget'!$M21,0)-EOMONTH(DF$11,0))/30)+1,0),0)</f>
        <v>0</v>
      </c>
      <c r="DG224" s="427">
        <f>-IF(AND(DG$11&gt;=EOMONTH('Construction Budget'!$K21,0),DG$11&lt;=EOMONTH('Construction Budget'!$M21,0)),('Construction Budget'!$G21+SUM($G224:DF224))/ROUND(((EOMONTH('Construction Budget'!$M21,0)-EOMONTH(DG$11,0))/30)+1,0),0)</f>
        <v>0</v>
      </c>
      <c r="DH224" s="427">
        <f>-IF(AND(DH$11&gt;=EOMONTH('Construction Budget'!$K21,0),DH$11&lt;=EOMONTH('Construction Budget'!$M21,0)),('Construction Budget'!$G21+SUM($G224:DG224))/ROUND(((EOMONTH('Construction Budget'!$M21,0)-EOMONTH(DH$11,0))/30)+1,0),0)</f>
        <v>0</v>
      </c>
      <c r="DI224" s="427">
        <f>-IF(AND(DI$11&gt;=EOMONTH('Construction Budget'!$K21,0),DI$11&lt;=EOMONTH('Construction Budget'!$M21,0)),('Construction Budget'!$G21+SUM($G224:DH224))/ROUND(((EOMONTH('Construction Budget'!$M21,0)-EOMONTH(DI$11,0))/30)+1,0),0)</f>
        <v>0</v>
      </c>
      <c r="DJ224" s="427">
        <f>-IF(AND(DJ$11&gt;=EOMONTH('Construction Budget'!$K21,0),DJ$11&lt;=EOMONTH('Construction Budget'!$M21,0)),('Construction Budget'!$G21+SUM($G224:DI224))/ROUND(((EOMONTH('Construction Budget'!$M21,0)-EOMONTH(DJ$11,0))/30)+1,0),0)</f>
        <v>0</v>
      </c>
      <c r="DK224" s="427">
        <f>-IF(AND(DK$11&gt;=EOMONTH('Construction Budget'!$K21,0),DK$11&lt;=EOMONTH('Construction Budget'!$M21,0)),('Construction Budget'!$G21+SUM($G224:DJ224))/ROUND(((EOMONTH('Construction Budget'!$M21,0)-EOMONTH(DK$11,0))/30)+1,0),0)</f>
        <v>0</v>
      </c>
      <c r="DL224" s="427">
        <f>-IF(AND(DL$11&gt;=EOMONTH('Construction Budget'!$K21,0),DL$11&lt;=EOMONTH('Construction Budget'!$M21,0)),('Construction Budget'!$G21+SUM($G224:DK224))/ROUND(((EOMONTH('Construction Budget'!$M21,0)-EOMONTH(DL$11,0))/30)+1,0),0)</f>
        <v>0</v>
      </c>
      <c r="DM224" s="427">
        <f>-IF(AND(DM$11&gt;=EOMONTH('Construction Budget'!$K21,0),DM$11&lt;=EOMONTH('Construction Budget'!$M21,0)),('Construction Budget'!$G21+SUM($G224:DL224))/ROUND(((EOMONTH('Construction Budget'!$M21,0)-EOMONTH(DM$11,0))/30)+1,0),0)</f>
        <v>0</v>
      </c>
      <c r="DN224" s="427">
        <f>-IF(AND(DN$11&gt;=EOMONTH('Construction Budget'!$K21,0),DN$11&lt;=EOMONTH('Construction Budget'!$M21,0)),('Construction Budget'!$G21+SUM($G224:DM224))/ROUND(((EOMONTH('Construction Budget'!$M21,0)-EOMONTH(DN$11,0))/30)+1,0),0)</f>
        <v>0</v>
      </c>
      <c r="DO224" s="427">
        <f>-IF(AND(DO$11&gt;=EOMONTH('Construction Budget'!$K21,0),DO$11&lt;=EOMONTH('Construction Budget'!$M21,0)),('Construction Budget'!$G21+SUM($G224:DN224))/ROUND(((EOMONTH('Construction Budget'!$M21,0)-EOMONTH(DO$11,0))/30)+1,0),0)</f>
        <v>0</v>
      </c>
      <c r="DP224" s="427">
        <f>-IF(AND(DP$11&gt;=EOMONTH('Construction Budget'!$K21,0),DP$11&lt;=EOMONTH('Construction Budget'!$M21,0)),('Construction Budget'!$G21+SUM($G224:DO224))/ROUND(((EOMONTH('Construction Budget'!$M21,0)-EOMONTH(DP$11,0))/30)+1,0),0)</f>
        <v>0</v>
      </c>
      <c r="DQ224" s="427">
        <f>-IF(AND(DQ$11&gt;=EOMONTH('Construction Budget'!$K21,0),DQ$11&lt;=EOMONTH('Construction Budget'!$M21,0)),('Construction Budget'!$G21+SUM($G224:DP224))/ROUND(((EOMONTH('Construction Budget'!$M21,0)-EOMONTH(DQ$11,0))/30)+1,0),0)</f>
        <v>0</v>
      </c>
      <c r="DR224" s="427">
        <f>-IF(AND(DR$11&gt;=EOMONTH('Construction Budget'!$K21,0),DR$11&lt;=EOMONTH('Construction Budget'!$M21,0)),('Construction Budget'!$G21+SUM($G224:DQ224))/ROUND(((EOMONTH('Construction Budget'!$M21,0)-EOMONTH(DR$11,0))/30)+1,0),0)</f>
        <v>0</v>
      </c>
      <c r="DS224" s="427">
        <f>-IF(AND(DS$11&gt;=EOMONTH('Construction Budget'!$K21,0),DS$11&lt;=EOMONTH('Construction Budget'!$M21,0)),('Construction Budget'!$G21+SUM($G224:DR224))/ROUND(((EOMONTH('Construction Budget'!$M21,0)-EOMONTH(DS$11,0))/30)+1,0),0)</f>
        <v>0</v>
      </c>
      <c r="DT224" s="427">
        <f>-IF(AND(DT$11&gt;=EOMONTH('Construction Budget'!$K21,0),DT$11&lt;=EOMONTH('Construction Budget'!$M21,0)),('Construction Budget'!$G21+SUM($G224:DS224))/ROUND(((EOMONTH('Construction Budget'!$M21,0)-EOMONTH(DT$11,0))/30)+1,0),0)</f>
        <v>0</v>
      </c>
      <c r="DU224" s="427">
        <f>-IF(AND(DU$11&gt;=EOMONTH('Construction Budget'!$K21,0),DU$11&lt;=EOMONTH('Construction Budget'!$M21,0)),('Construction Budget'!$G21+SUM($G224:DT224))/ROUND(((EOMONTH('Construction Budget'!$M21,0)-EOMONTH(DU$11,0))/30)+1,0),0)</f>
        <v>0</v>
      </c>
      <c r="DV224" s="427">
        <f>-IF(AND(DV$11&gt;=EOMONTH('Construction Budget'!$K21,0),DV$11&lt;=EOMONTH('Construction Budget'!$M21,0)),('Construction Budget'!$G21+SUM($G224:DU224))/ROUND(((EOMONTH('Construction Budget'!$M21,0)-EOMONTH(DV$11,0))/30)+1,0),0)</f>
        <v>0</v>
      </c>
      <c r="DW224" s="427">
        <f>-IF(AND(DW$11&gt;=EOMONTH('Construction Budget'!$K21,0),DW$11&lt;=EOMONTH('Construction Budget'!$M21,0)),('Construction Budget'!$G21+SUM($G224:DV224))/ROUND(((EOMONTH('Construction Budget'!$M21,0)-EOMONTH(DW$11,0))/30)+1,0),0)</f>
        <v>0</v>
      </c>
      <c r="DX224" s="427">
        <f>-IF(AND(DX$11&gt;=EOMONTH('Construction Budget'!$K21,0),DX$11&lt;=EOMONTH('Construction Budget'!$M21,0)),('Construction Budget'!$G21+SUM($G224:DW224))/ROUND(((EOMONTH('Construction Budget'!$M21,0)-EOMONTH(DX$11,0))/30)+1,0),0)</f>
        <v>0</v>
      </c>
      <c r="DY224" s="427">
        <f>-IF(AND(DY$11&gt;=EOMONTH('Construction Budget'!$K21,0),DY$11&lt;=EOMONTH('Construction Budget'!$M21,0)),('Construction Budget'!$G21+SUM($G224:DX224))/ROUND(((EOMONTH('Construction Budget'!$M21,0)-EOMONTH(DY$11,0))/30)+1,0),0)</f>
        <v>0</v>
      </c>
      <c r="DZ224" s="427">
        <f>-IF(AND(DZ$11&gt;=EOMONTH('Construction Budget'!$K21,0),DZ$11&lt;=EOMONTH('Construction Budget'!$M21,0)),('Construction Budget'!$G21+SUM($G224:DY224))/ROUND(((EOMONTH('Construction Budget'!$M21,0)-EOMONTH(DZ$11,0))/30)+1,0),0)</f>
        <v>0</v>
      </c>
      <c r="EA224" s="427">
        <f>-IF(AND(EA$11&gt;=EOMONTH('Construction Budget'!$K21,0),EA$11&lt;=EOMONTH('Construction Budget'!$M21,0)),('Construction Budget'!$G21+SUM($G224:DZ224))/ROUND(((EOMONTH('Construction Budget'!$M21,0)-EOMONTH(EA$11,0))/30)+1,0),0)</f>
        <v>0</v>
      </c>
      <c r="EB224" s="427">
        <f>-IF(AND(EB$11&gt;=EOMONTH('Construction Budget'!$K21,0),EB$11&lt;=EOMONTH('Construction Budget'!$M21,0)),('Construction Budget'!$G21+SUM($G224:EA224))/ROUND(((EOMONTH('Construction Budget'!$M21,0)-EOMONTH(EB$11,0))/30)+1,0),0)</f>
        <v>0</v>
      </c>
      <c r="EC224" s="427">
        <f>-IF(AND(EC$11&gt;=EOMONTH('Construction Budget'!$K21,0),EC$11&lt;=EOMONTH('Construction Budget'!$M21,0)),('Construction Budget'!$G21+SUM($G224:EB224))/ROUND(((EOMONTH('Construction Budget'!$M21,0)-EOMONTH(EC$11,0))/30)+1,0),0)</f>
        <v>0</v>
      </c>
      <c r="ED224" s="427">
        <f>-IF(AND(ED$11&gt;=EOMONTH('Construction Budget'!$K21,0),ED$11&lt;=EOMONTH('Construction Budget'!$M21,0)),('Construction Budget'!$G21+SUM($G224:EC224))/ROUND(((EOMONTH('Construction Budget'!$M21,0)-EOMONTH(ED$11,0))/30)+1,0),0)</f>
        <v>0</v>
      </c>
      <c r="EE224" s="427">
        <f>-IF(AND(EE$11&gt;=EOMONTH('Construction Budget'!$K21,0),EE$11&lt;=EOMONTH('Construction Budget'!$M21,0)),('Construction Budget'!$G21+SUM($G224:ED224))/ROUND(((EOMONTH('Construction Budget'!$M21,0)-EOMONTH(EE$11,0))/30)+1,0),0)</f>
        <v>0</v>
      </c>
      <c r="EF224" s="427">
        <f>-IF(AND(EF$11&gt;=EOMONTH('Construction Budget'!$K21,0),EF$11&lt;=EOMONTH('Construction Budget'!$M21,0)),('Construction Budget'!$G21+SUM($G224:EE224))/ROUND(((EOMONTH('Construction Budget'!$M21,0)-EOMONTH(EF$11,0))/30)+1,0),0)</f>
        <v>0</v>
      </c>
      <c r="EG224" s="427">
        <f>-IF(AND(EG$11&gt;=EOMONTH('Construction Budget'!$K21,0),EG$11&lt;=EOMONTH('Construction Budget'!$M21,0)),('Construction Budget'!$G21+SUM($G224:EF224))/ROUND(((EOMONTH('Construction Budget'!$M21,0)-EOMONTH(EG$11,0))/30)+1,0),0)</f>
        <v>0</v>
      </c>
      <c r="EH224" s="427">
        <f>-IF(AND(EH$11&gt;=EOMONTH('Construction Budget'!$K21,0),EH$11&lt;=EOMONTH('Construction Budget'!$M21,0)),('Construction Budget'!$G21+SUM($G224:EG224))/ROUND(((EOMONTH('Construction Budget'!$M21,0)-EOMONTH(EH$11,0))/30)+1,0),0)</f>
        <v>0</v>
      </c>
      <c r="EI224" s="427">
        <f>-IF(AND(EI$11&gt;=EOMONTH('Construction Budget'!$K21,0),EI$11&lt;=EOMONTH('Construction Budget'!$M21,0)),('Construction Budget'!$G21+SUM($G224:EH224))/ROUND(((EOMONTH('Construction Budget'!$M21,0)-EOMONTH(EI$11,0))/30)+1,0),0)</f>
        <v>0</v>
      </c>
      <c r="EJ224" s="427">
        <f>-IF(AND(EJ$11&gt;=EOMONTH('Construction Budget'!$K21,0),EJ$11&lt;=EOMONTH('Construction Budget'!$M21,0)),('Construction Budget'!$G21+SUM($G224:EI224))/ROUND(((EOMONTH('Construction Budget'!$M21,0)-EOMONTH(EJ$11,0))/30)+1,0),0)</f>
        <v>0</v>
      </c>
      <c r="EK224" s="427">
        <f>-IF(AND(EK$11&gt;=EOMONTH('Construction Budget'!$K21,0),EK$11&lt;=EOMONTH('Construction Budget'!$M21,0)),('Construction Budget'!$G21+SUM($G224:EJ224))/ROUND(((EOMONTH('Construction Budget'!$M21,0)-EOMONTH(EK$11,0))/30)+1,0),0)</f>
        <v>0</v>
      </c>
      <c r="EL224" s="427">
        <f>-IF(AND(EL$11&gt;=EOMONTH('Construction Budget'!$K21,0),EL$11&lt;=EOMONTH('Construction Budget'!$M21,0)),('Construction Budget'!$G21+SUM($G224:EK224))/ROUND(((EOMONTH('Construction Budget'!$M21,0)-EOMONTH(EL$11,0))/30)+1,0),0)</f>
        <v>0</v>
      </c>
      <c r="EM224" s="427">
        <f>-IF(AND(EM$11&gt;=EOMONTH('Construction Budget'!$K21,0),EM$11&lt;=EOMONTH('Construction Budget'!$M21,0)),('Construction Budget'!$G21+SUM($G224:EL224))/ROUND(((EOMONTH('Construction Budget'!$M21,0)-EOMONTH(EM$11,0))/30)+1,0),0)</f>
        <v>0</v>
      </c>
      <c r="EN224" s="427">
        <f>-IF(AND(EN$11&gt;=EOMONTH('Construction Budget'!$K21,0),EN$11&lt;=EOMONTH('Construction Budget'!$M21,0)),('Construction Budget'!$G21+SUM($G224:EM224))/ROUND(((EOMONTH('Construction Budget'!$M21,0)-EOMONTH(EN$11,0))/30)+1,0),0)</f>
        <v>0</v>
      </c>
      <c r="EO224" s="427">
        <f>-IF(AND(EO$11&gt;=EOMONTH('Construction Budget'!$K21,0),EO$11&lt;=EOMONTH('Construction Budget'!$M21,0)),('Construction Budget'!$G21+SUM($G224:EN224))/ROUND(((EOMONTH('Construction Budget'!$M21,0)-EOMONTH(EO$11,0))/30)+1,0),0)</f>
        <v>0</v>
      </c>
      <c r="EP224" s="427">
        <f>-IF(AND(EP$11&gt;=EOMONTH('Construction Budget'!$K21,0),EP$11&lt;=EOMONTH('Construction Budget'!$M21,0)),('Construction Budget'!$G21+SUM($G224:EO224))/ROUND(((EOMONTH('Construction Budget'!$M21,0)-EOMONTH(EP$11,0))/30)+1,0),0)</f>
        <v>0</v>
      </c>
      <c r="EQ224" s="427">
        <f>-IF(AND(EQ$11&gt;=EOMONTH('Construction Budget'!$K21,0),EQ$11&lt;=EOMONTH('Construction Budget'!$M21,0)),('Construction Budget'!$G21+SUM($G224:EP224))/ROUND(((EOMONTH('Construction Budget'!$M21,0)-EOMONTH(EQ$11,0))/30)+1,0),0)</f>
        <v>0</v>
      </c>
      <c r="ER224" s="427">
        <f>-IF(AND(ER$11&gt;=EOMONTH('Construction Budget'!$K21,0),ER$11&lt;=EOMONTH('Construction Budget'!$M21,0)),('Construction Budget'!$G21+SUM($G224:EQ224))/ROUND(((EOMONTH('Construction Budget'!$M21,0)-EOMONTH(ER$11,0))/30)+1,0),0)</f>
        <v>0</v>
      </c>
      <c r="ES224" s="427">
        <f>-IF(AND(ES$11&gt;=EOMONTH('Construction Budget'!$K21,0),ES$11&lt;=EOMONTH('Construction Budget'!$M21,0)),('Construction Budget'!$G21+SUM($G224:ER224))/ROUND(((EOMONTH('Construction Budget'!$M21,0)-EOMONTH(ES$11,0))/30)+1,0),0)</f>
        <v>0</v>
      </c>
      <c r="ET224" s="427">
        <f>-IF(AND(ET$11&gt;=EOMONTH('Construction Budget'!$K21,0),ET$11&lt;=EOMONTH('Construction Budget'!$M21,0)),('Construction Budget'!$G21+SUM($G224:ES224))/ROUND(((EOMONTH('Construction Budget'!$M21,0)-EOMONTH(ET$11,0))/30)+1,0),0)</f>
        <v>0</v>
      </c>
      <c r="EU224" s="427">
        <f>-IF(AND(EU$11&gt;=EOMONTH('Construction Budget'!$K21,0),EU$11&lt;=EOMONTH('Construction Budget'!$M21,0)),('Construction Budget'!$G21+SUM($G224:ET224))/ROUND(((EOMONTH('Construction Budget'!$M21,0)-EOMONTH(EU$11,0))/30)+1,0),0)</f>
        <v>0</v>
      </c>
      <c r="EV224" s="427">
        <f>-IF(AND(EV$11&gt;=EOMONTH('Construction Budget'!$K21,0),EV$11&lt;=EOMONTH('Construction Budget'!$M21,0)),('Construction Budget'!$G21+SUM($G224:EU224))/ROUND(((EOMONTH('Construction Budget'!$M21,0)-EOMONTH(EV$11,0))/30)+1,0),0)</f>
        <v>0</v>
      </c>
      <c r="EW224" s="427">
        <f>-IF(AND(EW$11&gt;=EOMONTH('Construction Budget'!$K21,0),EW$11&lt;=EOMONTH('Construction Budget'!$M21,0)),('Construction Budget'!$G21+SUM($G224:EV224))/ROUND(((EOMONTH('Construction Budget'!$M21,0)-EOMONTH(EW$11,0))/30)+1,0),0)</f>
        <v>0</v>
      </c>
      <c r="EX224" s="427">
        <f>-IF(AND(EX$11&gt;=EOMONTH('Construction Budget'!$K21,0),EX$11&lt;=EOMONTH('Construction Budget'!$M21,0)),('Construction Budget'!$G21+SUM($G224:EW224))/ROUND(((EOMONTH('Construction Budget'!$M21,0)-EOMONTH(EX$11,0))/30)+1,0),0)</f>
        <v>0</v>
      </c>
      <c r="EY224" s="427">
        <f>-IF(AND(EY$11&gt;=EOMONTH('Construction Budget'!$K21,0),EY$11&lt;=EOMONTH('Construction Budget'!$M21,0)),('Construction Budget'!$G21+SUM($G224:EX224))/ROUND(((EOMONTH('Construction Budget'!$M21,0)-EOMONTH(EY$11,0))/30)+1,0),0)</f>
        <v>0</v>
      </c>
      <c r="EZ224" s="427">
        <f>-IF(AND(EZ$11&gt;=EOMONTH('Construction Budget'!$K21,0),EZ$11&lt;=EOMONTH('Construction Budget'!$M21,0)),('Construction Budget'!$G21+SUM($G224:EY224))/ROUND(((EOMONTH('Construction Budget'!$M21,0)-EOMONTH(EZ$11,0))/30)+1,0),0)</f>
        <v>0</v>
      </c>
      <c r="FA224" s="427">
        <f>-IF(AND(FA$11&gt;=EOMONTH('Construction Budget'!$K21,0),FA$11&lt;=EOMONTH('Construction Budget'!$M21,0)),('Construction Budget'!$G21+SUM($G224:EZ224))/ROUND(((EOMONTH('Construction Budget'!$M21,0)-EOMONTH(FA$11,0))/30)+1,0),0)</f>
        <v>0</v>
      </c>
      <c r="FB224" s="427">
        <f>-IF(AND(FB$11&gt;=EOMONTH('Construction Budget'!$K21,0),FB$11&lt;=EOMONTH('Construction Budget'!$M21,0)),('Construction Budget'!$G21+SUM($G224:FA224))/ROUND(((EOMONTH('Construction Budget'!$M21,0)-EOMONTH(FB$11,0))/30)+1,0),0)</f>
        <v>0</v>
      </c>
      <c r="FC224" s="427">
        <f>-IF(AND(FC$11&gt;=EOMONTH('Construction Budget'!$K21,0),FC$11&lt;=EOMONTH('Construction Budget'!$M21,0)),('Construction Budget'!$G21+SUM($G224:FB224))/ROUND(((EOMONTH('Construction Budget'!$M21,0)-EOMONTH(FC$11,0))/30)+1,0),0)</f>
        <v>0</v>
      </c>
      <c r="FD224" s="427">
        <f>-IF(AND(FD$11&gt;=EOMONTH('Construction Budget'!$K21,0),FD$11&lt;=EOMONTH('Construction Budget'!$M21,0)),('Construction Budget'!$G21+SUM($G224:FC224))/ROUND(((EOMONTH('Construction Budget'!$M21,0)-EOMONTH(FD$11,0))/30)+1,0),0)</f>
        <v>0</v>
      </c>
      <c r="FE224" s="427">
        <f>-IF(AND(FE$11&gt;=EOMONTH('Construction Budget'!$K21,0),FE$11&lt;=EOMONTH('Construction Budget'!$M21,0)),('Construction Budget'!$G21+SUM($G224:FD224))/ROUND(((EOMONTH('Construction Budget'!$M21,0)-EOMONTH(FE$11,0))/30)+1,0),0)</f>
        <v>0</v>
      </c>
      <c r="FF224" s="427">
        <f>-IF(AND(FF$11&gt;=EOMONTH('Construction Budget'!$K21,0),FF$11&lt;=EOMONTH('Construction Budget'!$M21,0)),('Construction Budget'!$G21+SUM($G224:FE224))/ROUND(((EOMONTH('Construction Budget'!$M21,0)-EOMONTH(FF$11,0))/30)+1,0),0)</f>
        <v>0</v>
      </c>
      <c r="FG224" s="427">
        <f>-IF(AND(FG$11&gt;=EOMONTH('Construction Budget'!$K21,0),FG$11&lt;=EOMONTH('Construction Budget'!$M21,0)),('Construction Budget'!$G21+SUM($G224:FF224))/ROUND(((EOMONTH('Construction Budget'!$M21,0)-EOMONTH(FG$11,0))/30)+1,0),0)</f>
        <v>0</v>
      </c>
      <c r="FH224" s="427">
        <f>-IF(AND(FH$11&gt;=EOMONTH('Construction Budget'!$K21,0),FH$11&lt;=EOMONTH('Construction Budget'!$M21,0)),('Construction Budget'!$G21+SUM($G224:FG224))/ROUND(((EOMONTH('Construction Budget'!$M21,0)-EOMONTH(FH$11,0))/30)+1,0),0)</f>
        <v>0</v>
      </c>
      <c r="FI224" s="427">
        <f>-IF(AND(FI$11&gt;=EOMONTH('Construction Budget'!$K21,0),FI$11&lt;=EOMONTH('Construction Budget'!$M21,0)),('Construction Budget'!$G21+SUM($G224:FH224))/ROUND(((EOMONTH('Construction Budget'!$M21,0)-EOMONTH(FI$11,0))/30)+1,0),0)</f>
        <v>0</v>
      </c>
      <c r="FJ224" s="427">
        <f>-IF(AND(FJ$11&gt;=EOMONTH('Construction Budget'!$K21,0),FJ$11&lt;=EOMONTH('Construction Budget'!$M21,0)),('Construction Budget'!$G21+SUM($G224:FI224))/ROUND(((EOMONTH('Construction Budget'!$M21,0)-EOMONTH(FJ$11,0))/30)+1,0),0)</f>
        <v>0</v>
      </c>
      <c r="FK224" s="427">
        <f>-IF(AND(FK$11&gt;=EOMONTH('Construction Budget'!$K21,0),FK$11&lt;=EOMONTH('Construction Budget'!$M21,0)),('Construction Budget'!$G21+SUM($G224:FJ224))/ROUND(((EOMONTH('Construction Budget'!$M21,0)-EOMONTH(FK$11,0))/30)+1,0),0)</f>
        <v>0</v>
      </c>
      <c r="FL224" s="427">
        <f>-IF(AND(FL$11&gt;=EOMONTH('Construction Budget'!$K21,0),FL$11&lt;=EOMONTH('Construction Budget'!$M21,0)),('Construction Budget'!$G21+SUM($G224:FK224))/ROUND(((EOMONTH('Construction Budget'!$M21,0)-EOMONTH(FL$11,0))/30)+1,0),0)</f>
        <v>0</v>
      </c>
      <c r="FM224" s="427">
        <f>-IF(AND(FM$11&gt;=EOMONTH('Construction Budget'!$K21,0),FM$11&lt;=EOMONTH('Construction Budget'!$M21,0)),('Construction Budget'!$G21+SUM($G224:FL224))/ROUND(((EOMONTH('Construction Budget'!$M21,0)-EOMONTH(FM$11,0))/30)+1,0),0)</f>
        <v>0</v>
      </c>
      <c r="FN224" s="427">
        <f>-IF(AND(FN$11&gt;=EOMONTH('Construction Budget'!$K21,0),FN$11&lt;=EOMONTH('Construction Budget'!$M21,0)),('Construction Budget'!$G21+SUM($G224:FM224))/ROUND(((EOMONTH('Construction Budget'!$M21,0)-EOMONTH(FN$11,0))/30)+1,0),0)</f>
        <v>0</v>
      </c>
      <c r="FO224" s="427">
        <f>-IF(AND(FO$11&gt;=EOMONTH('Construction Budget'!$K21,0),FO$11&lt;=EOMONTH('Construction Budget'!$M21,0)),('Construction Budget'!$G21+SUM($G224:FN224))/ROUND(((EOMONTH('Construction Budget'!$M21,0)-EOMONTH(FO$11,0))/30)+1,0),0)</f>
        <v>0</v>
      </c>
      <c r="FP224" s="427">
        <f>-IF(AND(FP$11&gt;=EOMONTH('Construction Budget'!$K21,0),FP$11&lt;=EOMONTH('Construction Budget'!$M21,0)),('Construction Budget'!$G21+SUM($G224:FO224))/ROUND(((EOMONTH('Construction Budget'!$M21,0)-EOMONTH(FP$11,0))/30)+1,0),0)</f>
        <v>0</v>
      </c>
      <c r="FQ224" s="427">
        <f>-IF(AND(FQ$11&gt;=EOMONTH('Construction Budget'!$K21,0),FQ$11&lt;=EOMONTH('Construction Budget'!$M21,0)),('Construction Budget'!$G21+SUM($G224:FP224))/ROUND(((EOMONTH('Construction Budget'!$M21,0)-EOMONTH(FQ$11,0))/30)+1,0),0)</f>
        <v>0</v>
      </c>
      <c r="FR224" s="427">
        <f>-IF(AND(FR$11&gt;=EOMONTH('Construction Budget'!$K21,0),FR$11&lt;=EOMONTH('Construction Budget'!$M21,0)),('Construction Budget'!$G21+SUM($G224:FQ224))/ROUND(((EOMONTH('Construction Budget'!$M21,0)-EOMONTH(FR$11,0))/30)+1,0),0)</f>
        <v>0</v>
      </c>
      <c r="FS224" s="427">
        <f>-IF(AND(FS$11&gt;=EOMONTH('Construction Budget'!$K21,0),FS$11&lt;=EOMONTH('Construction Budget'!$M21,0)),('Construction Budget'!$G21+SUM($G224:FR224))/ROUND(((EOMONTH('Construction Budget'!$M21,0)-EOMONTH(FS$11,0))/30)+1,0),0)</f>
        <v>0</v>
      </c>
      <c r="FT224" s="427">
        <f>-IF(AND(FT$11&gt;=EOMONTH('Construction Budget'!$K21,0),FT$11&lt;=EOMONTH('Construction Budget'!$M21,0)),('Construction Budget'!$G21+SUM($G224:FS224))/ROUND(((EOMONTH('Construction Budget'!$M21,0)-EOMONTH(FT$11,0))/30)+1,0),0)</f>
        <v>0</v>
      </c>
      <c r="FU224" s="43"/>
      <c r="FV224" s="34"/>
      <c r="FW224" s="34"/>
      <c r="FX224" s="34"/>
      <c r="FY224" s="34"/>
      <c r="FZ224" s="34"/>
    </row>
    <row r="225" spans="1:182" s="89" customFormat="1" ht="13.5" hidden="1" outlineLevel="2" x14ac:dyDescent="0.25">
      <c r="A225" s="498"/>
      <c r="B225" s="128" t="str">
        <f>'Construction Budget'!B22</f>
        <v>Blank</v>
      </c>
      <c r="C225" s="34"/>
      <c r="D225" s="34"/>
      <c r="E225" s="34"/>
      <c r="F225" s="434">
        <f t="shared" si="240"/>
        <v>0</v>
      </c>
      <c r="G225" s="34"/>
      <c r="H225" s="427">
        <f>-IF(AND(H$11&gt;=EOMONTH('Construction Budget'!$K22,0),H$11&lt;=EOMONTH('Construction Budget'!$M22,0)),('Construction Budget'!$G22+SUM($G225:G225))/ROUND(((EOMONTH('Construction Budget'!$M22,0)-EOMONTH(H$11,0))/30)+1,0),0)</f>
        <v>0</v>
      </c>
      <c r="I225" s="427">
        <f>-IF(AND(I$11&gt;=EOMONTH('Construction Budget'!$K22,0),I$11&lt;=EOMONTH('Construction Budget'!$M22,0)),('Construction Budget'!$G22+SUM($G225:H225))/ROUND(((EOMONTH('Construction Budget'!$M22,0)-EOMONTH(I$11,0))/30)+1,0),0)</f>
        <v>0</v>
      </c>
      <c r="J225" s="427">
        <f>-IF(AND(J$11&gt;=EOMONTH('Construction Budget'!$K22,0),J$11&lt;=EOMONTH('Construction Budget'!$M22,0)),('Construction Budget'!$G22+SUM($G225:I225))/ROUND(((EOMONTH('Construction Budget'!$M22,0)-EOMONTH(J$11,0))/30)+1,0),0)</f>
        <v>0</v>
      </c>
      <c r="K225" s="427">
        <f>-IF(AND(K$11&gt;=EOMONTH('Construction Budget'!$K22,0),K$11&lt;=EOMONTH('Construction Budget'!$M22,0)),('Construction Budget'!$G22+SUM($G225:J225))/ROUND(((EOMONTH('Construction Budget'!$M22,0)-EOMONTH(K$11,0))/30)+1,0),0)</f>
        <v>0</v>
      </c>
      <c r="L225" s="427">
        <f>-IF(AND(L$11&gt;=EOMONTH('Construction Budget'!$K22,0),L$11&lt;=EOMONTH('Construction Budget'!$M22,0)),('Construction Budget'!$G22+SUM($G225:K225))/ROUND(((EOMONTH('Construction Budget'!$M22,0)-EOMONTH(L$11,0))/30)+1,0),0)</f>
        <v>0</v>
      </c>
      <c r="M225" s="427">
        <f>-IF(AND(M$11&gt;=EOMONTH('Construction Budget'!$K22,0),M$11&lt;=EOMONTH('Construction Budget'!$M22,0)),('Construction Budget'!$G22+SUM($G225:L225))/ROUND(((EOMONTH('Construction Budget'!$M22,0)-EOMONTH(M$11,0))/30)+1,0),0)</f>
        <v>0</v>
      </c>
      <c r="N225" s="427">
        <f>-IF(AND(N$11&gt;=EOMONTH('Construction Budget'!$K22,0),N$11&lt;=EOMONTH('Construction Budget'!$M22,0)),('Construction Budget'!$G22+SUM($G225:M225))/ROUND(((EOMONTH('Construction Budget'!$M22,0)-EOMONTH(N$11,0))/30)+1,0),0)</f>
        <v>0</v>
      </c>
      <c r="O225" s="427">
        <f>-IF(AND(O$11&gt;=EOMONTH('Construction Budget'!$K22,0),O$11&lt;=EOMONTH('Construction Budget'!$M22,0)),('Construction Budget'!$G22+SUM($G225:N225))/ROUND(((EOMONTH('Construction Budget'!$M22,0)-EOMONTH(O$11,0))/30)+1,0),0)</f>
        <v>0</v>
      </c>
      <c r="P225" s="427">
        <f>-IF(AND(P$11&gt;=EOMONTH('Construction Budget'!$K22,0),P$11&lt;=EOMONTH('Construction Budget'!$M22,0)),('Construction Budget'!$G22+SUM($G225:O225))/ROUND(((EOMONTH('Construction Budget'!$M22,0)-EOMONTH(P$11,0))/30)+1,0),0)</f>
        <v>0</v>
      </c>
      <c r="Q225" s="427">
        <f>-IF(AND(Q$11&gt;=EOMONTH('Construction Budget'!$K22,0),Q$11&lt;=EOMONTH('Construction Budget'!$M22,0)),('Construction Budget'!$G22+SUM($G225:P225))/ROUND(((EOMONTH('Construction Budget'!$M22,0)-EOMONTH(Q$11,0))/30)+1,0),0)</f>
        <v>0</v>
      </c>
      <c r="R225" s="427">
        <f>-IF(AND(R$11&gt;=EOMONTH('Construction Budget'!$K22,0),R$11&lt;=EOMONTH('Construction Budget'!$M22,0)),('Construction Budget'!$G22+SUM($G225:Q225))/ROUND(((EOMONTH('Construction Budget'!$M22,0)-EOMONTH(R$11,0))/30)+1,0),0)</f>
        <v>0</v>
      </c>
      <c r="S225" s="427">
        <f>-IF(AND(S$11&gt;=EOMONTH('Construction Budget'!$K22,0),S$11&lt;=EOMONTH('Construction Budget'!$M22,0)),('Construction Budget'!$G22+SUM($G225:R225))/ROUND(((EOMONTH('Construction Budget'!$M22,0)-EOMONTH(S$11,0))/30)+1,0),0)</f>
        <v>0</v>
      </c>
      <c r="T225" s="427">
        <f>-IF(AND(T$11&gt;=EOMONTH('Construction Budget'!$K22,0),T$11&lt;=EOMONTH('Construction Budget'!$M22,0)),('Construction Budget'!$G22+SUM($G225:S225))/ROUND(((EOMONTH('Construction Budget'!$M22,0)-EOMONTH(T$11,0))/30)+1,0),0)</f>
        <v>0</v>
      </c>
      <c r="U225" s="427">
        <f>-IF(AND(U$11&gt;=EOMONTH('Construction Budget'!$K22,0),U$11&lt;=EOMONTH('Construction Budget'!$M22,0)),('Construction Budget'!$G22+SUM($G225:T225))/ROUND(((EOMONTH('Construction Budget'!$M22,0)-EOMONTH(U$11,0))/30)+1,0),0)</f>
        <v>0</v>
      </c>
      <c r="V225" s="427">
        <f>-IF(AND(V$11&gt;=EOMONTH('Construction Budget'!$K22,0),V$11&lt;=EOMONTH('Construction Budget'!$M22,0)),('Construction Budget'!$G22+SUM($G225:U225))/ROUND(((EOMONTH('Construction Budget'!$M22,0)-EOMONTH(V$11,0))/30)+1,0),0)</f>
        <v>0</v>
      </c>
      <c r="W225" s="427">
        <f>-IF(AND(W$11&gt;=EOMONTH('Construction Budget'!$K22,0),W$11&lt;=EOMONTH('Construction Budget'!$M22,0)),('Construction Budget'!$G22+SUM($G225:V225))/ROUND(((EOMONTH('Construction Budget'!$M22,0)-EOMONTH(W$11,0))/30)+1,0),0)</f>
        <v>0</v>
      </c>
      <c r="X225" s="427">
        <f>-IF(AND(X$11&gt;=EOMONTH('Construction Budget'!$K22,0),X$11&lt;=EOMONTH('Construction Budget'!$M22,0)),('Construction Budget'!$G22+SUM($G225:W225))/ROUND(((EOMONTH('Construction Budget'!$M22,0)-EOMONTH(X$11,0))/30)+1,0),0)</f>
        <v>0</v>
      </c>
      <c r="Y225" s="427">
        <f>-IF(AND(Y$11&gt;=EOMONTH('Construction Budget'!$K22,0),Y$11&lt;=EOMONTH('Construction Budget'!$M22,0)),('Construction Budget'!$G22+SUM($G225:X225))/ROUND(((EOMONTH('Construction Budget'!$M22,0)-EOMONTH(Y$11,0))/30)+1,0),0)</f>
        <v>0</v>
      </c>
      <c r="Z225" s="427">
        <f>-IF(AND(Z$11&gt;=EOMONTH('Construction Budget'!$K22,0),Z$11&lt;=EOMONTH('Construction Budget'!$M22,0)),('Construction Budget'!$G22+SUM($G225:Y225))/ROUND(((EOMONTH('Construction Budget'!$M22,0)-EOMONTH(Z$11,0))/30)+1,0),0)</f>
        <v>0</v>
      </c>
      <c r="AA225" s="427">
        <f>-IF(AND(AA$11&gt;=EOMONTH('Construction Budget'!$K22,0),AA$11&lt;=EOMONTH('Construction Budget'!$M22,0)),('Construction Budget'!$G22+SUM($G225:Z225))/ROUND(((EOMONTH('Construction Budget'!$M22,0)-EOMONTH(AA$11,0))/30)+1,0),0)</f>
        <v>0</v>
      </c>
      <c r="AB225" s="427">
        <f>-IF(AND(AB$11&gt;=EOMONTH('Construction Budget'!$K22,0),AB$11&lt;=EOMONTH('Construction Budget'!$M22,0)),('Construction Budget'!$G22+SUM($G225:AA225))/ROUND(((EOMONTH('Construction Budget'!$M22,0)-EOMONTH(AB$11,0))/30)+1,0),0)</f>
        <v>0</v>
      </c>
      <c r="AC225" s="427">
        <f>-IF(AND(AC$11&gt;=EOMONTH('Construction Budget'!$K22,0),AC$11&lt;=EOMONTH('Construction Budget'!$M22,0)),('Construction Budget'!$G22+SUM($G225:AB225))/ROUND(((EOMONTH('Construction Budget'!$M22,0)-EOMONTH(AC$11,0))/30)+1,0),0)</f>
        <v>0</v>
      </c>
      <c r="AD225" s="427">
        <f>-IF(AND(AD$11&gt;=EOMONTH('Construction Budget'!$K22,0),AD$11&lt;=EOMONTH('Construction Budget'!$M22,0)),('Construction Budget'!$G22+SUM($G225:AC225))/ROUND(((EOMONTH('Construction Budget'!$M22,0)-EOMONTH(AD$11,0))/30)+1,0),0)</f>
        <v>0</v>
      </c>
      <c r="AE225" s="427">
        <f>-IF(AND(AE$11&gt;=EOMONTH('Construction Budget'!$K22,0),AE$11&lt;=EOMONTH('Construction Budget'!$M22,0)),('Construction Budget'!$G22+SUM($G225:AD225))/ROUND(((EOMONTH('Construction Budget'!$M22,0)-EOMONTH(AE$11,0))/30)+1,0),0)</f>
        <v>0</v>
      </c>
      <c r="AF225" s="427">
        <f>-IF(AND(AF$11&gt;=EOMONTH('Construction Budget'!$K22,0),AF$11&lt;=EOMONTH('Construction Budget'!$M22,0)),('Construction Budget'!$G22+SUM($G225:AE225))/ROUND(((EOMONTH('Construction Budget'!$M22,0)-EOMONTH(AF$11,0))/30)+1,0),0)</f>
        <v>0</v>
      </c>
      <c r="AG225" s="427">
        <f>-IF(AND(AG$11&gt;=EOMONTH('Construction Budget'!$K22,0),AG$11&lt;=EOMONTH('Construction Budget'!$M22,0)),('Construction Budget'!$G22+SUM($G225:AF225))/ROUND(((EOMONTH('Construction Budget'!$M22,0)-EOMONTH(AG$11,0))/30)+1,0),0)</f>
        <v>0</v>
      </c>
      <c r="AH225" s="427">
        <f>-IF(AND(AH$11&gt;=EOMONTH('Construction Budget'!$K22,0),AH$11&lt;=EOMONTH('Construction Budget'!$M22,0)),('Construction Budget'!$G22+SUM($G225:AG225))/ROUND(((EOMONTH('Construction Budget'!$M22,0)-EOMONTH(AH$11,0))/30)+1,0),0)</f>
        <v>0</v>
      </c>
      <c r="AI225" s="427">
        <f>-IF(AND(AI$11&gt;=EOMONTH('Construction Budget'!$K22,0),AI$11&lt;=EOMONTH('Construction Budget'!$M22,0)),('Construction Budget'!$G22+SUM($G225:AH225))/ROUND(((EOMONTH('Construction Budget'!$M22,0)-EOMONTH(AI$11,0))/30)+1,0),0)</f>
        <v>0</v>
      </c>
      <c r="AJ225" s="427">
        <f>-IF(AND(AJ$11&gt;=EOMONTH('Construction Budget'!$K22,0),AJ$11&lt;=EOMONTH('Construction Budget'!$M22,0)),('Construction Budget'!$G22+SUM($G225:AI225))/ROUND(((EOMONTH('Construction Budget'!$M22,0)-EOMONTH(AJ$11,0))/30)+1,0),0)</f>
        <v>0</v>
      </c>
      <c r="AK225" s="427">
        <f>-IF(AND(AK$11&gt;=EOMONTH('Construction Budget'!$K22,0),AK$11&lt;=EOMONTH('Construction Budget'!$M22,0)),('Construction Budget'!$G22+SUM($G225:AJ225))/ROUND(((EOMONTH('Construction Budget'!$M22,0)-EOMONTH(AK$11,0))/30)+1,0),0)</f>
        <v>0</v>
      </c>
      <c r="AL225" s="427">
        <f>-IF(AND(AL$11&gt;=EOMONTH('Construction Budget'!$K22,0),AL$11&lt;=EOMONTH('Construction Budget'!$M22,0)),('Construction Budget'!$G22+SUM($G225:AK225))/ROUND(((EOMONTH('Construction Budget'!$M22,0)-EOMONTH(AL$11,0))/30)+1,0),0)</f>
        <v>0</v>
      </c>
      <c r="AM225" s="427">
        <f>-IF(AND(AM$11&gt;=EOMONTH('Construction Budget'!$K22,0),AM$11&lt;=EOMONTH('Construction Budget'!$M22,0)),('Construction Budget'!$G22+SUM($G225:AL225))/ROUND(((EOMONTH('Construction Budget'!$M22,0)-EOMONTH(AM$11,0))/30)+1,0),0)</f>
        <v>0</v>
      </c>
      <c r="AN225" s="427">
        <f>-IF(AND(AN$11&gt;=EOMONTH('Construction Budget'!$K22,0),AN$11&lt;=EOMONTH('Construction Budget'!$M22,0)),('Construction Budget'!$G22+SUM($G225:AM225))/ROUND(((EOMONTH('Construction Budget'!$M22,0)-EOMONTH(AN$11,0))/30)+1,0),0)</f>
        <v>0</v>
      </c>
      <c r="AO225" s="427">
        <f>-IF(AND(AO$11&gt;=EOMONTH('Construction Budget'!$K22,0),AO$11&lt;=EOMONTH('Construction Budget'!$M22,0)),('Construction Budget'!$G22+SUM($G225:AN225))/ROUND(((EOMONTH('Construction Budget'!$M22,0)-EOMONTH(AO$11,0))/30)+1,0),0)</f>
        <v>0</v>
      </c>
      <c r="AP225" s="427">
        <f>-IF(AND(AP$11&gt;=EOMONTH('Construction Budget'!$K22,0),AP$11&lt;=EOMONTH('Construction Budget'!$M22,0)),('Construction Budget'!$G22+SUM($G225:AO225))/ROUND(((EOMONTH('Construction Budget'!$M22,0)-EOMONTH(AP$11,0))/30)+1,0),0)</f>
        <v>0</v>
      </c>
      <c r="AQ225" s="427">
        <f>-IF(AND(AQ$11&gt;=EOMONTH('Construction Budget'!$K22,0),AQ$11&lt;=EOMONTH('Construction Budget'!$M22,0)),('Construction Budget'!$G22+SUM($G225:AP225))/ROUND(((EOMONTH('Construction Budget'!$M22,0)-EOMONTH(AQ$11,0))/30)+1,0),0)</f>
        <v>0</v>
      </c>
      <c r="AR225" s="427">
        <f>-IF(AND(AR$11&gt;=EOMONTH('Construction Budget'!$K22,0),AR$11&lt;=EOMONTH('Construction Budget'!$M22,0)),('Construction Budget'!$G22+SUM($G225:AQ225))/ROUND(((EOMONTH('Construction Budget'!$M22,0)-EOMONTH(AR$11,0))/30)+1,0),0)</f>
        <v>0</v>
      </c>
      <c r="AS225" s="427">
        <f>-IF(AND(AS$11&gt;=EOMONTH('Construction Budget'!$K22,0),AS$11&lt;=EOMONTH('Construction Budget'!$M22,0)),('Construction Budget'!$G22+SUM($G225:AR225))/ROUND(((EOMONTH('Construction Budget'!$M22,0)-EOMONTH(AS$11,0))/30)+1,0),0)</f>
        <v>0</v>
      </c>
      <c r="AT225" s="427">
        <f>-IF(AND(AT$11&gt;=EOMONTH('Construction Budget'!$K22,0),AT$11&lt;=EOMONTH('Construction Budget'!$M22,0)),('Construction Budget'!$G22+SUM($G225:AS225))/ROUND(((EOMONTH('Construction Budget'!$M22,0)-EOMONTH(AT$11,0))/30)+1,0),0)</f>
        <v>0</v>
      </c>
      <c r="AU225" s="427">
        <f>-IF(AND(AU$11&gt;=EOMONTH('Construction Budget'!$K22,0),AU$11&lt;=EOMONTH('Construction Budget'!$M22,0)),('Construction Budget'!$G22+SUM($G225:AT225))/ROUND(((EOMONTH('Construction Budget'!$M22,0)-EOMONTH(AU$11,0))/30)+1,0),0)</f>
        <v>0</v>
      </c>
      <c r="AV225" s="427">
        <f>-IF(AND(AV$11&gt;=EOMONTH('Construction Budget'!$K22,0),AV$11&lt;=EOMONTH('Construction Budget'!$M22,0)),('Construction Budget'!$G22+SUM($G225:AU225))/ROUND(((EOMONTH('Construction Budget'!$M22,0)-EOMONTH(AV$11,0))/30)+1,0),0)</f>
        <v>0</v>
      </c>
      <c r="AW225" s="427">
        <f>-IF(AND(AW$11&gt;=EOMONTH('Construction Budget'!$K22,0),AW$11&lt;=EOMONTH('Construction Budget'!$M22,0)),('Construction Budget'!$G22+SUM($G225:AV225))/ROUND(((EOMONTH('Construction Budget'!$M22,0)-EOMONTH(AW$11,0))/30)+1,0),0)</f>
        <v>0</v>
      </c>
      <c r="AX225" s="427">
        <f>-IF(AND(AX$11&gt;=EOMONTH('Construction Budget'!$K22,0),AX$11&lt;=EOMONTH('Construction Budget'!$M22,0)),('Construction Budget'!$G22+SUM($G225:AW225))/ROUND(((EOMONTH('Construction Budget'!$M22,0)-EOMONTH(AX$11,0))/30)+1,0),0)</f>
        <v>0</v>
      </c>
      <c r="AY225" s="427">
        <f>-IF(AND(AY$11&gt;=EOMONTH('Construction Budget'!$K22,0),AY$11&lt;=EOMONTH('Construction Budget'!$M22,0)),('Construction Budget'!$G22+SUM($G225:AX225))/ROUND(((EOMONTH('Construction Budget'!$M22,0)-EOMONTH(AY$11,0))/30)+1,0),0)</f>
        <v>0</v>
      </c>
      <c r="AZ225" s="427">
        <f>-IF(AND(AZ$11&gt;=EOMONTH('Construction Budget'!$K22,0),AZ$11&lt;=EOMONTH('Construction Budget'!$M22,0)),('Construction Budget'!$G22+SUM($G225:AY225))/ROUND(((EOMONTH('Construction Budget'!$M22,0)-EOMONTH(AZ$11,0))/30)+1,0),0)</f>
        <v>0</v>
      </c>
      <c r="BA225" s="427">
        <f>-IF(AND(BA$11&gt;=EOMONTH('Construction Budget'!$K22,0),BA$11&lt;=EOMONTH('Construction Budget'!$M22,0)),('Construction Budget'!$G22+SUM($G225:AZ225))/ROUND(((EOMONTH('Construction Budget'!$M22,0)-EOMONTH(BA$11,0))/30)+1,0),0)</f>
        <v>0</v>
      </c>
      <c r="BB225" s="427">
        <f>-IF(AND(BB$11&gt;=EOMONTH('Construction Budget'!$K22,0),BB$11&lt;=EOMONTH('Construction Budget'!$M22,0)),('Construction Budget'!$G22+SUM($G225:BA225))/ROUND(((EOMONTH('Construction Budget'!$M22,0)-EOMONTH(BB$11,0))/30)+1,0),0)</f>
        <v>0</v>
      </c>
      <c r="BC225" s="427">
        <f>-IF(AND(BC$11&gt;=EOMONTH('Construction Budget'!$K22,0),BC$11&lt;=EOMONTH('Construction Budget'!$M22,0)),('Construction Budget'!$G22+SUM($G225:BB225))/ROUND(((EOMONTH('Construction Budget'!$M22,0)-EOMONTH(BC$11,0))/30)+1,0),0)</f>
        <v>0</v>
      </c>
      <c r="BD225" s="427">
        <f>-IF(AND(BD$11&gt;=EOMONTH('Construction Budget'!$K22,0),BD$11&lt;=EOMONTH('Construction Budget'!$M22,0)),('Construction Budget'!$G22+SUM($G225:BC225))/ROUND(((EOMONTH('Construction Budget'!$M22,0)-EOMONTH(BD$11,0))/30)+1,0),0)</f>
        <v>0</v>
      </c>
      <c r="BE225" s="427">
        <f>-IF(AND(BE$11&gt;=EOMONTH('Construction Budget'!$K22,0),BE$11&lt;=EOMONTH('Construction Budget'!$M22,0)),('Construction Budget'!$G22+SUM($G225:BD225))/ROUND(((EOMONTH('Construction Budget'!$M22,0)-EOMONTH(BE$11,0))/30)+1,0),0)</f>
        <v>0</v>
      </c>
      <c r="BF225" s="427">
        <f>-IF(AND(BF$11&gt;=EOMONTH('Construction Budget'!$K22,0),BF$11&lt;=EOMONTH('Construction Budget'!$M22,0)),('Construction Budget'!$G22+SUM($G225:BE225))/ROUND(((EOMONTH('Construction Budget'!$M22,0)-EOMONTH(BF$11,0))/30)+1,0),0)</f>
        <v>0</v>
      </c>
      <c r="BG225" s="427">
        <f>-IF(AND(BG$11&gt;=EOMONTH('Construction Budget'!$K22,0),BG$11&lt;=EOMONTH('Construction Budget'!$M22,0)),('Construction Budget'!$G22+SUM($G225:BF225))/ROUND(((EOMONTH('Construction Budget'!$M22,0)-EOMONTH(BG$11,0))/30)+1,0),0)</f>
        <v>0</v>
      </c>
      <c r="BH225" s="427">
        <f>-IF(AND(BH$11&gt;=EOMONTH('Construction Budget'!$K22,0),BH$11&lt;=EOMONTH('Construction Budget'!$M22,0)),('Construction Budget'!$G22+SUM($G225:BG225))/ROUND(((EOMONTH('Construction Budget'!$M22,0)-EOMONTH(BH$11,0))/30)+1,0),0)</f>
        <v>0</v>
      </c>
      <c r="BI225" s="427">
        <f>-IF(AND(BI$11&gt;=EOMONTH('Construction Budget'!$K22,0),BI$11&lt;=EOMONTH('Construction Budget'!$M22,0)),('Construction Budget'!$G22+SUM($G225:BH225))/ROUND(((EOMONTH('Construction Budget'!$M22,0)-EOMONTH(BI$11,0))/30)+1,0),0)</f>
        <v>0</v>
      </c>
      <c r="BJ225" s="427">
        <f>-IF(AND(BJ$11&gt;=EOMONTH('Construction Budget'!$K22,0),BJ$11&lt;=EOMONTH('Construction Budget'!$M22,0)),('Construction Budget'!$G22+SUM($G225:BI225))/ROUND(((EOMONTH('Construction Budget'!$M22,0)-EOMONTH(BJ$11,0))/30)+1,0),0)</f>
        <v>0</v>
      </c>
      <c r="BK225" s="427">
        <f>-IF(AND(BK$11&gt;=EOMONTH('Construction Budget'!$K22,0),BK$11&lt;=EOMONTH('Construction Budget'!$M22,0)),('Construction Budget'!$G22+SUM($G225:BJ225))/ROUND(((EOMONTH('Construction Budget'!$M22,0)-EOMONTH(BK$11,0))/30)+1,0),0)</f>
        <v>0</v>
      </c>
      <c r="BL225" s="427">
        <f>-IF(AND(BL$11&gt;=EOMONTH('Construction Budget'!$K22,0),BL$11&lt;=EOMONTH('Construction Budget'!$M22,0)),('Construction Budget'!$G22+SUM($G225:BK225))/ROUND(((EOMONTH('Construction Budget'!$M22,0)-EOMONTH(BL$11,0))/30)+1,0),0)</f>
        <v>0</v>
      </c>
      <c r="BM225" s="427">
        <f>-IF(AND(BM$11&gt;=EOMONTH('Construction Budget'!$K22,0),BM$11&lt;=EOMONTH('Construction Budget'!$M22,0)),('Construction Budget'!$G22+SUM($G225:BL225))/ROUND(((EOMONTH('Construction Budget'!$M22,0)-EOMONTH(BM$11,0))/30)+1,0),0)</f>
        <v>0</v>
      </c>
      <c r="BN225" s="427">
        <f>-IF(AND(BN$11&gt;=EOMONTH('Construction Budget'!$K22,0),BN$11&lt;=EOMONTH('Construction Budget'!$M22,0)),('Construction Budget'!$G22+SUM($G225:BM225))/ROUND(((EOMONTH('Construction Budget'!$M22,0)-EOMONTH(BN$11,0))/30)+1,0),0)</f>
        <v>0</v>
      </c>
      <c r="BO225" s="427">
        <f>-IF(AND(BO$11&gt;=EOMONTH('Construction Budget'!$K22,0),BO$11&lt;=EOMONTH('Construction Budget'!$M22,0)),('Construction Budget'!$G22+SUM($G225:BN225))/ROUND(((EOMONTH('Construction Budget'!$M22,0)-EOMONTH(BO$11,0))/30)+1,0),0)</f>
        <v>0</v>
      </c>
      <c r="BP225" s="427">
        <f>-IF(AND(BP$11&gt;=EOMONTH('Construction Budget'!$K22,0),BP$11&lt;=EOMONTH('Construction Budget'!$M22,0)),('Construction Budget'!$G22+SUM($G225:BO225))/ROUND(((EOMONTH('Construction Budget'!$M22,0)-EOMONTH(BP$11,0))/30)+1,0),0)</f>
        <v>0</v>
      </c>
      <c r="BQ225" s="427">
        <f>-IF(AND(BQ$11&gt;=EOMONTH('Construction Budget'!$K22,0),BQ$11&lt;=EOMONTH('Construction Budget'!$M22,0)),('Construction Budget'!$G22+SUM($G225:BP225))/ROUND(((EOMONTH('Construction Budget'!$M22,0)-EOMONTH(BQ$11,0))/30)+1,0),0)</f>
        <v>0</v>
      </c>
      <c r="BR225" s="427">
        <f>-IF(AND(BR$11&gt;=EOMONTH('Construction Budget'!$K22,0),BR$11&lt;=EOMONTH('Construction Budget'!$M22,0)),('Construction Budget'!$G22+SUM($G225:BQ225))/ROUND(((EOMONTH('Construction Budget'!$M22,0)-EOMONTH(BR$11,0))/30)+1,0),0)</f>
        <v>0</v>
      </c>
      <c r="BS225" s="427">
        <f>-IF(AND(BS$11&gt;=EOMONTH('Construction Budget'!$K22,0),BS$11&lt;=EOMONTH('Construction Budget'!$M22,0)),('Construction Budget'!$G22+SUM($G225:BR225))/ROUND(((EOMONTH('Construction Budget'!$M22,0)-EOMONTH(BS$11,0))/30)+1,0),0)</f>
        <v>0</v>
      </c>
      <c r="BT225" s="427">
        <f>-IF(AND(BT$11&gt;=EOMONTH('Construction Budget'!$K22,0),BT$11&lt;=EOMONTH('Construction Budget'!$M22,0)),('Construction Budget'!$G22+SUM($G225:BS225))/ROUND(((EOMONTH('Construction Budget'!$M22,0)-EOMONTH(BT$11,0))/30)+1,0),0)</f>
        <v>0</v>
      </c>
      <c r="BU225" s="427">
        <f>-IF(AND(BU$11&gt;=EOMONTH('Construction Budget'!$K22,0),BU$11&lt;=EOMONTH('Construction Budget'!$M22,0)),('Construction Budget'!$G22+SUM($G225:BT225))/ROUND(((EOMONTH('Construction Budget'!$M22,0)-EOMONTH(BU$11,0))/30)+1,0),0)</f>
        <v>0</v>
      </c>
      <c r="BV225" s="427">
        <f>-IF(AND(BV$11&gt;=EOMONTH('Construction Budget'!$K22,0),BV$11&lt;=EOMONTH('Construction Budget'!$M22,0)),('Construction Budget'!$G22+SUM($G225:BU225))/ROUND(((EOMONTH('Construction Budget'!$M22,0)-EOMONTH(BV$11,0))/30)+1,0),0)</f>
        <v>0</v>
      </c>
      <c r="BW225" s="427">
        <f>-IF(AND(BW$11&gt;=EOMONTH('Construction Budget'!$K22,0),BW$11&lt;=EOMONTH('Construction Budget'!$M22,0)),('Construction Budget'!$G22+SUM($G225:BV225))/ROUND(((EOMONTH('Construction Budget'!$M22,0)-EOMONTH(BW$11,0))/30)+1,0),0)</f>
        <v>0</v>
      </c>
      <c r="BX225" s="427">
        <f>-IF(AND(BX$11&gt;=EOMONTH('Construction Budget'!$K22,0),BX$11&lt;=EOMONTH('Construction Budget'!$M22,0)),('Construction Budget'!$G22+SUM($G225:BW225))/ROUND(((EOMONTH('Construction Budget'!$M22,0)-EOMONTH(BX$11,0))/30)+1,0),0)</f>
        <v>0</v>
      </c>
      <c r="BY225" s="427">
        <f>-IF(AND(BY$11&gt;=EOMONTH('Construction Budget'!$K22,0),BY$11&lt;=EOMONTH('Construction Budget'!$M22,0)),('Construction Budget'!$G22+SUM($G225:BX225))/ROUND(((EOMONTH('Construction Budget'!$M22,0)-EOMONTH(BY$11,0))/30)+1,0),0)</f>
        <v>0</v>
      </c>
      <c r="BZ225" s="427">
        <f>-IF(AND(BZ$11&gt;=EOMONTH('Construction Budget'!$K22,0),BZ$11&lt;=EOMONTH('Construction Budget'!$M22,0)),('Construction Budget'!$G22+SUM($G225:BY225))/ROUND(((EOMONTH('Construction Budget'!$M22,0)-EOMONTH(BZ$11,0))/30)+1,0),0)</f>
        <v>0</v>
      </c>
      <c r="CA225" s="427">
        <f>-IF(AND(CA$11&gt;=EOMONTH('Construction Budget'!$K22,0),CA$11&lt;=EOMONTH('Construction Budget'!$M22,0)),('Construction Budget'!$G22+SUM($G225:BZ225))/ROUND(((EOMONTH('Construction Budget'!$M22,0)-EOMONTH(CA$11,0))/30)+1,0),0)</f>
        <v>0</v>
      </c>
      <c r="CB225" s="427">
        <f>-IF(AND(CB$11&gt;=EOMONTH('Construction Budget'!$K22,0),CB$11&lt;=EOMONTH('Construction Budget'!$M22,0)),('Construction Budget'!$G22+SUM($G225:CA225))/ROUND(((EOMONTH('Construction Budget'!$M22,0)-EOMONTH(CB$11,0))/30)+1,0),0)</f>
        <v>0</v>
      </c>
      <c r="CC225" s="427">
        <f>-IF(AND(CC$11&gt;=EOMONTH('Construction Budget'!$K22,0),CC$11&lt;=EOMONTH('Construction Budget'!$M22,0)),('Construction Budget'!$G22+SUM($G225:CB225))/ROUND(((EOMONTH('Construction Budget'!$M22,0)-EOMONTH(CC$11,0))/30)+1,0),0)</f>
        <v>0</v>
      </c>
      <c r="CD225" s="427">
        <f>-IF(AND(CD$11&gt;=EOMONTH('Construction Budget'!$K22,0),CD$11&lt;=EOMONTH('Construction Budget'!$M22,0)),('Construction Budget'!$G22+SUM($G225:CC225))/ROUND(((EOMONTH('Construction Budget'!$M22,0)-EOMONTH(CD$11,0))/30)+1,0),0)</f>
        <v>0</v>
      </c>
      <c r="CE225" s="427">
        <f>-IF(AND(CE$11&gt;=EOMONTH('Construction Budget'!$K22,0),CE$11&lt;=EOMONTH('Construction Budget'!$M22,0)),('Construction Budget'!$G22+SUM($G225:CD225))/ROUND(((EOMONTH('Construction Budget'!$M22,0)-EOMONTH(CE$11,0))/30)+1,0),0)</f>
        <v>0</v>
      </c>
      <c r="CF225" s="427">
        <f>-IF(AND(CF$11&gt;=EOMONTH('Construction Budget'!$K22,0),CF$11&lt;=EOMONTH('Construction Budget'!$M22,0)),('Construction Budget'!$G22+SUM($G225:CE225))/ROUND(((EOMONTH('Construction Budget'!$M22,0)-EOMONTH(CF$11,0))/30)+1,0),0)</f>
        <v>0</v>
      </c>
      <c r="CG225" s="427">
        <f>-IF(AND(CG$11&gt;=EOMONTH('Construction Budget'!$K22,0),CG$11&lt;=EOMONTH('Construction Budget'!$M22,0)),('Construction Budget'!$G22+SUM($G225:CF225))/ROUND(((EOMONTH('Construction Budget'!$M22,0)-EOMONTH(CG$11,0))/30)+1,0),0)</f>
        <v>0</v>
      </c>
      <c r="CH225" s="427">
        <f>-IF(AND(CH$11&gt;=EOMONTH('Construction Budget'!$K22,0),CH$11&lt;=EOMONTH('Construction Budget'!$M22,0)),('Construction Budget'!$G22+SUM($G225:CG225))/ROUND(((EOMONTH('Construction Budget'!$M22,0)-EOMONTH(CH$11,0))/30)+1,0),0)</f>
        <v>0</v>
      </c>
      <c r="CI225" s="427">
        <f>-IF(AND(CI$11&gt;=EOMONTH('Construction Budget'!$K22,0),CI$11&lt;=EOMONTH('Construction Budget'!$M22,0)),('Construction Budget'!$G22+SUM($G225:CH225))/ROUND(((EOMONTH('Construction Budget'!$M22,0)-EOMONTH(CI$11,0))/30)+1,0),0)</f>
        <v>0</v>
      </c>
      <c r="CJ225" s="427">
        <f>-IF(AND(CJ$11&gt;=EOMONTH('Construction Budget'!$K22,0),CJ$11&lt;=EOMONTH('Construction Budget'!$M22,0)),('Construction Budget'!$G22+SUM($G225:CI225))/ROUND(((EOMONTH('Construction Budget'!$M22,0)-EOMONTH(CJ$11,0))/30)+1,0),0)</f>
        <v>0</v>
      </c>
      <c r="CK225" s="427">
        <f>-IF(AND(CK$11&gt;=EOMONTH('Construction Budget'!$K22,0),CK$11&lt;=EOMONTH('Construction Budget'!$M22,0)),('Construction Budget'!$G22+SUM($G225:CJ225))/ROUND(((EOMONTH('Construction Budget'!$M22,0)-EOMONTH(CK$11,0))/30)+1,0),0)</f>
        <v>0</v>
      </c>
      <c r="CL225" s="427">
        <f>-IF(AND(CL$11&gt;=EOMONTH('Construction Budget'!$K22,0),CL$11&lt;=EOMONTH('Construction Budget'!$M22,0)),('Construction Budget'!$G22+SUM($G225:CK225))/ROUND(((EOMONTH('Construction Budget'!$M22,0)-EOMONTH(CL$11,0))/30)+1,0),0)</f>
        <v>0</v>
      </c>
      <c r="CM225" s="427">
        <f>-IF(AND(CM$11&gt;=EOMONTH('Construction Budget'!$K22,0),CM$11&lt;=EOMONTH('Construction Budget'!$M22,0)),('Construction Budget'!$G22+SUM($G225:CL225))/ROUND(((EOMONTH('Construction Budget'!$M22,0)-EOMONTH(CM$11,0))/30)+1,0),0)</f>
        <v>0</v>
      </c>
      <c r="CN225" s="427">
        <f>-IF(AND(CN$11&gt;=EOMONTH('Construction Budget'!$K22,0),CN$11&lt;=EOMONTH('Construction Budget'!$M22,0)),('Construction Budget'!$G22+SUM($G225:CM225))/ROUND(((EOMONTH('Construction Budget'!$M22,0)-EOMONTH(CN$11,0))/30)+1,0),0)</f>
        <v>0</v>
      </c>
      <c r="CO225" s="427">
        <f>-IF(AND(CO$11&gt;=EOMONTH('Construction Budget'!$K22,0),CO$11&lt;=EOMONTH('Construction Budget'!$M22,0)),('Construction Budget'!$G22+SUM($G225:CN225))/ROUND(((EOMONTH('Construction Budget'!$M22,0)-EOMONTH(CO$11,0))/30)+1,0),0)</f>
        <v>0</v>
      </c>
      <c r="CP225" s="427">
        <f>-IF(AND(CP$11&gt;=EOMONTH('Construction Budget'!$K22,0),CP$11&lt;=EOMONTH('Construction Budget'!$M22,0)),('Construction Budget'!$G22+SUM($G225:CO225))/ROUND(((EOMONTH('Construction Budget'!$M22,0)-EOMONTH(CP$11,0))/30)+1,0),0)</f>
        <v>0</v>
      </c>
      <c r="CQ225" s="427">
        <f>-IF(AND(CQ$11&gt;=EOMONTH('Construction Budget'!$K22,0),CQ$11&lt;=EOMONTH('Construction Budget'!$M22,0)),('Construction Budget'!$G22+SUM($G225:CP225))/ROUND(((EOMONTH('Construction Budget'!$M22,0)-EOMONTH(CQ$11,0))/30)+1,0),0)</f>
        <v>0</v>
      </c>
      <c r="CR225" s="427">
        <f>-IF(AND(CR$11&gt;=EOMONTH('Construction Budget'!$K22,0),CR$11&lt;=EOMONTH('Construction Budget'!$M22,0)),('Construction Budget'!$G22+SUM($G225:CQ225))/ROUND(((EOMONTH('Construction Budget'!$M22,0)-EOMONTH(CR$11,0))/30)+1,0),0)</f>
        <v>0</v>
      </c>
      <c r="CS225" s="427">
        <f>-IF(AND(CS$11&gt;=EOMONTH('Construction Budget'!$K22,0),CS$11&lt;=EOMONTH('Construction Budget'!$M22,0)),('Construction Budget'!$G22+SUM($G225:CR225))/ROUND(((EOMONTH('Construction Budget'!$M22,0)-EOMONTH(CS$11,0))/30)+1,0),0)</f>
        <v>0</v>
      </c>
      <c r="CT225" s="427">
        <f>-IF(AND(CT$11&gt;=EOMONTH('Construction Budget'!$K22,0),CT$11&lt;=EOMONTH('Construction Budget'!$M22,0)),('Construction Budget'!$G22+SUM($G225:CS225))/ROUND(((EOMONTH('Construction Budget'!$M22,0)-EOMONTH(CT$11,0))/30)+1,0),0)</f>
        <v>0</v>
      </c>
      <c r="CU225" s="427">
        <f>-IF(AND(CU$11&gt;=EOMONTH('Construction Budget'!$K22,0),CU$11&lt;=EOMONTH('Construction Budget'!$M22,0)),('Construction Budget'!$G22+SUM($G225:CT225))/ROUND(((EOMONTH('Construction Budget'!$M22,0)-EOMONTH(CU$11,0))/30)+1,0),0)</f>
        <v>0</v>
      </c>
      <c r="CV225" s="427">
        <f>-IF(AND(CV$11&gt;=EOMONTH('Construction Budget'!$K22,0),CV$11&lt;=EOMONTH('Construction Budget'!$M22,0)),('Construction Budget'!$G22+SUM($G225:CU225))/ROUND(((EOMONTH('Construction Budget'!$M22,0)-EOMONTH(CV$11,0))/30)+1,0),0)</f>
        <v>0</v>
      </c>
      <c r="CW225" s="427">
        <f>-IF(AND(CW$11&gt;=EOMONTH('Construction Budget'!$K22,0),CW$11&lt;=EOMONTH('Construction Budget'!$M22,0)),('Construction Budget'!$G22+SUM($G225:CV225))/ROUND(((EOMONTH('Construction Budget'!$M22,0)-EOMONTH(CW$11,0))/30)+1,0),0)</f>
        <v>0</v>
      </c>
      <c r="CX225" s="427">
        <f>-IF(AND(CX$11&gt;=EOMONTH('Construction Budget'!$K22,0),CX$11&lt;=EOMONTH('Construction Budget'!$M22,0)),('Construction Budget'!$G22+SUM($G225:CW225))/ROUND(((EOMONTH('Construction Budget'!$M22,0)-EOMONTH(CX$11,0))/30)+1,0),0)</f>
        <v>0</v>
      </c>
      <c r="CY225" s="427">
        <f>-IF(AND(CY$11&gt;=EOMONTH('Construction Budget'!$K22,0),CY$11&lt;=EOMONTH('Construction Budget'!$M22,0)),('Construction Budget'!$G22+SUM($G225:CX225))/ROUND(((EOMONTH('Construction Budget'!$M22,0)-EOMONTH(CY$11,0))/30)+1,0),0)</f>
        <v>0</v>
      </c>
      <c r="CZ225" s="427">
        <f>-IF(AND(CZ$11&gt;=EOMONTH('Construction Budget'!$K22,0),CZ$11&lt;=EOMONTH('Construction Budget'!$M22,0)),('Construction Budget'!$G22+SUM($G225:CY225))/ROUND(((EOMONTH('Construction Budget'!$M22,0)-EOMONTH(CZ$11,0))/30)+1,0),0)</f>
        <v>0</v>
      </c>
      <c r="DA225" s="427">
        <f>-IF(AND(DA$11&gt;=EOMONTH('Construction Budget'!$K22,0),DA$11&lt;=EOMONTH('Construction Budget'!$M22,0)),('Construction Budget'!$G22+SUM($G225:CZ225))/ROUND(((EOMONTH('Construction Budget'!$M22,0)-EOMONTH(DA$11,0))/30)+1,0),0)</f>
        <v>0</v>
      </c>
      <c r="DB225" s="427">
        <f>-IF(AND(DB$11&gt;=EOMONTH('Construction Budget'!$K22,0),DB$11&lt;=EOMONTH('Construction Budget'!$M22,0)),('Construction Budget'!$G22+SUM($G225:DA225))/ROUND(((EOMONTH('Construction Budget'!$M22,0)-EOMONTH(DB$11,0))/30)+1,0),0)</f>
        <v>0</v>
      </c>
      <c r="DC225" s="427">
        <f>-IF(AND(DC$11&gt;=EOMONTH('Construction Budget'!$K22,0),DC$11&lt;=EOMONTH('Construction Budget'!$M22,0)),('Construction Budget'!$G22+SUM($G225:DB225))/ROUND(((EOMONTH('Construction Budget'!$M22,0)-EOMONTH(DC$11,0))/30)+1,0),0)</f>
        <v>0</v>
      </c>
      <c r="DD225" s="427">
        <f>-IF(AND(DD$11&gt;=EOMONTH('Construction Budget'!$K22,0),DD$11&lt;=EOMONTH('Construction Budget'!$M22,0)),('Construction Budget'!$G22+SUM($G225:DC225))/ROUND(((EOMONTH('Construction Budget'!$M22,0)-EOMONTH(DD$11,0))/30)+1,0),0)</f>
        <v>0</v>
      </c>
      <c r="DE225" s="427">
        <f>-IF(AND(DE$11&gt;=EOMONTH('Construction Budget'!$K22,0),DE$11&lt;=EOMONTH('Construction Budget'!$M22,0)),('Construction Budget'!$G22+SUM($G225:DD225))/ROUND(((EOMONTH('Construction Budget'!$M22,0)-EOMONTH(DE$11,0))/30)+1,0),0)</f>
        <v>0</v>
      </c>
      <c r="DF225" s="427">
        <f>-IF(AND(DF$11&gt;=EOMONTH('Construction Budget'!$K22,0),DF$11&lt;=EOMONTH('Construction Budget'!$M22,0)),('Construction Budget'!$G22+SUM($G225:DE225))/ROUND(((EOMONTH('Construction Budget'!$M22,0)-EOMONTH(DF$11,0))/30)+1,0),0)</f>
        <v>0</v>
      </c>
      <c r="DG225" s="427">
        <f>-IF(AND(DG$11&gt;=EOMONTH('Construction Budget'!$K22,0),DG$11&lt;=EOMONTH('Construction Budget'!$M22,0)),('Construction Budget'!$G22+SUM($G225:DF225))/ROUND(((EOMONTH('Construction Budget'!$M22,0)-EOMONTH(DG$11,0))/30)+1,0),0)</f>
        <v>0</v>
      </c>
      <c r="DH225" s="427">
        <f>-IF(AND(DH$11&gt;=EOMONTH('Construction Budget'!$K22,0),DH$11&lt;=EOMONTH('Construction Budget'!$M22,0)),('Construction Budget'!$G22+SUM($G225:DG225))/ROUND(((EOMONTH('Construction Budget'!$M22,0)-EOMONTH(DH$11,0))/30)+1,0),0)</f>
        <v>0</v>
      </c>
      <c r="DI225" s="427">
        <f>-IF(AND(DI$11&gt;=EOMONTH('Construction Budget'!$K22,0),DI$11&lt;=EOMONTH('Construction Budget'!$M22,0)),('Construction Budget'!$G22+SUM($G225:DH225))/ROUND(((EOMONTH('Construction Budget'!$M22,0)-EOMONTH(DI$11,0))/30)+1,0),0)</f>
        <v>0</v>
      </c>
      <c r="DJ225" s="427">
        <f>-IF(AND(DJ$11&gt;=EOMONTH('Construction Budget'!$K22,0),DJ$11&lt;=EOMONTH('Construction Budget'!$M22,0)),('Construction Budget'!$G22+SUM($G225:DI225))/ROUND(((EOMONTH('Construction Budget'!$M22,0)-EOMONTH(DJ$11,0))/30)+1,0),0)</f>
        <v>0</v>
      </c>
      <c r="DK225" s="427">
        <f>-IF(AND(DK$11&gt;=EOMONTH('Construction Budget'!$K22,0),DK$11&lt;=EOMONTH('Construction Budget'!$M22,0)),('Construction Budget'!$G22+SUM($G225:DJ225))/ROUND(((EOMONTH('Construction Budget'!$M22,0)-EOMONTH(DK$11,0))/30)+1,0),0)</f>
        <v>0</v>
      </c>
      <c r="DL225" s="427">
        <f>-IF(AND(DL$11&gt;=EOMONTH('Construction Budget'!$K22,0),DL$11&lt;=EOMONTH('Construction Budget'!$M22,0)),('Construction Budget'!$G22+SUM($G225:DK225))/ROUND(((EOMONTH('Construction Budget'!$M22,0)-EOMONTH(DL$11,0))/30)+1,0),0)</f>
        <v>0</v>
      </c>
      <c r="DM225" s="427">
        <f>-IF(AND(DM$11&gt;=EOMONTH('Construction Budget'!$K22,0),DM$11&lt;=EOMONTH('Construction Budget'!$M22,0)),('Construction Budget'!$G22+SUM($G225:DL225))/ROUND(((EOMONTH('Construction Budget'!$M22,0)-EOMONTH(DM$11,0))/30)+1,0),0)</f>
        <v>0</v>
      </c>
      <c r="DN225" s="427">
        <f>-IF(AND(DN$11&gt;=EOMONTH('Construction Budget'!$K22,0),DN$11&lt;=EOMONTH('Construction Budget'!$M22,0)),('Construction Budget'!$G22+SUM($G225:DM225))/ROUND(((EOMONTH('Construction Budget'!$M22,0)-EOMONTH(DN$11,0))/30)+1,0),0)</f>
        <v>0</v>
      </c>
      <c r="DO225" s="427">
        <f>-IF(AND(DO$11&gt;=EOMONTH('Construction Budget'!$K22,0),DO$11&lt;=EOMONTH('Construction Budget'!$M22,0)),('Construction Budget'!$G22+SUM($G225:DN225))/ROUND(((EOMONTH('Construction Budget'!$M22,0)-EOMONTH(DO$11,0))/30)+1,0),0)</f>
        <v>0</v>
      </c>
      <c r="DP225" s="427">
        <f>-IF(AND(DP$11&gt;=EOMONTH('Construction Budget'!$K22,0),DP$11&lt;=EOMONTH('Construction Budget'!$M22,0)),('Construction Budget'!$G22+SUM($G225:DO225))/ROUND(((EOMONTH('Construction Budget'!$M22,0)-EOMONTH(DP$11,0))/30)+1,0),0)</f>
        <v>0</v>
      </c>
      <c r="DQ225" s="427">
        <f>-IF(AND(DQ$11&gt;=EOMONTH('Construction Budget'!$K22,0),DQ$11&lt;=EOMONTH('Construction Budget'!$M22,0)),('Construction Budget'!$G22+SUM($G225:DP225))/ROUND(((EOMONTH('Construction Budget'!$M22,0)-EOMONTH(DQ$11,0))/30)+1,0),0)</f>
        <v>0</v>
      </c>
      <c r="DR225" s="427">
        <f>-IF(AND(DR$11&gt;=EOMONTH('Construction Budget'!$K22,0),DR$11&lt;=EOMONTH('Construction Budget'!$M22,0)),('Construction Budget'!$G22+SUM($G225:DQ225))/ROUND(((EOMONTH('Construction Budget'!$M22,0)-EOMONTH(DR$11,0))/30)+1,0),0)</f>
        <v>0</v>
      </c>
      <c r="DS225" s="427">
        <f>-IF(AND(DS$11&gt;=EOMONTH('Construction Budget'!$K22,0),DS$11&lt;=EOMONTH('Construction Budget'!$M22,0)),('Construction Budget'!$G22+SUM($G225:DR225))/ROUND(((EOMONTH('Construction Budget'!$M22,0)-EOMONTH(DS$11,0))/30)+1,0),0)</f>
        <v>0</v>
      </c>
      <c r="DT225" s="427">
        <f>-IF(AND(DT$11&gt;=EOMONTH('Construction Budget'!$K22,0),DT$11&lt;=EOMONTH('Construction Budget'!$M22,0)),('Construction Budget'!$G22+SUM($G225:DS225))/ROUND(((EOMONTH('Construction Budget'!$M22,0)-EOMONTH(DT$11,0))/30)+1,0),0)</f>
        <v>0</v>
      </c>
      <c r="DU225" s="427">
        <f>-IF(AND(DU$11&gt;=EOMONTH('Construction Budget'!$K22,0),DU$11&lt;=EOMONTH('Construction Budget'!$M22,0)),('Construction Budget'!$G22+SUM($G225:DT225))/ROUND(((EOMONTH('Construction Budget'!$M22,0)-EOMONTH(DU$11,0))/30)+1,0),0)</f>
        <v>0</v>
      </c>
      <c r="DV225" s="427">
        <f>-IF(AND(DV$11&gt;=EOMONTH('Construction Budget'!$K22,0),DV$11&lt;=EOMONTH('Construction Budget'!$M22,0)),('Construction Budget'!$G22+SUM($G225:DU225))/ROUND(((EOMONTH('Construction Budget'!$M22,0)-EOMONTH(DV$11,0))/30)+1,0),0)</f>
        <v>0</v>
      </c>
      <c r="DW225" s="427">
        <f>-IF(AND(DW$11&gt;=EOMONTH('Construction Budget'!$K22,0),DW$11&lt;=EOMONTH('Construction Budget'!$M22,0)),('Construction Budget'!$G22+SUM($G225:DV225))/ROUND(((EOMONTH('Construction Budget'!$M22,0)-EOMONTH(DW$11,0))/30)+1,0),0)</f>
        <v>0</v>
      </c>
      <c r="DX225" s="427">
        <f>-IF(AND(DX$11&gt;=EOMONTH('Construction Budget'!$K22,0),DX$11&lt;=EOMONTH('Construction Budget'!$M22,0)),('Construction Budget'!$G22+SUM($G225:DW225))/ROUND(((EOMONTH('Construction Budget'!$M22,0)-EOMONTH(DX$11,0))/30)+1,0),0)</f>
        <v>0</v>
      </c>
      <c r="DY225" s="427">
        <f>-IF(AND(DY$11&gt;=EOMONTH('Construction Budget'!$K22,0),DY$11&lt;=EOMONTH('Construction Budget'!$M22,0)),('Construction Budget'!$G22+SUM($G225:DX225))/ROUND(((EOMONTH('Construction Budget'!$M22,0)-EOMONTH(DY$11,0))/30)+1,0),0)</f>
        <v>0</v>
      </c>
      <c r="DZ225" s="427">
        <f>-IF(AND(DZ$11&gt;=EOMONTH('Construction Budget'!$K22,0),DZ$11&lt;=EOMONTH('Construction Budget'!$M22,0)),('Construction Budget'!$G22+SUM($G225:DY225))/ROUND(((EOMONTH('Construction Budget'!$M22,0)-EOMONTH(DZ$11,0))/30)+1,0),0)</f>
        <v>0</v>
      </c>
      <c r="EA225" s="427">
        <f>-IF(AND(EA$11&gt;=EOMONTH('Construction Budget'!$K22,0),EA$11&lt;=EOMONTH('Construction Budget'!$M22,0)),('Construction Budget'!$G22+SUM($G225:DZ225))/ROUND(((EOMONTH('Construction Budget'!$M22,0)-EOMONTH(EA$11,0))/30)+1,0),0)</f>
        <v>0</v>
      </c>
      <c r="EB225" s="427">
        <f>-IF(AND(EB$11&gt;=EOMONTH('Construction Budget'!$K22,0),EB$11&lt;=EOMONTH('Construction Budget'!$M22,0)),('Construction Budget'!$G22+SUM($G225:EA225))/ROUND(((EOMONTH('Construction Budget'!$M22,0)-EOMONTH(EB$11,0))/30)+1,0),0)</f>
        <v>0</v>
      </c>
      <c r="EC225" s="427">
        <f>-IF(AND(EC$11&gt;=EOMONTH('Construction Budget'!$K22,0),EC$11&lt;=EOMONTH('Construction Budget'!$M22,0)),('Construction Budget'!$G22+SUM($G225:EB225))/ROUND(((EOMONTH('Construction Budget'!$M22,0)-EOMONTH(EC$11,0))/30)+1,0),0)</f>
        <v>0</v>
      </c>
      <c r="ED225" s="427">
        <f>-IF(AND(ED$11&gt;=EOMONTH('Construction Budget'!$K22,0),ED$11&lt;=EOMONTH('Construction Budget'!$M22,0)),('Construction Budget'!$G22+SUM($G225:EC225))/ROUND(((EOMONTH('Construction Budget'!$M22,0)-EOMONTH(ED$11,0))/30)+1,0),0)</f>
        <v>0</v>
      </c>
      <c r="EE225" s="427">
        <f>-IF(AND(EE$11&gt;=EOMONTH('Construction Budget'!$K22,0),EE$11&lt;=EOMONTH('Construction Budget'!$M22,0)),('Construction Budget'!$G22+SUM($G225:ED225))/ROUND(((EOMONTH('Construction Budget'!$M22,0)-EOMONTH(EE$11,0))/30)+1,0),0)</f>
        <v>0</v>
      </c>
      <c r="EF225" s="427">
        <f>-IF(AND(EF$11&gt;=EOMONTH('Construction Budget'!$K22,0),EF$11&lt;=EOMONTH('Construction Budget'!$M22,0)),('Construction Budget'!$G22+SUM($G225:EE225))/ROUND(((EOMONTH('Construction Budget'!$M22,0)-EOMONTH(EF$11,0))/30)+1,0),0)</f>
        <v>0</v>
      </c>
      <c r="EG225" s="427">
        <f>-IF(AND(EG$11&gt;=EOMONTH('Construction Budget'!$K22,0),EG$11&lt;=EOMONTH('Construction Budget'!$M22,0)),('Construction Budget'!$G22+SUM($G225:EF225))/ROUND(((EOMONTH('Construction Budget'!$M22,0)-EOMONTH(EG$11,0))/30)+1,0),0)</f>
        <v>0</v>
      </c>
      <c r="EH225" s="427">
        <f>-IF(AND(EH$11&gt;=EOMONTH('Construction Budget'!$K22,0),EH$11&lt;=EOMONTH('Construction Budget'!$M22,0)),('Construction Budget'!$G22+SUM($G225:EG225))/ROUND(((EOMONTH('Construction Budget'!$M22,0)-EOMONTH(EH$11,0))/30)+1,0),0)</f>
        <v>0</v>
      </c>
      <c r="EI225" s="427">
        <f>-IF(AND(EI$11&gt;=EOMONTH('Construction Budget'!$K22,0),EI$11&lt;=EOMONTH('Construction Budget'!$M22,0)),('Construction Budget'!$G22+SUM($G225:EH225))/ROUND(((EOMONTH('Construction Budget'!$M22,0)-EOMONTH(EI$11,0))/30)+1,0),0)</f>
        <v>0</v>
      </c>
      <c r="EJ225" s="427">
        <f>-IF(AND(EJ$11&gt;=EOMONTH('Construction Budget'!$K22,0),EJ$11&lt;=EOMONTH('Construction Budget'!$M22,0)),('Construction Budget'!$G22+SUM($G225:EI225))/ROUND(((EOMONTH('Construction Budget'!$M22,0)-EOMONTH(EJ$11,0))/30)+1,0),0)</f>
        <v>0</v>
      </c>
      <c r="EK225" s="427">
        <f>-IF(AND(EK$11&gt;=EOMONTH('Construction Budget'!$K22,0),EK$11&lt;=EOMONTH('Construction Budget'!$M22,0)),('Construction Budget'!$G22+SUM($G225:EJ225))/ROUND(((EOMONTH('Construction Budget'!$M22,0)-EOMONTH(EK$11,0))/30)+1,0),0)</f>
        <v>0</v>
      </c>
      <c r="EL225" s="427">
        <f>-IF(AND(EL$11&gt;=EOMONTH('Construction Budget'!$K22,0),EL$11&lt;=EOMONTH('Construction Budget'!$M22,0)),('Construction Budget'!$G22+SUM($G225:EK225))/ROUND(((EOMONTH('Construction Budget'!$M22,0)-EOMONTH(EL$11,0))/30)+1,0),0)</f>
        <v>0</v>
      </c>
      <c r="EM225" s="427">
        <f>-IF(AND(EM$11&gt;=EOMONTH('Construction Budget'!$K22,0),EM$11&lt;=EOMONTH('Construction Budget'!$M22,0)),('Construction Budget'!$G22+SUM($G225:EL225))/ROUND(((EOMONTH('Construction Budget'!$M22,0)-EOMONTH(EM$11,0))/30)+1,0),0)</f>
        <v>0</v>
      </c>
      <c r="EN225" s="427">
        <f>-IF(AND(EN$11&gt;=EOMONTH('Construction Budget'!$K22,0),EN$11&lt;=EOMONTH('Construction Budget'!$M22,0)),('Construction Budget'!$G22+SUM($G225:EM225))/ROUND(((EOMONTH('Construction Budget'!$M22,0)-EOMONTH(EN$11,0))/30)+1,0),0)</f>
        <v>0</v>
      </c>
      <c r="EO225" s="427">
        <f>-IF(AND(EO$11&gt;=EOMONTH('Construction Budget'!$K22,0),EO$11&lt;=EOMONTH('Construction Budget'!$M22,0)),('Construction Budget'!$G22+SUM($G225:EN225))/ROUND(((EOMONTH('Construction Budget'!$M22,0)-EOMONTH(EO$11,0))/30)+1,0),0)</f>
        <v>0</v>
      </c>
      <c r="EP225" s="427">
        <f>-IF(AND(EP$11&gt;=EOMONTH('Construction Budget'!$K22,0),EP$11&lt;=EOMONTH('Construction Budget'!$M22,0)),('Construction Budget'!$G22+SUM($G225:EO225))/ROUND(((EOMONTH('Construction Budget'!$M22,0)-EOMONTH(EP$11,0))/30)+1,0),0)</f>
        <v>0</v>
      </c>
      <c r="EQ225" s="427">
        <f>-IF(AND(EQ$11&gt;=EOMONTH('Construction Budget'!$K22,0),EQ$11&lt;=EOMONTH('Construction Budget'!$M22,0)),('Construction Budget'!$G22+SUM($G225:EP225))/ROUND(((EOMONTH('Construction Budget'!$M22,0)-EOMONTH(EQ$11,0))/30)+1,0),0)</f>
        <v>0</v>
      </c>
      <c r="ER225" s="427">
        <f>-IF(AND(ER$11&gt;=EOMONTH('Construction Budget'!$K22,0),ER$11&lt;=EOMONTH('Construction Budget'!$M22,0)),('Construction Budget'!$G22+SUM($G225:EQ225))/ROUND(((EOMONTH('Construction Budget'!$M22,0)-EOMONTH(ER$11,0))/30)+1,0),0)</f>
        <v>0</v>
      </c>
      <c r="ES225" s="427">
        <f>-IF(AND(ES$11&gt;=EOMONTH('Construction Budget'!$K22,0),ES$11&lt;=EOMONTH('Construction Budget'!$M22,0)),('Construction Budget'!$G22+SUM($G225:ER225))/ROUND(((EOMONTH('Construction Budget'!$M22,0)-EOMONTH(ES$11,0))/30)+1,0),0)</f>
        <v>0</v>
      </c>
      <c r="ET225" s="427">
        <f>-IF(AND(ET$11&gt;=EOMONTH('Construction Budget'!$K22,0),ET$11&lt;=EOMONTH('Construction Budget'!$M22,0)),('Construction Budget'!$G22+SUM($G225:ES225))/ROUND(((EOMONTH('Construction Budget'!$M22,0)-EOMONTH(ET$11,0))/30)+1,0),0)</f>
        <v>0</v>
      </c>
      <c r="EU225" s="427">
        <f>-IF(AND(EU$11&gt;=EOMONTH('Construction Budget'!$K22,0),EU$11&lt;=EOMONTH('Construction Budget'!$M22,0)),('Construction Budget'!$G22+SUM($G225:ET225))/ROUND(((EOMONTH('Construction Budget'!$M22,0)-EOMONTH(EU$11,0))/30)+1,0),0)</f>
        <v>0</v>
      </c>
      <c r="EV225" s="427">
        <f>-IF(AND(EV$11&gt;=EOMONTH('Construction Budget'!$K22,0),EV$11&lt;=EOMONTH('Construction Budget'!$M22,0)),('Construction Budget'!$G22+SUM($G225:EU225))/ROUND(((EOMONTH('Construction Budget'!$M22,0)-EOMONTH(EV$11,0))/30)+1,0),0)</f>
        <v>0</v>
      </c>
      <c r="EW225" s="427">
        <f>-IF(AND(EW$11&gt;=EOMONTH('Construction Budget'!$K22,0),EW$11&lt;=EOMONTH('Construction Budget'!$M22,0)),('Construction Budget'!$G22+SUM($G225:EV225))/ROUND(((EOMONTH('Construction Budget'!$M22,0)-EOMONTH(EW$11,0))/30)+1,0),0)</f>
        <v>0</v>
      </c>
      <c r="EX225" s="427">
        <f>-IF(AND(EX$11&gt;=EOMONTH('Construction Budget'!$K22,0),EX$11&lt;=EOMONTH('Construction Budget'!$M22,0)),('Construction Budget'!$G22+SUM($G225:EW225))/ROUND(((EOMONTH('Construction Budget'!$M22,0)-EOMONTH(EX$11,0))/30)+1,0),0)</f>
        <v>0</v>
      </c>
      <c r="EY225" s="427">
        <f>-IF(AND(EY$11&gt;=EOMONTH('Construction Budget'!$K22,0),EY$11&lt;=EOMONTH('Construction Budget'!$M22,0)),('Construction Budget'!$G22+SUM($G225:EX225))/ROUND(((EOMONTH('Construction Budget'!$M22,0)-EOMONTH(EY$11,0))/30)+1,0),0)</f>
        <v>0</v>
      </c>
      <c r="EZ225" s="427">
        <f>-IF(AND(EZ$11&gt;=EOMONTH('Construction Budget'!$K22,0),EZ$11&lt;=EOMONTH('Construction Budget'!$M22,0)),('Construction Budget'!$G22+SUM($G225:EY225))/ROUND(((EOMONTH('Construction Budget'!$M22,0)-EOMONTH(EZ$11,0))/30)+1,0),0)</f>
        <v>0</v>
      </c>
      <c r="FA225" s="427">
        <f>-IF(AND(FA$11&gt;=EOMONTH('Construction Budget'!$K22,0),FA$11&lt;=EOMONTH('Construction Budget'!$M22,0)),('Construction Budget'!$G22+SUM($G225:EZ225))/ROUND(((EOMONTH('Construction Budget'!$M22,0)-EOMONTH(FA$11,0))/30)+1,0),0)</f>
        <v>0</v>
      </c>
      <c r="FB225" s="427">
        <f>-IF(AND(FB$11&gt;=EOMONTH('Construction Budget'!$K22,0),FB$11&lt;=EOMONTH('Construction Budget'!$M22,0)),('Construction Budget'!$G22+SUM($G225:FA225))/ROUND(((EOMONTH('Construction Budget'!$M22,0)-EOMONTH(FB$11,0))/30)+1,0),0)</f>
        <v>0</v>
      </c>
      <c r="FC225" s="427">
        <f>-IF(AND(FC$11&gt;=EOMONTH('Construction Budget'!$K22,0),FC$11&lt;=EOMONTH('Construction Budget'!$M22,0)),('Construction Budget'!$G22+SUM($G225:FB225))/ROUND(((EOMONTH('Construction Budget'!$M22,0)-EOMONTH(FC$11,0))/30)+1,0),0)</f>
        <v>0</v>
      </c>
      <c r="FD225" s="427">
        <f>-IF(AND(FD$11&gt;=EOMONTH('Construction Budget'!$K22,0),FD$11&lt;=EOMONTH('Construction Budget'!$M22,0)),('Construction Budget'!$G22+SUM($G225:FC225))/ROUND(((EOMONTH('Construction Budget'!$M22,0)-EOMONTH(FD$11,0))/30)+1,0),0)</f>
        <v>0</v>
      </c>
      <c r="FE225" s="427">
        <f>-IF(AND(FE$11&gt;=EOMONTH('Construction Budget'!$K22,0),FE$11&lt;=EOMONTH('Construction Budget'!$M22,0)),('Construction Budget'!$G22+SUM($G225:FD225))/ROUND(((EOMONTH('Construction Budget'!$M22,0)-EOMONTH(FE$11,0))/30)+1,0),0)</f>
        <v>0</v>
      </c>
      <c r="FF225" s="427">
        <f>-IF(AND(FF$11&gt;=EOMONTH('Construction Budget'!$K22,0),FF$11&lt;=EOMONTH('Construction Budget'!$M22,0)),('Construction Budget'!$G22+SUM($G225:FE225))/ROUND(((EOMONTH('Construction Budget'!$M22,0)-EOMONTH(FF$11,0))/30)+1,0),0)</f>
        <v>0</v>
      </c>
      <c r="FG225" s="427">
        <f>-IF(AND(FG$11&gt;=EOMONTH('Construction Budget'!$K22,0),FG$11&lt;=EOMONTH('Construction Budget'!$M22,0)),('Construction Budget'!$G22+SUM($G225:FF225))/ROUND(((EOMONTH('Construction Budget'!$M22,0)-EOMONTH(FG$11,0))/30)+1,0),0)</f>
        <v>0</v>
      </c>
      <c r="FH225" s="427">
        <f>-IF(AND(FH$11&gt;=EOMONTH('Construction Budget'!$K22,0),FH$11&lt;=EOMONTH('Construction Budget'!$M22,0)),('Construction Budget'!$G22+SUM($G225:FG225))/ROUND(((EOMONTH('Construction Budget'!$M22,0)-EOMONTH(FH$11,0))/30)+1,0),0)</f>
        <v>0</v>
      </c>
      <c r="FI225" s="427">
        <f>-IF(AND(FI$11&gt;=EOMONTH('Construction Budget'!$K22,0),FI$11&lt;=EOMONTH('Construction Budget'!$M22,0)),('Construction Budget'!$G22+SUM($G225:FH225))/ROUND(((EOMONTH('Construction Budget'!$M22,0)-EOMONTH(FI$11,0))/30)+1,0),0)</f>
        <v>0</v>
      </c>
      <c r="FJ225" s="427">
        <f>-IF(AND(FJ$11&gt;=EOMONTH('Construction Budget'!$K22,0),FJ$11&lt;=EOMONTH('Construction Budget'!$M22,0)),('Construction Budget'!$G22+SUM($G225:FI225))/ROUND(((EOMONTH('Construction Budget'!$M22,0)-EOMONTH(FJ$11,0))/30)+1,0),0)</f>
        <v>0</v>
      </c>
      <c r="FK225" s="427">
        <f>-IF(AND(FK$11&gt;=EOMONTH('Construction Budget'!$K22,0),FK$11&lt;=EOMONTH('Construction Budget'!$M22,0)),('Construction Budget'!$G22+SUM($G225:FJ225))/ROUND(((EOMONTH('Construction Budget'!$M22,0)-EOMONTH(FK$11,0))/30)+1,0),0)</f>
        <v>0</v>
      </c>
      <c r="FL225" s="427">
        <f>-IF(AND(FL$11&gt;=EOMONTH('Construction Budget'!$K22,0),FL$11&lt;=EOMONTH('Construction Budget'!$M22,0)),('Construction Budget'!$G22+SUM($G225:FK225))/ROUND(((EOMONTH('Construction Budget'!$M22,0)-EOMONTH(FL$11,0))/30)+1,0),0)</f>
        <v>0</v>
      </c>
      <c r="FM225" s="427">
        <f>-IF(AND(FM$11&gt;=EOMONTH('Construction Budget'!$K22,0),FM$11&lt;=EOMONTH('Construction Budget'!$M22,0)),('Construction Budget'!$G22+SUM($G225:FL225))/ROUND(((EOMONTH('Construction Budget'!$M22,0)-EOMONTH(FM$11,0))/30)+1,0),0)</f>
        <v>0</v>
      </c>
      <c r="FN225" s="427">
        <f>-IF(AND(FN$11&gt;=EOMONTH('Construction Budget'!$K22,0),FN$11&lt;=EOMONTH('Construction Budget'!$M22,0)),('Construction Budget'!$G22+SUM($G225:FM225))/ROUND(((EOMONTH('Construction Budget'!$M22,0)-EOMONTH(FN$11,0))/30)+1,0),0)</f>
        <v>0</v>
      </c>
      <c r="FO225" s="427">
        <f>-IF(AND(FO$11&gt;=EOMONTH('Construction Budget'!$K22,0),FO$11&lt;=EOMONTH('Construction Budget'!$M22,0)),('Construction Budget'!$G22+SUM($G225:FN225))/ROUND(((EOMONTH('Construction Budget'!$M22,0)-EOMONTH(FO$11,0))/30)+1,0),0)</f>
        <v>0</v>
      </c>
      <c r="FP225" s="427">
        <f>-IF(AND(FP$11&gt;=EOMONTH('Construction Budget'!$K22,0),FP$11&lt;=EOMONTH('Construction Budget'!$M22,0)),('Construction Budget'!$G22+SUM($G225:FO225))/ROUND(((EOMONTH('Construction Budget'!$M22,0)-EOMONTH(FP$11,0))/30)+1,0),0)</f>
        <v>0</v>
      </c>
      <c r="FQ225" s="427">
        <f>-IF(AND(FQ$11&gt;=EOMONTH('Construction Budget'!$K22,0),FQ$11&lt;=EOMONTH('Construction Budget'!$M22,0)),('Construction Budget'!$G22+SUM($G225:FP225))/ROUND(((EOMONTH('Construction Budget'!$M22,0)-EOMONTH(FQ$11,0))/30)+1,0),0)</f>
        <v>0</v>
      </c>
      <c r="FR225" s="427">
        <f>-IF(AND(FR$11&gt;=EOMONTH('Construction Budget'!$K22,0),FR$11&lt;=EOMONTH('Construction Budget'!$M22,0)),('Construction Budget'!$G22+SUM($G225:FQ225))/ROUND(((EOMONTH('Construction Budget'!$M22,0)-EOMONTH(FR$11,0))/30)+1,0),0)</f>
        <v>0</v>
      </c>
      <c r="FS225" s="427">
        <f>-IF(AND(FS$11&gt;=EOMONTH('Construction Budget'!$K22,0),FS$11&lt;=EOMONTH('Construction Budget'!$M22,0)),('Construction Budget'!$G22+SUM($G225:FR225))/ROUND(((EOMONTH('Construction Budget'!$M22,0)-EOMONTH(FS$11,0))/30)+1,0),0)</f>
        <v>0</v>
      </c>
      <c r="FT225" s="427">
        <f>-IF(AND(FT$11&gt;=EOMONTH('Construction Budget'!$K22,0),FT$11&lt;=EOMONTH('Construction Budget'!$M22,0)),('Construction Budget'!$G22+SUM($G225:FS225))/ROUND(((EOMONTH('Construction Budget'!$M22,0)-EOMONTH(FT$11,0))/30)+1,0),0)</f>
        <v>0</v>
      </c>
      <c r="FU225" s="43"/>
      <c r="FV225" s="34"/>
      <c r="FW225" s="34"/>
      <c r="FX225" s="34"/>
      <c r="FY225" s="34"/>
      <c r="FZ225" s="34"/>
    </row>
    <row r="226" spans="1:182" s="89" customFormat="1" ht="13.5" hidden="1" outlineLevel="2" x14ac:dyDescent="0.25">
      <c r="A226" s="498"/>
      <c r="B226" s="128" t="str">
        <f>'Construction Budget'!B23</f>
        <v>Blank</v>
      </c>
      <c r="C226" s="34"/>
      <c r="D226" s="34"/>
      <c r="E226" s="34"/>
      <c r="F226" s="434">
        <f t="shared" si="240"/>
        <v>0</v>
      </c>
      <c r="G226" s="34"/>
      <c r="H226" s="427">
        <f>-IF(AND(H$11&gt;=EOMONTH('Construction Budget'!$K23,0),H$11&lt;=EOMONTH('Construction Budget'!$M23,0)),('Construction Budget'!$G23+SUM($G226:G226))/ROUND(((EOMONTH('Construction Budget'!$M23,0)-EOMONTH(H$11,0))/30)+1,0),0)</f>
        <v>0</v>
      </c>
      <c r="I226" s="427">
        <f>-IF(AND(I$11&gt;=EOMONTH('Construction Budget'!$K23,0),I$11&lt;=EOMONTH('Construction Budget'!$M23,0)),('Construction Budget'!$G23+SUM($G226:H226))/ROUND(((EOMONTH('Construction Budget'!$M23,0)-EOMONTH(I$11,0))/30)+1,0),0)</f>
        <v>0</v>
      </c>
      <c r="J226" s="427">
        <f>-IF(AND(J$11&gt;=EOMONTH('Construction Budget'!$K23,0),J$11&lt;=EOMONTH('Construction Budget'!$M23,0)),('Construction Budget'!$G23+SUM($G226:I226))/ROUND(((EOMONTH('Construction Budget'!$M23,0)-EOMONTH(J$11,0))/30)+1,0),0)</f>
        <v>0</v>
      </c>
      <c r="K226" s="427">
        <f>-IF(AND(K$11&gt;=EOMONTH('Construction Budget'!$K23,0),K$11&lt;=EOMONTH('Construction Budget'!$M23,0)),('Construction Budget'!$G23+SUM($G226:J226))/ROUND(((EOMONTH('Construction Budget'!$M23,0)-EOMONTH(K$11,0))/30)+1,0),0)</f>
        <v>0</v>
      </c>
      <c r="L226" s="427">
        <f>-IF(AND(L$11&gt;=EOMONTH('Construction Budget'!$K23,0),L$11&lt;=EOMONTH('Construction Budget'!$M23,0)),('Construction Budget'!$G23+SUM($G226:K226))/ROUND(((EOMONTH('Construction Budget'!$M23,0)-EOMONTH(L$11,0))/30)+1,0),0)</f>
        <v>0</v>
      </c>
      <c r="M226" s="427">
        <f>-IF(AND(M$11&gt;=EOMONTH('Construction Budget'!$K23,0),M$11&lt;=EOMONTH('Construction Budget'!$M23,0)),('Construction Budget'!$G23+SUM($G226:L226))/ROUND(((EOMONTH('Construction Budget'!$M23,0)-EOMONTH(M$11,0))/30)+1,0),0)</f>
        <v>0</v>
      </c>
      <c r="N226" s="427">
        <f>-IF(AND(N$11&gt;=EOMONTH('Construction Budget'!$K23,0),N$11&lt;=EOMONTH('Construction Budget'!$M23,0)),('Construction Budget'!$G23+SUM($G226:M226))/ROUND(((EOMONTH('Construction Budget'!$M23,0)-EOMONTH(N$11,0))/30)+1,0),0)</f>
        <v>0</v>
      </c>
      <c r="O226" s="427">
        <f>-IF(AND(O$11&gt;=EOMONTH('Construction Budget'!$K23,0),O$11&lt;=EOMONTH('Construction Budget'!$M23,0)),('Construction Budget'!$G23+SUM($G226:N226))/ROUND(((EOMONTH('Construction Budget'!$M23,0)-EOMONTH(O$11,0))/30)+1,0),0)</f>
        <v>0</v>
      </c>
      <c r="P226" s="427">
        <f>-IF(AND(P$11&gt;=EOMONTH('Construction Budget'!$K23,0),P$11&lt;=EOMONTH('Construction Budget'!$M23,0)),('Construction Budget'!$G23+SUM($G226:O226))/ROUND(((EOMONTH('Construction Budget'!$M23,0)-EOMONTH(P$11,0))/30)+1,0),0)</f>
        <v>0</v>
      </c>
      <c r="Q226" s="427">
        <f>-IF(AND(Q$11&gt;=EOMONTH('Construction Budget'!$K23,0),Q$11&lt;=EOMONTH('Construction Budget'!$M23,0)),('Construction Budget'!$G23+SUM($G226:P226))/ROUND(((EOMONTH('Construction Budget'!$M23,0)-EOMONTH(Q$11,0))/30)+1,0),0)</f>
        <v>0</v>
      </c>
      <c r="R226" s="427">
        <f>-IF(AND(R$11&gt;=EOMONTH('Construction Budget'!$K23,0),R$11&lt;=EOMONTH('Construction Budget'!$M23,0)),('Construction Budget'!$G23+SUM($G226:Q226))/ROUND(((EOMONTH('Construction Budget'!$M23,0)-EOMONTH(R$11,0))/30)+1,0),0)</f>
        <v>0</v>
      </c>
      <c r="S226" s="427">
        <f>-IF(AND(S$11&gt;=EOMONTH('Construction Budget'!$K23,0),S$11&lt;=EOMONTH('Construction Budget'!$M23,0)),('Construction Budget'!$G23+SUM($G226:R226))/ROUND(((EOMONTH('Construction Budget'!$M23,0)-EOMONTH(S$11,0))/30)+1,0),0)</f>
        <v>0</v>
      </c>
      <c r="T226" s="427">
        <f>-IF(AND(T$11&gt;=EOMONTH('Construction Budget'!$K23,0),T$11&lt;=EOMONTH('Construction Budget'!$M23,0)),('Construction Budget'!$G23+SUM($G226:S226))/ROUND(((EOMONTH('Construction Budget'!$M23,0)-EOMONTH(T$11,0))/30)+1,0),0)</f>
        <v>0</v>
      </c>
      <c r="U226" s="427">
        <f>-IF(AND(U$11&gt;=EOMONTH('Construction Budget'!$K23,0),U$11&lt;=EOMONTH('Construction Budget'!$M23,0)),('Construction Budget'!$G23+SUM($G226:T226))/ROUND(((EOMONTH('Construction Budget'!$M23,0)-EOMONTH(U$11,0))/30)+1,0),0)</f>
        <v>0</v>
      </c>
      <c r="V226" s="427">
        <f>-IF(AND(V$11&gt;=EOMONTH('Construction Budget'!$K23,0),V$11&lt;=EOMONTH('Construction Budget'!$M23,0)),('Construction Budget'!$G23+SUM($G226:U226))/ROUND(((EOMONTH('Construction Budget'!$M23,0)-EOMONTH(V$11,0))/30)+1,0),0)</f>
        <v>0</v>
      </c>
      <c r="W226" s="427">
        <f>-IF(AND(W$11&gt;=EOMONTH('Construction Budget'!$K23,0),W$11&lt;=EOMONTH('Construction Budget'!$M23,0)),('Construction Budget'!$G23+SUM($G226:V226))/ROUND(((EOMONTH('Construction Budget'!$M23,0)-EOMONTH(W$11,0))/30)+1,0),0)</f>
        <v>0</v>
      </c>
      <c r="X226" s="427">
        <f>-IF(AND(X$11&gt;=EOMONTH('Construction Budget'!$K23,0),X$11&lt;=EOMONTH('Construction Budget'!$M23,0)),('Construction Budget'!$G23+SUM($G226:W226))/ROUND(((EOMONTH('Construction Budget'!$M23,0)-EOMONTH(X$11,0))/30)+1,0),0)</f>
        <v>0</v>
      </c>
      <c r="Y226" s="427">
        <f>-IF(AND(Y$11&gt;=EOMONTH('Construction Budget'!$K23,0),Y$11&lt;=EOMONTH('Construction Budget'!$M23,0)),('Construction Budget'!$G23+SUM($G226:X226))/ROUND(((EOMONTH('Construction Budget'!$M23,0)-EOMONTH(Y$11,0))/30)+1,0),0)</f>
        <v>0</v>
      </c>
      <c r="Z226" s="427">
        <f>-IF(AND(Z$11&gt;=EOMONTH('Construction Budget'!$K23,0),Z$11&lt;=EOMONTH('Construction Budget'!$M23,0)),('Construction Budget'!$G23+SUM($G226:Y226))/ROUND(((EOMONTH('Construction Budget'!$M23,0)-EOMONTH(Z$11,0))/30)+1,0),0)</f>
        <v>0</v>
      </c>
      <c r="AA226" s="427">
        <f>-IF(AND(AA$11&gt;=EOMONTH('Construction Budget'!$K23,0),AA$11&lt;=EOMONTH('Construction Budget'!$M23,0)),('Construction Budget'!$G23+SUM($G226:Z226))/ROUND(((EOMONTH('Construction Budget'!$M23,0)-EOMONTH(AA$11,0))/30)+1,0),0)</f>
        <v>0</v>
      </c>
      <c r="AB226" s="427">
        <f>-IF(AND(AB$11&gt;=EOMONTH('Construction Budget'!$K23,0),AB$11&lt;=EOMONTH('Construction Budget'!$M23,0)),('Construction Budget'!$G23+SUM($G226:AA226))/ROUND(((EOMONTH('Construction Budget'!$M23,0)-EOMONTH(AB$11,0))/30)+1,0),0)</f>
        <v>0</v>
      </c>
      <c r="AC226" s="427">
        <f>-IF(AND(AC$11&gt;=EOMONTH('Construction Budget'!$K23,0),AC$11&lt;=EOMONTH('Construction Budget'!$M23,0)),('Construction Budget'!$G23+SUM($G226:AB226))/ROUND(((EOMONTH('Construction Budget'!$M23,0)-EOMONTH(AC$11,0))/30)+1,0),0)</f>
        <v>0</v>
      </c>
      <c r="AD226" s="427">
        <f>-IF(AND(AD$11&gt;=EOMONTH('Construction Budget'!$K23,0),AD$11&lt;=EOMONTH('Construction Budget'!$M23,0)),('Construction Budget'!$G23+SUM($G226:AC226))/ROUND(((EOMONTH('Construction Budget'!$M23,0)-EOMONTH(AD$11,0))/30)+1,0),0)</f>
        <v>0</v>
      </c>
      <c r="AE226" s="427">
        <f>-IF(AND(AE$11&gt;=EOMONTH('Construction Budget'!$K23,0),AE$11&lt;=EOMONTH('Construction Budget'!$M23,0)),('Construction Budget'!$G23+SUM($G226:AD226))/ROUND(((EOMONTH('Construction Budget'!$M23,0)-EOMONTH(AE$11,0))/30)+1,0),0)</f>
        <v>0</v>
      </c>
      <c r="AF226" s="427">
        <f>-IF(AND(AF$11&gt;=EOMONTH('Construction Budget'!$K23,0),AF$11&lt;=EOMONTH('Construction Budget'!$M23,0)),('Construction Budget'!$G23+SUM($G226:AE226))/ROUND(((EOMONTH('Construction Budget'!$M23,0)-EOMONTH(AF$11,0))/30)+1,0),0)</f>
        <v>0</v>
      </c>
      <c r="AG226" s="427">
        <f>-IF(AND(AG$11&gt;=EOMONTH('Construction Budget'!$K23,0),AG$11&lt;=EOMONTH('Construction Budget'!$M23,0)),('Construction Budget'!$G23+SUM($G226:AF226))/ROUND(((EOMONTH('Construction Budget'!$M23,0)-EOMONTH(AG$11,0))/30)+1,0),0)</f>
        <v>0</v>
      </c>
      <c r="AH226" s="427">
        <f>-IF(AND(AH$11&gt;=EOMONTH('Construction Budget'!$K23,0),AH$11&lt;=EOMONTH('Construction Budget'!$M23,0)),('Construction Budget'!$G23+SUM($G226:AG226))/ROUND(((EOMONTH('Construction Budget'!$M23,0)-EOMONTH(AH$11,0))/30)+1,0),0)</f>
        <v>0</v>
      </c>
      <c r="AI226" s="427">
        <f>-IF(AND(AI$11&gt;=EOMONTH('Construction Budget'!$K23,0),AI$11&lt;=EOMONTH('Construction Budget'!$M23,0)),('Construction Budget'!$G23+SUM($G226:AH226))/ROUND(((EOMONTH('Construction Budget'!$M23,0)-EOMONTH(AI$11,0))/30)+1,0),0)</f>
        <v>0</v>
      </c>
      <c r="AJ226" s="427">
        <f>-IF(AND(AJ$11&gt;=EOMONTH('Construction Budget'!$K23,0),AJ$11&lt;=EOMONTH('Construction Budget'!$M23,0)),('Construction Budget'!$G23+SUM($G226:AI226))/ROUND(((EOMONTH('Construction Budget'!$M23,0)-EOMONTH(AJ$11,0))/30)+1,0),0)</f>
        <v>0</v>
      </c>
      <c r="AK226" s="427">
        <f>-IF(AND(AK$11&gt;=EOMONTH('Construction Budget'!$K23,0),AK$11&lt;=EOMONTH('Construction Budget'!$M23,0)),('Construction Budget'!$G23+SUM($G226:AJ226))/ROUND(((EOMONTH('Construction Budget'!$M23,0)-EOMONTH(AK$11,0))/30)+1,0),0)</f>
        <v>0</v>
      </c>
      <c r="AL226" s="427">
        <f>-IF(AND(AL$11&gt;=EOMONTH('Construction Budget'!$K23,0),AL$11&lt;=EOMONTH('Construction Budget'!$M23,0)),('Construction Budget'!$G23+SUM($G226:AK226))/ROUND(((EOMONTH('Construction Budget'!$M23,0)-EOMONTH(AL$11,0))/30)+1,0),0)</f>
        <v>0</v>
      </c>
      <c r="AM226" s="427">
        <f>-IF(AND(AM$11&gt;=EOMONTH('Construction Budget'!$K23,0),AM$11&lt;=EOMONTH('Construction Budget'!$M23,0)),('Construction Budget'!$G23+SUM($G226:AL226))/ROUND(((EOMONTH('Construction Budget'!$M23,0)-EOMONTH(AM$11,0))/30)+1,0),0)</f>
        <v>0</v>
      </c>
      <c r="AN226" s="427">
        <f>-IF(AND(AN$11&gt;=EOMONTH('Construction Budget'!$K23,0),AN$11&lt;=EOMONTH('Construction Budget'!$M23,0)),('Construction Budget'!$G23+SUM($G226:AM226))/ROUND(((EOMONTH('Construction Budget'!$M23,0)-EOMONTH(AN$11,0))/30)+1,0),0)</f>
        <v>0</v>
      </c>
      <c r="AO226" s="427">
        <f>-IF(AND(AO$11&gt;=EOMONTH('Construction Budget'!$K23,0),AO$11&lt;=EOMONTH('Construction Budget'!$M23,0)),('Construction Budget'!$G23+SUM($G226:AN226))/ROUND(((EOMONTH('Construction Budget'!$M23,0)-EOMONTH(AO$11,0))/30)+1,0),0)</f>
        <v>0</v>
      </c>
      <c r="AP226" s="427">
        <f>-IF(AND(AP$11&gt;=EOMONTH('Construction Budget'!$K23,0),AP$11&lt;=EOMONTH('Construction Budget'!$M23,0)),('Construction Budget'!$G23+SUM($G226:AO226))/ROUND(((EOMONTH('Construction Budget'!$M23,0)-EOMONTH(AP$11,0))/30)+1,0),0)</f>
        <v>0</v>
      </c>
      <c r="AQ226" s="427">
        <f>-IF(AND(AQ$11&gt;=EOMONTH('Construction Budget'!$K23,0),AQ$11&lt;=EOMONTH('Construction Budget'!$M23,0)),('Construction Budget'!$G23+SUM($G226:AP226))/ROUND(((EOMONTH('Construction Budget'!$M23,0)-EOMONTH(AQ$11,0))/30)+1,0),0)</f>
        <v>0</v>
      </c>
      <c r="AR226" s="427">
        <f>-IF(AND(AR$11&gt;=EOMONTH('Construction Budget'!$K23,0),AR$11&lt;=EOMONTH('Construction Budget'!$M23,0)),('Construction Budget'!$G23+SUM($G226:AQ226))/ROUND(((EOMONTH('Construction Budget'!$M23,0)-EOMONTH(AR$11,0))/30)+1,0),0)</f>
        <v>0</v>
      </c>
      <c r="AS226" s="427">
        <f>-IF(AND(AS$11&gt;=EOMONTH('Construction Budget'!$K23,0),AS$11&lt;=EOMONTH('Construction Budget'!$M23,0)),('Construction Budget'!$G23+SUM($G226:AR226))/ROUND(((EOMONTH('Construction Budget'!$M23,0)-EOMONTH(AS$11,0))/30)+1,0),0)</f>
        <v>0</v>
      </c>
      <c r="AT226" s="427">
        <f>-IF(AND(AT$11&gt;=EOMONTH('Construction Budget'!$K23,0),AT$11&lt;=EOMONTH('Construction Budget'!$M23,0)),('Construction Budget'!$G23+SUM($G226:AS226))/ROUND(((EOMONTH('Construction Budget'!$M23,0)-EOMONTH(AT$11,0))/30)+1,0),0)</f>
        <v>0</v>
      </c>
      <c r="AU226" s="427">
        <f>-IF(AND(AU$11&gt;=EOMONTH('Construction Budget'!$K23,0),AU$11&lt;=EOMONTH('Construction Budget'!$M23,0)),('Construction Budget'!$G23+SUM($G226:AT226))/ROUND(((EOMONTH('Construction Budget'!$M23,0)-EOMONTH(AU$11,0))/30)+1,0),0)</f>
        <v>0</v>
      </c>
      <c r="AV226" s="427">
        <f>-IF(AND(AV$11&gt;=EOMONTH('Construction Budget'!$K23,0),AV$11&lt;=EOMONTH('Construction Budget'!$M23,0)),('Construction Budget'!$G23+SUM($G226:AU226))/ROUND(((EOMONTH('Construction Budget'!$M23,0)-EOMONTH(AV$11,0))/30)+1,0),0)</f>
        <v>0</v>
      </c>
      <c r="AW226" s="427">
        <f>-IF(AND(AW$11&gt;=EOMONTH('Construction Budget'!$K23,0),AW$11&lt;=EOMONTH('Construction Budget'!$M23,0)),('Construction Budget'!$G23+SUM($G226:AV226))/ROUND(((EOMONTH('Construction Budget'!$M23,0)-EOMONTH(AW$11,0))/30)+1,0),0)</f>
        <v>0</v>
      </c>
      <c r="AX226" s="427">
        <f>-IF(AND(AX$11&gt;=EOMONTH('Construction Budget'!$K23,0),AX$11&lt;=EOMONTH('Construction Budget'!$M23,0)),('Construction Budget'!$G23+SUM($G226:AW226))/ROUND(((EOMONTH('Construction Budget'!$M23,0)-EOMONTH(AX$11,0))/30)+1,0),0)</f>
        <v>0</v>
      </c>
      <c r="AY226" s="427">
        <f>-IF(AND(AY$11&gt;=EOMONTH('Construction Budget'!$K23,0),AY$11&lt;=EOMONTH('Construction Budget'!$M23,0)),('Construction Budget'!$G23+SUM($G226:AX226))/ROUND(((EOMONTH('Construction Budget'!$M23,0)-EOMONTH(AY$11,0))/30)+1,0),0)</f>
        <v>0</v>
      </c>
      <c r="AZ226" s="427">
        <f>-IF(AND(AZ$11&gt;=EOMONTH('Construction Budget'!$K23,0),AZ$11&lt;=EOMONTH('Construction Budget'!$M23,0)),('Construction Budget'!$G23+SUM($G226:AY226))/ROUND(((EOMONTH('Construction Budget'!$M23,0)-EOMONTH(AZ$11,0))/30)+1,0),0)</f>
        <v>0</v>
      </c>
      <c r="BA226" s="427">
        <f>-IF(AND(BA$11&gt;=EOMONTH('Construction Budget'!$K23,0),BA$11&lt;=EOMONTH('Construction Budget'!$M23,0)),('Construction Budget'!$G23+SUM($G226:AZ226))/ROUND(((EOMONTH('Construction Budget'!$M23,0)-EOMONTH(BA$11,0))/30)+1,0),0)</f>
        <v>0</v>
      </c>
      <c r="BB226" s="427">
        <f>-IF(AND(BB$11&gt;=EOMONTH('Construction Budget'!$K23,0),BB$11&lt;=EOMONTH('Construction Budget'!$M23,0)),('Construction Budget'!$G23+SUM($G226:BA226))/ROUND(((EOMONTH('Construction Budget'!$M23,0)-EOMONTH(BB$11,0))/30)+1,0),0)</f>
        <v>0</v>
      </c>
      <c r="BC226" s="427">
        <f>-IF(AND(BC$11&gt;=EOMONTH('Construction Budget'!$K23,0),BC$11&lt;=EOMONTH('Construction Budget'!$M23,0)),('Construction Budget'!$G23+SUM($G226:BB226))/ROUND(((EOMONTH('Construction Budget'!$M23,0)-EOMONTH(BC$11,0))/30)+1,0),0)</f>
        <v>0</v>
      </c>
      <c r="BD226" s="427">
        <f>-IF(AND(BD$11&gt;=EOMONTH('Construction Budget'!$K23,0),BD$11&lt;=EOMONTH('Construction Budget'!$M23,0)),('Construction Budget'!$G23+SUM($G226:BC226))/ROUND(((EOMONTH('Construction Budget'!$M23,0)-EOMONTH(BD$11,0))/30)+1,0),0)</f>
        <v>0</v>
      </c>
      <c r="BE226" s="427">
        <f>-IF(AND(BE$11&gt;=EOMONTH('Construction Budget'!$K23,0),BE$11&lt;=EOMONTH('Construction Budget'!$M23,0)),('Construction Budget'!$G23+SUM($G226:BD226))/ROUND(((EOMONTH('Construction Budget'!$M23,0)-EOMONTH(BE$11,0))/30)+1,0),0)</f>
        <v>0</v>
      </c>
      <c r="BF226" s="427">
        <f>-IF(AND(BF$11&gt;=EOMONTH('Construction Budget'!$K23,0),BF$11&lt;=EOMONTH('Construction Budget'!$M23,0)),('Construction Budget'!$G23+SUM($G226:BE226))/ROUND(((EOMONTH('Construction Budget'!$M23,0)-EOMONTH(BF$11,0))/30)+1,0),0)</f>
        <v>0</v>
      </c>
      <c r="BG226" s="427">
        <f>-IF(AND(BG$11&gt;=EOMONTH('Construction Budget'!$K23,0),BG$11&lt;=EOMONTH('Construction Budget'!$M23,0)),('Construction Budget'!$G23+SUM($G226:BF226))/ROUND(((EOMONTH('Construction Budget'!$M23,0)-EOMONTH(BG$11,0))/30)+1,0),0)</f>
        <v>0</v>
      </c>
      <c r="BH226" s="427">
        <f>-IF(AND(BH$11&gt;=EOMONTH('Construction Budget'!$K23,0),BH$11&lt;=EOMONTH('Construction Budget'!$M23,0)),('Construction Budget'!$G23+SUM($G226:BG226))/ROUND(((EOMONTH('Construction Budget'!$M23,0)-EOMONTH(BH$11,0))/30)+1,0),0)</f>
        <v>0</v>
      </c>
      <c r="BI226" s="427">
        <f>-IF(AND(BI$11&gt;=EOMONTH('Construction Budget'!$K23,0),BI$11&lt;=EOMONTH('Construction Budget'!$M23,0)),('Construction Budget'!$G23+SUM($G226:BH226))/ROUND(((EOMONTH('Construction Budget'!$M23,0)-EOMONTH(BI$11,0))/30)+1,0),0)</f>
        <v>0</v>
      </c>
      <c r="BJ226" s="427">
        <f>-IF(AND(BJ$11&gt;=EOMONTH('Construction Budget'!$K23,0),BJ$11&lt;=EOMONTH('Construction Budget'!$M23,0)),('Construction Budget'!$G23+SUM($G226:BI226))/ROUND(((EOMONTH('Construction Budget'!$M23,0)-EOMONTH(BJ$11,0))/30)+1,0),0)</f>
        <v>0</v>
      </c>
      <c r="BK226" s="427">
        <f>-IF(AND(BK$11&gt;=EOMONTH('Construction Budget'!$K23,0),BK$11&lt;=EOMONTH('Construction Budget'!$M23,0)),('Construction Budget'!$G23+SUM($G226:BJ226))/ROUND(((EOMONTH('Construction Budget'!$M23,0)-EOMONTH(BK$11,0))/30)+1,0),0)</f>
        <v>0</v>
      </c>
      <c r="BL226" s="427">
        <f>-IF(AND(BL$11&gt;=EOMONTH('Construction Budget'!$K23,0),BL$11&lt;=EOMONTH('Construction Budget'!$M23,0)),('Construction Budget'!$G23+SUM($G226:BK226))/ROUND(((EOMONTH('Construction Budget'!$M23,0)-EOMONTH(BL$11,0))/30)+1,0),0)</f>
        <v>0</v>
      </c>
      <c r="BM226" s="427">
        <f>-IF(AND(BM$11&gt;=EOMONTH('Construction Budget'!$K23,0),BM$11&lt;=EOMONTH('Construction Budget'!$M23,0)),('Construction Budget'!$G23+SUM($G226:BL226))/ROUND(((EOMONTH('Construction Budget'!$M23,0)-EOMONTH(BM$11,0))/30)+1,0),0)</f>
        <v>0</v>
      </c>
      <c r="BN226" s="427">
        <f>-IF(AND(BN$11&gt;=EOMONTH('Construction Budget'!$K23,0),BN$11&lt;=EOMONTH('Construction Budget'!$M23,0)),('Construction Budget'!$G23+SUM($G226:BM226))/ROUND(((EOMONTH('Construction Budget'!$M23,0)-EOMONTH(BN$11,0))/30)+1,0),0)</f>
        <v>0</v>
      </c>
      <c r="BO226" s="427">
        <f>-IF(AND(BO$11&gt;=EOMONTH('Construction Budget'!$K23,0),BO$11&lt;=EOMONTH('Construction Budget'!$M23,0)),('Construction Budget'!$G23+SUM($G226:BN226))/ROUND(((EOMONTH('Construction Budget'!$M23,0)-EOMONTH(BO$11,0))/30)+1,0),0)</f>
        <v>0</v>
      </c>
      <c r="BP226" s="427">
        <f>-IF(AND(BP$11&gt;=EOMONTH('Construction Budget'!$K23,0),BP$11&lt;=EOMONTH('Construction Budget'!$M23,0)),('Construction Budget'!$G23+SUM($G226:BO226))/ROUND(((EOMONTH('Construction Budget'!$M23,0)-EOMONTH(BP$11,0))/30)+1,0),0)</f>
        <v>0</v>
      </c>
      <c r="BQ226" s="427">
        <f>-IF(AND(BQ$11&gt;=EOMONTH('Construction Budget'!$K23,0),BQ$11&lt;=EOMONTH('Construction Budget'!$M23,0)),('Construction Budget'!$G23+SUM($G226:BP226))/ROUND(((EOMONTH('Construction Budget'!$M23,0)-EOMONTH(BQ$11,0))/30)+1,0),0)</f>
        <v>0</v>
      </c>
      <c r="BR226" s="427">
        <f>-IF(AND(BR$11&gt;=EOMONTH('Construction Budget'!$K23,0),BR$11&lt;=EOMONTH('Construction Budget'!$M23,0)),('Construction Budget'!$G23+SUM($G226:BQ226))/ROUND(((EOMONTH('Construction Budget'!$M23,0)-EOMONTH(BR$11,0))/30)+1,0),0)</f>
        <v>0</v>
      </c>
      <c r="BS226" s="427">
        <f>-IF(AND(BS$11&gt;=EOMONTH('Construction Budget'!$K23,0),BS$11&lt;=EOMONTH('Construction Budget'!$M23,0)),('Construction Budget'!$G23+SUM($G226:BR226))/ROUND(((EOMONTH('Construction Budget'!$M23,0)-EOMONTH(BS$11,0))/30)+1,0),0)</f>
        <v>0</v>
      </c>
      <c r="BT226" s="427">
        <f>-IF(AND(BT$11&gt;=EOMONTH('Construction Budget'!$K23,0),BT$11&lt;=EOMONTH('Construction Budget'!$M23,0)),('Construction Budget'!$G23+SUM($G226:BS226))/ROUND(((EOMONTH('Construction Budget'!$M23,0)-EOMONTH(BT$11,0))/30)+1,0),0)</f>
        <v>0</v>
      </c>
      <c r="BU226" s="427">
        <f>-IF(AND(BU$11&gt;=EOMONTH('Construction Budget'!$K23,0),BU$11&lt;=EOMONTH('Construction Budget'!$M23,0)),('Construction Budget'!$G23+SUM($G226:BT226))/ROUND(((EOMONTH('Construction Budget'!$M23,0)-EOMONTH(BU$11,0))/30)+1,0),0)</f>
        <v>0</v>
      </c>
      <c r="BV226" s="427">
        <f>-IF(AND(BV$11&gt;=EOMONTH('Construction Budget'!$K23,0),BV$11&lt;=EOMONTH('Construction Budget'!$M23,0)),('Construction Budget'!$G23+SUM($G226:BU226))/ROUND(((EOMONTH('Construction Budget'!$M23,0)-EOMONTH(BV$11,0))/30)+1,0),0)</f>
        <v>0</v>
      </c>
      <c r="BW226" s="427">
        <f>-IF(AND(BW$11&gt;=EOMONTH('Construction Budget'!$K23,0),BW$11&lt;=EOMONTH('Construction Budget'!$M23,0)),('Construction Budget'!$G23+SUM($G226:BV226))/ROUND(((EOMONTH('Construction Budget'!$M23,0)-EOMONTH(BW$11,0))/30)+1,0),0)</f>
        <v>0</v>
      </c>
      <c r="BX226" s="427">
        <f>-IF(AND(BX$11&gt;=EOMONTH('Construction Budget'!$K23,0),BX$11&lt;=EOMONTH('Construction Budget'!$M23,0)),('Construction Budget'!$G23+SUM($G226:BW226))/ROUND(((EOMONTH('Construction Budget'!$M23,0)-EOMONTH(BX$11,0))/30)+1,0),0)</f>
        <v>0</v>
      </c>
      <c r="BY226" s="427">
        <f>-IF(AND(BY$11&gt;=EOMONTH('Construction Budget'!$K23,0),BY$11&lt;=EOMONTH('Construction Budget'!$M23,0)),('Construction Budget'!$G23+SUM($G226:BX226))/ROUND(((EOMONTH('Construction Budget'!$M23,0)-EOMONTH(BY$11,0))/30)+1,0),0)</f>
        <v>0</v>
      </c>
      <c r="BZ226" s="427">
        <f>-IF(AND(BZ$11&gt;=EOMONTH('Construction Budget'!$K23,0),BZ$11&lt;=EOMONTH('Construction Budget'!$M23,0)),('Construction Budget'!$G23+SUM($G226:BY226))/ROUND(((EOMONTH('Construction Budget'!$M23,0)-EOMONTH(BZ$11,0))/30)+1,0),0)</f>
        <v>0</v>
      </c>
      <c r="CA226" s="427">
        <f>-IF(AND(CA$11&gt;=EOMONTH('Construction Budget'!$K23,0),CA$11&lt;=EOMONTH('Construction Budget'!$M23,0)),('Construction Budget'!$G23+SUM($G226:BZ226))/ROUND(((EOMONTH('Construction Budget'!$M23,0)-EOMONTH(CA$11,0))/30)+1,0),0)</f>
        <v>0</v>
      </c>
      <c r="CB226" s="427">
        <f>-IF(AND(CB$11&gt;=EOMONTH('Construction Budget'!$K23,0),CB$11&lt;=EOMONTH('Construction Budget'!$M23,0)),('Construction Budget'!$G23+SUM($G226:CA226))/ROUND(((EOMONTH('Construction Budget'!$M23,0)-EOMONTH(CB$11,0))/30)+1,0),0)</f>
        <v>0</v>
      </c>
      <c r="CC226" s="427">
        <f>-IF(AND(CC$11&gt;=EOMONTH('Construction Budget'!$K23,0),CC$11&lt;=EOMONTH('Construction Budget'!$M23,0)),('Construction Budget'!$G23+SUM($G226:CB226))/ROUND(((EOMONTH('Construction Budget'!$M23,0)-EOMONTH(CC$11,0))/30)+1,0),0)</f>
        <v>0</v>
      </c>
      <c r="CD226" s="427">
        <f>-IF(AND(CD$11&gt;=EOMONTH('Construction Budget'!$K23,0),CD$11&lt;=EOMONTH('Construction Budget'!$M23,0)),('Construction Budget'!$G23+SUM($G226:CC226))/ROUND(((EOMONTH('Construction Budget'!$M23,0)-EOMONTH(CD$11,0))/30)+1,0),0)</f>
        <v>0</v>
      </c>
      <c r="CE226" s="427">
        <f>-IF(AND(CE$11&gt;=EOMONTH('Construction Budget'!$K23,0),CE$11&lt;=EOMONTH('Construction Budget'!$M23,0)),('Construction Budget'!$G23+SUM($G226:CD226))/ROUND(((EOMONTH('Construction Budget'!$M23,0)-EOMONTH(CE$11,0))/30)+1,0),0)</f>
        <v>0</v>
      </c>
      <c r="CF226" s="427">
        <f>-IF(AND(CF$11&gt;=EOMONTH('Construction Budget'!$K23,0),CF$11&lt;=EOMONTH('Construction Budget'!$M23,0)),('Construction Budget'!$G23+SUM($G226:CE226))/ROUND(((EOMONTH('Construction Budget'!$M23,0)-EOMONTH(CF$11,0))/30)+1,0),0)</f>
        <v>0</v>
      </c>
      <c r="CG226" s="427">
        <f>-IF(AND(CG$11&gt;=EOMONTH('Construction Budget'!$K23,0),CG$11&lt;=EOMONTH('Construction Budget'!$M23,0)),('Construction Budget'!$G23+SUM($G226:CF226))/ROUND(((EOMONTH('Construction Budget'!$M23,0)-EOMONTH(CG$11,0))/30)+1,0),0)</f>
        <v>0</v>
      </c>
      <c r="CH226" s="427">
        <f>-IF(AND(CH$11&gt;=EOMONTH('Construction Budget'!$K23,0),CH$11&lt;=EOMONTH('Construction Budget'!$M23,0)),('Construction Budget'!$G23+SUM($G226:CG226))/ROUND(((EOMONTH('Construction Budget'!$M23,0)-EOMONTH(CH$11,0))/30)+1,0),0)</f>
        <v>0</v>
      </c>
      <c r="CI226" s="427">
        <f>-IF(AND(CI$11&gt;=EOMONTH('Construction Budget'!$K23,0),CI$11&lt;=EOMONTH('Construction Budget'!$M23,0)),('Construction Budget'!$G23+SUM($G226:CH226))/ROUND(((EOMONTH('Construction Budget'!$M23,0)-EOMONTH(CI$11,0))/30)+1,0),0)</f>
        <v>0</v>
      </c>
      <c r="CJ226" s="427">
        <f>-IF(AND(CJ$11&gt;=EOMONTH('Construction Budget'!$K23,0),CJ$11&lt;=EOMONTH('Construction Budget'!$M23,0)),('Construction Budget'!$G23+SUM($G226:CI226))/ROUND(((EOMONTH('Construction Budget'!$M23,0)-EOMONTH(CJ$11,0))/30)+1,0),0)</f>
        <v>0</v>
      </c>
      <c r="CK226" s="427">
        <f>-IF(AND(CK$11&gt;=EOMONTH('Construction Budget'!$K23,0),CK$11&lt;=EOMONTH('Construction Budget'!$M23,0)),('Construction Budget'!$G23+SUM($G226:CJ226))/ROUND(((EOMONTH('Construction Budget'!$M23,0)-EOMONTH(CK$11,0))/30)+1,0),0)</f>
        <v>0</v>
      </c>
      <c r="CL226" s="427">
        <f>-IF(AND(CL$11&gt;=EOMONTH('Construction Budget'!$K23,0),CL$11&lt;=EOMONTH('Construction Budget'!$M23,0)),('Construction Budget'!$G23+SUM($G226:CK226))/ROUND(((EOMONTH('Construction Budget'!$M23,0)-EOMONTH(CL$11,0))/30)+1,0),0)</f>
        <v>0</v>
      </c>
      <c r="CM226" s="427">
        <f>-IF(AND(CM$11&gt;=EOMONTH('Construction Budget'!$K23,0),CM$11&lt;=EOMONTH('Construction Budget'!$M23,0)),('Construction Budget'!$G23+SUM($G226:CL226))/ROUND(((EOMONTH('Construction Budget'!$M23,0)-EOMONTH(CM$11,0))/30)+1,0),0)</f>
        <v>0</v>
      </c>
      <c r="CN226" s="427">
        <f>-IF(AND(CN$11&gt;=EOMONTH('Construction Budget'!$K23,0),CN$11&lt;=EOMONTH('Construction Budget'!$M23,0)),('Construction Budget'!$G23+SUM($G226:CM226))/ROUND(((EOMONTH('Construction Budget'!$M23,0)-EOMONTH(CN$11,0))/30)+1,0),0)</f>
        <v>0</v>
      </c>
      <c r="CO226" s="427">
        <f>-IF(AND(CO$11&gt;=EOMONTH('Construction Budget'!$K23,0),CO$11&lt;=EOMONTH('Construction Budget'!$M23,0)),('Construction Budget'!$G23+SUM($G226:CN226))/ROUND(((EOMONTH('Construction Budget'!$M23,0)-EOMONTH(CO$11,0))/30)+1,0),0)</f>
        <v>0</v>
      </c>
      <c r="CP226" s="427">
        <f>-IF(AND(CP$11&gt;=EOMONTH('Construction Budget'!$K23,0),CP$11&lt;=EOMONTH('Construction Budget'!$M23,0)),('Construction Budget'!$G23+SUM($G226:CO226))/ROUND(((EOMONTH('Construction Budget'!$M23,0)-EOMONTH(CP$11,0))/30)+1,0),0)</f>
        <v>0</v>
      </c>
      <c r="CQ226" s="427">
        <f>-IF(AND(CQ$11&gt;=EOMONTH('Construction Budget'!$K23,0),CQ$11&lt;=EOMONTH('Construction Budget'!$M23,0)),('Construction Budget'!$G23+SUM($G226:CP226))/ROUND(((EOMONTH('Construction Budget'!$M23,0)-EOMONTH(CQ$11,0))/30)+1,0),0)</f>
        <v>0</v>
      </c>
      <c r="CR226" s="427">
        <f>-IF(AND(CR$11&gt;=EOMONTH('Construction Budget'!$K23,0),CR$11&lt;=EOMONTH('Construction Budget'!$M23,0)),('Construction Budget'!$G23+SUM($G226:CQ226))/ROUND(((EOMONTH('Construction Budget'!$M23,0)-EOMONTH(CR$11,0))/30)+1,0),0)</f>
        <v>0</v>
      </c>
      <c r="CS226" s="427">
        <f>-IF(AND(CS$11&gt;=EOMONTH('Construction Budget'!$K23,0),CS$11&lt;=EOMONTH('Construction Budget'!$M23,0)),('Construction Budget'!$G23+SUM($G226:CR226))/ROUND(((EOMONTH('Construction Budget'!$M23,0)-EOMONTH(CS$11,0))/30)+1,0),0)</f>
        <v>0</v>
      </c>
      <c r="CT226" s="427">
        <f>-IF(AND(CT$11&gt;=EOMONTH('Construction Budget'!$K23,0),CT$11&lt;=EOMONTH('Construction Budget'!$M23,0)),('Construction Budget'!$G23+SUM($G226:CS226))/ROUND(((EOMONTH('Construction Budget'!$M23,0)-EOMONTH(CT$11,0))/30)+1,0),0)</f>
        <v>0</v>
      </c>
      <c r="CU226" s="427">
        <f>-IF(AND(CU$11&gt;=EOMONTH('Construction Budget'!$K23,0),CU$11&lt;=EOMONTH('Construction Budget'!$M23,0)),('Construction Budget'!$G23+SUM($G226:CT226))/ROUND(((EOMONTH('Construction Budget'!$M23,0)-EOMONTH(CU$11,0))/30)+1,0),0)</f>
        <v>0</v>
      </c>
      <c r="CV226" s="427">
        <f>-IF(AND(CV$11&gt;=EOMONTH('Construction Budget'!$K23,0),CV$11&lt;=EOMONTH('Construction Budget'!$M23,0)),('Construction Budget'!$G23+SUM($G226:CU226))/ROUND(((EOMONTH('Construction Budget'!$M23,0)-EOMONTH(CV$11,0))/30)+1,0),0)</f>
        <v>0</v>
      </c>
      <c r="CW226" s="427">
        <f>-IF(AND(CW$11&gt;=EOMONTH('Construction Budget'!$K23,0),CW$11&lt;=EOMONTH('Construction Budget'!$M23,0)),('Construction Budget'!$G23+SUM($G226:CV226))/ROUND(((EOMONTH('Construction Budget'!$M23,0)-EOMONTH(CW$11,0))/30)+1,0),0)</f>
        <v>0</v>
      </c>
      <c r="CX226" s="427">
        <f>-IF(AND(CX$11&gt;=EOMONTH('Construction Budget'!$K23,0),CX$11&lt;=EOMONTH('Construction Budget'!$M23,0)),('Construction Budget'!$G23+SUM($G226:CW226))/ROUND(((EOMONTH('Construction Budget'!$M23,0)-EOMONTH(CX$11,0))/30)+1,0),0)</f>
        <v>0</v>
      </c>
      <c r="CY226" s="427">
        <f>-IF(AND(CY$11&gt;=EOMONTH('Construction Budget'!$K23,0),CY$11&lt;=EOMONTH('Construction Budget'!$M23,0)),('Construction Budget'!$G23+SUM($G226:CX226))/ROUND(((EOMONTH('Construction Budget'!$M23,0)-EOMONTH(CY$11,0))/30)+1,0),0)</f>
        <v>0</v>
      </c>
      <c r="CZ226" s="427">
        <f>-IF(AND(CZ$11&gt;=EOMONTH('Construction Budget'!$K23,0),CZ$11&lt;=EOMONTH('Construction Budget'!$M23,0)),('Construction Budget'!$G23+SUM($G226:CY226))/ROUND(((EOMONTH('Construction Budget'!$M23,0)-EOMONTH(CZ$11,0))/30)+1,0),0)</f>
        <v>0</v>
      </c>
      <c r="DA226" s="427">
        <f>-IF(AND(DA$11&gt;=EOMONTH('Construction Budget'!$K23,0),DA$11&lt;=EOMONTH('Construction Budget'!$M23,0)),('Construction Budget'!$G23+SUM($G226:CZ226))/ROUND(((EOMONTH('Construction Budget'!$M23,0)-EOMONTH(DA$11,0))/30)+1,0),0)</f>
        <v>0</v>
      </c>
      <c r="DB226" s="427">
        <f>-IF(AND(DB$11&gt;=EOMONTH('Construction Budget'!$K23,0),DB$11&lt;=EOMONTH('Construction Budget'!$M23,0)),('Construction Budget'!$G23+SUM($G226:DA226))/ROUND(((EOMONTH('Construction Budget'!$M23,0)-EOMONTH(DB$11,0))/30)+1,0),0)</f>
        <v>0</v>
      </c>
      <c r="DC226" s="427">
        <f>-IF(AND(DC$11&gt;=EOMONTH('Construction Budget'!$K23,0),DC$11&lt;=EOMONTH('Construction Budget'!$M23,0)),('Construction Budget'!$G23+SUM($G226:DB226))/ROUND(((EOMONTH('Construction Budget'!$M23,0)-EOMONTH(DC$11,0))/30)+1,0),0)</f>
        <v>0</v>
      </c>
      <c r="DD226" s="427">
        <f>-IF(AND(DD$11&gt;=EOMONTH('Construction Budget'!$K23,0),DD$11&lt;=EOMONTH('Construction Budget'!$M23,0)),('Construction Budget'!$G23+SUM($G226:DC226))/ROUND(((EOMONTH('Construction Budget'!$M23,0)-EOMONTH(DD$11,0))/30)+1,0),0)</f>
        <v>0</v>
      </c>
      <c r="DE226" s="427">
        <f>-IF(AND(DE$11&gt;=EOMONTH('Construction Budget'!$K23,0),DE$11&lt;=EOMONTH('Construction Budget'!$M23,0)),('Construction Budget'!$G23+SUM($G226:DD226))/ROUND(((EOMONTH('Construction Budget'!$M23,0)-EOMONTH(DE$11,0))/30)+1,0),0)</f>
        <v>0</v>
      </c>
      <c r="DF226" s="427">
        <f>-IF(AND(DF$11&gt;=EOMONTH('Construction Budget'!$K23,0),DF$11&lt;=EOMONTH('Construction Budget'!$M23,0)),('Construction Budget'!$G23+SUM($G226:DE226))/ROUND(((EOMONTH('Construction Budget'!$M23,0)-EOMONTH(DF$11,0))/30)+1,0),0)</f>
        <v>0</v>
      </c>
      <c r="DG226" s="427">
        <f>-IF(AND(DG$11&gt;=EOMONTH('Construction Budget'!$K23,0),DG$11&lt;=EOMONTH('Construction Budget'!$M23,0)),('Construction Budget'!$G23+SUM($G226:DF226))/ROUND(((EOMONTH('Construction Budget'!$M23,0)-EOMONTH(DG$11,0))/30)+1,0),0)</f>
        <v>0</v>
      </c>
      <c r="DH226" s="427">
        <f>-IF(AND(DH$11&gt;=EOMONTH('Construction Budget'!$K23,0),DH$11&lt;=EOMONTH('Construction Budget'!$M23,0)),('Construction Budget'!$G23+SUM($G226:DG226))/ROUND(((EOMONTH('Construction Budget'!$M23,0)-EOMONTH(DH$11,0))/30)+1,0),0)</f>
        <v>0</v>
      </c>
      <c r="DI226" s="427">
        <f>-IF(AND(DI$11&gt;=EOMONTH('Construction Budget'!$K23,0),DI$11&lt;=EOMONTH('Construction Budget'!$M23,0)),('Construction Budget'!$G23+SUM($G226:DH226))/ROUND(((EOMONTH('Construction Budget'!$M23,0)-EOMONTH(DI$11,0))/30)+1,0),0)</f>
        <v>0</v>
      </c>
      <c r="DJ226" s="427">
        <f>-IF(AND(DJ$11&gt;=EOMONTH('Construction Budget'!$K23,0),DJ$11&lt;=EOMONTH('Construction Budget'!$M23,0)),('Construction Budget'!$G23+SUM($G226:DI226))/ROUND(((EOMONTH('Construction Budget'!$M23,0)-EOMONTH(DJ$11,0))/30)+1,0),0)</f>
        <v>0</v>
      </c>
      <c r="DK226" s="427">
        <f>-IF(AND(DK$11&gt;=EOMONTH('Construction Budget'!$K23,0),DK$11&lt;=EOMONTH('Construction Budget'!$M23,0)),('Construction Budget'!$G23+SUM($G226:DJ226))/ROUND(((EOMONTH('Construction Budget'!$M23,0)-EOMONTH(DK$11,0))/30)+1,0),0)</f>
        <v>0</v>
      </c>
      <c r="DL226" s="427">
        <f>-IF(AND(DL$11&gt;=EOMONTH('Construction Budget'!$K23,0),DL$11&lt;=EOMONTH('Construction Budget'!$M23,0)),('Construction Budget'!$G23+SUM($G226:DK226))/ROUND(((EOMONTH('Construction Budget'!$M23,0)-EOMONTH(DL$11,0))/30)+1,0),0)</f>
        <v>0</v>
      </c>
      <c r="DM226" s="427">
        <f>-IF(AND(DM$11&gt;=EOMONTH('Construction Budget'!$K23,0),DM$11&lt;=EOMONTH('Construction Budget'!$M23,0)),('Construction Budget'!$G23+SUM($G226:DL226))/ROUND(((EOMONTH('Construction Budget'!$M23,0)-EOMONTH(DM$11,0))/30)+1,0),0)</f>
        <v>0</v>
      </c>
      <c r="DN226" s="427">
        <f>-IF(AND(DN$11&gt;=EOMONTH('Construction Budget'!$K23,0),DN$11&lt;=EOMONTH('Construction Budget'!$M23,0)),('Construction Budget'!$G23+SUM($G226:DM226))/ROUND(((EOMONTH('Construction Budget'!$M23,0)-EOMONTH(DN$11,0))/30)+1,0),0)</f>
        <v>0</v>
      </c>
      <c r="DO226" s="427">
        <f>-IF(AND(DO$11&gt;=EOMONTH('Construction Budget'!$K23,0),DO$11&lt;=EOMONTH('Construction Budget'!$M23,0)),('Construction Budget'!$G23+SUM($G226:DN226))/ROUND(((EOMONTH('Construction Budget'!$M23,0)-EOMONTH(DO$11,0))/30)+1,0),0)</f>
        <v>0</v>
      </c>
      <c r="DP226" s="427">
        <f>-IF(AND(DP$11&gt;=EOMONTH('Construction Budget'!$K23,0),DP$11&lt;=EOMONTH('Construction Budget'!$M23,0)),('Construction Budget'!$G23+SUM($G226:DO226))/ROUND(((EOMONTH('Construction Budget'!$M23,0)-EOMONTH(DP$11,0))/30)+1,0),0)</f>
        <v>0</v>
      </c>
      <c r="DQ226" s="427">
        <f>-IF(AND(DQ$11&gt;=EOMONTH('Construction Budget'!$K23,0),DQ$11&lt;=EOMONTH('Construction Budget'!$M23,0)),('Construction Budget'!$G23+SUM($G226:DP226))/ROUND(((EOMONTH('Construction Budget'!$M23,0)-EOMONTH(DQ$11,0))/30)+1,0),0)</f>
        <v>0</v>
      </c>
      <c r="DR226" s="427">
        <f>-IF(AND(DR$11&gt;=EOMONTH('Construction Budget'!$K23,0),DR$11&lt;=EOMONTH('Construction Budget'!$M23,0)),('Construction Budget'!$G23+SUM($G226:DQ226))/ROUND(((EOMONTH('Construction Budget'!$M23,0)-EOMONTH(DR$11,0))/30)+1,0),0)</f>
        <v>0</v>
      </c>
      <c r="DS226" s="427">
        <f>-IF(AND(DS$11&gt;=EOMONTH('Construction Budget'!$K23,0),DS$11&lt;=EOMONTH('Construction Budget'!$M23,0)),('Construction Budget'!$G23+SUM($G226:DR226))/ROUND(((EOMONTH('Construction Budget'!$M23,0)-EOMONTH(DS$11,0))/30)+1,0),0)</f>
        <v>0</v>
      </c>
      <c r="DT226" s="427">
        <f>-IF(AND(DT$11&gt;=EOMONTH('Construction Budget'!$K23,0),DT$11&lt;=EOMONTH('Construction Budget'!$M23,0)),('Construction Budget'!$G23+SUM($G226:DS226))/ROUND(((EOMONTH('Construction Budget'!$M23,0)-EOMONTH(DT$11,0))/30)+1,0),0)</f>
        <v>0</v>
      </c>
      <c r="DU226" s="427">
        <f>-IF(AND(DU$11&gt;=EOMONTH('Construction Budget'!$K23,0),DU$11&lt;=EOMONTH('Construction Budget'!$M23,0)),('Construction Budget'!$G23+SUM($G226:DT226))/ROUND(((EOMONTH('Construction Budget'!$M23,0)-EOMONTH(DU$11,0))/30)+1,0),0)</f>
        <v>0</v>
      </c>
      <c r="DV226" s="427">
        <f>-IF(AND(DV$11&gt;=EOMONTH('Construction Budget'!$K23,0),DV$11&lt;=EOMONTH('Construction Budget'!$M23,0)),('Construction Budget'!$G23+SUM($G226:DU226))/ROUND(((EOMONTH('Construction Budget'!$M23,0)-EOMONTH(DV$11,0))/30)+1,0),0)</f>
        <v>0</v>
      </c>
      <c r="DW226" s="427">
        <f>-IF(AND(DW$11&gt;=EOMONTH('Construction Budget'!$K23,0),DW$11&lt;=EOMONTH('Construction Budget'!$M23,0)),('Construction Budget'!$G23+SUM($G226:DV226))/ROUND(((EOMONTH('Construction Budget'!$M23,0)-EOMONTH(DW$11,0))/30)+1,0),0)</f>
        <v>0</v>
      </c>
      <c r="DX226" s="427">
        <f>-IF(AND(DX$11&gt;=EOMONTH('Construction Budget'!$K23,0),DX$11&lt;=EOMONTH('Construction Budget'!$M23,0)),('Construction Budget'!$G23+SUM($G226:DW226))/ROUND(((EOMONTH('Construction Budget'!$M23,0)-EOMONTH(DX$11,0))/30)+1,0),0)</f>
        <v>0</v>
      </c>
      <c r="DY226" s="427">
        <f>-IF(AND(DY$11&gt;=EOMONTH('Construction Budget'!$K23,0),DY$11&lt;=EOMONTH('Construction Budget'!$M23,0)),('Construction Budget'!$G23+SUM($G226:DX226))/ROUND(((EOMONTH('Construction Budget'!$M23,0)-EOMONTH(DY$11,0))/30)+1,0),0)</f>
        <v>0</v>
      </c>
      <c r="DZ226" s="427">
        <f>-IF(AND(DZ$11&gt;=EOMONTH('Construction Budget'!$K23,0),DZ$11&lt;=EOMONTH('Construction Budget'!$M23,0)),('Construction Budget'!$G23+SUM($G226:DY226))/ROUND(((EOMONTH('Construction Budget'!$M23,0)-EOMONTH(DZ$11,0))/30)+1,0),0)</f>
        <v>0</v>
      </c>
      <c r="EA226" s="427">
        <f>-IF(AND(EA$11&gt;=EOMONTH('Construction Budget'!$K23,0),EA$11&lt;=EOMONTH('Construction Budget'!$M23,0)),('Construction Budget'!$G23+SUM($G226:DZ226))/ROUND(((EOMONTH('Construction Budget'!$M23,0)-EOMONTH(EA$11,0))/30)+1,0),0)</f>
        <v>0</v>
      </c>
      <c r="EB226" s="427">
        <f>-IF(AND(EB$11&gt;=EOMONTH('Construction Budget'!$K23,0),EB$11&lt;=EOMONTH('Construction Budget'!$M23,0)),('Construction Budget'!$G23+SUM($G226:EA226))/ROUND(((EOMONTH('Construction Budget'!$M23,0)-EOMONTH(EB$11,0))/30)+1,0),0)</f>
        <v>0</v>
      </c>
      <c r="EC226" s="427">
        <f>-IF(AND(EC$11&gt;=EOMONTH('Construction Budget'!$K23,0),EC$11&lt;=EOMONTH('Construction Budget'!$M23,0)),('Construction Budget'!$G23+SUM($G226:EB226))/ROUND(((EOMONTH('Construction Budget'!$M23,0)-EOMONTH(EC$11,0))/30)+1,0),0)</f>
        <v>0</v>
      </c>
      <c r="ED226" s="427">
        <f>-IF(AND(ED$11&gt;=EOMONTH('Construction Budget'!$K23,0),ED$11&lt;=EOMONTH('Construction Budget'!$M23,0)),('Construction Budget'!$G23+SUM($G226:EC226))/ROUND(((EOMONTH('Construction Budget'!$M23,0)-EOMONTH(ED$11,0))/30)+1,0),0)</f>
        <v>0</v>
      </c>
      <c r="EE226" s="427">
        <f>-IF(AND(EE$11&gt;=EOMONTH('Construction Budget'!$K23,0),EE$11&lt;=EOMONTH('Construction Budget'!$M23,0)),('Construction Budget'!$G23+SUM($G226:ED226))/ROUND(((EOMONTH('Construction Budget'!$M23,0)-EOMONTH(EE$11,0))/30)+1,0),0)</f>
        <v>0</v>
      </c>
      <c r="EF226" s="427">
        <f>-IF(AND(EF$11&gt;=EOMONTH('Construction Budget'!$K23,0),EF$11&lt;=EOMONTH('Construction Budget'!$M23,0)),('Construction Budget'!$G23+SUM($G226:EE226))/ROUND(((EOMONTH('Construction Budget'!$M23,0)-EOMONTH(EF$11,0))/30)+1,0),0)</f>
        <v>0</v>
      </c>
      <c r="EG226" s="427">
        <f>-IF(AND(EG$11&gt;=EOMONTH('Construction Budget'!$K23,0),EG$11&lt;=EOMONTH('Construction Budget'!$M23,0)),('Construction Budget'!$G23+SUM($G226:EF226))/ROUND(((EOMONTH('Construction Budget'!$M23,0)-EOMONTH(EG$11,0))/30)+1,0),0)</f>
        <v>0</v>
      </c>
      <c r="EH226" s="427">
        <f>-IF(AND(EH$11&gt;=EOMONTH('Construction Budget'!$K23,0),EH$11&lt;=EOMONTH('Construction Budget'!$M23,0)),('Construction Budget'!$G23+SUM($G226:EG226))/ROUND(((EOMONTH('Construction Budget'!$M23,0)-EOMONTH(EH$11,0))/30)+1,0),0)</f>
        <v>0</v>
      </c>
      <c r="EI226" s="427">
        <f>-IF(AND(EI$11&gt;=EOMONTH('Construction Budget'!$K23,0),EI$11&lt;=EOMONTH('Construction Budget'!$M23,0)),('Construction Budget'!$G23+SUM($G226:EH226))/ROUND(((EOMONTH('Construction Budget'!$M23,0)-EOMONTH(EI$11,0))/30)+1,0),0)</f>
        <v>0</v>
      </c>
      <c r="EJ226" s="427">
        <f>-IF(AND(EJ$11&gt;=EOMONTH('Construction Budget'!$K23,0),EJ$11&lt;=EOMONTH('Construction Budget'!$M23,0)),('Construction Budget'!$G23+SUM($G226:EI226))/ROUND(((EOMONTH('Construction Budget'!$M23,0)-EOMONTH(EJ$11,0))/30)+1,0),0)</f>
        <v>0</v>
      </c>
      <c r="EK226" s="427">
        <f>-IF(AND(EK$11&gt;=EOMONTH('Construction Budget'!$K23,0),EK$11&lt;=EOMONTH('Construction Budget'!$M23,0)),('Construction Budget'!$G23+SUM($G226:EJ226))/ROUND(((EOMONTH('Construction Budget'!$M23,0)-EOMONTH(EK$11,0))/30)+1,0),0)</f>
        <v>0</v>
      </c>
      <c r="EL226" s="427">
        <f>-IF(AND(EL$11&gt;=EOMONTH('Construction Budget'!$K23,0),EL$11&lt;=EOMONTH('Construction Budget'!$M23,0)),('Construction Budget'!$G23+SUM($G226:EK226))/ROUND(((EOMONTH('Construction Budget'!$M23,0)-EOMONTH(EL$11,0))/30)+1,0),0)</f>
        <v>0</v>
      </c>
      <c r="EM226" s="427">
        <f>-IF(AND(EM$11&gt;=EOMONTH('Construction Budget'!$K23,0),EM$11&lt;=EOMONTH('Construction Budget'!$M23,0)),('Construction Budget'!$G23+SUM($G226:EL226))/ROUND(((EOMONTH('Construction Budget'!$M23,0)-EOMONTH(EM$11,0))/30)+1,0),0)</f>
        <v>0</v>
      </c>
      <c r="EN226" s="427">
        <f>-IF(AND(EN$11&gt;=EOMONTH('Construction Budget'!$K23,0),EN$11&lt;=EOMONTH('Construction Budget'!$M23,0)),('Construction Budget'!$G23+SUM($G226:EM226))/ROUND(((EOMONTH('Construction Budget'!$M23,0)-EOMONTH(EN$11,0))/30)+1,0),0)</f>
        <v>0</v>
      </c>
      <c r="EO226" s="427">
        <f>-IF(AND(EO$11&gt;=EOMONTH('Construction Budget'!$K23,0),EO$11&lt;=EOMONTH('Construction Budget'!$M23,0)),('Construction Budget'!$G23+SUM($G226:EN226))/ROUND(((EOMONTH('Construction Budget'!$M23,0)-EOMONTH(EO$11,0))/30)+1,0),0)</f>
        <v>0</v>
      </c>
      <c r="EP226" s="427">
        <f>-IF(AND(EP$11&gt;=EOMONTH('Construction Budget'!$K23,0),EP$11&lt;=EOMONTH('Construction Budget'!$M23,0)),('Construction Budget'!$G23+SUM($G226:EO226))/ROUND(((EOMONTH('Construction Budget'!$M23,0)-EOMONTH(EP$11,0))/30)+1,0),0)</f>
        <v>0</v>
      </c>
      <c r="EQ226" s="427">
        <f>-IF(AND(EQ$11&gt;=EOMONTH('Construction Budget'!$K23,0),EQ$11&lt;=EOMONTH('Construction Budget'!$M23,0)),('Construction Budget'!$G23+SUM($G226:EP226))/ROUND(((EOMONTH('Construction Budget'!$M23,0)-EOMONTH(EQ$11,0))/30)+1,0),0)</f>
        <v>0</v>
      </c>
      <c r="ER226" s="427">
        <f>-IF(AND(ER$11&gt;=EOMONTH('Construction Budget'!$K23,0),ER$11&lt;=EOMONTH('Construction Budget'!$M23,0)),('Construction Budget'!$G23+SUM($G226:EQ226))/ROUND(((EOMONTH('Construction Budget'!$M23,0)-EOMONTH(ER$11,0))/30)+1,0),0)</f>
        <v>0</v>
      </c>
      <c r="ES226" s="427">
        <f>-IF(AND(ES$11&gt;=EOMONTH('Construction Budget'!$K23,0),ES$11&lt;=EOMONTH('Construction Budget'!$M23,0)),('Construction Budget'!$G23+SUM($G226:ER226))/ROUND(((EOMONTH('Construction Budget'!$M23,0)-EOMONTH(ES$11,0))/30)+1,0),0)</f>
        <v>0</v>
      </c>
      <c r="ET226" s="427">
        <f>-IF(AND(ET$11&gt;=EOMONTH('Construction Budget'!$K23,0),ET$11&lt;=EOMONTH('Construction Budget'!$M23,0)),('Construction Budget'!$G23+SUM($G226:ES226))/ROUND(((EOMONTH('Construction Budget'!$M23,0)-EOMONTH(ET$11,0))/30)+1,0),0)</f>
        <v>0</v>
      </c>
      <c r="EU226" s="427">
        <f>-IF(AND(EU$11&gt;=EOMONTH('Construction Budget'!$K23,0),EU$11&lt;=EOMONTH('Construction Budget'!$M23,0)),('Construction Budget'!$G23+SUM($G226:ET226))/ROUND(((EOMONTH('Construction Budget'!$M23,0)-EOMONTH(EU$11,0))/30)+1,0),0)</f>
        <v>0</v>
      </c>
      <c r="EV226" s="427">
        <f>-IF(AND(EV$11&gt;=EOMONTH('Construction Budget'!$K23,0),EV$11&lt;=EOMONTH('Construction Budget'!$M23,0)),('Construction Budget'!$G23+SUM($G226:EU226))/ROUND(((EOMONTH('Construction Budget'!$M23,0)-EOMONTH(EV$11,0))/30)+1,0),0)</f>
        <v>0</v>
      </c>
      <c r="EW226" s="427">
        <f>-IF(AND(EW$11&gt;=EOMONTH('Construction Budget'!$K23,0),EW$11&lt;=EOMONTH('Construction Budget'!$M23,0)),('Construction Budget'!$G23+SUM($G226:EV226))/ROUND(((EOMONTH('Construction Budget'!$M23,0)-EOMONTH(EW$11,0))/30)+1,0),0)</f>
        <v>0</v>
      </c>
      <c r="EX226" s="427">
        <f>-IF(AND(EX$11&gt;=EOMONTH('Construction Budget'!$K23,0),EX$11&lt;=EOMONTH('Construction Budget'!$M23,0)),('Construction Budget'!$G23+SUM($G226:EW226))/ROUND(((EOMONTH('Construction Budget'!$M23,0)-EOMONTH(EX$11,0))/30)+1,0),0)</f>
        <v>0</v>
      </c>
      <c r="EY226" s="427">
        <f>-IF(AND(EY$11&gt;=EOMONTH('Construction Budget'!$K23,0),EY$11&lt;=EOMONTH('Construction Budget'!$M23,0)),('Construction Budget'!$G23+SUM($G226:EX226))/ROUND(((EOMONTH('Construction Budget'!$M23,0)-EOMONTH(EY$11,0))/30)+1,0),0)</f>
        <v>0</v>
      </c>
      <c r="EZ226" s="427">
        <f>-IF(AND(EZ$11&gt;=EOMONTH('Construction Budget'!$K23,0),EZ$11&lt;=EOMONTH('Construction Budget'!$M23,0)),('Construction Budget'!$G23+SUM($G226:EY226))/ROUND(((EOMONTH('Construction Budget'!$M23,0)-EOMONTH(EZ$11,0))/30)+1,0),0)</f>
        <v>0</v>
      </c>
      <c r="FA226" s="427">
        <f>-IF(AND(FA$11&gt;=EOMONTH('Construction Budget'!$K23,0),FA$11&lt;=EOMONTH('Construction Budget'!$M23,0)),('Construction Budget'!$G23+SUM($G226:EZ226))/ROUND(((EOMONTH('Construction Budget'!$M23,0)-EOMONTH(FA$11,0))/30)+1,0),0)</f>
        <v>0</v>
      </c>
      <c r="FB226" s="427">
        <f>-IF(AND(FB$11&gt;=EOMONTH('Construction Budget'!$K23,0),FB$11&lt;=EOMONTH('Construction Budget'!$M23,0)),('Construction Budget'!$G23+SUM($G226:FA226))/ROUND(((EOMONTH('Construction Budget'!$M23,0)-EOMONTH(FB$11,0))/30)+1,0),0)</f>
        <v>0</v>
      </c>
      <c r="FC226" s="427">
        <f>-IF(AND(FC$11&gt;=EOMONTH('Construction Budget'!$K23,0),FC$11&lt;=EOMONTH('Construction Budget'!$M23,0)),('Construction Budget'!$G23+SUM($G226:FB226))/ROUND(((EOMONTH('Construction Budget'!$M23,0)-EOMONTH(FC$11,0))/30)+1,0),0)</f>
        <v>0</v>
      </c>
      <c r="FD226" s="427">
        <f>-IF(AND(FD$11&gt;=EOMONTH('Construction Budget'!$K23,0),FD$11&lt;=EOMONTH('Construction Budget'!$M23,0)),('Construction Budget'!$G23+SUM($G226:FC226))/ROUND(((EOMONTH('Construction Budget'!$M23,0)-EOMONTH(FD$11,0))/30)+1,0),0)</f>
        <v>0</v>
      </c>
      <c r="FE226" s="427">
        <f>-IF(AND(FE$11&gt;=EOMONTH('Construction Budget'!$K23,0),FE$11&lt;=EOMONTH('Construction Budget'!$M23,0)),('Construction Budget'!$G23+SUM($G226:FD226))/ROUND(((EOMONTH('Construction Budget'!$M23,0)-EOMONTH(FE$11,0))/30)+1,0),0)</f>
        <v>0</v>
      </c>
      <c r="FF226" s="427">
        <f>-IF(AND(FF$11&gt;=EOMONTH('Construction Budget'!$K23,0),FF$11&lt;=EOMONTH('Construction Budget'!$M23,0)),('Construction Budget'!$G23+SUM($G226:FE226))/ROUND(((EOMONTH('Construction Budget'!$M23,0)-EOMONTH(FF$11,0))/30)+1,0),0)</f>
        <v>0</v>
      </c>
      <c r="FG226" s="427">
        <f>-IF(AND(FG$11&gt;=EOMONTH('Construction Budget'!$K23,0),FG$11&lt;=EOMONTH('Construction Budget'!$M23,0)),('Construction Budget'!$G23+SUM($G226:FF226))/ROUND(((EOMONTH('Construction Budget'!$M23,0)-EOMONTH(FG$11,0))/30)+1,0),0)</f>
        <v>0</v>
      </c>
      <c r="FH226" s="427">
        <f>-IF(AND(FH$11&gt;=EOMONTH('Construction Budget'!$K23,0),FH$11&lt;=EOMONTH('Construction Budget'!$M23,0)),('Construction Budget'!$G23+SUM($G226:FG226))/ROUND(((EOMONTH('Construction Budget'!$M23,0)-EOMONTH(FH$11,0))/30)+1,0),0)</f>
        <v>0</v>
      </c>
      <c r="FI226" s="427">
        <f>-IF(AND(FI$11&gt;=EOMONTH('Construction Budget'!$K23,0),FI$11&lt;=EOMONTH('Construction Budget'!$M23,0)),('Construction Budget'!$G23+SUM($G226:FH226))/ROUND(((EOMONTH('Construction Budget'!$M23,0)-EOMONTH(FI$11,0))/30)+1,0),0)</f>
        <v>0</v>
      </c>
      <c r="FJ226" s="427">
        <f>-IF(AND(FJ$11&gt;=EOMONTH('Construction Budget'!$K23,0),FJ$11&lt;=EOMONTH('Construction Budget'!$M23,0)),('Construction Budget'!$G23+SUM($G226:FI226))/ROUND(((EOMONTH('Construction Budget'!$M23,0)-EOMONTH(FJ$11,0))/30)+1,0),0)</f>
        <v>0</v>
      </c>
      <c r="FK226" s="427">
        <f>-IF(AND(FK$11&gt;=EOMONTH('Construction Budget'!$K23,0),FK$11&lt;=EOMONTH('Construction Budget'!$M23,0)),('Construction Budget'!$G23+SUM($G226:FJ226))/ROUND(((EOMONTH('Construction Budget'!$M23,0)-EOMONTH(FK$11,0))/30)+1,0),0)</f>
        <v>0</v>
      </c>
      <c r="FL226" s="427">
        <f>-IF(AND(FL$11&gt;=EOMONTH('Construction Budget'!$K23,0),FL$11&lt;=EOMONTH('Construction Budget'!$M23,0)),('Construction Budget'!$G23+SUM($G226:FK226))/ROUND(((EOMONTH('Construction Budget'!$M23,0)-EOMONTH(FL$11,0))/30)+1,0),0)</f>
        <v>0</v>
      </c>
      <c r="FM226" s="427">
        <f>-IF(AND(FM$11&gt;=EOMONTH('Construction Budget'!$K23,0),FM$11&lt;=EOMONTH('Construction Budget'!$M23,0)),('Construction Budget'!$G23+SUM($G226:FL226))/ROUND(((EOMONTH('Construction Budget'!$M23,0)-EOMONTH(FM$11,0))/30)+1,0),0)</f>
        <v>0</v>
      </c>
      <c r="FN226" s="427">
        <f>-IF(AND(FN$11&gt;=EOMONTH('Construction Budget'!$K23,0),FN$11&lt;=EOMONTH('Construction Budget'!$M23,0)),('Construction Budget'!$G23+SUM($G226:FM226))/ROUND(((EOMONTH('Construction Budget'!$M23,0)-EOMONTH(FN$11,0))/30)+1,0),0)</f>
        <v>0</v>
      </c>
      <c r="FO226" s="427">
        <f>-IF(AND(FO$11&gt;=EOMONTH('Construction Budget'!$K23,0),FO$11&lt;=EOMONTH('Construction Budget'!$M23,0)),('Construction Budget'!$G23+SUM($G226:FN226))/ROUND(((EOMONTH('Construction Budget'!$M23,0)-EOMONTH(FO$11,0))/30)+1,0),0)</f>
        <v>0</v>
      </c>
      <c r="FP226" s="427">
        <f>-IF(AND(FP$11&gt;=EOMONTH('Construction Budget'!$K23,0),FP$11&lt;=EOMONTH('Construction Budget'!$M23,0)),('Construction Budget'!$G23+SUM($G226:FO226))/ROUND(((EOMONTH('Construction Budget'!$M23,0)-EOMONTH(FP$11,0))/30)+1,0),0)</f>
        <v>0</v>
      </c>
      <c r="FQ226" s="427">
        <f>-IF(AND(FQ$11&gt;=EOMONTH('Construction Budget'!$K23,0),FQ$11&lt;=EOMONTH('Construction Budget'!$M23,0)),('Construction Budget'!$G23+SUM($G226:FP226))/ROUND(((EOMONTH('Construction Budget'!$M23,0)-EOMONTH(FQ$11,0))/30)+1,0),0)</f>
        <v>0</v>
      </c>
      <c r="FR226" s="427">
        <f>-IF(AND(FR$11&gt;=EOMONTH('Construction Budget'!$K23,0),FR$11&lt;=EOMONTH('Construction Budget'!$M23,0)),('Construction Budget'!$G23+SUM($G226:FQ226))/ROUND(((EOMONTH('Construction Budget'!$M23,0)-EOMONTH(FR$11,0))/30)+1,0),0)</f>
        <v>0</v>
      </c>
      <c r="FS226" s="427">
        <f>-IF(AND(FS$11&gt;=EOMONTH('Construction Budget'!$K23,0),FS$11&lt;=EOMONTH('Construction Budget'!$M23,0)),('Construction Budget'!$G23+SUM($G226:FR226))/ROUND(((EOMONTH('Construction Budget'!$M23,0)-EOMONTH(FS$11,0))/30)+1,0),0)</f>
        <v>0</v>
      </c>
      <c r="FT226" s="427">
        <f>-IF(AND(FT$11&gt;=EOMONTH('Construction Budget'!$K23,0),FT$11&lt;=EOMONTH('Construction Budget'!$M23,0)),('Construction Budget'!$G23+SUM($G226:FS226))/ROUND(((EOMONTH('Construction Budget'!$M23,0)-EOMONTH(FT$11,0))/30)+1,0),0)</f>
        <v>0</v>
      </c>
      <c r="FU226" s="43"/>
      <c r="FV226" s="34"/>
      <c r="FW226" s="34"/>
      <c r="FX226" s="34"/>
      <c r="FY226" s="34"/>
      <c r="FZ226" s="34"/>
    </row>
    <row r="227" spans="1:182" s="89" customFormat="1" ht="13.5" hidden="1" outlineLevel="1" x14ac:dyDescent="0.25">
      <c r="A227" s="498"/>
      <c r="B227" s="128" t="str">
        <f>'Construction Budget'!B24</f>
        <v>Hard Cost Contingency</v>
      </c>
      <c r="C227" s="34"/>
      <c r="D227" s="34"/>
      <c r="E227" s="34"/>
      <c r="F227" s="434">
        <f t="shared" si="240"/>
        <v>-1495612.92</v>
      </c>
      <c r="G227" s="34"/>
      <c r="H227" s="427">
        <f>-IF(AND(H$11&gt;=EOMONTH('Construction Budget'!$K24,0),H$11&lt;=EOMONTH('Construction Budget'!$M24,0)),('Construction Budget'!$G24+SUM($G227:G227))/ROUND(((EOMONTH('Construction Budget'!$M24,0)-EOMONTH(H$11,0))/30)+1,0),0)</f>
        <v>0</v>
      </c>
      <c r="I227" s="427">
        <f>-IF(AND(I$11&gt;=EOMONTH('Construction Budget'!$K24,0),I$11&lt;=EOMONTH('Construction Budget'!$M24,0)),('Construction Budget'!$G24+SUM($G227:H227))/ROUND(((EOMONTH('Construction Budget'!$M24,0)-EOMONTH(I$11,0))/30)+1,0),0)</f>
        <v>0</v>
      </c>
      <c r="J227" s="427">
        <f>-IF(AND(J$11&gt;=EOMONTH('Construction Budget'!$K24,0),J$11&lt;=EOMONTH('Construction Budget'!$M24,0)),('Construction Budget'!$G24+SUM($G227:I227))/ROUND(((EOMONTH('Construction Budget'!$M24,0)-EOMONTH(J$11,0))/30)+1,0),0)</f>
        <v>-62317.204999999994</v>
      </c>
      <c r="K227" s="427">
        <f>-IF(AND(K$11&gt;=EOMONTH('Construction Budget'!$K24,0),K$11&lt;=EOMONTH('Construction Budget'!$M24,0)),('Construction Budget'!$G24+SUM($G227:J227))/ROUND(((EOMONTH('Construction Budget'!$M24,0)-EOMONTH(K$11,0))/30)+1,0),0)</f>
        <v>-62317.204999999994</v>
      </c>
      <c r="L227" s="427">
        <f>-IF(AND(L$11&gt;=EOMONTH('Construction Budget'!$K24,0),L$11&lt;=EOMONTH('Construction Budget'!$M24,0)),('Construction Budget'!$G24+SUM($G227:K227))/ROUND(((EOMONTH('Construction Budget'!$M24,0)-EOMONTH(L$11,0))/30)+1,0),0)</f>
        <v>-62317.205000000002</v>
      </c>
      <c r="M227" s="427">
        <f>-IF(AND(M$11&gt;=EOMONTH('Construction Budget'!$K24,0),M$11&lt;=EOMONTH('Construction Budget'!$M24,0)),('Construction Budget'!$G24+SUM($G227:L227))/ROUND(((EOMONTH('Construction Budget'!$M24,0)-EOMONTH(M$11,0))/30)+1,0),0)</f>
        <v>-62317.204999999994</v>
      </c>
      <c r="N227" s="427">
        <f>-IF(AND(N$11&gt;=EOMONTH('Construction Budget'!$K24,0),N$11&lt;=EOMONTH('Construction Budget'!$M24,0)),('Construction Budget'!$G24+SUM($G227:M227))/ROUND(((EOMONTH('Construction Budget'!$M24,0)-EOMONTH(N$11,0))/30)+1,0),0)</f>
        <v>-62317.204999999994</v>
      </c>
      <c r="O227" s="427">
        <f>-IF(AND(O$11&gt;=EOMONTH('Construction Budget'!$K24,0),O$11&lt;=EOMONTH('Construction Budget'!$M24,0)),('Construction Budget'!$G24+SUM($G227:N227))/ROUND(((EOMONTH('Construction Budget'!$M24,0)-EOMONTH(O$11,0))/30)+1,0),0)</f>
        <v>-62317.205000000002</v>
      </c>
      <c r="P227" s="427">
        <f>-IF(AND(P$11&gt;=EOMONTH('Construction Budget'!$K24,0),P$11&lt;=EOMONTH('Construction Budget'!$M24,0)),('Construction Budget'!$G24+SUM($G227:O227))/ROUND(((EOMONTH('Construction Budget'!$M24,0)-EOMONTH(P$11,0))/30)+1,0),0)</f>
        <v>-62317.204999999994</v>
      </c>
      <c r="Q227" s="427">
        <f>-IF(AND(Q$11&gt;=EOMONTH('Construction Budget'!$K24,0),Q$11&lt;=EOMONTH('Construction Budget'!$M24,0)),('Construction Budget'!$G24+SUM($G227:P227))/ROUND(((EOMONTH('Construction Budget'!$M24,0)-EOMONTH(Q$11,0))/30)+1,0),0)</f>
        <v>-62317.204999999994</v>
      </c>
      <c r="R227" s="427">
        <f>-IF(AND(R$11&gt;=EOMONTH('Construction Budget'!$K24,0),R$11&lt;=EOMONTH('Construction Budget'!$M24,0)),('Construction Budget'!$G24+SUM($G227:Q227))/ROUND(((EOMONTH('Construction Budget'!$M24,0)-EOMONTH(R$11,0))/30)+1,0),0)</f>
        <v>-62317.204999999994</v>
      </c>
      <c r="S227" s="427">
        <f>-IF(AND(S$11&gt;=EOMONTH('Construction Budget'!$K24,0),S$11&lt;=EOMONTH('Construction Budget'!$M24,0)),('Construction Budget'!$G24+SUM($G227:R227))/ROUND(((EOMONTH('Construction Budget'!$M24,0)-EOMONTH(S$11,0))/30)+1,0),0)</f>
        <v>-62317.204999999994</v>
      </c>
      <c r="T227" s="427">
        <f>-IF(AND(T$11&gt;=EOMONTH('Construction Budget'!$K24,0),T$11&lt;=EOMONTH('Construction Budget'!$M24,0)),('Construction Budget'!$G24+SUM($G227:S227))/ROUND(((EOMONTH('Construction Budget'!$M24,0)-EOMONTH(T$11,0))/30)+1,0),0)</f>
        <v>-62317.205000000002</v>
      </c>
      <c r="U227" s="427">
        <f>-IF(AND(U$11&gt;=EOMONTH('Construction Budget'!$K24,0),U$11&lt;=EOMONTH('Construction Budget'!$M24,0)),('Construction Budget'!$G24+SUM($G227:T227))/ROUND(((EOMONTH('Construction Budget'!$M24,0)-EOMONTH(U$11,0))/30)+1,0),0)</f>
        <v>-62317.205000000002</v>
      </c>
      <c r="V227" s="427">
        <f>-IF(AND(V$11&gt;=EOMONTH('Construction Budget'!$K24,0),V$11&lt;=EOMONTH('Construction Budget'!$M24,0)),('Construction Budget'!$G24+SUM($G227:U227))/ROUND(((EOMONTH('Construction Budget'!$M24,0)-EOMONTH(V$11,0))/30)+1,0),0)</f>
        <v>-62317.205000000009</v>
      </c>
      <c r="W227" s="427">
        <f>-IF(AND(W$11&gt;=EOMONTH('Construction Budget'!$K24,0),W$11&lt;=EOMONTH('Construction Budget'!$M24,0)),('Construction Budget'!$G24+SUM($G227:V227))/ROUND(((EOMONTH('Construction Budget'!$M24,0)-EOMONTH(W$11,0))/30)+1,0),0)</f>
        <v>-62317.205000000009</v>
      </c>
      <c r="X227" s="427">
        <f>-IF(AND(X$11&gt;=EOMONTH('Construction Budget'!$K24,0),X$11&lt;=EOMONTH('Construction Budget'!$M24,0)),('Construction Budget'!$G24+SUM($G227:W227))/ROUND(((EOMONTH('Construction Budget'!$M24,0)-EOMONTH(X$11,0))/30)+1,0),0)</f>
        <v>-62317.205000000016</v>
      </c>
      <c r="Y227" s="427">
        <f>-IF(AND(Y$11&gt;=EOMONTH('Construction Budget'!$K24,0),Y$11&lt;=EOMONTH('Construction Budget'!$M24,0)),('Construction Budget'!$G24+SUM($G227:X227))/ROUND(((EOMONTH('Construction Budget'!$M24,0)-EOMONTH(Y$11,0))/30)+1,0),0)</f>
        <v>-62317.205000000024</v>
      </c>
      <c r="Z227" s="427">
        <f>-IF(AND(Z$11&gt;=EOMONTH('Construction Budget'!$K24,0),Z$11&lt;=EOMONTH('Construction Budget'!$M24,0)),('Construction Budget'!$G24+SUM($G227:Y227))/ROUND(((EOMONTH('Construction Budget'!$M24,0)-EOMONTH(Z$11,0))/30)+1,0),0)</f>
        <v>-62317.205000000016</v>
      </c>
      <c r="AA227" s="427">
        <f>-IF(AND(AA$11&gt;=EOMONTH('Construction Budget'!$K24,0),AA$11&lt;=EOMONTH('Construction Budget'!$M24,0)),('Construction Budget'!$G24+SUM($G227:Z227))/ROUND(((EOMONTH('Construction Budget'!$M24,0)-EOMONTH(AA$11,0))/30)+1,0),0)</f>
        <v>-62317.205000000009</v>
      </c>
      <c r="AB227" s="427">
        <f>-IF(AND(AB$11&gt;=EOMONTH('Construction Budget'!$K24,0),AB$11&lt;=EOMONTH('Construction Budget'!$M24,0)),('Construction Budget'!$G24+SUM($G227:AA227))/ROUND(((EOMONTH('Construction Budget'!$M24,0)-EOMONTH(AB$11,0))/30)+1,0),0)</f>
        <v>-62317.204999999994</v>
      </c>
      <c r="AC227" s="427">
        <f>-IF(AND(AC$11&gt;=EOMONTH('Construction Budget'!$K24,0),AC$11&lt;=EOMONTH('Construction Budget'!$M24,0)),('Construction Budget'!$G24+SUM($G227:AB227))/ROUND(((EOMONTH('Construction Budget'!$M24,0)-EOMONTH(AC$11,0))/30)+1,0),0)</f>
        <v>-62317.20499999998</v>
      </c>
      <c r="AD227" s="427">
        <f>-IF(AND(AD$11&gt;=EOMONTH('Construction Budget'!$K24,0),AD$11&lt;=EOMONTH('Construction Budget'!$M24,0)),('Construction Budget'!$G24+SUM($G227:AC227))/ROUND(((EOMONTH('Construction Budget'!$M24,0)-EOMONTH(AD$11,0))/30)+1,0),0)</f>
        <v>-62317.204999999958</v>
      </c>
      <c r="AE227" s="427">
        <f>-IF(AND(AE$11&gt;=EOMONTH('Construction Budget'!$K24,0),AE$11&lt;=EOMONTH('Construction Budget'!$M24,0)),('Construction Budget'!$G24+SUM($G227:AD227))/ROUND(((EOMONTH('Construction Budget'!$M24,0)-EOMONTH(AE$11,0))/30)+1,0),0)</f>
        <v>-62317.204999999922</v>
      </c>
      <c r="AF227" s="427">
        <f>-IF(AND(AF$11&gt;=EOMONTH('Construction Budget'!$K24,0),AF$11&lt;=EOMONTH('Construction Budget'!$M24,0)),('Construction Budget'!$G24+SUM($G227:AE227))/ROUND(((EOMONTH('Construction Budget'!$M24,0)-EOMONTH(AF$11,0))/30)+1,0),0)</f>
        <v>-62317.204999999958</v>
      </c>
      <c r="AG227" s="427">
        <f>-IF(AND(AG$11&gt;=EOMONTH('Construction Budget'!$K24,0),AG$11&lt;=EOMONTH('Construction Budget'!$M24,0)),('Construction Budget'!$G24+SUM($G227:AF227))/ROUND(((EOMONTH('Construction Budget'!$M24,0)-EOMONTH(AG$11,0))/30)+1,0),0)</f>
        <v>-62317.205000000075</v>
      </c>
      <c r="AH227" s="427">
        <f>-IF(AND(AH$11&gt;=EOMONTH('Construction Budget'!$K24,0),AH$11&lt;=EOMONTH('Construction Budget'!$M24,0)),('Construction Budget'!$G24+SUM($G227:AG227))/ROUND(((EOMONTH('Construction Budget'!$M24,0)-EOMONTH(AH$11,0))/30)+1,0),0)</f>
        <v>0</v>
      </c>
      <c r="AI227" s="427">
        <f>-IF(AND(AI$11&gt;=EOMONTH('Construction Budget'!$K24,0),AI$11&lt;=EOMONTH('Construction Budget'!$M24,0)),('Construction Budget'!$G24+SUM($G227:AH227))/ROUND(((EOMONTH('Construction Budget'!$M24,0)-EOMONTH(AI$11,0))/30)+1,0),0)</f>
        <v>0</v>
      </c>
      <c r="AJ227" s="427">
        <f>-IF(AND(AJ$11&gt;=EOMONTH('Construction Budget'!$K24,0),AJ$11&lt;=EOMONTH('Construction Budget'!$M24,0)),('Construction Budget'!$G24+SUM($G227:AI227))/ROUND(((EOMONTH('Construction Budget'!$M24,0)-EOMONTH(AJ$11,0))/30)+1,0),0)</f>
        <v>0</v>
      </c>
      <c r="AK227" s="427">
        <f>-IF(AND(AK$11&gt;=EOMONTH('Construction Budget'!$K24,0),AK$11&lt;=EOMONTH('Construction Budget'!$M24,0)),('Construction Budget'!$G24+SUM($G227:AJ227))/ROUND(((EOMONTH('Construction Budget'!$M24,0)-EOMONTH(AK$11,0))/30)+1,0),0)</f>
        <v>0</v>
      </c>
      <c r="AL227" s="427">
        <f>-IF(AND(AL$11&gt;=EOMONTH('Construction Budget'!$K24,0),AL$11&lt;=EOMONTH('Construction Budget'!$M24,0)),('Construction Budget'!$G24+SUM($G227:AK227))/ROUND(((EOMONTH('Construction Budget'!$M24,0)-EOMONTH(AL$11,0))/30)+1,0),0)</f>
        <v>0</v>
      </c>
      <c r="AM227" s="427">
        <f>-IF(AND(AM$11&gt;=EOMONTH('Construction Budget'!$K24,0),AM$11&lt;=EOMONTH('Construction Budget'!$M24,0)),('Construction Budget'!$G24+SUM($G227:AL227))/ROUND(((EOMONTH('Construction Budget'!$M24,0)-EOMONTH(AM$11,0))/30)+1,0),0)</f>
        <v>0</v>
      </c>
      <c r="AN227" s="427">
        <f>-IF(AND(AN$11&gt;=EOMONTH('Construction Budget'!$K24,0),AN$11&lt;=EOMONTH('Construction Budget'!$M24,0)),('Construction Budget'!$G24+SUM($G227:AM227))/ROUND(((EOMONTH('Construction Budget'!$M24,0)-EOMONTH(AN$11,0))/30)+1,0),0)</f>
        <v>0</v>
      </c>
      <c r="AO227" s="427">
        <f>-IF(AND(AO$11&gt;=EOMONTH('Construction Budget'!$K24,0),AO$11&lt;=EOMONTH('Construction Budget'!$M24,0)),('Construction Budget'!$G24+SUM($G227:AN227))/ROUND(((EOMONTH('Construction Budget'!$M24,0)-EOMONTH(AO$11,0))/30)+1,0),0)</f>
        <v>0</v>
      </c>
      <c r="AP227" s="427">
        <f>-IF(AND(AP$11&gt;=EOMONTH('Construction Budget'!$K24,0),AP$11&lt;=EOMONTH('Construction Budget'!$M24,0)),('Construction Budget'!$G24+SUM($G227:AO227))/ROUND(((EOMONTH('Construction Budget'!$M24,0)-EOMONTH(AP$11,0))/30)+1,0),0)</f>
        <v>0</v>
      </c>
      <c r="AQ227" s="427">
        <f>-IF(AND(AQ$11&gt;=EOMONTH('Construction Budget'!$K24,0),AQ$11&lt;=EOMONTH('Construction Budget'!$M24,0)),('Construction Budget'!$G24+SUM($G227:AP227))/ROUND(((EOMONTH('Construction Budget'!$M24,0)-EOMONTH(AQ$11,0))/30)+1,0),0)</f>
        <v>0</v>
      </c>
      <c r="AR227" s="427">
        <f>-IF(AND(AR$11&gt;=EOMONTH('Construction Budget'!$K24,0),AR$11&lt;=EOMONTH('Construction Budget'!$M24,0)),('Construction Budget'!$G24+SUM($G227:AQ227))/ROUND(((EOMONTH('Construction Budget'!$M24,0)-EOMONTH(AR$11,0))/30)+1,0),0)</f>
        <v>0</v>
      </c>
      <c r="AS227" s="427">
        <f>-IF(AND(AS$11&gt;=EOMONTH('Construction Budget'!$K24,0),AS$11&lt;=EOMONTH('Construction Budget'!$M24,0)),('Construction Budget'!$G24+SUM($G227:AR227))/ROUND(((EOMONTH('Construction Budget'!$M24,0)-EOMONTH(AS$11,0))/30)+1,0),0)</f>
        <v>0</v>
      </c>
      <c r="AT227" s="427">
        <f>-IF(AND(AT$11&gt;=EOMONTH('Construction Budget'!$K24,0),AT$11&lt;=EOMONTH('Construction Budget'!$M24,0)),('Construction Budget'!$G24+SUM($G227:AS227))/ROUND(((EOMONTH('Construction Budget'!$M24,0)-EOMONTH(AT$11,0))/30)+1,0),0)</f>
        <v>0</v>
      </c>
      <c r="AU227" s="427">
        <f>-IF(AND(AU$11&gt;=EOMONTH('Construction Budget'!$K24,0),AU$11&lt;=EOMONTH('Construction Budget'!$M24,0)),('Construction Budget'!$G24+SUM($G227:AT227))/ROUND(((EOMONTH('Construction Budget'!$M24,0)-EOMONTH(AU$11,0))/30)+1,0),0)</f>
        <v>0</v>
      </c>
      <c r="AV227" s="427">
        <f>-IF(AND(AV$11&gt;=EOMONTH('Construction Budget'!$K24,0),AV$11&lt;=EOMONTH('Construction Budget'!$M24,0)),('Construction Budget'!$G24+SUM($G227:AU227))/ROUND(((EOMONTH('Construction Budget'!$M24,0)-EOMONTH(AV$11,0))/30)+1,0),0)</f>
        <v>0</v>
      </c>
      <c r="AW227" s="427">
        <f>-IF(AND(AW$11&gt;=EOMONTH('Construction Budget'!$K24,0),AW$11&lt;=EOMONTH('Construction Budget'!$M24,0)),('Construction Budget'!$G24+SUM($G227:AV227))/ROUND(((EOMONTH('Construction Budget'!$M24,0)-EOMONTH(AW$11,0))/30)+1,0),0)</f>
        <v>0</v>
      </c>
      <c r="AX227" s="427">
        <f>-IF(AND(AX$11&gt;=EOMONTH('Construction Budget'!$K24,0),AX$11&lt;=EOMONTH('Construction Budget'!$M24,0)),('Construction Budget'!$G24+SUM($G227:AW227))/ROUND(((EOMONTH('Construction Budget'!$M24,0)-EOMONTH(AX$11,0))/30)+1,0),0)</f>
        <v>0</v>
      </c>
      <c r="AY227" s="427">
        <f>-IF(AND(AY$11&gt;=EOMONTH('Construction Budget'!$K24,0),AY$11&lt;=EOMONTH('Construction Budget'!$M24,0)),('Construction Budget'!$G24+SUM($G227:AX227))/ROUND(((EOMONTH('Construction Budget'!$M24,0)-EOMONTH(AY$11,0))/30)+1,0),0)</f>
        <v>0</v>
      </c>
      <c r="AZ227" s="427">
        <f>-IF(AND(AZ$11&gt;=EOMONTH('Construction Budget'!$K24,0),AZ$11&lt;=EOMONTH('Construction Budget'!$M24,0)),('Construction Budget'!$G24+SUM($G227:AY227))/ROUND(((EOMONTH('Construction Budget'!$M24,0)-EOMONTH(AZ$11,0))/30)+1,0),0)</f>
        <v>0</v>
      </c>
      <c r="BA227" s="427">
        <f>-IF(AND(BA$11&gt;=EOMONTH('Construction Budget'!$K24,0),BA$11&lt;=EOMONTH('Construction Budget'!$M24,0)),('Construction Budget'!$G24+SUM($G227:AZ227))/ROUND(((EOMONTH('Construction Budget'!$M24,0)-EOMONTH(BA$11,0))/30)+1,0),0)</f>
        <v>0</v>
      </c>
      <c r="BB227" s="427">
        <f>-IF(AND(BB$11&gt;=EOMONTH('Construction Budget'!$K24,0),BB$11&lt;=EOMONTH('Construction Budget'!$M24,0)),('Construction Budget'!$G24+SUM($G227:BA227))/ROUND(((EOMONTH('Construction Budget'!$M24,0)-EOMONTH(BB$11,0))/30)+1,0),0)</f>
        <v>0</v>
      </c>
      <c r="BC227" s="427">
        <f>-IF(AND(BC$11&gt;=EOMONTH('Construction Budget'!$K24,0),BC$11&lt;=EOMONTH('Construction Budget'!$M24,0)),('Construction Budget'!$G24+SUM($G227:BB227))/ROUND(((EOMONTH('Construction Budget'!$M24,0)-EOMONTH(BC$11,0))/30)+1,0),0)</f>
        <v>0</v>
      </c>
      <c r="BD227" s="427">
        <f>-IF(AND(BD$11&gt;=EOMONTH('Construction Budget'!$K24,0),BD$11&lt;=EOMONTH('Construction Budget'!$M24,0)),('Construction Budget'!$G24+SUM($G227:BC227))/ROUND(((EOMONTH('Construction Budget'!$M24,0)-EOMONTH(BD$11,0))/30)+1,0),0)</f>
        <v>0</v>
      </c>
      <c r="BE227" s="427">
        <f>-IF(AND(BE$11&gt;=EOMONTH('Construction Budget'!$K24,0),BE$11&lt;=EOMONTH('Construction Budget'!$M24,0)),('Construction Budget'!$G24+SUM($G227:BD227))/ROUND(((EOMONTH('Construction Budget'!$M24,0)-EOMONTH(BE$11,0))/30)+1,0),0)</f>
        <v>0</v>
      </c>
      <c r="BF227" s="427">
        <f>-IF(AND(BF$11&gt;=EOMONTH('Construction Budget'!$K24,0),BF$11&lt;=EOMONTH('Construction Budget'!$M24,0)),('Construction Budget'!$G24+SUM($G227:BE227))/ROUND(((EOMONTH('Construction Budget'!$M24,0)-EOMONTH(BF$11,0))/30)+1,0),0)</f>
        <v>0</v>
      </c>
      <c r="BG227" s="427">
        <f>-IF(AND(BG$11&gt;=EOMONTH('Construction Budget'!$K24,0),BG$11&lt;=EOMONTH('Construction Budget'!$M24,0)),('Construction Budget'!$G24+SUM($G227:BF227))/ROUND(((EOMONTH('Construction Budget'!$M24,0)-EOMONTH(BG$11,0))/30)+1,0),0)</f>
        <v>0</v>
      </c>
      <c r="BH227" s="427">
        <f>-IF(AND(BH$11&gt;=EOMONTH('Construction Budget'!$K24,0),BH$11&lt;=EOMONTH('Construction Budget'!$M24,0)),('Construction Budget'!$G24+SUM($G227:BG227))/ROUND(((EOMONTH('Construction Budget'!$M24,0)-EOMONTH(BH$11,0))/30)+1,0),0)</f>
        <v>0</v>
      </c>
      <c r="BI227" s="427">
        <f>-IF(AND(BI$11&gt;=EOMONTH('Construction Budget'!$K24,0),BI$11&lt;=EOMONTH('Construction Budget'!$M24,0)),('Construction Budget'!$G24+SUM($G227:BH227))/ROUND(((EOMONTH('Construction Budget'!$M24,0)-EOMONTH(BI$11,0))/30)+1,0),0)</f>
        <v>0</v>
      </c>
      <c r="BJ227" s="427">
        <f>-IF(AND(BJ$11&gt;=EOMONTH('Construction Budget'!$K24,0),BJ$11&lt;=EOMONTH('Construction Budget'!$M24,0)),('Construction Budget'!$G24+SUM($G227:BI227))/ROUND(((EOMONTH('Construction Budget'!$M24,0)-EOMONTH(BJ$11,0))/30)+1,0),0)</f>
        <v>0</v>
      </c>
      <c r="BK227" s="427">
        <f>-IF(AND(BK$11&gt;=EOMONTH('Construction Budget'!$K24,0),BK$11&lt;=EOMONTH('Construction Budget'!$M24,0)),('Construction Budget'!$G24+SUM($G227:BJ227))/ROUND(((EOMONTH('Construction Budget'!$M24,0)-EOMONTH(BK$11,0))/30)+1,0),0)</f>
        <v>0</v>
      </c>
      <c r="BL227" s="427">
        <f>-IF(AND(BL$11&gt;=EOMONTH('Construction Budget'!$K24,0),BL$11&lt;=EOMONTH('Construction Budget'!$M24,0)),('Construction Budget'!$G24+SUM($G227:BK227))/ROUND(((EOMONTH('Construction Budget'!$M24,0)-EOMONTH(BL$11,0))/30)+1,0),0)</f>
        <v>0</v>
      </c>
      <c r="BM227" s="427">
        <f>-IF(AND(BM$11&gt;=EOMONTH('Construction Budget'!$K24,0),BM$11&lt;=EOMONTH('Construction Budget'!$M24,0)),('Construction Budget'!$G24+SUM($G227:BL227))/ROUND(((EOMONTH('Construction Budget'!$M24,0)-EOMONTH(BM$11,0))/30)+1,0),0)</f>
        <v>0</v>
      </c>
      <c r="BN227" s="427">
        <f>-IF(AND(BN$11&gt;=EOMONTH('Construction Budget'!$K24,0),BN$11&lt;=EOMONTH('Construction Budget'!$M24,0)),('Construction Budget'!$G24+SUM($G227:BM227))/ROUND(((EOMONTH('Construction Budget'!$M24,0)-EOMONTH(BN$11,0))/30)+1,0),0)</f>
        <v>0</v>
      </c>
      <c r="BO227" s="427">
        <f>-IF(AND(BO$11&gt;=EOMONTH('Construction Budget'!$K24,0),BO$11&lt;=EOMONTH('Construction Budget'!$M24,0)),('Construction Budget'!$G24+SUM($G227:BN227))/ROUND(((EOMONTH('Construction Budget'!$M24,0)-EOMONTH(BO$11,0))/30)+1,0),0)</f>
        <v>0</v>
      </c>
      <c r="BP227" s="427">
        <f>-IF(AND(BP$11&gt;=EOMONTH('Construction Budget'!$K24,0),BP$11&lt;=EOMONTH('Construction Budget'!$M24,0)),('Construction Budget'!$G24+SUM($G227:BO227))/ROUND(((EOMONTH('Construction Budget'!$M24,0)-EOMONTH(BP$11,0))/30)+1,0),0)</f>
        <v>0</v>
      </c>
      <c r="BQ227" s="427">
        <f>-IF(AND(BQ$11&gt;=EOMONTH('Construction Budget'!$K24,0),BQ$11&lt;=EOMONTH('Construction Budget'!$M24,0)),('Construction Budget'!$G24+SUM($G227:BP227))/ROUND(((EOMONTH('Construction Budget'!$M24,0)-EOMONTH(BQ$11,0))/30)+1,0),0)</f>
        <v>0</v>
      </c>
      <c r="BR227" s="427">
        <f>-IF(AND(BR$11&gt;=EOMONTH('Construction Budget'!$K24,0),BR$11&lt;=EOMONTH('Construction Budget'!$M24,0)),('Construction Budget'!$G24+SUM($G227:BQ227))/ROUND(((EOMONTH('Construction Budget'!$M24,0)-EOMONTH(BR$11,0))/30)+1,0),0)</f>
        <v>0</v>
      </c>
      <c r="BS227" s="427">
        <f>-IF(AND(BS$11&gt;=EOMONTH('Construction Budget'!$K24,0),BS$11&lt;=EOMONTH('Construction Budget'!$M24,0)),('Construction Budget'!$G24+SUM($G227:BR227))/ROUND(((EOMONTH('Construction Budget'!$M24,0)-EOMONTH(BS$11,0))/30)+1,0),0)</f>
        <v>0</v>
      </c>
      <c r="BT227" s="427">
        <f>-IF(AND(BT$11&gt;=EOMONTH('Construction Budget'!$K24,0),BT$11&lt;=EOMONTH('Construction Budget'!$M24,0)),('Construction Budget'!$G24+SUM($G227:BS227))/ROUND(((EOMONTH('Construction Budget'!$M24,0)-EOMONTH(BT$11,0))/30)+1,0),0)</f>
        <v>0</v>
      </c>
      <c r="BU227" s="427">
        <f>-IF(AND(BU$11&gt;=EOMONTH('Construction Budget'!$K24,0),BU$11&lt;=EOMONTH('Construction Budget'!$M24,0)),('Construction Budget'!$G24+SUM($G227:BT227))/ROUND(((EOMONTH('Construction Budget'!$M24,0)-EOMONTH(BU$11,0))/30)+1,0),0)</f>
        <v>0</v>
      </c>
      <c r="BV227" s="427">
        <f>-IF(AND(BV$11&gt;=EOMONTH('Construction Budget'!$K24,0),BV$11&lt;=EOMONTH('Construction Budget'!$M24,0)),('Construction Budget'!$G24+SUM($G227:BU227))/ROUND(((EOMONTH('Construction Budget'!$M24,0)-EOMONTH(BV$11,0))/30)+1,0),0)</f>
        <v>0</v>
      </c>
      <c r="BW227" s="427">
        <f>-IF(AND(BW$11&gt;=EOMONTH('Construction Budget'!$K24,0),BW$11&lt;=EOMONTH('Construction Budget'!$M24,0)),('Construction Budget'!$G24+SUM($G227:BV227))/ROUND(((EOMONTH('Construction Budget'!$M24,0)-EOMONTH(BW$11,0))/30)+1,0),0)</f>
        <v>0</v>
      </c>
      <c r="BX227" s="427">
        <f>-IF(AND(BX$11&gt;=EOMONTH('Construction Budget'!$K24,0),BX$11&lt;=EOMONTH('Construction Budget'!$M24,0)),('Construction Budget'!$G24+SUM($G227:BW227))/ROUND(((EOMONTH('Construction Budget'!$M24,0)-EOMONTH(BX$11,0))/30)+1,0),0)</f>
        <v>0</v>
      </c>
      <c r="BY227" s="427">
        <f>-IF(AND(BY$11&gt;=EOMONTH('Construction Budget'!$K24,0),BY$11&lt;=EOMONTH('Construction Budget'!$M24,0)),('Construction Budget'!$G24+SUM($G227:BX227))/ROUND(((EOMONTH('Construction Budget'!$M24,0)-EOMONTH(BY$11,0))/30)+1,0),0)</f>
        <v>0</v>
      </c>
      <c r="BZ227" s="427">
        <f>-IF(AND(BZ$11&gt;=EOMONTH('Construction Budget'!$K24,0),BZ$11&lt;=EOMONTH('Construction Budget'!$M24,0)),('Construction Budget'!$G24+SUM($G227:BY227))/ROUND(((EOMONTH('Construction Budget'!$M24,0)-EOMONTH(BZ$11,0))/30)+1,0),0)</f>
        <v>0</v>
      </c>
      <c r="CA227" s="427">
        <f>-IF(AND(CA$11&gt;=EOMONTH('Construction Budget'!$K24,0),CA$11&lt;=EOMONTH('Construction Budget'!$M24,0)),('Construction Budget'!$G24+SUM($G227:BZ227))/ROUND(((EOMONTH('Construction Budget'!$M24,0)-EOMONTH(CA$11,0))/30)+1,0),0)</f>
        <v>0</v>
      </c>
      <c r="CB227" s="427">
        <f>-IF(AND(CB$11&gt;=EOMONTH('Construction Budget'!$K24,0),CB$11&lt;=EOMONTH('Construction Budget'!$M24,0)),('Construction Budget'!$G24+SUM($G227:CA227))/ROUND(((EOMONTH('Construction Budget'!$M24,0)-EOMONTH(CB$11,0))/30)+1,0),0)</f>
        <v>0</v>
      </c>
      <c r="CC227" s="427">
        <f>-IF(AND(CC$11&gt;=EOMONTH('Construction Budget'!$K24,0),CC$11&lt;=EOMONTH('Construction Budget'!$M24,0)),('Construction Budget'!$G24+SUM($G227:CB227))/ROUND(((EOMONTH('Construction Budget'!$M24,0)-EOMONTH(CC$11,0))/30)+1,0),0)</f>
        <v>0</v>
      </c>
      <c r="CD227" s="427">
        <f>-IF(AND(CD$11&gt;=EOMONTH('Construction Budget'!$K24,0),CD$11&lt;=EOMONTH('Construction Budget'!$M24,0)),('Construction Budget'!$G24+SUM($G227:CC227))/ROUND(((EOMONTH('Construction Budget'!$M24,0)-EOMONTH(CD$11,0))/30)+1,0),0)</f>
        <v>0</v>
      </c>
      <c r="CE227" s="427">
        <f>-IF(AND(CE$11&gt;=EOMONTH('Construction Budget'!$K24,0),CE$11&lt;=EOMONTH('Construction Budget'!$M24,0)),('Construction Budget'!$G24+SUM($G227:CD227))/ROUND(((EOMONTH('Construction Budget'!$M24,0)-EOMONTH(CE$11,0))/30)+1,0),0)</f>
        <v>0</v>
      </c>
      <c r="CF227" s="427">
        <f>-IF(AND(CF$11&gt;=EOMONTH('Construction Budget'!$K24,0),CF$11&lt;=EOMONTH('Construction Budget'!$M24,0)),('Construction Budget'!$G24+SUM($G227:CE227))/ROUND(((EOMONTH('Construction Budget'!$M24,0)-EOMONTH(CF$11,0))/30)+1,0),0)</f>
        <v>0</v>
      </c>
      <c r="CG227" s="427">
        <f>-IF(AND(CG$11&gt;=EOMONTH('Construction Budget'!$K24,0),CG$11&lt;=EOMONTH('Construction Budget'!$M24,0)),('Construction Budget'!$G24+SUM($G227:CF227))/ROUND(((EOMONTH('Construction Budget'!$M24,0)-EOMONTH(CG$11,0))/30)+1,0),0)</f>
        <v>0</v>
      </c>
      <c r="CH227" s="427">
        <f>-IF(AND(CH$11&gt;=EOMONTH('Construction Budget'!$K24,0),CH$11&lt;=EOMONTH('Construction Budget'!$M24,0)),('Construction Budget'!$G24+SUM($G227:CG227))/ROUND(((EOMONTH('Construction Budget'!$M24,0)-EOMONTH(CH$11,0))/30)+1,0),0)</f>
        <v>0</v>
      </c>
      <c r="CI227" s="427">
        <f>-IF(AND(CI$11&gt;=EOMONTH('Construction Budget'!$K24,0),CI$11&lt;=EOMONTH('Construction Budget'!$M24,0)),('Construction Budget'!$G24+SUM($G227:CH227))/ROUND(((EOMONTH('Construction Budget'!$M24,0)-EOMONTH(CI$11,0))/30)+1,0),0)</f>
        <v>0</v>
      </c>
      <c r="CJ227" s="427">
        <f>-IF(AND(CJ$11&gt;=EOMONTH('Construction Budget'!$K24,0),CJ$11&lt;=EOMONTH('Construction Budget'!$M24,0)),('Construction Budget'!$G24+SUM($G227:CI227))/ROUND(((EOMONTH('Construction Budget'!$M24,0)-EOMONTH(CJ$11,0))/30)+1,0),0)</f>
        <v>0</v>
      </c>
      <c r="CK227" s="427">
        <f>-IF(AND(CK$11&gt;=EOMONTH('Construction Budget'!$K24,0),CK$11&lt;=EOMONTH('Construction Budget'!$M24,0)),('Construction Budget'!$G24+SUM($G227:CJ227))/ROUND(((EOMONTH('Construction Budget'!$M24,0)-EOMONTH(CK$11,0))/30)+1,0),0)</f>
        <v>0</v>
      </c>
      <c r="CL227" s="427">
        <f>-IF(AND(CL$11&gt;=EOMONTH('Construction Budget'!$K24,0),CL$11&lt;=EOMONTH('Construction Budget'!$M24,0)),('Construction Budget'!$G24+SUM($G227:CK227))/ROUND(((EOMONTH('Construction Budget'!$M24,0)-EOMONTH(CL$11,0))/30)+1,0),0)</f>
        <v>0</v>
      </c>
      <c r="CM227" s="427">
        <f>-IF(AND(CM$11&gt;=EOMONTH('Construction Budget'!$K24,0),CM$11&lt;=EOMONTH('Construction Budget'!$M24,0)),('Construction Budget'!$G24+SUM($G227:CL227))/ROUND(((EOMONTH('Construction Budget'!$M24,0)-EOMONTH(CM$11,0))/30)+1,0),0)</f>
        <v>0</v>
      </c>
      <c r="CN227" s="427">
        <f>-IF(AND(CN$11&gt;=EOMONTH('Construction Budget'!$K24,0),CN$11&lt;=EOMONTH('Construction Budget'!$M24,0)),('Construction Budget'!$G24+SUM($G227:CM227))/ROUND(((EOMONTH('Construction Budget'!$M24,0)-EOMONTH(CN$11,0))/30)+1,0),0)</f>
        <v>0</v>
      </c>
      <c r="CO227" s="427">
        <f>-IF(AND(CO$11&gt;=EOMONTH('Construction Budget'!$K24,0),CO$11&lt;=EOMONTH('Construction Budget'!$M24,0)),('Construction Budget'!$G24+SUM($G227:CN227))/ROUND(((EOMONTH('Construction Budget'!$M24,0)-EOMONTH(CO$11,0))/30)+1,0),0)</f>
        <v>0</v>
      </c>
      <c r="CP227" s="427">
        <f>-IF(AND(CP$11&gt;=EOMONTH('Construction Budget'!$K24,0),CP$11&lt;=EOMONTH('Construction Budget'!$M24,0)),('Construction Budget'!$G24+SUM($G227:CO227))/ROUND(((EOMONTH('Construction Budget'!$M24,0)-EOMONTH(CP$11,0))/30)+1,0),0)</f>
        <v>0</v>
      </c>
      <c r="CQ227" s="427">
        <f>-IF(AND(CQ$11&gt;=EOMONTH('Construction Budget'!$K24,0),CQ$11&lt;=EOMONTH('Construction Budget'!$M24,0)),('Construction Budget'!$G24+SUM($G227:CP227))/ROUND(((EOMONTH('Construction Budget'!$M24,0)-EOMONTH(CQ$11,0))/30)+1,0),0)</f>
        <v>0</v>
      </c>
      <c r="CR227" s="427">
        <f>-IF(AND(CR$11&gt;=EOMONTH('Construction Budget'!$K24,0),CR$11&lt;=EOMONTH('Construction Budget'!$M24,0)),('Construction Budget'!$G24+SUM($G227:CQ227))/ROUND(((EOMONTH('Construction Budget'!$M24,0)-EOMONTH(CR$11,0))/30)+1,0),0)</f>
        <v>0</v>
      </c>
      <c r="CS227" s="427">
        <f>-IF(AND(CS$11&gt;=EOMONTH('Construction Budget'!$K24,0),CS$11&lt;=EOMONTH('Construction Budget'!$M24,0)),('Construction Budget'!$G24+SUM($G227:CR227))/ROUND(((EOMONTH('Construction Budget'!$M24,0)-EOMONTH(CS$11,0))/30)+1,0),0)</f>
        <v>0</v>
      </c>
      <c r="CT227" s="427">
        <f>-IF(AND(CT$11&gt;=EOMONTH('Construction Budget'!$K24,0),CT$11&lt;=EOMONTH('Construction Budget'!$M24,0)),('Construction Budget'!$G24+SUM($G227:CS227))/ROUND(((EOMONTH('Construction Budget'!$M24,0)-EOMONTH(CT$11,0))/30)+1,0),0)</f>
        <v>0</v>
      </c>
      <c r="CU227" s="427">
        <f>-IF(AND(CU$11&gt;=EOMONTH('Construction Budget'!$K24,0),CU$11&lt;=EOMONTH('Construction Budget'!$M24,0)),('Construction Budget'!$G24+SUM($G227:CT227))/ROUND(((EOMONTH('Construction Budget'!$M24,0)-EOMONTH(CU$11,0))/30)+1,0),0)</f>
        <v>0</v>
      </c>
      <c r="CV227" s="427">
        <f>-IF(AND(CV$11&gt;=EOMONTH('Construction Budget'!$K24,0),CV$11&lt;=EOMONTH('Construction Budget'!$M24,0)),('Construction Budget'!$G24+SUM($G227:CU227))/ROUND(((EOMONTH('Construction Budget'!$M24,0)-EOMONTH(CV$11,0))/30)+1,0),0)</f>
        <v>0</v>
      </c>
      <c r="CW227" s="427">
        <f>-IF(AND(CW$11&gt;=EOMONTH('Construction Budget'!$K24,0),CW$11&lt;=EOMONTH('Construction Budget'!$M24,0)),('Construction Budget'!$G24+SUM($G227:CV227))/ROUND(((EOMONTH('Construction Budget'!$M24,0)-EOMONTH(CW$11,0))/30)+1,0),0)</f>
        <v>0</v>
      </c>
      <c r="CX227" s="427">
        <f>-IF(AND(CX$11&gt;=EOMONTH('Construction Budget'!$K24,0),CX$11&lt;=EOMONTH('Construction Budget'!$M24,0)),('Construction Budget'!$G24+SUM($G227:CW227))/ROUND(((EOMONTH('Construction Budget'!$M24,0)-EOMONTH(CX$11,0))/30)+1,0),0)</f>
        <v>0</v>
      </c>
      <c r="CY227" s="427">
        <f>-IF(AND(CY$11&gt;=EOMONTH('Construction Budget'!$K24,0),CY$11&lt;=EOMONTH('Construction Budget'!$M24,0)),('Construction Budget'!$G24+SUM($G227:CX227))/ROUND(((EOMONTH('Construction Budget'!$M24,0)-EOMONTH(CY$11,0))/30)+1,0),0)</f>
        <v>0</v>
      </c>
      <c r="CZ227" s="427">
        <f>-IF(AND(CZ$11&gt;=EOMONTH('Construction Budget'!$K24,0),CZ$11&lt;=EOMONTH('Construction Budget'!$M24,0)),('Construction Budget'!$G24+SUM($G227:CY227))/ROUND(((EOMONTH('Construction Budget'!$M24,0)-EOMONTH(CZ$11,0))/30)+1,0),0)</f>
        <v>0</v>
      </c>
      <c r="DA227" s="427">
        <f>-IF(AND(DA$11&gt;=EOMONTH('Construction Budget'!$K24,0),DA$11&lt;=EOMONTH('Construction Budget'!$M24,0)),('Construction Budget'!$G24+SUM($G227:CZ227))/ROUND(((EOMONTH('Construction Budget'!$M24,0)-EOMONTH(DA$11,0))/30)+1,0),0)</f>
        <v>0</v>
      </c>
      <c r="DB227" s="427">
        <f>-IF(AND(DB$11&gt;=EOMONTH('Construction Budget'!$K24,0),DB$11&lt;=EOMONTH('Construction Budget'!$M24,0)),('Construction Budget'!$G24+SUM($G227:DA227))/ROUND(((EOMONTH('Construction Budget'!$M24,0)-EOMONTH(DB$11,0))/30)+1,0),0)</f>
        <v>0</v>
      </c>
      <c r="DC227" s="427">
        <f>-IF(AND(DC$11&gt;=EOMONTH('Construction Budget'!$K24,0),DC$11&lt;=EOMONTH('Construction Budget'!$M24,0)),('Construction Budget'!$G24+SUM($G227:DB227))/ROUND(((EOMONTH('Construction Budget'!$M24,0)-EOMONTH(DC$11,0))/30)+1,0),0)</f>
        <v>0</v>
      </c>
      <c r="DD227" s="427">
        <f>-IF(AND(DD$11&gt;=EOMONTH('Construction Budget'!$K24,0),DD$11&lt;=EOMONTH('Construction Budget'!$M24,0)),('Construction Budget'!$G24+SUM($G227:DC227))/ROUND(((EOMONTH('Construction Budget'!$M24,0)-EOMONTH(DD$11,0))/30)+1,0),0)</f>
        <v>0</v>
      </c>
      <c r="DE227" s="427">
        <f>-IF(AND(DE$11&gt;=EOMONTH('Construction Budget'!$K24,0),DE$11&lt;=EOMONTH('Construction Budget'!$M24,0)),('Construction Budget'!$G24+SUM($G227:DD227))/ROUND(((EOMONTH('Construction Budget'!$M24,0)-EOMONTH(DE$11,0))/30)+1,0),0)</f>
        <v>0</v>
      </c>
      <c r="DF227" s="427">
        <f>-IF(AND(DF$11&gt;=EOMONTH('Construction Budget'!$K24,0),DF$11&lt;=EOMONTH('Construction Budget'!$M24,0)),('Construction Budget'!$G24+SUM($G227:DE227))/ROUND(((EOMONTH('Construction Budget'!$M24,0)-EOMONTH(DF$11,0))/30)+1,0),0)</f>
        <v>0</v>
      </c>
      <c r="DG227" s="427">
        <f>-IF(AND(DG$11&gt;=EOMONTH('Construction Budget'!$K24,0),DG$11&lt;=EOMONTH('Construction Budget'!$M24,0)),('Construction Budget'!$G24+SUM($G227:DF227))/ROUND(((EOMONTH('Construction Budget'!$M24,0)-EOMONTH(DG$11,0))/30)+1,0),0)</f>
        <v>0</v>
      </c>
      <c r="DH227" s="427">
        <f>-IF(AND(DH$11&gt;=EOMONTH('Construction Budget'!$K24,0),DH$11&lt;=EOMONTH('Construction Budget'!$M24,0)),('Construction Budget'!$G24+SUM($G227:DG227))/ROUND(((EOMONTH('Construction Budget'!$M24,0)-EOMONTH(DH$11,0))/30)+1,0),0)</f>
        <v>0</v>
      </c>
      <c r="DI227" s="427">
        <f>-IF(AND(DI$11&gt;=EOMONTH('Construction Budget'!$K24,0),DI$11&lt;=EOMONTH('Construction Budget'!$M24,0)),('Construction Budget'!$G24+SUM($G227:DH227))/ROUND(((EOMONTH('Construction Budget'!$M24,0)-EOMONTH(DI$11,0))/30)+1,0),0)</f>
        <v>0</v>
      </c>
      <c r="DJ227" s="427">
        <f>-IF(AND(DJ$11&gt;=EOMONTH('Construction Budget'!$K24,0),DJ$11&lt;=EOMONTH('Construction Budget'!$M24,0)),('Construction Budget'!$G24+SUM($G227:DI227))/ROUND(((EOMONTH('Construction Budget'!$M24,0)-EOMONTH(DJ$11,0))/30)+1,0),0)</f>
        <v>0</v>
      </c>
      <c r="DK227" s="427">
        <f>-IF(AND(DK$11&gt;=EOMONTH('Construction Budget'!$K24,0),DK$11&lt;=EOMONTH('Construction Budget'!$M24,0)),('Construction Budget'!$G24+SUM($G227:DJ227))/ROUND(((EOMONTH('Construction Budget'!$M24,0)-EOMONTH(DK$11,0))/30)+1,0),0)</f>
        <v>0</v>
      </c>
      <c r="DL227" s="427">
        <f>-IF(AND(DL$11&gt;=EOMONTH('Construction Budget'!$K24,0),DL$11&lt;=EOMONTH('Construction Budget'!$M24,0)),('Construction Budget'!$G24+SUM($G227:DK227))/ROUND(((EOMONTH('Construction Budget'!$M24,0)-EOMONTH(DL$11,0))/30)+1,0),0)</f>
        <v>0</v>
      </c>
      <c r="DM227" s="427">
        <f>-IF(AND(DM$11&gt;=EOMONTH('Construction Budget'!$K24,0),DM$11&lt;=EOMONTH('Construction Budget'!$M24,0)),('Construction Budget'!$G24+SUM($G227:DL227))/ROUND(((EOMONTH('Construction Budget'!$M24,0)-EOMONTH(DM$11,0))/30)+1,0),0)</f>
        <v>0</v>
      </c>
      <c r="DN227" s="427">
        <f>-IF(AND(DN$11&gt;=EOMONTH('Construction Budget'!$K24,0),DN$11&lt;=EOMONTH('Construction Budget'!$M24,0)),('Construction Budget'!$G24+SUM($G227:DM227))/ROUND(((EOMONTH('Construction Budget'!$M24,0)-EOMONTH(DN$11,0))/30)+1,0),0)</f>
        <v>0</v>
      </c>
      <c r="DO227" s="427">
        <f>-IF(AND(DO$11&gt;=EOMONTH('Construction Budget'!$K24,0),DO$11&lt;=EOMONTH('Construction Budget'!$M24,0)),('Construction Budget'!$G24+SUM($G227:DN227))/ROUND(((EOMONTH('Construction Budget'!$M24,0)-EOMONTH(DO$11,0))/30)+1,0),0)</f>
        <v>0</v>
      </c>
      <c r="DP227" s="427">
        <f>-IF(AND(DP$11&gt;=EOMONTH('Construction Budget'!$K24,0),DP$11&lt;=EOMONTH('Construction Budget'!$M24,0)),('Construction Budget'!$G24+SUM($G227:DO227))/ROUND(((EOMONTH('Construction Budget'!$M24,0)-EOMONTH(DP$11,0))/30)+1,0),0)</f>
        <v>0</v>
      </c>
      <c r="DQ227" s="427">
        <f>-IF(AND(DQ$11&gt;=EOMONTH('Construction Budget'!$K24,0),DQ$11&lt;=EOMONTH('Construction Budget'!$M24,0)),('Construction Budget'!$G24+SUM($G227:DP227))/ROUND(((EOMONTH('Construction Budget'!$M24,0)-EOMONTH(DQ$11,0))/30)+1,0),0)</f>
        <v>0</v>
      </c>
      <c r="DR227" s="427">
        <f>-IF(AND(DR$11&gt;=EOMONTH('Construction Budget'!$K24,0),DR$11&lt;=EOMONTH('Construction Budget'!$M24,0)),('Construction Budget'!$G24+SUM($G227:DQ227))/ROUND(((EOMONTH('Construction Budget'!$M24,0)-EOMONTH(DR$11,0))/30)+1,0),0)</f>
        <v>0</v>
      </c>
      <c r="DS227" s="427">
        <f>-IF(AND(DS$11&gt;=EOMONTH('Construction Budget'!$K24,0),DS$11&lt;=EOMONTH('Construction Budget'!$M24,0)),('Construction Budget'!$G24+SUM($G227:DR227))/ROUND(((EOMONTH('Construction Budget'!$M24,0)-EOMONTH(DS$11,0))/30)+1,0),0)</f>
        <v>0</v>
      </c>
      <c r="DT227" s="427">
        <f>-IF(AND(DT$11&gt;=EOMONTH('Construction Budget'!$K24,0),DT$11&lt;=EOMONTH('Construction Budget'!$M24,0)),('Construction Budget'!$G24+SUM($G227:DS227))/ROUND(((EOMONTH('Construction Budget'!$M24,0)-EOMONTH(DT$11,0))/30)+1,0),0)</f>
        <v>0</v>
      </c>
      <c r="DU227" s="427">
        <f>-IF(AND(DU$11&gt;=EOMONTH('Construction Budget'!$K24,0),DU$11&lt;=EOMONTH('Construction Budget'!$M24,0)),('Construction Budget'!$G24+SUM($G227:DT227))/ROUND(((EOMONTH('Construction Budget'!$M24,0)-EOMONTH(DU$11,0))/30)+1,0),0)</f>
        <v>0</v>
      </c>
      <c r="DV227" s="427">
        <f>-IF(AND(DV$11&gt;=EOMONTH('Construction Budget'!$K24,0),DV$11&lt;=EOMONTH('Construction Budget'!$M24,0)),('Construction Budget'!$G24+SUM($G227:DU227))/ROUND(((EOMONTH('Construction Budget'!$M24,0)-EOMONTH(DV$11,0))/30)+1,0),0)</f>
        <v>0</v>
      </c>
      <c r="DW227" s="427">
        <f>-IF(AND(DW$11&gt;=EOMONTH('Construction Budget'!$K24,0),DW$11&lt;=EOMONTH('Construction Budget'!$M24,0)),('Construction Budget'!$G24+SUM($G227:DV227))/ROUND(((EOMONTH('Construction Budget'!$M24,0)-EOMONTH(DW$11,0))/30)+1,0),0)</f>
        <v>0</v>
      </c>
      <c r="DX227" s="427">
        <f>-IF(AND(DX$11&gt;=EOMONTH('Construction Budget'!$K24,0),DX$11&lt;=EOMONTH('Construction Budget'!$M24,0)),('Construction Budget'!$G24+SUM($G227:DW227))/ROUND(((EOMONTH('Construction Budget'!$M24,0)-EOMONTH(DX$11,0))/30)+1,0),0)</f>
        <v>0</v>
      </c>
      <c r="DY227" s="427">
        <f>-IF(AND(DY$11&gt;=EOMONTH('Construction Budget'!$K24,0),DY$11&lt;=EOMONTH('Construction Budget'!$M24,0)),('Construction Budget'!$G24+SUM($G227:DX227))/ROUND(((EOMONTH('Construction Budget'!$M24,0)-EOMONTH(DY$11,0))/30)+1,0),0)</f>
        <v>0</v>
      </c>
      <c r="DZ227" s="427">
        <f>-IF(AND(DZ$11&gt;=EOMONTH('Construction Budget'!$K24,0),DZ$11&lt;=EOMONTH('Construction Budget'!$M24,0)),('Construction Budget'!$G24+SUM($G227:DY227))/ROUND(((EOMONTH('Construction Budget'!$M24,0)-EOMONTH(DZ$11,0))/30)+1,0),0)</f>
        <v>0</v>
      </c>
      <c r="EA227" s="427">
        <f>-IF(AND(EA$11&gt;=EOMONTH('Construction Budget'!$K24,0),EA$11&lt;=EOMONTH('Construction Budget'!$M24,0)),('Construction Budget'!$G24+SUM($G227:DZ227))/ROUND(((EOMONTH('Construction Budget'!$M24,0)-EOMONTH(EA$11,0))/30)+1,0),0)</f>
        <v>0</v>
      </c>
      <c r="EB227" s="427">
        <f>-IF(AND(EB$11&gt;=EOMONTH('Construction Budget'!$K24,0),EB$11&lt;=EOMONTH('Construction Budget'!$M24,0)),('Construction Budget'!$G24+SUM($G227:EA227))/ROUND(((EOMONTH('Construction Budget'!$M24,0)-EOMONTH(EB$11,0))/30)+1,0),0)</f>
        <v>0</v>
      </c>
      <c r="EC227" s="427">
        <f>-IF(AND(EC$11&gt;=EOMONTH('Construction Budget'!$K24,0),EC$11&lt;=EOMONTH('Construction Budget'!$M24,0)),('Construction Budget'!$G24+SUM($G227:EB227))/ROUND(((EOMONTH('Construction Budget'!$M24,0)-EOMONTH(EC$11,0))/30)+1,0),0)</f>
        <v>0</v>
      </c>
      <c r="ED227" s="427">
        <f>-IF(AND(ED$11&gt;=EOMONTH('Construction Budget'!$K24,0),ED$11&lt;=EOMONTH('Construction Budget'!$M24,0)),('Construction Budget'!$G24+SUM($G227:EC227))/ROUND(((EOMONTH('Construction Budget'!$M24,0)-EOMONTH(ED$11,0))/30)+1,0),0)</f>
        <v>0</v>
      </c>
      <c r="EE227" s="427">
        <f>-IF(AND(EE$11&gt;=EOMONTH('Construction Budget'!$K24,0),EE$11&lt;=EOMONTH('Construction Budget'!$M24,0)),('Construction Budget'!$G24+SUM($G227:ED227))/ROUND(((EOMONTH('Construction Budget'!$M24,0)-EOMONTH(EE$11,0))/30)+1,0),0)</f>
        <v>0</v>
      </c>
      <c r="EF227" s="427">
        <f>-IF(AND(EF$11&gt;=EOMONTH('Construction Budget'!$K24,0),EF$11&lt;=EOMONTH('Construction Budget'!$M24,0)),('Construction Budget'!$G24+SUM($G227:EE227))/ROUND(((EOMONTH('Construction Budget'!$M24,0)-EOMONTH(EF$11,0))/30)+1,0),0)</f>
        <v>0</v>
      </c>
      <c r="EG227" s="427">
        <f>-IF(AND(EG$11&gt;=EOMONTH('Construction Budget'!$K24,0),EG$11&lt;=EOMONTH('Construction Budget'!$M24,0)),('Construction Budget'!$G24+SUM($G227:EF227))/ROUND(((EOMONTH('Construction Budget'!$M24,0)-EOMONTH(EG$11,0))/30)+1,0),0)</f>
        <v>0</v>
      </c>
      <c r="EH227" s="427">
        <f>-IF(AND(EH$11&gt;=EOMONTH('Construction Budget'!$K24,0),EH$11&lt;=EOMONTH('Construction Budget'!$M24,0)),('Construction Budget'!$G24+SUM($G227:EG227))/ROUND(((EOMONTH('Construction Budget'!$M24,0)-EOMONTH(EH$11,0))/30)+1,0),0)</f>
        <v>0</v>
      </c>
      <c r="EI227" s="427">
        <f>-IF(AND(EI$11&gt;=EOMONTH('Construction Budget'!$K24,0),EI$11&lt;=EOMONTH('Construction Budget'!$M24,0)),('Construction Budget'!$G24+SUM($G227:EH227))/ROUND(((EOMONTH('Construction Budget'!$M24,0)-EOMONTH(EI$11,0))/30)+1,0),0)</f>
        <v>0</v>
      </c>
      <c r="EJ227" s="427">
        <f>-IF(AND(EJ$11&gt;=EOMONTH('Construction Budget'!$K24,0),EJ$11&lt;=EOMONTH('Construction Budget'!$M24,0)),('Construction Budget'!$G24+SUM($G227:EI227))/ROUND(((EOMONTH('Construction Budget'!$M24,0)-EOMONTH(EJ$11,0))/30)+1,0),0)</f>
        <v>0</v>
      </c>
      <c r="EK227" s="427">
        <f>-IF(AND(EK$11&gt;=EOMONTH('Construction Budget'!$K24,0),EK$11&lt;=EOMONTH('Construction Budget'!$M24,0)),('Construction Budget'!$G24+SUM($G227:EJ227))/ROUND(((EOMONTH('Construction Budget'!$M24,0)-EOMONTH(EK$11,0))/30)+1,0),0)</f>
        <v>0</v>
      </c>
      <c r="EL227" s="427">
        <f>-IF(AND(EL$11&gt;=EOMONTH('Construction Budget'!$K24,0),EL$11&lt;=EOMONTH('Construction Budget'!$M24,0)),('Construction Budget'!$G24+SUM($G227:EK227))/ROUND(((EOMONTH('Construction Budget'!$M24,0)-EOMONTH(EL$11,0))/30)+1,0),0)</f>
        <v>0</v>
      </c>
      <c r="EM227" s="427">
        <f>-IF(AND(EM$11&gt;=EOMONTH('Construction Budget'!$K24,0),EM$11&lt;=EOMONTH('Construction Budget'!$M24,0)),('Construction Budget'!$G24+SUM($G227:EL227))/ROUND(((EOMONTH('Construction Budget'!$M24,0)-EOMONTH(EM$11,0))/30)+1,0),0)</f>
        <v>0</v>
      </c>
      <c r="EN227" s="427">
        <f>-IF(AND(EN$11&gt;=EOMONTH('Construction Budget'!$K24,0),EN$11&lt;=EOMONTH('Construction Budget'!$M24,0)),('Construction Budget'!$G24+SUM($G227:EM227))/ROUND(((EOMONTH('Construction Budget'!$M24,0)-EOMONTH(EN$11,0))/30)+1,0),0)</f>
        <v>0</v>
      </c>
      <c r="EO227" s="427">
        <f>-IF(AND(EO$11&gt;=EOMONTH('Construction Budget'!$K24,0),EO$11&lt;=EOMONTH('Construction Budget'!$M24,0)),('Construction Budget'!$G24+SUM($G227:EN227))/ROUND(((EOMONTH('Construction Budget'!$M24,0)-EOMONTH(EO$11,0))/30)+1,0),0)</f>
        <v>0</v>
      </c>
      <c r="EP227" s="427">
        <f>-IF(AND(EP$11&gt;=EOMONTH('Construction Budget'!$K24,0),EP$11&lt;=EOMONTH('Construction Budget'!$M24,0)),('Construction Budget'!$G24+SUM($G227:EO227))/ROUND(((EOMONTH('Construction Budget'!$M24,0)-EOMONTH(EP$11,0))/30)+1,0),0)</f>
        <v>0</v>
      </c>
      <c r="EQ227" s="427">
        <f>-IF(AND(EQ$11&gt;=EOMONTH('Construction Budget'!$K24,0),EQ$11&lt;=EOMONTH('Construction Budget'!$M24,0)),('Construction Budget'!$G24+SUM($G227:EP227))/ROUND(((EOMONTH('Construction Budget'!$M24,0)-EOMONTH(EQ$11,0))/30)+1,0),0)</f>
        <v>0</v>
      </c>
      <c r="ER227" s="427">
        <f>-IF(AND(ER$11&gt;=EOMONTH('Construction Budget'!$K24,0),ER$11&lt;=EOMONTH('Construction Budget'!$M24,0)),('Construction Budget'!$G24+SUM($G227:EQ227))/ROUND(((EOMONTH('Construction Budget'!$M24,0)-EOMONTH(ER$11,0))/30)+1,0),0)</f>
        <v>0</v>
      </c>
      <c r="ES227" s="427">
        <f>-IF(AND(ES$11&gt;=EOMONTH('Construction Budget'!$K24,0),ES$11&lt;=EOMONTH('Construction Budget'!$M24,0)),('Construction Budget'!$G24+SUM($G227:ER227))/ROUND(((EOMONTH('Construction Budget'!$M24,0)-EOMONTH(ES$11,0))/30)+1,0),0)</f>
        <v>0</v>
      </c>
      <c r="ET227" s="427">
        <f>-IF(AND(ET$11&gt;=EOMONTH('Construction Budget'!$K24,0),ET$11&lt;=EOMONTH('Construction Budget'!$M24,0)),('Construction Budget'!$G24+SUM($G227:ES227))/ROUND(((EOMONTH('Construction Budget'!$M24,0)-EOMONTH(ET$11,0))/30)+1,0),0)</f>
        <v>0</v>
      </c>
      <c r="EU227" s="427">
        <f>-IF(AND(EU$11&gt;=EOMONTH('Construction Budget'!$K24,0),EU$11&lt;=EOMONTH('Construction Budget'!$M24,0)),('Construction Budget'!$G24+SUM($G227:ET227))/ROUND(((EOMONTH('Construction Budget'!$M24,0)-EOMONTH(EU$11,0))/30)+1,0),0)</f>
        <v>0</v>
      </c>
      <c r="EV227" s="427">
        <f>-IF(AND(EV$11&gt;=EOMONTH('Construction Budget'!$K24,0),EV$11&lt;=EOMONTH('Construction Budget'!$M24,0)),('Construction Budget'!$G24+SUM($G227:EU227))/ROUND(((EOMONTH('Construction Budget'!$M24,0)-EOMONTH(EV$11,0))/30)+1,0),0)</f>
        <v>0</v>
      </c>
      <c r="EW227" s="427">
        <f>-IF(AND(EW$11&gt;=EOMONTH('Construction Budget'!$K24,0),EW$11&lt;=EOMONTH('Construction Budget'!$M24,0)),('Construction Budget'!$G24+SUM($G227:EV227))/ROUND(((EOMONTH('Construction Budget'!$M24,0)-EOMONTH(EW$11,0))/30)+1,0),0)</f>
        <v>0</v>
      </c>
      <c r="EX227" s="427">
        <f>-IF(AND(EX$11&gt;=EOMONTH('Construction Budget'!$K24,0),EX$11&lt;=EOMONTH('Construction Budget'!$M24,0)),('Construction Budget'!$G24+SUM($G227:EW227))/ROUND(((EOMONTH('Construction Budget'!$M24,0)-EOMONTH(EX$11,0))/30)+1,0),0)</f>
        <v>0</v>
      </c>
      <c r="EY227" s="427">
        <f>-IF(AND(EY$11&gt;=EOMONTH('Construction Budget'!$K24,0),EY$11&lt;=EOMONTH('Construction Budget'!$M24,0)),('Construction Budget'!$G24+SUM($G227:EX227))/ROUND(((EOMONTH('Construction Budget'!$M24,0)-EOMONTH(EY$11,0))/30)+1,0),0)</f>
        <v>0</v>
      </c>
      <c r="EZ227" s="427">
        <f>-IF(AND(EZ$11&gt;=EOMONTH('Construction Budget'!$K24,0),EZ$11&lt;=EOMONTH('Construction Budget'!$M24,0)),('Construction Budget'!$G24+SUM($G227:EY227))/ROUND(((EOMONTH('Construction Budget'!$M24,0)-EOMONTH(EZ$11,0))/30)+1,0),0)</f>
        <v>0</v>
      </c>
      <c r="FA227" s="427">
        <f>-IF(AND(FA$11&gt;=EOMONTH('Construction Budget'!$K24,0),FA$11&lt;=EOMONTH('Construction Budget'!$M24,0)),('Construction Budget'!$G24+SUM($G227:EZ227))/ROUND(((EOMONTH('Construction Budget'!$M24,0)-EOMONTH(FA$11,0))/30)+1,0),0)</f>
        <v>0</v>
      </c>
      <c r="FB227" s="427">
        <f>-IF(AND(FB$11&gt;=EOMONTH('Construction Budget'!$K24,0),FB$11&lt;=EOMONTH('Construction Budget'!$M24,0)),('Construction Budget'!$G24+SUM($G227:FA227))/ROUND(((EOMONTH('Construction Budget'!$M24,0)-EOMONTH(FB$11,0))/30)+1,0),0)</f>
        <v>0</v>
      </c>
      <c r="FC227" s="427">
        <f>-IF(AND(FC$11&gt;=EOMONTH('Construction Budget'!$K24,0),FC$11&lt;=EOMONTH('Construction Budget'!$M24,0)),('Construction Budget'!$G24+SUM($G227:FB227))/ROUND(((EOMONTH('Construction Budget'!$M24,0)-EOMONTH(FC$11,0))/30)+1,0),0)</f>
        <v>0</v>
      </c>
      <c r="FD227" s="427">
        <f>-IF(AND(FD$11&gt;=EOMONTH('Construction Budget'!$K24,0),FD$11&lt;=EOMONTH('Construction Budget'!$M24,0)),('Construction Budget'!$G24+SUM($G227:FC227))/ROUND(((EOMONTH('Construction Budget'!$M24,0)-EOMONTH(FD$11,0))/30)+1,0),0)</f>
        <v>0</v>
      </c>
      <c r="FE227" s="427">
        <f>-IF(AND(FE$11&gt;=EOMONTH('Construction Budget'!$K24,0),FE$11&lt;=EOMONTH('Construction Budget'!$M24,0)),('Construction Budget'!$G24+SUM($G227:FD227))/ROUND(((EOMONTH('Construction Budget'!$M24,0)-EOMONTH(FE$11,0))/30)+1,0),0)</f>
        <v>0</v>
      </c>
      <c r="FF227" s="427">
        <f>-IF(AND(FF$11&gt;=EOMONTH('Construction Budget'!$K24,0),FF$11&lt;=EOMONTH('Construction Budget'!$M24,0)),('Construction Budget'!$G24+SUM($G227:FE227))/ROUND(((EOMONTH('Construction Budget'!$M24,0)-EOMONTH(FF$11,0))/30)+1,0),0)</f>
        <v>0</v>
      </c>
      <c r="FG227" s="427">
        <f>-IF(AND(FG$11&gt;=EOMONTH('Construction Budget'!$K24,0),FG$11&lt;=EOMONTH('Construction Budget'!$M24,0)),('Construction Budget'!$G24+SUM($G227:FF227))/ROUND(((EOMONTH('Construction Budget'!$M24,0)-EOMONTH(FG$11,0))/30)+1,0),0)</f>
        <v>0</v>
      </c>
      <c r="FH227" s="427">
        <f>-IF(AND(FH$11&gt;=EOMONTH('Construction Budget'!$K24,0),FH$11&lt;=EOMONTH('Construction Budget'!$M24,0)),('Construction Budget'!$G24+SUM($G227:FG227))/ROUND(((EOMONTH('Construction Budget'!$M24,0)-EOMONTH(FH$11,0))/30)+1,0),0)</f>
        <v>0</v>
      </c>
      <c r="FI227" s="427">
        <f>-IF(AND(FI$11&gt;=EOMONTH('Construction Budget'!$K24,0),FI$11&lt;=EOMONTH('Construction Budget'!$M24,0)),('Construction Budget'!$G24+SUM($G227:FH227))/ROUND(((EOMONTH('Construction Budget'!$M24,0)-EOMONTH(FI$11,0))/30)+1,0),0)</f>
        <v>0</v>
      </c>
      <c r="FJ227" s="427">
        <f>-IF(AND(FJ$11&gt;=EOMONTH('Construction Budget'!$K24,0),FJ$11&lt;=EOMONTH('Construction Budget'!$M24,0)),('Construction Budget'!$G24+SUM($G227:FI227))/ROUND(((EOMONTH('Construction Budget'!$M24,0)-EOMONTH(FJ$11,0))/30)+1,0),0)</f>
        <v>0</v>
      </c>
      <c r="FK227" s="427">
        <f>-IF(AND(FK$11&gt;=EOMONTH('Construction Budget'!$K24,0),FK$11&lt;=EOMONTH('Construction Budget'!$M24,0)),('Construction Budget'!$G24+SUM($G227:FJ227))/ROUND(((EOMONTH('Construction Budget'!$M24,0)-EOMONTH(FK$11,0))/30)+1,0),0)</f>
        <v>0</v>
      </c>
      <c r="FL227" s="427">
        <f>-IF(AND(FL$11&gt;=EOMONTH('Construction Budget'!$K24,0),FL$11&lt;=EOMONTH('Construction Budget'!$M24,0)),('Construction Budget'!$G24+SUM($G227:FK227))/ROUND(((EOMONTH('Construction Budget'!$M24,0)-EOMONTH(FL$11,0))/30)+1,0),0)</f>
        <v>0</v>
      </c>
      <c r="FM227" s="427">
        <f>-IF(AND(FM$11&gt;=EOMONTH('Construction Budget'!$K24,0),FM$11&lt;=EOMONTH('Construction Budget'!$M24,0)),('Construction Budget'!$G24+SUM($G227:FL227))/ROUND(((EOMONTH('Construction Budget'!$M24,0)-EOMONTH(FM$11,0))/30)+1,0),0)</f>
        <v>0</v>
      </c>
      <c r="FN227" s="427">
        <f>-IF(AND(FN$11&gt;=EOMONTH('Construction Budget'!$K24,0),FN$11&lt;=EOMONTH('Construction Budget'!$M24,0)),('Construction Budget'!$G24+SUM($G227:FM227))/ROUND(((EOMONTH('Construction Budget'!$M24,0)-EOMONTH(FN$11,0))/30)+1,0),0)</f>
        <v>0</v>
      </c>
      <c r="FO227" s="427">
        <f>-IF(AND(FO$11&gt;=EOMONTH('Construction Budget'!$K24,0),FO$11&lt;=EOMONTH('Construction Budget'!$M24,0)),('Construction Budget'!$G24+SUM($G227:FN227))/ROUND(((EOMONTH('Construction Budget'!$M24,0)-EOMONTH(FO$11,0))/30)+1,0),0)</f>
        <v>0</v>
      </c>
      <c r="FP227" s="427">
        <f>-IF(AND(FP$11&gt;=EOMONTH('Construction Budget'!$K24,0),FP$11&lt;=EOMONTH('Construction Budget'!$M24,0)),('Construction Budget'!$G24+SUM($G227:FO227))/ROUND(((EOMONTH('Construction Budget'!$M24,0)-EOMONTH(FP$11,0))/30)+1,0),0)</f>
        <v>0</v>
      </c>
      <c r="FQ227" s="427">
        <f>-IF(AND(FQ$11&gt;=EOMONTH('Construction Budget'!$K24,0),FQ$11&lt;=EOMONTH('Construction Budget'!$M24,0)),('Construction Budget'!$G24+SUM($G227:FP227))/ROUND(((EOMONTH('Construction Budget'!$M24,0)-EOMONTH(FQ$11,0))/30)+1,0),0)</f>
        <v>0</v>
      </c>
      <c r="FR227" s="427">
        <f>-IF(AND(FR$11&gt;=EOMONTH('Construction Budget'!$K24,0),FR$11&lt;=EOMONTH('Construction Budget'!$M24,0)),('Construction Budget'!$G24+SUM($G227:FQ227))/ROUND(((EOMONTH('Construction Budget'!$M24,0)-EOMONTH(FR$11,0))/30)+1,0),0)</f>
        <v>0</v>
      </c>
      <c r="FS227" s="427">
        <f>-IF(AND(FS$11&gt;=EOMONTH('Construction Budget'!$K24,0),FS$11&lt;=EOMONTH('Construction Budget'!$M24,0)),('Construction Budget'!$G24+SUM($G227:FR227))/ROUND(((EOMONTH('Construction Budget'!$M24,0)-EOMONTH(FS$11,0))/30)+1,0),0)</f>
        <v>0</v>
      </c>
      <c r="FT227" s="427">
        <f>-IF(AND(FT$11&gt;=EOMONTH('Construction Budget'!$K24,0),FT$11&lt;=EOMONTH('Construction Budget'!$M24,0)),('Construction Budget'!$G24+SUM($G227:FS227))/ROUND(((EOMONTH('Construction Budget'!$M24,0)-EOMONTH(FT$11,0))/30)+1,0),0)</f>
        <v>0</v>
      </c>
      <c r="FU227" s="43"/>
      <c r="FV227" s="34"/>
      <c r="FW227" s="34"/>
      <c r="FX227" s="34"/>
      <c r="FY227" s="34"/>
      <c r="FZ227" s="34"/>
    </row>
    <row r="228" spans="1:182" s="89" customFormat="1" ht="13.5" hidden="1" outlineLevel="1" x14ac:dyDescent="0.25">
      <c r="A228" s="498"/>
      <c r="B228" s="73" t="s">
        <v>252</v>
      </c>
      <c r="C228" s="34"/>
      <c r="D228" s="34"/>
      <c r="E228" s="34"/>
      <c r="F228" s="429">
        <f>SUM(H228:FT228)</f>
        <v>-38885935.919999979</v>
      </c>
      <c r="G228" s="34"/>
      <c r="H228" s="431">
        <f>SUM(H217:H227)</f>
        <v>0</v>
      </c>
      <c r="I228" s="431">
        <f t="shared" ref="I228:BT228" si="241">SUM(I217:I227)</f>
        <v>0</v>
      </c>
      <c r="J228" s="431">
        <f t="shared" si="241"/>
        <v>-1620247.33</v>
      </c>
      <c r="K228" s="431">
        <f t="shared" si="241"/>
        <v>-1620247.33</v>
      </c>
      <c r="L228" s="431">
        <f t="shared" si="241"/>
        <v>-1620247.33</v>
      </c>
      <c r="M228" s="431">
        <f t="shared" si="241"/>
        <v>-1620247.33</v>
      </c>
      <c r="N228" s="431">
        <f t="shared" si="241"/>
        <v>-1620247.33</v>
      </c>
      <c r="O228" s="431">
        <f t="shared" si="241"/>
        <v>-1620247.33</v>
      </c>
      <c r="P228" s="431">
        <f t="shared" si="241"/>
        <v>-1620247.33</v>
      </c>
      <c r="Q228" s="431">
        <f t="shared" si="241"/>
        <v>-1620247.33</v>
      </c>
      <c r="R228" s="431">
        <f t="shared" si="241"/>
        <v>-1620247.33</v>
      </c>
      <c r="S228" s="431">
        <f t="shared" si="241"/>
        <v>-1620247.33</v>
      </c>
      <c r="T228" s="431">
        <f t="shared" si="241"/>
        <v>-1620247.33</v>
      </c>
      <c r="U228" s="431">
        <f t="shared" si="241"/>
        <v>-1620247.33</v>
      </c>
      <c r="V228" s="431">
        <f t="shared" si="241"/>
        <v>-1620247.33</v>
      </c>
      <c r="W228" s="431">
        <f t="shared" si="241"/>
        <v>-1620247.33</v>
      </c>
      <c r="X228" s="431">
        <f t="shared" si="241"/>
        <v>-1620247.33</v>
      </c>
      <c r="Y228" s="431">
        <f t="shared" si="241"/>
        <v>-1620247.33</v>
      </c>
      <c r="Z228" s="431">
        <f t="shared" si="241"/>
        <v>-1620247.33</v>
      </c>
      <c r="AA228" s="431">
        <f t="shared" si="241"/>
        <v>-1620247.33</v>
      </c>
      <c r="AB228" s="431">
        <f t="shared" si="241"/>
        <v>-1620247.33</v>
      </c>
      <c r="AC228" s="431">
        <f t="shared" si="241"/>
        <v>-1620247.33</v>
      </c>
      <c r="AD228" s="431">
        <f t="shared" si="241"/>
        <v>-1620247.33</v>
      </c>
      <c r="AE228" s="431">
        <f t="shared" si="241"/>
        <v>-1620247.3299999998</v>
      </c>
      <c r="AF228" s="431">
        <f t="shared" si="241"/>
        <v>-1620247.33</v>
      </c>
      <c r="AG228" s="431">
        <f t="shared" si="241"/>
        <v>-1620247.33</v>
      </c>
      <c r="AH228" s="431">
        <f t="shared" si="241"/>
        <v>0</v>
      </c>
      <c r="AI228" s="431">
        <f t="shared" si="241"/>
        <v>0</v>
      </c>
      <c r="AJ228" s="431">
        <f t="shared" si="241"/>
        <v>0</v>
      </c>
      <c r="AK228" s="431">
        <f t="shared" si="241"/>
        <v>0</v>
      </c>
      <c r="AL228" s="431">
        <f t="shared" si="241"/>
        <v>0</v>
      </c>
      <c r="AM228" s="431">
        <f t="shared" si="241"/>
        <v>0</v>
      </c>
      <c r="AN228" s="431">
        <f t="shared" si="241"/>
        <v>0</v>
      </c>
      <c r="AO228" s="431">
        <f t="shared" si="241"/>
        <v>0</v>
      </c>
      <c r="AP228" s="431">
        <f t="shared" si="241"/>
        <v>0</v>
      </c>
      <c r="AQ228" s="431">
        <f t="shared" si="241"/>
        <v>0</v>
      </c>
      <c r="AR228" s="431">
        <f t="shared" si="241"/>
        <v>0</v>
      </c>
      <c r="AS228" s="431">
        <f t="shared" si="241"/>
        <v>0</v>
      </c>
      <c r="AT228" s="431">
        <f t="shared" si="241"/>
        <v>0</v>
      </c>
      <c r="AU228" s="431">
        <f t="shared" si="241"/>
        <v>0</v>
      </c>
      <c r="AV228" s="431">
        <f t="shared" si="241"/>
        <v>0</v>
      </c>
      <c r="AW228" s="431">
        <f t="shared" si="241"/>
        <v>0</v>
      </c>
      <c r="AX228" s="431">
        <f t="shared" si="241"/>
        <v>0</v>
      </c>
      <c r="AY228" s="431">
        <f t="shared" si="241"/>
        <v>0</v>
      </c>
      <c r="AZ228" s="431">
        <f t="shared" si="241"/>
        <v>0</v>
      </c>
      <c r="BA228" s="431">
        <f t="shared" si="241"/>
        <v>0</v>
      </c>
      <c r="BB228" s="431">
        <f t="shared" si="241"/>
        <v>0</v>
      </c>
      <c r="BC228" s="431">
        <f t="shared" si="241"/>
        <v>0</v>
      </c>
      <c r="BD228" s="431">
        <f t="shared" si="241"/>
        <v>0</v>
      </c>
      <c r="BE228" s="431">
        <f t="shared" si="241"/>
        <v>0</v>
      </c>
      <c r="BF228" s="431">
        <f t="shared" si="241"/>
        <v>0</v>
      </c>
      <c r="BG228" s="431">
        <f t="shared" si="241"/>
        <v>0</v>
      </c>
      <c r="BH228" s="431">
        <f t="shared" si="241"/>
        <v>0</v>
      </c>
      <c r="BI228" s="431">
        <f t="shared" si="241"/>
        <v>0</v>
      </c>
      <c r="BJ228" s="431">
        <f t="shared" si="241"/>
        <v>0</v>
      </c>
      <c r="BK228" s="431">
        <f t="shared" si="241"/>
        <v>0</v>
      </c>
      <c r="BL228" s="431">
        <f t="shared" si="241"/>
        <v>0</v>
      </c>
      <c r="BM228" s="431">
        <f t="shared" si="241"/>
        <v>0</v>
      </c>
      <c r="BN228" s="431">
        <f t="shared" si="241"/>
        <v>0</v>
      </c>
      <c r="BO228" s="431">
        <f t="shared" si="241"/>
        <v>0</v>
      </c>
      <c r="BP228" s="431">
        <f t="shared" si="241"/>
        <v>0</v>
      </c>
      <c r="BQ228" s="431">
        <f t="shared" si="241"/>
        <v>0</v>
      </c>
      <c r="BR228" s="431">
        <f t="shared" si="241"/>
        <v>0</v>
      </c>
      <c r="BS228" s="431">
        <f t="shared" si="241"/>
        <v>0</v>
      </c>
      <c r="BT228" s="431">
        <f t="shared" si="241"/>
        <v>0</v>
      </c>
      <c r="BU228" s="431">
        <f t="shared" ref="BU228:EF228" si="242">SUM(BU217:BU227)</f>
        <v>0</v>
      </c>
      <c r="BV228" s="431">
        <f t="shared" si="242"/>
        <v>0</v>
      </c>
      <c r="BW228" s="431">
        <f t="shared" si="242"/>
        <v>0</v>
      </c>
      <c r="BX228" s="431">
        <f t="shared" si="242"/>
        <v>0</v>
      </c>
      <c r="BY228" s="431">
        <f t="shared" si="242"/>
        <v>0</v>
      </c>
      <c r="BZ228" s="431">
        <f t="shared" si="242"/>
        <v>0</v>
      </c>
      <c r="CA228" s="431">
        <f t="shared" si="242"/>
        <v>0</v>
      </c>
      <c r="CB228" s="431">
        <f t="shared" si="242"/>
        <v>0</v>
      </c>
      <c r="CC228" s="431">
        <f t="shared" si="242"/>
        <v>0</v>
      </c>
      <c r="CD228" s="431">
        <f t="shared" si="242"/>
        <v>0</v>
      </c>
      <c r="CE228" s="431">
        <f t="shared" si="242"/>
        <v>0</v>
      </c>
      <c r="CF228" s="431">
        <f t="shared" si="242"/>
        <v>0</v>
      </c>
      <c r="CG228" s="431">
        <f t="shared" si="242"/>
        <v>0</v>
      </c>
      <c r="CH228" s="431">
        <f t="shared" si="242"/>
        <v>0</v>
      </c>
      <c r="CI228" s="431">
        <f t="shared" si="242"/>
        <v>0</v>
      </c>
      <c r="CJ228" s="431">
        <f t="shared" si="242"/>
        <v>0</v>
      </c>
      <c r="CK228" s="431">
        <f t="shared" si="242"/>
        <v>0</v>
      </c>
      <c r="CL228" s="431">
        <f t="shared" si="242"/>
        <v>0</v>
      </c>
      <c r="CM228" s="431">
        <f t="shared" si="242"/>
        <v>0</v>
      </c>
      <c r="CN228" s="431">
        <f t="shared" si="242"/>
        <v>0</v>
      </c>
      <c r="CO228" s="431">
        <f t="shared" si="242"/>
        <v>0</v>
      </c>
      <c r="CP228" s="431">
        <f t="shared" si="242"/>
        <v>0</v>
      </c>
      <c r="CQ228" s="431">
        <f t="shared" si="242"/>
        <v>0</v>
      </c>
      <c r="CR228" s="431">
        <f t="shared" si="242"/>
        <v>0</v>
      </c>
      <c r="CS228" s="431">
        <f t="shared" si="242"/>
        <v>0</v>
      </c>
      <c r="CT228" s="431">
        <f t="shared" si="242"/>
        <v>0</v>
      </c>
      <c r="CU228" s="431">
        <f t="shared" si="242"/>
        <v>0</v>
      </c>
      <c r="CV228" s="431">
        <f t="shared" si="242"/>
        <v>0</v>
      </c>
      <c r="CW228" s="431">
        <f t="shared" si="242"/>
        <v>0</v>
      </c>
      <c r="CX228" s="431">
        <f t="shared" si="242"/>
        <v>0</v>
      </c>
      <c r="CY228" s="431">
        <f t="shared" si="242"/>
        <v>0</v>
      </c>
      <c r="CZ228" s="431">
        <f t="shared" si="242"/>
        <v>0</v>
      </c>
      <c r="DA228" s="431">
        <f t="shared" si="242"/>
        <v>0</v>
      </c>
      <c r="DB228" s="431">
        <f t="shared" si="242"/>
        <v>0</v>
      </c>
      <c r="DC228" s="431">
        <f t="shared" si="242"/>
        <v>0</v>
      </c>
      <c r="DD228" s="431">
        <f t="shared" si="242"/>
        <v>0</v>
      </c>
      <c r="DE228" s="431">
        <f t="shared" si="242"/>
        <v>0</v>
      </c>
      <c r="DF228" s="431">
        <f t="shared" si="242"/>
        <v>0</v>
      </c>
      <c r="DG228" s="431">
        <f t="shared" si="242"/>
        <v>0</v>
      </c>
      <c r="DH228" s="431">
        <f t="shared" si="242"/>
        <v>0</v>
      </c>
      <c r="DI228" s="431">
        <f t="shared" si="242"/>
        <v>0</v>
      </c>
      <c r="DJ228" s="431">
        <f t="shared" si="242"/>
        <v>0</v>
      </c>
      <c r="DK228" s="431">
        <f t="shared" si="242"/>
        <v>0</v>
      </c>
      <c r="DL228" s="431">
        <f t="shared" si="242"/>
        <v>0</v>
      </c>
      <c r="DM228" s="431">
        <f t="shared" si="242"/>
        <v>0</v>
      </c>
      <c r="DN228" s="431">
        <f t="shared" si="242"/>
        <v>0</v>
      </c>
      <c r="DO228" s="431">
        <f t="shared" si="242"/>
        <v>0</v>
      </c>
      <c r="DP228" s="431">
        <f t="shared" si="242"/>
        <v>0</v>
      </c>
      <c r="DQ228" s="431">
        <f t="shared" si="242"/>
        <v>0</v>
      </c>
      <c r="DR228" s="431">
        <f t="shared" si="242"/>
        <v>0</v>
      </c>
      <c r="DS228" s="431">
        <f t="shared" si="242"/>
        <v>0</v>
      </c>
      <c r="DT228" s="431">
        <f t="shared" si="242"/>
        <v>0</v>
      </c>
      <c r="DU228" s="431">
        <f t="shared" si="242"/>
        <v>0</v>
      </c>
      <c r="DV228" s="431">
        <f t="shared" si="242"/>
        <v>0</v>
      </c>
      <c r="DW228" s="431">
        <f t="shared" si="242"/>
        <v>0</v>
      </c>
      <c r="DX228" s="431">
        <f t="shared" si="242"/>
        <v>0</v>
      </c>
      <c r="DY228" s="431">
        <f t="shared" si="242"/>
        <v>0</v>
      </c>
      <c r="DZ228" s="431">
        <f t="shared" si="242"/>
        <v>0</v>
      </c>
      <c r="EA228" s="431">
        <f t="shared" si="242"/>
        <v>0</v>
      </c>
      <c r="EB228" s="431">
        <f t="shared" si="242"/>
        <v>0</v>
      </c>
      <c r="EC228" s="431">
        <f t="shared" si="242"/>
        <v>0</v>
      </c>
      <c r="ED228" s="431">
        <f t="shared" si="242"/>
        <v>0</v>
      </c>
      <c r="EE228" s="431">
        <f t="shared" si="242"/>
        <v>0</v>
      </c>
      <c r="EF228" s="431">
        <f t="shared" si="242"/>
        <v>0</v>
      </c>
      <c r="EG228" s="431">
        <f t="shared" ref="EG228:FT228" si="243">SUM(EG217:EG227)</f>
        <v>0</v>
      </c>
      <c r="EH228" s="431">
        <f t="shared" si="243"/>
        <v>0</v>
      </c>
      <c r="EI228" s="431">
        <f t="shared" si="243"/>
        <v>0</v>
      </c>
      <c r="EJ228" s="431">
        <f t="shared" si="243"/>
        <v>0</v>
      </c>
      <c r="EK228" s="431">
        <f t="shared" si="243"/>
        <v>0</v>
      </c>
      <c r="EL228" s="431">
        <f t="shared" si="243"/>
        <v>0</v>
      </c>
      <c r="EM228" s="431">
        <f t="shared" si="243"/>
        <v>0</v>
      </c>
      <c r="EN228" s="431">
        <f t="shared" si="243"/>
        <v>0</v>
      </c>
      <c r="EO228" s="431">
        <f t="shared" si="243"/>
        <v>0</v>
      </c>
      <c r="EP228" s="431">
        <f t="shared" si="243"/>
        <v>0</v>
      </c>
      <c r="EQ228" s="431">
        <f t="shared" si="243"/>
        <v>0</v>
      </c>
      <c r="ER228" s="431">
        <f t="shared" si="243"/>
        <v>0</v>
      </c>
      <c r="ES228" s="431">
        <f t="shared" si="243"/>
        <v>0</v>
      </c>
      <c r="ET228" s="431">
        <f t="shared" si="243"/>
        <v>0</v>
      </c>
      <c r="EU228" s="431">
        <f t="shared" si="243"/>
        <v>0</v>
      </c>
      <c r="EV228" s="431">
        <f t="shared" si="243"/>
        <v>0</v>
      </c>
      <c r="EW228" s="431">
        <f t="shared" si="243"/>
        <v>0</v>
      </c>
      <c r="EX228" s="431">
        <f t="shared" si="243"/>
        <v>0</v>
      </c>
      <c r="EY228" s="431">
        <f t="shared" si="243"/>
        <v>0</v>
      </c>
      <c r="EZ228" s="431">
        <f t="shared" si="243"/>
        <v>0</v>
      </c>
      <c r="FA228" s="431">
        <f t="shared" si="243"/>
        <v>0</v>
      </c>
      <c r="FB228" s="431">
        <f t="shared" si="243"/>
        <v>0</v>
      </c>
      <c r="FC228" s="431">
        <f t="shared" si="243"/>
        <v>0</v>
      </c>
      <c r="FD228" s="431">
        <f t="shared" si="243"/>
        <v>0</v>
      </c>
      <c r="FE228" s="431">
        <f t="shared" si="243"/>
        <v>0</v>
      </c>
      <c r="FF228" s="431">
        <f t="shared" si="243"/>
        <v>0</v>
      </c>
      <c r="FG228" s="431">
        <f t="shared" si="243"/>
        <v>0</v>
      </c>
      <c r="FH228" s="431">
        <f t="shared" si="243"/>
        <v>0</v>
      </c>
      <c r="FI228" s="431">
        <f t="shared" si="243"/>
        <v>0</v>
      </c>
      <c r="FJ228" s="431">
        <f t="shared" si="243"/>
        <v>0</v>
      </c>
      <c r="FK228" s="431">
        <f t="shared" si="243"/>
        <v>0</v>
      </c>
      <c r="FL228" s="431">
        <f t="shared" si="243"/>
        <v>0</v>
      </c>
      <c r="FM228" s="431">
        <f t="shared" si="243"/>
        <v>0</v>
      </c>
      <c r="FN228" s="431">
        <f t="shared" si="243"/>
        <v>0</v>
      </c>
      <c r="FO228" s="431">
        <f t="shared" si="243"/>
        <v>0</v>
      </c>
      <c r="FP228" s="431">
        <f t="shared" si="243"/>
        <v>0</v>
      </c>
      <c r="FQ228" s="431">
        <f t="shared" si="243"/>
        <v>0</v>
      </c>
      <c r="FR228" s="431">
        <f t="shared" si="243"/>
        <v>0</v>
      </c>
      <c r="FS228" s="431">
        <f t="shared" si="243"/>
        <v>0</v>
      </c>
      <c r="FT228" s="431">
        <f t="shared" si="243"/>
        <v>0</v>
      </c>
      <c r="FU228" s="43"/>
      <c r="FV228" s="34"/>
      <c r="FW228" s="34"/>
      <c r="FX228" s="34"/>
      <c r="FY228" s="34"/>
      <c r="FZ228" s="34"/>
    </row>
    <row r="229" spans="1:182" s="89" customFormat="1" ht="13.5" hidden="1" outlineLevel="1" x14ac:dyDescent="0.25">
      <c r="A229" s="498"/>
      <c r="B229" s="43"/>
      <c r="C229" s="34"/>
      <c r="D229" s="34"/>
      <c r="E229" s="34"/>
      <c r="F229" s="5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34"/>
      <c r="FG229" s="34"/>
      <c r="FH229" s="34"/>
      <c r="FI229" s="34"/>
      <c r="FJ229" s="34"/>
      <c r="FK229" s="34"/>
      <c r="FL229" s="34"/>
      <c r="FM229" s="34"/>
      <c r="FN229" s="34"/>
      <c r="FO229" s="34"/>
      <c r="FP229" s="34"/>
      <c r="FQ229" s="34"/>
      <c r="FR229" s="34"/>
      <c r="FS229" s="34"/>
      <c r="FT229" s="34"/>
      <c r="FU229" s="43"/>
      <c r="FV229" s="34"/>
      <c r="FW229" s="34"/>
      <c r="FX229" s="34"/>
      <c r="FY229" s="34"/>
      <c r="FZ229" s="34"/>
    </row>
    <row r="230" spans="1:182" s="89" customFormat="1" ht="13.5" hidden="1" outlineLevel="1" x14ac:dyDescent="0.25">
      <c r="A230" s="498"/>
      <c r="B230" s="73" t="s">
        <v>253</v>
      </c>
      <c r="C230" s="34"/>
      <c r="D230" s="34"/>
      <c r="E230" s="34"/>
      <c r="F230" s="429">
        <f>SUM(H230:FT230)</f>
        <v>-47720321.856800005</v>
      </c>
      <c r="G230" s="34"/>
      <c r="H230" s="431">
        <f>SUM(H170,H172,H197,H214,H228)</f>
        <v>0</v>
      </c>
      <c r="I230" s="431">
        <f t="shared" ref="I230:BT230" si="244">SUM(I170,I172,I197,I214,I228)</f>
        <v>0</v>
      </c>
      <c r="J230" s="431">
        <f t="shared" si="244"/>
        <v>-4520291.1884777779</v>
      </c>
      <c r="K230" s="431">
        <f t="shared" si="244"/>
        <v>-2020291.1884777779</v>
      </c>
      <c r="L230" s="431">
        <f t="shared" si="244"/>
        <v>-2020291.1884777779</v>
      </c>
      <c r="M230" s="431">
        <f t="shared" si="244"/>
        <v>-2020291.1884777779</v>
      </c>
      <c r="N230" s="431">
        <f t="shared" si="244"/>
        <v>-2020291.1884777779</v>
      </c>
      <c r="O230" s="431">
        <f t="shared" si="244"/>
        <v>-2020291.1884777779</v>
      </c>
      <c r="P230" s="431">
        <f t="shared" si="244"/>
        <v>-2003624.5218111111</v>
      </c>
      <c r="Q230" s="431">
        <f t="shared" si="244"/>
        <v>-2003624.5218111111</v>
      </c>
      <c r="R230" s="431">
        <f t="shared" si="244"/>
        <v>-2003624.5218111114</v>
      </c>
      <c r="S230" s="431">
        <f t="shared" si="244"/>
        <v>-1914180.0773666669</v>
      </c>
      <c r="T230" s="431">
        <f t="shared" si="244"/>
        <v>-1914180.0773666669</v>
      </c>
      <c r="U230" s="431">
        <f t="shared" si="244"/>
        <v>-1914180.0773666669</v>
      </c>
      <c r="V230" s="431">
        <f t="shared" si="244"/>
        <v>-1785013.4107000001</v>
      </c>
      <c r="W230" s="431">
        <f t="shared" si="244"/>
        <v>-1785013.4107000001</v>
      </c>
      <c r="X230" s="431">
        <f t="shared" si="244"/>
        <v>-1785013.4107000001</v>
      </c>
      <c r="Y230" s="431">
        <f t="shared" si="244"/>
        <v>-1785013.4107000001</v>
      </c>
      <c r="Z230" s="431">
        <f t="shared" si="244"/>
        <v>-1785013.4107000001</v>
      </c>
      <c r="AA230" s="431">
        <f t="shared" si="244"/>
        <v>-1785013.4107000001</v>
      </c>
      <c r="AB230" s="431">
        <f t="shared" si="244"/>
        <v>-1785013.4107000001</v>
      </c>
      <c r="AC230" s="431">
        <f t="shared" si="244"/>
        <v>-1785013.4107000001</v>
      </c>
      <c r="AD230" s="431">
        <f t="shared" si="244"/>
        <v>-1785013.4107000001</v>
      </c>
      <c r="AE230" s="431">
        <f t="shared" si="244"/>
        <v>-1760013.4106999999</v>
      </c>
      <c r="AF230" s="431">
        <f t="shared" si="244"/>
        <v>-1760013.4107000001</v>
      </c>
      <c r="AG230" s="431">
        <f t="shared" si="244"/>
        <v>-1760013.4107000004</v>
      </c>
      <c r="AH230" s="431">
        <f t="shared" si="244"/>
        <v>0</v>
      </c>
      <c r="AI230" s="431">
        <f t="shared" si="244"/>
        <v>0</v>
      </c>
      <c r="AJ230" s="431">
        <f t="shared" si="244"/>
        <v>0</v>
      </c>
      <c r="AK230" s="431">
        <f t="shared" si="244"/>
        <v>0</v>
      </c>
      <c r="AL230" s="431">
        <f t="shared" si="244"/>
        <v>0</v>
      </c>
      <c r="AM230" s="431">
        <f t="shared" si="244"/>
        <v>0</v>
      </c>
      <c r="AN230" s="431">
        <f t="shared" si="244"/>
        <v>0</v>
      </c>
      <c r="AO230" s="431">
        <f t="shared" si="244"/>
        <v>0</v>
      </c>
      <c r="AP230" s="431">
        <f t="shared" si="244"/>
        <v>0</v>
      </c>
      <c r="AQ230" s="431">
        <f t="shared" si="244"/>
        <v>0</v>
      </c>
      <c r="AR230" s="431">
        <f t="shared" si="244"/>
        <v>0</v>
      </c>
      <c r="AS230" s="431">
        <f t="shared" si="244"/>
        <v>0</v>
      </c>
      <c r="AT230" s="431">
        <f t="shared" si="244"/>
        <v>0</v>
      </c>
      <c r="AU230" s="431">
        <f t="shared" si="244"/>
        <v>0</v>
      </c>
      <c r="AV230" s="431">
        <f t="shared" si="244"/>
        <v>0</v>
      </c>
      <c r="AW230" s="431">
        <f t="shared" si="244"/>
        <v>0</v>
      </c>
      <c r="AX230" s="431">
        <f t="shared" si="244"/>
        <v>0</v>
      </c>
      <c r="AY230" s="431">
        <f t="shared" si="244"/>
        <v>0</v>
      </c>
      <c r="AZ230" s="431">
        <f t="shared" si="244"/>
        <v>0</v>
      </c>
      <c r="BA230" s="431">
        <f t="shared" si="244"/>
        <v>0</v>
      </c>
      <c r="BB230" s="431">
        <f t="shared" si="244"/>
        <v>0</v>
      </c>
      <c r="BC230" s="431">
        <f t="shared" si="244"/>
        <v>0</v>
      </c>
      <c r="BD230" s="431">
        <f t="shared" si="244"/>
        <v>0</v>
      </c>
      <c r="BE230" s="431">
        <f t="shared" si="244"/>
        <v>0</v>
      </c>
      <c r="BF230" s="431">
        <f t="shared" si="244"/>
        <v>0</v>
      </c>
      <c r="BG230" s="431">
        <f t="shared" si="244"/>
        <v>0</v>
      </c>
      <c r="BH230" s="431">
        <f t="shared" si="244"/>
        <v>0</v>
      </c>
      <c r="BI230" s="431">
        <f t="shared" si="244"/>
        <v>0</v>
      </c>
      <c r="BJ230" s="431">
        <f t="shared" si="244"/>
        <v>0</v>
      </c>
      <c r="BK230" s="431">
        <f t="shared" si="244"/>
        <v>0</v>
      </c>
      <c r="BL230" s="431">
        <f t="shared" si="244"/>
        <v>0</v>
      </c>
      <c r="BM230" s="431">
        <f t="shared" si="244"/>
        <v>0</v>
      </c>
      <c r="BN230" s="431">
        <f t="shared" si="244"/>
        <v>0</v>
      </c>
      <c r="BO230" s="431">
        <f t="shared" si="244"/>
        <v>0</v>
      </c>
      <c r="BP230" s="431">
        <f t="shared" si="244"/>
        <v>0</v>
      </c>
      <c r="BQ230" s="431">
        <f t="shared" si="244"/>
        <v>0</v>
      </c>
      <c r="BR230" s="431">
        <f t="shared" si="244"/>
        <v>0</v>
      </c>
      <c r="BS230" s="431">
        <f t="shared" si="244"/>
        <v>0</v>
      </c>
      <c r="BT230" s="431">
        <f t="shared" si="244"/>
        <v>0</v>
      </c>
      <c r="BU230" s="431">
        <f t="shared" ref="BU230:EF230" si="245">SUM(BU170,BU172,BU197,BU214,BU228)</f>
        <v>0</v>
      </c>
      <c r="BV230" s="431">
        <f t="shared" si="245"/>
        <v>0</v>
      </c>
      <c r="BW230" s="431">
        <f t="shared" si="245"/>
        <v>0</v>
      </c>
      <c r="BX230" s="431">
        <f t="shared" si="245"/>
        <v>0</v>
      </c>
      <c r="BY230" s="431">
        <f t="shared" si="245"/>
        <v>0</v>
      </c>
      <c r="BZ230" s="431">
        <f t="shared" si="245"/>
        <v>0</v>
      </c>
      <c r="CA230" s="431">
        <f t="shared" si="245"/>
        <v>0</v>
      </c>
      <c r="CB230" s="431">
        <f t="shared" si="245"/>
        <v>0</v>
      </c>
      <c r="CC230" s="431">
        <f t="shared" si="245"/>
        <v>0</v>
      </c>
      <c r="CD230" s="431">
        <f t="shared" si="245"/>
        <v>0</v>
      </c>
      <c r="CE230" s="431">
        <f t="shared" si="245"/>
        <v>0</v>
      </c>
      <c r="CF230" s="431">
        <f t="shared" si="245"/>
        <v>0</v>
      </c>
      <c r="CG230" s="431">
        <f t="shared" si="245"/>
        <v>0</v>
      </c>
      <c r="CH230" s="431">
        <f t="shared" si="245"/>
        <v>0</v>
      </c>
      <c r="CI230" s="431">
        <f t="shared" si="245"/>
        <v>0</v>
      </c>
      <c r="CJ230" s="431">
        <f t="shared" si="245"/>
        <v>0</v>
      </c>
      <c r="CK230" s="431">
        <f t="shared" si="245"/>
        <v>0</v>
      </c>
      <c r="CL230" s="431">
        <f t="shared" si="245"/>
        <v>0</v>
      </c>
      <c r="CM230" s="431">
        <f t="shared" si="245"/>
        <v>0</v>
      </c>
      <c r="CN230" s="431">
        <f t="shared" si="245"/>
        <v>0</v>
      </c>
      <c r="CO230" s="431">
        <f t="shared" si="245"/>
        <v>0</v>
      </c>
      <c r="CP230" s="431">
        <f t="shared" si="245"/>
        <v>0</v>
      </c>
      <c r="CQ230" s="431">
        <f t="shared" si="245"/>
        <v>0</v>
      </c>
      <c r="CR230" s="431">
        <f t="shared" si="245"/>
        <v>0</v>
      </c>
      <c r="CS230" s="431">
        <f t="shared" si="245"/>
        <v>0</v>
      </c>
      <c r="CT230" s="431">
        <f t="shared" si="245"/>
        <v>0</v>
      </c>
      <c r="CU230" s="431">
        <f t="shared" si="245"/>
        <v>0</v>
      </c>
      <c r="CV230" s="431">
        <f t="shared" si="245"/>
        <v>0</v>
      </c>
      <c r="CW230" s="431">
        <f t="shared" si="245"/>
        <v>0</v>
      </c>
      <c r="CX230" s="431">
        <f t="shared" si="245"/>
        <v>0</v>
      </c>
      <c r="CY230" s="431">
        <f t="shared" si="245"/>
        <v>0</v>
      </c>
      <c r="CZ230" s="431">
        <f t="shared" si="245"/>
        <v>0</v>
      </c>
      <c r="DA230" s="431">
        <f t="shared" si="245"/>
        <v>0</v>
      </c>
      <c r="DB230" s="431">
        <f t="shared" si="245"/>
        <v>0</v>
      </c>
      <c r="DC230" s="431">
        <f t="shared" si="245"/>
        <v>0</v>
      </c>
      <c r="DD230" s="431">
        <f t="shared" si="245"/>
        <v>0</v>
      </c>
      <c r="DE230" s="431">
        <f t="shared" si="245"/>
        <v>0</v>
      </c>
      <c r="DF230" s="431">
        <f t="shared" si="245"/>
        <v>0</v>
      </c>
      <c r="DG230" s="431">
        <f t="shared" si="245"/>
        <v>0</v>
      </c>
      <c r="DH230" s="431">
        <f t="shared" si="245"/>
        <v>0</v>
      </c>
      <c r="DI230" s="431">
        <f t="shared" si="245"/>
        <v>0</v>
      </c>
      <c r="DJ230" s="431">
        <f t="shared" si="245"/>
        <v>0</v>
      </c>
      <c r="DK230" s="431">
        <f t="shared" si="245"/>
        <v>0</v>
      </c>
      <c r="DL230" s="431">
        <f t="shared" si="245"/>
        <v>0</v>
      </c>
      <c r="DM230" s="431">
        <f t="shared" si="245"/>
        <v>0</v>
      </c>
      <c r="DN230" s="431">
        <f t="shared" si="245"/>
        <v>0</v>
      </c>
      <c r="DO230" s="431">
        <f t="shared" si="245"/>
        <v>0</v>
      </c>
      <c r="DP230" s="431">
        <f t="shared" si="245"/>
        <v>0</v>
      </c>
      <c r="DQ230" s="431">
        <f t="shared" si="245"/>
        <v>0</v>
      </c>
      <c r="DR230" s="431">
        <f t="shared" si="245"/>
        <v>0</v>
      </c>
      <c r="DS230" s="431">
        <f t="shared" si="245"/>
        <v>0</v>
      </c>
      <c r="DT230" s="431">
        <f t="shared" si="245"/>
        <v>0</v>
      </c>
      <c r="DU230" s="431">
        <f t="shared" si="245"/>
        <v>0</v>
      </c>
      <c r="DV230" s="431">
        <f t="shared" si="245"/>
        <v>0</v>
      </c>
      <c r="DW230" s="431">
        <f t="shared" si="245"/>
        <v>0</v>
      </c>
      <c r="DX230" s="431">
        <f t="shared" si="245"/>
        <v>0</v>
      </c>
      <c r="DY230" s="431">
        <f t="shared" si="245"/>
        <v>0</v>
      </c>
      <c r="DZ230" s="431">
        <f t="shared" si="245"/>
        <v>0</v>
      </c>
      <c r="EA230" s="431">
        <f t="shared" si="245"/>
        <v>0</v>
      </c>
      <c r="EB230" s="431">
        <f t="shared" si="245"/>
        <v>0</v>
      </c>
      <c r="EC230" s="431">
        <f t="shared" si="245"/>
        <v>0</v>
      </c>
      <c r="ED230" s="431">
        <f t="shared" si="245"/>
        <v>0</v>
      </c>
      <c r="EE230" s="431">
        <f t="shared" si="245"/>
        <v>0</v>
      </c>
      <c r="EF230" s="431">
        <f t="shared" si="245"/>
        <v>0</v>
      </c>
      <c r="EG230" s="431">
        <f t="shared" ref="EG230:FT230" si="246">SUM(EG170,EG172,EG197,EG214,EG228)</f>
        <v>0</v>
      </c>
      <c r="EH230" s="431">
        <f t="shared" si="246"/>
        <v>0</v>
      </c>
      <c r="EI230" s="431">
        <f t="shared" si="246"/>
        <v>0</v>
      </c>
      <c r="EJ230" s="431">
        <f t="shared" si="246"/>
        <v>0</v>
      </c>
      <c r="EK230" s="431">
        <f t="shared" si="246"/>
        <v>0</v>
      </c>
      <c r="EL230" s="431">
        <f t="shared" si="246"/>
        <v>0</v>
      </c>
      <c r="EM230" s="431">
        <f t="shared" si="246"/>
        <v>0</v>
      </c>
      <c r="EN230" s="431">
        <f t="shared" si="246"/>
        <v>0</v>
      </c>
      <c r="EO230" s="431">
        <f t="shared" si="246"/>
        <v>0</v>
      </c>
      <c r="EP230" s="431">
        <f t="shared" si="246"/>
        <v>0</v>
      </c>
      <c r="EQ230" s="431">
        <f t="shared" si="246"/>
        <v>0</v>
      </c>
      <c r="ER230" s="431">
        <f t="shared" si="246"/>
        <v>0</v>
      </c>
      <c r="ES230" s="431">
        <f t="shared" si="246"/>
        <v>0</v>
      </c>
      <c r="ET230" s="431">
        <f t="shared" si="246"/>
        <v>0</v>
      </c>
      <c r="EU230" s="431">
        <f t="shared" si="246"/>
        <v>0</v>
      </c>
      <c r="EV230" s="431">
        <f t="shared" si="246"/>
        <v>0</v>
      </c>
      <c r="EW230" s="431">
        <f t="shared" si="246"/>
        <v>0</v>
      </c>
      <c r="EX230" s="431">
        <f t="shared" si="246"/>
        <v>0</v>
      </c>
      <c r="EY230" s="431">
        <f t="shared" si="246"/>
        <v>0</v>
      </c>
      <c r="EZ230" s="431">
        <f t="shared" si="246"/>
        <v>0</v>
      </c>
      <c r="FA230" s="431">
        <f t="shared" si="246"/>
        <v>0</v>
      </c>
      <c r="FB230" s="431">
        <f t="shared" si="246"/>
        <v>0</v>
      </c>
      <c r="FC230" s="431">
        <f t="shared" si="246"/>
        <v>0</v>
      </c>
      <c r="FD230" s="431">
        <f t="shared" si="246"/>
        <v>0</v>
      </c>
      <c r="FE230" s="431">
        <f t="shared" si="246"/>
        <v>0</v>
      </c>
      <c r="FF230" s="431">
        <f t="shared" si="246"/>
        <v>0</v>
      </c>
      <c r="FG230" s="431">
        <f t="shared" si="246"/>
        <v>0</v>
      </c>
      <c r="FH230" s="431">
        <f t="shared" si="246"/>
        <v>0</v>
      </c>
      <c r="FI230" s="431">
        <f t="shared" si="246"/>
        <v>0</v>
      </c>
      <c r="FJ230" s="431">
        <f t="shared" si="246"/>
        <v>0</v>
      </c>
      <c r="FK230" s="431">
        <f t="shared" si="246"/>
        <v>0</v>
      </c>
      <c r="FL230" s="431">
        <f t="shared" si="246"/>
        <v>0</v>
      </c>
      <c r="FM230" s="431">
        <f t="shared" si="246"/>
        <v>0</v>
      </c>
      <c r="FN230" s="431">
        <f t="shared" si="246"/>
        <v>0</v>
      </c>
      <c r="FO230" s="431">
        <f t="shared" si="246"/>
        <v>0</v>
      </c>
      <c r="FP230" s="431">
        <f t="shared" si="246"/>
        <v>0</v>
      </c>
      <c r="FQ230" s="431">
        <f t="shared" si="246"/>
        <v>0</v>
      </c>
      <c r="FR230" s="431">
        <f t="shared" si="246"/>
        <v>0</v>
      </c>
      <c r="FS230" s="431">
        <f t="shared" si="246"/>
        <v>0</v>
      </c>
      <c r="FT230" s="430">
        <f t="shared" si="246"/>
        <v>0</v>
      </c>
      <c r="FU230" s="43"/>
      <c r="FV230" s="34"/>
      <c r="FW230" s="34"/>
      <c r="FX230" s="34"/>
      <c r="FY230" s="34"/>
      <c r="FZ230" s="34"/>
    </row>
    <row r="231" spans="1:182" s="89" customFormat="1" ht="13.5" hidden="1" outlineLevel="1" x14ac:dyDescent="0.25">
      <c r="A231" s="34"/>
      <c r="B231" s="43"/>
      <c r="C231" s="34"/>
      <c r="D231" s="34"/>
      <c r="E231" s="34"/>
      <c r="F231" s="5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4"/>
      <c r="FB231" s="34"/>
      <c r="FC231" s="34"/>
      <c r="FD231" s="34"/>
      <c r="FE231" s="34"/>
      <c r="FF231" s="34"/>
      <c r="FG231" s="34"/>
      <c r="FH231" s="34"/>
      <c r="FI231" s="34"/>
      <c r="FJ231" s="34"/>
      <c r="FK231" s="34"/>
      <c r="FL231" s="34"/>
      <c r="FM231" s="34"/>
      <c r="FN231" s="34"/>
      <c r="FO231" s="34"/>
      <c r="FP231" s="34"/>
      <c r="FQ231" s="34"/>
      <c r="FR231" s="34"/>
      <c r="FS231" s="34"/>
      <c r="FT231" s="34"/>
      <c r="FU231" s="43"/>
      <c r="FV231" s="34"/>
      <c r="FW231" s="34"/>
      <c r="FX231" s="34"/>
      <c r="FY231" s="34"/>
      <c r="FZ231" s="34"/>
    </row>
    <row r="232" spans="1:182" s="89" customFormat="1" ht="13.5" collapsed="1" x14ac:dyDescent="0.25">
      <c r="A232" s="34"/>
      <c r="B232" s="57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39"/>
      <c r="DG232" s="39"/>
      <c r="DH232" s="39"/>
      <c r="DI232" s="39"/>
      <c r="DJ232" s="39"/>
      <c r="DK232" s="39"/>
      <c r="DL232" s="39"/>
      <c r="DM232" s="39"/>
      <c r="DN232" s="39"/>
      <c r="DO232" s="39"/>
      <c r="DP232" s="39"/>
      <c r="DQ232" s="39"/>
      <c r="DR232" s="39"/>
      <c r="DS232" s="39"/>
      <c r="DT232" s="39"/>
      <c r="DU232" s="39"/>
      <c r="DV232" s="39"/>
      <c r="DW232" s="39"/>
      <c r="DX232" s="39"/>
      <c r="DY232" s="39"/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39"/>
      <c r="EU232" s="39"/>
      <c r="EV232" s="39"/>
      <c r="EW232" s="39"/>
      <c r="EX232" s="39"/>
      <c r="EY232" s="39"/>
      <c r="EZ232" s="39"/>
      <c r="FA232" s="39"/>
      <c r="FB232" s="39"/>
      <c r="FC232" s="39"/>
      <c r="FD232" s="39"/>
      <c r="FE232" s="39"/>
      <c r="FF232" s="39"/>
      <c r="FG232" s="39"/>
      <c r="FH232" s="39"/>
      <c r="FI232" s="39"/>
      <c r="FJ232" s="39"/>
      <c r="FK232" s="39"/>
      <c r="FL232" s="39"/>
      <c r="FM232" s="39"/>
      <c r="FN232" s="39"/>
      <c r="FO232" s="39"/>
      <c r="FP232" s="39"/>
      <c r="FQ232" s="39"/>
      <c r="FR232" s="39"/>
      <c r="FS232" s="39"/>
      <c r="FT232" s="39"/>
      <c r="FU232" s="43"/>
      <c r="FV232" s="34"/>
      <c r="FW232" s="34"/>
      <c r="FX232" s="34"/>
      <c r="FY232" s="34"/>
      <c r="FZ232" s="34"/>
    </row>
    <row r="233" spans="1:182" s="89" customFormat="1" ht="13.5" x14ac:dyDescent="0.25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4"/>
      <c r="FB233" s="34"/>
      <c r="FC233" s="34"/>
      <c r="FD233" s="34"/>
      <c r="FE233" s="34"/>
      <c r="FF233" s="34"/>
      <c r="FG233" s="34"/>
      <c r="FH233" s="34"/>
      <c r="FI233" s="34"/>
      <c r="FJ233" s="34"/>
      <c r="FK233" s="34"/>
      <c r="FL233" s="34"/>
      <c r="FM233" s="34"/>
      <c r="FN233" s="34"/>
      <c r="FO233" s="34"/>
      <c r="FP233" s="34"/>
      <c r="FQ233" s="34"/>
      <c r="FR233" s="34"/>
      <c r="FS233" s="34"/>
      <c r="FT233" s="34"/>
      <c r="FU233" s="43"/>
      <c r="FV233" s="34"/>
      <c r="FW233" s="34"/>
      <c r="FX233" s="34"/>
      <c r="FY233" s="34"/>
      <c r="FZ233" s="34"/>
    </row>
    <row r="234" spans="1:182" s="89" customFormat="1" ht="13.5" x14ac:dyDescent="0.25"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  <c r="FH234" s="34"/>
      <c r="FI234" s="34"/>
      <c r="FJ234" s="34"/>
      <c r="FK234" s="34"/>
      <c r="FL234" s="34"/>
      <c r="FM234" s="34"/>
      <c r="FN234" s="34"/>
      <c r="FO234" s="34"/>
      <c r="FP234" s="34"/>
      <c r="FQ234" s="34"/>
      <c r="FR234" s="34"/>
      <c r="FS234" s="34"/>
      <c r="FT234" s="34"/>
      <c r="FU234" s="34"/>
      <c r="FV234" s="34"/>
      <c r="FW234" s="34"/>
      <c r="FX234" s="34"/>
      <c r="FY234" s="34"/>
      <c r="FZ234" s="34"/>
    </row>
    <row r="235" spans="1:182" s="89" customFormat="1" ht="13.5" x14ac:dyDescent="0.25"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4"/>
      <c r="FB235" s="34"/>
      <c r="FC235" s="34"/>
      <c r="FD235" s="34"/>
      <c r="FE235" s="34"/>
      <c r="FF235" s="34"/>
      <c r="FG235" s="34"/>
      <c r="FH235" s="34"/>
      <c r="FI235" s="34"/>
      <c r="FJ235" s="34"/>
      <c r="FK235" s="34"/>
      <c r="FL235" s="34"/>
      <c r="FM235" s="34"/>
      <c r="FN235" s="34"/>
      <c r="FO235" s="34"/>
      <c r="FP235" s="34"/>
      <c r="FQ235" s="34"/>
      <c r="FR235" s="34"/>
      <c r="FS235" s="34"/>
      <c r="FT235" s="34"/>
      <c r="FU235" s="34"/>
      <c r="FV235" s="34"/>
      <c r="FW235" s="34"/>
      <c r="FX235" s="34"/>
      <c r="FY235" s="34"/>
      <c r="FZ235" s="34"/>
    </row>
    <row r="236" spans="1:182" s="89" customFormat="1" ht="13.5" x14ac:dyDescent="0.25"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  <c r="FH236" s="34"/>
      <c r="FI236" s="34"/>
      <c r="FJ236" s="34"/>
      <c r="FK236" s="34"/>
      <c r="FL236" s="34"/>
      <c r="FM236" s="34"/>
      <c r="FN236" s="34"/>
      <c r="FO236" s="34"/>
      <c r="FP236" s="34"/>
      <c r="FQ236" s="34"/>
      <c r="FR236" s="34"/>
      <c r="FS236" s="34"/>
      <c r="FT236" s="34"/>
      <c r="FU236" s="34"/>
      <c r="FV236" s="34"/>
      <c r="FW236" s="34"/>
      <c r="FX236" s="34"/>
      <c r="FY236" s="34"/>
      <c r="FZ236" s="34"/>
    </row>
    <row r="237" spans="1:182" s="89" customFormat="1" ht="13.5" x14ac:dyDescent="0.25"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4"/>
      <c r="FB237" s="34"/>
      <c r="FC237" s="34"/>
      <c r="FD237" s="34"/>
      <c r="FE237" s="34"/>
      <c r="FF237" s="34"/>
      <c r="FG237" s="34"/>
      <c r="FH237" s="34"/>
      <c r="FI237" s="34"/>
      <c r="FJ237" s="34"/>
      <c r="FK237" s="34"/>
      <c r="FL237" s="34"/>
      <c r="FM237" s="34"/>
      <c r="FN237" s="34"/>
      <c r="FO237" s="34"/>
      <c r="FP237" s="34"/>
      <c r="FQ237" s="34"/>
      <c r="FR237" s="34"/>
      <c r="FS237" s="34"/>
      <c r="FT237" s="34"/>
      <c r="FU237" s="34"/>
      <c r="FV237" s="34"/>
      <c r="FW237" s="34"/>
      <c r="FX237" s="34"/>
      <c r="FY237" s="34"/>
      <c r="FZ237" s="34"/>
    </row>
    <row r="238" spans="1:182" s="89" customFormat="1" ht="13.5" x14ac:dyDescent="0.25"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  <c r="FH238" s="34"/>
      <c r="FI238" s="34"/>
      <c r="FJ238" s="34"/>
      <c r="FK238" s="34"/>
      <c r="FL238" s="34"/>
      <c r="FM238" s="34"/>
      <c r="FN238" s="34"/>
      <c r="FO238" s="34"/>
      <c r="FP238" s="34"/>
      <c r="FQ238" s="34"/>
      <c r="FR238" s="34"/>
      <c r="FS238" s="34"/>
      <c r="FT238" s="34"/>
      <c r="FU238" s="34"/>
      <c r="FV238" s="34"/>
      <c r="FW238" s="34"/>
      <c r="FX238" s="34"/>
      <c r="FY238" s="34"/>
      <c r="FZ238" s="34"/>
    </row>
    <row r="239" spans="1:182" s="89" customFormat="1" ht="13.5" x14ac:dyDescent="0.25"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  <c r="FH239" s="34"/>
      <c r="FI239" s="34"/>
      <c r="FJ239" s="34"/>
      <c r="FK239" s="34"/>
      <c r="FL239" s="34"/>
      <c r="FM239" s="34"/>
      <c r="FN239" s="34"/>
      <c r="FO239" s="34"/>
      <c r="FP239" s="34"/>
      <c r="FQ239" s="34"/>
      <c r="FR239" s="34"/>
      <c r="FS239" s="34"/>
      <c r="FT239" s="34"/>
      <c r="FU239" s="34"/>
      <c r="FV239" s="34"/>
      <c r="FW239" s="34"/>
      <c r="FX239" s="34"/>
      <c r="FY239" s="34"/>
      <c r="FZ239" s="34"/>
    </row>
    <row r="240" spans="1:182" s="89" customFormat="1" ht="13.5" x14ac:dyDescent="0.25"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  <c r="FH240" s="34"/>
      <c r="FI240" s="34"/>
      <c r="FJ240" s="34"/>
      <c r="FK240" s="34"/>
      <c r="FL240" s="34"/>
      <c r="FM240" s="34"/>
      <c r="FN240" s="34"/>
      <c r="FO240" s="34"/>
      <c r="FP240" s="34"/>
      <c r="FQ240" s="34"/>
      <c r="FR240" s="34"/>
      <c r="FS240" s="34"/>
      <c r="FT240" s="34"/>
      <c r="FU240" s="34"/>
      <c r="FV240" s="34"/>
      <c r="FW240" s="34"/>
      <c r="FX240" s="34"/>
      <c r="FY240" s="34"/>
      <c r="FZ240" s="34"/>
    </row>
    <row r="241" spans="104:182" s="89" customFormat="1" ht="13.5" x14ac:dyDescent="0.25"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4"/>
      <c r="FB241" s="34"/>
      <c r="FC241" s="34"/>
      <c r="FD241" s="34"/>
      <c r="FE241" s="34"/>
      <c r="FF241" s="34"/>
      <c r="FG241" s="34"/>
      <c r="FH241" s="34"/>
      <c r="FI241" s="34"/>
      <c r="FJ241" s="34"/>
      <c r="FK241" s="34"/>
      <c r="FL241" s="34"/>
      <c r="FM241" s="34"/>
      <c r="FN241" s="34"/>
      <c r="FO241" s="34"/>
      <c r="FP241" s="34"/>
      <c r="FQ241" s="34"/>
      <c r="FR241" s="34"/>
      <c r="FS241" s="34"/>
      <c r="FT241" s="34"/>
      <c r="FU241" s="34"/>
      <c r="FV241" s="34"/>
      <c r="FW241" s="34"/>
      <c r="FX241" s="34"/>
      <c r="FY241" s="34"/>
      <c r="FZ241" s="34"/>
    </row>
    <row r="242" spans="104:182" s="89" customFormat="1" ht="13.5" x14ac:dyDescent="0.25"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  <c r="FH242" s="34"/>
      <c r="FI242" s="34"/>
      <c r="FJ242" s="34"/>
      <c r="FK242" s="34"/>
      <c r="FL242" s="34"/>
      <c r="FM242" s="34"/>
      <c r="FN242" s="34"/>
      <c r="FO242" s="34"/>
      <c r="FP242" s="34"/>
      <c r="FQ242" s="34"/>
      <c r="FR242" s="34"/>
      <c r="FS242" s="34"/>
      <c r="FT242" s="34"/>
      <c r="FU242" s="34"/>
      <c r="FV242" s="34"/>
      <c r="FW242" s="34"/>
      <c r="FX242" s="34"/>
      <c r="FY242" s="34"/>
      <c r="FZ242" s="34"/>
    </row>
    <row r="243" spans="104:182" s="89" customFormat="1" ht="13.5" x14ac:dyDescent="0.25"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4"/>
      <c r="FB243" s="34"/>
      <c r="FC243" s="34"/>
      <c r="FD243" s="34"/>
      <c r="FE243" s="34"/>
      <c r="FF243" s="34"/>
      <c r="FG243" s="34"/>
      <c r="FH243" s="34"/>
      <c r="FI243" s="34"/>
      <c r="FJ243" s="34"/>
      <c r="FK243" s="34"/>
      <c r="FL243" s="34"/>
      <c r="FM243" s="34"/>
      <c r="FN243" s="34"/>
      <c r="FO243" s="34"/>
      <c r="FP243" s="34"/>
      <c r="FQ243" s="34"/>
      <c r="FR243" s="34"/>
      <c r="FS243" s="34"/>
      <c r="FT243" s="34"/>
      <c r="FU243" s="34"/>
      <c r="FV243" s="34"/>
      <c r="FW243" s="34"/>
      <c r="FX243" s="34"/>
      <c r="FY243" s="34"/>
      <c r="FZ243" s="34"/>
    </row>
    <row r="244" spans="104:182" s="89" customFormat="1" ht="13.5" x14ac:dyDescent="0.25"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  <c r="FH244" s="34"/>
      <c r="FI244" s="34"/>
      <c r="FJ244" s="34"/>
      <c r="FK244" s="34"/>
      <c r="FL244" s="34"/>
      <c r="FM244" s="34"/>
      <c r="FN244" s="34"/>
      <c r="FO244" s="34"/>
      <c r="FP244" s="34"/>
      <c r="FQ244" s="34"/>
      <c r="FR244" s="34"/>
      <c r="FS244" s="34"/>
      <c r="FT244" s="34"/>
      <c r="FU244" s="34"/>
      <c r="FV244" s="34"/>
      <c r="FW244" s="34"/>
      <c r="FX244" s="34"/>
      <c r="FY244" s="34"/>
      <c r="FZ244" s="34"/>
    </row>
    <row r="245" spans="104:182" s="89" customFormat="1" ht="13.5" x14ac:dyDescent="0.25"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4"/>
      <c r="FB245" s="34"/>
      <c r="FC245" s="34"/>
      <c r="FD245" s="34"/>
      <c r="FE245" s="34"/>
      <c r="FF245" s="34"/>
      <c r="FG245" s="34"/>
      <c r="FH245" s="34"/>
      <c r="FI245" s="34"/>
      <c r="FJ245" s="34"/>
      <c r="FK245" s="34"/>
      <c r="FL245" s="34"/>
      <c r="FM245" s="34"/>
      <c r="FN245" s="34"/>
      <c r="FO245" s="34"/>
      <c r="FP245" s="34"/>
      <c r="FQ245" s="34"/>
      <c r="FR245" s="34"/>
      <c r="FS245" s="34"/>
      <c r="FT245" s="34"/>
      <c r="FU245" s="34"/>
      <c r="FV245" s="34"/>
      <c r="FW245" s="34"/>
      <c r="FX245" s="34"/>
      <c r="FY245" s="34"/>
      <c r="FZ245" s="34"/>
    </row>
    <row r="246" spans="104:182" s="89" customFormat="1" ht="13.5" x14ac:dyDescent="0.25"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  <c r="FH246" s="34"/>
      <c r="FI246" s="34"/>
      <c r="FJ246" s="34"/>
      <c r="FK246" s="34"/>
      <c r="FL246" s="34"/>
      <c r="FM246" s="34"/>
      <c r="FN246" s="34"/>
      <c r="FO246" s="34"/>
      <c r="FP246" s="34"/>
      <c r="FQ246" s="34"/>
      <c r="FR246" s="34"/>
      <c r="FS246" s="34"/>
      <c r="FT246" s="34"/>
      <c r="FU246" s="34"/>
      <c r="FV246" s="34"/>
      <c r="FW246" s="34"/>
      <c r="FX246" s="34"/>
      <c r="FY246" s="34"/>
      <c r="FZ246" s="34"/>
    </row>
    <row r="247" spans="104:182" s="89" customFormat="1" ht="13.5" x14ac:dyDescent="0.25"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  <c r="FH247" s="34"/>
      <c r="FI247" s="34"/>
      <c r="FJ247" s="34"/>
      <c r="FK247" s="34"/>
      <c r="FL247" s="34"/>
      <c r="FM247" s="34"/>
      <c r="FN247" s="34"/>
      <c r="FO247" s="34"/>
      <c r="FP247" s="34"/>
      <c r="FQ247" s="34"/>
      <c r="FR247" s="34"/>
      <c r="FS247" s="34"/>
      <c r="FT247" s="34"/>
      <c r="FU247" s="34"/>
      <c r="FV247" s="34"/>
      <c r="FW247" s="34"/>
      <c r="FX247" s="34"/>
      <c r="FY247" s="34"/>
      <c r="FZ247" s="34"/>
    </row>
    <row r="248" spans="104:182" s="89" customFormat="1" ht="13.5" x14ac:dyDescent="0.25"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  <c r="FH248" s="34"/>
      <c r="FI248" s="34"/>
      <c r="FJ248" s="34"/>
      <c r="FK248" s="34"/>
      <c r="FL248" s="34"/>
      <c r="FM248" s="34"/>
      <c r="FN248" s="34"/>
      <c r="FO248" s="34"/>
      <c r="FP248" s="34"/>
      <c r="FQ248" s="34"/>
      <c r="FR248" s="34"/>
      <c r="FS248" s="34"/>
      <c r="FT248" s="34"/>
      <c r="FU248" s="34"/>
      <c r="FV248" s="34"/>
      <c r="FW248" s="34"/>
      <c r="FX248" s="34"/>
      <c r="FY248" s="34"/>
      <c r="FZ248" s="34"/>
    </row>
    <row r="249" spans="104:182" s="89" customFormat="1" ht="13.5" x14ac:dyDescent="0.25"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4"/>
      <c r="FB249" s="34"/>
      <c r="FC249" s="34"/>
      <c r="FD249" s="34"/>
      <c r="FE249" s="34"/>
      <c r="FF249" s="34"/>
      <c r="FG249" s="34"/>
      <c r="FH249" s="34"/>
      <c r="FI249" s="34"/>
      <c r="FJ249" s="34"/>
      <c r="FK249" s="34"/>
      <c r="FL249" s="34"/>
      <c r="FM249" s="34"/>
      <c r="FN249" s="34"/>
      <c r="FO249" s="34"/>
      <c r="FP249" s="34"/>
      <c r="FQ249" s="34"/>
      <c r="FR249" s="34"/>
      <c r="FS249" s="34"/>
      <c r="FT249" s="34"/>
      <c r="FU249" s="34"/>
      <c r="FV249" s="34"/>
      <c r="FW249" s="34"/>
      <c r="FX249" s="34"/>
      <c r="FY249" s="34"/>
      <c r="FZ249" s="34"/>
    </row>
    <row r="250" spans="104:182" s="89" customFormat="1" ht="13.5" x14ac:dyDescent="0.25"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  <c r="FH250" s="34"/>
      <c r="FI250" s="34"/>
      <c r="FJ250" s="34"/>
      <c r="FK250" s="34"/>
      <c r="FL250" s="34"/>
      <c r="FM250" s="34"/>
      <c r="FN250" s="34"/>
      <c r="FO250" s="34"/>
      <c r="FP250" s="34"/>
      <c r="FQ250" s="34"/>
      <c r="FR250" s="34"/>
      <c r="FS250" s="34"/>
      <c r="FT250" s="34"/>
      <c r="FU250" s="34"/>
      <c r="FV250" s="34"/>
      <c r="FW250" s="34"/>
      <c r="FX250" s="34"/>
      <c r="FY250" s="34"/>
      <c r="FZ250" s="34"/>
    </row>
    <row r="251" spans="104:182" s="89" customFormat="1" ht="13.5" x14ac:dyDescent="0.25"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4"/>
      <c r="FB251" s="34"/>
      <c r="FC251" s="34"/>
      <c r="FD251" s="34"/>
      <c r="FE251" s="34"/>
      <c r="FF251" s="34"/>
      <c r="FG251" s="34"/>
      <c r="FH251" s="34"/>
      <c r="FI251" s="34"/>
      <c r="FJ251" s="34"/>
      <c r="FK251" s="34"/>
      <c r="FL251" s="34"/>
      <c r="FM251" s="34"/>
      <c r="FN251" s="34"/>
      <c r="FO251" s="34"/>
      <c r="FP251" s="34"/>
      <c r="FQ251" s="34"/>
      <c r="FR251" s="34"/>
      <c r="FS251" s="34"/>
      <c r="FT251" s="34"/>
      <c r="FU251" s="34"/>
      <c r="FV251" s="34"/>
      <c r="FW251" s="34"/>
      <c r="FX251" s="34"/>
      <c r="FY251" s="34"/>
      <c r="FZ251" s="34"/>
    </row>
    <row r="252" spans="104:182" s="89" customFormat="1" ht="13.5" x14ac:dyDescent="0.25"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4"/>
      <c r="FB252" s="34"/>
      <c r="FC252" s="34"/>
      <c r="FD252" s="34"/>
      <c r="FE252" s="34"/>
      <c r="FF252" s="34"/>
      <c r="FG252" s="34"/>
      <c r="FH252" s="34"/>
      <c r="FI252" s="34"/>
      <c r="FJ252" s="34"/>
      <c r="FK252" s="34"/>
      <c r="FL252" s="34"/>
      <c r="FM252" s="34"/>
      <c r="FN252" s="34"/>
      <c r="FO252" s="34"/>
      <c r="FP252" s="34"/>
      <c r="FQ252" s="34"/>
      <c r="FR252" s="34"/>
      <c r="FS252" s="34"/>
      <c r="FT252" s="34"/>
      <c r="FU252" s="34"/>
      <c r="FV252" s="34"/>
      <c r="FW252" s="34"/>
      <c r="FX252" s="34"/>
      <c r="FY252" s="34"/>
      <c r="FZ252" s="34"/>
    </row>
    <row r="253" spans="104:182" s="89" customFormat="1" ht="13.5" x14ac:dyDescent="0.25"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  <c r="EG253" s="34"/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4"/>
      <c r="FB253" s="34"/>
      <c r="FC253" s="34"/>
      <c r="FD253" s="34"/>
      <c r="FE253" s="34"/>
      <c r="FF253" s="34"/>
      <c r="FG253" s="34"/>
      <c r="FH253" s="34"/>
      <c r="FI253" s="34"/>
      <c r="FJ253" s="34"/>
      <c r="FK253" s="34"/>
      <c r="FL253" s="34"/>
      <c r="FM253" s="34"/>
      <c r="FN253" s="34"/>
      <c r="FO253" s="34"/>
      <c r="FP253" s="34"/>
      <c r="FQ253" s="34"/>
      <c r="FR253" s="34"/>
      <c r="FS253" s="34"/>
      <c r="FT253" s="34"/>
      <c r="FU253" s="34"/>
      <c r="FV253" s="34"/>
      <c r="FW253" s="34"/>
      <c r="FX253" s="34"/>
      <c r="FY253" s="34"/>
      <c r="FZ253" s="34"/>
    </row>
    <row r="254" spans="104:182" s="89" customFormat="1" ht="13.5" x14ac:dyDescent="0.25"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4"/>
      <c r="FB254" s="34"/>
      <c r="FC254" s="34"/>
      <c r="FD254" s="34"/>
      <c r="FE254" s="34"/>
      <c r="FF254" s="34"/>
      <c r="FG254" s="34"/>
      <c r="FH254" s="34"/>
      <c r="FI254" s="34"/>
      <c r="FJ254" s="34"/>
      <c r="FK254" s="34"/>
      <c r="FL254" s="34"/>
      <c r="FM254" s="34"/>
      <c r="FN254" s="34"/>
      <c r="FO254" s="34"/>
      <c r="FP254" s="34"/>
      <c r="FQ254" s="34"/>
      <c r="FR254" s="34"/>
      <c r="FS254" s="34"/>
      <c r="FT254" s="34"/>
      <c r="FU254" s="34"/>
      <c r="FV254" s="34"/>
      <c r="FW254" s="34"/>
      <c r="FX254" s="34"/>
      <c r="FY254" s="34"/>
      <c r="FZ254" s="34"/>
    </row>
    <row r="255" spans="104:182" s="89" customFormat="1" ht="13.5" x14ac:dyDescent="0.25"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4"/>
      <c r="FB255" s="34"/>
      <c r="FC255" s="34"/>
      <c r="FD255" s="34"/>
      <c r="FE255" s="34"/>
      <c r="FF255" s="34"/>
      <c r="FG255" s="34"/>
      <c r="FH255" s="34"/>
      <c r="FI255" s="34"/>
      <c r="FJ255" s="34"/>
      <c r="FK255" s="34"/>
      <c r="FL255" s="34"/>
      <c r="FM255" s="34"/>
      <c r="FN255" s="34"/>
      <c r="FO255" s="34"/>
      <c r="FP255" s="34"/>
      <c r="FQ255" s="34"/>
      <c r="FR255" s="34"/>
      <c r="FS255" s="34"/>
      <c r="FT255" s="34"/>
      <c r="FU255" s="34"/>
      <c r="FV255" s="34"/>
      <c r="FW255" s="34"/>
      <c r="FX255" s="34"/>
      <c r="FY255" s="34"/>
      <c r="FZ255" s="34"/>
    </row>
    <row r="256" spans="104:182" s="89" customFormat="1" ht="13.5" x14ac:dyDescent="0.25"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4"/>
      <c r="FB256" s="34"/>
      <c r="FC256" s="34"/>
      <c r="FD256" s="34"/>
      <c r="FE256" s="34"/>
      <c r="FF256" s="34"/>
      <c r="FG256" s="34"/>
      <c r="FH256" s="34"/>
      <c r="FI256" s="34"/>
      <c r="FJ256" s="34"/>
      <c r="FK256" s="34"/>
      <c r="FL256" s="34"/>
      <c r="FM256" s="34"/>
      <c r="FN256" s="34"/>
      <c r="FO256" s="34"/>
      <c r="FP256" s="34"/>
      <c r="FQ256" s="34"/>
      <c r="FR256" s="34"/>
      <c r="FS256" s="34"/>
      <c r="FT256" s="34"/>
      <c r="FU256" s="34"/>
      <c r="FV256" s="34"/>
      <c r="FW256" s="34"/>
      <c r="FX256" s="34"/>
      <c r="FY256" s="34"/>
      <c r="FZ256" s="34"/>
    </row>
    <row r="257" spans="104:182" s="89" customFormat="1" ht="13.5" x14ac:dyDescent="0.25"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  <c r="EG257" s="34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4"/>
      <c r="FB257" s="34"/>
      <c r="FC257" s="34"/>
      <c r="FD257" s="34"/>
      <c r="FE257" s="34"/>
      <c r="FF257" s="34"/>
      <c r="FG257" s="34"/>
      <c r="FH257" s="34"/>
      <c r="FI257" s="34"/>
      <c r="FJ257" s="34"/>
      <c r="FK257" s="34"/>
      <c r="FL257" s="34"/>
      <c r="FM257" s="34"/>
      <c r="FN257" s="34"/>
      <c r="FO257" s="34"/>
      <c r="FP257" s="34"/>
      <c r="FQ257" s="34"/>
      <c r="FR257" s="34"/>
      <c r="FS257" s="34"/>
      <c r="FT257" s="34"/>
      <c r="FU257" s="34"/>
      <c r="FV257" s="34"/>
      <c r="FW257" s="34"/>
      <c r="FX257" s="34"/>
      <c r="FY257" s="34"/>
      <c r="FZ257" s="34"/>
    </row>
    <row r="258" spans="104:182" s="89" customFormat="1" ht="13.5" x14ac:dyDescent="0.25"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  <c r="FH258" s="34"/>
      <c r="FI258" s="34"/>
      <c r="FJ258" s="34"/>
      <c r="FK258" s="34"/>
      <c r="FL258" s="34"/>
      <c r="FM258" s="34"/>
      <c r="FN258" s="34"/>
      <c r="FO258" s="34"/>
      <c r="FP258" s="34"/>
      <c r="FQ258" s="34"/>
      <c r="FR258" s="34"/>
      <c r="FS258" s="34"/>
      <c r="FT258" s="34"/>
      <c r="FU258" s="34"/>
      <c r="FV258" s="34"/>
      <c r="FW258" s="34"/>
      <c r="FX258" s="34"/>
      <c r="FY258" s="34"/>
      <c r="FZ258" s="34"/>
    </row>
    <row r="259" spans="104:182" s="89" customFormat="1" ht="13.5" x14ac:dyDescent="0.25">
      <c r="CZ259" s="34"/>
      <c r="DA259" s="34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  <c r="DM259" s="34"/>
      <c r="DN259" s="34"/>
      <c r="DO259" s="34"/>
      <c r="DP259" s="34"/>
      <c r="DQ259" s="34"/>
      <c r="DR259" s="34"/>
      <c r="DS259" s="34"/>
      <c r="DT259" s="34"/>
      <c r="DU259" s="34"/>
      <c r="DV259" s="34"/>
      <c r="DW259" s="34"/>
      <c r="DX259" s="34"/>
      <c r="DY259" s="34"/>
      <c r="DZ259" s="34"/>
      <c r="EA259" s="34"/>
      <c r="EB259" s="34"/>
      <c r="EC259" s="34"/>
      <c r="ED259" s="34"/>
      <c r="EE259" s="34"/>
      <c r="EF259" s="34"/>
      <c r="EG259" s="34"/>
      <c r="EH259" s="34"/>
      <c r="EI259" s="34"/>
      <c r="EJ259" s="34"/>
      <c r="EK259" s="34"/>
      <c r="EL259" s="34"/>
      <c r="EM259" s="34"/>
      <c r="EN259" s="34"/>
      <c r="EO259" s="34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4"/>
      <c r="FB259" s="34"/>
      <c r="FC259" s="34"/>
      <c r="FD259" s="34"/>
      <c r="FE259" s="34"/>
      <c r="FF259" s="34"/>
      <c r="FG259" s="34"/>
      <c r="FH259" s="34"/>
      <c r="FI259" s="34"/>
      <c r="FJ259" s="34"/>
      <c r="FK259" s="34"/>
      <c r="FL259" s="34"/>
      <c r="FM259" s="34"/>
      <c r="FN259" s="34"/>
      <c r="FO259" s="34"/>
      <c r="FP259" s="34"/>
      <c r="FQ259" s="34"/>
      <c r="FR259" s="34"/>
      <c r="FS259" s="34"/>
      <c r="FT259" s="34"/>
      <c r="FU259" s="34"/>
      <c r="FV259" s="34"/>
      <c r="FW259" s="34"/>
      <c r="FX259" s="34"/>
      <c r="FY259" s="34"/>
      <c r="FZ259" s="34"/>
    </row>
    <row r="260" spans="104:182" s="89" customFormat="1" ht="13.5" x14ac:dyDescent="0.25"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  <c r="DN260" s="34"/>
      <c r="DO260" s="34"/>
      <c r="DP260" s="34"/>
      <c r="DQ260" s="34"/>
      <c r="DR260" s="34"/>
      <c r="DS260" s="34"/>
      <c r="DT260" s="34"/>
      <c r="DU260" s="34"/>
      <c r="DV260" s="34"/>
      <c r="DW260" s="34"/>
      <c r="DX260" s="34"/>
      <c r="DY260" s="34"/>
      <c r="DZ260" s="34"/>
      <c r="EA260" s="34"/>
      <c r="EB260" s="34"/>
      <c r="EC260" s="34"/>
      <c r="ED260" s="34"/>
      <c r="EE260" s="34"/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4"/>
      <c r="FB260" s="34"/>
      <c r="FC260" s="34"/>
      <c r="FD260" s="34"/>
      <c r="FE260" s="34"/>
      <c r="FF260" s="34"/>
      <c r="FG260" s="34"/>
      <c r="FH260" s="34"/>
      <c r="FI260" s="34"/>
      <c r="FJ260" s="34"/>
      <c r="FK260" s="34"/>
      <c r="FL260" s="34"/>
      <c r="FM260" s="34"/>
      <c r="FN260" s="34"/>
      <c r="FO260" s="34"/>
      <c r="FP260" s="34"/>
      <c r="FQ260" s="34"/>
      <c r="FR260" s="34"/>
      <c r="FS260" s="34"/>
      <c r="FT260" s="34"/>
      <c r="FU260" s="34"/>
      <c r="FV260" s="34"/>
      <c r="FW260" s="34"/>
      <c r="FX260" s="34"/>
      <c r="FY260" s="34"/>
      <c r="FZ260" s="34"/>
    </row>
    <row r="261" spans="104:182" s="89" customFormat="1" ht="13.5" x14ac:dyDescent="0.25">
      <c r="CZ261" s="34"/>
      <c r="DA261" s="34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  <c r="DM261" s="34"/>
      <c r="DN261" s="34"/>
      <c r="DO261" s="34"/>
      <c r="DP261" s="34"/>
      <c r="DQ261" s="34"/>
      <c r="DR261" s="34"/>
      <c r="DS261" s="34"/>
      <c r="DT261" s="34"/>
      <c r="DU261" s="34"/>
      <c r="DV261" s="34"/>
      <c r="DW261" s="34"/>
      <c r="DX261" s="34"/>
      <c r="DY261" s="34"/>
      <c r="DZ261" s="34"/>
      <c r="EA261" s="34"/>
      <c r="EB261" s="34"/>
      <c r="EC261" s="34"/>
      <c r="ED261" s="34"/>
      <c r="EE261" s="34"/>
      <c r="EF261" s="34"/>
      <c r="EG261" s="34"/>
      <c r="EH261" s="34"/>
      <c r="EI261" s="34"/>
      <c r="EJ261" s="34"/>
      <c r="EK261" s="34"/>
      <c r="EL261" s="34"/>
      <c r="EM261" s="34"/>
      <c r="EN261" s="34"/>
      <c r="EO261" s="34"/>
      <c r="EP261" s="34"/>
      <c r="EQ261" s="34"/>
      <c r="ER261" s="34"/>
      <c r="ES261" s="34"/>
      <c r="ET261" s="34"/>
      <c r="EU261" s="34"/>
      <c r="EV261" s="34"/>
      <c r="EW261" s="34"/>
      <c r="EX261" s="34"/>
      <c r="EY261" s="34"/>
      <c r="EZ261" s="34"/>
      <c r="FA261" s="34"/>
      <c r="FB261" s="34"/>
      <c r="FC261" s="34"/>
      <c r="FD261" s="34"/>
      <c r="FE261" s="34"/>
      <c r="FF261" s="34"/>
      <c r="FG261" s="34"/>
      <c r="FH261" s="34"/>
      <c r="FI261" s="34"/>
      <c r="FJ261" s="34"/>
      <c r="FK261" s="34"/>
      <c r="FL261" s="34"/>
      <c r="FM261" s="34"/>
      <c r="FN261" s="34"/>
      <c r="FO261" s="34"/>
      <c r="FP261" s="34"/>
      <c r="FQ261" s="34"/>
      <c r="FR261" s="34"/>
      <c r="FS261" s="34"/>
      <c r="FT261" s="34"/>
      <c r="FU261" s="34"/>
      <c r="FV261" s="34"/>
      <c r="FW261" s="34"/>
      <c r="FX261" s="34"/>
      <c r="FY261" s="34"/>
      <c r="FZ261" s="34"/>
    </row>
    <row r="262" spans="104:182" s="89" customFormat="1" ht="13.5" x14ac:dyDescent="0.25"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  <c r="DN262" s="34"/>
      <c r="DO262" s="34"/>
      <c r="DP262" s="34"/>
      <c r="DQ262" s="34"/>
      <c r="DR262" s="34"/>
      <c r="DS262" s="34"/>
      <c r="DT262" s="34"/>
      <c r="DU262" s="34"/>
      <c r="DV262" s="34"/>
      <c r="DW262" s="34"/>
      <c r="DX262" s="34"/>
      <c r="DY262" s="34"/>
      <c r="DZ262" s="34"/>
      <c r="EA262" s="34"/>
      <c r="EB262" s="34"/>
      <c r="EC262" s="34"/>
      <c r="ED262" s="34"/>
      <c r="EE262" s="34"/>
      <c r="EF262" s="34"/>
      <c r="EG262" s="34"/>
      <c r="EH262" s="34"/>
      <c r="EI262" s="34"/>
      <c r="EJ262" s="34"/>
      <c r="EK262" s="34"/>
      <c r="EL262" s="34"/>
      <c r="EM262" s="34"/>
      <c r="EN262" s="34"/>
      <c r="EO262" s="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4"/>
      <c r="FB262" s="34"/>
      <c r="FC262" s="34"/>
      <c r="FD262" s="34"/>
      <c r="FE262" s="34"/>
      <c r="FF262" s="34"/>
      <c r="FG262" s="34"/>
      <c r="FH262" s="34"/>
      <c r="FI262" s="34"/>
      <c r="FJ262" s="34"/>
      <c r="FK262" s="34"/>
      <c r="FL262" s="34"/>
      <c r="FM262" s="34"/>
      <c r="FN262" s="34"/>
      <c r="FO262" s="34"/>
      <c r="FP262" s="34"/>
      <c r="FQ262" s="34"/>
      <c r="FR262" s="34"/>
      <c r="FS262" s="34"/>
      <c r="FT262" s="34"/>
      <c r="FU262" s="34"/>
      <c r="FV262" s="34"/>
      <c r="FW262" s="34"/>
      <c r="FX262" s="34"/>
      <c r="FY262" s="34"/>
      <c r="FZ262" s="34"/>
    </row>
    <row r="263" spans="104:182" s="89" customFormat="1" ht="13.5" x14ac:dyDescent="0.25">
      <c r="CZ263" s="34"/>
      <c r="DA263" s="34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  <c r="DM263" s="34"/>
      <c r="DN263" s="34"/>
      <c r="DO263" s="34"/>
      <c r="DP263" s="34"/>
      <c r="DQ263" s="34"/>
      <c r="DR263" s="34"/>
      <c r="DS263" s="34"/>
      <c r="DT263" s="34"/>
      <c r="DU263" s="34"/>
      <c r="DV263" s="34"/>
      <c r="DW263" s="34"/>
      <c r="DX263" s="34"/>
      <c r="DY263" s="34"/>
      <c r="DZ263" s="34"/>
      <c r="EA263" s="34"/>
      <c r="EB263" s="34"/>
      <c r="EC263" s="34"/>
      <c r="ED263" s="34"/>
      <c r="EE263" s="34"/>
      <c r="EF263" s="34"/>
      <c r="EG263" s="34"/>
      <c r="EH263" s="34"/>
      <c r="EI263" s="34"/>
      <c r="EJ263" s="34"/>
      <c r="EK263" s="34"/>
      <c r="EL263" s="34"/>
      <c r="EM263" s="34"/>
      <c r="EN263" s="34"/>
      <c r="EO263" s="34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4"/>
      <c r="FB263" s="34"/>
      <c r="FC263" s="34"/>
      <c r="FD263" s="34"/>
      <c r="FE263" s="34"/>
      <c r="FF263" s="34"/>
      <c r="FG263" s="34"/>
      <c r="FH263" s="34"/>
      <c r="FI263" s="34"/>
      <c r="FJ263" s="34"/>
      <c r="FK263" s="34"/>
      <c r="FL263" s="34"/>
      <c r="FM263" s="34"/>
      <c r="FN263" s="34"/>
      <c r="FO263" s="34"/>
      <c r="FP263" s="34"/>
      <c r="FQ263" s="34"/>
      <c r="FR263" s="34"/>
      <c r="FS263" s="34"/>
      <c r="FT263" s="34"/>
      <c r="FU263" s="34"/>
      <c r="FV263" s="34"/>
      <c r="FW263" s="34"/>
      <c r="FX263" s="34"/>
      <c r="FY263" s="34"/>
      <c r="FZ263" s="34"/>
    </row>
    <row r="264" spans="104:182" s="89" customFormat="1" ht="13.5" x14ac:dyDescent="0.25">
      <c r="CZ264" s="34"/>
      <c r="DA264" s="34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  <c r="DM264" s="34"/>
      <c r="DN264" s="34"/>
      <c r="DO264" s="34"/>
      <c r="DP264" s="34"/>
      <c r="DQ264" s="34"/>
      <c r="DR264" s="34"/>
      <c r="DS264" s="34"/>
      <c r="DT264" s="34"/>
      <c r="DU264" s="34"/>
      <c r="DV264" s="34"/>
      <c r="DW264" s="34"/>
      <c r="DX264" s="34"/>
      <c r="DY264" s="34"/>
      <c r="DZ264" s="34"/>
      <c r="EA264" s="34"/>
      <c r="EB264" s="34"/>
      <c r="EC264" s="34"/>
      <c r="ED264" s="34"/>
      <c r="EE264" s="34"/>
      <c r="EF264" s="34"/>
      <c r="EG264" s="34"/>
      <c r="EH264" s="34"/>
      <c r="EI264" s="34"/>
      <c r="EJ264" s="34"/>
      <c r="EK264" s="34"/>
      <c r="EL264" s="34"/>
      <c r="EM264" s="34"/>
      <c r="EN264" s="34"/>
      <c r="EO264" s="34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4"/>
      <c r="FB264" s="34"/>
      <c r="FC264" s="34"/>
      <c r="FD264" s="34"/>
      <c r="FE264" s="34"/>
      <c r="FF264" s="34"/>
      <c r="FG264" s="34"/>
      <c r="FH264" s="34"/>
      <c r="FI264" s="34"/>
      <c r="FJ264" s="34"/>
      <c r="FK264" s="34"/>
      <c r="FL264" s="34"/>
      <c r="FM264" s="34"/>
      <c r="FN264" s="34"/>
      <c r="FO264" s="34"/>
      <c r="FP264" s="34"/>
      <c r="FQ264" s="34"/>
      <c r="FR264" s="34"/>
      <c r="FS264" s="34"/>
      <c r="FT264" s="34"/>
      <c r="FU264" s="34"/>
      <c r="FV264" s="34"/>
      <c r="FW264" s="34"/>
      <c r="FX264" s="34"/>
      <c r="FY264" s="34"/>
      <c r="FZ264" s="34"/>
    </row>
    <row r="265" spans="104:182" s="89" customFormat="1" ht="13.5" x14ac:dyDescent="0.25">
      <c r="CZ265" s="34"/>
      <c r="DA265" s="34"/>
      <c r="DB265" s="34"/>
      <c r="DC265" s="34"/>
      <c r="DD265" s="34"/>
      <c r="DE265" s="34"/>
      <c r="DF265" s="34"/>
      <c r="DG265" s="34"/>
      <c r="DH265" s="34"/>
      <c r="DI265" s="34"/>
      <c r="DJ265" s="34"/>
      <c r="DK265" s="34"/>
      <c r="DL265" s="34"/>
      <c r="DM265" s="34"/>
      <c r="DN265" s="34"/>
      <c r="DO265" s="34"/>
      <c r="DP265" s="34"/>
      <c r="DQ265" s="34"/>
      <c r="DR265" s="34"/>
      <c r="DS265" s="34"/>
      <c r="DT265" s="34"/>
      <c r="DU265" s="34"/>
      <c r="DV265" s="34"/>
      <c r="DW265" s="34"/>
      <c r="DX265" s="34"/>
      <c r="DY265" s="34"/>
      <c r="DZ265" s="34"/>
      <c r="EA265" s="34"/>
      <c r="EB265" s="34"/>
      <c r="EC265" s="34"/>
      <c r="ED265" s="34"/>
      <c r="EE265" s="34"/>
      <c r="EF265" s="34"/>
      <c r="EG265" s="34"/>
      <c r="EH265" s="34"/>
      <c r="EI265" s="34"/>
      <c r="EJ265" s="34"/>
      <c r="EK265" s="34"/>
      <c r="EL265" s="34"/>
      <c r="EM265" s="34"/>
      <c r="EN265" s="34"/>
      <c r="EO265" s="34"/>
      <c r="EP265" s="34"/>
      <c r="EQ265" s="34"/>
      <c r="ER265" s="34"/>
      <c r="ES265" s="34"/>
      <c r="ET265" s="34"/>
      <c r="EU265" s="34"/>
      <c r="EV265" s="34"/>
      <c r="EW265" s="34"/>
      <c r="EX265" s="34"/>
      <c r="EY265" s="34"/>
      <c r="EZ265" s="34"/>
      <c r="FA265" s="34"/>
      <c r="FB265" s="34"/>
      <c r="FC265" s="34"/>
      <c r="FD265" s="34"/>
      <c r="FE265" s="34"/>
      <c r="FF265" s="34"/>
      <c r="FG265" s="34"/>
      <c r="FH265" s="34"/>
      <c r="FI265" s="34"/>
      <c r="FJ265" s="34"/>
      <c r="FK265" s="34"/>
      <c r="FL265" s="34"/>
      <c r="FM265" s="34"/>
      <c r="FN265" s="34"/>
      <c r="FO265" s="34"/>
      <c r="FP265" s="34"/>
      <c r="FQ265" s="34"/>
      <c r="FR265" s="34"/>
      <c r="FS265" s="34"/>
      <c r="FT265" s="34"/>
      <c r="FU265" s="34"/>
      <c r="FV265" s="34"/>
      <c r="FW265" s="34"/>
      <c r="FX265" s="34"/>
      <c r="FY265" s="34"/>
      <c r="FZ265" s="34"/>
    </row>
    <row r="266" spans="104:182" s="89" customFormat="1" ht="13.5" x14ac:dyDescent="0.25">
      <c r="CZ266" s="34"/>
      <c r="DA266" s="34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  <c r="DM266" s="34"/>
      <c r="DN266" s="34"/>
      <c r="DO266" s="34"/>
      <c r="DP266" s="34"/>
      <c r="DQ266" s="34"/>
      <c r="DR266" s="34"/>
      <c r="DS266" s="34"/>
      <c r="DT266" s="34"/>
      <c r="DU266" s="34"/>
      <c r="DV266" s="34"/>
      <c r="DW266" s="34"/>
      <c r="DX266" s="34"/>
      <c r="DY266" s="34"/>
      <c r="DZ266" s="34"/>
      <c r="EA266" s="34"/>
      <c r="EB266" s="34"/>
      <c r="EC266" s="34"/>
      <c r="ED266" s="34"/>
      <c r="EE266" s="34"/>
      <c r="EF266" s="34"/>
      <c r="EG266" s="34"/>
      <c r="EH266" s="34"/>
      <c r="EI266" s="34"/>
      <c r="EJ266" s="34"/>
      <c r="EK266" s="34"/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4"/>
      <c r="FB266" s="34"/>
      <c r="FC266" s="34"/>
      <c r="FD266" s="34"/>
      <c r="FE266" s="34"/>
      <c r="FF266" s="34"/>
      <c r="FG266" s="34"/>
      <c r="FH266" s="34"/>
      <c r="FI266" s="34"/>
      <c r="FJ266" s="34"/>
      <c r="FK266" s="34"/>
      <c r="FL266" s="34"/>
      <c r="FM266" s="34"/>
      <c r="FN266" s="34"/>
      <c r="FO266" s="34"/>
      <c r="FP266" s="34"/>
      <c r="FQ266" s="34"/>
      <c r="FR266" s="34"/>
      <c r="FS266" s="34"/>
      <c r="FT266" s="34"/>
      <c r="FU266" s="34"/>
      <c r="FV266" s="34"/>
      <c r="FW266" s="34"/>
      <c r="FX266" s="34"/>
      <c r="FY266" s="34"/>
      <c r="FZ266" s="34"/>
    </row>
    <row r="267" spans="104:182" s="89" customFormat="1" ht="13.5" x14ac:dyDescent="0.25">
      <c r="CZ267" s="34"/>
      <c r="DA267" s="34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  <c r="DM267" s="34"/>
      <c r="DN267" s="34"/>
      <c r="DO267" s="34"/>
      <c r="DP267" s="34"/>
      <c r="DQ267" s="34"/>
      <c r="DR267" s="34"/>
      <c r="DS267" s="34"/>
      <c r="DT267" s="34"/>
      <c r="DU267" s="34"/>
      <c r="DV267" s="34"/>
      <c r="DW267" s="34"/>
      <c r="DX267" s="34"/>
      <c r="DY267" s="34"/>
      <c r="DZ267" s="34"/>
      <c r="EA267" s="34"/>
      <c r="EB267" s="34"/>
      <c r="EC267" s="34"/>
      <c r="ED267" s="34"/>
      <c r="EE267" s="34"/>
      <c r="EF267" s="34"/>
      <c r="EG267" s="34"/>
      <c r="EH267" s="34"/>
      <c r="EI267" s="34"/>
      <c r="EJ267" s="34"/>
      <c r="EK267" s="34"/>
      <c r="EL267" s="34"/>
      <c r="EM267" s="34"/>
      <c r="EN267" s="34"/>
      <c r="EO267" s="34"/>
      <c r="EP267" s="34"/>
      <c r="EQ267" s="34"/>
      <c r="ER267" s="34"/>
      <c r="ES267" s="34"/>
      <c r="ET267" s="34"/>
      <c r="EU267" s="34"/>
      <c r="EV267" s="34"/>
      <c r="EW267" s="34"/>
      <c r="EX267" s="34"/>
      <c r="EY267" s="34"/>
      <c r="EZ267" s="34"/>
      <c r="FA267" s="34"/>
      <c r="FB267" s="34"/>
      <c r="FC267" s="34"/>
      <c r="FD267" s="34"/>
      <c r="FE267" s="34"/>
      <c r="FF267" s="34"/>
      <c r="FG267" s="34"/>
      <c r="FH267" s="34"/>
      <c r="FI267" s="34"/>
      <c r="FJ267" s="34"/>
      <c r="FK267" s="34"/>
      <c r="FL267" s="34"/>
      <c r="FM267" s="34"/>
      <c r="FN267" s="34"/>
      <c r="FO267" s="34"/>
      <c r="FP267" s="34"/>
      <c r="FQ267" s="34"/>
      <c r="FR267" s="34"/>
      <c r="FS267" s="34"/>
      <c r="FT267" s="34"/>
      <c r="FU267" s="34"/>
      <c r="FV267" s="34"/>
      <c r="FW267" s="34"/>
      <c r="FX267" s="34"/>
      <c r="FY267" s="34"/>
      <c r="FZ267" s="34"/>
    </row>
    <row r="268" spans="104:182" s="89" customFormat="1" ht="13.5" x14ac:dyDescent="0.25">
      <c r="CZ268" s="34"/>
      <c r="DA268" s="34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  <c r="DM268" s="34"/>
      <c r="DN268" s="34"/>
      <c r="DO268" s="34"/>
      <c r="DP268" s="34"/>
      <c r="DQ268" s="34"/>
      <c r="DR268" s="34"/>
      <c r="DS268" s="34"/>
      <c r="DT268" s="34"/>
      <c r="DU268" s="34"/>
      <c r="DV268" s="34"/>
      <c r="DW268" s="34"/>
      <c r="DX268" s="34"/>
      <c r="DY268" s="34"/>
      <c r="DZ268" s="34"/>
      <c r="EA268" s="34"/>
      <c r="EB268" s="34"/>
      <c r="EC268" s="34"/>
      <c r="ED268" s="34"/>
      <c r="EE268" s="34"/>
      <c r="EF268" s="34"/>
      <c r="EG268" s="34"/>
      <c r="EH268" s="34"/>
      <c r="EI268" s="34"/>
      <c r="EJ268" s="34"/>
      <c r="EK268" s="34"/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4"/>
      <c r="FB268" s="34"/>
      <c r="FC268" s="34"/>
      <c r="FD268" s="34"/>
      <c r="FE268" s="34"/>
      <c r="FF268" s="34"/>
      <c r="FG268" s="34"/>
      <c r="FH268" s="34"/>
      <c r="FI268" s="34"/>
      <c r="FJ268" s="34"/>
      <c r="FK268" s="34"/>
      <c r="FL268" s="34"/>
      <c r="FM268" s="34"/>
      <c r="FN268" s="34"/>
      <c r="FO268" s="34"/>
      <c r="FP268" s="34"/>
      <c r="FQ268" s="34"/>
      <c r="FR268" s="34"/>
      <c r="FS268" s="34"/>
      <c r="FT268" s="34"/>
      <c r="FU268" s="34"/>
      <c r="FV268" s="34"/>
      <c r="FW268" s="34"/>
      <c r="FX268" s="34"/>
      <c r="FY268" s="34"/>
      <c r="FZ268" s="34"/>
    </row>
    <row r="269" spans="104:182" s="89" customFormat="1" ht="13.5" x14ac:dyDescent="0.25">
      <c r="CZ269" s="34"/>
      <c r="DA269" s="34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  <c r="DM269" s="34"/>
      <c r="DN269" s="34"/>
      <c r="DO269" s="34"/>
      <c r="DP269" s="34"/>
      <c r="DQ269" s="34"/>
      <c r="DR269" s="34"/>
      <c r="DS269" s="34"/>
      <c r="DT269" s="34"/>
      <c r="DU269" s="34"/>
      <c r="DV269" s="34"/>
      <c r="DW269" s="34"/>
      <c r="DX269" s="34"/>
      <c r="DY269" s="34"/>
      <c r="DZ269" s="34"/>
      <c r="EA269" s="34"/>
      <c r="EB269" s="34"/>
      <c r="EC269" s="34"/>
      <c r="ED269" s="34"/>
      <c r="EE269" s="34"/>
      <c r="EF269" s="34"/>
      <c r="EG269" s="34"/>
      <c r="EH269" s="34"/>
      <c r="EI269" s="34"/>
      <c r="EJ269" s="34"/>
      <c r="EK269" s="34"/>
      <c r="EL269" s="34"/>
      <c r="EM269" s="34"/>
      <c r="EN269" s="34"/>
      <c r="EO269" s="34"/>
      <c r="EP269" s="34"/>
      <c r="EQ269" s="34"/>
      <c r="ER269" s="34"/>
      <c r="ES269" s="34"/>
      <c r="ET269" s="34"/>
      <c r="EU269" s="34"/>
      <c r="EV269" s="34"/>
      <c r="EW269" s="34"/>
      <c r="EX269" s="34"/>
      <c r="EY269" s="34"/>
      <c r="EZ269" s="34"/>
      <c r="FA269" s="34"/>
      <c r="FB269" s="34"/>
      <c r="FC269" s="34"/>
      <c r="FD269" s="34"/>
      <c r="FE269" s="34"/>
      <c r="FF269" s="34"/>
      <c r="FG269" s="34"/>
      <c r="FH269" s="34"/>
      <c r="FI269" s="34"/>
      <c r="FJ269" s="34"/>
      <c r="FK269" s="34"/>
      <c r="FL269" s="34"/>
      <c r="FM269" s="34"/>
      <c r="FN269" s="34"/>
      <c r="FO269" s="34"/>
      <c r="FP269" s="34"/>
      <c r="FQ269" s="34"/>
      <c r="FR269" s="34"/>
      <c r="FS269" s="34"/>
      <c r="FT269" s="34"/>
      <c r="FU269" s="34"/>
      <c r="FV269" s="34"/>
      <c r="FW269" s="34"/>
      <c r="FX269" s="34"/>
      <c r="FY269" s="34"/>
      <c r="FZ269" s="34"/>
    </row>
    <row r="270" spans="104:182" s="89" customFormat="1" ht="13.5" x14ac:dyDescent="0.25"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  <c r="DN270" s="34"/>
      <c r="DO270" s="34"/>
      <c r="DP270" s="34"/>
      <c r="DQ270" s="34"/>
      <c r="DR270" s="34"/>
      <c r="DS270" s="34"/>
      <c r="DT270" s="34"/>
      <c r="DU270" s="34"/>
      <c r="DV270" s="34"/>
      <c r="DW270" s="34"/>
      <c r="DX270" s="34"/>
      <c r="DY270" s="34"/>
      <c r="DZ270" s="34"/>
      <c r="EA270" s="34"/>
      <c r="EB270" s="34"/>
      <c r="EC270" s="34"/>
      <c r="ED270" s="34"/>
      <c r="EE270" s="34"/>
      <c r="EF270" s="34"/>
      <c r="EG270" s="34"/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4"/>
      <c r="FB270" s="34"/>
      <c r="FC270" s="34"/>
      <c r="FD270" s="34"/>
      <c r="FE270" s="34"/>
      <c r="FF270" s="34"/>
      <c r="FG270" s="34"/>
      <c r="FH270" s="34"/>
      <c r="FI270" s="34"/>
      <c r="FJ270" s="34"/>
      <c r="FK270" s="34"/>
      <c r="FL270" s="34"/>
      <c r="FM270" s="34"/>
      <c r="FN270" s="34"/>
      <c r="FO270" s="34"/>
      <c r="FP270" s="34"/>
      <c r="FQ270" s="34"/>
      <c r="FR270" s="34"/>
      <c r="FS270" s="34"/>
      <c r="FT270" s="34"/>
      <c r="FU270" s="34"/>
      <c r="FV270" s="34"/>
      <c r="FW270" s="34"/>
      <c r="FX270" s="34"/>
      <c r="FY270" s="34"/>
      <c r="FZ270" s="34"/>
    </row>
    <row r="271" spans="104:182" s="89" customFormat="1" ht="13.5" x14ac:dyDescent="0.25"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  <c r="DM271" s="34"/>
      <c r="DN271" s="34"/>
      <c r="DO271" s="34"/>
      <c r="DP271" s="34"/>
      <c r="DQ271" s="34"/>
      <c r="DR271" s="34"/>
      <c r="DS271" s="34"/>
      <c r="DT271" s="34"/>
      <c r="DU271" s="34"/>
      <c r="DV271" s="34"/>
      <c r="DW271" s="34"/>
      <c r="DX271" s="34"/>
      <c r="DY271" s="34"/>
      <c r="DZ271" s="34"/>
      <c r="EA271" s="34"/>
      <c r="EB271" s="34"/>
      <c r="EC271" s="34"/>
      <c r="ED271" s="34"/>
      <c r="EE271" s="34"/>
      <c r="EF271" s="34"/>
      <c r="EG271" s="34"/>
      <c r="EH271" s="34"/>
      <c r="EI271" s="34"/>
      <c r="EJ271" s="34"/>
      <c r="EK271" s="34"/>
      <c r="EL271" s="34"/>
      <c r="EM271" s="34"/>
      <c r="EN271" s="34"/>
      <c r="EO271" s="34"/>
      <c r="EP271" s="34"/>
      <c r="EQ271" s="34"/>
      <c r="ER271" s="34"/>
      <c r="ES271" s="34"/>
      <c r="ET271" s="34"/>
      <c r="EU271" s="34"/>
      <c r="EV271" s="34"/>
      <c r="EW271" s="34"/>
      <c r="EX271" s="34"/>
      <c r="EY271" s="34"/>
      <c r="EZ271" s="34"/>
      <c r="FA271" s="34"/>
      <c r="FB271" s="34"/>
      <c r="FC271" s="34"/>
      <c r="FD271" s="34"/>
      <c r="FE271" s="34"/>
      <c r="FF271" s="34"/>
      <c r="FG271" s="34"/>
      <c r="FH271" s="34"/>
      <c r="FI271" s="34"/>
      <c r="FJ271" s="34"/>
      <c r="FK271" s="34"/>
      <c r="FL271" s="34"/>
      <c r="FM271" s="34"/>
      <c r="FN271" s="34"/>
      <c r="FO271" s="34"/>
      <c r="FP271" s="34"/>
      <c r="FQ271" s="34"/>
      <c r="FR271" s="34"/>
      <c r="FS271" s="34"/>
      <c r="FT271" s="34"/>
      <c r="FU271" s="34"/>
      <c r="FV271" s="34"/>
      <c r="FW271" s="34"/>
      <c r="FX271" s="34"/>
      <c r="FY271" s="34"/>
      <c r="FZ271" s="34"/>
    </row>
    <row r="272" spans="104:182" s="89" customFormat="1" ht="13.5" x14ac:dyDescent="0.25"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3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4"/>
      <c r="FB272" s="34"/>
      <c r="FC272" s="34"/>
      <c r="FD272" s="34"/>
      <c r="FE272" s="34"/>
      <c r="FF272" s="34"/>
      <c r="FG272" s="34"/>
      <c r="FH272" s="34"/>
      <c r="FI272" s="34"/>
      <c r="FJ272" s="34"/>
      <c r="FK272" s="34"/>
      <c r="FL272" s="34"/>
      <c r="FM272" s="34"/>
      <c r="FN272" s="34"/>
      <c r="FO272" s="34"/>
      <c r="FP272" s="34"/>
      <c r="FQ272" s="34"/>
      <c r="FR272" s="34"/>
      <c r="FS272" s="34"/>
      <c r="FT272" s="34"/>
      <c r="FU272" s="34"/>
      <c r="FV272" s="34"/>
      <c r="FW272" s="34"/>
      <c r="FX272" s="34"/>
      <c r="FY272" s="34"/>
      <c r="FZ272" s="34"/>
    </row>
    <row r="273" spans="104:182" s="89" customFormat="1" ht="13.5" x14ac:dyDescent="0.25">
      <c r="CZ273" s="34"/>
      <c r="DA273" s="34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  <c r="DM273" s="34"/>
      <c r="DN273" s="34"/>
      <c r="DO273" s="34"/>
      <c r="DP273" s="34"/>
      <c r="DQ273" s="34"/>
      <c r="DR273" s="34"/>
      <c r="DS273" s="34"/>
      <c r="DT273" s="34"/>
      <c r="DU273" s="34"/>
      <c r="DV273" s="34"/>
      <c r="DW273" s="34"/>
      <c r="DX273" s="34"/>
      <c r="DY273" s="34"/>
      <c r="DZ273" s="34"/>
      <c r="EA273" s="34"/>
      <c r="EB273" s="34"/>
      <c r="EC273" s="34"/>
      <c r="ED273" s="34"/>
      <c r="EE273" s="34"/>
      <c r="EF273" s="34"/>
      <c r="EG273" s="34"/>
      <c r="EH273" s="34"/>
      <c r="EI273" s="34"/>
      <c r="EJ273" s="34"/>
      <c r="EK273" s="34"/>
      <c r="EL273" s="34"/>
      <c r="EM273" s="34"/>
      <c r="EN273" s="34"/>
      <c r="EO273" s="34"/>
      <c r="EP273" s="34"/>
      <c r="EQ273" s="34"/>
      <c r="ER273" s="34"/>
      <c r="ES273" s="34"/>
      <c r="ET273" s="34"/>
      <c r="EU273" s="34"/>
      <c r="EV273" s="34"/>
      <c r="EW273" s="34"/>
      <c r="EX273" s="34"/>
      <c r="EY273" s="34"/>
      <c r="EZ273" s="34"/>
      <c r="FA273" s="34"/>
      <c r="FB273" s="34"/>
      <c r="FC273" s="34"/>
      <c r="FD273" s="34"/>
      <c r="FE273" s="34"/>
      <c r="FF273" s="34"/>
      <c r="FG273" s="34"/>
      <c r="FH273" s="34"/>
      <c r="FI273" s="34"/>
      <c r="FJ273" s="34"/>
      <c r="FK273" s="34"/>
      <c r="FL273" s="34"/>
      <c r="FM273" s="34"/>
      <c r="FN273" s="34"/>
      <c r="FO273" s="34"/>
      <c r="FP273" s="34"/>
      <c r="FQ273" s="34"/>
      <c r="FR273" s="34"/>
      <c r="FS273" s="34"/>
      <c r="FT273" s="34"/>
      <c r="FU273" s="34"/>
      <c r="FV273" s="34"/>
      <c r="FW273" s="34"/>
      <c r="FX273" s="34"/>
      <c r="FY273" s="34"/>
      <c r="FZ273" s="34"/>
    </row>
    <row r="274" spans="104:182" s="89" customFormat="1" ht="13.5" x14ac:dyDescent="0.25"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  <c r="DN274" s="34"/>
      <c r="DO274" s="34"/>
      <c r="DP274" s="34"/>
      <c r="DQ274" s="34"/>
      <c r="DR274" s="34"/>
      <c r="DS274" s="34"/>
      <c r="DT274" s="34"/>
      <c r="DU274" s="34"/>
      <c r="DV274" s="34"/>
      <c r="DW274" s="34"/>
      <c r="DX274" s="34"/>
      <c r="DY274" s="34"/>
      <c r="DZ274" s="34"/>
      <c r="EA274" s="34"/>
      <c r="EB274" s="34"/>
      <c r="EC274" s="34"/>
      <c r="ED274" s="34"/>
      <c r="EE274" s="34"/>
      <c r="EF274" s="34"/>
      <c r="EG274" s="34"/>
      <c r="EH274" s="34"/>
      <c r="EI274" s="34"/>
      <c r="EJ274" s="34"/>
      <c r="EK274" s="34"/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4"/>
      <c r="FB274" s="34"/>
      <c r="FC274" s="34"/>
      <c r="FD274" s="34"/>
      <c r="FE274" s="34"/>
      <c r="FF274" s="34"/>
      <c r="FG274" s="34"/>
      <c r="FH274" s="34"/>
      <c r="FI274" s="34"/>
      <c r="FJ274" s="34"/>
      <c r="FK274" s="34"/>
      <c r="FL274" s="34"/>
      <c r="FM274" s="34"/>
      <c r="FN274" s="34"/>
      <c r="FO274" s="34"/>
      <c r="FP274" s="34"/>
      <c r="FQ274" s="34"/>
      <c r="FR274" s="34"/>
      <c r="FS274" s="34"/>
      <c r="FT274" s="34"/>
      <c r="FU274" s="34"/>
      <c r="FV274" s="34"/>
      <c r="FW274" s="34"/>
      <c r="FX274" s="34"/>
      <c r="FY274" s="34"/>
      <c r="FZ274" s="34"/>
    </row>
    <row r="275" spans="104:182" s="89" customFormat="1" ht="13.5" x14ac:dyDescent="0.25">
      <c r="CZ275" s="34"/>
      <c r="DA275" s="34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  <c r="DM275" s="34"/>
      <c r="DN275" s="34"/>
      <c r="DO275" s="34"/>
      <c r="DP275" s="34"/>
      <c r="DQ275" s="34"/>
      <c r="DR275" s="34"/>
      <c r="DS275" s="34"/>
      <c r="DT275" s="34"/>
      <c r="DU275" s="34"/>
      <c r="DV275" s="34"/>
      <c r="DW275" s="34"/>
      <c r="DX275" s="34"/>
      <c r="DY275" s="34"/>
      <c r="DZ275" s="34"/>
      <c r="EA275" s="34"/>
      <c r="EB275" s="34"/>
      <c r="EC275" s="34"/>
      <c r="ED275" s="34"/>
      <c r="EE275" s="34"/>
      <c r="EF275" s="34"/>
      <c r="EG275" s="34"/>
      <c r="EH275" s="34"/>
      <c r="EI275" s="34"/>
      <c r="EJ275" s="34"/>
      <c r="EK275" s="34"/>
      <c r="EL275" s="34"/>
      <c r="EM275" s="34"/>
      <c r="EN275" s="34"/>
      <c r="EO275" s="34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4"/>
      <c r="FB275" s="34"/>
      <c r="FC275" s="34"/>
      <c r="FD275" s="34"/>
      <c r="FE275" s="34"/>
      <c r="FF275" s="34"/>
      <c r="FG275" s="34"/>
      <c r="FH275" s="34"/>
      <c r="FI275" s="34"/>
      <c r="FJ275" s="34"/>
      <c r="FK275" s="34"/>
      <c r="FL275" s="34"/>
      <c r="FM275" s="34"/>
      <c r="FN275" s="34"/>
      <c r="FO275" s="34"/>
      <c r="FP275" s="34"/>
      <c r="FQ275" s="34"/>
      <c r="FR275" s="34"/>
      <c r="FS275" s="34"/>
      <c r="FT275" s="34"/>
      <c r="FU275" s="34"/>
      <c r="FV275" s="34"/>
      <c r="FW275" s="34"/>
      <c r="FX275" s="34"/>
      <c r="FY275" s="34"/>
      <c r="FZ275" s="34"/>
    </row>
    <row r="276" spans="104:182" s="89" customFormat="1" ht="13.5" x14ac:dyDescent="0.25"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  <c r="DN276" s="34"/>
      <c r="DO276" s="34"/>
      <c r="DP276" s="34"/>
      <c r="DQ276" s="34"/>
      <c r="DR276" s="34"/>
      <c r="DS276" s="34"/>
      <c r="DT276" s="34"/>
      <c r="DU276" s="34"/>
      <c r="DV276" s="34"/>
      <c r="DW276" s="34"/>
      <c r="DX276" s="34"/>
      <c r="DY276" s="34"/>
      <c r="DZ276" s="34"/>
      <c r="EA276" s="34"/>
      <c r="EB276" s="34"/>
      <c r="EC276" s="34"/>
      <c r="ED276" s="34"/>
      <c r="EE276" s="34"/>
      <c r="EF276" s="34"/>
      <c r="EG276" s="34"/>
      <c r="EH276" s="34"/>
      <c r="EI276" s="34"/>
      <c r="EJ276" s="34"/>
      <c r="EK276" s="34"/>
      <c r="EL276" s="34"/>
      <c r="EM276" s="34"/>
      <c r="EN276" s="34"/>
      <c r="EO276" s="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4"/>
      <c r="FB276" s="34"/>
      <c r="FC276" s="34"/>
      <c r="FD276" s="34"/>
      <c r="FE276" s="34"/>
      <c r="FF276" s="34"/>
      <c r="FG276" s="34"/>
      <c r="FH276" s="34"/>
      <c r="FI276" s="34"/>
      <c r="FJ276" s="34"/>
      <c r="FK276" s="34"/>
      <c r="FL276" s="34"/>
      <c r="FM276" s="34"/>
      <c r="FN276" s="34"/>
      <c r="FO276" s="34"/>
      <c r="FP276" s="34"/>
      <c r="FQ276" s="34"/>
      <c r="FR276" s="34"/>
      <c r="FS276" s="34"/>
      <c r="FT276" s="34"/>
      <c r="FU276" s="34"/>
      <c r="FV276" s="34"/>
      <c r="FW276" s="34"/>
      <c r="FX276" s="34"/>
      <c r="FY276" s="34"/>
      <c r="FZ276" s="34"/>
    </row>
    <row r="277" spans="104:182" s="89" customFormat="1" ht="13.5" x14ac:dyDescent="0.25">
      <c r="CZ277" s="34"/>
      <c r="DA277" s="34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  <c r="DM277" s="34"/>
      <c r="DN277" s="34"/>
      <c r="DO277" s="34"/>
      <c r="DP277" s="34"/>
      <c r="DQ277" s="34"/>
      <c r="DR277" s="34"/>
      <c r="DS277" s="34"/>
      <c r="DT277" s="34"/>
      <c r="DU277" s="34"/>
      <c r="DV277" s="34"/>
      <c r="DW277" s="34"/>
      <c r="DX277" s="34"/>
      <c r="DY277" s="34"/>
      <c r="DZ277" s="34"/>
      <c r="EA277" s="34"/>
      <c r="EB277" s="34"/>
      <c r="EC277" s="34"/>
      <c r="ED277" s="34"/>
      <c r="EE277" s="34"/>
      <c r="EF277" s="34"/>
      <c r="EG277" s="34"/>
      <c r="EH277" s="34"/>
      <c r="EI277" s="34"/>
      <c r="EJ277" s="34"/>
      <c r="EK277" s="34"/>
      <c r="EL277" s="34"/>
      <c r="EM277" s="34"/>
      <c r="EN277" s="34"/>
      <c r="EO277" s="34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4"/>
      <c r="FB277" s="34"/>
      <c r="FC277" s="34"/>
      <c r="FD277" s="34"/>
      <c r="FE277" s="34"/>
      <c r="FF277" s="34"/>
      <c r="FG277" s="34"/>
      <c r="FH277" s="34"/>
      <c r="FI277" s="34"/>
      <c r="FJ277" s="34"/>
      <c r="FK277" s="34"/>
      <c r="FL277" s="34"/>
      <c r="FM277" s="34"/>
      <c r="FN277" s="34"/>
      <c r="FO277" s="34"/>
      <c r="FP277" s="34"/>
      <c r="FQ277" s="34"/>
      <c r="FR277" s="34"/>
      <c r="FS277" s="34"/>
      <c r="FT277" s="34"/>
      <c r="FU277" s="34"/>
      <c r="FV277" s="34"/>
      <c r="FW277" s="34"/>
      <c r="FX277" s="34"/>
      <c r="FY277" s="34"/>
      <c r="FZ277" s="34"/>
    </row>
    <row r="278" spans="104:182" s="89" customFormat="1" ht="13.5" x14ac:dyDescent="0.25"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  <c r="DN278" s="34"/>
      <c r="DO278" s="34"/>
      <c r="DP278" s="34"/>
      <c r="DQ278" s="34"/>
      <c r="DR278" s="34"/>
      <c r="DS278" s="34"/>
      <c r="DT278" s="34"/>
      <c r="DU278" s="34"/>
      <c r="DV278" s="34"/>
      <c r="DW278" s="34"/>
      <c r="DX278" s="34"/>
      <c r="DY278" s="34"/>
      <c r="DZ278" s="34"/>
      <c r="EA278" s="34"/>
      <c r="EB278" s="34"/>
      <c r="EC278" s="34"/>
      <c r="ED278" s="34"/>
      <c r="EE278" s="34"/>
      <c r="EF278" s="34"/>
      <c r="EG278" s="34"/>
      <c r="EH278" s="34"/>
      <c r="EI278" s="34"/>
      <c r="EJ278" s="34"/>
      <c r="EK278" s="34"/>
      <c r="EL278" s="34"/>
      <c r="EM278" s="34"/>
      <c r="EN278" s="34"/>
      <c r="EO278" s="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4"/>
      <c r="FB278" s="34"/>
      <c r="FC278" s="34"/>
      <c r="FD278" s="34"/>
      <c r="FE278" s="34"/>
      <c r="FF278" s="34"/>
      <c r="FG278" s="34"/>
      <c r="FH278" s="34"/>
      <c r="FI278" s="34"/>
      <c r="FJ278" s="34"/>
      <c r="FK278" s="34"/>
      <c r="FL278" s="34"/>
      <c r="FM278" s="34"/>
      <c r="FN278" s="34"/>
      <c r="FO278" s="34"/>
      <c r="FP278" s="34"/>
      <c r="FQ278" s="34"/>
      <c r="FR278" s="34"/>
      <c r="FS278" s="34"/>
      <c r="FT278" s="34"/>
      <c r="FU278" s="34"/>
      <c r="FV278" s="34"/>
      <c r="FW278" s="34"/>
      <c r="FX278" s="34"/>
      <c r="FY278" s="34"/>
      <c r="FZ278" s="34"/>
    </row>
    <row r="279" spans="104:182" s="89" customFormat="1" ht="13.5" x14ac:dyDescent="0.25"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  <c r="DN279" s="34"/>
      <c r="DO279" s="34"/>
      <c r="DP279" s="34"/>
      <c r="DQ279" s="34"/>
      <c r="DR279" s="34"/>
      <c r="DS279" s="34"/>
      <c r="DT279" s="34"/>
      <c r="DU279" s="34"/>
      <c r="DV279" s="34"/>
      <c r="DW279" s="34"/>
      <c r="DX279" s="34"/>
      <c r="DY279" s="34"/>
      <c r="DZ279" s="34"/>
      <c r="EA279" s="34"/>
      <c r="EB279" s="34"/>
      <c r="EC279" s="34"/>
      <c r="ED279" s="34"/>
      <c r="EE279" s="34"/>
      <c r="EF279" s="34"/>
      <c r="EG279" s="34"/>
      <c r="EH279" s="34"/>
      <c r="EI279" s="34"/>
      <c r="EJ279" s="34"/>
      <c r="EK279" s="34"/>
      <c r="EL279" s="34"/>
      <c r="EM279" s="34"/>
      <c r="EN279" s="34"/>
      <c r="EO279" s="34"/>
      <c r="EP279" s="34"/>
      <c r="EQ279" s="34"/>
      <c r="ER279" s="34"/>
      <c r="ES279" s="34"/>
      <c r="ET279" s="34"/>
      <c r="EU279" s="34"/>
      <c r="EV279" s="34"/>
      <c r="EW279" s="34"/>
      <c r="EX279" s="34"/>
      <c r="EY279" s="34"/>
      <c r="EZ279" s="34"/>
      <c r="FA279" s="34"/>
      <c r="FB279" s="34"/>
      <c r="FC279" s="34"/>
      <c r="FD279" s="34"/>
      <c r="FE279" s="34"/>
      <c r="FF279" s="34"/>
      <c r="FG279" s="34"/>
      <c r="FH279" s="34"/>
      <c r="FI279" s="34"/>
      <c r="FJ279" s="34"/>
      <c r="FK279" s="34"/>
      <c r="FL279" s="34"/>
      <c r="FM279" s="34"/>
      <c r="FN279" s="34"/>
      <c r="FO279" s="34"/>
      <c r="FP279" s="34"/>
      <c r="FQ279" s="34"/>
      <c r="FR279" s="34"/>
      <c r="FS279" s="34"/>
      <c r="FT279" s="34"/>
      <c r="FU279" s="34"/>
      <c r="FV279" s="34"/>
      <c r="FW279" s="34"/>
      <c r="FX279" s="34"/>
      <c r="FY279" s="34"/>
      <c r="FZ279" s="34"/>
    </row>
    <row r="280" spans="104:182" s="89" customFormat="1" ht="13.5" x14ac:dyDescent="0.25"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  <c r="FH280" s="34"/>
      <c r="FI280" s="34"/>
      <c r="FJ280" s="34"/>
      <c r="FK280" s="34"/>
      <c r="FL280" s="34"/>
      <c r="FM280" s="34"/>
      <c r="FN280" s="34"/>
      <c r="FO280" s="34"/>
      <c r="FP280" s="34"/>
      <c r="FQ280" s="34"/>
      <c r="FR280" s="34"/>
      <c r="FS280" s="34"/>
      <c r="FT280" s="34"/>
      <c r="FU280" s="34"/>
      <c r="FV280" s="34"/>
      <c r="FW280" s="34"/>
      <c r="FX280" s="34"/>
      <c r="FY280" s="34"/>
      <c r="FZ280" s="34"/>
    </row>
    <row r="281" spans="104:182" s="89" customFormat="1" ht="13.5" x14ac:dyDescent="0.25"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4"/>
      <c r="EE281" s="34"/>
      <c r="EF281" s="34"/>
      <c r="EG281" s="34"/>
      <c r="EH281" s="34"/>
      <c r="EI281" s="34"/>
      <c r="EJ281" s="34"/>
      <c r="EK281" s="34"/>
      <c r="EL281" s="34"/>
      <c r="EM281" s="34"/>
      <c r="EN281" s="34"/>
      <c r="EO281" s="34"/>
      <c r="EP281" s="34"/>
      <c r="EQ281" s="34"/>
      <c r="ER281" s="34"/>
      <c r="ES281" s="34"/>
      <c r="ET281" s="34"/>
      <c r="EU281" s="34"/>
      <c r="EV281" s="34"/>
      <c r="EW281" s="34"/>
      <c r="EX281" s="34"/>
      <c r="EY281" s="34"/>
      <c r="EZ281" s="34"/>
      <c r="FA281" s="34"/>
      <c r="FB281" s="34"/>
      <c r="FC281" s="34"/>
      <c r="FD281" s="34"/>
      <c r="FE281" s="34"/>
      <c r="FF281" s="34"/>
      <c r="FG281" s="34"/>
      <c r="FH281" s="34"/>
      <c r="FI281" s="34"/>
      <c r="FJ281" s="34"/>
      <c r="FK281" s="34"/>
      <c r="FL281" s="34"/>
      <c r="FM281" s="34"/>
      <c r="FN281" s="34"/>
      <c r="FO281" s="34"/>
      <c r="FP281" s="34"/>
      <c r="FQ281" s="34"/>
      <c r="FR281" s="34"/>
      <c r="FS281" s="34"/>
      <c r="FT281" s="34"/>
      <c r="FU281" s="34"/>
      <c r="FV281" s="34"/>
      <c r="FW281" s="34"/>
      <c r="FX281" s="34"/>
      <c r="FY281" s="34"/>
      <c r="FZ281" s="34"/>
    </row>
    <row r="282" spans="104:182" s="89" customFormat="1" ht="13.5" x14ac:dyDescent="0.25"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  <c r="DN282" s="34"/>
      <c r="DO282" s="34"/>
      <c r="DP282" s="34"/>
      <c r="DQ282" s="34"/>
      <c r="DR282" s="34"/>
      <c r="DS282" s="34"/>
      <c r="DT282" s="34"/>
      <c r="DU282" s="34"/>
      <c r="DV282" s="34"/>
      <c r="DW282" s="34"/>
      <c r="DX282" s="34"/>
      <c r="DY282" s="34"/>
      <c r="DZ282" s="34"/>
      <c r="EA282" s="34"/>
      <c r="EB282" s="34"/>
      <c r="EC282" s="34"/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  <c r="EX282" s="34"/>
      <c r="EY282" s="34"/>
      <c r="EZ282" s="34"/>
      <c r="FA282" s="34"/>
      <c r="FB282" s="34"/>
      <c r="FC282" s="34"/>
      <c r="FD282" s="34"/>
      <c r="FE282" s="34"/>
      <c r="FF282" s="34"/>
      <c r="FG282" s="34"/>
      <c r="FH282" s="34"/>
      <c r="FI282" s="34"/>
      <c r="FJ282" s="34"/>
      <c r="FK282" s="34"/>
      <c r="FL282" s="34"/>
      <c r="FM282" s="34"/>
      <c r="FN282" s="34"/>
      <c r="FO282" s="34"/>
      <c r="FP282" s="34"/>
      <c r="FQ282" s="34"/>
      <c r="FR282" s="34"/>
      <c r="FS282" s="34"/>
      <c r="FT282" s="34"/>
      <c r="FU282" s="34"/>
      <c r="FV282" s="34"/>
      <c r="FW282" s="34"/>
      <c r="FX282" s="34"/>
      <c r="FY282" s="34"/>
      <c r="FZ282" s="34"/>
    </row>
    <row r="283" spans="104:182" s="89" customFormat="1" ht="13.5" x14ac:dyDescent="0.25">
      <c r="CZ283" s="34"/>
      <c r="DA283" s="34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  <c r="DM283" s="34"/>
      <c r="DN283" s="34"/>
      <c r="DO283" s="34"/>
      <c r="DP283" s="34"/>
      <c r="DQ283" s="34"/>
      <c r="DR283" s="34"/>
      <c r="DS283" s="34"/>
      <c r="DT283" s="34"/>
      <c r="DU283" s="34"/>
      <c r="DV283" s="34"/>
      <c r="DW283" s="34"/>
      <c r="DX283" s="34"/>
      <c r="DY283" s="34"/>
      <c r="DZ283" s="34"/>
      <c r="EA283" s="34"/>
      <c r="EB283" s="34"/>
      <c r="EC283" s="34"/>
      <c r="ED283" s="34"/>
      <c r="EE283" s="34"/>
      <c r="EF283" s="34"/>
      <c r="EG283" s="34"/>
      <c r="EH283" s="34"/>
      <c r="EI283" s="34"/>
      <c r="EJ283" s="34"/>
      <c r="EK283" s="34"/>
      <c r="EL283" s="34"/>
      <c r="EM283" s="34"/>
      <c r="EN283" s="34"/>
      <c r="EO283" s="34"/>
      <c r="EP283" s="34"/>
      <c r="EQ283" s="34"/>
      <c r="ER283" s="34"/>
      <c r="ES283" s="34"/>
      <c r="ET283" s="34"/>
      <c r="EU283" s="34"/>
      <c r="EV283" s="34"/>
      <c r="EW283" s="34"/>
      <c r="EX283" s="34"/>
      <c r="EY283" s="34"/>
      <c r="EZ283" s="34"/>
      <c r="FA283" s="34"/>
      <c r="FB283" s="34"/>
      <c r="FC283" s="34"/>
      <c r="FD283" s="34"/>
      <c r="FE283" s="34"/>
      <c r="FF283" s="34"/>
      <c r="FG283" s="34"/>
      <c r="FH283" s="34"/>
      <c r="FI283" s="34"/>
      <c r="FJ283" s="34"/>
      <c r="FK283" s="34"/>
      <c r="FL283" s="34"/>
      <c r="FM283" s="34"/>
      <c r="FN283" s="34"/>
      <c r="FO283" s="34"/>
      <c r="FP283" s="34"/>
      <c r="FQ283" s="34"/>
      <c r="FR283" s="34"/>
      <c r="FS283" s="34"/>
      <c r="FT283" s="34"/>
      <c r="FU283" s="34"/>
      <c r="FV283" s="34"/>
      <c r="FW283" s="34"/>
      <c r="FX283" s="34"/>
      <c r="FY283" s="34"/>
      <c r="FZ283" s="34"/>
    </row>
    <row r="284" spans="104:182" s="89" customFormat="1" ht="13.5" x14ac:dyDescent="0.25">
      <c r="CZ284" s="34"/>
      <c r="DA284" s="34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  <c r="DM284" s="34"/>
      <c r="DN284" s="34"/>
      <c r="DO284" s="34"/>
      <c r="DP284" s="34"/>
      <c r="DQ284" s="34"/>
      <c r="DR284" s="34"/>
      <c r="DS284" s="34"/>
      <c r="DT284" s="34"/>
      <c r="DU284" s="34"/>
      <c r="DV284" s="34"/>
      <c r="DW284" s="34"/>
      <c r="DX284" s="34"/>
      <c r="DY284" s="34"/>
      <c r="DZ284" s="34"/>
      <c r="EA284" s="34"/>
      <c r="EB284" s="34"/>
      <c r="EC284" s="34"/>
      <c r="ED284" s="34"/>
      <c r="EE284" s="34"/>
      <c r="EF284" s="34"/>
      <c r="EG284" s="34"/>
      <c r="EH284" s="34"/>
      <c r="EI284" s="34"/>
      <c r="EJ284" s="34"/>
      <c r="EK284" s="34"/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  <c r="EX284" s="34"/>
      <c r="EY284" s="34"/>
      <c r="EZ284" s="34"/>
      <c r="FA284" s="34"/>
      <c r="FB284" s="34"/>
      <c r="FC284" s="34"/>
      <c r="FD284" s="34"/>
      <c r="FE284" s="34"/>
      <c r="FF284" s="34"/>
      <c r="FG284" s="34"/>
      <c r="FH284" s="34"/>
      <c r="FI284" s="34"/>
      <c r="FJ284" s="34"/>
      <c r="FK284" s="34"/>
      <c r="FL284" s="34"/>
      <c r="FM284" s="34"/>
      <c r="FN284" s="34"/>
      <c r="FO284" s="34"/>
      <c r="FP284" s="34"/>
      <c r="FQ284" s="34"/>
      <c r="FR284" s="34"/>
      <c r="FS284" s="34"/>
      <c r="FT284" s="34"/>
      <c r="FU284" s="34"/>
      <c r="FV284" s="34"/>
      <c r="FW284" s="34"/>
      <c r="FX284" s="34"/>
      <c r="FY284" s="34"/>
      <c r="FZ284" s="34"/>
    </row>
    <row r="285" spans="104:182" s="89" customFormat="1" ht="13.5" x14ac:dyDescent="0.25"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  <c r="DN285" s="34"/>
      <c r="DO285" s="34"/>
      <c r="DP285" s="34"/>
      <c r="DQ285" s="34"/>
      <c r="DR285" s="34"/>
      <c r="DS285" s="34"/>
      <c r="DT285" s="34"/>
      <c r="DU285" s="34"/>
      <c r="DV285" s="34"/>
      <c r="DW285" s="34"/>
      <c r="DX285" s="34"/>
      <c r="DY285" s="34"/>
      <c r="DZ285" s="34"/>
      <c r="EA285" s="34"/>
      <c r="EB285" s="34"/>
      <c r="EC285" s="34"/>
      <c r="ED285" s="34"/>
      <c r="EE285" s="34"/>
      <c r="EF285" s="34"/>
      <c r="EG285" s="34"/>
      <c r="EH285" s="34"/>
      <c r="EI285" s="34"/>
      <c r="EJ285" s="34"/>
      <c r="EK285" s="34"/>
      <c r="EL285" s="34"/>
      <c r="EM285" s="34"/>
      <c r="EN285" s="34"/>
      <c r="EO285" s="34"/>
      <c r="EP285" s="34"/>
      <c r="EQ285" s="34"/>
      <c r="ER285" s="34"/>
      <c r="ES285" s="34"/>
      <c r="ET285" s="34"/>
      <c r="EU285" s="34"/>
      <c r="EV285" s="34"/>
      <c r="EW285" s="34"/>
      <c r="EX285" s="34"/>
      <c r="EY285" s="34"/>
      <c r="EZ285" s="34"/>
      <c r="FA285" s="34"/>
      <c r="FB285" s="34"/>
      <c r="FC285" s="34"/>
      <c r="FD285" s="34"/>
      <c r="FE285" s="34"/>
      <c r="FF285" s="34"/>
      <c r="FG285" s="34"/>
      <c r="FH285" s="34"/>
      <c r="FI285" s="34"/>
      <c r="FJ285" s="34"/>
      <c r="FK285" s="34"/>
      <c r="FL285" s="34"/>
      <c r="FM285" s="34"/>
      <c r="FN285" s="34"/>
      <c r="FO285" s="34"/>
      <c r="FP285" s="34"/>
      <c r="FQ285" s="34"/>
      <c r="FR285" s="34"/>
      <c r="FS285" s="34"/>
      <c r="FT285" s="34"/>
      <c r="FU285" s="34"/>
      <c r="FV285" s="34"/>
      <c r="FW285" s="34"/>
      <c r="FX285" s="34"/>
      <c r="FY285" s="34"/>
      <c r="FZ285" s="34"/>
    </row>
    <row r="286" spans="104:182" s="89" customFormat="1" ht="13.5" x14ac:dyDescent="0.25"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  <c r="FH286" s="34"/>
      <c r="FI286" s="34"/>
      <c r="FJ286" s="34"/>
      <c r="FK286" s="34"/>
      <c r="FL286" s="34"/>
      <c r="FM286" s="34"/>
      <c r="FN286" s="34"/>
      <c r="FO286" s="34"/>
      <c r="FP286" s="34"/>
      <c r="FQ286" s="34"/>
      <c r="FR286" s="34"/>
      <c r="FS286" s="34"/>
      <c r="FT286" s="34"/>
      <c r="FU286" s="34"/>
      <c r="FV286" s="34"/>
      <c r="FW286" s="34"/>
      <c r="FX286" s="34"/>
      <c r="FY286" s="34"/>
      <c r="FZ286" s="34"/>
    </row>
    <row r="287" spans="104:182" s="89" customFormat="1" ht="13.5" x14ac:dyDescent="0.25">
      <c r="CZ287" s="34"/>
      <c r="DA287" s="34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  <c r="DM287" s="34"/>
      <c r="DN287" s="34"/>
      <c r="DO287" s="34"/>
      <c r="DP287" s="34"/>
      <c r="DQ287" s="34"/>
      <c r="DR287" s="34"/>
      <c r="DS287" s="34"/>
      <c r="DT287" s="34"/>
      <c r="DU287" s="34"/>
      <c r="DV287" s="34"/>
      <c r="DW287" s="34"/>
      <c r="DX287" s="34"/>
      <c r="DY287" s="34"/>
      <c r="DZ287" s="34"/>
      <c r="EA287" s="34"/>
      <c r="EB287" s="34"/>
      <c r="EC287" s="34"/>
      <c r="ED287" s="34"/>
      <c r="EE287" s="34"/>
      <c r="EF287" s="34"/>
      <c r="EG287" s="34"/>
      <c r="EH287" s="34"/>
      <c r="EI287" s="34"/>
      <c r="EJ287" s="34"/>
      <c r="EK287" s="34"/>
      <c r="EL287" s="34"/>
      <c r="EM287" s="34"/>
      <c r="EN287" s="34"/>
      <c r="EO287" s="34"/>
      <c r="EP287" s="34"/>
      <c r="EQ287" s="34"/>
      <c r="ER287" s="34"/>
      <c r="ES287" s="34"/>
      <c r="ET287" s="34"/>
      <c r="EU287" s="34"/>
      <c r="EV287" s="34"/>
      <c r="EW287" s="34"/>
      <c r="EX287" s="34"/>
      <c r="EY287" s="34"/>
      <c r="EZ287" s="34"/>
      <c r="FA287" s="34"/>
      <c r="FB287" s="34"/>
      <c r="FC287" s="34"/>
      <c r="FD287" s="34"/>
      <c r="FE287" s="34"/>
      <c r="FF287" s="34"/>
      <c r="FG287" s="34"/>
      <c r="FH287" s="34"/>
      <c r="FI287" s="34"/>
      <c r="FJ287" s="34"/>
      <c r="FK287" s="34"/>
      <c r="FL287" s="34"/>
      <c r="FM287" s="34"/>
      <c r="FN287" s="34"/>
      <c r="FO287" s="34"/>
      <c r="FP287" s="34"/>
      <c r="FQ287" s="34"/>
      <c r="FR287" s="34"/>
      <c r="FS287" s="34"/>
      <c r="FT287" s="34"/>
      <c r="FU287" s="34"/>
      <c r="FV287" s="34"/>
      <c r="FW287" s="34"/>
      <c r="FX287" s="34"/>
      <c r="FY287" s="34"/>
      <c r="FZ287" s="34"/>
    </row>
    <row r="288" spans="104:182" s="89" customFormat="1" ht="13.5" x14ac:dyDescent="0.25"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  <c r="FH288" s="34"/>
      <c r="FI288" s="34"/>
      <c r="FJ288" s="34"/>
      <c r="FK288" s="34"/>
      <c r="FL288" s="34"/>
      <c r="FM288" s="34"/>
      <c r="FN288" s="34"/>
      <c r="FO288" s="34"/>
      <c r="FP288" s="34"/>
      <c r="FQ288" s="34"/>
      <c r="FR288" s="34"/>
      <c r="FS288" s="34"/>
      <c r="FT288" s="34"/>
      <c r="FU288" s="34"/>
      <c r="FV288" s="34"/>
      <c r="FW288" s="34"/>
      <c r="FX288" s="34"/>
      <c r="FY288" s="34"/>
      <c r="FZ288" s="34"/>
    </row>
    <row r="289" spans="104:182" s="89" customFormat="1" ht="13.5" x14ac:dyDescent="0.25">
      <c r="CZ289" s="34"/>
      <c r="DA289" s="34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  <c r="DM289" s="34"/>
      <c r="DN289" s="34"/>
      <c r="DO289" s="34"/>
      <c r="DP289" s="34"/>
      <c r="DQ289" s="34"/>
      <c r="DR289" s="34"/>
      <c r="DS289" s="34"/>
      <c r="DT289" s="34"/>
      <c r="DU289" s="34"/>
      <c r="DV289" s="34"/>
      <c r="DW289" s="34"/>
      <c r="DX289" s="34"/>
      <c r="DY289" s="34"/>
      <c r="DZ289" s="34"/>
      <c r="EA289" s="34"/>
      <c r="EB289" s="34"/>
      <c r="EC289" s="34"/>
      <c r="ED289" s="34"/>
      <c r="EE289" s="34"/>
      <c r="EF289" s="34"/>
      <c r="EG289" s="34"/>
      <c r="EH289" s="34"/>
      <c r="EI289" s="34"/>
      <c r="EJ289" s="34"/>
      <c r="EK289" s="34"/>
      <c r="EL289" s="34"/>
      <c r="EM289" s="34"/>
      <c r="EN289" s="34"/>
      <c r="EO289" s="34"/>
      <c r="EP289" s="34"/>
      <c r="EQ289" s="34"/>
      <c r="ER289" s="34"/>
      <c r="ES289" s="34"/>
      <c r="ET289" s="34"/>
      <c r="EU289" s="34"/>
      <c r="EV289" s="34"/>
      <c r="EW289" s="34"/>
      <c r="EX289" s="34"/>
      <c r="EY289" s="34"/>
      <c r="EZ289" s="34"/>
      <c r="FA289" s="34"/>
      <c r="FB289" s="34"/>
      <c r="FC289" s="34"/>
      <c r="FD289" s="34"/>
      <c r="FE289" s="34"/>
      <c r="FF289" s="34"/>
      <c r="FG289" s="34"/>
      <c r="FH289" s="34"/>
      <c r="FI289" s="34"/>
      <c r="FJ289" s="34"/>
      <c r="FK289" s="34"/>
      <c r="FL289" s="34"/>
      <c r="FM289" s="34"/>
      <c r="FN289" s="34"/>
      <c r="FO289" s="34"/>
      <c r="FP289" s="34"/>
      <c r="FQ289" s="34"/>
      <c r="FR289" s="34"/>
      <c r="FS289" s="34"/>
      <c r="FT289" s="34"/>
      <c r="FU289" s="34"/>
      <c r="FV289" s="34"/>
      <c r="FW289" s="34"/>
      <c r="FX289" s="34"/>
      <c r="FY289" s="34"/>
      <c r="FZ289" s="34"/>
    </row>
    <row r="290" spans="104:182" s="89" customFormat="1" ht="13.5" x14ac:dyDescent="0.25"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  <c r="FH290" s="34"/>
      <c r="FI290" s="34"/>
      <c r="FJ290" s="34"/>
      <c r="FK290" s="34"/>
      <c r="FL290" s="34"/>
      <c r="FM290" s="34"/>
      <c r="FN290" s="34"/>
      <c r="FO290" s="34"/>
      <c r="FP290" s="34"/>
      <c r="FQ290" s="34"/>
      <c r="FR290" s="34"/>
      <c r="FS290" s="34"/>
      <c r="FT290" s="34"/>
      <c r="FU290" s="34"/>
      <c r="FV290" s="34"/>
      <c r="FW290" s="34"/>
      <c r="FX290" s="34"/>
      <c r="FY290" s="34"/>
      <c r="FZ290" s="34"/>
    </row>
    <row r="291" spans="104:182" s="89" customFormat="1" ht="13.5" x14ac:dyDescent="0.25"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  <c r="FH291" s="34"/>
      <c r="FI291" s="34"/>
      <c r="FJ291" s="34"/>
      <c r="FK291" s="34"/>
      <c r="FL291" s="34"/>
      <c r="FM291" s="34"/>
      <c r="FN291" s="34"/>
      <c r="FO291" s="34"/>
      <c r="FP291" s="34"/>
      <c r="FQ291" s="34"/>
      <c r="FR291" s="34"/>
      <c r="FS291" s="34"/>
      <c r="FT291" s="34"/>
      <c r="FU291" s="34"/>
      <c r="FV291" s="34"/>
      <c r="FW291" s="34"/>
      <c r="FX291" s="34"/>
      <c r="FY291" s="34"/>
      <c r="FZ291" s="34"/>
    </row>
    <row r="292" spans="104:182" s="89" customFormat="1" ht="13.5" x14ac:dyDescent="0.25"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  <c r="FH292" s="34"/>
      <c r="FI292" s="34"/>
      <c r="FJ292" s="34"/>
      <c r="FK292" s="34"/>
      <c r="FL292" s="34"/>
      <c r="FM292" s="34"/>
      <c r="FN292" s="34"/>
      <c r="FO292" s="34"/>
      <c r="FP292" s="34"/>
      <c r="FQ292" s="34"/>
      <c r="FR292" s="34"/>
      <c r="FS292" s="34"/>
      <c r="FT292" s="34"/>
      <c r="FU292" s="34"/>
      <c r="FV292" s="34"/>
      <c r="FW292" s="34"/>
      <c r="FX292" s="34"/>
      <c r="FY292" s="34"/>
      <c r="FZ292" s="34"/>
    </row>
    <row r="293" spans="104:182" s="89" customFormat="1" ht="13.5" x14ac:dyDescent="0.25"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  <c r="FH293" s="34"/>
      <c r="FI293" s="34"/>
      <c r="FJ293" s="34"/>
      <c r="FK293" s="34"/>
      <c r="FL293" s="34"/>
      <c r="FM293" s="34"/>
      <c r="FN293" s="34"/>
      <c r="FO293" s="34"/>
      <c r="FP293" s="34"/>
      <c r="FQ293" s="34"/>
      <c r="FR293" s="34"/>
      <c r="FS293" s="34"/>
      <c r="FT293" s="34"/>
      <c r="FU293" s="34"/>
      <c r="FV293" s="34"/>
      <c r="FW293" s="34"/>
      <c r="FX293" s="34"/>
      <c r="FY293" s="34"/>
      <c r="FZ293" s="34"/>
    </row>
    <row r="294" spans="104:182" s="89" customFormat="1" ht="13.5" x14ac:dyDescent="0.25"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  <c r="FH294" s="34"/>
      <c r="FI294" s="34"/>
      <c r="FJ294" s="34"/>
      <c r="FK294" s="34"/>
      <c r="FL294" s="34"/>
      <c r="FM294" s="34"/>
      <c r="FN294" s="34"/>
      <c r="FO294" s="34"/>
      <c r="FP294" s="34"/>
      <c r="FQ294" s="34"/>
      <c r="FR294" s="34"/>
      <c r="FS294" s="34"/>
      <c r="FT294" s="34"/>
      <c r="FU294" s="34"/>
      <c r="FV294" s="34"/>
      <c r="FW294" s="34"/>
      <c r="FX294" s="34"/>
      <c r="FY294" s="34"/>
      <c r="FZ294" s="34"/>
    </row>
    <row r="295" spans="104:182" s="89" customFormat="1" ht="13.5" x14ac:dyDescent="0.25"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  <c r="FH295" s="34"/>
      <c r="FI295" s="34"/>
      <c r="FJ295" s="34"/>
      <c r="FK295" s="34"/>
      <c r="FL295" s="34"/>
      <c r="FM295" s="34"/>
      <c r="FN295" s="34"/>
      <c r="FO295" s="34"/>
      <c r="FP295" s="34"/>
      <c r="FQ295" s="34"/>
      <c r="FR295" s="34"/>
      <c r="FS295" s="34"/>
      <c r="FT295" s="34"/>
      <c r="FU295" s="34"/>
      <c r="FV295" s="34"/>
      <c r="FW295" s="34"/>
      <c r="FX295" s="34"/>
      <c r="FY295" s="34"/>
      <c r="FZ295" s="34"/>
    </row>
    <row r="296" spans="104:182" s="89" customFormat="1" ht="13.5" x14ac:dyDescent="0.25"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  <c r="FH296" s="34"/>
      <c r="FI296" s="34"/>
      <c r="FJ296" s="34"/>
      <c r="FK296" s="34"/>
      <c r="FL296" s="34"/>
      <c r="FM296" s="34"/>
      <c r="FN296" s="34"/>
      <c r="FO296" s="34"/>
      <c r="FP296" s="34"/>
      <c r="FQ296" s="34"/>
      <c r="FR296" s="34"/>
      <c r="FS296" s="34"/>
      <c r="FT296" s="34"/>
      <c r="FU296" s="34"/>
      <c r="FV296" s="34"/>
      <c r="FW296" s="34"/>
      <c r="FX296" s="34"/>
      <c r="FY296" s="34"/>
      <c r="FZ296" s="34"/>
    </row>
    <row r="297" spans="104:182" s="89" customFormat="1" ht="13.5" x14ac:dyDescent="0.25">
      <c r="CZ297" s="34"/>
      <c r="DA297" s="34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  <c r="DM297" s="34"/>
      <c r="DN297" s="34"/>
      <c r="DO297" s="34"/>
      <c r="DP297" s="34"/>
      <c r="DQ297" s="34"/>
      <c r="DR297" s="34"/>
      <c r="DS297" s="34"/>
      <c r="DT297" s="34"/>
      <c r="DU297" s="34"/>
      <c r="DV297" s="34"/>
      <c r="DW297" s="34"/>
      <c r="DX297" s="34"/>
      <c r="DY297" s="34"/>
      <c r="DZ297" s="34"/>
      <c r="EA297" s="34"/>
      <c r="EB297" s="34"/>
      <c r="EC297" s="34"/>
      <c r="ED297" s="34"/>
      <c r="EE297" s="34"/>
      <c r="EF297" s="34"/>
      <c r="EG297" s="34"/>
      <c r="EH297" s="34"/>
      <c r="EI297" s="34"/>
      <c r="EJ297" s="34"/>
      <c r="EK297" s="34"/>
      <c r="EL297" s="34"/>
      <c r="EM297" s="34"/>
      <c r="EN297" s="34"/>
      <c r="EO297" s="34"/>
      <c r="EP297" s="34"/>
      <c r="EQ297" s="34"/>
      <c r="ER297" s="34"/>
      <c r="ES297" s="34"/>
      <c r="ET297" s="34"/>
      <c r="EU297" s="34"/>
      <c r="EV297" s="34"/>
      <c r="EW297" s="34"/>
      <c r="EX297" s="34"/>
      <c r="EY297" s="34"/>
      <c r="EZ297" s="34"/>
      <c r="FA297" s="34"/>
      <c r="FB297" s="34"/>
      <c r="FC297" s="34"/>
      <c r="FD297" s="34"/>
      <c r="FE297" s="34"/>
      <c r="FF297" s="34"/>
      <c r="FG297" s="34"/>
      <c r="FH297" s="34"/>
      <c r="FI297" s="34"/>
      <c r="FJ297" s="34"/>
      <c r="FK297" s="34"/>
      <c r="FL297" s="34"/>
      <c r="FM297" s="34"/>
      <c r="FN297" s="34"/>
      <c r="FO297" s="34"/>
      <c r="FP297" s="34"/>
      <c r="FQ297" s="34"/>
      <c r="FR297" s="34"/>
      <c r="FS297" s="34"/>
      <c r="FT297" s="34"/>
      <c r="FU297" s="34"/>
      <c r="FV297" s="34"/>
      <c r="FW297" s="34"/>
      <c r="FX297" s="34"/>
      <c r="FY297" s="34"/>
      <c r="FZ297" s="34"/>
    </row>
    <row r="298" spans="104:182" s="89" customFormat="1" ht="13.5" x14ac:dyDescent="0.25"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  <c r="FH298" s="34"/>
      <c r="FI298" s="34"/>
      <c r="FJ298" s="34"/>
      <c r="FK298" s="34"/>
      <c r="FL298" s="34"/>
      <c r="FM298" s="34"/>
      <c r="FN298" s="34"/>
      <c r="FO298" s="34"/>
      <c r="FP298" s="34"/>
      <c r="FQ298" s="34"/>
      <c r="FR298" s="34"/>
      <c r="FS298" s="34"/>
      <c r="FT298" s="34"/>
      <c r="FU298" s="34"/>
      <c r="FV298" s="34"/>
      <c r="FW298" s="34"/>
      <c r="FX298" s="34"/>
      <c r="FY298" s="34"/>
      <c r="FZ298" s="34"/>
    </row>
    <row r="299" spans="104:182" s="89" customFormat="1" ht="13.5" x14ac:dyDescent="0.25"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  <c r="FH299" s="34"/>
      <c r="FI299" s="34"/>
      <c r="FJ299" s="34"/>
      <c r="FK299" s="34"/>
      <c r="FL299" s="34"/>
      <c r="FM299" s="34"/>
      <c r="FN299" s="34"/>
      <c r="FO299" s="34"/>
      <c r="FP299" s="34"/>
      <c r="FQ299" s="34"/>
      <c r="FR299" s="34"/>
      <c r="FS299" s="34"/>
      <c r="FT299" s="34"/>
      <c r="FU299" s="34"/>
      <c r="FV299" s="34"/>
      <c r="FW299" s="34"/>
      <c r="FX299" s="34"/>
      <c r="FY299" s="34"/>
      <c r="FZ299" s="34"/>
    </row>
    <row r="300" spans="104:182" s="89" customFormat="1" ht="13.5" x14ac:dyDescent="0.25"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  <c r="FH300" s="34"/>
      <c r="FI300" s="34"/>
      <c r="FJ300" s="34"/>
      <c r="FK300" s="34"/>
      <c r="FL300" s="34"/>
      <c r="FM300" s="34"/>
      <c r="FN300" s="34"/>
      <c r="FO300" s="34"/>
      <c r="FP300" s="34"/>
      <c r="FQ300" s="34"/>
      <c r="FR300" s="34"/>
      <c r="FS300" s="34"/>
      <c r="FT300" s="34"/>
      <c r="FU300" s="34"/>
      <c r="FV300" s="34"/>
      <c r="FW300" s="34"/>
      <c r="FX300" s="34"/>
      <c r="FY300" s="34"/>
      <c r="FZ300" s="34"/>
    </row>
    <row r="301" spans="104:182" s="89" customFormat="1" ht="13.5" x14ac:dyDescent="0.25"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4"/>
      <c r="DX301" s="34"/>
      <c r="DY301" s="34"/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  <c r="EX301" s="34"/>
      <c r="EY301" s="34"/>
      <c r="EZ301" s="34"/>
      <c r="FA301" s="34"/>
      <c r="FB301" s="34"/>
      <c r="FC301" s="34"/>
      <c r="FD301" s="34"/>
      <c r="FE301" s="34"/>
      <c r="FF301" s="34"/>
      <c r="FG301" s="34"/>
      <c r="FH301" s="34"/>
      <c r="FI301" s="34"/>
      <c r="FJ301" s="34"/>
      <c r="FK301" s="34"/>
      <c r="FL301" s="34"/>
      <c r="FM301" s="34"/>
      <c r="FN301" s="34"/>
      <c r="FO301" s="34"/>
      <c r="FP301" s="34"/>
      <c r="FQ301" s="34"/>
      <c r="FR301" s="34"/>
      <c r="FS301" s="34"/>
      <c r="FT301" s="34"/>
      <c r="FU301" s="34"/>
      <c r="FV301" s="34"/>
      <c r="FW301" s="34"/>
      <c r="FX301" s="34"/>
      <c r="FY301" s="34"/>
      <c r="FZ301" s="34"/>
    </row>
    <row r="302" spans="104:182" s="89" customFormat="1" ht="13.5" x14ac:dyDescent="0.25"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  <c r="FH302" s="34"/>
      <c r="FI302" s="34"/>
      <c r="FJ302" s="34"/>
      <c r="FK302" s="34"/>
      <c r="FL302" s="34"/>
      <c r="FM302" s="34"/>
      <c r="FN302" s="34"/>
      <c r="FO302" s="34"/>
      <c r="FP302" s="34"/>
      <c r="FQ302" s="34"/>
      <c r="FR302" s="34"/>
      <c r="FS302" s="34"/>
      <c r="FT302" s="34"/>
      <c r="FU302" s="34"/>
      <c r="FV302" s="34"/>
      <c r="FW302" s="34"/>
      <c r="FX302" s="34"/>
      <c r="FY302" s="34"/>
      <c r="FZ302" s="34"/>
    </row>
    <row r="303" spans="104:182" s="89" customFormat="1" ht="13.5" x14ac:dyDescent="0.25">
      <c r="CZ303" s="34"/>
      <c r="DA303" s="34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  <c r="DM303" s="34"/>
      <c r="DN303" s="34"/>
      <c r="DO303" s="34"/>
      <c r="DP303" s="34"/>
      <c r="DQ303" s="34"/>
      <c r="DR303" s="34"/>
      <c r="DS303" s="34"/>
      <c r="DT303" s="34"/>
      <c r="DU303" s="34"/>
      <c r="DV303" s="34"/>
      <c r="DW303" s="34"/>
      <c r="DX303" s="34"/>
      <c r="DY303" s="34"/>
      <c r="DZ303" s="34"/>
      <c r="EA303" s="34"/>
      <c r="EB303" s="34"/>
      <c r="EC303" s="34"/>
      <c r="ED303" s="34"/>
      <c r="EE303" s="34"/>
      <c r="EF303" s="34"/>
      <c r="EG303" s="34"/>
      <c r="EH303" s="34"/>
      <c r="EI303" s="34"/>
      <c r="EJ303" s="34"/>
      <c r="EK303" s="34"/>
      <c r="EL303" s="34"/>
      <c r="EM303" s="34"/>
      <c r="EN303" s="34"/>
      <c r="EO303" s="34"/>
      <c r="EP303" s="34"/>
      <c r="EQ303" s="34"/>
      <c r="ER303" s="34"/>
      <c r="ES303" s="34"/>
      <c r="ET303" s="34"/>
      <c r="EU303" s="34"/>
      <c r="EV303" s="34"/>
      <c r="EW303" s="34"/>
      <c r="EX303" s="34"/>
      <c r="EY303" s="34"/>
      <c r="EZ303" s="34"/>
      <c r="FA303" s="34"/>
      <c r="FB303" s="34"/>
      <c r="FC303" s="34"/>
      <c r="FD303" s="34"/>
      <c r="FE303" s="34"/>
      <c r="FF303" s="34"/>
      <c r="FG303" s="34"/>
      <c r="FH303" s="34"/>
      <c r="FI303" s="34"/>
      <c r="FJ303" s="34"/>
      <c r="FK303" s="34"/>
      <c r="FL303" s="34"/>
      <c r="FM303" s="34"/>
      <c r="FN303" s="34"/>
      <c r="FO303" s="34"/>
      <c r="FP303" s="34"/>
      <c r="FQ303" s="34"/>
      <c r="FR303" s="34"/>
      <c r="FS303" s="34"/>
      <c r="FT303" s="34"/>
      <c r="FU303" s="34"/>
      <c r="FV303" s="34"/>
      <c r="FW303" s="34"/>
      <c r="FX303" s="34"/>
      <c r="FY303" s="34"/>
      <c r="FZ303" s="34"/>
    </row>
    <row r="304" spans="104:182" s="89" customFormat="1" ht="13.5" x14ac:dyDescent="0.25"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  <c r="FH304" s="34"/>
      <c r="FI304" s="34"/>
      <c r="FJ304" s="34"/>
      <c r="FK304" s="34"/>
      <c r="FL304" s="34"/>
      <c r="FM304" s="34"/>
      <c r="FN304" s="34"/>
      <c r="FO304" s="34"/>
      <c r="FP304" s="34"/>
      <c r="FQ304" s="34"/>
      <c r="FR304" s="34"/>
      <c r="FS304" s="34"/>
      <c r="FT304" s="34"/>
      <c r="FU304" s="34"/>
      <c r="FV304" s="34"/>
      <c r="FW304" s="34"/>
      <c r="FX304" s="34"/>
      <c r="FY304" s="34"/>
      <c r="FZ304" s="34"/>
    </row>
    <row r="305" spans="104:182" s="89" customFormat="1" ht="13.5" x14ac:dyDescent="0.25"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  <c r="DN305" s="34"/>
      <c r="DO305" s="34"/>
      <c r="DP305" s="34"/>
      <c r="DQ305" s="34"/>
      <c r="DR305" s="34"/>
      <c r="DS305" s="34"/>
      <c r="DT305" s="34"/>
      <c r="DU305" s="34"/>
      <c r="DV305" s="34"/>
      <c r="DW305" s="34"/>
      <c r="DX305" s="34"/>
      <c r="DY305" s="34"/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  <c r="EX305" s="34"/>
      <c r="EY305" s="34"/>
      <c r="EZ305" s="34"/>
      <c r="FA305" s="34"/>
      <c r="FB305" s="34"/>
      <c r="FC305" s="34"/>
      <c r="FD305" s="34"/>
      <c r="FE305" s="34"/>
      <c r="FF305" s="34"/>
      <c r="FG305" s="34"/>
      <c r="FH305" s="34"/>
      <c r="FI305" s="34"/>
      <c r="FJ305" s="34"/>
      <c r="FK305" s="34"/>
      <c r="FL305" s="34"/>
      <c r="FM305" s="34"/>
      <c r="FN305" s="34"/>
      <c r="FO305" s="34"/>
      <c r="FP305" s="34"/>
      <c r="FQ305" s="34"/>
      <c r="FR305" s="34"/>
      <c r="FS305" s="34"/>
      <c r="FT305" s="34"/>
      <c r="FU305" s="34"/>
      <c r="FV305" s="34"/>
      <c r="FW305" s="34"/>
      <c r="FX305" s="34"/>
      <c r="FY305" s="34"/>
      <c r="FZ305" s="34"/>
    </row>
    <row r="306" spans="104:182" s="89" customFormat="1" ht="13.5" x14ac:dyDescent="0.25"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  <c r="FH306" s="34"/>
      <c r="FI306" s="34"/>
      <c r="FJ306" s="34"/>
      <c r="FK306" s="34"/>
      <c r="FL306" s="34"/>
      <c r="FM306" s="34"/>
      <c r="FN306" s="34"/>
      <c r="FO306" s="34"/>
      <c r="FP306" s="34"/>
      <c r="FQ306" s="34"/>
      <c r="FR306" s="34"/>
      <c r="FS306" s="34"/>
      <c r="FT306" s="34"/>
      <c r="FU306" s="34"/>
      <c r="FV306" s="34"/>
      <c r="FW306" s="34"/>
      <c r="FX306" s="34"/>
      <c r="FY306" s="34"/>
      <c r="FZ306" s="34"/>
    </row>
    <row r="307" spans="104:182" s="89" customFormat="1" ht="13.5" x14ac:dyDescent="0.25"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  <c r="DN307" s="34"/>
      <c r="DO307" s="34"/>
      <c r="DP307" s="34"/>
      <c r="DQ307" s="34"/>
      <c r="DR307" s="34"/>
      <c r="DS307" s="34"/>
      <c r="DT307" s="34"/>
      <c r="DU307" s="34"/>
      <c r="DV307" s="34"/>
      <c r="DW307" s="34"/>
      <c r="DX307" s="34"/>
      <c r="DY307" s="34"/>
      <c r="DZ307" s="34"/>
      <c r="EA307" s="34"/>
      <c r="EB307" s="34"/>
      <c r="EC307" s="34"/>
      <c r="ED307" s="34"/>
      <c r="EE307" s="34"/>
      <c r="EF307" s="34"/>
      <c r="EG307" s="34"/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  <c r="EX307" s="34"/>
      <c r="EY307" s="34"/>
      <c r="EZ307" s="34"/>
      <c r="FA307" s="34"/>
      <c r="FB307" s="34"/>
      <c r="FC307" s="34"/>
      <c r="FD307" s="34"/>
      <c r="FE307" s="34"/>
      <c r="FF307" s="34"/>
      <c r="FG307" s="34"/>
      <c r="FH307" s="34"/>
      <c r="FI307" s="34"/>
      <c r="FJ307" s="34"/>
      <c r="FK307" s="34"/>
      <c r="FL307" s="34"/>
      <c r="FM307" s="34"/>
      <c r="FN307" s="34"/>
      <c r="FO307" s="34"/>
      <c r="FP307" s="34"/>
      <c r="FQ307" s="34"/>
      <c r="FR307" s="34"/>
      <c r="FS307" s="34"/>
      <c r="FT307" s="34"/>
      <c r="FU307" s="34"/>
      <c r="FV307" s="34"/>
      <c r="FW307" s="34"/>
      <c r="FX307" s="34"/>
      <c r="FY307" s="34"/>
      <c r="FZ307" s="34"/>
    </row>
    <row r="308" spans="104:182" s="89" customFormat="1" ht="13.5" x14ac:dyDescent="0.25"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  <c r="FH308" s="34"/>
      <c r="FI308" s="34"/>
      <c r="FJ308" s="34"/>
      <c r="FK308" s="34"/>
      <c r="FL308" s="34"/>
      <c r="FM308" s="34"/>
      <c r="FN308" s="34"/>
      <c r="FO308" s="34"/>
      <c r="FP308" s="34"/>
      <c r="FQ308" s="34"/>
      <c r="FR308" s="34"/>
      <c r="FS308" s="34"/>
      <c r="FT308" s="34"/>
      <c r="FU308" s="34"/>
      <c r="FV308" s="34"/>
      <c r="FW308" s="34"/>
      <c r="FX308" s="34"/>
      <c r="FY308" s="34"/>
      <c r="FZ308" s="34"/>
    </row>
    <row r="309" spans="104:182" s="89" customFormat="1" ht="13.5" x14ac:dyDescent="0.25"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  <c r="DN309" s="34"/>
      <c r="DO309" s="34"/>
      <c r="DP309" s="34"/>
      <c r="DQ309" s="34"/>
      <c r="DR309" s="34"/>
      <c r="DS309" s="34"/>
      <c r="DT309" s="34"/>
      <c r="DU309" s="34"/>
      <c r="DV309" s="34"/>
      <c r="DW309" s="34"/>
      <c r="DX309" s="34"/>
      <c r="DY309" s="34"/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  <c r="EX309" s="34"/>
      <c r="EY309" s="34"/>
      <c r="EZ309" s="34"/>
      <c r="FA309" s="34"/>
      <c r="FB309" s="34"/>
      <c r="FC309" s="34"/>
      <c r="FD309" s="34"/>
      <c r="FE309" s="34"/>
      <c r="FF309" s="34"/>
      <c r="FG309" s="34"/>
      <c r="FH309" s="34"/>
      <c r="FI309" s="34"/>
      <c r="FJ309" s="34"/>
      <c r="FK309" s="34"/>
      <c r="FL309" s="34"/>
      <c r="FM309" s="34"/>
      <c r="FN309" s="34"/>
      <c r="FO309" s="34"/>
      <c r="FP309" s="34"/>
      <c r="FQ309" s="34"/>
      <c r="FR309" s="34"/>
      <c r="FS309" s="34"/>
      <c r="FT309" s="34"/>
      <c r="FU309" s="34"/>
      <c r="FV309" s="34"/>
      <c r="FW309" s="34"/>
      <c r="FX309" s="34"/>
      <c r="FY309" s="34"/>
      <c r="FZ309" s="34"/>
    </row>
    <row r="310" spans="104:182" s="89" customFormat="1" ht="13.5" x14ac:dyDescent="0.25"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  <c r="FH310" s="34"/>
      <c r="FI310" s="34"/>
      <c r="FJ310" s="34"/>
      <c r="FK310" s="34"/>
      <c r="FL310" s="34"/>
      <c r="FM310" s="34"/>
      <c r="FN310" s="34"/>
      <c r="FO310" s="34"/>
      <c r="FP310" s="34"/>
      <c r="FQ310" s="34"/>
      <c r="FR310" s="34"/>
      <c r="FS310" s="34"/>
      <c r="FT310" s="34"/>
      <c r="FU310" s="34"/>
      <c r="FV310" s="34"/>
      <c r="FW310" s="34"/>
      <c r="FX310" s="34"/>
      <c r="FY310" s="34"/>
      <c r="FZ310" s="34"/>
    </row>
    <row r="311" spans="104:182" s="89" customFormat="1" ht="13.5" x14ac:dyDescent="0.25"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  <c r="DN311" s="34"/>
      <c r="DO311" s="34"/>
      <c r="DP311" s="34"/>
      <c r="DQ311" s="34"/>
      <c r="DR311" s="34"/>
      <c r="DS311" s="34"/>
      <c r="DT311" s="34"/>
      <c r="DU311" s="34"/>
      <c r="DV311" s="34"/>
      <c r="DW311" s="34"/>
      <c r="DX311" s="34"/>
      <c r="DY311" s="34"/>
      <c r="DZ311" s="34"/>
      <c r="EA311" s="34"/>
      <c r="EB311" s="34"/>
      <c r="EC311" s="34"/>
      <c r="ED311" s="34"/>
      <c r="EE311" s="34"/>
      <c r="EF311" s="34"/>
      <c r="EG311" s="34"/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  <c r="EX311" s="34"/>
      <c r="EY311" s="34"/>
      <c r="EZ311" s="34"/>
      <c r="FA311" s="34"/>
      <c r="FB311" s="34"/>
      <c r="FC311" s="34"/>
      <c r="FD311" s="34"/>
      <c r="FE311" s="34"/>
      <c r="FF311" s="34"/>
      <c r="FG311" s="34"/>
      <c r="FH311" s="34"/>
      <c r="FI311" s="34"/>
      <c r="FJ311" s="34"/>
      <c r="FK311" s="34"/>
      <c r="FL311" s="34"/>
      <c r="FM311" s="34"/>
      <c r="FN311" s="34"/>
      <c r="FO311" s="34"/>
      <c r="FP311" s="34"/>
      <c r="FQ311" s="34"/>
      <c r="FR311" s="34"/>
      <c r="FS311" s="34"/>
      <c r="FT311" s="34"/>
      <c r="FU311" s="34"/>
      <c r="FV311" s="34"/>
      <c r="FW311" s="34"/>
      <c r="FX311" s="34"/>
      <c r="FY311" s="34"/>
      <c r="FZ311" s="34"/>
    </row>
    <row r="312" spans="104:182" s="89" customFormat="1" ht="13.5" x14ac:dyDescent="0.25"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  <c r="FH312" s="34"/>
      <c r="FI312" s="34"/>
      <c r="FJ312" s="34"/>
      <c r="FK312" s="34"/>
      <c r="FL312" s="34"/>
      <c r="FM312" s="34"/>
      <c r="FN312" s="34"/>
      <c r="FO312" s="34"/>
      <c r="FP312" s="34"/>
      <c r="FQ312" s="34"/>
      <c r="FR312" s="34"/>
      <c r="FS312" s="34"/>
      <c r="FT312" s="34"/>
      <c r="FU312" s="34"/>
      <c r="FV312" s="34"/>
      <c r="FW312" s="34"/>
      <c r="FX312" s="34"/>
      <c r="FY312" s="34"/>
      <c r="FZ312" s="34"/>
    </row>
    <row r="313" spans="104:182" s="89" customFormat="1" ht="13.5" x14ac:dyDescent="0.25"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  <c r="FH313" s="34"/>
      <c r="FI313" s="34"/>
      <c r="FJ313" s="34"/>
      <c r="FK313" s="34"/>
      <c r="FL313" s="34"/>
      <c r="FM313" s="34"/>
      <c r="FN313" s="34"/>
      <c r="FO313" s="34"/>
      <c r="FP313" s="34"/>
      <c r="FQ313" s="34"/>
      <c r="FR313" s="34"/>
      <c r="FS313" s="34"/>
      <c r="FT313" s="34"/>
      <c r="FU313" s="34"/>
      <c r="FV313" s="34"/>
      <c r="FW313" s="34"/>
      <c r="FX313" s="34"/>
      <c r="FY313" s="34"/>
      <c r="FZ313" s="34"/>
    </row>
    <row r="314" spans="104:182" s="89" customFormat="1" ht="13.5" x14ac:dyDescent="0.25"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  <c r="FH314" s="34"/>
      <c r="FI314" s="34"/>
      <c r="FJ314" s="34"/>
      <c r="FK314" s="34"/>
      <c r="FL314" s="34"/>
      <c r="FM314" s="34"/>
      <c r="FN314" s="34"/>
      <c r="FO314" s="34"/>
      <c r="FP314" s="34"/>
      <c r="FQ314" s="34"/>
      <c r="FR314" s="34"/>
      <c r="FS314" s="34"/>
      <c r="FT314" s="34"/>
      <c r="FU314" s="34"/>
      <c r="FV314" s="34"/>
      <c r="FW314" s="34"/>
      <c r="FX314" s="34"/>
      <c r="FY314" s="34"/>
      <c r="FZ314" s="34"/>
    </row>
    <row r="315" spans="104:182" s="89" customFormat="1" ht="13.5" x14ac:dyDescent="0.25"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  <c r="FH315" s="34"/>
      <c r="FI315" s="34"/>
      <c r="FJ315" s="34"/>
      <c r="FK315" s="34"/>
      <c r="FL315" s="34"/>
      <c r="FM315" s="34"/>
      <c r="FN315" s="34"/>
      <c r="FO315" s="34"/>
      <c r="FP315" s="34"/>
      <c r="FQ315" s="34"/>
      <c r="FR315" s="34"/>
      <c r="FS315" s="34"/>
      <c r="FT315" s="34"/>
      <c r="FU315" s="34"/>
      <c r="FV315" s="34"/>
      <c r="FW315" s="34"/>
      <c r="FX315" s="34"/>
      <c r="FY315" s="34"/>
      <c r="FZ315" s="34"/>
    </row>
    <row r="316" spans="104:182" s="89" customFormat="1" ht="13.5" x14ac:dyDescent="0.25"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  <c r="FH316" s="34"/>
      <c r="FI316" s="34"/>
      <c r="FJ316" s="34"/>
      <c r="FK316" s="34"/>
      <c r="FL316" s="34"/>
      <c r="FM316" s="34"/>
      <c r="FN316" s="34"/>
      <c r="FO316" s="34"/>
      <c r="FP316" s="34"/>
      <c r="FQ316" s="34"/>
      <c r="FR316" s="34"/>
      <c r="FS316" s="34"/>
      <c r="FT316" s="34"/>
      <c r="FU316" s="34"/>
      <c r="FV316" s="34"/>
      <c r="FW316" s="34"/>
      <c r="FX316" s="34"/>
      <c r="FY316" s="34"/>
      <c r="FZ316" s="34"/>
    </row>
    <row r="317" spans="104:182" s="89" customFormat="1" ht="13.5" x14ac:dyDescent="0.25"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  <c r="FH317" s="34"/>
      <c r="FI317" s="34"/>
      <c r="FJ317" s="34"/>
      <c r="FK317" s="34"/>
      <c r="FL317" s="34"/>
      <c r="FM317" s="34"/>
      <c r="FN317" s="34"/>
      <c r="FO317" s="34"/>
      <c r="FP317" s="34"/>
      <c r="FQ317" s="34"/>
      <c r="FR317" s="34"/>
      <c r="FS317" s="34"/>
      <c r="FT317" s="34"/>
      <c r="FU317" s="34"/>
      <c r="FV317" s="34"/>
      <c r="FW317" s="34"/>
      <c r="FX317" s="34"/>
      <c r="FY317" s="34"/>
      <c r="FZ317" s="34"/>
    </row>
    <row r="318" spans="104:182" s="89" customFormat="1" ht="13.5" x14ac:dyDescent="0.25"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  <c r="FH318" s="34"/>
      <c r="FI318" s="34"/>
      <c r="FJ318" s="34"/>
      <c r="FK318" s="34"/>
      <c r="FL318" s="34"/>
      <c r="FM318" s="34"/>
      <c r="FN318" s="34"/>
      <c r="FO318" s="34"/>
      <c r="FP318" s="34"/>
      <c r="FQ318" s="34"/>
      <c r="FR318" s="34"/>
      <c r="FS318" s="34"/>
      <c r="FT318" s="34"/>
      <c r="FU318" s="34"/>
      <c r="FV318" s="34"/>
      <c r="FW318" s="34"/>
      <c r="FX318" s="34"/>
      <c r="FY318" s="34"/>
      <c r="FZ318" s="34"/>
    </row>
    <row r="319" spans="104:182" s="89" customFormat="1" ht="13.5" x14ac:dyDescent="0.25"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  <c r="FH319" s="34"/>
      <c r="FI319" s="34"/>
      <c r="FJ319" s="34"/>
      <c r="FK319" s="34"/>
      <c r="FL319" s="34"/>
      <c r="FM319" s="34"/>
      <c r="FN319" s="34"/>
      <c r="FO319" s="34"/>
      <c r="FP319" s="34"/>
      <c r="FQ319" s="34"/>
      <c r="FR319" s="34"/>
      <c r="FS319" s="34"/>
      <c r="FT319" s="34"/>
      <c r="FU319" s="34"/>
      <c r="FV319" s="34"/>
      <c r="FW319" s="34"/>
      <c r="FX319" s="34"/>
      <c r="FY319" s="34"/>
      <c r="FZ319" s="34"/>
    </row>
    <row r="320" spans="104:182" s="89" customFormat="1" ht="13.5" x14ac:dyDescent="0.25"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  <c r="FH320" s="34"/>
      <c r="FI320" s="34"/>
      <c r="FJ320" s="34"/>
      <c r="FK320" s="34"/>
      <c r="FL320" s="34"/>
      <c r="FM320" s="34"/>
      <c r="FN320" s="34"/>
      <c r="FO320" s="34"/>
      <c r="FP320" s="34"/>
      <c r="FQ320" s="34"/>
      <c r="FR320" s="34"/>
      <c r="FS320" s="34"/>
      <c r="FT320" s="34"/>
      <c r="FU320" s="34"/>
      <c r="FV320" s="34"/>
      <c r="FW320" s="34"/>
      <c r="FX320" s="34"/>
      <c r="FY320" s="34"/>
      <c r="FZ320" s="34"/>
    </row>
    <row r="321" spans="104:182" s="89" customFormat="1" ht="13.5" x14ac:dyDescent="0.25"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  <c r="DN321" s="34"/>
      <c r="DO321" s="34"/>
      <c r="DP321" s="34"/>
      <c r="DQ321" s="34"/>
      <c r="DR321" s="34"/>
      <c r="DS321" s="34"/>
      <c r="DT321" s="34"/>
      <c r="DU321" s="34"/>
      <c r="DV321" s="34"/>
      <c r="DW321" s="34"/>
      <c r="DX321" s="34"/>
      <c r="DY321" s="34"/>
      <c r="DZ321" s="34"/>
      <c r="EA321" s="34"/>
      <c r="EB321" s="34"/>
      <c r="EC321" s="34"/>
      <c r="ED321" s="34"/>
      <c r="EE321" s="34"/>
      <c r="EF321" s="34"/>
      <c r="EG321" s="34"/>
      <c r="EH321" s="34"/>
      <c r="EI321" s="34"/>
      <c r="EJ321" s="34"/>
      <c r="EK321" s="34"/>
      <c r="EL321" s="34"/>
      <c r="EM321" s="34"/>
      <c r="EN321" s="34"/>
      <c r="EO321" s="34"/>
      <c r="EP321" s="34"/>
      <c r="EQ321" s="34"/>
      <c r="ER321" s="34"/>
      <c r="ES321" s="34"/>
      <c r="ET321" s="34"/>
      <c r="EU321" s="34"/>
      <c r="EV321" s="34"/>
      <c r="EW321" s="34"/>
      <c r="EX321" s="34"/>
      <c r="EY321" s="34"/>
      <c r="EZ321" s="34"/>
      <c r="FA321" s="34"/>
      <c r="FB321" s="34"/>
      <c r="FC321" s="34"/>
      <c r="FD321" s="34"/>
      <c r="FE321" s="34"/>
      <c r="FF321" s="34"/>
      <c r="FG321" s="34"/>
      <c r="FH321" s="34"/>
      <c r="FI321" s="34"/>
      <c r="FJ321" s="34"/>
      <c r="FK321" s="34"/>
      <c r="FL321" s="34"/>
      <c r="FM321" s="34"/>
      <c r="FN321" s="34"/>
      <c r="FO321" s="34"/>
      <c r="FP321" s="34"/>
      <c r="FQ321" s="34"/>
      <c r="FR321" s="34"/>
      <c r="FS321" s="34"/>
      <c r="FT321" s="34"/>
      <c r="FU321" s="34"/>
      <c r="FV321" s="34"/>
      <c r="FW321" s="34"/>
      <c r="FX321" s="34"/>
      <c r="FY321" s="34"/>
      <c r="FZ321" s="34"/>
    </row>
    <row r="322" spans="104:182" s="89" customFormat="1" ht="13.5" x14ac:dyDescent="0.25"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  <c r="FH322" s="34"/>
      <c r="FI322" s="34"/>
      <c r="FJ322" s="34"/>
      <c r="FK322" s="34"/>
      <c r="FL322" s="34"/>
      <c r="FM322" s="34"/>
      <c r="FN322" s="34"/>
      <c r="FO322" s="34"/>
      <c r="FP322" s="34"/>
      <c r="FQ322" s="34"/>
      <c r="FR322" s="34"/>
      <c r="FS322" s="34"/>
      <c r="FT322" s="34"/>
      <c r="FU322" s="34"/>
      <c r="FV322" s="34"/>
      <c r="FW322" s="34"/>
      <c r="FX322" s="34"/>
      <c r="FY322" s="34"/>
      <c r="FZ322" s="34"/>
    </row>
    <row r="323" spans="104:182" s="89" customFormat="1" ht="13.5" x14ac:dyDescent="0.25"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  <c r="FH323" s="34"/>
      <c r="FI323" s="34"/>
      <c r="FJ323" s="34"/>
      <c r="FK323" s="34"/>
      <c r="FL323" s="34"/>
      <c r="FM323" s="34"/>
      <c r="FN323" s="34"/>
      <c r="FO323" s="34"/>
      <c r="FP323" s="34"/>
      <c r="FQ323" s="34"/>
      <c r="FR323" s="34"/>
      <c r="FS323" s="34"/>
      <c r="FT323" s="34"/>
      <c r="FU323" s="34"/>
      <c r="FV323" s="34"/>
      <c r="FW323" s="34"/>
      <c r="FX323" s="34"/>
      <c r="FY323" s="34"/>
      <c r="FZ323" s="34"/>
    </row>
  </sheetData>
  <pageMargins left="0.7" right="0.7" top="0.75" bottom="0.75" header="0.3" footer="0.3"/>
  <ignoredErrors>
    <ignoredError xmlns:x16r3="http://schemas.microsoft.com/office/spreadsheetml/2018/08/main" sqref="I10:FT10" x16r3:misleadingForma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3EDAB-83B9-4141-8A78-7A14700C0F74}">
  <sheetPr>
    <pageSetUpPr fitToPage="1"/>
  </sheetPr>
  <dimension ref="A3:AF149"/>
  <sheetViews>
    <sheetView tabSelected="1" topLeftCell="A7" zoomScaleNormal="100" workbookViewId="0">
      <selection activeCell="J71" sqref="J71:L71"/>
    </sheetView>
  </sheetViews>
  <sheetFormatPr defaultRowHeight="15" outlineLevelRow="1" x14ac:dyDescent="0.25"/>
  <cols>
    <col min="1" max="1" width="6.7109375" style="34" customWidth="1"/>
    <col min="2" max="2" width="20.7109375" style="34" customWidth="1"/>
    <col min="3" max="3" width="6.7109375" style="34" customWidth="1"/>
    <col min="4" max="4" width="4.140625" style="34" customWidth="1"/>
    <col min="5" max="5" width="29" style="34" customWidth="1"/>
    <col min="6" max="6" width="2.28515625" style="34" customWidth="1"/>
    <col min="7" max="19" width="15.7109375" style="34" customWidth="1"/>
    <col min="20" max="28" width="9.140625" style="34"/>
    <col min="29" max="32" width="9.140625" style="8"/>
  </cols>
  <sheetData>
    <row r="3" spans="4:20" x14ac:dyDescent="0.25">
      <c r="D3" s="816" t="s">
        <v>209</v>
      </c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  <c r="P3" s="817"/>
      <c r="Q3" s="817"/>
      <c r="R3" s="817"/>
      <c r="S3" s="818"/>
      <c r="T3" s="43"/>
    </row>
    <row r="4" spans="4:20" x14ac:dyDescent="0.25">
      <c r="D4" s="819" t="str">
        <f>'Operating Assumptions'!D6</f>
        <v>Channahon</v>
      </c>
      <c r="E4" s="820"/>
      <c r="F4" s="820"/>
      <c r="G4" s="514"/>
      <c r="H4" s="514"/>
      <c r="I4" s="514"/>
      <c r="J4" s="514"/>
      <c r="K4" s="514"/>
      <c r="L4" s="514"/>
      <c r="M4" s="514"/>
      <c r="N4" s="514"/>
      <c r="O4" s="514"/>
      <c r="P4" s="514"/>
      <c r="Q4" s="514"/>
      <c r="R4" s="514"/>
      <c r="S4" s="821"/>
      <c r="T4" s="43"/>
    </row>
    <row r="5" spans="4:20" x14ac:dyDescent="0.25">
      <c r="D5" s="819" t="str">
        <f>'Operating Assumptions'!D7</f>
        <v>Channahon, IL</v>
      </c>
      <c r="E5" s="820"/>
      <c r="F5" s="820"/>
      <c r="G5" s="514"/>
      <c r="H5" s="514"/>
      <c r="I5" s="514"/>
      <c r="J5" s="514"/>
      <c r="K5" s="514"/>
      <c r="L5" s="514"/>
      <c r="M5" s="514"/>
      <c r="N5" s="514"/>
      <c r="O5" s="514"/>
      <c r="P5" s="514"/>
      <c r="Q5" s="514"/>
      <c r="R5" s="514"/>
      <c r="S5" s="821"/>
      <c r="T5" s="43"/>
    </row>
    <row r="6" spans="4:20" x14ac:dyDescent="0.25">
      <c r="D6" s="1525" t="s">
        <v>498</v>
      </c>
      <c r="E6" s="1526"/>
      <c r="F6" s="1527"/>
      <c r="G6" s="1526"/>
      <c r="H6" s="1526"/>
      <c r="I6" s="1526"/>
      <c r="J6" s="1526"/>
      <c r="K6" s="1526"/>
      <c r="L6" s="1526"/>
      <c r="M6" s="1526"/>
      <c r="N6" s="1526"/>
      <c r="O6" s="1526"/>
      <c r="P6" s="1526"/>
      <c r="Q6" s="1526"/>
      <c r="R6" s="1526"/>
      <c r="S6" s="1528"/>
      <c r="T6" s="43"/>
    </row>
    <row r="7" spans="4:20" x14ac:dyDescent="0.25">
      <c r="D7" s="43"/>
      <c r="F7" s="114"/>
      <c r="G7" s="113"/>
      <c r="S7" s="74"/>
      <c r="T7" s="43"/>
    </row>
    <row r="8" spans="4:20" ht="12.6" customHeight="1" x14ac:dyDescent="0.25">
      <c r="D8" s="43"/>
      <c r="F8" s="43"/>
      <c r="G8" s="482">
        <f>'Operating Assumptions'!Q8</f>
        <v>0.1</v>
      </c>
      <c r="H8" s="1459">
        <f>'Operating Assumptions'!R8</f>
        <v>1</v>
      </c>
      <c r="I8" s="482">
        <f>'Operating Assumptions'!S8</f>
        <v>2</v>
      </c>
      <c r="J8" s="482" t="s">
        <v>798</v>
      </c>
      <c r="K8" s="482" t="s">
        <v>799</v>
      </c>
      <c r="L8" s="482">
        <f>'Operating Assumptions'!T8</f>
        <v>3</v>
      </c>
      <c r="M8" s="482">
        <f>'Operating Assumptions'!U8</f>
        <v>4</v>
      </c>
      <c r="N8" s="482">
        <f>'Operating Assumptions'!V8</f>
        <v>5</v>
      </c>
      <c r="O8" s="482">
        <f>'Operating Assumptions'!W8</f>
        <v>6</v>
      </c>
      <c r="P8" s="482">
        <f>'Operating Assumptions'!X8</f>
        <v>7</v>
      </c>
      <c r="Q8" s="482">
        <f>'Operating Assumptions'!Y8</f>
        <v>8</v>
      </c>
      <c r="R8" s="482">
        <f>'Operating Assumptions'!Z8</f>
        <v>9</v>
      </c>
      <c r="S8" s="483">
        <f>'Operating Assumptions'!AA8</f>
        <v>10</v>
      </c>
      <c r="T8" s="43"/>
    </row>
    <row r="9" spans="4:20" ht="12.6" customHeight="1" x14ac:dyDescent="0.25">
      <c r="D9" s="43"/>
      <c r="F9" s="43"/>
      <c r="G9" s="68">
        <f>'Operating Assumptions'!Q7</f>
        <v>2027</v>
      </c>
      <c r="H9" s="1460">
        <f>'Operating Assumptions'!R7</f>
        <v>2028</v>
      </c>
      <c r="I9" s="68">
        <f>'Operating Assumptions'!S7</f>
        <v>2029</v>
      </c>
      <c r="J9" s="68"/>
      <c r="K9" s="68"/>
      <c r="L9" s="68">
        <f>'Operating Assumptions'!T7</f>
        <v>2030</v>
      </c>
      <c r="M9" s="68">
        <f>'Operating Assumptions'!U7</f>
        <v>2031</v>
      </c>
      <c r="N9" s="68">
        <f>'Operating Assumptions'!V7</f>
        <v>2032</v>
      </c>
      <c r="O9" s="68">
        <f>'Operating Assumptions'!W7</f>
        <v>2033</v>
      </c>
      <c r="P9" s="68">
        <f>'Operating Assumptions'!X7</f>
        <v>2034</v>
      </c>
      <c r="Q9" s="68">
        <f>'Operating Assumptions'!Y7</f>
        <v>2035</v>
      </c>
      <c r="R9" s="68">
        <f>'Operating Assumptions'!Z7</f>
        <v>2036</v>
      </c>
      <c r="S9" s="125">
        <f>'Operating Assumptions'!AA7</f>
        <v>2037</v>
      </c>
      <c r="T9" s="43"/>
    </row>
    <row r="10" spans="4:20" ht="12.6" customHeight="1" x14ac:dyDescent="0.25">
      <c r="D10" s="43"/>
      <c r="E10" s="135"/>
      <c r="F10" s="73"/>
      <c r="G10" s="35"/>
      <c r="H10" s="1461"/>
      <c r="I10" s="35"/>
      <c r="J10" s="35"/>
      <c r="K10" s="35"/>
      <c r="L10" s="35"/>
      <c r="M10" s="35"/>
      <c r="N10" s="35"/>
      <c r="O10" s="35"/>
      <c r="P10" s="35"/>
      <c r="S10" s="74"/>
      <c r="T10" s="43"/>
    </row>
    <row r="11" spans="4:20" ht="12.6" customHeight="1" x14ac:dyDescent="0.25">
      <c r="D11" s="43"/>
      <c r="E11" s="34" t="s">
        <v>363</v>
      </c>
      <c r="F11" s="43"/>
      <c r="G11" s="500">
        <f>_xlfn.MAXIFS('Monthly CF'!$H$36:$FT$36,'Monthly CF'!$H$7:$FT$7,"="&amp;'Operating Proforma'!G9)</f>
        <v>125</v>
      </c>
      <c r="H11" s="1462">
        <f>_xlfn.MAXIFS('Monthly CF'!$H$36:$FT$36,'Monthly CF'!$H$7:$FT$7,"="&amp;'Operating Proforma'!H9)</f>
        <v>240</v>
      </c>
      <c r="I11" s="500">
        <f>_xlfn.MAXIFS('Monthly CF'!$H$36:$FT$36,'Monthly CF'!$H$7:$FT$7,"="&amp;'Operating Proforma'!I9)</f>
        <v>240</v>
      </c>
      <c r="J11" s="500"/>
      <c r="K11" s="500"/>
      <c r="L11" s="500">
        <f>_xlfn.MAXIFS('Monthly CF'!$H$36:$FT$36,'Monthly CF'!$H$7:$FT$7,"="&amp;'Operating Proforma'!L9)</f>
        <v>240</v>
      </c>
      <c r="M11" s="500">
        <f>_xlfn.MAXIFS('Monthly CF'!$H$36:$FT$36,'Monthly CF'!$H$7:$FT$7,"="&amp;'Operating Proforma'!M9)</f>
        <v>240</v>
      </c>
      <c r="N11" s="500">
        <f>_xlfn.MAXIFS('Monthly CF'!$H$36:$FT$36,'Monthly CF'!$H$7:$FT$7,"="&amp;'Operating Proforma'!N9)</f>
        <v>240</v>
      </c>
      <c r="O11" s="500">
        <f>_xlfn.MAXIFS('Monthly CF'!$H$36:$FT$36,'Monthly CF'!$H$7:$FT$7,"="&amp;'Operating Proforma'!O9)</f>
        <v>240</v>
      </c>
      <c r="P11" s="500">
        <f>_xlfn.MAXIFS('Monthly CF'!$H$36:$FT$36,'Monthly CF'!$H$7:$FT$7,"="&amp;'Operating Proforma'!P9)</f>
        <v>240</v>
      </c>
      <c r="Q11" s="500">
        <f>_xlfn.MAXIFS('Monthly CF'!$H$36:$FT$36,'Monthly CF'!$H$7:$FT$7,"="&amp;'Operating Proforma'!Q9)</f>
        <v>240</v>
      </c>
      <c r="R11" s="500">
        <f>_xlfn.MAXIFS('Monthly CF'!$H$36:$FT$36,'Monthly CF'!$H$7:$FT$7,"="&amp;'Operating Proforma'!R9)</f>
        <v>240</v>
      </c>
      <c r="S11" s="822">
        <f>_xlfn.MAXIFS('Monthly CF'!$H$36:$FT$36,'Monthly CF'!$H$7:$FT$7,"="&amp;'Operating Proforma'!S9)</f>
        <v>240</v>
      </c>
      <c r="T11" s="43"/>
    </row>
    <row r="12" spans="4:20" ht="12.6" customHeight="1" x14ac:dyDescent="0.25">
      <c r="D12" s="43"/>
      <c r="E12" s="34" t="s">
        <v>232</v>
      </c>
      <c r="F12" s="43"/>
      <c r="G12" s="427">
        <f>AVERAGEIFS('Monthly CF'!$H$38:$FT$38,'Monthly CF'!$H$7:$FT$7,"="&amp;'Operating Proforma'!G9,'Monthly CF'!$H$38:$FT$38,"&gt;"&amp;0)</f>
        <v>1960.2478990250545</v>
      </c>
      <c r="H12" s="1463">
        <f>AVERAGEIFS('Monthly CF'!$H$38:$FT$38,'Monthly CF'!$H$7:$FT$7,"="&amp;'Operating Proforma'!H9)</f>
        <v>1999.4528570055556</v>
      </c>
      <c r="I12" s="427">
        <f>AVERAGEIFS('Monthly CF'!$H$38:$FT$38,'Monthly CF'!$H$7:$FT$7,"="&amp;'Operating Proforma'!I9)</f>
        <v>2038.657814986057</v>
      </c>
      <c r="J12" s="427"/>
      <c r="K12" s="427"/>
      <c r="L12" s="427">
        <f>AVERAGEIFS('Monthly CF'!$H$38:$FT$38,'Monthly CF'!$H$7:$FT$7,"="&amp;'Operating Proforma'!L9)</f>
        <v>2077.8627729665573</v>
      </c>
      <c r="M12" s="427">
        <f>AVERAGEIFS('Monthly CF'!$H$38:$FT$38,'Monthly CF'!$H$7:$FT$7,"="&amp;'Operating Proforma'!M9)</f>
        <v>2117.0677309470589</v>
      </c>
      <c r="N12" s="427">
        <f>AVERAGEIFS('Monthly CF'!$H$38:$FT$38,'Monthly CF'!$H$7:$FT$7,"="&amp;'Operating Proforma'!N9)</f>
        <v>2156.2726889275596</v>
      </c>
      <c r="O12" s="427">
        <f>AVERAGEIFS('Monthly CF'!$H$38:$FT$38,'Monthly CF'!$H$7:$FT$7,"="&amp;'Operating Proforma'!O9)</f>
        <v>2195.4776469080612</v>
      </c>
      <c r="P12" s="427">
        <f>AVERAGEIFS('Monthly CF'!$H$38:$FT$38,'Monthly CF'!$H$7:$FT$7,"="&amp;'Operating Proforma'!P9)</f>
        <v>2234.6826048885628</v>
      </c>
      <c r="Q12" s="427">
        <f>AVERAGEIFS('Monthly CF'!$H$38:$FT$38,'Monthly CF'!$H$7:$FT$7,"="&amp;'Operating Proforma'!Q9)</f>
        <v>2273.887562869063</v>
      </c>
      <c r="R12" s="427">
        <f>AVERAGEIFS('Monthly CF'!$H$38:$FT$38,'Monthly CF'!$H$7:$FT$7,"="&amp;'Operating Proforma'!R9)</f>
        <v>2313.0925208495646</v>
      </c>
      <c r="S12" s="823">
        <f>AVERAGEIFS('Monthly CF'!$H$38:$FT$38,'Monthly CF'!$H$7:$FT$7,"="&amp;'Operating Proforma'!S9)</f>
        <v>2352.2974788300662</v>
      </c>
      <c r="T12" s="43"/>
    </row>
    <row r="13" spans="4:20" ht="12.6" customHeight="1" x14ac:dyDescent="0.25">
      <c r="D13" s="43"/>
      <c r="E13" s="34" t="s">
        <v>362</v>
      </c>
      <c r="F13" s="43"/>
      <c r="G13" s="824">
        <f>IF(AVERAGEIFS('Monthly CF'!$H$37:$FT$37,'Monthly CF'!$H$7:$FT$7,"="&amp;'Operating Proforma'!G9)&lt;100%,AVERAGEIFS('Monthly CF'!$H$37:$FT$37,'Monthly CF'!$H$7:$FT$7,"="&amp;'Operating Proforma'!G9),AVERAGEIFS('Monthly CF'!$H$37:$FT$37,'Monthly CF'!$H$7:$FT$7,"="&amp;'Operating Proforma'!G9)-INDEX('Operating Assumptions'!$P$8:$AA$19,MATCH('Operating Assumptions'!$P15,'Operating Assumptions'!$P$8:$P$19,0),MATCH('Operating Proforma'!G$8,'Operating Assumptions'!$P$8:$AA$8,0)))</f>
        <v>0.19166666666666665</v>
      </c>
      <c r="H13" s="1464">
        <f>IF(AVERAGEIFS('Monthly CF'!$H$37:$FT$37,'Monthly CF'!$H$7:$FT$7,"="&amp;'Operating Proforma'!H9)&lt;100%,AVERAGEIFS('Monthly CF'!$H$37:$FT$37,'Monthly CF'!$H$7:$FT$7,"="&amp;'Operating Proforma'!H9),AVERAGEIFS('Monthly CF'!$H$37:$FT$37,'Monthly CF'!$H$7:$FT$7,"="&amp;'Operating Proforma'!H9)-INDEX('Operating Assumptions'!$P$8:$AA$19,MATCH('Operating Assumptions'!$P15,'Operating Assumptions'!$P$8:$P$19,0),MATCH('Operating Proforma'!H$8,'Operating Assumptions'!$P$8:$AA$8,0)))</f>
        <v>0.82465277777777779</v>
      </c>
      <c r="I13" s="824">
        <f>IF(AVERAGEIFS('Monthly CF'!$H$37:$FT$37,'Monthly CF'!$H$7:$FT$7,"="&amp;'Operating Proforma'!I9)&lt;100%,AVERAGEIFS('Monthly CF'!$H$37:$FT$37,'Monthly CF'!$H$7:$FT$7,"="&amp;'Operating Proforma'!I9),AVERAGEIFS('Monthly CF'!$H$37:$FT$37,'Monthly CF'!$H$7:$FT$7,"="&amp;'Operating Proforma'!I9)-INDEX('Operating Assumptions'!$P$8:$AA$19,MATCH('Operating Assumptions'!$P15,'Operating Assumptions'!$P$8:$P$19,0),MATCH('Operating Proforma'!I$8,'Operating Assumptions'!$P$8:$AA$8,0)))</f>
        <v>0.95</v>
      </c>
      <c r="J13" s="824"/>
      <c r="K13" s="824"/>
      <c r="L13" s="824">
        <f>IF(AVERAGEIFS('Monthly CF'!$H$37:$FT$37,'Monthly CF'!$H$7:$FT$7,"="&amp;'Operating Proforma'!L9)&lt;100%,AVERAGEIFS('Monthly CF'!$H$37:$FT$37,'Monthly CF'!$H$7:$FT$7,"="&amp;'Operating Proforma'!L9),AVERAGEIFS('Monthly CF'!$H$37:$FT$37,'Monthly CF'!$H$7:$FT$7,"="&amp;'Operating Proforma'!L9)-INDEX('Operating Assumptions'!$P$8:$AA$19,MATCH('Operating Assumptions'!$P15,'Operating Assumptions'!$P$8:$P$19,0),MATCH('Operating Proforma'!L$8,'Operating Assumptions'!$P$8:$AA$8,0)))</f>
        <v>0.95</v>
      </c>
      <c r="M13" s="824">
        <f>IF(AVERAGEIFS('Monthly CF'!$H$37:$FT$37,'Monthly CF'!$H$7:$FT$7,"="&amp;'Operating Proforma'!M9)&lt;100%,AVERAGEIFS('Monthly CF'!$H$37:$FT$37,'Monthly CF'!$H$7:$FT$7,"="&amp;'Operating Proforma'!M9),AVERAGEIFS('Monthly CF'!$H$37:$FT$37,'Monthly CF'!$H$7:$FT$7,"="&amp;'Operating Proforma'!M9)-INDEX('Operating Assumptions'!$P$8:$AA$19,MATCH('Operating Assumptions'!$P15,'Operating Assumptions'!$P$8:$P$19,0),MATCH('Operating Proforma'!M$8,'Operating Assumptions'!$P$8:$AA$8,0)))</f>
        <v>0.95</v>
      </c>
      <c r="N13" s="824">
        <f>IF(AVERAGEIFS('Monthly CF'!$H$37:$FT$37,'Monthly CF'!$H$7:$FT$7,"="&amp;'Operating Proforma'!N9)&lt;100%,AVERAGEIFS('Monthly CF'!$H$37:$FT$37,'Monthly CF'!$H$7:$FT$7,"="&amp;'Operating Proforma'!N9),AVERAGEIFS('Monthly CF'!$H$37:$FT$37,'Monthly CF'!$H$7:$FT$7,"="&amp;'Operating Proforma'!N9)-INDEX('Operating Assumptions'!$P$8:$AA$19,MATCH('Operating Assumptions'!$P15,'Operating Assumptions'!$P$8:$P$19,0),MATCH('Operating Proforma'!N$8,'Operating Assumptions'!$P$8:$AA$8,0)))</f>
        <v>0.95</v>
      </c>
      <c r="O13" s="824">
        <f>IF(AVERAGEIFS('Monthly CF'!$H$37:$FT$37,'Monthly CF'!$H$7:$FT$7,"="&amp;'Operating Proforma'!O9)&lt;100%,AVERAGEIFS('Monthly CF'!$H$37:$FT$37,'Monthly CF'!$H$7:$FT$7,"="&amp;'Operating Proforma'!O9),AVERAGEIFS('Monthly CF'!$H$37:$FT$37,'Monthly CF'!$H$7:$FT$7,"="&amp;'Operating Proforma'!O9)-INDEX('Operating Assumptions'!$P$8:$AA$19,MATCH('Operating Assumptions'!$P15,'Operating Assumptions'!$P$8:$P$19,0),MATCH('Operating Proforma'!O$8,'Operating Assumptions'!$P$8:$AA$8,0)))</f>
        <v>0.95</v>
      </c>
      <c r="P13" s="824">
        <f>IF(AVERAGEIFS('Monthly CF'!$H$37:$FT$37,'Monthly CF'!$H$7:$FT$7,"="&amp;'Operating Proforma'!P9)&lt;100%,AVERAGEIFS('Monthly CF'!$H$37:$FT$37,'Monthly CF'!$H$7:$FT$7,"="&amp;'Operating Proforma'!P9),AVERAGEIFS('Monthly CF'!$H$37:$FT$37,'Monthly CF'!$H$7:$FT$7,"="&amp;'Operating Proforma'!P9)-INDEX('Operating Assumptions'!$P$8:$AA$19,MATCH('Operating Assumptions'!$P15,'Operating Assumptions'!$P$8:$P$19,0),MATCH('Operating Proforma'!P$8,'Operating Assumptions'!$P$8:$AA$8,0)))</f>
        <v>0.95</v>
      </c>
      <c r="Q13" s="824">
        <f>IF(AVERAGEIFS('Monthly CF'!$H$37:$FT$37,'Monthly CF'!$H$7:$FT$7,"="&amp;'Operating Proforma'!Q9)&lt;100%,AVERAGEIFS('Monthly CF'!$H$37:$FT$37,'Monthly CF'!$H$7:$FT$7,"="&amp;'Operating Proforma'!Q9),AVERAGEIFS('Monthly CF'!$H$37:$FT$37,'Monthly CF'!$H$7:$FT$7,"="&amp;'Operating Proforma'!Q9)-INDEX('Operating Assumptions'!$P$8:$AA$19,MATCH('Operating Assumptions'!$P15,'Operating Assumptions'!$P$8:$P$19,0),MATCH('Operating Proforma'!Q$8,'Operating Assumptions'!$P$8:$AA$8,0)))</f>
        <v>0.95</v>
      </c>
      <c r="R13" s="824">
        <f>IF(AVERAGEIFS('Monthly CF'!$H$37:$FT$37,'Monthly CF'!$H$7:$FT$7,"="&amp;'Operating Proforma'!R9)&lt;100%,AVERAGEIFS('Monthly CF'!$H$37:$FT$37,'Monthly CF'!$H$7:$FT$7,"="&amp;'Operating Proforma'!R9),AVERAGEIFS('Monthly CF'!$H$37:$FT$37,'Monthly CF'!$H$7:$FT$7,"="&amp;'Operating Proforma'!R9)-INDEX('Operating Assumptions'!$P$8:$AA$19,MATCH('Operating Assumptions'!$P15,'Operating Assumptions'!$P$8:$P$19,0),MATCH('Operating Proforma'!R$8,'Operating Assumptions'!$P$8:$AA$8,0)))</f>
        <v>0.95</v>
      </c>
      <c r="S13" s="705">
        <f>IF(AVERAGEIFS('Monthly CF'!$H$37:$FT$37,'Monthly CF'!$H$7:$FT$7,"="&amp;'Operating Proforma'!S9)&lt;100%,AVERAGEIFS('Monthly CF'!$H$37:$FT$37,'Monthly CF'!$H$7:$FT$7,"="&amp;'Operating Proforma'!S9),AVERAGEIFS('Monthly CF'!$H$37:$FT$37,'Monthly CF'!$H$7:$FT$7,"="&amp;'Operating Proforma'!S9)-INDEX('Operating Assumptions'!$P$8:$AA$19,MATCH('Operating Assumptions'!$P15,'Operating Assumptions'!$P$8:$P$19,0),MATCH('Operating Proforma'!S$8,'Operating Assumptions'!$P$8:$AA$8,0)))</f>
        <v>0.95</v>
      </c>
      <c r="T13" s="43"/>
    </row>
    <row r="14" spans="4:20" ht="12.6" customHeight="1" x14ac:dyDescent="0.25">
      <c r="D14" s="43"/>
      <c r="F14" s="43"/>
      <c r="G14" s="45"/>
      <c r="H14" s="1465"/>
      <c r="I14" s="45"/>
      <c r="J14" s="45"/>
      <c r="K14" s="45"/>
      <c r="L14" s="45"/>
      <c r="M14" s="45"/>
      <c r="N14" s="45"/>
      <c r="O14" s="45"/>
      <c r="P14" s="45"/>
      <c r="S14" s="74"/>
      <c r="T14" s="43"/>
    </row>
    <row r="15" spans="4:20" ht="12.6" customHeight="1" x14ac:dyDescent="0.25">
      <c r="D15" s="73" t="s">
        <v>13</v>
      </c>
      <c r="F15" s="43"/>
      <c r="G15" s="45"/>
      <c r="H15" s="1465"/>
      <c r="I15" s="45"/>
      <c r="J15" s="45"/>
      <c r="K15" s="45"/>
      <c r="L15" s="45"/>
      <c r="M15" s="45"/>
      <c r="N15" s="45"/>
      <c r="O15" s="45"/>
      <c r="P15" s="45"/>
      <c r="S15" s="74"/>
      <c r="T15" s="43"/>
    </row>
    <row r="16" spans="4:20" ht="12.6" customHeight="1" x14ac:dyDescent="0.25">
      <c r="D16" s="43"/>
      <c r="E16" s="34" t="str">
        <f>'Monthly CF'!B41</f>
        <v>Rent Revenue</v>
      </c>
      <c r="F16" s="43"/>
      <c r="G16" s="427">
        <f>SUMIF('Monthly CF'!$H$7:$FT$7,G$9,'Monthly CF'!$H41:$FT41)</f>
        <v>1080096.5923628048</v>
      </c>
      <c r="H16" s="1463">
        <f>SUMIF('Monthly CF'!$H$7:$FT$7,H$9,'Monthly CF'!$H41:$FT41)</f>
        <v>4748700.535388195</v>
      </c>
      <c r="I16" s="427">
        <f>SUMIF('Monthly CF'!$H$7:$FT$7,I$9,'Monthly CF'!$H41:$FT41)</f>
        <v>5871334.5071598431</v>
      </c>
      <c r="J16" s="427">
        <f>L16/240</f>
        <v>24934.353275598689</v>
      </c>
      <c r="K16" s="1587">
        <f>L16/218112</f>
        <v>27.436568305016163</v>
      </c>
      <c r="L16" s="427">
        <f>SUMIF('Monthly CF'!$H$7:$FT$7,L$9,'Monthly CF'!$H41:$FT41)</f>
        <v>5984244.7861436857</v>
      </c>
      <c r="M16" s="427">
        <f>SUMIF('Monthly CF'!$H$7:$FT$7,M$9,'Monthly CF'!$H41:$FT41)</f>
        <v>6097155.0651275301</v>
      </c>
      <c r="N16" s="427">
        <f>SUMIF('Monthly CF'!$H$7:$FT$7,N$9,'Monthly CF'!$H41:$FT41)</f>
        <v>6210065.3441113727</v>
      </c>
      <c r="O16" s="427">
        <f>SUMIF('Monthly CF'!$H$7:$FT$7,O$9,'Monthly CF'!$H41:$FT41)</f>
        <v>6322975.6230952181</v>
      </c>
      <c r="P16" s="427">
        <f>SUMIF('Monthly CF'!$H$7:$FT$7,P$9,'Monthly CF'!$H41:$FT41)</f>
        <v>6435885.9020790597</v>
      </c>
      <c r="Q16" s="427">
        <f>SUMIF('Monthly CF'!$H$7:$FT$7,Q$9,'Monthly CF'!$H41:$FT41)</f>
        <v>6548796.1810629005</v>
      </c>
      <c r="R16" s="427">
        <f>SUMIF('Monthly CF'!$H$7:$FT$7,R$9,'Monthly CF'!$H41:$FT41)</f>
        <v>6661706.4600467486</v>
      </c>
      <c r="S16" s="427">
        <f>SUMIF('Monthly CF'!$H$7:$FT$7,S$9,'Monthly CF'!$H41:$FT41)</f>
        <v>6774616.7390305893</v>
      </c>
      <c r="T16" s="43"/>
    </row>
    <row r="17" spans="4:20" ht="12" customHeight="1" x14ac:dyDescent="0.25">
      <c r="D17" s="43"/>
      <c r="E17" s="34" t="s">
        <v>496</v>
      </c>
      <c r="F17" s="43"/>
      <c r="G17" s="436">
        <f>SUM(G$18:G$23)</f>
        <v>25254.166666666668</v>
      </c>
      <c r="H17" s="1466">
        <f t="shared" ref="H17:S17" si="0">SUM(H$18:H$23)</f>
        <v>111031.25</v>
      </c>
      <c r="I17" s="436">
        <f t="shared" si="0"/>
        <v>137280</v>
      </c>
      <c r="J17" s="427">
        <f t="shared" ref="J17:J24" si="1">L17/240</f>
        <v>583</v>
      </c>
      <c r="K17" s="1587">
        <f t="shared" ref="K17:K24" si="2">L17/218112</f>
        <v>0.64150528169014087</v>
      </c>
      <c r="L17" s="436">
        <f>SUM(L$18:L$23)</f>
        <v>139920</v>
      </c>
      <c r="M17" s="436">
        <f t="shared" si="0"/>
        <v>142560</v>
      </c>
      <c r="N17" s="436">
        <f t="shared" si="0"/>
        <v>145200.00000000003</v>
      </c>
      <c r="O17" s="436">
        <f t="shared" si="0"/>
        <v>147840.00000000003</v>
      </c>
      <c r="P17" s="436">
        <f t="shared" si="0"/>
        <v>150480.00000000003</v>
      </c>
      <c r="Q17" s="436">
        <f t="shared" si="0"/>
        <v>153120.00000000003</v>
      </c>
      <c r="R17" s="436">
        <f t="shared" si="0"/>
        <v>155760.00000000003</v>
      </c>
      <c r="S17" s="436">
        <f t="shared" si="0"/>
        <v>158400.00000000003</v>
      </c>
      <c r="T17" s="43"/>
    </row>
    <row r="18" spans="4:20" ht="12" hidden="1" customHeight="1" outlineLevel="1" x14ac:dyDescent="0.25">
      <c r="D18" s="43"/>
      <c r="E18" s="1044" t="str">
        <f>'Monthly CF'!B44</f>
        <v>Unit Premium</v>
      </c>
      <c r="F18" s="43"/>
      <c r="G18" s="1047">
        <f>SUMIF('Monthly CF'!$H$7:$FT$7,G$9,'Monthly CF'!$H44:$FT44)</f>
        <v>25254.166666666668</v>
      </c>
      <c r="H18" s="1467">
        <f>SUMIF('Monthly CF'!$H$7:$FT$7,H$9,'Monthly CF'!$H44:$FT44)</f>
        <v>111031.25</v>
      </c>
      <c r="I18" s="1047">
        <f>SUMIF('Monthly CF'!$H$7:$FT$7,I$9,'Monthly CF'!$H44:$FT44)</f>
        <v>137280</v>
      </c>
      <c r="J18" s="427">
        <f t="shared" si="1"/>
        <v>583</v>
      </c>
      <c r="K18" s="1587">
        <f t="shared" si="2"/>
        <v>0.64150528169014087</v>
      </c>
      <c r="L18" s="1047">
        <f>SUMIF('Monthly CF'!$H$7:$FT$7,L$9,'Monthly CF'!$H44:$FT44)</f>
        <v>139920</v>
      </c>
      <c r="M18" s="1047">
        <f>SUMIF('Monthly CF'!$H$7:$FT$7,M$9,'Monthly CF'!$H44:$FT44)</f>
        <v>142560</v>
      </c>
      <c r="N18" s="1047">
        <f>SUMIF('Monthly CF'!$H$7:$FT$7,N$9,'Monthly CF'!$H44:$FT44)</f>
        <v>145200.00000000003</v>
      </c>
      <c r="O18" s="1047">
        <f>SUMIF('Monthly CF'!$H$7:$FT$7,O$9,'Monthly CF'!$H44:$FT44)</f>
        <v>147840.00000000003</v>
      </c>
      <c r="P18" s="1047">
        <f>SUMIF('Monthly CF'!$H$7:$FT$7,P$9,'Monthly CF'!$H44:$FT44)</f>
        <v>150480.00000000003</v>
      </c>
      <c r="Q18" s="1047">
        <f>SUMIF('Monthly CF'!$H$7:$FT$7,Q$9,'Monthly CF'!$H44:$FT44)</f>
        <v>153120.00000000003</v>
      </c>
      <c r="R18" s="1047">
        <f>SUMIF('Monthly CF'!$H$7:$FT$7,R$9,'Monthly CF'!$H44:$FT44)</f>
        <v>155760.00000000003</v>
      </c>
      <c r="S18" s="1047">
        <f>SUMIF('Monthly CF'!$H$7:$FT$7,S$9,'Monthly CF'!$H44:$FT44)</f>
        <v>158400.00000000003</v>
      </c>
      <c r="T18" s="43"/>
    </row>
    <row r="19" spans="4:20" ht="12" hidden="1" customHeight="1" outlineLevel="1" x14ac:dyDescent="0.25">
      <c r="D19" s="43"/>
      <c r="E19" s="1045" t="str">
        <f>'Monthly CF'!B45</f>
        <v>Blank</v>
      </c>
      <c r="F19" s="43"/>
      <c r="G19" s="837">
        <f>SUMIF('Monthly CF'!$H$7:$FT$7,G$9,'Monthly CF'!$H45:$FT45)</f>
        <v>0</v>
      </c>
      <c r="H19" s="1468">
        <f>SUMIF('Monthly CF'!$H$7:$FT$7,H$9,'Monthly CF'!$H45:$FT45)</f>
        <v>0</v>
      </c>
      <c r="I19" s="837">
        <f>SUMIF('Monthly CF'!$H$7:$FT$7,I$9,'Monthly CF'!$H45:$FT45)</f>
        <v>0</v>
      </c>
      <c r="J19" s="427">
        <f t="shared" si="1"/>
        <v>0</v>
      </c>
      <c r="K19" s="1587">
        <f t="shared" si="2"/>
        <v>0</v>
      </c>
      <c r="L19" s="837">
        <f>SUMIF('Monthly CF'!$H$7:$FT$7,L$9,'Monthly CF'!$H45:$FT45)</f>
        <v>0</v>
      </c>
      <c r="M19" s="837">
        <f>SUMIF('Monthly CF'!$H$7:$FT$7,M$9,'Monthly CF'!$H45:$FT45)</f>
        <v>0</v>
      </c>
      <c r="N19" s="837">
        <f>SUMIF('Monthly CF'!$H$7:$FT$7,N$9,'Monthly CF'!$H45:$FT45)</f>
        <v>0</v>
      </c>
      <c r="O19" s="837">
        <f>SUMIF('Monthly CF'!$H$7:$FT$7,O$9,'Monthly CF'!$H45:$FT45)</f>
        <v>0</v>
      </c>
      <c r="P19" s="837">
        <f>SUMIF('Monthly CF'!$H$7:$FT$7,P$9,'Monthly CF'!$H45:$FT45)</f>
        <v>0</v>
      </c>
      <c r="Q19" s="837">
        <f>SUMIF('Monthly CF'!$H$7:$FT$7,Q$9,'Monthly CF'!$H45:$FT45)</f>
        <v>0</v>
      </c>
      <c r="R19" s="837">
        <f>SUMIF('Monthly CF'!$H$7:$FT$7,R$9,'Monthly CF'!$H45:$FT45)</f>
        <v>0</v>
      </c>
      <c r="S19" s="837">
        <f>SUMIF('Monthly CF'!$H$7:$FT$7,S$9,'Monthly CF'!$H45:$FT45)</f>
        <v>0</v>
      </c>
      <c r="T19" s="43"/>
    </row>
    <row r="20" spans="4:20" ht="12" hidden="1" customHeight="1" outlineLevel="1" x14ac:dyDescent="0.25">
      <c r="D20" s="43"/>
      <c r="E20" s="1045" t="str">
        <f>'Monthly CF'!B46</f>
        <v>Blank</v>
      </c>
      <c r="F20" s="43"/>
      <c r="G20" s="837">
        <f>SUMIF('Monthly CF'!$H$7:$FT$7,G$9,'Monthly CF'!$H46:$FT46)</f>
        <v>0</v>
      </c>
      <c r="H20" s="1468">
        <f>SUMIF('Monthly CF'!$H$7:$FT$7,H$9,'Monthly CF'!$H46:$FT46)</f>
        <v>0</v>
      </c>
      <c r="I20" s="837">
        <f>SUMIF('Monthly CF'!$H$7:$FT$7,I$9,'Monthly CF'!$H46:$FT46)</f>
        <v>0</v>
      </c>
      <c r="J20" s="427">
        <f t="shared" si="1"/>
        <v>0</v>
      </c>
      <c r="K20" s="1587">
        <f t="shared" si="2"/>
        <v>0</v>
      </c>
      <c r="L20" s="837">
        <f>SUMIF('Monthly CF'!$H$7:$FT$7,L$9,'Monthly CF'!$H46:$FT46)</f>
        <v>0</v>
      </c>
      <c r="M20" s="837">
        <f>SUMIF('Monthly CF'!$H$7:$FT$7,M$9,'Monthly CF'!$H46:$FT46)</f>
        <v>0</v>
      </c>
      <c r="N20" s="837">
        <f>SUMIF('Monthly CF'!$H$7:$FT$7,N$9,'Monthly CF'!$H46:$FT46)</f>
        <v>0</v>
      </c>
      <c r="O20" s="837">
        <f>SUMIF('Monthly CF'!$H$7:$FT$7,O$9,'Monthly CF'!$H46:$FT46)</f>
        <v>0</v>
      </c>
      <c r="P20" s="837">
        <f>SUMIF('Monthly CF'!$H$7:$FT$7,P$9,'Monthly CF'!$H46:$FT46)</f>
        <v>0</v>
      </c>
      <c r="Q20" s="837">
        <f>SUMIF('Monthly CF'!$H$7:$FT$7,Q$9,'Monthly CF'!$H46:$FT46)</f>
        <v>0</v>
      </c>
      <c r="R20" s="837">
        <f>SUMIF('Monthly CF'!$H$7:$FT$7,R$9,'Monthly CF'!$H46:$FT46)</f>
        <v>0</v>
      </c>
      <c r="S20" s="837">
        <f>SUMIF('Monthly CF'!$H$7:$FT$7,S$9,'Monthly CF'!$H46:$FT46)</f>
        <v>0</v>
      </c>
      <c r="T20" s="43"/>
    </row>
    <row r="21" spans="4:20" ht="12" hidden="1" customHeight="1" outlineLevel="1" x14ac:dyDescent="0.25">
      <c r="D21" s="43"/>
      <c r="E21" s="1045" t="str">
        <f>'Monthly CF'!B47</f>
        <v>Blank</v>
      </c>
      <c r="F21" s="43"/>
      <c r="G21" s="837">
        <f>SUMIF('Monthly CF'!$H$7:$FT$7,G$9,'Monthly CF'!$H47:$FT47)</f>
        <v>0</v>
      </c>
      <c r="H21" s="1468">
        <f>SUMIF('Monthly CF'!$H$7:$FT$7,H$9,'Monthly CF'!$H47:$FT47)</f>
        <v>0</v>
      </c>
      <c r="I21" s="837">
        <f>SUMIF('Monthly CF'!$H$7:$FT$7,I$9,'Monthly CF'!$H47:$FT47)</f>
        <v>0</v>
      </c>
      <c r="J21" s="427">
        <f t="shared" si="1"/>
        <v>0</v>
      </c>
      <c r="K21" s="1587">
        <f t="shared" si="2"/>
        <v>0</v>
      </c>
      <c r="L21" s="837">
        <f>SUMIF('Monthly CF'!$H$7:$FT$7,L$9,'Monthly CF'!$H47:$FT47)</f>
        <v>0</v>
      </c>
      <c r="M21" s="837">
        <f>SUMIF('Monthly CF'!$H$7:$FT$7,M$9,'Monthly CF'!$H47:$FT47)</f>
        <v>0</v>
      </c>
      <c r="N21" s="837">
        <f>SUMIF('Monthly CF'!$H$7:$FT$7,N$9,'Monthly CF'!$H47:$FT47)</f>
        <v>0</v>
      </c>
      <c r="O21" s="837">
        <f>SUMIF('Monthly CF'!$H$7:$FT$7,O$9,'Monthly CF'!$H47:$FT47)</f>
        <v>0</v>
      </c>
      <c r="P21" s="837">
        <f>SUMIF('Monthly CF'!$H$7:$FT$7,P$9,'Monthly CF'!$H47:$FT47)</f>
        <v>0</v>
      </c>
      <c r="Q21" s="837">
        <f>SUMIF('Monthly CF'!$H$7:$FT$7,Q$9,'Monthly CF'!$H47:$FT47)</f>
        <v>0</v>
      </c>
      <c r="R21" s="837">
        <f>SUMIF('Monthly CF'!$H$7:$FT$7,R$9,'Monthly CF'!$H47:$FT47)</f>
        <v>0</v>
      </c>
      <c r="S21" s="837">
        <f>SUMIF('Monthly CF'!$H$7:$FT$7,S$9,'Monthly CF'!$H47:$FT47)</f>
        <v>0</v>
      </c>
      <c r="T21" s="43"/>
    </row>
    <row r="22" spans="4:20" ht="12.6" hidden="1" customHeight="1" outlineLevel="1" x14ac:dyDescent="0.25">
      <c r="D22" s="43"/>
      <c r="E22" s="1045" t="str">
        <f>'Monthly CF'!B48</f>
        <v>Blank</v>
      </c>
      <c r="F22" s="43"/>
      <c r="G22" s="837">
        <f>SUMIF('Monthly CF'!$H$7:$FT$7,G$9,'Monthly CF'!$H48:$FT48)</f>
        <v>0</v>
      </c>
      <c r="H22" s="1468">
        <f>SUMIF('Monthly CF'!$H$7:$FT$7,H$9,'Monthly CF'!$H48:$FT48)</f>
        <v>0</v>
      </c>
      <c r="I22" s="837">
        <f>SUMIF('Monthly CF'!$H$7:$FT$7,I$9,'Monthly CF'!$H48:$FT48)</f>
        <v>0</v>
      </c>
      <c r="J22" s="427">
        <f t="shared" si="1"/>
        <v>0</v>
      </c>
      <c r="K22" s="1587">
        <f t="shared" si="2"/>
        <v>0</v>
      </c>
      <c r="L22" s="837">
        <f>SUMIF('Monthly CF'!$H$7:$FT$7,L$9,'Monthly CF'!$H48:$FT48)</f>
        <v>0</v>
      </c>
      <c r="M22" s="837">
        <f>SUMIF('Monthly CF'!$H$7:$FT$7,M$9,'Monthly CF'!$H48:$FT48)</f>
        <v>0</v>
      </c>
      <c r="N22" s="837">
        <f>SUMIF('Monthly CF'!$H$7:$FT$7,N$9,'Monthly CF'!$H48:$FT48)</f>
        <v>0</v>
      </c>
      <c r="O22" s="837">
        <f>SUMIF('Monthly CF'!$H$7:$FT$7,O$9,'Monthly CF'!$H48:$FT48)</f>
        <v>0</v>
      </c>
      <c r="P22" s="837">
        <f>SUMIF('Monthly CF'!$H$7:$FT$7,P$9,'Monthly CF'!$H48:$FT48)</f>
        <v>0</v>
      </c>
      <c r="Q22" s="837">
        <f>SUMIF('Monthly CF'!$H$7:$FT$7,Q$9,'Monthly CF'!$H48:$FT48)</f>
        <v>0</v>
      </c>
      <c r="R22" s="837">
        <f>SUMIF('Monthly CF'!$H$7:$FT$7,R$9,'Monthly CF'!$H48:$FT48)</f>
        <v>0</v>
      </c>
      <c r="S22" s="837">
        <f>SUMIF('Monthly CF'!$H$7:$FT$7,S$9,'Monthly CF'!$H48:$FT48)</f>
        <v>0</v>
      </c>
      <c r="T22" s="43"/>
    </row>
    <row r="23" spans="4:20" ht="12" hidden="1" customHeight="1" outlineLevel="1" x14ac:dyDescent="0.25">
      <c r="D23" s="43"/>
      <c r="E23" s="1046" t="str">
        <f>'Monthly CF'!B49</f>
        <v>Blank</v>
      </c>
      <c r="F23" s="43"/>
      <c r="G23" s="1048">
        <f>SUMIF('Monthly CF'!$H$7:$FT$7,G$9,'Monthly CF'!$H49:$FT49)</f>
        <v>0</v>
      </c>
      <c r="H23" s="1469">
        <f>SUMIF('Monthly CF'!$H$7:$FT$7,H$9,'Monthly CF'!$H49:$FT49)</f>
        <v>0</v>
      </c>
      <c r="I23" s="1048">
        <f>SUMIF('Monthly CF'!$H$7:$FT$7,I$9,'Monthly CF'!$H49:$FT49)</f>
        <v>0</v>
      </c>
      <c r="J23" s="427">
        <f t="shared" si="1"/>
        <v>0</v>
      </c>
      <c r="K23" s="1587">
        <f t="shared" si="2"/>
        <v>0</v>
      </c>
      <c r="L23" s="1048">
        <f>SUMIF('Monthly CF'!$H$7:$FT$7,L$9,'Monthly CF'!$H49:$FT49)</f>
        <v>0</v>
      </c>
      <c r="M23" s="1048">
        <f>SUMIF('Monthly CF'!$H$7:$FT$7,M$9,'Monthly CF'!$H49:$FT49)</f>
        <v>0</v>
      </c>
      <c r="N23" s="1048">
        <f>SUMIF('Monthly CF'!$H$7:$FT$7,N$9,'Monthly CF'!$H49:$FT49)</f>
        <v>0</v>
      </c>
      <c r="O23" s="1048">
        <f>SUMIF('Monthly CF'!$H$7:$FT$7,O$9,'Monthly CF'!$H49:$FT49)</f>
        <v>0</v>
      </c>
      <c r="P23" s="1048">
        <f>SUMIF('Monthly CF'!$H$7:$FT$7,P$9,'Monthly CF'!$H49:$FT49)</f>
        <v>0</v>
      </c>
      <c r="Q23" s="1048">
        <f>SUMIF('Monthly CF'!$H$7:$FT$7,Q$9,'Monthly CF'!$H49:$FT49)</f>
        <v>0</v>
      </c>
      <c r="R23" s="1048">
        <f>SUMIF('Monthly CF'!$H$7:$FT$7,R$9,'Monthly CF'!$H49:$FT49)</f>
        <v>0</v>
      </c>
      <c r="S23" s="1048">
        <f>SUMIF('Monthly CF'!$H$7:$FT$7,S$9,'Monthly CF'!$H49:$FT49)</f>
        <v>0</v>
      </c>
      <c r="T23" s="43"/>
    </row>
    <row r="24" spans="4:20" ht="12.6" customHeight="1" collapsed="1" x14ac:dyDescent="0.25">
      <c r="D24" s="43"/>
      <c r="E24" s="34" t="s">
        <v>201</v>
      </c>
      <c r="F24" s="43"/>
      <c r="G24" s="436">
        <f>SUM(G$25:G$28)</f>
        <v>85405</v>
      </c>
      <c r="H24" s="1466">
        <f t="shared" ref="H24:S24" si="3">SUM(H$25:H$28)</f>
        <v>375487.5</v>
      </c>
      <c r="I24" s="436">
        <f t="shared" si="3"/>
        <v>464256.00000000006</v>
      </c>
      <c r="J24" s="427">
        <f t="shared" si="1"/>
        <v>1971.6</v>
      </c>
      <c r="K24" s="1587">
        <f t="shared" si="2"/>
        <v>2.1694542253521125</v>
      </c>
      <c r="L24" s="436">
        <f>SUM(L$25:L$28)</f>
        <v>473184</v>
      </c>
      <c r="M24" s="436">
        <f t="shared" si="3"/>
        <v>482112</v>
      </c>
      <c r="N24" s="436">
        <f t="shared" si="3"/>
        <v>491040</v>
      </c>
      <c r="O24" s="436">
        <f t="shared" si="3"/>
        <v>499968.00000000006</v>
      </c>
      <c r="P24" s="436">
        <f t="shared" si="3"/>
        <v>508896.00000000006</v>
      </c>
      <c r="Q24" s="436">
        <f t="shared" si="3"/>
        <v>517824</v>
      </c>
      <c r="R24" s="436">
        <f t="shared" si="3"/>
        <v>526752.00000000012</v>
      </c>
      <c r="S24" s="436">
        <f t="shared" si="3"/>
        <v>535680.00000000012</v>
      </c>
      <c r="T24" s="43"/>
    </row>
    <row r="25" spans="4:20" ht="12.6" hidden="1" customHeight="1" outlineLevel="1" x14ac:dyDescent="0.25">
      <c r="D25" s="43"/>
      <c r="E25" s="1044" t="str">
        <f>'Monthly CF'!B53</f>
        <v>Misc/Fees</v>
      </c>
      <c r="F25" s="1049"/>
      <c r="G25" s="1047">
        <f>SUMIF('Monthly CF'!$H$7:$FT$7,G$9,'Monthly CF'!$H53:$FT53)</f>
        <v>85405</v>
      </c>
      <c r="H25" s="1467">
        <f>SUMIF('Monthly CF'!$H$7:$FT$7,H$9,'Monthly CF'!$H53:$FT53)</f>
        <v>375487.5</v>
      </c>
      <c r="I25" s="1047">
        <f>SUMIF('Monthly CF'!$H$7:$FT$7,I$9,'Monthly CF'!$H53:$FT53)</f>
        <v>464256.00000000006</v>
      </c>
      <c r="J25" s="1047"/>
      <c r="K25" s="1047"/>
      <c r="L25" s="1047">
        <f>SUMIF('Monthly CF'!$H$7:$FT$7,L$9,'Monthly CF'!$H53:$FT53)</f>
        <v>473184</v>
      </c>
      <c r="M25" s="1047">
        <f>SUMIF('Monthly CF'!$H$7:$FT$7,M$9,'Monthly CF'!$H53:$FT53)</f>
        <v>482112</v>
      </c>
      <c r="N25" s="1047">
        <f>SUMIF('Monthly CF'!$H$7:$FT$7,N$9,'Monthly CF'!$H53:$FT53)</f>
        <v>491040</v>
      </c>
      <c r="O25" s="1047">
        <f>SUMIF('Monthly CF'!$H$7:$FT$7,O$9,'Monthly CF'!$H53:$FT53)</f>
        <v>499968.00000000006</v>
      </c>
      <c r="P25" s="1047">
        <f>SUMIF('Monthly CF'!$H$7:$FT$7,P$9,'Monthly CF'!$H53:$FT53)</f>
        <v>508896.00000000006</v>
      </c>
      <c r="Q25" s="1047">
        <f>SUMIF('Monthly CF'!$H$7:$FT$7,Q$9,'Monthly CF'!$H53:$FT53)</f>
        <v>517824</v>
      </c>
      <c r="R25" s="1047">
        <f>SUMIF('Monthly CF'!$H$7:$FT$7,R$9,'Monthly CF'!$H53:$FT53)</f>
        <v>526752.00000000012</v>
      </c>
      <c r="S25" s="1047">
        <f>SUMIF('Monthly CF'!$H$7:$FT$7,S$9,'Monthly CF'!$H53:$FT53)</f>
        <v>535680.00000000012</v>
      </c>
      <c r="T25" s="43"/>
    </row>
    <row r="26" spans="4:20" ht="12.6" hidden="1" customHeight="1" outlineLevel="1" x14ac:dyDescent="0.25">
      <c r="D26" s="43"/>
      <c r="E26" s="1045" t="str">
        <f>'Monthly CF'!B54</f>
        <v>Blank</v>
      </c>
      <c r="F26" s="1049"/>
      <c r="G26" s="837">
        <f>SUMIF('Monthly CF'!$H$7:$FT$7,G$9,'Monthly CF'!$H54:$FT54)</f>
        <v>0</v>
      </c>
      <c r="H26" s="1468">
        <f>SUMIF('Monthly CF'!$H$7:$FT$7,H$9,'Monthly CF'!$H54:$FT54)</f>
        <v>0</v>
      </c>
      <c r="I26" s="837">
        <f>SUMIF('Monthly CF'!$H$7:$FT$7,I$9,'Monthly CF'!$H54:$FT54)</f>
        <v>0</v>
      </c>
      <c r="J26" s="837"/>
      <c r="K26" s="837"/>
      <c r="L26" s="837">
        <f>SUMIF('Monthly CF'!$H$7:$FT$7,L$9,'Monthly CF'!$H54:$FT54)</f>
        <v>0</v>
      </c>
      <c r="M26" s="837">
        <f>SUMIF('Monthly CF'!$H$7:$FT$7,M$9,'Monthly CF'!$H54:$FT54)</f>
        <v>0</v>
      </c>
      <c r="N26" s="837">
        <f>SUMIF('Monthly CF'!$H$7:$FT$7,N$9,'Monthly CF'!$H54:$FT54)</f>
        <v>0</v>
      </c>
      <c r="O26" s="837">
        <f>SUMIF('Monthly CF'!$H$7:$FT$7,O$9,'Monthly CF'!$H54:$FT54)</f>
        <v>0</v>
      </c>
      <c r="P26" s="837">
        <f>SUMIF('Monthly CF'!$H$7:$FT$7,P$9,'Monthly CF'!$H54:$FT54)</f>
        <v>0</v>
      </c>
      <c r="Q26" s="837">
        <f>SUMIF('Monthly CF'!$H$7:$FT$7,Q$9,'Monthly CF'!$H54:$FT54)</f>
        <v>0</v>
      </c>
      <c r="R26" s="837">
        <f>SUMIF('Monthly CF'!$H$7:$FT$7,R$9,'Monthly CF'!$H54:$FT54)</f>
        <v>0</v>
      </c>
      <c r="S26" s="837">
        <f>SUMIF('Monthly CF'!$H$7:$FT$7,S$9,'Monthly CF'!$H54:$FT54)</f>
        <v>0</v>
      </c>
      <c r="T26" s="43"/>
    </row>
    <row r="27" spans="4:20" ht="12.6" hidden="1" customHeight="1" outlineLevel="1" x14ac:dyDescent="0.25">
      <c r="D27" s="43"/>
      <c r="E27" s="1045" t="str">
        <f>'Monthly CF'!B55</f>
        <v>Blank</v>
      </c>
      <c r="F27" s="1049"/>
      <c r="G27" s="837">
        <f>SUMIF('Monthly CF'!$H$7:$FT$7,G$9,'Monthly CF'!$H55:$FT55)</f>
        <v>0</v>
      </c>
      <c r="H27" s="1468">
        <f>SUMIF('Monthly CF'!$H$7:$FT$7,H$9,'Monthly CF'!$H55:$FT55)</f>
        <v>0</v>
      </c>
      <c r="I27" s="837">
        <f>SUMIF('Monthly CF'!$H$7:$FT$7,I$9,'Monthly CF'!$H55:$FT55)</f>
        <v>0</v>
      </c>
      <c r="J27" s="837"/>
      <c r="K27" s="837"/>
      <c r="L27" s="837">
        <f>SUMIF('Monthly CF'!$H$7:$FT$7,L$9,'Monthly CF'!$H55:$FT55)</f>
        <v>0</v>
      </c>
      <c r="M27" s="837">
        <f>SUMIF('Monthly CF'!$H$7:$FT$7,M$9,'Monthly CF'!$H55:$FT55)</f>
        <v>0</v>
      </c>
      <c r="N27" s="837">
        <f>SUMIF('Monthly CF'!$H$7:$FT$7,N$9,'Monthly CF'!$H55:$FT55)</f>
        <v>0</v>
      </c>
      <c r="O27" s="837">
        <f>SUMIF('Monthly CF'!$H$7:$FT$7,O$9,'Monthly CF'!$H55:$FT55)</f>
        <v>0</v>
      </c>
      <c r="P27" s="837">
        <f>SUMIF('Monthly CF'!$H$7:$FT$7,P$9,'Monthly CF'!$H55:$FT55)</f>
        <v>0</v>
      </c>
      <c r="Q27" s="837">
        <f>SUMIF('Monthly CF'!$H$7:$FT$7,Q$9,'Monthly CF'!$H55:$FT55)</f>
        <v>0</v>
      </c>
      <c r="R27" s="837">
        <f>SUMIF('Monthly CF'!$H$7:$FT$7,R$9,'Monthly CF'!$H55:$FT55)</f>
        <v>0</v>
      </c>
      <c r="S27" s="837">
        <f>SUMIF('Monthly CF'!$H$7:$FT$7,S$9,'Monthly CF'!$H55:$FT55)</f>
        <v>0</v>
      </c>
      <c r="T27" s="43"/>
    </row>
    <row r="28" spans="4:20" ht="12.6" hidden="1" customHeight="1" outlineLevel="1" x14ac:dyDescent="0.25">
      <c r="D28" s="43"/>
      <c r="E28" s="1046" t="str">
        <f>'Monthly CF'!B56</f>
        <v>Blank</v>
      </c>
      <c r="F28" s="1049"/>
      <c r="G28" s="1048">
        <f>SUMIF('Monthly CF'!$H$7:$FT$7,G$9,'Monthly CF'!$H56:$FT56)</f>
        <v>0</v>
      </c>
      <c r="H28" s="1469">
        <f>SUMIF('Monthly CF'!$H$7:$FT$7,H$9,'Monthly CF'!$H56:$FT56)</f>
        <v>0</v>
      </c>
      <c r="I28" s="1048">
        <f>SUMIF('Monthly CF'!$H$7:$FT$7,I$9,'Monthly CF'!$H56:$FT56)</f>
        <v>0</v>
      </c>
      <c r="J28" s="1048"/>
      <c r="K28" s="1048"/>
      <c r="L28" s="1048">
        <f>SUMIF('Monthly CF'!$H$7:$FT$7,L$9,'Monthly CF'!$H56:$FT56)</f>
        <v>0</v>
      </c>
      <c r="M28" s="1048">
        <f>SUMIF('Monthly CF'!$H$7:$FT$7,M$9,'Monthly CF'!$H56:$FT56)</f>
        <v>0</v>
      </c>
      <c r="N28" s="1048">
        <f>SUMIF('Monthly CF'!$H$7:$FT$7,N$9,'Monthly CF'!$H56:$FT56)</f>
        <v>0</v>
      </c>
      <c r="O28" s="1048">
        <f>SUMIF('Monthly CF'!$H$7:$FT$7,O$9,'Monthly CF'!$H56:$FT56)</f>
        <v>0</v>
      </c>
      <c r="P28" s="1048">
        <f>SUMIF('Monthly CF'!$H$7:$FT$7,P$9,'Monthly CF'!$H56:$FT56)</f>
        <v>0</v>
      </c>
      <c r="Q28" s="1048">
        <f>SUMIF('Monthly CF'!$H$7:$FT$7,Q$9,'Monthly CF'!$H56:$FT56)</f>
        <v>0</v>
      </c>
      <c r="R28" s="1048">
        <f>SUMIF('Monthly CF'!$H$7:$FT$7,R$9,'Monthly CF'!$H56:$FT56)</f>
        <v>0</v>
      </c>
      <c r="S28" s="1048">
        <f>SUMIF('Monthly CF'!$H$7:$FT$7,S$9,'Monthly CF'!$H56:$FT56)</f>
        <v>0</v>
      </c>
      <c r="T28" s="43"/>
    </row>
    <row r="29" spans="4:20" ht="12.6" customHeight="1" collapsed="1" x14ac:dyDescent="0.25">
      <c r="D29" s="43"/>
      <c r="E29" s="34" t="s">
        <v>364</v>
      </c>
      <c r="F29" s="43"/>
      <c r="G29" s="436">
        <f>SUM(G$30:G$31)</f>
        <v>0</v>
      </c>
      <c r="H29" s="1466">
        <f t="shared" ref="H29:S29" si="4">SUM(H$30:H$31)</f>
        <v>0</v>
      </c>
      <c r="I29" s="436">
        <f t="shared" si="4"/>
        <v>0</v>
      </c>
      <c r="J29" s="436"/>
      <c r="K29" s="436"/>
      <c r="L29" s="436">
        <f t="shared" si="4"/>
        <v>0</v>
      </c>
      <c r="M29" s="436">
        <f t="shared" si="4"/>
        <v>0</v>
      </c>
      <c r="N29" s="436">
        <f t="shared" si="4"/>
        <v>0</v>
      </c>
      <c r="O29" s="436">
        <f t="shared" si="4"/>
        <v>0</v>
      </c>
      <c r="P29" s="436">
        <f t="shared" si="4"/>
        <v>0</v>
      </c>
      <c r="Q29" s="436">
        <f t="shared" si="4"/>
        <v>0</v>
      </c>
      <c r="R29" s="436">
        <f t="shared" si="4"/>
        <v>0</v>
      </c>
      <c r="S29" s="436">
        <f t="shared" si="4"/>
        <v>0</v>
      </c>
      <c r="T29" s="43"/>
    </row>
    <row r="30" spans="4:20" ht="12.6" hidden="1" customHeight="1" outlineLevel="1" x14ac:dyDescent="0.25">
      <c r="D30" s="43"/>
      <c r="E30" s="1044" t="str">
        <f>'Monthly CF'!B60</f>
        <v>Incentive Revenue:</v>
      </c>
      <c r="F30" s="1049"/>
      <c r="G30" s="1047">
        <f>SUMIF('Monthly CF'!$H$7:$FT$7,G$9,'Monthly CF'!$H60:$FT60)</f>
        <v>0</v>
      </c>
      <c r="H30" s="1467">
        <f>SUMIF('Monthly CF'!$H$7:$FT$7,H$9,'Monthly CF'!$H60:$FT60)</f>
        <v>0</v>
      </c>
      <c r="I30" s="1047">
        <f>SUMIF('Monthly CF'!$H$7:$FT$7,I$9,'Monthly CF'!$H60:$FT60)</f>
        <v>0</v>
      </c>
      <c r="J30" s="1047"/>
      <c r="K30" s="1047"/>
      <c r="L30" s="1047">
        <f>SUMIF('Monthly CF'!$H$7:$FT$7,L$9,'Monthly CF'!$H60:$FT60)</f>
        <v>0</v>
      </c>
      <c r="M30" s="1047">
        <f>SUMIF('Monthly CF'!$H$7:$FT$7,M$9,'Monthly CF'!$H60:$FT60)</f>
        <v>0</v>
      </c>
      <c r="N30" s="1047">
        <f>SUMIF('Monthly CF'!$H$7:$FT$7,N$9,'Monthly CF'!$H60:$FT60)</f>
        <v>0</v>
      </c>
      <c r="O30" s="1047">
        <f>SUMIF('Monthly CF'!$H$7:$FT$7,O$9,'Monthly CF'!$H60:$FT60)</f>
        <v>0</v>
      </c>
      <c r="P30" s="1047">
        <f>SUMIF('Monthly CF'!$H$7:$FT$7,P$9,'Monthly CF'!$H60:$FT60)</f>
        <v>0</v>
      </c>
      <c r="Q30" s="1047">
        <f>SUMIF('Monthly CF'!$H$7:$FT$7,Q$9,'Monthly CF'!$H60:$FT60)</f>
        <v>0</v>
      </c>
      <c r="R30" s="1047">
        <f>SUMIF('Monthly CF'!$H$7:$FT$7,R$9,'Monthly CF'!$H60:$FT60)</f>
        <v>0</v>
      </c>
      <c r="S30" s="1047">
        <f>SUMIF('Monthly CF'!$H$7:$FT$7,S$9,'Monthly CF'!$H60:$FT60)</f>
        <v>0</v>
      </c>
      <c r="T30" s="43"/>
    </row>
    <row r="31" spans="4:20" ht="12.6" hidden="1" customHeight="1" outlineLevel="1" x14ac:dyDescent="0.25">
      <c r="D31" s="43"/>
      <c r="E31" s="1046" t="str">
        <f>'Monthly CF'!B61</f>
        <v>Incentive Revenue:</v>
      </c>
      <c r="F31" s="1049"/>
      <c r="G31" s="1048">
        <f>SUMIF('Monthly CF'!$H$7:$FT$7,G$9,'Monthly CF'!$H61:$FT61)</f>
        <v>0</v>
      </c>
      <c r="H31" s="1469">
        <f>SUMIF('Monthly CF'!$H$7:$FT$7,H$9,'Monthly CF'!$H61:$FT61)</f>
        <v>0</v>
      </c>
      <c r="I31" s="1048">
        <f>SUMIF('Monthly CF'!$H$7:$FT$7,I$9,'Monthly CF'!$H61:$FT61)</f>
        <v>0</v>
      </c>
      <c r="J31" s="1048"/>
      <c r="K31" s="1048"/>
      <c r="L31" s="1048">
        <f>SUMIF('Monthly CF'!$H$7:$FT$7,L$9,'Monthly CF'!$H61:$FT61)</f>
        <v>0</v>
      </c>
      <c r="M31" s="1048">
        <f>SUMIF('Monthly CF'!$H$7:$FT$7,M$9,'Monthly CF'!$H61:$FT61)</f>
        <v>0</v>
      </c>
      <c r="N31" s="1048">
        <f>SUMIF('Monthly CF'!$H$7:$FT$7,N$9,'Monthly CF'!$H61:$FT61)</f>
        <v>0</v>
      </c>
      <c r="O31" s="1048">
        <f>SUMIF('Monthly CF'!$H$7:$FT$7,O$9,'Monthly CF'!$H61:$FT61)</f>
        <v>0</v>
      </c>
      <c r="P31" s="1048">
        <f>SUMIF('Monthly CF'!$H$7:$FT$7,P$9,'Monthly CF'!$H61:$FT61)</f>
        <v>0</v>
      </c>
      <c r="Q31" s="1048">
        <f>SUMIF('Monthly CF'!$H$7:$FT$7,Q$9,'Monthly CF'!$H61:$FT61)</f>
        <v>0</v>
      </c>
      <c r="R31" s="1048">
        <f>SUMIF('Monthly CF'!$H$7:$FT$7,R$9,'Monthly CF'!$H61:$FT61)</f>
        <v>0</v>
      </c>
      <c r="S31" s="1048">
        <f>SUMIF('Monthly CF'!$H$7:$FT$7,S$9,'Monthly CF'!$H61:$FT61)</f>
        <v>0</v>
      </c>
      <c r="T31" s="43"/>
    </row>
    <row r="32" spans="4:20" ht="12.6" customHeight="1" collapsed="1" x14ac:dyDescent="0.25">
      <c r="D32" s="43"/>
      <c r="E32" s="48" t="s">
        <v>12</v>
      </c>
      <c r="F32" s="43"/>
      <c r="G32" s="431">
        <f t="shared" ref="G32:S32" si="5">SUM(G16,G17,G24,G29)</f>
        <v>1190755.7590294715</v>
      </c>
      <c r="H32" s="1470">
        <f t="shared" si="5"/>
        <v>5235219.285388195</v>
      </c>
      <c r="I32" s="431">
        <f t="shared" si="5"/>
        <v>6472870.5071598431</v>
      </c>
      <c r="J32" s="431">
        <f>SUM(J16:J24)</f>
        <v>28071.953275598687</v>
      </c>
      <c r="K32" s="1588">
        <f>SUM(K16:K24)</f>
        <v>30.889033093748555</v>
      </c>
      <c r="L32" s="431">
        <f>SUM(L16,L17,L24,L29)</f>
        <v>6597348.7861436857</v>
      </c>
      <c r="M32" s="431">
        <f t="shared" si="5"/>
        <v>6721827.0651275301</v>
      </c>
      <c r="N32" s="431">
        <f t="shared" si="5"/>
        <v>6846305.3441113727</v>
      </c>
      <c r="O32" s="431">
        <f t="shared" si="5"/>
        <v>6970783.6230952181</v>
      </c>
      <c r="P32" s="431">
        <f t="shared" si="5"/>
        <v>7095261.9020790597</v>
      </c>
      <c r="Q32" s="431">
        <f t="shared" si="5"/>
        <v>7219740.1810629005</v>
      </c>
      <c r="R32" s="431">
        <f t="shared" si="5"/>
        <v>7344218.4600467486</v>
      </c>
      <c r="S32" s="431">
        <f t="shared" si="5"/>
        <v>7468696.7390305893</v>
      </c>
      <c r="T32" s="43"/>
    </row>
    <row r="33" spans="4:20" ht="12.6" customHeight="1" x14ac:dyDescent="0.25">
      <c r="D33" s="43"/>
      <c r="E33" s="48"/>
      <c r="F33" s="43"/>
      <c r="G33" s="800"/>
      <c r="H33" s="1471"/>
      <c r="I33" s="800"/>
      <c r="J33" s="800"/>
      <c r="K33" s="800"/>
      <c r="L33" s="800"/>
      <c r="M33" s="800"/>
      <c r="N33" s="800"/>
      <c r="O33" s="800"/>
      <c r="P33" s="800"/>
      <c r="Q33" s="800"/>
      <c r="R33" s="800"/>
      <c r="S33" s="826"/>
      <c r="T33" s="43"/>
    </row>
    <row r="34" spans="4:20" ht="12.6" customHeight="1" x14ac:dyDescent="0.25">
      <c r="D34" s="73" t="s">
        <v>365</v>
      </c>
      <c r="E34" s="36"/>
      <c r="F34" s="142"/>
      <c r="G34" s="800"/>
      <c r="H34" s="1471"/>
      <c r="I34" s="800"/>
      <c r="J34" s="800"/>
      <c r="K34" s="800"/>
      <c r="L34" s="800"/>
      <c r="M34" s="800"/>
      <c r="N34" s="800"/>
      <c r="O34" s="800"/>
      <c r="P34" s="800"/>
      <c r="Q34" s="827"/>
      <c r="R34" s="827"/>
      <c r="S34" s="432"/>
      <c r="T34" s="43"/>
    </row>
    <row r="35" spans="4:20" ht="12.6" customHeight="1" x14ac:dyDescent="0.25">
      <c r="D35" s="43"/>
      <c r="E35" s="34" t="str">
        <f>'Monthly CF'!B68</f>
        <v xml:space="preserve">Residential Vacancy </v>
      </c>
      <c r="F35" s="43"/>
      <c r="G35" s="427">
        <f>SUMIF('Monthly CF'!$H$7:$FT$7,'Operating Proforma'!G$9,'Monthly CF'!$H68:$FT68)</f>
        <v>0</v>
      </c>
      <c r="H35" s="1463">
        <f>SUMIF('Monthly CF'!$H$7:$FT$7,'Operating Proforma'!H$9,'Monthly CF'!$H68:$FT68)</f>
        <v>-119967.17142033334</v>
      </c>
      <c r="I35" s="427">
        <f>SUMIF('Monthly CF'!$H$7:$FT$7,'Operating Proforma'!I$9,'Monthly CF'!$H68:$FT68)</f>
        <v>-293566.72535799223</v>
      </c>
      <c r="J35" s="427">
        <f>L35/240</f>
        <v>-1246.7176637799348</v>
      </c>
      <c r="K35" s="1587">
        <f>L35/218112</f>
        <v>-1.3718284152508085</v>
      </c>
      <c r="L35" s="427">
        <f>SUMIF('Monthly CF'!$H$7:$FT$7,'Operating Proforma'!L$9,'Monthly CF'!$H68:$FT68)</f>
        <v>-299212.23930718435</v>
      </c>
      <c r="M35" s="427">
        <f>SUMIF('Monthly CF'!$H$7:$FT$7,'Operating Proforma'!M$9,'Monthly CF'!$H68:$FT68)</f>
        <v>-304857.75325637643</v>
      </c>
      <c r="N35" s="427">
        <f>SUMIF('Monthly CF'!$H$7:$FT$7,'Operating Proforma'!N$9,'Monthly CF'!$H68:$FT68)</f>
        <v>-310503.26720556867</v>
      </c>
      <c r="O35" s="427">
        <f>SUMIF('Monthly CF'!$H$7:$FT$7,'Operating Proforma'!O$9,'Monthly CF'!$H68:$FT68)</f>
        <v>-316148.78115476086</v>
      </c>
      <c r="P35" s="427">
        <f>SUMIF('Monthly CF'!$H$7:$FT$7,'Operating Proforma'!P$9,'Monthly CF'!$H68:$FT68)</f>
        <v>-321794.29510395299</v>
      </c>
      <c r="Q35" s="427">
        <f>SUMIF('Monthly CF'!$H$7:$FT$7,'Operating Proforma'!Q$9,'Monthly CF'!$H68:$FT68)</f>
        <v>-327439.80905314512</v>
      </c>
      <c r="R35" s="427">
        <f>SUMIF('Monthly CF'!$H$7:$FT$7,'Operating Proforma'!R$9,'Monthly CF'!$H68:$FT68)</f>
        <v>-333085.32300233742</v>
      </c>
      <c r="S35" s="823">
        <f>SUMIF('Monthly CF'!$H$7:$FT$7,'Operating Proforma'!S$9,'Monthly CF'!$H68:$FT68)</f>
        <v>-338730.83695152949</v>
      </c>
      <c r="T35" s="43"/>
    </row>
    <row r="36" spans="4:20" ht="12.6" customHeight="1" x14ac:dyDescent="0.25">
      <c r="D36" s="43"/>
      <c r="E36" s="34" t="s">
        <v>613</v>
      </c>
      <c r="F36" s="43"/>
      <c r="G36" s="427">
        <f>SUM(G$37:G$40)</f>
        <v>0</v>
      </c>
      <c r="H36" s="1463">
        <f t="shared" ref="H36:S36" si="6">SUM(H$37:H$40)</f>
        <v>0</v>
      </c>
      <c r="I36" s="427">
        <f t="shared" si="6"/>
        <v>0</v>
      </c>
      <c r="J36" s="427"/>
      <c r="K36" s="427"/>
      <c r="L36" s="427">
        <f t="shared" si="6"/>
        <v>0</v>
      </c>
      <c r="M36" s="427">
        <f t="shared" si="6"/>
        <v>0</v>
      </c>
      <c r="N36" s="427">
        <f t="shared" si="6"/>
        <v>0</v>
      </c>
      <c r="O36" s="427">
        <f t="shared" si="6"/>
        <v>0</v>
      </c>
      <c r="P36" s="427">
        <f t="shared" si="6"/>
        <v>0</v>
      </c>
      <c r="Q36" s="427">
        <f t="shared" si="6"/>
        <v>0</v>
      </c>
      <c r="R36" s="427">
        <f t="shared" si="6"/>
        <v>0</v>
      </c>
      <c r="S36" s="427">
        <f t="shared" si="6"/>
        <v>0</v>
      </c>
      <c r="T36" s="43"/>
    </row>
    <row r="37" spans="4:20" ht="12.6" hidden="1" customHeight="1" outlineLevel="1" x14ac:dyDescent="0.25">
      <c r="D37" s="43"/>
      <c r="E37" s="1044" t="str">
        <f>'Monthly CF'!B69</f>
        <v>One Time Rent Concessions</v>
      </c>
      <c r="F37" s="50"/>
      <c r="G37" s="1047">
        <f>SUMIF('Monthly CF'!$H$7:$FT$7,G$9,'Monthly CF'!$H69:$FT69)</f>
        <v>0</v>
      </c>
      <c r="H37" s="1467">
        <f>SUMIF('Monthly CF'!$H$7:$FT$7,H$9,'Monthly CF'!$H69:$FT69)</f>
        <v>0</v>
      </c>
      <c r="I37" s="1047">
        <f>SUMIF('Monthly CF'!$H$7:$FT$7,I$9,'Monthly CF'!$H69:$FT69)</f>
        <v>0</v>
      </c>
      <c r="J37" s="1047"/>
      <c r="K37" s="1047"/>
      <c r="L37" s="1047">
        <f>SUMIF('Monthly CF'!$H$7:$FT$7,L$9,'Monthly CF'!$H69:$FT69)</f>
        <v>0</v>
      </c>
      <c r="M37" s="1047">
        <f>SUMIF('Monthly CF'!$H$7:$FT$7,M$9,'Monthly CF'!$H69:$FT69)</f>
        <v>0</v>
      </c>
      <c r="N37" s="1047">
        <f>SUMIF('Monthly CF'!$H$7:$FT$7,N$9,'Monthly CF'!$H69:$FT69)</f>
        <v>0</v>
      </c>
      <c r="O37" s="1047">
        <f>SUMIF('Monthly CF'!$H$7:$FT$7,O$9,'Monthly CF'!$H69:$FT69)</f>
        <v>0</v>
      </c>
      <c r="P37" s="1047">
        <f>SUMIF('Monthly CF'!$H$7:$FT$7,P$9,'Monthly CF'!$H69:$FT69)</f>
        <v>0</v>
      </c>
      <c r="Q37" s="1047">
        <f>SUMIF('Monthly CF'!$H$7:$FT$7,Q$9,'Monthly CF'!$H69:$FT69)</f>
        <v>0</v>
      </c>
      <c r="R37" s="1047">
        <f>SUMIF('Monthly CF'!$H$7:$FT$7,R$9,'Monthly CF'!$H69:$FT69)</f>
        <v>0</v>
      </c>
      <c r="S37" s="1047">
        <f>SUMIF('Monthly CF'!$H$7:$FT$7,S$9,'Monthly CF'!$H69:$FT69)</f>
        <v>0</v>
      </c>
      <c r="T37" s="43"/>
    </row>
    <row r="38" spans="4:20" ht="12.6" hidden="1" customHeight="1" outlineLevel="1" x14ac:dyDescent="0.25">
      <c r="D38" s="43"/>
      <c r="E38" s="1045" t="str">
        <f>'Monthly CF'!B70</f>
        <v>Bad Debt Rent Write Off</v>
      </c>
      <c r="F38" s="43"/>
      <c r="G38" s="837">
        <f>SUMIF('Monthly CF'!$H$7:$FT$7,G$9,'Monthly CF'!$H70:$FT70)</f>
        <v>0</v>
      </c>
      <c r="H38" s="1468">
        <f>SUMIF('Monthly CF'!$H$7:$FT$7,H$9,'Monthly CF'!$H70:$FT70)</f>
        <v>0</v>
      </c>
      <c r="I38" s="837">
        <f>SUMIF('Monthly CF'!$H$7:$FT$7,I$9,'Monthly CF'!$H70:$FT70)</f>
        <v>0</v>
      </c>
      <c r="J38" s="837"/>
      <c r="K38" s="837"/>
      <c r="L38" s="837">
        <f>SUMIF('Monthly CF'!$H$7:$FT$7,L$9,'Monthly CF'!$H70:$FT70)</f>
        <v>0</v>
      </c>
      <c r="M38" s="837">
        <f>SUMIF('Monthly CF'!$H$7:$FT$7,M$9,'Monthly CF'!$H70:$FT70)</f>
        <v>0</v>
      </c>
      <c r="N38" s="837">
        <f>SUMIF('Monthly CF'!$H$7:$FT$7,N$9,'Monthly CF'!$H70:$FT70)</f>
        <v>0</v>
      </c>
      <c r="O38" s="837">
        <f>SUMIF('Monthly CF'!$H$7:$FT$7,O$9,'Monthly CF'!$H70:$FT70)</f>
        <v>0</v>
      </c>
      <c r="P38" s="837">
        <f>SUMIF('Monthly CF'!$H$7:$FT$7,P$9,'Monthly CF'!$H70:$FT70)</f>
        <v>0</v>
      </c>
      <c r="Q38" s="837">
        <f>SUMIF('Monthly CF'!$H$7:$FT$7,Q$9,'Monthly CF'!$H70:$FT70)</f>
        <v>0</v>
      </c>
      <c r="R38" s="837">
        <f>SUMIF('Monthly CF'!$H$7:$FT$7,R$9,'Monthly CF'!$H70:$FT70)</f>
        <v>0</v>
      </c>
      <c r="S38" s="837">
        <f>SUMIF('Monthly CF'!$H$7:$FT$7,S$9,'Monthly CF'!$H70:$FT70)</f>
        <v>0</v>
      </c>
      <c r="T38" s="43"/>
    </row>
    <row r="39" spans="4:20" ht="12.6" hidden="1" customHeight="1" outlineLevel="1" x14ac:dyDescent="0.25">
      <c r="D39" s="43"/>
      <c r="E39" s="1045" t="str">
        <f>'Monthly CF'!B71</f>
        <v>Change in Delinquency</v>
      </c>
      <c r="F39" s="43"/>
      <c r="G39" s="837">
        <f>SUMIF('Monthly CF'!$H$7:$FT$7,G$9,'Monthly CF'!$H71:$FT71)</f>
        <v>0</v>
      </c>
      <c r="H39" s="1468">
        <f>SUMIF('Monthly CF'!$H$7:$FT$7,H$9,'Monthly CF'!$H71:$FT71)</f>
        <v>0</v>
      </c>
      <c r="I39" s="837">
        <f>SUMIF('Monthly CF'!$H$7:$FT$7,I$9,'Monthly CF'!$H71:$FT71)</f>
        <v>0</v>
      </c>
      <c r="J39" s="837"/>
      <c r="K39" s="837"/>
      <c r="L39" s="837">
        <f>SUMIF('Monthly CF'!$H$7:$FT$7,L$9,'Monthly CF'!$H71:$FT71)</f>
        <v>0</v>
      </c>
      <c r="M39" s="837">
        <f>SUMIF('Monthly CF'!$H$7:$FT$7,M$9,'Monthly CF'!$H71:$FT71)</f>
        <v>0</v>
      </c>
      <c r="N39" s="837">
        <f>SUMIF('Monthly CF'!$H$7:$FT$7,N$9,'Monthly CF'!$H71:$FT71)</f>
        <v>0</v>
      </c>
      <c r="O39" s="837">
        <f>SUMIF('Monthly CF'!$H$7:$FT$7,O$9,'Monthly CF'!$H71:$FT71)</f>
        <v>0</v>
      </c>
      <c r="P39" s="837">
        <f>SUMIF('Monthly CF'!$H$7:$FT$7,P$9,'Monthly CF'!$H71:$FT71)</f>
        <v>0</v>
      </c>
      <c r="Q39" s="837">
        <f>SUMIF('Monthly CF'!$H$7:$FT$7,Q$9,'Monthly CF'!$H71:$FT71)</f>
        <v>0</v>
      </c>
      <c r="R39" s="837">
        <f>SUMIF('Monthly CF'!$H$7:$FT$7,R$9,'Monthly CF'!$H71:$FT71)</f>
        <v>0</v>
      </c>
      <c r="S39" s="837">
        <f>SUMIF('Monthly CF'!$H$7:$FT$7,S$9,'Monthly CF'!$H71:$FT71)</f>
        <v>0</v>
      </c>
      <c r="T39" s="43"/>
    </row>
    <row r="40" spans="4:20" ht="12.6" hidden="1" customHeight="1" outlineLevel="1" x14ac:dyDescent="0.25">
      <c r="D40" s="43"/>
      <c r="E40" s="1046" t="str">
        <f>'Monthly CF'!B72</f>
        <v>Change in Prepaids</v>
      </c>
      <c r="F40" s="43"/>
      <c r="G40" s="1048">
        <f>SUMIF('Monthly CF'!$H$7:$FT$7,G$9,'Monthly CF'!$H72:$FT72)</f>
        <v>0</v>
      </c>
      <c r="H40" s="1469">
        <f>SUMIF('Monthly CF'!$H$7:$FT$7,H$9,'Monthly CF'!$H72:$FT72)</f>
        <v>0</v>
      </c>
      <c r="I40" s="1048">
        <f>SUMIF('Monthly CF'!$H$7:$FT$7,I$9,'Monthly CF'!$H72:$FT72)</f>
        <v>0</v>
      </c>
      <c r="J40" s="1048"/>
      <c r="K40" s="1048"/>
      <c r="L40" s="1048">
        <f>SUMIF('Monthly CF'!$H$7:$FT$7,L$9,'Monthly CF'!$H72:$FT72)</f>
        <v>0</v>
      </c>
      <c r="M40" s="1048">
        <f>SUMIF('Monthly CF'!$H$7:$FT$7,M$9,'Monthly CF'!$H72:$FT72)</f>
        <v>0</v>
      </c>
      <c r="N40" s="1048">
        <f>SUMIF('Monthly CF'!$H$7:$FT$7,N$9,'Monthly CF'!$H72:$FT72)</f>
        <v>0</v>
      </c>
      <c r="O40" s="1048">
        <f>SUMIF('Monthly CF'!$H$7:$FT$7,O$9,'Monthly CF'!$H72:$FT72)</f>
        <v>0</v>
      </c>
      <c r="P40" s="1048">
        <f>SUMIF('Monthly CF'!$H$7:$FT$7,P$9,'Monthly CF'!$H72:$FT72)</f>
        <v>0</v>
      </c>
      <c r="Q40" s="1048">
        <f>SUMIF('Monthly CF'!$H$7:$FT$7,Q$9,'Monthly CF'!$H72:$FT72)</f>
        <v>0</v>
      </c>
      <c r="R40" s="1048">
        <f>SUMIF('Monthly CF'!$H$7:$FT$7,R$9,'Monthly CF'!$H72:$FT72)</f>
        <v>0</v>
      </c>
      <c r="S40" s="1048">
        <f>SUMIF('Monthly CF'!$H$7:$FT$7,S$9,'Monthly CF'!$H72:$FT72)</f>
        <v>0</v>
      </c>
      <c r="T40" s="43"/>
    </row>
    <row r="41" spans="4:20" ht="12.6" customHeight="1" collapsed="1" x14ac:dyDescent="0.25">
      <c r="D41" s="43"/>
      <c r="E41" s="48" t="s">
        <v>366</v>
      </c>
      <c r="F41" s="43"/>
      <c r="G41" s="431">
        <f>SUM(G$35,G$36)</f>
        <v>0</v>
      </c>
      <c r="H41" s="1470">
        <f t="shared" ref="H41:S41" si="7">SUM(H$35,H$36)</f>
        <v>-119967.17142033334</v>
      </c>
      <c r="I41" s="431">
        <f t="shared" si="7"/>
        <v>-293566.72535799223</v>
      </c>
      <c r="J41" s="431"/>
      <c r="K41" s="431"/>
      <c r="L41" s="431">
        <f t="shared" si="7"/>
        <v>-299212.23930718435</v>
      </c>
      <c r="M41" s="431">
        <f t="shared" si="7"/>
        <v>-304857.75325637643</v>
      </c>
      <c r="N41" s="431">
        <f t="shared" si="7"/>
        <v>-310503.26720556867</v>
      </c>
      <c r="O41" s="431">
        <f t="shared" si="7"/>
        <v>-316148.78115476086</v>
      </c>
      <c r="P41" s="431">
        <f t="shared" si="7"/>
        <v>-321794.29510395299</v>
      </c>
      <c r="Q41" s="431">
        <f t="shared" si="7"/>
        <v>-327439.80905314512</v>
      </c>
      <c r="R41" s="431">
        <f t="shared" si="7"/>
        <v>-333085.32300233742</v>
      </c>
      <c r="S41" s="431">
        <f t="shared" si="7"/>
        <v>-338730.83695152949</v>
      </c>
      <c r="T41" s="43"/>
    </row>
    <row r="42" spans="4:20" ht="12.6" customHeight="1" x14ac:dyDescent="0.25">
      <c r="D42" s="43"/>
      <c r="F42" s="43"/>
      <c r="G42" s="427"/>
      <c r="H42" s="1463"/>
      <c r="I42" s="427"/>
      <c r="J42" s="427"/>
      <c r="K42" s="427"/>
      <c r="L42" s="427"/>
      <c r="M42" s="427"/>
      <c r="N42" s="427"/>
      <c r="O42" s="427"/>
      <c r="P42" s="427"/>
      <c r="Q42" s="827"/>
      <c r="R42" s="827"/>
      <c r="S42" s="432"/>
      <c r="T42" s="43"/>
    </row>
    <row r="43" spans="4:20" ht="12.6" customHeight="1" x14ac:dyDescent="0.25">
      <c r="D43" s="43"/>
      <c r="E43" s="135" t="s">
        <v>367</v>
      </c>
      <c r="F43" s="43"/>
      <c r="G43" s="431">
        <f>SUM(G$32,G$41)</f>
        <v>1190755.7590294715</v>
      </c>
      <c r="H43" s="1470">
        <f t="shared" ref="H43:S43" si="8">SUM(H$32,H$41)</f>
        <v>5115252.113967862</v>
      </c>
      <c r="I43" s="431">
        <f t="shared" si="8"/>
        <v>6179303.7818018505</v>
      </c>
      <c r="J43" s="427">
        <f>L43/240</f>
        <v>26242.235611818753</v>
      </c>
      <c r="K43" s="1587">
        <f>L43/218112</f>
        <v>28.875699396807608</v>
      </c>
      <c r="L43" s="431">
        <f t="shared" si="8"/>
        <v>6298136.546836501</v>
      </c>
      <c r="M43" s="431">
        <f t="shared" si="8"/>
        <v>6416969.3118711533</v>
      </c>
      <c r="N43" s="431">
        <f t="shared" si="8"/>
        <v>6535802.0769058038</v>
      </c>
      <c r="O43" s="431">
        <f t="shared" si="8"/>
        <v>6654634.841940457</v>
      </c>
      <c r="P43" s="431">
        <f t="shared" si="8"/>
        <v>6773467.6069751065</v>
      </c>
      <c r="Q43" s="431">
        <f t="shared" si="8"/>
        <v>6892300.3720097551</v>
      </c>
      <c r="R43" s="431">
        <f t="shared" si="8"/>
        <v>7011133.1370444112</v>
      </c>
      <c r="S43" s="431">
        <f t="shared" si="8"/>
        <v>7129965.9020790597</v>
      </c>
      <c r="T43" s="43"/>
    </row>
    <row r="44" spans="4:20" ht="12.6" customHeight="1" x14ac:dyDescent="0.25">
      <c r="D44" s="43"/>
      <c r="F44" s="43"/>
      <c r="G44" s="427"/>
      <c r="H44" s="1463"/>
      <c r="I44" s="427"/>
      <c r="J44" s="427"/>
      <c r="K44" s="427"/>
      <c r="L44" s="427"/>
      <c r="M44" s="427"/>
      <c r="N44" s="427"/>
      <c r="O44" s="427"/>
      <c r="P44" s="427"/>
      <c r="Q44" s="827"/>
      <c r="R44" s="827"/>
      <c r="S44" s="432"/>
      <c r="T44" s="43"/>
    </row>
    <row r="45" spans="4:20" ht="12.6" customHeight="1" x14ac:dyDescent="0.25">
      <c r="D45" s="73" t="s">
        <v>368</v>
      </c>
      <c r="F45" s="43"/>
      <c r="G45" s="427"/>
      <c r="H45" s="1463"/>
      <c r="I45" s="427"/>
      <c r="J45" s="427"/>
      <c r="K45" s="427"/>
      <c r="L45" s="427"/>
      <c r="M45" s="427"/>
      <c r="N45" s="427"/>
      <c r="O45" s="427"/>
      <c r="P45" s="427"/>
      <c r="Q45" s="827"/>
      <c r="R45" s="827"/>
      <c r="S45" s="432"/>
      <c r="T45" s="43"/>
    </row>
    <row r="46" spans="4:20" ht="12.6" customHeight="1" x14ac:dyDescent="0.25">
      <c r="D46" s="43"/>
      <c r="E46" s="1324" t="str">
        <f>'Monthly CF'!B80</f>
        <v>Payroll and Related</v>
      </c>
      <c r="G46" s="427">
        <f>SUMIF('Monthly CF'!$H$7:$FT$7,'Operating Proforma'!G$9,'Monthly CF'!$H80:$FT80)</f>
        <v>-59691.666666666664</v>
      </c>
      <c r="H46" s="1463">
        <f>SUMIF('Monthly CF'!$H$7:$FT$7,'Operating Proforma'!H$9,'Monthly CF'!$H80:$FT80)</f>
        <v>-259864.58333333334</v>
      </c>
      <c r="I46" s="427">
        <f>SUMIF('Monthly CF'!$H$7:$FT$7,'Operating Proforma'!I$9,'Monthly CF'!$H80:$FT80)</f>
        <v>-318240</v>
      </c>
      <c r="J46" s="427">
        <f>L46/240</f>
        <v>-1339</v>
      </c>
      <c r="K46" s="1587">
        <f>L46/218112</f>
        <v>-1.4733714788732395</v>
      </c>
      <c r="L46" s="427">
        <f>SUMIF('Monthly CF'!$H$7:$FT$7,'Operating Proforma'!L$9,'Monthly CF'!$H80:$FT80)</f>
        <v>-321360</v>
      </c>
      <c r="M46" s="427">
        <f>SUMIF('Monthly CF'!$H$7:$FT$7,'Operating Proforma'!M$9,'Monthly CF'!$H80:$FT80)</f>
        <v>-324480</v>
      </c>
      <c r="N46" s="427">
        <f>SUMIF('Monthly CF'!$H$7:$FT$7,'Operating Proforma'!N$9,'Monthly CF'!$H80:$FT80)</f>
        <v>-327600</v>
      </c>
      <c r="O46" s="427">
        <f>SUMIF('Monthly CF'!$H$7:$FT$7,'Operating Proforma'!O$9,'Monthly CF'!$H80:$FT80)</f>
        <v>-330720</v>
      </c>
      <c r="P46" s="427">
        <f>SUMIF('Monthly CF'!$H$7:$FT$7,'Operating Proforma'!P$9,'Monthly CF'!$H80:$FT80)</f>
        <v>-333840</v>
      </c>
      <c r="Q46" s="427">
        <f>SUMIF('Monthly CF'!$H$7:$FT$7,'Operating Proforma'!Q$9,'Monthly CF'!$H80:$FT80)</f>
        <v>-336960</v>
      </c>
      <c r="R46" s="427">
        <f>SUMIF('Monthly CF'!$H$7:$FT$7,'Operating Proforma'!R$9,'Monthly CF'!$H80:$FT80)</f>
        <v>-340080</v>
      </c>
      <c r="S46" s="823">
        <f>SUMIF('Monthly CF'!$H$7:$FT$7,'Operating Proforma'!S$9,'Monthly CF'!$H80:$FT80)</f>
        <v>-343200.00000000006</v>
      </c>
      <c r="T46" s="43"/>
    </row>
    <row r="47" spans="4:20" ht="12.6" customHeight="1" x14ac:dyDescent="0.25">
      <c r="D47" s="43"/>
      <c r="E47" s="1324" t="str">
        <f>'Monthly CF'!B81</f>
        <v xml:space="preserve">Utilities </v>
      </c>
      <c r="F47" s="43"/>
      <c r="G47" s="427">
        <f>SUMIF('Monthly CF'!$H$7:$FT$7,'Operating Proforma'!G$9,'Monthly CF'!$H81:$FT81)</f>
        <v>-27550</v>
      </c>
      <c r="H47" s="1463">
        <f>SUMIF('Monthly CF'!$H$7:$FT$7,'Operating Proforma'!H$9,'Monthly CF'!$H81:$FT81)</f>
        <v>-119937.5</v>
      </c>
      <c r="I47" s="427">
        <f>SUMIF('Monthly CF'!$H$7:$FT$7,'Operating Proforma'!I$9,'Monthly CF'!$H81:$FT81)</f>
        <v>-146880</v>
      </c>
      <c r="J47" s="427">
        <f t="shared" ref="J47:J51" si="9">L47/240</f>
        <v>-618</v>
      </c>
      <c r="K47" s="1587">
        <f t="shared" ref="K47:K51" si="10">L47/218112</f>
        <v>-0.68001760563380287</v>
      </c>
      <c r="L47" s="427">
        <f>SUMIF('Monthly CF'!$H$7:$FT$7,'Operating Proforma'!L$9,'Monthly CF'!$H81:$FT81)</f>
        <v>-148320</v>
      </c>
      <c r="M47" s="427">
        <f>SUMIF('Monthly CF'!$H$7:$FT$7,'Operating Proforma'!M$9,'Monthly CF'!$H81:$FT81)</f>
        <v>-149760</v>
      </c>
      <c r="N47" s="427">
        <f>SUMIF('Monthly CF'!$H$7:$FT$7,'Operating Proforma'!N$9,'Monthly CF'!$H81:$FT81)</f>
        <v>-151200</v>
      </c>
      <c r="O47" s="427">
        <f>SUMIF('Monthly CF'!$H$7:$FT$7,'Operating Proforma'!O$9,'Monthly CF'!$H81:$FT81)</f>
        <v>-152640</v>
      </c>
      <c r="P47" s="427">
        <f>SUMIF('Monthly CF'!$H$7:$FT$7,'Operating Proforma'!P$9,'Monthly CF'!$H81:$FT81)</f>
        <v>-154080</v>
      </c>
      <c r="Q47" s="427">
        <f>SUMIF('Monthly CF'!$H$7:$FT$7,'Operating Proforma'!Q$9,'Monthly CF'!$H81:$FT81)</f>
        <v>-155520</v>
      </c>
      <c r="R47" s="427">
        <f>SUMIF('Monthly CF'!$H$7:$FT$7,'Operating Proforma'!R$9,'Monthly CF'!$H81:$FT81)</f>
        <v>-156960</v>
      </c>
      <c r="S47" s="823">
        <f>SUMIF('Monthly CF'!$H$7:$FT$7,'Operating Proforma'!S$9,'Monthly CF'!$H81:$FT81)</f>
        <v>-158400</v>
      </c>
      <c r="T47" s="43"/>
    </row>
    <row r="48" spans="4:20" ht="12.6" customHeight="1" x14ac:dyDescent="0.25">
      <c r="D48" s="43"/>
      <c r="E48" s="1324" t="str">
        <f>'Monthly CF'!B82</f>
        <v>Landscaping / Contracted Services</v>
      </c>
      <c r="F48" s="43"/>
      <c r="G48" s="427">
        <f>SUMIF('Monthly CF'!$H$7:$FT$7,'Operating Proforma'!G$9,'Monthly CF'!$H82:$FT82)</f>
        <v>-8494.5833333333339</v>
      </c>
      <c r="H48" s="1463">
        <f>SUMIF('Monthly CF'!$H$7:$FT$7,'Operating Proforma'!H$9,'Monthly CF'!$H82:$FT82)</f>
        <v>-36980.729166666672</v>
      </c>
      <c r="I48" s="427">
        <f>SUMIF('Monthly CF'!$H$7:$FT$7,'Operating Proforma'!I$9,'Monthly CF'!$H82:$FT82)</f>
        <v>-45288.000000000007</v>
      </c>
      <c r="J48" s="427">
        <f t="shared" si="9"/>
        <v>-190.55</v>
      </c>
      <c r="K48" s="1587">
        <f t="shared" si="10"/>
        <v>-0.20967209507042253</v>
      </c>
      <c r="L48" s="427">
        <f>SUMIF('Monthly CF'!$H$7:$FT$7,'Operating Proforma'!L$9,'Monthly CF'!$H82:$FT82)</f>
        <v>-45732</v>
      </c>
      <c r="M48" s="427">
        <f>SUMIF('Monthly CF'!$H$7:$FT$7,'Operating Proforma'!M$9,'Monthly CF'!$H82:$FT82)</f>
        <v>-46176</v>
      </c>
      <c r="N48" s="427">
        <f>SUMIF('Monthly CF'!$H$7:$FT$7,'Operating Proforma'!N$9,'Monthly CF'!$H82:$FT82)</f>
        <v>-46620</v>
      </c>
      <c r="O48" s="427">
        <f>SUMIF('Monthly CF'!$H$7:$FT$7,'Operating Proforma'!O$9,'Monthly CF'!$H82:$FT82)</f>
        <v>-47064.000000000007</v>
      </c>
      <c r="P48" s="427">
        <f>SUMIF('Monthly CF'!$H$7:$FT$7,'Operating Proforma'!P$9,'Monthly CF'!$H82:$FT82)</f>
        <v>-47508.000000000007</v>
      </c>
      <c r="Q48" s="427">
        <f>SUMIF('Monthly CF'!$H$7:$FT$7,'Operating Proforma'!Q$9,'Monthly CF'!$H82:$FT82)</f>
        <v>-47952</v>
      </c>
      <c r="R48" s="427">
        <f>SUMIF('Monthly CF'!$H$7:$FT$7,'Operating Proforma'!R$9,'Monthly CF'!$H82:$FT82)</f>
        <v>-48396</v>
      </c>
      <c r="S48" s="823">
        <f>SUMIF('Monthly CF'!$H$7:$FT$7,'Operating Proforma'!S$9,'Monthly CF'!$H82:$FT82)</f>
        <v>-48840.000000000007</v>
      </c>
      <c r="T48" s="43"/>
    </row>
    <row r="49" spans="4:20" ht="12.6" customHeight="1" x14ac:dyDescent="0.25">
      <c r="D49" s="43"/>
      <c r="E49" s="1324" t="str">
        <f>'Monthly CF'!B83</f>
        <v>Repairs &amp; Maintenance</v>
      </c>
      <c r="F49" s="50"/>
      <c r="G49" s="427">
        <f>SUMIF('Monthly CF'!$H$7:$FT$7,'Operating Proforma'!G$9,'Monthly CF'!$H83:$FT83)</f>
        <v>-6887.5</v>
      </c>
      <c r="H49" s="1463">
        <f>SUMIF('Monthly CF'!$H$7:$FT$7,'Operating Proforma'!H$9,'Monthly CF'!$H83:$FT83)</f>
        <v>-29984.375</v>
      </c>
      <c r="I49" s="427">
        <f>SUMIF('Monthly CF'!$H$7:$FT$7,'Operating Proforma'!I$9,'Monthly CF'!$H83:$FT83)</f>
        <v>-36720</v>
      </c>
      <c r="J49" s="427">
        <f t="shared" si="9"/>
        <v>-154.5</v>
      </c>
      <c r="K49" s="1587">
        <f t="shared" si="10"/>
        <v>-0.17000440140845072</v>
      </c>
      <c r="L49" s="427">
        <f>SUMIF('Monthly CF'!$H$7:$FT$7,'Operating Proforma'!L$9,'Monthly CF'!$H83:$FT83)</f>
        <v>-37080</v>
      </c>
      <c r="M49" s="427">
        <f>SUMIF('Monthly CF'!$H$7:$FT$7,'Operating Proforma'!M$9,'Monthly CF'!$H83:$FT83)</f>
        <v>-37440</v>
      </c>
      <c r="N49" s="427">
        <f>SUMIF('Monthly CF'!$H$7:$FT$7,'Operating Proforma'!N$9,'Monthly CF'!$H83:$FT83)</f>
        <v>-37800</v>
      </c>
      <c r="O49" s="427">
        <f>SUMIF('Monthly CF'!$H$7:$FT$7,'Operating Proforma'!O$9,'Monthly CF'!$H83:$FT83)</f>
        <v>-38160</v>
      </c>
      <c r="P49" s="427">
        <f>SUMIF('Monthly CF'!$H$7:$FT$7,'Operating Proforma'!P$9,'Monthly CF'!$H83:$FT83)</f>
        <v>-38520</v>
      </c>
      <c r="Q49" s="427">
        <f>SUMIF('Monthly CF'!$H$7:$FT$7,'Operating Proforma'!Q$9,'Monthly CF'!$H83:$FT83)</f>
        <v>-38880</v>
      </c>
      <c r="R49" s="427">
        <f>SUMIF('Monthly CF'!$H$7:$FT$7,'Operating Proforma'!R$9,'Monthly CF'!$H83:$FT83)</f>
        <v>-39240</v>
      </c>
      <c r="S49" s="823">
        <f>SUMIF('Monthly CF'!$H$7:$FT$7,'Operating Proforma'!S$9,'Monthly CF'!$H83:$FT83)</f>
        <v>-39600</v>
      </c>
      <c r="T49" s="43"/>
    </row>
    <row r="50" spans="4:20" ht="12.6" customHeight="1" x14ac:dyDescent="0.25">
      <c r="D50" s="43"/>
      <c r="E50" s="1324" t="str">
        <f>'Monthly CF'!B84</f>
        <v>Leasing &amp; Marketing</v>
      </c>
      <c r="F50" s="43"/>
      <c r="G50" s="427">
        <f>SUMIF('Monthly CF'!$H$7:$FT$7,'Operating Proforma'!G$9,'Monthly CF'!$H84:$FT84)</f>
        <v>-9183.3333333333339</v>
      </c>
      <c r="H50" s="1463">
        <f>SUMIF('Monthly CF'!$H$7:$FT$7,'Operating Proforma'!H$9,'Monthly CF'!$H84:$FT84)</f>
        <v>-39979.166666666664</v>
      </c>
      <c r="I50" s="427">
        <f>SUMIF('Monthly CF'!$H$7:$FT$7,'Operating Proforma'!I$9,'Monthly CF'!$H84:$FT84)</f>
        <v>-48960</v>
      </c>
      <c r="J50" s="427">
        <f t="shared" si="9"/>
        <v>-206</v>
      </c>
      <c r="K50" s="1587">
        <f t="shared" si="10"/>
        <v>-0.2266725352112676</v>
      </c>
      <c r="L50" s="427">
        <f>SUMIF('Monthly CF'!$H$7:$FT$7,'Operating Proforma'!L$9,'Monthly CF'!$H84:$FT84)</f>
        <v>-49440</v>
      </c>
      <c r="M50" s="427">
        <f>SUMIF('Monthly CF'!$H$7:$FT$7,'Operating Proforma'!M$9,'Monthly CF'!$H84:$FT84)</f>
        <v>-49920</v>
      </c>
      <c r="N50" s="427">
        <f>SUMIF('Monthly CF'!$H$7:$FT$7,'Operating Proforma'!N$9,'Monthly CF'!$H84:$FT84)</f>
        <v>-50400</v>
      </c>
      <c r="O50" s="427">
        <f>SUMIF('Monthly CF'!$H$7:$FT$7,'Operating Proforma'!O$9,'Monthly CF'!$H84:$FT84)</f>
        <v>-50880</v>
      </c>
      <c r="P50" s="427">
        <f>SUMIF('Monthly CF'!$H$7:$FT$7,'Operating Proforma'!P$9,'Monthly CF'!$H84:$FT84)</f>
        <v>-51360</v>
      </c>
      <c r="Q50" s="427">
        <f>SUMIF('Monthly CF'!$H$7:$FT$7,'Operating Proforma'!Q$9,'Monthly CF'!$H84:$FT84)</f>
        <v>-51840</v>
      </c>
      <c r="R50" s="427">
        <f>SUMIF('Monthly CF'!$H$7:$FT$7,'Operating Proforma'!R$9,'Monthly CF'!$H84:$FT84)</f>
        <v>-52320.000000000007</v>
      </c>
      <c r="S50" s="823">
        <f>SUMIF('Monthly CF'!$H$7:$FT$7,'Operating Proforma'!S$9,'Monthly CF'!$H84:$FT84)</f>
        <v>-52800.000000000007</v>
      </c>
      <c r="T50" s="43"/>
    </row>
    <row r="51" spans="4:20" ht="12.6" customHeight="1" x14ac:dyDescent="0.25">
      <c r="D51" s="43"/>
      <c r="E51" s="1324" t="str">
        <f>'Monthly CF'!B85</f>
        <v xml:space="preserve">General &amp; Administrative </v>
      </c>
      <c r="F51" s="142"/>
      <c r="G51" s="427">
        <f>SUMIF('Monthly CF'!$H$7:$FT$7,'Operating Proforma'!G$9,'Monthly CF'!$H85:$FT85)</f>
        <v>-9183.3333333333339</v>
      </c>
      <c r="H51" s="1463">
        <f>SUMIF('Monthly CF'!$H$7:$FT$7,'Operating Proforma'!H$9,'Monthly CF'!$H85:$FT85)</f>
        <v>-39979.166666666664</v>
      </c>
      <c r="I51" s="427">
        <f>SUMIF('Monthly CF'!$H$7:$FT$7,'Operating Proforma'!I$9,'Monthly CF'!$H85:$FT85)</f>
        <v>-48960</v>
      </c>
      <c r="J51" s="427">
        <f t="shared" si="9"/>
        <v>-206</v>
      </c>
      <c r="K51" s="1587">
        <f t="shared" si="10"/>
        <v>-0.2266725352112676</v>
      </c>
      <c r="L51" s="427">
        <f>SUMIF('Monthly CF'!$H$7:$FT$7,'Operating Proforma'!L$9,'Monthly CF'!$H85:$FT85)</f>
        <v>-49440</v>
      </c>
      <c r="M51" s="427">
        <f>SUMIF('Monthly CF'!$H$7:$FT$7,'Operating Proforma'!M$9,'Monthly CF'!$H85:$FT85)</f>
        <v>-49920</v>
      </c>
      <c r="N51" s="427">
        <f>SUMIF('Monthly CF'!$H$7:$FT$7,'Operating Proforma'!N$9,'Monthly CF'!$H85:$FT85)</f>
        <v>-50400</v>
      </c>
      <c r="O51" s="427">
        <f>SUMIF('Monthly CF'!$H$7:$FT$7,'Operating Proforma'!O$9,'Monthly CF'!$H85:$FT85)</f>
        <v>-50880</v>
      </c>
      <c r="P51" s="427">
        <f>SUMIF('Monthly CF'!$H$7:$FT$7,'Operating Proforma'!P$9,'Monthly CF'!$H85:$FT85)</f>
        <v>-51360</v>
      </c>
      <c r="Q51" s="427">
        <f>SUMIF('Monthly CF'!$H$7:$FT$7,'Operating Proforma'!Q$9,'Monthly CF'!$H85:$FT85)</f>
        <v>-51840</v>
      </c>
      <c r="R51" s="427">
        <f>SUMIF('Monthly CF'!$H$7:$FT$7,'Operating Proforma'!R$9,'Monthly CF'!$H85:$FT85)</f>
        <v>-52320.000000000007</v>
      </c>
      <c r="S51" s="823">
        <f>SUMIF('Monthly CF'!$H$7:$FT$7,'Operating Proforma'!S$9,'Monthly CF'!$H85:$FT85)</f>
        <v>-52800.000000000007</v>
      </c>
      <c r="T51" s="43"/>
    </row>
    <row r="52" spans="4:20" ht="12.6" hidden="1" customHeight="1" outlineLevel="1" x14ac:dyDescent="0.25">
      <c r="D52" s="43"/>
      <c r="E52" s="1324" t="str">
        <f>'Monthly CF'!B86</f>
        <v>Blank</v>
      </c>
      <c r="F52" s="43"/>
      <c r="G52" s="427">
        <f>SUMIF('Monthly CF'!$H$7:$FT$7,'Operating Proforma'!G$9,'Monthly CF'!$H86:$FT86)</f>
        <v>0</v>
      </c>
      <c r="H52" s="1463">
        <f>SUMIF('Monthly CF'!$H$7:$FT$7,'Operating Proforma'!H$9,'Monthly CF'!$H86:$FT86)</f>
        <v>0</v>
      </c>
      <c r="I52" s="427">
        <f>SUMIF('Monthly CF'!$H$7:$FT$7,'Operating Proforma'!I$9,'Monthly CF'!$H86:$FT86)</f>
        <v>0</v>
      </c>
      <c r="J52" s="427"/>
      <c r="K52" s="427"/>
      <c r="L52" s="427">
        <f>SUMIF('Monthly CF'!$H$7:$FT$7,'Operating Proforma'!L$9,'Monthly CF'!$H86:$FT86)</f>
        <v>0</v>
      </c>
      <c r="M52" s="427">
        <f>SUMIF('Monthly CF'!$H$7:$FT$7,'Operating Proforma'!M$9,'Monthly CF'!$H86:$FT86)</f>
        <v>0</v>
      </c>
      <c r="N52" s="427">
        <f>SUMIF('Monthly CF'!$H$7:$FT$7,'Operating Proforma'!N$9,'Monthly CF'!$H86:$FT86)</f>
        <v>0</v>
      </c>
      <c r="O52" s="427">
        <f>SUMIF('Monthly CF'!$H$7:$FT$7,'Operating Proforma'!O$9,'Monthly CF'!$H86:$FT86)</f>
        <v>0</v>
      </c>
      <c r="P52" s="427">
        <f>SUMIF('Monthly CF'!$H$7:$FT$7,'Operating Proforma'!P$9,'Monthly CF'!$H86:$FT86)</f>
        <v>0</v>
      </c>
      <c r="Q52" s="427">
        <f>SUMIF('Monthly CF'!$H$7:$FT$7,'Operating Proforma'!Q$9,'Monthly CF'!$H86:$FT86)</f>
        <v>0</v>
      </c>
      <c r="R52" s="427">
        <f>SUMIF('Monthly CF'!$H$7:$FT$7,'Operating Proforma'!R$9,'Monthly CF'!$H86:$FT86)</f>
        <v>0</v>
      </c>
      <c r="S52" s="823">
        <f>SUMIF('Monthly CF'!$H$7:$FT$7,'Operating Proforma'!S$9,'Monthly CF'!$H86:$FT86)</f>
        <v>0</v>
      </c>
      <c r="T52" s="43"/>
    </row>
    <row r="53" spans="4:20" ht="12.6" hidden="1" customHeight="1" outlineLevel="1" x14ac:dyDescent="0.25">
      <c r="D53" s="43"/>
      <c r="E53" s="1324" t="str">
        <f>'Monthly CF'!B87</f>
        <v>Blank</v>
      </c>
      <c r="F53" s="43"/>
      <c r="G53" s="427">
        <f>SUMIF('Monthly CF'!$H$7:$FT$7,'Operating Proforma'!G$9,'Monthly CF'!$H87:$FT87)</f>
        <v>0</v>
      </c>
      <c r="H53" s="1463">
        <f>SUMIF('Monthly CF'!$H$7:$FT$7,'Operating Proforma'!H$9,'Monthly CF'!$H87:$FT87)</f>
        <v>0</v>
      </c>
      <c r="I53" s="427">
        <f>SUMIF('Monthly CF'!$H$7:$FT$7,'Operating Proforma'!I$9,'Monthly CF'!$H87:$FT87)</f>
        <v>0</v>
      </c>
      <c r="J53" s="427"/>
      <c r="K53" s="427"/>
      <c r="L53" s="427">
        <f>SUMIF('Monthly CF'!$H$7:$FT$7,'Operating Proforma'!L$9,'Monthly CF'!$H87:$FT87)</f>
        <v>0</v>
      </c>
      <c r="M53" s="427">
        <f>SUMIF('Monthly CF'!$H$7:$FT$7,'Operating Proforma'!M$9,'Monthly CF'!$H87:$FT87)</f>
        <v>0</v>
      </c>
      <c r="N53" s="427">
        <f>SUMIF('Monthly CF'!$H$7:$FT$7,'Operating Proforma'!N$9,'Monthly CF'!$H87:$FT87)</f>
        <v>0</v>
      </c>
      <c r="O53" s="427">
        <f>SUMIF('Monthly CF'!$H$7:$FT$7,'Operating Proforma'!O$9,'Monthly CF'!$H87:$FT87)</f>
        <v>0</v>
      </c>
      <c r="P53" s="427">
        <f>SUMIF('Monthly CF'!$H$7:$FT$7,'Operating Proforma'!P$9,'Monthly CF'!$H87:$FT87)</f>
        <v>0</v>
      </c>
      <c r="Q53" s="427">
        <f>SUMIF('Monthly CF'!$H$7:$FT$7,'Operating Proforma'!Q$9,'Monthly CF'!$H87:$FT87)</f>
        <v>0</v>
      </c>
      <c r="R53" s="427">
        <f>SUMIF('Monthly CF'!$H$7:$FT$7,'Operating Proforma'!R$9,'Monthly CF'!$H87:$FT87)</f>
        <v>0</v>
      </c>
      <c r="S53" s="823">
        <f>SUMIF('Monthly CF'!$H$7:$FT$7,'Operating Proforma'!S$9,'Monthly CF'!$H87:$FT87)</f>
        <v>0</v>
      </c>
      <c r="T53" s="43"/>
    </row>
    <row r="54" spans="4:20" ht="12.6" hidden="1" customHeight="1" outlineLevel="1" x14ac:dyDescent="0.25">
      <c r="D54" s="43"/>
      <c r="E54" s="1324" t="str">
        <f>'Monthly CF'!B88</f>
        <v>Blank</v>
      </c>
      <c r="F54" s="828"/>
      <c r="G54" s="427">
        <f>SUMIF('Monthly CF'!$H$7:$FT$7,'Operating Proforma'!G$9,'Monthly CF'!$H88:$FT88)</f>
        <v>0</v>
      </c>
      <c r="H54" s="1463">
        <f>SUMIF('Monthly CF'!$H$7:$FT$7,'Operating Proforma'!H$9,'Monthly CF'!$H88:$FT88)</f>
        <v>0</v>
      </c>
      <c r="I54" s="427">
        <f>SUMIF('Monthly CF'!$H$7:$FT$7,'Operating Proforma'!I$9,'Monthly CF'!$H88:$FT88)</f>
        <v>0</v>
      </c>
      <c r="J54" s="427"/>
      <c r="K54" s="427"/>
      <c r="L54" s="427">
        <f>SUMIF('Monthly CF'!$H$7:$FT$7,'Operating Proforma'!L$9,'Monthly CF'!$H88:$FT88)</f>
        <v>0</v>
      </c>
      <c r="M54" s="427">
        <f>SUMIF('Monthly CF'!$H$7:$FT$7,'Operating Proforma'!M$9,'Monthly CF'!$H88:$FT88)</f>
        <v>0</v>
      </c>
      <c r="N54" s="427">
        <f>SUMIF('Monthly CF'!$H$7:$FT$7,'Operating Proforma'!N$9,'Monthly CF'!$H88:$FT88)</f>
        <v>0</v>
      </c>
      <c r="O54" s="427">
        <f>SUMIF('Monthly CF'!$H$7:$FT$7,'Operating Proforma'!O$9,'Monthly CF'!$H88:$FT88)</f>
        <v>0</v>
      </c>
      <c r="P54" s="427">
        <f>SUMIF('Monthly CF'!$H$7:$FT$7,'Operating Proforma'!P$9,'Monthly CF'!$H88:$FT88)</f>
        <v>0</v>
      </c>
      <c r="Q54" s="427">
        <f>SUMIF('Monthly CF'!$H$7:$FT$7,'Operating Proforma'!Q$9,'Monthly CF'!$H88:$FT88)</f>
        <v>0</v>
      </c>
      <c r="R54" s="427">
        <f>SUMIF('Monthly CF'!$H$7:$FT$7,'Operating Proforma'!R$9,'Monthly CF'!$H88:$FT88)</f>
        <v>0</v>
      </c>
      <c r="S54" s="823">
        <f>SUMIF('Monthly CF'!$H$7:$FT$7,'Operating Proforma'!S$9,'Monthly CF'!$H88:$FT88)</f>
        <v>0</v>
      </c>
      <c r="T54" s="43"/>
    </row>
    <row r="55" spans="4:20" ht="12.6" hidden="1" customHeight="1" outlineLevel="1" x14ac:dyDescent="0.25">
      <c r="D55" s="43"/>
      <c r="E55" s="1324" t="str">
        <f>'Monthly CF'!B89</f>
        <v>Blank</v>
      </c>
      <c r="F55" s="828"/>
      <c r="G55" s="427">
        <f>SUMIF('Monthly CF'!$H$7:$FT$7,'Operating Proforma'!G$9,'Monthly CF'!$H89:$FT89)</f>
        <v>0</v>
      </c>
      <c r="H55" s="1463">
        <f>SUMIF('Monthly CF'!$H$7:$FT$7,'Operating Proforma'!H$9,'Monthly CF'!$H89:$FT89)</f>
        <v>0</v>
      </c>
      <c r="I55" s="427">
        <f>SUMIF('Monthly CF'!$H$7:$FT$7,'Operating Proforma'!I$9,'Monthly CF'!$H89:$FT89)</f>
        <v>0</v>
      </c>
      <c r="J55" s="427"/>
      <c r="K55" s="427"/>
      <c r="L55" s="427">
        <f>SUMIF('Monthly CF'!$H$7:$FT$7,'Operating Proforma'!L$9,'Monthly CF'!$H89:$FT89)</f>
        <v>0</v>
      </c>
      <c r="M55" s="427">
        <f>SUMIF('Monthly CF'!$H$7:$FT$7,'Operating Proforma'!M$9,'Monthly CF'!$H89:$FT89)</f>
        <v>0</v>
      </c>
      <c r="N55" s="427">
        <f>SUMIF('Monthly CF'!$H$7:$FT$7,'Operating Proforma'!N$9,'Monthly CF'!$H89:$FT89)</f>
        <v>0</v>
      </c>
      <c r="O55" s="427">
        <f>SUMIF('Monthly CF'!$H$7:$FT$7,'Operating Proforma'!O$9,'Monthly CF'!$H89:$FT89)</f>
        <v>0</v>
      </c>
      <c r="P55" s="427">
        <f>SUMIF('Monthly CF'!$H$7:$FT$7,'Operating Proforma'!P$9,'Monthly CF'!$H89:$FT89)</f>
        <v>0</v>
      </c>
      <c r="Q55" s="427">
        <f>SUMIF('Monthly CF'!$H$7:$FT$7,'Operating Proforma'!Q$9,'Monthly CF'!$H89:$FT89)</f>
        <v>0</v>
      </c>
      <c r="R55" s="427">
        <f>SUMIF('Monthly CF'!$H$7:$FT$7,'Operating Proforma'!R$9,'Monthly CF'!$H89:$FT89)</f>
        <v>0</v>
      </c>
      <c r="S55" s="823">
        <f>SUMIF('Monthly CF'!$H$7:$FT$7,'Operating Proforma'!S$9,'Monthly CF'!$H89:$FT89)</f>
        <v>0</v>
      </c>
      <c r="T55" s="43"/>
    </row>
    <row r="56" spans="4:20" ht="12.6" hidden="1" customHeight="1" outlineLevel="1" x14ac:dyDescent="0.25">
      <c r="D56" s="43"/>
      <c r="E56" s="1324" t="str">
        <f>'Monthly CF'!B90</f>
        <v>Blank</v>
      </c>
      <c r="F56" s="828"/>
      <c r="G56" s="427">
        <f>SUMIF('Monthly CF'!$H$7:$FT$7,'Operating Proforma'!G$9,'Monthly CF'!$H90:$FT90)</f>
        <v>0</v>
      </c>
      <c r="H56" s="1463">
        <f>SUMIF('Monthly CF'!$H$7:$FT$7,'Operating Proforma'!H$9,'Monthly CF'!$H90:$FT90)</f>
        <v>0</v>
      </c>
      <c r="I56" s="427">
        <f>SUMIF('Monthly CF'!$H$7:$FT$7,'Operating Proforma'!I$9,'Monthly CF'!$H90:$FT90)</f>
        <v>0</v>
      </c>
      <c r="J56" s="427"/>
      <c r="K56" s="427"/>
      <c r="L56" s="427">
        <f>SUMIF('Monthly CF'!$H$7:$FT$7,'Operating Proforma'!L$9,'Monthly CF'!$H90:$FT90)</f>
        <v>0</v>
      </c>
      <c r="M56" s="427">
        <f>SUMIF('Monthly CF'!$H$7:$FT$7,'Operating Proforma'!M$9,'Monthly CF'!$H90:$FT90)</f>
        <v>0</v>
      </c>
      <c r="N56" s="427">
        <f>SUMIF('Monthly CF'!$H$7:$FT$7,'Operating Proforma'!N$9,'Monthly CF'!$H90:$FT90)</f>
        <v>0</v>
      </c>
      <c r="O56" s="427">
        <f>SUMIF('Monthly CF'!$H$7:$FT$7,'Operating Proforma'!O$9,'Monthly CF'!$H90:$FT90)</f>
        <v>0</v>
      </c>
      <c r="P56" s="427">
        <f>SUMIF('Monthly CF'!$H$7:$FT$7,'Operating Proforma'!P$9,'Monthly CF'!$H90:$FT90)</f>
        <v>0</v>
      </c>
      <c r="Q56" s="427">
        <f>SUMIF('Monthly CF'!$H$7:$FT$7,'Operating Proforma'!Q$9,'Monthly CF'!$H90:$FT90)</f>
        <v>0</v>
      </c>
      <c r="R56" s="427">
        <f>SUMIF('Monthly CF'!$H$7:$FT$7,'Operating Proforma'!R$9,'Monthly CF'!$H90:$FT90)</f>
        <v>0</v>
      </c>
      <c r="S56" s="823">
        <f>SUMIF('Monthly CF'!$H$7:$FT$7,'Operating Proforma'!S$9,'Monthly CF'!$H90:$FT90)</f>
        <v>0</v>
      </c>
      <c r="T56" s="43"/>
    </row>
    <row r="57" spans="4:20" ht="12.6" hidden="1" customHeight="1" outlineLevel="1" x14ac:dyDescent="0.25">
      <c r="D57" s="43"/>
      <c r="E57" s="1324" t="str">
        <f>'Monthly CF'!B91</f>
        <v>Blank</v>
      </c>
      <c r="F57" s="829"/>
      <c r="G57" s="427">
        <f>SUMIF('Monthly CF'!$H$7:$FT$7,'Operating Proforma'!G$9,'Monthly CF'!$H91:$FT91)</f>
        <v>0</v>
      </c>
      <c r="H57" s="1463">
        <f>SUMIF('Monthly CF'!$H$7:$FT$7,'Operating Proforma'!H$9,'Monthly CF'!$H91:$FT91)</f>
        <v>0</v>
      </c>
      <c r="I57" s="427">
        <f>SUMIF('Monthly CF'!$H$7:$FT$7,'Operating Proforma'!I$9,'Monthly CF'!$H91:$FT91)</f>
        <v>0</v>
      </c>
      <c r="J57" s="427"/>
      <c r="K57" s="427"/>
      <c r="L57" s="427">
        <f>SUMIF('Monthly CF'!$H$7:$FT$7,'Operating Proforma'!L$9,'Monthly CF'!$H91:$FT91)</f>
        <v>0</v>
      </c>
      <c r="M57" s="427">
        <f>SUMIF('Monthly CF'!$H$7:$FT$7,'Operating Proforma'!M$9,'Monthly CF'!$H91:$FT91)</f>
        <v>0</v>
      </c>
      <c r="N57" s="427">
        <f>SUMIF('Monthly CF'!$H$7:$FT$7,'Operating Proforma'!N$9,'Monthly CF'!$H91:$FT91)</f>
        <v>0</v>
      </c>
      <c r="O57" s="427">
        <f>SUMIF('Monthly CF'!$H$7:$FT$7,'Operating Proforma'!O$9,'Monthly CF'!$H91:$FT91)</f>
        <v>0</v>
      </c>
      <c r="P57" s="427">
        <f>SUMIF('Monthly CF'!$H$7:$FT$7,'Operating Proforma'!P$9,'Monthly CF'!$H91:$FT91)</f>
        <v>0</v>
      </c>
      <c r="Q57" s="427">
        <f>SUMIF('Monthly CF'!$H$7:$FT$7,'Operating Proforma'!Q$9,'Monthly CF'!$H91:$FT91)</f>
        <v>0</v>
      </c>
      <c r="R57" s="427">
        <f>SUMIF('Monthly CF'!$H$7:$FT$7,'Operating Proforma'!R$9,'Monthly CF'!$H91:$FT91)</f>
        <v>0</v>
      </c>
      <c r="S57" s="823">
        <f>SUMIF('Monthly CF'!$H$7:$FT$7,'Operating Proforma'!S$9,'Monthly CF'!$H91:$FT91)</f>
        <v>0</v>
      </c>
      <c r="T57" s="43"/>
    </row>
    <row r="58" spans="4:20" ht="12.6" customHeight="1" collapsed="1" x14ac:dyDescent="0.25">
      <c r="D58" s="43"/>
      <c r="E58" s="48" t="s">
        <v>179</v>
      </c>
      <c r="F58" s="43"/>
      <c r="G58" s="431">
        <f>SUM(G46:G57)</f>
        <v>-120990.41666666664</v>
      </c>
      <c r="H58" s="1470">
        <f t="shared" ref="H58:S58" si="11">SUM(H46:H57)</f>
        <v>-526725.52083333337</v>
      </c>
      <c r="I58" s="431">
        <f t="shared" si="11"/>
        <v>-645048</v>
      </c>
      <c r="J58" s="431"/>
      <c r="K58" s="431"/>
      <c r="L58" s="431">
        <f t="shared" si="11"/>
        <v>-651372</v>
      </c>
      <c r="M58" s="431">
        <f t="shared" si="11"/>
        <v>-657696</v>
      </c>
      <c r="N58" s="431">
        <f t="shared" si="11"/>
        <v>-664020</v>
      </c>
      <c r="O58" s="431">
        <f t="shared" si="11"/>
        <v>-670344</v>
      </c>
      <c r="P58" s="431">
        <f t="shared" si="11"/>
        <v>-676668</v>
      </c>
      <c r="Q58" s="431">
        <f t="shared" si="11"/>
        <v>-682992</v>
      </c>
      <c r="R58" s="431">
        <f t="shared" si="11"/>
        <v>-689316</v>
      </c>
      <c r="S58" s="430">
        <f t="shared" si="11"/>
        <v>-695640.00000000012</v>
      </c>
      <c r="T58" s="43"/>
    </row>
    <row r="59" spans="4:20" ht="12.6" customHeight="1" x14ac:dyDescent="0.25">
      <c r="D59" s="43"/>
      <c r="F59" s="43"/>
      <c r="G59" s="427"/>
      <c r="H59" s="1463"/>
      <c r="I59" s="427"/>
      <c r="J59" s="427"/>
      <c r="K59" s="427"/>
      <c r="L59" s="427"/>
      <c r="M59" s="427"/>
      <c r="N59" s="427"/>
      <c r="O59" s="427"/>
      <c r="P59" s="427"/>
      <c r="Q59" s="427"/>
      <c r="R59" s="427"/>
      <c r="S59" s="823"/>
      <c r="T59" s="43"/>
    </row>
    <row r="60" spans="4:20" ht="12.6" customHeight="1" x14ac:dyDescent="0.25">
      <c r="D60" s="73" t="s">
        <v>497</v>
      </c>
      <c r="F60" s="43"/>
      <c r="G60" s="427"/>
      <c r="H60" s="1463"/>
      <c r="I60" s="427"/>
      <c r="J60" s="427"/>
      <c r="K60" s="427"/>
      <c r="L60" s="427"/>
      <c r="M60" s="427"/>
      <c r="N60" s="427"/>
      <c r="O60" s="427"/>
      <c r="P60" s="427"/>
      <c r="Q60" s="427"/>
      <c r="R60" s="427"/>
      <c r="S60" s="823"/>
      <c r="T60" s="43"/>
    </row>
    <row r="61" spans="4:20" ht="12.6" customHeight="1" x14ac:dyDescent="0.25">
      <c r="D61" s="43"/>
      <c r="E61" s="34" t="str">
        <f>'Monthly CF'!B95</f>
        <v>Management Fee</v>
      </c>
      <c r="F61" s="43"/>
      <c r="G61" s="427">
        <f>SUMIF('Monthly CF'!$H$7:$FT$7,G$9,'Monthly CF'!$H95:$FT95)</f>
        <v>-29768.893975736792</v>
      </c>
      <c r="H61" s="1463">
        <f>SUMIF('Monthly CF'!$H$7:$FT$7,H$9,'Monthly CF'!$H95:$FT95)</f>
        <v>-130880.48213470489</v>
      </c>
      <c r="I61" s="427">
        <f>SUMIF('Monthly CF'!$H$7:$FT$7,I$9,'Monthly CF'!$H95:$FT95)</f>
        <v>-161821.76267899608</v>
      </c>
      <c r="J61" s="427">
        <f t="shared" ref="J61" si="12">L61/240</f>
        <v>-687.22383188996741</v>
      </c>
      <c r="K61" s="1587">
        <f t="shared" ref="K61:K63" si="13">L61/218112</f>
        <v>-0.75618819530146064</v>
      </c>
      <c r="L61" s="427">
        <f>SUMIF('Monthly CF'!$H$7:$FT$7,L$9,'Monthly CF'!$H95:$FT95)</f>
        <v>-164933.71965359218</v>
      </c>
      <c r="M61" s="427">
        <f>SUMIF('Monthly CF'!$H$7:$FT$7,M$9,'Monthly CF'!$H95:$FT95)</f>
        <v>-168045.67662818823</v>
      </c>
      <c r="N61" s="427">
        <f>SUMIF('Monthly CF'!$H$7:$FT$7,N$9,'Monthly CF'!$H95:$FT95)</f>
        <v>-171157.63360278434</v>
      </c>
      <c r="O61" s="427">
        <f>SUMIF('Monthly CF'!$H$7:$FT$7,O$9,'Monthly CF'!$H95:$FT95)</f>
        <v>-174269.59057738038</v>
      </c>
      <c r="P61" s="427">
        <f>SUMIF('Monthly CF'!$H$7:$FT$7,P$9,'Monthly CF'!$H95:$FT95)</f>
        <v>-177381.54755197649</v>
      </c>
      <c r="Q61" s="427">
        <f>SUMIF('Monthly CF'!$H$7:$FT$7,Q$9,'Monthly CF'!$H95:$FT95)</f>
        <v>-180493.50452657253</v>
      </c>
      <c r="R61" s="427">
        <f>SUMIF('Monthly CF'!$H$7:$FT$7,R$9,'Monthly CF'!$H95:$FT95)</f>
        <v>-183605.46150116867</v>
      </c>
      <c r="S61" s="427">
        <f>SUMIF('Monthly CF'!$H$7:$FT$7,S$9,'Monthly CF'!$H95:$FT95)</f>
        <v>-186717.41847576469</v>
      </c>
      <c r="T61" s="43"/>
    </row>
    <row r="62" spans="4:20" ht="12.6" customHeight="1" x14ac:dyDescent="0.25">
      <c r="D62" s="43"/>
      <c r="E62" s="34" t="str">
        <f>'Monthly CF'!B96</f>
        <v>Real Estate Taxes</v>
      </c>
      <c r="F62" s="43"/>
      <c r="G62" s="427">
        <f>SUMIF('Monthly CF'!$H$7:$FT$7,G$9,'Monthly CF'!$H96:$FT96)</f>
        <v>-127533.54166666667</v>
      </c>
      <c r="H62" s="1463">
        <f>SUMIF('Monthly CF'!$H$7:$FT$7,H$9,'Monthly CF'!$H96:$FT96)</f>
        <v>-555156.25</v>
      </c>
      <c r="I62" s="427">
        <f>SUMIF('Monthly CF'!$H$7:$FT$7,I$9,'Monthly CF'!$H96:$FT96)</f>
        <v>-679800</v>
      </c>
      <c r="J62" s="427">
        <f t="shared" ref="J62:J63" si="14">L62/240</f>
        <v>-2860</v>
      </c>
      <c r="K62" s="1587">
        <f t="shared" si="13"/>
        <v>-3.147007042253521</v>
      </c>
      <c r="L62" s="427">
        <f>SUMIF('Monthly CF'!$H$7:$FT$7,L$9,'Monthly CF'!$H96:$FT96)</f>
        <v>-686400</v>
      </c>
      <c r="M62" s="427">
        <f>SUMIF('Monthly CF'!$H$7:$FT$7,M$9,'Monthly CF'!$H96:$FT96)</f>
        <v>-693000</v>
      </c>
      <c r="N62" s="427">
        <f>SUMIF('Monthly CF'!$H$7:$FT$7,N$9,'Monthly CF'!$H96:$FT96)</f>
        <v>-699600</v>
      </c>
      <c r="O62" s="427">
        <f>SUMIF('Monthly CF'!$H$7:$FT$7,O$9,'Monthly CF'!$H96:$FT96)</f>
        <v>-706200</v>
      </c>
      <c r="P62" s="427">
        <f>SUMIF('Monthly CF'!$H$7:$FT$7,P$9,'Monthly CF'!$H96:$FT96)</f>
        <v>-712800</v>
      </c>
      <c r="Q62" s="427">
        <f>SUMIF('Monthly CF'!$H$7:$FT$7,Q$9,'Monthly CF'!$H96:$FT96)</f>
        <v>-719400</v>
      </c>
      <c r="R62" s="427">
        <f>SUMIF('Monthly CF'!$H$7:$FT$7,R$9,'Monthly CF'!$H96:$FT96)</f>
        <v>-726000.00000000012</v>
      </c>
      <c r="S62" s="427">
        <f>SUMIF('Monthly CF'!$H$7:$FT$7,S$9,'Monthly CF'!$H96:$FT96)</f>
        <v>-732600.00000000012</v>
      </c>
      <c r="T62" s="43"/>
    </row>
    <row r="63" spans="4:20" ht="12.6" customHeight="1" x14ac:dyDescent="0.25">
      <c r="D63" s="43"/>
      <c r="E63" s="34" t="str">
        <f>'Monthly CF'!B97</f>
        <v>Insurance</v>
      </c>
      <c r="F63" s="43"/>
      <c r="G63" s="427">
        <f>SUMIF('Monthly CF'!$H$7:$FT$7,G$9,'Monthly CF'!$H97:$FT97)</f>
        <v>-45916.666666666664</v>
      </c>
      <c r="H63" s="1463">
        <f>SUMIF('Monthly CF'!$H$7:$FT$7,H$9,'Monthly CF'!$H97:$FT97)</f>
        <v>-199895.83333333334</v>
      </c>
      <c r="I63" s="427">
        <f>SUMIF('Monthly CF'!$H$7:$FT$7,I$9,'Monthly CF'!$H97:$FT97)</f>
        <v>-244800</v>
      </c>
      <c r="J63" s="427">
        <f t="shared" si="14"/>
        <v>-1030</v>
      </c>
      <c r="K63" s="1587">
        <f t="shared" si="13"/>
        <v>-1.133362676056338</v>
      </c>
      <c r="L63" s="427">
        <f>SUMIF('Monthly CF'!$H$7:$FT$7,L$9,'Monthly CF'!$H97:$FT97)</f>
        <v>-247200</v>
      </c>
      <c r="M63" s="427">
        <f>SUMIF('Monthly CF'!$H$7:$FT$7,M$9,'Monthly CF'!$H97:$FT97)</f>
        <v>-249600</v>
      </c>
      <c r="N63" s="427">
        <f>SUMIF('Monthly CF'!$H$7:$FT$7,N$9,'Monthly CF'!$H97:$FT97)</f>
        <v>-252000</v>
      </c>
      <c r="O63" s="427">
        <f>SUMIF('Monthly CF'!$H$7:$FT$7,O$9,'Monthly CF'!$H97:$FT97)</f>
        <v>-254400</v>
      </c>
      <c r="P63" s="427">
        <f>SUMIF('Monthly CF'!$H$7:$FT$7,P$9,'Monthly CF'!$H97:$FT97)</f>
        <v>-256800</v>
      </c>
      <c r="Q63" s="427">
        <f>SUMIF('Monthly CF'!$H$7:$FT$7,Q$9,'Monthly CF'!$H97:$FT97)</f>
        <v>-259200</v>
      </c>
      <c r="R63" s="427">
        <f>SUMIF('Monthly CF'!$H$7:$FT$7,R$9,'Monthly CF'!$H97:$FT97)</f>
        <v>-261600</v>
      </c>
      <c r="S63" s="427">
        <f>SUMIF('Monthly CF'!$H$7:$FT$7,S$9,'Monthly CF'!$H97:$FT97)</f>
        <v>-264000</v>
      </c>
      <c r="T63" s="43"/>
    </row>
    <row r="64" spans="4:20" ht="12.6" hidden="1" customHeight="1" outlineLevel="1" x14ac:dyDescent="0.25">
      <c r="D64" s="43"/>
      <c r="E64" s="74" t="str">
        <f>'Monthly CF'!B98</f>
        <v>Replancement Reserve</v>
      </c>
      <c r="F64" s="43"/>
      <c r="G64" s="427">
        <f>SUMIF('Monthly CF'!$H$7:$FT$7,G$9,'Monthly CF'!$H98:$FT98)</f>
        <v>-4591.666666666667</v>
      </c>
      <c r="H64" s="1463">
        <f>SUMIF('Monthly CF'!$H$7:$FT$7,H$9,'Monthly CF'!$H98:$FT98)</f>
        <v>-19989.583333333332</v>
      </c>
      <c r="I64" s="427">
        <f>SUMIF('Monthly CF'!$H$7:$FT$7,I$9,'Monthly CF'!$H98:$FT98)</f>
        <v>-24480</v>
      </c>
      <c r="J64" s="427"/>
      <c r="K64" s="427"/>
      <c r="L64" s="427">
        <f>SUMIF('Monthly CF'!$H$7:$FT$7,L$9,'Monthly CF'!$H98:$FT98)</f>
        <v>-24720</v>
      </c>
      <c r="M64" s="427">
        <f>SUMIF('Monthly CF'!$H$7:$FT$7,M$9,'Monthly CF'!$H98:$FT98)</f>
        <v>-24960</v>
      </c>
      <c r="N64" s="427">
        <f>SUMIF('Monthly CF'!$H$7:$FT$7,N$9,'Monthly CF'!$H98:$FT98)</f>
        <v>-25200</v>
      </c>
      <c r="O64" s="427">
        <f>SUMIF('Monthly CF'!$H$7:$FT$7,O$9,'Monthly CF'!$H98:$FT98)</f>
        <v>-25440</v>
      </c>
      <c r="P64" s="427">
        <f>SUMIF('Monthly CF'!$H$7:$FT$7,P$9,'Monthly CF'!$H98:$FT98)</f>
        <v>-25680</v>
      </c>
      <c r="Q64" s="427">
        <f>SUMIF('Monthly CF'!$H$7:$FT$7,Q$9,'Monthly CF'!$H98:$FT98)</f>
        <v>-25920</v>
      </c>
      <c r="R64" s="427">
        <f>SUMIF('Monthly CF'!$H$7:$FT$7,R$9,'Monthly CF'!$H98:$FT98)</f>
        <v>-26160.000000000004</v>
      </c>
      <c r="S64" s="427">
        <f>SUMIF('Monthly CF'!$H$7:$FT$7,S$9,'Monthly CF'!$H98:$FT98)</f>
        <v>-26400.000000000004</v>
      </c>
      <c r="T64" s="43"/>
    </row>
    <row r="65" spans="2:20" ht="12.6" hidden="1" customHeight="1" outlineLevel="1" x14ac:dyDescent="0.25">
      <c r="D65" s="43"/>
      <c r="E65" s="74" t="str">
        <f>'Monthly CF'!B99</f>
        <v>Blank</v>
      </c>
      <c r="F65" s="43"/>
      <c r="G65" s="427">
        <f>SUMIF('Monthly CF'!$H$7:$FT$7,G$9,'Monthly CF'!$H99:$FT99)</f>
        <v>0</v>
      </c>
      <c r="H65" s="1463">
        <f>SUMIF('Monthly CF'!$H$7:$FT$7,H$9,'Monthly CF'!$H99:$FT99)</f>
        <v>0</v>
      </c>
      <c r="I65" s="427">
        <f>SUMIF('Monthly CF'!$H$7:$FT$7,I$9,'Monthly CF'!$H99:$FT99)</f>
        <v>0</v>
      </c>
      <c r="J65" s="427"/>
      <c r="K65" s="427"/>
      <c r="L65" s="427">
        <f>SUMIF('Monthly CF'!$H$7:$FT$7,L$9,'Monthly CF'!$H99:$FT99)</f>
        <v>0</v>
      </c>
      <c r="M65" s="427">
        <f>SUMIF('Monthly CF'!$H$7:$FT$7,M$9,'Monthly CF'!$H99:$FT99)</f>
        <v>0</v>
      </c>
      <c r="N65" s="427">
        <f>SUMIF('Monthly CF'!$H$7:$FT$7,N$9,'Monthly CF'!$H99:$FT99)</f>
        <v>0</v>
      </c>
      <c r="O65" s="427">
        <f>SUMIF('Monthly CF'!$H$7:$FT$7,O$9,'Monthly CF'!$H99:$FT99)</f>
        <v>0</v>
      </c>
      <c r="P65" s="427">
        <f>SUMIF('Monthly CF'!$H$7:$FT$7,P$9,'Monthly CF'!$H99:$FT99)</f>
        <v>0</v>
      </c>
      <c r="Q65" s="427">
        <f>SUMIF('Monthly CF'!$H$7:$FT$7,Q$9,'Monthly CF'!$H99:$FT99)</f>
        <v>0</v>
      </c>
      <c r="R65" s="427">
        <f>SUMIF('Monthly CF'!$H$7:$FT$7,R$9,'Monthly CF'!$H99:$FT99)</f>
        <v>0</v>
      </c>
      <c r="S65" s="427">
        <f>SUMIF('Monthly CF'!$H$7:$FT$7,S$9,'Monthly CF'!$H99:$FT99)</f>
        <v>0</v>
      </c>
      <c r="T65" s="43"/>
    </row>
    <row r="66" spans="2:20" ht="12.6" customHeight="1" collapsed="1" x14ac:dyDescent="0.25">
      <c r="D66" s="43"/>
      <c r="E66" s="48" t="s">
        <v>502</v>
      </c>
      <c r="F66" s="43"/>
      <c r="G66" s="431">
        <f>SUM(G$61:G$65)</f>
        <v>-207810.76897573678</v>
      </c>
      <c r="H66" s="1470">
        <f t="shared" ref="H66:S66" si="15">SUM(H$61:H$65)</f>
        <v>-905922.14880137169</v>
      </c>
      <c r="I66" s="431">
        <f t="shared" si="15"/>
        <v>-1110901.7626789962</v>
      </c>
      <c r="J66" s="431"/>
      <c r="K66" s="431"/>
      <c r="L66" s="431">
        <f t="shared" si="15"/>
        <v>-1123253.7196535922</v>
      </c>
      <c r="M66" s="431">
        <f t="shared" si="15"/>
        <v>-1135605.6766281882</v>
      </c>
      <c r="N66" s="431">
        <f t="shared" si="15"/>
        <v>-1147957.6336027845</v>
      </c>
      <c r="O66" s="431">
        <f t="shared" si="15"/>
        <v>-1160309.5905773803</v>
      </c>
      <c r="P66" s="431">
        <f t="shared" si="15"/>
        <v>-1172661.5475519765</v>
      </c>
      <c r="Q66" s="431">
        <f t="shared" si="15"/>
        <v>-1185013.5045265725</v>
      </c>
      <c r="R66" s="431">
        <f t="shared" si="15"/>
        <v>-1197365.4615011688</v>
      </c>
      <c r="S66" s="431">
        <f t="shared" si="15"/>
        <v>-1209717.4184757648</v>
      </c>
      <c r="T66" s="43"/>
    </row>
    <row r="67" spans="2:20" ht="12.6" customHeight="1" x14ac:dyDescent="0.25">
      <c r="D67" s="43"/>
      <c r="F67" s="43"/>
      <c r="G67" s="427"/>
      <c r="H67" s="1463"/>
      <c r="I67" s="427"/>
      <c r="J67" s="427"/>
      <c r="K67" s="427"/>
      <c r="L67" s="427"/>
      <c r="M67" s="427"/>
      <c r="N67" s="427"/>
      <c r="O67" s="427"/>
      <c r="P67" s="427"/>
      <c r="Q67" s="427"/>
      <c r="R67" s="427"/>
      <c r="S67" s="823"/>
      <c r="T67" s="43"/>
    </row>
    <row r="68" spans="2:20" ht="12.6" customHeight="1" x14ac:dyDescent="0.25">
      <c r="D68" s="43"/>
      <c r="E68" s="135" t="s">
        <v>407</v>
      </c>
      <c r="F68" s="43"/>
      <c r="G68" s="431">
        <f>SUM(G$58,G$66)</f>
        <v>-328801.18564240343</v>
      </c>
      <c r="H68" s="1470">
        <f t="shared" ref="H68:S68" si="16">SUM(H$58,H$66)</f>
        <v>-1432647.6696347049</v>
      </c>
      <c r="I68" s="431">
        <f t="shared" si="16"/>
        <v>-1755949.7626789962</v>
      </c>
      <c r="J68" s="431">
        <f>SUM(J46:J63)</f>
        <v>-7291.2738318899674</v>
      </c>
      <c r="K68" s="1588">
        <f>SUM(K46:K63)</f>
        <v>-8.0229685650197702</v>
      </c>
      <c r="L68" s="431">
        <f t="shared" si="16"/>
        <v>-1774625.7196535922</v>
      </c>
      <c r="M68" s="431">
        <f t="shared" si="16"/>
        <v>-1793301.6766281882</v>
      </c>
      <c r="N68" s="431">
        <f t="shared" si="16"/>
        <v>-1811977.6336027845</v>
      </c>
      <c r="O68" s="431">
        <f t="shared" si="16"/>
        <v>-1830653.5905773803</v>
      </c>
      <c r="P68" s="431">
        <f t="shared" si="16"/>
        <v>-1849329.5475519765</v>
      </c>
      <c r="Q68" s="431">
        <f t="shared" si="16"/>
        <v>-1868005.5045265725</v>
      </c>
      <c r="R68" s="431">
        <f t="shared" si="16"/>
        <v>-1886681.4615011688</v>
      </c>
      <c r="S68" s="431">
        <f t="shared" si="16"/>
        <v>-1905357.4184757648</v>
      </c>
      <c r="T68" s="43"/>
    </row>
    <row r="69" spans="2:20" ht="12.6" customHeight="1" x14ac:dyDescent="0.25">
      <c r="D69" s="43"/>
      <c r="E69" s="829"/>
      <c r="F69" s="828"/>
      <c r="G69" s="45"/>
      <c r="H69" s="1465"/>
      <c r="I69" s="45"/>
      <c r="J69" s="45"/>
      <c r="K69" s="45"/>
      <c r="L69" s="45"/>
      <c r="M69" s="45"/>
      <c r="N69" s="427"/>
      <c r="O69" s="427"/>
      <c r="P69" s="427"/>
      <c r="S69" s="74"/>
      <c r="T69" s="43"/>
    </row>
    <row r="70" spans="2:20" ht="12.6" customHeight="1" thickBot="1" x14ac:dyDescent="0.3">
      <c r="D70" s="43"/>
      <c r="E70" s="829"/>
      <c r="F70" s="828"/>
      <c r="G70" s="45"/>
      <c r="H70" s="1465"/>
      <c r="I70" s="45"/>
      <c r="J70" s="45"/>
      <c r="K70" s="45"/>
      <c r="L70" s="45"/>
      <c r="M70" s="45"/>
      <c r="N70" s="427"/>
      <c r="O70" s="427"/>
      <c r="P70" s="427"/>
      <c r="S70" s="74"/>
      <c r="T70" s="43"/>
    </row>
    <row r="71" spans="2:20" ht="12.6" customHeight="1" x14ac:dyDescent="0.25">
      <c r="D71" s="43"/>
      <c r="E71" s="135" t="s">
        <v>247</v>
      </c>
      <c r="F71" s="828"/>
      <c r="G71" s="1210">
        <f>SUM(G$43,G$68)</f>
        <v>861954.57338706811</v>
      </c>
      <c r="H71" s="1472">
        <f t="shared" ref="H71:S71" si="17">SUM(H$43,H$68)</f>
        <v>3682604.444333157</v>
      </c>
      <c r="I71" s="1210">
        <f t="shared" si="17"/>
        <v>4423354.0191228539</v>
      </c>
      <c r="J71" s="427">
        <f t="shared" ref="J71" si="18">L71/240</f>
        <v>18847.961779928784</v>
      </c>
      <c r="K71" s="1587">
        <f t="shared" ref="K71" si="19">L71/218112</f>
        <v>20.739394564182202</v>
      </c>
      <c r="L71" s="1210">
        <f t="shared" si="17"/>
        <v>4523510.8271829085</v>
      </c>
      <c r="M71" s="1210">
        <f t="shared" si="17"/>
        <v>4623667.6352429651</v>
      </c>
      <c r="N71" s="1210">
        <f t="shared" si="17"/>
        <v>4723824.4433030188</v>
      </c>
      <c r="O71" s="1210">
        <f t="shared" si="17"/>
        <v>4823981.2513630763</v>
      </c>
      <c r="P71" s="1210">
        <f t="shared" si="17"/>
        <v>4924138.05942313</v>
      </c>
      <c r="Q71" s="1210">
        <f t="shared" si="17"/>
        <v>5024294.8674831828</v>
      </c>
      <c r="R71" s="1210">
        <f t="shared" si="17"/>
        <v>5124451.6755432421</v>
      </c>
      <c r="S71" s="1210">
        <f t="shared" si="17"/>
        <v>5224608.4836032949</v>
      </c>
      <c r="T71" s="43"/>
    </row>
    <row r="72" spans="2:20" ht="12.6" customHeight="1" x14ac:dyDescent="0.25">
      <c r="D72" s="43"/>
      <c r="E72" s="135"/>
      <c r="F72" s="828"/>
      <c r="G72" s="49"/>
      <c r="H72" s="1473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139"/>
      <c r="T72" s="43"/>
    </row>
    <row r="73" spans="2:20" ht="12.6" customHeight="1" x14ac:dyDescent="0.25">
      <c r="D73" s="43"/>
      <c r="E73" s="135"/>
      <c r="F73" s="828"/>
      <c r="G73" s="49"/>
      <c r="H73" s="1473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139"/>
      <c r="T73" s="43"/>
    </row>
    <row r="74" spans="2:20" ht="12.6" hidden="1" customHeight="1" outlineLevel="1" x14ac:dyDescent="0.25">
      <c r="D74" s="73" t="s">
        <v>560</v>
      </c>
      <c r="E74" s="135"/>
      <c r="F74" s="828"/>
      <c r="G74" s="49"/>
      <c r="H74" s="1473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139"/>
      <c r="T74" s="43"/>
    </row>
    <row r="75" spans="2:20" ht="12.6" hidden="1" customHeight="1" outlineLevel="1" x14ac:dyDescent="0.25">
      <c r="D75" s="43"/>
      <c r="E75" s="34" t="str">
        <f>'Monthly CF'!B110</f>
        <v>Financing Fees/Costs</v>
      </c>
      <c r="F75" s="828"/>
      <c r="G75" s="427">
        <f>SUMIF('Monthly CF'!$H$7:$FT$7,G$9,'Monthly CF'!$H110:$FT110)</f>
        <v>0</v>
      </c>
      <c r="H75" s="1463">
        <f>SUMIF('Monthly CF'!$H$7:$FT$7,H$9,'Monthly CF'!$H110:$FT110)</f>
        <v>0</v>
      </c>
      <c r="I75" s="427">
        <f>SUMIF('Monthly CF'!$H$7:$FT$7,I$9,'Monthly CF'!$H110:$FT110)</f>
        <v>0</v>
      </c>
      <c r="J75" s="427"/>
      <c r="K75" s="427"/>
      <c r="L75" s="427">
        <f>SUMIF('Monthly CF'!$H$7:$FT$7,L$9,'Monthly CF'!$H110:$FT110)</f>
        <v>0</v>
      </c>
      <c r="M75" s="427">
        <f>SUMIF('Monthly CF'!$H$7:$FT$7,M$9,'Monthly CF'!$H110:$FT110)</f>
        <v>0</v>
      </c>
      <c r="N75" s="427">
        <f>SUMIF('Monthly CF'!$H$7:$FT$7,N$9,'Monthly CF'!$H110:$FT110)</f>
        <v>0</v>
      </c>
      <c r="O75" s="427">
        <f>SUMIF('Monthly CF'!$H$7:$FT$7,O$9,'Monthly CF'!$H110:$FT110)</f>
        <v>0</v>
      </c>
      <c r="P75" s="427">
        <f>SUMIF('Monthly CF'!$H$7:$FT$7,P$9,'Monthly CF'!$H110:$FT110)</f>
        <v>0</v>
      </c>
      <c r="Q75" s="427">
        <f>SUMIF('Monthly CF'!$H$7:$FT$7,Q$9,'Monthly CF'!$H110:$FT110)</f>
        <v>0</v>
      </c>
      <c r="R75" s="427">
        <f>SUMIF('Monthly CF'!$H$7:$FT$7,R$9,'Monthly CF'!$H110:$FT110)</f>
        <v>0</v>
      </c>
      <c r="S75" s="427">
        <f>SUMIF('Monthly CF'!$H$7:$FT$7,S$9,'Monthly CF'!$H110:$FT110)</f>
        <v>0</v>
      </c>
      <c r="T75" s="43"/>
    </row>
    <row r="76" spans="2:20" ht="12.6" hidden="1" customHeight="1" outlineLevel="1" x14ac:dyDescent="0.25">
      <c r="D76" s="43"/>
      <c r="E76" s="34" t="str">
        <f>'Monthly CF'!B111</f>
        <v>Appliance Replacement</v>
      </c>
      <c r="F76" s="828"/>
      <c r="G76" s="427">
        <f>SUMIF('Monthly CF'!$H$7:$FT$7,G$9,'Monthly CF'!$H111:$FT111)</f>
        <v>0</v>
      </c>
      <c r="H76" s="1463">
        <f>SUMIF('Monthly CF'!$H$7:$FT$7,H$9,'Monthly CF'!$H111:$FT111)</f>
        <v>0</v>
      </c>
      <c r="I76" s="427">
        <f>SUMIF('Monthly CF'!$H$7:$FT$7,I$9,'Monthly CF'!$H111:$FT111)</f>
        <v>0</v>
      </c>
      <c r="J76" s="427"/>
      <c r="K76" s="427"/>
      <c r="L76" s="427">
        <f>SUMIF('Monthly CF'!$H$7:$FT$7,L$9,'Monthly CF'!$H111:$FT111)</f>
        <v>0</v>
      </c>
      <c r="M76" s="427">
        <f>SUMIF('Monthly CF'!$H$7:$FT$7,M$9,'Monthly CF'!$H111:$FT111)</f>
        <v>0</v>
      </c>
      <c r="N76" s="427">
        <f>SUMIF('Monthly CF'!$H$7:$FT$7,N$9,'Monthly CF'!$H111:$FT111)</f>
        <v>0</v>
      </c>
      <c r="O76" s="427">
        <f>SUMIF('Monthly CF'!$H$7:$FT$7,O$9,'Monthly CF'!$H111:$FT111)</f>
        <v>0</v>
      </c>
      <c r="P76" s="427">
        <f>SUMIF('Monthly CF'!$H$7:$FT$7,P$9,'Monthly CF'!$H111:$FT111)</f>
        <v>0</v>
      </c>
      <c r="Q76" s="427">
        <f>SUMIF('Monthly CF'!$H$7:$FT$7,Q$9,'Monthly CF'!$H111:$FT111)</f>
        <v>0</v>
      </c>
      <c r="R76" s="427">
        <f>SUMIF('Monthly CF'!$H$7:$FT$7,R$9,'Monthly CF'!$H111:$FT111)</f>
        <v>0</v>
      </c>
      <c r="S76" s="427">
        <f>SUMIF('Monthly CF'!$H$7:$FT$7,S$9,'Monthly CF'!$H111:$FT111)</f>
        <v>0</v>
      </c>
      <c r="T76" s="43"/>
    </row>
    <row r="77" spans="2:20" ht="12.6" hidden="1" customHeight="1" outlineLevel="1" x14ac:dyDescent="0.25">
      <c r="D77" s="43"/>
      <c r="E77" s="34" t="str">
        <f>'Monthly CF'!B112</f>
        <v>Flooring Replacment</v>
      </c>
      <c r="F77" s="828"/>
      <c r="G77" s="427">
        <f>SUMIF('Monthly CF'!$H$7:$FT$7,G$9,'Monthly CF'!$H112:$FT112)</f>
        <v>0</v>
      </c>
      <c r="H77" s="1463">
        <f>SUMIF('Monthly CF'!$H$7:$FT$7,H$9,'Monthly CF'!$H112:$FT112)</f>
        <v>0</v>
      </c>
      <c r="I77" s="427">
        <f>SUMIF('Monthly CF'!$H$7:$FT$7,I$9,'Monthly CF'!$H112:$FT112)</f>
        <v>0</v>
      </c>
      <c r="J77" s="427"/>
      <c r="K77" s="427"/>
      <c r="L77" s="427">
        <f>SUMIF('Monthly CF'!$H$7:$FT$7,L$9,'Monthly CF'!$H112:$FT112)</f>
        <v>0</v>
      </c>
      <c r="M77" s="427">
        <f>SUMIF('Monthly CF'!$H$7:$FT$7,M$9,'Monthly CF'!$H112:$FT112)</f>
        <v>0</v>
      </c>
      <c r="N77" s="427">
        <f>SUMIF('Monthly CF'!$H$7:$FT$7,N$9,'Monthly CF'!$H112:$FT112)</f>
        <v>0</v>
      </c>
      <c r="O77" s="427">
        <f>SUMIF('Monthly CF'!$H$7:$FT$7,O$9,'Monthly CF'!$H112:$FT112)</f>
        <v>0</v>
      </c>
      <c r="P77" s="427">
        <f>SUMIF('Monthly CF'!$H$7:$FT$7,P$9,'Monthly CF'!$H112:$FT112)</f>
        <v>0</v>
      </c>
      <c r="Q77" s="427">
        <f>SUMIF('Monthly CF'!$H$7:$FT$7,Q$9,'Monthly CF'!$H112:$FT112)</f>
        <v>0</v>
      </c>
      <c r="R77" s="427">
        <f>SUMIF('Monthly CF'!$H$7:$FT$7,R$9,'Monthly CF'!$H112:$FT112)</f>
        <v>0</v>
      </c>
      <c r="S77" s="427">
        <f>SUMIF('Monthly CF'!$H$7:$FT$7,S$9,'Monthly CF'!$H112:$FT112)</f>
        <v>0</v>
      </c>
      <c r="T77" s="43"/>
    </row>
    <row r="78" spans="2:20" ht="12.6" hidden="1" customHeight="1" outlineLevel="1" x14ac:dyDescent="0.25">
      <c r="B78" s="517"/>
      <c r="D78" s="43"/>
      <c r="E78" s="34" t="str">
        <f>'Monthly CF'!B113</f>
        <v>FF&amp;E</v>
      </c>
      <c r="F78" s="828"/>
      <c r="G78" s="427">
        <f>SUMIF('Monthly CF'!$H$7:$FT$7,G$9,'Monthly CF'!$H113:$FT113)</f>
        <v>0</v>
      </c>
      <c r="H78" s="1463">
        <f>SUMIF('Monthly CF'!$H$7:$FT$7,H$9,'Monthly CF'!$H113:$FT113)</f>
        <v>0</v>
      </c>
      <c r="I78" s="427">
        <f>SUMIF('Monthly CF'!$H$7:$FT$7,I$9,'Monthly CF'!$H113:$FT113)</f>
        <v>0</v>
      </c>
      <c r="J78" s="427"/>
      <c r="K78" s="427"/>
      <c r="L78" s="427">
        <f>SUMIF('Monthly CF'!$H$7:$FT$7,L$9,'Monthly CF'!$H113:$FT113)</f>
        <v>0</v>
      </c>
      <c r="M78" s="427">
        <f>SUMIF('Monthly CF'!$H$7:$FT$7,M$9,'Monthly CF'!$H113:$FT113)</f>
        <v>0</v>
      </c>
      <c r="N78" s="427">
        <f>SUMIF('Monthly CF'!$H$7:$FT$7,N$9,'Monthly CF'!$H113:$FT113)</f>
        <v>0</v>
      </c>
      <c r="O78" s="427">
        <f>SUMIF('Monthly CF'!$H$7:$FT$7,O$9,'Monthly CF'!$H113:$FT113)</f>
        <v>0</v>
      </c>
      <c r="P78" s="427">
        <f>SUMIF('Monthly CF'!$H$7:$FT$7,P$9,'Monthly CF'!$H113:$FT113)</f>
        <v>0</v>
      </c>
      <c r="Q78" s="427">
        <f>SUMIF('Monthly CF'!$H$7:$FT$7,Q$9,'Monthly CF'!$H113:$FT113)</f>
        <v>0</v>
      </c>
      <c r="R78" s="427">
        <f>SUMIF('Monthly CF'!$H$7:$FT$7,R$9,'Monthly CF'!$H113:$FT113)</f>
        <v>0</v>
      </c>
      <c r="S78" s="427">
        <f>SUMIF('Monthly CF'!$H$7:$FT$7,S$9,'Monthly CF'!$H113:$FT113)</f>
        <v>0</v>
      </c>
      <c r="T78" s="43"/>
    </row>
    <row r="79" spans="2:20" ht="12.6" hidden="1" customHeight="1" outlineLevel="1" x14ac:dyDescent="0.25">
      <c r="D79" s="43"/>
      <c r="E79" s="34" t="str">
        <f>'Monthly CF'!B114</f>
        <v>Other</v>
      </c>
      <c r="F79" s="828"/>
      <c r="G79" s="427">
        <f>SUMIF('Monthly CF'!$H$7:$FT$7,G$9,'Monthly CF'!$H114:$FT114)</f>
        <v>0</v>
      </c>
      <c r="H79" s="1463">
        <f>SUMIF('Monthly CF'!$H$7:$FT$7,H$9,'Monthly CF'!$H114:$FT114)</f>
        <v>0</v>
      </c>
      <c r="I79" s="427">
        <f>SUMIF('Monthly CF'!$H$7:$FT$7,I$9,'Monthly CF'!$H114:$FT114)</f>
        <v>0</v>
      </c>
      <c r="J79" s="427"/>
      <c r="K79" s="427"/>
      <c r="L79" s="427">
        <f>SUMIF('Monthly CF'!$H$7:$FT$7,L$9,'Monthly CF'!$H114:$FT114)</f>
        <v>0</v>
      </c>
      <c r="M79" s="427">
        <f>SUMIF('Monthly CF'!$H$7:$FT$7,M$9,'Monthly CF'!$H114:$FT114)</f>
        <v>0</v>
      </c>
      <c r="N79" s="427">
        <f>SUMIF('Monthly CF'!$H$7:$FT$7,N$9,'Monthly CF'!$H114:$FT114)</f>
        <v>0</v>
      </c>
      <c r="O79" s="427">
        <f>SUMIF('Monthly CF'!$H$7:$FT$7,O$9,'Monthly CF'!$H114:$FT114)</f>
        <v>0</v>
      </c>
      <c r="P79" s="427">
        <f>SUMIF('Monthly CF'!$H$7:$FT$7,P$9,'Monthly CF'!$H114:$FT114)</f>
        <v>0</v>
      </c>
      <c r="Q79" s="427">
        <f>SUMIF('Monthly CF'!$H$7:$FT$7,Q$9,'Monthly CF'!$H114:$FT114)</f>
        <v>0</v>
      </c>
      <c r="R79" s="427">
        <f>SUMIF('Monthly CF'!$H$7:$FT$7,R$9,'Monthly CF'!$H114:$FT114)</f>
        <v>0</v>
      </c>
      <c r="S79" s="427">
        <f>SUMIF('Monthly CF'!$H$7:$FT$7,S$9,'Monthly CF'!$H114:$FT114)</f>
        <v>0</v>
      </c>
      <c r="T79" s="43"/>
    </row>
    <row r="80" spans="2:20" ht="12.6" hidden="1" customHeight="1" outlineLevel="1" x14ac:dyDescent="0.25">
      <c r="D80" s="43"/>
      <c r="E80" s="48" t="s">
        <v>567</v>
      </c>
      <c r="F80" s="828"/>
      <c r="G80" s="431">
        <f>SUM(G75:G79)</f>
        <v>0</v>
      </c>
      <c r="H80" s="1470">
        <f t="shared" ref="H80:S80" si="20">SUM(H75:H79)</f>
        <v>0</v>
      </c>
      <c r="I80" s="431">
        <f t="shared" si="20"/>
        <v>0</v>
      </c>
      <c r="J80" s="431"/>
      <c r="K80" s="431"/>
      <c r="L80" s="431">
        <f t="shared" si="20"/>
        <v>0</v>
      </c>
      <c r="M80" s="431">
        <f t="shared" si="20"/>
        <v>0</v>
      </c>
      <c r="N80" s="431">
        <f t="shared" si="20"/>
        <v>0</v>
      </c>
      <c r="O80" s="431">
        <f t="shared" si="20"/>
        <v>0</v>
      </c>
      <c r="P80" s="431">
        <f t="shared" si="20"/>
        <v>0</v>
      </c>
      <c r="Q80" s="431">
        <f t="shared" si="20"/>
        <v>0</v>
      </c>
      <c r="R80" s="431">
        <f t="shared" si="20"/>
        <v>0</v>
      </c>
      <c r="S80" s="431">
        <f t="shared" si="20"/>
        <v>0</v>
      </c>
      <c r="T80" s="43"/>
    </row>
    <row r="81" spans="4:20" ht="12.6" hidden="1" customHeight="1" outlineLevel="1" x14ac:dyDescent="0.25">
      <c r="D81" s="43"/>
      <c r="E81" s="135"/>
      <c r="F81" s="828"/>
      <c r="G81" s="49"/>
      <c r="H81" s="1473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139"/>
      <c r="T81" s="43"/>
    </row>
    <row r="82" spans="4:20" ht="12.6" customHeight="1" collapsed="1" x14ac:dyDescent="0.25">
      <c r="D82" s="43"/>
      <c r="E82" s="829"/>
      <c r="F82" s="828"/>
      <c r="G82" s="45"/>
      <c r="H82" s="1465"/>
      <c r="I82" s="45"/>
      <c r="J82" s="45"/>
      <c r="K82" s="45"/>
      <c r="L82" s="45"/>
      <c r="M82" s="45"/>
      <c r="N82" s="45"/>
      <c r="O82" s="45"/>
      <c r="P82" s="45"/>
      <c r="S82" s="74"/>
      <c r="T82" s="43"/>
    </row>
    <row r="83" spans="4:20" ht="12.6" customHeight="1" x14ac:dyDescent="0.25">
      <c r="D83" s="43"/>
      <c r="E83" s="1315" t="s">
        <v>614</v>
      </c>
      <c r="F83" s="828"/>
      <c r="G83" s="1285">
        <f>SUM(G71,G80)</f>
        <v>861954.57338706811</v>
      </c>
      <c r="H83" s="1474">
        <f t="shared" ref="H83:S83" si="21">SUM(H71,H80)</f>
        <v>3682604.444333157</v>
      </c>
      <c r="I83" s="1285">
        <f t="shared" si="21"/>
        <v>4423354.0191228539</v>
      </c>
      <c r="J83" s="1285"/>
      <c r="K83" s="1285"/>
      <c r="L83" s="1285">
        <f t="shared" si="21"/>
        <v>4523510.8271829085</v>
      </c>
      <c r="M83" s="1285">
        <f t="shared" si="21"/>
        <v>4623667.6352429651</v>
      </c>
      <c r="N83" s="1285">
        <f t="shared" si="21"/>
        <v>4723824.4433030188</v>
      </c>
      <c r="O83" s="1285">
        <f t="shared" si="21"/>
        <v>4823981.2513630763</v>
      </c>
      <c r="P83" s="1285">
        <f t="shared" si="21"/>
        <v>4924138.05942313</v>
      </c>
      <c r="Q83" s="1285">
        <f t="shared" si="21"/>
        <v>5024294.8674831828</v>
      </c>
      <c r="R83" s="1285">
        <f t="shared" si="21"/>
        <v>5124451.6755432421</v>
      </c>
      <c r="S83" s="1285">
        <f t="shared" si="21"/>
        <v>5224608.4836032949</v>
      </c>
      <c r="T83" s="43"/>
    </row>
    <row r="84" spans="4:20" ht="12.6" customHeight="1" x14ac:dyDescent="0.25">
      <c r="D84" s="43"/>
      <c r="E84" s="829"/>
      <c r="F84" s="828"/>
      <c r="G84" s="45"/>
      <c r="H84" s="45"/>
      <c r="I84" s="45"/>
      <c r="J84" s="45"/>
      <c r="K84" s="45"/>
      <c r="L84" s="45"/>
      <c r="M84" s="45"/>
      <c r="N84" s="45"/>
      <c r="O84" s="45"/>
      <c r="P84" s="45"/>
      <c r="S84" s="74"/>
      <c r="T84" s="43"/>
    </row>
    <row r="85" spans="4:20" ht="12.6" customHeight="1" x14ac:dyDescent="0.25">
      <c r="D85" s="73" t="s">
        <v>369</v>
      </c>
      <c r="E85" s="829"/>
      <c r="F85" s="828"/>
      <c r="G85" s="45"/>
      <c r="H85" s="45"/>
      <c r="I85" s="45"/>
      <c r="J85" s="45"/>
      <c r="K85" s="45"/>
      <c r="L85" s="45"/>
      <c r="M85" s="45"/>
      <c r="N85" s="45"/>
      <c r="O85" s="45"/>
      <c r="P85" s="45"/>
      <c r="S85" s="74"/>
      <c r="T85" s="43"/>
    </row>
    <row r="86" spans="4:20" ht="12.6" customHeight="1" x14ac:dyDescent="0.25">
      <c r="D86" s="73"/>
      <c r="E86" s="829"/>
      <c r="F86" s="828"/>
      <c r="G86" s="830" t="str">
        <f>IF(AND('Financing Assumptions'!$H$44="Yes",'Financing Assumptions'!$H$45=G9),"Refinance","")</f>
        <v/>
      </c>
      <c r="H86" s="830" t="str">
        <f>IF(AND('Financing Assumptions'!$H$44="Yes",'Financing Assumptions'!$H$45=H9),"Refinance","")</f>
        <v/>
      </c>
      <c r="I86" s="830" t="str">
        <f>IF(AND('Financing Assumptions'!$H$44="Yes",'Financing Assumptions'!$H$45=I9),"Refinance","")</f>
        <v/>
      </c>
      <c r="J86" s="830"/>
      <c r="K86" s="830"/>
      <c r="L86" s="830" t="str">
        <f>IF(AND('Financing Assumptions'!$H$44="Yes",'Financing Assumptions'!$H$45=L9),"Refinance","")</f>
        <v/>
      </c>
      <c r="M86" s="830" t="str">
        <f>IF(AND('Financing Assumptions'!$H$44="Yes",'Financing Assumptions'!$H$45=M9),"Refinance","")</f>
        <v/>
      </c>
      <c r="N86" s="830" t="str">
        <f>IF(AND('Financing Assumptions'!$H$44="Yes",'Financing Assumptions'!$H$45=N9),"Refinance","")</f>
        <v/>
      </c>
      <c r="O86" s="830" t="str">
        <f>IF(AND('Financing Assumptions'!$H$44="Yes",'Financing Assumptions'!$H$45=O9),"Refinance","")</f>
        <v/>
      </c>
      <c r="P86" s="830" t="str">
        <f>IF(AND('Financing Assumptions'!$H$44="Yes",'Financing Assumptions'!$H$45=P9),"Refinance","")</f>
        <v/>
      </c>
      <c r="Q86" s="830" t="str">
        <f>IF(AND('Financing Assumptions'!$H$44="Yes",'Financing Assumptions'!$H$45=Q9),"Refinance","")</f>
        <v/>
      </c>
      <c r="R86" s="830" t="str">
        <f>IF(AND('Financing Assumptions'!$H$44="Yes",'Financing Assumptions'!$H$45=R9),"Refinance","")</f>
        <v/>
      </c>
      <c r="S86" s="831" t="str">
        <f>IF(AND('Financing Assumptions'!$H$44="Yes",'Financing Assumptions'!$H$45=S9),"Refinance","")</f>
        <v/>
      </c>
      <c r="T86" s="43"/>
    </row>
    <row r="87" spans="4:20" ht="12.6" customHeight="1" x14ac:dyDescent="0.25">
      <c r="D87" s="43"/>
      <c r="E87" s="48" t="s">
        <v>10</v>
      </c>
      <c r="F87" s="43"/>
      <c r="G87" s="832"/>
      <c r="H87" s="832"/>
      <c r="I87" s="832"/>
      <c r="J87" s="832"/>
      <c r="K87" s="832"/>
      <c r="L87" s="832"/>
      <c r="M87" s="832"/>
      <c r="N87" s="832"/>
      <c r="O87" s="832"/>
      <c r="P87" s="832"/>
      <c r="Q87" s="832"/>
      <c r="R87" s="832"/>
      <c r="S87" s="833"/>
      <c r="T87" s="43"/>
    </row>
    <row r="88" spans="4:20" ht="12.6" customHeight="1" x14ac:dyDescent="0.25">
      <c r="D88" s="43"/>
      <c r="E88" s="834" t="s">
        <v>370</v>
      </c>
      <c r="F88" s="43"/>
      <c r="G88" s="835">
        <f>IF(YEAR('Financing Assumptions'!$H$26)&lt;G$9,0,'Financing Assumptions'!$H$12)</f>
        <v>0.06</v>
      </c>
      <c r="H88" s="835">
        <f>IF(YEAR('Financing Assumptions'!$H$26)&lt;H$9,0,'Financing Assumptions'!$H$12)</f>
        <v>0.06</v>
      </c>
      <c r="I88" s="835">
        <f>IF(YEAR('Financing Assumptions'!$H$26)&lt;I$9,0,'Financing Assumptions'!$H$12)</f>
        <v>0.06</v>
      </c>
      <c r="J88" s="835"/>
      <c r="K88" s="835"/>
      <c r="L88" s="835">
        <f>IF(YEAR('Financing Assumptions'!$H$26)&lt;L$9,0,'Financing Assumptions'!$H$12)</f>
        <v>0.06</v>
      </c>
      <c r="M88" s="835">
        <f>IF(YEAR('Financing Assumptions'!$H$26)&lt;M$9,0,'Financing Assumptions'!$H$12)</f>
        <v>0.06</v>
      </c>
      <c r="N88" s="835">
        <f>IF(YEAR('Financing Assumptions'!$H$26)&lt;N$9,0,'Financing Assumptions'!$H$12)</f>
        <v>0.06</v>
      </c>
      <c r="O88" s="835">
        <f>IF(YEAR('Financing Assumptions'!$H$26)&lt;O$9,0,'Financing Assumptions'!$H$12)</f>
        <v>0.06</v>
      </c>
      <c r="P88" s="835">
        <f>IF(YEAR('Financing Assumptions'!$H$26)&lt;P$9,0,'Financing Assumptions'!$H$12)</f>
        <v>0.06</v>
      </c>
      <c r="Q88" s="835">
        <f>IF(YEAR('Financing Assumptions'!$H$26)&lt;Q$9,0,'Financing Assumptions'!$H$12)</f>
        <v>0.06</v>
      </c>
      <c r="R88" s="835">
        <f>IF(YEAR('Financing Assumptions'!$H$26)&lt;R$9,0,'Financing Assumptions'!$H$12)</f>
        <v>0.06</v>
      </c>
      <c r="S88" s="835">
        <f>IF(YEAR('Financing Assumptions'!$H$26)&lt;S$9,0,'Financing Assumptions'!$H$12)</f>
        <v>0.06</v>
      </c>
      <c r="T88" s="43"/>
    </row>
    <row r="89" spans="4:20" ht="12.6" customHeight="1" x14ac:dyDescent="0.25">
      <c r="D89" s="43"/>
      <c r="E89" s="834" t="s">
        <v>8</v>
      </c>
      <c r="F89" s="43"/>
      <c r="G89" s="836">
        <f>IF(YEAR('Financing Assumptions'!$H$26)&lt;G$9,0,'Financing Assumptions'!$H$13)</f>
        <v>30</v>
      </c>
      <c r="H89" s="836">
        <f>IF(YEAR('Financing Assumptions'!$H$26)&lt;H$9,0,'Financing Assumptions'!$H$13)</f>
        <v>30</v>
      </c>
      <c r="I89" s="836">
        <f>IF(YEAR('Financing Assumptions'!$H$26)&lt;I$9,0,'Financing Assumptions'!$H$13)</f>
        <v>30</v>
      </c>
      <c r="J89" s="836"/>
      <c r="K89" s="836"/>
      <c r="L89" s="836">
        <f>IF(YEAR('Financing Assumptions'!$H$26)&lt;L$9,0,'Financing Assumptions'!$H$13)</f>
        <v>30</v>
      </c>
      <c r="M89" s="836">
        <f>IF(YEAR('Financing Assumptions'!$H$26)&lt;M$9,0,'Financing Assumptions'!$H$13)</f>
        <v>30</v>
      </c>
      <c r="N89" s="836">
        <f>IF(YEAR('Financing Assumptions'!$H$26)&lt;N$9,0,'Financing Assumptions'!$H$13)</f>
        <v>30</v>
      </c>
      <c r="O89" s="836">
        <f>IF(YEAR('Financing Assumptions'!$H$26)&lt;O$9,0,'Financing Assumptions'!$H$13)</f>
        <v>30</v>
      </c>
      <c r="P89" s="836">
        <f>IF(YEAR('Financing Assumptions'!$H$26)&lt;P$9,0,'Financing Assumptions'!$H$13)</f>
        <v>30</v>
      </c>
      <c r="Q89" s="836">
        <f>IF(YEAR('Financing Assumptions'!$H$26)&lt;Q$9,0,'Financing Assumptions'!$H$13)</f>
        <v>30</v>
      </c>
      <c r="R89" s="836">
        <f>IF(YEAR('Financing Assumptions'!$H$26)&lt;R$9,0,'Financing Assumptions'!$H$13)</f>
        <v>30</v>
      </c>
      <c r="S89" s="836">
        <f>IF(YEAR('Financing Assumptions'!$H$26)&lt;S$9,0,'Financing Assumptions'!$H$13)</f>
        <v>30</v>
      </c>
      <c r="T89" s="43"/>
    </row>
    <row r="90" spans="4:20" ht="12.6" customHeight="1" x14ac:dyDescent="0.25">
      <c r="D90" s="43"/>
      <c r="E90" s="48" t="s">
        <v>42</v>
      </c>
      <c r="F90" s="43"/>
      <c r="G90" s="800">
        <f>-INDEX('Senior Loan Amortization1'!$AE$19:$AO$49,MATCH(G$9,'Senior Loan Amortization1'!$AF$19:$AF$48,0),MATCH('Senior Loan Amortization1'!$AH$19,'Senior Loan Amortization1'!$AE$19:$AO$19,0))</f>
        <v>0</v>
      </c>
      <c r="H90" s="800">
        <f>-INDEX('Senior Loan Amortization1'!$AE$19:$AO$49,MATCH(H$9,'Senior Loan Amortization1'!$AF$19:$AF$48,0),MATCH('Senior Loan Amortization1'!$AH$19,'Senior Loan Amortization1'!$AE$19:$AO$19,0))</f>
        <v>1649571.8749999998</v>
      </c>
      <c r="I90" s="800">
        <f>-INDEX('Senior Loan Amortization1'!$AE$19:$AO$49,MATCH(I$9,'Senior Loan Amortization1'!$AF$19:$AF$48,0),MATCH('Senior Loan Amortization1'!$AH$19,'Senior Loan Amortization1'!$AE$19:$AO$19,0))</f>
        <v>2827837.4999999995</v>
      </c>
      <c r="J90" s="800"/>
      <c r="K90" s="800"/>
      <c r="L90" s="800">
        <f>-INDEX('Senior Loan Amortization1'!$AE$19:$AO$49,MATCH(L$9,'Senior Loan Amortization1'!$AF$19:$AF$48,0),MATCH('Senior Loan Amortization1'!$AH$19,'Senior Loan Amortization1'!$AE$19:$AO$19,0))</f>
        <v>2827837.4999999995</v>
      </c>
      <c r="M90" s="800">
        <f>-INDEX('Senior Loan Amortization1'!$AE$19:$AO$49,MATCH(M$9,'Senior Loan Amortization1'!$AF$19:$AF$48,0),MATCH('Senior Loan Amortization1'!$AH$19,'Senior Loan Amortization1'!$AE$19:$AO$19,0))</f>
        <v>2827837.4999999995</v>
      </c>
      <c r="N90" s="800">
        <f>-INDEX('Senior Loan Amortization1'!$AE$19:$AO$49,MATCH(N$9,'Senior Loan Amortization1'!$AF$19:$AF$48,0),MATCH('Senior Loan Amortization1'!$AH$19,'Senior Loan Amortization1'!$AE$19:$AO$19,0))</f>
        <v>3472460.2657165295</v>
      </c>
      <c r="O90" s="800">
        <f>-INDEX('Senior Loan Amortization1'!$AE$19:$AO$49,MATCH(O$9,'Senior Loan Amortization1'!$AF$19:$AF$48,0),MATCH('Senior Loan Amortization1'!$AH$19,'Senior Loan Amortization1'!$AE$19:$AO$19,0))</f>
        <v>3687334.5209553731</v>
      </c>
      <c r="P90" s="800">
        <f>-INDEX('Senior Loan Amortization1'!$AE$19:$AO$49,MATCH(P$9,'Senior Loan Amortization1'!$AF$19:$AF$48,0),MATCH('Senior Loan Amortization1'!$AH$19,'Senior Loan Amortization1'!$AE$19:$AO$19,0))</f>
        <v>3687334.5209553731</v>
      </c>
      <c r="Q90" s="800">
        <f>-INDEX('Senior Loan Amortization1'!$AE$19:$AO$49,MATCH(Q$9,'Senior Loan Amortization1'!$AF$19:$AF$48,0),MATCH('Senior Loan Amortization1'!$AH$19,'Senior Loan Amortization1'!$AE$19:$AO$19,0))</f>
        <v>3687334.5209553731</v>
      </c>
      <c r="R90" s="800">
        <f>-INDEX('Senior Loan Amortization1'!$AE$19:$AO$49,MATCH(R$9,'Senior Loan Amortization1'!$AF$19:$AF$48,0),MATCH('Senior Loan Amortization1'!$AH$19,'Senior Loan Amortization1'!$AE$19:$AO$19,0))</f>
        <v>3687334.5209553731</v>
      </c>
      <c r="S90" s="800">
        <f>-INDEX('Senior Loan Amortization1'!$AE$19:$AO$49,MATCH(S$9,'Senior Loan Amortization1'!$AF$19:$AF$48,0),MATCH('Senior Loan Amortization1'!$AH$19,'Senior Loan Amortization1'!$AE$19:$AO$19,0))</f>
        <v>3687334.5209553731</v>
      </c>
      <c r="T90" s="43"/>
    </row>
    <row r="91" spans="4:20" ht="12.6" customHeight="1" x14ac:dyDescent="0.25">
      <c r="D91" s="43"/>
      <c r="E91" s="764" t="s">
        <v>9</v>
      </c>
      <c r="F91" s="43"/>
      <c r="G91" s="837">
        <f>-INDEX('Senior Loan Amortization1'!$AE$19:$AO$49,MATCH(G$9,'Senior Loan Amortization1'!$AF$19:$AF$48,0),MATCH($E91,'Senior Loan Amortization1'!$AE$19:$AO$19,0))</f>
        <v>0</v>
      </c>
      <c r="H91" s="837">
        <f>-INDEX('Senior Loan Amortization1'!$AE$19:$AO$49,MATCH(H$9,'Senior Loan Amortization1'!$AF$19:$AF$48,0),MATCH($E91,'Senior Loan Amortization1'!$AE$19:$AO$19,0))</f>
        <v>0</v>
      </c>
      <c r="I91" s="837">
        <f>-INDEX('Senior Loan Amortization1'!$AE$19:$AO$49,MATCH(I$9,'Senior Loan Amortization1'!$AF$19:$AF$48,0),MATCH($E91,'Senior Loan Amortization1'!$AE$19:$AO$19,0))</f>
        <v>0</v>
      </c>
      <c r="J91" s="837"/>
      <c r="K91" s="837"/>
      <c r="L91" s="837">
        <f>-INDEX('Senior Loan Amortization1'!$AE$19:$AO$49,MATCH(L$9,'Senior Loan Amortization1'!$AF$19:$AF$48,0),MATCH($E91,'Senior Loan Amortization1'!$AE$19:$AO$19,0))</f>
        <v>0</v>
      </c>
      <c r="M91" s="837">
        <f>-INDEX('Senior Loan Amortization1'!$AE$19:$AO$49,MATCH(M$9,'Senior Loan Amortization1'!$AF$19:$AF$48,0),MATCH($E91,'Senior Loan Amortization1'!$AE$19:$AO$19,0))</f>
        <v>0</v>
      </c>
      <c r="N91" s="837">
        <f>-INDEX('Senior Loan Amortization1'!$AE$19:$AO$49,MATCH(N$9,'Senior Loan Amortization1'!$AF$19:$AF$48,0),MATCH($E91,'Senior Loan Amortization1'!$AE$19:$AO$19,0))</f>
        <v>657850.08374408807</v>
      </c>
      <c r="O91" s="837">
        <f>-INDEX('Senior Loan Amortization1'!$AE$19:$AO$49,MATCH(O$9,'Senior Loan Amortization1'!$AF$19:$AF$48,0),MATCH($E91,'Senior Loan Amortization1'!$AE$19:$AO$19,0))</f>
        <v>925025.17955969204</v>
      </c>
      <c r="P91" s="837">
        <f>-INDEX('Senior Loan Amortization1'!$AE$19:$AO$49,MATCH(P$9,'Senior Loan Amortization1'!$AF$19:$AF$48,0),MATCH($E91,'Senior Loan Amortization1'!$AE$19:$AO$19,0))</f>
        <v>982893.3453935337</v>
      </c>
      <c r="Q91" s="837">
        <f>-INDEX('Senior Loan Amortization1'!$AE$19:$AO$49,MATCH(Q$9,'Senior Loan Amortization1'!$AF$19:$AF$48,0),MATCH($E91,'Senior Loan Amortization1'!$AE$19:$AO$19,0))</f>
        <v>1044381.6555120605</v>
      </c>
      <c r="R91" s="837">
        <f>-INDEX('Senior Loan Amortization1'!$AE$19:$AO$49,MATCH(R$9,'Senior Loan Amortization1'!$AF$19:$AF$48,0),MATCH($E91,'Senior Loan Amortization1'!$AE$19:$AO$19,0))</f>
        <v>1109716.5806259483</v>
      </c>
      <c r="S91" s="837">
        <f>-INDEX('Senior Loan Amortization1'!$AE$19:$AO$49,MATCH(S$9,'Senior Loan Amortization1'!$AF$19:$AF$48,0),MATCH($E91,'Senior Loan Amortization1'!$AE$19:$AO$19,0))</f>
        <v>1179138.7591084763</v>
      </c>
      <c r="T91" s="43"/>
    </row>
    <row r="92" spans="4:20" ht="12.6" customHeight="1" x14ac:dyDescent="0.25">
      <c r="D92" s="43"/>
      <c r="E92" s="764" t="s">
        <v>43</v>
      </c>
      <c r="F92" s="43"/>
      <c r="G92" s="837">
        <f>-INDEX('Senior Loan Amortization1'!$AE$19:$AO$49,MATCH(G$9,'Senior Loan Amortization1'!$AF$19:$AF$48,0),MATCH($E92,'Senior Loan Amortization1'!$AE$19:$AO$19,0))</f>
        <v>1834323.9249999998</v>
      </c>
      <c r="H92" s="837">
        <f>-INDEX('Senior Loan Amortization1'!$AE$19:$AO$49,MATCH(H$9,'Senior Loan Amortization1'!$AF$19:$AF$48,0),MATCH($E92,'Senior Loan Amortization1'!$AE$19:$AO$19,0))</f>
        <v>2820767.90625</v>
      </c>
      <c r="I92" s="837">
        <f>-INDEX('Senior Loan Amortization1'!$AE$19:$AO$49,MATCH(I$9,'Senior Loan Amortization1'!$AF$19:$AF$48,0),MATCH($E92,'Senior Loan Amortization1'!$AE$19:$AO$19,0))</f>
        <v>2827837.4999999995</v>
      </c>
      <c r="J92" s="837"/>
      <c r="K92" s="837"/>
      <c r="L92" s="837">
        <f>-INDEX('Senior Loan Amortization1'!$AE$19:$AO$49,MATCH(L$9,'Senior Loan Amortization1'!$AF$19:$AF$48,0),MATCH($E92,'Senior Loan Amortization1'!$AE$19:$AO$19,0))</f>
        <v>2827837.4999999995</v>
      </c>
      <c r="M92" s="837">
        <f>-INDEX('Senior Loan Amortization1'!$AE$19:$AO$49,MATCH(M$9,'Senior Loan Amortization1'!$AF$19:$AF$48,0),MATCH($E92,'Senior Loan Amortization1'!$AE$19:$AO$19,0))</f>
        <v>2827837.4999999995</v>
      </c>
      <c r="N92" s="837">
        <f>-INDEX('Senior Loan Amortization1'!$AE$19:$AO$49,MATCH(N$9,'Senior Loan Amortization1'!$AF$19:$AF$48,0),MATCH($E92,'Senior Loan Amortization1'!$AE$19:$AO$19,0))</f>
        <v>2814610.1819724422</v>
      </c>
      <c r="O92" s="837">
        <f>-INDEX('Senior Loan Amortization1'!$AE$19:$AO$49,MATCH(O$9,'Senior Loan Amortization1'!$AF$19:$AF$48,0),MATCH($E92,'Senior Loan Amortization1'!$AE$19:$AO$19,0))</f>
        <v>2762309.3413956813</v>
      </c>
      <c r="P92" s="837">
        <f>-INDEX('Senior Loan Amortization1'!$AE$19:$AO$49,MATCH(P$9,'Senior Loan Amortization1'!$AF$19:$AF$48,0),MATCH($E92,'Senior Loan Amortization1'!$AE$19:$AO$19,0))</f>
        <v>2704441.1755618397</v>
      </c>
      <c r="Q92" s="837">
        <f>-INDEX('Senior Loan Amortization1'!$AE$19:$AO$49,MATCH(Q$9,'Senior Loan Amortization1'!$AF$19:$AF$48,0),MATCH($E92,'Senior Loan Amortization1'!$AE$19:$AO$19,0))</f>
        <v>2642952.865443313</v>
      </c>
      <c r="R92" s="837">
        <f>-INDEX('Senior Loan Amortization1'!$AE$19:$AO$49,MATCH(R$9,'Senior Loan Amortization1'!$AF$19:$AF$48,0),MATCH($E92,'Senior Loan Amortization1'!$AE$19:$AO$19,0))</f>
        <v>2577617.9403294246</v>
      </c>
      <c r="S92" s="837">
        <f>-INDEX('Senior Loan Amortization1'!$AE$19:$AO$49,MATCH(S$9,'Senior Loan Amortization1'!$AF$19:$AF$48,0),MATCH($E92,'Senior Loan Amortization1'!$AE$19:$AO$19,0))</f>
        <v>2508195.7618468967</v>
      </c>
      <c r="T92" s="43"/>
    </row>
    <row r="93" spans="4:20" ht="12.6" customHeight="1" x14ac:dyDescent="0.25">
      <c r="D93" s="43"/>
      <c r="E93" s="764" t="s">
        <v>222</v>
      </c>
      <c r="F93" s="43"/>
      <c r="G93" s="837">
        <f>INDEX('Senior Loan Amortization1'!$B$19:$X$379,MATCH(DATE(G$9,12,31),'Senior Loan Amortization1'!$F$19:$F$379,0),MATCH('Senior Loan Amortization1'!$W$19,'Senior Loan Amortization1'!$B$19:$X$19,0))</f>
        <v>45555300</v>
      </c>
      <c r="H93" s="837">
        <f>INDEX('Senior Loan Amortization1'!$B$19:$X$379,MATCH(DATE(H$9,12,31),'Senior Loan Amortization1'!$F$19:$F$379,0),MATCH('Senior Loan Amortization1'!$W$19,'Senior Loan Amortization1'!$B$19:$X$19,0))</f>
        <v>46485000</v>
      </c>
      <c r="I93" s="837">
        <f>INDEX('Senior Loan Amortization1'!$B$19:$X$379,MATCH(DATE(I$9,12,31),'Senior Loan Amortization1'!$F$19:$F$379,0),MATCH('Senior Loan Amortization1'!$W$19,'Senior Loan Amortization1'!$B$19:$X$19,0))</f>
        <v>46485000</v>
      </c>
      <c r="J93" s="837"/>
      <c r="K93" s="837"/>
      <c r="L93" s="837">
        <f>INDEX('Senior Loan Amortization1'!$B$19:$X$379,MATCH(DATE(L$9,12,31),'Senior Loan Amortization1'!$F$19:$F$379,0),MATCH('Senior Loan Amortization1'!$W$19,'Senior Loan Amortization1'!$B$19:$X$19,0))</f>
        <v>46485000</v>
      </c>
      <c r="M93" s="837">
        <f>INDEX('Senior Loan Amortization1'!$B$19:$X$379,MATCH(DATE(M$9,12,31),'Senior Loan Amortization1'!$F$19:$F$379,0),MATCH('Senior Loan Amortization1'!$W$19,'Senior Loan Amortization1'!$B$19:$X$19,0))</f>
        <v>46485000</v>
      </c>
      <c r="N93" s="837">
        <f>INDEX('Senior Loan Amortization1'!$B$19:$X$379,MATCH(DATE(N$9,12,31),'Senior Loan Amortization1'!$F$19:$F$379,0),MATCH('Senior Loan Amortization1'!$W$19,'Senior Loan Amortization1'!$B$19:$X$19,0))</f>
        <v>45827149.916255921</v>
      </c>
      <c r="O93" s="837">
        <f>INDEX('Senior Loan Amortization1'!$B$19:$X$379,MATCH(DATE(O$9,12,31),'Senior Loan Amortization1'!$F$19:$F$379,0),MATCH('Senior Loan Amortization1'!$W$19,'Senior Loan Amortization1'!$B$19:$X$19,0))</f>
        <v>44902124.736696221</v>
      </c>
      <c r="P93" s="837">
        <f>INDEX('Senior Loan Amortization1'!$B$19:$X$379,MATCH(DATE(P$9,12,31),'Senior Loan Amortization1'!$F$19:$F$379,0),MATCH('Senior Loan Amortization1'!$W$19,'Senior Loan Amortization1'!$B$19:$X$19,0))</f>
        <v>43919231.391302682</v>
      </c>
      <c r="Q93" s="837">
        <f>INDEX('Senior Loan Amortization1'!$B$19:$X$379,MATCH(DATE(Q$9,12,31),'Senior Loan Amortization1'!$F$19:$F$379,0),MATCH('Senior Loan Amortization1'!$W$19,'Senior Loan Amortization1'!$B$19:$X$19,0))</f>
        <v>42874849.735790625</v>
      </c>
      <c r="R93" s="837">
        <f>INDEX('Senior Loan Amortization1'!$B$19:$X$379,MATCH(DATE(R$9,12,31),'Senior Loan Amortization1'!$F$19:$F$379,0),MATCH('Senior Loan Amortization1'!$W$19,'Senior Loan Amortization1'!$B$19:$X$19,0))</f>
        <v>41765133.155164689</v>
      </c>
      <c r="S93" s="837">
        <f>INDEX('Senior Loan Amortization1'!$B$19:$X$379,MATCH(DATE(S$9,12,31),'Senior Loan Amortization1'!$F$19:$F$379,0),MATCH('Senior Loan Amortization1'!$W$19,'Senior Loan Amortization1'!$B$19:$X$19,0))</f>
        <v>40585994.396056212</v>
      </c>
      <c r="T93" s="43"/>
    </row>
    <row r="94" spans="4:20" ht="12.6" customHeight="1" x14ac:dyDescent="0.25">
      <c r="D94" s="43"/>
      <c r="E94" s="764"/>
      <c r="F94" s="43"/>
      <c r="G94" s="837"/>
      <c r="H94" s="837"/>
      <c r="I94" s="837"/>
      <c r="J94" s="837"/>
      <c r="K94" s="837"/>
      <c r="L94" s="837"/>
      <c r="M94" s="837"/>
      <c r="N94" s="837"/>
      <c r="O94" s="837"/>
      <c r="P94" s="837"/>
      <c r="Q94" s="837"/>
      <c r="R94" s="837"/>
      <c r="S94" s="838"/>
      <c r="T94" s="43"/>
    </row>
    <row r="95" spans="4:20" ht="12.6" hidden="1" customHeight="1" outlineLevel="1" x14ac:dyDescent="0.25">
      <c r="D95" s="43"/>
      <c r="E95" s="48" t="s">
        <v>548</v>
      </c>
      <c r="F95" s="43"/>
      <c r="G95" s="837"/>
      <c r="H95" s="837"/>
      <c r="I95" s="837"/>
      <c r="J95" s="837"/>
      <c r="K95" s="837"/>
      <c r="L95" s="837"/>
      <c r="M95" s="837"/>
      <c r="N95" s="837"/>
      <c r="O95" s="837"/>
      <c r="P95" s="837"/>
      <c r="Q95" s="837"/>
      <c r="R95" s="837"/>
      <c r="S95" s="838"/>
      <c r="T95" s="43"/>
    </row>
    <row r="96" spans="4:20" ht="12.6" hidden="1" customHeight="1" outlineLevel="1" x14ac:dyDescent="0.25">
      <c r="D96" s="43"/>
      <c r="E96" s="834" t="s">
        <v>370</v>
      </c>
      <c r="F96" s="43"/>
      <c r="G96" s="835">
        <f>IF(OR('Financing Assumptions'!$H$30="No",'Financing Assumptions'!$H$32&gt;G$9),0,'Financing Assumptions'!$H$37)</f>
        <v>0</v>
      </c>
      <c r="H96" s="835">
        <f>IF(OR('Financing Assumptions'!$H$30="No",'Financing Assumptions'!$H$32&gt;H$9),0,'Financing Assumptions'!$H$37)</f>
        <v>0</v>
      </c>
      <c r="I96" s="835">
        <f>IF(OR('Financing Assumptions'!$H$30="No",'Financing Assumptions'!$H$32&gt;I$9),0,'Financing Assumptions'!$H$37)</f>
        <v>0</v>
      </c>
      <c r="J96" s="835"/>
      <c r="K96" s="835"/>
      <c r="L96" s="835">
        <f>IF(OR('Financing Assumptions'!$H$30="No",'Financing Assumptions'!$H$32&gt;L$9),0,'Financing Assumptions'!$H$37)</f>
        <v>0</v>
      </c>
      <c r="M96" s="835">
        <f>IF(OR('Financing Assumptions'!$H$30="No",'Financing Assumptions'!$H$32&gt;M$9),0,'Financing Assumptions'!$H$37)</f>
        <v>0</v>
      </c>
      <c r="N96" s="835">
        <f>IF(OR('Financing Assumptions'!$H$30="No",'Financing Assumptions'!$H$32&gt;N$9),0,'Financing Assumptions'!$H$37)</f>
        <v>0</v>
      </c>
      <c r="O96" s="835">
        <f>IF(OR('Financing Assumptions'!$H$30="No",'Financing Assumptions'!$H$32&gt;O$9),0,'Financing Assumptions'!$H$37)</f>
        <v>0</v>
      </c>
      <c r="P96" s="835">
        <f>IF(OR('Financing Assumptions'!$H$30="No",'Financing Assumptions'!$H$32&gt;P$9),0,'Financing Assumptions'!$H$37)</f>
        <v>0</v>
      </c>
      <c r="Q96" s="835">
        <f>IF(OR('Financing Assumptions'!$H$30="No",'Financing Assumptions'!$H$32&gt;Q$9),0,'Financing Assumptions'!$H$37)</f>
        <v>0</v>
      </c>
      <c r="R96" s="835">
        <f>IF(OR('Financing Assumptions'!$H$30="No",'Financing Assumptions'!$H$32&gt;R$9),0,'Financing Assumptions'!$H$37)</f>
        <v>0</v>
      </c>
      <c r="S96" s="835">
        <f>IF(OR('Financing Assumptions'!$H$30="No",'Financing Assumptions'!$H$32&gt;S$9),0,'Financing Assumptions'!$H$37)</f>
        <v>0</v>
      </c>
      <c r="T96" s="43"/>
    </row>
    <row r="97" spans="4:20" ht="12.6" hidden="1" customHeight="1" outlineLevel="1" x14ac:dyDescent="0.25">
      <c r="D97" s="43"/>
      <c r="E97" s="834" t="s">
        <v>8</v>
      </c>
      <c r="F97" s="43"/>
      <c r="G97" s="836">
        <f>IF(OR('Financing Assumptions'!$H$30="No",'Financing Assumptions'!$H$32&gt;G$9),0,'Financing Assumptions'!$H$38)</f>
        <v>0</v>
      </c>
      <c r="H97" s="836">
        <f>IF(OR('Financing Assumptions'!$H$30="No",'Financing Assumptions'!$H$32&gt;H$9),0,'Financing Assumptions'!$H$38)</f>
        <v>0</v>
      </c>
      <c r="I97" s="836">
        <f>IF(OR('Financing Assumptions'!$H$30="No",'Financing Assumptions'!$H$32&gt;I$9),0,'Financing Assumptions'!$H$38)</f>
        <v>0</v>
      </c>
      <c r="J97" s="836"/>
      <c r="K97" s="836"/>
      <c r="L97" s="836">
        <f>IF(OR('Financing Assumptions'!$H$30="No",'Financing Assumptions'!$H$32&gt;L$9),0,'Financing Assumptions'!$H$38)</f>
        <v>0</v>
      </c>
      <c r="M97" s="836">
        <f>IF(OR('Financing Assumptions'!$H$30="No",'Financing Assumptions'!$H$32&gt;M$9),0,'Financing Assumptions'!$H$38)</f>
        <v>0</v>
      </c>
      <c r="N97" s="836">
        <f>IF(OR('Financing Assumptions'!$H$30="No",'Financing Assumptions'!$H$32&gt;N$9),0,'Financing Assumptions'!$H$38)</f>
        <v>0</v>
      </c>
      <c r="O97" s="836">
        <f>IF(OR('Financing Assumptions'!$H$30="No",'Financing Assumptions'!$H$32&gt;O$9),0,'Financing Assumptions'!$H$38)</f>
        <v>0</v>
      </c>
      <c r="P97" s="836">
        <f>IF(OR('Financing Assumptions'!$H$30="No",'Financing Assumptions'!$H$32&gt;P$9),0,'Financing Assumptions'!$H$38)</f>
        <v>0</v>
      </c>
      <c r="Q97" s="836">
        <f>IF(OR('Financing Assumptions'!$H$30="No",'Financing Assumptions'!$H$32&gt;Q$9),0,'Financing Assumptions'!$H$38)</f>
        <v>0</v>
      </c>
      <c r="R97" s="836">
        <f>IF(OR('Financing Assumptions'!$H$30="No",'Financing Assumptions'!$H$32&gt;R$9),0,'Financing Assumptions'!$H$38)</f>
        <v>0</v>
      </c>
      <c r="S97" s="836">
        <f>IF(OR('Financing Assumptions'!$H$30="No",'Financing Assumptions'!$H$32&gt;S$9),0,'Financing Assumptions'!$H$38)</f>
        <v>0</v>
      </c>
      <c r="T97" s="43"/>
    </row>
    <row r="98" spans="4:20" ht="12.6" hidden="1" customHeight="1" outlineLevel="1" x14ac:dyDescent="0.25">
      <c r="D98" s="43"/>
      <c r="E98" s="48" t="s">
        <v>42</v>
      </c>
      <c r="F98" s="43"/>
      <c r="G98" s="800">
        <f>-IF(OR('Financing Assumptions'!$H$30="No",G$9&lt;YEAR('Financing Assumptions'!$H$34)),0,INDEX('Senior Perm Amortization1'!$AB$19:$AL$49,MATCH(G$9,'Senior Perm Amortization1'!$AC$19:$AC$49,0),MATCH('Senior Perm Amortization1'!$AE$19,'Senior Perm Amortization1'!$AB$19:$AL$19,0)))</f>
        <v>0</v>
      </c>
      <c r="H98" s="800">
        <f>-IF(OR('Financing Assumptions'!$H$30="No",H$9&lt;YEAR('Financing Assumptions'!$H$34)),0,INDEX('Senior Perm Amortization1'!$AB$19:$AL$49,MATCH(H$9,'Senior Perm Amortization1'!$AC$19:$AC$49,0),MATCH('Senior Perm Amortization1'!$AE$19,'Senior Perm Amortization1'!$AB$19:$AL$19,0)))</f>
        <v>0</v>
      </c>
      <c r="I98" s="800">
        <f>-IF(OR('Financing Assumptions'!$H$30="No",I$9&lt;YEAR('Financing Assumptions'!$H$34)),0,INDEX('Senior Perm Amortization1'!$AB$19:$AL$49,MATCH(I$9,'Senior Perm Amortization1'!$AC$19:$AC$49,0),MATCH('Senior Perm Amortization1'!$AE$19,'Senior Perm Amortization1'!$AB$19:$AL$19,0)))</f>
        <v>0</v>
      </c>
      <c r="J98" s="800"/>
      <c r="K98" s="800"/>
      <c r="L98" s="800">
        <f>-IF(OR('Financing Assumptions'!$H$30="No",L$9&lt;YEAR('Financing Assumptions'!$H$34)),0,INDEX('Senior Perm Amortization1'!$AB$19:$AL$49,MATCH(L$9,'Senior Perm Amortization1'!$AC$19:$AC$49,0),MATCH('Senior Perm Amortization1'!$AE$19,'Senior Perm Amortization1'!$AB$19:$AL$19,0)))</f>
        <v>0</v>
      </c>
      <c r="M98" s="800">
        <f>-IF(OR('Financing Assumptions'!$H$30="No",M$9&lt;YEAR('Financing Assumptions'!$H$34)),0,INDEX('Senior Perm Amortization1'!$AB$19:$AL$49,MATCH(M$9,'Senior Perm Amortization1'!$AC$19:$AC$49,0),MATCH('Senior Perm Amortization1'!$AE$19,'Senior Perm Amortization1'!$AB$19:$AL$19,0)))</f>
        <v>0</v>
      </c>
      <c r="N98" s="800">
        <f>-IF(OR('Financing Assumptions'!$H$30="No",N$9&lt;YEAR('Financing Assumptions'!$H$34)),0,INDEX('Senior Perm Amortization1'!$AB$19:$AL$49,MATCH(N$9,'Senior Perm Amortization1'!$AC$19:$AC$49,0),MATCH('Senior Perm Amortization1'!$AE$19,'Senior Perm Amortization1'!$AB$19:$AL$19,0)))</f>
        <v>0</v>
      </c>
      <c r="O98" s="800">
        <f>-IF(OR('Financing Assumptions'!$H$30="No",O$9&lt;YEAR('Financing Assumptions'!$H$34)),0,INDEX('Senior Perm Amortization1'!$AB$19:$AL$49,MATCH(O$9,'Senior Perm Amortization1'!$AC$19:$AC$49,0),MATCH('Senior Perm Amortization1'!$AE$19,'Senior Perm Amortization1'!$AB$19:$AL$19,0)))</f>
        <v>0</v>
      </c>
      <c r="P98" s="800">
        <f>-IF(OR('Financing Assumptions'!$H$30="No",P$9&lt;YEAR('Financing Assumptions'!$H$34)),0,INDEX('Senior Perm Amortization1'!$AB$19:$AL$49,MATCH(P$9,'Senior Perm Amortization1'!$AC$19:$AC$49,0),MATCH('Senior Perm Amortization1'!$AE$19,'Senior Perm Amortization1'!$AB$19:$AL$19,0)))</f>
        <v>0</v>
      </c>
      <c r="Q98" s="800">
        <f>-IF(OR('Financing Assumptions'!$H$30="No",Q$9&lt;YEAR('Financing Assumptions'!$H$34)),0,INDEX('Senior Perm Amortization1'!$AB$19:$AL$49,MATCH(Q$9,'Senior Perm Amortization1'!$AC$19:$AC$49,0),MATCH('Senior Perm Amortization1'!$AE$19,'Senior Perm Amortization1'!$AB$19:$AL$19,0)))</f>
        <v>0</v>
      </c>
      <c r="R98" s="800">
        <f>-IF(OR('Financing Assumptions'!$H$30="No",R$9&lt;YEAR('Financing Assumptions'!$H$34)),0,INDEX('Senior Perm Amortization1'!$AB$19:$AL$49,MATCH(R$9,'Senior Perm Amortization1'!$AC$19:$AC$49,0),MATCH('Senior Perm Amortization1'!$AE$19,'Senior Perm Amortization1'!$AB$19:$AL$19,0)))</f>
        <v>0</v>
      </c>
      <c r="S98" s="800">
        <f>-IF(OR('Financing Assumptions'!$H$30="No",S$9&lt;YEAR('Financing Assumptions'!$H$34)),0,INDEX('Senior Perm Amortization1'!$AB$19:$AL$49,MATCH(S$9,'Senior Perm Amortization1'!$AC$19:$AC$49,0),MATCH('Senior Perm Amortization1'!$AE$19,'Senior Perm Amortization1'!$AB$19:$AL$19,0)))</f>
        <v>0</v>
      </c>
      <c r="T98" s="43"/>
    </row>
    <row r="99" spans="4:20" ht="12.6" hidden="1" customHeight="1" outlineLevel="1" x14ac:dyDescent="0.25">
      <c r="D99" s="43"/>
      <c r="E99" s="764" t="s">
        <v>9</v>
      </c>
      <c r="F99" s="43"/>
      <c r="G99" s="837">
        <f>-IF(OR('Financing Assumptions'!$H$30="No",G$9&lt;YEAR('Financing Assumptions'!$H$34)),0,INDEX('Senior Perm Amortization1'!$AB$19:$AL$49,MATCH(G$9,'Senior Perm Amortization1'!$AC$19:$AC$49,0),MATCH($E99,'Senior Perm Amortization1'!$AB$19:$AL$19,0)))</f>
        <v>0</v>
      </c>
      <c r="H99" s="837">
        <f>-IF(OR('Financing Assumptions'!$H$30="No",H$9&lt;YEAR('Financing Assumptions'!$H$34)),0,INDEX('Senior Perm Amortization1'!$AB$19:$AL$49,MATCH(H$9,'Senior Perm Amortization1'!$AC$19:$AC$49,0),MATCH($E99,'Senior Perm Amortization1'!$AB$19:$AL$19,0)))</f>
        <v>0</v>
      </c>
      <c r="I99" s="837">
        <f>-IF(OR('Financing Assumptions'!$H$30="No",I$9&lt;YEAR('Financing Assumptions'!$H$34)),0,INDEX('Senior Perm Amortization1'!$AB$19:$AL$49,MATCH(I$9,'Senior Perm Amortization1'!$AC$19:$AC$49,0),MATCH($E99,'Senior Perm Amortization1'!$AB$19:$AL$19,0)))</f>
        <v>0</v>
      </c>
      <c r="J99" s="837"/>
      <c r="K99" s="837"/>
      <c r="L99" s="837">
        <f>-IF(OR('Financing Assumptions'!$H$30="No",L$9&lt;YEAR('Financing Assumptions'!$H$34)),0,INDEX('Senior Perm Amortization1'!$AB$19:$AL$49,MATCH(L$9,'Senior Perm Amortization1'!$AC$19:$AC$49,0),MATCH($E99,'Senior Perm Amortization1'!$AB$19:$AL$19,0)))</f>
        <v>0</v>
      </c>
      <c r="M99" s="837">
        <f>-IF(OR('Financing Assumptions'!$H$30="No",M$9&lt;YEAR('Financing Assumptions'!$H$34)),0,INDEX('Senior Perm Amortization1'!$AB$19:$AL$49,MATCH(M$9,'Senior Perm Amortization1'!$AC$19:$AC$49,0),MATCH($E99,'Senior Perm Amortization1'!$AB$19:$AL$19,0)))</f>
        <v>0</v>
      </c>
      <c r="N99" s="837">
        <f>-IF(OR('Financing Assumptions'!$H$30="No",N$9&lt;YEAR('Financing Assumptions'!$H$34)),0,INDEX('Senior Perm Amortization1'!$AB$19:$AL$49,MATCH(N$9,'Senior Perm Amortization1'!$AC$19:$AC$49,0),MATCH($E99,'Senior Perm Amortization1'!$AB$19:$AL$19,0)))</f>
        <v>0</v>
      </c>
      <c r="O99" s="837">
        <f>-IF(OR('Financing Assumptions'!$H$30="No",O$9&lt;YEAR('Financing Assumptions'!$H$34)),0,INDEX('Senior Perm Amortization1'!$AB$19:$AL$49,MATCH(O$9,'Senior Perm Amortization1'!$AC$19:$AC$49,0),MATCH($E99,'Senior Perm Amortization1'!$AB$19:$AL$19,0)))</f>
        <v>0</v>
      </c>
      <c r="P99" s="837">
        <f>-IF(OR('Financing Assumptions'!$H$30="No",P$9&lt;YEAR('Financing Assumptions'!$H$34)),0,INDEX('Senior Perm Amortization1'!$AB$19:$AL$49,MATCH(P$9,'Senior Perm Amortization1'!$AC$19:$AC$49,0),MATCH($E99,'Senior Perm Amortization1'!$AB$19:$AL$19,0)))</f>
        <v>0</v>
      </c>
      <c r="Q99" s="837">
        <f>-IF(OR('Financing Assumptions'!$H$30="No",Q$9&lt;YEAR('Financing Assumptions'!$H$34)),0,INDEX('Senior Perm Amortization1'!$AB$19:$AL$49,MATCH(Q$9,'Senior Perm Amortization1'!$AC$19:$AC$49,0),MATCH($E99,'Senior Perm Amortization1'!$AB$19:$AL$19,0)))</f>
        <v>0</v>
      </c>
      <c r="R99" s="837">
        <f>-IF(OR('Financing Assumptions'!$H$30="No",R$9&lt;YEAR('Financing Assumptions'!$H$34)),0,INDEX('Senior Perm Amortization1'!$AB$19:$AL$49,MATCH(R$9,'Senior Perm Amortization1'!$AC$19:$AC$49,0),MATCH($E99,'Senior Perm Amortization1'!$AB$19:$AL$19,0)))</f>
        <v>0</v>
      </c>
      <c r="S99" s="837">
        <f>-IF(OR('Financing Assumptions'!$H$30="No",S$9&lt;YEAR('Financing Assumptions'!$H$34)),0,INDEX('Senior Perm Amortization1'!$AB$19:$AL$49,MATCH(S$9,'Senior Perm Amortization1'!$AC$19:$AC$49,0),MATCH($E99,'Senior Perm Amortization1'!$AB$19:$AL$19,0)))</f>
        <v>0</v>
      </c>
      <c r="T99" s="43"/>
    </row>
    <row r="100" spans="4:20" ht="12.6" hidden="1" customHeight="1" outlineLevel="1" x14ac:dyDescent="0.25">
      <c r="D100" s="43"/>
      <c r="E100" s="764" t="s">
        <v>43</v>
      </c>
      <c r="F100" s="43"/>
      <c r="G100" s="837">
        <f>-IF(OR('Financing Assumptions'!$H$30="No",G$9&lt;YEAR('Financing Assumptions'!$H$34)),0,INDEX('Senior Perm Amortization1'!$AB$19:$AL$49,MATCH(G$9,'Senior Perm Amortization1'!$AC$19:$AC$49,0),MATCH($E100,'Senior Perm Amortization1'!$AB$19:$AL$19,0)))</f>
        <v>0</v>
      </c>
      <c r="H100" s="837">
        <f>-IF(OR('Financing Assumptions'!$H$30="No",H$9&lt;YEAR('Financing Assumptions'!$H$34)),0,INDEX('Senior Perm Amortization1'!$AB$19:$AL$49,MATCH(H$9,'Senior Perm Amortization1'!$AC$19:$AC$49,0),MATCH($E100,'Senior Perm Amortization1'!$AB$19:$AL$19,0)))</f>
        <v>0</v>
      </c>
      <c r="I100" s="837">
        <f>-IF(OR('Financing Assumptions'!$H$30="No",I$9&lt;YEAR('Financing Assumptions'!$H$34)),0,INDEX('Senior Perm Amortization1'!$AB$19:$AL$49,MATCH(I$9,'Senior Perm Amortization1'!$AC$19:$AC$49,0),MATCH($E100,'Senior Perm Amortization1'!$AB$19:$AL$19,0)))</f>
        <v>0</v>
      </c>
      <c r="J100" s="837"/>
      <c r="K100" s="837"/>
      <c r="L100" s="837">
        <f>-IF(OR('Financing Assumptions'!$H$30="No",L$9&lt;YEAR('Financing Assumptions'!$H$34)),0,INDEX('Senior Perm Amortization1'!$AB$19:$AL$49,MATCH(L$9,'Senior Perm Amortization1'!$AC$19:$AC$49,0),MATCH($E100,'Senior Perm Amortization1'!$AB$19:$AL$19,0)))</f>
        <v>0</v>
      </c>
      <c r="M100" s="837">
        <f>-IF(OR('Financing Assumptions'!$H$30="No",M$9&lt;YEAR('Financing Assumptions'!$H$34)),0,INDEX('Senior Perm Amortization1'!$AB$19:$AL$49,MATCH(M$9,'Senior Perm Amortization1'!$AC$19:$AC$49,0),MATCH($E100,'Senior Perm Amortization1'!$AB$19:$AL$19,0)))</f>
        <v>0</v>
      </c>
      <c r="N100" s="837">
        <f>-IF(OR('Financing Assumptions'!$H$30="No",N$9&lt;YEAR('Financing Assumptions'!$H$34)),0,INDEX('Senior Perm Amortization1'!$AB$19:$AL$49,MATCH(N$9,'Senior Perm Amortization1'!$AC$19:$AC$49,0),MATCH($E100,'Senior Perm Amortization1'!$AB$19:$AL$19,0)))</f>
        <v>0</v>
      </c>
      <c r="O100" s="837">
        <f>-IF(OR('Financing Assumptions'!$H$30="No",O$9&lt;YEAR('Financing Assumptions'!$H$34)),0,INDEX('Senior Perm Amortization1'!$AB$19:$AL$49,MATCH(O$9,'Senior Perm Amortization1'!$AC$19:$AC$49,0),MATCH($E100,'Senior Perm Amortization1'!$AB$19:$AL$19,0)))</f>
        <v>0</v>
      </c>
      <c r="P100" s="837">
        <f>-IF(OR('Financing Assumptions'!$H$30="No",P$9&lt;YEAR('Financing Assumptions'!$H$34)),0,INDEX('Senior Perm Amortization1'!$AB$19:$AL$49,MATCH(P$9,'Senior Perm Amortization1'!$AC$19:$AC$49,0),MATCH($E100,'Senior Perm Amortization1'!$AB$19:$AL$19,0)))</f>
        <v>0</v>
      </c>
      <c r="Q100" s="837">
        <f>-IF(OR('Financing Assumptions'!$H$30="No",Q$9&lt;YEAR('Financing Assumptions'!$H$34)),0,INDEX('Senior Perm Amortization1'!$AB$19:$AL$49,MATCH(Q$9,'Senior Perm Amortization1'!$AC$19:$AC$49,0),MATCH($E100,'Senior Perm Amortization1'!$AB$19:$AL$19,0)))</f>
        <v>0</v>
      </c>
      <c r="R100" s="837">
        <f>-IF(OR('Financing Assumptions'!$H$30="No",R$9&lt;YEAR('Financing Assumptions'!$H$34)),0,INDEX('Senior Perm Amortization1'!$AB$19:$AL$49,MATCH(R$9,'Senior Perm Amortization1'!$AC$19:$AC$49,0),MATCH($E100,'Senior Perm Amortization1'!$AB$19:$AL$19,0)))</f>
        <v>0</v>
      </c>
      <c r="S100" s="837">
        <f>-IF(OR('Financing Assumptions'!$H$30="No",S$9&lt;YEAR('Financing Assumptions'!$H$34)),0,INDEX('Senior Perm Amortization1'!$AB$19:$AL$49,MATCH(S$9,'Senior Perm Amortization1'!$AC$19:$AC$49,0),MATCH($E100,'Senior Perm Amortization1'!$AB$19:$AL$19,0)))</f>
        <v>0</v>
      </c>
      <c r="T100" s="43"/>
    </row>
    <row r="101" spans="4:20" ht="12.6" hidden="1" customHeight="1" outlineLevel="1" x14ac:dyDescent="0.25">
      <c r="D101" s="43"/>
      <c r="E101" s="764" t="s">
        <v>40</v>
      </c>
      <c r="F101" s="43"/>
      <c r="G101" s="837">
        <f>IF(OR('Financing Assumptions'!$H$30="No",G$9&lt;YEAR('Financing Assumptions'!$H$34)),0,INDEX('Senior Perm Amortization1'!$B$19:$U$379,MATCH(DATE(G$9,12,31),'Senior Perm Amortization1'!$E$19:$E$379,0),MATCH('Senior Perm Amortization1'!$T$19,'Senior Perm Amortization1'!$B$19:$U$19,0)))</f>
        <v>0</v>
      </c>
      <c r="H101" s="837">
        <f>IF(OR('Financing Assumptions'!$H$30="No",H$9&lt;YEAR('Financing Assumptions'!$H$34)),0,INDEX('Senior Perm Amortization1'!$B$19:$U$379,MATCH(DATE(H$9,12,31),'Senior Perm Amortization1'!$E$19:$E$379,0),MATCH('Senior Perm Amortization1'!$T$19,'Senior Perm Amortization1'!$B$19:$U$19,0)))</f>
        <v>0</v>
      </c>
      <c r="I101" s="837">
        <f>IF(OR('Financing Assumptions'!$H$30="No",I$9&lt;YEAR('Financing Assumptions'!$H$34)),0,INDEX('Senior Perm Amortization1'!$B$19:$U$379,MATCH(DATE(I$9,12,31),'Senior Perm Amortization1'!$E$19:$E$379,0),MATCH('Senior Perm Amortization1'!$T$19,'Senior Perm Amortization1'!$B$19:$U$19,0)))</f>
        <v>0</v>
      </c>
      <c r="J101" s="837"/>
      <c r="K101" s="837"/>
      <c r="L101" s="837">
        <f>IF(OR('Financing Assumptions'!$H$30="No",L$9&lt;YEAR('Financing Assumptions'!$H$34)),0,INDEX('Senior Perm Amortization1'!$B$19:$U$379,MATCH(DATE(L$9,12,31),'Senior Perm Amortization1'!$E$19:$E$379,0),MATCH('Senior Perm Amortization1'!$T$19,'Senior Perm Amortization1'!$B$19:$U$19,0)))</f>
        <v>0</v>
      </c>
      <c r="M101" s="837">
        <f>IF(OR('Financing Assumptions'!$H$30="No",M$9&lt;YEAR('Financing Assumptions'!$H$34)),0,INDEX('Senior Perm Amortization1'!$B$19:$U$379,MATCH(DATE(M$9,12,31),'Senior Perm Amortization1'!$E$19:$E$379,0),MATCH('Senior Perm Amortization1'!$T$19,'Senior Perm Amortization1'!$B$19:$U$19,0)))</f>
        <v>0</v>
      </c>
      <c r="N101" s="837">
        <f>IF(OR('Financing Assumptions'!$H$30="No",N$9&lt;YEAR('Financing Assumptions'!$H$34)),0,INDEX('Senior Perm Amortization1'!$B$19:$U$379,MATCH(DATE(N$9,12,31),'Senior Perm Amortization1'!$E$19:$E$379,0),MATCH('Senior Perm Amortization1'!$T$19,'Senior Perm Amortization1'!$B$19:$U$19,0)))</f>
        <v>0</v>
      </c>
      <c r="O101" s="837">
        <f>IF(OR('Financing Assumptions'!$H$30="No",O$9&lt;YEAR('Financing Assumptions'!$H$34)),0,INDEX('Senior Perm Amortization1'!$B$19:$U$379,MATCH(DATE(O$9,12,31),'Senior Perm Amortization1'!$E$19:$E$379,0),MATCH('Senior Perm Amortization1'!$T$19,'Senior Perm Amortization1'!$B$19:$U$19,0)))</f>
        <v>0</v>
      </c>
      <c r="P101" s="837">
        <f>IF(OR('Financing Assumptions'!$H$30="No",P$9&lt;YEAR('Financing Assumptions'!$H$34)),0,INDEX('Senior Perm Amortization1'!$B$19:$U$379,MATCH(DATE(P$9,12,31),'Senior Perm Amortization1'!$E$19:$E$379,0),MATCH('Senior Perm Amortization1'!$T$19,'Senior Perm Amortization1'!$B$19:$U$19,0)))</f>
        <v>0</v>
      </c>
      <c r="Q101" s="837">
        <f>IF(OR('Financing Assumptions'!$H$30="No",Q$9&lt;YEAR('Financing Assumptions'!$H$34)),0,INDEX('Senior Perm Amortization1'!$B$19:$U$379,MATCH(DATE(Q$9,12,31),'Senior Perm Amortization1'!$E$19:$E$379,0),MATCH('Senior Perm Amortization1'!$T$19,'Senior Perm Amortization1'!$B$19:$U$19,0)))</f>
        <v>0</v>
      </c>
      <c r="R101" s="837">
        <f>IF(OR('Financing Assumptions'!$H$30="No",R$9&lt;YEAR('Financing Assumptions'!$H$34)),0,INDEX('Senior Perm Amortization1'!$B$19:$U$379,MATCH(DATE(R$9,12,31),'Senior Perm Amortization1'!$E$19:$E$379,0),MATCH('Senior Perm Amortization1'!$T$19,'Senior Perm Amortization1'!$B$19:$U$19,0)))</f>
        <v>0</v>
      </c>
      <c r="S101" s="837">
        <f>IF(OR('Financing Assumptions'!$H$30="No",S$9&lt;YEAR('Financing Assumptions'!$H$34)),0,INDEX('Senior Perm Amortization1'!$B$19:$U$379,MATCH(DATE(S$9,12,31),'Senior Perm Amortization1'!$E$19:$E$379,0),MATCH('Senior Perm Amortization1'!$T$19,'Senior Perm Amortization1'!$B$19:$U$19,0)))</f>
        <v>0</v>
      </c>
      <c r="T101" s="43"/>
    </row>
    <row r="102" spans="4:20" ht="12.6" customHeight="1" collapsed="1" x14ac:dyDescent="0.25">
      <c r="D102" s="43"/>
      <c r="E102" s="764"/>
      <c r="F102" s="43"/>
      <c r="G102" s="837"/>
      <c r="H102" s="837"/>
      <c r="I102" s="837"/>
      <c r="J102" s="837"/>
      <c r="K102" s="837"/>
      <c r="L102" s="837"/>
      <c r="M102" s="837"/>
      <c r="N102" s="837"/>
      <c r="O102" s="837"/>
      <c r="P102" s="837"/>
      <c r="Q102" s="837"/>
      <c r="R102" s="837"/>
      <c r="S102" s="838"/>
      <c r="T102" s="43"/>
    </row>
    <row r="103" spans="4:20" ht="12.6" customHeight="1" outlineLevel="1" x14ac:dyDescent="0.25">
      <c r="D103" s="43"/>
      <c r="E103" s="48" t="s">
        <v>615</v>
      </c>
      <c r="F103" s="43"/>
      <c r="G103" s="837"/>
      <c r="H103" s="837"/>
      <c r="I103" s="837"/>
      <c r="J103" s="837"/>
      <c r="K103" s="837"/>
      <c r="L103" s="837"/>
      <c r="M103" s="837"/>
      <c r="N103" s="837"/>
      <c r="O103" s="837"/>
      <c r="P103" s="837"/>
      <c r="Q103" s="837"/>
      <c r="R103" s="837"/>
      <c r="S103" s="838"/>
      <c r="T103" s="43"/>
    </row>
    <row r="104" spans="4:20" ht="12.6" customHeight="1" outlineLevel="1" x14ac:dyDescent="0.25">
      <c r="D104" s="43"/>
      <c r="E104" s="834" t="s">
        <v>370</v>
      </c>
      <c r="F104" s="43"/>
      <c r="G104" s="835">
        <f>IF(OR('Financing Assumptions'!$H$44="No",'Financing Assumptions'!$H$45&gt;G$9),0,'Financing Assumptions'!$H$56)</f>
        <v>0</v>
      </c>
      <c r="H104" s="835">
        <f>IF(OR('Financing Assumptions'!$H$44="No",'Financing Assumptions'!$H$45&gt;H$9),0,'Financing Assumptions'!$H$56)</f>
        <v>0</v>
      </c>
      <c r="I104" s="835">
        <f>IF(OR('Financing Assumptions'!$H$44="No",'Financing Assumptions'!$H$45&gt;I$9),0,'Financing Assumptions'!$H$56)</f>
        <v>0</v>
      </c>
      <c r="J104" s="835"/>
      <c r="K104" s="835"/>
      <c r="L104" s="835">
        <f>IF(OR('Financing Assumptions'!$H$44="No",'Financing Assumptions'!$H$45&gt;L$9),0,'Financing Assumptions'!$H$56)</f>
        <v>0</v>
      </c>
      <c r="M104" s="835">
        <f>IF(OR('Financing Assumptions'!$H$44="No",'Financing Assumptions'!$H$45&gt;M$9),0,'Financing Assumptions'!$H$56)</f>
        <v>0</v>
      </c>
      <c r="N104" s="835">
        <f>IF(OR('Financing Assumptions'!$H$44="No",'Financing Assumptions'!$H$45&gt;N$9),0,'Financing Assumptions'!$H$56)</f>
        <v>0</v>
      </c>
      <c r="O104" s="835">
        <f>IF(OR('Financing Assumptions'!$H$44="No",'Financing Assumptions'!$H$45&gt;O$9),0,'Financing Assumptions'!$H$56)</f>
        <v>0</v>
      </c>
      <c r="P104" s="835">
        <f>IF(OR('Financing Assumptions'!$H$44="No",'Financing Assumptions'!$H$45&gt;P$9),0,'Financing Assumptions'!$H$56)</f>
        <v>0</v>
      </c>
      <c r="Q104" s="835">
        <f>IF(OR('Financing Assumptions'!$H$44="No",'Financing Assumptions'!$H$45&gt;Q$9),0,'Financing Assumptions'!$H$56)</f>
        <v>0</v>
      </c>
      <c r="R104" s="835">
        <f>IF(OR('Financing Assumptions'!$H$44="No",'Financing Assumptions'!$H$45&gt;R$9),0,'Financing Assumptions'!$H$56)</f>
        <v>0</v>
      </c>
      <c r="S104" s="835">
        <f>IF(OR('Financing Assumptions'!$H$44="No",'Financing Assumptions'!$H$45&gt;S$9),0,'Financing Assumptions'!$H$56)</f>
        <v>0</v>
      </c>
      <c r="T104" s="43"/>
    </row>
    <row r="105" spans="4:20" ht="12.6" customHeight="1" outlineLevel="1" x14ac:dyDescent="0.25">
      <c r="D105" s="43"/>
      <c r="E105" s="834" t="s">
        <v>8</v>
      </c>
      <c r="F105" s="43"/>
      <c r="G105" s="836">
        <f>IF(OR('Financing Assumptions'!$H$44="No",'Financing Assumptions'!$H$45&gt;G$9),0,'Financing Assumptions'!$H$57)</f>
        <v>0</v>
      </c>
      <c r="H105" s="836">
        <f>IF(OR('Financing Assumptions'!$H$44="No",'Financing Assumptions'!$H$45&gt;H$9),0,'Financing Assumptions'!$H$57)</f>
        <v>0</v>
      </c>
      <c r="I105" s="836">
        <f>IF(OR('Financing Assumptions'!$H$44="No",'Financing Assumptions'!$H$45&gt;I$9),0,'Financing Assumptions'!$H$57)</f>
        <v>0</v>
      </c>
      <c r="J105" s="836"/>
      <c r="K105" s="836"/>
      <c r="L105" s="836">
        <f>IF(OR('Financing Assumptions'!$H$44="No",'Financing Assumptions'!$H$45&gt;L$9),0,'Financing Assumptions'!$H$57)</f>
        <v>0</v>
      </c>
      <c r="M105" s="836">
        <f>IF(OR('Financing Assumptions'!$H$44="No",'Financing Assumptions'!$H$45&gt;M$9),0,'Financing Assumptions'!$H$57)</f>
        <v>0</v>
      </c>
      <c r="N105" s="836">
        <f>IF(OR('Financing Assumptions'!$H$44="No",'Financing Assumptions'!$H$45&gt;N$9),0,'Financing Assumptions'!$H$57)</f>
        <v>0</v>
      </c>
      <c r="O105" s="836">
        <f>IF(OR('Financing Assumptions'!$H$44="No",'Financing Assumptions'!$H$45&gt;O$9),0,'Financing Assumptions'!$H$57)</f>
        <v>0</v>
      </c>
      <c r="P105" s="836">
        <f>IF(OR('Financing Assumptions'!$H$44="No",'Financing Assumptions'!$H$45&gt;P$9),0,'Financing Assumptions'!$H$57)</f>
        <v>0</v>
      </c>
      <c r="Q105" s="836">
        <f>IF(OR('Financing Assumptions'!$H$44="No",'Financing Assumptions'!$H$45&gt;Q$9),0,'Financing Assumptions'!$H$57)</f>
        <v>0</v>
      </c>
      <c r="R105" s="836">
        <f>IF(OR('Financing Assumptions'!$H$44="No",'Financing Assumptions'!$H$45&gt;R$9),0,'Financing Assumptions'!$H$57)</f>
        <v>0</v>
      </c>
      <c r="S105" s="836">
        <f>IF(OR('Financing Assumptions'!$H$44="No",'Financing Assumptions'!$H$45&gt;S$9),0,'Financing Assumptions'!$H$57)</f>
        <v>0</v>
      </c>
      <c r="T105" s="43"/>
    </row>
    <row r="106" spans="4:20" ht="12.6" customHeight="1" outlineLevel="1" x14ac:dyDescent="0.25">
      <c r="D106" s="43"/>
      <c r="E106" s="48" t="s">
        <v>42</v>
      </c>
      <c r="F106" s="43"/>
      <c r="G106" s="800">
        <f>-IF(OR('Financing Assumptions'!$H$44="No",G$9&lt;YEAR('Financing Assumptions'!$H$47)),0,INDEX('Senior Refinance Amortization1'!$AB$19:$AL$49,MATCH(G$9,'Senior Refinance Amortization1'!$AC$19:$AC$49,0),MATCH('Senior Refinance Amortization1'!$AE$19,'Senior Refinance Amortization1'!$AB$19:$AL$19,0)))</f>
        <v>0</v>
      </c>
      <c r="H106" s="800">
        <f>-IF(OR('Financing Assumptions'!$H$44="No",H$9&lt;YEAR('Financing Assumptions'!$H$47)),0,INDEX('Senior Refinance Amortization1'!$AB$19:$AL$49,MATCH(H$9,'Senior Refinance Amortization1'!$AC$19:$AC$49,0),MATCH('Senior Refinance Amortization1'!$AE$19,'Senior Refinance Amortization1'!$AB$19:$AL$19,0)))</f>
        <v>0</v>
      </c>
      <c r="I106" s="800">
        <f>-IF(OR('Financing Assumptions'!$H$44="No",I$9&lt;YEAR('Financing Assumptions'!$H$47)),0,INDEX('Senior Refinance Amortization1'!$AB$19:$AL$49,MATCH(I$9,'Senior Refinance Amortization1'!$AC$19:$AC$49,0),MATCH('Senior Refinance Amortization1'!$AE$19,'Senior Refinance Amortization1'!$AB$19:$AL$19,0)))</f>
        <v>0</v>
      </c>
      <c r="J106" s="800"/>
      <c r="K106" s="800"/>
      <c r="L106" s="800">
        <f>-IF(OR('Financing Assumptions'!$H$44="No",L$9&lt;YEAR('Financing Assumptions'!$H$47)),0,INDEX('Senior Refinance Amortization1'!$AB$19:$AL$49,MATCH(L$9,'Senior Refinance Amortization1'!$AC$19:$AC$49,0),MATCH('Senior Refinance Amortization1'!$AE$19,'Senior Refinance Amortization1'!$AB$19:$AL$19,0)))</f>
        <v>0</v>
      </c>
      <c r="M106" s="800">
        <f>-IF(OR('Financing Assumptions'!$H$44="No",M$9&lt;YEAR('Financing Assumptions'!$H$47)),0,INDEX('Senior Refinance Amortization1'!$AB$19:$AL$49,MATCH(M$9,'Senior Refinance Amortization1'!$AC$19:$AC$49,0),MATCH('Senior Refinance Amortization1'!$AE$19,'Senior Refinance Amortization1'!$AB$19:$AL$19,0)))</f>
        <v>0</v>
      </c>
      <c r="N106" s="800">
        <f>-IF(OR('Financing Assumptions'!$H$44="No",N$9&lt;YEAR('Financing Assumptions'!$H$47)),0,INDEX('Senior Refinance Amortization1'!$AB$19:$AL$49,MATCH(N$9,'Senior Refinance Amortization1'!$AC$19:$AC$49,0),MATCH('Senior Refinance Amortization1'!$AE$19,'Senior Refinance Amortization1'!$AB$19:$AL$19,0)))</f>
        <v>0</v>
      </c>
      <c r="O106" s="800">
        <f>-IF(OR('Financing Assumptions'!$H$44="No",O$9&lt;YEAR('Financing Assumptions'!$H$47)),0,INDEX('Senior Refinance Amortization1'!$AB$19:$AL$49,MATCH(O$9,'Senior Refinance Amortization1'!$AC$19:$AC$49,0),MATCH('Senior Refinance Amortization1'!$AE$19,'Senior Refinance Amortization1'!$AB$19:$AL$19,0)))</f>
        <v>0</v>
      </c>
      <c r="P106" s="800">
        <f>-IF(OR('Financing Assumptions'!$H$44="No",P$9&lt;YEAR('Financing Assumptions'!$H$47)),0,INDEX('Senior Refinance Amortization1'!$AB$19:$AL$49,MATCH(P$9,'Senior Refinance Amortization1'!$AC$19:$AC$49,0),MATCH('Senior Refinance Amortization1'!$AE$19,'Senior Refinance Amortization1'!$AB$19:$AL$19,0)))</f>
        <v>0</v>
      </c>
      <c r="Q106" s="800">
        <f>-IF(OR('Financing Assumptions'!$H$44="No",Q$9&lt;YEAR('Financing Assumptions'!$H$47)),0,INDEX('Senior Refinance Amortization1'!$AB$19:$AL$49,MATCH(Q$9,'Senior Refinance Amortization1'!$AC$19:$AC$49,0),MATCH('Senior Refinance Amortization1'!$AE$19,'Senior Refinance Amortization1'!$AB$19:$AL$19,0)))</f>
        <v>0</v>
      </c>
      <c r="R106" s="800">
        <f>-IF(OR('Financing Assumptions'!$H$44="No",R$9&lt;YEAR('Financing Assumptions'!$H$47)),0,INDEX('Senior Refinance Amortization1'!$AB$19:$AL$49,MATCH(R$9,'Senior Refinance Amortization1'!$AC$19:$AC$49,0),MATCH('Senior Refinance Amortization1'!$AE$19,'Senior Refinance Amortization1'!$AB$19:$AL$19,0)))</f>
        <v>0</v>
      </c>
      <c r="S106" s="800">
        <f>-IF(OR('Financing Assumptions'!$H$44="No",S$9&lt;YEAR('Financing Assumptions'!$H$47)),0,INDEX('Senior Refinance Amortization1'!$AB$19:$AL$49,MATCH(S$9,'Senior Refinance Amortization1'!$AC$19:$AC$49,0),MATCH('Senior Refinance Amortization1'!$AE$19,'Senior Refinance Amortization1'!$AB$19:$AL$19,0)))</f>
        <v>0</v>
      </c>
      <c r="T106" s="43"/>
    </row>
    <row r="107" spans="4:20" ht="12.6" customHeight="1" outlineLevel="1" x14ac:dyDescent="0.25">
      <c r="D107" s="43"/>
      <c r="E107" s="764" t="s">
        <v>9</v>
      </c>
      <c r="F107" s="43"/>
      <c r="G107" s="837">
        <f>-IF(OR('Financing Assumptions'!$H$44="No",G$9&lt;YEAR('Financing Assumptions'!$H$47)),0,INDEX('Senior Refinance Amortization1'!$AB$19:$AL$49,MATCH(G$9,'Senior Refinance Amortization1'!$AC$19:$AC$49,0),MATCH($E107,'Senior Refinance Amortization1'!$AB$19:$AL$19,0)))</f>
        <v>0</v>
      </c>
      <c r="H107" s="837">
        <f>-IF(OR('Financing Assumptions'!$H$44="No",H$9&lt;YEAR('Financing Assumptions'!$H$47)),0,INDEX('Senior Refinance Amortization1'!$AB$19:$AL$49,MATCH(H$9,'Senior Refinance Amortization1'!$AC$19:$AC$49,0),MATCH($E107,'Senior Refinance Amortization1'!$AB$19:$AL$19,0)))</f>
        <v>0</v>
      </c>
      <c r="I107" s="837">
        <f>-IF(OR('Financing Assumptions'!$H$44="No",I$9&lt;YEAR('Financing Assumptions'!$H$47)),0,INDEX('Senior Refinance Amortization1'!$AB$19:$AL$49,MATCH(I$9,'Senior Refinance Amortization1'!$AC$19:$AC$49,0),MATCH($E107,'Senior Refinance Amortization1'!$AB$19:$AL$19,0)))</f>
        <v>0</v>
      </c>
      <c r="J107" s="837"/>
      <c r="K107" s="837"/>
      <c r="L107" s="837">
        <f>-IF(OR('Financing Assumptions'!$H$44="No",L$9&lt;YEAR('Financing Assumptions'!$H$47)),0,INDEX('Senior Refinance Amortization1'!$AB$19:$AL$49,MATCH(L$9,'Senior Refinance Amortization1'!$AC$19:$AC$49,0),MATCH($E107,'Senior Refinance Amortization1'!$AB$19:$AL$19,0)))</f>
        <v>0</v>
      </c>
      <c r="M107" s="837">
        <f>-IF(OR('Financing Assumptions'!$H$44="No",M$9&lt;YEAR('Financing Assumptions'!$H$47)),0,INDEX('Senior Refinance Amortization1'!$AB$19:$AL$49,MATCH(M$9,'Senior Refinance Amortization1'!$AC$19:$AC$49,0),MATCH($E107,'Senior Refinance Amortization1'!$AB$19:$AL$19,0)))</f>
        <v>0</v>
      </c>
      <c r="N107" s="837">
        <f>-IF(OR('Financing Assumptions'!$H$44="No",N$9&lt;YEAR('Financing Assumptions'!$H$47)),0,INDEX('Senior Refinance Amortization1'!$AB$19:$AL$49,MATCH(N$9,'Senior Refinance Amortization1'!$AC$19:$AC$49,0),MATCH($E107,'Senior Refinance Amortization1'!$AB$19:$AL$19,0)))</f>
        <v>0</v>
      </c>
      <c r="O107" s="837">
        <f>-IF(OR('Financing Assumptions'!$H$44="No",O$9&lt;YEAR('Financing Assumptions'!$H$47)),0,INDEX('Senior Refinance Amortization1'!$AB$19:$AL$49,MATCH(O$9,'Senior Refinance Amortization1'!$AC$19:$AC$49,0),MATCH($E107,'Senior Refinance Amortization1'!$AB$19:$AL$19,0)))</f>
        <v>0</v>
      </c>
      <c r="P107" s="837">
        <f>-IF(OR('Financing Assumptions'!$H$44="No",P$9&lt;YEAR('Financing Assumptions'!$H$47)),0,INDEX('Senior Refinance Amortization1'!$AB$19:$AL$49,MATCH(P$9,'Senior Refinance Amortization1'!$AC$19:$AC$49,0),MATCH($E107,'Senior Refinance Amortization1'!$AB$19:$AL$19,0)))</f>
        <v>0</v>
      </c>
      <c r="Q107" s="837">
        <f>-IF(OR('Financing Assumptions'!$H$44="No",Q$9&lt;YEAR('Financing Assumptions'!$H$47)),0,INDEX('Senior Refinance Amortization1'!$AB$19:$AL$49,MATCH(Q$9,'Senior Refinance Amortization1'!$AC$19:$AC$49,0),MATCH($E107,'Senior Refinance Amortization1'!$AB$19:$AL$19,0)))</f>
        <v>0</v>
      </c>
      <c r="R107" s="837">
        <f>-IF(OR('Financing Assumptions'!$H$44="No",R$9&lt;YEAR('Financing Assumptions'!$H$47)),0,INDEX('Senior Refinance Amortization1'!$AB$19:$AL$49,MATCH(R$9,'Senior Refinance Amortization1'!$AC$19:$AC$49,0),MATCH($E107,'Senior Refinance Amortization1'!$AB$19:$AL$19,0)))</f>
        <v>0</v>
      </c>
      <c r="S107" s="837">
        <f>-IF(OR('Financing Assumptions'!$H$44="No",S$9&lt;YEAR('Financing Assumptions'!$H$47)),0,INDEX('Senior Refinance Amortization1'!$AB$19:$AL$49,MATCH(S$9,'Senior Refinance Amortization1'!$AC$19:$AC$49,0),MATCH($E107,'Senior Refinance Amortization1'!$AB$19:$AL$19,0)))</f>
        <v>0</v>
      </c>
      <c r="T107" s="43"/>
    </row>
    <row r="108" spans="4:20" ht="12.6" customHeight="1" outlineLevel="1" x14ac:dyDescent="0.25">
      <c r="D108" s="43"/>
      <c r="E108" s="764" t="s">
        <v>43</v>
      </c>
      <c r="F108" s="43"/>
      <c r="G108" s="837">
        <f>-IF(OR('Financing Assumptions'!$H$44="No",G$9&lt;YEAR('Financing Assumptions'!$H$47)),0,INDEX('Senior Refinance Amortization1'!$AB$19:$AL$49,MATCH(G$9,'Senior Refinance Amortization1'!$AC$19:$AC$49,0),MATCH($E108,'Senior Refinance Amortization1'!$AB$19:$AL$19,0)))</f>
        <v>0</v>
      </c>
      <c r="H108" s="837">
        <f>-IF(OR('Financing Assumptions'!$H$44="No",H$9&lt;YEAR('Financing Assumptions'!$H$47)),0,INDEX('Senior Refinance Amortization1'!$AB$19:$AL$49,MATCH(H$9,'Senior Refinance Amortization1'!$AC$19:$AC$49,0),MATCH($E108,'Senior Refinance Amortization1'!$AB$19:$AL$19,0)))</f>
        <v>0</v>
      </c>
      <c r="I108" s="837">
        <f>-IF(OR('Financing Assumptions'!$H$44="No",I$9&lt;YEAR('Financing Assumptions'!$H$47)),0,INDEX('Senior Refinance Amortization1'!$AB$19:$AL$49,MATCH(I$9,'Senior Refinance Amortization1'!$AC$19:$AC$49,0),MATCH($E108,'Senior Refinance Amortization1'!$AB$19:$AL$19,0)))</f>
        <v>0</v>
      </c>
      <c r="J108" s="837"/>
      <c r="K108" s="837"/>
      <c r="L108" s="837">
        <f>-IF(OR('Financing Assumptions'!$H$44="No",L$9&lt;YEAR('Financing Assumptions'!$H$47)),0,INDEX('Senior Refinance Amortization1'!$AB$19:$AL$49,MATCH(L$9,'Senior Refinance Amortization1'!$AC$19:$AC$49,0),MATCH($E108,'Senior Refinance Amortization1'!$AB$19:$AL$19,0)))</f>
        <v>0</v>
      </c>
      <c r="M108" s="837">
        <f>-IF(OR('Financing Assumptions'!$H$44="No",M$9&lt;YEAR('Financing Assumptions'!$H$47)),0,INDEX('Senior Refinance Amortization1'!$AB$19:$AL$49,MATCH(M$9,'Senior Refinance Amortization1'!$AC$19:$AC$49,0),MATCH($E108,'Senior Refinance Amortization1'!$AB$19:$AL$19,0)))</f>
        <v>0</v>
      </c>
      <c r="N108" s="837">
        <f>-IF(OR('Financing Assumptions'!$H$44="No",N$9&lt;YEAR('Financing Assumptions'!$H$47)),0,INDEX('Senior Refinance Amortization1'!$AB$19:$AL$49,MATCH(N$9,'Senior Refinance Amortization1'!$AC$19:$AC$49,0),MATCH($E108,'Senior Refinance Amortization1'!$AB$19:$AL$19,0)))</f>
        <v>0</v>
      </c>
      <c r="O108" s="837">
        <f>-IF(OR('Financing Assumptions'!$H$44="No",O$9&lt;YEAR('Financing Assumptions'!$H$47)),0,INDEX('Senior Refinance Amortization1'!$AB$19:$AL$49,MATCH(O$9,'Senior Refinance Amortization1'!$AC$19:$AC$49,0),MATCH($E108,'Senior Refinance Amortization1'!$AB$19:$AL$19,0)))</f>
        <v>0</v>
      </c>
      <c r="P108" s="837">
        <f>-IF(OR('Financing Assumptions'!$H$44="No",P$9&lt;YEAR('Financing Assumptions'!$H$47)),0,INDEX('Senior Refinance Amortization1'!$AB$19:$AL$49,MATCH(P$9,'Senior Refinance Amortization1'!$AC$19:$AC$49,0),MATCH($E108,'Senior Refinance Amortization1'!$AB$19:$AL$19,0)))</f>
        <v>0</v>
      </c>
      <c r="Q108" s="837">
        <f>-IF(OR('Financing Assumptions'!$H$44="No",Q$9&lt;YEAR('Financing Assumptions'!$H$47)),0,INDEX('Senior Refinance Amortization1'!$AB$19:$AL$49,MATCH(Q$9,'Senior Refinance Amortization1'!$AC$19:$AC$49,0),MATCH($E108,'Senior Refinance Amortization1'!$AB$19:$AL$19,0)))</f>
        <v>0</v>
      </c>
      <c r="R108" s="837">
        <f>-IF(OR('Financing Assumptions'!$H$44="No",R$9&lt;YEAR('Financing Assumptions'!$H$47)),0,INDEX('Senior Refinance Amortization1'!$AB$19:$AL$49,MATCH(R$9,'Senior Refinance Amortization1'!$AC$19:$AC$49,0),MATCH($E108,'Senior Refinance Amortization1'!$AB$19:$AL$19,0)))</f>
        <v>0</v>
      </c>
      <c r="S108" s="837">
        <f>-IF(OR('Financing Assumptions'!$H$44="No",S$9&lt;YEAR('Financing Assumptions'!$H$47)),0,INDEX('Senior Refinance Amortization1'!$AB$19:$AL$49,MATCH(S$9,'Senior Refinance Amortization1'!$AC$19:$AC$49,0),MATCH($E108,'Senior Refinance Amortization1'!$AB$19:$AL$19,0)))</f>
        <v>0</v>
      </c>
      <c r="T108" s="43"/>
    </row>
    <row r="109" spans="4:20" ht="12.6" customHeight="1" outlineLevel="1" x14ac:dyDescent="0.25">
      <c r="D109" s="43"/>
      <c r="E109" s="764" t="s">
        <v>40</v>
      </c>
      <c r="F109" s="43"/>
      <c r="G109" s="837">
        <f>IF(OR('Financing Assumptions'!$H$44="No",G$9&lt;YEAR('Financing Assumptions'!$H$47)),0,INDEX('Senior Refinance Amortization1'!$B$19:$U$379,MATCH(DATE(G$9,12,31),'Senior Refinance Amortization1'!$E$19:$E$379,0),MATCH('Senior Refinance Amortization1'!$T$19,'Senior Refinance Amortization1'!$B$19:$U$19,0)))</f>
        <v>0</v>
      </c>
      <c r="H109" s="837">
        <f>IF(OR('Financing Assumptions'!$H$44="No",H$9&lt;YEAR('Financing Assumptions'!$H$47)),0,INDEX('Senior Refinance Amortization1'!$B$19:$U$379,MATCH(DATE(H$9,12,31),'Senior Refinance Amortization1'!$E$19:$E$379,0),MATCH('Senior Refinance Amortization1'!$T$19,'Senior Refinance Amortization1'!$B$19:$U$19,0)))</f>
        <v>0</v>
      </c>
      <c r="I109" s="837">
        <f>IF(OR('Financing Assumptions'!$H$44="No",I$9&lt;YEAR('Financing Assumptions'!$H$47)),0,INDEX('Senior Refinance Amortization1'!$B$19:$U$379,MATCH(DATE(I$9,12,31),'Senior Refinance Amortization1'!$E$19:$E$379,0),MATCH('Senior Refinance Amortization1'!$T$19,'Senior Refinance Amortization1'!$B$19:$U$19,0)))</f>
        <v>0</v>
      </c>
      <c r="J109" s="837"/>
      <c r="K109" s="837"/>
      <c r="L109" s="837">
        <f>IF(OR('Financing Assumptions'!$H$44="No",L$9&lt;YEAR('Financing Assumptions'!$H$47)),0,INDEX('Senior Refinance Amortization1'!$B$19:$U$379,MATCH(DATE(L$9,12,31),'Senior Refinance Amortization1'!$E$19:$E$379,0),MATCH('Senior Refinance Amortization1'!$T$19,'Senior Refinance Amortization1'!$B$19:$U$19,0)))</f>
        <v>0</v>
      </c>
      <c r="M109" s="837">
        <f>IF(OR('Financing Assumptions'!$H$44="No",M$9&lt;YEAR('Financing Assumptions'!$H$47)),0,INDEX('Senior Refinance Amortization1'!$B$19:$U$379,MATCH(DATE(M$9,12,31),'Senior Refinance Amortization1'!$E$19:$E$379,0),MATCH('Senior Refinance Amortization1'!$T$19,'Senior Refinance Amortization1'!$B$19:$U$19,0)))</f>
        <v>0</v>
      </c>
      <c r="N109" s="837">
        <f>IF(OR('Financing Assumptions'!$H$44="No",N$9&lt;YEAR('Financing Assumptions'!$H$47)),0,INDEX('Senior Refinance Amortization1'!$B$19:$U$379,MATCH(DATE(N$9,12,31),'Senior Refinance Amortization1'!$E$19:$E$379,0),MATCH('Senior Refinance Amortization1'!$T$19,'Senior Refinance Amortization1'!$B$19:$U$19,0)))</f>
        <v>0</v>
      </c>
      <c r="O109" s="837">
        <f>IF(OR('Financing Assumptions'!$H$44="No",O$9&lt;YEAR('Financing Assumptions'!$H$47)),0,INDEX('Senior Refinance Amortization1'!$B$19:$U$379,MATCH(DATE(O$9,12,31),'Senior Refinance Amortization1'!$E$19:$E$379,0),MATCH('Senior Refinance Amortization1'!$T$19,'Senior Refinance Amortization1'!$B$19:$U$19,0)))</f>
        <v>0</v>
      </c>
      <c r="P109" s="837">
        <f>IF(OR('Financing Assumptions'!$H$44="No",P$9&lt;YEAR('Financing Assumptions'!$H$47)),0,INDEX('Senior Refinance Amortization1'!$B$19:$U$379,MATCH(DATE(P$9,12,31),'Senior Refinance Amortization1'!$E$19:$E$379,0),MATCH('Senior Refinance Amortization1'!$T$19,'Senior Refinance Amortization1'!$B$19:$U$19,0)))</f>
        <v>0</v>
      </c>
      <c r="Q109" s="837">
        <f>IF(OR('Financing Assumptions'!$H$44="No",Q$9&lt;YEAR('Financing Assumptions'!$H$47)),0,INDEX('Senior Refinance Amortization1'!$B$19:$U$379,MATCH(DATE(Q$9,12,31),'Senior Refinance Amortization1'!$E$19:$E$379,0),MATCH('Senior Refinance Amortization1'!$T$19,'Senior Refinance Amortization1'!$B$19:$U$19,0)))</f>
        <v>0</v>
      </c>
      <c r="R109" s="837">
        <f>IF(OR('Financing Assumptions'!$H$44="No",R$9&lt;YEAR('Financing Assumptions'!$H$47)),0,INDEX('Senior Refinance Amortization1'!$B$19:$U$379,MATCH(DATE(R$9,12,31),'Senior Refinance Amortization1'!$E$19:$E$379,0),MATCH('Senior Refinance Amortization1'!$T$19,'Senior Refinance Amortization1'!$B$19:$U$19,0)))</f>
        <v>0</v>
      </c>
      <c r="S109" s="837">
        <f>IF(OR('Financing Assumptions'!$H$44="No",S$9&lt;YEAR('Financing Assumptions'!$H$47)),0,INDEX('Senior Refinance Amortization1'!$B$19:$U$379,MATCH(DATE(S$9,12,31),'Senior Refinance Amortization1'!$E$19:$E$379,0),MATCH('Senior Refinance Amortization1'!$T$19,'Senior Refinance Amortization1'!$B$19:$U$19,0)))</f>
        <v>0</v>
      </c>
      <c r="T109" s="43"/>
    </row>
    <row r="110" spans="4:20" ht="12.6" customHeight="1" x14ac:dyDescent="0.25">
      <c r="D110" s="43"/>
      <c r="F110" s="43"/>
      <c r="S110" s="74"/>
      <c r="T110" s="43"/>
    </row>
    <row r="111" spans="4:20" ht="12.6" hidden="1" customHeight="1" outlineLevel="1" x14ac:dyDescent="0.25">
      <c r="D111" s="43"/>
      <c r="E111" s="48" t="str">
        <f>IF('Financing Assumptions'!$P$8="No","Mezz 1",'Financing Assumptions'!$N$8)</f>
        <v>Mezz 1</v>
      </c>
      <c r="F111" s="43"/>
      <c r="S111" s="74"/>
      <c r="T111" s="43"/>
    </row>
    <row r="112" spans="4:20" ht="12.6" hidden="1" customHeight="1" outlineLevel="1" x14ac:dyDescent="0.25">
      <c r="D112" s="43"/>
      <c r="E112" s="834" t="s">
        <v>370</v>
      </c>
      <c r="F112" s="43"/>
      <c r="G112" s="835">
        <f>IF('Financing Assumptions'!$P$8="No",0,'Financing Assumptions'!$P$12)</f>
        <v>0</v>
      </c>
      <c r="H112" s="835">
        <f>IF('Financing Assumptions'!$P$8="No",0,'Financing Assumptions'!$P$12)</f>
        <v>0</v>
      </c>
      <c r="I112" s="835">
        <f>IF('Financing Assumptions'!$P$8="No",0,'Financing Assumptions'!$P$12)</f>
        <v>0</v>
      </c>
      <c r="J112" s="835"/>
      <c r="K112" s="835"/>
      <c r="L112" s="835">
        <f>IF('Financing Assumptions'!$P$8="No",0,'Financing Assumptions'!$P$12)</f>
        <v>0</v>
      </c>
      <c r="M112" s="835">
        <f>IF('Financing Assumptions'!$P$8="No",0,'Financing Assumptions'!$P$12)</f>
        <v>0</v>
      </c>
      <c r="N112" s="835">
        <f>IF('Financing Assumptions'!$P$8="No",0,'Financing Assumptions'!$P$12)</f>
        <v>0</v>
      </c>
      <c r="O112" s="835">
        <f>IF('Financing Assumptions'!$P$8="No",0,'Financing Assumptions'!$P$12)</f>
        <v>0</v>
      </c>
      <c r="P112" s="835">
        <f>IF('Financing Assumptions'!$P$8="No",0,'Financing Assumptions'!$P$12)</f>
        <v>0</v>
      </c>
      <c r="Q112" s="835">
        <f>IF('Financing Assumptions'!$P$8="No",0,'Financing Assumptions'!$P$12)</f>
        <v>0</v>
      </c>
      <c r="R112" s="835">
        <f>IF('Financing Assumptions'!$P$8="No",0,'Financing Assumptions'!$P$12)</f>
        <v>0</v>
      </c>
      <c r="S112" s="835">
        <f>IF('Financing Assumptions'!$P$8="No",0,'Financing Assumptions'!$P$12)</f>
        <v>0</v>
      </c>
      <c r="T112" s="43"/>
    </row>
    <row r="113" spans="4:20" ht="12.6" hidden="1" customHeight="1" outlineLevel="1" x14ac:dyDescent="0.25">
      <c r="D113" s="43"/>
      <c r="E113" s="834" t="s">
        <v>8</v>
      </c>
      <c r="F113" s="43"/>
      <c r="G113" s="836">
        <f>IF('Financing Assumptions'!$P$8="No",0,'Financing Assumptions'!$P$13)</f>
        <v>0</v>
      </c>
      <c r="H113" s="836">
        <f>IF('Financing Assumptions'!$P$8="No",0,'Financing Assumptions'!$P$13)</f>
        <v>0</v>
      </c>
      <c r="I113" s="836">
        <f>IF('Financing Assumptions'!$P$8="No",0,'Financing Assumptions'!$P$13)</f>
        <v>0</v>
      </c>
      <c r="J113" s="836"/>
      <c r="K113" s="836"/>
      <c r="L113" s="836">
        <f>IF('Financing Assumptions'!$P$8="No",0,'Financing Assumptions'!$P$13)</f>
        <v>0</v>
      </c>
      <c r="M113" s="836">
        <f>IF('Financing Assumptions'!$P$8="No",0,'Financing Assumptions'!$P$13)</f>
        <v>0</v>
      </c>
      <c r="N113" s="836">
        <f>IF('Financing Assumptions'!$P$8="No",0,'Financing Assumptions'!$P$13)</f>
        <v>0</v>
      </c>
      <c r="O113" s="836">
        <f>IF('Financing Assumptions'!$P$8="No",0,'Financing Assumptions'!$P$13)</f>
        <v>0</v>
      </c>
      <c r="P113" s="836">
        <f>IF('Financing Assumptions'!$P$8="No",0,'Financing Assumptions'!$P$13)</f>
        <v>0</v>
      </c>
      <c r="Q113" s="836">
        <f>IF('Financing Assumptions'!$P$8="No",0,'Financing Assumptions'!$P$13)</f>
        <v>0</v>
      </c>
      <c r="R113" s="836">
        <f>IF('Financing Assumptions'!$P$8="No",0,'Financing Assumptions'!$P$13)</f>
        <v>0</v>
      </c>
      <c r="S113" s="836">
        <f>IF('Financing Assumptions'!$P$8="No",0,'Financing Assumptions'!$P$13)</f>
        <v>0</v>
      </c>
      <c r="T113" s="43"/>
    </row>
    <row r="114" spans="4:20" ht="12.6" hidden="1" customHeight="1" outlineLevel="1" x14ac:dyDescent="0.25">
      <c r="D114" s="43"/>
      <c r="E114" s="48" t="s">
        <v>42</v>
      </c>
      <c r="F114" s="43"/>
      <c r="G114" s="800">
        <f>-IF('Financing Assumptions'!$P$8="No",0,INDEX('Mezz 1 Amortization'!$AC$19:$AM$49,MATCH(G$9,'Mezz 1 Amortization'!$AD$19:$AD$49,0),MATCH($E114,'Mezz 1 Amortization'!$AC$19:$AM$19,0)))</f>
        <v>0</v>
      </c>
      <c r="H114" s="800">
        <f>-IF('Financing Assumptions'!$P$8="No",0,INDEX('Mezz 1 Amortization'!$AC$19:$AM$49,MATCH(H$9,'Mezz 1 Amortization'!$AD$19:$AD$49,0),MATCH($E114,'Mezz 1 Amortization'!$AC$19:$AM$19,0)))</f>
        <v>0</v>
      </c>
      <c r="I114" s="800">
        <f>-IF('Financing Assumptions'!$P$8="No",0,INDEX('Mezz 1 Amortization'!$AC$19:$AM$49,MATCH(I$9,'Mezz 1 Amortization'!$AD$19:$AD$49,0),MATCH($E114,'Mezz 1 Amortization'!$AC$19:$AM$19,0)))</f>
        <v>0</v>
      </c>
      <c r="J114" s="800"/>
      <c r="K114" s="800"/>
      <c r="L114" s="800">
        <f>-IF('Financing Assumptions'!$P$8="No",0,INDEX('Mezz 1 Amortization'!$AC$19:$AM$49,MATCH(L$9,'Mezz 1 Amortization'!$AD$19:$AD$49,0),MATCH($E114,'Mezz 1 Amortization'!$AC$19:$AM$19,0)))</f>
        <v>0</v>
      </c>
      <c r="M114" s="800">
        <f>-IF('Financing Assumptions'!$P$8="No",0,INDEX('Mezz 1 Amortization'!$AC$19:$AM$49,MATCH(M$9,'Mezz 1 Amortization'!$AD$19:$AD$49,0),MATCH($E114,'Mezz 1 Amortization'!$AC$19:$AM$19,0)))</f>
        <v>0</v>
      </c>
      <c r="N114" s="800">
        <f>-IF('Financing Assumptions'!$P$8="No",0,INDEX('Mezz 1 Amortization'!$AC$19:$AM$49,MATCH(N$9,'Mezz 1 Amortization'!$AD$19:$AD$49,0),MATCH($E114,'Mezz 1 Amortization'!$AC$19:$AM$19,0)))</f>
        <v>0</v>
      </c>
      <c r="O114" s="800">
        <f>-IF('Financing Assumptions'!$P$8="No",0,INDEX('Mezz 1 Amortization'!$AC$19:$AM$49,MATCH(O$9,'Mezz 1 Amortization'!$AD$19:$AD$49,0),MATCH($E114,'Mezz 1 Amortization'!$AC$19:$AM$19,0)))</f>
        <v>0</v>
      </c>
      <c r="P114" s="800">
        <f>-IF('Financing Assumptions'!$P$8="No",0,INDEX('Mezz 1 Amortization'!$AC$19:$AM$49,MATCH(P$9,'Mezz 1 Amortization'!$AD$19:$AD$49,0),MATCH($E114,'Mezz 1 Amortization'!$AC$19:$AM$19,0)))</f>
        <v>0</v>
      </c>
      <c r="Q114" s="800">
        <f>-IF('Financing Assumptions'!$P$8="No",0,INDEX('Mezz 1 Amortization'!$AC$19:$AM$49,MATCH(Q$9,'Mezz 1 Amortization'!$AD$19:$AD$49,0),MATCH($E114,'Mezz 1 Amortization'!$AC$19:$AM$19,0)))</f>
        <v>0</v>
      </c>
      <c r="R114" s="800">
        <f>-IF('Financing Assumptions'!$P$8="No",0,INDEX('Mezz 1 Amortization'!$AC$19:$AM$49,MATCH(R$9,'Mezz 1 Amortization'!$AD$19:$AD$49,0),MATCH($E114,'Mezz 1 Amortization'!$AC$19:$AM$19,0)))</f>
        <v>0</v>
      </c>
      <c r="S114" s="800">
        <f>-IF('Financing Assumptions'!$P$8="No",0,INDEX('Mezz 1 Amortization'!$AC$19:$AM$49,MATCH(S$9,'Mezz 1 Amortization'!$AD$19:$AD$49,0),MATCH($E114,'Mezz 1 Amortization'!$AC$19:$AM$19,0)))</f>
        <v>0</v>
      </c>
      <c r="T114" s="43"/>
    </row>
    <row r="115" spans="4:20" ht="12.6" hidden="1" customHeight="1" outlineLevel="1" x14ac:dyDescent="0.25">
      <c r="D115" s="43"/>
      <c r="E115" s="764" t="s">
        <v>9</v>
      </c>
      <c r="F115" s="43"/>
      <c r="G115" s="837">
        <f>-IF('Financing Assumptions'!$P$8="No",0,INDEX('Mezz 1 Amortization'!$AC$19:$AM$49,MATCH(G$9,'Mezz 1 Amortization'!$AD$19:$AD$49,0),MATCH($E115,'Mezz 1 Amortization'!$AC$19:$AM$19,0)))</f>
        <v>0</v>
      </c>
      <c r="H115" s="837">
        <f>-IF('Financing Assumptions'!$P$8="No",0,INDEX('Mezz 1 Amortization'!$AC$19:$AM$49,MATCH(H$9,'Mezz 1 Amortization'!$AD$19:$AD$49,0),MATCH($E115,'Mezz 1 Amortization'!$AC$19:$AM$19,0)))</f>
        <v>0</v>
      </c>
      <c r="I115" s="837">
        <f>-IF('Financing Assumptions'!$P$8="No",0,INDEX('Mezz 1 Amortization'!$AC$19:$AM$49,MATCH(I$9,'Mezz 1 Amortization'!$AD$19:$AD$49,0),MATCH($E115,'Mezz 1 Amortization'!$AC$19:$AM$19,0)))</f>
        <v>0</v>
      </c>
      <c r="J115" s="837"/>
      <c r="K115" s="837"/>
      <c r="L115" s="837">
        <f>-IF('Financing Assumptions'!$P$8="No",0,INDEX('Mezz 1 Amortization'!$AC$19:$AM$49,MATCH(L$9,'Mezz 1 Amortization'!$AD$19:$AD$49,0),MATCH($E115,'Mezz 1 Amortization'!$AC$19:$AM$19,0)))</f>
        <v>0</v>
      </c>
      <c r="M115" s="837">
        <f>-IF('Financing Assumptions'!$P$8="No",0,INDEX('Mezz 1 Amortization'!$AC$19:$AM$49,MATCH(M$9,'Mezz 1 Amortization'!$AD$19:$AD$49,0),MATCH($E115,'Mezz 1 Amortization'!$AC$19:$AM$19,0)))</f>
        <v>0</v>
      </c>
      <c r="N115" s="837">
        <f>-IF('Financing Assumptions'!$P$8="No",0,INDEX('Mezz 1 Amortization'!$AC$19:$AM$49,MATCH(N$9,'Mezz 1 Amortization'!$AD$19:$AD$49,0),MATCH($E115,'Mezz 1 Amortization'!$AC$19:$AM$19,0)))</f>
        <v>0</v>
      </c>
      <c r="O115" s="837">
        <f>-IF('Financing Assumptions'!$P$8="No",0,INDEX('Mezz 1 Amortization'!$AC$19:$AM$49,MATCH(O$9,'Mezz 1 Amortization'!$AD$19:$AD$49,0),MATCH($E115,'Mezz 1 Amortization'!$AC$19:$AM$19,0)))</f>
        <v>0</v>
      </c>
      <c r="P115" s="837">
        <f>-IF('Financing Assumptions'!$P$8="No",0,INDEX('Mezz 1 Amortization'!$AC$19:$AM$49,MATCH(P$9,'Mezz 1 Amortization'!$AD$19:$AD$49,0),MATCH($E115,'Mezz 1 Amortization'!$AC$19:$AM$19,0)))</f>
        <v>0</v>
      </c>
      <c r="Q115" s="837">
        <f>-IF('Financing Assumptions'!$P$8="No",0,INDEX('Mezz 1 Amortization'!$AC$19:$AM$49,MATCH(Q$9,'Mezz 1 Amortization'!$AD$19:$AD$49,0),MATCH($E115,'Mezz 1 Amortization'!$AC$19:$AM$19,0)))</f>
        <v>0</v>
      </c>
      <c r="R115" s="837">
        <f>-IF('Financing Assumptions'!$P$8="No",0,INDEX('Mezz 1 Amortization'!$AC$19:$AM$49,MATCH(R$9,'Mezz 1 Amortization'!$AD$19:$AD$49,0),MATCH($E115,'Mezz 1 Amortization'!$AC$19:$AM$19,0)))</f>
        <v>0</v>
      </c>
      <c r="S115" s="837">
        <f>-IF('Financing Assumptions'!$P$8="No",0,INDEX('Mezz 1 Amortization'!$AC$19:$AM$49,MATCH(S$9,'Mezz 1 Amortization'!$AD$19:$AD$49,0),MATCH($E115,'Mezz 1 Amortization'!$AC$19:$AM$19,0)))</f>
        <v>0</v>
      </c>
      <c r="T115" s="43"/>
    </row>
    <row r="116" spans="4:20" ht="12.6" hidden="1" customHeight="1" outlineLevel="1" x14ac:dyDescent="0.25">
      <c r="D116" s="43"/>
      <c r="E116" s="764" t="s">
        <v>43</v>
      </c>
      <c r="F116" s="43"/>
      <c r="G116" s="837">
        <f>-IF('Financing Assumptions'!$P$8="No",0,INDEX('Mezz 1 Amortization'!$AC$19:$AM$49,MATCH(G$9,'Mezz 1 Amortization'!$AD$19:$AD$49,0),MATCH($E116,'Mezz 1 Amortization'!$AC$19:$AM$19,0)))</f>
        <v>0</v>
      </c>
      <c r="H116" s="837">
        <f>-IF('Financing Assumptions'!$P$8="No",0,INDEX('Mezz 1 Amortization'!$AC$19:$AM$49,MATCH(H$9,'Mezz 1 Amortization'!$AD$19:$AD$49,0),MATCH($E116,'Mezz 1 Amortization'!$AC$19:$AM$19,0)))</f>
        <v>0</v>
      </c>
      <c r="I116" s="837">
        <f>-IF('Financing Assumptions'!$P$8="No",0,INDEX('Mezz 1 Amortization'!$AC$19:$AM$49,MATCH(I$9,'Mezz 1 Amortization'!$AD$19:$AD$49,0),MATCH($E116,'Mezz 1 Amortization'!$AC$19:$AM$19,0)))</f>
        <v>0</v>
      </c>
      <c r="J116" s="837"/>
      <c r="K116" s="837"/>
      <c r="L116" s="837">
        <f>-IF('Financing Assumptions'!$P$8="No",0,INDEX('Mezz 1 Amortization'!$AC$19:$AM$49,MATCH(L$9,'Mezz 1 Amortization'!$AD$19:$AD$49,0),MATCH($E116,'Mezz 1 Amortization'!$AC$19:$AM$19,0)))</f>
        <v>0</v>
      </c>
      <c r="M116" s="837">
        <f>-IF('Financing Assumptions'!$P$8="No",0,INDEX('Mezz 1 Amortization'!$AC$19:$AM$49,MATCH(M$9,'Mezz 1 Amortization'!$AD$19:$AD$49,0),MATCH($E116,'Mezz 1 Amortization'!$AC$19:$AM$19,0)))</f>
        <v>0</v>
      </c>
      <c r="N116" s="837">
        <f>-IF('Financing Assumptions'!$P$8="No",0,INDEX('Mezz 1 Amortization'!$AC$19:$AM$49,MATCH(N$9,'Mezz 1 Amortization'!$AD$19:$AD$49,0),MATCH($E116,'Mezz 1 Amortization'!$AC$19:$AM$19,0)))</f>
        <v>0</v>
      </c>
      <c r="O116" s="837">
        <f>-IF('Financing Assumptions'!$P$8="No",0,INDEX('Mezz 1 Amortization'!$AC$19:$AM$49,MATCH(O$9,'Mezz 1 Amortization'!$AD$19:$AD$49,0),MATCH($E116,'Mezz 1 Amortization'!$AC$19:$AM$19,0)))</f>
        <v>0</v>
      </c>
      <c r="P116" s="837">
        <f>-IF('Financing Assumptions'!$P$8="No",0,INDEX('Mezz 1 Amortization'!$AC$19:$AM$49,MATCH(P$9,'Mezz 1 Amortization'!$AD$19:$AD$49,0),MATCH($E116,'Mezz 1 Amortization'!$AC$19:$AM$19,0)))</f>
        <v>0</v>
      </c>
      <c r="Q116" s="837">
        <f>-IF('Financing Assumptions'!$P$8="No",0,INDEX('Mezz 1 Amortization'!$AC$19:$AM$49,MATCH(Q$9,'Mezz 1 Amortization'!$AD$19:$AD$49,0),MATCH($E116,'Mezz 1 Amortization'!$AC$19:$AM$19,0)))</f>
        <v>0</v>
      </c>
      <c r="R116" s="837">
        <f>-IF('Financing Assumptions'!$P$8="No",0,INDEX('Mezz 1 Amortization'!$AC$19:$AM$49,MATCH(R$9,'Mezz 1 Amortization'!$AD$19:$AD$49,0),MATCH($E116,'Mezz 1 Amortization'!$AC$19:$AM$19,0)))</f>
        <v>0</v>
      </c>
      <c r="S116" s="837">
        <f>-IF('Financing Assumptions'!$P$8="No",0,INDEX('Mezz 1 Amortization'!$AC$19:$AM$49,MATCH(S$9,'Mezz 1 Amortization'!$AD$19:$AD$49,0),MATCH($E116,'Mezz 1 Amortization'!$AC$19:$AM$19,0)))</f>
        <v>0</v>
      </c>
      <c r="T116" s="43"/>
    </row>
    <row r="117" spans="4:20" ht="12.6" hidden="1" customHeight="1" outlineLevel="1" x14ac:dyDescent="0.25">
      <c r="D117" s="43"/>
      <c r="E117" s="764" t="s">
        <v>40</v>
      </c>
      <c r="F117" s="43"/>
      <c r="G117" s="837">
        <f>IF('Financing Assumptions'!$P$8="No",0,INDEX('Mezz 1 Amortization'!$AD$19:$AN$49,MATCH(G$9,'Mezz 1 Amortization'!$AD$19:$AD$49,0),MATCH('Mezz 1 Amortization'!$AM$19,'Mezz 1 Amortization'!$AD$19:$AN$19,0)))</f>
        <v>0</v>
      </c>
      <c r="H117" s="837">
        <f>IF('Financing Assumptions'!$P$8="No",0,INDEX('Mezz 1 Amortization'!$AD$19:$AN$49,MATCH(H$9,'Mezz 1 Amortization'!$AD$19:$AD$49,0),MATCH('Mezz 1 Amortization'!$AM$19,'Mezz 1 Amortization'!$AD$19:$AN$19,0)))</f>
        <v>0</v>
      </c>
      <c r="I117" s="837">
        <f>IF('Financing Assumptions'!$P$8="No",0,INDEX('Mezz 1 Amortization'!$AD$19:$AN$49,MATCH(I$9,'Mezz 1 Amortization'!$AD$19:$AD$49,0),MATCH('Mezz 1 Amortization'!$AM$19,'Mezz 1 Amortization'!$AD$19:$AN$19,0)))</f>
        <v>0</v>
      </c>
      <c r="J117" s="837"/>
      <c r="K117" s="837"/>
      <c r="L117" s="837">
        <f>IF('Financing Assumptions'!$P$8="No",0,INDEX('Mezz 1 Amortization'!$AD$19:$AN$49,MATCH(L$9,'Mezz 1 Amortization'!$AD$19:$AD$49,0),MATCH('Mezz 1 Amortization'!$AM$19,'Mezz 1 Amortization'!$AD$19:$AN$19,0)))</f>
        <v>0</v>
      </c>
      <c r="M117" s="837">
        <f>IF('Financing Assumptions'!$P$8="No",0,INDEX('Mezz 1 Amortization'!$AD$19:$AN$49,MATCH(M$9,'Mezz 1 Amortization'!$AD$19:$AD$49,0),MATCH('Mezz 1 Amortization'!$AM$19,'Mezz 1 Amortization'!$AD$19:$AN$19,0)))</f>
        <v>0</v>
      </c>
      <c r="N117" s="837">
        <f>IF('Financing Assumptions'!$P$8="No",0,INDEX('Mezz 1 Amortization'!$AD$19:$AN$49,MATCH(N$9,'Mezz 1 Amortization'!$AD$19:$AD$49,0),MATCH('Mezz 1 Amortization'!$AM$19,'Mezz 1 Amortization'!$AD$19:$AN$19,0)))</f>
        <v>0</v>
      </c>
      <c r="O117" s="837">
        <f>IF('Financing Assumptions'!$P$8="No",0,INDEX('Mezz 1 Amortization'!$AD$19:$AN$49,MATCH(O$9,'Mezz 1 Amortization'!$AD$19:$AD$49,0),MATCH('Mezz 1 Amortization'!$AM$19,'Mezz 1 Amortization'!$AD$19:$AN$19,0)))</f>
        <v>0</v>
      </c>
      <c r="P117" s="837">
        <f>IF('Financing Assumptions'!$P$8="No",0,INDEX('Mezz 1 Amortization'!$AD$19:$AN$49,MATCH(P$9,'Mezz 1 Amortization'!$AD$19:$AD$49,0),MATCH('Mezz 1 Amortization'!$AM$19,'Mezz 1 Amortization'!$AD$19:$AN$19,0)))</f>
        <v>0</v>
      </c>
      <c r="Q117" s="837">
        <f>IF('Financing Assumptions'!$P$8="No",0,INDEX('Mezz 1 Amortization'!$AD$19:$AN$49,MATCH(Q$9,'Mezz 1 Amortization'!$AD$19:$AD$49,0),MATCH('Mezz 1 Amortization'!$AM$19,'Mezz 1 Amortization'!$AD$19:$AN$19,0)))</f>
        <v>0</v>
      </c>
      <c r="R117" s="837">
        <f>IF('Financing Assumptions'!$P$8="No",0,INDEX('Mezz 1 Amortization'!$AD$19:$AN$49,MATCH(R$9,'Mezz 1 Amortization'!$AD$19:$AD$49,0),MATCH('Mezz 1 Amortization'!$AM$19,'Mezz 1 Amortization'!$AD$19:$AN$19,0)))</f>
        <v>0</v>
      </c>
      <c r="S117" s="837">
        <f>IF('Financing Assumptions'!$P$8="No",0,INDEX('Mezz 1 Amortization'!$AD$19:$AN$49,MATCH(S$9,'Mezz 1 Amortization'!$AD$19:$AD$49,0),MATCH('Mezz 1 Amortization'!$AM$19,'Mezz 1 Amortization'!$AD$19:$AN$19,0)))</f>
        <v>0</v>
      </c>
      <c r="T117" s="43"/>
    </row>
    <row r="118" spans="4:20" ht="12.6" customHeight="1" collapsed="1" x14ac:dyDescent="0.25">
      <c r="D118" s="43"/>
      <c r="E118" s="764"/>
      <c r="F118" s="43"/>
      <c r="G118" s="837"/>
      <c r="H118" s="837"/>
      <c r="I118" s="837"/>
      <c r="J118" s="837"/>
      <c r="K118" s="837"/>
      <c r="L118" s="837"/>
      <c r="M118" s="837"/>
      <c r="N118" s="837"/>
      <c r="O118" s="837"/>
      <c r="P118" s="837"/>
      <c r="Q118" s="837"/>
      <c r="R118" s="837"/>
      <c r="S118" s="838"/>
      <c r="T118" s="43"/>
    </row>
    <row r="119" spans="4:20" ht="12.6" hidden="1" customHeight="1" outlineLevel="1" x14ac:dyDescent="0.25">
      <c r="D119" s="43"/>
      <c r="E119" s="48" t="str">
        <f>IF('Financing Assumptions'!$T$8="No","Mezz 2",'Financing Assumptions'!$R$8)</f>
        <v>Mezz 2</v>
      </c>
      <c r="F119" s="43"/>
      <c r="G119" s="837"/>
      <c r="H119" s="837"/>
      <c r="I119" s="837"/>
      <c r="J119" s="837"/>
      <c r="K119" s="837"/>
      <c r="L119" s="837"/>
      <c r="M119" s="837"/>
      <c r="N119" s="837"/>
      <c r="O119" s="837"/>
      <c r="P119" s="837"/>
      <c r="Q119" s="837"/>
      <c r="R119" s="837"/>
      <c r="S119" s="838"/>
      <c r="T119" s="43"/>
    </row>
    <row r="120" spans="4:20" ht="12.6" hidden="1" customHeight="1" outlineLevel="1" x14ac:dyDescent="0.25">
      <c r="D120" s="43"/>
      <c r="E120" s="834" t="s">
        <v>370</v>
      </c>
      <c r="F120" s="43"/>
      <c r="G120" s="835">
        <f>IF('Financing Assumptions'!$T$8="No",0,'Financing Assumptions'!$T$12)</f>
        <v>0</v>
      </c>
      <c r="H120" s="835">
        <f>IF('Financing Assumptions'!$T$8="No",0,'Financing Assumptions'!$T$12)</f>
        <v>0</v>
      </c>
      <c r="I120" s="835">
        <f>IF('Financing Assumptions'!$T$8="No",0,'Financing Assumptions'!$T$12)</f>
        <v>0</v>
      </c>
      <c r="J120" s="835"/>
      <c r="K120" s="835"/>
      <c r="L120" s="835">
        <f>IF('Financing Assumptions'!$T$8="No",0,'Financing Assumptions'!$T$12)</f>
        <v>0</v>
      </c>
      <c r="M120" s="835">
        <f>IF('Financing Assumptions'!$T$8="No",0,'Financing Assumptions'!$T$12)</f>
        <v>0</v>
      </c>
      <c r="N120" s="835">
        <f>IF('Financing Assumptions'!$T$8="No",0,'Financing Assumptions'!$T$12)</f>
        <v>0</v>
      </c>
      <c r="O120" s="835">
        <f>IF('Financing Assumptions'!$T$8="No",0,'Financing Assumptions'!$T$12)</f>
        <v>0</v>
      </c>
      <c r="P120" s="835">
        <f>IF('Financing Assumptions'!$T$8="No",0,'Financing Assumptions'!$T$12)</f>
        <v>0</v>
      </c>
      <c r="Q120" s="835">
        <f>IF('Financing Assumptions'!$T$8="No",0,'Financing Assumptions'!$T$12)</f>
        <v>0</v>
      </c>
      <c r="R120" s="835">
        <f>IF('Financing Assumptions'!$T$8="No",0,'Financing Assumptions'!$T$12)</f>
        <v>0</v>
      </c>
      <c r="S120" s="835">
        <f>IF('Financing Assumptions'!$T$8="No",0,'Financing Assumptions'!$T$12)</f>
        <v>0</v>
      </c>
      <c r="T120" s="43"/>
    </row>
    <row r="121" spans="4:20" ht="12.6" hidden="1" customHeight="1" outlineLevel="1" x14ac:dyDescent="0.25">
      <c r="D121" s="43"/>
      <c r="E121" s="834" t="s">
        <v>8</v>
      </c>
      <c r="F121" s="43"/>
      <c r="G121" s="836">
        <f>IF('Financing Assumptions'!$T$8="No",0,'Financing Assumptions'!$T$13)</f>
        <v>0</v>
      </c>
      <c r="H121" s="836">
        <f>IF('Financing Assumptions'!$T$8="No",0,'Financing Assumptions'!$T$13)</f>
        <v>0</v>
      </c>
      <c r="I121" s="836">
        <f>IF('Financing Assumptions'!$T$8="No",0,'Financing Assumptions'!$T$13)</f>
        <v>0</v>
      </c>
      <c r="J121" s="836"/>
      <c r="K121" s="836"/>
      <c r="L121" s="836">
        <f>IF('Financing Assumptions'!$T$8="No",0,'Financing Assumptions'!$T$13)</f>
        <v>0</v>
      </c>
      <c r="M121" s="836">
        <f>IF('Financing Assumptions'!$T$8="No",0,'Financing Assumptions'!$T$13)</f>
        <v>0</v>
      </c>
      <c r="N121" s="836">
        <f>IF('Financing Assumptions'!$T$8="No",0,'Financing Assumptions'!$T$13)</f>
        <v>0</v>
      </c>
      <c r="O121" s="836">
        <f>IF('Financing Assumptions'!$T$8="No",0,'Financing Assumptions'!$T$13)</f>
        <v>0</v>
      </c>
      <c r="P121" s="836">
        <f>IF('Financing Assumptions'!$T$8="No",0,'Financing Assumptions'!$T$13)</f>
        <v>0</v>
      </c>
      <c r="Q121" s="836">
        <f>IF('Financing Assumptions'!$T$8="No",0,'Financing Assumptions'!$T$13)</f>
        <v>0</v>
      </c>
      <c r="R121" s="836">
        <f>IF('Financing Assumptions'!$T$8="No",0,'Financing Assumptions'!$T$13)</f>
        <v>0</v>
      </c>
      <c r="S121" s="836">
        <f>IF('Financing Assumptions'!$T$8="No",0,'Financing Assumptions'!$T$13)</f>
        <v>0</v>
      </c>
      <c r="T121" s="43"/>
    </row>
    <row r="122" spans="4:20" ht="12.6" hidden="1" customHeight="1" outlineLevel="1" x14ac:dyDescent="0.25">
      <c r="D122" s="43"/>
      <c r="E122" s="48" t="s">
        <v>42</v>
      </c>
      <c r="F122" s="43"/>
      <c r="G122" s="800">
        <f>-IF(OR('Financing Assumptions'!$T$8="No",'Financing Assumptions'!$T$24&gt;G$9),0,INDEX('Mezz 2 Amortization'!$AC$19:$AM$49,MATCH(G$9,'Mezz 2 Amortization'!$AD$19:$AD$49,0),MATCH($E122,'Mezz 2 Amortization'!$AC$19:$AM$19,0)))</f>
        <v>0</v>
      </c>
      <c r="H122" s="800">
        <f>-IF(OR('Financing Assumptions'!$T$8="No",'Financing Assumptions'!$T$24&gt;H$9),0,INDEX('Mezz 2 Amortization'!$AC$19:$AM$49,MATCH(H$9,'Mezz 2 Amortization'!$AD$19:$AD$49,0),MATCH($E122,'Mezz 2 Amortization'!$AC$19:$AM$19,0)))</f>
        <v>0</v>
      </c>
      <c r="I122" s="800">
        <f>-IF(OR('Financing Assumptions'!$T$8="No",'Financing Assumptions'!$T$24&gt;I$9),0,INDEX('Mezz 2 Amortization'!$AC$19:$AM$49,MATCH(I$9,'Mezz 2 Amortization'!$AD$19:$AD$49,0),MATCH($E122,'Mezz 2 Amortization'!$AC$19:$AM$19,0)))</f>
        <v>0</v>
      </c>
      <c r="J122" s="800"/>
      <c r="K122" s="800"/>
      <c r="L122" s="800">
        <f>-IF(OR('Financing Assumptions'!$T$8="No",'Financing Assumptions'!$T$24&gt;L$9),0,INDEX('Mezz 2 Amortization'!$AC$19:$AM$49,MATCH(L$9,'Mezz 2 Amortization'!$AD$19:$AD$49,0),MATCH($E122,'Mezz 2 Amortization'!$AC$19:$AM$19,0)))</f>
        <v>0</v>
      </c>
      <c r="M122" s="800">
        <f>-IF(OR('Financing Assumptions'!$T$8="No",'Financing Assumptions'!$T$24&gt;M$9),0,INDEX('Mezz 2 Amortization'!$AC$19:$AM$49,MATCH(M$9,'Mezz 2 Amortization'!$AD$19:$AD$49,0),MATCH($E122,'Mezz 2 Amortization'!$AC$19:$AM$19,0)))</f>
        <v>0</v>
      </c>
      <c r="N122" s="800">
        <f>-IF(OR('Financing Assumptions'!$T$8="No",'Financing Assumptions'!$T$24&gt;N$9),0,INDEX('Mezz 2 Amortization'!$AC$19:$AM$49,MATCH(N$9,'Mezz 2 Amortization'!$AD$19:$AD$49,0),MATCH($E122,'Mezz 2 Amortization'!$AC$19:$AM$19,0)))</f>
        <v>0</v>
      </c>
      <c r="O122" s="800">
        <f>-IF(OR('Financing Assumptions'!$T$8="No",'Financing Assumptions'!$T$24&gt;O$9),0,INDEX('Mezz 2 Amortization'!$AC$19:$AM$49,MATCH(O$9,'Mezz 2 Amortization'!$AD$19:$AD$49,0),MATCH($E122,'Mezz 2 Amortization'!$AC$19:$AM$19,0)))</f>
        <v>0</v>
      </c>
      <c r="P122" s="800">
        <f>-IF(OR('Financing Assumptions'!$T$8="No",'Financing Assumptions'!$T$24&gt;P$9),0,INDEX('Mezz 2 Amortization'!$AC$19:$AM$49,MATCH(P$9,'Mezz 2 Amortization'!$AD$19:$AD$49,0),MATCH($E122,'Mezz 2 Amortization'!$AC$19:$AM$19,0)))</f>
        <v>0</v>
      </c>
      <c r="Q122" s="800">
        <f>-IF(OR('Financing Assumptions'!$T$8="No",'Financing Assumptions'!$T$24&gt;Q$9),0,INDEX('Mezz 2 Amortization'!$AC$19:$AM$49,MATCH(Q$9,'Mezz 2 Amortization'!$AD$19:$AD$49,0),MATCH($E122,'Mezz 2 Amortization'!$AC$19:$AM$19,0)))</f>
        <v>0</v>
      </c>
      <c r="R122" s="800">
        <f>-IF(OR('Financing Assumptions'!$T$8="No",'Financing Assumptions'!$T$24&gt;R$9),0,INDEX('Mezz 2 Amortization'!$AC$19:$AM$49,MATCH(R$9,'Mezz 2 Amortization'!$AD$19:$AD$49,0),MATCH($E122,'Mezz 2 Amortization'!$AC$19:$AM$19,0)))</f>
        <v>0</v>
      </c>
      <c r="S122" s="800">
        <f>-IF(OR('Financing Assumptions'!$T$8="No",'Financing Assumptions'!$T$24&gt;S$9),0,INDEX('Mezz 2 Amortization'!$AC$19:$AM$49,MATCH(S$9,'Mezz 2 Amortization'!$AD$19:$AD$49,0),MATCH($E122,'Mezz 2 Amortization'!$AC$19:$AM$19,0)))</f>
        <v>0</v>
      </c>
      <c r="T122" s="43"/>
    </row>
    <row r="123" spans="4:20" ht="12.6" hidden="1" customHeight="1" outlineLevel="1" x14ac:dyDescent="0.25">
      <c r="D123" s="43"/>
      <c r="E123" s="764" t="s">
        <v>9</v>
      </c>
      <c r="F123" s="43"/>
      <c r="G123" s="837">
        <f>-IF(OR('Financing Assumptions'!$T$8="No",'Financing Assumptions'!$T$24&gt;G$9),0,INDEX('Mezz 2 Amortization'!$AC$19:$AM$49,MATCH(G$9,'Mezz 2 Amortization'!$AD$19:$AD$49,0),MATCH($E123,'Mezz 2 Amortization'!$AC$19:$AM$19,0)))</f>
        <v>0</v>
      </c>
      <c r="H123" s="837">
        <f>-IF(OR('Financing Assumptions'!$T$8="No",'Financing Assumptions'!$T$24&gt;H$9),0,INDEX('Mezz 2 Amortization'!$AC$19:$AM$49,MATCH(H$9,'Mezz 2 Amortization'!$AD$19:$AD$49,0),MATCH($E123,'Mezz 2 Amortization'!$AC$19:$AM$19,0)))</f>
        <v>0</v>
      </c>
      <c r="I123" s="837">
        <f>-IF(OR('Financing Assumptions'!$T$8="No",'Financing Assumptions'!$T$24&gt;I$9),0,INDEX('Mezz 2 Amortization'!$AC$19:$AM$49,MATCH(I$9,'Mezz 2 Amortization'!$AD$19:$AD$49,0),MATCH($E123,'Mezz 2 Amortization'!$AC$19:$AM$19,0)))</f>
        <v>0</v>
      </c>
      <c r="J123" s="837"/>
      <c r="K123" s="837"/>
      <c r="L123" s="837">
        <f>-IF(OR('Financing Assumptions'!$T$8="No",'Financing Assumptions'!$T$24&gt;L$9),0,INDEX('Mezz 2 Amortization'!$AC$19:$AM$49,MATCH(L$9,'Mezz 2 Amortization'!$AD$19:$AD$49,0),MATCH($E123,'Mezz 2 Amortization'!$AC$19:$AM$19,0)))</f>
        <v>0</v>
      </c>
      <c r="M123" s="837">
        <f>-IF(OR('Financing Assumptions'!$T$8="No",'Financing Assumptions'!$T$24&gt;M$9),0,INDEX('Mezz 2 Amortization'!$AC$19:$AM$49,MATCH(M$9,'Mezz 2 Amortization'!$AD$19:$AD$49,0),MATCH($E123,'Mezz 2 Amortization'!$AC$19:$AM$19,0)))</f>
        <v>0</v>
      </c>
      <c r="N123" s="837">
        <f>-IF(OR('Financing Assumptions'!$T$8="No",'Financing Assumptions'!$T$24&gt;N$9),0,INDEX('Mezz 2 Amortization'!$AC$19:$AM$49,MATCH(N$9,'Mezz 2 Amortization'!$AD$19:$AD$49,0),MATCH($E123,'Mezz 2 Amortization'!$AC$19:$AM$19,0)))</f>
        <v>0</v>
      </c>
      <c r="O123" s="837">
        <f>-IF(OR('Financing Assumptions'!$T$8="No",'Financing Assumptions'!$T$24&gt;O$9),0,INDEX('Mezz 2 Amortization'!$AC$19:$AM$49,MATCH(O$9,'Mezz 2 Amortization'!$AD$19:$AD$49,0),MATCH($E123,'Mezz 2 Amortization'!$AC$19:$AM$19,0)))</f>
        <v>0</v>
      </c>
      <c r="P123" s="837">
        <f>-IF(OR('Financing Assumptions'!$T$8="No",'Financing Assumptions'!$T$24&gt;P$9),0,INDEX('Mezz 2 Amortization'!$AC$19:$AM$49,MATCH(P$9,'Mezz 2 Amortization'!$AD$19:$AD$49,0),MATCH($E123,'Mezz 2 Amortization'!$AC$19:$AM$19,0)))</f>
        <v>0</v>
      </c>
      <c r="Q123" s="837">
        <f>-IF(OR('Financing Assumptions'!$T$8="No",'Financing Assumptions'!$T$24&gt;Q$9),0,INDEX('Mezz 2 Amortization'!$AC$19:$AM$49,MATCH(Q$9,'Mezz 2 Amortization'!$AD$19:$AD$49,0),MATCH($E123,'Mezz 2 Amortization'!$AC$19:$AM$19,0)))</f>
        <v>0</v>
      </c>
      <c r="R123" s="837">
        <f>-IF(OR('Financing Assumptions'!$T$8="No",'Financing Assumptions'!$T$24&gt;R$9),0,INDEX('Mezz 2 Amortization'!$AC$19:$AM$49,MATCH(R$9,'Mezz 2 Amortization'!$AD$19:$AD$49,0),MATCH($E123,'Mezz 2 Amortization'!$AC$19:$AM$19,0)))</f>
        <v>0</v>
      </c>
      <c r="S123" s="837">
        <f>-IF(OR('Financing Assumptions'!$T$8="No",'Financing Assumptions'!$T$24&gt;S$9),0,INDEX('Mezz 2 Amortization'!$AC$19:$AM$49,MATCH(S$9,'Mezz 2 Amortization'!$AD$19:$AD$49,0),MATCH($E123,'Mezz 2 Amortization'!$AC$19:$AM$19,0)))</f>
        <v>0</v>
      </c>
      <c r="T123" s="43"/>
    </row>
    <row r="124" spans="4:20" ht="12.6" hidden="1" customHeight="1" outlineLevel="1" x14ac:dyDescent="0.25">
      <c r="D124" s="43"/>
      <c r="E124" s="764" t="s">
        <v>43</v>
      </c>
      <c r="F124" s="43"/>
      <c r="G124" s="837">
        <f>-IF(OR('Financing Assumptions'!$T$8="No",'Financing Assumptions'!$T$24&gt;G$9),0,INDEX('Mezz 2 Amortization'!$AC$19:$AM$49,MATCH(G$9,'Mezz 2 Amortization'!$AD$19:$AD$49,0),MATCH($E124,'Mezz 2 Amortization'!$AC$19:$AM$19,0)))</f>
        <v>0</v>
      </c>
      <c r="H124" s="837">
        <f>-IF(OR('Financing Assumptions'!$T$8="No",'Financing Assumptions'!$T$24&gt;H$9),0,INDEX('Mezz 2 Amortization'!$AC$19:$AM$49,MATCH(H$9,'Mezz 2 Amortization'!$AD$19:$AD$49,0),MATCH($E124,'Mezz 2 Amortization'!$AC$19:$AM$19,0)))</f>
        <v>0</v>
      </c>
      <c r="I124" s="837">
        <f>-IF(OR('Financing Assumptions'!$T$8="No",'Financing Assumptions'!$T$24&gt;I$9),0,INDEX('Mezz 2 Amortization'!$AC$19:$AM$49,MATCH(I$9,'Mezz 2 Amortization'!$AD$19:$AD$49,0),MATCH($E124,'Mezz 2 Amortization'!$AC$19:$AM$19,0)))</f>
        <v>0</v>
      </c>
      <c r="J124" s="837"/>
      <c r="K124" s="837"/>
      <c r="L124" s="837">
        <f>-IF(OR('Financing Assumptions'!$T$8="No",'Financing Assumptions'!$T$24&gt;L$9),0,INDEX('Mezz 2 Amortization'!$AC$19:$AM$49,MATCH(L$9,'Mezz 2 Amortization'!$AD$19:$AD$49,0),MATCH($E124,'Mezz 2 Amortization'!$AC$19:$AM$19,0)))</f>
        <v>0</v>
      </c>
      <c r="M124" s="837">
        <f>-IF(OR('Financing Assumptions'!$T$8="No",'Financing Assumptions'!$T$24&gt;M$9),0,INDEX('Mezz 2 Amortization'!$AC$19:$AM$49,MATCH(M$9,'Mezz 2 Amortization'!$AD$19:$AD$49,0),MATCH($E124,'Mezz 2 Amortization'!$AC$19:$AM$19,0)))</f>
        <v>0</v>
      </c>
      <c r="N124" s="837">
        <f>-IF(OR('Financing Assumptions'!$T$8="No",'Financing Assumptions'!$T$24&gt;N$9),0,INDEX('Mezz 2 Amortization'!$AC$19:$AM$49,MATCH(N$9,'Mezz 2 Amortization'!$AD$19:$AD$49,0),MATCH($E124,'Mezz 2 Amortization'!$AC$19:$AM$19,0)))</f>
        <v>0</v>
      </c>
      <c r="O124" s="837">
        <f>-IF(OR('Financing Assumptions'!$T$8="No",'Financing Assumptions'!$T$24&gt;O$9),0,INDEX('Mezz 2 Amortization'!$AC$19:$AM$49,MATCH(O$9,'Mezz 2 Amortization'!$AD$19:$AD$49,0),MATCH($E124,'Mezz 2 Amortization'!$AC$19:$AM$19,0)))</f>
        <v>0</v>
      </c>
      <c r="P124" s="837">
        <f>-IF(OR('Financing Assumptions'!$T$8="No",'Financing Assumptions'!$T$24&gt;P$9),0,INDEX('Mezz 2 Amortization'!$AC$19:$AM$49,MATCH(P$9,'Mezz 2 Amortization'!$AD$19:$AD$49,0),MATCH($E124,'Mezz 2 Amortization'!$AC$19:$AM$19,0)))</f>
        <v>0</v>
      </c>
      <c r="Q124" s="837">
        <f>-IF(OR('Financing Assumptions'!$T$8="No",'Financing Assumptions'!$T$24&gt;Q$9),0,INDEX('Mezz 2 Amortization'!$AC$19:$AM$49,MATCH(Q$9,'Mezz 2 Amortization'!$AD$19:$AD$49,0),MATCH($E124,'Mezz 2 Amortization'!$AC$19:$AM$19,0)))</f>
        <v>0</v>
      </c>
      <c r="R124" s="837">
        <f>-IF(OR('Financing Assumptions'!$T$8="No",'Financing Assumptions'!$T$24&gt;R$9),0,INDEX('Mezz 2 Amortization'!$AC$19:$AM$49,MATCH(R$9,'Mezz 2 Amortization'!$AD$19:$AD$49,0),MATCH($E124,'Mezz 2 Amortization'!$AC$19:$AM$19,0)))</f>
        <v>0</v>
      </c>
      <c r="S124" s="837">
        <f>-IF(OR('Financing Assumptions'!$T$8="No",'Financing Assumptions'!$T$24&gt;S$9),0,INDEX('Mezz 2 Amortization'!$AC$19:$AM$49,MATCH(S$9,'Mezz 2 Amortization'!$AD$19:$AD$49,0),MATCH($E124,'Mezz 2 Amortization'!$AC$19:$AM$19,0)))</f>
        <v>0</v>
      </c>
      <c r="T124" s="43"/>
    </row>
    <row r="125" spans="4:20" ht="12.6" hidden="1" customHeight="1" outlineLevel="1" x14ac:dyDescent="0.25">
      <c r="D125" s="43"/>
      <c r="E125" s="764" t="s">
        <v>40</v>
      </c>
      <c r="F125" s="43"/>
      <c r="G125" s="837">
        <f>IF('Financing Assumptions'!$T$8="No",0,INDEX('Mezz 2 Amortization'!$AD$19:$AN$49,MATCH(G$9,'Mezz 2 Amortization'!$AD$19:$AD$49,0),MATCH('Mezz 2 Amortization'!$AM$19,'Mezz 2 Amortization'!$AD$19:$AN$19,0)))</f>
        <v>0</v>
      </c>
      <c r="H125" s="837">
        <f>IF('Financing Assumptions'!$T$8="No",0,INDEX('Mezz 2 Amortization'!$AD$19:$AN$49,MATCH(H$9,'Mezz 2 Amortization'!$AD$19:$AD$49,0),MATCH('Mezz 2 Amortization'!$AM$19,'Mezz 2 Amortization'!$AD$19:$AN$19,0)))</f>
        <v>0</v>
      </c>
      <c r="I125" s="837">
        <f>IF('Financing Assumptions'!$T$8="No",0,INDEX('Mezz 2 Amortization'!$AD$19:$AN$49,MATCH(I$9,'Mezz 2 Amortization'!$AD$19:$AD$49,0),MATCH('Mezz 2 Amortization'!$AM$19,'Mezz 2 Amortization'!$AD$19:$AN$19,0)))</f>
        <v>0</v>
      </c>
      <c r="J125" s="837"/>
      <c r="K125" s="837"/>
      <c r="L125" s="837">
        <f>IF('Financing Assumptions'!$T$8="No",0,INDEX('Mezz 2 Amortization'!$AD$19:$AN$49,MATCH(L$9,'Mezz 2 Amortization'!$AD$19:$AD$49,0),MATCH('Mezz 2 Amortization'!$AM$19,'Mezz 2 Amortization'!$AD$19:$AN$19,0)))</f>
        <v>0</v>
      </c>
      <c r="M125" s="837">
        <f>IF('Financing Assumptions'!$T$8="No",0,INDEX('Mezz 2 Amortization'!$AD$19:$AN$49,MATCH(M$9,'Mezz 2 Amortization'!$AD$19:$AD$49,0),MATCH('Mezz 2 Amortization'!$AM$19,'Mezz 2 Amortization'!$AD$19:$AN$19,0)))</f>
        <v>0</v>
      </c>
      <c r="N125" s="837">
        <f>IF('Financing Assumptions'!$T$8="No",0,INDEX('Mezz 2 Amortization'!$AD$19:$AN$49,MATCH(N$9,'Mezz 2 Amortization'!$AD$19:$AD$49,0),MATCH('Mezz 2 Amortization'!$AM$19,'Mezz 2 Amortization'!$AD$19:$AN$19,0)))</f>
        <v>0</v>
      </c>
      <c r="O125" s="837">
        <f>IF('Financing Assumptions'!$T$8="No",0,INDEX('Mezz 2 Amortization'!$AD$19:$AN$49,MATCH(O$9,'Mezz 2 Amortization'!$AD$19:$AD$49,0),MATCH('Mezz 2 Amortization'!$AM$19,'Mezz 2 Amortization'!$AD$19:$AN$19,0)))</f>
        <v>0</v>
      </c>
      <c r="P125" s="837">
        <f>IF('Financing Assumptions'!$T$8="No",0,INDEX('Mezz 2 Amortization'!$AD$19:$AN$49,MATCH(P$9,'Mezz 2 Amortization'!$AD$19:$AD$49,0),MATCH('Mezz 2 Amortization'!$AM$19,'Mezz 2 Amortization'!$AD$19:$AN$19,0)))</f>
        <v>0</v>
      </c>
      <c r="Q125" s="837">
        <f>IF('Financing Assumptions'!$T$8="No",0,INDEX('Mezz 2 Amortization'!$AD$19:$AN$49,MATCH(Q$9,'Mezz 2 Amortization'!$AD$19:$AD$49,0),MATCH('Mezz 2 Amortization'!$AM$19,'Mezz 2 Amortization'!$AD$19:$AN$19,0)))</f>
        <v>0</v>
      </c>
      <c r="R125" s="837">
        <f>IF('Financing Assumptions'!$T$8="No",0,INDEX('Mezz 2 Amortization'!$AD$19:$AN$49,MATCH(R$9,'Mezz 2 Amortization'!$AD$19:$AD$49,0),MATCH('Mezz 2 Amortization'!$AM$19,'Mezz 2 Amortization'!$AD$19:$AN$19,0)))</f>
        <v>0</v>
      </c>
      <c r="S125" s="837">
        <f>IF('Financing Assumptions'!$T$8="No",0,INDEX('Mezz 2 Amortization'!$AD$19:$AN$49,MATCH(S$9,'Mezz 2 Amortization'!$AD$19:$AD$49,0),MATCH('Mezz 2 Amortization'!$AM$19,'Mezz 2 Amortization'!$AD$19:$AN$19,0)))</f>
        <v>0</v>
      </c>
      <c r="T125" s="43"/>
    </row>
    <row r="126" spans="4:20" ht="12.6" hidden="1" customHeight="1" outlineLevel="1" x14ac:dyDescent="0.25">
      <c r="D126" s="43"/>
      <c r="E126" s="764"/>
      <c r="F126" s="43"/>
      <c r="G126" s="837"/>
      <c r="H126" s="837"/>
      <c r="I126" s="837"/>
      <c r="J126" s="837"/>
      <c r="K126" s="837"/>
      <c r="L126" s="837"/>
      <c r="M126" s="837"/>
      <c r="N126" s="837"/>
      <c r="O126" s="837"/>
      <c r="P126" s="837"/>
      <c r="Q126" s="837"/>
      <c r="R126" s="837"/>
      <c r="S126" s="837"/>
      <c r="T126" s="43"/>
    </row>
    <row r="127" spans="4:20" ht="12.6" customHeight="1" collapsed="1" x14ac:dyDescent="0.25">
      <c r="D127" s="43"/>
      <c r="E127" s="764"/>
      <c r="F127" s="43"/>
      <c r="G127" s="837"/>
      <c r="H127" s="837"/>
      <c r="I127" s="837"/>
      <c r="J127" s="837"/>
      <c r="K127" s="837"/>
      <c r="L127" s="837"/>
      <c r="M127" s="837"/>
      <c r="N127" s="837"/>
      <c r="O127" s="837"/>
      <c r="P127" s="837"/>
      <c r="Q127" s="837"/>
      <c r="R127" s="837"/>
      <c r="S127" s="838"/>
      <c r="T127" s="43"/>
    </row>
    <row r="128" spans="4:20" ht="20.100000000000001" customHeight="1" outlineLevel="1" x14ac:dyDescent="0.25">
      <c r="D128" s="43"/>
      <c r="E128" s="1219" t="s">
        <v>568</v>
      </c>
      <c r="F128" s="43"/>
      <c r="G128" s="1221">
        <f t="shared" ref="G128:S128" si="22">G83-SUM(G90,G98,G106,G114,G122)</f>
        <v>861954.57338706811</v>
      </c>
      <c r="H128" s="1221">
        <f t="shared" si="22"/>
        <v>2033032.5693331573</v>
      </c>
      <c r="I128" s="1221">
        <f t="shared" si="22"/>
        <v>1595516.5191228543</v>
      </c>
      <c r="J128" s="1221"/>
      <c r="K128" s="1221"/>
      <c r="L128" s="1221">
        <f t="shared" si="22"/>
        <v>1695673.327182909</v>
      </c>
      <c r="M128" s="1221">
        <f t="shared" si="22"/>
        <v>1795830.1352429655</v>
      </c>
      <c r="N128" s="1221">
        <f t="shared" si="22"/>
        <v>1251364.1775864894</v>
      </c>
      <c r="O128" s="1221">
        <f t="shared" si="22"/>
        <v>1136646.7304077032</v>
      </c>
      <c r="P128" s="1221">
        <f t="shared" si="22"/>
        <v>1236803.5384677569</v>
      </c>
      <c r="Q128" s="1221">
        <f t="shared" si="22"/>
        <v>1336960.3465278097</v>
      </c>
      <c r="R128" s="1221">
        <f t="shared" si="22"/>
        <v>1437117.1545878691</v>
      </c>
      <c r="S128" s="1221">
        <f t="shared" si="22"/>
        <v>1537273.9626479219</v>
      </c>
      <c r="T128" s="43"/>
    </row>
    <row r="129" spans="1:32" ht="20.100000000000001" customHeight="1" outlineLevel="1" x14ac:dyDescent="0.25">
      <c r="C129" s="34" t="s">
        <v>770</v>
      </c>
      <c r="D129" s="43"/>
      <c r="E129" s="1219" t="s">
        <v>559</v>
      </c>
      <c r="F129" s="43"/>
      <c r="G129" s="1475">
        <v>-861955</v>
      </c>
      <c r="H129" s="1221">
        <f>IF('Financing Assumptions'!$H$44="No",0,IF(AND('Financing Assumptions'!$H$44="Yes",'Financing Assumptions'!$H$45&lt;&gt;H$9),0,IF(AND('Financing Assumptions'!$H$44="Yes",'Financing Assumptions'!$H$45=H$9),'Financing Assumptions'!$H$54)))</f>
        <v>0</v>
      </c>
      <c r="I129" s="1221">
        <f>IF('Financing Assumptions'!$H$44="No",0,IF(AND('Financing Assumptions'!$H$44="Yes",'Financing Assumptions'!$H$45&lt;&gt;I$9),0,IF(AND('Financing Assumptions'!$H$44="Yes",'Financing Assumptions'!$H$45=I$9),'Financing Assumptions'!$H$54)))</f>
        <v>0</v>
      </c>
      <c r="J129" s="1221"/>
      <c r="K129" s="1221"/>
      <c r="L129" s="1221">
        <f>IF('Financing Assumptions'!$H$44="No",0,IF(AND('Financing Assumptions'!$H$44="Yes",'Financing Assumptions'!$H$45&lt;&gt;L$9),0,IF(AND('Financing Assumptions'!$H$44="Yes",'Financing Assumptions'!$H$45=L$9),'Financing Assumptions'!$H$54)))</f>
        <v>0</v>
      </c>
      <c r="M129" s="1221">
        <f>IF('Financing Assumptions'!$H$44="No",0,IF(AND('Financing Assumptions'!$H$44="Yes",'Financing Assumptions'!$H$45&lt;&gt;M$9),0,IF(AND('Financing Assumptions'!$H$44="Yes",'Financing Assumptions'!$H$45=M$9),'Financing Assumptions'!$H$54)))</f>
        <v>0</v>
      </c>
      <c r="N129" s="1221">
        <f>IF('Financing Assumptions'!$H$44="No",0,IF(AND('Financing Assumptions'!$H$44="Yes",'Financing Assumptions'!$H$45&lt;&gt;N$9),0,IF(AND('Financing Assumptions'!$H$44="Yes",'Financing Assumptions'!$H$45=N$9),'Financing Assumptions'!$H$54)))</f>
        <v>0</v>
      </c>
      <c r="O129" s="1221">
        <f>IF('Financing Assumptions'!$H$44="No",0,IF(AND('Financing Assumptions'!$H$44="Yes",'Financing Assumptions'!$H$45&lt;&gt;O$9),0,IF(AND('Financing Assumptions'!$H$44="Yes",'Financing Assumptions'!$H$45=O$9),'Financing Assumptions'!$H$54)))</f>
        <v>0</v>
      </c>
      <c r="P129" s="1221">
        <f>IF('Financing Assumptions'!$H$44="No",0,IF(AND('Financing Assumptions'!$H$44="Yes",'Financing Assumptions'!$H$45&lt;&gt;P$9),0,IF(AND('Financing Assumptions'!$H$44="Yes",'Financing Assumptions'!$H$45=P$9),'Financing Assumptions'!$H$54)))</f>
        <v>0</v>
      </c>
      <c r="Q129" s="1221">
        <f>IF('Financing Assumptions'!$H$44="No",0,IF(AND('Financing Assumptions'!$H$44="Yes",'Financing Assumptions'!$H$45&lt;&gt;Q$9),0,IF(AND('Financing Assumptions'!$H$44="Yes",'Financing Assumptions'!$H$45=Q$9),'Financing Assumptions'!$H$54)))</f>
        <v>0</v>
      </c>
      <c r="R129" s="1221">
        <f>IF('Financing Assumptions'!$H$44="No",0,IF(AND('Financing Assumptions'!$H$44="Yes",'Financing Assumptions'!$H$45&lt;&gt;R$9),0,IF(AND('Financing Assumptions'!$H$44="Yes",'Financing Assumptions'!$H$45=R$9),'Financing Assumptions'!$H$54)))</f>
        <v>0</v>
      </c>
      <c r="S129" s="1221">
        <f>IF('Financing Assumptions'!$H$44="No",0,IF(AND('Financing Assumptions'!$H$44="Yes",'Financing Assumptions'!$H$45&lt;&gt;S$9),0,IF(AND('Financing Assumptions'!$H$44="Yes",'Financing Assumptions'!$H$45=S$9),'Financing Assumptions'!$H$54)))</f>
        <v>0</v>
      </c>
      <c r="T129" s="43"/>
    </row>
    <row r="130" spans="1:32" ht="12" customHeight="1" outlineLevel="1" thickBot="1" x14ac:dyDescent="0.3">
      <c r="D130" s="43"/>
      <c r="E130" s="1219"/>
      <c r="F130" s="43"/>
      <c r="G130" s="1314"/>
      <c r="H130" s="1314"/>
      <c r="I130" s="1314"/>
      <c r="J130" s="1314"/>
      <c r="K130" s="1314"/>
      <c r="L130" s="1314"/>
      <c r="M130" s="1314"/>
      <c r="N130" s="1314"/>
      <c r="O130" s="1314"/>
      <c r="P130" s="1314"/>
      <c r="Q130" s="1314"/>
      <c r="R130" s="1314"/>
      <c r="S130" s="1314"/>
      <c r="T130" s="43"/>
    </row>
    <row r="131" spans="1:32" s="496" customFormat="1" ht="20.100000000000001" customHeight="1" x14ac:dyDescent="0.25">
      <c r="A131" s="839"/>
      <c r="B131" s="839"/>
      <c r="C131" s="839"/>
      <c r="D131" s="840"/>
      <c r="E131" s="1292" t="s">
        <v>7</v>
      </c>
      <c r="F131" s="840"/>
      <c r="G131" s="1220">
        <f>SUM(G128,G129)</f>
        <v>-0.42661293188575655</v>
      </c>
      <c r="H131" s="1220">
        <f>SUM(H128,H129)</f>
        <v>2033032.5693331573</v>
      </c>
      <c r="I131" s="1220">
        <f t="shared" ref="I131:Q131" si="23">SUM(I128,I129)</f>
        <v>1595516.5191228543</v>
      </c>
      <c r="J131" s="1220"/>
      <c r="K131" s="1220"/>
      <c r="L131" s="1220">
        <f t="shared" si="23"/>
        <v>1695673.327182909</v>
      </c>
      <c r="M131" s="1220">
        <f t="shared" si="23"/>
        <v>1795830.1352429655</v>
      </c>
      <c r="N131" s="1220">
        <f t="shared" si="23"/>
        <v>1251364.1775864894</v>
      </c>
      <c r="O131" s="1220">
        <f t="shared" si="23"/>
        <v>1136646.7304077032</v>
      </c>
      <c r="P131" s="1220">
        <f t="shared" si="23"/>
        <v>1236803.5384677569</v>
      </c>
      <c r="Q131" s="1220">
        <f t="shared" si="23"/>
        <v>1336960.3465278097</v>
      </c>
      <c r="R131" s="1220">
        <f>SUM(R128,R129)</f>
        <v>1437117.1545878691</v>
      </c>
      <c r="S131" s="1220">
        <f>SUM(S128,S129)</f>
        <v>1537273.9626479219</v>
      </c>
      <c r="T131" s="840"/>
      <c r="U131" s="839"/>
      <c r="V131" s="839"/>
      <c r="W131" s="839"/>
      <c r="X131" s="839"/>
      <c r="Y131" s="839"/>
      <c r="Z131" s="839"/>
      <c r="AA131" s="839"/>
      <c r="AB131" s="839"/>
      <c r="AC131" s="495"/>
      <c r="AD131" s="495"/>
      <c r="AE131" s="495"/>
      <c r="AF131" s="495"/>
    </row>
    <row r="132" spans="1:32" s="496" customFormat="1" ht="20.100000000000001" customHeight="1" x14ac:dyDescent="0.25">
      <c r="A132" s="839"/>
      <c r="B132" s="839"/>
      <c r="C132" s="839"/>
      <c r="D132" s="841"/>
      <c r="E132" s="1293" t="s">
        <v>371</v>
      </c>
      <c r="F132" s="841"/>
      <c r="G132" s="842" t="str">
        <f>IF(AND($G$90=0,G$98=0,G$106=0,$G$114=0,$G$122=0,$G$83&gt;0),"&gt; 200%",G$83/SUM(G$90,G$98,G$106,G$114,G$122))</f>
        <v>&gt; 200%</v>
      </c>
      <c r="H132" s="842">
        <f>SUM(H$83,H$129)/SUM(H$90,H$98,H$106,H$114,H$122)</f>
        <v>2.2324607373250456</v>
      </c>
      <c r="I132" s="842">
        <f>SUM(I$83,I$129)/SUM(I$90,I$98,I$106,I$114,I$122)</f>
        <v>1.5642178941056035</v>
      </c>
      <c r="J132" s="842"/>
      <c r="K132" s="842"/>
      <c r="L132" s="842">
        <f>SUM(L$83,L$129)/SUM(L$90,L$98,L$106,L$114,L$122)</f>
        <v>1.5996360565919752</v>
      </c>
      <c r="M132" s="842">
        <f t="shared" ref="M132:S132" si="24">SUM(M$83,M$129)/SUM(M$90,M$98,M$106,M$114,M$122)</f>
        <v>1.6350542190783472</v>
      </c>
      <c r="N132" s="842">
        <f t="shared" si="24"/>
        <v>1.3603681775544449</v>
      </c>
      <c r="O132" s="842">
        <f t="shared" si="24"/>
        <v>1.3082570143685261</v>
      </c>
      <c r="P132" s="842">
        <f t="shared" si="24"/>
        <v>1.3354194015864083</v>
      </c>
      <c r="Q132" s="842">
        <f>SUM(Q$83,Q$129)/SUM(Q$90,Q$98,Q$106,Q$114,Q$122)</f>
        <v>1.3625817888042902</v>
      </c>
      <c r="R132" s="842">
        <f t="shared" si="24"/>
        <v>1.3897441760221738</v>
      </c>
      <c r="S132" s="842">
        <f t="shared" si="24"/>
        <v>1.4169065632400557</v>
      </c>
      <c r="T132" s="840"/>
      <c r="U132" s="839"/>
      <c r="V132" s="839"/>
      <c r="W132" s="839"/>
      <c r="X132" s="839"/>
      <c r="Y132" s="839"/>
      <c r="Z132" s="839"/>
      <c r="AA132" s="839"/>
      <c r="AB132" s="839"/>
      <c r="AC132" s="495"/>
      <c r="AD132" s="495"/>
      <c r="AE132" s="495"/>
      <c r="AF132" s="495"/>
    </row>
    <row r="133" spans="1:32" ht="12.6" customHeight="1" x14ac:dyDescent="0.25"/>
    <row r="134" spans="1:32" ht="12.6" customHeight="1" x14ac:dyDescent="0.25"/>
    <row r="135" spans="1:32" ht="12.6" customHeight="1" x14ac:dyDescent="0.25"/>
    <row r="136" spans="1:32" ht="12.6" customHeight="1" x14ac:dyDescent="0.25"/>
    <row r="137" spans="1:32" ht="12.6" customHeight="1" x14ac:dyDescent="0.25"/>
    <row r="138" spans="1:32" ht="12.6" customHeight="1" x14ac:dyDescent="0.25"/>
    <row r="139" spans="1:32" ht="12.6" customHeight="1" x14ac:dyDescent="0.25"/>
    <row r="140" spans="1:32" ht="12.6" customHeight="1" x14ac:dyDescent="0.25"/>
    <row r="141" spans="1:32" ht="12.6" customHeight="1" x14ac:dyDescent="0.25"/>
    <row r="142" spans="1:32" ht="12.6" customHeight="1" x14ac:dyDescent="0.25"/>
    <row r="143" spans="1:32" ht="12.6" customHeight="1" x14ac:dyDescent="0.25"/>
    <row r="144" spans="1:32" ht="12.6" customHeight="1" x14ac:dyDescent="0.25"/>
    <row r="145" ht="12.6" customHeight="1" x14ac:dyDescent="0.25"/>
    <row r="146" ht="12.6" customHeight="1" x14ac:dyDescent="0.25"/>
    <row r="147" ht="12.6" customHeight="1" x14ac:dyDescent="0.25"/>
    <row r="148" ht="12.6" customHeight="1" x14ac:dyDescent="0.25"/>
    <row r="149" ht="12.6" customHeight="1" x14ac:dyDescent="0.25"/>
  </sheetData>
  <mergeCells count="1">
    <mergeCell ref="D6:S6"/>
  </mergeCells>
  <phoneticPr fontId="9" type="noConversion"/>
  <pageMargins left="0.25" right="0.25" top="0.75" bottom="0.75" header="0.3" footer="0.3"/>
  <pageSetup scale="64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C32B5-AA70-4762-989C-2062F426DF64}">
  <sheetPr>
    <tabColor rgb="FFFFFF00"/>
  </sheetPr>
  <dimension ref="B1:FV83"/>
  <sheetViews>
    <sheetView topLeftCell="A13" zoomScale="90" zoomScaleNormal="90" workbookViewId="0">
      <selection activeCell="J25" sqref="J25"/>
    </sheetView>
  </sheetViews>
  <sheetFormatPr defaultRowHeight="15" outlineLevelCol="1" x14ac:dyDescent="0.25"/>
  <cols>
    <col min="1" max="1" width="6.42578125" customWidth="1"/>
    <col min="2" max="2" width="6.42578125" customWidth="1" outlineLevel="1"/>
    <col min="3" max="3" width="34.140625" customWidth="1"/>
    <col min="4" max="7" width="15.7109375" customWidth="1"/>
    <col min="8" max="8" width="3.28515625" customWidth="1"/>
    <col min="9" max="9" width="12.7109375" customWidth="1" outlineLevel="1"/>
    <col min="10" max="20" width="12.7109375" customWidth="1"/>
    <col min="21" max="21" width="5" customWidth="1"/>
    <col min="22" max="178" width="12.7109375" customWidth="1"/>
  </cols>
  <sheetData>
    <row r="1" spans="2:178" s="89" customFormat="1" ht="13.5" x14ac:dyDescent="0.25"/>
    <row r="2" spans="2:178" s="89" customFormat="1" ht="13.5" x14ac:dyDescent="0.25"/>
    <row r="3" spans="2:178" s="89" customFormat="1" ht="21" customHeight="1" x14ac:dyDescent="0.25">
      <c r="B3" s="1239"/>
      <c r="C3" s="1269" t="s">
        <v>576</v>
      </c>
    </row>
    <row r="4" spans="2:178" s="89" customFormat="1" ht="20.25" customHeight="1" x14ac:dyDescent="0.25">
      <c r="B4" s="1238"/>
      <c r="C4" s="1237" t="str">
        <f>'Operating Assumptions'!D6</f>
        <v>Channahon</v>
      </c>
      <c r="H4" s="1230"/>
      <c r="I4" s="1230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  <c r="AR4" s="162"/>
      <c r="AS4" s="162"/>
      <c r="AT4" s="162"/>
      <c r="AU4" s="162"/>
      <c r="AV4" s="162"/>
      <c r="AW4" s="162"/>
      <c r="AX4" s="162"/>
      <c r="AY4" s="162"/>
      <c r="AZ4" s="162"/>
      <c r="BA4" s="162"/>
      <c r="BB4" s="162"/>
      <c r="BC4" s="162"/>
      <c r="BD4" s="162"/>
      <c r="BE4" s="162"/>
      <c r="BF4" s="162"/>
      <c r="BG4" s="162"/>
      <c r="BH4" s="162"/>
      <c r="BI4" s="162"/>
      <c r="BJ4" s="162"/>
      <c r="BK4" s="162"/>
      <c r="BL4" s="162"/>
      <c r="BM4" s="162"/>
      <c r="BN4" s="162"/>
      <c r="BO4" s="162"/>
      <c r="BP4" s="162"/>
      <c r="BQ4" s="162"/>
      <c r="BR4" s="162"/>
      <c r="BS4" s="162"/>
      <c r="BT4" s="162"/>
      <c r="BU4" s="162"/>
      <c r="BV4" s="162"/>
      <c r="BW4" s="162"/>
      <c r="BX4" s="162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  <c r="CP4" s="162"/>
      <c r="CQ4" s="162"/>
      <c r="CR4" s="162"/>
      <c r="CS4" s="162"/>
      <c r="CT4" s="162"/>
      <c r="CU4" s="162"/>
      <c r="CV4" s="162"/>
      <c r="CW4" s="162"/>
      <c r="CX4" s="162"/>
      <c r="CY4" s="162"/>
      <c r="CZ4" s="162"/>
      <c r="DA4" s="162"/>
      <c r="DB4" s="162"/>
      <c r="DC4" s="162"/>
      <c r="DD4" s="162"/>
      <c r="DE4" s="162"/>
      <c r="DF4" s="162"/>
      <c r="DG4" s="162"/>
      <c r="DH4" s="162"/>
      <c r="DI4" s="162"/>
      <c r="DJ4" s="162"/>
      <c r="DK4" s="162"/>
      <c r="DL4" s="162"/>
      <c r="DM4" s="162"/>
      <c r="DN4" s="162"/>
      <c r="DO4" s="162"/>
      <c r="DP4" s="162"/>
      <c r="DQ4" s="162"/>
      <c r="DR4" s="162"/>
      <c r="DS4" s="162"/>
      <c r="DT4" s="162"/>
      <c r="DU4" s="162"/>
      <c r="DV4" s="162"/>
      <c r="DW4" s="162"/>
      <c r="DX4" s="162"/>
      <c r="DY4" s="162"/>
      <c r="DZ4" s="162"/>
      <c r="EA4" s="162"/>
      <c r="EB4" s="162"/>
      <c r="EC4" s="162"/>
      <c r="ED4" s="162"/>
      <c r="EE4" s="162"/>
      <c r="EF4" s="162"/>
      <c r="EG4" s="162"/>
      <c r="EH4" s="162"/>
      <c r="EI4" s="162"/>
      <c r="EJ4" s="162"/>
      <c r="EK4" s="162"/>
      <c r="EL4" s="162"/>
      <c r="EM4" s="162"/>
      <c r="EN4" s="162"/>
      <c r="EO4" s="162"/>
      <c r="EP4" s="162"/>
      <c r="EQ4" s="162"/>
      <c r="ER4" s="162"/>
      <c r="ES4" s="162"/>
      <c r="ET4" s="162"/>
      <c r="EU4" s="162"/>
      <c r="EV4" s="162"/>
      <c r="EW4" s="162"/>
      <c r="EX4" s="162"/>
      <c r="EY4" s="162"/>
      <c r="EZ4" s="162"/>
      <c r="FA4" s="162"/>
      <c r="FB4" s="162"/>
      <c r="FC4" s="162"/>
      <c r="FD4" s="162"/>
      <c r="FE4" s="162"/>
      <c r="FF4" s="162"/>
      <c r="FG4" s="162"/>
      <c r="FH4" s="162"/>
      <c r="FI4" s="162"/>
      <c r="FJ4" s="162"/>
      <c r="FK4" s="162"/>
      <c r="FL4" s="162"/>
      <c r="FM4" s="162"/>
      <c r="FN4" s="162"/>
      <c r="FO4" s="162"/>
      <c r="FP4" s="162"/>
      <c r="FQ4" s="162"/>
      <c r="FR4" s="162"/>
      <c r="FS4" s="162"/>
      <c r="FT4" s="162"/>
      <c r="FU4" s="162"/>
      <c r="FV4" s="162"/>
    </row>
    <row r="5" spans="2:178" s="89" customFormat="1" ht="13.5" x14ac:dyDescent="0.25">
      <c r="H5" s="1230"/>
      <c r="I5" s="1230"/>
      <c r="K5" s="162"/>
      <c r="L5" s="1231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62"/>
      <c r="AP5" s="162"/>
      <c r="AQ5" s="162"/>
      <c r="AR5" s="162"/>
      <c r="AS5" s="162"/>
      <c r="AT5" s="162"/>
      <c r="AU5" s="162"/>
      <c r="AV5" s="162"/>
      <c r="AW5" s="162"/>
      <c r="AX5" s="162"/>
      <c r="AY5" s="162"/>
      <c r="AZ5" s="162"/>
      <c r="BA5" s="162"/>
      <c r="BB5" s="162"/>
      <c r="BC5" s="162"/>
      <c r="BD5" s="162"/>
      <c r="BE5" s="162"/>
      <c r="BF5" s="162"/>
      <c r="BG5" s="162"/>
      <c r="BH5" s="162"/>
      <c r="BI5" s="162"/>
      <c r="BJ5" s="162"/>
      <c r="BK5" s="162"/>
      <c r="BL5" s="162"/>
      <c r="BM5" s="162"/>
      <c r="BN5" s="162"/>
      <c r="BO5" s="162"/>
      <c r="BP5" s="162"/>
      <c r="BQ5" s="162"/>
      <c r="BR5" s="162"/>
      <c r="BS5" s="162"/>
      <c r="BT5" s="162"/>
      <c r="BU5" s="162"/>
      <c r="BV5" s="162"/>
      <c r="BW5" s="162"/>
      <c r="BX5" s="162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O5" s="162"/>
      <c r="CP5" s="162"/>
      <c r="CQ5" s="162"/>
      <c r="CR5" s="162"/>
      <c r="CS5" s="162"/>
      <c r="CT5" s="162"/>
      <c r="CU5" s="162"/>
      <c r="CV5" s="162"/>
      <c r="CW5" s="162"/>
      <c r="CX5" s="162"/>
      <c r="CY5" s="162"/>
      <c r="CZ5" s="162"/>
      <c r="DA5" s="162"/>
      <c r="DB5" s="162"/>
      <c r="DC5" s="162"/>
      <c r="DD5" s="162"/>
      <c r="DE5" s="162"/>
      <c r="DF5" s="162"/>
      <c r="DG5" s="162"/>
      <c r="DH5" s="162"/>
      <c r="DI5" s="162"/>
      <c r="DJ5" s="162"/>
      <c r="DK5" s="162"/>
      <c r="DL5" s="162"/>
      <c r="DM5" s="162"/>
      <c r="DN5" s="162"/>
      <c r="DO5" s="162"/>
      <c r="DP5" s="162"/>
      <c r="DQ5" s="162"/>
      <c r="DR5" s="162"/>
      <c r="DS5" s="162"/>
      <c r="DT5" s="162"/>
      <c r="DU5" s="162"/>
      <c r="DV5" s="162"/>
      <c r="DW5" s="162"/>
      <c r="DX5" s="162"/>
      <c r="DY5" s="162"/>
      <c r="DZ5" s="162"/>
      <c r="EA5" s="162"/>
      <c r="EB5" s="162"/>
      <c r="EC5" s="162"/>
      <c r="ED5" s="162"/>
      <c r="EE5" s="162"/>
      <c r="EF5" s="162"/>
      <c r="EG5" s="162"/>
      <c r="EH5" s="162"/>
      <c r="EI5" s="162"/>
      <c r="EJ5" s="162"/>
      <c r="EK5" s="162"/>
      <c r="EL5" s="162"/>
      <c r="EM5" s="162"/>
      <c r="EN5" s="162"/>
      <c r="EO5" s="162"/>
      <c r="EP5" s="162"/>
      <c r="EQ5" s="162"/>
      <c r="ER5" s="162"/>
      <c r="ES5" s="162"/>
      <c r="ET5" s="162"/>
      <c r="EU5" s="162"/>
      <c r="EV5" s="162"/>
      <c r="EW5" s="162"/>
      <c r="EX5" s="162"/>
      <c r="EY5" s="162"/>
      <c r="EZ5" s="162"/>
      <c r="FA5" s="162"/>
      <c r="FB5" s="162"/>
      <c r="FC5" s="162"/>
      <c r="FD5" s="162"/>
      <c r="FE5" s="162"/>
      <c r="FF5" s="162"/>
      <c r="FG5" s="162"/>
      <c r="FH5" s="162"/>
      <c r="FI5" s="162"/>
      <c r="FJ5" s="162"/>
      <c r="FK5" s="162"/>
      <c r="FL5" s="162"/>
      <c r="FM5" s="162"/>
      <c r="FN5" s="162"/>
      <c r="FO5" s="162"/>
      <c r="FP5" s="162"/>
      <c r="FQ5" s="162"/>
      <c r="FR5" s="162"/>
      <c r="FS5" s="162"/>
      <c r="FT5" s="162"/>
      <c r="FU5" s="162"/>
      <c r="FV5" s="162"/>
    </row>
    <row r="6" spans="2:178" s="89" customFormat="1" ht="13.5" x14ac:dyDescent="0.25">
      <c r="H6" s="1230"/>
      <c r="I6" s="1230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  <c r="AN6" s="162"/>
      <c r="AO6" s="162"/>
      <c r="AP6" s="162"/>
      <c r="AQ6" s="162"/>
      <c r="AR6" s="162"/>
      <c r="AS6" s="162"/>
      <c r="AT6" s="162"/>
      <c r="AU6" s="162"/>
      <c r="AV6" s="162"/>
      <c r="AW6" s="162"/>
      <c r="AX6" s="162"/>
      <c r="AY6" s="162"/>
      <c r="AZ6" s="162"/>
      <c r="BA6" s="162"/>
      <c r="BB6" s="162"/>
      <c r="BC6" s="162"/>
      <c r="BD6" s="162"/>
      <c r="BE6" s="162"/>
      <c r="BF6" s="162"/>
      <c r="BG6" s="162"/>
      <c r="BH6" s="162"/>
      <c r="BI6" s="162"/>
      <c r="BJ6" s="162"/>
      <c r="BK6" s="162"/>
      <c r="BL6" s="162"/>
      <c r="BM6" s="162"/>
      <c r="BN6" s="162"/>
      <c r="BO6" s="162"/>
      <c r="BP6" s="162"/>
      <c r="BQ6" s="162"/>
      <c r="BR6" s="162"/>
      <c r="BS6" s="162"/>
      <c r="BT6" s="162"/>
      <c r="BU6" s="162"/>
      <c r="BV6" s="162"/>
      <c r="BW6" s="162"/>
      <c r="BX6" s="162"/>
      <c r="BY6" s="162"/>
      <c r="BZ6" s="162"/>
      <c r="CA6" s="162"/>
      <c r="CB6" s="162"/>
      <c r="CC6" s="162"/>
      <c r="CD6" s="162"/>
      <c r="CE6" s="162"/>
      <c r="CF6" s="162"/>
      <c r="CG6" s="162"/>
      <c r="CH6" s="162"/>
      <c r="CI6" s="162"/>
      <c r="CJ6" s="162"/>
      <c r="CK6" s="162"/>
      <c r="CL6" s="162"/>
      <c r="CM6" s="162"/>
      <c r="CN6" s="162"/>
      <c r="CO6" s="162"/>
      <c r="CP6" s="162"/>
      <c r="CQ6" s="162"/>
      <c r="CR6" s="162"/>
      <c r="CS6" s="162"/>
      <c r="CT6" s="162"/>
      <c r="CU6" s="162"/>
      <c r="CV6" s="162"/>
      <c r="CW6" s="162"/>
      <c r="CX6" s="162"/>
      <c r="CY6" s="162"/>
      <c r="CZ6" s="162"/>
      <c r="DA6" s="162"/>
      <c r="DB6" s="162"/>
      <c r="DC6" s="162"/>
      <c r="DD6" s="162"/>
      <c r="DE6" s="162"/>
      <c r="DF6" s="162"/>
      <c r="DG6" s="162"/>
      <c r="DH6" s="162"/>
      <c r="DI6" s="162"/>
      <c r="DJ6" s="162"/>
      <c r="DK6" s="162"/>
      <c r="DL6" s="162"/>
      <c r="DM6" s="162"/>
      <c r="DN6" s="162"/>
      <c r="DO6" s="162"/>
      <c r="DP6" s="162"/>
      <c r="DQ6" s="162"/>
      <c r="DR6" s="162"/>
      <c r="DS6" s="162"/>
      <c r="DT6" s="162"/>
      <c r="DU6" s="162"/>
      <c r="DV6" s="162"/>
      <c r="DW6" s="162"/>
      <c r="DX6" s="162"/>
      <c r="DY6" s="162"/>
      <c r="DZ6" s="162"/>
      <c r="EA6" s="162"/>
      <c r="EB6" s="162"/>
      <c r="EC6" s="162"/>
      <c r="ED6" s="162"/>
      <c r="EE6" s="162"/>
      <c r="EF6" s="162"/>
      <c r="EG6" s="162"/>
      <c r="EH6" s="162"/>
      <c r="EI6" s="162"/>
      <c r="EJ6" s="162"/>
      <c r="EK6" s="162"/>
      <c r="EL6" s="162"/>
      <c r="EM6" s="162"/>
      <c r="EN6" s="162"/>
      <c r="EO6" s="162"/>
      <c r="EP6" s="162"/>
      <c r="EQ6" s="162"/>
      <c r="ER6" s="162"/>
      <c r="ES6" s="162"/>
      <c r="ET6" s="162"/>
      <c r="EU6" s="162"/>
      <c r="EV6" s="162"/>
      <c r="EW6" s="162"/>
      <c r="EX6" s="162"/>
      <c r="EY6" s="162"/>
      <c r="EZ6" s="162"/>
      <c r="FA6" s="162"/>
      <c r="FB6" s="162"/>
      <c r="FC6" s="162"/>
      <c r="FD6" s="162"/>
      <c r="FE6" s="162"/>
      <c r="FF6" s="162"/>
      <c r="FG6" s="162"/>
      <c r="FH6" s="162"/>
      <c r="FI6" s="162"/>
      <c r="FJ6" s="162"/>
      <c r="FK6" s="162"/>
      <c r="FL6" s="162"/>
      <c r="FM6" s="162"/>
      <c r="FN6" s="162"/>
      <c r="FO6" s="162"/>
      <c r="FP6" s="162"/>
      <c r="FQ6" s="162"/>
      <c r="FR6" s="162"/>
      <c r="FS6" s="162"/>
      <c r="FT6" s="162"/>
      <c r="FU6" s="162"/>
      <c r="FV6" s="162"/>
    </row>
    <row r="7" spans="2:178" s="89" customFormat="1" ht="13.5" x14ac:dyDescent="0.25">
      <c r="C7" s="132" t="s">
        <v>577</v>
      </c>
      <c r="D7" s="62"/>
      <c r="E7" s="62"/>
      <c r="F7" s="62"/>
      <c r="G7" s="1261"/>
      <c r="H7" s="1230"/>
      <c r="I7" s="1230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  <c r="AN7" s="162"/>
      <c r="AO7" s="162"/>
      <c r="AP7" s="162"/>
      <c r="AQ7" s="162"/>
      <c r="AR7" s="162"/>
      <c r="AS7" s="162"/>
      <c r="AT7" s="162"/>
      <c r="AU7" s="162"/>
      <c r="AV7" s="162"/>
      <c r="AW7" s="162"/>
      <c r="AX7" s="162"/>
      <c r="AY7" s="162"/>
      <c r="AZ7" s="162"/>
      <c r="BA7" s="162"/>
      <c r="BB7" s="162"/>
      <c r="BC7" s="162"/>
      <c r="BD7" s="162"/>
      <c r="BE7" s="162"/>
      <c r="BF7" s="162"/>
      <c r="BG7" s="162"/>
      <c r="BH7" s="162"/>
      <c r="BI7" s="162"/>
      <c r="BJ7" s="162"/>
      <c r="BK7" s="162"/>
      <c r="BL7" s="162"/>
      <c r="BM7" s="162"/>
      <c r="BN7" s="162"/>
      <c r="BO7" s="162"/>
      <c r="BP7" s="162"/>
      <c r="BQ7" s="162"/>
      <c r="BR7" s="162"/>
      <c r="BS7" s="162"/>
      <c r="BT7" s="162"/>
      <c r="BU7" s="162"/>
      <c r="BV7" s="162"/>
      <c r="BW7" s="162"/>
      <c r="BX7" s="162"/>
      <c r="BY7" s="162"/>
      <c r="BZ7" s="162"/>
      <c r="CA7" s="162"/>
      <c r="CB7" s="162"/>
      <c r="CC7" s="162"/>
      <c r="CD7" s="162"/>
      <c r="CE7" s="162"/>
      <c r="CF7" s="162"/>
      <c r="CG7" s="162"/>
      <c r="CH7" s="162"/>
      <c r="CI7" s="162"/>
      <c r="CJ7" s="162"/>
      <c r="CK7" s="162"/>
      <c r="CL7" s="162"/>
      <c r="CM7" s="162"/>
      <c r="CN7" s="162"/>
      <c r="CO7" s="162"/>
      <c r="CP7" s="162"/>
      <c r="CQ7" s="162"/>
      <c r="CR7" s="162"/>
      <c r="CS7" s="162"/>
      <c r="CT7" s="162"/>
      <c r="CU7" s="162"/>
      <c r="CV7" s="162"/>
      <c r="CW7" s="162"/>
      <c r="CX7" s="162"/>
      <c r="CY7" s="162"/>
      <c r="CZ7" s="162"/>
      <c r="DA7" s="162"/>
      <c r="DB7" s="162"/>
      <c r="DC7" s="162"/>
      <c r="DD7" s="162"/>
      <c r="DE7" s="162"/>
      <c r="DF7" s="162"/>
      <c r="DG7" s="162"/>
      <c r="DH7" s="162"/>
      <c r="DI7" s="162"/>
      <c r="DJ7" s="162"/>
      <c r="DK7" s="162"/>
      <c r="DL7" s="162"/>
      <c r="DM7" s="162"/>
      <c r="DN7" s="162"/>
      <c r="DO7" s="162"/>
      <c r="DP7" s="162"/>
      <c r="DQ7" s="162"/>
      <c r="DR7" s="162"/>
      <c r="DS7" s="162"/>
      <c r="DT7" s="162"/>
      <c r="DU7" s="162"/>
      <c r="DV7" s="162"/>
      <c r="DW7" s="162"/>
      <c r="DX7" s="162"/>
      <c r="DY7" s="162"/>
      <c r="DZ7" s="162"/>
      <c r="EA7" s="162"/>
      <c r="EB7" s="162"/>
      <c r="EC7" s="162"/>
      <c r="ED7" s="162"/>
      <c r="EE7" s="162"/>
      <c r="EF7" s="162"/>
      <c r="EG7" s="162"/>
      <c r="EH7" s="162"/>
      <c r="EI7" s="162"/>
      <c r="EJ7" s="162"/>
      <c r="EK7" s="162"/>
      <c r="EL7" s="162"/>
      <c r="EM7" s="162"/>
      <c r="EN7" s="162"/>
      <c r="EO7" s="162"/>
      <c r="EP7" s="162"/>
      <c r="EQ7" s="162"/>
      <c r="ER7" s="162"/>
      <c r="ES7" s="162"/>
      <c r="ET7" s="162"/>
      <c r="EU7" s="162"/>
      <c r="EV7" s="162"/>
      <c r="EW7" s="162"/>
      <c r="EX7" s="162"/>
      <c r="EY7" s="162"/>
      <c r="EZ7" s="162"/>
      <c r="FA7" s="162"/>
      <c r="FB7" s="162"/>
      <c r="FC7" s="162"/>
      <c r="FD7" s="162"/>
      <c r="FE7" s="162"/>
      <c r="FF7" s="162"/>
      <c r="FG7" s="162"/>
      <c r="FH7" s="162"/>
      <c r="FI7" s="162"/>
      <c r="FJ7" s="162"/>
      <c r="FK7" s="162"/>
      <c r="FL7" s="162"/>
      <c r="FM7" s="162"/>
      <c r="FN7" s="162"/>
      <c r="FO7" s="162"/>
      <c r="FP7" s="162"/>
      <c r="FQ7" s="162"/>
      <c r="FR7" s="162"/>
      <c r="FS7" s="162"/>
      <c r="FT7" s="162"/>
      <c r="FU7" s="162"/>
      <c r="FV7" s="162"/>
    </row>
    <row r="8" spans="2:178" s="89" customFormat="1" ht="13.5" x14ac:dyDescent="0.25">
      <c r="K8" s="123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  <c r="AK8" s="162"/>
      <c r="AL8" s="162"/>
      <c r="AM8" s="162"/>
      <c r="AN8" s="162"/>
      <c r="AO8" s="162"/>
      <c r="AP8" s="162"/>
      <c r="AQ8" s="162"/>
      <c r="AR8" s="162"/>
      <c r="AS8" s="162"/>
      <c r="AT8" s="162"/>
      <c r="AU8" s="162"/>
      <c r="AV8" s="162"/>
      <c r="AW8" s="162"/>
      <c r="AX8" s="162"/>
      <c r="AY8" s="162"/>
      <c r="AZ8" s="162"/>
      <c r="BA8" s="162"/>
      <c r="BB8" s="162"/>
      <c r="BC8" s="162"/>
      <c r="BD8" s="162"/>
      <c r="BE8" s="162"/>
      <c r="BF8" s="162"/>
      <c r="BG8" s="162"/>
      <c r="BH8" s="162"/>
      <c r="BI8" s="162"/>
      <c r="BJ8" s="162"/>
      <c r="BK8" s="162"/>
      <c r="BL8" s="162"/>
      <c r="BM8" s="162"/>
      <c r="BN8" s="162"/>
      <c r="BO8" s="162"/>
      <c r="BP8" s="162"/>
      <c r="BQ8" s="162"/>
      <c r="BR8" s="162"/>
      <c r="BS8" s="162"/>
      <c r="BT8" s="162"/>
      <c r="BU8" s="162"/>
      <c r="BV8" s="162"/>
      <c r="BW8" s="162"/>
      <c r="BX8" s="162"/>
      <c r="BY8" s="162"/>
      <c r="BZ8" s="162"/>
      <c r="CA8" s="162"/>
      <c r="CB8" s="162"/>
      <c r="CC8" s="162"/>
      <c r="CD8" s="162"/>
      <c r="CE8" s="162"/>
      <c r="CF8" s="162"/>
      <c r="CG8" s="162"/>
      <c r="CH8" s="162"/>
      <c r="CI8" s="162"/>
      <c r="CJ8" s="162"/>
      <c r="CK8" s="162"/>
      <c r="CL8" s="162"/>
      <c r="CM8" s="162"/>
      <c r="CN8" s="162"/>
      <c r="CO8" s="162"/>
      <c r="CP8" s="162"/>
      <c r="CQ8" s="162"/>
      <c r="CR8" s="162"/>
      <c r="CS8" s="162"/>
      <c r="CT8" s="162"/>
      <c r="CU8" s="162"/>
      <c r="CV8" s="162"/>
      <c r="CW8" s="162"/>
      <c r="CX8" s="162"/>
      <c r="CY8" s="162"/>
      <c r="CZ8" s="162"/>
      <c r="DA8" s="162"/>
      <c r="DB8" s="162"/>
      <c r="DC8" s="162"/>
      <c r="DD8" s="162"/>
      <c r="DE8" s="162"/>
      <c r="DF8" s="162"/>
      <c r="DG8" s="162"/>
      <c r="DH8" s="162"/>
      <c r="DI8" s="162"/>
      <c r="DJ8" s="162"/>
      <c r="DK8" s="162"/>
      <c r="DL8" s="162"/>
      <c r="DM8" s="162"/>
      <c r="DN8" s="162"/>
      <c r="DO8" s="162"/>
      <c r="DP8" s="162"/>
      <c r="DQ8" s="162"/>
      <c r="DR8" s="162"/>
      <c r="DS8" s="162"/>
      <c r="DT8" s="162"/>
      <c r="DU8" s="162"/>
      <c r="DV8" s="162"/>
      <c r="DW8" s="162"/>
      <c r="DX8" s="162"/>
      <c r="DY8" s="162"/>
      <c r="DZ8" s="162"/>
      <c r="EA8" s="162"/>
      <c r="EB8" s="162"/>
      <c r="EC8" s="162"/>
      <c r="ED8" s="162"/>
      <c r="EE8" s="162"/>
      <c r="EF8" s="162"/>
      <c r="EG8" s="162"/>
      <c r="EH8" s="162"/>
      <c r="EI8" s="162"/>
      <c r="EJ8" s="162"/>
      <c r="EK8" s="162"/>
      <c r="EL8" s="162"/>
      <c r="EM8" s="162"/>
      <c r="EN8" s="162"/>
      <c r="EO8" s="162"/>
      <c r="EP8" s="162"/>
      <c r="EQ8" s="162"/>
      <c r="ER8" s="162"/>
      <c r="ES8" s="162"/>
      <c r="ET8" s="162"/>
      <c r="EU8" s="162"/>
      <c r="EV8" s="162"/>
      <c r="EW8" s="162"/>
      <c r="EX8" s="162"/>
      <c r="EY8" s="162"/>
      <c r="EZ8" s="162"/>
      <c r="FA8" s="162"/>
      <c r="FB8" s="162"/>
      <c r="FC8" s="162"/>
      <c r="FD8" s="162"/>
      <c r="FE8" s="162"/>
      <c r="FF8" s="162"/>
      <c r="FG8" s="162"/>
      <c r="FH8" s="162"/>
      <c r="FI8" s="162"/>
      <c r="FJ8" s="162"/>
      <c r="FK8" s="162"/>
      <c r="FL8" s="162"/>
      <c r="FM8" s="162"/>
      <c r="FN8" s="162"/>
      <c r="FO8" s="162"/>
      <c r="FP8" s="162"/>
      <c r="FQ8" s="162"/>
      <c r="FR8" s="162"/>
      <c r="FS8" s="162"/>
      <c r="FT8" s="162"/>
      <c r="FU8" s="162"/>
      <c r="FV8" s="162"/>
    </row>
    <row r="9" spans="2:178" s="815" customFormat="1" ht="13.5" x14ac:dyDescent="0.25">
      <c r="B9" s="1236"/>
      <c r="C9" s="1254" t="s">
        <v>578</v>
      </c>
      <c r="D9" s="1240">
        <f>'Financing Assumptions'!L19</f>
        <v>10434034.356800005</v>
      </c>
      <c r="E9" s="89"/>
      <c r="F9" s="89"/>
      <c r="G9" s="1233"/>
      <c r="H9" s="1234"/>
      <c r="I9" s="1234"/>
      <c r="J9" s="1233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235"/>
      <c r="Y9" s="1235"/>
      <c r="Z9" s="1235"/>
      <c r="AA9" s="1235"/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235"/>
      <c r="BK9" s="1235"/>
      <c r="BL9" s="1235"/>
      <c r="BM9" s="1235"/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1235"/>
      <c r="CG9" s="1235"/>
      <c r="CH9" s="1235"/>
      <c r="CI9" s="1235"/>
      <c r="CJ9" s="1235"/>
      <c r="CK9" s="1235"/>
      <c r="CL9" s="1235"/>
      <c r="CM9" s="1235"/>
      <c r="CN9" s="1235"/>
      <c r="CO9" s="1235"/>
      <c r="CP9" s="1235"/>
      <c r="CQ9" s="1235"/>
      <c r="CR9" s="1235"/>
      <c r="CS9" s="1235"/>
      <c r="CT9" s="1235"/>
      <c r="CU9" s="1235"/>
      <c r="CV9" s="1235"/>
      <c r="CW9" s="1235"/>
      <c r="CX9" s="1235"/>
      <c r="CY9" s="1235"/>
      <c r="CZ9" s="1235"/>
      <c r="DA9" s="1235"/>
      <c r="DB9" s="1235"/>
      <c r="DC9" s="1235"/>
      <c r="DD9" s="1235"/>
      <c r="DE9" s="1235"/>
      <c r="DF9" s="1235"/>
      <c r="DG9" s="1235"/>
      <c r="DH9" s="1235"/>
      <c r="DI9" s="1235"/>
      <c r="DJ9" s="1235"/>
      <c r="DK9" s="1235"/>
      <c r="DL9" s="1235"/>
      <c r="DM9" s="1235"/>
      <c r="DN9" s="1235"/>
      <c r="DO9" s="1235"/>
      <c r="DP9" s="1235"/>
      <c r="DQ9" s="1235"/>
      <c r="DR9" s="1235"/>
      <c r="DS9" s="1235"/>
      <c r="DT9" s="1235"/>
      <c r="DU9" s="1235"/>
      <c r="DV9" s="1235"/>
      <c r="DW9" s="1235"/>
      <c r="DX9" s="1235"/>
      <c r="DY9" s="1235"/>
      <c r="DZ9" s="1235"/>
      <c r="EA9" s="1235"/>
      <c r="EB9" s="1235"/>
      <c r="EC9" s="1235"/>
      <c r="ED9" s="1235"/>
      <c r="EE9" s="1235"/>
      <c r="EF9" s="1235"/>
      <c r="EG9" s="1235"/>
      <c r="EH9" s="1235"/>
      <c r="EI9" s="1235"/>
      <c r="EJ9" s="1235"/>
      <c r="EK9" s="1235"/>
      <c r="EL9" s="1235"/>
      <c r="EM9" s="1235"/>
      <c r="EN9" s="1235"/>
      <c r="EO9" s="1235"/>
      <c r="EP9" s="1235"/>
      <c r="EQ9" s="1235"/>
      <c r="ER9" s="1235"/>
      <c r="ES9" s="1235"/>
      <c r="ET9" s="1235"/>
      <c r="EU9" s="1235"/>
      <c r="EV9" s="1235"/>
      <c r="EW9" s="1235"/>
      <c r="EX9" s="1235"/>
      <c r="EY9" s="1235"/>
      <c r="EZ9" s="1235"/>
      <c r="FA9" s="1235"/>
      <c r="FB9" s="1235"/>
      <c r="FC9" s="1235"/>
      <c r="FD9" s="1235"/>
      <c r="FE9" s="1235"/>
      <c r="FF9" s="1235"/>
      <c r="FG9" s="1235"/>
      <c r="FH9" s="1235"/>
      <c r="FI9" s="1235"/>
      <c r="FJ9" s="1235"/>
      <c r="FK9" s="1235"/>
      <c r="FL9" s="1235"/>
      <c r="FM9" s="1235"/>
      <c r="FN9" s="1235"/>
      <c r="FO9" s="1235"/>
      <c r="FP9" s="1235"/>
      <c r="FQ9" s="1235"/>
      <c r="FR9" s="1235"/>
      <c r="FS9" s="1235"/>
      <c r="FT9" s="1235"/>
      <c r="FU9" s="1235"/>
      <c r="FV9" s="1235"/>
    </row>
    <row r="10" spans="2:178" s="89" customFormat="1" ht="13.5" x14ac:dyDescent="0.25">
      <c r="B10" s="1236"/>
      <c r="C10" s="1254" t="s">
        <v>582</v>
      </c>
      <c r="D10" s="808" t="s">
        <v>441</v>
      </c>
    </row>
    <row r="11" spans="2:178" s="89" customFormat="1" ht="13.5" x14ac:dyDescent="0.25"/>
    <row r="12" spans="2:178" s="89" customFormat="1" ht="13.5" x14ac:dyDescent="0.25">
      <c r="B12" s="1250"/>
      <c r="C12" s="1250" t="s">
        <v>579</v>
      </c>
      <c r="D12" s="1250" t="str">
        <f>IF($D$10="$","Constribution",IF($D$10="%","Contribution %"))</f>
        <v>Contribution %</v>
      </c>
      <c r="E12" s="1250" t="str">
        <f>IF($D$10="$","Contribution %",IF($D$10="%","Contribution"))</f>
        <v>Contribution</v>
      </c>
      <c r="F12" s="1250" t="s">
        <v>558</v>
      </c>
      <c r="G12" s="1250" t="s">
        <v>595</v>
      </c>
    </row>
    <row r="13" spans="2:178" s="89" customFormat="1" ht="13.5" x14ac:dyDescent="0.25">
      <c r="B13" s="1249" t="s">
        <v>584</v>
      </c>
      <c r="C13" s="1242" t="s">
        <v>652</v>
      </c>
      <c r="D13" s="1243">
        <v>0.15</v>
      </c>
      <c r="E13" s="1253">
        <f>IF($D$10="$",$D13/$D$9,IF($D$10="%",$D$9*$D13))</f>
        <v>1565105.1535200006</v>
      </c>
      <c r="F13" s="1252">
        <v>0.25</v>
      </c>
      <c r="G13" s="1243">
        <v>2025</v>
      </c>
      <c r="K13" s="1228"/>
      <c r="L13" s="1228"/>
      <c r="M13" s="1228"/>
      <c r="N13" s="1228"/>
      <c r="O13" s="1228"/>
      <c r="P13" s="1228"/>
      <c r="Q13" s="1228"/>
      <c r="R13" s="1228"/>
      <c r="S13" s="1228"/>
      <c r="T13" s="1228"/>
      <c r="U13" s="1228"/>
      <c r="V13" s="1228"/>
      <c r="W13" s="1228"/>
      <c r="X13" s="1228"/>
      <c r="Y13" s="1228"/>
      <c r="Z13" s="1228"/>
      <c r="AA13" s="1228"/>
      <c r="AB13" s="1228"/>
      <c r="AC13" s="1228"/>
      <c r="AD13" s="1228"/>
      <c r="AE13" s="1228"/>
      <c r="AF13" s="1228"/>
      <c r="AG13" s="1228"/>
      <c r="AH13" s="1228"/>
      <c r="AI13" s="1228"/>
      <c r="AJ13" s="1228"/>
      <c r="AK13" s="1228"/>
      <c r="AL13" s="1228"/>
      <c r="AM13" s="1228"/>
      <c r="AN13" s="1228"/>
      <c r="AO13" s="1228"/>
      <c r="AP13" s="1228"/>
      <c r="AQ13" s="1228"/>
      <c r="AR13" s="1228"/>
      <c r="AS13" s="1228"/>
      <c r="AT13" s="1228"/>
      <c r="AU13" s="1228"/>
      <c r="AV13" s="1228"/>
      <c r="AW13" s="1228"/>
      <c r="AX13" s="1228"/>
      <c r="AY13" s="1228"/>
      <c r="AZ13" s="1228"/>
      <c r="BA13" s="1228"/>
      <c r="BB13" s="1228"/>
      <c r="BC13" s="1228"/>
      <c r="BD13" s="1228"/>
      <c r="BE13" s="1228"/>
      <c r="BF13" s="1228"/>
      <c r="BG13" s="1228"/>
      <c r="BH13" s="1228"/>
      <c r="BI13" s="1228"/>
      <c r="BJ13" s="1228"/>
      <c r="BK13" s="1228"/>
      <c r="BL13" s="1228"/>
      <c r="BM13" s="1228"/>
      <c r="BN13" s="1228"/>
      <c r="BO13" s="1228"/>
      <c r="BP13" s="1228"/>
      <c r="BQ13" s="1228"/>
      <c r="BR13" s="1228"/>
      <c r="BS13" s="1228"/>
      <c r="BT13" s="1228"/>
      <c r="BU13" s="1228"/>
      <c r="BV13" s="1228"/>
      <c r="BW13" s="1228"/>
      <c r="BX13" s="1228"/>
      <c r="BY13" s="1228"/>
      <c r="BZ13" s="1228"/>
      <c r="CA13" s="1228"/>
      <c r="CB13" s="1228"/>
      <c r="CC13" s="1228"/>
      <c r="CD13" s="1228"/>
      <c r="CE13" s="1228"/>
      <c r="CF13" s="1228"/>
      <c r="CG13" s="1228"/>
      <c r="CH13" s="1228"/>
      <c r="CI13" s="1228"/>
      <c r="CJ13" s="1228"/>
      <c r="CK13" s="1228"/>
      <c r="CL13" s="1228"/>
      <c r="CM13" s="1228"/>
      <c r="CN13" s="1228"/>
      <c r="CO13" s="1228"/>
      <c r="CP13" s="1228"/>
      <c r="CQ13" s="1228"/>
      <c r="CR13" s="1228"/>
      <c r="CS13" s="1228"/>
      <c r="CT13" s="1228"/>
      <c r="CU13" s="1228"/>
      <c r="CV13" s="1228"/>
      <c r="CW13" s="1228"/>
      <c r="CX13" s="1228"/>
      <c r="CY13" s="1228"/>
      <c r="CZ13" s="1228"/>
      <c r="DA13" s="1228"/>
      <c r="DB13" s="1228"/>
      <c r="DC13" s="1228"/>
      <c r="DD13" s="1228"/>
      <c r="DE13" s="1228"/>
      <c r="DF13" s="1228"/>
      <c r="DG13" s="1228"/>
      <c r="DH13" s="1228"/>
      <c r="DI13" s="1228"/>
      <c r="DJ13" s="1228"/>
      <c r="DK13" s="1228"/>
      <c r="DL13" s="1228"/>
      <c r="DM13" s="1228"/>
      <c r="DN13" s="1228"/>
      <c r="DO13" s="1228"/>
      <c r="DP13" s="1228"/>
      <c r="DQ13" s="1228"/>
      <c r="DR13" s="1228"/>
      <c r="DS13" s="1228"/>
      <c r="DT13" s="1228"/>
      <c r="DU13" s="1228"/>
      <c r="DV13" s="1228"/>
      <c r="DW13" s="1228"/>
      <c r="DX13" s="1228"/>
      <c r="DY13" s="1228"/>
      <c r="DZ13" s="1228"/>
      <c r="EA13" s="1228"/>
      <c r="EB13" s="1228"/>
      <c r="EC13" s="1228"/>
      <c r="ED13" s="1228"/>
      <c r="EE13" s="1228"/>
      <c r="EF13" s="1228"/>
      <c r="EG13" s="1228"/>
      <c r="EH13" s="1228"/>
      <c r="EI13" s="1228"/>
      <c r="EJ13" s="1228"/>
      <c r="EK13" s="1228"/>
      <c r="EL13" s="1228"/>
      <c r="EM13" s="1228"/>
      <c r="EN13" s="1228"/>
      <c r="EO13" s="1228"/>
      <c r="EP13" s="1228"/>
      <c r="EQ13" s="1228"/>
      <c r="ER13" s="1228"/>
      <c r="ES13" s="1228"/>
      <c r="ET13" s="1228"/>
      <c r="EU13" s="1228"/>
      <c r="EV13" s="1228"/>
      <c r="EW13" s="1228"/>
      <c r="EX13" s="1228"/>
      <c r="EY13" s="1228"/>
      <c r="EZ13" s="1228"/>
      <c r="FA13" s="1228"/>
      <c r="FB13" s="1228"/>
      <c r="FC13" s="1228"/>
      <c r="FD13" s="1228"/>
      <c r="FE13" s="1228"/>
      <c r="FF13" s="1228"/>
      <c r="FG13" s="1228"/>
      <c r="FH13" s="1228"/>
      <c r="FI13" s="1228"/>
      <c r="FJ13" s="1228"/>
      <c r="FK13" s="1228"/>
      <c r="FL13" s="1228"/>
      <c r="FM13" s="1228"/>
      <c r="FN13" s="1228"/>
      <c r="FO13" s="1228"/>
      <c r="FP13" s="1228"/>
      <c r="FQ13" s="1228"/>
      <c r="FR13" s="1228"/>
      <c r="FS13" s="1228"/>
      <c r="FT13" s="1228"/>
      <c r="FU13" s="1228"/>
      <c r="FV13" s="1228"/>
    </row>
    <row r="14" spans="2:178" s="89" customFormat="1" ht="13.5" x14ac:dyDescent="0.25">
      <c r="B14" s="808" t="s">
        <v>584</v>
      </c>
      <c r="C14" s="1242" t="s">
        <v>443</v>
      </c>
      <c r="D14" s="1243">
        <v>0.85</v>
      </c>
      <c r="E14" s="1253">
        <f>IF($D$10="$",$D14/$D$9,IF($D$10="%",$D$9*$D14))</f>
        <v>8868929.2032800037</v>
      </c>
      <c r="F14" s="1252">
        <v>0.75</v>
      </c>
      <c r="G14" s="1243">
        <v>2025</v>
      </c>
    </row>
    <row r="15" spans="2:178" s="89" customFormat="1" ht="13.5" x14ac:dyDescent="0.25">
      <c r="B15" s="808" t="s">
        <v>585</v>
      </c>
      <c r="C15" s="1242" t="s">
        <v>581</v>
      </c>
      <c r="D15" s="1243">
        <v>0</v>
      </c>
      <c r="E15" s="1253">
        <f>IF($D$10="$",$D15/$D$9,IF($D$10="%",$D$9*$D15))</f>
        <v>0</v>
      </c>
      <c r="F15" s="1252">
        <v>0</v>
      </c>
      <c r="G15" s="1243">
        <v>2026</v>
      </c>
      <c r="K15" s="1228"/>
      <c r="L15" s="1228"/>
      <c r="M15" s="1228"/>
      <c r="N15" s="1228"/>
      <c r="O15" s="1228"/>
      <c r="P15" s="1228"/>
      <c r="Q15" s="1228"/>
      <c r="R15" s="1228"/>
      <c r="S15" s="1228"/>
      <c r="T15" s="1228"/>
      <c r="U15" s="1228"/>
      <c r="V15" s="1228"/>
      <c r="W15" s="1228"/>
      <c r="X15" s="1228"/>
      <c r="Y15" s="1228"/>
      <c r="Z15" s="1228"/>
      <c r="AA15" s="1228"/>
      <c r="AB15" s="1228"/>
      <c r="AC15" s="1228"/>
      <c r="AD15" s="1228"/>
      <c r="AE15" s="1228"/>
      <c r="AF15" s="1228"/>
      <c r="AG15" s="1228"/>
      <c r="AH15" s="1228"/>
      <c r="AI15" s="1228"/>
      <c r="AJ15" s="1228"/>
      <c r="AK15" s="1228"/>
      <c r="AL15" s="1228"/>
      <c r="AM15" s="1228"/>
      <c r="AN15" s="1228"/>
      <c r="AO15" s="1228"/>
      <c r="AP15" s="1228"/>
      <c r="AQ15" s="1228"/>
      <c r="AR15" s="1228"/>
      <c r="AS15" s="1228"/>
      <c r="AT15" s="1228"/>
      <c r="AU15" s="1228"/>
      <c r="AV15" s="1228"/>
      <c r="AW15" s="1228"/>
      <c r="AX15" s="1228"/>
      <c r="AY15" s="1228"/>
      <c r="AZ15" s="1228"/>
      <c r="BA15" s="1228"/>
      <c r="BB15" s="1228"/>
      <c r="BC15" s="1228"/>
      <c r="BD15" s="1228"/>
      <c r="BE15" s="1228"/>
      <c r="BF15" s="1228"/>
      <c r="BG15" s="1228"/>
      <c r="BH15" s="1228"/>
      <c r="BI15" s="1228"/>
      <c r="BJ15" s="1228"/>
      <c r="BK15" s="1228"/>
      <c r="BL15" s="1228"/>
      <c r="BM15" s="1228"/>
      <c r="BN15" s="1228"/>
      <c r="BO15" s="1228"/>
      <c r="BP15" s="1228"/>
      <c r="BQ15" s="1228"/>
      <c r="BR15" s="1228"/>
      <c r="BS15" s="1228"/>
      <c r="BT15" s="1228"/>
      <c r="BU15" s="1228"/>
      <c r="BV15" s="1228"/>
      <c r="BW15" s="1228"/>
      <c r="BX15" s="1228"/>
      <c r="BY15" s="1228"/>
      <c r="BZ15" s="1228"/>
      <c r="CA15" s="1228"/>
      <c r="CB15" s="1228"/>
      <c r="CC15" s="1228"/>
      <c r="CD15" s="1228"/>
      <c r="CE15" s="1228"/>
      <c r="CF15" s="1228"/>
      <c r="CG15" s="1228"/>
      <c r="CH15" s="1228"/>
      <c r="CI15" s="1228"/>
      <c r="CJ15" s="1228"/>
      <c r="CK15" s="1228"/>
      <c r="CL15" s="1228"/>
      <c r="CM15" s="1228"/>
      <c r="CN15" s="1228"/>
      <c r="CO15" s="1228"/>
      <c r="CP15" s="1228"/>
      <c r="CQ15" s="1228"/>
      <c r="CR15" s="1228"/>
      <c r="CS15" s="1228"/>
      <c r="CT15" s="1228"/>
      <c r="CU15" s="1228"/>
      <c r="CV15" s="1228"/>
      <c r="CW15" s="1228"/>
      <c r="CX15" s="1228"/>
      <c r="CY15" s="1228"/>
      <c r="CZ15" s="1228"/>
      <c r="DA15" s="1228"/>
      <c r="DB15" s="1228"/>
      <c r="DC15" s="1228"/>
      <c r="DD15" s="1228"/>
      <c r="DE15" s="1228"/>
      <c r="DF15" s="1228"/>
      <c r="DG15" s="1228"/>
      <c r="DH15" s="1228"/>
      <c r="DI15" s="1228"/>
      <c r="DJ15" s="1228"/>
      <c r="DK15" s="1228"/>
      <c r="DL15" s="1228"/>
      <c r="DM15" s="1228"/>
      <c r="DN15" s="1228"/>
      <c r="DO15" s="1228"/>
      <c r="DP15" s="1228"/>
      <c r="DQ15" s="1228"/>
      <c r="DR15" s="1228"/>
      <c r="DS15" s="1228"/>
      <c r="DT15" s="1228"/>
      <c r="DU15" s="1228"/>
      <c r="DV15" s="1228"/>
      <c r="DW15" s="1228"/>
      <c r="DX15" s="1228"/>
      <c r="DY15" s="1228"/>
      <c r="DZ15" s="1228"/>
      <c r="EA15" s="1228"/>
      <c r="EB15" s="1228"/>
      <c r="EC15" s="1228"/>
      <c r="ED15" s="1228"/>
      <c r="EE15" s="1228"/>
      <c r="EF15" s="1228"/>
      <c r="EG15" s="1228"/>
      <c r="EH15" s="1228"/>
      <c r="EI15" s="1228"/>
      <c r="EJ15" s="1228"/>
      <c r="EK15" s="1228"/>
      <c r="EL15" s="1228"/>
      <c r="EM15" s="1228"/>
      <c r="EN15" s="1228"/>
      <c r="EO15" s="1228"/>
      <c r="EP15" s="1228"/>
      <c r="EQ15" s="1228"/>
      <c r="ER15" s="1228"/>
      <c r="ES15" s="1228"/>
      <c r="ET15" s="1228"/>
      <c r="EU15" s="1228"/>
      <c r="EV15" s="1228"/>
      <c r="EW15" s="1228"/>
      <c r="EX15" s="1228"/>
      <c r="EY15" s="1228"/>
      <c r="EZ15" s="1228"/>
      <c r="FA15" s="1228"/>
      <c r="FB15" s="1228"/>
      <c r="FC15" s="1228"/>
      <c r="FD15" s="1228"/>
      <c r="FE15" s="1228"/>
      <c r="FF15" s="1228"/>
      <c r="FG15" s="1228"/>
      <c r="FH15" s="1228"/>
      <c r="FI15" s="1228"/>
      <c r="FJ15" s="1228"/>
      <c r="FK15" s="1228"/>
      <c r="FL15" s="1228"/>
      <c r="FM15" s="1228"/>
      <c r="FN15" s="1228"/>
      <c r="FO15" s="1228"/>
      <c r="FP15" s="1228"/>
      <c r="FQ15" s="1228"/>
      <c r="FR15" s="1228"/>
      <c r="FS15" s="1228"/>
      <c r="FT15" s="1228"/>
      <c r="FU15" s="1228"/>
      <c r="FV15" s="1228"/>
    </row>
    <row r="16" spans="2:178" s="89" customFormat="1" ht="13.5" x14ac:dyDescent="0.25">
      <c r="B16" s="1245" t="s">
        <v>585</v>
      </c>
      <c r="C16" s="1242" t="s">
        <v>580</v>
      </c>
      <c r="D16" s="1243">
        <v>0</v>
      </c>
      <c r="E16" s="1253">
        <f>IF($D$10="$",$D16/$D$9,IF($D$10="%",$D$9*$D16))</f>
        <v>0</v>
      </c>
      <c r="F16" s="1252">
        <v>0</v>
      </c>
      <c r="G16" s="1243">
        <v>2026</v>
      </c>
    </row>
    <row r="17" spans="2:178" s="89" customFormat="1" ht="13.5" x14ac:dyDescent="0.25">
      <c r="B17" s="1246"/>
      <c r="C17" s="1246"/>
      <c r="D17" s="1251">
        <f>SUMIFS(D13:D16,$B$13:$B$16,"="&amp;"Y")</f>
        <v>1</v>
      </c>
      <c r="E17" s="1247">
        <f>SUMIFS(E13:E16,$B$13:$B$16,"="&amp;"Y")</f>
        <v>10434034.356800005</v>
      </c>
      <c r="F17" s="1248">
        <f>SUMIFS($F$13:$F$16,$B$13:$B$16,"="&amp;"Y")</f>
        <v>1</v>
      </c>
      <c r="G17" s="1246"/>
      <c r="K17" s="1228"/>
      <c r="L17" s="1228"/>
      <c r="M17" s="1228"/>
      <c r="N17" s="1228"/>
      <c r="O17" s="1228"/>
      <c r="P17" s="1228"/>
      <c r="Q17" s="1228"/>
      <c r="R17" s="1228"/>
      <c r="S17" s="1228"/>
      <c r="T17" s="1228"/>
      <c r="U17" s="1228"/>
      <c r="V17" s="1228"/>
      <c r="W17" s="1228"/>
      <c r="X17" s="1228"/>
      <c r="Y17" s="1228"/>
      <c r="Z17" s="1228"/>
      <c r="AA17" s="1228"/>
      <c r="AB17" s="1228"/>
      <c r="AC17" s="1228"/>
      <c r="AD17" s="1228"/>
      <c r="AE17" s="1228"/>
      <c r="AF17" s="1228"/>
      <c r="AG17" s="1228"/>
      <c r="AH17" s="1228"/>
      <c r="AI17" s="1228"/>
      <c r="AJ17" s="1228"/>
      <c r="AK17" s="1228"/>
      <c r="AL17" s="1228"/>
      <c r="AM17" s="1228"/>
      <c r="AN17" s="1228"/>
      <c r="AO17" s="1228"/>
      <c r="AP17" s="1228"/>
      <c r="AQ17" s="1228"/>
      <c r="AR17" s="1228"/>
      <c r="AS17" s="1228"/>
      <c r="AT17" s="1228"/>
      <c r="AU17" s="1228"/>
      <c r="AV17" s="1228"/>
      <c r="AW17" s="1228"/>
      <c r="AX17" s="1228"/>
      <c r="AY17" s="1228"/>
      <c r="AZ17" s="1228"/>
      <c r="BA17" s="1228"/>
      <c r="BB17" s="1228"/>
      <c r="BC17" s="1228"/>
      <c r="BD17" s="1228"/>
      <c r="BE17" s="1228"/>
      <c r="BF17" s="1228"/>
      <c r="BG17" s="1228"/>
      <c r="BH17" s="1228"/>
      <c r="BI17" s="1228"/>
      <c r="BJ17" s="1228"/>
      <c r="BK17" s="1228"/>
      <c r="BL17" s="1228"/>
      <c r="BM17" s="1228"/>
      <c r="BN17" s="1228"/>
      <c r="BO17" s="1228"/>
      <c r="BP17" s="1228"/>
      <c r="BQ17" s="1228"/>
      <c r="BR17" s="1228"/>
      <c r="BS17" s="1228"/>
      <c r="BT17" s="1228"/>
      <c r="BU17" s="1228"/>
      <c r="BV17" s="1228"/>
      <c r="BW17" s="1228"/>
      <c r="BX17" s="1228"/>
      <c r="BY17" s="1228"/>
      <c r="BZ17" s="1228"/>
      <c r="CA17" s="1228"/>
      <c r="CB17" s="1228"/>
      <c r="CC17" s="1228"/>
      <c r="CD17" s="1228"/>
      <c r="CE17" s="1228"/>
      <c r="CF17" s="1228"/>
      <c r="CG17" s="1228"/>
      <c r="CH17" s="1228"/>
      <c r="CI17" s="1228"/>
      <c r="CJ17" s="1228"/>
      <c r="CK17" s="1228"/>
      <c r="CL17" s="1228"/>
      <c r="CM17" s="1228"/>
      <c r="CN17" s="1228"/>
      <c r="CO17" s="1228"/>
      <c r="CP17" s="1228"/>
      <c r="CQ17" s="1228"/>
      <c r="CR17" s="1228"/>
      <c r="CS17" s="1228"/>
      <c r="CT17" s="1228"/>
      <c r="CU17" s="1228"/>
      <c r="CV17" s="1228"/>
      <c r="CW17" s="1228"/>
      <c r="CX17" s="1228"/>
      <c r="CY17" s="1228"/>
      <c r="CZ17" s="1228"/>
      <c r="DA17" s="1228"/>
      <c r="DB17" s="1228"/>
      <c r="DC17" s="1228"/>
      <c r="DD17" s="1228"/>
      <c r="DE17" s="1228"/>
      <c r="DF17" s="1228"/>
      <c r="DG17" s="1228"/>
      <c r="DH17" s="1228"/>
      <c r="DI17" s="1228"/>
      <c r="DJ17" s="1228"/>
      <c r="DK17" s="1228"/>
      <c r="DL17" s="1228"/>
      <c r="DM17" s="1228"/>
      <c r="DN17" s="1228"/>
      <c r="DO17" s="1228"/>
      <c r="DP17" s="1228"/>
      <c r="DQ17" s="1228"/>
      <c r="DR17" s="1228"/>
      <c r="DS17" s="1228"/>
      <c r="DT17" s="1228"/>
      <c r="DU17" s="1228"/>
      <c r="DV17" s="1228"/>
      <c r="DW17" s="1228"/>
      <c r="DX17" s="1228"/>
      <c r="DY17" s="1228"/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8"/>
      <c r="EN17" s="1228"/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8"/>
      <c r="FC17" s="1228"/>
      <c r="FD17" s="1228"/>
      <c r="FE17" s="1228"/>
      <c r="FF17" s="1228"/>
      <c r="FG17" s="1228"/>
      <c r="FH17" s="1228"/>
      <c r="FI17" s="1228"/>
      <c r="FJ17" s="1228"/>
      <c r="FK17" s="1228"/>
      <c r="FL17" s="1228"/>
      <c r="FM17" s="1228"/>
      <c r="FN17" s="1228"/>
      <c r="FO17" s="1228"/>
      <c r="FP17" s="1228"/>
      <c r="FQ17" s="1228"/>
      <c r="FR17" s="1228"/>
      <c r="FS17" s="1228"/>
      <c r="FT17" s="1228"/>
      <c r="FU17" s="1228"/>
      <c r="FV17" s="1228"/>
    </row>
    <row r="18" spans="2:178" s="89" customFormat="1" ht="13.5" x14ac:dyDescent="0.25"/>
    <row r="19" spans="2:178" s="89" customFormat="1" ht="13.5" x14ac:dyDescent="0.25">
      <c r="C19" s="132" t="s">
        <v>586</v>
      </c>
      <c r="D19" s="62"/>
      <c r="E19" s="62"/>
      <c r="F19" s="62"/>
      <c r="G19" s="1260"/>
    </row>
    <row r="20" spans="2:178" s="89" customFormat="1" x14ac:dyDescent="0.25">
      <c r="D20"/>
    </row>
    <row r="21" spans="2:178" s="89" customFormat="1" ht="13.5" x14ac:dyDescent="0.25">
      <c r="C21" s="1256" t="s">
        <v>587</v>
      </c>
      <c r="D21" s="1257"/>
      <c r="E21" s="1257"/>
      <c r="F21" s="1257"/>
      <c r="G21" s="1258"/>
    </row>
    <row r="22" spans="2:178" s="89" customFormat="1" ht="5.0999999999999996" customHeight="1" x14ac:dyDescent="0.25"/>
    <row r="23" spans="2:178" s="89" customFormat="1" ht="13.5" x14ac:dyDescent="0.25">
      <c r="C23" s="1250" t="s">
        <v>588</v>
      </c>
      <c r="D23" s="1250" t="s">
        <v>590</v>
      </c>
      <c r="E23" s="1250" t="s">
        <v>589</v>
      </c>
      <c r="F23" s="1250" t="s">
        <v>591</v>
      </c>
      <c r="G23" s="162"/>
    </row>
    <row r="24" spans="2:178" s="89" customFormat="1" ht="13.5" x14ac:dyDescent="0.25">
      <c r="C24" s="1241" t="str">
        <f>IF(B$13="Y",C$13,"-")</f>
        <v>Sponsor</v>
      </c>
      <c r="D24" s="1252">
        <v>0</v>
      </c>
      <c r="E24" s="1252">
        <v>0.08</v>
      </c>
      <c r="F24" s="1252">
        <v>0.25</v>
      </c>
    </row>
    <row r="25" spans="2:178" s="89" customFormat="1" ht="13.5" x14ac:dyDescent="0.25">
      <c r="C25" s="1241" t="str">
        <f>IF(B$14="Y",C$14,"-")</f>
        <v>Limited Partner</v>
      </c>
      <c r="D25" s="1252">
        <v>0</v>
      </c>
      <c r="E25" s="1252">
        <v>0</v>
      </c>
      <c r="F25" s="1252">
        <v>0.75</v>
      </c>
    </row>
    <row r="26" spans="2:178" s="89" customFormat="1" ht="13.5" x14ac:dyDescent="0.25">
      <c r="C26" s="1241" t="str">
        <f>IF(B$15="Y",C$15,"-")</f>
        <v>-</v>
      </c>
      <c r="D26" s="1252"/>
      <c r="E26" s="1252">
        <v>0</v>
      </c>
      <c r="F26" s="1252"/>
    </row>
    <row r="27" spans="2:178" s="89" customFormat="1" ht="13.5" x14ac:dyDescent="0.25">
      <c r="C27" s="1241" t="str">
        <f>IF(B$16="Y",C$16,"-")</f>
        <v>-</v>
      </c>
      <c r="D27" s="1252"/>
      <c r="E27" s="1252">
        <v>0</v>
      </c>
      <c r="F27" s="1252">
        <v>0</v>
      </c>
    </row>
    <row r="28" spans="2:178" s="89" customFormat="1" ht="13.5" x14ac:dyDescent="0.25">
      <c r="C28" s="1246"/>
      <c r="D28" s="1246"/>
      <c r="E28" s="1246"/>
      <c r="F28" s="1248">
        <f>SUMIFS(F24:F27,C24:C27,"&lt;&gt;"&amp;"-")</f>
        <v>1</v>
      </c>
      <c r="L28" s="89" t="s">
        <v>651</v>
      </c>
    </row>
    <row r="29" spans="2:178" s="89" customFormat="1" ht="13.5" x14ac:dyDescent="0.25"/>
    <row r="30" spans="2:178" s="89" customFormat="1" ht="13.5" x14ac:dyDescent="0.25">
      <c r="B30" s="808" t="s">
        <v>653</v>
      </c>
      <c r="C30" s="1256" t="str">
        <f>"Tier 2 - "&amp;D32&amp;" Hurdle"</f>
        <v>Tier 2 - IRR Hurdle</v>
      </c>
      <c r="D30" s="1257"/>
      <c r="E30" s="1257"/>
      <c r="F30" s="1257"/>
      <c r="G30" s="1258"/>
    </row>
    <row r="31" spans="2:178" s="89" customFormat="1" ht="5.0999999999999996" customHeight="1" x14ac:dyDescent="0.25"/>
    <row r="32" spans="2:178" s="89" customFormat="1" ht="13.5" x14ac:dyDescent="0.25">
      <c r="C32" s="162" t="s">
        <v>592</v>
      </c>
      <c r="D32" s="808" t="s">
        <v>1</v>
      </c>
      <c r="E32" s="1262">
        <v>0</v>
      </c>
    </row>
    <row r="33" spans="2:7" s="89" customFormat="1" ht="5.0999999999999996" customHeight="1" x14ac:dyDescent="0.25"/>
    <row r="34" spans="2:7" s="89" customFormat="1" ht="13.5" x14ac:dyDescent="0.25">
      <c r="C34" s="1250" t="s">
        <v>588</v>
      </c>
      <c r="D34" s="1250" t="s">
        <v>590</v>
      </c>
      <c r="E34" s="1250" t="s">
        <v>589</v>
      </c>
      <c r="F34" s="1250" t="s">
        <v>591</v>
      </c>
    </row>
    <row r="35" spans="2:7" s="89" customFormat="1" ht="13.5" x14ac:dyDescent="0.25">
      <c r="C35" s="1241" t="str">
        <f>IF(B$13="Y",C$13,"-")</f>
        <v>Sponsor</v>
      </c>
      <c r="D35" s="1252">
        <v>0</v>
      </c>
      <c r="E35" s="1252">
        <v>0</v>
      </c>
      <c r="F35" s="1252">
        <v>0</v>
      </c>
    </row>
    <row r="36" spans="2:7" s="89" customFormat="1" ht="13.5" x14ac:dyDescent="0.25">
      <c r="C36" s="1241" t="str">
        <f>IF(B$14="Y",C$14,"-")</f>
        <v>Limited Partner</v>
      </c>
      <c r="D36" s="1252">
        <v>0</v>
      </c>
      <c r="E36" s="1252">
        <v>0</v>
      </c>
      <c r="F36" s="1252">
        <v>0</v>
      </c>
    </row>
    <row r="37" spans="2:7" s="89" customFormat="1" ht="13.5" x14ac:dyDescent="0.25">
      <c r="C37" s="1241" t="str">
        <f>IF(B$15="Y",C$15,"-")</f>
        <v>-</v>
      </c>
      <c r="D37" s="1252">
        <v>0</v>
      </c>
      <c r="E37" s="1252">
        <v>0</v>
      </c>
      <c r="F37" s="1252">
        <v>0</v>
      </c>
    </row>
    <row r="38" spans="2:7" s="89" customFormat="1" ht="13.5" x14ac:dyDescent="0.25">
      <c r="C38" s="1241" t="str">
        <f>IF(B$16="Y",C$16,"-")</f>
        <v>-</v>
      </c>
      <c r="D38" s="1252">
        <v>0</v>
      </c>
      <c r="E38" s="1252">
        <v>0</v>
      </c>
      <c r="F38" s="1252">
        <v>0</v>
      </c>
    </row>
    <row r="39" spans="2:7" s="89" customFormat="1" ht="13.5" x14ac:dyDescent="0.25">
      <c r="C39" s="1246"/>
      <c r="D39" s="1246"/>
      <c r="E39" s="1246"/>
      <c r="F39" s="1248">
        <f>IF(B30="Off",0,SUMIFS(F35:F38,C35:C38,"&lt;&gt;"&amp;"-"))</f>
        <v>0</v>
      </c>
    </row>
    <row r="40" spans="2:7" s="89" customFormat="1" ht="13.5" x14ac:dyDescent="0.25"/>
    <row r="41" spans="2:7" s="89" customFormat="1" ht="13.5" x14ac:dyDescent="0.25">
      <c r="B41" s="808" t="s">
        <v>653</v>
      </c>
      <c r="C41" s="1256" t="str">
        <f>"Tier 3 - "&amp;D43&amp;" Hurdle"</f>
        <v>Tier 3 - IRR Hurdle</v>
      </c>
      <c r="D41" s="1257"/>
      <c r="E41" s="1257"/>
      <c r="F41" s="1257"/>
      <c r="G41" s="1258"/>
    </row>
    <row r="42" spans="2:7" s="89" customFormat="1" ht="5.0999999999999996" customHeight="1" x14ac:dyDescent="0.25"/>
    <row r="43" spans="2:7" s="89" customFormat="1" x14ac:dyDescent="0.25">
      <c r="C43" s="162" t="s">
        <v>592</v>
      </c>
      <c r="D43" s="1255" t="str">
        <f>D32</f>
        <v>IRR</v>
      </c>
      <c r="E43" s="1262">
        <v>0</v>
      </c>
    </row>
    <row r="44" spans="2:7" s="89" customFormat="1" ht="5.0999999999999996" customHeight="1" x14ac:dyDescent="0.25"/>
    <row r="45" spans="2:7" s="89" customFormat="1" ht="13.5" x14ac:dyDescent="0.25">
      <c r="C45" s="1250" t="s">
        <v>588</v>
      </c>
      <c r="D45" s="1250" t="s">
        <v>590</v>
      </c>
      <c r="E45" s="1250" t="s">
        <v>589</v>
      </c>
      <c r="F45" s="1250" t="s">
        <v>591</v>
      </c>
    </row>
    <row r="46" spans="2:7" s="89" customFormat="1" ht="13.5" x14ac:dyDescent="0.25">
      <c r="C46" s="1241" t="str">
        <f>IF(B$13="Y",C$13,"-")</f>
        <v>Sponsor</v>
      </c>
      <c r="D46" s="1252">
        <v>0</v>
      </c>
      <c r="E46" s="1252">
        <v>0</v>
      </c>
      <c r="F46" s="1252">
        <v>0</v>
      </c>
    </row>
    <row r="47" spans="2:7" s="89" customFormat="1" ht="13.5" x14ac:dyDescent="0.25">
      <c r="C47" s="1241" t="str">
        <f>IF(B$14="Y",C$14,"-")</f>
        <v>Limited Partner</v>
      </c>
      <c r="D47" s="1252">
        <v>0</v>
      </c>
      <c r="E47" s="1252">
        <v>0</v>
      </c>
      <c r="F47" s="1252">
        <v>0</v>
      </c>
    </row>
    <row r="48" spans="2:7" s="89" customFormat="1" ht="13.5" x14ac:dyDescent="0.25">
      <c r="C48" s="1241" t="str">
        <f>IF(B$15="Y",C$15,"-")</f>
        <v>-</v>
      </c>
      <c r="D48" s="1252">
        <v>0</v>
      </c>
      <c r="E48" s="1252">
        <v>0</v>
      </c>
      <c r="F48" s="1252">
        <v>0</v>
      </c>
    </row>
    <row r="49" spans="2:21" s="89" customFormat="1" ht="13.5" x14ac:dyDescent="0.25">
      <c r="C49" s="1241" t="str">
        <f>IF(B$16="Y",C$16,"-")</f>
        <v>-</v>
      </c>
      <c r="D49" s="1252">
        <v>0</v>
      </c>
      <c r="E49" s="1252">
        <v>0</v>
      </c>
      <c r="F49" s="1252">
        <v>0</v>
      </c>
    </row>
    <row r="50" spans="2:21" s="89" customFormat="1" ht="13.5" x14ac:dyDescent="0.25">
      <c r="C50" s="1246"/>
      <c r="D50" s="1246"/>
      <c r="E50" s="1246"/>
      <c r="F50" s="1248">
        <f>IF(B41="Off",0,SUMIFS(F46:F49,C46:C49,"&lt;&gt;"&amp;"-"))</f>
        <v>0</v>
      </c>
    </row>
    <row r="51" spans="2:21" s="89" customFormat="1" ht="13.5" x14ac:dyDescent="0.25"/>
    <row r="52" spans="2:21" s="89" customFormat="1" ht="13.5" x14ac:dyDescent="0.25">
      <c r="B52" s="808" t="s">
        <v>653</v>
      </c>
      <c r="C52" s="1256" t="str">
        <f>"Tier 4 - "&amp;D54&amp;" Hurdle"</f>
        <v>Tier 4 - IRR Hurdle</v>
      </c>
      <c r="D52" s="1257"/>
      <c r="E52" s="1257"/>
      <c r="F52" s="1257"/>
      <c r="G52" s="1258"/>
    </row>
    <row r="53" spans="2:21" s="89" customFormat="1" ht="5.0999999999999996" customHeight="1" x14ac:dyDescent="0.25"/>
    <row r="54" spans="2:21" s="89" customFormat="1" x14ac:dyDescent="0.25">
      <c r="C54" s="162" t="s">
        <v>592</v>
      </c>
      <c r="D54" s="1255" t="str">
        <f>D43</f>
        <v>IRR</v>
      </c>
      <c r="E54" s="1262">
        <v>0</v>
      </c>
    </row>
    <row r="55" spans="2:21" s="89" customFormat="1" ht="5.0999999999999996" customHeight="1" x14ac:dyDescent="0.25"/>
    <row r="56" spans="2:21" s="89" customFormat="1" ht="13.5" x14ac:dyDescent="0.25">
      <c r="C56" s="1250" t="s">
        <v>588</v>
      </c>
      <c r="D56" s="1250" t="s">
        <v>590</v>
      </c>
      <c r="E56" s="1250" t="s">
        <v>589</v>
      </c>
      <c r="F56" s="1250" t="s">
        <v>591</v>
      </c>
    </row>
    <row r="57" spans="2:21" s="89" customFormat="1" ht="13.5" x14ac:dyDescent="0.25">
      <c r="C57" s="1241" t="str">
        <f>IF(B$13="Y",C$13,"-")</f>
        <v>Sponsor</v>
      </c>
      <c r="D57" s="1252">
        <v>0</v>
      </c>
      <c r="E57" s="1252">
        <v>0</v>
      </c>
      <c r="F57" s="1252">
        <v>0</v>
      </c>
    </row>
    <row r="58" spans="2:21" s="89" customFormat="1" ht="13.5" x14ac:dyDescent="0.25">
      <c r="C58" s="1241" t="str">
        <f>IF(B$14="Y",C$14,"-")</f>
        <v>Limited Partner</v>
      </c>
      <c r="D58" s="1252">
        <v>0</v>
      </c>
      <c r="E58" s="1252">
        <v>0</v>
      </c>
      <c r="F58" s="1252">
        <v>0</v>
      </c>
    </row>
    <row r="59" spans="2:21" s="89" customFormat="1" ht="13.5" x14ac:dyDescent="0.25">
      <c r="C59" s="1241" t="str">
        <f>IF(B$15="Y",C$15,"-")</f>
        <v>-</v>
      </c>
      <c r="D59" s="1252">
        <v>0</v>
      </c>
      <c r="E59" s="1252">
        <v>0</v>
      </c>
      <c r="F59" s="1252">
        <v>0</v>
      </c>
    </row>
    <row r="60" spans="2:21" s="89" customFormat="1" ht="13.5" x14ac:dyDescent="0.25">
      <c r="C60" s="1241" t="str">
        <f>IF(B$16="Y",C$16,"-")</f>
        <v>-</v>
      </c>
      <c r="D60" s="1252">
        <v>0</v>
      </c>
      <c r="E60" s="1252">
        <v>0</v>
      </c>
      <c r="F60" s="1252">
        <v>0</v>
      </c>
    </row>
    <row r="61" spans="2:21" s="89" customFormat="1" ht="13.5" x14ac:dyDescent="0.25">
      <c r="C61" s="1246"/>
      <c r="D61" s="1246"/>
      <c r="E61" s="1246"/>
      <c r="F61" s="1248">
        <f>IF(B52="Off",0,SUMIFS(F57:F60,C57:C60,"&lt;&gt;"&amp;"-"))</f>
        <v>0</v>
      </c>
    </row>
    <row r="62" spans="2:21" s="89" customFormat="1" ht="13.5" x14ac:dyDescent="0.25"/>
    <row r="63" spans="2:21" s="89" customFormat="1" ht="13.5" x14ac:dyDescent="0.25">
      <c r="C63" s="1259"/>
      <c r="D63" s="1259"/>
      <c r="E63" s="1259"/>
      <c r="F63" s="1259"/>
      <c r="G63" s="1259"/>
      <c r="H63" s="1229"/>
      <c r="I63" s="1264" t="s">
        <v>487</v>
      </c>
      <c r="J63" s="1264">
        <f>'Operating Proforma'!G8</f>
        <v>0.1</v>
      </c>
      <c r="K63" s="1264">
        <f>'Operating Proforma'!H8</f>
        <v>1</v>
      </c>
      <c r="L63" s="1264">
        <f>'Operating Proforma'!I8</f>
        <v>2</v>
      </c>
      <c r="M63" s="1264">
        <f>'Operating Proforma'!L8</f>
        <v>3</v>
      </c>
      <c r="N63" s="1264">
        <f>'Operating Proforma'!M8</f>
        <v>4</v>
      </c>
      <c r="O63" s="1264">
        <f>'Operating Proforma'!N8</f>
        <v>5</v>
      </c>
      <c r="P63" s="1264">
        <f>'Operating Proforma'!O8</f>
        <v>6</v>
      </c>
      <c r="Q63" s="1264">
        <f>'Operating Proforma'!P8</f>
        <v>7</v>
      </c>
      <c r="R63" s="1264">
        <f>'Operating Proforma'!Q8</f>
        <v>8</v>
      </c>
      <c r="S63" s="1264">
        <f>'Operating Proforma'!R8</f>
        <v>9</v>
      </c>
      <c r="T63" s="1264">
        <f>'Operating Proforma'!S8</f>
        <v>10</v>
      </c>
      <c r="U63" s="1259"/>
    </row>
    <row r="64" spans="2:21" s="89" customFormat="1" ht="13.5" x14ac:dyDescent="0.25">
      <c r="C64" s="514"/>
      <c r="D64" s="514"/>
      <c r="E64" s="514"/>
      <c r="F64" s="514"/>
      <c r="G64" s="514"/>
      <c r="H64" s="514"/>
      <c r="I64" s="1371">
        <f>'Financing Assumptions'!L23</f>
        <v>2026</v>
      </c>
      <c r="J64" s="1229">
        <f>'Operating Proforma'!G9</f>
        <v>2027</v>
      </c>
      <c r="K64" s="1229">
        <f>'Operating Proforma'!H9</f>
        <v>2028</v>
      </c>
      <c r="L64" s="1229">
        <f>'Operating Proforma'!I9</f>
        <v>2029</v>
      </c>
      <c r="M64" s="1229">
        <f>'Operating Proforma'!L9</f>
        <v>2030</v>
      </c>
      <c r="N64" s="1229">
        <f>'Operating Proforma'!M9</f>
        <v>2031</v>
      </c>
      <c r="O64" s="1229">
        <f>'Operating Proforma'!N9</f>
        <v>2032</v>
      </c>
      <c r="P64" s="1229">
        <f>'Operating Proforma'!O9</f>
        <v>2033</v>
      </c>
      <c r="Q64" s="1229">
        <f>'Operating Proforma'!P9</f>
        <v>2034</v>
      </c>
      <c r="R64" s="1229">
        <f>'Operating Proforma'!Q9</f>
        <v>2035</v>
      </c>
      <c r="S64" s="1229">
        <f>'Operating Proforma'!R9</f>
        <v>2036</v>
      </c>
      <c r="T64" s="1229">
        <f>'Operating Proforma'!S9</f>
        <v>2037</v>
      </c>
      <c r="U64" s="514"/>
    </row>
    <row r="65" spans="3:21" s="89" customFormat="1" ht="13.5" x14ac:dyDescent="0.25">
      <c r="J65" s="1234"/>
      <c r="K65" s="1234"/>
      <c r="L65" s="1234"/>
      <c r="M65" s="1234"/>
      <c r="N65" s="1234"/>
      <c r="O65" s="1234"/>
      <c r="P65" s="1234"/>
      <c r="Q65" s="1234"/>
      <c r="R65" s="1234"/>
      <c r="S65" s="1234"/>
      <c r="T65" s="1234"/>
    </row>
    <row r="66" spans="3:21" s="89" customFormat="1" ht="13.5" x14ac:dyDescent="0.25">
      <c r="C66" s="815" t="s">
        <v>593</v>
      </c>
      <c r="D66" s="1236" t="s">
        <v>594</v>
      </c>
      <c r="E66" s="1236" t="s">
        <v>583</v>
      </c>
      <c r="F66" s="1236" t="s">
        <v>595</v>
      </c>
    </row>
    <row r="67" spans="3:21" s="89" customFormat="1" ht="13.5" x14ac:dyDescent="0.25">
      <c r="C67" s="1241" t="str">
        <f>IF(B$13="Y",C$13,"-")</f>
        <v>Sponsor</v>
      </c>
      <c r="D67" s="1244">
        <f t="shared" ref="D67:D69" si="0">IF($B13="N","-",IF($D$10="$",$E13,IF($D$10="%",$D13)))</f>
        <v>0.15</v>
      </c>
      <c r="E67" s="1228">
        <f t="shared" ref="E67:E69" si="1">-IF($B13="N",0,IF($D$10="$",$D13,IF($D$10="%",$E13)))</f>
        <v>-1565105.1535200006</v>
      </c>
      <c r="F67" s="162">
        <f>IF(C67="-","-",$G13)</f>
        <v>2025</v>
      </c>
      <c r="H67" s="1236"/>
      <c r="I67" s="1228">
        <f>IF($F67="-",0,IF($F67=I$64,$E67,IF($F67&lt;I$64,0,IF($F67&gt;I$64,0))))</f>
        <v>0</v>
      </c>
      <c r="J67" s="1228">
        <f t="shared" ref="J67:T67" si="2">IF($F67="-",0,IF($F67=J$64,$E67,IF($F67&lt;J$64,0,IF($F67&gt;J$64,0))))</f>
        <v>0</v>
      </c>
      <c r="K67" s="1228">
        <f t="shared" si="2"/>
        <v>0</v>
      </c>
      <c r="L67" s="1228">
        <f t="shared" si="2"/>
        <v>0</v>
      </c>
      <c r="M67" s="1228">
        <f t="shared" si="2"/>
        <v>0</v>
      </c>
      <c r="N67" s="1228">
        <f t="shared" si="2"/>
        <v>0</v>
      </c>
      <c r="O67" s="1228">
        <f t="shared" si="2"/>
        <v>0</v>
      </c>
      <c r="P67" s="1228">
        <f t="shared" si="2"/>
        <v>0</v>
      </c>
      <c r="Q67" s="1228">
        <f t="shared" si="2"/>
        <v>0</v>
      </c>
      <c r="R67" s="1228">
        <f t="shared" si="2"/>
        <v>0</v>
      </c>
      <c r="S67" s="1228">
        <f t="shared" si="2"/>
        <v>0</v>
      </c>
      <c r="T67" s="1228">
        <f t="shared" si="2"/>
        <v>0</v>
      </c>
    </row>
    <row r="68" spans="3:21" s="89" customFormat="1" ht="13.5" x14ac:dyDescent="0.25">
      <c r="C68" s="1241" t="str">
        <f>IF(B$14="Y",C$14,"-")</f>
        <v>Limited Partner</v>
      </c>
      <c r="D68" s="1244">
        <f t="shared" si="0"/>
        <v>0.85</v>
      </c>
      <c r="E68" s="1228">
        <f t="shared" si="1"/>
        <v>-8868929.2032800037</v>
      </c>
      <c r="F68" s="162">
        <f t="shared" ref="F68:F70" si="3">IF(C68="-","-",$G14)</f>
        <v>2025</v>
      </c>
      <c r="I68" s="1228">
        <f t="shared" ref="I68:T70" si="4">IF($F68="-",0,IF($F68=I$64,$E68,IF($F68&lt;I$64,0,IF($F68&gt;I$64,0))))</f>
        <v>0</v>
      </c>
      <c r="J68" s="1228">
        <f t="shared" si="4"/>
        <v>0</v>
      </c>
      <c r="K68" s="1228">
        <f t="shared" si="4"/>
        <v>0</v>
      </c>
      <c r="L68" s="1228">
        <f t="shared" si="4"/>
        <v>0</v>
      </c>
      <c r="M68" s="1228">
        <f t="shared" si="4"/>
        <v>0</v>
      </c>
      <c r="N68" s="1228">
        <f t="shared" si="4"/>
        <v>0</v>
      </c>
      <c r="O68" s="1228">
        <f t="shared" si="4"/>
        <v>0</v>
      </c>
      <c r="P68" s="1228">
        <f t="shared" si="4"/>
        <v>0</v>
      </c>
      <c r="Q68" s="1228">
        <f t="shared" si="4"/>
        <v>0</v>
      </c>
      <c r="R68" s="1228">
        <f t="shared" si="4"/>
        <v>0</v>
      </c>
      <c r="S68" s="1228">
        <f t="shared" si="4"/>
        <v>0</v>
      </c>
      <c r="T68" s="1228">
        <f>IF($F68="-",0,IF($F68=T$64,$E68,IF($F68&lt;T$64,0,IF($F68&gt;T$64,0))))</f>
        <v>0</v>
      </c>
    </row>
    <row r="69" spans="3:21" s="89" customFormat="1" ht="13.5" x14ac:dyDescent="0.25">
      <c r="C69" s="1241" t="str">
        <f>IF(B$15="Y",C$15,"-")</f>
        <v>-</v>
      </c>
      <c r="D69" s="1244" t="str">
        <f t="shared" si="0"/>
        <v>-</v>
      </c>
      <c r="E69" s="1228">
        <f t="shared" si="1"/>
        <v>0</v>
      </c>
      <c r="F69" s="162" t="str">
        <f t="shared" si="3"/>
        <v>-</v>
      </c>
      <c r="I69" s="1228">
        <f t="shared" si="4"/>
        <v>0</v>
      </c>
      <c r="J69" s="1228">
        <f t="shared" si="4"/>
        <v>0</v>
      </c>
      <c r="K69" s="1228">
        <f t="shared" si="4"/>
        <v>0</v>
      </c>
      <c r="L69" s="1228">
        <f t="shared" si="4"/>
        <v>0</v>
      </c>
      <c r="M69" s="1228">
        <f t="shared" si="4"/>
        <v>0</v>
      </c>
      <c r="N69" s="1228">
        <f t="shared" si="4"/>
        <v>0</v>
      </c>
      <c r="O69" s="1228">
        <f t="shared" si="4"/>
        <v>0</v>
      </c>
      <c r="P69" s="1228">
        <f t="shared" si="4"/>
        <v>0</v>
      </c>
      <c r="Q69" s="1228">
        <f t="shared" si="4"/>
        <v>0</v>
      </c>
      <c r="R69" s="1228">
        <f t="shared" si="4"/>
        <v>0</v>
      </c>
      <c r="S69" s="1228">
        <f t="shared" si="4"/>
        <v>0</v>
      </c>
      <c r="T69" s="1228">
        <f t="shared" si="4"/>
        <v>0</v>
      </c>
    </row>
    <row r="70" spans="3:21" s="89" customFormat="1" ht="13.5" x14ac:dyDescent="0.25">
      <c r="C70" s="1241" t="str">
        <f>IF(B$16="Y",C$16,"-")</f>
        <v>-</v>
      </c>
      <c r="D70" s="1244" t="str">
        <f>IF($B16="N","-",IF($D$10="$",$E16,IF($D$10="%",$D16)))</f>
        <v>-</v>
      </c>
      <c r="E70" s="1228">
        <f>-IF($B16="N",0,IF($D$10="$",$D16,IF($D$10="%",$E16)))</f>
        <v>0</v>
      </c>
      <c r="F70" s="162" t="str">
        <f t="shared" si="3"/>
        <v>-</v>
      </c>
      <c r="I70" s="1228">
        <f t="shared" si="4"/>
        <v>0</v>
      </c>
      <c r="J70" s="1228">
        <f t="shared" si="4"/>
        <v>0</v>
      </c>
      <c r="K70" s="1228">
        <f t="shared" si="4"/>
        <v>0</v>
      </c>
      <c r="L70" s="1228">
        <f t="shared" si="4"/>
        <v>0</v>
      </c>
      <c r="M70" s="1228">
        <f t="shared" si="4"/>
        <v>0</v>
      </c>
      <c r="N70" s="1228">
        <f t="shared" si="4"/>
        <v>0</v>
      </c>
      <c r="O70" s="1228">
        <f t="shared" si="4"/>
        <v>0</v>
      </c>
      <c r="P70" s="1228">
        <f t="shared" si="4"/>
        <v>0</v>
      </c>
      <c r="Q70" s="1228">
        <f t="shared" si="4"/>
        <v>0</v>
      </c>
      <c r="R70" s="1228">
        <f t="shared" si="4"/>
        <v>0</v>
      </c>
      <c r="S70" s="1228">
        <f t="shared" si="4"/>
        <v>0</v>
      </c>
      <c r="T70" s="1228">
        <f t="shared" si="4"/>
        <v>0</v>
      </c>
    </row>
    <row r="71" spans="3:21" s="89" customFormat="1" ht="13.5" x14ac:dyDescent="0.25">
      <c r="C71" s="1246"/>
      <c r="D71" s="1248">
        <f>SUMIFS($D$67:$D$70,$C$67:$C$70,"&lt;&gt;"&amp;"-")</f>
        <v>1</v>
      </c>
      <c r="E71" s="1263">
        <f>SUMIFS($E$67:$E$70,$C$67:$C$70,"&lt;&gt;"&amp;"-")</f>
        <v>-10434034.356800005</v>
      </c>
      <c r="F71" s="1246"/>
      <c r="G71" s="1246"/>
      <c r="H71" s="1246"/>
      <c r="I71" s="1263">
        <f>SUM(I67:I70)</f>
        <v>0</v>
      </c>
      <c r="J71" s="1263">
        <f>SUM(J67:J70)</f>
        <v>0</v>
      </c>
      <c r="K71" s="1263">
        <f t="shared" ref="K71:T71" si="5">SUM(K67:K70)</f>
        <v>0</v>
      </c>
      <c r="L71" s="1263">
        <f t="shared" si="5"/>
        <v>0</v>
      </c>
      <c r="M71" s="1263">
        <f t="shared" si="5"/>
        <v>0</v>
      </c>
      <c r="N71" s="1263">
        <f t="shared" si="5"/>
        <v>0</v>
      </c>
      <c r="O71" s="1263">
        <f t="shared" si="5"/>
        <v>0</v>
      </c>
      <c r="P71" s="1263">
        <f t="shared" si="5"/>
        <v>0</v>
      </c>
      <c r="Q71" s="1263">
        <f t="shared" si="5"/>
        <v>0</v>
      </c>
      <c r="R71" s="1263">
        <f t="shared" si="5"/>
        <v>0</v>
      </c>
      <c r="S71" s="1263">
        <f t="shared" si="5"/>
        <v>0</v>
      </c>
      <c r="T71" s="1263">
        <f t="shared" si="5"/>
        <v>0</v>
      </c>
      <c r="U71" s="1246"/>
    </row>
    <row r="72" spans="3:21" s="89" customFormat="1" ht="13.5" x14ac:dyDescent="0.25"/>
    <row r="73" spans="3:21" s="89" customFormat="1" ht="13.5" x14ac:dyDescent="0.25"/>
    <row r="74" spans="3:21" s="89" customFormat="1" ht="13.5" x14ac:dyDescent="0.25">
      <c r="C74" s="89" t="s">
        <v>596</v>
      </c>
      <c r="E74" s="1228">
        <f>SUM(I74:T74)</f>
        <v>40929659.146875747</v>
      </c>
      <c r="I74" s="1228">
        <v>0</v>
      </c>
      <c r="J74" s="1228">
        <f>IF(J64&gt;'Sale - Refinance'!$E$11,0,IF(J64='Sale - Refinance'!$E$11,'Sale - Refinance'!I21,'Operating Proforma'!G131))</f>
        <v>-0.42661293188575655</v>
      </c>
      <c r="K74" s="1228">
        <f>IF(K64&gt;'Sale - Refinance'!$E$11,0,IF(K64='Sale - Refinance'!$E$11,'Sale - Refinance'!J21,'Operating Proforma'!H131))</f>
        <v>2033032.5693331573</v>
      </c>
      <c r="L74" s="1228">
        <f>IF(L64&gt;'Sale - Refinance'!$E$11,0,IF(L64='Sale - Refinance'!$E$11,'Sale - Refinance'!K21,'Operating Proforma'!I131))</f>
        <v>1595516.5191228543</v>
      </c>
      <c r="M74" s="1228">
        <f>IF(M64&gt;'Sale - Refinance'!$E$11,0,IF(M64='Sale - Refinance'!$E$11,'Sale - Refinance'!L21,'Operating Proforma'!L131))</f>
        <v>1695673.327182909</v>
      </c>
      <c r="N74" s="1228">
        <f>IF(N64&gt;'Sale - Refinance'!$E$11,0,IF(N64='Sale - Refinance'!$E$11,'Sale - Refinance'!M21,'Operating Proforma'!M131))</f>
        <v>1795830.1352429655</v>
      </c>
      <c r="O74" s="1228">
        <f>IF(O64&gt;'Sale - Refinance'!$E$11,0,IF(O64='Sale - Refinance'!$E$11,'Sale - Refinance'!N21,'Operating Proforma'!N131))</f>
        <v>33809607.02260679</v>
      </c>
      <c r="P74" s="1228">
        <f>IF(P64&gt;'Sale - Refinance'!$E$11,0,IF(P64='Sale - Refinance'!$E$11,'Sale - Refinance'!O21,'Operating Proforma'!O131))</f>
        <v>0</v>
      </c>
      <c r="Q74" s="1228">
        <f>IF(Q64&gt;'Sale - Refinance'!$E$11,0,IF(Q64='Sale - Refinance'!$E$11,'Sale - Refinance'!P21,'Operating Proforma'!P131))</f>
        <v>0</v>
      </c>
      <c r="R74" s="1228">
        <f>IF(R64&gt;'Sale - Refinance'!$E$11,0,IF(R64='Sale - Refinance'!$E$11,'Sale - Refinance'!Q21,'Operating Proforma'!Q131))</f>
        <v>0</v>
      </c>
      <c r="S74" s="1228">
        <f>IF(S64&gt;'Sale - Refinance'!$E$11,0,IF(S64='Sale - Refinance'!$E$11,'Sale - Refinance'!R21,'Operating Proforma'!R131))</f>
        <v>0</v>
      </c>
      <c r="T74" s="1228">
        <f>IF(T64&gt;'Sale - Refinance'!$E$11,0,IF(T64='Sale - Refinance'!$E$11,'Sale - Refinance'!S21,'Operating Proforma'!S131))</f>
        <v>0</v>
      </c>
    </row>
    <row r="75" spans="3:21" s="89" customFormat="1" ht="13.5" x14ac:dyDescent="0.25">
      <c r="C75" s="1247" t="s">
        <v>597</v>
      </c>
      <c r="D75" s="1246"/>
      <c r="E75" s="1263">
        <f>SUM(I75:T75)</f>
        <v>40929659.146875747</v>
      </c>
      <c r="F75" s="1246"/>
      <c r="G75" s="1246"/>
      <c r="H75" s="1246"/>
      <c r="I75" s="1263">
        <f>I71</f>
        <v>0</v>
      </c>
      <c r="J75" s="1263">
        <f>SUM(J$71,J$74)</f>
        <v>-0.42661293188575655</v>
      </c>
      <c r="K75" s="1263">
        <f t="shared" ref="K75:T75" si="6">SUM(K$71,K$74)</f>
        <v>2033032.5693331573</v>
      </c>
      <c r="L75" s="1263">
        <f t="shared" si="6"/>
        <v>1595516.5191228543</v>
      </c>
      <c r="M75" s="1263">
        <f t="shared" si="6"/>
        <v>1695673.327182909</v>
      </c>
      <c r="N75" s="1263">
        <f t="shared" si="6"/>
        <v>1795830.1352429655</v>
      </c>
      <c r="O75" s="1263">
        <f t="shared" si="6"/>
        <v>33809607.02260679</v>
      </c>
      <c r="P75" s="1263">
        <f t="shared" si="6"/>
        <v>0</v>
      </c>
      <c r="Q75" s="1263">
        <f t="shared" si="6"/>
        <v>0</v>
      </c>
      <c r="R75" s="1263">
        <f t="shared" si="6"/>
        <v>0</v>
      </c>
      <c r="S75" s="1263">
        <f t="shared" si="6"/>
        <v>0</v>
      </c>
      <c r="T75" s="1263">
        <f t="shared" si="6"/>
        <v>0</v>
      </c>
      <c r="U75" s="1246"/>
    </row>
    <row r="76" spans="3:21" s="89" customFormat="1" ht="13.5" x14ac:dyDescent="0.25"/>
    <row r="77" spans="3:21" s="89" customFormat="1" ht="13.5" x14ac:dyDescent="0.25">
      <c r="C77" s="1265" t="s">
        <v>1</v>
      </c>
      <c r="D77" s="1266">
        <f>IRR(I75:T75)</f>
        <v>4765520.0441243248</v>
      </c>
    </row>
    <row r="78" spans="3:21" s="89" customFormat="1" ht="13.5" x14ac:dyDescent="0.25">
      <c r="C78" s="1267" t="s">
        <v>389</v>
      </c>
      <c r="D78" s="1268">
        <f>ABS(E74/E71)</f>
        <v>3.9227069556466736</v>
      </c>
    </row>
    <row r="79" spans="3:21" s="89" customFormat="1" ht="13.5" x14ac:dyDescent="0.25"/>
    <row r="80" spans="3:21" s="89" customFormat="1" ht="13.5" x14ac:dyDescent="0.25"/>
    <row r="81" spans="3:21" s="89" customFormat="1" ht="13.5" x14ac:dyDescent="0.25">
      <c r="C81" s="1229" t="str">
        <f>C21</f>
        <v>Tier 1 - Return of Capital</v>
      </c>
      <c r="D81" s="514"/>
      <c r="E81" s="514"/>
      <c r="F81" s="514"/>
      <c r="G81" s="514"/>
      <c r="H81" s="514"/>
      <c r="I81" s="514"/>
      <c r="J81" s="514"/>
      <c r="K81" s="514"/>
      <c r="L81" s="514"/>
      <c r="M81" s="514"/>
      <c r="N81" s="514"/>
      <c r="O81" s="514"/>
      <c r="P81" s="514"/>
      <c r="Q81" s="514"/>
      <c r="R81" s="514"/>
      <c r="S81" s="514"/>
      <c r="T81" s="514"/>
      <c r="U81" s="514"/>
    </row>
    <row r="82" spans="3:21" s="89" customFormat="1" ht="13.5" x14ac:dyDescent="0.25"/>
    <row r="83" spans="3:21" s="89" customFormat="1" ht="13.5" x14ac:dyDescent="0.25"/>
  </sheetData>
  <conditionalFormatting sqref="C13:G16">
    <cfRule type="expression" dxfId="152" priority="15">
      <formula>IF($B13="N","TRUE","FALSE")</formula>
    </cfRule>
  </conditionalFormatting>
  <conditionalFormatting sqref="D13:D17">
    <cfRule type="expression" dxfId="151" priority="11">
      <formula>IF($D$10="%","TRUE","FALSE")</formula>
    </cfRule>
    <cfRule type="expression" dxfId="150" priority="12">
      <formula>IF($D$10="$","TRUE","FALSE")</formula>
    </cfRule>
  </conditionalFormatting>
  <conditionalFormatting sqref="D24:G27">
    <cfRule type="expression" dxfId="149" priority="4">
      <formula>IF($C24="-","TRUE","FALSE")</formula>
    </cfRule>
  </conditionalFormatting>
  <conditionalFormatting sqref="D35:G38">
    <cfRule type="expression" dxfId="148" priority="3">
      <formula>IF(OR($B$30="Off",$C35="-"),"TRUE","FALSE")</formula>
    </cfRule>
  </conditionalFormatting>
  <conditionalFormatting sqref="D46:G49">
    <cfRule type="expression" dxfId="147" priority="2">
      <formula>IF(OR($B$41="Off",$C46="-"),"TRUE","FALSE")</formula>
    </cfRule>
  </conditionalFormatting>
  <conditionalFormatting sqref="D57:G60">
    <cfRule type="expression" dxfId="146" priority="1">
      <formula>IF(OR($B$52="Off",$C57="-"),"TRUE","FALSE")</formula>
    </cfRule>
  </conditionalFormatting>
  <conditionalFormatting sqref="E13:E17">
    <cfRule type="expression" dxfId="145" priority="13">
      <formula>IF($D$10="%","TRUE","FALSE")</formula>
    </cfRule>
    <cfRule type="expression" dxfId="144" priority="14">
      <formula>IF($D$10="$","TRUE","FALSE")</formula>
    </cfRule>
  </conditionalFormatting>
  <conditionalFormatting sqref="E32">
    <cfRule type="expression" dxfId="143" priority="9">
      <formula>IF($D$32="IRR","TRUE","FALSE")</formula>
    </cfRule>
    <cfRule type="expression" dxfId="142" priority="10">
      <formula>IF($D$32="Multiple","TRUE","FALSE")</formula>
    </cfRule>
  </conditionalFormatting>
  <conditionalFormatting sqref="E43">
    <cfRule type="expression" dxfId="141" priority="7">
      <formula>IF($D$32="IRR","TRUE","FALSE")</formula>
    </cfRule>
    <cfRule type="expression" dxfId="140" priority="8">
      <formula>IF($D$32="Multiple","TRUE","FALSE")</formula>
    </cfRule>
  </conditionalFormatting>
  <conditionalFormatting sqref="E54">
    <cfRule type="expression" dxfId="139" priority="5">
      <formula>IF($D$32="IRR","TRUE","FALSE")</formula>
    </cfRule>
    <cfRule type="expression" dxfId="138" priority="6">
      <formula>IF($D$32="Multiple","TRUE","FALSE")</formula>
    </cfRule>
  </conditionalFormatting>
  <dataValidations count="4">
    <dataValidation type="list" allowBlank="1" showInputMessage="1" showErrorMessage="1" sqref="B30 B41 B52" xr:uid="{76F9B010-25B1-4027-A2B9-18CF3E57C969}">
      <formula1>"On, Off"</formula1>
    </dataValidation>
    <dataValidation type="list" allowBlank="1" showInputMessage="1" showErrorMessage="1" sqref="D10" xr:uid="{D05F56D0-D88C-4770-A289-B6628AA65631}">
      <formula1>"$,%"</formula1>
    </dataValidation>
    <dataValidation type="list" allowBlank="1" showInputMessage="1" showErrorMessage="1" sqref="B13:B16" xr:uid="{AC45EE98-DE93-468A-BA69-AFF3AB11C30B}">
      <formula1>"Y,N"</formula1>
    </dataValidation>
    <dataValidation type="list" allowBlank="1" showInputMessage="1" showErrorMessage="1" sqref="D32" xr:uid="{669EF110-5F0D-442F-8EDA-4F223C5E97CB}">
      <formula1>"IRR, Multiple"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E44F4-3A09-486C-9FC2-0994A9967B00}">
  <dimension ref="A1:V1009"/>
  <sheetViews>
    <sheetView topLeftCell="B17" zoomScaleNormal="100" workbookViewId="0">
      <selection activeCell="E44" sqref="E44"/>
    </sheetView>
  </sheetViews>
  <sheetFormatPr defaultColWidth="14.42578125" defaultRowHeight="15" outlineLevelRow="1" outlineLevelCol="1" x14ac:dyDescent="0.25"/>
  <cols>
    <col min="1" max="1" width="14.42578125" style="2"/>
    <col min="2" max="2" width="11.140625" style="2" customWidth="1"/>
    <col min="3" max="3" width="14.42578125" style="2"/>
    <col min="4" max="4" width="7.7109375" style="2" customWidth="1"/>
    <col min="5" max="6" width="24.7109375" customWidth="1"/>
    <col min="7" max="7" width="24.7109375" customWidth="1" outlineLevel="1"/>
    <col min="8" max="11" width="24.7109375" customWidth="1"/>
    <col min="12" max="13" width="8" customWidth="1"/>
    <col min="14" max="14" width="15.28515625" customWidth="1"/>
    <col min="15" max="15" width="18.5703125" customWidth="1"/>
    <col min="16" max="16" width="8" customWidth="1"/>
    <col min="17" max="17" width="21.5703125" customWidth="1"/>
    <col min="18" max="18" width="15.5703125" hidden="1" customWidth="1" outlineLevel="1"/>
    <col min="19" max="19" width="16" customWidth="1" collapsed="1"/>
    <col min="20" max="29" width="8" customWidth="1"/>
    <col min="260" max="260" width="25" customWidth="1"/>
    <col min="261" max="261" width="24.5703125" bestFit="1" customWidth="1"/>
    <col min="262" max="262" width="20.5703125" bestFit="1" customWidth="1"/>
    <col min="263" max="263" width="22.28515625" bestFit="1" customWidth="1"/>
    <col min="264" max="264" width="26.28515625" bestFit="1" customWidth="1"/>
    <col min="265" max="265" width="18.85546875" customWidth="1"/>
    <col min="266" max="285" width="8" customWidth="1"/>
    <col min="516" max="516" width="25" customWidth="1"/>
    <col min="517" max="517" width="24.5703125" bestFit="1" customWidth="1"/>
    <col min="518" max="518" width="20.5703125" bestFit="1" customWidth="1"/>
    <col min="519" max="519" width="22.28515625" bestFit="1" customWidth="1"/>
    <col min="520" max="520" width="26.28515625" bestFit="1" customWidth="1"/>
    <col min="521" max="521" width="18.85546875" customWidth="1"/>
    <col min="522" max="541" width="8" customWidth="1"/>
    <col min="772" max="772" width="25" customWidth="1"/>
    <col min="773" max="773" width="24.5703125" bestFit="1" customWidth="1"/>
    <col min="774" max="774" width="20.5703125" bestFit="1" customWidth="1"/>
    <col min="775" max="775" width="22.28515625" bestFit="1" customWidth="1"/>
    <col min="776" max="776" width="26.28515625" bestFit="1" customWidth="1"/>
    <col min="777" max="777" width="18.85546875" customWidth="1"/>
    <col min="778" max="797" width="8" customWidth="1"/>
    <col min="1028" max="1028" width="25" customWidth="1"/>
    <col min="1029" max="1029" width="24.5703125" bestFit="1" customWidth="1"/>
    <col min="1030" max="1030" width="20.5703125" bestFit="1" customWidth="1"/>
    <col min="1031" max="1031" width="22.28515625" bestFit="1" customWidth="1"/>
    <col min="1032" max="1032" width="26.28515625" bestFit="1" customWidth="1"/>
    <col min="1033" max="1033" width="18.85546875" customWidth="1"/>
    <col min="1034" max="1053" width="8" customWidth="1"/>
    <col min="1284" max="1284" width="25" customWidth="1"/>
    <col min="1285" max="1285" width="24.5703125" bestFit="1" customWidth="1"/>
    <col min="1286" max="1286" width="20.5703125" bestFit="1" customWidth="1"/>
    <col min="1287" max="1287" width="22.28515625" bestFit="1" customWidth="1"/>
    <col min="1288" max="1288" width="26.28515625" bestFit="1" customWidth="1"/>
    <col min="1289" max="1289" width="18.85546875" customWidth="1"/>
    <col min="1290" max="1309" width="8" customWidth="1"/>
    <col min="1540" max="1540" width="25" customWidth="1"/>
    <col min="1541" max="1541" width="24.5703125" bestFit="1" customWidth="1"/>
    <col min="1542" max="1542" width="20.5703125" bestFit="1" customWidth="1"/>
    <col min="1543" max="1543" width="22.28515625" bestFit="1" customWidth="1"/>
    <col min="1544" max="1544" width="26.28515625" bestFit="1" customWidth="1"/>
    <col min="1545" max="1545" width="18.85546875" customWidth="1"/>
    <col min="1546" max="1565" width="8" customWidth="1"/>
    <col min="1796" max="1796" width="25" customWidth="1"/>
    <col min="1797" max="1797" width="24.5703125" bestFit="1" customWidth="1"/>
    <col min="1798" max="1798" width="20.5703125" bestFit="1" customWidth="1"/>
    <col min="1799" max="1799" width="22.28515625" bestFit="1" customWidth="1"/>
    <col min="1800" max="1800" width="26.28515625" bestFit="1" customWidth="1"/>
    <col min="1801" max="1801" width="18.85546875" customWidth="1"/>
    <col min="1802" max="1821" width="8" customWidth="1"/>
    <col min="2052" max="2052" width="25" customWidth="1"/>
    <col min="2053" max="2053" width="24.5703125" bestFit="1" customWidth="1"/>
    <col min="2054" max="2054" width="20.5703125" bestFit="1" customWidth="1"/>
    <col min="2055" max="2055" width="22.28515625" bestFit="1" customWidth="1"/>
    <col min="2056" max="2056" width="26.28515625" bestFit="1" customWidth="1"/>
    <col min="2057" max="2057" width="18.85546875" customWidth="1"/>
    <col min="2058" max="2077" width="8" customWidth="1"/>
    <col min="2308" max="2308" width="25" customWidth="1"/>
    <col min="2309" max="2309" width="24.5703125" bestFit="1" customWidth="1"/>
    <col min="2310" max="2310" width="20.5703125" bestFit="1" customWidth="1"/>
    <col min="2311" max="2311" width="22.28515625" bestFit="1" customWidth="1"/>
    <col min="2312" max="2312" width="26.28515625" bestFit="1" customWidth="1"/>
    <col min="2313" max="2313" width="18.85546875" customWidth="1"/>
    <col min="2314" max="2333" width="8" customWidth="1"/>
    <col min="2564" max="2564" width="25" customWidth="1"/>
    <col min="2565" max="2565" width="24.5703125" bestFit="1" customWidth="1"/>
    <col min="2566" max="2566" width="20.5703125" bestFit="1" customWidth="1"/>
    <col min="2567" max="2567" width="22.28515625" bestFit="1" customWidth="1"/>
    <col min="2568" max="2568" width="26.28515625" bestFit="1" customWidth="1"/>
    <col min="2569" max="2569" width="18.85546875" customWidth="1"/>
    <col min="2570" max="2589" width="8" customWidth="1"/>
    <col min="2820" max="2820" width="25" customWidth="1"/>
    <col min="2821" max="2821" width="24.5703125" bestFit="1" customWidth="1"/>
    <col min="2822" max="2822" width="20.5703125" bestFit="1" customWidth="1"/>
    <col min="2823" max="2823" width="22.28515625" bestFit="1" customWidth="1"/>
    <col min="2824" max="2824" width="26.28515625" bestFit="1" customWidth="1"/>
    <col min="2825" max="2825" width="18.85546875" customWidth="1"/>
    <col min="2826" max="2845" width="8" customWidth="1"/>
    <col min="3076" max="3076" width="25" customWidth="1"/>
    <col min="3077" max="3077" width="24.5703125" bestFit="1" customWidth="1"/>
    <col min="3078" max="3078" width="20.5703125" bestFit="1" customWidth="1"/>
    <col min="3079" max="3079" width="22.28515625" bestFit="1" customWidth="1"/>
    <col min="3080" max="3080" width="26.28515625" bestFit="1" customWidth="1"/>
    <col min="3081" max="3081" width="18.85546875" customWidth="1"/>
    <col min="3082" max="3101" width="8" customWidth="1"/>
    <col min="3332" max="3332" width="25" customWidth="1"/>
    <col min="3333" max="3333" width="24.5703125" bestFit="1" customWidth="1"/>
    <col min="3334" max="3334" width="20.5703125" bestFit="1" customWidth="1"/>
    <col min="3335" max="3335" width="22.28515625" bestFit="1" customWidth="1"/>
    <col min="3336" max="3336" width="26.28515625" bestFit="1" customWidth="1"/>
    <col min="3337" max="3337" width="18.85546875" customWidth="1"/>
    <col min="3338" max="3357" width="8" customWidth="1"/>
    <col min="3588" max="3588" width="25" customWidth="1"/>
    <col min="3589" max="3589" width="24.5703125" bestFit="1" customWidth="1"/>
    <col min="3590" max="3590" width="20.5703125" bestFit="1" customWidth="1"/>
    <col min="3591" max="3591" width="22.28515625" bestFit="1" customWidth="1"/>
    <col min="3592" max="3592" width="26.28515625" bestFit="1" customWidth="1"/>
    <col min="3593" max="3593" width="18.85546875" customWidth="1"/>
    <col min="3594" max="3613" width="8" customWidth="1"/>
    <col min="3844" max="3844" width="25" customWidth="1"/>
    <col min="3845" max="3845" width="24.5703125" bestFit="1" customWidth="1"/>
    <col min="3846" max="3846" width="20.5703125" bestFit="1" customWidth="1"/>
    <col min="3847" max="3847" width="22.28515625" bestFit="1" customWidth="1"/>
    <col min="3848" max="3848" width="26.28515625" bestFit="1" customWidth="1"/>
    <col min="3849" max="3849" width="18.85546875" customWidth="1"/>
    <col min="3850" max="3869" width="8" customWidth="1"/>
    <col min="4100" max="4100" width="25" customWidth="1"/>
    <col min="4101" max="4101" width="24.5703125" bestFit="1" customWidth="1"/>
    <col min="4102" max="4102" width="20.5703125" bestFit="1" customWidth="1"/>
    <col min="4103" max="4103" width="22.28515625" bestFit="1" customWidth="1"/>
    <col min="4104" max="4104" width="26.28515625" bestFit="1" customWidth="1"/>
    <col min="4105" max="4105" width="18.85546875" customWidth="1"/>
    <col min="4106" max="4125" width="8" customWidth="1"/>
    <col min="4356" max="4356" width="25" customWidth="1"/>
    <col min="4357" max="4357" width="24.5703125" bestFit="1" customWidth="1"/>
    <col min="4358" max="4358" width="20.5703125" bestFit="1" customWidth="1"/>
    <col min="4359" max="4359" width="22.28515625" bestFit="1" customWidth="1"/>
    <col min="4360" max="4360" width="26.28515625" bestFit="1" customWidth="1"/>
    <col min="4361" max="4361" width="18.85546875" customWidth="1"/>
    <col min="4362" max="4381" width="8" customWidth="1"/>
    <col min="4612" max="4612" width="25" customWidth="1"/>
    <col min="4613" max="4613" width="24.5703125" bestFit="1" customWidth="1"/>
    <col min="4614" max="4614" width="20.5703125" bestFit="1" customWidth="1"/>
    <col min="4615" max="4615" width="22.28515625" bestFit="1" customWidth="1"/>
    <col min="4616" max="4616" width="26.28515625" bestFit="1" customWidth="1"/>
    <col min="4617" max="4617" width="18.85546875" customWidth="1"/>
    <col min="4618" max="4637" width="8" customWidth="1"/>
    <col min="4868" max="4868" width="25" customWidth="1"/>
    <col min="4869" max="4869" width="24.5703125" bestFit="1" customWidth="1"/>
    <col min="4870" max="4870" width="20.5703125" bestFit="1" customWidth="1"/>
    <col min="4871" max="4871" width="22.28515625" bestFit="1" customWidth="1"/>
    <col min="4872" max="4872" width="26.28515625" bestFit="1" customWidth="1"/>
    <col min="4873" max="4873" width="18.85546875" customWidth="1"/>
    <col min="4874" max="4893" width="8" customWidth="1"/>
    <col min="5124" max="5124" width="25" customWidth="1"/>
    <col min="5125" max="5125" width="24.5703125" bestFit="1" customWidth="1"/>
    <col min="5126" max="5126" width="20.5703125" bestFit="1" customWidth="1"/>
    <col min="5127" max="5127" width="22.28515625" bestFit="1" customWidth="1"/>
    <col min="5128" max="5128" width="26.28515625" bestFit="1" customWidth="1"/>
    <col min="5129" max="5129" width="18.85546875" customWidth="1"/>
    <col min="5130" max="5149" width="8" customWidth="1"/>
    <col min="5380" max="5380" width="25" customWidth="1"/>
    <col min="5381" max="5381" width="24.5703125" bestFit="1" customWidth="1"/>
    <col min="5382" max="5382" width="20.5703125" bestFit="1" customWidth="1"/>
    <col min="5383" max="5383" width="22.28515625" bestFit="1" customWidth="1"/>
    <col min="5384" max="5384" width="26.28515625" bestFit="1" customWidth="1"/>
    <col min="5385" max="5385" width="18.85546875" customWidth="1"/>
    <col min="5386" max="5405" width="8" customWidth="1"/>
    <col min="5636" max="5636" width="25" customWidth="1"/>
    <col min="5637" max="5637" width="24.5703125" bestFit="1" customWidth="1"/>
    <col min="5638" max="5638" width="20.5703125" bestFit="1" customWidth="1"/>
    <col min="5639" max="5639" width="22.28515625" bestFit="1" customWidth="1"/>
    <col min="5640" max="5640" width="26.28515625" bestFit="1" customWidth="1"/>
    <col min="5641" max="5641" width="18.85546875" customWidth="1"/>
    <col min="5642" max="5661" width="8" customWidth="1"/>
    <col min="5892" max="5892" width="25" customWidth="1"/>
    <col min="5893" max="5893" width="24.5703125" bestFit="1" customWidth="1"/>
    <col min="5894" max="5894" width="20.5703125" bestFit="1" customWidth="1"/>
    <col min="5895" max="5895" width="22.28515625" bestFit="1" customWidth="1"/>
    <col min="5896" max="5896" width="26.28515625" bestFit="1" customWidth="1"/>
    <col min="5897" max="5897" width="18.85546875" customWidth="1"/>
    <col min="5898" max="5917" width="8" customWidth="1"/>
    <col min="6148" max="6148" width="25" customWidth="1"/>
    <col min="6149" max="6149" width="24.5703125" bestFit="1" customWidth="1"/>
    <col min="6150" max="6150" width="20.5703125" bestFit="1" customWidth="1"/>
    <col min="6151" max="6151" width="22.28515625" bestFit="1" customWidth="1"/>
    <col min="6152" max="6152" width="26.28515625" bestFit="1" customWidth="1"/>
    <col min="6153" max="6153" width="18.85546875" customWidth="1"/>
    <col min="6154" max="6173" width="8" customWidth="1"/>
    <col min="6404" max="6404" width="25" customWidth="1"/>
    <col min="6405" max="6405" width="24.5703125" bestFit="1" customWidth="1"/>
    <col min="6406" max="6406" width="20.5703125" bestFit="1" customWidth="1"/>
    <col min="6407" max="6407" width="22.28515625" bestFit="1" customWidth="1"/>
    <col min="6408" max="6408" width="26.28515625" bestFit="1" customWidth="1"/>
    <col min="6409" max="6409" width="18.85546875" customWidth="1"/>
    <col min="6410" max="6429" width="8" customWidth="1"/>
    <col min="6660" max="6660" width="25" customWidth="1"/>
    <col min="6661" max="6661" width="24.5703125" bestFit="1" customWidth="1"/>
    <col min="6662" max="6662" width="20.5703125" bestFit="1" customWidth="1"/>
    <col min="6663" max="6663" width="22.28515625" bestFit="1" customWidth="1"/>
    <col min="6664" max="6664" width="26.28515625" bestFit="1" customWidth="1"/>
    <col min="6665" max="6665" width="18.85546875" customWidth="1"/>
    <col min="6666" max="6685" width="8" customWidth="1"/>
    <col min="6916" max="6916" width="25" customWidth="1"/>
    <col min="6917" max="6917" width="24.5703125" bestFit="1" customWidth="1"/>
    <col min="6918" max="6918" width="20.5703125" bestFit="1" customWidth="1"/>
    <col min="6919" max="6919" width="22.28515625" bestFit="1" customWidth="1"/>
    <col min="6920" max="6920" width="26.28515625" bestFit="1" customWidth="1"/>
    <col min="6921" max="6921" width="18.85546875" customWidth="1"/>
    <col min="6922" max="6941" width="8" customWidth="1"/>
    <col min="7172" max="7172" width="25" customWidth="1"/>
    <col min="7173" max="7173" width="24.5703125" bestFit="1" customWidth="1"/>
    <col min="7174" max="7174" width="20.5703125" bestFit="1" customWidth="1"/>
    <col min="7175" max="7175" width="22.28515625" bestFit="1" customWidth="1"/>
    <col min="7176" max="7176" width="26.28515625" bestFit="1" customWidth="1"/>
    <col min="7177" max="7177" width="18.85546875" customWidth="1"/>
    <col min="7178" max="7197" width="8" customWidth="1"/>
    <col min="7428" max="7428" width="25" customWidth="1"/>
    <col min="7429" max="7429" width="24.5703125" bestFit="1" customWidth="1"/>
    <col min="7430" max="7430" width="20.5703125" bestFit="1" customWidth="1"/>
    <col min="7431" max="7431" width="22.28515625" bestFit="1" customWidth="1"/>
    <col min="7432" max="7432" width="26.28515625" bestFit="1" customWidth="1"/>
    <col min="7433" max="7433" width="18.85546875" customWidth="1"/>
    <col min="7434" max="7453" width="8" customWidth="1"/>
    <col min="7684" max="7684" width="25" customWidth="1"/>
    <col min="7685" max="7685" width="24.5703125" bestFit="1" customWidth="1"/>
    <col min="7686" max="7686" width="20.5703125" bestFit="1" customWidth="1"/>
    <col min="7687" max="7687" width="22.28515625" bestFit="1" customWidth="1"/>
    <col min="7688" max="7688" width="26.28515625" bestFit="1" customWidth="1"/>
    <col min="7689" max="7689" width="18.85546875" customWidth="1"/>
    <col min="7690" max="7709" width="8" customWidth="1"/>
    <col min="7940" max="7940" width="25" customWidth="1"/>
    <col min="7941" max="7941" width="24.5703125" bestFit="1" customWidth="1"/>
    <col min="7942" max="7942" width="20.5703125" bestFit="1" customWidth="1"/>
    <col min="7943" max="7943" width="22.28515625" bestFit="1" customWidth="1"/>
    <col min="7944" max="7944" width="26.28515625" bestFit="1" customWidth="1"/>
    <col min="7945" max="7945" width="18.85546875" customWidth="1"/>
    <col min="7946" max="7965" width="8" customWidth="1"/>
    <col min="8196" max="8196" width="25" customWidth="1"/>
    <col min="8197" max="8197" width="24.5703125" bestFit="1" customWidth="1"/>
    <col min="8198" max="8198" width="20.5703125" bestFit="1" customWidth="1"/>
    <col min="8199" max="8199" width="22.28515625" bestFit="1" customWidth="1"/>
    <col min="8200" max="8200" width="26.28515625" bestFit="1" customWidth="1"/>
    <col min="8201" max="8201" width="18.85546875" customWidth="1"/>
    <col min="8202" max="8221" width="8" customWidth="1"/>
    <col min="8452" max="8452" width="25" customWidth="1"/>
    <col min="8453" max="8453" width="24.5703125" bestFit="1" customWidth="1"/>
    <col min="8454" max="8454" width="20.5703125" bestFit="1" customWidth="1"/>
    <col min="8455" max="8455" width="22.28515625" bestFit="1" customWidth="1"/>
    <col min="8456" max="8456" width="26.28515625" bestFit="1" customWidth="1"/>
    <col min="8457" max="8457" width="18.85546875" customWidth="1"/>
    <col min="8458" max="8477" width="8" customWidth="1"/>
    <col min="8708" max="8708" width="25" customWidth="1"/>
    <col min="8709" max="8709" width="24.5703125" bestFit="1" customWidth="1"/>
    <col min="8710" max="8710" width="20.5703125" bestFit="1" customWidth="1"/>
    <col min="8711" max="8711" width="22.28515625" bestFit="1" customWidth="1"/>
    <col min="8712" max="8712" width="26.28515625" bestFit="1" customWidth="1"/>
    <col min="8713" max="8713" width="18.85546875" customWidth="1"/>
    <col min="8714" max="8733" width="8" customWidth="1"/>
    <col min="8964" max="8964" width="25" customWidth="1"/>
    <col min="8965" max="8965" width="24.5703125" bestFit="1" customWidth="1"/>
    <col min="8966" max="8966" width="20.5703125" bestFit="1" customWidth="1"/>
    <col min="8967" max="8967" width="22.28515625" bestFit="1" customWidth="1"/>
    <col min="8968" max="8968" width="26.28515625" bestFit="1" customWidth="1"/>
    <col min="8969" max="8969" width="18.85546875" customWidth="1"/>
    <col min="8970" max="8989" width="8" customWidth="1"/>
    <col min="9220" max="9220" width="25" customWidth="1"/>
    <col min="9221" max="9221" width="24.5703125" bestFit="1" customWidth="1"/>
    <col min="9222" max="9222" width="20.5703125" bestFit="1" customWidth="1"/>
    <col min="9223" max="9223" width="22.28515625" bestFit="1" customWidth="1"/>
    <col min="9224" max="9224" width="26.28515625" bestFit="1" customWidth="1"/>
    <col min="9225" max="9225" width="18.85546875" customWidth="1"/>
    <col min="9226" max="9245" width="8" customWidth="1"/>
    <col min="9476" max="9476" width="25" customWidth="1"/>
    <col min="9477" max="9477" width="24.5703125" bestFit="1" customWidth="1"/>
    <col min="9478" max="9478" width="20.5703125" bestFit="1" customWidth="1"/>
    <col min="9479" max="9479" width="22.28515625" bestFit="1" customWidth="1"/>
    <col min="9480" max="9480" width="26.28515625" bestFit="1" customWidth="1"/>
    <col min="9481" max="9481" width="18.85546875" customWidth="1"/>
    <col min="9482" max="9501" width="8" customWidth="1"/>
    <col min="9732" max="9732" width="25" customWidth="1"/>
    <col min="9733" max="9733" width="24.5703125" bestFit="1" customWidth="1"/>
    <col min="9734" max="9734" width="20.5703125" bestFit="1" customWidth="1"/>
    <col min="9735" max="9735" width="22.28515625" bestFit="1" customWidth="1"/>
    <col min="9736" max="9736" width="26.28515625" bestFit="1" customWidth="1"/>
    <col min="9737" max="9737" width="18.85546875" customWidth="1"/>
    <col min="9738" max="9757" width="8" customWidth="1"/>
    <col min="9988" max="9988" width="25" customWidth="1"/>
    <col min="9989" max="9989" width="24.5703125" bestFit="1" customWidth="1"/>
    <col min="9990" max="9990" width="20.5703125" bestFit="1" customWidth="1"/>
    <col min="9991" max="9991" width="22.28515625" bestFit="1" customWidth="1"/>
    <col min="9992" max="9992" width="26.28515625" bestFit="1" customWidth="1"/>
    <col min="9993" max="9993" width="18.85546875" customWidth="1"/>
    <col min="9994" max="10013" width="8" customWidth="1"/>
    <col min="10244" max="10244" width="25" customWidth="1"/>
    <col min="10245" max="10245" width="24.5703125" bestFit="1" customWidth="1"/>
    <col min="10246" max="10246" width="20.5703125" bestFit="1" customWidth="1"/>
    <col min="10247" max="10247" width="22.28515625" bestFit="1" customWidth="1"/>
    <col min="10248" max="10248" width="26.28515625" bestFit="1" customWidth="1"/>
    <col min="10249" max="10249" width="18.85546875" customWidth="1"/>
    <col min="10250" max="10269" width="8" customWidth="1"/>
    <col min="10500" max="10500" width="25" customWidth="1"/>
    <col min="10501" max="10501" width="24.5703125" bestFit="1" customWidth="1"/>
    <col min="10502" max="10502" width="20.5703125" bestFit="1" customWidth="1"/>
    <col min="10503" max="10503" width="22.28515625" bestFit="1" customWidth="1"/>
    <col min="10504" max="10504" width="26.28515625" bestFit="1" customWidth="1"/>
    <col min="10505" max="10505" width="18.85546875" customWidth="1"/>
    <col min="10506" max="10525" width="8" customWidth="1"/>
    <col min="10756" max="10756" width="25" customWidth="1"/>
    <col min="10757" max="10757" width="24.5703125" bestFit="1" customWidth="1"/>
    <col min="10758" max="10758" width="20.5703125" bestFit="1" customWidth="1"/>
    <col min="10759" max="10759" width="22.28515625" bestFit="1" customWidth="1"/>
    <col min="10760" max="10760" width="26.28515625" bestFit="1" customWidth="1"/>
    <col min="10761" max="10761" width="18.85546875" customWidth="1"/>
    <col min="10762" max="10781" width="8" customWidth="1"/>
    <col min="11012" max="11012" width="25" customWidth="1"/>
    <col min="11013" max="11013" width="24.5703125" bestFit="1" customWidth="1"/>
    <col min="11014" max="11014" width="20.5703125" bestFit="1" customWidth="1"/>
    <col min="11015" max="11015" width="22.28515625" bestFit="1" customWidth="1"/>
    <col min="11016" max="11016" width="26.28515625" bestFit="1" customWidth="1"/>
    <col min="11017" max="11017" width="18.85546875" customWidth="1"/>
    <col min="11018" max="11037" width="8" customWidth="1"/>
    <col min="11268" max="11268" width="25" customWidth="1"/>
    <col min="11269" max="11269" width="24.5703125" bestFit="1" customWidth="1"/>
    <col min="11270" max="11270" width="20.5703125" bestFit="1" customWidth="1"/>
    <col min="11271" max="11271" width="22.28515625" bestFit="1" customWidth="1"/>
    <col min="11272" max="11272" width="26.28515625" bestFit="1" customWidth="1"/>
    <col min="11273" max="11273" width="18.85546875" customWidth="1"/>
    <col min="11274" max="11293" width="8" customWidth="1"/>
    <col min="11524" max="11524" width="25" customWidth="1"/>
    <col min="11525" max="11525" width="24.5703125" bestFit="1" customWidth="1"/>
    <col min="11526" max="11526" width="20.5703125" bestFit="1" customWidth="1"/>
    <col min="11527" max="11527" width="22.28515625" bestFit="1" customWidth="1"/>
    <col min="11528" max="11528" width="26.28515625" bestFit="1" customWidth="1"/>
    <col min="11529" max="11529" width="18.85546875" customWidth="1"/>
    <col min="11530" max="11549" width="8" customWidth="1"/>
    <col min="11780" max="11780" width="25" customWidth="1"/>
    <col min="11781" max="11781" width="24.5703125" bestFit="1" customWidth="1"/>
    <col min="11782" max="11782" width="20.5703125" bestFit="1" customWidth="1"/>
    <col min="11783" max="11783" width="22.28515625" bestFit="1" customWidth="1"/>
    <col min="11784" max="11784" width="26.28515625" bestFit="1" customWidth="1"/>
    <col min="11785" max="11785" width="18.85546875" customWidth="1"/>
    <col min="11786" max="11805" width="8" customWidth="1"/>
    <col min="12036" max="12036" width="25" customWidth="1"/>
    <col min="12037" max="12037" width="24.5703125" bestFit="1" customWidth="1"/>
    <col min="12038" max="12038" width="20.5703125" bestFit="1" customWidth="1"/>
    <col min="12039" max="12039" width="22.28515625" bestFit="1" customWidth="1"/>
    <col min="12040" max="12040" width="26.28515625" bestFit="1" customWidth="1"/>
    <col min="12041" max="12041" width="18.85546875" customWidth="1"/>
    <col min="12042" max="12061" width="8" customWidth="1"/>
    <col min="12292" max="12292" width="25" customWidth="1"/>
    <col min="12293" max="12293" width="24.5703125" bestFit="1" customWidth="1"/>
    <col min="12294" max="12294" width="20.5703125" bestFit="1" customWidth="1"/>
    <col min="12295" max="12295" width="22.28515625" bestFit="1" customWidth="1"/>
    <col min="12296" max="12296" width="26.28515625" bestFit="1" customWidth="1"/>
    <col min="12297" max="12297" width="18.85546875" customWidth="1"/>
    <col min="12298" max="12317" width="8" customWidth="1"/>
    <col min="12548" max="12548" width="25" customWidth="1"/>
    <col min="12549" max="12549" width="24.5703125" bestFit="1" customWidth="1"/>
    <col min="12550" max="12550" width="20.5703125" bestFit="1" customWidth="1"/>
    <col min="12551" max="12551" width="22.28515625" bestFit="1" customWidth="1"/>
    <col min="12552" max="12552" width="26.28515625" bestFit="1" customWidth="1"/>
    <col min="12553" max="12553" width="18.85546875" customWidth="1"/>
    <col min="12554" max="12573" width="8" customWidth="1"/>
    <col min="12804" max="12804" width="25" customWidth="1"/>
    <col min="12805" max="12805" width="24.5703125" bestFit="1" customWidth="1"/>
    <col min="12806" max="12806" width="20.5703125" bestFit="1" customWidth="1"/>
    <col min="12807" max="12807" width="22.28515625" bestFit="1" customWidth="1"/>
    <col min="12808" max="12808" width="26.28515625" bestFit="1" customWidth="1"/>
    <col min="12809" max="12809" width="18.85546875" customWidth="1"/>
    <col min="12810" max="12829" width="8" customWidth="1"/>
    <col min="13060" max="13060" width="25" customWidth="1"/>
    <col min="13061" max="13061" width="24.5703125" bestFit="1" customWidth="1"/>
    <col min="13062" max="13062" width="20.5703125" bestFit="1" customWidth="1"/>
    <col min="13063" max="13063" width="22.28515625" bestFit="1" customWidth="1"/>
    <col min="13064" max="13064" width="26.28515625" bestFit="1" customWidth="1"/>
    <col min="13065" max="13065" width="18.85546875" customWidth="1"/>
    <col min="13066" max="13085" width="8" customWidth="1"/>
    <col min="13316" max="13316" width="25" customWidth="1"/>
    <col min="13317" max="13317" width="24.5703125" bestFit="1" customWidth="1"/>
    <col min="13318" max="13318" width="20.5703125" bestFit="1" customWidth="1"/>
    <col min="13319" max="13319" width="22.28515625" bestFit="1" customWidth="1"/>
    <col min="13320" max="13320" width="26.28515625" bestFit="1" customWidth="1"/>
    <col min="13321" max="13321" width="18.85546875" customWidth="1"/>
    <col min="13322" max="13341" width="8" customWidth="1"/>
    <col min="13572" max="13572" width="25" customWidth="1"/>
    <col min="13573" max="13573" width="24.5703125" bestFit="1" customWidth="1"/>
    <col min="13574" max="13574" width="20.5703125" bestFit="1" customWidth="1"/>
    <col min="13575" max="13575" width="22.28515625" bestFit="1" customWidth="1"/>
    <col min="13576" max="13576" width="26.28515625" bestFit="1" customWidth="1"/>
    <col min="13577" max="13577" width="18.85546875" customWidth="1"/>
    <col min="13578" max="13597" width="8" customWidth="1"/>
    <col min="13828" max="13828" width="25" customWidth="1"/>
    <col min="13829" max="13829" width="24.5703125" bestFit="1" customWidth="1"/>
    <col min="13830" max="13830" width="20.5703125" bestFit="1" customWidth="1"/>
    <col min="13831" max="13831" width="22.28515625" bestFit="1" customWidth="1"/>
    <col min="13832" max="13832" width="26.28515625" bestFit="1" customWidth="1"/>
    <col min="13833" max="13833" width="18.85546875" customWidth="1"/>
    <col min="13834" max="13853" width="8" customWidth="1"/>
    <col min="14084" max="14084" width="25" customWidth="1"/>
    <col min="14085" max="14085" width="24.5703125" bestFit="1" customWidth="1"/>
    <col min="14086" max="14086" width="20.5703125" bestFit="1" customWidth="1"/>
    <col min="14087" max="14087" width="22.28515625" bestFit="1" customWidth="1"/>
    <col min="14088" max="14088" width="26.28515625" bestFit="1" customWidth="1"/>
    <col min="14089" max="14089" width="18.85546875" customWidth="1"/>
    <col min="14090" max="14109" width="8" customWidth="1"/>
    <col min="14340" max="14340" width="25" customWidth="1"/>
    <col min="14341" max="14341" width="24.5703125" bestFit="1" customWidth="1"/>
    <col min="14342" max="14342" width="20.5703125" bestFit="1" customWidth="1"/>
    <col min="14343" max="14343" width="22.28515625" bestFit="1" customWidth="1"/>
    <col min="14344" max="14344" width="26.28515625" bestFit="1" customWidth="1"/>
    <col min="14345" max="14345" width="18.85546875" customWidth="1"/>
    <col min="14346" max="14365" width="8" customWidth="1"/>
    <col min="14596" max="14596" width="25" customWidth="1"/>
    <col min="14597" max="14597" width="24.5703125" bestFit="1" customWidth="1"/>
    <col min="14598" max="14598" width="20.5703125" bestFit="1" customWidth="1"/>
    <col min="14599" max="14599" width="22.28515625" bestFit="1" customWidth="1"/>
    <col min="14600" max="14600" width="26.28515625" bestFit="1" customWidth="1"/>
    <col min="14601" max="14601" width="18.85546875" customWidth="1"/>
    <col min="14602" max="14621" width="8" customWidth="1"/>
    <col min="14852" max="14852" width="25" customWidth="1"/>
    <col min="14853" max="14853" width="24.5703125" bestFit="1" customWidth="1"/>
    <col min="14854" max="14854" width="20.5703125" bestFit="1" customWidth="1"/>
    <col min="14855" max="14855" width="22.28515625" bestFit="1" customWidth="1"/>
    <col min="14856" max="14856" width="26.28515625" bestFit="1" customWidth="1"/>
    <col min="14857" max="14857" width="18.85546875" customWidth="1"/>
    <col min="14858" max="14877" width="8" customWidth="1"/>
    <col min="15108" max="15108" width="25" customWidth="1"/>
    <col min="15109" max="15109" width="24.5703125" bestFit="1" customWidth="1"/>
    <col min="15110" max="15110" width="20.5703125" bestFit="1" customWidth="1"/>
    <col min="15111" max="15111" width="22.28515625" bestFit="1" customWidth="1"/>
    <col min="15112" max="15112" width="26.28515625" bestFit="1" customWidth="1"/>
    <col min="15113" max="15113" width="18.85546875" customWidth="1"/>
    <col min="15114" max="15133" width="8" customWidth="1"/>
    <col min="15364" max="15364" width="25" customWidth="1"/>
    <col min="15365" max="15365" width="24.5703125" bestFit="1" customWidth="1"/>
    <col min="15366" max="15366" width="20.5703125" bestFit="1" customWidth="1"/>
    <col min="15367" max="15367" width="22.28515625" bestFit="1" customWidth="1"/>
    <col min="15368" max="15368" width="26.28515625" bestFit="1" customWidth="1"/>
    <col min="15369" max="15369" width="18.85546875" customWidth="1"/>
    <col min="15370" max="15389" width="8" customWidth="1"/>
    <col min="15620" max="15620" width="25" customWidth="1"/>
    <col min="15621" max="15621" width="24.5703125" bestFit="1" customWidth="1"/>
    <col min="15622" max="15622" width="20.5703125" bestFit="1" customWidth="1"/>
    <col min="15623" max="15623" width="22.28515625" bestFit="1" customWidth="1"/>
    <col min="15624" max="15624" width="26.28515625" bestFit="1" customWidth="1"/>
    <col min="15625" max="15625" width="18.85546875" customWidth="1"/>
    <col min="15626" max="15645" width="8" customWidth="1"/>
    <col min="15876" max="15876" width="25" customWidth="1"/>
    <col min="15877" max="15877" width="24.5703125" bestFit="1" customWidth="1"/>
    <col min="15878" max="15878" width="20.5703125" bestFit="1" customWidth="1"/>
    <col min="15879" max="15879" width="22.28515625" bestFit="1" customWidth="1"/>
    <col min="15880" max="15880" width="26.28515625" bestFit="1" customWidth="1"/>
    <col min="15881" max="15881" width="18.85546875" customWidth="1"/>
    <col min="15882" max="15901" width="8" customWidth="1"/>
    <col min="16132" max="16132" width="25" customWidth="1"/>
    <col min="16133" max="16133" width="24.5703125" bestFit="1" customWidth="1"/>
    <col min="16134" max="16134" width="20.5703125" bestFit="1" customWidth="1"/>
    <col min="16135" max="16135" width="22.28515625" bestFit="1" customWidth="1"/>
    <col min="16136" max="16136" width="26.28515625" bestFit="1" customWidth="1"/>
    <col min="16137" max="16137" width="18.85546875" customWidth="1"/>
    <col min="16138" max="16157" width="8" customWidth="1"/>
  </cols>
  <sheetData>
    <row r="1" spans="1:22" s="2" customFormat="1" x14ac:dyDescent="0.25"/>
    <row r="2" spans="1:22" ht="28.5" customHeight="1" x14ac:dyDescent="0.45">
      <c r="D2" s="21"/>
      <c r="E2" s="1532" t="s">
        <v>16</v>
      </c>
      <c r="F2" s="1532"/>
      <c r="G2" s="1532"/>
      <c r="H2" s="1532"/>
      <c r="I2" s="1532"/>
      <c r="J2" s="1532"/>
      <c r="K2" s="854"/>
      <c r="L2" s="20"/>
      <c r="M2" s="2"/>
      <c r="N2" s="2"/>
      <c r="O2" s="2"/>
      <c r="P2" s="2"/>
      <c r="Q2" s="2"/>
      <c r="S2" s="2"/>
      <c r="T2" s="2"/>
      <c r="U2" s="2"/>
      <c r="V2" s="2"/>
    </row>
    <row r="3" spans="1:22" s="31" customFormat="1" ht="12.75" customHeight="1" x14ac:dyDescent="0.25">
      <c r="A3" s="32"/>
      <c r="B3" s="32"/>
      <c r="C3" s="32"/>
      <c r="D3" s="52"/>
      <c r="E3" s="190"/>
      <c r="F3" s="184"/>
      <c r="G3" s="184"/>
      <c r="H3" s="184"/>
      <c r="I3" s="34"/>
      <c r="J3" s="584"/>
      <c r="K3" s="2"/>
      <c r="L3" s="381"/>
      <c r="M3" s="32"/>
      <c r="N3" s="32"/>
      <c r="O3" s="32"/>
      <c r="P3" s="32"/>
      <c r="Q3" s="32"/>
      <c r="R3" s="32"/>
      <c r="S3" s="32"/>
      <c r="T3" s="32"/>
      <c r="U3" s="32"/>
      <c r="V3" s="32"/>
    </row>
    <row r="4" spans="1:22" s="31" customFormat="1" ht="12.75" customHeight="1" x14ac:dyDescent="0.25">
      <c r="A4" s="32"/>
      <c r="B4" s="32"/>
      <c r="C4" s="32"/>
      <c r="D4" s="52"/>
      <c r="E4" s="190" t="s">
        <v>17</v>
      </c>
      <c r="F4" s="191">
        <f>'Construction Budget'!G116</f>
        <v>56919034.356800005</v>
      </c>
      <c r="G4" s="191"/>
      <c r="H4" s="189"/>
      <c r="I4" s="34"/>
      <c r="J4" s="34"/>
      <c r="K4" s="34"/>
      <c r="L4" s="74"/>
      <c r="M4" s="32"/>
      <c r="N4" s="32"/>
      <c r="O4" s="32"/>
      <c r="P4" s="32"/>
      <c r="Q4" s="32"/>
      <c r="R4" s="32"/>
      <c r="S4" s="32"/>
      <c r="T4" s="32"/>
      <c r="U4" s="32"/>
      <c r="V4" s="32"/>
    </row>
    <row r="5" spans="1:22" s="31" customFormat="1" ht="12.75" customHeight="1" x14ac:dyDescent="0.25">
      <c r="A5" s="32"/>
      <c r="B5" s="32"/>
      <c r="C5" s="32"/>
      <c r="D5" s="52"/>
      <c r="E5" s="190"/>
      <c r="F5" s="183"/>
      <c r="G5" s="183"/>
      <c r="H5" s="189"/>
      <c r="I5" s="34"/>
      <c r="J5" s="34"/>
      <c r="K5" s="34"/>
      <c r="L5" s="74"/>
      <c r="M5" s="32"/>
      <c r="N5" s="32"/>
      <c r="O5" s="32"/>
      <c r="P5" s="32"/>
      <c r="Q5" s="32"/>
      <c r="R5" s="32"/>
      <c r="S5" s="32"/>
      <c r="T5" s="32"/>
      <c r="U5" s="32"/>
      <c r="V5" s="32"/>
    </row>
    <row r="6" spans="1:22" s="31" customFormat="1" ht="12.75" customHeight="1" x14ac:dyDescent="0.25">
      <c r="A6" s="32"/>
      <c r="B6" s="32"/>
      <c r="C6" s="32"/>
      <c r="D6" s="52"/>
      <c r="E6" s="188" t="str">
        <f>'Financing Assumptions'!B9</f>
        <v>Senior Debt</v>
      </c>
      <c r="F6" s="157">
        <f>'Financing Assumptions'!D9</f>
        <v>46485000</v>
      </c>
      <c r="G6" s="773"/>
      <c r="H6" s="187"/>
      <c r="I6" s="34"/>
      <c r="J6" s="34"/>
      <c r="K6" s="34"/>
      <c r="L6" s="74"/>
      <c r="M6" s="32"/>
      <c r="N6" s="32"/>
      <c r="O6" s="32"/>
      <c r="P6" s="32"/>
      <c r="Q6" s="32"/>
      <c r="R6" s="32"/>
      <c r="S6" s="32"/>
      <c r="T6" s="32"/>
      <c r="U6" s="32"/>
      <c r="V6" s="32"/>
    </row>
    <row r="7" spans="1:22" s="31" customFormat="1" ht="12.75" customHeight="1" x14ac:dyDescent="0.25">
      <c r="A7" s="32"/>
      <c r="B7" s="32"/>
      <c r="C7" s="32"/>
      <c r="D7" s="52"/>
      <c r="E7" s="186" t="s">
        <v>6</v>
      </c>
      <c r="F7" s="701">
        <f>SUM('Financing Assumptions'!$D$17:$D$18)</f>
        <v>10434034.356800005</v>
      </c>
      <c r="G7" s="149"/>
      <c r="H7" s="168"/>
      <c r="I7" s="34"/>
      <c r="J7" s="34"/>
      <c r="K7" s="34"/>
      <c r="L7" s="74"/>
      <c r="M7" s="32"/>
      <c r="N7" s="32"/>
      <c r="O7" s="32"/>
      <c r="P7" s="32"/>
      <c r="Q7" s="32"/>
      <c r="R7" s="32"/>
      <c r="S7" s="32"/>
      <c r="T7" s="32"/>
      <c r="U7" s="32"/>
      <c r="V7" s="32"/>
    </row>
    <row r="8" spans="1:22" s="31" customFormat="1" ht="12.75" customHeight="1" x14ac:dyDescent="0.25">
      <c r="A8" s="32"/>
      <c r="B8" s="32"/>
      <c r="C8" s="32"/>
      <c r="D8" s="52"/>
      <c r="E8" s="185" t="s">
        <v>171</v>
      </c>
      <c r="F8" s="157">
        <f>SUM('Financing Assumptions'!D12,'Financing Assumptions'!D13:D16)</f>
        <v>0</v>
      </c>
      <c r="G8" s="773"/>
      <c r="H8" s="184"/>
      <c r="I8" s="34"/>
      <c r="J8" s="34"/>
      <c r="K8" s="34"/>
      <c r="L8" s="74"/>
      <c r="M8" s="32"/>
      <c r="N8" s="32"/>
      <c r="O8" s="32"/>
      <c r="P8" s="32"/>
      <c r="Q8" s="32"/>
      <c r="R8" s="32"/>
      <c r="S8" s="32"/>
      <c r="T8" s="32"/>
      <c r="U8" s="32"/>
      <c r="V8" s="32"/>
    </row>
    <row r="9" spans="1:22" s="31" customFormat="1" ht="12.75" customHeight="1" x14ac:dyDescent="0.25">
      <c r="A9" s="32"/>
      <c r="B9" s="32"/>
      <c r="C9" s="32"/>
      <c r="D9" s="52"/>
      <c r="E9" s="791" t="str">
        <f>'Financing Assumptions'!B10</f>
        <v>-</v>
      </c>
      <c r="F9" s="792">
        <f>'Financing Assumptions'!D10</f>
        <v>0</v>
      </c>
      <c r="G9" s="774"/>
      <c r="H9" s="697"/>
      <c r="I9" s="700"/>
      <c r="J9" s="34"/>
      <c r="K9" s="34"/>
      <c r="L9" s="74"/>
      <c r="M9" s="32"/>
      <c r="N9" s="32"/>
      <c r="O9" s="32"/>
      <c r="P9" s="32"/>
      <c r="Q9" s="32"/>
      <c r="R9" s="32"/>
      <c r="S9" s="32"/>
      <c r="T9" s="32"/>
      <c r="U9" s="32"/>
      <c r="V9" s="32"/>
    </row>
    <row r="10" spans="1:22" s="31" customFormat="1" ht="12.75" customHeight="1" thickBot="1" x14ac:dyDescent="0.3">
      <c r="A10" s="32"/>
      <c r="B10" s="32"/>
      <c r="C10" s="32"/>
      <c r="D10" s="52"/>
      <c r="E10" s="793" t="str">
        <f>'Financing Assumptions'!B11</f>
        <v>-</v>
      </c>
      <c r="F10" s="794">
        <f>'Financing Assumptions'!D11</f>
        <v>0</v>
      </c>
      <c r="G10" s="790"/>
      <c r="H10" s="698"/>
      <c r="I10" s="45"/>
      <c r="J10" s="34"/>
      <c r="K10" s="34"/>
      <c r="L10" s="74"/>
      <c r="M10" s="32"/>
      <c r="N10" s="32"/>
      <c r="O10" s="32"/>
      <c r="P10" s="32"/>
      <c r="Q10" s="32"/>
      <c r="R10" s="32"/>
      <c r="S10" s="32"/>
      <c r="T10" s="32"/>
      <c r="U10" s="32"/>
      <c r="V10" s="32"/>
    </row>
    <row r="11" spans="1:22" s="31" customFormat="1" ht="12.75" customHeight="1" x14ac:dyDescent="0.25">
      <c r="A11" s="32"/>
      <c r="B11" s="32"/>
      <c r="C11" s="32"/>
      <c r="D11" s="52"/>
      <c r="E11" s="182" t="s">
        <v>66</v>
      </c>
      <c r="F11" s="181">
        <f>SUM(F6:F10)</f>
        <v>56919034.356800005</v>
      </c>
      <c r="G11" s="180"/>
      <c r="H11" s="180"/>
      <c r="I11" s="699"/>
      <c r="J11" s="168"/>
      <c r="K11" s="34"/>
      <c r="L11" s="74"/>
      <c r="M11" s="32"/>
      <c r="N11" s="32"/>
      <c r="O11" s="32"/>
      <c r="P11" s="32"/>
      <c r="Q11" s="32"/>
      <c r="R11" s="32"/>
      <c r="S11" s="32"/>
      <c r="T11" s="32"/>
      <c r="U11" s="32"/>
      <c r="V11" s="32"/>
    </row>
    <row r="12" spans="1:22" s="89" customFormat="1" ht="12.75" customHeight="1" x14ac:dyDescent="0.25">
      <c r="A12" s="34"/>
      <c r="B12" s="34"/>
      <c r="C12" s="34"/>
      <c r="D12" s="43"/>
      <c r="E12" s="179"/>
      <c r="F12" s="178"/>
      <c r="G12" s="178"/>
      <c r="H12" s="178"/>
      <c r="I12" s="178"/>
      <c r="J12" s="745"/>
      <c r="K12" s="34"/>
      <c r="L12" s="7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s="89" customFormat="1" ht="12.75" customHeight="1" x14ac:dyDescent="0.25">
      <c r="A13" s="34"/>
      <c r="B13" s="34"/>
      <c r="C13" s="34"/>
      <c r="D13" s="43"/>
      <c r="E13" s="132" t="s">
        <v>18</v>
      </c>
      <c r="F13" s="131" t="s">
        <v>63</v>
      </c>
      <c r="G13" s="131" t="s">
        <v>420</v>
      </c>
      <c r="H13" s="131" t="s">
        <v>64</v>
      </c>
      <c r="I13" s="130" t="s">
        <v>62</v>
      </c>
      <c r="J13" s="34"/>
      <c r="K13" s="34"/>
      <c r="L13" s="7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s="89" customFormat="1" ht="12.75" customHeight="1" x14ac:dyDescent="0.25">
      <c r="A14" s="34"/>
      <c r="B14" s="34"/>
      <c r="C14" s="34"/>
      <c r="D14" s="43"/>
      <c r="E14" s="746" t="s">
        <v>442</v>
      </c>
      <c r="F14" s="747">
        <f>IF(OR('Financing Assumptions'!$J$18="No Cash Equity",'Financing Assumptions'!$J$18="LP Only"),0,IF('Financing Assumptions'!$J$18="GP Only",'Financing Assumptions'!$L$28,IF(AND('Financing Assumptions'!$J$18="GP &amp; LP",'Financing Assumptions'!$K$27="%",'Financing Assumptions'!$J$30="GP Equity Breakdown"),'Financing Assumptions'!$K$30,IF(AND('Financing Assumptions'!$J$18="GP &amp; LP",'Financing Assumptions'!$K$27="Fixed",'Financing Assumptions'!$J$30="GP Equity Breakdown"),'Financing Assumptions'!$L$30,IF(AND('Financing Assumptions'!$J$18="GP &amp; LP",'Financing Assumptions'!$K$27="%",'Financing Assumptions'!$J$30&lt;&gt;"GP Equity Breakdown"),'Financing Assumptions'!$K$29,IF(AND('Financing Assumptions'!$J$18="GP &amp; LP",'Financing Assumptions'!$K$27="Fixed",'Financing Assumptions'!$J$30&lt;&gt;"GP Equity Breakdown"),'Financing Assumptions'!$L$29))))))</f>
        <v>0</v>
      </c>
      <c r="G14" s="748">
        <v>0</v>
      </c>
      <c r="H14" s="748">
        <f>$F$7*F14</f>
        <v>0</v>
      </c>
      <c r="I14" s="749">
        <f>IF(OR('Financing Assumptions'!$J$18="No Cash Equity",'Financing Assumptions'!$J$18="LP Only"),'Financing Assumptions'!$L$34,IF('Financing Assumptions'!$J$18="GP Only",'Financing Assumptions'!$L$33,IF(AND('Financing Assumptions'!$J$18="GP &amp; LP",'Financing Assumptions'!$J$35="GP Ownership %"),'Financing Assumptions'!$L$35,IF(AND('Financing Assumptions'!$J$18="GP &amp; LP",'Financing Assumptions'!$J$35&lt;&gt;"GP Ownership %"),'Financing Assumptions'!$L$34))))</f>
        <v>0.3</v>
      </c>
      <c r="J14" s="34"/>
      <c r="K14" s="34"/>
      <c r="L14" s="74"/>
      <c r="M14" s="34"/>
      <c r="N14" s="34"/>
      <c r="O14" s="34"/>
      <c r="P14" s="34"/>
      <c r="Q14" s="34"/>
      <c r="R14" s="34"/>
      <c r="S14" s="90"/>
      <c r="T14" s="90"/>
      <c r="U14" s="90"/>
      <c r="V14" s="34"/>
    </row>
    <row r="15" spans="1:22" s="89" customFormat="1" ht="12.75" customHeight="1" x14ac:dyDescent="0.25">
      <c r="A15" s="34"/>
      <c r="B15" s="34"/>
      <c r="C15" s="34"/>
      <c r="D15" s="43"/>
      <c r="E15" s="177" t="s">
        <v>443</v>
      </c>
      <c r="F15" s="176">
        <f>IF(OR('Financing Assumptions'!$J$18="No Cash Equity",'Financing Assumptions'!$J$18="GP Only"),0,IF('Financing Assumptions'!$J$18="LP Only",'Financing Assumptions'!$L$28,IF(AND('Financing Assumptions'!$J$18="GP &amp; LP",'Financing Assumptions'!$K$27="%",'Financing Assumptions'!$J$30="LP Equity Breakdown"),'Financing Assumptions'!$K$30,IF(AND('Financing Assumptions'!$J$18="GP &amp; LP",'Financing Assumptions'!$K$27="Fixed",'Financing Assumptions'!$J$30="LP Equity Breakdown"),'Financing Assumptions'!$L$30,IF(AND('Financing Assumptions'!$J$18="GP &amp; LP",'Financing Assumptions'!$K$27="%",'Financing Assumptions'!$J$30&lt;&gt;"LP Equity Breakdown"),'Financing Assumptions'!$K$29,IF(AND('Financing Assumptions'!$J$18="GP &amp; LP",'Financing Assumptions'!$K$27="Fixed",'Financing Assumptions'!$J$30&lt;&gt;"LP Equity Breakdown"),'Financing Assumptions'!$L$29))))))</f>
        <v>1</v>
      </c>
      <c r="G15" s="175">
        <f>IF(E24="Yes",$G$24,0)</f>
        <v>834722.74854400044</v>
      </c>
      <c r="H15" s="175">
        <f>$F$7*F15</f>
        <v>10434034.356800005</v>
      </c>
      <c r="I15" s="174">
        <f>IF(OR('Financing Assumptions'!$J$18="No Cash Equity",'Financing Assumptions'!$J$18="GP Only"),0,IF('Financing Assumptions'!$J$18="LP Only",'Financing Assumptions'!$L$33,IF(AND('Financing Assumptions'!$J$18="GP &amp; LP",'Financing Assumptions'!$J$35="LP Ownership %"),'Financing Assumptions'!$L$35,IF(AND('Financing Assumptions'!$J$18="GP &amp; LP",'Financing Assumptions'!$J$35&lt;&gt;"LP Ownership %"),'Financing Assumptions'!$L$34))))</f>
        <v>0.7</v>
      </c>
      <c r="J15" s="34"/>
      <c r="K15" s="34"/>
      <c r="L15" s="74"/>
      <c r="M15" s="34"/>
      <c r="N15" s="34"/>
      <c r="O15" s="156"/>
      <c r="P15" s="34"/>
      <c r="Q15" s="34"/>
      <c r="R15" s="34"/>
      <c r="S15" s="90"/>
      <c r="T15" s="90"/>
      <c r="U15" s="90"/>
      <c r="V15" s="34"/>
    </row>
    <row r="16" spans="1:22" s="89" customFormat="1" ht="12.75" customHeight="1" x14ac:dyDescent="0.25">
      <c r="A16" s="34"/>
      <c r="B16" s="34"/>
      <c r="C16" s="34"/>
      <c r="D16" s="43"/>
      <c r="E16" s="173" t="s">
        <v>19</v>
      </c>
      <c r="F16" s="172"/>
      <c r="G16" s="172"/>
      <c r="H16" s="152">
        <f>SUM(H14:H15)</f>
        <v>10434034.356800005</v>
      </c>
      <c r="I16" s="171">
        <f>SUM(I14:I15)</f>
        <v>1</v>
      </c>
      <c r="J16" s="34"/>
      <c r="K16" s="34"/>
      <c r="L16" s="74"/>
      <c r="M16" s="34"/>
      <c r="N16" s="34"/>
      <c r="O16" s="156"/>
      <c r="P16" s="34"/>
      <c r="Q16" s="34"/>
      <c r="R16" s="34"/>
      <c r="S16" s="90"/>
      <c r="T16" s="90"/>
      <c r="U16" s="90"/>
      <c r="V16" s="34"/>
    </row>
    <row r="17" spans="1:22" s="89" customFormat="1" ht="12.75" customHeight="1" x14ac:dyDescent="0.25">
      <c r="A17" s="34"/>
      <c r="B17" s="34"/>
      <c r="C17" s="34"/>
      <c r="D17" s="43"/>
      <c r="E17" s="170"/>
      <c r="F17" s="169"/>
      <c r="G17" s="772"/>
      <c r="H17" s="166"/>
      <c r="I17" s="166"/>
      <c r="J17" s="745"/>
      <c r="K17" s="34"/>
      <c r="L17" s="74"/>
      <c r="M17" s="34"/>
      <c r="N17" s="34"/>
      <c r="O17" s="156"/>
      <c r="P17" s="34"/>
      <c r="Q17" s="34"/>
      <c r="S17" s="90"/>
      <c r="T17" s="90"/>
      <c r="U17" s="90"/>
      <c r="V17" s="34"/>
    </row>
    <row r="18" spans="1:22" s="89" customFormat="1" ht="12.75" customHeight="1" x14ac:dyDescent="0.25">
      <c r="A18" s="34"/>
      <c r="C18" s="34"/>
      <c r="D18" s="43"/>
      <c r="E18" s="68" t="s">
        <v>409</v>
      </c>
      <c r="F18" s="702" t="s">
        <v>73</v>
      </c>
      <c r="G18" s="702"/>
      <c r="H18" s="1529" t="s">
        <v>74</v>
      </c>
      <c r="I18" s="1529"/>
      <c r="J18" s="68" t="s">
        <v>372</v>
      </c>
      <c r="K18" s="34"/>
      <c r="L18" s="74"/>
      <c r="M18" s="34"/>
      <c r="N18" s="156" t="s">
        <v>771</v>
      </c>
      <c r="O18" s="1478">
        <f>'Operating Assumptions'!D45</f>
        <v>46082</v>
      </c>
      <c r="P18" s="34"/>
      <c r="Q18" s="1428"/>
      <c r="R18" s="34"/>
      <c r="S18" s="34"/>
      <c r="T18" s="34"/>
      <c r="U18" s="34"/>
      <c r="V18" s="34"/>
    </row>
    <row r="19" spans="1:22" s="89" customFormat="1" ht="12.75" customHeight="1" x14ac:dyDescent="0.25">
      <c r="A19" s="34"/>
      <c r="B19" s="34"/>
      <c r="C19" s="34"/>
      <c r="D19" s="43"/>
      <c r="E19" s="806" t="s">
        <v>776</v>
      </c>
      <c r="F19" s="810">
        <v>0.9</v>
      </c>
      <c r="G19" s="2"/>
      <c r="H19" s="1530" t="s">
        <v>756</v>
      </c>
      <c r="I19" s="1531"/>
      <c r="J19" s="167">
        <f>IF('Sale - Refinance'!E10="No","No",IF('Sale - Refinance'!E10="Yes",'Sale - Refinance'!E14))</f>
        <v>5</v>
      </c>
      <c r="K19" s="34"/>
      <c r="L19" s="74"/>
      <c r="M19" s="34"/>
      <c r="N19" s="34" t="s">
        <v>772</v>
      </c>
      <c r="O19" s="1478">
        <v>47118</v>
      </c>
      <c r="P19" s="34"/>
      <c r="Q19" s="156"/>
      <c r="R19" s="34"/>
      <c r="S19" s="34"/>
      <c r="T19" s="34"/>
      <c r="U19" s="34"/>
      <c r="V19" s="34"/>
    </row>
    <row r="20" spans="1:22" s="89" customFormat="1" ht="12.75" customHeight="1" x14ac:dyDescent="0.25">
      <c r="A20" s="34"/>
      <c r="B20" s="34"/>
      <c r="C20" s="34"/>
      <c r="D20" s="43"/>
      <c r="E20" s="2"/>
      <c r="F20" s="2"/>
      <c r="G20" s="2"/>
      <c r="H20" s="757" t="s">
        <v>75</v>
      </c>
      <c r="I20" s="758" t="s">
        <v>76</v>
      </c>
      <c r="J20" s="34"/>
      <c r="K20" s="34"/>
      <c r="L20" s="74"/>
      <c r="M20" s="34"/>
      <c r="N20" s="156" t="s">
        <v>773</v>
      </c>
      <c r="O20" s="1228">
        <f>H24</f>
        <v>2295487.5584960007</v>
      </c>
      <c r="P20" s="34"/>
      <c r="Q20" s="34"/>
      <c r="R20" s="34"/>
      <c r="S20" s="34"/>
      <c r="T20" s="34"/>
      <c r="U20" s="34"/>
      <c r="V20" s="34"/>
    </row>
    <row r="21" spans="1:22" s="89" customFormat="1" ht="12.75" customHeight="1" x14ac:dyDescent="0.25">
      <c r="A21" s="34"/>
      <c r="B21" s="34"/>
      <c r="C21" s="34"/>
      <c r="D21" s="43"/>
      <c r="E21" s="34"/>
      <c r="F21" s="34"/>
      <c r="G21" s="34"/>
      <c r="H21" s="756">
        <f>IF(H19="10/90",10%,IF(H19="20/80",20%,IF(H19="30/70",30%,IF(H19="40/60",40%,IF(H19="50/50",50%,IF(H19="60/40",60%,IF(H19="70/30",70%,IF(H19="80/20",80%,IF(H19="90/10",90%)))))))))</f>
        <v>0.9</v>
      </c>
      <c r="I21" s="731">
        <f>IF(H19="10/90",90%,IF(H19="20/80",80%,IF(H19="30/70",70%,IF(H19="40/60",60%,IF(H19="50/50",50%,IF(H19="60/40",40%,IF(H19="70/30",30%,IF(H19="80/20",20%,IF(H19="90/10",10%)))))))))</f>
        <v>0.1</v>
      </c>
      <c r="J21" s="68" t="s">
        <v>284</v>
      </c>
      <c r="K21" s="34"/>
      <c r="L21" s="74"/>
      <c r="M21" s="34"/>
      <c r="N21" s="149" t="s">
        <v>774</v>
      </c>
      <c r="O21" s="156"/>
      <c r="P21" s="34"/>
      <c r="Q21" s="34"/>
      <c r="R21" s="34"/>
      <c r="S21" s="34"/>
      <c r="T21" s="34"/>
      <c r="U21" s="34"/>
      <c r="V21" s="34"/>
    </row>
    <row r="22" spans="1:22" s="89" customFormat="1" ht="12.75" customHeight="1" x14ac:dyDescent="0.25">
      <c r="A22" s="34"/>
      <c r="B22" s="34"/>
      <c r="C22" s="34"/>
      <c r="D22" s="43"/>
      <c r="E22" s="34"/>
      <c r="F22" s="34"/>
      <c r="G22" s="34"/>
      <c r="H22" s="755"/>
      <c r="I22" s="755"/>
      <c r="J22" s="754" t="str">
        <f>IF('Sale - Refinance'!E21="No","No",IF('Sale - Refinance'!E21="Yes",'Sale - Refinance'!E25))</f>
        <v>No</v>
      </c>
      <c r="K22" s="34"/>
      <c r="L22" s="703"/>
      <c r="M22" s="34"/>
      <c r="O22" s="156"/>
      <c r="P22" s="34"/>
      <c r="Q22" s="34"/>
      <c r="R22" s="34"/>
      <c r="S22" s="34"/>
      <c r="T22" s="34"/>
      <c r="U22" s="34"/>
      <c r="V22" s="34"/>
    </row>
    <row r="23" spans="1:22" s="89" customFormat="1" ht="12.75" customHeight="1" outlineLevel="1" x14ac:dyDescent="0.25">
      <c r="A23" s="34"/>
      <c r="B23" s="34"/>
      <c r="C23" s="34"/>
      <c r="D23" s="43"/>
      <c r="E23" s="68" t="s">
        <v>411</v>
      </c>
      <c r="F23" s="751" t="s">
        <v>418</v>
      </c>
      <c r="G23" s="752">
        <v>0.08</v>
      </c>
      <c r="H23" s="34"/>
      <c r="I23" s="750"/>
      <c r="J23" s="34"/>
      <c r="K23" s="862"/>
      <c r="L23" s="70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s="89" customFormat="1" ht="12.75" customHeight="1" outlineLevel="1" x14ac:dyDescent="0.25">
      <c r="A24" s="34"/>
      <c r="B24" s="34"/>
      <c r="C24" s="34"/>
      <c r="D24" s="43"/>
      <c r="E24" s="86" t="s">
        <v>68</v>
      </c>
      <c r="F24" s="751" t="s">
        <v>417</v>
      </c>
      <c r="G24" s="753">
        <f>IF($E$24="Yes",$H$16*$G$23,0)</f>
        <v>834722.74854400044</v>
      </c>
      <c r="H24" s="827">
        <f>'Monthly CF'!F162</f>
        <v>2295487.5584960007</v>
      </c>
      <c r="I24" s="156"/>
      <c r="J24" s="34"/>
      <c r="K24" s="862"/>
      <c r="L24" s="704"/>
      <c r="M24" s="34"/>
      <c r="N24" s="34"/>
      <c r="O24" s="34"/>
      <c r="P24" s="34"/>
      <c r="Q24" s="827"/>
      <c r="R24" s="34"/>
      <c r="S24" s="34"/>
      <c r="T24" s="34"/>
      <c r="U24" s="34"/>
      <c r="V24" s="34"/>
    </row>
    <row r="25" spans="1:22" s="89" customFormat="1" ht="12.75" customHeight="1" x14ac:dyDescent="0.25">
      <c r="A25" s="34"/>
      <c r="B25" s="34"/>
      <c r="C25" s="34"/>
      <c r="D25" s="43"/>
      <c r="E25" s="34"/>
      <c r="F25" s="156"/>
      <c r="G25" s="156"/>
      <c r="H25" s="156"/>
      <c r="I25" s="156"/>
      <c r="J25" s="34"/>
      <c r="K25" s="34"/>
      <c r="L25" s="704"/>
      <c r="M25" s="34"/>
      <c r="N25" s="34"/>
      <c r="O25" s="156"/>
      <c r="P25" s="34"/>
      <c r="Q25" s="34"/>
      <c r="R25" s="34"/>
      <c r="S25" s="34"/>
      <c r="T25" s="34"/>
      <c r="U25" s="34"/>
      <c r="V25" s="34"/>
    </row>
    <row r="26" spans="1:22" s="162" customFormat="1" ht="12.75" customHeight="1" outlineLevel="1" x14ac:dyDescent="0.25">
      <c r="A26" s="35"/>
      <c r="B26" s="35"/>
      <c r="C26" s="35"/>
      <c r="D26" s="126"/>
      <c r="E26" s="132" t="s">
        <v>20</v>
      </c>
      <c r="F26" s="164" t="s">
        <v>7</v>
      </c>
      <c r="G26" s="164" t="s">
        <v>421</v>
      </c>
      <c r="H26" s="164" t="s">
        <v>437</v>
      </c>
      <c r="I26" s="164" t="s">
        <v>438</v>
      </c>
      <c r="J26" s="164" t="s">
        <v>439</v>
      </c>
      <c r="K26" s="163" t="s">
        <v>440</v>
      </c>
      <c r="L26" s="705"/>
      <c r="M26" s="155"/>
      <c r="N26" s="155"/>
      <c r="O26" s="161"/>
      <c r="Q26" s="35"/>
      <c r="R26" s="35"/>
      <c r="S26" s="35"/>
      <c r="T26" s="35"/>
      <c r="U26" s="35"/>
      <c r="V26" s="35"/>
    </row>
    <row r="27" spans="1:22" s="89" customFormat="1" ht="12.75" customHeight="1" outlineLevel="1" x14ac:dyDescent="0.25">
      <c r="A27" s="34"/>
      <c r="B27" s="34"/>
      <c r="C27" s="34"/>
      <c r="D27" s="1476">
        <f>'Sale - Refinance'!H6</f>
        <v>2027</v>
      </c>
      <c r="E27" s="710">
        <f>'Operating Proforma'!G8</f>
        <v>0.1</v>
      </c>
      <c r="F27" s="711">
        <f>IF(AND('Sale - Refinance'!$E$10="Yes",'Sale - Refinance'!$E$14=$E27,'Financing Assumptions'!$H$44="No"),'Sale - Refinance'!$E$16,IF(AND('Sale - Refinance'!$E$10="Yes",'Sale - Refinance'!$E$14=$E27,'Financing Assumptions'!$H$44="Yes",'Financing Assumptions'!$H$48&lt;&gt;$E27),'Sale - Refinance'!$E$16,IF(AND('Sale - Refinance'!$E$10="Yes",'Sale - Refinance'!$E$14=$E27,'Financing Assumptions'!$H$44="Yes",'Financing Assumptions'!$H$48=$E27),'Sale - Refinance'!$E$16,IF(AND('Sale - Refinance'!$E$10="Yes",'Sale - Refinance'!$E$14&lt;&gt;$E27,'Financing Assumptions'!$H$44="No"),INDEX('Sale - Refinance'!$G$4:$R$27,MATCH('Sale - Refinance'!$G$18,'Sale - Refinance'!$G$4:$G$27,0),MATCH($E27,'Sale - Refinance'!$G$4:$R$4,0)),IF(AND('Sale - Refinance'!$E$10="Yes",'Sale - Refinance'!$E$14&lt;&gt;$E27,'Financing Assumptions'!$H$44="Yes",'Financing Assumptions'!$H$48=$E27),INDEX('Sale - Refinance'!$G$4:$R$27,MATCH('Sale - Refinance'!$G$18,'Sale - Refinance'!$G$4:$G$27,0),MATCH($E27,'Sale - Refinance'!$G$4:$R$4,0)),IF(AND('Sale - Refinance'!$E$10="Yes",'Sale - Refinance'!$E$14&lt;&gt;$E27,'Financing Assumptions'!$H$44="Yes",'Financing Assumptions'!$H$48&lt;&gt;$E27),INDEX('Sale - Refinance'!$G$4:$R$27,MATCH('Sale - Refinance'!$G$18,'Sale - Refinance'!$G$4:$G$27,0),MATCH($E27,'Sale - Refinance'!$G$4:$R$4,0)),IF(AND('Sale - Refinance'!$E$10="No",'Financing Assumptions'!$H$44="Yes",'Financing Assumptions'!$H$48&lt;&gt;$E27),INDEX('Sale - Refinance'!$G$4:$R$27,MATCH('Sale - Refinance'!$G$18,'Sale - Refinance'!$G$4:$G$27,0),MATCH($E27,'Sale - Refinance'!$G$4:$R$4,0)),IF(AND('Sale - Refinance'!$E$10="No",'Financing Assumptions'!$H$44="Yes",'Financing Assumptions'!$H$48=$E27),INDEX('Sale - Refinance'!$G$4:$R$27,MATCH('Sale - Refinance'!$G$18,'Sale - Refinance'!$G$4:$G$27,0),MATCH($E27,'Sale - Refinance'!$G$4:$R$4,0)),IF(AND('Sale - Refinance'!$E$10="No",'Financing Assumptions'!$H$44="No"),INDEX('Sale - Refinance'!$G$4:$R$27,MATCH('Sale - Refinance'!$G$18,'Sale - Refinance'!$G$4:$G$27,0),MATCH($E27,'Sale - Refinance'!$G$4:$R$4,0)))))))))))</f>
        <v>0</v>
      </c>
      <c r="G27" s="712">
        <v>0</v>
      </c>
      <c r="H27" s="712">
        <f>IF($F27&lt;0,0,IF(AND($E$19="Investor First",$E$24="No",$F27&gt;$H$15),$H$15+(($F27-$H$15)*$I$15),IF(AND($E$19="Investor First",$E$24="No",$F27&lt;$H$15),$F27,IF(AND($E$19="Investor First",$E$24="Yes",$G27=0,$F27&gt;$G$24,$F27&gt;$H$15,$F27&gt;$G$24+$H$15),($G$24+$H$15)+(($F27-($G$24+$H$15))*$I$15),IF(AND($E$19="Investor First",$E$24="Yes",$G27=0,$F27&gt;$G$24,$F27&gt;$H$15,$F27&lt;$G$24+$H$15),$G$24+($F27-$G$24),IF(AND($E$19="Investor First",$E$24="Yes",$G27=0,$F27&gt;$G$24,$F27&lt;$H$15),$F27,IF(AND($E$19="Investor First",$E$24="Yes",$G27=0,$F27&lt;$G$24,$F27&gt;$H$15),$F27,IF(AND($E$19="Investor First",$E$24="Yes",$G27=0,$F27&lt;$G$24,$F27&lt;$H$15),$F27,IF(AND($E$19="Investor First %",$E$24="No",$F27&gt;$H$15),$H$15+(($F27-$H$15)*$I$15),IF(AND($E$19="Investor First %",$E$24="No",$F27&lt;$H$15),$F27*$F$19,IF(AND($E$19="Investor First %",$E$24="Yes",$G27=0,$F27&gt;$G$24,$F27&gt;$H$15,$F27&gt;$G$15+$H$15),($G$24+$H$15)+(($F27-($G$24+$H$15))*$I$15),IF(AND($E$19="Investor First %",$E$24="Yes",$G27=0,$F27&gt;$G$24,$F27&gt;$H$15,$F27&lt;$G$15+$H$15),$G$24+(($F27-$G$24)*$F$19),IF(AND($E$19="Investor First %",$E$24="Yes",$G27=0,$F27&gt;$G$24,$F27&lt;$H$15),$G$24+(($F27-$G$24)*$F$19),IF(AND($E$19="Investor First %",$E$24="Yes",$G27=0,$F27&lt;$G$24,$F27&gt;$H$15),$F27,IF(AND($E$19="Investor First %",$E$24="Yes",$G27=0,$F27&lt;$G$24,$F27&lt;$H$15),$F27,IF(AND($E$19="Ownership %",$E$24="Yes",$G27&gt;0,$F27&gt;$G27+$G$24),(($G27+$G$24)+($F27-($G27+$G$24))*$I$15),IF(AND($E$19="Ownership %",$E$24="Yes",$G27&gt;0,$F27&lt;$G27+$G$24),$F27,IF(AND($E$19="Ownership %",$E$24="Yes",$G27=0,$F27&gt;$G$24),$G$24+(($F27-$G$24)*$I$15),IF(AND($E$19="Ownership %",$E$24="Yes",$G27=0,$F27&lt;$G$24),$F27,IF(AND($E$19="Ownership %",$E$24="No"),$F27*$I$15))))))))))))))))))))</f>
        <v>0</v>
      </c>
      <c r="I27" s="1294">
        <f>IF($H$15=0,0,H27/$H$15)</f>
        <v>0</v>
      </c>
      <c r="J27" s="863">
        <f>IF($F27&lt;0,0,IF(AND($E$19="Investor First",$F$27&lt;$H$15),0,IF(AND($E$19="Investor First",$F$27&gt;$H$15),F27-H27,IF($E$19="Investor First %",F27-H27,IF($E$19="Split %",F27*$I$21,IF(AND($E$19="Ownership %",$E$24="Yes",$F27&lt;$G$15,$G27&gt;0),0,IF(AND($E$19="Ownership %",$E$24="Yes",$F27&lt;$G$15,$G27=0),0,IF(AND($E$19="Ownership %",$E$24="Yes",$F27&gt;$G$15,$G27=0),$F27-$H27,IF(AND($E$19="Ownership %",$E$24="Yes",$F27&gt;$G$15,$G27&gt;0,$F27&gt;$G$15+$G27),$F27-$H27,IF(AND($E$19="Ownership %",$E$24="Yes",$F27&gt;$G$15,$G27&gt;0,$F27&lt;$G$15+$G27),0,IF(AND($E$19="Ownership %",$E$24="No"),$F27*$I$14)))))))))))</f>
        <v>0</v>
      </c>
      <c r="K27" s="860" t="e">
        <f>IF(OR($I$14=0,$D27&gt;'Sale - Refinance'!$E$11),"",J27/$H$14)</f>
        <v>#DIV/0!</v>
      </c>
      <c r="L27" s="706"/>
      <c r="M27" s="34"/>
      <c r="N27" s="149"/>
      <c r="O27" s="156"/>
      <c r="P27" s="34"/>
      <c r="Q27" s="156"/>
      <c r="R27" s="156"/>
      <c r="S27" s="156"/>
      <c r="T27" s="34"/>
      <c r="U27" s="34"/>
      <c r="V27" s="34"/>
    </row>
    <row r="28" spans="1:22" s="89" customFormat="1" ht="12.75" customHeight="1" outlineLevel="1" x14ac:dyDescent="0.25">
      <c r="A28" s="34"/>
      <c r="B28" s="34"/>
      <c r="C28" s="34"/>
      <c r="D28" s="1476">
        <f>'Sale - Refinance'!I6</f>
        <v>2028</v>
      </c>
      <c r="E28" s="158">
        <f>'Operating Proforma'!H8</f>
        <v>1</v>
      </c>
      <c r="F28" s="779">
        <f>IF(AND('Sale - Refinance'!$E$10="Yes",'Sale - Refinance'!$E$14&lt;=$E27),0,IF(AND('Sale - Refinance'!$E$10="Yes",'Sale - Refinance'!$E$14=$E28,'Financing Assumptions'!$H$44="No"),'Sale - Refinance'!$E$16,IF(AND('Sale - Refinance'!$E$10="Yes",'Sale - Refinance'!$E$14=$E28,'Financing Assumptions'!$H$44="Yes",'Financing Assumptions'!$H$48&lt;&gt;$E28),'Sale - Refinance'!$E$16,IF(AND('Sale - Refinance'!$E$10="Yes",'Sale - Refinance'!$E$14=$E28,'Financing Assumptions'!$H$44="Yes",'Financing Assumptions'!$H$48=$E28),'Sale - Refinance'!$E$16,IF(AND('Sale - Refinance'!$E$10="Yes",'Sale - Refinance'!$E$14&lt;&gt;$E28,'Financing Assumptions'!$H$44="No"),INDEX('Sale - Refinance'!$G$4:$R$27,MATCH('Sale - Refinance'!$G$18,'Sale - Refinance'!$G$4:$G$27,0),MATCH($E28,'Sale - Refinance'!$G$4:$R$4,0)),IF(AND('Sale - Refinance'!$E$10="Yes",'Sale - Refinance'!$E$14&lt;&gt;$E28,'Financing Assumptions'!$H$44="Yes",'Financing Assumptions'!$H$48=$E28),INDEX('Sale - Refinance'!$G$4:$R$27,MATCH('Sale - Refinance'!$G$18,'Sale - Refinance'!$G$4:$G$27,0),MATCH($E28,'Sale - Refinance'!$G$4:$R$4,0)),IF(AND('Sale - Refinance'!$E$10="Yes",'Sale - Refinance'!$E$14&lt;&gt;$E28,'Financing Assumptions'!$H$44="Yes",'Financing Assumptions'!$H$48&lt;&gt;$E28),INDEX('Sale - Refinance'!$G$4:$R$27,MATCH('Sale - Refinance'!$G$18,'Sale - Refinance'!$G$4:$G$27,0),MATCH($E28,'Sale - Refinance'!$G$4:$R$4,0)),IF(AND('Sale - Refinance'!$E$10="No",'Financing Assumptions'!$H$44="Yes",'Financing Assumptions'!$H$48&lt;&gt;$E28),INDEX('Sale - Refinance'!$G$4:$R$27,MATCH('Sale - Refinance'!$G$18,'Sale - Refinance'!$G$4:$G$27,0),MATCH($E28,'Sale - Refinance'!$G$4:$R$4,0)),IF(AND('Sale - Refinance'!$E$10="No",'Financing Assumptions'!$H$44="Yes",'Financing Assumptions'!$H$48=$E28),INDEX('Sale - Refinance'!$G$4:$R$27,MATCH('Sale - Refinance'!$G$18,'Sale - Refinance'!$G$4:$G$27,0),MATCH($E28,'Sale - Refinance'!$G$4:$R$4,0)),IF(AND('Sale - Refinance'!$E$10="No",'Financing Assumptions'!$H$44="No"),INDEX('Sale - Refinance'!$G$4:$R$27,MATCH('Sale - Refinance'!$G$18,'Sale - Refinance'!$G$4:$G$27,0),MATCH($E28,'Sale - Refinance'!$G$4:$R$4,0))))))))))))</f>
        <v>2033032.5693331573</v>
      </c>
      <c r="G28" s="1477">
        <f>H24</f>
        <v>2295487.5584960007</v>
      </c>
      <c r="H28" s="149">
        <f>IF($F28&lt;0,0,IF(AND($E$19="Investor First",$E$24="No",SUM($H$27:H27)&gt;$H$15),F28*$I$15,IF(AND($E$19="Investor First",$E$24="No",SUM($H$27:H27)&lt;$H$15,SUM($H$27:H27)+F28&gt;$H$15),$H$15-SUM($H$27:H27)+((F28-($H$15-SUM($H$27:H27)))*$I$15),IF(AND($E$19="Investor First",$E$24="No",SUM($H$27:H27)+F28&lt;$H$15),$F28,IF(AND($E$19="Investor First",$E$24="Yes",$G28=0,$F28&gt;$G$24,SUM($H$27:H27)&gt;$H$15),$G$24+(($F28-$G$24)*$I$15),IF(AND($E$19="Investor First",$E$24="Yes",$G28=0,$F28&gt;$G$24,SUM($H$27:H27)&lt;$H$15,SUM($H$27:H27)+$F28&gt;$H$15,$F28&gt;$G$24+($H$15-SUM($H$27:H27))),(($H$15-SUM($H$27:H27))+$G$24)+(($F28-($G$24+($H$15-SUM($H$27:H27))))*$I$15),IF(AND($E$19="Investor First",$E$24="Yes",$G28=0,$F28&gt;$G$24,SUM($H$27:H27)&lt;$H$15,SUM($H$27:H27)+$F28&gt;$H$15,$F28&lt;$G$24+($H$15-SUM($H$27:H27))),$F28,IF(AND($E$19="Investor First",$E$24="Yes",$G28=0,$F28&gt;$G$24,SUM($H$27:H27)+F28&lt;$H$15),$G$24+($F28-$G$24),IF(AND($E$19="Investor First",$E$24="Yes",$G28=0,$F28&lt;$G$24,SUM($H$27:H27)&gt;$H$15),$F28,IF(AND($E$19="Investor First",$E$24="Yes",$G28=0,$F28&lt;$G$24,SUM($H$27:H27)&lt;$H$15,SUM($H$27:H27)+F28&gt;$H$15),$F28,IF(AND($E$19="Investor First",$E$24="Yes",$G28=0,$F28&lt;$G$24,SUM($H$27:H27)+F28&lt;$H$15),$F28,IF(AND($E$19="Investor First",$E$24="Yes",$G28&gt;0,$F28&gt;$G$24+$G28,SUM($H$27:H27)&gt;$H$15),($G$24+$G28)+(($F28-($G$24+$G28))*$I$15),IF(AND($E$19="Investor First",$E$24="Yes",$G28&gt;0,$F28&gt;$G$24+$G28,SUM($H$27:H27)&lt;$H$15,SUM($H$27:H27)+$F28&gt;$H$15,$F28&gt;($G$24+$G28)+($F28-($H$15-SUM($H$27:H27)))),(($G$24+$G28)+($H$15-SUM($H$27:H27)))+((F28-(($G$24+$G28)+($H$15-SUM($H$27:H27))))*$I$15),IF(AND($E$19="Investor First",$E$24="Yes",$G28&gt;0,$F28&gt;$G$24+$G28,SUM($H$27:H27)&lt;$H$15,SUM($H$27:H27)+$F28&gt;$H$15,$F28&lt;($G$24+$G28)+($F28-($H$15-SUM($H$27:H27)))),$F28,IF(AND($E$19="Investor First",$E$24="Yes",$G28&gt;0,$F28&gt;$G$24+$G28,SUM($H$27:H27)+F28&lt;$H$15),($G$24+$G28)+($F28-($G$24+$G28)),IF(AND($E$19="Investor First",$E$24="Yes",$G28&gt;0,$F28&lt;$G$24+$G28,SUM($H$27:H27)&gt;$H$15),F28,IF(AND($E$19="Investor First",$E$24="Yes",$G28&gt;0,$F28&lt;$G$24+$G28,SUM($H$27:H27)&lt;$H$15,SUM($H$27:H27)+F28&gt;$H$15),$F28,IF(AND($E$19="Investor First",$E$24="Yes",$G28&gt;0,$F28&lt;$G$24+$G28,SUM($H$27:H27)+F28&lt;$H$15),$F28,IF(AND($E$19="Investor First %",$E$24="No",SUM($H$27:H27)&gt;$H$15),F28*$I$15,IF(AND($E$19="Investor First %",$E$24="No",SUM($H$27:H27)&lt;$H$15,SUM($H$27:H27)+(F28*$F$19)&gt;$H$15),$H$15-SUM($H$27:H27)+((F28-($H$15-SUM($H$27:H27)))*$I$15),IF(AND($E$19="Investor First %",$E$24="No",SUM($H$27:H27)+(F28*$F$19)&lt;$H$15),$F28*$F$19,IF(AND($E$19="Investor First %",$E$24="Yes",$G28=0,$F28&gt;$G$24,SUM($H$27:H27)&gt;$H$15),$G$24+(($F28-$G$24)*$I$15),IF(AND($E$19="Investor First %",$E$24="Yes",$G28=0,$F28&gt;$G$24,SUM($H$27:H27)&lt;$H$15,SUM($H$27:H27)+($F28*$F$19)&gt;$H$15,$F28&gt;$G$24+($H$15-SUM($H$27:H27))),(($H$15-SUM($H$27:H27))+$G$24)+(($F28-($G$24+($H$15-SUM($H$27:H27))))*$I$15),IF(AND($E$19="Investor First %",$E$24="Yes",$G28=0,$F28&gt;$G$24,SUM($H$27:H27)&lt;$H$15,SUM($H$27:H27)+($F28*$F$19)&gt;$H$15,$F28&lt;$G$24+($H$15-SUM($H$27:H27))),$G$24+(($F28-$G$24)*$F$19),IF(AND($E$19="Investor First %",$E$24="Yes",$G28=0,$F28&gt;$G$24,SUM($H$27:H27)+(F28*$F$19)&lt;$H$15),$G$24+(($F28-$G$24)*$F$19),IF(AND($E$19="Investor First %",$E$24="Yes",$G28=0,$F28&lt;$G$24,SUM($H$27:H27)&gt;$H$15),$F28,IF(AND($E$19="Investor First %",$E$24="Yes",$G28=0,$F28&lt;$G$24,SUM($H$27:H27)&lt;$H$15,SUM($H$27:H27)+(F28*$F$19)&gt;$H$15),$F28,IF(AND($E$19="Investor First %",$E$24="Yes",$G28=0,$F28&lt;$G$24,SUM($H$27:H27)+(F28*$F$19)&lt;$H$15),$F28,IF(AND($E$19="Investor First %",$E$24="Yes",$G28&gt;0,$F28&gt;$G$24+$G28,SUM($H$27:H27)&gt;$H$15),($G$24+$G28)+(($F28-($G$24+$G28))*$I$15),IF(AND($E$19="Investor First %",$E$24="Yes",$G28&gt;0,$F28&gt;$G$24+$G28,SUM($H$27:H27)&lt;$H$15,SUM($H$27:H27)+(F28*$F$19)&gt;$H$15,$F28&gt;($G$24+$G28)+($F28-($H$15-SUM($H$27:H27)))),(($G$24+$G28)+($H$15-SUM($H$27:H27)))+((F28-(($G$24+$G28)+($H$15-SUM($H$27:H27))))*$I$15),IF(AND($E$19="Investor First %",$E$24="Yes",$G28&gt;0,$F28&gt;$G$24+$G28,SUM($H$27:H27)&lt;$H$15,SUM($H$27:H27)+(F28*$F$19)&gt;$H$15,$F28&lt;($G$24+$G28)+($F28-($H$15-SUM($H$27:H27)))),$F28,IF(AND($E$19="Investor First %",$E$24="Yes",$G28&gt;0,$F28&gt;$G$24+$G28,SUM($H$27:H27)+(F28*$F$19)&lt;$H$15),($G$24+$G28)+(($F28-($G$24+$G28))*$F$19),IF(AND($E$19="Investor First %",$E$24="Yes",$G28&gt;0,$F28&lt;$G$24+$G28,SUM($H$27:H27)&gt;$H$15),$F28,IF(AND($E$19="Investor First %",$E$24="Yes",$G28&gt;0,$F28&lt;$G$24+$G28,SUM($H$27:H27)&lt;$H$15,SUM($H$27:H27)+(F28*$F$19)&gt;$H$15),$F28,IF(AND($E$19="Investor First %",$E$24="Yes",$G28&gt;0,$F28&lt;$G$24+$G28,SUM($H$27:H27)+(F28*$F$19)&lt;$H$15),$F28,IF(AND($E$19="Ownership %",$E$24="Yes",$G28&gt;0,$F28&gt;$G28+$G$24),(($G28+$G$24)+($F28-($G28+$G$24))*$I$15),IF(AND($E$19="Ownership %",$E$24="Yes",$G28&gt;0,$F28&lt;$G28+$G$24),$F28,IF(AND($E$19="Ownership %",$E$24="Yes",$G28=0,$F28&gt;$G$24),$G$24+(($F28-$G$24)*$I$15),IF(AND($E$19="Ownership %",$E$24="Yes",$G28=0,$F28&lt;$G$24),$F28,IF(AND($E$19="Ownership %",$E$24="No"),F28*$I$15))))))))))))))))))))))))))))))))))))))))</f>
        <v>2033032.5693331573</v>
      </c>
      <c r="I28" s="153">
        <f>IF($H$15=0,0,H28/$H$15)</f>
        <v>0.19484625982740816</v>
      </c>
      <c r="J28" s="1433">
        <f>IF($F28&lt;=0,0,IF(AND($E$19="Investor First",$E$24="No",SUM($F$27:F28)&lt;$H$15),0,IF(AND($E$19="Investor First",$E$24="No",SUM($F$27:F27)&gt;$H$15),F28*$I$14,IF(AND($E$19="Investor First",$E$24="No",SUM($F$27:F27)&lt;$H$15,SUM($F$27:F28)&gt;$H$15),F28-H28,IF(AND($E$19="Investor First",$E$24="Yes",$F28&lt;$G$24,$G28&gt;0),0,IF(AND($E$19="Investor First",$E$24="Yes",$F28&lt;$G$24,$G28=0),0,IF(AND($E$19="Investor First",$E$24="Yes",$F28&gt;$G$24,$G28=0,SUM($F$27:F28)&lt;$H$15),0,IF(AND($E$19="Investor First",$E$24="Yes",$F28&gt;$G$24,$G28=0,SUM($F$27:F27)&gt;$H$15),($F28-$G$24)*$I$14,IF(AND($E$19="Investor First",$E$24="Yes",$F28&gt;$G$24,$G28=0,SUM($F$27:F27)&lt;$H$15,SUM($F$27:F28)&gt;$H$15),$F28-$H28,IF(AND($E$19="Investor First",$E$24="Yes",$G28&gt;0,$F28&gt;$G$24,$F28&gt;($G$24+$G28)),F28-H28,IF(AND($E$19="Investor First",$E$24="Yes",$G28&gt;0,$F28&gt;$G$24,$F28&lt;($G$24+$G28)),0,IF(AND($E$19="Investor First %",$E$24="No",SUM($H$27:H28)&lt;$H$15),F28-H28,IF(AND($E$19="Investor First %",$E$24="No",SUM($H$27:H27)&gt;$H$15),F28*$I$14,IF(AND($E$19="Investor First %",$E$24="No",SUM($H$27:H27)&lt;$H$15,SUM($H$27:H28)&gt;$H$15),F28-H28,IF(AND($E$19="Investor First %",$E$24="Yes",$F28&lt;$G$24,$G28&gt;0),0,IF(AND($E$19="Investor First %",$E$24="Yes",$F28&lt;$G$24,$G28=0),0,IF(AND($E$19="Investor First %",$E$24="Yes",$F28&gt;$G$24,$G28=0,SUM($H$27:H28)&lt;$H$15),F28-H28,IF(AND($E$19="Investor First %",$E$24="Yes",$F28&gt;$G$24,$G28=0,SUM($H$27:H27)&gt;$H$15),(F28-$G$24)*$I$14,IF(AND($E$19="Investor First %",$E$24="Yes",$F28&gt;$G$24,$G28=0,SUM($H$27:H27)&lt;$H$15,SUM($H$27:H28)&gt;$H$15),F28-H28,IF(AND($E$19="Investor First %",$E$24="Yes",$G28&gt;0,$F28&gt;$G$24,$F28&gt;($G$24+$G28)),F28-H28,IF(AND($E$19="Investor First %",$E$24="Yes",$G28&gt;0,$F28&gt;$G$24,$F28&lt;($G$24+$G28)),0,IF(AND($E$19="Ownership %",$E$24="Yes",$F28&lt;$G$24,$G28&gt;0),0,IF(AND($E$19="Ownership %",$E$24="Yes",$F28&lt;$G$24,$G28=0),0,IF(AND($E$19="Ownership %",$E$24="Yes",$F28&gt;$G$24,$G28=0),$F28-$H28,IF(AND($E$19="Ownership %",$E$24="Yes",$F28&gt;$G$24,$G28&gt;0,$F28&gt;$G$24+$G28),$F28-$H28,IF(AND($E$19="Ownership %",$E$24="Yes",$F28&gt;$G$24,$G28&gt;0,$F28&lt;$G$24+$G28),0,IF(AND($E$19="Ownership %",$E$24="No"),$F28*$I$14)))))))))))))))))))))))))))</f>
        <v>0</v>
      </c>
      <c r="K28" s="860" t="e">
        <f>IF(OR($I$14=0,$D28&gt;'Sale - Refinance'!$E$11),"",J28/$H$14)</f>
        <v>#DIV/0!</v>
      </c>
      <c r="L28" s="706"/>
      <c r="M28" s="34"/>
      <c r="N28" s="149"/>
      <c r="O28" s="156"/>
      <c r="P28" s="34"/>
      <c r="Q28" s="156"/>
      <c r="R28" s="156"/>
      <c r="S28" s="156"/>
      <c r="T28" s="34"/>
      <c r="U28" s="34"/>
      <c r="V28" s="34"/>
    </row>
    <row r="29" spans="1:22" s="89" customFormat="1" ht="12.75" customHeight="1" outlineLevel="1" x14ac:dyDescent="0.25">
      <c r="A29" s="34"/>
      <c r="B29" s="34"/>
      <c r="C29" s="34"/>
      <c r="D29" s="1476">
        <f>'Sale - Refinance'!J6</f>
        <v>2029</v>
      </c>
      <c r="E29" s="158">
        <f>E28+1</f>
        <v>2</v>
      </c>
      <c r="F29" s="779">
        <f>IF(AND('Sale - Refinance'!$E$10="Yes",'Sale - Refinance'!$E$14&lt;=$E28),0,IF(AND('Sale - Refinance'!$E$10="Yes",'Sale - Refinance'!$E$14=$E29,'Financing Assumptions'!$H$44="No"),'Sale - Refinance'!$E$16,IF(AND('Sale - Refinance'!$E$10="Yes",'Sale - Refinance'!$E$14=$E29,'Financing Assumptions'!$H$44="Yes",'Financing Assumptions'!$H$48&lt;&gt;$E29),'Sale - Refinance'!$E$16,IF(AND('Sale - Refinance'!$E$10="Yes",'Sale - Refinance'!$E$14=$E29,'Financing Assumptions'!$H$44="Yes",'Financing Assumptions'!$H$48=$E29),'Sale - Refinance'!$E$16,IF(AND('Sale - Refinance'!$E$10="Yes",'Sale - Refinance'!$E$14&lt;&gt;$E29,'Financing Assumptions'!$H$44="No"),INDEX('Sale - Refinance'!$G$4:$R$27,MATCH('Sale - Refinance'!$G$18,'Sale - Refinance'!$G$4:$G$27,0),MATCH($E29,'Sale - Refinance'!$G$4:$R$4,0)),IF(AND('Sale - Refinance'!$E$10="Yes",'Sale - Refinance'!$E$14&lt;&gt;$E29,'Financing Assumptions'!$H$44="Yes",'Financing Assumptions'!$H$48=$E29),INDEX('Sale - Refinance'!$G$4:$R$27,MATCH('Sale - Refinance'!$G$18,'Sale - Refinance'!$G$4:$G$27,0),MATCH($E29,'Sale - Refinance'!$G$4:$R$4,0)),IF(AND('Sale - Refinance'!$E$10="Yes",'Sale - Refinance'!$E$14&lt;&gt;$E29,'Financing Assumptions'!$H$44="Yes",'Financing Assumptions'!$H$48&lt;&gt;$E29),INDEX('Sale - Refinance'!$G$4:$R$27,MATCH('Sale - Refinance'!$G$18,'Sale - Refinance'!$G$4:$G$27,0),MATCH($E29,'Sale - Refinance'!$G$4:$R$4,0)),IF(AND('Sale - Refinance'!$E$10="No",'Financing Assumptions'!$H$44="Yes",'Financing Assumptions'!$H$48&lt;&gt;$E29),INDEX('Sale - Refinance'!$G$4:$R$27,MATCH('Sale - Refinance'!$G$18,'Sale - Refinance'!$G$4:$G$27,0),MATCH($E29,'Sale - Refinance'!$G$4:$R$4,0)),IF(AND('Sale - Refinance'!$E$10="No",'Financing Assumptions'!$H$44="Yes",'Financing Assumptions'!$H$48=$E29),INDEX('Sale - Refinance'!$G$4:$R$27,MATCH('Sale - Refinance'!$G$18,'Sale - Refinance'!$G$4:$G$27,0),MATCH($E29,'Sale - Refinance'!$G$4:$R$4,0)),IF(AND('Sale - Refinance'!$E$10="No",'Financing Assumptions'!$H$44="No"),INDEX('Sale - Refinance'!$G$4:$R$27,MATCH('Sale - Refinance'!$G$18,'Sale - Refinance'!$G$4:$G$27,0),MATCH($E29,'Sale - Refinance'!$G$4:$R$4,0))))))))))))</f>
        <v>1595516.5191228543</v>
      </c>
      <c r="G29" s="149">
        <f>IF($E$24="No",0,IF($E29&gt;'Sale - Refinance'!$E$14,0,IF(AND(G28=0,F28&lt;$G$24),($G$24-F28),IF(AND(F28&gt;$G$24,G28=0),0,IF(AND(G28&gt;0,F28&lt;$G$24),($G$24+$G28)-$F28,IF(AND(G28&gt;0,F28&gt;$G$24,F28&gt;($G$24+G28)),0,IF(AND(G28&gt;0,F28&gt;$G$24,F28&lt;($G$24+G28)),($G$24+G28)-F28)))))))</f>
        <v>1097177.737706844</v>
      </c>
      <c r="H29" s="149">
        <f>IF($F29&lt;0,0,IF(AND($E$19="Investor First",$E$24="No",SUM($H$27:H28)&gt;$H$15),F29*$I$15,IF(AND($E$19="Investor First",$E$24="No",SUM($H$27:H28)&lt;$H$15,SUM($H$27:H28)+F29&gt;$H$15),$H$15-SUM($H$27:H28)+((F29-($H$15-SUM($H$27:H28)))*$I$15),IF(AND($E$19="Investor First",$E$24="No",SUM($H$27:H28)+F29&lt;$H$15),$F29,IF(AND($E$19="Investor First",$E$24="Yes",$G29=0,$F29&gt;$G$24,SUM($H$27:H28)&gt;$H$15),$G$24+(($F29-$G$24)*$I$15),IF(AND($E$19="Investor First",$E$24="Yes",$G29=0,$F29&gt;$G$24,SUM($H$27:H28)&lt;$H$15,SUM($H$27:H28)+$F29&gt;$H$15,$F29&gt;$G$24+($H$15-SUM($H$27:H28))),(($H$15-SUM($H$27:H28))+$G$24)+(($F29-($G$24+($H$15-SUM($H$27:H28))))*$I$15),IF(AND($E$19="Investor First",$E$24="Yes",$G29=0,$F29&gt;$G$24,SUM($H$27:H28)&lt;$H$15,SUM($H$27:H28)+$F29&gt;$H$15,$F29&lt;$G$24+($H$15-SUM($H$27:H28))),$F29,IF(AND($E$19="Investor First",$E$24="Yes",$G29=0,$F29&gt;$G$24,SUM($H$27:H28)+F29&lt;$H$15),$G$24+($F29-$G$24),IF(AND($E$19="Investor First",$E$24="Yes",$G29=0,$F29&lt;$G$24,SUM($H$27:H28)&gt;$H$15),$F29,IF(AND($E$19="Investor First",$E$24="Yes",$G29=0,$F29&lt;$G$24,SUM($H$27:H28)&lt;$H$15,SUM($H$27:H28)+F29&gt;$H$15),$F29,IF(AND($E$19="Investor First",$E$24="Yes",$G29=0,$F29&lt;$G$24,SUM($H$27:H28)+F29&lt;$H$15),$F29,IF(AND($E$19="Investor First",$E$24="Yes",$G29&gt;0,$F29&gt;$G$24+$G29,SUM($H$27:H28)&gt;$H$15),($G$24+$G29)+(($F29-($G$24+$G29))*$I$15),IF(AND($E$19="Investor First",$E$24="Yes",$G29&gt;0,$F29&gt;$G$24+$G29,SUM($H$27:H28)&lt;$H$15,SUM($H$27:H28)+$F29&gt;$H$15,$F29&gt;($G$24+$G29)+($F29-($H$15-SUM($H$27:H28)))),(($G$24+$G29)+($H$15-SUM($H$27:H28)))+((F29-(($G$24+$G29)+($H$15-SUM($H$27:H28))))*$I$15),IF(AND($E$19="Investor First",$E$24="Yes",$G29&gt;0,$F29&gt;$G$24+$G29,SUM($H$27:H28)&lt;$H$15,SUM($H$27:H28)+$F29&gt;$H$15,$F29&lt;($G$24+$G29)+($F29-($H$15-SUM($H$27:H28)))),$F29,IF(AND($E$19="Investor First",$E$24="Yes",$G29&gt;0,$F29&gt;$G$24+$G29,SUM($H$27:H28)+F29&lt;$H$15),($G$24+$G29)+($F29-($G$24+$G29)),IF(AND($E$19="Investor First",$E$24="Yes",$G29&gt;0,$F29&lt;$G$24+$G29,SUM($H$27:H28)&gt;$H$15),F29,IF(AND($E$19="Investor First",$E$24="Yes",$G29&gt;0,$F29&lt;$G$24+$G29,SUM($H$27:H28)&lt;$H$15,SUM($H$27:H28)+F29&gt;$H$15),$F29,IF(AND($E$19="Investor First",$E$24="Yes",$G29&gt;0,$F29&lt;$G$24+$G29,SUM($H$27:H28)+F29&lt;$H$15),$F29,IF(AND($E$19="Investor First %",$E$24="No",SUM($H$27:H28)&gt;$H$15),F29*$I$15,IF(AND($E$19="Investor First %",$E$24="No",SUM($H$27:H28)&lt;$H$15,SUM($H$27:H28)+(F29*$F$19)&gt;$H$15),$H$15-SUM($H$27:H28)+((F29-($H$15-SUM($H$27:H28)))*$I$15),IF(AND($E$19="Investor First %",$E$24="No",SUM($H$27:H28)+(F29*$F$19)&lt;$H$15),$F29*$F$19,IF(AND($E$19="Investor First %",$E$24="Yes",$G29=0,$F29&gt;$G$24,SUM($H$27:H28)&gt;$H$15),$G$24+(($F29-$G$24)*$I$15),IF(AND($E$19="Investor First %",$E$24="Yes",$G29=0,$F29&gt;$G$24,SUM($H$27:H28)&lt;$H$15,SUM($H$27:H28)+($F29*$F$19)&gt;$H$15,$F29&gt;$G$24+($H$15-SUM($H$27:H28))),(($H$15-SUM($H$27:H28))+$G$24)+(($F29-($G$24+($H$15-SUM($H$27:H28))))*$I$15),IF(AND($E$19="Investor First %",$E$24="Yes",$G29=0,$F29&gt;$G$24,SUM($H$27:H28)&lt;$H$15,SUM($H$27:H28)+($F29*$F$19)&gt;$H$15,$F29&lt;$G$24+($H$15-SUM($H$27:H28))),$G$24+(($F29-$G$24)*$F$19),IF(AND($E$19="Investor First %",$E$24="Yes",$G29=0,$F29&gt;$G$24,SUM($H$27:H28)+(F29*$F$19)&lt;$H$15),$G$24+(($F29-$G$24)*$F$19),IF(AND($E$19="Investor First %",$E$24="Yes",$G29=0,$F29&lt;$G$24,SUM($H$27:H28)&gt;$H$15),$F29,IF(AND($E$19="Investor First %",$E$24="Yes",$G29=0,$F29&lt;$G$24,SUM($H$27:H28)&lt;$H$15,SUM($H$27:H28)+(F29*$F$19)&gt;$H$15),$F29,IF(AND($E$19="Investor First %",$E$24="Yes",$G29=0,$F29&lt;$G$24,SUM($H$27:H28)+(F29*$F$19)&lt;$H$15),$F29,IF(AND($E$19="Investor First %",$E$24="Yes",$G29&gt;0,$F29&gt;$G$24+$G29,SUM($H$27:H28)&gt;$H$15),($G$24+$G29)+(($F29-($G$24+$G29))*$I$15),IF(AND($E$19="Investor First %",$E$24="Yes",$G29&gt;0,$F29&gt;$G$24+$G29,SUM($H$27:H28)&lt;$H$15,SUM($H$27:H28)+(F29*$F$19)&gt;$H$15,$F29&gt;($G$24+$G29)+($F29-($H$15-SUM($H$27:H28)))),(($G$24+$G29)+($H$15-SUM($H$27:H28)))+((F29-(($G$24+$G29)+($H$15-SUM($H$27:H28))))*$I$15),IF(AND($E$19="Investor First %",$E$24="Yes",$G29&gt;0,$F29&gt;$G$24+$G29,SUM($H$27:H28)&lt;$H$15,SUM($H$27:H28)+(F29*$F$19)&gt;$H$15,$F29&lt;($G$24+$G29)+($F29-($H$15-SUM($H$27:H28)))),$F29,IF(AND($E$19="Investor First %",$E$24="Yes",$G29&gt;0,$F29&gt;$G$24+$G29,SUM($H$27:H28)+(F29*$F$19)&lt;$H$15),($G$24+$G29)+(($F29-($G$24+$G29))*$F$19),IF(AND($E$19="Investor First %",$E$24="Yes",$G29&gt;0,$F29&lt;$G$24+$G29,SUM($H$27:H28)&gt;$H$15),$F29,IF(AND($E$19="Investor First %",$E$24="Yes",$G29&gt;0,$F29&lt;$G$24+$G29,SUM($H$27:H28)&lt;$H$15,SUM($H$27:H28)+(F29*$F$19)&gt;$H$15),$F29,IF(AND($E$19="Investor First %",$E$24="Yes",$G29&gt;0,$F29&lt;$G$24+$G29,SUM($H$27:H28)+(F29*$F$19)&lt;$H$15),$F29,IF(AND($E$19="Ownership %",$E$24="Yes",$G29&gt;0,$F29&gt;$G29+$G$24),(($G29+$G$24)+($F29-($G29+$G$24))*$I$15),IF(AND($E$19="Ownership %",$E$24="Yes",$G29&gt;0,$F29&lt;$G29+$G$24),$F29,IF(AND($E$19="Ownership %",$E$24="Yes",$G29=0,$F29&gt;$G$24),$G$24+(($F29-$G$24)*$I$15),IF(AND($E$19="Ownership %",$E$24="Yes",$G29=0,$F29&lt;$G$24),$F29,IF(AND($E$19="Ownership %",$E$24="No"),F29*$I$15))))))))))))))))))))))))))))))))))))))))</f>
        <v>1595516.5191228543</v>
      </c>
      <c r="I29" s="153">
        <f t="shared" ref="I29:I37" si="0">IF($H$15=0,0,H29/$H$15)</f>
        <v>0.15291463153780341</v>
      </c>
      <c r="J29" s="1433">
        <f>IF($F29&lt;=0,0,IF(AND($E$19="Investor First",$E$24="No",SUM($F$27:F29)&lt;$H$15),0,IF(AND($E$19="Investor First",$E$24="No",SUM($F$27:F28)&gt;$H$15),F29*$I$14,IF(AND($E$19="Investor First",$E$24="No",SUM($F$27:F28)&lt;$H$15,SUM($F$27:F29)&gt;$H$15),F29-H29,IF(AND($E$19="Investor First",$E$24="Yes",$F29&lt;$G$24,$G29&gt;0),0,IF(AND($E$19="Investor First",$E$24="Yes",$F29&lt;$G$24,$G29=0),0,IF(AND($E$19="Investor First",$E$24="Yes",$F29&gt;$G$24,$G29=0,SUM($F$27:F29)&lt;$H$15),0,IF(AND($E$19="Investor First",$E$24="Yes",$F29&gt;$G$24,$G29=0,SUM($F$27:F28)&gt;$H$15),($F29-$G$24)*$I$14,IF(AND($E$19="Investor First",$E$24="Yes",$F29&gt;$G$24,$G29=0,SUM($F$27:F28)&lt;$H$15,SUM($F$27:F29)&gt;$H$15),$F29-$H29,IF(AND($E$19="Investor First",$E$24="Yes",$G29&gt;0,$F29&gt;$G$24,$F29&gt;($G$24+$G29)),F29-H29,IF(AND($E$19="Investor First",$E$24="Yes",$G29&gt;0,$F29&gt;$G$24,$F29&lt;($G$24+$G29)),0,IF(AND($E$19="Investor First %",$E$24="No",SUM($H$27:H29)&lt;$H$15),F29-H29,IF(AND($E$19="Investor First %",$E$24="No",SUM($H$27:H28)&gt;$H$15),F29*$I$14,IF(AND($E$19="Investor First %",$E$24="No",SUM($H$27:H28)&lt;$H$15,SUM($H$27:H29)&gt;$H$15),F29-H29,IF(AND($E$19="Investor First %",$E$24="Yes",$F29&lt;$G$24,$G29&gt;0),0,IF(AND($E$19="Investor First %",$E$24="Yes",$F29&lt;$G$24,$G29=0),0,IF(AND($E$19="Investor First %",$E$24="Yes",$F29&gt;$G$24,$G29=0,SUM($H$27:H29)&lt;$H$15),F29-H29,IF(AND($E$19="Investor First %",$E$24="Yes",$F29&gt;$G$24,$G29=0,SUM($H$27:H28)&gt;$H$15),(F29-$G$24)*$I$14,IF(AND($E$19="Investor First %",$E$24="Yes",$F29&gt;$G$24,$G29=0,SUM($H$27:H28)&lt;$H$15,SUM($H$27:H29)&gt;$H$15),F29-H29,IF(AND($E$19="Investor First %",$E$24="Yes",$G29&gt;0,$F29&gt;$G$24,$F29&gt;($G$24+$G29)),F29-H29,IF(AND($E$19="Investor First %",$E$24="Yes",$G29&gt;0,$F29&gt;$G$24,$F29&lt;($G$24+$G29)),0,IF(AND($E$19="Ownership %",$E$24="Yes",$F29&lt;$G$24,$G29&gt;0),0,IF(AND($E$19="Ownership %",$E$24="Yes",$F29&lt;$G$24,$G29=0),0,IF(AND($E$19="Ownership %",$E$24="Yes",$F29&gt;$G$24,$G29=0),$F29-$H29,IF(AND($E$19="Ownership %",$E$24="Yes",$F29&gt;$G$24,$G29&gt;0,$F29&gt;$G$24+$G29),$F29-$H29,IF(AND($E$19="Ownership %",$E$24="Yes",$F29&gt;$G$24,$G29&gt;0,$F29&lt;$G$24+$G29),0,IF(AND($E$19="Ownership %",$E$24="No"),$F29*$I$14)))))))))))))))))))))))))))</f>
        <v>0</v>
      </c>
      <c r="K29" s="860" t="e">
        <f>IF(OR($I$14=0,$D29&gt;'Sale - Refinance'!$E$11),"",J29/$H$14)</f>
        <v>#DIV/0!</v>
      </c>
      <c r="L29" s="706"/>
      <c r="M29" s="160"/>
      <c r="N29" s="149"/>
      <c r="O29" s="156"/>
      <c r="P29" s="34"/>
      <c r="Q29" s="156"/>
      <c r="R29" s="156"/>
      <c r="S29" s="156"/>
      <c r="T29" s="34"/>
      <c r="U29" s="34"/>
      <c r="V29" s="34"/>
    </row>
    <row r="30" spans="1:22" s="89" customFormat="1" ht="12.75" customHeight="1" outlineLevel="1" x14ac:dyDescent="0.25">
      <c r="A30" s="34"/>
      <c r="B30" s="34"/>
      <c r="C30" s="34"/>
      <c r="D30" s="1476">
        <f>'Sale - Refinance'!K6</f>
        <v>2030</v>
      </c>
      <c r="E30" s="158">
        <f t="shared" ref="E30:E37" si="1">E29+1</f>
        <v>3</v>
      </c>
      <c r="F30" s="779">
        <f>IF(AND('Sale - Refinance'!$E$10="Yes",'Sale - Refinance'!$E$14&lt;=$E29),0,IF(AND('Sale - Refinance'!$E$10="Yes",'Sale - Refinance'!$E$14=$E30,'Financing Assumptions'!$H$44="No"),'Sale - Refinance'!$E$16,IF(AND('Sale - Refinance'!$E$10="Yes",'Sale - Refinance'!$E$14=$E30,'Financing Assumptions'!$H$44="Yes",'Financing Assumptions'!$H$48&lt;&gt;$E30),'Sale - Refinance'!$E$16,IF(AND('Sale - Refinance'!$E$10="Yes",'Sale - Refinance'!$E$14=$E30,'Financing Assumptions'!$H$44="Yes",'Financing Assumptions'!$H$48=$E30),'Sale - Refinance'!$E$16,IF(AND('Sale - Refinance'!$E$10="Yes",'Sale - Refinance'!$E$14&lt;&gt;$E30,'Financing Assumptions'!$H$44="No"),INDEX('Sale - Refinance'!$G$4:$R$27,MATCH('Sale - Refinance'!$G$18,'Sale - Refinance'!$G$4:$G$27,0),MATCH($E30,'Sale - Refinance'!$G$4:$R$4,0)),IF(AND('Sale - Refinance'!$E$10="Yes",'Sale - Refinance'!$E$14&lt;&gt;$E30,'Financing Assumptions'!$H$44="Yes",'Financing Assumptions'!$H$48=$E30),INDEX('Sale - Refinance'!$G$4:$R$27,MATCH('Sale - Refinance'!$G$18,'Sale - Refinance'!$G$4:$G$27,0),MATCH($E30,'Sale - Refinance'!$G$4:$R$4,0)),IF(AND('Sale - Refinance'!$E$10="Yes",'Sale - Refinance'!$E$14&lt;&gt;$E30,'Financing Assumptions'!$H$44="Yes",'Financing Assumptions'!$H$48&lt;&gt;$E30),INDEX('Sale - Refinance'!$G$4:$R$27,MATCH('Sale - Refinance'!$G$18,'Sale - Refinance'!$G$4:$G$27,0),MATCH($E30,'Sale - Refinance'!$G$4:$R$4,0)),IF(AND('Sale - Refinance'!$E$10="No",'Financing Assumptions'!$H$44="Yes",'Financing Assumptions'!$H$48&lt;&gt;$E30),INDEX('Sale - Refinance'!$G$4:$R$27,MATCH('Sale - Refinance'!$G$18,'Sale - Refinance'!$G$4:$G$27,0),MATCH($E30,'Sale - Refinance'!$G$4:$R$4,0)),IF(AND('Sale - Refinance'!$E$10="No",'Financing Assumptions'!$H$44="Yes",'Financing Assumptions'!$H$48=$E30),INDEX('Sale - Refinance'!$G$4:$R$27,MATCH('Sale - Refinance'!$G$18,'Sale - Refinance'!$G$4:$G$27,0),MATCH($E30,'Sale - Refinance'!$G$4:$R$4,0)),IF(AND('Sale - Refinance'!$E$10="No",'Financing Assumptions'!$H$44="No"),INDEX('Sale - Refinance'!$G$4:$R$27,MATCH('Sale - Refinance'!$G$18,'Sale - Refinance'!$G$4:$G$27,0),MATCH($E30,'Sale - Refinance'!$G$4:$R$4,0))))))))))))</f>
        <v>1695673.327182909</v>
      </c>
      <c r="G30" s="149">
        <f>IF($E$24="No",0,IF($E30&gt;'Sale - Refinance'!$E$14,0,IF(AND(G29=0,F29&lt;$G$24),($G$24-F29),IF(AND(F29&gt;$G$24,G29=0),0,IF(AND(G29&gt;0,F29&lt;$G$24),($G$24+$G29)-$F29,IF(AND(G29&gt;0,F29&gt;$G$24,F29&gt;($G$24+G29)),0,IF(AND(G29&gt;0,F29&gt;$G$24,F29&lt;($G$24+G29)),($G$24+G29)-F29)))))))</f>
        <v>336383.96712798998</v>
      </c>
      <c r="H30" s="149">
        <f>IF($F30&lt;0,0,IF(AND($E$19="Investor First",$E$24="No",SUM($H$27:H29)&gt;$H$15),F30*$I$15,IF(AND($E$19="Investor First",$E$24="No",SUM($H$27:H29)&lt;$H$15,SUM($H$27:H29)+F30&gt;$H$15),$H$15-SUM($H$27:H29)+((F30-($H$15-SUM($H$27:H29)))*$I$15),IF(AND($E$19="Investor First",$E$24="No",SUM($H$27:H29)+F30&lt;$H$15),$F30,IF(AND($E$19="Investor First",$E$24="Yes",$G30=0,$F30&gt;$G$24,SUM($H$27:H29)&gt;$H$15),$G$24+(($F30-$G$24)*$I$15),IF(AND($E$19="Investor First",$E$24="Yes",$G30=0,$F30&gt;$G$24,SUM($H$27:H29)&lt;$H$15,SUM($H$27:H29)+$F30&gt;$H$15,$F30&gt;$G$24+($H$15-SUM($H$27:H29))),(($H$15-SUM($H$27:H29))+$G$24)+(($F30-($G$24+($H$15-SUM($H$27:H29))))*$I$15),IF(AND($E$19="Investor First",$E$24="Yes",$G30=0,$F30&gt;$G$24,SUM($H$27:H29)&lt;$H$15,SUM($H$27:H29)+$F30&gt;$H$15,$F30&lt;$G$24+($H$15-SUM($H$27:H29))),$F30,IF(AND($E$19="Investor First",$E$24="Yes",$G30=0,$F30&gt;$G$24,SUM($H$27:H29)+F30&lt;$H$15),$G$24+($F30-$G$24),IF(AND($E$19="Investor First",$E$24="Yes",$G30=0,$F30&lt;$G$24,SUM($H$27:H29)&gt;$H$15),$F30,IF(AND($E$19="Investor First",$E$24="Yes",$G30=0,$F30&lt;$G$24,SUM($H$27:H29)&lt;$H$15,SUM($H$27:H29)+F30&gt;$H$15),$F30,IF(AND($E$19="Investor First",$E$24="Yes",$G30=0,$F30&lt;$G$24,SUM($H$27:H29)+F30&lt;$H$15),$F30,IF(AND($E$19="Investor First",$E$24="Yes",$G30&gt;0,$F30&gt;$G$24+$G30,SUM($H$27:H29)&gt;$H$15),($G$24+$G30)+(($F30-($G$24+$G30))*$I$15),IF(AND($E$19="Investor First",$E$24="Yes",$G30&gt;0,$F30&gt;$G$24+$G30,SUM($H$27:H29)&lt;$H$15,SUM($H$27:H29)+$F30&gt;$H$15,$F30&gt;($G$24+$G30)+($F30-($H$15-SUM($H$27:H29)))),(($G$24+$G30)+($H$15-SUM($H$27:H29)))+((F30-(($G$24+$G30)+($H$15-SUM($H$27:H29))))*$I$15),IF(AND($E$19="Investor First",$E$24="Yes",$G30&gt;0,$F30&gt;$G$24+$G30,SUM($H$27:H29)&lt;$H$15,SUM($H$27:H29)+$F30&gt;$H$15,$F30&lt;($G$24+$G30)+($F30-($H$15-SUM($H$27:H29)))),$F30,IF(AND($E$19="Investor First",$E$24="Yes",$G30&gt;0,$F30&gt;$G$24+$G30,SUM($H$27:H29)+F30&lt;$H$15),($G$24+$G30)+($F30-($G$24+$G30)),IF(AND($E$19="Investor First",$E$24="Yes",$G30&gt;0,$F30&lt;$G$24+$G30,SUM($H$27:H29)&gt;$H$15),F30,IF(AND($E$19="Investor First",$E$24="Yes",$G30&gt;0,$F30&lt;$G$24+$G30,SUM($H$27:H29)&lt;$H$15,SUM($H$27:H29)+F30&gt;$H$15),$F30,IF(AND($E$19="Investor First",$E$24="Yes",$G30&gt;0,$F30&lt;$G$24+$G30,SUM($H$27:H29)+F30&lt;$H$15),$F30,IF(AND($E$19="Investor First %",$E$24="No",SUM($H$27:H29)&gt;$H$15),F30*$I$15,IF(AND($E$19="Investor First %",$E$24="No",SUM($H$27:H29)&lt;$H$15,SUM($H$27:H29)+(F30*$F$19)&gt;$H$15),$H$15-SUM($H$27:H29)+((F30-($H$15-SUM($H$27:H29)))*$I$15),IF(AND($E$19="Investor First %",$E$24="No",SUM($H$27:H29)+(F30*$F$19)&lt;$H$15),$F30*$F$19,IF(AND($E$19="Investor First %",$E$24="Yes",$G30=0,$F30&gt;$G$24,SUM($H$27:H29)&gt;$H$15),$G$24+(($F30-$G$24)*$I$15),IF(AND($E$19="Investor First %",$E$24="Yes",$G30=0,$F30&gt;$G$24,SUM($H$27:H29)&lt;$H$15,SUM($H$27:H29)+($F30*$F$19)&gt;$H$15,$F30&gt;$G$24+($H$15-SUM($H$27:H29))),(($H$15-SUM($H$27:H29))+$G$24)+(($F30-($G$24+($H$15-SUM($H$27:H29))))*$I$15),IF(AND($E$19="Investor First %",$E$24="Yes",$G30=0,$F30&gt;$G$24,SUM($H$27:H29)&lt;$H$15,SUM($H$27:H29)+($F30*$F$19)&gt;$H$15,$F30&lt;$G$24+($H$15-SUM($H$27:H29))),$G$24+(($F30-$G$24)*$F$19),IF(AND($E$19="Investor First %",$E$24="Yes",$G30=0,$F30&gt;$G$24,SUM($H$27:H29)+(F30*$F$19)&lt;$H$15),$G$24+(($F30-$G$24)*$F$19),IF(AND($E$19="Investor First %",$E$24="Yes",$G30=0,$F30&lt;$G$24,SUM($H$27:H29)&gt;$H$15),$F30,IF(AND($E$19="Investor First %",$E$24="Yes",$G30=0,$F30&lt;$G$24,SUM($H$27:H29)&lt;$H$15,SUM($H$27:H29)+(F30*$F$19)&gt;$H$15),$F30,IF(AND($E$19="Investor First %",$E$24="Yes",$G30=0,$F30&lt;$G$24,SUM($H$27:H29)+(F30*$F$19)&lt;$H$15),$F30,IF(AND($E$19="Investor First %",$E$24="Yes",$G30&gt;0,$F30&gt;$G$24+$G30,SUM($H$27:H29)&gt;$H$15),($G$24+$G30)+(($F30-($G$24+$G30))*$I$15),IF(AND($E$19="Investor First %",$E$24="Yes",$G30&gt;0,$F30&gt;$G$24+$G30,SUM($H$27:H29)&lt;$H$15,SUM($H$27:H29)+(F30*$F$19)&gt;$H$15,$F30&gt;($G$24+$G30)+($F30-($H$15-SUM($H$27:H29)))),(($G$24+$G30)+($H$15-SUM($H$27:H29)))+((F30-(($G$24+$G30)+($H$15-SUM($H$27:H29))))*$I$15),IF(AND($E$19="Investor First %",$E$24="Yes",$G30&gt;0,$F30&gt;$G$24+$G30,SUM($H$27:H29)&lt;$H$15,SUM($H$27:H29)+(F30*$F$19)&gt;$H$15,$F30&lt;($G$24+$G30)+($F30-($H$15-SUM($H$27:H29)))),$F30,IF(AND($E$19="Investor First %",$E$24="Yes",$G30&gt;0,$F30&gt;$G$24+$G30,SUM($H$27:H29)+(F30*$F$19)&lt;$H$15),($G$24+$G30)+(($F30-($G$24+$G30))*$F$19),IF(AND($E$19="Investor First %",$E$24="Yes",$G30&gt;0,$F30&lt;$G$24+$G30,SUM($H$27:H29)&gt;$H$15),$F30,IF(AND($E$19="Investor First %",$E$24="Yes",$G30&gt;0,$F30&lt;$G$24+$G30,SUM($H$27:H29)&lt;$H$15,SUM($H$27:H29)+(F30*$F$19)&gt;$H$15),$F30,IF(AND($E$19="Investor First %",$E$24="Yes",$G30&gt;0,$F30&lt;$G$24+$G30,SUM($H$27:H29)+(F30*$F$19)&lt;$H$15),$F30,IF(AND($E$19="Ownership %",$E$24="Yes",$G30&gt;0,$F30&gt;$G30+$G$24),(($G30+$G$24)+($F30-($G30+$G$24))*$I$15),IF(AND($E$19="Ownership %",$E$24="Yes",$G30&gt;0,$F30&lt;$G30+$G$24),$F30,IF(AND($E$19="Ownership %",$E$24="Yes",$G30=0,$F30&gt;$G$24),$G$24+(($F30-$G$24)*$I$15),IF(AND($E$19="Ownership %",$E$24="Yes",$G30=0,$F30&lt;$G$24),$F30,IF(AND($E$19="Ownership %",$E$24="No"),F30*$I$15))))))))))))))))))))))))))))))))))))))))</f>
        <v>1695673.327182909</v>
      </c>
      <c r="I30" s="153">
        <f t="shared" si="0"/>
        <v>0.16251368063378238</v>
      </c>
      <c r="J30" s="1433">
        <f>IF($F30&lt;=0,0,IF(AND($E$19="Investor First",$E$24="No",SUM($F$27:F30)&lt;$H$15),0,IF(AND($E$19="Investor First",$E$24="No",SUM($F$27:F29)&gt;$H$15),F30*$I$14,IF(AND($E$19="Investor First",$E$24="No",SUM($F$27:F29)&lt;$H$15,SUM($F$27:F30)&gt;$H$15),F30-H30,IF(AND($E$19="Investor First",$E$24="Yes",$F30&lt;$G$24,$G30&gt;0),0,IF(AND($E$19="Investor First",$E$24="Yes",$F30&lt;$G$24,$G30=0),0,IF(AND($E$19="Investor First",$E$24="Yes",$F30&gt;$G$24,$G30=0,SUM($F$27:F30)&lt;$H$15),0,IF(AND($E$19="Investor First",$E$24="Yes",$F30&gt;$G$24,$G30=0,SUM($F$27:F29)&gt;$H$15),($F30-$G$24)*$I$14,IF(AND($E$19="Investor First",$E$24="Yes",$F30&gt;$G$24,$G30=0,SUM($F$27:F29)&lt;$H$15,SUM($F$27:F30)&gt;$H$15),$F30-$H30,IF(AND($E$19="Investor First",$E$24="Yes",$G30&gt;0,$F30&gt;$G$24,$F30&gt;($G$24+$G30)),F30-H30,IF(AND($E$19="Investor First",$E$24="Yes",$G30&gt;0,$F30&gt;$G$24,$F30&lt;($G$24+$G30)),0,IF(AND($E$19="Investor First %",$E$24="No",SUM($H$27:H30)&lt;$H$15),F30-H30,IF(AND($E$19="Investor First %",$E$24="No",SUM($H$27:H29)&gt;$H$15),F30*$I$14,IF(AND($E$19="Investor First %",$E$24="No",SUM($H$27:H29)&lt;$H$15,SUM($H$27:H30)&gt;$H$15),F30-H30,IF(AND($E$19="Investor First %",$E$24="Yes",$F30&lt;$G$24,$G30&gt;0),0,IF(AND($E$19="Investor First %",$E$24="Yes",$F30&lt;$G$24,$G30=0),0,IF(AND($E$19="Investor First %",$E$24="Yes",$F30&gt;$G$24,$G30=0,SUM($H$27:H30)&lt;$H$15),F30-H30,IF(AND($E$19="Investor First %",$E$24="Yes",$F30&gt;$G$24,$G30=0,SUM($H$27:H29)&gt;$H$15),(F30-$G$24)*$I$14,IF(AND($E$19="Investor First %",$E$24="Yes",$F30&gt;$G$24,$G30=0,SUM($H$27:H29)&lt;$H$15,SUM($H$27:H30)&gt;$H$15),F30-H30,IF(AND($E$19="Investor First %",$E$24="Yes",$G30&gt;0,$F30&gt;$G$24,$F30&gt;($G$24+$G30)),F30-H30,IF(AND($E$19="Investor First %",$E$24="Yes",$G30&gt;0,$F30&gt;$G$24,$F30&lt;($G$24+$G30)),0,IF(AND($E$19="Ownership %",$E$24="Yes",$F30&lt;$G$24,$G30&gt;0),0,IF(AND($E$19="Ownership %",$E$24="Yes",$F30&lt;$G$24,$G30=0),0,IF(AND($E$19="Ownership %",$E$24="Yes",$F30&gt;$G$24,$G30=0),$F30-$H30,IF(AND($E$19="Ownership %",$E$24="Yes",$F30&gt;$G$24,$G30&gt;0,$F30&gt;$G$24+$G30),$F30-$H30,IF(AND($E$19="Ownership %",$E$24="Yes",$F30&gt;$G$24,$G30&gt;0,$F30&lt;$G$24+$G30),0,IF(AND($E$19="Ownership %",$E$24="No"),$F30*$I$14)))))))))))))))))))))))))))</f>
        <v>0</v>
      </c>
      <c r="K30" s="860" t="e">
        <f>IF(OR($I$14=0,$D30&gt;'Sale - Refinance'!$E$11),"",J30/$H$14)</f>
        <v>#DIV/0!</v>
      </c>
      <c r="L30" s="706"/>
      <c r="M30" s="159"/>
      <c r="N30" s="149"/>
      <c r="O30" s="156"/>
      <c r="P30" s="34"/>
      <c r="Q30" s="156"/>
      <c r="R30" s="156"/>
      <c r="S30" s="156"/>
      <c r="T30" s="34"/>
      <c r="U30" s="34"/>
      <c r="V30" s="34"/>
    </row>
    <row r="31" spans="1:22" s="89" customFormat="1" ht="12.75" customHeight="1" outlineLevel="1" x14ac:dyDescent="0.25">
      <c r="A31" s="34"/>
      <c r="B31" s="34"/>
      <c r="C31" s="34"/>
      <c r="D31" s="1476">
        <f>'Sale - Refinance'!L6</f>
        <v>2031</v>
      </c>
      <c r="E31" s="158">
        <f t="shared" si="1"/>
        <v>4</v>
      </c>
      <c r="F31" s="779">
        <f>IF(AND('Sale - Refinance'!$E$10="Yes",'Sale - Refinance'!$E$14&lt;=$E30),0,IF(AND('Sale - Refinance'!$E$10="Yes",'Sale - Refinance'!$E$14=$E31,'Financing Assumptions'!$H$44="No"),'Sale - Refinance'!$E$16,IF(AND('Sale - Refinance'!$E$10="Yes",'Sale - Refinance'!$E$14=$E31,'Financing Assumptions'!$H$44="Yes",'Financing Assumptions'!$H$48&lt;&gt;$E31),'Sale - Refinance'!$E$16,IF(AND('Sale - Refinance'!$E$10="Yes",'Sale - Refinance'!$E$14=$E31,'Financing Assumptions'!$H$44="Yes",'Financing Assumptions'!$H$48=$E31),'Sale - Refinance'!$E$16,IF(AND('Sale - Refinance'!$E$10="Yes",'Sale - Refinance'!$E$14&lt;&gt;$E31,'Financing Assumptions'!$H$44="No"),INDEX('Sale - Refinance'!$G$4:$R$27,MATCH('Sale - Refinance'!$G$18,'Sale - Refinance'!$G$4:$G$27,0),MATCH($E31,'Sale - Refinance'!$G$4:$R$4,0)),IF(AND('Sale - Refinance'!$E$10="Yes",'Sale - Refinance'!$E$14&lt;&gt;$E31,'Financing Assumptions'!$H$44="Yes",'Financing Assumptions'!$H$48=$E31),INDEX('Sale - Refinance'!$G$4:$R$27,MATCH('Sale - Refinance'!$G$18,'Sale - Refinance'!$G$4:$G$27,0),MATCH($E31,'Sale - Refinance'!$G$4:$R$4,0)),IF(AND('Sale - Refinance'!$E$10="Yes",'Sale - Refinance'!$E$14&lt;&gt;$E31,'Financing Assumptions'!$H$44="Yes",'Financing Assumptions'!$H$48&lt;&gt;$E31),INDEX('Sale - Refinance'!$G$4:$R$27,MATCH('Sale - Refinance'!$G$18,'Sale - Refinance'!$G$4:$G$27,0),MATCH($E31,'Sale - Refinance'!$G$4:$R$4,0)),IF(AND('Sale - Refinance'!$E$10="No",'Financing Assumptions'!$H$44="Yes",'Financing Assumptions'!$H$48&lt;&gt;$E31),INDEX('Sale - Refinance'!$G$4:$R$27,MATCH('Sale - Refinance'!$G$18,'Sale - Refinance'!$G$4:$G$27,0),MATCH($E31,'Sale - Refinance'!$G$4:$R$4,0)),IF(AND('Sale - Refinance'!$E$10="No",'Financing Assumptions'!$H$44="Yes",'Financing Assumptions'!$H$48=$E31),INDEX('Sale - Refinance'!$G$4:$R$27,MATCH('Sale - Refinance'!$G$18,'Sale - Refinance'!$G$4:$G$27,0),MATCH($E31,'Sale - Refinance'!$G$4:$R$4,0)),IF(AND('Sale - Refinance'!$E$10="No",'Financing Assumptions'!$H$44="No"),INDEX('Sale - Refinance'!$G$4:$R$27,MATCH('Sale - Refinance'!$G$18,'Sale - Refinance'!$G$4:$G$27,0),MATCH($E31,'Sale - Refinance'!$G$4:$R$4,0))))))))))))</f>
        <v>1795830.1352429655</v>
      </c>
      <c r="G31" s="149">
        <f>IF($E$24="No",0,IF($E31&gt;'Sale - Refinance'!$E$14,0,IF(AND(G30=0,F30&lt;$G$24),($G$24-F30),IF(AND(F30&gt;$G$24,G30=0),0,IF(AND(G30&gt;0,F30&lt;$G$24),($G$24+$G30)-$F30,IF(AND(G30&gt;0,F30&gt;$G$24,F30&gt;($G$24+G30)),0,IF(AND(G30&gt;0,F30&gt;$G$24,F30&lt;($G$24+G30)),($G$24+G30)-F30)))))))</f>
        <v>0</v>
      </c>
      <c r="H31" s="149">
        <f>IF($F31&lt;0,0,IF(AND($E$19="Investor First",$E$24="No",SUM($H$27:H30)&gt;$H$15),F31*$I$15,IF(AND($E$19="Investor First",$E$24="No",SUM($H$27:H30)&lt;$H$15,SUM($H$27:H30)+F31&gt;$H$15),$H$15-SUM($H$27:H30)+((F31-($H$15-SUM($H$27:H30)))*$I$15),IF(AND($E$19="Investor First",$E$24="No",SUM($H$27:H30)+F31&lt;$H$15),$F31,IF(AND($E$19="Investor First",$E$24="Yes",$G31=0,$F31&gt;$G$24,SUM($H$27:H30)&gt;$H$15),$G$24+(($F31-$G$24)*$I$15),IF(AND($E$19="Investor First",$E$24="Yes",$G31=0,$F31&gt;$G$24,SUM($H$27:H30)&lt;$H$15,SUM($H$27:H30)+$F31&gt;$H$15,$F31&gt;$G$24+($H$15-SUM($H$27:H30))),(($H$15-SUM($H$27:H30))+$G$24)+(($F31-($G$24+($H$15-SUM($H$27:H30))))*$I$15),IF(AND($E$19="Investor First",$E$24="Yes",$G31=0,$F31&gt;$G$24,SUM($H$27:H30)&lt;$H$15,SUM($H$27:H30)+$F31&gt;$H$15,$F31&lt;$G$24+($H$15-SUM($H$27:H30))),$F31,IF(AND($E$19="Investor First",$E$24="Yes",$G31=0,$F31&gt;$G$24,SUM($H$27:H30)+F31&lt;$H$15),$G$24+($F31-$G$24),IF(AND($E$19="Investor First",$E$24="Yes",$G31=0,$F31&lt;$G$24,SUM($H$27:H30)&gt;$H$15),$F31,IF(AND($E$19="Investor First",$E$24="Yes",$G31=0,$F31&lt;$G$24,SUM($H$27:H30)&lt;$H$15,SUM($H$27:H30)+F31&gt;$H$15),$F31,IF(AND($E$19="Investor First",$E$24="Yes",$G31=0,$F31&lt;$G$24,SUM($H$27:H30)+F31&lt;$H$15),$F31,IF(AND($E$19="Investor First",$E$24="Yes",$G31&gt;0,$F31&gt;$G$24+$G31,SUM($H$27:H30)&gt;$H$15),($G$24+$G31)+(($F31-($G$24+$G31))*$I$15),IF(AND($E$19="Investor First",$E$24="Yes",$G31&gt;0,$F31&gt;$G$24+$G31,SUM($H$27:H30)&lt;$H$15,SUM($H$27:H30)+$F31&gt;$H$15,$F31&gt;($G$24+$G31)+($F31-($H$15-SUM($H$27:H30)))),(($G$24+$G31)+($H$15-SUM($H$27:H30)))+((F31-(($G$24+$G31)+($H$15-SUM($H$27:H30))))*$I$15),IF(AND($E$19="Investor First",$E$24="Yes",$G31&gt;0,$F31&gt;$G$24+$G31,SUM($H$27:H30)&lt;$H$15,SUM($H$27:H30)+$F31&gt;$H$15,$F31&lt;($G$24+$G31)+($F31-($H$15-SUM($H$27:H30)))),$F31,IF(AND($E$19="Investor First",$E$24="Yes",$G31&gt;0,$F31&gt;$G$24+$G31,SUM($H$27:H30)+F31&lt;$H$15),($G$24+$G31)+($F31-($G$24+$G31)),IF(AND($E$19="Investor First",$E$24="Yes",$G31&gt;0,$F31&lt;$G$24+$G31,SUM($H$27:H30)&gt;$H$15),F31,IF(AND($E$19="Investor First",$E$24="Yes",$G31&gt;0,$F31&lt;$G$24+$G31,SUM($H$27:H30)&lt;$H$15,SUM($H$27:H30)+F31&gt;$H$15),$F31,IF(AND($E$19="Investor First",$E$24="Yes",$G31&gt;0,$F31&lt;$G$24+$G31,SUM($H$27:H30)+F31&lt;$H$15),$F31,IF(AND($E$19="Investor First %",$E$24="No",SUM($H$27:H30)&gt;$H$15),F31*$I$15,IF(AND($E$19="Investor First %",$E$24="No",SUM($H$27:H30)&lt;$H$15,SUM($H$27:H30)+(F31*$F$19)&gt;$H$15),$H$15-SUM($H$27:H30)+((F31-($H$15-SUM($H$27:H30)))*$I$15),IF(AND($E$19="Investor First %",$E$24="No",SUM($H$27:H30)+(F31*$F$19)&lt;$H$15),$F31*$F$19,IF(AND($E$19="Investor First %",$E$24="Yes",$G31=0,$F31&gt;$G$24,SUM($H$27:H30)&gt;$H$15),$G$24+(($F31-$G$24)*$I$15),IF(AND($E$19="Investor First %",$E$24="Yes",$G31=0,$F31&gt;$G$24,SUM($H$27:H30)&lt;$H$15,SUM($H$27:H30)+($F31*$F$19)&gt;$H$15,$F31&gt;$G$24+($H$15-SUM($H$27:H30))),(($H$15-SUM($H$27:H30))+$G$24)+(($F31-($G$24+($H$15-SUM($H$27:H30))))*$I$15),IF(AND($E$19="Investor First %",$E$24="Yes",$G31=0,$F31&gt;$G$24,SUM($H$27:H30)&lt;$H$15,SUM($H$27:H30)+($F31*$F$19)&gt;$H$15,$F31&lt;$G$24+($H$15-SUM($H$27:H30))),$G$24+(($F31-$G$24)*$F$19),IF(AND($E$19="Investor First %",$E$24="Yes",$G31=0,$F31&gt;$G$24,SUM($H$27:H30)+(F31*$F$19)&lt;$H$15),$G$24+(($F31-$G$24)*$F$19),IF(AND($E$19="Investor First %",$E$24="Yes",$G31=0,$F31&lt;$G$24,SUM($H$27:H30)&gt;$H$15),$F31,IF(AND($E$19="Investor First %",$E$24="Yes",$G31=0,$F31&lt;$G$24,SUM($H$27:H30)&lt;$H$15,SUM($H$27:H30)+(F31*$F$19)&gt;$H$15),$F31,IF(AND($E$19="Investor First %",$E$24="Yes",$G31=0,$F31&lt;$G$24,SUM($H$27:H30)+(F31*$F$19)&lt;$H$15),$F31,IF(AND($E$19="Investor First %",$E$24="Yes",$G31&gt;0,$F31&gt;$G$24+$G31,SUM($H$27:H30)&gt;$H$15),($G$24+$G31)+(($F31-($G$24+$G31))*$I$15),IF(AND($E$19="Investor First %",$E$24="Yes",$G31&gt;0,$F31&gt;$G$24+$G31,SUM($H$27:H30)&lt;$H$15,SUM($H$27:H30)+(F31*$F$19)&gt;$H$15,$F31&gt;($G$24+$G31)+($F31-($H$15-SUM($H$27:H30)))),(($G$24+$G31)+($H$15-SUM($H$27:H30)))+((F31-(($G$24+$G31)+($H$15-SUM($H$27:H30))))*$I$15),IF(AND($E$19="Investor First %",$E$24="Yes",$G31&gt;0,$F31&gt;$G$24+$G31,SUM($H$27:H30)&lt;$H$15,SUM($H$27:H30)+(F31*$F$19)&gt;$H$15,$F31&lt;($G$24+$G31)+($F31-($H$15-SUM($H$27:H30)))),$F31,IF(AND($E$19="Investor First %",$E$24="Yes",$G31&gt;0,$F31&gt;$G$24+$G31,SUM($H$27:H30)+(F31*$F$19)&lt;$H$15),($G$24+$G31)+(($F31-($G$24+$G31))*$F$19),IF(AND($E$19="Investor First %",$E$24="Yes",$G31&gt;0,$F31&lt;$G$24+$G31,SUM($H$27:H30)&gt;$H$15),$F31,IF(AND($E$19="Investor First %",$E$24="Yes",$G31&gt;0,$F31&lt;$G$24+$G31,SUM($H$27:H30)&lt;$H$15,SUM($H$27:H30)+(F31*$F$19)&gt;$H$15),$F31,IF(AND($E$19="Investor First %",$E$24="Yes",$G31&gt;0,$F31&lt;$G$24+$G31,SUM($H$27:H30)+(F31*$F$19)&lt;$H$15),$F31,IF(AND($E$19="Ownership %",$E$24="Yes",$G31&gt;0,$F31&gt;$G31+$G$24),(($G31+$G$24)+($F31-($G31+$G$24))*$I$15),IF(AND($E$19="Ownership %",$E$24="Yes",$G31&gt;0,$F31&lt;$G31+$G$24),$F31,IF(AND($E$19="Ownership %",$E$24="Yes",$G31=0,$F31&gt;$G$24),$G$24+(($F31-$G$24)*$I$15),IF(AND($E$19="Ownership %",$E$24="Yes",$G31=0,$F31&lt;$G$24),$F31,IF(AND($E$19="Ownership %",$E$24="No"),F31*$I$15))))))))))))))))))))))))))))))))))))))))</f>
        <v>1795830.1352429655</v>
      </c>
      <c r="I31" s="153">
        <f t="shared" si="0"/>
        <v>0.17211272972976155</v>
      </c>
      <c r="J31" s="1433">
        <f>IF($F31&lt;=0,0,IF(AND($E$19="Investor First",$E$24="No",SUM($F$27:F31)&lt;$H$15),0,IF(AND($E$19="Investor First",$E$24="No",SUM($F$27:F30)&gt;$H$15),F31*$I$14,IF(AND($E$19="Investor First",$E$24="No",SUM($F$27:F30)&lt;$H$15,SUM($F$27:F31)&gt;$H$15),F31-H31,IF(AND($E$19="Investor First",$E$24="Yes",$F31&lt;$G$24,$G31&gt;0),0,IF(AND($E$19="Investor First",$E$24="Yes",$F31&lt;$G$24,$G31=0),0,IF(AND($E$19="Investor First",$E$24="Yes",$F31&gt;$G$24,$G31=0,SUM($F$27:F31)&lt;$H$15),0,IF(AND($E$19="Investor First",$E$24="Yes",$F31&gt;$G$24,$G31=0,SUM($F$27:F30)&gt;$H$15),($F31-$G$24)*$I$14,IF(AND($E$19="Investor First",$E$24="Yes",$F31&gt;$G$24,$G31=0,SUM($F$27:F30)&lt;$H$15,SUM($F$27:F31)&gt;$H$15),$F31-$H31,IF(AND($E$19="Investor First",$E$24="Yes",$G31&gt;0,$F31&gt;$G$24,$F31&gt;($G$24+$G31)),F31-H31,IF(AND($E$19="Investor First",$E$24="Yes",$G31&gt;0,$F31&gt;$G$24,$F31&lt;($G$24+$G31)),0,IF(AND($E$19="Investor First %",$E$24="No",SUM($H$27:H31)&lt;$H$15),F31-H31,IF(AND($E$19="Investor First %",$E$24="No",SUM($H$27:H30)&gt;$H$15),F31*$I$14,IF(AND($E$19="Investor First %",$E$24="No",SUM($H$27:H30)&lt;$H$15,SUM($H$27:H31)&gt;$H$15),F31-H31,IF(AND($E$19="Investor First %",$E$24="Yes",$F31&lt;$G$24,$G31&gt;0),0,IF(AND($E$19="Investor First %",$E$24="Yes",$F31&lt;$G$24,$G31=0),0,IF(AND($E$19="Investor First %",$E$24="Yes",$F31&gt;$G$24,$G31=0,SUM($H$27:H31)&lt;$H$15),F31-H31,IF(AND($E$19="Investor First %",$E$24="Yes",$F31&gt;$G$24,$G31=0,SUM($H$27:H30)&gt;$H$15),(F31-$G$24)*$I$14,IF(AND($E$19="Investor First %",$E$24="Yes",$F31&gt;$G$24,$G31=0,SUM($H$27:H30)&lt;$H$15,SUM($H$27:H31)&gt;$H$15),F31-H31,IF(AND($E$19="Investor First %",$E$24="Yes",$G31&gt;0,$F31&gt;$G$24,$F31&gt;($G$24+$G31)),F31-H31,IF(AND($E$19="Investor First %",$E$24="Yes",$G31&gt;0,$F31&gt;$G$24,$F31&lt;($G$24+$G31)),0,IF(AND($E$19="Ownership %",$E$24="Yes",$F31&lt;$G$24,$G31&gt;0),0,IF(AND($E$19="Ownership %",$E$24="Yes",$F31&lt;$G$24,$G31=0),0,IF(AND($E$19="Ownership %",$E$24="Yes",$F31&gt;$G$24,$G31=0),$F31-$H31,IF(AND($E$19="Ownership %",$E$24="Yes",$F31&gt;$G$24,$G31&gt;0,$F31&gt;$G$24+$G31),$F31-$H31,IF(AND($E$19="Ownership %",$E$24="Yes",$F31&gt;$G$24,$G31&gt;0,$F31&lt;$G$24+$G31),0,IF(AND($E$19="Ownership %",$E$24="No"),$F31*$I$14)))))))))))))))))))))))))))</f>
        <v>0</v>
      </c>
      <c r="K31" s="860" t="e">
        <f>IF(OR($I$14=0,$D31&gt;'Sale - Refinance'!$E$11),"",J31/$H$14)</f>
        <v>#DIV/0!</v>
      </c>
      <c r="L31" s="706"/>
      <c r="M31" s="34"/>
      <c r="N31" s="149"/>
      <c r="O31" s="156"/>
      <c r="P31" s="34"/>
      <c r="Q31" s="156"/>
      <c r="R31" s="34"/>
      <c r="S31" s="34"/>
      <c r="T31" s="34"/>
      <c r="U31" s="34"/>
      <c r="V31" s="34"/>
    </row>
    <row r="32" spans="1:22" s="89" customFormat="1" ht="12.75" customHeight="1" outlineLevel="1" x14ac:dyDescent="0.25">
      <c r="A32" s="34"/>
      <c r="B32" s="34"/>
      <c r="C32" s="34"/>
      <c r="D32" s="1476">
        <f>'Sale - Refinance'!M6</f>
        <v>2032</v>
      </c>
      <c r="E32" s="158">
        <f t="shared" si="1"/>
        <v>5</v>
      </c>
      <c r="F32" s="779">
        <f>IF(AND('Sale - Refinance'!$E$10="Yes",'Sale - Refinance'!$E$14&lt;=$E31),0,IF(AND('Sale - Refinance'!$E$10="Yes",'Sale - Refinance'!$E$14=$E32,'Financing Assumptions'!$H$44="No"),'Sale - Refinance'!$E$16,IF(AND('Sale - Refinance'!$E$10="Yes",'Sale - Refinance'!$E$14=$E32,'Financing Assumptions'!$H$44="Yes",'Financing Assumptions'!$H$48&lt;&gt;$E32),'Sale - Refinance'!$E$16,IF(AND('Sale - Refinance'!$E$10="Yes",'Sale - Refinance'!$E$14=$E32,'Financing Assumptions'!$H$44="Yes",'Financing Assumptions'!$H$48=$E32),'Sale - Refinance'!$E$16,IF(AND('Sale - Refinance'!$E$10="Yes",'Sale - Refinance'!$E$14&lt;&gt;$E32,'Financing Assumptions'!$H$44="No"),INDEX('Sale - Refinance'!$G$4:$R$27,MATCH('Sale - Refinance'!$G$18,'Sale - Refinance'!$G$4:$G$27,0),MATCH($E32,'Sale - Refinance'!$G$4:$R$4,0)),IF(AND('Sale - Refinance'!$E$10="Yes",'Sale - Refinance'!$E$14&lt;&gt;$E32,'Financing Assumptions'!$H$44="Yes",'Financing Assumptions'!$H$48=$E32),INDEX('Sale - Refinance'!$G$4:$R$27,MATCH('Sale - Refinance'!$G$18,'Sale - Refinance'!$G$4:$G$27,0),MATCH($E32,'Sale - Refinance'!$G$4:$R$4,0)),IF(AND('Sale - Refinance'!$E$10="Yes",'Sale - Refinance'!$E$14&lt;&gt;$E32,'Financing Assumptions'!$H$44="Yes",'Financing Assumptions'!$H$48&lt;&gt;$E32),INDEX('Sale - Refinance'!$G$4:$R$27,MATCH('Sale - Refinance'!$G$18,'Sale - Refinance'!$G$4:$G$27,0),MATCH($E32,'Sale - Refinance'!$G$4:$R$4,0)),IF(AND('Sale - Refinance'!$E$10="No",'Financing Assumptions'!$H$44="Yes",'Financing Assumptions'!$H$48&lt;&gt;$E32),INDEX('Sale - Refinance'!$G$4:$R$27,MATCH('Sale - Refinance'!$G$18,'Sale - Refinance'!$G$4:$G$27,0),MATCH($E32,'Sale - Refinance'!$G$4:$R$4,0)),IF(AND('Sale - Refinance'!$E$10="No",'Financing Assumptions'!$H$44="Yes",'Financing Assumptions'!$H$48=$E32),INDEX('Sale - Refinance'!$G$4:$R$27,MATCH('Sale - Refinance'!$G$18,'Sale - Refinance'!$G$4:$G$27,0),MATCH($E32,'Sale - Refinance'!$G$4:$R$4,0)),IF(AND('Sale - Refinance'!$E$10="No",'Financing Assumptions'!$H$44="No"),INDEX('Sale - Refinance'!$G$4:$R$27,MATCH('Sale - Refinance'!$G$18,'Sale - Refinance'!$G$4:$G$27,0),MATCH($E32,'Sale - Refinance'!$G$4:$R$4,0))))))))))))</f>
        <v>31391684.676550463</v>
      </c>
      <c r="G32" s="149">
        <f>IF($E$24="No",0,IF($E32&gt;'Sale - Refinance'!$E$14,0,IF(AND(G31=0,F31&lt;$G$24),($G$24-F31),IF(AND(F31&gt;$G$24,G31=0),0,IF(AND(G31&gt;0,F31&lt;$G$24),($G$24+$G31)-$F31,IF(AND(G31&gt;0,F31&gt;$G$24,F31&gt;($G$24+G31)),0,IF(AND(G31&gt;0,F31&gt;$G$24,F31&lt;($G$24+G31)),($G$24+G31)-F31)))))))</f>
        <v>0</v>
      </c>
      <c r="H32" s="149">
        <f>IF($F32&lt;0,0,IF(AND($E$19="Investor First",$E$24="No",SUM($H$27:H31)&gt;$H$15),F32*$I$15,IF(AND($E$19="Investor First",$E$24="No",SUM($H$27:H31)&lt;$H$15,SUM($H$27:H31)+F32&gt;$H$15),$H$15-SUM($H$27:H31)+((F32-($H$15-SUM($H$27:H31)))*$I$15),IF(AND($E$19="Investor First",$E$24="No",SUM($H$27:H31)+F32&lt;$H$15),$F32,IF(AND($E$19="Investor First",$E$24="Yes",$G32=0,$F32&gt;$G$24,SUM($H$27:H31)&gt;$H$15),$G$24+(($F32-$G$24)*$I$15),IF(AND($E$19="Investor First",$E$24="Yes",$G32=0,$F32&gt;$G$24,SUM($H$27:H31)&lt;$H$15,SUM($H$27:H31)+$F32&gt;$H$15,$F32&gt;$G$24+($H$15-SUM($H$27:H31))),(($H$15-SUM($H$27:H31))+$G$24)+(($F32-($G$24+($H$15-SUM($H$27:H31))))*$I$15),IF(AND($E$19="Investor First",$E$24="Yes",$G32=0,$F32&gt;$G$24,SUM($H$27:H31)&lt;$H$15,SUM($H$27:H31)+$F32&gt;$H$15,$F32&lt;$G$24+($H$15-SUM($H$27:H31))),$F32,IF(AND($E$19="Investor First",$E$24="Yes",$G32=0,$F32&gt;$G$24,SUM($H$27:H31)+F32&lt;$H$15),$G$24+($F32-$G$24),IF(AND($E$19="Investor First",$E$24="Yes",$G32=0,$F32&lt;$G$24,SUM($H$27:H31)&gt;$H$15),$F32,IF(AND($E$19="Investor First",$E$24="Yes",$G32=0,$F32&lt;$G$24,SUM($H$27:H31)&lt;$H$15,SUM($H$27:H31)+F32&gt;$H$15),$F32,IF(AND($E$19="Investor First",$E$24="Yes",$G32=0,$F32&lt;$G$24,SUM($H$27:H31)+F32&lt;$H$15),$F32,IF(AND($E$19="Investor First",$E$24="Yes",$G32&gt;0,$F32&gt;$G$24+$G32,SUM($H$27:H31)&gt;$H$15),($G$24+$G32)+(($F32-($G$24+$G32))*$I$15),IF(AND($E$19="Investor First",$E$24="Yes",$G32&gt;0,$F32&gt;$G$24+$G32,SUM($H$27:H31)&lt;$H$15,SUM($H$27:H31)+$F32&gt;$H$15,$F32&gt;($G$24+$G32)+($F32-($H$15-SUM($H$27:H31)))),(($G$24+$G32)+($H$15-SUM($H$27:H31)))+((F32-(($G$24+$G32)+($H$15-SUM($H$27:H31))))*$I$15),IF(AND($E$19="Investor First",$E$24="Yes",$G32&gt;0,$F32&gt;$G$24+$G32,SUM($H$27:H31)&lt;$H$15,SUM($H$27:H31)+$F32&gt;$H$15,$F32&lt;($G$24+$G32)+($F32-($H$15-SUM($H$27:H31)))),$F32,IF(AND($E$19="Investor First",$E$24="Yes",$G32&gt;0,$F32&gt;$G$24+$G32,SUM($H$27:H31)+F32&lt;$H$15),($G$24+$G32)+($F32-($G$24+$G32)),IF(AND($E$19="Investor First",$E$24="Yes",$G32&gt;0,$F32&lt;$G$24+$G32,SUM($H$27:H31)&gt;$H$15),F32,IF(AND($E$19="Investor First",$E$24="Yes",$G32&gt;0,$F32&lt;$G$24+$G32,SUM($H$27:H31)&lt;$H$15,SUM($H$27:H31)+F32&gt;$H$15),$F32,IF(AND($E$19="Investor First",$E$24="Yes",$G32&gt;0,$F32&lt;$G$24+$G32,SUM($H$27:H31)+F32&lt;$H$15),$F32,IF(AND($E$19="Investor First %",$E$24="No",SUM($H$27:H31)&gt;$H$15),F32*$I$15,IF(AND($E$19="Investor First %",$E$24="No",SUM($H$27:H31)&lt;$H$15,SUM($H$27:H31)+(F32*$F$19)&gt;$H$15),$H$15-SUM($H$27:H31)+((F32-($H$15-SUM($H$27:H31)))*$I$15),IF(AND($E$19="Investor First %",$E$24="No",SUM($H$27:H31)+(F32*$F$19)&lt;$H$15),$F32*$F$19,IF(AND($E$19="Investor First %",$E$24="Yes",$G32=0,$F32&gt;$G$24,SUM($H$27:H31)&gt;$H$15),$G$24+(($F32-$G$24)*$I$15),IF(AND($E$19="Investor First %",$E$24="Yes",$G32=0,$F32&gt;$G$24,SUM($H$27:H31)&lt;$H$15,SUM($H$27:H31)+($F32*$F$19)&gt;$H$15,$F32&gt;$G$24+($H$15-SUM($H$27:H31))),(($H$15-SUM($H$27:H31))+$G$24)+(($F32-($G$24+($H$15-SUM($H$27:H31))))*$I$15),IF(AND($E$19="Investor First %",$E$24="Yes",$G32=0,$F32&gt;$G$24,SUM($H$27:H31)&lt;$H$15,SUM($H$27:H31)+($F32*$F$19)&gt;$H$15,$F32&lt;$G$24+($H$15-SUM($H$27:H31))),$G$24+(($F32-$G$24)*$F$19),IF(AND($E$19="Investor First %",$E$24="Yes",$G32=0,$F32&gt;$G$24,SUM($H$27:H31)+(F32*$F$19)&lt;$H$15),$G$24+(($F32-$G$24)*$F$19),IF(AND($E$19="Investor First %",$E$24="Yes",$G32=0,$F32&lt;$G$24,SUM($H$27:H31)&gt;$H$15),$F32,IF(AND($E$19="Investor First %",$E$24="Yes",$G32=0,$F32&lt;$G$24,SUM($H$27:H31)&lt;$H$15,SUM($H$27:H31)+(F32*$F$19)&gt;$H$15),$F32,IF(AND($E$19="Investor First %",$E$24="Yes",$G32=0,$F32&lt;$G$24,SUM($H$27:H31)+(F32*$F$19)&lt;$H$15),$F32,IF(AND($E$19="Investor First %",$E$24="Yes",$G32&gt;0,$F32&gt;$G$24+$G32,SUM($H$27:H31)&gt;$H$15),($G$24+$G32)+(($F32-($G$24+$G32))*$I$15),IF(AND($E$19="Investor First %",$E$24="Yes",$G32&gt;0,$F32&gt;$G$24+$G32,SUM($H$27:H31)&lt;$H$15,SUM($H$27:H31)+(F32*$F$19)&gt;$H$15,$F32&gt;($G$24+$G32)+($F32-($H$15-SUM($H$27:H31)))),(($G$24+$G32)+($H$15-SUM($H$27:H31)))+((F32-(($G$24+$G32)+($H$15-SUM($H$27:H31))))*$I$15),IF(AND($E$19="Investor First %",$E$24="Yes",$G32&gt;0,$F32&gt;$G$24+$G32,SUM($H$27:H31)&lt;$H$15,SUM($H$27:H31)+(F32*$F$19)&gt;$H$15,$F32&lt;($G$24+$G32)+($F32-($H$15-SUM($H$27:H31)))),$F32,IF(AND($E$19="Investor First %",$E$24="Yes",$G32&gt;0,$F32&gt;$G$24+$G32,SUM($H$27:H31)+(F32*$F$19)&lt;$H$15),($G$24+$G32)+(($F32-($G$24+$G32))*$F$19),IF(AND($E$19="Investor First %",$E$24="Yes",$G32&gt;0,$F32&lt;$G$24+$G32,SUM($H$27:H31)&gt;$H$15),$F32,IF(AND($E$19="Investor First %",$E$24="Yes",$G32&gt;0,$F32&lt;$G$24+$G32,SUM($H$27:H31)&lt;$H$15,SUM($H$27:H31)+(F32*$F$19)&gt;$H$15),$F32,IF(AND($E$19="Investor First %",$E$24="Yes",$G32&gt;0,$F32&lt;$G$24+$G32,SUM($H$27:H31)+(F32*$F$19)&lt;$H$15),$F32,IF(AND($E$19="Ownership %",$E$24="Yes",$G32&gt;0,$F32&gt;$G32+$G$24),(($G32+$G$24)+($F32-($G32+$G$24))*$I$15),IF(AND($E$19="Ownership %",$E$24="Yes",$G32&gt;0,$F32&lt;$G32+$G$24),$F32,IF(AND($E$19="Ownership %",$E$24="Yes",$G32=0,$F32&gt;$G$24),$G$24+(($F32-$G$24)*$I$15),IF(AND($E$19="Ownership %",$E$24="Yes",$G32=0,$F32&lt;$G$24),$F32,IF(AND($E$19="Ownership %",$E$24="No"),F32*$I$15))))))))))))))))))))))))))))))))))))))))</f>
        <v>23218790.63992396</v>
      </c>
      <c r="I32" s="153">
        <f t="shared" si="0"/>
        <v>2.2252936731794399</v>
      </c>
      <c r="J32" s="1433">
        <f>IF($F32&lt;=0,0,IF(AND($E$19="Investor First",$E$24="No",SUM($F$27:F32)&lt;$H$15),0,IF(AND($E$19="Investor First",$E$24="No",SUM($F$27:F31)&gt;$H$15),F32*$I$14,IF(AND($E$19="Investor First",$E$24="No",SUM($F$27:F31)&lt;$H$15,SUM($F$27:F32)&gt;$H$15),F32-H32,IF(AND($E$19="Investor First",$E$24="Yes",$F32&lt;$G$24,$G32&gt;0),0,IF(AND($E$19="Investor First",$E$24="Yes",$F32&lt;$G$24,$G32=0),0,IF(AND($E$19="Investor First",$E$24="Yes",$F32&gt;$G$24,$G32=0,SUM($F$27:F32)&lt;$H$15),0,IF(AND($E$19="Investor First",$E$24="Yes",$F32&gt;$G$24,$G32=0,SUM($F$27:F31)&gt;$H$15),($F32-$G$24)*$I$14,IF(AND($E$19="Investor First",$E$24="Yes",$F32&gt;$G$24,$G32=0,SUM($F$27:F31)&lt;$H$15,SUM($F$27:F32)&gt;$H$15),$F32-$H32,IF(AND($E$19="Investor First",$E$24="Yes",$G32&gt;0,$F32&gt;$G$24,$F32&gt;($G$24+$G32)),F32-H32,IF(AND($E$19="Investor First",$E$24="Yes",$G32&gt;0,$F32&gt;$G$24,$F32&lt;($G$24+$G32)),0,IF(AND($E$19="Investor First %",$E$24="No",SUM($H$27:H32)&lt;$H$15),F32-H32,IF(AND($E$19="Investor First %",$E$24="No",SUM($H$27:H31)&gt;$H$15),F32*$I$14,IF(AND($E$19="Investor First %",$E$24="No",SUM($H$27:H31)&lt;$H$15,SUM($H$27:H32)&gt;$H$15),F32-H32,IF(AND($E$19="Investor First %",$E$24="Yes",$F32&lt;$G$24,$G32&gt;0),0,IF(AND($E$19="Investor First %",$E$24="Yes",$F32&lt;$G$24,$G32=0),0,IF(AND($E$19="Investor First %",$E$24="Yes",$F32&gt;$G$24,$G32=0,SUM($H$27:H32)&lt;$H$15),F32-H32,IF(AND($E$19="Investor First %",$E$24="Yes",$F32&gt;$G$24,$G32=0,SUM($H$27:H31)&gt;$H$15),(F32-$G$24)*$I$14,IF(AND($E$19="Investor First %",$E$24="Yes",$F32&gt;$G$24,$G32=0,SUM($H$27:H31)&lt;$H$15,SUM($H$27:H32)&gt;$H$15),F32-H32,IF(AND($E$19="Investor First %",$E$24="Yes",$G32&gt;0,$F32&gt;$G$24,$F32&gt;($G$24+$G32)),F32-H32,IF(AND($E$19="Investor First %",$E$24="Yes",$G32&gt;0,$F32&gt;$G$24,$F32&lt;($G$24+$G32)),0,IF(AND($E$19="Ownership %",$E$24="Yes",$F32&lt;$G$24,$G32&gt;0),0,IF(AND($E$19="Ownership %",$E$24="Yes",$F32&lt;$G$24,$G32=0),0,IF(AND($E$19="Ownership %",$E$24="Yes",$F32&gt;$G$24,$G32=0),$F32-$H32,IF(AND($E$19="Ownership %",$E$24="Yes",$F32&gt;$G$24,$G32&gt;0,$F32&gt;$G$24+$G32),$F32-$H32,IF(AND($E$19="Ownership %",$E$24="Yes",$F32&gt;$G$24,$G32&gt;0,$F32&lt;$G$24+$G32),0,IF(AND($E$19="Ownership %",$E$24="No"),$F32*$I$14)))))))))))))))))))))))))))</f>
        <v>8172894.0366265029</v>
      </c>
      <c r="K32" s="860" t="e">
        <f>IF(OR($I$14=0,$D32&gt;'Sale - Refinance'!$E$11),"",J32/$H$14)</f>
        <v>#DIV/0!</v>
      </c>
      <c r="L32" s="706"/>
      <c r="M32" s="34"/>
      <c r="N32" s="149"/>
      <c r="O32" s="34"/>
      <c r="P32" s="34"/>
      <c r="Q32" s="149"/>
      <c r="R32" s="34"/>
      <c r="S32" s="34"/>
      <c r="T32" s="34"/>
      <c r="U32" s="34"/>
      <c r="V32" s="34"/>
    </row>
    <row r="33" spans="1:22" s="89" customFormat="1" ht="12.75" customHeight="1" outlineLevel="1" x14ac:dyDescent="0.25">
      <c r="A33" s="34"/>
      <c r="B33" s="34"/>
      <c r="C33" s="34"/>
      <c r="D33" s="1476">
        <f>'Sale - Refinance'!N6</f>
        <v>2033</v>
      </c>
      <c r="E33" s="158">
        <f t="shared" si="1"/>
        <v>6</v>
      </c>
      <c r="F33" s="779">
        <f>IF(AND('Sale - Refinance'!$E$10="Yes",'Sale - Refinance'!$E$14&lt;=$E32),0,IF(AND('Sale - Refinance'!$E$10="Yes",'Sale - Refinance'!$E$14=$E33,'Financing Assumptions'!$H$44="No"),'Sale - Refinance'!$E$16,IF(AND('Sale - Refinance'!$E$10="Yes",'Sale - Refinance'!$E$14=$E33,'Financing Assumptions'!$H$44="Yes",'Financing Assumptions'!$H$48&lt;&gt;$E33),'Sale - Refinance'!$E$16,IF(AND('Sale - Refinance'!$E$10="Yes",'Sale - Refinance'!$E$14=$E33,'Financing Assumptions'!$H$44="Yes",'Financing Assumptions'!$H$48=$E33),'Sale - Refinance'!$E$16,IF(AND('Sale - Refinance'!$E$10="Yes",'Sale - Refinance'!$E$14&lt;&gt;$E33,'Financing Assumptions'!$H$44="No"),INDEX('Sale - Refinance'!$G$4:$R$27,MATCH('Sale - Refinance'!$G$18,'Sale - Refinance'!$G$4:$G$27,0),MATCH($E33,'Sale - Refinance'!$G$4:$R$4,0)),IF(AND('Sale - Refinance'!$E$10="Yes",'Sale - Refinance'!$E$14&lt;&gt;$E33,'Financing Assumptions'!$H$44="Yes",'Financing Assumptions'!$H$48=$E33),INDEX('Sale - Refinance'!$G$4:$R$27,MATCH('Sale - Refinance'!$G$18,'Sale - Refinance'!$G$4:$G$27,0),MATCH($E33,'Sale - Refinance'!$G$4:$R$4,0)),IF(AND('Sale - Refinance'!$E$10="Yes",'Sale - Refinance'!$E$14&lt;&gt;$E33,'Financing Assumptions'!$H$44="Yes",'Financing Assumptions'!$H$48&lt;&gt;$E33),INDEX('Sale - Refinance'!$G$4:$R$27,MATCH('Sale - Refinance'!$G$18,'Sale - Refinance'!$G$4:$G$27,0),MATCH($E33,'Sale - Refinance'!$G$4:$R$4,0)),IF(AND('Sale - Refinance'!$E$10="No",'Financing Assumptions'!$H$44="Yes",'Financing Assumptions'!$H$48&lt;&gt;$E33),INDEX('Sale - Refinance'!$G$4:$R$27,MATCH('Sale - Refinance'!$G$18,'Sale - Refinance'!$G$4:$G$27,0),MATCH($E33,'Sale - Refinance'!$G$4:$R$4,0)),IF(AND('Sale - Refinance'!$E$10="No",'Financing Assumptions'!$H$44="Yes",'Financing Assumptions'!$H$48=$E33),INDEX('Sale - Refinance'!$G$4:$R$27,MATCH('Sale - Refinance'!$G$18,'Sale - Refinance'!$G$4:$G$27,0),MATCH($E33,'Sale - Refinance'!$G$4:$R$4,0)),IF(AND('Sale - Refinance'!$E$10="No",'Financing Assumptions'!$H$44="No"),INDEX('Sale - Refinance'!$G$4:$R$27,MATCH('Sale - Refinance'!$G$18,'Sale - Refinance'!$G$4:$G$27,0),MATCH($E33,'Sale - Refinance'!$G$4:$R$4,0))))))))))))</f>
        <v>0</v>
      </c>
      <c r="G33" s="149">
        <f>IF($E$24="No",0,IF($E33&gt;'Sale - Refinance'!$E$14,0,IF(AND(G32=0,F32&lt;$G$24),($G$24-F32),IF(AND(F32&gt;$G$24,G32=0),0,IF(AND(G32&gt;0,F32&lt;$G$24),($G$24+$G32)-$F32,IF(AND(G32&gt;0,F32&gt;$G$24,F32&gt;($G$24+G32)),0,IF(AND(G32&gt;0,F32&gt;$G$24,F32&lt;($G$24+G32)),($G$24+G32)-F32)))))))</f>
        <v>0</v>
      </c>
      <c r="H33" s="149">
        <f>IF($F33&lt;0,0,IF(AND($E$19="Investor First",$E$24="No",SUM($H$27:H32)&gt;$H$15),F33*$I$15,IF(AND($E$19="Investor First",$E$24="No",SUM($H$27:H32)&lt;$H$15,SUM($H$27:H32)+F33&gt;$H$15),$H$15-SUM($H$27:H32)+((F33-($H$15-SUM($H$27:H32)))*$I$15),IF(AND($E$19="Investor First",$E$24="No",SUM($H$27:H32)+F33&lt;$H$15),$F33,IF(AND($E$19="Investor First",$E$24="Yes",$G33=0,$F33&gt;$G$24,SUM($H$27:H32)&gt;$H$15),$G$24+(($F33-$G$24)*$I$15),IF(AND($E$19="Investor First",$E$24="Yes",$G33=0,$F33&gt;$G$24,SUM($H$27:H32)&lt;$H$15,SUM($H$27:H32)+$F33&gt;$H$15,$F33&gt;$G$24+($H$15-SUM($H$27:H32))),(($H$15-SUM($H$27:H32))+$G$24)+(($F33-($G$24+($H$15-SUM($H$27:H32))))*$I$15),IF(AND($E$19="Investor First",$E$24="Yes",$G33=0,$F33&gt;$G$24,SUM($H$27:H32)&lt;$H$15,SUM($H$27:H32)+$F33&gt;$H$15,$F33&lt;$G$24+($H$15-SUM($H$27:H32))),$F33,IF(AND($E$19="Investor First",$E$24="Yes",$G33=0,$F33&gt;$G$24,SUM($H$27:H32)+F33&lt;$H$15),$G$24+($F33-$G$24),IF(AND($E$19="Investor First",$E$24="Yes",$G33=0,$F33&lt;$G$24,SUM($H$27:H32)&gt;$H$15),$F33,IF(AND($E$19="Investor First",$E$24="Yes",$G33=0,$F33&lt;$G$24,SUM($H$27:H32)&lt;$H$15,SUM($H$27:H32)+F33&gt;$H$15),$F33,IF(AND($E$19="Investor First",$E$24="Yes",$G33=0,$F33&lt;$G$24,SUM($H$27:H32)+F33&lt;$H$15),$F33,IF(AND($E$19="Investor First",$E$24="Yes",$G33&gt;0,$F33&gt;$G$24+$G33,SUM($H$27:H32)&gt;$H$15),($G$24+$G33)+(($F33-($G$24+$G33))*$I$15),IF(AND($E$19="Investor First",$E$24="Yes",$G33&gt;0,$F33&gt;$G$24+$G33,SUM($H$27:H32)&lt;$H$15,SUM($H$27:H32)+$F33&gt;$H$15,$F33&gt;($G$24+$G33)+($F33-($H$15-SUM($H$27:H32)))),(($G$24+$G33)+($H$15-SUM($H$27:H32)))+((F33-(($G$24+$G33)+($H$15-SUM($H$27:H32))))*$I$15),IF(AND($E$19="Investor First",$E$24="Yes",$G33&gt;0,$F33&gt;$G$24+$G33,SUM($H$27:H32)&lt;$H$15,SUM($H$27:H32)+$F33&gt;$H$15,$F33&lt;($G$24+$G33)+($F33-($H$15-SUM($H$27:H32)))),$F33,IF(AND($E$19="Investor First",$E$24="Yes",$G33&gt;0,$F33&gt;$G$24+$G33,SUM($H$27:H32)+F33&lt;$H$15),($G$24+$G33)+($F33-($G$24+$G33)),IF(AND($E$19="Investor First",$E$24="Yes",$G33&gt;0,$F33&lt;$G$24+$G33,SUM($H$27:H32)&gt;$H$15),F33,IF(AND($E$19="Investor First",$E$24="Yes",$G33&gt;0,$F33&lt;$G$24+$G33,SUM($H$27:H32)&lt;$H$15,SUM($H$27:H32)+F33&gt;$H$15),$F33,IF(AND($E$19="Investor First",$E$24="Yes",$G33&gt;0,$F33&lt;$G$24+$G33,SUM($H$27:H32)+F33&lt;$H$15),$F33,IF(AND($E$19="Investor First %",$E$24="No",SUM($H$27:H32)&gt;$H$15),F33*$I$15,IF(AND($E$19="Investor First %",$E$24="No",SUM($H$27:H32)&lt;$H$15,SUM($H$27:H32)+(F33*$F$19)&gt;$H$15),$H$15-SUM($H$27:H32)+((F33-($H$15-SUM($H$27:H32)))*$I$15),IF(AND($E$19="Investor First %",$E$24="No",SUM($H$27:H32)+(F33*$F$19)&lt;$H$15),$F33*$F$19,IF(AND($E$19="Investor First %",$E$24="Yes",$G33=0,$F33&gt;$G$24,SUM($H$27:H32)&gt;$H$15),$G$24+(($F33-$G$24)*$I$15),IF(AND($E$19="Investor First %",$E$24="Yes",$G33=0,$F33&gt;$G$24,SUM($H$27:H32)&lt;$H$15,SUM($H$27:H32)+($F33*$F$19)&gt;$H$15,$F33&gt;$G$24+($H$15-SUM($H$27:H32))),(($H$15-SUM($H$27:H32))+$G$24)+(($F33-($G$24+($H$15-SUM($H$27:H32))))*$I$15),IF(AND($E$19="Investor First %",$E$24="Yes",$G33=0,$F33&gt;$G$24,SUM($H$27:H32)&lt;$H$15,SUM($H$27:H32)+($F33*$F$19)&gt;$H$15,$F33&lt;$G$24+($H$15-SUM($H$27:H32))),$G$24+(($F33-$G$24)*$F$19),IF(AND($E$19="Investor First %",$E$24="Yes",$G33=0,$F33&gt;$G$24,SUM($H$27:H32)+(F33*$F$19)&lt;$H$15),$G$24+(($F33-$G$24)*$F$19),IF(AND($E$19="Investor First %",$E$24="Yes",$G33=0,$F33&lt;$G$24,SUM($H$27:H32)&gt;$H$15),$F33,IF(AND($E$19="Investor First %",$E$24="Yes",$G33=0,$F33&lt;$G$24,SUM($H$27:H32)&lt;$H$15,SUM($H$27:H32)+(F33*$F$19)&gt;$H$15),$F33,IF(AND($E$19="Investor First %",$E$24="Yes",$G33=0,$F33&lt;$G$24,SUM($H$27:H32)+(F33*$F$19)&lt;$H$15),$F33,IF(AND($E$19="Investor First %",$E$24="Yes",$G33&gt;0,$F33&gt;$G$24+$G33,SUM($H$27:H32)&gt;$H$15),($G$24+$G33)+(($F33-($G$24+$G33))*$I$15),IF(AND($E$19="Investor First %",$E$24="Yes",$G33&gt;0,$F33&gt;$G$24+$G33,SUM($H$27:H32)&lt;$H$15,SUM($H$27:H32)+(F33*$F$19)&gt;$H$15,$F33&gt;($G$24+$G33)+($F33-($H$15-SUM($H$27:H32)))),(($G$24+$G33)+($H$15-SUM($H$27:H32)))+((F33-(($G$24+$G33)+($H$15-SUM($H$27:H32))))*$I$15),IF(AND($E$19="Investor First %",$E$24="Yes",$G33&gt;0,$F33&gt;$G$24+$G33,SUM($H$27:H32)&lt;$H$15,SUM($H$27:H32)+(F33*$F$19)&gt;$H$15,$F33&lt;($G$24+$G33)+($F33-($H$15-SUM($H$27:H32)))),$F33,IF(AND($E$19="Investor First %",$E$24="Yes",$G33&gt;0,$F33&gt;$G$24+$G33,SUM($H$27:H32)+(F33*$F$19)&lt;$H$15),($G$24+$G33)+(($F33-($G$24+$G33))*$F$19),IF(AND($E$19="Investor First %",$E$24="Yes",$G33&gt;0,$F33&lt;$G$24+$G33,SUM($H$27:H32)&gt;$H$15),$F33,IF(AND($E$19="Investor First %",$E$24="Yes",$G33&gt;0,$F33&lt;$G$24+$G33,SUM($H$27:H32)&lt;$H$15,SUM($H$27:H32)+(F33*$F$19)&gt;$H$15),$F33,IF(AND($E$19="Investor First %",$E$24="Yes",$G33&gt;0,$F33&lt;$G$24+$G33,SUM($H$27:H32)+(F33*$F$19)&lt;$H$15),$F33,IF(AND($E$19="Ownership %",$E$24="Yes",$G33&gt;0,$F33&gt;$G33+$G$24),(($G33+$G$24)+($F33-($G33+$G$24))*$I$15),IF(AND($E$19="Ownership %",$E$24="Yes",$G33&gt;0,$F33&lt;$G33+$G$24),$F33,IF(AND($E$19="Ownership %",$E$24="Yes",$G33=0,$F33&gt;$G$24),$G$24+(($F33-$G$24)*$I$15),IF(AND($E$19="Ownership %",$E$24="Yes",$G33=0,$F33&lt;$G$24),$F33,IF(AND($E$19="Ownership %",$E$24="No"),F33*$I$15))))))))))))))))))))))))))))))))))))))))</f>
        <v>0</v>
      </c>
      <c r="I33" s="153">
        <f t="shared" si="0"/>
        <v>0</v>
      </c>
      <c r="J33" s="1433">
        <f>IF($F33&lt;=0,0,IF(AND($E$19="Investor First",$E$24="No",SUM($F$27:F33)&lt;$H$15),0,IF(AND($E$19="Investor First",$E$24="No",SUM($F$27:F32)&gt;$H$15),F33*$I$14,IF(AND($E$19="Investor First",$E$24="No",SUM($F$27:F32)&lt;$H$15,SUM($F$27:F33)&gt;$H$15),F33-H33,IF(AND($E$19="Investor First",$E$24="Yes",$F33&lt;$G$24,$G33&gt;0),0,IF(AND($E$19="Investor First",$E$24="Yes",$F33&lt;$G$24,$G33=0),0,IF(AND($E$19="Investor First",$E$24="Yes",$F33&gt;$G$24,$G33=0,SUM($F$27:F33)&lt;$H$15),0,IF(AND($E$19="Investor First",$E$24="Yes",$F33&gt;$G$24,$G33=0,SUM($F$27:F32)&gt;$H$15),($F33-$G$24)*$I$14,IF(AND($E$19="Investor First",$E$24="Yes",$F33&gt;$G$24,$G33=0,SUM($F$27:F32)&lt;$H$15,SUM($F$27:F33)&gt;$H$15),$F33-$H33,IF(AND($E$19="Investor First",$E$24="Yes",$G33&gt;0,$F33&gt;$G$24,$F33&gt;($G$24+$G33)),F33-H33,IF(AND($E$19="Investor First",$E$24="Yes",$G33&gt;0,$F33&gt;$G$24,$F33&lt;($G$24+$G33)),0,IF(AND($E$19="Investor First %",$E$24="No",SUM($H$27:H33)&lt;$H$15),F33-H33,IF(AND($E$19="Investor First %",$E$24="No",SUM($H$27:H32)&gt;$H$15),F33*$I$14,IF(AND($E$19="Investor First %",$E$24="No",SUM($H$27:H32)&lt;$H$15,SUM($H$27:H33)&gt;$H$15),F33-H33,IF(AND($E$19="Investor First %",$E$24="Yes",$F33&lt;$G$24,$G33&gt;0),0,IF(AND($E$19="Investor First %",$E$24="Yes",$F33&lt;$G$24,$G33=0),0,IF(AND($E$19="Investor First %",$E$24="Yes",$F33&gt;$G$24,$G33=0,SUM($H$27:H33)&lt;$H$15),F33-H33,IF(AND($E$19="Investor First %",$E$24="Yes",$F33&gt;$G$24,$G33=0,SUM($H$27:H32)&gt;$H$15),(F33-$G$24)*$I$14,IF(AND($E$19="Investor First %",$E$24="Yes",$F33&gt;$G$24,$G33=0,SUM($H$27:H32)&lt;$H$15,SUM($H$27:H33)&gt;$H$15),F33-H33,IF(AND($E$19="Investor First %",$E$24="Yes",$G33&gt;0,$F33&gt;$G$24,$F33&gt;($G$24+$G33)),F33-H33,IF(AND($E$19="Investor First %",$E$24="Yes",$G33&gt;0,$F33&gt;$G$24,$F33&lt;($G$24+$G33)),0,IF(AND($E$19="Ownership %",$E$24="Yes",$F33&lt;$G$24,$G33&gt;0),0,IF(AND($E$19="Ownership %",$E$24="Yes",$F33&lt;$G$24,$G33=0),0,IF(AND($E$19="Ownership %",$E$24="Yes",$F33&gt;$G$24,$G33=0),$F33-$H33,IF(AND($E$19="Ownership %",$E$24="Yes",$F33&gt;$G$24,$G33&gt;0,$F33&gt;$G$24+$G33),$F33-$H33,IF(AND($E$19="Ownership %",$E$24="Yes",$F33&gt;$G$24,$G33&gt;0,$F33&lt;$G$24+$G33),0,IF(AND($E$19="Ownership %",$E$24="No"),$F33*$I$14)))))))))))))))))))))))))))</f>
        <v>0</v>
      </c>
      <c r="K33" s="860" t="str">
        <f>IF(OR($I$14=0,$D33&gt;'Sale - Refinance'!$E$11),"",J33/$H$14)</f>
        <v/>
      </c>
      <c r="L33" s="706"/>
      <c r="M33" s="34"/>
      <c r="N33" s="149"/>
      <c r="O33" s="149"/>
      <c r="P33" s="34"/>
      <c r="Q33" s="156"/>
      <c r="R33" s="34"/>
      <c r="S33" s="34"/>
      <c r="T33" s="34"/>
      <c r="U33" s="34"/>
      <c r="V33" s="34"/>
    </row>
    <row r="34" spans="1:22" s="89" customFormat="1" ht="12" customHeight="1" outlineLevel="1" x14ac:dyDescent="0.25">
      <c r="A34" s="34"/>
      <c r="B34" s="34"/>
      <c r="C34" s="34"/>
      <c r="D34" s="1476">
        <f>'Sale - Refinance'!O6</f>
        <v>2034</v>
      </c>
      <c r="E34" s="158">
        <f t="shared" si="1"/>
        <v>7</v>
      </c>
      <c r="F34" s="779">
        <f>IF(AND('Sale - Refinance'!$E$10="Yes",'Sale - Refinance'!$E$14&lt;=$E33),0,IF(AND('Sale - Refinance'!$E$10="Yes",'Sale - Refinance'!$E$14=$E34,'Financing Assumptions'!$H$44="No"),'Sale - Refinance'!$E$16,IF(AND('Sale - Refinance'!$E$10="Yes",'Sale - Refinance'!$E$14=$E34,'Financing Assumptions'!$H$44="Yes",'Financing Assumptions'!$H$48&lt;&gt;$E34),'Sale - Refinance'!$E$16,IF(AND('Sale - Refinance'!$E$10="Yes",'Sale - Refinance'!$E$14=$E34,'Financing Assumptions'!$H$44="Yes",'Financing Assumptions'!$H$48=$E34),'Sale - Refinance'!$E$16,IF(AND('Sale - Refinance'!$E$10="Yes",'Sale - Refinance'!$E$14&lt;&gt;$E34,'Financing Assumptions'!$H$44="No"),INDEX('Sale - Refinance'!$G$4:$R$27,MATCH('Sale - Refinance'!$G$18,'Sale - Refinance'!$G$4:$G$27,0),MATCH($E34,'Sale - Refinance'!$G$4:$R$4,0)),IF(AND('Sale - Refinance'!$E$10="Yes",'Sale - Refinance'!$E$14&lt;&gt;$E34,'Financing Assumptions'!$H$44="Yes",'Financing Assumptions'!$H$48=$E34),INDEX('Sale - Refinance'!$G$4:$R$27,MATCH('Sale - Refinance'!$G$18,'Sale - Refinance'!$G$4:$G$27,0),MATCH($E34,'Sale - Refinance'!$G$4:$R$4,0)),IF(AND('Sale - Refinance'!$E$10="Yes",'Sale - Refinance'!$E$14&lt;&gt;$E34,'Financing Assumptions'!$H$44="Yes",'Financing Assumptions'!$H$48&lt;&gt;$E34),INDEX('Sale - Refinance'!$G$4:$R$27,MATCH('Sale - Refinance'!$G$18,'Sale - Refinance'!$G$4:$G$27,0),MATCH($E34,'Sale - Refinance'!$G$4:$R$4,0)),IF(AND('Sale - Refinance'!$E$10="No",'Financing Assumptions'!$H$44="Yes",'Financing Assumptions'!$H$48&lt;&gt;$E34),INDEX('Sale - Refinance'!$G$4:$R$27,MATCH('Sale - Refinance'!$G$18,'Sale - Refinance'!$G$4:$G$27,0),MATCH($E34,'Sale - Refinance'!$G$4:$R$4,0)),IF(AND('Sale - Refinance'!$E$10="No",'Financing Assumptions'!$H$44="Yes",'Financing Assumptions'!$H$48=$E34),INDEX('Sale - Refinance'!$G$4:$R$27,MATCH('Sale - Refinance'!$G$18,'Sale - Refinance'!$G$4:$G$27,0),MATCH($E34,'Sale - Refinance'!$G$4:$R$4,0)),IF(AND('Sale - Refinance'!$E$10="No",'Financing Assumptions'!$H$44="No"),INDEX('Sale - Refinance'!$G$4:$R$27,MATCH('Sale - Refinance'!$G$18,'Sale - Refinance'!$G$4:$G$27,0),MATCH($E34,'Sale - Refinance'!$G$4:$R$4,0))))))))))))</f>
        <v>0</v>
      </c>
      <c r="G34" s="149">
        <f>IF($E$24="No",0,IF($E34&gt;'Sale - Refinance'!$E$14,0,IF(AND(G33=0,F33&lt;$G$24),($G$24-F33),IF(AND(F33&gt;$G$24,G33=0),0,IF(AND(G33&gt;0,F33&lt;$G$24),($G$24+$G33)-$F33,IF(AND(G33&gt;0,F33&gt;$G$24,F33&gt;($G$24+G33)),0,IF(AND(G33&gt;0,F33&gt;$G$24,F33&lt;($G$24+G33)),($G$24+G33)-F33)))))))</f>
        <v>0</v>
      </c>
      <c r="H34" s="149">
        <f>IF($F34&lt;0,0,IF(AND($E$19="Investor First",$E$24="No",SUM($H$27:H33)&gt;$H$15),F34*$I$15,IF(AND($E$19="Investor First",$E$24="No",SUM($H$27:H33)&lt;$H$15,SUM($H$27:H33)+F34&gt;$H$15),$H$15-SUM($H$27:H33)+((F34-($H$15-SUM($H$27:H33)))*$I$15),IF(AND($E$19="Investor First",$E$24="No",SUM($H$27:H33)+F34&lt;$H$15),$F34,IF(AND($E$19="Investor First",$E$24="Yes",$G34=0,$F34&gt;$G$24,SUM($H$27:H33)&gt;$H$15),$G$24+(($F34-$G$24)*$I$15),IF(AND($E$19="Investor First",$E$24="Yes",$G34=0,$F34&gt;$G$24,SUM($H$27:H33)&lt;$H$15,SUM($H$27:H33)+$F34&gt;$H$15,$F34&gt;$G$24+($H$15-SUM($H$27:H33))),(($H$15-SUM($H$27:H33))+$G$24)+(($F34-($G$24+($H$15-SUM($H$27:H33))))*$I$15),IF(AND($E$19="Investor First",$E$24="Yes",$G34=0,$F34&gt;$G$24,SUM($H$27:H33)&lt;$H$15,SUM($H$27:H33)+$F34&gt;$H$15,$F34&lt;$G$24+($H$15-SUM($H$27:H33))),$F34,IF(AND($E$19="Investor First",$E$24="Yes",$G34=0,$F34&gt;$G$24,SUM($H$27:H33)+F34&lt;$H$15),$G$24+($F34-$G$24),IF(AND($E$19="Investor First",$E$24="Yes",$G34=0,$F34&lt;$G$24,SUM($H$27:H33)&gt;$H$15),$F34,IF(AND($E$19="Investor First",$E$24="Yes",$G34=0,$F34&lt;$G$24,SUM($H$27:H33)&lt;$H$15,SUM($H$27:H33)+F34&gt;$H$15),$F34,IF(AND($E$19="Investor First",$E$24="Yes",$G34=0,$F34&lt;$G$24,SUM($H$27:H33)+F34&lt;$H$15),$F34,IF(AND($E$19="Investor First",$E$24="Yes",$G34&gt;0,$F34&gt;$G$24+$G34,SUM($H$27:H33)&gt;$H$15),($G$24+$G34)+(($F34-($G$24+$G34))*$I$15),IF(AND($E$19="Investor First",$E$24="Yes",$G34&gt;0,$F34&gt;$G$24+$G34,SUM($H$27:H33)&lt;$H$15,SUM($H$27:H33)+$F34&gt;$H$15,$F34&gt;($G$24+$G34)+($F34-($H$15-SUM($H$27:H33)))),(($G$24+$G34)+($H$15-SUM($H$27:H33)))+((F34-(($G$24+$G34)+($H$15-SUM($H$27:H33))))*$I$15),IF(AND($E$19="Investor First",$E$24="Yes",$G34&gt;0,$F34&gt;$G$24+$G34,SUM($H$27:H33)&lt;$H$15,SUM($H$27:H33)+$F34&gt;$H$15,$F34&lt;($G$24+$G34)+($F34-($H$15-SUM($H$27:H33)))),$F34,IF(AND($E$19="Investor First",$E$24="Yes",$G34&gt;0,$F34&gt;$G$24+$G34,SUM($H$27:H33)+F34&lt;$H$15),($G$24+$G34)+($F34-($G$24+$G34)),IF(AND($E$19="Investor First",$E$24="Yes",$G34&gt;0,$F34&lt;$G$24+$G34,SUM($H$27:H33)&gt;$H$15),F34,IF(AND($E$19="Investor First",$E$24="Yes",$G34&gt;0,$F34&lt;$G$24+$G34,SUM($H$27:H33)&lt;$H$15,SUM($H$27:H33)+F34&gt;$H$15),$F34,IF(AND($E$19="Investor First",$E$24="Yes",$G34&gt;0,$F34&lt;$G$24+$G34,SUM($H$27:H33)+F34&lt;$H$15),$F34,IF(AND($E$19="Investor First %",$E$24="No",SUM($H$27:H33)&gt;$H$15),F34*$I$15,IF(AND($E$19="Investor First %",$E$24="No",SUM($H$27:H33)&lt;$H$15,SUM($H$27:H33)+(F34*$F$19)&gt;$H$15),$H$15-SUM($H$27:H33)+((F34-($H$15-SUM($H$27:H33)))*$I$15),IF(AND($E$19="Investor First %",$E$24="No",SUM($H$27:H33)+(F34*$F$19)&lt;$H$15),$F34*$F$19,IF(AND($E$19="Investor First %",$E$24="Yes",$G34=0,$F34&gt;$G$24,SUM($H$27:H33)&gt;$H$15),$G$24+(($F34-$G$24)*$I$15),IF(AND($E$19="Investor First %",$E$24="Yes",$G34=0,$F34&gt;$G$24,SUM($H$27:H33)&lt;$H$15,SUM($H$27:H33)+($F34*$F$19)&gt;$H$15,$F34&gt;$G$24+($H$15-SUM($H$27:H33))),(($H$15-SUM($H$27:H33))+$G$24)+(($F34-($G$24+($H$15-SUM($H$27:H33))))*$I$15),IF(AND($E$19="Investor First %",$E$24="Yes",$G34=0,$F34&gt;$G$24,SUM($H$27:H33)&lt;$H$15,SUM($H$27:H33)+($F34*$F$19)&gt;$H$15,$F34&lt;$G$24+($H$15-SUM($H$27:H33))),$G$24+(($F34-$G$24)*$F$19),IF(AND($E$19="Investor First %",$E$24="Yes",$G34=0,$F34&gt;$G$24,SUM($H$27:H33)+(F34*$F$19)&lt;$H$15),$G$24+(($F34-$G$24)*$F$19),IF(AND($E$19="Investor First %",$E$24="Yes",$G34=0,$F34&lt;$G$24,SUM($H$27:H33)&gt;$H$15),$F34,IF(AND($E$19="Investor First %",$E$24="Yes",$G34=0,$F34&lt;$G$24,SUM($H$27:H33)&lt;$H$15,SUM($H$27:H33)+(F34*$F$19)&gt;$H$15),$F34,IF(AND($E$19="Investor First %",$E$24="Yes",$G34=0,$F34&lt;$G$24,SUM($H$27:H33)+(F34*$F$19)&lt;$H$15),$F34,IF(AND($E$19="Investor First %",$E$24="Yes",$G34&gt;0,$F34&gt;$G$24+$G34,SUM($H$27:H33)&gt;$H$15),($G$24+$G34)+(($F34-($G$24+$G34))*$I$15),IF(AND($E$19="Investor First %",$E$24="Yes",$G34&gt;0,$F34&gt;$G$24+$G34,SUM($H$27:H33)&lt;$H$15,SUM($H$27:H33)+(F34*$F$19)&gt;$H$15,$F34&gt;($G$24+$G34)+($F34-($H$15-SUM($H$27:H33)))),(($G$24+$G34)+($H$15-SUM($H$27:H33)))+((F34-(($G$24+$G34)+($H$15-SUM($H$27:H33))))*$I$15),IF(AND($E$19="Investor First %",$E$24="Yes",$G34&gt;0,$F34&gt;$G$24+$G34,SUM($H$27:H33)&lt;$H$15,SUM($H$27:H33)+(F34*$F$19)&gt;$H$15,$F34&lt;($G$24+$G34)+($F34-($H$15-SUM($H$27:H33)))),$F34,IF(AND($E$19="Investor First %",$E$24="Yes",$G34&gt;0,$F34&gt;$G$24+$G34,SUM($H$27:H33)+(F34*$F$19)&lt;$H$15),($G$24+$G34)+(($F34-($G$24+$G34))*$F$19),IF(AND($E$19="Investor First %",$E$24="Yes",$G34&gt;0,$F34&lt;$G$24+$G34,SUM($H$27:H33)&gt;$H$15),$F34,IF(AND($E$19="Investor First %",$E$24="Yes",$G34&gt;0,$F34&lt;$G$24+$G34,SUM($H$27:H33)&lt;$H$15,SUM($H$27:H33)+(F34*$F$19)&gt;$H$15),$F34,IF(AND($E$19="Investor First %",$E$24="Yes",$G34&gt;0,$F34&lt;$G$24+$G34,SUM($H$27:H33)+(F34*$F$19)&lt;$H$15),$F34,IF(AND($E$19="Ownership %",$E$24="Yes",$G34&gt;0,$F34&gt;$G34+$G$24),(($G34+$G$24)+($F34-($G34+$G$24))*$I$15),IF(AND($E$19="Ownership %",$E$24="Yes",$G34&gt;0,$F34&lt;$G34+$G$24),$F34,IF(AND($E$19="Ownership %",$E$24="Yes",$G34=0,$F34&gt;$G$24),$G$24+(($F34-$G$24)*$I$15),IF(AND($E$19="Ownership %",$E$24="Yes",$G34=0,$F34&lt;$G$24),$F34,IF(AND($E$19="Ownership %",$E$24="No"),F34*$I$15))))))))))))))))))))))))))))))))))))))))</f>
        <v>0</v>
      </c>
      <c r="I34" s="153">
        <f t="shared" si="0"/>
        <v>0</v>
      </c>
      <c r="J34" s="1433">
        <f>IF($F34&lt;=0,0,IF(AND($E$19="Investor First",$E$24="No",SUM($F$27:F34)&lt;$H$15),0,IF(AND($E$19="Investor First",$E$24="No",SUM($F$27:F33)&gt;$H$15),F34*$I$14,IF(AND($E$19="Investor First",$E$24="No",SUM($F$27:F33)&lt;$H$15,SUM($F$27:F34)&gt;$H$15),F34-H34,IF(AND($E$19="Investor First",$E$24="Yes",$F34&lt;$G$24,$G34&gt;0),0,IF(AND($E$19="Investor First",$E$24="Yes",$F34&lt;$G$24,$G34=0),0,IF(AND($E$19="Investor First",$E$24="Yes",$F34&gt;$G$24,$G34=0,SUM($F$27:F34)&lt;$H$15),0,IF(AND($E$19="Investor First",$E$24="Yes",$F34&gt;$G$24,$G34=0,SUM($F$27:F33)&gt;$H$15),($F34-$G$24)*$I$14,IF(AND($E$19="Investor First",$E$24="Yes",$F34&gt;$G$24,$G34=0,SUM($F$27:F33)&lt;$H$15,SUM($F$27:F34)&gt;$H$15),$F34-$H34,IF(AND($E$19="Investor First",$E$24="Yes",$G34&gt;0,$F34&gt;$G$24,$F34&gt;($G$24+$G34)),F34-H34,IF(AND($E$19="Investor First",$E$24="Yes",$G34&gt;0,$F34&gt;$G$24,$F34&lt;($G$24+$G34)),0,IF(AND($E$19="Investor First %",$E$24="No",SUM($H$27:H34)&lt;$H$15),F34-H34,IF(AND($E$19="Investor First %",$E$24="No",SUM($H$27:H33)&gt;$H$15),F34*$I$14,IF(AND($E$19="Investor First %",$E$24="No",SUM($H$27:H33)&lt;$H$15,SUM($H$27:H34)&gt;$H$15),F34-H34,IF(AND($E$19="Investor First %",$E$24="Yes",$F34&lt;$G$24,$G34&gt;0),0,IF(AND($E$19="Investor First %",$E$24="Yes",$F34&lt;$G$24,$G34=0),0,IF(AND($E$19="Investor First %",$E$24="Yes",$F34&gt;$G$24,$G34=0,SUM($H$27:H34)&lt;$H$15),F34-H34,IF(AND($E$19="Investor First %",$E$24="Yes",$F34&gt;$G$24,$G34=0,SUM($H$27:H33)&gt;$H$15),(F34-$G$24)*$I$14,IF(AND($E$19="Investor First %",$E$24="Yes",$F34&gt;$G$24,$G34=0,SUM($H$27:H33)&lt;$H$15,SUM($H$27:H34)&gt;$H$15),F34-H34,IF(AND($E$19="Investor First %",$E$24="Yes",$G34&gt;0,$F34&gt;$G$24,$F34&gt;($G$24+$G34)),F34-H34,IF(AND($E$19="Investor First %",$E$24="Yes",$G34&gt;0,$F34&gt;$G$24,$F34&lt;($G$24+$G34)),0,IF(AND($E$19="Ownership %",$E$24="Yes",$F34&lt;$G$24,$G34&gt;0),0,IF(AND($E$19="Ownership %",$E$24="Yes",$F34&lt;$G$24,$G34=0),0,IF(AND($E$19="Ownership %",$E$24="Yes",$F34&gt;$G$24,$G34=0),$F34-$H34,IF(AND($E$19="Ownership %",$E$24="Yes",$F34&gt;$G$24,$G34&gt;0,$F34&gt;$G$24+$G34),$F34-$H34,IF(AND($E$19="Ownership %",$E$24="Yes",$F34&gt;$G$24,$G34&gt;0,$F34&lt;$G$24+$G34),0,IF(AND($E$19="Ownership %",$E$24="No"),$F34*$I$14)))))))))))))))))))))))))))</f>
        <v>0</v>
      </c>
      <c r="K34" s="860" t="str">
        <f>IF(OR($I$14=0,$D34&gt;'Sale - Refinance'!$E$11),"",J34/$H$14)</f>
        <v/>
      </c>
      <c r="L34" s="706"/>
      <c r="M34" s="34"/>
      <c r="N34" s="149"/>
      <c r="O34" s="149"/>
      <c r="P34" s="34"/>
      <c r="Q34" s="156"/>
      <c r="R34" s="34"/>
      <c r="S34" s="34"/>
      <c r="T34" s="34"/>
      <c r="U34" s="34"/>
      <c r="V34" s="34"/>
    </row>
    <row r="35" spans="1:22" s="89" customFormat="1" ht="12" customHeight="1" outlineLevel="1" x14ac:dyDescent="0.25">
      <c r="A35" s="34"/>
      <c r="B35" s="34"/>
      <c r="C35" s="34"/>
      <c r="D35" s="1476">
        <f>'Sale - Refinance'!P6</f>
        <v>2035</v>
      </c>
      <c r="E35" s="158">
        <f t="shared" si="1"/>
        <v>8</v>
      </c>
      <c r="F35" s="779">
        <f>IF(AND('Sale - Refinance'!$E$10="Yes",'Sale - Refinance'!$E$14&lt;=$E34),0,IF(AND('Sale - Refinance'!$E$10="Yes",'Sale - Refinance'!$E$14=$E35,'Financing Assumptions'!$H$44="No"),'Sale - Refinance'!$E$16,IF(AND('Sale - Refinance'!$E$10="Yes",'Sale - Refinance'!$E$14=$E35,'Financing Assumptions'!$H$44="Yes",'Financing Assumptions'!$H$48&lt;&gt;$E35),'Sale - Refinance'!$E$16,IF(AND('Sale - Refinance'!$E$10="Yes",'Sale - Refinance'!$E$14=$E35,'Financing Assumptions'!$H$44="Yes",'Financing Assumptions'!$H$48=$E35),'Sale - Refinance'!$E$16,IF(AND('Sale - Refinance'!$E$10="Yes",'Sale - Refinance'!$E$14&lt;&gt;$E35,'Financing Assumptions'!$H$44="No"),INDEX('Sale - Refinance'!$G$4:$R$27,MATCH('Sale - Refinance'!$G$18,'Sale - Refinance'!$G$4:$G$27,0),MATCH($E35,'Sale - Refinance'!$G$4:$R$4,0)),IF(AND('Sale - Refinance'!$E$10="Yes",'Sale - Refinance'!$E$14&lt;&gt;$E35,'Financing Assumptions'!$H$44="Yes",'Financing Assumptions'!$H$48=$E35),INDEX('Sale - Refinance'!$G$4:$R$27,MATCH('Sale - Refinance'!$G$18,'Sale - Refinance'!$G$4:$G$27,0),MATCH($E35,'Sale - Refinance'!$G$4:$R$4,0)),IF(AND('Sale - Refinance'!$E$10="Yes",'Sale - Refinance'!$E$14&lt;&gt;$E35,'Financing Assumptions'!$H$44="Yes",'Financing Assumptions'!$H$48&lt;&gt;$E35),INDEX('Sale - Refinance'!$G$4:$R$27,MATCH('Sale - Refinance'!$G$18,'Sale - Refinance'!$G$4:$G$27,0),MATCH($E35,'Sale - Refinance'!$G$4:$R$4,0)),IF(AND('Sale - Refinance'!$E$10="No",'Financing Assumptions'!$H$44="Yes",'Financing Assumptions'!$H$48&lt;&gt;$E35),INDEX('Sale - Refinance'!$G$4:$R$27,MATCH('Sale - Refinance'!$G$18,'Sale - Refinance'!$G$4:$G$27,0),MATCH($E35,'Sale - Refinance'!$G$4:$R$4,0)),IF(AND('Sale - Refinance'!$E$10="No",'Financing Assumptions'!$H$44="Yes",'Financing Assumptions'!$H$48=$E35),INDEX('Sale - Refinance'!$G$4:$R$27,MATCH('Sale - Refinance'!$G$18,'Sale - Refinance'!$G$4:$G$27,0),MATCH($E35,'Sale - Refinance'!$G$4:$R$4,0)),IF(AND('Sale - Refinance'!$E$10="No",'Financing Assumptions'!$H$44="No"),INDEX('Sale - Refinance'!$G$4:$R$27,MATCH('Sale - Refinance'!$G$18,'Sale - Refinance'!$G$4:$G$27,0),MATCH($E35,'Sale - Refinance'!$G$4:$R$4,0))))))))))))</f>
        <v>0</v>
      </c>
      <c r="G35" s="149">
        <f>IF($E$24="No",0,IF($E35&gt;'Sale - Refinance'!$E$14,0,IF(AND(G34=0,F34&lt;$G$24),($G$24-F34),IF(AND(F34&gt;$G$24,G34=0),0,IF(AND(G34&gt;0,F34&lt;$G$24),($G$24+$G34)-$F34,IF(AND(G34&gt;0,F34&gt;$G$24,F34&gt;($G$24+G34)),0,IF(AND(G34&gt;0,F34&gt;$G$24,F34&lt;($G$24+G34)),($G$24+G34)-F34)))))))</f>
        <v>0</v>
      </c>
      <c r="H35" s="149">
        <f>IF($F35&lt;0,0,IF(AND($E$19="Investor First",$E$24="No",SUM($H$27:H34)&gt;$H$15),F35*$I$15,IF(AND($E$19="Investor First",$E$24="No",SUM($H$27:H34)&lt;$H$15,SUM($H$27:H34)+F35&gt;$H$15),$H$15-SUM($H$27:H34)+((F35-($H$15-SUM($H$27:H34)))*$I$15),IF(AND($E$19="Investor First",$E$24="No",SUM($H$27:H34)+F35&lt;$H$15),$F35,IF(AND($E$19="Investor First",$E$24="Yes",$G35=0,$F35&gt;$G$24,SUM($H$27:H34)&gt;$H$15),$G$24+(($F35-$G$24)*$I$15),IF(AND($E$19="Investor First",$E$24="Yes",$G35=0,$F35&gt;$G$24,SUM($H$27:H34)&lt;$H$15,SUM($H$27:H34)+$F35&gt;$H$15,$F35&gt;$G$24+($H$15-SUM($H$27:H34))),(($H$15-SUM($H$27:H34))+$G$24)+(($F35-($G$24+($H$15-SUM($H$27:H34))))*$I$15),IF(AND($E$19="Investor First",$E$24="Yes",$G35=0,$F35&gt;$G$24,SUM($H$27:H34)&lt;$H$15,SUM($H$27:H34)+$F35&gt;$H$15,$F35&lt;$G$24+($H$15-SUM($H$27:H34))),$F35,IF(AND($E$19="Investor First",$E$24="Yes",$G35=0,$F35&gt;$G$24,SUM($H$27:H34)+F35&lt;$H$15),$G$24+($F35-$G$24),IF(AND($E$19="Investor First",$E$24="Yes",$G35=0,$F35&lt;$G$24,SUM($H$27:H34)&gt;$H$15),$F35,IF(AND($E$19="Investor First",$E$24="Yes",$G35=0,$F35&lt;$G$24,SUM($H$27:H34)&lt;$H$15,SUM($H$27:H34)+F35&gt;$H$15),$F35,IF(AND($E$19="Investor First",$E$24="Yes",$G35=0,$F35&lt;$G$24,SUM($H$27:H34)+F35&lt;$H$15),$F35,IF(AND($E$19="Investor First",$E$24="Yes",$G35&gt;0,$F35&gt;$G$24+$G35,SUM($H$27:H34)&gt;$H$15),($G$24+$G35)+(($F35-($G$24+$G35))*$I$15),IF(AND($E$19="Investor First",$E$24="Yes",$G35&gt;0,$F35&gt;$G$24+$G35,SUM($H$27:H34)&lt;$H$15,SUM($H$27:H34)+$F35&gt;$H$15,$F35&gt;($G$24+$G35)+($F35-($H$15-SUM($H$27:H34)))),(($G$24+$G35)+($H$15-SUM($H$27:H34)))+((F35-(($G$24+$G35)+($H$15-SUM($H$27:H34))))*$I$15),IF(AND($E$19="Investor First",$E$24="Yes",$G35&gt;0,$F35&gt;$G$24+$G35,SUM($H$27:H34)&lt;$H$15,SUM($H$27:H34)+$F35&gt;$H$15,$F35&lt;($G$24+$G35)+($F35-($H$15-SUM($H$27:H34)))),$F35,IF(AND($E$19="Investor First",$E$24="Yes",$G35&gt;0,$F35&gt;$G$24+$G35,SUM($H$27:H34)+F35&lt;$H$15),($G$24+$G35)+($F35-($G$24+$G35)),IF(AND($E$19="Investor First",$E$24="Yes",$G35&gt;0,$F35&lt;$G$24+$G35,SUM($H$27:H34)&gt;$H$15),F35,IF(AND($E$19="Investor First",$E$24="Yes",$G35&gt;0,$F35&lt;$G$24+$G35,SUM($H$27:H34)&lt;$H$15,SUM($H$27:H34)+F35&gt;$H$15),$F35,IF(AND($E$19="Investor First",$E$24="Yes",$G35&gt;0,$F35&lt;$G$24+$G35,SUM($H$27:H34)+F35&lt;$H$15),$F35,IF(AND($E$19="Investor First %",$E$24="No",SUM($H$27:H34)&gt;$H$15),F35*$I$15,IF(AND($E$19="Investor First %",$E$24="No",SUM($H$27:H34)&lt;$H$15,SUM($H$27:H34)+(F35*$F$19)&gt;$H$15),$H$15-SUM($H$27:H34)+((F35-($H$15-SUM($H$27:H34)))*$I$15),IF(AND($E$19="Investor First %",$E$24="No",SUM($H$27:H34)+(F35*$F$19)&lt;$H$15),$F35*$F$19,IF(AND($E$19="Investor First %",$E$24="Yes",$G35=0,$F35&gt;$G$24,SUM($H$27:H34)&gt;$H$15),$G$24+(($F35-$G$24)*$I$15),IF(AND($E$19="Investor First %",$E$24="Yes",$G35=0,$F35&gt;$G$24,SUM($H$27:H34)&lt;$H$15,SUM($H$27:H34)+($F35*$F$19)&gt;$H$15,$F35&gt;$G$24+($H$15-SUM($H$27:H34))),(($H$15-SUM($H$27:H34))+$G$24)+(($F35-($G$24+($H$15-SUM($H$27:H34))))*$I$15),IF(AND($E$19="Investor First %",$E$24="Yes",$G35=0,$F35&gt;$G$24,SUM($H$27:H34)&lt;$H$15,SUM($H$27:H34)+($F35*$F$19)&gt;$H$15,$F35&lt;$G$24+($H$15-SUM($H$27:H34))),$G$24+(($F35-$G$24)*$F$19),IF(AND($E$19="Investor First %",$E$24="Yes",$G35=0,$F35&gt;$G$24,SUM($H$27:H34)+(F35*$F$19)&lt;$H$15),$G$24+(($F35-$G$24)*$F$19),IF(AND($E$19="Investor First %",$E$24="Yes",$G35=0,$F35&lt;$G$24,SUM($H$27:H34)&gt;$H$15),$F35,IF(AND($E$19="Investor First %",$E$24="Yes",$G35=0,$F35&lt;$G$24,SUM($H$27:H34)&lt;$H$15,SUM($H$27:H34)+(F35*$F$19)&gt;$H$15),$F35,IF(AND($E$19="Investor First %",$E$24="Yes",$G35=0,$F35&lt;$G$24,SUM($H$27:H34)+(F35*$F$19)&lt;$H$15),$F35,IF(AND($E$19="Investor First %",$E$24="Yes",$G35&gt;0,$F35&gt;$G$24+$G35,SUM($H$27:H34)&gt;$H$15),($G$24+$G35)+(($F35-($G$24+$G35))*$I$15),IF(AND($E$19="Investor First %",$E$24="Yes",$G35&gt;0,$F35&gt;$G$24+$G35,SUM($H$27:H34)&lt;$H$15,SUM($H$27:H34)+(F35*$F$19)&gt;$H$15,$F35&gt;($G$24+$G35)+($F35-($H$15-SUM($H$27:H34)))),(($G$24+$G35)+($H$15-SUM($H$27:H34)))+((F35-(($G$24+$G35)+($H$15-SUM($H$27:H34))))*$I$15),IF(AND($E$19="Investor First %",$E$24="Yes",$G35&gt;0,$F35&gt;$G$24+$G35,SUM($H$27:H34)&lt;$H$15,SUM($H$27:H34)+(F35*$F$19)&gt;$H$15,$F35&lt;($G$24+$G35)+($F35-($H$15-SUM($H$27:H34)))),$F35,IF(AND($E$19="Investor First %",$E$24="Yes",$G35&gt;0,$F35&gt;$G$24+$G35,SUM($H$27:H34)+(F35*$F$19)&lt;$H$15),($G$24+$G35)+(($F35-($G$24+$G35))*$F$19),IF(AND($E$19="Investor First %",$E$24="Yes",$G35&gt;0,$F35&lt;$G$24+$G35,SUM($H$27:H34)&gt;$H$15),$F35,IF(AND($E$19="Investor First %",$E$24="Yes",$G35&gt;0,$F35&lt;$G$24+$G35,SUM($H$27:H34)&lt;$H$15,SUM($H$27:H34)+(F35*$F$19)&gt;$H$15),$F35,IF(AND($E$19="Investor First %",$E$24="Yes",$G35&gt;0,$F35&lt;$G$24+$G35,SUM($H$27:H34)+(F35*$F$19)&lt;$H$15),$F35,IF(AND($E$19="Ownership %",$E$24="Yes",$G35&gt;0,$F35&gt;$G35+$G$24),(($G35+$G$24)+($F35-($G35+$G$24))*$I$15),IF(AND($E$19="Ownership %",$E$24="Yes",$G35&gt;0,$F35&lt;$G35+$G$24),$F35,IF(AND($E$19="Ownership %",$E$24="Yes",$G35=0,$F35&gt;$G$24),$G$24+(($F35-$G$24)*$I$15),IF(AND($E$19="Ownership %",$E$24="Yes",$G35=0,$F35&lt;$G$24),$F35,IF(AND($E$19="Ownership %",$E$24="No"),F35*$I$15))))))))))))))))))))))))))))))))))))))))</f>
        <v>0</v>
      </c>
      <c r="I35" s="153">
        <f t="shared" si="0"/>
        <v>0</v>
      </c>
      <c r="J35" s="1433">
        <f>IF($F35&lt;=0,0,IF(AND($E$19="Investor First",$E$24="No",SUM($F$27:F35)&lt;$H$15),0,IF(AND($E$19="Investor First",$E$24="No",SUM($F$27:F34)&gt;$H$15),F35*$I$14,IF(AND($E$19="Investor First",$E$24="No",SUM($F$27:F34)&lt;$H$15,SUM($F$27:F35)&gt;$H$15),F35-H35,IF(AND($E$19="Investor First",$E$24="Yes",$F35&lt;$G$24,$G35&gt;0),0,IF(AND($E$19="Investor First",$E$24="Yes",$F35&lt;$G$24,$G35=0),0,IF(AND($E$19="Investor First",$E$24="Yes",$F35&gt;$G$24,$G35=0,SUM($F$27:F35)&lt;$H$15),0,IF(AND($E$19="Investor First",$E$24="Yes",$F35&gt;$G$24,$G35=0,SUM($F$27:F34)&gt;$H$15),($F35-$G$24)*$I$14,IF(AND($E$19="Investor First",$E$24="Yes",$F35&gt;$G$24,$G35=0,SUM($F$27:F34)&lt;$H$15,SUM($F$27:F35)&gt;$H$15),$F35-$H35,IF(AND($E$19="Investor First",$E$24="Yes",$G35&gt;0,$F35&gt;$G$24,$F35&gt;($G$24+$G35)),F35-H35,IF(AND($E$19="Investor First",$E$24="Yes",$G35&gt;0,$F35&gt;$G$24,$F35&lt;($G$24+$G35)),0,IF(AND($E$19="Investor First %",$E$24="No",SUM($H$27:H35)&lt;$H$15),F35-H35,IF(AND($E$19="Investor First %",$E$24="No",SUM($H$27:H34)&gt;$H$15),F35*$I$14,IF(AND($E$19="Investor First %",$E$24="No",SUM($H$27:H34)&lt;$H$15,SUM($H$27:H35)&gt;$H$15),F35-H35,IF(AND($E$19="Investor First %",$E$24="Yes",$F35&lt;$G$24,$G35&gt;0),0,IF(AND($E$19="Investor First %",$E$24="Yes",$F35&lt;$G$24,$G35=0),0,IF(AND($E$19="Investor First %",$E$24="Yes",$F35&gt;$G$24,$G35=0,SUM($H$27:H35)&lt;$H$15),F35-H35,IF(AND($E$19="Investor First %",$E$24="Yes",$F35&gt;$G$24,$G35=0,SUM($H$27:H34)&gt;$H$15),(F35-$G$24)*$I$14,IF(AND($E$19="Investor First %",$E$24="Yes",$F35&gt;$G$24,$G35=0,SUM($H$27:H34)&lt;$H$15,SUM($H$27:H35)&gt;$H$15),F35-H35,IF(AND($E$19="Investor First %",$E$24="Yes",$G35&gt;0,$F35&gt;$G$24,$F35&gt;($G$24+$G35)),F35-H35,IF(AND($E$19="Investor First %",$E$24="Yes",$G35&gt;0,$F35&gt;$G$24,$F35&lt;($G$24+$G35)),0,IF(AND($E$19="Ownership %",$E$24="Yes",$F35&lt;$G$24,$G35&gt;0),0,IF(AND($E$19="Ownership %",$E$24="Yes",$F35&lt;$G$24,$G35=0),0,IF(AND($E$19="Ownership %",$E$24="Yes",$F35&gt;$G$24,$G35=0),$F35-$H35,IF(AND($E$19="Ownership %",$E$24="Yes",$F35&gt;$G$24,$G35&gt;0,$F35&gt;$G$24+$G35),$F35-$H35,IF(AND($E$19="Ownership %",$E$24="Yes",$F35&gt;$G$24,$G35&gt;0,$F35&lt;$G$24+$G35),0,IF(AND($E$19="Ownership %",$E$24="No"),$F35*$I$14)))))))))))))))))))))))))))</f>
        <v>0</v>
      </c>
      <c r="K35" s="860" t="str">
        <f>IF(OR($I$14=0,$D35&gt;'Sale - Refinance'!$E$11),"",J35/$H$14)</f>
        <v/>
      </c>
      <c r="L35" s="706"/>
      <c r="M35" s="34"/>
      <c r="N35" s="149"/>
      <c r="O35" s="149"/>
      <c r="P35" s="34"/>
      <c r="Q35" s="34"/>
      <c r="R35" s="34"/>
      <c r="S35" s="34"/>
      <c r="T35" s="34"/>
      <c r="U35" s="34"/>
      <c r="V35" s="34"/>
    </row>
    <row r="36" spans="1:22" s="89" customFormat="1" ht="12" customHeight="1" outlineLevel="1" x14ac:dyDescent="0.25">
      <c r="A36" s="34"/>
      <c r="B36" s="34"/>
      <c r="C36" s="34"/>
      <c r="D36" s="1476">
        <f>'Sale - Refinance'!Q6</f>
        <v>2036</v>
      </c>
      <c r="E36" s="158">
        <f t="shared" si="1"/>
        <v>9</v>
      </c>
      <c r="F36" s="779">
        <f>IF(AND('Sale - Refinance'!$E$10="Yes",'Sale - Refinance'!$E$14&lt;=$E35),0,IF(AND('Sale - Refinance'!$E$10="Yes",'Sale - Refinance'!$E$14=$E36,'Financing Assumptions'!$H$44="No"),'Sale - Refinance'!$E$16,IF(AND('Sale - Refinance'!$E$10="Yes",'Sale - Refinance'!$E$14=$E36,'Financing Assumptions'!$H$44="Yes",'Financing Assumptions'!$H$48&lt;&gt;$E36),'Sale - Refinance'!$E$16,IF(AND('Sale - Refinance'!$E$10="Yes",'Sale - Refinance'!$E$14=$E36,'Financing Assumptions'!$H$44="Yes",'Financing Assumptions'!$H$48=$E36),'Sale - Refinance'!$E$16,IF(AND('Sale - Refinance'!$E$10="Yes",'Sale - Refinance'!$E$14&lt;&gt;$E36,'Financing Assumptions'!$H$44="No"),INDEX('Sale - Refinance'!$G$4:$R$27,MATCH('Sale - Refinance'!$G$18,'Sale - Refinance'!$G$4:$G$27,0),MATCH($E36,'Sale - Refinance'!$G$4:$R$4,0)),IF(AND('Sale - Refinance'!$E$10="Yes",'Sale - Refinance'!$E$14&lt;&gt;$E36,'Financing Assumptions'!$H$44="Yes",'Financing Assumptions'!$H$48=$E36),INDEX('Sale - Refinance'!$G$4:$R$27,MATCH('Sale - Refinance'!$G$18,'Sale - Refinance'!$G$4:$G$27,0),MATCH($E36,'Sale - Refinance'!$G$4:$R$4,0)),IF(AND('Sale - Refinance'!$E$10="Yes",'Sale - Refinance'!$E$14&lt;&gt;$E36,'Financing Assumptions'!$H$44="Yes",'Financing Assumptions'!$H$48&lt;&gt;$E36),INDEX('Sale - Refinance'!$G$4:$R$27,MATCH('Sale - Refinance'!$G$18,'Sale - Refinance'!$G$4:$G$27,0),MATCH($E36,'Sale - Refinance'!$G$4:$R$4,0)),IF(AND('Sale - Refinance'!$E$10="No",'Financing Assumptions'!$H$44="Yes",'Financing Assumptions'!$H$48&lt;&gt;$E36),INDEX('Sale - Refinance'!$G$4:$R$27,MATCH('Sale - Refinance'!$G$18,'Sale - Refinance'!$G$4:$G$27,0),MATCH($E36,'Sale - Refinance'!$G$4:$R$4,0)),IF(AND('Sale - Refinance'!$E$10="No",'Financing Assumptions'!$H$44="Yes",'Financing Assumptions'!$H$48=$E36),INDEX('Sale - Refinance'!$G$4:$R$27,MATCH('Sale - Refinance'!$G$18,'Sale - Refinance'!$G$4:$G$27,0),MATCH($E36,'Sale - Refinance'!$G$4:$R$4,0)),IF(AND('Sale - Refinance'!$E$10="No",'Financing Assumptions'!$H$44="No"),INDEX('Sale - Refinance'!$G$4:$R$27,MATCH('Sale - Refinance'!$G$18,'Sale - Refinance'!$G$4:$G$27,0),MATCH($E36,'Sale - Refinance'!$G$4:$R$4,0))))))))))))</f>
        <v>0</v>
      </c>
      <c r="G36" s="149">
        <f>IF($E$24="No",0,IF($E36&gt;'Sale - Refinance'!$E$14,0,IF(AND(G35=0,F35&lt;$G$24),($G$24-F35),IF(AND(F35&gt;$G$24,G35=0),0,IF(AND(G35&gt;0,F35&lt;$G$24),($G$24+$G35)-$F35,IF(AND(G35&gt;0,F35&gt;$G$24,F35&gt;($G$24+G35)),0,IF(AND(G35&gt;0,F35&gt;$G$24,F35&lt;($G$24+G35)),($G$24+G35)-F35)))))))</f>
        <v>0</v>
      </c>
      <c r="H36" s="149">
        <f>IF($F36&lt;0,0,IF(AND($E$19="Investor First",$E$24="No",SUM($H$27:H35)&gt;$H$15),F36*$I$15,IF(AND($E$19="Investor First",$E$24="No",SUM($H$27:H35)&lt;$H$15,SUM($H$27:H35)+F36&gt;$H$15),$H$15-SUM($H$27:H35)+((F36-($H$15-SUM($H$27:H35)))*$I$15),IF(AND($E$19="Investor First",$E$24="No",SUM($H$27:H35)+F36&lt;$H$15),$F36,IF(AND($E$19="Investor First",$E$24="Yes",$G36=0,$F36&gt;$G$24,SUM($H$27:H35)&gt;$H$15),$G$24+(($F36-$G$24)*$I$15),IF(AND($E$19="Investor First",$E$24="Yes",$G36=0,$F36&gt;$G$24,SUM($H$27:H35)&lt;$H$15,SUM($H$27:H35)+$F36&gt;$H$15,$F36&gt;$G$24+($H$15-SUM($H$27:H35))),(($H$15-SUM($H$27:H35))+$G$24)+(($F36-($G$24+($H$15-SUM($H$27:H35))))*$I$15),IF(AND($E$19="Investor First",$E$24="Yes",$G36=0,$F36&gt;$G$24,SUM($H$27:H35)&lt;$H$15,SUM($H$27:H35)+$F36&gt;$H$15,$F36&lt;$G$24+($H$15-SUM($H$27:H35))),$F36,IF(AND($E$19="Investor First",$E$24="Yes",$G36=0,$F36&gt;$G$24,SUM($H$27:H35)+F36&lt;$H$15),$G$24+($F36-$G$24),IF(AND($E$19="Investor First",$E$24="Yes",$G36=0,$F36&lt;$G$24,SUM($H$27:H35)&gt;$H$15),$F36,IF(AND($E$19="Investor First",$E$24="Yes",$G36=0,$F36&lt;$G$24,SUM($H$27:H35)&lt;$H$15,SUM($H$27:H35)+F36&gt;$H$15),$F36,IF(AND($E$19="Investor First",$E$24="Yes",$G36=0,$F36&lt;$G$24,SUM($H$27:H35)+F36&lt;$H$15),$F36,IF(AND($E$19="Investor First",$E$24="Yes",$G36&gt;0,$F36&gt;$G$24+$G36,SUM($H$27:H35)&gt;$H$15),($G$24+$G36)+(($F36-($G$24+$G36))*$I$15),IF(AND($E$19="Investor First",$E$24="Yes",$G36&gt;0,$F36&gt;$G$24+$G36,SUM($H$27:H35)&lt;$H$15,SUM($H$27:H35)+$F36&gt;$H$15,$F36&gt;($G$24+$G36)+($F36-($H$15-SUM($H$27:H35)))),(($G$24+$G36)+($H$15-SUM($H$27:H35)))+((F36-(($G$24+$G36)+($H$15-SUM($H$27:H35))))*$I$15),IF(AND($E$19="Investor First",$E$24="Yes",$G36&gt;0,$F36&gt;$G$24+$G36,SUM($H$27:H35)&lt;$H$15,SUM($H$27:H35)+$F36&gt;$H$15,$F36&lt;($G$24+$G36)+($F36-($H$15-SUM($H$27:H35)))),$F36,IF(AND($E$19="Investor First",$E$24="Yes",$G36&gt;0,$F36&gt;$G$24+$G36,SUM($H$27:H35)+F36&lt;$H$15),($G$24+$G36)+($F36-($G$24+$G36)),IF(AND($E$19="Investor First",$E$24="Yes",$G36&gt;0,$F36&lt;$G$24+$G36,SUM($H$27:H35)&gt;$H$15),F36,IF(AND($E$19="Investor First",$E$24="Yes",$G36&gt;0,$F36&lt;$G$24+$G36,SUM($H$27:H35)&lt;$H$15,SUM($H$27:H35)+F36&gt;$H$15),$F36,IF(AND($E$19="Investor First",$E$24="Yes",$G36&gt;0,$F36&lt;$G$24+$G36,SUM($H$27:H35)+F36&lt;$H$15),$F36,IF(AND($E$19="Investor First %",$E$24="No",SUM($H$27:H35)&gt;$H$15),F36*$I$15,IF(AND($E$19="Investor First %",$E$24="No",SUM($H$27:H35)&lt;$H$15,SUM($H$27:H35)+(F36*$F$19)&gt;$H$15),$H$15-SUM($H$27:H35)+((F36-($H$15-SUM($H$27:H35)))*$I$15),IF(AND($E$19="Investor First %",$E$24="No",SUM($H$27:H35)+(F36*$F$19)&lt;$H$15),$F36*$F$19,IF(AND($E$19="Investor First %",$E$24="Yes",$G36=0,$F36&gt;$G$24,SUM($H$27:H35)&gt;$H$15),$G$24+(($F36-$G$24)*$I$15),IF(AND($E$19="Investor First %",$E$24="Yes",$G36=0,$F36&gt;$G$24,SUM($H$27:H35)&lt;$H$15,SUM($H$27:H35)+($F36*$F$19)&gt;$H$15,$F36&gt;$G$24+($H$15-SUM($H$27:H35))),(($H$15-SUM($H$27:H35))+$G$24)+(($F36-($G$24+($H$15-SUM($H$27:H35))))*$I$15),IF(AND($E$19="Investor First %",$E$24="Yes",$G36=0,$F36&gt;$G$24,SUM($H$27:H35)&lt;$H$15,SUM($H$27:H35)+($F36*$F$19)&gt;$H$15,$F36&lt;$G$24+($H$15-SUM($H$27:H35))),$G$24+(($F36-$G$24)*$F$19),IF(AND($E$19="Investor First %",$E$24="Yes",$G36=0,$F36&gt;$G$24,SUM($H$27:H35)+(F36*$F$19)&lt;$H$15),$G$24+(($F36-$G$24)*$F$19),IF(AND($E$19="Investor First %",$E$24="Yes",$G36=0,$F36&lt;$G$24,SUM($H$27:H35)&gt;$H$15),$F36,IF(AND($E$19="Investor First %",$E$24="Yes",$G36=0,$F36&lt;$G$24,SUM($H$27:H35)&lt;$H$15,SUM($H$27:H35)+(F36*$F$19)&gt;$H$15),$F36,IF(AND($E$19="Investor First %",$E$24="Yes",$G36=0,$F36&lt;$G$24,SUM($H$27:H35)+(F36*$F$19)&lt;$H$15),$F36,IF(AND($E$19="Investor First %",$E$24="Yes",$G36&gt;0,$F36&gt;$G$24+$G36,SUM($H$27:H35)&gt;$H$15),($G$24+$G36)+(($F36-($G$24+$G36))*$I$15),IF(AND($E$19="Investor First %",$E$24="Yes",$G36&gt;0,$F36&gt;$G$24+$G36,SUM($H$27:H35)&lt;$H$15,SUM($H$27:H35)+(F36*$F$19)&gt;$H$15,$F36&gt;($G$24+$G36)+($F36-($H$15-SUM($H$27:H35)))),(($G$24+$G36)+($H$15-SUM($H$27:H35)))+((F36-(($G$24+$G36)+($H$15-SUM($H$27:H35))))*$I$15),IF(AND($E$19="Investor First %",$E$24="Yes",$G36&gt;0,$F36&gt;$G$24+$G36,SUM($H$27:H35)&lt;$H$15,SUM($H$27:H35)+(F36*$F$19)&gt;$H$15,$F36&lt;($G$24+$G36)+($F36-($H$15-SUM($H$27:H35)))),$F36,IF(AND($E$19="Investor First %",$E$24="Yes",$G36&gt;0,$F36&gt;$G$24+$G36,SUM($H$27:H35)+(F36*$F$19)&lt;$H$15),($G$24+$G36)+(($F36-($G$24+$G36))*$F$19),IF(AND($E$19="Investor First %",$E$24="Yes",$G36&gt;0,$F36&lt;$G$24+$G36,SUM($H$27:H35)&gt;$H$15),$F36,IF(AND($E$19="Investor First %",$E$24="Yes",$G36&gt;0,$F36&lt;$G$24+$G36,SUM($H$27:H35)&lt;$H$15,SUM($H$27:H35)+(F36*$F$19)&gt;$H$15),$F36,IF(AND($E$19="Investor First %",$E$24="Yes",$G36&gt;0,$F36&lt;$G$24+$G36,SUM($H$27:H35)+(F36*$F$19)&lt;$H$15),$F36,IF(AND($E$19="Ownership %",$E$24="Yes",$G36&gt;0,$F36&gt;$G36+$G$24),(($G36+$G$24)+($F36-($G36+$G$24))*$I$15),IF(AND($E$19="Ownership %",$E$24="Yes",$G36&gt;0,$F36&lt;$G36+$G$24),$F36,IF(AND($E$19="Ownership %",$E$24="Yes",$G36=0,$F36&gt;$G$24),$G$24+(($F36-$G$24)*$I$15),IF(AND($E$19="Ownership %",$E$24="Yes",$G36=0,$F36&lt;$G$24),$F36,IF(AND($E$19="Ownership %",$E$24="No"),F36*$I$15))))))))))))))))))))))))))))))))))))))))</f>
        <v>0</v>
      </c>
      <c r="I36" s="153">
        <f>IF($H$15=0,0,H36/$H$15)</f>
        <v>0</v>
      </c>
      <c r="J36" s="1433">
        <f>IF($F36&lt;=0,0,IF(AND($E$19="Investor First",$E$24="No",SUM($F$27:F36)&lt;$H$15),0,IF(AND($E$19="Investor First",$E$24="No",SUM($F$27:F35)&gt;$H$15),F36*$I$14,IF(AND($E$19="Investor First",$E$24="No",SUM($F$27:F35)&lt;$H$15,SUM($F$27:F36)&gt;$H$15),F36-H36,IF(AND($E$19="Investor First",$E$24="Yes",$F36&lt;$G$24,$G36&gt;0),0,IF(AND($E$19="Investor First",$E$24="Yes",$F36&lt;$G$24,$G36=0),0,IF(AND($E$19="Investor First",$E$24="Yes",$F36&gt;$G$24,$G36=0,SUM($F$27:F36)&lt;$H$15),0,IF(AND($E$19="Investor First",$E$24="Yes",$F36&gt;$G$24,$G36=0,SUM($F$27:F35)&gt;$H$15),($F36-$G$24)*$I$14,IF(AND($E$19="Investor First",$E$24="Yes",$F36&gt;$G$24,$G36=0,SUM($F$27:F35)&lt;$H$15,SUM($F$27:F36)&gt;$H$15),$F36-$H36,IF(AND($E$19="Investor First",$E$24="Yes",$G36&gt;0,$F36&gt;$G$24,$F36&gt;($G$24+$G36)),F36-H36,IF(AND($E$19="Investor First",$E$24="Yes",$G36&gt;0,$F36&gt;$G$24,$F36&lt;($G$24+$G36)),0,IF(AND($E$19="Investor First %",$E$24="No",SUM($H$27:H36)&lt;$H$15),F36-H36,IF(AND($E$19="Investor First %",$E$24="No",SUM($H$27:H35)&gt;$H$15),F36*$I$14,IF(AND($E$19="Investor First %",$E$24="No",SUM($H$27:H35)&lt;$H$15,SUM($H$27:H36)&gt;$H$15),F36-H36,IF(AND($E$19="Investor First %",$E$24="Yes",$F36&lt;$G$24,$G36&gt;0),0,IF(AND($E$19="Investor First %",$E$24="Yes",$F36&lt;$G$24,$G36=0),0,IF(AND($E$19="Investor First %",$E$24="Yes",$F36&gt;$G$24,$G36=0,SUM($H$27:H36)&lt;$H$15),F36-H36,IF(AND($E$19="Investor First %",$E$24="Yes",$F36&gt;$G$24,$G36=0,SUM($H$27:H35)&gt;$H$15),(F36-$G$24)*$I$14,IF(AND($E$19="Investor First %",$E$24="Yes",$F36&gt;$G$24,$G36=0,SUM($H$27:H35)&lt;$H$15,SUM($H$27:H36)&gt;$H$15),F36-H36,IF(AND($E$19="Investor First %",$E$24="Yes",$G36&gt;0,$F36&gt;$G$24,$F36&gt;($G$24+$G36)),F36-H36,IF(AND($E$19="Investor First %",$E$24="Yes",$G36&gt;0,$F36&gt;$G$24,$F36&lt;($G$24+$G36)),0,IF(AND($E$19="Ownership %",$E$24="Yes",$F36&lt;$G$24,$G36&gt;0),0,IF(AND($E$19="Ownership %",$E$24="Yes",$F36&lt;$G$24,$G36=0),0,IF(AND($E$19="Ownership %",$E$24="Yes",$F36&gt;$G$24,$G36=0),$F36-$H36,IF(AND($E$19="Ownership %",$E$24="Yes",$F36&gt;$G$24,$G36&gt;0,$F36&gt;$G$24+$G36),$F36-$H36,IF(AND($E$19="Ownership %",$E$24="Yes",$F36&gt;$G$24,$G36&gt;0,$F36&lt;$G$24+$G36),0,IF(AND($E$19="Ownership %",$E$24="No"),$F36*$I$14)))))))))))))))))))))))))))</f>
        <v>0</v>
      </c>
      <c r="K36" s="860" t="str">
        <f>IF(OR($I$14=0,$D36&gt;'Sale - Refinance'!$E$11),"",J36/$H$14)</f>
        <v/>
      </c>
      <c r="L36" s="707"/>
      <c r="M36" s="35"/>
      <c r="N36" s="155"/>
      <c r="O36" s="156"/>
      <c r="P36" s="34"/>
      <c r="Q36" s="34"/>
      <c r="R36" s="34"/>
      <c r="S36" s="34"/>
      <c r="T36" s="34"/>
      <c r="U36" s="34"/>
      <c r="V36" s="34"/>
    </row>
    <row r="37" spans="1:22" s="89" customFormat="1" ht="12" customHeight="1" outlineLevel="1" x14ac:dyDescent="0.25">
      <c r="A37" s="34"/>
      <c r="B37" s="34"/>
      <c r="C37" s="34"/>
      <c r="D37" s="1476">
        <f>'Sale - Refinance'!R6</f>
        <v>2037</v>
      </c>
      <c r="E37" s="158">
        <f t="shared" si="1"/>
        <v>10</v>
      </c>
      <c r="F37" s="779">
        <f>IF(AND('Sale - Refinance'!$E$10="Yes",'Sale - Refinance'!$E$14&lt;=$E36),0,IF(AND('Sale - Refinance'!$E$10="Yes",'Sale - Refinance'!$E$14=$E37,'Financing Assumptions'!$H$44="No"),'Sale - Refinance'!$E$16,IF(AND('Sale - Refinance'!$E$10="Yes",'Sale - Refinance'!$E$14=$E37,'Financing Assumptions'!$H$44="Yes",'Financing Assumptions'!$H$48&lt;&gt;$E37),'Sale - Refinance'!$E$16,IF(AND('Sale - Refinance'!$E$10="Yes",'Sale - Refinance'!$E$14=$E37,'Financing Assumptions'!$H$44="Yes",'Financing Assumptions'!$H$48=$E37),'Sale - Refinance'!$E$16,IF(AND('Sale - Refinance'!$E$10="Yes",'Sale - Refinance'!$E$14&lt;&gt;$E37,'Financing Assumptions'!$H$44="No"),INDEX('Sale - Refinance'!$G$4:$R$27,MATCH('Sale - Refinance'!$G$18,'Sale - Refinance'!$G$4:$G$27,0),MATCH($E37,'Sale - Refinance'!$G$4:$R$4,0)),IF(AND('Sale - Refinance'!$E$10="Yes",'Sale - Refinance'!$E$14&lt;&gt;$E37,'Financing Assumptions'!$H$44="Yes",'Financing Assumptions'!$H$48=$E37),INDEX('Sale - Refinance'!$G$4:$R$27,MATCH('Sale - Refinance'!$G$18,'Sale - Refinance'!$G$4:$G$27,0),MATCH($E37,'Sale - Refinance'!$G$4:$R$4,0)),IF(AND('Sale - Refinance'!$E$10="Yes",'Sale - Refinance'!$E$14&lt;&gt;$E37,'Financing Assumptions'!$H$44="Yes",'Financing Assumptions'!$H$48&lt;&gt;$E37),INDEX('Sale - Refinance'!$G$4:$R$27,MATCH('Sale - Refinance'!$G$18,'Sale - Refinance'!$G$4:$G$27,0),MATCH($E37,'Sale - Refinance'!$G$4:$R$4,0)),IF(AND('Sale - Refinance'!$E$10="No",'Financing Assumptions'!$H$44="Yes",'Financing Assumptions'!$H$48&lt;&gt;$E37),INDEX('Sale - Refinance'!$G$4:$R$27,MATCH('Sale - Refinance'!$G$18,'Sale - Refinance'!$G$4:$G$27,0),MATCH($E37,'Sale - Refinance'!$G$4:$R$4,0)),IF(AND('Sale - Refinance'!$E$10="No",'Financing Assumptions'!$H$44="Yes",'Financing Assumptions'!$H$48=$E37),INDEX('Sale - Refinance'!$G$4:$R$27,MATCH('Sale - Refinance'!$G$18,'Sale - Refinance'!$G$4:$G$27,0),MATCH($E37,'Sale - Refinance'!$G$4:$R$4,0)),IF(AND('Sale - Refinance'!$E$10="No",'Financing Assumptions'!$H$44="No"),INDEX('Sale - Refinance'!$G$4:$R$27,MATCH('Sale - Refinance'!$G$18,'Sale - Refinance'!$G$4:$G$27,0),MATCH($E37,'Sale - Refinance'!$G$4:$R$4,0))))))))))))</f>
        <v>0</v>
      </c>
      <c r="G37" s="149">
        <f>IF($E$24="No",0,IF($E37&gt;'Sale - Refinance'!$E$14,0,IF(AND(G36=0,F36&lt;$G$24),($G$24-F36),IF(AND(F36&gt;$G$24,G36=0),0,IF(AND(G36&gt;0,F36&lt;$G$24),($G$24+$G36)-$F36,IF(AND(G36&gt;0,F36&gt;$G$24,F36&gt;($G$24+G36)),0,IF(AND(G36&gt;0,F36&gt;$G$24,F36&lt;($G$24+G36)),($G$24+G36)-F36)))))))</f>
        <v>0</v>
      </c>
      <c r="H37" s="149">
        <f>IF($F37&lt;0,0,IF(AND($E$19="Investor First",$E$24="No",SUM($H$27:H36)&gt;$H$15),F37*$I$15,IF(AND($E$19="Investor First",$E$24="No",SUM($H$27:H36)&lt;$H$15,SUM($H$27:H36)+F37&gt;$H$15),$H$15-SUM($H$27:H36)+((F37-($H$15-SUM($H$27:H36)))*$I$15),IF(AND($E$19="Investor First",$E$24="No",SUM($H$27:H36)+F37&lt;$H$15),$F37,IF(AND($E$19="Investor First",$E$24="Yes",$G37=0,$F37&gt;$G$24,SUM($H$27:H36)&gt;$H$15),$G$24+(($F37-$G$24)*$I$15),IF(AND($E$19="Investor First",$E$24="Yes",$G37=0,$F37&gt;$G$24,SUM($H$27:H36)&lt;$H$15,SUM($H$27:H36)+$F37&gt;$H$15,$F37&gt;$G$24+($H$15-SUM($H$27:H36))),(($H$15-SUM($H$27:H36))+$G$24)+(($F37-($G$24+($H$15-SUM($H$27:H36))))*$I$15),IF(AND($E$19="Investor First",$E$24="Yes",$G37=0,$F37&gt;$G$24,SUM($H$27:H36)&lt;$H$15,SUM($H$27:H36)+$F37&gt;$H$15,$F37&lt;$G$24+($H$15-SUM($H$27:H36))),$F37,IF(AND($E$19="Investor First",$E$24="Yes",$G37=0,$F37&gt;$G$24,SUM($H$27:H36)+F37&lt;$H$15),$G$24+($F37-$G$24),IF(AND($E$19="Investor First",$E$24="Yes",$G37=0,$F37&lt;$G$24,SUM($H$27:H36)&gt;$H$15),$F37,IF(AND($E$19="Investor First",$E$24="Yes",$G37=0,$F37&lt;$G$24,SUM($H$27:H36)&lt;$H$15,SUM($H$27:H36)+F37&gt;$H$15),$F37,IF(AND($E$19="Investor First",$E$24="Yes",$G37=0,$F37&lt;$G$24,SUM($H$27:H36)+F37&lt;$H$15),$F37,IF(AND($E$19="Investor First",$E$24="Yes",$G37&gt;0,$F37&gt;$G$24+$G37,SUM($H$27:H36)&gt;$H$15),($G$24+$G37)+(($F37-($G$24+$G37))*$I$15),IF(AND($E$19="Investor First",$E$24="Yes",$G37&gt;0,$F37&gt;$G$24+$G37,SUM($H$27:H36)&lt;$H$15,SUM($H$27:H36)+$F37&gt;$H$15,$F37&gt;($G$24+$G37)+($F37-($H$15-SUM($H$27:H36)))),(($G$24+$G37)+($H$15-SUM($H$27:H36)))+((F37-(($G$24+$G37)+($H$15-SUM($H$27:H36))))*$I$15),IF(AND($E$19="Investor First",$E$24="Yes",$G37&gt;0,$F37&gt;$G$24+$G37,SUM($H$27:H36)&lt;$H$15,SUM($H$27:H36)+$F37&gt;$H$15,$F37&lt;($G$24+$G37)+($F37-($H$15-SUM($H$27:H36)))),$F37,IF(AND($E$19="Investor First",$E$24="Yes",$G37&gt;0,$F37&gt;$G$24+$G37,SUM($H$27:H36)+F37&lt;$H$15),($G$24+$G37)+($F37-($G$24+$G37)),IF(AND($E$19="Investor First",$E$24="Yes",$G37&gt;0,$F37&lt;$G$24+$G37,SUM($H$27:H36)&gt;$H$15),F37,IF(AND($E$19="Investor First",$E$24="Yes",$G37&gt;0,$F37&lt;$G$24+$G37,SUM($H$27:H36)&lt;$H$15,SUM($H$27:H36)+F37&gt;$H$15),$F37,IF(AND($E$19="Investor First",$E$24="Yes",$G37&gt;0,$F37&lt;$G$24+$G37,SUM($H$27:H36)+F37&lt;$H$15),$F37,IF(AND($E$19="Investor First %",$E$24="No",SUM($H$27:H36)&gt;$H$15),F37*$I$15,IF(AND($E$19="Investor First %",$E$24="No",SUM($H$27:H36)&lt;$H$15,SUM($H$27:H36)+(F37*$F$19)&gt;$H$15),$H$15-SUM($H$27:H36)+((F37-($H$15-SUM($H$27:H36)))*$I$15),IF(AND($E$19="Investor First %",$E$24="No",SUM($H$27:H36)+(F37*$F$19)&lt;$H$15),$F37*$F$19,IF(AND($E$19="Investor First %",$E$24="Yes",$G37=0,$F37&gt;$G$24,SUM($H$27:H36)&gt;$H$15),$G$24+(($F37-$G$24)*$I$15),IF(AND($E$19="Investor First %",$E$24="Yes",$G37=0,$F37&gt;$G$24,SUM($H$27:H36)&lt;$H$15,SUM($H$27:H36)+($F37*$F$19)&gt;$H$15,$F37&gt;$G$24+($H$15-SUM($H$27:H36))),(($H$15-SUM($H$27:H36))+$G$24)+(($F37-($G$24+($H$15-SUM($H$27:H36))))*$I$15),IF(AND($E$19="Investor First %",$E$24="Yes",$G37=0,$F37&gt;$G$24,SUM($H$27:H36)&lt;$H$15,SUM($H$27:H36)+($F37*$F$19)&gt;$H$15,$F37&lt;$G$24+($H$15-SUM($H$27:H36))),$G$24+(($F37-$G$24)*$F$19),IF(AND($E$19="Investor First %",$E$24="Yes",$G37=0,$F37&gt;$G$24,SUM($H$27:H36)+(F37*$F$19)&lt;$H$15),$G$24+(($F37-$G$24)*$F$19),IF(AND($E$19="Investor First %",$E$24="Yes",$G37=0,$F37&lt;$G$24,SUM($H$27:H36)&gt;$H$15),$F37,IF(AND($E$19="Investor First %",$E$24="Yes",$G37=0,$F37&lt;$G$24,SUM($H$27:H36)&lt;$H$15,SUM($H$27:H36)+(F37*$F$19)&gt;$H$15),$F37,IF(AND($E$19="Investor First %",$E$24="Yes",$G37=0,$F37&lt;$G$24,SUM($H$27:H36)+(F37*$F$19)&lt;$H$15),$F37,IF(AND($E$19="Investor First %",$E$24="Yes",$G37&gt;0,$F37&gt;$G$24+$G37,SUM($H$27:H36)&gt;$H$15),($G$24+$G37)+(($F37-($G$24+$G37))*$I$15),IF(AND($E$19="Investor First %",$E$24="Yes",$G37&gt;0,$F37&gt;$G$24+$G37,SUM($H$27:H36)&lt;$H$15,SUM($H$27:H36)+(F37*$F$19)&gt;$H$15,$F37&gt;($G$24+$G37)+($F37-($H$15-SUM($H$27:H36)))),(($G$24+$G37)+($H$15-SUM($H$27:H36)))+((F37-(($G$24+$G37)+($H$15-SUM($H$27:H36))))*$I$15),IF(AND($E$19="Investor First %",$E$24="Yes",$G37&gt;0,$F37&gt;$G$24+$G37,SUM($H$27:H36)&lt;$H$15,SUM($H$27:H36)+(F37*$F$19)&gt;$H$15,$F37&lt;($G$24+$G37)+($F37-($H$15-SUM($H$27:H36)))),$F37,IF(AND($E$19="Investor First %",$E$24="Yes",$G37&gt;0,$F37&gt;$G$24+$G37,SUM($H$27:H36)+(F37*$F$19)&lt;$H$15),($G$24+$G37)+(($F37-($G$24+$G37))*$F$19),IF(AND($E$19="Investor First %",$E$24="Yes",$G37&gt;0,$F37&lt;$G$24+$G37,SUM($H$27:H36)&gt;$H$15),$F37,IF(AND($E$19="Investor First %",$E$24="Yes",$G37&gt;0,$F37&lt;$G$24+$G37,SUM($H$27:H36)&lt;$H$15,SUM($H$27:H36)+(F37*$F$19)&gt;$H$15),$F37,IF(AND($E$19="Investor First %",$E$24="Yes",$G37&gt;0,$F37&lt;$G$24+$G37,SUM($H$27:H36)+(F37*$F$19)&lt;$H$15),$F37,IF(AND($E$19="Ownership %",$E$24="Yes",$G37&gt;0,$F37&gt;$G37+$G$24),(($G37+$G$24)+($F37-($G37+$G$24))*$I$15),IF(AND($E$19="Ownership %",$E$24="Yes",$G37&gt;0,$F37&lt;$G37+$G$24),$F37,IF(AND($E$19="Ownership %",$E$24="Yes",$G37=0,$F37&gt;$G$24),$G$24+(($F37-$G$24)*$I$15),IF(AND($E$19="Ownership %",$E$24="Yes",$G37=0,$F37&lt;$G$24),$F37,IF(AND($E$19="Ownership %",$E$24="No"),F37*$I$15))))))))))))))))))))))))))))))))))))))))</f>
        <v>0</v>
      </c>
      <c r="I37" s="709">
        <f t="shared" si="0"/>
        <v>0</v>
      </c>
      <c r="J37" s="1433">
        <f>IF($F37&lt;=0,0,IF(AND($E$19="Investor First",$E$24="No",SUM($F$27:F37)&lt;$H$15),0,IF(AND($E$19="Investor First",$E$24="No",SUM($F$27:F36)&gt;$H$15),F37*$I$14,IF(AND($E$19="Investor First",$E$24="No",SUM($F$27:F36)&lt;$H$15,SUM($F$27:F37)&gt;$H$15),F37-H37,IF(AND($E$19="Investor First",$E$24="Yes",$F37&lt;$G$24,$G37&gt;0),0,IF(AND($E$19="Investor First",$E$24="Yes",$F37&lt;$G$24,$G37=0),0,IF(AND($E$19="Investor First",$E$24="Yes",$F37&gt;$G$24,$G37=0,SUM($F$27:F37)&lt;$H$15),0,IF(AND($E$19="Investor First",$E$24="Yes",$F37&gt;$G$24,$G37=0,SUM($F$27:F36)&gt;$H$15),($F37-$G$24)*$I$14,IF(AND($E$19="Investor First",$E$24="Yes",$F37&gt;$G$24,$G37=0,SUM($F$27:F36)&lt;$H$15,SUM($F$27:F37)&gt;$H$15),$F37-$H37,IF(AND($E$19="Investor First",$E$24="Yes",$G37&gt;0,$F37&gt;$G$24,$F37&gt;($G$24+$G37)),F37-H37,IF(AND($E$19="Investor First",$E$24="Yes",$G37&gt;0,$F37&gt;$G$24,$F37&lt;($G$24+$G37)),0,IF(AND($E$19="Investor First %",$E$24="No",SUM($H$27:H37)&lt;$H$15),F37-H37,IF(AND($E$19="Investor First %",$E$24="No",SUM($H$27:H36)&gt;$H$15),F37*$I$14,IF(AND($E$19="Investor First %",$E$24="No",SUM($H$27:H36)&lt;$H$15,SUM($H$27:H37)&gt;$H$15),F37-H37,IF(AND($E$19="Investor First %",$E$24="Yes",$F37&lt;$G$24,$G37&gt;0),0,IF(AND($E$19="Investor First %",$E$24="Yes",$F37&lt;$G$24,$G37=0),0,IF(AND($E$19="Investor First %",$E$24="Yes",$F37&gt;$G$24,$G37=0,SUM($H$27:H37)&lt;$H$15),F37-H37,IF(AND($E$19="Investor First %",$E$24="Yes",$F37&gt;$G$24,$G37=0,SUM($H$27:H36)&gt;$H$15),(F37-$G$24)*$I$14,IF(AND($E$19="Investor First %",$E$24="Yes",$F37&gt;$G$24,$G37=0,SUM($H$27:H36)&lt;$H$15,SUM($H$27:H37)&gt;$H$15),F37-H37,IF(AND($E$19="Investor First %",$E$24="Yes",$G37&gt;0,$F37&gt;$G$24,$F37&gt;($G$24+$G37)),F37-H37,IF(AND($E$19="Investor First %",$E$24="Yes",$G37&gt;0,$F37&gt;$G$24,$F37&lt;($G$24+$G37)),0,IF(AND($E$19="Ownership %",$E$24="Yes",$F37&lt;$G$24,$G37&gt;0),0,IF(AND($E$19="Ownership %",$E$24="Yes",$F37&lt;$G$24,$G37=0),0,IF(AND($E$19="Ownership %",$E$24="Yes",$F37&gt;$G$24,$G37=0),$F37-$H37,IF(AND($E$19="Ownership %",$E$24="Yes",$F37&gt;$G$24,$G37&gt;0,$F37&gt;$G$24+$G37),$F37-$H37,IF(AND($E$19="Ownership %",$E$24="Yes",$F37&gt;$G$24,$G37&gt;0,$F37&lt;$G$24+$G37),0,IF(AND($E$19="Ownership %",$E$24="No"),$F37*$I$14)))))))))))))))))))))))))))</f>
        <v>0</v>
      </c>
      <c r="K37" s="860" t="str">
        <f>IF(OR($I$14=0,$D37&gt;'Sale - Refinance'!$E$11),"",J37/$H$14)</f>
        <v/>
      </c>
      <c r="L37" s="706"/>
      <c r="M37" s="149"/>
      <c r="N37" s="149"/>
      <c r="O37" s="156"/>
      <c r="P37" s="34"/>
      <c r="Q37" s="34"/>
      <c r="R37" s="34"/>
      <c r="S37" s="34"/>
      <c r="T37" s="34"/>
      <c r="U37" s="34"/>
      <c r="V37" s="34"/>
    </row>
    <row r="38" spans="1:22" s="89" customFormat="1" ht="12" customHeight="1" outlineLevel="1" x14ac:dyDescent="0.25">
      <c r="A38" s="34"/>
      <c r="B38" s="34"/>
      <c r="C38" s="34"/>
      <c r="D38" s="54"/>
      <c r="E38" s="173" t="s">
        <v>21</v>
      </c>
      <c r="F38" s="152">
        <f>SUM(F27:F37)</f>
        <v>38511737.227432348</v>
      </c>
      <c r="G38" s="152"/>
      <c r="H38" s="152">
        <f>SUM(H27:H37)</f>
        <v>30338843.190805845</v>
      </c>
      <c r="I38" s="151">
        <f>IF(OR('Financing Assumptions'!$J$18="GP Only",'Financing Assumptions'!$J$18="No Cash Equity"),0,AVERAGEIFS(I27:I37,D27:D37,"&lt;="&amp;'Sale - Refinance'!E11))</f>
        <v>0.48461349581803259</v>
      </c>
      <c r="J38" s="864">
        <f>SUM(J27:J37)</f>
        <v>8172894.0366265029</v>
      </c>
      <c r="K38" s="171">
        <f>IF(OR('Financing Assumptions'!$J$18="LP Only",'Financing Assumptions'!$J$18="No Cash Equity"),0,AVERAGEIFS(K27:K37,D27:D37,"&lt;="&amp;'Sale - Refinance'!E11))</f>
        <v>0</v>
      </c>
      <c r="L38" s="706"/>
      <c r="M38" s="149"/>
      <c r="N38" s="149"/>
      <c r="O38" s="34"/>
      <c r="P38" s="34"/>
      <c r="Q38" s="34"/>
      <c r="R38" s="34"/>
      <c r="S38" s="34"/>
      <c r="T38" s="34"/>
      <c r="U38" s="34"/>
      <c r="V38" s="34"/>
    </row>
    <row r="39" spans="1:22" s="89" customFormat="1" ht="12" customHeight="1" x14ac:dyDescent="0.25">
      <c r="A39" s="34"/>
      <c r="B39" s="34"/>
      <c r="C39" s="34"/>
      <c r="D39" s="57"/>
      <c r="E39" s="39"/>
      <c r="F39" s="150"/>
      <c r="G39" s="150"/>
      <c r="H39" s="150"/>
      <c r="I39" s="150"/>
      <c r="J39" s="39"/>
      <c r="K39" s="39"/>
      <c r="L39" s="708"/>
      <c r="M39" s="149"/>
      <c r="N39" s="149"/>
      <c r="O39" s="34"/>
      <c r="P39" s="34"/>
      <c r="Q39" s="34"/>
      <c r="R39" s="34"/>
      <c r="S39" s="34"/>
      <c r="T39" s="34"/>
      <c r="U39" s="34"/>
      <c r="V39" s="34"/>
    </row>
    <row r="40" spans="1:22" ht="12" customHeight="1" x14ac:dyDescent="0.25">
      <c r="E40" s="2"/>
      <c r="F40" s="4"/>
      <c r="G40" s="4"/>
      <c r="H40" s="4"/>
      <c r="I40" s="4"/>
      <c r="J40" s="2"/>
      <c r="K40" s="2"/>
      <c r="L40" s="5"/>
      <c r="M40" s="5"/>
      <c r="N40" s="5"/>
      <c r="O40" s="2"/>
      <c r="P40" s="2"/>
      <c r="Q40" s="2"/>
      <c r="R40" s="2"/>
      <c r="S40" s="2"/>
      <c r="T40" s="2"/>
      <c r="U40" s="2"/>
      <c r="V40" s="2"/>
    </row>
    <row r="41" spans="1:22" ht="15.75" customHeight="1" x14ac:dyDescent="0.25">
      <c r="E41" s="2"/>
      <c r="F41" s="4"/>
      <c r="G41" s="4"/>
      <c r="H41" s="4"/>
      <c r="I41" s="4"/>
      <c r="J41" s="4"/>
      <c r="K41" s="4"/>
      <c r="L41" s="5"/>
      <c r="M41" s="5"/>
      <c r="N41" s="5"/>
      <c r="O41" s="2"/>
      <c r="P41" s="2"/>
      <c r="Q41" s="2"/>
      <c r="R41" s="2"/>
      <c r="S41" s="2"/>
      <c r="T41" s="2"/>
      <c r="U41" s="2"/>
      <c r="V41" s="2"/>
    </row>
    <row r="42" spans="1:22" ht="15.75" customHeight="1" x14ac:dyDescent="0.25">
      <c r="E42" s="2"/>
      <c r="F42" s="4"/>
      <c r="G42" s="4"/>
      <c r="H42" s="4"/>
      <c r="I42" s="4"/>
      <c r="J42" s="2"/>
      <c r="K42" s="2"/>
      <c r="L42" s="5"/>
      <c r="M42" s="5"/>
      <c r="N42" s="5"/>
      <c r="O42" s="2"/>
      <c r="P42" s="2"/>
      <c r="Q42" s="2"/>
      <c r="R42" s="2"/>
      <c r="S42" s="2"/>
      <c r="T42" s="2"/>
      <c r="U42" s="2"/>
      <c r="V42" s="2"/>
    </row>
    <row r="43" spans="1:22" ht="15.75" customHeight="1" x14ac:dyDescent="0.25">
      <c r="E43" s="2"/>
      <c r="F43" s="4"/>
      <c r="G43" s="4"/>
      <c r="H43" s="4"/>
      <c r="I43" s="4"/>
      <c r="J43" s="2"/>
      <c r="K43" s="2"/>
      <c r="L43" s="5"/>
      <c r="M43" s="5"/>
      <c r="N43" s="5"/>
      <c r="O43" s="2"/>
      <c r="P43" s="2"/>
      <c r="Q43" s="2"/>
      <c r="R43" s="2"/>
      <c r="S43" s="2"/>
      <c r="T43" s="2"/>
      <c r="U43" s="2"/>
      <c r="V43" s="2"/>
    </row>
    <row r="44" spans="1:22" ht="15.75" customHeight="1" x14ac:dyDescent="0.25">
      <c r="E44" s="2"/>
      <c r="F44" s="2"/>
      <c r="G44" s="2"/>
      <c r="H44" s="2"/>
      <c r="I44" s="5"/>
      <c r="J44" s="2"/>
      <c r="K44" s="2"/>
      <c r="L44" s="5"/>
      <c r="M44" s="5"/>
      <c r="N44" s="5"/>
      <c r="O44" s="2"/>
      <c r="P44" s="2"/>
      <c r="Q44" s="2"/>
      <c r="R44" s="2"/>
      <c r="S44" s="2"/>
      <c r="T44" s="2"/>
      <c r="U44" s="2"/>
      <c r="V44" s="2"/>
    </row>
    <row r="45" spans="1:22" ht="15.75" hidden="1" customHeight="1" outlineLevel="1" x14ac:dyDescent="0.25">
      <c r="E45" s="2"/>
      <c r="F45" s="2"/>
      <c r="G45" s="1448" t="s">
        <v>635</v>
      </c>
      <c r="H45" s="1447"/>
      <c r="I45" s="1448" t="s">
        <v>636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 ht="15.75" hidden="1" customHeight="1" outlineLevel="1" x14ac:dyDescent="0.25">
      <c r="E46" s="2"/>
      <c r="F46" s="2"/>
      <c r="G46" s="1437">
        <f>-H15</f>
        <v>-10434034.356800005</v>
      </c>
      <c r="H46" s="1443">
        <v>2026</v>
      </c>
      <c r="I46" s="1439">
        <f>-H14</f>
        <v>0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 ht="15.75" hidden="1" customHeight="1" outlineLevel="1" x14ac:dyDescent="0.25">
      <c r="E47" s="2"/>
      <c r="F47" s="2"/>
      <c r="G47" s="1437">
        <v>0</v>
      </c>
      <c r="H47" s="1443">
        <v>2027</v>
      </c>
      <c r="I47" s="1439">
        <v>0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ht="15.75" hidden="1" customHeight="1" outlineLevel="1" x14ac:dyDescent="0.25">
      <c r="E48" s="2"/>
      <c r="F48" s="2"/>
      <c r="G48" s="1437">
        <f>F88+G69+(F89*0.9)</f>
        <v>292152.96199040022</v>
      </c>
      <c r="H48" s="1443">
        <f>H47+1</f>
        <v>2028</v>
      </c>
      <c r="I48" s="1439">
        <f t="shared" ref="I48:I57" si="2">F69-G48</f>
        <v>-292152.96199040022</v>
      </c>
      <c r="J48" s="2"/>
      <c r="K48" s="2"/>
      <c r="L48" s="2"/>
      <c r="M48" s="2"/>
      <c r="N48" s="2"/>
      <c r="O48" s="4"/>
      <c r="P48" s="2"/>
      <c r="Q48" s="2"/>
      <c r="R48" s="2"/>
      <c r="S48" s="2"/>
      <c r="T48" s="2"/>
      <c r="U48" s="2"/>
      <c r="V48" s="2"/>
    </row>
    <row r="49" spans="7:18" s="2" customFormat="1" ht="15.75" hidden="1" customHeight="1" outlineLevel="1" x14ac:dyDescent="0.25">
      <c r="G49" s="1437">
        <f>G70+((F70-G70)*0.9)</f>
        <v>1913201.5872542416</v>
      </c>
      <c r="H49" s="1443">
        <f t="shared" ref="H49:H58" si="3">H48+1</f>
        <v>2029</v>
      </c>
      <c r="I49" s="1439">
        <f t="shared" si="2"/>
        <v>119830.98207891569</v>
      </c>
    </row>
    <row r="50" spans="7:18" s="2" customFormat="1" ht="15.75" hidden="1" customHeight="1" outlineLevel="1" x14ac:dyDescent="0.25">
      <c r="G50" s="1437">
        <f>G71+R54+(H83*I15)</f>
        <v>3787089.5485518118</v>
      </c>
      <c r="H50" s="1443">
        <f t="shared" si="3"/>
        <v>2030</v>
      </c>
      <c r="I50" s="1439">
        <f t="shared" si="2"/>
        <v>-2191573.0294289575</v>
      </c>
      <c r="L50" s="6"/>
      <c r="M50" s="6"/>
      <c r="N50" s="6"/>
    </row>
    <row r="51" spans="7:18" s="2" customFormat="1" ht="15.75" hidden="1" customHeight="1" outlineLevel="1" x14ac:dyDescent="0.25">
      <c r="G51" s="1437">
        <f t="shared" ref="G51:G57" si="4">F72*$I$15</f>
        <v>1186971.3290280362</v>
      </c>
      <c r="H51" s="1443">
        <f t="shared" si="3"/>
        <v>2031</v>
      </c>
      <c r="I51" s="1439">
        <f t="shared" si="2"/>
        <v>508701.9981548728</v>
      </c>
      <c r="L51" s="6"/>
      <c r="M51" s="6"/>
      <c r="N51" s="6"/>
    </row>
    <row r="52" spans="7:18" s="2" customFormat="1" ht="15.75" hidden="1" customHeight="1" outlineLevel="1" x14ac:dyDescent="0.25">
      <c r="G52" s="1437">
        <f t="shared" si="4"/>
        <v>1257081.0946700757</v>
      </c>
      <c r="H52" s="1443">
        <f t="shared" si="3"/>
        <v>2032</v>
      </c>
      <c r="I52" s="1439">
        <f t="shared" si="2"/>
        <v>538749.04057288985</v>
      </c>
    </row>
    <row r="53" spans="7:18" s="2" customFormat="1" ht="15.75" hidden="1" customHeight="1" outlineLevel="1" x14ac:dyDescent="0.25">
      <c r="G53" s="1437">
        <f t="shared" si="4"/>
        <v>21974179.273585323</v>
      </c>
      <c r="H53" s="1443">
        <f t="shared" si="3"/>
        <v>2033</v>
      </c>
      <c r="I53" s="1439">
        <f t="shared" si="2"/>
        <v>9417505.4029651396</v>
      </c>
      <c r="R53" s="1435">
        <f>$H$15-G48</f>
        <v>10141881.394809604</v>
      </c>
    </row>
    <row r="54" spans="7:18" s="2" customFormat="1" ht="15.75" hidden="1" customHeight="1" outlineLevel="1" x14ac:dyDescent="0.25">
      <c r="G54" s="1437">
        <f t="shared" si="4"/>
        <v>0</v>
      </c>
      <c r="H54" s="1443">
        <f t="shared" si="3"/>
        <v>2034</v>
      </c>
      <c r="I54" s="1439">
        <f t="shared" si="2"/>
        <v>0</v>
      </c>
      <c r="R54" s="1435">
        <f>R53-G49</f>
        <v>8228679.8075553626</v>
      </c>
    </row>
    <row r="55" spans="7:18" s="2" customFormat="1" ht="15.75" hidden="1" customHeight="1" outlineLevel="1" x14ac:dyDescent="0.25">
      <c r="G55" s="1437">
        <f t="shared" si="4"/>
        <v>0</v>
      </c>
      <c r="H55" s="1443">
        <f t="shared" si="3"/>
        <v>2035</v>
      </c>
      <c r="I55" s="1439">
        <f t="shared" si="2"/>
        <v>0</v>
      </c>
      <c r="R55" s="1435">
        <f>R54-G50</f>
        <v>4441590.2590035507</v>
      </c>
    </row>
    <row r="56" spans="7:18" s="2" customFormat="1" ht="15.75" hidden="1" customHeight="1" outlineLevel="1" x14ac:dyDescent="0.25">
      <c r="G56" s="1437">
        <f t="shared" si="4"/>
        <v>0</v>
      </c>
      <c r="H56" s="1443">
        <f t="shared" si="3"/>
        <v>2036</v>
      </c>
      <c r="I56" s="1439">
        <f t="shared" si="2"/>
        <v>0</v>
      </c>
    </row>
    <row r="57" spans="7:18" s="2" customFormat="1" ht="15.75" hidden="1" customHeight="1" outlineLevel="1" x14ac:dyDescent="0.25">
      <c r="G57" s="1437">
        <f t="shared" si="4"/>
        <v>0</v>
      </c>
      <c r="H57" s="1443">
        <f t="shared" si="3"/>
        <v>2037</v>
      </c>
      <c r="I57" s="1439">
        <f t="shared" si="2"/>
        <v>0</v>
      </c>
    </row>
    <row r="58" spans="7:18" s="2" customFormat="1" ht="15.75" hidden="1" customHeight="1" outlineLevel="1" x14ac:dyDescent="0.25">
      <c r="G58" s="1440">
        <v>0</v>
      </c>
      <c r="H58" s="1444">
        <f t="shared" si="3"/>
        <v>2038</v>
      </c>
      <c r="I58" s="1441">
        <v>0</v>
      </c>
    </row>
    <row r="59" spans="7:18" s="2" customFormat="1" ht="15.75" hidden="1" customHeight="1" outlineLevel="1" x14ac:dyDescent="0.25">
      <c r="G59" s="1445">
        <f>SUM(G47:G58)/-G46</f>
        <v>2.914565426484419</v>
      </c>
      <c r="I59" s="1445" t="e">
        <f>SUM(I47:I58)/-I46</f>
        <v>#DIV/0!</v>
      </c>
    </row>
    <row r="60" spans="7:18" s="2" customFormat="1" ht="15.75" hidden="1" customHeight="1" outlineLevel="1" x14ac:dyDescent="0.25">
      <c r="G60" s="1446">
        <f>IRR(G46:G58)</f>
        <v>0.19464458941862928</v>
      </c>
      <c r="H60" s="1442"/>
      <c r="I60" s="1446">
        <f>IRR(I46:I58)</f>
        <v>0.61448832240625695</v>
      </c>
    </row>
    <row r="61" spans="7:18" s="2" customFormat="1" ht="15.75" hidden="1" customHeight="1" outlineLevel="1" x14ac:dyDescent="0.25"/>
    <row r="62" spans="7:18" s="2" customFormat="1" ht="15.75" hidden="1" customHeight="1" outlineLevel="1" x14ac:dyDescent="0.25"/>
    <row r="63" spans="7:18" s="2" customFormat="1" ht="15.75" hidden="1" customHeight="1" outlineLevel="1" x14ac:dyDescent="0.25"/>
    <row r="64" spans="7:18" s="2" customFormat="1" ht="15.75" hidden="1" customHeight="1" outlineLevel="1" x14ac:dyDescent="0.25"/>
    <row r="65" spans="4:11" s="2" customFormat="1" ht="15.75" hidden="1" customHeight="1" outlineLevel="1" x14ac:dyDescent="0.25"/>
    <row r="66" spans="4:11" s="2" customFormat="1" ht="15.75" hidden="1" customHeight="1" outlineLevel="1" x14ac:dyDescent="0.25"/>
    <row r="67" spans="4:11" s="2" customFormat="1" ht="15.75" hidden="1" customHeight="1" outlineLevel="1" x14ac:dyDescent="0.25">
      <c r="F67" s="4"/>
    </row>
    <row r="68" spans="4:11" s="2" customFormat="1" ht="15.75" hidden="1" customHeight="1" outlineLevel="1" x14ac:dyDescent="0.25">
      <c r="D68" s="131"/>
      <c r="E68" s="131" t="s">
        <v>20</v>
      </c>
      <c r="F68" s="131" t="s">
        <v>7</v>
      </c>
      <c r="G68" s="131" t="s">
        <v>757</v>
      </c>
      <c r="H68" s="131" t="s">
        <v>421</v>
      </c>
      <c r="I68" s="131" t="s">
        <v>758</v>
      </c>
      <c r="J68" s="131" t="s">
        <v>759</v>
      </c>
      <c r="K68" s="131"/>
    </row>
    <row r="69" spans="4:11" s="2" customFormat="1" ht="15.75" hidden="1" customHeight="1" outlineLevel="1" x14ac:dyDescent="0.25">
      <c r="D69" s="1432">
        <f>'Sale - Refinance'!H6</f>
        <v>2027</v>
      </c>
      <c r="E69" s="1430">
        <f>'Operating Proforma'!G8</f>
        <v>0.1</v>
      </c>
      <c r="F69" s="149">
        <f t="shared" ref="F69:F79" si="5">F27</f>
        <v>0</v>
      </c>
      <c r="G69" s="149">
        <f>G24</f>
        <v>834722.74854400044</v>
      </c>
      <c r="H69" s="149">
        <v>0</v>
      </c>
      <c r="I69" s="149">
        <f>IF($F27&lt;0,0,IF(AND($E$19="Investor First",$E$24="No",$F27&gt;$H$15),$H$15+(($F27-$H$15)*$I$15),IF(AND($E$19="Investor First",$E$24="No",$F27&lt;$H$15),$F27,IF(AND($E$19="Investor First",$E$24="Yes",$G27=0,$F27&gt;$G$24,$F27&gt;$H$15,$F27&gt;$G$24+$H$15),($G$24+$H$15)+(($F27-($G$24+$H$15))*$I$15),IF(AND($E$19="Investor First",$E$24="Yes",$G27=0,$F27&gt;$G$24,$F27&gt;$H$15,$F27&lt;$G$24+$H$15),$G$24+($F27-$G$24),IF(AND($E$19="Investor First",$E$24="Yes",$G27=0,$F27&gt;$G$24,$F27&lt;$H$15),$F27,IF(AND($E$19="Investor First",$E$24="Yes",$G27=0,$F27&lt;$G$24,$F27&gt;$H$15),$F27,IF(AND($E$19="Investor First",$E$24="Yes",$G27=0,$F27&lt;$G$24,$F27&lt;$H$15),$F27,IF(AND($E$19="Investor First %",$E$24="No",$F27&gt;$H$15),$H$15+(($F27-$H$15)*$I$15),IF(AND($E$19="Investor First %",$E$24="No",$F27&lt;$H$15),$F27*$F$19,IF(AND($E$19="Investor First %",$E$24="Yes",$G27=0,$F27&gt;$G$24,$F27&gt;$H$15,$F27&gt;$G$15+$H$15),($G$24+$H$15)+(($F27-($G$24+$H$15))*$I$15),IF(AND($E$19="Investor First %",$E$24="Yes",$G27=0,$F27&gt;$G$24,$F27&gt;$H$15,$F27&lt;$G$15+$H$15),$G$24+(($F27-$G$24)*$F$19),IF(AND($E$19="Investor First %",$E$24="Yes",$G27=0,$F27&gt;$G$24,$F27&lt;$H$15),$G$24+(($F27-$G$24)*$F$19),IF(AND($E$19="Investor First %",$E$24="Yes",$G27=0,$F27&lt;$G$24,$F27&gt;$H$15),$F27,IF(AND($E$19="Investor First %",$E$24="Yes",$G27=0,$F27&lt;$G$24,$F27&lt;$H$15),$F27,IF(AND($E$19="Ownership %",$E$24="Yes",$G27&gt;0,$F27&gt;$G27+$G$24),(($G27+$G$24)+($F27-($G27+$G$24))*$I$15),IF(AND($E$19="Ownership %",$E$24="Yes",$G27&gt;0,$F27&lt;$G27+$G$24),$F27,IF(AND($E$19="Ownership %",$E$24="Yes",$G27=0,$F27&gt;$G$24),$G$24+(($F27-$G$24)*$I$15),IF(AND($E$19="Ownership %",$E$24="Yes",$G27=0,$F27&lt;$G$24),$F27,IF(AND($E$19="Ownership %",$E$24="No"),$F27*$I$15))))))))))))))))))))</f>
        <v>0</v>
      </c>
      <c r="J69" s="149">
        <f>IF(I69&gt;$H$15,0,IF(I69&lt;$H$15,$H$15-I69))</f>
        <v>10434034.356800005</v>
      </c>
    </row>
    <row r="70" spans="4:11" s="2" customFormat="1" ht="15.75" hidden="1" customHeight="1" outlineLevel="1" x14ac:dyDescent="0.25">
      <c r="D70" s="1432">
        <f>'Sale - Refinance'!I6</f>
        <v>2028</v>
      </c>
      <c r="E70" s="1431">
        <f>'Operating Proforma'!H8</f>
        <v>1</v>
      </c>
      <c r="F70" s="149">
        <f t="shared" si="5"/>
        <v>2033032.5693331573</v>
      </c>
      <c r="G70" s="149">
        <f>IF(J69=0,0,J69*$G$23)</f>
        <v>834722.74854400044</v>
      </c>
      <c r="H70" s="149">
        <f>IF($E$24="No",0,IF($E70&gt;'Sale - Refinance'!$E$14,0,IF(AND(H69=0,F69&lt;$G69),($G69-F69),IF(AND(F69&gt;$G69,H69=0),0,IF(AND(H69&gt;0,F69&lt;$G69),($G69+$H69)-$F69,IF(AND(H69&gt;0,F69&gt;$G69,F69&gt;($G69+H69)),0,IF(AND(G27&gt;0,F69&gt;$G69,F69&lt;($G69+G27)),($G69+G27)-F69)))))))</f>
        <v>834722.74854400044</v>
      </c>
      <c r="I70" s="149">
        <f>IF($F28&lt;0,0,IF(AND($E$19="Investor First",$E$24="No",SUM($H$27:H27)&gt;$H$15),F28*$I$15,IF(AND($E$19="Investor First",$E$24="No",SUM($H$27:H27)&lt;$H$15,SUM($H$27:H27)+F28&gt;$H$15),$H$15-SUM($H$27:H27)+((F28-($H$15-SUM($H$27:H27)))*$I$15),IF(AND($E$19="Investor First",$E$24="No",SUM($H$27:H27)+F28&lt;$H$15),$F28,IF(AND($E$19="Investor First",$E$24="Yes",$G28=0,$F28&gt;$G$24,SUM($H$27:H27)&gt;$H$15),$G$24+(($F28-$G$24)*$I$15),IF(AND($E$19="Investor First",$E$24="Yes",$G28=0,$F28&gt;$G$24,SUM($H$27:H27)&lt;$H$15,SUM($H$27:H27)+$F28&gt;$H$15,$F28&gt;$G$24+($H$15-SUM($H$27:H27))),(($H$15-SUM($H$27:H27))+$G$24)+(($F28-($G$24+($H$15-SUM($H$27:H27))))*$I$15),IF(AND($E$19="Investor First",$E$24="Yes",$G28=0,$F28&gt;$G$24,SUM($H$27:H27)&lt;$H$15,SUM($H$27:H27)+$F28&gt;$H$15,$F28&lt;$G$24+($H$15-SUM($H$27:H27))),$F28,IF(AND($E$19="Investor First",$E$24="Yes",$G28=0,$F28&gt;$G$24,SUM($H$27:H27)+F28&lt;$H$15),$G$24+($F28-$G$24),IF(AND($E$19="Investor First",$E$24="Yes",$G28=0,$F28&lt;$G$24,SUM($H$27:H27)&gt;$H$15),$F28,IF(AND($E$19="Investor First",$E$24="Yes",$G28=0,$F28&lt;$G$24,SUM($H$27:H27)&lt;$H$15,SUM($H$27:H27)+F28&gt;$H$15),$F28,IF(AND($E$19="Investor First",$E$24="Yes",$G28=0,$F28&lt;$G$24,SUM($H$27:H27)+F28&lt;$H$15),$F28,IF(AND($E$19="Investor First",$E$24="Yes",$G28&gt;0,$F28&gt;$G$24+$G28,SUM($H$27:H27)&gt;$H$15),($G$24+$G28)+(($F28-($G$24+$G28))*$I$15),IF(AND($E$19="Investor First",$E$24="Yes",$G28&gt;0,$F28&gt;$G$24+$G28,SUM($H$27:H27)&lt;$H$15,SUM($H$27:H27)+$F28&gt;$H$15,$F28&gt;($G$24+$G28)+($F28-($H$15-SUM($H$27:H27)))),(($G$24+$G28)+($H$15-SUM($H$27:H27)))+((F28-(($G$24+$G28)+($H$15-SUM($H$27:H27))))*$I$15),IF(AND($E$19="Investor First",$E$24="Yes",$G28&gt;0,$F28&gt;$G$24+$G28,SUM($H$27:H27)&lt;$H$15,SUM($H$27:H27)+$F28&gt;$H$15,$F28&lt;($G$24+$G28)+($F28-($H$15-SUM($H$27:H27)))),$F28,IF(AND($E$19="Investor First",$E$24="Yes",$G28&gt;0,$F28&gt;$G$24+$G28,SUM($H$27:H27)+F28&lt;$H$15),($G$24+$G28)+($F28-($G$24+$G28)),IF(AND($E$19="Investor First",$E$24="Yes",$G28&gt;0,$F28&lt;$G$24+$G28,SUM($H$27:H27)&gt;$H$15),F28,IF(AND($E$19="Investor First",$E$24="Yes",$G28&gt;0,$F28&lt;$G$24+$G28,SUM($H$27:H27)&lt;$H$15,SUM($H$27:H27)+F28&gt;$H$15),$F28,IF(AND($E$19="Investor First",$E$24="Yes",$G28&gt;0,$F28&lt;$G$24+$G28,SUM($H$27:H27)+F28&lt;$H$15),$F28,IF(AND($E$19="Investor First %",$E$24="No",SUM($H$27:H27)&gt;$H$15),F28*$I$15,IF(AND($E$19="Investor First %",$E$24="No",SUM($H$27:H27)&lt;$H$15,SUM($H$27:H27)+(F28*$F$19)&gt;$H$15),$H$15-SUM($H$27:H27)+((F28-($H$15-SUM($H$27:H27)))*$I$15),IF(AND($E$19="Investor First %",$E$24="No",SUM($H$27:H27)+(F28*$F$19)&lt;$H$15),$F28*$F$19,IF(AND($E$19="Investor First %",$E$24="Yes",$G28=0,$F28&gt;$G$24,SUM($H$27:H27)&gt;$H$15),$G$24+(($F28-$G$24)*$I$15),IF(AND($E$19="Investor First %",$E$24="Yes",$G28=0,$F28&gt;$G$24,SUM($H$27:H27)&lt;$H$15,SUM($H$27:H27)+($F28*$F$19)&gt;$H$15,$F28&gt;$G$24+($H$15-SUM($H$27:H27))),(($H$15-SUM($H$27:H27))+$G$24)+(($F28-($G$24+($H$15-SUM($H$27:H27))))*$I$15),IF(AND($E$19="Investor First %",$E$24="Yes",$G28=0,$F28&gt;$G$24,SUM($H$27:H27)&lt;$H$15,SUM($H$27:H27)+($F28*$F$19)&gt;$H$15,$F28&lt;$G$24+($H$15-SUM($H$27:H27))),$G$24+(($F28-$G$24)*$F$19),IF(AND($E$19="Investor First %",$E$24="Yes",$G28=0,$F28&gt;$G$24,SUM($H$27:H27)+(F28*$F$19)&lt;$H$15),$G$24+(($F28-$G$24)*$F$19),IF(AND($E$19="Investor First %",$E$24="Yes",$G28=0,$F28&lt;$G$24,SUM($H$27:H27)&gt;$H$15),$F28,IF(AND($E$19="Investor First %",$E$24="Yes",$G28=0,$F28&lt;$G$24,SUM($H$27:H27)&lt;$H$15,SUM($H$27:H27)+(F28*$F$19)&gt;$H$15),$F28,IF(AND($E$19="Investor First %",$E$24="Yes",$G28=0,$F28&lt;$G$24,SUM($H$27:H27)+(F28*$F$19)&lt;$H$15),$F28,IF(AND($E$19="Investor First %",$E$24="Yes",$G28&gt;0,$F28&gt;$G$24+$G28,SUM($H$27:H27)&gt;$H$15),($G$24+$G28)+(($F28-($G$24+$G28))*$I$15),IF(AND($E$19="Investor First %",$E$24="Yes",$G28&gt;0,$F28&gt;$G$24+$G28,SUM($H$27:H27)&lt;$H$15,SUM($H$27:H27)+(F28*$F$19)&gt;$H$15,$F28&gt;($G$24+$G28)+($F28-($H$15-SUM($H$27:H27)))),(($G$24+$G28)+($H$15-SUM($H$27:H27)))+((F28-(($G$24+$G28)+($H$15-SUM($H$27:H27))))*$I$15),IF(AND($E$19="Investor First %",$E$24="Yes",$G28&gt;0,$F28&gt;$G$24+$G28,SUM($H$27:H27)&lt;$H$15,SUM($H$27:H27)+(F28*$F$19)&gt;$H$15,$F28&lt;($G$24+$G28)+($F28-($H$15-SUM($H$27:H27)))),$F28,IF(AND($E$19="Investor First %",$E$24="Yes",$G28&gt;0,$F28&gt;$G$24+$G28,SUM($H$27:H27)+(F28*$F$19)&lt;$H$15),($G$24+$G28)+(($F28-($G$24+$G28))*$F$19),IF(AND($E$19="Investor First %",$E$24="Yes",$G28&gt;0,$F28&lt;$G$24+$G28,SUM($H$27:H27)&gt;$H$15),$F28,IF(AND($E$19="Investor First %",$E$24="Yes",$G28&gt;0,$F28&lt;$G$24+$G28,SUM($H$27:H27)&lt;$H$15,SUM($H$27:H27)+(F28*$F$19)&gt;$H$15),$F28,IF(AND($E$19="Investor First %",$E$24="Yes",$G28&gt;0,$F28&lt;$G$24+$G28,SUM($H$27:H27)+(F28*$F$19)&lt;$H$15),$F28,IF(AND($E$19="Ownership %",$E$24="Yes",$G28&gt;0,$F28&gt;$G28+$G$24),(($G28+$G$24)+($F28-($G28+$G$24))*$I$15),IF(AND($E$19="Ownership %",$E$24="Yes",$G28&gt;0,$F28&lt;$G28+$G$24),$F28,IF(AND($E$19="Ownership %",$E$24="Yes",$G28=0,$F28&gt;$G$24),$G$24+(($F28-$G$24)*$I$15),IF(AND($E$19="Ownership %",$E$24="Yes",$G28=0,$F28&lt;$G$24),$F28,IF(AND($E$19="Ownership %",$E$24="No"),F28*$I$15))))))))))))))))))))))))))))))))))))))))</f>
        <v>2033032.5693331573</v>
      </c>
      <c r="J70" s="149">
        <f>IF(I70&gt;$J69,0,IF(I70&lt;$J69,$J69-I70))</f>
        <v>8401001.7874668483</v>
      </c>
    </row>
    <row r="71" spans="4:11" s="2" customFormat="1" ht="15.75" hidden="1" customHeight="1" outlineLevel="1" x14ac:dyDescent="0.25">
      <c r="D71" s="1432">
        <f>'Sale - Refinance'!J6</f>
        <v>2029</v>
      </c>
      <c r="E71" s="1431">
        <f>E70+1</f>
        <v>2</v>
      </c>
      <c r="F71" s="149">
        <f t="shared" si="5"/>
        <v>1595516.5191228543</v>
      </c>
      <c r="G71" s="149">
        <f t="shared" ref="G71:G73" si="6">IF(J70=0,0,J70*$G$23)</f>
        <v>672080.14299734787</v>
      </c>
      <c r="H71" s="149">
        <f>IF($E$24="No",0,IF($E71&gt;'Sale - Refinance'!$E$14,0,IF(AND(H70=0,F70&lt;$G70),($G70-F70),IF(AND(F70&gt;$G70,H70=0),0,IF(AND(H70&gt;0,F70&lt;$G70),($G70+$H70)-$F70,IF(AND(H70&gt;0,F70&gt;$G70,F70&gt;($G70+H70)),0,IF(AND(G28&gt;0,F70&gt;$G70,F70&lt;($G70+G28)),($G70+G28)-F70)))))))</f>
        <v>0</v>
      </c>
      <c r="I71" s="149">
        <f>IF($F29&lt;0,0,IF(AND($E$19="Investor First",$E$24="No",SUM($H$27:H28)&gt;$H$15),F29*$I$15,IF(AND($E$19="Investor First",$E$24="No",SUM($H$27:H28)&lt;$H$15,SUM($H$27:H28)+F29&gt;$H$15),$H$15-SUM($H$27:H28)+((F29-($H$15-SUM($H$27:H28)))*$I$15),IF(AND($E$19="Investor First",$E$24="No",SUM($H$27:H28)+F29&lt;$H$15),$F29,IF(AND($E$19="Investor First",$E$24="Yes",$G29=0,$F29&gt;$G$24,SUM($H$27:H28)&gt;$H$15),$G$24+(($F29-$G$24)*$I$15),IF(AND($E$19="Investor First",$E$24="Yes",$G29=0,$F29&gt;$G$24,SUM($H$27:H28)&lt;$H$15,SUM($H$27:H28)+$F29&gt;$H$15,$F29&gt;$G$24+($H$15-SUM($H$27:H28))),(($H$15-SUM($H$27:H28))+$G$24)+(($F29-($G$24+($H$15-SUM($H$27:H28))))*$I$15),IF(AND($E$19="Investor First",$E$24="Yes",$G29=0,$F29&gt;$G$24,SUM($H$27:H28)&lt;$H$15,SUM($H$27:H28)+$F29&gt;$H$15,$F29&lt;$G$24+($H$15-SUM($H$27:H28))),$F29,IF(AND($E$19="Investor First",$E$24="Yes",$G29=0,$F29&gt;$G$24,SUM($H$27:H28)+F29&lt;$H$15),$G$24+($F29-$G$24),IF(AND($E$19="Investor First",$E$24="Yes",$G29=0,$F29&lt;$G$24,SUM($H$27:H28)&gt;$H$15),$F29,IF(AND($E$19="Investor First",$E$24="Yes",$G29=0,$F29&lt;$G$24,SUM($H$27:H28)&lt;$H$15,SUM($H$27:H28)+F29&gt;$H$15),$F29,IF(AND($E$19="Investor First",$E$24="Yes",$G29=0,$F29&lt;$G$24,SUM($H$27:H28)+F29&lt;$H$15),$F29,IF(AND($E$19="Investor First",$E$24="Yes",$G29&gt;0,$F29&gt;$G$24+$G29,SUM($H$27:H28)&gt;$H$15),($G$24+$G29)+(($F29-($G$24+$G29))*$I$15),IF(AND($E$19="Investor First",$E$24="Yes",$G29&gt;0,$F29&gt;$G$24+$G29,SUM($H$27:H28)&lt;$H$15,SUM($H$27:H28)+$F29&gt;$H$15,$F29&gt;($G$24+$G29)+($F29-($H$15-SUM($H$27:H28)))),(($G$24+$G29)+($H$15-SUM($H$27:H28)))+((F29-(($G$24+$G29)+($H$15-SUM($H$27:H28))))*$I$15),IF(AND($E$19="Investor First",$E$24="Yes",$G29&gt;0,$F29&gt;$G$24+$G29,SUM($H$27:H28)&lt;$H$15,SUM($H$27:H28)+$F29&gt;$H$15,$F29&lt;($G$24+$G29)+($F29-($H$15-SUM($H$27:H28)))),$F29,IF(AND($E$19="Investor First",$E$24="Yes",$G29&gt;0,$F29&gt;$G$24+$G29,SUM($H$27:H28)+F29&lt;$H$15),($G$24+$G29)+($F29-($G$24+$G29)),IF(AND($E$19="Investor First",$E$24="Yes",$G29&gt;0,$F29&lt;$G$24+$G29,SUM($H$27:H28)&gt;$H$15),F29,IF(AND($E$19="Investor First",$E$24="Yes",$G29&gt;0,$F29&lt;$G$24+$G29,SUM($H$27:H28)&lt;$H$15,SUM($H$27:H28)+F29&gt;$H$15),$F29,IF(AND($E$19="Investor First",$E$24="Yes",$G29&gt;0,$F29&lt;$G$24+$G29,SUM($H$27:H28)+F29&lt;$H$15),$F29,IF(AND($E$19="Investor First %",$E$24="No",SUM($H$27:H28)&gt;$H$15),F29*$I$15,IF(AND($E$19="Investor First %",$E$24="No",SUM($H$27:H28)&lt;$H$15,SUM($H$27:H28)+(F29*$F$19)&gt;$H$15),$H$15-SUM($H$27:H28)+((F29-($H$15-SUM($H$27:H28)))*$I$15),IF(AND($E$19="Investor First %",$E$24="No",SUM($H$27:H28)+(F29*$F$19)&lt;$H$15),$F29*$F$19,IF(AND($E$19="Investor First %",$E$24="Yes",$G29=0,$F29&gt;$G$24,SUM($H$27:H28)&gt;$H$15),$G$24+(($F29-$G$24)*$I$15),IF(AND($E$19="Investor First %",$E$24="Yes",$G29=0,$F29&gt;$G$24,SUM($H$27:H28)&lt;$H$15,SUM($H$27:H28)+($F29*$F$19)&gt;$H$15,$F29&gt;$G$24+($H$15-SUM($H$27:H28))),(($H$15-SUM($H$27:H28))+$G$24)+(($F29-($G$24+($H$15-SUM($H$27:H28))))*$I$15),IF(AND($E$19="Investor First %",$E$24="Yes",$G29=0,$F29&gt;$G$24,SUM($H$27:H28)&lt;$H$15,SUM($H$27:H28)+($F29*$F$19)&gt;$H$15,$F29&lt;$G$24+($H$15-SUM($H$27:H28))),$G$24+(($F29-$G$24)*$F$19),IF(AND($E$19="Investor First %",$E$24="Yes",$G29=0,$F29&gt;$G$24,SUM($H$27:H28)+(F29*$F$19)&lt;$H$15),$G$24+(($F29-$G$24)*$F$19),IF(AND($E$19="Investor First %",$E$24="Yes",$G29=0,$F29&lt;$G$24,SUM($H$27:H28)&gt;$H$15),$F29,IF(AND($E$19="Investor First %",$E$24="Yes",$G29=0,$F29&lt;$G$24,SUM($H$27:H28)&lt;$H$15,SUM($H$27:H28)+(F29*$F$19)&gt;$H$15),$F29,IF(AND($E$19="Investor First %",$E$24="Yes",$G29=0,$F29&lt;$G$24,SUM($H$27:H28)+(F29*$F$19)&lt;$H$15),$F29,IF(AND($E$19="Investor First %",$E$24="Yes",$G29&gt;0,$F29&gt;$G$24+$G29,SUM($H$27:H28)&gt;$H$15),($G$24+$G29)+(($F29-($G$24+$G29))*$I$15),IF(AND($E$19="Investor First %",$E$24="Yes",$G29&gt;0,$F29&gt;$G$24+$G29,SUM($H$27:H28)&lt;$H$15,SUM($H$27:H28)+(F29*$F$19)&gt;$H$15,$F29&gt;($G$24+$G29)+($F29-($H$15-SUM($H$27:H28)))),(($G$24+$G29)+($H$15-SUM($H$27:H28)))+((F29-(($G$24+$G29)+($H$15-SUM($H$27:H28))))*$I$15),IF(AND($E$19="Investor First %",$E$24="Yes",$G29&gt;0,$F29&gt;$G$24+$G29,SUM($H$27:H28)&lt;$H$15,SUM($H$27:H28)+(F29*$F$19)&gt;$H$15,$F29&lt;($G$24+$G29)+($F29-($H$15-SUM($H$27:H28)))),$F29,IF(AND($E$19="Investor First %",$E$24="Yes",$G29&gt;0,$F29&gt;$G$24+$G29,SUM($H$27:H28)+(F29*$F$19)&lt;$H$15),($G$24+$G29)+(($F29-($G$24+$G29))*$F$19),IF(AND($E$19="Investor First %",$E$24="Yes",$G29&gt;0,$F29&lt;$G$24+$G29,SUM($H$27:H28)&gt;$H$15),$F29,IF(AND($E$19="Investor First %",$E$24="Yes",$G29&gt;0,$F29&lt;$G$24+$G29,SUM($H$27:H28)&lt;$H$15,SUM($H$27:H28)+(F29*$F$19)&gt;$H$15),$F29,IF(AND($E$19="Investor First %",$E$24="Yes",$G29&gt;0,$F29&lt;$G$24+$G29,SUM($H$27:H28)+(F29*$F$19)&lt;$H$15),$F29,IF(AND($E$19="Ownership %",$E$24="Yes",$G29&gt;0,$F29&gt;$G29+$G$24),(($G29+$G$24)+($F29-($G29+$G$24))*$I$15),IF(AND($E$19="Ownership %",$E$24="Yes",$G29&gt;0,$F29&lt;$G29+$G$24),$F29,IF(AND($E$19="Ownership %",$E$24="Yes",$G29=0,$F29&gt;$G$24),$G$24+(($F29-$G$24)*$I$15),IF(AND($E$19="Ownership %",$E$24="Yes",$G29=0,$F29&lt;$G$24),$F29,IF(AND($E$19="Ownership %",$E$24="No"),F29*$I$15))))))))))))))))))))))))))))))))))))))))</f>
        <v>1595516.5191228543</v>
      </c>
      <c r="J71" s="149">
        <f>IF(I71&gt;$J70,0,IF(I71&lt;$J70,$J70-I71))</f>
        <v>6805485.2683439944</v>
      </c>
    </row>
    <row r="72" spans="4:11" s="2" customFormat="1" ht="15.75" hidden="1" customHeight="1" outlineLevel="1" x14ac:dyDescent="0.25">
      <c r="D72" s="1432">
        <f>'Sale - Refinance'!K6</f>
        <v>2030</v>
      </c>
      <c r="E72" s="1431">
        <f t="shared" ref="E72:E78" si="7">E71+1</f>
        <v>3</v>
      </c>
      <c r="F72" s="149">
        <f t="shared" si="5"/>
        <v>1695673.327182909</v>
      </c>
      <c r="G72" s="149">
        <f t="shared" si="6"/>
        <v>544438.8214675195</v>
      </c>
      <c r="H72" s="149">
        <f>IF($E$24="No",0,IF($E72&gt;'Sale - Refinance'!$E$14,0,IF(AND(H71=0,F71&lt;$G71),($G71-F71),IF(AND(F71&gt;$G71,H71=0),0,IF(AND(H71&gt;0,F71&lt;$G71),($G71+$H71)-$F71,IF(AND(H71&gt;0,F71&gt;$G71,F71&gt;($G71+H71)),0,IF(AND(G29&gt;0,F71&gt;$G71,F71&lt;($G71+G29)),($G71+G29)-F71)))))))</f>
        <v>0</v>
      </c>
      <c r="I72" s="149">
        <f>IF($F30&lt;0,0,IF(AND($E$19="Investor First",$E$24="No",SUM($H$27:H29)&gt;$H$15),F30*$I$15,IF(AND($E$19="Investor First",$E$24="No",SUM($H$27:H29)&lt;$H$15,SUM($H$27:H29)+F30&gt;$H$15),$H$15-SUM($H$27:H29)+((F30-($H$15-SUM($H$27:H29)))*$I$15),IF(AND($E$19="Investor First",$E$24="No",SUM($H$27:H29)+F30&lt;$H$15),$F30,IF(AND($E$19="Investor First",$E$24="Yes",$G30=0,$F30&gt;$G$24,SUM($H$27:H29)&gt;$H$15),$G$24+(($F30-$G$24)*$I$15),IF(AND($E$19="Investor First",$E$24="Yes",$G30=0,$F30&gt;$G$24,SUM($H$27:H29)&lt;$H$15,SUM($H$27:H29)+$F30&gt;$H$15,$F30&gt;$G$24+($H$15-SUM($H$27:H29))),(($H$15-SUM($H$27:H29))+$G$24)+(($F30-($G$24+($H$15-SUM($H$27:H29))))*$I$15),IF(AND($E$19="Investor First",$E$24="Yes",$G30=0,$F30&gt;$G$24,SUM($H$27:H29)&lt;$H$15,SUM($H$27:H29)+$F30&gt;$H$15,$F30&lt;$G$24+($H$15-SUM($H$27:H29))),$F30,IF(AND($E$19="Investor First",$E$24="Yes",$G30=0,$F30&gt;$G$24,SUM($H$27:H29)+F30&lt;$H$15),$G$24+($F30-$G$24),IF(AND($E$19="Investor First",$E$24="Yes",$G30=0,$F30&lt;$G$24,SUM($H$27:H29)&gt;$H$15),$F30,IF(AND($E$19="Investor First",$E$24="Yes",$G30=0,$F30&lt;$G$24,SUM($H$27:H29)&lt;$H$15,SUM($H$27:H29)+F30&gt;$H$15),$F30,IF(AND($E$19="Investor First",$E$24="Yes",$G30=0,$F30&lt;$G$24,SUM($H$27:H29)+F30&lt;$H$15),$F30,IF(AND($E$19="Investor First",$E$24="Yes",$G30&gt;0,$F30&gt;$G$24+$G30,SUM($H$27:H29)&gt;$H$15),($G$24+$G30)+(($F30-($G$24+$G30))*$I$15),IF(AND($E$19="Investor First",$E$24="Yes",$G30&gt;0,$F30&gt;$G$24+$G30,SUM($H$27:H29)&lt;$H$15,SUM($H$27:H29)+$F30&gt;$H$15,$F30&gt;($G$24+$G30)+($F30-($H$15-SUM($H$27:H29)))),(($G$24+$G30)+($H$15-SUM($H$27:H29)))+((F30-(($G$24+$G30)+($H$15-SUM($H$27:H29))))*$I$15),IF(AND($E$19="Investor First",$E$24="Yes",$G30&gt;0,$F30&gt;$G$24+$G30,SUM($H$27:H29)&lt;$H$15,SUM($H$27:H29)+$F30&gt;$H$15,$F30&lt;($G$24+$G30)+($F30-($H$15-SUM($H$27:H29)))),$F30,IF(AND($E$19="Investor First",$E$24="Yes",$G30&gt;0,$F30&gt;$G$24+$G30,SUM($H$27:H29)+F30&lt;$H$15),($G$24+$G30)+($F30-($G$24+$G30)),IF(AND($E$19="Investor First",$E$24="Yes",$G30&gt;0,$F30&lt;$G$24+$G30,SUM($H$27:H29)&gt;$H$15),F30,IF(AND($E$19="Investor First",$E$24="Yes",$G30&gt;0,$F30&lt;$G$24+$G30,SUM($H$27:H29)&lt;$H$15,SUM($H$27:H29)+F30&gt;$H$15),$F30,IF(AND($E$19="Investor First",$E$24="Yes",$G30&gt;0,$F30&lt;$G$24+$G30,SUM($H$27:H29)+F30&lt;$H$15),$F30,IF(AND($E$19="Investor First %",$E$24="No",SUM($H$27:H29)&gt;$H$15),F30*$I$15,IF(AND($E$19="Investor First %",$E$24="No",SUM($H$27:H29)&lt;$H$15,SUM($H$27:H29)+(F30*$F$19)&gt;$H$15),$H$15-SUM($H$27:H29)+((F30-($H$15-SUM($H$27:H29)))*$I$15),IF(AND($E$19="Investor First %",$E$24="No",SUM($H$27:H29)+(F30*$F$19)&lt;$H$15),$F30*$F$19,IF(AND($E$19="Investor First %",$E$24="Yes",$G30=0,$F30&gt;$G$24,SUM($H$27:H29)&gt;$H$15),$G$24+(($F30-$G$24)*$I$15),IF(AND($E$19="Investor First %",$E$24="Yes",$G30=0,$F30&gt;$G$24,SUM($H$27:H29)&lt;$H$15,SUM($H$27:H29)+($F30*$F$19)&gt;$H$15,$F30&gt;$G$24+($H$15-SUM($H$27:H29))),(($H$15-SUM($H$27:H29))+$G$24)+(($F30-($G$24+($H$15-SUM($H$27:H29))))*$I$15),IF(AND($E$19="Investor First %",$E$24="Yes",$G30=0,$F30&gt;$G$24,SUM($H$27:H29)&lt;$H$15,SUM($H$27:H29)+($F30*$F$19)&gt;$H$15,$F30&lt;$G$24+($H$15-SUM($H$27:H29))),$G$24+(($F30-$G$24)*$F$19),IF(AND($E$19="Investor First %",$E$24="Yes",$G30=0,$F30&gt;$G$24,SUM($H$27:H29)+(F30*$F$19)&lt;$H$15),$G$24+(($F30-$G$24)*$F$19),IF(AND($E$19="Investor First %",$E$24="Yes",$G30=0,$F30&lt;$G$24,SUM($H$27:H29)&gt;$H$15),$F30,IF(AND($E$19="Investor First %",$E$24="Yes",$G30=0,$F30&lt;$G$24,SUM($H$27:H29)&lt;$H$15,SUM($H$27:H29)+(F30*$F$19)&gt;$H$15),$F30,IF(AND($E$19="Investor First %",$E$24="Yes",$G30=0,$F30&lt;$G$24,SUM($H$27:H29)+(F30*$F$19)&lt;$H$15),$F30,IF(AND($E$19="Investor First %",$E$24="Yes",$G30&gt;0,$F30&gt;$G$24+$G30,SUM($H$27:H29)&gt;$H$15),($G$24+$G30)+(($F30-($G$24+$G30))*$I$15),IF(AND($E$19="Investor First %",$E$24="Yes",$G30&gt;0,$F30&gt;$G$24+$G30,SUM($H$27:H29)&lt;$H$15,SUM($H$27:H29)+(F30*$F$19)&gt;$H$15,$F30&gt;($G$24+$G30)+($F30-($H$15-SUM($H$27:H29)))),(($G$24+$G30)+($H$15-SUM($H$27:H29)))+((F30-(($G$24+$G30)+($H$15-SUM($H$27:H29))))*$I$15),IF(AND($E$19="Investor First %",$E$24="Yes",$G30&gt;0,$F30&gt;$G$24+$G30,SUM($H$27:H29)&lt;$H$15,SUM($H$27:H29)+(F30*$F$19)&gt;$H$15,$F30&lt;($G$24+$G30)+($F30-($H$15-SUM($H$27:H29)))),$F30,IF(AND($E$19="Investor First %",$E$24="Yes",$G30&gt;0,$F30&gt;$G$24+$G30,SUM($H$27:H29)+(F30*$F$19)&lt;$H$15),($G$24+$G30)+(($F30-($G$24+$G30))*$F$19),IF(AND($E$19="Investor First %",$E$24="Yes",$G30&gt;0,$F30&lt;$G$24+$G30,SUM($H$27:H29)&gt;$H$15),$F30,IF(AND($E$19="Investor First %",$E$24="Yes",$G30&gt;0,$F30&lt;$G$24+$G30,SUM($H$27:H29)&lt;$H$15,SUM($H$27:H29)+(F30*$F$19)&gt;$H$15),$F30,IF(AND($E$19="Investor First %",$E$24="Yes",$G30&gt;0,$F30&lt;$G$24+$G30,SUM($H$27:H29)+(F30*$F$19)&lt;$H$15),$F30,IF(AND($E$19="Ownership %",$E$24="Yes",$G30&gt;0,$F30&gt;$G30+$G$24),(($G30+$G$24)+($F30-($G30+$G$24))*$I$15),IF(AND($E$19="Ownership %",$E$24="Yes",$G30&gt;0,$F30&lt;$G30+$G$24),$F30,IF(AND($E$19="Ownership %",$E$24="Yes",$G30=0,$F30&gt;$G$24),$G$24+(($F30-$G$24)*$I$15),IF(AND($E$19="Ownership %",$E$24="Yes",$G30=0,$F30&lt;$G$24),$F30,IF(AND($E$19="Ownership %",$E$24="No"),F30*$I$15))))))))))))))))))))))))))))))))))))))))</f>
        <v>1695673.327182909</v>
      </c>
      <c r="J72" s="149">
        <f>IF(I72&gt;$J71,0,IF(I72&lt;$J71,$J71-I72))</f>
        <v>5109811.9411610849</v>
      </c>
    </row>
    <row r="73" spans="4:11" s="2" customFormat="1" ht="15.75" hidden="1" customHeight="1" outlineLevel="1" x14ac:dyDescent="0.25">
      <c r="D73" s="1432">
        <f>'Sale - Refinance'!L6</f>
        <v>2031</v>
      </c>
      <c r="E73" s="1431">
        <f t="shared" si="7"/>
        <v>4</v>
      </c>
      <c r="F73" s="149">
        <f t="shared" si="5"/>
        <v>1795830.1352429655</v>
      </c>
      <c r="G73" s="149">
        <f t="shared" si="6"/>
        <v>408784.95529288682</v>
      </c>
      <c r="H73" s="149">
        <f>IF($E$24="No",0,IF($E73&gt;'Sale - Refinance'!$E$14,0,IF(AND(H72=0,F72&lt;$G72),($G72-F72),IF(AND(F72&gt;$G72,H72=0),0,IF(AND(H72&gt;0,F72&lt;$G72),($G72+$H72)-$F72,IF(AND(H72&gt;0,F72&gt;$G72,F72&gt;($G72+H72)),0,IF(AND(G30&gt;0,F72&gt;$G72,F72&lt;($G72+G30)),($G72+G30)-F72)))))))</f>
        <v>0</v>
      </c>
      <c r="I73" s="149">
        <f>IF($F31&lt;0,0,IF(AND($E$19="Investor First",$E$24="No",SUM($H$27:H30)&gt;$H$15),F31*$I$15,IF(AND($E$19="Investor First",$E$24="No",SUM($H$27:H30)&lt;$H$15,SUM($H$27:H30)+F31&gt;$H$15),$H$15-SUM($H$27:H30)+((F31-($H$15-SUM($H$27:H30)))*$I$15),IF(AND($E$19="Investor First",$E$24="No",SUM($H$27:H30)+F31&lt;$H$15),$F31,IF(AND($E$19="Investor First",$E$24="Yes",$G31=0,$F31&gt;$G$24,SUM($H$27:H30)&gt;$H$15),$G$24+(($F31-$G$24)*$I$15),IF(AND($E$19="Investor First",$E$24="Yes",$G31=0,$F31&gt;$G$24,SUM($H$27:H30)&lt;$H$15,SUM($H$27:H30)+$F31&gt;$H$15,$F31&gt;$G$24+($H$15-SUM($H$27:H30))),(($H$15-SUM($H$27:H30))+$G$24)+(($F31-($G$24+($H$15-SUM($H$27:H30))))*$I$15),IF(AND($E$19="Investor First",$E$24="Yes",$G31=0,$F31&gt;$G$24,SUM($H$27:H30)&lt;$H$15,SUM($H$27:H30)+$F31&gt;$H$15,$F31&lt;$G$24+($H$15-SUM($H$27:H30))),$F31,IF(AND($E$19="Investor First",$E$24="Yes",$G31=0,$F31&gt;$G$24,SUM($H$27:H30)+F31&lt;$H$15),$G$24+($F31-$G$24),IF(AND($E$19="Investor First",$E$24="Yes",$G31=0,$F31&lt;$G$24,SUM($H$27:H30)&gt;$H$15),$F31,IF(AND($E$19="Investor First",$E$24="Yes",$G31=0,$F31&lt;$G$24,SUM($H$27:H30)&lt;$H$15,SUM($H$27:H30)+F31&gt;$H$15),$F31,IF(AND($E$19="Investor First",$E$24="Yes",$G31=0,$F31&lt;$G$24,SUM($H$27:H30)+F31&lt;$H$15),$F31,IF(AND($E$19="Investor First",$E$24="Yes",$G31&gt;0,$F31&gt;$G$24+$G31,SUM($H$27:H30)&gt;$H$15),($G$24+$G31)+(($F31-($G$24+$G31))*$I$15),IF(AND($E$19="Investor First",$E$24="Yes",$G31&gt;0,$F31&gt;$G$24+$G31,SUM($H$27:H30)&lt;$H$15,SUM($H$27:H30)+$F31&gt;$H$15,$F31&gt;($G$24+$G31)+($F31-($H$15-SUM($H$27:H30)))),(($G$24+$G31)+($H$15-SUM($H$27:H30)))+((F31-(($G$24+$G31)+($H$15-SUM($H$27:H30))))*$I$15),IF(AND($E$19="Investor First",$E$24="Yes",$G31&gt;0,$F31&gt;$G$24+$G31,SUM($H$27:H30)&lt;$H$15,SUM($H$27:H30)+$F31&gt;$H$15,$F31&lt;($G$24+$G31)+($F31-($H$15-SUM($H$27:H30)))),$F31,IF(AND($E$19="Investor First",$E$24="Yes",$G31&gt;0,$F31&gt;$G$24+$G31,SUM($H$27:H30)+F31&lt;$H$15),($G$24+$G31)+($F31-($G$24+$G31)),IF(AND($E$19="Investor First",$E$24="Yes",$G31&gt;0,$F31&lt;$G$24+$G31,SUM($H$27:H30)&gt;$H$15),F31,IF(AND($E$19="Investor First",$E$24="Yes",$G31&gt;0,$F31&lt;$G$24+$G31,SUM($H$27:H30)&lt;$H$15,SUM($H$27:H30)+F31&gt;$H$15),$F31,IF(AND($E$19="Investor First",$E$24="Yes",$G31&gt;0,$F31&lt;$G$24+$G31,SUM($H$27:H30)+F31&lt;$H$15),$F31,IF(AND($E$19="Investor First %",$E$24="No",SUM($H$27:H30)&gt;$H$15),F31*$I$15,IF(AND($E$19="Investor First %",$E$24="No",SUM($H$27:H30)&lt;$H$15,SUM($H$27:H30)+(F31*$F$19)&gt;$H$15),$H$15-SUM($H$27:H30)+((F31-($H$15-SUM($H$27:H30)))*$I$15),IF(AND($E$19="Investor First %",$E$24="No",SUM($H$27:H30)+(F31*$F$19)&lt;$H$15),$F31*$F$19,IF(AND($E$19="Investor First %",$E$24="Yes",$G31=0,$F31&gt;$G$24,SUM($H$27:H30)&gt;$H$15),$G$24+(($F31-$G$24)*$I$15),IF(AND($E$19="Investor First %",$E$24="Yes",$G31=0,$F31&gt;$G$24,SUM($H$27:H30)&lt;$H$15,SUM($H$27:H30)+($F31*$F$19)&gt;$H$15,$F31&gt;$G$24+($H$15-SUM($H$27:H30))),(($H$15-SUM($H$27:H30))+$G$24)+(($F31-($G$24+($H$15-SUM($H$27:H30))))*$I$15),IF(AND($E$19="Investor First %",$E$24="Yes",$G31=0,$F31&gt;$G$24,SUM($H$27:H30)&lt;$H$15,SUM($H$27:H30)+($F31*$F$19)&gt;$H$15,$F31&lt;$G$24+($H$15-SUM($H$27:H30))),$G$24+(($F31-$G$24)*$F$19),IF(AND($E$19="Investor First %",$E$24="Yes",$G31=0,$F31&gt;$G$24,SUM($H$27:H30)+(F31*$F$19)&lt;$H$15),$G$24+(($F31-$G$24)*$F$19),IF(AND($E$19="Investor First %",$E$24="Yes",$G31=0,$F31&lt;$G$24,SUM($H$27:H30)&gt;$H$15),$F31,IF(AND($E$19="Investor First %",$E$24="Yes",$G31=0,$F31&lt;$G$24,SUM($H$27:H30)&lt;$H$15,SUM($H$27:H30)+(F31*$F$19)&gt;$H$15),$F31,IF(AND($E$19="Investor First %",$E$24="Yes",$G31=0,$F31&lt;$G$24,SUM($H$27:H30)+(F31*$F$19)&lt;$H$15),$F31,IF(AND($E$19="Investor First %",$E$24="Yes",$G31&gt;0,$F31&gt;$G$24+$G31,SUM($H$27:H30)&gt;$H$15),($G$24+$G31)+(($F31-($G$24+$G31))*$I$15),IF(AND($E$19="Investor First %",$E$24="Yes",$G31&gt;0,$F31&gt;$G$24+$G31,SUM($H$27:H30)&lt;$H$15,SUM($H$27:H30)+(F31*$F$19)&gt;$H$15,$F31&gt;($G$24+$G31)+($F31-($H$15-SUM($H$27:H30)))),(($G$24+$G31)+($H$15-SUM($H$27:H30)))+((F31-(($G$24+$G31)+($H$15-SUM($H$27:H30))))*$I$15),IF(AND($E$19="Investor First %",$E$24="Yes",$G31&gt;0,$F31&gt;$G$24+$G31,SUM($H$27:H30)&lt;$H$15,SUM($H$27:H30)+(F31*$F$19)&gt;$H$15,$F31&lt;($G$24+$G31)+($F31-($H$15-SUM($H$27:H30)))),$F31,IF(AND($E$19="Investor First %",$E$24="Yes",$G31&gt;0,$F31&gt;$G$24+$G31,SUM($H$27:H30)+(F31*$F$19)&lt;$H$15),($G$24+$G31)+(($F31-($G$24+$G31))*$F$19),IF(AND($E$19="Investor First %",$E$24="Yes",$G31&gt;0,$F31&lt;$G$24+$G31,SUM($H$27:H30)&gt;$H$15),$F31,IF(AND($E$19="Investor First %",$E$24="Yes",$G31&gt;0,$F31&lt;$G$24+$G31,SUM($H$27:H30)&lt;$H$15,SUM($H$27:H30)+(F31*$F$19)&gt;$H$15),$F31,IF(AND($E$19="Investor First %",$E$24="Yes",$G31&gt;0,$F31&lt;$G$24+$G31,SUM($H$27:H30)+(F31*$F$19)&lt;$H$15),$F31,IF(AND($E$19="Ownership %",$E$24="Yes",$G31&gt;0,$F31&gt;$G31+$G$24),(($G31+$G$24)+($F31-($G31+$G$24))*$I$15),IF(AND($E$19="Ownership %",$E$24="Yes",$G31&gt;0,$F31&lt;$G31+$G$24),$F31,IF(AND($E$19="Ownership %",$E$24="Yes",$G31=0,$F31&gt;$G$24),$G$24+(($F31-$G$24)*$I$15),IF(AND($E$19="Ownership %",$E$24="Yes",$G31=0,$F31&lt;$G$24),$F31,IF(AND($E$19="Ownership %",$E$24="No"),F31*$I$15))))))))))))))))))))))))))))))))))))))))</f>
        <v>1795830.1352429655</v>
      </c>
      <c r="J73" s="149">
        <f>IF(I73&gt;$J72,0,IF(I73&lt;$J72,$J72-I73))</f>
        <v>3313981.8059181194</v>
      </c>
    </row>
    <row r="74" spans="4:11" s="2" customFormat="1" ht="15.75" hidden="1" customHeight="1" outlineLevel="1" x14ac:dyDescent="0.25">
      <c r="D74" s="1432">
        <f>'Sale - Refinance'!M6</f>
        <v>2032</v>
      </c>
      <c r="E74" s="1431">
        <f t="shared" si="7"/>
        <v>5</v>
      </c>
      <c r="F74" s="149">
        <f t="shared" si="5"/>
        <v>31391684.676550463</v>
      </c>
      <c r="G74" s="149"/>
      <c r="H74" s="149"/>
      <c r="I74" s="149">
        <f>IF($F32&lt;0,0,IF(AND($E$19="Investor First",$E$24="No",SUM($H$27:H31)&gt;$H$15),F32*$I$15,IF(AND($E$19="Investor First",$E$24="No",SUM($H$27:H31)&lt;$H$15,SUM($H$27:H31)+F32&gt;$H$15),$H$15-SUM($H$27:H31)+((F32-($H$15-SUM($H$27:H31)))*$I$15),IF(AND($E$19="Investor First",$E$24="No",SUM($H$27:H31)+F32&lt;$H$15),$F32,IF(AND($E$19="Investor First",$E$24="Yes",$G32=0,$F32&gt;$G$24,SUM($H$27:H31)&gt;$H$15),$G$24+(($F32-$G$24)*$I$15),IF(AND($E$19="Investor First",$E$24="Yes",$G32=0,$F32&gt;$G$24,SUM($H$27:H31)&lt;$H$15,SUM($H$27:H31)+$F32&gt;$H$15,$F32&gt;$G$24+($H$15-SUM($H$27:H31))),(($H$15-SUM($H$27:H31))+$G$24)+(($F32-($G$24+($H$15-SUM($H$27:H31))))*$I$15),IF(AND($E$19="Investor First",$E$24="Yes",$G32=0,$F32&gt;$G$24,SUM($H$27:H31)&lt;$H$15,SUM($H$27:H31)+$F32&gt;$H$15,$F32&lt;$G$24+($H$15-SUM($H$27:H31))),$F32,IF(AND($E$19="Investor First",$E$24="Yes",$G32=0,$F32&gt;$G$24,SUM($H$27:H31)+F32&lt;$H$15),$G$24+($F32-$G$24),IF(AND($E$19="Investor First",$E$24="Yes",$G32=0,$F32&lt;$G$24,SUM($H$27:H31)&gt;$H$15),$F32,IF(AND($E$19="Investor First",$E$24="Yes",$G32=0,$F32&lt;$G$24,SUM($H$27:H31)&lt;$H$15,SUM($H$27:H31)+F32&gt;$H$15),$F32,IF(AND($E$19="Investor First",$E$24="Yes",$G32=0,$F32&lt;$G$24,SUM($H$27:H31)+F32&lt;$H$15),$F32,IF(AND($E$19="Investor First",$E$24="Yes",$G32&gt;0,$F32&gt;$G$24+$G32,SUM($H$27:H31)&gt;$H$15),($G$24+$G32)+(($F32-($G$24+$G32))*$I$15),IF(AND($E$19="Investor First",$E$24="Yes",$G32&gt;0,$F32&gt;$G$24+$G32,SUM($H$27:H31)&lt;$H$15,SUM($H$27:H31)+$F32&gt;$H$15,$F32&gt;($G$24+$G32)+($F32-($H$15-SUM($H$27:H31)))),(($G$24+$G32)+($H$15-SUM($H$27:H31)))+((F32-(($G$24+$G32)+($H$15-SUM($H$27:H31))))*$I$15),IF(AND($E$19="Investor First",$E$24="Yes",$G32&gt;0,$F32&gt;$G$24+$G32,SUM($H$27:H31)&lt;$H$15,SUM($H$27:H31)+$F32&gt;$H$15,$F32&lt;($G$24+$G32)+($F32-($H$15-SUM($H$27:H31)))),$F32,IF(AND($E$19="Investor First",$E$24="Yes",$G32&gt;0,$F32&gt;$G$24+$G32,SUM($H$27:H31)+F32&lt;$H$15),($G$24+$G32)+($F32-($G$24+$G32)),IF(AND($E$19="Investor First",$E$24="Yes",$G32&gt;0,$F32&lt;$G$24+$G32,SUM($H$27:H31)&gt;$H$15),F32,IF(AND($E$19="Investor First",$E$24="Yes",$G32&gt;0,$F32&lt;$G$24+$G32,SUM($H$27:H31)&lt;$H$15,SUM($H$27:H31)+F32&gt;$H$15),$F32,IF(AND($E$19="Investor First",$E$24="Yes",$G32&gt;0,$F32&lt;$G$24+$G32,SUM($H$27:H31)+F32&lt;$H$15),$F32,IF(AND($E$19="Investor First %",$E$24="No",SUM($H$27:H31)&gt;$H$15),F32*$I$15,IF(AND($E$19="Investor First %",$E$24="No",SUM($H$27:H31)&lt;$H$15,SUM($H$27:H31)+(F32*$F$19)&gt;$H$15),$H$15-SUM($H$27:H31)+((F32-($H$15-SUM($H$27:H31)))*$I$15),IF(AND($E$19="Investor First %",$E$24="No",SUM($H$27:H31)+(F32*$F$19)&lt;$H$15),$F32*$F$19,IF(AND($E$19="Investor First %",$E$24="Yes",$G32=0,$F32&gt;$G$24,SUM($H$27:H31)&gt;$H$15),$G$24+(($F32-$G$24)*$I$15),IF(AND($E$19="Investor First %",$E$24="Yes",$G32=0,$F32&gt;$G$24,SUM($H$27:H31)&lt;$H$15,SUM($H$27:H31)+($F32*$F$19)&gt;$H$15,$F32&gt;$G$24+($H$15-SUM($H$27:H31))),(($H$15-SUM($H$27:H31))+$G$24)+(($F32-($G$24+($H$15-SUM($H$27:H31))))*$I$15),IF(AND($E$19="Investor First %",$E$24="Yes",$G32=0,$F32&gt;$G$24,SUM($H$27:H31)&lt;$H$15,SUM($H$27:H31)+($F32*$F$19)&gt;$H$15,$F32&lt;$G$24+($H$15-SUM($H$27:H31))),$G$24+(($F32-$G$24)*$F$19),IF(AND($E$19="Investor First %",$E$24="Yes",$G32=0,$F32&gt;$G$24,SUM($H$27:H31)+(F32*$F$19)&lt;$H$15),$G$24+(($F32-$G$24)*$F$19),IF(AND($E$19="Investor First %",$E$24="Yes",$G32=0,$F32&lt;$G$24,SUM($H$27:H31)&gt;$H$15),$F32,IF(AND($E$19="Investor First %",$E$24="Yes",$G32=0,$F32&lt;$G$24,SUM($H$27:H31)&lt;$H$15,SUM($H$27:H31)+(F32*$F$19)&gt;$H$15),$F32,IF(AND($E$19="Investor First %",$E$24="Yes",$G32=0,$F32&lt;$G$24,SUM($H$27:H31)+(F32*$F$19)&lt;$H$15),$F32,IF(AND($E$19="Investor First %",$E$24="Yes",$G32&gt;0,$F32&gt;$G$24+$G32,SUM($H$27:H31)&gt;$H$15),($G$24+$G32)+(($F32-($G$24+$G32))*$I$15),IF(AND($E$19="Investor First %",$E$24="Yes",$G32&gt;0,$F32&gt;$G$24+$G32,SUM($H$27:H31)&lt;$H$15,SUM($H$27:H31)+(F32*$F$19)&gt;$H$15,$F32&gt;($G$24+$G32)+($F32-($H$15-SUM($H$27:H31)))),(($G$24+$G32)+($H$15-SUM($H$27:H31)))+((F32-(($G$24+$G32)+($H$15-SUM($H$27:H31))))*$I$15),IF(AND($E$19="Investor First %",$E$24="Yes",$G32&gt;0,$F32&gt;$G$24+$G32,SUM($H$27:H31)&lt;$H$15,SUM($H$27:H31)+(F32*$F$19)&gt;$H$15,$F32&lt;($G$24+$G32)+($F32-($H$15-SUM($H$27:H31)))),$F32,IF(AND($E$19="Investor First %",$E$24="Yes",$G32&gt;0,$F32&gt;$G$24+$G32,SUM($H$27:H31)+(F32*$F$19)&lt;$H$15),($G$24+$G32)+(($F32-($G$24+$G32))*$F$19),IF(AND($E$19="Investor First %",$E$24="Yes",$G32&gt;0,$F32&lt;$G$24+$G32,SUM($H$27:H31)&gt;$H$15),$F32,IF(AND($E$19="Investor First %",$E$24="Yes",$G32&gt;0,$F32&lt;$G$24+$G32,SUM($H$27:H31)&lt;$H$15,SUM($H$27:H31)+(F32*$F$19)&gt;$H$15),$F32,IF(AND($E$19="Investor First %",$E$24="Yes",$G32&gt;0,$F32&lt;$G$24+$G32,SUM($H$27:H31)+(F32*$F$19)&lt;$H$15),$F32,IF(AND($E$19="Ownership %",$E$24="Yes",$G32&gt;0,$F32&gt;$G32+$G$24),(($G32+$G$24)+($F32-($G32+$G$24))*$I$15),IF(AND($E$19="Ownership %",$E$24="Yes",$G32&gt;0,$F32&lt;$G32+$G$24),$F32,IF(AND($E$19="Ownership %",$E$24="Yes",$G32=0,$F32&gt;$G$24),$G$24+(($F32-$G$24)*$I$15),IF(AND($E$19="Ownership %",$E$24="Yes",$G32=0,$F32&lt;$G$24),$F32,IF(AND($E$19="Ownership %",$E$24="No"),F32*$I$15))))))))))))))))))))))))))))))))))))))))</f>
        <v>23218790.63992396</v>
      </c>
      <c r="J74" s="149"/>
    </row>
    <row r="75" spans="4:11" s="2" customFormat="1" ht="15.75" hidden="1" customHeight="1" outlineLevel="1" x14ac:dyDescent="0.25">
      <c r="D75" s="1432">
        <f>'Sale - Refinance'!N6</f>
        <v>2033</v>
      </c>
      <c r="E75" s="1431">
        <f t="shared" si="7"/>
        <v>6</v>
      </c>
      <c r="F75" s="149">
        <f t="shared" si="5"/>
        <v>0</v>
      </c>
      <c r="G75" s="149"/>
      <c r="H75" s="149"/>
      <c r="I75" s="149">
        <f>IF($F33&lt;0,0,IF(AND($E$19="Investor First",$E$24="No",SUM($H$27:H32)&gt;$H$15),F33*$I$15,IF(AND($E$19="Investor First",$E$24="No",SUM($H$27:H32)&lt;$H$15,SUM($H$27:H32)+F33&gt;$H$15),$H$15-SUM($H$27:H32)+((F33-($H$15-SUM($H$27:H32)))*$I$15),IF(AND($E$19="Investor First",$E$24="No",SUM($H$27:H32)+F33&lt;$H$15),$F33,IF(AND($E$19="Investor First",$E$24="Yes",$G33=0,$F33&gt;$G$24,SUM($H$27:H32)&gt;$H$15),$G$24+(($F33-$G$24)*$I$15),IF(AND($E$19="Investor First",$E$24="Yes",$G33=0,$F33&gt;$G$24,SUM($H$27:H32)&lt;$H$15,SUM($H$27:H32)+$F33&gt;$H$15,$F33&gt;$G$24+($H$15-SUM($H$27:H32))),(($H$15-SUM($H$27:H32))+$G$24)+(($F33-($G$24+($H$15-SUM($H$27:H32))))*$I$15),IF(AND($E$19="Investor First",$E$24="Yes",$G33=0,$F33&gt;$G$24,SUM($H$27:H32)&lt;$H$15,SUM($H$27:H32)+$F33&gt;$H$15,$F33&lt;$G$24+($H$15-SUM($H$27:H32))),$F33,IF(AND($E$19="Investor First",$E$24="Yes",$G33=0,$F33&gt;$G$24,SUM($H$27:H32)+F33&lt;$H$15),$G$24+($F33-$G$24),IF(AND($E$19="Investor First",$E$24="Yes",$G33=0,$F33&lt;$G$24,SUM($H$27:H32)&gt;$H$15),$F33,IF(AND($E$19="Investor First",$E$24="Yes",$G33=0,$F33&lt;$G$24,SUM($H$27:H32)&lt;$H$15,SUM($H$27:H32)+F33&gt;$H$15),$F33,IF(AND($E$19="Investor First",$E$24="Yes",$G33=0,$F33&lt;$G$24,SUM($H$27:H32)+F33&lt;$H$15),$F33,IF(AND($E$19="Investor First",$E$24="Yes",$G33&gt;0,$F33&gt;$G$24+$G33,SUM($H$27:H32)&gt;$H$15),($G$24+$G33)+(($F33-($G$24+$G33))*$I$15),IF(AND($E$19="Investor First",$E$24="Yes",$G33&gt;0,$F33&gt;$G$24+$G33,SUM($H$27:H32)&lt;$H$15,SUM($H$27:H32)+$F33&gt;$H$15,$F33&gt;($G$24+$G33)+($F33-($H$15-SUM($H$27:H32)))),(($G$24+$G33)+($H$15-SUM($H$27:H32)))+((F33-(($G$24+$G33)+($H$15-SUM($H$27:H32))))*$I$15),IF(AND($E$19="Investor First",$E$24="Yes",$G33&gt;0,$F33&gt;$G$24+$G33,SUM($H$27:H32)&lt;$H$15,SUM($H$27:H32)+$F33&gt;$H$15,$F33&lt;($G$24+$G33)+($F33-($H$15-SUM($H$27:H32)))),$F33,IF(AND($E$19="Investor First",$E$24="Yes",$G33&gt;0,$F33&gt;$G$24+$G33,SUM($H$27:H32)+F33&lt;$H$15),($G$24+$G33)+($F33-($G$24+$G33)),IF(AND($E$19="Investor First",$E$24="Yes",$G33&gt;0,$F33&lt;$G$24+$G33,SUM($H$27:H32)&gt;$H$15),F33,IF(AND($E$19="Investor First",$E$24="Yes",$G33&gt;0,$F33&lt;$G$24+$G33,SUM($H$27:H32)&lt;$H$15,SUM($H$27:H32)+F33&gt;$H$15),$F33,IF(AND($E$19="Investor First",$E$24="Yes",$G33&gt;0,$F33&lt;$G$24+$G33,SUM($H$27:H32)+F33&lt;$H$15),$F33,IF(AND($E$19="Investor First %",$E$24="No",SUM($H$27:H32)&gt;$H$15),F33*$I$15,IF(AND($E$19="Investor First %",$E$24="No",SUM($H$27:H32)&lt;$H$15,SUM($H$27:H32)+(F33*$F$19)&gt;$H$15),$H$15-SUM($H$27:H32)+((F33-($H$15-SUM($H$27:H32)))*$I$15),IF(AND($E$19="Investor First %",$E$24="No",SUM($H$27:H32)+(F33*$F$19)&lt;$H$15),$F33*$F$19,IF(AND($E$19="Investor First %",$E$24="Yes",$G33=0,$F33&gt;$G$24,SUM($H$27:H32)&gt;$H$15),$G$24+(($F33-$G$24)*$I$15),IF(AND($E$19="Investor First %",$E$24="Yes",$G33=0,$F33&gt;$G$24,SUM($H$27:H32)&lt;$H$15,SUM($H$27:H32)+($F33*$F$19)&gt;$H$15,$F33&gt;$G$24+($H$15-SUM($H$27:H32))),(($H$15-SUM($H$27:H32))+$G$24)+(($F33-($G$24+($H$15-SUM($H$27:H32))))*$I$15),IF(AND($E$19="Investor First %",$E$24="Yes",$G33=0,$F33&gt;$G$24,SUM($H$27:H32)&lt;$H$15,SUM($H$27:H32)+($F33*$F$19)&gt;$H$15,$F33&lt;$G$24+($H$15-SUM($H$27:H32))),$G$24+(($F33-$G$24)*$F$19),IF(AND($E$19="Investor First %",$E$24="Yes",$G33=0,$F33&gt;$G$24,SUM($H$27:H32)+(F33*$F$19)&lt;$H$15),$G$24+(($F33-$G$24)*$F$19),IF(AND($E$19="Investor First %",$E$24="Yes",$G33=0,$F33&lt;$G$24,SUM($H$27:H32)&gt;$H$15),$F33,IF(AND($E$19="Investor First %",$E$24="Yes",$G33=0,$F33&lt;$G$24,SUM($H$27:H32)&lt;$H$15,SUM($H$27:H32)+(F33*$F$19)&gt;$H$15),$F33,IF(AND($E$19="Investor First %",$E$24="Yes",$G33=0,$F33&lt;$G$24,SUM($H$27:H32)+(F33*$F$19)&lt;$H$15),$F33,IF(AND($E$19="Investor First %",$E$24="Yes",$G33&gt;0,$F33&gt;$G$24+$G33,SUM($H$27:H32)&gt;$H$15),($G$24+$G33)+(($F33-($G$24+$G33))*$I$15),IF(AND($E$19="Investor First %",$E$24="Yes",$G33&gt;0,$F33&gt;$G$24+$G33,SUM($H$27:H32)&lt;$H$15,SUM($H$27:H32)+(F33*$F$19)&gt;$H$15,$F33&gt;($G$24+$G33)+($F33-($H$15-SUM($H$27:H32)))),(($G$24+$G33)+($H$15-SUM($H$27:H32)))+((F33-(($G$24+$G33)+($H$15-SUM($H$27:H32))))*$I$15),IF(AND($E$19="Investor First %",$E$24="Yes",$G33&gt;0,$F33&gt;$G$24+$G33,SUM($H$27:H32)&lt;$H$15,SUM($H$27:H32)+(F33*$F$19)&gt;$H$15,$F33&lt;($G$24+$G33)+($F33-($H$15-SUM($H$27:H32)))),$F33,IF(AND($E$19="Investor First %",$E$24="Yes",$G33&gt;0,$F33&gt;$G$24+$G33,SUM($H$27:H32)+(F33*$F$19)&lt;$H$15),($G$24+$G33)+(($F33-($G$24+$G33))*$F$19),IF(AND($E$19="Investor First %",$E$24="Yes",$G33&gt;0,$F33&lt;$G$24+$G33,SUM($H$27:H32)&gt;$H$15),$F33,IF(AND($E$19="Investor First %",$E$24="Yes",$G33&gt;0,$F33&lt;$G$24+$G33,SUM($H$27:H32)&lt;$H$15,SUM($H$27:H32)+(F33*$F$19)&gt;$H$15),$F33,IF(AND($E$19="Investor First %",$E$24="Yes",$G33&gt;0,$F33&lt;$G$24+$G33,SUM($H$27:H32)+(F33*$F$19)&lt;$H$15),$F33,IF(AND($E$19="Ownership %",$E$24="Yes",$G33&gt;0,$F33&gt;$G33+$G$24),(($G33+$G$24)+($F33-($G33+$G$24))*$I$15),IF(AND($E$19="Ownership %",$E$24="Yes",$G33&gt;0,$F33&lt;$G33+$G$24),$F33,IF(AND($E$19="Ownership %",$E$24="Yes",$G33=0,$F33&gt;$G$24),$G$24+(($F33-$G$24)*$I$15),IF(AND($E$19="Ownership %",$E$24="Yes",$G33=0,$F33&lt;$G$24),$F33,IF(AND($E$19="Ownership %",$E$24="No"),F33*$I$15))))))))))))))))))))))))))))))))))))))))</f>
        <v>0</v>
      </c>
      <c r="J75" s="149"/>
    </row>
    <row r="76" spans="4:11" s="2" customFormat="1" ht="15.75" hidden="1" customHeight="1" outlineLevel="1" x14ac:dyDescent="0.25">
      <c r="D76" s="1432">
        <f>'Sale - Refinance'!O6</f>
        <v>2034</v>
      </c>
      <c r="E76" s="1431">
        <f>E75+1</f>
        <v>7</v>
      </c>
      <c r="F76" s="149">
        <f t="shared" si="5"/>
        <v>0</v>
      </c>
      <c r="G76" s="149"/>
      <c r="H76" s="149"/>
      <c r="I76" s="149">
        <f>IF($F34&lt;0,0,IF(AND($E$19="Investor First",$E$24="No",SUM($H$27:H33)&gt;$H$15),F34*$I$15,IF(AND($E$19="Investor First",$E$24="No",SUM($H$27:H33)&lt;$H$15,SUM($H$27:H33)+F34&gt;$H$15),$H$15-SUM($H$27:H33)+((F34-($H$15-SUM($H$27:H33)))*$I$15),IF(AND($E$19="Investor First",$E$24="No",SUM($H$27:H33)+F34&lt;$H$15),$F34,IF(AND($E$19="Investor First",$E$24="Yes",$G34=0,$F34&gt;$G$24,SUM($H$27:H33)&gt;$H$15),$G$24+(($F34-$G$24)*$I$15),IF(AND($E$19="Investor First",$E$24="Yes",$G34=0,$F34&gt;$G$24,SUM($H$27:H33)&lt;$H$15,SUM($H$27:H33)+$F34&gt;$H$15,$F34&gt;$G$24+($H$15-SUM($H$27:H33))),(($H$15-SUM($H$27:H33))+$G$24)+(($F34-($G$24+($H$15-SUM($H$27:H33))))*$I$15),IF(AND($E$19="Investor First",$E$24="Yes",$G34=0,$F34&gt;$G$24,SUM($H$27:H33)&lt;$H$15,SUM($H$27:H33)+$F34&gt;$H$15,$F34&lt;$G$24+($H$15-SUM($H$27:H33))),$F34,IF(AND($E$19="Investor First",$E$24="Yes",$G34=0,$F34&gt;$G$24,SUM($H$27:H33)+F34&lt;$H$15),$G$24+($F34-$G$24),IF(AND($E$19="Investor First",$E$24="Yes",$G34=0,$F34&lt;$G$24,SUM($H$27:H33)&gt;$H$15),$F34,IF(AND($E$19="Investor First",$E$24="Yes",$G34=0,$F34&lt;$G$24,SUM($H$27:H33)&lt;$H$15,SUM($H$27:H33)+F34&gt;$H$15),$F34,IF(AND($E$19="Investor First",$E$24="Yes",$G34=0,$F34&lt;$G$24,SUM($H$27:H33)+F34&lt;$H$15),$F34,IF(AND($E$19="Investor First",$E$24="Yes",$G34&gt;0,$F34&gt;$G$24+$G34,SUM($H$27:H33)&gt;$H$15),($G$24+$G34)+(($F34-($G$24+$G34))*$I$15),IF(AND($E$19="Investor First",$E$24="Yes",$G34&gt;0,$F34&gt;$G$24+$G34,SUM($H$27:H33)&lt;$H$15,SUM($H$27:H33)+$F34&gt;$H$15,$F34&gt;($G$24+$G34)+($F34-($H$15-SUM($H$27:H33)))),(($G$24+$G34)+($H$15-SUM($H$27:H33)))+((F34-(($G$24+$G34)+($H$15-SUM($H$27:H33))))*$I$15),IF(AND($E$19="Investor First",$E$24="Yes",$G34&gt;0,$F34&gt;$G$24+$G34,SUM($H$27:H33)&lt;$H$15,SUM($H$27:H33)+$F34&gt;$H$15,$F34&lt;($G$24+$G34)+($F34-($H$15-SUM($H$27:H33)))),$F34,IF(AND($E$19="Investor First",$E$24="Yes",$G34&gt;0,$F34&gt;$G$24+$G34,SUM($H$27:H33)+F34&lt;$H$15),($G$24+$G34)+($F34-($G$24+$G34)),IF(AND($E$19="Investor First",$E$24="Yes",$G34&gt;0,$F34&lt;$G$24+$G34,SUM($H$27:H33)&gt;$H$15),F34,IF(AND($E$19="Investor First",$E$24="Yes",$G34&gt;0,$F34&lt;$G$24+$G34,SUM($H$27:H33)&lt;$H$15,SUM($H$27:H33)+F34&gt;$H$15),$F34,IF(AND($E$19="Investor First",$E$24="Yes",$G34&gt;0,$F34&lt;$G$24+$G34,SUM($H$27:H33)+F34&lt;$H$15),$F34,IF(AND($E$19="Investor First %",$E$24="No",SUM($H$27:H33)&gt;$H$15),F34*$I$15,IF(AND($E$19="Investor First %",$E$24="No",SUM($H$27:H33)&lt;$H$15,SUM($H$27:H33)+(F34*$F$19)&gt;$H$15),$H$15-SUM($H$27:H33)+((F34-($H$15-SUM($H$27:H33)))*$I$15),IF(AND($E$19="Investor First %",$E$24="No",SUM($H$27:H33)+(F34*$F$19)&lt;$H$15),$F34*$F$19,IF(AND($E$19="Investor First %",$E$24="Yes",$G34=0,$F34&gt;$G$24,SUM($H$27:H33)&gt;$H$15),$G$24+(($F34-$G$24)*$I$15),IF(AND($E$19="Investor First %",$E$24="Yes",$G34=0,$F34&gt;$G$24,SUM($H$27:H33)&lt;$H$15,SUM($H$27:H33)+($F34*$F$19)&gt;$H$15,$F34&gt;$G$24+($H$15-SUM($H$27:H33))),(($H$15-SUM($H$27:H33))+$G$24)+(($F34-($G$24+($H$15-SUM($H$27:H33))))*$I$15),IF(AND($E$19="Investor First %",$E$24="Yes",$G34=0,$F34&gt;$G$24,SUM($H$27:H33)&lt;$H$15,SUM($H$27:H33)+($F34*$F$19)&gt;$H$15,$F34&lt;$G$24+($H$15-SUM($H$27:H33))),$G$24+(($F34-$G$24)*$F$19),IF(AND($E$19="Investor First %",$E$24="Yes",$G34=0,$F34&gt;$G$24,SUM($H$27:H33)+(F34*$F$19)&lt;$H$15),$G$24+(($F34-$G$24)*$F$19),IF(AND($E$19="Investor First %",$E$24="Yes",$G34=0,$F34&lt;$G$24,SUM($H$27:H33)&gt;$H$15),$F34,IF(AND($E$19="Investor First %",$E$24="Yes",$G34=0,$F34&lt;$G$24,SUM($H$27:H33)&lt;$H$15,SUM($H$27:H33)+(F34*$F$19)&gt;$H$15),$F34,IF(AND($E$19="Investor First %",$E$24="Yes",$G34=0,$F34&lt;$G$24,SUM($H$27:H33)+(F34*$F$19)&lt;$H$15),$F34,IF(AND($E$19="Investor First %",$E$24="Yes",$G34&gt;0,$F34&gt;$G$24+$G34,SUM($H$27:H33)&gt;$H$15),($G$24+$G34)+(($F34-($G$24+$G34))*$I$15),IF(AND($E$19="Investor First %",$E$24="Yes",$G34&gt;0,$F34&gt;$G$24+$G34,SUM($H$27:H33)&lt;$H$15,SUM($H$27:H33)+(F34*$F$19)&gt;$H$15,$F34&gt;($G$24+$G34)+($F34-($H$15-SUM($H$27:H33)))),(($G$24+$G34)+($H$15-SUM($H$27:H33)))+((F34-(($G$24+$G34)+($H$15-SUM($H$27:H33))))*$I$15),IF(AND($E$19="Investor First %",$E$24="Yes",$G34&gt;0,$F34&gt;$G$24+$G34,SUM($H$27:H33)&lt;$H$15,SUM($H$27:H33)+(F34*$F$19)&gt;$H$15,$F34&lt;($G$24+$G34)+($F34-($H$15-SUM($H$27:H33)))),$F34,IF(AND($E$19="Investor First %",$E$24="Yes",$G34&gt;0,$F34&gt;$G$24+$G34,SUM($H$27:H33)+(F34*$F$19)&lt;$H$15),($G$24+$G34)+(($F34-($G$24+$G34))*$F$19),IF(AND($E$19="Investor First %",$E$24="Yes",$G34&gt;0,$F34&lt;$G$24+$G34,SUM($H$27:H33)&gt;$H$15),$F34,IF(AND($E$19="Investor First %",$E$24="Yes",$G34&gt;0,$F34&lt;$G$24+$G34,SUM($H$27:H33)&lt;$H$15,SUM($H$27:H33)+(F34*$F$19)&gt;$H$15),$F34,IF(AND($E$19="Investor First %",$E$24="Yes",$G34&gt;0,$F34&lt;$G$24+$G34,SUM($H$27:H33)+(F34*$F$19)&lt;$H$15),$F34,IF(AND($E$19="Ownership %",$E$24="Yes",$G34&gt;0,$F34&gt;$G34+$G$24),(($G34+$G$24)+($F34-($G34+$G$24))*$I$15),IF(AND($E$19="Ownership %",$E$24="Yes",$G34&gt;0,$F34&lt;$G34+$G$24),$F34,IF(AND($E$19="Ownership %",$E$24="Yes",$G34=0,$F34&gt;$G$24),$G$24+(($F34-$G$24)*$I$15),IF(AND($E$19="Ownership %",$E$24="Yes",$G34=0,$F34&lt;$G$24),$F34,IF(AND($E$19="Ownership %",$E$24="No"),F34*$I$15))))))))))))))))))))))))))))))))))))))))</f>
        <v>0</v>
      </c>
      <c r="J76" s="149"/>
    </row>
    <row r="77" spans="4:11" s="2" customFormat="1" ht="15.75" hidden="1" customHeight="1" outlineLevel="1" x14ac:dyDescent="0.25">
      <c r="D77" s="1432">
        <f>'Sale - Refinance'!P6</f>
        <v>2035</v>
      </c>
      <c r="E77" s="1431">
        <f t="shared" si="7"/>
        <v>8</v>
      </c>
      <c r="F77" s="149">
        <f t="shared" si="5"/>
        <v>0</v>
      </c>
      <c r="G77" s="149"/>
      <c r="H77" s="149"/>
      <c r="I77" s="149">
        <f>IF($F35&lt;0,0,IF(AND($E$19="Investor First",$E$24="No",SUM($H$27:H34)&gt;$H$15),F35*$I$15,IF(AND($E$19="Investor First",$E$24="No",SUM($H$27:H34)&lt;$H$15,SUM($H$27:H34)+F35&gt;$H$15),$H$15-SUM($H$27:H34)+((F35-($H$15-SUM($H$27:H34)))*$I$15),IF(AND($E$19="Investor First",$E$24="No",SUM($H$27:H34)+F35&lt;$H$15),$F35,IF(AND($E$19="Investor First",$E$24="Yes",$G35=0,$F35&gt;$G$24,SUM($H$27:H34)&gt;$H$15),$G$24+(($F35-$G$24)*$I$15),IF(AND($E$19="Investor First",$E$24="Yes",$G35=0,$F35&gt;$G$24,SUM($H$27:H34)&lt;$H$15,SUM($H$27:H34)+$F35&gt;$H$15,$F35&gt;$G$24+($H$15-SUM($H$27:H34))),(($H$15-SUM($H$27:H34))+$G$24)+(($F35-($G$24+($H$15-SUM($H$27:H34))))*$I$15),IF(AND($E$19="Investor First",$E$24="Yes",$G35=0,$F35&gt;$G$24,SUM($H$27:H34)&lt;$H$15,SUM($H$27:H34)+$F35&gt;$H$15,$F35&lt;$G$24+($H$15-SUM($H$27:H34))),$F35,IF(AND($E$19="Investor First",$E$24="Yes",$G35=0,$F35&gt;$G$24,SUM($H$27:H34)+F35&lt;$H$15),$G$24+($F35-$G$24),IF(AND($E$19="Investor First",$E$24="Yes",$G35=0,$F35&lt;$G$24,SUM($H$27:H34)&gt;$H$15),$F35,IF(AND($E$19="Investor First",$E$24="Yes",$G35=0,$F35&lt;$G$24,SUM($H$27:H34)&lt;$H$15,SUM($H$27:H34)+F35&gt;$H$15),$F35,IF(AND($E$19="Investor First",$E$24="Yes",$G35=0,$F35&lt;$G$24,SUM($H$27:H34)+F35&lt;$H$15),$F35,IF(AND($E$19="Investor First",$E$24="Yes",$G35&gt;0,$F35&gt;$G$24+$G35,SUM($H$27:H34)&gt;$H$15),($G$24+$G35)+(($F35-($G$24+$G35))*$I$15),IF(AND($E$19="Investor First",$E$24="Yes",$G35&gt;0,$F35&gt;$G$24+$G35,SUM($H$27:H34)&lt;$H$15,SUM($H$27:H34)+$F35&gt;$H$15,$F35&gt;($G$24+$G35)+($F35-($H$15-SUM($H$27:H34)))),(($G$24+$G35)+($H$15-SUM($H$27:H34)))+((F35-(($G$24+$G35)+($H$15-SUM($H$27:H34))))*$I$15),IF(AND($E$19="Investor First",$E$24="Yes",$G35&gt;0,$F35&gt;$G$24+$G35,SUM($H$27:H34)&lt;$H$15,SUM($H$27:H34)+$F35&gt;$H$15,$F35&lt;($G$24+$G35)+($F35-($H$15-SUM($H$27:H34)))),$F35,IF(AND($E$19="Investor First",$E$24="Yes",$G35&gt;0,$F35&gt;$G$24+$G35,SUM($H$27:H34)+F35&lt;$H$15),($G$24+$G35)+($F35-($G$24+$G35)),IF(AND($E$19="Investor First",$E$24="Yes",$G35&gt;0,$F35&lt;$G$24+$G35,SUM($H$27:H34)&gt;$H$15),F35,IF(AND($E$19="Investor First",$E$24="Yes",$G35&gt;0,$F35&lt;$G$24+$G35,SUM($H$27:H34)&lt;$H$15,SUM($H$27:H34)+F35&gt;$H$15),$F35,IF(AND($E$19="Investor First",$E$24="Yes",$G35&gt;0,$F35&lt;$G$24+$G35,SUM($H$27:H34)+F35&lt;$H$15),$F35,IF(AND($E$19="Investor First %",$E$24="No",SUM($H$27:H34)&gt;$H$15),F35*$I$15,IF(AND($E$19="Investor First %",$E$24="No",SUM($H$27:H34)&lt;$H$15,SUM($H$27:H34)+(F35*$F$19)&gt;$H$15),$H$15-SUM($H$27:H34)+((F35-($H$15-SUM($H$27:H34)))*$I$15),IF(AND($E$19="Investor First %",$E$24="No",SUM($H$27:H34)+(F35*$F$19)&lt;$H$15),$F35*$F$19,IF(AND($E$19="Investor First %",$E$24="Yes",$G35=0,$F35&gt;$G$24,SUM($H$27:H34)&gt;$H$15),$G$24+(($F35-$G$24)*$I$15),IF(AND($E$19="Investor First %",$E$24="Yes",$G35=0,$F35&gt;$G$24,SUM($H$27:H34)&lt;$H$15,SUM($H$27:H34)+($F35*$F$19)&gt;$H$15,$F35&gt;$G$24+($H$15-SUM($H$27:H34))),(($H$15-SUM($H$27:H34))+$G$24)+(($F35-($G$24+($H$15-SUM($H$27:H34))))*$I$15),IF(AND($E$19="Investor First %",$E$24="Yes",$G35=0,$F35&gt;$G$24,SUM($H$27:H34)&lt;$H$15,SUM($H$27:H34)+($F35*$F$19)&gt;$H$15,$F35&lt;$G$24+($H$15-SUM($H$27:H34))),$G$24+(($F35-$G$24)*$F$19),IF(AND($E$19="Investor First %",$E$24="Yes",$G35=0,$F35&gt;$G$24,SUM($H$27:H34)+(F35*$F$19)&lt;$H$15),$G$24+(($F35-$G$24)*$F$19),IF(AND($E$19="Investor First %",$E$24="Yes",$G35=0,$F35&lt;$G$24,SUM($H$27:H34)&gt;$H$15),$F35,IF(AND($E$19="Investor First %",$E$24="Yes",$G35=0,$F35&lt;$G$24,SUM($H$27:H34)&lt;$H$15,SUM($H$27:H34)+(F35*$F$19)&gt;$H$15),$F35,IF(AND($E$19="Investor First %",$E$24="Yes",$G35=0,$F35&lt;$G$24,SUM($H$27:H34)+(F35*$F$19)&lt;$H$15),$F35,IF(AND($E$19="Investor First %",$E$24="Yes",$G35&gt;0,$F35&gt;$G$24+$G35,SUM($H$27:H34)&gt;$H$15),($G$24+$G35)+(($F35-($G$24+$G35))*$I$15),IF(AND($E$19="Investor First %",$E$24="Yes",$G35&gt;0,$F35&gt;$G$24+$G35,SUM($H$27:H34)&lt;$H$15,SUM($H$27:H34)+(F35*$F$19)&gt;$H$15,$F35&gt;($G$24+$G35)+($F35-($H$15-SUM($H$27:H34)))),(($G$24+$G35)+($H$15-SUM($H$27:H34)))+((F35-(($G$24+$G35)+($H$15-SUM($H$27:H34))))*$I$15),IF(AND($E$19="Investor First %",$E$24="Yes",$G35&gt;0,$F35&gt;$G$24+$G35,SUM($H$27:H34)&lt;$H$15,SUM($H$27:H34)+(F35*$F$19)&gt;$H$15,$F35&lt;($G$24+$G35)+($F35-($H$15-SUM($H$27:H34)))),$F35,IF(AND($E$19="Investor First %",$E$24="Yes",$G35&gt;0,$F35&gt;$G$24+$G35,SUM($H$27:H34)+(F35*$F$19)&lt;$H$15),($G$24+$G35)+(($F35-($G$24+$G35))*$F$19),IF(AND($E$19="Investor First %",$E$24="Yes",$G35&gt;0,$F35&lt;$G$24+$G35,SUM($H$27:H34)&gt;$H$15),$F35,IF(AND($E$19="Investor First %",$E$24="Yes",$G35&gt;0,$F35&lt;$G$24+$G35,SUM($H$27:H34)&lt;$H$15,SUM($H$27:H34)+(F35*$F$19)&gt;$H$15),$F35,IF(AND($E$19="Investor First %",$E$24="Yes",$G35&gt;0,$F35&lt;$G$24+$G35,SUM($H$27:H34)+(F35*$F$19)&lt;$H$15),$F35,IF(AND($E$19="Ownership %",$E$24="Yes",$G35&gt;0,$F35&gt;$G35+$G$24),(($G35+$G$24)+($F35-($G35+$G$24))*$I$15),IF(AND($E$19="Ownership %",$E$24="Yes",$G35&gt;0,$F35&lt;$G35+$G$24),$F35,IF(AND($E$19="Ownership %",$E$24="Yes",$G35=0,$F35&gt;$G$24),$G$24+(($F35-$G$24)*$I$15),IF(AND($E$19="Ownership %",$E$24="Yes",$G35=0,$F35&lt;$G$24),$F35,IF(AND($E$19="Ownership %",$E$24="No"),F35*$I$15))))))))))))))))))))))))))))))))))))))))</f>
        <v>0</v>
      </c>
      <c r="J77" s="149"/>
    </row>
    <row r="78" spans="4:11" s="2" customFormat="1" ht="15.75" hidden="1" customHeight="1" outlineLevel="1" x14ac:dyDescent="0.25">
      <c r="D78" s="1432">
        <f>'Sale - Refinance'!Q6</f>
        <v>2036</v>
      </c>
      <c r="E78" s="1431">
        <f t="shared" si="7"/>
        <v>9</v>
      </c>
      <c r="F78" s="149">
        <f t="shared" si="5"/>
        <v>0</v>
      </c>
      <c r="G78" s="149"/>
      <c r="H78" s="149"/>
      <c r="I78" s="149">
        <f>IF($F36&lt;0,0,IF(AND($E$19="Investor First",$E$24="No",SUM($H$27:H35)&gt;$H$15),F36*$I$15,IF(AND($E$19="Investor First",$E$24="No",SUM($H$27:H35)&lt;$H$15,SUM($H$27:H35)+F36&gt;$H$15),$H$15-SUM($H$27:H35)+((F36-($H$15-SUM($H$27:H35)))*$I$15),IF(AND($E$19="Investor First",$E$24="No",SUM($H$27:H35)+F36&lt;$H$15),$F36,IF(AND($E$19="Investor First",$E$24="Yes",$G36=0,$F36&gt;$G$24,SUM($H$27:H35)&gt;$H$15),$G$24+(($F36-$G$24)*$I$15),IF(AND($E$19="Investor First",$E$24="Yes",$G36=0,$F36&gt;$G$24,SUM($H$27:H35)&lt;$H$15,SUM($H$27:H35)+$F36&gt;$H$15,$F36&gt;$G$24+($H$15-SUM($H$27:H35))),(($H$15-SUM($H$27:H35))+$G$24)+(($F36-($G$24+($H$15-SUM($H$27:H35))))*$I$15),IF(AND($E$19="Investor First",$E$24="Yes",$G36=0,$F36&gt;$G$24,SUM($H$27:H35)&lt;$H$15,SUM($H$27:H35)+$F36&gt;$H$15,$F36&lt;$G$24+($H$15-SUM($H$27:H35))),$F36,IF(AND($E$19="Investor First",$E$24="Yes",$G36=0,$F36&gt;$G$24,SUM($H$27:H35)+F36&lt;$H$15),$G$24+($F36-$G$24),IF(AND($E$19="Investor First",$E$24="Yes",$G36=0,$F36&lt;$G$24,SUM($H$27:H35)&gt;$H$15),$F36,IF(AND($E$19="Investor First",$E$24="Yes",$G36=0,$F36&lt;$G$24,SUM($H$27:H35)&lt;$H$15,SUM($H$27:H35)+F36&gt;$H$15),$F36,IF(AND($E$19="Investor First",$E$24="Yes",$G36=0,$F36&lt;$G$24,SUM($H$27:H35)+F36&lt;$H$15),$F36,IF(AND($E$19="Investor First",$E$24="Yes",$G36&gt;0,$F36&gt;$G$24+$G36,SUM($H$27:H35)&gt;$H$15),($G$24+$G36)+(($F36-($G$24+$G36))*$I$15),IF(AND($E$19="Investor First",$E$24="Yes",$G36&gt;0,$F36&gt;$G$24+$G36,SUM($H$27:H35)&lt;$H$15,SUM($H$27:H35)+$F36&gt;$H$15,$F36&gt;($G$24+$G36)+($F36-($H$15-SUM($H$27:H35)))),(($G$24+$G36)+($H$15-SUM($H$27:H35)))+((F36-(($G$24+$G36)+($H$15-SUM($H$27:H35))))*$I$15),IF(AND($E$19="Investor First",$E$24="Yes",$G36&gt;0,$F36&gt;$G$24+$G36,SUM($H$27:H35)&lt;$H$15,SUM($H$27:H35)+$F36&gt;$H$15,$F36&lt;($G$24+$G36)+($F36-($H$15-SUM($H$27:H35)))),$F36,IF(AND($E$19="Investor First",$E$24="Yes",$G36&gt;0,$F36&gt;$G$24+$G36,SUM($H$27:H35)+F36&lt;$H$15),($G$24+$G36)+($F36-($G$24+$G36)),IF(AND($E$19="Investor First",$E$24="Yes",$G36&gt;0,$F36&lt;$G$24+$G36,SUM($H$27:H35)&gt;$H$15),F36,IF(AND($E$19="Investor First",$E$24="Yes",$G36&gt;0,$F36&lt;$G$24+$G36,SUM($H$27:H35)&lt;$H$15,SUM($H$27:H35)+F36&gt;$H$15),$F36,IF(AND($E$19="Investor First",$E$24="Yes",$G36&gt;0,$F36&lt;$G$24+$G36,SUM($H$27:H35)+F36&lt;$H$15),$F36,IF(AND($E$19="Investor First %",$E$24="No",SUM($H$27:H35)&gt;$H$15),F36*$I$15,IF(AND($E$19="Investor First %",$E$24="No",SUM($H$27:H35)&lt;$H$15,SUM($H$27:H35)+(F36*$F$19)&gt;$H$15),$H$15-SUM($H$27:H35)+((F36-($H$15-SUM($H$27:H35)))*$I$15),IF(AND($E$19="Investor First %",$E$24="No",SUM($H$27:H35)+(F36*$F$19)&lt;$H$15),$F36*$F$19,IF(AND($E$19="Investor First %",$E$24="Yes",$G36=0,$F36&gt;$G$24,SUM($H$27:H35)&gt;$H$15),$G$24+(($F36-$G$24)*$I$15),IF(AND($E$19="Investor First %",$E$24="Yes",$G36=0,$F36&gt;$G$24,SUM($H$27:H35)&lt;$H$15,SUM($H$27:H35)+($F36*$F$19)&gt;$H$15,$F36&gt;$G$24+($H$15-SUM($H$27:H35))),(($H$15-SUM($H$27:H35))+$G$24)+(($F36-($G$24+($H$15-SUM($H$27:H35))))*$I$15),IF(AND($E$19="Investor First %",$E$24="Yes",$G36=0,$F36&gt;$G$24,SUM($H$27:H35)&lt;$H$15,SUM($H$27:H35)+($F36*$F$19)&gt;$H$15,$F36&lt;$G$24+($H$15-SUM($H$27:H35))),$G$24+(($F36-$G$24)*$F$19),IF(AND($E$19="Investor First %",$E$24="Yes",$G36=0,$F36&gt;$G$24,SUM($H$27:H35)+(F36*$F$19)&lt;$H$15),$G$24+(($F36-$G$24)*$F$19),IF(AND($E$19="Investor First %",$E$24="Yes",$G36=0,$F36&lt;$G$24,SUM($H$27:H35)&gt;$H$15),$F36,IF(AND($E$19="Investor First %",$E$24="Yes",$G36=0,$F36&lt;$G$24,SUM($H$27:H35)&lt;$H$15,SUM($H$27:H35)+(F36*$F$19)&gt;$H$15),$F36,IF(AND($E$19="Investor First %",$E$24="Yes",$G36=0,$F36&lt;$G$24,SUM($H$27:H35)+(F36*$F$19)&lt;$H$15),$F36,IF(AND($E$19="Investor First %",$E$24="Yes",$G36&gt;0,$F36&gt;$G$24+$G36,SUM($H$27:H35)&gt;$H$15),($G$24+$G36)+(($F36-($G$24+$G36))*$I$15),IF(AND($E$19="Investor First %",$E$24="Yes",$G36&gt;0,$F36&gt;$G$24+$G36,SUM($H$27:H35)&lt;$H$15,SUM($H$27:H35)+(F36*$F$19)&gt;$H$15,$F36&gt;($G$24+$G36)+($F36-($H$15-SUM($H$27:H35)))),(($G$24+$G36)+($H$15-SUM($H$27:H35)))+((F36-(($G$24+$G36)+($H$15-SUM($H$27:H35))))*$I$15),IF(AND($E$19="Investor First %",$E$24="Yes",$G36&gt;0,$F36&gt;$G$24+$G36,SUM($H$27:H35)&lt;$H$15,SUM($H$27:H35)+(F36*$F$19)&gt;$H$15,$F36&lt;($G$24+$G36)+($F36-($H$15-SUM($H$27:H35)))),$F36,IF(AND($E$19="Investor First %",$E$24="Yes",$G36&gt;0,$F36&gt;$G$24+$G36,SUM($H$27:H35)+(F36*$F$19)&lt;$H$15),($G$24+$G36)+(($F36-($G$24+$G36))*$F$19),IF(AND($E$19="Investor First %",$E$24="Yes",$G36&gt;0,$F36&lt;$G$24+$G36,SUM($H$27:H35)&gt;$H$15),$F36,IF(AND($E$19="Investor First %",$E$24="Yes",$G36&gt;0,$F36&lt;$G$24+$G36,SUM($H$27:H35)&lt;$H$15,SUM($H$27:H35)+(F36*$F$19)&gt;$H$15),$F36,IF(AND($E$19="Investor First %",$E$24="Yes",$G36&gt;0,$F36&lt;$G$24+$G36,SUM($H$27:H35)+(F36*$F$19)&lt;$H$15),$F36,IF(AND($E$19="Ownership %",$E$24="Yes",$G36&gt;0,$F36&gt;$G36+$G$24),(($G36+$G$24)+($F36-($G36+$G$24))*$I$15),IF(AND($E$19="Ownership %",$E$24="Yes",$G36&gt;0,$F36&lt;$G36+$G$24),$F36,IF(AND($E$19="Ownership %",$E$24="Yes",$G36=0,$F36&gt;$G$24),$G$24+(($F36-$G$24)*$I$15),IF(AND($E$19="Ownership %",$E$24="Yes",$G36=0,$F36&lt;$G$24),$F36,IF(AND($E$19="Ownership %",$E$24="No"),F36*$I$15))))))))))))))))))))))))))))))))))))))))</f>
        <v>0</v>
      </c>
      <c r="J78" s="149"/>
    </row>
    <row r="79" spans="4:11" s="2" customFormat="1" ht="15.75" hidden="1" customHeight="1" outlineLevel="1" x14ac:dyDescent="0.25">
      <c r="D79" s="1432">
        <f>'Sale - Refinance'!R6</f>
        <v>2037</v>
      </c>
      <c r="E79" s="1431">
        <f>E78+1</f>
        <v>10</v>
      </c>
      <c r="F79" s="149">
        <f t="shared" si="5"/>
        <v>0</v>
      </c>
      <c r="G79" s="149"/>
      <c r="H79" s="149"/>
      <c r="I79" s="149">
        <f>IF($F37&lt;0,0,IF(AND($E$19="Investor First",$E$24="No",SUM($H$27:H36)&gt;$H$15),F37*$I$15,IF(AND($E$19="Investor First",$E$24="No",SUM($H$27:H36)&lt;$H$15,SUM($H$27:H36)+F37&gt;$H$15),$H$15-SUM($H$27:H36)+((F37-($H$15-SUM($H$27:H36)))*$I$15),IF(AND($E$19="Investor First",$E$24="No",SUM($H$27:H36)+F37&lt;$H$15),$F37,IF(AND($E$19="Investor First",$E$24="Yes",$G37=0,$F37&gt;$G$24,SUM($H$27:H36)&gt;$H$15),$G$24+(($F37-$G$24)*$I$15),IF(AND($E$19="Investor First",$E$24="Yes",$G37=0,$F37&gt;$G$24,SUM($H$27:H36)&lt;$H$15,SUM($H$27:H36)+$F37&gt;$H$15,$F37&gt;$G$24+($H$15-SUM($H$27:H36))),(($H$15-SUM($H$27:H36))+$G$24)+(($F37-($G$24+($H$15-SUM($H$27:H36))))*$I$15),IF(AND($E$19="Investor First",$E$24="Yes",$G37=0,$F37&gt;$G$24,SUM($H$27:H36)&lt;$H$15,SUM($H$27:H36)+$F37&gt;$H$15,$F37&lt;$G$24+($H$15-SUM($H$27:H36))),$F37,IF(AND($E$19="Investor First",$E$24="Yes",$G37=0,$F37&gt;$G$24,SUM($H$27:H36)+F37&lt;$H$15),$G$24+($F37-$G$24),IF(AND($E$19="Investor First",$E$24="Yes",$G37=0,$F37&lt;$G$24,SUM($H$27:H36)&gt;$H$15),$F37,IF(AND($E$19="Investor First",$E$24="Yes",$G37=0,$F37&lt;$G$24,SUM($H$27:H36)&lt;$H$15,SUM($H$27:H36)+F37&gt;$H$15),$F37,IF(AND($E$19="Investor First",$E$24="Yes",$G37=0,$F37&lt;$G$24,SUM($H$27:H36)+F37&lt;$H$15),$F37,IF(AND($E$19="Investor First",$E$24="Yes",$G37&gt;0,$F37&gt;$G$24+$G37,SUM($H$27:H36)&gt;$H$15),($G$24+$G37)+(($F37-($G$24+$G37))*$I$15),IF(AND($E$19="Investor First",$E$24="Yes",$G37&gt;0,$F37&gt;$G$24+$G37,SUM($H$27:H36)&lt;$H$15,SUM($H$27:H36)+$F37&gt;$H$15,$F37&gt;($G$24+$G37)+($F37-($H$15-SUM($H$27:H36)))),(($G$24+$G37)+($H$15-SUM($H$27:H36)))+((F37-(($G$24+$G37)+($H$15-SUM($H$27:H36))))*$I$15),IF(AND($E$19="Investor First",$E$24="Yes",$G37&gt;0,$F37&gt;$G$24+$G37,SUM($H$27:H36)&lt;$H$15,SUM($H$27:H36)+$F37&gt;$H$15,$F37&lt;($G$24+$G37)+($F37-($H$15-SUM($H$27:H36)))),$F37,IF(AND($E$19="Investor First",$E$24="Yes",$G37&gt;0,$F37&gt;$G$24+$G37,SUM($H$27:H36)+F37&lt;$H$15),($G$24+$G37)+($F37-($G$24+$G37)),IF(AND($E$19="Investor First",$E$24="Yes",$G37&gt;0,$F37&lt;$G$24+$G37,SUM($H$27:H36)&gt;$H$15),F37,IF(AND($E$19="Investor First",$E$24="Yes",$G37&gt;0,$F37&lt;$G$24+$G37,SUM($H$27:H36)&lt;$H$15,SUM($H$27:H36)+F37&gt;$H$15),$F37,IF(AND($E$19="Investor First",$E$24="Yes",$G37&gt;0,$F37&lt;$G$24+$G37,SUM($H$27:H36)+F37&lt;$H$15),$F37,IF(AND($E$19="Investor First %",$E$24="No",SUM($H$27:H36)&gt;$H$15),F37*$I$15,IF(AND($E$19="Investor First %",$E$24="No",SUM($H$27:H36)&lt;$H$15,SUM($H$27:H36)+(F37*$F$19)&gt;$H$15),$H$15-SUM($H$27:H36)+((F37-($H$15-SUM($H$27:H36)))*$I$15),IF(AND($E$19="Investor First %",$E$24="No",SUM($H$27:H36)+(F37*$F$19)&lt;$H$15),$F37*$F$19,IF(AND($E$19="Investor First %",$E$24="Yes",$G37=0,$F37&gt;$G$24,SUM($H$27:H36)&gt;$H$15),$G$24+(($F37-$G$24)*$I$15),IF(AND($E$19="Investor First %",$E$24="Yes",$G37=0,$F37&gt;$G$24,SUM($H$27:H36)&lt;$H$15,SUM($H$27:H36)+($F37*$F$19)&gt;$H$15,$F37&gt;$G$24+($H$15-SUM($H$27:H36))),(($H$15-SUM($H$27:H36))+$G$24)+(($F37-($G$24+($H$15-SUM($H$27:H36))))*$I$15),IF(AND($E$19="Investor First %",$E$24="Yes",$G37=0,$F37&gt;$G$24,SUM($H$27:H36)&lt;$H$15,SUM($H$27:H36)+($F37*$F$19)&gt;$H$15,$F37&lt;$G$24+($H$15-SUM($H$27:H36))),$G$24+(($F37-$G$24)*$F$19),IF(AND($E$19="Investor First %",$E$24="Yes",$G37=0,$F37&gt;$G$24,SUM($H$27:H36)+(F37*$F$19)&lt;$H$15),$G$24+(($F37-$G$24)*$F$19),IF(AND($E$19="Investor First %",$E$24="Yes",$G37=0,$F37&lt;$G$24,SUM($H$27:H36)&gt;$H$15),$F37,IF(AND($E$19="Investor First %",$E$24="Yes",$G37=0,$F37&lt;$G$24,SUM($H$27:H36)&lt;$H$15,SUM($H$27:H36)+(F37*$F$19)&gt;$H$15),$F37,IF(AND($E$19="Investor First %",$E$24="Yes",$G37=0,$F37&lt;$G$24,SUM($H$27:H36)+(F37*$F$19)&lt;$H$15),$F37,IF(AND($E$19="Investor First %",$E$24="Yes",$G37&gt;0,$F37&gt;$G$24+$G37,SUM($H$27:H36)&gt;$H$15),($G$24+$G37)+(($F37-($G$24+$G37))*$I$15),IF(AND($E$19="Investor First %",$E$24="Yes",$G37&gt;0,$F37&gt;$G$24+$G37,SUM($H$27:H36)&lt;$H$15,SUM($H$27:H36)+(F37*$F$19)&gt;$H$15,$F37&gt;($G$24+$G37)+($F37-($H$15-SUM($H$27:H36)))),(($G$24+$G37)+($H$15-SUM($H$27:H36)))+((F37-(($G$24+$G37)+($H$15-SUM($H$27:H36))))*$I$15),IF(AND($E$19="Investor First %",$E$24="Yes",$G37&gt;0,$F37&gt;$G$24+$G37,SUM($H$27:H36)&lt;$H$15,SUM($H$27:H36)+(F37*$F$19)&gt;$H$15,$F37&lt;($G$24+$G37)+($F37-($H$15-SUM($H$27:H36)))),$F37,IF(AND($E$19="Investor First %",$E$24="Yes",$G37&gt;0,$F37&gt;$G$24+$G37,SUM($H$27:H36)+(F37*$F$19)&lt;$H$15),($G$24+$G37)+(($F37-($G$24+$G37))*$F$19),IF(AND($E$19="Investor First %",$E$24="Yes",$G37&gt;0,$F37&lt;$G$24+$G37,SUM($H$27:H36)&gt;$H$15),$F37,IF(AND($E$19="Investor First %",$E$24="Yes",$G37&gt;0,$F37&lt;$G$24+$G37,SUM($H$27:H36)&lt;$H$15,SUM($H$27:H36)+(F37*$F$19)&gt;$H$15),$F37,IF(AND($E$19="Investor First %",$E$24="Yes",$G37&gt;0,$F37&lt;$G$24+$G37,SUM($H$27:H36)+(F37*$F$19)&lt;$H$15),$F37,IF(AND($E$19="Ownership %",$E$24="Yes",$G37&gt;0,$F37&gt;$G37+$G$24),(($G37+$G$24)+($F37-($G37+$G$24))*$I$15),IF(AND($E$19="Ownership %",$E$24="Yes",$G37&gt;0,$F37&lt;$G37+$G$24),$F37,IF(AND($E$19="Ownership %",$E$24="Yes",$G37=0,$F37&gt;$G$24),$G$24+(($F37-$G$24)*$I$15),IF(AND($E$19="Ownership %",$E$24="Yes",$G37=0,$F37&lt;$G$24),$F37,IF(AND($E$19="Ownership %",$E$24="No"),F37*$I$15))))))))))))))))))))))))))))))))))))))))</f>
        <v>0</v>
      </c>
      <c r="J79" s="149"/>
    </row>
    <row r="80" spans="4:11" s="2" customFormat="1" ht="15.75" hidden="1" customHeight="1" outlineLevel="1" x14ac:dyDescent="0.25">
      <c r="F80" s="149"/>
      <c r="G80" s="149"/>
      <c r="H80" s="149"/>
      <c r="I80" s="149"/>
      <c r="J80" s="149"/>
    </row>
    <row r="81" spans="6:8" s="2" customFormat="1" ht="15.75" hidden="1" customHeight="1" outlineLevel="1" x14ac:dyDescent="0.25">
      <c r="F81" s="149">
        <f>F71</f>
        <v>1595516.5191228543</v>
      </c>
      <c r="G81" s="34"/>
      <c r="H81" s="34"/>
    </row>
    <row r="82" spans="6:8" s="2" customFormat="1" ht="15.75" hidden="1" customHeight="1" outlineLevel="1" x14ac:dyDescent="0.25">
      <c r="F82" s="149">
        <f>F71-G71</f>
        <v>923436.37612550647</v>
      </c>
      <c r="G82" s="34"/>
      <c r="H82" s="34"/>
    </row>
    <row r="83" spans="6:8" s="2" customFormat="1" ht="15.75" hidden="1" customHeight="1" outlineLevel="1" x14ac:dyDescent="0.25">
      <c r="F83" s="1436">
        <f>F82-R54</f>
        <v>-7305243.4314298565</v>
      </c>
      <c r="H83" s="4">
        <f>F82-R54</f>
        <v>-7305243.4314298565</v>
      </c>
    </row>
    <row r="84" spans="6:8" s="2" customFormat="1" ht="15.75" hidden="1" customHeight="1" outlineLevel="1" x14ac:dyDescent="0.25"/>
    <row r="85" spans="6:8" s="2" customFormat="1" ht="15.75" hidden="1" customHeight="1" outlineLevel="1" x14ac:dyDescent="0.25"/>
    <row r="86" spans="6:8" s="2" customFormat="1" ht="15.75" hidden="1" customHeight="1" outlineLevel="1" x14ac:dyDescent="0.25"/>
    <row r="87" spans="6:8" s="2" customFormat="1" ht="15.75" hidden="1" customHeight="1" outlineLevel="1" x14ac:dyDescent="0.25"/>
    <row r="88" spans="6:8" s="2" customFormat="1" ht="15.75" hidden="1" customHeight="1" outlineLevel="1" x14ac:dyDescent="0.25">
      <c r="F88" s="1434">
        <f>G24*2.5</f>
        <v>2086806.8713600012</v>
      </c>
    </row>
    <row r="89" spans="6:8" s="2" customFormat="1" ht="15.75" hidden="1" customHeight="1" outlineLevel="1" x14ac:dyDescent="0.25">
      <c r="F89" s="4">
        <f>F69-G69-F88</f>
        <v>-2921529.6199040017</v>
      </c>
    </row>
    <row r="90" spans="6:8" s="2" customFormat="1" ht="15.75" customHeight="1" collapsed="1" x14ac:dyDescent="0.25"/>
    <row r="91" spans="6:8" s="2" customFormat="1" ht="15.75" customHeight="1" x14ac:dyDescent="0.25"/>
    <row r="92" spans="6:8" s="2" customFormat="1" ht="15.75" customHeight="1" x14ac:dyDescent="0.25"/>
    <row r="93" spans="6:8" s="2" customFormat="1" ht="15.75" customHeight="1" x14ac:dyDescent="0.25"/>
    <row r="94" spans="6:8" s="2" customFormat="1" ht="15.75" customHeight="1" x14ac:dyDescent="0.25"/>
    <row r="95" spans="6:8" s="2" customFormat="1" ht="15.75" customHeight="1" x14ac:dyDescent="0.25"/>
    <row r="96" spans="6:8" s="2" customFormat="1" ht="15.75" customHeight="1" x14ac:dyDescent="0.25"/>
    <row r="97" s="2" customFormat="1" ht="15.75" customHeight="1" x14ac:dyDescent="0.25"/>
    <row r="98" s="2" customFormat="1" ht="15.75" customHeight="1" x14ac:dyDescent="0.25"/>
    <row r="99" s="2" customFormat="1" ht="15.75" customHeight="1" x14ac:dyDescent="0.25"/>
    <row r="100" s="2" customFormat="1" ht="15.75" customHeight="1" x14ac:dyDescent="0.25"/>
    <row r="101" s="2" customFormat="1" ht="15.75" customHeight="1" x14ac:dyDescent="0.25"/>
    <row r="102" s="2" customFormat="1" ht="15.75" customHeight="1" x14ac:dyDescent="0.25"/>
    <row r="103" s="2" customFormat="1" ht="15.75" customHeight="1" x14ac:dyDescent="0.25"/>
    <row r="104" s="2" customFormat="1" ht="15.75" customHeight="1" x14ac:dyDescent="0.25"/>
    <row r="105" s="2" customFormat="1" ht="15.75" customHeight="1" x14ac:dyDescent="0.25"/>
    <row r="106" s="2" customFormat="1" ht="15.75" customHeight="1" x14ac:dyDescent="0.25"/>
    <row r="107" s="2" customFormat="1" ht="15.75" customHeight="1" x14ac:dyDescent="0.25"/>
    <row r="108" s="2" customFormat="1" ht="15.75" customHeight="1" x14ac:dyDescent="0.25"/>
    <row r="109" s="2" customFormat="1" ht="15.75" customHeight="1" x14ac:dyDescent="0.25"/>
    <row r="110" s="2" customFormat="1" ht="15.75" customHeight="1" x14ac:dyDescent="0.25"/>
    <row r="111" s="2" customFormat="1" ht="15.75" customHeight="1" x14ac:dyDescent="0.25"/>
    <row r="112" s="2" customFormat="1" ht="15.75" customHeight="1" x14ac:dyDescent="0.25"/>
    <row r="113" s="2" customFormat="1" ht="15.75" customHeight="1" x14ac:dyDescent="0.25"/>
    <row r="114" s="2" customFormat="1" ht="15.75" customHeight="1" x14ac:dyDescent="0.25"/>
    <row r="115" s="2" customFormat="1" ht="15.75" customHeight="1" x14ac:dyDescent="0.25"/>
    <row r="116" s="2" customFormat="1" ht="15.75" customHeight="1" x14ac:dyDescent="0.25"/>
    <row r="117" s="2" customFormat="1" ht="15.75" customHeight="1" x14ac:dyDescent="0.25"/>
    <row r="118" s="2" customFormat="1" ht="15.75" customHeight="1" x14ac:dyDescent="0.25"/>
    <row r="119" s="2" customFormat="1" ht="15.75" customHeight="1" x14ac:dyDescent="0.25"/>
    <row r="120" s="2" customFormat="1" ht="15.75" customHeight="1" x14ac:dyDescent="0.25"/>
    <row r="121" s="2" customFormat="1" ht="15.75" customHeight="1" x14ac:dyDescent="0.25"/>
    <row r="122" s="2" customFormat="1" ht="15.75" customHeight="1" x14ac:dyDescent="0.25"/>
    <row r="123" s="2" customFormat="1" ht="15.75" customHeight="1" x14ac:dyDescent="0.25"/>
    <row r="124" s="2" customFormat="1" ht="15.75" customHeight="1" x14ac:dyDescent="0.25"/>
    <row r="125" s="2" customFormat="1" ht="15.75" customHeight="1" x14ac:dyDescent="0.25"/>
    <row r="126" s="2" customFormat="1" ht="15.75" customHeight="1" x14ac:dyDescent="0.25"/>
    <row r="127" s="2" customFormat="1" ht="15.75" customHeight="1" x14ac:dyDescent="0.25"/>
    <row r="128" s="2" customFormat="1" ht="15.75" customHeight="1" x14ac:dyDescent="0.25"/>
    <row r="129" s="2" customFormat="1" ht="15.75" customHeight="1" x14ac:dyDescent="0.25"/>
    <row r="130" s="2" customFormat="1" ht="15.75" customHeight="1" x14ac:dyDescent="0.25"/>
    <row r="131" s="2" customFormat="1" ht="15.75" customHeight="1" x14ac:dyDescent="0.25"/>
    <row r="132" s="2" customFormat="1" ht="15.75" customHeight="1" x14ac:dyDescent="0.25"/>
    <row r="133" s="2" customFormat="1" ht="15.75" customHeight="1" x14ac:dyDescent="0.25"/>
    <row r="134" s="2" customFormat="1" ht="15.75" customHeight="1" x14ac:dyDescent="0.25"/>
    <row r="135" s="2" customFormat="1" ht="15.75" customHeight="1" x14ac:dyDescent="0.25"/>
    <row r="136" s="2" customFormat="1" ht="15.75" customHeight="1" x14ac:dyDescent="0.25"/>
    <row r="137" s="2" customFormat="1" ht="15.75" customHeight="1" x14ac:dyDescent="0.25"/>
    <row r="138" s="2" customFormat="1" ht="15.75" customHeight="1" x14ac:dyDescent="0.25"/>
    <row r="139" s="2" customFormat="1" ht="15.75" customHeight="1" x14ac:dyDescent="0.25"/>
    <row r="140" s="2" customFormat="1" ht="15.75" customHeight="1" x14ac:dyDescent="0.25"/>
    <row r="141" s="2" customFormat="1" ht="15.75" customHeight="1" x14ac:dyDescent="0.25"/>
    <row r="142" s="2" customFormat="1" ht="15.75" customHeight="1" x14ac:dyDescent="0.25"/>
    <row r="143" s="2" customFormat="1" ht="15.75" customHeight="1" x14ac:dyDescent="0.25"/>
    <row r="144" s="2" customFormat="1" ht="15.75" customHeight="1" x14ac:dyDescent="0.25"/>
    <row r="145" s="2" customFormat="1" ht="15.75" customHeight="1" x14ac:dyDescent="0.25"/>
    <row r="146" s="2" customFormat="1" ht="15.75" customHeight="1" x14ac:dyDescent="0.25"/>
    <row r="147" s="2" customFormat="1" ht="15.75" customHeight="1" x14ac:dyDescent="0.25"/>
    <row r="148" s="2" customFormat="1" ht="15.75" customHeight="1" x14ac:dyDescent="0.25"/>
    <row r="149" s="2" customFormat="1" ht="15.75" customHeight="1" x14ac:dyDescent="0.25"/>
    <row r="150" s="2" customFormat="1" ht="15.75" customHeight="1" x14ac:dyDescent="0.25"/>
    <row r="151" s="2" customFormat="1" ht="15.75" customHeight="1" x14ac:dyDescent="0.25"/>
    <row r="152" s="2" customFormat="1" ht="15.75" customHeight="1" x14ac:dyDescent="0.25"/>
    <row r="153" s="2" customFormat="1" ht="15.75" customHeight="1" x14ac:dyDescent="0.25"/>
    <row r="154" s="2" customFormat="1" ht="15.75" customHeight="1" x14ac:dyDescent="0.25"/>
    <row r="155" s="2" customFormat="1" ht="15.75" customHeight="1" x14ac:dyDescent="0.25"/>
    <row r="156" s="2" customFormat="1" ht="15.75" customHeight="1" x14ac:dyDescent="0.25"/>
    <row r="157" s="2" customFormat="1" ht="15.75" customHeight="1" x14ac:dyDescent="0.25"/>
    <row r="158" s="2" customFormat="1" ht="15.75" customHeight="1" x14ac:dyDescent="0.25"/>
    <row r="159" s="2" customFormat="1" ht="15.75" customHeight="1" x14ac:dyDescent="0.25"/>
    <row r="160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="2" customFormat="1" ht="15.75" customHeight="1" x14ac:dyDescent="0.25"/>
    <row r="354" s="2" customFormat="1" ht="15.75" customHeight="1" x14ac:dyDescent="0.25"/>
    <row r="355" s="2" customFormat="1" ht="15.75" customHeight="1" x14ac:dyDescent="0.25"/>
    <row r="356" s="2" customFormat="1" ht="15.75" customHeight="1" x14ac:dyDescent="0.25"/>
    <row r="357" s="2" customFormat="1" ht="15.75" customHeight="1" x14ac:dyDescent="0.25"/>
    <row r="358" s="2" customFormat="1" ht="15.75" customHeight="1" x14ac:dyDescent="0.25"/>
    <row r="359" s="2" customFormat="1" ht="15.75" customHeight="1" x14ac:dyDescent="0.25"/>
    <row r="360" s="2" customFormat="1" ht="15.75" customHeight="1" x14ac:dyDescent="0.25"/>
    <row r="361" s="2" customFormat="1" ht="15.75" customHeight="1" x14ac:dyDescent="0.25"/>
    <row r="362" s="2" customFormat="1" ht="15.75" customHeight="1" x14ac:dyDescent="0.25"/>
    <row r="363" s="2" customFormat="1" ht="15.75" customHeight="1" x14ac:dyDescent="0.25"/>
    <row r="364" s="2" customFormat="1" ht="15.75" customHeight="1" x14ac:dyDescent="0.25"/>
    <row r="365" s="2" customFormat="1" ht="15.75" customHeight="1" x14ac:dyDescent="0.25"/>
    <row r="366" s="2" customFormat="1" ht="15.75" customHeight="1" x14ac:dyDescent="0.25"/>
    <row r="367" s="2" customFormat="1" ht="15.75" customHeight="1" x14ac:dyDescent="0.25"/>
    <row r="368" s="2" customFormat="1" ht="15.75" customHeight="1" x14ac:dyDescent="0.25"/>
    <row r="369" s="2" customFormat="1" ht="15.75" customHeight="1" x14ac:dyDescent="0.25"/>
    <row r="370" s="2" customFormat="1" ht="15.75" customHeight="1" x14ac:dyDescent="0.25"/>
    <row r="371" s="2" customFormat="1" ht="15.75" customHeight="1" x14ac:dyDescent="0.25"/>
    <row r="372" s="2" customFormat="1" ht="15.75" customHeight="1" x14ac:dyDescent="0.25"/>
    <row r="373" s="2" customFormat="1" ht="15.75" customHeight="1" x14ac:dyDescent="0.25"/>
    <row r="374" s="2" customFormat="1" ht="15.75" customHeight="1" x14ac:dyDescent="0.25"/>
    <row r="375" s="2" customFormat="1" ht="15.75" customHeight="1" x14ac:dyDescent="0.25"/>
    <row r="376" s="2" customFormat="1" ht="15.75" customHeight="1" x14ac:dyDescent="0.25"/>
    <row r="377" s="2" customFormat="1" ht="15.75" customHeight="1" x14ac:dyDescent="0.25"/>
    <row r="378" s="2" customFormat="1" ht="15.75" customHeight="1" x14ac:dyDescent="0.25"/>
    <row r="379" s="2" customFormat="1" ht="15.75" customHeight="1" x14ac:dyDescent="0.25"/>
    <row r="380" s="2" customFormat="1" ht="15.75" customHeight="1" x14ac:dyDescent="0.25"/>
    <row r="381" s="2" customFormat="1" ht="15.75" customHeight="1" x14ac:dyDescent="0.25"/>
    <row r="382" s="2" customFormat="1" ht="15.75" customHeight="1" x14ac:dyDescent="0.25"/>
    <row r="383" s="2" customFormat="1" ht="15.75" customHeight="1" x14ac:dyDescent="0.25"/>
    <row r="384" s="2" customFormat="1" ht="15.75" customHeight="1" x14ac:dyDescent="0.25"/>
    <row r="385" s="2" customFormat="1" ht="15.75" customHeight="1" x14ac:dyDescent="0.25"/>
    <row r="386" s="2" customFormat="1" ht="15.75" customHeight="1" x14ac:dyDescent="0.25"/>
    <row r="387" s="2" customFormat="1" ht="15.75" customHeight="1" x14ac:dyDescent="0.25"/>
    <row r="388" s="2" customFormat="1" ht="15.75" customHeight="1" x14ac:dyDescent="0.25"/>
    <row r="389" s="2" customFormat="1" ht="15.75" customHeight="1" x14ac:dyDescent="0.25"/>
    <row r="390" s="2" customFormat="1" ht="15.75" customHeight="1" x14ac:dyDescent="0.25"/>
    <row r="391" s="2" customFormat="1" ht="15.75" customHeight="1" x14ac:dyDescent="0.25"/>
    <row r="392" s="2" customFormat="1" ht="15.75" customHeight="1" x14ac:dyDescent="0.25"/>
    <row r="393" s="2" customFormat="1" ht="15.75" customHeight="1" x14ac:dyDescent="0.25"/>
    <row r="394" s="2" customFormat="1" ht="15.75" customHeight="1" x14ac:dyDescent="0.25"/>
    <row r="395" s="2" customFormat="1" ht="15.75" customHeight="1" x14ac:dyDescent="0.25"/>
    <row r="396" s="2" customFormat="1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  <row r="1008" ht="15.75" customHeight="1" x14ac:dyDescent="0.25"/>
    <row r="1009" ht="15.75" customHeight="1" x14ac:dyDescent="0.25"/>
  </sheetData>
  <mergeCells count="3">
    <mergeCell ref="H18:I18"/>
    <mergeCell ref="H19:I19"/>
    <mergeCell ref="E2:J2"/>
  </mergeCells>
  <conditionalFormatting sqref="E19">
    <cfRule type="expression" dxfId="137" priority="21">
      <formula>IF(OR($E$19="Split %",$E$19="Investor First",$E$19="Ownership %"),"TRUE","FALSE")</formula>
    </cfRule>
  </conditionalFormatting>
  <conditionalFormatting sqref="F19 F18:G18">
    <cfRule type="expression" dxfId="136" priority="22">
      <formula>IF(OR($E$19="Split %",$E$19="Investor First",$E$19="Ownership %"),"TRUE","FALSE")</formula>
    </cfRule>
  </conditionalFormatting>
  <conditionalFormatting sqref="F19">
    <cfRule type="expression" dxfId="135" priority="13">
      <formula>IF($E$19="Investor First %","TRUE","FALSE")</formula>
    </cfRule>
  </conditionalFormatting>
  <conditionalFormatting sqref="F23:G24">
    <cfRule type="expression" dxfId="134" priority="284">
      <formula>IF($E$24="No","TRUE","FALSE")</formula>
    </cfRule>
  </conditionalFormatting>
  <conditionalFormatting sqref="G23">
    <cfRule type="expression" dxfId="133" priority="286">
      <formula>IF($E$24="No","TRUE","FALSE")</formula>
    </cfRule>
  </conditionalFormatting>
  <conditionalFormatting sqref="H18:H19 H20:I21">
    <cfRule type="expression" dxfId="132" priority="15">
      <formula>IF(OR($E$19="Investor First",$E$19="Investor First %",$E$19="Ownership %"),"TRUE","FALSE")</formula>
    </cfRule>
  </conditionalFormatting>
  <conditionalFormatting sqref="H19:I19">
    <cfRule type="expression" dxfId="131" priority="20">
      <formula>IF($E$19="Split %","TRUE","FALSE")</formula>
    </cfRule>
  </conditionalFormatting>
  <conditionalFormatting sqref="J18">
    <cfRule type="expression" dxfId="130" priority="10">
      <formula>IF($E$19="Split %","TRUE","FALSE")</formula>
    </cfRule>
  </conditionalFormatting>
  <conditionalFormatting sqref="J19">
    <cfRule type="expression" dxfId="129" priority="11">
      <formula>IF($E$19="Split %","TRUE","FALSE")</formula>
    </cfRule>
    <cfRule type="expression" dxfId="128" priority="12">
      <formula>IF(OR($E$19="Investor First",$E$19="Investor First %",$E$19="Ownership %"),"TRUE","FALSE")</formula>
    </cfRule>
  </conditionalFormatting>
  <conditionalFormatting sqref="J21">
    <cfRule type="expression" dxfId="127" priority="7">
      <formula>IF($E$19="Split %","TRUE","FALSE")</formula>
    </cfRule>
  </conditionalFormatting>
  <conditionalFormatting sqref="J22">
    <cfRule type="expression" dxfId="126" priority="8">
      <formula>IF($E$19="Split %","TRUE","FALSE")</formula>
    </cfRule>
    <cfRule type="expression" dxfId="125" priority="9">
      <formula>IF(OR($E$19="Investor First",$E$19="Investor First %",$E$19="Ownership %"),"TRUE","FALSE")</formula>
    </cfRule>
  </conditionalFormatting>
  <dataValidations count="4">
    <dataValidation type="list" allowBlank="1" showInputMessage="1" showErrorMessage="1" sqref="E24" xr:uid="{2F44F10D-7958-40FE-BABB-8365549A65FF}">
      <formula1>"Yes, No"</formula1>
    </dataValidation>
    <dataValidation type="list" allowBlank="1" showInputMessage="1" showErrorMessage="1" sqref="H19" xr:uid="{11B5518A-36BF-4858-AAC9-2BC00F182F03}">
      <formula1>"10/90, 20/80, 30/70, 40/60, 50/50, 60/40, 70/30, 80/20, 90/10"</formula1>
    </dataValidation>
    <dataValidation type="list" allowBlank="1" showInputMessage="1" showErrorMessage="1" sqref="F19" xr:uid="{E1F1B913-8CC5-4FA4-A98A-4E4CE168FAB4}">
      <formula1>"90%, 80%, 70%, 60%, 50%, 40%, 30%, 20%, 10% "</formula1>
    </dataValidation>
    <dataValidation type="list" allowBlank="1" showInputMessage="1" showErrorMessage="1" sqref="E19" xr:uid="{DD3C4F3B-615D-44C3-802E-61580AB21DEB}">
      <formula1>"Investor First, Investor First %, Split %, Ownership %"</formula1>
    </dataValidation>
  </dataValidations>
  <pageMargins left="0.7" right="0.7" top="0.75" bottom="0.75" header="0.3" footer="0.3"/>
  <pageSetup orientation="portrait" r:id="rId1"/>
  <ignoredErrors>
    <ignoredError sqref="H21:I21" twoDigitTextYear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359F64F894F174185909FB82258F8C7" ma:contentTypeVersion="41" ma:contentTypeDescription="Create a new document." ma:contentTypeScope="" ma:versionID="a65278fa5b7700fda7771e735cd412e5">
  <xsd:schema xmlns:xsd="http://www.w3.org/2001/XMLSchema" xmlns:xs="http://www.w3.org/2001/XMLSchema" xmlns:p="http://schemas.microsoft.com/office/2006/metadata/properties" xmlns:ns2="309b84cd-02bf-4359-bcdb-ed87c886028b" xmlns:ns3="4c166bcc-4ed5-4309-a579-ff0b346bb162" targetNamespace="http://schemas.microsoft.com/office/2006/metadata/properties" ma:root="true" ma:fieldsID="e65204ba7b8630607e7ec5ce600adeb9" ns2:_="" ns3:_="">
    <xsd:import namespace="309b84cd-02bf-4359-bcdb-ed87c886028b"/>
    <xsd:import namespace="4c166bcc-4ed5-4309-a579-ff0b346bb1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OCR" minOccurs="0"/>
                <xsd:element ref="ns2:MediaServiceEventHashCode" minOccurs="0"/>
                <xsd:element ref="ns2:MediaLengthInSeconds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9b84cd-02bf-4359-bcdb-ed87c88602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2" nillable="true" ma:displayName="Image Tags_0" ma:hidden="true" ma:internalName="lcf76f155ced4ddcb4097134ff3c332f">
      <xsd:simpleType>
        <xsd:restriction base="dms:Note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BillingMetadata" ma:index="19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66bcc-4ed5-4309-a579-ff0b346bb162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0f2a671a-54e1-4050-8c9e-27342d37be1e}" ma:internalName="TaxCatchAll" ma:showField="CatchAllData" ma:web="4c166bcc-4ed5-4309-a579-ff0b346bb1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U D A A B Q S w M E F A A C A A g A C G + T V 2 H V p u G l A A A A 9 g A A A B I A H A B D b 2 5 m a W c v U G F j a 2 F n Z S 5 4 b W w g o h g A K K A U A A A A A A A A A A A A A A A A A A A A A A A A A A A A h Y 9 B D o I w F E S v Q r q n L S U m h n z K w q 0 k J k T j t o G K j f A x t F j u 5 s I j e Q U x i r p z O T N v k p n 7 9 Q b Z 2 D b B R f f W d J i S i H I S a C y 7 y m C d k s E d w i X J J G x U e V K 1 D i Y Y b T J a k 5 K j c + e E M e 8 9 9 T H t + p o J z i O 2 z 9 d F e d S t C g 1 a p 7 D U 5 N O q / r e I h N 1 r j B Q 0 E j F d c E E 5 s N m E 3 O A X E N P e Z / p j w m p o 3 N B r q T H c F s B m C e z 9 Q T 4 A U E s D B B Q A A g A I A A h v k 1 c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I b 5 N X K I p H u A 4 A A A A R A A A A E w A c A E Z v c m 1 1 b G F z L 1 N l Y 3 R p b 2 4 x L m 0 g o h g A K K A U A A A A A A A A A A A A A A A A A A A A A A A A A A A A K 0 5 N L s n M z 1 M I h t C G 1 g B Q S w E C L Q A U A A I A C A A I b 5 N X Y d W m 4 a U A A A D 2 A A A A E g A A A A A A A A A A A A A A A A A A A A A A Q 2 9 u Z m l n L 1 B h Y 2 t h Z 2 U u e G 1 s U E s B A i 0 A F A A C A A g A C G + T V w / K 6 a u k A A A A 6 Q A A A B M A A A A A A A A A A A A A A A A A 8 Q A A A F t D b 2 5 0 Z W 5 0 X 1 R 5 c G V z X S 5 4 b W x Q S w E C L Q A U A A I A C A A I b 5 N X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i 4 J s v H w C t E y r i n k 9 c t R u 0 A A A A A A C A A A A A A A D Z g A A w A A A A B A A A A A N w m S B U 7 e h n K n p D U K b + 8 j m A A A A A A S A A A C g A A A A E A A A A D i c Z m / c e z N u x 2 N w U I 4 j I Q V Q A A A A P L k 2 5 f z L h 8 / H n 0 / v W N q v H C z O 1 1 3 h t 2 O 0 V P 4 M U / m a U v C J I T 0 G M y A 9 i X T n n Q g y 5 q / S B y 6 w Z / c p f U + x 0 V V C 1 e T D K 5 d c V s p X I s R H y J K V V f 9 i 4 p Q U A A A A E H H A v y q s V l Z o o r s X P t m M Z L t + g D U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09b84cd-02bf-4359-bcdb-ed87c886028b" xsi:nil="true"/>
    <TaxCatchAll xmlns="4c166bcc-4ed5-4309-a579-ff0b346bb162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83941ED-60F1-44DC-90DF-38D68139897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9b84cd-02bf-4359-bcdb-ed87c886028b"/>
    <ds:schemaRef ds:uri="4c166bcc-4ed5-4309-a579-ff0b346bb1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9B9E823-CE2F-49F8-81D7-87ECEC93FDB4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12A3999A-6894-41B0-9917-050470172219}">
  <ds:schemaRefs>
    <ds:schemaRef ds:uri="http://purl.org/dc/terms/"/>
    <ds:schemaRef ds:uri="http://purl.org/dc/dcmitype/"/>
    <ds:schemaRef ds:uri="http://schemas.microsoft.com/office/2006/metadata/properties"/>
    <ds:schemaRef ds:uri="309b84cd-02bf-4359-bcdb-ed87c886028b"/>
    <ds:schemaRef ds:uri="http://purl.org/dc/elements/1.1/"/>
    <ds:schemaRef ds:uri="4c166bcc-4ed5-4309-a579-ff0b346bb1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46994F20-A095-48B6-ACA7-1D65070B6D1F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8c970d48-f7b9-48b0-9606-072fbefb514d}" enabled="1" method="Standard" siteId="{049e3382-8cdc-477b-9317-951b04689668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</vt:i4>
      </vt:variant>
    </vt:vector>
  </HeadingPairs>
  <TitlesOfParts>
    <vt:vector size="22" baseType="lpstr">
      <vt:lpstr>Summary Sheet</vt:lpstr>
      <vt:lpstr>Construction Budget</vt:lpstr>
      <vt:lpstr>Unit Mix</vt:lpstr>
      <vt:lpstr>Operating Assumptions</vt:lpstr>
      <vt:lpstr>Financing Assumptions</vt:lpstr>
      <vt:lpstr>Monthly CF</vt:lpstr>
      <vt:lpstr>Operating Proforma</vt:lpstr>
      <vt:lpstr>Equity Waterfall - Annual (3)</vt:lpstr>
      <vt:lpstr>ROI</vt:lpstr>
      <vt:lpstr>Waterfall</vt:lpstr>
      <vt:lpstr>Sale - Refinance</vt:lpstr>
      <vt:lpstr>Annual Waterfall</vt:lpstr>
      <vt:lpstr>Taxes - TIF</vt:lpstr>
      <vt:lpstr>AMI</vt:lpstr>
      <vt:lpstr>Senior Loan Amortization1</vt:lpstr>
      <vt:lpstr>Senior Perm Amortization1</vt:lpstr>
      <vt:lpstr>Senior Refinance Amortization1</vt:lpstr>
      <vt:lpstr>Mezz 1 Amortization</vt:lpstr>
      <vt:lpstr>Mezz 2 Amortization</vt:lpstr>
      <vt:lpstr>TIF Loan Amortization</vt:lpstr>
      <vt:lpstr>'Senior Loan Amortization1'!LIST</vt:lpstr>
      <vt:lpstr>'Operating Proforma'!Print_Area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Cayden Beran</dc:creator>
  <cp:lastModifiedBy>Horak, Grace</cp:lastModifiedBy>
  <cp:lastPrinted>2026-01-13T19:38:32Z</cp:lastPrinted>
  <dcterms:created xsi:type="dcterms:W3CDTF">2023-03-31T17:59:56Z</dcterms:created>
  <dcterms:modified xsi:type="dcterms:W3CDTF">2026-01-13T19:59:12Z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0x0101008359F64F894F174185909FB82258F8C7</vt:lpwstr>
  </property>
</Properties>
</file>